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ml.chartshape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Metadata/LabelInfo.xml" ContentType="application/vnd.ms-office.classificationlabel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charts/chartEx5.xml" ContentType="application/vnd.ms-office.chartex+xml"/>
  <Override PartName="/xl/charts/chartEx6.xml" ContentType="application/vnd.ms-office.chartex+xml"/>
  <Override PartName="/xl/charts/chartEx7.xml" ContentType="application/vnd.ms-office.chartex+xml"/>
  <Override PartName="/xl/charts/chartEx8.xml" ContentType="application/vnd.ms-office.chartex+xml"/>
  <Override PartName="/xl/charts/colors14.xml" ContentType="application/vnd.ms-office.chartcolorstyle+xml"/>
  <Override PartName="/xl/charts/style14.xml" ContentType="application/vnd.ms-office.chartstyle+xml"/>
  <Override PartName="/xl/charts/colors20.xml" ContentType="application/vnd.ms-office.chartcolorstyle+xml"/>
  <Override PartName="/xl/charts/style20.xml" ContentType="application/vnd.ms-office.chartstyle+xml"/>
  <Override PartName="/xl/charts/colors30.xml" ContentType="application/vnd.ms-office.chartcolorstyle+xml"/>
  <Override PartName="/xl/charts/style30.xml" ContentType="application/vnd.ms-office.chartstyle+xml"/>
  <Override PartName="/xl/charts/colors40.xml" ContentType="application/vnd.ms-office.chartcolorstyle+xml"/>
  <Override PartName="/xl/charts/style40.xml" ContentType="application/vnd.ms-office.chartstyle+xml"/>
  <Override PartName="/xl/charts/colors50.xml" ContentType="application/vnd.ms-office.chartcolorstyle+xml"/>
  <Override PartName="/xl/charts/style50.xml" ContentType="application/vnd.ms-office.chartstyle+xml"/>
  <Override PartName="/xl/charts/colors60.xml" ContentType="application/vnd.ms-office.chartcolorstyle+xml"/>
  <Override PartName="/xl/charts/style60.xml" ContentType="application/vnd.ms-office.chartstyle+xml"/>
  <Override PartName="/xl/charts/colors70.xml" ContentType="application/vnd.ms-office.chartcolorstyle+xml"/>
  <Override PartName="/xl/charts/style70.xml" ContentType="application/vnd.ms-office.chartstyle+xml"/>
  <Override PartName="/xl/charts/colors80.xml" ContentType="application/vnd.ms-office.chartcolorstyle+xml"/>
  <Override PartName="/xl/charts/style8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codeName="ThisWorkbook"/>
  <mc:AlternateContent xmlns:mc="http://schemas.openxmlformats.org/markup-compatibility/2006">
    <mc:Choice Requires="x15">
      <x15ac:absPath xmlns:x15ac="http://schemas.microsoft.com/office/spreadsheetml/2010/11/ac" url="https://zerocarbonshipping-my.sharepoint.com/personal/mark_stark_zerocarbonshipping_com/Documents/Desktop/Program CAT/Green Corridor Cost Model/Cost Model 24.06.25/"/>
    </mc:Choice>
  </mc:AlternateContent>
  <xr:revisionPtr revIDLastSave="0" documentId="8_{4FD6E8C3-D6BF-480F-B6FF-5D170C74EE7D}" xr6:coauthVersionLast="47" xr6:coauthVersionMax="47" xr10:uidLastSave="{00000000-0000-0000-0000-000000000000}"/>
  <bookViews>
    <workbookView xWindow="28680" yWindow="-120" windowWidth="38640" windowHeight="21120" autoFilterDateGrouping="0" xr2:uid="{00000000-000D-0000-FFFF-FFFF00000000}"/>
  </bookViews>
  <sheets>
    <sheet name="Cover" sheetId="24" r:id="rId1"/>
    <sheet name="Instructions" sheetId="5" r:id="rId2"/>
    <sheet name="Output" sheetId="20" r:id="rId3"/>
    <sheet name="Sensitivity_tables" sheetId="28" r:id="rId4"/>
    <sheet name="Quick_assumption" sheetId="48" r:id="rId5"/>
    <sheet name="Assumptions" sheetId="11" r:id="rId6"/>
    <sheet name="Assumptions_Detailed" sheetId="25" r:id="rId7"/>
    <sheet name="Calculation" sheetId="14" r:id="rId8"/>
    <sheet name="Data_tables" sheetId="26" r:id="rId9"/>
    <sheet name="Benchmarks&gt;" sheetId="45" state="hidden" r:id="rId10"/>
    <sheet name="VesselAssumptions" sheetId="44" state="hidden" r:id="rId11"/>
    <sheet name="Fuel_CapexOpex" sheetId="42" state="hidden" r:id="rId12"/>
    <sheet name="Fuel_prices" sheetId="41" state="hidden" r:id="rId13"/>
    <sheet name="Port_CapexOpex" sheetId="43" state="hidden" r:id="rId14"/>
    <sheet name="IRA&gt;" sheetId="30" state="hidden" r:id="rId15"/>
    <sheet name="IRACredits" sheetId="32" state="hidden" r:id="rId16"/>
    <sheet name="FuelEU and ETS&gt;" sheetId="46" state="hidden" r:id="rId17"/>
    <sheet name="FuelEU and ETS" sheetId="33" state="hidden" r:id="rId18"/>
    <sheet name="MtM&gt;" sheetId="38" state="hidden" r:id="rId19"/>
    <sheet name="CCC Summary (main)" sheetId="34" state="hidden" r:id="rId20"/>
    <sheet name="Calculations (main)" sheetId="35" state="hidden" r:id="rId21"/>
    <sheet name="Data" sheetId="36" state="hidden" r:id="rId22"/>
    <sheet name="IMO GFI" sheetId="37" state="hidden" r:id="rId23"/>
  </sheets>
  <definedNames>
    <definedName name="_xlchart.v5.0" hidden="1">Output!$C$6:$C$16</definedName>
    <definedName name="_xlchart.v5.1" hidden="1">Output!$D$6:$D$16</definedName>
    <definedName name="_xlchart.v5.10" hidden="1">Output!$C$102:$C$109</definedName>
    <definedName name="_xlchart.v5.11" hidden="1">Output!$D$102:$D$109</definedName>
    <definedName name="_xlchart.v5.12" hidden="1">Output!$C$59:$C$63</definedName>
    <definedName name="_xlchart.v5.13" hidden="1">Output!$D$59:$D$63</definedName>
    <definedName name="_xlchart.v5.14" hidden="1">Output!$C$46:$C$50</definedName>
    <definedName name="_xlchart.v5.15" hidden="1">Output!$D$46:$D$50</definedName>
    <definedName name="_xlchart.v5.2" hidden="1">Output!$C$114</definedName>
    <definedName name="_xlchart.v5.3" hidden="1">Output!$D$114</definedName>
    <definedName name="_xlchart.v5.4" hidden="1">Output!$C$73:$C$75</definedName>
    <definedName name="_xlchart.v5.5" hidden="1">Output!$D$73:$D$75</definedName>
    <definedName name="_xlchart.v5.6" hidden="1">Output!$C$85:$C$89</definedName>
    <definedName name="_xlchart.v5.7" hidden="1">Output!$D$85:$D$89</definedName>
    <definedName name="_xlchart.v5.8" hidden="1">Output!$C$129:$C$138</definedName>
    <definedName name="_xlchart.v5.9" hidden="1">Output!$D$129:$D$138</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11" l="1"/>
  <c r="I21" i="32"/>
  <c r="F28" i="25"/>
  <c r="F5" i="20"/>
  <c r="AP22" i="26"/>
  <c r="AP21" i="26"/>
  <c r="AP20" i="26"/>
  <c r="AQ20" i="26" s="1"/>
  <c r="AP19" i="26"/>
  <c r="AQ19" i="26" s="1"/>
  <c r="AP18" i="26"/>
  <c r="AQ18" i="26" s="1"/>
  <c r="AP17" i="26"/>
  <c r="AQ17" i="26" s="1"/>
  <c r="AP16" i="26"/>
  <c r="AQ16" i="26" s="1"/>
  <c r="AP15" i="26"/>
  <c r="AQ15" i="26" s="1"/>
  <c r="AP14" i="26"/>
  <c r="AQ14" i="26" s="1"/>
  <c r="AP13" i="26"/>
  <c r="AQ13" i="26" s="1"/>
  <c r="AP12" i="26"/>
  <c r="AQ12" i="26" s="1"/>
  <c r="AP11" i="26"/>
  <c r="AQ11" i="26" s="1"/>
  <c r="AP10" i="26"/>
  <c r="AQ10" i="26" s="1"/>
  <c r="AP9" i="26"/>
  <c r="AQ9" i="26" s="1"/>
  <c r="AP8" i="26"/>
  <c r="AQ8" i="26" s="1"/>
  <c r="AQ22" i="26"/>
  <c r="AQ21" i="26"/>
  <c r="AQ7" i="26"/>
  <c r="AQ6" i="26"/>
  <c r="AR6" i="26" s="1"/>
  <c r="AP7" i="26"/>
  <c r="AP6" i="26"/>
  <c r="AP5" i="26"/>
  <c r="AQ5" i="26" s="1"/>
  <c r="G278" i="11" l="1"/>
  <c r="H282" i="11"/>
  <c r="H284" i="11"/>
  <c r="G284" i="11"/>
  <c r="G282" i="11"/>
  <c r="G280" i="11"/>
  <c r="H280" i="11"/>
  <c r="E24" i="48"/>
  <c r="G393" i="11"/>
  <c r="G387" i="11"/>
  <c r="G380" i="11"/>
  <c r="G376" i="11"/>
  <c r="G471" i="11"/>
  <c r="F470" i="11"/>
  <c r="G469" i="11"/>
  <c r="F468" i="11"/>
  <c r="G457" i="11"/>
  <c r="G276" i="11"/>
  <c r="H275" i="11"/>
  <c r="G268" i="11"/>
  <c r="H268" i="11" s="1"/>
  <c r="H267" i="11"/>
  <c r="G263" i="11"/>
  <c r="H262" i="11"/>
  <c r="G34" i="11"/>
  <c r="G24" i="11"/>
  <c r="H24" i="11" l="1"/>
  <c r="H13" i="11"/>
  <c r="B1" i="48"/>
  <c r="B10" i="25"/>
  <c r="E5" i="20"/>
  <c r="B142" i="25"/>
  <c r="AR5" i="26" l="1"/>
  <c r="H264" i="11"/>
  <c r="G389" i="11" l="1"/>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10" i="14"/>
  <c r="H609" i="14"/>
  <c r="G6" i="37"/>
  <c r="H6" i="37" s="1"/>
  <c r="D7" i="37"/>
  <c r="F7" i="37"/>
  <c r="G7" i="37"/>
  <c r="H7" i="37"/>
  <c r="I7" i="37" s="1"/>
  <c r="D8" i="37"/>
  <c r="F8" i="37"/>
  <c r="G8" i="37"/>
  <c r="H8" i="37"/>
  <c r="I8" i="37" s="1"/>
  <c r="D9" i="37"/>
  <c r="F9" i="37"/>
  <c r="G9" i="37"/>
  <c r="H9" i="37" s="1"/>
  <c r="D10" i="37"/>
  <c r="F10" i="37"/>
  <c r="G10" i="37"/>
  <c r="H10" i="37" s="1"/>
  <c r="I10" i="37" s="1"/>
  <c r="D11" i="37"/>
  <c r="F11" i="37"/>
  <c r="G11" i="37"/>
  <c r="H11" i="37" s="1"/>
  <c r="D12" i="37"/>
  <c r="F12" i="37"/>
  <c r="G12" i="37"/>
  <c r="H12" i="37" s="1"/>
  <c r="D13" i="37"/>
  <c r="F13" i="37"/>
  <c r="G13" i="37"/>
  <c r="H13" i="37"/>
  <c r="I13" i="37" s="1"/>
  <c r="D14" i="37"/>
  <c r="F14" i="37"/>
  <c r="G14" i="37"/>
  <c r="H14" i="37" s="1"/>
  <c r="I14" i="37" s="1"/>
  <c r="G15" i="37"/>
  <c r="H15" i="37" s="1"/>
  <c r="G16" i="37"/>
  <c r="H16" i="37" s="1"/>
  <c r="G17" i="37"/>
  <c r="H17" i="37" s="1"/>
  <c r="G18" i="37"/>
  <c r="H18" i="37" s="1"/>
  <c r="I18" i="37" s="1"/>
  <c r="D19" i="37"/>
  <c r="G19" i="37"/>
  <c r="H19" i="37"/>
  <c r="I19" i="37" s="1"/>
  <c r="G20" i="37"/>
  <c r="H20" i="37"/>
  <c r="I20" i="37"/>
  <c r="G21" i="37"/>
  <c r="H21" i="37"/>
  <c r="G22" i="37"/>
  <c r="H22" i="37" s="1"/>
  <c r="I22" i="37" s="1"/>
  <c r="G23" i="37"/>
  <c r="H23" i="37"/>
  <c r="I23" i="37" s="1"/>
  <c r="G24" i="37"/>
  <c r="H24" i="37" s="1"/>
  <c r="I24" i="37" s="1"/>
  <c r="G25" i="37"/>
  <c r="H25" i="37" s="1"/>
  <c r="G26" i="37"/>
  <c r="H26" i="37"/>
  <c r="I26" i="37"/>
  <c r="G27" i="37"/>
  <c r="H27" i="37" s="1"/>
  <c r="G28" i="37"/>
  <c r="I28" i="37" s="1"/>
  <c r="H28" i="37"/>
  <c r="G29" i="37"/>
  <c r="H29" i="37" s="1"/>
  <c r="H20" i="26"/>
  <c r="E178" i="11"/>
  <c r="L8" i="28"/>
  <c r="K8" i="28"/>
  <c r="J8" i="28"/>
  <c r="I8" i="28"/>
  <c r="H8" i="28"/>
  <c r="G8" i="28"/>
  <c r="F8" i="28"/>
  <c r="E8" i="28"/>
  <c r="D8" i="28"/>
  <c r="M8" i="11"/>
  <c r="E27" i="28"/>
  <c r="F27" i="28" s="1"/>
  <c r="G27" i="28" s="1"/>
  <c r="H27" i="28" s="1"/>
  <c r="I27" i="28" s="1"/>
  <c r="J27" i="28" s="1"/>
  <c r="K27" i="28" s="1"/>
  <c r="L27" i="28" s="1"/>
  <c r="E12" i="28"/>
  <c r="F12" i="28" s="1"/>
  <c r="G12" i="28" s="1"/>
  <c r="H12" i="28" s="1"/>
  <c r="I12" i="28" s="1"/>
  <c r="J12" i="28" s="1"/>
  <c r="K12" i="28" s="1"/>
  <c r="L12" i="28" s="1"/>
  <c r="E22" i="28"/>
  <c r="F22" i="28" s="1"/>
  <c r="G22" i="28" s="1"/>
  <c r="H22" i="28" s="1"/>
  <c r="I22" i="28" s="1"/>
  <c r="J22" i="28" s="1"/>
  <c r="K22" i="28" s="1"/>
  <c r="L22" i="28" s="1"/>
  <c r="H10" i="11"/>
  <c r="E7" i="28"/>
  <c r="F7" i="28" s="1"/>
  <c r="G7" i="28" s="1"/>
  <c r="H7" i="28" s="1"/>
  <c r="I7" i="28" s="1"/>
  <c r="J7" i="28" s="1"/>
  <c r="K7" i="28" s="1"/>
  <c r="L7" i="28" s="1"/>
  <c r="U8" i="11" s="1"/>
  <c r="E17" i="28"/>
  <c r="F17" i="28" s="1"/>
  <c r="G17" i="28" s="1"/>
  <c r="H17" i="28" s="1"/>
  <c r="I17" i="28" s="1"/>
  <c r="J17" i="28" s="1"/>
  <c r="K17" i="28" s="1"/>
  <c r="L17" i="28" s="1"/>
  <c r="F459" i="11"/>
  <c r="F458" i="11"/>
  <c r="B1" i="26"/>
  <c r="A1305" i="14"/>
  <c r="AI21" i="26"/>
  <c r="AI20" i="26"/>
  <c r="U31" i="35"/>
  <c r="T31" i="35"/>
  <c r="S31" i="35"/>
  <c r="R31" i="35"/>
  <c r="Q31" i="35"/>
  <c r="D31" i="35"/>
  <c r="P31" i="35" s="1"/>
  <c r="G48" i="11"/>
  <c r="H65" i="11"/>
  <c r="G65" i="11"/>
  <c r="AT22" i="26"/>
  <c r="AT21" i="26"/>
  <c r="AT20" i="26"/>
  <c r="AT19" i="26"/>
  <c r="AT18" i="26"/>
  <c r="AT17" i="26"/>
  <c r="AT16" i="26"/>
  <c r="AT15" i="26"/>
  <c r="AT14" i="26"/>
  <c r="AT13" i="26"/>
  <c r="AT12" i="26"/>
  <c r="AT11" i="26"/>
  <c r="AT10" i="26"/>
  <c r="AT9" i="26"/>
  <c r="AT8" i="26"/>
  <c r="AT7" i="26"/>
  <c r="AT6" i="26"/>
  <c r="AT5" i="26"/>
  <c r="W31" i="35" l="1"/>
  <c r="I25" i="37"/>
  <c r="H31" i="35"/>
  <c r="X31" i="35"/>
  <c r="I31" i="35"/>
  <c r="K31" i="35"/>
  <c r="AA31" i="35"/>
  <c r="Y31" i="35"/>
  <c r="I12" i="37"/>
  <c r="J31" i="35"/>
  <c r="L31" i="35"/>
  <c r="AB31" i="35"/>
  <c r="N8" i="11"/>
  <c r="I16" i="37"/>
  <c r="M31" i="35"/>
  <c r="AC31" i="35"/>
  <c r="O8" i="11"/>
  <c r="I15" i="37"/>
  <c r="S8" i="11"/>
  <c r="I21" i="37"/>
  <c r="V31" i="35"/>
  <c r="N31" i="35"/>
  <c r="AD31" i="35"/>
  <c r="P8" i="11"/>
  <c r="O31" i="35"/>
  <c r="Q8" i="11"/>
  <c r="T8" i="11"/>
  <c r="Z31" i="35"/>
  <c r="R8" i="11"/>
  <c r="I11" i="37"/>
  <c r="I29" i="37"/>
  <c r="I17" i="37"/>
  <c r="I27" i="37"/>
  <c r="I6" i="37"/>
  <c r="I9" i="37"/>
  <c r="G265" i="11"/>
  <c r="H25" i="11"/>
  <c r="G25" i="11"/>
  <c r="F82" i="14"/>
  <c r="E1296" i="14"/>
  <c r="E1299" i="14"/>
  <c r="G463" i="11"/>
  <c r="G462" i="11"/>
  <c r="BY1290" i="14" s="1"/>
  <c r="G461" i="11"/>
  <c r="G460" i="11"/>
  <c r="G499" i="11"/>
  <c r="H1232" i="14"/>
  <c r="B49" i="25"/>
  <c r="H16" i="11"/>
  <c r="H272" i="11"/>
  <c r="H269" i="11"/>
  <c r="H22" i="11"/>
  <c r="D40" i="20"/>
  <c r="H273" i="11"/>
  <c r="H270" i="11"/>
  <c r="H276" i="11"/>
  <c r="G514" i="11"/>
  <c r="G515" i="11" s="1"/>
  <c r="G516" i="11" s="1"/>
  <c r="AT1290" i="14" l="1"/>
  <c r="AI1290" i="14"/>
  <c r="AU1290" i="14"/>
  <c r="N1290" i="14"/>
  <c r="P1290" i="14"/>
  <c r="BJ1290" i="14"/>
  <c r="Q1290" i="14"/>
  <c r="BK1290" i="14"/>
  <c r="R1290" i="14"/>
  <c r="BL1290" i="14"/>
  <c r="AV1290" i="14"/>
  <c r="AW1290" i="14"/>
  <c r="AX1290" i="14"/>
  <c r="S1290" i="14"/>
  <c r="BM1290" i="14"/>
  <c r="BN1290" i="14"/>
  <c r="AE1290" i="14"/>
  <c r="BO1290" i="14"/>
  <c r="AG1290" i="14"/>
  <c r="O1290" i="14"/>
  <c r="AY1290" i="14"/>
  <c r="AD1290" i="14"/>
  <c r="AF1290" i="14"/>
  <c r="AH1290" i="14"/>
  <c r="U1290" i="14"/>
  <c r="AK1290" i="14"/>
  <c r="BA1290" i="14"/>
  <c r="BQ1290" i="14"/>
  <c r="W1290" i="14"/>
  <c r="AM1290" i="14"/>
  <c r="BC1290" i="14"/>
  <c r="BS1290" i="14"/>
  <c r="AJ1290" i="14"/>
  <c r="AZ1290" i="14"/>
  <c r="V1290" i="14"/>
  <c r="BB1290" i="14"/>
  <c r="X1290" i="14"/>
  <c r="AN1290" i="14"/>
  <c r="Y1290" i="14"/>
  <c r="BU1290" i="14"/>
  <c r="J1290" i="14"/>
  <c r="BV1290" i="14"/>
  <c r="K1290" i="14"/>
  <c r="AA1290" i="14"/>
  <c r="AQ1290" i="14"/>
  <c r="BG1290" i="14"/>
  <c r="BW1290" i="14"/>
  <c r="T1290" i="14"/>
  <c r="BP1290" i="14"/>
  <c r="AL1290" i="14"/>
  <c r="H1290" i="14"/>
  <c r="BD1290" i="14"/>
  <c r="I1290" i="14"/>
  <c r="BE1290" i="14"/>
  <c r="Z1290" i="14"/>
  <c r="BF1290" i="14"/>
  <c r="L1290" i="14"/>
  <c r="AB1290" i="14"/>
  <c r="AR1290" i="14"/>
  <c r="BH1290" i="14"/>
  <c r="BX1290" i="14"/>
  <c r="BR1290" i="14"/>
  <c r="BT1290" i="14"/>
  <c r="AO1290" i="14"/>
  <c r="AP1290" i="14"/>
  <c r="M1290" i="14"/>
  <c r="AC1290" i="14"/>
  <c r="AS1290" i="14"/>
  <c r="BI1290" i="14"/>
  <c r="Q12" i="26"/>
  <c r="Q11" i="26"/>
  <c r="Q10" i="26"/>
  <c r="Q9" i="26"/>
  <c r="Q8" i="26"/>
  <c r="G26" i="11" s="1"/>
  <c r="Q20" i="26"/>
  <c r="H26" i="11" s="1"/>
  <c r="Q19" i="26"/>
  <c r="Q16" i="26"/>
  <c r="Q15" i="26"/>
  <c r="Q14" i="26"/>
  <c r="Q13" i="26"/>
  <c r="Q6" i="26"/>
  <c r="Q5" i="26"/>
  <c r="C45" i="34" l="1"/>
  <c r="C31" i="20"/>
  <c r="C27" i="20"/>
  <c r="C29" i="20"/>
  <c r="C25" i="20"/>
  <c r="B32" i="20"/>
  <c r="B31" i="20"/>
  <c r="B30" i="20"/>
  <c r="B29" i="20"/>
  <c r="B28" i="20"/>
  <c r="B27" i="20"/>
  <c r="B26" i="20"/>
  <c r="B25" i="20"/>
  <c r="E1329" i="14"/>
  <c r="E1322" i="14"/>
  <c r="C1317" i="14"/>
  <c r="C1316" i="14"/>
  <c r="C1315" i="14"/>
  <c r="C1314" i="14"/>
  <c r="C1313" i="14"/>
  <c r="C1312" i="14"/>
  <c r="C1311" i="14"/>
  <c r="C1310" i="14"/>
  <c r="H1214" i="14"/>
  <c r="H1197" i="14"/>
  <c r="C1322" i="14" l="1"/>
  <c r="C1323" i="14"/>
  <c r="C1324" i="14"/>
  <c r="C1325" i="14"/>
  <c r="C1326" i="14"/>
  <c r="C1327" i="14"/>
  <c r="C1328" i="14"/>
  <c r="C1329" i="14"/>
  <c r="E86" i="33"/>
  <c r="BH137" i="35"/>
  <c r="BG137" i="35"/>
  <c r="BF137" i="35"/>
  <c r="BE137" i="35"/>
  <c r="BD137" i="35"/>
  <c r="BC137" i="35"/>
  <c r="BB137" i="35"/>
  <c r="BA137" i="35"/>
  <c r="AZ137" i="35"/>
  <c r="AY137" i="35"/>
  <c r="AX137" i="35"/>
  <c r="AW137" i="35"/>
  <c r="AV137" i="35"/>
  <c r="AU137" i="35"/>
  <c r="AT137" i="35"/>
  <c r="AS137" i="35"/>
  <c r="AR137" i="35"/>
  <c r="AQ137" i="35"/>
  <c r="AP137" i="35"/>
  <c r="AO137" i="35"/>
  <c r="AN137" i="35"/>
  <c r="AM137" i="35"/>
  <c r="AL137" i="35"/>
  <c r="AL12" i="35"/>
  <c r="AM12" i="35"/>
  <c r="AN12" i="35"/>
  <c r="AO12" i="35"/>
  <c r="AO22" i="35" s="1"/>
  <c r="AO25" i="35" s="1"/>
  <c r="AP12" i="35"/>
  <c r="AQ12" i="35"/>
  <c r="AR12" i="35"/>
  <c r="AS12" i="35"/>
  <c r="AT12" i="35"/>
  <c r="AU12" i="35"/>
  <c r="AV12" i="35"/>
  <c r="AW12" i="35"/>
  <c r="AX12" i="35"/>
  <c r="AY12" i="35"/>
  <c r="AZ12" i="35"/>
  <c r="BA12" i="35"/>
  <c r="BB12" i="35"/>
  <c r="BC12" i="35"/>
  <c r="BD12" i="35"/>
  <c r="BE12" i="35"/>
  <c r="BF12" i="35"/>
  <c r="BG12" i="35"/>
  <c r="BH12" i="35"/>
  <c r="AL13" i="35"/>
  <c r="AL15" i="35" s="1"/>
  <c r="AM13" i="35"/>
  <c r="AM15" i="35" s="1"/>
  <c r="AN13" i="35"/>
  <c r="AN15" i="35" s="1"/>
  <c r="AO13" i="35"/>
  <c r="AO15" i="35" s="1"/>
  <c r="AP13" i="35"/>
  <c r="AP15" i="35" s="1"/>
  <c r="AQ13" i="35"/>
  <c r="AQ15" i="35" s="1"/>
  <c r="AR13" i="35"/>
  <c r="AR15" i="35" s="1"/>
  <c r="AS13" i="35"/>
  <c r="AS15" i="35" s="1"/>
  <c r="AT13" i="35"/>
  <c r="AU13" i="35"/>
  <c r="AV13" i="35"/>
  <c r="AV15" i="35" s="1"/>
  <c r="AW13" i="35"/>
  <c r="AW15" i="35" s="1"/>
  <c r="AX13" i="35"/>
  <c r="AX15" i="35" s="1"/>
  <c r="AY13" i="35"/>
  <c r="AY15" i="35" s="1"/>
  <c r="AZ13" i="35"/>
  <c r="AZ15" i="35" s="1"/>
  <c r="BA13" i="35"/>
  <c r="BA15" i="35" s="1"/>
  <c r="BB13" i="35"/>
  <c r="BB15" i="35" s="1"/>
  <c r="BC13" i="35"/>
  <c r="BC15" i="35" s="1"/>
  <c r="BD13" i="35"/>
  <c r="BD15" i="35" s="1"/>
  <c r="BE13" i="35"/>
  <c r="BE15" i="35" s="1"/>
  <c r="BF13" i="35"/>
  <c r="BF15" i="35" s="1"/>
  <c r="BG13" i="35"/>
  <c r="BG15" i="35" s="1"/>
  <c r="BH13" i="35"/>
  <c r="BH15" i="35" s="1"/>
  <c r="AU15" i="35"/>
  <c r="AL19" i="35"/>
  <c r="AL22" i="35" s="1"/>
  <c r="AL25" i="35" s="1"/>
  <c r="AM19" i="35"/>
  <c r="AM21" i="35" s="1"/>
  <c r="AM24" i="35" s="1"/>
  <c r="AN19" i="35"/>
  <c r="AO19" i="35"/>
  <c r="AO20" i="35" s="1"/>
  <c r="AP19" i="35"/>
  <c r="AQ19" i="35"/>
  <c r="AQ21" i="35" s="1"/>
  <c r="AQ24" i="35" s="1"/>
  <c r="AR19" i="35"/>
  <c r="AR21" i="35" s="1"/>
  <c r="AR24" i="35" s="1"/>
  <c r="AS19" i="35"/>
  <c r="AS21" i="35" s="1"/>
  <c r="AS24" i="35" s="1"/>
  <c r="AT19" i="35"/>
  <c r="AT20" i="35" s="1"/>
  <c r="AU19" i="35"/>
  <c r="AU21" i="35" s="1"/>
  <c r="AU24" i="35" s="1"/>
  <c r="AV19" i="35"/>
  <c r="AW19" i="35"/>
  <c r="AX19" i="35"/>
  <c r="AX20" i="35" s="1"/>
  <c r="AY19" i="35"/>
  <c r="AY20" i="35" s="1"/>
  <c r="AZ19" i="35"/>
  <c r="BA19" i="35"/>
  <c r="BA20" i="35" s="1"/>
  <c r="BB19" i="35"/>
  <c r="BB22" i="35" s="1"/>
  <c r="BB25" i="35" s="1"/>
  <c r="BC19" i="35"/>
  <c r="BC22" i="35" s="1"/>
  <c r="BC25" i="35" s="1"/>
  <c r="BD19" i="35"/>
  <c r="BE19" i="35"/>
  <c r="BE20" i="35" s="1"/>
  <c r="BF19" i="35"/>
  <c r="BG19" i="35"/>
  <c r="BG21" i="35" s="1"/>
  <c r="BG24" i="35" s="1"/>
  <c r="BH19" i="35"/>
  <c r="BH21" i="35" s="1"/>
  <c r="BH24" i="35" s="1"/>
  <c r="AU20" i="35"/>
  <c r="AV20" i="35"/>
  <c r="AU22" i="35"/>
  <c r="AU25" i="35" s="1"/>
  <c r="AJ23" i="35"/>
  <c r="AH26" i="35"/>
  <c r="AQ26" i="35" s="1"/>
  <c r="AX26" i="35"/>
  <c r="BB26" i="35"/>
  <c r="BB29" i="35" s="1"/>
  <c r="BB33" i="35" s="1"/>
  <c r="AH31" i="35"/>
  <c r="AJ31" i="35"/>
  <c r="AL34" i="35"/>
  <c r="AL35" i="35" s="1"/>
  <c r="AM34" i="35"/>
  <c r="AM35" i="35" s="1"/>
  <c r="AN34" i="35"/>
  <c r="AO34" i="35"/>
  <c r="AO35" i="35" s="1"/>
  <c r="AP34" i="35"/>
  <c r="AQ34" i="35"/>
  <c r="AQ35" i="35" s="1"/>
  <c r="AR34" i="35"/>
  <c r="AR35" i="35" s="1"/>
  <c r="AS34" i="35"/>
  <c r="AS36" i="35" s="1"/>
  <c r="AT34" i="35"/>
  <c r="AT36" i="35" s="1"/>
  <c r="AU34" i="35"/>
  <c r="AV34" i="35"/>
  <c r="AW34" i="35"/>
  <c r="AW35" i="35" s="1"/>
  <c r="AX34" i="35"/>
  <c r="AX35" i="35" s="1"/>
  <c r="AY34" i="35"/>
  <c r="AY35" i="35" s="1"/>
  <c r="AZ34" i="35"/>
  <c r="AZ35" i="35" s="1"/>
  <c r="BA34" i="35"/>
  <c r="BA35" i="35" s="1"/>
  <c r="BB34" i="35"/>
  <c r="BB35" i="35" s="1"/>
  <c r="BC34" i="35"/>
  <c r="BC35" i="35" s="1"/>
  <c r="BD34" i="35"/>
  <c r="BD35" i="35" s="1"/>
  <c r="BE34" i="35"/>
  <c r="BE35" i="35" s="1"/>
  <c r="BF34" i="35"/>
  <c r="BG34" i="35"/>
  <c r="BG35" i="35" s="1"/>
  <c r="BH34" i="35"/>
  <c r="BH35" i="35" s="1"/>
  <c r="AN35" i="35"/>
  <c r="AH37" i="35"/>
  <c r="AJ37" i="35"/>
  <c r="AH38" i="35"/>
  <c r="AR38" i="35" s="1"/>
  <c r="AH41" i="35"/>
  <c r="AJ41" i="35"/>
  <c r="AH42" i="35"/>
  <c r="AH47" i="35"/>
  <c r="AJ47" i="35"/>
  <c r="AH51" i="35"/>
  <c r="AL51" i="35" s="1"/>
  <c r="AH52" i="35"/>
  <c r="AH53" i="35"/>
  <c r="AL54" i="35"/>
  <c r="AM54" i="35"/>
  <c r="AN54" i="35"/>
  <c r="AO54" i="35"/>
  <c r="AP54" i="35"/>
  <c r="AQ54" i="35"/>
  <c r="AR54" i="35"/>
  <c r="AS54" i="35"/>
  <c r="AT54" i="35"/>
  <c r="AU54" i="35"/>
  <c r="AV54" i="35"/>
  <c r="AW54" i="35"/>
  <c r="AX54" i="35"/>
  <c r="AY54" i="35"/>
  <c r="AZ54" i="35"/>
  <c r="BA54" i="35"/>
  <c r="BB54" i="35"/>
  <c r="BC54" i="35"/>
  <c r="BD54" i="35"/>
  <c r="BE54" i="35"/>
  <c r="BF54" i="35"/>
  <c r="BG54" i="35"/>
  <c r="BH54" i="35"/>
  <c r="AL133" i="35"/>
  <c r="AM133" i="35"/>
  <c r="AN133" i="35"/>
  <c r="AO133" i="35"/>
  <c r="AP133" i="35"/>
  <c r="AQ133" i="35"/>
  <c r="AR133" i="35"/>
  <c r="AS133" i="35"/>
  <c r="AT133" i="35"/>
  <c r="AU133" i="35"/>
  <c r="AV133" i="35"/>
  <c r="AW133" i="35"/>
  <c r="AX133" i="35"/>
  <c r="AY133" i="35"/>
  <c r="AZ133" i="35"/>
  <c r="BA133" i="35"/>
  <c r="BB133" i="35"/>
  <c r="BC133" i="35"/>
  <c r="BD133" i="35"/>
  <c r="BE133" i="35"/>
  <c r="BF133" i="35"/>
  <c r="BG133" i="35"/>
  <c r="BH133" i="35"/>
  <c r="AD133" i="35"/>
  <c r="AC133" i="35"/>
  <c r="AB133" i="35"/>
  <c r="AA133" i="35"/>
  <c r="Z133" i="35"/>
  <c r="Y133" i="35"/>
  <c r="X133" i="35"/>
  <c r="W133" i="35"/>
  <c r="V133" i="35"/>
  <c r="U133" i="35"/>
  <c r="T133" i="35"/>
  <c r="S133" i="35"/>
  <c r="R133" i="35"/>
  <c r="Q133" i="35"/>
  <c r="P133" i="35"/>
  <c r="O133" i="35"/>
  <c r="N133" i="35"/>
  <c r="M133" i="35"/>
  <c r="L133" i="35"/>
  <c r="K133" i="35"/>
  <c r="J133" i="35"/>
  <c r="I133" i="35"/>
  <c r="H133" i="35"/>
  <c r="C16" i="34"/>
  <c r="AW22" i="26" a="1"/>
  <c r="AW22" i="26" s="1"/>
  <c r="AX21" i="26" a="1"/>
  <c r="AX21" i="26" s="1"/>
  <c r="AX20" i="26" a="1"/>
  <c r="AX20" i="26" s="1"/>
  <c r="AX19" i="26" a="1"/>
  <c r="AX19" i="26" s="1"/>
  <c r="AX18" i="26" a="1"/>
  <c r="AX18" i="26" s="1"/>
  <c r="AX17" i="26" a="1"/>
  <c r="AX17" i="26" s="1"/>
  <c r="AX15" i="26" a="1"/>
  <c r="AX15" i="26" s="1"/>
  <c r="AX14" i="26" a="1"/>
  <c r="AX14" i="26" s="1"/>
  <c r="AX13" i="26" a="1"/>
  <c r="AX13" i="26" s="1"/>
  <c r="AX12" i="26" a="1"/>
  <c r="AX12" i="26" s="1"/>
  <c r="AX11" i="26" a="1"/>
  <c r="AX11" i="26" s="1"/>
  <c r="AX10" i="26" a="1"/>
  <c r="AX10" i="26" s="1"/>
  <c r="AX9" i="26" a="1"/>
  <c r="AX9" i="26" s="1"/>
  <c r="AW8" i="26" a="1"/>
  <c r="AW8" i="26" s="1"/>
  <c r="AW7" i="26" a="1"/>
  <c r="AW7" i="26" s="1"/>
  <c r="AW6" i="26" a="1"/>
  <c r="AW6" i="26" s="1"/>
  <c r="AX5" i="26" a="1"/>
  <c r="AX5" i="26" s="1"/>
  <c r="AS22" i="26"/>
  <c r="AV22" i="26" s="1" a="1"/>
  <c r="AV22" i="26" s="1"/>
  <c r="AS21" i="26"/>
  <c r="AV21" i="26" s="1" a="1"/>
  <c r="AV21" i="26" s="1"/>
  <c r="AS20" i="26"/>
  <c r="AV20" i="26" s="1" a="1"/>
  <c r="AV20" i="26" s="1"/>
  <c r="AS19" i="26"/>
  <c r="AV19" i="26" s="1" a="1"/>
  <c r="AV19" i="26" s="1"/>
  <c r="AS18" i="26"/>
  <c r="AV18" i="26" s="1" a="1"/>
  <c r="AV18" i="26" s="1"/>
  <c r="AS17" i="26"/>
  <c r="AV17" i="26" s="1" a="1"/>
  <c r="AV17" i="26" s="1"/>
  <c r="AS16" i="26"/>
  <c r="AS15" i="26"/>
  <c r="AV15" i="26" s="1" a="1"/>
  <c r="AV15" i="26" s="1"/>
  <c r="AS14" i="26"/>
  <c r="AV14" i="26" s="1" a="1"/>
  <c r="AV14" i="26" s="1"/>
  <c r="AS13" i="26"/>
  <c r="AV13" i="26" s="1" a="1"/>
  <c r="AV13" i="26" s="1"/>
  <c r="AS12" i="26"/>
  <c r="AU12" i="26" s="1" a="1"/>
  <c r="AU12" i="26" s="1"/>
  <c r="AS11" i="26"/>
  <c r="AU11" i="26" s="1" a="1"/>
  <c r="AU11" i="26" s="1"/>
  <c r="AS10" i="26"/>
  <c r="AV10" i="26" s="1" a="1"/>
  <c r="AV10" i="26" s="1"/>
  <c r="AS9" i="26"/>
  <c r="AV9" i="26" s="1" a="1"/>
  <c r="AV9" i="26" s="1"/>
  <c r="AS8" i="26"/>
  <c r="AV8" i="26" s="1" a="1"/>
  <c r="AV8" i="26" s="1"/>
  <c r="AS7" i="26"/>
  <c r="AV7" i="26" s="1" a="1"/>
  <c r="AV7" i="26" s="1"/>
  <c r="AS6" i="26"/>
  <c r="AV6" i="26" s="1" a="1"/>
  <c r="AV6" i="26" s="1"/>
  <c r="AS5" i="26"/>
  <c r="X523" i="44" a="1"/>
  <c r="X523" i="44" s="1"/>
  <c r="U522" i="44" a="1"/>
  <c r="U522" i="44" s="1"/>
  <c r="T522" i="44" a="1"/>
  <c r="T522" i="44" s="1"/>
  <c r="S522" i="44" a="1"/>
  <c r="S522" i="44" s="1"/>
  <c r="R522" i="44" a="1"/>
  <c r="R522" i="44" s="1"/>
  <c r="N522" i="44" a="1"/>
  <c r="N522" i="44" s="1"/>
  <c r="M522" i="44" a="1"/>
  <c r="M522" i="44" s="1"/>
  <c r="L522" i="44" a="1"/>
  <c r="L522" i="44" s="1"/>
  <c r="K522" i="44" a="1"/>
  <c r="K522" i="44" s="1"/>
  <c r="J522" i="44" a="1"/>
  <c r="J522" i="44" s="1"/>
  <c r="I522" i="44" a="1"/>
  <c r="I522" i="44" s="1"/>
  <c r="D521" i="44"/>
  <c r="D520" i="44"/>
  <c r="C506" i="44"/>
  <c r="W522" i="44" s="1" a="1"/>
  <c r="W522" i="44" s="1"/>
  <c r="D505" i="44"/>
  <c r="AH501" i="44"/>
  <c r="AI501" i="44" s="1"/>
  <c r="AJ501" i="44" s="1"/>
  <c r="AK501" i="44" s="1"/>
  <c r="AL501" i="44" s="1"/>
  <c r="AM501" i="44" s="1"/>
  <c r="AN501" i="44" s="1"/>
  <c r="AO501" i="44" s="1"/>
  <c r="AP501" i="44" s="1"/>
  <c r="AQ501" i="44" s="1"/>
  <c r="AR501" i="44" s="1"/>
  <c r="AS501" i="44" s="1"/>
  <c r="AT501" i="44" s="1"/>
  <c r="AU501" i="44" s="1"/>
  <c r="AV501" i="44" s="1"/>
  <c r="AW501" i="44" s="1"/>
  <c r="AX501" i="44" s="1"/>
  <c r="AY501" i="44" s="1"/>
  <c r="AZ501" i="44" s="1"/>
  <c r="BA501" i="44" s="1"/>
  <c r="BB501" i="44" s="1"/>
  <c r="BC501" i="44" s="1"/>
  <c r="BD501" i="44" s="1"/>
  <c r="BE501" i="44" s="1"/>
  <c r="BF501" i="44" s="1"/>
  <c r="BG501" i="44" s="1"/>
  <c r="BH501" i="44" s="1"/>
  <c r="BI501" i="44" s="1"/>
  <c r="BJ501" i="44" s="1"/>
  <c r="BK501" i="44" s="1"/>
  <c r="BL501" i="44" s="1"/>
  <c r="BM501" i="44" s="1"/>
  <c r="BN501" i="44" s="1"/>
  <c r="BO501" i="44" s="1"/>
  <c r="BP501" i="44" s="1"/>
  <c r="BQ501" i="44" s="1"/>
  <c r="BR501" i="44" s="1"/>
  <c r="BS501" i="44" s="1"/>
  <c r="BT501" i="44" s="1"/>
  <c r="BU501" i="44" s="1"/>
  <c r="BV501" i="44" s="1"/>
  <c r="BW501" i="44" s="1"/>
  <c r="BX501" i="44" s="1"/>
  <c r="BY501" i="44" s="1"/>
  <c r="BZ501" i="44" s="1"/>
  <c r="CA501" i="44" s="1"/>
  <c r="CB501" i="44" s="1"/>
  <c r="CC501" i="44" s="1"/>
  <c r="CD501" i="44" s="1"/>
  <c r="CE501" i="44" s="1"/>
  <c r="AH500" i="44"/>
  <c r="AI500" i="44" s="1"/>
  <c r="AJ500" i="44" s="1"/>
  <c r="AK500" i="44" s="1"/>
  <c r="AL500" i="44" s="1"/>
  <c r="AM500" i="44" s="1"/>
  <c r="AN500" i="44" s="1"/>
  <c r="AO500" i="44" s="1"/>
  <c r="AP500" i="44" s="1"/>
  <c r="AQ500" i="44" s="1"/>
  <c r="AR500" i="44" s="1"/>
  <c r="AS500" i="44" s="1"/>
  <c r="AT500" i="44" s="1"/>
  <c r="AU500" i="44" s="1"/>
  <c r="AV500" i="44" s="1"/>
  <c r="AW500" i="44" s="1"/>
  <c r="AX500" i="44" s="1"/>
  <c r="AY500" i="44" s="1"/>
  <c r="AZ500" i="44" s="1"/>
  <c r="BA500" i="44" s="1"/>
  <c r="BB500" i="44" s="1"/>
  <c r="BC500" i="44" s="1"/>
  <c r="BD500" i="44" s="1"/>
  <c r="BE500" i="44" s="1"/>
  <c r="BF500" i="44" s="1"/>
  <c r="BG500" i="44" s="1"/>
  <c r="BH500" i="44" s="1"/>
  <c r="BI500" i="44" s="1"/>
  <c r="BJ500" i="44" s="1"/>
  <c r="BK500" i="44" s="1"/>
  <c r="BL500" i="44" s="1"/>
  <c r="BM500" i="44" s="1"/>
  <c r="BN500" i="44" s="1"/>
  <c r="BO500" i="44" s="1"/>
  <c r="BP500" i="44" s="1"/>
  <c r="BQ500" i="44" s="1"/>
  <c r="BR500" i="44" s="1"/>
  <c r="BS500" i="44" s="1"/>
  <c r="BT500" i="44" s="1"/>
  <c r="BU500" i="44" s="1"/>
  <c r="BV500" i="44" s="1"/>
  <c r="BW500" i="44" s="1"/>
  <c r="BX500" i="44" s="1"/>
  <c r="BY500" i="44" s="1"/>
  <c r="BZ500" i="44" s="1"/>
  <c r="CA500" i="44" s="1"/>
  <c r="CB500" i="44" s="1"/>
  <c r="CC500" i="44" s="1"/>
  <c r="CD500" i="44" s="1"/>
  <c r="CE500" i="44" s="1"/>
  <c r="AH499" i="44"/>
  <c r="AI499" i="44" s="1"/>
  <c r="AJ499" i="44" s="1"/>
  <c r="AK499" i="44" s="1"/>
  <c r="AL499" i="44" s="1"/>
  <c r="AM499" i="44" s="1"/>
  <c r="AN499" i="44" s="1"/>
  <c r="AO499" i="44" s="1"/>
  <c r="AP499" i="44" s="1"/>
  <c r="AQ499" i="44" s="1"/>
  <c r="AR499" i="44" s="1"/>
  <c r="AS499" i="44" s="1"/>
  <c r="AT499" i="44" s="1"/>
  <c r="AU499" i="44" s="1"/>
  <c r="AV499" i="44" s="1"/>
  <c r="AW499" i="44" s="1"/>
  <c r="AX499" i="44" s="1"/>
  <c r="AY499" i="44" s="1"/>
  <c r="AZ499" i="44" s="1"/>
  <c r="BA499" i="44" s="1"/>
  <c r="BB499" i="44" s="1"/>
  <c r="BC499" i="44" s="1"/>
  <c r="BD499" i="44" s="1"/>
  <c r="BE499" i="44" s="1"/>
  <c r="BF499" i="44" s="1"/>
  <c r="BG499" i="44" s="1"/>
  <c r="BH499" i="44" s="1"/>
  <c r="BI499" i="44" s="1"/>
  <c r="BJ499" i="44" s="1"/>
  <c r="BK499" i="44" s="1"/>
  <c r="BL499" i="44" s="1"/>
  <c r="BM499" i="44" s="1"/>
  <c r="BN499" i="44" s="1"/>
  <c r="BO499" i="44" s="1"/>
  <c r="BP499" i="44" s="1"/>
  <c r="BQ499" i="44" s="1"/>
  <c r="BR499" i="44" s="1"/>
  <c r="BS499" i="44" s="1"/>
  <c r="BT499" i="44" s="1"/>
  <c r="BU499" i="44" s="1"/>
  <c r="BV499" i="44" s="1"/>
  <c r="BW499" i="44" s="1"/>
  <c r="BX499" i="44" s="1"/>
  <c r="BY499" i="44" s="1"/>
  <c r="BZ499" i="44" s="1"/>
  <c r="CA499" i="44" s="1"/>
  <c r="CB499" i="44" s="1"/>
  <c r="CC499" i="44" s="1"/>
  <c r="CD499" i="44" s="1"/>
  <c r="CE499" i="44" s="1"/>
  <c r="AH498" i="44"/>
  <c r="AI498" i="44" s="1"/>
  <c r="AJ498" i="44" s="1"/>
  <c r="AK498" i="44" s="1"/>
  <c r="AL498" i="44" s="1"/>
  <c r="AM498" i="44" s="1"/>
  <c r="AN498" i="44" s="1"/>
  <c r="AO498" i="44" s="1"/>
  <c r="AP498" i="44" s="1"/>
  <c r="AQ498" i="44" s="1"/>
  <c r="AR498" i="44" s="1"/>
  <c r="AS498" i="44" s="1"/>
  <c r="AT498" i="44" s="1"/>
  <c r="AU498" i="44" s="1"/>
  <c r="AV498" i="44" s="1"/>
  <c r="AW498" i="44" s="1"/>
  <c r="AX498" i="44" s="1"/>
  <c r="AY498" i="44" s="1"/>
  <c r="AZ498" i="44" s="1"/>
  <c r="BA498" i="44" s="1"/>
  <c r="BB498" i="44" s="1"/>
  <c r="BC498" i="44" s="1"/>
  <c r="BD498" i="44" s="1"/>
  <c r="BE498" i="44" s="1"/>
  <c r="BF498" i="44" s="1"/>
  <c r="BG498" i="44" s="1"/>
  <c r="BH498" i="44" s="1"/>
  <c r="BI498" i="44" s="1"/>
  <c r="BJ498" i="44" s="1"/>
  <c r="BK498" i="44" s="1"/>
  <c r="BL498" i="44" s="1"/>
  <c r="BM498" i="44" s="1"/>
  <c r="BN498" i="44" s="1"/>
  <c r="BO498" i="44" s="1"/>
  <c r="BP498" i="44" s="1"/>
  <c r="BQ498" i="44" s="1"/>
  <c r="BR498" i="44" s="1"/>
  <c r="BS498" i="44" s="1"/>
  <c r="BT498" i="44" s="1"/>
  <c r="BU498" i="44" s="1"/>
  <c r="BV498" i="44" s="1"/>
  <c r="BW498" i="44" s="1"/>
  <c r="BX498" i="44" s="1"/>
  <c r="BY498" i="44" s="1"/>
  <c r="BZ498" i="44" s="1"/>
  <c r="CA498" i="44" s="1"/>
  <c r="CB498" i="44" s="1"/>
  <c r="CC498" i="44" s="1"/>
  <c r="CD498" i="44" s="1"/>
  <c r="CE498" i="44" s="1"/>
  <c r="AH497" i="44"/>
  <c r="AI497" i="44" s="1"/>
  <c r="AJ497" i="44" s="1"/>
  <c r="AK497" i="44" s="1"/>
  <c r="AL497" i="44" s="1"/>
  <c r="AM497" i="44" s="1"/>
  <c r="AN497" i="44" s="1"/>
  <c r="AO497" i="44" s="1"/>
  <c r="AP497" i="44" s="1"/>
  <c r="AQ497" i="44" s="1"/>
  <c r="AR497" i="44" s="1"/>
  <c r="AS497" i="44" s="1"/>
  <c r="AT497" i="44" s="1"/>
  <c r="AU497" i="44" s="1"/>
  <c r="AV497" i="44" s="1"/>
  <c r="AW497" i="44" s="1"/>
  <c r="AX497" i="44" s="1"/>
  <c r="AY497" i="44" s="1"/>
  <c r="AZ497" i="44" s="1"/>
  <c r="BA497" i="44" s="1"/>
  <c r="BB497" i="44" s="1"/>
  <c r="BC497" i="44" s="1"/>
  <c r="BD497" i="44" s="1"/>
  <c r="BE497" i="44" s="1"/>
  <c r="BF497" i="44" s="1"/>
  <c r="BG497" i="44" s="1"/>
  <c r="BH497" i="44" s="1"/>
  <c r="BI497" i="44" s="1"/>
  <c r="BJ497" i="44" s="1"/>
  <c r="BK497" i="44" s="1"/>
  <c r="BL497" i="44" s="1"/>
  <c r="BM497" i="44" s="1"/>
  <c r="BN497" i="44" s="1"/>
  <c r="BO497" i="44" s="1"/>
  <c r="BP497" i="44" s="1"/>
  <c r="BQ497" i="44" s="1"/>
  <c r="BR497" i="44" s="1"/>
  <c r="BS497" i="44" s="1"/>
  <c r="BT497" i="44" s="1"/>
  <c r="BU497" i="44" s="1"/>
  <c r="BV497" i="44" s="1"/>
  <c r="BW497" i="44" s="1"/>
  <c r="BX497" i="44" s="1"/>
  <c r="BY497" i="44" s="1"/>
  <c r="BZ497" i="44" s="1"/>
  <c r="CA497" i="44" s="1"/>
  <c r="CB497" i="44" s="1"/>
  <c r="CC497" i="44" s="1"/>
  <c r="CD497" i="44" s="1"/>
  <c r="CE497" i="44" s="1"/>
  <c r="AH496" i="44"/>
  <c r="AI496" i="44" s="1"/>
  <c r="AJ496" i="44" s="1"/>
  <c r="AK496" i="44" s="1"/>
  <c r="AL496" i="44" s="1"/>
  <c r="AM496" i="44" s="1"/>
  <c r="AN496" i="44" s="1"/>
  <c r="AO496" i="44" s="1"/>
  <c r="AP496" i="44" s="1"/>
  <c r="AQ496" i="44" s="1"/>
  <c r="AR496" i="44" s="1"/>
  <c r="AS496" i="44" s="1"/>
  <c r="AT496" i="44" s="1"/>
  <c r="AU496" i="44" s="1"/>
  <c r="AV496" i="44" s="1"/>
  <c r="AW496" i="44" s="1"/>
  <c r="AX496" i="44" s="1"/>
  <c r="AY496" i="44" s="1"/>
  <c r="AZ496" i="44" s="1"/>
  <c r="BA496" i="44" s="1"/>
  <c r="BB496" i="44" s="1"/>
  <c r="BC496" i="44" s="1"/>
  <c r="BD496" i="44" s="1"/>
  <c r="BE496" i="44" s="1"/>
  <c r="BF496" i="44" s="1"/>
  <c r="BG496" i="44" s="1"/>
  <c r="BH496" i="44" s="1"/>
  <c r="BI496" i="44" s="1"/>
  <c r="BJ496" i="44" s="1"/>
  <c r="BK496" i="44" s="1"/>
  <c r="BL496" i="44" s="1"/>
  <c r="BM496" i="44" s="1"/>
  <c r="BN496" i="44" s="1"/>
  <c r="BO496" i="44" s="1"/>
  <c r="BP496" i="44" s="1"/>
  <c r="BQ496" i="44" s="1"/>
  <c r="BR496" i="44" s="1"/>
  <c r="BS496" i="44" s="1"/>
  <c r="BT496" i="44" s="1"/>
  <c r="BU496" i="44" s="1"/>
  <c r="BV496" i="44" s="1"/>
  <c r="BW496" i="44" s="1"/>
  <c r="BX496" i="44" s="1"/>
  <c r="BY496" i="44" s="1"/>
  <c r="BZ496" i="44" s="1"/>
  <c r="CA496" i="44" s="1"/>
  <c r="CB496" i="44" s="1"/>
  <c r="CC496" i="44" s="1"/>
  <c r="CD496" i="44" s="1"/>
  <c r="CE496" i="44" s="1"/>
  <c r="AH495" i="44"/>
  <c r="AI495" i="44" s="1"/>
  <c r="AJ495" i="44" s="1"/>
  <c r="AK495" i="44" s="1"/>
  <c r="AL495" i="44" s="1"/>
  <c r="AM495" i="44" s="1"/>
  <c r="AN495" i="44" s="1"/>
  <c r="AO495" i="44" s="1"/>
  <c r="AP495" i="44" s="1"/>
  <c r="AQ495" i="44" s="1"/>
  <c r="AR495" i="44" s="1"/>
  <c r="AS495" i="44" s="1"/>
  <c r="AT495" i="44" s="1"/>
  <c r="AU495" i="44" s="1"/>
  <c r="AV495" i="44" s="1"/>
  <c r="AW495" i="44" s="1"/>
  <c r="AX495" i="44" s="1"/>
  <c r="AY495" i="44" s="1"/>
  <c r="AZ495" i="44" s="1"/>
  <c r="BA495" i="44" s="1"/>
  <c r="BB495" i="44" s="1"/>
  <c r="BC495" i="44" s="1"/>
  <c r="BD495" i="44" s="1"/>
  <c r="BE495" i="44" s="1"/>
  <c r="BF495" i="44" s="1"/>
  <c r="BG495" i="44" s="1"/>
  <c r="BH495" i="44" s="1"/>
  <c r="BI495" i="44" s="1"/>
  <c r="BJ495" i="44" s="1"/>
  <c r="BK495" i="44" s="1"/>
  <c r="BL495" i="44" s="1"/>
  <c r="BM495" i="44" s="1"/>
  <c r="BN495" i="44" s="1"/>
  <c r="BO495" i="44" s="1"/>
  <c r="BP495" i="44" s="1"/>
  <c r="BQ495" i="44" s="1"/>
  <c r="BR495" i="44" s="1"/>
  <c r="BS495" i="44" s="1"/>
  <c r="BT495" i="44" s="1"/>
  <c r="BU495" i="44" s="1"/>
  <c r="BV495" i="44" s="1"/>
  <c r="BW495" i="44" s="1"/>
  <c r="BX495" i="44" s="1"/>
  <c r="BY495" i="44" s="1"/>
  <c r="BZ495" i="44" s="1"/>
  <c r="CA495" i="44" s="1"/>
  <c r="CB495" i="44" s="1"/>
  <c r="CC495" i="44" s="1"/>
  <c r="CD495" i="44" s="1"/>
  <c r="CE495" i="44" s="1"/>
  <c r="AH494" i="44"/>
  <c r="AI494" i="44" s="1"/>
  <c r="AJ494" i="44" s="1"/>
  <c r="AK494" i="44" s="1"/>
  <c r="AL494" i="44" s="1"/>
  <c r="AM494" i="44" s="1"/>
  <c r="AN494" i="44" s="1"/>
  <c r="AO494" i="44" s="1"/>
  <c r="AP494" i="44" s="1"/>
  <c r="AQ494" i="44" s="1"/>
  <c r="AR494" i="44" s="1"/>
  <c r="AS494" i="44" s="1"/>
  <c r="AT494" i="44" s="1"/>
  <c r="AU494" i="44" s="1"/>
  <c r="AV494" i="44" s="1"/>
  <c r="AW494" i="44" s="1"/>
  <c r="AX494" i="44" s="1"/>
  <c r="AY494" i="44" s="1"/>
  <c r="AZ494" i="44" s="1"/>
  <c r="BA494" i="44" s="1"/>
  <c r="BB494" i="44" s="1"/>
  <c r="BC494" i="44" s="1"/>
  <c r="BD494" i="44" s="1"/>
  <c r="BE494" i="44" s="1"/>
  <c r="BF494" i="44" s="1"/>
  <c r="BG494" i="44" s="1"/>
  <c r="BH494" i="44" s="1"/>
  <c r="BI494" i="44" s="1"/>
  <c r="BJ494" i="44" s="1"/>
  <c r="BK494" i="44" s="1"/>
  <c r="BL494" i="44" s="1"/>
  <c r="BM494" i="44" s="1"/>
  <c r="BN494" i="44" s="1"/>
  <c r="BO494" i="44" s="1"/>
  <c r="BP494" i="44" s="1"/>
  <c r="BQ494" i="44" s="1"/>
  <c r="BR494" i="44" s="1"/>
  <c r="BS494" i="44" s="1"/>
  <c r="BT494" i="44" s="1"/>
  <c r="BU494" i="44" s="1"/>
  <c r="BV494" i="44" s="1"/>
  <c r="BW494" i="44" s="1"/>
  <c r="BX494" i="44" s="1"/>
  <c r="BY494" i="44" s="1"/>
  <c r="BZ494" i="44" s="1"/>
  <c r="CA494" i="44" s="1"/>
  <c r="CB494" i="44" s="1"/>
  <c r="CC494" i="44" s="1"/>
  <c r="CD494" i="44" s="1"/>
  <c r="CE494" i="44" s="1"/>
  <c r="AH492" i="44"/>
  <c r="AI492" i="44" s="1"/>
  <c r="AJ492" i="44" s="1"/>
  <c r="AK492" i="44" s="1"/>
  <c r="AL492" i="44" s="1"/>
  <c r="AM492" i="44" s="1"/>
  <c r="AN492" i="44" s="1"/>
  <c r="AO492" i="44" s="1"/>
  <c r="AP492" i="44" s="1"/>
  <c r="AQ492" i="44" s="1"/>
  <c r="AR492" i="44" s="1"/>
  <c r="AS492" i="44" s="1"/>
  <c r="AT492" i="44" s="1"/>
  <c r="AU492" i="44" s="1"/>
  <c r="AV492" i="44" s="1"/>
  <c r="AW492" i="44" s="1"/>
  <c r="AX492" i="44" s="1"/>
  <c r="AY492" i="44" s="1"/>
  <c r="AZ492" i="44" s="1"/>
  <c r="BA492" i="44" s="1"/>
  <c r="BB492" i="44" s="1"/>
  <c r="BC492" i="44" s="1"/>
  <c r="BD492" i="44" s="1"/>
  <c r="BE492" i="44" s="1"/>
  <c r="BF492" i="44" s="1"/>
  <c r="BG492" i="44" s="1"/>
  <c r="BH492" i="44" s="1"/>
  <c r="BI492" i="44" s="1"/>
  <c r="BJ492" i="44" s="1"/>
  <c r="BK492" i="44" s="1"/>
  <c r="BL492" i="44" s="1"/>
  <c r="BM492" i="44" s="1"/>
  <c r="BN492" i="44" s="1"/>
  <c r="BO492" i="44" s="1"/>
  <c r="BP492" i="44" s="1"/>
  <c r="BQ492" i="44" s="1"/>
  <c r="BR492" i="44" s="1"/>
  <c r="BS492" i="44" s="1"/>
  <c r="BT492" i="44" s="1"/>
  <c r="BU492" i="44" s="1"/>
  <c r="BV492" i="44" s="1"/>
  <c r="BW492" i="44" s="1"/>
  <c r="BX492" i="44" s="1"/>
  <c r="BY492" i="44" s="1"/>
  <c r="BZ492" i="44" s="1"/>
  <c r="CA492" i="44" s="1"/>
  <c r="CB492" i="44" s="1"/>
  <c r="CC492" i="44" s="1"/>
  <c r="CD492" i="44" s="1"/>
  <c r="CE492" i="44" s="1"/>
  <c r="AH491" i="44"/>
  <c r="AI491" i="44" s="1"/>
  <c r="AJ491" i="44" s="1"/>
  <c r="AK491" i="44" s="1"/>
  <c r="AL491" i="44" s="1"/>
  <c r="AM491" i="44" s="1"/>
  <c r="AN491" i="44" s="1"/>
  <c r="AO491" i="44" s="1"/>
  <c r="AP491" i="44" s="1"/>
  <c r="AQ491" i="44" s="1"/>
  <c r="AR491" i="44" s="1"/>
  <c r="AS491" i="44" s="1"/>
  <c r="AT491" i="44" s="1"/>
  <c r="AU491" i="44" s="1"/>
  <c r="AV491" i="44" s="1"/>
  <c r="AW491" i="44" s="1"/>
  <c r="AX491" i="44" s="1"/>
  <c r="AY491" i="44" s="1"/>
  <c r="AZ491" i="44" s="1"/>
  <c r="BA491" i="44" s="1"/>
  <c r="BB491" i="44" s="1"/>
  <c r="BC491" i="44" s="1"/>
  <c r="BD491" i="44" s="1"/>
  <c r="BE491" i="44" s="1"/>
  <c r="BF491" i="44" s="1"/>
  <c r="BG491" i="44" s="1"/>
  <c r="BH491" i="44" s="1"/>
  <c r="BI491" i="44" s="1"/>
  <c r="BJ491" i="44" s="1"/>
  <c r="BK491" i="44" s="1"/>
  <c r="BL491" i="44" s="1"/>
  <c r="BM491" i="44" s="1"/>
  <c r="BN491" i="44" s="1"/>
  <c r="BO491" i="44" s="1"/>
  <c r="BP491" i="44" s="1"/>
  <c r="BQ491" i="44" s="1"/>
  <c r="BR491" i="44" s="1"/>
  <c r="BS491" i="44" s="1"/>
  <c r="BT491" i="44" s="1"/>
  <c r="BU491" i="44" s="1"/>
  <c r="BV491" i="44" s="1"/>
  <c r="BW491" i="44" s="1"/>
  <c r="BX491" i="44" s="1"/>
  <c r="BY491" i="44" s="1"/>
  <c r="BZ491" i="44" s="1"/>
  <c r="CA491" i="44" s="1"/>
  <c r="CB491" i="44" s="1"/>
  <c r="CC491" i="44" s="1"/>
  <c r="CD491" i="44" s="1"/>
  <c r="CE491" i="44" s="1"/>
  <c r="AH489" i="44"/>
  <c r="AI489" i="44" s="1"/>
  <c r="AJ489" i="44" s="1"/>
  <c r="AK489" i="44" s="1"/>
  <c r="AL489" i="44" s="1"/>
  <c r="AM489" i="44" s="1"/>
  <c r="AN489" i="44" s="1"/>
  <c r="AO489" i="44" s="1"/>
  <c r="AP489" i="44" s="1"/>
  <c r="AQ489" i="44" s="1"/>
  <c r="AR489" i="44" s="1"/>
  <c r="AS489" i="44" s="1"/>
  <c r="AT489" i="44" s="1"/>
  <c r="AU489" i="44" s="1"/>
  <c r="AV489" i="44" s="1"/>
  <c r="AW489" i="44" s="1"/>
  <c r="AX489" i="44" s="1"/>
  <c r="AY489" i="44" s="1"/>
  <c r="AZ489" i="44" s="1"/>
  <c r="BA489" i="44" s="1"/>
  <c r="BB489" i="44" s="1"/>
  <c r="BC489" i="44" s="1"/>
  <c r="BD489" i="44" s="1"/>
  <c r="BE489" i="44" s="1"/>
  <c r="BF489" i="44" s="1"/>
  <c r="BG489" i="44" s="1"/>
  <c r="BH489" i="44" s="1"/>
  <c r="BI489" i="44" s="1"/>
  <c r="BJ489" i="44" s="1"/>
  <c r="BK489" i="44" s="1"/>
  <c r="BL489" i="44" s="1"/>
  <c r="BM489" i="44" s="1"/>
  <c r="BN489" i="44" s="1"/>
  <c r="BO489" i="44" s="1"/>
  <c r="BP489" i="44" s="1"/>
  <c r="BQ489" i="44" s="1"/>
  <c r="BR489" i="44" s="1"/>
  <c r="BS489" i="44" s="1"/>
  <c r="BT489" i="44" s="1"/>
  <c r="BU489" i="44" s="1"/>
  <c r="BV489" i="44" s="1"/>
  <c r="BW489" i="44" s="1"/>
  <c r="BX489" i="44" s="1"/>
  <c r="BY489" i="44" s="1"/>
  <c r="BZ489" i="44" s="1"/>
  <c r="CA489" i="44" s="1"/>
  <c r="CB489" i="44" s="1"/>
  <c r="CC489" i="44" s="1"/>
  <c r="CD489" i="44" s="1"/>
  <c r="CE489" i="44" s="1"/>
  <c r="AH488" i="44"/>
  <c r="AI488" i="44" s="1"/>
  <c r="AJ488" i="44" s="1"/>
  <c r="AK488" i="44" s="1"/>
  <c r="AL488" i="44" s="1"/>
  <c r="AM488" i="44" s="1"/>
  <c r="AN488" i="44" s="1"/>
  <c r="AO488" i="44" s="1"/>
  <c r="AP488" i="44" s="1"/>
  <c r="AQ488" i="44" s="1"/>
  <c r="AR488" i="44" s="1"/>
  <c r="AS488" i="44" s="1"/>
  <c r="AT488" i="44" s="1"/>
  <c r="AU488" i="44" s="1"/>
  <c r="AV488" i="44" s="1"/>
  <c r="AW488" i="44" s="1"/>
  <c r="AX488" i="44" s="1"/>
  <c r="AY488" i="44" s="1"/>
  <c r="AZ488" i="44" s="1"/>
  <c r="BA488" i="44" s="1"/>
  <c r="BB488" i="44" s="1"/>
  <c r="BC488" i="44" s="1"/>
  <c r="BD488" i="44" s="1"/>
  <c r="BE488" i="44" s="1"/>
  <c r="BF488" i="44" s="1"/>
  <c r="BG488" i="44" s="1"/>
  <c r="BH488" i="44" s="1"/>
  <c r="BI488" i="44" s="1"/>
  <c r="BJ488" i="44" s="1"/>
  <c r="BK488" i="44" s="1"/>
  <c r="BL488" i="44" s="1"/>
  <c r="BM488" i="44" s="1"/>
  <c r="BN488" i="44" s="1"/>
  <c r="BO488" i="44" s="1"/>
  <c r="BP488" i="44" s="1"/>
  <c r="BQ488" i="44" s="1"/>
  <c r="BR488" i="44" s="1"/>
  <c r="BS488" i="44" s="1"/>
  <c r="BT488" i="44" s="1"/>
  <c r="BU488" i="44" s="1"/>
  <c r="BV488" i="44" s="1"/>
  <c r="BW488" i="44" s="1"/>
  <c r="BX488" i="44" s="1"/>
  <c r="BY488" i="44" s="1"/>
  <c r="BZ488" i="44" s="1"/>
  <c r="CA488" i="44" s="1"/>
  <c r="CB488" i="44" s="1"/>
  <c r="CC488" i="44" s="1"/>
  <c r="CD488" i="44" s="1"/>
  <c r="CE488" i="44" s="1"/>
  <c r="AH487" i="44"/>
  <c r="AI487" i="44" s="1"/>
  <c r="AJ487" i="44" s="1"/>
  <c r="AK487" i="44" s="1"/>
  <c r="AL487" i="44" s="1"/>
  <c r="AM487" i="44" s="1"/>
  <c r="AN487" i="44" s="1"/>
  <c r="AO487" i="44" s="1"/>
  <c r="AP487" i="44" s="1"/>
  <c r="AQ487" i="44" s="1"/>
  <c r="AR487" i="44" s="1"/>
  <c r="AS487" i="44" s="1"/>
  <c r="AT487" i="44" s="1"/>
  <c r="AU487" i="44" s="1"/>
  <c r="AV487" i="44" s="1"/>
  <c r="AW487" i="44" s="1"/>
  <c r="AX487" i="44" s="1"/>
  <c r="AY487" i="44" s="1"/>
  <c r="AZ487" i="44" s="1"/>
  <c r="BA487" i="44" s="1"/>
  <c r="BB487" i="44" s="1"/>
  <c r="BC487" i="44" s="1"/>
  <c r="BD487" i="44" s="1"/>
  <c r="BE487" i="44" s="1"/>
  <c r="BF487" i="44" s="1"/>
  <c r="BG487" i="44" s="1"/>
  <c r="BH487" i="44" s="1"/>
  <c r="BI487" i="44" s="1"/>
  <c r="BJ487" i="44" s="1"/>
  <c r="BK487" i="44" s="1"/>
  <c r="BL487" i="44" s="1"/>
  <c r="BM487" i="44" s="1"/>
  <c r="BN487" i="44" s="1"/>
  <c r="BO487" i="44" s="1"/>
  <c r="BP487" i="44" s="1"/>
  <c r="BQ487" i="44" s="1"/>
  <c r="BR487" i="44" s="1"/>
  <c r="BS487" i="44" s="1"/>
  <c r="BT487" i="44" s="1"/>
  <c r="BU487" i="44" s="1"/>
  <c r="BV487" i="44" s="1"/>
  <c r="BW487" i="44" s="1"/>
  <c r="BX487" i="44" s="1"/>
  <c r="BY487" i="44" s="1"/>
  <c r="BZ487" i="44" s="1"/>
  <c r="CA487" i="44" s="1"/>
  <c r="CB487" i="44" s="1"/>
  <c r="CC487" i="44" s="1"/>
  <c r="CD487" i="44" s="1"/>
  <c r="CE487" i="44" s="1"/>
  <c r="AH486" i="44"/>
  <c r="AI486" i="44" s="1"/>
  <c r="AJ486" i="44" s="1"/>
  <c r="AK486" i="44" s="1"/>
  <c r="AL486" i="44" s="1"/>
  <c r="AM486" i="44" s="1"/>
  <c r="AN486" i="44" s="1"/>
  <c r="AO486" i="44" s="1"/>
  <c r="AP486" i="44" s="1"/>
  <c r="AQ486" i="44" s="1"/>
  <c r="AR486" i="44" s="1"/>
  <c r="AS486" i="44" s="1"/>
  <c r="AT486" i="44" s="1"/>
  <c r="AU486" i="44" s="1"/>
  <c r="AV486" i="44" s="1"/>
  <c r="AW486" i="44" s="1"/>
  <c r="AX486" i="44" s="1"/>
  <c r="AY486" i="44" s="1"/>
  <c r="AZ486" i="44" s="1"/>
  <c r="BA486" i="44" s="1"/>
  <c r="BB486" i="44" s="1"/>
  <c r="BC486" i="44" s="1"/>
  <c r="BD486" i="44" s="1"/>
  <c r="BE486" i="44" s="1"/>
  <c r="BF486" i="44" s="1"/>
  <c r="BG486" i="44" s="1"/>
  <c r="BH486" i="44" s="1"/>
  <c r="BI486" i="44" s="1"/>
  <c r="BJ486" i="44" s="1"/>
  <c r="BK486" i="44" s="1"/>
  <c r="BL486" i="44" s="1"/>
  <c r="BM486" i="44" s="1"/>
  <c r="BN486" i="44" s="1"/>
  <c r="BO486" i="44" s="1"/>
  <c r="BP486" i="44" s="1"/>
  <c r="BQ486" i="44" s="1"/>
  <c r="BR486" i="44" s="1"/>
  <c r="BS486" i="44" s="1"/>
  <c r="BT486" i="44" s="1"/>
  <c r="BU486" i="44" s="1"/>
  <c r="BV486" i="44" s="1"/>
  <c r="BW486" i="44" s="1"/>
  <c r="BX486" i="44" s="1"/>
  <c r="BY486" i="44" s="1"/>
  <c r="BZ486" i="44" s="1"/>
  <c r="CA486" i="44" s="1"/>
  <c r="CB486" i="44" s="1"/>
  <c r="CC486" i="44" s="1"/>
  <c r="CD486" i="44" s="1"/>
  <c r="CE486" i="44" s="1"/>
  <c r="AH485" i="44"/>
  <c r="AI485" i="44" s="1"/>
  <c r="AJ485" i="44" s="1"/>
  <c r="AK485" i="44" s="1"/>
  <c r="AL485" i="44" s="1"/>
  <c r="AM485" i="44" s="1"/>
  <c r="AN485" i="44" s="1"/>
  <c r="AO485" i="44" s="1"/>
  <c r="AP485" i="44" s="1"/>
  <c r="AQ485" i="44" s="1"/>
  <c r="AR485" i="44" s="1"/>
  <c r="AS485" i="44" s="1"/>
  <c r="AT485" i="44" s="1"/>
  <c r="AU485" i="44" s="1"/>
  <c r="AV485" i="44" s="1"/>
  <c r="AW485" i="44" s="1"/>
  <c r="AX485" i="44" s="1"/>
  <c r="AY485" i="44" s="1"/>
  <c r="AZ485" i="44" s="1"/>
  <c r="BA485" i="44" s="1"/>
  <c r="BB485" i="44" s="1"/>
  <c r="BC485" i="44" s="1"/>
  <c r="BD485" i="44" s="1"/>
  <c r="BE485" i="44" s="1"/>
  <c r="BF485" i="44" s="1"/>
  <c r="BG485" i="44" s="1"/>
  <c r="BH485" i="44" s="1"/>
  <c r="BI485" i="44" s="1"/>
  <c r="BJ485" i="44" s="1"/>
  <c r="BK485" i="44" s="1"/>
  <c r="BL485" i="44" s="1"/>
  <c r="BM485" i="44" s="1"/>
  <c r="BN485" i="44" s="1"/>
  <c r="BO485" i="44" s="1"/>
  <c r="BP485" i="44" s="1"/>
  <c r="BQ485" i="44" s="1"/>
  <c r="BR485" i="44" s="1"/>
  <c r="BS485" i="44" s="1"/>
  <c r="BT485" i="44" s="1"/>
  <c r="BU485" i="44" s="1"/>
  <c r="BV485" i="44" s="1"/>
  <c r="BW485" i="44" s="1"/>
  <c r="BX485" i="44" s="1"/>
  <c r="BY485" i="44" s="1"/>
  <c r="BZ485" i="44" s="1"/>
  <c r="CA485" i="44" s="1"/>
  <c r="CB485" i="44" s="1"/>
  <c r="CC485" i="44" s="1"/>
  <c r="CD485" i="44" s="1"/>
  <c r="CE485" i="44" s="1"/>
  <c r="AH484" i="44"/>
  <c r="AI484" i="44" s="1"/>
  <c r="AJ484" i="44" s="1"/>
  <c r="AK484" i="44" s="1"/>
  <c r="AL484" i="44" s="1"/>
  <c r="AM484" i="44" s="1"/>
  <c r="AN484" i="44" s="1"/>
  <c r="AO484" i="44" s="1"/>
  <c r="AP484" i="44" s="1"/>
  <c r="AQ484" i="44" s="1"/>
  <c r="AR484" i="44" s="1"/>
  <c r="AS484" i="44" s="1"/>
  <c r="AT484" i="44" s="1"/>
  <c r="AU484" i="44" s="1"/>
  <c r="AV484" i="44" s="1"/>
  <c r="AW484" i="44" s="1"/>
  <c r="AX484" i="44" s="1"/>
  <c r="AY484" i="44" s="1"/>
  <c r="AZ484" i="44" s="1"/>
  <c r="BA484" i="44" s="1"/>
  <c r="BB484" i="44" s="1"/>
  <c r="BC484" i="44" s="1"/>
  <c r="BD484" i="44" s="1"/>
  <c r="BE484" i="44" s="1"/>
  <c r="BF484" i="44" s="1"/>
  <c r="BG484" i="44" s="1"/>
  <c r="BH484" i="44" s="1"/>
  <c r="BI484" i="44" s="1"/>
  <c r="BJ484" i="44" s="1"/>
  <c r="BK484" i="44" s="1"/>
  <c r="BL484" i="44" s="1"/>
  <c r="BM484" i="44" s="1"/>
  <c r="BN484" i="44" s="1"/>
  <c r="BO484" i="44" s="1"/>
  <c r="BP484" i="44" s="1"/>
  <c r="BQ484" i="44" s="1"/>
  <c r="BR484" i="44" s="1"/>
  <c r="BS484" i="44" s="1"/>
  <c r="BT484" i="44" s="1"/>
  <c r="BU484" i="44" s="1"/>
  <c r="BV484" i="44" s="1"/>
  <c r="BW484" i="44" s="1"/>
  <c r="BX484" i="44" s="1"/>
  <c r="BY484" i="44" s="1"/>
  <c r="BZ484" i="44" s="1"/>
  <c r="CA484" i="44" s="1"/>
  <c r="CB484" i="44" s="1"/>
  <c r="CC484" i="44" s="1"/>
  <c r="CD484" i="44" s="1"/>
  <c r="CE484" i="44" s="1"/>
  <c r="AH483" i="44"/>
  <c r="AI483" i="44" s="1"/>
  <c r="AJ483" i="44" s="1"/>
  <c r="AK483" i="44" s="1"/>
  <c r="AL483" i="44" s="1"/>
  <c r="AM483" i="44" s="1"/>
  <c r="AN483" i="44" s="1"/>
  <c r="AO483" i="44" s="1"/>
  <c r="AP483" i="44" s="1"/>
  <c r="AQ483" i="44" s="1"/>
  <c r="AR483" i="44" s="1"/>
  <c r="AS483" i="44" s="1"/>
  <c r="AT483" i="44" s="1"/>
  <c r="AU483" i="44" s="1"/>
  <c r="AV483" i="44" s="1"/>
  <c r="AW483" i="44" s="1"/>
  <c r="AX483" i="44" s="1"/>
  <c r="AY483" i="44" s="1"/>
  <c r="AZ483" i="44" s="1"/>
  <c r="BA483" i="44" s="1"/>
  <c r="BB483" i="44" s="1"/>
  <c r="BC483" i="44" s="1"/>
  <c r="BD483" i="44" s="1"/>
  <c r="BE483" i="44" s="1"/>
  <c r="BF483" i="44" s="1"/>
  <c r="BG483" i="44" s="1"/>
  <c r="BH483" i="44" s="1"/>
  <c r="BI483" i="44" s="1"/>
  <c r="BJ483" i="44" s="1"/>
  <c r="BK483" i="44" s="1"/>
  <c r="BL483" i="44" s="1"/>
  <c r="BM483" i="44" s="1"/>
  <c r="BN483" i="44" s="1"/>
  <c r="BO483" i="44" s="1"/>
  <c r="BP483" i="44" s="1"/>
  <c r="BQ483" i="44" s="1"/>
  <c r="BR483" i="44" s="1"/>
  <c r="BS483" i="44" s="1"/>
  <c r="BT483" i="44" s="1"/>
  <c r="BU483" i="44" s="1"/>
  <c r="BV483" i="44" s="1"/>
  <c r="BW483" i="44" s="1"/>
  <c r="BX483" i="44" s="1"/>
  <c r="BY483" i="44" s="1"/>
  <c r="BZ483" i="44" s="1"/>
  <c r="CA483" i="44" s="1"/>
  <c r="CB483" i="44" s="1"/>
  <c r="CC483" i="44" s="1"/>
  <c r="CD483" i="44" s="1"/>
  <c r="CE483" i="44" s="1"/>
  <c r="AH482" i="44"/>
  <c r="AI482" i="44" s="1"/>
  <c r="AJ482" i="44" s="1"/>
  <c r="AK482" i="44" s="1"/>
  <c r="AL482" i="44" s="1"/>
  <c r="AM482" i="44" s="1"/>
  <c r="AN482" i="44" s="1"/>
  <c r="AO482" i="44" s="1"/>
  <c r="AP482" i="44" s="1"/>
  <c r="AQ482" i="44" s="1"/>
  <c r="AR482" i="44" s="1"/>
  <c r="AS482" i="44" s="1"/>
  <c r="AT482" i="44" s="1"/>
  <c r="AU482" i="44" s="1"/>
  <c r="AV482" i="44" s="1"/>
  <c r="AW482" i="44" s="1"/>
  <c r="AX482" i="44" s="1"/>
  <c r="AY482" i="44" s="1"/>
  <c r="AZ482" i="44" s="1"/>
  <c r="BA482" i="44" s="1"/>
  <c r="BB482" i="44" s="1"/>
  <c r="BC482" i="44" s="1"/>
  <c r="BD482" i="44" s="1"/>
  <c r="BE482" i="44" s="1"/>
  <c r="BF482" i="44" s="1"/>
  <c r="BG482" i="44" s="1"/>
  <c r="BH482" i="44" s="1"/>
  <c r="BI482" i="44" s="1"/>
  <c r="BJ482" i="44" s="1"/>
  <c r="BK482" i="44" s="1"/>
  <c r="BL482" i="44" s="1"/>
  <c r="BM482" i="44" s="1"/>
  <c r="BN482" i="44" s="1"/>
  <c r="BO482" i="44" s="1"/>
  <c r="BP482" i="44" s="1"/>
  <c r="BQ482" i="44" s="1"/>
  <c r="BR482" i="44" s="1"/>
  <c r="BS482" i="44" s="1"/>
  <c r="BT482" i="44" s="1"/>
  <c r="BU482" i="44" s="1"/>
  <c r="BV482" i="44" s="1"/>
  <c r="BW482" i="44" s="1"/>
  <c r="BX482" i="44" s="1"/>
  <c r="BY482" i="44" s="1"/>
  <c r="BZ482" i="44" s="1"/>
  <c r="CA482" i="44" s="1"/>
  <c r="CB482" i="44" s="1"/>
  <c r="CC482" i="44" s="1"/>
  <c r="CD482" i="44" s="1"/>
  <c r="CE482" i="44" s="1"/>
  <c r="AI481" i="44"/>
  <c r="AJ481" i="44" s="1"/>
  <c r="AK481" i="44" s="1"/>
  <c r="AL481" i="44" s="1"/>
  <c r="AM481" i="44" s="1"/>
  <c r="AN481" i="44" s="1"/>
  <c r="AO481" i="44" s="1"/>
  <c r="AP481" i="44" s="1"/>
  <c r="AQ481" i="44" s="1"/>
  <c r="AR481" i="44" s="1"/>
  <c r="AS481" i="44" s="1"/>
  <c r="AT481" i="44" s="1"/>
  <c r="AU481" i="44" s="1"/>
  <c r="AV481" i="44" s="1"/>
  <c r="AW481" i="44" s="1"/>
  <c r="AX481" i="44" s="1"/>
  <c r="AY481" i="44" s="1"/>
  <c r="AZ481" i="44" s="1"/>
  <c r="BA481" i="44" s="1"/>
  <c r="BB481" i="44" s="1"/>
  <c r="BC481" i="44" s="1"/>
  <c r="BD481" i="44" s="1"/>
  <c r="BE481" i="44" s="1"/>
  <c r="BF481" i="44" s="1"/>
  <c r="BG481" i="44" s="1"/>
  <c r="BH481" i="44" s="1"/>
  <c r="BI481" i="44" s="1"/>
  <c r="BJ481" i="44" s="1"/>
  <c r="BK481" i="44" s="1"/>
  <c r="BL481" i="44" s="1"/>
  <c r="BM481" i="44" s="1"/>
  <c r="BN481" i="44" s="1"/>
  <c r="BO481" i="44" s="1"/>
  <c r="BP481" i="44" s="1"/>
  <c r="BQ481" i="44" s="1"/>
  <c r="BR481" i="44" s="1"/>
  <c r="BS481" i="44" s="1"/>
  <c r="BT481" i="44" s="1"/>
  <c r="BU481" i="44" s="1"/>
  <c r="BV481" i="44" s="1"/>
  <c r="BW481" i="44" s="1"/>
  <c r="BX481" i="44" s="1"/>
  <c r="BY481" i="44" s="1"/>
  <c r="BZ481" i="44" s="1"/>
  <c r="CA481" i="44" s="1"/>
  <c r="CB481" i="44" s="1"/>
  <c r="CC481" i="44" s="1"/>
  <c r="CD481" i="44" s="1"/>
  <c r="CE481" i="44" s="1"/>
  <c r="AH481" i="44"/>
  <c r="AH480" i="44"/>
  <c r="AI480" i="44" s="1"/>
  <c r="AJ480" i="44" s="1"/>
  <c r="AK480" i="44" s="1"/>
  <c r="AL480" i="44" s="1"/>
  <c r="AM480" i="44" s="1"/>
  <c r="AN480" i="44" s="1"/>
  <c r="AO480" i="44" s="1"/>
  <c r="AP480" i="44" s="1"/>
  <c r="AQ480" i="44" s="1"/>
  <c r="AR480" i="44" s="1"/>
  <c r="AS480" i="44" s="1"/>
  <c r="AT480" i="44" s="1"/>
  <c r="AU480" i="44" s="1"/>
  <c r="AV480" i="44" s="1"/>
  <c r="AW480" i="44" s="1"/>
  <c r="AX480" i="44" s="1"/>
  <c r="AY480" i="44" s="1"/>
  <c r="AZ480" i="44" s="1"/>
  <c r="BA480" i="44" s="1"/>
  <c r="BB480" i="44" s="1"/>
  <c r="BC480" i="44" s="1"/>
  <c r="BD480" i="44" s="1"/>
  <c r="BE480" i="44" s="1"/>
  <c r="BF480" i="44" s="1"/>
  <c r="BG480" i="44" s="1"/>
  <c r="BH480" i="44" s="1"/>
  <c r="BI480" i="44" s="1"/>
  <c r="BJ480" i="44" s="1"/>
  <c r="BK480" i="44" s="1"/>
  <c r="BL480" i="44" s="1"/>
  <c r="BM480" i="44" s="1"/>
  <c r="BN480" i="44" s="1"/>
  <c r="BO480" i="44" s="1"/>
  <c r="BP480" i="44" s="1"/>
  <c r="BQ480" i="44" s="1"/>
  <c r="BR480" i="44" s="1"/>
  <c r="BS480" i="44" s="1"/>
  <c r="BT480" i="44" s="1"/>
  <c r="BU480" i="44" s="1"/>
  <c r="BV480" i="44" s="1"/>
  <c r="BW480" i="44" s="1"/>
  <c r="BX480" i="44" s="1"/>
  <c r="BY480" i="44" s="1"/>
  <c r="BZ480" i="44" s="1"/>
  <c r="CA480" i="44" s="1"/>
  <c r="CB480" i="44" s="1"/>
  <c r="CC480" i="44" s="1"/>
  <c r="CD480" i="44" s="1"/>
  <c r="CE480" i="44" s="1"/>
  <c r="AH479" i="44"/>
  <c r="AI479" i="44" s="1"/>
  <c r="AJ479" i="44" s="1"/>
  <c r="AK479" i="44" s="1"/>
  <c r="AL479" i="44" s="1"/>
  <c r="AM479" i="44" s="1"/>
  <c r="AN479" i="44" s="1"/>
  <c r="AO479" i="44" s="1"/>
  <c r="AP479" i="44" s="1"/>
  <c r="AQ479" i="44" s="1"/>
  <c r="AR479" i="44" s="1"/>
  <c r="AS479" i="44" s="1"/>
  <c r="AT479" i="44" s="1"/>
  <c r="AU479" i="44" s="1"/>
  <c r="AV479" i="44" s="1"/>
  <c r="AW479" i="44" s="1"/>
  <c r="AX479" i="44" s="1"/>
  <c r="AY479" i="44" s="1"/>
  <c r="AZ479" i="44" s="1"/>
  <c r="BA479" i="44" s="1"/>
  <c r="BB479" i="44" s="1"/>
  <c r="BC479" i="44" s="1"/>
  <c r="BD479" i="44" s="1"/>
  <c r="BE479" i="44" s="1"/>
  <c r="BF479" i="44" s="1"/>
  <c r="BG479" i="44" s="1"/>
  <c r="BH479" i="44" s="1"/>
  <c r="BI479" i="44" s="1"/>
  <c r="BJ479" i="44" s="1"/>
  <c r="BK479" i="44" s="1"/>
  <c r="BL479" i="44" s="1"/>
  <c r="BM479" i="44" s="1"/>
  <c r="BN479" i="44" s="1"/>
  <c r="BO479" i="44" s="1"/>
  <c r="BP479" i="44" s="1"/>
  <c r="BQ479" i="44" s="1"/>
  <c r="BR479" i="44" s="1"/>
  <c r="BS479" i="44" s="1"/>
  <c r="BT479" i="44" s="1"/>
  <c r="BU479" i="44" s="1"/>
  <c r="BV479" i="44" s="1"/>
  <c r="BW479" i="44" s="1"/>
  <c r="BX479" i="44" s="1"/>
  <c r="BY479" i="44" s="1"/>
  <c r="BZ479" i="44" s="1"/>
  <c r="CA479" i="44" s="1"/>
  <c r="CB479" i="44" s="1"/>
  <c r="CC479" i="44" s="1"/>
  <c r="CD479" i="44" s="1"/>
  <c r="CE479" i="44" s="1"/>
  <c r="F478" i="44"/>
  <c r="G478" i="44" s="1"/>
  <c r="H478" i="44" s="1"/>
  <c r="I478" i="44" s="1"/>
  <c r="J478" i="44" s="1"/>
  <c r="K478" i="44" s="1"/>
  <c r="L478" i="44" s="1"/>
  <c r="M478" i="44" s="1"/>
  <c r="N478" i="44" s="1"/>
  <c r="O478" i="44" s="1"/>
  <c r="P478" i="44" s="1"/>
  <c r="Q478" i="44" s="1"/>
  <c r="R478" i="44" s="1"/>
  <c r="S478" i="44" s="1"/>
  <c r="T478" i="44" s="1"/>
  <c r="U478" i="44" s="1"/>
  <c r="V478" i="44" s="1"/>
  <c r="W478" i="44" s="1"/>
  <c r="X478" i="44" s="1"/>
  <c r="Y478" i="44" s="1"/>
  <c r="Z478" i="44" s="1"/>
  <c r="AA478" i="44" s="1"/>
  <c r="AB478" i="44" s="1"/>
  <c r="AC478" i="44" s="1"/>
  <c r="AD478" i="44" s="1"/>
  <c r="AE478" i="44" s="1"/>
  <c r="AF478" i="44" s="1"/>
  <c r="AG478" i="44" s="1"/>
  <c r="AH478" i="44" s="1"/>
  <c r="AI478" i="44" s="1"/>
  <c r="AJ478" i="44" s="1"/>
  <c r="AK478" i="44" s="1"/>
  <c r="AL478" i="44" s="1"/>
  <c r="AM478" i="44" s="1"/>
  <c r="AN478" i="44" s="1"/>
  <c r="AO478" i="44" s="1"/>
  <c r="AP478" i="44" s="1"/>
  <c r="AQ478" i="44" s="1"/>
  <c r="AR478" i="44" s="1"/>
  <c r="AS478" i="44" s="1"/>
  <c r="AT478" i="44" s="1"/>
  <c r="AU478" i="44" s="1"/>
  <c r="AV478" i="44" s="1"/>
  <c r="AW478" i="44" s="1"/>
  <c r="AX478" i="44" s="1"/>
  <c r="AY478" i="44" s="1"/>
  <c r="AZ478" i="44" s="1"/>
  <c r="BA478" i="44" s="1"/>
  <c r="BB478" i="44" s="1"/>
  <c r="BC478" i="44" s="1"/>
  <c r="BD478" i="44" s="1"/>
  <c r="BE478" i="44" s="1"/>
  <c r="BF478" i="44" s="1"/>
  <c r="BG478" i="44" s="1"/>
  <c r="BH478" i="44" s="1"/>
  <c r="BI478" i="44" s="1"/>
  <c r="BJ478" i="44" s="1"/>
  <c r="BK478" i="44" s="1"/>
  <c r="BL478" i="44" s="1"/>
  <c r="BM478" i="44" s="1"/>
  <c r="BN478" i="44" s="1"/>
  <c r="BO478" i="44" s="1"/>
  <c r="BP478" i="44" s="1"/>
  <c r="BQ478" i="44" s="1"/>
  <c r="BR478" i="44" s="1"/>
  <c r="BS478" i="44" s="1"/>
  <c r="BT478" i="44" s="1"/>
  <c r="BU478" i="44" s="1"/>
  <c r="BV478" i="44" s="1"/>
  <c r="BW478" i="44" s="1"/>
  <c r="BX478" i="44" s="1"/>
  <c r="BY478" i="44" s="1"/>
  <c r="BZ478" i="44" s="1"/>
  <c r="CA478" i="44" s="1"/>
  <c r="CB478" i="44" s="1"/>
  <c r="CC478" i="44" s="1"/>
  <c r="CD478" i="44" s="1"/>
  <c r="CE478" i="44" s="1"/>
  <c r="AH476" i="44"/>
  <c r="AI476" i="44" s="1"/>
  <c r="AJ476" i="44" s="1"/>
  <c r="AK476" i="44" s="1"/>
  <c r="AL476" i="44" s="1"/>
  <c r="AM476" i="44" s="1"/>
  <c r="AN476" i="44" s="1"/>
  <c r="AO476" i="44" s="1"/>
  <c r="AP476" i="44" s="1"/>
  <c r="AQ476" i="44" s="1"/>
  <c r="AR476" i="44" s="1"/>
  <c r="AS476" i="44" s="1"/>
  <c r="AT476" i="44" s="1"/>
  <c r="AU476" i="44" s="1"/>
  <c r="AV476" i="44" s="1"/>
  <c r="AW476" i="44" s="1"/>
  <c r="AX476" i="44" s="1"/>
  <c r="AY476" i="44" s="1"/>
  <c r="AZ476" i="44" s="1"/>
  <c r="BA476" i="44" s="1"/>
  <c r="BB476" i="44" s="1"/>
  <c r="BC476" i="44" s="1"/>
  <c r="BD476" i="44" s="1"/>
  <c r="BE476" i="44" s="1"/>
  <c r="BF476" i="44" s="1"/>
  <c r="BG476" i="44" s="1"/>
  <c r="BH476" i="44" s="1"/>
  <c r="BI476" i="44" s="1"/>
  <c r="BJ476" i="44" s="1"/>
  <c r="BK476" i="44" s="1"/>
  <c r="BL476" i="44" s="1"/>
  <c r="BM476" i="44" s="1"/>
  <c r="BN476" i="44" s="1"/>
  <c r="BO476" i="44" s="1"/>
  <c r="BP476" i="44" s="1"/>
  <c r="BQ476" i="44" s="1"/>
  <c r="BR476" i="44" s="1"/>
  <c r="BS476" i="44" s="1"/>
  <c r="BT476" i="44" s="1"/>
  <c r="BU476" i="44" s="1"/>
  <c r="BV476" i="44" s="1"/>
  <c r="BW476" i="44" s="1"/>
  <c r="BX476" i="44" s="1"/>
  <c r="BY476" i="44" s="1"/>
  <c r="BZ476" i="44" s="1"/>
  <c r="CA476" i="44" s="1"/>
  <c r="CB476" i="44" s="1"/>
  <c r="CC476" i="44" s="1"/>
  <c r="CD476" i="44" s="1"/>
  <c r="CE476" i="44" s="1"/>
  <c r="AH475" i="44"/>
  <c r="AI475" i="44" s="1"/>
  <c r="AJ475" i="44" s="1"/>
  <c r="AK475" i="44" s="1"/>
  <c r="AL475" i="44" s="1"/>
  <c r="AM475" i="44" s="1"/>
  <c r="AN475" i="44" s="1"/>
  <c r="AO475" i="44" s="1"/>
  <c r="AP475" i="44" s="1"/>
  <c r="AQ475" i="44" s="1"/>
  <c r="AR475" i="44" s="1"/>
  <c r="AS475" i="44" s="1"/>
  <c r="AT475" i="44" s="1"/>
  <c r="AU475" i="44" s="1"/>
  <c r="AV475" i="44" s="1"/>
  <c r="AW475" i="44" s="1"/>
  <c r="AX475" i="44" s="1"/>
  <c r="AY475" i="44" s="1"/>
  <c r="AZ475" i="44" s="1"/>
  <c r="BA475" i="44" s="1"/>
  <c r="BB475" i="44" s="1"/>
  <c r="BC475" i="44" s="1"/>
  <c r="BD475" i="44" s="1"/>
  <c r="BE475" i="44" s="1"/>
  <c r="BF475" i="44" s="1"/>
  <c r="BG475" i="44" s="1"/>
  <c r="BH475" i="44" s="1"/>
  <c r="BI475" i="44" s="1"/>
  <c r="BJ475" i="44" s="1"/>
  <c r="BK475" i="44" s="1"/>
  <c r="BL475" i="44" s="1"/>
  <c r="BM475" i="44" s="1"/>
  <c r="BN475" i="44" s="1"/>
  <c r="BO475" i="44" s="1"/>
  <c r="BP475" i="44" s="1"/>
  <c r="BQ475" i="44" s="1"/>
  <c r="BR475" i="44" s="1"/>
  <c r="BS475" i="44" s="1"/>
  <c r="BT475" i="44" s="1"/>
  <c r="BU475" i="44" s="1"/>
  <c r="BV475" i="44" s="1"/>
  <c r="BW475" i="44" s="1"/>
  <c r="BX475" i="44" s="1"/>
  <c r="BY475" i="44" s="1"/>
  <c r="BZ475" i="44" s="1"/>
  <c r="CA475" i="44" s="1"/>
  <c r="CB475" i="44" s="1"/>
  <c r="CC475" i="44" s="1"/>
  <c r="CD475" i="44" s="1"/>
  <c r="CE475" i="44" s="1"/>
  <c r="AH474" i="44"/>
  <c r="AI474" i="44" s="1"/>
  <c r="AJ474" i="44" s="1"/>
  <c r="AK474" i="44" s="1"/>
  <c r="AL474" i="44" s="1"/>
  <c r="AM474" i="44" s="1"/>
  <c r="AN474" i="44" s="1"/>
  <c r="AO474" i="44" s="1"/>
  <c r="AP474" i="44" s="1"/>
  <c r="AQ474" i="44" s="1"/>
  <c r="AR474" i="44" s="1"/>
  <c r="AS474" i="44" s="1"/>
  <c r="AT474" i="44" s="1"/>
  <c r="AU474" i="44" s="1"/>
  <c r="AV474" i="44" s="1"/>
  <c r="AW474" i="44" s="1"/>
  <c r="AX474" i="44" s="1"/>
  <c r="AY474" i="44" s="1"/>
  <c r="AZ474" i="44" s="1"/>
  <c r="BA474" i="44" s="1"/>
  <c r="BB474" i="44" s="1"/>
  <c r="BC474" i="44" s="1"/>
  <c r="BD474" i="44" s="1"/>
  <c r="BE474" i="44" s="1"/>
  <c r="BF474" i="44" s="1"/>
  <c r="BG474" i="44" s="1"/>
  <c r="BH474" i="44" s="1"/>
  <c r="BI474" i="44" s="1"/>
  <c r="BJ474" i="44" s="1"/>
  <c r="BK474" i="44" s="1"/>
  <c r="BL474" i="44" s="1"/>
  <c r="BM474" i="44" s="1"/>
  <c r="BN474" i="44" s="1"/>
  <c r="BO474" i="44" s="1"/>
  <c r="BP474" i="44" s="1"/>
  <c r="BQ474" i="44" s="1"/>
  <c r="BR474" i="44" s="1"/>
  <c r="BS474" i="44" s="1"/>
  <c r="BT474" i="44" s="1"/>
  <c r="BU474" i="44" s="1"/>
  <c r="BV474" i="44" s="1"/>
  <c r="BW474" i="44" s="1"/>
  <c r="BX474" i="44" s="1"/>
  <c r="BY474" i="44" s="1"/>
  <c r="BZ474" i="44" s="1"/>
  <c r="CA474" i="44" s="1"/>
  <c r="CB474" i="44" s="1"/>
  <c r="CC474" i="44" s="1"/>
  <c r="CD474" i="44" s="1"/>
  <c r="CE474" i="44" s="1"/>
  <c r="AH473" i="44"/>
  <c r="AI473" i="44" s="1"/>
  <c r="AJ473" i="44" s="1"/>
  <c r="AK473" i="44" s="1"/>
  <c r="AL473" i="44" s="1"/>
  <c r="AM473" i="44" s="1"/>
  <c r="AN473" i="44" s="1"/>
  <c r="AO473" i="44" s="1"/>
  <c r="AP473" i="44" s="1"/>
  <c r="AQ473" i="44" s="1"/>
  <c r="AR473" i="44" s="1"/>
  <c r="AS473" i="44" s="1"/>
  <c r="AT473" i="44" s="1"/>
  <c r="AU473" i="44" s="1"/>
  <c r="AV473" i="44" s="1"/>
  <c r="AW473" i="44" s="1"/>
  <c r="AX473" i="44" s="1"/>
  <c r="AY473" i="44" s="1"/>
  <c r="AZ473" i="44" s="1"/>
  <c r="BA473" i="44" s="1"/>
  <c r="BB473" i="44" s="1"/>
  <c r="BC473" i="44" s="1"/>
  <c r="BD473" i="44" s="1"/>
  <c r="BE473" i="44" s="1"/>
  <c r="BF473" i="44" s="1"/>
  <c r="BG473" i="44" s="1"/>
  <c r="BH473" i="44" s="1"/>
  <c r="BI473" i="44" s="1"/>
  <c r="BJ473" i="44" s="1"/>
  <c r="BK473" i="44" s="1"/>
  <c r="BL473" i="44" s="1"/>
  <c r="BM473" i="44" s="1"/>
  <c r="BN473" i="44" s="1"/>
  <c r="BO473" i="44" s="1"/>
  <c r="BP473" i="44" s="1"/>
  <c r="BQ473" i="44" s="1"/>
  <c r="BR473" i="44" s="1"/>
  <c r="BS473" i="44" s="1"/>
  <c r="BT473" i="44" s="1"/>
  <c r="BU473" i="44" s="1"/>
  <c r="BV473" i="44" s="1"/>
  <c r="BW473" i="44" s="1"/>
  <c r="BX473" i="44" s="1"/>
  <c r="BY473" i="44" s="1"/>
  <c r="BZ473" i="44" s="1"/>
  <c r="CA473" i="44" s="1"/>
  <c r="CB473" i="44" s="1"/>
  <c r="CC473" i="44" s="1"/>
  <c r="CD473" i="44" s="1"/>
  <c r="CE473" i="44" s="1"/>
  <c r="AH472" i="44"/>
  <c r="AI472" i="44" s="1"/>
  <c r="AJ472" i="44" s="1"/>
  <c r="AK472" i="44" s="1"/>
  <c r="AL472" i="44" s="1"/>
  <c r="AM472" i="44" s="1"/>
  <c r="AN472" i="44" s="1"/>
  <c r="AO472" i="44" s="1"/>
  <c r="AP472" i="44" s="1"/>
  <c r="AQ472" i="44" s="1"/>
  <c r="AR472" i="44" s="1"/>
  <c r="AS472" i="44" s="1"/>
  <c r="AT472" i="44" s="1"/>
  <c r="AU472" i="44" s="1"/>
  <c r="AV472" i="44" s="1"/>
  <c r="AW472" i="44" s="1"/>
  <c r="AX472" i="44" s="1"/>
  <c r="AY472" i="44" s="1"/>
  <c r="AZ472" i="44" s="1"/>
  <c r="BA472" i="44" s="1"/>
  <c r="BB472" i="44" s="1"/>
  <c r="BC472" i="44" s="1"/>
  <c r="BD472" i="44" s="1"/>
  <c r="BE472" i="44" s="1"/>
  <c r="BF472" i="44" s="1"/>
  <c r="BG472" i="44" s="1"/>
  <c r="BH472" i="44" s="1"/>
  <c r="BI472" i="44" s="1"/>
  <c r="BJ472" i="44" s="1"/>
  <c r="BK472" i="44" s="1"/>
  <c r="BL472" i="44" s="1"/>
  <c r="BM472" i="44" s="1"/>
  <c r="BN472" i="44" s="1"/>
  <c r="BO472" i="44" s="1"/>
  <c r="BP472" i="44" s="1"/>
  <c r="BQ472" i="44" s="1"/>
  <c r="BR472" i="44" s="1"/>
  <c r="BS472" i="44" s="1"/>
  <c r="BT472" i="44" s="1"/>
  <c r="BU472" i="44" s="1"/>
  <c r="BV472" i="44" s="1"/>
  <c r="BW472" i="44" s="1"/>
  <c r="BX472" i="44" s="1"/>
  <c r="BY472" i="44" s="1"/>
  <c r="BZ472" i="44" s="1"/>
  <c r="CA472" i="44" s="1"/>
  <c r="CB472" i="44" s="1"/>
  <c r="CC472" i="44" s="1"/>
  <c r="CD472" i="44" s="1"/>
  <c r="CE472" i="44" s="1"/>
  <c r="AH471" i="44"/>
  <c r="AI471" i="44" s="1"/>
  <c r="AJ471" i="44" s="1"/>
  <c r="AK471" i="44" s="1"/>
  <c r="AL471" i="44" s="1"/>
  <c r="AM471" i="44" s="1"/>
  <c r="AN471" i="44" s="1"/>
  <c r="AO471" i="44" s="1"/>
  <c r="AP471" i="44" s="1"/>
  <c r="AQ471" i="44" s="1"/>
  <c r="AR471" i="44" s="1"/>
  <c r="AS471" i="44" s="1"/>
  <c r="AT471" i="44" s="1"/>
  <c r="AU471" i="44" s="1"/>
  <c r="AV471" i="44" s="1"/>
  <c r="AW471" i="44" s="1"/>
  <c r="AX471" i="44" s="1"/>
  <c r="AY471" i="44" s="1"/>
  <c r="AZ471" i="44" s="1"/>
  <c r="BA471" i="44" s="1"/>
  <c r="BB471" i="44" s="1"/>
  <c r="BC471" i="44" s="1"/>
  <c r="BD471" i="44" s="1"/>
  <c r="BE471" i="44" s="1"/>
  <c r="BF471" i="44" s="1"/>
  <c r="BG471" i="44" s="1"/>
  <c r="BH471" i="44" s="1"/>
  <c r="BI471" i="44" s="1"/>
  <c r="BJ471" i="44" s="1"/>
  <c r="BK471" i="44" s="1"/>
  <c r="BL471" i="44" s="1"/>
  <c r="BM471" i="44" s="1"/>
  <c r="BN471" i="44" s="1"/>
  <c r="BO471" i="44" s="1"/>
  <c r="BP471" i="44" s="1"/>
  <c r="BQ471" i="44" s="1"/>
  <c r="BR471" i="44" s="1"/>
  <c r="BS471" i="44" s="1"/>
  <c r="BT471" i="44" s="1"/>
  <c r="BU471" i="44" s="1"/>
  <c r="BV471" i="44" s="1"/>
  <c r="BW471" i="44" s="1"/>
  <c r="BX471" i="44" s="1"/>
  <c r="BY471" i="44" s="1"/>
  <c r="BZ471" i="44" s="1"/>
  <c r="CA471" i="44" s="1"/>
  <c r="CB471" i="44" s="1"/>
  <c r="CC471" i="44" s="1"/>
  <c r="CD471" i="44" s="1"/>
  <c r="CE471" i="44" s="1"/>
  <c r="AH470" i="44"/>
  <c r="AI470" i="44" s="1"/>
  <c r="AJ470" i="44" s="1"/>
  <c r="AK470" i="44" s="1"/>
  <c r="AL470" i="44" s="1"/>
  <c r="AM470" i="44" s="1"/>
  <c r="AN470" i="44" s="1"/>
  <c r="AO470" i="44" s="1"/>
  <c r="AP470" i="44" s="1"/>
  <c r="AQ470" i="44" s="1"/>
  <c r="AR470" i="44" s="1"/>
  <c r="AS470" i="44" s="1"/>
  <c r="AT470" i="44" s="1"/>
  <c r="AU470" i="44" s="1"/>
  <c r="AV470" i="44" s="1"/>
  <c r="AW470" i="44" s="1"/>
  <c r="AX470" i="44" s="1"/>
  <c r="AY470" i="44" s="1"/>
  <c r="AZ470" i="44" s="1"/>
  <c r="BA470" i="44" s="1"/>
  <c r="BB470" i="44" s="1"/>
  <c r="BC470" i="44" s="1"/>
  <c r="BD470" i="44" s="1"/>
  <c r="BE470" i="44" s="1"/>
  <c r="BF470" i="44" s="1"/>
  <c r="BG470" i="44" s="1"/>
  <c r="BH470" i="44" s="1"/>
  <c r="BI470" i="44" s="1"/>
  <c r="BJ470" i="44" s="1"/>
  <c r="BK470" i="44" s="1"/>
  <c r="BL470" i="44" s="1"/>
  <c r="BM470" i="44" s="1"/>
  <c r="BN470" i="44" s="1"/>
  <c r="BO470" i="44" s="1"/>
  <c r="BP470" i="44" s="1"/>
  <c r="BQ470" i="44" s="1"/>
  <c r="BR470" i="44" s="1"/>
  <c r="BS470" i="44" s="1"/>
  <c r="BT470" i="44" s="1"/>
  <c r="BU470" i="44" s="1"/>
  <c r="BV470" i="44" s="1"/>
  <c r="BW470" i="44" s="1"/>
  <c r="BX470" i="44" s="1"/>
  <c r="BY470" i="44" s="1"/>
  <c r="BZ470" i="44" s="1"/>
  <c r="CA470" i="44" s="1"/>
  <c r="CB470" i="44" s="1"/>
  <c r="CC470" i="44" s="1"/>
  <c r="CD470" i="44" s="1"/>
  <c r="CE470" i="44" s="1"/>
  <c r="AH469" i="44"/>
  <c r="AI469" i="44" s="1"/>
  <c r="AJ469" i="44" s="1"/>
  <c r="AK469" i="44" s="1"/>
  <c r="AL469" i="44" s="1"/>
  <c r="AM469" i="44" s="1"/>
  <c r="AN469" i="44" s="1"/>
  <c r="AO469" i="44" s="1"/>
  <c r="AP469" i="44" s="1"/>
  <c r="AQ469" i="44" s="1"/>
  <c r="AR469" i="44" s="1"/>
  <c r="AS469" i="44" s="1"/>
  <c r="AT469" i="44" s="1"/>
  <c r="AU469" i="44" s="1"/>
  <c r="AV469" i="44" s="1"/>
  <c r="AW469" i="44" s="1"/>
  <c r="AX469" i="44" s="1"/>
  <c r="AY469" i="44" s="1"/>
  <c r="AZ469" i="44" s="1"/>
  <c r="BA469" i="44" s="1"/>
  <c r="BB469" i="44" s="1"/>
  <c r="BC469" i="44" s="1"/>
  <c r="BD469" i="44" s="1"/>
  <c r="BE469" i="44" s="1"/>
  <c r="BF469" i="44" s="1"/>
  <c r="BG469" i="44" s="1"/>
  <c r="BH469" i="44" s="1"/>
  <c r="BI469" i="44" s="1"/>
  <c r="BJ469" i="44" s="1"/>
  <c r="BK469" i="44" s="1"/>
  <c r="BL469" i="44" s="1"/>
  <c r="BM469" i="44" s="1"/>
  <c r="BN469" i="44" s="1"/>
  <c r="BO469" i="44" s="1"/>
  <c r="BP469" i="44" s="1"/>
  <c r="BQ469" i="44" s="1"/>
  <c r="BR469" i="44" s="1"/>
  <c r="BS469" i="44" s="1"/>
  <c r="BT469" i="44" s="1"/>
  <c r="BU469" i="44" s="1"/>
  <c r="BV469" i="44" s="1"/>
  <c r="BW469" i="44" s="1"/>
  <c r="BX469" i="44" s="1"/>
  <c r="BY469" i="44" s="1"/>
  <c r="BZ469" i="44" s="1"/>
  <c r="CA469" i="44" s="1"/>
  <c r="CB469" i="44" s="1"/>
  <c r="CC469" i="44" s="1"/>
  <c r="CD469" i="44" s="1"/>
  <c r="CE469" i="44" s="1"/>
  <c r="AH467" i="44"/>
  <c r="AI467" i="44" s="1"/>
  <c r="AJ467" i="44" s="1"/>
  <c r="AK467" i="44" s="1"/>
  <c r="AL467" i="44" s="1"/>
  <c r="AM467" i="44" s="1"/>
  <c r="AN467" i="44" s="1"/>
  <c r="AO467" i="44" s="1"/>
  <c r="AP467" i="44" s="1"/>
  <c r="AQ467" i="44" s="1"/>
  <c r="AR467" i="44" s="1"/>
  <c r="AS467" i="44" s="1"/>
  <c r="AT467" i="44" s="1"/>
  <c r="AU467" i="44" s="1"/>
  <c r="AV467" i="44" s="1"/>
  <c r="AW467" i="44" s="1"/>
  <c r="AX467" i="44" s="1"/>
  <c r="AY467" i="44" s="1"/>
  <c r="AZ467" i="44" s="1"/>
  <c r="BA467" i="44" s="1"/>
  <c r="BB467" i="44" s="1"/>
  <c r="BC467" i="44" s="1"/>
  <c r="BD467" i="44" s="1"/>
  <c r="BE467" i="44" s="1"/>
  <c r="BF467" i="44" s="1"/>
  <c r="BG467" i="44" s="1"/>
  <c r="BH467" i="44" s="1"/>
  <c r="BI467" i="44" s="1"/>
  <c r="BJ467" i="44" s="1"/>
  <c r="BK467" i="44" s="1"/>
  <c r="BL467" i="44" s="1"/>
  <c r="BM467" i="44" s="1"/>
  <c r="BN467" i="44" s="1"/>
  <c r="BO467" i="44" s="1"/>
  <c r="BP467" i="44" s="1"/>
  <c r="BQ467" i="44" s="1"/>
  <c r="BR467" i="44" s="1"/>
  <c r="BS467" i="44" s="1"/>
  <c r="BT467" i="44" s="1"/>
  <c r="BU467" i="44" s="1"/>
  <c r="BV467" i="44" s="1"/>
  <c r="BW467" i="44" s="1"/>
  <c r="BX467" i="44" s="1"/>
  <c r="BY467" i="44" s="1"/>
  <c r="BZ467" i="44" s="1"/>
  <c r="CA467" i="44" s="1"/>
  <c r="CB467" i="44" s="1"/>
  <c r="CC467" i="44" s="1"/>
  <c r="CD467" i="44" s="1"/>
  <c r="CE467" i="44" s="1"/>
  <c r="AH466" i="44"/>
  <c r="AI466" i="44" s="1"/>
  <c r="AJ466" i="44" s="1"/>
  <c r="AK466" i="44" s="1"/>
  <c r="AL466" i="44" s="1"/>
  <c r="AM466" i="44" s="1"/>
  <c r="AN466" i="44" s="1"/>
  <c r="AO466" i="44" s="1"/>
  <c r="AP466" i="44" s="1"/>
  <c r="AQ466" i="44" s="1"/>
  <c r="AR466" i="44" s="1"/>
  <c r="AS466" i="44" s="1"/>
  <c r="AT466" i="44" s="1"/>
  <c r="AU466" i="44" s="1"/>
  <c r="AV466" i="44" s="1"/>
  <c r="AW466" i="44" s="1"/>
  <c r="AX466" i="44" s="1"/>
  <c r="AY466" i="44" s="1"/>
  <c r="AZ466" i="44" s="1"/>
  <c r="BA466" i="44" s="1"/>
  <c r="BB466" i="44" s="1"/>
  <c r="BC466" i="44" s="1"/>
  <c r="BD466" i="44" s="1"/>
  <c r="BE466" i="44" s="1"/>
  <c r="BF466" i="44" s="1"/>
  <c r="BG466" i="44" s="1"/>
  <c r="BH466" i="44" s="1"/>
  <c r="BI466" i="44" s="1"/>
  <c r="BJ466" i="44" s="1"/>
  <c r="BK466" i="44" s="1"/>
  <c r="BL466" i="44" s="1"/>
  <c r="BM466" i="44" s="1"/>
  <c r="BN466" i="44" s="1"/>
  <c r="BO466" i="44" s="1"/>
  <c r="BP466" i="44" s="1"/>
  <c r="BQ466" i="44" s="1"/>
  <c r="BR466" i="44" s="1"/>
  <c r="BS466" i="44" s="1"/>
  <c r="BT466" i="44" s="1"/>
  <c r="BU466" i="44" s="1"/>
  <c r="BV466" i="44" s="1"/>
  <c r="BW466" i="44" s="1"/>
  <c r="BX466" i="44" s="1"/>
  <c r="BY466" i="44" s="1"/>
  <c r="BZ466" i="44" s="1"/>
  <c r="CA466" i="44" s="1"/>
  <c r="CB466" i="44" s="1"/>
  <c r="CC466" i="44" s="1"/>
  <c r="CD466" i="44" s="1"/>
  <c r="CE466" i="44" s="1"/>
  <c r="AI464" i="44"/>
  <c r="AJ464" i="44" s="1"/>
  <c r="AK464" i="44" s="1"/>
  <c r="AL464" i="44" s="1"/>
  <c r="AM464" i="44" s="1"/>
  <c r="AN464" i="44" s="1"/>
  <c r="AO464" i="44" s="1"/>
  <c r="AP464" i="44" s="1"/>
  <c r="AQ464" i="44" s="1"/>
  <c r="AR464" i="44" s="1"/>
  <c r="AS464" i="44" s="1"/>
  <c r="AT464" i="44" s="1"/>
  <c r="AU464" i="44" s="1"/>
  <c r="AV464" i="44" s="1"/>
  <c r="AW464" i="44" s="1"/>
  <c r="AX464" i="44" s="1"/>
  <c r="AY464" i="44" s="1"/>
  <c r="AZ464" i="44" s="1"/>
  <c r="BA464" i="44" s="1"/>
  <c r="BB464" i="44" s="1"/>
  <c r="BC464" i="44" s="1"/>
  <c r="BD464" i="44" s="1"/>
  <c r="BE464" i="44" s="1"/>
  <c r="BF464" i="44" s="1"/>
  <c r="BG464" i="44" s="1"/>
  <c r="BH464" i="44" s="1"/>
  <c r="BI464" i="44" s="1"/>
  <c r="BJ464" i="44" s="1"/>
  <c r="BK464" i="44" s="1"/>
  <c r="BL464" i="44" s="1"/>
  <c r="BM464" i="44" s="1"/>
  <c r="BN464" i="44" s="1"/>
  <c r="BO464" i="44" s="1"/>
  <c r="BP464" i="44" s="1"/>
  <c r="BQ464" i="44" s="1"/>
  <c r="BR464" i="44" s="1"/>
  <c r="BS464" i="44" s="1"/>
  <c r="BT464" i="44" s="1"/>
  <c r="BU464" i="44" s="1"/>
  <c r="BV464" i="44" s="1"/>
  <c r="BW464" i="44" s="1"/>
  <c r="BX464" i="44" s="1"/>
  <c r="BY464" i="44" s="1"/>
  <c r="BZ464" i="44" s="1"/>
  <c r="CA464" i="44" s="1"/>
  <c r="CB464" i="44" s="1"/>
  <c r="CC464" i="44" s="1"/>
  <c r="CD464" i="44" s="1"/>
  <c r="CE464" i="44" s="1"/>
  <c r="AH464" i="44"/>
  <c r="AH463" i="44"/>
  <c r="AI463" i="44" s="1"/>
  <c r="AJ463" i="44" s="1"/>
  <c r="AK463" i="44" s="1"/>
  <c r="AL463" i="44" s="1"/>
  <c r="AM463" i="44" s="1"/>
  <c r="AN463" i="44" s="1"/>
  <c r="AO463" i="44" s="1"/>
  <c r="AP463" i="44" s="1"/>
  <c r="AQ463" i="44" s="1"/>
  <c r="AR463" i="44" s="1"/>
  <c r="AS463" i="44" s="1"/>
  <c r="AT463" i="44" s="1"/>
  <c r="AU463" i="44" s="1"/>
  <c r="AV463" i="44" s="1"/>
  <c r="AW463" i="44" s="1"/>
  <c r="AX463" i="44" s="1"/>
  <c r="AY463" i="44" s="1"/>
  <c r="AZ463" i="44" s="1"/>
  <c r="BA463" i="44" s="1"/>
  <c r="BB463" i="44" s="1"/>
  <c r="BC463" i="44" s="1"/>
  <c r="BD463" i="44" s="1"/>
  <c r="BE463" i="44" s="1"/>
  <c r="BF463" i="44" s="1"/>
  <c r="BG463" i="44" s="1"/>
  <c r="BH463" i="44" s="1"/>
  <c r="BI463" i="44" s="1"/>
  <c r="BJ463" i="44" s="1"/>
  <c r="BK463" i="44" s="1"/>
  <c r="BL463" i="44" s="1"/>
  <c r="BM463" i="44" s="1"/>
  <c r="BN463" i="44" s="1"/>
  <c r="BO463" i="44" s="1"/>
  <c r="BP463" i="44" s="1"/>
  <c r="BQ463" i="44" s="1"/>
  <c r="BR463" i="44" s="1"/>
  <c r="BS463" i="44" s="1"/>
  <c r="BT463" i="44" s="1"/>
  <c r="BU463" i="44" s="1"/>
  <c r="BV463" i="44" s="1"/>
  <c r="BW463" i="44" s="1"/>
  <c r="BX463" i="44" s="1"/>
  <c r="BY463" i="44" s="1"/>
  <c r="BZ463" i="44" s="1"/>
  <c r="CA463" i="44" s="1"/>
  <c r="CB463" i="44" s="1"/>
  <c r="CC463" i="44" s="1"/>
  <c r="CD463" i="44" s="1"/>
  <c r="CE463" i="44" s="1"/>
  <c r="AH462" i="44"/>
  <c r="AI462" i="44" s="1"/>
  <c r="AJ462" i="44" s="1"/>
  <c r="AK462" i="44" s="1"/>
  <c r="AL462" i="44" s="1"/>
  <c r="AM462" i="44" s="1"/>
  <c r="AN462" i="44" s="1"/>
  <c r="AO462" i="44" s="1"/>
  <c r="AP462" i="44" s="1"/>
  <c r="AQ462" i="44" s="1"/>
  <c r="AR462" i="44" s="1"/>
  <c r="AS462" i="44" s="1"/>
  <c r="AT462" i="44" s="1"/>
  <c r="AU462" i="44" s="1"/>
  <c r="AV462" i="44" s="1"/>
  <c r="AW462" i="44" s="1"/>
  <c r="AX462" i="44" s="1"/>
  <c r="AY462" i="44" s="1"/>
  <c r="AZ462" i="44" s="1"/>
  <c r="BA462" i="44" s="1"/>
  <c r="BB462" i="44" s="1"/>
  <c r="BC462" i="44" s="1"/>
  <c r="BD462" i="44" s="1"/>
  <c r="BE462" i="44" s="1"/>
  <c r="BF462" i="44" s="1"/>
  <c r="BG462" i="44" s="1"/>
  <c r="BH462" i="44" s="1"/>
  <c r="BI462" i="44" s="1"/>
  <c r="BJ462" i="44" s="1"/>
  <c r="BK462" i="44" s="1"/>
  <c r="BL462" i="44" s="1"/>
  <c r="BM462" i="44" s="1"/>
  <c r="BN462" i="44" s="1"/>
  <c r="BO462" i="44" s="1"/>
  <c r="BP462" i="44" s="1"/>
  <c r="BQ462" i="44" s="1"/>
  <c r="BR462" i="44" s="1"/>
  <c r="BS462" i="44" s="1"/>
  <c r="BT462" i="44" s="1"/>
  <c r="BU462" i="44" s="1"/>
  <c r="BV462" i="44" s="1"/>
  <c r="BW462" i="44" s="1"/>
  <c r="BX462" i="44" s="1"/>
  <c r="BY462" i="44" s="1"/>
  <c r="BZ462" i="44" s="1"/>
  <c r="CA462" i="44" s="1"/>
  <c r="CB462" i="44" s="1"/>
  <c r="CC462" i="44" s="1"/>
  <c r="CD462" i="44" s="1"/>
  <c r="CE462" i="44" s="1"/>
  <c r="AH461" i="44"/>
  <c r="AI461" i="44" s="1"/>
  <c r="AJ461" i="44" s="1"/>
  <c r="AK461" i="44" s="1"/>
  <c r="AL461" i="44" s="1"/>
  <c r="AM461" i="44" s="1"/>
  <c r="AN461" i="44" s="1"/>
  <c r="AO461" i="44" s="1"/>
  <c r="AP461" i="44" s="1"/>
  <c r="AQ461" i="44" s="1"/>
  <c r="AR461" i="44" s="1"/>
  <c r="AS461" i="44" s="1"/>
  <c r="AT461" i="44" s="1"/>
  <c r="AU461" i="44" s="1"/>
  <c r="AV461" i="44" s="1"/>
  <c r="AW461" i="44" s="1"/>
  <c r="AX461" i="44" s="1"/>
  <c r="AY461" i="44" s="1"/>
  <c r="AZ461" i="44" s="1"/>
  <c r="BA461" i="44" s="1"/>
  <c r="BB461" i="44" s="1"/>
  <c r="BC461" i="44" s="1"/>
  <c r="BD461" i="44" s="1"/>
  <c r="BE461" i="44" s="1"/>
  <c r="BF461" i="44" s="1"/>
  <c r="BG461" i="44" s="1"/>
  <c r="BH461" i="44" s="1"/>
  <c r="BI461" i="44" s="1"/>
  <c r="BJ461" i="44" s="1"/>
  <c r="BK461" i="44" s="1"/>
  <c r="BL461" i="44" s="1"/>
  <c r="BM461" i="44" s="1"/>
  <c r="BN461" i="44" s="1"/>
  <c r="BO461" i="44" s="1"/>
  <c r="BP461" i="44" s="1"/>
  <c r="BQ461" i="44" s="1"/>
  <c r="BR461" i="44" s="1"/>
  <c r="BS461" i="44" s="1"/>
  <c r="BT461" i="44" s="1"/>
  <c r="BU461" i="44" s="1"/>
  <c r="BV461" i="44" s="1"/>
  <c r="BW461" i="44" s="1"/>
  <c r="BX461" i="44" s="1"/>
  <c r="BY461" i="44" s="1"/>
  <c r="BZ461" i="44" s="1"/>
  <c r="CA461" i="44" s="1"/>
  <c r="CB461" i="44" s="1"/>
  <c r="CC461" i="44" s="1"/>
  <c r="CD461" i="44" s="1"/>
  <c r="CE461" i="44" s="1"/>
  <c r="AH460" i="44"/>
  <c r="AI460" i="44" s="1"/>
  <c r="AJ460" i="44" s="1"/>
  <c r="AK460" i="44" s="1"/>
  <c r="AL460" i="44" s="1"/>
  <c r="AM460" i="44" s="1"/>
  <c r="AN460" i="44" s="1"/>
  <c r="AO460" i="44" s="1"/>
  <c r="AP460" i="44" s="1"/>
  <c r="AQ460" i="44" s="1"/>
  <c r="AR460" i="44" s="1"/>
  <c r="AS460" i="44" s="1"/>
  <c r="AT460" i="44" s="1"/>
  <c r="AU460" i="44" s="1"/>
  <c r="AV460" i="44" s="1"/>
  <c r="AW460" i="44" s="1"/>
  <c r="AX460" i="44" s="1"/>
  <c r="AY460" i="44" s="1"/>
  <c r="AZ460" i="44" s="1"/>
  <c r="BA460" i="44" s="1"/>
  <c r="BB460" i="44" s="1"/>
  <c r="BC460" i="44" s="1"/>
  <c r="BD460" i="44" s="1"/>
  <c r="BE460" i="44" s="1"/>
  <c r="BF460" i="44" s="1"/>
  <c r="BG460" i="44" s="1"/>
  <c r="BH460" i="44" s="1"/>
  <c r="BI460" i="44" s="1"/>
  <c r="BJ460" i="44" s="1"/>
  <c r="BK460" i="44" s="1"/>
  <c r="BL460" i="44" s="1"/>
  <c r="BM460" i="44" s="1"/>
  <c r="BN460" i="44" s="1"/>
  <c r="BO460" i="44" s="1"/>
  <c r="BP460" i="44" s="1"/>
  <c r="BQ460" i="44" s="1"/>
  <c r="BR460" i="44" s="1"/>
  <c r="BS460" i="44" s="1"/>
  <c r="BT460" i="44" s="1"/>
  <c r="BU460" i="44" s="1"/>
  <c r="BV460" i="44" s="1"/>
  <c r="BW460" i="44" s="1"/>
  <c r="BX460" i="44" s="1"/>
  <c r="BY460" i="44" s="1"/>
  <c r="BZ460" i="44" s="1"/>
  <c r="CA460" i="44" s="1"/>
  <c r="CB460" i="44" s="1"/>
  <c r="CC460" i="44" s="1"/>
  <c r="CD460" i="44" s="1"/>
  <c r="CE460" i="44" s="1"/>
  <c r="AH459" i="44"/>
  <c r="AI459" i="44" s="1"/>
  <c r="AJ459" i="44" s="1"/>
  <c r="AK459" i="44" s="1"/>
  <c r="AL459" i="44" s="1"/>
  <c r="AM459" i="44" s="1"/>
  <c r="AN459" i="44" s="1"/>
  <c r="AO459" i="44" s="1"/>
  <c r="AP459" i="44" s="1"/>
  <c r="AQ459" i="44" s="1"/>
  <c r="AR459" i="44" s="1"/>
  <c r="AS459" i="44" s="1"/>
  <c r="AT459" i="44" s="1"/>
  <c r="AU459" i="44" s="1"/>
  <c r="AV459" i="44" s="1"/>
  <c r="AW459" i="44" s="1"/>
  <c r="AX459" i="44" s="1"/>
  <c r="AY459" i="44" s="1"/>
  <c r="AZ459" i="44" s="1"/>
  <c r="BA459" i="44" s="1"/>
  <c r="BB459" i="44" s="1"/>
  <c r="BC459" i="44" s="1"/>
  <c r="BD459" i="44" s="1"/>
  <c r="BE459" i="44" s="1"/>
  <c r="BF459" i="44" s="1"/>
  <c r="BG459" i="44" s="1"/>
  <c r="BH459" i="44" s="1"/>
  <c r="BI459" i="44" s="1"/>
  <c r="BJ459" i="44" s="1"/>
  <c r="BK459" i="44" s="1"/>
  <c r="BL459" i="44" s="1"/>
  <c r="BM459" i="44" s="1"/>
  <c r="BN459" i="44" s="1"/>
  <c r="BO459" i="44" s="1"/>
  <c r="BP459" i="44" s="1"/>
  <c r="BQ459" i="44" s="1"/>
  <c r="BR459" i="44" s="1"/>
  <c r="BS459" i="44" s="1"/>
  <c r="BT459" i="44" s="1"/>
  <c r="BU459" i="44" s="1"/>
  <c r="BV459" i="44" s="1"/>
  <c r="BW459" i="44" s="1"/>
  <c r="BX459" i="44" s="1"/>
  <c r="BY459" i="44" s="1"/>
  <c r="BZ459" i="44" s="1"/>
  <c r="CA459" i="44" s="1"/>
  <c r="CB459" i="44" s="1"/>
  <c r="CC459" i="44" s="1"/>
  <c r="CD459" i="44" s="1"/>
  <c r="CE459" i="44" s="1"/>
  <c r="AH458" i="44"/>
  <c r="AI458" i="44" s="1"/>
  <c r="AJ458" i="44" s="1"/>
  <c r="AK458" i="44" s="1"/>
  <c r="AL458" i="44" s="1"/>
  <c r="AM458" i="44" s="1"/>
  <c r="AN458" i="44" s="1"/>
  <c r="AO458" i="44" s="1"/>
  <c r="AP458" i="44" s="1"/>
  <c r="AQ458" i="44" s="1"/>
  <c r="AR458" i="44" s="1"/>
  <c r="AS458" i="44" s="1"/>
  <c r="AT458" i="44" s="1"/>
  <c r="AU458" i="44" s="1"/>
  <c r="AV458" i="44" s="1"/>
  <c r="AW458" i="44" s="1"/>
  <c r="AX458" i="44" s="1"/>
  <c r="AY458" i="44" s="1"/>
  <c r="AZ458" i="44" s="1"/>
  <c r="BA458" i="44" s="1"/>
  <c r="BB458" i="44" s="1"/>
  <c r="BC458" i="44" s="1"/>
  <c r="BD458" i="44" s="1"/>
  <c r="BE458" i="44" s="1"/>
  <c r="BF458" i="44" s="1"/>
  <c r="BG458" i="44" s="1"/>
  <c r="BH458" i="44" s="1"/>
  <c r="BI458" i="44" s="1"/>
  <c r="BJ458" i="44" s="1"/>
  <c r="BK458" i="44" s="1"/>
  <c r="BL458" i="44" s="1"/>
  <c r="BM458" i="44" s="1"/>
  <c r="BN458" i="44" s="1"/>
  <c r="BO458" i="44" s="1"/>
  <c r="BP458" i="44" s="1"/>
  <c r="BQ458" i="44" s="1"/>
  <c r="BR458" i="44" s="1"/>
  <c r="BS458" i="44" s="1"/>
  <c r="BT458" i="44" s="1"/>
  <c r="BU458" i="44" s="1"/>
  <c r="BV458" i="44" s="1"/>
  <c r="BW458" i="44" s="1"/>
  <c r="BX458" i="44" s="1"/>
  <c r="BY458" i="44" s="1"/>
  <c r="BZ458" i="44" s="1"/>
  <c r="CA458" i="44" s="1"/>
  <c r="CB458" i="44" s="1"/>
  <c r="CC458" i="44" s="1"/>
  <c r="CD458" i="44" s="1"/>
  <c r="CE458" i="44" s="1"/>
  <c r="AH457" i="44"/>
  <c r="AI457" i="44" s="1"/>
  <c r="AJ457" i="44" s="1"/>
  <c r="AK457" i="44" s="1"/>
  <c r="AL457" i="44" s="1"/>
  <c r="AM457" i="44" s="1"/>
  <c r="AN457" i="44" s="1"/>
  <c r="AO457" i="44" s="1"/>
  <c r="AP457" i="44" s="1"/>
  <c r="AQ457" i="44" s="1"/>
  <c r="AR457" i="44" s="1"/>
  <c r="AS457" i="44" s="1"/>
  <c r="AT457" i="44" s="1"/>
  <c r="AU457" i="44" s="1"/>
  <c r="AV457" i="44" s="1"/>
  <c r="AW457" i="44" s="1"/>
  <c r="AX457" i="44" s="1"/>
  <c r="AY457" i="44" s="1"/>
  <c r="AZ457" i="44" s="1"/>
  <c r="BA457" i="44" s="1"/>
  <c r="BB457" i="44" s="1"/>
  <c r="BC457" i="44" s="1"/>
  <c r="BD457" i="44" s="1"/>
  <c r="BE457" i="44" s="1"/>
  <c r="BF457" i="44" s="1"/>
  <c r="BG457" i="44" s="1"/>
  <c r="BH457" i="44" s="1"/>
  <c r="BI457" i="44" s="1"/>
  <c r="BJ457" i="44" s="1"/>
  <c r="BK457" i="44" s="1"/>
  <c r="BL457" i="44" s="1"/>
  <c r="BM457" i="44" s="1"/>
  <c r="BN457" i="44" s="1"/>
  <c r="BO457" i="44" s="1"/>
  <c r="BP457" i="44" s="1"/>
  <c r="BQ457" i="44" s="1"/>
  <c r="BR457" i="44" s="1"/>
  <c r="BS457" i="44" s="1"/>
  <c r="BT457" i="44" s="1"/>
  <c r="BU457" i="44" s="1"/>
  <c r="BV457" i="44" s="1"/>
  <c r="BW457" i="44" s="1"/>
  <c r="BX457" i="44" s="1"/>
  <c r="BY457" i="44" s="1"/>
  <c r="BZ457" i="44" s="1"/>
  <c r="CA457" i="44" s="1"/>
  <c r="CB457" i="44" s="1"/>
  <c r="CC457" i="44" s="1"/>
  <c r="CD457" i="44" s="1"/>
  <c r="CE457" i="44" s="1"/>
  <c r="AH456" i="44"/>
  <c r="AI456" i="44" s="1"/>
  <c r="AJ456" i="44" s="1"/>
  <c r="AK456" i="44" s="1"/>
  <c r="AL456" i="44" s="1"/>
  <c r="AM456" i="44" s="1"/>
  <c r="AN456" i="44" s="1"/>
  <c r="AO456" i="44" s="1"/>
  <c r="AP456" i="44" s="1"/>
  <c r="AQ456" i="44" s="1"/>
  <c r="AR456" i="44" s="1"/>
  <c r="AS456" i="44" s="1"/>
  <c r="AT456" i="44" s="1"/>
  <c r="AU456" i="44" s="1"/>
  <c r="AV456" i="44" s="1"/>
  <c r="AW456" i="44" s="1"/>
  <c r="AX456" i="44" s="1"/>
  <c r="AY456" i="44" s="1"/>
  <c r="AZ456" i="44" s="1"/>
  <c r="BA456" i="44" s="1"/>
  <c r="BB456" i="44" s="1"/>
  <c r="BC456" i="44" s="1"/>
  <c r="BD456" i="44" s="1"/>
  <c r="BE456" i="44" s="1"/>
  <c r="BF456" i="44" s="1"/>
  <c r="BG456" i="44" s="1"/>
  <c r="BH456" i="44" s="1"/>
  <c r="BI456" i="44" s="1"/>
  <c r="BJ456" i="44" s="1"/>
  <c r="BK456" i="44" s="1"/>
  <c r="BL456" i="44" s="1"/>
  <c r="BM456" i="44" s="1"/>
  <c r="BN456" i="44" s="1"/>
  <c r="BO456" i="44" s="1"/>
  <c r="BP456" i="44" s="1"/>
  <c r="BQ456" i="44" s="1"/>
  <c r="BR456" i="44" s="1"/>
  <c r="BS456" i="44" s="1"/>
  <c r="BT456" i="44" s="1"/>
  <c r="BU456" i="44" s="1"/>
  <c r="BV456" i="44" s="1"/>
  <c r="BW456" i="44" s="1"/>
  <c r="BX456" i="44" s="1"/>
  <c r="BY456" i="44" s="1"/>
  <c r="BZ456" i="44" s="1"/>
  <c r="CA456" i="44" s="1"/>
  <c r="CB456" i="44" s="1"/>
  <c r="CC456" i="44" s="1"/>
  <c r="CD456" i="44" s="1"/>
  <c r="CE456" i="44" s="1"/>
  <c r="AH455" i="44"/>
  <c r="AI455" i="44" s="1"/>
  <c r="AJ455" i="44" s="1"/>
  <c r="AK455" i="44" s="1"/>
  <c r="AL455" i="44" s="1"/>
  <c r="AM455" i="44" s="1"/>
  <c r="AN455" i="44" s="1"/>
  <c r="AO455" i="44" s="1"/>
  <c r="AP455" i="44" s="1"/>
  <c r="AQ455" i="44" s="1"/>
  <c r="AR455" i="44" s="1"/>
  <c r="AS455" i="44" s="1"/>
  <c r="AT455" i="44" s="1"/>
  <c r="AU455" i="44" s="1"/>
  <c r="AV455" i="44" s="1"/>
  <c r="AW455" i="44" s="1"/>
  <c r="AX455" i="44" s="1"/>
  <c r="AY455" i="44" s="1"/>
  <c r="AZ455" i="44" s="1"/>
  <c r="BA455" i="44" s="1"/>
  <c r="BB455" i="44" s="1"/>
  <c r="BC455" i="44" s="1"/>
  <c r="BD455" i="44" s="1"/>
  <c r="BE455" i="44" s="1"/>
  <c r="BF455" i="44" s="1"/>
  <c r="BG455" i="44" s="1"/>
  <c r="BH455" i="44" s="1"/>
  <c r="BI455" i="44" s="1"/>
  <c r="BJ455" i="44" s="1"/>
  <c r="BK455" i="44" s="1"/>
  <c r="BL455" i="44" s="1"/>
  <c r="BM455" i="44" s="1"/>
  <c r="BN455" i="44" s="1"/>
  <c r="BO455" i="44" s="1"/>
  <c r="BP455" i="44" s="1"/>
  <c r="BQ455" i="44" s="1"/>
  <c r="BR455" i="44" s="1"/>
  <c r="BS455" i="44" s="1"/>
  <c r="BT455" i="44" s="1"/>
  <c r="BU455" i="44" s="1"/>
  <c r="BV455" i="44" s="1"/>
  <c r="BW455" i="44" s="1"/>
  <c r="BX455" i="44" s="1"/>
  <c r="BY455" i="44" s="1"/>
  <c r="BZ455" i="44" s="1"/>
  <c r="CA455" i="44" s="1"/>
  <c r="CB455" i="44" s="1"/>
  <c r="CC455" i="44" s="1"/>
  <c r="CD455" i="44" s="1"/>
  <c r="CE455" i="44" s="1"/>
  <c r="AH454" i="44"/>
  <c r="AI454" i="44" s="1"/>
  <c r="AJ454" i="44" s="1"/>
  <c r="AK454" i="44" s="1"/>
  <c r="AL454" i="44" s="1"/>
  <c r="AM454" i="44" s="1"/>
  <c r="AN454" i="44" s="1"/>
  <c r="AO454" i="44" s="1"/>
  <c r="AP454" i="44" s="1"/>
  <c r="AQ454" i="44" s="1"/>
  <c r="AR454" i="44" s="1"/>
  <c r="AS454" i="44" s="1"/>
  <c r="AT454" i="44" s="1"/>
  <c r="AU454" i="44" s="1"/>
  <c r="AV454" i="44" s="1"/>
  <c r="AW454" i="44" s="1"/>
  <c r="AX454" i="44" s="1"/>
  <c r="AY454" i="44" s="1"/>
  <c r="AZ454" i="44" s="1"/>
  <c r="BA454" i="44" s="1"/>
  <c r="BB454" i="44" s="1"/>
  <c r="BC454" i="44" s="1"/>
  <c r="BD454" i="44" s="1"/>
  <c r="BE454" i="44" s="1"/>
  <c r="BF454" i="44" s="1"/>
  <c r="BG454" i="44" s="1"/>
  <c r="BH454" i="44" s="1"/>
  <c r="BI454" i="44" s="1"/>
  <c r="BJ454" i="44" s="1"/>
  <c r="BK454" i="44" s="1"/>
  <c r="BL454" i="44" s="1"/>
  <c r="BM454" i="44" s="1"/>
  <c r="BN454" i="44" s="1"/>
  <c r="BO454" i="44" s="1"/>
  <c r="BP454" i="44" s="1"/>
  <c r="BQ454" i="44" s="1"/>
  <c r="BR454" i="44" s="1"/>
  <c r="BS454" i="44" s="1"/>
  <c r="BT454" i="44" s="1"/>
  <c r="BU454" i="44" s="1"/>
  <c r="BV454" i="44" s="1"/>
  <c r="BW454" i="44" s="1"/>
  <c r="BX454" i="44" s="1"/>
  <c r="BY454" i="44" s="1"/>
  <c r="BZ454" i="44" s="1"/>
  <c r="CA454" i="44" s="1"/>
  <c r="CB454" i="44" s="1"/>
  <c r="CC454" i="44" s="1"/>
  <c r="CD454" i="44" s="1"/>
  <c r="CE454" i="44" s="1"/>
  <c r="F453" i="44"/>
  <c r="G453" i="44" s="1"/>
  <c r="H453" i="44" s="1"/>
  <c r="I453" i="44" s="1"/>
  <c r="J453" i="44" s="1"/>
  <c r="K453" i="44" s="1"/>
  <c r="L453" i="44" s="1"/>
  <c r="M453" i="44" s="1"/>
  <c r="N453" i="44" s="1"/>
  <c r="O453" i="44" s="1"/>
  <c r="P453" i="44" s="1"/>
  <c r="Q453" i="44" s="1"/>
  <c r="R453" i="44" s="1"/>
  <c r="S453" i="44" s="1"/>
  <c r="T453" i="44" s="1"/>
  <c r="U453" i="44" s="1"/>
  <c r="V453" i="44" s="1"/>
  <c r="W453" i="44" s="1"/>
  <c r="X453" i="44" s="1"/>
  <c r="Y453" i="44" s="1"/>
  <c r="Z453" i="44" s="1"/>
  <c r="AA453" i="44" s="1"/>
  <c r="AB453" i="44" s="1"/>
  <c r="AC453" i="44" s="1"/>
  <c r="AD453" i="44" s="1"/>
  <c r="AE453" i="44" s="1"/>
  <c r="AF453" i="44" s="1"/>
  <c r="AG453" i="44" s="1"/>
  <c r="AH453" i="44" s="1"/>
  <c r="AI453" i="44" s="1"/>
  <c r="AJ453" i="44" s="1"/>
  <c r="AK453" i="44" s="1"/>
  <c r="AL453" i="44" s="1"/>
  <c r="AM453" i="44" s="1"/>
  <c r="AN453" i="44" s="1"/>
  <c r="AO453" i="44" s="1"/>
  <c r="AP453" i="44" s="1"/>
  <c r="AQ453" i="44" s="1"/>
  <c r="AR453" i="44" s="1"/>
  <c r="AS453" i="44" s="1"/>
  <c r="AT453" i="44" s="1"/>
  <c r="AU453" i="44" s="1"/>
  <c r="AV453" i="44" s="1"/>
  <c r="AW453" i="44" s="1"/>
  <c r="AX453" i="44" s="1"/>
  <c r="AY453" i="44" s="1"/>
  <c r="AZ453" i="44" s="1"/>
  <c r="BA453" i="44" s="1"/>
  <c r="BB453" i="44" s="1"/>
  <c r="BC453" i="44" s="1"/>
  <c r="BD453" i="44" s="1"/>
  <c r="BE453" i="44" s="1"/>
  <c r="BF453" i="44" s="1"/>
  <c r="BG453" i="44" s="1"/>
  <c r="BH453" i="44" s="1"/>
  <c r="BI453" i="44" s="1"/>
  <c r="BJ453" i="44" s="1"/>
  <c r="BK453" i="44" s="1"/>
  <c r="BL453" i="44" s="1"/>
  <c r="BM453" i="44" s="1"/>
  <c r="BN453" i="44" s="1"/>
  <c r="BO453" i="44" s="1"/>
  <c r="BP453" i="44" s="1"/>
  <c r="BQ453" i="44" s="1"/>
  <c r="BR453" i="44" s="1"/>
  <c r="BS453" i="44" s="1"/>
  <c r="BT453" i="44" s="1"/>
  <c r="BU453" i="44" s="1"/>
  <c r="BV453" i="44" s="1"/>
  <c r="BW453" i="44" s="1"/>
  <c r="BX453" i="44" s="1"/>
  <c r="BY453" i="44" s="1"/>
  <c r="BZ453" i="44" s="1"/>
  <c r="CA453" i="44" s="1"/>
  <c r="CB453" i="44" s="1"/>
  <c r="CC453" i="44" s="1"/>
  <c r="CD453" i="44" s="1"/>
  <c r="CE453" i="44" s="1"/>
  <c r="AI451" i="44"/>
  <c r="AJ451" i="44" s="1"/>
  <c r="AK451" i="44" s="1"/>
  <c r="AL451" i="44" s="1"/>
  <c r="AM451" i="44" s="1"/>
  <c r="AN451" i="44" s="1"/>
  <c r="AO451" i="44" s="1"/>
  <c r="AP451" i="44" s="1"/>
  <c r="AQ451" i="44" s="1"/>
  <c r="AR451" i="44" s="1"/>
  <c r="AS451" i="44" s="1"/>
  <c r="AT451" i="44" s="1"/>
  <c r="AU451" i="44" s="1"/>
  <c r="AV451" i="44" s="1"/>
  <c r="AW451" i="44" s="1"/>
  <c r="AX451" i="44" s="1"/>
  <c r="AY451" i="44" s="1"/>
  <c r="AZ451" i="44" s="1"/>
  <c r="BA451" i="44" s="1"/>
  <c r="BB451" i="44" s="1"/>
  <c r="BC451" i="44" s="1"/>
  <c r="BD451" i="44" s="1"/>
  <c r="BE451" i="44" s="1"/>
  <c r="BF451" i="44" s="1"/>
  <c r="BG451" i="44" s="1"/>
  <c r="BH451" i="44" s="1"/>
  <c r="BI451" i="44" s="1"/>
  <c r="BJ451" i="44" s="1"/>
  <c r="BK451" i="44" s="1"/>
  <c r="BL451" i="44" s="1"/>
  <c r="BM451" i="44" s="1"/>
  <c r="BN451" i="44" s="1"/>
  <c r="BO451" i="44" s="1"/>
  <c r="BP451" i="44" s="1"/>
  <c r="BQ451" i="44" s="1"/>
  <c r="BR451" i="44" s="1"/>
  <c r="BS451" i="44" s="1"/>
  <c r="BT451" i="44" s="1"/>
  <c r="BU451" i="44" s="1"/>
  <c r="BV451" i="44" s="1"/>
  <c r="BW451" i="44" s="1"/>
  <c r="BX451" i="44" s="1"/>
  <c r="BY451" i="44" s="1"/>
  <c r="BZ451" i="44" s="1"/>
  <c r="CA451" i="44" s="1"/>
  <c r="CB451" i="44" s="1"/>
  <c r="CC451" i="44" s="1"/>
  <c r="CD451" i="44" s="1"/>
  <c r="CE451" i="44" s="1"/>
  <c r="AH451" i="44"/>
  <c r="AH450" i="44"/>
  <c r="AI450" i="44" s="1"/>
  <c r="AJ450" i="44" s="1"/>
  <c r="AK450" i="44" s="1"/>
  <c r="AL450" i="44" s="1"/>
  <c r="AM450" i="44" s="1"/>
  <c r="AN450" i="44" s="1"/>
  <c r="AO450" i="44" s="1"/>
  <c r="AP450" i="44" s="1"/>
  <c r="AQ450" i="44" s="1"/>
  <c r="AR450" i="44" s="1"/>
  <c r="AS450" i="44" s="1"/>
  <c r="AT450" i="44" s="1"/>
  <c r="AU450" i="44" s="1"/>
  <c r="AV450" i="44" s="1"/>
  <c r="AW450" i="44" s="1"/>
  <c r="AX450" i="44" s="1"/>
  <c r="AY450" i="44" s="1"/>
  <c r="AZ450" i="44" s="1"/>
  <c r="BA450" i="44" s="1"/>
  <c r="BB450" i="44" s="1"/>
  <c r="BC450" i="44" s="1"/>
  <c r="BD450" i="44" s="1"/>
  <c r="BE450" i="44" s="1"/>
  <c r="BF450" i="44" s="1"/>
  <c r="BG450" i="44" s="1"/>
  <c r="BH450" i="44" s="1"/>
  <c r="BI450" i="44" s="1"/>
  <c r="BJ450" i="44" s="1"/>
  <c r="BK450" i="44" s="1"/>
  <c r="BL450" i="44" s="1"/>
  <c r="BM450" i="44" s="1"/>
  <c r="BN450" i="44" s="1"/>
  <c r="BO450" i="44" s="1"/>
  <c r="BP450" i="44" s="1"/>
  <c r="BQ450" i="44" s="1"/>
  <c r="BR450" i="44" s="1"/>
  <c r="BS450" i="44" s="1"/>
  <c r="BT450" i="44" s="1"/>
  <c r="BU450" i="44" s="1"/>
  <c r="BV450" i="44" s="1"/>
  <c r="BW450" i="44" s="1"/>
  <c r="BX450" i="44" s="1"/>
  <c r="BY450" i="44" s="1"/>
  <c r="BZ450" i="44" s="1"/>
  <c r="CA450" i="44" s="1"/>
  <c r="CB450" i="44" s="1"/>
  <c r="CC450" i="44" s="1"/>
  <c r="CD450" i="44" s="1"/>
  <c r="CE450" i="44" s="1"/>
  <c r="AH449" i="44"/>
  <c r="AI449" i="44" s="1"/>
  <c r="AJ449" i="44" s="1"/>
  <c r="AK449" i="44" s="1"/>
  <c r="AL449" i="44" s="1"/>
  <c r="AM449" i="44" s="1"/>
  <c r="AN449" i="44" s="1"/>
  <c r="AO449" i="44" s="1"/>
  <c r="AP449" i="44" s="1"/>
  <c r="AQ449" i="44" s="1"/>
  <c r="AR449" i="44" s="1"/>
  <c r="AS449" i="44" s="1"/>
  <c r="AT449" i="44" s="1"/>
  <c r="AU449" i="44" s="1"/>
  <c r="AV449" i="44" s="1"/>
  <c r="AW449" i="44" s="1"/>
  <c r="AX449" i="44" s="1"/>
  <c r="AY449" i="44" s="1"/>
  <c r="AZ449" i="44" s="1"/>
  <c r="BA449" i="44" s="1"/>
  <c r="BB449" i="44" s="1"/>
  <c r="BC449" i="44" s="1"/>
  <c r="BD449" i="44" s="1"/>
  <c r="BE449" i="44" s="1"/>
  <c r="BF449" i="44" s="1"/>
  <c r="BG449" i="44" s="1"/>
  <c r="BH449" i="44" s="1"/>
  <c r="BI449" i="44" s="1"/>
  <c r="BJ449" i="44" s="1"/>
  <c r="BK449" i="44" s="1"/>
  <c r="BL449" i="44" s="1"/>
  <c r="BM449" i="44" s="1"/>
  <c r="BN449" i="44" s="1"/>
  <c r="BO449" i="44" s="1"/>
  <c r="BP449" i="44" s="1"/>
  <c r="BQ449" i="44" s="1"/>
  <c r="BR449" i="44" s="1"/>
  <c r="BS449" i="44" s="1"/>
  <c r="BT449" i="44" s="1"/>
  <c r="BU449" i="44" s="1"/>
  <c r="BV449" i="44" s="1"/>
  <c r="BW449" i="44" s="1"/>
  <c r="BX449" i="44" s="1"/>
  <c r="BY449" i="44" s="1"/>
  <c r="BZ449" i="44" s="1"/>
  <c r="CA449" i="44" s="1"/>
  <c r="CB449" i="44" s="1"/>
  <c r="CC449" i="44" s="1"/>
  <c r="CD449" i="44" s="1"/>
  <c r="CE449" i="44" s="1"/>
  <c r="AH448" i="44"/>
  <c r="AI448" i="44" s="1"/>
  <c r="AJ448" i="44" s="1"/>
  <c r="AK448" i="44" s="1"/>
  <c r="AL448" i="44" s="1"/>
  <c r="AM448" i="44" s="1"/>
  <c r="AN448" i="44" s="1"/>
  <c r="AO448" i="44" s="1"/>
  <c r="AP448" i="44" s="1"/>
  <c r="AQ448" i="44" s="1"/>
  <c r="AR448" i="44" s="1"/>
  <c r="AS448" i="44" s="1"/>
  <c r="AT448" i="44" s="1"/>
  <c r="AU448" i="44" s="1"/>
  <c r="AV448" i="44" s="1"/>
  <c r="AW448" i="44" s="1"/>
  <c r="AX448" i="44" s="1"/>
  <c r="AY448" i="44" s="1"/>
  <c r="AZ448" i="44" s="1"/>
  <c r="BA448" i="44" s="1"/>
  <c r="BB448" i="44" s="1"/>
  <c r="BC448" i="44" s="1"/>
  <c r="BD448" i="44" s="1"/>
  <c r="BE448" i="44" s="1"/>
  <c r="BF448" i="44" s="1"/>
  <c r="BG448" i="44" s="1"/>
  <c r="BH448" i="44" s="1"/>
  <c r="BI448" i="44" s="1"/>
  <c r="BJ448" i="44" s="1"/>
  <c r="BK448" i="44" s="1"/>
  <c r="BL448" i="44" s="1"/>
  <c r="BM448" i="44" s="1"/>
  <c r="BN448" i="44" s="1"/>
  <c r="BO448" i="44" s="1"/>
  <c r="BP448" i="44" s="1"/>
  <c r="BQ448" i="44" s="1"/>
  <c r="BR448" i="44" s="1"/>
  <c r="BS448" i="44" s="1"/>
  <c r="BT448" i="44" s="1"/>
  <c r="BU448" i="44" s="1"/>
  <c r="BV448" i="44" s="1"/>
  <c r="BW448" i="44" s="1"/>
  <c r="BX448" i="44" s="1"/>
  <c r="BY448" i="44" s="1"/>
  <c r="BZ448" i="44" s="1"/>
  <c r="CA448" i="44" s="1"/>
  <c r="CB448" i="44" s="1"/>
  <c r="CC448" i="44" s="1"/>
  <c r="CD448" i="44" s="1"/>
  <c r="CE448" i="44" s="1"/>
  <c r="AH447" i="44"/>
  <c r="AI447" i="44" s="1"/>
  <c r="AJ447" i="44" s="1"/>
  <c r="AK447" i="44" s="1"/>
  <c r="AL447" i="44" s="1"/>
  <c r="AM447" i="44" s="1"/>
  <c r="AN447" i="44" s="1"/>
  <c r="AO447" i="44" s="1"/>
  <c r="AP447" i="44" s="1"/>
  <c r="AQ447" i="44" s="1"/>
  <c r="AR447" i="44" s="1"/>
  <c r="AS447" i="44" s="1"/>
  <c r="AT447" i="44" s="1"/>
  <c r="AU447" i="44" s="1"/>
  <c r="AV447" i="44" s="1"/>
  <c r="AW447" i="44" s="1"/>
  <c r="AX447" i="44" s="1"/>
  <c r="AY447" i="44" s="1"/>
  <c r="AZ447" i="44" s="1"/>
  <c r="BA447" i="44" s="1"/>
  <c r="BB447" i="44" s="1"/>
  <c r="BC447" i="44" s="1"/>
  <c r="BD447" i="44" s="1"/>
  <c r="BE447" i="44" s="1"/>
  <c r="BF447" i="44" s="1"/>
  <c r="BG447" i="44" s="1"/>
  <c r="BH447" i="44" s="1"/>
  <c r="BI447" i="44" s="1"/>
  <c r="BJ447" i="44" s="1"/>
  <c r="BK447" i="44" s="1"/>
  <c r="BL447" i="44" s="1"/>
  <c r="BM447" i="44" s="1"/>
  <c r="BN447" i="44" s="1"/>
  <c r="BO447" i="44" s="1"/>
  <c r="BP447" i="44" s="1"/>
  <c r="BQ447" i="44" s="1"/>
  <c r="BR447" i="44" s="1"/>
  <c r="BS447" i="44" s="1"/>
  <c r="BT447" i="44" s="1"/>
  <c r="BU447" i="44" s="1"/>
  <c r="BV447" i="44" s="1"/>
  <c r="BW447" i="44" s="1"/>
  <c r="BX447" i="44" s="1"/>
  <c r="BY447" i="44" s="1"/>
  <c r="BZ447" i="44" s="1"/>
  <c r="CA447" i="44" s="1"/>
  <c r="CB447" i="44" s="1"/>
  <c r="CC447" i="44" s="1"/>
  <c r="CD447" i="44" s="1"/>
  <c r="CE447" i="44" s="1"/>
  <c r="AH446" i="44"/>
  <c r="AI446" i="44" s="1"/>
  <c r="AJ446" i="44" s="1"/>
  <c r="AK446" i="44" s="1"/>
  <c r="AL446" i="44" s="1"/>
  <c r="AM446" i="44" s="1"/>
  <c r="AN446" i="44" s="1"/>
  <c r="AO446" i="44" s="1"/>
  <c r="AP446" i="44" s="1"/>
  <c r="AQ446" i="44" s="1"/>
  <c r="AR446" i="44" s="1"/>
  <c r="AS446" i="44" s="1"/>
  <c r="AT446" i="44" s="1"/>
  <c r="AU446" i="44" s="1"/>
  <c r="AV446" i="44" s="1"/>
  <c r="AW446" i="44" s="1"/>
  <c r="AX446" i="44" s="1"/>
  <c r="AY446" i="44" s="1"/>
  <c r="AZ446" i="44" s="1"/>
  <c r="BA446" i="44" s="1"/>
  <c r="BB446" i="44" s="1"/>
  <c r="BC446" i="44" s="1"/>
  <c r="BD446" i="44" s="1"/>
  <c r="BE446" i="44" s="1"/>
  <c r="BF446" i="44" s="1"/>
  <c r="BG446" i="44" s="1"/>
  <c r="BH446" i="44" s="1"/>
  <c r="BI446" i="44" s="1"/>
  <c r="BJ446" i="44" s="1"/>
  <c r="BK446" i="44" s="1"/>
  <c r="BL446" i="44" s="1"/>
  <c r="BM446" i="44" s="1"/>
  <c r="BN446" i="44" s="1"/>
  <c r="BO446" i="44" s="1"/>
  <c r="BP446" i="44" s="1"/>
  <c r="BQ446" i="44" s="1"/>
  <c r="BR446" i="44" s="1"/>
  <c r="BS446" i="44" s="1"/>
  <c r="BT446" i="44" s="1"/>
  <c r="BU446" i="44" s="1"/>
  <c r="BV446" i="44" s="1"/>
  <c r="BW446" i="44" s="1"/>
  <c r="BX446" i="44" s="1"/>
  <c r="BY446" i="44" s="1"/>
  <c r="BZ446" i="44" s="1"/>
  <c r="CA446" i="44" s="1"/>
  <c r="CB446" i="44" s="1"/>
  <c r="CC446" i="44" s="1"/>
  <c r="CD446" i="44" s="1"/>
  <c r="CE446" i="44" s="1"/>
  <c r="AH445" i="44"/>
  <c r="AI445" i="44" s="1"/>
  <c r="AJ445" i="44" s="1"/>
  <c r="AK445" i="44" s="1"/>
  <c r="AL445" i="44" s="1"/>
  <c r="AM445" i="44" s="1"/>
  <c r="AN445" i="44" s="1"/>
  <c r="AO445" i="44" s="1"/>
  <c r="AP445" i="44" s="1"/>
  <c r="AQ445" i="44" s="1"/>
  <c r="AR445" i="44" s="1"/>
  <c r="AS445" i="44" s="1"/>
  <c r="AT445" i="44" s="1"/>
  <c r="AU445" i="44" s="1"/>
  <c r="AV445" i="44" s="1"/>
  <c r="AW445" i="44" s="1"/>
  <c r="AX445" i="44" s="1"/>
  <c r="AY445" i="44" s="1"/>
  <c r="AZ445" i="44" s="1"/>
  <c r="BA445" i="44" s="1"/>
  <c r="BB445" i="44" s="1"/>
  <c r="BC445" i="44" s="1"/>
  <c r="BD445" i="44" s="1"/>
  <c r="BE445" i="44" s="1"/>
  <c r="BF445" i="44" s="1"/>
  <c r="BG445" i="44" s="1"/>
  <c r="BH445" i="44" s="1"/>
  <c r="BI445" i="44" s="1"/>
  <c r="BJ445" i="44" s="1"/>
  <c r="BK445" i="44" s="1"/>
  <c r="BL445" i="44" s="1"/>
  <c r="BM445" i="44" s="1"/>
  <c r="BN445" i="44" s="1"/>
  <c r="BO445" i="44" s="1"/>
  <c r="BP445" i="44" s="1"/>
  <c r="BQ445" i="44" s="1"/>
  <c r="BR445" i="44" s="1"/>
  <c r="BS445" i="44" s="1"/>
  <c r="BT445" i="44" s="1"/>
  <c r="BU445" i="44" s="1"/>
  <c r="BV445" i="44" s="1"/>
  <c r="BW445" i="44" s="1"/>
  <c r="BX445" i="44" s="1"/>
  <c r="BY445" i="44" s="1"/>
  <c r="BZ445" i="44" s="1"/>
  <c r="CA445" i="44" s="1"/>
  <c r="CB445" i="44" s="1"/>
  <c r="CC445" i="44" s="1"/>
  <c r="CD445" i="44" s="1"/>
  <c r="CE445" i="44" s="1"/>
  <c r="AH444" i="44"/>
  <c r="AI444" i="44" s="1"/>
  <c r="AJ444" i="44" s="1"/>
  <c r="AK444" i="44" s="1"/>
  <c r="AL444" i="44" s="1"/>
  <c r="AM444" i="44" s="1"/>
  <c r="AN444" i="44" s="1"/>
  <c r="AO444" i="44" s="1"/>
  <c r="AP444" i="44" s="1"/>
  <c r="AQ444" i="44" s="1"/>
  <c r="AR444" i="44" s="1"/>
  <c r="AS444" i="44" s="1"/>
  <c r="AT444" i="44" s="1"/>
  <c r="AU444" i="44" s="1"/>
  <c r="AV444" i="44" s="1"/>
  <c r="AW444" i="44" s="1"/>
  <c r="AX444" i="44" s="1"/>
  <c r="AY444" i="44" s="1"/>
  <c r="AZ444" i="44" s="1"/>
  <c r="BA444" i="44" s="1"/>
  <c r="BB444" i="44" s="1"/>
  <c r="BC444" i="44" s="1"/>
  <c r="BD444" i="44" s="1"/>
  <c r="BE444" i="44" s="1"/>
  <c r="BF444" i="44" s="1"/>
  <c r="BG444" i="44" s="1"/>
  <c r="BH444" i="44" s="1"/>
  <c r="BI444" i="44" s="1"/>
  <c r="BJ444" i="44" s="1"/>
  <c r="BK444" i="44" s="1"/>
  <c r="BL444" i="44" s="1"/>
  <c r="BM444" i="44" s="1"/>
  <c r="BN444" i="44" s="1"/>
  <c r="BO444" i="44" s="1"/>
  <c r="BP444" i="44" s="1"/>
  <c r="BQ444" i="44" s="1"/>
  <c r="BR444" i="44" s="1"/>
  <c r="BS444" i="44" s="1"/>
  <c r="BT444" i="44" s="1"/>
  <c r="BU444" i="44" s="1"/>
  <c r="BV444" i="44" s="1"/>
  <c r="BW444" i="44" s="1"/>
  <c r="BX444" i="44" s="1"/>
  <c r="BY444" i="44" s="1"/>
  <c r="BZ444" i="44" s="1"/>
  <c r="CA444" i="44" s="1"/>
  <c r="CB444" i="44" s="1"/>
  <c r="CC444" i="44" s="1"/>
  <c r="CD444" i="44" s="1"/>
  <c r="CE444" i="44" s="1"/>
  <c r="AH442" i="44"/>
  <c r="AI442" i="44" s="1"/>
  <c r="AJ442" i="44" s="1"/>
  <c r="AK442" i="44" s="1"/>
  <c r="AL442" i="44" s="1"/>
  <c r="AM442" i="44" s="1"/>
  <c r="AN442" i="44" s="1"/>
  <c r="AO442" i="44" s="1"/>
  <c r="AP442" i="44" s="1"/>
  <c r="AQ442" i="44" s="1"/>
  <c r="AR442" i="44" s="1"/>
  <c r="AS442" i="44" s="1"/>
  <c r="AT442" i="44" s="1"/>
  <c r="AU442" i="44" s="1"/>
  <c r="AV442" i="44" s="1"/>
  <c r="AW442" i="44" s="1"/>
  <c r="AX442" i="44" s="1"/>
  <c r="AY442" i="44" s="1"/>
  <c r="AZ442" i="44" s="1"/>
  <c r="BA442" i="44" s="1"/>
  <c r="BB442" i="44" s="1"/>
  <c r="BC442" i="44" s="1"/>
  <c r="BD442" i="44" s="1"/>
  <c r="BE442" i="44" s="1"/>
  <c r="BF442" i="44" s="1"/>
  <c r="BG442" i="44" s="1"/>
  <c r="BH442" i="44" s="1"/>
  <c r="BI442" i="44" s="1"/>
  <c r="BJ442" i="44" s="1"/>
  <c r="BK442" i="44" s="1"/>
  <c r="BL442" i="44" s="1"/>
  <c r="BM442" i="44" s="1"/>
  <c r="BN442" i="44" s="1"/>
  <c r="BO442" i="44" s="1"/>
  <c r="BP442" i="44" s="1"/>
  <c r="BQ442" i="44" s="1"/>
  <c r="BR442" i="44" s="1"/>
  <c r="BS442" i="44" s="1"/>
  <c r="BT442" i="44" s="1"/>
  <c r="BU442" i="44" s="1"/>
  <c r="BV442" i="44" s="1"/>
  <c r="BW442" i="44" s="1"/>
  <c r="BX442" i="44" s="1"/>
  <c r="BY442" i="44" s="1"/>
  <c r="BZ442" i="44" s="1"/>
  <c r="CA442" i="44" s="1"/>
  <c r="CB442" i="44" s="1"/>
  <c r="CC442" i="44" s="1"/>
  <c r="CD442" i="44" s="1"/>
  <c r="CE442" i="44" s="1"/>
  <c r="AH441" i="44"/>
  <c r="AI441" i="44" s="1"/>
  <c r="AJ441" i="44" s="1"/>
  <c r="AK441" i="44" s="1"/>
  <c r="AL441" i="44" s="1"/>
  <c r="AM441" i="44" s="1"/>
  <c r="AN441" i="44" s="1"/>
  <c r="AO441" i="44" s="1"/>
  <c r="AP441" i="44" s="1"/>
  <c r="AQ441" i="44" s="1"/>
  <c r="AR441" i="44" s="1"/>
  <c r="AS441" i="44" s="1"/>
  <c r="AT441" i="44" s="1"/>
  <c r="AU441" i="44" s="1"/>
  <c r="AV441" i="44" s="1"/>
  <c r="AW441" i="44" s="1"/>
  <c r="AX441" i="44" s="1"/>
  <c r="AY441" i="44" s="1"/>
  <c r="AZ441" i="44" s="1"/>
  <c r="BA441" i="44" s="1"/>
  <c r="BB441" i="44" s="1"/>
  <c r="BC441" i="44" s="1"/>
  <c r="BD441" i="44" s="1"/>
  <c r="BE441" i="44" s="1"/>
  <c r="BF441" i="44" s="1"/>
  <c r="BG441" i="44" s="1"/>
  <c r="BH441" i="44" s="1"/>
  <c r="BI441" i="44" s="1"/>
  <c r="BJ441" i="44" s="1"/>
  <c r="BK441" i="44" s="1"/>
  <c r="BL441" i="44" s="1"/>
  <c r="BM441" i="44" s="1"/>
  <c r="BN441" i="44" s="1"/>
  <c r="BO441" i="44" s="1"/>
  <c r="BP441" i="44" s="1"/>
  <c r="BQ441" i="44" s="1"/>
  <c r="BR441" i="44" s="1"/>
  <c r="BS441" i="44" s="1"/>
  <c r="BT441" i="44" s="1"/>
  <c r="BU441" i="44" s="1"/>
  <c r="BV441" i="44" s="1"/>
  <c r="BW441" i="44" s="1"/>
  <c r="BX441" i="44" s="1"/>
  <c r="BY441" i="44" s="1"/>
  <c r="BZ441" i="44" s="1"/>
  <c r="CA441" i="44" s="1"/>
  <c r="CB441" i="44" s="1"/>
  <c r="CC441" i="44" s="1"/>
  <c r="CD441" i="44" s="1"/>
  <c r="CE441" i="44" s="1"/>
  <c r="AH439" i="44"/>
  <c r="AI439" i="44" s="1"/>
  <c r="AJ439" i="44" s="1"/>
  <c r="AK439" i="44" s="1"/>
  <c r="AL439" i="44" s="1"/>
  <c r="AM439" i="44" s="1"/>
  <c r="AN439" i="44" s="1"/>
  <c r="AO439" i="44" s="1"/>
  <c r="AP439" i="44" s="1"/>
  <c r="AQ439" i="44" s="1"/>
  <c r="AR439" i="44" s="1"/>
  <c r="AS439" i="44" s="1"/>
  <c r="AT439" i="44" s="1"/>
  <c r="AU439" i="44" s="1"/>
  <c r="AV439" i="44" s="1"/>
  <c r="AW439" i="44" s="1"/>
  <c r="AX439" i="44" s="1"/>
  <c r="AY439" i="44" s="1"/>
  <c r="AZ439" i="44" s="1"/>
  <c r="BA439" i="44" s="1"/>
  <c r="BB439" i="44" s="1"/>
  <c r="BC439" i="44" s="1"/>
  <c r="BD439" i="44" s="1"/>
  <c r="BE439" i="44" s="1"/>
  <c r="BF439" i="44" s="1"/>
  <c r="BG439" i="44" s="1"/>
  <c r="BH439" i="44" s="1"/>
  <c r="BI439" i="44" s="1"/>
  <c r="BJ439" i="44" s="1"/>
  <c r="BK439" i="44" s="1"/>
  <c r="BL439" i="44" s="1"/>
  <c r="BM439" i="44" s="1"/>
  <c r="BN439" i="44" s="1"/>
  <c r="BO439" i="44" s="1"/>
  <c r="BP439" i="44" s="1"/>
  <c r="BQ439" i="44" s="1"/>
  <c r="BR439" i="44" s="1"/>
  <c r="BS439" i="44" s="1"/>
  <c r="BT439" i="44" s="1"/>
  <c r="BU439" i="44" s="1"/>
  <c r="BV439" i="44" s="1"/>
  <c r="BW439" i="44" s="1"/>
  <c r="BX439" i="44" s="1"/>
  <c r="BY439" i="44" s="1"/>
  <c r="BZ439" i="44" s="1"/>
  <c r="CA439" i="44" s="1"/>
  <c r="CB439" i="44" s="1"/>
  <c r="CC439" i="44" s="1"/>
  <c r="CD439" i="44" s="1"/>
  <c r="CE439" i="44" s="1"/>
  <c r="AH438" i="44"/>
  <c r="AI438" i="44" s="1"/>
  <c r="AJ438" i="44" s="1"/>
  <c r="AK438" i="44" s="1"/>
  <c r="AL438" i="44" s="1"/>
  <c r="AM438" i="44" s="1"/>
  <c r="AN438" i="44" s="1"/>
  <c r="AO438" i="44" s="1"/>
  <c r="AP438" i="44" s="1"/>
  <c r="AQ438" i="44" s="1"/>
  <c r="AR438" i="44" s="1"/>
  <c r="AS438" i="44" s="1"/>
  <c r="AT438" i="44" s="1"/>
  <c r="AU438" i="44" s="1"/>
  <c r="AV438" i="44" s="1"/>
  <c r="AW438" i="44" s="1"/>
  <c r="AX438" i="44" s="1"/>
  <c r="AY438" i="44" s="1"/>
  <c r="AZ438" i="44" s="1"/>
  <c r="BA438" i="44" s="1"/>
  <c r="BB438" i="44" s="1"/>
  <c r="BC438" i="44" s="1"/>
  <c r="BD438" i="44" s="1"/>
  <c r="BE438" i="44" s="1"/>
  <c r="BF438" i="44" s="1"/>
  <c r="BG438" i="44" s="1"/>
  <c r="BH438" i="44" s="1"/>
  <c r="BI438" i="44" s="1"/>
  <c r="BJ438" i="44" s="1"/>
  <c r="BK438" i="44" s="1"/>
  <c r="BL438" i="44" s="1"/>
  <c r="BM438" i="44" s="1"/>
  <c r="BN438" i="44" s="1"/>
  <c r="BO438" i="44" s="1"/>
  <c r="BP438" i="44" s="1"/>
  <c r="BQ438" i="44" s="1"/>
  <c r="BR438" i="44" s="1"/>
  <c r="BS438" i="44" s="1"/>
  <c r="BT438" i="44" s="1"/>
  <c r="BU438" i="44" s="1"/>
  <c r="BV438" i="44" s="1"/>
  <c r="BW438" i="44" s="1"/>
  <c r="BX438" i="44" s="1"/>
  <c r="BY438" i="44" s="1"/>
  <c r="BZ438" i="44" s="1"/>
  <c r="CA438" i="44" s="1"/>
  <c r="CB438" i="44" s="1"/>
  <c r="CC438" i="44" s="1"/>
  <c r="CD438" i="44" s="1"/>
  <c r="CE438" i="44" s="1"/>
  <c r="AI437" i="44"/>
  <c r="AJ437" i="44" s="1"/>
  <c r="AK437" i="44" s="1"/>
  <c r="AL437" i="44" s="1"/>
  <c r="AM437" i="44" s="1"/>
  <c r="AN437" i="44" s="1"/>
  <c r="AO437" i="44" s="1"/>
  <c r="AP437" i="44" s="1"/>
  <c r="AQ437" i="44" s="1"/>
  <c r="AR437" i="44" s="1"/>
  <c r="AS437" i="44" s="1"/>
  <c r="AT437" i="44" s="1"/>
  <c r="AU437" i="44" s="1"/>
  <c r="AV437" i="44" s="1"/>
  <c r="AW437" i="44" s="1"/>
  <c r="AX437" i="44" s="1"/>
  <c r="AY437" i="44" s="1"/>
  <c r="AZ437" i="44" s="1"/>
  <c r="BA437" i="44" s="1"/>
  <c r="BB437" i="44" s="1"/>
  <c r="BC437" i="44" s="1"/>
  <c r="BD437" i="44" s="1"/>
  <c r="BE437" i="44" s="1"/>
  <c r="BF437" i="44" s="1"/>
  <c r="BG437" i="44" s="1"/>
  <c r="BH437" i="44" s="1"/>
  <c r="BI437" i="44" s="1"/>
  <c r="BJ437" i="44" s="1"/>
  <c r="BK437" i="44" s="1"/>
  <c r="BL437" i="44" s="1"/>
  <c r="BM437" i="44" s="1"/>
  <c r="BN437" i="44" s="1"/>
  <c r="BO437" i="44" s="1"/>
  <c r="BP437" i="44" s="1"/>
  <c r="BQ437" i="44" s="1"/>
  <c r="BR437" i="44" s="1"/>
  <c r="BS437" i="44" s="1"/>
  <c r="BT437" i="44" s="1"/>
  <c r="BU437" i="44" s="1"/>
  <c r="BV437" i="44" s="1"/>
  <c r="BW437" i="44" s="1"/>
  <c r="BX437" i="44" s="1"/>
  <c r="BY437" i="44" s="1"/>
  <c r="BZ437" i="44" s="1"/>
  <c r="CA437" i="44" s="1"/>
  <c r="CB437" i="44" s="1"/>
  <c r="CC437" i="44" s="1"/>
  <c r="CD437" i="44" s="1"/>
  <c r="CE437" i="44" s="1"/>
  <c r="AH437" i="44"/>
  <c r="AH436" i="44"/>
  <c r="AI436" i="44" s="1"/>
  <c r="AJ436" i="44" s="1"/>
  <c r="AK436" i="44" s="1"/>
  <c r="AL436" i="44" s="1"/>
  <c r="AM436" i="44" s="1"/>
  <c r="AN436" i="44" s="1"/>
  <c r="AO436" i="44" s="1"/>
  <c r="AP436" i="44" s="1"/>
  <c r="AQ436" i="44" s="1"/>
  <c r="AR436" i="44" s="1"/>
  <c r="AS436" i="44" s="1"/>
  <c r="AT436" i="44" s="1"/>
  <c r="AU436" i="44" s="1"/>
  <c r="AV436" i="44" s="1"/>
  <c r="AW436" i="44" s="1"/>
  <c r="AX436" i="44" s="1"/>
  <c r="AY436" i="44" s="1"/>
  <c r="AZ436" i="44" s="1"/>
  <c r="BA436" i="44" s="1"/>
  <c r="BB436" i="44" s="1"/>
  <c r="BC436" i="44" s="1"/>
  <c r="BD436" i="44" s="1"/>
  <c r="BE436" i="44" s="1"/>
  <c r="BF436" i="44" s="1"/>
  <c r="BG436" i="44" s="1"/>
  <c r="BH436" i="44" s="1"/>
  <c r="BI436" i="44" s="1"/>
  <c r="BJ436" i="44" s="1"/>
  <c r="BK436" i="44" s="1"/>
  <c r="BL436" i="44" s="1"/>
  <c r="BM436" i="44" s="1"/>
  <c r="BN436" i="44" s="1"/>
  <c r="BO436" i="44" s="1"/>
  <c r="BP436" i="44" s="1"/>
  <c r="BQ436" i="44" s="1"/>
  <c r="BR436" i="44" s="1"/>
  <c r="BS436" i="44" s="1"/>
  <c r="BT436" i="44" s="1"/>
  <c r="BU436" i="44" s="1"/>
  <c r="BV436" i="44" s="1"/>
  <c r="BW436" i="44" s="1"/>
  <c r="BX436" i="44" s="1"/>
  <c r="BY436" i="44" s="1"/>
  <c r="BZ436" i="44" s="1"/>
  <c r="CA436" i="44" s="1"/>
  <c r="CB436" i="44" s="1"/>
  <c r="CC436" i="44" s="1"/>
  <c r="CD436" i="44" s="1"/>
  <c r="CE436" i="44" s="1"/>
  <c r="AH435" i="44"/>
  <c r="AI435" i="44" s="1"/>
  <c r="AJ435" i="44" s="1"/>
  <c r="AK435" i="44" s="1"/>
  <c r="AL435" i="44" s="1"/>
  <c r="AM435" i="44" s="1"/>
  <c r="AN435" i="44" s="1"/>
  <c r="AO435" i="44" s="1"/>
  <c r="AP435" i="44" s="1"/>
  <c r="AQ435" i="44" s="1"/>
  <c r="AR435" i="44" s="1"/>
  <c r="AS435" i="44" s="1"/>
  <c r="AT435" i="44" s="1"/>
  <c r="AU435" i="44" s="1"/>
  <c r="AV435" i="44" s="1"/>
  <c r="AW435" i="44" s="1"/>
  <c r="AX435" i="44" s="1"/>
  <c r="AY435" i="44" s="1"/>
  <c r="AZ435" i="44" s="1"/>
  <c r="BA435" i="44" s="1"/>
  <c r="BB435" i="44" s="1"/>
  <c r="BC435" i="44" s="1"/>
  <c r="BD435" i="44" s="1"/>
  <c r="BE435" i="44" s="1"/>
  <c r="BF435" i="44" s="1"/>
  <c r="BG435" i="44" s="1"/>
  <c r="BH435" i="44" s="1"/>
  <c r="BI435" i="44" s="1"/>
  <c r="BJ435" i="44" s="1"/>
  <c r="BK435" i="44" s="1"/>
  <c r="BL435" i="44" s="1"/>
  <c r="BM435" i="44" s="1"/>
  <c r="BN435" i="44" s="1"/>
  <c r="BO435" i="44" s="1"/>
  <c r="BP435" i="44" s="1"/>
  <c r="BQ435" i="44" s="1"/>
  <c r="BR435" i="44" s="1"/>
  <c r="BS435" i="44" s="1"/>
  <c r="BT435" i="44" s="1"/>
  <c r="BU435" i="44" s="1"/>
  <c r="BV435" i="44" s="1"/>
  <c r="BW435" i="44" s="1"/>
  <c r="BX435" i="44" s="1"/>
  <c r="BY435" i="44" s="1"/>
  <c r="BZ435" i="44" s="1"/>
  <c r="CA435" i="44" s="1"/>
  <c r="CB435" i="44" s="1"/>
  <c r="CC435" i="44" s="1"/>
  <c r="CD435" i="44" s="1"/>
  <c r="CE435" i="44" s="1"/>
  <c r="AH434" i="44"/>
  <c r="AI434" i="44" s="1"/>
  <c r="AJ434" i="44" s="1"/>
  <c r="AK434" i="44" s="1"/>
  <c r="AL434" i="44" s="1"/>
  <c r="AM434" i="44" s="1"/>
  <c r="AN434" i="44" s="1"/>
  <c r="AO434" i="44" s="1"/>
  <c r="AP434" i="44" s="1"/>
  <c r="AQ434" i="44" s="1"/>
  <c r="AR434" i="44" s="1"/>
  <c r="AS434" i="44" s="1"/>
  <c r="AT434" i="44" s="1"/>
  <c r="AU434" i="44" s="1"/>
  <c r="AV434" i="44" s="1"/>
  <c r="AW434" i="44" s="1"/>
  <c r="AX434" i="44" s="1"/>
  <c r="AY434" i="44" s="1"/>
  <c r="AZ434" i="44" s="1"/>
  <c r="BA434" i="44" s="1"/>
  <c r="BB434" i="44" s="1"/>
  <c r="BC434" i="44" s="1"/>
  <c r="BD434" i="44" s="1"/>
  <c r="BE434" i="44" s="1"/>
  <c r="BF434" i="44" s="1"/>
  <c r="BG434" i="44" s="1"/>
  <c r="BH434" i="44" s="1"/>
  <c r="BI434" i="44" s="1"/>
  <c r="BJ434" i="44" s="1"/>
  <c r="BK434" i="44" s="1"/>
  <c r="BL434" i="44" s="1"/>
  <c r="BM434" i="44" s="1"/>
  <c r="BN434" i="44" s="1"/>
  <c r="BO434" i="44" s="1"/>
  <c r="BP434" i="44" s="1"/>
  <c r="BQ434" i="44" s="1"/>
  <c r="BR434" i="44" s="1"/>
  <c r="BS434" i="44" s="1"/>
  <c r="BT434" i="44" s="1"/>
  <c r="BU434" i="44" s="1"/>
  <c r="BV434" i="44" s="1"/>
  <c r="BW434" i="44" s="1"/>
  <c r="BX434" i="44" s="1"/>
  <c r="BY434" i="44" s="1"/>
  <c r="BZ434" i="44" s="1"/>
  <c r="CA434" i="44" s="1"/>
  <c r="CB434" i="44" s="1"/>
  <c r="CC434" i="44" s="1"/>
  <c r="CD434" i="44" s="1"/>
  <c r="CE434" i="44" s="1"/>
  <c r="AH433" i="44"/>
  <c r="AI433" i="44" s="1"/>
  <c r="AJ433" i="44" s="1"/>
  <c r="AK433" i="44" s="1"/>
  <c r="AL433" i="44" s="1"/>
  <c r="AM433" i="44" s="1"/>
  <c r="AN433" i="44" s="1"/>
  <c r="AO433" i="44" s="1"/>
  <c r="AP433" i="44" s="1"/>
  <c r="AQ433" i="44" s="1"/>
  <c r="AR433" i="44" s="1"/>
  <c r="AS433" i="44" s="1"/>
  <c r="AT433" i="44" s="1"/>
  <c r="AU433" i="44" s="1"/>
  <c r="AV433" i="44" s="1"/>
  <c r="AW433" i="44" s="1"/>
  <c r="AX433" i="44" s="1"/>
  <c r="AY433" i="44" s="1"/>
  <c r="AZ433" i="44" s="1"/>
  <c r="BA433" i="44" s="1"/>
  <c r="BB433" i="44" s="1"/>
  <c r="BC433" i="44" s="1"/>
  <c r="BD433" i="44" s="1"/>
  <c r="BE433" i="44" s="1"/>
  <c r="BF433" i="44" s="1"/>
  <c r="BG433" i="44" s="1"/>
  <c r="BH433" i="44" s="1"/>
  <c r="BI433" i="44" s="1"/>
  <c r="BJ433" i="44" s="1"/>
  <c r="BK433" i="44" s="1"/>
  <c r="BL433" i="44" s="1"/>
  <c r="BM433" i="44" s="1"/>
  <c r="BN433" i="44" s="1"/>
  <c r="BO433" i="44" s="1"/>
  <c r="BP433" i="44" s="1"/>
  <c r="BQ433" i="44" s="1"/>
  <c r="BR433" i="44" s="1"/>
  <c r="BS433" i="44" s="1"/>
  <c r="BT433" i="44" s="1"/>
  <c r="BU433" i="44" s="1"/>
  <c r="BV433" i="44" s="1"/>
  <c r="BW433" i="44" s="1"/>
  <c r="BX433" i="44" s="1"/>
  <c r="BY433" i="44" s="1"/>
  <c r="BZ433" i="44" s="1"/>
  <c r="CA433" i="44" s="1"/>
  <c r="CB433" i="44" s="1"/>
  <c r="CC433" i="44" s="1"/>
  <c r="CD433" i="44" s="1"/>
  <c r="CE433" i="44" s="1"/>
  <c r="AH432" i="44"/>
  <c r="AI432" i="44" s="1"/>
  <c r="AJ432" i="44" s="1"/>
  <c r="AK432" i="44" s="1"/>
  <c r="AL432" i="44" s="1"/>
  <c r="AM432" i="44" s="1"/>
  <c r="AN432" i="44" s="1"/>
  <c r="AO432" i="44" s="1"/>
  <c r="AP432" i="44" s="1"/>
  <c r="AQ432" i="44" s="1"/>
  <c r="AR432" i="44" s="1"/>
  <c r="AS432" i="44" s="1"/>
  <c r="AT432" i="44" s="1"/>
  <c r="AU432" i="44" s="1"/>
  <c r="AV432" i="44" s="1"/>
  <c r="AW432" i="44" s="1"/>
  <c r="AX432" i="44" s="1"/>
  <c r="AY432" i="44" s="1"/>
  <c r="AZ432" i="44" s="1"/>
  <c r="BA432" i="44" s="1"/>
  <c r="BB432" i="44" s="1"/>
  <c r="BC432" i="44" s="1"/>
  <c r="BD432" i="44" s="1"/>
  <c r="BE432" i="44" s="1"/>
  <c r="BF432" i="44" s="1"/>
  <c r="BG432" i="44" s="1"/>
  <c r="BH432" i="44" s="1"/>
  <c r="BI432" i="44" s="1"/>
  <c r="BJ432" i="44" s="1"/>
  <c r="BK432" i="44" s="1"/>
  <c r="BL432" i="44" s="1"/>
  <c r="BM432" i="44" s="1"/>
  <c r="BN432" i="44" s="1"/>
  <c r="BO432" i="44" s="1"/>
  <c r="BP432" i="44" s="1"/>
  <c r="BQ432" i="44" s="1"/>
  <c r="BR432" i="44" s="1"/>
  <c r="BS432" i="44" s="1"/>
  <c r="BT432" i="44" s="1"/>
  <c r="BU432" i="44" s="1"/>
  <c r="BV432" i="44" s="1"/>
  <c r="BW432" i="44" s="1"/>
  <c r="BX432" i="44" s="1"/>
  <c r="BY432" i="44" s="1"/>
  <c r="BZ432" i="44" s="1"/>
  <c r="CA432" i="44" s="1"/>
  <c r="CB432" i="44" s="1"/>
  <c r="CC432" i="44" s="1"/>
  <c r="CD432" i="44" s="1"/>
  <c r="CE432" i="44" s="1"/>
  <c r="AH431" i="44"/>
  <c r="AI431" i="44" s="1"/>
  <c r="AJ431" i="44" s="1"/>
  <c r="AK431" i="44" s="1"/>
  <c r="AL431" i="44" s="1"/>
  <c r="AM431" i="44" s="1"/>
  <c r="AN431" i="44" s="1"/>
  <c r="AO431" i="44" s="1"/>
  <c r="AP431" i="44" s="1"/>
  <c r="AQ431" i="44" s="1"/>
  <c r="AR431" i="44" s="1"/>
  <c r="AS431" i="44" s="1"/>
  <c r="AT431" i="44" s="1"/>
  <c r="AU431" i="44" s="1"/>
  <c r="AV431" i="44" s="1"/>
  <c r="AW431" i="44" s="1"/>
  <c r="AX431" i="44" s="1"/>
  <c r="AY431" i="44" s="1"/>
  <c r="AZ431" i="44" s="1"/>
  <c r="BA431" i="44" s="1"/>
  <c r="BB431" i="44" s="1"/>
  <c r="BC431" i="44" s="1"/>
  <c r="BD431" i="44" s="1"/>
  <c r="BE431" i="44" s="1"/>
  <c r="BF431" i="44" s="1"/>
  <c r="BG431" i="44" s="1"/>
  <c r="BH431" i="44" s="1"/>
  <c r="BI431" i="44" s="1"/>
  <c r="BJ431" i="44" s="1"/>
  <c r="BK431" i="44" s="1"/>
  <c r="BL431" i="44" s="1"/>
  <c r="BM431" i="44" s="1"/>
  <c r="BN431" i="44" s="1"/>
  <c r="BO431" i="44" s="1"/>
  <c r="BP431" i="44" s="1"/>
  <c r="BQ431" i="44" s="1"/>
  <c r="BR431" i="44" s="1"/>
  <c r="BS431" i="44" s="1"/>
  <c r="BT431" i="44" s="1"/>
  <c r="BU431" i="44" s="1"/>
  <c r="BV431" i="44" s="1"/>
  <c r="BW431" i="44" s="1"/>
  <c r="BX431" i="44" s="1"/>
  <c r="BY431" i="44" s="1"/>
  <c r="BZ431" i="44" s="1"/>
  <c r="CA431" i="44" s="1"/>
  <c r="CB431" i="44" s="1"/>
  <c r="CC431" i="44" s="1"/>
  <c r="CD431" i="44" s="1"/>
  <c r="CE431" i="44" s="1"/>
  <c r="AH430" i="44"/>
  <c r="AI430" i="44" s="1"/>
  <c r="AJ430" i="44" s="1"/>
  <c r="AK430" i="44" s="1"/>
  <c r="AL430" i="44" s="1"/>
  <c r="AM430" i="44" s="1"/>
  <c r="AN430" i="44" s="1"/>
  <c r="AO430" i="44" s="1"/>
  <c r="AP430" i="44" s="1"/>
  <c r="AQ430" i="44" s="1"/>
  <c r="AR430" i="44" s="1"/>
  <c r="AS430" i="44" s="1"/>
  <c r="AT430" i="44" s="1"/>
  <c r="AU430" i="44" s="1"/>
  <c r="AV430" i="44" s="1"/>
  <c r="AW430" i="44" s="1"/>
  <c r="AX430" i="44" s="1"/>
  <c r="AY430" i="44" s="1"/>
  <c r="AZ430" i="44" s="1"/>
  <c r="BA430" i="44" s="1"/>
  <c r="BB430" i="44" s="1"/>
  <c r="BC430" i="44" s="1"/>
  <c r="BD430" i="44" s="1"/>
  <c r="BE430" i="44" s="1"/>
  <c r="BF430" i="44" s="1"/>
  <c r="BG430" i="44" s="1"/>
  <c r="BH430" i="44" s="1"/>
  <c r="BI430" i="44" s="1"/>
  <c r="BJ430" i="44" s="1"/>
  <c r="BK430" i="44" s="1"/>
  <c r="BL430" i="44" s="1"/>
  <c r="BM430" i="44" s="1"/>
  <c r="BN430" i="44" s="1"/>
  <c r="BO430" i="44" s="1"/>
  <c r="BP430" i="44" s="1"/>
  <c r="BQ430" i="44" s="1"/>
  <c r="BR430" i="44" s="1"/>
  <c r="BS430" i="44" s="1"/>
  <c r="BT430" i="44" s="1"/>
  <c r="BU430" i="44" s="1"/>
  <c r="BV430" i="44" s="1"/>
  <c r="BW430" i="44" s="1"/>
  <c r="BX430" i="44" s="1"/>
  <c r="BY430" i="44" s="1"/>
  <c r="BZ430" i="44" s="1"/>
  <c r="CA430" i="44" s="1"/>
  <c r="CB430" i="44" s="1"/>
  <c r="CC430" i="44" s="1"/>
  <c r="CD430" i="44" s="1"/>
  <c r="CE430" i="44" s="1"/>
  <c r="AH429" i="44"/>
  <c r="AI429" i="44" s="1"/>
  <c r="AJ429" i="44" s="1"/>
  <c r="AK429" i="44" s="1"/>
  <c r="AL429" i="44" s="1"/>
  <c r="AM429" i="44" s="1"/>
  <c r="AN429" i="44" s="1"/>
  <c r="AO429" i="44" s="1"/>
  <c r="AP429" i="44" s="1"/>
  <c r="AQ429" i="44" s="1"/>
  <c r="AR429" i="44" s="1"/>
  <c r="AS429" i="44" s="1"/>
  <c r="AT429" i="44" s="1"/>
  <c r="AU429" i="44" s="1"/>
  <c r="AV429" i="44" s="1"/>
  <c r="AW429" i="44" s="1"/>
  <c r="AX429" i="44" s="1"/>
  <c r="AY429" i="44" s="1"/>
  <c r="AZ429" i="44" s="1"/>
  <c r="BA429" i="44" s="1"/>
  <c r="BB429" i="44" s="1"/>
  <c r="BC429" i="44" s="1"/>
  <c r="BD429" i="44" s="1"/>
  <c r="BE429" i="44" s="1"/>
  <c r="BF429" i="44" s="1"/>
  <c r="BG429" i="44" s="1"/>
  <c r="BH429" i="44" s="1"/>
  <c r="BI429" i="44" s="1"/>
  <c r="BJ429" i="44" s="1"/>
  <c r="BK429" i="44" s="1"/>
  <c r="BL429" i="44" s="1"/>
  <c r="BM429" i="44" s="1"/>
  <c r="BN429" i="44" s="1"/>
  <c r="BO429" i="44" s="1"/>
  <c r="BP429" i="44" s="1"/>
  <c r="BQ429" i="44" s="1"/>
  <c r="BR429" i="44" s="1"/>
  <c r="BS429" i="44" s="1"/>
  <c r="BT429" i="44" s="1"/>
  <c r="BU429" i="44" s="1"/>
  <c r="BV429" i="44" s="1"/>
  <c r="BW429" i="44" s="1"/>
  <c r="BX429" i="44" s="1"/>
  <c r="BY429" i="44" s="1"/>
  <c r="BZ429" i="44" s="1"/>
  <c r="CA429" i="44" s="1"/>
  <c r="CB429" i="44" s="1"/>
  <c r="CC429" i="44" s="1"/>
  <c r="CD429" i="44" s="1"/>
  <c r="CE429" i="44" s="1"/>
  <c r="F428" i="44"/>
  <c r="G428" i="44" s="1"/>
  <c r="H428" i="44" s="1"/>
  <c r="I428" i="44" s="1"/>
  <c r="J428" i="44" s="1"/>
  <c r="K428" i="44" s="1"/>
  <c r="L428" i="44" s="1"/>
  <c r="M428" i="44" s="1"/>
  <c r="N428" i="44" s="1"/>
  <c r="O428" i="44" s="1"/>
  <c r="P428" i="44" s="1"/>
  <c r="Q428" i="44" s="1"/>
  <c r="R428" i="44" s="1"/>
  <c r="S428" i="44" s="1"/>
  <c r="T428" i="44" s="1"/>
  <c r="U428" i="44" s="1"/>
  <c r="V428" i="44" s="1"/>
  <c r="W428" i="44" s="1"/>
  <c r="X428" i="44" s="1"/>
  <c r="Y428" i="44" s="1"/>
  <c r="Z428" i="44" s="1"/>
  <c r="AA428" i="44" s="1"/>
  <c r="AB428" i="44" s="1"/>
  <c r="AC428" i="44" s="1"/>
  <c r="AD428" i="44" s="1"/>
  <c r="AE428" i="44" s="1"/>
  <c r="AF428" i="44" s="1"/>
  <c r="AG428" i="44" s="1"/>
  <c r="AH428" i="44" s="1"/>
  <c r="AI428" i="44" s="1"/>
  <c r="AJ428" i="44" s="1"/>
  <c r="AK428" i="44" s="1"/>
  <c r="AL428" i="44" s="1"/>
  <c r="AM428" i="44" s="1"/>
  <c r="AN428" i="44" s="1"/>
  <c r="AO428" i="44" s="1"/>
  <c r="AP428" i="44" s="1"/>
  <c r="AQ428" i="44" s="1"/>
  <c r="AR428" i="44" s="1"/>
  <c r="AS428" i="44" s="1"/>
  <c r="AT428" i="44" s="1"/>
  <c r="AU428" i="44" s="1"/>
  <c r="AV428" i="44" s="1"/>
  <c r="AW428" i="44" s="1"/>
  <c r="AX428" i="44" s="1"/>
  <c r="AY428" i="44" s="1"/>
  <c r="AZ428" i="44" s="1"/>
  <c r="BA428" i="44" s="1"/>
  <c r="BB428" i="44" s="1"/>
  <c r="BC428" i="44" s="1"/>
  <c r="BD428" i="44" s="1"/>
  <c r="BE428" i="44" s="1"/>
  <c r="BF428" i="44" s="1"/>
  <c r="BG428" i="44" s="1"/>
  <c r="BH428" i="44" s="1"/>
  <c r="BI428" i="44" s="1"/>
  <c r="BJ428" i="44" s="1"/>
  <c r="BK428" i="44" s="1"/>
  <c r="BL428" i="44" s="1"/>
  <c r="BM428" i="44" s="1"/>
  <c r="BN428" i="44" s="1"/>
  <c r="BO428" i="44" s="1"/>
  <c r="BP428" i="44" s="1"/>
  <c r="BQ428" i="44" s="1"/>
  <c r="BR428" i="44" s="1"/>
  <c r="BS428" i="44" s="1"/>
  <c r="BT428" i="44" s="1"/>
  <c r="BU428" i="44" s="1"/>
  <c r="BV428" i="44" s="1"/>
  <c r="BW428" i="44" s="1"/>
  <c r="BX428" i="44" s="1"/>
  <c r="BY428" i="44" s="1"/>
  <c r="BZ428" i="44" s="1"/>
  <c r="CA428" i="44" s="1"/>
  <c r="CB428" i="44" s="1"/>
  <c r="CC428" i="44" s="1"/>
  <c r="CD428" i="44" s="1"/>
  <c r="CE428" i="44" s="1"/>
  <c r="AH426" i="44"/>
  <c r="AI426" i="44" s="1"/>
  <c r="AJ426" i="44" s="1"/>
  <c r="AK426" i="44" s="1"/>
  <c r="AL426" i="44" s="1"/>
  <c r="AM426" i="44" s="1"/>
  <c r="AN426" i="44" s="1"/>
  <c r="AO426" i="44" s="1"/>
  <c r="AP426" i="44" s="1"/>
  <c r="AQ426" i="44" s="1"/>
  <c r="AR426" i="44" s="1"/>
  <c r="AS426" i="44" s="1"/>
  <c r="AT426" i="44" s="1"/>
  <c r="AU426" i="44" s="1"/>
  <c r="AV426" i="44" s="1"/>
  <c r="AW426" i="44" s="1"/>
  <c r="AX426" i="44" s="1"/>
  <c r="AY426" i="44" s="1"/>
  <c r="AZ426" i="44" s="1"/>
  <c r="BA426" i="44" s="1"/>
  <c r="BB426" i="44" s="1"/>
  <c r="BC426" i="44" s="1"/>
  <c r="BD426" i="44" s="1"/>
  <c r="BE426" i="44" s="1"/>
  <c r="BF426" i="44" s="1"/>
  <c r="BG426" i="44" s="1"/>
  <c r="BH426" i="44" s="1"/>
  <c r="BI426" i="44" s="1"/>
  <c r="BJ426" i="44" s="1"/>
  <c r="BK426" i="44" s="1"/>
  <c r="BL426" i="44" s="1"/>
  <c r="BM426" i="44" s="1"/>
  <c r="BN426" i="44" s="1"/>
  <c r="BO426" i="44" s="1"/>
  <c r="BP426" i="44" s="1"/>
  <c r="BQ426" i="44" s="1"/>
  <c r="BR426" i="44" s="1"/>
  <c r="BS426" i="44" s="1"/>
  <c r="BT426" i="44" s="1"/>
  <c r="BU426" i="44" s="1"/>
  <c r="BV426" i="44" s="1"/>
  <c r="BW426" i="44" s="1"/>
  <c r="BX426" i="44" s="1"/>
  <c r="BY426" i="44" s="1"/>
  <c r="BZ426" i="44" s="1"/>
  <c r="CA426" i="44" s="1"/>
  <c r="CB426" i="44" s="1"/>
  <c r="CC426" i="44" s="1"/>
  <c r="CD426" i="44" s="1"/>
  <c r="CE426" i="44" s="1"/>
  <c r="AH425" i="44"/>
  <c r="AI425" i="44" s="1"/>
  <c r="AJ425" i="44" s="1"/>
  <c r="AK425" i="44" s="1"/>
  <c r="AL425" i="44" s="1"/>
  <c r="AM425" i="44" s="1"/>
  <c r="AN425" i="44" s="1"/>
  <c r="AO425" i="44" s="1"/>
  <c r="AP425" i="44" s="1"/>
  <c r="AQ425" i="44" s="1"/>
  <c r="AR425" i="44" s="1"/>
  <c r="AS425" i="44" s="1"/>
  <c r="AT425" i="44" s="1"/>
  <c r="AU425" i="44" s="1"/>
  <c r="AV425" i="44" s="1"/>
  <c r="AW425" i="44" s="1"/>
  <c r="AX425" i="44" s="1"/>
  <c r="AY425" i="44" s="1"/>
  <c r="AZ425" i="44" s="1"/>
  <c r="BA425" i="44" s="1"/>
  <c r="BB425" i="44" s="1"/>
  <c r="BC425" i="44" s="1"/>
  <c r="BD425" i="44" s="1"/>
  <c r="BE425" i="44" s="1"/>
  <c r="BF425" i="44" s="1"/>
  <c r="BG425" i="44" s="1"/>
  <c r="BH425" i="44" s="1"/>
  <c r="BI425" i="44" s="1"/>
  <c r="BJ425" i="44" s="1"/>
  <c r="BK425" i="44" s="1"/>
  <c r="BL425" i="44" s="1"/>
  <c r="BM425" i="44" s="1"/>
  <c r="BN425" i="44" s="1"/>
  <c r="BO425" i="44" s="1"/>
  <c r="BP425" i="44" s="1"/>
  <c r="BQ425" i="44" s="1"/>
  <c r="BR425" i="44" s="1"/>
  <c r="BS425" i="44" s="1"/>
  <c r="BT425" i="44" s="1"/>
  <c r="BU425" i="44" s="1"/>
  <c r="BV425" i="44" s="1"/>
  <c r="BW425" i="44" s="1"/>
  <c r="BX425" i="44" s="1"/>
  <c r="BY425" i="44" s="1"/>
  <c r="BZ425" i="44" s="1"/>
  <c r="CA425" i="44" s="1"/>
  <c r="CB425" i="44" s="1"/>
  <c r="CC425" i="44" s="1"/>
  <c r="CD425" i="44" s="1"/>
  <c r="CE425" i="44" s="1"/>
  <c r="AH424" i="44"/>
  <c r="AI424" i="44" s="1"/>
  <c r="AJ424" i="44" s="1"/>
  <c r="AK424" i="44" s="1"/>
  <c r="AL424" i="44" s="1"/>
  <c r="AM424" i="44" s="1"/>
  <c r="AN424" i="44" s="1"/>
  <c r="AO424" i="44" s="1"/>
  <c r="AP424" i="44" s="1"/>
  <c r="AQ424" i="44" s="1"/>
  <c r="AR424" i="44" s="1"/>
  <c r="AS424" i="44" s="1"/>
  <c r="AT424" i="44" s="1"/>
  <c r="AU424" i="44" s="1"/>
  <c r="AV424" i="44" s="1"/>
  <c r="AW424" i="44" s="1"/>
  <c r="AX424" i="44" s="1"/>
  <c r="AY424" i="44" s="1"/>
  <c r="AZ424" i="44" s="1"/>
  <c r="BA424" i="44" s="1"/>
  <c r="BB424" i="44" s="1"/>
  <c r="BC424" i="44" s="1"/>
  <c r="BD424" i="44" s="1"/>
  <c r="BE424" i="44" s="1"/>
  <c r="BF424" i="44" s="1"/>
  <c r="BG424" i="44" s="1"/>
  <c r="BH424" i="44" s="1"/>
  <c r="BI424" i="44" s="1"/>
  <c r="BJ424" i="44" s="1"/>
  <c r="BK424" i="44" s="1"/>
  <c r="BL424" i="44" s="1"/>
  <c r="BM424" i="44" s="1"/>
  <c r="BN424" i="44" s="1"/>
  <c r="BO424" i="44" s="1"/>
  <c r="BP424" i="44" s="1"/>
  <c r="BQ424" i="44" s="1"/>
  <c r="BR424" i="44" s="1"/>
  <c r="BS424" i="44" s="1"/>
  <c r="BT424" i="44" s="1"/>
  <c r="BU424" i="44" s="1"/>
  <c r="BV424" i="44" s="1"/>
  <c r="BW424" i="44" s="1"/>
  <c r="BX424" i="44" s="1"/>
  <c r="BY424" i="44" s="1"/>
  <c r="BZ424" i="44" s="1"/>
  <c r="CA424" i="44" s="1"/>
  <c r="CB424" i="44" s="1"/>
  <c r="CC424" i="44" s="1"/>
  <c r="CD424" i="44" s="1"/>
  <c r="CE424" i="44" s="1"/>
  <c r="AH423" i="44"/>
  <c r="AI423" i="44" s="1"/>
  <c r="AJ423" i="44" s="1"/>
  <c r="AK423" i="44" s="1"/>
  <c r="AL423" i="44" s="1"/>
  <c r="AM423" i="44" s="1"/>
  <c r="AN423" i="44" s="1"/>
  <c r="AO423" i="44" s="1"/>
  <c r="AP423" i="44" s="1"/>
  <c r="AQ423" i="44" s="1"/>
  <c r="AR423" i="44" s="1"/>
  <c r="AS423" i="44" s="1"/>
  <c r="AT423" i="44" s="1"/>
  <c r="AU423" i="44" s="1"/>
  <c r="AV423" i="44" s="1"/>
  <c r="AW423" i="44" s="1"/>
  <c r="AX423" i="44" s="1"/>
  <c r="AY423" i="44" s="1"/>
  <c r="AZ423" i="44" s="1"/>
  <c r="BA423" i="44" s="1"/>
  <c r="BB423" i="44" s="1"/>
  <c r="BC423" i="44" s="1"/>
  <c r="BD423" i="44" s="1"/>
  <c r="BE423" i="44" s="1"/>
  <c r="BF423" i="44" s="1"/>
  <c r="BG423" i="44" s="1"/>
  <c r="BH423" i="44" s="1"/>
  <c r="BI423" i="44" s="1"/>
  <c r="BJ423" i="44" s="1"/>
  <c r="BK423" i="44" s="1"/>
  <c r="BL423" i="44" s="1"/>
  <c r="BM423" i="44" s="1"/>
  <c r="BN423" i="44" s="1"/>
  <c r="BO423" i="44" s="1"/>
  <c r="BP423" i="44" s="1"/>
  <c r="BQ423" i="44" s="1"/>
  <c r="BR423" i="44" s="1"/>
  <c r="BS423" i="44" s="1"/>
  <c r="BT423" i="44" s="1"/>
  <c r="BU423" i="44" s="1"/>
  <c r="BV423" i="44" s="1"/>
  <c r="BW423" i="44" s="1"/>
  <c r="BX423" i="44" s="1"/>
  <c r="BY423" i="44" s="1"/>
  <c r="BZ423" i="44" s="1"/>
  <c r="CA423" i="44" s="1"/>
  <c r="CB423" i="44" s="1"/>
  <c r="CC423" i="44" s="1"/>
  <c r="CD423" i="44" s="1"/>
  <c r="CE423" i="44" s="1"/>
  <c r="AH422" i="44"/>
  <c r="AI422" i="44" s="1"/>
  <c r="AJ422" i="44" s="1"/>
  <c r="AK422" i="44" s="1"/>
  <c r="AL422" i="44" s="1"/>
  <c r="AM422" i="44" s="1"/>
  <c r="AN422" i="44" s="1"/>
  <c r="AO422" i="44" s="1"/>
  <c r="AP422" i="44" s="1"/>
  <c r="AQ422" i="44" s="1"/>
  <c r="AR422" i="44" s="1"/>
  <c r="AS422" i="44" s="1"/>
  <c r="AT422" i="44" s="1"/>
  <c r="AU422" i="44" s="1"/>
  <c r="AV422" i="44" s="1"/>
  <c r="AW422" i="44" s="1"/>
  <c r="AX422" i="44" s="1"/>
  <c r="AY422" i="44" s="1"/>
  <c r="AZ422" i="44" s="1"/>
  <c r="BA422" i="44" s="1"/>
  <c r="BB422" i="44" s="1"/>
  <c r="BC422" i="44" s="1"/>
  <c r="BD422" i="44" s="1"/>
  <c r="BE422" i="44" s="1"/>
  <c r="BF422" i="44" s="1"/>
  <c r="BG422" i="44" s="1"/>
  <c r="BH422" i="44" s="1"/>
  <c r="BI422" i="44" s="1"/>
  <c r="BJ422" i="44" s="1"/>
  <c r="BK422" i="44" s="1"/>
  <c r="BL422" i="44" s="1"/>
  <c r="BM422" i="44" s="1"/>
  <c r="BN422" i="44" s="1"/>
  <c r="BO422" i="44" s="1"/>
  <c r="BP422" i="44" s="1"/>
  <c r="BQ422" i="44" s="1"/>
  <c r="BR422" i="44" s="1"/>
  <c r="BS422" i="44" s="1"/>
  <c r="BT422" i="44" s="1"/>
  <c r="BU422" i="44" s="1"/>
  <c r="BV422" i="44" s="1"/>
  <c r="BW422" i="44" s="1"/>
  <c r="BX422" i="44" s="1"/>
  <c r="BY422" i="44" s="1"/>
  <c r="BZ422" i="44" s="1"/>
  <c r="CA422" i="44" s="1"/>
  <c r="CB422" i="44" s="1"/>
  <c r="CC422" i="44" s="1"/>
  <c r="CD422" i="44" s="1"/>
  <c r="CE422" i="44" s="1"/>
  <c r="AQ421" i="44"/>
  <c r="AR421" i="44" s="1"/>
  <c r="AS421" i="44" s="1"/>
  <c r="AT421" i="44" s="1"/>
  <c r="AU421" i="44" s="1"/>
  <c r="AV421" i="44" s="1"/>
  <c r="AW421" i="44" s="1"/>
  <c r="AX421" i="44" s="1"/>
  <c r="AY421" i="44" s="1"/>
  <c r="AZ421" i="44" s="1"/>
  <c r="BA421" i="44" s="1"/>
  <c r="BB421" i="44" s="1"/>
  <c r="BC421" i="44" s="1"/>
  <c r="BD421" i="44" s="1"/>
  <c r="BE421" i="44" s="1"/>
  <c r="BF421" i="44" s="1"/>
  <c r="BG421" i="44" s="1"/>
  <c r="BH421" i="44" s="1"/>
  <c r="BI421" i="44" s="1"/>
  <c r="BJ421" i="44" s="1"/>
  <c r="BK421" i="44" s="1"/>
  <c r="BL421" i="44" s="1"/>
  <c r="BM421" i="44" s="1"/>
  <c r="BN421" i="44" s="1"/>
  <c r="BO421" i="44" s="1"/>
  <c r="BP421" i="44" s="1"/>
  <c r="BQ421" i="44" s="1"/>
  <c r="BR421" i="44" s="1"/>
  <c r="BS421" i="44" s="1"/>
  <c r="BT421" i="44" s="1"/>
  <c r="BU421" i="44" s="1"/>
  <c r="BV421" i="44" s="1"/>
  <c r="BW421" i="44" s="1"/>
  <c r="BX421" i="44" s="1"/>
  <c r="BY421" i="44" s="1"/>
  <c r="BZ421" i="44" s="1"/>
  <c r="CA421" i="44" s="1"/>
  <c r="CB421" i="44" s="1"/>
  <c r="CC421" i="44" s="1"/>
  <c r="CD421" i="44" s="1"/>
  <c r="CE421" i="44" s="1"/>
  <c r="AH421" i="44"/>
  <c r="AI421" i="44" s="1"/>
  <c r="AJ421" i="44" s="1"/>
  <c r="AK421" i="44" s="1"/>
  <c r="AL421" i="44" s="1"/>
  <c r="AM421" i="44" s="1"/>
  <c r="AN421" i="44" s="1"/>
  <c r="AO421" i="44" s="1"/>
  <c r="AP421" i="44" s="1"/>
  <c r="AH420" i="44"/>
  <c r="AI420" i="44" s="1"/>
  <c r="AJ420" i="44" s="1"/>
  <c r="AK420" i="44" s="1"/>
  <c r="AL420" i="44" s="1"/>
  <c r="AM420" i="44" s="1"/>
  <c r="AN420" i="44" s="1"/>
  <c r="AO420" i="44" s="1"/>
  <c r="AP420" i="44" s="1"/>
  <c r="AQ420" i="44" s="1"/>
  <c r="AR420" i="44" s="1"/>
  <c r="AS420" i="44" s="1"/>
  <c r="AT420" i="44" s="1"/>
  <c r="AU420" i="44" s="1"/>
  <c r="AV420" i="44" s="1"/>
  <c r="AW420" i="44" s="1"/>
  <c r="AX420" i="44" s="1"/>
  <c r="AY420" i="44" s="1"/>
  <c r="AZ420" i="44" s="1"/>
  <c r="BA420" i="44" s="1"/>
  <c r="BB420" i="44" s="1"/>
  <c r="BC420" i="44" s="1"/>
  <c r="BD420" i="44" s="1"/>
  <c r="BE420" i="44" s="1"/>
  <c r="BF420" i="44" s="1"/>
  <c r="BG420" i="44" s="1"/>
  <c r="BH420" i="44" s="1"/>
  <c r="BI420" i="44" s="1"/>
  <c r="BJ420" i="44" s="1"/>
  <c r="BK420" i="44" s="1"/>
  <c r="BL420" i="44" s="1"/>
  <c r="BM420" i="44" s="1"/>
  <c r="BN420" i="44" s="1"/>
  <c r="BO420" i="44" s="1"/>
  <c r="BP420" i="44" s="1"/>
  <c r="BQ420" i="44" s="1"/>
  <c r="BR420" i="44" s="1"/>
  <c r="BS420" i="44" s="1"/>
  <c r="BT420" i="44" s="1"/>
  <c r="BU420" i="44" s="1"/>
  <c r="BV420" i="44" s="1"/>
  <c r="BW420" i="44" s="1"/>
  <c r="BX420" i="44" s="1"/>
  <c r="BY420" i="44" s="1"/>
  <c r="BZ420" i="44" s="1"/>
  <c r="CA420" i="44" s="1"/>
  <c r="CB420" i="44" s="1"/>
  <c r="CC420" i="44" s="1"/>
  <c r="CD420" i="44" s="1"/>
  <c r="CE420" i="44" s="1"/>
  <c r="AH419" i="44"/>
  <c r="AI419" i="44" s="1"/>
  <c r="AJ419" i="44" s="1"/>
  <c r="AK419" i="44" s="1"/>
  <c r="AL419" i="44" s="1"/>
  <c r="AM419" i="44" s="1"/>
  <c r="AN419" i="44" s="1"/>
  <c r="AO419" i="44" s="1"/>
  <c r="AP419" i="44" s="1"/>
  <c r="AQ419" i="44" s="1"/>
  <c r="AR419" i="44" s="1"/>
  <c r="AS419" i="44" s="1"/>
  <c r="AT419" i="44" s="1"/>
  <c r="AU419" i="44" s="1"/>
  <c r="AV419" i="44" s="1"/>
  <c r="AW419" i="44" s="1"/>
  <c r="AX419" i="44" s="1"/>
  <c r="AY419" i="44" s="1"/>
  <c r="AZ419" i="44" s="1"/>
  <c r="BA419" i="44" s="1"/>
  <c r="BB419" i="44" s="1"/>
  <c r="BC419" i="44" s="1"/>
  <c r="BD419" i="44" s="1"/>
  <c r="BE419" i="44" s="1"/>
  <c r="BF419" i="44" s="1"/>
  <c r="BG419" i="44" s="1"/>
  <c r="BH419" i="44" s="1"/>
  <c r="BI419" i="44" s="1"/>
  <c r="BJ419" i="44" s="1"/>
  <c r="BK419" i="44" s="1"/>
  <c r="BL419" i="44" s="1"/>
  <c r="BM419" i="44" s="1"/>
  <c r="BN419" i="44" s="1"/>
  <c r="BO419" i="44" s="1"/>
  <c r="BP419" i="44" s="1"/>
  <c r="BQ419" i="44" s="1"/>
  <c r="BR419" i="44" s="1"/>
  <c r="BS419" i="44" s="1"/>
  <c r="BT419" i="44" s="1"/>
  <c r="BU419" i="44" s="1"/>
  <c r="BV419" i="44" s="1"/>
  <c r="BW419" i="44" s="1"/>
  <c r="BX419" i="44" s="1"/>
  <c r="BY419" i="44" s="1"/>
  <c r="BZ419" i="44" s="1"/>
  <c r="CA419" i="44" s="1"/>
  <c r="CB419" i="44" s="1"/>
  <c r="CC419" i="44" s="1"/>
  <c r="CD419" i="44" s="1"/>
  <c r="CE419" i="44" s="1"/>
  <c r="AH417" i="44"/>
  <c r="AI417" i="44" s="1"/>
  <c r="AJ417" i="44" s="1"/>
  <c r="AK417" i="44" s="1"/>
  <c r="AL417" i="44" s="1"/>
  <c r="AM417" i="44" s="1"/>
  <c r="AN417" i="44" s="1"/>
  <c r="AO417" i="44" s="1"/>
  <c r="AP417" i="44" s="1"/>
  <c r="AQ417" i="44" s="1"/>
  <c r="AR417" i="44" s="1"/>
  <c r="AS417" i="44" s="1"/>
  <c r="AT417" i="44" s="1"/>
  <c r="AU417" i="44" s="1"/>
  <c r="AV417" i="44" s="1"/>
  <c r="AW417" i="44" s="1"/>
  <c r="AX417" i="44" s="1"/>
  <c r="AY417" i="44" s="1"/>
  <c r="AZ417" i="44" s="1"/>
  <c r="BA417" i="44" s="1"/>
  <c r="BB417" i="44" s="1"/>
  <c r="BC417" i="44" s="1"/>
  <c r="BD417" i="44" s="1"/>
  <c r="BE417" i="44" s="1"/>
  <c r="BF417" i="44" s="1"/>
  <c r="BG417" i="44" s="1"/>
  <c r="BH417" i="44" s="1"/>
  <c r="BI417" i="44" s="1"/>
  <c r="BJ417" i="44" s="1"/>
  <c r="BK417" i="44" s="1"/>
  <c r="BL417" i="44" s="1"/>
  <c r="BM417" i="44" s="1"/>
  <c r="BN417" i="44" s="1"/>
  <c r="BO417" i="44" s="1"/>
  <c r="BP417" i="44" s="1"/>
  <c r="BQ417" i="44" s="1"/>
  <c r="BR417" i="44" s="1"/>
  <c r="BS417" i="44" s="1"/>
  <c r="BT417" i="44" s="1"/>
  <c r="BU417" i="44" s="1"/>
  <c r="BV417" i="44" s="1"/>
  <c r="BW417" i="44" s="1"/>
  <c r="BX417" i="44" s="1"/>
  <c r="BY417" i="44" s="1"/>
  <c r="BZ417" i="44" s="1"/>
  <c r="CA417" i="44" s="1"/>
  <c r="CB417" i="44" s="1"/>
  <c r="CC417" i="44" s="1"/>
  <c r="CD417" i="44" s="1"/>
  <c r="CE417" i="44" s="1"/>
  <c r="AH416" i="44"/>
  <c r="AI416" i="44" s="1"/>
  <c r="AJ416" i="44" s="1"/>
  <c r="AK416" i="44" s="1"/>
  <c r="AL416" i="44" s="1"/>
  <c r="AM416" i="44" s="1"/>
  <c r="AN416" i="44" s="1"/>
  <c r="AO416" i="44" s="1"/>
  <c r="AP416" i="44" s="1"/>
  <c r="AQ416" i="44" s="1"/>
  <c r="AR416" i="44" s="1"/>
  <c r="AS416" i="44" s="1"/>
  <c r="AT416" i="44" s="1"/>
  <c r="AU416" i="44" s="1"/>
  <c r="AV416" i="44" s="1"/>
  <c r="AW416" i="44" s="1"/>
  <c r="AX416" i="44" s="1"/>
  <c r="AY416" i="44" s="1"/>
  <c r="AZ416" i="44" s="1"/>
  <c r="BA416" i="44" s="1"/>
  <c r="BB416" i="44" s="1"/>
  <c r="BC416" i="44" s="1"/>
  <c r="BD416" i="44" s="1"/>
  <c r="BE416" i="44" s="1"/>
  <c r="BF416" i="44" s="1"/>
  <c r="BG416" i="44" s="1"/>
  <c r="BH416" i="44" s="1"/>
  <c r="BI416" i="44" s="1"/>
  <c r="BJ416" i="44" s="1"/>
  <c r="BK416" i="44" s="1"/>
  <c r="BL416" i="44" s="1"/>
  <c r="BM416" i="44" s="1"/>
  <c r="BN416" i="44" s="1"/>
  <c r="BO416" i="44" s="1"/>
  <c r="BP416" i="44" s="1"/>
  <c r="BQ416" i="44" s="1"/>
  <c r="BR416" i="44" s="1"/>
  <c r="BS416" i="44" s="1"/>
  <c r="BT416" i="44" s="1"/>
  <c r="BU416" i="44" s="1"/>
  <c r="BV416" i="44" s="1"/>
  <c r="BW416" i="44" s="1"/>
  <c r="BX416" i="44" s="1"/>
  <c r="BY416" i="44" s="1"/>
  <c r="BZ416" i="44" s="1"/>
  <c r="CA416" i="44" s="1"/>
  <c r="CB416" i="44" s="1"/>
  <c r="CC416" i="44" s="1"/>
  <c r="CD416" i="44" s="1"/>
  <c r="CE416" i="44" s="1"/>
  <c r="AH414" i="44"/>
  <c r="AI414" i="44" s="1"/>
  <c r="AJ414" i="44" s="1"/>
  <c r="AK414" i="44" s="1"/>
  <c r="AL414" i="44" s="1"/>
  <c r="AM414" i="44" s="1"/>
  <c r="AN414" i="44" s="1"/>
  <c r="AO414" i="44" s="1"/>
  <c r="AP414" i="44" s="1"/>
  <c r="AQ414" i="44" s="1"/>
  <c r="AR414" i="44" s="1"/>
  <c r="AS414" i="44" s="1"/>
  <c r="AT414" i="44" s="1"/>
  <c r="AU414" i="44" s="1"/>
  <c r="AV414" i="44" s="1"/>
  <c r="AW414" i="44" s="1"/>
  <c r="AX414" i="44" s="1"/>
  <c r="AY414" i="44" s="1"/>
  <c r="AZ414" i="44" s="1"/>
  <c r="BA414" i="44" s="1"/>
  <c r="BB414" i="44" s="1"/>
  <c r="BC414" i="44" s="1"/>
  <c r="BD414" i="44" s="1"/>
  <c r="BE414" i="44" s="1"/>
  <c r="BF414" i="44" s="1"/>
  <c r="BG414" i="44" s="1"/>
  <c r="BH414" i="44" s="1"/>
  <c r="BI414" i="44" s="1"/>
  <c r="BJ414" i="44" s="1"/>
  <c r="BK414" i="44" s="1"/>
  <c r="BL414" i="44" s="1"/>
  <c r="BM414" i="44" s="1"/>
  <c r="BN414" i="44" s="1"/>
  <c r="BO414" i="44" s="1"/>
  <c r="BP414" i="44" s="1"/>
  <c r="BQ414" i="44" s="1"/>
  <c r="BR414" i="44" s="1"/>
  <c r="BS414" i="44" s="1"/>
  <c r="BT414" i="44" s="1"/>
  <c r="BU414" i="44" s="1"/>
  <c r="BV414" i="44" s="1"/>
  <c r="BW414" i="44" s="1"/>
  <c r="BX414" i="44" s="1"/>
  <c r="BY414" i="44" s="1"/>
  <c r="BZ414" i="44" s="1"/>
  <c r="CA414" i="44" s="1"/>
  <c r="CB414" i="44" s="1"/>
  <c r="CC414" i="44" s="1"/>
  <c r="CD414" i="44" s="1"/>
  <c r="CE414" i="44" s="1"/>
  <c r="AH413" i="44"/>
  <c r="AI413" i="44" s="1"/>
  <c r="AJ413" i="44" s="1"/>
  <c r="AK413" i="44" s="1"/>
  <c r="AL413" i="44" s="1"/>
  <c r="AM413" i="44" s="1"/>
  <c r="AN413" i="44" s="1"/>
  <c r="AO413" i="44" s="1"/>
  <c r="AP413" i="44" s="1"/>
  <c r="AQ413" i="44" s="1"/>
  <c r="AR413" i="44" s="1"/>
  <c r="AS413" i="44" s="1"/>
  <c r="AT413" i="44" s="1"/>
  <c r="AU413" i="44" s="1"/>
  <c r="AV413" i="44" s="1"/>
  <c r="AW413" i="44" s="1"/>
  <c r="AX413" i="44" s="1"/>
  <c r="AY413" i="44" s="1"/>
  <c r="AZ413" i="44" s="1"/>
  <c r="BA413" i="44" s="1"/>
  <c r="BB413" i="44" s="1"/>
  <c r="BC413" i="44" s="1"/>
  <c r="BD413" i="44" s="1"/>
  <c r="BE413" i="44" s="1"/>
  <c r="BF413" i="44" s="1"/>
  <c r="BG413" i="44" s="1"/>
  <c r="BH413" i="44" s="1"/>
  <c r="BI413" i="44" s="1"/>
  <c r="BJ413" i="44" s="1"/>
  <c r="BK413" i="44" s="1"/>
  <c r="BL413" i="44" s="1"/>
  <c r="BM413" i="44" s="1"/>
  <c r="BN413" i="44" s="1"/>
  <c r="BO413" i="44" s="1"/>
  <c r="BP413" i="44" s="1"/>
  <c r="BQ413" i="44" s="1"/>
  <c r="BR413" i="44" s="1"/>
  <c r="BS413" i="44" s="1"/>
  <c r="BT413" i="44" s="1"/>
  <c r="BU413" i="44" s="1"/>
  <c r="BV413" i="44" s="1"/>
  <c r="BW413" i="44" s="1"/>
  <c r="BX413" i="44" s="1"/>
  <c r="BY413" i="44" s="1"/>
  <c r="BZ413" i="44" s="1"/>
  <c r="CA413" i="44" s="1"/>
  <c r="CB413" i="44" s="1"/>
  <c r="CC413" i="44" s="1"/>
  <c r="CD413" i="44" s="1"/>
  <c r="CE413" i="44" s="1"/>
  <c r="AH412" i="44"/>
  <c r="AI412" i="44" s="1"/>
  <c r="AJ412" i="44" s="1"/>
  <c r="AK412" i="44" s="1"/>
  <c r="AL412" i="44" s="1"/>
  <c r="AM412" i="44" s="1"/>
  <c r="AN412" i="44" s="1"/>
  <c r="AO412" i="44" s="1"/>
  <c r="AP412" i="44" s="1"/>
  <c r="AQ412" i="44" s="1"/>
  <c r="AR412" i="44" s="1"/>
  <c r="AS412" i="44" s="1"/>
  <c r="AT412" i="44" s="1"/>
  <c r="AU412" i="44" s="1"/>
  <c r="AV412" i="44" s="1"/>
  <c r="AW412" i="44" s="1"/>
  <c r="AX412" i="44" s="1"/>
  <c r="AY412" i="44" s="1"/>
  <c r="AZ412" i="44" s="1"/>
  <c r="BA412" i="44" s="1"/>
  <c r="BB412" i="44" s="1"/>
  <c r="BC412" i="44" s="1"/>
  <c r="BD412" i="44" s="1"/>
  <c r="BE412" i="44" s="1"/>
  <c r="BF412" i="44" s="1"/>
  <c r="BG412" i="44" s="1"/>
  <c r="BH412" i="44" s="1"/>
  <c r="BI412" i="44" s="1"/>
  <c r="BJ412" i="44" s="1"/>
  <c r="BK412" i="44" s="1"/>
  <c r="BL412" i="44" s="1"/>
  <c r="BM412" i="44" s="1"/>
  <c r="BN412" i="44" s="1"/>
  <c r="BO412" i="44" s="1"/>
  <c r="BP412" i="44" s="1"/>
  <c r="BQ412" i="44" s="1"/>
  <c r="BR412" i="44" s="1"/>
  <c r="BS412" i="44" s="1"/>
  <c r="BT412" i="44" s="1"/>
  <c r="BU412" i="44" s="1"/>
  <c r="BV412" i="44" s="1"/>
  <c r="BW412" i="44" s="1"/>
  <c r="BX412" i="44" s="1"/>
  <c r="BY412" i="44" s="1"/>
  <c r="BZ412" i="44" s="1"/>
  <c r="CA412" i="44" s="1"/>
  <c r="CB412" i="44" s="1"/>
  <c r="CC412" i="44" s="1"/>
  <c r="CD412" i="44" s="1"/>
  <c r="CE412" i="44" s="1"/>
  <c r="AH411" i="44"/>
  <c r="AI411" i="44" s="1"/>
  <c r="AJ411" i="44" s="1"/>
  <c r="AK411" i="44" s="1"/>
  <c r="AL411" i="44" s="1"/>
  <c r="AM411" i="44" s="1"/>
  <c r="AN411" i="44" s="1"/>
  <c r="AO411" i="44" s="1"/>
  <c r="AP411" i="44" s="1"/>
  <c r="AQ411" i="44" s="1"/>
  <c r="AR411" i="44" s="1"/>
  <c r="AS411" i="44" s="1"/>
  <c r="AT411" i="44" s="1"/>
  <c r="AU411" i="44" s="1"/>
  <c r="AV411" i="44" s="1"/>
  <c r="AW411" i="44" s="1"/>
  <c r="AX411" i="44" s="1"/>
  <c r="AY411" i="44" s="1"/>
  <c r="AZ411" i="44" s="1"/>
  <c r="BA411" i="44" s="1"/>
  <c r="BB411" i="44" s="1"/>
  <c r="BC411" i="44" s="1"/>
  <c r="BD411" i="44" s="1"/>
  <c r="BE411" i="44" s="1"/>
  <c r="BF411" i="44" s="1"/>
  <c r="BG411" i="44" s="1"/>
  <c r="BH411" i="44" s="1"/>
  <c r="BI411" i="44" s="1"/>
  <c r="BJ411" i="44" s="1"/>
  <c r="BK411" i="44" s="1"/>
  <c r="BL411" i="44" s="1"/>
  <c r="BM411" i="44" s="1"/>
  <c r="BN411" i="44" s="1"/>
  <c r="BO411" i="44" s="1"/>
  <c r="BP411" i="44" s="1"/>
  <c r="BQ411" i="44" s="1"/>
  <c r="BR411" i="44" s="1"/>
  <c r="BS411" i="44" s="1"/>
  <c r="BT411" i="44" s="1"/>
  <c r="BU411" i="44" s="1"/>
  <c r="BV411" i="44" s="1"/>
  <c r="BW411" i="44" s="1"/>
  <c r="BX411" i="44" s="1"/>
  <c r="BY411" i="44" s="1"/>
  <c r="BZ411" i="44" s="1"/>
  <c r="CA411" i="44" s="1"/>
  <c r="CB411" i="44" s="1"/>
  <c r="CC411" i="44" s="1"/>
  <c r="CD411" i="44" s="1"/>
  <c r="CE411" i="44" s="1"/>
  <c r="AH410" i="44"/>
  <c r="AI410" i="44" s="1"/>
  <c r="AJ410" i="44" s="1"/>
  <c r="AK410" i="44" s="1"/>
  <c r="AL410" i="44" s="1"/>
  <c r="AM410" i="44" s="1"/>
  <c r="AN410" i="44" s="1"/>
  <c r="AO410" i="44" s="1"/>
  <c r="AP410" i="44" s="1"/>
  <c r="AQ410" i="44" s="1"/>
  <c r="AR410" i="44" s="1"/>
  <c r="AS410" i="44" s="1"/>
  <c r="AT410" i="44" s="1"/>
  <c r="AU410" i="44" s="1"/>
  <c r="AV410" i="44" s="1"/>
  <c r="AW410" i="44" s="1"/>
  <c r="AX410" i="44" s="1"/>
  <c r="AY410" i="44" s="1"/>
  <c r="AZ410" i="44" s="1"/>
  <c r="BA410" i="44" s="1"/>
  <c r="BB410" i="44" s="1"/>
  <c r="BC410" i="44" s="1"/>
  <c r="BD410" i="44" s="1"/>
  <c r="BE410" i="44" s="1"/>
  <c r="BF410" i="44" s="1"/>
  <c r="BG410" i="44" s="1"/>
  <c r="BH410" i="44" s="1"/>
  <c r="BI410" i="44" s="1"/>
  <c r="BJ410" i="44" s="1"/>
  <c r="BK410" i="44" s="1"/>
  <c r="BL410" i="44" s="1"/>
  <c r="BM410" i="44" s="1"/>
  <c r="BN410" i="44" s="1"/>
  <c r="BO410" i="44" s="1"/>
  <c r="BP410" i="44" s="1"/>
  <c r="BQ410" i="44" s="1"/>
  <c r="BR410" i="44" s="1"/>
  <c r="BS410" i="44" s="1"/>
  <c r="BT410" i="44" s="1"/>
  <c r="BU410" i="44" s="1"/>
  <c r="BV410" i="44" s="1"/>
  <c r="BW410" i="44" s="1"/>
  <c r="BX410" i="44" s="1"/>
  <c r="BY410" i="44" s="1"/>
  <c r="BZ410" i="44" s="1"/>
  <c r="CA410" i="44" s="1"/>
  <c r="CB410" i="44" s="1"/>
  <c r="CC410" i="44" s="1"/>
  <c r="CD410" i="44" s="1"/>
  <c r="CE410" i="44" s="1"/>
  <c r="AH409" i="44"/>
  <c r="AI409" i="44" s="1"/>
  <c r="AJ409" i="44" s="1"/>
  <c r="AK409" i="44" s="1"/>
  <c r="AL409" i="44" s="1"/>
  <c r="AM409" i="44" s="1"/>
  <c r="AN409" i="44" s="1"/>
  <c r="AO409" i="44" s="1"/>
  <c r="AP409" i="44" s="1"/>
  <c r="AQ409" i="44" s="1"/>
  <c r="AR409" i="44" s="1"/>
  <c r="AS409" i="44" s="1"/>
  <c r="AT409" i="44" s="1"/>
  <c r="AU409" i="44" s="1"/>
  <c r="AV409" i="44" s="1"/>
  <c r="AW409" i="44" s="1"/>
  <c r="AX409" i="44" s="1"/>
  <c r="AY409" i="44" s="1"/>
  <c r="AZ409" i="44" s="1"/>
  <c r="BA409" i="44" s="1"/>
  <c r="BB409" i="44" s="1"/>
  <c r="BC409" i="44" s="1"/>
  <c r="BD409" i="44" s="1"/>
  <c r="BE409" i="44" s="1"/>
  <c r="BF409" i="44" s="1"/>
  <c r="BG409" i="44" s="1"/>
  <c r="BH409" i="44" s="1"/>
  <c r="BI409" i="44" s="1"/>
  <c r="BJ409" i="44" s="1"/>
  <c r="BK409" i="44" s="1"/>
  <c r="BL409" i="44" s="1"/>
  <c r="BM409" i="44" s="1"/>
  <c r="BN409" i="44" s="1"/>
  <c r="BO409" i="44" s="1"/>
  <c r="BP409" i="44" s="1"/>
  <c r="BQ409" i="44" s="1"/>
  <c r="BR409" i="44" s="1"/>
  <c r="BS409" i="44" s="1"/>
  <c r="BT409" i="44" s="1"/>
  <c r="BU409" i="44" s="1"/>
  <c r="BV409" i="44" s="1"/>
  <c r="BW409" i="44" s="1"/>
  <c r="BX409" i="44" s="1"/>
  <c r="BY409" i="44" s="1"/>
  <c r="BZ409" i="44" s="1"/>
  <c r="CA409" i="44" s="1"/>
  <c r="CB409" i="44" s="1"/>
  <c r="CC409" i="44" s="1"/>
  <c r="CD409" i="44" s="1"/>
  <c r="CE409" i="44" s="1"/>
  <c r="AH408" i="44"/>
  <c r="AI408" i="44" s="1"/>
  <c r="AJ408" i="44" s="1"/>
  <c r="AK408" i="44" s="1"/>
  <c r="AL408" i="44" s="1"/>
  <c r="AM408" i="44" s="1"/>
  <c r="AN408" i="44" s="1"/>
  <c r="AO408" i="44" s="1"/>
  <c r="AP408" i="44" s="1"/>
  <c r="AQ408" i="44" s="1"/>
  <c r="AR408" i="44" s="1"/>
  <c r="AS408" i="44" s="1"/>
  <c r="AT408" i="44" s="1"/>
  <c r="AU408" i="44" s="1"/>
  <c r="AV408" i="44" s="1"/>
  <c r="AW408" i="44" s="1"/>
  <c r="AX408" i="44" s="1"/>
  <c r="AY408" i="44" s="1"/>
  <c r="AZ408" i="44" s="1"/>
  <c r="BA408" i="44" s="1"/>
  <c r="BB408" i="44" s="1"/>
  <c r="BC408" i="44" s="1"/>
  <c r="BD408" i="44" s="1"/>
  <c r="BE408" i="44" s="1"/>
  <c r="BF408" i="44" s="1"/>
  <c r="BG408" i="44" s="1"/>
  <c r="BH408" i="44" s="1"/>
  <c r="BI408" i="44" s="1"/>
  <c r="BJ408" i="44" s="1"/>
  <c r="BK408" i="44" s="1"/>
  <c r="BL408" i="44" s="1"/>
  <c r="BM408" i="44" s="1"/>
  <c r="BN408" i="44" s="1"/>
  <c r="BO408" i="44" s="1"/>
  <c r="BP408" i="44" s="1"/>
  <c r="BQ408" i="44" s="1"/>
  <c r="BR408" i="44" s="1"/>
  <c r="BS408" i="44" s="1"/>
  <c r="BT408" i="44" s="1"/>
  <c r="BU408" i="44" s="1"/>
  <c r="BV408" i="44" s="1"/>
  <c r="BW408" i="44" s="1"/>
  <c r="BX408" i="44" s="1"/>
  <c r="BY408" i="44" s="1"/>
  <c r="BZ408" i="44" s="1"/>
  <c r="CA408" i="44" s="1"/>
  <c r="CB408" i="44" s="1"/>
  <c r="CC408" i="44" s="1"/>
  <c r="CD408" i="44" s="1"/>
  <c r="CE408" i="44" s="1"/>
  <c r="AH407" i="44"/>
  <c r="AI407" i="44" s="1"/>
  <c r="AJ407" i="44" s="1"/>
  <c r="AK407" i="44" s="1"/>
  <c r="AL407" i="44" s="1"/>
  <c r="AM407" i="44" s="1"/>
  <c r="AN407" i="44" s="1"/>
  <c r="AO407" i="44" s="1"/>
  <c r="AP407" i="44" s="1"/>
  <c r="AQ407" i="44" s="1"/>
  <c r="AR407" i="44" s="1"/>
  <c r="AS407" i="44" s="1"/>
  <c r="AT407" i="44" s="1"/>
  <c r="AU407" i="44" s="1"/>
  <c r="AV407" i="44" s="1"/>
  <c r="AW407" i="44" s="1"/>
  <c r="AX407" i="44" s="1"/>
  <c r="AY407" i="44" s="1"/>
  <c r="AZ407" i="44" s="1"/>
  <c r="BA407" i="44" s="1"/>
  <c r="BB407" i="44" s="1"/>
  <c r="BC407" i="44" s="1"/>
  <c r="BD407" i="44" s="1"/>
  <c r="BE407" i="44" s="1"/>
  <c r="BF407" i="44" s="1"/>
  <c r="BG407" i="44" s="1"/>
  <c r="BH407" i="44" s="1"/>
  <c r="BI407" i="44" s="1"/>
  <c r="BJ407" i="44" s="1"/>
  <c r="BK407" i="44" s="1"/>
  <c r="BL407" i="44" s="1"/>
  <c r="BM407" i="44" s="1"/>
  <c r="BN407" i="44" s="1"/>
  <c r="BO407" i="44" s="1"/>
  <c r="BP407" i="44" s="1"/>
  <c r="BQ407" i="44" s="1"/>
  <c r="BR407" i="44" s="1"/>
  <c r="BS407" i="44" s="1"/>
  <c r="BT407" i="44" s="1"/>
  <c r="BU407" i="44" s="1"/>
  <c r="BV407" i="44" s="1"/>
  <c r="BW407" i="44" s="1"/>
  <c r="BX407" i="44" s="1"/>
  <c r="BY407" i="44" s="1"/>
  <c r="BZ407" i="44" s="1"/>
  <c r="CA407" i="44" s="1"/>
  <c r="CB407" i="44" s="1"/>
  <c r="CC407" i="44" s="1"/>
  <c r="CD407" i="44" s="1"/>
  <c r="CE407" i="44" s="1"/>
  <c r="AI406" i="44"/>
  <c r="AJ406" i="44" s="1"/>
  <c r="AK406" i="44" s="1"/>
  <c r="AL406" i="44" s="1"/>
  <c r="AM406" i="44" s="1"/>
  <c r="AN406" i="44" s="1"/>
  <c r="AO406" i="44" s="1"/>
  <c r="AP406" i="44" s="1"/>
  <c r="AQ406" i="44" s="1"/>
  <c r="AR406" i="44" s="1"/>
  <c r="AS406" i="44" s="1"/>
  <c r="AT406" i="44" s="1"/>
  <c r="AU406" i="44" s="1"/>
  <c r="AV406" i="44" s="1"/>
  <c r="AW406" i="44" s="1"/>
  <c r="AX406" i="44" s="1"/>
  <c r="AY406" i="44" s="1"/>
  <c r="AZ406" i="44" s="1"/>
  <c r="BA406" i="44" s="1"/>
  <c r="BB406" i="44" s="1"/>
  <c r="BC406" i="44" s="1"/>
  <c r="BD406" i="44" s="1"/>
  <c r="BE406" i="44" s="1"/>
  <c r="BF406" i="44" s="1"/>
  <c r="BG406" i="44" s="1"/>
  <c r="BH406" i="44" s="1"/>
  <c r="BI406" i="44" s="1"/>
  <c r="BJ406" i="44" s="1"/>
  <c r="BK406" i="44" s="1"/>
  <c r="BL406" i="44" s="1"/>
  <c r="BM406" i="44" s="1"/>
  <c r="BN406" i="44" s="1"/>
  <c r="BO406" i="44" s="1"/>
  <c r="BP406" i="44" s="1"/>
  <c r="BQ406" i="44" s="1"/>
  <c r="BR406" i="44" s="1"/>
  <c r="BS406" i="44" s="1"/>
  <c r="BT406" i="44" s="1"/>
  <c r="BU406" i="44" s="1"/>
  <c r="BV406" i="44" s="1"/>
  <c r="BW406" i="44" s="1"/>
  <c r="BX406" i="44" s="1"/>
  <c r="BY406" i="44" s="1"/>
  <c r="BZ406" i="44" s="1"/>
  <c r="CA406" i="44" s="1"/>
  <c r="CB406" i="44" s="1"/>
  <c r="CC406" i="44" s="1"/>
  <c r="CD406" i="44" s="1"/>
  <c r="CE406" i="44" s="1"/>
  <c r="AH406" i="44"/>
  <c r="AH405" i="44"/>
  <c r="AI405" i="44" s="1"/>
  <c r="AJ405" i="44" s="1"/>
  <c r="AK405" i="44" s="1"/>
  <c r="AL405" i="44" s="1"/>
  <c r="AM405" i="44" s="1"/>
  <c r="AN405" i="44" s="1"/>
  <c r="AO405" i="44" s="1"/>
  <c r="AP405" i="44" s="1"/>
  <c r="AQ405" i="44" s="1"/>
  <c r="AR405" i="44" s="1"/>
  <c r="AS405" i="44" s="1"/>
  <c r="AT405" i="44" s="1"/>
  <c r="AU405" i="44" s="1"/>
  <c r="AV405" i="44" s="1"/>
  <c r="AW405" i="44" s="1"/>
  <c r="AX405" i="44" s="1"/>
  <c r="AY405" i="44" s="1"/>
  <c r="AZ405" i="44" s="1"/>
  <c r="BA405" i="44" s="1"/>
  <c r="BB405" i="44" s="1"/>
  <c r="BC405" i="44" s="1"/>
  <c r="BD405" i="44" s="1"/>
  <c r="BE405" i="44" s="1"/>
  <c r="BF405" i="44" s="1"/>
  <c r="BG405" i="44" s="1"/>
  <c r="BH405" i="44" s="1"/>
  <c r="BI405" i="44" s="1"/>
  <c r="BJ405" i="44" s="1"/>
  <c r="BK405" i="44" s="1"/>
  <c r="BL405" i="44" s="1"/>
  <c r="BM405" i="44" s="1"/>
  <c r="BN405" i="44" s="1"/>
  <c r="BO405" i="44" s="1"/>
  <c r="BP405" i="44" s="1"/>
  <c r="BQ405" i="44" s="1"/>
  <c r="BR405" i="44" s="1"/>
  <c r="BS405" i="44" s="1"/>
  <c r="BT405" i="44" s="1"/>
  <c r="BU405" i="44" s="1"/>
  <c r="BV405" i="44" s="1"/>
  <c r="BW405" i="44" s="1"/>
  <c r="BX405" i="44" s="1"/>
  <c r="BY405" i="44" s="1"/>
  <c r="BZ405" i="44" s="1"/>
  <c r="CA405" i="44" s="1"/>
  <c r="CB405" i="44" s="1"/>
  <c r="CC405" i="44" s="1"/>
  <c r="CD405" i="44" s="1"/>
  <c r="CE405" i="44" s="1"/>
  <c r="AH404" i="44"/>
  <c r="AI404" i="44" s="1"/>
  <c r="AJ404" i="44" s="1"/>
  <c r="AK404" i="44" s="1"/>
  <c r="AL404" i="44" s="1"/>
  <c r="AM404" i="44" s="1"/>
  <c r="AN404" i="44" s="1"/>
  <c r="AO404" i="44" s="1"/>
  <c r="AP404" i="44" s="1"/>
  <c r="AQ404" i="44" s="1"/>
  <c r="AR404" i="44" s="1"/>
  <c r="AS404" i="44" s="1"/>
  <c r="AT404" i="44" s="1"/>
  <c r="AU404" i="44" s="1"/>
  <c r="AV404" i="44" s="1"/>
  <c r="AW404" i="44" s="1"/>
  <c r="AX404" i="44" s="1"/>
  <c r="AY404" i="44" s="1"/>
  <c r="AZ404" i="44" s="1"/>
  <c r="BA404" i="44" s="1"/>
  <c r="BB404" i="44" s="1"/>
  <c r="BC404" i="44" s="1"/>
  <c r="BD404" i="44" s="1"/>
  <c r="BE404" i="44" s="1"/>
  <c r="BF404" i="44" s="1"/>
  <c r="BG404" i="44" s="1"/>
  <c r="BH404" i="44" s="1"/>
  <c r="BI404" i="44" s="1"/>
  <c r="BJ404" i="44" s="1"/>
  <c r="BK404" i="44" s="1"/>
  <c r="BL404" i="44" s="1"/>
  <c r="BM404" i="44" s="1"/>
  <c r="BN404" i="44" s="1"/>
  <c r="BO404" i="44" s="1"/>
  <c r="BP404" i="44" s="1"/>
  <c r="BQ404" i="44" s="1"/>
  <c r="BR404" i="44" s="1"/>
  <c r="BS404" i="44" s="1"/>
  <c r="BT404" i="44" s="1"/>
  <c r="BU404" i="44" s="1"/>
  <c r="BV404" i="44" s="1"/>
  <c r="BW404" i="44" s="1"/>
  <c r="BX404" i="44" s="1"/>
  <c r="BY404" i="44" s="1"/>
  <c r="BZ404" i="44" s="1"/>
  <c r="CA404" i="44" s="1"/>
  <c r="CB404" i="44" s="1"/>
  <c r="CC404" i="44" s="1"/>
  <c r="CD404" i="44" s="1"/>
  <c r="CE404" i="44" s="1"/>
  <c r="F403" i="44"/>
  <c r="G403" i="44" s="1"/>
  <c r="H403" i="44" s="1"/>
  <c r="I403" i="44" s="1"/>
  <c r="J403" i="44" s="1"/>
  <c r="K403" i="44" s="1"/>
  <c r="L403" i="44" s="1"/>
  <c r="M403" i="44" s="1"/>
  <c r="N403" i="44" s="1"/>
  <c r="O403" i="44" s="1"/>
  <c r="P403" i="44" s="1"/>
  <c r="Q403" i="44" s="1"/>
  <c r="R403" i="44" s="1"/>
  <c r="S403" i="44" s="1"/>
  <c r="T403" i="44" s="1"/>
  <c r="U403" i="44" s="1"/>
  <c r="V403" i="44" s="1"/>
  <c r="W403" i="44" s="1"/>
  <c r="X403" i="44" s="1"/>
  <c r="Y403" i="44" s="1"/>
  <c r="Z403" i="44" s="1"/>
  <c r="AA403" i="44" s="1"/>
  <c r="AB403" i="44" s="1"/>
  <c r="AC403" i="44" s="1"/>
  <c r="AD403" i="44" s="1"/>
  <c r="AE403" i="44" s="1"/>
  <c r="AF403" i="44" s="1"/>
  <c r="AG403" i="44" s="1"/>
  <c r="AH403" i="44" s="1"/>
  <c r="AI403" i="44" s="1"/>
  <c r="AJ403" i="44" s="1"/>
  <c r="AK403" i="44" s="1"/>
  <c r="AL403" i="44" s="1"/>
  <c r="AM403" i="44" s="1"/>
  <c r="AN403" i="44" s="1"/>
  <c r="AO403" i="44" s="1"/>
  <c r="AP403" i="44" s="1"/>
  <c r="AQ403" i="44" s="1"/>
  <c r="AR403" i="44" s="1"/>
  <c r="AS403" i="44" s="1"/>
  <c r="AT403" i="44" s="1"/>
  <c r="AU403" i="44" s="1"/>
  <c r="AV403" i="44" s="1"/>
  <c r="AW403" i="44" s="1"/>
  <c r="AX403" i="44" s="1"/>
  <c r="AY403" i="44" s="1"/>
  <c r="AZ403" i="44" s="1"/>
  <c r="BA403" i="44" s="1"/>
  <c r="BB403" i="44" s="1"/>
  <c r="BC403" i="44" s="1"/>
  <c r="BD403" i="44" s="1"/>
  <c r="BE403" i="44" s="1"/>
  <c r="BF403" i="44" s="1"/>
  <c r="BG403" i="44" s="1"/>
  <c r="BH403" i="44" s="1"/>
  <c r="BI403" i="44" s="1"/>
  <c r="BJ403" i="44" s="1"/>
  <c r="BK403" i="44" s="1"/>
  <c r="BL403" i="44" s="1"/>
  <c r="BM403" i="44" s="1"/>
  <c r="BN403" i="44" s="1"/>
  <c r="BO403" i="44" s="1"/>
  <c r="BP403" i="44" s="1"/>
  <c r="BQ403" i="44" s="1"/>
  <c r="BR403" i="44" s="1"/>
  <c r="BS403" i="44" s="1"/>
  <c r="BT403" i="44" s="1"/>
  <c r="BU403" i="44" s="1"/>
  <c r="BV403" i="44" s="1"/>
  <c r="BW403" i="44" s="1"/>
  <c r="BX403" i="44" s="1"/>
  <c r="BY403" i="44" s="1"/>
  <c r="BZ403" i="44" s="1"/>
  <c r="CA403" i="44" s="1"/>
  <c r="CB403" i="44" s="1"/>
  <c r="CC403" i="44" s="1"/>
  <c r="CD403" i="44" s="1"/>
  <c r="CE403" i="44" s="1"/>
  <c r="AH401" i="44"/>
  <c r="AI401" i="44" s="1"/>
  <c r="AJ401" i="44" s="1"/>
  <c r="AK401" i="44" s="1"/>
  <c r="AL401" i="44" s="1"/>
  <c r="AM401" i="44" s="1"/>
  <c r="AN401" i="44" s="1"/>
  <c r="AO401" i="44" s="1"/>
  <c r="AP401" i="44" s="1"/>
  <c r="AQ401" i="44" s="1"/>
  <c r="AR401" i="44" s="1"/>
  <c r="AS401" i="44" s="1"/>
  <c r="AT401" i="44" s="1"/>
  <c r="AU401" i="44" s="1"/>
  <c r="AV401" i="44" s="1"/>
  <c r="AW401" i="44" s="1"/>
  <c r="AX401" i="44" s="1"/>
  <c r="AY401" i="44" s="1"/>
  <c r="AZ401" i="44" s="1"/>
  <c r="BA401" i="44" s="1"/>
  <c r="BB401" i="44" s="1"/>
  <c r="BC401" i="44" s="1"/>
  <c r="BD401" i="44" s="1"/>
  <c r="BE401" i="44" s="1"/>
  <c r="BF401" i="44" s="1"/>
  <c r="BG401" i="44" s="1"/>
  <c r="BH401" i="44" s="1"/>
  <c r="BI401" i="44" s="1"/>
  <c r="BJ401" i="44" s="1"/>
  <c r="BK401" i="44" s="1"/>
  <c r="BL401" i="44" s="1"/>
  <c r="BM401" i="44" s="1"/>
  <c r="BN401" i="44" s="1"/>
  <c r="BO401" i="44" s="1"/>
  <c r="BP401" i="44" s="1"/>
  <c r="BQ401" i="44" s="1"/>
  <c r="BR401" i="44" s="1"/>
  <c r="BS401" i="44" s="1"/>
  <c r="BT401" i="44" s="1"/>
  <c r="BU401" i="44" s="1"/>
  <c r="BV401" i="44" s="1"/>
  <c r="BW401" i="44" s="1"/>
  <c r="BX401" i="44" s="1"/>
  <c r="BY401" i="44" s="1"/>
  <c r="BZ401" i="44" s="1"/>
  <c r="CA401" i="44" s="1"/>
  <c r="CB401" i="44" s="1"/>
  <c r="CC401" i="44" s="1"/>
  <c r="CD401" i="44" s="1"/>
  <c r="CE401" i="44" s="1"/>
  <c r="AH400" i="44"/>
  <c r="AI400" i="44" s="1"/>
  <c r="AJ400" i="44" s="1"/>
  <c r="AK400" i="44" s="1"/>
  <c r="AL400" i="44" s="1"/>
  <c r="AM400" i="44" s="1"/>
  <c r="AN400" i="44" s="1"/>
  <c r="AO400" i="44" s="1"/>
  <c r="AP400" i="44" s="1"/>
  <c r="AQ400" i="44" s="1"/>
  <c r="AR400" i="44" s="1"/>
  <c r="AS400" i="44" s="1"/>
  <c r="AT400" i="44" s="1"/>
  <c r="AU400" i="44" s="1"/>
  <c r="AV400" i="44" s="1"/>
  <c r="AW400" i="44" s="1"/>
  <c r="AX400" i="44" s="1"/>
  <c r="AY400" i="44" s="1"/>
  <c r="AZ400" i="44" s="1"/>
  <c r="BA400" i="44" s="1"/>
  <c r="BB400" i="44" s="1"/>
  <c r="BC400" i="44" s="1"/>
  <c r="BD400" i="44" s="1"/>
  <c r="BE400" i="44" s="1"/>
  <c r="BF400" i="44" s="1"/>
  <c r="BG400" i="44" s="1"/>
  <c r="BH400" i="44" s="1"/>
  <c r="BI400" i="44" s="1"/>
  <c r="BJ400" i="44" s="1"/>
  <c r="BK400" i="44" s="1"/>
  <c r="BL400" i="44" s="1"/>
  <c r="BM400" i="44" s="1"/>
  <c r="BN400" i="44" s="1"/>
  <c r="BO400" i="44" s="1"/>
  <c r="BP400" i="44" s="1"/>
  <c r="BQ400" i="44" s="1"/>
  <c r="BR400" i="44" s="1"/>
  <c r="BS400" i="44" s="1"/>
  <c r="BT400" i="44" s="1"/>
  <c r="BU400" i="44" s="1"/>
  <c r="BV400" i="44" s="1"/>
  <c r="BW400" i="44" s="1"/>
  <c r="BX400" i="44" s="1"/>
  <c r="BY400" i="44" s="1"/>
  <c r="BZ400" i="44" s="1"/>
  <c r="CA400" i="44" s="1"/>
  <c r="CB400" i="44" s="1"/>
  <c r="CC400" i="44" s="1"/>
  <c r="CD400" i="44" s="1"/>
  <c r="CE400" i="44" s="1"/>
  <c r="AH399" i="44"/>
  <c r="AI399" i="44" s="1"/>
  <c r="AJ399" i="44" s="1"/>
  <c r="AK399" i="44" s="1"/>
  <c r="AL399" i="44" s="1"/>
  <c r="AM399" i="44" s="1"/>
  <c r="AN399" i="44" s="1"/>
  <c r="AO399" i="44" s="1"/>
  <c r="AP399" i="44" s="1"/>
  <c r="AQ399" i="44" s="1"/>
  <c r="AR399" i="44" s="1"/>
  <c r="AS399" i="44" s="1"/>
  <c r="AT399" i="44" s="1"/>
  <c r="AU399" i="44" s="1"/>
  <c r="AV399" i="44" s="1"/>
  <c r="AW399" i="44" s="1"/>
  <c r="AX399" i="44" s="1"/>
  <c r="AY399" i="44" s="1"/>
  <c r="AZ399" i="44" s="1"/>
  <c r="BA399" i="44" s="1"/>
  <c r="BB399" i="44" s="1"/>
  <c r="BC399" i="44" s="1"/>
  <c r="BD399" i="44" s="1"/>
  <c r="BE399" i="44" s="1"/>
  <c r="BF399" i="44" s="1"/>
  <c r="BG399" i="44" s="1"/>
  <c r="BH399" i="44" s="1"/>
  <c r="BI399" i="44" s="1"/>
  <c r="BJ399" i="44" s="1"/>
  <c r="BK399" i="44" s="1"/>
  <c r="BL399" i="44" s="1"/>
  <c r="BM399" i="44" s="1"/>
  <c r="BN399" i="44" s="1"/>
  <c r="BO399" i="44" s="1"/>
  <c r="BP399" i="44" s="1"/>
  <c r="BQ399" i="44" s="1"/>
  <c r="BR399" i="44" s="1"/>
  <c r="BS399" i="44" s="1"/>
  <c r="BT399" i="44" s="1"/>
  <c r="BU399" i="44" s="1"/>
  <c r="BV399" i="44" s="1"/>
  <c r="BW399" i="44" s="1"/>
  <c r="BX399" i="44" s="1"/>
  <c r="BY399" i="44" s="1"/>
  <c r="BZ399" i="44" s="1"/>
  <c r="CA399" i="44" s="1"/>
  <c r="CB399" i="44" s="1"/>
  <c r="CC399" i="44" s="1"/>
  <c r="CD399" i="44" s="1"/>
  <c r="CE399" i="44" s="1"/>
  <c r="AH398" i="44"/>
  <c r="AI398" i="44" s="1"/>
  <c r="AJ398" i="44" s="1"/>
  <c r="AK398" i="44" s="1"/>
  <c r="AL398" i="44" s="1"/>
  <c r="AM398" i="44" s="1"/>
  <c r="AN398" i="44" s="1"/>
  <c r="AO398" i="44" s="1"/>
  <c r="AP398" i="44" s="1"/>
  <c r="AQ398" i="44" s="1"/>
  <c r="AR398" i="44" s="1"/>
  <c r="AS398" i="44" s="1"/>
  <c r="AT398" i="44" s="1"/>
  <c r="AU398" i="44" s="1"/>
  <c r="AV398" i="44" s="1"/>
  <c r="AW398" i="44" s="1"/>
  <c r="AX398" i="44" s="1"/>
  <c r="AY398" i="44" s="1"/>
  <c r="AZ398" i="44" s="1"/>
  <c r="BA398" i="44" s="1"/>
  <c r="BB398" i="44" s="1"/>
  <c r="BC398" i="44" s="1"/>
  <c r="BD398" i="44" s="1"/>
  <c r="BE398" i="44" s="1"/>
  <c r="BF398" i="44" s="1"/>
  <c r="BG398" i="44" s="1"/>
  <c r="BH398" i="44" s="1"/>
  <c r="BI398" i="44" s="1"/>
  <c r="BJ398" i="44" s="1"/>
  <c r="BK398" i="44" s="1"/>
  <c r="BL398" i="44" s="1"/>
  <c r="BM398" i="44" s="1"/>
  <c r="BN398" i="44" s="1"/>
  <c r="BO398" i="44" s="1"/>
  <c r="BP398" i="44" s="1"/>
  <c r="BQ398" i="44" s="1"/>
  <c r="BR398" i="44" s="1"/>
  <c r="BS398" i="44" s="1"/>
  <c r="BT398" i="44" s="1"/>
  <c r="BU398" i="44" s="1"/>
  <c r="BV398" i="44" s="1"/>
  <c r="BW398" i="44" s="1"/>
  <c r="BX398" i="44" s="1"/>
  <c r="BY398" i="44" s="1"/>
  <c r="BZ398" i="44" s="1"/>
  <c r="CA398" i="44" s="1"/>
  <c r="CB398" i="44" s="1"/>
  <c r="CC398" i="44" s="1"/>
  <c r="CD398" i="44" s="1"/>
  <c r="CE398" i="44" s="1"/>
  <c r="AH397" i="44"/>
  <c r="AI397" i="44" s="1"/>
  <c r="AJ397" i="44" s="1"/>
  <c r="AK397" i="44" s="1"/>
  <c r="AL397" i="44" s="1"/>
  <c r="AM397" i="44" s="1"/>
  <c r="AN397" i="44" s="1"/>
  <c r="AO397" i="44" s="1"/>
  <c r="AP397" i="44" s="1"/>
  <c r="AQ397" i="44" s="1"/>
  <c r="AR397" i="44" s="1"/>
  <c r="AS397" i="44" s="1"/>
  <c r="AT397" i="44" s="1"/>
  <c r="AU397" i="44" s="1"/>
  <c r="AV397" i="44" s="1"/>
  <c r="AW397" i="44" s="1"/>
  <c r="AX397" i="44" s="1"/>
  <c r="AY397" i="44" s="1"/>
  <c r="AZ397" i="44" s="1"/>
  <c r="BA397" i="44" s="1"/>
  <c r="BB397" i="44" s="1"/>
  <c r="BC397" i="44" s="1"/>
  <c r="BD397" i="44" s="1"/>
  <c r="BE397" i="44" s="1"/>
  <c r="BF397" i="44" s="1"/>
  <c r="BG397" i="44" s="1"/>
  <c r="BH397" i="44" s="1"/>
  <c r="BI397" i="44" s="1"/>
  <c r="BJ397" i="44" s="1"/>
  <c r="BK397" i="44" s="1"/>
  <c r="BL397" i="44" s="1"/>
  <c r="BM397" i="44" s="1"/>
  <c r="BN397" i="44" s="1"/>
  <c r="BO397" i="44" s="1"/>
  <c r="BP397" i="44" s="1"/>
  <c r="BQ397" i="44" s="1"/>
  <c r="BR397" i="44" s="1"/>
  <c r="BS397" i="44" s="1"/>
  <c r="BT397" i="44" s="1"/>
  <c r="BU397" i="44" s="1"/>
  <c r="BV397" i="44" s="1"/>
  <c r="BW397" i="44" s="1"/>
  <c r="BX397" i="44" s="1"/>
  <c r="BY397" i="44" s="1"/>
  <c r="BZ397" i="44" s="1"/>
  <c r="CA397" i="44" s="1"/>
  <c r="CB397" i="44" s="1"/>
  <c r="CC397" i="44" s="1"/>
  <c r="CD397" i="44" s="1"/>
  <c r="CE397" i="44" s="1"/>
  <c r="AH396" i="44"/>
  <c r="AI396" i="44" s="1"/>
  <c r="AJ396" i="44" s="1"/>
  <c r="AK396" i="44" s="1"/>
  <c r="AL396" i="44" s="1"/>
  <c r="AM396" i="44" s="1"/>
  <c r="AN396" i="44" s="1"/>
  <c r="AO396" i="44" s="1"/>
  <c r="AP396" i="44" s="1"/>
  <c r="AQ396" i="44" s="1"/>
  <c r="AR396" i="44" s="1"/>
  <c r="AS396" i="44" s="1"/>
  <c r="AT396" i="44" s="1"/>
  <c r="AU396" i="44" s="1"/>
  <c r="AV396" i="44" s="1"/>
  <c r="AW396" i="44" s="1"/>
  <c r="AX396" i="44" s="1"/>
  <c r="AY396" i="44" s="1"/>
  <c r="AZ396" i="44" s="1"/>
  <c r="BA396" i="44" s="1"/>
  <c r="BB396" i="44" s="1"/>
  <c r="BC396" i="44" s="1"/>
  <c r="BD396" i="44" s="1"/>
  <c r="BE396" i="44" s="1"/>
  <c r="BF396" i="44" s="1"/>
  <c r="BG396" i="44" s="1"/>
  <c r="BH396" i="44" s="1"/>
  <c r="BI396" i="44" s="1"/>
  <c r="BJ396" i="44" s="1"/>
  <c r="BK396" i="44" s="1"/>
  <c r="BL396" i="44" s="1"/>
  <c r="BM396" i="44" s="1"/>
  <c r="BN396" i="44" s="1"/>
  <c r="BO396" i="44" s="1"/>
  <c r="BP396" i="44" s="1"/>
  <c r="BQ396" i="44" s="1"/>
  <c r="BR396" i="44" s="1"/>
  <c r="BS396" i="44" s="1"/>
  <c r="BT396" i="44" s="1"/>
  <c r="BU396" i="44" s="1"/>
  <c r="BV396" i="44" s="1"/>
  <c r="BW396" i="44" s="1"/>
  <c r="BX396" i="44" s="1"/>
  <c r="BY396" i="44" s="1"/>
  <c r="BZ396" i="44" s="1"/>
  <c r="CA396" i="44" s="1"/>
  <c r="CB396" i="44" s="1"/>
  <c r="CC396" i="44" s="1"/>
  <c r="CD396" i="44" s="1"/>
  <c r="CE396" i="44" s="1"/>
  <c r="AH395" i="44"/>
  <c r="AI395" i="44" s="1"/>
  <c r="AJ395" i="44" s="1"/>
  <c r="AK395" i="44" s="1"/>
  <c r="AL395" i="44" s="1"/>
  <c r="AM395" i="44" s="1"/>
  <c r="AN395" i="44" s="1"/>
  <c r="AO395" i="44" s="1"/>
  <c r="AP395" i="44" s="1"/>
  <c r="AQ395" i="44" s="1"/>
  <c r="AR395" i="44" s="1"/>
  <c r="AS395" i="44" s="1"/>
  <c r="AT395" i="44" s="1"/>
  <c r="AU395" i="44" s="1"/>
  <c r="AV395" i="44" s="1"/>
  <c r="AW395" i="44" s="1"/>
  <c r="AX395" i="44" s="1"/>
  <c r="AY395" i="44" s="1"/>
  <c r="AZ395" i="44" s="1"/>
  <c r="BA395" i="44" s="1"/>
  <c r="BB395" i="44" s="1"/>
  <c r="BC395" i="44" s="1"/>
  <c r="BD395" i="44" s="1"/>
  <c r="BE395" i="44" s="1"/>
  <c r="BF395" i="44" s="1"/>
  <c r="BG395" i="44" s="1"/>
  <c r="BH395" i="44" s="1"/>
  <c r="BI395" i="44" s="1"/>
  <c r="BJ395" i="44" s="1"/>
  <c r="BK395" i="44" s="1"/>
  <c r="BL395" i="44" s="1"/>
  <c r="BM395" i="44" s="1"/>
  <c r="BN395" i="44" s="1"/>
  <c r="BO395" i="44" s="1"/>
  <c r="BP395" i="44" s="1"/>
  <c r="BQ395" i="44" s="1"/>
  <c r="BR395" i="44" s="1"/>
  <c r="BS395" i="44" s="1"/>
  <c r="BT395" i="44" s="1"/>
  <c r="BU395" i="44" s="1"/>
  <c r="BV395" i="44" s="1"/>
  <c r="BW395" i="44" s="1"/>
  <c r="BX395" i="44" s="1"/>
  <c r="BY395" i="44" s="1"/>
  <c r="BZ395" i="44" s="1"/>
  <c r="CA395" i="44" s="1"/>
  <c r="CB395" i="44" s="1"/>
  <c r="CC395" i="44" s="1"/>
  <c r="CD395" i="44" s="1"/>
  <c r="CE395" i="44" s="1"/>
  <c r="AH394" i="44"/>
  <c r="AI394" i="44" s="1"/>
  <c r="AJ394" i="44" s="1"/>
  <c r="AK394" i="44" s="1"/>
  <c r="AL394" i="44" s="1"/>
  <c r="AM394" i="44" s="1"/>
  <c r="AN394" i="44" s="1"/>
  <c r="AO394" i="44" s="1"/>
  <c r="AP394" i="44" s="1"/>
  <c r="AQ394" i="44" s="1"/>
  <c r="AR394" i="44" s="1"/>
  <c r="AS394" i="44" s="1"/>
  <c r="AT394" i="44" s="1"/>
  <c r="AU394" i="44" s="1"/>
  <c r="AV394" i="44" s="1"/>
  <c r="AW394" i="44" s="1"/>
  <c r="AX394" i="44" s="1"/>
  <c r="AY394" i="44" s="1"/>
  <c r="AZ394" i="44" s="1"/>
  <c r="BA394" i="44" s="1"/>
  <c r="BB394" i="44" s="1"/>
  <c r="BC394" i="44" s="1"/>
  <c r="BD394" i="44" s="1"/>
  <c r="BE394" i="44" s="1"/>
  <c r="BF394" i="44" s="1"/>
  <c r="BG394" i="44" s="1"/>
  <c r="BH394" i="44" s="1"/>
  <c r="BI394" i="44" s="1"/>
  <c r="BJ394" i="44" s="1"/>
  <c r="BK394" i="44" s="1"/>
  <c r="BL394" i="44" s="1"/>
  <c r="BM394" i="44" s="1"/>
  <c r="BN394" i="44" s="1"/>
  <c r="BO394" i="44" s="1"/>
  <c r="BP394" i="44" s="1"/>
  <c r="BQ394" i="44" s="1"/>
  <c r="BR394" i="44" s="1"/>
  <c r="BS394" i="44" s="1"/>
  <c r="BT394" i="44" s="1"/>
  <c r="BU394" i="44" s="1"/>
  <c r="BV394" i="44" s="1"/>
  <c r="BW394" i="44" s="1"/>
  <c r="BX394" i="44" s="1"/>
  <c r="BY394" i="44" s="1"/>
  <c r="BZ394" i="44" s="1"/>
  <c r="CA394" i="44" s="1"/>
  <c r="CB394" i="44" s="1"/>
  <c r="CC394" i="44" s="1"/>
  <c r="CD394" i="44" s="1"/>
  <c r="CE394" i="44" s="1"/>
  <c r="AH392" i="44"/>
  <c r="AI392" i="44" s="1"/>
  <c r="AJ392" i="44" s="1"/>
  <c r="AK392" i="44" s="1"/>
  <c r="AL392" i="44" s="1"/>
  <c r="AM392" i="44" s="1"/>
  <c r="AN392" i="44" s="1"/>
  <c r="AO392" i="44" s="1"/>
  <c r="AP392" i="44" s="1"/>
  <c r="AQ392" i="44" s="1"/>
  <c r="AR392" i="44" s="1"/>
  <c r="AS392" i="44" s="1"/>
  <c r="AT392" i="44" s="1"/>
  <c r="AU392" i="44" s="1"/>
  <c r="AV392" i="44" s="1"/>
  <c r="AW392" i="44" s="1"/>
  <c r="AX392" i="44" s="1"/>
  <c r="AY392" i="44" s="1"/>
  <c r="AZ392" i="44" s="1"/>
  <c r="BA392" i="44" s="1"/>
  <c r="BB392" i="44" s="1"/>
  <c r="BC392" i="44" s="1"/>
  <c r="BD392" i="44" s="1"/>
  <c r="BE392" i="44" s="1"/>
  <c r="BF392" i="44" s="1"/>
  <c r="BG392" i="44" s="1"/>
  <c r="BH392" i="44" s="1"/>
  <c r="BI392" i="44" s="1"/>
  <c r="BJ392" i="44" s="1"/>
  <c r="BK392" i="44" s="1"/>
  <c r="BL392" i="44" s="1"/>
  <c r="BM392" i="44" s="1"/>
  <c r="BN392" i="44" s="1"/>
  <c r="BO392" i="44" s="1"/>
  <c r="BP392" i="44" s="1"/>
  <c r="BQ392" i="44" s="1"/>
  <c r="BR392" i="44" s="1"/>
  <c r="BS392" i="44" s="1"/>
  <c r="BT392" i="44" s="1"/>
  <c r="BU392" i="44" s="1"/>
  <c r="BV392" i="44" s="1"/>
  <c r="BW392" i="44" s="1"/>
  <c r="BX392" i="44" s="1"/>
  <c r="BY392" i="44" s="1"/>
  <c r="BZ392" i="44" s="1"/>
  <c r="CA392" i="44" s="1"/>
  <c r="CB392" i="44" s="1"/>
  <c r="CC392" i="44" s="1"/>
  <c r="CD392" i="44" s="1"/>
  <c r="CE392" i="44" s="1"/>
  <c r="AH391" i="44"/>
  <c r="AI391" i="44" s="1"/>
  <c r="AJ391" i="44" s="1"/>
  <c r="AK391" i="44" s="1"/>
  <c r="AL391" i="44" s="1"/>
  <c r="AM391" i="44" s="1"/>
  <c r="AN391" i="44" s="1"/>
  <c r="AO391" i="44" s="1"/>
  <c r="AP391" i="44" s="1"/>
  <c r="AQ391" i="44" s="1"/>
  <c r="AR391" i="44" s="1"/>
  <c r="AS391" i="44" s="1"/>
  <c r="AT391" i="44" s="1"/>
  <c r="AU391" i="44" s="1"/>
  <c r="AV391" i="44" s="1"/>
  <c r="AW391" i="44" s="1"/>
  <c r="AX391" i="44" s="1"/>
  <c r="AY391" i="44" s="1"/>
  <c r="AZ391" i="44" s="1"/>
  <c r="BA391" i="44" s="1"/>
  <c r="BB391" i="44" s="1"/>
  <c r="BC391" i="44" s="1"/>
  <c r="BD391" i="44" s="1"/>
  <c r="BE391" i="44" s="1"/>
  <c r="BF391" i="44" s="1"/>
  <c r="BG391" i="44" s="1"/>
  <c r="BH391" i="44" s="1"/>
  <c r="BI391" i="44" s="1"/>
  <c r="BJ391" i="44" s="1"/>
  <c r="BK391" i="44" s="1"/>
  <c r="BL391" i="44" s="1"/>
  <c r="BM391" i="44" s="1"/>
  <c r="BN391" i="44" s="1"/>
  <c r="BO391" i="44" s="1"/>
  <c r="BP391" i="44" s="1"/>
  <c r="BQ391" i="44" s="1"/>
  <c r="BR391" i="44" s="1"/>
  <c r="BS391" i="44" s="1"/>
  <c r="BT391" i="44" s="1"/>
  <c r="BU391" i="44" s="1"/>
  <c r="BV391" i="44" s="1"/>
  <c r="BW391" i="44" s="1"/>
  <c r="BX391" i="44" s="1"/>
  <c r="BY391" i="44" s="1"/>
  <c r="BZ391" i="44" s="1"/>
  <c r="CA391" i="44" s="1"/>
  <c r="CB391" i="44" s="1"/>
  <c r="CC391" i="44" s="1"/>
  <c r="CD391" i="44" s="1"/>
  <c r="CE391" i="44" s="1"/>
  <c r="AI389" i="44"/>
  <c r="AJ389" i="44" s="1"/>
  <c r="AK389" i="44" s="1"/>
  <c r="AL389" i="44" s="1"/>
  <c r="AM389" i="44" s="1"/>
  <c r="AN389" i="44" s="1"/>
  <c r="AO389" i="44" s="1"/>
  <c r="AP389" i="44" s="1"/>
  <c r="AQ389" i="44" s="1"/>
  <c r="AR389" i="44" s="1"/>
  <c r="AS389" i="44" s="1"/>
  <c r="AT389" i="44" s="1"/>
  <c r="AU389" i="44" s="1"/>
  <c r="AV389" i="44" s="1"/>
  <c r="AW389" i="44" s="1"/>
  <c r="AX389" i="44" s="1"/>
  <c r="AY389" i="44" s="1"/>
  <c r="AZ389" i="44" s="1"/>
  <c r="BA389" i="44" s="1"/>
  <c r="BB389" i="44" s="1"/>
  <c r="BC389" i="44" s="1"/>
  <c r="BD389" i="44" s="1"/>
  <c r="BE389" i="44" s="1"/>
  <c r="BF389" i="44" s="1"/>
  <c r="BG389" i="44" s="1"/>
  <c r="BH389" i="44" s="1"/>
  <c r="BI389" i="44" s="1"/>
  <c r="BJ389" i="44" s="1"/>
  <c r="BK389" i="44" s="1"/>
  <c r="BL389" i="44" s="1"/>
  <c r="BM389" i="44" s="1"/>
  <c r="BN389" i="44" s="1"/>
  <c r="BO389" i="44" s="1"/>
  <c r="BP389" i="44" s="1"/>
  <c r="BQ389" i="44" s="1"/>
  <c r="BR389" i="44" s="1"/>
  <c r="BS389" i="44" s="1"/>
  <c r="BT389" i="44" s="1"/>
  <c r="BU389" i="44" s="1"/>
  <c r="BV389" i="44" s="1"/>
  <c r="BW389" i="44" s="1"/>
  <c r="BX389" i="44" s="1"/>
  <c r="BY389" i="44" s="1"/>
  <c r="BZ389" i="44" s="1"/>
  <c r="CA389" i="44" s="1"/>
  <c r="CB389" i="44" s="1"/>
  <c r="CC389" i="44" s="1"/>
  <c r="CD389" i="44" s="1"/>
  <c r="CE389" i="44" s="1"/>
  <c r="AH389" i="44"/>
  <c r="AH388" i="44"/>
  <c r="AI388" i="44" s="1"/>
  <c r="AJ388" i="44" s="1"/>
  <c r="AK388" i="44" s="1"/>
  <c r="AL388" i="44" s="1"/>
  <c r="AM388" i="44" s="1"/>
  <c r="AN388" i="44" s="1"/>
  <c r="AO388" i="44" s="1"/>
  <c r="AP388" i="44" s="1"/>
  <c r="AQ388" i="44" s="1"/>
  <c r="AR388" i="44" s="1"/>
  <c r="AS388" i="44" s="1"/>
  <c r="AT388" i="44" s="1"/>
  <c r="AU388" i="44" s="1"/>
  <c r="AV388" i="44" s="1"/>
  <c r="AW388" i="44" s="1"/>
  <c r="AX388" i="44" s="1"/>
  <c r="AY388" i="44" s="1"/>
  <c r="AZ388" i="44" s="1"/>
  <c r="BA388" i="44" s="1"/>
  <c r="BB388" i="44" s="1"/>
  <c r="BC388" i="44" s="1"/>
  <c r="BD388" i="44" s="1"/>
  <c r="BE388" i="44" s="1"/>
  <c r="BF388" i="44" s="1"/>
  <c r="BG388" i="44" s="1"/>
  <c r="BH388" i="44" s="1"/>
  <c r="BI388" i="44" s="1"/>
  <c r="BJ388" i="44" s="1"/>
  <c r="BK388" i="44" s="1"/>
  <c r="BL388" i="44" s="1"/>
  <c r="BM388" i="44" s="1"/>
  <c r="BN388" i="44" s="1"/>
  <c r="BO388" i="44" s="1"/>
  <c r="BP388" i="44" s="1"/>
  <c r="BQ388" i="44" s="1"/>
  <c r="BR388" i="44" s="1"/>
  <c r="BS388" i="44" s="1"/>
  <c r="BT388" i="44" s="1"/>
  <c r="BU388" i="44" s="1"/>
  <c r="BV388" i="44" s="1"/>
  <c r="BW388" i="44" s="1"/>
  <c r="BX388" i="44" s="1"/>
  <c r="BY388" i="44" s="1"/>
  <c r="BZ388" i="44" s="1"/>
  <c r="CA388" i="44" s="1"/>
  <c r="CB388" i="44" s="1"/>
  <c r="CC388" i="44" s="1"/>
  <c r="CD388" i="44" s="1"/>
  <c r="CE388" i="44" s="1"/>
  <c r="AH387" i="44"/>
  <c r="AI387" i="44" s="1"/>
  <c r="AJ387" i="44" s="1"/>
  <c r="AK387" i="44" s="1"/>
  <c r="AL387" i="44" s="1"/>
  <c r="AM387" i="44" s="1"/>
  <c r="AN387" i="44" s="1"/>
  <c r="AO387" i="44" s="1"/>
  <c r="AP387" i="44" s="1"/>
  <c r="AQ387" i="44" s="1"/>
  <c r="AR387" i="44" s="1"/>
  <c r="AS387" i="44" s="1"/>
  <c r="AT387" i="44" s="1"/>
  <c r="AU387" i="44" s="1"/>
  <c r="AV387" i="44" s="1"/>
  <c r="AW387" i="44" s="1"/>
  <c r="AX387" i="44" s="1"/>
  <c r="AY387" i="44" s="1"/>
  <c r="AZ387" i="44" s="1"/>
  <c r="BA387" i="44" s="1"/>
  <c r="BB387" i="44" s="1"/>
  <c r="BC387" i="44" s="1"/>
  <c r="BD387" i="44" s="1"/>
  <c r="BE387" i="44" s="1"/>
  <c r="BF387" i="44" s="1"/>
  <c r="BG387" i="44" s="1"/>
  <c r="BH387" i="44" s="1"/>
  <c r="BI387" i="44" s="1"/>
  <c r="BJ387" i="44" s="1"/>
  <c r="BK387" i="44" s="1"/>
  <c r="BL387" i="44" s="1"/>
  <c r="BM387" i="44" s="1"/>
  <c r="BN387" i="44" s="1"/>
  <c r="BO387" i="44" s="1"/>
  <c r="BP387" i="44" s="1"/>
  <c r="BQ387" i="44" s="1"/>
  <c r="BR387" i="44" s="1"/>
  <c r="BS387" i="44" s="1"/>
  <c r="BT387" i="44" s="1"/>
  <c r="BU387" i="44" s="1"/>
  <c r="BV387" i="44" s="1"/>
  <c r="BW387" i="44" s="1"/>
  <c r="BX387" i="44" s="1"/>
  <c r="BY387" i="44" s="1"/>
  <c r="BZ387" i="44" s="1"/>
  <c r="CA387" i="44" s="1"/>
  <c r="CB387" i="44" s="1"/>
  <c r="CC387" i="44" s="1"/>
  <c r="CD387" i="44" s="1"/>
  <c r="CE387" i="44" s="1"/>
  <c r="AH386" i="44"/>
  <c r="AI386" i="44" s="1"/>
  <c r="AJ386" i="44" s="1"/>
  <c r="AK386" i="44" s="1"/>
  <c r="AL386" i="44" s="1"/>
  <c r="AM386" i="44" s="1"/>
  <c r="AN386" i="44" s="1"/>
  <c r="AO386" i="44" s="1"/>
  <c r="AP386" i="44" s="1"/>
  <c r="AQ386" i="44" s="1"/>
  <c r="AR386" i="44" s="1"/>
  <c r="AS386" i="44" s="1"/>
  <c r="AT386" i="44" s="1"/>
  <c r="AU386" i="44" s="1"/>
  <c r="AV386" i="44" s="1"/>
  <c r="AW386" i="44" s="1"/>
  <c r="AX386" i="44" s="1"/>
  <c r="AY386" i="44" s="1"/>
  <c r="AZ386" i="44" s="1"/>
  <c r="BA386" i="44" s="1"/>
  <c r="BB386" i="44" s="1"/>
  <c r="BC386" i="44" s="1"/>
  <c r="BD386" i="44" s="1"/>
  <c r="BE386" i="44" s="1"/>
  <c r="BF386" i="44" s="1"/>
  <c r="BG386" i="44" s="1"/>
  <c r="BH386" i="44" s="1"/>
  <c r="BI386" i="44" s="1"/>
  <c r="BJ386" i="44" s="1"/>
  <c r="BK386" i="44" s="1"/>
  <c r="BL386" i="44" s="1"/>
  <c r="BM386" i="44" s="1"/>
  <c r="BN386" i="44" s="1"/>
  <c r="BO386" i="44" s="1"/>
  <c r="BP386" i="44" s="1"/>
  <c r="BQ386" i="44" s="1"/>
  <c r="BR386" i="44" s="1"/>
  <c r="BS386" i="44" s="1"/>
  <c r="BT386" i="44" s="1"/>
  <c r="BU386" i="44" s="1"/>
  <c r="BV386" i="44" s="1"/>
  <c r="BW386" i="44" s="1"/>
  <c r="BX386" i="44" s="1"/>
  <c r="BY386" i="44" s="1"/>
  <c r="BZ386" i="44" s="1"/>
  <c r="CA386" i="44" s="1"/>
  <c r="CB386" i="44" s="1"/>
  <c r="CC386" i="44" s="1"/>
  <c r="CD386" i="44" s="1"/>
  <c r="CE386" i="44" s="1"/>
  <c r="AH385" i="44"/>
  <c r="AI385" i="44" s="1"/>
  <c r="AJ385" i="44" s="1"/>
  <c r="AK385" i="44" s="1"/>
  <c r="AL385" i="44" s="1"/>
  <c r="AM385" i="44" s="1"/>
  <c r="AN385" i="44" s="1"/>
  <c r="AO385" i="44" s="1"/>
  <c r="AP385" i="44" s="1"/>
  <c r="AQ385" i="44" s="1"/>
  <c r="AR385" i="44" s="1"/>
  <c r="AS385" i="44" s="1"/>
  <c r="AT385" i="44" s="1"/>
  <c r="AU385" i="44" s="1"/>
  <c r="AV385" i="44" s="1"/>
  <c r="AW385" i="44" s="1"/>
  <c r="AX385" i="44" s="1"/>
  <c r="AY385" i="44" s="1"/>
  <c r="AZ385" i="44" s="1"/>
  <c r="BA385" i="44" s="1"/>
  <c r="BB385" i="44" s="1"/>
  <c r="BC385" i="44" s="1"/>
  <c r="BD385" i="44" s="1"/>
  <c r="BE385" i="44" s="1"/>
  <c r="BF385" i="44" s="1"/>
  <c r="BG385" i="44" s="1"/>
  <c r="BH385" i="44" s="1"/>
  <c r="BI385" i="44" s="1"/>
  <c r="BJ385" i="44" s="1"/>
  <c r="BK385" i="44" s="1"/>
  <c r="BL385" i="44" s="1"/>
  <c r="BM385" i="44" s="1"/>
  <c r="BN385" i="44" s="1"/>
  <c r="BO385" i="44" s="1"/>
  <c r="BP385" i="44" s="1"/>
  <c r="BQ385" i="44" s="1"/>
  <c r="BR385" i="44" s="1"/>
  <c r="BS385" i="44" s="1"/>
  <c r="BT385" i="44" s="1"/>
  <c r="BU385" i="44" s="1"/>
  <c r="BV385" i="44" s="1"/>
  <c r="BW385" i="44" s="1"/>
  <c r="BX385" i="44" s="1"/>
  <c r="BY385" i="44" s="1"/>
  <c r="BZ385" i="44" s="1"/>
  <c r="CA385" i="44" s="1"/>
  <c r="CB385" i="44" s="1"/>
  <c r="CC385" i="44" s="1"/>
  <c r="CD385" i="44" s="1"/>
  <c r="CE385" i="44" s="1"/>
  <c r="AH384" i="44"/>
  <c r="AI384" i="44" s="1"/>
  <c r="AJ384" i="44" s="1"/>
  <c r="AK384" i="44" s="1"/>
  <c r="AL384" i="44" s="1"/>
  <c r="AM384" i="44" s="1"/>
  <c r="AN384" i="44" s="1"/>
  <c r="AO384" i="44" s="1"/>
  <c r="AP384" i="44" s="1"/>
  <c r="AQ384" i="44" s="1"/>
  <c r="AR384" i="44" s="1"/>
  <c r="AS384" i="44" s="1"/>
  <c r="AT384" i="44" s="1"/>
  <c r="AU384" i="44" s="1"/>
  <c r="AV384" i="44" s="1"/>
  <c r="AW384" i="44" s="1"/>
  <c r="AX384" i="44" s="1"/>
  <c r="AY384" i="44" s="1"/>
  <c r="AZ384" i="44" s="1"/>
  <c r="BA384" i="44" s="1"/>
  <c r="BB384" i="44" s="1"/>
  <c r="BC384" i="44" s="1"/>
  <c r="BD384" i="44" s="1"/>
  <c r="BE384" i="44" s="1"/>
  <c r="BF384" i="44" s="1"/>
  <c r="BG384" i="44" s="1"/>
  <c r="BH384" i="44" s="1"/>
  <c r="BI384" i="44" s="1"/>
  <c r="BJ384" i="44" s="1"/>
  <c r="BK384" i="44" s="1"/>
  <c r="BL384" i="44" s="1"/>
  <c r="BM384" i="44" s="1"/>
  <c r="BN384" i="44" s="1"/>
  <c r="BO384" i="44" s="1"/>
  <c r="BP384" i="44" s="1"/>
  <c r="BQ384" i="44" s="1"/>
  <c r="BR384" i="44" s="1"/>
  <c r="BS384" i="44" s="1"/>
  <c r="BT384" i="44" s="1"/>
  <c r="BU384" i="44" s="1"/>
  <c r="BV384" i="44" s="1"/>
  <c r="BW384" i="44" s="1"/>
  <c r="BX384" i="44" s="1"/>
  <c r="BY384" i="44" s="1"/>
  <c r="BZ384" i="44" s="1"/>
  <c r="CA384" i="44" s="1"/>
  <c r="CB384" i="44" s="1"/>
  <c r="CC384" i="44" s="1"/>
  <c r="CD384" i="44" s="1"/>
  <c r="CE384" i="44" s="1"/>
  <c r="AH383" i="44"/>
  <c r="AI383" i="44" s="1"/>
  <c r="AJ383" i="44" s="1"/>
  <c r="AK383" i="44" s="1"/>
  <c r="AL383" i="44" s="1"/>
  <c r="AM383" i="44" s="1"/>
  <c r="AN383" i="44" s="1"/>
  <c r="AO383" i="44" s="1"/>
  <c r="AP383" i="44" s="1"/>
  <c r="AQ383" i="44" s="1"/>
  <c r="AR383" i="44" s="1"/>
  <c r="AS383" i="44" s="1"/>
  <c r="AT383" i="44" s="1"/>
  <c r="AU383" i="44" s="1"/>
  <c r="AV383" i="44" s="1"/>
  <c r="AW383" i="44" s="1"/>
  <c r="AX383" i="44" s="1"/>
  <c r="AY383" i="44" s="1"/>
  <c r="AZ383" i="44" s="1"/>
  <c r="BA383" i="44" s="1"/>
  <c r="BB383" i="44" s="1"/>
  <c r="BC383" i="44" s="1"/>
  <c r="BD383" i="44" s="1"/>
  <c r="BE383" i="44" s="1"/>
  <c r="BF383" i="44" s="1"/>
  <c r="BG383" i="44" s="1"/>
  <c r="BH383" i="44" s="1"/>
  <c r="BI383" i="44" s="1"/>
  <c r="BJ383" i="44" s="1"/>
  <c r="BK383" i="44" s="1"/>
  <c r="BL383" i="44" s="1"/>
  <c r="BM383" i="44" s="1"/>
  <c r="BN383" i="44" s="1"/>
  <c r="BO383" i="44" s="1"/>
  <c r="BP383" i="44" s="1"/>
  <c r="BQ383" i="44" s="1"/>
  <c r="BR383" i="44" s="1"/>
  <c r="BS383" i="44" s="1"/>
  <c r="BT383" i="44" s="1"/>
  <c r="BU383" i="44" s="1"/>
  <c r="BV383" i="44" s="1"/>
  <c r="BW383" i="44" s="1"/>
  <c r="BX383" i="44" s="1"/>
  <c r="BY383" i="44" s="1"/>
  <c r="BZ383" i="44" s="1"/>
  <c r="CA383" i="44" s="1"/>
  <c r="CB383" i="44" s="1"/>
  <c r="CC383" i="44" s="1"/>
  <c r="CD383" i="44" s="1"/>
  <c r="CE383" i="44" s="1"/>
  <c r="AH382" i="44"/>
  <c r="AI382" i="44" s="1"/>
  <c r="AJ382" i="44" s="1"/>
  <c r="AK382" i="44" s="1"/>
  <c r="AL382" i="44" s="1"/>
  <c r="AM382" i="44" s="1"/>
  <c r="AN382" i="44" s="1"/>
  <c r="AO382" i="44" s="1"/>
  <c r="AP382" i="44" s="1"/>
  <c r="AQ382" i="44" s="1"/>
  <c r="AR382" i="44" s="1"/>
  <c r="AS382" i="44" s="1"/>
  <c r="AT382" i="44" s="1"/>
  <c r="AU382" i="44" s="1"/>
  <c r="AV382" i="44" s="1"/>
  <c r="AW382" i="44" s="1"/>
  <c r="AX382" i="44" s="1"/>
  <c r="AY382" i="44" s="1"/>
  <c r="AZ382" i="44" s="1"/>
  <c r="BA382" i="44" s="1"/>
  <c r="BB382" i="44" s="1"/>
  <c r="BC382" i="44" s="1"/>
  <c r="BD382" i="44" s="1"/>
  <c r="BE382" i="44" s="1"/>
  <c r="BF382" i="44" s="1"/>
  <c r="BG382" i="44" s="1"/>
  <c r="BH382" i="44" s="1"/>
  <c r="BI382" i="44" s="1"/>
  <c r="BJ382" i="44" s="1"/>
  <c r="BK382" i="44" s="1"/>
  <c r="BL382" i="44" s="1"/>
  <c r="BM382" i="44" s="1"/>
  <c r="BN382" i="44" s="1"/>
  <c r="BO382" i="44" s="1"/>
  <c r="BP382" i="44" s="1"/>
  <c r="BQ382" i="44" s="1"/>
  <c r="BR382" i="44" s="1"/>
  <c r="BS382" i="44" s="1"/>
  <c r="BT382" i="44" s="1"/>
  <c r="BU382" i="44" s="1"/>
  <c r="BV382" i="44" s="1"/>
  <c r="BW382" i="44" s="1"/>
  <c r="BX382" i="44" s="1"/>
  <c r="BY382" i="44" s="1"/>
  <c r="BZ382" i="44" s="1"/>
  <c r="CA382" i="44" s="1"/>
  <c r="CB382" i="44" s="1"/>
  <c r="CC382" i="44" s="1"/>
  <c r="CD382" i="44" s="1"/>
  <c r="CE382" i="44" s="1"/>
  <c r="AH381" i="44"/>
  <c r="AI381" i="44" s="1"/>
  <c r="AJ381" i="44" s="1"/>
  <c r="AK381" i="44" s="1"/>
  <c r="AL381" i="44" s="1"/>
  <c r="AM381" i="44" s="1"/>
  <c r="AN381" i="44" s="1"/>
  <c r="AO381" i="44" s="1"/>
  <c r="AP381" i="44" s="1"/>
  <c r="AQ381" i="44" s="1"/>
  <c r="AR381" i="44" s="1"/>
  <c r="AS381" i="44" s="1"/>
  <c r="AT381" i="44" s="1"/>
  <c r="AU381" i="44" s="1"/>
  <c r="AV381" i="44" s="1"/>
  <c r="AW381" i="44" s="1"/>
  <c r="AX381" i="44" s="1"/>
  <c r="AY381" i="44" s="1"/>
  <c r="AZ381" i="44" s="1"/>
  <c r="BA381" i="44" s="1"/>
  <c r="BB381" i="44" s="1"/>
  <c r="BC381" i="44" s="1"/>
  <c r="BD381" i="44" s="1"/>
  <c r="BE381" i="44" s="1"/>
  <c r="BF381" i="44" s="1"/>
  <c r="BG381" i="44" s="1"/>
  <c r="BH381" i="44" s="1"/>
  <c r="BI381" i="44" s="1"/>
  <c r="BJ381" i="44" s="1"/>
  <c r="BK381" i="44" s="1"/>
  <c r="BL381" i="44" s="1"/>
  <c r="BM381" i="44" s="1"/>
  <c r="BN381" i="44" s="1"/>
  <c r="BO381" i="44" s="1"/>
  <c r="BP381" i="44" s="1"/>
  <c r="BQ381" i="44" s="1"/>
  <c r="BR381" i="44" s="1"/>
  <c r="BS381" i="44" s="1"/>
  <c r="BT381" i="44" s="1"/>
  <c r="BU381" i="44" s="1"/>
  <c r="BV381" i="44" s="1"/>
  <c r="BW381" i="44" s="1"/>
  <c r="BX381" i="44" s="1"/>
  <c r="BY381" i="44" s="1"/>
  <c r="BZ381" i="44" s="1"/>
  <c r="CA381" i="44" s="1"/>
  <c r="CB381" i="44" s="1"/>
  <c r="CC381" i="44" s="1"/>
  <c r="CD381" i="44" s="1"/>
  <c r="CE381" i="44" s="1"/>
  <c r="AH380" i="44"/>
  <c r="AI380" i="44" s="1"/>
  <c r="AJ380" i="44" s="1"/>
  <c r="AK380" i="44" s="1"/>
  <c r="AL380" i="44" s="1"/>
  <c r="AM380" i="44" s="1"/>
  <c r="AN380" i="44" s="1"/>
  <c r="AO380" i="44" s="1"/>
  <c r="AP380" i="44" s="1"/>
  <c r="AQ380" i="44" s="1"/>
  <c r="AR380" i="44" s="1"/>
  <c r="AS380" i="44" s="1"/>
  <c r="AT380" i="44" s="1"/>
  <c r="AU380" i="44" s="1"/>
  <c r="AV380" i="44" s="1"/>
  <c r="AW380" i="44" s="1"/>
  <c r="AX380" i="44" s="1"/>
  <c r="AY380" i="44" s="1"/>
  <c r="AZ380" i="44" s="1"/>
  <c r="BA380" i="44" s="1"/>
  <c r="BB380" i="44" s="1"/>
  <c r="BC380" i="44" s="1"/>
  <c r="BD380" i="44" s="1"/>
  <c r="BE380" i="44" s="1"/>
  <c r="BF380" i="44" s="1"/>
  <c r="BG380" i="44" s="1"/>
  <c r="BH380" i="44" s="1"/>
  <c r="BI380" i="44" s="1"/>
  <c r="BJ380" i="44" s="1"/>
  <c r="BK380" i="44" s="1"/>
  <c r="BL380" i="44" s="1"/>
  <c r="BM380" i="44" s="1"/>
  <c r="BN380" i="44" s="1"/>
  <c r="BO380" i="44" s="1"/>
  <c r="BP380" i="44" s="1"/>
  <c r="BQ380" i="44" s="1"/>
  <c r="BR380" i="44" s="1"/>
  <c r="BS380" i="44" s="1"/>
  <c r="BT380" i="44" s="1"/>
  <c r="BU380" i="44" s="1"/>
  <c r="BV380" i="44" s="1"/>
  <c r="BW380" i="44" s="1"/>
  <c r="BX380" i="44" s="1"/>
  <c r="BY380" i="44" s="1"/>
  <c r="BZ380" i="44" s="1"/>
  <c r="CA380" i="44" s="1"/>
  <c r="CB380" i="44" s="1"/>
  <c r="CC380" i="44" s="1"/>
  <c r="CD380" i="44" s="1"/>
  <c r="CE380" i="44" s="1"/>
  <c r="AH379" i="44"/>
  <c r="AI379" i="44" s="1"/>
  <c r="AJ379" i="44" s="1"/>
  <c r="AK379" i="44" s="1"/>
  <c r="AL379" i="44" s="1"/>
  <c r="AM379" i="44" s="1"/>
  <c r="AN379" i="44" s="1"/>
  <c r="AO379" i="44" s="1"/>
  <c r="AP379" i="44" s="1"/>
  <c r="AQ379" i="44" s="1"/>
  <c r="AR379" i="44" s="1"/>
  <c r="AS379" i="44" s="1"/>
  <c r="AT379" i="44" s="1"/>
  <c r="AU379" i="44" s="1"/>
  <c r="AV379" i="44" s="1"/>
  <c r="AW379" i="44" s="1"/>
  <c r="AX379" i="44" s="1"/>
  <c r="AY379" i="44" s="1"/>
  <c r="AZ379" i="44" s="1"/>
  <c r="BA379" i="44" s="1"/>
  <c r="BB379" i="44" s="1"/>
  <c r="BC379" i="44" s="1"/>
  <c r="BD379" i="44" s="1"/>
  <c r="BE379" i="44" s="1"/>
  <c r="BF379" i="44" s="1"/>
  <c r="BG379" i="44" s="1"/>
  <c r="BH379" i="44" s="1"/>
  <c r="BI379" i="44" s="1"/>
  <c r="BJ379" i="44" s="1"/>
  <c r="BK379" i="44" s="1"/>
  <c r="BL379" i="44" s="1"/>
  <c r="BM379" i="44" s="1"/>
  <c r="BN379" i="44" s="1"/>
  <c r="BO379" i="44" s="1"/>
  <c r="BP379" i="44" s="1"/>
  <c r="BQ379" i="44" s="1"/>
  <c r="BR379" i="44" s="1"/>
  <c r="BS379" i="44" s="1"/>
  <c r="BT379" i="44" s="1"/>
  <c r="BU379" i="44" s="1"/>
  <c r="BV379" i="44" s="1"/>
  <c r="BW379" i="44" s="1"/>
  <c r="BX379" i="44" s="1"/>
  <c r="BY379" i="44" s="1"/>
  <c r="BZ379" i="44" s="1"/>
  <c r="CA379" i="44" s="1"/>
  <c r="CB379" i="44" s="1"/>
  <c r="CC379" i="44" s="1"/>
  <c r="CD379" i="44" s="1"/>
  <c r="CE379" i="44" s="1"/>
  <c r="F378" i="44"/>
  <c r="G378" i="44" s="1"/>
  <c r="H378" i="44" s="1"/>
  <c r="I378" i="44" s="1"/>
  <c r="J378" i="44" s="1"/>
  <c r="K378" i="44" s="1"/>
  <c r="L378" i="44" s="1"/>
  <c r="M378" i="44" s="1"/>
  <c r="N378" i="44" s="1"/>
  <c r="O378" i="44" s="1"/>
  <c r="P378" i="44" s="1"/>
  <c r="Q378" i="44" s="1"/>
  <c r="R378" i="44" s="1"/>
  <c r="S378" i="44" s="1"/>
  <c r="T378" i="44" s="1"/>
  <c r="U378" i="44" s="1"/>
  <c r="V378" i="44" s="1"/>
  <c r="W378" i="44" s="1"/>
  <c r="X378" i="44" s="1"/>
  <c r="Y378" i="44" s="1"/>
  <c r="Z378" i="44" s="1"/>
  <c r="AA378" i="44" s="1"/>
  <c r="AB378" i="44" s="1"/>
  <c r="AC378" i="44" s="1"/>
  <c r="AD378" i="44" s="1"/>
  <c r="AE378" i="44" s="1"/>
  <c r="AF378" i="44" s="1"/>
  <c r="AG378" i="44" s="1"/>
  <c r="AH378" i="44" s="1"/>
  <c r="AI378" i="44" s="1"/>
  <c r="AJ378" i="44" s="1"/>
  <c r="AK378" i="44" s="1"/>
  <c r="AL378" i="44" s="1"/>
  <c r="AM378" i="44" s="1"/>
  <c r="AN378" i="44" s="1"/>
  <c r="AO378" i="44" s="1"/>
  <c r="AP378" i="44" s="1"/>
  <c r="AQ378" i="44" s="1"/>
  <c r="AR378" i="44" s="1"/>
  <c r="AS378" i="44" s="1"/>
  <c r="AT378" i="44" s="1"/>
  <c r="AU378" i="44" s="1"/>
  <c r="AV378" i="44" s="1"/>
  <c r="AW378" i="44" s="1"/>
  <c r="AX378" i="44" s="1"/>
  <c r="AY378" i="44" s="1"/>
  <c r="AZ378" i="44" s="1"/>
  <c r="BA378" i="44" s="1"/>
  <c r="BB378" i="44" s="1"/>
  <c r="BC378" i="44" s="1"/>
  <c r="BD378" i="44" s="1"/>
  <c r="BE378" i="44" s="1"/>
  <c r="BF378" i="44" s="1"/>
  <c r="BG378" i="44" s="1"/>
  <c r="BH378" i="44" s="1"/>
  <c r="BI378" i="44" s="1"/>
  <c r="BJ378" i="44" s="1"/>
  <c r="BK378" i="44" s="1"/>
  <c r="BL378" i="44" s="1"/>
  <c r="BM378" i="44" s="1"/>
  <c r="BN378" i="44" s="1"/>
  <c r="BO378" i="44" s="1"/>
  <c r="BP378" i="44" s="1"/>
  <c r="BQ378" i="44" s="1"/>
  <c r="BR378" i="44" s="1"/>
  <c r="BS378" i="44" s="1"/>
  <c r="BT378" i="44" s="1"/>
  <c r="BU378" i="44" s="1"/>
  <c r="BV378" i="44" s="1"/>
  <c r="BW378" i="44" s="1"/>
  <c r="BX378" i="44" s="1"/>
  <c r="BY378" i="44" s="1"/>
  <c r="BZ378" i="44" s="1"/>
  <c r="CA378" i="44" s="1"/>
  <c r="CB378" i="44" s="1"/>
  <c r="CC378" i="44" s="1"/>
  <c r="CD378" i="44" s="1"/>
  <c r="CE378" i="44" s="1"/>
  <c r="AH376" i="44"/>
  <c r="AI376" i="44" s="1"/>
  <c r="AJ376" i="44" s="1"/>
  <c r="AK376" i="44" s="1"/>
  <c r="AL376" i="44" s="1"/>
  <c r="AM376" i="44" s="1"/>
  <c r="AN376" i="44" s="1"/>
  <c r="AO376" i="44" s="1"/>
  <c r="AP376" i="44" s="1"/>
  <c r="AQ376" i="44" s="1"/>
  <c r="AR376" i="44" s="1"/>
  <c r="AS376" i="44" s="1"/>
  <c r="AT376" i="44" s="1"/>
  <c r="AU376" i="44" s="1"/>
  <c r="AV376" i="44" s="1"/>
  <c r="AW376" i="44" s="1"/>
  <c r="AX376" i="44" s="1"/>
  <c r="AY376" i="44" s="1"/>
  <c r="AZ376" i="44" s="1"/>
  <c r="BA376" i="44" s="1"/>
  <c r="BB376" i="44" s="1"/>
  <c r="BC376" i="44" s="1"/>
  <c r="BD376" i="44" s="1"/>
  <c r="BE376" i="44" s="1"/>
  <c r="BF376" i="44" s="1"/>
  <c r="BG376" i="44" s="1"/>
  <c r="BH376" i="44" s="1"/>
  <c r="BI376" i="44" s="1"/>
  <c r="BJ376" i="44" s="1"/>
  <c r="BK376" i="44" s="1"/>
  <c r="BL376" i="44" s="1"/>
  <c r="BM376" i="44" s="1"/>
  <c r="BN376" i="44" s="1"/>
  <c r="BO376" i="44" s="1"/>
  <c r="BP376" i="44" s="1"/>
  <c r="BQ376" i="44" s="1"/>
  <c r="BR376" i="44" s="1"/>
  <c r="BS376" i="44" s="1"/>
  <c r="BT376" i="44" s="1"/>
  <c r="BU376" i="44" s="1"/>
  <c r="BV376" i="44" s="1"/>
  <c r="BW376" i="44" s="1"/>
  <c r="BX376" i="44" s="1"/>
  <c r="BY376" i="44" s="1"/>
  <c r="BZ376" i="44" s="1"/>
  <c r="CA376" i="44" s="1"/>
  <c r="CB376" i="44" s="1"/>
  <c r="CC376" i="44" s="1"/>
  <c r="CD376" i="44" s="1"/>
  <c r="CE376" i="44" s="1"/>
  <c r="AH375" i="44"/>
  <c r="AI375" i="44" s="1"/>
  <c r="AJ375" i="44" s="1"/>
  <c r="AK375" i="44" s="1"/>
  <c r="AL375" i="44" s="1"/>
  <c r="AM375" i="44" s="1"/>
  <c r="AN375" i="44" s="1"/>
  <c r="AO375" i="44" s="1"/>
  <c r="AP375" i="44" s="1"/>
  <c r="AQ375" i="44" s="1"/>
  <c r="AR375" i="44" s="1"/>
  <c r="AS375" i="44" s="1"/>
  <c r="AT375" i="44" s="1"/>
  <c r="AU375" i="44" s="1"/>
  <c r="AV375" i="44" s="1"/>
  <c r="AW375" i="44" s="1"/>
  <c r="AX375" i="44" s="1"/>
  <c r="AY375" i="44" s="1"/>
  <c r="AZ375" i="44" s="1"/>
  <c r="BA375" i="44" s="1"/>
  <c r="BB375" i="44" s="1"/>
  <c r="BC375" i="44" s="1"/>
  <c r="BD375" i="44" s="1"/>
  <c r="BE375" i="44" s="1"/>
  <c r="BF375" i="44" s="1"/>
  <c r="BG375" i="44" s="1"/>
  <c r="BH375" i="44" s="1"/>
  <c r="BI375" i="44" s="1"/>
  <c r="BJ375" i="44" s="1"/>
  <c r="BK375" i="44" s="1"/>
  <c r="BL375" i="44" s="1"/>
  <c r="BM375" i="44" s="1"/>
  <c r="BN375" i="44" s="1"/>
  <c r="BO375" i="44" s="1"/>
  <c r="BP375" i="44" s="1"/>
  <c r="BQ375" i="44" s="1"/>
  <c r="BR375" i="44" s="1"/>
  <c r="BS375" i="44" s="1"/>
  <c r="BT375" i="44" s="1"/>
  <c r="BU375" i="44" s="1"/>
  <c r="BV375" i="44" s="1"/>
  <c r="BW375" i="44" s="1"/>
  <c r="BX375" i="44" s="1"/>
  <c r="BY375" i="44" s="1"/>
  <c r="BZ375" i="44" s="1"/>
  <c r="CA375" i="44" s="1"/>
  <c r="CB375" i="44" s="1"/>
  <c r="CC375" i="44" s="1"/>
  <c r="CD375" i="44" s="1"/>
  <c r="CE375" i="44" s="1"/>
  <c r="AH374" i="44"/>
  <c r="AI374" i="44" s="1"/>
  <c r="AJ374" i="44" s="1"/>
  <c r="AK374" i="44" s="1"/>
  <c r="AL374" i="44" s="1"/>
  <c r="AM374" i="44" s="1"/>
  <c r="AN374" i="44" s="1"/>
  <c r="AO374" i="44" s="1"/>
  <c r="AP374" i="44" s="1"/>
  <c r="AQ374" i="44" s="1"/>
  <c r="AR374" i="44" s="1"/>
  <c r="AS374" i="44" s="1"/>
  <c r="AT374" i="44" s="1"/>
  <c r="AU374" i="44" s="1"/>
  <c r="AV374" i="44" s="1"/>
  <c r="AW374" i="44" s="1"/>
  <c r="AX374" i="44" s="1"/>
  <c r="AY374" i="44" s="1"/>
  <c r="AZ374" i="44" s="1"/>
  <c r="BA374" i="44" s="1"/>
  <c r="BB374" i="44" s="1"/>
  <c r="BC374" i="44" s="1"/>
  <c r="BD374" i="44" s="1"/>
  <c r="BE374" i="44" s="1"/>
  <c r="BF374" i="44" s="1"/>
  <c r="BG374" i="44" s="1"/>
  <c r="BH374" i="44" s="1"/>
  <c r="BI374" i="44" s="1"/>
  <c r="BJ374" i="44" s="1"/>
  <c r="BK374" i="44" s="1"/>
  <c r="BL374" i="44" s="1"/>
  <c r="BM374" i="44" s="1"/>
  <c r="BN374" i="44" s="1"/>
  <c r="BO374" i="44" s="1"/>
  <c r="BP374" i="44" s="1"/>
  <c r="BQ374" i="44" s="1"/>
  <c r="BR374" i="44" s="1"/>
  <c r="BS374" i="44" s="1"/>
  <c r="BT374" i="44" s="1"/>
  <c r="BU374" i="44" s="1"/>
  <c r="BV374" i="44" s="1"/>
  <c r="BW374" i="44" s="1"/>
  <c r="BX374" i="44" s="1"/>
  <c r="BY374" i="44" s="1"/>
  <c r="BZ374" i="44" s="1"/>
  <c r="CA374" i="44" s="1"/>
  <c r="CB374" i="44" s="1"/>
  <c r="CC374" i="44" s="1"/>
  <c r="CD374" i="44" s="1"/>
  <c r="CE374" i="44" s="1"/>
  <c r="AH373" i="44"/>
  <c r="AI373" i="44" s="1"/>
  <c r="AJ373" i="44" s="1"/>
  <c r="AK373" i="44" s="1"/>
  <c r="AL373" i="44" s="1"/>
  <c r="AM373" i="44" s="1"/>
  <c r="AN373" i="44" s="1"/>
  <c r="AO373" i="44" s="1"/>
  <c r="AP373" i="44" s="1"/>
  <c r="AQ373" i="44" s="1"/>
  <c r="AR373" i="44" s="1"/>
  <c r="AS373" i="44" s="1"/>
  <c r="AT373" i="44" s="1"/>
  <c r="AU373" i="44" s="1"/>
  <c r="AV373" i="44" s="1"/>
  <c r="AW373" i="44" s="1"/>
  <c r="AX373" i="44" s="1"/>
  <c r="AY373" i="44" s="1"/>
  <c r="AZ373" i="44" s="1"/>
  <c r="BA373" i="44" s="1"/>
  <c r="BB373" i="44" s="1"/>
  <c r="BC373" i="44" s="1"/>
  <c r="BD373" i="44" s="1"/>
  <c r="BE373" i="44" s="1"/>
  <c r="BF373" i="44" s="1"/>
  <c r="BG373" i="44" s="1"/>
  <c r="BH373" i="44" s="1"/>
  <c r="BI373" i="44" s="1"/>
  <c r="BJ373" i="44" s="1"/>
  <c r="BK373" i="44" s="1"/>
  <c r="BL373" i="44" s="1"/>
  <c r="BM373" i="44" s="1"/>
  <c r="BN373" i="44" s="1"/>
  <c r="BO373" i="44" s="1"/>
  <c r="BP373" i="44" s="1"/>
  <c r="BQ373" i="44" s="1"/>
  <c r="BR373" i="44" s="1"/>
  <c r="BS373" i="44" s="1"/>
  <c r="BT373" i="44" s="1"/>
  <c r="BU373" i="44" s="1"/>
  <c r="BV373" i="44" s="1"/>
  <c r="BW373" i="44" s="1"/>
  <c r="BX373" i="44" s="1"/>
  <c r="BY373" i="44" s="1"/>
  <c r="BZ373" i="44" s="1"/>
  <c r="CA373" i="44" s="1"/>
  <c r="CB373" i="44" s="1"/>
  <c r="CC373" i="44" s="1"/>
  <c r="CD373" i="44" s="1"/>
  <c r="CE373" i="44" s="1"/>
  <c r="AH372" i="44"/>
  <c r="AI372" i="44" s="1"/>
  <c r="AJ372" i="44" s="1"/>
  <c r="AK372" i="44" s="1"/>
  <c r="AL372" i="44" s="1"/>
  <c r="AM372" i="44" s="1"/>
  <c r="AN372" i="44" s="1"/>
  <c r="AO372" i="44" s="1"/>
  <c r="AP372" i="44" s="1"/>
  <c r="AQ372" i="44" s="1"/>
  <c r="AR372" i="44" s="1"/>
  <c r="AS372" i="44" s="1"/>
  <c r="AT372" i="44" s="1"/>
  <c r="AU372" i="44" s="1"/>
  <c r="AV372" i="44" s="1"/>
  <c r="AW372" i="44" s="1"/>
  <c r="AX372" i="44" s="1"/>
  <c r="AY372" i="44" s="1"/>
  <c r="AZ372" i="44" s="1"/>
  <c r="BA372" i="44" s="1"/>
  <c r="BB372" i="44" s="1"/>
  <c r="BC372" i="44" s="1"/>
  <c r="BD372" i="44" s="1"/>
  <c r="BE372" i="44" s="1"/>
  <c r="BF372" i="44" s="1"/>
  <c r="BG372" i="44" s="1"/>
  <c r="BH372" i="44" s="1"/>
  <c r="BI372" i="44" s="1"/>
  <c r="BJ372" i="44" s="1"/>
  <c r="BK372" i="44" s="1"/>
  <c r="BL372" i="44" s="1"/>
  <c r="BM372" i="44" s="1"/>
  <c r="BN372" i="44" s="1"/>
  <c r="BO372" i="44" s="1"/>
  <c r="BP372" i="44" s="1"/>
  <c r="BQ372" i="44" s="1"/>
  <c r="BR372" i="44" s="1"/>
  <c r="BS372" i="44" s="1"/>
  <c r="BT372" i="44" s="1"/>
  <c r="BU372" i="44" s="1"/>
  <c r="BV372" i="44" s="1"/>
  <c r="BW372" i="44" s="1"/>
  <c r="BX372" i="44" s="1"/>
  <c r="BY372" i="44" s="1"/>
  <c r="BZ372" i="44" s="1"/>
  <c r="CA372" i="44" s="1"/>
  <c r="CB372" i="44" s="1"/>
  <c r="CC372" i="44" s="1"/>
  <c r="CD372" i="44" s="1"/>
  <c r="CE372" i="44" s="1"/>
  <c r="AH371" i="44"/>
  <c r="AI371" i="44" s="1"/>
  <c r="AJ371" i="44" s="1"/>
  <c r="AK371" i="44" s="1"/>
  <c r="AL371" i="44" s="1"/>
  <c r="AM371" i="44" s="1"/>
  <c r="AN371" i="44" s="1"/>
  <c r="AO371" i="44" s="1"/>
  <c r="AP371" i="44" s="1"/>
  <c r="AQ371" i="44" s="1"/>
  <c r="AR371" i="44" s="1"/>
  <c r="AS371" i="44" s="1"/>
  <c r="AT371" i="44" s="1"/>
  <c r="AU371" i="44" s="1"/>
  <c r="AV371" i="44" s="1"/>
  <c r="AW371" i="44" s="1"/>
  <c r="AX371" i="44" s="1"/>
  <c r="AY371" i="44" s="1"/>
  <c r="AZ371" i="44" s="1"/>
  <c r="BA371" i="44" s="1"/>
  <c r="BB371" i="44" s="1"/>
  <c r="BC371" i="44" s="1"/>
  <c r="BD371" i="44" s="1"/>
  <c r="BE371" i="44" s="1"/>
  <c r="BF371" i="44" s="1"/>
  <c r="BG371" i="44" s="1"/>
  <c r="BH371" i="44" s="1"/>
  <c r="BI371" i="44" s="1"/>
  <c r="BJ371" i="44" s="1"/>
  <c r="BK371" i="44" s="1"/>
  <c r="BL371" i="44" s="1"/>
  <c r="BM371" i="44" s="1"/>
  <c r="BN371" i="44" s="1"/>
  <c r="BO371" i="44" s="1"/>
  <c r="BP371" i="44" s="1"/>
  <c r="BQ371" i="44" s="1"/>
  <c r="BR371" i="44" s="1"/>
  <c r="BS371" i="44" s="1"/>
  <c r="BT371" i="44" s="1"/>
  <c r="BU371" i="44" s="1"/>
  <c r="BV371" i="44" s="1"/>
  <c r="BW371" i="44" s="1"/>
  <c r="BX371" i="44" s="1"/>
  <c r="BY371" i="44" s="1"/>
  <c r="BZ371" i="44" s="1"/>
  <c r="CA371" i="44" s="1"/>
  <c r="CB371" i="44" s="1"/>
  <c r="CC371" i="44" s="1"/>
  <c r="CD371" i="44" s="1"/>
  <c r="CE371" i="44" s="1"/>
  <c r="AH370" i="44"/>
  <c r="AI370" i="44" s="1"/>
  <c r="AJ370" i="44" s="1"/>
  <c r="AK370" i="44" s="1"/>
  <c r="AL370" i="44" s="1"/>
  <c r="AM370" i="44" s="1"/>
  <c r="AN370" i="44" s="1"/>
  <c r="AO370" i="44" s="1"/>
  <c r="AP370" i="44" s="1"/>
  <c r="AQ370" i="44" s="1"/>
  <c r="AR370" i="44" s="1"/>
  <c r="AS370" i="44" s="1"/>
  <c r="AT370" i="44" s="1"/>
  <c r="AU370" i="44" s="1"/>
  <c r="AV370" i="44" s="1"/>
  <c r="AW370" i="44" s="1"/>
  <c r="AX370" i="44" s="1"/>
  <c r="AY370" i="44" s="1"/>
  <c r="AZ370" i="44" s="1"/>
  <c r="BA370" i="44" s="1"/>
  <c r="BB370" i="44" s="1"/>
  <c r="BC370" i="44" s="1"/>
  <c r="BD370" i="44" s="1"/>
  <c r="BE370" i="44" s="1"/>
  <c r="BF370" i="44" s="1"/>
  <c r="BG370" i="44" s="1"/>
  <c r="BH370" i="44" s="1"/>
  <c r="BI370" i="44" s="1"/>
  <c r="BJ370" i="44" s="1"/>
  <c r="BK370" i="44" s="1"/>
  <c r="BL370" i="44" s="1"/>
  <c r="BM370" i="44" s="1"/>
  <c r="BN370" i="44" s="1"/>
  <c r="BO370" i="44" s="1"/>
  <c r="BP370" i="44" s="1"/>
  <c r="BQ370" i="44" s="1"/>
  <c r="BR370" i="44" s="1"/>
  <c r="BS370" i="44" s="1"/>
  <c r="BT370" i="44" s="1"/>
  <c r="BU370" i="44" s="1"/>
  <c r="BV370" i="44" s="1"/>
  <c r="BW370" i="44" s="1"/>
  <c r="BX370" i="44" s="1"/>
  <c r="BY370" i="44" s="1"/>
  <c r="BZ370" i="44" s="1"/>
  <c r="CA370" i="44" s="1"/>
  <c r="CB370" i="44" s="1"/>
  <c r="CC370" i="44" s="1"/>
  <c r="CD370" i="44" s="1"/>
  <c r="CE370" i="44" s="1"/>
  <c r="AH369" i="44"/>
  <c r="AI369" i="44" s="1"/>
  <c r="AJ369" i="44" s="1"/>
  <c r="AK369" i="44" s="1"/>
  <c r="AL369" i="44" s="1"/>
  <c r="AM369" i="44" s="1"/>
  <c r="AN369" i="44" s="1"/>
  <c r="AO369" i="44" s="1"/>
  <c r="AP369" i="44" s="1"/>
  <c r="AQ369" i="44" s="1"/>
  <c r="AR369" i="44" s="1"/>
  <c r="AS369" i="44" s="1"/>
  <c r="AT369" i="44" s="1"/>
  <c r="AU369" i="44" s="1"/>
  <c r="AV369" i="44" s="1"/>
  <c r="AW369" i="44" s="1"/>
  <c r="AX369" i="44" s="1"/>
  <c r="AY369" i="44" s="1"/>
  <c r="AZ369" i="44" s="1"/>
  <c r="BA369" i="44" s="1"/>
  <c r="BB369" i="44" s="1"/>
  <c r="BC369" i="44" s="1"/>
  <c r="BD369" i="44" s="1"/>
  <c r="BE369" i="44" s="1"/>
  <c r="BF369" i="44" s="1"/>
  <c r="BG369" i="44" s="1"/>
  <c r="BH369" i="44" s="1"/>
  <c r="BI369" i="44" s="1"/>
  <c r="BJ369" i="44" s="1"/>
  <c r="BK369" i="44" s="1"/>
  <c r="BL369" i="44" s="1"/>
  <c r="BM369" i="44" s="1"/>
  <c r="BN369" i="44" s="1"/>
  <c r="BO369" i="44" s="1"/>
  <c r="BP369" i="44" s="1"/>
  <c r="BQ369" i="44" s="1"/>
  <c r="BR369" i="44" s="1"/>
  <c r="BS369" i="44" s="1"/>
  <c r="BT369" i="44" s="1"/>
  <c r="BU369" i="44" s="1"/>
  <c r="BV369" i="44" s="1"/>
  <c r="BW369" i="44" s="1"/>
  <c r="BX369" i="44" s="1"/>
  <c r="BY369" i="44" s="1"/>
  <c r="BZ369" i="44" s="1"/>
  <c r="CA369" i="44" s="1"/>
  <c r="CB369" i="44" s="1"/>
  <c r="CC369" i="44" s="1"/>
  <c r="CD369" i="44" s="1"/>
  <c r="CE369" i="44" s="1"/>
  <c r="AH367" i="44"/>
  <c r="AI367" i="44" s="1"/>
  <c r="AJ367" i="44" s="1"/>
  <c r="AK367" i="44" s="1"/>
  <c r="AL367" i="44" s="1"/>
  <c r="AM367" i="44" s="1"/>
  <c r="AN367" i="44" s="1"/>
  <c r="AO367" i="44" s="1"/>
  <c r="AP367" i="44" s="1"/>
  <c r="AQ367" i="44" s="1"/>
  <c r="AR367" i="44" s="1"/>
  <c r="AS367" i="44" s="1"/>
  <c r="AT367" i="44" s="1"/>
  <c r="AU367" i="44" s="1"/>
  <c r="AV367" i="44" s="1"/>
  <c r="AW367" i="44" s="1"/>
  <c r="AX367" i="44" s="1"/>
  <c r="AY367" i="44" s="1"/>
  <c r="AZ367" i="44" s="1"/>
  <c r="BA367" i="44" s="1"/>
  <c r="BB367" i="44" s="1"/>
  <c r="BC367" i="44" s="1"/>
  <c r="BD367" i="44" s="1"/>
  <c r="BE367" i="44" s="1"/>
  <c r="BF367" i="44" s="1"/>
  <c r="BG367" i="44" s="1"/>
  <c r="BH367" i="44" s="1"/>
  <c r="BI367" i="44" s="1"/>
  <c r="BJ367" i="44" s="1"/>
  <c r="BK367" i="44" s="1"/>
  <c r="BL367" i="44" s="1"/>
  <c r="BM367" i="44" s="1"/>
  <c r="BN367" i="44" s="1"/>
  <c r="BO367" i="44" s="1"/>
  <c r="BP367" i="44" s="1"/>
  <c r="BQ367" i="44" s="1"/>
  <c r="BR367" i="44" s="1"/>
  <c r="BS367" i="44" s="1"/>
  <c r="BT367" i="44" s="1"/>
  <c r="BU367" i="44" s="1"/>
  <c r="BV367" i="44" s="1"/>
  <c r="BW367" i="44" s="1"/>
  <c r="BX367" i="44" s="1"/>
  <c r="BY367" i="44" s="1"/>
  <c r="BZ367" i="44" s="1"/>
  <c r="CA367" i="44" s="1"/>
  <c r="CB367" i="44" s="1"/>
  <c r="CC367" i="44" s="1"/>
  <c r="CD367" i="44" s="1"/>
  <c r="CE367" i="44" s="1"/>
  <c r="AH366" i="44"/>
  <c r="AI366" i="44" s="1"/>
  <c r="AJ366" i="44" s="1"/>
  <c r="AK366" i="44" s="1"/>
  <c r="AL366" i="44" s="1"/>
  <c r="AM366" i="44" s="1"/>
  <c r="AN366" i="44" s="1"/>
  <c r="AO366" i="44" s="1"/>
  <c r="AP366" i="44" s="1"/>
  <c r="AQ366" i="44" s="1"/>
  <c r="AR366" i="44" s="1"/>
  <c r="AS366" i="44" s="1"/>
  <c r="AT366" i="44" s="1"/>
  <c r="AU366" i="44" s="1"/>
  <c r="AV366" i="44" s="1"/>
  <c r="AW366" i="44" s="1"/>
  <c r="AX366" i="44" s="1"/>
  <c r="AY366" i="44" s="1"/>
  <c r="AZ366" i="44" s="1"/>
  <c r="BA366" i="44" s="1"/>
  <c r="BB366" i="44" s="1"/>
  <c r="BC366" i="44" s="1"/>
  <c r="BD366" i="44" s="1"/>
  <c r="BE366" i="44" s="1"/>
  <c r="BF366" i="44" s="1"/>
  <c r="BG366" i="44" s="1"/>
  <c r="BH366" i="44" s="1"/>
  <c r="BI366" i="44" s="1"/>
  <c r="BJ366" i="44" s="1"/>
  <c r="BK366" i="44" s="1"/>
  <c r="BL366" i="44" s="1"/>
  <c r="BM366" i="44" s="1"/>
  <c r="BN366" i="44" s="1"/>
  <c r="BO366" i="44" s="1"/>
  <c r="BP366" i="44" s="1"/>
  <c r="BQ366" i="44" s="1"/>
  <c r="BR366" i="44" s="1"/>
  <c r="BS366" i="44" s="1"/>
  <c r="BT366" i="44" s="1"/>
  <c r="BU366" i="44" s="1"/>
  <c r="BV366" i="44" s="1"/>
  <c r="BW366" i="44" s="1"/>
  <c r="BX366" i="44" s="1"/>
  <c r="BY366" i="44" s="1"/>
  <c r="BZ366" i="44" s="1"/>
  <c r="CA366" i="44" s="1"/>
  <c r="CB366" i="44" s="1"/>
  <c r="CC366" i="44" s="1"/>
  <c r="CD366" i="44" s="1"/>
  <c r="CE366" i="44" s="1"/>
  <c r="AH364" i="44"/>
  <c r="AI364" i="44" s="1"/>
  <c r="AJ364" i="44" s="1"/>
  <c r="AK364" i="44" s="1"/>
  <c r="AL364" i="44" s="1"/>
  <c r="AM364" i="44" s="1"/>
  <c r="AN364" i="44" s="1"/>
  <c r="AO364" i="44" s="1"/>
  <c r="AP364" i="44" s="1"/>
  <c r="AQ364" i="44" s="1"/>
  <c r="AR364" i="44" s="1"/>
  <c r="AS364" i="44" s="1"/>
  <c r="AT364" i="44" s="1"/>
  <c r="AU364" i="44" s="1"/>
  <c r="AV364" i="44" s="1"/>
  <c r="AW364" i="44" s="1"/>
  <c r="AX364" i="44" s="1"/>
  <c r="AY364" i="44" s="1"/>
  <c r="AZ364" i="44" s="1"/>
  <c r="BA364" i="44" s="1"/>
  <c r="BB364" i="44" s="1"/>
  <c r="BC364" i="44" s="1"/>
  <c r="BD364" i="44" s="1"/>
  <c r="BE364" i="44" s="1"/>
  <c r="BF364" i="44" s="1"/>
  <c r="BG364" i="44" s="1"/>
  <c r="BH364" i="44" s="1"/>
  <c r="BI364" i="44" s="1"/>
  <c r="BJ364" i="44" s="1"/>
  <c r="BK364" i="44" s="1"/>
  <c r="BL364" i="44" s="1"/>
  <c r="BM364" i="44" s="1"/>
  <c r="BN364" i="44" s="1"/>
  <c r="BO364" i="44" s="1"/>
  <c r="BP364" i="44" s="1"/>
  <c r="BQ364" i="44" s="1"/>
  <c r="BR364" i="44" s="1"/>
  <c r="BS364" i="44" s="1"/>
  <c r="BT364" i="44" s="1"/>
  <c r="BU364" i="44" s="1"/>
  <c r="BV364" i="44" s="1"/>
  <c r="BW364" i="44" s="1"/>
  <c r="BX364" i="44" s="1"/>
  <c r="BY364" i="44" s="1"/>
  <c r="BZ364" i="44" s="1"/>
  <c r="CA364" i="44" s="1"/>
  <c r="CB364" i="44" s="1"/>
  <c r="CC364" i="44" s="1"/>
  <c r="CD364" i="44" s="1"/>
  <c r="CE364" i="44" s="1"/>
  <c r="AH363" i="44"/>
  <c r="AI363" i="44" s="1"/>
  <c r="AJ363" i="44" s="1"/>
  <c r="AK363" i="44" s="1"/>
  <c r="AL363" i="44" s="1"/>
  <c r="AM363" i="44" s="1"/>
  <c r="AN363" i="44" s="1"/>
  <c r="AO363" i="44" s="1"/>
  <c r="AP363" i="44" s="1"/>
  <c r="AQ363" i="44" s="1"/>
  <c r="AR363" i="44" s="1"/>
  <c r="AS363" i="44" s="1"/>
  <c r="AT363" i="44" s="1"/>
  <c r="AU363" i="44" s="1"/>
  <c r="AV363" i="44" s="1"/>
  <c r="AW363" i="44" s="1"/>
  <c r="AX363" i="44" s="1"/>
  <c r="AY363" i="44" s="1"/>
  <c r="AZ363" i="44" s="1"/>
  <c r="BA363" i="44" s="1"/>
  <c r="BB363" i="44" s="1"/>
  <c r="BC363" i="44" s="1"/>
  <c r="BD363" i="44" s="1"/>
  <c r="BE363" i="44" s="1"/>
  <c r="BF363" i="44" s="1"/>
  <c r="BG363" i="44" s="1"/>
  <c r="BH363" i="44" s="1"/>
  <c r="BI363" i="44" s="1"/>
  <c r="BJ363" i="44" s="1"/>
  <c r="BK363" i="44" s="1"/>
  <c r="BL363" i="44" s="1"/>
  <c r="BM363" i="44" s="1"/>
  <c r="BN363" i="44" s="1"/>
  <c r="BO363" i="44" s="1"/>
  <c r="BP363" i="44" s="1"/>
  <c r="BQ363" i="44" s="1"/>
  <c r="BR363" i="44" s="1"/>
  <c r="BS363" i="44" s="1"/>
  <c r="BT363" i="44" s="1"/>
  <c r="BU363" i="44" s="1"/>
  <c r="BV363" i="44" s="1"/>
  <c r="BW363" i="44" s="1"/>
  <c r="BX363" i="44" s="1"/>
  <c r="BY363" i="44" s="1"/>
  <c r="BZ363" i="44" s="1"/>
  <c r="CA363" i="44" s="1"/>
  <c r="CB363" i="44" s="1"/>
  <c r="CC363" i="44" s="1"/>
  <c r="CD363" i="44" s="1"/>
  <c r="CE363" i="44" s="1"/>
  <c r="AH362" i="44"/>
  <c r="AI362" i="44" s="1"/>
  <c r="AJ362" i="44" s="1"/>
  <c r="AK362" i="44" s="1"/>
  <c r="AL362" i="44" s="1"/>
  <c r="AM362" i="44" s="1"/>
  <c r="AN362" i="44" s="1"/>
  <c r="AO362" i="44" s="1"/>
  <c r="AP362" i="44" s="1"/>
  <c r="AQ362" i="44" s="1"/>
  <c r="AR362" i="44" s="1"/>
  <c r="AS362" i="44" s="1"/>
  <c r="AT362" i="44" s="1"/>
  <c r="AU362" i="44" s="1"/>
  <c r="AV362" i="44" s="1"/>
  <c r="AW362" i="44" s="1"/>
  <c r="AX362" i="44" s="1"/>
  <c r="AY362" i="44" s="1"/>
  <c r="AZ362" i="44" s="1"/>
  <c r="BA362" i="44" s="1"/>
  <c r="BB362" i="44" s="1"/>
  <c r="BC362" i="44" s="1"/>
  <c r="BD362" i="44" s="1"/>
  <c r="BE362" i="44" s="1"/>
  <c r="BF362" i="44" s="1"/>
  <c r="BG362" i="44" s="1"/>
  <c r="BH362" i="44" s="1"/>
  <c r="BI362" i="44" s="1"/>
  <c r="BJ362" i="44" s="1"/>
  <c r="BK362" i="44" s="1"/>
  <c r="BL362" i="44" s="1"/>
  <c r="BM362" i="44" s="1"/>
  <c r="BN362" i="44" s="1"/>
  <c r="BO362" i="44" s="1"/>
  <c r="BP362" i="44" s="1"/>
  <c r="BQ362" i="44" s="1"/>
  <c r="BR362" i="44" s="1"/>
  <c r="BS362" i="44" s="1"/>
  <c r="BT362" i="44" s="1"/>
  <c r="BU362" i="44" s="1"/>
  <c r="BV362" i="44" s="1"/>
  <c r="BW362" i="44" s="1"/>
  <c r="BX362" i="44" s="1"/>
  <c r="BY362" i="44" s="1"/>
  <c r="BZ362" i="44" s="1"/>
  <c r="CA362" i="44" s="1"/>
  <c r="CB362" i="44" s="1"/>
  <c r="CC362" i="44" s="1"/>
  <c r="CD362" i="44" s="1"/>
  <c r="CE362" i="44" s="1"/>
  <c r="AH361" i="44"/>
  <c r="AI361" i="44" s="1"/>
  <c r="AJ361" i="44" s="1"/>
  <c r="AK361" i="44" s="1"/>
  <c r="AL361" i="44" s="1"/>
  <c r="AM361" i="44" s="1"/>
  <c r="AN361" i="44" s="1"/>
  <c r="AO361" i="44" s="1"/>
  <c r="AP361" i="44" s="1"/>
  <c r="AQ361" i="44" s="1"/>
  <c r="AR361" i="44" s="1"/>
  <c r="AS361" i="44" s="1"/>
  <c r="AT361" i="44" s="1"/>
  <c r="AU361" i="44" s="1"/>
  <c r="AV361" i="44" s="1"/>
  <c r="AW361" i="44" s="1"/>
  <c r="AX361" i="44" s="1"/>
  <c r="AY361" i="44" s="1"/>
  <c r="AZ361" i="44" s="1"/>
  <c r="BA361" i="44" s="1"/>
  <c r="BB361" i="44" s="1"/>
  <c r="BC361" i="44" s="1"/>
  <c r="BD361" i="44" s="1"/>
  <c r="BE361" i="44" s="1"/>
  <c r="BF361" i="44" s="1"/>
  <c r="BG361" i="44" s="1"/>
  <c r="BH361" i="44" s="1"/>
  <c r="BI361" i="44" s="1"/>
  <c r="BJ361" i="44" s="1"/>
  <c r="BK361" i="44" s="1"/>
  <c r="BL361" i="44" s="1"/>
  <c r="BM361" i="44" s="1"/>
  <c r="BN361" i="44" s="1"/>
  <c r="BO361" i="44" s="1"/>
  <c r="BP361" i="44" s="1"/>
  <c r="BQ361" i="44" s="1"/>
  <c r="BR361" i="44" s="1"/>
  <c r="BS361" i="44" s="1"/>
  <c r="BT361" i="44" s="1"/>
  <c r="BU361" i="44" s="1"/>
  <c r="BV361" i="44" s="1"/>
  <c r="BW361" i="44" s="1"/>
  <c r="BX361" i="44" s="1"/>
  <c r="BY361" i="44" s="1"/>
  <c r="BZ361" i="44" s="1"/>
  <c r="CA361" i="44" s="1"/>
  <c r="CB361" i="44" s="1"/>
  <c r="CC361" i="44" s="1"/>
  <c r="CD361" i="44" s="1"/>
  <c r="CE361" i="44" s="1"/>
  <c r="AH360" i="44"/>
  <c r="AI360" i="44" s="1"/>
  <c r="AJ360" i="44" s="1"/>
  <c r="AK360" i="44" s="1"/>
  <c r="AL360" i="44" s="1"/>
  <c r="AM360" i="44" s="1"/>
  <c r="AN360" i="44" s="1"/>
  <c r="AO360" i="44" s="1"/>
  <c r="AP360" i="44" s="1"/>
  <c r="AQ360" i="44" s="1"/>
  <c r="AR360" i="44" s="1"/>
  <c r="AS360" i="44" s="1"/>
  <c r="AT360" i="44" s="1"/>
  <c r="AU360" i="44" s="1"/>
  <c r="AV360" i="44" s="1"/>
  <c r="AW360" i="44" s="1"/>
  <c r="AX360" i="44" s="1"/>
  <c r="AY360" i="44" s="1"/>
  <c r="AZ360" i="44" s="1"/>
  <c r="BA360" i="44" s="1"/>
  <c r="BB360" i="44" s="1"/>
  <c r="BC360" i="44" s="1"/>
  <c r="BD360" i="44" s="1"/>
  <c r="BE360" i="44" s="1"/>
  <c r="BF360" i="44" s="1"/>
  <c r="BG360" i="44" s="1"/>
  <c r="BH360" i="44" s="1"/>
  <c r="BI360" i="44" s="1"/>
  <c r="BJ360" i="44" s="1"/>
  <c r="BK360" i="44" s="1"/>
  <c r="BL360" i="44" s="1"/>
  <c r="BM360" i="44" s="1"/>
  <c r="BN360" i="44" s="1"/>
  <c r="BO360" i="44" s="1"/>
  <c r="BP360" i="44" s="1"/>
  <c r="BQ360" i="44" s="1"/>
  <c r="BR360" i="44" s="1"/>
  <c r="BS360" i="44" s="1"/>
  <c r="BT360" i="44" s="1"/>
  <c r="BU360" i="44" s="1"/>
  <c r="BV360" i="44" s="1"/>
  <c r="BW360" i="44" s="1"/>
  <c r="BX360" i="44" s="1"/>
  <c r="BY360" i="44" s="1"/>
  <c r="BZ360" i="44" s="1"/>
  <c r="CA360" i="44" s="1"/>
  <c r="CB360" i="44" s="1"/>
  <c r="CC360" i="44" s="1"/>
  <c r="CD360" i="44" s="1"/>
  <c r="CE360" i="44" s="1"/>
  <c r="AH359" i="44"/>
  <c r="AI359" i="44" s="1"/>
  <c r="AJ359" i="44" s="1"/>
  <c r="AK359" i="44" s="1"/>
  <c r="AL359" i="44" s="1"/>
  <c r="AM359" i="44" s="1"/>
  <c r="AN359" i="44" s="1"/>
  <c r="AO359" i="44" s="1"/>
  <c r="AP359" i="44" s="1"/>
  <c r="AQ359" i="44" s="1"/>
  <c r="AR359" i="44" s="1"/>
  <c r="AS359" i="44" s="1"/>
  <c r="AT359" i="44" s="1"/>
  <c r="AU359" i="44" s="1"/>
  <c r="AV359" i="44" s="1"/>
  <c r="AW359" i="44" s="1"/>
  <c r="AX359" i="44" s="1"/>
  <c r="AY359" i="44" s="1"/>
  <c r="AZ359" i="44" s="1"/>
  <c r="BA359" i="44" s="1"/>
  <c r="BB359" i="44" s="1"/>
  <c r="BC359" i="44" s="1"/>
  <c r="BD359" i="44" s="1"/>
  <c r="BE359" i="44" s="1"/>
  <c r="BF359" i="44" s="1"/>
  <c r="BG359" i="44" s="1"/>
  <c r="BH359" i="44" s="1"/>
  <c r="BI359" i="44" s="1"/>
  <c r="BJ359" i="44" s="1"/>
  <c r="BK359" i="44" s="1"/>
  <c r="BL359" i="44" s="1"/>
  <c r="BM359" i="44" s="1"/>
  <c r="BN359" i="44" s="1"/>
  <c r="BO359" i="44" s="1"/>
  <c r="BP359" i="44" s="1"/>
  <c r="BQ359" i="44" s="1"/>
  <c r="BR359" i="44" s="1"/>
  <c r="BS359" i="44" s="1"/>
  <c r="BT359" i="44" s="1"/>
  <c r="BU359" i="44" s="1"/>
  <c r="BV359" i="44" s="1"/>
  <c r="BW359" i="44" s="1"/>
  <c r="BX359" i="44" s="1"/>
  <c r="BY359" i="44" s="1"/>
  <c r="BZ359" i="44" s="1"/>
  <c r="CA359" i="44" s="1"/>
  <c r="CB359" i="44" s="1"/>
  <c r="CC359" i="44" s="1"/>
  <c r="CD359" i="44" s="1"/>
  <c r="CE359" i="44" s="1"/>
  <c r="AH358" i="44"/>
  <c r="AI358" i="44" s="1"/>
  <c r="AJ358" i="44" s="1"/>
  <c r="AK358" i="44" s="1"/>
  <c r="AL358" i="44" s="1"/>
  <c r="AM358" i="44" s="1"/>
  <c r="AN358" i="44" s="1"/>
  <c r="AO358" i="44" s="1"/>
  <c r="AP358" i="44" s="1"/>
  <c r="AQ358" i="44" s="1"/>
  <c r="AR358" i="44" s="1"/>
  <c r="AS358" i="44" s="1"/>
  <c r="AT358" i="44" s="1"/>
  <c r="AU358" i="44" s="1"/>
  <c r="AV358" i="44" s="1"/>
  <c r="AW358" i="44" s="1"/>
  <c r="AX358" i="44" s="1"/>
  <c r="AY358" i="44" s="1"/>
  <c r="AZ358" i="44" s="1"/>
  <c r="BA358" i="44" s="1"/>
  <c r="BB358" i="44" s="1"/>
  <c r="BC358" i="44" s="1"/>
  <c r="BD358" i="44" s="1"/>
  <c r="BE358" i="44" s="1"/>
  <c r="BF358" i="44" s="1"/>
  <c r="BG358" i="44" s="1"/>
  <c r="BH358" i="44" s="1"/>
  <c r="BI358" i="44" s="1"/>
  <c r="BJ358" i="44" s="1"/>
  <c r="BK358" i="44" s="1"/>
  <c r="BL358" i="44" s="1"/>
  <c r="BM358" i="44" s="1"/>
  <c r="BN358" i="44" s="1"/>
  <c r="BO358" i="44" s="1"/>
  <c r="BP358" i="44" s="1"/>
  <c r="BQ358" i="44" s="1"/>
  <c r="BR358" i="44" s="1"/>
  <c r="BS358" i="44" s="1"/>
  <c r="BT358" i="44" s="1"/>
  <c r="BU358" i="44" s="1"/>
  <c r="BV358" i="44" s="1"/>
  <c r="BW358" i="44" s="1"/>
  <c r="BX358" i="44" s="1"/>
  <c r="BY358" i="44" s="1"/>
  <c r="BZ358" i="44" s="1"/>
  <c r="CA358" i="44" s="1"/>
  <c r="CB358" i="44" s="1"/>
  <c r="CC358" i="44" s="1"/>
  <c r="CD358" i="44" s="1"/>
  <c r="CE358" i="44" s="1"/>
  <c r="AH357" i="44"/>
  <c r="AI357" i="44" s="1"/>
  <c r="AJ357" i="44" s="1"/>
  <c r="AK357" i="44" s="1"/>
  <c r="AL357" i="44" s="1"/>
  <c r="AM357" i="44" s="1"/>
  <c r="AN357" i="44" s="1"/>
  <c r="AO357" i="44" s="1"/>
  <c r="AP357" i="44" s="1"/>
  <c r="AQ357" i="44" s="1"/>
  <c r="AR357" i="44" s="1"/>
  <c r="AS357" i="44" s="1"/>
  <c r="AT357" i="44" s="1"/>
  <c r="AU357" i="44" s="1"/>
  <c r="AV357" i="44" s="1"/>
  <c r="AW357" i="44" s="1"/>
  <c r="AX357" i="44" s="1"/>
  <c r="AY357" i="44" s="1"/>
  <c r="AZ357" i="44" s="1"/>
  <c r="BA357" i="44" s="1"/>
  <c r="BB357" i="44" s="1"/>
  <c r="BC357" i="44" s="1"/>
  <c r="BD357" i="44" s="1"/>
  <c r="BE357" i="44" s="1"/>
  <c r="BF357" i="44" s="1"/>
  <c r="BG357" i="44" s="1"/>
  <c r="BH357" i="44" s="1"/>
  <c r="BI357" i="44" s="1"/>
  <c r="BJ357" i="44" s="1"/>
  <c r="BK357" i="44" s="1"/>
  <c r="BL357" i="44" s="1"/>
  <c r="BM357" i="44" s="1"/>
  <c r="BN357" i="44" s="1"/>
  <c r="BO357" i="44" s="1"/>
  <c r="BP357" i="44" s="1"/>
  <c r="BQ357" i="44" s="1"/>
  <c r="BR357" i="44" s="1"/>
  <c r="BS357" i="44" s="1"/>
  <c r="BT357" i="44" s="1"/>
  <c r="BU357" i="44" s="1"/>
  <c r="BV357" i="44" s="1"/>
  <c r="BW357" i="44" s="1"/>
  <c r="BX357" i="44" s="1"/>
  <c r="BY357" i="44" s="1"/>
  <c r="BZ357" i="44" s="1"/>
  <c r="CA357" i="44" s="1"/>
  <c r="CB357" i="44" s="1"/>
  <c r="CC357" i="44" s="1"/>
  <c r="CD357" i="44" s="1"/>
  <c r="CE357" i="44" s="1"/>
  <c r="AH356" i="44"/>
  <c r="AI356" i="44" s="1"/>
  <c r="AJ356" i="44" s="1"/>
  <c r="AK356" i="44" s="1"/>
  <c r="AL356" i="44" s="1"/>
  <c r="AM356" i="44" s="1"/>
  <c r="AN356" i="44" s="1"/>
  <c r="AO356" i="44" s="1"/>
  <c r="AP356" i="44" s="1"/>
  <c r="AQ356" i="44" s="1"/>
  <c r="AR356" i="44" s="1"/>
  <c r="AS356" i="44" s="1"/>
  <c r="AT356" i="44" s="1"/>
  <c r="AU356" i="44" s="1"/>
  <c r="AV356" i="44" s="1"/>
  <c r="AW356" i="44" s="1"/>
  <c r="AX356" i="44" s="1"/>
  <c r="AY356" i="44" s="1"/>
  <c r="AZ356" i="44" s="1"/>
  <c r="BA356" i="44" s="1"/>
  <c r="BB356" i="44" s="1"/>
  <c r="BC356" i="44" s="1"/>
  <c r="BD356" i="44" s="1"/>
  <c r="BE356" i="44" s="1"/>
  <c r="BF356" i="44" s="1"/>
  <c r="BG356" i="44" s="1"/>
  <c r="BH356" i="44" s="1"/>
  <c r="BI356" i="44" s="1"/>
  <c r="BJ356" i="44" s="1"/>
  <c r="BK356" i="44" s="1"/>
  <c r="BL356" i="44" s="1"/>
  <c r="BM356" i="44" s="1"/>
  <c r="BN356" i="44" s="1"/>
  <c r="BO356" i="44" s="1"/>
  <c r="BP356" i="44" s="1"/>
  <c r="BQ356" i="44" s="1"/>
  <c r="BR356" i="44" s="1"/>
  <c r="BS356" i="44" s="1"/>
  <c r="BT356" i="44" s="1"/>
  <c r="BU356" i="44" s="1"/>
  <c r="BV356" i="44" s="1"/>
  <c r="BW356" i="44" s="1"/>
  <c r="BX356" i="44" s="1"/>
  <c r="BY356" i="44" s="1"/>
  <c r="BZ356" i="44" s="1"/>
  <c r="CA356" i="44" s="1"/>
  <c r="CB356" i="44" s="1"/>
  <c r="CC356" i="44" s="1"/>
  <c r="CD356" i="44" s="1"/>
  <c r="CE356" i="44" s="1"/>
  <c r="AH355" i="44"/>
  <c r="AI355" i="44" s="1"/>
  <c r="AJ355" i="44" s="1"/>
  <c r="AK355" i="44" s="1"/>
  <c r="AL355" i="44" s="1"/>
  <c r="AM355" i="44" s="1"/>
  <c r="AN355" i="44" s="1"/>
  <c r="AO355" i="44" s="1"/>
  <c r="AP355" i="44" s="1"/>
  <c r="AQ355" i="44" s="1"/>
  <c r="AR355" i="44" s="1"/>
  <c r="AS355" i="44" s="1"/>
  <c r="AT355" i="44" s="1"/>
  <c r="AU355" i="44" s="1"/>
  <c r="AV355" i="44" s="1"/>
  <c r="AW355" i="44" s="1"/>
  <c r="AX355" i="44" s="1"/>
  <c r="AY355" i="44" s="1"/>
  <c r="AZ355" i="44" s="1"/>
  <c r="BA355" i="44" s="1"/>
  <c r="BB355" i="44" s="1"/>
  <c r="BC355" i="44" s="1"/>
  <c r="BD355" i="44" s="1"/>
  <c r="BE355" i="44" s="1"/>
  <c r="BF355" i="44" s="1"/>
  <c r="BG355" i="44" s="1"/>
  <c r="BH355" i="44" s="1"/>
  <c r="BI355" i="44" s="1"/>
  <c r="BJ355" i="44" s="1"/>
  <c r="BK355" i="44" s="1"/>
  <c r="BL355" i="44" s="1"/>
  <c r="BM355" i="44" s="1"/>
  <c r="BN355" i="44" s="1"/>
  <c r="BO355" i="44" s="1"/>
  <c r="BP355" i="44" s="1"/>
  <c r="BQ355" i="44" s="1"/>
  <c r="BR355" i="44" s="1"/>
  <c r="BS355" i="44" s="1"/>
  <c r="BT355" i="44" s="1"/>
  <c r="BU355" i="44" s="1"/>
  <c r="BV355" i="44" s="1"/>
  <c r="BW355" i="44" s="1"/>
  <c r="BX355" i="44" s="1"/>
  <c r="BY355" i="44" s="1"/>
  <c r="BZ355" i="44" s="1"/>
  <c r="CA355" i="44" s="1"/>
  <c r="CB355" i="44" s="1"/>
  <c r="CC355" i="44" s="1"/>
  <c r="CD355" i="44" s="1"/>
  <c r="CE355" i="44" s="1"/>
  <c r="AH354" i="44"/>
  <c r="AI354" i="44" s="1"/>
  <c r="AJ354" i="44" s="1"/>
  <c r="AK354" i="44" s="1"/>
  <c r="AL354" i="44" s="1"/>
  <c r="AM354" i="44" s="1"/>
  <c r="AN354" i="44" s="1"/>
  <c r="AO354" i="44" s="1"/>
  <c r="AP354" i="44" s="1"/>
  <c r="AQ354" i="44" s="1"/>
  <c r="AR354" i="44" s="1"/>
  <c r="AS354" i="44" s="1"/>
  <c r="AT354" i="44" s="1"/>
  <c r="AU354" i="44" s="1"/>
  <c r="AV354" i="44" s="1"/>
  <c r="AW354" i="44" s="1"/>
  <c r="AX354" i="44" s="1"/>
  <c r="AY354" i="44" s="1"/>
  <c r="AZ354" i="44" s="1"/>
  <c r="BA354" i="44" s="1"/>
  <c r="BB354" i="44" s="1"/>
  <c r="BC354" i="44" s="1"/>
  <c r="BD354" i="44" s="1"/>
  <c r="BE354" i="44" s="1"/>
  <c r="BF354" i="44" s="1"/>
  <c r="BG354" i="44" s="1"/>
  <c r="BH354" i="44" s="1"/>
  <c r="BI354" i="44" s="1"/>
  <c r="BJ354" i="44" s="1"/>
  <c r="BK354" i="44" s="1"/>
  <c r="BL354" i="44" s="1"/>
  <c r="BM354" i="44" s="1"/>
  <c r="BN354" i="44" s="1"/>
  <c r="BO354" i="44" s="1"/>
  <c r="BP354" i="44" s="1"/>
  <c r="BQ354" i="44" s="1"/>
  <c r="BR354" i="44" s="1"/>
  <c r="BS354" i="44" s="1"/>
  <c r="BT354" i="44" s="1"/>
  <c r="BU354" i="44" s="1"/>
  <c r="BV354" i="44" s="1"/>
  <c r="BW354" i="44" s="1"/>
  <c r="BX354" i="44" s="1"/>
  <c r="BY354" i="44" s="1"/>
  <c r="BZ354" i="44" s="1"/>
  <c r="CA354" i="44" s="1"/>
  <c r="CB354" i="44" s="1"/>
  <c r="CC354" i="44" s="1"/>
  <c r="CD354" i="44" s="1"/>
  <c r="CE354" i="44" s="1"/>
  <c r="F353" i="44"/>
  <c r="G353" i="44" s="1"/>
  <c r="H353" i="44" s="1"/>
  <c r="I353" i="44" s="1"/>
  <c r="J353" i="44" s="1"/>
  <c r="K353" i="44" s="1"/>
  <c r="L353" i="44" s="1"/>
  <c r="M353" i="44" s="1"/>
  <c r="N353" i="44" s="1"/>
  <c r="O353" i="44" s="1"/>
  <c r="P353" i="44" s="1"/>
  <c r="Q353" i="44" s="1"/>
  <c r="R353" i="44" s="1"/>
  <c r="S353" i="44" s="1"/>
  <c r="T353" i="44" s="1"/>
  <c r="U353" i="44" s="1"/>
  <c r="V353" i="44" s="1"/>
  <c r="W353" i="44" s="1"/>
  <c r="X353" i="44" s="1"/>
  <c r="Y353" i="44" s="1"/>
  <c r="Z353" i="44" s="1"/>
  <c r="AA353" i="44" s="1"/>
  <c r="AB353" i="44" s="1"/>
  <c r="AC353" i="44" s="1"/>
  <c r="AD353" i="44" s="1"/>
  <c r="AE353" i="44" s="1"/>
  <c r="AF353" i="44" s="1"/>
  <c r="AG353" i="44" s="1"/>
  <c r="AH353" i="44" s="1"/>
  <c r="AI353" i="44" s="1"/>
  <c r="AJ353" i="44" s="1"/>
  <c r="AK353" i="44" s="1"/>
  <c r="AL353" i="44" s="1"/>
  <c r="AM353" i="44" s="1"/>
  <c r="AN353" i="44" s="1"/>
  <c r="AO353" i="44" s="1"/>
  <c r="AP353" i="44" s="1"/>
  <c r="AQ353" i="44" s="1"/>
  <c r="AR353" i="44" s="1"/>
  <c r="AS353" i="44" s="1"/>
  <c r="AT353" i="44" s="1"/>
  <c r="AU353" i="44" s="1"/>
  <c r="AV353" i="44" s="1"/>
  <c r="AW353" i="44" s="1"/>
  <c r="AX353" i="44" s="1"/>
  <c r="AY353" i="44" s="1"/>
  <c r="AZ353" i="44" s="1"/>
  <c r="BA353" i="44" s="1"/>
  <c r="BB353" i="44" s="1"/>
  <c r="BC353" i="44" s="1"/>
  <c r="BD353" i="44" s="1"/>
  <c r="BE353" i="44" s="1"/>
  <c r="BF353" i="44" s="1"/>
  <c r="BG353" i="44" s="1"/>
  <c r="BH353" i="44" s="1"/>
  <c r="BI353" i="44" s="1"/>
  <c r="BJ353" i="44" s="1"/>
  <c r="BK353" i="44" s="1"/>
  <c r="BL353" i="44" s="1"/>
  <c r="BM353" i="44" s="1"/>
  <c r="BN353" i="44" s="1"/>
  <c r="BO353" i="44" s="1"/>
  <c r="BP353" i="44" s="1"/>
  <c r="BQ353" i="44" s="1"/>
  <c r="BR353" i="44" s="1"/>
  <c r="BS353" i="44" s="1"/>
  <c r="BT353" i="44" s="1"/>
  <c r="BU353" i="44" s="1"/>
  <c r="BV353" i="44" s="1"/>
  <c r="BW353" i="44" s="1"/>
  <c r="BX353" i="44" s="1"/>
  <c r="BY353" i="44" s="1"/>
  <c r="BZ353" i="44" s="1"/>
  <c r="CA353" i="44" s="1"/>
  <c r="CB353" i="44" s="1"/>
  <c r="CC353" i="44" s="1"/>
  <c r="CD353" i="44" s="1"/>
  <c r="CE353" i="44" s="1"/>
  <c r="AH351" i="44"/>
  <c r="AI351" i="44" s="1"/>
  <c r="AJ351" i="44" s="1"/>
  <c r="AK351" i="44" s="1"/>
  <c r="AL351" i="44" s="1"/>
  <c r="AM351" i="44" s="1"/>
  <c r="AN351" i="44" s="1"/>
  <c r="AO351" i="44" s="1"/>
  <c r="AP351" i="44" s="1"/>
  <c r="AQ351" i="44" s="1"/>
  <c r="AR351" i="44" s="1"/>
  <c r="AS351" i="44" s="1"/>
  <c r="AT351" i="44" s="1"/>
  <c r="AU351" i="44" s="1"/>
  <c r="AV351" i="44" s="1"/>
  <c r="AW351" i="44" s="1"/>
  <c r="AX351" i="44" s="1"/>
  <c r="AY351" i="44" s="1"/>
  <c r="AZ351" i="44" s="1"/>
  <c r="BA351" i="44" s="1"/>
  <c r="BB351" i="44" s="1"/>
  <c r="BC351" i="44" s="1"/>
  <c r="BD351" i="44" s="1"/>
  <c r="BE351" i="44" s="1"/>
  <c r="BF351" i="44" s="1"/>
  <c r="BG351" i="44" s="1"/>
  <c r="BH351" i="44" s="1"/>
  <c r="BI351" i="44" s="1"/>
  <c r="BJ351" i="44" s="1"/>
  <c r="BK351" i="44" s="1"/>
  <c r="BL351" i="44" s="1"/>
  <c r="BM351" i="44" s="1"/>
  <c r="BN351" i="44" s="1"/>
  <c r="BO351" i="44" s="1"/>
  <c r="BP351" i="44" s="1"/>
  <c r="BQ351" i="44" s="1"/>
  <c r="BR351" i="44" s="1"/>
  <c r="BS351" i="44" s="1"/>
  <c r="BT351" i="44" s="1"/>
  <c r="BU351" i="44" s="1"/>
  <c r="BV351" i="44" s="1"/>
  <c r="BW351" i="44" s="1"/>
  <c r="BX351" i="44" s="1"/>
  <c r="BY351" i="44" s="1"/>
  <c r="BZ351" i="44" s="1"/>
  <c r="CA351" i="44" s="1"/>
  <c r="CB351" i="44" s="1"/>
  <c r="CC351" i="44" s="1"/>
  <c r="CD351" i="44" s="1"/>
  <c r="CE351" i="44" s="1"/>
  <c r="AH350" i="44"/>
  <c r="AI350" i="44" s="1"/>
  <c r="AJ350" i="44" s="1"/>
  <c r="AK350" i="44" s="1"/>
  <c r="AL350" i="44" s="1"/>
  <c r="AM350" i="44" s="1"/>
  <c r="AN350" i="44" s="1"/>
  <c r="AO350" i="44" s="1"/>
  <c r="AP350" i="44" s="1"/>
  <c r="AQ350" i="44" s="1"/>
  <c r="AR350" i="44" s="1"/>
  <c r="AS350" i="44" s="1"/>
  <c r="AT350" i="44" s="1"/>
  <c r="AU350" i="44" s="1"/>
  <c r="AV350" i="44" s="1"/>
  <c r="AW350" i="44" s="1"/>
  <c r="AX350" i="44" s="1"/>
  <c r="AY350" i="44" s="1"/>
  <c r="AZ350" i="44" s="1"/>
  <c r="BA350" i="44" s="1"/>
  <c r="BB350" i="44" s="1"/>
  <c r="BC350" i="44" s="1"/>
  <c r="BD350" i="44" s="1"/>
  <c r="BE350" i="44" s="1"/>
  <c r="BF350" i="44" s="1"/>
  <c r="BG350" i="44" s="1"/>
  <c r="BH350" i="44" s="1"/>
  <c r="BI350" i="44" s="1"/>
  <c r="BJ350" i="44" s="1"/>
  <c r="BK350" i="44" s="1"/>
  <c r="BL350" i="44" s="1"/>
  <c r="BM350" i="44" s="1"/>
  <c r="BN350" i="44" s="1"/>
  <c r="BO350" i="44" s="1"/>
  <c r="BP350" i="44" s="1"/>
  <c r="BQ350" i="44" s="1"/>
  <c r="BR350" i="44" s="1"/>
  <c r="BS350" i="44" s="1"/>
  <c r="BT350" i="44" s="1"/>
  <c r="BU350" i="44" s="1"/>
  <c r="BV350" i="44" s="1"/>
  <c r="BW350" i="44" s="1"/>
  <c r="BX350" i="44" s="1"/>
  <c r="BY350" i="44" s="1"/>
  <c r="BZ350" i="44" s="1"/>
  <c r="CA350" i="44" s="1"/>
  <c r="CB350" i="44" s="1"/>
  <c r="CC350" i="44" s="1"/>
  <c r="CD350" i="44" s="1"/>
  <c r="CE350" i="44" s="1"/>
  <c r="AH349" i="44"/>
  <c r="AI349" i="44" s="1"/>
  <c r="AJ349" i="44" s="1"/>
  <c r="AK349" i="44" s="1"/>
  <c r="AL349" i="44" s="1"/>
  <c r="AM349" i="44" s="1"/>
  <c r="AN349" i="44" s="1"/>
  <c r="AO349" i="44" s="1"/>
  <c r="AP349" i="44" s="1"/>
  <c r="AQ349" i="44" s="1"/>
  <c r="AR349" i="44" s="1"/>
  <c r="AS349" i="44" s="1"/>
  <c r="AT349" i="44" s="1"/>
  <c r="AU349" i="44" s="1"/>
  <c r="AV349" i="44" s="1"/>
  <c r="AW349" i="44" s="1"/>
  <c r="AX349" i="44" s="1"/>
  <c r="AY349" i="44" s="1"/>
  <c r="AZ349" i="44" s="1"/>
  <c r="BA349" i="44" s="1"/>
  <c r="BB349" i="44" s="1"/>
  <c r="BC349" i="44" s="1"/>
  <c r="BD349" i="44" s="1"/>
  <c r="BE349" i="44" s="1"/>
  <c r="BF349" i="44" s="1"/>
  <c r="BG349" i="44" s="1"/>
  <c r="BH349" i="44" s="1"/>
  <c r="BI349" i="44" s="1"/>
  <c r="BJ349" i="44" s="1"/>
  <c r="BK349" i="44" s="1"/>
  <c r="BL349" i="44" s="1"/>
  <c r="BM349" i="44" s="1"/>
  <c r="BN349" i="44" s="1"/>
  <c r="BO349" i="44" s="1"/>
  <c r="BP349" i="44" s="1"/>
  <c r="BQ349" i="44" s="1"/>
  <c r="BR349" i="44" s="1"/>
  <c r="BS349" i="44" s="1"/>
  <c r="BT349" i="44" s="1"/>
  <c r="BU349" i="44" s="1"/>
  <c r="BV349" i="44" s="1"/>
  <c r="BW349" i="44" s="1"/>
  <c r="BX349" i="44" s="1"/>
  <c r="BY349" i="44" s="1"/>
  <c r="BZ349" i="44" s="1"/>
  <c r="CA349" i="44" s="1"/>
  <c r="CB349" i="44" s="1"/>
  <c r="CC349" i="44" s="1"/>
  <c r="CD349" i="44" s="1"/>
  <c r="CE349" i="44" s="1"/>
  <c r="AH348" i="44"/>
  <c r="AI348" i="44" s="1"/>
  <c r="AJ348" i="44" s="1"/>
  <c r="AK348" i="44" s="1"/>
  <c r="AL348" i="44" s="1"/>
  <c r="AM348" i="44" s="1"/>
  <c r="AN348" i="44" s="1"/>
  <c r="AO348" i="44" s="1"/>
  <c r="AP348" i="44" s="1"/>
  <c r="AQ348" i="44" s="1"/>
  <c r="AR348" i="44" s="1"/>
  <c r="AS348" i="44" s="1"/>
  <c r="AT348" i="44" s="1"/>
  <c r="AU348" i="44" s="1"/>
  <c r="AV348" i="44" s="1"/>
  <c r="AW348" i="44" s="1"/>
  <c r="AX348" i="44" s="1"/>
  <c r="AY348" i="44" s="1"/>
  <c r="AZ348" i="44" s="1"/>
  <c r="BA348" i="44" s="1"/>
  <c r="BB348" i="44" s="1"/>
  <c r="BC348" i="44" s="1"/>
  <c r="BD348" i="44" s="1"/>
  <c r="BE348" i="44" s="1"/>
  <c r="BF348" i="44" s="1"/>
  <c r="BG348" i="44" s="1"/>
  <c r="BH348" i="44" s="1"/>
  <c r="BI348" i="44" s="1"/>
  <c r="BJ348" i="44" s="1"/>
  <c r="BK348" i="44" s="1"/>
  <c r="BL348" i="44" s="1"/>
  <c r="BM348" i="44" s="1"/>
  <c r="BN348" i="44" s="1"/>
  <c r="BO348" i="44" s="1"/>
  <c r="BP348" i="44" s="1"/>
  <c r="BQ348" i="44" s="1"/>
  <c r="BR348" i="44" s="1"/>
  <c r="BS348" i="44" s="1"/>
  <c r="BT348" i="44" s="1"/>
  <c r="BU348" i="44" s="1"/>
  <c r="BV348" i="44" s="1"/>
  <c r="BW348" i="44" s="1"/>
  <c r="BX348" i="44" s="1"/>
  <c r="BY348" i="44" s="1"/>
  <c r="BZ348" i="44" s="1"/>
  <c r="CA348" i="44" s="1"/>
  <c r="CB348" i="44" s="1"/>
  <c r="CC348" i="44" s="1"/>
  <c r="CD348" i="44" s="1"/>
  <c r="CE348" i="44" s="1"/>
  <c r="AH347" i="44"/>
  <c r="AI347" i="44" s="1"/>
  <c r="AJ347" i="44" s="1"/>
  <c r="AK347" i="44" s="1"/>
  <c r="AL347" i="44" s="1"/>
  <c r="AM347" i="44" s="1"/>
  <c r="AN347" i="44" s="1"/>
  <c r="AO347" i="44" s="1"/>
  <c r="AP347" i="44" s="1"/>
  <c r="AQ347" i="44" s="1"/>
  <c r="AR347" i="44" s="1"/>
  <c r="AS347" i="44" s="1"/>
  <c r="AT347" i="44" s="1"/>
  <c r="AU347" i="44" s="1"/>
  <c r="AV347" i="44" s="1"/>
  <c r="AW347" i="44" s="1"/>
  <c r="AX347" i="44" s="1"/>
  <c r="AY347" i="44" s="1"/>
  <c r="AZ347" i="44" s="1"/>
  <c r="BA347" i="44" s="1"/>
  <c r="BB347" i="44" s="1"/>
  <c r="BC347" i="44" s="1"/>
  <c r="BD347" i="44" s="1"/>
  <c r="BE347" i="44" s="1"/>
  <c r="BF347" i="44" s="1"/>
  <c r="BG347" i="44" s="1"/>
  <c r="BH347" i="44" s="1"/>
  <c r="BI347" i="44" s="1"/>
  <c r="BJ347" i="44" s="1"/>
  <c r="BK347" i="44" s="1"/>
  <c r="BL347" i="44" s="1"/>
  <c r="BM347" i="44" s="1"/>
  <c r="BN347" i="44" s="1"/>
  <c r="BO347" i="44" s="1"/>
  <c r="BP347" i="44" s="1"/>
  <c r="BQ347" i="44" s="1"/>
  <c r="BR347" i="44" s="1"/>
  <c r="BS347" i="44" s="1"/>
  <c r="BT347" i="44" s="1"/>
  <c r="BU347" i="44" s="1"/>
  <c r="BV347" i="44" s="1"/>
  <c r="BW347" i="44" s="1"/>
  <c r="BX347" i="44" s="1"/>
  <c r="BY347" i="44" s="1"/>
  <c r="BZ347" i="44" s="1"/>
  <c r="CA347" i="44" s="1"/>
  <c r="CB347" i="44" s="1"/>
  <c r="CC347" i="44" s="1"/>
  <c r="CD347" i="44" s="1"/>
  <c r="CE347" i="44" s="1"/>
  <c r="AH346" i="44"/>
  <c r="AI346" i="44" s="1"/>
  <c r="AJ346" i="44" s="1"/>
  <c r="AK346" i="44" s="1"/>
  <c r="AL346" i="44" s="1"/>
  <c r="AM346" i="44" s="1"/>
  <c r="AN346" i="44" s="1"/>
  <c r="AO346" i="44" s="1"/>
  <c r="AP346" i="44" s="1"/>
  <c r="AQ346" i="44" s="1"/>
  <c r="AR346" i="44" s="1"/>
  <c r="AS346" i="44" s="1"/>
  <c r="AT346" i="44" s="1"/>
  <c r="AU346" i="44" s="1"/>
  <c r="AV346" i="44" s="1"/>
  <c r="AW346" i="44" s="1"/>
  <c r="AX346" i="44" s="1"/>
  <c r="AY346" i="44" s="1"/>
  <c r="AZ346" i="44" s="1"/>
  <c r="BA346" i="44" s="1"/>
  <c r="BB346" i="44" s="1"/>
  <c r="BC346" i="44" s="1"/>
  <c r="BD346" i="44" s="1"/>
  <c r="BE346" i="44" s="1"/>
  <c r="BF346" i="44" s="1"/>
  <c r="BG346" i="44" s="1"/>
  <c r="BH346" i="44" s="1"/>
  <c r="BI346" i="44" s="1"/>
  <c r="BJ346" i="44" s="1"/>
  <c r="BK346" i="44" s="1"/>
  <c r="BL346" i="44" s="1"/>
  <c r="BM346" i="44" s="1"/>
  <c r="BN346" i="44" s="1"/>
  <c r="BO346" i="44" s="1"/>
  <c r="BP346" i="44" s="1"/>
  <c r="BQ346" i="44" s="1"/>
  <c r="BR346" i="44" s="1"/>
  <c r="BS346" i="44" s="1"/>
  <c r="BT346" i="44" s="1"/>
  <c r="BU346" i="44" s="1"/>
  <c r="BV346" i="44" s="1"/>
  <c r="BW346" i="44" s="1"/>
  <c r="BX346" i="44" s="1"/>
  <c r="BY346" i="44" s="1"/>
  <c r="BZ346" i="44" s="1"/>
  <c r="CA346" i="44" s="1"/>
  <c r="CB346" i="44" s="1"/>
  <c r="CC346" i="44" s="1"/>
  <c r="CD346" i="44" s="1"/>
  <c r="CE346" i="44" s="1"/>
  <c r="AH345" i="44"/>
  <c r="AI345" i="44" s="1"/>
  <c r="AJ345" i="44" s="1"/>
  <c r="AK345" i="44" s="1"/>
  <c r="AL345" i="44" s="1"/>
  <c r="AM345" i="44" s="1"/>
  <c r="AN345" i="44" s="1"/>
  <c r="AO345" i="44" s="1"/>
  <c r="AP345" i="44" s="1"/>
  <c r="AQ345" i="44" s="1"/>
  <c r="AR345" i="44" s="1"/>
  <c r="AS345" i="44" s="1"/>
  <c r="AT345" i="44" s="1"/>
  <c r="AU345" i="44" s="1"/>
  <c r="AV345" i="44" s="1"/>
  <c r="AW345" i="44" s="1"/>
  <c r="AX345" i="44" s="1"/>
  <c r="AY345" i="44" s="1"/>
  <c r="AZ345" i="44" s="1"/>
  <c r="BA345" i="44" s="1"/>
  <c r="BB345" i="44" s="1"/>
  <c r="BC345" i="44" s="1"/>
  <c r="BD345" i="44" s="1"/>
  <c r="BE345" i="44" s="1"/>
  <c r="BF345" i="44" s="1"/>
  <c r="BG345" i="44" s="1"/>
  <c r="BH345" i="44" s="1"/>
  <c r="BI345" i="44" s="1"/>
  <c r="BJ345" i="44" s="1"/>
  <c r="BK345" i="44" s="1"/>
  <c r="BL345" i="44" s="1"/>
  <c r="BM345" i="44" s="1"/>
  <c r="BN345" i="44" s="1"/>
  <c r="BO345" i="44" s="1"/>
  <c r="BP345" i="44" s="1"/>
  <c r="BQ345" i="44" s="1"/>
  <c r="BR345" i="44" s="1"/>
  <c r="BS345" i="44" s="1"/>
  <c r="BT345" i="44" s="1"/>
  <c r="BU345" i="44" s="1"/>
  <c r="BV345" i="44" s="1"/>
  <c r="BW345" i="44" s="1"/>
  <c r="BX345" i="44" s="1"/>
  <c r="BY345" i="44" s="1"/>
  <c r="BZ345" i="44" s="1"/>
  <c r="CA345" i="44" s="1"/>
  <c r="CB345" i="44" s="1"/>
  <c r="CC345" i="44" s="1"/>
  <c r="CD345" i="44" s="1"/>
  <c r="CE345" i="44" s="1"/>
  <c r="AH344" i="44"/>
  <c r="AI344" i="44" s="1"/>
  <c r="AJ344" i="44" s="1"/>
  <c r="AK344" i="44" s="1"/>
  <c r="AL344" i="44" s="1"/>
  <c r="AM344" i="44" s="1"/>
  <c r="AN344" i="44" s="1"/>
  <c r="AO344" i="44" s="1"/>
  <c r="AP344" i="44" s="1"/>
  <c r="AQ344" i="44" s="1"/>
  <c r="AR344" i="44" s="1"/>
  <c r="AS344" i="44" s="1"/>
  <c r="AT344" i="44" s="1"/>
  <c r="AU344" i="44" s="1"/>
  <c r="AV344" i="44" s="1"/>
  <c r="AW344" i="44" s="1"/>
  <c r="AX344" i="44" s="1"/>
  <c r="AY344" i="44" s="1"/>
  <c r="AZ344" i="44" s="1"/>
  <c r="BA344" i="44" s="1"/>
  <c r="BB344" i="44" s="1"/>
  <c r="BC344" i="44" s="1"/>
  <c r="BD344" i="44" s="1"/>
  <c r="BE344" i="44" s="1"/>
  <c r="BF344" i="44" s="1"/>
  <c r="BG344" i="44" s="1"/>
  <c r="BH344" i="44" s="1"/>
  <c r="BI344" i="44" s="1"/>
  <c r="BJ344" i="44" s="1"/>
  <c r="BK344" i="44" s="1"/>
  <c r="BL344" i="44" s="1"/>
  <c r="BM344" i="44" s="1"/>
  <c r="BN344" i="44" s="1"/>
  <c r="BO344" i="44" s="1"/>
  <c r="BP344" i="44" s="1"/>
  <c r="BQ344" i="44" s="1"/>
  <c r="BR344" i="44" s="1"/>
  <c r="BS344" i="44" s="1"/>
  <c r="BT344" i="44" s="1"/>
  <c r="BU344" i="44" s="1"/>
  <c r="BV344" i="44" s="1"/>
  <c r="BW344" i="44" s="1"/>
  <c r="BX344" i="44" s="1"/>
  <c r="BY344" i="44" s="1"/>
  <c r="BZ344" i="44" s="1"/>
  <c r="CA344" i="44" s="1"/>
  <c r="CB344" i="44" s="1"/>
  <c r="CC344" i="44" s="1"/>
  <c r="CD344" i="44" s="1"/>
  <c r="CE344" i="44" s="1"/>
  <c r="AH342" i="44"/>
  <c r="AI342" i="44" s="1"/>
  <c r="AJ342" i="44" s="1"/>
  <c r="AK342" i="44" s="1"/>
  <c r="AL342" i="44" s="1"/>
  <c r="AM342" i="44" s="1"/>
  <c r="AN342" i="44" s="1"/>
  <c r="AO342" i="44" s="1"/>
  <c r="AP342" i="44" s="1"/>
  <c r="AQ342" i="44" s="1"/>
  <c r="AR342" i="44" s="1"/>
  <c r="AS342" i="44" s="1"/>
  <c r="AT342" i="44" s="1"/>
  <c r="AU342" i="44" s="1"/>
  <c r="AV342" i="44" s="1"/>
  <c r="AW342" i="44" s="1"/>
  <c r="AX342" i="44" s="1"/>
  <c r="AY342" i="44" s="1"/>
  <c r="AZ342" i="44" s="1"/>
  <c r="BA342" i="44" s="1"/>
  <c r="BB342" i="44" s="1"/>
  <c r="BC342" i="44" s="1"/>
  <c r="BD342" i="44" s="1"/>
  <c r="BE342" i="44" s="1"/>
  <c r="BF342" i="44" s="1"/>
  <c r="BG342" i="44" s="1"/>
  <c r="BH342" i="44" s="1"/>
  <c r="BI342" i="44" s="1"/>
  <c r="BJ342" i="44" s="1"/>
  <c r="BK342" i="44" s="1"/>
  <c r="BL342" i="44" s="1"/>
  <c r="BM342" i="44" s="1"/>
  <c r="BN342" i="44" s="1"/>
  <c r="BO342" i="44" s="1"/>
  <c r="BP342" i="44" s="1"/>
  <c r="BQ342" i="44" s="1"/>
  <c r="BR342" i="44" s="1"/>
  <c r="BS342" i="44" s="1"/>
  <c r="BT342" i="44" s="1"/>
  <c r="BU342" i="44" s="1"/>
  <c r="BV342" i="44" s="1"/>
  <c r="BW342" i="44" s="1"/>
  <c r="BX342" i="44" s="1"/>
  <c r="BY342" i="44" s="1"/>
  <c r="BZ342" i="44" s="1"/>
  <c r="CA342" i="44" s="1"/>
  <c r="CB342" i="44" s="1"/>
  <c r="CC342" i="44" s="1"/>
  <c r="CD342" i="44" s="1"/>
  <c r="CE342" i="44" s="1"/>
  <c r="AH341" i="44"/>
  <c r="AI341" i="44" s="1"/>
  <c r="AJ341" i="44" s="1"/>
  <c r="AK341" i="44" s="1"/>
  <c r="AL341" i="44" s="1"/>
  <c r="AM341" i="44" s="1"/>
  <c r="AN341" i="44" s="1"/>
  <c r="AO341" i="44" s="1"/>
  <c r="AP341" i="44" s="1"/>
  <c r="AQ341" i="44" s="1"/>
  <c r="AR341" i="44" s="1"/>
  <c r="AS341" i="44" s="1"/>
  <c r="AT341" i="44" s="1"/>
  <c r="AU341" i="44" s="1"/>
  <c r="AV341" i="44" s="1"/>
  <c r="AW341" i="44" s="1"/>
  <c r="AX341" i="44" s="1"/>
  <c r="AY341" i="44" s="1"/>
  <c r="AZ341" i="44" s="1"/>
  <c r="BA341" i="44" s="1"/>
  <c r="BB341" i="44" s="1"/>
  <c r="BC341" i="44" s="1"/>
  <c r="BD341" i="44" s="1"/>
  <c r="BE341" i="44" s="1"/>
  <c r="BF341" i="44" s="1"/>
  <c r="BG341" i="44" s="1"/>
  <c r="BH341" i="44" s="1"/>
  <c r="BI341" i="44" s="1"/>
  <c r="BJ341" i="44" s="1"/>
  <c r="BK341" i="44" s="1"/>
  <c r="BL341" i="44" s="1"/>
  <c r="BM341" i="44" s="1"/>
  <c r="BN341" i="44" s="1"/>
  <c r="BO341" i="44" s="1"/>
  <c r="BP341" i="44" s="1"/>
  <c r="BQ341" i="44" s="1"/>
  <c r="BR341" i="44" s="1"/>
  <c r="BS341" i="44" s="1"/>
  <c r="BT341" i="44" s="1"/>
  <c r="BU341" i="44" s="1"/>
  <c r="BV341" i="44" s="1"/>
  <c r="BW341" i="44" s="1"/>
  <c r="BX341" i="44" s="1"/>
  <c r="BY341" i="44" s="1"/>
  <c r="BZ341" i="44" s="1"/>
  <c r="CA341" i="44" s="1"/>
  <c r="CB341" i="44" s="1"/>
  <c r="CC341" i="44" s="1"/>
  <c r="CD341" i="44" s="1"/>
  <c r="CE341" i="44" s="1"/>
  <c r="AH339" i="44"/>
  <c r="AI339" i="44" s="1"/>
  <c r="AJ339" i="44" s="1"/>
  <c r="AK339" i="44" s="1"/>
  <c r="AL339" i="44" s="1"/>
  <c r="AM339" i="44" s="1"/>
  <c r="AN339" i="44" s="1"/>
  <c r="AO339" i="44" s="1"/>
  <c r="AP339" i="44" s="1"/>
  <c r="AQ339" i="44" s="1"/>
  <c r="AR339" i="44" s="1"/>
  <c r="AS339" i="44" s="1"/>
  <c r="AT339" i="44" s="1"/>
  <c r="AU339" i="44" s="1"/>
  <c r="AV339" i="44" s="1"/>
  <c r="AW339" i="44" s="1"/>
  <c r="AX339" i="44" s="1"/>
  <c r="AY339" i="44" s="1"/>
  <c r="AZ339" i="44" s="1"/>
  <c r="BA339" i="44" s="1"/>
  <c r="BB339" i="44" s="1"/>
  <c r="BC339" i="44" s="1"/>
  <c r="BD339" i="44" s="1"/>
  <c r="BE339" i="44" s="1"/>
  <c r="BF339" i="44" s="1"/>
  <c r="BG339" i="44" s="1"/>
  <c r="BH339" i="44" s="1"/>
  <c r="BI339" i="44" s="1"/>
  <c r="BJ339" i="44" s="1"/>
  <c r="BK339" i="44" s="1"/>
  <c r="BL339" i="44" s="1"/>
  <c r="BM339" i="44" s="1"/>
  <c r="BN339" i="44" s="1"/>
  <c r="BO339" i="44" s="1"/>
  <c r="BP339" i="44" s="1"/>
  <c r="BQ339" i="44" s="1"/>
  <c r="BR339" i="44" s="1"/>
  <c r="BS339" i="44" s="1"/>
  <c r="BT339" i="44" s="1"/>
  <c r="BU339" i="44" s="1"/>
  <c r="BV339" i="44" s="1"/>
  <c r="BW339" i="44" s="1"/>
  <c r="BX339" i="44" s="1"/>
  <c r="BY339" i="44" s="1"/>
  <c r="BZ339" i="44" s="1"/>
  <c r="CA339" i="44" s="1"/>
  <c r="CB339" i="44" s="1"/>
  <c r="CC339" i="44" s="1"/>
  <c r="CD339" i="44" s="1"/>
  <c r="CE339" i="44" s="1"/>
  <c r="AH338" i="44"/>
  <c r="AI338" i="44" s="1"/>
  <c r="AJ338" i="44" s="1"/>
  <c r="AK338" i="44" s="1"/>
  <c r="AL338" i="44" s="1"/>
  <c r="AM338" i="44" s="1"/>
  <c r="AN338" i="44" s="1"/>
  <c r="AO338" i="44" s="1"/>
  <c r="AP338" i="44" s="1"/>
  <c r="AQ338" i="44" s="1"/>
  <c r="AR338" i="44" s="1"/>
  <c r="AS338" i="44" s="1"/>
  <c r="AT338" i="44" s="1"/>
  <c r="AU338" i="44" s="1"/>
  <c r="AV338" i="44" s="1"/>
  <c r="AW338" i="44" s="1"/>
  <c r="AX338" i="44" s="1"/>
  <c r="AY338" i="44" s="1"/>
  <c r="AZ338" i="44" s="1"/>
  <c r="BA338" i="44" s="1"/>
  <c r="BB338" i="44" s="1"/>
  <c r="BC338" i="44" s="1"/>
  <c r="BD338" i="44" s="1"/>
  <c r="BE338" i="44" s="1"/>
  <c r="BF338" i="44" s="1"/>
  <c r="BG338" i="44" s="1"/>
  <c r="BH338" i="44" s="1"/>
  <c r="BI338" i="44" s="1"/>
  <c r="BJ338" i="44" s="1"/>
  <c r="BK338" i="44" s="1"/>
  <c r="BL338" i="44" s="1"/>
  <c r="BM338" i="44" s="1"/>
  <c r="BN338" i="44" s="1"/>
  <c r="BO338" i="44" s="1"/>
  <c r="BP338" i="44" s="1"/>
  <c r="BQ338" i="44" s="1"/>
  <c r="BR338" i="44" s="1"/>
  <c r="BS338" i="44" s="1"/>
  <c r="BT338" i="44" s="1"/>
  <c r="BU338" i="44" s="1"/>
  <c r="BV338" i="44" s="1"/>
  <c r="BW338" i="44" s="1"/>
  <c r="BX338" i="44" s="1"/>
  <c r="BY338" i="44" s="1"/>
  <c r="BZ338" i="44" s="1"/>
  <c r="CA338" i="44" s="1"/>
  <c r="CB338" i="44" s="1"/>
  <c r="CC338" i="44" s="1"/>
  <c r="CD338" i="44" s="1"/>
  <c r="CE338" i="44" s="1"/>
  <c r="AH337" i="44"/>
  <c r="AI337" i="44" s="1"/>
  <c r="AJ337" i="44" s="1"/>
  <c r="AK337" i="44" s="1"/>
  <c r="AL337" i="44" s="1"/>
  <c r="AM337" i="44" s="1"/>
  <c r="AN337" i="44" s="1"/>
  <c r="AO337" i="44" s="1"/>
  <c r="AP337" i="44" s="1"/>
  <c r="AQ337" i="44" s="1"/>
  <c r="AR337" i="44" s="1"/>
  <c r="AS337" i="44" s="1"/>
  <c r="AT337" i="44" s="1"/>
  <c r="AU337" i="44" s="1"/>
  <c r="AV337" i="44" s="1"/>
  <c r="AW337" i="44" s="1"/>
  <c r="AX337" i="44" s="1"/>
  <c r="AY337" i="44" s="1"/>
  <c r="AZ337" i="44" s="1"/>
  <c r="BA337" i="44" s="1"/>
  <c r="BB337" i="44" s="1"/>
  <c r="BC337" i="44" s="1"/>
  <c r="BD337" i="44" s="1"/>
  <c r="BE337" i="44" s="1"/>
  <c r="BF337" i="44" s="1"/>
  <c r="BG337" i="44" s="1"/>
  <c r="BH337" i="44" s="1"/>
  <c r="BI337" i="44" s="1"/>
  <c r="BJ337" i="44" s="1"/>
  <c r="BK337" i="44" s="1"/>
  <c r="BL337" i="44" s="1"/>
  <c r="BM337" i="44" s="1"/>
  <c r="BN337" i="44" s="1"/>
  <c r="BO337" i="44" s="1"/>
  <c r="BP337" i="44" s="1"/>
  <c r="BQ337" i="44" s="1"/>
  <c r="BR337" i="44" s="1"/>
  <c r="BS337" i="44" s="1"/>
  <c r="BT337" i="44" s="1"/>
  <c r="BU337" i="44" s="1"/>
  <c r="BV337" i="44" s="1"/>
  <c r="BW337" i="44" s="1"/>
  <c r="BX337" i="44" s="1"/>
  <c r="BY337" i="44" s="1"/>
  <c r="BZ337" i="44" s="1"/>
  <c r="CA337" i="44" s="1"/>
  <c r="CB337" i="44" s="1"/>
  <c r="CC337" i="44" s="1"/>
  <c r="CD337" i="44" s="1"/>
  <c r="CE337" i="44" s="1"/>
  <c r="AH336" i="44"/>
  <c r="AI336" i="44" s="1"/>
  <c r="AJ336" i="44" s="1"/>
  <c r="AK336" i="44" s="1"/>
  <c r="AL336" i="44" s="1"/>
  <c r="AM336" i="44" s="1"/>
  <c r="AN336" i="44" s="1"/>
  <c r="AO336" i="44" s="1"/>
  <c r="AP336" i="44" s="1"/>
  <c r="AQ336" i="44" s="1"/>
  <c r="AR336" i="44" s="1"/>
  <c r="AS336" i="44" s="1"/>
  <c r="AT336" i="44" s="1"/>
  <c r="AU336" i="44" s="1"/>
  <c r="AV336" i="44" s="1"/>
  <c r="AW336" i="44" s="1"/>
  <c r="AX336" i="44" s="1"/>
  <c r="AY336" i="44" s="1"/>
  <c r="AZ336" i="44" s="1"/>
  <c r="BA336" i="44" s="1"/>
  <c r="BB336" i="44" s="1"/>
  <c r="BC336" i="44" s="1"/>
  <c r="BD336" i="44" s="1"/>
  <c r="BE336" i="44" s="1"/>
  <c r="BF336" i="44" s="1"/>
  <c r="BG336" i="44" s="1"/>
  <c r="BH336" i="44" s="1"/>
  <c r="BI336" i="44" s="1"/>
  <c r="BJ336" i="44" s="1"/>
  <c r="BK336" i="44" s="1"/>
  <c r="BL336" i="44" s="1"/>
  <c r="BM336" i="44" s="1"/>
  <c r="BN336" i="44" s="1"/>
  <c r="BO336" i="44" s="1"/>
  <c r="BP336" i="44" s="1"/>
  <c r="BQ336" i="44" s="1"/>
  <c r="BR336" i="44" s="1"/>
  <c r="BS336" i="44" s="1"/>
  <c r="BT336" i="44" s="1"/>
  <c r="BU336" i="44" s="1"/>
  <c r="BV336" i="44" s="1"/>
  <c r="BW336" i="44" s="1"/>
  <c r="BX336" i="44" s="1"/>
  <c r="BY336" i="44" s="1"/>
  <c r="BZ336" i="44" s="1"/>
  <c r="CA336" i="44" s="1"/>
  <c r="CB336" i="44" s="1"/>
  <c r="CC336" i="44" s="1"/>
  <c r="CD336" i="44" s="1"/>
  <c r="CE336" i="44" s="1"/>
  <c r="AH335" i="44"/>
  <c r="AI335" i="44" s="1"/>
  <c r="AJ335" i="44" s="1"/>
  <c r="AK335" i="44" s="1"/>
  <c r="AL335" i="44" s="1"/>
  <c r="AM335" i="44" s="1"/>
  <c r="AN335" i="44" s="1"/>
  <c r="AO335" i="44" s="1"/>
  <c r="AP335" i="44" s="1"/>
  <c r="AQ335" i="44" s="1"/>
  <c r="AR335" i="44" s="1"/>
  <c r="AS335" i="44" s="1"/>
  <c r="AT335" i="44" s="1"/>
  <c r="AU335" i="44" s="1"/>
  <c r="AV335" i="44" s="1"/>
  <c r="AW335" i="44" s="1"/>
  <c r="AX335" i="44" s="1"/>
  <c r="AY335" i="44" s="1"/>
  <c r="AZ335" i="44" s="1"/>
  <c r="BA335" i="44" s="1"/>
  <c r="BB335" i="44" s="1"/>
  <c r="BC335" i="44" s="1"/>
  <c r="BD335" i="44" s="1"/>
  <c r="BE335" i="44" s="1"/>
  <c r="BF335" i="44" s="1"/>
  <c r="BG335" i="44" s="1"/>
  <c r="BH335" i="44" s="1"/>
  <c r="BI335" i="44" s="1"/>
  <c r="BJ335" i="44" s="1"/>
  <c r="BK335" i="44" s="1"/>
  <c r="BL335" i="44" s="1"/>
  <c r="BM335" i="44" s="1"/>
  <c r="BN335" i="44" s="1"/>
  <c r="BO335" i="44" s="1"/>
  <c r="BP335" i="44" s="1"/>
  <c r="BQ335" i="44" s="1"/>
  <c r="BR335" i="44" s="1"/>
  <c r="BS335" i="44" s="1"/>
  <c r="BT335" i="44" s="1"/>
  <c r="BU335" i="44" s="1"/>
  <c r="BV335" i="44" s="1"/>
  <c r="BW335" i="44" s="1"/>
  <c r="BX335" i="44" s="1"/>
  <c r="BY335" i="44" s="1"/>
  <c r="BZ335" i="44" s="1"/>
  <c r="CA335" i="44" s="1"/>
  <c r="CB335" i="44" s="1"/>
  <c r="CC335" i="44" s="1"/>
  <c r="CD335" i="44" s="1"/>
  <c r="CE335" i="44" s="1"/>
  <c r="AH334" i="44"/>
  <c r="AI334" i="44" s="1"/>
  <c r="AJ334" i="44" s="1"/>
  <c r="AK334" i="44" s="1"/>
  <c r="AL334" i="44" s="1"/>
  <c r="AM334" i="44" s="1"/>
  <c r="AN334" i="44" s="1"/>
  <c r="AO334" i="44" s="1"/>
  <c r="AP334" i="44" s="1"/>
  <c r="AQ334" i="44" s="1"/>
  <c r="AR334" i="44" s="1"/>
  <c r="AS334" i="44" s="1"/>
  <c r="AT334" i="44" s="1"/>
  <c r="AU334" i="44" s="1"/>
  <c r="AV334" i="44" s="1"/>
  <c r="AW334" i="44" s="1"/>
  <c r="AX334" i="44" s="1"/>
  <c r="AY334" i="44" s="1"/>
  <c r="AZ334" i="44" s="1"/>
  <c r="BA334" i="44" s="1"/>
  <c r="BB334" i="44" s="1"/>
  <c r="BC334" i="44" s="1"/>
  <c r="BD334" i="44" s="1"/>
  <c r="BE334" i="44" s="1"/>
  <c r="BF334" i="44" s="1"/>
  <c r="BG334" i="44" s="1"/>
  <c r="BH334" i="44" s="1"/>
  <c r="BI334" i="44" s="1"/>
  <c r="BJ334" i="44" s="1"/>
  <c r="BK334" i="44" s="1"/>
  <c r="BL334" i="44" s="1"/>
  <c r="BM334" i="44" s="1"/>
  <c r="BN334" i="44" s="1"/>
  <c r="BO334" i="44" s="1"/>
  <c r="BP334" i="44" s="1"/>
  <c r="BQ334" i="44" s="1"/>
  <c r="BR334" i="44" s="1"/>
  <c r="BS334" i="44" s="1"/>
  <c r="BT334" i="44" s="1"/>
  <c r="BU334" i="44" s="1"/>
  <c r="BV334" i="44" s="1"/>
  <c r="BW334" i="44" s="1"/>
  <c r="BX334" i="44" s="1"/>
  <c r="BY334" i="44" s="1"/>
  <c r="BZ334" i="44" s="1"/>
  <c r="CA334" i="44" s="1"/>
  <c r="CB334" i="44" s="1"/>
  <c r="CC334" i="44" s="1"/>
  <c r="CD334" i="44" s="1"/>
  <c r="CE334" i="44" s="1"/>
  <c r="AH333" i="44"/>
  <c r="AI333" i="44" s="1"/>
  <c r="AJ333" i="44" s="1"/>
  <c r="AK333" i="44" s="1"/>
  <c r="AL333" i="44" s="1"/>
  <c r="AM333" i="44" s="1"/>
  <c r="AN333" i="44" s="1"/>
  <c r="AO333" i="44" s="1"/>
  <c r="AP333" i="44" s="1"/>
  <c r="AQ333" i="44" s="1"/>
  <c r="AR333" i="44" s="1"/>
  <c r="AS333" i="44" s="1"/>
  <c r="AT333" i="44" s="1"/>
  <c r="AU333" i="44" s="1"/>
  <c r="AV333" i="44" s="1"/>
  <c r="AW333" i="44" s="1"/>
  <c r="AX333" i="44" s="1"/>
  <c r="AY333" i="44" s="1"/>
  <c r="AZ333" i="44" s="1"/>
  <c r="BA333" i="44" s="1"/>
  <c r="BB333" i="44" s="1"/>
  <c r="BC333" i="44" s="1"/>
  <c r="BD333" i="44" s="1"/>
  <c r="BE333" i="44" s="1"/>
  <c r="BF333" i="44" s="1"/>
  <c r="BG333" i="44" s="1"/>
  <c r="BH333" i="44" s="1"/>
  <c r="BI333" i="44" s="1"/>
  <c r="BJ333" i="44" s="1"/>
  <c r="BK333" i="44" s="1"/>
  <c r="BL333" i="44" s="1"/>
  <c r="BM333" i="44" s="1"/>
  <c r="BN333" i="44" s="1"/>
  <c r="BO333" i="44" s="1"/>
  <c r="BP333" i="44" s="1"/>
  <c r="BQ333" i="44" s="1"/>
  <c r="BR333" i="44" s="1"/>
  <c r="BS333" i="44" s="1"/>
  <c r="BT333" i="44" s="1"/>
  <c r="BU333" i="44" s="1"/>
  <c r="BV333" i="44" s="1"/>
  <c r="BW333" i="44" s="1"/>
  <c r="BX333" i="44" s="1"/>
  <c r="BY333" i="44" s="1"/>
  <c r="BZ333" i="44" s="1"/>
  <c r="CA333" i="44" s="1"/>
  <c r="CB333" i="44" s="1"/>
  <c r="CC333" i="44" s="1"/>
  <c r="CD333" i="44" s="1"/>
  <c r="CE333" i="44" s="1"/>
  <c r="AH332" i="44"/>
  <c r="AI332" i="44" s="1"/>
  <c r="AJ332" i="44" s="1"/>
  <c r="AK332" i="44" s="1"/>
  <c r="AL332" i="44" s="1"/>
  <c r="AM332" i="44" s="1"/>
  <c r="AN332" i="44" s="1"/>
  <c r="AO332" i="44" s="1"/>
  <c r="AP332" i="44" s="1"/>
  <c r="AQ332" i="44" s="1"/>
  <c r="AR332" i="44" s="1"/>
  <c r="AS332" i="44" s="1"/>
  <c r="AT332" i="44" s="1"/>
  <c r="AU332" i="44" s="1"/>
  <c r="AV332" i="44" s="1"/>
  <c r="AW332" i="44" s="1"/>
  <c r="AX332" i="44" s="1"/>
  <c r="AY332" i="44" s="1"/>
  <c r="AZ332" i="44" s="1"/>
  <c r="BA332" i="44" s="1"/>
  <c r="BB332" i="44" s="1"/>
  <c r="BC332" i="44" s="1"/>
  <c r="BD332" i="44" s="1"/>
  <c r="BE332" i="44" s="1"/>
  <c r="BF332" i="44" s="1"/>
  <c r="BG332" i="44" s="1"/>
  <c r="BH332" i="44" s="1"/>
  <c r="BI332" i="44" s="1"/>
  <c r="BJ332" i="44" s="1"/>
  <c r="BK332" i="44" s="1"/>
  <c r="BL332" i="44" s="1"/>
  <c r="BM332" i="44" s="1"/>
  <c r="BN332" i="44" s="1"/>
  <c r="BO332" i="44" s="1"/>
  <c r="BP332" i="44" s="1"/>
  <c r="BQ332" i="44" s="1"/>
  <c r="BR332" i="44" s="1"/>
  <c r="BS332" i="44" s="1"/>
  <c r="BT332" i="44" s="1"/>
  <c r="BU332" i="44" s="1"/>
  <c r="BV332" i="44" s="1"/>
  <c r="BW332" i="44" s="1"/>
  <c r="BX332" i="44" s="1"/>
  <c r="BY332" i="44" s="1"/>
  <c r="BZ332" i="44" s="1"/>
  <c r="CA332" i="44" s="1"/>
  <c r="CB332" i="44" s="1"/>
  <c r="CC332" i="44" s="1"/>
  <c r="CD332" i="44" s="1"/>
  <c r="CE332" i="44" s="1"/>
  <c r="AH331" i="44"/>
  <c r="AI331" i="44" s="1"/>
  <c r="AJ331" i="44" s="1"/>
  <c r="AK331" i="44" s="1"/>
  <c r="AL331" i="44" s="1"/>
  <c r="AM331" i="44" s="1"/>
  <c r="AN331" i="44" s="1"/>
  <c r="AO331" i="44" s="1"/>
  <c r="AP331" i="44" s="1"/>
  <c r="AQ331" i="44" s="1"/>
  <c r="AR331" i="44" s="1"/>
  <c r="AS331" i="44" s="1"/>
  <c r="AT331" i="44" s="1"/>
  <c r="AU331" i="44" s="1"/>
  <c r="AV331" i="44" s="1"/>
  <c r="AW331" i="44" s="1"/>
  <c r="AX331" i="44" s="1"/>
  <c r="AY331" i="44" s="1"/>
  <c r="AZ331" i="44" s="1"/>
  <c r="BA331" i="44" s="1"/>
  <c r="BB331" i="44" s="1"/>
  <c r="BC331" i="44" s="1"/>
  <c r="BD331" i="44" s="1"/>
  <c r="BE331" i="44" s="1"/>
  <c r="BF331" i="44" s="1"/>
  <c r="BG331" i="44" s="1"/>
  <c r="BH331" i="44" s="1"/>
  <c r="BI331" i="44" s="1"/>
  <c r="BJ331" i="44" s="1"/>
  <c r="BK331" i="44" s="1"/>
  <c r="BL331" i="44" s="1"/>
  <c r="BM331" i="44" s="1"/>
  <c r="BN331" i="44" s="1"/>
  <c r="BO331" i="44" s="1"/>
  <c r="BP331" i="44" s="1"/>
  <c r="BQ331" i="44" s="1"/>
  <c r="BR331" i="44" s="1"/>
  <c r="BS331" i="44" s="1"/>
  <c r="BT331" i="44" s="1"/>
  <c r="BU331" i="44" s="1"/>
  <c r="BV331" i="44" s="1"/>
  <c r="BW331" i="44" s="1"/>
  <c r="BX331" i="44" s="1"/>
  <c r="BY331" i="44" s="1"/>
  <c r="BZ331" i="44" s="1"/>
  <c r="CA331" i="44" s="1"/>
  <c r="CB331" i="44" s="1"/>
  <c r="CC331" i="44" s="1"/>
  <c r="CD331" i="44" s="1"/>
  <c r="CE331" i="44" s="1"/>
  <c r="AH330" i="44"/>
  <c r="AI330" i="44" s="1"/>
  <c r="AJ330" i="44" s="1"/>
  <c r="AK330" i="44" s="1"/>
  <c r="AL330" i="44" s="1"/>
  <c r="AM330" i="44" s="1"/>
  <c r="AN330" i="44" s="1"/>
  <c r="AO330" i="44" s="1"/>
  <c r="AP330" i="44" s="1"/>
  <c r="AQ330" i="44" s="1"/>
  <c r="AR330" i="44" s="1"/>
  <c r="AS330" i="44" s="1"/>
  <c r="AT330" i="44" s="1"/>
  <c r="AU330" i="44" s="1"/>
  <c r="AV330" i="44" s="1"/>
  <c r="AW330" i="44" s="1"/>
  <c r="AX330" i="44" s="1"/>
  <c r="AY330" i="44" s="1"/>
  <c r="AZ330" i="44" s="1"/>
  <c r="BA330" i="44" s="1"/>
  <c r="BB330" i="44" s="1"/>
  <c r="BC330" i="44" s="1"/>
  <c r="BD330" i="44" s="1"/>
  <c r="BE330" i="44" s="1"/>
  <c r="BF330" i="44" s="1"/>
  <c r="BG330" i="44" s="1"/>
  <c r="BH330" i="44" s="1"/>
  <c r="BI330" i="44" s="1"/>
  <c r="BJ330" i="44" s="1"/>
  <c r="BK330" i="44" s="1"/>
  <c r="BL330" i="44" s="1"/>
  <c r="BM330" i="44" s="1"/>
  <c r="BN330" i="44" s="1"/>
  <c r="BO330" i="44" s="1"/>
  <c r="BP330" i="44" s="1"/>
  <c r="BQ330" i="44" s="1"/>
  <c r="BR330" i="44" s="1"/>
  <c r="BS330" i="44" s="1"/>
  <c r="BT330" i="44" s="1"/>
  <c r="BU330" i="44" s="1"/>
  <c r="BV330" i="44" s="1"/>
  <c r="BW330" i="44" s="1"/>
  <c r="BX330" i="44" s="1"/>
  <c r="BY330" i="44" s="1"/>
  <c r="BZ330" i="44" s="1"/>
  <c r="CA330" i="44" s="1"/>
  <c r="CB330" i="44" s="1"/>
  <c r="CC330" i="44" s="1"/>
  <c r="CD330" i="44" s="1"/>
  <c r="CE330" i="44" s="1"/>
  <c r="AH329" i="44"/>
  <c r="AI329" i="44" s="1"/>
  <c r="AJ329" i="44" s="1"/>
  <c r="AK329" i="44" s="1"/>
  <c r="AL329" i="44" s="1"/>
  <c r="AM329" i="44" s="1"/>
  <c r="AN329" i="44" s="1"/>
  <c r="AO329" i="44" s="1"/>
  <c r="AP329" i="44" s="1"/>
  <c r="AQ329" i="44" s="1"/>
  <c r="AR329" i="44" s="1"/>
  <c r="AS329" i="44" s="1"/>
  <c r="AT329" i="44" s="1"/>
  <c r="AU329" i="44" s="1"/>
  <c r="AV329" i="44" s="1"/>
  <c r="AW329" i="44" s="1"/>
  <c r="AX329" i="44" s="1"/>
  <c r="AY329" i="44" s="1"/>
  <c r="AZ329" i="44" s="1"/>
  <c r="BA329" i="44" s="1"/>
  <c r="BB329" i="44" s="1"/>
  <c r="BC329" i="44" s="1"/>
  <c r="BD329" i="44" s="1"/>
  <c r="BE329" i="44" s="1"/>
  <c r="BF329" i="44" s="1"/>
  <c r="BG329" i="44" s="1"/>
  <c r="BH329" i="44" s="1"/>
  <c r="BI329" i="44" s="1"/>
  <c r="BJ329" i="44" s="1"/>
  <c r="BK329" i="44" s="1"/>
  <c r="BL329" i="44" s="1"/>
  <c r="BM329" i="44" s="1"/>
  <c r="BN329" i="44" s="1"/>
  <c r="BO329" i="44" s="1"/>
  <c r="BP329" i="44" s="1"/>
  <c r="BQ329" i="44" s="1"/>
  <c r="BR329" i="44" s="1"/>
  <c r="BS329" i="44" s="1"/>
  <c r="BT329" i="44" s="1"/>
  <c r="BU329" i="44" s="1"/>
  <c r="BV329" i="44" s="1"/>
  <c r="BW329" i="44" s="1"/>
  <c r="BX329" i="44" s="1"/>
  <c r="BY329" i="44" s="1"/>
  <c r="BZ329" i="44" s="1"/>
  <c r="CA329" i="44" s="1"/>
  <c r="CB329" i="44" s="1"/>
  <c r="CC329" i="44" s="1"/>
  <c r="CD329" i="44" s="1"/>
  <c r="CE329" i="44" s="1"/>
  <c r="F328" i="44"/>
  <c r="G328" i="44" s="1"/>
  <c r="H328" i="44" s="1"/>
  <c r="I328" i="44" s="1"/>
  <c r="J328" i="44" s="1"/>
  <c r="K328" i="44" s="1"/>
  <c r="L328" i="44" s="1"/>
  <c r="M328" i="44" s="1"/>
  <c r="N328" i="44" s="1"/>
  <c r="O328" i="44" s="1"/>
  <c r="P328" i="44" s="1"/>
  <c r="Q328" i="44" s="1"/>
  <c r="R328" i="44" s="1"/>
  <c r="S328" i="44" s="1"/>
  <c r="T328" i="44" s="1"/>
  <c r="U328" i="44" s="1"/>
  <c r="V328" i="44" s="1"/>
  <c r="W328" i="44" s="1"/>
  <c r="X328" i="44" s="1"/>
  <c r="Y328" i="44" s="1"/>
  <c r="Z328" i="44" s="1"/>
  <c r="AA328" i="44" s="1"/>
  <c r="AB328" i="44" s="1"/>
  <c r="AC328" i="44" s="1"/>
  <c r="AD328" i="44" s="1"/>
  <c r="AE328" i="44" s="1"/>
  <c r="AF328" i="44" s="1"/>
  <c r="AG328" i="44" s="1"/>
  <c r="AH328" i="44" s="1"/>
  <c r="AI328" i="44" s="1"/>
  <c r="AJ328" i="44" s="1"/>
  <c r="AK328" i="44" s="1"/>
  <c r="AL328" i="44" s="1"/>
  <c r="AM328" i="44" s="1"/>
  <c r="AN328" i="44" s="1"/>
  <c r="AO328" i="44" s="1"/>
  <c r="AP328" i="44" s="1"/>
  <c r="AQ328" i="44" s="1"/>
  <c r="AR328" i="44" s="1"/>
  <c r="AS328" i="44" s="1"/>
  <c r="AT328" i="44" s="1"/>
  <c r="AU328" i="44" s="1"/>
  <c r="AV328" i="44" s="1"/>
  <c r="AW328" i="44" s="1"/>
  <c r="AX328" i="44" s="1"/>
  <c r="AY328" i="44" s="1"/>
  <c r="AZ328" i="44" s="1"/>
  <c r="BA328" i="44" s="1"/>
  <c r="BB328" i="44" s="1"/>
  <c r="BC328" i="44" s="1"/>
  <c r="BD328" i="44" s="1"/>
  <c r="BE328" i="44" s="1"/>
  <c r="BF328" i="44" s="1"/>
  <c r="BG328" i="44" s="1"/>
  <c r="BH328" i="44" s="1"/>
  <c r="BI328" i="44" s="1"/>
  <c r="BJ328" i="44" s="1"/>
  <c r="BK328" i="44" s="1"/>
  <c r="BL328" i="44" s="1"/>
  <c r="BM328" i="44" s="1"/>
  <c r="BN328" i="44" s="1"/>
  <c r="BO328" i="44" s="1"/>
  <c r="BP328" i="44" s="1"/>
  <c r="BQ328" i="44" s="1"/>
  <c r="BR328" i="44" s="1"/>
  <c r="BS328" i="44" s="1"/>
  <c r="BT328" i="44" s="1"/>
  <c r="BU328" i="44" s="1"/>
  <c r="BV328" i="44" s="1"/>
  <c r="BW328" i="44" s="1"/>
  <c r="BX328" i="44" s="1"/>
  <c r="BY328" i="44" s="1"/>
  <c r="BZ328" i="44" s="1"/>
  <c r="CA328" i="44" s="1"/>
  <c r="CB328" i="44" s="1"/>
  <c r="CC328" i="44" s="1"/>
  <c r="CD328" i="44" s="1"/>
  <c r="CE328" i="44" s="1"/>
  <c r="AH326" i="44"/>
  <c r="AI326" i="44" s="1"/>
  <c r="AJ326" i="44" s="1"/>
  <c r="AK326" i="44" s="1"/>
  <c r="AL326" i="44" s="1"/>
  <c r="AM326" i="44" s="1"/>
  <c r="AN326" i="44" s="1"/>
  <c r="AO326" i="44" s="1"/>
  <c r="AP326" i="44" s="1"/>
  <c r="AQ326" i="44" s="1"/>
  <c r="AR326" i="44" s="1"/>
  <c r="AS326" i="44" s="1"/>
  <c r="AT326" i="44" s="1"/>
  <c r="AU326" i="44" s="1"/>
  <c r="AV326" i="44" s="1"/>
  <c r="AW326" i="44" s="1"/>
  <c r="AX326" i="44" s="1"/>
  <c r="AY326" i="44" s="1"/>
  <c r="AZ326" i="44" s="1"/>
  <c r="BA326" i="44" s="1"/>
  <c r="BB326" i="44" s="1"/>
  <c r="BC326" i="44" s="1"/>
  <c r="BD326" i="44" s="1"/>
  <c r="BE326" i="44" s="1"/>
  <c r="BF326" i="44" s="1"/>
  <c r="BG326" i="44" s="1"/>
  <c r="BH326" i="44" s="1"/>
  <c r="BI326" i="44" s="1"/>
  <c r="BJ326" i="44" s="1"/>
  <c r="BK326" i="44" s="1"/>
  <c r="BL326" i="44" s="1"/>
  <c r="BM326" i="44" s="1"/>
  <c r="BN326" i="44" s="1"/>
  <c r="BO326" i="44" s="1"/>
  <c r="BP326" i="44" s="1"/>
  <c r="BQ326" i="44" s="1"/>
  <c r="BR326" i="44" s="1"/>
  <c r="BS326" i="44" s="1"/>
  <c r="BT326" i="44" s="1"/>
  <c r="BU326" i="44" s="1"/>
  <c r="BV326" i="44" s="1"/>
  <c r="BW326" i="44" s="1"/>
  <c r="BX326" i="44" s="1"/>
  <c r="BY326" i="44" s="1"/>
  <c r="BZ326" i="44" s="1"/>
  <c r="CA326" i="44" s="1"/>
  <c r="CB326" i="44" s="1"/>
  <c r="CC326" i="44" s="1"/>
  <c r="CD326" i="44" s="1"/>
  <c r="CE326" i="44" s="1"/>
  <c r="AH325" i="44"/>
  <c r="AI325" i="44" s="1"/>
  <c r="AJ325" i="44" s="1"/>
  <c r="AK325" i="44" s="1"/>
  <c r="AL325" i="44" s="1"/>
  <c r="AM325" i="44" s="1"/>
  <c r="AN325" i="44" s="1"/>
  <c r="AO325" i="44" s="1"/>
  <c r="AP325" i="44" s="1"/>
  <c r="AQ325" i="44" s="1"/>
  <c r="AR325" i="44" s="1"/>
  <c r="AS325" i="44" s="1"/>
  <c r="AT325" i="44" s="1"/>
  <c r="AU325" i="44" s="1"/>
  <c r="AV325" i="44" s="1"/>
  <c r="AW325" i="44" s="1"/>
  <c r="AX325" i="44" s="1"/>
  <c r="AY325" i="44" s="1"/>
  <c r="AZ325" i="44" s="1"/>
  <c r="BA325" i="44" s="1"/>
  <c r="BB325" i="44" s="1"/>
  <c r="BC325" i="44" s="1"/>
  <c r="BD325" i="44" s="1"/>
  <c r="BE325" i="44" s="1"/>
  <c r="BF325" i="44" s="1"/>
  <c r="BG325" i="44" s="1"/>
  <c r="BH325" i="44" s="1"/>
  <c r="BI325" i="44" s="1"/>
  <c r="BJ325" i="44" s="1"/>
  <c r="BK325" i="44" s="1"/>
  <c r="BL325" i="44" s="1"/>
  <c r="BM325" i="44" s="1"/>
  <c r="BN325" i="44" s="1"/>
  <c r="BO325" i="44" s="1"/>
  <c r="BP325" i="44" s="1"/>
  <c r="BQ325" i="44" s="1"/>
  <c r="BR325" i="44" s="1"/>
  <c r="BS325" i="44" s="1"/>
  <c r="BT325" i="44" s="1"/>
  <c r="BU325" i="44" s="1"/>
  <c r="BV325" i="44" s="1"/>
  <c r="BW325" i="44" s="1"/>
  <c r="BX325" i="44" s="1"/>
  <c r="BY325" i="44" s="1"/>
  <c r="BZ325" i="44" s="1"/>
  <c r="CA325" i="44" s="1"/>
  <c r="CB325" i="44" s="1"/>
  <c r="CC325" i="44" s="1"/>
  <c r="CD325" i="44" s="1"/>
  <c r="CE325" i="44" s="1"/>
  <c r="AH324" i="44"/>
  <c r="AI324" i="44" s="1"/>
  <c r="AJ324" i="44" s="1"/>
  <c r="AK324" i="44" s="1"/>
  <c r="AL324" i="44" s="1"/>
  <c r="AM324" i="44" s="1"/>
  <c r="AN324" i="44" s="1"/>
  <c r="AO324" i="44" s="1"/>
  <c r="AP324" i="44" s="1"/>
  <c r="AQ324" i="44" s="1"/>
  <c r="AR324" i="44" s="1"/>
  <c r="AS324" i="44" s="1"/>
  <c r="AT324" i="44" s="1"/>
  <c r="AU324" i="44" s="1"/>
  <c r="AV324" i="44" s="1"/>
  <c r="AW324" i="44" s="1"/>
  <c r="AX324" i="44" s="1"/>
  <c r="AY324" i="44" s="1"/>
  <c r="AZ324" i="44" s="1"/>
  <c r="BA324" i="44" s="1"/>
  <c r="BB324" i="44" s="1"/>
  <c r="BC324" i="44" s="1"/>
  <c r="BD324" i="44" s="1"/>
  <c r="BE324" i="44" s="1"/>
  <c r="BF324" i="44" s="1"/>
  <c r="BG324" i="44" s="1"/>
  <c r="BH324" i="44" s="1"/>
  <c r="BI324" i="44" s="1"/>
  <c r="BJ324" i="44" s="1"/>
  <c r="BK324" i="44" s="1"/>
  <c r="BL324" i="44" s="1"/>
  <c r="BM324" i="44" s="1"/>
  <c r="BN324" i="44" s="1"/>
  <c r="BO324" i="44" s="1"/>
  <c r="BP324" i="44" s="1"/>
  <c r="BQ324" i="44" s="1"/>
  <c r="BR324" i="44" s="1"/>
  <c r="BS324" i="44" s="1"/>
  <c r="BT324" i="44" s="1"/>
  <c r="BU324" i="44" s="1"/>
  <c r="BV324" i="44" s="1"/>
  <c r="BW324" i="44" s="1"/>
  <c r="BX324" i="44" s="1"/>
  <c r="BY324" i="44" s="1"/>
  <c r="BZ324" i="44" s="1"/>
  <c r="CA324" i="44" s="1"/>
  <c r="CB324" i="44" s="1"/>
  <c r="CC324" i="44" s="1"/>
  <c r="CD324" i="44" s="1"/>
  <c r="CE324" i="44" s="1"/>
  <c r="AH323" i="44"/>
  <c r="AI323" i="44" s="1"/>
  <c r="AJ323" i="44" s="1"/>
  <c r="AK323" i="44" s="1"/>
  <c r="AL323" i="44" s="1"/>
  <c r="AM323" i="44" s="1"/>
  <c r="AN323" i="44" s="1"/>
  <c r="AO323" i="44" s="1"/>
  <c r="AP323" i="44" s="1"/>
  <c r="AQ323" i="44" s="1"/>
  <c r="AR323" i="44" s="1"/>
  <c r="AS323" i="44" s="1"/>
  <c r="AT323" i="44" s="1"/>
  <c r="AU323" i="44" s="1"/>
  <c r="AV323" i="44" s="1"/>
  <c r="AW323" i="44" s="1"/>
  <c r="AX323" i="44" s="1"/>
  <c r="AY323" i="44" s="1"/>
  <c r="AZ323" i="44" s="1"/>
  <c r="BA323" i="44" s="1"/>
  <c r="BB323" i="44" s="1"/>
  <c r="BC323" i="44" s="1"/>
  <c r="BD323" i="44" s="1"/>
  <c r="BE323" i="44" s="1"/>
  <c r="BF323" i="44" s="1"/>
  <c r="BG323" i="44" s="1"/>
  <c r="BH323" i="44" s="1"/>
  <c r="BI323" i="44" s="1"/>
  <c r="BJ323" i="44" s="1"/>
  <c r="BK323" i="44" s="1"/>
  <c r="BL323" i="44" s="1"/>
  <c r="BM323" i="44" s="1"/>
  <c r="BN323" i="44" s="1"/>
  <c r="BO323" i="44" s="1"/>
  <c r="BP323" i="44" s="1"/>
  <c r="BQ323" i="44" s="1"/>
  <c r="BR323" i="44" s="1"/>
  <c r="BS323" i="44" s="1"/>
  <c r="BT323" i="44" s="1"/>
  <c r="BU323" i="44" s="1"/>
  <c r="BV323" i="44" s="1"/>
  <c r="BW323" i="44" s="1"/>
  <c r="BX323" i="44" s="1"/>
  <c r="BY323" i="44" s="1"/>
  <c r="BZ323" i="44" s="1"/>
  <c r="CA323" i="44" s="1"/>
  <c r="CB323" i="44" s="1"/>
  <c r="CC323" i="44" s="1"/>
  <c r="CD323" i="44" s="1"/>
  <c r="CE323" i="44" s="1"/>
  <c r="AH322" i="44"/>
  <c r="AI322" i="44" s="1"/>
  <c r="AJ322" i="44" s="1"/>
  <c r="AK322" i="44" s="1"/>
  <c r="AL322" i="44" s="1"/>
  <c r="AM322" i="44" s="1"/>
  <c r="AN322" i="44" s="1"/>
  <c r="AO322" i="44" s="1"/>
  <c r="AP322" i="44" s="1"/>
  <c r="AQ322" i="44" s="1"/>
  <c r="AR322" i="44" s="1"/>
  <c r="AS322" i="44" s="1"/>
  <c r="AT322" i="44" s="1"/>
  <c r="AU322" i="44" s="1"/>
  <c r="AV322" i="44" s="1"/>
  <c r="AW322" i="44" s="1"/>
  <c r="AX322" i="44" s="1"/>
  <c r="AY322" i="44" s="1"/>
  <c r="AZ322" i="44" s="1"/>
  <c r="BA322" i="44" s="1"/>
  <c r="BB322" i="44" s="1"/>
  <c r="BC322" i="44" s="1"/>
  <c r="BD322" i="44" s="1"/>
  <c r="BE322" i="44" s="1"/>
  <c r="BF322" i="44" s="1"/>
  <c r="BG322" i="44" s="1"/>
  <c r="BH322" i="44" s="1"/>
  <c r="BI322" i="44" s="1"/>
  <c r="BJ322" i="44" s="1"/>
  <c r="BK322" i="44" s="1"/>
  <c r="BL322" i="44" s="1"/>
  <c r="BM322" i="44" s="1"/>
  <c r="BN322" i="44" s="1"/>
  <c r="BO322" i="44" s="1"/>
  <c r="BP322" i="44" s="1"/>
  <c r="BQ322" i="44" s="1"/>
  <c r="BR322" i="44" s="1"/>
  <c r="BS322" i="44" s="1"/>
  <c r="BT322" i="44" s="1"/>
  <c r="BU322" i="44" s="1"/>
  <c r="BV322" i="44" s="1"/>
  <c r="BW322" i="44" s="1"/>
  <c r="BX322" i="44" s="1"/>
  <c r="BY322" i="44" s="1"/>
  <c r="BZ322" i="44" s="1"/>
  <c r="CA322" i="44" s="1"/>
  <c r="CB322" i="44" s="1"/>
  <c r="CC322" i="44" s="1"/>
  <c r="CD322" i="44" s="1"/>
  <c r="CE322" i="44" s="1"/>
  <c r="AH321" i="44"/>
  <c r="AI321" i="44" s="1"/>
  <c r="AJ321" i="44" s="1"/>
  <c r="AK321" i="44" s="1"/>
  <c r="AL321" i="44" s="1"/>
  <c r="AM321" i="44" s="1"/>
  <c r="AN321" i="44" s="1"/>
  <c r="AO321" i="44" s="1"/>
  <c r="AP321" i="44" s="1"/>
  <c r="AQ321" i="44" s="1"/>
  <c r="AR321" i="44" s="1"/>
  <c r="AS321" i="44" s="1"/>
  <c r="AT321" i="44" s="1"/>
  <c r="AU321" i="44" s="1"/>
  <c r="AV321" i="44" s="1"/>
  <c r="AW321" i="44" s="1"/>
  <c r="AX321" i="44" s="1"/>
  <c r="AY321" i="44" s="1"/>
  <c r="AZ321" i="44" s="1"/>
  <c r="BA321" i="44" s="1"/>
  <c r="BB321" i="44" s="1"/>
  <c r="BC321" i="44" s="1"/>
  <c r="BD321" i="44" s="1"/>
  <c r="BE321" i="44" s="1"/>
  <c r="BF321" i="44" s="1"/>
  <c r="BG321" i="44" s="1"/>
  <c r="BH321" i="44" s="1"/>
  <c r="BI321" i="44" s="1"/>
  <c r="BJ321" i="44" s="1"/>
  <c r="BK321" i="44" s="1"/>
  <c r="BL321" i="44" s="1"/>
  <c r="BM321" i="44" s="1"/>
  <c r="BN321" i="44" s="1"/>
  <c r="BO321" i="44" s="1"/>
  <c r="BP321" i="44" s="1"/>
  <c r="BQ321" i="44" s="1"/>
  <c r="BR321" i="44" s="1"/>
  <c r="BS321" i="44" s="1"/>
  <c r="BT321" i="44" s="1"/>
  <c r="BU321" i="44" s="1"/>
  <c r="BV321" i="44" s="1"/>
  <c r="BW321" i="44" s="1"/>
  <c r="BX321" i="44" s="1"/>
  <c r="BY321" i="44" s="1"/>
  <c r="BZ321" i="44" s="1"/>
  <c r="CA321" i="44" s="1"/>
  <c r="CB321" i="44" s="1"/>
  <c r="CC321" i="44" s="1"/>
  <c r="CD321" i="44" s="1"/>
  <c r="CE321" i="44" s="1"/>
  <c r="AH320" i="44"/>
  <c r="AI320" i="44" s="1"/>
  <c r="AJ320" i="44" s="1"/>
  <c r="AK320" i="44" s="1"/>
  <c r="AL320" i="44" s="1"/>
  <c r="AM320" i="44" s="1"/>
  <c r="AN320" i="44" s="1"/>
  <c r="AO320" i="44" s="1"/>
  <c r="AP320" i="44" s="1"/>
  <c r="AQ320" i="44" s="1"/>
  <c r="AR320" i="44" s="1"/>
  <c r="AS320" i="44" s="1"/>
  <c r="AT320" i="44" s="1"/>
  <c r="AU320" i="44" s="1"/>
  <c r="AV320" i="44" s="1"/>
  <c r="AW320" i="44" s="1"/>
  <c r="AX320" i="44" s="1"/>
  <c r="AY320" i="44" s="1"/>
  <c r="AZ320" i="44" s="1"/>
  <c r="BA320" i="44" s="1"/>
  <c r="BB320" i="44" s="1"/>
  <c r="BC320" i="44" s="1"/>
  <c r="BD320" i="44" s="1"/>
  <c r="BE320" i="44" s="1"/>
  <c r="BF320" i="44" s="1"/>
  <c r="BG320" i="44" s="1"/>
  <c r="BH320" i="44" s="1"/>
  <c r="BI320" i="44" s="1"/>
  <c r="BJ320" i="44" s="1"/>
  <c r="BK320" i="44" s="1"/>
  <c r="BL320" i="44" s="1"/>
  <c r="BM320" i="44" s="1"/>
  <c r="BN320" i="44" s="1"/>
  <c r="BO320" i="44" s="1"/>
  <c r="BP320" i="44" s="1"/>
  <c r="BQ320" i="44" s="1"/>
  <c r="BR320" i="44" s="1"/>
  <c r="BS320" i="44" s="1"/>
  <c r="BT320" i="44" s="1"/>
  <c r="BU320" i="44" s="1"/>
  <c r="BV320" i="44" s="1"/>
  <c r="BW320" i="44" s="1"/>
  <c r="BX320" i="44" s="1"/>
  <c r="BY320" i="44" s="1"/>
  <c r="BZ320" i="44" s="1"/>
  <c r="CA320" i="44" s="1"/>
  <c r="CB320" i="44" s="1"/>
  <c r="CC320" i="44" s="1"/>
  <c r="CD320" i="44" s="1"/>
  <c r="CE320" i="44" s="1"/>
  <c r="AH319" i="44"/>
  <c r="AI319" i="44" s="1"/>
  <c r="AJ319" i="44" s="1"/>
  <c r="AK319" i="44" s="1"/>
  <c r="AL319" i="44" s="1"/>
  <c r="AM319" i="44" s="1"/>
  <c r="AN319" i="44" s="1"/>
  <c r="AO319" i="44" s="1"/>
  <c r="AP319" i="44" s="1"/>
  <c r="AQ319" i="44" s="1"/>
  <c r="AR319" i="44" s="1"/>
  <c r="AS319" i="44" s="1"/>
  <c r="AT319" i="44" s="1"/>
  <c r="AU319" i="44" s="1"/>
  <c r="AV319" i="44" s="1"/>
  <c r="AW319" i="44" s="1"/>
  <c r="AX319" i="44" s="1"/>
  <c r="AY319" i="44" s="1"/>
  <c r="AZ319" i="44" s="1"/>
  <c r="BA319" i="44" s="1"/>
  <c r="BB319" i="44" s="1"/>
  <c r="BC319" i="44" s="1"/>
  <c r="BD319" i="44" s="1"/>
  <c r="BE319" i="44" s="1"/>
  <c r="BF319" i="44" s="1"/>
  <c r="BG319" i="44" s="1"/>
  <c r="BH319" i="44" s="1"/>
  <c r="BI319" i="44" s="1"/>
  <c r="BJ319" i="44" s="1"/>
  <c r="BK319" i="44" s="1"/>
  <c r="BL319" i="44" s="1"/>
  <c r="BM319" i="44" s="1"/>
  <c r="BN319" i="44" s="1"/>
  <c r="BO319" i="44" s="1"/>
  <c r="BP319" i="44" s="1"/>
  <c r="BQ319" i="44" s="1"/>
  <c r="BR319" i="44" s="1"/>
  <c r="BS319" i="44" s="1"/>
  <c r="BT319" i="44" s="1"/>
  <c r="BU319" i="44" s="1"/>
  <c r="BV319" i="44" s="1"/>
  <c r="BW319" i="44" s="1"/>
  <c r="BX319" i="44" s="1"/>
  <c r="BY319" i="44" s="1"/>
  <c r="BZ319" i="44" s="1"/>
  <c r="CA319" i="44" s="1"/>
  <c r="CB319" i="44" s="1"/>
  <c r="CC319" i="44" s="1"/>
  <c r="CD319" i="44" s="1"/>
  <c r="CE319" i="44" s="1"/>
  <c r="AH317" i="44"/>
  <c r="AI317" i="44" s="1"/>
  <c r="AJ317" i="44" s="1"/>
  <c r="AK317" i="44" s="1"/>
  <c r="AL317" i="44" s="1"/>
  <c r="AM317" i="44" s="1"/>
  <c r="AN317" i="44" s="1"/>
  <c r="AO317" i="44" s="1"/>
  <c r="AP317" i="44" s="1"/>
  <c r="AQ317" i="44" s="1"/>
  <c r="AR317" i="44" s="1"/>
  <c r="AS317" i="44" s="1"/>
  <c r="AT317" i="44" s="1"/>
  <c r="AU317" i="44" s="1"/>
  <c r="AV317" i="44" s="1"/>
  <c r="AW317" i="44" s="1"/>
  <c r="AX317" i="44" s="1"/>
  <c r="AY317" i="44" s="1"/>
  <c r="AZ317" i="44" s="1"/>
  <c r="BA317" i="44" s="1"/>
  <c r="BB317" i="44" s="1"/>
  <c r="BC317" i="44" s="1"/>
  <c r="BD317" i="44" s="1"/>
  <c r="BE317" i="44" s="1"/>
  <c r="BF317" i="44" s="1"/>
  <c r="BG317" i="44" s="1"/>
  <c r="BH317" i="44" s="1"/>
  <c r="BI317" i="44" s="1"/>
  <c r="BJ317" i="44" s="1"/>
  <c r="BK317" i="44" s="1"/>
  <c r="BL317" i="44" s="1"/>
  <c r="BM317" i="44" s="1"/>
  <c r="BN317" i="44" s="1"/>
  <c r="BO317" i="44" s="1"/>
  <c r="BP317" i="44" s="1"/>
  <c r="BQ317" i="44" s="1"/>
  <c r="BR317" i="44" s="1"/>
  <c r="BS317" i="44" s="1"/>
  <c r="BT317" i="44" s="1"/>
  <c r="BU317" i="44" s="1"/>
  <c r="BV317" i="44" s="1"/>
  <c r="BW317" i="44" s="1"/>
  <c r="BX317" i="44" s="1"/>
  <c r="BY317" i="44" s="1"/>
  <c r="BZ317" i="44" s="1"/>
  <c r="CA317" i="44" s="1"/>
  <c r="CB317" i="44" s="1"/>
  <c r="CC317" i="44" s="1"/>
  <c r="CD317" i="44" s="1"/>
  <c r="CE317" i="44" s="1"/>
  <c r="AH316" i="44"/>
  <c r="AI316" i="44" s="1"/>
  <c r="AJ316" i="44" s="1"/>
  <c r="AK316" i="44" s="1"/>
  <c r="AL316" i="44" s="1"/>
  <c r="AM316" i="44" s="1"/>
  <c r="AN316" i="44" s="1"/>
  <c r="AO316" i="44" s="1"/>
  <c r="AP316" i="44" s="1"/>
  <c r="AQ316" i="44" s="1"/>
  <c r="AR316" i="44" s="1"/>
  <c r="AS316" i="44" s="1"/>
  <c r="AT316" i="44" s="1"/>
  <c r="AU316" i="44" s="1"/>
  <c r="AV316" i="44" s="1"/>
  <c r="AW316" i="44" s="1"/>
  <c r="AX316" i="44" s="1"/>
  <c r="AY316" i="44" s="1"/>
  <c r="AZ316" i="44" s="1"/>
  <c r="BA316" i="44" s="1"/>
  <c r="BB316" i="44" s="1"/>
  <c r="BC316" i="44" s="1"/>
  <c r="BD316" i="44" s="1"/>
  <c r="BE316" i="44" s="1"/>
  <c r="BF316" i="44" s="1"/>
  <c r="BG316" i="44" s="1"/>
  <c r="BH316" i="44" s="1"/>
  <c r="BI316" i="44" s="1"/>
  <c r="BJ316" i="44" s="1"/>
  <c r="BK316" i="44" s="1"/>
  <c r="BL316" i="44" s="1"/>
  <c r="BM316" i="44" s="1"/>
  <c r="BN316" i="44" s="1"/>
  <c r="BO316" i="44" s="1"/>
  <c r="BP316" i="44" s="1"/>
  <c r="BQ316" i="44" s="1"/>
  <c r="BR316" i="44" s="1"/>
  <c r="BS316" i="44" s="1"/>
  <c r="BT316" i="44" s="1"/>
  <c r="BU316" i="44" s="1"/>
  <c r="BV316" i="44" s="1"/>
  <c r="BW316" i="44" s="1"/>
  <c r="BX316" i="44" s="1"/>
  <c r="BY316" i="44" s="1"/>
  <c r="BZ316" i="44" s="1"/>
  <c r="CA316" i="44" s="1"/>
  <c r="CB316" i="44" s="1"/>
  <c r="CC316" i="44" s="1"/>
  <c r="CD316" i="44" s="1"/>
  <c r="CE316" i="44" s="1"/>
  <c r="AH314" i="44"/>
  <c r="AI314" i="44" s="1"/>
  <c r="AJ314" i="44" s="1"/>
  <c r="AK314" i="44" s="1"/>
  <c r="AL314" i="44" s="1"/>
  <c r="AM314" i="44" s="1"/>
  <c r="AN314" i="44" s="1"/>
  <c r="AO314" i="44" s="1"/>
  <c r="AP314" i="44" s="1"/>
  <c r="AQ314" i="44" s="1"/>
  <c r="AR314" i="44" s="1"/>
  <c r="AS314" i="44" s="1"/>
  <c r="AT314" i="44" s="1"/>
  <c r="AU314" i="44" s="1"/>
  <c r="AV314" i="44" s="1"/>
  <c r="AW314" i="44" s="1"/>
  <c r="AX314" i="44" s="1"/>
  <c r="AY314" i="44" s="1"/>
  <c r="AZ314" i="44" s="1"/>
  <c r="BA314" i="44" s="1"/>
  <c r="BB314" i="44" s="1"/>
  <c r="BC314" i="44" s="1"/>
  <c r="BD314" i="44" s="1"/>
  <c r="BE314" i="44" s="1"/>
  <c r="BF314" i="44" s="1"/>
  <c r="BG314" i="44" s="1"/>
  <c r="BH314" i="44" s="1"/>
  <c r="BI314" i="44" s="1"/>
  <c r="BJ314" i="44" s="1"/>
  <c r="BK314" i="44" s="1"/>
  <c r="BL314" i="44" s="1"/>
  <c r="BM314" i="44" s="1"/>
  <c r="BN314" i="44" s="1"/>
  <c r="BO314" i="44" s="1"/>
  <c r="BP314" i="44" s="1"/>
  <c r="BQ314" i="44" s="1"/>
  <c r="BR314" i="44" s="1"/>
  <c r="BS314" i="44" s="1"/>
  <c r="BT314" i="44" s="1"/>
  <c r="BU314" i="44" s="1"/>
  <c r="BV314" i="44" s="1"/>
  <c r="BW314" i="44" s="1"/>
  <c r="BX314" i="44" s="1"/>
  <c r="BY314" i="44" s="1"/>
  <c r="BZ314" i="44" s="1"/>
  <c r="CA314" i="44" s="1"/>
  <c r="CB314" i="44" s="1"/>
  <c r="CC314" i="44" s="1"/>
  <c r="CD314" i="44" s="1"/>
  <c r="CE314" i="44" s="1"/>
  <c r="AH313" i="44"/>
  <c r="AI313" i="44" s="1"/>
  <c r="AJ313" i="44" s="1"/>
  <c r="AK313" i="44" s="1"/>
  <c r="AL313" i="44" s="1"/>
  <c r="AM313" i="44" s="1"/>
  <c r="AN313" i="44" s="1"/>
  <c r="AO313" i="44" s="1"/>
  <c r="AP313" i="44" s="1"/>
  <c r="AQ313" i="44" s="1"/>
  <c r="AR313" i="44" s="1"/>
  <c r="AS313" i="44" s="1"/>
  <c r="AT313" i="44" s="1"/>
  <c r="AU313" i="44" s="1"/>
  <c r="AV313" i="44" s="1"/>
  <c r="AW313" i="44" s="1"/>
  <c r="AX313" i="44" s="1"/>
  <c r="AY313" i="44" s="1"/>
  <c r="AZ313" i="44" s="1"/>
  <c r="BA313" i="44" s="1"/>
  <c r="BB313" i="44" s="1"/>
  <c r="BC313" i="44" s="1"/>
  <c r="BD313" i="44" s="1"/>
  <c r="BE313" i="44" s="1"/>
  <c r="BF313" i="44" s="1"/>
  <c r="BG313" i="44" s="1"/>
  <c r="BH313" i="44" s="1"/>
  <c r="BI313" i="44" s="1"/>
  <c r="BJ313" i="44" s="1"/>
  <c r="BK313" i="44" s="1"/>
  <c r="BL313" i="44" s="1"/>
  <c r="BM313" i="44" s="1"/>
  <c r="BN313" i="44" s="1"/>
  <c r="BO313" i="44" s="1"/>
  <c r="BP313" i="44" s="1"/>
  <c r="BQ313" i="44" s="1"/>
  <c r="BR313" i="44" s="1"/>
  <c r="BS313" i="44" s="1"/>
  <c r="BT313" i="44" s="1"/>
  <c r="BU313" i="44" s="1"/>
  <c r="BV313" i="44" s="1"/>
  <c r="BW313" i="44" s="1"/>
  <c r="BX313" i="44" s="1"/>
  <c r="BY313" i="44" s="1"/>
  <c r="BZ313" i="44" s="1"/>
  <c r="CA313" i="44" s="1"/>
  <c r="CB313" i="44" s="1"/>
  <c r="CC313" i="44" s="1"/>
  <c r="CD313" i="44" s="1"/>
  <c r="CE313" i="44" s="1"/>
  <c r="AH312" i="44"/>
  <c r="AI312" i="44" s="1"/>
  <c r="AJ312" i="44" s="1"/>
  <c r="AK312" i="44" s="1"/>
  <c r="AL312" i="44" s="1"/>
  <c r="AM312" i="44" s="1"/>
  <c r="AN312" i="44" s="1"/>
  <c r="AO312" i="44" s="1"/>
  <c r="AP312" i="44" s="1"/>
  <c r="AQ312" i="44" s="1"/>
  <c r="AR312" i="44" s="1"/>
  <c r="AS312" i="44" s="1"/>
  <c r="AT312" i="44" s="1"/>
  <c r="AU312" i="44" s="1"/>
  <c r="AV312" i="44" s="1"/>
  <c r="AW312" i="44" s="1"/>
  <c r="AX312" i="44" s="1"/>
  <c r="AY312" i="44" s="1"/>
  <c r="AZ312" i="44" s="1"/>
  <c r="BA312" i="44" s="1"/>
  <c r="BB312" i="44" s="1"/>
  <c r="BC312" i="44" s="1"/>
  <c r="BD312" i="44" s="1"/>
  <c r="BE312" i="44" s="1"/>
  <c r="BF312" i="44" s="1"/>
  <c r="BG312" i="44" s="1"/>
  <c r="BH312" i="44" s="1"/>
  <c r="BI312" i="44" s="1"/>
  <c r="BJ312" i="44" s="1"/>
  <c r="BK312" i="44" s="1"/>
  <c r="BL312" i="44" s="1"/>
  <c r="BM312" i="44" s="1"/>
  <c r="BN312" i="44" s="1"/>
  <c r="BO312" i="44" s="1"/>
  <c r="BP312" i="44" s="1"/>
  <c r="BQ312" i="44" s="1"/>
  <c r="BR312" i="44" s="1"/>
  <c r="BS312" i="44" s="1"/>
  <c r="BT312" i="44" s="1"/>
  <c r="BU312" i="44" s="1"/>
  <c r="BV312" i="44" s="1"/>
  <c r="BW312" i="44" s="1"/>
  <c r="BX312" i="44" s="1"/>
  <c r="BY312" i="44" s="1"/>
  <c r="BZ312" i="44" s="1"/>
  <c r="CA312" i="44" s="1"/>
  <c r="CB312" i="44" s="1"/>
  <c r="CC312" i="44" s="1"/>
  <c r="CD312" i="44" s="1"/>
  <c r="CE312" i="44" s="1"/>
  <c r="AH311" i="44"/>
  <c r="AI311" i="44" s="1"/>
  <c r="AJ311" i="44" s="1"/>
  <c r="AK311" i="44" s="1"/>
  <c r="AL311" i="44" s="1"/>
  <c r="AM311" i="44" s="1"/>
  <c r="AN311" i="44" s="1"/>
  <c r="AO311" i="44" s="1"/>
  <c r="AP311" i="44" s="1"/>
  <c r="AQ311" i="44" s="1"/>
  <c r="AR311" i="44" s="1"/>
  <c r="AS311" i="44" s="1"/>
  <c r="AT311" i="44" s="1"/>
  <c r="AU311" i="44" s="1"/>
  <c r="AV311" i="44" s="1"/>
  <c r="AW311" i="44" s="1"/>
  <c r="AX311" i="44" s="1"/>
  <c r="AY311" i="44" s="1"/>
  <c r="AZ311" i="44" s="1"/>
  <c r="BA311" i="44" s="1"/>
  <c r="BB311" i="44" s="1"/>
  <c r="BC311" i="44" s="1"/>
  <c r="BD311" i="44" s="1"/>
  <c r="BE311" i="44" s="1"/>
  <c r="BF311" i="44" s="1"/>
  <c r="BG311" i="44" s="1"/>
  <c r="BH311" i="44" s="1"/>
  <c r="BI311" i="44" s="1"/>
  <c r="BJ311" i="44" s="1"/>
  <c r="BK311" i="44" s="1"/>
  <c r="BL311" i="44" s="1"/>
  <c r="BM311" i="44" s="1"/>
  <c r="BN311" i="44" s="1"/>
  <c r="BO311" i="44" s="1"/>
  <c r="BP311" i="44" s="1"/>
  <c r="BQ311" i="44" s="1"/>
  <c r="BR311" i="44" s="1"/>
  <c r="BS311" i="44" s="1"/>
  <c r="BT311" i="44" s="1"/>
  <c r="BU311" i="44" s="1"/>
  <c r="BV311" i="44" s="1"/>
  <c r="BW311" i="44" s="1"/>
  <c r="BX311" i="44" s="1"/>
  <c r="BY311" i="44" s="1"/>
  <c r="BZ311" i="44" s="1"/>
  <c r="CA311" i="44" s="1"/>
  <c r="CB311" i="44" s="1"/>
  <c r="CC311" i="44" s="1"/>
  <c r="CD311" i="44" s="1"/>
  <c r="CE311" i="44" s="1"/>
  <c r="AJ310" i="44"/>
  <c r="AK310" i="44" s="1"/>
  <c r="AL310" i="44" s="1"/>
  <c r="AM310" i="44" s="1"/>
  <c r="AN310" i="44" s="1"/>
  <c r="AO310" i="44" s="1"/>
  <c r="AP310" i="44" s="1"/>
  <c r="AQ310" i="44" s="1"/>
  <c r="AR310" i="44" s="1"/>
  <c r="AS310" i="44" s="1"/>
  <c r="AT310" i="44" s="1"/>
  <c r="AU310" i="44" s="1"/>
  <c r="AV310" i="44" s="1"/>
  <c r="AW310" i="44" s="1"/>
  <c r="AX310" i="44" s="1"/>
  <c r="AY310" i="44" s="1"/>
  <c r="AZ310" i="44" s="1"/>
  <c r="BA310" i="44" s="1"/>
  <c r="BB310" i="44" s="1"/>
  <c r="BC310" i="44" s="1"/>
  <c r="BD310" i="44" s="1"/>
  <c r="BE310" i="44" s="1"/>
  <c r="BF310" i="44" s="1"/>
  <c r="BG310" i="44" s="1"/>
  <c r="BH310" i="44" s="1"/>
  <c r="BI310" i="44" s="1"/>
  <c r="BJ310" i="44" s="1"/>
  <c r="BK310" i="44" s="1"/>
  <c r="BL310" i="44" s="1"/>
  <c r="BM310" i="44" s="1"/>
  <c r="BN310" i="44" s="1"/>
  <c r="BO310" i="44" s="1"/>
  <c r="BP310" i="44" s="1"/>
  <c r="BQ310" i="44" s="1"/>
  <c r="BR310" i="44" s="1"/>
  <c r="BS310" i="44" s="1"/>
  <c r="BT310" i="44" s="1"/>
  <c r="BU310" i="44" s="1"/>
  <c r="BV310" i="44" s="1"/>
  <c r="BW310" i="44" s="1"/>
  <c r="BX310" i="44" s="1"/>
  <c r="BY310" i="44" s="1"/>
  <c r="BZ310" i="44" s="1"/>
  <c r="CA310" i="44" s="1"/>
  <c r="CB310" i="44" s="1"/>
  <c r="CC310" i="44" s="1"/>
  <c r="CD310" i="44" s="1"/>
  <c r="CE310" i="44" s="1"/>
  <c r="AH310" i="44"/>
  <c r="AI310" i="44" s="1"/>
  <c r="AH309" i="44"/>
  <c r="AI309" i="44" s="1"/>
  <c r="AJ309" i="44" s="1"/>
  <c r="AK309" i="44" s="1"/>
  <c r="AL309" i="44" s="1"/>
  <c r="AM309" i="44" s="1"/>
  <c r="AN309" i="44" s="1"/>
  <c r="AO309" i="44" s="1"/>
  <c r="AP309" i="44" s="1"/>
  <c r="AQ309" i="44" s="1"/>
  <c r="AR309" i="44" s="1"/>
  <c r="AS309" i="44" s="1"/>
  <c r="AT309" i="44" s="1"/>
  <c r="AU309" i="44" s="1"/>
  <c r="AV309" i="44" s="1"/>
  <c r="AW309" i="44" s="1"/>
  <c r="AX309" i="44" s="1"/>
  <c r="AY309" i="44" s="1"/>
  <c r="AZ309" i="44" s="1"/>
  <c r="BA309" i="44" s="1"/>
  <c r="BB309" i="44" s="1"/>
  <c r="BC309" i="44" s="1"/>
  <c r="BD309" i="44" s="1"/>
  <c r="BE309" i="44" s="1"/>
  <c r="BF309" i="44" s="1"/>
  <c r="BG309" i="44" s="1"/>
  <c r="BH309" i="44" s="1"/>
  <c r="BI309" i="44" s="1"/>
  <c r="BJ309" i="44" s="1"/>
  <c r="BK309" i="44" s="1"/>
  <c r="BL309" i="44" s="1"/>
  <c r="BM309" i="44" s="1"/>
  <c r="BN309" i="44" s="1"/>
  <c r="BO309" i="44" s="1"/>
  <c r="BP309" i="44" s="1"/>
  <c r="BQ309" i="44" s="1"/>
  <c r="BR309" i="44" s="1"/>
  <c r="BS309" i="44" s="1"/>
  <c r="BT309" i="44" s="1"/>
  <c r="BU309" i="44" s="1"/>
  <c r="BV309" i="44" s="1"/>
  <c r="BW309" i="44" s="1"/>
  <c r="BX309" i="44" s="1"/>
  <c r="BY309" i="44" s="1"/>
  <c r="BZ309" i="44" s="1"/>
  <c r="CA309" i="44" s="1"/>
  <c r="CB309" i="44" s="1"/>
  <c r="CC309" i="44" s="1"/>
  <c r="CD309" i="44" s="1"/>
  <c r="CE309" i="44" s="1"/>
  <c r="AH308" i="44"/>
  <c r="AI308" i="44" s="1"/>
  <c r="AJ308" i="44" s="1"/>
  <c r="AK308" i="44" s="1"/>
  <c r="AL308" i="44" s="1"/>
  <c r="AM308" i="44" s="1"/>
  <c r="AN308" i="44" s="1"/>
  <c r="AO308" i="44" s="1"/>
  <c r="AP308" i="44" s="1"/>
  <c r="AQ308" i="44" s="1"/>
  <c r="AR308" i="44" s="1"/>
  <c r="AS308" i="44" s="1"/>
  <c r="AT308" i="44" s="1"/>
  <c r="AU308" i="44" s="1"/>
  <c r="AV308" i="44" s="1"/>
  <c r="AW308" i="44" s="1"/>
  <c r="AX308" i="44" s="1"/>
  <c r="AY308" i="44" s="1"/>
  <c r="AZ308" i="44" s="1"/>
  <c r="BA308" i="44" s="1"/>
  <c r="BB308" i="44" s="1"/>
  <c r="BC308" i="44" s="1"/>
  <c r="BD308" i="44" s="1"/>
  <c r="BE308" i="44" s="1"/>
  <c r="BF308" i="44" s="1"/>
  <c r="BG308" i="44" s="1"/>
  <c r="BH308" i="44" s="1"/>
  <c r="BI308" i="44" s="1"/>
  <c r="BJ308" i="44" s="1"/>
  <c r="BK308" i="44" s="1"/>
  <c r="BL308" i="44" s="1"/>
  <c r="BM308" i="44" s="1"/>
  <c r="BN308" i="44" s="1"/>
  <c r="BO308" i="44" s="1"/>
  <c r="BP308" i="44" s="1"/>
  <c r="BQ308" i="44" s="1"/>
  <c r="BR308" i="44" s="1"/>
  <c r="BS308" i="44" s="1"/>
  <c r="BT308" i="44" s="1"/>
  <c r="BU308" i="44" s="1"/>
  <c r="BV308" i="44" s="1"/>
  <c r="BW308" i="44" s="1"/>
  <c r="BX308" i="44" s="1"/>
  <c r="BY308" i="44" s="1"/>
  <c r="BZ308" i="44" s="1"/>
  <c r="CA308" i="44" s="1"/>
  <c r="CB308" i="44" s="1"/>
  <c r="CC308" i="44" s="1"/>
  <c r="CD308" i="44" s="1"/>
  <c r="CE308" i="44" s="1"/>
  <c r="AH307" i="44"/>
  <c r="AI307" i="44" s="1"/>
  <c r="AJ307" i="44" s="1"/>
  <c r="AK307" i="44" s="1"/>
  <c r="AL307" i="44" s="1"/>
  <c r="AM307" i="44" s="1"/>
  <c r="AN307" i="44" s="1"/>
  <c r="AO307" i="44" s="1"/>
  <c r="AP307" i="44" s="1"/>
  <c r="AQ307" i="44" s="1"/>
  <c r="AR307" i="44" s="1"/>
  <c r="AS307" i="44" s="1"/>
  <c r="AT307" i="44" s="1"/>
  <c r="AU307" i="44" s="1"/>
  <c r="AV307" i="44" s="1"/>
  <c r="AW307" i="44" s="1"/>
  <c r="AX307" i="44" s="1"/>
  <c r="AY307" i="44" s="1"/>
  <c r="AZ307" i="44" s="1"/>
  <c r="BA307" i="44" s="1"/>
  <c r="BB307" i="44" s="1"/>
  <c r="BC307" i="44" s="1"/>
  <c r="BD307" i="44" s="1"/>
  <c r="BE307" i="44" s="1"/>
  <c r="BF307" i="44" s="1"/>
  <c r="BG307" i="44" s="1"/>
  <c r="BH307" i="44" s="1"/>
  <c r="BI307" i="44" s="1"/>
  <c r="BJ307" i="44" s="1"/>
  <c r="BK307" i="44" s="1"/>
  <c r="BL307" i="44" s="1"/>
  <c r="BM307" i="44" s="1"/>
  <c r="BN307" i="44" s="1"/>
  <c r="BO307" i="44" s="1"/>
  <c r="BP307" i="44" s="1"/>
  <c r="BQ307" i="44" s="1"/>
  <c r="BR307" i="44" s="1"/>
  <c r="BS307" i="44" s="1"/>
  <c r="BT307" i="44" s="1"/>
  <c r="BU307" i="44" s="1"/>
  <c r="BV307" i="44" s="1"/>
  <c r="BW307" i="44" s="1"/>
  <c r="BX307" i="44" s="1"/>
  <c r="BY307" i="44" s="1"/>
  <c r="BZ307" i="44" s="1"/>
  <c r="CA307" i="44" s="1"/>
  <c r="CB307" i="44" s="1"/>
  <c r="CC307" i="44" s="1"/>
  <c r="CD307" i="44" s="1"/>
  <c r="CE307" i="44" s="1"/>
  <c r="AH306" i="44"/>
  <c r="AI306" i="44" s="1"/>
  <c r="AJ306" i="44" s="1"/>
  <c r="AK306" i="44" s="1"/>
  <c r="AL306" i="44" s="1"/>
  <c r="AM306" i="44" s="1"/>
  <c r="AN306" i="44" s="1"/>
  <c r="AO306" i="44" s="1"/>
  <c r="AP306" i="44" s="1"/>
  <c r="AQ306" i="44" s="1"/>
  <c r="AR306" i="44" s="1"/>
  <c r="AS306" i="44" s="1"/>
  <c r="AT306" i="44" s="1"/>
  <c r="AU306" i="44" s="1"/>
  <c r="AV306" i="44" s="1"/>
  <c r="AW306" i="44" s="1"/>
  <c r="AX306" i="44" s="1"/>
  <c r="AY306" i="44" s="1"/>
  <c r="AZ306" i="44" s="1"/>
  <c r="BA306" i="44" s="1"/>
  <c r="BB306" i="44" s="1"/>
  <c r="BC306" i="44" s="1"/>
  <c r="BD306" i="44" s="1"/>
  <c r="BE306" i="44" s="1"/>
  <c r="BF306" i="44" s="1"/>
  <c r="BG306" i="44" s="1"/>
  <c r="BH306" i="44" s="1"/>
  <c r="BI306" i="44" s="1"/>
  <c r="BJ306" i="44" s="1"/>
  <c r="BK306" i="44" s="1"/>
  <c r="BL306" i="44" s="1"/>
  <c r="BM306" i="44" s="1"/>
  <c r="BN306" i="44" s="1"/>
  <c r="BO306" i="44" s="1"/>
  <c r="BP306" i="44" s="1"/>
  <c r="BQ306" i="44" s="1"/>
  <c r="BR306" i="44" s="1"/>
  <c r="BS306" i="44" s="1"/>
  <c r="BT306" i="44" s="1"/>
  <c r="BU306" i="44" s="1"/>
  <c r="BV306" i="44" s="1"/>
  <c r="BW306" i="44" s="1"/>
  <c r="BX306" i="44" s="1"/>
  <c r="BY306" i="44" s="1"/>
  <c r="BZ306" i="44" s="1"/>
  <c r="CA306" i="44" s="1"/>
  <c r="CB306" i="44" s="1"/>
  <c r="CC306" i="44" s="1"/>
  <c r="CD306" i="44" s="1"/>
  <c r="CE306" i="44" s="1"/>
  <c r="AH305" i="44"/>
  <c r="AI305" i="44" s="1"/>
  <c r="AJ305" i="44" s="1"/>
  <c r="AK305" i="44" s="1"/>
  <c r="AL305" i="44" s="1"/>
  <c r="AM305" i="44" s="1"/>
  <c r="AN305" i="44" s="1"/>
  <c r="AO305" i="44" s="1"/>
  <c r="AP305" i="44" s="1"/>
  <c r="AQ305" i="44" s="1"/>
  <c r="AR305" i="44" s="1"/>
  <c r="AS305" i="44" s="1"/>
  <c r="AT305" i="44" s="1"/>
  <c r="AU305" i="44" s="1"/>
  <c r="AV305" i="44" s="1"/>
  <c r="AW305" i="44" s="1"/>
  <c r="AX305" i="44" s="1"/>
  <c r="AY305" i="44" s="1"/>
  <c r="AZ305" i="44" s="1"/>
  <c r="BA305" i="44" s="1"/>
  <c r="BB305" i="44" s="1"/>
  <c r="BC305" i="44" s="1"/>
  <c r="BD305" i="44" s="1"/>
  <c r="BE305" i="44" s="1"/>
  <c r="BF305" i="44" s="1"/>
  <c r="BG305" i="44" s="1"/>
  <c r="BH305" i="44" s="1"/>
  <c r="BI305" i="44" s="1"/>
  <c r="BJ305" i="44" s="1"/>
  <c r="BK305" i="44" s="1"/>
  <c r="BL305" i="44" s="1"/>
  <c r="BM305" i="44" s="1"/>
  <c r="BN305" i="44" s="1"/>
  <c r="BO305" i="44" s="1"/>
  <c r="BP305" i="44" s="1"/>
  <c r="BQ305" i="44" s="1"/>
  <c r="BR305" i="44" s="1"/>
  <c r="BS305" i="44" s="1"/>
  <c r="BT305" i="44" s="1"/>
  <c r="BU305" i="44" s="1"/>
  <c r="BV305" i="44" s="1"/>
  <c r="BW305" i="44" s="1"/>
  <c r="BX305" i="44" s="1"/>
  <c r="BY305" i="44" s="1"/>
  <c r="BZ305" i="44" s="1"/>
  <c r="CA305" i="44" s="1"/>
  <c r="CB305" i="44" s="1"/>
  <c r="CC305" i="44" s="1"/>
  <c r="CD305" i="44" s="1"/>
  <c r="CE305" i="44" s="1"/>
  <c r="AH304" i="44"/>
  <c r="AI304" i="44" s="1"/>
  <c r="AJ304" i="44" s="1"/>
  <c r="AK304" i="44" s="1"/>
  <c r="AL304" i="44" s="1"/>
  <c r="AM304" i="44" s="1"/>
  <c r="AN304" i="44" s="1"/>
  <c r="AO304" i="44" s="1"/>
  <c r="AP304" i="44" s="1"/>
  <c r="AQ304" i="44" s="1"/>
  <c r="AR304" i="44" s="1"/>
  <c r="AS304" i="44" s="1"/>
  <c r="AT304" i="44" s="1"/>
  <c r="AU304" i="44" s="1"/>
  <c r="AV304" i="44" s="1"/>
  <c r="AW304" i="44" s="1"/>
  <c r="AX304" i="44" s="1"/>
  <c r="AY304" i="44" s="1"/>
  <c r="AZ304" i="44" s="1"/>
  <c r="BA304" i="44" s="1"/>
  <c r="BB304" i="44" s="1"/>
  <c r="BC304" i="44" s="1"/>
  <c r="BD304" i="44" s="1"/>
  <c r="BE304" i="44" s="1"/>
  <c r="BF304" i="44" s="1"/>
  <c r="BG304" i="44" s="1"/>
  <c r="BH304" i="44" s="1"/>
  <c r="BI304" i="44" s="1"/>
  <c r="BJ304" i="44" s="1"/>
  <c r="BK304" i="44" s="1"/>
  <c r="BL304" i="44" s="1"/>
  <c r="BM304" i="44" s="1"/>
  <c r="BN304" i="44" s="1"/>
  <c r="BO304" i="44" s="1"/>
  <c r="BP304" i="44" s="1"/>
  <c r="BQ304" i="44" s="1"/>
  <c r="BR304" i="44" s="1"/>
  <c r="BS304" i="44" s="1"/>
  <c r="BT304" i="44" s="1"/>
  <c r="BU304" i="44" s="1"/>
  <c r="BV304" i="44" s="1"/>
  <c r="BW304" i="44" s="1"/>
  <c r="BX304" i="44" s="1"/>
  <c r="BY304" i="44" s="1"/>
  <c r="BZ304" i="44" s="1"/>
  <c r="CA304" i="44" s="1"/>
  <c r="CB304" i="44" s="1"/>
  <c r="CC304" i="44" s="1"/>
  <c r="CD304" i="44" s="1"/>
  <c r="CE304" i="44" s="1"/>
  <c r="F303" i="44"/>
  <c r="G303" i="44" s="1"/>
  <c r="H303" i="44" s="1"/>
  <c r="I303" i="44" s="1"/>
  <c r="J303" i="44" s="1"/>
  <c r="K303" i="44" s="1"/>
  <c r="L303" i="44" s="1"/>
  <c r="M303" i="44" s="1"/>
  <c r="N303" i="44" s="1"/>
  <c r="O303" i="44" s="1"/>
  <c r="P303" i="44" s="1"/>
  <c r="Q303" i="44" s="1"/>
  <c r="R303" i="44" s="1"/>
  <c r="S303" i="44" s="1"/>
  <c r="T303" i="44" s="1"/>
  <c r="U303" i="44" s="1"/>
  <c r="V303" i="44" s="1"/>
  <c r="W303" i="44" s="1"/>
  <c r="X303" i="44" s="1"/>
  <c r="Y303" i="44" s="1"/>
  <c r="Z303" i="44" s="1"/>
  <c r="AA303" i="44" s="1"/>
  <c r="AB303" i="44" s="1"/>
  <c r="AC303" i="44" s="1"/>
  <c r="AD303" i="44" s="1"/>
  <c r="AE303" i="44" s="1"/>
  <c r="AF303" i="44" s="1"/>
  <c r="AG303" i="44" s="1"/>
  <c r="AH303" i="44" s="1"/>
  <c r="AI303" i="44" s="1"/>
  <c r="AJ303" i="44" s="1"/>
  <c r="AK303" i="44" s="1"/>
  <c r="AL303" i="44" s="1"/>
  <c r="AM303" i="44" s="1"/>
  <c r="AN303" i="44" s="1"/>
  <c r="AO303" i="44" s="1"/>
  <c r="AP303" i="44" s="1"/>
  <c r="AQ303" i="44" s="1"/>
  <c r="AR303" i="44" s="1"/>
  <c r="AS303" i="44" s="1"/>
  <c r="AT303" i="44" s="1"/>
  <c r="AU303" i="44" s="1"/>
  <c r="AV303" i="44" s="1"/>
  <c r="AW303" i="44" s="1"/>
  <c r="AX303" i="44" s="1"/>
  <c r="AY303" i="44" s="1"/>
  <c r="AZ303" i="44" s="1"/>
  <c r="BA303" i="44" s="1"/>
  <c r="BB303" i="44" s="1"/>
  <c r="BC303" i="44" s="1"/>
  <c r="BD303" i="44" s="1"/>
  <c r="BE303" i="44" s="1"/>
  <c r="BF303" i="44" s="1"/>
  <c r="BG303" i="44" s="1"/>
  <c r="BH303" i="44" s="1"/>
  <c r="BI303" i="44" s="1"/>
  <c r="BJ303" i="44" s="1"/>
  <c r="BK303" i="44" s="1"/>
  <c r="BL303" i="44" s="1"/>
  <c r="BM303" i="44" s="1"/>
  <c r="BN303" i="44" s="1"/>
  <c r="BO303" i="44" s="1"/>
  <c r="BP303" i="44" s="1"/>
  <c r="BQ303" i="44" s="1"/>
  <c r="BR303" i="44" s="1"/>
  <c r="BS303" i="44" s="1"/>
  <c r="BT303" i="44" s="1"/>
  <c r="BU303" i="44" s="1"/>
  <c r="BV303" i="44" s="1"/>
  <c r="BW303" i="44" s="1"/>
  <c r="BX303" i="44" s="1"/>
  <c r="BY303" i="44" s="1"/>
  <c r="BZ303" i="44" s="1"/>
  <c r="CA303" i="44" s="1"/>
  <c r="CB303" i="44" s="1"/>
  <c r="CC303" i="44" s="1"/>
  <c r="CD303" i="44" s="1"/>
  <c r="CE303" i="44" s="1"/>
  <c r="AH301" i="44"/>
  <c r="AI301" i="44" s="1"/>
  <c r="AJ301" i="44" s="1"/>
  <c r="AK301" i="44" s="1"/>
  <c r="AL301" i="44" s="1"/>
  <c r="AM301" i="44" s="1"/>
  <c r="AN301" i="44" s="1"/>
  <c r="AO301" i="44" s="1"/>
  <c r="AP301" i="44" s="1"/>
  <c r="AQ301" i="44" s="1"/>
  <c r="AR301" i="44" s="1"/>
  <c r="AS301" i="44" s="1"/>
  <c r="AT301" i="44" s="1"/>
  <c r="AU301" i="44" s="1"/>
  <c r="AV301" i="44" s="1"/>
  <c r="AW301" i="44" s="1"/>
  <c r="AX301" i="44" s="1"/>
  <c r="AY301" i="44" s="1"/>
  <c r="AZ301" i="44" s="1"/>
  <c r="BA301" i="44" s="1"/>
  <c r="BB301" i="44" s="1"/>
  <c r="BC301" i="44" s="1"/>
  <c r="BD301" i="44" s="1"/>
  <c r="BE301" i="44" s="1"/>
  <c r="BF301" i="44" s="1"/>
  <c r="BG301" i="44" s="1"/>
  <c r="BH301" i="44" s="1"/>
  <c r="BI301" i="44" s="1"/>
  <c r="BJ301" i="44" s="1"/>
  <c r="BK301" i="44" s="1"/>
  <c r="BL301" i="44" s="1"/>
  <c r="BM301" i="44" s="1"/>
  <c r="BN301" i="44" s="1"/>
  <c r="BO301" i="44" s="1"/>
  <c r="BP301" i="44" s="1"/>
  <c r="BQ301" i="44" s="1"/>
  <c r="BR301" i="44" s="1"/>
  <c r="BS301" i="44" s="1"/>
  <c r="BT301" i="44" s="1"/>
  <c r="BU301" i="44" s="1"/>
  <c r="BV301" i="44" s="1"/>
  <c r="BW301" i="44" s="1"/>
  <c r="BX301" i="44" s="1"/>
  <c r="BY301" i="44" s="1"/>
  <c r="BZ301" i="44" s="1"/>
  <c r="CA301" i="44" s="1"/>
  <c r="CB301" i="44" s="1"/>
  <c r="CC301" i="44" s="1"/>
  <c r="CD301" i="44" s="1"/>
  <c r="CE301" i="44" s="1"/>
  <c r="AH300" i="44"/>
  <c r="AI300" i="44" s="1"/>
  <c r="AJ300" i="44" s="1"/>
  <c r="AK300" i="44" s="1"/>
  <c r="AL300" i="44" s="1"/>
  <c r="AM300" i="44" s="1"/>
  <c r="AN300" i="44" s="1"/>
  <c r="AO300" i="44" s="1"/>
  <c r="AP300" i="44" s="1"/>
  <c r="AQ300" i="44" s="1"/>
  <c r="AR300" i="44" s="1"/>
  <c r="AS300" i="44" s="1"/>
  <c r="AT300" i="44" s="1"/>
  <c r="AU300" i="44" s="1"/>
  <c r="AV300" i="44" s="1"/>
  <c r="AW300" i="44" s="1"/>
  <c r="AX300" i="44" s="1"/>
  <c r="AY300" i="44" s="1"/>
  <c r="AZ300" i="44" s="1"/>
  <c r="BA300" i="44" s="1"/>
  <c r="BB300" i="44" s="1"/>
  <c r="BC300" i="44" s="1"/>
  <c r="BD300" i="44" s="1"/>
  <c r="BE300" i="44" s="1"/>
  <c r="BF300" i="44" s="1"/>
  <c r="BG300" i="44" s="1"/>
  <c r="BH300" i="44" s="1"/>
  <c r="BI300" i="44" s="1"/>
  <c r="BJ300" i="44" s="1"/>
  <c r="BK300" i="44" s="1"/>
  <c r="BL300" i="44" s="1"/>
  <c r="BM300" i="44" s="1"/>
  <c r="BN300" i="44" s="1"/>
  <c r="BO300" i="44" s="1"/>
  <c r="BP300" i="44" s="1"/>
  <c r="BQ300" i="44" s="1"/>
  <c r="BR300" i="44" s="1"/>
  <c r="BS300" i="44" s="1"/>
  <c r="BT300" i="44" s="1"/>
  <c r="BU300" i="44" s="1"/>
  <c r="BV300" i="44" s="1"/>
  <c r="BW300" i="44" s="1"/>
  <c r="BX300" i="44" s="1"/>
  <c r="BY300" i="44" s="1"/>
  <c r="BZ300" i="44" s="1"/>
  <c r="CA300" i="44" s="1"/>
  <c r="CB300" i="44" s="1"/>
  <c r="CC300" i="44" s="1"/>
  <c r="CD300" i="44" s="1"/>
  <c r="CE300" i="44" s="1"/>
  <c r="AH299" i="44"/>
  <c r="AI299" i="44" s="1"/>
  <c r="AJ299" i="44" s="1"/>
  <c r="AK299" i="44" s="1"/>
  <c r="AL299" i="44" s="1"/>
  <c r="AM299" i="44" s="1"/>
  <c r="AN299" i="44" s="1"/>
  <c r="AO299" i="44" s="1"/>
  <c r="AP299" i="44" s="1"/>
  <c r="AQ299" i="44" s="1"/>
  <c r="AR299" i="44" s="1"/>
  <c r="AS299" i="44" s="1"/>
  <c r="AT299" i="44" s="1"/>
  <c r="AU299" i="44" s="1"/>
  <c r="AV299" i="44" s="1"/>
  <c r="AW299" i="44" s="1"/>
  <c r="AX299" i="44" s="1"/>
  <c r="AY299" i="44" s="1"/>
  <c r="AZ299" i="44" s="1"/>
  <c r="BA299" i="44" s="1"/>
  <c r="BB299" i="44" s="1"/>
  <c r="BC299" i="44" s="1"/>
  <c r="BD299" i="44" s="1"/>
  <c r="BE299" i="44" s="1"/>
  <c r="BF299" i="44" s="1"/>
  <c r="BG299" i="44" s="1"/>
  <c r="BH299" i="44" s="1"/>
  <c r="BI299" i="44" s="1"/>
  <c r="BJ299" i="44" s="1"/>
  <c r="BK299" i="44" s="1"/>
  <c r="BL299" i="44" s="1"/>
  <c r="BM299" i="44" s="1"/>
  <c r="BN299" i="44" s="1"/>
  <c r="BO299" i="44" s="1"/>
  <c r="BP299" i="44" s="1"/>
  <c r="BQ299" i="44" s="1"/>
  <c r="BR299" i="44" s="1"/>
  <c r="BS299" i="44" s="1"/>
  <c r="BT299" i="44" s="1"/>
  <c r="BU299" i="44" s="1"/>
  <c r="BV299" i="44" s="1"/>
  <c r="BW299" i="44" s="1"/>
  <c r="BX299" i="44" s="1"/>
  <c r="BY299" i="44" s="1"/>
  <c r="BZ299" i="44" s="1"/>
  <c r="CA299" i="44" s="1"/>
  <c r="CB299" i="44" s="1"/>
  <c r="CC299" i="44" s="1"/>
  <c r="CD299" i="44" s="1"/>
  <c r="CE299" i="44" s="1"/>
  <c r="AH298" i="44"/>
  <c r="AI298" i="44" s="1"/>
  <c r="AJ298" i="44" s="1"/>
  <c r="AK298" i="44" s="1"/>
  <c r="AL298" i="44" s="1"/>
  <c r="AM298" i="44" s="1"/>
  <c r="AN298" i="44" s="1"/>
  <c r="AO298" i="44" s="1"/>
  <c r="AP298" i="44" s="1"/>
  <c r="AQ298" i="44" s="1"/>
  <c r="AR298" i="44" s="1"/>
  <c r="AS298" i="44" s="1"/>
  <c r="AT298" i="44" s="1"/>
  <c r="AU298" i="44" s="1"/>
  <c r="AV298" i="44" s="1"/>
  <c r="AW298" i="44" s="1"/>
  <c r="AX298" i="44" s="1"/>
  <c r="AY298" i="44" s="1"/>
  <c r="AZ298" i="44" s="1"/>
  <c r="BA298" i="44" s="1"/>
  <c r="BB298" i="44" s="1"/>
  <c r="BC298" i="44" s="1"/>
  <c r="BD298" i="44" s="1"/>
  <c r="BE298" i="44" s="1"/>
  <c r="BF298" i="44" s="1"/>
  <c r="BG298" i="44" s="1"/>
  <c r="BH298" i="44" s="1"/>
  <c r="BI298" i="44" s="1"/>
  <c r="BJ298" i="44" s="1"/>
  <c r="BK298" i="44" s="1"/>
  <c r="BL298" i="44" s="1"/>
  <c r="BM298" i="44" s="1"/>
  <c r="BN298" i="44" s="1"/>
  <c r="BO298" i="44" s="1"/>
  <c r="BP298" i="44" s="1"/>
  <c r="BQ298" i="44" s="1"/>
  <c r="BR298" i="44" s="1"/>
  <c r="BS298" i="44" s="1"/>
  <c r="BT298" i="44" s="1"/>
  <c r="BU298" i="44" s="1"/>
  <c r="BV298" i="44" s="1"/>
  <c r="BW298" i="44" s="1"/>
  <c r="BX298" i="44" s="1"/>
  <c r="BY298" i="44" s="1"/>
  <c r="BZ298" i="44" s="1"/>
  <c r="CA298" i="44" s="1"/>
  <c r="CB298" i="44" s="1"/>
  <c r="CC298" i="44" s="1"/>
  <c r="CD298" i="44" s="1"/>
  <c r="CE298" i="44" s="1"/>
  <c r="AH297" i="44"/>
  <c r="AI297" i="44" s="1"/>
  <c r="AJ297" i="44" s="1"/>
  <c r="AK297" i="44" s="1"/>
  <c r="AL297" i="44" s="1"/>
  <c r="AM297" i="44" s="1"/>
  <c r="AN297" i="44" s="1"/>
  <c r="AO297" i="44" s="1"/>
  <c r="AP297" i="44" s="1"/>
  <c r="AQ297" i="44" s="1"/>
  <c r="AR297" i="44" s="1"/>
  <c r="AS297" i="44" s="1"/>
  <c r="AT297" i="44" s="1"/>
  <c r="AU297" i="44" s="1"/>
  <c r="AV297" i="44" s="1"/>
  <c r="AW297" i="44" s="1"/>
  <c r="AX297" i="44" s="1"/>
  <c r="AY297" i="44" s="1"/>
  <c r="AZ297" i="44" s="1"/>
  <c r="BA297" i="44" s="1"/>
  <c r="BB297" i="44" s="1"/>
  <c r="BC297" i="44" s="1"/>
  <c r="BD297" i="44" s="1"/>
  <c r="BE297" i="44" s="1"/>
  <c r="BF297" i="44" s="1"/>
  <c r="BG297" i="44" s="1"/>
  <c r="BH297" i="44" s="1"/>
  <c r="BI297" i="44" s="1"/>
  <c r="BJ297" i="44" s="1"/>
  <c r="BK297" i="44" s="1"/>
  <c r="BL297" i="44" s="1"/>
  <c r="BM297" i="44" s="1"/>
  <c r="BN297" i="44" s="1"/>
  <c r="BO297" i="44" s="1"/>
  <c r="BP297" i="44" s="1"/>
  <c r="BQ297" i="44" s="1"/>
  <c r="BR297" i="44" s="1"/>
  <c r="BS297" i="44" s="1"/>
  <c r="BT297" i="44" s="1"/>
  <c r="BU297" i="44" s="1"/>
  <c r="BV297" i="44" s="1"/>
  <c r="BW297" i="44" s="1"/>
  <c r="BX297" i="44" s="1"/>
  <c r="BY297" i="44" s="1"/>
  <c r="BZ297" i="44" s="1"/>
  <c r="CA297" i="44" s="1"/>
  <c r="CB297" i="44" s="1"/>
  <c r="CC297" i="44" s="1"/>
  <c r="CD297" i="44" s="1"/>
  <c r="CE297" i="44" s="1"/>
  <c r="AH296" i="44"/>
  <c r="AI296" i="44" s="1"/>
  <c r="AJ296" i="44" s="1"/>
  <c r="AK296" i="44" s="1"/>
  <c r="AL296" i="44" s="1"/>
  <c r="AM296" i="44" s="1"/>
  <c r="AN296" i="44" s="1"/>
  <c r="AO296" i="44" s="1"/>
  <c r="AP296" i="44" s="1"/>
  <c r="AQ296" i="44" s="1"/>
  <c r="AR296" i="44" s="1"/>
  <c r="AS296" i="44" s="1"/>
  <c r="AT296" i="44" s="1"/>
  <c r="AU296" i="44" s="1"/>
  <c r="AV296" i="44" s="1"/>
  <c r="AW296" i="44" s="1"/>
  <c r="AX296" i="44" s="1"/>
  <c r="AY296" i="44" s="1"/>
  <c r="AZ296" i="44" s="1"/>
  <c r="BA296" i="44" s="1"/>
  <c r="BB296" i="44" s="1"/>
  <c r="BC296" i="44" s="1"/>
  <c r="BD296" i="44" s="1"/>
  <c r="BE296" i="44" s="1"/>
  <c r="BF296" i="44" s="1"/>
  <c r="BG296" i="44" s="1"/>
  <c r="BH296" i="44" s="1"/>
  <c r="BI296" i="44" s="1"/>
  <c r="BJ296" i="44" s="1"/>
  <c r="BK296" i="44" s="1"/>
  <c r="BL296" i="44" s="1"/>
  <c r="BM296" i="44" s="1"/>
  <c r="BN296" i="44" s="1"/>
  <c r="BO296" i="44" s="1"/>
  <c r="BP296" i="44" s="1"/>
  <c r="BQ296" i="44" s="1"/>
  <c r="BR296" i="44" s="1"/>
  <c r="BS296" i="44" s="1"/>
  <c r="BT296" i="44" s="1"/>
  <c r="BU296" i="44" s="1"/>
  <c r="BV296" i="44" s="1"/>
  <c r="BW296" i="44" s="1"/>
  <c r="BX296" i="44" s="1"/>
  <c r="BY296" i="44" s="1"/>
  <c r="BZ296" i="44" s="1"/>
  <c r="CA296" i="44" s="1"/>
  <c r="CB296" i="44" s="1"/>
  <c r="CC296" i="44" s="1"/>
  <c r="CD296" i="44" s="1"/>
  <c r="CE296" i="44" s="1"/>
  <c r="AH295" i="44"/>
  <c r="AI295" i="44" s="1"/>
  <c r="AJ295" i="44" s="1"/>
  <c r="AK295" i="44" s="1"/>
  <c r="AL295" i="44" s="1"/>
  <c r="AM295" i="44" s="1"/>
  <c r="AN295" i="44" s="1"/>
  <c r="AO295" i="44" s="1"/>
  <c r="AP295" i="44" s="1"/>
  <c r="AQ295" i="44" s="1"/>
  <c r="AR295" i="44" s="1"/>
  <c r="AS295" i="44" s="1"/>
  <c r="AT295" i="44" s="1"/>
  <c r="AU295" i="44" s="1"/>
  <c r="AV295" i="44" s="1"/>
  <c r="AW295" i="44" s="1"/>
  <c r="AX295" i="44" s="1"/>
  <c r="AY295" i="44" s="1"/>
  <c r="AZ295" i="44" s="1"/>
  <c r="BA295" i="44" s="1"/>
  <c r="BB295" i="44" s="1"/>
  <c r="BC295" i="44" s="1"/>
  <c r="BD295" i="44" s="1"/>
  <c r="BE295" i="44" s="1"/>
  <c r="BF295" i="44" s="1"/>
  <c r="BG295" i="44" s="1"/>
  <c r="BH295" i="44" s="1"/>
  <c r="BI295" i="44" s="1"/>
  <c r="BJ295" i="44" s="1"/>
  <c r="BK295" i="44" s="1"/>
  <c r="BL295" i="44" s="1"/>
  <c r="BM295" i="44" s="1"/>
  <c r="BN295" i="44" s="1"/>
  <c r="BO295" i="44" s="1"/>
  <c r="BP295" i="44" s="1"/>
  <c r="BQ295" i="44" s="1"/>
  <c r="BR295" i="44" s="1"/>
  <c r="BS295" i="44" s="1"/>
  <c r="BT295" i="44" s="1"/>
  <c r="BU295" i="44" s="1"/>
  <c r="BV295" i="44" s="1"/>
  <c r="BW295" i="44" s="1"/>
  <c r="BX295" i="44" s="1"/>
  <c r="BY295" i="44" s="1"/>
  <c r="BZ295" i="44" s="1"/>
  <c r="CA295" i="44" s="1"/>
  <c r="CB295" i="44" s="1"/>
  <c r="CC295" i="44" s="1"/>
  <c r="CD295" i="44" s="1"/>
  <c r="CE295" i="44" s="1"/>
  <c r="AH294" i="44"/>
  <c r="AI294" i="44" s="1"/>
  <c r="AJ294" i="44" s="1"/>
  <c r="AK294" i="44" s="1"/>
  <c r="AL294" i="44" s="1"/>
  <c r="AM294" i="44" s="1"/>
  <c r="AN294" i="44" s="1"/>
  <c r="AO294" i="44" s="1"/>
  <c r="AP294" i="44" s="1"/>
  <c r="AQ294" i="44" s="1"/>
  <c r="AR294" i="44" s="1"/>
  <c r="AS294" i="44" s="1"/>
  <c r="AT294" i="44" s="1"/>
  <c r="AU294" i="44" s="1"/>
  <c r="AV294" i="44" s="1"/>
  <c r="AW294" i="44" s="1"/>
  <c r="AX294" i="44" s="1"/>
  <c r="AY294" i="44" s="1"/>
  <c r="AZ294" i="44" s="1"/>
  <c r="BA294" i="44" s="1"/>
  <c r="BB294" i="44" s="1"/>
  <c r="BC294" i="44" s="1"/>
  <c r="BD294" i="44" s="1"/>
  <c r="BE294" i="44" s="1"/>
  <c r="BF294" i="44" s="1"/>
  <c r="BG294" i="44" s="1"/>
  <c r="BH294" i="44" s="1"/>
  <c r="BI294" i="44" s="1"/>
  <c r="BJ294" i="44" s="1"/>
  <c r="BK294" i="44" s="1"/>
  <c r="BL294" i="44" s="1"/>
  <c r="BM294" i="44" s="1"/>
  <c r="BN294" i="44" s="1"/>
  <c r="BO294" i="44" s="1"/>
  <c r="BP294" i="44" s="1"/>
  <c r="BQ294" i="44" s="1"/>
  <c r="BR294" i="44" s="1"/>
  <c r="BS294" i="44" s="1"/>
  <c r="BT294" i="44" s="1"/>
  <c r="BU294" i="44" s="1"/>
  <c r="BV294" i="44" s="1"/>
  <c r="BW294" i="44" s="1"/>
  <c r="BX294" i="44" s="1"/>
  <c r="BY294" i="44" s="1"/>
  <c r="BZ294" i="44" s="1"/>
  <c r="CA294" i="44" s="1"/>
  <c r="CB294" i="44" s="1"/>
  <c r="CC294" i="44" s="1"/>
  <c r="CD294" i="44" s="1"/>
  <c r="CE294" i="44" s="1"/>
  <c r="AH292" i="44"/>
  <c r="AI292" i="44" s="1"/>
  <c r="AJ292" i="44" s="1"/>
  <c r="AK292" i="44" s="1"/>
  <c r="AL292" i="44" s="1"/>
  <c r="AM292" i="44" s="1"/>
  <c r="AN292" i="44" s="1"/>
  <c r="AO292" i="44" s="1"/>
  <c r="AP292" i="44" s="1"/>
  <c r="AQ292" i="44" s="1"/>
  <c r="AR292" i="44" s="1"/>
  <c r="AS292" i="44" s="1"/>
  <c r="AT292" i="44" s="1"/>
  <c r="AU292" i="44" s="1"/>
  <c r="AV292" i="44" s="1"/>
  <c r="AW292" i="44" s="1"/>
  <c r="AX292" i="44" s="1"/>
  <c r="AY292" i="44" s="1"/>
  <c r="AZ292" i="44" s="1"/>
  <c r="BA292" i="44" s="1"/>
  <c r="BB292" i="44" s="1"/>
  <c r="BC292" i="44" s="1"/>
  <c r="BD292" i="44" s="1"/>
  <c r="BE292" i="44" s="1"/>
  <c r="BF292" i="44" s="1"/>
  <c r="BG292" i="44" s="1"/>
  <c r="BH292" i="44" s="1"/>
  <c r="BI292" i="44" s="1"/>
  <c r="BJ292" i="44" s="1"/>
  <c r="BK292" i="44" s="1"/>
  <c r="BL292" i="44" s="1"/>
  <c r="BM292" i="44" s="1"/>
  <c r="BN292" i="44" s="1"/>
  <c r="BO292" i="44" s="1"/>
  <c r="BP292" i="44" s="1"/>
  <c r="BQ292" i="44" s="1"/>
  <c r="BR292" i="44" s="1"/>
  <c r="BS292" i="44" s="1"/>
  <c r="BT292" i="44" s="1"/>
  <c r="BU292" i="44" s="1"/>
  <c r="BV292" i="44" s="1"/>
  <c r="BW292" i="44" s="1"/>
  <c r="BX292" i="44" s="1"/>
  <c r="BY292" i="44" s="1"/>
  <c r="BZ292" i="44" s="1"/>
  <c r="CA292" i="44" s="1"/>
  <c r="CB292" i="44" s="1"/>
  <c r="CC292" i="44" s="1"/>
  <c r="CD292" i="44" s="1"/>
  <c r="CE292" i="44" s="1"/>
  <c r="AH291" i="44"/>
  <c r="AI291" i="44" s="1"/>
  <c r="AJ291" i="44" s="1"/>
  <c r="AK291" i="44" s="1"/>
  <c r="AL291" i="44" s="1"/>
  <c r="AM291" i="44" s="1"/>
  <c r="AN291" i="44" s="1"/>
  <c r="AO291" i="44" s="1"/>
  <c r="AP291" i="44" s="1"/>
  <c r="AQ291" i="44" s="1"/>
  <c r="AR291" i="44" s="1"/>
  <c r="AS291" i="44" s="1"/>
  <c r="AT291" i="44" s="1"/>
  <c r="AU291" i="44" s="1"/>
  <c r="AV291" i="44" s="1"/>
  <c r="AW291" i="44" s="1"/>
  <c r="AX291" i="44" s="1"/>
  <c r="AY291" i="44" s="1"/>
  <c r="AZ291" i="44" s="1"/>
  <c r="BA291" i="44" s="1"/>
  <c r="BB291" i="44" s="1"/>
  <c r="BC291" i="44" s="1"/>
  <c r="BD291" i="44" s="1"/>
  <c r="BE291" i="44" s="1"/>
  <c r="BF291" i="44" s="1"/>
  <c r="BG291" i="44" s="1"/>
  <c r="BH291" i="44" s="1"/>
  <c r="BI291" i="44" s="1"/>
  <c r="BJ291" i="44" s="1"/>
  <c r="BK291" i="44" s="1"/>
  <c r="BL291" i="44" s="1"/>
  <c r="BM291" i="44" s="1"/>
  <c r="BN291" i="44" s="1"/>
  <c r="BO291" i="44" s="1"/>
  <c r="BP291" i="44" s="1"/>
  <c r="BQ291" i="44" s="1"/>
  <c r="BR291" i="44" s="1"/>
  <c r="BS291" i="44" s="1"/>
  <c r="BT291" i="44" s="1"/>
  <c r="BU291" i="44" s="1"/>
  <c r="BV291" i="44" s="1"/>
  <c r="BW291" i="44" s="1"/>
  <c r="BX291" i="44" s="1"/>
  <c r="BY291" i="44" s="1"/>
  <c r="BZ291" i="44" s="1"/>
  <c r="CA291" i="44" s="1"/>
  <c r="CB291" i="44" s="1"/>
  <c r="CC291" i="44" s="1"/>
  <c r="CD291" i="44" s="1"/>
  <c r="CE291" i="44" s="1"/>
  <c r="AH289" i="44"/>
  <c r="AI289" i="44" s="1"/>
  <c r="AJ289" i="44" s="1"/>
  <c r="AK289" i="44" s="1"/>
  <c r="AL289" i="44" s="1"/>
  <c r="AM289" i="44" s="1"/>
  <c r="AN289" i="44" s="1"/>
  <c r="AO289" i="44" s="1"/>
  <c r="AP289" i="44" s="1"/>
  <c r="AQ289" i="44" s="1"/>
  <c r="AR289" i="44" s="1"/>
  <c r="AS289" i="44" s="1"/>
  <c r="AT289" i="44" s="1"/>
  <c r="AU289" i="44" s="1"/>
  <c r="AV289" i="44" s="1"/>
  <c r="AW289" i="44" s="1"/>
  <c r="AX289" i="44" s="1"/>
  <c r="AY289" i="44" s="1"/>
  <c r="AZ289" i="44" s="1"/>
  <c r="BA289" i="44" s="1"/>
  <c r="BB289" i="44" s="1"/>
  <c r="BC289" i="44" s="1"/>
  <c r="BD289" i="44" s="1"/>
  <c r="BE289" i="44" s="1"/>
  <c r="BF289" i="44" s="1"/>
  <c r="BG289" i="44" s="1"/>
  <c r="BH289" i="44" s="1"/>
  <c r="BI289" i="44" s="1"/>
  <c r="BJ289" i="44" s="1"/>
  <c r="BK289" i="44" s="1"/>
  <c r="BL289" i="44" s="1"/>
  <c r="BM289" i="44" s="1"/>
  <c r="BN289" i="44" s="1"/>
  <c r="BO289" i="44" s="1"/>
  <c r="BP289" i="44" s="1"/>
  <c r="BQ289" i="44" s="1"/>
  <c r="BR289" i="44" s="1"/>
  <c r="BS289" i="44" s="1"/>
  <c r="BT289" i="44" s="1"/>
  <c r="BU289" i="44" s="1"/>
  <c r="BV289" i="44" s="1"/>
  <c r="BW289" i="44" s="1"/>
  <c r="BX289" i="44" s="1"/>
  <c r="BY289" i="44" s="1"/>
  <c r="BZ289" i="44" s="1"/>
  <c r="CA289" i="44" s="1"/>
  <c r="CB289" i="44" s="1"/>
  <c r="CC289" i="44" s="1"/>
  <c r="CD289" i="44" s="1"/>
  <c r="CE289" i="44" s="1"/>
  <c r="AV288" i="44"/>
  <c r="AW288" i="44" s="1"/>
  <c r="AX288" i="44" s="1"/>
  <c r="AY288" i="44" s="1"/>
  <c r="AZ288" i="44" s="1"/>
  <c r="BA288" i="44" s="1"/>
  <c r="BB288" i="44" s="1"/>
  <c r="BC288" i="44" s="1"/>
  <c r="BD288" i="44" s="1"/>
  <c r="BE288" i="44" s="1"/>
  <c r="BF288" i="44" s="1"/>
  <c r="BG288" i="44" s="1"/>
  <c r="BH288" i="44" s="1"/>
  <c r="BI288" i="44" s="1"/>
  <c r="BJ288" i="44" s="1"/>
  <c r="BK288" i="44" s="1"/>
  <c r="BL288" i="44" s="1"/>
  <c r="BM288" i="44" s="1"/>
  <c r="BN288" i="44" s="1"/>
  <c r="BO288" i="44" s="1"/>
  <c r="BP288" i="44" s="1"/>
  <c r="BQ288" i="44" s="1"/>
  <c r="BR288" i="44" s="1"/>
  <c r="BS288" i="44" s="1"/>
  <c r="BT288" i="44" s="1"/>
  <c r="BU288" i="44" s="1"/>
  <c r="BV288" i="44" s="1"/>
  <c r="BW288" i="44" s="1"/>
  <c r="BX288" i="44" s="1"/>
  <c r="BY288" i="44" s="1"/>
  <c r="BZ288" i="44" s="1"/>
  <c r="CA288" i="44" s="1"/>
  <c r="CB288" i="44" s="1"/>
  <c r="CC288" i="44" s="1"/>
  <c r="CD288" i="44" s="1"/>
  <c r="CE288" i="44" s="1"/>
  <c r="AH288" i="44"/>
  <c r="AI288" i="44" s="1"/>
  <c r="AJ288" i="44" s="1"/>
  <c r="AK288" i="44" s="1"/>
  <c r="AL288" i="44" s="1"/>
  <c r="AM288" i="44" s="1"/>
  <c r="AN288" i="44" s="1"/>
  <c r="AO288" i="44" s="1"/>
  <c r="AP288" i="44" s="1"/>
  <c r="AQ288" i="44" s="1"/>
  <c r="AR288" i="44" s="1"/>
  <c r="AS288" i="44" s="1"/>
  <c r="AT288" i="44" s="1"/>
  <c r="AU288" i="44" s="1"/>
  <c r="AH287" i="44"/>
  <c r="AI287" i="44" s="1"/>
  <c r="AJ287" i="44" s="1"/>
  <c r="AK287" i="44" s="1"/>
  <c r="AL287" i="44" s="1"/>
  <c r="AM287" i="44" s="1"/>
  <c r="AN287" i="44" s="1"/>
  <c r="AO287" i="44" s="1"/>
  <c r="AP287" i="44" s="1"/>
  <c r="AQ287" i="44" s="1"/>
  <c r="AR287" i="44" s="1"/>
  <c r="AS287" i="44" s="1"/>
  <c r="AT287" i="44" s="1"/>
  <c r="AU287" i="44" s="1"/>
  <c r="AV287" i="44" s="1"/>
  <c r="AW287" i="44" s="1"/>
  <c r="AX287" i="44" s="1"/>
  <c r="AY287" i="44" s="1"/>
  <c r="AZ287" i="44" s="1"/>
  <c r="BA287" i="44" s="1"/>
  <c r="BB287" i="44" s="1"/>
  <c r="BC287" i="44" s="1"/>
  <c r="BD287" i="44" s="1"/>
  <c r="BE287" i="44" s="1"/>
  <c r="BF287" i="44" s="1"/>
  <c r="BG287" i="44" s="1"/>
  <c r="BH287" i="44" s="1"/>
  <c r="BI287" i="44" s="1"/>
  <c r="BJ287" i="44" s="1"/>
  <c r="BK287" i="44" s="1"/>
  <c r="BL287" i="44" s="1"/>
  <c r="BM287" i="44" s="1"/>
  <c r="BN287" i="44" s="1"/>
  <c r="BO287" i="44" s="1"/>
  <c r="BP287" i="44" s="1"/>
  <c r="BQ287" i="44" s="1"/>
  <c r="BR287" i="44" s="1"/>
  <c r="BS287" i="44" s="1"/>
  <c r="BT287" i="44" s="1"/>
  <c r="BU287" i="44" s="1"/>
  <c r="BV287" i="44" s="1"/>
  <c r="BW287" i="44" s="1"/>
  <c r="BX287" i="44" s="1"/>
  <c r="BY287" i="44" s="1"/>
  <c r="BZ287" i="44" s="1"/>
  <c r="CA287" i="44" s="1"/>
  <c r="CB287" i="44" s="1"/>
  <c r="CC287" i="44" s="1"/>
  <c r="CD287" i="44" s="1"/>
  <c r="CE287" i="44" s="1"/>
  <c r="AH286" i="44"/>
  <c r="AI286" i="44" s="1"/>
  <c r="AJ286" i="44" s="1"/>
  <c r="AK286" i="44" s="1"/>
  <c r="AL286" i="44" s="1"/>
  <c r="AM286" i="44" s="1"/>
  <c r="AN286" i="44" s="1"/>
  <c r="AO286" i="44" s="1"/>
  <c r="AP286" i="44" s="1"/>
  <c r="AQ286" i="44" s="1"/>
  <c r="AR286" i="44" s="1"/>
  <c r="AS286" i="44" s="1"/>
  <c r="AT286" i="44" s="1"/>
  <c r="AU286" i="44" s="1"/>
  <c r="AV286" i="44" s="1"/>
  <c r="AW286" i="44" s="1"/>
  <c r="AX286" i="44" s="1"/>
  <c r="AY286" i="44" s="1"/>
  <c r="AZ286" i="44" s="1"/>
  <c r="BA286" i="44" s="1"/>
  <c r="BB286" i="44" s="1"/>
  <c r="BC286" i="44" s="1"/>
  <c r="BD286" i="44" s="1"/>
  <c r="BE286" i="44" s="1"/>
  <c r="BF286" i="44" s="1"/>
  <c r="BG286" i="44" s="1"/>
  <c r="BH286" i="44" s="1"/>
  <c r="BI286" i="44" s="1"/>
  <c r="BJ286" i="44" s="1"/>
  <c r="BK286" i="44" s="1"/>
  <c r="BL286" i="44" s="1"/>
  <c r="BM286" i="44" s="1"/>
  <c r="BN286" i="44" s="1"/>
  <c r="BO286" i="44" s="1"/>
  <c r="BP286" i="44" s="1"/>
  <c r="BQ286" i="44" s="1"/>
  <c r="BR286" i="44" s="1"/>
  <c r="BS286" i="44" s="1"/>
  <c r="BT286" i="44" s="1"/>
  <c r="BU286" i="44" s="1"/>
  <c r="BV286" i="44" s="1"/>
  <c r="BW286" i="44" s="1"/>
  <c r="BX286" i="44" s="1"/>
  <c r="BY286" i="44" s="1"/>
  <c r="BZ286" i="44" s="1"/>
  <c r="CA286" i="44" s="1"/>
  <c r="CB286" i="44" s="1"/>
  <c r="CC286" i="44" s="1"/>
  <c r="CD286" i="44" s="1"/>
  <c r="CE286" i="44" s="1"/>
  <c r="AH285" i="44"/>
  <c r="AI285" i="44" s="1"/>
  <c r="AJ285" i="44" s="1"/>
  <c r="AK285" i="44" s="1"/>
  <c r="AL285" i="44" s="1"/>
  <c r="AM285" i="44" s="1"/>
  <c r="AN285" i="44" s="1"/>
  <c r="AO285" i="44" s="1"/>
  <c r="AP285" i="44" s="1"/>
  <c r="AQ285" i="44" s="1"/>
  <c r="AR285" i="44" s="1"/>
  <c r="AS285" i="44" s="1"/>
  <c r="AT285" i="44" s="1"/>
  <c r="AU285" i="44" s="1"/>
  <c r="AV285" i="44" s="1"/>
  <c r="AW285" i="44" s="1"/>
  <c r="AX285" i="44" s="1"/>
  <c r="AY285" i="44" s="1"/>
  <c r="AZ285" i="44" s="1"/>
  <c r="BA285" i="44" s="1"/>
  <c r="BB285" i="44" s="1"/>
  <c r="BC285" i="44" s="1"/>
  <c r="BD285" i="44" s="1"/>
  <c r="BE285" i="44" s="1"/>
  <c r="BF285" i="44" s="1"/>
  <c r="BG285" i="44" s="1"/>
  <c r="BH285" i="44" s="1"/>
  <c r="BI285" i="44" s="1"/>
  <c r="BJ285" i="44" s="1"/>
  <c r="BK285" i="44" s="1"/>
  <c r="BL285" i="44" s="1"/>
  <c r="BM285" i="44" s="1"/>
  <c r="BN285" i="44" s="1"/>
  <c r="BO285" i="44" s="1"/>
  <c r="BP285" i="44" s="1"/>
  <c r="BQ285" i="44" s="1"/>
  <c r="BR285" i="44" s="1"/>
  <c r="BS285" i="44" s="1"/>
  <c r="BT285" i="44" s="1"/>
  <c r="BU285" i="44" s="1"/>
  <c r="BV285" i="44" s="1"/>
  <c r="BW285" i="44" s="1"/>
  <c r="BX285" i="44" s="1"/>
  <c r="BY285" i="44" s="1"/>
  <c r="BZ285" i="44" s="1"/>
  <c r="CA285" i="44" s="1"/>
  <c r="CB285" i="44" s="1"/>
  <c r="CC285" i="44" s="1"/>
  <c r="CD285" i="44" s="1"/>
  <c r="CE285" i="44" s="1"/>
  <c r="AH284" i="44"/>
  <c r="AI284" i="44" s="1"/>
  <c r="AJ284" i="44" s="1"/>
  <c r="AK284" i="44" s="1"/>
  <c r="AL284" i="44" s="1"/>
  <c r="AM284" i="44" s="1"/>
  <c r="AN284" i="44" s="1"/>
  <c r="AO284" i="44" s="1"/>
  <c r="AP284" i="44" s="1"/>
  <c r="AQ284" i="44" s="1"/>
  <c r="AR284" i="44" s="1"/>
  <c r="AS284" i="44" s="1"/>
  <c r="AT284" i="44" s="1"/>
  <c r="AU284" i="44" s="1"/>
  <c r="AV284" i="44" s="1"/>
  <c r="AW284" i="44" s="1"/>
  <c r="AX284" i="44" s="1"/>
  <c r="AY284" i="44" s="1"/>
  <c r="AZ284" i="44" s="1"/>
  <c r="BA284" i="44" s="1"/>
  <c r="BB284" i="44" s="1"/>
  <c r="BC284" i="44" s="1"/>
  <c r="BD284" i="44" s="1"/>
  <c r="BE284" i="44" s="1"/>
  <c r="BF284" i="44" s="1"/>
  <c r="BG284" i="44" s="1"/>
  <c r="BH284" i="44" s="1"/>
  <c r="BI284" i="44" s="1"/>
  <c r="BJ284" i="44" s="1"/>
  <c r="BK284" i="44" s="1"/>
  <c r="BL284" i="44" s="1"/>
  <c r="BM284" i="44" s="1"/>
  <c r="BN284" i="44" s="1"/>
  <c r="BO284" i="44" s="1"/>
  <c r="BP284" i="44" s="1"/>
  <c r="BQ284" i="44" s="1"/>
  <c r="BR284" i="44" s="1"/>
  <c r="BS284" i="44" s="1"/>
  <c r="BT284" i="44" s="1"/>
  <c r="BU284" i="44" s="1"/>
  <c r="BV284" i="44" s="1"/>
  <c r="BW284" i="44" s="1"/>
  <c r="BX284" i="44" s="1"/>
  <c r="BY284" i="44" s="1"/>
  <c r="BZ284" i="44" s="1"/>
  <c r="CA284" i="44" s="1"/>
  <c r="CB284" i="44" s="1"/>
  <c r="CC284" i="44" s="1"/>
  <c r="CD284" i="44" s="1"/>
  <c r="CE284" i="44" s="1"/>
  <c r="AH283" i="44"/>
  <c r="AI283" i="44" s="1"/>
  <c r="AJ283" i="44" s="1"/>
  <c r="AK283" i="44" s="1"/>
  <c r="AL283" i="44" s="1"/>
  <c r="AM283" i="44" s="1"/>
  <c r="AN283" i="44" s="1"/>
  <c r="AO283" i="44" s="1"/>
  <c r="AP283" i="44" s="1"/>
  <c r="AQ283" i="44" s="1"/>
  <c r="AR283" i="44" s="1"/>
  <c r="AS283" i="44" s="1"/>
  <c r="AT283" i="44" s="1"/>
  <c r="AU283" i="44" s="1"/>
  <c r="AV283" i="44" s="1"/>
  <c r="AW283" i="44" s="1"/>
  <c r="AX283" i="44" s="1"/>
  <c r="AY283" i="44" s="1"/>
  <c r="AZ283" i="44" s="1"/>
  <c r="BA283" i="44" s="1"/>
  <c r="BB283" i="44" s="1"/>
  <c r="BC283" i="44" s="1"/>
  <c r="BD283" i="44" s="1"/>
  <c r="BE283" i="44" s="1"/>
  <c r="BF283" i="44" s="1"/>
  <c r="BG283" i="44" s="1"/>
  <c r="BH283" i="44" s="1"/>
  <c r="BI283" i="44" s="1"/>
  <c r="BJ283" i="44" s="1"/>
  <c r="BK283" i="44" s="1"/>
  <c r="BL283" i="44" s="1"/>
  <c r="BM283" i="44" s="1"/>
  <c r="BN283" i="44" s="1"/>
  <c r="BO283" i="44" s="1"/>
  <c r="BP283" i="44" s="1"/>
  <c r="BQ283" i="44" s="1"/>
  <c r="BR283" i="44" s="1"/>
  <c r="BS283" i="44" s="1"/>
  <c r="BT283" i="44" s="1"/>
  <c r="BU283" i="44" s="1"/>
  <c r="BV283" i="44" s="1"/>
  <c r="BW283" i="44" s="1"/>
  <c r="BX283" i="44" s="1"/>
  <c r="BY283" i="44" s="1"/>
  <c r="BZ283" i="44" s="1"/>
  <c r="CA283" i="44" s="1"/>
  <c r="CB283" i="44" s="1"/>
  <c r="CC283" i="44" s="1"/>
  <c r="CD283" i="44" s="1"/>
  <c r="CE283" i="44" s="1"/>
  <c r="AH282" i="44"/>
  <c r="AI282" i="44" s="1"/>
  <c r="AJ282" i="44" s="1"/>
  <c r="AK282" i="44" s="1"/>
  <c r="AL282" i="44" s="1"/>
  <c r="AM282" i="44" s="1"/>
  <c r="AN282" i="44" s="1"/>
  <c r="AO282" i="44" s="1"/>
  <c r="AP282" i="44" s="1"/>
  <c r="AQ282" i="44" s="1"/>
  <c r="AR282" i="44" s="1"/>
  <c r="AS282" i="44" s="1"/>
  <c r="AT282" i="44" s="1"/>
  <c r="AU282" i="44" s="1"/>
  <c r="AV282" i="44" s="1"/>
  <c r="AW282" i="44" s="1"/>
  <c r="AX282" i="44" s="1"/>
  <c r="AY282" i="44" s="1"/>
  <c r="AZ282" i="44" s="1"/>
  <c r="BA282" i="44" s="1"/>
  <c r="BB282" i="44" s="1"/>
  <c r="BC282" i="44" s="1"/>
  <c r="BD282" i="44" s="1"/>
  <c r="BE282" i="44" s="1"/>
  <c r="BF282" i="44" s="1"/>
  <c r="BG282" i="44" s="1"/>
  <c r="BH282" i="44" s="1"/>
  <c r="BI282" i="44" s="1"/>
  <c r="BJ282" i="44" s="1"/>
  <c r="BK282" i="44" s="1"/>
  <c r="BL282" i="44" s="1"/>
  <c r="BM282" i="44" s="1"/>
  <c r="BN282" i="44" s="1"/>
  <c r="BO282" i="44" s="1"/>
  <c r="BP282" i="44" s="1"/>
  <c r="BQ282" i="44" s="1"/>
  <c r="BR282" i="44" s="1"/>
  <c r="BS282" i="44" s="1"/>
  <c r="BT282" i="44" s="1"/>
  <c r="BU282" i="44" s="1"/>
  <c r="BV282" i="44" s="1"/>
  <c r="BW282" i="44" s="1"/>
  <c r="BX282" i="44" s="1"/>
  <c r="BY282" i="44" s="1"/>
  <c r="BZ282" i="44" s="1"/>
  <c r="CA282" i="44" s="1"/>
  <c r="CB282" i="44" s="1"/>
  <c r="CC282" i="44" s="1"/>
  <c r="CD282" i="44" s="1"/>
  <c r="CE282" i="44" s="1"/>
  <c r="AH281" i="44"/>
  <c r="AI281" i="44" s="1"/>
  <c r="AJ281" i="44" s="1"/>
  <c r="AK281" i="44" s="1"/>
  <c r="AL281" i="44" s="1"/>
  <c r="AM281" i="44" s="1"/>
  <c r="AN281" i="44" s="1"/>
  <c r="AO281" i="44" s="1"/>
  <c r="AP281" i="44" s="1"/>
  <c r="AQ281" i="44" s="1"/>
  <c r="AR281" i="44" s="1"/>
  <c r="AS281" i="44" s="1"/>
  <c r="AT281" i="44" s="1"/>
  <c r="AU281" i="44" s="1"/>
  <c r="AV281" i="44" s="1"/>
  <c r="AW281" i="44" s="1"/>
  <c r="AX281" i="44" s="1"/>
  <c r="AY281" i="44" s="1"/>
  <c r="AZ281" i="44" s="1"/>
  <c r="BA281" i="44" s="1"/>
  <c r="BB281" i="44" s="1"/>
  <c r="BC281" i="44" s="1"/>
  <c r="BD281" i="44" s="1"/>
  <c r="BE281" i="44" s="1"/>
  <c r="BF281" i="44" s="1"/>
  <c r="BG281" i="44" s="1"/>
  <c r="BH281" i="44" s="1"/>
  <c r="BI281" i="44" s="1"/>
  <c r="BJ281" i="44" s="1"/>
  <c r="BK281" i="44" s="1"/>
  <c r="BL281" i="44" s="1"/>
  <c r="BM281" i="44" s="1"/>
  <c r="BN281" i="44" s="1"/>
  <c r="BO281" i="44" s="1"/>
  <c r="BP281" i="44" s="1"/>
  <c r="BQ281" i="44" s="1"/>
  <c r="BR281" i="44" s="1"/>
  <c r="BS281" i="44" s="1"/>
  <c r="BT281" i="44" s="1"/>
  <c r="BU281" i="44" s="1"/>
  <c r="BV281" i="44" s="1"/>
  <c r="BW281" i="44" s="1"/>
  <c r="BX281" i="44" s="1"/>
  <c r="BY281" i="44" s="1"/>
  <c r="BZ281" i="44" s="1"/>
  <c r="CA281" i="44" s="1"/>
  <c r="CB281" i="44" s="1"/>
  <c r="CC281" i="44" s="1"/>
  <c r="CD281" i="44" s="1"/>
  <c r="CE281" i="44" s="1"/>
  <c r="AH280" i="44"/>
  <c r="AI280" i="44" s="1"/>
  <c r="AJ280" i="44" s="1"/>
  <c r="AK280" i="44" s="1"/>
  <c r="AL280" i="44" s="1"/>
  <c r="AM280" i="44" s="1"/>
  <c r="AN280" i="44" s="1"/>
  <c r="AO280" i="44" s="1"/>
  <c r="AP280" i="44" s="1"/>
  <c r="AQ280" i="44" s="1"/>
  <c r="AR280" i="44" s="1"/>
  <c r="AS280" i="44" s="1"/>
  <c r="AT280" i="44" s="1"/>
  <c r="AU280" i="44" s="1"/>
  <c r="AV280" i="44" s="1"/>
  <c r="AW280" i="44" s="1"/>
  <c r="AX280" i="44" s="1"/>
  <c r="AY280" i="44" s="1"/>
  <c r="AZ280" i="44" s="1"/>
  <c r="BA280" i="44" s="1"/>
  <c r="BB280" i="44" s="1"/>
  <c r="BC280" i="44" s="1"/>
  <c r="BD280" i="44" s="1"/>
  <c r="BE280" i="44" s="1"/>
  <c r="BF280" i="44" s="1"/>
  <c r="BG280" i="44" s="1"/>
  <c r="BH280" i="44" s="1"/>
  <c r="BI280" i="44" s="1"/>
  <c r="BJ280" i="44" s="1"/>
  <c r="BK280" i="44" s="1"/>
  <c r="BL280" i="44" s="1"/>
  <c r="BM280" i="44" s="1"/>
  <c r="BN280" i="44" s="1"/>
  <c r="BO280" i="44" s="1"/>
  <c r="BP280" i="44" s="1"/>
  <c r="BQ280" i="44" s="1"/>
  <c r="BR280" i="44" s="1"/>
  <c r="BS280" i="44" s="1"/>
  <c r="BT280" i="44" s="1"/>
  <c r="BU280" i="44" s="1"/>
  <c r="BV280" i="44" s="1"/>
  <c r="BW280" i="44" s="1"/>
  <c r="BX280" i="44" s="1"/>
  <c r="BY280" i="44" s="1"/>
  <c r="BZ280" i="44" s="1"/>
  <c r="CA280" i="44" s="1"/>
  <c r="CB280" i="44" s="1"/>
  <c r="CC280" i="44" s="1"/>
  <c r="CD280" i="44" s="1"/>
  <c r="CE280" i="44" s="1"/>
  <c r="AH279" i="44"/>
  <c r="AI279" i="44" s="1"/>
  <c r="AJ279" i="44" s="1"/>
  <c r="AK279" i="44" s="1"/>
  <c r="AL279" i="44" s="1"/>
  <c r="AM279" i="44" s="1"/>
  <c r="AN279" i="44" s="1"/>
  <c r="AO279" i="44" s="1"/>
  <c r="AP279" i="44" s="1"/>
  <c r="AQ279" i="44" s="1"/>
  <c r="AR279" i="44" s="1"/>
  <c r="AS279" i="44" s="1"/>
  <c r="AT279" i="44" s="1"/>
  <c r="AU279" i="44" s="1"/>
  <c r="AV279" i="44" s="1"/>
  <c r="AW279" i="44" s="1"/>
  <c r="AX279" i="44" s="1"/>
  <c r="AY279" i="44" s="1"/>
  <c r="AZ279" i="44" s="1"/>
  <c r="BA279" i="44" s="1"/>
  <c r="BB279" i="44" s="1"/>
  <c r="BC279" i="44" s="1"/>
  <c r="BD279" i="44" s="1"/>
  <c r="BE279" i="44" s="1"/>
  <c r="BF279" i="44" s="1"/>
  <c r="BG279" i="44" s="1"/>
  <c r="BH279" i="44" s="1"/>
  <c r="BI279" i="44" s="1"/>
  <c r="BJ279" i="44" s="1"/>
  <c r="BK279" i="44" s="1"/>
  <c r="BL279" i="44" s="1"/>
  <c r="BM279" i="44" s="1"/>
  <c r="BN279" i="44" s="1"/>
  <c r="BO279" i="44" s="1"/>
  <c r="BP279" i="44" s="1"/>
  <c r="BQ279" i="44" s="1"/>
  <c r="BR279" i="44" s="1"/>
  <c r="BS279" i="44" s="1"/>
  <c r="BT279" i="44" s="1"/>
  <c r="BU279" i="44" s="1"/>
  <c r="BV279" i="44" s="1"/>
  <c r="BW279" i="44" s="1"/>
  <c r="BX279" i="44" s="1"/>
  <c r="BY279" i="44" s="1"/>
  <c r="BZ279" i="44" s="1"/>
  <c r="CA279" i="44" s="1"/>
  <c r="CB279" i="44" s="1"/>
  <c r="CC279" i="44" s="1"/>
  <c r="CD279" i="44" s="1"/>
  <c r="CE279" i="44" s="1"/>
  <c r="F278" i="44"/>
  <c r="G278" i="44" s="1"/>
  <c r="H278" i="44" s="1"/>
  <c r="I278" i="44" s="1"/>
  <c r="J278" i="44" s="1"/>
  <c r="K278" i="44" s="1"/>
  <c r="L278" i="44" s="1"/>
  <c r="M278" i="44" s="1"/>
  <c r="N278" i="44" s="1"/>
  <c r="O278" i="44" s="1"/>
  <c r="P278" i="44" s="1"/>
  <c r="Q278" i="44" s="1"/>
  <c r="R278" i="44" s="1"/>
  <c r="S278" i="44" s="1"/>
  <c r="T278" i="44" s="1"/>
  <c r="U278" i="44" s="1"/>
  <c r="V278" i="44" s="1"/>
  <c r="W278" i="44" s="1"/>
  <c r="X278" i="44" s="1"/>
  <c r="Y278" i="44" s="1"/>
  <c r="Z278" i="44" s="1"/>
  <c r="AA278" i="44" s="1"/>
  <c r="AB278" i="44" s="1"/>
  <c r="AC278" i="44" s="1"/>
  <c r="AD278" i="44" s="1"/>
  <c r="AE278" i="44" s="1"/>
  <c r="AF278" i="44" s="1"/>
  <c r="AG278" i="44" s="1"/>
  <c r="AH278" i="44" s="1"/>
  <c r="AI278" i="44" s="1"/>
  <c r="AJ278" i="44" s="1"/>
  <c r="AK278" i="44" s="1"/>
  <c r="AL278" i="44" s="1"/>
  <c r="AM278" i="44" s="1"/>
  <c r="AN278" i="44" s="1"/>
  <c r="AO278" i="44" s="1"/>
  <c r="AP278" i="44" s="1"/>
  <c r="AQ278" i="44" s="1"/>
  <c r="AR278" i="44" s="1"/>
  <c r="AS278" i="44" s="1"/>
  <c r="AT278" i="44" s="1"/>
  <c r="AU278" i="44" s="1"/>
  <c r="AV278" i="44" s="1"/>
  <c r="AW278" i="44" s="1"/>
  <c r="AX278" i="44" s="1"/>
  <c r="AY278" i="44" s="1"/>
  <c r="AZ278" i="44" s="1"/>
  <c r="BA278" i="44" s="1"/>
  <c r="BB278" i="44" s="1"/>
  <c r="BC278" i="44" s="1"/>
  <c r="BD278" i="44" s="1"/>
  <c r="BE278" i="44" s="1"/>
  <c r="BF278" i="44" s="1"/>
  <c r="BG278" i="44" s="1"/>
  <c r="BH278" i="44" s="1"/>
  <c r="BI278" i="44" s="1"/>
  <c r="BJ278" i="44" s="1"/>
  <c r="BK278" i="44" s="1"/>
  <c r="BL278" i="44" s="1"/>
  <c r="BM278" i="44" s="1"/>
  <c r="BN278" i="44" s="1"/>
  <c r="BO278" i="44" s="1"/>
  <c r="BP278" i="44" s="1"/>
  <c r="BQ278" i="44" s="1"/>
  <c r="BR278" i="44" s="1"/>
  <c r="BS278" i="44" s="1"/>
  <c r="BT278" i="44" s="1"/>
  <c r="BU278" i="44" s="1"/>
  <c r="BV278" i="44" s="1"/>
  <c r="BW278" i="44" s="1"/>
  <c r="BX278" i="44" s="1"/>
  <c r="BY278" i="44" s="1"/>
  <c r="BZ278" i="44" s="1"/>
  <c r="CA278" i="44" s="1"/>
  <c r="CB278" i="44" s="1"/>
  <c r="CC278" i="44" s="1"/>
  <c r="CD278" i="44" s="1"/>
  <c r="CE278" i="44" s="1"/>
  <c r="AH276" i="44"/>
  <c r="AI276" i="44" s="1"/>
  <c r="AJ276" i="44" s="1"/>
  <c r="AK276" i="44" s="1"/>
  <c r="AL276" i="44" s="1"/>
  <c r="AM276" i="44" s="1"/>
  <c r="AN276" i="44" s="1"/>
  <c r="AO276" i="44" s="1"/>
  <c r="AP276" i="44" s="1"/>
  <c r="AQ276" i="44" s="1"/>
  <c r="AR276" i="44" s="1"/>
  <c r="AS276" i="44" s="1"/>
  <c r="AT276" i="44" s="1"/>
  <c r="AU276" i="44" s="1"/>
  <c r="AV276" i="44" s="1"/>
  <c r="AW276" i="44" s="1"/>
  <c r="AX276" i="44" s="1"/>
  <c r="AY276" i="44" s="1"/>
  <c r="AZ276" i="44" s="1"/>
  <c r="BA276" i="44" s="1"/>
  <c r="BB276" i="44" s="1"/>
  <c r="BC276" i="44" s="1"/>
  <c r="BD276" i="44" s="1"/>
  <c r="BE276" i="44" s="1"/>
  <c r="BF276" i="44" s="1"/>
  <c r="BG276" i="44" s="1"/>
  <c r="BH276" i="44" s="1"/>
  <c r="BI276" i="44" s="1"/>
  <c r="BJ276" i="44" s="1"/>
  <c r="BK276" i="44" s="1"/>
  <c r="BL276" i="44" s="1"/>
  <c r="BM276" i="44" s="1"/>
  <c r="BN276" i="44" s="1"/>
  <c r="BO276" i="44" s="1"/>
  <c r="BP276" i="44" s="1"/>
  <c r="BQ276" i="44" s="1"/>
  <c r="BR276" i="44" s="1"/>
  <c r="BS276" i="44" s="1"/>
  <c r="BT276" i="44" s="1"/>
  <c r="BU276" i="44" s="1"/>
  <c r="BV276" i="44" s="1"/>
  <c r="BW276" i="44" s="1"/>
  <c r="BX276" i="44" s="1"/>
  <c r="BY276" i="44" s="1"/>
  <c r="BZ276" i="44" s="1"/>
  <c r="CA276" i="44" s="1"/>
  <c r="CB276" i="44" s="1"/>
  <c r="CC276" i="44" s="1"/>
  <c r="CD276" i="44" s="1"/>
  <c r="CE276" i="44" s="1"/>
  <c r="AH275" i="44"/>
  <c r="AI275" i="44" s="1"/>
  <c r="AJ275" i="44" s="1"/>
  <c r="AK275" i="44" s="1"/>
  <c r="AL275" i="44" s="1"/>
  <c r="AM275" i="44" s="1"/>
  <c r="AN275" i="44" s="1"/>
  <c r="AO275" i="44" s="1"/>
  <c r="AP275" i="44" s="1"/>
  <c r="AQ275" i="44" s="1"/>
  <c r="AR275" i="44" s="1"/>
  <c r="AS275" i="44" s="1"/>
  <c r="AT275" i="44" s="1"/>
  <c r="AU275" i="44" s="1"/>
  <c r="AV275" i="44" s="1"/>
  <c r="AW275" i="44" s="1"/>
  <c r="AX275" i="44" s="1"/>
  <c r="AY275" i="44" s="1"/>
  <c r="AZ275" i="44" s="1"/>
  <c r="BA275" i="44" s="1"/>
  <c r="BB275" i="44" s="1"/>
  <c r="BC275" i="44" s="1"/>
  <c r="BD275" i="44" s="1"/>
  <c r="BE275" i="44" s="1"/>
  <c r="BF275" i="44" s="1"/>
  <c r="BG275" i="44" s="1"/>
  <c r="BH275" i="44" s="1"/>
  <c r="BI275" i="44" s="1"/>
  <c r="BJ275" i="44" s="1"/>
  <c r="BK275" i="44" s="1"/>
  <c r="BL275" i="44" s="1"/>
  <c r="BM275" i="44" s="1"/>
  <c r="BN275" i="44" s="1"/>
  <c r="BO275" i="44" s="1"/>
  <c r="BP275" i="44" s="1"/>
  <c r="BQ275" i="44" s="1"/>
  <c r="BR275" i="44" s="1"/>
  <c r="BS275" i="44" s="1"/>
  <c r="BT275" i="44" s="1"/>
  <c r="BU275" i="44" s="1"/>
  <c r="BV275" i="44" s="1"/>
  <c r="BW275" i="44" s="1"/>
  <c r="BX275" i="44" s="1"/>
  <c r="BY275" i="44" s="1"/>
  <c r="BZ275" i="44" s="1"/>
  <c r="CA275" i="44" s="1"/>
  <c r="CB275" i="44" s="1"/>
  <c r="CC275" i="44" s="1"/>
  <c r="CD275" i="44" s="1"/>
  <c r="CE275" i="44" s="1"/>
  <c r="AH274" i="44"/>
  <c r="AI274" i="44" s="1"/>
  <c r="AJ274" i="44" s="1"/>
  <c r="AK274" i="44" s="1"/>
  <c r="AL274" i="44" s="1"/>
  <c r="AM274" i="44" s="1"/>
  <c r="AN274" i="44" s="1"/>
  <c r="AO274" i="44" s="1"/>
  <c r="AP274" i="44" s="1"/>
  <c r="AQ274" i="44" s="1"/>
  <c r="AR274" i="44" s="1"/>
  <c r="AS274" i="44" s="1"/>
  <c r="AT274" i="44" s="1"/>
  <c r="AU274" i="44" s="1"/>
  <c r="AV274" i="44" s="1"/>
  <c r="AW274" i="44" s="1"/>
  <c r="AX274" i="44" s="1"/>
  <c r="AY274" i="44" s="1"/>
  <c r="AZ274" i="44" s="1"/>
  <c r="BA274" i="44" s="1"/>
  <c r="BB274" i="44" s="1"/>
  <c r="BC274" i="44" s="1"/>
  <c r="BD274" i="44" s="1"/>
  <c r="BE274" i="44" s="1"/>
  <c r="BF274" i="44" s="1"/>
  <c r="BG274" i="44" s="1"/>
  <c r="BH274" i="44" s="1"/>
  <c r="BI274" i="44" s="1"/>
  <c r="BJ274" i="44" s="1"/>
  <c r="BK274" i="44" s="1"/>
  <c r="BL274" i="44" s="1"/>
  <c r="BM274" i="44" s="1"/>
  <c r="BN274" i="44" s="1"/>
  <c r="BO274" i="44" s="1"/>
  <c r="BP274" i="44" s="1"/>
  <c r="BQ274" i="44" s="1"/>
  <c r="BR274" i="44" s="1"/>
  <c r="BS274" i="44" s="1"/>
  <c r="BT274" i="44" s="1"/>
  <c r="BU274" i="44" s="1"/>
  <c r="BV274" i="44" s="1"/>
  <c r="BW274" i="44" s="1"/>
  <c r="BX274" i="44" s="1"/>
  <c r="BY274" i="44" s="1"/>
  <c r="BZ274" i="44" s="1"/>
  <c r="CA274" i="44" s="1"/>
  <c r="CB274" i="44" s="1"/>
  <c r="CC274" i="44" s="1"/>
  <c r="CD274" i="44" s="1"/>
  <c r="CE274" i="44" s="1"/>
  <c r="AH273" i="44"/>
  <c r="AI273" i="44" s="1"/>
  <c r="AJ273" i="44" s="1"/>
  <c r="AK273" i="44" s="1"/>
  <c r="AL273" i="44" s="1"/>
  <c r="AM273" i="44" s="1"/>
  <c r="AN273" i="44" s="1"/>
  <c r="AO273" i="44" s="1"/>
  <c r="AP273" i="44" s="1"/>
  <c r="AQ273" i="44" s="1"/>
  <c r="AR273" i="44" s="1"/>
  <c r="AS273" i="44" s="1"/>
  <c r="AT273" i="44" s="1"/>
  <c r="AU273" i="44" s="1"/>
  <c r="AV273" i="44" s="1"/>
  <c r="AW273" i="44" s="1"/>
  <c r="AX273" i="44" s="1"/>
  <c r="AY273" i="44" s="1"/>
  <c r="AZ273" i="44" s="1"/>
  <c r="BA273" i="44" s="1"/>
  <c r="BB273" i="44" s="1"/>
  <c r="BC273" i="44" s="1"/>
  <c r="BD273" i="44" s="1"/>
  <c r="BE273" i="44" s="1"/>
  <c r="BF273" i="44" s="1"/>
  <c r="BG273" i="44" s="1"/>
  <c r="BH273" i="44" s="1"/>
  <c r="BI273" i="44" s="1"/>
  <c r="BJ273" i="44" s="1"/>
  <c r="BK273" i="44" s="1"/>
  <c r="BL273" i="44" s="1"/>
  <c r="BM273" i="44" s="1"/>
  <c r="BN273" i="44" s="1"/>
  <c r="BO273" i="44" s="1"/>
  <c r="BP273" i="44" s="1"/>
  <c r="BQ273" i="44" s="1"/>
  <c r="BR273" i="44" s="1"/>
  <c r="BS273" i="44" s="1"/>
  <c r="BT273" i="44" s="1"/>
  <c r="BU273" i="44" s="1"/>
  <c r="BV273" i="44" s="1"/>
  <c r="BW273" i="44" s="1"/>
  <c r="BX273" i="44" s="1"/>
  <c r="BY273" i="44" s="1"/>
  <c r="BZ273" i="44" s="1"/>
  <c r="CA273" i="44" s="1"/>
  <c r="CB273" i="44" s="1"/>
  <c r="CC273" i="44" s="1"/>
  <c r="CD273" i="44" s="1"/>
  <c r="CE273" i="44" s="1"/>
  <c r="AH272" i="44"/>
  <c r="AI272" i="44" s="1"/>
  <c r="AJ272" i="44" s="1"/>
  <c r="AK272" i="44" s="1"/>
  <c r="AL272" i="44" s="1"/>
  <c r="AM272" i="44" s="1"/>
  <c r="AN272" i="44" s="1"/>
  <c r="AO272" i="44" s="1"/>
  <c r="AP272" i="44" s="1"/>
  <c r="AQ272" i="44" s="1"/>
  <c r="AR272" i="44" s="1"/>
  <c r="AS272" i="44" s="1"/>
  <c r="AT272" i="44" s="1"/>
  <c r="AU272" i="44" s="1"/>
  <c r="AV272" i="44" s="1"/>
  <c r="AW272" i="44" s="1"/>
  <c r="AX272" i="44" s="1"/>
  <c r="AY272" i="44" s="1"/>
  <c r="AZ272" i="44" s="1"/>
  <c r="BA272" i="44" s="1"/>
  <c r="BB272" i="44" s="1"/>
  <c r="BC272" i="44" s="1"/>
  <c r="BD272" i="44" s="1"/>
  <c r="BE272" i="44" s="1"/>
  <c r="BF272" i="44" s="1"/>
  <c r="BG272" i="44" s="1"/>
  <c r="BH272" i="44" s="1"/>
  <c r="BI272" i="44" s="1"/>
  <c r="BJ272" i="44" s="1"/>
  <c r="BK272" i="44" s="1"/>
  <c r="BL272" i="44" s="1"/>
  <c r="BM272" i="44" s="1"/>
  <c r="BN272" i="44" s="1"/>
  <c r="BO272" i="44" s="1"/>
  <c r="BP272" i="44" s="1"/>
  <c r="BQ272" i="44" s="1"/>
  <c r="BR272" i="44" s="1"/>
  <c r="BS272" i="44" s="1"/>
  <c r="BT272" i="44" s="1"/>
  <c r="BU272" i="44" s="1"/>
  <c r="BV272" i="44" s="1"/>
  <c r="BW272" i="44" s="1"/>
  <c r="BX272" i="44" s="1"/>
  <c r="BY272" i="44" s="1"/>
  <c r="BZ272" i="44" s="1"/>
  <c r="CA272" i="44" s="1"/>
  <c r="CB272" i="44" s="1"/>
  <c r="CC272" i="44" s="1"/>
  <c r="CD272" i="44" s="1"/>
  <c r="CE272" i="44" s="1"/>
  <c r="AH271" i="44"/>
  <c r="AI271" i="44" s="1"/>
  <c r="AJ271" i="44" s="1"/>
  <c r="AK271" i="44" s="1"/>
  <c r="AL271" i="44" s="1"/>
  <c r="AM271" i="44" s="1"/>
  <c r="AN271" i="44" s="1"/>
  <c r="AO271" i="44" s="1"/>
  <c r="AP271" i="44" s="1"/>
  <c r="AQ271" i="44" s="1"/>
  <c r="AR271" i="44" s="1"/>
  <c r="AS271" i="44" s="1"/>
  <c r="AT271" i="44" s="1"/>
  <c r="AU271" i="44" s="1"/>
  <c r="AV271" i="44" s="1"/>
  <c r="AW271" i="44" s="1"/>
  <c r="AX271" i="44" s="1"/>
  <c r="AY271" i="44" s="1"/>
  <c r="AZ271" i="44" s="1"/>
  <c r="BA271" i="44" s="1"/>
  <c r="BB271" i="44" s="1"/>
  <c r="BC271" i="44" s="1"/>
  <c r="BD271" i="44" s="1"/>
  <c r="BE271" i="44" s="1"/>
  <c r="BF271" i="44" s="1"/>
  <c r="BG271" i="44" s="1"/>
  <c r="BH271" i="44" s="1"/>
  <c r="BI271" i="44" s="1"/>
  <c r="BJ271" i="44" s="1"/>
  <c r="BK271" i="44" s="1"/>
  <c r="BL271" i="44" s="1"/>
  <c r="BM271" i="44" s="1"/>
  <c r="BN271" i="44" s="1"/>
  <c r="BO271" i="44" s="1"/>
  <c r="BP271" i="44" s="1"/>
  <c r="BQ271" i="44" s="1"/>
  <c r="BR271" i="44" s="1"/>
  <c r="BS271" i="44" s="1"/>
  <c r="BT271" i="44" s="1"/>
  <c r="BU271" i="44" s="1"/>
  <c r="BV271" i="44" s="1"/>
  <c r="BW271" i="44" s="1"/>
  <c r="BX271" i="44" s="1"/>
  <c r="BY271" i="44" s="1"/>
  <c r="BZ271" i="44" s="1"/>
  <c r="CA271" i="44" s="1"/>
  <c r="CB271" i="44" s="1"/>
  <c r="CC271" i="44" s="1"/>
  <c r="CD271" i="44" s="1"/>
  <c r="CE271" i="44" s="1"/>
  <c r="AH270" i="44"/>
  <c r="AI270" i="44" s="1"/>
  <c r="AJ270" i="44" s="1"/>
  <c r="AK270" i="44" s="1"/>
  <c r="AL270" i="44" s="1"/>
  <c r="AM270" i="44" s="1"/>
  <c r="AN270" i="44" s="1"/>
  <c r="AO270" i="44" s="1"/>
  <c r="AP270" i="44" s="1"/>
  <c r="AQ270" i="44" s="1"/>
  <c r="AR270" i="44" s="1"/>
  <c r="AS270" i="44" s="1"/>
  <c r="AT270" i="44" s="1"/>
  <c r="AU270" i="44" s="1"/>
  <c r="AV270" i="44" s="1"/>
  <c r="AW270" i="44" s="1"/>
  <c r="AX270" i="44" s="1"/>
  <c r="AY270" i="44" s="1"/>
  <c r="AZ270" i="44" s="1"/>
  <c r="BA270" i="44" s="1"/>
  <c r="BB270" i="44" s="1"/>
  <c r="BC270" i="44" s="1"/>
  <c r="BD270" i="44" s="1"/>
  <c r="BE270" i="44" s="1"/>
  <c r="BF270" i="44" s="1"/>
  <c r="BG270" i="44" s="1"/>
  <c r="BH270" i="44" s="1"/>
  <c r="BI270" i="44" s="1"/>
  <c r="BJ270" i="44" s="1"/>
  <c r="BK270" i="44" s="1"/>
  <c r="BL270" i="44" s="1"/>
  <c r="BM270" i="44" s="1"/>
  <c r="BN270" i="44" s="1"/>
  <c r="BO270" i="44" s="1"/>
  <c r="BP270" i="44" s="1"/>
  <c r="BQ270" i="44" s="1"/>
  <c r="BR270" i="44" s="1"/>
  <c r="BS270" i="44" s="1"/>
  <c r="BT270" i="44" s="1"/>
  <c r="BU270" i="44" s="1"/>
  <c r="BV270" i="44" s="1"/>
  <c r="BW270" i="44" s="1"/>
  <c r="BX270" i="44" s="1"/>
  <c r="BY270" i="44" s="1"/>
  <c r="BZ270" i="44" s="1"/>
  <c r="CA270" i="44" s="1"/>
  <c r="CB270" i="44" s="1"/>
  <c r="CC270" i="44" s="1"/>
  <c r="CD270" i="44" s="1"/>
  <c r="CE270" i="44" s="1"/>
  <c r="AH269" i="44"/>
  <c r="AI269" i="44" s="1"/>
  <c r="AJ269" i="44" s="1"/>
  <c r="AK269" i="44" s="1"/>
  <c r="AL269" i="44" s="1"/>
  <c r="AM269" i="44" s="1"/>
  <c r="AN269" i="44" s="1"/>
  <c r="AO269" i="44" s="1"/>
  <c r="AP269" i="44" s="1"/>
  <c r="AQ269" i="44" s="1"/>
  <c r="AR269" i="44" s="1"/>
  <c r="AS269" i="44" s="1"/>
  <c r="AT269" i="44" s="1"/>
  <c r="AU269" i="44" s="1"/>
  <c r="AV269" i="44" s="1"/>
  <c r="AW269" i="44" s="1"/>
  <c r="AX269" i="44" s="1"/>
  <c r="AY269" i="44" s="1"/>
  <c r="AZ269" i="44" s="1"/>
  <c r="BA269" i="44" s="1"/>
  <c r="BB269" i="44" s="1"/>
  <c r="BC269" i="44" s="1"/>
  <c r="BD269" i="44" s="1"/>
  <c r="BE269" i="44" s="1"/>
  <c r="BF269" i="44" s="1"/>
  <c r="BG269" i="44" s="1"/>
  <c r="BH269" i="44" s="1"/>
  <c r="BI269" i="44" s="1"/>
  <c r="BJ269" i="44" s="1"/>
  <c r="BK269" i="44" s="1"/>
  <c r="BL269" i="44" s="1"/>
  <c r="BM269" i="44" s="1"/>
  <c r="BN269" i="44" s="1"/>
  <c r="BO269" i="44" s="1"/>
  <c r="BP269" i="44" s="1"/>
  <c r="BQ269" i="44" s="1"/>
  <c r="BR269" i="44" s="1"/>
  <c r="BS269" i="44" s="1"/>
  <c r="BT269" i="44" s="1"/>
  <c r="BU269" i="44" s="1"/>
  <c r="BV269" i="44" s="1"/>
  <c r="BW269" i="44" s="1"/>
  <c r="BX269" i="44" s="1"/>
  <c r="BY269" i="44" s="1"/>
  <c r="BZ269" i="44" s="1"/>
  <c r="CA269" i="44" s="1"/>
  <c r="CB269" i="44" s="1"/>
  <c r="CC269" i="44" s="1"/>
  <c r="CD269" i="44" s="1"/>
  <c r="CE269" i="44" s="1"/>
  <c r="AH267" i="44"/>
  <c r="AI267" i="44" s="1"/>
  <c r="AJ267" i="44" s="1"/>
  <c r="AK267" i="44" s="1"/>
  <c r="AL267" i="44" s="1"/>
  <c r="AM267" i="44" s="1"/>
  <c r="AN267" i="44" s="1"/>
  <c r="AO267" i="44" s="1"/>
  <c r="AP267" i="44" s="1"/>
  <c r="AQ267" i="44" s="1"/>
  <c r="AR267" i="44" s="1"/>
  <c r="AS267" i="44" s="1"/>
  <c r="AT267" i="44" s="1"/>
  <c r="AU267" i="44" s="1"/>
  <c r="AV267" i="44" s="1"/>
  <c r="AW267" i="44" s="1"/>
  <c r="AX267" i="44" s="1"/>
  <c r="AY267" i="44" s="1"/>
  <c r="AZ267" i="44" s="1"/>
  <c r="BA267" i="44" s="1"/>
  <c r="BB267" i="44" s="1"/>
  <c r="BC267" i="44" s="1"/>
  <c r="BD267" i="44" s="1"/>
  <c r="BE267" i="44" s="1"/>
  <c r="BF267" i="44" s="1"/>
  <c r="BG267" i="44" s="1"/>
  <c r="BH267" i="44" s="1"/>
  <c r="BI267" i="44" s="1"/>
  <c r="BJ267" i="44" s="1"/>
  <c r="BK267" i="44" s="1"/>
  <c r="BL267" i="44" s="1"/>
  <c r="BM267" i="44" s="1"/>
  <c r="BN267" i="44" s="1"/>
  <c r="BO267" i="44" s="1"/>
  <c r="BP267" i="44" s="1"/>
  <c r="BQ267" i="44" s="1"/>
  <c r="BR267" i="44" s="1"/>
  <c r="BS267" i="44" s="1"/>
  <c r="BT267" i="44" s="1"/>
  <c r="BU267" i="44" s="1"/>
  <c r="BV267" i="44" s="1"/>
  <c r="BW267" i="44" s="1"/>
  <c r="BX267" i="44" s="1"/>
  <c r="BY267" i="44" s="1"/>
  <c r="BZ267" i="44" s="1"/>
  <c r="CA267" i="44" s="1"/>
  <c r="CB267" i="44" s="1"/>
  <c r="CC267" i="44" s="1"/>
  <c r="CD267" i="44" s="1"/>
  <c r="CE267" i="44" s="1"/>
  <c r="AH266" i="44"/>
  <c r="AI266" i="44" s="1"/>
  <c r="AJ266" i="44" s="1"/>
  <c r="AK266" i="44" s="1"/>
  <c r="AL266" i="44" s="1"/>
  <c r="AM266" i="44" s="1"/>
  <c r="AN266" i="44" s="1"/>
  <c r="AO266" i="44" s="1"/>
  <c r="AP266" i="44" s="1"/>
  <c r="AQ266" i="44" s="1"/>
  <c r="AR266" i="44" s="1"/>
  <c r="AS266" i="44" s="1"/>
  <c r="AT266" i="44" s="1"/>
  <c r="AU266" i="44" s="1"/>
  <c r="AV266" i="44" s="1"/>
  <c r="AW266" i="44" s="1"/>
  <c r="AX266" i="44" s="1"/>
  <c r="AY266" i="44" s="1"/>
  <c r="AZ266" i="44" s="1"/>
  <c r="BA266" i="44" s="1"/>
  <c r="BB266" i="44" s="1"/>
  <c r="BC266" i="44" s="1"/>
  <c r="BD266" i="44" s="1"/>
  <c r="BE266" i="44" s="1"/>
  <c r="BF266" i="44" s="1"/>
  <c r="BG266" i="44" s="1"/>
  <c r="BH266" i="44" s="1"/>
  <c r="BI266" i="44" s="1"/>
  <c r="BJ266" i="44" s="1"/>
  <c r="BK266" i="44" s="1"/>
  <c r="BL266" i="44" s="1"/>
  <c r="BM266" i="44" s="1"/>
  <c r="BN266" i="44" s="1"/>
  <c r="BO266" i="44" s="1"/>
  <c r="BP266" i="44" s="1"/>
  <c r="BQ266" i="44" s="1"/>
  <c r="BR266" i="44" s="1"/>
  <c r="BS266" i="44" s="1"/>
  <c r="BT266" i="44" s="1"/>
  <c r="BU266" i="44" s="1"/>
  <c r="BV266" i="44" s="1"/>
  <c r="BW266" i="44" s="1"/>
  <c r="BX266" i="44" s="1"/>
  <c r="BY266" i="44" s="1"/>
  <c r="BZ266" i="44" s="1"/>
  <c r="CA266" i="44" s="1"/>
  <c r="CB266" i="44" s="1"/>
  <c r="CC266" i="44" s="1"/>
  <c r="CD266" i="44" s="1"/>
  <c r="CE266" i="44" s="1"/>
  <c r="AH264" i="44"/>
  <c r="AI264" i="44" s="1"/>
  <c r="AJ264" i="44" s="1"/>
  <c r="AK264" i="44" s="1"/>
  <c r="AL264" i="44" s="1"/>
  <c r="AM264" i="44" s="1"/>
  <c r="AN264" i="44" s="1"/>
  <c r="AO264" i="44" s="1"/>
  <c r="AP264" i="44" s="1"/>
  <c r="AQ264" i="44" s="1"/>
  <c r="AR264" i="44" s="1"/>
  <c r="AS264" i="44" s="1"/>
  <c r="AT264" i="44" s="1"/>
  <c r="AU264" i="44" s="1"/>
  <c r="AV264" i="44" s="1"/>
  <c r="AW264" i="44" s="1"/>
  <c r="AX264" i="44" s="1"/>
  <c r="AY264" i="44" s="1"/>
  <c r="AZ264" i="44" s="1"/>
  <c r="BA264" i="44" s="1"/>
  <c r="BB264" i="44" s="1"/>
  <c r="BC264" i="44" s="1"/>
  <c r="BD264" i="44" s="1"/>
  <c r="BE264" i="44" s="1"/>
  <c r="BF264" i="44" s="1"/>
  <c r="BG264" i="44" s="1"/>
  <c r="BH264" i="44" s="1"/>
  <c r="BI264" i="44" s="1"/>
  <c r="BJ264" i="44" s="1"/>
  <c r="BK264" i="44" s="1"/>
  <c r="BL264" i="44" s="1"/>
  <c r="BM264" i="44" s="1"/>
  <c r="BN264" i="44" s="1"/>
  <c r="BO264" i="44" s="1"/>
  <c r="BP264" i="44" s="1"/>
  <c r="BQ264" i="44" s="1"/>
  <c r="BR264" i="44" s="1"/>
  <c r="BS264" i="44" s="1"/>
  <c r="BT264" i="44" s="1"/>
  <c r="BU264" i="44" s="1"/>
  <c r="BV264" i="44" s="1"/>
  <c r="BW264" i="44" s="1"/>
  <c r="BX264" i="44" s="1"/>
  <c r="BY264" i="44" s="1"/>
  <c r="BZ264" i="44" s="1"/>
  <c r="CA264" i="44" s="1"/>
  <c r="CB264" i="44" s="1"/>
  <c r="CC264" i="44" s="1"/>
  <c r="CD264" i="44" s="1"/>
  <c r="CE264" i="44" s="1"/>
  <c r="AH263" i="44"/>
  <c r="AI263" i="44" s="1"/>
  <c r="AJ263" i="44" s="1"/>
  <c r="AK263" i="44" s="1"/>
  <c r="AL263" i="44" s="1"/>
  <c r="AM263" i="44" s="1"/>
  <c r="AN263" i="44" s="1"/>
  <c r="AO263" i="44" s="1"/>
  <c r="AP263" i="44" s="1"/>
  <c r="AQ263" i="44" s="1"/>
  <c r="AR263" i="44" s="1"/>
  <c r="AS263" i="44" s="1"/>
  <c r="AT263" i="44" s="1"/>
  <c r="AU263" i="44" s="1"/>
  <c r="AV263" i="44" s="1"/>
  <c r="AW263" i="44" s="1"/>
  <c r="AX263" i="44" s="1"/>
  <c r="AY263" i="44" s="1"/>
  <c r="AZ263" i="44" s="1"/>
  <c r="BA263" i="44" s="1"/>
  <c r="BB263" i="44" s="1"/>
  <c r="BC263" i="44" s="1"/>
  <c r="BD263" i="44" s="1"/>
  <c r="BE263" i="44" s="1"/>
  <c r="BF263" i="44" s="1"/>
  <c r="BG263" i="44" s="1"/>
  <c r="BH263" i="44" s="1"/>
  <c r="BI263" i="44" s="1"/>
  <c r="BJ263" i="44" s="1"/>
  <c r="BK263" i="44" s="1"/>
  <c r="BL263" i="44" s="1"/>
  <c r="BM263" i="44" s="1"/>
  <c r="BN263" i="44" s="1"/>
  <c r="BO263" i="44" s="1"/>
  <c r="BP263" i="44" s="1"/>
  <c r="BQ263" i="44" s="1"/>
  <c r="BR263" i="44" s="1"/>
  <c r="BS263" i="44" s="1"/>
  <c r="BT263" i="44" s="1"/>
  <c r="BU263" i="44" s="1"/>
  <c r="BV263" i="44" s="1"/>
  <c r="BW263" i="44" s="1"/>
  <c r="BX263" i="44" s="1"/>
  <c r="BY263" i="44" s="1"/>
  <c r="BZ263" i="44" s="1"/>
  <c r="CA263" i="44" s="1"/>
  <c r="CB263" i="44" s="1"/>
  <c r="CC263" i="44" s="1"/>
  <c r="CD263" i="44" s="1"/>
  <c r="CE263" i="44" s="1"/>
  <c r="AH262" i="44"/>
  <c r="AI262" i="44" s="1"/>
  <c r="AJ262" i="44" s="1"/>
  <c r="AK262" i="44" s="1"/>
  <c r="AL262" i="44" s="1"/>
  <c r="AM262" i="44" s="1"/>
  <c r="AN262" i="44" s="1"/>
  <c r="AO262" i="44" s="1"/>
  <c r="AP262" i="44" s="1"/>
  <c r="AQ262" i="44" s="1"/>
  <c r="AR262" i="44" s="1"/>
  <c r="AS262" i="44" s="1"/>
  <c r="AT262" i="44" s="1"/>
  <c r="AU262" i="44" s="1"/>
  <c r="AV262" i="44" s="1"/>
  <c r="AW262" i="44" s="1"/>
  <c r="AX262" i="44" s="1"/>
  <c r="AY262" i="44" s="1"/>
  <c r="AZ262" i="44" s="1"/>
  <c r="BA262" i="44" s="1"/>
  <c r="BB262" i="44" s="1"/>
  <c r="BC262" i="44" s="1"/>
  <c r="BD262" i="44" s="1"/>
  <c r="BE262" i="44" s="1"/>
  <c r="BF262" i="44" s="1"/>
  <c r="BG262" i="44" s="1"/>
  <c r="BH262" i="44" s="1"/>
  <c r="BI262" i="44" s="1"/>
  <c r="BJ262" i="44" s="1"/>
  <c r="BK262" i="44" s="1"/>
  <c r="BL262" i="44" s="1"/>
  <c r="BM262" i="44" s="1"/>
  <c r="BN262" i="44" s="1"/>
  <c r="BO262" i="44" s="1"/>
  <c r="BP262" i="44" s="1"/>
  <c r="BQ262" i="44" s="1"/>
  <c r="BR262" i="44" s="1"/>
  <c r="BS262" i="44" s="1"/>
  <c r="BT262" i="44" s="1"/>
  <c r="BU262" i="44" s="1"/>
  <c r="BV262" i="44" s="1"/>
  <c r="BW262" i="44" s="1"/>
  <c r="BX262" i="44" s="1"/>
  <c r="BY262" i="44" s="1"/>
  <c r="BZ262" i="44" s="1"/>
  <c r="CA262" i="44" s="1"/>
  <c r="CB262" i="44" s="1"/>
  <c r="CC262" i="44" s="1"/>
  <c r="CD262" i="44" s="1"/>
  <c r="CE262" i="44" s="1"/>
  <c r="AH261" i="44"/>
  <c r="AI261" i="44" s="1"/>
  <c r="AJ261" i="44" s="1"/>
  <c r="AK261" i="44" s="1"/>
  <c r="AL261" i="44" s="1"/>
  <c r="AM261" i="44" s="1"/>
  <c r="AN261" i="44" s="1"/>
  <c r="AO261" i="44" s="1"/>
  <c r="AP261" i="44" s="1"/>
  <c r="AQ261" i="44" s="1"/>
  <c r="AR261" i="44" s="1"/>
  <c r="AS261" i="44" s="1"/>
  <c r="AT261" i="44" s="1"/>
  <c r="AU261" i="44" s="1"/>
  <c r="AV261" i="44" s="1"/>
  <c r="AW261" i="44" s="1"/>
  <c r="AX261" i="44" s="1"/>
  <c r="AY261" i="44" s="1"/>
  <c r="AZ261" i="44" s="1"/>
  <c r="BA261" i="44" s="1"/>
  <c r="BB261" i="44" s="1"/>
  <c r="BC261" i="44" s="1"/>
  <c r="BD261" i="44" s="1"/>
  <c r="BE261" i="44" s="1"/>
  <c r="BF261" i="44" s="1"/>
  <c r="BG261" i="44" s="1"/>
  <c r="BH261" i="44" s="1"/>
  <c r="BI261" i="44" s="1"/>
  <c r="BJ261" i="44" s="1"/>
  <c r="BK261" i="44" s="1"/>
  <c r="BL261" i="44" s="1"/>
  <c r="BM261" i="44" s="1"/>
  <c r="BN261" i="44" s="1"/>
  <c r="BO261" i="44" s="1"/>
  <c r="BP261" i="44" s="1"/>
  <c r="BQ261" i="44" s="1"/>
  <c r="BR261" i="44" s="1"/>
  <c r="BS261" i="44" s="1"/>
  <c r="BT261" i="44" s="1"/>
  <c r="BU261" i="44" s="1"/>
  <c r="BV261" i="44" s="1"/>
  <c r="BW261" i="44" s="1"/>
  <c r="BX261" i="44" s="1"/>
  <c r="BY261" i="44" s="1"/>
  <c r="BZ261" i="44" s="1"/>
  <c r="CA261" i="44" s="1"/>
  <c r="CB261" i="44" s="1"/>
  <c r="CC261" i="44" s="1"/>
  <c r="CD261" i="44" s="1"/>
  <c r="CE261" i="44" s="1"/>
  <c r="AH260" i="44"/>
  <c r="AI260" i="44" s="1"/>
  <c r="AJ260" i="44" s="1"/>
  <c r="AK260" i="44" s="1"/>
  <c r="AL260" i="44" s="1"/>
  <c r="AM260" i="44" s="1"/>
  <c r="AN260" i="44" s="1"/>
  <c r="AO260" i="44" s="1"/>
  <c r="AP260" i="44" s="1"/>
  <c r="AQ260" i="44" s="1"/>
  <c r="AR260" i="44" s="1"/>
  <c r="AS260" i="44" s="1"/>
  <c r="AT260" i="44" s="1"/>
  <c r="AU260" i="44" s="1"/>
  <c r="AV260" i="44" s="1"/>
  <c r="AW260" i="44" s="1"/>
  <c r="AX260" i="44" s="1"/>
  <c r="AY260" i="44" s="1"/>
  <c r="AZ260" i="44" s="1"/>
  <c r="BA260" i="44" s="1"/>
  <c r="BB260" i="44" s="1"/>
  <c r="BC260" i="44" s="1"/>
  <c r="BD260" i="44" s="1"/>
  <c r="BE260" i="44" s="1"/>
  <c r="BF260" i="44" s="1"/>
  <c r="BG260" i="44" s="1"/>
  <c r="BH260" i="44" s="1"/>
  <c r="BI260" i="44" s="1"/>
  <c r="BJ260" i="44" s="1"/>
  <c r="BK260" i="44" s="1"/>
  <c r="BL260" i="44" s="1"/>
  <c r="BM260" i="44" s="1"/>
  <c r="BN260" i="44" s="1"/>
  <c r="BO260" i="44" s="1"/>
  <c r="BP260" i="44" s="1"/>
  <c r="BQ260" i="44" s="1"/>
  <c r="BR260" i="44" s="1"/>
  <c r="BS260" i="44" s="1"/>
  <c r="BT260" i="44" s="1"/>
  <c r="BU260" i="44" s="1"/>
  <c r="BV260" i="44" s="1"/>
  <c r="BW260" i="44" s="1"/>
  <c r="BX260" i="44" s="1"/>
  <c r="BY260" i="44" s="1"/>
  <c r="BZ260" i="44" s="1"/>
  <c r="CA260" i="44" s="1"/>
  <c r="CB260" i="44" s="1"/>
  <c r="CC260" i="44" s="1"/>
  <c r="CD260" i="44" s="1"/>
  <c r="CE260" i="44" s="1"/>
  <c r="AH259" i="44"/>
  <c r="AI259" i="44" s="1"/>
  <c r="AJ259" i="44" s="1"/>
  <c r="AK259" i="44" s="1"/>
  <c r="AL259" i="44" s="1"/>
  <c r="AM259" i="44" s="1"/>
  <c r="AN259" i="44" s="1"/>
  <c r="AO259" i="44" s="1"/>
  <c r="AP259" i="44" s="1"/>
  <c r="AQ259" i="44" s="1"/>
  <c r="AR259" i="44" s="1"/>
  <c r="AS259" i="44" s="1"/>
  <c r="AT259" i="44" s="1"/>
  <c r="AU259" i="44" s="1"/>
  <c r="AV259" i="44" s="1"/>
  <c r="AW259" i="44" s="1"/>
  <c r="AX259" i="44" s="1"/>
  <c r="AY259" i="44" s="1"/>
  <c r="AZ259" i="44" s="1"/>
  <c r="BA259" i="44" s="1"/>
  <c r="BB259" i="44" s="1"/>
  <c r="BC259" i="44" s="1"/>
  <c r="BD259" i="44" s="1"/>
  <c r="BE259" i="44" s="1"/>
  <c r="BF259" i="44" s="1"/>
  <c r="BG259" i="44" s="1"/>
  <c r="BH259" i="44" s="1"/>
  <c r="BI259" i="44" s="1"/>
  <c r="BJ259" i="44" s="1"/>
  <c r="BK259" i="44" s="1"/>
  <c r="BL259" i="44" s="1"/>
  <c r="BM259" i="44" s="1"/>
  <c r="BN259" i="44" s="1"/>
  <c r="BO259" i="44" s="1"/>
  <c r="BP259" i="44" s="1"/>
  <c r="BQ259" i="44" s="1"/>
  <c r="BR259" i="44" s="1"/>
  <c r="BS259" i="44" s="1"/>
  <c r="BT259" i="44" s="1"/>
  <c r="BU259" i="44" s="1"/>
  <c r="BV259" i="44" s="1"/>
  <c r="BW259" i="44" s="1"/>
  <c r="BX259" i="44" s="1"/>
  <c r="BY259" i="44" s="1"/>
  <c r="BZ259" i="44" s="1"/>
  <c r="CA259" i="44" s="1"/>
  <c r="CB259" i="44" s="1"/>
  <c r="CC259" i="44" s="1"/>
  <c r="CD259" i="44" s="1"/>
  <c r="CE259" i="44" s="1"/>
  <c r="AH258" i="44"/>
  <c r="AI258" i="44" s="1"/>
  <c r="AJ258" i="44" s="1"/>
  <c r="AK258" i="44" s="1"/>
  <c r="AL258" i="44" s="1"/>
  <c r="AM258" i="44" s="1"/>
  <c r="AN258" i="44" s="1"/>
  <c r="AO258" i="44" s="1"/>
  <c r="AP258" i="44" s="1"/>
  <c r="AQ258" i="44" s="1"/>
  <c r="AR258" i="44" s="1"/>
  <c r="AS258" i="44" s="1"/>
  <c r="AT258" i="44" s="1"/>
  <c r="AU258" i="44" s="1"/>
  <c r="AV258" i="44" s="1"/>
  <c r="AW258" i="44" s="1"/>
  <c r="AX258" i="44" s="1"/>
  <c r="AY258" i="44" s="1"/>
  <c r="AZ258" i="44" s="1"/>
  <c r="BA258" i="44" s="1"/>
  <c r="BB258" i="44" s="1"/>
  <c r="BC258" i="44" s="1"/>
  <c r="BD258" i="44" s="1"/>
  <c r="BE258" i="44" s="1"/>
  <c r="BF258" i="44" s="1"/>
  <c r="BG258" i="44" s="1"/>
  <c r="BH258" i="44" s="1"/>
  <c r="BI258" i="44" s="1"/>
  <c r="BJ258" i="44" s="1"/>
  <c r="BK258" i="44" s="1"/>
  <c r="BL258" i="44" s="1"/>
  <c r="BM258" i="44" s="1"/>
  <c r="BN258" i="44" s="1"/>
  <c r="BO258" i="44" s="1"/>
  <c r="BP258" i="44" s="1"/>
  <c r="BQ258" i="44" s="1"/>
  <c r="BR258" i="44" s="1"/>
  <c r="BS258" i="44" s="1"/>
  <c r="BT258" i="44" s="1"/>
  <c r="BU258" i="44" s="1"/>
  <c r="BV258" i="44" s="1"/>
  <c r="BW258" i="44" s="1"/>
  <c r="BX258" i="44" s="1"/>
  <c r="BY258" i="44" s="1"/>
  <c r="BZ258" i="44" s="1"/>
  <c r="CA258" i="44" s="1"/>
  <c r="CB258" i="44" s="1"/>
  <c r="CC258" i="44" s="1"/>
  <c r="CD258" i="44" s="1"/>
  <c r="CE258" i="44" s="1"/>
  <c r="AH257" i="44"/>
  <c r="AI257" i="44" s="1"/>
  <c r="AJ257" i="44" s="1"/>
  <c r="AK257" i="44" s="1"/>
  <c r="AL257" i="44" s="1"/>
  <c r="AM257" i="44" s="1"/>
  <c r="AN257" i="44" s="1"/>
  <c r="AO257" i="44" s="1"/>
  <c r="AP257" i="44" s="1"/>
  <c r="AQ257" i="44" s="1"/>
  <c r="AR257" i="44" s="1"/>
  <c r="AS257" i="44" s="1"/>
  <c r="AT257" i="44" s="1"/>
  <c r="AU257" i="44" s="1"/>
  <c r="AV257" i="44" s="1"/>
  <c r="AW257" i="44" s="1"/>
  <c r="AX257" i="44" s="1"/>
  <c r="AY257" i="44" s="1"/>
  <c r="AZ257" i="44" s="1"/>
  <c r="BA257" i="44" s="1"/>
  <c r="BB257" i="44" s="1"/>
  <c r="BC257" i="44" s="1"/>
  <c r="BD257" i="44" s="1"/>
  <c r="BE257" i="44" s="1"/>
  <c r="BF257" i="44" s="1"/>
  <c r="BG257" i="44" s="1"/>
  <c r="BH257" i="44" s="1"/>
  <c r="BI257" i="44" s="1"/>
  <c r="BJ257" i="44" s="1"/>
  <c r="BK257" i="44" s="1"/>
  <c r="BL257" i="44" s="1"/>
  <c r="BM257" i="44" s="1"/>
  <c r="BN257" i="44" s="1"/>
  <c r="BO257" i="44" s="1"/>
  <c r="BP257" i="44" s="1"/>
  <c r="BQ257" i="44" s="1"/>
  <c r="BR257" i="44" s="1"/>
  <c r="BS257" i="44" s="1"/>
  <c r="BT257" i="44" s="1"/>
  <c r="BU257" i="44" s="1"/>
  <c r="BV257" i="44" s="1"/>
  <c r="BW257" i="44" s="1"/>
  <c r="BX257" i="44" s="1"/>
  <c r="BY257" i="44" s="1"/>
  <c r="BZ257" i="44" s="1"/>
  <c r="CA257" i="44" s="1"/>
  <c r="CB257" i="44" s="1"/>
  <c r="CC257" i="44" s="1"/>
  <c r="CD257" i="44" s="1"/>
  <c r="CE257" i="44" s="1"/>
  <c r="AH256" i="44"/>
  <c r="AI256" i="44" s="1"/>
  <c r="AJ256" i="44" s="1"/>
  <c r="AK256" i="44" s="1"/>
  <c r="AL256" i="44" s="1"/>
  <c r="AM256" i="44" s="1"/>
  <c r="AN256" i="44" s="1"/>
  <c r="AO256" i="44" s="1"/>
  <c r="AP256" i="44" s="1"/>
  <c r="AQ256" i="44" s="1"/>
  <c r="AR256" i="44" s="1"/>
  <c r="AS256" i="44" s="1"/>
  <c r="AT256" i="44" s="1"/>
  <c r="AU256" i="44" s="1"/>
  <c r="AV256" i="44" s="1"/>
  <c r="AW256" i="44" s="1"/>
  <c r="AX256" i="44" s="1"/>
  <c r="AY256" i="44" s="1"/>
  <c r="AZ256" i="44" s="1"/>
  <c r="BA256" i="44" s="1"/>
  <c r="BB256" i="44" s="1"/>
  <c r="BC256" i="44" s="1"/>
  <c r="BD256" i="44" s="1"/>
  <c r="BE256" i="44" s="1"/>
  <c r="BF256" i="44" s="1"/>
  <c r="BG256" i="44" s="1"/>
  <c r="BH256" i="44" s="1"/>
  <c r="BI256" i="44" s="1"/>
  <c r="BJ256" i="44" s="1"/>
  <c r="BK256" i="44" s="1"/>
  <c r="BL256" i="44" s="1"/>
  <c r="BM256" i="44" s="1"/>
  <c r="BN256" i="44" s="1"/>
  <c r="BO256" i="44" s="1"/>
  <c r="BP256" i="44" s="1"/>
  <c r="BQ256" i="44" s="1"/>
  <c r="BR256" i="44" s="1"/>
  <c r="BS256" i="44" s="1"/>
  <c r="BT256" i="44" s="1"/>
  <c r="BU256" i="44" s="1"/>
  <c r="BV256" i="44" s="1"/>
  <c r="BW256" i="44" s="1"/>
  <c r="BX256" i="44" s="1"/>
  <c r="BY256" i="44" s="1"/>
  <c r="BZ256" i="44" s="1"/>
  <c r="CA256" i="44" s="1"/>
  <c r="CB256" i="44" s="1"/>
  <c r="CC256" i="44" s="1"/>
  <c r="CD256" i="44" s="1"/>
  <c r="CE256" i="44" s="1"/>
  <c r="AH255" i="44"/>
  <c r="AI255" i="44" s="1"/>
  <c r="AJ255" i="44" s="1"/>
  <c r="AK255" i="44" s="1"/>
  <c r="AL255" i="44" s="1"/>
  <c r="AM255" i="44" s="1"/>
  <c r="AN255" i="44" s="1"/>
  <c r="AO255" i="44" s="1"/>
  <c r="AP255" i="44" s="1"/>
  <c r="AQ255" i="44" s="1"/>
  <c r="AR255" i="44" s="1"/>
  <c r="AS255" i="44" s="1"/>
  <c r="AT255" i="44" s="1"/>
  <c r="AU255" i="44" s="1"/>
  <c r="AV255" i="44" s="1"/>
  <c r="AW255" i="44" s="1"/>
  <c r="AX255" i="44" s="1"/>
  <c r="AY255" i="44" s="1"/>
  <c r="AZ255" i="44" s="1"/>
  <c r="BA255" i="44" s="1"/>
  <c r="BB255" i="44" s="1"/>
  <c r="BC255" i="44" s="1"/>
  <c r="BD255" i="44" s="1"/>
  <c r="BE255" i="44" s="1"/>
  <c r="BF255" i="44" s="1"/>
  <c r="BG255" i="44" s="1"/>
  <c r="BH255" i="44" s="1"/>
  <c r="BI255" i="44" s="1"/>
  <c r="BJ255" i="44" s="1"/>
  <c r="BK255" i="44" s="1"/>
  <c r="BL255" i="44" s="1"/>
  <c r="BM255" i="44" s="1"/>
  <c r="BN255" i="44" s="1"/>
  <c r="BO255" i="44" s="1"/>
  <c r="BP255" i="44" s="1"/>
  <c r="BQ255" i="44" s="1"/>
  <c r="BR255" i="44" s="1"/>
  <c r="BS255" i="44" s="1"/>
  <c r="BT255" i="44" s="1"/>
  <c r="BU255" i="44" s="1"/>
  <c r="BV255" i="44" s="1"/>
  <c r="BW255" i="44" s="1"/>
  <c r="BX255" i="44" s="1"/>
  <c r="BY255" i="44" s="1"/>
  <c r="BZ255" i="44" s="1"/>
  <c r="CA255" i="44" s="1"/>
  <c r="CB255" i="44" s="1"/>
  <c r="CC255" i="44" s="1"/>
  <c r="CD255" i="44" s="1"/>
  <c r="CE255" i="44" s="1"/>
  <c r="AH254" i="44"/>
  <c r="AI254" i="44" s="1"/>
  <c r="AJ254" i="44" s="1"/>
  <c r="AK254" i="44" s="1"/>
  <c r="AL254" i="44" s="1"/>
  <c r="AM254" i="44" s="1"/>
  <c r="AN254" i="44" s="1"/>
  <c r="AO254" i="44" s="1"/>
  <c r="AP254" i="44" s="1"/>
  <c r="AQ254" i="44" s="1"/>
  <c r="AR254" i="44" s="1"/>
  <c r="AS254" i="44" s="1"/>
  <c r="AT254" i="44" s="1"/>
  <c r="AU254" i="44" s="1"/>
  <c r="AV254" i="44" s="1"/>
  <c r="AW254" i="44" s="1"/>
  <c r="AX254" i="44" s="1"/>
  <c r="AY254" i="44" s="1"/>
  <c r="AZ254" i="44" s="1"/>
  <c r="BA254" i="44" s="1"/>
  <c r="BB254" i="44" s="1"/>
  <c r="BC254" i="44" s="1"/>
  <c r="BD254" i="44" s="1"/>
  <c r="BE254" i="44" s="1"/>
  <c r="BF254" i="44" s="1"/>
  <c r="BG254" i="44" s="1"/>
  <c r="BH254" i="44" s="1"/>
  <c r="BI254" i="44" s="1"/>
  <c r="BJ254" i="44" s="1"/>
  <c r="BK254" i="44" s="1"/>
  <c r="BL254" i="44" s="1"/>
  <c r="BM254" i="44" s="1"/>
  <c r="BN254" i="44" s="1"/>
  <c r="BO254" i="44" s="1"/>
  <c r="BP254" i="44" s="1"/>
  <c r="BQ254" i="44" s="1"/>
  <c r="BR254" i="44" s="1"/>
  <c r="BS254" i="44" s="1"/>
  <c r="BT254" i="44" s="1"/>
  <c r="BU254" i="44" s="1"/>
  <c r="BV254" i="44" s="1"/>
  <c r="BW254" i="44" s="1"/>
  <c r="BX254" i="44" s="1"/>
  <c r="BY254" i="44" s="1"/>
  <c r="BZ254" i="44" s="1"/>
  <c r="CA254" i="44" s="1"/>
  <c r="CB254" i="44" s="1"/>
  <c r="CC254" i="44" s="1"/>
  <c r="CD254" i="44" s="1"/>
  <c r="CE254" i="44" s="1"/>
  <c r="F253" i="44"/>
  <c r="G253" i="44" s="1"/>
  <c r="H253" i="44" s="1"/>
  <c r="I253" i="44" s="1"/>
  <c r="J253" i="44" s="1"/>
  <c r="K253" i="44" s="1"/>
  <c r="L253" i="44" s="1"/>
  <c r="M253" i="44" s="1"/>
  <c r="N253" i="44" s="1"/>
  <c r="O253" i="44" s="1"/>
  <c r="P253" i="44" s="1"/>
  <c r="Q253" i="44" s="1"/>
  <c r="R253" i="44" s="1"/>
  <c r="S253" i="44" s="1"/>
  <c r="T253" i="44" s="1"/>
  <c r="U253" i="44" s="1"/>
  <c r="V253" i="44" s="1"/>
  <c r="W253" i="44" s="1"/>
  <c r="X253" i="44" s="1"/>
  <c r="Y253" i="44" s="1"/>
  <c r="Z253" i="44" s="1"/>
  <c r="AA253" i="44" s="1"/>
  <c r="AB253" i="44" s="1"/>
  <c r="AC253" i="44" s="1"/>
  <c r="AD253" i="44" s="1"/>
  <c r="AE253" i="44" s="1"/>
  <c r="AF253" i="44" s="1"/>
  <c r="AG253" i="44" s="1"/>
  <c r="AH253" i="44" s="1"/>
  <c r="AI253" i="44" s="1"/>
  <c r="AJ253" i="44" s="1"/>
  <c r="AK253" i="44" s="1"/>
  <c r="AL253" i="44" s="1"/>
  <c r="AM253" i="44" s="1"/>
  <c r="AN253" i="44" s="1"/>
  <c r="AO253" i="44" s="1"/>
  <c r="AP253" i="44" s="1"/>
  <c r="AQ253" i="44" s="1"/>
  <c r="AR253" i="44" s="1"/>
  <c r="AS253" i="44" s="1"/>
  <c r="AT253" i="44" s="1"/>
  <c r="AU253" i="44" s="1"/>
  <c r="AV253" i="44" s="1"/>
  <c r="AW253" i="44" s="1"/>
  <c r="AX253" i="44" s="1"/>
  <c r="AY253" i="44" s="1"/>
  <c r="AZ253" i="44" s="1"/>
  <c r="BA253" i="44" s="1"/>
  <c r="BB253" i="44" s="1"/>
  <c r="BC253" i="44" s="1"/>
  <c r="BD253" i="44" s="1"/>
  <c r="BE253" i="44" s="1"/>
  <c r="BF253" i="44" s="1"/>
  <c r="BG253" i="44" s="1"/>
  <c r="BH253" i="44" s="1"/>
  <c r="BI253" i="44" s="1"/>
  <c r="BJ253" i="44" s="1"/>
  <c r="BK253" i="44" s="1"/>
  <c r="BL253" i="44" s="1"/>
  <c r="BM253" i="44" s="1"/>
  <c r="BN253" i="44" s="1"/>
  <c r="BO253" i="44" s="1"/>
  <c r="BP253" i="44" s="1"/>
  <c r="BQ253" i="44" s="1"/>
  <c r="BR253" i="44" s="1"/>
  <c r="BS253" i="44" s="1"/>
  <c r="BT253" i="44" s="1"/>
  <c r="BU253" i="44" s="1"/>
  <c r="BV253" i="44" s="1"/>
  <c r="BW253" i="44" s="1"/>
  <c r="BX253" i="44" s="1"/>
  <c r="BY253" i="44" s="1"/>
  <c r="BZ253" i="44" s="1"/>
  <c r="CA253" i="44" s="1"/>
  <c r="CB253" i="44" s="1"/>
  <c r="CC253" i="44" s="1"/>
  <c r="CD253" i="44" s="1"/>
  <c r="CE253" i="44" s="1"/>
  <c r="AH251" i="44"/>
  <c r="AI251" i="44" s="1"/>
  <c r="AJ251" i="44" s="1"/>
  <c r="AK251" i="44" s="1"/>
  <c r="AL251" i="44" s="1"/>
  <c r="AM251" i="44" s="1"/>
  <c r="AN251" i="44" s="1"/>
  <c r="AO251" i="44" s="1"/>
  <c r="AP251" i="44" s="1"/>
  <c r="AQ251" i="44" s="1"/>
  <c r="AR251" i="44" s="1"/>
  <c r="AS251" i="44" s="1"/>
  <c r="AT251" i="44" s="1"/>
  <c r="AU251" i="44" s="1"/>
  <c r="AV251" i="44" s="1"/>
  <c r="AW251" i="44" s="1"/>
  <c r="AX251" i="44" s="1"/>
  <c r="AY251" i="44" s="1"/>
  <c r="AZ251" i="44" s="1"/>
  <c r="BA251" i="44" s="1"/>
  <c r="BB251" i="44" s="1"/>
  <c r="BC251" i="44" s="1"/>
  <c r="BD251" i="44" s="1"/>
  <c r="BE251" i="44" s="1"/>
  <c r="BF251" i="44" s="1"/>
  <c r="BG251" i="44" s="1"/>
  <c r="BH251" i="44" s="1"/>
  <c r="BI251" i="44" s="1"/>
  <c r="BJ251" i="44" s="1"/>
  <c r="BK251" i="44" s="1"/>
  <c r="BL251" i="44" s="1"/>
  <c r="BM251" i="44" s="1"/>
  <c r="BN251" i="44" s="1"/>
  <c r="BO251" i="44" s="1"/>
  <c r="BP251" i="44" s="1"/>
  <c r="BQ251" i="44" s="1"/>
  <c r="BR251" i="44" s="1"/>
  <c r="BS251" i="44" s="1"/>
  <c r="BT251" i="44" s="1"/>
  <c r="BU251" i="44" s="1"/>
  <c r="BV251" i="44" s="1"/>
  <c r="BW251" i="44" s="1"/>
  <c r="BX251" i="44" s="1"/>
  <c r="BY251" i="44" s="1"/>
  <c r="BZ251" i="44" s="1"/>
  <c r="CA251" i="44" s="1"/>
  <c r="CB251" i="44" s="1"/>
  <c r="CC251" i="44" s="1"/>
  <c r="CD251" i="44" s="1"/>
  <c r="CE251" i="44" s="1"/>
  <c r="AH250" i="44"/>
  <c r="AI250" i="44" s="1"/>
  <c r="AJ250" i="44" s="1"/>
  <c r="AK250" i="44" s="1"/>
  <c r="AL250" i="44" s="1"/>
  <c r="AM250" i="44" s="1"/>
  <c r="AN250" i="44" s="1"/>
  <c r="AO250" i="44" s="1"/>
  <c r="AP250" i="44" s="1"/>
  <c r="AQ250" i="44" s="1"/>
  <c r="AR250" i="44" s="1"/>
  <c r="AS250" i="44" s="1"/>
  <c r="AT250" i="44" s="1"/>
  <c r="AU250" i="44" s="1"/>
  <c r="AV250" i="44" s="1"/>
  <c r="AW250" i="44" s="1"/>
  <c r="AX250" i="44" s="1"/>
  <c r="AY250" i="44" s="1"/>
  <c r="AZ250" i="44" s="1"/>
  <c r="BA250" i="44" s="1"/>
  <c r="BB250" i="44" s="1"/>
  <c r="BC250" i="44" s="1"/>
  <c r="BD250" i="44" s="1"/>
  <c r="BE250" i="44" s="1"/>
  <c r="BF250" i="44" s="1"/>
  <c r="BG250" i="44" s="1"/>
  <c r="BH250" i="44" s="1"/>
  <c r="BI250" i="44" s="1"/>
  <c r="BJ250" i="44" s="1"/>
  <c r="BK250" i="44" s="1"/>
  <c r="BL250" i="44" s="1"/>
  <c r="BM250" i="44" s="1"/>
  <c r="BN250" i="44" s="1"/>
  <c r="BO250" i="44" s="1"/>
  <c r="BP250" i="44" s="1"/>
  <c r="BQ250" i="44" s="1"/>
  <c r="BR250" i="44" s="1"/>
  <c r="BS250" i="44" s="1"/>
  <c r="BT250" i="44" s="1"/>
  <c r="BU250" i="44" s="1"/>
  <c r="BV250" i="44" s="1"/>
  <c r="BW250" i="44" s="1"/>
  <c r="BX250" i="44" s="1"/>
  <c r="BY250" i="44" s="1"/>
  <c r="BZ250" i="44" s="1"/>
  <c r="CA250" i="44" s="1"/>
  <c r="CB250" i="44" s="1"/>
  <c r="CC250" i="44" s="1"/>
  <c r="CD250" i="44" s="1"/>
  <c r="CE250" i="44" s="1"/>
  <c r="AH249" i="44"/>
  <c r="AI249" i="44" s="1"/>
  <c r="AJ249" i="44" s="1"/>
  <c r="AK249" i="44" s="1"/>
  <c r="AL249" i="44" s="1"/>
  <c r="AM249" i="44" s="1"/>
  <c r="AN249" i="44" s="1"/>
  <c r="AO249" i="44" s="1"/>
  <c r="AP249" i="44" s="1"/>
  <c r="AQ249" i="44" s="1"/>
  <c r="AR249" i="44" s="1"/>
  <c r="AS249" i="44" s="1"/>
  <c r="AT249" i="44" s="1"/>
  <c r="AU249" i="44" s="1"/>
  <c r="AV249" i="44" s="1"/>
  <c r="AW249" i="44" s="1"/>
  <c r="AX249" i="44" s="1"/>
  <c r="AY249" i="44" s="1"/>
  <c r="AZ249" i="44" s="1"/>
  <c r="BA249" i="44" s="1"/>
  <c r="BB249" i="44" s="1"/>
  <c r="BC249" i="44" s="1"/>
  <c r="BD249" i="44" s="1"/>
  <c r="BE249" i="44" s="1"/>
  <c r="BF249" i="44" s="1"/>
  <c r="BG249" i="44" s="1"/>
  <c r="BH249" i="44" s="1"/>
  <c r="BI249" i="44" s="1"/>
  <c r="BJ249" i="44" s="1"/>
  <c r="BK249" i="44" s="1"/>
  <c r="BL249" i="44" s="1"/>
  <c r="BM249" i="44" s="1"/>
  <c r="BN249" i="44" s="1"/>
  <c r="BO249" i="44" s="1"/>
  <c r="BP249" i="44" s="1"/>
  <c r="BQ249" i="44" s="1"/>
  <c r="BR249" i="44" s="1"/>
  <c r="BS249" i="44" s="1"/>
  <c r="BT249" i="44" s="1"/>
  <c r="BU249" i="44" s="1"/>
  <c r="BV249" i="44" s="1"/>
  <c r="BW249" i="44" s="1"/>
  <c r="BX249" i="44" s="1"/>
  <c r="BY249" i="44" s="1"/>
  <c r="BZ249" i="44" s="1"/>
  <c r="CA249" i="44" s="1"/>
  <c r="CB249" i="44" s="1"/>
  <c r="CC249" i="44" s="1"/>
  <c r="CD249" i="44" s="1"/>
  <c r="CE249" i="44" s="1"/>
  <c r="AH248" i="44"/>
  <c r="AI248" i="44" s="1"/>
  <c r="AJ248" i="44" s="1"/>
  <c r="AK248" i="44" s="1"/>
  <c r="AL248" i="44" s="1"/>
  <c r="AM248" i="44" s="1"/>
  <c r="AN248" i="44" s="1"/>
  <c r="AO248" i="44" s="1"/>
  <c r="AP248" i="44" s="1"/>
  <c r="AQ248" i="44" s="1"/>
  <c r="AR248" i="44" s="1"/>
  <c r="AS248" i="44" s="1"/>
  <c r="AT248" i="44" s="1"/>
  <c r="AU248" i="44" s="1"/>
  <c r="AV248" i="44" s="1"/>
  <c r="AW248" i="44" s="1"/>
  <c r="AX248" i="44" s="1"/>
  <c r="AY248" i="44" s="1"/>
  <c r="AZ248" i="44" s="1"/>
  <c r="BA248" i="44" s="1"/>
  <c r="BB248" i="44" s="1"/>
  <c r="BC248" i="44" s="1"/>
  <c r="BD248" i="44" s="1"/>
  <c r="BE248" i="44" s="1"/>
  <c r="BF248" i="44" s="1"/>
  <c r="BG248" i="44" s="1"/>
  <c r="BH248" i="44" s="1"/>
  <c r="BI248" i="44" s="1"/>
  <c r="BJ248" i="44" s="1"/>
  <c r="BK248" i="44" s="1"/>
  <c r="BL248" i="44" s="1"/>
  <c r="BM248" i="44" s="1"/>
  <c r="BN248" i="44" s="1"/>
  <c r="BO248" i="44" s="1"/>
  <c r="BP248" i="44" s="1"/>
  <c r="BQ248" i="44" s="1"/>
  <c r="BR248" i="44" s="1"/>
  <c r="BS248" i="44" s="1"/>
  <c r="BT248" i="44" s="1"/>
  <c r="BU248" i="44" s="1"/>
  <c r="BV248" i="44" s="1"/>
  <c r="BW248" i="44" s="1"/>
  <c r="BX248" i="44" s="1"/>
  <c r="BY248" i="44" s="1"/>
  <c r="BZ248" i="44" s="1"/>
  <c r="CA248" i="44" s="1"/>
  <c r="CB248" i="44" s="1"/>
  <c r="CC248" i="44" s="1"/>
  <c r="CD248" i="44" s="1"/>
  <c r="CE248" i="44" s="1"/>
  <c r="AH247" i="44"/>
  <c r="AI247" i="44" s="1"/>
  <c r="AJ247" i="44" s="1"/>
  <c r="AK247" i="44" s="1"/>
  <c r="AL247" i="44" s="1"/>
  <c r="AM247" i="44" s="1"/>
  <c r="AN247" i="44" s="1"/>
  <c r="AO247" i="44" s="1"/>
  <c r="AP247" i="44" s="1"/>
  <c r="AQ247" i="44" s="1"/>
  <c r="AR247" i="44" s="1"/>
  <c r="AS247" i="44" s="1"/>
  <c r="AT247" i="44" s="1"/>
  <c r="AU247" i="44" s="1"/>
  <c r="AV247" i="44" s="1"/>
  <c r="AW247" i="44" s="1"/>
  <c r="AX247" i="44" s="1"/>
  <c r="AY247" i="44" s="1"/>
  <c r="AZ247" i="44" s="1"/>
  <c r="BA247" i="44" s="1"/>
  <c r="BB247" i="44" s="1"/>
  <c r="BC247" i="44" s="1"/>
  <c r="BD247" i="44" s="1"/>
  <c r="BE247" i="44" s="1"/>
  <c r="BF247" i="44" s="1"/>
  <c r="BG247" i="44" s="1"/>
  <c r="BH247" i="44" s="1"/>
  <c r="BI247" i="44" s="1"/>
  <c r="BJ247" i="44" s="1"/>
  <c r="BK247" i="44" s="1"/>
  <c r="BL247" i="44" s="1"/>
  <c r="BM247" i="44" s="1"/>
  <c r="BN247" i="44" s="1"/>
  <c r="BO247" i="44" s="1"/>
  <c r="BP247" i="44" s="1"/>
  <c r="BQ247" i="44" s="1"/>
  <c r="BR247" i="44" s="1"/>
  <c r="BS247" i="44" s="1"/>
  <c r="BT247" i="44" s="1"/>
  <c r="BU247" i="44" s="1"/>
  <c r="BV247" i="44" s="1"/>
  <c r="BW247" i="44" s="1"/>
  <c r="BX247" i="44" s="1"/>
  <c r="BY247" i="44" s="1"/>
  <c r="BZ247" i="44" s="1"/>
  <c r="CA247" i="44" s="1"/>
  <c r="CB247" i="44" s="1"/>
  <c r="CC247" i="44" s="1"/>
  <c r="CD247" i="44" s="1"/>
  <c r="CE247" i="44" s="1"/>
  <c r="AH246" i="44"/>
  <c r="AI246" i="44" s="1"/>
  <c r="AJ246" i="44" s="1"/>
  <c r="AK246" i="44" s="1"/>
  <c r="AL246" i="44" s="1"/>
  <c r="AM246" i="44" s="1"/>
  <c r="AN246" i="44" s="1"/>
  <c r="AO246" i="44" s="1"/>
  <c r="AP246" i="44" s="1"/>
  <c r="AQ246" i="44" s="1"/>
  <c r="AR246" i="44" s="1"/>
  <c r="AS246" i="44" s="1"/>
  <c r="AT246" i="44" s="1"/>
  <c r="AU246" i="44" s="1"/>
  <c r="AV246" i="44" s="1"/>
  <c r="AW246" i="44" s="1"/>
  <c r="AX246" i="44" s="1"/>
  <c r="AY246" i="44" s="1"/>
  <c r="AZ246" i="44" s="1"/>
  <c r="BA246" i="44" s="1"/>
  <c r="BB246" i="44" s="1"/>
  <c r="BC246" i="44" s="1"/>
  <c r="BD246" i="44" s="1"/>
  <c r="BE246" i="44" s="1"/>
  <c r="BF246" i="44" s="1"/>
  <c r="BG246" i="44" s="1"/>
  <c r="BH246" i="44" s="1"/>
  <c r="BI246" i="44" s="1"/>
  <c r="BJ246" i="44" s="1"/>
  <c r="BK246" i="44" s="1"/>
  <c r="BL246" i="44" s="1"/>
  <c r="BM246" i="44" s="1"/>
  <c r="BN246" i="44" s="1"/>
  <c r="BO246" i="44" s="1"/>
  <c r="BP246" i="44" s="1"/>
  <c r="BQ246" i="44" s="1"/>
  <c r="BR246" i="44" s="1"/>
  <c r="BS246" i="44" s="1"/>
  <c r="BT246" i="44" s="1"/>
  <c r="BU246" i="44" s="1"/>
  <c r="BV246" i="44" s="1"/>
  <c r="BW246" i="44" s="1"/>
  <c r="BX246" i="44" s="1"/>
  <c r="BY246" i="44" s="1"/>
  <c r="BZ246" i="44" s="1"/>
  <c r="CA246" i="44" s="1"/>
  <c r="CB246" i="44" s="1"/>
  <c r="CC246" i="44" s="1"/>
  <c r="CD246" i="44" s="1"/>
  <c r="CE246" i="44" s="1"/>
  <c r="AH245" i="44"/>
  <c r="AI245" i="44" s="1"/>
  <c r="AJ245" i="44" s="1"/>
  <c r="AK245" i="44" s="1"/>
  <c r="AL245" i="44" s="1"/>
  <c r="AM245" i="44" s="1"/>
  <c r="AN245" i="44" s="1"/>
  <c r="AO245" i="44" s="1"/>
  <c r="AP245" i="44" s="1"/>
  <c r="AQ245" i="44" s="1"/>
  <c r="AR245" i="44" s="1"/>
  <c r="AS245" i="44" s="1"/>
  <c r="AT245" i="44" s="1"/>
  <c r="AU245" i="44" s="1"/>
  <c r="AV245" i="44" s="1"/>
  <c r="AW245" i="44" s="1"/>
  <c r="AX245" i="44" s="1"/>
  <c r="AY245" i="44" s="1"/>
  <c r="AZ245" i="44" s="1"/>
  <c r="BA245" i="44" s="1"/>
  <c r="BB245" i="44" s="1"/>
  <c r="BC245" i="44" s="1"/>
  <c r="BD245" i="44" s="1"/>
  <c r="BE245" i="44" s="1"/>
  <c r="BF245" i="44" s="1"/>
  <c r="BG245" i="44" s="1"/>
  <c r="BH245" i="44" s="1"/>
  <c r="BI245" i="44" s="1"/>
  <c r="BJ245" i="44" s="1"/>
  <c r="BK245" i="44" s="1"/>
  <c r="BL245" i="44" s="1"/>
  <c r="BM245" i="44" s="1"/>
  <c r="BN245" i="44" s="1"/>
  <c r="BO245" i="44" s="1"/>
  <c r="BP245" i="44" s="1"/>
  <c r="BQ245" i="44" s="1"/>
  <c r="BR245" i="44" s="1"/>
  <c r="BS245" i="44" s="1"/>
  <c r="BT245" i="44" s="1"/>
  <c r="BU245" i="44" s="1"/>
  <c r="BV245" i="44" s="1"/>
  <c r="BW245" i="44" s="1"/>
  <c r="BX245" i="44" s="1"/>
  <c r="BY245" i="44" s="1"/>
  <c r="BZ245" i="44" s="1"/>
  <c r="CA245" i="44" s="1"/>
  <c r="CB245" i="44" s="1"/>
  <c r="CC245" i="44" s="1"/>
  <c r="CD245" i="44" s="1"/>
  <c r="CE245" i="44" s="1"/>
  <c r="AH244" i="44"/>
  <c r="AI244" i="44" s="1"/>
  <c r="AJ244" i="44" s="1"/>
  <c r="AK244" i="44" s="1"/>
  <c r="AL244" i="44" s="1"/>
  <c r="AM244" i="44" s="1"/>
  <c r="AN244" i="44" s="1"/>
  <c r="AO244" i="44" s="1"/>
  <c r="AP244" i="44" s="1"/>
  <c r="AQ244" i="44" s="1"/>
  <c r="AR244" i="44" s="1"/>
  <c r="AS244" i="44" s="1"/>
  <c r="AT244" i="44" s="1"/>
  <c r="AU244" i="44" s="1"/>
  <c r="AV244" i="44" s="1"/>
  <c r="AW244" i="44" s="1"/>
  <c r="AX244" i="44" s="1"/>
  <c r="AY244" i="44" s="1"/>
  <c r="AZ244" i="44" s="1"/>
  <c r="BA244" i="44" s="1"/>
  <c r="BB244" i="44" s="1"/>
  <c r="BC244" i="44" s="1"/>
  <c r="BD244" i="44" s="1"/>
  <c r="BE244" i="44" s="1"/>
  <c r="BF244" i="44" s="1"/>
  <c r="BG244" i="44" s="1"/>
  <c r="BH244" i="44" s="1"/>
  <c r="BI244" i="44" s="1"/>
  <c r="BJ244" i="44" s="1"/>
  <c r="BK244" i="44" s="1"/>
  <c r="BL244" i="44" s="1"/>
  <c r="BM244" i="44" s="1"/>
  <c r="BN244" i="44" s="1"/>
  <c r="BO244" i="44" s="1"/>
  <c r="BP244" i="44" s="1"/>
  <c r="BQ244" i="44" s="1"/>
  <c r="BR244" i="44" s="1"/>
  <c r="BS244" i="44" s="1"/>
  <c r="BT244" i="44" s="1"/>
  <c r="BU244" i="44" s="1"/>
  <c r="BV244" i="44" s="1"/>
  <c r="BW244" i="44" s="1"/>
  <c r="BX244" i="44" s="1"/>
  <c r="BY244" i="44" s="1"/>
  <c r="BZ244" i="44" s="1"/>
  <c r="CA244" i="44" s="1"/>
  <c r="CB244" i="44" s="1"/>
  <c r="CC244" i="44" s="1"/>
  <c r="CD244" i="44" s="1"/>
  <c r="CE244" i="44" s="1"/>
  <c r="AH242" i="44"/>
  <c r="AI242" i="44" s="1"/>
  <c r="AJ242" i="44" s="1"/>
  <c r="AK242" i="44" s="1"/>
  <c r="AL242" i="44" s="1"/>
  <c r="AM242" i="44" s="1"/>
  <c r="AN242" i="44" s="1"/>
  <c r="AO242" i="44" s="1"/>
  <c r="AP242" i="44" s="1"/>
  <c r="AQ242" i="44" s="1"/>
  <c r="AR242" i="44" s="1"/>
  <c r="AS242" i="44" s="1"/>
  <c r="AT242" i="44" s="1"/>
  <c r="AU242" i="44" s="1"/>
  <c r="AV242" i="44" s="1"/>
  <c r="AW242" i="44" s="1"/>
  <c r="AX242" i="44" s="1"/>
  <c r="AY242" i="44" s="1"/>
  <c r="AZ242" i="44" s="1"/>
  <c r="BA242" i="44" s="1"/>
  <c r="BB242" i="44" s="1"/>
  <c r="BC242" i="44" s="1"/>
  <c r="BD242" i="44" s="1"/>
  <c r="BE242" i="44" s="1"/>
  <c r="BF242" i="44" s="1"/>
  <c r="BG242" i="44" s="1"/>
  <c r="BH242" i="44" s="1"/>
  <c r="BI242" i="44" s="1"/>
  <c r="BJ242" i="44" s="1"/>
  <c r="BK242" i="44" s="1"/>
  <c r="BL242" i="44" s="1"/>
  <c r="BM242" i="44" s="1"/>
  <c r="BN242" i="44" s="1"/>
  <c r="BO242" i="44" s="1"/>
  <c r="BP242" i="44" s="1"/>
  <c r="BQ242" i="44" s="1"/>
  <c r="BR242" i="44" s="1"/>
  <c r="BS242" i="44" s="1"/>
  <c r="BT242" i="44" s="1"/>
  <c r="BU242" i="44" s="1"/>
  <c r="BV242" i="44" s="1"/>
  <c r="BW242" i="44" s="1"/>
  <c r="BX242" i="44" s="1"/>
  <c r="BY242" i="44" s="1"/>
  <c r="BZ242" i="44" s="1"/>
  <c r="CA242" i="44" s="1"/>
  <c r="CB242" i="44" s="1"/>
  <c r="CC242" i="44" s="1"/>
  <c r="CD242" i="44" s="1"/>
  <c r="CE242" i="44" s="1"/>
  <c r="AH241" i="44"/>
  <c r="AI241" i="44" s="1"/>
  <c r="AJ241" i="44" s="1"/>
  <c r="AK241" i="44" s="1"/>
  <c r="AL241" i="44" s="1"/>
  <c r="AM241" i="44" s="1"/>
  <c r="AN241" i="44" s="1"/>
  <c r="AO241" i="44" s="1"/>
  <c r="AP241" i="44" s="1"/>
  <c r="AQ241" i="44" s="1"/>
  <c r="AR241" i="44" s="1"/>
  <c r="AS241" i="44" s="1"/>
  <c r="AT241" i="44" s="1"/>
  <c r="AU241" i="44" s="1"/>
  <c r="AV241" i="44" s="1"/>
  <c r="AW241" i="44" s="1"/>
  <c r="AX241" i="44" s="1"/>
  <c r="AY241" i="44" s="1"/>
  <c r="AZ241" i="44" s="1"/>
  <c r="BA241" i="44" s="1"/>
  <c r="BB241" i="44" s="1"/>
  <c r="BC241" i="44" s="1"/>
  <c r="BD241" i="44" s="1"/>
  <c r="BE241" i="44" s="1"/>
  <c r="BF241" i="44" s="1"/>
  <c r="BG241" i="44" s="1"/>
  <c r="BH241" i="44" s="1"/>
  <c r="BI241" i="44" s="1"/>
  <c r="BJ241" i="44" s="1"/>
  <c r="BK241" i="44" s="1"/>
  <c r="BL241" i="44" s="1"/>
  <c r="BM241" i="44" s="1"/>
  <c r="BN241" i="44" s="1"/>
  <c r="BO241" i="44" s="1"/>
  <c r="BP241" i="44" s="1"/>
  <c r="BQ241" i="44" s="1"/>
  <c r="BR241" i="44" s="1"/>
  <c r="BS241" i="44" s="1"/>
  <c r="BT241" i="44" s="1"/>
  <c r="BU241" i="44" s="1"/>
  <c r="BV241" i="44" s="1"/>
  <c r="BW241" i="44" s="1"/>
  <c r="BX241" i="44" s="1"/>
  <c r="BY241" i="44" s="1"/>
  <c r="BZ241" i="44" s="1"/>
  <c r="CA241" i="44" s="1"/>
  <c r="CB241" i="44" s="1"/>
  <c r="CC241" i="44" s="1"/>
  <c r="CD241" i="44" s="1"/>
  <c r="CE241" i="44" s="1"/>
  <c r="AH239" i="44"/>
  <c r="AI239" i="44" s="1"/>
  <c r="AJ239" i="44" s="1"/>
  <c r="AK239" i="44" s="1"/>
  <c r="AL239" i="44" s="1"/>
  <c r="AM239" i="44" s="1"/>
  <c r="AN239" i="44" s="1"/>
  <c r="AO239" i="44" s="1"/>
  <c r="AP239" i="44" s="1"/>
  <c r="AQ239" i="44" s="1"/>
  <c r="AR239" i="44" s="1"/>
  <c r="AS239" i="44" s="1"/>
  <c r="AT239" i="44" s="1"/>
  <c r="AU239" i="44" s="1"/>
  <c r="AV239" i="44" s="1"/>
  <c r="AW239" i="44" s="1"/>
  <c r="AX239" i="44" s="1"/>
  <c r="AY239" i="44" s="1"/>
  <c r="AZ239" i="44" s="1"/>
  <c r="BA239" i="44" s="1"/>
  <c r="BB239" i="44" s="1"/>
  <c r="BC239" i="44" s="1"/>
  <c r="BD239" i="44" s="1"/>
  <c r="BE239" i="44" s="1"/>
  <c r="BF239" i="44" s="1"/>
  <c r="BG239" i="44" s="1"/>
  <c r="BH239" i="44" s="1"/>
  <c r="BI239" i="44" s="1"/>
  <c r="BJ239" i="44" s="1"/>
  <c r="BK239" i="44" s="1"/>
  <c r="BL239" i="44" s="1"/>
  <c r="BM239" i="44" s="1"/>
  <c r="BN239" i="44" s="1"/>
  <c r="BO239" i="44" s="1"/>
  <c r="BP239" i="44" s="1"/>
  <c r="BQ239" i="44" s="1"/>
  <c r="BR239" i="44" s="1"/>
  <c r="BS239" i="44" s="1"/>
  <c r="BT239" i="44" s="1"/>
  <c r="BU239" i="44" s="1"/>
  <c r="BV239" i="44" s="1"/>
  <c r="BW239" i="44" s="1"/>
  <c r="BX239" i="44" s="1"/>
  <c r="BY239" i="44" s="1"/>
  <c r="BZ239" i="44" s="1"/>
  <c r="CA239" i="44" s="1"/>
  <c r="CB239" i="44" s="1"/>
  <c r="CC239" i="44" s="1"/>
  <c r="CD239" i="44" s="1"/>
  <c r="CE239" i="44" s="1"/>
  <c r="AH238" i="44"/>
  <c r="AI238" i="44" s="1"/>
  <c r="AJ238" i="44" s="1"/>
  <c r="AK238" i="44" s="1"/>
  <c r="AL238" i="44" s="1"/>
  <c r="AM238" i="44" s="1"/>
  <c r="AN238" i="44" s="1"/>
  <c r="AO238" i="44" s="1"/>
  <c r="AP238" i="44" s="1"/>
  <c r="AQ238" i="44" s="1"/>
  <c r="AR238" i="44" s="1"/>
  <c r="AS238" i="44" s="1"/>
  <c r="AT238" i="44" s="1"/>
  <c r="AU238" i="44" s="1"/>
  <c r="AV238" i="44" s="1"/>
  <c r="AW238" i="44" s="1"/>
  <c r="AX238" i="44" s="1"/>
  <c r="AY238" i="44" s="1"/>
  <c r="AZ238" i="44" s="1"/>
  <c r="BA238" i="44" s="1"/>
  <c r="BB238" i="44" s="1"/>
  <c r="BC238" i="44" s="1"/>
  <c r="BD238" i="44" s="1"/>
  <c r="BE238" i="44" s="1"/>
  <c r="BF238" i="44" s="1"/>
  <c r="BG238" i="44" s="1"/>
  <c r="BH238" i="44" s="1"/>
  <c r="BI238" i="44" s="1"/>
  <c r="BJ238" i="44" s="1"/>
  <c r="BK238" i="44" s="1"/>
  <c r="BL238" i="44" s="1"/>
  <c r="BM238" i="44" s="1"/>
  <c r="BN238" i="44" s="1"/>
  <c r="BO238" i="44" s="1"/>
  <c r="BP238" i="44" s="1"/>
  <c r="BQ238" i="44" s="1"/>
  <c r="BR238" i="44" s="1"/>
  <c r="BS238" i="44" s="1"/>
  <c r="BT238" i="44" s="1"/>
  <c r="BU238" i="44" s="1"/>
  <c r="BV238" i="44" s="1"/>
  <c r="BW238" i="44" s="1"/>
  <c r="BX238" i="44" s="1"/>
  <c r="BY238" i="44" s="1"/>
  <c r="BZ238" i="44" s="1"/>
  <c r="CA238" i="44" s="1"/>
  <c r="CB238" i="44" s="1"/>
  <c r="CC238" i="44" s="1"/>
  <c r="CD238" i="44" s="1"/>
  <c r="CE238" i="44" s="1"/>
  <c r="AH237" i="44"/>
  <c r="AI237" i="44" s="1"/>
  <c r="AJ237" i="44" s="1"/>
  <c r="AK237" i="44" s="1"/>
  <c r="AL237" i="44" s="1"/>
  <c r="AM237" i="44" s="1"/>
  <c r="AN237" i="44" s="1"/>
  <c r="AO237" i="44" s="1"/>
  <c r="AP237" i="44" s="1"/>
  <c r="AQ237" i="44" s="1"/>
  <c r="AR237" i="44" s="1"/>
  <c r="AS237" i="44" s="1"/>
  <c r="AT237" i="44" s="1"/>
  <c r="AU237" i="44" s="1"/>
  <c r="AV237" i="44" s="1"/>
  <c r="AW237" i="44" s="1"/>
  <c r="AX237" i="44" s="1"/>
  <c r="AY237" i="44" s="1"/>
  <c r="AZ237" i="44" s="1"/>
  <c r="BA237" i="44" s="1"/>
  <c r="BB237" i="44" s="1"/>
  <c r="BC237" i="44" s="1"/>
  <c r="BD237" i="44" s="1"/>
  <c r="BE237" i="44" s="1"/>
  <c r="BF237" i="44" s="1"/>
  <c r="BG237" i="44" s="1"/>
  <c r="BH237" i="44" s="1"/>
  <c r="BI237" i="44" s="1"/>
  <c r="BJ237" i="44" s="1"/>
  <c r="BK237" i="44" s="1"/>
  <c r="BL237" i="44" s="1"/>
  <c r="BM237" i="44" s="1"/>
  <c r="BN237" i="44" s="1"/>
  <c r="BO237" i="44" s="1"/>
  <c r="BP237" i="44" s="1"/>
  <c r="BQ237" i="44" s="1"/>
  <c r="BR237" i="44" s="1"/>
  <c r="BS237" i="44" s="1"/>
  <c r="BT237" i="44" s="1"/>
  <c r="BU237" i="44" s="1"/>
  <c r="BV237" i="44" s="1"/>
  <c r="BW237" i="44" s="1"/>
  <c r="BX237" i="44" s="1"/>
  <c r="BY237" i="44" s="1"/>
  <c r="BZ237" i="44" s="1"/>
  <c r="CA237" i="44" s="1"/>
  <c r="CB237" i="44" s="1"/>
  <c r="CC237" i="44" s="1"/>
  <c r="CD237" i="44" s="1"/>
  <c r="CE237" i="44" s="1"/>
  <c r="AH236" i="44"/>
  <c r="AI236" i="44" s="1"/>
  <c r="AJ236" i="44" s="1"/>
  <c r="AK236" i="44" s="1"/>
  <c r="AL236" i="44" s="1"/>
  <c r="AM236" i="44" s="1"/>
  <c r="AN236" i="44" s="1"/>
  <c r="AO236" i="44" s="1"/>
  <c r="AP236" i="44" s="1"/>
  <c r="AQ236" i="44" s="1"/>
  <c r="AR236" i="44" s="1"/>
  <c r="AS236" i="44" s="1"/>
  <c r="AT236" i="44" s="1"/>
  <c r="AU236" i="44" s="1"/>
  <c r="AV236" i="44" s="1"/>
  <c r="AW236" i="44" s="1"/>
  <c r="AX236" i="44" s="1"/>
  <c r="AY236" i="44" s="1"/>
  <c r="AZ236" i="44" s="1"/>
  <c r="BA236" i="44" s="1"/>
  <c r="BB236" i="44" s="1"/>
  <c r="BC236" i="44" s="1"/>
  <c r="BD236" i="44" s="1"/>
  <c r="BE236" i="44" s="1"/>
  <c r="BF236" i="44" s="1"/>
  <c r="BG236" i="44" s="1"/>
  <c r="BH236" i="44" s="1"/>
  <c r="BI236" i="44" s="1"/>
  <c r="BJ236" i="44" s="1"/>
  <c r="BK236" i="44" s="1"/>
  <c r="BL236" i="44" s="1"/>
  <c r="BM236" i="44" s="1"/>
  <c r="BN236" i="44" s="1"/>
  <c r="BO236" i="44" s="1"/>
  <c r="BP236" i="44" s="1"/>
  <c r="BQ236" i="44" s="1"/>
  <c r="BR236" i="44" s="1"/>
  <c r="BS236" i="44" s="1"/>
  <c r="BT236" i="44" s="1"/>
  <c r="BU236" i="44" s="1"/>
  <c r="BV236" i="44" s="1"/>
  <c r="BW236" i="44" s="1"/>
  <c r="BX236" i="44" s="1"/>
  <c r="BY236" i="44" s="1"/>
  <c r="BZ236" i="44" s="1"/>
  <c r="CA236" i="44" s="1"/>
  <c r="CB236" i="44" s="1"/>
  <c r="CC236" i="44" s="1"/>
  <c r="CD236" i="44" s="1"/>
  <c r="CE236" i="44" s="1"/>
  <c r="AH235" i="44"/>
  <c r="AI235" i="44" s="1"/>
  <c r="AJ235" i="44" s="1"/>
  <c r="AK235" i="44" s="1"/>
  <c r="AL235" i="44" s="1"/>
  <c r="AM235" i="44" s="1"/>
  <c r="AN235" i="44" s="1"/>
  <c r="AO235" i="44" s="1"/>
  <c r="AP235" i="44" s="1"/>
  <c r="AQ235" i="44" s="1"/>
  <c r="AR235" i="44" s="1"/>
  <c r="AS235" i="44" s="1"/>
  <c r="AT235" i="44" s="1"/>
  <c r="AU235" i="44" s="1"/>
  <c r="AV235" i="44" s="1"/>
  <c r="AW235" i="44" s="1"/>
  <c r="AX235" i="44" s="1"/>
  <c r="AY235" i="44" s="1"/>
  <c r="AZ235" i="44" s="1"/>
  <c r="BA235" i="44" s="1"/>
  <c r="BB235" i="44" s="1"/>
  <c r="BC235" i="44" s="1"/>
  <c r="BD235" i="44" s="1"/>
  <c r="BE235" i="44" s="1"/>
  <c r="BF235" i="44" s="1"/>
  <c r="BG235" i="44" s="1"/>
  <c r="BH235" i="44" s="1"/>
  <c r="BI235" i="44" s="1"/>
  <c r="BJ235" i="44" s="1"/>
  <c r="BK235" i="44" s="1"/>
  <c r="BL235" i="44" s="1"/>
  <c r="BM235" i="44" s="1"/>
  <c r="BN235" i="44" s="1"/>
  <c r="BO235" i="44" s="1"/>
  <c r="BP235" i="44" s="1"/>
  <c r="BQ235" i="44" s="1"/>
  <c r="BR235" i="44" s="1"/>
  <c r="BS235" i="44" s="1"/>
  <c r="BT235" i="44" s="1"/>
  <c r="BU235" i="44" s="1"/>
  <c r="BV235" i="44" s="1"/>
  <c r="BW235" i="44" s="1"/>
  <c r="BX235" i="44" s="1"/>
  <c r="BY235" i="44" s="1"/>
  <c r="BZ235" i="44" s="1"/>
  <c r="CA235" i="44" s="1"/>
  <c r="CB235" i="44" s="1"/>
  <c r="CC235" i="44" s="1"/>
  <c r="CD235" i="44" s="1"/>
  <c r="CE235" i="44" s="1"/>
  <c r="AH234" i="44"/>
  <c r="AI234" i="44" s="1"/>
  <c r="AJ234" i="44" s="1"/>
  <c r="AK234" i="44" s="1"/>
  <c r="AL234" i="44" s="1"/>
  <c r="AM234" i="44" s="1"/>
  <c r="AN234" i="44" s="1"/>
  <c r="AO234" i="44" s="1"/>
  <c r="AP234" i="44" s="1"/>
  <c r="AQ234" i="44" s="1"/>
  <c r="AR234" i="44" s="1"/>
  <c r="AS234" i="44" s="1"/>
  <c r="AT234" i="44" s="1"/>
  <c r="AU234" i="44" s="1"/>
  <c r="AV234" i="44" s="1"/>
  <c r="AW234" i="44" s="1"/>
  <c r="AX234" i="44" s="1"/>
  <c r="AY234" i="44" s="1"/>
  <c r="AZ234" i="44" s="1"/>
  <c r="BA234" i="44" s="1"/>
  <c r="BB234" i="44" s="1"/>
  <c r="BC234" i="44" s="1"/>
  <c r="BD234" i="44" s="1"/>
  <c r="BE234" i="44" s="1"/>
  <c r="BF234" i="44" s="1"/>
  <c r="BG234" i="44" s="1"/>
  <c r="BH234" i="44" s="1"/>
  <c r="BI234" i="44" s="1"/>
  <c r="BJ234" i="44" s="1"/>
  <c r="BK234" i="44" s="1"/>
  <c r="BL234" i="44" s="1"/>
  <c r="BM234" i="44" s="1"/>
  <c r="BN234" i="44" s="1"/>
  <c r="BO234" i="44" s="1"/>
  <c r="BP234" i="44" s="1"/>
  <c r="BQ234" i="44" s="1"/>
  <c r="BR234" i="44" s="1"/>
  <c r="BS234" i="44" s="1"/>
  <c r="BT234" i="44" s="1"/>
  <c r="BU234" i="44" s="1"/>
  <c r="BV234" i="44" s="1"/>
  <c r="BW234" i="44" s="1"/>
  <c r="BX234" i="44" s="1"/>
  <c r="BY234" i="44" s="1"/>
  <c r="BZ234" i="44" s="1"/>
  <c r="CA234" i="44" s="1"/>
  <c r="CB234" i="44" s="1"/>
  <c r="CC234" i="44" s="1"/>
  <c r="CD234" i="44" s="1"/>
  <c r="CE234" i="44" s="1"/>
  <c r="AH233" i="44"/>
  <c r="AI233" i="44" s="1"/>
  <c r="AJ233" i="44" s="1"/>
  <c r="AK233" i="44" s="1"/>
  <c r="AL233" i="44" s="1"/>
  <c r="AM233" i="44" s="1"/>
  <c r="AN233" i="44" s="1"/>
  <c r="AO233" i="44" s="1"/>
  <c r="AP233" i="44" s="1"/>
  <c r="AQ233" i="44" s="1"/>
  <c r="AR233" i="44" s="1"/>
  <c r="AS233" i="44" s="1"/>
  <c r="AT233" i="44" s="1"/>
  <c r="AU233" i="44" s="1"/>
  <c r="AV233" i="44" s="1"/>
  <c r="AW233" i="44" s="1"/>
  <c r="AX233" i="44" s="1"/>
  <c r="AY233" i="44" s="1"/>
  <c r="AZ233" i="44" s="1"/>
  <c r="BA233" i="44" s="1"/>
  <c r="BB233" i="44" s="1"/>
  <c r="BC233" i="44" s="1"/>
  <c r="BD233" i="44" s="1"/>
  <c r="BE233" i="44" s="1"/>
  <c r="BF233" i="44" s="1"/>
  <c r="BG233" i="44" s="1"/>
  <c r="BH233" i="44" s="1"/>
  <c r="BI233" i="44" s="1"/>
  <c r="BJ233" i="44" s="1"/>
  <c r="BK233" i="44" s="1"/>
  <c r="BL233" i="44" s="1"/>
  <c r="BM233" i="44" s="1"/>
  <c r="BN233" i="44" s="1"/>
  <c r="BO233" i="44" s="1"/>
  <c r="BP233" i="44" s="1"/>
  <c r="BQ233" i="44" s="1"/>
  <c r="BR233" i="44" s="1"/>
  <c r="BS233" i="44" s="1"/>
  <c r="BT233" i="44" s="1"/>
  <c r="BU233" i="44" s="1"/>
  <c r="BV233" i="44" s="1"/>
  <c r="BW233" i="44" s="1"/>
  <c r="BX233" i="44" s="1"/>
  <c r="BY233" i="44" s="1"/>
  <c r="BZ233" i="44" s="1"/>
  <c r="CA233" i="44" s="1"/>
  <c r="CB233" i="44" s="1"/>
  <c r="CC233" i="44" s="1"/>
  <c r="CD233" i="44" s="1"/>
  <c r="CE233" i="44" s="1"/>
  <c r="AH232" i="44"/>
  <c r="AI232" i="44" s="1"/>
  <c r="AJ232" i="44" s="1"/>
  <c r="AK232" i="44" s="1"/>
  <c r="AL232" i="44" s="1"/>
  <c r="AM232" i="44" s="1"/>
  <c r="AN232" i="44" s="1"/>
  <c r="AO232" i="44" s="1"/>
  <c r="AP232" i="44" s="1"/>
  <c r="AQ232" i="44" s="1"/>
  <c r="AR232" i="44" s="1"/>
  <c r="AS232" i="44" s="1"/>
  <c r="AT232" i="44" s="1"/>
  <c r="AU232" i="44" s="1"/>
  <c r="AV232" i="44" s="1"/>
  <c r="AW232" i="44" s="1"/>
  <c r="AX232" i="44" s="1"/>
  <c r="AY232" i="44" s="1"/>
  <c r="AZ232" i="44" s="1"/>
  <c r="BA232" i="44" s="1"/>
  <c r="BB232" i="44" s="1"/>
  <c r="BC232" i="44" s="1"/>
  <c r="BD232" i="44" s="1"/>
  <c r="BE232" i="44" s="1"/>
  <c r="BF232" i="44" s="1"/>
  <c r="BG232" i="44" s="1"/>
  <c r="BH232" i="44" s="1"/>
  <c r="BI232" i="44" s="1"/>
  <c r="BJ232" i="44" s="1"/>
  <c r="BK232" i="44" s="1"/>
  <c r="BL232" i="44" s="1"/>
  <c r="BM232" i="44" s="1"/>
  <c r="BN232" i="44" s="1"/>
  <c r="BO232" i="44" s="1"/>
  <c r="BP232" i="44" s="1"/>
  <c r="BQ232" i="44" s="1"/>
  <c r="BR232" i="44" s="1"/>
  <c r="BS232" i="44" s="1"/>
  <c r="BT232" i="44" s="1"/>
  <c r="BU232" i="44" s="1"/>
  <c r="BV232" i="44" s="1"/>
  <c r="BW232" i="44" s="1"/>
  <c r="BX232" i="44" s="1"/>
  <c r="BY232" i="44" s="1"/>
  <c r="BZ232" i="44" s="1"/>
  <c r="CA232" i="44" s="1"/>
  <c r="CB232" i="44" s="1"/>
  <c r="CC232" i="44" s="1"/>
  <c r="CD232" i="44" s="1"/>
  <c r="CE232" i="44" s="1"/>
  <c r="AH231" i="44"/>
  <c r="AI231" i="44" s="1"/>
  <c r="AJ231" i="44" s="1"/>
  <c r="AK231" i="44" s="1"/>
  <c r="AL231" i="44" s="1"/>
  <c r="AM231" i="44" s="1"/>
  <c r="AN231" i="44" s="1"/>
  <c r="AO231" i="44" s="1"/>
  <c r="AP231" i="44" s="1"/>
  <c r="AQ231" i="44" s="1"/>
  <c r="AR231" i="44" s="1"/>
  <c r="AS231" i="44" s="1"/>
  <c r="AT231" i="44" s="1"/>
  <c r="AU231" i="44" s="1"/>
  <c r="AV231" i="44" s="1"/>
  <c r="AW231" i="44" s="1"/>
  <c r="AX231" i="44" s="1"/>
  <c r="AY231" i="44" s="1"/>
  <c r="AZ231" i="44" s="1"/>
  <c r="BA231" i="44" s="1"/>
  <c r="BB231" i="44" s="1"/>
  <c r="BC231" i="44" s="1"/>
  <c r="BD231" i="44" s="1"/>
  <c r="BE231" i="44" s="1"/>
  <c r="BF231" i="44" s="1"/>
  <c r="BG231" i="44" s="1"/>
  <c r="BH231" i="44" s="1"/>
  <c r="BI231" i="44" s="1"/>
  <c r="BJ231" i="44" s="1"/>
  <c r="BK231" i="44" s="1"/>
  <c r="BL231" i="44" s="1"/>
  <c r="BM231" i="44" s="1"/>
  <c r="BN231" i="44" s="1"/>
  <c r="BO231" i="44" s="1"/>
  <c r="BP231" i="44" s="1"/>
  <c r="BQ231" i="44" s="1"/>
  <c r="BR231" i="44" s="1"/>
  <c r="BS231" i="44" s="1"/>
  <c r="BT231" i="44" s="1"/>
  <c r="BU231" i="44" s="1"/>
  <c r="BV231" i="44" s="1"/>
  <c r="BW231" i="44" s="1"/>
  <c r="BX231" i="44" s="1"/>
  <c r="BY231" i="44" s="1"/>
  <c r="BZ231" i="44" s="1"/>
  <c r="CA231" i="44" s="1"/>
  <c r="CB231" i="44" s="1"/>
  <c r="CC231" i="44" s="1"/>
  <c r="CD231" i="44" s="1"/>
  <c r="CE231" i="44" s="1"/>
  <c r="AH230" i="44"/>
  <c r="AI230" i="44" s="1"/>
  <c r="AJ230" i="44" s="1"/>
  <c r="AK230" i="44" s="1"/>
  <c r="AL230" i="44" s="1"/>
  <c r="AM230" i="44" s="1"/>
  <c r="AN230" i="44" s="1"/>
  <c r="AO230" i="44" s="1"/>
  <c r="AP230" i="44" s="1"/>
  <c r="AQ230" i="44" s="1"/>
  <c r="AR230" i="44" s="1"/>
  <c r="AS230" i="44" s="1"/>
  <c r="AT230" i="44" s="1"/>
  <c r="AU230" i="44" s="1"/>
  <c r="AV230" i="44" s="1"/>
  <c r="AW230" i="44" s="1"/>
  <c r="AX230" i="44" s="1"/>
  <c r="AY230" i="44" s="1"/>
  <c r="AZ230" i="44" s="1"/>
  <c r="BA230" i="44" s="1"/>
  <c r="BB230" i="44" s="1"/>
  <c r="BC230" i="44" s="1"/>
  <c r="BD230" i="44" s="1"/>
  <c r="BE230" i="44" s="1"/>
  <c r="BF230" i="44" s="1"/>
  <c r="BG230" i="44" s="1"/>
  <c r="BH230" i="44" s="1"/>
  <c r="BI230" i="44" s="1"/>
  <c r="BJ230" i="44" s="1"/>
  <c r="BK230" i="44" s="1"/>
  <c r="BL230" i="44" s="1"/>
  <c r="BM230" i="44" s="1"/>
  <c r="BN230" i="44" s="1"/>
  <c r="BO230" i="44" s="1"/>
  <c r="BP230" i="44" s="1"/>
  <c r="BQ230" i="44" s="1"/>
  <c r="BR230" i="44" s="1"/>
  <c r="BS230" i="44" s="1"/>
  <c r="BT230" i="44" s="1"/>
  <c r="BU230" i="44" s="1"/>
  <c r="BV230" i="44" s="1"/>
  <c r="BW230" i="44" s="1"/>
  <c r="BX230" i="44" s="1"/>
  <c r="BY230" i="44" s="1"/>
  <c r="BZ230" i="44" s="1"/>
  <c r="CA230" i="44" s="1"/>
  <c r="CB230" i="44" s="1"/>
  <c r="CC230" i="44" s="1"/>
  <c r="CD230" i="44" s="1"/>
  <c r="CE230" i="44" s="1"/>
  <c r="AH229" i="44"/>
  <c r="AI229" i="44" s="1"/>
  <c r="AJ229" i="44" s="1"/>
  <c r="AK229" i="44" s="1"/>
  <c r="AL229" i="44" s="1"/>
  <c r="AM229" i="44" s="1"/>
  <c r="AN229" i="44" s="1"/>
  <c r="AO229" i="44" s="1"/>
  <c r="AP229" i="44" s="1"/>
  <c r="AQ229" i="44" s="1"/>
  <c r="AR229" i="44" s="1"/>
  <c r="AS229" i="44" s="1"/>
  <c r="AT229" i="44" s="1"/>
  <c r="AU229" i="44" s="1"/>
  <c r="AV229" i="44" s="1"/>
  <c r="AW229" i="44" s="1"/>
  <c r="AX229" i="44" s="1"/>
  <c r="AY229" i="44" s="1"/>
  <c r="AZ229" i="44" s="1"/>
  <c r="BA229" i="44" s="1"/>
  <c r="BB229" i="44" s="1"/>
  <c r="BC229" i="44" s="1"/>
  <c r="BD229" i="44" s="1"/>
  <c r="BE229" i="44" s="1"/>
  <c r="BF229" i="44" s="1"/>
  <c r="BG229" i="44" s="1"/>
  <c r="BH229" i="44" s="1"/>
  <c r="BI229" i="44" s="1"/>
  <c r="BJ229" i="44" s="1"/>
  <c r="BK229" i="44" s="1"/>
  <c r="BL229" i="44" s="1"/>
  <c r="BM229" i="44" s="1"/>
  <c r="BN229" i="44" s="1"/>
  <c r="BO229" i="44" s="1"/>
  <c r="BP229" i="44" s="1"/>
  <c r="BQ229" i="44" s="1"/>
  <c r="BR229" i="44" s="1"/>
  <c r="BS229" i="44" s="1"/>
  <c r="BT229" i="44" s="1"/>
  <c r="BU229" i="44" s="1"/>
  <c r="BV229" i="44" s="1"/>
  <c r="BW229" i="44" s="1"/>
  <c r="BX229" i="44" s="1"/>
  <c r="BY229" i="44" s="1"/>
  <c r="BZ229" i="44" s="1"/>
  <c r="CA229" i="44" s="1"/>
  <c r="CB229" i="44" s="1"/>
  <c r="CC229" i="44" s="1"/>
  <c r="CD229" i="44" s="1"/>
  <c r="CE229" i="44" s="1"/>
  <c r="F228" i="44"/>
  <c r="G228" i="44" s="1"/>
  <c r="H228" i="44" s="1"/>
  <c r="I228" i="44" s="1"/>
  <c r="J228" i="44" s="1"/>
  <c r="K228" i="44" s="1"/>
  <c r="L228" i="44" s="1"/>
  <c r="M228" i="44" s="1"/>
  <c r="N228" i="44" s="1"/>
  <c r="O228" i="44" s="1"/>
  <c r="P228" i="44" s="1"/>
  <c r="Q228" i="44" s="1"/>
  <c r="R228" i="44" s="1"/>
  <c r="S228" i="44" s="1"/>
  <c r="T228" i="44" s="1"/>
  <c r="U228" i="44" s="1"/>
  <c r="V228" i="44" s="1"/>
  <c r="W228" i="44" s="1"/>
  <c r="X228" i="44" s="1"/>
  <c r="Y228" i="44" s="1"/>
  <c r="Z228" i="44" s="1"/>
  <c r="AA228" i="44" s="1"/>
  <c r="AB228" i="44" s="1"/>
  <c r="AC228" i="44" s="1"/>
  <c r="AD228" i="44" s="1"/>
  <c r="AE228" i="44" s="1"/>
  <c r="AF228" i="44" s="1"/>
  <c r="AG228" i="44" s="1"/>
  <c r="AH228" i="44" s="1"/>
  <c r="AI228" i="44" s="1"/>
  <c r="AJ228" i="44" s="1"/>
  <c r="AK228" i="44" s="1"/>
  <c r="AL228" i="44" s="1"/>
  <c r="AM228" i="44" s="1"/>
  <c r="AN228" i="44" s="1"/>
  <c r="AO228" i="44" s="1"/>
  <c r="AP228" i="44" s="1"/>
  <c r="AQ228" i="44" s="1"/>
  <c r="AR228" i="44" s="1"/>
  <c r="AS228" i="44" s="1"/>
  <c r="AT228" i="44" s="1"/>
  <c r="AU228" i="44" s="1"/>
  <c r="AV228" i="44" s="1"/>
  <c r="AW228" i="44" s="1"/>
  <c r="AX228" i="44" s="1"/>
  <c r="AY228" i="44" s="1"/>
  <c r="AZ228" i="44" s="1"/>
  <c r="BA228" i="44" s="1"/>
  <c r="BB228" i="44" s="1"/>
  <c r="BC228" i="44" s="1"/>
  <c r="BD228" i="44" s="1"/>
  <c r="BE228" i="44" s="1"/>
  <c r="BF228" i="44" s="1"/>
  <c r="BG228" i="44" s="1"/>
  <c r="BH228" i="44" s="1"/>
  <c r="BI228" i="44" s="1"/>
  <c r="BJ228" i="44" s="1"/>
  <c r="BK228" i="44" s="1"/>
  <c r="BL228" i="44" s="1"/>
  <c r="BM228" i="44" s="1"/>
  <c r="BN228" i="44" s="1"/>
  <c r="BO228" i="44" s="1"/>
  <c r="BP228" i="44" s="1"/>
  <c r="BQ228" i="44" s="1"/>
  <c r="BR228" i="44" s="1"/>
  <c r="BS228" i="44" s="1"/>
  <c r="BT228" i="44" s="1"/>
  <c r="BU228" i="44" s="1"/>
  <c r="BV228" i="44" s="1"/>
  <c r="BW228" i="44" s="1"/>
  <c r="BX228" i="44" s="1"/>
  <c r="BY228" i="44" s="1"/>
  <c r="BZ228" i="44" s="1"/>
  <c r="CA228" i="44" s="1"/>
  <c r="CB228" i="44" s="1"/>
  <c r="CC228" i="44" s="1"/>
  <c r="CD228" i="44" s="1"/>
  <c r="CE228" i="44" s="1"/>
  <c r="AH226" i="44"/>
  <c r="AI226" i="44" s="1"/>
  <c r="AJ226" i="44" s="1"/>
  <c r="AK226" i="44" s="1"/>
  <c r="AL226" i="44" s="1"/>
  <c r="AM226" i="44" s="1"/>
  <c r="AN226" i="44" s="1"/>
  <c r="AO226" i="44" s="1"/>
  <c r="AP226" i="44" s="1"/>
  <c r="AQ226" i="44" s="1"/>
  <c r="AR226" i="44" s="1"/>
  <c r="AS226" i="44" s="1"/>
  <c r="AT226" i="44" s="1"/>
  <c r="AU226" i="44" s="1"/>
  <c r="AV226" i="44" s="1"/>
  <c r="AW226" i="44" s="1"/>
  <c r="AX226" i="44" s="1"/>
  <c r="AY226" i="44" s="1"/>
  <c r="AZ226" i="44" s="1"/>
  <c r="BA226" i="44" s="1"/>
  <c r="BB226" i="44" s="1"/>
  <c r="BC226" i="44" s="1"/>
  <c r="BD226" i="44" s="1"/>
  <c r="BE226" i="44" s="1"/>
  <c r="BF226" i="44" s="1"/>
  <c r="BG226" i="44" s="1"/>
  <c r="BH226" i="44" s="1"/>
  <c r="BI226" i="44" s="1"/>
  <c r="BJ226" i="44" s="1"/>
  <c r="BK226" i="44" s="1"/>
  <c r="BL226" i="44" s="1"/>
  <c r="BM226" i="44" s="1"/>
  <c r="BN226" i="44" s="1"/>
  <c r="BO226" i="44" s="1"/>
  <c r="BP226" i="44" s="1"/>
  <c r="BQ226" i="44" s="1"/>
  <c r="BR226" i="44" s="1"/>
  <c r="BS226" i="44" s="1"/>
  <c r="BT226" i="44" s="1"/>
  <c r="BU226" i="44" s="1"/>
  <c r="BV226" i="44" s="1"/>
  <c r="BW226" i="44" s="1"/>
  <c r="BX226" i="44" s="1"/>
  <c r="BY226" i="44" s="1"/>
  <c r="BZ226" i="44" s="1"/>
  <c r="CA226" i="44" s="1"/>
  <c r="CB226" i="44" s="1"/>
  <c r="CC226" i="44" s="1"/>
  <c r="CD226" i="44" s="1"/>
  <c r="CE226" i="44" s="1"/>
  <c r="AH225" i="44"/>
  <c r="AI225" i="44" s="1"/>
  <c r="AJ225" i="44" s="1"/>
  <c r="AK225" i="44" s="1"/>
  <c r="AL225" i="44" s="1"/>
  <c r="AM225" i="44" s="1"/>
  <c r="AN225" i="44" s="1"/>
  <c r="AO225" i="44" s="1"/>
  <c r="AP225" i="44" s="1"/>
  <c r="AQ225" i="44" s="1"/>
  <c r="AR225" i="44" s="1"/>
  <c r="AS225" i="44" s="1"/>
  <c r="AT225" i="44" s="1"/>
  <c r="AU225" i="44" s="1"/>
  <c r="AV225" i="44" s="1"/>
  <c r="AW225" i="44" s="1"/>
  <c r="AX225" i="44" s="1"/>
  <c r="AY225" i="44" s="1"/>
  <c r="AZ225" i="44" s="1"/>
  <c r="BA225" i="44" s="1"/>
  <c r="BB225" i="44" s="1"/>
  <c r="BC225" i="44" s="1"/>
  <c r="BD225" i="44" s="1"/>
  <c r="BE225" i="44" s="1"/>
  <c r="BF225" i="44" s="1"/>
  <c r="BG225" i="44" s="1"/>
  <c r="BH225" i="44" s="1"/>
  <c r="BI225" i="44" s="1"/>
  <c r="BJ225" i="44" s="1"/>
  <c r="BK225" i="44" s="1"/>
  <c r="BL225" i="44" s="1"/>
  <c r="BM225" i="44" s="1"/>
  <c r="BN225" i="44" s="1"/>
  <c r="BO225" i="44" s="1"/>
  <c r="BP225" i="44" s="1"/>
  <c r="BQ225" i="44" s="1"/>
  <c r="BR225" i="44" s="1"/>
  <c r="BS225" i="44" s="1"/>
  <c r="BT225" i="44" s="1"/>
  <c r="BU225" i="44" s="1"/>
  <c r="BV225" i="44" s="1"/>
  <c r="BW225" i="44" s="1"/>
  <c r="BX225" i="44" s="1"/>
  <c r="BY225" i="44" s="1"/>
  <c r="BZ225" i="44" s="1"/>
  <c r="CA225" i="44" s="1"/>
  <c r="CB225" i="44" s="1"/>
  <c r="CC225" i="44" s="1"/>
  <c r="CD225" i="44" s="1"/>
  <c r="CE225" i="44" s="1"/>
  <c r="AH224" i="44"/>
  <c r="AI224" i="44" s="1"/>
  <c r="AJ224" i="44" s="1"/>
  <c r="AK224" i="44" s="1"/>
  <c r="AL224" i="44" s="1"/>
  <c r="AM224" i="44" s="1"/>
  <c r="AN224" i="44" s="1"/>
  <c r="AO224" i="44" s="1"/>
  <c r="AP224" i="44" s="1"/>
  <c r="AQ224" i="44" s="1"/>
  <c r="AR224" i="44" s="1"/>
  <c r="AS224" i="44" s="1"/>
  <c r="AT224" i="44" s="1"/>
  <c r="AU224" i="44" s="1"/>
  <c r="AV224" i="44" s="1"/>
  <c r="AW224" i="44" s="1"/>
  <c r="AX224" i="44" s="1"/>
  <c r="AY224" i="44" s="1"/>
  <c r="AZ224" i="44" s="1"/>
  <c r="BA224" i="44" s="1"/>
  <c r="BB224" i="44" s="1"/>
  <c r="BC224" i="44" s="1"/>
  <c r="BD224" i="44" s="1"/>
  <c r="BE224" i="44" s="1"/>
  <c r="BF224" i="44" s="1"/>
  <c r="BG224" i="44" s="1"/>
  <c r="BH224" i="44" s="1"/>
  <c r="BI224" i="44" s="1"/>
  <c r="BJ224" i="44" s="1"/>
  <c r="BK224" i="44" s="1"/>
  <c r="BL224" i="44" s="1"/>
  <c r="BM224" i="44" s="1"/>
  <c r="BN224" i="44" s="1"/>
  <c r="BO224" i="44" s="1"/>
  <c r="BP224" i="44" s="1"/>
  <c r="BQ224" i="44" s="1"/>
  <c r="BR224" i="44" s="1"/>
  <c r="BS224" i="44" s="1"/>
  <c r="BT224" i="44" s="1"/>
  <c r="BU224" i="44" s="1"/>
  <c r="BV224" i="44" s="1"/>
  <c r="BW224" i="44" s="1"/>
  <c r="BX224" i="44" s="1"/>
  <c r="BY224" i="44" s="1"/>
  <c r="BZ224" i="44" s="1"/>
  <c r="CA224" i="44" s="1"/>
  <c r="CB224" i="44" s="1"/>
  <c r="CC224" i="44" s="1"/>
  <c r="CD224" i="44" s="1"/>
  <c r="CE224" i="44" s="1"/>
  <c r="AH223" i="44"/>
  <c r="AI223" i="44" s="1"/>
  <c r="AJ223" i="44" s="1"/>
  <c r="AK223" i="44" s="1"/>
  <c r="AL223" i="44" s="1"/>
  <c r="AM223" i="44" s="1"/>
  <c r="AN223" i="44" s="1"/>
  <c r="AO223" i="44" s="1"/>
  <c r="AP223" i="44" s="1"/>
  <c r="AQ223" i="44" s="1"/>
  <c r="AR223" i="44" s="1"/>
  <c r="AS223" i="44" s="1"/>
  <c r="AT223" i="44" s="1"/>
  <c r="AU223" i="44" s="1"/>
  <c r="AV223" i="44" s="1"/>
  <c r="AW223" i="44" s="1"/>
  <c r="AX223" i="44" s="1"/>
  <c r="AY223" i="44" s="1"/>
  <c r="AZ223" i="44" s="1"/>
  <c r="BA223" i="44" s="1"/>
  <c r="BB223" i="44" s="1"/>
  <c r="BC223" i="44" s="1"/>
  <c r="BD223" i="44" s="1"/>
  <c r="BE223" i="44" s="1"/>
  <c r="BF223" i="44" s="1"/>
  <c r="BG223" i="44" s="1"/>
  <c r="BH223" i="44" s="1"/>
  <c r="BI223" i="44" s="1"/>
  <c r="BJ223" i="44" s="1"/>
  <c r="BK223" i="44" s="1"/>
  <c r="BL223" i="44" s="1"/>
  <c r="BM223" i="44" s="1"/>
  <c r="BN223" i="44" s="1"/>
  <c r="BO223" i="44" s="1"/>
  <c r="BP223" i="44" s="1"/>
  <c r="BQ223" i="44" s="1"/>
  <c r="BR223" i="44" s="1"/>
  <c r="BS223" i="44" s="1"/>
  <c r="BT223" i="44" s="1"/>
  <c r="BU223" i="44" s="1"/>
  <c r="BV223" i="44" s="1"/>
  <c r="BW223" i="44" s="1"/>
  <c r="BX223" i="44" s="1"/>
  <c r="BY223" i="44" s="1"/>
  <c r="BZ223" i="44" s="1"/>
  <c r="CA223" i="44" s="1"/>
  <c r="CB223" i="44" s="1"/>
  <c r="CC223" i="44" s="1"/>
  <c r="CD223" i="44" s="1"/>
  <c r="CE223" i="44" s="1"/>
  <c r="AH222" i="44"/>
  <c r="AI222" i="44" s="1"/>
  <c r="AJ222" i="44" s="1"/>
  <c r="AK222" i="44" s="1"/>
  <c r="AL222" i="44" s="1"/>
  <c r="AM222" i="44" s="1"/>
  <c r="AN222" i="44" s="1"/>
  <c r="AO222" i="44" s="1"/>
  <c r="AP222" i="44" s="1"/>
  <c r="AQ222" i="44" s="1"/>
  <c r="AR222" i="44" s="1"/>
  <c r="AS222" i="44" s="1"/>
  <c r="AT222" i="44" s="1"/>
  <c r="AU222" i="44" s="1"/>
  <c r="AV222" i="44" s="1"/>
  <c r="AW222" i="44" s="1"/>
  <c r="AX222" i="44" s="1"/>
  <c r="AY222" i="44" s="1"/>
  <c r="AZ222" i="44" s="1"/>
  <c r="BA222" i="44" s="1"/>
  <c r="BB222" i="44" s="1"/>
  <c r="BC222" i="44" s="1"/>
  <c r="BD222" i="44" s="1"/>
  <c r="BE222" i="44" s="1"/>
  <c r="BF222" i="44" s="1"/>
  <c r="BG222" i="44" s="1"/>
  <c r="BH222" i="44" s="1"/>
  <c r="BI222" i="44" s="1"/>
  <c r="BJ222" i="44" s="1"/>
  <c r="BK222" i="44" s="1"/>
  <c r="BL222" i="44" s="1"/>
  <c r="BM222" i="44" s="1"/>
  <c r="BN222" i="44" s="1"/>
  <c r="BO222" i="44" s="1"/>
  <c r="BP222" i="44" s="1"/>
  <c r="BQ222" i="44" s="1"/>
  <c r="BR222" i="44" s="1"/>
  <c r="BS222" i="44" s="1"/>
  <c r="BT222" i="44" s="1"/>
  <c r="BU222" i="44" s="1"/>
  <c r="BV222" i="44" s="1"/>
  <c r="BW222" i="44" s="1"/>
  <c r="BX222" i="44" s="1"/>
  <c r="BY222" i="44" s="1"/>
  <c r="BZ222" i="44" s="1"/>
  <c r="CA222" i="44" s="1"/>
  <c r="CB222" i="44" s="1"/>
  <c r="CC222" i="44" s="1"/>
  <c r="CD222" i="44" s="1"/>
  <c r="CE222" i="44" s="1"/>
  <c r="AH221" i="44"/>
  <c r="AI221" i="44" s="1"/>
  <c r="AJ221" i="44" s="1"/>
  <c r="AK221" i="44" s="1"/>
  <c r="AL221" i="44" s="1"/>
  <c r="AM221" i="44" s="1"/>
  <c r="AN221" i="44" s="1"/>
  <c r="AO221" i="44" s="1"/>
  <c r="AP221" i="44" s="1"/>
  <c r="AQ221" i="44" s="1"/>
  <c r="AR221" i="44" s="1"/>
  <c r="AS221" i="44" s="1"/>
  <c r="AT221" i="44" s="1"/>
  <c r="AU221" i="44" s="1"/>
  <c r="AV221" i="44" s="1"/>
  <c r="AW221" i="44" s="1"/>
  <c r="AX221" i="44" s="1"/>
  <c r="AY221" i="44" s="1"/>
  <c r="AZ221" i="44" s="1"/>
  <c r="BA221" i="44" s="1"/>
  <c r="BB221" i="44" s="1"/>
  <c r="BC221" i="44" s="1"/>
  <c r="BD221" i="44" s="1"/>
  <c r="BE221" i="44" s="1"/>
  <c r="BF221" i="44" s="1"/>
  <c r="BG221" i="44" s="1"/>
  <c r="BH221" i="44" s="1"/>
  <c r="BI221" i="44" s="1"/>
  <c r="BJ221" i="44" s="1"/>
  <c r="BK221" i="44" s="1"/>
  <c r="BL221" i="44" s="1"/>
  <c r="BM221" i="44" s="1"/>
  <c r="BN221" i="44" s="1"/>
  <c r="BO221" i="44" s="1"/>
  <c r="BP221" i="44" s="1"/>
  <c r="BQ221" i="44" s="1"/>
  <c r="BR221" i="44" s="1"/>
  <c r="BS221" i="44" s="1"/>
  <c r="BT221" i="44" s="1"/>
  <c r="BU221" i="44" s="1"/>
  <c r="BV221" i="44" s="1"/>
  <c r="BW221" i="44" s="1"/>
  <c r="BX221" i="44" s="1"/>
  <c r="BY221" i="44" s="1"/>
  <c r="BZ221" i="44" s="1"/>
  <c r="CA221" i="44" s="1"/>
  <c r="CB221" i="44" s="1"/>
  <c r="CC221" i="44" s="1"/>
  <c r="CD221" i="44" s="1"/>
  <c r="CE221" i="44" s="1"/>
  <c r="AH220" i="44"/>
  <c r="AI220" i="44" s="1"/>
  <c r="AJ220" i="44" s="1"/>
  <c r="AK220" i="44" s="1"/>
  <c r="AL220" i="44" s="1"/>
  <c r="AM220" i="44" s="1"/>
  <c r="AN220" i="44" s="1"/>
  <c r="AO220" i="44" s="1"/>
  <c r="AP220" i="44" s="1"/>
  <c r="AQ220" i="44" s="1"/>
  <c r="AR220" i="44" s="1"/>
  <c r="AS220" i="44" s="1"/>
  <c r="AT220" i="44" s="1"/>
  <c r="AU220" i="44" s="1"/>
  <c r="AV220" i="44" s="1"/>
  <c r="AW220" i="44" s="1"/>
  <c r="AX220" i="44" s="1"/>
  <c r="AY220" i="44" s="1"/>
  <c r="AZ220" i="44" s="1"/>
  <c r="BA220" i="44" s="1"/>
  <c r="BB220" i="44" s="1"/>
  <c r="BC220" i="44" s="1"/>
  <c r="BD220" i="44" s="1"/>
  <c r="BE220" i="44" s="1"/>
  <c r="BF220" i="44" s="1"/>
  <c r="BG220" i="44" s="1"/>
  <c r="BH220" i="44" s="1"/>
  <c r="BI220" i="44" s="1"/>
  <c r="BJ220" i="44" s="1"/>
  <c r="BK220" i="44" s="1"/>
  <c r="BL220" i="44" s="1"/>
  <c r="BM220" i="44" s="1"/>
  <c r="BN220" i="44" s="1"/>
  <c r="BO220" i="44" s="1"/>
  <c r="BP220" i="44" s="1"/>
  <c r="BQ220" i="44" s="1"/>
  <c r="BR220" i="44" s="1"/>
  <c r="BS220" i="44" s="1"/>
  <c r="BT220" i="44" s="1"/>
  <c r="BU220" i="44" s="1"/>
  <c r="BV220" i="44" s="1"/>
  <c r="BW220" i="44" s="1"/>
  <c r="BX220" i="44" s="1"/>
  <c r="BY220" i="44" s="1"/>
  <c r="BZ220" i="44" s="1"/>
  <c r="CA220" i="44" s="1"/>
  <c r="CB220" i="44" s="1"/>
  <c r="CC220" i="44" s="1"/>
  <c r="CD220" i="44" s="1"/>
  <c r="CE220" i="44" s="1"/>
  <c r="AH219" i="44"/>
  <c r="AI219" i="44" s="1"/>
  <c r="AJ219" i="44" s="1"/>
  <c r="AK219" i="44" s="1"/>
  <c r="AL219" i="44" s="1"/>
  <c r="AM219" i="44" s="1"/>
  <c r="AN219" i="44" s="1"/>
  <c r="AO219" i="44" s="1"/>
  <c r="AP219" i="44" s="1"/>
  <c r="AQ219" i="44" s="1"/>
  <c r="AR219" i="44" s="1"/>
  <c r="AS219" i="44" s="1"/>
  <c r="AT219" i="44" s="1"/>
  <c r="AU219" i="44" s="1"/>
  <c r="AV219" i="44" s="1"/>
  <c r="AW219" i="44" s="1"/>
  <c r="AX219" i="44" s="1"/>
  <c r="AY219" i="44" s="1"/>
  <c r="AZ219" i="44" s="1"/>
  <c r="BA219" i="44" s="1"/>
  <c r="BB219" i="44" s="1"/>
  <c r="BC219" i="44" s="1"/>
  <c r="BD219" i="44" s="1"/>
  <c r="BE219" i="44" s="1"/>
  <c r="BF219" i="44" s="1"/>
  <c r="BG219" i="44" s="1"/>
  <c r="BH219" i="44" s="1"/>
  <c r="BI219" i="44" s="1"/>
  <c r="BJ219" i="44" s="1"/>
  <c r="BK219" i="44" s="1"/>
  <c r="BL219" i="44" s="1"/>
  <c r="BM219" i="44" s="1"/>
  <c r="BN219" i="44" s="1"/>
  <c r="BO219" i="44" s="1"/>
  <c r="BP219" i="44" s="1"/>
  <c r="BQ219" i="44" s="1"/>
  <c r="BR219" i="44" s="1"/>
  <c r="BS219" i="44" s="1"/>
  <c r="BT219" i="44" s="1"/>
  <c r="BU219" i="44" s="1"/>
  <c r="BV219" i="44" s="1"/>
  <c r="BW219" i="44" s="1"/>
  <c r="BX219" i="44" s="1"/>
  <c r="BY219" i="44" s="1"/>
  <c r="BZ219" i="44" s="1"/>
  <c r="CA219" i="44" s="1"/>
  <c r="CB219" i="44" s="1"/>
  <c r="CC219" i="44" s="1"/>
  <c r="CD219" i="44" s="1"/>
  <c r="CE219" i="44" s="1"/>
  <c r="AH217" i="44"/>
  <c r="AI217" i="44" s="1"/>
  <c r="AJ217" i="44" s="1"/>
  <c r="AK217" i="44" s="1"/>
  <c r="AL217" i="44" s="1"/>
  <c r="AM217" i="44" s="1"/>
  <c r="AN217" i="44" s="1"/>
  <c r="AO217" i="44" s="1"/>
  <c r="AP217" i="44" s="1"/>
  <c r="AQ217" i="44" s="1"/>
  <c r="AR217" i="44" s="1"/>
  <c r="AS217" i="44" s="1"/>
  <c r="AT217" i="44" s="1"/>
  <c r="AU217" i="44" s="1"/>
  <c r="AV217" i="44" s="1"/>
  <c r="AW217" i="44" s="1"/>
  <c r="AX217" i="44" s="1"/>
  <c r="AY217" i="44" s="1"/>
  <c r="AZ217" i="44" s="1"/>
  <c r="BA217" i="44" s="1"/>
  <c r="BB217" i="44" s="1"/>
  <c r="BC217" i="44" s="1"/>
  <c r="BD217" i="44" s="1"/>
  <c r="BE217" i="44" s="1"/>
  <c r="BF217" i="44" s="1"/>
  <c r="BG217" i="44" s="1"/>
  <c r="BH217" i="44" s="1"/>
  <c r="BI217" i="44" s="1"/>
  <c r="BJ217" i="44" s="1"/>
  <c r="BK217" i="44" s="1"/>
  <c r="BL217" i="44" s="1"/>
  <c r="BM217" i="44" s="1"/>
  <c r="BN217" i="44" s="1"/>
  <c r="BO217" i="44" s="1"/>
  <c r="BP217" i="44" s="1"/>
  <c r="BQ217" i="44" s="1"/>
  <c r="BR217" i="44" s="1"/>
  <c r="BS217" i="44" s="1"/>
  <c r="BT217" i="44" s="1"/>
  <c r="BU217" i="44" s="1"/>
  <c r="BV217" i="44" s="1"/>
  <c r="BW217" i="44" s="1"/>
  <c r="BX217" i="44" s="1"/>
  <c r="BY217" i="44" s="1"/>
  <c r="BZ217" i="44" s="1"/>
  <c r="CA217" i="44" s="1"/>
  <c r="CB217" i="44" s="1"/>
  <c r="CC217" i="44" s="1"/>
  <c r="CD217" i="44" s="1"/>
  <c r="CE217" i="44" s="1"/>
  <c r="AH216" i="44"/>
  <c r="AI216" i="44" s="1"/>
  <c r="AJ216" i="44" s="1"/>
  <c r="AK216" i="44" s="1"/>
  <c r="AL216" i="44" s="1"/>
  <c r="AM216" i="44" s="1"/>
  <c r="AN216" i="44" s="1"/>
  <c r="AO216" i="44" s="1"/>
  <c r="AP216" i="44" s="1"/>
  <c r="AQ216" i="44" s="1"/>
  <c r="AR216" i="44" s="1"/>
  <c r="AS216" i="44" s="1"/>
  <c r="AT216" i="44" s="1"/>
  <c r="AU216" i="44" s="1"/>
  <c r="AV216" i="44" s="1"/>
  <c r="AW216" i="44" s="1"/>
  <c r="AX216" i="44" s="1"/>
  <c r="AY216" i="44" s="1"/>
  <c r="AZ216" i="44" s="1"/>
  <c r="BA216" i="44" s="1"/>
  <c r="BB216" i="44" s="1"/>
  <c r="BC216" i="44" s="1"/>
  <c r="BD216" i="44" s="1"/>
  <c r="BE216" i="44" s="1"/>
  <c r="BF216" i="44" s="1"/>
  <c r="BG216" i="44" s="1"/>
  <c r="BH216" i="44" s="1"/>
  <c r="BI216" i="44" s="1"/>
  <c r="BJ216" i="44" s="1"/>
  <c r="BK216" i="44" s="1"/>
  <c r="BL216" i="44" s="1"/>
  <c r="BM216" i="44" s="1"/>
  <c r="BN216" i="44" s="1"/>
  <c r="BO216" i="44" s="1"/>
  <c r="BP216" i="44" s="1"/>
  <c r="BQ216" i="44" s="1"/>
  <c r="BR216" i="44" s="1"/>
  <c r="BS216" i="44" s="1"/>
  <c r="BT216" i="44" s="1"/>
  <c r="BU216" i="44" s="1"/>
  <c r="BV216" i="44" s="1"/>
  <c r="BW216" i="44" s="1"/>
  <c r="BX216" i="44" s="1"/>
  <c r="BY216" i="44" s="1"/>
  <c r="BZ216" i="44" s="1"/>
  <c r="CA216" i="44" s="1"/>
  <c r="CB216" i="44" s="1"/>
  <c r="CC216" i="44" s="1"/>
  <c r="CD216" i="44" s="1"/>
  <c r="CE216" i="44" s="1"/>
  <c r="AH214" i="44"/>
  <c r="AI214" i="44" s="1"/>
  <c r="AJ214" i="44" s="1"/>
  <c r="AK214" i="44" s="1"/>
  <c r="AL214" i="44" s="1"/>
  <c r="AM214" i="44" s="1"/>
  <c r="AN214" i="44" s="1"/>
  <c r="AO214" i="44" s="1"/>
  <c r="AP214" i="44" s="1"/>
  <c r="AQ214" i="44" s="1"/>
  <c r="AR214" i="44" s="1"/>
  <c r="AS214" i="44" s="1"/>
  <c r="AT214" i="44" s="1"/>
  <c r="AU214" i="44" s="1"/>
  <c r="AV214" i="44" s="1"/>
  <c r="AW214" i="44" s="1"/>
  <c r="AX214" i="44" s="1"/>
  <c r="AY214" i="44" s="1"/>
  <c r="AZ214" i="44" s="1"/>
  <c r="BA214" i="44" s="1"/>
  <c r="BB214" i="44" s="1"/>
  <c r="BC214" i="44" s="1"/>
  <c r="BD214" i="44" s="1"/>
  <c r="BE214" i="44" s="1"/>
  <c r="BF214" i="44" s="1"/>
  <c r="BG214" i="44" s="1"/>
  <c r="BH214" i="44" s="1"/>
  <c r="BI214" i="44" s="1"/>
  <c r="BJ214" i="44" s="1"/>
  <c r="BK214" i="44" s="1"/>
  <c r="BL214" i="44" s="1"/>
  <c r="BM214" i="44" s="1"/>
  <c r="BN214" i="44" s="1"/>
  <c r="BO214" i="44" s="1"/>
  <c r="BP214" i="44" s="1"/>
  <c r="BQ214" i="44" s="1"/>
  <c r="BR214" i="44" s="1"/>
  <c r="BS214" i="44" s="1"/>
  <c r="BT214" i="44" s="1"/>
  <c r="BU214" i="44" s="1"/>
  <c r="BV214" i="44" s="1"/>
  <c r="BW214" i="44" s="1"/>
  <c r="BX214" i="44" s="1"/>
  <c r="BY214" i="44" s="1"/>
  <c r="BZ214" i="44" s="1"/>
  <c r="CA214" i="44" s="1"/>
  <c r="CB214" i="44" s="1"/>
  <c r="CC214" i="44" s="1"/>
  <c r="CD214" i="44" s="1"/>
  <c r="CE214" i="44" s="1"/>
  <c r="AH213" i="44"/>
  <c r="AI213" i="44" s="1"/>
  <c r="AJ213" i="44" s="1"/>
  <c r="AK213" i="44" s="1"/>
  <c r="AL213" i="44" s="1"/>
  <c r="AM213" i="44" s="1"/>
  <c r="AN213" i="44" s="1"/>
  <c r="AO213" i="44" s="1"/>
  <c r="AP213" i="44" s="1"/>
  <c r="AQ213" i="44" s="1"/>
  <c r="AR213" i="44" s="1"/>
  <c r="AS213" i="44" s="1"/>
  <c r="AT213" i="44" s="1"/>
  <c r="AU213" i="44" s="1"/>
  <c r="AV213" i="44" s="1"/>
  <c r="AW213" i="44" s="1"/>
  <c r="AX213" i="44" s="1"/>
  <c r="AY213" i="44" s="1"/>
  <c r="AZ213" i="44" s="1"/>
  <c r="BA213" i="44" s="1"/>
  <c r="BB213" i="44" s="1"/>
  <c r="BC213" i="44" s="1"/>
  <c r="BD213" i="44" s="1"/>
  <c r="BE213" i="44" s="1"/>
  <c r="BF213" i="44" s="1"/>
  <c r="BG213" i="44" s="1"/>
  <c r="BH213" i="44" s="1"/>
  <c r="BI213" i="44" s="1"/>
  <c r="BJ213" i="44" s="1"/>
  <c r="BK213" i="44" s="1"/>
  <c r="BL213" i="44" s="1"/>
  <c r="BM213" i="44" s="1"/>
  <c r="BN213" i="44" s="1"/>
  <c r="BO213" i="44" s="1"/>
  <c r="BP213" i="44" s="1"/>
  <c r="BQ213" i="44" s="1"/>
  <c r="BR213" i="44" s="1"/>
  <c r="BS213" i="44" s="1"/>
  <c r="BT213" i="44" s="1"/>
  <c r="BU213" i="44" s="1"/>
  <c r="BV213" i="44" s="1"/>
  <c r="BW213" i="44" s="1"/>
  <c r="BX213" i="44" s="1"/>
  <c r="BY213" i="44" s="1"/>
  <c r="BZ213" i="44" s="1"/>
  <c r="CA213" i="44" s="1"/>
  <c r="CB213" i="44" s="1"/>
  <c r="CC213" i="44" s="1"/>
  <c r="CD213" i="44" s="1"/>
  <c r="CE213" i="44" s="1"/>
  <c r="AH212" i="44"/>
  <c r="AI212" i="44" s="1"/>
  <c r="AJ212" i="44" s="1"/>
  <c r="AK212" i="44" s="1"/>
  <c r="AL212" i="44" s="1"/>
  <c r="AM212" i="44" s="1"/>
  <c r="AN212" i="44" s="1"/>
  <c r="AO212" i="44" s="1"/>
  <c r="AP212" i="44" s="1"/>
  <c r="AQ212" i="44" s="1"/>
  <c r="AR212" i="44" s="1"/>
  <c r="AS212" i="44" s="1"/>
  <c r="AT212" i="44" s="1"/>
  <c r="AU212" i="44" s="1"/>
  <c r="AV212" i="44" s="1"/>
  <c r="AW212" i="44" s="1"/>
  <c r="AX212" i="44" s="1"/>
  <c r="AY212" i="44" s="1"/>
  <c r="AZ212" i="44" s="1"/>
  <c r="BA212" i="44" s="1"/>
  <c r="BB212" i="44" s="1"/>
  <c r="BC212" i="44" s="1"/>
  <c r="BD212" i="44" s="1"/>
  <c r="BE212" i="44" s="1"/>
  <c r="BF212" i="44" s="1"/>
  <c r="BG212" i="44" s="1"/>
  <c r="BH212" i="44" s="1"/>
  <c r="BI212" i="44" s="1"/>
  <c r="BJ212" i="44" s="1"/>
  <c r="BK212" i="44" s="1"/>
  <c r="BL212" i="44" s="1"/>
  <c r="BM212" i="44" s="1"/>
  <c r="BN212" i="44" s="1"/>
  <c r="BO212" i="44" s="1"/>
  <c r="BP212" i="44" s="1"/>
  <c r="BQ212" i="44" s="1"/>
  <c r="BR212" i="44" s="1"/>
  <c r="BS212" i="44" s="1"/>
  <c r="BT212" i="44" s="1"/>
  <c r="BU212" i="44" s="1"/>
  <c r="BV212" i="44" s="1"/>
  <c r="BW212" i="44" s="1"/>
  <c r="BX212" i="44" s="1"/>
  <c r="BY212" i="44" s="1"/>
  <c r="BZ212" i="44" s="1"/>
  <c r="CA212" i="44" s="1"/>
  <c r="CB212" i="44" s="1"/>
  <c r="CC212" i="44" s="1"/>
  <c r="CD212" i="44" s="1"/>
  <c r="CE212" i="44" s="1"/>
  <c r="AH211" i="44"/>
  <c r="AI211" i="44" s="1"/>
  <c r="AJ211" i="44" s="1"/>
  <c r="AK211" i="44" s="1"/>
  <c r="AL211" i="44" s="1"/>
  <c r="AM211" i="44" s="1"/>
  <c r="AN211" i="44" s="1"/>
  <c r="AO211" i="44" s="1"/>
  <c r="AP211" i="44" s="1"/>
  <c r="AQ211" i="44" s="1"/>
  <c r="AR211" i="44" s="1"/>
  <c r="AS211" i="44" s="1"/>
  <c r="AT211" i="44" s="1"/>
  <c r="AU211" i="44" s="1"/>
  <c r="AV211" i="44" s="1"/>
  <c r="AW211" i="44" s="1"/>
  <c r="AX211" i="44" s="1"/>
  <c r="AY211" i="44" s="1"/>
  <c r="AZ211" i="44" s="1"/>
  <c r="BA211" i="44" s="1"/>
  <c r="BB211" i="44" s="1"/>
  <c r="BC211" i="44" s="1"/>
  <c r="BD211" i="44" s="1"/>
  <c r="BE211" i="44" s="1"/>
  <c r="BF211" i="44" s="1"/>
  <c r="BG211" i="44" s="1"/>
  <c r="BH211" i="44" s="1"/>
  <c r="BI211" i="44" s="1"/>
  <c r="BJ211" i="44" s="1"/>
  <c r="BK211" i="44" s="1"/>
  <c r="BL211" i="44" s="1"/>
  <c r="BM211" i="44" s="1"/>
  <c r="BN211" i="44" s="1"/>
  <c r="BO211" i="44" s="1"/>
  <c r="BP211" i="44" s="1"/>
  <c r="BQ211" i="44" s="1"/>
  <c r="BR211" i="44" s="1"/>
  <c r="BS211" i="44" s="1"/>
  <c r="BT211" i="44" s="1"/>
  <c r="BU211" i="44" s="1"/>
  <c r="BV211" i="44" s="1"/>
  <c r="BW211" i="44" s="1"/>
  <c r="BX211" i="44" s="1"/>
  <c r="BY211" i="44" s="1"/>
  <c r="BZ211" i="44" s="1"/>
  <c r="CA211" i="44" s="1"/>
  <c r="CB211" i="44" s="1"/>
  <c r="CC211" i="44" s="1"/>
  <c r="CD211" i="44" s="1"/>
  <c r="CE211" i="44" s="1"/>
  <c r="AH210" i="44"/>
  <c r="AI210" i="44" s="1"/>
  <c r="AJ210" i="44" s="1"/>
  <c r="AK210" i="44" s="1"/>
  <c r="AL210" i="44" s="1"/>
  <c r="AM210" i="44" s="1"/>
  <c r="AN210" i="44" s="1"/>
  <c r="AO210" i="44" s="1"/>
  <c r="AP210" i="44" s="1"/>
  <c r="AQ210" i="44" s="1"/>
  <c r="AR210" i="44" s="1"/>
  <c r="AS210" i="44" s="1"/>
  <c r="AT210" i="44" s="1"/>
  <c r="AU210" i="44" s="1"/>
  <c r="AV210" i="44" s="1"/>
  <c r="AW210" i="44" s="1"/>
  <c r="AX210" i="44" s="1"/>
  <c r="AY210" i="44" s="1"/>
  <c r="AZ210" i="44" s="1"/>
  <c r="BA210" i="44" s="1"/>
  <c r="BB210" i="44" s="1"/>
  <c r="BC210" i="44" s="1"/>
  <c r="BD210" i="44" s="1"/>
  <c r="BE210" i="44" s="1"/>
  <c r="BF210" i="44" s="1"/>
  <c r="BG210" i="44" s="1"/>
  <c r="BH210" i="44" s="1"/>
  <c r="BI210" i="44" s="1"/>
  <c r="BJ210" i="44" s="1"/>
  <c r="BK210" i="44" s="1"/>
  <c r="BL210" i="44" s="1"/>
  <c r="BM210" i="44" s="1"/>
  <c r="BN210" i="44" s="1"/>
  <c r="BO210" i="44" s="1"/>
  <c r="BP210" i="44" s="1"/>
  <c r="BQ210" i="44" s="1"/>
  <c r="BR210" i="44" s="1"/>
  <c r="BS210" i="44" s="1"/>
  <c r="BT210" i="44" s="1"/>
  <c r="BU210" i="44" s="1"/>
  <c r="BV210" i="44" s="1"/>
  <c r="BW210" i="44" s="1"/>
  <c r="BX210" i="44" s="1"/>
  <c r="BY210" i="44" s="1"/>
  <c r="BZ210" i="44" s="1"/>
  <c r="CA210" i="44" s="1"/>
  <c r="CB210" i="44" s="1"/>
  <c r="CC210" i="44" s="1"/>
  <c r="CD210" i="44" s="1"/>
  <c r="CE210" i="44" s="1"/>
  <c r="AH209" i="44"/>
  <c r="AI209" i="44" s="1"/>
  <c r="AJ209" i="44" s="1"/>
  <c r="AK209" i="44" s="1"/>
  <c r="AL209" i="44" s="1"/>
  <c r="AM209" i="44" s="1"/>
  <c r="AN209" i="44" s="1"/>
  <c r="AO209" i="44" s="1"/>
  <c r="AP209" i="44" s="1"/>
  <c r="AQ209" i="44" s="1"/>
  <c r="AR209" i="44" s="1"/>
  <c r="AS209" i="44" s="1"/>
  <c r="AT209" i="44" s="1"/>
  <c r="AU209" i="44" s="1"/>
  <c r="AV209" i="44" s="1"/>
  <c r="AW209" i="44" s="1"/>
  <c r="AX209" i="44" s="1"/>
  <c r="AY209" i="44" s="1"/>
  <c r="AZ209" i="44" s="1"/>
  <c r="BA209" i="44" s="1"/>
  <c r="BB209" i="44" s="1"/>
  <c r="BC209" i="44" s="1"/>
  <c r="BD209" i="44" s="1"/>
  <c r="BE209" i="44" s="1"/>
  <c r="BF209" i="44" s="1"/>
  <c r="BG209" i="44" s="1"/>
  <c r="BH209" i="44" s="1"/>
  <c r="BI209" i="44" s="1"/>
  <c r="BJ209" i="44" s="1"/>
  <c r="BK209" i="44" s="1"/>
  <c r="BL209" i="44" s="1"/>
  <c r="BM209" i="44" s="1"/>
  <c r="BN209" i="44" s="1"/>
  <c r="BO209" i="44" s="1"/>
  <c r="BP209" i="44" s="1"/>
  <c r="BQ209" i="44" s="1"/>
  <c r="BR209" i="44" s="1"/>
  <c r="BS209" i="44" s="1"/>
  <c r="BT209" i="44" s="1"/>
  <c r="BU209" i="44" s="1"/>
  <c r="BV209" i="44" s="1"/>
  <c r="BW209" i="44" s="1"/>
  <c r="BX209" i="44" s="1"/>
  <c r="BY209" i="44" s="1"/>
  <c r="BZ209" i="44" s="1"/>
  <c r="CA209" i="44" s="1"/>
  <c r="CB209" i="44" s="1"/>
  <c r="CC209" i="44" s="1"/>
  <c r="CD209" i="44" s="1"/>
  <c r="CE209" i="44" s="1"/>
  <c r="AH208" i="44"/>
  <c r="AI208" i="44" s="1"/>
  <c r="AJ208" i="44" s="1"/>
  <c r="AK208" i="44" s="1"/>
  <c r="AL208" i="44" s="1"/>
  <c r="AM208" i="44" s="1"/>
  <c r="AN208" i="44" s="1"/>
  <c r="AO208" i="44" s="1"/>
  <c r="AP208" i="44" s="1"/>
  <c r="AQ208" i="44" s="1"/>
  <c r="AR208" i="44" s="1"/>
  <c r="AS208" i="44" s="1"/>
  <c r="AT208" i="44" s="1"/>
  <c r="AU208" i="44" s="1"/>
  <c r="AV208" i="44" s="1"/>
  <c r="AW208" i="44" s="1"/>
  <c r="AX208" i="44" s="1"/>
  <c r="AY208" i="44" s="1"/>
  <c r="AZ208" i="44" s="1"/>
  <c r="BA208" i="44" s="1"/>
  <c r="BB208" i="44" s="1"/>
  <c r="BC208" i="44" s="1"/>
  <c r="BD208" i="44" s="1"/>
  <c r="BE208" i="44" s="1"/>
  <c r="BF208" i="44" s="1"/>
  <c r="BG208" i="44" s="1"/>
  <c r="BH208" i="44" s="1"/>
  <c r="BI208" i="44" s="1"/>
  <c r="BJ208" i="44" s="1"/>
  <c r="BK208" i="44" s="1"/>
  <c r="BL208" i="44" s="1"/>
  <c r="BM208" i="44" s="1"/>
  <c r="BN208" i="44" s="1"/>
  <c r="BO208" i="44" s="1"/>
  <c r="BP208" i="44" s="1"/>
  <c r="BQ208" i="44" s="1"/>
  <c r="BR208" i="44" s="1"/>
  <c r="BS208" i="44" s="1"/>
  <c r="BT208" i="44" s="1"/>
  <c r="BU208" i="44" s="1"/>
  <c r="BV208" i="44" s="1"/>
  <c r="BW208" i="44" s="1"/>
  <c r="BX208" i="44" s="1"/>
  <c r="BY208" i="44" s="1"/>
  <c r="BZ208" i="44" s="1"/>
  <c r="CA208" i="44" s="1"/>
  <c r="CB208" i="44" s="1"/>
  <c r="CC208" i="44" s="1"/>
  <c r="CD208" i="44" s="1"/>
  <c r="CE208" i="44" s="1"/>
  <c r="AH207" i="44"/>
  <c r="AI207" i="44" s="1"/>
  <c r="AJ207" i="44" s="1"/>
  <c r="AK207" i="44" s="1"/>
  <c r="AL207" i="44" s="1"/>
  <c r="AM207" i="44" s="1"/>
  <c r="AN207" i="44" s="1"/>
  <c r="AO207" i="44" s="1"/>
  <c r="AP207" i="44" s="1"/>
  <c r="AQ207" i="44" s="1"/>
  <c r="AR207" i="44" s="1"/>
  <c r="AS207" i="44" s="1"/>
  <c r="AT207" i="44" s="1"/>
  <c r="AU207" i="44" s="1"/>
  <c r="AV207" i="44" s="1"/>
  <c r="AW207" i="44" s="1"/>
  <c r="AX207" i="44" s="1"/>
  <c r="AY207" i="44" s="1"/>
  <c r="AZ207" i="44" s="1"/>
  <c r="BA207" i="44" s="1"/>
  <c r="BB207" i="44" s="1"/>
  <c r="BC207" i="44" s="1"/>
  <c r="BD207" i="44" s="1"/>
  <c r="BE207" i="44" s="1"/>
  <c r="BF207" i="44" s="1"/>
  <c r="BG207" i="44" s="1"/>
  <c r="BH207" i="44" s="1"/>
  <c r="BI207" i="44" s="1"/>
  <c r="BJ207" i="44" s="1"/>
  <c r="BK207" i="44" s="1"/>
  <c r="BL207" i="44" s="1"/>
  <c r="BM207" i="44" s="1"/>
  <c r="BN207" i="44" s="1"/>
  <c r="BO207" i="44" s="1"/>
  <c r="BP207" i="44" s="1"/>
  <c r="BQ207" i="44" s="1"/>
  <c r="BR207" i="44" s="1"/>
  <c r="BS207" i="44" s="1"/>
  <c r="BT207" i="44" s="1"/>
  <c r="BU207" i="44" s="1"/>
  <c r="BV207" i="44" s="1"/>
  <c r="BW207" i="44" s="1"/>
  <c r="BX207" i="44" s="1"/>
  <c r="BY207" i="44" s="1"/>
  <c r="BZ207" i="44" s="1"/>
  <c r="CA207" i="44" s="1"/>
  <c r="CB207" i="44" s="1"/>
  <c r="CC207" i="44" s="1"/>
  <c r="CD207" i="44" s="1"/>
  <c r="CE207" i="44" s="1"/>
  <c r="AH206" i="44"/>
  <c r="AI206" i="44" s="1"/>
  <c r="AJ206" i="44" s="1"/>
  <c r="AK206" i="44" s="1"/>
  <c r="AL206" i="44" s="1"/>
  <c r="AM206" i="44" s="1"/>
  <c r="AN206" i="44" s="1"/>
  <c r="AO206" i="44" s="1"/>
  <c r="AP206" i="44" s="1"/>
  <c r="AQ206" i="44" s="1"/>
  <c r="AR206" i="44" s="1"/>
  <c r="AS206" i="44" s="1"/>
  <c r="AT206" i="44" s="1"/>
  <c r="AU206" i="44" s="1"/>
  <c r="AV206" i="44" s="1"/>
  <c r="AW206" i="44" s="1"/>
  <c r="AX206" i="44" s="1"/>
  <c r="AY206" i="44" s="1"/>
  <c r="AZ206" i="44" s="1"/>
  <c r="BA206" i="44" s="1"/>
  <c r="BB206" i="44" s="1"/>
  <c r="BC206" i="44" s="1"/>
  <c r="BD206" i="44" s="1"/>
  <c r="BE206" i="44" s="1"/>
  <c r="BF206" i="44" s="1"/>
  <c r="BG206" i="44" s="1"/>
  <c r="BH206" i="44" s="1"/>
  <c r="BI206" i="44" s="1"/>
  <c r="BJ206" i="44" s="1"/>
  <c r="BK206" i="44" s="1"/>
  <c r="BL206" i="44" s="1"/>
  <c r="BM206" i="44" s="1"/>
  <c r="BN206" i="44" s="1"/>
  <c r="BO206" i="44" s="1"/>
  <c r="BP206" i="44" s="1"/>
  <c r="BQ206" i="44" s="1"/>
  <c r="BR206" i="44" s="1"/>
  <c r="BS206" i="44" s="1"/>
  <c r="BT206" i="44" s="1"/>
  <c r="BU206" i="44" s="1"/>
  <c r="BV206" i="44" s="1"/>
  <c r="BW206" i="44" s="1"/>
  <c r="BX206" i="44" s="1"/>
  <c r="BY206" i="44" s="1"/>
  <c r="BZ206" i="44" s="1"/>
  <c r="CA206" i="44" s="1"/>
  <c r="CB206" i="44" s="1"/>
  <c r="CC206" i="44" s="1"/>
  <c r="CD206" i="44" s="1"/>
  <c r="CE206" i="44" s="1"/>
  <c r="AH205" i="44"/>
  <c r="AI205" i="44" s="1"/>
  <c r="AJ205" i="44" s="1"/>
  <c r="AK205" i="44" s="1"/>
  <c r="AL205" i="44" s="1"/>
  <c r="AM205" i="44" s="1"/>
  <c r="AN205" i="44" s="1"/>
  <c r="AO205" i="44" s="1"/>
  <c r="AP205" i="44" s="1"/>
  <c r="AQ205" i="44" s="1"/>
  <c r="AR205" i="44" s="1"/>
  <c r="AS205" i="44" s="1"/>
  <c r="AT205" i="44" s="1"/>
  <c r="AU205" i="44" s="1"/>
  <c r="AV205" i="44" s="1"/>
  <c r="AW205" i="44" s="1"/>
  <c r="AX205" i="44" s="1"/>
  <c r="AY205" i="44" s="1"/>
  <c r="AZ205" i="44" s="1"/>
  <c r="BA205" i="44" s="1"/>
  <c r="BB205" i="44" s="1"/>
  <c r="BC205" i="44" s="1"/>
  <c r="BD205" i="44" s="1"/>
  <c r="BE205" i="44" s="1"/>
  <c r="BF205" i="44" s="1"/>
  <c r="BG205" i="44" s="1"/>
  <c r="BH205" i="44" s="1"/>
  <c r="BI205" i="44" s="1"/>
  <c r="BJ205" i="44" s="1"/>
  <c r="BK205" i="44" s="1"/>
  <c r="BL205" i="44" s="1"/>
  <c r="BM205" i="44" s="1"/>
  <c r="BN205" i="44" s="1"/>
  <c r="BO205" i="44" s="1"/>
  <c r="BP205" i="44" s="1"/>
  <c r="BQ205" i="44" s="1"/>
  <c r="BR205" i="44" s="1"/>
  <c r="BS205" i="44" s="1"/>
  <c r="BT205" i="44" s="1"/>
  <c r="BU205" i="44" s="1"/>
  <c r="BV205" i="44" s="1"/>
  <c r="BW205" i="44" s="1"/>
  <c r="BX205" i="44" s="1"/>
  <c r="BY205" i="44" s="1"/>
  <c r="BZ205" i="44" s="1"/>
  <c r="CA205" i="44" s="1"/>
  <c r="CB205" i="44" s="1"/>
  <c r="CC205" i="44" s="1"/>
  <c r="CD205" i="44" s="1"/>
  <c r="CE205" i="44" s="1"/>
  <c r="AH204" i="44"/>
  <c r="AI204" i="44" s="1"/>
  <c r="AJ204" i="44" s="1"/>
  <c r="AK204" i="44" s="1"/>
  <c r="AL204" i="44" s="1"/>
  <c r="AM204" i="44" s="1"/>
  <c r="AN204" i="44" s="1"/>
  <c r="AO204" i="44" s="1"/>
  <c r="AP204" i="44" s="1"/>
  <c r="AQ204" i="44" s="1"/>
  <c r="AR204" i="44" s="1"/>
  <c r="AS204" i="44" s="1"/>
  <c r="AT204" i="44" s="1"/>
  <c r="AU204" i="44" s="1"/>
  <c r="AV204" i="44" s="1"/>
  <c r="AW204" i="44" s="1"/>
  <c r="AX204" i="44" s="1"/>
  <c r="AY204" i="44" s="1"/>
  <c r="AZ204" i="44" s="1"/>
  <c r="BA204" i="44" s="1"/>
  <c r="BB204" i="44" s="1"/>
  <c r="BC204" i="44" s="1"/>
  <c r="BD204" i="44" s="1"/>
  <c r="BE204" i="44" s="1"/>
  <c r="BF204" i="44" s="1"/>
  <c r="BG204" i="44" s="1"/>
  <c r="BH204" i="44" s="1"/>
  <c r="BI204" i="44" s="1"/>
  <c r="BJ204" i="44" s="1"/>
  <c r="BK204" i="44" s="1"/>
  <c r="BL204" i="44" s="1"/>
  <c r="BM204" i="44" s="1"/>
  <c r="BN204" i="44" s="1"/>
  <c r="BO204" i="44" s="1"/>
  <c r="BP204" i="44" s="1"/>
  <c r="BQ204" i="44" s="1"/>
  <c r="BR204" i="44" s="1"/>
  <c r="BS204" i="44" s="1"/>
  <c r="BT204" i="44" s="1"/>
  <c r="BU204" i="44" s="1"/>
  <c r="BV204" i="44" s="1"/>
  <c r="BW204" i="44" s="1"/>
  <c r="BX204" i="44" s="1"/>
  <c r="BY204" i="44" s="1"/>
  <c r="BZ204" i="44" s="1"/>
  <c r="CA204" i="44" s="1"/>
  <c r="CB204" i="44" s="1"/>
  <c r="CC204" i="44" s="1"/>
  <c r="CD204" i="44" s="1"/>
  <c r="CE204" i="44" s="1"/>
  <c r="F203" i="44"/>
  <c r="G203" i="44" s="1"/>
  <c r="H203" i="44" s="1"/>
  <c r="I203" i="44" s="1"/>
  <c r="J203" i="44" s="1"/>
  <c r="K203" i="44" s="1"/>
  <c r="L203" i="44" s="1"/>
  <c r="M203" i="44" s="1"/>
  <c r="N203" i="44" s="1"/>
  <c r="O203" i="44" s="1"/>
  <c r="P203" i="44" s="1"/>
  <c r="Q203" i="44" s="1"/>
  <c r="R203" i="44" s="1"/>
  <c r="S203" i="44" s="1"/>
  <c r="T203" i="44" s="1"/>
  <c r="U203" i="44" s="1"/>
  <c r="V203" i="44" s="1"/>
  <c r="W203" i="44" s="1"/>
  <c r="X203" i="44" s="1"/>
  <c r="Y203" i="44" s="1"/>
  <c r="Z203" i="44" s="1"/>
  <c r="AA203" i="44" s="1"/>
  <c r="AB203" i="44" s="1"/>
  <c r="AC203" i="44" s="1"/>
  <c r="AD203" i="44" s="1"/>
  <c r="AE203" i="44" s="1"/>
  <c r="AF203" i="44" s="1"/>
  <c r="AG203" i="44" s="1"/>
  <c r="AH203" i="44" s="1"/>
  <c r="AI203" i="44" s="1"/>
  <c r="AJ203" i="44" s="1"/>
  <c r="AK203" i="44" s="1"/>
  <c r="AL203" i="44" s="1"/>
  <c r="AM203" i="44" s="1"/>
  <c r="AN203" i="44" s="1"/>
  <c r="AO203" i="44" s="1"/>
  <c r="AP203" i="44" s="1"/>
  <c r="AQ203" i="44" s="1"/>
  <c r="AR203" i="44" s="1"/>
  <c r="AS203" i="44" s="1"/>
  <c r="AT203" i="44" s="1"/>
  <c r="AU203" i="44" s="1"/>
  <c r="AV203" i="44" s="1"/>
  <c r="AW203" i="44" s="1"/>
  <c r="AX203" i="44" s="1"/>
  <c r="AY203" i="44" s="1"/>
  <c r="AZ203" i="44" s="1"/>
  <c r="BA203" i="44" s="1"/>
  <c r="BB203" i="44" s="1"/>
  <c r="BC203" i="44" s="1"/>
  <c r="BD203" i="44" s="1"/>
  <c r="BE203" i="44" s="1"/>
  <c r="BF203" i="44" s="1"/>
  <c r="BG203" i="44" s="1"/>
  <c r="BH203" i="44" s="1"/>
  <c r="BI203" i="44" s="1"/>
  <c r="BJ203" i="44" s="1"/>
  <c r="BK203" i="44" s="1"/>
  <c r="BL203" i="44" s="1"/>
  <c r="BM203" i="44" s="1"/>
  <c r="BN203" i="44" s="1"/>
  <c r="BO203" i="44" s="1"/>
  <c r="BP203" i="44" s="1"/>
  <c r="BQ203" i="44" s="1"/>
  <c r="BR203" i="44" s="1"/>
  <c r="BS203" i="44" s="1"/>
  <c r="BT203" i="44" s="1"/>
  <c r="BU203" i="44" s="1"/>
  <c r="BV203" i="44" s="1"/>
  <c r="BW203" i="44" s="1"/>
  <c r="BX203" i="44" s="1"/>
  <c r="BY203" i="44" s="1"/>
  <c r="BZ203" i="44" s="1"/>
  <c r="CA203" i="44" s="1"/>
  <c r="CB203" i="44" s="1"/>
  <c r="CC203" i="44" s="1"/>
  <c r="CD203" i="44" s="1"/>
  <c r="CE203" i="44" s="1"/>
  <c r="AH201" i="44"/>
  <c r="AI201" i="44" s="1"/>
  <c r="AJ201" i="44" s="1"/>
  <c r="AK201" i="44" s="1"/>
  <c r="AL201" i="44" s="1"/>
  <c r="AM201" i="44" s="1"/>
  <c r="AN201" i="44" s="1"/>
  <c r="AO201" i="44" s="1"/>
  <c r="AP201" i="44" s="1"/>
  <c r="AQ201" i="44" s="1"/>
  <c r="AR201" i="44" s="1"/>
  <c r="AS201" i="44" s="1"/>
  <c r="AT201" i="44" s="1"/>
  <c r="AU201" i="44" s="1"/>
  <c r="AV201" i="44" s="1"/>
  <c r="AW201" i="44" s="1"/>
  <c r="AX201" i="44" s="1"/>
  <c r="AY201" i="44" s="1"/>
  <c r="AZ201" i="44" s="1"/>
  <c r="BA201" i="44" s="1"/>
  <c r="BB201" i="44" s="1"/>
  <c r="BC201" i="44" s="1"/>
  <c r="BD201" i="44" s="1"/>
  <c r="BE201" i="44" s="1"/>
  <c r="BF201" i="44" s="1"/>
  <c r="BG201" i="44" s="1"/>
  <c r="BH201" i="44" s="1"/>
  <c r="BI201" i="44" s="1"/>
  <c r="BJ201" i="44" s="1"/>
  <c r="BK201" i="44" s="1"/>
  <c r="BL201" i="44" s="1"/>
  <c r="BM201" i="44" s="1"/>
  <c r="BN201" i="44" s="1"/>
  <c r="BO201" i="44" s="1"/>
  <c r="BP201" i="44" s="1"/>
  <c r="BQ201" i="44" s="1"/>
  <c r="BR201" i="44" s="1"/>
  <c r="BS201" i="44" s="1"/>
  <c r="BT201" i="44" s="1"/>
  <c r="BU201" i="44" s="1"/>
  <c r="BV201" i="44" s="1"/>
  <c r="BW201" i="44" s="1"/>
  <c r="BX201" i="44" s="1"/>
  <c r="BY201" i="44" s="1"/>
  <c r="BZ201" i="44" s="1"/>
  <c r="CA201" i="44" s="1"/>
  <c r="CB201" i="44" s="1"/>
  <c r="CC201" i="44" s="1"/>
  <c r="CD201" i="44" s="1"/>
  <c r="CE201" i="44" s="1"/>
  <c r="AH200" i="44"/>
  <c r="AI200" i="44" s="1"/>
  <c r="AJ200" i="44" s="1"/>
  <c r="AK200" i="44" s="1"/>
  <c r="AL200" i="44" s="1"/>
  <c r="AM200" i="44" s="1"/>
  <c r="AN200" i="44" s="1"/>
  <c r="AO200" i="44" s="1"/>
  <c r="AP200" i="44" s="1"/>
  <c r="AQ200" i="44" s="1"/>
  <c r="AR200" i="44" s="1"/>
  <c r="AS200" i="44" s="1"/>
  <c r="AT200" i="44" s="1"/>
  <c r="AU200" i="44" s="1"/>
  <c r="AV200" i="44" s="1"/>
  <c r="AW200" i="44" s="1"/>
  <c r="AX200" i="44" s="1"/>
  <c r="AY200" i="44" s="1"/>
  <c r="AZ200" i="44" s="1"/>
  <c r="BA200" i="44" s="1"/>
  <c r="BB200" i="44" s="1"/>
  <c r="BC200" i="44" s="1"/>
  <c r="BD200" i="44" s="1"/>
  <c r="BE200" i="44" s="1"/>
  <c r="BF200" i="44" s="1"/>
  <c r="BG200" i="44" s="1"/>
  <c r="BH200" i="44" s="1"/>
  <c r="BI200" i="44" s="1"/>
  <c r="BJ200" i="44" s="1"/>
  <c r="BK200" i="44" s="1"/>
  <c r="BL200" i="44" s="1"/>
  <c r="BM200" i="44" s="1"/>
  <c r="BN200" i="44" s="1"/>
  <c r="BO200" i="44" s="1"/>
  <c r="BP200" i="44" s="1"/>
  <c r="BQ200" i="44" s="1"/>
  <c r="BR200" i="44" s="1"/>
  <c r="BS200" i="44" s="1"/>
  <c r="BT200" i="44" s="1"/>
  <c r="BU200" i="44" s="1"/>
  <c r="BV200" i="44" s="1"/>
  <c r="BW200" i="44" s="1"/>
  <c r="BX200" i="44" s="1"/>
  <c r="BY200" i="44" s="1"/>
  <c r="BZ200" i="44" s="1"/>
  <c r="CA200" i="44" s="1"/>
  <c r="CB200" i="44" s="1"/>
  <c r="CC200" i="44" s="1"/>
  <c r="CD200" i="44" s="1"/>
  <c r="CE200" i="44" s="1"/>
  <c r="AH199" i="44"/>
  <c r="AI199" i="44" s="1"/>
  <c r="AJ199" i="44" s="1"/>
  <c r="AK199" i="44" s="1"/>
  <c r="AL199" i="44" s="1"/>
  <c r="AM199" i="44" s="1"/>
  <c r="AN199" i="44" s="1"/>
  <c r="AO199" i="44" s="1"/>
  <c r="AP199" i="44" s="1"/>
  <c r="AQ199" i="44" s="1"/>
  <c r="AR199" i="44" s="1"/>
  <c r="AS199" i="44" s="1"/>
  <c r="AT199" i="44" s="1"/>
  <c r="AU199" i="44" s="1"/>
  <c r="AV199" i="44" s="1"/>
  <c r="AW199" i="44" s="1"/>
  <c r="AX199" i="44" s="1"/>
  <c r="AY199" i="44" s="1"/>
  <c r="AZ199" i="44" s="1"/>
  <c r="BA199" i="44" s="1"/>
  <c r="BB199" i="44" s="1"/>
  <c r="BC199" i="44" s="1"/>
  <c r="BD199" i="44" s="1"/>
  <c r="BE199" i="44" s="1"/>
  <c r="BF199" i="44" s="1"/>
  <c r="BG199" i="44" s="1"/>
  <c r="BH199" i="44" s="1"/>
  <c r="BI199" i="44" s="1"/>
  <c r="BJ199" i="44" s="1"/>
  <c r="BK199" i="44" s="1"/>
  <c r="BL199" i="44" s="1"/>
  <c r="BM199" i="44" s="1"/>
  <c r="BN199" i="44" s="1"/>
  <c r="BO199" i="44" s="1"/>
  <c r="BP199" i="44" s="1"/>
  <c r="BQ199" i="44" s="1"/>
  <c r="BR199" i="44" s="1"/>
  <c r="BS199" i="44" s="1"/>
  <c r="BT199" i="44" s="1"/>
  <c r="BU199" i="44" s="1"/>
  <c r="BV199" i="44" s="1"/>
  <c r="BW199" i="44" s="1"/>
  <c r="BX199" i="44" s="1"/>
  <c r="BY199" i="44" s="1"/>
  <c r="BZ199" i="44" s="1"/>
  <c r="CA199" i="44" s="1"/>
  <c r="CB199" i="44" s="1"/>
  <c r="CC199" i="44" s="1"/>
  <c r="CD199" i="44" s="1"/>
  <c r="CE199" i="44" s="1"/>
  <c r="AH198" i="44"/>
  <c r="AI198" i="44" s="1"/>
  <c r="AJ198" i="44" s="1"/>
  <c r="AK198" i="44" s="1"/>
  <c r="AL198" i="44" s="1"/>
  <c r="AM198" i="44" s="1"/>
  <c r="AN198" i="44" s="1"/>
  <c r="AO198" i="44" s="1"/>
  <c r="AP198" i="44" s="1"/>
  <c r="AQ198" i="44" s="1"/>
  <c r="AR198" i="44" s="1"/>
  <c r="AS198" i="44" s="1"/>
  <c r="AT198" i="44" s="1"/>
  <c r="AU198" i="44" s="1"/>
  <c r="AV198" i="44" s="1"/>
  <c r="AW198" i="44" s="1"/>
  <c r="AX198" i="44" s="1"/>
  <c r="AY198" i="44" s="1"/>
  <c r="AZ198" i="44" s="1"/>
  <c r="BA198" i="44" s="1"/>
  <c r="BB198" i="44" s="1"/>
  <c r="BC198" i="44" s="1"/>
  <c r="BD198" i="44" s="1"/>
  <c r="BE198" i="44" s="1"/>
  <c r="BF198" i="44" s="1"/>
  <c r="BG198" i="44" s="1"/>
  <c r="BH198" i="44" s="1"/>
  <c r="BI198" i="44" s="1"/>
  <c r="BJ198" i="44" s="1"/>
  <c r="BK198" i="44" s="1"/>
  <c r="BL198" i="44" s="1"/>
  <c r="BM198" i="44" s="1"/>
  <c r="BN198" i="44" s="1"/>
  <c r="BO198" i="44" s="1"/>
  <c r="BP198" i="44" s="1"/>
  <c r="BQ198" i="44" s="1"/>
  <c r="BR198" i="44" s="1"/>
  <c r="BS198" i="44" s="1"/>
  <c r="BT198" i="44" s="1"/>
  <c r="BU198" i="44" s="1"/>
  <c r="BV198" i="44" s="1"/>
  <c r="BW198" i="44" s="1"/>
  <c r="BX198" i="44" s="1"/>
  <c r="BY198" i="44" s="1"/>
  <c r="BZ198" i="44" s="1"/>
  <c r="CA198" i="44" s="1"/>
  <c r="CB198" i="44" s="1"/>
  <c r="CC198" i="44" s="1"/>
  <c r="CD198" i="44" s="1"/>
  <c r="CE198" i="44" s="1"/>
  <c r="AH197" i="44"/>
  <c r="AI197" i="44" s="1"/>
  <c r="AJ197" i="44" s="1"/>
  <c r="AK197" i="44" s="1"/>
  <c r="AL197" i="44" s="1"/>
  <c r="AM197" i="44" s="1"/>
  <c r="AN197" i="44" s="1"/>
  <c r="AO197" i="44" s="1"/>
  <c r="AP197" i="44" s="1"/>
  <c r="AQ197" i="44" s="1"/>
  <c r="AR197" i="44" s="1"/>
  <c r="AS197" i="44" s="1"/>
  <c r="AT197" i="44" s="1"/>
  <c r="AU197" i="44" s="1"/>
  <c r="AV197" i="44" s="1"/>
  <c r="AW197" i="44" s="1"/>
  <c r="AX197" i="44" s="1"/>
  <c r="AY197" i="44" s="1"/>
  <c r="AZ197" i="44" s="1"/>
  <c r="BA197" i="44" s="1"/>
  <c r="BB197" i="44" s="1"/>
  <c r="BC197" i="44" s="1"/>
  <c r="BD197" i="44" s="1"/>
  <c r="BE197" i="44" s="1"/>
  <c r="BF197" i="44" s="1"/>
  <c r="BG197" i="44" s="1"/>
  <c r="BH197" i="44" s="1"/>
  <c r="BI197" i="44" s="1"/>
  <c r="BJ197" i="44" s="1"/>
  <c r="BK197" i="44" s="1"/>
  <c r="BL197" i="44" s="1"/>
  <c r="BM197" i="44" s="1"/>
  <c r="BN197" i="44" s="1"/>
  <c r="BO197" i="44" s="1"/>
  <c r="BP197" i="44" s="1"/>
  <c r="BQ197" i="44" s="1"/>
  <c r="BR197" i="44" s="1"/>
  <c r="BS197" i="44" s="1"/>
  <c r="BT197" i="44" s="1"/>
  <c r="BU197" i="44" s="1"/>
  <c r="BV197" i="44" s="1"/>
  <c r="BW197" i="44" s="1"/>
  <c r="BX197" i="44" s="1"/>
  <c r="BY197" i="44" s="1"/>
  <c r="BZ197" i="44" s="1"/>
  <c r="CA197" i="44" s="1"/>
  <c r="CB197" i="44" s="1"/>
  <c r="CC197" i="44" s="1"/>
  <c r="CD197" i="44" s="1"/>
  <c r="CE197" i="44" s="1"/>
  <c r="AH196" i="44"/>
  <c r="AI196" i="44" s="1"/>
  <c r="AJ196" i="44" s="1"/>
  <c r="AK196" i="44" s="1"/>
  <c r="AL196" i="44" s="1"/>
  <c r="AM196" i="44" s="1"/>
  <c r="AN196" i="44" s="1"/>
  <c r="AO196" i="44" s="1"/>
  <c r="AP196" i="44" s="1"/>
  <c r="AQ196" i="44" s="1"/>
  <c r="AR196" i="44" s="1"/>
  <c r="AS196" i="44" s="1"/>
  <c r="AT196" i="44" s="1"/>
  <c r="AU196" i="44" s="1"/>
  <c r="AV196" i="44" s="1"/>
  <c r="AW196" i="44" s="1"/>
  <c r="AX196" i="44" s="1"/>
  <c r="AY196" i="44" s="1"/>
  <c r="AZ196" i="44" s="1"/>
  <c r="BA196" i="44" s="1"/>
  <c r="BB196" i="44" s="1"/>
  <c r="BC196" i="44" s="1"/>
  <c r="BD196" i="44" s="1"/>
  <c r="BE196" i="44" s="1"/>
  <c r="BF196" i="44" s="1"/>
  <c r="BG196" i="44" s="1"/>
  <c r="BH196" i="44" s="1"/>
  <c r="BI196" i="44" s="1"/>
  <c r="BJ196" i="44" s="1"/>
  <c r="BK196" i="44" s="1"/>
  <c r="BL196" i="44" s="1"/>
  <c r="BM196" i="44" s="1"/>
  <c r="BN196" i="44" s="1"/>
  <c r="BO196" i="44" s="1"/>
  <c r="BP196" i="44" s="1"/>
  <c r="BQ196" i="44" s="1"/>
  <c r="BR196" i="44" s="1"/>
  <c r="BS196" i="44" s="1"/>
  <c r="BT196" i="44" s="1"/>
  <c r="BU196" i="44" s="1"/>
  <c r="BV196" i="44" s="1"/>
  <c r="BW196" i="44" s="1"/>
  <c r="BX196" i="44" s="1"/>
  <c r="BY196" i="44" s="1"/>
  <c r="BZ196" i="44" s="1"/>
  <c r="CA196" i="44" s="1"/>
  <c r="CB196" i="44" s="1"/>
  <c r="CC196" i="44" s="1"/>
  <c r="CD196" i="44" s="1"/>
  <c r="CE196" i="44" s="1"/>
  <c r="AH195" i="44"/>
  <c r="AI195" i="44" s="1"/>
  <c r="AJ195" i="44" s="1"/>
  <c r="AK195" i="44" s="1"/>
  <c r="AL195" i="44" s="1"/>
  <c r="AM195" i="44" s="1"/>
  <c r="AN195" i="44" s="1"/>
  <c r="AO195" i="44" s="1"/>
  <c r="AP195" i="44" s="1"/>
  <c r="AQ195" i="44" s="1"/>
  <c r="AR195" i="44" s="1"/>
  <c r="AS195" i="44" s="1"/>
  <c r="AT195" i="44" s="1"/>
  <c r="AU195" i="44" s="1"/>
  <c r="AV195" i="44" s="1"/>
  <c r="AW195" i="44" s="1"/>
  <c r="AX195" i="44" s="1"/>
  <c r="AY195" i="44" s="1"/>
  <c r="AZ195" i="44" s="1"/>
  <c r="BA195" i="44" s="1"/>
  <c r="BB195" i="44" s="1"/>
  <c r="BC195" i="44" s="1"/>
  <c r="BD195" i="44" s="1"/>
  <c r="BE195" i="44" s="1"/>
  <c r="BF195" i="44" s="1"/>
  <c r="BG195" i="44" s="1"/>
  <c r="BH195" i="44" s="1"/>
  <c r="BI195" i="44" s="1"/>
  <c r="BJ195" i="44" s="1"/>
  <c r="BK195" i="44" s="1"/>
  <c r="BL195" i="44" s="1"/>
  <c r="BM195" i="44" s="1"/>
  <c r="BN195" i="44" s="1"/>
  <c r="BO195" i="44" s="1"/>
  <c r="BP195" i="44" s="1"/>
  <c r="BQ195" i="44" s="1"/>
  <c r="BR195" i="44" s="1"/>
  <c r="BS195" i="44" s="1"/>
  <c r="BT195" i="44" s="1"/>
  <c r="BU195" i="44" s="1"/>
  <c r="BV195" i="44" s="1"/>
  <c r="BW195" i="44" s="1"/>
  <c r="BX195" i="44" s="1"/>
  <c r="BY195" i="44" s="1"/>
  <c r="BZ195" i="44" s="1"/>
  <c r="CA195" i="44" s="1"/>
  <c r="CB195" i="44" s="1"/>
  <c r="CC195" i="44" s="1"/>
  <c r="CD195" i="44" s="1"/>
  <c r="CE195" i="44" s="1"/>
  <c r="AH194" i="44"/>
  <c r="AI194" i="44" s="1"/>
  <c r="AJ194" i="44" s="1"/>
  <c r="AK194" i="44" s="1"/>
  <c r="AL194" i="44" s="1"/>
  <c r="AM194" i="44" s="1"/>
  <c r="AN194" i="44" s="1"/>
  <c r="AO194" i="44" s="1"/>
  <c r="AP194" i="44" s="1"/>
  <c r="AQ194" i="44" s="1"/>
  <c r="AR194" i="44" s="1"/>
  <c r="AS194" i="44" s="1"/>
  <c r="AT194" i="44" s="1"/>
  <c r="AU194" i="44" s="1"/>
  <c r="AV194" i="44" s="1"/>
  <c r="AW194" i="44" s="1"/>
  <c r="AX194" i="44" s="1"/>
  <c r="AY194" i="44" s="1"/>
  <c r="AZ194" i="44" s="1"/>
  <c r="BA194" i="44" s="1"/>
  <c r="BB194" i="44" s="1"/>
  <c r="BC194" i="44" s="1"/>
  <c r="BD194" i="44" s="1"/>
  <c r="BE194" i="44" s="1"/>
  <c r="BF194" i="44" s="1"/>
  <c r="BG194" i="44" s="1"/>
  <c r="BH194" i="44" s="1"/>
  <c r="BI194" i="44" s="1"/>
  <c r="BJ194" i="44" s="1"/>
  <c r="BK194" i="44" s="1"/>
  <c r="BL194" i="44" s="1"/>
  <c r="BM194" i="44" s="1"/>
  <c r="BN194" i="44" s="1"/>
  <c r="BO194" i="44" s="1"/>
  <c r="BP194" i="44" s="1"/>
  <c r="BQ194" i="44" s="1"/>
  <c r="BR194" i="44" s="1"/>
  <c r="BS194" i="44" s="1"/>
  <c r="BT194" i="44" s="1"/>
  <c r="BU194" i="44" s="1"/>
  <c r="BV194" i="44" s="1"/>
  <c r="BW194" i="44" s="1"/>
  <c r="BX194" i="44" s="1"/>
  <c r="BY194" i="44" s="1"/>
  <c r="BZ194" i="44" s="1"/>
  <c r="CA194" i="44" s="1"/>
  <c r="CB194" i="44" s="1"/>
  <c r="CC194" i="44" s="1"/>
  <c r="CD194" i="44" s="1"/>
  <c r="CE194" i="44" s="1"/>
  <c r="AH192" i="44"/>
  <c r="AI192" i="44" s="1"/>
  <c r="AJ192" i="44" s="1"/>
  <c r="AK192" i="44" s="1"/>
  <c r="AL192" i="44" s="1"/>
  <c r="AM192" i="44" s="1"/>
  <c r="AN192" i="44" s="1"/>
  <c r="AO192" i="44" s="1"/>
  <c r="AP192" i="44" s="1"/>
  <c r="AQ192" i="44" s="1"/>
  <c r="AR192" i="44" s="1"/>
  <c r="AS192" i="44" s="1"/>
  <c r="AT192" i="44" s="1"/>
  <c r="AU192" i="44" s="1"/>
  <c r="AV192" i="44" s="1"/>
  <c r="AW192" i="44" s="1"/>
  <c r="AX192" i="44" s="1"/>
  <c r="AY192" i="44" s="1"/>
  <c r="AZ192" i="44" s="1"/>
  <c r="BA192" i="44" s="1"/>
  <c r="BB192" i="44" s="1"/>
  <c r="BC192" i="44" s="1"/>
  <c r="BD192" i="44" s="1"/>
  <c r="BE192" i="44" s="1"/>
  <c r="BF192" i="44" s="1"/>
  <c r="BG192" i="44" s="1"/>
  <c r="BH192" i="44" s="1"/>
  <c r="BI192" i="44" s="1"/>
  <c r="BJ192" i="44" s="1"/>
  <c r="BK192" i="44" s="1"/>
  <c r="BL192" i="44" s="1"/>
  <c r="BM192" i="44" s="1"/>
  <c r="BN192" i="44" s="1"/>
  <c r="BO192" i="44" s="1"/>
  <c r="BP192" i="44" s="1"/>
  <c r="BQ192" i="44" s="1"/>
  <c r="BR192" i="44" s="1"/>
  <c r="BS192" i="44" s="1"/>
  <c r="BT192" i="44" s="1"/>
  <c r="BU192" i="44" s="1"/>
  <c r="BV192" i="44" s="1"/>
  <c r="BW192" i="44" s="1"/>
  <c r="BX192" i="44" s="1"/>
  <c r="BY192" i="44" s="1"/>
  <c r="BZ192" i="44" s="1"/>
  <c r="CA192" i="44" s="1"/>
  <c r="CB192" i="44" s="1"/>
  <c r="CC192" i="44" s="1"/>
  <c r="CD192" i="44" s="1"/>
  <c r="CE192" i="44" s="1"/>
  <c r="AH191" i="44"/>
  <c r="AI191" i="44" s="1"/>
  <c r="AJ191" i="44" s="1"/>
  <c r="AK191" i="44" s="1"/>
  <c r="AL191" i="44" s="1"/>
  <c r="AM191" i="44" s="1"/>
  <c r="AN191" i="44" s="1"/>
  <c r="AO191" i="44" s="1"/>
  <c r="AP191" i="44" s="1"/>
  <c r="AQ191" i="44" s="1"/>
  <c r="AR191" i="44" s="1"/>
  <c r="AS191" i="44" s="1"/>
  <c r="AT191" i="44" s="1"/>
  <c r="AU191" i="44" s="1"/>
  <c r="AV191" i="44" s="1"/>
  <c r="AW191" i="44" s="1"/>
  <c r="AX191" i="44" s="1"/>
  <c r="AY191" i="44" s="1"/>
  <c r="AZ191" i="44" s="1"/>
  <c r="BA191" i="44" s="1"/>
  <c r="BB191" i="44" s="1"/>
  <c r="BC191" i="44" s="1"/>
  <c r="BD191" i="44" s="1"/>
  <c r="BE191" i="44" s="1"/>
  <c r="BF191" i="44" s="1"/>
  <c r="BG191" i="44" s="1"/>
  <c r="BH191" i="44" s="1"/>
  <c r="BI191" i="44" s="1"/>
  <c r="BJ191" i="44" s="1"/>
  <c r="BK191" i="44" s="1"/>
  <c r="BL191" i="44" s="1"/>
  <c r="BM191" i="44" s="1"/>
  <c r="BN191" i="44" s="1"/>
  <c r="BO191" i="44" s="1"/>
  <c r="BP191" i="44" s="1"/>
  <c r="BQ191" i="44" s="1"/>
  <c r="BR191" i="44" s="1"/>
  <c r="BS191" i="44" s="1"/>
  <c r="BT191" i="44" s="1"/>
  <c r="BU191" i="44" s="1"/>
  <c r="BV191" i="44" s="1"/>
  <c r="BW191" i="44" s="1"/>
  <c r="BX191" i="44" s="1"/>
  <c r="BY191" i="44" s="1"/>
  <c r="BZ191" i="44" s="1"/>
  <c r="CA191" i="44" s="1"/>
  <c r="CB191" i="44" s="1"/>
  <c r="CC191" i="44" s="1"/>
  <c r="CD191" i="44" s="1"/>
  <c r="CE191" i="44" s="1"/>
  <c r="AH189" i="44"/>
  <c r="AI189" i="44" s="1"/>
  <c r="AJ189" i="44" s="1"/>
  <c r="AK189" i="44" s="1"/>
  <c r="AL189" i="44" s="1"/>
  <c r="AM189" i="44" s="1"/>
  <c r="AN189" i="44" s="1"/>
  <c r="AO189" i="44" s="1"/>
  <c r="AP189" i="44" s="1"/>
  <c r="AQ189" i="44" s="1"/>
  <c r="AR189" i="44" s="1"/>
  <c r="AS189" i="44" s="1"/>
  <c r="AT189" i="44" s="1"/>
  <c r="AU189" i="44" s="1"/>
  <c r="AV189" i="44" s="1"/>
  <c r="AW189" i="44" s="1"/>
  <c r="AX189" i="44" s="1"/>
  <c r="AY189" i="44" s="1"/>
  <c r="AZ189" i="44" s="1"/>
  <c r="BA189" i="44" s="1"/>
  <c r="BB189" i="44" s="1"/>
  <c r="BC189" i="44" s="1"/>
  <c r="BD189" i="44" s="1"/>
  <c r="BE189" i="44" s="1"/>
  <c r="BF189" i="44" s="1"/>
  <c r="BG189" i="44" s="1"/>
  <c r="BH189" i="44" s="1"/>
  <c r="BI189" i="44" s="1"/>
  <c r="BJ189" i="44" s="1"/>
  <c r="BK189" i="44" s="1"/>
  <c r="BL189" i="44" s="1"/>
  <c r="BM189" i="44" s="1"/>
  <c r="BN189" i="44" s="1"/>
  <c r="BO189" i="44" s="1"/>
  <c r="BP189" i="44" s="1"/>
  <c r="BQ189" i="44" s="1"/>
  <c r="BR189" i="44" s="1"/>
  <c r="BS189" i="44" s="1"/>
  <c r="BT189" i="44" s="1"/>
  <c r="BU189" i="44" s="1"/>
  <c r="BV189" i="44" s="1"/>
  <c r="BW189" i="44" s="1"/>
  <c r="BX189" i="44" s="1"/>
  <c r="BY189" i="44" s="1"/>
  <c r="BZ189" i="44" s="1"/>
  <c r="CA189" i="44" s="1"/>
  <c r="CB189" i="44" s="1"/>
  <c r="CC189" i="44" s="1"/>
  <c r="CD189" i="44" s="1"/>
  <c r="CE189" i="44" s="1"/>
  <c r="AH188" i="44"/>
  <c r="AI188" i="44" s="1"/>
  <c r="AJ188" i="44" s="1"/>
  <c r="AK188" i="44" s="1"/>
  <c r="AL188" i="44" s="1"/>
  <c r="AM188" i="44" s="1"/>
  <c r="AN188" i="44" s="1"/>
  <c r="AO188" i="44" s="1"/>
  <c r="AP188" i="44" s="1"/>
  <c r="AQ188" i="44" s="1"/>
  <c r="AR188" i="44" s="1"/>
  <c r="AS188" i="44" s="1"/>
  <c r="AT188" i="44" s="1"/>
  <c r="AU188" i="44" s="1"/>
  <c r="AV188" i="44" s="1"/>
  <c r="AW188" i="44" s="1"/>
  <c r="AX188" i="44" s="1"/>
  <c r="AY188" i="44" s="1"/>
  <c r="AZ188" i="44" s="1"/>
  <c r="BA188" i="44" s="1"/>
  <c r="BB188" i="44" s="1"/>
  <c r="BC188" i="44" s="1"/>
  <c r="BD188" i="44" s="1"/>
  <c r="BE188" i="44" s="1"/>
  <c r="BF188" i="44" s="1"/>
  <c r="BG188" i="44" s="1"/>
  <c r="BH188" i="44" s="1"/>
  <c r="BI188" i="44" s="1"/>
  <c r="BJ188" i="44" s="1"/>
  <c r="BK188" i="44" s="1"/>
  <c r="BL188" i="44" s="1"/>
  <c r="BM188" i="44" s="1"/>
  <c r="BN188" i="44" s="1"/>
  <c r="BO188" i="44" s="1"/>
  <c r="BP188" i="44" s="1"/>
  <c r="BQ188" i="44" s="1"/>
  <c r="BR188" i="44" s="1"/>
  <c r="BS188" i="44" s="1"/>
  <c r="BT188" i="44" s="1"/>
  <c r="BU188" i="44" s="1"/>
  <c r="BV188" i="44" s="1"/>
  <c r="BW188" i="44" s="1"/>
  <c r="BX188" i="44" s="1"/>
  <c r="BY188" i="44" s="1"/>
  <c r="BZ188" i="44" s="1"/>
  <c r="CA188" i="44" s="1"/>
  <c r="CB188" i="44" s="1"/>
  <c r="CC188" i="44" s="1"/>
  <c r="CD188" i="44" s="1"/>
  <c r="CE188" i="44" s="1"/>
  <c r="AH187" i="44"/>
  <c r="AI187" i="44" s="1"/>
  <c r="AJ187" i="44" s="1"/>
  <c r="AK187" i="44" s="1"/>
  <c r="AL187" i="44" s="1"/>
  <c r="AM187" i="44" s="1"/>
  <c r="AN187" i="44" s="1"/>
  <c r="AO187" i="44" s="1"/>
  <c r="AP187" i="44" s="1"/>
  <c r="AQ187" i="44" s="1"/>
  <c r="AR187" i="44" s="1"/>
  <c r="AS187" i="44" s="1"/>
  <c r="AT187" i="44" s="1"/>
  <c r="AU187" i="44" s="1"/>
  <c r="AV187" i="44" s="1"/>
  <c r="AW187" i="44" s="1"/>
  <c r="AX187" i="44" s="1"/>
  <c r="AY187" i="44" s="1"/>
  <c r="AZ187" i="44" s="1"/>
  <c r="BA187" i="44" s="1"/>
  <c r="BB187" i="44" s="1"/>
  <c r="BC187" i="44" s="1"/>
  <c r="BD187" i="44" s="1"/>
  <c r="BE187" i="44" s="1"/>
  <c r="BF187" i="44" s="1"/>
  <c r="BG187" i="44" s="1"/>
  <c r="BH187" i="44" s="1"/>
  <c r="BI187" i="44" s="1"/>
  <c r="BJ187" i="44" s="1"/>
  <c r="BK187" i="44" s="1"/>
  <c r="BL187" i="44" s="1"/>
  <c r="BM187" i="44" s="1"/>
  <c r="BN187" i="44" s="1"/>
  <c r="BO187" i="44" s="1"/>
  <c r="BP187" i="44" s="1"/>
  <c r="BQ187" i="44" s="1"/>
  <c r="BR187" i="44" s="1"/>
  <c r="BS187" i="44" s="1"/>
  <c r="BT187" i="44" s="1"/>
  <c r="BU187" i="44" s="1"/>
  <c r="BV187" i="44" s="1"/>
  <c r="BW187" i="44" s="1"/>
  <c r="BX187" i="44" s="1"/>
  <c r="BY187" i="44" s="1"/>
  <c r="BZ187" i="44" s="1"/>
  <c r="CA187" i="44" s="1"/>
  <c r="CB187" i="44" s="1"/>
  <c r="CC187" i="44" s="1"/>
  <c r="CD187" i="44" s="1"/>
  <c r="CE187" i="44" s="1"/>
  <c r="AH186" i="44"/>
  <c r="AI186" i="44" s="1"/>
  <c r="AJ186" i="44" s="1"/>
  <c r="AK186" i="44" s="1"/>
  <c r="AL186" i="44" s="1"/>
  <c r="AM186" i="44" s="1"/>
  <c r="AN186" i="44" s="1"/>
  <c r="AO186" i="44" s="1"/>
  <c r="AP186" i="44" s="1"/>
  <c r="AQ186" i="44" s="1"/>
  <c r="AR186" i="44" s="1"/>
  <c r="AS186" i="44" s="1"/>
  <c r="AT186" i="44" s="1"/>
  <c r="AU186" i="44" s="1"/>
  <c r="AV186" i="44" s="1"/>
  <c r="AW186" i="44" s="1"/>
  <c r="AX186" i="44" s="1"/>
  <c r="AY186" i="44" s="1"/>
  <c r="AZ186" i="44" s="1"/>
  <c r="BA186" i="44" s="1"/>
  <c r="BB186" i="44" s="1"/>
  <c r="BC186" i="44" s="1"/>
  <c r="BD186" i="44" s="1"/>
  <c r="BE186" i="44" s="1"/>
  <c r="BF186" i="44" s="1"/>
  <c r="BG186" i="44" s="1"/>
  <c r="BH186" i="44" s="1"/>
  <c r="BI186" i="44" s="1"/>
  <c r="BJ186" i="44" s="1"/>
  <c r="BK186" i="44" s="1"/>
  <c r="BL186" i="44" s="1"/>
  <c r="BM186" i="44" s="1"/>
  <c r="BN186" i="44" s="1"/>
  <c r="BO186" i="44" s="1"/>
  <c r="BP186" i="44" s="1"/>
  <c r="BQ186" i="44" s="1"/>
  <c r="BR186" i="44" s="1"/>
  <c r="BS186" i="44" s="1"/>
  <c r="BT186" i="44" s="1"/>
  <c r="BU186" i="44" s="1"/>
  <c r="BV186" i="44" s="1"/>
  <c r="BW186" i="44" s="1"/>
  <c r="BX186" i="44" s="1"/>
  <c r="BY186" i="44" s="1"/>
  <c r="BZ186" i="44" s="1"/>
  <c r="CA186" i="44" s="1"/>
  <c r="CB186" i="44" s="1"/>
  <c r="CC186" i="44" s="1"/>
  <c r="CD186" i="44" s="1"/>
  <c r="CE186" i="44" s="1"/>
  <c r="AH185" i="44"/>
  <c r="AI185" i="44" s="1"/>
  <c r="AJ185" i="44" s="1"/>
  <c r="AK185" i="44" s="1"/>
  <c r="AL185" i="44" s="1"/>
  <c r="AM185" i="44" s="1"/>
  <c r="AN185" i="44" s="1"/>
  <c r="AO185" i="44" s="1"/>
  <c r="AP185" i="44" s="1"/>
  <c r="AQ185" i="44" s="1"/>
  <c r="AR185" i="44" s="1"/>
  <c r="AS185" i="44" s="1"/>
  <c r="AT185" i="44" s="1"/>
  <c r="AU185" i="44" s="1"/>
  <c r="AV185" i="44" s="1"/>
  <c r="AW185" i="44" s="1"/>
  <c r="AX185" i="44" s="1"/>
  <c r="AY185" i="44" s="1"/>
  <c r="AZ185" i="44" s="1"/>
  <c r="BA185" i="44" s="1"/>
  <c r="BB185" i="44" s="1"/>
  <c r="BC185" i="44" s="1"/>
  <c r="BD185" i="44" s="1"/>
  <c r="BE185" i="44" s="1"/>
  <c r="BF185" i="44" s="1"/>
  <c r="BG185" i="44" s="1"/>
  <c r="BH185" i="44" s="1"/>
  <c r="BI185" i="44" s="1"/>
  <c r="BJ185" i="44" s="1"/>
  <c r="BK185" i="44" s="1"/>
  <c r="BL185" i="44" s="1"/>
  <c r="BM185" i="44" s="1"/>
  <c r="BN185" i="44" s="1"/>
  <c r="BO185" i="44" s="1"/>
  <c r="BP185" i="44" s="1"/>
  <c r="BQ185" i="44" s="1"/>
  <c r="BR185" i="44" s="1"/>
  <c r="BS185" i="44" s="1"/>
  <c r="BT185" i="44" s="1"/>
  <c r="BU185" i="44" s="1"/>
  <c r="BV185" i="44" s="1"/>
  <c r="BW185" i="44" s="1"/>
  <c r="BX185" i="44" s="1"/>
  <c r="BY185" i="44" s="1"/>
  <c r="BZ185" i="44" s="1"/>
  <c r="CA185" i="44" s="1"/>
  <c r="CB185" i="44" s="1"/>
  <c r="CC185" i="44" s="1"/>
  <c r="CD185" i="44" s="1"/>
  <c r="CE185" i="44" s="1"/>
  <c r="AH184" i="44"/>
  <c r="AI184" i="44" s="1"/>
  <c r="AJ184" i="44" s="1"/>
  <c r="AK184" i="44" s="1"/>
  <c r="AL184" i="44" s="1"/>
  <c r="AM184" i="44" s="1"/>
  <c r="AN184" i="44" s="1"/>
  <c r="AO184" i="44" s="1"/>
  <c r="AP184" i="44" s="1"/>
  <c r="AQ184" i="44" s="1"/>
  <c r="AR184" i="44" s="1"/>
  <c r="AS184" i="44" s="1"/>
  <c r="AT184" i="44" s="1"/>
  <c r="AU184" i="44" s="1"/>
  <c r="AV184" i="44" s="1"/>
  <c r="AW184" i="44" s="1"/>
  <c r="AX184" i="44" s="1"/>
  <c r="AY184" i="44" s="1"/>
  <c r="AZ184" i="44" s="1"/>
  <c r="BA184" i="44" s="1"/>
  <c r="BB184" i="44" s="1"/>
  <c r="BC184" i="44" s="1"/>
  <c r="BD184" i="44" s="1"/>
  <c r="BE184" i="44" s="1"/>
  <c r="BF184" i="44" s="1"/>
  <c r="BG184" i="44" s="1"/>
  <c r="BH184" i="44" s="1"/>
  <c r="BI184" i="44" s="1"/>
  <c r="BJ184" i="44" s="1"/>
  <c r="BK184" i="44" s="1"/>
  <c r="BL184" i="44" s="1"/>
  <c r="BM184" i="44" s="1"/>
  <c r="BN184" i="44" s="1"/>
  <c r="BO184" i="44" s="1"/>
  <c r="BP184" i="44" s="1"/>
  <c r="BQ184" i="44" s="1"/>
  <c r="BR184" i="44" s="1"/>
  <c r="BS184" i="44" s="1"/>
  <c r="BT184" i="44" s="1"/>
  <c r="BU184" i="44" s="1"/>
  <c r="BV184" i="44" s="1"/>
  <c r="BW184" i="44" s="1"/>
  <c r="BX184" i="44" s="1"/>
  <c r="BY184" i="44" s="1"/>
  <c r="BZ184" i="44" s="1"/>
  <c r="CA184" i="44" s="1"/>
  <c r="CB184" i="44" s="1"/>
  <c r="CC184" i="44" s="1"/>
  <c r="CD184" i="44" s="1"/>
  <c r="CE184" i="44" s="1"/>
  <c r="AH183" i="44"/>
  <c r="AI183" i="44" s="1"/>
  <c r="AJ183" i="44" s="1"/>
  <c r="AK183" i="44" s="1"/>
  <c r="AL183" i="44" s="1"/>
  <c r="AM183" i="44" s="1"/>
  <c r="AN183" i="44" s="1"/>
  <c r="AO183" i="44" s="1"/>
  <c r="AP183" i="44" s="1"/>
  <c r="AQ183" i="44" s="1"/>
  <c r="AR183" i="44" s="1"/>
  <c r="AS183" i="44" s="1"/>
  <c r="AT183" i="44" s="1"/>
  <c r="AU183" i="44" s="1"/>
  <c r="AV183" i="44" s="1"/>
  <c r="AW183" i="44" s="1"/>
  <c r="AX183" i="44" s="1"/>
  <c r="AY183" i="44" s="1"/>
  <c r="AZ183" i="44" s="1"/>
  <c r="BA183" i="44" s="1"/>
  <c r="BB183" i="44" s="1"/>
  <c r="BC183" i="44" s="1"/>
  <c r="BD183" i="44" s="1"/>
  <c r="BE183" i="44" s="1"/>
  <c r="BF183" i="44" s="1"/>
  <c r="BG183" i="44" s="1"/>
  <c r="BH183" i="44" s="1"/>
  <c r="BI183" i="44" s="1"/>
  <c r="BJ183" i="44" s="1"/>
  <c r="BK183" i="44" s="1"/>
  <c r="BL183" i="44" s="1"/>
  <c r="BM183" i="44" s="1"/>
  <c r="BN183" i="44" s="1"/>
  <c r="BO183" i="44" s="1"/>
  <c r="BP183" i="44" s="1"/>
  <c r="BQ183" i="44" s="1"/>
  <c r="BR183" i="44" s="1"/>
  <c r="BS183" i="44" s="1"/>
  <c r="BT183" i="44" s="1"/>
  <c r="BU183" i="44" s="1"/>
  <c r="BV183" i="44" s="1"/>
  <c r="BW183" i="44" s="1"/>
  <c r="BX183" i="44" s="1"/>
  <c r="BY183" i="44" s="1"/>
  <c r="BZ183" i="44" s="1"/>
  <c r="CA183" i="44" s="1"/>
  <c r="CB183" i="44" s="1"/>
  <c r="CC183" i="44" s="1"/>
  <c r="CD183" i="44" s="1"/>
  <c r="CE183" i="44" s="1"/>
  <c r="AH182" i="44"/>
  <c r="AI182" i="44" s="1"/>
  <c r="AJ182" i="44" s="1"/>
  <c r="AK182" i="44" s="1"/>
  <c r="AL182" i="44" s="1"/>
  <c r="AM182" i="44" s="1"/>
  <c r="AN182" i="44" s="1"/>
  <c r="AO182" i="44" s="1"/>
  <c r="AP182" i="44" s="1"/>
  <c r="AQ182" i="44" s="1"/>
  <c r="AR182" i="44" s="1"/>
  <c r="AS182" i="44" s="1"/>
  <c r="AT182" i="44" s="1"/>
  <c r="AU182" i="44" s="1"/>
  <c r="AV182" i="44" s="1"/>
  <c r="AW182" i="44" s="1"/>
  <c r="AX182" i="44" s="1"/>
  <c r="AY182" i="44" s="1"/>
  <c r="AZ182" i="44" s="1"/>
  <c r="BA182" i="44" s="1"/>
  <c r="BB182" i="44" s="1"/>
  <c r="BC182" i="44" s="1"/>
  <c r="BD182" i="44" s="1"/>
  <c r="BE182" i="44" s="1"/>
  <c r="BF182" i="44" s="1"/>
  <c r="BG182" i="44" s="1"/>
  <c r="BH182" i="44" s="1"/>
  <c r="BI182" i="44" s="1"/>
  <c r="BJ182" i="44" s="1"/>
  <c r="BK182" i="44" s="1"/>
  <c r="BL182" i="44" s="1"/>
  <c r="BM182" i="44" s="1"/>
  <c r="BN182" i="44" s="1"/>
  <c r="BO182" i="44" s="1"/>
  <c r="BP182" i="44" s="1"/>
  <c r="BQ182" i="44" s="1"/>
  <c r="BR182" i="44" s="1"/>
  <c r="BS182" i="44" s="1"/>
  <c r="BT182" i="44" s="1"/>
  <c r="BU182" i="44" s="1"/>
  <c r="BV182" i="44" s="1"/>
  <c r="BW182" i="44" s="1"/>
  <c r="BX182" i="44" s="1"/>
  <c r="BY182" i="44" s="1"/>
  <c r="BZ182" i="44" s="1"/>
  <c r="CA182" i="44" s="1"/>
  <c r="CB182" i="44" s="1"/>
  <c r="CC182" i="44" s="1"/>
  <c r="CD182" i="44" s="1"/>
  <c r="CE182" i="44" s="1"/>
  <c r="AH181" i="44"/>
  <c r="AI181" i="44" s="1"/>
  <c r="AJ181" i="44" s="1"/>
  <c r="AK181" i="44" s="1"/>
  <c r="AL181" i="44" s="1"/>
  <c r="AM181" i="44" s="1"/>
  <c r="AN181" i="44" s="1"/>
  <c r="AO181" i="44" s="1"/>
  <c r="AP181" i="44" s="1"/>
  <c r="AQ181" i="44" s="1"/>
  <c r="AR181" i="44" s="1"/>
  <c r="AS181" i="44" s="1"/>
  <c r="AT181" i="44" s="1"/>
  <c r="AU181" i="44" s="1"/>
  <c r="AV181" i="44" s="1"/>
  <c r="AW181" i="44" s="1"/>
  <c r="AX181" i="44" s="1"/>
  <c r="AY181" i="44" s="1"/>
  <c r="AZ181" i="44" s="1"/>
  <c r="BA181" i="44" s="1"/>
  <c r="BB181" i="44" s="1"/>
  <c r="BC181" i="44" s="1"/>
  <c r="BD181" i="44" s="1"/>
  <c r="BE181" i="44" s="1"/>
  <c r="BF181" i="44" s="1"/>
  <c r="BG181" i="44" s="1"/>
  <c r="BH181" i="44" s="1"/>
  <c r="BI181" i="44" s="1"/>
  <c r="BJ181" i="44" s="1"/>
  <c r="BK181" i="44" s="1"/>
  <c r="BL181" i="44" s="1"/>
  <c r="BM181" i="44" s="1"/>
  <c r="BN181" i="44" s="1"/>
  <c r="BO181" i="44" s="1"/>
  <c r="BP181" i="44" s="1"/>
  <c r="BQ181" i="44" s="1"/>
  <c r="BR181" i="44" s="1"/>
  <c r="BS181" i="44" s="1"/>
  <c r="BT181" i="44" s="1"/>
  <c r="BU181" i="44" s="1"/>
  <c r="BV181" i="44" s="1"/>
  <c r="BW181" i="44" s="1"/>
  <c r="BX181" i="44" s="1"/>
  <c r="BY181" i="44" s="1"/>
  <c r="BZ181" i="44" s="1"/>
  <c r="CA181" i="44" s="1"/>
  <c r="CB181" i="44" s="1"/>
  <c r="CC181" i="44" s="1"/>
  <c r="CD181" i="44" s="1"/>
  <c r="CE181" i="44" s="1"/>
  <c r="AH180" i="44"/>
  <c r="AI180" i="44" s="1"/>
  <c r="AJ180" i="44" s="1"/>
  <c r="AK180" i="44" s="1"/>
  <c r="AL180" i="44" s="1"/>
  <c r="AM180" i="44" s="1"/>
  <c r="AN180" i="44" s="1"/>
  <c r="AO180" i="44" s="1"/>
  <c r="AP180" i="44" s="1"/>
  <c r="AQ180" i="44" s="1"/>
  <c r="AR180" i="44" s="1"/>
  <c r="AS180" i="44" s="1"/>
  <c r="AT180" i="44" s="1"/>
  <c r="AU180" i="44" s="1"/>
  <c r="AV180" i="44" s="1"/>
  <c r="AW180" i="44" s="1"/>
  <c r="AX180" i="44" s="1"/>
  <c r="AY180" i="44" s="1"/>
  <c r="AZ180" i="44" s="1"/>
  <c r="BA180" i="44" s="1"/>
  <c r="BB180" i="44" s="1"/>
  <c r="BC180" i="44" s="1"/>
  <c r="BD180" i="44" s="1"/>
  <c r="BE180" i="44" s="1"/>
  <c r="BF180" i="44" s="1"/>
  <c r="BG180" i="44" s="1"/>
  <c r="BH180" i="44" s="1"/>
  <c r="BI180" i="44" s="1"/>
  <c r="BJ180" i="44" s="1"/>
  <c r="BK180" i="44" s="1"/>
  <c r="BL180" i="44" s="1"/>
  <c r="BM180" i="44" s="1"/>
  <c r="BN180" i="44" s="1"/>
  <c r="BO180" i="44" s="1"/>
  <c r="BP180" i="44" s="1"/>
  <c r="BQ180" i="44" s="1"/>
  <c r="BR180" i="44" s="1"/>
  <c r="BS180" i="44" s="1"/>
  <c r="BT180" i="44" s="1"/>
  <c r="BU180" i="44" s="1"/>
  <c r="BV180" i="44" s="1"/>
  <c r="BW180" i="44" s="1"/>
  <c r="BX180" i="44" s="1"/>
  <c r="BY180" i="44" s="1"/>
  <c r="BZ180" i="44" s="1"/>
  <c r="CA180" i="44" s="1"/>
  <c r="CB180" i="44" s="1"/>
  <c r="CC180" i="44" s="1"/>
  <c r="CD180" i="44" s="1"/>
  <c r="CE180" i="44" s="1"/>
  <c r="AH179" i="44"/>
  <c r="AI179" i="44" s="1"/>
  <c r="AJ179" i="44" s="1"/>
  <c r="AK179" i="44" s="1"/>
  <c r="AL179" i="44" s="1"/>
  <c r="AM179" i="44" s="1"/>
  <c r="AN179" i="44" s="1"/>
  <c r="AO179" i="44" s="1"/>
  <c r="AP179" i="44" s="1"/>
  <c r="AQ179" i="44" s="1"/>
  <c r="AR179" i="44" s="1"/>
  <c r="AS179" i="44" s="1"/>
  <c r="AT179" i="44" s="1"/>
  <c r="AU179" i="44" s="1"/>
  <c r="AV179" i="44" s="1"/>
  <c r="AW179" i="44" s="1"/>
  <c r="AX179" i="44" s="1"/>
  <c r="AY179" i="44" s="1"/>
  <c r="AZ179" i="44" s="1"/>
  <c r="BA179" i="44" s="1"/>
  <c r="BB179" i="44" s="1"/>
  <c r="BC179" i="44" s="1"/>
  <c r="BD179" i="44" s="1"/>
  <c r="BE179" i="44" s="1"/>
  <c r="BF179" i="44" s="1"/>
  <c r="BG179" i="44" s="1"/>
  <c r="BH179" i="44" s="1"/>
  <c r="BI179" i="44" s="1"/>
  <c r="BJ179" i="44" s="1"/>
  <c r="BK179" i="44" s="1"/>
  <c r="BL179" i="44" s="1"/>
  <c r="BM179" i="44" s="1"/>
  <c r="BN179" i="44" s="1"/>
  <c r="BO179" i="44" s="1"/>
  <c r="BP179" i="44" s="1"/>
  <c r="BQ179" i="44" s="1"/>
  <c r="BR179" i="44" s="1"/>
  <c r="BS179" i="44" s="1"/>
  <c r="BT179" i="44" s="1"/>
  <c r="BU179" i="44" s="1"/>
  <c r="BV179" i="44" s="1"/>
  <c r="BW179" i="44" s="1"/>
  <c r="BX179" i="44" s="1"/>
  <c r="BY179" i="44" s="1"/>
  <c r="BZ179" i="44" s="1"/>
  <c r="CA179" i="44" s="1"/>
  <c r="CB179" i="44" s="1"/>
  <c r="CC179" i="44" s="1"/>
  <c r="CD179" i="44" s="1"/>
  <c r="CE179" i="44" s="1"/>
  <c r="F178" i="44"/>
  <c r="G178" i="44" s="1"/>
  <c r="H178" i="44" s="1"/>
  <c r="I178" i="44" s="1"/>
  <c r="J178" i="44" s="1"/>
  <c r="K178" i="44" s="1"/>
  <c r="L178" i="44" s="1"/>
  <c r="M178" i="44" s="1"/>
  <c r="N178" i="44" s="1"/>
  <c r="O178" i="44" s="1"/>
  <c r="P178" i="44" s="1"/>
  <c r="Q178" i="44" s="1"/>
  <c r="R178" i="44" s="1"/>
  <c r="S178" i="44" s="1"/>
  <c r="T178" i="44" s="1"/>
  <c r="U178" i="44" s="1"/>
  <c r="V178" i="44" s="1"/>
  <c r="W178" i="44" s="1"/>
  <c r="X178" i="44" s="1"/>
  <c r="Y178" i="44" s="1"/>
  <c r="Z178" i="44" s="1"/>
  <c r="AA178" i="44" s="1"/>
  <c r="AB178" i="44" s="1"/>
  <c r="AC178" i="44" s="1"/>
  <c r="AD178" i="44" s="1"/>
  <c r="AE178" i="44" s="1"/>
  <c r="AF178" i="44" s="1"/>
  <c r="AG178" i="44" s="1"/>
  <c r="AH178" i="44" s="1"/>
  <c r="AI178" i="44" s="1"/>
  <c r="AJ178" i="44" s="1"/>
  <c r="AK178" i="44" s="1"/>
  <c r="AL178" i="44" s="1"/>
  <c r="AM178" i="44" s="1"/>
  <c r="AN178" i="44" s="1"/>
  <c r="AO178" i="44" s="1"/>
  <c r="AP178" i="44" s="1"/>
  <c r="AQ178" i="44" s="1"/>
  <c r="AR178" i="44" s="1"/>
  <c r="AS178" i="44" s="1"/>
  <c r="AT178" i="44" s="1"/>
  <c r="AU178" i="44" s="1"/>
  <c r="AV178" i="44" s="1"/>
  <c r="AW178" i="44" s="1"/>
  <c r="AX178" i="44" s="1"/>
  <c r="AY178" i="44" s="1"/>
  <c r="AZ178" i="44" s="1"/>
  <c r="BA178" i="44" s="1"/>
  <c r="BB178" i="44" s="1"/>
  <c r="BC178" i="44" s="1"/>
  <c r="BD178" i="44" s="1"/>
  <c r="BE178" i="44" s="1"/>
  <c r="BF178" i="44" s="1"/>
  <c r="BG178" i="44" s="1"/>
  <c r="BH178" i="44" s="1"/>
  <c r="BI178" i="44" s="1"/>
  <c r="BJ178" i="44" s="1"/>
  <c r="BK178" i="44" s="1"/>
  <c r="BL178" i="44" s="1"/>
  <c r="BM178" i="44" s="1"/>
  <c r="BN178" i="44" s="1"/>
  <c r="BO178" i="44" s="1"/>
  <c r="BP178" i="44" s="1"/>
  <c r="BQ178" i="44" s="1"/>
  <c r="BR178" i="44" s="1"/>
  <c r="BS178" i="44" s="1"/>
  <c r="BT178" i="44" s="1"/>
  <c r="BU178" i="44" s="1"/>
  <c r="BV178" i="44" s="1"/>
  <c r="BW178" i="44" s="1"/>
  <c r="BX178" i="44" s="1"/>
  <c r="BY178" i="44" s="1"/>
  <c r="BZ178" i="44" s="1"/>
  <c r="CA178" i="44" s="1"/>
  <c r="CB178" i="44" s="1"/>
  <c r="CC178" i="44" s="1"/>
  <c r="CD178" i="44" s="1"/>
  <c r="CE178" i="44" s="1"/>
  <c r="AH176" i="44"/>
  <c r="AI176" i="44" s="1"/>
  <c r="AJ176" i="44" s="1"/>
  <c r="AK176" i="44" s="1"/>
  <c r="AL176" i="44" s="1"/>
  <c r="AM176" i="44" s="1"/>
  <c r="AN176" i="44" s="1"/>
  <c r="AO176" i="44" s="1"/>
  <c r="AP176" i="44" s="1"/>
  <c r="AQ176" i="44" s="1"/>
  <c r="AR176" i="44" s="1"/>
  <c r="AS176" i="44" s="1"/>
  <c r="AT176" i="44" s="1"/>
  <c r="AU176" i="44" s="1"/>
  <c r="AV176" i="44" s="1"/>
  <c r="AW176" i="44" s="1"/>
  <c r="AX176" i="44" s="1"/>
  <c r="AY176" i="44" s="1"/>
  <c r="AZ176" i="44" s="1"/>
  <c r="BA176" i="44" s="1"/>
  <c r="BB176" i="44" s="1"/>
  <c r="BC176" i="44" s="1"/>
  <c r="BD176" i="44" s="1"/>
  <c r="BE176" i="44" s="1"/>
  <c r="BF176" i="44" s="1"/>
  <c r="BG176" i="44" s="1"/>
  <c r="BH176" i="44" s="1"/>
  <c r="BI176" i="44" s="1"/>
  <c r="BJ176" i="44" s="1"/>
  <c r="BK176" i="44" s="1"/>
  <c r="BL176" i="44" s="1"/>
  <c r="BM176" i="44" s="1"/>
  <c r="BN176" i="44" s="1"/>
  <c r="BO176" i="44" s="1"/>
  <c r="BP176" i="44" s="1"/>
  <c r="BQ176" i="44" s="1"/>
  <c r="BR176" i="44" s="1"/>
  <c r="BS176" i="44" s="1"/>
  <c r="BT176" i="44" s="1"/>
  <c r="BU176" i="44" s="1"/>
  <c r="BV176" i="44" s="1"/>
  <c r="BW176" i="44" s="1"/>
  <c r="BX176" i="44" s="1"/>
  <c r="BY176" i="44" s="1"/>
  <c r="BZ176" i="44" s="1"/>
  <c r="CA176" i="44" s="1"/>
  <c r="CB176" i="44" s="1"/>
  <c r="CC176" i="44" s="1"/>
  <c r="CD176" i="44" s="1"/>
  <c r="CE176" i="44" s="1"/>
  <c r="AH175" i="44"/>
  <c r="AI175" i="44" s="1"/>
  <c r="AJ175" i="44" s="1"/>
  <c r="AK175" i="44" s="1"/>
  <c r="AL175" i="44" s="1"/>
  <c r="AM175" i="44" s="1"/>
  <c r="AN175" i="44" s="1"/>
  <c r="AO175" i="44" s="1"/>
  <c r="AP175" i="44" s="1"/>
  <c r="AQ175" i="44" s="1"/>
  <c r="AR175" i="44" s="1"/>
  <c r="AS175" i="44" s="1"/>
  <c r="AT175" i="44" s="1"/>
  <c r="AU175" i="44" s="1"/>
  <c r="AV175" i="44" s="1"/>
  <c r="AW175" i="44" s="1"/>
  <c r="AX175" i="44" s="1"/>
  <c r="AY175" i="44" s="1"/>
  <c r="AZ175" i="44" s="1"/>
  <c r="BA175" i="44" s="1"/>
  <c r="BB175" i="44" s="1"/>
  <c r="BC175" i="44" s="1"/>
  <c r="BD175" i="44" s="1"/>
  <c r="BE175" i="44" s="1"/>
  <c r="BF175" i="44" s="1"/>
  <c r="BG175" i="44" s="1"/>
  <c r="BH175" i="44" s="1"/>
  <c r="BI175" i="44" s="1"/>
  <c r="BJ175" i="44" s="1"/>
  <c r="BK175" i="44" s="1"/>
  <c r="BL175" i="44" s="1"/>
  <c r="BM175" i="44" s="1"/>
  <c r="BN175" i="44" s="1"/>
  <c r="BO175" i="44" s="1"/>
  <c r="BP175" i="44" s="1"/>
  <c r="BQ175" i="44" s="1"/>
  <c r="BR175" i="44" s="1"/>
  <c r="BS175" i="44" s="1"/>
  <c r="BT175" i="44" s="1"/>
  <c r="BU175" i="44" s="1"/>
  <c r="BV175" i="44" s="1"/>
  <c r="BW175" i="44" s="1"/>
  <c r="BX175" i="44" s="1"/>
  <c r="BY175" i="44" s="1"/>
  <c r="BZ175" i="44" s="1"/>
  <c r="CA175" i="44" s="1"/>
  <c r="CB175" i="44" s="1"/>
  <c r="CC175" i="44" s="1"/>
  <c r="CD175" i="44" s="1"/>
  <c r="CE175" i="44" s="1"/>
  <c r="AT174" i="44"/>
  <c r="AU174" i="44" s="1"/>
  <c r="AV174" i="44" s="1"/>
  <c r="AW174" i="44" s="1"/>
  <c r="AX174" i="44" s="1"/>
  <c r="AY174" i="44" s="1"/>
  <c r="AZ174" i="44" s="1"/>
  <c r="BA174" i="44" s="1"/>
  <c r="BB174" i="44" s="1"/>
  <c r="BC174" i="44" s="1"/>
  <c r="BD174" i="44" s="1"/>
  <c r="BE174" i="44" s="1"/>
  <c r="BF174" i="44" s="1"/>
  <c r="BG174" i="44" s="1"/>
  <c r="BH174" i="44" s="1"/>
  <c r="BI174" i="44" s="1"/>
  <c r="BJ174" i="44" s="1"/>
  <c r="BK174" i="44" s="1"/>
  <c r="BL174" i="44" s="1"/>
  <c r="BM174" i="44" s="1"/>
  <c r="BN174" i="44" s="1"/>
  <c r="BO174" i="44" s="1"/>
  <c r="BP174" i="44" s="1"/>
  <c r="BQ174" i="44" s="1"/>
  <c r="BR174" i="44" s="1"/>
  <c r="BS174" i="44" s="1"/>
  <c r="BT174" i="44" s="1"/>
  <c r="BU174" i="44" s="1"/>
  <c r="BV174" i="44" s="1"/>
  <c r="BW174" i="44" s="1"/>
  <c r="BX174" i="44" s="1"/>
  <c r="BY174" i="44" s="1"/>
  <c r="BZ174" i="44" s="1"/>
  <c r="CA174" i="44" s="1"/>
  <c r="CB174" i="44" s="1"/>
  <c r="CC174" i="44" s="1"/>
  <c r="CD174" i="44" s="1"/>
  <c r="CE174" i="44" s="1"/>
  <c r="AH174" i="44"/>
  <c r="AI174" i="44" s="1"/>
  <c r="AJ174" i="44" s="1"/>
  <c r="AK174" i="44" s="1"/>
  <c r="AL174" i="44" s="1"/>
  <c r="AM174" i="44" s="1"/>
  <c r="AN174" i="44" s="1"/>
  <c r="AO174" i="44" s="1"/>
  <c r="AP174" i="44" s="1"/>
  <c r="AQ174" i="44" s="1"/>
  <c r="AR174" i="44" s="1"/>
  <c r="AS174" i="44" s="1"/>
  <c r="AH173" i="44"/>
  <c r="AI173" i="44" s="1"/>
  <c r="AJ173" i="44" s="1"/>
  <c r="AK173" i="44" s="1"/>
  <c r="AL173" i="44" s="1"/>
  <c r="AM173" i="44" s="1"/>
  <c r="AN173" i="44" s="1"/>
  <c r="AO173" i="44" s="1"/>
  <c r="AP173" i="44" s="1"/>
  <c r="AQ173" i="44" s="1"/>
  <c r="AR173" i="44" s="1"/>
  <c r="AS173" i="44" s="1"/>
  <c r="AT173" i="44" s="1"/>
  <c r="AU173" i="44" s="1"/>
  <c r="AV173" i="44" s="1"/>
  <c r="AW173" i="44" s="1"/>
  <c r="AX173" i="44" s="1"/>
  <c r="AY173" i="44" s="1"/>
  <c r="AZ173" i="44" s="1"/>
  <c r="BA173" i="44" s="1"/>
  <c r="BB173" i="44" s="1"/>
  <c r="BC173" i="44" s="1"/>
  <c r="BD173" i="44" s="1"/>
  <c r="BE173" i="44" s="1"/>
  <c r="BF173" i="44" s="1"/>
  <c r="BG173" i="44" s="1"/>
  <c r="BH173" i="44" s="1"/>
  <c r="BI173" i="44" s="1"/>
  <c r="BJ173" i="44" s="1"/>
  <c r="BK173" i="44" s="1"/>
  <c r="BL173" i="44" s="1"/>
  <c r="BM173" i="44" s="1"/>
  <c r="BN173" i="44" s="1"/>
  <c r="BO173" i="44" s="1"/>
  <c r="BP173" i="44" s="1"/>
  <c r="BQ173" i="44" s="1"/>
  <c r="BR173" i="44" s="1"/>
  <c r="BS173" i="44" s="1"/>
  <c r="BT173" i="44" s="1"/>
  <c r="BU173" i="44" s="1"/>
  <c r="BV173" i="44" s="1"/>
  <c r="BW173" i="44" s="1"/>
  <c r="BX173" i="44" s="1"/>
  <c r="BY173" i="44" s="1"/>
  <c r="BZ173" i="44" s="1"/>
  <c r="CA173" i="44" s="1"/>
  <c r="CB173" i="44" s="1"/>
  <c r="CC173" i="44" s="1"/>
  <c r="CD173" i="44" s="1"/>
  <c r="CE173" i="44" s="1"/>
  <c r="AH172" i="44"/>
  <c r="AI172" i="44" s="1"/>
  <c r="AJ172" i="44" s="1"/>
  <c r="AK172" i="44" s="1"/>
  <c r="AL172" i="44" s="1"/>
  <c r="AM172" i="44" s="1"/>
  <c r="AN172" i="44" s="1"/>
  <c r="AO172" i="44" s="1"/>
  <c r="AP172" i="44" s="1"/>
  <c r="AQ172" i="44" s="1"/>
  <c r="AR172" i="44" s="1"/>
  <c r="AS172" i="44" s="1"/>
  <c r="AT172" i="44" s="1"/>
  <c r="AU172" i="44" s="1"/>
  <c r="AV172" i="44" s="1"/>
  <c r="AW172" i="44" s="1"/>
  <c r="AX172" i="44" s="1"/>
  <c r="AY172" i="44" s="1"/>
  <c r="AZ172" i="44" s="1"/>
  <c r="BA172" i="44" s="1"/>
  <c r="BB172" i="44" s="1"/>
  <c r="BC172" i="44" s="1"/>
  <c r="BD172" i="44" s="1"/>
  <c r="BE172" i="44" s="1"/>
  <c r="BF172" i="44" s="1"/>
  <c r="BG172" i="44" s="1"/>
  <c r="BH172" i="44" s="1"/>
  <c r="BI172" i="44" s="1"/>
  <c r="BJ172" i="44" s="1"/>
  <c r="BK172" i="44" s="1"/>
  <c r="BL172" i="44" s="1"/>
  <c r="BM172" i="44" s="1"/>
  <c r="BN172" i="44" s="1"/>
  <c r="BO172" i="44" s="1"/>
  <c r="BP172" i="44" s="1"/>
  <c r="BQ172" i="44" s="1"/>
  <c r="BR172" i="44" s="1"/>
  <c r="BS172" i="44" s="1"/>
  <c r="BT172" i="44" s="1"/>
  <c r="BU172" i="44" s="1"/>
  <c r="BV172" i="44" s="1"/>
  <c r="BW172" i="44" s="1"/>
  <c r="BX172" i="44" s="1"/>
  <c r="BY172" i="44" s="1"/>
  <c r="BZ172" i="44" s="1"/>
  <c r="CA172" i="44" s="1"/>
  <c r="CB172" i="44" s="1"/>
  <c r="CC172" i="44" s="1"/>
  <c r="CD172" i="44" s="1"/>
  <c r="CE172" i="44" s="1"/>
  <c r="AH171" i="44"/>
  <c r="AI171" i="44" s="1"/>
  <c r="AJ171" i="44" s="1"/>
  <c r="AK171" i="44" s="1"/>
  <c r="AL171" i="44" s="1"/>
  <c r="AM171" i="44" s="1"/>
  <c r="AN171" i="44" s="1"/>
  <c r="AO171" i="44" s="1"/>
  <c r="AP171" i="44" s="1"/>
  <c r="AQ171" i="44" s="1"/>
  <c r="AR171" i="44" s="1"/>
  <c r="AS171" i="44" s="1"/>
  <c r="AT171" i="44" s="1"/>
  <c r="AU171" i="44" s="1"/>
  <c r="AV171" i="44" s="1"/>
  <c r="AW171" i="44" s="1"/>
  <c r="AX171" i="44" s="1"/>
  <c r="AY171" i="44" s="1"/>
  <c r="AZ171" i="44" s="1"/>
  <c r="BA171" i="44" s="1"/>
  <c r="BB171" i="44" s="1"/>
  <c r="BC171" i="44" s="1"/>
  <c r="BD171" i="44" s="1"/>
  <c r="BE171" i="44" s="1"/>
  <c r="BF171" i="44" s="1"/>
  <c r="BG171" i="44" s="1"/>
  <c r="BH171" i="44" s="1"/>
  <c r="BI171" i="44" s="1"/>
  <c r="BJ171" i="44" s="1"/>
  <c r="BK171" i="44" s="1"/>
  <c r="BL171" i="44" s="1"/>
  <c r="BM171" i="44" s="1"/>
  <c r="BN171" i="44" s="1"/>
  <c r="BO171" i="44" s="1"/>
  <c r="BP171" i="44" s="1"/>
  <c r="BQ171" i="44" s="1"/>
  <c r="BR171" i="44" s="1"/>
  <c r="BS171" i="44" s="1"/>
  <c r="BT171" i="44" s="1"/>
  <c r="BU171" i="44" s="1"/>
  <c r="BV171" i="44" s="1"/>
  <c r="BW171" i="44" s="1"/>
  <c r="BX171" i="44" s="1"/>
  <c r="BY171" i="44" s="1"/>
  <c r="BZ171" i="44" s="1"/>
  <c r="CA171" i="44" s="1"/>
  <c r="CB171" i="44" s="1"/>
  <c r="CC171" i="44" s="1"/>
  <c r="CD171" i="44" s="1"/>
  <c r="CE171" i="44" s="1"/>
  <c r="AH170" i="44"/>
  <c r="AI170" i="44" s="1"/>
  <c r="AJ170" i="44" s="1"/>
  <c r="AK170" i="44" s="1"/>
  <c r="AL170" i="44" s="1"/>
  <c r="AM170" i="44" s="1"/>
  <c r="AN170" i="44" s="1"/>
  <c r="AO170" i="44" s="1"/>
  <c r="AP170" i="44" s="1"/>
  <c r="AQ170" i="44" s="1"/>
  <c r="AR170" i="44" s="1"/>
  <c r="AS170" i="44" s="1"/>
  <c r="AT170" i="44" s="1"/>
  <c r="AU170" i="44" s="1"/>
  <c r="AV170" i="44" s="1"/>
  <c r="AW170" i="44" s="1"/>
  <c r="AX170" i="44" s="1"/>
  <c r="AY170" i="44" s="1"/>
  <c r="AZ170" i="44" s="1"/>
  <c r="BA170" i="44" s="1"/>
  <c r="BB170" i="44" s="1"/>
  <c r="BC170" i="44" s="1"/>
  <c r="BD170" i="44" s="1"/>
  <c r="BE170" i="44" s="1"/>
  <c r="BF170" i="44" s="1"/>
  <c r="BG170" i="44" s="1"/>
  <c r="BH170" i="44" s="1"/>
  <c r="BI170" i="44" s="1"/>
  <c r="BJ170" i="44" s="1"/>
  <c r="BK170" i="44" s="1"/>
  <c r="BL170" i="44" s="1"/>
  <c r="BM170" i="44" s="1"/>
  <c r="BN170" i="44" s="1"/>
  <c r="BO170" i="44" s="1"/>
  <c r="BP170" i="44" s="1"/>
  <c r="BQ170" i="44" s="1"/>
  <c r="BR170" i="44" s="1"/>
  <c r="BS170" i="44" s="1"/>
  <c r="BT170" i="44" s="1"/>
  <c r="BU170" i="44" s="1"/>
  <c r="BV170" i="44" s="1"/>
  <c r="BW170" i="44" s="1"/>
  <c r="BX170" i="44" s="1"/>
  <c r="BY170" i="44" s="1"/>
  <c r="BZ170" i="44" s="1"/>
  <c r="CA170" i="44" s="1"/>
  <c r="CB170" i="44" s="1"/>
  <c r="CC170" i="44" s="1"/>
  <c r="CD170" i="44" s="1"/>
  <c r="CE170" i="44" s="1"/>
  <c r="AH169" i="44"/>
  <c r="AI169" i="44" s="1"/>
  <c r="AJ169" i="44" s="1"/>
  <c r="AK169" i="44" s="1"/>
  <c r="AL169" i="44" s="1"/>
  <c r="AM169" i="44" s="1"/>
  <c r="AN169" i="44" s="1"/>
  <c r="AO169" i="44" s="1"/>
  <c r="AP169" i="44" s="1"/>
  <c r="AQ169" i="44" s="1"/>
  <c r="AR169" i="44" s="1"/>
  <c r="AS169" i="44" s="1"/>
  <c r="AT169" i="44" s="1"/>
  <c r="AU169" i="44" s="1"/>
  <c r="AV169" i="44" s="1"/>
  <c r="AW169" i="44" s="1"/>
  <c r="AX169" i="44" s="1"/>
  <c r="AY169" i="44" s="1"/>
  <c r="AZ169" i="44" s="1"/>
  <c r="BA169" i="44" s="1"/>
  <c r="BB169" i="44" s="1"/>
  <c r="BC169" i="44" s="1"/>
  <c r="BD169" i="44" s="1"/>
  <c r="BE169" i="44" s="1"/>
  <c r="BF169" i="44" s="1"/>
  <c r="BG169" i="44" s="1"/>
  <c r="BH169" i="44" s="1"/>
  <c r="BI169" i="44" s="1"/>
  <c r="BJ169" i="44" s="1"/>
  <c r="BK169" i="44" s="1"/>
  <c r="BL169" i="44" s="1"/>
  <c r="BM169" i="44" s="1"/>
  <c r="BN169" i="44" s="1"/>
  <c r="BO169" i="44" s="1"/>
  <c r="BP169" i="44" s="1"/>
  <c r="BQ169" i="44" s="1"/>
  <c r="BR169" i="44" s="1"/>
  <c r="BS169" i="44" s="1"/>
  <c r="BT169" i="44" s="1"/>
  <c r="BU169" i="44" s="1"/>
  <c r="BV169" i="44" s="1"/>
  <c r="BW169" i="44" s="1"/>
  <c r="BX169" i="44" s="1"/>
  <c r="BY169" i="44" s="1"/>
  <c r="BZ169" i="44" s="1"/>
  <c r="CA169" i="44" s="1"/>
  <c r="CB169" i="44" s="1"/>
  <c r="CC169" i="44" s="1"/>
  <c r="CD169" i="44" s="1"/>
  <c r="CE169" i="44" s="1"/>
  <c r="AH167" i="44"/>
  <c r="AI167" i="44" s="1"/>
  <c r="AJ167" i="44" s="1"/>
  <c r="AK167" i="44" s="1"/>
  <c r="AL167" i="44" s="1"/>
  <c r="AM167" i="44" s="1"/>
  <c r="AN167" i="44" s="1"/>
  <c r="AO167" i="44" s="1"/>
  <c r="AP167" i="44" s="1"/>
  <c r="AQ167" i="44" s="1"/>
  <c r="AR167" i="44" s="1"/>
  <c r="AS167" i="44" s="1"/>
  <c r="AT167" i="44" s="1"/>
  <c r="AU167" i="44" s="1"/>
  <c r="AV167" i="44" s="1"/>
  <c r="AW167" i="44" s="1"/>
  <c r="AX167" i="44" s="1"/>
  <c r="AY167" i="44" s="1"/>
  <c r="AZ167" i="44" s="1"/>
  <c r="BA167" i="44" s="1"/>
  <c r="BB167" i="44" s="1"/>
  <c r="BC167" i="44" s="1"/>
  <c r="BD167" i="44" s="1"/>
  <c r="BE167" i="44" s="1"/>
  <c r="BF167" i="44" s="1"/>
  <c r="BG167" i="44" s="1"/>
  <c r="BH167" i="44" s="1"/>
  <c r="BI167" i="44" s="1"/>
  <c r="BJ167" i="44" s="1"/>
  <c r="BK167" i="44" s="1"/>
  <c r="BL167" i="44" s="1"/>
  <c r="BM167" i="44" s="1"/>
  <c r="BN167" i="44" s="1"/>
  <c r="BO167" i="44" s="1"/>
  <c r="BP167" i="44" s="1"/>
  <c r="BQ167" i="44" s="1"/>
  <c r="BR167" i="44" s="1"/>
  <c r="BS167" i="44" s="1"/>
  <c r="BT167" i="44" s="1"/>
  <c r="BU167" i="44" s="1"/>
  <c r="BV167" i="44" s="1"/>
  <c r="BW167" i="44" s="1"/>
  <c r="BX167" i="44" s="1"/>
  <c r="BY167" i="44" s="1"/>
  <c r="BZ167" i="44" s="1"/>
  <c r="CA167" i="44" s="1"/>
  <c r="CB167" i="44" s="1"/>
  <c r="CC167" i="44" s="1"/>
  <c r="CD167" i="44" s="1"/>
  <c r="CE167" i="44" s="1"/>
  <c r="AH166" i="44"/>
  <c r="AI166" i="44" s="1"/>
  <c r="AJ166" i="44" s="1"/>
  <c r="AK166" i="44" s="1"/>
  <c r="AL166" i="44" s="1"/>
  <c r="AM166" i="44" s="1"/>
  <c r="AN166" i="44" s="1"/>
  <c r="AO166" i="44" s="1"/>
  <c r="AP166" i="44" s="1"/>
  <c r="AQ166" i="44" s="1"/>
  <c r="AR166" i="44" s="1"/>
  <c r="AS166" i="44" s="1"/>
  <c r="AT166" i="44" s="1"/>
  <c r="AU166" i="44" s="1"/>
  <c r="AV166" i="44" s="1"/>
  <c r="AW166" i="44" s="1"/>
  <c r="AX166" i="44" s="1"/>
  <c r="AY166" i="44" s="1"/>
  <c r="AZ166" i="44" s="1"/>
  <c r="BA166" i="44" s="1"/>
  <c r="BB166" i="44" s="1"/>
  <c r="BC166" i="44" s="1"/>
  <c r="BD166" i="44" s="1"/>
  <c r="BE166" i="44" s="1"/>
  <c r="BF166" i="44" s="1"/>
  <c r="BG166" i="44" s="1"/>
  <c r="BH166" i="44" s="1"/>
  <c r="BI166" i="44" s="1"/>
  <c r="BJ166" i="44" s="1"/>
  <c r="BK166" i="44" s="1"/>
  <c r="BL166" i="44" s="1"/>
  <c r="BM166" i="44" s="1"/>
  <c r="BN166" i="44" s="1"/>
  <c r="BO166" i="44" s="1"/>
  <c r="BP166" i="44" s="1"/>
  <c r="BQ166" i="44" s="1"/>
  <c r="BR166" i="44" s="1"/>
  <c r="BS166" i="44" s="1"/>
  <c r="BT166" i="44" s="1"/>
  <c r="BU166" i="44" s="1"/>
  <c r="BV166" i="44" s="1"/>
  <c r="BW166" i="44" s="1"/>
  <c r="BX166" i="44" s="1"/>
  <c r="BY166" i="44" s="1"/>
  <c r="BZ166" i="44" s="1"/>
  <c r="CA166" i="44" s="1"/>
  <c r="CB166" i="44" s="1"/>
  <c r="CC166" i="44" s="1"/>
  <c r="CD166" i="44" s="1"/>
  <c r="CE166" i="44" s="1"/>
  <c r="AH164" i="44"/>
  <c r="AI164" i="44" s="1"/>
  <c r="AJ164" i="44" s="1"/>
  <c r="AK164" i="44" s="1"/>
  <c r="AL164" i="44" s="1"/>
  <c r="AM164" i="44" s="1"/>
  <c r="AN164" i="44" s="1"/>
  <c r="AO164" i="44" s="1"/>
  <c r="AP164" i="44" s="1"/>
  <c r="AQ164" i="44" s="1"/>
  <c r="AR164" i="44" s="1"/>
  <c r="AS164" i="44" s="1"/>
  <c r="AT164" i="44" s="1"/>
  <c r="AU164" i="44" s="1"/>
  <c r="AV164" i="44" s="1"/>
  <c r="AW164" i="44" s="1"/>
  <c r="AX164" i="44" s="1"/>
  <c r="AY164" i="44" s="1"/>
  <c r="AZ164" i="44" s="1"/>
  <c r="BA164" i="44" s="1"/>
  <c r="BB164" i="44" s="1"/>
  <c r="BC164" i="44" s="1"/>
  <c r="BD164" i="44" s="1"/>
  <c r="BE164" i="44" s="1"/>
  <c r="BF164" i="44" s="1"/>
  <c r="BG164" i="44" s="1"/>
  <c r="BH164" i="44" s="1"/>
  <c r="BI164" i="44" s="1"/>
  <c r="BJ164" i="44" s="1"/>
  <c r="BK164" i="44" s="1"/>
  <c r="BL164" i="44" s="1"/>
  <c r="BM164" i="44" s="1"/>
  <c r="BN164" i="44" s="1"/>
  <c r="BO164" i="44" s="1"/>
  <c r="BP164" i="44" s="1"/>
  <c r="BQ164" i="44" s="1"/>
  <c r="BR164" i="44" s="1"/>
  <c r="BS164" i="44" s="1"/>
  <c r="BT164" i="44" s="1"/>
  <c r="BU164" i="44" s="1"/>
  <c r="BV164" i="44" s="1"/>
  <c r="BW164" i="44" s="1"/>
  <c r="BX164" i="44" s="1"/>
  <c r="BY164" i="44" s="1"/>
  <c r="BZ164" i="44" s="1"/>
  <c r="CA164" i="44" s="1"/>
  <c r="CB164" i="44" s="1"/>
  <c r="CC164" i="44" s="1"/>
  <c r="CD164" i="44" s="1"/>
  <c r="CE164" i="44" s="1"/>
  <c r="AH163" i="44"/>
  <c r="AI163" i="44" s="1"/>
  <c r="AJ163" i="44" s="1"/>
  <c r="AK163" i="44" s="1"/>
  <c r="AL163" i="44" s="1"/>
  <c r="AM163" i="44" s="1"/>
  <c r="AN163" i="44" s="1"/>
  <c r="AO163" i="44" s="1"/>
  <c r="AP163" i="44" s="1"/>
  <c r="AQ163" i="44" s="1"/>
  <c r="AR163" i="44" s="1"/>
  <c r="AS163" i="44" s="1"/>
  <c r="AT163" i="44" s="1"/>
  <c r="AU163" i="44" s="1"/>
  <c r="AV163" i="44" s="1"/>
  <c r="AW163" i="44" s="1"/>
  <c r="AX163" i="44" s="1"/>
  <c r="AY163" i="44" s="1"/>
  <c r="AZ163" i="44" s="1"/>
  <c r="BA163" i="44" s="1"/>
  <c r="BB163" i="44" s="1"/>
  <c r="BC163" i="44" s="1"/>
  <c r="BD163" i="44" s="1"/>
  <c r="BE163" i="44" s="1"/>
  <c r="BF163" i="44" s="1"/>
  <c r="BG163" i="44" s="1"/>
  <c r="BH163" i="44" s="1"/>
  <c r="BI163" i="44" s="1"/>
  <c r="BJ163" i="44" s="1"/>
  <c r="BK163" i="44" s="1"/>
  <c r="BL163" i="44" s="1"/>
  <c r="BM163" i="44" s="1"/>
  <c r="BN163" i="44" s="1"/>
  <c r="BO163" i="44" s="1"/>
  <c r="BP163" i="44" s="1"/>
  <c r="BQ163" i="44" s="1"/>
  <c r="BR163" i="44" s="1"/>
  <c r="BS163" i="44" s="1"/>
  <c r="BT163" i="44" s="1"/>
  <c r="BU163" i="44" s="1"/>
  <c r="BV163" i="44" s="1"/>
  <c r="BW163" i="44" s="1"/>
  <c r="BX163" i="44" s="1"/>
  <c r="BY163" i="44" s="1"/>
  <c r="BZ163" i="44" s="1"/>
  <c r="CA163" i="44" s="1"/>
  <c r="CB163" i="44" s="1"/>
  <c r="CC163" i="44" s="1"/>
  <c r="CD163" i="44" s="1"/>
  <c r="CE163" i="44" s="1"/>
  <c r="AH162" i="44"/>
  <c r="AI162" i="44" s="1"/>
  <c r="AJ162" i="44" s="1"/>
  <c r="AK162" i="44" s="1"/>
  <c r="AL162" i="44" s="1"/>
  <c r="AM162" i="44" s="1"/>
  <c r="AN162" i="44" s="1"/>
  <c r="AO162" i="44" s="1"/>
  <c r="AP162" i="44" s="1"/>
  <c r="AQ162" i="44" s="1"/>
  <c r="AR162" i="44" s="1"/>
  <c r="AS162" i="44" s="1"/>
  <c r="AT162" i="44" s="1"/>
  <c r="AU162" i="44" s="1"/>
  <c r="AV162" i="44" s="1"/>
  <c r="AW162" i="44" s="1"/>
  <c r="AX162" i="44" s="1"/>
  <c r="AY162" i="44" s="1"/>
  <c r="AZ162" i="44" s="1"/>
  <c r="BA162" i="44" s="1"/>
  <c r="BB162" i="44" s="1"/>
  <c r="BC162" i="44" s="1"/>
  <c r="BD162" i="44" s="1"/>
  <c r="BE162" i="44" s="1"/>
  <c r="BF162" i="44" s="1"/>
  <c r="BG162" i="44" s="1"/>
  <c r="BH162" i="44" s="1"/>
  <c r="BI162" i="44" s="1"/>
  <c r="BJ162" i="44" s="1"/>
  <c r="BK162" i="44" s="1"/>
  <c r="BL162" i="44" s="1"/>
  <c r="BM162" i="44" s="1"/>
  <c r="BN162" i="44" s="1"/>
  <c r="BO162" i="44" s="1"/>
  <c r="BP162" i="44" s="1"/>
  <c r="BQ162" i="44" s="1"/>
  <c r="BR162" i="44" s="1"/>
  <c r="BS162" i="44" s="1"/>
  <c r="BT162" i="44" s="1"/>
  <c r="BU162" i="44" s="1"/>
  <c r="BV162" i="44" s="1"/>
  <c r="BW162" i="44" s="1"/>
  <c r="BX162" i="44" s="1"/>
  <c r="BY162" i="44" s="1"/>
  <c r="BZ162" i="44" s="1"/>
  <c r="CA162" i="44" s="1"/>
  <c r="CB162" i="44" s="1"/>
  <c r="CC162" i="44" s="1"/>
  <c r="CD162" i="44" s="1"/>
  <c r="CE162" i="44" s="1"/>
  <c r="AH161" i="44"/>
  <c r="AI161" i="44" s="1"/>
  <c r="AJ161" i="44" s="1"/>
  <c r="AK161" i="44" s="1"/>
  <c r="AL161" i="44" s="1"/>
  <c r="AM161" i="44" s="1"/>
  <c r="AN161" i="44" s="1"/>
  <c r="AO161" i="44" s="1"/>
  <c r="AP161" i="44" s="1"/>
  <c r="AQ161" i="44" s="1"/>
  <c r="AR161" i="44" s="1"/>
  <c r="AS161" i="44" s="1"/>
  <c r="AT161" i="44" s="1"/>
  <c r="AU161" i="44" s="1"/>
  <c r="AV161" i="44" s="1"/>
  <c r="AW161" i="44" s="1"/>
  <c r="AX161" i="44" s="1"/>
  <c r="AY161" i="44" s="1"/>
  <c r="AZ161" i="44" s="1"/>
  <c r="BA161" i="44" s="1"/>
  <c r="BB161" i="44" s="1"/>
  <c r="BC161" i="44" s="1"/>
  <c r="BD161" i="44" s="1"/>
  <c r="BE161" i="44" s="1"/>
  <c r="BF161" i="44" s="1"/>
  <c r="BG161" i="44" s="1"/>
  <c r="BH161" i="44" s="1"/>
  <c r="BI161" i="44" s="1"/>
  <c r="BJ161" i="44" s="1"/>
  <c r="BK161" i="44" s="1"/>
  <c r="BL161" i="44" s="1"/>
  <c r="BM161" i="44" s="1"/>
  <c r="BN161" i="44" s="1"/>
  <c r="BO161" i="44" s="1"/>
  <c r="BP161" i="44" s="1"/>
  <c r="BQ161" i="44" s="1"/>
  <c r="BR161" i="44" s="1"/>
  <c r="BS161" i="44" s="1"/>
  <c r="BT161" i="44" s="1"/>
  <c r="BU161" i="44" s="1"/>
  <c r="BV161" i="44" s="1"/>
  <c r="BW161" i="44" s="1"/>
  <c r="BX161" i="44" s="1"/>
  <c r="BY161" i="44" s="1"/>
  <c r="BZ161" i="44" s="1"/>
  <c r="CA161" i="44" s="1"/>
  <c r="CB161" i="44" s="1"/>
  <c r="CC161" i="44" s="1"/>
  <c r="CD161" i="44" s="1"/>
  <c r="CE161" i="44" s="1"/>
  <c r="AH160" i="44"/>
  <c r="AI160" i="44" s="1"/>
  <c r="AJ160" i="44" s="1"/>
  <c r="AK160" i="44" s="1"/>
  <c r="AL160" i="44" s="1"/>
  <c r="AM160" i="44" s="1"/>
  <c r="AN160" i="44" s="1"/>
  <c r="AO160" i="44" s="1"/>
  <c r="AP160" i="44" s="1"/>
  <c r="AQ160" i="44" s="1"/>
  <c r="AR160" i="44" s="1"/>
  <c r="AS160" i="44" s="1"/>
  <c r="AT160" i="44" s="1"/>
  <c r="AU160" i="44" s="1"/>
  <c r="AV160" i="44" s="1"/>
  <c r="AW160" i="44" s="1"/>
  <c r="AX160" i="44" s="1"/>
  <c r="AY160" i="44" s="1"/>
  <c r="AZ160" i="44" s="1"/>
  <c r="BA160" i="44" s="1"/>
  <c r="BB160" i="44" s="1"/>
  <c r="BC160" i="44" s="1"/>
  <c r="BD160" i="44" s="1"/>
  <c r="BE160" i="44" s="1"/>
  <c r="BF160" i="44" s="1"/>
  <c r="BG160" i="44" s="1"/>
  <c r="BH160" i="44" s="1"/>
  <c r="BI160" i="44" s="1"/>
  <c r="BJ160" i="44" s="1"/>
  <c r="BK160" i="44" s="1"/>
  <c r="BL160" i="44" s="1"/>
  <c r="BM160" i="44" s="1"/>
  <c r="BN160" i="44" s="1"/>
  <c r="BO160" i="44" s="1"/>
  <c r="BP160" i="44" s="1"/>
  <c r="BQ160" i="44" s="1"/>
  <c r="BR160" i="44" s="1"/>
  <c r="BS160" i="44" s="1"/>
  <c r="BT160" i="44" s="1"/>
  <c r="BU160" i="44" s="1"/>
  <c r="BV160" i="44" s="1"/>
  <c r="BW160" i="44" s="1"/>
  <c r="BX160" i="44" s="1"/>
  <c r="BY160" i="44" s="1"/>
  <c r="BZ160" i="44" s="1"/>
  <c r="CA160" i="44" s="1"/>
  <c r="CB160" i="44" s="1"/>
  <c r="CC160" i="44" s="1"/>
  <c r="CD160" i="44" s="1"/>
  <c r="CE160" i="44" s="1"/>
  <c r="AH159" i="44"/>
  <c r="AI159" i="44" s="1"/>
  <c r="AJ159" i="44" s="1"/>
  <c r="AK159" i="44" s="1"/>
  <c r="AL159" i="44" s="1"/>
  <c r="AM159" i="44" s="1"/>
  <c r="AN159" i="44" s="1"/>
  <c r="AO159" i="44" s="1"/>
  <c r="AP159" i="44" s="1"/>
  <c r="AQ159" i="44" s="1"/>
  <c r="AR159" i="44" s="1"/>
  <c r="AS159" i="44" s="1"/>
  <c r="AT159" i="44" s="1"/>
  <c r="AU159" i="44" s="1"/>
  <c r="AV159" i="44" s="1"/>
  <c r="AW159" i="44" s="1"/>
  <c r="AX159" i="44" s="1"/>
  <c r="AY159" i="44" s="1"/>
  <c r="AZ159" i="44" s="1"/>
  <c r="BA159" i="44" s="1"/>
  <c r="BB159" i="44" s="1"/>
  <c r="BC159" i="44" s="1"/>
  <c r="BD159" i="44" s="1"/>
  <c r="BE159" i="44" s="1"/>
  <c r="BF159" i="44" s="1"/>
  <c r="BG159" i="44" s="1"/>
  <c r="BH159" i="44" s="1"/>
  <c r="BI159" i="44" s="1"/>
  <c r="BJ159" i="44" s="1"/>
  <c r="BK159" i="44" s="1"/>
  <c r="BL159" i="44" s="1"/>
  <c r="BM159" i="44" s="1"/>
  <c r="BN159" i="44" s="1"/>
  <c r="BO159" i="44" s="1"/>
  <c r="BP159" i="44" s="1"/>
  <c r="BQ159" i="44" s="1"/>
  <c r="BR159" i="44" s="1"/>
  <c r="BS159" i="44" s="1"/>
  <c r="BT159" i="44" s="1"/>
  <c r="BU159" i="44" s="1"/>
  <c r="BV159" i="44" s="1"/>
  <c r="BW159" i="44" s="1"/>
  <c r="BX159" i="44" s="1"/>
  <c r="BY159" i="44" s="1"/>
  <c r="BZ159" i="44" s="1"/>
  <c r="CA159" i="44" s="1"/>
  <c r="CB159" i="44" s="1"/>
  <c r="CC159" i="44" s="1"/>
  <c r="CD159" i="44" s="1"/>
  <c r="CE159" i="44" s="1"/>
  <c r="AP158" i="44"/>
  <c r="AQ158" i="44" s="1"/>
  <c r="AR158" i="44" s="1"/>
  <c r="AS158" i="44" s="1"/>
  <c r="AT158" i="44" s="1"/>
  <c r="AU158" i="44" s="1"/>
  <c r="AV158" i="44" s="1"/>
  <c r="AW158" i="44" s="1"/>
  <c r="AX158" i="44" s="1"/>
  <c r="AY158" i="44" s="1"/>
  <c r="AZ158" i="44" s="1"/>
  <c r="BA158" i="44" s="1"/>
  <c r="BB158" i="44" s="1"/>
  <c r="BC158" i="44" s="1"/>
  <c r="BD158" i="44" s="1"/>
  <c r="BE158" i="44" s="1"/>
  <c r="BF158" i="44" s="1"/>
  <c r="BG158" i="44" s="1"/>
  <c r="BH158" i="44" s="1"/>
  <c r="BI158" i="44" s="1"/>
  <c r="BJ158" i="44" s="1"/>
  <c r="BK158" i="44" s="1"/>
  <c r="BL158" i="44" s="1"/>
  <c r="BM158" i="44" s="1"/>
  <c r="BN158" i="44" s="1"/>
  <c r="BO158" i="44" s="1"/>
  <c r="BP158" i="44" s="1"/>
  <c r="BQ158" i="44" s="1"/>
  <c r="BR158" i="44" s="1"/>
  <c r="BS158" i="44" s="1"/>
  <c r="BT158" i="44" s="1"/>
  <c r="BU158" i="44" s="1"/>
  <c r="BV158" i="44" s="1"/>
  <c r="BW158" i="44" s="1"/>
  <c r="BX158" i="44" s="1"/>
  <c r="BY158" i="44" s="1"/>
  <c r="BZ158" i="44" s="1"/>
  <c r="CA158" i="44" s="1"/>
  <c r="CB158" i="44" s="1"/>
  <c r="CC158" i="44" s="1"/>
  <c r="CD158" i="44" s="1"/>
  <c r="CE158" i="44" s="1"/>
  <c r="AH158" i="44"/>
  <c r="AI158" i="44" s="1"/>
  <c r="AJ158" i="44" s="1"/>
  <c r="AK158" i="44" s="1"/>
  <c r="AL158" i="44" s="1"/>
  <c r="AM158" i="44" s="1"/>
  <c r="AN158" i="44" s="1"/>
  <c r="AO158" i="44" s="1"/>
  <c r="AH157" i="44"/>
  <c r="AI157" i="44" s="1"/>
  <c r="AJ157" i="44" s="1"/>
  <c r="AK157" i="44" s="1"/>
  <c r="AL157" i="44" s="1"/>
  <c r="AM157" i="44" s="1"/>
  <c r="AN157" i="44" s="1"/>
  <c r="AO157" i="44" s="1"/>
  <c r="AP157" i="44" s="1"/>
  <c r="AQ157" i="44" s="1"/>
  <c r="AR157" i="44" s="1"/>
  <c r="AS157" i="44" s="1"/>
  <c r="AT157" i="44" s="1"/>
  <c r="AU157" i="44" s="1"/>
  <c r="AV157" i="44" s="1"/>
  <c r="AW157" i="44" s="1"/>
  <c r="AX157" i="44" s="1"/>
  <c r="AY157" i="44" s="1"/>
  <c r="AZ157" i="44" s="1"/>
  <c r="BA157" i="44" s="1"/>
  <c r="BB157" i="44" s="1"/>
  <c r="BC157" i="44" s="1"/>
  <c r="BD157" i="44" s="1"/>
  <c r="BE157" i="44" s="1"/>
  <c r="BF157" i="44" s="1"/>
  <c r="BG157" i="44" s="1"/>
  <c r="BH157" i="44" s="1"/>
  <c r="BI157" i="44" s="1"/>
  <c r="BJ157" i="44" s="1"/>
  <c r="BK157" i="44" s="1"/>
  <c r="BL157" i="44" s="1"/>
  <c r="BM157" i="44" s="1"/>
  <c r="BN157" i="44" s="1"/>
  <c r="BO157" i="44" s="1"/>
  <c r="BP157" i="44" s="1"/>
  <c r="BQ157" i="44" s="1"/>
  <c r="BR157" i="44" s="1"/>
  <c r="BS157" i="44" s="1"/>
  <c r="BT157" i="44" s="1"/>
  <c r="BU157" i="44" s="1"/>
  <c r="BV157" i="44" s="1"/>
  <c r="BW157" i="44" s="1"/>
  <c r="BX157" i="44" s="1"/>
  <c r="BY157" i="44" s="1"/>
  <c r="BZ157" i="44" s="1"/>
  <c r="CA157" i="44" s="1"/>
  <c r="CB157" i="44" s="1"/>
  <c r="CC157" i="44" s="1"/>
  <c r="CD157" i="44" s="1"/>
  <c r="CE157" i="44" s="1"/>
  <c r="AH156" i="44"/>
  <c r="AI156" i="44" s="1"/>
  <c r="AJ156" i="44" s="1"/>
  <c r="AK156" i="44" s="1"/>
  <c r="AL156" i="44" s="1"/>
  <c r="AM156" i="44" s="1"/>
  <c r="AN156" i="44" s="1"/>
  <c r="AO156" i="44" s="1"/>
  <c r="AP156" i="44" s="1"/>
  <c r="AQ156" i="44" s="1"/>
  <c r="AR156" i="44" s="1"/>
  <c r="AS156" i="44" s="1"/>
  <c r="AT156" i="44" s="1"/>
  <c r="AU156" i="44" s="1"/>
  <c r="AV156" i="44" s="1"/>
  <c r="AW156" i="44" s="1"/>
  <c r="AX156" i="44" s="1"/>
  <c r="AY156" i="44" s="1"/>
  <c r="AZ156" i="44" s="1"/>
  <c r="BA156" i="44" s="1"/>
  <c r="BB156" i="44" s="1"/>
  <c r="BC156" i="44" s="1"/>
  <c r="BD156" i="44" s="1"/>
  <c r="BE156" i="44" s="1"/>
  <c r="BF156" i="44" s="1"/>
  <c r="BG156" i="44" s="1"/>
  <c r="BH156" i="44" s="1"/>
  <c r="BI156" i="44" s="1"/>
  <c r="BJ156" i="44" s="1"/>
  <c r="BK156" i="44" s="1"/>
  <c r="BL156" i="44" s="1"/>
  <c r="BM156" i="44" s="1"/>
  <c r="BN156" i="44" s="1"/>
  <c r="BO156" i="44" s="1"/>
  <c r="BP156" i="44" s="1"/>
  <c r="BQ156" i="44" s="1"/>
  <c r="BR156" i="44" s="1"/>
  <c r="BS156" i="44" s="1"/>
  <c r="BT156" i="44" s="1"/>
  <c r="BU156" i="44" s="1"/>
  <c r="BV156" i="44" s="1"/>
  <c r="BW156" i="44" s="1"/>
  <c r="BX156" i="44" s="1"/>
  <c r="BY156" i="44" s="1"/>
  <c r="BZ156" i="44" s="1"/>
  <c r="CA156" i="44" s="1"/>
  <c r="CB156" i="44" s="1"/>
  <c r="CC156" i="44" s="1"/>
  <c r="CD156" i="44" s="1"/>
  <c r="CE156" i="44" s="1"/>
  <c r="AH155" i="44"/>
  <c r="AI155" i="44" s="1"/>
  <c r="AJ155" i="44" s="1"/>
  <c r="AK155" i="44" s="1"/>
  <c r="AL155" i="44" s="1"/>
  <c r="AM155" i="44" s="1"/>
  <c r="AN155" i="44" s="1"/>
  <c r="AO155" i="44" s="1"/>
  <c r="AP155" i="44" s="1"/>
  <c r="AQ155" i="44" s="1"/>
  <c r="AR155" i="44" s="1"/>
  <c r="AS155" i="44" s="1"/>
  <c r="AT155" i="44" s="1"/>
  <c r="AU155" i="44" s="1"/>
  <c r="AV155" i="44" s="1"/>
  <c r="AW155" i="44" s="1"/>
  <c r="AX155" i="44" s="1"/>
  <c r="AY155" i="44" s="1"/>
  <c r="AZ155" i="44" s="1"/>
  <c r="BA155" i="44" s="1"/>
  <c r="BB155" i="44" s="1"/>
  <c r="BC155" i="44" s="1"/>
  <c r="BD155" i="44" s="1"/>
  <c r="BE155" i="44" s="1"/>
  <c r="BF155" i="44" s="1"/>
  <c r="BG155" i="44" s="1"/>
  <c r="BH155" i="44" s="1"/>
  <c r="BI155" i="44" s="1"/>
  <c r="BJ155" i="44" s="1"/>
  <c r="BK155" i="44" s="1"/>
  <c r="BL155" i="44" s="1"/>
  <c r="BM155" i="44" s="1"/>
  <c r="BN155" i="44" s="1"/>
  <c r="BO155" i="44" s="1"/>
  <c r="BP155" i="44" s="1"/>
  <c r="BQ155" i="44" s="1"/>
  <c r="BR155" i="44" s="1"/>
  <c r="BS155" i="44" s="1"/>
  <c r="BT155" i="44" s="1"/>
  <c r="BU155" i="44" s="1"/>
  <c r="BV155" i="44" s="1"/>
  <c r="BW155" i="44" s="1"/>
  <c r="BX155" i="44" s="1"/>
  <c r="BY155" i="44" s="1"/>
  <c r="BZ155" i="44" s="1"/>
  <c r="CA155" i="44" s="1"/>
  <c r="CB155" i="44" s="1"/>
  <c r="CC155" i="44" s="1"/>
  <c r="CD155" i="44" s="1"/>
  <c r="CE155" i="44" s="1"/>
  <c r="AH154" i="44"/>
  <c r="AI154" i="44" s="1"/>
  <c r="AJ154" i="44" s="1"/>
  <c r="AK154" i="44" s="1"/>
  <c r="AL154" i="44" s="1"/>
  <c r="AM154" i="44" s="1"/>
  <c r="AN154" i="44" s="1"/>
  <c r="AO154" i="44" s="1"/>
  <c r="AP154" i="44" s="1"/>
  <c r="AQ154" i="44" s="1"/>
  <c r="AR154" i="44" s="1"/>
  <c r="AS154" i="44" s="1"/>
  <c r="AT154" i="44" s="1"/>
  <c r="AU154" i="44" s="1"/>
  <c r="AV154" i="44" s="1"/>
  <c r="AW154" i="44" s="1"/>
  <c r="AX154" i="44" s="1"/>
  <c r="AY154" i="44" s="1"/>
  <c r="AZ154" i="44" s="1"/>
  <c r="BA154" i="44" s="1"/>
  <c r="BB154" i="44" s="1"/>
  <c r="BC154" i="44" s="1"/>
  <c r="BD154" i="44" s="1"/>
  <c r="BE154" i="44" s="1"/>
  <c r="BF154" i="44" s="1"/>
  <c r="BG154" i="44" s="1"/>
  <c r="BH154" i="44" s="1"/>
  <c r="BI154" i="44" s="1"/>
  <c r="BJ154" i="44" s="1"/>
  <c r="BK154" i="44" s="1"/>
  <c r="BL154" i="44" s="1"/>
  <c r="BM154" i="44" s="1"/>
  <c r="BN154" i="44" s="1"/>
  <c r="BO154" i="44" s="1"/>
  <c r="BP154" i="44" s="1"/>
  <c r="BQ154" i="44" s="1"/>
  <c r="BR154" i="44" s="1"/>
  <c r="BS154" i="44" s="1"/>
  <c r="BT154" i="44" s="1"/>
  <c r="BU154" i="44" s="1"/>
  <c r="BV154" i="44" s="1"/>
  <c r="BW154" i="44" s="1"/>
  <c r="BX154" i="44" s="1"/>
  <c r="BY154" i="44" s="1"/>
  <c r="BZ154" i="44" s="1"/>
  <c r="CA154" i="44" s="1"/>
  <c r="CB154" i="44" s="1"/>
  <c r="CC154" i="44" s="1"/>
  <c r="CD154" i="44" s="1"/>
  <c r="CE154" i="44" s="1"/>
  <c r="F153" i="44"/>
  <c r="G153" i="44" s="1"/>
  <c r="H153" i="44" s="1"/>
  <c r="I153" i="44" s="1"/>
  <c r="J153" i="44" s="1"/>
  <c r="K153" i="44" s="1"/>
  <c r="L153" i="44" s="1"/>
  <c r="M153" i="44" s="1"/>
  <c r="N153" i="44" s="1"/>
  <c r="O153" i="44" s="1"/>
  <c r="P153" i="44" s="1"/>
  <c r="Q153" i="44" s="1"/>
  <c r="R153" i="44" s="1"/>
  <c r="S153" i="44" s="1"/>
  <c r="T153" i="44" s="1"/>
  <c r="U153" i="44" s="1"/>
  <c r="V153" i="44" s="1"/>
  <c r="W153" i="44" s="1"/>
  <c r="X153" i="44" s="1"/>
  <c r="Y153" i="44" s="1"/>
  <c r="Z153" i="44" s="1"/>
  <c r="AA153" i="44" s="1"/>
  <c r="AB153" i="44" s="1"/>
  <c r="AC153" i="44" s="1"/>
  <c r="AD153" i="44" s="1"/>
  <c r="AE153" i="44" s="1"/>
  <c r="AF153" i="44" s="1"/>
  <c r="AG153" i="44" s="1"/>
  <c r="AH153" i="44" s="1"/>
  <c r="AI153" i="44" s="1"/>
  <c r="AJ153" i="44" s="1"/>
  <c r="AK153" i="44" s="1"/>
  <c r="AL153" i="44" s="1"/>
  <c r="AM153" i="44" s="1"/>
  <c r="AN153" i="44" s="1"/>
  <c r="AO153" i="44" s="1"/>
  <c r="AP153" i="44" s="1"/>
  <c r="AQ153" i="44" s="1"/>
  <c r="AR153" i="44" s="1"/>
  <c r="AS153" i="44" s="1"/>
  <c r="AT153" i="44" s="1"/>
  <c r="AU153" i="44" s="1"/>
  <c r="AV153" i="44" s="1"/>
  <c r="AW153" i="44" s="1"/>
  <c r="AX153" i="44" s="1"/>
  <c r="AY153" i="44" s="1"/>
  <c r="AZ153" i="44" s="1"/>
  <c r="BA153" i="44" s="1"/>
  <c r="BB153" i="44" s="1"/>
  <c r="BC153" i="44" s="1"/>
  <c r="BD153" i="44" s="1"/>
  <c r="BE153" i="44" s="1"/>
  <c r="BF153" i="44" s="1"/>
  <c r="BG153" i="44" s="1"/>
  <c r="BH153" i="44" s="1"/>
  <c r="BI153" i="44" s="1"/>
  <c r="BJ153" i="44" s="1"/>
  <c r="BK153" i="44" s="1"/>
  <c r="BL153" i="44" s="1"/>
  <c r="BM153" i="44" s="1"/>
  <c r="BN153" i="44" s="1"/>
  <c r="BO153" i="44" s="1"/>
  <c r="BP153" i="44" s="1"/>
  <c r="BQ153" i="44" s="1"/>
  <c r="BR153" i="44" s="1"/>
  <c r="BS153" i="44" s="1"/>
  <c r="BT153" i="44" s="1"/>
  <c r="BU153" i="44" s="1"/>
  <c r="BV153" i="44" s="1"/>
  <c r="BW153" i="44" s="1"/>
  <c r="BX153" i="44" s="1"/>
  <c r="BY153" i="44" s="1"/>
  <c r="BZ153" i="44" s="1"/>
  <c r="CA153" i="44" s="1"/>
  <c r="CB153" i="44" s="1"/>
  <c r="CC153" i="44" s="1"/>
  <c r="CD153" i="44" s="1"/>
  <c r="CE153" i="44" s="1"/>
  <c r="AH151" i="44"/>
  <c r="AI151" i="44" s="1"/>
  <c r="AJ151" i="44" s="1"/>
  <c r="AK151" i="44" s="1"/>
  <c r="AL151" i="44" s="1"/>
  <c r="AM151" i="44" s="1"/>
  <c r="AN151" i="44" s="1"/>
  <c r="AO151" i="44" s="1"/>
  <c r="AP151" i="44" s="1"/>
  <c r="AQ151" i="44" s="1"/>
  <c r="AR151" i="44" s="1"/>
  <c r="AS151" i="44" s="1"/>
  <c r="AT151" i="44" s="1"/>
  <c r="AU151" i="44" s="1"/>
  <c r="AV151" i="44" s="1"/>
  <c r="AW151" i="44" s="1"/>
  <c r="AX151" i="44" s="1"/>
  <c r="AY151" i="44" s="1"/>
  <c r="AZ151" i="44" s="1"/>
  <c r="BA151" i="44" s="1"/>
  <c r="BB151" i="44" s="1"/>
  <c r="BC151" i="44" s="1"/>
  <c r="BD151" i="44" s="1"/>
  <c r="BE151" i="44" s="1"/>
  <c r="BF151" i="44" s="1"/>
  <c r="BG151" i="44" s="1"/>
  <c r="BH151" i="44" s="1"/>
  <c r="BI151" i="44" s="1"/>
  <c r="BJ151" i="44" s="1"/>
  <c r="BK151" i="44" s="1"/>
  <c r="BL151" i="44" s="1"/>
  <c r="BM151" i="44" s="1"/>
  <c r="BN151" i="44" s="1"/>
  <c r="BO151" i="44" s="1"/>
  <c r="BP151" i="44" s="1"/>
  <c r="BQ151" i="44" s="1"/>
  <c r="BR151" i="44" s="1"/>
  <c r="BS151" i="44" s="1"/>
  <c r="BT151" i="44" s="1"/>
  <c r="BU151" i="44" s="1"/>
  <c r="BV151" i="44" s="1"/>
  <c r="BW151" i="44" s="1"/>
  <c r="BX151" i="44" s="1"/>
  <c r="BY151" i="44" s="1"/>
  <c r="BZ151" i="44" s="1"/>
  <c r="CA151" i="44" s="1"/>
  <c r="CB151" i="44" s="1"/>
  <c r="CC151" i="44" s="1"/>
  <c r="CD151" i="44" s="1"/>
  <c r="CE151" i="44" s="1"/>
  <c r="AH150" i="44"/>
  <c r="AI150" i="44" s="1"/>
  <c r="AJ150" i="44" s="1"/>
  <c r="AK150" i="44" s="1"/>
  <c r="AL150" i="44" s="1"/>
  <c r="AM150" i="44" s="1"/>
  <c r="AN150" i="44" s="1"/>
  <c r="AO150" i="44" s="1"/>
  <c r="AP150" i="44" s="1"/>
  <c r="AQ150" i="44" s="1"/>
  <c r="AR150" i="44" s="1"/>
  <c r="AS150" i="44" s="1"/>
  <c r="AT150" i="44" s="1"/>
  <c r="AU150" i="44" s="1"/>
  <c r="AV150" i="44" s="1"/>
  <c r="AW150" i="44" s="1"/>
  <c r="AX150" i="44" s="1"/>
  <c r="AY150" i="44" s="1"/>
  <c r="AZ150" i="44" s="1"/>
  <c r="BA150" i="44" s="1"/>
  <c r="BB150" i="44" s="1"/>
  <c r="BC150" i="44" s="1"/>
  <c r="BD150" i="44" s="1"/>
  <c r="BE150" i="44" s="1"/>
  <c r="BF150" i="44" s="1"/>
  <c r="BG150" i="44" s="1"/>
  <c r="BH150" i="44" s="1"/>
  <c r="BI150" i="44" s="1"/>
  <c r="BJ150" i="44" s="1"/>
  <c r="BK150" i="44" s="1"/>
  <c r="BL150" i="44" s="1"/>
  <c r="BM150" i="44" s="1"/>
  <c r="BN150" i="44" s="1"/>
  <c r="BO150" i="44" s="1"/>
  <c r="BP150" i="44" s="1"/>
  <c r="BQ150" i="44" s="1"/>
  <c r="BR150" i="44" s="1"/>
  <c r="BS150" i="44" s="1"/>
  <c r="BT150" i="44" s="1"/>
  <c r="BU150" i="44" s="1"/>
  <c r="BV150" i="44" s="1"/>
  <c r="BW150" i="44" s="1"/>
  <c r="BX150" i="44" s="1"/>
  <c r="BY150" i="44" s="1"/>
  <c r="BZ150" i="44" s="1"/>
  <c r="CA150" i="44" s="1"/>
  <c r="CB150" i="44" s="1"/>
  <c r="CC150" i="44" s="1"/>
  <c r="CD150" i="44" s="1"/>
  <c r="CE150" i="44" s="1"/>
  <c r="AH149" i="44"/>
  <c r="AI149" i="44" s="1"/>
  <c r="AJ149" i="44" s="1"/>
  <c r="AK149" i="44" s="1"/>
  <c r="AL149" i="44" s="1"/>
  <c r="AM149" i="44" s="1"/>
  <c r="AN149" i="44" s="1"/>
  <c r="AO149" i="44" s="1"/>
  <c r="AP149" i="44" s="1"/>
  <c r="AQ149" i="44" s="1"/>
  <c r="AR149" i="44" s="1"/>
  <c r="AS149" i="44" s="1"/>
  <c r="AT149" i="44" s="1"/>
  <c r="AU149" i="44" s="1"/>
  <c r="AV149" i="44" s="1"/>
  <c r="AW149" i="44" s="1"/>
  <c r="AX149" i="44" s="1"/>
  <c r="AY149" i="44" s="1"/>
  <c r="AZ149" i="44" s="1"/>
  <c r="BA149" i="44" s="1"/>
  <c r="BB149" i="44" s="1"/>
  <c r="BC149" i="44" s="1"/>
  <c r="BD149" i="44" s="1"/>
  <c r="BE149" i="44" s="1"/>
  <c r="BF149" i="44" s="1"/>
  <c r="BG149" i="44" s="1"/>
  <c r="BH149" i="44" s="1"/>
  <c r="BI149" i="44" s="1"/>
  <c r="BJ149" i="44" s="1"/>
  <c r="BK149" i="44" s="1"/>
  <c r="BL149" i="44" s="1"/>
  <c r="BM149" i="44" s="1"/>
  <c r="BN149" i="44" s="1"/>
  <c r="BO149" i="44" s="1"/>
  <c r="BP149" i="44" s="1"/>
  <c r="BQ149" i="44" s="1"/>
  <c r="BR149" i="44" s="1"/>
  <c r="BS149" i="44" s="1"/>
  <c r="BT149" i="44" s="1"/>
  <c r="BU149" i="44" s="1"/>
  <c r="BV149" i="44" s="1"/>
  <c r="BW149" i="44" s="1"/>
  <c r="BX149" i="44" s="1"/>
  <c r="BY149" i="44" s="1"/>
  <c r="BZ149" i="44" s="1"/>
  <c r="CA149" i="44" s="1"/>
  <c r="CB149" i="44" s="1"/>
  <c r="CC149" i="44" s="1"/>
  <c r="CD149" i="44" s="1"/>
  <c r="CE149" i="44" s="1"/>
  <c r="AH148" i="44"/>
  <c r="AI148" i="44" s="1"/>
  <c r="AJ148" i="44" s="1"/>
  <c r="AK148" i="44" s="1"/>
  <c r="AL148" i="44" s="1"/>
  <c r="AM148" i="44" s="1"/>
  <c r="AN148" i="44" s="1"/>
  <c r="AO148" i="44" s="1"/>
  <c r="AP148" i="44" s="1"/>
  <c r="AQ148" i="44" s="1"/>
  <c r="AR148" i="44" s="1"/>
  <c r="AS148" i="44" s="1"/>
  <c r="AT148" i="44" s="1"/>
  <c r="AU148" i="44" s="1"/>
  <c r="AV148" i="44" s="1"/>
  <c r="AW148" i="44" s="1"/>
  <c r="AX148" i="44" s="1"/>
  <c r="AY148" i="44" s="1"/>
  <c r="AZ148" i="44" s="1"/>
  <c r="BA148" i="44" s="1"/>
  <c r="BB148" i="44" s="1"/>
  <c r="BC148" i="44" s="1"/>
  <c r="BD148" i="44" s="1"/>
  <c r="BE148" i="44" s="1"/>
  <c r="BF148" i="44" s="1"/>
  <c r="BG148" i="44" s="1"/>
  <c r="BH148" i="44" s="1"/>
  <c r="BI148" i="44" s="1"/>
  <c r="BJ148" i="44" s="1"/>
  <c r="BK148" i="44" s="1"/>
  <c r="BL148" i="44" s="1"/>
  <c r="BM148" i="44" s="1"/>
  <c r="BN148" i="44" s="1"/>
  <c r="BO148" i="44" s="1"/>
  <c r="BP148" i="44" s="1"/>
  <c r="BQ148" i="44" s="1"/>
  <c r="BR148" i="44" s="1"/>
  <c r="BS148" i="44" s="1"/>
  <c r="BT148" i="44" s="1"/>
  <c r="BU148" i="44" s="1"/>
  <c r="BV148" i="44" s="1"/>
  <c r="BW148" i="44" s="1"/>
  <c r="BX148" i="44" s="1"/>
  <c r="BY148" i="44" s="1"/>
  <c r="BZ148" i="44" s="1"/>
  <c r="CA148" i="44" s="1"/>
  <c r="CB148" i="44" s="1"/>
  <c r="CC148" i="44" s="1"/>
  <c r="CD148" i="44" s="1"/>
  <c r="CE148" i="44" s="1"/>
  <c r="AH147" i="44"/>
  <c r="AI147" i="44" s="1"/>
  <c r="AJ147" i="44" s="1"/>
  <c r="AK147" i="44" s="1"/>
  <c r="AL147" i="44" s="1"/>
  <c r="AM147" i="44" s="1"/>
  <c r="AN147" i="44" s="1"/>
  <c r="AO147" i="44" s="1"/>
  <c r="AP147" i="44" s="1"/>
  <c r="AQ147" i="44" s="1"/>
  <c r="AR147" i="44" s="1"/>
  <c r="AS147" i="44" s="1"/>
  <c r="AT147" i="44" s="1"/>
  <c r="AU147" i="44" s="1"/>
  <c r="AV147" i="44" s="1"/>
  <c r="AW147" i="44" s="1"/>
  <c r="AX147" i="44" s="1"/>
  <c r="AY147" i="44" s="1"/>
  <c r="AZ147" i="44" s="1"/>
  <c r="BA147" i="44" s="1"/>
  <c r="BB147" i="44" s="1"/>
  <c r="BC147" i="44" s="1"/>
  <c r="BD147" i="44" s="1"/>
  <c r="BE147" i="44" s="1"/>
  <c r="BF147" i="44" s="1"/>
  <c r="BG147" i="44" s="1"/>
  <c r="BH147" i="44" s="1"/>
  <c r="BI147" i="44" s="1"/>
  <c r="BJ147" i="44" s="1"/>
  <c r="BK147" i="44" s="1"/>
  <c r="BL147" i="44" s="1"/>
  <c r="BM147" i="44" s="1"/>
  <c r="BN147" i="44" s="1"/>
  <c r="BO147" i="44" s="1"/>
  <c r="BP147" i="44" s="1"/>
  <c r="BQ147" i="44" s="1"/>
  <c r="BR147" i="44" s="1"/>
  <c r="BS147" i="44" s="1"/>
  <c r="BT147" i="44" s="1"/>
  <c r="BU147" i="44" s="1"/>
  <c r="BV147" i="44" s="1"/>
  <c r="BW147" i="44" s="1"/>
  <c r="BX147" i="44" s="1"/>
  <c r="BY147" i="44" s="1"/>
  <c r="BZ147" i="44" s="1"/>
  <c r="CA147" i="44" s="1"/>
  <c r="CB147" i="44" s="1"/>
  <c r="CC147" i="44" s="1"/>
  <c r="CD147" i="44" s="1"/>
  <c r="CE147" i="44" s="1"/>
  <c r="AH146" i="44"/>
  <c r="AI146" i="44" s="1"/>
  <c r="AJ146" i="44" s="1"/>
  <c r="AK146" i="44" s="1"/>
  <c r="AL146" i="44" s="1"/>
  <c r="AM146" i="44" s="1"/>
  <c r="AN146" i="44" s="1"/>
  <c r="AO146" i="44" s="1"/>
  <c r="AP146" i="44" s="1"/>
  <c r="AQ146" i="44" s="1"/>
  <c r="AR146" i="44" s="1"/>
  <c r="AS146" i="44" s="1"/>
  <c r="AT146" i="44" s="1"/>
  <c r="AU146" i="44" s="1"/>
  <c r="AV146" i="44" s="1"/>
  <c r="AW146" i="44" s="1"/>
  <c r="AX146" i="44" s="1"/>
  <c r="AY146" i="44" s="1"/>
  <c r="AZ146" i="44" s="1"/>
  <c r="BA146" i="44" s="1"/>
  <c r="BB146" i="44" s="1"/>
  <c r="BC146" i="44" s="1"/>
  <c r="BD146" i="44" s="1"/>
  <c r="BE146" i="44" s="1"/>
  <c r="BF146" i="44" s="1"/>
  <c r="BG146" i="44" s="1"/>
  <c r="BH146" i="44" s="1"/>
  <c r="BI146" i="44" s="1"/>
  <c r="BJ146" i="44" s="1"/>
  <c r="BK146" i="44" s="1"/>
  <c r="BL146" i="44" s="1"/>
  <c r="BM146" i="44" s="1"/>
  <c r="BN146" i="44" s="1"/>
  <c r="BO146" i="44" s="1"/>
  <c r="BP146" i="44" s="1"/>
  <c r="BQ146" i="44" s="1"/>
  <c r="BR146" i="44" s="1"/>
  <c r="BS146" i="44" s="1"/>
  <c r="BT146" i="44" s="1"/>
  <c r="BU146" i="44" s="1"/>
  <c r="BV146" i="44" s="1"/>
  <c r="BW146" i="44" s="1"/>
  <c r="BX146" i="44" s="1"/>
  <c r="BY146" i="44" s="1"/>
  <c r="BZ146" i="44" s="1"/>
  <c r="CA146" i="44" s="1"/>
  <c r="CB146" i="44" s="1"/>
  <c r="CC146" i="44" s="1"/>
  <c r="CD146" i="44" s="1"/>
  <c r="CE146" i="44" s="1"/>
  <c r="AH145" i="44"/>
  <c r="AI145" i="44" s="1"/>
  <c r="AJ145" i="44" s="1"/>
  <c r="AK145" i="44" s="1"/>
  <c r="AL145" i="44" s="1"/>
  <c r="AM145" i="44" s="1"/>
  <c r="AN145" i="44" s="1"/>
  <c r="AO145" i="44" s="1"/>
  <c r="AP145" i="44" s="1"/>
  <c r="AQ145" i="44" s="1"/>
  <c r="AR145" i="44" s="1"/>
  <c r="AS145" i="44" s="1"/>
  <c r="AT145" i="44" s="1"/>
  <c r="AU145" i="44" s="1"/>
  <c r="AV145" i="44" s="1"/>
  <c r="AW145" i="44" s="1"/>
  <c r="AX145" i="44" s="1"/>
  <c r="AY145" i="44" s="1"/>
  <c r="AZ145" i="44" s="1"/>
  <c r="BA145" i="44" s="1"/>
  <c r="BB145" i="44" s="1"/>
  <c r="BC145" i="44" s="1"/>
  <c r="BD145" i="44" s="1"/>
  <c r="BE145" i="44" s="1"/>
  <c r="BF145" i="44" s="1"/>
  <c r="BG145" i="44" s="1"/>
  <c r="BH145" i="44" s="1"/>
  <c r="BI145" i="44" s="1"/>
  <c r="BJ145" i="44" s="1"/>
  <c r="BK145" i="44" s="1"/>
  <c r="BL145" i="44" s="1"/>
  <c r="BM145" i="44" s="1"/>
  <c r="BN145" i="44" s="1"/>
  <c r="BO145" i="44" s="1"/>
  <c r="BP145" i="44" s="1"/>
  <c r="BQ145" i="44" s="1"/>
  <c r="BR145" i="44" s="1"/>
  <c r="BS145" i="44" s="1"/>
  <c r="BT145" i="44" s="1"/>
  <c r="BU145" i="44" s="1"/>
  <c r="BV145" i="44" s="1"/>
  <c r="BW145" i="44" s="1"/>
  <c r="BX145" i="44" s="1"/>
  <c r="BY145" i="44" s="1"/>
  <c r="BZ145" i="44" s="1"/>
  <c r="CA145" i="44" s="1"/>
  <c r="CB145" i="44" s="1"/>
  <c r="CC145" i="44" s="1"/>
  <c r="CD145" i="44" s="1"/>
  <c r="CE145" i="44" s="1"/>
  <c r="AH144" i="44"/>
  <c r="AI144" i="44" s="1"/>
  <c r="AJ144" i="44" s="1"/>
  <c r="AK144" i="44" s="1"/>
  <c r="AL144" i="44" s="1"/>
  <c r="AM144" i="44" s="1"/>
  <c r="AN144" i="44" s="1"/>
  <c r="AO144" i="44" s="1"/>
  <c r="AP144" i="44" s="1"/>
  <c r="AQ144" i="44" s="1"/>
  <c r="AR144" i="44" s="1"/>
  <c r="AS144" i="44" s="1"/>
  <c r="AT144" i="44" s="1"/>
  <c r="AU144" i="44" s="1"/>
  <c r="AV144" i="44" s="1"/>
  <c r="AW144" i="44" s="1"/>
  <c r="AX144" i="44" s="1"/>
  <c r="AY144" i="44" s="1"/>
  <c r="AZ144" i="44" s="1"/>
  <c r="BA144" i="44" s="1"/>
  <c r="BB144" i="44" s="1"/>
  <c r="BC144" i="44" s="1"/>
  <c r="BD144" i="44" s="1"/>
  <c r="BE144" i="44" s="1"/>
  <c r="BF144" i="44" s="1"/>
  <c r="BG144" i="44" s="1"/>
  <c r="BH144" i="44" s="1"/>
  <c r="BI144" i="44" s="1"/>
  <c r="BJ144" i="44" s="1"/>
  <c r="BK144" i="44" s="1"/>
  <c r="BL144" i="44" s="1"/>
  <c r="BM144" i="44" s="1"/>
  <c r="BN144" i="44" s="1"/>
  <c r="BO144" i="44" s="1"/>
  <c r="BP144" i="44" s="1"/>
  <c r="BQ144" i="44" s="1"/>
  <c r="BR144" i="44" s="1"/>
  <c r="BS144" i="44" s="1"/>
  <c r="BT144" i="44" s="1"/>
  <c r="BU144" i="44" s="1"/>
  <c r="BV144" i="44" s="1"/>
  <c r="BW144" i="44" s="1"/>
  <c r="BX144" i="44" s="1"/>
  <c r="BY144" i="44" s="1"/>
  <c r="BZ144" i="44" s="1"/>
  <c r="CA144" i="44" s="1"/>
  <c r="CB144" i="44" s="1"/>
  <c r="CC144" i="44" s="1"/>
  <c r="CD144" i="44" s="1"/>
  <c r="CE144" i="44" s="1"/>
  <c r="AH142" i="44"/>
  <c r="AI142" i="44" s="1"/>
  <c r="AJ142" i="44" s="1"/>
  <c r="AK142" i="44" s="1"/>
  <c r="AL142" i="44" s="1"/>
  <c r="AM142" i="44" s="1"/>
  <c r="AN142" i="44" s="1"/>
  <c r="AO142" i="44" s="1"/>
  <c r="AP142" i="44" s="1"/>
  <c r="AQ142" i="44" s="1"/>
  <c r="AR142" i="44" s="1"/>
  <c r="AS142" i="44" s="1"/>
  <c r="AT142" i="44" s="1"/>
  <c r="AU142" i="44" s="1"/>
  <c r="AV142" i="44" s="1"/>
  <c r="AW142" i="44" s="1"/>
  <c r="AX142" i="44" s="1"/>
  <c r="AY142" i="44" s="1"/>
  <c r="AZ142" i="44" s="1"/>
  <c r="BA142" i="44" s="1"/>
  <c r="BB142" i="44" s="1"/>
  <c r="BC142" i="44" s="1"/>
  <c r="BD142" i="44" s="1"/>
  <c r="BE142" i="44" s="1"/>
  <c r="BF142" i="44" s="1"/>
  <c r="BG142" i="44" s="1"/>
  <c r="BH142" i="44" s="1"/>
  <c r="BI142" i="44" s="1"/>
  <c r="BJ142" i="44" s="1"/>
  <c r="BK142" i="44" s="1"/>
  <c r="BL142" i="44" s="1"/>
  <c r="BM142" i="44" s="1"/>
  <c r="BN142" i="44" s="1"/>
  <c r="BO142" i="44" s="1"/>
  <c r="BP142" i="44" s="1"/>
  <c r="BQ142" i="44" s="1"/>
  <c r="BR142" i="44" s="1"/>
  <c r="BS142" i="44" s="1"/>
  <c r="BT142" i="44" s="1"/>
  <c r="BU142" i="44" s="1"/>
  <c r="BV142" i="44" s="1"/>
  <c r="BW142" i="44" s="1"/>
  <c r="BX142" i="44" s="1"/>
  <c r="BY142" i="44" s="1"/>
  <c r="BZ142" i="44" s="1"/>
  <c r="CA142" i="44" s="1"/>
  <c r="CB142" i="44" s="1"/>
  <c r="CC142" i="44" s="1"/>
  <c r="CD142" i="44" s="1"/>
  <c r="CE142" i="44" s="1"/>
  <c r="AH141" i="44"/>
  <c r="AI141" i="44" s="1"/>
  <c r="AJ141" i="44" s="1"/>
  <c r="AK141" i="44" s="1"/>
  <c r="AL141" i="44" s="1"/>
  <c r="AM141" i="44" s="1"/>
  <c r="AN141" i="44" s="1"/>
  <c r="AO141" i="44" s="1"/>
  <c r="AP141" i="44" s="1"/>
  <c r="AQ141" i="44" s="1"/>
  <c r="AR141" i="44" s="1"/>
  <c r="AS141" i="44" s="1"/>
  <c r="AT141" i="44" s="1"/>
  <c r="AU141" i="44" s="1"/>
  <c r="AV141" i="44" s="1"/>
  <c r="AW141" i="44" s="1"/>
  <c r="AX141" i="44" s="1"/>
  <c r="AY141" i="44" s="1"/>
  <c r="AZ141" i="44" s="1"/>
  <c r="BA141" i="44" s="1"/>
  <c r="BB141" i="44" s="1"/>
  <c r="BC141" i="44" s="1"/>
  <c r="BD141" i="44" s="1"/>
  <c r="BE141" i="44" s="1"/>
  <c r="BF141" i="44" s="1"/>
  <c r="BG141" i="44" s="1"/>
  <c r="BH141" i="44" s="1"/>
  <c r="BI141" i="44" s="1"/>
  <c r="BJ141" i="44" s="1"/>
  <c r="BK141" i="44" s="1"/>
  <c r="BL141" i="44" s="1"/>
  <c r="BM141" i="44" s="1"/>
  <c r="BN141" i="44" s="1"/>
  <c r="BO141" i="44" s="1"/>
  <c r="BP141" i="44" s="1"/>
  <c r="BQ141" i="44" s="1"/>
  <c r="BR141" i="44" s="1"/>
  <c r="BS141" i="44" s="1"/>
  <c r="BT141" i="44" s="1"/>
  <c r="BU141" i="44" s="1"/>
  <c r="BV141" i="44" s="1"/>
  <c r="BW141" i="44" s="1"/>
  <c r="BX141" i="44" s="1"/>
  <c r="BY141" i="44" s="1"/>
  <c r="BZ141" i="44" s="1"/>
  <c r="CA141" i="44" s="1"/>
  <c r="CB141" i="44" s="1"/>
  <c r="CC141" i="44" s="1"/>
  <c r="CD141" i="44" s="1"/>
  <c r="CE141" i="44" s="1"/>
  <c r="AH139" i="44"/>
  <c r="AI139" i="44" s="1"/>
  <c r="AJ139" i="44" s="1"/>
  <c r="AK139" i="44" s="1"/>
  <c r="AL139" i="44" s="1"/>
  <c r="AM139" i="44" s="1"/>
  <c r="AN139" i="44" s="1"/>
  <c r="AO139" i="44" s="1"/>
  <c r="AP139" i="44" s="1"/>
  <c r="AQ139" i="44" s="1"/>
  <c r="AR139" i="44" s="1"/>
  <c r="AS139" i="44" s="1"/>
  <c r="AT139" i="44" s="1"/>
  <c r="AU139" i="44" s="1"/>
  <c r="AV139" i="44" s="1"/>
  <c r="AW139" i="44" s="1"/>
  <c r="AX139" i="44" s="1"/>
  <c r="AY139" i="44" s="1"/>
  <c r="AZ139" i="44" s="1"/>
  <c r="BA139" i="44" s="1"/>
  <c r="BB139" i="44" s="1"/>
  <c r="BC139" i="44" s="1"/>
  <c r="BD139" i="44" s="1"/>
  <c r="BE139" i="44" s="1"/>
  <c r="BF139" i="44" s="1"/>
  <c r="BG139" i="44" s="1"/>
  <c r="BH139" i="44" s="1"/>
  <c r="BI139" i="44" s="1"/>
  <c r="BJ139" i="44" s="1"/>
  <c r="BK139" i="44" s="1"/>
  <c r="BL139" i="44" s="1"/>
  <c r="BM139" i="44" s="1"/>
  <c r="BN139" i="44" s="1"/>
  <c r="BO139" i="44" s="1"/>
  <c r="BP139" i="44" s="1"/>
  <c r="BQ139" i="44" s="1"/>
  <c r="BR139" i="44" s="1"/>
  <c r="BS139" i="44" s="1"/>
  <c r="BT139" i="44" s="1"/>
  <c r="BU139" i="44" s="1"/>
  <c r="BV139" i="44" s="1"/>
  <c r="BW139" i="44" s="1"/>
  <c r="BX139" i="44" s="1"/>
  <c r="BY139" i="44" s="1"/>
  <c r="BZ139" i="44" s="1"/>
  <c r="CA139" i="44" s="1"/>
  <c r="CB139" i="44" s="1"/>
  <c r="CC139" i="44" s="1"/>
  <c r="CD139" i="44" s="1"/>
  <c r="CE139" i="44" s="1"/>
  <c r="AH138" i="44"/>
  <c r="AI138" i="44" s="1"/>
  <c r="AJ138" i="44" s="1"/>
  <c r="AK138" i="44" s="1"/>
  <c r="AL138" i="44" s="1"/>
  <c r="AM138" i="44" s="1"/>
  <c r="AN138" i="44" s="1"/>
  <c r="AO138" i="44" s="1"/>
  <c r="AP138" i="44" s="1"/>
  <c r="AQ138" i="44" s="1"/>
  <c r="AR138" i="44" s="1"/>
  <c r="AS138" i="44" s="1"/>
  <c r="AT138" i="44" s="1"/>
  <c r="AU138" i="44" s="1"/>
  <c r="AV138" i="44" s="1"/>
  <c r="AW138" i="44" s="1"/>
  <c r="AX138" i="44" s="1"/>
  <c r="AY138" i="44" s="1"/>
  <c r="AZ138" i="44" s="1"/>
  <c r="BA138" i="44" s="1"/>
  <c r="BB138" i="44" s="1"/>
  <c r="BC138" i="44" s="1"/>
  <c r="BD138" i="44" s="1"/>
  <c r="BE138" i="44" s="1"/>
  <c r="BF138" i="44" s="1"/>
  <c r="BG138" i="44" s="1"/>
  <c r="BH138" i="44" s="1"/>
  <c r="BI138" i="44" s="1"/>
  <c r="BJ138" i="44" s="1"/>
  <c r="BK138" i="44" s="1"/>
  <c r="BL138" i="44" s="1"/>
  <c r="BM138" i="44" s="1"/>
  <c r="BN138" i="44" s="1"/>
  <c r="BO138" i="44" s="1"/>
  <c r="BP138" i="44" s="1"/>
  <c r="BQ138" i="44" s="1"/>
  <c r="BR138" i="44" s="1"/>
  <c r="BS138" i="44" s="1"/>
  <c r="BT138" i="44" s="1"/>
  <c r="BU138" i="44" s="1"/>
  <c r="BV138" i="44" s="1"/>
  <c r="BW138" i="44" s="1"/>
  <c r="BX138" i="44" s="1"/>
  <c r="BY138" i="44" s="1"/>
  <c r="BZ138" i="44" s="1"/>
  <c r="CA138" i="44" s="1"/>
  <c r="CB138" i="44" s="1"/>
  <c r="CC138" i="44" s="1"/>
  <c r="CD138" i="44" s="1"/>
  <c r="CE138" i="44" s="1"/>
  <c r="AH137" i="44"/>
  <c r="AI137" i="44" s="1"/>
  <c r="AJ137" i="44" s="1"/>
  <c r="AK137" i="44" s="1"/>
  <c r="AL137" i="44" s="1"/>
  <c r="AM137" i="44" s="1"/>
  <c r="AN137" i="44" s="1"/>
  <c r="AO137" i="44" s="1"/>
  <c r="AP137" i="44" s="1"/>
  <c r="AQ137" i="44" s="1"/>
  <c r="AR137" i="44" s="1"/>
  <c r="AS137" i="44" s="1"/>
  <c r="AT137" i="44" s="1"/>
  <c r="AU137" i="44" s="1"/>
  <c r="AV137" i="44" s="1"/>
  <c r="AW137" i="44" s="1"/>
  <c r="AX137" i="44" s="1"/>
  <c r="AY137" i="44" s="1"/>
  <c r="AZ137" i="44" s="1"/>
  <c r="BA137" i="44" s="1"/>
  <c r="BB137" i="44" s="1"/>
  <c r="BC137" i="44" s="1"/>
  <c r="BD137" i="44" s="1"/>
  <c r="BE137" i="44" s="1"/>
  <c r="BF137" i="44" s="1"/>
  <c r="BG137" i="44" s="1"/>
  <c r="BH137" i="44" s="1"/>
  <c r="BI137" i="44" s="1"/>
  <c r="BJ137" i="44" s="1"/>
  <c r="BK137" i="44" s="1"/>
  <c r="BL137" i="44" s="1"/>
  <c r="BM137" i="44" s="1"/>
  <c r="BN137" i="44" s="1"/>
  <c r="BO137" i="44" s="1"/>
  <c r="BP137" i="44" s="1"/>
  <c r="BQ137" i="44" s="1"/>
  <c r="BR137" i="44" s="1"/>
  <c r="BS137" i="44" s="1"/>
  <c r="BT137" i="44" s="1"/>
  <c r="BU137" i="44" s="1"/>
  <c r="BV137" i="44" s="1"/>
  <c r="BW137" i="44" s="1"/>
  <c r="BX137" i="44" s="1"/>
  <c r="BY137" i="44" s="1"/>
  <c r="BZ137" i="44" s="1"/>
  <c r="CA137" i="44" s="1"/>
  <c r="CB137" i="44" s="1"/>
  <c r="CC137" i="44" s="1"/>
  <c r="CD137" i="44" s="1"/>
  <c r="CE137" i="44" s="1"/>
  <c r="AH136" i="44"/>
  <c r="AI136" i="44" s="1"/>
  <c r="AJ136" i="44" s="1"/>
  <c r="AK136" i="44" s="1"/>
  <c r="AL136" i="44" s="1"/>
  <c r="AM136" i="44" s="1"/>
  <c r="AN136" i="44" s="1"/>
  <c r="AO136" i="44" s="1"/>
  <c r="AP136" i="44" s="1"/>
  <c r="AQ136" i="44" s="1"/>
  <c r="AR136" i="44" s="1"/>
  <c r="AS136" i="44" s="1"/>
  <c r="AT136" i="44" s="1"/>
  <c r="AU136" i="44" s="1"/>
  <c r="AV136" i="44" s="1"/>
  <c r="AW136" i="44" s="1"/>
  <c r="AX136" i="44" s="1"/>
  <c r="AY136" i="44" s="1"/>
  <c r="AZ136" i="44" s="1"/>
  <c r="BA136" i="44" s="1"/>
  <c r="BB136" i="44" s="1"/>
  <c r="BC136" i="44" s="1"/>
  <c r="BD136" i="44" s="1"/>
  <c r="BE136" i="44" s="1"/>
  <c r="BF136" i="44" s="1"/>
  <c r="BG136" i="44" s="1"/>
  <c r="BH136" i="44" s="1"/>
  <c r="BI136" i="44" s="1"/>
  <c r="BJ136" i="44" s="1"/>
  <c r="BK136" i="44" s="1"/>
  <c r="BL136" i="44" s="1"/>
  <c r="BM136" i="44" s="1"/>
  <c r="BN136" i="44" s="1"/>
  <c r="BO136" i="44" s="1"/>
  <c r="BP136" i="44" s="1"/>
  <c r="BQ136" i="44" s="1"/>
  <c r="BR136" i="44" s="1"/>
  <c r="BS136" i="44" s="1"/>
  <c r="BT136" i="44" s="1"/>
  <c r="BU136" i="44" s="1"/>
  <c r="BV136" i="44" s="1"/>
  <c r="BW136" i="44" s="1"/>
  <c r="BX136" i="44" s="1"/>
  <c r="BY136" i="44" s="1"/>
  <c r="BZ136" i="44" s="1"/>
  <c r="CA136" i="44" s="1"/>
  <c r="CB136" i="44" s="1"/>
  <c r="CC136" i="44" s="1"/>
  <c r="CD136" i="44" s="1"/>
  <c r="CE136" i="44" s="1"/>
  <c r="AH135" i="44"/>
  <c r="AI135" i="44" s="1"/>
  <c r="AJ135" i="44" s="1"/>
  <c r="AK135" i="44" s="1"/>
  <c r="AL135" i="44" s="1"/>
  <c r="AM135" i="44" s="1"/>
  <c r="AN135" i="44" s="1"/>
  <c r="AO135" i="44" s="1"/>
  <c r="AP135" i="44" s="1"/>
  <c r="AQ135" i="44" s="1"/>
  <c r="AR135" i="44" s="1"/>
  <c r="AS135" i="44" s="1"/>
  <c r="AT135" i="44" s="1"/>
  <c r="AU135" i="44" s="1"/>
  <c r="AV135" i="44" s="1"/>
  <c r="AW135" i="44" s="1"/>
  <c r="AX135" i="44" s="1"/>
  <c r="AY135" i="44" s="1"/>
  <c r="AZ135" i="44" s="1"/>
  <c r="BA135" i="44" s="1"/>
  <c r="BB135" i="44" s="1"/>
  <c r="BC135" i="44" s="1"/>
  <c r="BD135" i="44" s="1"/>
  <c r="BE135" i="44" s="1"/>
  <c r="BF135" i="44" s="1"/>
  <c r="BG135" i="44" s="1"/>
  <c r="BH135" i="44" s="1"/>
  <c r="BI135" i="44" s="1"/>
  <c r="BJ135" i="44" s="1"/>
  <c r="BK135" i="44" s="1"/>
  <c r="BL135" i="44" s="1"/>
  <c r="BM135" i="44" s="1"/>
  <c r="BN135" i="44" s="1"/>
  <c r="BO135" i="44" s="1"/>
  <c r="BP135" i="44" s="1"/>
  <c r="BQ135" i="44" s="1"/>
  <c r="BR135" i="44" s="1"/>
  <c r="BS135" i="44" s="1"/>
  <c r="BT135" i="44" s="1"/>
  <c r="BU135" i="44" s="1"/>
  <c r="BV135" i="44" s="1"/>
  <c r="BW135" i="44" s="1"/>
  <c r="BX135" i="44" s="1"/>
  <c r="BY135" i="44" s="1"/>
  <c r="BZ135" i="44" s="1"/>
  <c r="CA135" i="44" s="1"/>
  <c r="CB135" i="44" s="1"/>
  <c r="CC135" i="44" s="1"/>
  <c r="CD135" i="44" s="1"/>
  <c r="CE135" i="44" s="1"/>
  <c r="AH134" i="44"/>
  <c r="AI134" i="44" s="1"/>
  <c r="AJ134" i="44" s="1"/>
  <c r="AK134" i="44" s="1"/>
  <c r="AL134" i="44" s="1"/>
  <c r="AM134" i="44" s="1"/>
  <c r="AN134" i="44" s="1"/>
  <c r="AO134" i="44" s="1"/>
  <c r="AP134" i="44" s="1"/>
  <c r="AQ134" i="44" s="1"/>
  <c r="AR134" i="44" s="1"/>
  <c r="AS134" i="44" s="1"/>
  <c r="AT134" i="44" s="1"/>
  <c r="AU134" i="44" s="1"/>
  <c r="AV134" i="44" s="1"/>
  <c r="AW134" i="44" s="1"/>
  <c r="AX134" i="44" s="1"/>
  <c r="AY134" i="44" s="1"/>
  <c r="AZ134" i="44" s="1"/>
  <c r="BA134" i="44" s="1"/>
  <c r="BB134" i="44" s="1"/>
  <c r="BC134" i="44" s="1"/>
  <c r="BD134" i="44" s="1"/>
  <c r="BE134" i="44" s="1"/>
  <c r="BF134" i="44" s="1"/>
  <c r="BG134" i="44" s="1"/>
  <c r="BH134" i="44" s="1"/>
  <c r="BI134" i="44" s="1"/>
  <c r="BJ134" i="44" s="1"/>
  <c r="BK134" i="44" s="1"/>
  <c r="BL134" i="44" s="1"/>
  <c r="BM134" i="44" s="1"/>
  <c r="BN134" i="44" s="1"/>
  <c r="BO134" i="44" s="1"/>
  <c r="BP134" i="44" s="1"/>
  <c r="BQ134" i="44" s="1"/>
  <c r="BR134" i="44" s="1"/>
  <c r="BS134" i="44" s="1"/>
  <c r="BT134" i="44" s="1"/>
  <c r="BU134" i="44" s="1"/>
  <c r="BV134" i="44" s="1"/>
  <c r="BW134" i="44" s="1"/>
  <c r="BX134" i="44" s="1"/>
  <c r="BY134" i="44" s="1"/>
  <c r="BZ134" i="44" s="1"/>
  <c r="CA134" i="44" s="1"/>
  <c r="CB134" i="44" s="1"/>
  <c r="CC134" i="44" s="1"/>
  <c r="CD134" i="44" s="1"/>
  <c r="CE134" i="44" s="1"/>
  <c r="AH133" i="44"/>
  <c r="AI133" i="44" s="1"/>
  <c r="AJ133" i="44" s="1"/>
  <c r="AK133" i="44" s="1"/>
  <c r="AL133" i="44" s="1"/>
  <c r="AM133" i="44" s="1"/>
  <c r="AN133" i="44" s="1"/>
  <c r="AO133" i="44" s="1"/>
  <c r="AP133" i="44" s="1"/>
  <c r="AQ133" i="44" s="1"/>
  <c r="AR133" i="44" s="1"/>
  <c r="AS133" i="44" s="1"/>
  <c r="AT133" i="44" s="1"/>
  <c r="AU133" i="44" s="1"/>
  <c r="AV133" i="44" s="1"/>
  <c r="AW133" i="44" s="1"/>
  <c r="AX133" i="44" s="1"/>
  <c r="AY133" i="44" s="1"/>
  <c r="AZ133" i="44" s="1"/>
  <c r="BA133" i="44" s="1"/>
  <c r="BB133" i="44" s="1"/>
  <c r="BC133" i="44" s="1"/>
  <c r="BD133" i="44" s="1"/>
  <c r="BE133" i="44" s="1"/>
  <c r="BF133" i="44" s="1"/>
  <c r="BG133" i="44" s="1"/>
  <c r="BH133" i="44" s="1"/>
  <c r="BI133" i="44" s="1"/>
  <c r="BJ133" i="44" s="1"/>
  <c r="BK133" i="44" s="1"/>
  <c r="BL133" i="44" s="1"/>
  <c r="BM133" i="44" s="1"/>
  <c r="BN133" i="44" s="1"/>
  <c r="BO133" i="44" s="1"/>
  <c r="BP133" i="44" s="1"/>
  <c r="BQ133" i="44" s="1"/>
  <c r="BR133" i="44" s="1"/>
  <c r="BS133" i="44" s="1"/>
  <c r="BT133" i="44" s="1"/>
  <c r="BU133" i="44" s="1"/>
  <c r="BV133" i="44" s="1"/>
  <c r="BW133" i="44" s="1"/>
  <c r="BX133" i="44" s="1"/>
  <c r="BY133" i="44" s="1"/>
  <c r="BZ133" i="44" s="1"/>
  <c r="CA133" i="44" s="1"/>
  <c r="CB133" i="44" s="1"/>
  <c r="CC133" i="44" s="1"/>
  <c r="CD133" i="44" s="1"/>
  <c r="CE133" i="44" s="1"/>
  <c r="AH132" i="44"/>
  <c r="AI132" i="44" s="1"/>
  <c r="AJ132" i="44" s="1"/>
  <c r="AK132" i="44" s="1"/>
  <c r="AL132" i="44" s="1"/>
  <c r="AM132" i="44" s="1"/>
  <c r="AN132" i="44" s="1"/>
  <c r="AO132" i="44" s="1"/>
  <c r="AP132" i="44" s="1"/>
  <c r="AQ132" i="44" s="1"/>
  <c r="AR132" i="44" s="1"/>
  <c r="AS132" i="44" s="1"/>
  <c r="AT132" i="44" s="1"/>
  <c r="AU132" i="44" s="1"/>
  <c r="AV132" i="44" s="1"/>
  <c r="AW132" i="44" s="1"/>
  <c r="AX132" i="44" s="1"/>
  <c r="AY132" i="44" s="1"/>
  <c r="AZ132" i="44" s="1"/>
  <c r="BA132" i="44" s="1"/>
  <c r="BB132" i="44" s="1"/>
  <c r="BC132" i="44" s="1"/>
  <c r="BD132" i="44" s="1"/>
  <c r="BE132" i="44" s="1"/>
  <c r="BF132" i="44" s="1"/>
  <c r="BG132" i="44" s="1"/>
  <c r="BH132" i="44" s="1"/>
  <c r="BI132" i="44" s="1"/>
  <c r="BJ132" i="44" s="1"/>
  <c r="BK132" i="44" s="1"/>
  <c r="BL132" i="44" s="1"/>
  <c r="BM132" i="44" s="1"/>
  <c r="BN132" i="44" s="1"/>
  <c r="BO132" i="44" s="1"/>
  <c r="BP132" i="44" s="1"/>
  <c r="BQ132" i="44" s="1"/>
  <c r="BR132" i="44" s="1"/>
  <c r="BS132" i="44" s="1"/>
  <c r="BT132" i="44" s="1"/>
  <c r="BU132" i="44" s="1"/>
  <c r="BV132" i="44" s="1"/>
  <c r="BW132" i="44" s="1"/>
  <c r="BX132" i="44" s="1"/>
  <c r="BY132" i="44" s="1"/>
  <c r="BZ132" i="44" s="1"/>
  <c r="CA132" i="44" s="1"/>
  <c r="CB132" i="44" s="1"/>
  <c r="CC132" i="44" s="1"/>
  <c r="CD132" i="44" s="1"/>
  <c r="CE132" i="44" s="1"/>
  <c r="AH131" i="44"/>
  <c r="AI131" i="44" s="1"/>
  <c r="AJ131" i="44" s="1"/>
  <c r="AK131" i="44" s="1"/>
  <c r="AL131" i="44" s="1"/>
  <c r="AM131" i="44" s="1"/>
  <c r="AN131" i="44" s="1"/>
  <c r="AO131" i="44" s="1"/>
  <c r="AP131" i="44" s="1"/>
  <c r="AQ131" i="44" s="1"/>
  <c r="AR131" i="44" s="1"/>
  <c r="AS131" i="44" s="1"/>
  <c r="AT131" i="44" s="1"/>
  <c r="AU131" i="44" s="1"/>
  <c r="AV131" i="44" s="1"/>
  <c r="AW131" i="44" s="1"/>
  <c r="AX131" i="44" s="1"/>
  <c r="AY131" i="44" s="1"/>
  <c r="AZ131" i="44" s="1"/>
  <c r="BA131" i="44" s="1"/>
  <c r="BB131" i="44" s="1"/>
  <c r="BC131" i="44" s="1"/>
  <c r="BD131" i="44" s="1"/>
  <c r="BE131" i="44" s="1"/>
  <c r="BF131" i="44" s="1"/>
  <c r="BG131" i="44" s="1"/>
  <c r="BH131" i="44" s="1"/>
  <c r="BI131" i="44" s="1"/>
  <c r="BJ131" i="44" s="1"/>
  <c r="BK131" i="44" s="1"/>
  <c r="BL131" i="44" s="1"/>
  <c r="BM131" i="44" s="1"/>
  <c r="BN131" i="44" s="1"/>
  <c r="BO131" i="44" s="1"/>
  <c r="BP131" i="44" s="1"/>
  <c r="BQ131" i="44" s="1"/>
  <c r="BR131" i="44" s="1"/>
  <c r="BS131" i="44" s="1"/>
  <c r="BT131" i="44" s="1"/>
  <c r="BU131" i="44" s="1"/>
  <c r="BV131" i="44" s="1"/>
  <c r="BW131" i="44" s="1"/>
  <c r="BX131" i="44" s="1"/>
  <c r="BY131" i="44" s="1"/>
  <c r="BZ131" i="44" s="1"/>
  <c r="CA131" i="44" s="1"/>
  <c r="CB131" i="44" s="1"/>
  <c r="CC131" i="44" s="1"/>
  <c r="CD131" i="44" s="1"/>
  <c r="CE131" i="44" s="1"/>
  <c r="AH130" i="44"/>
  <c r="AI130" i="44" s="1"/>
  <c r="AJ130" i="44" s="1"/>
  <c r="AK130" i="44" s="1"/>
  <c r="AL130" i="44" s="1"/>
  <c r="AM130" i="44" s="1"/>
  <c r="AN130" i="44" s="1"/>
  <c r="AO130" i="44" s="1"/>
  <c r="AP130" i="44" s="1"/>
  <c r="AQ130" i="44" s="1"/>
  <c r="AR130" i="44" s="1"/>
  <c r="AS130" i="44" s="1"/>
  <c r="AT130" i="44" s="1"/>
  <c r="AU130" i="44" s="1"/>
  <c r="AV130" i="44" s="1"/>
  <c r="AW130" i="44" s="1"/>
  <c r="AX130" i="44" s="1"/>
  <c r="AY130" i="44" s="1"/>
  <c r="AZ130" i="44" s="1"/>
  <c r="BA130" i="44" s="1"/>
  <c r="BB130" i="44" s="1"/>
  <c r="BC130" i="44" s="1"/>
  <c r="BD130" i="44" s="1"/>
  <c r="BE130" i="44" s="1"/>
  <c r="BF130" i="44" s="1"/>
  <c r="BG130" i="44" s="1"/>
  <c r="BH130" i="44" s="1"/>
  <c r="BI130" i="44" s="1"/>
  <c r="BJ130" i="44" s="1"/>
  <c r="BK130" i="44" s="1"/>
  <c r="BL130" i="44" s="1"/>
  <c r="BM130" i="44" s="1"/>
  <c r="BN130" i="44" s="1"/>
  <c r="BO130" i="44" s="1"/>
  <c r="BP130" i="44" s="1"/>
  <c r="BQ130" i="44" s="1"/>
  <c r="BR130" i="44" s="1"/>
  <c r="BS130" i="44" s="1"/>
  <c r="BT130" i="44" s="1"/>
  <c r="BU130" i="44" s="1"/>
  <c r="BV130" i="44" s="1"/>
  <c r="BW130" i="44" s="1"/>
  <c r="BX130" i="44" s="1"/>
  <c r="BY130" i="44" s="1"/>
  <c r="BZ130" i="44" s="1"/>
  <c r="CA130" i="44" s="1"/>
  <c r="CB130" i="44" s="1"/>
  <c r="CC130" i="44" s="1"/>
  <c r="CD130" i="44" s="1"/>
  <c r="CE130" i="44" s="1"/>
  <c r="AH129" i="44"/>
  <c r="AI129" i="44" s="1"/>
  <c r="AJ129" i="44" s="1"/>
  <c r="AK129" i="44" s="1"/>
  <c r="AL129" i="44" s="1"/>
  <c r="AM129" i="44" s="1"/>
  <c r="AN129" i="44" s="1"/>
  <c r="AO129" i="44" s="1"/>
  <c r="AP129" i="44" s="1"/>
  <c r="AQ129" i="44" s="1"/>
  <c r="AR129" i="44" s="1"/>
  <c r="AS129" i="44" s="1"/>
  <c r="AT129" i="44" s="1"/>
  <c r="AU129" i="44" s="1"/>
  <c r="AV129" i="44" s="1"/>
  <c r="AW129" i="44" s="1"/>
  <c r="AX129" i="44" s="1"/>
  <c r="AY129" i="44" s="1"/>
  <c r="AZ129" i="44" s="1"/>
  <c r="BA129" i="44" s="1"/>
  <c r="BB129" i="44" s="1"/>
  <c r="BC129" i="44" s="1"/>
  <c r="BD129" i="44" s="1"/>
  <c r="BE129" i="44" s="1"/>
  <c r="BF129" i="44" s="1"/>
  <c r="BG129" i="44" s="1"/>
  <c r="BH129" i="44" s="1"/>
  <c r="BI129" i="44" s="1"/>
  <c r="BJ129" i="44" s="1"/>
  <c r="BK129" i="44" s="1"/>
  <c r="BL129" i="44" s="1"/>
  <c r="BM129" i="44" s="1"/>
  <c r="BN129" i="44" s="1"/>
  <c r="BO129" i="44" s="1"/>
  <c r="BP129" i="44" s="1"/>
  <c r="BQ129" i="44" s="1"/>
  <c r="BR129" i="44" s="1"/>
  <c r="BS129" i="44" s="1"/>
  <c r="BT129" i="44" s="1"/>
  <c r="BU129" i="44" s="1"/>
  <c r="BV129" i="44" s="1"/>
  <c r="BW129" i="44" s="1"/>
  <c r="BX129" i="44" s="1"/>
  <c r="BY129" i="44" s="1"/>
  <c r="BZ129" i="44" s="1"/>
  <c r="CA129" i="44" s="1"/>
  <c r="CB129" i="44" s="1"/>
  <c r="CC129" i="44" s="1"/>
  <c r="CD129" i="44" s="1"/>
  <c r="CE129" i="44" s="1"/>
  <c r="F128" i="44"/>
  <c r="G128" i="44" s="1"/>
  <c r="H128" i="44" s="1"/>
  <c r="I128" i="44" s="1"/>
  <c r="J128" i="44" s="1"/>
  <c r="K128" i="44" s="1"/>
  <c r="L128" i="44" s="1"/>
  <c r="M128" i="44" s="1"/>
  <c r="N128" i="44" s="1"/>
  <c r="O128" i="44" s="1"/>
  <c r="P128" i="44" s="1"/>
  <c r="Q128" i="44" s="1"/>
  <c r="R128" i="44" s="1"/>
  <c r="S128" i="44" s="1"/>
  <c r="T128" i="44" s="1"/>
  <c r="U128" i="44" s="1"/>
  <c r="V128" i="44" s="1"/>
  <c r="W128" i="44" s="1"/>
  <c r="X128" i="44" s="1"/>
  <c r="Y128" i="44" s="1"/>
  <c r="Z128" i="44" s="1"/>
  <c r="AA128" i="44" s="1"/>
  <c r="AB128" i="44" s="1"/>
  <c r="AC128" i="44" s="1"/>
  <c r="AD128" i="44" s="1"/>
  <c r="AE128" i="44" s="1"/>
  <c r="AF128" i="44" s="1"/>
  <c r="AG128" i="44" s="1"/>
  <c r="AH128" i="44" s="1"/>
  <c r="AI128" i="44" s="1"/>
  <c r="AJ128" i="44" s="1"/>
  <c r="AK128" i="44" s="1"/>
  <c r="AL128" i="44" s="1"/>
  <c r="AM128" i="44" s="1"/>
  <c r="AN128" i="44" s="1"/>
  <c r="AO128" i="44" s="1"/>
  <c r="AP128" i="44" s="1"/>
  <c r="AQ128" i="44" s="1"/>
  <c r="AR128" i="44" s="1"/>
  <c r="AS128" i="44" s="1"/>
  <c r="AT128" i="44" s="1"/>
  <c r="AU128" i="44" s="1"/>
  <c r="AV128" i="44" s="1"/>
  <c r="AW128" i="44" s="1"/>
  <c r="AX128" i="44" s="1"/>
  <c r="AY128" i="44" s="1"/>
  <c r="AZ128" i="44" s="1"/>
  <c r="BA128" i="44" s="1"/>
  <c r="BB128" i="44" s="1"/>
  <c r="BC128" i="44" s="1"/>
  <c r="BD128" i="44" s="1"/>
  <c r="BE128" i="44" s="1"/>
  <c r="BF128" i="44" s="1"/>
  <c r="BG128" i="44" s="1"/>
  <c r="BH128" i="44" s="1"/>
  <c r="BI128" i="44" s="1"/>
  <c r="BJ128" i="44" s="1"/>
  <c r="BK128" i="44" s="1"/>
  <c r="BL128" i="44" s="1"/>
  <c r="BM128" i="44" s="1"/>
  <c r="BN128" i="44" s="1"/>
  <c r="BO128" i="44" s="1"/>
  <c r="BP128" i="44" s="1"/>
  <c r="BQ128" i="44" s="1"/>
  <c r="BR128" i="44" s="1"/>
  <c r="BS128" i="44" s="1"/>
  <c r="BT128" i="44" s="1"/>
  <c r="BU128" i="44" s="1"/>
  <c r="BV128" i="44" s="1"/>
  <c r="BW128" i="44" s="1"/>
  <c r="BX128" i="44" s="1"/>
  <c r="BY128" i="44" s="1"/>
  <c r="BZ128" i="44" s="1"/>
  <c r="CA128" i="44" s="1"/>
  <c r="CB128" i="44" s="1"/>
  <c r="CC128" i="44" s="1"/>
  <c r="CD128" i="44" s="1"/>
  <c r="CE128" i="44" s="1"/>
  <c r="AH126" i="44"/>
  <c r="AI126" i="44" s="1"/>
  <c r="AJ126" i="44" s="1"/>
  <c r="AK126" i="44" s="1"/>
  <c r="AL126" i="44" s="1"/>
  <c r="AM126" i="44" s="1"/>
  <c r="AN126" i="44" s="1"/>
  <c r="AO126" i="44" s="1"/>
  <c r="AP126" i="44" s="1"/>
  <c r="AQ126" i="44" s="1"/>
  <c r="AR126" i="44" s="1"/>
  <c r="AS126" i="44" s="1"/>
  <c r="AT126" i="44" s="1"/>
  <c r="AU126" i="44" s="1"/>
  <c r="AV126" i="44" s="1"/>
  <c r="AW126" i="44" s="1"/>
  <c r="AX126" i="44" s="1"/>
  <c r="AY126" i="44" s="1"/>
  <c r="AZ126" i="44" s="1"/>
  <c r="BA126" i="44" s="1"/>
  <c r="BB126" i="44" s="1"/>
  <c r="BC126" i="44" s="1"/>
  <c r="BD126" i="44" s="1"/>
  <c r="BE126" i="44" s="1"/>
  <c r="BF126" i="44" s="1"/>
  <c r="BG126" i="44" s="1"/>
  <c r="BH126" i="44" s="1"/>
  <c r="BI126" i="44" s="1"/>
  <c r="BJ126" i="44" s="1"/>
  <c r="BK126" i="44" s="1"/>
  <c r="BL126" i="44" s="1"/>
  <c r="BM126" i="44" s="1"/>
  <c r="BN126" i="44" s="1"/>
  <c r="BO126" i="44" s="1"/>
  <c r="BP126" i="44" s="1"/>
  <c r="BQ126" i="44" s="1"/>
  <c r="BR126" i="44" s="1"/>
  <c r="BS126" i="44" s="1"/>
  <c r="BT126" i="44" s="1"/>
  <c r="BU126" i="44" s="1"/>
  <c r="BV126" i="44" s="1"/>
  <c r="BW126" i="44" s="1"/>
  <c r="BX126" i="44" s="1"/>
  <c r="BY126" i="44" s="1"/>
  <c r="BZ126" i="44" s="1"/>
  <c r="CA126" i="44" s="1"/>
  <c r="CB126" i="44" s="1"/>
  <c r="CC126" i="44" s="1"/>
  <c r="CD126" i="44" s="1"/>
  <c r="CE126" i="44" s="1"/>
  <c r="AH125" i="44"/>
  <c r="AI125" i="44" s="1"/>
  <c r="AJ125" i="44" s="1"/>
  <c r="AK125" i="44" s="1"/>
  <c r="AL125" i="44" s="1"/>
  <c r="AM125" i="44" s="1"/>
  <c r="AN125" i="44" s="1"/>
  <c r="AO125" i="44" s="1"/>
  <c r="AP125" i="44" s="1"/>
  <c r="AQ125" i="44" s="1"/>
  <c r="AR125" i="44" s="1"/>
  <c r="AS125" i="44" s="1"/>
  <c r="AT125" i="44" s="1"/>
  <c r="AU125" i="44" s="1"/>
  <c r="AV125" i="44" s="1"/>
  <c r="AW125" i="44" s="1"/>
  <c r="AX125" i="44" s="1"/>
  <c r="AY125" i="44" s="1"/>
  <c r="AZ125" i="44" s="1"/>
  <c r="BA125" i="44" s="1"/>
  <c r="BB125" i="44" s="1"/>
  <c r="BC125" i="44" s="1"/>
  <c r="BD125" i="44" s="1"/>
  <c r="BE125" i="44" s="1"/>
  <c r="BF125" i="44" s="1"/>
  <c r="BG125" i="44" s="1"/>
  <c r="BH125" i="44" s="1"/>
  <c r="BI125" i="44" s="1"/>
  <c r="BJ125" i="44" s="1"/>
  <c r="BK125" i="44" s="1"/>
  <c r="BL125" i="44" s="1"/>
  <c r="BM125" i="44" s="1"/>
  <c r="BN125" i="44" s="1"/>
  <c r="BO125" i="44" s="1"/>
  <c r="BP125" i="44" s="1"/>
  <c r="BQ125" i="44" s="1"/>
  <c r="BR125" i="44" s="1"/>
  <c r="BS125" i="44" s="1"/>
  <c r="BT125" i="44" s="1"/>
  <c r="BU125" i="44" s="1"/>
  <c r="BV125" i="44" s="1"/>
  <c r="BW125" i="44" s="1"/>
  <c r="BX125" i="44" s="1"/>
  <c r="BY125" i="44" s="1"/>
  <c r="BZ125" i="44" s="1"/>
  <c r="CA125" i="44" s="1"/>
  <c r="CB125" i="44" s="1"/>
  <c r="CC125" i="44" s="1"/>
  <c r="CD125" i="44" s="1"/>
  <c r="CE125" i="44" s="1"/>
  <c r="AH124" i="44"/>
  <c r="AI124" i="44" s="1"/>
  <c r="AJ124" i="44" s="1"/>
  <c r="AK124" i="44" s="1"/>
  <c r="AL124" i="44" s="1"/>
  <c r="AM124" i="44" s="1"/>
  <c r="AN124" i="44" s="1"/>
  <c r="AO124" i="44" s="1"/>
  <c r="AP124" i="44" s="1"/>
  <c r="AQ124" i="44" s="1"/>
  <c r="AR124" i="44" s="1"/>
  <c r="AS124" i="44" s="1"/>
  <c r="AT124" i="44" s="1"/>
  <c r="AU124" i="44" s="1"/>
  <c r="AV124" i="44" s="1"/>
  <c r="AW124" i="44" s="1"/>
  <c r="AX124" i="44" s="1"/>
  <c r="AY124" i="44" s="1"/>
  <c r="AZ124" i="44" s="1"/>
  <c r="BA124" i="44" s="1"/>
  <c r="BB124" i="44" s="1"/>
  <c r="BC124" i="44" s="1"/>
  <c r="BD124" i="44" s="1"/>
  <c r="BE124" i="44" s="1"/>
  <c r="BF124" i="44" s="1"/>
  <c r="BG124" i="44" s="1"/>
  <c r="BH124" i="44" s="1"/>
  <c r="BI124" i="44" s="1"/>
  <c r="BJ124" i="44" s="1"/>
  <c r="BK124" i="44" s="1"/>
  <c r="BL124" i="44" s="1"/>
  <c r="BM124" i="44" s="1"/>
  <c r="BN124" i="44" s="1"/>
  <c r="BO124" i="44" s="1"/>
  <c r="BP124" i="44" s="1"/>
  <c r="BQ124" i="44" s="1"/>
  <c r="BR124" i="44" s="1"/>
  <c r="BS124" i="44" s="1"/>
  <c r="BT124" i="44" s="1"/>
  <c r="BU124" i="44" s="1"/>
  <c r="BV124" i="44" s="1"/>
  <c r="BW124" i="44" s="1"/>
  <c r="BX124" i="44" s="1"/>
  <c r="BY124" i="44" s="1"/>
  <c r="BZ124" i="44" s="1"/>
  <c r="CA124" i="44" s="1"/>
  <c r="CB124" i="44" s="1"/>
  <c r="CC124" i="44" s="1"/>
  <c r="CD124" i="44" s="1"/>
  <c r="CE124" i="44" s="1"/>
  <c r="AO123" i="44"/>
  <c r="AP123" i="44" s="1"/>
  <c r="AQ123" i="44" s="1"/>
  <c r="AR123" i="44" s="1"/>
  <c r="AS123" i="44" s="1"/>
  <c r="AT123" i="44" s="1"/>
  <c r="AU123" i="44" s="1"/>
  <c r="AV123" i="44" s="1"/>
  <c r="AW123" i="44" s="1"/>
  <c r="AX123" i="44" s="1"/>
  <c r="AY123" i="44" s="1"/>
  <c r="AZ123" i="44" s="1"/>
  <c r="BA123" i="44" s="1"/>
  <c r="BB123" i="44" s="1"/>
  <c r="BC123" i="44" s="1"/>
  <c r="BD123" i="44" s="1"/>
  <c r="BE123" i="44" s="1"/>
  <c r="BF123" i="44" s="1"/>
  <c r="BG123" i="44" s="1"/>
  <c r="BH123" i="44" s="1"/>
  <c r="BI123" i="44" s="1"/>
  <c r="BJ123" i="44" s="1"/>
  <c r="BK123" i="44" s="1"/>
  <c r="BL123" i="44" s="1"/>
  <c r="BM123" i="44" s="1"/>
  <c r="BN123" i="44" s="1"/>
  <c r="BO123" i="44" s="1"/>
  <c r="BP123" i="44" s="1"/>
  <c r="BQ123" i="44" s="1"/>
  <c r="BR123" i="44" s="1"/>
  <c r="BS123" i="44" s="1"/>
  <c r="BT123" i="44" s="1"/>
  <c r="BU123" i="44" s="1"/>
  <c r="BV123" i="44" s="1"/>
  <c r="BW123" i="44" s="1"/>
  <c r="BX123" i="44" s="1"/>
  <c r="BY123" i="44" s="1"/>
  <c r="BZ123" i="44" s="1"/>
  <c r="CA123" i="44" s="1"/>
  <c r="CB123" i="44" s="1"/>
  <c r="CC123" i="44" s="1"/>
  <c r="CD123" i="44" s="1"/>
  <c r="CE123" i="44" s="1"/>
  <c r="AH123" i="44"/>
  <c r="AI123" i="44" s="1"/>
  <c r="AJ123" i="44" s="1"/>
  <c r="AK123" i="44" s="1"/>
  <c r="AL123" i="44" s="1"/>
  <c r="AM123" i="44" s="1"/>
  <c r="AN123" i="44" s="1"/>
  <c r="AH122" i="44"/>
  <c r="AI122" i="44" s="1"/>
  <c r="AJ122" i="44" s="1"/>
  <c r="AK122" i="44" s="1"/>
  <c r="AL122" i="44" s="1"/>
  <c r="AM122" i="44" s="1"/>
  <c r="AN122" i="44" s="1"/>
  <c r="AO122" i="44" s="1"/>
  <c r="AP122" i="44" s="1"/>
  <c r="AQ122" i="44" s="1"/>
  <c r="AR122" i="44" s="1"/>
  <c r="AS122" i="44" s="1"/>
  <c r="AT122" i="44" s="1"/>
  <c r="AU122" i="44" s="1"/>
  <c r="AV122" i="44" s="1"/>
  <c r="AW122" i="44" s="1"/>
  <c r="AX122" i="44" s="1"/>
  <c r="AY122" i="44" s="1"/>
  <c r="AZ122" i="44" s="1"/>
  <c r="BA122" i="44" s="1"/>
  <c r="BB122" i="44" s="1"/>
  <c r="BC122" i="44" s="1"/>
  <c r="BD122" i="44" s="1"/>
  <c r="BE122" i="44" s="1"/>
  <c r="BF122" i="44" s="1"/>
  <c r="BG122" i="44" s="1"/>
  <c r="BH122" i="44" s="1"/>
  <c r="BI122" i="44" s="1"/>
  <c r="BJ122" i="44" s="1"/>
  <c r="BK122" i="44" s="1"/>
  <c r="BL122" i="44" s="1"/>
  <c r="BM122" i="44" s="1"/>
  <c r="BN122" i="44" s="1"/>
  <c r="BO122" i="44" s="1"/>
  <c r="BP122" i="44" s="1"/>
  <c r="BQ122" i="44" s="1"/>
  <c r="BR122" i="44" s="1"/>
  <c r="BS122" i="44" s="1"/>
  <c r="BT122" i="44" s="1"/>
  <c r="BU122" i="44" s="1"/>
  <c r="BV122" i="44" s="1"/>
  <c r="BW122" i="44" s="1"/>
  <c r="BX122" i="44" s="1"/>
  <c r="BY122" i="44" s="1"/>
  <c r="BZ122" i="44" s="1"/>
  <c r="CA122" i="44" s="1"/>
  <c r="CB122" i="44" s="1"/>
  <c r="CC122" i="44" s="1"/>
  <c r="CD122" i="44" s="1"/>
  <c r="CE122" i="44" s="1"/>
  <c r="AH121" i="44"/>
  <c r="AI121" i="44" s="1"/>
  <c r="AJ121" i="44" s="1"/>
  <c r="AK121" i="44" s="1"/>
  <c r="AL121" i="44" s="1"/>
  <c r="AM121" i="44" s="1"/>
  <c r="AN121" i="44" s="1"/>
  <c r="AO121" i="44" s="1"/>
  <c r="AP121" i="44" s="1"/>
  <c r="AQ121" i="44" s="1"/>
  <c r="AR121" i="44" s="1"/>
  <c r="AS121" i="44" s="1"/>
  <c r="AT121" i="44" s="1"/>
  <c r="AU121" i="44" s="1"/>
  <c r="AV121" i="44" s="1"/>
  <c r="AW121" i="44" s="1"/>
  <c r="AX121" i="44" s="1"/>
  <c r="AY121" i="44" s="1"/>
  <c r="AZ121" i="44" s="1"/>
  <c r="BA121" i="44" s="1"/>
  <c r="BB121" i="44" s="1"/>
  <c r="BC121" i="44" s="1"/>
  <c r="BD121" i="44" s="1"/>
  <c r="BE121" i="44" s="1"/>
  <c r="BF121" i="44" s="1"/>
  <c r="BG121" i="44" s="1"/>
  <c r="BH121" i="44" s="1"/>
  <c r="BI121" i="44" s="1"/>
  <c r="BJ121" i="44" s="1"/>
  <c r="BK121" i="44" s="1"/>
  <c r="BL121" i="44" s="1"/>
  <c r="BM121" i="44" s="1"/>
  <c r="BN121" i="44" s="1"/>
  <c r="BO121" i="44" s="1"/>
  <c r="BP121" i="44" s="1"/>
  <c r="BQ121" i="44" s="1"/>
  <c r="BR121" i="44" s="1"/>
  <c r="BS121" i="44" s="1"/>
  <c r="BT121" i="44" s="1"/>
  <c r="BU121" i="44" s="1"/>
  <c r="BV121" i="44" s="1"/>
  <c r="BW121" i="44" s="1"/>
  <c r="BX121" i="44" s="1"/>
  <c r="BY121" i="44" s="1"/>
  <c r="BZ121" i="44" s="1"/>
  <c r="CA121" i="44" s="1"/>
  <c r="CB121" i="44" s="1"/>
  <c r="CC121" i="44" s="1"/>
  <c r="CD121" i="44" s="1"/>
  <c r="CE121" i="44" s="1"/>
  <c r="AH120" i="44"/>
  <c r="AI120" i="44" s="1"/>
  <c r="AJ120" i="44" s="1"/>
  <c r="AK120" i="44" s="1"/>
  <c r="AL120" i="44" s="1"/>
  <c r="AM120" i="44" s="1"/>
  <c r="AN120" i="44" s="1"/>
  <c r="AO120" i="44" s="1"/>
  <c r="AP120" i="44" s="1"/>
  <c r="AQ120" i="44" s="1"/>
  <c r="AR120" i="44" s="1"/>
  <c r="AS120" i="44" s="1"/>
  <c r="AT120" i="44" s="1"/>
  <c r="AU120" i="44" s="1"/>
  <c r="AV120" i="44" s="1"/>
  <c r="AW120" i="44" s="1"/>
  <c r="AX120" i="44" s="1"/>
  <c r="AY120" i="44" s="1"/>
  <c r="AZ120" i="44" s="1"/>
  <c r="BA120" i="44" s="1"/>
  <c r="BB120" i="44" s="1"/>
  <c r="BC120" i="44" s="1"/>
  <c r="BD120" i="44" s="1"/>
  <c r="BE120" i="44" s="1"/>
  <c r="BF120" i="44" s="1"/>
  <c r="BG120" i="44" s="1"/>
  <c r="BH120" i="44" s="1"/>
  <c r="BI120" i="44" s="1"/>
  <c r="BJ120" i="44" s="1"/>
  <c r="BK120" i="44" s="1"/>
  <c r="BL120" i="44" s="1"/>
  <c r="BM120" i="44" s="1"/>
  <c r="BN120" i="44" s="1"/>
  <c r="BO120" i="44" s="1"/>
  <c r="BP120" i="44" s="1"/>
  <c r="BQ120" i="44" s="1"/>
  <c r="BR120" i="44" s="1"/>
  <c r="BS120" i="44" s="1"/>
  <c r="BT120" i="44" s="1"/>
  <c r="BU120" i="44" s="1"/>
  <c r="BV120" i="44" s="1"/>
  <c r="BW120" i="44" s="1"/>
  <c r="BX120" i="44" s="1"/>
  <c r="BY120" i="44" s="1"/>
  <c r="BZ120" i="44" s="1"/>
  <c r="CA120" i="44" s="1"/>
  <c r="CB120" i="44" s="1"/>
  <c r="CC120" i="44" s="1"/>
  <c r="CD120" i="44" s="1"/>
  <c r="CE120" i="44" s="1"/>
  <c r="AH119" i="44"/>
  <c r="AI119" i="44" s="1"/>
  <c r="AJ119" i="44" s="1"/>
  <c r="AK119" i="44" s="1"/>
  <c r="AL119" i="44" s="1"/>
  <c r="AM119" i="44" s="1"/>
  <c r="AN119" i="44" s="1"/>
  <c r="AO119" i="44" s="1"/>
  <c r="AP119" i="44" s="1"/>
  <c r="AQ119" i="44" s="1"/>
  <c r="AR119" i="44" s="1"/>
  <c r="AS119" i="44" s="1"/>
  <c r="AT119" i="44" s="1"/>
  <c r="AU119" i="44" s="1"/>
  <c r="AV119" i="44" s="1"/>
  <c r="AW119" i="44" s="1"/>
  <c r="AX119" i="44" s="1"/>
  <c r="AY119" i="44" s="1"/>
  <c r="AZ119" i="44" s="1"/>
  <c r="BA119" i="44" s="1"/>
  <c r="BB119" i="44" s="1"/>
  <c r="BC119" i="44" s="1"/>
  <c r="BD119" i="44" s="1"/>
  <c r="BE119" i="44" s="1"/>
  <c r="BF119" i="44" s="1"/>
  <c r="BG119" i="44" s="1"/>
  <c r="BH119" i="44" s="1"/>
  <c r="BI119" i="44" s="1"/>
  <c r="BJ119" i="44" s="1"/>
  <c r="BK119" i="44" s="1"/>
  <c r="BL119" i="44" s="1"/>
  <c r="BM119" i="44" s="1"/>
  <c r="BN119" i="44" s="1"/>
  <c r="BO119" i="44" s="1"/>
  <c r="BP119" i="44" s="1"/>
  <c r="BQ119" i="44" s="1"/>
  <c r="BR119" i="44" s="1"/>
  <c r="BS119" i="44" s="1"/>
  <c r="BT119" i="44" s="1"/>
  <c r="BU119" i="44" s="1"/>
  <c r="BV119" i="44" s="1"/>
  <c r="BW119" i="44" s="1"/>
  <c r="BX119" i="44" s="1"/>
  <c r="BY119" i="44" s="1"/>
  <c r="BZ119" i="44" s="1"/>
  <c r="CA119" i="44" s="1"/>
  <c r="CB119" i="44" s="1"/>
  <c r="CC119" i="44" s="1"/>
  <c r="CD119" i="44" s="1"/>
  <c r="CE119" i="44" s="1"/>
  <c r="AH117" i="44"/>
  <c r="AI117" i="44" s="1"/>
  <c r="AJ117" i="44" s="1"/>
  <c r="AK117" i="44" s="1"/>
  <c r="AL117" i="44" s="1"/>
  <c r="AM117" i="44" s="1"/>
  <c r="AN117" i="44" s="1"/>
  <c r="AO117" i="44" s="1"/>
  <c r="AP117" i="44" s="1"/>
  <c r="AQ117" i="44" s="1"/>
  <c r="AR117" i="44" s="1"/>
  <c r="AS117" i="44" s="1"/>
  <c r="AT117" i="44" s="1"/>
  <c r="AU117" i="44" s="1"/>
  <c r="AV117" i="44" s="1"/>
  <c r="AW117" i="44" s="1"/>
  <c r="AX117" i="44" s="1"/>
  <c r="AY117" i="44" s="1"/>
  <c r="AZ117" i="44" s="1"/>
  <c r="BA117" i="44" s="1"/>
  <c r="BB117" i="44" s="1"/>
  <c r="BC117" i="44" s="1"/>
  <c r="BD117" i="44" s="1"/>
  <c r="BE117" i="44" s="1"/>
  <c r="BF117" i="44" s="1"/>
  <c r="BG117" i="44" s="1"/>
  <c r="BH117" i="44" s="1"/>
  <c r="BI117" i="44" s="1"/>
  <c r="BJ117" i="44" s="1"/>
  <c r="BK117" i="44" s="1"/>
  <c r="BL117" i="44" s="1"/>
  <c r="BM117" i="44" s="1"/>
  <c r="BN117" i="44" s="1"/>
  <c r="BO117" i="44" s="1"/>
  <c r="BP117" i="44" s="1"/>
  <c r="BQ117" i="44" s="1"/>
  <c r="BR117" i="44" s="1"/>
  <c r="BS117" i="44" s="1"/>
  <c r="BT117" i="44" s="1"/>
  <c r="BU117" i="44" s="1"/>
  <c r="BV117" i="44" s="1"/>
  <c r="BW117" i="44" s="1"/>
  <c r="BX117" i="44" s="1"/>
  <c r="BY117" i="44" s="1"/>
  <c r="BZ117" i="44" s="1"/>
  <c r="CA117" i="44" s="1"/>
  <c r="CB117" i="44" s="1"/>
  <c r="CC117" i="44" s="1"/>
  <c r="CD117" i="44" s="1"/>
  <c r="CE117" i="44" s="1"/>
  <c r="AH116" i="44"/>
  <c r="AI116" i="44" s="1"/>
  <c r="AJ116" i="44" s="1"/>
  <c r="AK116" i="44" s="1"/>
  <c r="AL116" i="44" s="1"/>
  <c r="AM116" i="44" s="1"/>
  <c r="AN116" i="44" s="1"/>
  <c r="AO116" i="44" s="1"/>
  <c r="AP116" i="44" s="1"/>
  <c r="AQ116" i="44" s="1"/>
  <c r="AR116" i="44" s="1"/>
  <c r="AS116" i="44" s="1"/>
  <c r="AT116" i="44" s="1"/>
  <c r="AU116" i="44" s="1"/>
  <c r="AV116" i="44" s="1"/>
  <c r="AW116" i="44" s="1"/>
  <c r="AX116" i="44" s="1"/>
  <c r="AY116" i="44" s="1"/>
  <c r="AZ116" i="44" s="1"/>
  <c r="BA116" i="44" s="1"/>
  <c r="BB116" i="44" s="1"/>
  <c r="BC116" i="44" s="1"/>
  <c r="BD116" i="44" s="1"/>
  <c r="BE116" i="44" s="1"/>
  <c r="BF116" i="44" s="1"/>
  <c r="BG116" i="44" s="1"/>
  <c r="BH116" i="44" s="1"/>
  <c r="BI116" i="44" s="1"/>
  <c r="BJ116" i="44" s="1"/>
  <c r="BK116" i="44" s="1"/>
  <c r="BL116" i="44" s="1"/>
  <c r="BM116" i="44" s="1"/>
  <c r="BN116" i="44" s="1"/>
  <c r="BO116" i="44" s="1"/>
  <c r="BP116" i="44" s="1"/>
  <c r="BQ116" i="44" s="1"/>
  <c r="BR116" i="44" s="1"/>
  <c r="BS116" i="44" s="1"/>
  <c r="BT116" i="44" s="1"/>
  <c r="BU116" i="44" s="1"/>
  <c r="BV116" i="44" s="1"/>
  <c r="BW116" i="44" s="1"/>
  <c r="BX116" i="44" s="1"/>
  <c r="BY116" i="44" s="1"/>
  <c r="BZ116" i="44" s="1"/>
  <c r="CA116" i="44" s="1"/>
  <c r="CB116" i="44" s="1"/>
  <c r="CC116" i="44" s="1"/>
  <c r="CD116" i="44" s="1"/>
  <c r="CE116" i="44" s="1"/>
  <c r="AH114" i="44"/>
  <c r="AI114" i="44" s="1"/>
  <c r="AJ114" i="44" s="1"/>
  <c r="AK114" i="44" s="1"/>
  <c r="AL114" i="44" s="1"/>
  <c r="AM114" i="44" s="1"/>
  <c r="AN114" i="44" s="1"/>
  <c r="AO114" i="44" s="1"/>
  <c r="AP114" i="44" s="1"/>
  <c r="AQ114" i="44" s="1"/>
  <c r="AR114" i="44" s="1"/>
  <c r="AS114" i="44" s="1"/>
  <c r="AT114" i="44" s="1"/>
  <c r="AU114" i="44" s="1"/>
  <c r="AV114" i="44" s="1"/>
  <c r="AW114" i="44" s="1"/>
  <c r="AX114" i="44" s="1"/>
  <c r="AY114" i="44" s="1"/>
  <c r="AZ114" i="44" s="1"/>
  <c r="BA114" i="44" s="1"/>
  <c r="BB114" i="44" s="1"/>
  <c r="BC114" i="44" s="1"/>
  <c r="BD114" i="44" s="1"/>
  <c r="BE114" i="44" s="1"/>
  <c r="BF114" i="44" s="1"/>
  <c r="BG114" i="44" s="1"/>
  <c r="BH114" i="44" s="1"/>
  <c r="BI114" i="44" s="1"/>
  <c r="BJ114" i="44" s="1"/>
  <c r="BK114" i="44" s="1"/>
  <c r="BL114" i="44" s="1"/>
  <c r="BM114" i="44" s="1"/>
  <c r="BN114" i="44" s="1"/>
  <c r="BO114" i="44" s="1"/>
  <c r="BP114" i="44" s="1"/>
  <c r="BQ114" i="44" s="1"/>
  <c r="BR114" i="44" s="1"/>
  <c r="BS114" i="44" s="1"/>
  <c r="BT114" i="44" s="1"/>
  <c r="BU114" i="44" s="1"/>
  <c r="BV114" i="44" s="1"/>
  <c r="BW114" i="44" s="1"/>
  <c r="BX114" i="44" s="1"/>
  <c r="BY114" i="44" s="1"/>
  <c r="BZ114" i="44" s="1"/>
  <c r="CA114" i="44" s="1"/>
  <c r="CB114" i="44" s="1"/>
  <c r="CC114" i="44" s="1"/>
  <c r="CD114" i="44" s="1"/>
  <c r="CE114" i="44" s="1"/>
  <c r="AH113" i="44"/>
  <c r="AI113" i="44" s="1"/>
  <c r="AJ113" i="44" s="1"/>
  <c r="AK113" i="44" s="1"/>
  <c r="AL113" i="44" s="1"/>
  <c r="AM113" i="44" s="1"/>
  <c r="AN113" i="44" s="1"/>
  <c r="AO113" i="44" s="1"/>
  <c r="AP113" i="44" s="1"/>
  <c r="AQ113" i="44" s="1"/>
  <c r="AR113" i="44" s="1"/>
  <c r="AS113" i="44" s="1"/>
  <c r="AT113" i="44" s="1"/>
  <c r="AU113" i="44" s="1"/>
  <c r="AV113" i="44" s="1"/>
  <c r="AW113" i="44" s="1"/>
  <c r="AX113" i="44" s="1"/>
  <c r="AY113" i="44" s="1"/>
  <c r="AZ113" i="44" s="1"/>
  <c r="BA113" i="44" s="1"/>
  <c r="BB113" i="44" s="1"/>
  <c r="BC113" i="44" s="1"/>
  <c r="BD113" i="44" s="1"/>
  <c r="BE113" i="44" s="1"/>
  <c r="BF113" i="44" s="1"/>
  <c r="BG113" i="44" s="1"/>
  <c r="BH113" i="44" s="1"/>
  <c r="BI113" i="44" s="1"/>
  <c r="BJ113" i="44" s="1"/>
  <c r="BK113" i="44" s="1"/>
  <c r="BL113" i="44" s="1"/>
  <c r="BM113" i="44" s="1"/>
  <c r="BN113" i="44" s="1"/>
  <c r="BO113" i="44" s="1"/>
  <c r="BP113" i="44" s="1"/>
  <c r="BQ113" i="44" s="1"/>
  <c r="BR113" i="44" s="1"/>
  <c r="BS113" i="44" s="1"/>
  <c r="BT113" i="44" s="1"/>
  <c r="BU113" i="44" s="1"/>
  <c r="BV113" i="44" s="1"/>
  <c r="BW113" i="44" s="1"/>
  <c r="BX113" i="44" s="1"/>
  <c r="BY113" i="44" s="1"/>
  <c r="BZ113" i="44" s="1"/>
  <c r="CA113" i="44" s="1"/>
  <c r="CB113" i="44" s="1"/>
  <c r="CC113" i="44" s="1"/>
  <c r="CD113" i="44" s="1"/>
  <c r="CE113" i="44" s="1"/>
  <c r="AH112" i="44"/>
  <c r="AI112" i="44" s="1"/>
  <c r="AJ112" i="44" s="1"/>
  <c r="AK112" i="44" s="1"/>
  <c r="AL112" i="44" s="1"/>
  <c r="AM112" i="44" s="1"/>
  <c r="AN112" i="44" s="1"/>
  <c r="AO112" i="44" s="1"/>
  <c r="AP112" i="44" s="1"/>
  <c r="AQ112" i="44" s="1"/>
  <c r="AR112" i="44" s="1"/>
  <c r="AS112" i="44" s="1"/>
  <c r="AT112" i="44" s="1"/>
  <c r="AU112" i="44" s="1"/>
  <c r="AV112" i="44" s="1"/>
  <c r="AW112" i="44" s="1"/>
  <c r="AX112" i="44" s="1"/>
  <c r="AY112" i="44" s="1"/>
  <c r="AZ112" i="44" s="1"/>
  <c r="BA112" i="44" s="1"/>
  <c r="BB112" i="44" s="1"/>
  <c r="BC112" i="44" s="1"/>
  <c r="BD112" i="44" s="1"/>
  <c r="BE112" i="44" s="1"/>
  <c r="BF112" i="44" s="1"/>
  <c r="BG112" i="44" s="1"/>
  <c r="BH112" i="44" s="1"/>
  <c r="BI112" i="44" s="1"/>
  <c r="BJ112" i="44" s="1"/>
  <c r="BK112" i="44" s="1"/>
  <c r="BL112" i="44" s="1"/>
  <c r="BM112" i="44" s="1"/>
  <c r="BN112" i="44" s="1"/>
  <c r="BO112" i="44" s="1"/>
  <c r="BP112" i="44" s="1"/>
  <c r="BQ112" i="44" s="1"/>
  <c r="BR112" i="44" s="1"/>
  <c r="BS112" i="44" s="1"/>
  <c r="BT112" i="44" s="1"/>
  <c r="BU112" i="44" s="1"/>
  <c r="BV112" i="44" s="1"/>
  <c r="BW112" i="44" s="1"/>
  <c r="BX112" i="44" s="1"/>
  <c r="BY112" i="44" s="1"/>
  <c r="BZ112" i="44" s="1"/>
  <c r="CA112" i="44" s="1"/>
  <c r="CB112" i="44" s="1"/>
  <c r="CC112" i="44" s="1"/>
  <c r="CD112" i="44" s="1"/>
  <c r="CE112" i="44" s="1"/>
  <c r="AH111" i="44"/>
  <c r="AI111" i="44" s="1"/>
  <c r="AJ111" i="44" s="1"/>
  <c r="AK111" i="44" s="1"/>
  <c r="AL111" i="44" s="1"/>
  <c r="AM111" i="44" s="1"/>
  <c r="AN111" i="44" s="1"/>
  <c r="AO111" i="44" s="1"/>
  <c r="AP111" i="44" s="1"/>
  <c r="AQ111" i="44" s="1"/>
  <c r="AR111" i="44" s="1"/>
  <c r="AS111" i="44" s="1"/>
  <c r="AT111" i="44" s="1"/>
  <c r="AU111" i="44" s="1"/>
  <c r="AV111" i="44" s="1"/>
  <c r="AW111" i="44" s="1"/>
  <c r="AX111" i="44" s="1"/>
  <c r="AY111" i="44" s="1"/>
  <c r="AZ111" i="44" s="1"/>
  <c r="BA111" i="44" s="1"/>
  <c r="BB111" i="44" s="1"/>
  <c r="BC111" i="44" s="1"/>
  <c r="BD111" i="44" s="1"/>
  <c r="BE111" i="44" s="1"/>
  <c r="BF111" i="44" s="1"/>
  <c r="BG111" i="44" s="1"/>
  <c r="BH111" i="44" s="1"/>
  <c r="BI111" i="44" s="1"/>
  <c r="BJ111" i="44" s="1"/>
  <c r="BK111" i="44" s="1"/>
  <c r="BL111" i="44" s="1"/>
  <c r="BM111" i="44" s="1"/>
  <c r="BN111" i="44" s="1"/>
  <c r="BO111" i="44" s="1"/>
  <c r="BP111" i="44" s="1"/>
  <c r="BQ111" i="44" s="1"/>
  <c r="BR111" i="44" s="1"/>
  <c r="BS111" i="44" s="1"/>
  <c r="BT111" i="44" s="1"/>
  <c r="BU111" i="44" s="1"/>
  <c r="BV111" i="44" s="1"/>
  <c r="BW111" i="44" s="1"/>
  <c r="BX111" i="44" s="1"/>
  <c r="BY111" i="44" s="1"/>
  <c r="BZ111" i="44" s="1"/>
  <c r="CA111" i="44" s="1"/>
  <c r="CB111" i="44" s="1"/>
  <c r="CC111" i="44" s="1"/>
  <c r="CD111" i="44" s="1"/>
  <c r="CE111" i="44" s="1"/>
  <c r="AH110" i="44"/>
  <c r="AI110" i="44" s="1"/>
  <c r="AJ110" i="44" s="1"/>
  <c r="AK110" i="44" s="1"/>
  <c r="AL110" i="44" s="1"/>
  <c r="AM110" i="44" s="1"/>
  <c r="AN110" i="44" s="1"/>
  <c r="AO110" i="44" s="1"/>
  <c r="AP110" i="44" s="1"/>
  <c r="AQ110" i="44" s="1"/>
  <c r="AR110" i="44" s="1"/>
  <c r="AS110" i="44" s="1"/>
  <c r="AT110" i="44" s="1"/>
  <c r="AU110" i="44" s="1"/>
  <c r="AV110" i="44" s="1"/>
  <c r="AW110" i="44" s="1"/>
  <c r="AX110" i="44" s="1"/>
  <c r="AY110" i="44" s="1"/>
  <c r="AZ110" i="44" s="1"/>
  <c r="BA110" i="44" s="1"/>
  <c r="BB110" i="44" s="1"/>
  <c r="BC110" i="44" s="1"/>
  <c r="BD110" i="44" s="1"/>
  <c r="BE110" i="44" s="1"/>
  <c r="BF110" i="44" s="1"/>
  <c r="BG110" i="44" s="1"/>
  <c r="BH110" i="44" s="1"/>
  <c r="BI110" i="44" s="1"/>
  <c r="BJ110" i="44" s="1"/>
  <c r="BK110" i="44" s="1"/>
  <c r="BL110" i="44" s="1"/>
  <c r="BM110" i="44" s="1"/>
  <c r="BN110" i="44" s="1"/>
  <c r="BO110" i="44" s="1"/>
  <c r="BP110" i="44" s="1"/>
  <c r="BQ110" i="44" s="1"/>
  <c r="BR110" i="44" s="1"/>
  <c r="BS110" i="44" s="1"/>
  <c r="BT110" i="44" s="1"/>
  <c r="BU110" i="44" s="1"/>
  <c r="BV110" i="44" s="1"/>
  <c r="BW110" i="44" s="1"/>
  <c r="BX110" i="44" s="1"/>
  <c r="BY110" i="44" s="1"/>
  <c r="BZ110" i="44" s="1"/>
  <c r="CA110" i="44" s="1"/>
  <c r="CB110" i="44" s="1"/>
  <c r="CC110" i="44" s="1"/>
  <c r="CD110" i="44" s="1"/>
  <c r="CE110" i="44" s="1"/>
  <c r="AH109" i="44"/>
  <c r="AI109" i="44" s="1"/>
  <c r="AJ109" i="44" s="1"/>
  <c r="AK109" i="44" s="1"/>
  <c r="AL109" i="44" s="1"/>
  <c r="AM109" i="44" s="1"/>
  <c r="AN109" i="44" s="1"/>
  <c r="AO109" i="44" s="1"/>
  <c r="AP109" i="44" s="1"/>
  <c r="AQ109" i="44" s="1"/>
  <c r="AR109" i="44" s="1"/>
  <c r="AS109" i="44" s="1"/>
  <c r="AT109" i="44" s="1"/>
  <c r="AU109" i="44" s="1"/>
  <c r="AV109" i="44" s="1"/>
  <c r="AW109" i="44" s="1"/>
  <c r="AX109" i="44" s="1"/>
  <c r="AY109" i="44" s="1"/>
  <c r="AZ109" i="44" s="1"/>
  <c r="BA109" i="44" s="1"/>
  <c r="BB109" i="44" s="1"/>
  <c r="BC109" i="44" s="1"/>
  <c r="BD109" i="44" s="1"/>
  <c r="BE109" i="44" s="1"/>
  <c r="BF109" i="44" s="1"/>
  <c r="BG109" i="44" s="1"/>
  <c r="BH109" i="44" s="1"/>
  <c r="BI109" i="44" s="1"/>
  <c r="BJ109" i="44" s="1"/>
  <c r="BK109" i="44" s="1"/>
  <c r="BL109" i="44" s="1"/>
  <c r="BM109" i="44" s="1"/>
  <c r="BN109" i="44" s="1"/>
  <c r="BO109" i="44" s="1"/>
  <c r="BP109" i="44" s="1"/>
  <c r="BQ109" i="44" s="1"/>
  <c r="BR109" i="44" s="1"/>
  <c r="BS109" i="44" s="1"/>
  <c r="BT109" i="44" s="1"/>
  <c r="BU109" i="44" s="1"/>
  <c r="BV109" i="44" s="1"/>
  <c r="BW109" i="44" s="1"/>
  <c r="BX109" i="44" s="1"/>
  <c r="BY109" i="44" s="1"/>
  <c r="BZ109" i="44" s="1"/>
  <c r="CA109" i="44" s="1"/>
  <c r="CB109" i="44" s="1"/>
  <c r="CC109" i="44" s="1"/>
  <c r="CD109" i="44" s="1"/>
  <c r="CE109" i="44" s="1"/>
  <c r="AH108" i="44"/>
  <c r="AI108" i="44" s="1"/>
  <c r="AJ108" i="44" s="1"/>
  <c r="AK108" i="44" s="1"/>
  <c r="AL108" i="44" s="1"/>
  <c r="AM108" i="44" s="1"/>
  <c r="AN108" i="44" s="1"/>
  <c r="AO108" i="44" s="1"/>
  <c r="AP108" i="44" s="1"/>
  <c r="AQ108" i="44" s="1"/>
  <c r="AR108" i="44" s="1"/>
  <c r="AS108" i="44" s="1"/>
  <c r="AT108" i="44" s="1"/>
  <c r="AU108" i="44" s="1"/>
  <c r="AV108" i="44" s="1"/>
  <c r="AW108" i="44" s="1"/>
  <c r="AX108" i="44" s="1"/>
  <c r="AY108" i="44" s="1"/>
  <c r="AZ108" i="44" s="1"/>
  <c r="BA108" i="44" s="1"/>
  <c r="BB108" i="44" s="1"/>
  <c r="BC108" i="44" s="1"/>
  <c r="BD108" i="44" s="1"/>
  <c r="BE108" i="44" s="1"/>
  <c r="BF108" i="44" s="1"/>
  <c r="BG108" i="44" s="1"/>
  <c r="BH108" i="44" s="1"/>
  <c r="BI108" i="44" s="1"/>
  <c r="BJ108" i="44" s="1"/>
  <c r="BK108" i="44" s="1"/>
  <c r="BL108" i="44" s="1"/>
  <c r="BM108" i="44" s="1"/>
  <c r="BN108" i="44" s="1"/>
  <c r="BO108" i="44" s="1"/>
  <c r="BP108" i="44" s="1"/>
  <c r="BQ108" i="44" s="1"/>
  <c r="BR108" i="44" s="1"/>
  <c r="BS108" i="44" s="1"/>
  <c r="BT108" i="44" s="1"/>
  <c r="BU108" i="44" s="1"/>
  <c r="BV108" i="44" s="1"/>
  <c r="BW108" i="44" s="1"/>
  <c r="BX108" i="44" s="1"/>
  <c r="BY108" i="44" s="1"/>
  <c r="BZ108" i="44" s="1"/>
  <c r="CA108" i="44" s="1"/>
  <c r="CB108" i="44" s="1"/>
  <c r="CC108" i="44" s="1"/>
  <c r="CD108" i="44" s="1"/>
  <c r="CE108" i="44" s="1"/>
  <c r="AH107" i="44"/>
  <c r="AI107" i="44" s="1"/>
  <c r="AJ107" i="44" s="1"/>
  <c r="AK107" i="44" s="1"/>
  <c r="AL107" i="44" s="1"/>
  <c r="AM107" i="44" s="1"/>
  <c r="AN107" i="44" s="1"/>
  <c r="AO107" i="44" s="1"/>
  <c r="AP107" i="44" s="1"/>
  <c r="AQ107" i="44" s="1"/>
  <c r="AR107" i="44" s="1"/>
  <c r="AS107" i="44" s="1"/>
  <c r="AT107" i="44" s="1"/>
  <c r="AU107" i="44" s="1"/>
  <c r="AV107" i="44" s="1"/>
  <c r="AW107" i="44" s="1"/>
  <c r="AX107" i="44" s="1"/>
  <c r="AY107" i="44" s="1"/>
  <c r="AZ107" i="44" s="1"/>
  <c r="BA107" i="44" s="1"/>
  <c r="BB107" i="44" s="1"/>
  <c r="BC107" i="44" s="1"/>
  <c r="BD107" i="44" s="1"/>
  <c r="BE107" i="44" s="1"/>
  <c r="BF107" i="44" s="1"/>
  <c r="BG107" i="44" s="1"/>
  <c r="BH107" i="44" s="1"/>
  <c r="BI107" i="44" s="1"/>
  <c r="BJ107" i="44" s="1"/>
  <c r="BK107" i="44" s="1"/>
  <c r="BL107" i="44" s="1"/>
  <c r="BM107" i="44" s="1"/>
  <c r="BN107" i="44" s="1"/>
  <c r="BO107" i="44" s="1"/>
  <c r="BP107" i="44" s="1"/>
  <c r="BQ107" i="44" s="1"/>
  <c r="BR107" i="44" s="1"/>
  <c r="BS107" i="44" s="1"/>
  <c r="BT107" i="44" s="1"/>
  <c r="BU107" i="44" s="1"/>
  <c r="BV107" i="44" s="1"/>
  <c r="BW107" i="44" s="1"/>
  <c r="BX107" i="44" s="1"/>
  <c r="BY107" i="44" s="1"/>
  <c r="BZ107" i="44" s="1"/>
  <c r="CA107" i="44" s="1"/>
  <c r="CB107" i="44" s="1"/>
  <c r="CC107" i="44" s="1"/>
  <c r="CD107" i="44" s="1"/>
  <c r="CE107" i="44" s="1"/>
  <c r="AH106" i="44"/>
  <c r="AI106" i="44" s="1"/>
  <c r="AJ106" i="44" s="1"/>
  <c r="AK106" i="44" s="1"/>
  <c r="AL106" i="44" s="1"/>
  <c r="AM106" i="44" s="1"/>
  <c r="AN106" i="44" s="1"/>
  <c r="AO106" i="44" s="1"/>
  <c r="AP106" i="44" s="1"/>
  <c r="AQ106" i="44" s="1"/>
  <c r="AR106" i="44" s="1"/>
  <c r="AS106" i="44" s="1"/>
  <c r="AT106" i="44" s="1"/>
  <c r="AU106" i="44" s="1"/>
  <c r="AV106" i="44" s="1"/>
  <c r="AW106" i="44" s="1"/>
  <c r="AX106" i="44" s="1"/>
  <c r="AY106" i="44" s="1"/>
  <c r="AZ106" i="44" s="1"/>
  <c r="BA106" i="44" s="1"/>
  <c r="BB106" i="44" s="1"/>
  <c r="BC106" i="44" s="1"/>
  <c r="BD106" i="44" s="1"/>
  <c r="BE106" i="44" s="1"/>
  <c r="BF106" i="44" s="1"/>
  <c r="BG106" i="44" s="1"/>
  <c r="BH106" i="44" s="1"/>
  <c r="BI106" i="44" s="1"/>
  <c r="BJ106" i="44" s="1"/>
  <c r="BK106" i="44" s="1"/>
  <c r="BL106" i="44" s="1"/>
  <c r="BM106" i="44" s="1"/>
  <c r="BN106" i="44" s="1"/>
  <c r="BO106" i="44" s="1"/>
  <c r="BP106" i="44" s="1"/>
  <c r="BQ106" i="44" s="1"/>
  <c r="BR106" i="44" s="1"/>
  <c r="BS106" i="44" s="1"/>
  <c r="BT106" i="44" s="1"/>
  <c r="BU106" i="44" s="1"/>
  <c r="BV106" i="44" s="1"/>
  <c r="BW106" i="44" s="1"/>
  <c r="BX106" i="44" s="1"/>
  <c r="BY106" i="44" s="1"/>
  <c r="BZ106" i="44" s="1"/>
  <c r="CA106" i="44" s="1"/>
  <c r="CB106" i="44" s="1"/>
  <c r="CC106" i="44" s="1"/>
  <c r="CD106" i="44" s="1"/>
  <c r="CE106" i="44" s="1"/>
  <c r="AH105" i="44"/>
  <c r="AI105" i="44" s="1"/>
  <c r="AJ105" i="44" s="1"/>
  <c r="AK105" i="44" s="1"/>
  <c r="AL105" i="44" s="1"/>
  <c r="AM105" i="44" s="1"/>
  <c r="AN105" i="44" s="1"/>
  <c r="AO105" i="44" s="1"/>
  <c r="AP105" i="44" s="1"/>
  <c r="AQ105" i="44" s="1"/>
  <c r="AR105" i="44" s="1"/>
  <c r="AS105" i="44" s="1"/>
  <c r="AT105" i="44" s="1"/>
  <c r="AU105" i="44" s="1"/>
  <c r="AV105" i="44" s="1"/>
  <c r="AW105" i="44" s="1"/>
  <c r="AX105" i="44" s="1"/>
  <c r="AY105" i="44" s="1"/>
  <c r="AZ105" i="44" s="1"/>
  <c r="BA105" i="44" s="1"/>
  <c r="BB105" i="44" s="1"/>
  <c r="BC105" i="44" s="1"/>
  <c r="BD105" i="44" s="1"/>
  <c r="BE105" i="44" s="1"/>
  <c r="BF105" i="44" s="1"/>
  <c r="BG105" i="44" s="1"/>
  <c r="BH105" i="44" s="1"/>
  <c r="BI105" i="44" s="1"/>
  <c r="BJ105" i="44" s="1"/>
  <c r="BK105" i="44" s="1"/>
  <c r="BL105" i="44" s="1"/>
  <c r="BM105" i="44" s="1"/>
  <c r="BN105" i="44" s="1"/>
  <c r="BO105" i="44" s="1"/>
  <c r="BP105" i="44" s="1"/>
  <c r="BQ105" i="44" s="1"/>
  <c r="BR105" i="44" s="1"/>
  <c r="BS105" i="44" s="1"/>
  <c r="BT105" i="44" s="1"/>
  <c r="BU105" i="44" s="1"/>
  <c r="BV105" i="44" s="1"/>
  <c r="BW105" i="44" s="1"/>
  <c r="BX105" i="44" s="1"/>
  <c r="BY105" i="44" s="1"/>
  <c r="BZ105" i="44" s="1"/>
  <c r="CA105" i="44" s="1"/>
  <c r="CB105" i="44" s="1"/>
  <c r="CC105" i="44" s="1"/>
  <c r="CD105" i="44" s="1"/>
  <c r="CE105" i="44" s="1"/>
  <c r="AH104" i="44"/>
  <c r="AI104" i="44" s="1"/>
  <c r="AJ104" i="44" s="1"/>
  <c r="AK104" i="44" s="1"/>
  <c r="AL104" i="44" s="1"/>
  <c r="AM104" i="44" s="1"/>
  <c r="AN104" i="44" s="1"/>
  <c r="AO104" i="44" s="1"/>
  <c r="AP104" i="44" s="1"/>
  <c r="AQ104" i="44" s="1"/>
  <c r="AR104" i="44" s="1"/>
  <c r="AS104" i="44" s="1"/>
  <c r="AT104" i="44" s="1"/>
  <c r="AU104" i="44" s="1"/>
  <c r="AV104" i="44" s="1"/>
  <c r="AW104" i="44" s="1"/>
  <c r="AX104" i="44" s="1"/>
  <c r="AY104" i="44" s="1"/>
  <c r="AZ104" i="44" s="1"/>
  <c r="BA104" i="44" s="1"/>
  <c r="BB104" i="44" s="1"/>
  <c r="BC104" i="44" s="1"/>
  <c r="BD104" i="44" s="1"/>
  <c r="BE104" i="44" s="1"/>
  <c r="BF104" i="44" s="1"/>
  <c r="BG104" i="44" s="1"/>
  <c r="BH104" i="44" s="1"/>
  <c r="BI104" i="44" s="1"/>
  <c r="BJ104" i="44" s="1"/>
  <c r="BK104" i="44" s="1"/>
  <c r="BL104" i="44" s="1"/>
  <c r="BM104" i="44" s="1"/>
  <c r="BN104" i="44" s="1"/>
  <c r="BO104" i="44" s="1"/>
  <c r="BP104" i="44" s="1"/>
  <c r="BQ104" i="44" s="1"/>
  <c r="BR104" i="44" s="1"/>
  <c r="BS104" i="44" s="1"/>
  <c r="BT104" i="44" s="1"/>
  <c r="BU104" i="44" s="1"/>
  <c r="BV104" i="44" s="1"/>
  <c r="BW104" i="44" s="1"/>
  <c r="BX104" i="44" s="1"/>
  <c r="BY104" i="44" s="1"/>
  <c r="BZ104" i="44" s="1"/>
  <c r="CA104" i="44" s="1"/>
  <c r="CB104" i="44" s="1"/>
  <c r="CC104" i="44" s="1"/>
  <c r="CD104" i="44" s="1"/>
  <c r="CE104" i="44" s="1"/>
  <c r="F103" i="44"/>
  <c r="G103" i="44" s="1"/>
  <c r="H103" i="44" s="1"/>
  <c r="I103" i="44" s="1"/>
  <c r="J103" i="44" s="1"/>
  <c r="K103" i="44" s="1"/>
  <c r="L103" i="44" s="1"/>
  <c r="M103" i="44" s="1"/>
  <c r="N103" i="44" s="1"/>
  <c r="O103" i="44" s="1"/>
  <c r="P103" i="44" s="1"/>
  <c r="Q103" i="44" s="1"/>
  <c r="R103" i="44" s="1"/>
  <c r="S103" i="44" s="1"/>
  <c r="T103" i="44" s="1"/>
  <c r="U103" i="44" s="1"/>
  <c r="V103" i="44" s="1"/>
  <c r="W103" i="44" s="1"/>
  <c r="X103" i="44" s="1"/>
  <c r="Y103" i="44" s="1"/>
  <c r="Z103" i="44" s="1"/>
  <c r="AA103" i="44" s="1"/>
  <c r="AB103" i="44" s="1"/>
  <c r="AC103" i="44" s="1"/>
  <c r="AD103" i="44" s="1"/>
  <c r="AE103" i="44" s="1"/>
  <c r="AF103" i="44" s="1"/>
  <c r="AG103" i="44" s="1"/>
  <c r="AH103" i="44" s="1"/>
  <c r="AI103" i="44" s="1"/>
  <c r="AJ103" i="44" s="1"/>
  <c r="AK103" i="44" s="1"/>
  <c r="AL103" i="44" s="1"/>
  <c r="AM103" i="44" s="1"/>
  <c r="AN103" i="44" s="1"/>
  <c r="AO103" i="44" s="1"/>
  <c r="AP103" i="44" s="1"/>
  <c r="AQ103" i="44" s="1"/>
  <c r="AR103" i="44" s="1"/>
  <c r="AS103" i="44" s="1"/>
  <c r="AT103" i="44" s="1"/>
  <c r="AU103" i="44" s="1"/>
  <c r="AV103" i="44" s="1"/>
  <c r="AW103" i="44" s="1"/>
  <c r="AX103" i="44" s="1"/>
  <c r="AY103" i="44" s="1"/>
  <c r="AZ103" i="44" s="1"/>
  <c r="BA103" i="44" s="1"/>
  <c r="BB103" i="44" s="1"/>
  <c r="BC103" i="44" s="1"/>
  <c r="BD103" i="44" s="1"/>
  <c r="BE103" i="44" s="1"/>
  <c r="BF103" i="44" s="1"/>
  <c r="BG103" i="44" s="1"/>
  <c r="BH103" i="44" s="1"/>
  <c r="BI103" i="44" s="1"/>
  <c r="BJ103" i="44" s="1"/>
  <c r="BK103" i="44" s="1"/>
  <c r="BL103" i="44" s="1"/>
  <c r="BM103" i="44" s="1"/>
  <c r="BN103" i="44" s="1"/>
  <c r="BO103" i="44" s="1"/>
  <c r="BP103" i="44" s="1"/>
  <c r="BQ103" i="44" s="1"/>
  <c r="BR103" i="44" s="1"/>
  <c r="BS103" i="44" s="1"/>
  <c r="BT103" i="44" s="1"/>
  <c r="BU103" i="44" s="1"/>
  <c r="BV103" i="44" s="1"/>
  <c r="BW103" i="44" s="1"/>
  <c r="BX103" i="44" s="1"/>
  <c r="BY103" i="44" s="1"/>
  <c r="BZ103" i="44" s="1"/>
  <c r="CA103" i="44" s="1"/>
  <c r="CB103" i="44" s="1"/>
  <c r="CC103" i="44" s="1"/>
  <c r="CD103" i="44" s="1"/>
  <c r="CE103" i="44" s="1"/>
  <c r="AH101" i="44"/>
  <c r="AI101" i="44" s="1"/>
  <c r="AJ101" i="44" s="1"/>
  <c r="AK101" i="44" s="1"/>
  <c r="AL101" i="44" s="1"/>
  <c r="AM101" i="44" s="1"/>
  <c r="AN101" i="44" s="1"/>
  <c r="AO101" i="44" s="1"/>
  <c r="AP101" i="44" s="1"/>
  <c r="AQ101" i="44" s="1"/>
  <c r="AR101" i="44" s="1"/>
  <c r="AS101" i="44" s="1"/>
  <c r="AT101" i="44" s="1"/>
  <c r="AU101" i="44" s="1"/>
  <c r="AV101" i="44" s="1"/>
  <c r="AW101" i="44" s="1"/>
  <c r="AX101" i="44" s="1"/>
  <c r="AY101" i="44" s="1"/>
  <c r="AZ101" i="44" s="1"/>
  <c r="BA101" i="44" s="1"/>
  <c r="BB101" i="44" s="1"/>
  <c r="BC101" i="44" s="1"/>
  <c r="BD101" i="44" s="1"/>
  <c r="BE101" i="44" s="1"/>
  <c r="BF101" i="44" s="1"/>
  <c r="BG101" i="44" s="1"/>
  <c r="BH101" i="44" s="1"/>
  <c r="BI101" i="44" s="1"/>
  <c r="BJ101" i="44" s="1"/>
  <c r="BK101" i="44" s="1"/>
  <c r="BL101" i="44" s="1"/>
  <c r="BM101" i="44" s="1"/>
  <c r="BN101" i="44" s="1"/>
  <c r="BO101" i="44" s="1"/>
  <c r="BP101" i="44" s="1"/>
  <c r="BQ101" i="44" s="1"/>
  <c r="BR101" i="44" s="1"/>
  <c r="BS101" i="44" s="1"/>
  <c r="BT101" i="44" s="1"/>
  <c r="BU101" i="44" s="1"/>
  <c r="BV101" i="44" s="1"/>
  <c r="BW101" i="44" s="1"/>
  <c r="BX101" i="44" s="1"/>
  <c r="BY101" i="44" s="1"/>
  <c r="BZ101" i="44" s="1"/>
  <c r="CA101" i="44" s="1"/>
  <c r="CB101" i="44" s="1"/>
  <c r="CC101" i="44" s="1"/>
  <c r="CD101" i="44" s="1"/>
  <c r="CE101" i="44" s="1"/>
  <c r="AH100" i="44"/>
  <c r="AI100" i="44" s="1"/>
  <c r="AJ100" i="44" s="1"/>
  <c r="AK100" i="44" s="1"/>
  <c r="AL100" i="44" s="1"/>
  <c r="AM100" i="44" s="1"/>
  <c r="AN100" i="44" s="1"/>
  <c r="AO100" i="44" s="1"/>
  <c r="AP100" i="44" s="1"/>
  <c r="AQ100" i="44" s="1"/>
  <c r="AR100" i="44" s="1"/>
  <c r="AS100" i="44" s="1"/>
  <c r="AT100" i="44" s="1"/>
  <c r="AU100" i="44" s="1"/>
  <c r="AV100" i="44" s="1"/>
  <c r="AW100" i="44" s="1"/>
  <c r="AX100" i="44" s="1"/>
  <c r="AY100" i="44" s="1"/>
  <c r="AZ100" i="44" s="1"/>
  <c r="BA100" i="44" s="1"/>
  <c r="BB100" i="44" s="1"/>
  <c r="BC100" i="44" s="1"/>
  <c r="BD100" i="44" s="1"/>
  <c r="BE100" i="44" s="1"/>
  <c r="BF100" i="44" s="1"/>
  <c r="BG100" i="44" s="1"/>
  <c r="BH100" i="44" s="1"/>
  <c r="BI100" i="44" s="1"/>
  <c r="BJ100" i="44" s="1"/>
  <c r="BK100" i="44" s="1"/>
  <c r="BL100" i="44" s="1"/>
  <c r="BM100" i="44" s="1"/>
  <c r="BN100" i="44" s="1"/>
  <c r="BO100" i="44" s="1"/>
  <c r="BP100" i="44" s="1"/>
  <c r="BQ100" i="44" s="1"/>
  <c r="BR100" i="44" s="1"/>
  <c r="BS100" i="44" s="1"/>
  <c r="BT100" i="44" s="1"/>
  <c r="BU100" i="44" s="1"/>
  <c r="BV100" i="44" s="1"/>
  <c r="BW100" i="44" s="1"/>
  <c r="BX100" i="44" s="1"/>
  <c r="BY100" i="44" s="1"/>
  <c r="BZ100" i="44" s="1"/>
  <c r="CA100" i="44" s="1"/>
  <c r="CB100" i="44" s="1"/>
  <c r="CC100" i="44" s="1"/>
  <c r="CD100" i="44" s="1"/>
  <c r="CE100" i="44" s="1"/>
  <c r="AH99" i="44"/>
  <c r="AI99" i="44" s="1"/>
  <c r="AJ99" i="44" s="1"/>
  <c r="AK99" i="44" s="1"/>
  <c r="AL99" i="44" s="1"/>
  <c r="AM99" i="44" s="1"/>
  <c r="AN99" i="44" s="1"/>
  <c r="AO99" i="44" s="1"/>
  <c r="AP99" i="44" s="1"/>
  <c r="AQ99" i="44" s="1"/>
  <c r="AR99" i="44" s="1"/>
  <c r="AS99" i="44" s="1"/>
  <c r="AT99" i="44" s="1"/>
  <c r="AU99" i="44" s="1"/>
  <c r="AV99" i="44" s="1"/>
  <c r="AW99" i="44" s="1"/>
  <c r="AX99" i="44" s="1"/>
  <c r="AY99" i="44" s="1"/>
  <c r="AZ99" i="44" s="1"/>
  <c r="BA99" i="44" s="1"/>
  <c r="BB99" i="44" s="1"/>
  <c r="BC99" i="44" s="1"/>
  <c r="BD99" i="44" s="1"/>
  <c r="BE99" i="44" s="1"/>
  <c r="BF99" i="44" s="1"/>
  <c r="BG99" i="44" s="1"/>
  <c r="BH99" i="44" s="1"/>
  <c r="BI99" i="44" s="1"/>
  <c r="BJ99" i="44" s="1"/>
  <c r="BK99" i="44" s="1"/>
  <c r="BL99" i="44" s="1"/>
  <c r="BM99" i="44" s="1"/>
  <c r="BN99" i="44" s="1"/>
  <c r="BO99" i="44" s="1"/>
  <c r="BP99" i="44" s="1"/>
  <c r="BQ99" i="44" s="1"/>
  <c r="BR99" i="44" s="1"/>
  <c r="BS99" i="44" s="1"/>
  <c r="BT99" i="44" s="1"/>
  <c r="BU99" i="44" s="1"/>
  <c r="BV99" i="44" s="1"/>
  <c r="BW99" i="44" s="1"/>
  <c r="BX99" i="44" s="1"/>
  <c r="BY99" i="44" s="1"/>
  <c r="BZ99" i="44" s="1"/>
  <c r="CA99" i="44" s="1"/>
  <c r="CB99" i="44" s="1"/>
  <c r="CC99" i="44" s="1"/>
  <c r="CD99" i="44" s="1"/>
  <c r="CE99" i="44" s="1"/>
  <c r="AH98" i="44"/>
  <c r="AI98" i="44" s="1"/>
  <c r="AJ98" i="44" s="1"/>
  <c r="AK98" i="44" s="1"/>
  <c r="AL98" i="44" s="1"/>
  <c r="AM98" i="44" s="1"/>
  <c r="AN98" i="44" s="1"/>
  <c r="AO98" i="44" s="1"/>
  <c r="AP98" i="44" s="1"/>
  <c r="AQ98" i="44" s="1"/>
  <c r="AR98" i="44" s="1"/>
  <c r="AS98" i="44" s="1"/>
  <c r="AT98" i="44" s="1"/>
  <c r="AU98" i="44" s="1"/>
  <c r="AV98" i="44" s="1"/>
  <c r="AW98" i="44" s="1"/>
  <c r="AX98" i="44" s="1"/>
  <c r="AY98" i="44" s="1"/>
  <c r="AZ98" i="44" s="1"/>
  <c r="BA98" i="44" s="1"/>
  <c r="BB98" i="44" s="1"/>
  <c r="BC98" i="44" s="1"/>
  <c r="BD98" i="44" s="1"/>
  <c r="BE98" i="44" s="1"/>
  <c r="BF98" i="44" s="1"/>
  <c r="BG98" i="44" s="1"/>
  <c r="BH98" i="44" s="1"/>
  <c r="BI98" i="44" s="1"/>
  <c r="BJ98" i="44" s="1"/>
  <c r="BK98" i="44" s="1"/>
  <c r="BL98" i="44" s="1"/>
  <c r="BM98" i="44" s="1"/>
  <c r="BN98" i="44" s="1"/>
  <c r="BO98" i="44" s="1"/>
  <c r="BP98" i="44" s="1"/>
  <c r="BQ98" i="44" s="1"/>
  <c r="BR98" i="44" s="1"/>
  <c r="BS98" i="44" s="1"/>
  <c r="BT98" i="44" s="1"/>
  <c r="BU98" i="44" s="1"/>
  <c r="BV98" i="44" s="1"/>
  <c r="BW98" i="44" s="1"/>
  <c r="BX98" i="44" s="1"/>
  <c r="BY98" i="44" s="1"/>
  <c r="BZ98" i="44" s="1"/>
  <c r="CA98" i="44" s="1"/>
  <c r="CB98" i="44" s="1"/>
  <c r="CC98" i="44" s="1"/>
  <c r="CD98" i="44" s="1"/>
  <c r="CE98" i="44" s="1"/>
  <c r="AH97" i="44"/>
  <c r="AI97" i="44" s="1"/>
  <c r="AJ97" i="44" s="1"/>
  <c r="AK97" i="44" s="1"/>
  <c r="AL97" i="44" s="1"/>
  <c r="AM97" i="44" s="1"/>
  <c r="AN97" i="44" s="1"/>
  <c r="AO97" i="44" s="1"/>
  <c r="AP97" i="44" s="1"/>
  <c r="AQ97" i="44" s="1"/>
  <c r="AR97" i="44" s="1"/>
  <c r="AS97" i="44" s="1"/>
  <c r="AT97" i="44" s="1"/>
  <c r="AU97" i="44" s="1"/>
  <c r="AV97" i="44" s="1"/>
  <c r="AW97" i="44" s="1"/>
  <c r="AX97" i="44" s="1"/>
  <c r="AY97" i="44" s="1"/>
  <c r="AZ97" i="44" s="1"/>
  <c r="BA97" i="44" s="1"/>
  <c r="BB97" i="44" s="1"/>
  <c r="BC97" i="44" s="1"/>
  <c r="BD97" i="44" s="1"/>
  <c r="BE97" i="44" s="1"/>
  <c r="BF97" i="44" s="1"/>
  <c r="BG97" i="44" s="1"/>
  <c r="BH97" i="44" s="1"/>
  <c r="BI97" i="44" s="1"/>
  <c r="BJ97" i="44" s="1"/>
  <c r="BK97" i="44" s="1"/>
  <c r="BL97" i="44" s="1"/>
  <c r="BM97" i="44" s="1"/>
  <c r="BN97" i="44" s="1"/>
  <c r="BO97" i="44" s="1"/>
  <c r="BP97" i="44" s="1"/>
  <c r="BQ97" i="44" s="1"/>
  <c r="BR97" i="44" s="1"/>
  <c r="BS97" i="44" s="1"/>
  <c r="BT97" i="44" s="1"/>
  <c r="BU97" i="44" s="1"/>
  <c r="BV97" i="44" s="1"/>
  <c r="BW97" i="44" s="1"/>
  <c r="BX97" i="44" s="1"/>
  <c r="BY97" i="44" s="1"/>
  <c r="BZ97" i="44" s="1"/>
  <c r="CA97" i="44" s="1"/>
  <c r="CB97" i="44" s="1"/>
  <c r="CC97" i="44" s="1"/>
  <c r="CD97" i="44" s="1"/>
  <c r="CE97" i="44" s="1"/>
  <c r="AH96" i="44"/>
  <c r="AI96" i="44" s="1"/>
  <c r="AJ96" i="44" s="1"/>
  <c r="AK96" i="44" s="1"/>
  <c r="AL96" i="44" s="1"/>
  <c r="AM96" i="44" s="1"/>
  <c r="AN96" i="44" s="1"/>
  <c r="AO96" i="44" s="1"/>
  <c r="AP96" i="44" s="1"/>
  <c r="AQ96" i="44" s="1"/>
  <c r="AR96" i="44" s="1"/>
  <c r="AS96" i="44" s="1"/>
  <c r="AT96" i="44" s="1"/>
  <c r="AU96" i="44" s="1"/>
  <c r="AV96" i="44" s="1"/>
  <c r="AW96" i="44" s="1"/>
  <c r="AX96" i="44" s="1"/>
  <c r="AY96" i="44" s="1"/>
  <c r="AZ96" i="44" s="1"/>
  <c r="BA96" i="44" s="1"/>
  <c r="BB96" i="44" s="1"/>
  <c r="BC96" i="44" s="1"/>
  <c r="BD96" i="44" s="1"/>
  <c r="BE96" i="44" s="1"/>
  <c r="BF96" i="44" s="1"/>
  <c r="BG96" i="44" s="1"/>
  <c r="BH96" i="44" s="1"/>
  <c r="BI96" i="44" s="1"/>
  <c r="BJ96" i="44" s="1"/>
  <c r="BK96" i="44" s="1"/>
  <c r="BL96" i="44" s="1"/>
  <c r="BM96" i="44" s="1"/>
  <c r="BN96" i="44" s="1"/>
  <c r="BO96" i="44" s="1"/>
  <c r="BP96" i="44" s="1"/>
  <c r="BQ96" i="44" s="1"/>
  <c r="BR96" i="44" s="1"/>
  <c r="BS96" i="44" s="1"/>
  <c r="BT96" i="44" s="1"/>
  <c r="BU96" i="44" s="1"/>
  <c r="BV96" i="44" s="1"/>
  <c r="BW96" i="44" s="1"/>
  <c r="BX96" i="44" s="1"/>
  <c r="BY96" i="44" s="1"/>
  <c r="BZ96" i="44" s="1"/>
  <c r="CA96" i="44" s="1"/>
  <c r="CB96" i="44" s="1"/>
  <c r="CC96" i="44" s="1"/>
  <c r="CD96" i="44" s="1"/>
  <c r="CE96" i="44" s="1"/>
  <c r="AH95" i="44"/>
  <c r="AI95" i="44" s="1"/>
  <c r="AJ95" i="44" s="1"/>
  <c r="AK95" i="44" s="1"/>
  <c r="AL95" i="44" s="1"/>
  <c r="AM95" i="44" s="1"/>
  <c r="AN95" i="44" s="1"/>
  <c r="AO95" i="44" s="1"/>
  <c r="AP95" i="44" s="1"/>
  <c r="AQ95" i="44" s="1"/>
  <c r="AR95" i="44" s="1"/>
  <c r="AS95" i="44" s="1"/>
  <c r="AT95" i="44" s="1"/>
  <c r="AU95" i="44" s="1"/>
  <c r="AV95" i="44" s="1"/>
  <c r="AW95" i="44" s="1"/>
  <c r="AX95" i="44" s="1"/>
  <c r="AY95" i="44" s="1"/>
  <c r="AZ95" i="44" s="1"/>
  <c r="BA95" i="44" s="1"/>
  <c r="BB95" i="44" s="1"/>
  <c r="BC95" i="44" s="1"/>
  <c r="BD95" i="44" s="1"/>
  <c r="BE95" i="44" s="1"/>
  <c r="BF95" i="44" s="1"/>
  <c r="BG95" i="44" s="1"/>
  <c r="BH95" i="44" s="1"/>
  <c r="BI95" i="44" s="1"/>
  <c r="BJ95" i="44" s="1"/>
  <c r="BK95" i="44" s="1"/>
  <c r="BL95" i="44" s="1"/>
  <c r="BM95" i="44" s="1"/>
  <c r="BN95" i="44" s="1"/>
  <c r="BO95" i="44" s="1"/>
  <c r="BP95" i="44" s="1"/>
  <c r="BQ95" i="44" s="1"/>
  <c r="BR95" i="44" s="1"/>
  <c r="BS95" i="44" s="1"/>
  <c r="BT95" i="44" s="1"/>
  <c r="BU95" i="44" s="1"/>
  <c r="BV95" i="44" s="1"/>
  <c r="BW95" i="44" s="1"/>
  <c r="BX95" i="44" s="1"/>
  <c r="BY95" i="44" s="1"/>
  <c r="BZ95" i="44" s="1"/>
  <c r="CA95" i="44" s="1"/>
  <c r="CB95" i="44" s="1"/>
  <c r="CC95" i="44" s="1"/>
  <c r="CD95" i="44" s="1"/>
  <c r="CE95" i="44" s="1"/>
  <c r="AH94" i="44"/>
  <c r="AI94" i="44" s="1"/>
  <c r="AJ94" i="44" s="1"/>
  <c r="AK94" i="44" s="1"/>
  <c r="AL94" i="44" s="1"/>
  <c r="AM94" i="44" s="1"/>
  <c r="AN94" i="44" s="1"/>
  <c r="AO94" i="44" s="1"/>
  <c r="AP94" i="44" s="1"/>
  <c r="AQ94" i="44" s="1"/>
  <c r="AR94" i="44" s="1"/>
  <c r="AS94" i="44" s="1"/>
  <c r="AT94" i="44" s="1"/>
  <c r="AU94" i="44" s="1"/>
  <c r="AV94" i="44" s="1"/>
  <c r="AW94" i="44" s="1"/>
  <c r="AX94" i="44" s="1"/>
  <c r="AY94" i="44" s="1"/>
  <c r="AZ94" i="44" s="1"/>
  <c r="BA94" i="44" s="1"/>
  <c r="BB94" i="44" s="1"/>
  <c r="BC94" i="44" s="1"/>
  <c r="BD94" i="44" s="1"/>
  <c r="BE94" i="44" s="1"/>
  <c r="BF94" i="44" s="1"/>
  <c r="BG94" i="44" s="1"/>
  <c r="BH94" i="44" s="1"/>
  <c r="BI94" i="44" s="1"/>
  <c r="BJ94" i="44" s="1"/>
  <c r="BK94" i="44" s="1"/>
  <c r="BL94" i="44" s="1"/>
  <c r="BM94" i="44" s="1"/>
  <c r="BN94" i="44" s="1"/>
  <c r="BO94" i="44" s="1"/>
  <c r="BP94" i="44" s="1"/>
  <c r="BQ94" i="44" s="1"/>
  <c r="BR94" i="44" s="1"/>
  <c r="BS94" i="44" s="1"/>
  <c r="BT94" i="44" s="1"/>
  <c r="BU94" i="44" s="1"/>
  <c r="BV94" i="44" s="1"/>
  <c r="BW94" i="44" s="1"/>
  <c r="BX94" i="44" s="1"/>
  <c r="BY94" i="44" s="1"/>
  <c r="BZ94" i="44" s="1"/>
  <c r="CA94" i="44" s="1"/>
  <c r="CB94" i="44" s="1"/>
  <c r="CC94" i="44" s="1"/>
  <c r="CD94" i="44" s="1"/>
  <c r="CE94" i="44" s="1"/>
  <c r="AH92" i="44"/>
  <c r="AI92" i="44" s="1"/>
  <c r="AJ92" i="44" s="1"/>
  <c r="AK92" i="44" s="1"/>
  <c r="AL92" i="44" s="1"/>
  <c r="AM92" i="44" s="1"/>
  <c r="AN92" i="44" s="1"/>
  <c r="AO92" i="44" s="1"/>
  <c r="AP92" i="44" s="1"/>
  <c r="AQ92" i="44" s="1"/>
  <c r="AR92" i="44" s="1"/>
  <c r="AS92" i="44" s="1"/>
  <c r="AT92" i="44" s="1"/>
  <c r="AU92" i="44" s="1"/>
  <c r="AV92" i="44" s="1"/>
  <c r="AW92" i="44" s="1"/>
  <c r="AX92" i="44" s="1"/>
  <c r="AY92" i="44" s="1"/>
  <c r="AZ92" i="44" s="1"/>
  <c r="BA92" i="44" s="1"/>
  <c r="BB92" i="44" s="1"/>
  <c r="BC92" i="44" s="1"/>
  <c r="BD92" i="44" s="1"/>
  <c r="BE92" i="44" s="1"/>
  <c r="BF92" i="44" s="1"/>
  <c r="BG92" i="44" s="1"/>
  <c r="BH92" i="44" s="1"/>
  <c r="BI92" i="44" s="1"/>
  <c r="BJ92" i="44" s="1"/>
  <c r="BK92" i="44" s="1"/>
  <c r="BL92" i="44" s="1"/>
  <c r="BM92" i="44" s="1"/>
  <c r="BN92" i="44" s="1"/>
  <c r="BO92" i="44" s="1"/>
  <c r="BP92" i="44" s="1"/>
  <c r="BQ92" i="44" s="1"/>
  <c r="BR92" i="44" s="1"/>
  <c r="BS92" i="44" s="1"/>
  <c r="BT92" i="44" s="1"/>
  <c r="BU92" i="44" s="1"/>
  <c r="BV92" i="44" s="1"/>
  <c r="BW92" i="44" s="1"/>
  <c r="BX92" i="44" s="1"/>
  <c r="BY92" i="44" s="1"/>
  <c r="BZ92" i="44" s="1"/>
  <c r="CA92" i="44" s="1"/>
  <c r="CB92" i="44" s="1"/>
  <c r="CC92" i="44" s="1"/>
  <c r="CD92" i="44" s="1"/>
  <c r="CE92" i="44" s="1"/>
  <c r="AH91" i="44"/>
  <c r="AI91" i="44" s="1"/>
  <c r="AJ91" i="44" s="1"/>
  <c r="AK91" i="44" s="1"/>
  <c r="AL91" i="44" s="1"/>
  <c r="AM91" i="44" s="1"/>
  <c r="AN91" i="44" s="1"/>
  <c r="AO91" i="44" s="1"/>
  <c r="AP91" i="44" s="1"/>
  <c r="AQ91" i="44" s="1"/>
  <c r="AR91" i="44" s="1"/>
  <c r="AS91" i="44" s="1"/>
  <c r="AT91" i="44" s="1"/>
  <c r="AU91" i="44" s="1"/>
  <c r="AV91" i="44" s="1"/>
  <c r="AW91" i="44" s="1"/>
  <c r="AX91" i="44" s="1"/>
  <c r="AY91" i="44" s="1"/>
  <c r="AZ91" i="44" s="1"/>
  <c r="BA91" i="44" s="1"/>
  <c r="BB91" i="44" s="1"/>
  <c r="BC91" i="44" s="1"/>
  <c r="BD91" i="44" s="1"/>
  <c r="BE91" i="44" s="1"/>
  <c r="BF91" i="44" s="1"/>
  <c r="BG91" i="44" s="1"/>
  <c r="BH91" i="44" s="1"/>
  <c r="BI91" i="44" s="1"/>
  <c r="BJ91" i="44" s="1"/>
  <c r="BK91" i="44" s="1"/>
  <c r="BL91" i="44" s="1"/>
  <c r="BM91" i="44" s="1"/>
  <c r="BN91" i="44" s="1"/>
  <c r="BO91" i="44" s="1"/>
  <c r="BP91" i="44" s="1"/>
  <c r="BQ91" i="44" s="1"/>
  <c r="BR91" i="44" s="1"/>
  <c r="BS91" i="44" s="1"/>
  <c r="BT91" i="44" s="1"/>
  <c r="BU91" i="44" s="1"/>
  <c r="BV91" i="44" s="1"/>
  <c r="BW91" i="44" s="1"/>
  <c r="BX91" i="44" s="1"/>
  <c r="BY91" i="44" s="1"/>
  <c r="BZ91" i="44" s="1"/>
  <c r="CA91" i="44" s="1"/>
  <c r="CB91" i="44" s="1"/>
  <c r="CC91" i="44" s="1"/>
  <c r="CD91" i="44" s="1"/>
  <c r="CE91" i="44" s="1"/>
  <c r="AH89" i="44"/>
  <c r="AI89" i="44" s="1"/>
  <c r="AJ89" i="44" s="1"/>
  <c r="AK89" i="44" s="1"/>
  <c r="AL89" i="44" s="1"/>
  <c r="AM89" i="44" s="1"/>
  <c r="AN89" i="44" s="1"/>
  <c r="AO89" i="44" s="1"/>
  <c r="AP89" i="44" s="1"/>
  <c r="AQ89" i="44" s="1"/>
  <c r="AR89" i="44" s="1"/>
  <c r="AS89" i="44" s="1"/>
  <c r="AT89" i="44" s="1"/>
  <c r="AU89" i="44" s="1"/>
  <c r="AV89" i="44" s="1"/>
  <c r="AW89" i="44" s="1"/>
  <c r="AX89" i="44" s="1"/>
  <c r="AY89" i="44" s="1"/>
  <c r="AZ89" i="44" s="1"/>
  <c r="BA89" i="44" s="1"/>
  <c r="BB89" i="44" s="1"/>
  <c r="BC89" i="44" s="1"/>
  <c r="BD89" i="44" s="1"/>
  <c r="BE89" i="44" s="1"/>
  <c r="BF89" i="44" s="1"/>
  <c r="BG89" i="44" s="1"/>
  <c r="BH89" i="44" s="1"/>
  <c r="BI89" i="44" s="1"/>
  <c r="BJ89" i="44" s="1"/>
  <c r="BK89" i="44" s="1"/>
  <c r="BL89" i="44" s="1"/>
  <c r="BM89" i="44" s="1"/>
  <c r="BN89" i="44" s="1"/>
  <c r="BO89" i="44" s="1"/>
  <c r="BP89" i="44" s="1"/>
  <c r="BQ89" i="44" s="1"/>
  <c r="BR89" i="44" s="1"/>
  <c r="BS89" i="44" s="1"/>
  <c r="BT89" i="44" s="1"/>
  <c r="BU89" i="44" s="1"/>
  <c r="BV89" i="44" s="1"/>
  <c r="BW89" i="44" s="1"/>
  <c r="BX89" i="44" s="1"/>
  <c r="BY89" i="44" s="1"/>
  <c r="BZ89" i="44" s="1"/>
  <c r="CA89" i="44" s="1"/>
  <c r="CB89" i="44" s="1"/>
  <c r="CC89" i="44" s="1"/>
  <c r="CD89" i="44" s="1"/>
  <c r="CE89" i="44" s="1"/>
  <c r="AH88" i="44"/>
  <c r="AI88" i="44" s="1"/>
  <c r="AJ88" i="44" s="1"/>
  <c r="AK88" i="44" s="1"/>
  <c r="AL88" i="44" s="1"/>
  <c r="AM88" i="44" s="1"/>
  <c r="AN88" i="44" s="1"/>
  <c r="AO88" i="44" s="1"/>
  <c r="AP88" i="44" s="1"/>
  <c r="AQ88" i="44" s="1"/>
  <c r="AR88" i="44" s="1"/>
  <c r="AS88" i="44" s="1"/>
  <c r="AT88" i="44" s="1"/>
  <c r="AU88" i="44" s="1"/>
  <c r="AV88" i="44" s="1"/>
  <c r="AW88" i="44" s="1"/>
  <c r="AX88" i="44" s="1"/>
  <c r="AY88" i="44" s="1"/>
  <c r="AZ88" i="44" s="1"/>
  <c r="BA88" i="44" s="1"/>
  <c r="BB88" i="44" s="1"/>
  <c r="BC88" i="44" s="1"/>
  <c r="BD88" i="44" s="1"/>
  <c r="BE88" i="44" s="1"/>
  <c r="BF88" i="44" s="1"/>
  <c r="BG88" i="44" s="1"/>
  <c r="BH88" i="44" s="1"/>
  <c r="BI88" i="44" s="1"/>
  <c r="BJ88" i="44" s="1"/>
  <c r="BK88" i="44" s="1"/>
  <c r="BL88" i="44" s="1"/>
  <c r="BM88" i="44" s="1"/>
  <c r="BN88" i="44" s="1"/>
  <c r="BO88" i="44" s="1"/>
  <c r="BP88" i="44" s="1"/>
  <c r="BQ88" i="44" s="1"/>
  <c r="BR88" i="44" s="1"/>
  <c r="BS88" i="44" s="1"/>
  <c r="BT88" i="44" s="1"/>
  <c r="BU88" i="44" s="1"/>
  <c r="BV88" i="44" s="1"/>
  <c r="BW88" i="44" s="1"/>
  <c r="BX88" i="44" s="1"/>
  <c r="BY88" i="44" s="1"/>
  <c r="BZ88" i="44" s="1"/>
  <c r="CA88" i="44" s="1"/>
  <c r="CB88" i="44" s="1"/>
  <c r="CC88" i="44" s="1"/>
  <c r="CD88" i="44" s="1"/>
  <c r="CE88" i="44" s="1"/>
  <c r="AH87" i="44"/>
  <c r="AI87" i="44" s="1"/>
  <c r="AJ87" i="44" s="1"/>
  <c r="AK87" i="44" s="1"/>
  <c r="AL87" i="44" s="1"/>
  <c r="AM87" i="44" s="1"/>
  <c r="AN87" i="44" s="1"/>
  <c r="AO87" i="44" s="1"/>
  <c r="AP87" i="44" s="1"/>
  <c r="AQ87" i="44" s="1"/>
  <c r="AR87" i="44" s="1"/>
  <c r="AS87" i="44" s="1"/>
  <c r="AT87" i="44" s="1"/>
  <c r="AU87" i="44" s="1"/>
  <c r="AV87" i="44" s="1"/>
  <c r="AW87" i="44" s="1"/>
  <c r="AX87" i="44" s="1"/>
  <c r="AY87" i="44" s="1"/>
  <c r="AZ87" i="44" s="1"/>
  <c r="BA87" i="44" s="1"/>
  <c r="BB87" i="44" s="1"/>
  <c r="BC87" i="44" s="1"/>
  <c r="BD87" i="44" s="1"/>
  <c r="BE87" i="44" s="1"/>
  <c r="BF87" i="44" s="1"/>
  <c r="BG87" i="44" s="1"/>
  <c r="BH87" i="44" s="1"/>
  <c r="BI87" i="44" s="1"/>
  <c r="BJ87" i="44" s="1"/>
  <c r="BK87" i="44" s="1"/>
  <c r="BL87" i="44" s="1"/>
  <c r="BM87" i="44" s="1"/>
  <c r="BN87" i="44" s="1"/>
  <c r="BO87" i="44" s="1"/>
  <c r="BP87" i="44" s="1"/>
  <c r="BQ87" i="44" s="1"/>
  <c r="BR87" i="44" s="1"/>
  <c r="BS87" i="44" s="1"/>
  <c r="BT87" i="44" s="1"/>
  <c r="BU87" i="44" s="1"/>
  <c r="BV87" i="44" s="1"/>
  <c r="BW87" i="44" s="1"/>
  <c r="BX87" i="44" s="1"/>
  <c r="BY87" i="44" s="1"/>
  <c r="BZ87" i="44" s="1"/>
  <c r="CA87" i="44" s="1"/>
  <c r="CB87" i="44" s="1"/>
  <c r="CC87" i="44" s="1"/>
  <c r="CD87" i="44" s="1"/>
  <c r="CE87" i="44" s="1"/>
  <c r="AH86" i="44"/>
  <c r="AI86" i="44" s="1"/>
  <c r="AJ86" i="44" s="1"/>
  <c r="AK86" i="44" s="1"/>
  <c r="AL86" i="44" s="1"/>
  <c r="AM86" i="44" s="1"/>
  <c r="AN86" i="44" s="1"/>
  <c r="AO86" i="44" s="1"/>
  <c r="AP86" i="44" s="1"/>
  <c r="AQ86" i="44" s="1"/>
  <c r="AR86" i="44" s="1"/>
  <c r="AS86" i="44" s="1"/>
  <c r="AT86" i="44" s="1"/>
  <c r="AU86" i="44" s="1"/>
  <c r="AV86" i="44" s="1"/>
  <c r="AW86" i="44" s="1"/>
  <c r="AX86" i="44" s="1"/>
  <c r="AY86" i="44" s="1"/>
  <c r="AZ86" i="44" s="1"/>
  <c r="BA86" i="44" s="1"/>
  <c r="BB86" i="44" s="1"/>
  <c r="BC86" i="44" s="1"/>
  <c r="BD86" i="44" s="1"/>
  <c r="BE86" i="44" s="1"/>
  <c r="BF86" i="44" s="1"/>
  <c r="BG86" i="44" s="1"/>
  <c r="BH86" i="44" s="1"/>
  <c r="BI86" i="44" s="1"/>
  <c r="BJ86" i="44" s="1"/>
  <c r="BK86" i="44" s="1"/>
  <c r="BL86" i="44" s="1"/>
  <c r="BM86" i="44" s="1"/>
  <c r="BN86" i="44" s="1"/>
  <c r="BO86" i="44" s="1"/>
  <c r="BP86" i="44" s="1"/>
  <c r="BQ86" i="44" s="1"/>
  <c r="BR86" i="44" s="1"/>
  <c r="BS86" i="44" s="1"/>
  <c r="BT86" i="44" s="1"/>
  <c r="BU86" i="44" s="1"/>
  <c r="BV86" i="44" s="1"/>
  <c r="BW86" i="44" s="1"/>
  <c r="BX86" i="44" s="1"/>
  <c r="BY86" i="44" s="1"/>
  <c r="BZ86" i="44" s="1"/>
  <c r="CA86" i="44" s="1"/>
  <c r="CB86" i="44" s="1"/>
  <c r="CC86" i="44" s="1"/>
  <c r="CD86" i="44" s="1"/>
  <c r="CE86" i="44" s="1"/>
  <c r="AH85" i="44"/>
  <c r="AI85" i="44" s="1"/>
  <c r="AJ85" i="44" s="1"/>
  <c r="AK85" i="44" s="1"/>
  <c r="AL85" i="44" s="1"/>
  <c r="AM85" i="44" s="1"/>
  <c r="AN85" i="44" s="1"/>
  <c r="AO85" i="44" s="1"/>
  <c r="AP85" i="44" s="1"/>
  <c r="AQ85" i="44" s="1"/>
  <c r="AR85" i="44" s="1"/>
  <c r="AS85" i="44" s="1"/>
  <c r="AT85" i="44" s="1"/>
  <c r="AU85" i="44" s="1"/>
  <c r="AV85" i="44" s="1"/>
  <c r="AW85" i="44" s="1"/>
  <c r="AX85" i="44" s="1"/>
  <c r="AY85" i="44" s="1"/>
  <c r="AZ85" i="44" s="1"/>
  <c r="BA85" i="44" s="1"/>
  <c r="BB85" i="44" s="1"/>
  <c r="BC85" i="44" s="1"/>
  <c r="BD85" i="44" s="1"/>
  <c r="BE85" i="44" s="1"/>
  <c r="BF85" i="44" s="1"/>
  <c r="BG85" i="44" s="1"/>
  <c r="BH85" i="44" s="1"/>
  <c r="BI85" i="44" s="1"/>
  <c r="BJ85" i="44" s="1"/>
  <c r="BK85" i="44" s="1"/>
  <c r="BL85" i="44" s="1"/>
  <c r="BM85" i="44" s="1"/>
  <c r="BN85" i="44" s="1"/>
  <c r="BO85" i="44" s="1"/>
  <c r="BP85" i="44" s="1"/>
  <c r="BQ85" i="44" s="1"/>
  <c r="BR85" i="44" s="1"/>
  <c r="BS85" i="44" s="1"/>
  <c r="BT85" i="44" s="1"/>
  <c r="BU85" i="44" s="1"/>
  <c r="BV85" i="44" s="1"/>
  <c r="BW85" i="44" s="1"/>
  <c r="BX85" i="44" s="1"/>
  <c r="BY85" i="44" s="1"/>
  <c r="BZ85" i="44" s="1"/>
  <c r="CA85" i="44" s="1"/>
  <c r="CB85" i="44" s="1"/>
  <c r="CC85" i="44" s="1"/>
  <c r="CD85" i="44" s="1"/>
  <c r="CE85" i="44" s="1"/>
  <c r="AH84" i="44"/>
  <c r="AI84" i="44" s="1"/>
  <c r="AJ84" i="44" s="1"/>
  <c r="AK84" i="44" s="1"/>
  <c r="AL84" i="44" s="1"/>
  <c r="AM84" i="44" s="1"/>
  <c r="AN84" i="44" s="1"/>
  <c r="AO84" i="44" s="1"/>
  <c r="AP84" i="44" s="1"/>
  <c r="AQ84" i="44" s="1"/>
  <c r="AR84" i="44" s="1"/>
  <c r="AS84" i="44" s="1"/>
  <c r="AT84" i="44" s="1"/>
  <c r="AU84" i="44" s="1"/>
  <c r="AV84" i="44" s="1"/>
  <c r="AW84" i="44" s="1"/>
  <c r="AX84" i="44" s="1"/>
  <c r="AY84" i="44" s="1"/>
  <c r="AZ84" i="44" s="1"/>
  <c r="BA84" i="44" s="1"/>
  <c r="BB84" i="44" s="1"/>
  <c r="BC84" i="44" s="1"/>
  <c r="BD84" i="44" s="1"/>
  <c r="BE84" i="44" s="1"/>
  <c r="BF84" i="44" s="1"/>
  <c r="BG84" i="44" s="1"/>
  <c r="BH84" i="44" s="1"/>
  <c r="BI84" i="44" s="1"/>
  <c r="BJ84" i="44" s="1"/>
  <c r="BK84" i="44" s="1"/>
  <c r="BL84" i="44" s="1"/>
  <c r="BM84" i="44" s="1"/>
  <c r="BN84" i="44" s="1"/>
  <c r="BO84" i="44" s="1"/>
  <c r="BP84" i="44" s="1"/>
  <c r="BQ84" i="44" s="1"/>
  <c r="BR84" i="44" s="1"/>
  <c r="BS84" i="44" s="1"/>
  <c r="BT84" i="44" s="1"/>
  <c r="BU84" i="44" s="1"/>
  <c r="BV84" i="44" s="1"/>
  <c r="BW84" i="44" s="1"/>
  <c r="BX84" i="44" s="1"/>
  <c r="BY84" i="44" s="1"/>
  <c r="BZ84" i="44" s="1"/>
  <c r="CA84" i="44" s="1"/>
  <c r="CB84" i="44" s="1"/>
  <c r="CC84" i="44" s="1"/>
  <c r="CD84" i="44" s="1"/>
  <c r="CE84" i="44" s="1"/>
  <c r="AH83" i="44"/>
  <c r="AI83" i="44" s="1"/>
  <c r="AJ83" i="44" s="1"/>
  <c r="AK83" i="44" s="1"/>
  <c r="AL83" i="44" s="1"/>
  <c r="AM83" i="44" s="1"/>
  <c r="AN83" i="44" s="1"/>
  <c r="AO83" i="44" s="1"/>
  <c r="AP83" i="44" s="1"/>
  <c r="AQ83" i="44" s="1"/>
  <c r="AR83" i="44" s="1"/>
  <c r="AS83" i="44" s="1"/>
  <c r="AT83" i="44" s="1"/>
  <c r="AU83" i="44" s="1"/>
  <c r="AV83" i="44" s="1"/>
  <c r="AW83" i="44" s="1"/>
  <c r="AX83" i="44" s="1"/>
  <c r="AY83" i="44" s="1"/>
  <c r="AZ83" i="44" s="1"/>
  <c r="BA83" i="44" s="1"/>
  <c r="BB83" i="44" s="1"/>
  <c r="BC83" i="44" s="1"/>
  <c r="BD83" i="44" s="1"/>
  <c r="BE83" i="44" s="1"/>
  <c r="BF83" i="44" s="1"/>
  <c r="BG83" i="44" s="1"/>
  <c r="BH83" i="44" s="1"/>
  <c r="BI83" i="44" s="1"/>
  <c r="BJ83" i="44" s="1"/>
  <c r="BK83" i="44" s="1"/>
  <c r="BL83" i="44" s="1"/>
  <c r="BM83" i="44" s="1"/>
  <c r="BN83" i="44" s="1"/>
  <c r="BO83" i="44" s="1"/>
  <c r="BP83" i="44" s="1"/>
  <c r="BQ83" i="44" s="1"/>
  <c r="BR83" i="44" s="1"/>
  <c r="BS83" i="44" s="1"/>
  <c r="BT83" i="44" s="1"/>
  <c r="BU83" i="44" s="1"/>
  <c r="BV83" i="44" s="1"/>
  <c r="BW83" i="44" s="1"/>
  <c r="BX83" i="44" s="1"/>
  <c r="BY83" i="44" s="1"/>
  <c r="BZ83" i="44" s="1"/>
  <c r="CA83" i="44" s="1"/>
  <c r="CB83" i="44" s="1"/>
  <c r="CC83" i="44" s="1"/>
  <c r="CD83" i="44" s="1"/>
  <c r="CE83" i="44" s="1"/>
  <c r="AH82" i="44"/>
  <c r="AI82" i="44" s="1"/>
  <c r="AJ82" i="44" s="1"/>
  <c r="AK82" i="44" s="1"/>
  <c r="AL82" i="44" s="1"/>
  <c r="AM82" i="44" s="1"/>
  <c r="AN82" i="44" s="1"/>
  <c r="AO82" i="44" s="1"/>
  <c r="AP82" i="44" s="1"/>
  <c r="AQ82" i="44" s="1"/>
  <c r="AR82" i="44" s="1"/>
  <c r="AS82" i="44" s="1"/>
  <c r="AT82" i="44" s="1"/>
  <c r="AU82" i="44" s="1"/>
  <c r="AV82" i="44" s="1"/>
  <c r="AW82" i="44" s="1"/>
  <c r="AX82" i="44" s="1"/>
  <c r="AY82" i="44" s="1"/>
  <c r="AZ82" i="44" s="1"/>
  <c r="BA82" i="44" s="1"/>
  <c r="BB82" i="44" s="1"/>
  <c r="BC82" i="44" s="1"/>
  <c r="BD82" i="44" s="1"/>
  <c r="BE82" i="44" s="1"/>
  <c r="BF82" i="44" s="1"/>
  <c r="BG82" i="44" s="1"/>
  <c r="BH82" i="44" s="1"/>
  <c r="BI82" i="44" s="1"/>
  <c r="BJ82" i="44" s="1"/>
  <c r="BK82" i="44" s="1"/>
  <c r="BL82" i="44" s="1"/>
  <c r="BM82" i="44" s="1"/>
  <c r="BN82" i="44" s="1"/>
  <c r="BO82" i="44" s="1"/>
  <c r="BP82" i="44" s="1"/>
  <c r="BQ82" i="44" s="1"/>
  <c r="BR82" i="44" s="1"/>
  <c r="BS82" i="44" s="1"/>
  <c r="BT82" i="44" s="1"/>
  <c r="BU82" i="44" s="1"/>
  <c r="BV82" i="44" s="1"/>
  <c r="BW82" i="44" s="1"/>
  <c r="BX82" i="44" s="1"/>
  <c r="BY82" i="44" s="1"/>
  <c r="BZ82" i="44" s="1"/>
  <c r="CA82" i="44" s="1"/>
  <c r="CB82" i="44" s="1"/>
  <c r="CC82" i="44" s="1"/>
  <c r="CD82" i="44" s="1"/>
  <c r="CE82" i="44" s="1"/>
  <c r="AH81" i="44"/>
  <c r="AI81" i="44" s="1"/>
  <c r="AJ81" i="44" s="1"/>
  <c r="AK81" i="44" s="1"/>
  <c r="AL81" i="44" s="1"/>
  <c r="AM81" i="44" s="1"/>
  <c r="AN81" i="44" s="1"/>
  <c r="AO81" i="44" s="1"/>
  <c r="AP81" i="44" s="1"/>
  <c r="AQ81" i="44" s="1"/>
  <c r="AR81" i="44" s="1"/>
  <c r="AS81" i="44" s="1"/>
  <c r="AT81" i="44" s="1"/>
  <c r="AU81" i="44" s="1"/>
  <c r="AV81" i="44" s="1"/>
  <c r="AW81" i="44" s="1"/>
  <c r="AX81" i="44" s="1"/>
  <c r="AY81" i="44" s="1"/>
  <c r="AZ81" i="44" s="1"/>
  <c r="BA81" i="44" s="1"/>
  <c r="BB81" i="44" s="1"/>
  <c r="BC81" i="44" s="1"/>
  <c r="BD81" i="44" s="1"/>
  <c r="BE81" i="44" s="1"/>
  <c r="BF81" i="44" s="1"/>
  <c r="BG81" i="44" s="1"/>
  <c r="BH81" i="44" s="1"/>
  <c r="BI81" i="44" s="1"/>
  <c r="BJ81" i="44" s="1"/>
  <c r="BK81" i="44" s="1"/>
  <c r="BL81" i="44" s="1"/>
  <c r="BM81" i="44" s="1"/>
  <c r="BN81" i="44" s="1"/>
  <c r="BO81" i="44" s="1"/>
  <c r="BP81" i="44" s="1"/>
  <c r="BQ81" i="44" s="1"/>
  <c r="BR81" i="44" s="1"/>
  <c r="BS81" i="44" s="1"/>
  <c r="BT81" i="44" s="1"/>
  <c r="BU81" i="44" s="1"/>
  <c r="BV81" i="44" s="1"/>
  <c r="BW81" i="44" s="1"/>
  <c r="BX81" i="44" s="1"/>
  <c r="BY81" i="44" s="1"/>
  <c r="BZ81" i="44" s="1"/>
  <c r="CA81" i="44" s="1"/>
  <c r="CB81" i="44" s="1"/>
  <c r="CC81" i="44" s="1"/>
  <c r="CD81" i="44" s="1"/>
  <c r="CE81" i="44" s="1"/>
  <c r="AH80" i="44"/>
  <c r="AI80" i="44" s="1"/>
  <c r="AJ80" i="44" s="1"/>
  <c r="AK80" i="44" s="1"/>
  <c r="AL80" i="44" s="1"/>
  <c r="AM80" i="44" s="1"/>
  <c r="AN80" i="44" s="1"/>
  <c r="AO80" i="44" s="1"/>
  <c r="AP80" i="44" s="1"/>
  <c r="AQ80" i="44" s="1"/>
  <c r="AR80" i="44" s="1"/>
  <c r="AS80" i="44" s="1"/>
  <c r="AT80" i="44" s="1"/>
  <c r="AU80" i="44" s="1"/>
  <c r="AV80" i="44" s="1"/>
  <c r="AW80" i="44" s="1"/>
  <c r="AX80" i="44" s="1"/>
  <c r="AY80" i="44" s="1"/>
  <c r="AZ80" i="44" s="1"/>
  <c r="BA80" i="44" s="1"/>
  <c r="BB80" i="44" s="1"/>
  <c r="BC80" i="44" s="1"/>
  <c r="BD80" i="44" s="1"/>
  <c r="BE80" i="44" s="1"/>
  <c r="BF80" i="44" s="1"/>
  <c r="BG80" i="44" s="1"/>
  <c r="BH80" i="44" s="1"/>
  <c r="BI80" i="44" s="1"/>
  <c r="BJ80" i="44" s="1"/>
  <c r="BK80" i="44" s="1"/>
  <c r="BL80" i="44" s="1"/>
  <c r="BM80" i="44" s="1"/>
  <c r="BN80" i="44" s="1"/>
  <c r="BO80" i="44" s="1"/>
  <c r="BP80" i="44" s="1"/>
  <c r="BQ80" i="44" s="1"/>
  <c r="BR80" i="44" s="1"/>
  <c r="BS80" i="44" s="1"/>
  <c r="BT80" i="44" s="1"/>
  <c r="BU80" i="44" s="1"/>
  <c r="BV80" i="44" s="1"/>
  <c r="BW80" i="44" s="1"/>
  <c r="BX80" i="44" s="1"/>
  <c r="BY80" i="44" s="1"/>
  <c r="BZ80" i="44" s="1"/>
  <c r="CA80" i="44" s="1"/>
  <c r="CB80" i="44" s="1"/>
  <c r="CC80" i="44" s="1"/>
  <c r="CD80" i="44" s="1"/>
  <c r="CE80" i="44" s="1"/>
  <c r="AH79" i="44"/>
  <c r="AI79" i="44" s="1"/>
  <c r="AJ79" i="44" s="1"/>
  <c r="AK79" i="44" s="1"/>
  <c r="AL79" i="44" s="1"/>
  <c r="AM79" i="44" s="1"/>
  <c r="AN79" i="44" s="1"/>
  <c r="AO79" i="44" s="1"/>
  <c r="AP79" i="44" s="1"/>
  <c r="AQ79" i="44" s="1"/>
  <c r="AR79" i="44" s="1"/>
  <c r="AS79" i="44" s="1"/>
  <c r="AT79" i="44" s="1"/>
  <c r="AU79" i="44" s="1"/>
  <c r="AV79" i="44" s="1"/>
  <c r="AW79" i="44" s="1"/>
  <c r="AX79" i="44" s="1"/>
  <c r="AY79" i="44" s="1"/>
  <c r="AZ79" i="44" s="1"/>
  <c r="BA79" i="44" s="1"/>
  <c r="BB79" i="44" s="1"/>
  <c r="BC79" i="44" s="1"/>
  <c r="BD79" i="44" s="1"/>
  <c r="BE79" i="44" s="1"/>
  <c r="BF79" i="44" s="1"/>
  <c r="BG79" i="44" s="1"/>
  <c r="BH79" i="44" s="1"/>
  <c r="BI79" i="44" s="1"/>
  <c r="BJ79" i="44" s="1"/>
  <c r="BK79" i="44" s="1"/>
  <c r="BL79" i="44" s="1"/>
  <c r="BM79" i="44" s="1"/>
  <c r="BN79" i="44" s="1"/>
  <c r="BO79" i="44" s="1"/>
  <c r="BP79" i="44" s="1"/>
  <c r="BQ79" i="44" s="1"/>
  <c r="BR79" i="44" s="1"/>
  <c r="BS79" i="44" s="1"/>
  <c r="BT79" i="44" s="1"/>
  <c r="BU79" i="44" s="1"/>
  <c r="BV79" i="44" s="1"/>
  <c r="BW79" i="44" s="1"/>
  <c r="BX79" i="44" s="1"/>
  <c r="BY79" i="44" s="1"/>
  <c r="BZ79" i="44" s="1"/>
  <c r="CA79" i="44" s="1"/>
  <c r="CB79" i="44" s="1"/>
  <c r="CC79" i="44" s="1"/>
  <c r="CD79" i="44" s="1"/>
  <c r="CE79" i="44" s="1"/>
  <c r="F78" i="44"/>
  <c r="G78" i="44" s="1"/>
  <c r="H78" i="44" s="1"/>
  <c r="I78" i="44" s="1"/>
  <c r="J78" i="44" s="1"/>
  <c r="K78" i="44" s="1"/>
  <c r="L78" i="44" s="1"/>
  <c r="M78" i="44" s="1"/>
  <c r="N78" i="44" s="1"/>
  <c r="O78" i="44" s="1"/>
  <c r="P78" i="44" s="1"/>
  <c r="Q78" i="44" s="1"/>
  <c r="R78" i="44" s="1"/>
  <c r="S78" i="44" s="1"/>
  <c r="T78" i="44" s="1"/>
  <c r="U78" i="44" s="1"/>
  <c r="V78" i="44" s="1"/>
  <c r="W78" i="44" s="1"/>
  <c r="X78" i="44" s="1"/>
  <c r="Y78" i="44" s="1"/>
  <c r="Z78" i="44" s="1"/>
  <c r="AA78" i="44" s="1"/>
  <c r="AB78" i="44" s="1"/>
  <c r="AC78" i="44" s="1"/>
  <c r="AD78" i="44" s="1"/>
  <c r="AE78" i="44" s="1"/>
  <c r="AF78" i="44" s="1"/>
  <c r="AG78" i="44" s="1"/>
  <c r="AH78" i="44" s="1"/>
  <c r="AI78" i="44" s="1"/>
  <c r="AJ78" i="44" s="1"/>
  <c r="AK78" i="44" s="1"/>
  <c r="AL78" i="44" s="1"/>
  <c r="AM78" i="44" s="1"/>
  <c r="AN78" i="44" s="1"/>
  <c r="AO78" i="44" s="1"/>
  <c r="AP78" i="44" s="1"/>
  <c r="AQ78" i="44" s="1"/>
  <c r="AR78" i="44" s="1"/>
  <c r="AS78" i="44" s="1"/>
  <c r="AT78" i="44" s="1"/>
  <c r="AU78" i="44" s="1"/>
  <c r="AV78" i="44" s="1"/>
  <c r="AW78" i="44" s="1"/>
  <c r="AX78" i="44" s="1"/>
  <c r="AY78" i="44" s="1"/>
  <c r="AZ78" i="44" s="1"/>
  <c r="BA78" i="44" s="1"/>
  <c r="BB78" i="44" s="1"/>
  <c r="BC78" i="44" s="1"/>
  <c r="BD78" i="44" s="1"/>
  <c r="BE78" i="44" s="1"/>
  <c r="BF78" i="44" s="1"/>
  <c r="BG78" i="44" s="1"/>
  <c r="BH78" i="44" s="1"/>
  <c r="BI78" i="44" s="1"/>
  <c r="BJ78" i="44" s="1"/>
  <c r="BK78" i="44" s="1"/>
  <c r="BL78" i="44" s="1"/>
  <c r="BM78" i="44" s="1"/>
  <c r="BN78" i="44" s="1"/>
  <c r="BO78" i="44" s="1"/>
  <c r="BP78" i="44" s="1"/>
  <c r="BQ78" i="44" s="1"/>
  <c r="BR78" i="44" s="1"/>
  <c r="BS78" i="44" s="1"/>
  <c r="BT78" i="44" s="1"/>
  <c r="BU78" i="44" s="1"/>
  <c r="BV78" i="44" s="1"/>
  <c r="BW78" i="44" s="1"/>
  <c r="BX78" i="44" s="1"/>
  <c r="BY78" i="44" s="1"/>
  <c r="BZ78" i="44" s="1"/>
  <c r="CA78" i="44" s="1"/>
  <c r="CB78" i="44" s="1"/>
  <c r="CC78" i="44" s="1"/>
  <c r="CD78" i="44" s="1"/>
  <c r="CE78" i="44" s="1"/>
  <c r="AH76" i="44"/>
  <c r="AI76" i="44" s="1"/>
  <c r="AJ76" i="44" s="1"/>
  <c r="AK76" i="44" s="1"/>
  <c r="AL76" i="44" s="1"/>
  <c r="AM76" i="44" s="1"/>
  <c r="AN76" i="44" s="1"/>
  <c r="AO76" i="44" s="1"/>
  <c r="AP76" i="44" s="1"/>
  <c r="AQ76" i="44" s="1"/>
  <c r="AR76" i="44" s="1"/>
  <c r="AS76" i="44" s="1"/>
  <c r="AT76" i="44" s="1"/>
  <c r="AU76" i="44" s="1"/>
  <c r="AV76" i="44" s="1"/>
  <c r="AW76" i="44" s="1"/>
  <c r="AX76" i="44" s="1"/>
  <c r="AY76" i="44" s="1"/>
  <c r="AZ76" i="44" s="1"/>
  <c r="BA76" i="44" s="1"/>
  <c r="BB76" i="44" s="1"/>
  <c r="BC76" i="44" s="1"/>
  <c r="BD76" i="44" s="1"/>
  <c r="BE76" i="44" s="1"/>
  <c r="BF76" i="44" s="1"/>
  <c r="BG76" i="44" s="1"/>
  <c r="BH76" i="44" s="1"/>
  <c r="BI76" i="44" s="1"/>
  <c r="BJ76" i="44" s="1"/>
  <c r="BK76" i="44" s="1"/>
  <c r="BL76" i="44" s="1"/>
  <c r="BM76" i="44" s="1"/>
  <c r="BN76" i="44" s="1"/>
  <c r="BO76" i="44" s="1"/>
  <c r="BP76" i="44" s="1"/>
  <c r="BQ76" i="44" s="1"/>
  <c r="BR76" i="44" s="1"/>
  <c r="BS76" i="44" s="1"/>
  <c r="BT76" i="44" s="1"/>
  <c r="BU76" i="44" s="1"/>
  <c r="BV76" i="44" s="1"/>
  <c r="BW76" i="44" s="1"/>
  <c r="BX76" i="44" s="1"/>
  <c r="BY76" i="44" s="1"/>
  <c r="BZ76" i="44" s="1"/>
  <c r="CA76" i="44" s="1"/>
  <c r="CB76" i="44" s="1"/>
  <c r="CC76" i="44" s="1"/>
  <c r="CD76" i="44" s="1"/>
  <c r="CE76" i="44" s="1"/>
  <c r="AH75" i="44"/>
  <c r="AI75" i="44" s="1"/>
  <c r="AJ75" i="44" s="1"/>
  <c r="AK75" i="44" s="1"/>
  <c r="AL75" i="44" s="1"/>
  <c r="AM75" i="44" s="1"/>
  <c r="AN75" i="44" s="1"/>
  <c r="AO75" i="44" s="1"/>
  <c r="AP75" i="44" s="1"/>
  <c r="AQ75" i="44" s="1"/>
  <c r="AR75" i="44" s="1"/>
  <c r="AS75" i="44" s="1"/>
  <c r="AT75" i="44" s="1"/>
  <c r="AU75" i="44" s="1"/>
  <c r="AV75" i="44" s="1"/>
  <c r="AW75" i="44" s="1"/>
  <c r="AX75" i="44" s="1"/>
  <c r="AY75" i="44" s="1"/>
  <c r="AZ75" i="44" s="1"/>
  <c r="BA75" i="44" s="1"/>
  <c r="BB75" i="44" s="1"/>
  <c r="BC75" i="44" s="1"/>
  <c r="BD75" i="44" s="1"/>
  <c r="BE75" i="44" s="1"/>
  <c r="BF75" i="44" s="1"/>
  <c r="BG75" i="44" s="1"/>
  <c r="BH75" i="44" s="1"/>
  <c r="BI75" i="44" s="1"/>
  <c r="BJ75" i="44" s="1"/>
  <c r="BK75" i="44" s="1"/>
  <c r="BL75" i="44" s="1"/>
  <c r="BM75" i="44" s="1"/>
  <c r="BN75" i="44" s="1"/>
  <c r="BO75" i="44" s="1"/>
  <c r="BP75" i="44" s="1"/>
  <c r="BQ75" i="44" s="1"/>
  <c r="BR75" i="44" s="1"/>
  <c r="BS75" i="44" s="1"/>
  <c r="BT75" i="44" s="1"/>
  <c r="BU75" i="44" s="1"/>
  <c r="BV75" i="44" s="1"/>
  <c r="BW75" i="44" s="1"/>
  <c r="BX75" i="44" s="1"/>
  <c r="BY75" i="44" s="1"/>
  <c r="BZ75" i="44" s="1"/>
  <c r="CA75" i="44" s="1"/>
  <c r="CB75" i="44" s="1"/>
  <c r="CC75" i="44" s="1"/>
  <c r="CD75" i="44" s="1"/>
  <c r="CE75" i="44" s="1"/>
  <c r="AH74" i="44"/>
  <c r="AI74" i="44" s="1"/>
  <c r="AJ74" i="44" s="1"/>
  <c r="AK74" i="44" s="1"/>
  <c r="AL74" i="44" s="1"/>
  <c r="AM74" i="44" s="1"/>
  <c r="AN74" i="44" s="1"/>
  <c r="AO74" i="44" s="1"/>
  <c r="AP74" i="44" s="1"/>
  <c r="AQ74" i="44" s="1"/>
  <c r="AR74" i="44" s="1"/>
  <c r="AS74" i="44" s="1"/>
  <c r="AT74" i="44" s="1"/>
  <c r="AU74" i="44" s="1"/>
  <c r="AV74" i="44" s="1"/>
  <c r="AW74" i="44" s="1"/>
  <c r="AX74" i="44" s="1"/>
  <c r="AY74" i="44" s="1"/>
  <c r="AZ74" i="44" s="1"/>
  <c r="BA74" i="44" s="1"/>
  <c r="BB74" i="44" s="1"/>
  <c r="BC74" i="44" s="1"/>
  <c r="BD74" i="44" s="1"/>
  <c r="BE74" i="44" s="1"/>
  <c r="BF74" i="44" s="1"/>
  <c r="BG74" i="44" s="1"/>
  <c r="BH74" i="44" s="1"/>
  <c r="BI74" i="44" s="1"/>
  <c r="BJ74" i="44" s="1"/>
  <c r="BK74" i="44" s="1"/>
  <c r="BL74" i="44" s="1"/>
  <c r="BM74" i="44" s="1"/>
  <c r="BN74" i="44" s="1"/>
  <c r="BO74" i="44" s="1"/>
  <c r="BP74" i="44" s="1"/>
  <c r="BQ74" i="44" s="1"/>
  <c r="BR74" i="44" s="1"/>
  <c r="BS74" i="44" s="1"/>
  <c r="BT74" i="44" s="1"/>
  <c r="BU74" i="44" s="1"/>
  <c r="BV74" i="44" s="1"/>
  <c r="BW74" i="44" s="1"/>
  <c r="BX74" i="44" s="1"/>
  <c r="BY74" i="44" s="1"/>
  <c r="BZ74" i="44" s="1"/>
  <c r="CA74" i="44" s="1"/>
  <c r="CB74" i="44" s="1"/>
  <c r="CC74" i="44" s="1"/>
  <c r="CD74" i="44" s="1"/>
  <c r="CE74" i="44" s="1"/>
  <c r="AH73" i="44"/>
  <c r="AI73" i="44" s="1"/>
  <c r="AJ73" i="44" s="1"/>
  <c r="AK73" i="44" s="1"/>
  <c r="AL73" i="44" s="1"/>
  <c r="AM73" i="44" s="1"/>
  <c r="AN73" i="44" s="1"/>
  <c r="AO73" i="44" s="1"/>
  <c r="AP73" i="44" s="1"/>
  <c r="AQ73" i="44" s="1"/>
  <c r="AR73" i="44" s="1"/>
  <c r="AS73" i="44" s="1"/>
  <c r="AT73" i="44" s="1"/>
  <c r="AU73" i="44" s="1"/>
  <c r="AV73" i="44" s="1"/>
  <c r="AW73" i="44" s="1"/>
  <c r="AX73" i="44" s="1"/>
  <c r="AY73" i="44" s="1"/>
  <c r="AZ73" i="44" s="1"/>
  <c r="BA73" i="44" s="1"/>
  <c r="BB73" i="44" s="1"/>
  <c r="BC73" i="44" s="1"/>
  <c r="BD73" i="44" s="1"/>
  <c r="BE73" i="44" s="1"/>
  <c r="BF73" i="44" s="1"/>
  <c r="BG73" i="44" s="1"/>
  <c r="BH73" i="44" s="1"/>
  <c r="BI73" i="44" s="1"/>
  <c r="BJ73" i="44" s="1"/>
  <c r="BK73" i="44" s="1"/>
  <c r="BL73" i="44" s="1"/>
  <c r="BM73" i="44" s="1"/>
  <c r="BN73" i="44" s="1"/>
  <c r="BO73" i="44" s="1"/>
  <c r="BP73" i="44" s="1"/>
  <c r="BQ73" i="44" s="1"/>
  <c r="BR73" i="44" s="1"/>
  <c r="BS73" i="44" s="1"/>
  <c r="BT73" i="44" s="1"/>
  <c r="BU73" i="44" s="1"/>
  <c r="BV73" i="44" s="1"/>
  <c r="BW73" i="44" s="1"/>
  <c r="BX73" i="44" s="1"/>
  <c r="BY73" i="44" s="1"/>
  <c r="BZ73" i="44" s="1"/>
  <c r="CA73" i="44" s="1"/>
  <c r="CB73" i="44" s="1"/>
  <c r="CC73" i="44" s="1"/>
  <c r="CD73" i="44" s="1"/>
  <c r="CE73" i="44" s="1"/>
  <c r="AH72" i="44"/>
  <c r="AI72" i="44" s="1"/>
  <c r="AJ72" i="44" s="1"/>
  <c r="AK72" i="44" s="1"/>
  <c r="AL72" i="44" s="1"/>
  <c r="AM72" i="44" s="1"/>
  <c r="AN72" i="44" s="1"/>
  <c r="AO72" i="44" s="1"/>
  <c r="AP72" i="44" s="1"/>
  <c r="AQ72" i="44" s="1"/>
  <c r="AR72" i="44" s="1"/>
  <c r="AS72" i="44" s="1"/>
  <c r="AT72" i="44" s="1"/>
  <c r="AU72" i="44" s="1"/>
  <c r="AV72" i="44" s="1"/>
  <c r="AW72" i="44" s="1"/>
  <c r="AX72" i="44" s="1"/>
  <c r="AY72" i="44" s="1"/>
  <c r="AZ72" i="44" s="1"/>
  <c r="BA72" i="44" s="1"/>
  <c r="BB72" i="44" s="1"/>
  <c r="BC72" i="44" s="1"/>
  <c r="BD72" i="44" s="1"/>
  <c r="BE72" i="44" s="1"/>
  <c r="BF72" i="44" s="1"/>
  <c r="BG72" i="44" s="1"/>
  <c r="BH72" i="44" s="1"/>
  <c r="BI72" i="44" s="1"/>
  <c r="BJ72" i="44" s="1"/>
  <c r="BK72" i="44" s="1"/>
  <c r="BL72" i="44" s="1"/>
  <c r="BM72" i="44" s="1"/>
  <c r="BN72" i="44" s="1"/>
  <c r="BO72" i="44" s="1"/>
  <c r="BP72" i="44" s="1"/>
  <c r="BQ72" i="44" s="1"/>
  <c r="BR72" i="44" s="1"/>
  <c r="BS72" i="44" s="1"/>
  <c r="BT72" i="44" s="1"/>
  <c r="BU72" i="44" s="1"/>
  <c r="BV72" i="44" s="1"/>
  <c r="BW72" i="44" s="1"/>
  <c r="BX72" i="44" s="1"/>
  <c r="BY72" i="44" s="1"/>
  <c r="BZ72" i="44" s="1"/>
  <c r="CA72" i="44" s="1"/>
  <c r="CB72" i="44" s="1"/>
  <c r="CC72" i="44" s="1"/>
  <c r="CD72" i="44" s="1"/>
  <c r="CE72" i="44" s="1"/>
  <c r="AH71" i="44"/>
  <c r="AI71" i="44" s="1"/>
  <c r="AJ71" i="44" s="1"/>
  <c r="AK71" i="44" s="1"/>
  <c r="AL71" i="44" s="1"/>
  <c r="AM71" i="44" s="1"/>
  <c r="AN71" i="44" s="1"/>
  <c r="AO71" i="44" s="1"/>
  <c r="AP71" i="44" s="1"/>
  <c r="AQ71" i="44" s="1"/>
  <c r="AR71" i="44" s="1"/>
  <c r="AS71" i="44" s="1"/>
  <c r="AT71" i="44" s="1"/>
  <c r="AU71" i="44" s="1"/>
  <c r="AV71" i="44" s="1"/>
  <c r="AW71" i="44" s="1"/>
  <c r="AX71" i="44" s="1"/>
  <c r="AY71" i="44" s="1"/>
  <c r="AZ71" i="44" s="1"/>
  <c r="BA71" i="44" s="1"/>
  <c r="BB71" i="44" s="1"/>
  <c r="BC71" i="44" s="1"/>
  <c r="BD71" i="44" s="1"/>
  <c r="BE71" i="44" s="1"/>
  <c r="BF71" i="44" s="1"/>
  <c r="BG71" i="44" s="1"/>
  <c r="BH71" i="44" s="1"/>
  <c r="BI71" i="44" s="1"/>
  <c r="BJ71" i="44" s="1"/>
  <c r="BK71" i="44" s="1"/>
  <c r="BL71" i="44" s="1"/>
  <c r="BM71" i="44" s="1"/>
  <c r="BN71" i="44" s="1"/>
  <c r="BO71" i="44" s="1"/>
  <c r="BP71" i="44" s="1"/>
  <c r="BQ71" i="44" s="1"/>
  <c r="BR71" i="44" s="1"/>
  <c r="BS71" i="44" s="1"/>
  <c r="BT71" i="44" s="1"/>
  <c r="BU71" i="44" s="1"/>
  <c r="BV71" i="44" s="1"/>
  <c r="BW71" i="44" s="1"/>
  <c r="BX71" i="44" s="1"/>
  <c r="BY71" i="44" s="1"/>
  <c r="BZ71" i="44" s="1"/>
  <c r="CA71" i="44" s="1"/>
  <c r="CB71" i="44" s="1"/>
  <c r="CC71" i="44" s="1"/>
  <c r="CD71" i="44" s="1"/>
  <c r="CE71" i="44" s="1"/>
  <c r="AH70" i="44"/>
  <c r="AI70" i="44" s="1"/>
  <c r="AJ70" i="44" s="1"/>
  <c r="AK70" i="44" s="1"/>
  <c r="AL70" i="44" s="1"/>
  <c r="AM70" i="44" s="1"/>
  <c r="AN70" i="44" s="1"/>
  <c r="AO70" i="44" s="1"/>
  <c r="AP70" i="44" s="1"/>
  <c r="AQ70" i="44" s="1"/>
  <c r="AR70" i="44" s="1"/>
  <c r="AS70" i="44" s="1"/>
  <c r="AT70" i="44" s="1"/>
  <c r="AU70" i="44" s="1"/>
  <c r="AV70" i="44" s="1"/>
  <c r="AW70" i="44" s="1"/>
  <c r="AX70" i="44" s="1"/>
  <c r="AY70" i="44" s="1"/>
  <c r="AZ70" i="44" s="1"/>
  <c r="BA70" i="44" s="1"/>
  <c r="BB70" i="44" s="1"/>
  <c r="BC70" i="44" s="1"/>
  <c r="BD70" i="44" s="1"/>
  <c r="BE70" i="44" s="1"/>
  <c r="BF70" i="44" s="1"/>
  <c r="BG70" i="44" s="1"/>
  <c r="BH70" i="44" s="1"/>
  <c r="BI70" i="44" s="1"/>
  <c r="BJ70" i="44" s="1"/>
  <c r="BK70" i="44" s="1"/>
  <c r="BL70" i="44" s="1"/>
  <c r="BM70" i="44" s="1"/>
  <c r="BN70" i="44" s="1"/>
  <c r="BO70" i="44" s="1"/>
  <c r="BP70" i="44" s="1"/>
  <c r="BQ70" i="44" s="1"/>
  <c r="BR70" i="44" s="1"/>
  <c r="BS70" i="44" s="1"/>
  <c r="BT70" i="44" s="1"/>
  <c r="BU70" i="44" s="1"/>
  <c r="BV70" i="44" s="1"/>
  <c r="BW70" i="44" s="1"/>
  <c r="BX70" i="44" s="1"/>
  <c r="BY70" i="44" s="1"/>
  <c r="BZ70" i="44" s="1"/>
  <c r="CA70" i="44" s="1"/>
  <c r="CB70" i="44" s="1"/>
  <c r="CC70" i="44" s="1"/>
  <c r="CD70" i="44" s="1"/>
  <c r="CE70" i="44" s="1"/>
  <c r="AH69" i="44"/>
  <c r="AI69" i="44" s="1"/>
  <c r="AJ69" i="44" s="1"/>
  <c r="AK69" i="44" s="1"/>
  <c r="AL69" i="44" s="1"/>
  <c r="AM69" i="44" s="1"/>
  <c r="AN69" i="44" s="1"/>
  <c r="AO69" i="44" s="1"/>
  <c r="AP69" i="44" s="1"/>
  <c r="AQ69" i="44" s="1"/>
  <c r="AR69" i="44" s="1"/>
  <c r="AS69" i="44" s="1"/>
  <c r="AT69" i="44" s="1"/>
  <c r="AU69" i="44" s="1"/>
  <c r="AV69" i="44" s="1"/>
  <c r="AW69" i="44" s="1"/>
  <c r="AX69" i="44" s="1"/>
  <c r="AY69" i="44" s="1"/>
  <c r="AZ69" i="44" s="1"/>
  <c r="BA69" i="44" s="1"/>
  <c r="BB69" i="44" s="1"/>
  <c r="BC69" i="44" s="1"/>
  <c r="BD69" i="44" s="1"/>
  <c r="BE69" i="44" s="1"/>
  <c r="BF69" i="44" s="1"/>
  <c r="BG69" i="44" s="1"/>
  <c r="BH69" i="44" s="1"/>
  <c r="BI69" i="44" s="1"/>
  <c r="BJ69" i="44" s="1"/>
  <c r="BK69" i="44" s="1"/>
  <c r="BL69" i="44" s="1"/>
  <c r="BM69" i="44" s="1"/>
  <c r="BN69" i="44" s="1"/>
  <c r="BO69" i="44" s="1"/>
  <c r="BP69" i="44" s="1"/>
  <c r="BQ69" i="44" s="1"/>
  <c r="BR69" i="44" s="1"/>
  <c r="BS69" i="44" s="1"/>
  <c r="BT69" i="44" s="1"/>
  <c r="BU69" i="44" s="1"/>
  <c r="BV69" i="44" s="1"/>
  <c r="BW69" i="44" s="1"/>
  <c r="BX69" i="44" s="1"/>
  <c r="BY69" i="44" s="1"/>
  <c r="BZ69" i="44" s="1"/>
  <c r="CA69" i="44" s="1"/>
  <c r="CB69" i="44" s="1"/>
  <c r="CC69" i="44" s="1"/>
  <c r="CD69" i="44" s="1"/>
  <c r="CE69" i="44" s="1"/>
  <c r="AH67" i="44"/>
  <c r="AI67" i="44" s="1"/>
  <c r="AJ67" i="44" s="1"/>
  <c r="AK67" i="44" s="1"/>
  <c r="AL67" i="44" s="1"/>
  <c r="AM67" i="44" s="1"/>
  <c r="AN67" i="44" s="1"/>
  <c r="AO67" i="44" s="1"/>
  <c r="AP67" i="44" s="1"/>
  <c r="AQ67" i="44" s="1"/>
  <c r="AR67" i="44" s="1"/>
  <c r="AS67" i="44" s="1"/>
  <c r="AT67" i="44" s="1"/>
  <c r="AU67" i="44" s="1"/>
  <c r="AV67" i="44" s="1"/>
  <c r="AW67" i="44" s="1"/>
  <c r="AX67" i="44" s="1"/>
  <c r="AY67" i="44" s="1"/>
  <c r="AZ67" i="44" s="1"/>
  <c r="BA67" i="44" s="1"/>
  <c r="BB67" i="44" s="1"/>
  <c r="BC67" i="44" s="1"/>
  <c r="BD67" i="44" s="1"/>
  <c r="BE67" i="44" s="1"/>
  <c r="BF67" i="44" s="1"/>
  <c r="BG67" i="44" s="1"/>
  <c r="BH67" i="44" s="1"/>
  <c r="BI67" i="44" s="1"/>
  <c r="BJ67" i="44" s="1"/>
  <c r="BK67" i="44" s="1"/>
  <c r="BL67" i="44" s="1"/>
  <c r="BM67" i="44" s="1"/>
  <c r="BN67" i="44" s="1"/>
  <c r="BO67" i="44" s="1"/>
  <c r="BP67" i="44" s="1"/>
  <c r="BQ67" i="44" s="1"/>
  <c r="BR67" i="44" s="1"/>
  <c r="BS67" i="44" s="1"/>
  <c r="BT67" i="44" s="1"/>
  <c r="BU67" i="44" s="1"/>
  <c r="BV67" i="44" s="1"/>
  <c r="BW67" i="44" s="1"/>
  <c r="BX67" i="44" s="1"/>
  <c r="BY67" i="44" s="1"/>
  <c r="BZ67" i="44" s="1"/>
  <c r="CA67" i="44" s="1"/>
  <c r="CB67" i="44" s="1"/>
  <c r="CC67" i="44" s="1"/>
  <c r="CD67" i="44" s="1"/>
  <c r="CE67" i="44" s="1"/>
  <c r="AH66" i="44"/>
  <c r="AI66" i="44" s="1"/>
  <c r="AJ66" i="44" s="1"/>
  <c r="AK66" i="44" s="1"/>
  <c r="AL66" i="44" s="1"/>
  <c r="AM66" i="44" s="1"/>
  <c r="AN66" i="44" s="1"/>
  <c r="AO66" i="44" s="1"/>
  <c r="AP66" i="44" s="1"/>
  <c r="AQ66" i="44" s="1"/>
  <c r="AR66" i="44" s="1"/>
  <c r="AS66" i="44" s="1"/>
  <c r="AT66" i="44" s="1"/>
  <c r="AU66" i="44" s="1"/>
  <c r="AV66" i="44" s="1"/>
  <c r="AW66" i="44" s="1"/>
  <c r="AX66" i="44" s="1"/>
  <c r="AY66" i="44" s="1"/>
  <c r="AZ66" i="44" s="1"/>
  <c r="BA66" i="44" s="1"/>
  <c r="BB66" i="44" s="1"/>
  <c r="BC66" i="44" s="1"/>
  <c r="BD66" i="44" s="1"/>
  <c r="BE66" i="44" s="1"/>
  <c r="BF66" i="44" s="1"/>
  <c r="BG66" i="44" s="1"/>
  <c r="BH66" i="44" s="1"/>
  <c r="BI66" i="44" s="1"/>
  <c r="BJ66" i="44" s="1"/>
  <c r="BK66" i="44" s="1"/>
  <c r="BL66" i="44" s="1"/>
  <c r="BM66" i="44" s="1"/>
  <c r="BN66" i="44" s="1"/>
  <c r="BO66" i="44" s="1"/>
  <c r="BP66" i="44" s="1"/>
  <c r="BQ66" i="44" s="1"/>
  <c r="BR66" i="44" s="1"/>
  <c r="BS66" i="44" s="1"/>
  <c r="BT66" i="44" s="1"/>
  <c r="BU66" i="44" s="1"/>
  <c r="BV66" i="44" s="1"/>
  <c r="BW66" i="44" s="1"/>
  <c r="BX66" i="44" s="1"/>
  <c r="BY66" i="44" s="1"/>
  <c r="BZ66" i="44" s="1"/>
  <c r="CA66" i="44" s="1"/>
  <c r="CB66" i="44" s="1"/>
  <c r="CC66" i="44" s="1"/>
  <c r="CD66" i="44" s="1"/>
  <c r="CE66" i="44" s="1"/>
  <c r="AH64" i="44"/>
  <c r="AI64" i="44" s="1"/>
  <c r="AJ64" i="44" s="1"/>
  <c r="AK64" i="44" s="1"/>
  <c r="AL64" i="44" s="1"/>
  <c r="AM64" i="44" s="1"/>
  <c r="AN64" i="44" s="1"/>
  <c r="AO64" i="44" s="1"/>
  <c r="AP64" i="44" s="1"/>
  <c r="AQ64" i="44" s="1"/>
  <c r="AR64" i="44" s="1"/>
  <c r="AS64" i="44" s="1"/>
  <c r="AT64" i="44" s="1"/>
  <c r="AU64" i="44" s="1"/>
  <c r="AV64" i="44" s="1"/>
  <c r="AW64" i="44" s="1"/>
  <c r="AX64" i="44" s="1"/>
  <c r="AY64" i="44" s="1"/>
  <c r="AZ64" i="44" s="1"/>
  <c r="BA64" i="44" s="1"/>
  <c r="BB64" i="44" s="1"/>
  <c r="BC64" i="44" s="1"/>
  <c r="BD64" i="44" s="1"/>
  <c r="BE64" i="44" s="1"/>
  <c r="BF64" i="44" s="1"/>
  <c r="BG64" i="44" s="1"/>
  <c r="BH64" i="44" s="1"/>
  <c r="BI64" i="44" s="1"/>
  <c r="BJ64" i="44" s="1"/>
  <c r="BK64" i="44" s="1"/>
  <c r="BL64" i="44" s="1"/>
  <c r="BM64" i="44" s="1"/>
  <c r="BN64" i="44" s="1"/>
  <c r="BO64" i="44" s="1"/>
  <c r="BP64" i="44" s="1"/>
  <c r="BQ64" i="44" s="1"/>
  <c r="BR64" i="44" s="1"/>
  <c r="BS64" i="44" s="1"/>
  <c r="BT64" i="44" s="1"/>
  <c r="BU64" i="44" s="1"/>
  <c r="BV64" i="44" s="1"/>
  <c r="BW64" i="44" s="1"/>
  <c r="BX64" i="44" s="1"/>
  <c r="BY64" i="44" s="1"/>
  <c r="BZ64" i="44" s="1"/>
  <c r="CA64" i="44" s="1"/>
  <c r="CB64" i="44" s="1"/>
  <c r="CC64" i="44" s="1"/>
  <c r="CD64" i="44" s="1"/>
  <c r="CE64" i="44" s="1"/>
  <c r="AH63" i="44"/>
  <c r="AI63" i="44" s="1"/>
  <c r="AJ63" i="44" s="1"/>
  <c r="AK63" i="44" s="1"/>
  <c r="AL63" i="44" s="1"/>
  <c r="AM63" i="44" s="1"/>
  <c r="AN63" i="44" s="1"/>
  <c r="AO63" i="44" s="1"/>
  <c r="AP63" i="44" s="1"/>
  <c r="AQ63" i="44" s="1"/>
  <c r="AR63" i="44" s="1"/>
  <c r="AS63" i="44" s="1"/>
  <c r="AT63" i="44" s="1"/>
  <c r="AU63" i="44" s="1"/>
  <c r="AV63" i="44" s="1"/>
  <c r="AW63" i="44" s="1"/>
  <c r="AX63" i="44" s="1"/>
  <c r="AY63" i="44" s="1"/>
  <c r="AZ63" i="44" s="1"/>
  <c r="BA63" i="44" s="1"/>
  <c r="BB63" i="44" s="1"/>
  <c r="BC63" i="44" s="1"/>
  <c r="BD63" i="44" s="1"/>
  <c r="BE63" i="44" s="1"/>
  <c r="BF63" i="44" s="1"/>
  <c r="BG63" i="44" s="1"/>
  <c r="BH63" i="44" s="1"/>
  <c r="BI63" i="44" s="1"/>
  <c r="BJ63" i="44" s="1"/>
  <c r="BK63" i="44" s="1"/>
  <c r="BL63" i="44" s="1"/>
  <c r="BM63" i="44" s="1"/>
  <c r="BN63" i="44" s="1"/>
  <c r="BO63" i="44" s="1"/>
  <c r="BP63" i="44" s="1"/>
  <c r="BQ63" i="44" s="1"/>
  <c r="BR63" i="44" s="1"/>
  <c r="BS63" i="44" s="1"/>
  <c r="BT63" i="44" s="1"/>
  <c r="BU63" i="44" s="1"/>
  <c r="BV63" i="44" s="1"/>
  <c r="BW63" i="44" s="1"/>
  <c r="BX63" i="44" s="1"/>
  <c r="BY63" i="44" s="1"/>
  <c r="BZ63" i="44" s="1"/>
  <c r="CA63" i="44" s="1"/>
  <c r="CB63" i="44" s="1"/>
  <c r="CC63" i="44" s="1"/>
  <c r="CD63" i="44" s="1"/>
  <c r="CE63" i="44" s="1"/>
  <c r="AH62" i="44"/>
  <c r="AI62" i="44" s="1"/>
  <c r="AJ62" i="44" s="1"/>
  <c r="AK62" i="44" s="1"/>
  <c r="AL62" i="44" s="1"/>
  <c r="AM62" i="44" s="1"/>
  <c r="AN62" i="44" s="1"/>
  <c r="AO62" i="44" s="1"/>
  <c r="AP62" i="44" s="1"/>
  <c r="AQ62" i="44" s="1"/>
  <c r="AR62" i="44" s="1"/>
  <c r="AS62" i="44" s="1"/>
  <c r="AT62" i="44" s="1"/>
  <c r="AU62" i="44" s="1"/>
  <c r="AV62" i="44" s="1"/>
  <c r="AW62" i="44" s="1"/>
  <c r="AX62" i="44" s="1"/>
  <c r="AY62" i="44" s="1"/>
  <c r="AZ62" i="44" s="1"/>
  <c r="BA62" i="44" s="1"/>
  <c r="BB62" i="44" s="1"/>
  <c r="BC62" i="44" s="1"/>
  <c r="BD62" i="44" s="1"/>
  <c r="BE62" i="44" s="1"/>
  <c r="BF62" i="44" s="1"/>
  <c r="BG62" i="44" s="1"/>
  <c r="BH62" i="44" s="1"/>
  <c r="BI62" i="44" s="1"/>
  <c r="BJ62" i="44" s="1"/>
  <c r="BK62" i="44" s="1"/>
  <c r="BL62" i="44" s="1"/>
  <c r="BM62" i="44" s="1"/>
  <c r="BN62" i="44" s="1"/>
  <c r="BO62" i="44" s="1"/>
  <c r="BP62" i="44" s="1"/>
  <c r="BQ62" i="44" s="1"/>
  <c r="BR62" i="44" s="1"/>
  <c r="BS62" i="44" s="1"/>
  <c r="BT62" i="44" s="1"/>
  <c r="BU62" i="44" s="1"/>
  <c r="BV62" i="44" s="1"/>
  <c r="BW62" i="44" s="1"/>
  <c r="BX62" i="44" s="1"/>
  <c r="BY62" i="44" s="1"/>
  <c r="BZ62" i="44" s="1"/>
  <c r="CA62" i="44" s="1"/>
  <c r="CB62" i="44" s="1"/>
  <c r="CC62" i="44" s="1"/>
  <c r="CD62" i="44" s="1"/>
  <c r="CE62" i="44" s="1"/>
  <c r="AH61" i="44"/>
  <c r="AI61" i="44" s="1"/>
  <c r="AJ61" i="44" s="1"/>
  <c r="AK61" i="44" s="1"/>
  <c r="AL61" i="44" s="1"/>
  <c r="AM61" i="44" s="1"/>
  <c r="AN61" i="44" s="1"/>
  <c r="AO61" i="44" s="1"/>
  <c r="AP61" i="44" s="1"/>
  <c r="AQ61" i="44" s="1"/>
  <c r="AR61" i="44" s="1"/>
  <c r="AS61" i="44" s="1"/>
  <c r="AT61" i="44" s="1"/>
  <c r="AU61" i="44" s="1"/>
  <c r="AV61" i="44" s="1"/>
  <c r="AW61" i="44" s="1"/>
  <c r="AX61" i="44" s="1"/>
  <c r="AY61" i="44" s="1"/>
  <c r="AZ61" i="44" s="1"/>
  <c r="BA61" i="44" s="1"/>
  <c r="BB61" i="44" s="1"/>
  <c r="BC61" i="44" s="1"/>
  <c r="BD61" i="44" s="1"/>
  <c r="BE61" i="44" s="1"/>
  <c r="BF61" i="44" s="1"/>
  <c r="BG61" i="44" s="1"/>
  <c r="BH61" i="44" s="1"/>
  <c r="BI61" i="44" s="1"/>
  <c r="BJ61" i="44" s="1"/>
  <c r="BK61" i="44" s="1"/>
  <c r="BL61" i="44" s="1"/>
  <c r="BM61" i="44" s="1"/>
  <c r="BN61" i="44" s="1"/>
  <c r="BO61" i="44" s="1"/>
  <c r="BP61" i="44" s="1"/>
  <c r="BQ61" i="44" s="1"/>
  <c r="BR61" i="44" s="1"/>
  <c r="BS61" i="44" s="1"/>
  <c r="BT61" i="44" s="1"/>
  <c r="BU61" i="44" s="1"/>
  <c r="BV61" i="44" s="1"/>
  <c r="BW61" i="44" s="1"/>
  <c r="BX61" i="44" s="1"/>
  <c r="BY61" i="44" s="1"/>
  <c r="BZ61" i="44" s="1"/>
  <c r="CA61" i="44" s="1"/>
  <c r="CB61" i="44" s="1"/>
  <c r="CC61" i="44" s="1"/>
  <c r="CD61" i="44" s="1"/>
  <c r="CE61" i="44" s="1"/>
  <c r="AH60" i="44"/>
  <c r="AI60" i="44" s="1"/>
  <c r="AJ60" i="44" s="1"/>
  <c r="AK60" i="44" s="1"/>
  <c r="AL60" i="44" s="1"/>
  <c r="AM60" i="44" s="1"/>
  <c r="AN60" i="44" s="1"/>
  <c r="AO60" i="44" s="1"/>
  <c r="AP60" i="44" s="1"/>
  <c r="AQ60" i="44" s="1"/>
  <c r="AR60" i="44" s="1"/>
  <c r="AS60" i="44" s="1"/>
  <c r="AT60" i="44" s="1"/>
  <c r="AU60" i="44" s="1"/>
  <c r="AV60" i="44" s="1"/>
  <c r="AW60" i="44" s="1"/>
  <c r="AX60" i="44" s="1"/>
  <c r="AY60" i="44" s="1"/>
  <c r="AZ60" i="44" s="1"/>
  <c r="BA60" i="44" s="1"/>
  <c r="BB60" i="44" s="1"/>
  <c r="BC60" i="44" s="1"/>
  <c r="BD60" i="44" s="1"/>
  <c r="BE60" i="44" s="1"/>
  <c r="BF60" i="44" s="1"/>
  <c r="BG60" i="44" s="1"/>
  <c r="BH60" i="44" s="1"/>
  <c r="BI60" i="44" s="1"/>
  <c r="BJ60" i="44" s="1"/>
  <c r="BK60" i="44" s="1"/>
  <c r="BL60" i="44" s="1"/>
  <c r="BM60" i="44" s="1"/>
  <c r="BN60" i="44" s="1"/>
  <c r="BO60" i="44" s="1"/>
  <c r="BP60" i="44" s="1"/>
  <c r="BQ60" i="44" s="1"/>
  <c r="BR60" i="44" s="1"/>
  <c r="BS60" i="44" s="1"/>
  <c r="BT60" i="44" s="1"/>
  <c r="BU60" i="44" s="1"/>
  <c r="BV60" i="44" s="1"/>
  <c r="BW60" i="44" s="1"/>
  <c r="BX60" i="44" s="1"/>
  <c r="BY60" i="44" s="1"/>
  <c r="BZ60" i="44" s="1"/>
  <c r="CA60" i="44" s="1"/>
  <c r="CB60" i="44" s="1"/>
  <c r="CC60" i="44" s="1"/>
  <c r="CD60" i="44" s="1"/>
  <c r="CE60" i="44" s="1"/>
  <c r="AH59" i="44"/>
  <c r="AI59" i="44" s="1"/>
  <c r="AJ59" i="44" s="1"/>
  <c r="AK59" i="44" s="1"/>
  <c r="AL59" i="44" s="1"/>
  <c r="AM59" i="44" s="1"/>
  <c r="AN59" i="44" s="1"/>
  <c r="AO59" i="44" s="1"/>
  <c r="AP59" i="44" s="1"/>
  <c r="AQ59" i="44" s="1"/>
  <c r="AR59" i="44" s="1"/>
  <c r="AS59" i="44" s="1"/>
  <c r="AT59" i="44" s="1"/>
  <c r="AU59" i="44" s="1"/>
  <c r="AV59" i="44" s="1"/>
  <c r="AW59" i="44" s="1"/>
  <c r="AX59" i="44" s="1"/>
  <c r="AY59" i="44" s="1"/>
  <c r="AZ59" i="44" s="1"/>
  <c r="BA59" i="44" s="1"/>
  <c r="BB59" i="44" s="1"/>
  <c r="BC59" i="44" s="1"/>
  <c r="BD59" i="44" s="1"/>
  <c r="BE59" i="44" s="1"/>
  <c r="BF59" i="44" s="1"/>
  <c r="BG59" i="44" s="1"/>
  <c r="BH59" i="44" s="1"/>
  <c r="BI59" i="44" s="1"/>
  <c r="BJ59" i="44" s="1"/>
  <c r="BK59" i="44" s="1"/>
  <c r="BL59" i="44" s="1"/>
  <c r="BM59" i="44" s="1"/>
  <c r="BN59" i="44" s="1"/>
  <c r="BO59" i="44" s="1"/>
  <c r="BP59" i="44" s="1"/>
  <c r="BQ59" i="44" s="1"/>
  <c r="BR59" i="44" s="1"/>
  <c r="BS59" i="44" s="1"/>
  <c r="BT59" i="44" s="1"/>
  <c r="BU59" i="44" s="1"/>
  <c r="BV59" i="44" s="1"/>
  <c r="BW59" i="44" s="1"/>
  <c r="BX59" i="44" s="1"/>
  <c r="BY59" i="44" s="1"/>
  <c r="BZ59" i="44" s="1"/>
  <c r="CA59" i="44" s="1"/>
  <c r="CB59" i="44" s="1"/>
  <c r="CC59" i="44" s="1"/>
  <c r="CD59" i="44" s="1"/>
  <c r="CE59" i="44" s="1"/>
  <c r="AH58" i="44"/>
  <c r="AI58" i="44" s="1"/>
  <c r="AJ58" i="44" s="1"/>
  <c r="AK58" i="44" s="1"/>
  <c r="AL58" i="44" s="1"/>
  <c r="AM58" i="44" s="1"/>
  <c r="AN58" i="44" s="1"/>
  <c r="AO58" i="44" s="1"/>
  <c r="AP58" i="44" s="1"/>
  <c r="AQ58" i="44" s="1"/>
  <c r="AR58" i="44" s="1"/>
  <c r="AS58" i="44" s="1"/>
  <c r="AT58" i="44" s="1"/>
  <c r="AU58" i="44" s="1"/>
  <c r="AV58" i="44" s="1"/>
  <c r="AW58" i="44" s="1"/>
  <c r="AX58" i="44" s="1"/>
  <c r="AY58" i="44" s="1"/>
  <c r="AZ58" i="44" s="1"/>
  <c r="BA58" i="44" s="1"/>
  <c r="BB58" i="44" s="1"/>
  <c r="BC58" i="44" s="1"/>
  <c r="BD58" i="44" s="1"/>
  <c r="BE58" i="44" s="1"/>
  <c r="BF58" i="44" s="1"/>
  <c r="BG58" i="44" s="1"/>
  <c r="BH58" i="44" s="1"/>
  <c r="BI58" i="44" s="1"/>
  <c r="BJ58" i="44" s="1"/>
  <c r="BK58" i="44" s="1"/>
  <c r="BL58" i="44" s="1"/>
  <c r="BM58" i="44" s="1"/>
  <c r="BN58" i="44" s="1"/>
  <c r="BO58" i="44" s="1"/>
  <c r="BP58" i="44" s="1"/>
  <c r="BQ58" i="44" s="1"/>
  <c r="BR58" i="44" s="1"/>
  <c r="BS58" i="44" s="1"/>
  <c r="BT58" i="44" s="1"/>
  <c r="BU58" i="44" s="1"/>
  <c r="BV58" i="44" s="1"/>
  <c r="BW58" i="44" s="1"/>
  <c r="BX58" i="44" s="1"/>
  <c r="BY58" i="44" s="1"/>
  <c r="BZ58" i="44" s="1"/>
  <c r="CA58" i="44" s="1"/>
  <c r="CB58" i="44" s="1"/>
  <c r="CC58" i="44" s="1"/>
  <c r="CD58" i="44" s="1"/>
  <c r="CE58" i="44" s="1"/>
  <c r="AH57" i="44"/>
  <c r="AI57" i="44" s="1"/>
  <c r="AJ57" i="44" s="1"/>
  <c r="AK57" i="44" s="1"/>
  <c r="AL57" i="44" s="1"/>
  <c r="AM57" i="44" s="1"/>
  <c r="AN57" i="44" s="1"/>
  <c r="AO57" i="44" s="1"/>
  <c r="AP57" i="44" s="1"/>
  <c r="AQ57" i="44" s="1"/>
  <c r="AR57" i="44" s="1"/>
  <c r="AS57" i="44" s="1"/>
  <c r="AT57" i="44" s="1"/>
  <c r="AU57" i="44" s="1"/>
  <c r="AV57" i="44" s="1"/>
  <c r="AW57" i="44" s="1"/>
  <c r="AX57" i="44" s="1"/>
  <c r="AY57" i="44" s="1"/>
  <c r="AZ57" i="44" s="1"/>
  <c r="BA57" i="44" s="1"/>
  <c r="BB57" i="44" s="1"/>
  <c r="BC57" i="44" s="1"/>
  <c r="BD57" i="44" s="1"/>
  <c r="BE57" i="44" s="1"/>
  <c r="BF57" i="44" s="1"/>
  <c r="BG57" i="44" s="1"/>
  <c r="BH57" i="44" s="1"/>
  <c r="BI57" i="44" s="1"/>
  <c r="BJ57" i="44" s="1"/>
  <c r="BK57" i="44" s="1"/>
  <c r="BL57" i="44" s="1"/>
  <c r="BM57" i="44" s="1"/>
  <c r="BN57" i="44" s="1"/>
  <c r="BO57" i="44" s="1"/>
  <c r="BP57" i="44" s="1"/>
  <c r="BQ57" i="44" s="1"/>
  <c r="BR57" i="44" s="1"/>
  <c r="BS57" i="44" s="1"/>
  <c r="BT57" i="44" s="1"/>
  <c r="BU57" i="44" s="1"/>
  <c r="BV57" i="44" s="1"/>
  <c r="BW57" i="44" s="1"/>
  <c r="BX57" i="44" s="1"/>
  <c r="BY57" i="44" s="1"/>
  <c r="BZ57" i="44" s="1"/>
  <c r="CA57" i="44" s="1"/>
  <c r="CB57" i="44" s="1"/>
  <c r="CC57" i="44" s="1"/>
  <c r="CD57" i="44" s="1"/>
  <c r="CE57" i="44" s="1"/>
  <c r="AH56" i="44"/>
  <c r="AI56" i="44" s="1"/>
  <c r="AJ56" i="44" s="1"/>
  <c r="AK56" i="44" s="1"/>
  <c r="AL56" i="44" s="1"/>
  <c r="AM56" i="44" s="1"/>
  <c r="AN56" i="44" s="1"/>
  <c r="AO56" i="44" s="1"/>
  <c r="AP56" i="44" s="1"/>
  <c r="AQ56" i="44" s="1"/>
  <c r="AR56" i="44" s="1"/>
  <c r="AS56" i="44" s="1"/>
  <c r="AT56" i="44" s="1"/>
  <c r="AU56" i="44" s="1"/>
  <c r="AV56" i="44" s="1"/>
  <c r="AW56" i="44" s="1"/>
  <c r="AX56" i="44" s="1"/>
  <c r="AY56" i="44" s="1"/>
  <c r="AZ56" i="44" s="1"/>
  <c r="BA56" i="44" s="1"/>
  <c r="BB56" i="44" s="1"/>
  <c r="BC56" i="44" s="1"/>
  <c r="BD56" i="44" s="1"/>
  <c r="BE56" i="44" s="1"/>
  <c r="BF56" i="44" s="1"/>
  <c r="BG56" i="44" s="1"/>
  <c r="BH56" i="44" s="1"/>
  <c r="BI56" i="44" s="1"/>
  <c r="BJ56" i="44" s="1"/>
  <c r="BK56" i="44" s="1"/>
  <c r="BL56" i="44" s="1"/>
  <c r="BM56" i="44" s="1"/>
  <c r="BN56" i="44" s="1"/>
  <c r="BO56" i="44" s="1"/>
  <c r="BP56" i="44" s="1"/>
  <c r="BQ56" i="44" s="1"/>
  <c r="BR56" i="44" s="1"/>
  <c r="BS56" i="44" s="1"/>
  <c r="BT56" i="44" s="1"/>
  <c r="BU56" i="44" s="1"/>
  <c r="BV56" i="44" s="1"/>
  <c r="BW56" i="44" s="1"/>
  <c r="BX56" i="44" s="1"/>
  <c r="BY56" i="44" s="1"/>
  <c r="BZ56" i="44" s="1"/>
  <c r="CA56" i="44" s="1"/>
  <c r="CB56" i="44" s="1"/>
  <c r="CC56" i="44" s="1"/>
  <c r="CD56" i="44" s="1"/>
  <c r="CE56" i="44" s="1"/>
  <c r="AH55" i="44"/>
  <c r="AI55" i="44" s="1"/>
  <c r="AJ55" i="44" s="1"/>
  <c r="AK55" i="44" s="1"/>
  <c r="AL55" i="44" s="1"/>
  <c r="AM55" i="44" s="1"/>
  <c r="AN55" i="44" s="1"/>
  <c r="AO55" i="44" s="1"/>
  <c r="AP55" i="44" s="1"/>
  <c r="AQ55" i="44" s="1"/>
  <c r="AR55" i="44" s="1"/>
  <c r="AS55" i="44" s="1"/>
  <c r="AT55" i="44" s="1"/>
  <c r="AU55" i="44" s="1"/>
  <c r="AV55" i="44" s="1"/>
  <c r="AW55" i="44" s="1"/>
  <c r="AX55" i="44" s="1"/>
  <c r="AY55" i="44" s="1"/>
  <c r="AZ55" i="44" s="1"/>
  <c r="BA55" i="44" s="1"/>
  <c r="BB55" i="44" s="1"/>
  <c r="BC55" i="44" s="1"/>
  <c r="BD55" i="44" s="1"/>
  <c r="BE55" i="44" s="1"/>
  <c r="BF55" i="44" s="1"/>
  <c r="BG55" i="44" s="1"/>
  <c r="BH55" i="44" s="1"/>
  <c r="BI55" i="44" s="1"/>
  <c r="BJ55" i="44" s="1"/>
  <c r="BK55" i="44" s="1"/>
  <c r="BL55" i="44" s="1"/>
  <c r="BM55" i="44" s="1"/>
  <c r="BN55" i="44" s="1"/>
  <c r="BO55" i="44" s="1"/>
  <c r="BP55" i="44" s="1"/>
  <c r="BQ55" i="44" s="1"/>
  <c r="BR55" i="44" s="1"/>
  <c r="BS55" i="44" s="1"/>
  <c r="BT55" i="44" s="1"/>
  <c r="BU55" i="44" s="1"/>
  <c r="BV55" i="44" s="1"/>
  <c r="BW55" i="44" s="1"/>
  <c r="BX55" i="44" s="1"/>
  <c r="BY55" i="44" s="1"/>
  <c r="BZ55" i="44" s="1"/>
  <c r="CA55" i="44" s="1"/>
  <c r="CB55" i="44" s="1"/>
  <c r="CC55" i="44" s="1"/>
  <c r="CD55" i="44" s="1"/>
  <c r="CE55" i="44" s="1"/>
  <c r="AH54" i="44"/>
  <c r="AI54" i="44" s="1"/>
  <c r="AJ54" i="44" s="1"/>
  <c r="AK54" i="44" s="1"/>
  <c r="AL54" i="44" s="1"/>
  <c r="AM54" i="44" s="1"/>
  <c r="AN54" i="44" s="1"/>
  <c r="AO54" i="44" s="1"/>
  <c r="AP54" i="44" s="1"/>
  <c r="AQ54" i="44" s="1"/>
  <c r="AR54" i="44" s="1"/>
  <c r="AS54" i="44" s="1"/>
  <c r="AT54" i="44" s="1"/>
  <c r="AU54" i="44" s="1"/>
  <c r="AV54" i="44" s="1"/>
  <c r="AW54" i="44" s="1"/>
  <c r="AX54" i="44" s="1"/>
  <c r="AY54" i="44" s="1"/>
  <c r="AZ54" i="44" s="1"/>
  <c r="BA54" i="44" s="1"/>
  <c r="BB54" i="44" s="1"/>
  <c r="BC54" i="44" s="1"/>
  <c r="BD54" i="44" s="1"/>
  <c r="BE54" i="44" s="1"/>
  <c r="BF54" i="44" s="1"/>
  <c r="BG54" i="44" s="1"/>
  <c r="BH54" i="44" s="1"/>
  <c r="BI54" i="44" s="1"/>
  <c r="BJ54" i="44" s="1"/>
  <c r="BK54" i="44" s="1"/>
  <c r="BL54" i="44" s="1"/>
  <c r="BM54" i="44" s="1"/>
  <c r="BN54" i="44" s="1"/>
  <c r="BO54" i="44" s="1"/>
  <c r="BP54" i="44" s="1"/>
  <c r="BQ54" i="44" s="1"/>
  <c r="BR54" i="44" s="1"/>
  <c r="BS54" i="44" s="1"/>
  <c r="BT54" i="44" s="1"/>
  <c r="BU54" i="44" s="1"/>
  <c r="BV54" i="44" s="1"/>
  <c r="BW54" i="44" s="1"/>
  <c r="BX54" i="44" s="1"/>
  <c r="BY54" i="44" s="1"/>
  <c r="BZ54" i="44" s="1"/>
  <c r="CA54" i="44" s="1"/>
  <c r="CB54" i="44" s="1"/>
  <c r="CC54" i="44" s="1"/>
  <c r="CD54" i="44" s="1"/>
  <c r="CE54" i="44" s="1"/>
  <c r="F53" i="44"/>
  <c r="G53" i="44" s="1"/>
  <c r="H53" i="44" s="1"/>
  <c r="I53" i="44" s="1"/>
  <c r="J53" i="44" s="1"/>
  <c r="K53" i="44" s="1"/>
  <c r="L53" i="44" s="1"/>
  <c r="M53" i="44" s="1"/>
  <c r="N53" i="44" s="1"/>
  <c r="O53" i="44" s="1"/>
  <c r="P53" i="44" s="1"/>
  <c r="Q53" i="44" s="1"/>
  <c r="R53" i="44" s="1"/>
  <c r="S53" i="44" s="1"/>
  <c r="T53" i="44" s="1"/>
  <c r="U53" i="44" s="1"/>
  <c r="V53" i="44" s="1"/>
  <c r="W53" i="44" s="1"/>
  <c r="X53" i="44" s="1"/>
  <c r="Y53" i="44" s="1"/>
  <c r="Z53" i="44" s="1"/>
  <c r="AA53" i="44" s="1"/>
  <c r="AB53" i="44" s="1"/>
  <c r="AC53" i="44" s="1"/>
  <c r="AD53" i="44" s="1"/>
  <c r="AE53" i="44" s="1"/>
  <c r="AF53" i="44" s="1"/>
  <c r="AG53" i="44" s="1"/>
  <c r="AH53" i="44" s="1"/>
  <c r="AI53" i="44" s="1"/>
  <c r="AJ53" i="44" s="1"/>
  <c r="AK53" i="44" s="1"/>
  <c r="AL53" i="44" s="1"/>
  <c r="AM53" i="44" s="1"/>
  <c r="AN53" i="44" s="1"/>
  <c r="AO53" i="44" s="1"/>
  <c r="AP53" i="44" s="1"/>
  <c r="AQ53" i="44" s="1"/>
  <c r="AR53" i="44" s="1"/>
  <c r="AS53" i="44" s="1"/>
  <c r="AT53" i="44" s="1"/>
  <c r="AU53" i="44" s="1"/>
  <c r="AV53" i="44" s="1"/>
  <c r="AW53" i="44" s="1"/>
  <c r="AX53" i="44" s="1"/>
  <c r="AY53" i="44" s="1"/>
  <c r="AZ53" i="44" s="1"/>
  <c r="BA53" i="44" s="1"/>
  <c r="BB53" i="44" s="1"/>
  <c r="BC53" i="44" s="1"/>
  <c r="BD53" i="44" s="1"/>
  <c r="BE53" i="44" s="1"/>
  <c r="BF53" i="44" s="1"/>
  <c r="BG53" i="44" s="1"/>
  <c r="BH53" i="44" s="1"/>
  <c r="BI53" i="44" s="1"/>
  <c r="BJ53" i="44" s="1"/>
  <c r="BK53" i="44" s="1"/>
  <c r="BL53" i="44" s="1"/>
  <c r="BM53" i="44" s="1"/>
  <c r="BN53" i="44" s="1"/>
  <c r="BO53" i="44" s="1"/>
  <c r="BP53" i="44" s="1"/>
  <c r="BQ53" i="44" s="1"/>
  <c r="BR53" i="44" s="1"/>
  <c r="BS53" i="44" s="1"/>
  <c r="BT53" i="44" s="1"/>
  <c r="BU53" i="44" s="1"/>
  <c r="BV53" i="44" s="1"/>
  <c r="BW53" i="44" s="1"/>
  <c r="BX53" i="44" s="1"/>
  <c r="BY53" i="44" s="1"/>
  <c r="BZ53" i="44" s="1"/>
  <c r="CA53" i="44" s="1"/>
  <c r="CB53" i="44" s="1"/>
  <c r="CC53" i="44" s="1"/>
  <c r="CD53" i="44" s="1"/>
  <c r="CE53" i="44" s="1"/>
  <c r="AH51" i="44"/>
  <c r="AI51" i="44" s="1"/>
  <c r="AJ51" i="44" s="1"/>
  <c r="AK51" i="44" s="1"/>
  <c r="AL51" i="44" s="1"/>
  <c r="AM51" i="44" s="1"/>
  <c r="AN51" i="44" s="1"/>
  <c r="AO51" i="44" s="1"/>
  <c r="AP51" i="44" s="1"/>
  <c r="AQ51" i="44" s="1"/>
  <c r="AR51" i="44" s="1"/>
  <c r="AS51" i="44" s="1"/>
  <c r="AT51" i="44" s="1"/>
  <c r="AU51" i="44" s="1"/>
  <c r="AV51" i="44" s="1"/>
  <c r="AW51" i="44" s="1"/>
  <c r="AX51" i="44" s="1"/>
  <c r="AY51" i="44" s="1"/>
  <c r="AZ51" i="44" s="1"/>
  <c r="BA51" i="44" s="1"/>
  <c r="BB51" i="44" s="1"/>
  <c r="BC51" i="44" s="1"/>
  <c r="BD51" i="44" s="1"/>
  <c r="BE51" i="44" s="1"/>
  <c r="BF51" i="44" s="1"/>
  <c r="BG51" i="44" s="1"/>
  <c r="BH51" i="44" s="1"/>
  <c r="BI51" i="44" s="1"/>
  <c r="BJ51" i="44" s="1"/>
  <c r="BK51" i="44" s="1"/>
  <c r="BL51" i="44" s="1"/>
  <c r="BM51" i="44" s="1"/>
  <c r="BN51" i="44" s="1"/>
  <c r="BO51" i="44" s="1"/>
  <c r="BP51" i="44" s="1"/>
  <c r="BQ51" i="44" s="1"/>
  <c r="BR51" i="44" s="1"/>
  <c r="BS51" i="44" s="1"/>
  <c r="BT51" i="44" s="1"/>
  <c r="BU51" i="44" s="1"/>
  <c r="BV51" i="44" s="1"/>
  <c r="BW51" i="44" s="1"/>
  <c r="BX51" i="44" s="1"/>
  <c r="BY51" i="44" s="1"/>
  <c r="BZ51" i="44" s="1"/>
  <c r="CA51" i="44" s="1"/>
  <c r="CB51" i="44" s="1"/>
  <c r="CC51" i="44" s="1"/>
  <c r="CD51" i="44" s="1"/>
  <c r="CE51" i="44" s="1"/>
  <c r="AH50" i="44"/>
  <c r="AI50" i="44" s="1"/>
  <c r="AJ50" i="44" s="1"/>
  <c r="AK50" i="44" s="1"/>
  <c r="AL50" i="44" s="1"/>
  <c r="AM50" i="44" s="1"/>
  <c r="AN50" i="44" s="1"/>
  <c r="AO50" i="44" s="1"/>
  <c r="AP50" i="44" s="1"/>
  <c r="AQ50" i="44" s="1"/>
  <c r="AR50" i="44" s="1"/>
  <c r="AS50" i="44" s="1"/>
  <c r="AT50" i="44" s="1"/>
  <c r="AU50" i="44" s="1"/>
  <c r="AV50" i="44" s="1"/>
  <c r="AW50" i="44" s="1"/>
  <c r="AX50" i="44" s="1"/>
  <c r="AY50" i="44" s="1"/>
  <c r="AZ50" i="44" s="1"/>
  <c r="BA50" i="44" s="1"/>
  <c r="BB50" i="44" s="1"/>
  <c r="BC50" i="44" s="1"/>
  <c r="BD50" i="44" s="1"/>
  <c r="BE50" i="44" s="1"/>
  <c r="BF50" i="44" s="1"/>
  <c r="BG50" i="44" s="1"/>
  <c r="BH50" i="44" s="1"/>
  <c r="BI50" i="44" s="1"/>
  <c r="BJ50" i="44" s="1"/>
  <c r="BK50" i="44" s="1"/>
  <c r="BL50" i="44" s="1"/>
  <c r="BM50" i="44" s="1"/>
  <c r="BN50" i="44" s="1"/>
  <c r="BO50" i="44" s="1"/>
  <c r="BP50" i="44" s="1"/>
  <c r="BQ50" i="44" s="1"/>
  <c r="BR50" i="44" s="1"/>
  <c r="BS50" i="44" s="1"/>
  <c r="BT50" i="44" s="1"/>
  <c r="BU50" i="44" s="1"/>
  <c r="BV50" i="44" s="1"/>
  <c r="BW50" i="44" s="1"/>
  <c r="BX50" i="44" s="1"/>
  <c r="BY50" i="44" s="1"/>
  <c r="BZ50" i="44" s="1"/>
  <c r="CA50" i="44" s="1"/>
  <c r="CB50" i="44" s="1"/>
  <c r="CC50" i="44" s="1"/>
  <c r="CD50" i="44" s="1"/>
  <c r="CE50" i="44" s="1"/>
  <c r="AH49" i="44"/>
  <c r="AI49" i="44" s="1"/>
  <c r="AJ49" i="44" s="1"/>
  <c r="AK49" i="44" s="1"/>
  <c r="AL49" i="44" s="1"/>
  <c r="AM49" i="44" s="1"/>
  <c r="AN49" i="44" s="1"/>
  <c r="AO49" i="44" s="1"/>
  <c r="AP49" i="44" s="1"/>
  <c r="AQ49" i="44" s="1"/>
  <c r="AR49" i="44" s="1"/>
  <c r="AS49" i="44" s="1"/>
  <c r="AT49" i="44" s="1"/>
  <c r="AU49" i="44" s="1"/>
  <c r="AV49" i="44" s="1"/>
  <c r="AW49" i="44" s="1"/>
  <c r="AX49" i="44" s="1"/>
  <c r="AY49" i="44" s="1"/>
  <c r="AZ49" i="44" s="1"/>
  <c r="BA49" i="44" s="1"/>
  <c r="BB49" i="44" s="1"/>
  <c r="BC49" i="44" s="1"/>
  <c r="BD49" i="44" s="1"/>
  <c r="BE49" i="44" s="1"/>
  <c r="BF49" i="44" s="1"/>
  <c r="BG49" i="44" s="1"/>
  <c r="BH49" i="44" s="1"/>
  <c r="BI49" i="44" s="1"/>
  <c r="BJ49" i="44" s="1"/>
  <c r="BK49" i="44" s="1"/>
  <c r="BL49" i="44" s="1"/>
  <c r="BM49" i="44" s="1"/>
  <c r="BN49" i="44" s="1"/>
  <c r="BO49" i="44" s="1"/>
  <c r="BP49" i="44" s="1"/>
  <c r="BQ49" i="44" s="1"/>
  <c r="BR49" i="44" s="1"/>
  <c r="BS49" i="44" s="1"/>
  <c r="BT49" i="44" s="1"/>
  <c r="BU49" i="44" s="1"/>
  <c r="BV49" i="44" s="1"/>
  <c r="BW49" i="44" s="1"/>
  <c r="BX49" i="44" s="1"/>
  <c r="BY49" i="44" s="1"/>
  <c r="BZ49" i="44" s="1"/>
  <c r="CA49" i="44" s="1"/>
  <c r="CB49" i="44" s="1"/>
  <c r="CC49" i="44" s="1"/>
  <c r="CD49" i="44" s="1"/>
  <c r="CE49" i="44" s="1"/>
  <c r="AH48" i="44"/>
  <c r="AI48" i="44" s="1"/>
  <c r="AJ48" i="44" s="1"/>
  <c r="AK48" i="44" s="1"/>
  <c r="AL48" i="44" s="1"/>
  <c r="AM48" i="44" s="1"/>
  <c r="AN48" i="44" s="1"/>
  <c r="AO48" i="44" s="1"/>
  <c r="AP48" i="44" s="1"/>
  <c r="AQ48" i="44" s="1"/>
  <c r="AR48" i="44" s="1"/>
  <c r="AS48" i="44" s="1"/>
  <c r="AT48" i="44" s="1"/>
  <c r="AU48" i="44" s="1"/>
  <c r="AV48" i="44" s="1"/>
  <c r="AW48" i="44" s="1"/>
  <c r="AX48" i="44" s="1"/>
  <c r="AY48" i="44" s="1"/>
  <c r="AZ48" i="44" s="1"/>
  <c r="BA48" i="44" s="1"/>
  <c r="BB48" i="44" s="1"/>
  <c r="BC48" i="44" s="1"/>
  <c r="BD48" i="44" s="1"/>
  <c r="BE48" i="44" s="1"/>
  <c r="BF48" i="44" s="1"/>
  <c r="BG48" i="44" s="1"/>
  <c r="BH48" i="44" s="1"/>
  <c r="BI48" i="44" s="1"/>
  <c r="BJ48" i="44" s="1"/>
  <c r="BK48" i="44" s="1"/>
  <c r="BL48" i="44" s="1"/>
  <c r="BM48" i="44" s="1"/>
  <c r="BN48" i="44" s="1"/>
  <c r="BO48" i="44" s="1"/>
  <c r="BP48" i="44" s="1"/>
  <c r="BQ48" i="44" s="1"/>
  <c r="BR48" i="44" s="1"/>
  <c r="BS48" i="44" s="1"/>
  <c r="BT48" i="44" s="1"/>
  <c r="BU48" i="44" s="1"/>
  <c r="BV48" i="44" s="1"/>
  <c r="BW48" i="44" s="1"/>
  <c r="BX48" i="44" s="1"/>
  <c r="BY48" i="44" s="1"/>
  <c r="BZ48" i="44" s="1"/>
  <c r="CA48" i="44" s="1"/>
  <c r="CB48" i="44" s="1"/>
  <c r="CC48" i="44" s="1"/>
  <c r="CD48" i="44" s="1"/>
  <c r="CE48" i="44" s="1"/>
  <c r="AH47" i="44"/>
  <c r="AI47" i="44" s="1"/>
  <c r="AJ47" i="44" s="1"/>
  <c r="AK47" i="44" s="1"/>
  <c r="AL47" i="44" s="1"/>
  <c r="AM47" i="44" s="1"/>
  <c r="AN47" i="44" s="1"/>
  <c r="AO47" i="44" s="1"/>
  <c r="AP47" i="44" s="1"/>
  <c r="AQ47" i="44" s="1"/>
  <c r="AR47" i="44" s="1"/>
  <c r="AS47" i="44" s="1"/>
  <c r="AT47" i="44" s="1"/>
  <c r="AU47" i="44" s="1"/>
  <c r="AV47" i="44" s="1"/>
  <c r="AW47" i="44" s="1"/>
  <c r="AX47" i="44" s="1"/>
  <c r="AY47" i="44" s="1"/>
  <c r="AZ47" i="44" s="1"/>
  <c r="BA47" i="44" s="1"/>
  <c r="BB47" i="44" s="1"/>
  <c r="BC47" i="44" s="1"/>
  <c r="BD47" i="44" s="1"/>
  <c r="BE47" i="44" s="1"/>
  <c r="BF47" i="44" s="1"/>
  <c r="BG47" i="44" s="1"/>
  <c r="BH47" i="44" s="1"/>
  <c r="BI47" i="44" s="1"/>
  <c r="BJ47" i="44" s="1"/>
  <c r="BK47" i="44" s="1"/>
  <c r="BL47" i="44" s="1"/>
  <c r="BM47" i="44" s="1"/>
  <c r="BN47" i="44" s="1"/>
  <c r="BO47" i="44" s="1"/>
  <c r="BP47" i="44" s="1"/>
  <c r="BQ47" i="44" s="1"/>
  <c r="BR47" i="44" s="1"/>
  <c r="BS47" i="44" s="1"/>
  <c r="BT47" i="44" s="1"/>
  <c r="BU47" i="44" s="1"/>
  <c r="BV47" i="44" s="1"/>
  <c r="BW47" i="44" s="1"/>
  <c r="BX47" i="44" s="1"/>
  <c r="BY47" i="44" s="1"/>
  <c r="BZ47" i="44" s="1"/>
  <c r="CA47" i="44" s="1"/>
  <c r="CB47" i="44" s="1"/>
  <c r="CC47" i="44" s="1"/>
  <c r="CD47" i="44" s="1"/>
  <c r="CE47" i="44" s="1"/>
  <c r="AH46" i="44"/>
  <c r="AI46" i="44" s="1"/>
  <c r="AJ46" i="44" s="1"/>
  <c r="AK46" i="44" s="1"/>
  <c r="AL46" i="44" s="1"/>
  <c r="AM46" i="44" s="1"/>
  <c r="AN46" i="44" s="1"/>
  <c r="AO46" i="44" s="1"/>
  <c r="AP46" i="44" s="1"/>
  <c r="AQ46" i="44" s="1"/>
  <c r="AR46" i="44" s="1"/>
  <c r="AS46" i="44" s="1"/>
  <c r="AT46" i="44" s="1"/>
  <c r="AU46" i="44" s="1"/>
  <c r="AV46" i="44" s="1"/>
  <c r="AW46" i="44" s="1"/>
  <c r="AX46" i="44" s="1"/>
  <c r="AY46" i="44" s="1"/>
  <c r="AZ46" i="44" s="1"/>
  <c r="BA46" i="44" s="1"/>
  <c r="BB46" i="44" s="1"/>
  <c r="BC46" i="44" s="1"/>
  <c r="BD46" i="44" s="1"/>
  <c r="BE46" i="44" s="1"/>
  <c r="BF46" i="44" s="1"/>
  <c r="BG46" i="44" s="1"/>
  <c r="BH46" i="44" s="1"/>
  <c r="BI46" i="44" s="1"/>
  <c r="BJ46" i="44" s="1"/>
  <c r="BK46" i="44" s="1"/>
  <c r="BL46" i="44" s="1"/>
  <c r="BM46" i="44" s="1"/>
  <c r="BN46" i="44" s="1"/>
  <c r="BO46" i="44" s="1"/>
  <c r="BP46" i="44" s="1"/>
  <c r="BQ46" i="44" s="1"/>
  <c r="BR46" i="44" s="1"/>
  <c r="BS46" i="44" s="1"/>
  <c r="BT46" i="44" s="1"/>
  <c r="BU46" i="44" s="1"/>
  <c r="BV46" i="44" s="1"/>
  <c r="BW46" i="44" s="1"/>
  <c r="BX46" i="44" s="1"/>
  <c r="BY46" i="44" s="1"/>
  <c r="BZ46" i="44" s="1"/>
  <c r="CA46" i="44" s="1"/>
  <c r="CB46" i="44" s="1"/>
  <c r="CC46" i="44" s="1"/>
  <c r="CD46" i="44" s="1"/>
  <c r="CE46" i="44" s="1"/>
  <c r="AH45" i="44"/>
  <c r="AI45" i="44" s="1"/>
  <c r="AJ45" i="44" s="1"/>
  <c r="AK45" i="44" s="1"/>
  <c r="AL45" i="44" s="1"/>
  <c r="AM45" i="44" s="1"/>
  <c r="AN45" i="44" s="1"/>
  <c r="AO45" i="44" s="1"/>
  <c r="AP45" i="44" s="1"/>
  <c r="AQ45" i="44" s="1"/>
  <c r="AR45" i="44" s="1"/>
  <c r="AS45" i="44" s="1"/>
  <c r="AT45" i="44" s="1"/>
  <c r="AU45" i="44" s="1"/>
  <c r="AV45" i="44" s="1"/>
  <c r="AW45" i="44" s="1"/>
  <c r="AX45" i="44" s="1"/>
  <c r="AY45" i="44" s="1"/>
  <c r="AZ45" i="44" s="1"/>
  <c r="BA45" i="44" s="1"/>
  <c r="BB45" i="44" s="1"/>
  <c r="BC45" i="44" s="1"/>
  <c r="BD45" i="44" s="1"/>
  <c r="BE45" i="44" s="1"/>
  <c r="BF45" i="44" s="1"/>
  <c r="BG45" i="44" s="1"/>
  <c r="BH45" i="44" s="1"/>
  <c r="BI45" i="44" s="1"/>
  <c r="BJ45" i="44" s="1"/>
  <c r="BK45" i="44" s="1"/>
  <c r="BL45" i="44" s="1"/>
  <c r="BM45" i="44" s="1"/>
  <c r="BN45" i="44" s="1"/>
  <c r="BO45" i="44" s="1"/>
  <c r="BP45" i="44" s="1"/>
  <c r="BQ45" i="44" s="1"/>
  <c r="BR45" i="44" s="1"/>
  <c r="BS45" i="44" s="1"/>
  <c r="BT45" i="44" s="1"/>
  <c r="BU45" i="44" s="1"/>
  <c r="BV45" i="44" s="1"/>
  <c r="BW45" i="44" s="1"/>
  <c r="BX45" i="44" s="1"/>
  <c r="BY45" i="44" s="1"/>
  <c r="BZ45" i="44" s="1"/>
  <c r="CA45" i="44" s="1"/>
  <c r="CB45" i="44" s="1"/>
  <c r="CC45" i="44" s="1"/>
  <c r="CD45" i="44" s="1"/>
  <c r="CE45" i="44" s="1"/>
  <c r="AH44" i="44"/>
  <c r="AI44" i="44" s="1"/>
  <c r="AJ44" i="44" s="1"/>
  <c r="AK44" i="44" s="1"/>
  <c r="AL44" i="44" s="1"/>
  <c r="AM44" i="44" s="1"/>
  <c r="AN44" i="44" s="1"/>
  <c r="AO44" i="44" s="1"/>
  <c r="AP44" i="44" s="1"/>
  <c r="AQ44" i="44" s="1"/>
  <c r="AR44" i="44" s="1"/>
  <c r="AS44" i="44" s="1"/>
  <c r="AT44" i="44" s="1"/>
  <c r="AU44" i="44" s="1"/>
  <c r="AV44" i="44" s="1"/>
  <c r="AW44" i="44" s="1"/>
  <c r="AX44" i="44" s="1"/>
  <c r="AY44" i="44" s="1"/>
  <c r="AZ44" i="44" s="1"/>
  <c r="BA44" i="44" s="1"/>
  <c r="BB44" i="44" s="1"/>
  <c r="BC44" i="44" s="1"/>
  <c r="BD44" i="44" s="1"/>
  <c r="BE44" i="44" s="1"/>
  <c r="BF44" i="44" s="1"/>
  <c r="BG44" i="44" s="1"/>
  <c r="BH44" i="44" s="1"/>
  <c r="BI44" i="44" s="1"/>
  <c r="BJ44" i="44" s="1"/>
  <c r="BK44" i="44" s="1"/>
  <c r="BL44" i="44" s="1"/>
  <c r="BM44" i="44" s="1"/>
  <c r="BN44" i="44" s="1"/>
  <c r="BO44" i="44" s="1"/>
  <c r="BP44" i="44" s="1"/>
  <c r="BQ44" i="44" s="1"/>
  <c r="BR44" i="44" s="1"/>
  <c r="BS44" i="44" s="1"/>
  <c r="BT44" i="44" s="1"/>
  <c r="BU44" i="44" s="1"/>
  <c r="BV44" i="44" s="1"/>
  <c r="BW44" i="44" s="1"/>
  <c r="BX44" i="44" s="1"/>
  <c r="BY44" i="44" s="1"/>
  <c r="BZ44" i="44" s="1"/>
  <c r="CA44" i="44" s="1"/>
  <c r="CB44" i="44" s="1"/>
  <c r="CC44" i="44" s="1"/>
  <c r="CD44" i="44" s="1"/>
  <c r="CE44" i="44" s="1"/>
  <c r="AH42" i="44"/>
  <c r="AI42" i="44" s="1"/>
  <c r="AJ42" i="44" s="1"/>
  <c r="AK42" i="44" s="1"/>
  <c r="AL42" i="44" s="1"/>
  <c r="AM42" i="44" s="1"/>
  <c r="AN42" i="44" s="1"/>
  <c r="AO42" i="44" s="1"/>
  <c r="AP42" i="44" s="1"/>
  <c r="AQ42" i="44" s="1"/>
  <c r="AR42" i="44" s="1"/>
  <c r="AS42" i="44" s="1"/>
  <c r="AT42" i="44" s="1"/>
  <c r="AU42" i="44" s="1"/>
  <c r="AV42" i="44" s="1"/>
  <c r="AW42" i="44" s="1"/>
  <c r="AX42" i="44" s="1"/>
  <c r="AY42" i="44" s="1"/>
  <c r="AZ42" i="44" s="1"/>
  <c r="BA42" i="44" s="1"/>
  <c r="BB42" i="44" s="1"/>
  <c r="BC42" i="44" s="1"/>
  <c r="BD42" i="44" s="1"/>
  <c r="BE42" i="44" s="1"/>
  <c r="BF42" i="44" s="1"/>
  <c r="BG42" i="44" s="1"/>
  <c r="BH42" i="44" s="1"/>
  <c r="BI42" i="44" s="1"/>
  <c r="BJ42" i="44" s="1"/>
  <c r="BK42" i="44" s="1"/>
  <c r="BL42" i="44" s="1"/>
  <c r="BM42" i="44" s="1"/>
  <c r="BN42" i="44" s="1"/>
  <c r="BO42" i="44" s="1"/>
  <c r="BP42" i="44" s="1"/>
  <c r="BQ42" i="44" s="1"/>
  <c r="BR42" i="44" s="1"/>
  <c r="BS42" i="44" s="1"/>
  <c r="BT42" i="44" s="1"/>
  <c r="BU42" i="44" s="1"/>
  <c r="BV42" i="44" s="1"/>
  <c r="BW42" i="44" s="1"/>
  <c r="BX42" i="44" s="1"/>
  <c r="BY42" i="44" s="1"/>
  <c r="BZ42" i="44" s="1"/>
  <c r="CA42" i="44" s="1"/>
  <c r="CB42" i="44" s="1"/>
  <c r="CC42" i="44" s="1"/>
  <c r="CD42" i="44" s="1"/>
  <c r="CE42" i="44" s="1"/>
  <c r="AH41" i="44"/>
  <c r="AI41" i="44" s="1"/>
  <c r="AJ41" i="44" s="1"/>
  <c r="AK41" i="44" s="1"/>
  <c r="AL41" i="44" s="1"/>
  <c r="AM41" i="44" s="1"/>
  <c r="AN41" i="44" s="1"/>
  <c r="AO41" i="44" s="1"/>
  <c r="AP41" i="44" s="1"/>
  <c r="AQ41" i="44" s="1"/>
  <c r="AR41" i="44" s="1"/>
  <c r="AS41" i="44" s="1"/>
  <c r="AT41" i="44" s="1"/>
  <c r="AU41" i="44" s="1"/>
  <c r="AV41" i="44" s="1"/>
  <c r="AW41" i="44" s="1"/>
  <c r="AX41" i="44" s="1"/>
  <c r="AY41" i="44" s="1"/>
  <c r="AZ41" i="44" s="1"/>
  <c r="BA41" i="44" s="1"/>
  <c r="BB41" i="44" s="1"/>
  <c r="BC41" i="44" s="1"/>
  <c r="BD41" i="44" s="1"/>
  <c r="BE41" i="44" s="1"/>
  <c r="BF41" i="44" s="1"/>
  <c r="BG41" i="44" s="1"/>
  <c r="BH41" i="44" s="1"/>
  <c r="BI41" i="44" s="1"/>
  <c r="BJ41" i="44" s="1"/>
  <c r="BK41" i="44" s="1"/>
  <c r="BL41" i="44" s="1"/>
  <c r="BM41" i="44" s="1"/>
  <c r="BN41" i="44" s="1"/>
  <c r="BO41" i="44" s="1"/>
  <c r="BP41" i="44" s="1"/>
  <c r="BQ41" i="44" s="1"/>
  <c r="BR41" i="44" s="1"/>
  <c r="BS41" i="44" s="1"/>
  <c r="BT41" i="44" s="1"/>
  <c r="BU41" i="44" s="1"/>
  <c r="BV41" i="44" s="1"/>
  <c r="BW41" i="44" s="1"/>
  <c r="BX41" i="44" s="1"/>
  <c r="BY41" i="44" s="1"/>
  <c r="BZ41" i="44" s="1"/>
  <c r="CA41" i="44" s="1"/>
  <c r="CB41" i="44" s="1"/>
  <c r="CC41" i="44" s="1"/>
  <c r="CD41" i="44" s="1"/>
  <c r="CE41" i="44" s="1"/>
  <c r="AH39" i="44"/>
  <c r="AI39" i="44" s="1"/>
  <c r="AJ39" i="44" s="1"/>
  <c r="AK39" i="44" s="1"/>
  <c r="AL39" i="44" s="1"/>
  <c r="AM39" i="44" s="1"/>
  <c r="AN39" i="44" s="1"/>
  <c r="AO39" i="44" s="1"/>
  <c r="AP39" i="44" s="1"/>
  <c r="AQ39" i="44" s="1"/>
  <c r="AR39" i="44" s="1"/>
  <c r="AS39" i="44" s="1"/>
  <c r="AT39" i="44" s="1"/>
  <c r="AU39" i="44" s="1"/>
  <c r="AV39" i="44" s="1"/>
  <c r="AW39" i="44" s="1"/>
  <c r="AX39" i="44" s="1"/>
  <c r="AY39" i="44" s="1"/>
  <c r="AZ39" i="44" s="1"/>
  <c r="BA39" i="44" s="1"/>
  <c r="BB39" i="44" s="1"/>
  <c r="BC39" i="44" s="1"/>
  <c r="BD39" i="44" s="1"/>
  <c r="BE39" i="44" s="1"/>
  <c r="BF39" i="44" s="1"/>
  <c r="BG39" i="44" s="1"/>
  <c r="BH39" i="44" s="1"/>
  <c r="BI39" i="44" s="1"/>
  <c r="BJ39" i="44" s="1"/>
  <c r="BK39" i="44" s="1"/>
  <c r="BL39" i="44" s="1"/>
  <c r="BM39" i="44" s="1"/>
  <c r="BN39" i="44" s="1"/>
  <c r="BO39" i="44" s="1"/>
  <c r="BP39" i="44" s="1"/>
  <c r="BQ39" i="44" s="1"/>
  <c r="BR39" i="44" s="1"/>
  <c r="BS39" i="44" s="1"/>
  <c r="BT39" i="44" s="1"/>
  <c r="BU39" i="44" s="1"/>
  <c r="BV39" i="44" s="1"/>
  <c r="BW39" i="44" s="1"/>
  <c r="BX39" i="44" s="1"/>
  <c r="BY39" i="44" s="1"/>
  <c r="BZ39" i="44" s="1"/>
  <c r="CA39" i="44" s="1"/>
  <c r="CB39" i="44" s="1"/>
  <c r="CC39" i="44" s="1"/>
  <c r="CD39" i="44" s="1"/>
  <c r="CE39" i="44" s="1"/>
  <c r="AH38" i="44"/>
  <c r="AI38" i="44" s="1"/>
  <c r="AJ38" i="44" s="1"/>
  <c r="AK38" i="44" s="1"/>
  <c r="AL38" i="44" s="1"/>
  <c r="AM38" i="44" s="1"/>
  <c r="AN38" i="44" s="1"/>
  <c r="AO38" i="44" s="1"/>
  <c r="AP38" i="44" s="1"/>
  <c r="AQ38" i="44" s="1"/>
  <c r="AR38" i="44" s="1"/>
  <c r="AS38" i="44" s="1"/>
  <c r="AT38" i="44" s="1"/>
  <c r="AU38" i="44" s="1"/>
  <c r="AV38" i="44" s="1"/>
  <c r="AW38" i="44" s="1"/>
  <c r="AX38" i="44" s="1"/>
  <c r="AY38" i="44" s="1"/>
  <c r="AZ38" i="44" s="1"/>
  <c r="BA38" i="44" s="1"/>
  <c r="BB38" i="44" s="1"/>
  <c r="BC38" i="44" s="1"/>
  <c r="BD38" i="44" s="1"/>
  <c r="BE38" i="44" s="1"/>
  <c r="BF38" i="44" s="1"/>
  <c r="BG38" i="44" s="1"/>
  <c r="BH38" i="44" s="1"/>
  <c r="BI38" i="44" s="1"/>
  <c r="BJ38" i="44" s="1"/>
  <c r="BK38" i="44" s="1"/>
  <c r="BL38" i="44" s="1"/>
  <c r="BM38" i="44" s="1"/>
  <c r="BN38" i="44" s="1"/>
  <c r="BO38" i="44" s="1"/>
  <c r="BP38" i="44" s="1"/>
  <c r="BQ38" i="44" s="1"/>
  <c r="BR38" i="44" s="1"/>
  <c r="BS38" i="44" s="1"/>
  <c r="BT38" i="44" s="1"/>
  <c r="BU38" i="44" s="1"/>
  <c r="BV38" i="44" s="1"/>
  <c r="BW38" i="44" s="1"/>
  <c r="BX38" i="44" s="1"/>
  <c r="BY38" i="44" s="1"/>
  <c r="BZ38" i="44" s="1"/>
  <c r="CA38" i="44" s="1"/>
  <c r="CB38" i="44" s="1"/>
  <c r="CC38" i="44" s="1"/>
  <c r="CD38" i="44" s="1"/>
  <c r="CE38" i="44" s="1"/>
  <c r="AH37" i="44"/>
  <c r="AI37" i="44" s="1"/>
  <c r="AJ37" i="44" s="1"/>
  <c r="AK37" i="44" s="1"/>
  <c r="AL37" i="44" s="1"/>
  <c r="AM37" i="44" s="1"/>
  <c r="AN37" i="44" s="1"/>
  <c r="AO37" i="44" s="1"/>
  <c r="AP37" i="44" s="1"/>
  <c r="AQ37" i="44" s="1"/>
  <c r="AR37" i="44" s="1"/>
  <c r="AS37" i="44" s="1"/>
  <c r="AT37" i="44" s="1"/>
  <c r="AU37" i="44" s="1"/>
  <c r="AV37" i="44" s="1"/>
  <c r="AW37" i="44" s="1"/>
  <c r="AX37" i="44" s="1"/>
  <c r="AY37" i="44" s="1"/>
  <c r="AZ37" i="44" s="1"/>
  <c r="BA37" i="44" s="1"/>
  <c r="BB37" i="44" s="1"/>
  <c r="BC37" i="44" s="1"/>
  <c r="BD37" i="44" s="1"/>
  <c r="BE37" i="44" s="1"/>
  <c r="BF37" i="44" s="1"/>
  <c r="BG37" i="44" s="1"/>
  <c r="BH37" i="44" s="1"/>
  <c r="BI37" i="44" s="1"/>
  <c r="BJ37" i="44" s="1"/>
  <c r="BK37" i="44" s="1"/>
  <c r="BL37" i="44" s="1"/>
  <c r="BM37" i="44" s="1"/>
  <c r="BN37" i="44" s="1"/>
  <c r="BO37" i="44" s="1"/>
  <c r="BP37" i="44" s="1"/>
  <c r="BQ37" i="44" s="1"/>
  <c r="BR37" i="44" s="1"/>
  <c r="BS37" i="44" s="1"/>
  <c r="BT37" i="44" s="1"/>
  <c r="BU37" i="44" s="1"/>
  <c r="BV37" i="44" s="1"/>
  <c r="BW37" i="44" s="1"/>
  <c r="BX37" i="44" s="1"/>
  <c r="BY37" i="44" s="1"/>
  <c r="BZ37" i="44" s="1"/>
  <c r="CA37" i="44" s="1"/>
  <c r="CB37" i="44" s="1"/>
  <c r="CC37" i="44" s="1"/>
  <c r="CD37" i="44" s="1"/>
  <c r="CE37" i="44" s="1"/>
  <c r="AH36" i="44"/>
  <c r="AI36" i="44" s="1"/>
  <c r="AJ36" i="44" s="1"/>
  <c r="AK36" i="44" s="1"/>
  <c r="AL36" i="44" s="1"/>
  <c r="AM36" i="44" s="1"/>
  <c r="AN36" i="44" s="1"/>
  <c r="AO36" i="44" s="1"/>
  <c r="AP36" i="44" s="1"/>
  <c r="AQ36" i="44" s="1"/>
  <c r="AR36" i="44" s="1"/>
  <c r="AS36" i="44" s="1"/>
  <c r="AT36" i="44" s="1"/>
  <c r="AU36" i="44" s="1"/>
  <c r="AV36" i="44" s="1"/>
  <c r="AW36" i="44" s="1"/>
  <c r="AX36" i="44" s="1"/>
  <c r="AY36" i="44" s="1"/>
  <c r="AZ36" i="44" s="1"/>
  <c r="BA36" i="44" s="1"/>
  <c r="BB36" i="44" s="1"/>
  <c r="BC36" i="44" s="1"/>
  <c r="BD36" i="44" s="1"/>
  <c r="BE36" i="44" s="1"/>
  <c r="BF36" i="44" s="1"/>
  <c r="BG36" i="44" s="1"/>
  <c r="BH36" i="44" s="1"/>
  <c r="BI36" i="44" s="1"/>
  <c r="BJ36" i="44" s="1"/>
  <c r="BK36" i="44" s="1"/>
  <c r="BL36" i="44" s="1"/>
  <c r="BM36" i="44" s="1"/>
  <c r="BN36" i="44" s="1"/>
  <c r="BO36" i="44" s="1"/>
  <c r="BP36" i="44" s="1"/>
  <c r="BQ36" i="44" s="1"/>
  <c r="BR36" i="44" s="1"/>
  <c r="BS36" i="44" s="1"/>
  <c r="BT36" i="44" s="1"/>
  <c r="BU36" i="44" s="1"/>
  <c r="BV36" i="44" s="1"/>
  <c r="BW36" i="44" s="1"/>
  <c r="BX36" i="44" s="1"/>
  <c r="BY36" i="44" s="1"/>
  <c r="BZ36" i="44" s="1"/>
  <c r="CA36" i="44" s="1"/>
  <c r="CB36" i="44" s="1"/>
  <c r="CC36" i="44" s="1"/>
  <c r="CD36" i="44" s="1"/>
  <c r="CE36" i="44" s="1"/>
  <c r="AH35" i="44"/>
  <c r="AI35" i="44" s="1"/>
  <c r="AJ35" i="44" s="1"/>
  <c r="AK35" i="44" s="1"/>
  <c r="AL35" i="44" s="1"/>
  <c r="AM35" i="44" s="1"/>
  <c r="AN35" i="44" s="1"/>
  <c r="AO35" i="44" s="1"/>
  <c r="AP35" i="44" s="1"/>
  <c r="AQ35" i="44" s="1"/>
  <c r="AR35" i="44" s="1"/>
  <c r="AS35" i="44" s="1"/>
  <c r="AT35" i="44" s="1"/>
  <c r="AU35" i="44" s="1"/>
  <c r="AV35" i="44" s="1"/>
  <c r="AW35" i="44" s="1"/>
  <c r="AX35" i="44" s="1"/>
  <c r="AY35" i="44" s="1"/>
  <c r="AZ35" i="44" s="1"/>
  <c r="BA35" i="44" s="1"/>
  <c r="BB35" i="44" s="1"/>
  <c r="BC35" i="44" s="1"/>
  <c r="BD35" i="44" s="1"/>
  <c r="BE35" i="44" s="1"/>
  <c r="BF35" i="44" s="1"/>
  <c r="BG35" i="44" s="1"/>
  <c r="BH35" i="44" s="1"/>
  <c r="BI35" i="44" s="1"/>
  <c r="BJ35" i="44" s="1"/>
  <c r="BK35" i="44" s="1"/>
  <c r="BL35" i="44" s="1"/>
  <c r="BM35" i="44" s="1"/>
  <c r="BN35" i="44" s="1"/>
  <c r="BO35" i="44" s="1"/>
  <c r="BP35" i="44" s="1"/>
  <c r="BQ35" i="44" s="1"/>
  <c r="BR35" i="44" s="1"/>
  <c r="BS35" i="44" s="1"/>
  <c r="BT35" i="44" s="1"/>
  <c r="BU35" i="44" s="1"/>
  <c r="BV35" i="44" s="1"/>
  <c r="BW35" i="44" s="1"/>
  <c r="BX35" i="44" s="1"/>
  <c r="BY35" i="44" s="1"/>
  <c r="BZ35" i="44" s="1"/>
  <c r="CA35" i="44" s="1"/>
  <c r="CB35" i="44" s="1"/>
  <c r="CC35" i="44" s="1"/>
  <c r="CD35" i="44" s="1"/>
  <c r="CE35" i="44" s="1"/>
  <c r="AH34" i="44"/>
  <c r="AI34" i="44" s="1"/>
  <c r="AJ34" i="44" s="1"/>
  <c r="AK34" i="44" s="1"/>
  <c r="AL34" i="44" s="1"/>
  <c r="AM34" i="44" s="1"/>
  <c r="AN34" i="44" s="1"/>
  <c r="AO34" i="44" s="1"/>
  <c r="AP34" i="44" s="1"/>
  <c r="AQ34" i="44" s="1"/>
  <c r="AR34" i="44" s="1"/>
  <c r="AS34" i="44" s="1"/>
  <c r="AT34" i="44" s="1"/>
  <c r="AU34" i="44" s="1"/>
  <c r="AV34" i="44" s="1"/>
  <c r="AW34" i="44" s="1"/>
  <c r="AX34" i="44" s="1"/>
  <c r="AY34" i="44" s="1"/>
  <c r="AZ34" i="44" s="1"/>
  <c r="BA34" i="44" s="1"/>
  <c r="BB34" i="44" s="1"/>
  <c r="BC34" i="44" s="1"/>
  <c r="BD34" i="44" s="1"/>
  <c r="BE34" i="44" s="1"/>
  <c r="BF34" i="44" s="1"/>
  <c r="BG34" i="44" s="1"/>
  <c r="BH34" i="44" s="1"/>
  <c r="BI34" i="44" s="1"/>
  <c r="BJ34" i="44" s="1"/>
  <c r="BK34" i="44" s="1"/>
  <c r="BL34" i="44" s="1"/>
  <c r="BM34" i="44" s="1"/>
  <c r="BN34" i="44" s="1"/>
  <c r="BO34" i="44" s="1"/>
  <c r="BP34" i="44" s="1"/>
  <c r="BQ34" i="44" s="1"/>
  <c r="BR34" i="44" s="1"/>
  <c r="BS34" i="44" s="1"/>
  <c r="BT34" i="44" s="1"/>
  <c r="BU34" i="44" s="1"/>
  <c r="BV34" i="44" s="1"/>
  <c r="BW34" i="44" s="1"/>
  <c r="BX34" i="44" s="1"/>
  <c r="BY34" i="44" s="1"/>
  <c r="BZ34" i="44" s="1"/>
  <c r="CA34" i="44" s="1"/>
  <c r="CB34" i="44" s="1"/>
  <c r="CC34" i="44" s="1"/>
  <c r="CD34" i="44" s="1"/>
  <c r="CE34" i="44" s="1"/>
  <c r="AH33" i="44"/>
  <c r="AI33" i="44" s="1"/>
  <c r="AJ33" i="44" s="1"/>
  <c r="AK33" i="44" s="1"/>
  <c r="AL33" i="44" s="1"/>
  <c r="AM33" i="44" s="1"/>
  <c r="AN33" i="44" s="1"/>
  <c r="AO33" i="44" s="1"/>
  <c r="AP33" i="44" s="1"/>
  <c r="AQ33" i="44" s="1"/>
  <c r="AR33" i="44" s="1"/>
  <c r="AS33" i="44" s="1"/>
  <c r="AT33" i="44" s="1"/>
  <c r="AU33" i="44" s="1"/>
  <c r="AV33" i="44" s="1"/>
  <c r="AW33" i="44" s="1"/>
  <c r="AX33" i="44" s="1"/>
  <c r="AY33" i="44" s="1"/>
  <c r="AZ33" i="44" s="1"/>
  <c r="BA33" i="44" s="1"/>
  <c r="BB33" i="44" s="1"/>
  <c r="BC33" i="44" s="1"/>
  <c r="BD33" i="44" s="1"/>
  <c r="BE33" i="44" s="1"/>
  <c r="BF33" i="44" s="1"/>
  <c r="BG33" i="44" s="1"/>
  <c r="BH33" i="44" s="1"/>
  <c r="BI33" i="44" s="1"/>
  <c r="BJ33" i="44" s="1"/>
  <c r="BK33" i="44" s="1"/>
  <c r="BL33" i="44" s="1"/>
  <c r="BM33" i="44" s="1"/>
  <c r="BN33" i="44" s="1"/>
  <c r="BO33" i="44" s="1"/>
  <c r="BP33" i="44" s="1"/>
  <c r="BQ33" i="44" s="1"/>
  <c r="BR33" i="44" s="1"/>
  <c r="BS33" i="44" s="1"/>
  <c r="BT33" i="44" s="1"/>
  <c r="BU33" i="44" s="1"/>
  <c r="BV33" i="44" s="1"/>
  <c r="BW33" i="44" s="1"/>
  <c r="BX33" i="44" s="1"/>
  <c r="BY33" i="44" s="1"/>
  <c r="BZ33" i="44" s="1"/>
  <c r="CA33" i="44" s="1"/>
  <c r="CB33" i="44" s="1"/>
  <c r="CC33" i="44" s="1"/>
  <c r="CD33" i="44" s="1"/>
  <c r="CE33" i="44" s="1"/>
  <c r="AH32" i="44"/>
  <c r="AI32" i="44" s="1"/>
  <c r="AJ32" i="44" s="1"/>
  <c r="AK32" i="44" s="1"/>
  <c r="AL32" i="44" s="1"/>
  <c r="AM32" i="44" s="1"/>
  <c r="AN32" i="44" s="1"/>
  <c r="AO32" i="44" s="1"/>
  <c r="AP32" i="44" s="1"/>
  <c r="AQ32" i="44" s="1"/>
  <c r="AR32" i="44" s="1"/>
  <c r="AS32" i="44" s="1"/>
  <c r="AT32" i="44" s="1"/>
  <c r="AU32" i="44" s="1"/>
  <c r="AV32" i="44" s="1"/>
  <c r="AW32" i="44" s="1"/>
  <c r="AX32" i="44" s="1"/>
  <c r="AY32" i="44" s="1"/>
  <c r="AZ32" i="44" s="1"/>
  <c r="BA32" i="44" s="1"/>
  <c r="BB32" i="44" s="1"/>
  <c r="BC32" i="44" s="1"/>
  <c r="BD32" i="44" s="1"/>
  <c r="BE32" i="44" s="1"/>
  <c r="BF32" i="44" s="1"/>
  <c r="BG32" i="44" s="1"/>
  <c r="BH32" i="44" s="1"/>
  <c r="BI32" i="44" s="1"/>
  <c r="BJ32" i="44" s="1"/>
  <c r="BK32" i="44" s="1"/>
  <c r="BL32" i="44" s="1"/>
  <c r="BM32" i="44" s="1"/>
  <c r="BN32" i="44" s="1"/>
  <c r="BO32" i="44" s="1"/>
  <c r="BP32" i="44" s="1"/>
  <c r="BQ32" i="44" s="1"/>
  <c r="BR32" i="44" s="1"/>
  <c r="BS32" i="44" s="1"/>
  <c r="BT32" i="44" s="1"/>
  <c r="BU32" i="44" s="1"/>
  <c r="BV32" i="44" s="1"/>
  <c r="BW32" i="44" s="1"/>
  <c r="BX32" i="44" s="1"/>
  <c r="BY32" i="44" s="1"/>
  <c r="BZ32" i="44" s="1"/>
  <c r="CA32" i="44" s="1"/>
  <c r="CB32" i="44" s="1"/>
  <c r="CC32" i="44" s="1"/>
  <c r="CD32" i="44" s="1"/>
  <c r="CE32" i="44" s="1"/>
  <c r="AI31" i="44"/>
  <c r="AJ31" i="44" s="1"/>
  <c r="AK31" i="44" s="1"/>
  <c r="AL31" i="44" s="1"/>
  <c r="AM31" i="44" s="1"/>
  <c r="AN31" i="44" s="1"/>
  <c r="AO31" i="44" s="1"/>
  <c r="AP31" i="44" s="1"/>
  <c r="AQ31" i="44" s="1"/>
  <c r="AR31" i="44" s="1"/>
  <c r="AS31" i="44" s="1"/>
  <c r="AT31" i="44" s="1"/>
  <c r="AU31" i="44" s="1"/>
  <c r="AV31" i="44" s="1"/>
  <c r="AW31" i="44" s="1"/>
  <c r="AX31" i="44" s="1"/>
  <c r="AY31" i="44" s="1"/>
  <c r="AZ31" i="44" s="1"/>
  <c r="BA31" i="44" s="1"/>
  <c r="BB31" i="44" s="1"/>
  <c r="BC31" i="44" s="1"/>
  <c r="BD31" i="44" s="1"/>
  <c r="BE31" i="44" s="1"/>
  <c r="BF31" i="44" s="1"/>
  <c r="BG31" i="44" s="1"/>
  <c r="BH31" i="44" s="1"/>
  <c r="BI31" i="44" s="1"/>
  <c r="BJ31" i="44" s="1"/>
  <c r="BK31" i="44" s="1"/>
  <c r="BL31" i="44" s="1"/>
  <c r="BM31" i="44" s="1"/>
  <c r="BN31" i="44" s="1"/>
  <c r="BO31" i="44" s="1"/>
  <c r="BP31" i="44" s="1"/>
  <c r="BQ31" i="44" s="1"/>
  <c r="BR31" i="44" s="1"/>
  <c r="BS31" i="44" s="1"/>
  <c r="BT31" i="44" s="1"/>
  <c r="BU31" i="44" s="1"/>
  <c r="BV31" i="44" s="1"/>
  <c r="BW31" i="44" s="1"/>
  <c r="BX31" i="44" s="1"/>
  <c r="BY31" i="44" s="1"/>
  <c r="BZ31" i="44" s="1"/>
  <c r="CA31" i="44" s="1"/>
  <c r="CB31" i="44" s="1"/>
  <c r="CC31" i="44" s="1"/>
  <c r="CD31" i="44" s="1"/>
  <c r="CE31" i="44" s="1"/>
  <c r="AH31" i="44"/>
  <c r="AH30" i="44"/>
  <c r="AI30" i="44" s="1"/>
  <c r="AJ30" i="44" s="1"/>
  <c r="AK30" i="44" s="1"/>
  <c r="AL30" i="44" s="1"/>
  <c r="AM30" i="44" s="1"/>
  <c r="AN30" i="44" s="1"/>
  <c r="AO30" i="44" s="1"/>
  <c r="AP30" i="44" s="1"/>
  <c r="AQ30" i="44" s="1"/>
  <c r="AR30" i="44" s="1"/>
  <c r="AS30" i="44" s="1"/>
  <c r="AT30" i="44" s="1"/>
  <c r="AU30" i="44" s="1"/>
  <c r="AV30" i="44" s="1"/>
  <c r="AW30" i="44" s="1"/>
  <c r="AX30" i="44" s="1"/>
  <c r="AY30" i="44" s="1"/>
  <c r="AZ30" i="44" s="1"/>
  <c r="BA30" i="44" s="1"/>
  <c r="BB30" i="44" s="1"/>
  <c r="BC30" i="44" s="1"/>
  <c r="BD30" i="44" s="1"/>
  <c r="BE30" i="44" s="1"/>
  <c r="BF30" i="44" s="1"/>
  <c r="BG30" i="44" s="1"/>
  <c r="BH30" i="44" s="1"/>
  <c r="BI30" i="44" s="1"/>
  <c r="BJ30" i="44" s="1"/>
  <c r="BK30" i="44" s="1"/>
  <c r="BL30" i="44" s="1"/>
  <c r="BM30" i="44" s="1"/>
  <c r="BN30" i="44" s="1"/>
  <c r="BO30" i="44" s="1"/>
  <c r="BP30" i="44" s="1"/>
  <c r="BQ30" i="44" s="1"/>
  <c r="BR30" i="44" s="1"/>
  <c r="BS30" i="44" s="1"/>
  <c r="BT30" i="44" s="1"/>
  <c r="BU30" i="44" s="1"/>
  <c r="BV30" i="44" s="1"/>
  <c r="BW30" i="44" s="1"/>
  <c r="BX30" i="44" s="1"/>
  <c r="BY30" i="44" s="1"/>
  <c r="BZ30" i="44" s="1"/>
  <c r="CA30" i="44" s="1"/>
  <c r="CB30" i="44" s="1"/>
  <c r="CC30" i="44" s="1"/>
  <c r="CD30" i="44" s="1"/>
  <c r="CE30" i="44" s="1"/>
  <c r="AH29" i="44"/>
  <c r="AI29" i="44" s="1"/>
  <c r="AJ29" i="44" s="1"/>
  <c r="AK29" i="44" s="1"/>
  <c r="AL29" i="44" s="1"/>
  <c r="AM29" i="44" s="1"/>
  <c r="AN29" i="44" s="1"/>
  <c r="AO29" i="44" s="1"/>
  <c r="AP29" i="44" s="1"/>
  <c r="AQ29" i="44" s="1"/>
  <c r="AR29" i="44" s="1"/>
  <c r="AS29" i="44" s="1"/>
  <c r="AT29" i="44" s="1"/>
  <c r="AU29" i="44" s="1"/>
  <c r="AV29" i="44" s="1"/>
  <c r="AW29" i="44" s="1"/>
  <c r="AX29" i="44" s="1"/>
  <c r="AY29" i="44" s="1"/>
  <c r="AZ29" i="44" s="1"/>
  <c r="BA29" i="44" s="1"/>
  <c r="BB29" i="44" s="1"/>
  <c r="BC29" i="44" s="1"/>
  <c r="BD29" i="44" s="1"/>
  <c r="BE29" i="44" s="1"/>
  <c r="BF29" i="44" s="1"/>
  <c r="BG29" i="44" s="1"/>
  <c r="BH29" i="44" s="1"/>
  <c r="BI29" i="44" s="1"/>
  <c r="BJ29" i="44" s="1"/>
  <c r="BK29" i="44" s="1"/>
  <c r="BL29" i="44" s="1"/>
  <c r="BM29" i="44" s="1"/>
  <c r="BN29" i="44" s="1"/>
  <c r="BO29" i="44" s="1"/>
  <c r="BP29" i="44" s="1"/>
  <c r="BQ29" i="44" s="1"/>
  <c r="BR29" i="44" s="1"/>
  <c r="BS29" i="44" s="1"/>
  <c r="BT29" i="44" s="1"/>
  <c r="BU29" i="44" s="1"/>
  <c r="BV29" i="44" s="1"/>
  <c r="BW29" i="44" s="1"/>
  <c r="BX29" i="44" s="1"/>
  <c r="BY29" i="44" s="1"/>
  <c r="BZ29" i="44" s="1"/>
  <c r="CA29" i="44" s="1"/>
  <c r="CB29" i="44" s="1"/>
  <c r="CC29" i="44" s="1"/>
  <c r="CD29" i="44" s="1"/>
  <c r="CE29" i="44" s="1"/>
  <c r="F28" i="44"/>
  <c r="G28" i="44" s="1"/>
  <c r="H28" i="44" s="1"/>
  <c r="I28" i="44" s="1"/>
  <c r="J28" i="44" s="1"/>
  <c r="K28" i="44" s="1"/>
  <c r="L28" i="44" s="1"/>
  <c r="M28" i="44" s="1"/>
  <c r="N28" i="44" s="1"/>
  <c r="O28" i="44" s="1"/>
  <c r="P28" i="44" s="1"/>
  <c r="Q28" i="44" s="1"/>
  <c r="R28" i="44" s="1"/>
  <c r="S28" i="44" s="1"/>
  <c r="T28" i="44" s="1"/>
  <c r="U28" i="44" s="1"/>
  <c r="V28" i="44" s="1"/>
  <c r="W28" i="44" s="1"/>
  <c r="X28" i="44" s="1"/>
  <c r="Y28" i="44" s="1"/>
  <c r="Z28" i="44" s="1"/>
  <c r="AA28" i="44" s="1"/>
  <c r="AB28" i="44" s="1"/>
  <c r="AC28" i="44" s="1"/>
  <c r="AD28" i="44" s="1"/>
  <c r="AE28" i="44" s="1"/>
  <c r="AF28" i="44" s="1"/>
  <c r="AG28" i="44" s="1"/>
  <c r="AH28" i="44" s="1"/>
  <c r="AI28" i="44" s="1"/>
  <c r="AJ28" i="44" s="1"/>
  <c r="AK28" i="44" s="1"/>
  <c r="AL28" i="44" s="1"/>
  <c r="AM28" i="44" s="1"/>
  <c r="AN28" i="44" s="1"/>
  <c r="AO28" i="44" s="1"/>
  <c r="AP28" i="44" s="1"/>
  <c r="AQ28" i="44" s="1"/>
  <c r="AR28" i="44" s="1"/>
  <c r="AS28" i="44" s="1"/>
  <c r="AT28" i="44" s="1"/>
  <c r="AU28" i="44" s="1"/>
  <c r="AV28" i="44" s="1"/>
  <c r="AW28" i="44" s="1"/>
  <c r="AX28" i="44" s="1"/>
  <c r="AY28" i="44" s="1"/>
  <c r="AZ28" i="44" s="1"/>
  <c r="BA28" i="44" s="1"/>
  <c r="BB28" i="44" s="1"/>
  <c r="BC28" i="44" s="1"/>
  <c r="BD28" i="44" s="1"/>
  <c r="BE28" i="44" s="1"/>
  <c r="BF28" i="44" s="1"/>
  <c r="BG28" i="44" s="1"/>
  <c r="BH28" i="44" s="1"/>
  <c r="BI28" i="44" s="1"/>
  <c r="BJ28" i="44" s="1"/>
  <c r="BK28" i="44" s="1"/>
  <c r="BL28" i="44" s="1"/>
  <c r="BM28" i="44" s="1"/>
  <c r="BN28" i="44" s="1"/>
  <c r="BO28" i="44" s="1"/>
  <c r="BP28" i="44" s="1"/>
  <c r="BQ28" i="44" s="1"/>
  <c r="BR28" i="44" s="1"/>
  <c r="BS28" i="44" s="1"/>
  <c r="BT28" i="44" s="1"/>
  <c r="BU28" i="44" s="1"/>
  <c r="BV28" i="44" s="1"/>
  <c r="BW28" i="44" s="1"/>
  <c r="BX28" i="44" s="1"/>
  <c r="BY28" i="44" s="1"/>
  <c r="BZ28" i="44" s="1"/>
  <c r="CA28" i="44" s="1"/>
  <c r="CB28" i="44" s="1"/>
  <c r="CC28" i="44" s="1"/>
  <c r="CD28" i="44" s="1"/>
  <c r="CE28" i="44" s="1"/>
  <c r="AH26" i="44"/>
  <c r="AI26" i="44" s="1"/>
  <c r="AJ26" i="44" s="1"/>
  <c r="AK26" i="44" s="1"/>
  <c r="AL26" i="44" s="1"/>
  <c r="AM26" i="44" s="1"/>
  <c r="AN26" i="44" s="1"/>
  <c r="AO26" i="44" s="1"/>
  <c r="AP26" i="44" s="1"/>
  <c r="AQ26" i="44" s="1"/>
  <c r="AR26" i="44" s="1"/>
  <c r="AS26" i="44" s="1"/>
  <c r="AT26" i="44" s="1"/>
  <c r="AU26" i="44" s="1"/>
  <c r="AV26" i="44" s="1"/>
  <c r="AW26" i="44" s="1"/>
  <c r="AX26" i="44" s="1"/>
  <c r="AY26" i="44" s="1"/>
  <c r="AZ26" i="44" s="1"/>
  <c r="BA26" i="44" s="1"/>
  <c r="BB26" i="44" s="1"/>
  <c r="BC26" i="44" s="1"/>
  <c r="BD26" i="44" s="1"/>
  <c r="BE26" i="44" s="1"/>
  <c r="BF26" i="44" s="1"/>
  <c r="BG26" i="44" s="1"/>
  <c r="BH26" i="44" s="1"/>
  <c r="BI26" i="44" s="1"/>
  <c r="BJ26" i="44" s="1"/>
  <c r="BK26" i="44" s="1"/>
  <c r="BL26" i="44" s="1"/>
  <c r="BM26" i="44" s="1"/>
  <c r="BN26" i="44" s="1"/>
  <c r="BO26" i="44" s="1"/>
  <c r="BP26" i="44" s="1"/>
  <c r="BQ26" i="44" s="1"/>
  <c r="BR26" i="44" s="1"/>
  <c r="BS26" i="44" s="1"/>
  <c r="BT26" i="44" s="1"/>
  <c r="BU26" i="44" s="1"/>
  <c r="BV26" i="44" s="1"/>
  <c r="BW26" i="44" s="1"/>
  <c r="BX26" i="44" s="1"/>
  <c r="BY26" i="44" s="1"/>
  <c r="BZ26" i="44" s="1"/>
  <c r="CA26" i="44" s="1"/>
  <c r="CB26" i="44" s="1"/>
  <c r="CC26" i="44" s="1"/>
  <c r="CD26" i="44" s="1"/>
  <c r="CE26" i="44" s="1"/>
  <c r="AH25" i="44"/>
  <c r="AI25" i="44" s="1"/>
  <c r="AJ25" i="44" s="1"/>
  <c r="AK25" i="44" s="1"/>
  <c r="AL25" i="44" s="1"/>
  <c r="AM25" i="44" s="1"/>
  <c r="AN25" i="44" s="1"/>
  <c r="AO25" i="44" s="1"/>
  <c r="AP25" i="44" s="1"/>
  <c r="AQ25" i="44" s="1"/>
  <c r="AR25" i="44" s="1"/>
  <c r="AS25" i="44" s="1"/>
  <c r="AT25" i="44" s="1"/>
  <c r="AU25" i="44" s="1"/>
  <c r="AV25" i="44" s="1"/>
  <c r="AW25" i="44" s="1"/>
  <c r="AX25" i="44" s="1"/>
  <c r="AY25" i="44" s="1"/>
  <c r="AZ25" i="44" s="1"/>
  <c r="BA25" i="44" s="1"/>
  <c r="BB25" i="44" s="1"/>
  <c r="BC25" i="44" s="1"/>
  <c r="BD25" i="44" s="1"/>
  <c r="BE25" i="44" s="1"/>
  <c r="BF25" i="44" s="1"/>
  <c r="BG25" i="44" s="1"/>
  <c r="BH25" i="44" s="1"/>
  <c r="BI25" i="44" s="1"/>
  <c r="BJ25" i="44" s="1"/>
  <c r="BK25" i="44" s="1"/>
  <c r="BL25" i="44" s="1"/>
  <c r="BM25" i="44" s="1"/>
  <c r="BN25" i="44" s="1"/>
  <c r="BO25" i="44" s="1"/>
  <c r="BP25" i="44" s="1"/>
  <c r="BQ25" i="44" s="1"/>
  <c r="BR25" i="44" s="1"/>
  <c r="BS25" i="44" s="1"/>
  <c r="BT25" i="44" s="1"/>
  <c r="BU25" i="44" s="1"/>
  <c r="BV25" i="44" s="1"/>
  <c r="BW25" i="44" s="1"/>
  <c r="BX25" i="44" s="1"/>
  <c r="BY25" i="44" s="1"/>
  <c r="BZ25" i="44" s="1"/>
  <c r="CA25" i="44" s="1"/>
  <c r="CB25" i="44" s="1"/>
  <c r="CC25" i="44" s="1"/>
  <c r="CD25" i="44" s="1"/>
  <c r="CE25" i="44" s="1"/>
  <c r="AH24" i="44"/>
  <c r="AI24" i="44" s="1"/>
  <c r="AJ24" i="44" s="1"/>
  <c r="AK24" i="44" s="1"/>
  <c r="AL24" i="44" s="1"/>
  <c r="AM24" i="44" s="1"/>
  <c r="AN24" i="44" s="1"/>
  <c r="AO24" i="44" s="1"/>
  <c r="AP24" i="44" s="1"/>
  <c r="AQ24" i="44" s="1"/>
  <c r="AR24" i="44" s="1"/>
  <c r="AS24" i="44" s="1"/>
  <c r="AT24" i="44" s="1"/>
  <c r="AU24" i="44" s="1"/>
  <c r="AV24" i="44" s="1"/>
  <c r="AW24" i="44" s="1"/>
  <c r="AX24" i="44" s="1"/>
  <c r="AY24" i="44" s="1"/>
  <c r="AZ24" i="44" s="1"/>
  <c r="BA24" i="44" s="1"/>
  <c r="BB24" i="44" s="1"/>
  <c r="BC24" i="44" s="1"/>
  <c r="BD24" i="44" s="1"/>
  <c r="BE24" i="44" s="1"/>
  <c r="BF24" i="44" s="1"/>
  <c r="BG24" i="44" s="1"/>
  <c r="BH24" i="44" s="1"/>
  <c r="BI24" i="44" s="1"/>
  <c r="BJ24" i="44" s="1"/>
  <c r="BK24" i="44" s="1"/>
  <c r="BL24" i="44" s="1"/>
  <c r="BM24" i="44" s="1"/>
  <c r="BN24" i="44" s="1"/>
  <c r="BO24" i="44" s="1"/>
  <c r="BP24" i="44" s="1"/>
  <c r="BQ24" i="44" s="1"/>
  <c r="BR24" i="44" s="1"/>
  <c r="BS24" i="44" s="1"/>
  <c r="BT24" i="44" s="1"/>
  <c r="BU24" i="44" s="1"/>
  <c r="BV24" i="44" s="1"/>
  <c r="BW24" i="44" s="1"/>
  <c r="BX24" i="44" s="1"/>
  <c r="BY24" i="44" s="1"/>
  <c r="BZ24" i="44" s="1"/>
  <c r="CA24" i="44" s="1"/>
  <c r="CB24" i="44" s="1"/>
  <c r="CC24" i="44" s="1"/>
  <c r="CD24" i="44" s="1"/>
  <c r="CE24" i="44" s="1"/>
  <c r="AH23" i="44"/>
  <c r="AI23" i="44" s="1"/>
  <c r="AJ23" i="44" s="1"/>
  <c r="AK23" i="44" s="1"/>
  <c r="AL23" i="44" s="1"/>
  <c r="AM23" i="44" s="1"/>
  <c r="AN23" i="44" s="1"/>
  <c r="AO23" i="44" s="1"/>
  <c r="AP23" i="44" s="1"/>
  <c r="AQ23" i="44" s="1"/>
  <c r="AR23" i="44" s="1"/>
  <c r="AS23" i="44" s="1"/>
  <c r="AT23" i="44" s="1"/>
  <c r="AU23" i="44" s="1"/>
  <c r="AV23" i="44" s="1"/>
  <c r="AW23" i="44" s="1"/>
  <c r="AX23" i="44" s="1"/>
  <c r="AY23" i="44" s="1"/>
  <c r="AZ23" i="44" s="1"/>
  <c r="BA23" i="44" s="1"/>
  <c r="BB23" i="44" s="1"/>
  <c r="BC23" i="44" s="1"/>
  <c r="BD23" i="44" s="1"/>
  <c r="BE23" i="44" s="1"/>
  <c r="BF23" i="44" s="1"/>
  <c r="BG23" i="44" s="1"/>
  <c r="BH23" i="44" s="1"/>
  <c r="BI23" i="44" s="1"/>
  <c r="BJ23" i="44" s="1"/>
  <c r="BK23" i="44" s="1"/>
  <c r="BL23" i="44" s="1"/>
  <c r="BM23" i="44" s="1"/>
  <c r="BN23" i="44" s="1"/>
  <c r="BO23" i="44" s="1"/>
  <c r="BP23" i="44" s="1"/>
  <c r="BQ23" i="44" s="1"/>
  <c r="BR23" i="44" s="1"/>
  <c r="BS23" i="44" s="1"/>
  <c r="BT23" i="44" s="1"/>
  <c r="BU23" i="44" s="1"/>
  <c r="BV23" i="44" s="1"/>
  <c r="BW23" i="44" s="1"/>
  <c r="BX23" i="44" s="1"/>
  <c r="BY23" i="44" s="1"/>
  <c r="BZ23" i="44" s="1"/>
  <c r="CA23" i="44" s="1"/>
  <c r="CB23" i="44" s="1"/>
  <c r="CC23" i="44" s="1"/>
  <c r="CD23" i="44" s="1"/>
  <c r="CE23" i="44" s="1"/>
  <c r="AH22" i="44"/>
  <c r="AI22" i="44" s="1"/>
  <c r="AJ22" i="44" s="1"/>
  <c r="AK22" i="44" s="1"/>
  <c r="AL22" i="44" s="1"/>
  <c r="AM22" i="44" s="1"/>
  <c r="AN22" i="44" s="1"/>
  <c r="AO22" i="44" s="1"/>
  <c r="AP22" i="44" s="1"/>
  <c r="AQ22" i="44" s="1"/>
  <c r="AR22" i="44" s="1"/>
  <c r="AS22" i="44" s="1"/>
  <c r="AT22" i="44" s="1"/>
  <c r="AU22" i="44" s="1"/>
  <c r="AV22" i="44" s="1"/>
  <c r="AW22" i="44" s="1"/>
  <c r="AX22" i="44" s="1"/>
  <c r="AY22" i="44" s="1"/>
  <c r="AZ22" i="44" s="1"/>
  <c r="BA22" i="44" s="1"/>
  <c r="BB22" i="44" s="1"/>
  <c r="BC22" i="44" s="1"/>
  <c r="BD22" i="44" s="1"/>
  <c r="BE22" i="44" s="1"/>
  <c r="BF22" i="44" s="1"/>
  <c r="BG22" i="44" s="1"/>
  <c r="BH22" i="44" s="1"/>
  <c r="BI22" i="44" s="1"/>
  <c r="BJ22" i="44" s="1"/>
  <c r="BK22" i="44" s="1"/>
  <c r="BL22" i="44" s="1"/>
  <c r="BM22" i="44" s="1"/>
  <c r="BN22" i="44" s="1"/>
  <c r="BO22" i="44" s="1"/>
  <c r="BP22" i="44" s="1"/>
  <c r="BQ22" i="44" s="1"/>
  <c r="BR22" i="44" s="1"/>
  <c r="BS22" i="44" s="1"/>
  <c r="BT22" i="44" s="1"/>
  <c r="BU22" i="44" s="1"/>
  <c r="BV22" i="44" s="1"/>
  <c r="BW22" i="44" s="1"/>
  <c r="BX22" i="44" s="1"/>
  <c r="BY22" i="44" s="1"/>
  <c r="BZ22" i="44" s="1"/>
  <c r="CA22" i="44" s="1"/>
  <c r="CB22" i="44" s="1"/>
  <c r="CC22" i="44" s="1"/>
  <c r="CD22" i="44" s="1"/>
  <c r="CE22" i="44" s="1"/>
  <c r="AH21" i="44"/>
  <c r="AI21" i="44" s="1"/>
  <c r="AJ21" i="44" s="1"/>
  <c r="AK21" i="44" s="1"/>
  <c r="AL21" i="44" s="1"/>
  <c r="AM21" i="44" s="1"/>
  <c r="AN21" i="44" s="1"/>
  <c r="AO21" i="44" s="1"/>
  <c r="AP21" i="44" s="1"/>
  <c r="AQ21" i="44" s="1"/>
  <c r="AR21" i="44" s="1"/>
  <c r="AS21" i="44" s="1"/>
  <c r="AT21" i="44" s="1"/>
  <c r="AU21" i="44" s="1"/>
  <c r="AV21" i="44" s="1"/>
  <c r="AW21" i="44" s="1"/>
  <c r="AX21" i="44" s="1"/>
  <c r="AY21" i="44" s="1"/>
  <c r="AZ21" i="44" s="1"/>
  <c r="BA21" i="44" s="1"/>
  <c r="BB21" i="44" s="1"/>
  <c r="BC21" i="44" s="1"/>
  <c r="BD21" i="44" s="1"/>
  <c r="BE21" i="44" s="1"/>
  <c r="BF21" i="44" s="1"/>
  <c r="BG21" i="44" s="1"/>
  <c r="BH21" i="44" s="1"/>
  <c r="BI21" i="44" s="1"/>
  <c r="BJ21" i="44" s="1"/>
  <c r="BK21" i="44" s="1"/>
  <c r="BL21" i="44" s="1"/>
  <c r="BM21" i="44" s="1"/>
  <c r="BN21" i="44" s="1"/>
  <c r="BO21" i="44" s="1"/>
  <c r="BP21" i="44" s="1"/>
  <c r="BQ21" i="44" s="1"/>
  <c r="BR21" i="44" s="1"/>
  <c r="BS21" i="44" s="1"/>
  <c r="BT21" i="44" s="1"/>
  <c r="BU21" i="44" s="1"/>
  <c r="BV21" i="44" s="1"/>
  <c r="BW21" i="44" s="1"/>
  <c r="BX21" i="44" s="1"/>
  <c r="BY21" i="44" s="1"/>
  <c r="BZ21" i="44" s="1"/>
  <c r="CA21" i="44" s="1"/>
  <c r="CB21" i="44" s="1"/>
  <c r="CC21" i="44" s="1"/>
  <c r="CD21" i="44" s="1"/>
  <c r="CE21" i="44" s="1"/>
  <c r="AH20" i="44"/>
  <c r="AI20" i="44" s="1"/>
  <c r="AJ20" i="44" s="1"/>
  <c r="AK20" i="44" s="1"/>
  <c r="AL20" i="44" s="1"/>
  <c r="AM20" i="44" s="1"/>
  <c r="AN20" i="44" s="1"/>
  <c r="AO20" i="44" s="1"/>
  <c r="AP20" i="44" s="1"/>
  <c r="AQ20" i="44" s="1"/>
  <c r="AR20" i="44" s="1"/>
  <c r="AS20" i="44" s="1"/>
  <c r="AT20" i="44" s="1"/>
  <c r="AU20" i="44" s="1"/>
  <c r="AV20" i="44" s="1"/>
  <c r="AW20" i="44" s="1"/>
  <c r="AX20" i="44" s="1"/>
  <c r="AY20" i="44" s="1"/>
  <c r="AZ20" i="44" s="1"/>
  <c r="BA20" i="44" s="1"/>
  <c r="BB20" i="44" s="1"/>
  <c r="BC20" i="44" s="1"/>
  <c r="BD20" i="44" s="1"/>
  <c r="BE20" i="44" s="1"/>
  <c r="BF20" i="44" s="1"/>
  <c r="BG20" i="44" s="1"/>
  <c r="BH20" i="44" s="1"/>
  <c r="BI20" i="44" s="1"/>
  <c r="BJ20" i="44" s="1"/>
  <c r="BK20" i="44" s="1"/>
  <c r="BL20" i="44" s="1"/>
  <c r="BM20" i="44" s="1"/>
  <c r="BN20" i="44" s="1"/>
  <c r="BO20" i="44" s="1"/>
  <c r="BP20" i="44" s="1"/>
  <c r="BQ20" i="44" s="1"/>
  <c r="BR20" i="44" s="1"/>
  <c r="BS20" i="44" s="1"/>
  <c r="BT20" i="44" s="1"/>
  <c r="BU20" i="44" s="1"/>
  <c r="BV20" i="44" s="1"/>
  <c r="BW20" i="44" s="1"/>
  <c r="BX20" i="44" s="1"/>
  <c r="BY20" i="44" s="1"/>
  <c r="BZ20" i="44" s="1"/>
  <c r="CA20" i="44" s="1"/>
  <c r="CB20" i="44" s="1"/>
  <c r="CC20" i="44" s="1"/>
  <c r="CD20" i="44" s="1"/>
  <c r="CE20" i="44" s="1"/>
  <c r="AH19" i="44"/>
  <c r="AI19" i="44" s="1"/>
  <c r="AJ19" i="44" s="1"/>
  <c r="AK19" i="44" s="1"/>
  <c r="AL19" i="44" s="1"/>
  <c r="AM19" i="44" s="1"/>
  <c r="AN19" i="44" s="1"/>
  <c r="AO19" i="44" s="1"/>
  <c r="AP19" i="44" s="1"/>
  <c r="AQ19" i="44" s="1"/>
  <c r="AR19" i="44" s="1"/>
  <c r="AS19" i="44" s="1"/>
  <c r="AT19" i="44" s="1"/>
  <c r="AU19" i="44" s="1"/>
  <c r="AV19" i="44" s="1"/>
  <c r="AW19" i="44" s="1"/>
  <c r="AX19" i="44" s="1"/>
  <c r="AY19" i="44" s="1"/>
  <c r="AZ19" i="44" s="1"/>
  <c r="BA19" i="44" s="1"/>
  <c r="BB19" i="44" s="1"/>
  <c r="BC19" i="44" s="1"/>
  <c r="BD19" i="44" s="1"/>
  <c r="BE19" i="44" s="1"/>
  <c r="BF19" i="44" s="1"/>
  <c r="BG19" i="44" s="1"/>
  <c r="BH19" i="44" s="1"/>
  <c r="BI19" i="44" s="1"/>
  <c r="BJ19" i="44" s="1"/>
  <c r="BK19" i="44" s="1"/>
  <c r="BL19" i="44" s="1"/>
  <c r="BM19" i="44" s="1"/>
  <c r="BN19" i="44" s="1"/>
  <c r="BO19" i="44" s="1"/>
  <c r="BP19" i="44" s="1"/>
  <c r="BQ19" i="44" s="1"/>
  <c r="BR19" i="44" s="1"/>
  <c r="BS19" i="44" s="1"/>
  <c r="BT19" i="44" s="1"/>
  <c r="BU19" i="44" s="1"/>
  <c r="BV19" i="44" s="1"/>
  <c r="BW19" i="44" s="1"/>
  <c r="BX19" i="44" s="1"/>
  <c r="BY19" i="44" s="1"/>
  <c r="BZ19" i="44" s="1"/>
  <c r="CA19" i="44" s="1"/>
  <c r="CB19" i="44" s="1"/>
  <c r="CC19" i="44" s="1"/>
  <c r="CD19" i="44" s="1"/>
  <c r="CE19" i="44" s="1"/>
  <c r="AH17" i="44"/>
  <c r="AI17" i="44" s="1"/>
  <c r="AJ17" i="44" s="1"/>
  <c r="AK17" i="44" s="1"/>
  <c r="AL17" i="44" s="1"/>
  <c r="AM17" i="44" s="1"/>
  <c r="AN17" i="44" s="1"/>
  <c r="AO17" i="44" s="1"/>
  <c r="AP17" i="44" s="1"/>
  <c r="AQ17" i="44" s="1"/>
  <c r="AR17" i="44" s="1"/>
  <c r="AS17" i="44" s="1"/>
  <c r="AT17" i="44" s="1"/>
  <c r="AU17" i="44" s="1"/>
  <c r="AV17" i="44" s="1"/>
  <c r="AW17" i="44" s="1"/>
  <c r="AX17" i="44" s="1"/>
  <c r="AY17" i="44" s="1"/>
  <c r="AZ17" i="44" s="1"/>
  <c r="BA17" i="44" s="1"/>
  <c r="BB17" i="44" s="1"/>
  <c r="BC17" i="44" s="1"/>
  <c r="BD17" i="44" s="1"/>
  <c r="BE17" i="44" s="1"/>
  <c r="BF17" i="44" s="1"/>
  <c r="BG17" i="44" s="1"/>
  <c r="BH17" i="44" s="1"/>
  <c r="BI17" i="44" s="1"/>
  <c r="BJ17" i="44" s="1"/>
  <c r="BK17" i="44" s="1"/>
  <c r="BL17" i="44" s="1"/>
  <c r="BM17" i="44" s="1"/>
  <c r="BN17" i="44" s="1"/>
  <c r="BO17" i="44" s="1"/>
  <c r="BP17" i="44" s="1"/>
  <c r="BQ17" i="44" s="1"/>
  <c r="BR17" i="44" s="1"/>
  <c r="BS17" i="44" s="1"/>
  <c r="BT17" i="44" s="1"/>
  <c r="BU17" i="44" s="1"/>
  <c r="BV17" i="44" s="1"/>
  <c r="BW17" i="44" s="1"/>
  <c r="BX17" i="44" s="1"/>
  <c r="BY17" i="44" s="1"/>
  <c r="BZ17" i="44" s="1"/>
  <c r="CA17" i="44" s="1"/>
  <c r="CB17" i="44" s="1"/>
  <c r="CC17" i="44" s="1"/>
  <c r="CD17" i="44" s="1"/>
  <c r="CE17" i="44" s="1"/>
  <c r="AH16" i="44"/>
  <c r="AI16" i="44" s="1"/>
  <c r="AJ16" i="44" s="1"/>
  <c r="AK16" i="44" s="1"/>
  <c r="AL16" i="44" s="1"/>
  <c r="AM16" i="44" s="1"/>
  <c r="AN16" i="44" s="1"/>
  <c r="AO16" i="44" s="1"/>
  <c r="AP16" i="44" s="1"/>
  <c r="AQ16" i="44" s="1"/>
  <c r="AR16" i="44" s="1"/>
  <c r="AS16" i="44" s="1"/>
  <c r="AT16" i="44" s="1"/>
  <c r="AU16" i="44" s="1"/>
  <c r="AV16" i="44" s="1"/>
  <c r="AW16" i="44" s="1"/>
  <c r="AX16" i="44" s="1"/>
  <c r="AY16" i="44" s="1"/>
  <c r="AZ16" i="44" s="1"/>
  <c r="BA16" i="44" s="1"/>
  <c r="BB16" i="44" s="1"/>
  <c r="BC16" i="44" s="1"/>
  <c r="BD16" i="44" s="1"/>
  <c r="BE16" i="44" s="1"/>
  <c r="BF16" i="44" s="1"/>
  <c r="BG16" i="44" s="1"/>
  <c r="BH16" i="44" s="1"/>
  <c r="BI16" i="44" s="1"/>
  <c r="BJ16" i="44" s="1"/>
  <c r="BK16" i="44" s="1"/>
  <c r="BL16" i="44" s="1"/>
  <c r="BM16" i="44" s="1"/>
  <c r="BN16" i="44" s="1"/>
  <c r="BO16" i="44" s="1"/>
  <c r="BP16" i="44" s="1"/>
  <c r="BQ16" i="44" s="1"/>
  <c r="BR16" i="44" s="1"/>
  <c r="BS16" i="44" s="1"/>
  <c r="BT16" i="44" s="1"/>
  <c r="BU16" i="44" s="1"/>
  <c r="BV16" i="44" s="1"/>
  <c r="BW16" i="44" s="1"/>
  <c r="BX16" i="44" s="1"/>
  <c r="BY16" i="44" s="1"/>
  <c r="BZ16" i="44" s="1"/>
  <c r="CA16" i="44" s="1"/>
  <c r="CB16" i="44" s="1"/>
  <c r="CC16" i="44" s="1"/>
  <c r="CD16" i="44" s="1"/>
  <c r="CE16" i="44" s="1"/>
  <c r="AH14" i="44"/>
  <c r="AI14" i="44" s="1"/>
  <c r="AJ14" i="44" s="1"/>
  <c r="AK14" i="44" s="1"/>
  <c r="AL14" i="44" s="1"/>
  <c r="AM14" i="44" s="1"/>
  <c r="AN14" i="44" s="1"/>
  <c r="AO14" i="44" s="1"/>
  <c r="AP14" i="44" s="1"/>
  <c r="AQ14" i="44" s="1"/>
  <c r="AR14" i="44" s="1"/>
  <c r="AS14" i="44" s="1"/>
  <c r="AT14" i="44" s="1"/>
  <c r="AU14" i="44" s="1"/>
  <c r="AV14" i="44" s="1"/>
  <c r="AW14" i="44" s="1"/>
  <c r="AX14" i="44" s="1"/>
  <c r="AY14" i="44" s="1"/>
  <c r="AZ14" i="44" s="1"/>
  <c r="BA14" i="44" s="1"/>
  <c r="BB14" i="44" s="1"/>
  <c r="BC14" i="44" s="1"/>
  <c r="BD14" i="44" s="1"/>
  <c r="BE14" i="44" s="1"/>
  <c r="BF14" i="44" s="1"/>
  <c r="BG14" i="44" s="1"/>
  <c r="BH14" i="44" s="1"/>
  <c r="BI14" i="44" s="1"/>
  <c r="BJ14" i="44" s="1"/>
  <c r="BK14" i="44" s="1"/>
  <c r="BL14" i="44" s="1"/>
  <c r="BM14" i="44" s="1"/>
  <c r="BN14" i="44" s="1"/>
  <c r="BO14" i="44" s="1"/>
  <c r="BP14" i="44" s="1"/>
  <c r="BQ14" i="44" s="1"/>
  <c r="BR14" i="44" s="1"/>
  <c r="BS14" i="44" s="1"/>
  <c r="BT14" i="44" s="1"/>
  <c r="BU14" i="44" s="1"/>
  <c r="BV14" i="44" s="1"/>
  <c r="BW14" i="44" s="1"/>
  <c r="BX14" i="44" s="1"/>
  <c r="BY14" i="44" s="1"/>
  <c r="BZ14" i="44" s="1"/>
  <c r="CA14" i="44" s="1"/>
  <c r="CB14" i="44" s="1"/>
  <c r="CC14" i="44" s="1"/>
  <c r="CD14" i="44" s="1"/>
  <c r="CE14" i="44" s="1"/>
  <c r="AH13" i="44"/>
  <c r="AI13" i="44" s="1"/>
  <c r="AJ13" i="44" s="1"/>
  <c r="AK13" i="44" s="1"/>
  <c r="AL13" i="44" s="1"/>
  <c r="AM13" i="44" s="1"/>
  <c r="AN13" i="44" s="1"/>
  <c r="AO13" i="44" s="1"/>
  <c r="AP13" i="44" s="1"/>
  <c r="AQ13" i="44" s="1"/>
  <c r="AR13" i="44" s="1"/>
  <c r="AS13" i="44" s="1"/>
  <c r="AT13" i="44" s="1"/>
  <c r="AU13" i="44" s="1"/>
  <c r="AV13" i="44" s="1"/>
  <c r="AW13" i="44" s="1"/>
  <c r="AX13" i="44" s="1"/>
  <c r="AY13" i="44" s="1"/>
  <c r="AZ13" i="44" s="1"/>
  <c r="BA13" i="44" s="1"/>
  <c r="BB13" i="44" s="1"/>
  <c r="BC13" i="44" s="1"/>
  <c r="BD13" i="44" s="1"/>
  <c r="BE13" i="44" s="1"/>
  <c r="BF13" i="44" s="1"/>
  <c r="BG13" i="44" s="1"/>
  <c r="BH13" i="44" s="1"/>
  <c r="BI13" i="44" s="1"/>
  <c r="BJ13" i="44" s="1"/>
  <c r="BK13" i="44" s="1"/>
  <c r="BL13" i="44" s="1"/>
  <c r="BM13" i="44" s="1"/>
  <c r="BN13" i="44" s="1"/>
  <c r="BO13" i="44" s="1"/>
  <c r="BP13" i="44" s="1"/>
  <c r="BQ13" i="44" s="1"/>
  <c r="BR13" i="44" s="1"/>
  <c r="BS13" i="44" s="1"/>
  <c r="BT13" i="44" s="1"/>
  <c r="BU13" i="44" s="1"/>
  <c r="BV13" i="44" s="1"/>
  <c r="BW13" i="44" s="1"/>
  <c r="BX13" i="44" s="1"/>
  <c r="BY13" i="44" s="1"/>
  <c r="BZ13" i="44" s="1"/>
  <c r="CA13" i="44" s="1"/>
  <c r="CB13" i="44" s="1"/>
  <c r="CC13" i="44" s="1"/>
  <c r="CD13" i="44" s="1"/>
  <c r="CE13" i="44" s="1"/>
  <c r="AH12" i="44"/>
  <c r="AI12" i="44" s="1"/>
  <c r="AJ12" i="44" s="1"/>
  <c r="AK12" i="44" s="1"/>
  <c r="AL12" i="44" s="1"/>
  <c r="AM12" i="44" s="1"/>
  <c r="AN12" i="44" s="1"/>
  <c r="AO12" i="44" s="1"/>
  <c r="AP12" i="44" s="1"/>
  <c r="AQ12" i="44" s="1"/>
  <c r="AR12" i="44" s="1"/>
  <c r="AS12" i="44" s="1"/>
  <c r="AT12" i="44" s="1"/>
  <c r="AU12" i="44" s="1"/>
  <c r="AV12" i="44" s="1"/>
  <c r="AW12" i="44" s="1"/>
  <c r="AX12" i="44" s="1"/>
  <c r="AY12" i="44" s="1"/>
  <c r="AZ12" i="44" s="1"/>
  <c r="BA12" i="44" s="1"/>
  <c r="BB12" i="44" s="1"/>
  <c r="BC12" i="44" s="1"/>
  <c r="BD12" i="44" s="1"/>
  <c r="BE12" i="44" s="1"/>
  <c r="BF12" i="44" s="1"/>
  <c r="BG12" i="44" s="1"/>
  <c r="BH12" i="44" s="1"/>
  <c r="BI12" i="44" s="1"/>
  <c r="BJ12" i="44" s="1"/>
  <c r="BK12" i="44" s="1"/>
  <c r="BL12" i="44" s="1"/>
  <c r="BM12" i="44" s="1"/>
  <c r="BN12" i="44" s="1"/>
  <c r="BO12" i="44" s="1"/>
  <c r="BP12" i="44" s="1"/>
  <c r="BQ12" i="44" s="1"/>
  <c r="BR12" i="44" s="1"/>
  <c r="BS12" i="44" s="1"/>
  <c r="BT12" i="44" s="1"/>
  <c r="BU12" i="44" s="1"/>
  <c r="BV12" i="44" s="1"/>
  <c r="BW12" i="44" s="1"/>
  <c r="BX12" i="44" s="1"/>
  <c r="BY12" i="44" s="1"/>
  <c r="BZ12" i="44" s="1"/>
  <c r="CA12" i="44" s="1"/>
  <c r="CB12" i="44" s="1"/>
  <c r="CC12" i="44" s="1"/>
  <c r="CD12" i="44" s="1"/>
  <c r="CE12" i="44" s="1"/>
  <c r="AH11" i="44"/>
  <c r="AI11" i="44" s="1"/>
  <c r="AJ11" i="44" s="1"/>
  <c r="AK11" i="44" s="1"/>
  <c r="AL11" i="44" s="1"/>
  <c r="AM11" i="44" s="1"/>
  <c r="AN11" i="44" s="1"/>
  <c r="AO11" i="44" s="1"/>
  <c r="AP11" i="44" s="1"/>
  <c r="AQ11" i="44" s="1"/>
  <c r="AR11" i="44" s="1"/>
  <c r="AS11" i="44" s="1"/>
  <c r="AT11" i="44" s="1"/>
  <c r="AU11" i="44" s="1"/>
  <c r="AV11" i="44" s="1"/>
  <c r="AW11" i="44" s="1"/>
  <c r="AX11" i="44" s="1"/>
  <c r="AY11" i="44" s="1"/>
  <c r="AZ11" i="44" s="1"/>
  <c r="BA11" i="44" s="1"/>
  <c r="BB11" i="44" s="1"/>
  <c r="BC11" i="44" s="1"/>
  <c r="BD11" i="44" s="1"/>
  <c r="BE11" i="44" s="1"/>
  <c r="BF11" i="44" s="1"/>
  <c r="BG11" i="44" s="1"/>
  <c r="BH11" i="44" s="1"/>
  <c r="BI11" i="44" s="1"/>
  <c r="BJ11" i="44" s="1"/>
  <c r="BK11" i="44" s="1"/>
  <c r="BL11" i="44" s="1"/>
  <c r="BM11" i="44" s="1"/>
  <c r="BN11" i="44" s="1"/>
  <c r="BO11" i="44" s="1"/>
  <c r="BP11" i="44" s="1"/>
  <c r="BQ11" i="44" s="1"/>
  <c r="BR11" i="44" s="1"/>
  <c r="BS11" i="44" s="1"/>
  <c r="BT11" i="44" s="1"/>
  <c r="BU11" i="44" s="1"/>
  <c r="BV11" i="44" s="1"/>
  <c r="BW11" i="44" s="1"/>
  <c r="BX11" i="44" s="1"/>
  <c r="BY11" i="44" s="1"/>
  <c r="BZ11" i="44" s="1"/>
  <c r="CA11" i="44" s="1"/>
  <c r="CB11" i="44" s="1"/>
  <c r="CC11" i="44" s="1"/>
  <c r="CD11" i="44" s="1"/>
  <c r="CE11" i="44" s="1"/>
  <c r="AH10" i="44"/>
  <c r="AI10" i="44" s="1"/>
  <c r="AJ10" i="44" s="1"/>
  <c r="AK10" i="44" s="1"/>
  <c r="AL10" i="44" s="1"/>
  <c r="AM10" i="44" s="1"/>
  <c r="AN10" i="44" s="1"/>
  <c r="AO10" i="44" s="1"/>
  <c r="AP10" i="44" s="1"/>
  <c r="AQ10" i="44" s="1"/>
  <c r="AR10" i="44" s="1"/>
  <c r="AS10" i="44" s="1"/>
  <c r="AT10" i="44" s="1"/>
  <c r="AU10" i="44" s="1"/>
  <c r="AV10" i="44" s="1"/>
  <c r="AW10" i="44" s="1"/>
  <c r="AX10" i="44" s="1"/>
  <c r="AY10" i="44" s="1"/>
  <c r="AZ10" i="44" s="1"/>
  <c r="BA10" i="44" s="1"/>
  <c r="BB10" i="44" s="1"/>
  <c r="BC10" i="44" s="1"/>
  <c r="BD10" i="44" s="1"/>
  <c r="BE10" i="44" s="1"/>
  <c r="BF10" i="44" s="1"/>
  <c r="BG10" i="44" s="1"/>
  <c r="BH10" i="44" s="1"/>
  <c r="BI10" i="44" s="1"/>
  <c r="BJ10" i="44" s="1"/>
  <c r="BK10" i="44" s="1"/>
  <c r="BL10" i="44" s="1"/>
  <c r="BM10" i="44" s="1"/>
  <c r="BN10" i="44" s="1"/>
  <c r="BO10" i="44" s="1"/>
  <c r="BP10" i="44" s="1"/>
  <c r="BQ10" i="44" s="1"/>
  <c r="BR10" i="44" s="1"/>
  <c r="BS10" i="44" s="1"/>
  <c r="BT10" i="44" s="1"/>
  <c r="BU10" i="44" s="1"/>
  <c r="BV10" i="44" s="1"/>
  <c r="BW10" i="44" s="1"/>
  <c r="BX10" i="44" s="1"/>
  <c r="BY10" i="44" s="1"/>
  <c r="BZ10" i="44" s="1"/>
  <c r="CA10" i="44" s="1"/>
  <c r="CB10" i="44" s="1"/>
  <c r="CC10" i="44" s="1"/>
  <c r="CD10" i="44" s="1"/>
  <c r="CE10" i="44" s="1"/>
  <c r="AH9" i="44"/>
  <c r="AI9" i="44" s="1"/>
  <c r="AJ9" i="44" s="1"/>
  <c r="AK9" i="44" s="1"/>
  <c r="AL9" i="44" s="1"/>
  <c r="AM9" i="44" s="1"/>
  <c r="AN9" i="44" s="1"/>
  <c r="AO9" i="44" s="1"/>
  <c r="AP9" i="44" s="1"/>
  <c r="AQ9" i="44" s="1"/>
  <c r="AR9" i="44" s="1"/>
  <c r="AS9" i="44" s="1"/>
  <c r="AT9" i="44" s="1"/>
  <c r="AU9" i="44" s="1"/>
  <c r="AV9" i="44" s="1"/>
  <c r="AW9" i="44" s="1"/>
  <c r="AX9" i="44" s="1"/>
  <c r="AY9" i="44" s="1"/>
  <c r="AZ9" i="44" s="1"/>
  <c r="BA9" i="44" s="1"/>
  <c r="BB9" i="44" s="1"/>
  <c r="BC9" i="44" s="1"/>
  <c r="BD9" i="44" s="1"/>
  <c r="BE9" i="44" s="1"/>
  <c r="BF9" i="44" s="1"/>
  <c r="BG9" i="44" s="1"/>
  <c r="BH9" i="44" s="1"/>
  <c r="BI9" i="44" s="1"/>
  <c r="BJ9" i="44" s="1"/>
  <c r="BK9" i="44" s="1"/>
  <c r="BL9" i="44" s="1"/>
  <c r="BM9" i="44" s="1"/>
  <c r="BN9" i="44" s="1"/>
  <c r="BO9" i="44" s="1"/>
  <c r="BP9" i="44" s="1"/>
  <c r="BQ9" i="44" s="1"/>
  <c r="BR9" i="44" s="1"/>
  <c r="BS9" i="44" s="1"/>
  <c r="BT9" i="44" s="1"/>
  <c r="BU9" i="44" s="1"/>
  <c r="BV9" i="44" s="1"/>
  <c r="BW9" i="44" s="1"/>
  <c r="BX9" i="44" s="1"/>
  <c r="BY9" i="44" s="1"/>
  <c r="BZ9" i="44" s="1"/>
  <c r="CA9" i="44" s="1"/>
  <c r="CB9" i="44" s="1"/>
  <c r="CC9" i="44" s="1"/>
  <c r="CD9" i="44" s="1"/>
  <c r="CE9" i="44" s="1"/>
  <c r="AH8" i="44"/>
  <c r="AI8" i="44" s="1"/>
  <c r="AJ8" i="44" s="1"/>
  <c r="AK8" i="44" s="1"/>
  <c r="AL8" i="44" s="1"/>
  <c r="AM8" i="44" s="1"/>
  <c r="AN8" i="44" s="1"/>
  <c r="AO8" i="44" s="1"/>
  <c r="AP8" i="44" s="1"/>
  <c r="AQ8" i="44" s="1"/>
  <c r="AR8" i="44" s="1"/>
  <c r="AS8" i="44" s="1"/>
  <c r="AT8" i="44" s="1"/>
  <c r="AU8" i="44" s="1"/>
  <c r="AV8" i="44" s="1"/>
  <c r="AW8" i="44" s="1"/>
  <c r="AX8" i="44" s="1"/>
  <c r="AY8" i="44" s="1"/>
  <c r="AZ8" i="44" s="1"/>
  <c r="BA8" i="44" s="1"/>
  <c r="BB8" i="44" s="1"/>
  <c r="BC8" i="44" s="1"/>
  <c r="BD8" i="44" s="1"/>
  <c r="BE8" i="44" s="1"/>
  <c r="BF8" i="44" s="1"/>
  <c r="BG8" i="44" s="1"/>
  <c r="BH8" i="44" s="1"/>
  <c r="BI8" i="44" s="1"/>
  <c r="BJ8" i="44" s="1"/>
  <c r="BK8" i="44" s="1"/>
  <c r="BL8" i="44" s="1"/>
  <c r="BM8" i="44" s="1"/>
  <c r="BN8" i="44" s="1"/>
  <c r="BO8" i="44" s="1"/>
  <c r="BP8" i="44" s="1"/>
  <c r="BQ8" i="44" s="1"/>
  <c r="BR8" i="44" s="1"/>
  <c r="BS8" i="44" s="1"/>
  <c r="BT8" i="44" s="1"/>
  <c r="BU8" i="44" s="1"/>
  <c r="BV8" i="44" s="1"/>
  <c r="BW8" i="44" s="1"/>
  <c r="BX8" i="44" s="1"/>
  <c r="BY8" i="44" s="1"/>
  <c r="BZ8" i="44" s="1"/>
  <c r="CA8" i="44" s="1"/>
  <c r="CB8" i="44" s="1"/>
  <c r="CC8" i="44" s="1"/>
  <c r="CD8" i="44" s="1"/>
  <c r="CE8" i="44" s="1"/>
  <c r="AH7" i="44"/>
  <c r="AI7" i="44" s="1"/>
  <c r="AJ7" i="44" s="1"/>
  <c r="AK7" i="44" s="1"/>
  <c r="AL7" i="44" s="1"/>
  <c r="AM7" i="44" s="1"/>
  <c r="AN7" i="44" s="1"/>
  <c r="AO7" i="44" s="1"/>
  <c r="AP7" i="44" s="1"/>
  <c r="AQ7" i="44" s="1"/>
  <c r="AR7" i="44" s="1"/>
  <c r="AS7" i="44" s="1"/>
  <c r="AT7" i="44" s="1"/>
  <c r="AU7" i="44" s="1"/>
  <c r="AV7" i="44" s="1"/>
  <c r="AW7" i="44" s="1"/>
  <c r="AX7" i="44" s="1"/>
  <c r="AY7" i="44" s="1"/>
  <c r="AZ7" i="44" s="1"/>
  <c r="BA7" i="44" s="1"/>
  <c r="BB7" i="44" s="1"/>
  <c r="BC7" i="44" s="1"/>
  <c r="BD7" i="44" s="1"/>
  <c r="BE7" i="44" s="1"/>
  <c r="BF7" i="44" s="1"/>
  <c r="BG7" i="44" s="1"/>
  <c r="BH7" i="44" s="1"/>
  <c r="BI7" i="44" s="1"/>
  <c r="BJ7" i="44" s="1"/>
  <c r="BK7" i="44" s="1"/>
  <c r="BL7" i="44" s="1"/>
  <c r="BM7" i="44" s="1"/>
  <c r="BN7" i="44" s="1"/>
  <c r="BO7" i="44" s="1"/>
  <c r="BP7" i="44" s="1"/>
  <c r="BQ7" i="44" s="1"/>
  <c r="BR7" i="44" s="1"/>
  <c r="BS7" i="44" s="1"/>
  <c r="BT7" i="44" s="1"/>
  <c r="BU7" i="44" s="1"/>
  <c r="BV7" i="44" s="1"/>
  <c r="BW7" i="44" s="1"/>
  <c r="BX7" i="44" s="1"/>
  <c r="BY7" i="44" s="1"/>
  <c r="BZ7" i="44" s="1"/>
  <c r="CA7" i="44" s="1"/>
  <c r="CB7" i="44" s="1"/>
  <c r="CC7" i="44" s="1"/>
  <c r="CD7" i="44" s="1"/>
  <c r="CE7" i="44" s="1"/>
  <c r="AH6" i="44"/>
  <c r="AI6" i="44" s="1"/>
  <c r="AJ6" i="44" s="1"/>
  <c r="AK6" i="44" s="1"/>
  <c r="AL6" i="44" s="1"/>
  <c r="AM6" i="44" s="1"/>
  <c r="AN6" i="44" s="1"/>
  <c r="AO6" i="44" s="1"/>
  <c r="AP6" i="44" s="1"/>
  <c r="AQ6" i="44" s="1"/>
  <c r="AR6" i="44" s="1"/>
  <c r="AS6" i="44" s="1"/>
  <c r="AT6" i="44" s="1"/>
  <c r="AU6" i="44" s="1"/>
  <c r="AV6" i="44" s="1"/>
  <c r="AW6" i="44" s="1"/>
  <c r="AX6" i="44" s="1"/>
  <c r="AY6" i="44" s="1"/>
  <c r="AZ6" i="44" s="1"/>
  <c r="BA6" i="44" s="1"/>
  <c r="BB6" i="44" s="1"/>
  <c r="BC6" i="44" s="1"/>
  <c r="BD6" i="44" s="1"/>
  <c r="BE6" i="44" s="1"/>
  <c r="BF6" i="44" s="1"/>
  <c r="BG6" i="44" s="1"/>
  <c r="BH6" i="44" s="1"/>
  <c r="BI6" i="44" s="1"/>
  <c r="BJ6" i="44" s="1"/>
  <c r="BK6" i="44" s="1"/>
  <c r="BL6" i="44" s="1"/>
  <c r="BM6" i="44" s="1"/>
  <c r="BN6" i="44" s="1"/>
  <c r="BO6" i="44" s="1"/>
  <c r="BP6" i="44" s="1"/>
  <c r="BQ6" i="44" s="1"/>
  <c r="BR6" i="44" s="1"/>
  <c r="BS6" i="44" s="1"/>
  <c r="BT6" i="44" s="1"/>
  <c r="BU6" i="44" s="1"/>
  <c r="BV6" i="44" s="1"/>
  <c r="BW6" i="44" s="1"/>
  <c r="BX6" i="44" s="1"/>
  <c r="BY6" i="44" s="1"/>
  <c r="BZ6" i="44" s="1"/>
  <c r="CA6" i="44" s="1"/>
  <c r="CB6" i="44" s="1"/>
  <c r="CC6" i="44" s="1"/>
  <c r="CD6" i="44" s="1"/>
  <c r="CE6" i="44" s="1"/>
  <c r="AH5" i="44"/>
  <c r="AI5" i="44" s="1"/>
  <c r="AJ5" i="44" s="1"/>
  <c r="AK5" i="44" s="1"/>
  <c r="AL5" i="44" s="1"/>
  <c r="AM5" i="44" s="1"/>
  <c r="AN5" i="44" s="1"/>
  <c r="AO5" i="44" s="1"/>
  <c r="AP5" i="44" s="1"/>
  <c r="AQ5" i="44" s="1"/>
  <c r="AR5" i="44" s="1"/>
  <c r="AS5" i="44" s="1"/>
  <c r="AT5" i="44" s="1"/>
  <c r="AU5" i="44" s="1"/>
  <c r="AV5" i="44" s="1"/>
  <c r="AW5" i="44" s="1"/>
  <c r="AX5" i="44" s="1"/>
  <c r="AY5" i="44" s="1"/>
  <c r="AZ5" i="44" s="1"/>
  <c r="BA5" i="44" s="1"/>
  <c r="BB5" i="44" s="1"/>
  <c r="BC5" i="44" s="1"/>
  <c r="BD5" i="44" s="1"/>
  <c r="BE5" i="44" s="1"/>
  <c r="BF5" i="44" s="1"/>
  <c r="BG5" i="44" s="1"/>
  <c r="BH5" i="44" s="1"/>
  <c r="BI5" i="44" s="1"/>
  <c r="BJ5" i="44" s="1"/>
  <c r="BK5" i="44" s="1"/>
  <c r="BL5" i="44" s="1"/>
  <c r="BM5" i="44" s="1"/>
  <c r="BN5" i="44" s="1"/>
  <c r="BO5" i="44" s="1"/>
  <c r="BP5" i="44" s="1"/>
  <c r="BQ5" i="44" s="1"/>
  <c r="BR5" i="44" s="1"/>
  <c r="BS5" i="44" s="1"/>
  <c r="BT5" i="44" s="1"/>
  <c r="BU5" i="44" s="1"/>
  <c r="BV5" i="44" s="1"/>
  <c r="BW5" i="44" s="1"/>
  <c r="BX5" i="44" s="1"/>
  <c r="BY5" i="44" s="1"/>
  <c r="BZ5" i="44" s="1"/>
  <c r="CA5" i="44" s="1"/>
  <c r="CB5" i="44" s="1"/>
  <c r="CC5" i="44" s="1"/>
  <c r="CD5" i="44" s="1"/>
  <c r="CE5" i="44" s="1"/>
  <c r="AH4" i="44"/>
  <c r="AI4" i="44" s="1"/>
  <c r="AJ4" i="44" s="1"/>
  <c r="AK4" i="44" s="1"/>
  <c r="AL4" i="44" s="1"/>
  <c r="AM4" i="44" s="1"/>
  <c r="AN4" i="44" s="1"/>
  <c r="AO4" i="44" s="1"/>
  <c r="AP4" i="44" s="1"/>
  <c r="AQ4" i="44" s="1"/>
  <c r="AR4" i="44" s="1"/>
  <c r="AS4" i="44" s="1"/>
  <c r="AT4" i="44" s="1"/>
  <c r="AU4" i="44" s="1"/>
  <c r="AV4" i="44" s="1"/>
  <c r="AW4" i="44" s="1"/>
  <c r="AX4" i="44" s="1"/>
  <c r="AY4" i="44" s="1"/>
  <c r="AZ4" i="44" s="1"/>
  <c r="BA4" i="44" s="1"/>
  <c r="BB4" i="44" s="1"/>
  <c r="BC4" i="44" s="1"/>
  <c r="BD4" i="44" s="1"/>
  <c r="BE4" i="44" s="1"/>
  <c r="BF4" i="44" s="1"/>
  <c r="BG4" i="44" s="1"/>
  <c r="BH4" i="44" s="1"/>
  <c r="BI4" i="44" s="1"/>
  <c r="BJ4" i="44" s="1"/>
  <c r="BK4" i="44" s="1"/>
  <c r="BL4" i="44" s="1"/>
  <c r="BM4" i="44" s="1"/>
  <c r="BN4" i="44" s="1"/>
  <c r="BO4" i="44" s="1"/>
  <c r="BP4" i="44" s="1"/>
  <c r="BQ4" i="44" s="1"/>
  <c r="BR4" i="44" s="1"/>
  <c r="BS4" i="44" s="1"/>
  <c r="BT4" i="44" s="1"/>
  <c r="BU4" i="44" s="1"/>
  <c r="BV4" i="44" s="1"/>
  <c r="BW4" i="44" s="1"/>
  <c r="BX4" i="44" s="1"/>
  <c r="BY4" i="44" s="1"/>
  <c r="BZ4" i="44" s="1"/>
  <c r="CA4" i="44" s="1"/>
  <c r="CB4" i="44" s="1"/>
  <c r="CC4" i="44" s="1"/>
  <c r="CD4" i="44" s="1"/>
  <c r="CE4" i="44" s="1"/>
  <c r="F3" i="44"/>
  <c r="G3" i="44" s="1"/>
  <c r="H3" i="44" s="1"/>
  <c r="I3" i="44" s="1"/>
  <c r="J3" i="44" s="1"/>
  <c r="K3" i="44" s="1"/>
  <c r="L3" i="44" s="1"/>
  <c r="M3" i="44" s="1"/>
  <c r="N3" i="44" s="1"/>
  <c r="O3" i="44" s="1"/>
  <c r="P3" i="44" s="1"/>
  <c r="Q3" i="44" s="1"/>
  <c r="R3" i="44" s="1"/>
  <c r="S3" i="44" s="1"/>
  <c r="T3" i="44" s="1"/>
  <c r="U3" i="44" s="1"/>
  <c r="V3" i="44" s="1"/>
  <c r="W3" i="44" s="1"/>
  <c r="X3" i="44" s="1"/>
  <c r="Y3" i="44" s="1"/>
  <c r="Z3" i="44" s="1"/>
  <c r="AA3" i="44" s="1"/>
  <c r="AB3" i="44" s="1"/>
  <c r="AC3" i="44" s="1"/>
  <c r="AD3" i="44" s="1"/>
  <c r="AE3" i="44" s="1"/>
  <c r="AF3" i="44" s="1"/>
  <c r="AG3" i="44" s="1"/>
  <c r="AH3" i="44" s="1"/>
  <c r="AI3" i="44" s="1"/>
  <c r="AJ3" i="44" s="1"/>
  <c r="AK3" i="44" s="1"/>
  <c r="AL3" i="44" s="1"/>
  <c r="AM3" i="44" s="1"/>
  <c r="AN3" i="44" s="1"/>
  <c r="AO3" i="44" s="1"/>
  <c r="AP3" i="44" s="1"/>
  <c r="AQ3" i="44" s="1"/>
  <c r="AR3" i="44" s="1"/>
  <c r="AS3" i="44" s="1"/>
  <c r="AT3" i="44" s="1"/>
  <c r="AU3" i="44" s="1"/>
  <c r="AV3" i="44" s="1"/>
  <c r="AW3" i="44" s="1"/>
  <c r="AX3" i="44" s="1"/>
  <c r="AY3" i="44" s="1"/>
  <c r="AZ3" i="44" s="1"/>
  <c r="BA3" i="44" s="1"/>
  <c r="BB3" i="44" s="1"/>
  <c r="BC3" i="44" s="1"/>
  <c r="BD3" i="44" s="1"/>
  <c r="BE3" i="44" s="1"/>
  <c r="BF3" i="44" s="1"/>
  <c r="BG3" i="44" s="1"/>
  <c r="BH3" i="44" s="1"/>
  <c r="BI3" i="44" s="1"/>
  <c r="BJ3" i="44" s="1"/>
  <c r="BK3" i="44" s="1"/>
  <c r="BL3" i="44" s="1"/>
  <c r="BM3" i="44" s="1"/>
  <c r="BN3" i="44" s="1"/>
  <c r="BO3" i="44" s="1"/>
  <c r="BP3" i="44" s="1"/>
  <c r="BQ3" i="44" s="1"/>
  <c r="BR3" i="44" s="1"/>
  <c r="BS3" i="44" s="1"/>
  <c r="BT3" i="44" s="1"/>
  <c r="BU3" i="44" s="1"/>
  <c r="BV3" i="44" s="1"/>
  <c r="BW3" i="44" s="1"/>
  <c r="BX3" i="44" s="1"/>
  <c r="BY3" i="44" s="1"/>
  <c r="BZ3" i="44" s="1"/>
  <c r="CA3" i="44" s="1"/>
  <c r="CB3" i="44" s="1"/>
  <c r="CC3" i="44" s="1"/>
  <c r="CD3" i="44" s="1"/>
  <c r="CE3" i="44" s="1"/>
  <c r="Z7" i="26"/>
  <c r="Z8" i="26"/>
  <c r="AN36" i="35" l="1"/>
  <c r="BC20" i="35"/>
  <c r="BC61" i="35" s="1"/>
  <c r="AW22" i="35"/>
  <c r="AW25" i="35" s="1"/>
  <c r="AM61" i="35"/>
  <c r="AV21" i="35"/>
  <c r="AV24" i="35" s="1"/>
  <c r="AR20" i="35"/>
  <c r="AY31" i="35"/>
  <c r="AS31" i="35"/>
  <c r="BE31" i="35"/>
  <c r="AX31" i="35"/>
  <c r="AU31" i="35"/>
  <c r="AW31" i="35"/>
  <c r="AR31" i="35"/>
  <c r="AZ31" i="35"/>
  <c r="AV31" i="35"/>
  <c r="AO31" i="35"/>
  <c r="BC31" i="35"/>
  <c r="AL31" i="35"/>
  <c r="AT31" i="35"/>
  <c r="BH31" i="35"/>
  <c r="AN31" i="35"/>
  <c r="BG31" i="35"/>
  <c r="AQ31" i="35"/>
  <c r="BF31" i="35"/>
  <c r="AP31" i="35"/>
  <c r="BD31" i="35"/>
  <c r="AM31" i="35"/>
  <c r="BB31" i="35"/>
  <c r="BA31" i="35"/>
  <c r="AM20" i="35"/>
  <c r="AX29" i="35"/>
  <c r="AX33" i="35" s="1"/>
  <c r="BF22" i="35"/>
  <c r="BF25" i="35" s="1"/>
  <c r="AP22" i="35"/>
  <c r="AP25" i="35" s="1"/>
  <c r="AV36" i="35"/>
  <c r="AU36" i="35"/>
  <c r="AV22" i="35"/>
  <c r="AV25" i="35" s="1"/>
  <c r="F522" i="44" a="1"/>
  <c r="F522" i="44" s="1"/>
  <c r="AM22" i="35"/>
  <c r="AM25" i="35" s="1"/>
  <c r="AY61" i="35"/>
  <c r="BE61" i="35"/>
  <c r="AO61" i="35"/>
  <c r="AL21" i="35"/>
  <c r="AL24" i="35" s="1"/>
  <c r="AU5" i="26" a="1"/>
  <c r="AU5" i="26" s="1"/>
  <c r="AV5" i="26" a="1"/>
  <c r="AV5" i="26" s="1"/>
  <c r="G324" i="11"/>
  <c r="AX22" i="26" a="1"/>
  <c r="AX22" i="26" s="1"/>
  <c r="AU13" i="26" a="1"/>
  <c r="AU13" i="26" s="1"/>
  <c r="AV11" i="26" a="1"/>
  <c r="AV11" i="26" s="1"/>
  <c r="AW9" i="26" a="1"/>
  <c r="AW9" i="26" s="1"/>
  <c r="AX6" i="26" a="1"/>
  <c r="AX6" i="26" s="1"/>
  <c r="AU14" i="26" a="1"/>
  <c r="AU14" i="26" s="1"/>
  <c r="AV12" i="26" a="1"/>
  <c r="AV12" i="26" s="1"/>
  <c r="AW10" i="26" a="1"/>
  <c r="AW10" i="26" s="1"/>
  <c r="AX7" i="26" a="1"/>
  <c r="AX7" i="26" s="1"/>
  <c r="AU15" i="26" a="1"/>
  <c r="AU15" i="26" s="1"/>
  <c r="AW11" i="26" a="1"/>
  <c r="AW11" i="26" s="1"/>
  <c r="AX8" i="26" a="1"/>
  <c r="AX8" i="26" s="1"/>
  <c r="AW12" i="26" a="1"/>
  <c r="AW12" i="26" s="1"/>
  <c r="AU17" i="26" a="1"/>
  <c r="AU17" i="26" s="1"/>
  <c r="AW13" i="26" a="1"/>
  <c r="AW13" i="26" s="1"/>
  <c r="AU18" i="26" a="1"/>
  <c r="AU18" i="26" s="1"/>
  <c r="AW14" i="26" a="1"/>
  <c r="AW14" i="26" s="1"/>
  <c r="AU19" i="26" a="1"/>
  <c r="AU19" i="26" s="1"/>
  <c r="AW15" i="26" a="1"/>
  <c r="AW15" i="26" s="1"/>
  <c r="AU20" i="26" a="1"/>
  <c r="AU20" i="26" s="1"/>
  <c r="AU21" i="26" a="1"/>
  <c r="AU21" i="26" s="1"/>
  <c r="AW17" i="26" a="1"/>
  <c r="AW17" i="26" s="1"/>
  <c r="AU6" i="26" a="1"/>
  <c r="AU6" i="26" s="1"/>
  <c r="G313" i="11" s="1"/>
  <c r="AU22" i="26" a="1"/>
  <c r="AU22" i="26" s="1"/>
  <c r="AW18" i="26" a="1"/>
  <c r="AW18" i="26" s="1"/>
  <c r="AU7" i="26" a="1"/>
  <c r="AU7" i="26" s="1"/>
  <c r="AW19" i="26" a="1"/>
  <c r="AW19" i="26" s="1"/>
  <c r="AU8" i="26" a="1"/>
  <c r="AU8" i="26" s="1"/>
  <c r="AW20" i="26" a="1"/>
  <c r="AW20" i="26" s="1"/>
  <c r="AU9" i="26" a="1"/>
  <c r="AU9" i="26" s="1"/>
  <c r="AW21" i="26" a="1"/>
  <c r="AW21" i="26" s="1"/>
  <c r="AU10" i="26" a="1"/>
  <c r="AU10" i="26" s="1"/>
  <c r="AW5" i="26" a="1"/>
  <c r="AW5" i="26" s="1"/>
  <c r="AM36" i="35"/>
  <c r="AW26" i="35"/>
  <c r="AW27" i="35" s="1"/>
  <c r="AS26" i="35"/>
  <c r="AS27" i="35" s="1"/>
  <c r="AP26" i="35"/>
  <c r="AP28" i="35" s="1"/>
  <c r="AP32" i="35" s="1"/>
  <c r="AO26" i="35"/>
  <c r="AO30" i="35" s="1"/>
  <c r="AO86" i="35" s="1"/>
  <c r="AY22" i="35"/>
  <c r="AY25" i="35" s="1"/>
  <c r="AV38" i="35"/>
  <c r="AV40" i="35" s="1"/>
  <c r="BC21" i="35"/>
  <c r="BC24" i="35" s="1"/>
  <c r="AT26" i="35"/>
  <c r="AT27" i="35" s="1"/>
  <c r="AR61" i="35"/>
  <c r="AX28" i="35"/>
  <c r="AX32" i="35" s="1"/>
  <c r="AW36" i="35"/>
  <c r="AN26" i="35"/>
  <c r="AN28" i="35" s="1"/>
  <c r="AN32" i="35" s="1"/>
  <c r="AL26" i="35"/>
  <c r="AT21" i="35"/>
  <c r="AT24" i="35" s="1"/>
  <c r="AO27" i="35"/>
  <c r="BH36" i="35"/>
  <c r="BF26" i="35"/>
  <c r="BF28" i="35" s="1"/>
  <c r="BF32" i="35" s="1"/>
  <c r="BD36" i="35"/>
  <c r="BE26" i="35"/>
  <c r="BE30" i="35" s="1"/>
  <c r="BE86" i="35" s="1"/>
  <c r="AZ22" i="35"/>
  <c r="AZ25" i="35" s="1"/>
  <c r="AX36" i="35"/>
  <c r="BD26" i="35"/>
  <c r="BD27" i="35" s="1"/>
  <c r="BD78" i="35" s="1"/>
  <c r="BB20" i="35"/>
  <c r="BB61" i="35" s="1"/>
  <c r="BE38" i="35"/>
  <c r="BE40" i="35" s="1"/>
  <c r="AR36" i="35"/>
  <c r="BC26" i="35"/>
  <c r="BC28" i="35" s="1"/>
  <c r="BC32" i="35" s="1"/>
  <c r="AW20" i="35"/>
  <c r="AW61" i="35" s="1"/>
  <c r="BD38" i="35"/>
  <c r="BD39" i="35" s="1"/>
  <c r="BB38" i="35"/>
  <c r="BB39" i="35" s="1"/>
  <c r="BB30" i="35"/>
  <c r="BB86" i="35" s="1"/>
  <c r="BA26" i="35"/>
  <c r="BA28" i="35" s="1"/>
  <c r="BA32" i="35" s="1"/>
  <c r="BE22" i="35"/>
  <c r="BE25" i="35" s="1"/>
  <c r="AW38" i="35"/>
  <c r="AW39" i="35" s="1"/>
  <c r="AZ26" i="35"/>
  <c r="AS20" i="35"/>
  <c r="BC38" i="35"/>
  <c r="BC39" i="35" s="1"/>
  <c r="BE36" i="35"/>
  <c r="AM26" i="35"/>
  <c r="AM30" i="35" s="1"/>
  <c r="AM86" i="35" s="1"/>
  <c r="BA38" i="35"/>
  <c r="BA39" i="35" s="1"/>
  <c r="AP29" i="35"/>
  <c r="AP33" i="35" s="1"/>
  <c r="AU38" i="35"/>
  <c r="AO36" i="35"/>
  <c r="AT38" i="35"/>
  <c r="BB28" i="35"/>
  <c r="BB32" i="35" s="1"/>
  <c r="AQ38" i="35"/>
  <c r="BA61" i="35"/>
  <c r="BF21" i="35"/>
  <c r="BF24" i="35" s="1"/>
  <c r="AX61" i="35"/>
  <c r="AO38" i="35"/>
  <c r="AW29" i="35"/>
  <c r="AW33" i="35" s="1"/>
  <c r="AW21" i="35"/>
  <c r="AW24" i="35" s="1"/>
  <c r="AN38" i="35"/>
  <c r="AY36" i="35"/>
  <c r="AL28" i="35"/>
  <c r="AL32" i="35" s="1"/>
  <c r="AV26" i="35"/>
  <c r="AV29" i="35" s="1"/>
  <c r="AV33" i="35" s="1"/>
  <c r="BB21" i="35"/>
  <c r="BB24" i="35" s="1"/>
  <c r="AQ20" i="35"/>
  <c r="AQ61" i="35" s="1"/>
  <c r="AM38" i="35"/>
  <c r="AM39" i="35" s="1"/>
  <c r="AX27" i="35"/>
  <c r="AU26" i="35"/>
  <c r="AU28" i="35" s="1"/>
  <c r="AU32" i="35" s="1"/>
  <c r="AP20" i="35"/>
  <c r="AL38" i="35"/>
  <c r="AL39" i="35" s="1"/>
  <c r="AL20" i="35"/>
  <c r="BG38" i="35"/>
  <c r="BG39" i="35" s="1"/>
  <c r="AP30" i="35"/>
  <c r="AP86" i="35" s="1"/>
  <c r="AP21" i="35"/>
  <c r="AP24" i="35" s="1"/>
  <c r="BA29" i="35"/>
  <c r="BA33" i="35" s="1"/>
  <c r="AN22" i="35"/>
  <c r="AN25" i="35" s="1"/>
  <c r="AN20" i="35"/>
  <c r="AN21" i="35"/>
  <c r="AN24" i="35" s="1"/>
  <c r="AZ29" i="35"/>
  <c r="AZ33" i="35" s="1"/>
  <c r="AZ27" i="35"/>
  <c r="AZ30" i="35"/>
  <c r="AZ86" i="35" s="1"/>
  <c r="AZ28" i="35"/>
  <c r="AZ32" i="35" s="1"/>
  <c r="BD22" i="35"/>
  <c r="BD25" i="35" s="1"/>
  <c r="BD20" i="35"/>
  <c r="BD21" i="35"/>
  <c r="BD24" i="35" s="1"/>
  <c r="AT30" i="35"/>
  <c r="AT86" i="35" s="1"/>
  <c r="AT15" i="35"/>
  <c r="BA22" i="35"/>
  <c r="BA25" i="35" s="1"/>
  <c r="AR39" i="35"/>
  <c r="AR40" i="35"/>
  <c r="BF35" i="35"/>
  <c r="BF36" i="35"/>
  <c r="AP35" i="35"/>
  <c r="AP36" i="35"/>
  <c r="AT22" i="35"/>
  <c r="AT25" i="35" s="1"/>
  <c r="AQ30" i="35"/>
  <c r="AQ86" i="35" s="1"/>
  <c r="AQ28" i="35"/>
  <c r="AQ32" i="35" s="1"/>
  <c r="AQ29" i="35"/>
  <c r="AQ33" i="35" s="1"/>
  <c r="AQ27" i="35"/>
  <c r="AV39" i="35"/>
  <c r="BF38" i="35"/>
  <c r="AP38" i="35"/>
  <c r="BG36" i="35"/>
  <c r="AQ36" i="35"/>
  <c r="AY26" i="35"/>
  <c r="AX22" i="35"/>
  <c r="AX25" i="35" s="1"/>
  <c r="BE21" i="35"/>
  <c r="BE24" i="35" s="1"/>
  <c r="AO21" i="35"/>
  <c r="AO24" i="35" s="1"/>
  <c r="AV35" i="35"/>
  <c r="AV61" i="35" s="1"/>
  <c r="AU35" i="35"/>
  <c r="AU61" i="35" s="1"/>
  <c r="BE27" i="35"/>
  <c r="BC36" i="35"/>
  <c r="AT35" i="35"/>
  <c r="AT61" i="35" s="1"/>
  <c r="AW28" i="35"/>
  <c r="AW32" i="35" s="1"/>
  <c r="BA21" i="35"/>
  <c r="BA24" i="35" s="1"/>
  <c r="BH20" i="35"/>
  <c r="BB36" i="35"/>
  <c r="AL36" i="35"/>
  <c r="AS35" i="35"/>
  <c r="AS61" i="35" s="1"/>
  <c r="AX30" i="35"/>
  <c r="AX86" i="35" s="1"/>
  <c r="BE29" i="35"/>
  <c r="BE33" i="35" s="1"/>
  <c r="AO29" i="35"/>
  <c r="AO33" i="35" s="1"/>
  <c r="BC27" i="35"/>
  <c r="AS22" i="35"/>
  <c r="AS25" i="35" s="1"/>
  <c r="AZ21" i="35"/>
  <c r="AZ24" i="35" s="1"/>
  <c r="BG20" i="35"/>
  <c r="BB40" i="35"/>
  <c r="AZ38" i="35"/>
  <c r="BA36" i="35"/>
  <c r="BB27" i="35"/>
  <c r="BB78" i="35" s="1"/>
  <c r="AL27" i="35"/>
  <c r="BH22" i="35"/>
  <c r="BH25" i="35" s="1"/>
  <c r="AR22" i="35"/>
  <c r="AR25" i="35" s="1"/>
  <c r="AY21" i="35"/>
  <c r="AY24" i="35" s="1"/>
  <c r="BF20" i="35"/>
  <c r="AY38" i="35"/>
  <c r="AZ36" i="35"/>
  <c r="BH26" i="35"/>
  <c r="AR26" i="35"/>
  <c r="BG22" i="35"/>
  <c r="BG25" i="35" s="1"/>
  <c r="AQ22" i="35"/>
  <c r="AQ25" i="35" s="1"/>
  <c r="AX21" i="35"/>
  <c r="AX24" i="35" s="1"/>
  <c r="AX38" i="35"/>
  <c r="BG26" i="35"/>
  <c r="BE28" i="35"/>
  <c r="BE32" i="35" s="1"/>
  <c r="AO28" i="35"/>
  <c r="AO32" i="35" s="1"/>
  <c r="AZ20" i="35"/>
  <c r="AS38" i="35"/>
  <c r="BH38" i="35"/>
  <c r="G522" i="44" a="1"/>
  <c r="G522" i="44" s="1"/>
  <c r="V522" i="44" a="1"/>
  <c r="V522" i="44" s="1"/>
  <c r="C507" i="44"/>
  <c r="D507" i="44" s="1"/>
  <c r="C508" i="44"/>
  <c r="D508" i="44" s="1"/>
  <c r="Y522" i="44" a="1"/>
  <c r="Y522" i="44" s="1"/>
  <c r="D506" i="44"/>
  <c r="Q522" i="44" a="1"/>
  <c r="Q522" i="44" s="1"/>
  <c r="P522" i="44" a="1"/>
  <c r="P522" i="44" s="1"/>
  <c r="O522" i="44" a="1"/>
  <c r="O522" i="44" s="1"/>
  <c r="X522" i="44" a="1"/>
  <c r="X522" i="44" s="1"/>
  <c r="H522" i="44" a="1"/>
  <c r="H522" i="44" s="1"/>
  <c r="Z5" i="26"/>
  <c r="Z6" i="26"/>
  <c r="H161" i="11"/>
  <c r="G161" i="11"/>
  <c r="AN30" i="35" l="1"/>
  <c r="AN86" i="35" s="1"/>
  <c r="AS29" i="35"/>
  <c r="AS33" i="35" s="1"/>
  <c r="AN29" i="35"/>
  <c r="AN33" i="35" s="1"/>
  <c r="AP61" i="35"/>
  <c r="BD29" i="35"/>
  <c r="BD33" i="35" s="1"/>
  <c r="AT29" i="35"/>
  <c r="AT33" i="35" s="1"/>
  <c r="AT28" i="35"/>
  <c r="AT32" i="35" s="1"/>
  <c r="AW30" i="35"/>
  <c r="AW86" i="35" s="1"/>
  <c r="AM40" i="35"/>
  <c r="BC30" i="35"/>
  <c r="BC86" i="35" s="1"/>
  <c r="AW78" i="35"/>
  <c r="AM29" i="35"/>
  <c r="AM33" i="35" s="1"/>
  <c r="BE39" i="35"/>
  <c r="BE78" i="35" s="1"/>
  <c r="BC29" i="35"/>
  <c r="BC33" i="35" s="1"/>
  <c r="BC40" i="35"/>
  <c r="AN27" i="35"/>
  <c r="BA40" i="35"/>
  <c r="BG40" i="35"/>
  <c r="AP27" i="35"/>
  <c r="AL78" i="35"/>
  <c r="AS28" i="35"/>
  <c r="AS32" i="35" s="1"/>
  <c r="AS30" i="35"/>
  <c r="AS86" i="35" s="1"/>
  <c r="BF27" i="35"/>
  <c r="BF78" i="35" s="1"/>
  <c r="BA27" i="35"/>
  <c r="BA78" i="35" s="1"/>
  <c r="BA30" i="35"/>
  <c r="BA86" i="35" s="1"/>
  <c r="BF30" i="35"/>
  <c r="BF86" i="35" s="1"/>
  <c r="AL29" i="35"/>
  <c r="AL33" i="35" s="1"/>
  <c r="AL30" i="35"/>
  <c r="AL86" i="35" s="1"/>
  <c r="AW40" i="35"/>
  <c r="AL40" i="35"/>
  <c r="BD28" i="35"/>
  <c r="BD32" i="35" s="1"/>
  <c r="BD30" i="35"/>
  <c r="BD86" i="35" s="1"/>
  <c r="BD40" i="35"/>
  <c r="BF29" i="35"/>
  <c r="BF33" i="35" s="1"/>
  <c r="AQ39" i="35"/>
  <c r="AQ78" i="35" s="1"/>
  <c r="AQ40" i="35"/>
  <c r="AM28" i="35"/>
  <c r="AM32" i="35" s="1"/>
  <c r="AM27" i="35"/>
  <c r="AM78" i="35" s="1"/>
  <c r="AN39" i="35"/>
  <c r="AN78" i="35" s="1"/>
  <c r="AN40" i="35"/>
  <c r="AT40" i="35"/>
  <c r="AT39" i="35"/>
  <c r="AT78" i="35" s="1"/>
  <c r="AV30" i="35"/>
  <c r="AV86" i="35" s="1"/>
  <c r="AV28" i="35"/>
  <c r="AV32" i="35" s="1"/>
  <c r="AV27" i="35"/>
  <c r="AV78" i="35" s="1"/>
  <c r="BC78" i="35"/>
  <c r="AU27" i="35"/>
  <c r="AU29" i="35"/>
  <c r="AU33" i="35" s="1"/>
  <c r="AU30" i="35"/>
  <c r="AU86" i="35" s="1"/>
  <c r="AO39" i="35"/>
  <c r="AO78" i="35" s="1"/>
  <c r="AO40" i="35"/>
  <c r="AU40" i="35"/>
  <c r="AU39" i="35"/>
  <c r="AL61" i="35"/>
  <c r="BG30" i="35"/>
  <c r="BG86" i="35" s="1"/>
  <c r="BG28" i="35"/>
  <c r="BG32" i="35" s="1"/>
  <c r="BG29" i="35"/>
  <c r="BG33" i="35" s="1"/>
  <c r="BG27" i="35"/>
  <c r="BG78" i="35" s="1"/>
  <c r="BG61" i="35"/>
  <c r="AN61" i="35"/>
  <c r="BF40" i="35"/>
  <c r="BF39" i="35"/>
  <c r="AX39" i="35"/>
  <c r="AX78" i="35" s="1"/>
  <c r="AX40" i="35"/>
  <c r="BH39" i="35"/>
  <c r="BH40" i="35"/>
  <c r="BD61" i="35"/>
  <c r="AY29" i="35"/>
  <c r="AY33" i="35" s="1"/>
  <c r="AY27" i="35"/>
  <c r="AY30" i="35"/>
  <c r="AY86" i="35" s="1"/>
  <c r="AY28" i="35"/>
  <c r="AY32" i="35" s="1"/>
  <c r="AY39" i="35"/>
  <c r="AY40" i="35"/>
  <c r="AS39" i="35"/>
  <c r="AS78" i="35" s="1"/>
  <c r="AS40" i="35"/>
  <c r="AZ61" i="35"/>
  <c r="AR30" i="35"/>
  <c r="AR86" i="35" s="1"/>
  <c r="AR28" i="35"/>
  <c r="AR32" i="35" s="1"/>
  <c r="AR29" i="35"/>
  <c r="AR33" i="35" s="1"/>
  <c r="AR27" i="35"/>
  <c r="AR78" i="35" s="1"/>
  <c r="BH30" i="35"/>
  <c r="BH86" i="35" s="1"/>
  <c r="BH28" i="35"/>
  <c r="BH32" i="35" s="1"/>
  <c r="BH29" i="35"/>
  <c r="BH33" i="35" s="1"/>
  <c r="BH27" i="35"/>
  <c r="AZ40" i="35"/>
  <c r="AZ39" i="35"/>
  <c r="AZ78" i="35" s="1"/>
  <c r="BF61" i="35"/>
  <c r="BH61" i="35"/>
  <c r="AP40" i="35"/>
  <c r="AP39" i="35"/>
  <c r="C509" i="44"/>
  <c r="D509" i="44"/>
  <c r="C510" i="44"/>
  <c r="AU78" i="35" l="1"/>
  <c r="AP78" i="35"/>
  <c r="AY78" i="35"/>
  <c r="BH78" i="35"/>
  <c r="I523" i="44" a="1"/>
  <c r="I523" i="44" s="1"/>
  <c r="D510" i="44"/>
  <c r="W523" i="44" a="1"/>
  <c r="W523" i="44" s="1"/>
  <c r="U523" i="44" a="1"/>
  <c r="U523" i="44" s="1"/>
  <c r="J523" i="44" a="1"/>
  <c r="J523" i="44" s="1"/>
  <c r="C511" i="44"/>
  <c r="D511" i="44" l="1"/>
  <c r="N523" i="44" a="1"/>
  <c r="N523" i="44" s="1"/>
  <c r="M523" i="44" a="1"/>
  <c r="M523" i="44" s="1"/>
  <c r="K523" i="44" a="1"/>
  <c r="K523" i="44" s="1"/>
  <c r="C512" i="44"/>
  <c r="D512" i="44" l="1"/>
  <c r="L523" i="44" a="1"/>
  <c r="L523" i="44" s="1"/>
  <c r="C513" i="44"/>
  <c r="P523" i="44" l="1" a="1"/>
  <c r="P523" i="44" s="1"/>
  <c r="C514" i="44"/>
  <c r="D513" i="44"/>
  <c r="Q523" i="44" l="1" a="1"/>
  <c r="Q523" i="44" s="1"/>
  <c r="D514" i="44"/>
  <c r="C515" i="44"/>
  <c r="D515" i="44" l="1"/>
  <c r="C516" i="44"/>
  <c r="Y523" i="44" l="1" a="1"/>
  <c r="Y523" i="44" s="1"/>
  <c r="O523" i="44" a="1"/>
  <c r="O523" i="44" s="1"/>
  <c r="V523" i="44" a="1"/>
  <c r="V523" i="44" s="1"/>
  <c r="D516" i="44"/>
  <c r="T523" i="44" a="1"/>
  <c r="T523" i="44" s="1"/>
  <c r="S523" i="44" a="1"/>
  <c r="S523" i="44" s="1"/>
  <c r="C517" i="44"/>
  <c r="R523" i="44" a="1"/>
  <c r="R523" i="44" s="1"/>
  <c r="H523" i="44" l="1" a="1"/>
  <c r="H523" i="44" s="1"/>
  <c r="G523" i="44" a="1"/>
  <c r="G523" i="44" s="1"/>
  <c r="D517" i="44"/>
  <c r="F523" i="44" a="1"/>
  <c r="F523" i="44" s="1"/>
  <c r="C518" i="44"/>
  <c r="D518" i="44" l="1"/>
  <c r="C519" i="44"/>
  <c r="D519" i="44" l="1"/>
  <c r="AX16" i="26" a="1"/>
  <c r="AX16" i="26" s="1"/>
  <c r="AV16" i="26" a="1"/>
  <c r="AV16" i="26" s="1"/>
  <c r="H306" i="11"/>
  <c r="G306" i="11"/>
  <c r="F27" i="25"/>
  <c r="AU16" i="26" l="1" a="1"/>
  <c r="AU16" i="26" s="1"/>
  <c r="AW16" i="26" a="1"/>
  <c r="AW16" i="26" s="1"/>
  <c r="H3" i="25"/>
  <c r="H28" i="25" s="1"/>
  <c r="F616" i="14"/>
  <c r="H5" i="43"/>
  <c r="I5" i="43" s="1"/>
  <c r="J5" i="43" s="1"/>
  <c r="K5" i="43" s="1"/>
  <c r="L5" i="43" s="1"/>
  <c r="M5" i="43" s="1"/>
  <c r="N5" i="43" s="1"/>
  <c r="O5" i="43" s="1"/>
  <c r="P5" i="43" s="1"/>
  <c r="Q5" i="43" s="1"/>
  <c r="R5" i="43" s="1"/>
  <c r="S5" i="43" s="1"/>
  <c r="T5" i="43" s="1"/>
  <c r="U5" i="43" s="1"/>
  <c r="V5" i="43" s="1"/>
  <c r="W5" i="43" s="1"/>
  <c r="X5" i="43" s="1"/>
  <c r="Y5" i="43" s="1"/>
  <c r="Z5" i="43" s="1"/>
  <c r="AA5" i="43" s="1"/>
  <c r="AB5" i="43" s="1"/>
  <c r="AC5" i="43" s="1"/>
  <c r="AD5" i="43" s="1"/>
  <c r="AE5" i="43" s="1"/>
  <c r="AF5" i="43" s="1"/>
  <c r="AG5" i="43" s="1"/>
  <c r="AH5" i="43" s="1"/>
  <c r="AI5" i="43" s="1"/>
  <c r="AJ5" i="43" s="1"/>
  <c r="AK5" i="43" s="1"/>
  <c r="AL5" i="43" s="1"/>
  <c r="AM5" i="43" s="1"/>
  <c r="AN5" i="43" s="1"/>
  <c r="AO5" i="43" s="1"/>
  <c r="AP5" i="43" s="1"/>
  <c r="AQ5" i="43" s="1"/>
  <c r="AR5" i="43" s="1"/>
  <c r="AS5" i="43" s="1"/>
  <c r="AT5" i="43" s="1"/>
  <c r="AU5" i="43" s="1"/>
  <c r="AV5" i="43" s="1"/>
  <c r="AW5" i="43" s="1"/>
  <c r="AX5" i="43" s="1"/>
  <c r="AY5" i="43" s="1"/>
  <c r="AZ5" i="43" s="1"/>
  <c r="BA5" i="43" s="1"/>
  <c r="BB5" i="43" s="1"/>
  <c r="BC5" i="43" s="1"/>
  <c r="BD5" i="43" s="1"/>
  <c r="BE5" i="43" s="1"/>
  <c r="BF5" i="43" s="1"/>
  <c r="BG5" i="43" s="1"/>
  <c r="BH5" i="43" s="1"/>
  <c r="BI5" i="43" s="1"/>
  <c r="BJ5" i="43" s="1"/>
  <c r="BK5" i="43" s="1"/>
  <c r="BL5" i="43" s="1"/>
  <c r="BM5" i="43" s="1"/>
  <c r="BN5" i="43" s="1"/>
  <c r="BO5" i="43" s="1"/>
  <c r="BP5" i="43" s="1"/>
  <c r="BQ5" i="43" s="1"/>
  <c r="BR5" i="43" s="1"/>
  <c r="BS5" i="43" s="1"/>
  <c r="BT5" i="43" s="1"/>
  <c r="BU5" i="43" s="1"/>
  <c r="BV5" i="43" s="1"/>
  <c r="BW5" i="43" s="1"/>
  <c r="BX5" i="43" s="1"/>
  <c r="BY5" i="43" s="1"/>
  <c r="BZ5" i="43" s="1"/>
  <c r="CA5" i="43" s="1"/>
  <c r="CB5" i="43" s="1"/>
  <c r="CC5" i="43" s="1"/>
  <c r="CD5" i="43" s="1"/>
  <c r="CE5" i="43" s="1"/>
  <c r="CF5" i="43" s="1"/>
  <c r="H4" i="43"/>
  <c r="I4" i="43" s="1"/>
  <c r="J4" i="43" s="1"/>
  <c r="K4" i="43" s="1"/>
  <c r="L4" i="43" s="1"/>
  <c r="M4" i="43" s="1"/>
  <c r="N4" i="43" s="1"/>
  <c r="O4" i="43" s="1"/>
  <c r="P4" i="43" s="1"/>
  <c r="Q4" i="43" s="1"/>
  <c r="R4" i="43" s="1"/>
  <c r="S4" i="43" s="1"/>
  <c r="T4" i="43" s="1"/>
  <c r="U4" i="43" s="1"/>
  <c r="V4" i="43" s="1"/>
  <c r="W4" i="43" s="1"/>
  <c r="X4" i="43" s="1"/>
  <c r="Y4" i="43" s="1"/>
  <c r="Z4" i="43" s="1"/>
  <c r="AA4" i="43" s="1"/>
  <c r="AB4" i="43" s="1"/>
  <c r="AC4" i="43" s="1"/>
  <c r="AD4" i="43" s="1"/>
  <c r="AE4" i="43" s="1"/>
  <c r="AF4" i="43" s="1"/>
  <c r="AG4" i="43" s="1"/>
  <c r="AH4" i="43" s="1"/>
  <c r="AI4" i="43" s="1"/>
  <c r="AJ4" i="43" s="1"/>
  <c r="AK4" i="43" s="1"/>
  <c r="AL4" i="43" s="1"/>
  <c r="AM4" i="43" s="1"/>
  <c r="AN4" i="43" s="1"/>
  <c r="AO4" i="43" s="1"/>
  <c r="AP4" i="43" s="1"/>
  <c r="AQ4" i="43" s="1"/>
  <c r="AR4" i="43" s="1"/>
  <c r="AS4" i="43" s="1"/>
  <c r="AT4" i="43" s="1"/>
  <c r="AU4" i="43" s="1"/>
  <c r="AV4" i="43" s="1"/>
  <c r="AW4" i="43" s="1"/>
  <c r="AX4" i="43" s="1"/>
  <c r="AY4" i="43" s="1"/>
  <c r="AZ4" i="43" s="1"/>
  <c r="BA4" i="43" s="1"/>
  <c r="BB4" i="43" s="1"/>
  <c r="BC4" i="43" s="1"/>
  <c r="BD4" i="43" s="1"/>
  <c r="BE4" i="43" s="1"/>
  <c r="BF4" i="43" s="1"/>
  <c r="BG4" i="43" s="1"/>
  <c r="BH4" i="43" s="1"/>
  <c r="BI4" i="43" s="1"/>
  <c r="BJ4" i="43" s="1"/>
  <c r="BK4" i="43" s="1"/>
  <c r="BL4" i="43" s="1"/>
  <c r="BM4" i="43" s="1"/>
  <c r="BN4" i="43" s="1"/>
  <c r="BO4" i="43" s="1"/>
  <c r="BP4" i="43" s="1"/>
  <c r="BQ4" i="43" s="1"/>
  <c r="BR4" i="43" s="1"/>
  <c r="BS4" i="43" s="1"/>
  <c r="BT4" i="43" s="1"/>
  <c r="BU4" i="43" s="1"/>
  <c r="BV4" i="43" s="1"/>
  <c r="BW4" i="43" s="1"/>
  <c r="BX4" i="43" s="1"/>
  <c r="BY4" i="43" s="1"/>
  <c r="BZ4" i="43" s="1"/>
  <c r="CA4" i="43" s="1"/>
  <c r="CB4" i="43" s="1"/>
  <c r="CC4" i="43" s="1"/>
  <c r="CD4" i="43" s="1"/>
  <c r="CE4" i="43" s="1"/>
  <c r="CF4" i="43" s="1"/>
  <c r="C4" i="43"/>
  <c r="C5" i="43" s="1"/>
  <c r="B5" i="43" s="1"/>
  <c r="B4" i="43"/>
  <c r="G3" i="43"/>
  <c r="H3" i="43" s="1"/>
  <c r="I3" i="43" s="1"/>
  <c r="J3" i="43" s="1"/>
  <c r="K3" i="43" s="1"/>
  <c r="L3" i="43" s="1"/>
  <c r="M3" i="43" s="1"/>
  <c r="N3" i="43" s="1"/>
  <c r="O3" i="43" s="1"/>
  <c r="P3" i="43" s="1"/>
  <c r="Q3" i="43" s="1"/>
  <c r="R3" i="43" s="1"/>
  <c r="S3" i="43" s="1"/>
  <c r="T3" i="43" s="1"/>
  <c r="U3" i="43" s="1"/>
  <c r="V3" i="43" s="1"/>
  <c r="W3" i="43" s="1"/>
  <c r="X3" i="43" s="1"/>
  <c r="Y3" i="43" s="1"/>
  <c r="Z3" i="43" s="1"/>
  <c r="AA3" i="43" s="1"/>
  <c r="AB3" i="43" s="1"/>
  <c r="AC3" i="43" s="1"/>
  <c r="AD3" i="43" s="1"/>
  <c r="AE3" i="43" s="1"/>
  <c r="AF3" i="43" s="1"/>
  <c r="AG3" i="43" s="1"/>
  <c r="AH3" i="43" s="1"/>
  <c r="AI3" i="43" s="1"/>
  <c r="AJ3" i="43" s="1"/>
  <c r="AK3" i="43" s="1"/>
  <c r="AL3" i="43" s="1"/>
  <c r="AM3" i="43" s="1"/>
  <c r="AN3" i="43" s="1"/>
  <c r="AO3" i="43" s="1"/>
  <c r="AP3" i="43" s="1"/>
  <c r="AQ3" i="43" s="1"/>
  <c r="AR3" i="43" s="1"/>
  <c r="AS3" i="43" s="1"/>
  <c r="AT3" i="43" s="1"/>
  <c r="AU3" i="43" s="1"/>
  <c r="AV3" i="43" s="1"/>
  <c r="AW3" i="43" s="1"/>
  <c r="AX3" i="43" s="1"/>
  <c r="AY3" i="43" s="1"/>
  <c r="AZ3" i="43" s="1"/>
  <c r="BA3" i="43" s="1"/>
  <c r="BB3" i="43" s="1"/>
  <c r="BC3" i="43" s="1"/>
  <c r="BD3" i="43" s="1"/>
  <c r="BE3" i="43" s="1"/>
  <c r="BF3" i="43" s="1"/>
  <c r="BG3" i="43" s="1"/>
  <c r="BH3" i="43" s="1"/>
  <c r="BI3" i="43" s="1"/>
  <c r="BJ3" i="43" s="1"/>
  <c r="BK3" i="43" s="1"/>
  <c r="BL3" i="43" s="1"/>
  <c r="BM3" i="43" s="1"/>
  <c r="BN3" i="43" s="1"/>
  <c r="BO3" i="43" s="1"/>
  <c r="BP3" i="43" s="1"/>
  <c r="BQ3" i="43" s="1"/>
  <c r="BR3" i="43" s="1"/>
  <c r="BS3" i="43" s="1"/>
  <c r="BT3" i="43" s="1"/>
  <c r="BU3" i="43" s="1"/>
  <c r="BV3" i="43" s="1"/>
  <c r="BW3" i="43" s="1"/>
  <c r="BX3" i="43" s="1"/>
  <c r="BY3" i="43" s="1"/>
  <c r="BZ3" i="43" s="1"/>
  <c r="CA3" i="43" s="1"/>
  <c r="CB3" i="43" s="1"/>
  <c r="CC3" i="43" s="1"/>
  <c r="CD3" i="43" s="1"/>
  <c r="CE3" i="43" s="1"/>
  <c r="CF3" i="43" s="1"/>
  <c r="B3" i="43"/>
  <c r="H135" i="11"/>
  <c r="G135" i="11"/>
  <c r="F81" i="14"/>
  <c r="F127" i="25"/>
  <c r="F30" i="25"/>
  <c r="F29" i="25"/>
  <c r="G1355" i="41"/>
  <c r="G1354" i="41"/>
  <c r="G1353" i="41"/>
  <c r="G1352" i="41"/>
  <c r="G1351" i="41"/>
  <c r="G1346" i="41"/>
  <c r="G1344" i="41"/>
  <c r="G1342" i="41"/>
  <c r="G1341" i="41"/>
  <c r="G1333" i="41"/>
  <c r="G1330" i="41"/>
  <c r="G1327" i="41"/>
  <c r="G1321" i="41"/>
  <c r="G1320" i="41"/>
  <c r="G1309" i="41"/>
  <c r="G1308" i="41"/>
  <c r="G1307" i="41"/>
  <c r="G1298" i="41"/>
  <c r="G1296" i="41"/>
  <c r="G1295" i="41"/>
  <c r="G1294" i="41"/>
  <c r="G1293" i="41"/>
  <c r="G1287" i="41"/>
  <c r="G1284" i="41"/>
  <c r="G1281" i="41"/>
  <c r="G1275" i="41"/>
  <c r="G1274" i="41"/>
  <c r="G1273" i="41"/>
  <c r="G1272" i="41"/>
  <c r="G1271" i="41"/>
  <c r="G1266" i="41"/>
  <c r="G1265" i="41"/>
  <c r="G1264" i="41"/>
  <c r="G1261" i="41"/>
  <c r="G1258" i="41"/>
  <c r="G1257" i="41"/>
  <c r="G1256" i="41"/>
  <c r="G1250" i="41"/>
  <c r="G1249" i="41"/>
  <c r="G1247" i="41"/>
  <c r="G1246" i="41"/>
  <c r="G1245" i="41"/>
  <c r="G1244" i="41"/>
  <c r="G1238" i="41"/>
  <c r="G1237" i="41"/>
  <c r="G1226" i="41"/>
  <c r="G1223" i="41"/>
  <c r="G1215" i="41"/>
  <c r="G1211" i="41"/>
  <c r="G1210" i="41"/>
  <c r="G1204" i="41"/>
  <c r="G1201" i="41"/>
  <c r="G1198" i="41"/>
  <c r="G1192" i="41"/>
  <c r="G1191" i="41"/>
  <c r="G1180" i="41"/>
  <c r="G1177" i="41"/>
  <c r="G1176" i="41"/>
  <c r="G1175" i="41"/>
  <c r="G1169" i="41"/>
  <c r="G1165" i="41"/>
  <c r="G1164" i="41"/>
  <c r="G1158" i="41"/>
  <c r="G1155" i="41"/>
  <c r="G1152" i="41"/>
  <c r="G1147" i="41"/>
  <c r="G1146" i="41"/>
  <c r="G1145" i="41"/>
  <c r="G1134" i="41"/>
  <c r="G1128" i="41"/>
  <c r="G1127" i="41"/>
  <c r="G1123" i="41"/>
  <c r="G1122" i="41"/>
  <c r="G1112" i="41"/>
  <c r="G1109" i="41"/>
  <c r="G1107" i="41"/>
  <c r="G1106" i="41"/>
  <c r="G1100" i="41"/>
  <c r="G1099" i="41"/>
  <c r="G1088" i="41"/>
  <c r="G1087" i="41"/>
  <c r="G1086" i="41"/>
  <c r="G1085" i="41"/>
  <c r="G1084" i="41"/>
  <c r="G1077" i="41"/>
  <c r="G1075" i="41"/>
  <c r="G1074" i="41"/>
  <c r="G1073" i="41"/>
  <c r="G1072" i="41"/>
  <c r="G1066" i="41"/>
  <c r="G1063" i="41"/>
  <c r="G1060" i="41"/>
  <c r="G1054" i="41"/>
  <c r="G1053" i="41"/>
  <c r="G1052" i="41"/>
  <c r="G1051" i="41"/>
  <c r="G1050" i="41"/>
  <c r="G1049" i="41"/>
  <c r="G1048" i="41"/>
  <c r="G1047" i="41"/>
  <c r="G1046" i="41"/>
  <c r="G1045" i="41"/>
  <c r="G1044" i="41"/>
  <c r="G1043" i="41"/>
  <c r="G1042" i="41"/>
  <c r="G1041" i="41"/>
  <c r="G1036" i="41"/>
  <c r="G1035" i="41"/>
  <c r="G1034" i="41"/>
  <c r="G1033" i="41"/>
  <c r="G1031" i="41"/>
  <c r="G1030" i="41"/>
  <c r="G1029" i="41"/>
  <c r="G1028" i="41"/>
  <c r="G1027" i="41"/>
  <c r="G1026" i="41"/>
  <c r="G1025" i="41"/>
  <c r="G1024" i="41"/>
  <c r="G1023" i="41"/>
  <c r="G1022" i="41"/>
  <c r="G1021" i="41"/>
  <c r="G1020" i="41"/>
  <c r="G1019" i="41"/>
  <c r="G1018" i="41"/>
  <c r="G1017" i="41"/>
  <c r="G1016" i="41"/>
  <c r="G1015" i="41"/>
  <c r="G1006" i="41"/>
  <c r="G1005" i="41"/>
  <c r="G1004" i="41"/>
  <c r="G1003" i="41"/>
  <c r="G1002" i="41"/>
  <c r="G1001" i="41"/>
  <c r="G1000" i="41"/>
  <c r="G999" i="41"/>
  <c r="G998" i="41"/>
  <c r="G997" i="41"/>
  <c r="G996" i="41"/>
  <c r="G995" i="41"/>
  <c r="G994" i="41"/>
  <c r="G993" i="41"/>
  <c r="G992" i="41"/>
  <c r="G991" i="41"/>
  <c r="G990" i="41"/>
  <c r="G989" i="41"/>
  <c r="G988" i="41"/>
  <c r="G987" i="41"/>
  <c r="G986" i="41"/>
  <c r="G985" i="41"/>
  <c r="G984" i="41"/>
  <c r="G983" i="41"/>
  <c r="G977" i="41"/>
  <c r="G976" i="41"/>
  <c r="G975" i="41"/>
  <c r="G973" i="41"/>
  <c r="G972" i="41"/>
  <c r="G971" i="41"/>
  <c r="G968" i="41"/>
  <c r="G967" i="41"/>
  <c r="G966" i="41"/>
  <c r="G964" i="41"/>
  <c r="G963" i="41"/>
  <c r="G962" i="41"/>
  <c r="G961" i="41"/>
  <c r="G960" i="41"/>
  <c r="G959" i="41"/>
  <c r="G953" i="41"/>
  <c r="G952" i="41"/>
  <c r="G950" i="41"/>
  <c r="G946" i="41"/>
  <c r="G945" i="41"/>
  <c r="G944" i="41"/>
  <c r="G943" i="41"/>
  <c r="G942" i="41"/>
  <c r="G941" i="41"/>
  <c r="G939" i="41"/>
  <c r="G928" i="41"/>
  <c r="G927" i="41"/>
  <c r="G925" i="41"/>
  <c r="G924" i="41"/>
  <c r="G923" i="41"/>
  <c r="G922" i="41"/>
  <c r="G916" i="41"/>
  <c r="G915" i="41"/>
  <c r="G913" i="41"/>
  <c r="G911" i="41"/>
  <c r="G910" i="41"/>
  <c r="G909" i="41"/>
  <c r="G908" i="41"/>
  <c r="G907" i="41"/>
  <c r="G906" i="41"/>
  <c r="G905" i="41"/>
  <c r="G904" i="41"/>
  <c r="G902" i="41"/>
  <c r="G898" i="41"/>
  <c r="G897" i="41"/>
  <c r="G891" i="41"/>
  <c r="G890" i="41"/>
  <c r="G888" i="41"/>
  <c r="G887" i="41"/>
  <c r="G885" i="41"/>
  <c r="G879" i="41"/>
  <c r="G878" i="41"/>
  <c r="G877" i="41"/>
  <c r="G876" i="41"/>
  <c r="G874" i="41"/>
  <c r="G873" i="41"/>
  <c r="G872" i="41"/>
  <c r="G871" i="41"/>
  <c r="G870" i="41"/>
  <c r="G869" i="41"/>
  <c r="G868" i="41"/>
  <c r="G867" i="41"/>
  <c r="G866" i="41"/>
  <c r="G865" i="41"/>
  <c r="G864" i="41"/>
  <c r="G863" i="41"/>
  <c r="G862" i="41"/>
  <c r="G856" i="41"/>
  <c r="G855" i="41"/>
  <c r="G851" i="41"/>
  <c r="G850" i="41"/>
  <c r="G849" i="41"/>
  <c r="G848" i="41"/>
  <c r="G847" i="41"/>
  <c r="G846" i="41"/>
  <c r="G845" i="41"/>
  <c r="G844" i="41"/>
  <c r="G843" i="41"/>
  <c r="G842" i="41"/>
  <c r="G841" i="41"/>
  <c r="G840" i="41"/>
  <c r="G839" i="41"/>
  <c r="G835" i="41"/>
  <c r="G834" i="41"/>
  <c r="G828" i="41"/>
  <c r="G827" i="41"/>
  <c r="G826" i="41"/>
  <c r="G825" i="41"/>
  <c r="G824" i="41"/>
  <c r="G821" i="41"/>
  <c r="G820" i="41"/>
  <c r="G819" i="41"/>
  <c r="G818" i="41"/>
  <c r="G817" i="41"/>
  <c r="G816" i="41"/>
  <c r="G815" i="41"/>
  <c r="G814" i="41"/>
  <c r="G808" i="41"/>
  <c r="G807" i="41"/>
  <c r="G806" i="41"/>
  <c r="G805" i="41"/>
  <c r="G803" i="41"/>
  <c r="G802" i="41"/>
  <c r="G801" i="41"/>
  <c r="G800" i="41"/>
  <c r="G799" i="41"/>
  <c r="G798" i="41"/>
  <c r="G797" i="41"/>
  <c r="G796" i="41"/>
  <c r="G795" i="41"/>
  <c r="G794" i="41"/>
  <c r="G793" i="41"/>
  <c r="G792" i="41"/>
  <c r="G791" i="41"/>
  <c r="G786" i="41"/>
  <c r="G785" i="41"/>
  <c r="G784" i="41"/>
  <c r="G783" i="41"/>
  <c r="G782" i="41"/>
  <c r="G781" i="41"/>
  <c r="G780" i="41"/>
  <c r="G779" i="41"/>
  <c r="G778" i="41"/>
  <c r="G777" i="41"/>
  <c r="G776" i="41"/>
  <c r="G775" i="41"/>
  <c r="G774" i="41"/>
  <c r="G773" i="41"/>
  <c r="G772" i="41"/>
  <c r="G771" i="41"/>
  <c r="G770" i="41"/>
  <c r="G769" i="41"/>
  <c r="G768" i="41"/>
  <c r="G767" i="41"/>
  <c r="G766" i="41"/>
  <c r="G765" i="41"/>
  <c r="G764" i="41"/>
  <c r="G763" i="41"/>
  <c r="G757" i="41"/>
  <c r="G756" i="41"/>
  <c r="G755" i="41"/>
  <c r="G754" i="41"/>
  <c r="G753" i="41"/>
  <c r="G752" i="41"/>
  <c r="G751" i="41"/>
  <c r="G750" i="41"/>
  <c r="G749" i="41"/>
  <c r="G748" i="41"/>
  <c r="G747" i="41"/>
  <c r="G746" i="41"/>
  <c r="G745" i="41"/>
  <c r="G744" i="41"/>
  <c r="G743" i="41"/>
  <c r="G737" i="41"/>
  <c r="G736" i="41"/>
  <c r="G735" i="41"/>
  <c r="G733" i="41"/>
  <c r="G732" i="41"/>
  <c r="G731" i="41"/>
  <c r="G730" i="41"/>
  <c r="G729" i="41"/>
  <c r="G728" i="41"/>
  <c r="G727" i="41"/>
  <c r="G723" i="41"/>
  <c r="G722" i="41"/>
  <c r="G721" i="41"/>
  <c r="G717" i="41"/>
  <c r="G716" i="41"/>
  <c r="G715" i="41"/>
  <c r="G714" i="41"/>
  <c r="G713" i="41"/>
  <c r="G712" i="41"/>
  <c r="G707" i="41"/>
  <c r="G701" i="41"/>
  <c r="G700" i="41"/>
  <c r="G697" i="41"/>
  <c r="G696" i="41"/>
  <c r="G693" i="41"/>
  <c r="G688" i="41"/>
  <c r="G687" i="41"/>
  <c r="G686" i="41"/>
  <c r="G685" i="41"/>
  <c r="G684" i="41"/>
  <c r="G683" i="41"/>
  <c r="G682" i="41"/>
  <c r="G681" i="41"/>
  <c r="G680" i="41"/>
  <c r="G679" i="41"/>
  <c r="G678" i="41"/>
  <c r="G670" i="41"/>
  <c r="G669" i="41"/>
  <c r="G668" i="41"/>
  <c r="G667" i="41"/>
  <c r="G666" i="41"/>
  <c r="G665" i="41"/>
  <c r="G664" i="41"/>
  <c r="G663" i="41"/>
  <c r="G662" i="41"/>
  <c r="G657" i="41"/>
  <c r="G651" i="41"/>
  <c r="G650" i="41"/>
  <c r="G649" i="41"/>
  <c r="G647" i="41"/>
  <c r="G646" i="41"/>
  <c r="G643" i="41"/>
  <c r="G637" i="41"/>
  <c r="G636" i="41"/>
  <c r="G635" i="41"/>
  <c r="G634" i="41"/>
  <c r="G633" i="41"/>
  <c r="G632" i="41"/>
  <c r="G631" i="41"/>
  <c r="G630" i="41"/>
  <c r="G629" i="41"/>
  <c r="G628" i="41"/>
  <c r="G627" i="41"/>
  <c r="G626" i="41"/>
  <c r="G625" i="41"/>
  <c r="G624" i="41"/>
  <c r="G623" i="41"/>
  <c r="G622" i="41"/>
  <c r="G621" i="41"/>
  <c r="G620" i="41"/>
  <c r="G617" i="41"/>
  <c r="G616" i="41"/>
  <c r="G615" i="41"/>
  <c r="G609" i="41"/>
  <c r="G608" i="41"/>
  <c r="G607" i="41"/>
  <c r="G606" i="41"/>
  <c r="G605" i="41"/>
  <c r="G604" i="41"/>
  <c r="G603" i="41"/>
  <c r="G602" i="41"/>
  <c r="G601" i="41"/>
  <c r="G600" i="41"/>
  <c r="G599" i="41"/>
  <c r="G598" i="41"/>
  <c r="G597" i="41"/>
  <c r="G595" i="41"/>
  <c r="G586" i="41"/>
  <c r="G585" i="41"/>
  <c r="G584" i="41"/>
  <c r="G583" i="41"/>
  <c r="G582" i="41"/>
  <c r="G579" i="41"/>
  <c r="G578" i="41"/>
  <c r="G577" i="41"/>
  <c r="G576" i="41"/>
  <c r="G575" i="41"/>
  <c r="G572" i="41"/>
  <c r="G566" i="41"/>
  <c r="G565" i="41"/>
  <c r="G564" i="41"/>
  <c r="G563" i="41"/>
  <c r="G562" i="41"/>
  <c r="G561" i="41"/>
  <c r="G560" i="41"/>
  <c r="G559" i="41"/>
  <c r="G558" i="41"/>
  <c r="G557" i="41"/>
  <c r="G556" i="41"/>
  <c r="G555" i="41"/>
  <c r="G554" i="41"/>
  <c r="G553" i="41"/>
  <c r="G552" i="41"/>
  <c r="G551" i="41"/>
  <c r="G550" i="41"/>
  <c r="G549" i="41"/>
  <c r="G547" i="41"/>
  <c r="G546" i="41"/>
  <c r="G545" i="41"/>
  <c r="G544" i="41"/>
  <c r="G538" i="41"/>
  <c r="G537" i="41"/>
  <c r="G536" i="41"/>
  <c r="G535" i="41"/>
  <c r="G534" i="41"/>
  <c r="G533" i="41"/>
  <c r="G532" i="41"/>
  <c r="G531" i="41"/>
  <c r="G530" i="41"/>
  <c r="G529" i="41"/>
  <c r="G528" i="41"/>
  <c r="G527" i="41"/>
  <c r="G526" i="41"/>
  <c r="G515" i="41"/>
  <c r="G514" i="41"/>
  <c r="G513" i="41"/>
  <c r="G512" i="41"/>
  <c r="G511" i="41"/>
  <c r="G509" i="41"/>
  <c r="G508" i="41"/>
  <c r="G507" i="41"/>
  <c r="G506" i="41"/>
  <c r="G505" i="41"/>
  <c r="G504" i="41"/>
  <c r="G501" i="41"/>
  <c r="G495" i="41"/>
  <c r="G494" i="41"/>
  <c r="G493" i="41"/>
  <c r="G492" i="41"/>
  <c r="G491" i="41"/>
  <c r="G490" i="41"/>
  <c r="G489" i="41"/>
  <c r="G488" i="41"/>
  <c r="G487" i="41"/>
  <c r="G486" i="41"/>
  <c r="G485" i="41"/>
  <c r="G484" i="41"/>
  <c r="G483" i="41"/>
  <c r="G482" i="41"/>
  <c r="G481" i="41"/>
  <c r="G480" i="41"/>
  <c r="G479" i="41"/>
  <c r="G478" i="41"/>
  <c r="G476" i="41"/>
  <c r="G475" i="41"/>
  <c r="G474" i="41"/>
  <c r="G467" i="41"/>
  <c r="G466" i="41"/>
  <c r="G465" i="41"/>
  <c r="G464" i="41"/>
  <c r="G463" i="41"/>
  <c r="G462" i="41"/>
  <c r="G461" i="41"/>
  <c r="G460" i="41"/>
  <c r="G459" i="41"/>
  <c r="G458" i="41"/>
  <c r="G457" i="41"/>
  <c r="G456" i="41"/>
  <c r="G455" i="41"/>
  <c r="G444" i="41"/>
  <c r="G443" i="41"/>
  <c r="G442" i="41"/>
  <c r="G441" i="41"/>
  <c r="G440" i="41"/>
  <c r="G437" i="41"/>
  <c r="G436" i="41"/>
  <c r="G435" i="41"/>
  <c r="G434" i="41"/>
  <c r="G433" i="41"/>
  <c r="G430" i="41"/>
  <c r="G424" i="41"/>
  <c r="G423" i="41"/>
  <c r="G422" i="41"/>
  <c r="G421" i="41"/>
  <c r="G419" i="41"/>
  <c r="G418" i="41"/>
  <c r="G417" i="41"/>
  <c r="G416" i="41"/>
  <c r="G415" i="41"/>
  <c r="G414" i="41"/>
  <c r="G413" i="41"/>
  <c r="G412" i="41"/>
  <c r="G411" i="41"/>
  <c r="G410" i="41"/>
  <c r="G409" i="41"/>
  <c r="G408" i="41"/>
  <c r="G407" i="41"/>
  <c r="G403" i="41"/>
  <c r="G402" i="41"/>
  <c r="G401" i="41"/>
  <c r="G400" i="41"/>
  <c r="G396" i="41"/>
  <c r="G395" i="41"/>
  <c r="G394" i="41"/>
  <c r="G393" i="41"/>
  <c r="G392" i="41"/>
  <c r="G391" i="41"/>
  <c r="G390" i="41"/>
  <c r="G389" i="41"/>
  <c r="G388" i="41"/>
  <c r="G387" i="41"/>
  <c r="G386" i="41"/>
  <c r="G385" i="41"/>
  <c r="G384" i="41"/>
  <c r="G373" i="41"/>
  <c r="G372" i="41"/>
  <c r="G371" i="41"/>
  <c r="G370" i="41"/>
  <c r="G369" i="41"/>
  <c r="G367" i="41"/>
  <c r="G366" i="41"/>
  <c r="G365" i="41"/>
  <c r="G364" i="41"/>
  <c r="G363" i="41"/>
  <c r="G362" i="41"/>
  <c r="G359" i="41"/>
  <c r="G353" i="41"/>
  <c r="G352" i="41"/>
  <c r="G351" i="41"/>
  <c r="G350" i="41"/>
  <c r="G348" i="41"/>
  <c r="G339" i="41"/>
  <c r="G336" i="41"/>
  <c r="G335" i="41"/>
  <c r="G334" i="41"/>
  <c r="G328" i="41"/>
  <c r="G325" i="41"/>
  <c r="G322" i="41"/>
  <c r="G316" i="41"/>
  <c r="G315" i="41"/>
  <c r="G314" i="41"/>
  <c r="G313" i="41"/>
  <c r="G302" i="41"/>
  <c r="G300" i="41"/>
  <c r="G299" i="41"/>
  <c r="G298" i="41"/>
  <c r="G291" i="41"/>
  <c r="G290" i="41"/>
  <c r="G288" i="41"/>
  <c r="G285" i="41"/>
  <c r="G280" i="41"/>
  <c r="G279" i="41"/>
  <c r="G278" i="41"/>
  <c r="G276" i="41"/>
  <c r="G275" i="41"/>
  <c r="G274" i="41"/>
  <c r="G273" i="41"/>
  <c r="G271" i="41"/>
  <c r="G270" i="41"/>
  <c r="G269" i="41"/>
  <c r="G268" i="41"/>
  <c r="G267" i="41"/>
  <c r="G266" i="41"/>
  <c r="G265" i="41"/>
  <c r="G264" i="41"/>
  <c r="G263" i="41"/>
  <c r="G262" i="41"/>
  <c r="G259" i="41"/>
  <c r="G258" i="41"/>
  <c r="G254" i="41"/>
  <c r="G251" i="41"/>
  <c r="G248" i="41"/>
  <c r="G247" i="41"/>
  <c r="G246" i="41"/>
  <c r="G245" i="41"/>
  <c r="G244" i="41"/>
  <c r="G243" i="41"/>
  <c r="G242" i="41"/>
  <c r="G241" i="41"/>
  <c r="G240" i="41"/>
  <c r="G239" i="41"/>
  <c r="G238" i="41"/>
  <c r="G228" i="41"/>
  <c r="G226" i="41"/>
  <c r="G225" i="41"/>
  <c r="G224" i="41"/>
  <c r="G221" i="41"/>
  <c r="G220" i="41"/>
  <c r="G218" i="41"/>
  <c r="G217" i="41"/>
  <c r="G214" i="41"/>
  <c r="G208" i="41"/>
  <c r="G207" i="41"/>
  <c r="G206" i="41"/>
  <c r="G205" i="41"/>
  <c r="G204" i="41"/>
  <c r="G203" i="41"/>
  <c r="G202" i="41"/>
  <c r="G201" i="41"/>
  <c r="G200" i="41"/>
  <c r="G199" i="41"/>
  <c r="G192" i="41"/>
  <c r="G191" i="41"/>
  <c r="G190" i="41"/>
  <c r="G188" i="41"/>
  <c r="G187" i="41"/>
  <c r="G186" i="41"/>
  <c r="G185" i="41"/>
  <c r="G184" i="41"/>
  <c r="G183" i="41"/>
  <c r="G172" i="41"/>
  <c r="G171" i="41"/>
  <c r="G168" i="41"/>
  <c r="G167" i="41"/>
  <c r="G164" i="41"/>
  <c r="G162" i="41"/>
  <c r="G158" i="41"/>
  <c r="G157" i="41"/>
  <c r="G156" i="41"/>
  <c r="G154" i="41"/>
  <c r="G153" i="41"/>
  <c r="G152" i="41"/>
  <c r="G146" i="41"/>
  <c r="G145" i="41"/>
  <c r="G144" i="41"/>
  <c r="G143" i="41"/>
  <c r="G141" i="41"/>
  <c r="G140" i="41"/>
  <c r="G139" i="41"/>
  <c r="G132" i="41"/>
  <c r="G130" i="41"/>
  <c r="G129" i="41"/>
  <c r="G128" i="41"/>
  <c r="G127" i="41"/>
  <c r="G126" i="41"/>
  <c r="G120" i="41"/>
  <c r="G119" i="41"/>
  <c r="G118" i="41"/>
  <c r="G116" i="41"/>
  <c r="G115" i="41"/>
  <c r="G114" i="41"/>
  <c r="G108" i="41"/>
  <c r="G105" i="41"/>
  <c r="G103" i="41"/>
  <c r="G94" i="41"/>
  <c r="G92" i="41"/>
  <c r="G91" i="41"/>
  <c r="G90" i="41"/>
  <c r="G89" i="41"/>
  <c r="G88" i="41"/>
  <c r="G82" i="41"/>
  <c r="G81" i="41"/>
  <c r="G80" i="41"/>
  <c r="G79" i="41"/>
  <c r="G78" i="41"/>
  <c r="G74" i="41"/>
  <c r="G73" i="41"/>
  <c r="G72" i="41"/>
  <c r="G71" i="41"/>
  <c r="G67" i="41"/>
  <c r="G56" i="41"/>
  <c r="G55" i="41"/>
  <c r="G53" i="41"/>
  <c r="G51" i="41"/>
  <c r="G50" i="41"/>
  <c r="G45" i="41"/>
  <c r="G44" i="41"/>
  <c r="G43" i="41"/>
  <c r="G42" i="41"/>
  <c r="G40" i="41"/>
  <c r="G35" i="41"/>
  <c r="G34" i="41"/>
  <c r="G33" i="41"/>
  <c r="G32" i="41"/>
  <c r="G31" i="41"/>
  <c r="G30" i="41"/>
  <c r="G29" i="41"/>
  <c r="G24" i="41"/>
  <c r="G18" i="41"/>
  <c r="G17" i="41"/>
  <c r="G15" i="41"/>
  <c r="G14" i="41"/>
  <c r="G13" i="41"/>
  <c r="G12" i="41"/>
  <c r="F21" i="42"/>
  <c r="F147" i="42"/>
  <c r="F146" i="42"/>
  <c r="F145" i="42"/>
  <c r="F144" i="42"/>
  <c r="F143" i="42"/>
  <c r="F142" i="42"/>
  <c r="F141" i="42"/>
  <c r="F140" i="42"/>
  <c r="F139" i="42"/>
  <c r="F138" i="42"/>
  <c r="F137" i="42"/>
  <c r="F136" i="42"/>
  <c r="F135" i="42"/>
  <c r="F134" i="42"/>
  <c r="F133" i="42"/>
  <c r="F132" i="42"/>
  <c r="F131" i="42"/>
  <c r="F130" i="42"/>
  <c r="F129" i="42"/>
  <c r="F128" i="42"/>
  <c r="F127" i="42"/>
  <c r="F126" i="42"/>
  <c r="F125" i="42"/>
  <c r="F124" i="42"/>
  <c r="F123" i="42"/>
  <c r="F122" i="42"/>
  <c r="F121" i="42"/>
  <c r="F120" i="42"/>
  <c r="F119" i="42"/>
  <c r="F118" i="42"/>
  <c r="F117" i="42"/>
  <c r="F116" i="42"/>
  <c r="F115" i="42"/>
  <c r="F114" i="42"/>
  <c r="F113" i="42"/>
  <c r="F112" i="42"/>
  <c r="F111" i="42"/>
  <c r="F110" i="42"/>
  <c r="F109" i="42"/>
  <c r="F108" i="42"/>
  <c r="F107" i="42"/>
  <c r="F106" i="42"/>
  <c r="F105" i="42"/>
  <c r="F104" i="42"/>
  <c r="F103" i="42"/>
  <c r="F102" i="42"/>
  <c r="F101" i="42"/>
  <c r="F100" i="42"/>
  <c r="F99" i="42"/>
  <c r="F98" i="42"/>
  <c r="F97" i="42"/>
  <c r="F96" i="42"/>
  <c r="F95" i="42"/>
  <c r="F94" i="42"/>
  <c r="F93" i="42"/>
  <c r="F92" i="42"/>
  <c r="F91" i="42"/>
  <c r="F90" i="42"/>
  <c r="F89" i="42"/>
  <c r="F88" i="42"/>
  <c r="F87" i="42"/>
  <c r="F86" i="42"/>
  <c r="F85" i="42"/>
  <c r="F84" i="42"/>
  <c r="F83" i="42"/>
  <c r="F82" i="42"/>
  <c r="F81" i="42"/>
  <c r="F80" i="42"/>
  <c r="F79" i="42"/>
  <c r="F78" i="42"/>
  <c r="F77" i="42"/>
  <c r="F76" i="42"/>
  <c r="F75" i="42"/>
  <c r="F74" i="42"/>
  <c r="F73" i="42"/>
  <c r="F72" i="42"/>
  <c r="F71" i="42"/>
  <c r="F70" i="42"/>
  <c r="F69" i="42"/>
  <c r="F68" i="42"/>
  <c r="F67" i="42"/>
  <c r="F66" i="42"/>
  <c r="F65" i="42"/>
  <c r="F64" i="42"/>
  <c r="F63" i="42"/>
  <c r="F62" i="42"/>
  <c r="F61" i="42"/>
  <c r="F60" i="42"/>
  <c r="F59" i="42"/>
  <c r="F58" i="42"/>
  <c r="F57" i="42"/>
  <c r="F56" i="42"/>
  <c r="F55" i="42"/>
  <c r="F54" i="42"/>
  <c r="F53" i="42"/>
  <c r="F52" i="42"/>
  <c r="F51" i="42"/>
  <c r="F50" i="42"/>
  <c r="F49" i="42"/>
  <c r="F48" i="42"/>
  <c r="F47" i="42"/>
  <c r="F46" i="42"/>
  <c r="F45" i="42"/>
  <c r="F44" i="42"/>
  <c r="F43" i="42"/>
  <c r="F42" i="42"/>
  <c r="F41" i="42"/>
  <c r="F40" i="42"/>
  <c r="F39" i="42"/>
  <c r="F38" i="42"/>
  <c r="F37" i="42"/>
  <c r="F36" i="42"/>
  <c r="F35" i="42"/>
  <c r="F34" i="42"/>
  <c r="F33" i="42"/>
  <c r="F32" i="42"/>
  <c r="F31" i="42"/>
  <c r="F30" i="42"/>
  <c r="F29" i="42"/>
  <c r="F28" i="42"/>
  <c r="F27" i="42"/>
  <c r="F26" i="42"/>
  <c r="F25" i="42"/>
  <c r="F24" i="42"/>
  <c r="F23" i="42"/>
  <c r="F22" i="42"/>
  <c r="F20" i="42"/>
  <c r="F19" i="42"/>
  <c r="F18" i="42"/>
  <c r="F17" i="42"/>
  <c r="F16" i="42"/>
  <c r="F15" i="42"/>
  <c r="F14" i="42"/>
  <c r="F13" i="42"/>
  <c r="F12" i="42"/>
  <c r="F11" i="42"/>
  <c r="F10" i="42"/>
  <c r="F9" i="42"/>
  <c r="F8" i="42"/>
  <c r="F7" i="42"/>
  <c r="F6" i="42"/>
  <c r="F5" i="42"/>
  <c r="F4" i="42"/>
  <c r="AI147" i="42"/>
  <c r="AJ147" i="42" s="1"/>
  <c r="AK147" i="42" s="1"/>
  <c r="AL147" i="42" s="1"/>
  <c r="AM147" i="42" s="1"/>
  <c r="AN147" i="42" s="1"/>
  <c r="AO147" i="42" s="1"/>
  <c r="AP147" i="42" s="1"/>
  <c r="AQ147" i="42" s="1"/>
  <c r="AR147" i="42" s="1"/>
  <c r="AS147" i="42" s="1"/>
  <c r="AT147" i="42" s="1"/>
  <c r="AU147" i="42" s="1"/>
  <c r="AV147" i="42" s="1"/>
  <c r="AW147" i="42" s="1"/>
  <c r="AX147" i="42" s="1"/>
  <c r="AY147" i="42" s="1"/>
  <c r="AZ147" i="42" s="1"/>
  <c r="BA147" i="42" s="1"/>
  <c r="BB147" i="42" s="1"/>
  <c r="BC147" i="42" s="1"/>
  <c r="BD147" i="42" s="1"/>
  <c r="BE147" i="42" s="1"/>
  <c r="BF147" i="42" s="1"/>
  <c r="BG147" i="42" s="1"/>
  <c r="BH147" i="42" s="1"/>
  <c r="BI147" i="42" s="1"/>
  <c r="BJ147" i="42" s="1"/>
  <c r="BK147" i="42" s="1"/>
  <c r="BL147" i="42" s="1"/>
  <c r="BM147" i="42" s="1"/>
  <c r="BN147" i="42" s="1"/>
  <c r="BO147" i="42" s="1"/>
  <c r="BP147" i="42" s="1"/>
  <c r="BQ147" i="42" s="1"/>
  <c r="BR147" i="42" s="1"/>
  <c r="BS147" i="42" s="1"/>
  <c r="BT147" i="42" s="1"/>
  <c r="BU147" i="42" s="1"/>
  <c r="BV147" i="42" s="1"/>
  <c r="BW147" i="42" s="1"/>
  <c r="BX147" i="42" s="1"/>
  <c r="BY147" i="42" s="1"/>
  <c r="BZ147" i="42" s="1"/>
  <c r="CA147" i="42" s="1"/>
  <c r="CB147" i="42" s="1"/>
  <c r="CC147" i="42" s="1"/>
  <c r="CD147" i="42" s="1"/>
  <c r="CE147" i="42" s="1"/>
  <c r="CF147" i="42" s="1"/>
  <c r="AI146" i="42"/>
  <c r="AJ146" i="42" s="1"/>
  <c r="AK146" i="42" s="1"/>
  <c r="AL146" i="42" s="1"/>
  <c r="AM146" i="42" s="1"/>
  <c r="AN146" i="42" s="1"/>
  <c r="AO146" i="42" s="1"/>
  <c r="AP146" i="42" s="1"/>
  <c r="AQ146" i="42" s="1"/>
  <c r="AR146" i="42" s="1"/>
  <c r="AS146" i="42" s="1"/>
  <c r="AT146" i="42" s="1"/>
  <c r="AU146" i="42" s="1"/>
  <c r="AV146" i="42" s="1"/>
  <c r="AW146" i="42" s="1"/>
  <c r="AX146" i="42" s="1"/>
  <c r="AY146" i="42" s="1"/>
  <c r="AZ146" i="42" s="1"/>
  <c r="BA146" i="42" s="1"/>
  <c r="BB146" i="42" s="1"/>
  <c r="BC146" i="42" s="1"/>
  <c r="BD146" i="42" s="1"/>
  <c r="BE146" i="42" s="1"/>
  <c r="BF146" i="42" s="1"/>
  <c r="BG146" i="42" s="1"/>
  <c r="BH146" i="42" s="1"/>
  <c r="BI146" i="42" s="1"/>
  <c r="BJ146" i="42" s="1"/>
  <c r="BK146" i="42" s="1"/>
  <c r="BL146" i="42" s="1"/>
  <c r="BM146" i="42" s="1"/>
  <c r="BN146" i="42" s="1"/>
  <c r="BO146" i="42" s="1"/>
  <c r="BP146" i="42" s="1"/>
  <c r="BQ146" i="42" s="1"/>
  <c r="BR146" i="42" s="1"/>
  <c r="BS146" i="42" s="1"/>
  <c r="BT146" i="42" s="1"/>
  <c r="BU146" i="42" s="1"/>
  <c r="BV146" i="42" s="1"/>
  <c r="BW146" i="42" s="1"/>
  <c r="BX146" i="42" s="1"/>
  <c r="BY146" i="42" s="1"/>
  <c r="BZ146" i="42" s="1"/>
  <c r="CA146" i="42" s="1"/>
  <c r="CB146" i="42" s="1"/>
  <c r="CC146" i="42" s="1"/>
  <c r="CD146" i="42" s="1"/>
  <c r="CE146" i="42" s="1"/>
  <c r="CF146" i="42" s="1"/>
  <c r="AI145" i="42"/>
  <c r="AJ145" i="42" s="1"/>
  <c r="AK145" i="42" s="1"/>
  <c r="AL145" i="42" s="1"/>
  <c r="AM145" i="42" s="1"/>
  <c r="AN145" i="42" s="1"/>
  <c r="AO145" i="42" s="1"/>
  <c r="AP145" i="42" s="1"/>
  <c r="AQ145" i="42" s="1"/>
  <c r="AR145" i="42" s="1"/>
  <c r="AS145" i="42" s="1"/>
  <c r="AT145" i="42" s="1"/>
  <c r="AU145" i="42" s="1"/>
  <c r="AV145" i="42" s="1"/>
  <c r="AW145" i="42" s="1"/>
  <c r="AX145" i="42" s="1"/>
  <c r="AY145" i="42" s="1"/>
  <c r="AZ145" i="42" s="1"/>
  <c r="BA145" i="42" s="1"/>
  <c r="BB145" i="42" s="1"/>
  <c r="BC145" i="42" s="1"/>
  <c r="BD145" i="42" s="1"/>
  <c r="BE145" i="42" s="1"/>
  <c r="BF145" i="42" s="1"/>
  <c r="BG145" i="42" s="1"/>
  <c r="BH145" i="42" s="1"/>
  <c r="BI145" i="42" s="1"/>
  <c r="BJ145" i="42" s="1"/>
  <c r="BK145" i="42" s="1"/>
  <c r="BL145" i="42" s="1"/>
  <c r="BM145" i="42" s="1"/>
  <c r="BN145" i="42" s="1"/>
  <c r="BO145" i="42" s="1"/>
  <c r="BP145" i="42" s="1"/>
  <c r="BQ145" i="42" s="1"/>
  <c r="BR145" i="42" s="1"/>
  <c r="BS145" i="42" s="1"/>
  <c r="BT145" i="42" s="1"/>
  <c r="BU145" i="42" s="1"/>
  <c r="BV145" i="42" s="1"/>
  <c r="BW145" i="42" s="1"/>
  <c r="BX145" i="42" s="1"/>
  <c r="BY145" i="42" s="1"/>
  <c r="BZ145" i="42" s="1"/>
  <c r="CA145" i="42" s="1"/>
  <c r="CB145" i="42" s="1"/>
  <c r="CC145" i="42" s="1"/>
  <c r="CD145" i="42" s="1"/>
  <c r="CE145" i="42" s="1"/>
  <c r="CF145" i="42" s="1"/>
  <c r="AI144" i="42"/>
  <c r="AJ144" i="42" s="1"/>
  <c r="AK144" i="42" s="1"/>
  <c r="AL144" i="42" s="1"/>
  <c r="AM144" i="42" s="1"/>
  <c r="AN144" i="42" s="1"/>
  <c r="AO144" i="42" s="1"/>
  <c r="AP144" i="42" s="1"/>
  <c r="AQ144" i="42" s="1"/>
  <c r="AR144" i="42" s="1"/>
  <c r="AS144" i="42" s="1"/>
  <c r="AT144" i="42" s="1"/>
  <c r="AU144" i="42" s="1"/>
  <c r="AV144" i="42" s="1"/>
  <c r="AW144" i="42" s="1"/>
  <c r="AX144" i="42" s="1"/>
  <c r="AY144" i="42" s="1"/>
  <c r="AZ144" i="42" s="1"/>
  <c r="BA144" i="42" s="1"/>
  <c r="BB144" i="42" s="1"/>
  <c r="BC144" i="42" s="1"/>
  <c r="BD144" i="42" s="1"/>
  <c r="BE144" i="42" s="1"/>
  <c r="BF144" i="42" s="1"/>
  <c r="BG144" i="42" s="1"/>
  <c r="BH144" i="42" s="1"/>
  <c r="BI144" i="42" s="1"/>
  <c r="BJ144" i="42" s="1"/>
  <c r="BK144" i="42" s="1"/>
  <c r="BL144" i="42" s="1"/>
  <c r="BM144" i="42" s="1"/>
  <c r="BN144" i="42" s="1"/>
  <c r="BO144" i="42" s="1"/>
  <c r="BP144" i="42" s="1"/>
  <c r="BQ144" i="42" s="1"/>
  <c r="BR144" i="42" s="1"/>
  <c r="BS144" i="42" s="1"/>
  <c r="BT144" i="42" s="1"/>
  <c r="BU144" i="42" s="1"/>
  <c r="BV144" i="42" s="1"/>
  <c r="BW144" i="42" s="1"/>
  <c r="BX144" i="42" s="1"/>
  <c r="BY144" i="42" s="1"/>
  <c r="BZ144" i="42" s="1"/>
  <c r="CA144" i="42" s="1"/>
  <c r="CB144" i="42" s="1"/>
  <c r="CC144" i="42" s="1"/>
  <c r="CD144" i="42" s="1"/>
  <c r="CE144" i="42" s="1"/>
  <c r="CF144" i="42" s="1"/>
  <c r="AI143" i="42"/>
  <c r="AJ143" i="42" s="1"/>
  <c r="AK143" i="42" s="1"/>
  <c r="AL143" i="42" s="1"/>
  <c r="AM143" i="42" s="1"/>
  <c r="AN143" i="42" s="1"/>
  <c r="AO143" i="42" s="1"/>
  <c r="AP143" i="42" s="1"/>
  <c r="AQ143" i="42" s="1"/>
  <c r="AR143" i="42" s="1"/>
  <c r="AS143" i="42" s="1"/>
  <c r="AT143" i="42" s="1"/>
  <c r="AU143" i="42" s="1"/>
  <c r="AV143" i="42" s="1"/>
  <c r="AW143" i="42" s="1"/>
  <c r="AX143" i="42" s="1"/>
  <c r="AY143" i="42" s="1"/>
  <c r="AZ143" i="42" s="1"/>
  <c r="BA143" i="42" s="1"/>
  <c r="BB143" i="42" s="1"/>
  <c r="BC143" i="42" s="1"/>
  <c r="BD143" i="42" s="1"/>
  <c r="BE143" i="42" s="1"/>
  <c r="BF143" i="42" s="1"/>
  <c r="BG143" i="42" s="1"/>
  <c r="BH143" i="42" s="1"/>
  <c r="BI143" i="42" s="1"/>
  <c r="BJ143" i="42" s="1"/>
  <c r="BK143" i="42" s="1"/>
  <c r="BL143" i="42" s="1"/>
  <c r="BM143" i="42" s="1"/>
  <c r="BN143" i="42" s="1"/>
  <c r="BO143" i="42" s="1"/>
  <c r="BP143" i="42" s="1"/>
  <c r="BQ143" i="42" s="1"/>
  <c r="BR143" i="42" s="1"/>
  <c r="BS143" i="42" s="1"/>
  <c r="BT143" i="42" s="1"/>
  <c r="BU143" i="42" s="1"/>
  <c r="BV143" i="42" s="1"/>
  <c r="BW143" i="42" s="1"/>
  <c r="BX143" i="42" s="1"/>
  <c r="BY143" i="42" s="1"/>
  <c r="BZ143" i="42" s="1"/>
  <c r="CA143" i="42" s="1"/>
  <c r="CB143" i="42" s="1"/>
  <c r="CC143" i="42" s="1"/>
  <c r="CD143" i="42" s="1"/>
  <c r="CE143" i="42" s="1"/>
  <c r="CF143" i="42" s="1"/>
  <c r="AI142" i="42"/>
  <c r="AJ142" i="42" s="1"/>
  <c r="AK142" i="42" s="1"/>
  <c r="AL142" i="42" s="1"/>
  <c r="AM142" i="42" s="1"/>
  <c r="AN142" i="42" s="1"/>
  <c r="AO142" i="42" s="1"/>
  <c r="AP142" i="42" s="1"/>
  <c r="AQ142" i="42" s="1"/>
  <c r="AR142" i="42" s="1"/>
  <c r="AS142" i="42" s="1"/>
  <c r="AT142" i="42" s="1"/>
  <c r="AU142" i="42" s="1"/>
  <c r="AV142" i="42" s="1"/>
  <c r="AW142" i="42" s="1"/>
  <c r="AX142" i="42" s="1"/>
  <c r="AY142" i="42" s="1"/>
  <c r="AZ142" i="42" s="1"/>
  <c r="BA142" i="42" s="1"/>
  <c r="BB142" i="42" s="1"/>
  <c r="BC142" i="42" s="1"/>
  <c r="BD142" i="42" s="1"/>
  <c r="BE142" i="42" s="1"/>
  <c r="BF142" i="42" s="1"/>
  <c r="BG142" i="42" s="1"/>
  <c r="BH142" i="42" s="1"/>
  <c r="BI142" i="42" s="1"/>
  <c r="BJ142" i="42" s="1"/>
  <c r="BK142" i="42" s="1"/>
  <c r="BL142" i="42" s="1"/>
  <c r="BM142" i="42" s="1"/>
  <c r="BN142" i="42" s="1"/>
  <c r="BO142" i="42" s="1"/>
  <c r="BP142" i="42" s="1"/>
  <c r="BQ142" i="42" s="1"/>
  <c r="BR142" i="42" s="1"/>
  <c r="BS142" i="42" s="1"/>
  <c r="BT142" i="42" s="1"/>
  <c r="BU142" i="42" s="1"/>
  <c r="BV142" i="42" s="1"/>
  <c r="BW142" i="42" s="1"/>
  <c r="BX142" i="42" s="1"/>
  <c r="BY142" i="42" s="1"/>
  <c r="BZ142" i="42" s="1"/>
  <c r="CA142" i="42" s="1"/>
  <c r="CB142" i="42" s="1"/>
  <c r="CC142" i="42" s="1"/>
  <c r="CD142" i="42" s="1"/>
  <c r="CE142" i="42" s="1"/>
  <c r="CF142" i="42" s="1"/>
  <c r="AI141" i="42"/>
  <c r="AJ141" i="42" s="1"/>
  <c r="AK141" i="42" s="1"/>
  <c r="AL141" i="42" s="1"/>
  <c r="AM141" i="42" s="1"/>
  <c r="AN141" i="42" s="1"/>
  <c r="AO141" i="42" s="1"/>
  <c r="AP141" i="42" s="1"/>
  <c r="AQ141" i="42" s="1"/>
  <c r="AR141" i="42" s="1"/>
  <c r="AS141" i="42" s="1"/>
  <c r="AT141" i="42" s="1"/>
  <c r="AU141" i="42" s="1"/>
  <c r="AV141" i="42" s="1"/>
  <c r="AW141" i="42" s="1"/>
  <c r="AX141" i="42" s="1"/>
  <c r="AY141" i="42" s="1"/>
  <c r="AZ141" i="42" s="1"/>
  <c r="BA141" i="42" s="1"/>
  <c r="BB141" i="42" s="1"/>
  <c r="BC141" i="42" s="1"/>
  <c r="BD141" i="42" s="1"/>
  <c r="BE141" i="42" s="1"/>
  <c r="BF141" i="42" s="1"/>
  <c r="BG141" i="42" s="1"/>
  <c r="BH141" i="42" s="1"/>
  <c r="BI141" i="42" s="1"/>
  <c r="BJ141" i="42" s="1"/>
  <c r="BK141" i="42" s="1"/>
  <c r="BL141" i="42" s="1"/>
  <c r="BM141" i="42" s="1"/>
  <c r="BN141" i="42" s="1"/>
  <c r="BO141" i="42" s="1"/>
  <c r="BP141" i="42" s="1"/>
  <c r="BQ141" i="42" s="1"/>
  <c r="BR141" i="42" s="1"/>
  <c r="BS141" i="42" s="1"/>
  <c r="BT141" i="42" s="1"/>
  <c r="BU141" i="42" s="1"/>
  <c r="BV141" i="42" s="1"/>
  <c r="BW141" i="42" s="1"/>
  <c r="BX141" i="42" s="1"/>
  <c r="BY141" i="42" s="1"/>
  <c r="BZ141" i="42" s="1"/>
  <c r="CA141" i="42" s="1"/>
  <c r="CB141" i="42" s="1"/>
  <c r="CC141" i="42" s="1"/>
  <c r="CD141" i="42" s="1"/>
  <c r="CE141" i="42" s="1"/>
  <c r="CF141" i="42" s="1"/>
  <c r="AI140" i="42"/>
  <c r="AJ140" i="42" s="1"/>
  <c r="AK140" i="42" s="1"/>
  <c r="AL140" i="42" s="1"/>
  <c r="AM140" i="42" s="1"/>
  <c r="AN140" i="42" s="1"/>
  <c r="AO140" i="42" s="1"/>
  <c r="AP140" i="42" s="1"/>
  <c r="AQ140" i="42" s="1"/>
  <c r="AR140" i="42" s="1"/>
  <c r="AS140" i="42" s="1"/>
  <c r="AT140" i="42" s="1"/>
  <c r="AU140" i="42" s="1"/>
  <c r="AV140" i="42" s="1"/>
  <c r="AW140" i="42" s="1"/>
  <c r="AX140" i="42" s="1"/>
  <c r="AY140" i="42" s="1"/>
  <c r="AZ140" i="42" s="1"/>
  <c r="BA140" i="42" s="1"/>
  <c r="BB140" i="42" s="1"/>
  <c r="BC140" i="42" s="1"/>
  <c r="BD140" i="42" s="1"/>
  <c r="BE140" i="42" s="1"/>
  <c r="BF140" i="42" s="1"/>
  <c r="BG140" i="42" s="1"/>
  <c r="BH140" i="42" s="1"/>
  <c r="BI140" i="42" s="1"/>
  <c r="BJ140" i="42" s="1"/>
  <c r="BK140" i="42" s="1"/>
  <c r="BL140" i="42" s="1"/>
  <c r="BM140" i="42" s="1"/>
  <c r="BN140" i="42" s="1"/>
  <c r="BO140" i="42" s="1"/>
  <c r="BP140" i="42" s="1"/>
  <c r="BQ140" i="42" s="1"/>
  <c r="BR140" i="42" s="1"/>
  <c r="BS140" i="42" s="1"/>
  <c r="BT140" i="42" s="1"/>
  <c r="BU140" i="42" s="1"/>
  <c r="BV140" i="42" s="1"/>
  <c r="BW140" i="42" s="1"/>
  <c r="BX140" i="42" s="1"/>
  <c r="BY140" i="42" s="1"/>
  <c r="BZ140" i="42" s="1"/>
  <c r="CA140" i="42" s="1"/>
  <c r="CB140" i="42" s="1"/>
  <c r="CC140" i="42" s="1"/>
  <c r="CD140" i="42" s="1"/>
  <c r="CE140" i="42" s="1"/>
  <c r="CF140" i="42" s="1"/>
  <c r="AI139" i="42"/>
  <c r="AJ139" i="42" s="1"/>
  <c r="AK139" i="42" s="1"/>
  <c r="AL139" i="42" s="1"/>
  <c r="AM139" i="42" s="1"/>
  <c r="AN139" i="42" s="1"/>
  <c r="AO139" i="42" s="1"/>
  <c r="AP139" i="42" s="1"/>
  <c r="AQ139" i="42" s="1"/>
  <c r="AR139" i="42" s="1"/>
  <c r="AS139" i="42" s="1"/>
  <c r="AT139" i="42" s="1"/>
  <c r="AU139" i="42" s="1"/>
  <c r="AV139" i="42" s="1"/>
  <c r="AW139" i="42" s="1"/>
  <c r="AX139" i="42" s="1"/>
  <c r="AY139" i="42" s="1"/>
  <c r="AZ139" i="42" s="1"/>
  <c r="BA139" i="42" s="1"/>
  <c r="BB139" i="42" s="1"/>
  <c r="BC139" i="42" s="1"/>
  <c r="BD139" i="42" s="1"/>
  <c r="BE139" i="42" s="1"/>
  <c r="BF139" i="42" s="1"/>
  <c r="BG139" i="42" s="1"/>
  <c r="BH139" i="42" s="1"/>
  <c r="BI139" i="42" s="1"/>
  <c r="BJ139" i="42" s="1"/>
  <c r="BK139" i="42" s="1"/>
  <c r="BL139" i="42" s="1"/>
  <c r="BM139" i="42" s="1"/>
  <c r="BN139" i="42" s="1"/>
  <c r="BO139" i="42" s="1"/>
  <c r="BP139" i="42" s="1"/>
  <c r="BQ139" i="42" s="1"/>
  <c r="BR139" i="42" s="1"/>
  <c r="BS139" i="42" s="1"/>
  <c r="BT139" i="42" s="1"/>
  <c r="BU139" i="42" s="1"/>
  <c r="BV139" i="42" s="1"/>
  <c r="BW139" i="42" s="1"/>
  <c r="BX139" i="42" s="1"/>
  <c r="BY139" i="42" s="1"/>
  <c r="BZ139" i="42" s="1"/>
  <c r="CA139" i="42" s="1"/>
  <c r="CB139" i="42" s="1"/>
  <c r="CC139" i="42" s="1"/>
  <c r="CD139" i="42" s="1"/>
  <c r="CE139" i="42" s="1"/>
  <c r="CF139" i="42" s="1"/>
  <c r="AI138" i="42"/>
  <c r="AJ138" i="42" s="1"/>
  <c r="AK138" i="42" s="1"/>
  <c r="AL138" i="42" s="1"/>
  <c r="AM138" i="42" s="1"/>
  <c r="AN138" i="42" s="1"/>
  <c r="AO138" i="42" s="1"/>
  <c r="AP138" i="42" s="1"/>
  <c r="AQ138" i="42" s="1"/>
  <c r="AR138" i="42" s="1"/>
  <c r="AS138" i="42" s="1"/>
  <c r="AT138" i="42" s="1"/>
  <c r="AU138" i="42" s="1"/>
  <c r="AV138" i="42" s="1"/>
  <c r="AW138" i="42" s="1"/>
  <c r="AX138" i="42" s="1"/>
  <c r="AY138" i="42" s="1"/>
  <c r="AZ138" i="42" s="1"/>
  <c r="BA138" i="42" s="1"/>
  <c r="BB138" i="42" s="1"/>
  <c r="BC138" i="42" s="1"/>
  <c r="BD138" i="42" s="1"/>
  <c r="BE138" i="42" s="1"/>
  <c r="BF138" i="42" s="1"/>
  <c r="BG138" i="42" s="1"/>
  <c r="BH138" i="42" s="1"/>
  <c r="BI138" i="42" s="1"/>
  <c r="BJ138" i="42" s="1"/>
  <c r="BK138" i="42" s="1"/>
  <c r="BL138" i="42" s="1"/>
  <c r="BM138" i="42" s="1"/>
  <c r="BN138" i="42" s="1"/>
  <c r="BO138" i="42" s="1"/>
  <c r="BP138" i="42" s="1"/>
  <c r="BQ138" i="42" s="1"/>
  <c r="BR138" i="42" s="1"/>
  <c r="BS138" i="42" s="1"/>
  <c r="BT138" i="42" s="1"/>
  <c r="BU138" i="42" s="1"/>
  <c r="BV138" i="42" s="1"/>
  <c r="BW138" i="42" s="1"/>
  <c r="BX138" i="42" s="1"/>
  <c r="BY138" i="42" s="1"/>
  <c r="BZ138" i="42" s="1"/>
  <c r="CA138" i="42" s="1"/>
  <c r="CB138" i="42" s="1"/>
  <c r="CC138" i="42" s="1"/>
  <c r="CD138" i="42" s="1"/>
  <c r="CE138" i="42" s="1"/>
  <c r="CF138" i="42" s="1"/>
  <c r="AI137" i="42"/>
  <c r="AJ137" i="42" s="1"/>
  <c r="AK137" i="42" s="1"/>
  <c r="AL137" i="42" s="1"/>
  <c r="AM137" i="42" s="1"/>
  <c r="AN137" i="42" s="1"/>
  <c r="AO137" i="42" s="1"/>
  <c r="AP137" i="42" s="1"/>
  <c r="AQ137" i="42" s="1"/>
  <c r="AR137" i="42" s="1"/>
  <c r="AS137" i="42" s="1"/>
  <c r="AT137" i="42" s="1"/>
  <c r="AU137" i="42" s="1"/>
  <c r="AV137" i="42" s="1"/>
  <c r="AW137" i="42" s="1"/>
  <c r="AX137" i="42" s="1"/>
  <c r="AY137" i="42" s="1"/>
  <c r="AZ137" i="42" s="1"/>
  <c r="BA137" i="42" s="1"/>
  <c r="BB137" i="42" s="1"/>
  <c r="BC137" i="42" s="1"/>
  <c r="BD137" i="42" s="1"/>
  <c r="BE137" i="42" s="1"/>
  <c r="BF137" i="42" s="1"/>
  <c r="BG137" i="42" s="1"/>
  <c r="BH137" i="42" s="1"/>
  <c r="BI137" i="42" s="1"/>
  <c r="BJ137" i="42" s="1"/>
  <c r="BK137" i="42" s="1"/>
  <c r="BL137" i="42" s="1"/>
  <c r="BM137" i="42" s="1"/>
  <c r="BN137" i="42" s="1"/>
  <c r="BO137" i="42" s="1"/>
  <c r="BP137" i="42" s="1"/>
  <c r="BQ137" i="42" s="1"/>
  <c r="BR137" i="42" s="1"/>
  <c r="BS137" i="42" s="1"/>
  <c r="BT137" i="42" s="1"/>
  <c r="BU137" i="42" s="1"/>
  <c r="BV137" i="42" s="1"/>
  <c r="BW137" i="42" s="1"/>
  <c r="BX137" i="42" s="1"/>
  <c r="BY137" i="42" s="1"/>
  <c r="BZ137" i="42" s="1"/>
  <c r="CA137" i="42" s="1"/>
  <c r="CB137" i="42" s="1"/>
  <c r="CC137" i="42" s="1"/>
  <c r="CD137" i="42" s="1"/>
  <c r="CE137" i="42" s="1"/>
  <c r="CF137" i="42" s="1"/>
  <c r="AI136" i="42"/>
  <c r="AJ136" i="42" s="1"/>
  <c r="AK136" i="42" s="1"/>
  <c r="AL136" i="42" s="1"/>
  <c r="AM136" i="42" s="1"/>
  <c r="AN136" i="42" s="1"/>
  <c r="AO136" i="42" s="1"/>
  <c r="AP136" i="42" s="1"/>
  <c r="AQ136" i="42" s="1"/>
  <c r="AR136" i="42" s="1"/>
  <c r="AS136" i="42" s="1"/>
  <c r="AT136" i="42" s="1"/>
  <c r="AU136" i="42" s="1"/>
  <c r="AV136" i="42" s="1"/>
  <c r="AW136" i="42" s="1"/>
  <c r="AX136" i="42" s="1"/>
  <c r="AY136" i="42" s="1"/>
  <c r="AZ136" i="42" s="1"/>
  <c r="BA136" i="42" s="1"/>
  <c r="BB136" i="42" s="1"/>
  <c r="BC136" i="42" s="1"/>
  <c r="BD136" i="42" s="1"/>
  <c r="BE136" i="42" s="1"/>
  <c r="BF136" i="42" s="1"/>
  <c r="BG136" i="42" s="1"/>
  <c r="BH136" i="42" s="1"/>
  <c r="BI136" i="42" s="1"/>
  <c r="BJ136" i="42" s="1"/>
  <c r="BK136" i="42" s="1"/>
  <c r="BL136" i="42" s="1"/>
  <c r="BM136" i="42" s="1"/>
  <c r="BN136" i="42" s="1"/>
  <c r="BO136" i="42" s="1"/>
  <c r="BP136" i="42" s="1"/>
  <c r="BQ136" i="42" s="1"/>
  <c r="BR136" i="42" s="1"/>
  <c r="BS136" i="42" s="1"/>
  <c r="BT136" i="42" s="1"/>
  <c r="BU136" i="42" s="1"/>
  <c r="BV136" i="42" s="1"/>
  <c r="BW136" i="42" s="1"/>
  <c r="BX136" i="42" s="1"/>
  <c r="BY136" i="42" s="1"/>
  <c r="BZ136" i="42" s="1"/>
  <c r="CA136" i="42" s="1"/>
  <c r="CB136" i="42" s="1"/>
  <c r="CC136" i="42" s="1"/>
  <c r="CD136" i="42" s="1"/>
  <c r="CE136" i="42" s="1"/>
  <c r="CF136" i="42" s="1"/>
  <c r="AI135" i="42"/>
  <c r="AJ135" i="42" s="1"/>
  <c r="AK135" i="42" s="1"/>
  <c r="AL135" i="42" s="1"/>
  <c r="AM135" i="42" s="1"/>
  <c r="AN135" i="42" s="1"/>
  <c r="AO135" i="42" s="1"/>
  <c r="AP135" i="42" s="1"/>
  <c r="AQ135" i="42" s="1"/>
  <c r="AR135" i="42" s="1"/>
  <c r="AS135" i="42" s="1"/>
  <c r="AT135" i="42" s="1"/>
  <c r="AU135" i="42" s="1"/>
  <c r="AV135" i="42" s="1"/>
  <c r="AW135" i="42" s="1"/>
  <c r="AX135" i="42" s="1"/>
  <c r="AY135" i="42" s="1"/>
  <c r="AZ135" i="42" s="1"/>
  <c r="BA135" i="42" s="1"/>
  <c r="BB135" i="42" s="1"/>
  <c r="BC135" i="42" s="1"/>
  <c r="BD135" i="42" s="1"/>
  <c r="BE135" i="42" s="1"/>
  <c r="BF135" i="42" s="1"/>
  <c r="BG135" i="42" s="1"/>
  <c r="BH135" i="42" s="1"/>
  <c r="BI135" i="42" s="1"/>
  <c r="BJ135" i="42" s="1"/>
  <c r="BK135" i="42" s="1"/>
  <c r="BL135" i="42" s="1"/>
  <c r="BM135" i="42" s="1"/>
  <c r="BN135" i="42" s="1"/>
  <c r="BO135" i="42" s="1"/>
  <c r="BP135" i="42" s="1"/>
  <c r="BQ135" i="42" s="1"/>
  <c r="BR135" i="42" s="1"/>
  <c r="BS135" i="42" s="1"/>
  <c r="BT135" i="42" s="1"/>
  <c r="BU135" i="42" s="1"/>
  <c r="BV135" i="42" s="1"/>
  <c r="BW135" i="42" s="1"/>
  <c r="BX135" i="42" s="1"/>
  <c r="BY135" i="42" s="1"/>
  <c r="BZ135" i="42" s="1"/>
  <c r="CA135" i="42" s="1"/>
  <c r="CB135" i="42" s="1"/>
  <c r="CC135" i="42" s="1"/>
  <c r="CD135" i="42" s="1"/>
  <c r="CE135" i="42" s="1"/>
  <c r="CF135" i="42" s="1"/>
  <c r="AI134" i="42"/>
  <c r="AJ134" i="42" s="1"/>
  <c r="AK134" i="42" s="1"/>
  <c r="AL134" i="42" s="1"/>
  <c r="AM134" i="42" s="1"/>
  <c r="AN134" i="42" s="1"/>
  <c r="AO134" i="42" s="1"/>
  <c r="AP134" i="42" s="1"/>
  <c r="AQ134" i="42" s="1"/>
  <c r="AR134" i="42" s="1"/>
  <c r="AS134" i="42" s="1"/>
  <c r="AT134" i="42" s="1"/>
  <c r="AU134" i="42" s="1"/>
  <c r="AV134" i="42" s="1"/>
  <c r="AW134" i="42" s="1"/>
  <c r="AX134" i="42" s="1"/>
  <c r="AY134" i="42" s="1"/>
  <c r="AZ134" i="42" s="1"/>
  <c r="BA134" i="42" s="1"/>
  <c r="BB134" i="42" s="1"/>
  <c r="BC134" i="42" s="1"/>
  <c r="BD134" i="42" s="1"/>
  <c r="BE134" i="42" s="1"/>
  <c r="BF134" i="42" s="1"/>
  <c r="BG134" i="42" s="1"/>
  <c r="BH134" i="42" s="1"/>
  <c r="BI134" i="42" s="1"/>
  <c r="BJ134" i="42" s="1"/>
  <c r="BK134" i="42" s="1"/>
  <c r="BL134" i="42" s="1"/>
  <c r="BM134" i="42" s="1"/>
  <c r="BN134" i="42" s="1"/>
  <c r="BO134" i="42" s="1"/>
  <c r="BP134" i="42" s="1"/>
  <c r="BQ134" i="42" s="1"/>
  <c r="BR134" i="42" s="1"/>
  <c r="BS134" i="42" s="1"/>
  <c r="BT134" i="42" s="1"/>
  <c r="BU134" i="42" s="1"/>
  <c r="BV134" i="42" s="1"/>
  <c r="BW134" i="42" s="1"/>
  <c r="BX134" i="42" s="1"/>
  <c r="BY134" i="42" s="1"/>
  <c r="BZ134" i="42" s="1"/>
  <c r="CA134" i="42" s="1"/>
  <c r="CB134" i="42" s="1"/>
  <c r="CC134" i="42" s="1"/>
  <c r="CD134" i="42" s="1"/>
  <c r="CE134" i="42" s="1"/>
  <c r="CF134" i="42" s="1"/>
  <c r="AI133" i="42"/>
  <c r="AJ133" i="42" s="1"/>
  <c r="AK133" i="42" s="1"/>
  <c r="AL133" i="42" s="1"/>
  <c r="AM133" i="42" s="1"/>
  <c r="AN133" i="42" s="1"/>
  <c r="AO133" i="42" s="1"/>
  <c r="AP133" i="42" s="1"/>
  <c r="AQ133" i="42" s="1"/>
  <c r="AR133" i="42" s="1"/>
  <c r="AS133" i="42" s="1"/>
  <c r="AT133" i="42" s="1"/>
  <c r="AU133" i="42" s="1"/>
  <c r="AV133" i="42" s="1"/>
  <c r="AW133" i="42" s="1"/>
  <c r="AX133" i="42" s="1"/>
  <c r="AY133" i="42" s="1"/>
  <c r="AZ133" i="42" s="1"/>
  <c r="BA133" i="42" s="1"/>
  <c r="BB133" i="42" s="1"/>
  <c r="BC133" i="42" s="1"/>
  <c r="BD133" i="42" s="1"/>
  <c r="BE133" i="42" s="1"/>
  <c r="BF133" i="42" s="1"/>
  <c r="BG133" i="42" s="1"/>
  <c r="BH133" i="42" s="1"/>
  <c r="BI133" i="42" s="1"/>
  <c r="BJ133" i="42" s="1"/>
  <c r="BK133" i="42" s="1"/>
  <c r="BL133" i="42" s="1"/>
  <c r="BM133" i="42" s="1"/>
  <c r="BN133" i="42" s="1"/>
  <c r="BO133" i="42" s="1"/>
  <c r="BP133" i="42" s="1"/>
  <c r="BQ133" i="42" s="1"/>
  <c r="BR133" i="42" s="1"/>
  <c r="BS133" i="42" s="1"/>
  <c r="BT133" i="42" s="1"/>
  <c r="BU133" i="42" s="1"/>
  <c r="BV133" i="42" s="1"/>
  <c r="BW133" i="42" s="1"/>
  <c r="BX133" i="42" s="1"/>
  <c r="BY133" i="42" s="1"/>
  <c r="BZ133" i="42" s="1"/>
  <c r="CA133" i="42" s="1"/>
  <c r="CB133" i="42" s="1"/>
  <c r="CC133" i="42" s="1"/>
  <c r="CD133" i="42" s="1"/>
  <c r="CE133" i="42" s="1"/>
  <c r="CF133" i="42" s="1"/>
  <c r="AI132" i="42"/>
  <c r="AJ132" i="42" s="1"/>
  <c r="AK132" i="42" s="1"/>
  <c r="AL132" i="42" s="1"/>
  <c r="AM132" i="42" s="1"/>
  <c r="AN132" i="42" s="1"/>
  <c r="AO132" i="42" s="1"/>
  <c r="AP132" i="42" s="1"/>
  <c r="AQ132" i="42" s="1"/>
  <c r="AR132" i="42" s="1"/>
  <c r="AS132" i="42" s="1"/>
  <c r="AT132" i="42" s="1"/>
  <c r="AU132" i="42" s="1"/>
  <c r="AV132" i="42" s="1"/>
  <c r="AW132" i="42" s="1"/>
  <c r="AX132" i="42" s="1"/>
  <c r="AY132" i="42" s="1"/>
  <c r="AZ132" i="42" s="1"/>
  <c r="BA132" i="42" s="1"/>
  <c r="BB132" i="42" s="1"/>
  <c r="BC132" i="42" s="1"/>
  <c r="BD132" i="42" s="1"/>
  <c r="BE132" i="42" s="1"/>
  <c r="BF132" i="42" s="1"/>
  <c r="BG132" i="42" s="1"/>
  <c r="BH132" i="42" s="1"/>
  <c r="BI132" i="42" s="1"/>
  <c r="BJ132" i="42" s="1"/>
  <c r="BK132" i="42" s="1"/>
  <c r="BL132" i="42" s="1"/>
  <c r="BM132" i="42" s="1"/>
  <c r="BN132" i="42" s="1"/>
  <c r="BO132" i="42" s="1"/>
  <c r="BP132" i="42" s="1"/>
  <c r="BQ132" i="42" s="1"/>
  <c r="BR132" i="42" s="1"/>
  <c r="BS132" i="42" s="1"/>
  <c r="BT132" i="42" s="1"/>
  <c r="BU132" i="42" s="1"/>
  <c r="BV132" i="42" s="1"/>
  <c r="BW132" i="42" s="1"/>
  <c r="BX132" i="42" s="1"/>
  <c r="BY132" i="42" s="1"/>
  <c r="BZ132" i="42" s="1"/>
  <c r="CA132" i="42" s="1"/>
  <c r="CB132" i="42" s="1"/>
  <c r="CC132" i="42" s="1"/>
  <c r="CD132" i="42" s="1"/>
  <c r="CE132" i="42" s="1"/>
  <c r="CF132" i="42" s="1"/>
  <c r="AI131" i="42"/>
  <c r="AJ131" i="42" s="1"/>
  <c r="AK131" i="42" s="1"/>
  <c r="AL131" i="42" s="1"/>
  <c r="AM131" i="42" s="1"/>
  <c r="AN131" i="42" s="1"/>
  <c r="AO131" i="42" s="1"/>
  <c r="AP131" i="42" s="1"/>
  <c r="AQ131" i="42" s="1"/>
  <c r="AR131" i="42" s="1"/>
  <c r="AS131" i="42" s="1"/>
  <c r="AT131" i="42" s="1"/>
  <c r="AU131" i="42" s="1"/>
  <c r="AV131" i="42" s="1"/>
  <c r="AW131" i="42" s="1"/>
  <c r="AX131" i="42" s="1"/>
  <c r="AY131" i="42" s="1"/>
  <c r="AZ131" i="42" s="1"/>
  <c r="BA131" i="42" s="1"/>
  <c r="BB131" i="42" s="1"/>
  <c r="BC131" i="42" s="1"/>
  <c r="BD131" i="42" s="1"/>
  <c r="BE131" i="42" s="1"/>
  <c r="BF131" i="42" s="1"/>
  <c r="BG131" i="42" s="1"/>
  <c r="BH131" i="42" s="1"/>
  <c r="BI131" i="42" s="1"/>
  <c r="BJ131" i="42" s="1"/>
  <c r="BK131" i="42" s="1"/>
  <c r="BL131" i="42" s="1"/>
  <c r="BM131" i="42" s="1"/>
  <c r="BN131" i="42" s="1"/>
  <c r="BO131" i="42" s="1"/>
  <c r="BP131" i="42" s="1"/>
  <c r="BQ131" i="42" s="1"/>
  <c r="BR131" i="42" s="1"/>
  <c r="BS131" i="42" s="1"/>
  <c r="BT131" i="42" s="1"/>
  <c r="BU131" i="42" s="1"/>
  <c r="BV131" i="42" s="1"/>
  <c r="BW131" i="42" s="1"/>
  <c r="BX131" i="42" s="1"/>
  <c r="BY131" i="42" s="1"/>
  <c r="BZ131" i="42" s="1"/>
  <c r="CA131" i="42" s="1"/>
  <c r="CB131" i="42" s="1"/>
  <c r="CC131" i="42" s="1"/>
  <c r="CD131" i="42" s="1"/>
  <c r="CE131" i="42" s="1"/>
  <c r="CF131" i="42" s="1"/>
  <c r="AI130" i="42"/>
  <c r="AJ130" i="42" s="1"/>
  <c r="AK130" i="42" s="1"/>
  <c r="AL130" i="42" s="1"/>
  <c r="AM130" i="42" s="1"/>
  <c r="AN130" i="42" s="1"/>
  <c r="AO130" i="42" s="1"/>
  <c r="AP130" i="42" s="1"/>
  <c r="AQ130" i="42" s="1"/>
  <c r="AR130" i="42" s="1"/>
  <c r="AS130" i="42" s="1"/>
  <c r="AT130" i="42" s="1"/>
  <c r="AU130" i="42" s="1"/>
  <c r="AV130" i="42" s="1"/>
  <c r="AW130" i="42" s="1"/>
  <c r="AX130" i="42" s="1"/>
  <c r="AY130" i="42" s="1"/>
  <c r="AZ130" i="42" s="1"/>
  <c r="BA130" i="42" s="1"/>
  <c r="BB130" i="42" s="1"/>
  <c r="BC130" i="42" s="1"/>
  <c r="BD130" i="42" s="1"/>
  <c r="BE130" i="42" s="1"/>
  <c r="BF130" i="42" s="1"/>
  <c r="BG130" i="42" s="1"/>
  <c r="BH130" i="42" s="1"/>
  <c r="BI130" i="42" s="1"/>
  <c r="BJ130" i="42" s="1"/>
  <c r="BK130" i="42" s="1"/>
  <c r="BL130" i="42" s="1"/>
  <c r="BM130" i="42" s="1"/>
  <c r="BN130" i="42" s="1"/>
  <c r="BO130" i="42" s="1"/>
  <c r="BP130" i="42" s="1"/>
  <c r="BQ130" i="42" s="1"/>
  <c r="BR130" i="42" s="1"/>
  <c r="BS130" i="42" s="1"/>
  <c r="BT130" i="42" s="1"/>
  <c r="BU130" i="42" s="1"/>
  <c r="BV130" i="42" s="1"/>
  <c r="BW130" i="42" s="1"/>
  <c r="BX130" i="42" s="1"/>
  <c r="BY130" i="42" s="1"/>
  <c r="BZ130" i="42" s="1"/>
  <c r="CA130" i="42" s="1"/>
  <c r="CB130" i="42" s="1"/>
  <c r="CC130" i="42" s="1"/>
  <c r="CD130" i="42" s="1"/>
  <c r="CE130" i="42" s="1"/>
  <c r="CF130" i="42" s="1"/>
  <c r="AI129" i="42"/>
  <c r="AJ129" i="42" s="1"/>
  <c r="AK129" i="42" s="1"/>
  <c r="AL129" i="42" s="1"/>
  <c r="AM129" i="42" s="1"/>
  <c r="AN129" i="42" s="1"/>
  <c r="AO129" i="42" s="1"/>
  <c r="AP129" i="42" s="1"/>
  <c r="AQ129" i="42" s="1"/>
  <c r="AR129" i="42" s="1"/>
  <c r="AS129" i="42" s="1"/>
  <c r="AT129" i="42" s="1"/>
  <c r="AU129" i="42" s="1"/>
  <c r="AV129" i="42" s="1"/>
  <c r="AW129" i="42" s="1"/>
  <c r="AX129" i="42" s="1"/>
  <c r="AY129" i="42" s="1"/>
  <c r="AZ129" i="42" s="1"/>
  <c r="BA129" i="42" s="1"/>
  <c r="BB129" i="42" s="1"/>
  <c r="BC129" i="42" s="1"/>
  <c r="BD129" i="42" s="1"/>
  <c r="BE129" i="42" s="1"/>
  <c r="BF129" i="42" s="1"/>
  <c r="BG129" i="42" s="1"/>
  <c r="BH129" i="42" s="1"/>
  <c r="BI129" i="42" s="1"/>
  <c r="BJ129" i="42" s="1"/>
  <c r="BK129" i="42" s="1"/>
  <c r="BL129" i="42" s="1"/>
  <c r="BM129" i="42" s="1"/>
  <c r="BN129" i="42" s="1"/>
  <c r="BO129" i="42" s="1"/>
  <c r="BP129" i="42" s="1"/>
  <c r="BQ129" i="42" s="1"/>
  <c r="BR129" i="42" s="1"/>
  <c r="BS129" i="42" s="1"/>
  <c r="BT129" i="42" s="1"/>
  <c r="BU129" i="42" s="1"/>
  <c r="BV129" i="42" s="1"/>
  <c r="BW129" i="42" s="1"/>
  <c r="BX129" i="42" s="1"/>
  <c r="BY129" i="42" s="1"/>
  <c r="BZ129" i="42" s="1"/>
  <c r="CA129" i="42" s="1"/>
  <c r="CB129" i="42" s="1"/>
  <c r="CC129" i="42" s="1"/>
  <c r="CD129" i="42" s="1"/>
  <c r="CE129" i="42" s="1"/>
  <c r="CF129" i="42" s="1"/>
  <c r="AI128" i="42"/>
  <c r="AJ128" i="42" s="1"/>
  <c r="AK128" i="42" s="1"/>
  <c r="AL128" i="42" s="1"/>
  <c r="AM128" i="42" s="1"/>
  <c r="AN128" i="42" s="1"/>
  <c r="AO128" i="42" s="1"/>
  <c r="AP128" i="42" s="1"/>
  <c r="AQ128" i="42" s="1"/>
  <c r="AR128" i="42" s="1"/>
  <c r="AS128" i="42" s="1"/>
  <c r="AT128" i="42" s="1"/>
  <c r="AU128" i="42" s="1"/>
  <c r="AV128" i="42" s="1"/>
  <c r="AW128" i="42" s="1"/>
  <c r="AX128" i="42" s="1"/>
  <c r="AY128" i="42" s="1"/>
  <c r="AZ128" i="42" s="1"/>
  <c r="BA128" i="42" s="1"/>
  <c r="BB128" i="42" s="1"/>
  <c r="BC128" i="42" s="1"/>
  <c r="BD128" i="42" s="1"/>
  <c r="BE128" i="42" s="1"/>
  <c r="BF128" i="42" s="1"/>
  <c r="BG128" i="42" s="1"/>
  <c r="BH128" i="42" s="1"/>
  <c r="BI128" i="42" s="1"/>
  <c r="BJ128" i="42" s="1"/>
  <c r="BK128" i="42" s="1"/>
  <c r="BL128" i="42" s="1"/>
  <c r="BM128" i="42" s="1"/>
  <c r="BN128" i="42" s="1"/>
  <c r="BO128" i="42" s="1"/>
  <c r="BP128" i="42" s="1"/>
  <c r="BQ128" i="42" s="1"/>
  <c r="BR128" i="42" s="1"/>
  <c r="BS128" i="42" s="1"/>
  <c r="BT128" i="42" s="1"/>
  <c r="BU128" i="42" s="1"/>
  <c r="BV128" i="42" s="1"/>
  <c r="BW128" i="42" s="1"/>
  <c r="BX128" i="42" s="1"/>
  <c r="BY128" i="42" s="1"/>
  <c r="BZ128" i="42" s="1"/>
  <c r="CA128" i="42" s="1"/>
  <c r="CB128" i="42" s="1"/>
  <c r="CC128" i="42" s="1"/>
  <c r="CD128" i="42" s="1"/>
  <c r="CE128" i="42" s="1"/>
  <c r="CF128" i="42" s="1"/>
  <c r="AI127" i="42"/>
  <c r="AJ127" i="42" s="1"/>
  <c r="AK127" i="42" s="1"/>
  <c r="AL127" i="42" s="1"/>
  <c r="AM127" i="42" s="1"/>
  <c r="AN127" i="42" s="1"/>
  <c r="AO127" i="42" s="1"/>
  <c r="AP127" i="42" s="1"/>
  <c r="AQ127" i="42" s="1"/>
  <c r="AR127" i="42" s="1"/>
  <c r="AS127" i="42" s="1"/>
  <c r="AT127" i="42" s="1"/>
  <c r="AU127" i="42" s="1"/>
  <c r="AV127" i="42" s="1"/>
  <c r="AW127" i="42" s="1"/>
  <c r="AX127" i="42" s="1"/>
  <c r="AY127" i="42" s="1"/>
  <c r="AZ127" i="42" s="1"/>
  <c r="BA127" i="42" s="1"/>
  <c r="BB127" i="42" s="1"/>
  <c r="BC127" i="42" s="1"/>
  <c r="BD127" i="42" s="1"/>
  <c r="BE127" i="42" s="1"/>
  <c r="BF127" i="42" s="1"/>
  <c r="BG127" i="42" s="1"/>
  <c r="BH127" i="42" s="1"/>
  <c r="BI127" i="42" s="1"/>
  <c r="BJ127" i="42" s="1"/>
  <c r="BK127" i="42" s="1"/>
  <c r="BL127" i="42" s="1"/>
  <c r="BM127" i="42" s="1"/>
  <c r="BN127" i="42" s="1"/>
  <c r="BO127" i="42" s="1"/>
  <c r="BP127" i="42" s="1"/>
  <c r="BQ127" i="42" s="1"/>
  <c r="BR127" i="42" s="1"/>
  <c r="BS127" i="42" s="1"/>
  <c r="BT127" i="42" s="1"/>
  <c r="BU127" i="42" s="1"/>
  <c r="BV127" i="42" s="1"/>
  <c r="BW127" i="42" s="1"/>
  <c r="BX127" i="42" s="1"/>
  <c r="BY127" i="42" s="1"/>
  <c r="BZ127" i="42" s="1"/>
  <c r="CA127" i="42" s="1"/>
  <c r="CB127" i="42" s="1"/>
  <c r="CC127" i="42" s="1"/>
  <c r="CD127" i="42" s="1"/>
  <c r="CE127" i="42" s="1"/>
  <c r="CF127" i="42" s="1"/>
  <c r="AI126" i="42"/>
  <c r="AJ126" i="42" s="1"/>
  <c r="AK126" i="42" s="1"/>
  <c r="AL126" i="42" s="1"/>
  <c r="AM126" i="42" s="1"/>
  <c r="AN126" i="42" s="1"/>
  <c r="AO126" i="42" s="1"/>
  <c r="AP126" i="42" s="1"/>
  <c r="AQ126" i="42" s="1"/>
  <c r="AR126" i="42" s="1"/>
  <c r="AS126" i="42" s="1"/>
  <c r="AT126" i="42" s="1"/>
  <c r="AU126" i="42" s="1"/>
  <c r="AV126" i="42" s="1"/>
  <c r="AW126" i="42" s="1"/>
  <c r="AX126" i="42" s="1"/>
  <c r="AY126" i="42" s="1"/>
  <c r="AZ126" i="42" s="1"/>
  <c r="BA126" i="42" s="1"/>
  <c r="BB126" i="42" s="1"/>
  <c r="BC126" i="42" s="1"/>
  <c r="BD126" i="42" s="1"/>
  <c r="BE126" i="42" s="1"/>
  <c r="BF126" i="42" s="1"/>
  <c r="BG126" i="42" s="1"/>
  <c r="BH126" i="42" s="1"/>
  <c r="BI126" i="42" s="1"/>
  <c r="BJ126" i="42" s="1"/>
  <c r="BK126" i="42" s="1"/>
  <c r="BL126" i="42" s="1"/>
  <c r="BM126" i="42" s="1"/>
  <c r="BN126" i="42" s="1"/>
  <c r="BO126" i="42" s="1"/>
  <c r="BP126" i="42" s="1"/>
  <c r="BQ126" i="42" s="1"/>
  <c r="BR126" i="42" s="1"/>
  <c r="BS126" i="42" s="1"/>
  <c r="BT126" i="42" s="1"/>
  <c r="BU126" i="42" s="1"/>
  <c r="BV126" i="42" s="1"/>
  <c r="BW126" i="42" s="1"/>
  <c r="BX126" i="42" s="1"/>
  <c r="BY126" i="42" s="1"/>
  <c r="BZ126" i="42" s="1"/>
  <c r="CA126" i="42" s="1"/>
  <c r="CB126" i="42" s="1"/>
  <c r="CC126" i="42" s="1"/>
  <c r="CD126" i="42" s="1"/>
  <c r="CE126" i="42" s="1"/>
  <c r="CF126" i="42" s="1"/>
  <c r="AI125" i="42"/>
  <c r="AJ125" i="42" s="1"/>
  <c r="AK125" i="42" s="1"/>
  <c r="AL125" i="42" s="1"/>
  <c r="AM125" i="42" s="1"/>
  <c r="AN125" i="42" s="1"/>
  <c r="AO125" i="42" s="1"/>
  <c r="AP125" i="42" s="1"/>
  <c r="AQ125" i="42" s="1"/>
  <c r="AR125" i="42" s="1"/>
  <c r="AS125" i="42" s="1"/>
  <c r="AT125" i="42" s="1"/>
  <c r="AU125" i="42" s="1"/>
  <c r="AV125" i="42" s="1"/>
  <c r="AW125" i="42" s="1"/>
  <c r="AX125" i="42" s="1"/>
  <c r="AY125" i="42" s="1"/>
  <c r="AZ125" i="42" s="1"/>
  <c r="BA125" i="42" s="1"/>
  <c r="BB125" i="42" s="1"/>
  <c r="BC125" i="42" s="1"/>
  <c r="BD125" i="42" s="1"/>
  <c r="BE125" i="42" s="1"/>
  <c r="BF125" i="42" s="1"/>
  <c r="BG125" i="42" s="1"/>
  <c r="BH125" i="42" s="1"/>
  <c r="BI125" i="42" s="1"/>
  <c r="BJ125" i="42" s="1"/>
  <c r="BK125" i="42" s="1"/>
  <c r="BL125" i="42" s="1"/>
  <c r="BM125" i="42" s="1"/>
  <c r="BN125" i="42" s="1"/>
  <c r="BO125" i="42" s="1"/>
  <c r="BP125" i="42" s="1"/>
  <c r="BQ125" i="42" s="1"/>
  <c r="BR125" i="42" s="1"/>
  <c r="BS125" i="42" s="1"/>
  <c r="BT125" i="42" s="1"/>
  <c r="BU125" i="42" s="1"/>
  <c r="BV125" i="42" s="1"/>
  <c r="BW125" i="42" s="1"/>
  <c r="BX125" i="42" s="1"/>
  <c r="BY125" i="42" s="1"/>
  <c r="BZ125" i="42" s="1"/>
  <c r="CA125" i="42" s="1"/>
  <c r="CB125" i="42" s="1"/>
  <c r="CC125" i="42" s="1"/>
  <c r="CD125" i="42" s="1"/>
  <c r="CE125" i="42" s="1"/>
  <c r="CF125" i="42" s="1"/>
  <c r="AI124" i="42"/>
  <c r="AJ124" i="42" s="1"/>
  <c r="AK124" i="42" s="1"/>
  <c r="AL124" i="42" s="1"/>
  <c r="AM124" i="42" s="1"/>
  <c r="AN124" i="42" s="1"/>
  <c r="AO124" i="42" s="1"/>
  <c r="AP124" i="42" s="1"/>
  <c r="AQ124" i="42" s="1"/>
  <c r="AR124" i="42" s="1"/>
  <c r="AS124" i="42" s="1"/>
  <c r="AT124" i="42" s="1"/>
  <c r="AU124" i="42" s="1"/>
  <c r="AV124" i="42" s="1"/>
  <c r="AW124" i="42" s="1"/>
  <c r="AX124" i="42" s="1"/>
  <c r="AY124" i="42" s="1"/>
  <c r="AZ124" i="42" s="1"/>
  <c r="BA124" i="42" s="1"/>
  <c r="BB124" i="42" s="1"/>
  <c r="BC124" i="42" s="1"/>
  <c r="BD124" i="42" s="1"/>
  <c r="BE124" i="42" s="1"/>
  <c r="BF124" i="42" s="1"/>
  <c r="BG124" i="42" s="1"/>
  <c r="BH124" i="42" s="1"/>
  <c r="BI124" i="42" s="1"/>
  <c r="BJ124" i="42" s="1"/>
  <c r="BK124" i="42" s="1"/>
  <c r="BL124" i="42" s="1"/>
  <c r="BM124" i="42" s="1"/>
  <c r="BN124" i="42" s="1"/>
  <c r="BO124" i="42" s="1"/>
  <c r="BP124" i="42" s="1"/>
  <c r="BQ124" i="42" s="1"/>
  <c r="BR124" i="42" s="1"/>
  <c r="BS124" i="42" s="1"/>
  <c r="BT124" i="42" s="1"/>
  <c r="BU124" i="42" s="1"/>
  <c r="BV124" i="42" s="1"/>
  <c r="BW124" i="42" s="1"/>
  <c r="BX124" i="42" s="1"/>
  <c r="BY124" i="42" s="1"/>
  <c r="BZ124" i="42" s="1"/>
  <c r="CA124" i="42" s="1"/>
  <c r="CB124" i="42" s="1"/>
  <c r="CC124" i="42" s="1"/>
  <c r="CD124" i="42" s="1"/>
  <c r="CE124" i="42" s="1"/>
  <c r="CF124" i="42" s="1"/>
  <c r="AI123" i="42"/>
  <c r="AJ123" i="42" s="1"/>
  <c r="AK123" i="42" s="1"/>
  <c r="AL123" i="42" s="1"/>
  <c r="AM123" i="42" s="1"/>
  <c r="AN123" i="42" s="1"/>
  <c r="AO123" i="42" s="1"/>
  <c r="AP123" i="42" s="1"/>
  <c r="AQ123" i="42" s="1"/>
  <c r="AR123" i="42" s="1"/>
  <c r="AS123" i="42" s="1"/>
  <c r="AT123" i="42" s="1"/>
  <c r="AU123" i="42" s="1"/>
  <c r="AV123" i="42" s="1"/>
  <c r="AW123" i="42" s="1"/>
  <c r="AX123" i="42" s="1"/>
  <c r="AY123" i="42" s="1"/>
  <c r="AZ123" i="42" s="1"/>
  <c r="BA123" i="42" s="1"/>
  <c r="BB123" i="42" s="1"/>
  <c r="BC123" i="42" s="1"/>
  <c r="BD123" i="42" s="1"/>
  <c r="BE123" i="42" s="1"/>
  <c r="BF123" i="42" s="1"/>
  <c r="BG123" i="42" s="1"/>
  <c r="BH123" i="42" s="1"/>
  <c r="BI123" i="42" s="1"/>
  <c r="BJ123" i="42" s="1"/>
  <c r="BK123" i="42" s="1"/>
  <c r="BL123" i="42" s="1"/>
  <c r="BM123" i="42" s="1"/>
  <c r="BN123" i="42" s="1"/>
  <c r="BO123" i="42" s="1"/>
  <c r="BP123" i="42" s="1"/>
  <c r="BQ123" i="42" s="1"/>
  <c r="BR123" i="42" s="1"/>
  <c r="BS123" i="42" s="1"/>
  <c r="BT123" i="42" s="1"/>
  <c r="BU123" i="42" s="1"/>
  <c r="BV123" i="42" s="1"/>
  <c r="BW123" i="42" s="1"/>
  <c r="BX123" i="42" s="1"/>
  <c r="BY123" i="42" s="1"/>
  <c r="BZ123" i="42" s="1"/>
  <c r="CA123" i="42" s="1"/>
  <c r="CB123" i="42" s="1"/>
  <c r="CC123" i="42" s="1"/>
  <c r="CD123" i="42" s="1"/>
  <c r="CE123" i="42" s="1"/>
  <c r="CF123" i="42" s="1"/>
  <c r="AI122" i="42"/>
  <c r="AJ122" i="42" s="1"/>
  <c r="AK122" i="42" s="1"/>
  <c r="AL122" i="42" s="1"/>
  <c r="AM122" i="42" s="1"/>
  <c r="AN122" i="42" s="1"/>
  <c r="AO122" i="42" s="1"/>
  <c r="AP122" i="42" s="1"/>
  <c r="AQ122" i="42" s="1"/>
  <c r="AR122" i="42" s="1"/>
  <c r="AS122" i="42" s="1"/>
  <c r="AT122" i="42" s="1"/>
  <c r="AU122" i="42" s="1"/>
  <c r="AV122" i="42" s="1"/>
  <c r="AW122" i="42" s="1"/>
  <c r="AX122" i="42" s="1"/>
  <c r="AY122" i="42" s="1"/>
  <c r="AZ122" i="42" s="1"/>
  <c r="BA122" i="42" s="1"/>
  <c r="BB122" i="42" s="1"/>
  <c r="BC122" i="42" s="1"/>
  <c r="BD122" i="42" s="1"/>
  <c r="BE122" i="42" s="1"/>
  <c r="BF122" i="42" s="1"/>
  <c r="BG122" i="42" s="1"/>
  <c r="BH122" i="42" s="1"/>
  <c r="BI122" i="42" s="1"/>
  <c r="BJ122" i="42" s="1"/>
  <c r="BK122" i="42" s="1"/>
  <c r="BL122" i="42" s="1"/>
  <c r="BM122" i="42" s="1"/>
  <c r="BN122" i="42" s="1"/>
  <c r="BO122" i="42" s="1"/>
  <c r="BP122" i="42" s="1"/>
  <c r="BQ122" i="42" s="1"/>
  <c r="BR122" i="42" s="1"/>
  <c r="BS122" i="42" s="1"/>
  <c r="BT122" i="42" s="1"/>
  <c r="BU122" i="42" s="1"/>
  <c r="BV122" i="42" s="1"/>
  <c r="BW122" i="42" s="1"/>
  <c r="BX122" i="42" s="1"/>
  <c r="BY122" i="42" s="1"/>
  <c r="BZ122" i="42" s="1"/>
  <c r="CA122" i="42" s="1"/>
  <c r="CB122" i="42" s="1"/>
  <c r="CC122" i="42" s="1"/>
  <c r="CD122" i="42" s="1"/>
  <c r="CE122" i="42" s="1"/>
  <c r="CF122" i="42" s="1"/>
  <c r="AI121" i="42"/>
  <c r="AJ121" i="42" s="1"/>
  <c r="AK121" i="42" s="1"/>
  <c r="AL121" i="42" s="1"/>
  <c r="AM121" i="42" s="1"/>
  <c r="AN121" i="42" s="1"/>
  <c r="AO121" i="42" s="1"/>
  <c r="AP121" i="42" s="1"/>
  <c r="AQ121" i="42" s="1"/>
  <c r="AR121" i="42" s="1"/>
  <c r="AS121" i="42" s="1"/>
  <c r="AT121" i="42" s="1"/>
  <c r="AU121" i="42" s="1"/>
  <c r="AV121" i="42" s="1"/>
  <c r="AW121" i="42" s="1"/>
  <c r="AX121" i="42" s="1"/>
  <c r="AY121" i="42" s="1"/>
  <c r="AZ121" i="42" s="1"/>
  <c r="BA121" i="42" s="1"/>
  <c r="BB121" i="42" s="1"/>
  <c r="BC121" i="42" s="1"/>
  <c r="BD121" i="42" s="1"/>
  <c r="BE121" i="42" s="1"/>
  <c r="BF121" i="42" s="1"/>
  <c r="BG121" i="42" s="1"/>
  <c r="BH121" i="42" s="1"/>
  <c r="BI121" i="42" s="1"/>
  <c r="BJ121" i="42" s="1"/>
  <c r="BK121" i="42" s="1"/>
  <c r="BL121" i="42" s="1"/>
  <c r="BM121" i="42" s="1"/>
  <c r="BN121" i="42" s="1"/>
  <c r="BO121" i="42" s="1"/>
  <c r="BP121" i="42" s="1"/>
  <c r="BQ121" i="42" s="1"/>
  <c r="BR121" i="42" s="1"/>
  <c r="BS121" i="42" s="1"/>
  <c r="BT121" i="42" s="1"/>
  <c r="BU121" i="42" s="1"/>
  <c r="BV121" i="42" s="1"/>
  <c r="BW121" i="42" s="1"/>
  <c r="BX121" i="42" s="1"/>
  <c r="BY121" i="42" s="1"/>
  <c r="BZ121" i="42" s="1"/>
  <c r="CA121" i="42" s="1"/>
  <c r="CB121" i="42" s="1"/>
  <c r="CC121" i="42" s="1"/>
  <c r="CD121" i="42" s="1"/>
  <c r="CE121" i="42" s="1"/>
  <c r="CF121" i="42" s="1"/>
  <c r="AI120" i="42"/>
  <c r="AJ120" i="42" s="1"/>
  <c r="AK120" i="42" s="1"/>
  <c r="AL120" i="42" s="1"/>
  <c r="AM120" i="42" s="1"/>
  <c r="AN120" i="42" s="1"/>
  <c r="AO120" i="42" s="1"/>
  <c r="AP120" i="42" s="1"/>
  <c r="AQ120" i="42" s="1"/>
  <c r="AR120" i="42" s="1"/>
  <c r="AS120" i="42" s="1"/>
  <c r="AT120" i="42" s="1"/>
  <c r="AU120" i="42" s="1"/>
  <c r="AV120" i="42" s="1"/>
  <c r="AW120" i="42" s="1"/>
  <c r="AX120" i="42" s="1"/>
  <c r="AY120" i="42" s="1"/>
  <c r="AZ120" i="42" s="1"/>
  <c r="BA120" i="42" s="1"/>
  <c r="BB120" i="42" s="1"/>
  <c r="BC120" i="42" s="1"/>
  <c r="BD120" i="42" s="1"/>
  <c r="BE120" i="42" s="1"/>
  <c r="BF120" i="42" s="1"/>
  <c r="BG120" i="42" s="1"/>
  <c r="BH120" i="42" s="1"/>
  <c r="BI120" i="42" s="1"/>
  <c r="BJ120" i="42" s="1"/>
  <c r="BK120" i="42" s="1"/>
  <c r="BL120" i="42" s="1"/>
  <c r="BM120" i="42" s="1"/>
  <c r="BN120" i="42" s="1"/>
  <c r="BO120" i="42" s="1"/>
  <c r="BP120" i="42" s="1"/>
  <c r="BQ120" i="42" s="1"/>
  <c r="BR120" i="42" s="1"/>
  <c r="BS120" i="42" s="1"/>
  <c r="BT120" i="42" s="1"/>
  <c r="BU120" i="42" s="1"/>
  <c r="BV120" i="42" s="1"/>
  <c r="BW120" i="42" s="1"/>
  <c r="BX120" i="42" s="1"/>
  <c r="BY120" i="42" s="1"/>
  <c r="BZ120" i="42" s="1"/>
  <c r="CA120" i="42" s="1"/>
  <c r="CB120" i="42" s="1"/>
  <c r="CC120" i="42" s="1"/>
  <c r="CD120" i="42" s="1"/>
  <c r="CE120" i="42" s="1"/>
  <c r="CF120" i="42" s="1"/>
  <c r="AI119" i="42"/>
  <c r="AJ119" i="42" s="1"/>
  <c r="AK119" i="42" s="1"/>
  <c r="AL119" i="42" s="1"/>
  <c r="AM119" i="42" s="1"/>
  <c r="AN119" i="42" s="1"/>
  <c r="AO119" i="42" s="1"/>
  <c r="AP119" i="42" s="1"/>
  <c r="AQ119" i="42" s="1"/>
  <c r="AR119" i="42" s="1"/>
  <c r="AS119" i="42" s="1"/>
  <c r="AT119" i="42" s="1"/>
  <c r="AU119" i="42" s="1"/>
  <c r="AV119" i="42" s="1"/>
  <c r="AW119" i="42" s="1"/>
  <c r="AX119" i="42" s="1"/>
  <c r="AY119" i="42" s="1"/>
  <c r="AZ119" i="42" s="1"/>
  <c r="BA119" i="42" s="1"/>
  <c r="BB119" i="42" s="1"/>
  <c r="BC119" i="42" s="1"/>
  <c r="BD119" i="42" s="1"/>
  <c r="BE119" i="42" s="1"/>
  <c r="BF119" i="42" s="1"/>
  <c r="BG119" i="42" s="1"/>
  <c r="BH119" i="42" s="1"/>
  <c r="BI119" i="42" s="1"/>
  <c r="BJ119" i="42" s="1"/>
  <c r="BK119" i="42" s="1"/>
  <c r="BL119" i="42" s="1"/>
  <c r="BM119" i="42" s="1"/>
  <c r="BN119" i="42" s="1"/>
  <c r="BO119" i="42" s="1"/>
  <c r="BP119" i="42" s="1"/>
  <c r="BQ119" i="42" s="1"/>
  <c r="BR119" i="42" s="1"/>
  <c r="BS119" i="42" s="1"/>
  <c r="BT119" i="42" s="1"/>
  <c r="BU119" i="42" s="1"/>
  <c r="BV119" i="42" s="1"/>
  <c r="BW119" i="42" s="1"/>
  <c r="BX119" i="42" s="1"/>
  <c r="BY119" i="42" s="1"/>
  <c r="BZ119" i="42" s="1"/>
  <c r="CA119" i="42" s="1"/>
  <c r="CB119" i="42" s="1"/>
  <c r="CC119" i="42" s="1"/>
  <c r="CD119" i="42" s="1"/>
  <c r="CE119" i="42" s="1"/>
  <c r="CF119" i="42" s="1"/>
  <c r="AI118" i="42"/>
  <c r="AJ118" i="42" s="1"/>
  <c r="AK118" i="42" s="1"/>
  <c r="AL118" i="42" s="1"/>
  <c r="AM118" i="42" s="1"/>
  <c r="AN118" i="42" s="1"/>
  <c r="AO118" i="42" s="1"/>
  <c r="AP118" i="42" s="1"/>
  <c r="AQ118" i="42" s="1"/>
  <c r="AR118" i="42" s="1"/>
  <c r="AS118" i="42" s="1"/>
  <c r="AT118" i="42" s="1"/>
  <c r="AU118" i="42" s="1"/>
  <c r="AV118" i="42" s="1"/>
  <c r="AW118" i="42" s="1"/>
  <c r="AX118" i="42" s="1"/>
  <c r="AY118" i="42" s="1"/>
  <c r="AZ118" i="42" s="1"/>
  <c r="BA118" i="42" s="1"/>
  <c r="BB118" i="42" s="1"/>
  <c r="BC118" i="42" s="1"/>
  <c r="BD118" i="42" s="1"/>
  <c r="BE118" i="42" s="1"/>
  <c r="BF118" i="42" s="1"/>
  <c r="BG118" i="42" s="1"/>
  <c r="BH118" i="42" s="1"/>
  <c r="BI118" i="42" s="1"/>
  <c r="BJ118" i="42" s="1"/>
  <c r="BK118" i="42" s="1"/>
  <c r="BL118" i="42" s="1"/>
  <c r="BM118" i="42" s="1"/>
  <c r="BN118" i="42" s="1"/>
  <c r="BO118" i="42" s="1"/>
  <c r="BP118" i="42" s="1"/>
  <c r="BQ118" i="42" s="1"/>
  <c r="BR118" i="42" s="1"/>
  <c r="BS118" i="42" s="1"/>
  <c r="BT118" i="42" s="1"/>
  <c r="BU118" i="42" s="1"/>
  <c r="BV118" i="42" s="1"/>
  <c r="BW118" i="42" s="1"/>
  <c r="BX118" i="42" s="1"/>
  <c r="BY118" i="42" s="1"/>
  <c r="BZ118" i="42" s="1"/>
  <c r="CA118" i="42" s="1"/>
  <c r="CB118" i="42" s="1"/>
  <c r="CC118" i="42" s="1"/>
  <c r="CD118" i="42" s="1"/>
  <c r="CE118" i="42" s="1"/>
  <c r="CF118" i="42" s="1"/>
  <c r="AI117" i="42"/>
  <c r="AJ117" i="42" s="1"/>
  <c r="AK117" i="42" s="1"/>
  <c r="AL117" i="42" s="1"/>
  <c r="AM117" i="42" s="1"/>
  <c r="AN117" i="42" s="1"/>
  <c r="AO117" i="42" s="1"/>
  <c r="AP117" i="42" s="1"/>
  <c r="AQ117" i="42" s="1"/>
  <c r="AR117" i="42" s="1"/>
  <c r="AS117" i="42" s="1"/>
  <c r="AT117" i="42" s="1"/>
  <c r="AU117" i="42" s="1"/>
  <c r="AV117" i="42" s="1"/>
  <c r="AW117" i="42" s="1"/>
  <c r="AX117" i="42" s="1"/>
  <c r="AY117" i="42" s="1"/>
  <c r="AZ117" i="42" s="1"/>
  <c r="BA117" i="42" s="1"/>
  <c r="BB117" i="42" s="1"/>
  <c r="BC117" i="42" s="1"/>
  <c r="BD117" i="42" s="1"/>
  <c r="BE117" i="42" s="1"/>
  <c r="BF117" i="42" s="1"/>
  <c r="BG117" i="42" s="1"/>
  <c r="BH117" i="42" s="1"/>
  <c r="BI117" i="42" s="1"/>
  <c r="BJ117" i="42" s="1"/>
  <c r="BK117" i="42" s="1"/>
  <c r="BL117" i="42" s="1"/>
  <c r="BM117" i="42" s="1"/>
  <c r="BN117" i="42" s="1"/>
  <c r="BO117" i="42" s="1"/>
  <c r="BP117" i="42" s="1"/>
  <c r="BQ117" i="42" s="1"/>
  <c r="BR117" i="42" s="1"/>
  <c r="BS117" i="42" s="1"/>
  <c r="BT117" i="42" s="1"/>
  <c r="BU117" i="42" s="1"/>
  <c r="BV117" i="42" s="1"/>
  <c r="BW117" i="42" s="1"/>
  <c r="BX117" i="42" s="1"/>
  <c r="BY117" i="42" s="1"/>
  <c r="BZ117" i="42" s="1"/>
  <c r="CA117" i="42" s="1"/>
  <c r="CB117" i="42" s="1"/>
  <c r="CC117" i="42" s="1"/>
  <c r="CD117" i="42" s="1"/>
  <c r="CE117" i="42" s="1"/>
  <c r="CF117" i="42" s="1"/>
  <c r="AI116" i="42"/>
  <c r="AJ116" i="42" s="1"/>
  <c r="AK116" i="42" s="1"/>
  <c r="AL116" i="42" s="1"/>
  <c r="AM116" i="42" s="1"/>
  <c r="AN116" i="42" s="1"/>
  <c r="AO116" i="42" s="1"/>
  <c r="AP116" i="42" s="1"/>
  <c r="AQ116" i="42" s="1"/>
  <c r="AR116" i="42" s="1"/>
  <c r="AS116" i="42" s="1"/>
  <c r="AT116" i="42" s="1"/>
  <c r="AU116" i="42" s="1"/>
  <c r="AV116" i="42" s="1"/>
  <c r="AW116" i="42" s="1"/>
  <c r="AX116" i="42" s="1"/>
  <c r="AY116" i="42" s="1"/>
  <c r="AZ116" i="42" s="1"/>
  <c r="BA116" i="42" s="1"/>
  <c r="BB116" i="42" s="1"/>
  <c r="BC116" i="42" s="1"/>
  <c r="BD116" i="42" s="1"/>
  <c r="BE116" i="42" s="1"/>
  <c r="BF116" i="42" s="1"/>
  <c r="BG116" i="42" s="1"/>
  <c r="BH116" i="42" s="1"/>
  <c r="BI116" i="42" s="1"/>
  <c r="BJ116" i="42" s="1"/>
  <c r="BK116" i="42" s="1"/>
  <c r="BL116" i="42" s="1"/>
  <c r="BM116" i="42" s="1"/>
  <c r="BN116" i="42" s="1"/>
  <c r="BO116" i="42" s="1"/>
  <c r="BP116" i="42" s="1"/>
  <c r="BQ116" i="42" s="1"/>
  <c r="BR116" i="42" s="1"/>
  <c r="BS116" i="42" s="1"/>
  <c r="BT116" i="42" s="1"/>
  <c r="BU116" i="42" s="1"/>
  <c r="BV116" i="42" s="1"/>
  <c r="BW116" i="42" s="1"/>
  <c r="BX116" i="42" s="1"/>
  <c r="BY116" i="42" s="1"/>
  <c r="BZ116" i="42" s="1"/>
  <c r="CA116" i="42" s="1"/>
  <c r="CB116" i="42" s="1"/>
  <c r="CC116" i="42" s="1"/>
  <c r="CD116" i="42" s="1"/>
  <c r="CE116" i="42" s="1"/>
  <c r="CF116" i="42" s="1"/>
  <c r="AI115" i="42"/>
  <c r="AJ115" i="42" s="1"/>
  <c r="AK115" i="42" s="1"/>
  <c r="AL115" i="42" s="1"/>
  <c r="AM115" i="42" s="1"/>
  <c r="AN115" i="42" s="1"/>
  <c r="AO115" i="42" s="1"/>
  <c r="AP115" i="42" s="1"/>
  <c r="AQ115" i="42" s="1"/>
  <c r="AR115" i="42" s="1"/>
  <c r="AS115" i="42" s="1"/>
  <c r="AT115" i="42" s="1"/>
  <c r="AU115" i="42" s="1"/>
  <c r="AV115" i="42" s="1"/>
  <c r="AW115" i="42" s="1"/>
  <c r="AX115" i="42" s="1"/>
  <c r="AY115" i="42" s="1"/>
  <c r="AZ115" i="42" s="1"/>
  <c r="BA115" i="42" s="1"/>
  <c r="BB115" i="42" s="1"/>
  <c r="BC115" i="42" s="1"/>
  <c r="BD115" i="42" s="1"/>
  <c r="BE115" i="42" s="1"/>
  <c r="BF115" i="42" s="1"/>
  <c r="BG115" i="42" s="1"/>
  <c r="BH115" i="42" s="1"/>
  <c r="BI115" i="42" s="1"/>
  <c r="BJ115" i="42" s="1"/>
  <c r="BK115" i="42" s="1"/>
  <c r="BL115" i="42" s="1"/>
  <c r="BM115" i="42" s="1"/>
  <c r="BN115" i="42" s="1"/>
  <c r="BO115" i="42" s="1"/>
  <c r="BP115" i="42" s="1"/>
  <c r="BQ115" i="42" s="1"/>
  <c r="BR115" i="42" s="1"/>
  <c r="BS115" i="42" s="1"/>
  <c r="BT115" i="42" s="1"/>
  <c r="BU115" i="42" s="1"/>
  <c r="BV115" i="42" s="1"/>
  <c r="BW115" i="42" s="1"/>
  <c r="BX115" i="42" s="1"/>
  <c r="BY115" i="42" s="1"/>
  <c r="BZ115" i="42" s="1"/>
  <c r="CA115" i="42" s="1"/>
  <c r="CB115" i="42" s="1"/>
  <c r="CC115" i="42" s="1"/>
  <c r="CD115" i="42" s="1"/>
  <c r="CE115" i="42" s="1"/>
  <c r="CF115" i="42" s="1"/>
  <c r="AI114" i="42"/>
  <c r="AJ114" i="42" s="1"/>
  <c r="AK114" i="42" s="1"/>
  <c r="AL114" i="42" s="1"/>
  <c r="AM114" i="42" s="1"/>
  <c r="AN114" i="42" s="1"/>
  <c r="AO114" i="42" s="1"/>
  <c r="AP114" i="42" s="1"/>
  <c r="AQ114" i="42" s="1"/>
  <c r="AR114" i="42" s="1"/>
  <c r="AS114" i="42" s="1"/>
  <c r="AT114" i="42" s="1"/>
  <c r="AU114" i="42" s="1"/>
  <c r="AV114" i="42" s="1"/>
  <c r="AW114" i="42" s="1"/>
  <c r="AX114" i="42" s="1"/>
  <c r="AY114" i="42" s="1"/>
  <c r="AZ114" i="42" s="1"/>
  <c r="BA114" i="42" s="1"/>
  <c r="BB114" i="42" s="1"/>
  <c r="BC114" i="42" s="1"/>
  <c r="BD114" i="42" s="1"/>
  <c r="BE114" i="42" s="1"/>
  <c r="BF114" i="42" s="1"/>
  <c r="BG114" i="42" s="1"/>
  <c r="BH114" i="42" s="1"/>
  <c r="BI114" i="42" s="1"/>
  <c r="BJ114" i="42" s="1"/>
  <c r="BK114" i="42" s="1"/>
  <c r="BL114" i="42" s="1"/>
  <c r="BM114" i="42" s="1"/>
  <c r="BN114" i="42" s="1"/>
  <c r="BO114" i="42" s="1"/>
  <c r="BP114" i="42" s="1"/>
  <c r="BQ114" i="42" s="1"/>
  <c r="BR114" i="42" s="1"/>
  <c r="BS114" i="42" s="1"/>
  <c r="BT114" i="42" s="1"/>
  <c r="BU114" i="42" s="1"/>
  <c r="BV114" i="42" s="1"/>
  <c r="BW114" i="42" s="1"/>
  <c r="BX114" i="42" s="1"/>
  <c r="BY114" i="42" s="1"/>
  <c r="BZ114" i="42" s="1"/>
  <c r="CA114" i="42" s="1"/>
  <c r="CB114" i="42" s="1"/>
  <c r="CC114" i="42" s="1"/>
  <c r="CD114" i="42" s="1"/>
  <c r="CE114" i="42" s="1"/>
  <c r="CF114" i="42" s="1"/>
  <c r="AI113" i="42"/>
  <c r="AJ113" i="42" s="1"/>
  <c r="AK113" i="42" s="1"/>
  <c r="AL113" i="42" s="1"/>
  <c r="AM113" i="42" s="1"/>
  <c r="AN113" i="42" s="1"/>
  <c r="AO113" i="42" s="1"/>
  <c r="AP113" i="42" s="1"/>
  <c r="AQ113" i="42" s="1"/>
  <c r="AR113" i="42" s="1"/>
  <c r="AS113" i="42" s="1"/>
  <c r="AT113" i="42" s="1"/>
  <c r="AU113" i="42" s="1"/>
  <c r="AV113" i="42" s="1"/>
  <c r="AW113" i="42" s="1"/>
  <c r="AX113" i="42" s="1"/>
  <c r="AY113" i="42" s="1"/>
  <c r="AZ113" i="42" s="1"/>
  <c r="BA113" i="42" s="1"/>
  <c r="BB113" i="42" s="1"/>
  <c r="BC113" i="42" s="1"/>
  <c r="BD113" i="42" s="1"/>
  <c r="BE113" i="42" s="1"/>
  <c r="BF113" i="42" s="1"/>
  <c r="BG113" i="42" s="1"/>
  <c r="BH113" i="42" s="1"/>
  <c r="BI113" i="42" s="1"/>
  <c r="BJ113" i="42" s="1"/>
  <c r="BK113" i="42" s="1"/>
  <c r="BL113" i="42" s="1"/>
  <c r="BM113" i="42" s="1"/>
  <c r="BN113" i="42" s="1"/>
  <c r="BO113" i="42" s="1"/>
  <c r="BP113" i="42" s="1"/>
  <c r="BQ113" i="42" s="1"/>
  <c r="BR113" i="42" s="1"/>
  <c r="BS113" i="42" s="1"/>
  <c r="BT113" i="42" s="1"/>
  <c r="BU113" i="42" s="1"/>
  <c r="BV113" i="42" s="1"/>
  <c r="BW113" i="42" s="1"/>
  <c r="BX113" i="42" s="1"/>
  <c r="BY113" i="42" s="1"/>
  <c r="BZ113" i="42" s="1"/>
  <c r="CA113" i="42" s="1"/>
  <c r="CB113" i="42" s="1"/>
  <c r="CC113" i="42" s="1"/>
  <c r="CD113" i="42" s="1"/>
  <c r="CE113" i="42" s="1"/>
  <c r="CF113" i="42" s="1"/>
  <c r="AI112" i="42"/>
  <c r="AJ112" i="42" s="1"/>
  <c r="AK112" i="42" s="1"/>
  <c r="AL112" i="42" s="1"/>
  <c r="AM112" i="42" s="1"/>
  <c r="AN112" i="42" s="1"/>
  <c r="AO112" i="42" s="1"/>
  <c r="AP112" i="42" s="1"/>
  <c r="AQ112" i="42" s="1"/>
  <c r="AR112" i="42" s="1"/>
  <c r="AS112" i="42" s="1"/>
  <c r="AT112" i="42" s="1"/>
  <c r="AU112" i="42" s="1"/>
  <c r="AV112" i="42" s="1"/>
  <c r="AW112" i="42" s="1"/>
  <c r="AX112" i="42" s="1"/>
  <c r="AY112" i="42" s="1"/>
  <c r="AZ112" i="42" s="1"/>
  <c r="BA112" i="42" s="1"/>
  <c r="BB112" i="42" s="1"/>
  <c r="BC112" i="42" s="1"/>
  <c r="BD112" i="42" s="1"/>
  <c r="BE112" i="42" s="1"/>
  <c r="BF112" i="42" s="1"/>
  <c r="BG112" i="42" s="1"/>
  <c r="BH112" i="42" s="1"/>
  <c r="BI112" i="42" s="1"/>
  <c r="BJ112" i="42" s="1"/>
  <c r="BK112" i="42" s="1"/>
  <c r="BL112" i="42" s="1"/>
  <c r="BM112" i="42" s="1"/>
  <c r="BN112" i="42" s="1"/>
  <c r="BO112" i="42" s="1"/>
  <c r="BP112" i="42" s="1"/>
  <c r="BQ112" i="42" s="1"/>
  <c r="BR112" i="42" s="1"/>
  <c r="BS112" i="42" s="1"/>
  <c r="BT112" i="42" s="1"/>
  <c r="BU112" i="42" s="1"/>
  <c r="BV112" i="42" s="1"/>
  <c r="BW112" i="42" s="1"/>
  <c r="BX112" i="42" s="1"/>
  <c r="BY112" i="42" s="1"/>
  <c r="BZ112" i="42" s="1"/>
  <c r="CA112" i="42" s="1"/>
  <c r="CB112" i="42" s="1"/>
  <c r="CC112" i="42" s="1"/>
  <c r="CD112" i="42" s="1"/>
  <c r="CE112" i="42" s="1"/>
  <c r="CF112" i="42" s="1"/>
  <c r="AI111" i="42"/>
  <c r="AJ111" i="42" s="1"/>
  <c r="AK111" i="42" s="1"/>
  <c r="AL111" i="42" s="1"/>
  <c r="AM111" i="42" s="1"/>
  <c r="AN111" i="42" s="1"/>
  <c r="AO111" i="42" s="1"/>
  <c r="AP111" i="42" s="1"/>
  <c r="AQ111" i="42" s="1"/>
  <c r="AR111" i="42" s="1"/>
  <c r="AS111" i="42" s="1"/>
  <c r="AT111" i="42" s="1"/>
  <c r="AU111" i="42" s="1"/>
  <c r="AV111" i="42" s="1"/>
  <c r="AW111" i="42" s="1"/>
  <c r="AX111" i="42" s="1"/>
  <c r="AY111" i="42" s="1"/>
  <c r="AZ111" i="42" s="1"/>
  <c r="BA111" i="42" s="1"/>
  <c r="BB111" i="42" s="1"/>
  <c r="BC111" i="42" s="1"/>
  <c r="BD111" i="42" s="1"/>
  <c r="BE111" i="42" s="1"/>
  <c r="BF111" i="42" s="1"/>
  <c r="BG111" i="42" s="1"/>
  <c r="BH111" i="42" s="1"/>
  <c r="BI111" i="42" s="1"/>
  <c r="BJ111" i="42" s="1"/>
  <c r="BK111" i="42" s="1"/>
  <c r="BL111" i="42" s="1"/>
  <c r="BM111" i="42" s="1"/>
  <c r="BN111" i="42" s="1"/>
  <c r="BO111" i="42" s="1"/>
  <c r="BP111" i="42" s="1"/>
  <c r="BQ111" i="42" s="1"/>
  <c r="BR111" i="42" s="1"/>
  <c r="BS111" i="42" s="1"/>
  <c r="BT111" i="42" s="1"/>
  <c r="BU111" i="42" s="1"/>
  <c r="BV111" i="42" s="1"/>
  <c r="BW111" i="42" s="1"/>
  <c r="BX111" i="42" s="1"/>
  <c r="BY111" i="42" s="1"/>
  <c r="BZ111" i="42" s="1"/>
  <c r="CA111" i="42" s="1"/>
  <c r="CB111" i="42" s="1"/>
  <c r="CC111" i="42" s="1"/>
  <c r="CD111" i="42" s="1"/>
  <c r="CE111" i="42" s="1"/>
  <c r="CF111" i="42" s="1"/>
  <c r="AI110" i="42"/>
  <c r="AJ110" i="42" s="1"/>
  <c r="AK110" i="42" s="1"/>
  <c r="AL110" i="42" s="1"/>
  <c r="AM110" i="42" s="1"/>
  <c r="AN110" i="42" s="1"/>
  <c r="AO110" i="42" s="1"/>
  <c r="AP110" i="42" s="1"/>
  <c r="AQ110" i="42" s="1"/>
  <c r="AR110" i="42" s="1"/>
  <c r="AS110" i="42" s="1"/>
  <c r="AT110" i="42" s="1"/>
  <c r="AU110" i="42" s="1"/>
  <c r="AV110" i="42" s="1"/>
  <c r="AW110" i="42" s="1"/>
  <c r="AX110" i="42" s="1"/>
  <c r="AY110" i="42" s="1"/>
  <c r="AZ110" i="42" s="1"/>
  <c r="BA110" i="42" s="1"/>
  <c r="BB110" i="42" s="1"/>
  <c r="BC110" i="42" s="1"/>
  <c r="BD110" i="42" s="1"/>
  <c r="BE110" i="42" s="1"/>
  <c r="BF110" i="42" s="1"/>
  <c r="BG110" i="42" s="1"/>
  <c r="BH110" i="42" s="1"/>
  <c r="BI110" i="42" s="1"/>
  <c r="BJ110" i="42" s="1"/>
  <c r="BK110" i="42" s="1"/>
  <c r="BL110" i="42" s="1"/>
  <c r="BM110" i="42" s="1"/>
  <c r="BN110" i="42" s="1"/>
  <c r="BO110" i="42" s="1"/>
  <c r="BP110" i="42" s="1"/>
  <c r="BQ110" i="42" s="1"/>
  <c r="BR110" i="42" s="1"/>
  <c r="BS110" i="42" s="1"/>
  <c r="BT110" i="42" s="1"/>
  <c r="BU110" i="42" s="1"/>
  <c r="BV110" i="42" s="1"/>
  <c r="BW110" i="42" s="1"/>
  <c r="BX110" i="42" s="1"/>
  <c r="BY110" i="42" s="1"/>
  <c r="BZ110" i="42" s="1"/>
  <c r="CA110" i="42" s="1"/>
  <c r="CB110" i="42" s="1"/>
  <c r="CC110" i="42" s="1"/>
  <c r="CD110" i="42" s="1"/>
  <c r="CE110" i="42" s="1"/>
  <c r="CF110" i="42" s="1"/>
  <c r="AI109" i="42"/>
  <c r="AJ109" i="42" s="1"/>
  <c r="AK109" i="42" s="1"/>
  <c r="AL109" i="42" s="1"/>
  <c r="AM109" i="42" s="1"/>
  <c r="AN109" i="42" s="1"/>
  <c r="AO109" i="42" s="1"/>
  <c r="AP109" i="42" s="1"/>
  <c r="AQ109" i="42" s="1"/>
  <c r="AR109" i="42" s="1"/>
  <c r="AS109" i="42" s="1"/>
  <c r="AT109" i="42" s="1"/>
  <c r="AU109" i="42" s="1"/>
  <c r="AV109" i="42" s="1"/>
  <c r="AW109" i="42" s="1"/>
  <c r="AX109" i="42" s="1"/>
  <c r="AY109" i="42" s="1"/>
  <c r="AZ109" i="42" s="1"/>
  <c r="BA109" i="42" s="1"/>
  <c r="BB109" i="42" s="1"/>
  <c r="BC109" i="42" s="1"/>
  <c r="BD109" i="42" s="1"/>
  <c r="BE109" i="42" s="1"/>
  <c r="BF109" i="42" s="1"/>
  <c r="BG109" i="42" s="1"/>
  <c r="BH109" i="42" s="1"/>
  <c r="BI109" i="42" s="1"/>
  <c r="BJ109" i="42" s="1"/>
  <c r="BK109" i="42" s="1"/>
  <c r="BL109" i="42" s="1"/>
  <c r="BM109" i="42" s="1"/>
  <c r="BN109" i="42" s="1"/>
  <c r="BO109" i="42" s="1"/>
  <c r="BP109" i="42" s="1"/>
  <c r="BQ109" i="42" s="1"/>
  <c r="BR109" i="42" s="1"/>
  <c r="BS109" i="42" s="1"/>
  <c r="BT109" i="42" s="1"/>
  <c r="BU109" i="42" s="1"/>
  <c r="BV109" i="42" s="1"/>
  <c r="BW109" i="42" s="1"/>
  <c r="BX109" i="42" s="1"/>
  <c r="BY109" i="42" s="1"/>
  <c r="BZ109" i="42" s="1"/>
  <c r="CA109" i="42" s="1"/>
  <c r="CB109" i="42" s="1"/>
  <c r="CC109" i="42" s="1"/>
  <c r="CD109" i="42" s="1"/>
  <c r="CE109" i="42" s="1"/>
  <c r="CF109" i="42" s="1"/>
  <c r="AI108" i="42"/>
  <c r="AJ108" i="42" s="1"/>
  <c r="AK108" i="42" s="1"/>
  <c r="AL108" i="42" s="1"/>
  <c r="AM108" i="42" s="1"/>
  <c r="AN108" i="42" s="1"/>
  <c r="AO108" i="42" s="1"/>
  <c r="AP108" i="42" s="1"/>
  <c r="AQ108" i="42" s="1"/>
  <c r="AR108" i="42" s="1"/>
  <c r="AS108" i="42" s="1"/>
  <c r="AT108" i="42" s="1"/>
  <c r="AU108" i="42" s="1"/>
  <c r="AV108" i="42" s="1"/>
  <c r="AW108" i="42" s="1"/>
  <c r="AX108" i="42" s="1"/>
  <c r="AY108" i="42" s="1"/>
  <c r="AZ108" i="42" s="1"/>
  <c r="BA108" i="42" s="1"/>
  <c r="BB108" i="42" s="1"/>
  <c r="BC108" i="42" s="1"/>
  <c r="BD108" i="42" s="1"/>
  <c r="BE108" i="42" s="1"/>
  <c r="BF108" i="42" s="1"/>
  <c r="BG108" i="42" s="1"/>
  <c r="BH108" i="42" s="1"/>
  <c r="BI108" i="42" s="1"/>
  <c r="BJ108" i="42" s="1"/>
  <c r="BK108" i="42" s="1"/>
  <c r="BL108" i="42" s="1"/>
  <c r="BM108" i="42" s="1"/>
  <c r="BN108" i="42" s="1"/>
  <c r="BO108" i="42" s="1"/>
  <c r="BP108" i="42" s="1"/>
  <c r="BQ108" i="42" s="1"/>
  <c r="BR108" i="42" s="1"/>
  <c r="BS108" i="42" s="1"/>
  <c r="BT108" i="42" s="1"/>
  <c r="BU108" i="42" s="1"/>
  <c r="BV108" i="42" s="1"/>
  <c r="BW108" i="42" s="1"/>
  <c r="BX108" i="42" s="1"/>
  <c r="BY108" i="42" s="1"/>
  <c r="BZ108" i="42" s="1"/>
  <c r="CA108" i="42" s="1"/>
  <c r="CB108" i="42" s="1"/>
  <c r="CC108" i="42" s="1"/>
  <c r="CD108" i="42" s="1"/>
  <c r="CE108" i="42" s="1"/>
  <c r="CF108" i="42" s="1"/>
  <c r="AI107" i="42"/>
  <c r="AJ107" i="42" s="1"/>
  <c r="AK107" i="42" s="1"/>
  <c r="AL107" i="42" s="1"/>
  <c r="AM107" i="42" s="1"/>
  <c r="AN107" i="42" s="1"/>
  <c r="AO107" i="42" s="1"/>
  <c r="AP107" i="42" s="1"/>
  <c r="AQ107" i="42" s="1"/>
  <c r="AR107" i="42" s="1"/>
  <c r="AS107" i="42" s="1"/>
  <c r="AT107" i="42" s="1"/>
  <c r="AU107" i="42" s="1"/>
  <c r="AV107" i="42" s="1"/>
  <c r="AW107" i="42" s="1"/>
  <c r="AX107" i="42" s="1"/>
  <c r="AY107" i="42" s="1"/>
  <c r="AZ107" i="42" s="1"/>
  <c r="BA107" i="42" s="1"/>
  <c r="BB107" i="42" s="1"/>
  <c r="BC107" i="42" s="1"/>
  <c r="BD107" i="42" s="1"/>
  <c r="BE107" i="42" s="1"/>
  <c r="BF107" i="42" s="1"/>
  <c r="BG107" i="42" s="1"/>
  <c r="BH107" i="42" s="1"/>
  <c r="BI107" i="42" s="1"/>
  <c r="BJ107" i="42" s="1"/>
  <c r="BK107" i="42" s="1"/>
  <c r="BL107" i="42" s="1"/>
  <c r="BM107" i="42" s="1"/>
  <c r="BN107" i="42" s="1"/>
  <c r="BO107" i="42" s="1"/>
  <c r="BP107" i="42" s="1"/>
  <c r="BQ107" i="42" s="1"/>
  <c r="BR107" i="42" s="1"/>
  <c r="BS107" i="42" s="1"/>
  <c r="BT107" i="42" s="1"/>
  <c r="BU107" i="42" s="1"/>
  <c r="BV107" i="42" s="1"/>
  <c r="BW107" i="42" s="1"/>
  <c r="BX107" i="42" s="1"/>
  <c r="BY107" i="42" s="1"/>
  <c r="BZ107" i="42" s="1"/>
  <c r="CA107" i="42" s="1"/>
  <c r="CB107" i="42" s="1"/>
  <c r="CC107" i="42" s="1"/>
  <c r="CD107" i="42" s="1"/>
  <c r="CE107" i="42" s="1"/>
  <c r="CF107" i="42" s="1"/>
  <c r="AI106" i="42"/>
  <c r="AJ106" i="42" s="1"/>
  <c r="AK106" i="42" s="1"/>
  <c r="AL106" i="42" s="1"/>
  <c r="AM106" i="42" s="1"/>
  <c r="AN106" i="42" s="1"/>
  <c r="AO106" i="42" s="1"/>
  <c r="AP106" i="42" s="1"/>
  <c r="AQ106" i="42" s="1"/>
  <c r="AR106" i="42" s="1"/>
  <c r="AS106" i="42" s="1"/>
  <c r="AT106" i="42" s="1"/>
  <c r="AU106" i="42" s="1"/>
  <c r="AV106" i="42" s="1"/>
  <c r="AW106" i="42" s="1"/>
  <c r="AX106" i="42" s="1"/>
  <c r="AY106" i="42" s="1"/>
  <c r="AZ106" i="42" s="1"/>
  <c r="BA106" i="42" s="1"/>
  <c r="BB106" i="42" s="1"/>
  <c r="BC106" i="42" s="1"/>
  <c r="BD106" i="42" s="1"/>
  <c r="BE106" i="42" s="1"/>
  <c r="BF106" i="42" s="1"/>
  <c r="BG106" i="42" s="1"/>
  <c r="BH106" i="42" s="1"/>
  <c r="BI106" i="42" s="1"/>
  <c r="BJ106" i="42" s="1"/>
  <c r="BK106" i="42" s="1"/>
  <c r="BL106" i="42" s="1"/>
  <c r="BM106" i="42" s="1"/>
  <c r="BN106" i="42" s="1"/>
  <c r="BO106" i="42" s="1"/>
  <c r="BP106" i="42" s="1"/>
  <c r="BQ106" i="42" s="1"/>
  <c r="BR106" i="42" s="1"/>
  <c r="BS106" i="42" s="1"/>
  <c r="BT106" i="42" s="1"/>
  <c r="BU106" i="42" s="1"/>
  <c r="BV106" i="42" s="1"/>
  <c r="BW106" i="42" s="1"/>
  <c r="BX106" i="42" s="1"/>
  <c r="BY106" i="42" s="1"/>
  <c r="BZ106" i="42" s="1"/>
  <c r="CA106" i="42" s="1"/>
  <c r="CB106" i="42" s="1"/>
  <c r="CC106" i="42" s="1"/>
  <c r="CD106" i="42" s="1"/>
  <c r="CE106" i="42" s="1"/>
  <c r="CF106" i="42" s="1"/>
  <c r="AI105" i="42"/>
  <c r="AJ105" i="42" s="1"/>
  <c r="AK105" i="42" s="1"/>
  <c r="AL105" i="42" s="1"/>
  <c r="AM105" i="42" s="1"/>
  <c r="AN105" i="42" s="1"/>
  <c r="AO105" i="42" s="1"/>
  <c r="AP105" i="42" s="1"/>
  <c r="AQ105" i="42" s="1"/>
  <c r="AR105" i="42" s="1"/>
  <c r="AS105" i="42" s="1"/>
  <c r="AT105" i="42" s="1"/>
  <c r="AU105" i="42" s="1"/>
  <c r="AV105" i="42" s="1"/>
  <c r="AW105" i="42" s="1"/>
  <c r="AX105" i="42" s="1"/>
  <c r="AY105" i="42" s="1"/>
  <c r="AZ105" i="42" s="1"/>
  <c r="BA105" i="42" s="1"/>
  <c r="BB105" i="42" s="1"/>
  <c r="BC105" i="42" s="1"/>
  <c r="BD105" i="42" s="1"/>
  <c r="BE105" i="42" s="1"/>
  <c r="BF105" i="42" s="1"/>
  <c r="BG105" i="42" s="1"/>
  <c r="BH105" i="42" s="1"/>
  <c r="BI105" i="42" s="1"/>
  <c r="BJ105" i="42" s="1"/>
  <c r="BK105" i="42" s="1"/>
  <c r="BL105" i="42" s="1"/>
  <c r="BM105" i="42" s="1"/>
  <c r="BN105" i="42" s="1"/>
  <c r="BO105" i="42" s="1"/>
  <c r="BP105" i="42" s="1"/>
  <c r="BQ105" i="42" s="1"/>
  <c r="BR105" i="42" s="1"/>
  <c r="BS105" i="42" s="1"/>
  <c r="BT105" i="42" s="1"/>
  <c r="BU105" i="42" s="1"/>
  <c r="BV105" i="42" s="1"/>
  <c r="BW105" i="42" s="1"/>
  <c r="BX105" i="42" s="1"/>
  <c r="BY105" i="42" s="1"/>
  <c r="BZ105" i="42" s="1"/>
  <c r="CA105" i="42" s="1"/>
  <c r="CB105" i="42" s="1"/>
  <c r="CC105" i="42" s="1"/>
  <c r="CD105" i="42" s="1"/>
  <c r="CE105" i="42" s="1"/>
  <c r="CF105" i="42" s="1"/>
  <c r="AI104" i="42"/>
  <c r="AJ104" i="42" s="1"/>
  <c r="AK104" i="42" s="1"/>
  <c r="AL104" i="42" s="1"/>
  <c r="AM104" i="42" s="1"/>
  <c r="AN104" i="42" s="1"/>
  <c r="AO104" i="42" s="1"/>
  <c r="AP104" i="42" s="1"/>
  <c r="AQ104" i="42" s="1"/>
  <c r="AR104" i="42" s="1"/>
  <c r="AS104" i="42" s="1"/>
  <c r="AT104" i="42" s="1"/>
  <c r="AU104" i="42" s="1"/>
  <c r="AV104" i="42" s="1"/>
  <c r="AW104" i="42" s="1"/>
  <c r="AX104" i="42" s="1"/>
  <c r="AY104" i="42" s="1"/>
  <c r="AZ104" i="42" s="1"/>
  <c r="BA104" i="42" s="1"/>
  <c r="BB104" i="42" s="1"/>
  <c r="BC104" i="42" s="1"/>
  <c r="BD104" i="42" s="1"/>
  <c r="BE104" i="42" s="1"/>
  <c r="BF104" i="42" s="1"/>
  <c r="BG104" i="42" s="1"/>
  <c r="BH104" i="42" s="1"/>
  <c r="BI104" i="42" s="1"/>
  <c r="BJ104" i="42" s="1"/>
  <c r="BK104" i="42" s="1"/>
  <c r="BL104" i="42" s="1"/>
  <c r="BM104" i="42" s="1"/>
  <c r="BN104" i="42" s="1"/>
  <c r="BO104" i="42" s="1"/>
  <c r="BP104" i="42" s="1"/>
  <c r="BQ104" i="42" s="1"/>
  <c r="BR104" i="42" s="1"/>
  <c r="BS104" i="42" s="1"/>
  <c r="BT104" i="42" s="1"/>
  <c r="BU104" i="42" s="1"/>
  <c r="BV104" i="42" s="1"/>
  <c r="BW104" i="42" s="1"/>
  <c r="BX104" i="42" s="1"/>
  <c r="BY104" i="42" s="1"/>
  <c r="BZ104" i="42" s="1"/>
  <c r="CA104" i="42" s="1"/>
  <c r="CB104" i="42" s="1"/>
  <c r="CC104" i="42" s="1"/>
  <c r="CD104" i="42" s="1"/>
  <c r="CE104" i="42" s="1"/>
  <c r="CF104" i="42" s="1"/>
  <c r="AI103" i="42"/>
  <c r="AJ103" i="42" s="1"/>
  <c r="AK103" i="42" s="1"/>
  <c r="AL103" i="42" s="1"/>
  <c r="AM103" i="42" s="1"/>
  <c r="AN103" i="42" s="1"/>
  <c r="AO103" i="42" s="1"/>
  <c r="AP103" i="42" s="1"/>
  <c r="AQ103" i="42" s="1"/>
  <c r="AR103" i="42" s="1"/>
  <c r="AS103" i="42" s="1"/>
  <c r="AT103" i="42" s="1"/>
  <c r="AU103" i="42" s="1"/>
  <c r="AV103" i="42" s="1"/>
  <c r="AW103" i="42" s="1"/>
  <c r="AX103" i="42" s="1"/>
  <c r="AY103" i="42" s="1"/>
  <c r="AZ103" i="42" s="1"/>
  <c r="BA103" i="42" s="1"/>
  <c r="BB103" i="42" s="1"/>
  <c r="BC103" i="42" s="1"/>
  <c r="BD103" i="42" s="1"/>
  <c r="BE103" i="42" s="1"/>
  <c r="BF103" i="42" s="1"/>
  <c r="BG103" i="42" s="1"/>
  <c r="BH103" i="42" s="1"/>
  <c r="BI103" i="42" s="1"/>
  <c r="BJ103" i="42" s="1"/>
  <c r="BK103" i="42" s="1"/>
  <c r="BL103" i="42" s="1"/>
  <c r="BM103" i="42" s="1"/>
  <c r="BN103" i="42" s="1"/>
  <c r="BO103" i="42" s="1"/>
  <c r="BP103" i="42" s="1"/>
  <c r="BQ103" i="42" s="1"/>
  <c r="BR103" i="42" s="1"/>
  <c r="BS103" i="42" s="1"/>
  <c r="BT103" i="42" s="1"/>
  <c r="BU103" i="42" s="1"/>
  <c r="BV103" i="42" s="1"/>
  <c r="BW103" i="42" s="1"/>
  <c r="BX103" i="42" s="1"/>
  <c r="BY103" i="42" s="1"/>
  <c r="BZ103" i="42" s="1"/>
  <c r="CA103" i="42" s="1"/>
  <c r="CB103" i="42" s="1"/>
  <c r="CC103" i="42" s="1"/>
  <c r="CD103" i="42" s="1"/>
  <c r="CE103" i="42" s="1"/>
  <c r="CF103" i="42" s="1"/>
  <c r="AI102" i="42"/>
  <c r="AJ102" i="42" s="1"/>
  <c r="AK102" i="42" s="1"/>
  <c r="AL102" i="42" s="1"/>
  <c r="AM102" i="42" s="1"/>
  <c r="AN102" i="42" s="1"/>
  <c r="AO102" i="42" s="1"/>
  <c r="AP102" i="42" s="1"/>
  <c r="AQ102" i="42" s="1"/>
  <c r="AR102" i="42" s="1"/>
  <c r="AS102" i="42" s="1"/>
  <c r="AT102" i="42" s="1"/>
  <c r="AU102" i="42" s="1"/>
  <c r="AV102" i="42" s="1"/>
  <c r="AW102" i="42" s="1"/>
  <c r="AX102" i="42" s="1"/>
  <c r="AY102" i="42" s="1"/>
  <c r="AZ102" i="42" s="1"/>
  <c r="BA102" i="42" s="1"/>
  <c r="BB102" i="42" s="1"/>
  <c r="BC102" i="42" s="1"/>
  <c r="BD102" i="42" s="1"/>
  <c r="BE102" i="42" s="1"/>
  <c r="BF102" i="42" s="1"/>
  <c r="BG102" i="42" s="1"/>
  <c r="BH102" i="42" s="1"/>
  <c r="BI102" i="42" s="1"/>
  <c r="BJ102" i="42" s="1"/>
  <c r="BK102" i="42" s="1"/>
  <c r="BL102" i="42" s="1"/>
  <c r="BM102" i="42" s="1"/>
  <c r="BN102" i="42" s="1"/>
  <c r="BO102" i="42" s="1"/>
  <c r="BP102" i="42" s="1"/>
  <c r="BQ102" i="42" s="1"/>
  <c r="BR102" i="42" s="1"/>
  <c r="BS102" i="42" s="1"/>
  <c r="BT102" i="42" s="1"/>
  <c r="BU102" i="42" s="1"/>
  <c r="BV102" i="42" s="1"/>
  <c r="BW102" i="42" s="1"/>
  <c r="BX102" i="42" s="1"/>
  <c r="BY102" i="42" s="1"/>
  <c r="BZ102" i="42" s="1"/>
  <c r="CA102" i="42" s="1"/>
  <c r="CB102" i="42" s="1"/>
  <c r="CC102" i="42" s="1"/>
  <c r="CD102" i="42" s="1"/>
  <c r="CE102" i="42" s="1"/>
  <c r="CF102" i="42" s="1"/>
  <c r="AI101" i="42"/>
  <c r="AJ101" i="42" s="1"/>
  <c r="AK101" i="42" s="1"/>
  <c r="AL101" i="42" s="1"/>
  <c r="AM101" i="42" s="1"/>
  <c r="AN101" i="42" s="1"/>
  <c r="AO101" i="42" s="1"/>
  <c r="AP101" i="42" s="1"/>
  <c r="AQ101" i="42" s="1"/>
  <c r="AR101" i="42" s="1"/>
  <c r="AS101" i="42" s="1"/>
  <c r="AT101" i="42" s="1"/>
  <c r="AU101" i="42" s="1"/>
  <c r="AV101" i="42" s="1"/>
  <c r="AW101" i="42" s="1"/>
  <c r="AX101" i="42" s="1"/>
  <c r="AY101" i="42" s="1"/>
  <c r="AZ101" i="42" s="1"/>
  <c r="BA101" i="42" s="1"/>
  <c r="BB101" i="42" s="1"/>
  <c r="BC101" i="42" s="1"/>
  <c r="BD101" i="42" s="1"/>
  <c r="BE101" i="42" s="1"/>
  <c r="BF101" i="42" s="1"/>
  <c r="BG101" i="42" s="1"/>
  <c r="BH101" i="42" s="1"/>
  <c r="BI101" i="42" s="1"/>
  <c r="BJ101" i="42" s="1"/>
  <c r="BK101" i="42" s="1"/>
  <c r="BL101" i="42" s="1"/>
  <c r="BM101" i="42" s="1"/>
  <c r="BN101" i="42" s="1"/>
  <c r="BO101" i="42" s="1"/>
  <c r="BP101" i="42" s="1"/>
  <c r="BQ101" i="42" s="1"/>
  <c r="BR101" i="42" s="1"/>
  <c r="BS101" i="42" s="1"/>
  <c r="BT101" i="42" s="1"/>
  <c r="BU101" i="42" s="1"/>
  <c r="BV101" i="42" s="1"/>
  <c r="BW101" i="42" s="1"/>
  <c r="BX101" i="42" s="1"/>
  <c r="BY101" i="42" s="1"/>
  <c r="BZ101" i="42" s="1"/>
  <c r="CA101" i="42" s="1"/>
  <c r="CB101" i="42" s="1"/>
  <c r="CC101" i="42" s="1"/>
  <c r="CD101" i="42" s="1"/>
  <c r="CE101" i="42" s="1"/>
  <c r="CF101" i="42" s="1"/>
  <c r="AI100" i="42"/>
  <c r="AJ100" i="42" s="1"/>
  <c r="AK100" i="42" s="1"/>
  <c r="AL100" i="42" s="1"/>
  <c r="AM100" i="42" s="1"/>
  <c r="AN100" i="42" s="1"/>
  <c r="AO100" i="42" s="1"/>
  <c r="AP100" i="42" s="1"/>
  <c r="AQ100" i="42" s="1"/>
  <c r="AR100" i="42" s="1"/>
  <c r="AS100" i="42" s="1"/>
  <c r="AT100" i="42" s="1"/>
  <c r="AU100" i="42" s="1"/>
  <c r="AV100" i="42" s="1"/>
  <c r="AW100" i="42" s="1"/>
  <c r="AX100" i="42" s="1"/>
  <c r="AY100" i="42" s="1"/>
  <c r="AZ100" i="42" s="1"/>
  <c r="BA100" i="42" s="1"/>
  <c r="BB100" i="42" s="1"/>
  <c r="BC100" i="42" s="1"/>
  <c r="BD100" i="42" s="1"/>
  <c r="BE100" i="42" s="1"/>
  <c r="BF100" i="42" s="1"/>
  <c r="BG100" i="42" s="1"/>
  <c r="BH100" i="42" s="1"/>
  <c r="BI100" i="42" s="1"/>
  <c r="BJ100" i="42" s="1"/>
  <c r="BK100" i="42" s="1"/>
  <c r="BL100" i="42" s="1"/>
  <c r="BM100" i="42" s="1"/>
  <c r="BN100" i="42" s="1"/>
  <c r="BO100" i="42" s="1"/>
  <c r="BP100" i="42" s="1"/>
  <c r="BQ100" i="42" s="1"/>
  <c r="BR100" i="42" s="1"/>
  <c r="BS100" i="42" s="1"/>
  <c r="BT100" i="42" s="1"/>
  <c r="BU100" i="42" s="1"/>
  <c r="BV100" i="42" s="1"/>
  <c r="BW100" i="42" s="1"/>
  <c r="BX100" i="42" s="1"/>
  <c r="BY100" i="42" s="1"/>
  <c r="BZ100" i="42" s="1"/>
  <c r="CA100" i="42" s="1"/>
  <c r="CB100" i="42" s="1"/>
  <c r="CC100" i="42" s="1"/>
  <c r="CD100" i="42" s="1"/>
  <c r="CE100" i="42" s="1"/>
  <c r="CF100" i="42" s="1"/>
  <c r="AI99" i="42"/>
  <c r="AJ99" i="42" s="1"/>
  <c r="AK99" i="42" s="1"/>
  <c r="AL99" i="42" s="1"/>
  <c r="AM99" i="42" s="1"/>
  <c r="AN99" i="42" s="1"/>
  <c r="AO99" i="42" s="1"/>
  <c r="AP99" i="42" s="1"/>
  <c r="AQ99" i="42" s="1"/>
  <c r="AR99" i="42" s="1"/>
  <c r="AS99" i="42" s="1"/>
  <c r="AT99" i="42" s="1"/>
  <c r="AU99" i="42" s="1"/>
  <c r="AV99" i="42" s="1"/>
  <c r="AW99" i="42" s="1"/>
  <c r="AX99" i="42" s="1"/>
  <c r="AY99" i="42" s="1"/>
  <c r="AZ99" i="42" s="1"/>
  <c r="BA99" i="42" s="1"/>
  <c r="BB99" i="42" s="1"/>
  <c r="BC99" i="42" s="1"/>
  <c r="BD99" i="42" s="1"/>
  <c r="BE99" i="42" s="1"/>
  <c r="BF99" i="42" s="1"/>
  <c r="BG99" i="42" s="1"/>
  <c r="BH99" i="42" s="1"/>
  <c r="BI99" i="42" s="1"/>
  <c r="BJ99" i="42" s="1"/>
  <c r="BK99" i="42" s="1"/>
  <c r="BL99" i="42" s="1"/>
  <c r="BM99" i="42" s="1"/>
  <c r="BN99" i="42" s="1"/>
  <c r="BO99" i="42" s="1"/>
  <c r="BP99" i="42" s="1"/>
  <c r="BQ99" i="42" s="1"/>
  <c r="BR99" i="42" s="1"/>
  <c r="BS99" i="42" s="1"/>
  <c r="BT99" i="42" s="1"/>
  <c r="BU99" i="42" s="1"/>
  <c r="BV99" i="42" s="1"/>
  <c r="BW99" i="42" s="1"/>
  <c r="BX99" i="42" s="1"/>
  <c r="BY99" i="42" s="1"/>
  <c r="BZ99" i="42" s="1"/>
  <c r="CA99" i="42" s="1"/>
  <c r="CB99" i="42" s="1"/>
  <c r="CC99" i="42" s="1"/>
  <c r="CD99" i="42" s="1"/>
  <c r="CE99" i="42" s="1"/>
  <c r="CF99" i="42" s="1"/>
  <c r="AI98" i="42"/>
  <c r="AJ98" i="42" s="1"/>
  <c r="AK98" i="42" s="1"/>
  <c r="AL98" i="42" s="1"/>
  <c r="AM98" i="42" s="1"/>
  <c r="AN98" i="42" s="1"/>
  <c r="AO98" i="42" s="1"/>
  <c r="AP98" i="42" s="1"/>
  <c r="AQ98" i="42" s="1"/>
  <c r="AR98" i="42" s="1"/>
  <c r="AS98" i="42" s="1"/>
  <c r="AT98" i="42" s="1"/>
  <c r="AU98" i="42" s="1"/>
  <c r="AV98" i="42" s="1"/>
  <c r="AW98" i="42" s="1"/>
  <c r="AX98" i="42" s="1"/>
  <c r="AY98" i="42" s="1"/>
  <c r="AZ98" i="42" s="1"/>
  <c r="BA98" i="42" s="1"/>
  <c r="BB98" i="42" s="1"/>
  <c r="BC98" i="42" s="1"/>
  <c r="BD98" i="42" s="1"/>
  <c r="BE98" i="42" s="1"/>
  <c r="BF98" i="42" s="1"/>
  <c r="BG98" i="42" s="1"/>
  <c r="BH98" i="42" s="1"/>
  <c r="BI98" i="42" s="1"/>
  <c r="BJ98" i="42" s="1"/>
  <c r="BK98" i="42" s="1"/>
  <c r="BL98" i="42" s="1"/>
  <c r="BM98" i="42" s="1"/>
  <c r="BN98" i="42" s="1"/>
  <c r="BO98" i="42" s="1"/>
  <c r="BP98" i="42" s="1"/>
  <c r="BQ98" i="42" s="1"/>
  <c r="BR98" i="42" s="1"/>
  <c r="BS98" i="42" s="1"/>
  <c r="BT98" i="42" s="1"/>
  <c r="BU98" i="42" s="1"/>
  <c r="BV98" i="42" s="1"/>
  <c r="BW98" i="42" s="1"/>
  <c r="BX98" i="42" s="1"/>
  <c r="BY98" i="42" s="1"/>
  <c r="BZ98" i="42" s="1"/>
  <c r="CA98" i="42" s="1"/>
  <c r="CB98" i="42" s="1"/>
  <c r="CC98" i="42" s="1"/>
  <c r="CD98" i="42" s="1"/>
  <c r="CE98" i="42" s="1"/>
  <c r="CF98" i="42" s="1"/>
  <c r="AI97" i="42"/>
  <c r="AJ97" i="42" s="1"/>
  <c r="AK97" i="42" s="1"/>
  <c r="AL97" i="42" s="1"/>
  <c r="AM97" i="42" s="1"/>
  <c r="AN97" i="42" s="1"/>
  <c r="AO97" i="42" s="1"/>
  <c r="AP97" i="42" s="1"/>
  <c r="AQ97" i="42" s="1"/>
  <c r="AR97" i="42" s="1"/>
  <c r="AS97" i="42" s="1"/>
  <c r="AT97" i="42" s="1"/>
  <c r="AU97" i="42" s="1"/>
  <c r="AV97" i="42" s="1"/>
  <c r="AW97" i="42" s="1"/>
  <c r="AX97" i="42" s="1"/>
  <c r="AY97" i="42" s="1"/>
  <c r="AZ97" i="42" s="1"/>
  <c r="BA97" i="42" s="1"/>
  <c r="BB97" i="42" s="1"/>
  <c r="BC97" i="42" s="1"/>
  <c r="BD97" i="42" s="1"/>
  <c r="BE97" i="42" s="1"/>
  <c r="BF97" i="42" s="1"/>
  <c r="BG97" i="42" s="1"/>
  <c r="BH97" i="42" s="1"/>
  <c r="BI97" i="42" s="1"/>
  <c r="BJ97" i="42" s="1"/>
  <c r="BK97" i="42" s="1"/>
  <c r="BL97" i="42" s="1"/>
  <c r="BM97" i="42" s="1"/>
  <c r="BN97" i="42" s="1"/>
  <c r="BO97" i="42" s="1"/>
  <c r="BP97" i="42" s="1"/>
  <c r="BQ97" i="42" s="1"/>
  <c r="BR97" i="42" s="1"/>
  <c r="BS97" i="42" s="1"/>
  <c r="BT97" i="42" s="1"/>
  <c r="BU97" i="42" s="1"/>
  <c r="BV97" i="42" s="1"/>
  <c r="BW97" i="42" s="1"/>
  <c r="BX97" i="42" s="1"/>
  <c r="BY97" i="42" s="1"/>
  <c r="BZ97" i="42" s="1"/>
  <c r="CA97" i="42" s="1"/>
  <c r="CB97" i="42" s="1"/>
  <c r="CC97" i="42" s="1"/>
  <c r="CD97" i="42" s="1"/>
  <c r="CE97" i="42" s="1"/>
  <c r="CF97" i="42" s="1"/>
  <c r="AI96" i="42"/>
  <c r="AJ96" i="42" s="1"/>
  <c r="AK96" i="42" s="1"/>
  <c r="AL96" i="42" s="1"/>
  <c r="AM96" i="42" s="1"/>
  <c r="AN96" i="42" s="1"/>
  <c r="AO96" i="42" s="1"/>
  <c r="AP96" i="42" s="1"/>
  <c r="AQ96" i="42" s="1"/>
  <c r="AR96" i="42" s="1"/>
  <c r="AS96" i="42" s="1"/>
  <c r="AT96" i="42" s="1"/>
  <c r="AU96" i="42" s="1"/>
  <c r="AV96" i="42" s="1"/>
  <c r="AW96" i="42" s="1"/>
  <c r="AX96" i="42" s="1"/>
  <c r="AY96" i="42" s="1"/>
  <c r="AZ96" i="42" s="1"/>
  <c r="BA96" i="42" s="1"/>
  <c r="BB96" i="42" s="1"/>
  <c r="BC96" i="42" s="1"/>
  <c r="BD96" i="42" s="1"/>
  <c r="BE96" i="42" s="1"/>
  <c r="BF96" i="42" s="1"/>
  <c r="BG96" i="42" s="1"/>
  <c r="BH96" i="42" s="1"/>
  <c r="BI96" i="42" s="1"/>
  <c r="BJ96" i="42" s="1"/>
  <c r="BK96" i="42" s="1"/>
  <c r="BL96" i="42" s="1"/>
  <c r="BM96" i="42" s="1"/>
  <c r="BN96" i="42" s="1"/>
  <c r="BO96" i="42" s="1"/>
  <c r="BP96" i="42" s="1"/>
  <c r="BQ96" i="42" s="1"/>
  <c r="BR96" i="42" s="1"/>
  <c r="BS96" i="42" s="1"/>
  <c r="BT96" i="42" s="1"/>
  <c r="BU96" i="42" s="1"/>
  <c r="BV96" i="42" s="1"/>
  <c r="BW96" i="42" s="1"/>
  <c r="BX96" i="42" s="1"/>
  <c r="BY96" i="42" s="1"/>
  <c r="BZ96" i="42" s="1"/>
  <c r="CA96" i="42" s="1"/>
  <c r="CB96" i="42" s="1"/>
  <c r="CC96" i="42" s="1"/>
  <c r="CD96" i="42" s="1"/>
  <c r="CE96" i="42" s="1"/>
  <c r="CF96" i="42" s="1"/>
  <c r="AI95" i="42"/>
  <c r="AJ95" i="42" s="1"/>
  <c r="AK95" i="42" s="1"/>
  <c r="AL95" i="42" s="1"/>
  <c r="AM95" i="42" s="1"/>
  <c r="AN95" i="42" s="1"/>
  <c r="AO95" i="42" s="1"/>
  <c r="AP95" i="42" s="1"/>
  <c r="AQ95" i="42" s="1"/>
  <c r="AR95" i="42" s="1"/>
  <c r="AS95" i="42" s="1"/>
  <c r="AT95" i="42" s="1"/>
  <c r="AU95" i="42" s="1"/>
  <c r="AV95" i="42" s="1"/>
  <c r="AW95" i="42" s="1"/>
  <c r="AX95" i="42" s="1"/>
  <c r="AY95" i="42" s="1"/>
  <c r="AZ95" i="42" s="1"/>
  <c r="BA95" i="42" s="1"/>
  <c r="BB95" i="42" s="1"/>
  <c r="BC95" i="42" s="1"/>
  <c r="BD95" i="42" s="1"/>
  <c r="BE95" i="42" s="1"/>
  <c r="BF95" i="42" s="1"/>
  <c r="BG95" i="42" s="1"/>
  <c r="BH95" i="42" s="1"/>
  <c r="BI95" i="42" s="1"/>
  <c r="BJ95" i="42" s="1"/>
  <c r="BK95" i="42" s="1"/>
  <c r="BL95" i="42" s="1"/>
  <c r="BM95" i="42" s="1"/>
  <c r="BN95" i="42" s="1"/>
  <c r="BO95" i="42" s="1"/>
  <c r="BP95" i="42" s="1"/>
  <c r="BQ95" i="42" s="1"/>
  <c r="BR95" i="42" s="1"/>
  <c r="BS95" i="42" s="1"/>
  <c r="BT95" i="42" s="1"/>
  <c r="BU95" i="42" s="1"/>
  <c r="BV95" i="42" s="1"/>
  <c r="BW95" i="42" s="1"/>
  <c r="BX95" i="42" s="1"/>
  <c r="BY95" i="42" s="1"/>
  <c r="BZ95" i="42" s="1"/>
  <c r="CA95" i="42" s="1"/>
  <c r="CB95" i="42" s="1"/>
  <c r="CC95" i="42" s="1"/>
  <c r="CD95" i="42" s="1"/>
  <c r="CE95" i="42" s="1"/>
  <c r="CF95" i="42" s="1"/>
  <c r="AI94" i="42"/>
  <c r="AJ94" i="42" s="1"/>
  <c r="AK94" i="42" s="1"/>
  <c r="AL94" i="42" s="1"/>
  <c r="AM94" i="42" s="1"/>
  <c r="AN94" i="42" s="1"/>
  <c r="AO94" i="42" s="1"/>
  <c r="AP94" i="42" s="1"/>
  <c r="AQ94" i="42" s="1"/>
  <c r="AR94" i="42" s="1"/>
  <c r="AS94" i="42" s="1"/>
  <c r="AT94" i="42" s="1"/>
  <c r="AU94" i="42" s="1"/>
  <c r="AV94" i="42" s="1"/>
  <c r="AW94" i="42" s="1"/>
  <c r="AX94" i="42" s="1"/>
  <c r="AY94" i="42" s="1"/>
  <c r="AZ94" i="42" s="1"/>
  <c r="BA94" i="42" s="1"/>
  <c r="BB94" i="42" s="1"/>
  <c r="BC94" i="42" s="1"/>
  <c r="BD94" i="42" s="1"/>
  <c r="BE94" i="42" s="1"/>
  <c r="BF94" i="42" s="1"/>
  <c r="BG94" i="42" s="1"/>
  <c r="BH94" i="42" s="1"/>
  <c r="BI94" i="42" s="1"/>
  <c r="BJ94" i="42" s="1"/>
  <c r="BK94" i="42" s="1"/>
  <c r="BL94" i="42" s="1"/>
  <c r="BM94" i="42" s="1"/>
  <c r="BN94" i="42" s="1"/>
  <c r="BO94" i="42" s="1"/>
  <c r="BP94" i="42" s="1"/>
  <c r="BQ94" i="42" s="1"/>
  <c r="BR94" i="42" s="1"/>
  <c r="BS94" i="42" s="1"/>
  <c r="BT94" i="42" s="1"/>
  <c r="BU94" i="42" s="1"/>
  <c r="BV94" i="42" s="1"/>
  <c r="BW94" i="42" s="1"/>
  <c r="BX94" i="42" s="1"/>
  <c r="BY94" i="42" s="1"/>
  <c r="BZ94" i="42" s="1"/>
  <c r="CA94" i="42" s="1"/>
  <c r="CB94" i="42" s="1"/>
  <c r="CC94" i="42" s="1"/>
  <c r="CD94" i="42" s="1"/>
  <c r="CE94" i="42" s="1"/>
  <c r="CF94" i="42" s="1"/>
  <c r="AI93" i="42"/>
  <c r="AJ93" i="42" s="1"/>
  <c r="AK93" i="42" s="1"/>
  <c r="AL93" i="42" s="1"/>
  <c r="AM93" i="42" s="1"/>
  <c r="AN93" i="42" s="1"/>
  <c r="AO93" i="42" s="1"/>
  <c r="AP93" i="42" s="1"/>
  <c r="AQ93" i="42" s="1"/>
  <c r="AR93" i="42" s="1"/>
  <c r="AS93" i="42" s="1"/>
  <c r="AT93" i="42" s="1"/>
  <c r="AU93" i="42" s="1"/>
  <c r="AV93" i="42" s="1"/>
  <c r="AW93" i="42" s="1"/>
  <c r="AX93" i="42" s="1"/>
  <c r="AY93" i="42" s="1"/>
  <c r="AZ93" i="42" s="1"/>
  <c r="BA93" i="42" s="1"/>
  <c r="BB93" i="42" s="1"/>
  <c r="BC93" i="42" s="1"/>
  <c r="BD93" i="42" s="1"/>
  <c r="BE93" i="42" s="1"/>
  <c r="BF93" i="42" s="1"/>
  <c r="BG93" i="42" s="1"/>
  <c r="BH93" i="42" s="1"/>
  <c r="BI93" i="42" s="1"/>
  <c r="BJ93" i="42" s="1"/>
  <c r="BK93" i="42" s="1"/>
  <c r="BL93" i="42" s="1"/>
  <c r="BM93" i="42" s="1"/>
  <c r="BN93" i="42" s="1"/>
  <c r="BO93" i="42" s="1"/>
  <c r="BP93" i="42" s="1"/>
  <c r="BQ93" i="42" s="1"/>
  <c r="BR93" i="42" s="1"/>
  <c r="BS93" i="42" s="1"/>
  <c r="BT93" i="42" s="1"/>
  <c r="BU93" i="42" s="1"/>
  <c r="BV93" i="42" s="1"/>
  <c r="BW93" i="42" s="1"/>
  <c r="BX93" i="42" s="1"/>
  <c r="BY93" i="42" s="1"/>
  <c r="BZ93" i="42" s="1"/>
  <c r="CA93" i="42" s="1"/>
  <c r="CB93" i="42" s="1"/>
  <c r="CC93" i="42" s="1"/>
  <c r="CD93" i="42" s="1"/>
  <c r="CE93" i="42" s="1"/>
  <c r="CF93" i="42" s="1"/>
  <c r="AI92" i="42"/>
  <c r="AJ92" i="42" s="1"/>
  <c r="AK92" i="42" s="1"/>
  <c r="AL92" i="42" s="1"/>
  <c r="AM92" i="42" s="1"/>
  <c r="AN92" i="42" s="1"/>
  <c r="AO92" i="42" s="1"/>
  <c r="AP92" i="42" s="1"/>
  <c r="AQ92" i="42" s="1"/>
  <c r="AR92" i="42" s="1"/>
  <c r="AS92" i="42" s="1"/>
  <c r="AT92" i="42" s="1"/>
  <c r="AU92" i="42" s="1"/>
  <c r="AV92" i="42" s="1"/>
  <c r="AW92" i="42" s="1"/>
  <c r="AX92" i="42" s="1"/>
  <c r="AY92" i="42" s="1"/>
  <c r="AZ92" i="42" s="1"/>
  <c r="BA92" i="42" s="1"/>
  <c r="BB92" i="42" s="1"/>
  <c r="BC92" i="42" s="1"/>
  <c r="BD92" i="42" s="1"/>
  <c r="BE92" i="42" s="1"/>
  <c r="BF92" i="42" s="1"/>
  <c r="BG92" i="42" s="1"/>
  <c r="BH92" i="42" s="1"/>
  <c r="BI92" i="42" s="1"/>
  <c r="BJ92" i="42" s="1"/>
  <c r="BK92" i="42" s="1"/>
  <c r="BL92" i="42" s="1"/>
  <c r="BM92" i="42" s="1"/>
  <c r="BN92" i="42" s="1"/>
  <c r="BO92" i="42" s="1"/>
  <c r="BP92" i="42" s="1"/>
  <c r="BQ92" i="42" s="1"/>
  <c r="BR92" i="42" s="1"/>
  <c r="BS92" i="42" s="1"/>
  <c r="BT92" i="42" s="1"/>
  <c r="BU92" i="42" s="1"/>
  <c r="BV92" i="42" s="1"/>
  <c r="BW92" i="42" s="1"/>
  <c r="BX92" i="42" s="1"/>
  <c r="BY92" i="42" s="1"/>
  <c r="BZ92" i="42" s="1"/>
  <c r="CA92" i="42" s="1"/>
  <c r="CB92" i="42" s="1"/>
  <c r="CC92" i="42" s="1"/>
  <c r="CD92" i="42" s="1"/>
  <c r="CE92" i="42" s="1"/>
  <c r="CF92" i="42" s="1"/>
  <c r="AI91" i="42"/>
  <c r="AJ91" i="42" s="1"/>
  <c r="AK91" i="42" s="1"/>
  <c r="AL91" i="42" s="1"/>
  <c r="AM91" i="42" s="1"/>
  <c r="AN91" i="42" s="1"/>
  <c r="AO91" i="42" s="1"/>
  <c r="AP91" i="42" s="1"/>
  <c r="AQ91" i="42" s="1"/>
  <c r="AR91" i="42" s="1"/>
  <c r="AS91" i="42" s="1"/>
  <c r="AT91" i="42" s="1"/>
  <c r="AU91" i="42" s="1"/>
  <c r="AV91" i="42" s="1"/>
  <c r="AW91" i="42" s="1"/>
  <c r="AX91" i="42" s="1"/>
  <c r="AY91" i="42" s="1"/>
  <c r="AZ91" i="42" s="1"/>
  <c r="BA91" i="42" s="1"/>
  <c r="BB91" i="42" s="1"/>
  <c r="BC91" i="42" s="1"/>
  <c r="BD91" i="42" s="1"/>
  <c r="BE91" i="42" s="1"/>
  <c r="BF91" i="42" s="1"/>
  <c r="BG91" i="42" s="1"/>
  <c r="BH91" i="42" s="1"/>
  <c r="BI91" i="42" s="1"/>
  <c r="BJ91" i="42" s="1"/>
  <c r="BK91" i="42" s="1"/>
  <c r="BL91" i="42" s="1"/>
  <c r="BM91" i="42" s="1"/>
  <c r="BN91" i="42" s="1"/>
  <c r="BO91" i="42" s="1"/>
  <c r="BP91" i="42" s="1"/>
  <c r="BQ91" i="42" s="1"/>
  <c r="BR91" i="42" s="1"/>
  <c r="BS91" i="42" s="1"/>
  <c r="BT91" i="42" s="1"/>
  <c r="BU91" i="42" s="1"/>
  <c r="BV91" i="42" s="1"/>
  <c r="BW91" i="42" s="1"/>
  <c r="BX91" i="42" s="1"/>
  <c r="BY91" i="42" s="1"/>
  <c r="BZ91" i="42" s="1"/>
  <c r="CA91" i="42" s="1"/>
  <c r="CB91" i="42" s="1"/>
  <c r="CC91" i="42" s="1"/>
  <c r="CD91" i="42" s="1"/>
  <c r="CE91" i="42" s="1"/>
  <c r="CF91" i="42" s="1"/>
  <c r="AI90" i="42"/>
  <c r="AJ90" i="42" s="1"/>
  <c r="AK90" i="42" s="1"/>
  <c r="AL90" i="42" s="1"/>
  <c r="AM90" i="42" s="1"/>
  <c r="AN90" i="42" s="1"/>
  <c r="AO90" i="42" s="1"/>
  <c r="AP90" i="42" s="1"/>
  <c r="AQ90" i="42" s="1"/>
  <c r="AR90" i="42" s="1"/>
  <c r="AS90" i="42" s="1"/>
  <c r="AT90" i="42" s="1"/>
  <c r="AU90" i="42" s="1"/>
  <c r="AV90" i="42" s="1"/>
  <c r="AW90" i="42" s="1"/>
  <c r="AX90" i="42" s="1"/>
  <c r="AY90" i="42" s="1"/>
  <c r="AZ90" i="42" s="1"/>
  <c r="BA90" i="42" s="1"/>
  <c r="BB90" i="42" s="1"/>
  <c r="BC90" i="42" s="1"/>
  <c r="BD90" i="42" s="1"/>
  <c r="BE90" i="42" s="1"/>
  <c r="BF90" i="42" s="1"/>
  <c r="BG90" i="42" s="1"/>
  <c r="BH90" i="42" s="1"/>
  <c r="BI90" i="42" s="1"/>
  <c r="BJ90" i="42" s="1"/>
  <c r="BK90" i="42" s="1"/>
  <c r="BL90" i="42" s="1"/>
  <c r="BM90" i="42" s="1"/>
  <c r="BN90" i="42" s="1"/>
  <c r="BO90" i="42" s="1"/>
  <c r="BP90" i="42" s="1"/>
  <c r="BQ90" i="42" s="1"/>
  <c r="BR90" i="42" s="1"/>
  <c r="BS90" i="42" s="1"/>
  <c r="BT90" i="42" s="1"/>
  <c r="BU90" i="42" s="1"/>
  <c r="BV90" i="42" s="1"/>
  <c r="BW90" i="42" s="1"/>
  <c r="BX90" i="42" s="1"/>
  <c r="BY90" i="42" s="1"/>
  <c r="BZ90" i="42" s="1"/>
  <c r="CA90" i="42" s="1"/>
  <c r="CB90" i="42" s="1"/>
  <c r="CC90" i="42" s="1"/>
  <c r="CD90" i="42" s="1"/>
  <c r="CE90" i="42" s="1"/>
  <c r="CF90" i="42" s="1"/>
  <c r="AI89" i="42"/>
  <c r="AJ89" i="42" s="1"/>
  <c r="AK89" i="42" s="1"/>
  <c r="AL89" i="42" s="1"/>
  <c r="AM89" i="42" s="1"/>
  <c r="AN89" i="42" s="1"/>
  <c r="AO89" i="42" s="1"/>
  <c r="AP89" i="42" s="1"/>
  <c r="AQ89" i="42" s="1"/>
  <c r="AR89" i="42" s="1"/>
  <c r="AS89" i="42" s="1"/>
  <c r="AT89" i="42" s="1"/>
  <c r="AU89" i="42" s="1"/>
  <c r="AV89" i="42" s="1"/>
  <c r="AW89" i="42" s="1"/>
  <c r="AX89" i="42" s="1"/>
  <c r="AY89" i="42" s="1"/>
  <c r="AZ89" i="42" s="1"/>
  <c r="BA89" i="42" s="1"/>
  <c r="BB89" i="42" s="1"/>
  <c r="BC89" i="42" s="1"/>
  <c r="BD89" i="42" s="1"/>
  <c r="BE89" i="42" s="1"/>
  <c r="BF89" i="42" s="1"/>
  <c r="BG89" i="42" s="1"/>
  <c r="BH89" i="42" s="1"/>
  <c r="BI89" i="42" s="1"/>
  <c r="BJ89" i="42" s="1"/>
  <c r="BK89" i="42" s="1"/>
  <c r="BL89" i="42" s="1"/>
  <c r="BM89" i="42" s="1"/>
  <c r="BN89" i="42" s="1"/>
  <c r="BO89" i="42" s="1"/>
  <c r="BP89" i="42" s="1"/>
  <c r="BQ89" i="42" s="1"/>
  <c r="BR89" i="42" s="1"/>
  <c r="BS89" i="42" s="1"/>
  <c r="BT89" i="42" s="1"/>
  <c r="BU89" i="42" s="1"/>
  <c r="BV89" i="42" s="1"/>
  <c r="BW89" i="42" s="1"/>
  <c r="BX89" i="42" s="1"/>
  <c r="BY89" i="42" s="1"/>
  <c r="BZ89" i="42" s="1"/>
  <c r="CA89" i="42" s="1"/>
  <c r="CB89" i="42" s="1"/>
  <c r="CC89" i="42" s="1"/>
  <c r="CD89" i="42" s="1"/>
  <c r="CE89" i="42" s="1"/>
  <c r="CF89" i="42" s="1"/>
  <c r="AI88" i="42"/>
  <c r="AJ88" i="42" s="1"/>
  <c r="AK88" i="42" s="1"/>
  <c r="AL88" i="42" s="1"/>
  <c r="AM88" i="42" s="1"/>
  <c r="AN88" i="42" s="1"/>
  <c r="AO88" i="42" s="1"/>
  <c r="AP88" i="42" s="1"/>
  <c r="AQ88" i="42" s="1"/>
  <c r="AR88" i="42" s="1"/>
  <c r="AS88" i="42" s="1"/>
  <c r="AT88" i="42" s="1"/>
  <c r="AU88" i="42" s="1"/>
  <c r="AV88" i="42" s="1"/>
  <c r="AW88" i="42" s="1"/>
  <c r="AX88" i="42" s="1"/>
  <c r="AY88" i="42" s="1"/>
  <c r="AZ88" i="42" s="1"/>
  <c r="BA88" i="42" s="1"/>
  <c r="BB88" i="42" s="1"/>
  <c r="BC88" i="42" s="1"/>
  <c r="BD88" i="42" s="1"/>
  <c r="BE88" i="42" s="1"/>
  <c r="BF88" i="42" s="1"/>
  <c r="BG88" i="42" s="1"/>
  <c r="BH88" i="42" s="1"/>
  <c r="BI88" i="42" s="1"/>
  <c r="BJ88" i="42" s="1"/>
  <c r="BK88" i="42" s="1"/>
  <c r="BL88" i="42" s="1"/>
  <c r="BM88" i="42" s="1"/>
  <c r="BN88" i="42" s="1"/>
  <c r="BO88" i="42" s="1"/>
  <c r="BP88" i="42" s="1"/>
  <c r="BQ88" i="42" s="1"/>
  <c r="BR88" i="42" s="1"/>
  <c r="BS88" i="42" s="1"/>
  <c r="BT88" i="42" s="1"/>
  <c r="BU88" i="42" s="1"/>
  <c r="BV88" i="42" s="1"/>
  <c r="BW88" i="42" s="1"/>
  <c r="BX88" i="42" s="1"/>
  <c r="BY88" i="42" s="1"/>
  <c r="BZ88" i="42" s="1"/>
  <c r="CA88" i="42" s="1"/>
  <c r="CB88" i="42" s="1"/>
  <c r="CC88" i="42" s="1"/>
  <c r="CD88" i="42" s="1"/>
  <c r="CE88" i="42" s="1"/>
  <c r="CF88" i="42" s="1"/>
  <c r="AI87" i="42"/>
  <c r="AJ87" i="42" s="1"/>
  <c r="AK87" i="42" s="1"/>
  <c r="AL87" i="42" s="1"/>
  <c r="AM87" i="42" s="1"/>
  <c r="AN87" i="42" s="1"/>
  <c r="AO87" i="42" s="1"/>
  <c r="AP87" i="42" s="1"/>
  <c r="AQ87" i="42" s="1"/>
  <c r="AR87" i="42" s="1"/>
  <c r="AS87" i="42" s="1"/>
  <c r="AT87" i="42" s="1"/>
  <c r="AU87" i="42" s="1"/>
  <c r="AV87" i="42" s="1"/>
  <c r="AW87" i="42" s="1"/>
  <c r="AX87" i="42" s="1"/>
  <c r="AY87" i="42" s="1"/>
  <c r="AZ87" i="42" s="1"/>
  <c r="BA87" i="42" s="1"/>
  <c r="BB87" i="42" s="1"/>
  <c r="BC87" i="42" s="1"/>
  <c r="BD87" i="42" s="1"/>
  <c r="BE87" i="42" s="1"/>
  <c r="BF87" i="42" s="1"/>
  <c r="BG87" i="42" s="1"/>
  <c r="BH87" i="42" s="1"/>
  <c r="BI87" i="42" s="1"/>
  <c r="BJ87" i="42" s="1"/>
  <c r="BK87" i="42" s="1"/>
  <c r="BL87" i="42" s="1"/>
  <c r="BM87" i="42" s="1"/>
  <c r="BN87" i="42" s="1"/>
  <c r="BO87" i="42" s="1"/>
  <c r="BP87" i="42" s="1"/>
  <c r="BQ87" i="42" s="1"/>
  <c r="BR87" i="42" s="1"/>
  <c r="BS87" i="42" s="1"/>
  <c r="BT87" i="42" s="1"/>
  <c r="BU87" i="42" s="1"/>
  <c r="BV87" i="42" s="1"/>
  <c r="BW87" i="42" s="1"/>
  <c r="BX87" i="42" s="1"/>
  <c r="BY87" i="42" s="1"/>
  <c r="BZ87" i="42" s="1"/>
  <c r="CA87" i="42" s="1"/>
  <c r="CB87" i="42" s="1"/>
  <c r="CC87" i="42" s="1"/>
  <c r="CD87" i="42" s="1"/>
  <c r="CE87" i="42" s="1"/>
  <c r="CF87" i="42" s="1"/>
  <c r="AI86" i="42"/>
  <c r="AJ86" i="42" s="1"/>
  <c r="AK86" i="42" s="1"/>
  <c r="AL86" i="42" s="1"/>
  <c r="AM86" i="42" s="1"/>
  <c r="AN86" i="42" s="1"/>
  <c r="AO86" i="42" s="1"/>
  <c r="AP86" i="42" s="1"/>
  <c r="AQ86" i="42" s="1"/>
  <c r="AR86" i="42" s="1"/>
  <c r="AS86" i="42" s="1"/>
  <c r="AT86" i="42" s="1"/>
  <c r="AU86" i="42" s="1"/>
  <c r="AV86" i="42" s="1"/>
  <c r="AW86" i="42" s="1"/>
  <c r="AX86" i="42" s="1"/>
  <c r="AY86" i="42" s="1"/>
  <c r="AZ86" i="42" s="1"/>
  <c r="BA86" i="42" s="1"/>
  <c r="BB86" i="42" s="1"/>
  <c r="BC86" i="42" s="1"/>
  <c r="BD86" i="42" s="1"/>
  <c r="BE86" i="42" s="1"/>
  <c r="BF86" i="42" s="1"/>
  <c r="BG86" i="42" s="1"/>
  <c r="BH86" i="42" s="1"/>
  <c r="BI86" i="42" s="1"/>
  <c r="BJ86" i="42" s="1"/>
  <c r="BK86" i="42" s="1"/>
  <c r="BL86" i="42" s="1"/>
  <c r="BM86" i="42" s="1"/>
  <c r="BN86" i="42" s="1"/>
  <c r="BO86" i="42" s="1"/>
  <c r="BP86" i="42" s="1"/>
  <c r="BQ86" i="42" s="1"/>
  <c r="BR86" i="42" s="1"/>
  <c r="BS86" i="42" s="1"/>
  <c r="BT86" i="42" s="1"/>
  <c r="BU86" i="42" s="1"/>
  <c r="BV86" i="42" s="1"/>
  <c r="BW86" i="42" s="1"/>
  <c r="BX86" i="42" s="1"/>
  <c r="BY86" i="42" s="1"/>
  <c r="BZ86" i="42" s="1"/>
  <c r="CA86" i="42" s="1"/>
  <c r="CB86" i="42" s="1"/>
  <c r="CC86" i="42" s="1"/>
  <c r="CD86" i="42" s="1"/>
  <c r="CE86" i="42" s="1"/>
  <c r="CF86" i="42" s="1"/>
  <c r="AI85" i="42"/>
  <c r="AJ85" i="42" s="1"/>
  <c r="AK85" i="42" s="1"/>
  <c r="AL85" i="42" s="1"/>
  <c r="AM85" i="42" s="1"/>
  <c r="AN85" i="42" s="1"/>
  <c r="AO85" i="42" s="1"/>
  <c r="AP85" i="42" s="1"/>
  <c r="AQ85" i="42" s="1"/>
  <c r="AR85" i="42" s="1"/>
  <c r="AS85" i="42" s="1"/>
  <c r="AT85" i="42" s="1"/>
  <c r="AU85" i="42" s="1"/>
  <c r="AV85" i="42" s="1"/>
  <c r="AW85" i="42" s="1"/>
  <c r="AX85" i="42" s="1"/>
  <c r="AY85" i="42" s="1"/>
  <c r="AZ85" i="42" s="1"/>
  <c r="BA85" i="42" s="1"/>
  <c r="BB85" i="42" s="1"/>
  <c r="BC85" i="42" s="1"/>
  <c r="BD85" i="42" s="1"/>
  <c r="BE85" i="42" s="1"/>
  <c r="BF85" i="42" s="1"/>
  <c r="BG85" i="42" s="1"/>
  <c r="BH85" i="42" s="1"/>
  <c r="BI85" i="42" s="1"/>
  <c r="BJ85" i="42" s="1"/>
  <c r="BK85" i="42" s="1"/>
  <c r="BL85" i="42" s="1"/>
  <c r="BM85" i="42" s="1"/>
  <c r="BN85" i="42" s="1"/>
  <c r="BO85" i="42" s="1"/>
  <c r="BP85" i="42" s="1"/>
  <c r="BQ85" i="42" s="1"/>
  <c r="BR85" i="42" s="1"/>
  <c r="BS85" i="42" s="1"/>
  <c r="BT85" i="42" s="1"/>
  <c r="BU85" i="42" s="1"/>
  <c r="BV85" i="42" s="1"/>
  <c r="BW85" i="42" s="1"/>
  <c r="BX85" i="42" s="1"/>
  <c r="BY85" i="42" s="1"/>
  <c r="BZ85" i="42" s="1"/>
  <c r="CA85" i="42" s="1"/>
  <c r="CB85" i="42" s="1"/>
  <c r="CC85" i="42" s="1"/>
  <c r="CD85" i="42" s="1"/>
  <c r="CE85" i="42" s="1"/>
  <c r="CF85" i="42" s="1"/>
  <c r="AI84" i="42"/>
  <c r="AJ84" i="42" s="1"/>
  <c r="AK84" i="42" s="1"/>
  <c r="AL84" i="42" s="1"/>
  <c r="AM84" i="42" s="1"/>
  <c r="AN84" i="42" s="1"/>
  <c r="AO84" i="42" s="1"/>
  <c r="AP84" i="42" s="1"/>
  <c r="AQ84" i="42" s="1"/>
  <c r="AR84" i="42" s="1"/>
  <c r="AS84" i="42" s="1"/>
  <c r="AT84" i="42" s="1"/>
  <c r="AU84" i="42" s="1"/>
  <c r="AV84" i="42" s="1"/>
  <c r="AW84" i="42" s="1"/>
  <c r="AX84" i="42" s="1"/>
  <c r="AY84" i="42" s="1"/>
  <c r="AZ84" i="42" s="1"/>
  <c r="BA84" i="42" s="1"/>
  <c r="BB84" i="42" s="1"/>
  <c r="BC84" i="42" s="1"/>
  <c r="BD84" i="42" s="1"/>
  <c r="BE84" i="42" s="1"/>
  <c r="BF84" i="42" s="1"/>
  <c r="BG84" i="42" s="1"/>
  <c r="BH84" i="42" s="1"/>
  <c r="BI84" i="42" s="1"/>
  <c r="BJ84" i="42" s="1"/>
  <c r="BK84" i="42" s="1"/>
  <c r="BL84" i="42" s="1"/>
  <c r="BM84" i="42" s="1"/>
  <c r="BN84" i="42" s="1"/>
  <c r="BO84" i="42" s="1"/>
  <c r="BP84" i="42" s="1"/>
  <c r="BQ84" i="42" s="1"/>
  <c r="BR84" i="42" s="1"/>
  <c r="BS84" i="42" s="1"/>
  <c r="BT84" i="42" s="1"/>
  <c r="BU84" i="42" s="1"/>
  <c r="BV84" i="42" s="1"/>
  <c r="BW84" i="42" s="1"/>
  <c r="BX84" i="42" s="1"/>
  <c r="BY84" i="42" s="1"/>
  <c r="BZ84" i="42" s="1"/>
  <c r="CA84" i="42" s="1"/>
  <c r="CB84" i="42" s="1"/>
  <c r="CC84" i="42" s="1"/>
  <c r="CD84" i="42" s="1"/>
  <c r="CE84" i="42" s="1"/>
  <c r="CF84" i="42" s="1"/>
  <c r="AI83" i="42"/>
  <c r="AJ83" i="42" s="1"/>
  <c r="AK83" i="42" s="1"/>
  <c r="AL83" i="42" s="1"/>
  <c r="AM83" i="42" s="1"/>
  <c r="AN83" i="42" s="1"/>
  <c r="AO83" i="42" s="1"/>
  <c r="AP83" i="42" s="1"/>
  <c r="AQ83" i="42" s="1"/>
  <c r="AR83" i="42" s="1"/>
  <c r="AS83" i="42" s="1"/>
  <c r="AT83" i="42" s="1"/>
  <c r="AU83" i="42" s="1"/>
  <c r="AV83" i="42" s="1"/>
  <c r="AW83" i="42" s="1"/>
  <c r="AX83" i="42" s="1"/>
  <c r="AY83" i="42" s="1"/>
  <c r="AZ83" i="42" s="1"/>
  <c r="BA83" i="42" s="1"/>
  <c r="BB83" i="42" s="1"/>
  <c r="BC83" i="42" s="1"/>
  <c r="BD83" i="42" s="1"/>
  <c r="BE83" i="42" s="1"/>
  <c r="BF83" i="42" s="1"/>
  <c r="BG83" i="42" s="1"/>
  <c r="BH83" i="42" s="1"/>
  <c r="BI83" i="42" s="1"/>
  <c r="BJ83" i="42" s="1"/>
  <c r="BK83" i="42" s="1"/>
  <c r="BL83" i="42" s="1"/>
  <c r="BM83" i="42" s="1"/>
  <c r="BN83" i="42" s="1"/>
  <c r="BO83" i="42" s="1"/>
  <c r="BP83" i="42" s="1"/>
  <c r="BQ83" i="42" s="1"/>
  <c r="BR83" i="42" s="1"/>
  <c r="BS83" i="42" s="1"/>
  <c r="BT83" i="42" s="1"/>
  <c r="BU83" i="42" s="1"/>
  <c r="BV83" i="42" s="1"/>
  <c r="BW83" i="42" s="1"/>
  <c r="BX83" i="42" s="1"/>
  <c r="BY83" i="42" s="1"/>
  <c r="BZ83" i="42" s="1"/>
  <c r="CA83" i="42" s="1"/>
  <c r="CB83" i="42" s="1"/>
  <c r="CC83" i="42" s="1"/>
  <c r="CD83" i="42" s="1"/>
  <c r="CE83" i="42" s="1"/>
  <c r="CF83" i="42" s="1"/>
  <c r="AI82" i="42"/>
  <c r="AJ82" i="42" s="1"/>
  <c r="AK82" i="42" s="1"/>
  <c r="AL82" i="42" s="1"/>
  <c r="AM82" i="42" s="1"/>
  <c r="AN82" i="42" s="1"/>
  <c r="AO82" i="42" s="1"/>
  <c r="AP82" i="42" s="1"/>
  <c r="AQ82" i="42" s="1"/>
  <c r="AR82" i="42" s="1"/>
  <c r="AS82" i="42" s="1"/>
  <c r="AT82" i="42" s="1"/>
  <c r="AU82" i="42" s="1"/>
  <c r="AV82" i="42" s="1"/>
  <c r="AW82" i="42" s="1"/>
  <c r="AX82" i="42" s="1"/>
  <c r="AY82" i="42" s="1"/>
  <c r="AZ82" i="42" s="1"/>
  <c r="BA82" i="42" s="1"/>
  <c r="BB82" i="42" s="1"/>
  <c r="BC82" i="42" s="1"/>
  <c r="BD82" i="42" s="1"/>
  <c r="BE82" i="42" s="1"/>
  <c r="BF82" i="42" s="1"/>
  <c r="BG82" i="42" s="1"/>
  <c r="BH82" i="42" s="1"/>
  <c r="BI82" i="42" s="1"/>
  <c r="BJ82" i="42" s="1"/>
  <c r="BK82" i="42" s="1"/>
  <c r="BL82" i="42" s="1"/>
  <c r="BM82" i="42" s="1"/>
  <c r="BN82" i="42" s="1"/>
  <c r="BO82" i="42" s="1"/>
  <c r="BP82" i="42" s="1"/>
  <c r="BQ82" i="42" s="1"/>
  <c r="BR82" i="42" s="1"/>
  <c r="BS82" i="42" s="1"/>
  <c r="BT82" i="42" s="1"/>
  <c r="BU82" i="42" s="1"/>
  <c r="BV82" i="42" s="1"/>
  <c r="BW82" i="42" s="1"/>
  <c r="BX82" i="42" s="1"/>
  <c r="BY82" i="42" s="1"/>
  <c r="BZ82" i="42" s="1"/>
  <c r="CA82" i="42" s="1"/>
  <c r="CB82" i="42" s="1"/>
  <c r="CC82" i="42" s="1"/>
  <c r="CD82" i="42" s="1"/>
  <c r="CE82" i="42" s="1"/>
  <c r="CF82" i="42" s="1"/>
  <c r="AI81" i="42"/>
  <c r="AJ81" i="42" s="1"/>
  <c r="AK81" i="42" s="1"/>
  <c r="AL81" i="42" s="1"/>
  <c r="AM81" i="42" s="1"/>
  <c r="AN81" i="42" s="1"/>
  <c r="AO81" i="42" s="1"/>
  <c r="AP81" i="42" s="1"/>
  <c r="AQ81" i="42" s="1"/>
  <c r="AR81" i="42" s="1"/>
  <c r="AS81" i="42" s="1"/>
  <c r="AT81" i="42" s="1"/>
  <c r="AU81" i="42" s="1"/>
  <c r="AV81" i="42" s="1"/>
  <c r="AW81" i="42" s="1"/>
  <c r="AX81" i="42" s="1"/>
  <c r="AY81" i="42" s="1"/>
  <c r="AZ81" i="42" s="1"/>
  <c r="BA81" i="42" s="1"/>
  <c r="BB81" i="42" s="1"/>
  <c r="BC81" i="42" s="1"/>
  <c r="BD81" i="42" s="1"/>
  <c r="BE81" i="42" s="1"/>
  <c r="BF81" i="42" s="1"/>
  <c r="BG81" i="42" s="1"/>
  <c r="BH81" i="42" s="1"/>
  <c r="BI81" i="42" s="1"/>
  <c r="BJ81" i="42" s="1"/>
  <c r="BK81" i="42" s="1"/>
  <c r="BL81" i="42" s="1"/>
  <c r="BM81" i="42" s="1"/>
  <c r="BN81" i="42" s="1"/>
  <c r="BO81" i="42" s="1"/>
  <c r="BP81" i="42" s="1"/>
  <c r="BQ81" i="42" s="1"/>
  <c r="BR81" i="42" s="1"/>
  <c r="BS81" i="42" s="1"/>
  <c r="BT81" i="42" s="1"/>
  <c r="BU81" i="42" s="1"/>
  <c r="BV81" i="42" s="1"/>
  <c r="BW81" i="42" s="1"/>
  <c r="BX81" i="42" s="1"/>
  <c r="BY81" i="42" s="1"/>
  <c r="BZ81" i="42" s="1"/>
  <c r="CA81" i="42" s="1"/>
  <c r="CB81" i="42" s="1"/>
  <c r="CC81" i="42" s="1"/>
  <c r="CD81" i="42" s="1"/>
  <c r="CE81" i="42" s="1"/>
  <c r="CF81" i="42" s="1"/>
  <c r="AI80" i="42"/>
  <c r="AJ80" i="42" s="1"/>
  <c r="AK80" i="42" s="1"/>
  <c r="AL80" i="42" s="1"/>
  <c r="AM80" i="42" s="1"/>
  <c r="AN80" i="42" s="1"/>
  <c r="AO80" i="42" s="1"/>
  <c r="AP80" i="42" s="1"/>
  <c r="AQ80" i="42" s="1"/>
  <c r="AR80" i="42" s="1"/>
  <c r="AS80" i="42" s="1"/>
  <c r="AT80" i="42" s="1"/>
  <c r="AU80" i="42" s="1"/>
  <c r="AV80" i="42" s="1"/>
  <c r="AW80" i="42" s="1"/>
  <c r="AX80" i="42" s="1"/>
  <c r="AY80" i="42" s="1"/>
  <c r="AZ80" i="42" s="1"/>
  <c r="BA80" i="42" s="1"/>
  <c r="BB80" i="42" s="1"/>
  <c r="BC80" i="42" s="1"/>
  <c r="BD80" i="42" s="1"/>
  <c r="BE80" i="42" s="1"/>
  <c r="BF80" i="42" s="1"/>
  <c r="BG80" i="42" s="1"/>
  <c r="BH80" i="42" s="1"/>
  <c r="BI80" i="42" s="1"/>
  <c r="BJ80" i="42" s="1"/>
  <c r="BK80" i="42" s="1"/>
  <c r="BL80" i="42" s="1"/>
  <c r="BM80" i="42" s="1"/>
  <c r="BN80" i="42" s="1"/>
  <c r="BO80" i="42" s="1"/>
  <c r="BP80" i="42" s="1"/>
  <c r="BQ80" i="42" s="1"/>
  <c r="BR80" i="42" s="1"/>
  <c r="BS80" i="42" s="1"/>
  <c r="BT80" i="42" s="1"/>
  <c r="BU80" i="42" s="1"/>
  <c r="BV80" i="42" s="1"/>
  <c r="BW80" i="42" s="1"/>
  <c r="BX80" i="42" s="1"/>
  <c r="BY80" i="42" s="1"/>
  <c r="BZ80" i="42" s="1"/>
  <c r="CA80" i="42" s="1"/>
  <c r="CB80" i="42" s="1"/>
  <c r="CC80" i="42" s="1"/>
  <c r="CD80" i="42" s="1"/>
  <c r="CE80" i="42" s="1"/>
  <c r="CF80" i="42" s="1"/>
  <c r="AI79" i="42"/>
  <c r="AJ79" i="42" s="1"/>
  <c r="AK79" i="42" s="1"/>
  <c r="AL79" i="42" s="1"/>
  <c r="AM79" i="42" s="1"/>
  <c r="AN79" i="42" s="1"/>
  <c r="AO79" i="42" s="1"/>
  <c r="AP79" i="42" s="1"/>
  <c r="AQ79" i="42" s="1"/>
  <c r="AR79" i="42" s="1"/>
  <c r="AS79" i="42" s="1"/>
  <c r="AT79" i="42" s="1"/>
  <c r="AU79" i="42" s="1"/>
  <c r="AV79" i="42" s="1"/>
  <c r="AW79" i="42" s="1"/>
  <c r="AX79" i="42" s="1"/>
  <c r="AY79" i="42" s="1"/>
  <c r="AZ79" i="42" s="1"/>
  <c r="BA79" i="42" s="1"/>
  <c r="BB79" i="42" s="1"/>
  <c r="BC79" i="42" s="1"/>
  <c r="BD79" i="42" s="1"/>
  <c r="BE79" i="42" s="1"/>
  <c r="BF79" i="42" s="1"/>
  <c r="BG79" i="42" s="1"/>
  <c r="BH79" i="42" s="1"/>
  <c r="BI79" i="42" s="1"/>
  <c r="BJ79" i="42" s="1"/>
  <c r="BK79" i="42" s="1"/>
  <c r="BL79" i="42" s="1"/>
  <c r="BM79" i="42" s="1"/>
  <c r="BN79" i="42" s="1"/>
  <c r="BO79" i="42" s="1"/>
  <c r="BP79" i="42" s="1"/>
  <c r="BQ79" i="42" s="1"/>
  <c r="BR79" i="42" s="1"/>
  <c r="BS79" i="42" s="1"/>
  <c r="BT79" i="42" s="1"/>
  <c r="BU79" i="42" s="1"/>
  <c r="BV79" i="42" s="1"/>
  <c r="BW79" i="42" s="1"/>
  <c r="BX79" i="42" s="1"/>
  <c r="BY79" i="42" s="1"/>
  <c r="BZ79" i="42" s="1"/>
  <c r="CA79" i="42" s="1"/>
  <c r="CB79" i="42" s="1"/>
  <c r="CC79" i="42" s="1"/>
  <c r="CD79" i="42" s="1"/>
  <c r="CE79" i="42" s="1"/>
  <c r="CF79" i="42" s="1"/>
  <c r="AI78" i="42"/>
  <c r="AJ78" i="42" s="1"/>
  <c r="AK78" i="42" s="1"/>
  <c r="AL78" i="42" s="1"/>
  <c r="AM78" i="42" s="1"/>
  <c r="AN78" i="42" s="1"/>
  <c r="AO78" i="42" s="1"/>
  <c r="AP78" i="42" s="1"/>
  <c r="AQ78" i="42" s="1"/>
  <c r="AR78" i="42" s="1"/>
  <c r="AS78" i="42" s="1"/>
  <c r="AT78" i="42" s="1"/>
  <c r="AU78" i="42" s="1"/>
  <c r="AV78" i="42" s="1"/>
  <c r="AW78" i="42" s="1"/>
  <c r="AX78" i="42" s="1"/>
  <c r="AY78" i="42" s="1"/>
  <c r="AZ78" i="42" s="1"/>
  <c r="BA78" i="42" s="1"/>
  <c r="BB78" i="42" s="1"/>
  <c r="BC78" i="42" s="1"/>
  <c r="BD78" i="42" s="1"/>
  <c r="BE78" i="42" s="1"/>
  <c r="BF78" i="42" s="1"/>
  <c r="BG78" i="42" s="1"/>
  <c r="BH78" i="42" s="1"/>
  <c r="BI78" i="42" s="1"/>
  <c r="BJ78" i="42" s="1"/>
  <c r="BK78" i="42" s="1"/>
  <c r="BL78" i="42" s="1"/>
  <c r="BM78" i="42" s="1"/>
  <c r="BN78" i="42" s="1"/>
  <c r="BO78" i="42" s="1"/>
  <c r="BP78" i="42" s="1"/>
  <c r="BQ78" i="42" s="1"/>
  <c r="BR78" i="42" s="1"/>
  <c r="BS78" i="42" s="1"/>
  <c r="BT78" i="42" s="1"/>
  <c r="BU78" i="42" s="1"/>
  <c r="BV78" i="42" s="1"/>
  <c r="BW78" i="42" s="1"/>
  <c r="BX78" i="42" s="1"/>
  <c r="BY78" i="42" s="1"/>
  <c r="BZ78" i="42" s="1"/>
  <c r="CA78" i="42" s="1"/>
  <c r="CB78" i="42" s="1"/>
  <c r="CC78" i="42" s="1"/>
  <c r="CD78" i="42" s="1"/>
  <c r="CE78" i="42" s="1"/>
  <c r="CF78" i="42" s="1"/>
  <c r="AI77" i="42"/>
  <c r="AJ77" i="42" s="1"/>
  <c r="AK77" i="42" s="1"/>
  <c r="AL77" i="42" s="1"/>
  <c r="AM77" i="42" s="1"/>
  <c r="AN77" i="42" s="1"/>
  <c r="AO77" i="42" s="1"/>
  <c r="AP77" i="42" s="1"/>
  <c r="AQ77" i="42" s="1"/>
  <c r="AR77" i="42" s="1"/>
  <c r="AS77" i="42" s="1"/>
  <c r="AT77" i="42" s="1"/>
  <c r="AU77" i="42" s="1"/>
  <c r="AV77" i="42" s="1"/>
  <c r="AW77" i="42" s="1"/>
  <c r="AX77" i="42" s="1"/>
  <c r="AY77" i="42" s="1"/>
  <c r="AZ77" i="42" s="1"/>
  <c r="BA77" i="42" s="1"/>
  <c r="BB77" i="42" s="1"/>
  <c r="BC77" i="42" s="1"/>
  <c r="BD77" i="42" s="1"/>
  <c r="BE77" i="42" s="1"/>
  <c r="BF77" i="42" s="1"/>
  <c r="BG77" i="42" s="1"/>
  <c r="BH77" i="42" s="1"/>
  <c r="BI77" i="42" s="1"/>
  <c r="BJ77" i="42" s="1"/>
  <c r="BK77" i="42" s="1"/>
  <c r="BL77" i="42" s="1"/>
  <c r="BM77" i="42" s="1"/>
  <c r="BN77" i="42" s="1"/>
  <c r="BO77" i="42" s="1"/>
  <c r="BP77" i="42" s="1"/>
  <c r="BQ77" i="42" s="1"/>
  <c r="BR77" i="42" s="1"/>
  <c r="BS77" i="42" s="1"/>
  <c r="BT77" i="42" s="1"/>
  <c r="BU77" i="42" s="1"/>
  <c r="BV77" i="42" s="1"/>
  <c r="BW77" i="42" s="1"/>
  <c r="BX77" i="42" s="1"/>
  <c r="BY77" i="42" s="1"/>
  <c r="BZ77" i="42" s="1"/>
  <c r="CA77" i="42" s="1"/>
  <c r="CB77" i="42" s="1"/>
  <c r="CC77" i="42" s="1"/>
  <c r="CD77" i="42" s="1"/>
  <c r="CE77" i="42" s="1"/>
  <c r="CF77" i="42" s="1"/>
  <c r="AI76" i="42"/>
  <c r="AJ76" i="42" s="1"/>
  <c r="AK76" i="42" s="1"/>
  <c r="AL76" i="42" s="1"/>
  <c r="AM76" i="42" s="1"/>
  <c r="AN76" i="42" s="1"/>
  <c r="AO76" i="42" s="1"/>
  <c r="AP76" i="42" s="1"/>
  <c r="AQ76" i="42" s="1"/>
  <c r="AR76" i="42" s="1"/>
  <c r="AS76" i="42" s="1"/>
  <c r="AT76" i="42" s="1"/>
  <c r="AU76" i="42" s="1"/>
  <c r="AV76" i="42" s="1"/>
  <c r="AW76" i="42" s="1"/>
  <c r="AX76" i="42" s="1"/>
  <c r="AY76" i="42" s="1"/>
  <c r="AZ76" i="42" s="1"/>
  <c r="BA76" i="42" s="1"/>
  <c r="BB76" i="42" s="1"/>
  <c r="BC76" i="42" s="1"/>
  <c r="BD76" i="42" s="1"/>
  <c r="BE76" i="42" s="1"/>
  <c r="BF76" i="42" s="1"/>
  <c r="BG76" i="42" s="1"/>
  <c r="BH76" i="42" s="1"/>
  <c r="BI76" i="42" s="1"/>
  <c r="BJ76" i="42" s="1"/>
  <c r="BK76" i="42" s="1"/>
  <c r="BL76" i="42" s="1"/>
  <c r="BM76" i="42" s="1"/>
  <c r="BN76" i="42" s="1"/>
  <c r="BO76" i="42" s="1"/>
  <c r="BP76" i="42" s="1"/>
  <c r="BQ76" i="42" s="1"/>
  <c r="BR76" i="42" s="1"/>
  <c r="BS76" i="42" s="1"/>
  <c r="BT76" i="42" s="1"/>
  <c r="BU76" i="42" s="1"/>
  <c r="BV76" i="42" s="1"/>
  <c r="BW76" i="42" s="1"/>
  <c r="BX76" i="42" s="1"/>
  <c r="BY76" i="42" s="1"/>
  <c r="BZ76" i="42" s="1"/>
  <c r="CA76" i="42" s="1"/>
  <c r="CB76" i="42" s="1"/>
  <c r="CC76" i="42" s="1"/>
  <c r="CD76" i="42" s="1"/>
  <c r="CE76" i="42" s="1"/>
  <c r="CF76" i="42" s="1"/>
  <c r="AI75" i="42"/>
  <c r="AJ75" i="42" s="1"/>
  <c r="AK75" i="42" s="1"/>
  <c r="AL75" i="42" s="1"/>
  <c r="AM75" i="42" s="1"/>
  <c r="AN75" i="42" s="1"/>
  <c r="AO75" i="42" s="1"/>
  <c r="AP75" i="42" s="1"/>
  <c r="AQ75" i="42" s="1"/>
  <c r="AR75" i="42" s="1"/>
  <c r="AS75" i="42" s="1"/>
  <c r="AT75" i="42" s="1"/>
  <c r="AU75" i="42" s="1"/>
  <c r="AV75" i="42" s="1"/>
  <c r="AW75" i="42" s="1"/>
  <c r="AX75" i="42" s="1"/>
  <c r="AY75" i="42" s="1"/>
  <c r="AZ75" i="42" s="1"/>
  <c r="BA75" i="42" s="1"/>
  <c r="BB75" i="42" s="1"/>
  <c r="BC75" i="42" s="1"/>
  <c r="BD75" i="42" s="1"/>
  <c r="BE75" i="42" s="1"/>
  <c r="BF75" i="42" s="1"/>
  <c r="BG75" i="42" s="1"/>
  <c r="BH75" i="42" s="1"/>
  <c r="BI75" i="42" s="1"/>
  <c r="BJ75" i="42" s="1"/>
  <c r="BK75" i="42" s="1"/>
  <c r="BL75" i="42" s="1"/>
  <c r="BM75" i="42" s="1"/>
  <c r="BN75" i="42" s="1"/>
  <c r="BO75" i="42" s="1"/>
  <c r="BP75" i="42" s="1"/>
  <c r="BQ75" i="42" s="1"/>
  <c r="BR75" i="42" s="1"/>
  <c r="BS75" i="42" s="1"/>
  <c r="BT75" i="42" s="1"/>
  <c r="BU75" i="42" s="1"/>
  <c r="BV75" i="42" s="1"/>
  <c r="BW75" i="42" s="1"/>
  <c r="BX75" i="42" s="1"/>
  <c r="BY75" i="42" s="1"/>
  <c r="BZ75" i="42" s="1"/>
  <c r="CA75" i="42" s="1"/>
  <c r="CB75" i="42" s="1"/>
  <c r="CC75" i="42" s="1"/>
  <c r="CD75" i="42" s="1"/>
  <c r="CE75" i="42" s="1"/>
  <c r="CF75" i="42" s="1"/>
  <c r="AI74" i="42"/>
  <c r="AJ74" i="42" s="1"/>
  <c r="AK74" i="42" s="1"/>
  <c r="AL74" i="42" s="1"/>
  <c r="AM74" i="42" s="1"/>
  <c r="AN74" i="42" s="1"/>
  <c r="AO74" i="42" s="1"/>
  <c r="AP74" i="42" s="1"/>
  <c r="AQ74" i="42" s="1"/>
  <c r="AR74" i="42" s="1"/>
  <c r="AS74" i="42" s="1"/>
  <c r="AT74" i="42" s="1"/>
  <c r="AU74" i="42" s="1"/>
  <c r="AV74" i="42" s="1"/>
  <c r="AW74" i="42" s="1"/>
  <c r="AX74" i="42" s="1"/>
  <c r="AY74" i="42" s="1"/>
  <c r="AZ74" i="42" s="1"/>
  <c r="BA74" i="42" s="1"/>
  <c r="BB74" i="42" s="1"/>
  <c r="BC74" i="42" s="1"/>
  <c r="BD74" i="42" s="1"/>
  <c r="BE74" i="42" s="1"/>
  <c r="BF74" i="42" s="1"/>
  <c r="BG74" i="42" s="1"/>
  <c r="BH74" i="42" s="1"/>
  <c r="BI74" i="42" s="1"/>
  <c r="BJ74" i="42" s="1"/>
  <c r="BK74" i="42" s="1"/>
  <c r="BL74" i="42" s="1"/>
  <c r="BM74" i="42" s="1"/>
  <c r="BN74" i="42" s="1"/>
  <c r="BO74" i="42" s="1"/>
  <c r="BP74" i="42" s="1"/>
  <c r="BQ74" i="42" s="1"/>
  <c r="BR74" i="42" s="1"/>
  <c r="BS74" i="42" s="1"/>
  <c r="BT74" i="42" s="1"/>
  <c r="BU74" i="42" s="1"/>
  <c r="BV74" i="42" s="1"/>
  <c r="BW74" i="42" s="1"/>
  <c r="BX74" i="42" s="1"/>
  <c r="BY74" i="42" s="1"/>
  <c r="BZ74" i="42" s="1"/>
  <c r="CA74" i="42" s="1"/>
  <c r="CB74" i="42" s="1"/>
  <c r="CC74" i="42" s="1"/>
  <c r="CD74" i="42" s="1"/>
  <c r="CE74" i="42" s="1"/>
  <c r="CF74" i="42" s="1"/>
  <c r="AI73" i="42"/>
  <c r="AJ73" i="42" s="1"/>
  <c r="AK73" i="42" s="1"/>
  <c r="AL73" i="42" s="1"/>
  <c r="AM73" i="42" s="1"/>
  <c r="AN73" i="42" s="1"/>
  <c r="AO73" i="42" s="1"/>
  <c r="AP73" i="42" s="1"/>
  <c r="AQ73" i="42" s="1"/>
  <c r="AR73" i="42" s="1"/>
  <c r="AS73" i="42" s="1"/>
  <c r="AT73" i="42" s="1"/>
  <c r="AU73" i="42" s="1"/>
  <c r="AV73" i="42" s="1"/>
  <c r="AW73" i="42" s="1"/>
  <c r="AX73" i="42" s="1"/>
  <c r="AY73" i="42" s="1"/>
  <c r="AZ73" i="42" s="1"/>
  <c r="BA73" i="42" s="1"/>
  <c r="BB73" i="42" s="1"/>
  <c r="BC73" i="42" s="1"/>
  <c r="BD73" i="42" s="1"/>
  <c r="BE73" i="42" s="1"/>
  <c r="BF73" i="42" s="1"/>
  <c r="BG73" i="42" s="1"/>
  <c r="BH73" i="42" s="1"/>
  <c r="BI73" i="42" s="1"/>
  <c r="BJ73" i="42" s="1"/>
  <c r="BK73" i="42" s="1"/>
  <c r="BL73" i="42" s="1"/>
  <c r="BM73" i="42" s="1"/>
  <c r="BN73" i="42" s="1"/>
  <c r="BO73" i="42" s="1"/>
  <c r="BP73" i="42" s="1"/>
  <c r="BQ73" i="42" s="1"/>
  <c r="BR73" i="42" s="1"/>
  <c r="BS73" i="42" s="1"/>
  <c r="BT73" i="42" s="1"/>
  <c r="BU73" i="42" s="1"/>
  <c r="BV73" i="42" s="1"/>
  <c r="BW73" i="42" s="1"/>
  <c r="BX73" i="42" s="1"/>
  <c r="BY73" i="42" s="1"/>
  <c r="BZ73" i="42" s="1"/>
  <c r="CA73" i="42" s="1"/>
  <c r="CB73" i="42" s="1"/>
  <c r="CC73" i="42" s="1"/>
  <c r="CD73" i="42" s="1"/>
  <c r="CE73" i="42" s="1"/>
  <c r="CF73" i="42" s="1"/>
  <c r="AI72" i="42"/>
  <c r="AJ72" i="42" s="1"/>
  <c r="AK72" i="42" s="1"/>
  <c r="AL72" i="42" s="1"/>
  <c r="AM72" i="42" s="1"/>
  <c r="AN72" i="42" s="1"/>
  <c r="AO72" i="42" s="1"/>
  <c r="AP72" i="42" s="1"/>
  <c r="AQ72" i="42" s="1"/>
  <c r="AR72" i="42" s="1"/>
  <c r="AS72" i="42" s="1"/>
  <c r="AT72" i="42" s="1"/>
  <c r="AU72" i="42" s="1"/>
  <c r="AV72" i="42" s="1"/>
  <c r="AW72" i="42" s="1"/>
  <c r="AX72" i="42" s="1"/>
  <c r="AY72" i="42" s="1"/>
  <c r="AZ72" i="42" s="1"/>
  <c r="BA72" i="42" s="1"/>
  <c r="BB72" i="42" s="1"/>
  <c r="BC72" i="42" s="1"/>
  <c r="BD72" i="42" s="1"/>
  <c r="BE72" i="42" s="1"/>
  <c r="BF72" i="42" s="1"/>
  <c r="BG72" i="42" s="1"/>
  <c r="BH72" i="42" s="1"/>
  <c r="BI72" i="42" s="1"/>
  <c r="BJ72" i="42" s="1"/>
  <c r="BK72" i="42" s="1"/>
  <c r="BL72" i="42" s="1"/>
  <c r="BM72" i="42" s="1"/>
  <c r="BN72" i="42" s="1"/>
  <c r="BO72" i="42" s="1"/>
  <c r="BP72" i="42" s="1"/>
  <c r="BQ72" i="42" s="1"/>
  <c r="BR72" i="42" s="1"/>
  <c r="BS72" i="42" s="1"/>
  <c r="BT72" i="42" s="1"/>
  <c r="BU72" i="42" s="1"/>
  <c r="BV72" i="42" s="1"/>
  <c r="BW72" i="42" s="1"/>
  <c r="BX72" i="42" s="1"/>
  <c r="BY72" i="42" s="1"/>
  <c r="BZ72" i="42" s="1"/>
  <c r="CA72" i="42" s="1"/>
  <c r="CB72" i="42" s="1"/>
  <c r="CC72" i="42" s="1"/>
  <c r="CD72" i="42" s="1"/>
  <c r="CE72" i="42" s="1"/>
  <c r="CF72" i="42" s="1"/>
  <c r="AI71" i="42"/>
  <c r="AJ71" i="42" s="1"/>
  <c r="AK71" i="42" s="1"/>
  <c r="AL71" i="42" s="1"/>
  <c r="AM71" i="42" s="1"/>
  <c r="AN71" i="42" s="1"/>
  <c r="AO71" i="42" s="1"/>
  <c r="AP71" i="42" s="1"/>
  <c r="AQ71" i="42" s="1"/>
  <c r="AR71" i="42" s="1"/>
  <c r="AS71" i="42" s="1"/>
  <c r="AT71" i="42" s="1"/>
  <c r="AU71" i="42" s="1"/>
  <c r="AV71" i="42" s="1"/>
  <c r="AW71" i="42" s="1"/>
  <c r="AX71" i="42" s="1"/>
  <c r="AY71" i="42" s="1"/>
  <c r="AZ71" i="42" s="1"/>
  <c r="BA71" i="42" s="1"/>
  <c r="BB71" i="42" s="1"/>
  <c r="BC71" i="42" s="1"/>
  <c r="BD71" i="42" s="1"/>
  <c r="BE71" i="42" s="1"/>
  <c r="BF71" i="42" s="1"/>
  <c r="BG71" i="42" s="1"/>
  <c r="BH71" i="42" s="1"/>
  <c r="BI71" i="42" s="1"/>
  <c r="BJ71" i="42" s="1"/>
  <c r="BK71" i="42" s="1"/>
  <c r="BL71" i="42" s="1"/>
  <c r="BM71" i="42" s="1"/>
  <c r="BN71" i="42" s="1"/>
  <c r="BO71" i="42" s="1"/>
  <c r="BP71" i="42" s="1"/>
  <c r="BQ71" i="42" s="1"/>
  <c r="BR71" i="42" s="1"/>
  <c r="BS71" i="42" s="1"/>
  <c r="BT71" i="42" s="1"/>
  <c r="BU71" i="42" s="1"/>
  <c r="BV71" i="42" s="1"/>
  <c r="BW71" i="42" s="1"/>
  <c r="BX71" i="42" s="1"/>
  <c r="BY71" i="42" s="1"/>
  <c r="BZ71" i="42" s="1"/>
  <c r="CA71" i="42" s="1"/>
  <c r="CB71" i="42" s="1"/>
  <c r="CC71" i="42" s="1"/>
  <c r="CD71" i="42" s="1"/>
  <c r="CE71" i="42" s="1"/>
  <c r="CF71" i="42" s="1"/>
  <c r="AI70" i="42"/>
  <c r="AJ70" i="42" s="1"/>
  <c r="AK70" i="42" s="1"/>
  <c r="AL70" i="42" s="1"/>
  <c r="AM70" i="42" s="1"/>
  <c r="AN70" i="42" s="1"/>
  <c r="AO70" i="42" s="1"/>
  <c r="AP70" i="42" s="1"/>
  <c r="AQ70" i="42" s="1"/>
  <c r="AR70" i="42" s="1"/>
  <c r="AS70" i="42" s="1"/>
  <c r="AT70" i="42" s="1"/>
  <c r="AU70" i="42" s="1"/>
  <c r="AV70" i="42" s="1"/>
  <c r="AW70" i="42" s="1"/>
  <c r="AX70" i="42" s="1"/>
  <c r="AY70" i="42" s="1"/>
  <c r="AZ70" i="42" s="1"/>
  <c r="BA70" i="42" s="1"/>
  <c r="BB70" i="42" s="1"/>
  <c r="BC70" i="42" s="1"/>
  <c r="BD70" i="42" s="1"/>
  <c r="BE70" i="42" s="1"/>
  <c r="BF70" i="42" s="1"/>
  <c r="BG70" i="42" s="1"/>
  <c r="BH70" i="42" s="1"/>
  <c r="BI70" i="42" s="1"/>
  <c r="BJ70" i="42" s="1"/>
  <c r="BK70" i="42" s="1"/>
  <c r="BL70" i="42" s="1"/>
  <c r="BM70" i="42" s="1"/>
  <c r="BN70" i="42" s="1"/>
  <c r="BO70" i="42" s="1"/>
  <c r="BP70" i="42" s="1"/>
  <c r="BQ70" i="42" s="1"/>
  <c r="BR70" i="42" s="1"/>
  <c r="BS70" i="42" s="1"/>
  <c r="BT70" i="42" s="1"/>
  <c r="BU70" i="42" s="1"/>
  <c r="BV70" i="42" s="1"/>
  <c r="BW70" i="42" s="1"/>
  <c r="BX70" i="42" s="1"/>
  <c r="BY70" i="42" s="1"/>
  <c r="BZ70" i="42" s="1"/>
  <c r="CA70" i="42" s="1"/>
  <c r="CB70" i="42" s="1"/>
  <c r="CC70" i="42" s="1"/>
  <c r="CD70" i="42" s="1"/>
  <c r="CE70" i="42" s="1"/>
  <c r="CF70" i="42" s="1"/>
  <c r="AI69" i="42"/>
  <c r="AJ69" i="42" s="1"/>
  <c r="AK69" i="42" s="1"/>
  <c r="AL69" i="42" s="1"/>
  <c r="AM69" i="42" s="1"/>
  <c r="AN69" i="42" s="1"/>
  <c r="AO69" i="42" s="1"/>
  <c r="AP69" i="42" s="1"/>
  <c r="AQ69" i="42" s="1"/>
  <c r="AR69" i="42" s="1"/>
  <c r="AS69" i="42" s="1"/>
  <c r="AT69" i="42" s="1"/>
  <c r="AU69" i="42" s="1"/>
  <c r="AV69" i="42" s="1"/>
  <c r="AW69" i="42" s="1"/>
  <c r="AX69" i="42" s="1"/>
  <c r="AY69" i="42" s="1"/>
  <c r="AZ69" i="42" s="1"/>
  <c r="BA69" i="42" s="1"/>
  <c r="BB69" i="42" s="1"/>
  <c r="BC69" i="42" s="1"/>
  <c r="BD69" i="42" s="1"/>
  <c r="BE69" i="42" s="1"/>
  <c r="BF69" i="42" s="1"/>
  <c r="BG69" i="42" s="1"/>
  <c r="BH69" i="42" s="1"/>
  <c r="BI69" i="42" s="1"/>
  <c r="BJ69" i="42" s="1"/>
  <c r="BK69" i="42" s="1"/>
  <c r="BL69" i="42" s="1"/>
  <c r="BM69" i="42" s="1"/>
  <c r="BN69" i="42" s="1"/>
  <c r="BO69" i="42" s="1"/>
  <c r="BP69" i="42" s="1"/>
  <c r="BQ69" i="42" s="1"/>
  <c r="BR69" i="42" s="1"/>
  <c r="BS69" i="42" s="1"/>
  <c r="BT69" i="42" s="1"/>
  <c r="BU69" i="42" s="1"/>
  <c r="BV69" i="42" s="1"/>
  <c r="BW69" i="42" s="1"/>
  <c r="BX69" i="42" s="1"/>
  <c r="BY69" i="42" s="1"/>
  <c r="BZ69" i="42" s="1"/>
  <c r="CA69" i="42" s="1"/>
  <c r="CB69" i="42" s="1"/>
  <c r="CC69" i="42" s="1"/>
  <c r="CD69" i="42" s="1"/>
  <c r="CE69" i="42" s="1"/>
  <c r="CF69" i="42" s="1"/>
  <c r="AI68" i="42"/>
  <c r="AJ68" i="42" s="1"/>
  <c r="AK68" i="42" s="1"/>
  <c r="AL68" i="42" s="1"/>
  <c r="AM68" i="42" s="1"/>
  <c r="AN68" i="42" s="1"/>
  <c r="AO68" i="42" s="1"/>
  <c r="AP68" i="42" s="1"/>
  <c r="AQ68" i="42" s="1"/>
  <c r="AR68" i="42" s="1"/>
  <c r="AS68" i="42" s="1"/>
  <c r="AT68" i="42" s="1"/>
  <c r="AU68" i="42" s="1"/>
  <c r="AV68" i="42" s="1"/>
  <c r="AW68" i="42" s="1"/>
  <c r="AX68" i="42" s="1"/>
  <c r="AY68" i="42" s="1"/>
  <c r="AZ68" i="42" s="1"/>
  <c r="BA68" i="42" s="1"/>
  <c r="BB68" i="42" s="1"/>
  <c r="BC68" i="42" s="1"/>
  <c r="BD68" i="42" s="1"/>
  <c r="BE68" i="42" s="1"/>
  <c r="BF68" i="42" s="1"/>
  <c r="BG68" i="42" s="1"/>
  <c r="BH68" i="42" s="1"/>
  <c r="BI68" i="42" s="1"/>
  <c r="BJ68" i="42" s="1"/>
  <c r="BK68" i="42" s="1"/>
  <c r="BL68" i="42" s="1"/>
  <c r="BM68" i="42" s="1"/>
  <c r="BN68" i="42" s="1"/>
  <c r="BO68" i="42" s="1"/>
  <c r="BP68" i="42" s="1"/>
  <c r="BQ68" i="42" s="1"/>
  <c r="BR68" i="42" s="1"/>
  <c r="BS68" i="42" s="1"/>
  <c r="BT68" i="42" s="1"/>
  <c r="BU68" i="42" s="1"/>
  <c r="BV68" i="42" s="1"/>
  <c r="BW68" i="42" s="1"/>
  <c r="BX68" i="42" s="1"/>
  <c r="BY68" i="42" s="1"/>
  <c r="BZ68" i="42" s="1"/>
  <c r="CA68" i="42" s="1"/>
  <c r="CB68" i="42" s="1"/>
  <c r="CC68" i="42" s="1"/>
  <c r="CD68" i="42" s="1"/>
  <c r="CE68" i="42" s="1"/>
  <c r="CF68" i="42" s="1"/>
  <c r="AI67" i="42"/>
  <c r="AJ67" i="42" s="1"/>
  <c r="AK67" i="42" s="1"/>
  <c r="AL67" i="42" s="1"/>
  <c r="AM67" i="42" s="1"/>
  <c r="AN67" i="42" s="1"/>
  <c r="AO67" i="42" s="1"/>
  <c r="AP67" i="42" s="1"/>
  <c r="AQ67" i="42" s="1"/>
  <c r="AR67" i="42" s="1"/>
  <c r="AS67" i="42" s="1"/>
  <c r="AT67" i="42" s="1"/>
  <c r="AU67" i="42" s="1"/>
  <c r="AV67" i="42" s="1"/>
  <c r="AW67" i="42" s="1"/>
  <c r="AX67" i="42" s="1"/>
  <c r="AY67" i="42" s="1"/>
  <c r="AZ67" i="42" s="1"/>
  <c r="BA67" i="42" s="1"/>
  <c r="BB67" i="42" s="1"/>
  <c r="BC67" i="42" s="1"/>
  <c r="BD67" i="42" s="1"/>
  <c r="BE67" i="42" s="1"/>
  <c r="BF67" i="42" s="1"/>
  <c r="BG67" i="42" s="1"/>
  <c r="BH67" i="42" s="1"/>
  <c r="BI67" i="42" s="1"/>
  <c r="BJ67" i="42" s="1"/>
  <c r="BK67" i="42" s="1"/>
  <c r="BL67" i="42" s="1"/>
  <c r="BM67" i="42" s="1"/>
  <c r="BN67" i="42" s="1"/>
  <c r="BO67" i="42" s="1"/>
  <c r="BP67" i="42" s="1"/>
  <c r="BQ67" i="42" s="1"/>
  <c r="BR67" i="42" s="1"/>
  <c r="BS67" i="42" s="1"/>
  <c r="BT67" i="42" s="1"/>
  <c r="BU67" i="42" s="1"/>
  <c r="BV67" i="42" s="1"/>
  <c r="BW67" i="42" s="1"/>
  <c r="BX67" i="42" s="1"/>
  <c r="BY67" i="42" s="1"/>
  <c r="BZ67" i="42" s="1"/>
  <c r="CA67" i="42" s="1"/>
  <c r="CB67" i="42" s="1"/>
  <c r="CC67" i="42" s="1"/>
  <c r="CD67" i="42" s="1"/>
  <c r="CE67" i="42" s="1"/>
  <c r="CF67" i="42" s="1"/>
  <c r="AI66" i="42"/>
  <c r="AJ66" i="42" s="1"/>
  <c r="AK66" i="42" s="1"/>
  <c r="AL66" i="42" s="1"/>
  <c r="AM66" i="42" s="1"/>
  <c r="AN66" i="42" s="1"/>
  <c r="AO66" i="42" s="1"/>
  <c r="AP66" i="42" s="1"/>
  <c r="AQ66" i="42" s="1"/>
  <c r="AR66" i="42" s="1"/>
  <c r="AS66" i="42" s="1"/>
  <c r="AT66" i="42" s="1"/>
  <c r="AU66" i="42" s="1"/>
  <c r="AV66" i="42" s="1"/>
  <c r="AW66" i="42" s="1"/>
  <c r="AX66" i="42" s="1"/>
  <c r="AY66" i="42" s="1"/>
  <c r="AZ66" i="42" s="1"/>
  <c r="BA66" i="42" s="1"/>
  <c r="BB66" i="42" s="1"/>
  <c r="BC66" i="42" s="1"/>
  <c r="BD66" i="42" s="1"/>
  <c r="BE66" i="42" s="1"/>
  <c r="BF66" i="42" s="1"/>
  <c r="BG66" i="42" s="1"/>
  <c r="BH66" i="42" s="1"/>
  <c r="BI66" i="42" s="1"/>
  <c r="BJ66" i="42" s="1"/>
  <c r="BK66" i="42" s="1"/>
  <c r="BL66" i="42" s="1"/>
  <c r="BM66" i="42" s="1"/>
  <c r="BN66" i="42" s="1"/>
  <c r="BO66" i="42" s="1"/>
  <c r="BP66" i="42" s="1"/>
  <c r="BQ66" i="42" s="1"/>
  <c r="BR66" i="42" s="1"/>
  <c r="BS66" i="42" s="1"/>
  <c r="BT66" i="42" s="1"/>
  <c r="BU66" i="42" s="1"/>
  <c r="BV66" i="42" s="1"/>
  <c r="BW66" i="42" s="1"/>
  <c r="BX66" i="42" s="1"/>
  <c r="BY66" i="42" s="1"/>
  <c r="BZ66" i="42" s="1"/>
  <c r="CA66" i="42" s="1"/>
  <c r="CB66" i="42" s="1"/>
  <c r="CC66" i="42" s="1"/>
  <c r="CD66" i="42" s="1"/>
  <c r="CE66" i="42" s="1"/>
  <c r="CF66" i="42" s="1"/>
  <c r="AI65" i="42"/>
  <c r="AJ65" i="42" s="1"/>
  <c r="AK65" i="42" s="1"/>
  <c r="AL65" i="42" s="1"/>
  <c r="AM65" i="42" s="1"/>
  <c r="AN65" i="42" s="1"/>
  <c r="AO65" i="42" s="1"/>
  <c r="AP65" i="42" s="1"/>
  <c r="AQ65" i="42" s="1"/>
  <c r="AR65" i="42" s="1"/>
  <c r="AS65" i="42" s="1"/>
  <c r="AT65" i="42" s="1"/>
  <c r="AU65" i="42" s="1"/>
  <c r="AV65" i="42" s="1"/>
  <c r="AW65" i="42" s="1"/>
  <c r="AX65" i="42" s="1"/>
  <c r="AY65" i="42" s="1"/>
  <c r="AZ65" i="42" s="1"/>
  <c r="BA65" i="42" s="1"/>
  <c r="BB65" i="42" s="1"/>
  <c r="BC65" i="42" s="1"/>
  <c r="BD65" i="42" s="1"/>
  <c r="BE65" i="42" s="1"/>
  <c r="BF65" i="42" s="1"/>
  <c r="BG65" i="42" s="1"/>
  <c r="BH65" i="42" s="1"/>
  <c r="BI65" i="42" s="1"/>
  <c r="BJ65" i="42" s="1"/>
  <c r="BK65" i="42" s="1"/>
  <c r="BL65" i="42" s="1"/>
  <c r="BM65" i="42" s="1"/>
  <c r="BN65" i="42" s="1"/>
  <c r="BO65" i="42" s="1"/>
  <c r="BP65" i="42" s="1"/>
  <c r="BQ65" i="42" s="1"/>
  <c r="BR65" i="42" s="1"/>
  <c r="BS65" i="42" s="1"/>
  <c r="BT65" i="42" s="1"/>
  <c r="BU65" i="42" s="1"/>
  <c r="BV65" i="42" s="1"/>
  <c r="BW65" i="42" s="1"/>
  <c r="BX65" i="42" s="1"/>
  <c r="BY65" i="42" s="1"/>
  <c r="BZ65" i="42" s="1"/>
  <c r="CA65" i="42" s="1"/>
  <c r="CB65" i="42" s="1"/>
  <c r="CC65" i="42" s="1"/>
  <c r="CD65" i="42" s="1"/>
  <c r="CE65" i="42" s="1"/>
  <c r="CF65" i="42" s="1"/>
  <c r="AI64" i="42"/>
  <c r="AJ64" i="42" s="1"/>
  <c r="AK64" i="42" s="1"/>
  <c r="AL64" i="42" s="1"/>
  <c r="AM64" i="42" s="1"/>
  <c r="AN64" i="42" s="1"/>
  <c r="AO64" i="42" s="1"/>
  <c r="AP64" i="42" s="1"/>
  <c r="AQ64" i="42" s="1"/>
  <c r="AR64" i="42" s="1"/>
  <c r="AS64" i="42" s="1"/>
  <c r="AT64" i="42" s="1"/>
  <c r="AU64" i="42" s="1"/>
  <c r="AV64" i="42" s="1"/>
  <c r="AW64" i="42" s="1"/>
  <c r="AX64" i="42" s="1"/>
  <c r="AY64" i="42" s="1"/>
  <c r="AZ64" i="42" s="1"/>
  <c r="BA64" i="42" s="1"/>
  <c r="BB64" i="42" s="1"/>
  <c r="BC64" i="42" s="1"/>
  <c r="BD64" i="42" s="1"/>
  <c r="BE64" i="42" s="1"/>
  <c r="BF64" i="42" s="1"/>
  <c r="BG64" i="42" s="1"/>
  <c r="BH64" i="42" s="1"/>
  <c r="BI64" i="42" s="1"/>
  <c r="BJ64" i="42" s="1"/>
  <c r="BK64" i="42" s="1"/>
  <c r="BL64" i="42" s="1"/>
  <c r="BM64" i="42" s="1"/>
  <c r="BN64" i="42" s="1"/>
  <c r="BO64" i="42" s="1"/>
  <c r="BP64" i="42" s="1"/>
  <c r="BQ64" i="42" s="1"/>
  <c r="BR64" i="42" s="1"/>
  <c r="BS64" i="42" s="1"/>
  <c r="BT64" i="42" s="1"/>
  <c r="BU64" i="42" s="1"/>
  <c r="BV64" i="42" s="1"/>
  <c r="BW64" i="42" s="1"/>
  <c r="BX64" i="42" s="1"/>
  <c r="BY64" i="42" s="1"/>
  <c r="BZ64" i="42" s="1"/>
  <c r="CA64" i="42" s="1"/>
  <c r="CB64" i="42" s="1"/>
  <c r="CC64" i="42" s="1"/>
  <c r="CD64" i="42" s="1"/>
  <c r="CE64" i="42" s="1"/>
  <c r="CF64" i="42" s="1"/>
  <c r="AI63" i="42"/>
  <c r="AJ63" i="42" s="1"/>
  <c r="AK63" i="42" s="1"/>
  <c r="AL63" i="42" s="1"/>
  <c r="AM63" i="42" s="1"/>
  <c r="AN63" i="42" s="1"/>
  <c r="AO63" i="42" s="1"/>
  <c r="AP63" i="42" s="1"/>
  <c r="AQ63" i="42" s="1"/>
  <c r="AR63" i="42" s="1"/>
  <c r="AS63" i="42" s="1"/>
  <c r="AT63" i="42" s="1"/>
  <c r="AU63" i="42" s="1"/>
  <c r="AV63" i="42" s="1"/>
  <c r="AW63" i="42" s="1"/>
  <c r="AX63" i="42" s="1"/>
  <c r="AY63" i="42" s="1"/>
  <c r="AZ63" i="42" s="1"/>
  <c r="BA63" i="42" s="1"/>
  <c r="BB63" i="42" s="1"/>
  <c r="BC63" i="42" s="1"/>
  <c r="BD63" i="42" s="1"/>
  <c r="BE63" i="42" s="1"/>
  <c r="BF63" i="42" s="1"/>
  <c r="BG63" i="42" s="1"/>
  <c r="BH63" i="42" s="1"/>
  <c r="BI63" i="42" s="1"/>
  <c r="BJ63" i="42" s="1"/>
  <c r="BK63" i="42" s="1"/>
  <c r="BL63" i="42" s="1"/>
  <c r="BM63" i="42" s="1"/>
  <c r="BN63" i="42" s="1"/>
  <c r="BO63" i="42" s="1"/>
  <c r="BP63" i="42" s="1"/>
  <c r="BQ63" i="42" s="1"/>
  <c r="BR63" i="42" s="1"/>
  <c r="BS63" i="42" s="1"/>
  <c r="BT63" i="42" s="1"/>
  <c r="BU63" i="42" s="1"/>
  <c r="BV63" i="42" s="1"/>
  <c r="BW63" i="42" s="1"/>
  <c r="BX63" i="42" s="1"/>
  <c r="BY63" i="42" s="1"/>
  <c r="BZ63" i="42" s="1"/>
  <c r="CA63" i="42" s="1"/>
  <c r="CB63" i="42" s="1"/>
  <c r="CC63" i="42" s="1"/>
  <c r="CD63" i="42" s="1"/>
  <c r="CE63" i="42" s="1"/>
  <c r="CF63" i="42" s="1"/>
  <c r="AI62" i="42"/>
  <c r="AJ62" i="42" s="1"/>
  <c r="AK62" i="42" s="1"/>
  <c r="AL62" i="42" s="1"/>
  <c r="AM62" i="42" s="1"/>
  <c r="AN62" i="42" s="1"/>
  <c r="AO62" i="42" s="1"/>
  <c r="AP62" i="42" s="1"/>
  <c r="AQ62" i="42" s="1"/>
  <c r="AR62" i="42" s="1"/>
  <c r="AS62" i="42" s="1"/>
  <c r="AT62" i="42" s="1"/>
  <c r="AU62" i="42" s="1"/>
  <c r="AV62" i="42" s="1"/>
  <c r="AW62" i="42" s="1"/>
  <c r="AX62" i="42" s="1"/>
  <c r="AY62" i="42" s="1"/>
  <c r="AZ62" i="42" s="1"/>
  <c r="BA62" i="42" s="1"/>
  <c r="BB62" i="42" s="1"/>
  <c r="BC62" i="42" s="1"/>
  <c r="BD62" i="42" s="1"/>
  <c r="BE62" i="42" s="1"/>
  <c r="BF62" i="42" s="1"/>
  <c r="BG62" i="42" s="1"/>
  <c r="BH62" i="42" s="1"/>
  <c r="BI62" i="42" s="1"/>
  <c r="BJ62" i="42" s="1"/>
  <c r="BK62" i="42" s="1"/>
  <c r="BL62" i="42" s="1"/>
  <c r="BM62" i="42" s="1"/>
  <c r="BN62" i="42" s="1"/>
  <c r="BO62" i="42" s="1"/>
  <c r="BP62" i="42" s="1"/>
  <c r="BQ62" i="42" s="1"/>
  <c r="BR62" i="42" s="1"/>
  <c r="BS62" i="42" s="1"/>
  <c r="BT62" i="42" s="1"/>
  <c r="BU62" i="42" s="1"/>
  <c r="BV62" i="42" s="1"/>
  <c r="BW62" i="42" s="1"/>
  <c r="BX62" i="42" s="1"/>
  <c r="BY62" i="42" s="1"/>
  <c r="BZ62" i="42" s="1"/>
  <c r="CA62" i="42" s="1"/>
  <c r="CB62" i="42" s="1"/>
  <c r="CC62" i="42" s="1"/>
  <c r="CD62" i="42" s="1"/>
  <c r="CE62" i="42" s="1"/>
  <c r="CF62" i="42" s="1"/>
  <c r="AI61" i="42"/>
  <c r="AJ61" i="42" s="1"/>
  <c r="AK61" i="42" s="1"/>
  <c r="AL61" i="42" s="1"/>
  <c r="AM61" i="42" s="1"/>
  <c r="AN61" i="42" s="1"/>
  <c r="AO61" i="42" s="1"/>
  <c r="AP61" i="42" s="1"/>
  <c r="AQ61" i="42" s="1"/>
  <c r="AR61" i="42" s="1"/>
  <c r="AS61" i="42" s="1"/>
  <c r="AT61" i="42" s="1"/>
  <c r="AU61" i="42" s="1"/>
  <c r="AV61" i="42" s="1"/>
  <c r="AW61" i="42" s="1"/>
  <c r="AX61" i="42" s="1"/>
  <c r="AY61" i="42" s="1"/>
  <c r="AZ61" i="42" s="1"/>
  <c r="BA61" i="42" s="1"/>
  <c r="BB61" i="42" s="1"/>
  <c r="BC61" i="42" s="1"/>
  <c r="BD61" i="42" s="1"/>
  <c r="BE61" i="42" s="1"/>
  <c r="BF61" i="42" s="1"/>
  <c r="BG61" i="42" s="1"/>
  <c r="BH61" i="42" s="1"/>
  <c r="BI61" i="42" s="1"/>
  <c r="BJ61" i="42" s="1"/>
  <c r="BK61" i="42" s="1"/>
  <c r="BL61" i="42" s="1"/>
  <c r="BM61" i="42" s="1"/>
  <c r="BN61" i="42" s="1"/>
  <c r="BO61" i="42" s="1"/>
  <c r="BP61" i="42" s="1"/>
  <c r="BQ61" i="42" s="1"/>
  <c r="BR61" i="42" s="1"/>
  <c r="BS61" i="42" s="1"/>
  <c r="BT61" i="42" s="1"/>
  <c r="BU61" i="42" s="1"/>
  <c r="BV61" i="42" s="1"/>
  <c r="BW61" i="42" s="1"/>
  <c r="BX61" i="42" s="1"/>
  <c r="BY61" i="42" s="1"/>
  <c r="BZ61" i="42" s="1"/>
  <c r="CA61" i="42" s="1"/>
  <c r="CB61" i="42" s="1"/>
  <c r="CC61" i="42" s="1"/>
  <c r="CD61" i="42" s="1"/>
  <c r="CE61" i="42" s="1"/>
  <c r="CF61" i="42" s="1"/>
  <c r="AI60" i="42"/>
  <c r="AJ60" i="42" s="1"/>
  <c r="AK60" i="42" s="1"/>
  <c r="AL60" i="42" s="1"/>
  <c r="AM60" i="42" s="1"/>
  <c r="AN60" i="42" s="1"/>
  <c r="AO60" i="42" s="1"/>
  <c r="AP60" i="42" s="1"/>
  <c r="AQ60" i="42" s="1"/>
  <c r="AR60" i="42" s="1"/>
  <c r="AS60" i="42" s="1"/>
  <c r="AT60" i="42" s="1"/>
  <c r="AU60" i="42" s="1"/>
  <c r="AV60" i="42" s="1"/>
  <c r="AW60" i="42" s="1"/>
  <c r="AX60" i="42" s="1"/>
  <c r="AY60" i="42" s="1"/>
  <c r="AZ60" i="42" s="1"/>
  <c r="BA60" i="42" s="1"/>
  <c r="BB60" i="42" s="1"/>
  <c r="BC60" i="42" s="1"/>
  <c r="BD60" i="42" s="1"/>
  <c r="BE60" i="42" s="1"/>
  <c r="BF60" i="42" s="1"/>
  <c r="BG60" i="42" s="1"/>
  <c r="BH60" i="42" s="1"/>
  <c r="BI60" i="42" s="1"/>
  <c r="BJ60" i="42" s="1"/>
  <c r="BK60" i="42" s="1"/>
  <c r="BL60" i="42" s="1"/>
  <c r="BM60" i="42" s="1"/>
  <c r="BN60" i="42" s="1"/>
  <c r="BO60" i="42" s="1"/>
  <c r="BP60" i="42" s="1"/>
  <c r="BQ60" i="42" s="1"/>
  <c r="BR60" i="42" s="1"/>
  <c r="BS60" i="42" s="1"/>
  <c r="BT60" i="42" s="1"/>
  <c r="BU60" i="42" s="1"/>
  <c r="BV60" i="42" s="1"/>
  <c r="BW60" i="42" s="1"/>
  <c r="BX60" i="42" s="1"/>
  <c r="BY60" i="42" s="1"/>
  <c r="BZ60" i="42" s="1"/>
  <c r="CA60" i="42" s="1"/>
  <c r="CB60" i="42" s="1"/>
  <c r="CC60" i="42" s="1"/>
  <c r="CD60" i="42" s="1"/>
  <c r="CE60" i="42" s="1"/>
  <c r="CF60" i="42" s="1"/>
  <c r="AI59" i="42"/>
  <c r="AJ59" i="42" s="1"/>
  <c r="AK59" i="42" s="1"/>
  <c r="AL59" i="42" s="1"/>
  <c r="AM59" i="42" s="1"/>
  <c r="AN59" i="42" s="1"/>
  <c r="AO59" i="42" s="1"/>
  <c r="AP59" i="42" s="1"/>
  <c r="AQ59" i="42" s="1"/>
  <c r="AR59" i="42" s="1"/>
  <c r="AS59" i="42" s="1"/>
  <c r="AT59" i="42" s="1"/>
  <c r="AU59" i="42" s="1"/>
  <c r="AV59" i="42" s="1"/>
  <c r="AW59" i="42" s="1"/>
  <c r="AX59" i="42" s="1"/>
  <c r="AY59" i="42" s="1"/>
  <c r="AZ59" i="42" s="1"/>
  <c r="BA59" i="42" s="1"/>
  <c r="BB59" i="42" s="1"/>
  <c r="BC59" i="42" s="1"/>
  <c r="BD59" i="42" s="1"/>
  <c r="BE59" i="42" s="1"/>
  <c r="BF59" i="42" s="1"/>
  <c r="BG59" i="42" s="1"/>
  <c r="BH59" i="42" s="1"/>
  <c r="BI59" i="42" s="1"/>
  <c r="BJ59" i="42" s="1"/>
  <c r="BK59" i="42" s="1"/>
  <c r="BL59" i="42" s="1"/>
  <c r="BM59" i="42" s="1"/>
  <c r="BN59" i="42" s="1"/>
  <c r="BO59" i="42" s="1"/>
  <c r="BP59" i="42" s="1"/>
  <c r="BQ59" i="42" s="1"/>
  <c r="BR59" i="42" s="1"/>
  <c r="BS59" i="42" s="1"/>
  <c r="BT59" i="42" s="1"/>
  <c r="BU59" i="42" s="1"/>
  <c r="BV59" i="42" s="1"/>
  <c r="BW59" i="42" s="1"/>
  <c r="BX59" i="42" s="1"/>
  <c r="BY59" i="42" s="1"/>
  <c r="BZ59" i="42" s="1"/>
  <c r="CA59" i="42" s="1"/>
  <c r="CB59" i="42" s="1"/>
  <c r="CC59" i="42" s="1"/>
  <c r="CD59" i="42" s="1"/>
  <c r="CE59" i="42" s="1"/>
  <c r="CF59" i="42" s="1"/>
  <c r="AI58" i="42"/>
  <c r="AJ58" i="42" s="1"/>
  <c r="AK58" i="42" s="1"/>
  <c r="AL58" i="42" s="1"/>
  <c r="AM58" i="42" s="1"/>
  <c r="AN58" i="42" s="1"/>
  <c r="AO58" i="42" s="1"/>
  <c r="AP58" i="42" s="1"/>
  <c r="AQ58" i="42" s="1"/>
  <c r="AR58" i="42" s="1"/>
  <c r="AS58" i="42" s="1"/>
  <c r="AT58" i="42" s="1"/>
  <c r="AU58" i="42" s="1"/>
  <c r="AV58" i="42" s="1"/>
  <c r="AW58" i="42" s="1"/>
  <c r="AX58" i="42" s="1"/>
  <c r="AY58" i="42" s="1"/>
  <c r="AZ58" i="42" s="1"/>
  <c r="BA58" i="42" s="1"/>
  <c r="BB58" i="42" s="1"/>
  <c r="BC58" i="42" s="1"/>
  <c r="BD58" i="42" s="1"/>
  <c r="BE58" i="42" s="1"/>
  <c r="BF58" i="42" s="1"/>
  <c r="BG58" i="42" s="1"/>
  <c r="BH58" i="42" s="1"/>
  <c r="BI58" i="42" s="1"/>
  <c r="BJ58" i="42" s="1"/>
  <c r="BK58" i="42" s="1"/>
  <c r="BL58" i="42" s="1"/>
  <c r="BM58" i="42" s="1"/>
  <c r="BN58" i="42" s="1"/>
  <c r="BO58" i="42" s="1"/>
  <c r="BP58" i="42" s="1"/>
  <c r="BQ58" i="42" s="1"/>
  <c r="BR58" i="42" s="1"/>
  <c r="BS58" i="42" s="1"/>
  <c r="BT58" i="42" s="1"/>
  <c r="BU58" i="42" s="1"/>
  <c r="BV58" i="42" s="1"/>
  <c r="BW58" i="42" s="1"/>
  <c r="BX58" i="42" s="1"/>
  <c r="BY58" i="42" s="1"/>
  <c r="BZ58" i="42" s="1"/>
  <c r="CA58" i="42" s="1"/>
  <c r="CB58" i="42" s="1"/>
  <c r="CC58" i="42" s="1"/>
  <c r="CD58" i="42" s="1"/>
  <c r="CE58" i="42" s="1"/>
  <c r="CF58" i="42" s="1"/>
  <c r="AI57" i="42"/>
  <c r="AJ57" i="42" s="1"/>
  <c r="AK57" i="42" s="1"/>
  <c r="AL57" i="42" s="1"/>
  <c r="AM57" i="42" s="1"/>
  <c r="AN57" i="42" s="1"/>
  <c r="AO57" i="42" s="1"/>
  <c r="AP57" i="42" s="1"/>
  <c r="AQ57" i="42" s="1"/>
  <c r="AR57" i="42" s="1"/>
  <c r="AS57" i="42" s="1"/>
  <c r="AT57" i="42" s="1"/>
  <c r="AU57" i="42" s="1"/>
  <c r="AV57" i="42" s="1"/>
  <c r="AW57" i="42" s="1"/>
  <c r="AX57" i="42" s="1"/>
  <c r="AY57" i="42" s="1"/>
  <c r="AZ57" i="42" s="1"/>
  <c r="BA57" i="42" s="1"/>
  <c r="BB57" i="42" s="1"/>
  <c r="BC57" i="42" s="1"/>
  <c r="BD57" i="42" s="1"/>
  <c r="BE57" i="42" s="1"/>
  <c r="BF57" i="42" s="1"/>
  <c r="BG57" i="42" s="1"/>
  <c r="BH57" i="42" s="1"/>
  <c r="BI57" i="42" s="1"/>
  <c r="BJ57" i="42" s="1"/>
  <c r="BK57" i="42" s="1"/>
  <c r="BL57" i="42" s="1"/>
  <c r="BM57" i="42" s="1"/>
  <c r="BN57" i="42" s="1"/>
  <c r="BO57" i="42" s="1"/>
  <c r="BP57" i="42" s="1"/>
  <c r="BQ57" i="42" s="1"/>
  <c r="BR57" i="42" s="1"/>
  <c r="BS57" i="42" s="1"/>
  <c r="BT57" i="42" s="1"/>
  <c r="BU57" i="42" s="1"/>
  <c r="BV57" i="42" s="1"/>
  <c r="BW57" i="42" s="1"/>
  <c r="BX57" i="42" s="1"/>
  <c r="BY57" i="42" s="1"/>
  <c r="BZ57" i="42" s="1"/>
  <c r="CA57" i="42" s="1"/>
  <c r="CB57" i="42" s="1"/>
  <c r="CC57" i="42" s="1"/>
  <c r="CD57" i="42" s="1"/>
  <c r="CE57" i="42" s="1"/>
  <c r="CF57" i="42" s="1"/>
  <c r="AI56" i="42"/>
  <c r="AJ56" i="42" s="1"/>
  <c r="AK56" i="42" s="1"/>
  <c r="AL56" i="42" s="1"/>
  <c r="AM56" i="42" s="1"/>
  <c r="AN56" i="42" s="1"/>
  <c r="AO56" i="42" s="1"/>
  <c r="AP56" i="42" s="1"/>
  <c r="AQ56" i="42" s="1"/>
  <c r="AR56" i="42" s="1"/>
  <c r="AS56" i="42" s="1"/>
  <c r="AT56" i="42" s="1"/>
  <c r="AU56" i="42" s="1"/>
  <c r="AV56" i="42" s="1"/>
  <c r="AW56" i="42" s="1"/>
  <c r="AX56" i="42" s="1"/>
  <c r="AY56" i="42" s="1"/>
  <c r="AZ56" i="42" s="1"/>
  <c r="BA56" i="42" s="1"/>
  <c r="BB56" i="42" s="1"/>
  <c r="BC56" i="42" s="1"/>
  <c r="BD56" i="42" s="1"/>
  <c r="BE56" i="42" s="1"/>
  <c r="BF56" i="42" s="1"/>
  <c r="BG56" i="42" s="1"/>
  <c r="BH56" i="42" s="1"/>
  <c r="BI56" i="42" s="1"/>
  <c r="BJ56" i="42" s="1"/>
  <c r="BK56" i="42" s="1"/>
  <c r="BL56" i="42" s="1"/>
  <c r="BM56" i="42" s="1"/>
  <c r="BN56" i="42" s="1"/>
  <c r="BO56" i="42" s="1"/>
  <c r="BP56" i="42" s="1"/>
  <c r="BQ56" i="42" s="1"/>
  <c r="BR56" i="42" s="1"/>
  <c r="BS56" i="42" s="1"/>
  <c r="BT56" i="42" s="1"/>
  <c r="BU56" i="42" s="1"/>
  <c r="BV56" i="42" s="1"/>
  <c r="BW56" i="42" s="1"/>
  <c r="BX56" i="42" s="1"/>
  <c r="BY56" i="42" s="1"/>
  <c r="BZ56" i="42" s="1"/>
  <c r="CA56" i="42" s="1"/>
  <c r="CB56" i="42" s="1"/>
  <c r="CC56" i="42" s="1"/>
  <c r="CD56" i="42" s="1"/>
  <c r="CE56" i="42" s="1"/>
  <c r="CF56" i="42" s="1"/>
  <c r="AI55" i="42"/>
  <c r="AJ55" i="42" s="1"/>
  <c r="AK55" i="42" s="1"/>
  <c r="AL55" i="42" s="1"/>
  <c r="AM55" i="42" s="1"/>
  <c r="AN55" i="42" s="1"/>
  <c r="AO55" i="42" s="1"/>
  <c r="AP55" i="42" s="1"/>
  <c r="AQ55" i="42" s="1"/>
  <c r="AR55" i="42" s="1"/>
  <c r="AS55" i="42" s="1"/>
  <c r="AT55" i="42" s="1"/>
  <c r="AU55" i="42" s="1"/>
  <c r="AV55" i="42" s="1"/>
  <c r="AW55" i="42" s="1"/>
  <c r="AX55" i="42" s="1"/>
  <c r="AY55" i="42" s="1"/>
  <c r="AZ55" i="42" s="1"/>
  <c r="BA55" i="42" s="1"/>
  <c r="BB55" i="42" s="1"/>
  <c r="BC55" i="42" s="1"/>
  <c r="BD55" i="42" s="1"/>
  <c r="BE55" i="42" s="1"/>
  <c r="BF55" i="42" s="1"/>
  <c r="BG55" i="42" s="1"/>
  <c r="BH55" i="42" s="1"/>
  <c r="BI55" i="42" s="1"/>
  <c r="BJ55" i="42" s="1"/>
  <c r="BK55" i="42" s="1"/>
  <c r="BL55" i="42" s="1"/>
  <c r="BM55" i="42" s="1"/>
  <c r="BN55" i="42" s="1"/>
  <c r="BO55" i="42" s="1"/>
  <c r="BP55" i="42" s="1"/>
  <c r="BQ55" i="42" s="1"/>
  <c r="BR55" i="42" s="1"/>
  <c r="BS55" i="42" s="1"/>
  <c r="BT55" i="42" s="1"/>
  <c r="BU55" i="42" s="1"/>
  <c r="BV55" i="42" s="1"/>
  <c r="BW55" i="42" s="1"/>
  <c r="BX55" i="42" s="1"/>
  <c r="BY55" i="42" s="1"/>
  <c r="BZ55" i="42" s="1"/>
  <c r="CA55" i="42" s="1"/>
  <c r="CB55" i="42" s="1"/>
  <c r="CC55" i="42" s="1"/>
  <c r="CD55" i="42" s="1"/>
  <c r="CE55" i="42" s="1"/>
  <c r="CF55" i="42" s="1"/>
  <c r="AI54" i="42"/>
  <c r="AJ54" i="42" s="1"/>
  <c r="AK54" i="42" s="1"/>
  <c r="AL54" i="42" s="1"/>
  <c r="AM54" i="42" s="1"/>
  <c r="AN54" i="42" s="1"/>
  <c r="AO54" i="42" s="1"/>
  <c r="AP54" i="42" s="1"/>
  <c r="AQ54" i="42" s="1"/>
  <c r="AR54" i="42" s="1"/>
  <c r="AS54" i="42" s="1"/>
  <c r="AT54" i="42" s="1"/>
  <c r="AU54" i="42" s="1"/>
  <c r="AV54" i="42" s="1"/>
  <c r="AW54" i="42" s="1"/>
  <c r="AX54" i="42" s="1"/>
  <c r="AY54" i="42" s="1"/>
  <c r="AZ54" i="42" s="1"/>
  <c r="BA54" i="42" s="1"/>
  <c r="BB54" i="42" s="1"/>
  <c r="BC54" i="42" s="1"/>
  <c r="BD54" i="42" s="1"/>
  <c r="BE54" i="42" s="1"/>
  <c r="BF54" i="42" s="1"/>
  <c r="BG54" i="42" s="1"/>
  <c r="BH54" i="42" s="1"/>
  <c r="BI54" i="42" s="1"/>
  <c r="BJ54" i="42" s="1"/>
  <c r="BK54" i="42" s="1"/>
  <c r="BL54" i="42" s="1"/>
  <c r="BM54" i="42" s="1"/>
  <c r="BN54" i="42" s="1"/>
  <c r="BO54" i="42" s="1"/>
  <c r="BP54" i="42" s="1"/>
  <c r="BQ54" i="42" s="1"/>
  <c r="BR54" i="42" s="1"/>
  <c r="BS54" i="42" s="1"/>
  <c r="BT54" i="42" s="1"/>
  <c r="BU54" i="42" s="1"/>
  <c r="BV54" i="42" s="1"/>
  <c r="BW54" i="42" s="1"/>
  <c r="BX54" i="42" s="1"/>
  <c r="BY54" i="42" s="1"/>
  <c r="BZ54" i="42" s="1"/>
  <c r="CA54" i="42" s="1"/>
  <c r="CB54" i="42" s="1"/>
  <c r="CC54" i="42" s="1"/>
  <c r="CD54" i="42" s="1"/>
  <c r="CE54" i="42" s="1"/>
  <c r="CF54" i="42" s="1"/>
  <c r="AI53" i="42"/>
  <c r="AJ53" i="42" s="1"/>
  <c r="AK53" i="42" s="1"/>
  <c r="AL53" i="42" s="1"/>
  <c r="AM53" i="42" s="1"/>
  <c r="AN53" i="42" s="1"/>
  <c r="AO53" i="42" s="1"/>
  <c r="AP53" i="42" s="1"/>
  <c r="AQ53" i="42" s="1"/>
  <c r="AR53" i="42" s="1"/>
  <c r="AS53" i="42" s="1"/>
  <c r="AT53" i="42" s="1"/>
  <c r="AU53" i="42" s="1"/>
  <c r="AV53" i="42" s="1"/>
  <c r="AW53" i="42" s="1"/>
  <c r="AX53" i="42" s="1"/>
  <c r="AY53" i="42" s="1"/>
  <c r="AZ53" i="42" s="1"/>
  <c r="BA53" i="42" s="1"/>
  <c r="BB53" i="42" s="1"/>
  <c r="BC53" i="42" s="1"/>
  <c r="BD53" i="42" s="1"/>
  <c r="BE53" i="42" s="1"/>
  <c r="BF53" i="42" s="1"/>
  <c r="BG53" i="42" s="1"/>
  <c r="BH53" i="42" s="1"/>
  <c r="BI53" i="42" s="1"/>
  <c r="BJ53" i="42" s="1"/>
  <c r="BK53" i="42" s="1"/>
  <c r="BL53" i="42" s="1"/>
  <c r="BM53" i="42" s="1"/>
  <c r="BN53" i="42" s="1"/>
  <c r="BO53" i="42" s="1"/>
  <c r="BP53" i="42" s="1"/>
  <c r="BQ53" i="42" s="1"/>
  <c r="BR53" i="42" s="1"/>
  <c r="BS53" i="42" s="1"/>
  <c r="BT53" i="42" s="1"/>
  <c r="BU53" i="42" s="1"/>
  <c r="BV53" i="42" s="1"/>
  <c r="BW53" i="42" s="1"/>
  <c r="BX53" i="42" s="1"/>
  <c r="BY53" i="42" s="1"/>
  <c r="BZ53" i="42" s="1"/>
  <c r="CA53" i="42" s="1"/>
  <c r="CB53" i="42" s="1"/>
  <c r="CC53" i="42" s="1"/>
  <c r="CD53" i="42" s="1"/>
  <c r="CE53" i="42" s="1"/>
  <c r="CF53" i="42" s="1"/>
  <c r="AI52" i="42"/>
  <c r="AJ52" i="42" s="1"/>
  <c r="AK52" i="42" s="1"/>
  <c r="AL52" i="42" s="1"/>
  <c r="AM52" i="42" s="1"/>
  <c r="AN52" i="42" s="1"/>
  <c r="AO52" i="42" s="1"/>
  <c r="AP52" i="42" s="1"/>
  <c r="AQ52" i="42" s="1"/>
  <c r="AR52" i="42" s="1"/>
  <c r="AS52" i="42" s="1"/>
  <c r="AT52" i="42" s="1"/>
  <c r="AU52" i="42" s="1"/>
  <c r="AV52" i="42" s="1"/>
  <c r="AW52" i="42" s="1"/>
  <c r="AX52" i="42" s="1"/>
  <c r="AY52" i="42" s="1"/>
  <c r="AZ52" i="42" s="1"/>
  <c r="BA52" i="42" s="1"/>
  <c r="BB52" i="42" s="1"/>
  <c r="BC52" i="42" s="1"/>
  <c r="BD52" i="42" s="1"/>
  <c r="BE52" i="42" s="1"/>
  <c r="BF52" i="42" s="1"/>
  <c r="BG52" i="42" s="1"/>
  <c r="BH52" i="42" s="1"/>
  <c r="BI52" i="42" s="1"/>
  <c r="BJ52" i="42" s="1"/>
  <c r="BK52" i="42" s="1"/>
  <c r="BL52" i="42" s="1"/>
  <c r="BM52" i="42" s="1"/>
  <c r="BN52" i="42" s="1"/>
  <c r="BO52" i="42" s="1"/>
  <c r="BP52" i="42" s="1"/>
  <c r="BQ52" i="42" s="1"/>
  <c r="BR52" i="42" s="1"/>
  <c r="BS52" i="42" s="1"/>
  <c r="BT52" i="42" s="1"/>
  <c r="BU52" i="42" s="1"/>
  <c r="BV52" i="42" s="1"/>
  <c r="BW52" i="42" s="1"/>
  <c r="BX52" i="42" s="1"/>
  <c r="BY52" i="42" s="1"/>
  <c r="BZ52" i="42" s="1"/>
  <c r="CA52" i="42" s="1"/>
  <c r="CB52" i="42" s="1"/>
  <c r="CC52" i="42" s="1"/>
  <c r="CD52" i="42" s="1"/>
  <c r="CE52" i="42" s="1"/>
  <c r="CF52" i="42" s="1"/>
  <c r="AI51" i="42"/>
  <c r="AJ51" i="42" s="1"/>
  <c r="AK51" i="42" s="1"/>
  <c r="AL51" i="42" s="1"/>
  <c r="AM51" i="42" s="1"/>
  <c r="AN51" i="42" s="1"/>
  <c r="AO51" i="42" s="1"/>
  <c r="AP51" i="42" s="1"/>
  <c r="AQ51" i="42" s="1"/>
  <c r="AR51" i="42" s="1"/>
  <c r="AS51" i="42" s="1"/>
  <c r="AT51" i="42" s="1"/>
  <c r="AU51" i="42" s="1"/>
  <c r="AV51" i="42" s="1"/>
  <c r="AW51" i="42" s="1"/>
  <c r="AX51" i="42" s="1"/>
  <c r="AY51" i="42" s="1"/>
  <c r="AZ51" i="42" s="1"/>
  <c r="BA51" i="42" s="1"/>
  <c r="BB51" i="42" s="1"/>
  <c r="BC51" i="42" s="1"/>
  <c r="BD51" i="42" s="1"/>
  <c r="BE51" i="42" s="1"/>
  <c r="BF51" i="42" s="1"/>
  <c r="BG51" i="42" s="1"/>
  <c r="BH51" i="42" s="1"/>
  <c r="BI51" i="42" s="1"/>
  <c r="BJ51" i="42" s="1"/>
  <c r="BK51" i="42" s="1"/>
  <c r="BL51" i="42" s="1"/>
  <c r="BM51" i="42" s="1"/>
  <c r="BN51" i="42" s="1"/>
  <c r="BO51" i="42" s="1"/>
  <c r="BP51" i="42" s="1"/>
  <c r="BQ51" i="42" s="1"/>
  <c r="BR51" i="42" s="1"/>
  <c r="BS51" i="42" s="1"/>
  <c r="BT51" i="42" s="1"/>
  <c r="BU51" i="42" s="1"/>
  <c r="BV51" i="42" s="1"/>
  <c r="BW51" i="42" s="1"/>
  <c r="BX51" i="42" s="1"/>
  <c r="BY51" i="42" s="1"/>
  <c r="BZ51" i="42" s="1"/>
  <c r="CA51" i="42" s="1"/>
  <c r="CB51" i="42" s="1"/>
  <c r="CC51" i="42" s="1"/>
  <c r="CD51" i="42" s="1"/>
  <c r="CE51" i="42" s="1"/>
  <c r="CF51" i="42" s="1"/>
  <c r="AI50" i="42"/>
  <c r="AJ50" i="42" s="1"/>
  <c r="AK50" i="42" s="1"/>
  <c r="AL50" i="42" s="1"/>
  <c r="AM50" i="42" s="1"/>
  <c r="AN50" i="42" s="1"/>
  <c r="AO50" i="42" s="1"/>
  <c r="AP50" i="42" s="1"/>
  <c r="AQ50" i="42" s="1"/>
  <c r="AR50" i="42" s="1"/>
  <c r="AS50" i="42" s="1"/>
  <c r="AT50" i="42" s="1"/>
  <c r="AU50" i="42" s="1"/>
  <c r="AV50" i="42" s="1"/>
  <c r="AW50" i="42" s="1"/>
  <c r="AX50" i="42" s="1"/>
  <c r="AY50" i="42" s="1"/>
  <c r="AZ50" i="42" s="1"/>
  <c r="BA50" i="42" s="1"/>
  <c r="BB50" i="42" s="1"/>
  <c r="BC50" i="42" s="1"/>
  <c r="BD50" i="42" s="1"/>
  <c r="BE50" i="42" s="1"/>
  <c r="BF50" i="42" s="1"/>
  <c r="BG50" i="42" s="1"/>
  <c r="BH50" i="42" s="1"/>
  <c r="BI50" i="42" s="1"/>
  <c r="BJ50" i="42" s="1"/>
  <c r="BK50" i="42" s="1"/>
  <c r="BL50" i="42" s="1"/>
  <c r="BM50" i="42" s="1"/>
  <c r="BN50" i="42" s="1"/>
  <c r="BO50" i="42" s="1"/>
  <c r="BP50" i="42" s="1"/>
  <c r="BQ50" i="42" s="1"/>
  <c r="BR50" i="42" s="1"/>
  <c r="BS50" i="42" s="1"/>
  <c r="BT50" i="42" s="1"/>
  <c r="BU50" i="42" s="1"/>
  <c r="BV50" i="42" s="1"/>
  <c r="BW50" i="42" s="1"/>
  <c r="BX50" i="42" s="1"/>
  <c r="BY50" i="42" s="1"/>
  <c r="BZ50" i="42" s="1"/>
  <c r="CA50" i="42" s="1"/>
  <c r="CB50" i="42" s="1"/>
  <c r="CC50" i="42" s="1"/>
  <c r="CD50" i="42" s="1"/>
  <c r="CE50" i="42" s="1"/>
  <c r="CF50" i="42" s="1"/>
  <c r="AI49" i="42"/>
  <c r="AJ49" i="42" s="1"/>
  <c r="AK49" i="42" s="1"/>
  <c r="AL49" i="42" s="1"/>
  <c r="AM49" i="42" s="1"/>
  <c r="AN49" i="42" s="1"/>
  <c r="AO49" i="42" s="1"/>
  <c r="AP49" i="42" s="1"/>
  <c r="AQ49" i="42" s="1"/>
  <c r="AR49" i="42" s="1"/>
  <c r="AS49" i="42" s="1"/>
  <c r="AT49" i="42" s="1"/>
  <c r="AU49" i="42" s="1"/>
  <c r="AV49" i="42" s="1"/>
  <c r="AW49" i="42" s="1"/>
  <c r="AX49" i="42" s="1"/>
  <c r="AY49" i="42" s="1"/>
  <c r="AZ49" i="42" s="1"/>
  <c r="BA49" i="42" s="1"/>
  <c r="BB49" i="42" s="1"/>
  <c r="BC49" i="42" s="1"/>
  <c r="BD49" i="42" s="1"/>
  <c r="BE49" i="42" s="1"/>
  <c r="BF49" i="42" s="1"/>
  <c r="BG49" i="42" s="1"/>
  <c r="BH49" i="42" s="1"/>
  <c r="BI49" i="42" s="1"/>
  <c r="BJ49" i="42" s="1"/>
  <c r="BK49" i="42" s="1"/>
  <c r="BL49" i="42" s="1"/>
  <c r="BM49" i="42" s="1"/>
  <c r="BN49" i="42" s="1"/>
  <c r="BO49" i="42" s="1"/>
  <c r="BP49" i="42" s="1"/>
  <c r="BQ49" i="42" s="1"/>
  <c r="BR49" i="42" s="1"/>
  <c r="BS49" i="42" s="1"/>
  <c r="BT49" i="42" s="1"/>
  <c r="BU49" i="42" s="1"/>
  <c r="BV49" i="42" s="1"/>
  <c r="BW49" i="42" s="1"/>
  <c r="BX49" i="42" s="1"/>
  <c r="BY49" i="42" s="1"/>
  <c r="BZ49" i="42" s="1"/>
  <c r="CA49" i="42" s="1"/>
  <c r="CB49" i="42" s="1"/>
  <c r="CC49" i="42" s="1"/>
  <c r="CD49" i="42" s="1"/>
  <c r="CE49" i="42" s="1"/>
  <c r="CF49" i="42" s="1"/>
  <c r="AI48" i="42"/>
  <c r="AJ48" i="42" s="1"/>
  <c r="AK48" i="42" s="1"/>
  <c r="AL48" i="42" s="1"/>
  <c r="AM48" i="42" s="1"/>
  <c r="AN48" i="42" s="1"/>
  <c r="AO48" i="42" s="1"/>
  <c r="AP48" i="42" s="1"/>
  <c r="AQ48" i="42" s="1"/>
  <c r="AR48" i="42" s="1"/>
  <c r="AS48" i="42" s="1"/>
  <c r="AT48" i="42" s="1"/>
  <c r="AU48" i="42" s="1"/>
  <c r="AV48" i="42" s="1"/>
  <c r="AW48" i="42" s="1"/>
  <c r="AX48" i="42" s="1"/>
  <c r="AY48" i="42" s="1"/>
  <c r="AZ48" i="42" s="1"/>
  <c r="BA48" i="42" s="1"/>
  <c r="BB48" i="42" s="1"/>
  <c r="BC48" i="42" s="1"/>
  <c r="BD48" i="42" s="1"/>
  <c r="BE48" i="42" s="1"/>
  <c r="BF48" i="42" s="1"/>
  <c r="BG48" i="42" s="1"/>
  <c r="BH48" i="42" s="1"/>
  <c r="BI48" i="42" s="1"/>
  <c r="BJ48" i="42" s="1"/>
  <c r="BK48" i="42" s="1"/>
  <c r="BL48" i="42" s="1"/>
  <c r="BM48" i="42" s="1"/>
  <c r="BN48" i="42" s="1"/>
  <c r="BO48" i="42" s="1"/>
  <c r="BP48" i="42" s="1"/>
  <c r="BQ48" i="42" s="1"/>
  <c r="BR48" i="42" s="1"/>
  <c r="BS48" i="42" s="1"/>
  <c r="BT48" i="42" s="1"/>
  <c r="BU48" i="42" s="1"/>
  <c r="BV48" i="42" s="1"/>
  <c r="BW48" i="42" s="1"/>
  <c r="BX48" i="42" s="1"/>
  <c r="BY48" i="42" s="1"/>
  <c r="BZ48" i="42" s="1"/>
  <c r="CA48" i="42" s="1"/>
  <c r="CB48" i="42" s="1"/>
  <c r="CC48" i="42" s="1"/>
  <c r="CD48" i="42" s="1"/>
  <c r="CE48" i="42" s="1"/>
  <c r="CF48" i="42" s="1"/>
  <c r="AI47" i="42"/>
  <c r="AJ47" i="42" s="1"/>
  <c r="AK47" i="42" s="1"/>
  <c r="AL47" i="42" s="1"/>
  <c r="AM47" i="42" s="1"/>
  <c r="AN47" i="42" s="1"/>
  <c r="AO47" i="42" s="1"/>
  <c r="AP47" i="42" s="1"/>
  <c r="AQ47" i="42" s="1"/>
  <c r="AR47" i="42" s="1"/>
  <c r="AS47" i="42" s="1"/>
  <c r="AT47" i="42" s="1"/>
  <c r="AU47" i="42" s="1"/>
  <c r="AV47" i="42" s="1"/>
  <c r="AW47" i="42" s="1"/>
  <c r="AX47" i="42" s="1"/>
  <c r="AY47" i="42" s="1"/>
  <c r="AZ47" i="42" s="1"/>
  <c r="BA47" i="42" s="1"/>
  <c r="BB47" i="42" s="1"/>
  <c r="BC47" i="42" s="1"/>
  <c r="BD47" i="42" s="1"/>
  <c r="BE47" i="42" s="1"/>
  <c r="BF47" i="42" s="1"/>
  <c r="BG47" i="42" s="1"/>
  <c r="BH47" i="42" s="1"/>
  <c r="BI47" i="42" s="1"/>
  <c r="BJ47" i="42" s="1"/>
  <c r="BK47" i="42" s="1"/>
  <c r="BL47" i="42" s="1"/>
  <c r="BM47" i="42" s="1"/>
  <c r="BN47" i="42" s="1"/>
  <c r="BO47" i="42" s="1"/>
  <c r="BP47" i="42" s="1"/>
  <c r="BQ47" i="42" s="1"/>
  <c r="BR47" i="42" s="1"/>
  <c r="BS47" i="42" s="1"/>
  <c r="BT47" i="42" s="1"/>
  <c r="BU47" i="42" s="1"/>
  <c r="BV47" i="42" s="1"/>
  <c r="BW47" i="42" s="1"/>
  <c r="BX47" i="42" s="1"/>
  <c r="BY47" i="42" s="1"/>
  <c r="BZ47" i="42" s="1"/>
  <c r="CA47" i="42" s="1"/>
  <c r="CB47" i="42" s="1"/>
  <c r="CC47" i="42" s="1"/>
  <c r="CD47" i="42" s="1"/>
  <c r="CE47" i="42" s="1"/>
  <c r="CF47" i="42" s="1"/>
  <c r="AI46" i="42"/>
  <c r="AJ46" i="42" s="1"/>
  <c r="AK46" i="42" s="1"/>
  <c r="AL46" i="42" s="1"/>
  <c r="AM46" i="42" s="1"/>
  <c r="AN46" i="42" s="1"/>
  <c r="AO46" i="42" s="1"/>
  <c r="AP46" i="42" s="1"/>
  <c r="AQ46" i="42" s="1"/>
  <c r="AR46" i="42" s="1"/>
  <c r="AS46" i="42" s="1"/>
  <c r="AT46" i="42" s="1"/>
  <c r="AU46" i="42" s="1"/>
  <c r="AV46" i="42" s="1"/>
  <c r="AW46" i="42" s="1"/>
  <c r="AX46" i="42" s="1"/>
  <c r="AY46" i="42" s="1"/>
  <c r="AZ46" i="42" s="1"/>
  <c r="BA46" i="42" s="1"/>
  <c r="BB46" i="42" s="1"/>
  <c r="BC46" i="42" s="1"/>
  <c r="BD46" i="42" s="1"/>
  <c r="BE46" i="42" s="1"/>
  <c r="BF46" i="42" s="1"/>
  <c r="BG46" i="42" s="1"/>
  <c r="BH46" i="42" s="1"/>
  <c r="BI46" i="42" s="1"/>
  <c r="BJ46" i="42" s="1"/>
  <c r="BK46" i="42" s="1"/>
  <c r="BL46" i="42" s="1"/>
  <c r="BM46" i="42" s="1"/>
  <c r="BN46" i="42" s="1"/>
  <c r="BO46" i="42" s="1"/>
  <c r="BP46" i="42" s="1"/>
  <c r="BQ46" i="42" s="1"/>
  <c r="BR46" i="42" s="1"/>
  <c r="BS46" i="42" s="1"/>
  <c r="BT46" i="42" s="1"/>
  <c r="BU46" i="42" s="1"/>
  <c r="BV46" i="42" s="1"/>
  <c r="BW46" i="42" s="1"/>
  <c r="BX46" i="42" s="1"/>
  <c r="BY46" i="42" s="1"/>
  <c r="BZ46" i="42" s="1"/>
  <c r="CA46" i="42" s="1"/>
  <c r="CB46" i="42" s="1"/>
  <c r="CC46" i="42" s="1"/>
  <c r="CD46" i="42" s="1"/>
  <c r="CE46" i="42" s="1"/>
  <c r="CF46" i="42" s="1"/>
  <c r="AI45" i="42"/>
  <c r="AJ45" i="42" s="1"/>
  <c r="AK45" i="42" s="1"/>
  <c r="AL45" i="42" s="1"/>
  <c r="AM45" i="42" s="1"/>
  <c r="AN45" i="42" s="1"/>
  <c r="AO45" i="42" s="1"/>
  <c r="AP45" i="42" s="1"/>
  <c r="AQ45" i="42" s="1"/>
  <c r="AR45" i="42" s="1"/>
  <c r="AS45" i="42" s="1"/>
  <c r="AT45" i="42" s="1"/>
  <c r="AU45" i="42" s="1"/>
  <c r="AV45" i="42" s="1"/>
  <c r="AW45" i="42" s="1"/>
  <c r="AX45" i="42" s="1"/>
  <c r="AY45" i="42" s="1"/>
  <c r="AZ45" i="42" s="1"/>
  <c r="BA45" i="42" s="1"/>
  <c r="BB45" i="42" s="1"/>
  <c r="BC45" i="42" s="1"/>
  <c r="BD45" i="42" s="1"/>
  <c r="BE45" i="42" s="1"/>
  <c r="BF45" i="42" s="1"/>
  <c r="BG45" i="42" s="1"/>
  <c r="BH45" i="42" s="1"/>
  <c r="BI45" i="42" s="1"/>
  <c r="BJ45" i="42" s="1"/>
  <c r="BK45" i="42" s="1"/>
  <c r="BL45" i="42" s="1"/>
  <c r="BM45" i="42" s="1"/>
  <c r="BN45" i="42" s="1"/>
  <c r="BO45" i="42" s="1"/>
  <c r="BP45" i="42" s="1"/>
  <c r="BQ45" i="42" s="1"/>
  <c r="BR45" i="42" s="1"/>
  <c r="BS45" i="42" s="1"/>
  <c r="BT45" i="42" s="1"/>
  <c r="BU45" i="42" s="1"/>
  <c r="BV45" i="42" s="1"/>
  <c r="BW45" i="42" s="1"/>
  <c r="BX45" i="42" s="1"/>
  <c r="BY45" i="42" s="1"/>
  <c r="BZ45" i="42" s="1"/>
  <c r="CA45" i="42" s="1"/>
  <c r="CB45" i="42" s="1"/>
  <c r="CC45" i="42" s="1"/>
  <c r="CD45" i="42" s="1"/>
  <c r="CE45" i="42" s="1"/>
  <c r="CF45" i="42" s="1"/>
  <c r="AI44" i="42"/>
  <c r="AJ44" i="42" s="1"/>
  <c r="AK44" i="42" s="1"/>
  <c r="AL44" i="42" s="1"/>
  <c r="AM44" i="42" s="1"/>
  <c r="AN44" i="42" s="1"/>
  <c r="AO44" i="42" s="1"/>
  <c r="AP44" i="42" s="1"/>
  <c r="AQ44" i="42" s="1"/>
  <c r="AR44" i="42" s="1"/>
  <c r="AS44" i="42" s="1"/>
  <c r="AT44" i="42" s="1"/>
  <c r="AU44" i="42" s="1"/>
  <c r="AV44" i="42" s="1"/>
  <c r="AW44" i="42" s="1"/>
  <c r="AX44" i="42" s="1"/>
  <c r="AY44" i="42" s="1"/>
  <c r="AZ44" i="42" s="1"/>
  <c r="BA44" i="42" s="1"/>
  <c r="BB44" i="42" s="1"/>
  <c r="BC44" i="42" s="1"/>
  <c r="BD44" i="42" s="1"/>
  <c r="BE44" i="42" s="1"/>
  <c r="BF44" i="42" s="1"/>
  <c r="BG44" i="42" s="1"/>
  <c r="BH44" i="42" s="1"/>
  <c r="BI44" i="42" s="1"/>
  <c r="BJ44" i="42" s="1"/>
  <c r="BK44" i="42" s="1"/>
  <c r="BL44" i="42" s="1"/>
  <c r="BM44" i="42" s="1"/>
  <c r="BN44" i="42" s="1"/>
  <c r="BO44" i="42" s="1"/>
  <c r="BP44" i="42" s="1"/>
  <c r="BQ44" i="42" s="1"/>
  <c r="BR44" i="42" s="1"/>
  <c r="BS44" i="42" s="1"/>
  <c r="BT44" i="42" s="1"/>
  <c r="BU44" i="42" s="1"/>
  <c r="BV44" i="42" s="1"/>
  <c r="BW44" i="42" s="1"/>
  <c r="BX44" i="42" s="1"/>
  <c r="BY44" i="42" s="1"/>
  <c r="BZ44" i="42" s="1"/>
  <c r="CA44" i="42" s="1"/>
  <c r="CB44" i="42" s="1"/>
  <c r="CC44" i="42" s="1"/>
  <c r="CD44" i="42" s="1"/>
  <c r="CE44" i="42" s="1"/>
  <c r="CF44" i="42" s="1"/>
  <c r="AI43" i="42"/>
  <c r="AJ43" i="42" s="1"/>
  <c r="AK43" i="42" s="1"/>
  <c r="AL43" i="42" s="1"/>
  <c r="AM43" i="42" s="1"/>
  <c r="AN43" i="42" s="1"/>
  <c r="AO43" i="42" s="1"/>
  <c r="AP43" i="42" s="1"/>
  <c r="AQ43" i="42" s="1"/>
  <c r="AR43" i="42" s="1"/>
  <c r="AS43" i="42" s="1"/>
  <c r="AT43" i="42" s="1"/>
  <c r="AU43" i="42" s="1"/>
  <c r="AV43" i="42" s="1"/>
  <c r="AW43" i="42" s="1"/>
  <c r="AX43" i="42" s="1"/>
  <c r="AY43" i="42" s="1"/>
  <c r="AZ43" i="42" s="1"/>
  <c r="BA43" i="42" s="1"/>
  <c r="BB43" i="42" s="1"/>
  <c r="BC43" i="42" s="1"/>
  <c r="BD43" i="42" s="1"/>
  <c r="BE43" i="42" s="1"/>
  <c r="BF43" i="42" s="1"/>
  <c r="BG43" i="42" s="1"/>
  <c r="BH43" i="42" s="1"/>
  <c r="BI43" i="42" s="1"/>
  <c r="BJ43" i="42" s="1"/>
  <c r="BK43" i="42" s="1"/>
  <c r="BL43" i="42" s="1"/>
  <c r="BM43" i="42" s="1"/>
  <c r="BN43" i="42" s="1"/>
  <c r="BO43" i="42" s="1"/>
  <c r="BP43" i="42" s="1"/>
  <c r="BQ43" i="42" s="1"/>
  <c r="BR43" i="42" s="1"/>
  <c r="BS43" i="42" s="1"/>
  <c r="BT43" i="42" s="1"/>
  <c r="BU43" i="42" s="1"/>
  <c r="BV43" i="42" s="1"/>
  <c r="BW43" i="42" s="1"/>
  <c r="BX43" i="42" s="1"/>
  <c r="BY43" i="42" s="1"/>
  <c r="BZ43" i="42" s="1"/>
  <c r="CA43" i="42" s="1"/>
  <c r="CB43" i="42" s="1"/>
  <c r="CC43" i="42" s="1"/>
  <c r="CD43" i="42" s="1"/>
  <c r="CE43" i="42" s="1"/>
  <c r="CF43" i="42" s="1"/>
  <c r="AI42" i="42"/>
  <c r="AJ42" i="42" s="1"/>
  <c r="AK42" i="42" s="1"/>
  <c r="AL42" i="42" s="1"/>
  <c r="AM42" i="42" s="1"/>
  <c r="AN42" i="42" s="1"/>
  <c r="AO42" i="42" s="1"/>
  <c r="AP42" i="42" s="1"/>
  <c r="AQ42" i="42" s="1"/>
  <c r="AR42" i="42" s="1"/>
  <c r="AS42" i="42" s="1"/>
  <c r="AT42" i="42" s="1"/>
  <c r="AU42" i="42" s="1"/>
  <c r="AV42" i="42" s="1"/>
  <c r="AW42" i="42" s="1"/>
  <c r="AX42" i="42" s="1"/>
  <c r="AY42" i="42" s="1"/>
  <c r="AZ42" i="42" s="1"/>
  <c r="BA42" i="42" s="1"/>
  <c r="BB42" i="42" s="1"/>
  <c r="BC42" i="42" s="1"/>
  <c r="BD42" i="42" s="1"/>
  <c r="BE42" i="42" s="1"/>
  <c r="BF42" i="42" s="1"/>
  <c r="BG42" i="42" s="1"/>
  <c r="BH42" i="42" s="1"/>
  <c r="BI42" i="42" s="1"/>
  <c r="BJ42" i="42" s="1"/>
  <c r="BK42" i="42" s="1"/>
  <c r="BL42" i="42" s="1"/>
  <c r="BM42" i="42" s="1"/>
  <c r="BN42" i="42" s="1"/>
  <c r="BO42" i="42" s="1"/>
  <c r="BP42" i="42" s="1"/>
  <c r="BQ42" i="42" s="1"/>
  <c r="BR42" i="42" s="1"/>
  <c r="BS42" i="42" s="1"/>
  <c r="BT42" i="42" s="1"/>
  <c r="BU42" i="42" s="1"/>
  <c r="BV42" i="42" s="1"/>
  <c r="BW42" i="42" s="1"/>
  <c r="BX42" i="42" s="1"/>
  <c r="BY42" i="42" s="1"/>
  <c r="BZ42" i="42" s="1"/>
  <c r="CA42" i="42" s="1"/>
  <c r="CB42" i="42" s="1"/>
  <c r="CC42" i="42" s="1"/>
  <c r="CD42" i="42" s="1"/>
  <c r="CE42" i="42" s="1"/>
  <c r="CF42" i="42" s="1"/>
  <c r="AI41" i="42"/>
  <c r="AJ41" i="42" s="1"/>
  <c r="AK41" i="42" s="1"/>
  <c r="AL41" i="42" s="1"/>
  <c r="AM41" i="42" s="1"/>
  <c r="AN41" i="42" s="1"/>
  <c r="AO41" i="42" s="1"/>
  <c r="AP41" i="42" s="1"/>
  <c r="AQ41" i="42" s="1"/>
  <c r="AR41" i="42" s="1"/>
  <c r="AS41" i="42" s="1"/>
  <c r="AT41" i="42" s="1"/>
  <c r="AU41" i="42" s="1"/>
  <c r="AV41" i="42" s="1"/>
  <c r="AW41" i="42" s="1"/>
  <c r="AX41" i="42" s="1"/>
  <c r="AY41" i="42" s="1"/>
  <c r="AZ41" i="42" s="1"/>
  <c r="BA41" i="42" s="1"/>
  <c r="BB41" i="42" s="1"/>
  <c r="BC41" i="42" s="1"/>
  <c r="BD41" i="42" s="1"/>
  <c r="BE41" i="42" s="1"/>
  <c r="BF41" i="42" s="1"/>
  <c r="BG41" i="42" s="1"/>
  <c r="BH41" i="42" s="1"/>
  <c r="BI41" i="42" s="1"/>
  <c r="BJ41" i="42" s="1"/>
  <c r="BK41" i="42" s="1"/>
  <c r="BL41" i="42" s="1"/>
  <c r="BM41" i="42" s="1"/>
  <c r="BN41" i="42" s="1"/>
  <c r="BO41" i="42" s="1"/>
  <c r="BP41" i="42" s="1"/>
  <c r="BQ41" i="42" s="1"/>
  <c r="BR41" i="42" s="1"/>
  <c r="BS41" i="42" s="1"/>
  <c r="BT41" i="42" s="1"/>
  <c r="BU41" i="42" s="1"/>
  <c r="BV41" i="42" s="1"/>
  <c r="BW41" i="42" s="1"/>
  <c r="BX41" i="42" s="1"/>
  <c r="BY41" i="42" s="1"/>
  <c r="BZ41" i="42" s="1"/>
  <c r="CA41" i="42" s="1"/>
  <c r="CB41" i="42" s="1"/>
  <c r="CC41" i="42" s="1"/>
  <c r="CD41" i="42" s="1"/>
  <c r="CE41" i="42" s="1"/>
  <c r="CF41" i="42" s="1"/>
  <c r="AI40" i="42"/>
  <c r="AJ40" i="42" s="1"/>
  <c r="AK40" i="42" s="1"/>
  <c r="AL40" i="42" s="1"/>
  <c r="AM40" i="42" s="1"/>
  <c r="AN40" i="42" s="1"/>
  <c r="AO40" i="42" s="1"/>
  <c r="AP40" i="42" s="1"/>
  <c r="AQ40" i="42" s="1"/>
  <c r="AR40" i="42" s="1"/>
  <c r="AS40" i="42" s="1"/>
  <c r="AT40" i="42" s="1"/>
  <c r="AU40" i="42" s="1"/>
  <c r="AV40" i="42" s="1"/>
  <c r="AW40" i="42" s="1"/>
  <c r="AX40" i="42" s="1"/>
  <c r="AY40" i="42" s="1"/>
  <c r="AZ40" i="42" s="1"/>
  <c r="BA40" i="42" s="1"/>
  <c r="BB40" i="42" s="1"/>
  <c r="BC40" i="42" s="1"/>
  <c r="BD40" i="42" s="1"/>
  <c r="BE40" i="42" s="1"/>
  <c r="BF40" i="42" s="1"/>
  <c r="BG40" i="42" s="1"/>
  <c r="BH40" i="42" s="1"/>
  <c r="BI40" i="42" s="1"/>
  <c r="BJ40" i="42" s="1"/>
  <c r="BK40" i="42" s="1"/>
  <c r="BL40" i="42" s="1"/>
  <c r="BM40" i="42" s="1"/>
  <c r="BN40" i="42" s="1"/>
  <c r="BO40" i="42" s="1"/>
  <c r="BP40" i="42" s="1"/>
  <c r="BQ40" i="42" s="1"/>
  <c r="BR40" i="42" s="1"/>
  <c r="BS40" i="42" s="1"/>
  <c r="BT40" i="42" s="1"/>
  <c r="BU40" i="42" s="1"/>
  <c r="BV40" i="42" s="1"/>
  <c r="BW40" i="42" s="1"/>
  <c r="BX40" i="42" s="1"/>
  <c r="BY40" i="42" s="1"/>
  <c r="BZ40" i="42" s="1"/>
  <c r="CA40" i="42" s="1"/>
  <c r="CB40" i="42" s="1"/>
  <c r="CC40" i="42" s="1"/>
  <c r="CD40" i="42" s="1"/>
  <c r="CE40" i="42" s="1"/>
  <c r="CF40" i="42" s="1"/>
  <c r="AI39" i="42"/>
  <c r="AJ39" i="42" s="1"/>
  <c r="AK39" i="42" s="1"/>
  <c r="AL39" i="42" s="1"/>
  <c r="AM39" i="42" s="1"/>
  <c r="AN39" i="42" s="1"/>
  <c r="AO39" i="42" s="1"/>
  <c r="AP39" i="42" s="1"/>
  <c r="AQ39" i="42" s="1"/>
  <c r="AR39" i="42" s="1"/>
  <c r="AS39" i="42" s="1"/>
  <c r="AT39" i="42" s="1"/>
  <c r="AU39" i="42" s="1"/>
  <c r="AV39" i="42" s="1"/>
  <c r="AW39" i="42" s="1"/>
  <c r="AX39" i="42" s="1"/>
  <c r="AY39" i="42" s="1"/>
  <c r="AZ39" i="42" s="1"/>
  <c r="BA39" i="42" s="1"/>
  <c r="BB39" i="42" s="1"/>
  <c r="BC39" i="42" s="1"/>
  <c r="BD39" i="42" s="1"/>
  <c r="BE39" i="42" s="1"/>
  <c r="BF39" i="42" s="1"/>
  <c r="BG39" i="42" s="1"/>
  <c r="BH39" i="42" s="1"/>
  <c r="BI39" i="42" s="1"/>
  <c r="BJ39" i="42" s="1"/>
  <c r="BK39" i="42" s="1"/>
  <c r="BL39" i="42" s="1"/>
  <c r="BM39" i="42" s="1"/>
  <c r="BN39" i="42" s="1"/>
  <c r="BO39" i="42" s="1"/>
  <c r="BP39" i="42" s="1"/>
  <c r="BQ39" i="42" s="1"/>
  <c r="BR39" i="42" s="1"/>
  <c r="BS39" i="42" s="1"/>
  <c r="BT39" i="42" s="1"/>
  <c r="BU39" i="42" s="1"/>
  <c r="BV39" i="42" s="1"/>
  <c r="BW39" i="42" s="1"/>
  <c r="BX39" i="42" s="1"/>
  <c r="BY39" i="42" s="1"/>
  <c r="BZ39" i="42" s="1"/>
  <c r="CA39" i="42" s="1"/>
  <c r="CB39" i="42" s="1"/>
  <c r="CC39" i="42" s="1"/>
  <c r="CD39" i="42" s="1"/>
  <c r="CE39" i="42" s="1"/>
  <c r="CF39" i="42" s="1"/>
  <c r="AI38" i="42"/>
  <c r="AJ38" i="42" s="1"/>
  <c r="AK38" i="42" s="1"/>
  <c r="AL38" i="42" s="1"/>
  <c r="AM38" i="42" s="1"/>
  <c r="AN38" i="42" s="1"/>
  <c r="AO38" i="42" s="1"/>
  <c r="AP38" i="42" s="1"/>
  <c r="AQ38" i="42" s="1"/>
  <c r="AR38" i="42" s="1"/>
  <c r="AS38" i="42" s="1"/>
  <c r="AT38" i="42" s="1"/>
  <c r="AU38" i="42" s="1"/>
  <c r="AV38" i="42" s="1"/>
  <c r="AW38" i="42" s="1"/>
  <c r="AX38" i="42" s="1"/>
  <c r="AY38" i="42" s="1"/>
  <c r="AZ38" i="42" s="1"/>
  <c r="BA38" i="42" s="1"/>
  <c r="BB38" i="42" s="1"/>
  <c r="BC38" i="42" s="1"/>
  <c r="BD38" i="42" s="1"/>
  <c r="BE38" i="42" s="1"/>
  <c r="BF38" i="42" s="1"/>
  <c r="BG38" i="42" s="1"/>
  <c r="BH38" i="42" s="1"/>
  <c r="BI38" i="42" s="1"/>
  <c r="BJ38" i="42" s="1"/>
  <c r="BK38" i="42" s="1"/>
  <c r="BL38" i="42" s="1"/>
  <c r="BM38" i="42" s="1"/>
  <c r="BN38" i="42" s="1"/>
  <c r="BO38" i="42" s="1"/>
  <c r="BP38" i="42" s="1"/>
  <c r="BQ38" i="42" s="1"/>
  <c r="BR38" i="42" s="1"/>
  <c r="BS38" i="42" s="1"/>
  <c r="BT38" i="42" s="1"/>
  <c r="BU38" i="42" s="1"/>
  <c r="BV38" i="42" s="1"/>
  <c r="BW38" i="42" s="1"/>
  <c r="BX38" i="42" s="1"/>
  <c r="BY38" i="42" s="1"/>
  <c r="BZ38" i="42" s="1"/>
  <c r="CA38" i="42" s="1"/>
  <c r="CB38" i="42" s="1"/>
  <c r="CC38" i="42" s="1"/>
  <c r="CD38" i="42" s="1"/>
  <c r="CE38" i="42" s="1"/>
  <c r="CF38" i="42" s="1"/>
  <c r="AI37" i="42"/>
  <c r="AJ37" i="42" s="1"/>
  <c r="AK37" i="42" s="1"/>
  <c r="AL37" i="42" s="1"/>
  <c r="AM37" i="42" s="1"/>
  <c r="AN37" i="42" s="1"/>
  <c r="AO37" i="42" s="1"/>
  <c r="AP37" i="42" s="1"/>
  <c r="AQ37" i="42" s="1"/>
  <c r="AR37" i="42" s="1"/>
  <c r="AS37" i="42" s="1"/>
  <c r="AT37" i="42" s="1"/>
  <c r="AU37" i="42" s="1"/>
  <c r="AV37" i="42" s="1"/>
  <c r="AW37" i="42" s="1"/>
  <c r="AX37" i="42" s="1"/>
  <c r="AY37" i="42" s="1"/>
  <c r="AZ37" i="42" s="1"/>
  <c r="BA37" i="42" s="1"/>
  <c r="BB37" i="42" s="1"/>
  <c r="BC37" i="42" s="1"/>
  <c r="BD37" i="42" s="1"/>
  <c r="BE37" i="42" s="1"/>
  <c r="BF37" i="42" s="1"/>
  <c r="BG37" i="42" s="1"/>
  <c r="BH37" i="42" s="1"/>
  <c r="BI37" i="42" s="1"/>
  <c r="BJ37" i="42" s="1"/>
  <c r="BK37" i="42" s="1"/>
  <c r="BL37" i="42" s="1"/>
  <c r="BM37" i="42" s="1"/>
  <c r="BN37" i="42" s="1"/>
  <c r="BO37" i="42" s="1"/>
  <c r="BP37" i="42" s="1"/>
  <c r="BQ37" i="42" s="1"/>
  <c r="BR37" i="42" s="1"/>
  <c r="BS37" i="42" s="1"/>
  <c r="BT37" i="42" s="1"/>
  <c r="BU37" i="42" s="1"/>
  <c r="BV37" i="42" s="1"/>
  <c r="BW37" i="42" s="1"/>
  <c r="BX37" i="42" s="1"/>
  <c r="BY37" i="42" s="1"/>
  <c r="BZ37" i="42" s="1"/>
  <c r="CA37" i="42" s="1"/>
  <c r="CB37" i="42" s="1"/>
  <c r="CC37" i="42" s="1"/>
  <c r="CD37" i="42" s="1"/>
  <c r="CE37" i="42" s="1"/>
  <c r="CF37" i="42" s="1"/>
  <c r="AI36" i="42"/>
  <c r="AJ36" i="42" s="1"/>
  <c r="AK36" i="42" s="1"/>
  <c r="AL36" i="42" s="1"/>
  <c r="AM36" i="42" s="1"/>
  <c r="AN36" i="42" s="1"/>
  <c r="AO36" i="42" s="1"/>
  <c r="AP36" i="42" s="1"/>
  <c r="AQ36" i="42" s="1"/>
  <c r="AR36" i="42" s="1"/>
  <c r="AS36" i="42" s="1"/>
  <c r="AT36" i="42" s="1"/>
  <c r="AU36" i="42" s="1"/>
  <c r="AV36" i="42" s="1"/>
  <c r="AW36" i="42" s="1"/>
  <c r="AX36" i="42" s="1"/>
  <c r="AY36" i="42" s="1"/>
  <c r="AZ36" i="42" s="1"/>
  <c r="BA36" i="42" s="1"/>
  <c r="BB36" i="42" s="1"/>
  <c r="BC36" i="42" s="1"/>
  <c r="BD36" i="42" s="1"/>
  <c r="BE36" i="42" s="1"/>
  <c r="BF36" i="42" s="1"/>
  <c r="BG36" i="42" s="1"/>
  <c r="BH36" i="42" s="1"/>
  <c r="BI36" i="42" s="1"/>
  <c r="BJ36" i="42" s="1"/>
  <c r="BK36" i="42" s="1"/>
  <c r="BL36" i="42" s="1"/>
  <c r="BM36" i="42" s="1"/>
  <c r="BN36" i="42" s="1"/>
  <c r="BO36" i="42" s="1"/>
  <c r="BP36" i="42" s="1"/>
  <c r="BQ36" i="42" s="1"/>
  <c r="BR36" i="42" s="1"/>
  <c r="BS36" i="42" s="1"/>
  <c r="BT36" i="42" s="1"/>
  <c r="BU36" i="42" s="1"/>
  <c r="BV36" i="42" s="1"/>
  <c r="BW36" i="42" s="1"/>
  <c r="BX36" i="42" s="1"/>
  <c r="BY36" i="42" s="1"/>
  <c r="BZ36" i="42" s="1"/>
  <c r="CA36" i="42" s="1"/>
  <c r="CB36" i="42" s="1"/>
  <c r="CC36" i="42" s="1"/>
  <c r="CD36" i="42" s="1"/>
  <c r="CE36" i="42" s="1"/>
  <c r="CF36" i="42" s="1"/>
  <c r="AI35" i="42"/>
  <c r="AJ35" i="42" s="1"/>
  <c r="AK35" i="42" s="1"/>
  <c r="AL35" i="42" s="1"/>
  <c r="AM35" i="42" s="1"/>
  <c r="AN35" i="42" s="1"/>
  <c r="AO35" i="42" s="1"/>
  <c r="AP35" i="42" s="1"/>
  <c r="AQ35" i="42" s="1"/>
  <c r="AR35" i="42" s="1"/>
  <c r="AS35" i="42" s="1"/>
  <c r="AT35" i="42" s="1"/>
  <c r="AU35" i="42" s="1"/>
  <c r="AV35" i="42" s="1"/>
  <c r="AW35" i="42" s="1"/>
  <c r="AX35" i="42" s="1"/>
  <c r="AY35" i="42" s="1"/>
  <c r="AZ35" i="42" s="1"/>
  <c r="BA35" i="42" s="1"/>
  <c r="BB35" i="42" s="1"/>
  <c r="BC35" i="42" s="1"/>
  <c r="BD35" i="42" s="1"/>
  <c r="BE35" i="42" s="1"/>
  <c r="BF35" i="42" s="1"/>
  <c r="BG35" i="42" s="1"/>
  <c r="BH35" i="42" s="1"/>
  <c r="BI35" i="42" s="1"/>
  <c r="BJ35" i="42" s="1"/>
  <c r="BK35" i="42" s="1"/>
  <c r="BL35" i="42" s="1"/>
  <c r="BM35" i="42" s="1"/>
  <c r="BN35" i="42" s="1"/>
  <c r="BO35" i="42" s="1"/>
  <c r="BP35" i="42" s="1"/>
  <c r="BQ35" i="42" s="1"/>
  <c r="BR35" i="42" s="1"/>
  <c r="BS35" i="42" s="1"/>
  <c r="BT35" i="42" s="1"/>
  <c r="BU35" i="42" s="1"/>
  <c r="BV35" i="42" s="1"/>
  <c r="BW35" i="42" s="1"/>
  <c r="BX35" i="42" s="1"/>
  <c r="BY35" i="42" s="1"/>
  <c r="BZ35" i="42" s="1"/>
  <c r="CA35" i="42" s="1"/>
  <c r="CB35" i="42" s="1"/>
  <c r="CC35" i="42" s="1"/>
  <c r="CD35" i="42" s="1"/>
  <c r="CE35" i="42" s="1"/>
  <c r="CF35" i="42" s="1"/>
  <c r="AI34" i="42"/>
  <c r="AJ34" i="42" s="1"/>
  <c r="AK34" i="42" s="1"/>
  <c r="AL34" i="42" s="1"/>
  <c r="AM34" i="42" s="1"/>
  <c r="AN34" i="42" s="1"/>
  <c r="AO34" i="42" s="1"/>
  <c r="AP34" i="42" s="1"/>
  <c r="AQ34" i="42" s="1"/>
  <c r="AR34" i="42" s="1"/>
  <c r="AS34" i="42" s="1"/>
  <c r="AT34" i="42" s="1"/>
  <c r="AU34" i="42" s="1"/>
  <c r="AV34" i="42" s="1"/>
  <c r="AW34" i="42" s="1"/>
  <c r="AX34" i="42" s="1"/>
  <c r="AY34" i="42" s="1"/>
  <c r="AZ34" i="42" s="1"/>
  <c r="BA34" i="42" s="1"/>
  <c r="BB34" i="42" s="1"/>
  <c r="BC34" i="42" s="1"/>
  <c r="BD34" i="42" s="1"/>
  <c r="BE34" i="42" s="1"/>
  <c r="BF34" i="42" s="1"/>
  <c r="BG34" i="42" s="1"/>
  <c r="BH34" i="42" s="1"/>
  <c r="BI34" i="42" s="1"/>
  <c r="BJ34" i="42" s="1"/>
  <c r="BK34" i="42" s="1"/>
  <c r="BL34" i="42" s="1"/>
  <c r="BM34" i="42" s="1"/>
  <c r="BN34" i="42" s="1"/>
  <c r="BO34" i="42" s="1"/>
  <c r="BP34" i="42" s="1"/>
  <c r="BQ34" i="42" s="1"/>
  <c r="BR34" i="42" s="1"/>
  <c r="BS34" i="42" s="1"/>
  <c r="BT34" i="42" s="1"/>
  <c r="BU34" i="42" s="1"/>
  <c r="BV34" i="42" s="1"/>
  <c r="BW34" i="42" s="1"/>
  <c r="BX34" i="42" s="1"/>
  <c r="BY34" i="42" s="1"/>
  <c r="BZ34" i="42" s="1"/>
  <c r="CA34" i="42" s="1"/>
  <c r="CB34" i="42" s="1"/>
  <c r="CC34" i="42" s="1"/>
  <c r="CD34" i="42" s="1"/>
  <c r="CE34" i="42" s="1"/>
  <c r="CF34" i="42" s="1"/>
  <c r="AI33" i="42"/>
  <c r="AJ33" i="42" s="1"/>
  <c r="AK33" i="42" s="1"/>
  <c r="AL33" i="42" s="1"/>
  <c r="AM33" i="42" s="1"/>
  <c r="AN33" i="42" s="1"/>
  <c r="AO33" i="42" s="1"/>
  <c r="AP33" i="42" s="1"/>
  <c r="AQ33" i="42" s="1"/>
  <c r="AR33" i="42" s="1"/>
  <c r="AS33" i="42" s="1"/>
  <c r="AT33" i="42" s="1"/>
  <c r="AU33" i="42" s="1"/>
  <c r="AV33" i="42" s="1"/>
  <c r="AW33" i="42" s="1"/>
  <c r="AX33" i="42" s="1"/>
  <c r="AY33" i="42" s="1"/>
  <c r="AZ33" i="42" s="1"/>
  <c r="BA33" i="42" s="1"/>
  <c r="BB33" i="42" s="1"/>
  <c r="BC33" i="42" s="1"/>
  <c r="BD33" i="42" s="1"/>
  <c r="BE33" i="42" s="1"/>
  <c r="BF33" i="42" s="1"/>
  <c r="BG33" i="42" s="1"/>
  <c r="BH33" i="42" s="1"/>
  <c r="BI33" i="42" s="1"/>
  <c r="BJ33" i="42" s="1"/>
  <c r="BK33" i="42" s="1"/>
  <c r="BL33" i="42" s="1"/>
  <c r="BM33" i="42" s="1"/>
  <c r="BN33" i="42" s="1"/>
  <c r="BO33" i="42" s="1"/>
  <c r="BP33" i="42" s="1"/>
  <c r="BQ33" i="42" s="1"/>
  <c r="BR33" i="42" s="1"/>
  <c r="BS33" i="42" s="1"/>
  <c r="BT33" i="42" s="1"/>
  <c r="BU33" i="42" s="1"/>
  <c r="BV33" i="42" s="1"/>
  <c r="BW33" i="42" s="1"/>
  <c r="BX33" i="42" s="1"/>
  <c r="BY33" i="42" s="1"/>
  <c r="BZ33" i="42" s="1"/>
  <c r="CA33" i="42" s="1"/>
  <c r="CB33" i="42" s="1"/>
  <c r="CC33" i="42" s="1"/>
  <c r="CD33" i="42" s="1"/>
  <c r="CE33" i="42" s="1"/>
  <c r="CF33" i="42" s="1"/>
  <c r="AI32" i="42"/>
  <c r="AJ32" i="42" s="1"/>
  <c r="AK32" i="42" s="1"/>
  <c r="AL32" i="42" s="1"/>
  <c r="AM32" i="42" s="1"/>
  <c r="AN32" i="42" s="1"/>
  <c r="AO32" i="42" s="1"/>
  <c r="AP32" i="42" s="1"/>
  <c r="AQ32" i="42" s="1"/>
  <c r="AR32" i="42" s="1"/>
  <c r="AS32" i="42" s="1"/>
  <c r="AT32" i="42" s="1"/>
  <c r="AU32" i="42" s="1"/>
  <c r="AV32" i="42" s="1"/>
  <c r="AW32" i="42" s="1"/>
  <c r="AX32" i="42" s="1"/>
  <c r="AY32" i="42" s="1"/>
  <c r="AZ32" i="42" s="1"/>
  <c r="BA32" i="42" s="1"/>
  <c r="BB32" i="42" s="1"/>
  <c r="BC32" i="42" s="1"/>
  <c r="BD32" i="42" s="1"/>
  <c r="BE32" i="42" s="1"/>
  <c r="BF32" i="42" s="1"/>
  <c r="BG32" i="42" s="1"/>
  <c r="BH32" i="42" s="1"/>
  <c r="BI32" i="42" s="1"/>
  <c r="BJ32" i="42" s="1"/>
  <c r="BK32" i="42" s="1"/>
  <c r="BL32" i="42" s="1"/>
  <c r="BM32" i="42" s="1"/>
  <c r="BN32" i="42" s="1"/>
  <c r="BO32" i="42" s="1"/>
  <c r="BP32" i="42" s="1"/>
  <c r="BQ32" i="42" s="1"/>
  <c r="BR32" i="42" s="1"/>
  <c r="BS32" i="42" s="1"/>
  <c r="BT32" i="42" s="1"/>
  <c r="BU32" i="42" s="1"/>
  <c r="BV32" i="42" s="1"/>
  <c r="BW32" i="42" s="1"/>
  <c r="BX32" i="42" s="1"/>
  <c r="BY32" i="42" s="1"/>
  <c r="BZ32" i="42" s="1"/>
  <c r="CA32" i="42" s="1"/>
  <c r="CB32" i="42" s="1"/>
  <c r="CC32" i="42" s="1"/>
  <c r="CD32" i="42" s="1"/>
  <c r="CE32" i="42" s="1"/>
  <c r="CF32" i="42" s="1"/>
  <c r="AI31" i="42"/>
  <c r="AJ31" i="42" s="1"/>
  <c r="AK31" i="42" s="1"/>
  <c r="AL31" i="42" s="1"/>
  <c r="AM31" i="42" s="1"/>
  <c r="AN31" i="42" s="1"/>
  <c r="AO31" i="42" s="1"/>
  <c r="AP31" i="42" s="1"/>
  <c r="AQ31" i="42" s="1"/>
  <c r="AR31" i="42" s="1"/>
  <c r="AS31" i="42" s="1"/>
  <c r="AT31" i="42" s="1"/>
  <c r="AU31" i="42" s="1"/>
  <c r="AV31" i="42" s="1"/>
  <c r="AW31" i="42" s="1"/>
  <c r="AX31" i="42" s="1"/>
  <c r="AY31" i="42" s="1"/>
  <c r="AZ31" i="42" s="1"/>
  <c r="BA31" i="42" s="1"/>
  <c r="BB31" i="42" s="1"/>
  <c r="BC31" i="42" s="1"/>
  <c r="BD31" i="42" s="1"/>
  <c r="BE31" i="42" s="1"/>
  <c r="BF31" i="42" s="1"/>
  <c r="BG31" i="42" s="1"/>
  <c r="BH31" i="42" s="1"/>
  <c r="BI31" i="42" s="1"/>
  <c r="BJ31" i="42" s="1"/>
  <c r="BK31" i="42" s="1"/>
  <c r="BL31" i="42" s="1"/>
  <c r="BM31" i="42" s="1"/>
  <c r="BN31" i="42" s="1"/>
  <c r="BO31" i="42" s="1"/>
  <c r="BP31" i="42" s="1"/>
  <c r="BQ31" i="42" s="1"/>
  <c r="BR31" i="42" s="1"/>
  <c r="BS31" i="42" s="1"/>
  <c r="BT31" i="42" s="1"/>
  <c r="BU31" i="42" s="1"/>
  <c r="BV31" i="42" s="1"/>
  <c r="BW31" i="42" s="1"/>
  <c r="BX31" i="42" s="1"/>
  <c r="BY31" i="42" s="1"/>
  <c r="BZ31" i="42" s="1"/>
  <c r="CA31" i="42" s="1"/>
  <c r="CB31" i="42" s="1"/>
  <c r="CC31" i="42" s="1"/>
  <c r="CD31" i="42" s="1"/>
  <c r="CE31" i="42" s="1"/>
  <c r="CF31" i="42" s="1"/>
  <c r="AI30" i="42"/>
  <c r="AJ30" i="42" s="1"/>
  <c r="AK30" i="42" s="1"/>
  <c r="AL30" i="42" s="1"/>
  <c r="AM30" i="42" s="1"/>
  <c r="AN30" i="42" s="1"/>
  <c r="AO30" i="42" s="1"/>
  <c r="AP30" i="42" s="1"/>
  <c r="AQ30" i="42" s="1"/>
  <c r="AR30" i="42" s="1"/>
  <c r="AS30" i="42" s="1"/>
  <c r="AT30" i="42" s="1"/>
  <c r="AU30" i="42" s="1"/>
  <c r="AV30" i="42" s="1"/>
  <c r="AW30" i="42" s="1"/>
  <c r="AX30" i="42" s="1"/>
  <c r="AY30" i="42" s="1"/>
  <c r="AZ30" i="42" s="1"/>
  <c r="BA30" i="42" s="1"/>
  <c r="BB30" i="42" s="1"/>
  <c r="BC30" i="42" s="1"/>
  <c r="BD30" i="42" s="1"/>
  <c r="BE30" i="42" s="1"/>
  <c r="BF30" i="42" s="1"/>
  <c r="BG30" i="42" s="1"/>
  <c r="BH30" i="42" s="1"/>
  <c r="BI30" i="42" s="1"/>
  <c r="BJ30" i="42" s="1"/>
  <c r="BK30" i="42" s="1"/>
  <c r="BL30" i="42" s="1"/>
  <c r="BM30" i="42" s="1"/>
  <c r="BN30" i="42" s="1"/>
  <c r="BO30" i="42" s="1"/>
  <c r="BP30" i="42" s="1"/>
  <c r="BQ30" i="42" s="1"/>
  <c r="BR30" i="42" s="1"/>
  <c r="BS30" i="42" s="1"/>
  <c r="BT30" i="42" s="1"/>
  <c r="BU30" i="42" s="1"/>
  <c r="BV30" i="42" s="1"/>
  <c r="BW30" i="42" s="1"/>
  <c r="BX30" i="42" s="1"/>
  <c r="BY30" i="42" s="1"/>
  <c r="BZ30" i="42" s="1"/>
  <c r="CA30" i="42" s="1"/>
  <c r="CB30" i="42" s="1"/>
  <c r="CC30" i="42" s="1"/>
  <c r="CD30" i="42" s="1"/>
  <c r="CE30" i="42" s="1"/>
  <c r="CF30" i="42" s="1"/>
  <c r="AI29" i="42"/>
  <c r="AJ29" i="42" s="1"/>
  <c r="AK29" i="42" s="1"/>
  <c r="AL29" i="42" s="1"/>
  <c r="AM29" i="42" s="1"/>
  <c r="AN29" i="42" s="1"/>
  <c r="AO29" i="42" s="1"/>
  <c r="AP29" i="42" s="1"/>
  <c r="AQ29" i="42" s="1"/>
  <c r="AR29" i="42" s="1"/>
  <c r="AS29" i="42" s="1"/>
  <c r="AT29" i="42" s="1"/>
  <c r="AU29" i="42" s="1"/>
  <c r="AV29" i="42" s="1"/>
  <c r="AW29" i="42" s="1"/>
  <c r="AX29" i="42" s="1"/>
  <c r="AY29" i="42" s="1"/>
  <c r="AZ29" i="42" s="1"/>
  <c r="BA29" i="42" s="1"/>
  <c r="BB29" i="42" s="1"/>
  <c r="BC29" i="42" s="1"/>
  <c r="BD29" i="42" s="1"/>
  <c r="BE29" i="42" s="1"/>
  <c r="BF29" i="42" s="1"/>
  <c r="BG29" i="42" s="1"/>
  <c r="BH29" i="42" s="1"/>
  <c r="BI29" i="42" s="1"/>
  <c r="BJ29" i="42" s="1"/>
  <c r="BK29" i="42" s="1"/>
  <c r="BL29" i="42" s="1"/>
  <c r="BM29" i="42" s="1"/>
  <c r="BN29" i="42" s="1"/>
  <c r="BO29" i="42" s="1"/>
  <c r="BP29" i="42" s="1"/>
  <c r="BQ29" i="42" s="1"/>
  <c r="BR29" i="42" s="1"/>
  <c r="BS29" i="42" s="1"/>
  <c r="BT29" i="42" s="1"/>
  <c r="BU29" i="42" s="1"/>
  <c r="BV29" i="42" s="1"/>
  <c r="BW29" i="42" s="1"/>
  <c r="BX29" i="42" s="1"/>
  <c r="BY29" i="42" s="1"/>
  <c r="BZ29" i="42" s="1"/>
  <c r="CA29" i="42" s="1"/>
  <c r="CB29" i="42" s="1"/>
  <c r="CC29" i="42" s="1"/>
  <c r="CD29" i="42" s="1"/>
  <c r="CE29" i="42" s="1"/>
  <c r="CF29" i="42" s="1"/>
  <c r="AI28" i="42"/>
  <c r="AJ28" i="42" s="1"/>
  <c r="AK28" i="42" s="1"/>
  <c r="AL28" i="42" s="1"/>
  <c r="AM28" i="42" s="1"/>
  <c r="AN28" i="42" s="1"/>
  <c r="AO28" i="42" s="1"/>
  <c r="AP28" i="42" s="1"/>
  <c r="AQ28" i="42" s="1"/>
  <c r="AR28" i="42" s="1"/>
  <c r="AS28" i="42" s="1"/>
  <c r="AT28" i="42" s="1"/>
  <c r="AU28" i="42" s="1"/>
  <c r="AV28" i="42" s="1"/>
  <c r="AW28" i="42" s="1"/>
  <c r="AX28" i="42" s="1"/>
  <c r="AY28" i="42" s="1"/>
  <c r="AZ28" i="42" s="1"/>
  <c r="BA28" i="42" s="1"/>
  <c r="BB28" i="42" s="1"/>
  <c r="BC28" i="42" s="1"/>
  <c r="BD28" i="42" s="1"/>
  <c r="BE28" i="42" s="1"/>
  <c r="BF28" i="42" s="1"/>
  <c r="BG28" i="42" s="1"/>
  <c r="BH28" i="42" s="1"/>
  <c r="BI28" i="42" s="1"/>
  <c r="BJ28" i="42" s="1"/>
  <c r="BK28" i="42" s="1"/>
  <c r="BL28" i="42" s="1"/>
  <c r="BM28" i="42" s="1"/>
  <c r="BN28" i="42" s="1"/>
  <c r="BO28" i="42" s="1"/>
  <c r="BP28" i="42" s="1"/>
  <c r="BQ28" i="42" s="1"/>
  <c r="BR28" i="42" s="1"/>
  <c r="BS28" i="42" s="1"/>
  <c r="BT28" i="42" s="1"/>
  <c r="BU28" i="42" s="1"/>
  <c r="BV28" i="42" s="1"/>
  <c r="BW28" i="42" s="1"/>
  <c r="BX28" i="42" s="1"/>
  <c r="BY28" i="42" s="1"/>
  <c r="BZ28" i="42" s="1"/>
  <c r="CA28" i="42" s="1"/>
  <c r="CB28" i="42" s="1"/>
  <c r="CC28" i="42" s="1"/>
  <c r="CD28" i="42" s="1"/>
  <c r="CE28" i="42" s="1"/>
  <c r="CF28" i="42" s="1"/>
  <c r="AI27" i="42"/>
  <c r="AJ27" i="42" s="1"/>
  <c r="AK27" i="42" s="1"/>
  <c r="AL27" i="42" s="1"/>
  <c r="AM27" i="42" s="1"/>
  <c r="AN27" i="42" s="1"/>
  <c r="AO27" i="42" s="1"/>
  <c r="AP27" i="42" s="1"/>
  <c r="AQ27" i="42" s="1"/>
  <c r="AR27" i="42" s="1"/>
  <c r="AS27" i="42" s="1"/>
  <c r="AT27" i="42" s="1"/>
  <c r="AU27" i="42" s="1"/>
  <c r="AV27" i="42" s="1"/>
  <c r="AW27" i="42" s="1"/>
  <c r="AX27" i="42" s="1"/>
  <c r="AY27" i="42" s="1"/>
  <c r="AZ27" i="42" s="1"/>
  <c r="BA27" i="42" s="1"/>
  <c r="BB27" i="42" s="1"/>
  <c r="BC27" i="42" s="1"/>
  <c r="BD27" i="42" s="1"/>
  <c r="BE27" i="42" s="1"/>
  <c r="BF27" i="42" s="1"/>
  <c r="BG27" i="42" s="1"/>
  <c r="BH27" i="42" s="1"/>
  <c r="BI27" i="42" s="1"/>
  <c r="BJ27" i="42" s="1"/>
  <c r="BK27" i="42" s="1"/>
  <c r="BL27" i="42" s="1"/>
  <c r="BM27" i="42" s="1"/>
  <c r="BN27" i="42" s="1"/>
  <c r="BO27" i="42" s="1"/>
  <c r="BP27" i="42" s="1"/>
  <c r="BQ27" i="42" s="1"/>
  <c r="BR27" i="42" s="1"/>
  <c r="BS27" i="42" s="1"/>
  <c r="BT27" i="42" s="1"/>
  <c r="BU27" i="42" s="1"/>
  <c r="BV27" i="42" s="1"/>
  <c r="BW27" i="42" s="1"/>
  <c r="BX27" i="42" s="1"/>
  <c r="BY27" i="42" s="1"/>
  <c r="BZ27" i="42" s="1"/>
  <c r="CA27" i="42" s="1"/>
  <c r="CB27" i="42" s="1"/>
  <c r="CC27" i="42" s="1"/>
  <c r="CD27" i="42" s="1"/>
  <c r="CE27" i="42" s="1"/>
  <c r="CF27" i="42" s="1"/>
  <c r="AI26" i="42"/>
  <c r="AJ26" i="42" s="1"/>
  <c r="AK26" i="42" s="1"/>
  <c r="AL26" i="42" s="1"/>
  <c r="AM26" i="42" s="1"/>
  <c r="AN26" i="42" s="1"/>
  <c r="AO26" i="42" s="1"/>
  <c r="AP26" i="42" s="1"/>
  <c r="AQ26" i="42" s="1"/>
  <c r="AR26" i="42" s="1"/>
  <c r="AS26" i="42" s="1"/>
  <c r="AT26" i="42" s="1"/>
  <c r="AU26" i="42" s="1"/>
  <c r="AV26" i="42" s="1"/>
  <c r="AW26" i="42" s="1"/>
  <c r="AX26" i="42" s="1"/>
  <c r="AY26" i="42" s="1"/>
  <c r="AZ26" i="42" s="1"/>
  <c r="BA26" i="42" s="1"/>
  <c r="BB26" i="42" s="1"/>
  <c r="BC26" i="42" s="1"/>
  <c r="BD26" i="42" s="1"/>
  <c r="BE26" i="42" s="1"/>
  <c r="BF26" i="42" s="1"/>
  <c r="BG26" i="42" s="1"/>
  <c r="BH26" i="42" s="1"/>
  <c r="BI26" i="42" s="1"/>
  <c r="BJ26" i="42" s="1"/>
  <c r="BK26" i="42" s="1"/>
  <c r="BL26" i="42" s="1"/>
  <c r="BM26" i="42" s="1"/>
  <c r="BN26" i="42" s="1"/>
  <c r="BO26" i="42" s="1"/>
  <c r="BP26" i="42" s="1"/>
  <c r="BQ26" i="42" s="1"/>
  <c r="BR26" i="42" s="1"/>
  <c r="BS26" i="42" s="1"/>
  <c r="BT26" i="42" s="1"/>
  <c r="BU26" i="42" s="1"/>
  <c r="BV26" i="42" s="1"/>
  <c r="BW26" i="42" s="1"/>
  <c r="BX26" i="42" s="1"/>
  <c r="BY26" i="42" s="1"/>
  <c r="BZ26" i="42" s="1"/>
  <c r="CA26" i="42" s="1"/>
  <c r="CB26" i="42" s="1"/>
  <c r="CC26" i="42" s="1"/>
  <c r="CD26" i="42" s="1"/>
  <c r="CE26" i="42" s="1"/>
  <c r="CF26" i="42" s="1"/>
  <c r="AI25" i="42"/>
  <c r="AJ25" i="42" s="1"/>
  <c r="AK25" i="42" s="1"/>
  <c r="AL25" i="42" s="1"/>
  <c r="AM25" i="42" s="1"/>
  <c r="AN25" i="42" s="1"/>
  <c r="AO25" i="42" s="1"/>
  <c r="AP25" i="42" s="1"/>
  <c r="AQ25" i="42" s="1"/>
  <c r="AR25" i="42" s="1"/>
  <c r="AS25" i="42" s="1"/>
  <c r="AT25" i="42" s="1"/>
  <c r="AU25" i="42" s="1"/>
  <c r="AV25" i="42" s="1"/>
  <c r="AW25" i="42" s="1"/>
  <c r="AX25" i="42" s="1"/>
  <c r="AY25" i="42" s="1"/>
  <c r="AZ25" i="42" s="1"/>
  <c r="BA25" i="42" s="1"/>
  <c r="BB25" i="42" s="1"/>
  <c r="BC25" i="42" s="1"/>
  <c r="BD25" i="42" s="1"/>
  <c r="BE25" i="42" s="1"/>
  <c r="BF25" i="42" s="1"/>
  <c r="BG25" i="42" s="1"/>
  <c r="BH25" i="42" s="1"/>
  <c r="BI25" i="42" s="1"/>
  <c r="BJ25" i="42" s="1"/>
  <c r="BK25" i="42" s="1"/>
  <c r="BL25" i="42" s="1"/>
  <c r="BM25" i="42" s="1"/>
  <c r="BN25" i="42" s="1"/>
  <c r="BO25" i="42" s="1"/>
  <c r="BP25" i="42" s="1"/>
  <c r="BQ25" i="42" s="1"/>
  <c r="BR25" i="42" s="1"/>
  <c r="BS25" i="42" s="1"/>
  <c r="BT25" i="42" s="1"/>
  <c r="BU25" i="42" s="1"/>
  <c r="BV25" i="42" s="1"/>
  <c r="BW25" i="42" s="1"/>
  <c r="BX25" i="42" s="1"/>
  <c r="BY25" i="42" s="1"/>
  <c r="BZ25" i="42" s="1"/>
  <c r="CA25" i="42" s="1"/>
  <c r="CB25" i="42" s="1"/>
  <c r="CC25" i="42" s="1"/>
  <c r="CD25" i="42" s="1"/>
  <c r="CE25" i="42" s="1"/>
  <c r="CF25" i="42" s="1"/>
  <c r="AI24" i="42"/>
  <c r="AJ24" i="42" s="1"/>
  <c r="AK24" i="42" s="1"/>
  <c r="AL24" i="42" s="1"/>
  <c r="AM24" i="42" s="1"/>
  <c r="AN24" i="42" s="1"/>
  <c r="AO24" i="42" s="1"/>
  <c r="AP24" i="42" s="1"/>
  <c r="AQ24" i="42" s="1"/>
  <c r="AR24" i="42" s="1"/>
  <c r="AS24" i="42" s="1"/>
  <c r="AT24" i="42" s="1"/>
  <c r="AU24" i="42" s="1"/>
  <c r="AV24" i="42" s="1"/>
  <c r="AW24" i="42" s="1"/>
  <c r="AX24" i="42" s="1"/>
  <c r="AY24" i="42" s="1"/>
  <c r="AZ24" i="42" s="1"/>
  <c r="BA24" i="42" s="1"/>
  <c r="BB24" i="42" s="1"/>
  <c r="BC24" i="42" s="1"/>
  <c r="BD24" i="42" s="1"/>
  <c r="BE24" i="42" s="1"/>
  <c r="BF24" i="42" s="1"/>
  <c r="BG24" i="42" s="1"/>
  <c r="BH24" i="42" s="1"/>
  <c r="BI24" i="42" s="1"/>
  <c r="BJ24" i="42" s="1"/>
  <c r="BK24" i="42" s="1"/>
  <c r="BL24" i="42" s="1"/>
  <c r="BM24" i="42" s="1"/>
  <c r="BN24" i="42" s="1"/>
  <c r="BO24" i="42" s="1"/>
  <c r="BP24" i="42" s="1"/>
  <c r="BQ24" i="42" s="1"/>
  <c r="BR24" i="42" s="1"/>
  <c r="BS24" i="42" s="1"/>
  <c r="BT24" i="42" s="1"/>
  <c r="BU24" i="42" s="1"/>
  <c r="BV24" i="42" s="1"/>
  <c r="BW24" i="42" s="1"/>
  <c r="BX24" i="42" s="1"/>
  <c r="BY24" i="42" s="1"/>
  <c r="BZ24" i="42" s="1"/>
  <c r="CA24" i="42" s="1"/>
  <c r="CB24" i="42" s="1"/>
  <c r="CC24" i="42" s="1"/>
  <c r="CD24" i="42" s="1"/>
  <c r="CE24" i="42" s="1"/>
  <c r="CF24" i="42" s="1"/>
  <c r="AI23" i="42"/>
  <c r="AJ23" i="42" s="1"/>
  <c r="AK23" i="42" s="1"/>
  <c r="AL23" i="42" s="1"/>
  <c r="AM23" i="42" s="1"/>
  <c r="AN23" i="42" s="1"/>
  <c r="AO23" i="42" s="1"/>
  <c r="AP23" i="42" s="1"/>
  <c r="AQ23" i="42" s="1"/>
  <c r="AR23" i="42" s="1"/>
  <c r="AS23" i="42" s="1"/>
  <c r="AT23" i="42" s="1"/>
  <c r="AU23" i="42" s="1"/>
  <c r="AV23" i="42" s="1"/>
  <c r="AW23" i="42" s="1"/>
  <c r="AX23" i="42" s="1"/>
  <c r="AY23" i="42" s="1"/>
  <c r="AZ23" i="42" s="1"/>
  <c r="BA23" i="42" s="1"/>
  <c r="BB23" i="42" s="1"/>
  <c r="BC23" i="42" s="1"/>
  <c r="BD23" i="42" s="1"/>
  <c r="BE23" i="42" s="1"/>
  <c r="BF23" i="42" s="1"/>
  <c r="BG23" i="42" s="1"/>
  <c r="BH23" i="42" s="1"/>
  <c r="BI23" i="42" s="1"/>
  <c r="BJ23" i="42" s="1"/>
  <c r="BK23" i="42" s="1"/>
  <c r="BL23" i="42" s="1"/>
  <c r="BM23" i="42" s="1"/>
  <c r="BN23" i="42" s="1"/>
  <c r="BO23" i="42" s="1"/>
  <c r="BP23" i="42" s="1"/>
  <c r="BQ23" i="42" s="1"/>
  <c r="BR23" i="42" s="1"/>
  <c r="BS23" i="42" s="1"/>
  <c r="BT23" i="42" s="1"/>
  <c r="BU23" i="42" s="1"/>
  <c r="BV23" i="42" s="1"/>
  <c r="BW23" i="42" s="1"/>
  <c r="BX23" i="42" s="1"/>
  <c r="BY23" i="42" s="1"/>
  <c r="BZ23" i="42" s="1"/>
  <c r="CA23" i="42" s="1"/>
  <c r="CB23" i="42" s="1"/>
  <c r="CC23" i="42" s="1"/>
  <c r="CD23" i="42" s="1"/>
  <c r="CE23" i="42" s="1"/>
  <c r="CF23" i="42" s="1"/>
  <c r="AI22" i="42"/>
  <c r="AJ22" i="42" s="1"/>
  <c r="AK22" i="42" s="1"/>
  <c r="AL22" i="42" s="1"/>
  <c r="AM22" i="42" s="1"/>
  <c r="AN22" i="42" s="1"/>
  <c r="AO22" i="42" s="1"/>
  <c r="AP22" i="42" s="1"/>
  <c r="AQ22" i="42" s="1"/>
  <c r="AR22" i="42" s="1"/>
  <c r="AS22" i="42" s="1"/>
  <c r="AT22" i="42" s="1"/>
  <c r="AU22" i="42" s="1"/>
  <c r="AV22" i="42" s="1"/>
  <c r="AW22" i="42" s="1"/>
  <c r="AX22" i="42" s="1"/>
  <c r="AY22" i="42" s="1"/>
  <c r="AZ22" i="42" s="1"/>
  <c r="BA22" i="42" s="1"/>
  <c r="BB22" i="42" s="1"/>
  <c r="BC22" i="42" s="1"/>
  <c r="BD22" i="42" s="1"/>
  <c r="BE22" i="42" s="1"/>
  <c r="BF22" i="42" s="1"/>
  <c r="BG22" i="42" s="1"/>
  <c r="BH22" i="42" s="1"/>
  <c r="BI22" i="42" s="1"/>
  <c r="BJ22" i="42" s="1"/>
  <c r="BK22" i="42" s="1"/>
  <c r="BL22" i="42" s="1"/>
  <c r="BM22" i="42" s="1"/>
  <c r="BN22" i="42" s="1"/>
  <c r="BO22" i="42" s="1"/>
  <c r="BP22" i="42" s="1"/>
  <c r="BQ22" i="42" s="1"/>
  <c r="BR22" i="42" s="1"/>
  <c r="BS22" i="42" s="1"/>
  <c r="BT22" i="42" s="1"/>
  <c r="BU22" i="42" s="1"/>
  <c r="BV22" i="42" s="1"/>
  <c r="BW22" i="42" s="1"/>
  <c r="BX22" i="42" s="1"/>
  <c r="BY22" i="42" s="1"/>
  <c r="BZ22" i="42" s="1"/>
  <c r="CA22" i="42" s="1"/>
  <c r="CB22" i="42" s="1"/>
  <c r="CC22" i="42" s="1"/>
  <c r="CD22" i="42" s="1"/>
  <c r="CE22" i="42" s="1"/>
  <c r="CF22" i="42" s="1"/>
  <c r="AI21" i="42"/>
  <c r="AJ21" i="42" s="1"/>
  <c r="AK21" i="42" s="1"/>
  <c r="AL21" i="42" s="1"/>
  <c r="AM21" i="42" s="1"/>
  <c r="AN21" i="42" s="1"/>
  <c r="AO21" i="42" s="1"/>
  <c r="AP21" i="42" s="1"/>
  <c r="AQ21" i="42" s="1"/>
  <c r="AR21" i="42" s="1"/>
  <c r="AS21" i="42" s="1"/>
  <c r="AT21" i="42" s="1"/>
  <c r="AU21" i="42" s="1"/>
  <c r="AV21" i="42" s="1"/>
  <c r="AW21" i="42" s="1"/>
  <c r="AX21" i="42" s="1"/>
  <c r="AY21" i="42" s="1"/>
  <c r="AZ21" i="42" s="1"/>
  <c r="BA21" i="42" s="1"/>
  <c r="BB21" i="42" s="1"/>
  <c r="BC21" i="42" s="1"/>
  <c r="BD21" i="42" s="1"/>
  <c r="BE21" i="42" s="1"/>
  <c r="BF21" i="42" s="1"/>
  <c r="BG21" i="42" s="1"/>
  <c r="BH21" i="42" s="1"/>
  <c r="BI21" i="42" s="1"/>
  <c r="BJ21" i="42" s="1"/>
  <c r="BK21" i="42" s="1"/>
  <c r="BL21" i="42" s="1"/>
  <c r="BM21" i="42" s="1"/>
  <c r="BN21" i="42" s="1"/>
  <c r="BO21" i="42" s="1"/>
  <c r="BP21" i="42" s="1"/>
  <c r="BQ21" i="42" s="1"/>
  <c r="BR21" i="42" s="1"/>
  <c r="BS21" i="42" s="1"/>
  <c r="BT21" i="42" s="1"/>
  <c r="BU21" i="42" s="1"/>
  <c r="BV21" i="42" s="1"/>
  <c r="BW21" i="42" s="1"/>
  <c r="BX21" i="42" s="1"/>
  <c r="BY21" i="42" s="1"/>
  <c r="BZ21" i="42" s="1"/>
  <c r="CA21" i="42" s="1"/>
  <c r="CB21" i="42" s="1"/>
  <c r="CC21" i="42" s="1"/>
  <c r="CD21" i="42" s="1"/>
  <c r="CE21" i="42" s="1"/>
  <c r="CF21" i="42" s="1"/>
  <c r="AI20" i="42"/>
  <c r="AJ20" i="42" s="1"/>
  <c r="AK20" i="42" s="1"/>
  <c r="AL20" i="42" s="1"/>
  <c r="AM20" i="42" s="1"/>
  <c r="AN20" i="42" s="1"/>
  <c r="AO20" i="42" s="1"/>
  <c r="AP20" i="42" s="1"/>
  <c r="AQ20" i="42" s="1"/>
  <c r="AR20" i="42" s="1"/>
  <c r="AS20" i="42" s="1"/>
  <c r="AT20" i="42" s="1"/>
  <c r="AU20" i="42" s="1"/>
  <c r="AV20" i="42" s="1"/>
  <c r="AW20" i="42" s="1"/>
  <c r="AX20" i="42" s="1"/>
  <c r="AY20" i="42" s="1"/>
  <c r="AZ20" i="42" s="1"/>
  <c r="BA20" i="42" s="1"/>
  <c r="BB20" i="42" s="1"/>
  <c r="BC20" i="42" s="1"/>
  <c r="BD20" i="42" s="1"/>
  <c r="BE20" i="42" s="1"/>
  <c r="BF20" i="42" s="1"/>
  <c r="BG20" i="42" s="1"/>
  <c r="BH20" i="42" s="1"/>
  <c r="BI20" i="42" s="1"/>
  <c r="BJ20" i="42" s="1"/>
  <c r="BK20" i="42" s="1"/>
  <c r="BL20" i="42" s="1"/>
  <c r="BM20" i="42" s="1"/>
  <c r="BN20" i="42" s="1"/>
  <c r="BO20" i="42" s="1"/>
  <c r="BP20" i="42" s="1"/>
  <c r="BQ20" i="42" s="1"/>
  <c r="BR20" i="42" s="1"/>
  <c r="BS20" i="42" s="1"/>
  <c r="BT20" i="42" s="1"/>
  <c r="BU20" i="42" s="1"/>
  <c r="BV20" i="42" s="1"/>
  <c r="BW20" i="42" s="1"/>
  <c r="BX20" i="42" s="1"/>
  <c r="BY20" i="42" s="1"/>
  <c r="BZ20" i="42" s="1"/>
  <c r="CA20" i="42" s="1"/>
  <c r="CB20" i="42" s="1"/>
  <c r="CC20" i="42" s="1"/>
  <c r="CD20" i="42" s="1"/>
  <c r="CE20" i="42" s="1"/>
  <c r="CF20" i="42" s="1"/>
  <c r="AI19" i="42"/>
  <c r="AJ19" i="42" s="1"/>
  <c r="AK19" i="42" s="1"/>
  <c r="AL19" i="42" s="1"/>
  <c r="AM19" i="42" s="1"/>
  <c r="AN19" i="42" s="1"/>
  <c r="AO19" i="42" s="1"/>
  <c r="AP19" i="42" s="1"/>
  <c r="AQ19" i="42" s="1"/>
  <c r="AR19" i="42" s="1"/>
  <c r="AS19" i="42" s="1"/>
  <c r="AT19" i="42" s="1"/>
  <c r="AU19" i="42" s="1"/>
  <c r="AV19" i="42" s="1"/>
  <c r="AW19" i="42" s="1"/>
  <c r="AX19" i="42" s="1"/>
  <c r="AY19" i="42" s="1"/>
  <c r="AZ19" i="42" s="1"/>
  <c r="BA19" i="42" s="1"/>
  <c r="BB19" i="42" s="1"/>
  <c r="BC19" i="42" s="1"/>
  <c r="BD19" i="42" s="1"/>
  <c r="BE19" i="42" s="1"/>
  <c r="BF19" i="42" s="1"/>
  <c r="BG19" i="42" s="1"/>
  <c r="BH19" i="42" s="1"/>
  <c r="BI19" i="42" s="1"/>
  <c r="BJ19" i="42" s="1"/>
  <c r="BK19" i="42" s="1"/>
  <c r="BL19" i="42" s="1"/>
  <c r="BM19" i="42" s="1"/>
  <c r="BN19" i="42" s="1"/>
  <c r="BO19" i="42" s="1"/>
  <c r="BP19" i="42" s="1"/>
  <c r="BQ19" i="42" s="1"/>
  <c r="BR19" i="42" s="1"/>
  <c r="BS19" i="42" s="1"/>
  <c r="BT19" i="42" s="1"/>
  <c r="BU19" i="42" s="1"/>
  <c r="BV19" i="42" s="1"/>
  <c r="BW19" i="42" s="1"/>
  <c r="BX19" i="42" s="1"/>
  <c r="BY19" i="42" s="1"/>
  <c r="BZ19" i="42" s="1"/>
  <c r="CA19" i="42" s="1"/>
  <c r="CB19" i="42" s="1"/>
  <c r="CC19" i="42" s="1"/>
  <c r="CD19" i="42" s="1"/>
  <c r="CE19" i="42" s="1"/>
  <c r="CF19" i="42" s="1"/>
  <c r="AI18" i="42"/>
  <c r="AJ18" i="42" s="1"/>
  <c r="AK18" i="42" s="1"/>
  <c r="AL18" i="42" s="1"/>
  <c r="AM18" i="42" s="1"/>
  <c r="AN18" i="42" s="1"/>
  <c r="AO18" i="42" s="1"/>
  <c r="AP18" i="42" s="1"/>
  <c r="AQ18" i="42" s="1"/>
  <c r="AR18" i="42" s="1"/>
  <c r="AS18" i="42" s="1"/>
  <c r="AT18" i="42" s="1"/>
  <c r="AU18" i="42" s="1"/>
  <c r="AV18" i="42" s="1"/>
  <c r="AW18" i="42" s="1"/>
  <c r="AX18" i="42" s="1"/>
  <c r="AY18" i="42" s="1"/>
  <c r="AZ18" i="42" s="1"/>
  <c r="BA18" i="42" s="1"/>
  <c r="BB18" i="42" s="1"/>
  <c r="BC18" i="42" s="1"/>
  <c r="BD18" i="42" s="1"/>
  <c r="BE18" i="42" s="1"/>
  <c r="BF18" i="42" s="1"/>
  <c r="BG18" i="42" s="1"/>
  <c r="BH18" i="42" s="1"/>
  <c r="BI18" i="42" s="1"/>
  <c r="BJ18" i="42" s="1"/>
  <c r="BK18" i="42" s="1"/>
  <c r="BL18" i="42" s="1"/>
  <c r="BM18" i="42" s="1"/>
  <c r="BN18" i="42" s="1"/>
  <c r="BO18" i="42" s="1"/>
  <c r="BP18" i="42" s="1"/>
  <c r="BQ18" i="42" s="1"/>
  <c r="BR18" i="42" s="1"/>
  <c r="BS18" i="42" s="1"/>
  <c r="BT18" i="42" s="1"/>
  <c r="BU18" i="42" s="1"/>
  <c r="BV18" i="42" s="1"/>
  <c r="BW18" i="42" s="1"/>
  <c r="BX18" i="42" s="1"/>
  <c r="BY18" i="42" s="1"/>
  <c r="BZ18" i="42" s="1"/>
  <c r="CA18" i="42" s="1"/>
  <c r="CB18" i="42" s="1"/>
  <c r="CC18" i="42" s="1"/>
  <c r="CD18" i="42" s="1"/>
  <c r="CE18" i="42" s="1"/>
  <c r="CF18" i="42" s="1"/>
  <c r="AI17" i="42"/>
  <c r="AJ17" i="42" s="1"/>
  <c r="AK17" i="42" s="1"/>
  <c r="AL17" i="42" s="1"/>
  <c r="AM17" i="42" s="1"/>
  <c r="AN17" i="42" s="1"/>
  <c r="AO17" i="42" s="1"/>
  <c r="AP17" i="42" s="1"/>
  <c r="AQ17" i="42" s="1"/>
  <c r="AR17" i="42" s="1"/>
  <c r="AS17" i="42" s="1"/>
  <c r="AT17" i="42" s="1"/>
  <c r="AU17" i="42" s="1"/>
  <c r="AV17" i="42" s="1"/>
  <c r="AW17" i="42" s="1"/>
  <c r="AX17" i="42" s="1"/>
  <c r="AY17" i="42" s="1"/>
  <c r="AZ17" i="42" s="1"/>
  <c r="BA17" i="42" s="1"/>
  <c r="BB17" i="42" s="1"/>
  <c r="BC17" i="42" s="1"/>
  <c r="BD17" i="42" s="1"/>
  <c r="BE17" i="42" s="1"/>
  <c r="BF17" i="42" s="1"/>
  <c r="BG17" i="42" s="1"/>
  <c r="BH17" i="42" s="1"/>
  <c r="BI17" i="42" s="1"/>
  <c r="BJ17" i="42" s="1"/>
  <c r="BK17" i="42" s="1"/>
  <c r="BL17" i="42" s="1"/>
  <c r="BM17" i="42" s="1"/>
  <c r="BN17" i="42" s="1"/>
  <c r="BO17" i="42" s="1"/>
  <c r="BP17" i="42" s="1"/>
  <c r="BQ17" i="42" s="1"/>
  <c r="BR17" i="42" s="1"/>
  <c r="BS17" i="42" s="1"/>
  <c r="BT17" i="42" s="1"/>
  <c r="BU17" i="42" s="1"/>
  <c r="BV17" i="42" s="1"/>
  <c r="BW17" i="42" s="1"/>
  <c r="BX17" i="42" s="1"/>
  <c r="BY17" i="42" s="1"/>
  <c r="BZ17" i="42" s="1"/>
  <c r="CA17" i="42" s="1"/>
  <c r="CB17" i="42" s="1"/>
  <c r="CC17" i="42" s="1"/>
  <c r="CD17" i="42" s="1"/>
  <c r="CE17" i="42" s="1"/>
  <c r="CF17" i="42" s="1"/>
  <c r="AI16" i="42"/>
  <c r="AJ16" i="42" s="1"/>
  <c r="AK16" i="42" s="1"/>
  <c r="AL16" i="42" s="1"/>
  <c r="AM16" i="42" s="1"/>
  <c r="AN16" i="42" s="1"/>
  <c r="AO16" i="42" s="1"/>
  <c r="AP16" i="42" s="1"/>
  <c r="AQ16" i="42" s="1"/>
  <c r="AR16" i="42" s="1"/>
  <c r="AS16" i="42" s="1"/>
  <c r="AT16" i="42" s="1"/>
  <c r="AU16" i="42" s="1"/>
  <c r="AV16" i="42" s="1"/>
  <c r="AW16" i="42" s="1"/>
  <c r="AX16" i="42" s="1"/>
  <c r="AY16" i="42" s="1"/>
  <c r="AZ16" i="42" s="1"/>
  <c r="BA16" i="42" s="1"/>
  <c r="BB16" i="42" s="1"/>
  <c r="BC16" i="42" s="1"/>
  <c r="BD16" i="42" s="1"/>
  <c r="BE16" i="42" s="1"/>
  <c r="BF16" i="42" s="1"/>
  <c r="BG16" i="42" s="1"/>
  <c r="BH16" i="42" s="1"/>
  <c r="BI16" i="42" s="1"/>
  <c r="BJ16" i="42" s="1"/>
  <c r="BK16" i="42" s="1"/>
  <c r="BL16" i="42" s="1"/>
  <c r="BM16" i="42" s="1"/>
  <c r="BN16" i="42" s="1"/>
  <c r="BO16" i="42" s="1"/>
  <c r="BP16" i="42" s="1"/>
  <c r="BQ16" i="42" s="1"/>
  <c r="BR16" i="42" s="1"/>
  <c r="BS16" i="42" s="1"/>
  <c r="BT16" i="42" s="1"/>
  <c r="BU16" i="42" s="1"/>
  <c r="BV16" i="42" s="1"/>
  <c r="BW16" i="42" s="1"/>
  <c r="BX16" i="42" s="1"/>
  <c r="BY16" i="42" s="1"/>
  <c r="BZ16" i="42" s="1"/>
  <c r="CA16" i="42" s="1"/>
  <c r="CB16" i="42" s="1"/>
  <c r="CC16" i="42" s="1"/>
  <c r="CD16" i="42" s="1"/>
  <c r="CE16" i="42" s="1"/>
  <c r="CF16" i="42" s="1"/>
  <c r="AI15" i="42"/>
  <c r="AJ15" i="42" s="1"/>
  <c r="AK15" i="42" s="1"/>
  <c r="AL15" i="42" s="1"/>
  <c r="AM15" i="42" s="1"/>
  <c r="AN15" i="42" s="1"/>
  <c r="AO15" i="42" s="1"/>
  <c r="AP15" i="42" s="1"/>
  <c r="AQ15" i="42" s="1"/>
  <c r="AR15" i="42" s="1"/>
  <c r="AS15" i="42" s="1"/>
  <c r="AT15" i="42" s="1"/>
  <c r="AU15" i="42" s="1"/>
  <c r="AV15" i="42" s="1"/>
  <c r="AW15" i="42" s="1"/>
  <c r="AX15" i="42" s="1"/>
  <c r="AY15" i="42" s="1"/>
  <c r="AZ15" i="42" s="1"/>
  <c r="BA15" i="42" s="1"/>
  <c r="BB15" i="42" s="1"/>
  <c r="BC15" i="42" s="1"/>
  <c r="BD15" i="42" s="1"/>
  <c r="BE15" i="42" s="1"/>
  <c r="BF15" i="42" s="1"/>
  <c r="BG15" i="42" s="1"/>
  <c r="BH15" i="42" s="1"/>
  <c r="BI15" i="42" s="1"/>
  <c r="BJ15" i="42" s="1"/>
  <c r="BK15" i="42" s="1"/>
  <c r="BL15" i="42" s="1"/>
  <c r="BM15" i="42" s="1"/>
  <c r="BN15" i="42" s="1"/>
  <c r="BO15" i="42" s="1"/>
  <c r="BP15" i="42" s="1"/>
  <c r="BQ15" i="42" s="1"/>
  <c r="BR15" i="42" s="1"/>
  <c r="BS15" i="42" s="1"/>
  <c r="BT15" i="42" s="1"/>
  <c r="BU15" i="42" s="1"/>
  <c r="BV15" i="42" s="1"/>
  <c r="BW15" i="42" s="1"/>
  <c r="BX15" i="42" s="1"/>
  <c r="BY15" i="42" s="1"/>
  <c r="BZ15" i="42" s="1"/>
  <c r="CA15" i="42" s="1"/>
  <c r="CB15" i="42" s="1"/>
  <c r="CC15" i="42" s="1"/>
  <c r="CD15" i="42" s="1"/>
  <c r="CE15" i="42" s="1"/>
  <c r="CF15" i="42" s="1"/>
  <c r="AI14" i="42"/>
  <c r="AJ14" i="42" s="1"/>
  <c r="AK14" i="42" s="1"/>
  <c r="AL14" i="42" s="1"/>
  <c r="AM14" i="42" s="1"/>
  <c r="AN14" i="42" s="1"/>
  <c r="AO14" i="42" s="1"/>
  <c r="AP14" i="42" s="1"/>
  <c r="AQ14" i="42" s="1"/>
  <c r="AR14" i="42" s="1"/>
  <c r="AS14" i="42" s="1"/>
  <c r="AT14" i="42" s="1"/>
  <c r="AU14" i="42" s="1"/>
  <c r="AV14" i="42" s="1"/>
  <c r="AW14" i="42" s="1"/>
  <c r="AX14" i="42" s="1"/>
  <c r="AY14" i="42" s="1"/>
  <c r="AZ14" i="42" s="1"/>
  <c r="BA14" i="42" s="1"/>
  <c r="BB14" i="42" s="1"/>
  <c r="BC14" i="42" s="1"/>
  <c r="BD14" i="42" s="1"/>
  <c r="BE14" i="42" s="1"/>
  <c r="BF14" i="42" s="1"/>
  <c r="BG14" i="42" s="1"/>
  <c r="BH14" i="42" s="1"/>
  <c r="BI14" i="42" s="1"/>
  <c r="BJ14" i="42" s="1"/>
  <c r="BK14" i="42" s="1"/>
  <c r="BL14" i="42" s="1"/>
  <c r="BM14" i="42" s="1"/>
  <c r="BN14" i="42" s="1"/>
  <c r="BO14" i="42" s="1"/>
  <c r="BP14" i="42" s="1"/>
  <c r="BQ14" i="42" s="1"/>
  <c r="BR14" i="42" s="1"/>
  <c r="BS14" i="42" s="1"/>
  <c r="BT14" i="42" s="1"/>
  <c r="BU14" i="42" s="1"/>
  <c r="BV14" i="42" s="1"/>
  <c r="BW14" i="42" s="1"/>
  <c r="BX14" i="42" s="1"/>
  <c r="BY14" i="42" s="1"/>
  <c r="BZ14" i="42" s="1"/>
  <c r="CA14" i="42" s="1"/>
  <c r="CB14" i="42" s="1"/>
  <c r="CC14" i="42" s="1"/>
  <c r="CD14" i="42" s="1"/>
  <c r="CE14" i="42" s="1"/>
  <c r="CF14" i="42" s="1"/>
  <c r="AI13" i="42"/>
  <c r="AJ13" i="42" s="1"/>
  <c r="AK13" i="42" s="1"/>
  <c r="AL13" i="42" s="1"/>
  <c r="AM13" i="42" s="1"/>
  <c r="AN13" i="42" s="1"/>
  <c r="AO13" i="42" s="1"/>
  <c r="AP13" i="42" s="1"/>
  <c r="AQ13" i="42" s="1"/>
  <c r="AR13" i="42" s="1"/>
  <c r="AS13" i="42" s="1"/>
  <c r="AT13" i="42" s="1"/>
  <c r="AU13" i="42" s="1"/>
  <c r="AV13" i="42" s="1"/>
  <c r="AW13" i="42" s="1"/>
  <c r="AX13" i="42" s="1"/>
  <c r="AY13" i="42" s="1"/>
  <c r="AZ13" i="42" s="1"/>
  <c r="BA13" i="42" s="1"/>
  <c r="BB13" i="42" s="1"/>
  <c r="BC13" i="42" s="1"/>
  <c r="BD13" i="42" s="1"/>
  <c r="BE13" i="42" s="1"/>
  <c r="BF13" i="42" s="1"/>
  <c r="BG13" i="42" s="1"/>
  <c r="BH13" i="42" s="1"/>
  <c r="BI13" i="42" s="1"/>
  <c r="BJ13" i="42" s="1"/>
  <c r="BK13" i="42" s="1"/>
  <c r="BL13" i="42" s="1"/>
  <c r="BM13" i="42" s="1"/>
  <c r="BN13" i="42" s="1"/>
  <c r="BO13" i="42" s="1"/>
  <c r="BP13" i="42" s="1"/>
  <c r="BQ13" i="42" s="1"/>
  <c r="BR13" i="42" s="1"/>
  <c r="BS13" i="42" s="1"/>
  <c r="BT13" i="42" s="1"/>
  <c r="BU13" i="42" s="1"/>
  <c r="BV13" i="42" s="1"/>
  <c r="BW13" i="42" s="1"/>
  <c r="BX13" i="42" s="1"/>
  <c r="BY13" i="42" s="1"/>
  <c r="BZ13" i="42" s="1"/>
  <c r="CA13" i="42" s="1"/>
  <c r="CB13" i="42" s="1"/>
  <c r="CC13" i="42" s="1"/>
  <c r="CD13" i="42" s="1"/>
  <c r="CE13" i="42" s="1"/>
  <c r="CF13" i="42" s="1"/>
  <c r="AI12" i="42"/>
  <c r="AJ12" i="42" s="1"/>
  <c r="AK12" i="42" s="1"/>
  <c r="AL12" i="42" s="1"/>
  <c r="AM12" i="42" s="1"/>
  <c r="AN12" i="42" s="1"/>
  <c r="AO12" i="42" s="1"/>
  <c r="AP12" i="42" s="1"/>
  <c r="AQ12" i="42" s="1"/>
  <c r="AR12" i="42" s="1"/>
  <c r="AS12" i="42" s="1"/>
  <c r="AT12" i="42" s="1"/>
  <c r="AU12" i="42" s="1"/>
  <c r="AV12" i="42" s="1"/>
  <c r="AW12" i="42" s="1"/>
  <c r="AX12" i="42" s="1"/>
  <c r="AY12" i="42" s="1"/>
  <c r="AZ12" i="42" s="1"/>
  <c r="BA12" i="42" s="1"/>
  <c r="BB12" i="42" s="1"/>
  <c r="BC12" i="42" s="1"/>
  <c r="BD12" i="42" s="1"/>
  <c r="BE12" i="42" s="1"/>
  <c r="BF12" i="42" s="1"/>
  <c r="BG12" i="42" s="1"/>
  <c r="BH12" i="42" s="1"/>
  <c r="BI12" i="42" s="1"/>
  <c r="BJ12" i="42" s="1"/>
  <c r="BK12" i="42" s="1"/>
  <c r="BL12" i="42" s="1"/>
  <c r="BM12" i="42" s="1"/>
  <c r="BN12" i="42" s="1"/>
  <c r="BO12" i="42" s="1"/>
  <c r="BP12" i="42" s="1"/>
  <c r="BQ12" i="42" s="1"/>
  <c r="BR12" i="42" s="1"/>
  <c r="BS12" i="42" s="1"/>
  <c r="BT12" i="42" s="1"/>
  <c r="BU12" i="42" s="1"/>
  <c r="BV12" i="42" s="1"/>
  <c r="BW12" i="42" s="1"/>
  <c r="BX12" i="42" s="1"/>
  <c r="BY12" i="42" s="1"/>
  <c r="BZ12" i="42" s="1"/>
  <c r="CA12" i="42" s="1"/>
  <c r="CB12" i="42" s="1"/>
  <c r="CC12" i="42" s="1"/>
  <c r="CD12" i="42" s="1"/>
  <c r="CE12" i="42" s="1"/>
  <c r="CF12" i="42" s="1"/>
  <c r="AI11" i="42"/>
  <c r="AJ11" i="42" s="1"/>
  <c r="AK11" i="42" s="1"/>
  <c r="AL11" i="42" s="1"/>
  <c r="AM11" i="42" s="1"/>
  <c r="AN11" i="42" s="1"/>
  <c r="AO11" i="42" s="1"/>
  <c r="AP11" i="42" s="1"/>
  <c r="AQ11" i="42" s="1"/>
  <c r="AR11" i="42" s="1"/>
  <c r="AS11" i="42" s="1"/>
  <c r="AT11" i="42" s="1"/>
  <c r="AU11" i="42" s="1"/>
  <c r="AV11" i="42" s="1"/>
  <c r="AW11" i="42" s="1"/>
  <c r="AX11" i="42" s="1"/>
  <c r="AY11" i="42" s="1"/>
  <c r="AZ11" i="42" s="1"/>
  <c r="BA11" i="42" s="1"/>
  <c r="BB11" i="42" s="1"/>
  <c r="BC11" i="42" s="1"/>
  <c r="BD11" i="42" s="1"/>
  <c r="BE11" i="42" s="1"/>
  <c r="BF11" i="42" s="1"/>
  <c r="BG11" i="42" s="1"/>
  <c r="BH11" i="42" s="1"/>
  <c r="BI11" i="42" s="1"/>
  <c r="BJ11" i="42" s="1"/>
  <c r="BK11" i="42" s="1"/>
  <c r="BL11" i="42" s="1"/>
  <c r="BM11" i="42" s="1"/>
  <c r="BN11" i="42" s="1"/>
  <c r="BO11" i="42" s="1"/>
  <c r="BP11" i="42" s="1"/>
  <c r="BQ11" i="42" s="1"/>
  <c r="BR11" i="42" s="1"/>
  <c r="BS11" i="42" s="1"/>
  <c r="BT11" i="42" s="1"/>
  <c r="BU11" i="42" s="1"/>
  <c r="BV11" i="42" s="1"/>
  <c r="BW11" i="42" s="1"/>
  <c r="BX11" i="42" s="1"/>
  <c r="BY11" i="42" s="1"/>
  <c r="BZ11" i="42" s="1"/>
  <c r="CA11" i="42" s="1"/>
  <c r="CB11" i="42" s="1"/>
  <c r="CC11" i="42" s="1"/>
  <c r="CD11" i="42" s="1"/>
  <c r="CE11" i="42" s="1"/>
  <c r="CF11" i="42" s="1"/>
  <c r="AI10" i="42"/>
  <c r="AJ10" i="42" s="1"/>
  <c r="AK10" i="42" s="1"/>
  <c r="AL10" i="42" s="1"/>
  <c r="AM10" i="42" s="1"/>
  <c r="AN10" i="42" s="1"/>
  <c r="AO10" i="42" s="1"/>
  <c r="AP10" i="42" s="1"/>
  <c r="AQ10" i="42" s="1"/>
  <c r="AR10" i="42" s="1"/>
  <c r="AS10" i="42" s="1"/>
  <c r="AT10" i="42" s="1"/>
  <c r="AU10" i="42" s="1"/>
  <c r="AV10" i="42" s="1"/>
  <c r="AW10" i="42" s="1"/>
  <c r="AX10" i="42" s="1"/>
  <c r="AY10" i="42" s="1"/>
  <c r="AZ10" i="42" s="1"/>
  <c r="BA10" i="42" s="1"/>
  <c r="BB10" i="42" s="1"/>
  <c r="BC10" i="42" s="1"/>
  <c r="BD10" i="42" s="1"/>
  <c r="BE10" i="42" s="1"/>
  <c r="BF10" i="42" s="1"/>
  <c r="BG10" i="42" s="1"/>
  <c r="BH10" i="42" s="1"/>
  <c r="BI10" i="42" s="1"/>
  <c r="BJ10" i="42" s="1"/>
  <c r="BK10" i="42" s="1"/>
  <c r="BL10" i="42" s="1"/>
  <c r="BM10" i="42" s="1"/>
  <c r="BN10" i="42" s="1"/>
  <c r="BO10" i="42" s="1"/>
  <c r="BP10" i="42" s="1"/>
  <c r="BQ10" i="42" s="1"/>
  <c r="BR10" i="42" s="1"/>
  <c r="BS10" i="42" s="1"/>
  <c r="BT10" i="42" s="1"/>
  <c r="BU10" i="42" s="1"/>
  <c r="BV10" i="42" s="1"/>
  <c r="BW10" i="42" s="1"/>
  <c r="BX10" i="42" s="1"/>
  <c r="BY10" i="42" s="1"/>
  <c r="BZ10" i="42" s="1"/>
  <c r="CA10" i="42" s="1"/>
  <c r="CB10" i="42" s="1"/>
  <c r="CC10" i="42" s="1"/>
  <c r="CD10" i="42" s="1"/>
  <c r="CE10" i="42" s="1"/>
  <c r="CF10" i="42" s="1"/>
  <c r="AI9" i="42"/>
  <c r="AJ9" i="42" s="1"/>
  <c r="AK9" i="42" s="1"/>
  <c r="AL9" i="42" s="1"/>
  <c r="AM9" i="42" s="1"/>
  <c r="AN9" i="42" s="1"/>
  <c r="AO9" i="42" s="1"/>
  <c r="AP9" i="42" s="1"/>
  <c r="AQ9" i="42" s="1"/>
  <c r="AR9" i="42" s="1"/>
  <c r="AS9" i="42" s="1"/>
  <c r="AT9" i="42" s="1"/>
  <c r="AU9" i="42" s="1"/>
  <c r="AV9" i="42" s="1"/>
  <c r="AW9" i="42" s="1"/>
  <c r="AX9" i="42" s="1"/>
  <c r="AY9" i="42" s="1"/>
  <c r="AZ9" i="42" s="1"/>
  <c r="BA9" i="42" s="1"/>
  <c r="BB9" i="42" s="1"/>
  <c r="BC9" i="42" s="1"/>
  <c r="BD9" i="42" s="1"/>
  <c r="BE9" i="42" s="1"/>
  <c r="BF9" i="42" s="1"/>
  <c r="BG9" i="42" s="1"/>
  <c r="BH9" i="42" s="1"/>
  <c r="BI9" i="42" s="1"/>
  <c r="BJ9" i="42" s="1"/>
  <c r="BK9" i="42" s="1"/>
  <c r="BL9" i="42" s="1"/>
  <c r="BM9" i="42" s="1"/>
  <c r="BN9" i="42" s="1"/>
  <c r="BO9" i="42" s="1"/>
  <c r="BP9" i="42" s="1"/>
  <c r="BQ9" i="42" s="1"/>
  <c r="BR9" i="42" s="1"/>
  <c r="BS9" i="42" s="1"/>
  <c r="BT9" i="42" s="1"/>
  <c r="BU9" i="42" s="1"/>
  <c r="BV9" i="42" s="1"/>
  <c r="BW9" i="42" s="1"/>
  <c r="BX9" i="42" s="1"/>
  <c r="BY9" i="42" s="1"/>
  <c r="BZ9" i="42" s="1"/>
  <c r="CA9" i="42" s="1"/>
  <c r="CB9" i="42" s="1"/>
  <c r="CC9" i="42" s="1"/>
  <c r="CD9" i="42" s="1"/>
  <c r="CE9" i="42" s="1"/>
  <c r="CF9" i="42" s="1"/>
  <c r="AI8" i="42"/>
  <c r="AJ8" i="42" s="1"/>
  <c r="AK8" i="42" s="1"/>
  <c r="AL8" i="42" s="1"/>
  <c r="AM8" i="42" s="1"/>
  <c r="AN8" i="42" s="1"/>
  <c r="AO8" i="42" s="1"/>
  <c r="AP8" i="42" s="1"/>
  <c r="AQ8" i="42" s="1"/>
  <c r="AR8" i="42" s="1"/>
  <c r="AS8" i="42" s="1"/>
  <c r="AT8" i="42" s="1"/>
  <c r="AU8" i="42" s="1"/>
  <c r="AV8" i="42" s="1"/>
  <c r="AW8" i="42" s="1"/>
  <c r="AX8" i="42" s="1"/>
  <c r="AY8" i="42" s="1"/>
  <c r="AZ8" i="42" s="1"/>
  <c r="BA8" i="42" s="1"/>
  <c r="BB8" i="42" s="1"/>
  <c r="BC8" i="42" s="1"/>
  <c r="BD8" i="42" s="1"/>
  <c r="BE8" i="42" s="1"/>
  <c r="BF8" i="42" s="1"/>
  <c r="BG8" i="42" s="1"/>
  <c r="BH8" i="42" s="1"/>
  <c r="BI8" i="42" s="1"/>
  <c r="BJ8" i="42" s="1"/>
  <c r="BK8" i="42" s="1"/>
  <c r="BL8" i="42" s="1"/>
  <c r="BM8" i="42" s="1"/>
  <c r="BN8" i="42" s="1"/>
  <c r="BO8" i="42" s="1"/>
  <c r="BP8" i="42" s="1"/>
  <c r="BQ8" i="42" s="1"/>
  <c r="BR8" i="42" s="1"/>
  <c r="BS8" i="42" s="1"/>
  <c r="BT8" i="42" s="1"/>
  <c r="BU8" i="42" s="1"/>
  <c r="BV8" i="42" s="1"/>
  <c r="BW8" i="42" s="1"/>
  <c r="BX8" i="42" s="1"/>
  <c r="BY8" i="42" s="1"/>
  <c r="BZ8" i="42" s="1"/>
  <c r="CA8" i="42" s="1"/>
  <c r="CB8" i="42" s="1"/>
  <c r="CC8" i="42" s="1"/>
  <c r="CD8" i="42" s="1"/>
  <c r="CE8" i="42" s="1"/>
  <c r="CF8" i="42" s="1"/>
  <c r="AI7" i="42"/>
  <c r="AJ7" i="42" s="1"/>
  <c r="AK7" i="42" s="1"/>
  <c r="AL7" i="42" s="1"/>
  <c r="AM7" i="42" s="1"/>
  <c r="AN7" i="42" s="1"/>
  <c r="AO7" i="42" s="1"/>
  <c r="AP7" i="42" s="1"/>
  <c r="AQ7" i="42" s="1"/>
  <c r="AR7" i="42" s="1"/>
  <c r="AS7" i="42" s="1"/>
  <c r="AT7" i="42" s="1"/>
  <c r="AU7" i="42" s="1"/>
  <c r="AV7" i="42" s="1"/>
  <c r="AW7" i="42" s="1"/>
  <c r="AX7" i="42" s="1"/>
  <c r="AY7" i="42" s="1"/>
  <c r="AZ7" i="42" s="1"/>
  <c r="BA7" i="42" s="1"/>
  <c r="BB7" i="42" s="1"/>
  <c r="BC7" i="42" s="1"/>
  <c r="BD7" i="42" s="1"/>
  <c r="BE7" i="42" s="1"/>
  <c r="BF7" i="42" s="1"/>
  <c r="BG7" i="42" s="1"/>
  <c r="BH7" i="42" s="1"/>
  <c r="BI7" i="42" s="1"/>
  <c r="BJ7" i="42" s="1"/>
  <c r="BK7" i="42" s="1"/>
  <c r="BL7" i="42" s="1"/>
  <c r="BM7" i="42" s="1"/>
  <c r="BN7" i="42" s="1"/>
  <c r="BO7" i="42" s="1"/>
  <c r="BP7" i="42" s="1"/>
  <c r="BQ7" i="42" s="1"/>
  <c r="BR7" i="42" s="1"/>
  <c r="BS7" i="42" s="1"/>
  <c r="BT7" i="42" s="1"/>
  <c r="BU7" i="42" s="1"/>
  <c r="BV7" i="42" s="1"/>
  <c r="BW7" i="42" s="1"/>
  <c r="BX7" i="42" s="1"/>
  <c r="BY7" i="42" s="1"/>
  <c r="BZ7" i="42" s="1"/>
  <c r="CA7" i="42" s="1"/>
  <c r="CB7" i="42" s="1"/>
  <c r="CC7" i="42" s="1"/>
  <c r="CD7" i="42" s="1"/>
  <c r="CE7" i="42" s="1"/>
  <c r="CF7" i="42" s="1"/>
  <c r="AI6" i="42"/>
  <c r="AJ6" i="42" s="1"/>
  <c r="AK6" i="42" s="1"/>
  <c r="AL6" i="42" s="1"/>
  <c r="AM6" i="42" s="1"/>
  <c r="AN6" i="42" s="1"/>
  <c r="AO6" i="42" s="1"/>
  <c r="AP6" i="42" s="1"/>
  <c r="AQ6" i="42" s="1"/>
  <c r="AR6" i="42" s="1"/>
  <c r="AS6" i="42" s="1"/>
  <c r="AT6" i="42" s="1"/>
  <c r="AU6" i="42" s="1"/>
  <c r="AV6" i="42" s="1"/>
  <c r="AW6" i="42" s="1"/>
  <c r="AX6" i="42" s="1"/>
  <c r="AY6" i="42" s="1"/>
  <c r="AZ6" i="42" s="1"/>
  <c r="BA6" i="42" s="1"/>
  <c r="BB6" i="42" s="1"/>
  <c r="BC6" i="42" s="1"/>
  <c r="BD6" i="42" s="1"/>
  <c r="BE6" i="42" s="1"/>
  <c r="BF6" i="42" s="1"/>
  <c r="BG6" i="42" s="1"/>
  <c r="BH6" i="42" s="1"/>
  <c r="BI6" i="42" s="1"/>
  <c r="BJ6" i="42" s="1"/>
  <c r="BK6" i="42" s="1"/>
  <c r="BL6" i="42" s="1"/>
  <c r="BM6" i="42" s="1"/>
  <c r="BN6" i="42" s="1"/>
  <c r="BO6" i="42" s="1"/>
  <c r="BP6" i="42" s="1"/>
  <c r="BQ6" i="42" s="1"/>
  <c r="BR6" i="42" s="1"/>
  <c r="BS6" i="42" s="1"/>
  <c r="BT6" i="42" s="1"/>
  <c r="BU6" i="42" s="1"/>
  <c r="BV6" i="42" s="1"/>
  <c r="BW6" i="42" s="1"/>
  <c r="BX6" i="42" s="1"/>
  <c r="BY6" i="42" s="1"/>
  <c r="BZ6" i="42" s="1"/>
  <c r="CA6" i="42" s="1"/>
  <c r="CB6" i="42" s="1"/>
  <c r="CC6" i="42" s="1"/>
  <c r="CD6" i="42" s="1"/>
  <c r="CE6" i="42" s="1"/>
  <c r="CF6" i="42" s="1"/>
  <c r="AI5" i="42"/>
  <c r="AJ5" i="42" s="1"/>
  <c r="AK5" i="42" s="1"/>
  <c r="AL5" i="42" s="1"/>
  <c r="AM5" i="42" s="1"/>
  <c r="AN5" i="42" s="1"/>
  <c r="AO5" i="42" s="1"/>
  <c r="AP5" i="42" s="1"/>
  <c r="AQ5" i="42" s="1"/>
  <c r="AR5" i="42" s="1"/>
  <c r="AS5" i="42" s="1"/>
  <c r="AT5" i="42" s="1"/>
  <c r="AU5" i="42" s="1"/>
  <c r="AV5" i="42" s="1"/>
  <c r="AW5" i="42" s="1"/>
  <c r="AX5" i="42" s="1"/>
  <c r="AY5" i="42" s="1"/>
  <c r="AZ5" i="42" s="1"/>
  <c r="BA5" i="42" s="1"/>
  <c r="BB5" i="42" s="1"/>
  <c r="BC5" i="42" s="1"/>
  <c r="BD5" i="42" s="1"/>
  <c r="BE5" i="42" s="1"/>
  <c r="BF5" i="42" s="1"/>
  <c r="BG5" i="42" s="1"/>
  <c r="BH5" i="42" s="1"/>
  <c r="BI5" i="42" s="1"/>
  <c r="BJ5" i="42" s="1"/>
  <c r="BK5" i="42" s="1"/>
  <c r="BL5" i="42" s="1"/>
  <c r="BM5" i="42" s="1"/>
  <c r="BN5" i="42" s="1"/>
  <c r="BO5" i="42" s="1"/>
  <c r="BP5" i="42" s="1"/>
  <c r="BQ5" i="42" s="1"/>
  <c r="BR5" i="42" s="1"/>
  <c r="BS5" i="42" s="1"/>
  <c r="BT5" i="42" s="1"/>
  <c r="BU5" i="42" s="1"/>
  <c r="BV5" i="42" s="1"/>
  <c r="BW5" i="42" s="1"/>
  <c r="BX5" i="42" s="1"/>
  <c r="BY5" i="42" s="1"/>
  <c r="BZ5" i="42" s="1"/>
  <c r="CA5" i="42" s="1"/>
  <c r="CB5" i="42" s="1"/>
  <c r="CC5" i="42" s="1"/>
  <c r="CD5" i="42" s="1"/>
  <c r="CE5" i="42" s="1"/>
  <c r="CF5" i="42" s="1"/>
  <c r="AI4" i="42"/>
  <c r="AJ4" i="42" s="1"/>
  <c r="AK4" i="42" s="1"/>
  <c r="AL4" i="42" s="1"/>
  <c r="AM4" i="42" s="1"/>
  <c r="AN4" i="42" s="1"/>
  <c r="AO4" i="42" s="1"/>
  <c r="AP4" i="42" s="1"/>
  <c r="AQ4" i="42" s="1"/>
  <c r="AR4" i="42" s="1"/>
  <c r="AS4" i="42" s="1"/>
  <c r="AT4" i="42" s="1"/>
  <c r="AU4" i="42" s="1"/>
  <c r="AV4" i="42" s="1"/>
  <c r="AW4" i="42" s="1"/>
  <c r="AX4" i="42" s="1"/>
  <c r="AY4" i="42" s="1"/>
  <c r="AZ4" i="42" s="1"/>
  <c r="BA4" i="42" s="1"/>
  <c r="BB4" i="42" s="1"/>
  <c r="BC4" i="42" s="1"/>
  <c r="BD4" i="42" s="1"/>
  <c r="BE4" i="42" s="1"/>
  <c r="BF4" i="42" s="1"/>
  <c r="BG4" i="42" s="1"/>
  <c r="BH4" i="42" s="1"/>
  <c r="BI4" i="42" s="1"/>
  <c r="BJ4" i="42" s="1"/>
  <c r="BK4" i="42" s="1"/>
  <c r="BL4" i="42" s="1"/>
  <c r="BM4" i="42" s="1"/>
  <c r="BN4" i="42" s="1"/>
  <c r="BO4" i="42" s="1"/>
  <c r="BP4" i="42" s="1"/>
  <c r="BQ4" i="42" s="1"/>
  <c r="BR4" i="42" s="1"/>
  <c r="BS4" i="42" s="1"/>
  <c r="BT4" i="42" s="1"/>
  <c r="BU4" i="42" s="1"/>
  <c r="BV4" i="42" s="1"/>
  <c r="BW4" i="42" s="1"/>
  <c r="BX4" i="42" s="1"/>
  <c r="BY4" i="42" s="1"/>
  <c r="BZ4" i="42" s="1"/>
  <c r="CA4" i="42" s="1"/>
  <c r="CB4" i="42" s="1"/>
  <c r="CC4" i="42" s="1"/>
  <c r="CD4" i="42" s="1"/>
  <c r="CE4" i="42" s="1"/>
  <c r="CF4" i="42" s="1"/>
  <c r="AI3" i="42"/>
  <c r="AJ3" i="42" s="1"/>
  <c r="AK3" i="42" s="1"/>
  <c r="AL3" i="42" s="1"/>
  <c r="AM3" i="42" s="1"/>
  <c r="AN3" i="42" s="1"/>
  <c r="AO3" i="42" s="1"/>
  <c r="AP3" i="42" s="1"/>
  <c r="AQ3" i="42" s="1"/>
  <c r="AR3" i="42" s="1"/>
  <c r="AS3" i="42" s="1"/>
  <c r="AT3" i="42" s="1"/>
  <c r="AU3" i="42" s="1"/>
  <c r="AV3" i="42" s="1"/>
  <c r="AW3" i="42" s="1"/>
  <c r="AX3" i="42" s="1"/>
  <c r="AY3" i="42" s="1"/>
  <c r="AZ3" i="42" s="1"/>
  <c r="BA3" i="42" s="1"/>
  <c r="BB3" i="42" s="1"/>
  <c r="BC3" i="42" s="1"/>
  <c r="BD3" i="42" s="1"/>
  <c r="BE3" i="42" s="1"/>
  <c r="BF3" i="42" s="1"/>
  <c r="BG3" i="42" s="1"/>
  <c r="BH3" i="42" s="1"/>
  <c r="BI3" i="42" s="1"/>
  <c r="BJ3" i="42" s="1"/>
  <c r="BK3" i="42" s="1"/>
  <c r="BL3" i="42" s="1"/>
  <c r="BM3" i="42" s="1"/>
  <c r="BN3" i="42" s="1"/>
  <c r="BO3" i="42" s="1"/>
  <c r="BP3" i="42" s="1"/>
  <c r="BQ3" i="42" s="1"/>
  <c r="BR3" i="42" s="1"/>
  <c r="BS3" i="42" s="1"/>
  <c r="BT3" i="42" s="1"/>
  <c r="BU3" i="42" s="1"/>
  <c r="BV3" i="42" s="1"/>
  <c r="BW3" i="42" s="1"/>
  <c r="BX3" i="42" s="1"/>
  <c r="BY3" i="42" s="1"/>
  <c r="BZ3" i="42" s="1"/>
  <c r="CA3" i="42" s="1"/>
  <c r="CB3" i="42" s="1"/>
  <c r="CC3" i="42" s="1"/>
  <c r="CD3" i="42" s="1"/>
  <c r="CE3" i="42" s="1"/>
  <c r="CF3" i="42" s="1"/>
  <c r="G15" i="11"/>
  <c r="B1355" i="41"/>
  <c r="C1354" i="41"/>
  <c r="B1354" i="41" s="1"/>
  <c r="C1353" i="41"/>
  <c r="B1353" i="41" s="1"/>
  <c r="C1352" i="41"/>
  <c r="B1352" i="41" s="1"/>
  <c r="C1351" i="41"/>
  <c r="B1351" i="41" s="1"/>
  <c r="C1350" i="41"/>
  <c r="C1349" i="41"/>
  <c r="G1349" i="41" s="1"/>
  <c r="B1349" i="41"/>
  <c r="C1348" i="41"/>
  <c r="C1347" i="41"/>
  <c r="C1346" i="41"/>
  <c r="B1346" i="41" s="1"/>
  <c r="C1345" i="41"/>
  <c r="B1345" i="41" s="1"/>
  <c r="B1344" i="41"/>
  <c r="C1343" i="41"/>
  <c r="B1343" i="41" s="1"/>
  <c r="C1342" i="41"/>
  <c r="B1342" i="41"/>
  <c r="C1341" i="41"/>
  <c r="B1341" i="41"/>
  <c r="C1340" i="41"/>
  <c r="B1340" i="41" s="1"/>
  <c r="C1339" i="41"/>
  <c r="B1339" i="41" s="1"/>
  <c r="B1333" i="41"/>
  <c r="C1332" i="41"/>
  <c r="G1332" i="41" s="1"/>
  <c r="C1331" i="41"/>
  <c r="B1330" i="41"/>
  <c r="C1329" i="41"/>
  <c r="B1329" i="41" s="1"/>
  <c r="C1328" i="41"/>
  <c r="B1328" i="41" s="1"/>
  <c r="B1327" i="41"/>
  <c r="C1322" i="41"/>
  <c r="C1323" i="41" s="1"/>
  <c r="G1323" i="41" s="1"/>
  <c r="B1321" i="41"/>
  <c r="B1309" i="41"/>
  <c r="C1308" i="41"/>
  <c r="B1308" i="41" s="1"/>
  <c r="C1307" i="41"/>
  <c r="B1307" i="41" s="1"/>
  <c r="C1306" i="41"/>
  <c r="B1306" i="41" s="1"/>
  <c r="C1305" i="41"/>
  <c r="G1305" i="41" s="1"/>
  <c r="B1305" i="41"/>
  <c r="C1304" i="41"/>
  <c r="B1304" i="41" s="1"/>
  <c r="C1303" i="41"/>
  <c r="B1303" i="41" s="1"/>
  <c r="C1302" i="41"/>
  <c r="C1301" i="41"/>
  <c r="C1300" i="41"/>
  <c r="C1299" i="41"/>
  <c r="B1298" i="41"/>
  <c r="C1297" i="41"/>
  <c r="B1297" i="41" s="1"/>
  <c r="C1296" i="41"/>
  <c r="B1296" i="41" s="1"/>
  <c r="C1295" i="41"/>
  <c r="B1295" i="41" s="1"/>
  <c r="C1294" i="41"/>
  <c r="B1294" i="41" s="1"/>
  <c r="C1293" i="41"/>
  <c r="B1293" i="41"/>
  <c r="B1287" i="41"/>
  <c r="C1286" i="41"/>
  <c r="C1319" i="41" s="1"/>
  <c r="B1284" i="41"/>
  <c r="C1283" i="41"/>
  <c r="C1282" i="41"/>
  <c r="G1282" i="41" s="1"/>
  <c r="B1282" i="41"/>
  <c r="B1281" i="41"/>
  <c r="C1276" i="41"/>
  <c r="G1276" i="41" s="1"/>
  <c r="B1275" i="41"/>
  <c r="B1272" i="41"/>
  <c r="C1271" i="41"/>
  <c r="B1271" i="41" s="1"/>
  <c r="C1270" i="41"/>
  <c r="B1270" i="41" s="1"/>
  <c r="C1269" i="41"/>
  <c r="B1269" i="41" s="1"/>
  <c r="C1268" i="41"/>
  <c r="C1267" i="41"/>
  <c r="C1266" i="41"/>
  <c r="B1266" i="41"/>
  <c r="C1265" i="41"/>
  <c r="B1265" i="41" s="1"/>
  <c r="C1264" i="41"/>
  <c r="B1264" i="41" s="1"/>
  <c r="C1263" i="41"/>
  <c r="G1263" i="41" s="1"/>
  <c r="B1263" i="41"/>
  <c r="C1262" i="41"/>
  <c r="B1261" i="41"/>
  <c r="C1260" i="41"/>
  <c r="C1259" i="41"/>
  <c r="B1259" i="41" s="1"/>
  <c r="C1258" i="41"/>
  <c r="B1258" i="41" s="1"/>
  <c r="C1257" i="41"/>
  <c r="B1257" i="41" s="1"/>
  <c r="C1256" i="41"/>
  <c r="B1256" i="41" s="1"/>
  <c r="B1250" i="41"/>
  <c r="C1249" i="41"/>
  <c r="C1273" i="41" s="1"/>
  <c r="B1273" i="41" s="1"/>
  <c r="B1247" i="41"/>
  <c r="C1246" i="41"/>
  <c r="B1246" i="41" s="1"/>
  <c r="C1245" i="41"/>
  <c r="B1245" i="41"/>
  <c r="B1244" i="41"/>
  <c r="C1239" i="41"/>
  <c r="G1239" i="41" s="1"/>
  <c r="B1238" i="41"/>
  <c r="C1236" i="41"/>
  <c r="B1226" i="41"/>
  <c r="C1225" i="41"/>
  <c r="C1224" i="41"/>
  <c r="B1224" i="41" s="1"/>
  <c r="C1223" i="41"/>
  <c r="B1223" i="41" s="1"/>
  <c r="C1222" i="41"/>
  <c r="G1222" i="41" s="1"/>
  <c r="C1221" i="41"/>
  <c r="C1220" i="41"/>
  <c r="C1219" i="41"/>
  <c r="G1219" i="41" s="1"/>
  <c r="B1219" i="41"/>
  <c r="C1218" i="41"/>
  <c r="B1218" i="41" s="1"/>
  <c r="C1217" i="41"/>
  <c r="B1217" i="41" s="1"/>
  <c r="C1216" i="41"/>
  <c r="G1216" i="41" s="1"/>
  <c r="B1216" i="41"/>
  <c r="B1215" i="41"/>
  <c r="C1214" i="41"/>
  <c r="C1213" i="41"/>
  <c r="G1213" i="41" s="1"/>
  <c r="B1213" i="41"/>
  <c r="C1212" i="41"/>
  <c r="C1211" i="41"/>
  <c r="B1211" i="41" s="1"/>
  <c r="C1210" i="41"/>
  <c r="B1210" i="41" s="1"/>
  <c r="B1204" i="41"/>
  <c r="C1203" i="41"/>
  <c r="B1201" i="41"/>
  <c r="C1200" i="41"/>
  <c r="B1200" i="41" s="1"/>
  <c r="C1199" i="41"/>
  <c r="G1199" i="41" s="1"/>
  <c r="B1199" i="41"/>
  <c r="B1198" i="41"/>
  <c r="C1193" i="41"/>
  <c r="B1192" i="41"/>
  <c r="B1180" i="41"/>
  <c r="C1179" i="41"/>
  <c r="C1178" i="41"/>
  <c r="C1177" i="41"/>
  <c r="B1177" i="41" s="1"/>
  <c r="C1176" i="41"/>
  <c r="B1176" i="41" s="1"/>
  <c r="C1175" i="41"/>
  <c r="B1175" i="41" s="1"/>
  <c r="C1174" i="41"/>
  <c r="C1173" i="41"/>
  <c r="C1172" i="41"/>
  <c r="C1171" i="41"/>
  <c r="C1170" i="41"/>
  <c r="B1170" i="41" s="1"/>
  <c r="B1169" i="41"/>
  <c r="C1168" i="41"/>
  <c r="B1168" i="41" s="1"/>
  <c r="C1167" i="41"/>
  <c r="B1167" i="41" s="1"/>
  <c r="C1166" i="41"/>
  <c r="G1166" i="41" s="1"/>
  <c r="C1165" i="41"/>
  <c r="B1165" i="41"/>
  <c r="C1164" i="41"/>
  <c r="B1164" i="41" s="1"/>
  <c r="B1158" i="41"/>
  <c r="C1157" i="41"/>
  <c r="G1157" i="41" s="1"/>
  <c r="B1157" i="41"/>
  <c r="B1155" i="41"/>
  <c r="C1154" i="41"/>
  <c r="B1154" i="41" s="1"/>
  <c r="C1153" i="41"/>
  <c r="B1153" i="41" s="1"/>
  <c r="B1152" i="41"/>
  <c r="C1147" i="41"/>
  <c r="C1156" i="41" s="1"/>
  <c r="B1146" i="41"/>
  <c r="B1134" i="41"/>
  <c r="C1133" i="41"/>
  <c r="B1133" i="41" s="1"/>
  <c r="C1132" i="41"/>
  <c r="C1131" i="41"/>
  <c r="C1130" i="41"/>
  <c r="C1129" i="41"/>
  <c r="C1128" i="41"/>
  <c r="B1128" i="41" s="1"/>
  <c r="C1127" i="41"/>
  <c r="B1127" i="41" s="1"/>
  <c r="C1126" i="41"/>
  <c r="G1126" i="41" s="1"/>
  <c r="B1126" i="41"/>
  <c r="C1125" i="41"/>
  <c r="C1124" i="41"/>
  <c r="B1123" i="41"/>
  <c r="C1122" i="41"/>
  <c r="B1122" i="41" s="1"/>
  <c r="C1121" i="41"/>
  <c r="B1121" i="41" s="1"/>
  <c r="C1120" i="41"/>
  <c r="B1120" i="41" s="1"/>
  <c r="C1119" i="41"/>
  <c r="B1119" i="41" s="1"/>
  <c r="C1118" i="41"/>
  <c r="B1118" i="41" s="1"/>
  <c r="B1112" i="41"/>
  <c r="C1111" i="41"/>
  <c r="G1111" i="41" s="1"/>
  <c r="B1111" i="41"/>
  <c r="B1109" i="41"/>
  <c r="C1108" i="41"/>
  <c r="B1108" i="41" s="1"/>
  <c r="C1107" i="41"/>
  <c r="B1107" i="41" s="1"/>
  <c r="B1106" i="41"/>
  <c r="C1101" i="41"/>
  <c r="B1101" i="41" s="1"/>
  <c r="B1100" i="41"/>
  <c r="B1088" i="41"/>
  <c r="C1087" i="41"/>
  <c r="B1087" i="41" s="1"/>
  <c r="C1086" i="41"/>
  <c r="B1086" i="41" s="1"/>
  <c r="C1085" i="41"/>
  <c r="B1085" i="41" s="1"/>
  <c r="C1084" i="41"/>
  <c r="B1084" i="41" s="1"/>
  <c r="C1083" i="41"/>
  <c r="B1083" i="41" s="1"/>
  <c r="C1082" i="41"/>
  <c r="B1082" i="41" s="1"/>
  <c r="C1081" i="41"/>
  <c r="C1080" i="41"/>
  <c r="C1079" i="41"/>
  <c r="C1078" i="41"/>
  <c r="B1077" i="41"/>
  <c r="C1076" i="41"/>
  <c r="B1076" i="41" s="1"/>
  <c r="C1075" i="41"/>
  <c r="B1075" i="41" s="1"/>
  <c r="C1074" i="41"/>
  <c r="B1074" i="41" s="1"/>
  <c r="C1073" i="41"/>
  <c r="B1073" i="41" s="1"/>
  <c r="C1072" i="41"/>
  <c r="B1072" i="41" s="1"/>
  <c r="B1066" i="41"/>
  <c r="C1065" i="41"/>
  <c r="C1093" i="41" s="1"/>
  <c r="B1065" i="41"/>
  <c r="B1063" i="41"/>
  <c r="C1062" i="41"/>
  <c r="C1061" i="41"/>
  <c r="B1060" i="41"/>
  <c r="C1055" i="41"/>
  <c r="B1054" i="41"/>
  <c r="B1052" i="41"/>
  <c r="B1051" i="41"/>
  <c r="C1050" i="41"/>
  <c r="B1050" i="41" s="1"/>
  <c r="C1049" i="41"/>
  <c r="B1049" i="41" s="1"/>
  <c r="B1048" i="41"/>
  <c r="B1047" i="41"/>
  <c r="B1046" i="41"/>
  <c r="B1045" i="41"/>
  <c r="B1044" i="41"/>
  <c r="B1043" i="41"/>
  <c r="B1042" i="41"/>
  <c r="B1041" i="41"/>
  <c r="C1040" i="41"/>
  <c r="B1040" i="41" s="1"/>
  <c r="C1039" i="41"/>
  <c r="C1038" i="41"/>
  <c r="G1038" i="41" s="1"/>
  <c r="B1038" i="41"/>
  <c r="C1037" i="41"/>
  <c r="C1036" i="41"/>
  <c r="B1036" i="41" s="1"/>
  <c r="B1035" i="41"/>
  <c r="B1034" i="41"/>
  <c r="B1033" i="41"/>
  <c r="B1031" i="41"/>
  <c r="B1030" i="41"/>
  <c r="B1029" i="41"/>
  <c r="B1028" i="41"/>
  <c r="B1027" i="41"/>
  <c r="B1026" i="41"/>
  <c r="B1025" i="41"/>
  <c r="B1024" i="41"/>
  <c r="B1023" i="41"/>
  <c r="B1022" i="41"/>
  <c r="B1021" i="41"/>
  <c r="B1020" i="41"/>
  <c r="B1019" i="41"/>
  <c r="B1018" i="41"/>
  <c r="B1017" i="41"/>
  <c r="C1016" i="41"/>
  <c r="B1016" i="41" s="1"/>
  <c r="C1015" i="41"/>
  <c r="B1015" i="41" s="1"/>
  <c r="C1014" i="41"/>
  <c r="G1014" i="41" s="1"/>
  <c r="C1013" i="41"/>
  <c r="C1012" i="41"/>
  <c r="C1011" i="41"/>
  <c r="G1011" i="41" s="1"/>
  <c r="B1011" i="41"/>
  <c r="C1010" i="41"/>
  <c r="B1010" i="41" s="1"/>
  <c r="C1009" i="41"/>
  <c r="B1009" i="41" s="1"/>
  <c r="C1008" i="41"/>
  <c r="C1007" i="41"/>
  <c r="B1006" i="41"/>
  <c r="B1005" i="41"/>
  <c r="B1004" i="41"/>
  <c r="B1002" i="41"/>
  <c r="B1001" i="41"/>
  <c r="B1000" i="41"/>
  <c r="B999" i="41"/>
  <c r="B998" i="41"/>
  <c r="B997" i="41"/>
  <c r="B996" i="41"/>
  <c r="B995" i="41"/>
  <c r="B994" i="41"/>
  <c r="B993" i="41"/>
  <c r="B992" i="41"/>
  <c r="B991" i="41"/>
  <c r="B990" i="41"/>
  <c r="B989" i="41"/>
  <c r="B988" i="41"/>
  <c r="C987" i="41"/>
  <c r="B987" i="41" s="1"/>
  <c r="C986" i="41"/>
  <c r="B986" i="41" s="1"/>
  <c r="C985" i="41"/>
  <c r="C1003" i="41" s="1"/>
  <c r="B1003" i="41" s="1"/>
  <c r="B985" i="41"/>
  <c r="C984" i="41"/>
  <c r="B984" i="41" s="1"/>
  <c r="C983" i="41"/>
  <c r="B983" i="41" s="1"/>
  <c r="B977" i="41"/>
  <c r="B976" i="41"/>
  <c r="B975" i="41"/>
  <c r="B973" i="41"/>
  <c r="B972" i="41"/>
  <c r="B971" i="41"/>
  <c r="C970" i="41"/>
  <c r="C969" i="41"/>
  <c r="G969" i="41" s="1"/>
  <c r="B969" i="41"/>
  <c r="B968" i="41"/>
  <c r="B967" i="41"/>
  <c r="B966" i="41"/>
  <c r="C965" i="41"/>
  <c r="B965" i="41" s="1"/>
  <c r="B964" i="41"/>
  <c r="B963" i="41"/>
  <c r="B962" i="41"/>
  <c r="C961" i="41"/>
  <c r="C960" i="41"/>
  <c r="B960" i="41" s="1"/>
  <c r="B959" i="41"/>
  <c r="C954" i="41"/>
  <c r="G954" i="41" s="1"/>
  <c r="B953" i="41"/>
  <c r="C951" i="41"/>
  <c r="B951" i="41" s="1"/>
  <c r="B950" i="41"/>
  <c r="C949" i="41"/>
  <c r="C948" i="41"/>
  <c r="C947" i="41"/>
  <c r="C946" i="41"/>
  <c r="B946" i="41" s="1"/>
  <c r="C945" i="41"/>
  <c r="B945" i="41" s="1"/>
  <c r="C944" i="41"/>
  <c r="B944" i="41" s="1"/>
  <c r="C943" i="41"/>
  <c r="B943" i="41" s="1"/>
  <c r="C942" i="41"/>
  <c r="B942" i="41" s="1"/>
  <c r="C941" i="41"/>
  <c r="B941" i="41" s="1"/>
  <c r="C940" i="41"/>
  <c r="B940" i="41" s="1"/>
  <c r="B939" i="41"/>
  <c r="C938" i="41"/>
  <c r="B938" i="41" s="1"/>
  <c r="C937" i="41"/>
  <c r="B937" i="41" s="1"/>
  <c r="C936" i="41"/>
  <c r="G936" i="41" s="1"/>
  <c r="B936" i="41"/>
  <c r="C935" i="41"/>
  <c r="G935" i="41" s="1"/>
  <c r="C934" i="41"/>
  <c r="G934" i="41" s="1"/>
  <c r="B934" i="41"/>
  <c r="B928" i="41"/>
  <c r="C927" i="41"/>
  <c r="B927" i="41" s="1"/>
  <c r="B925" i="41"/>
  <c r="C924" i="41"/>
  <c r="B924" i="41" s="1"/>
  <c r="C923" i="41"/>
  <c r="B923" i="41" s="1"/>
  <c r="B922" i="41"/>
  <c r="C917" i="41"/>
  <c r="B917" i="41"/>
  <c r="B916" i="41"/>
  <c r="C914" i="41"/>
  <c r="B913" i="41"/>
  <c r="C912" i="41"/>
  <c r="C911" i="41"/>
  <c r="B911" i="41"/>
  <c r="C910" i="41"/>
  <c r="B910" i="41" s="1"/>
  <c r="C909" i="41"/>
  <c r="B909" i="41" s="1"/>
  <c r="C908" i="41"/>
  <c r="B908" i="41" s="1"/>
  <c r="C907" i="41"/>
  <c r="B907" i="41" s="1"/>
  <c r="C906" i="41"/>
  <c r="B906" i="41" s="1"/>
  <c r="C905" i="41"/>
  <c r="B905" i="41"/>
  <c r="C904" i="41"/>
  <c r="B904" i="41" s="1"/>
  <c r="C903" i="41"/>
  <c r="B903" i="41" s="1"/>
  <c r="B902" i="41"/>
  <c r="C901" i="41"/>
  <c r="G901" i="41" s="1"/>
  <c r="B901" i="41"/>
  <c r="C900" i="41"/>
  <c r="C899" i="41"/>
  <c r="C898" i="41"/>
  <c r="B898" i="41" s="1"/>
  <c r="C897" i="41"/>
  <c r="B897" i="41" s="1"/>
  <c r="B891" i="41"/>
  <c r="C890" i="41"/>
  <c r="B890" i="41" s="1"/>
  <c r="B888" i="41"/>
  <c r="C887" i="41"/>
  <c r="B887" i="41" s="1"/>
  <c r="C886" i="41"/>
  <c r="B885" i="41"/>
  <c r="C880" i="41"/>
  <c r="B880" i="41" s="1"/>
  <c r="B879" i="41"/>
  <c r="B877" i="41"/>
  <c r="B876" i="41"/>
  <c r="C875" i="41"/>
  <c r="B874" i="41"/>
  <c r="B873" i="41"/>
  <c r="B872" i="41"/>
  <c r="B871" i="41"/>
  <c r="B870" i="41"/>
  <c r="B869" i="41"/>
  <c r="B868" i="41"/>
  <c r="B867" i="41"/>
  <c r="B866" i="41"/>
  <c r="B865" i="41"/>
  <c r="B864" i="41"/>
  <c r="B863" i="41"/>
  <c r="B862" i="41"/>
  <c r="C861" i="41"/>
  <c r="B861" i="41" s="1"/>
  <c r="C860" i="41"/>
  <c r="B860" i="41" s="1"/>
  <c r="C859" i="41"/>
  <c r="C858" i="41"/>
  <c r="C857" i="41"/>
  <c r="C856" i="41"/>
  <c r="B856" i="41" s="1"/>
  <c r="C855" i="41"/>
  <c r="B855" i="41" s="1"/>
  <c r="C854" i="41"/>
  <c r="B854" i="41" s="1"/>
  <c r="C853" i="41"/>
  <c r="C852" i="41"/>
  <c r="B851" i="41"/>
  <c r="B850" i="41"/>
  <c r="B849" i="41"/>
  <c r="B848" i="41"/>
  <c r="B847" i="41"/>
  <c r="B846" i="41"/>
  <c r="B845" i="41"/>
  <c r="B844" i="41"/>
  <c r="B843" i="41"/>
  <c r="B842" i="41"/>
  <c r="B841" i="41"/>
  <c r="B840" i="41"/>
  <c r="B839" i="41"/>
  <c r="C838" i="41"/>
  <c r="B838" i="41" s="1"/>
  <c r="C837" i="41"/>
  <c r="C836" i="41"/>
  <c r="C835" i="41"/>
  <c r="B835" i="41" s="1"/>
  <c r="C834" i="41"/>
  <c r="B834" i="41" s="1"/>
  <c r="B828" i="41"/>
  <c r="B827" i="41"/>
  <c r="B826" i="41"/>
  <c r="B825" i="41"/>
  <c r="B824" i="41"/>
  <c r="C823" i="41"/>
  <c r="B823" i="41" s="1"/>
  <c r="C822" i="41"/>
  <c r="B821" i="41"/>
  <c r="B820" i="41"/>
  <c r="B819" i="41"/>
  <c r="B818" i="41"/>
  <c r="B817" i="41"/>
  <c r="C816" i="41"/>
  <c r="B816" i="41" s="1"/>
  <c r="C815" i="41"/>
  <c r="B815" i="41" s="1"/>
  <c r="B814" i="41"/>
  <c r="C809" i="41"/>
  <c r="G809" i="41" s="1"/>
  <c r="B809" i="41"/>
  <c r="B808" i="41"/>
  <c r="B806" i="41"/>
  <c r="B805" i="41"/>
  <c r="C804" i="41"/>
  <c r="G804" i="41" s="1"/>
  <c r="B804" i="41"/>
  <c r="B803" i="41"/>
  <c r="B802" i="41"/>
  <c r="B801" i="41"/>
  <c r="B800" i="41"/>
  <c r="B799" i="41"/>
  <c r="B798" i="41"/>
  <c r="B797" i="41"/>
  <c r="B796" i="41"/>
  <c r="B795" i="41"/>
  <c r="B794" i="41"/>
  <c r="B793" i="41"/>
  <c r="B792" i="41"/>
  <c r="B791" i="41"/>
  <c r="C790" i="41"/>
  <c r="C789" i="41"/>
  <c r="G789" i="41" s="1"/>
  <c r="B789" i="41"/>
  <c r="C788" i="41"/>
  <c r="C787" i="41"/>
  <c r="C786" i="41"/>
  <c r="B786" i="41"/>
  <c r="C785" i="41"/>
  <c r="B785" i="41" s="1"/>
  <c r="C784" i="41"/>
  <c r="B784" i="41" s="1"/>
  <c r="C783" i="41"/>
  <c r="B783" i="41" s="1"/>
  <c r="C782" i="41"/>
  <c r="B782" i="41" s="1"/>
  <c r="C781" i="41"/>
  <c r="B781" i="41"/>
  <c r="B780" i="41"/>
  <c r="B779" i="41"/>
  <c r="B778" i="41"/>
  <c r="B777" i="41"/>
  <c r="B776" i="41"/>
  <c r="B775" i="41"/>
  <c r="B774" i="41"/>
  <c r="B773" i="41"/>
  <c r="B772" i="41"/>
  <c r="B771" i="41"/>
  <c r="B770" i="41"/>
  <c r="B769" i="41"/>
  <c r="B768" i="41"/>
  <c r="C767" i="41"/>
  <c r="B767" i="41" s="1"/>
  <c r="C766" i="41"/>
  <c r="B766" i="41"/>
  <c r="C765" i="41"/>
  <c r="B765" i="41" s="1"/>
  <c r="C764" i="41"/>
  <c r="B764" i="41" s="1"/>
  <c r="C763" i="41"/>
  <c r="B763" i="41" s="1"/>
  <c r="B757" i="41"/>
  <c r="B756" i="41"/>
  <c r="B755" i="41"/>
  <c r="B754" i="41"/>
  <c r="B753" i="41"/>
  <c r="C752" i="41"/>
  <c r="B752" i="41" s="1"/>
  <c r="C751" i="41"/>
  <c r="B751" i="41" s="1"/>
  <c r="B750" i="41"/>
  <c r="B749" i="41"/>
  <c r="B748" i="41"/>
  <c r="B747" i="41"/>
  <c r="B746" i="41"/>
  <c r="C745" i="41"/>
  <c r="B745" i="41" s="1"/>
  <c r="C744" i="41"/>
  <c r="B744" i="41"/>
  <c r="B743" i="41"/>
  <c r="C738" i="41"/>
  <c r="C739" i="41" s="1"/>
  <c r="B737" i="41"/>
  <c r="B735" i="41"/>
  <c r="C734" i="41"/>
  <c r="B733" i="41"/>
  <c r="B732" i="41"/>
  <c r="B731" i="41"/>
  <c r="B730" i="41"/>
  <c r="B729" i="41"/>
  <c r="B728" i="41"/>
  <c r="C727" i="41"/>
  <c r="B727" i="41" s="1"/>
  <c r="C726" i="41"/>
  <c r="C725" i="41"/>
  <c r="C724" i="41"/>
  <c r="C723" i="41"/>
  <c r="B723" i="41" s="1"/>
  <c r="C722" i="41"/>
  <c r="B722" i="41" s="1"/>
  <c r="C721" i="41"/>
  <c r="B721" i="41"/>
  <c r="C720" i="41"/>
  <c r="B720" i="41" s="1"/>
  <c r="C719" i="41"/>
  <c r="B719" i="41" s="1"/>
  <c r="C718" i="41"/>
  <c r="B718" i="41" s="1"/>
  <c r="B717" i="41"/>
  <c r="B716" i="41"/>
  <c r="B715" i="41"/>
  <c r="B714" i="41"/>
  <c r="B713" i="41"/>
  <c r="B712" i="41"/>
  <c r="C711" i="41"/>
  <c r="B711" i="41" s="1"/>
  <c r="C710" i="41"/>
  <c r="G710" i="41" s="1"/>
  <c r="B710" i="41"/>
  <c r="C709" i="41"/>
  <c r="B709" i="41" s="1"/>
  <c r="C708" i="41"/>
  <c r="B708" i="41" s="1"/>
  <c r="C707" i="41"/>
  <c r="B707" i="41"/>
  <c r="B701" i="41"/>
  <c r="B700" i="41"/>
  <c r="C699" i="41"/>
  <c r="B699" i="41" s="1"/>
  <c r="C698" i="41"/>
  <c r="B698" i="41" s="1"/>
  <c r="B697" i="41"/>
  <c r="B696" i="41"/>
  <c r="C695" i="41"/>
  <c r="B695" i="41" s="1"/>
  <c r="C694" i="41"/>
  <c r="B693" i="41"/>
  <c r="C688" i="41"/>
  <c r="B688" i="41" s="1"/>
  <c r="B687" i="41"/>
  <c r="B685" i="41"/>
  <c r="C684" i="41"/>
  <c r="B684" i="41" s="1"/>
  <c r="B683" i="41"/>
  <c r="B682" i="41"/>
  <c r="B681" i="41"/>
  <c r="B680" i="41"/>
  <c r="B679" i="41"/>
  <c r="B678" i="41"/>
  <c r="C677" i="41"/>
  <c r="G677" i="41" s="1"/>
  <c r="B677" i="41"/>
  <c r="C676" i="41"/>
  <c r="G676" i="41" s="1"/>
  <c r="B676" i="41"/>
  <c r="C675" i="41"/>
  <c r="B675" i="41" s="1"/>
  <c r="C674" i="41"/>
  <c r="B674" i="41" s="1"/>
  <c r="C673" i="41"/>
  <c r="B673" i="41" s="1"/>
  <c r="C672" i="41"/>
  <c r="B672" i="41" s="1"/>
  <c r="C671" i="41"/>
  <c r="C670" i="41"/>
  <c r="B670" i="41"/>
  <c r="C669" i="41"/>
  <c r="B669" i="41"/>
  <c r="C668" i="41"/>
  <c r="B668" i="41" s="1"/>
  <c r="B667" i="41"/>
  <c r="B666" i="41"/>
  <c r="B665" i="41"/>
  <c r="B664" i="41"/>
  <c r="B663" i="41"/>
  <c r="B662" i="41"/>
  <c r="C661" i="41"/>
  <c r="G661" i="41" s="1"/>
  <c r="B661" i="41"/>
  <c r="C660" i="41"/>
  <c r="C659" i="41"/>
  <c r="B659" i="41" s="1"/>
  <c r="C658" i="41"/>
  <c r="C657" i="41"/>
  <c r="B657" i="41" s="1"/>
  <c r="B651" i="41"/>
  <c r="B650" i="41"/>
  <c r="C649" i="41"/>
  <c r="B649" i="41" s="1"/>
  <c r="C648" i="41"/>
  <c r="B648" i="41" s="1"/>
  <c r="B647" i="41"/>
  <c r="B646" i="41"/>
  <c r="C645" i="41"/>
  <c r="C644" i="41"/>
  <c r="B643" i="41"/>
  <c r="C638" i="41"/>
  <c r="C639" i="41" s="1"/>
  <c r="C640" i="41" s="1"/>
  <c r="B640" i="41" s="1"/>
  <c r="B637" i="41"/>
  <c r="B635" i="41"/>
  <c r="B634" i="41"/>
  <c r="C633" i="41"/>
  <c r="B633" i="41" s="1"/>
  <c r="B632" i="41"/>
  <c r="B631" i="41"/>
  <c r="B630" i="41"/>
  <c r="B629" i="41"/>
  <c r="B628" i="41"/>
  <c r="B627" i="41"/>
  <c r="B626" i="41"/>
  <c r="B625" i="41"/>
  <c r="B624" i="41"/>
  <c r="B623" i="41"/>
  <c r="B622" i="41"/>
  <c r="B621" i="41"/>
  <c r="B620" i="41"/>
  <c r="C619" i="41"/>
  <c r="B619" i="41" s="1"/>
  <c r="C618" i="41"/>
  <c r="B618" i="41" s="1"/>
  <c r="C617" i="41"/>
  <c r="B617" i="41" s="1"/>
  <c r="C616" i="41"/>
  <c r="B616" i="41" s="1"/>
  <c r="C615" i="41"/>
  <c r="B615" i="41" s="1"/>
  <c r="C614" i="41"/>
  <c r="C613" i="41"/>
  <c r="C612" i="41"/>
  <c r="G612" i="41" s="1"/>
  <c r="C611" i="41"/>
  <c r="B611" i="41" s="1"/>
  <c r="C610" i="41"/>
  <c r="B610" i="41" s="1"/>
  <c r="B609" i="41"/>
  <c r="B608" i="41"/>
  <c r="B607" i="41"/>
  <c r="B606" i="41"/>
  <c r="B605" i="41"/>
  <c r="B604" i="41"/>
  <c r="B603" i="41"/>
  <c r="B602" i="41"/>
  <c r="B601" i="41"/>
  <c r="B600" i="41"/>
  <c r="B599" i="41"/>
  <c r="B598" i="41"/>
  <c r="B597" i="41"/>
  <c r="C596" i="41"/>
  <c r="G596" i="41" s="1"/>
  <c r="C595" i="41"/>
  <c r="B595" i="41" s="1"/>
  <c r="C594" i="41"/>
  <c r="G594" i="41" s="1"/>
  <c r="B594" i="41"/>
  <c r="C593" i="41"/>
  <c r="B593" i="41" s="1"/>
  <c r="C592" i="41"/>
  <c r="B592" i="41" s="1"/>
  <c r="B586" i="41"/>
  <c r="B585" i="41"/>
  <c r="B584" i="41"/>
  <c r="B583" i="41"/>
  <c r="B582" i="41"/>
  <c r="C581" i="41"/>
  <c r="B581" i="41" s="1"/>
  <c r="C580" i="41"/>
  <c r="B579" i="41"/>
  <c r="B578" i="41"/>
  <c r="B577" i="41"/>
  <c r="B576" i="41"/>
  <c r="B575" i="41"/>
  <c r="C574" i="41"/>
  <c r="B574" i="41" s="1"/>
  <c r="C573" i="41"/>
  <c r="B573" i="41" s="1"/>
  <c r="B572" i="41"/>
  <c r="C567" i="41"/>
  <c r="G567" i="41" s="1"/>
  <c r="B566" i="41"/>
  <c r="B564" i="41"/>
  <c r="B563" i="41"/>
  <c r="C562" i="41"/>
  <c r="B562" i="41"/>
  <c r="B561" i="41"/>
  <c r="B560" i="41"/>
  <c r="B559" i="41"/>
  <c r="B558" i="41"/>
  <c r="B557" i="41"/>
  <c r="B556" i="41"/>
  <c r="B555" i="41"/>
  <c r="B554" i="41"/>
  <c r="B553" i="41"/>
  <c r="B552" i="41"/>
  <c r="B551" i="41"/>
  <c r="B550" i="41"/>
  <c r="B549" i="41"/>
  <c r="C548" i="41"/>
  <c r="C547" i="41"/>
  <c r="B547" i="41" s="1"/>
  <c r="C546" i="41"/>
  <c r="B546" i="41" s="1"/>
  <c r="C545" i="41"/>
  <c r="B545" i="41"/>
  <c r="C544" i="41"/>
  <c r="B544" i="41" s="1"/>
  <c r="C543" i="41"/>
  <c r="B543" i="41" s="1"/>
  <c r="C542" i="41"/>
  <c r="B542" i="41" s="1"/>
  <c r="C541" i="41"/>
  <c r="G541" i="41" s="1"/>
  <c r="B541" i="41"/>
  <c r="C540" i="41"/>
  <c r="G540" i="41" s="1"/>
  <c r="B540" i="41"/>
  <c r="C539" i="41"/>
  <c r="B539" i="41" s="1"/>
  <c r="B538" i="41"/>
  <c r="B537" i="41"/>
  <c r="B536" i="41"/>
  <c r="B535" i="41"/>
  <c r="B534" i="41"/>
  <c r="B533" i="41"/>
  <c r="B532" i="41"/>
  <c r="B531" i="41"/>
  <c r="B530" i="41"/>
  <c r="B529" i="41"/>
  <c r="B528" i="41"/>
  <c r="B527" i="41"/>
  <c r="B526" i="41"/>
  <c r="C525" i="41"/>
  <c r="B525" i="41" s="1"/>
  <c r="C524" i="41"/>
  <c r="B524" i="41" s="1"/>
  <c r="C523" i="41"/>
  <c r="B523" i="41" s="1"/>
  <c r="C522" i="41"/>
  <c r="B522" i="41" s="1"/>
  <c r="C521" i="41"/>
  <c r="B521" i="41" s="1"/>
  <c r="B515" i="41"/>
  <c r="B514" i="41"/>
  <c r="B513" i="41"/>
  <c r="B512" i="41"/>
  <c r="B511" i="41"/>
  <c r="C510" i="41"/>
  <c r="B510" i="41" s="1"/>
  <c r="C509" i="41"/>
  <c r="B509" i="41" s="1"/>
  <c r="B508" i="41"/>
  <c r="B507" i="41"/>
  <c r="B506" i="41"/>
  <c r="B505" i="41"/>
  <c r="B504" i="41"/>
  <c r="C503" i="41"/>
  <c r="B503" i="41" s="1"/>
  <c r="C502" i="41"/>
  <c r="B501" i="41"/>
  <c r="C496" i="41"/>
  <c r="B496" i="41" s="1"/>
  <c r="B495" i="41"/>
  <c r="B493" i="41"/>
  <c r="B492" i="41"/>
  <c r="C491" i="41"/>
  <c r="B491" i="41" s="1"/>
  <c r="B490" i="41"/>
  <c r="B489" i="41"/>
  <c r="B488" i="41"/>
  <c r="B487" i="41"/>
  <c r="B486" i="41"/>
  <c r="B485" i="41"/>
  <c r="B484" i="41"/>
  <c r="B483" i="41"/>
  <c r="B482" i="41"/>
  <c r="B481" i="41"/>
  <c r="B480" i="41"/>
  <c r="B479" i="41"/>
  <c r="B478" i="41"/>
  <c r="C477" i="41"/>
  <c r="B477" i="41" s="1"/>
  <c r="C476" i="41"/>
  <c r="B476" i="41" s="1"/>
  <c r="C475" i="41"/>
  <c r="B475" i="41" s="1"/>
  <c r="C474" i="41"/>
  <c r="B474" i="41"/>
  <c r="C473" i="41"/>
  <c r="B473" i="41" s="1"/>
  <c r="C472" i="41"/>
  <c r="G472" i="41" s="1"/>
  <c r="C471" i="41"/>
  <c r="B471" i="41" s="1"/>
  <c r="C470" i="41"/>
  <c r="C469" i="41"/>
  <c r="G469" i="41" s="1"/>
  <c r="B469" i="41"/>
  <c r="C468" i="41"/>
  <c r="B467" i="41"/>
  <c r="B466" i="41"/>
  <c r="B465" i="41"/>
  <c r="B464" i="41"/>
  <c r="B463" i="41"/>
  <c r="B462" i="41"/>
  <c r="B461" i="41"/>
  <c r="B460" i="41"/>
  <c r="B459" i="41"/>
  <c r="B458" i="41"/>
  <c r="B457" i="41"/>
  <c r="B456" i="41"/>
  <c r="B455" i="41"/>
  <c r="C454" i="41"/>
  <c r="C453" i="41"/>
  <c r="C452" i="41"/>
  <c r="C451" i="41"/>
  <c r="B451" i="41" s="1"/>
  <c r="C450" i="41"/>
  <c r="B450" i="41" s="1"/>
  <c r="B444" i="41"/>
  <c r="B443" i="41"/>
  <c r="B442" i="41"/>
  <c r="B441" i="41"/>
  <c r="B440" i="41"/>
  <c r="C439" i="41"/>
  <c r="B439" i="41" s="1"/>
  <c r="C438" i="41"/>
  <c r="B437" i="41"/>
  <c r="B436" i="41"/>
  <c r="B435" i="41"/>
  <c r="B434" i="41"/>
  <c r="B433" i="41"/>
  <c r="C432" i="41"/>
  <c r="B432" i="41" s="1"/>
  <c r="C431" i="41"/>
  <c r="B431" i="41" s="1"/>
  <c r="B430" i="41"/>
  <c r="C425" i="41"/>
  <c r="C426" i="41" s="1"/>
  <c r="G426" i="41" s="1"/>
  <c r="B425" i="41"/>
  <c r="B424" i="41"/>
  <c r="B422" i="41"/>
  <c r="B421" i="41"/>
  <c r="C420" i="41"/>
  <c r="B420" i="41" s="1"/>
  <c r="B419" i="41"/>
  <c r="B418" i="41"/>
  <c r="B417" i="41"/>
  <c r="B416" i="41"/>
  <c r="B415" i="41"/>
  <c r="B414" i="41"/>
  <c r="B413" i="41"/>
  <c r="B412" i="41"/>
  <c r="B411" i="41"/>
  <c r="B410" i="41"/>
  <c r="B409" i="41"/>
  <c r="B408" i="41"/>
  <c r="B407" i="41"/>
  <c r="C406" i="41"/>
  <c r="B406" i="41" s="1"/>
  <c r="C405" i="41"/>
  <c r="G405" i="41" s="1"/>
  <c r="C404" i="41"/>
  <c r="G404" i="41" s="1"/>
  <c r="B404" i="41"/>
  <c r="C403" i="41"/>
  <c r="B403" i="41" s="1"/>
  <c r="C402" i="41"/>
  <c r="B402" i="41" s="1"/>
  <c r="C401" i="41"/>
  <c r="B401" i="41" s="1"/>
  <c r="C400" i="41"/>
  <c r="B400" i="41" s="1"/>
  <c r="C399" i="41"/>
  <c r="B399" i="41" s="1"/>
  <c r="C398" i="41"/>
  <c r="B398" i="41" s="1"/>
  <c r="C397" i="41"/>
  <c r="G397" i="41" s="1"/>
  <c r="B397" i="41"/>
  <c r="B396" i="41"/>
  <c r="B395" i="41"/>
  <c r="B394" i="41"/>
  <c r="B393" i="41"/>
  <c r="B392" i="41"/>
  <c r="B391" i="41"/>
  <c r="B390" i="41"/>
  <c r="B389" i="41"/>
  <c r="B388" i="41"/>
  <c r="B387" i="41"/>
  <c r="B386" i="41"/>
  <c r="B385" i="41"/>
  <c r="B384" i="41"/>
  <c r="C383" i="41"/>
  <c r="B383" i="41" s="1"/>
  <c r="C382" i="41"/>
  <c r="B382" i="41" s="1"/>
  <c r="C381" i="41"/>
  <c r="B381" i="41" s="1"/>
  <c r="C380" i="41"/>
  <c r="B380" i="41" s="1"/>
  <c r="C379" i="41"/>
  <c r="B379" i="41" s="1"/>
  <c r="B373" i="41"/>
  <c r="B372" i="41"/>
  <c r="B371" i="41"/>
  <c r="B370" i="41"/>
  <c r="B369" i="41"/>
  <c r="C368" i="41"/>
  <c r="B368" i="41" s="1"/>
  <c r="C367" i="41"/>
  <c r="B367" i="41" s="1"/>
  <c r="B366" i="41"/>
  <c r="B365" i="41"/>
  <c r="B364" i="41"/>
  <c r="B363" i="41"/>
  <c r="B362" i="41"/>
  <c r="C361" i="41"/>
  <c r="B361" i="41" s="1"/>
  <c r="C360" i="41"/>
  <c r="G360" i="41" s="1"/>
  <c r="B360" i="41"/>
  <c r="B359" i="41"/>
  <c r="C354" i="41"/>
  <c r="G354" i="41" s="1"/>
  <c r="B353" i="41"/>
  <c r="C351" i="41"/>
  <c r="B351" i="41" s="1"/>
  <c r="B350" i="41"/>
  <c r="C349" i="41"/>
  <c r="G349" i="41" s="1"/>
  <c r="B349" i="41"/>
  <c r="C348" i="41"/>
  <c r="B348" i="41" s="1"/>
  <c r="C347" i="41"/>
  <c r="G347" i="41" s="1"/>
  <c r="C346" i="41"/>
  <c r="G346" i="41" s="1"/>
  <c r="B346" i="41"/>
  <c r="C345" i="41"/>
  <c r="G345" i="41" s="1"/>
  <c r="B345" i="41"/>
  <c r="C344" i="41"/>
  <c r="B344" i="41" s="1"/>
  <c r="C343" i="41"/>
  <c r="G343" i="41" s="1"/>
  <c r="B343" i="41"/>
  <c r="C342" i="41"/>
  <c r="C341" i="41"/>
  <c r="B341" i="41" s="1"/>
  <c r="C340" i="41"/>
  <c r="B340" i="41" s="1"/>
  <c r="B339" i="41"/>
  <c r="C338" i="41"/>
  <c r="C337" i="41"/>
  <c r="C336" i="41"/>
  <c r="B336" i="41" s="1"/>
  <c r="C335" i="41"/>
  <c r="B335" i="41" s="1"/>
  <c r="C334" i="41"/>
  <c r="B334" i="41"/>
  <c r="B328" i="41"/>
  <c r="C327" i="41"/>
  <c r="B327" i="41" s="1"/>
  <c r="B325" i="41"/>
  <c r="C324" i="41"/>
  <c r="C323" i="41"/>
  <c r="B323" i="41" s="1"/>
  <c r="B322" i="41"/>
  <c r="C317" i="41"/>
  <c r="C326" i="41" s="1"/>
  <c r="B316" i="41"/>
  <c r="C314" i="41"/>
  <c r="B314" i="41" s="1"/>
  <c r="B313" i="41"/>
  <c r="C312" i="41"/>
  <c r="B312" i="41" s="1"/>
  <c r="C311" i="41"/>
  <c r="B311" i="41" s="1"/>
  <c r="C310" i="41"/>
  <c r="C309" i="41"/>
  <c r="C308" i="41"/>
  <c r="C307" i="41"/>
  <c r="G307" i="41" s="1"/>
  <c r="B307" i="41"/>
  <c r="C306" i="41"/>
  <c r="B306" i="41" s="1"/>
  <c r="C305" i="41"/>
  <c r="B305" i="41" s="1"/>
  <c r="C304" i="41"/>
  <c r="B304" i="41" s="1"/>
  <c r="C303" i="41"/>
  <c r="B303" i="41" s="1"/>
  <c r="B302" i="41"/>
  <c r="C301" i="41"/>
  <c r="B301" i="41" s="1"/>
  <c r="C300" i="41"/>
  <c r="B300" i="41" s="1"/>
  <c r="C299" i="41"/>
  <c r="B299" i="41" s="1"/>
  <c r="C298" i="41"/>
  <c r="B298" i="41"/>
  <c r="C297" i="41"/>
  <c r="B291" i="41"/>
  <c r="C290" i="41"/>
  <c r="B290" i="41" s="1"/>
  <c r="B288" i="41"/>
  <c r="C287" i="41"/>
  <c r="B287" i="41" s="1"/>
  <c r="C286" i="41"/>
  <c r="B286" i="41" s="1"/>
  <c r="B285" i="41"/>
  <c r="C280" i="41"/>
  <c r="B280" i="41" s="1"/>
  <c r="B279" i="41"/>
  <c r="C277" i="41"/>
  <c r="B276" i="41"/>
  <c r="C275" i="41"/>
  <c r="B275" i="41" s="1"/>
  <c r="B274" i="41"/>
  <c r="C273" i="41"/>
  <c r="B273" i="41" s="1"/>
  <c r="C272" i="41"/>
  <c r="B272" i="41" s="1"/>
  <c r="B271" i="41"/>
  <c r="B270" i="41"/>
  <c r="B269" i="41"/>
  <c r="B268" i="41"/>
  <c r="B267" i="41"/>
  <c r="B266" i="41"/>
  <c r="B265" i="41"/>
  <c r="B264" i="41"/>
  <c r="B263" i="41"/>
  <c r="B262" i="41"/>
  <c r="C261" i="41"/>
  <c r="G261" i="41" s="1"/>
  <c r="B261" i="41"/>
  <c r="C260" i="41"/>
  <c r="B260" i="41" s="1"/>
  <c r="C259" i="41"/>
  <c r="B259" i="41" s="1"/>
  <c r="C258" i="41"/>
  <c r="B258" i="41" s="1"/>
  <c r="C257" i="41"/>
  <c r="B257" i="41" s="1"/>
  <c r="C256" i="41"/>
  <c r="B256" i="41" s="1"/>
  <c r="C255" i="41"/>
  <c r="B255" i="41" s="1"/>
  <c r="C254" i="41"/>
  <c r="B254" i="41" s="1"/>
  <c r="C253" i="41"/>
  <c r="B253" i="41" s="1"/>
  <c r="C252" i="41"/>
  <c r="B252" i="41" s="1"/>
  <c r="B251" i="41"/>
  <c r="C250" i="41"/>
  <c r="B250" i="41" s="1"/>
  <c r="C249" i="41"/>
  <c r="G249" i="41" s="1"/>
  <c r="B249" i="41"/>
  <c r="B248" i="41"/>
  <c r="B247" i="41"/>
  <c r="B246" i="41"/>
  <c r="B245" i="41"/>
  <c r="B244" i="41"/>
  <c r="B243" i="41"/>
  <c r="B242" i="41"/>
  <c r="B241" i="41"/>
  <c r="B240" i="41"/>
  <c r="B239" i="41"/>
  <c r="C238" i="41"/>
  <c r="B238" i="41" s="1"/>
  <c r="C237" i="41"/>
  <c r="B237" i="41" s="1"/>
  <c r="C236" i="41"/>
  <c r="B236" i="41" s="1"/>
  <c r="C235" i="41"/>
  <c r="B235" i="41" s="1"/>
  <c r="C234" i="41"/>
  <c r="G234" i="41" s="1"/>
  <c r="B234" i="41"/>
  <c r="B228" i="41"/>
  <c r="C227" i="41"/>
  <c r="B227" i="41" s="1"/>
  <c r="C226" i="41"/>
  <c r="B226" i="41" s="1"/>
  <c r="B225" i="41"/>
  <c r="B224" i="41"/>
  <c r="C223" i="41"/>
  <c r="B223" i="41" s="1"/>
  <c r="C222" i="41"/>
  <c r="B222" i="41" s="1"/>
  <c r="B221" i="41"/>
  <c r="C220" i="41"/>
  <c r="B220" i="41" s="1"/>
  <c r="C219" i="41"/>
  <c r="B219" i="41" s="1"/>
  <c r="B218" i="41"/>
  <c r="B217" i="41"/>
  <c r="C216" i="41"/>
  <c r="B216" i="41" s="1"/>
  <c r="C215" i="41"/>
  <c r="B215" i="41" s="1"/>
  <c r="B214" i="41"/>
  <c r="C209" i="41"/>
  <c r="C210" i="41" s="1"/>
  <c r="G210" i="41" s="1"/>
  <c r="B208" i="41"/>
  <c r="B207" i="41"/>
  <c r="B206" i="41"/>
  <c r="C205" i="41"/>
  <c r="B205" i="41" s="1"/>
  <c r="B204" i="41"/>
  <c r="B203" i="41"/>
  <c r="B202" i="41"/>
  <c r="B201" i="41"/>
  <c r="B200" i="41"/>
  <c r="B199" i="41"/>
  <c r="C198" i="41"/>
  <c r="C197" i="41"/>
  <c r="C196" i="41"/>
  <c r="G196" i="41" s="1"/>
  <c r="B196" i="41"/>
  <c r="C195" i="41"/>
  <c r="B195" i="41" s="1"/>
  <c r="C194" i="41"/>
  <c r="B194" i="41" s="1"/>
  <c r="C193" i="41"/>
  <c r="B193" i="41" s="1"/>
  <c r="C192" i="41"/>
  <c r="B192" i="41" s="1"/>
  <c r="C191" i="41"/>
  <c r="B191" i="41" s="1"/>
  <c r="C190" i="41"/>
  <c r="B190" i="41" s="1"/>
  <c r="C189" i="41"/>
  <c r="B188" i="41"/>
  <c r="B187" i="41"/>
  <c r="B186" i="41"/>
  <c r="B185" i="41"/>
  <c r="B184" i="41"/>
  <c r="B183" i="41"/>
  <c r="C182" i="41"/>
  <c r="C181" i="41"/>
  <c r="C180" i="41"/>
  <c r="C179" i="41"/>
  <c r="B179" i="41" s="1"/>
  <c r="C178" i="41"/>
  <c r="B178" i="41" s="1"/>
  <c r="C176" i="41"/>
  <c r="B176" i="41" s="1"/>
  <c r="B172" i="41"/>
  <c r="B171" i="41"/>
  <c r="C170" i="41"/>
  <c r="B168" i="41"/>
  <c r="B167" i="41"/>
  <c r="C166" i="41"/>
  <c r="C165" i="41"/>
  <c r="B164" i="41"/>
  <c r="C159" i="41"/>
  <c r="C160" i="41" s="1"/>
  <c r="C161" i="41" s="1"/>
  <c r="C162" i="41" s="1"/>
  <c r="B158" i="41"/>
  <c r="B157" i="41"/>
  <c r="B156" i="41"/>
  <c r="C155" i="41"/>
  <c r="B155" i="41" s="1"/>
  <c r="B154" i="41"/>
  <c r="C153" i="41"/>
  <c r="B153" i="41" s="1"/>
  <c r="C152" i="41"/>
  <c r="B152" i="41" s="1"/>
  <c r="C151" i="41"/>
  <c r="B151" i="41" s="1"/>
  <c r="C150" i="41"/>
  <c r="C149" i="41"/>
  <c r="C148" i="41"/>
  <c r="G148" i="41" s="1"/>
  <c r="B148" i="41"/>
  <c r="C147" i="41"/>
  <c r="C146" i="41"/>
  <c r="B146" i="41" s="1"/>
  <c r="C145" i="41"/>
  <c r="B145" i="41" s="1"/>
  <c r="C144" i="41"/>
  <c r="B144" i="41"/>
  <c r="B143" i="41"/>
  <c r="C142" i="41"/>
  <c r="B142" i="41" s="1"/>
  <c r="C141" i="41"/>
  <c r="B141" i="41" s="1"/>
  <c r="C140" i="41"/>
  <c r="B140" i="41" s="1"/>
  <c r="C139" i="41"/>
  <c r="B139" i="41" s="1"/>
  <c r="C138" i="41"/>
  <c r="B138" i="41" s="1"/>
  <c r="B132" i="41"/>
  <c r="C131" i="41"/>
  <c r="G131" i="41" s="1"/>
  <c r="B131" i="41"/>
  <c r="B129" i="41"/>
  <c r="C128" i="41"/>
  <c r="B128" i="41" s="1"/>
  <c r="C127" i="41"/>
  <c r="B127" i="41" s="1"/>
  <c r="B126" i="41"/>
  <c r="C121" i="41"/>
  <c r="C130" i="41" s="1"/>
  <c r="B130" i="41" s="1"/>
  <c r="B120" i="41"/>
  <c r="B119" i="41"/>
  <c r="B118" i="41"/>
  <c r="C117" i="41"/>
  <c r="B116" i="41"/>
  <c r="C115" i="41"/>
  <c r="B115" i="41" s="1"/>
  <c r="C114" i="41"/>
  <c r="B114" i="41" s="1"/>
  <c r="C113" i="41"/>
  <c r="B113" i="41" s="1"/>
  <c r="C112" i="41"/>
  <c r="G112" i="41" s="1"/>
  <c r="B112" i="41"/>
  <c r="C111" i="41"/>
  <c r="B111" i="41" s="1"/>
  <c r="C110" i="41"/>
  <c r="B110" i="41" s="1"/>
  <c r="C109" i="41"/>
  <c r="B109" i="41" s="1"/>
  <c r="C108" i="41"/>
  <c r="B108" i="41" s="1"/>
  <c r="C107" i="41"/>
  <c r="B107" i="41" s="1"/>
  <c r="C106" i="41"/>
  <c r="B106" i="41" s="1"/>
  <c r="B105" i="41"/>
  <c r="C104" i="41"/>
  <c r="G104" i="41" s="1"/>
  <c r="B104" i="41"/>
  <c r="C103" i="41"/>
  <c r="B103" i="41"/>
  <c r="C102" i="41"/>
  <c r="B102" i="41" s="1"/>
  <c r="C101" i="41"/>
  <c r="C100" i="41"/>
  <c r="B94" i="41"/>
  <c r="C93" i="41"/>
  <c r="B91" i="41"/>
  <c r="C90" i="41"/>
  <c r="B90" i="41" s="1"/>
  <c r="C89" i="41"/>
  <c r="B89" i="41" s="1"/>
  <c r="B88" i="41"/>
  <c r="C83" i="41"/>
  <c r="C92" i="41" s="1"/>
  <c r="B92" i="41" s="1"/>
  <c r="B83" i="41"/>
  <c r="B82" i="41"/>
  <c r="B81" i="41"/>
  <c r="B80" i="41"/>
  <c r="C79" i="41"/>
  <c r="B79" i="41"/>
  <c r="B78" i="41"/>
  <c r="C77" i="41"/>
  <c r="G77" i="41" s="1"/>
  <c r="B77" i="41"/>
  <c r="C76" i="41"/>
  <c r="G76" i="41" s="1"/>
  <c r="B76" i="41"/>
  <c r="C75" i="41"/>
  <c r="G75" i="41" s="1"/>
  <c r="C74" i="41"/>
  <c r="B74" i="41" s="1"/>
  <c r="C73" i="41"/>
  <c r="B73" i="41" s="1"/>
  <c r="C72" i="41"/>
  <c r="B72" i="41" s="1"/>
  <c r="C71" i="41"/>
  <c r="B71" i="41"/>
  <c r="C70" i="41"/>
  <c r="C69" i="41"/>
  <c r="B69" i="41" s="1"/>
  <c r="C68" i="41"/>
  <c r="G68" i="41" s="1"/>
  <c r="B67" i="41"/>
  <c r="C66" i="41"/>
  <c r="B66" i="41" s="1"/>
  <c r="C65" i="41"/>
  <c r="G65" i="41" s="1"/>
  <c r="B65" i="41"/>
  <c r="C64" i="41"/>
  <c r="G64" i="41" s="1"/>
  <c r="B64" i="41"/>
  <c r="C63" i="41"/>
  <c r="C62" i="41"/>
  <c r="B62" i="41" s="1"/>
  <c r="B56" i="41"/>
  <c r="C55" i="41"/>
  <c r="B55" i="41" s="1"/>
  <c r="B53" i="41"/>
  <c r="C52" i="41"/>
  <c r="C51" i="41"/>
  <c r="B51" i="41" s="1"/>
  <c r="B50" i="41"/>
  <c r="C45" i="41"/>
  <c r="B44" i="41"/>
  <c r="B43" i="41"/>
  <c r="B42" i="41"/>
  <c r="C41" i="41"/>
  <c r="B40" i="41"/>
  <c r="C39" i="41"/>
  <c r="G39" i="41" s="1"/>
  <c r="B39" i="41"/>
  <c r="C38" i="41"/>
  <c r="C37" i="41"/>
  <c r="C36" i="41"/>
  <c r="C35" i="41"/>
  <c r="B35" i="41"/>
  <c r="C34" i="41"/>
  <c r="B34" i="41" s="1"/>
  <c r="C33" i="41"/>
  <c r="B33" i="41" s="1"/>
  <c r="C32" i="41"/>
  <c r="B32" i="41"/>
  <c r="C31" i="41"/>
  <c r="B31" i="41"/>
  <c r="C30" i="41"/>
  <c r="B30" i="41" s="1"/>
  <c r="B29" i="41"/>
  <c r="C28" i="41"/>
  <c r="C27" i="41"/>
  <c r="C26" i="41"/>
  <c r="C25" i="41"/>
  <c r="B25" i="41" s="1"/>
  <c r="C24" i="41"/>
  <c r="B24" i="41"/>
  <c r="B18" i="41"/>
  <c r="C17" i="41"/>
  <c r="B17" i="41" s="1"/>
  <c r="B15" i="41"/>
  <c r="C14" i="41"/>
  <c r="B14" i="41" s="1"/>
  <c r="C13" i="41"/>
  <c r="B13" i="41"/>
  <c r="B12" i="41"/>
  <c r="C7" i="41"/>
  <c r="B6" i="41"/>
  <c r="H41" i="11"/>
  <c r="H39" i="11"/>
  <c r="H37" i="11"/>
  <c r="H35" i="11"/>
  <c r="H28" i="11"/>
  <c r="B1115" i="14"/>
  <c r="D37" i="35"/>
  <c r="H54" i="35"/>
  <c r="D51" i="35"/>
  <c r="BY1150" i="14"/>
  <c r="BX1150" i="14"/>
  <c r="BW1150" i="14"/>
  <c r="BV1150" i="14"/>
  <c r="BU1150" i="14"/>
  <c r="BT1150" i="14"/>
  <c r="BS1150" i="14"/>
  <c r="BR1150" i="14"/>
  <c r="BQ1150" i="14"/>
  <c r="BP1150" i="14"/>
  <c r="BO1150" i="14"/>
  <c r="BN1150" i="14"/>
  <c r="BM1150" i="14"/>
  <c r="BL1150" i="14"/>
  <c r="BK1150" i="14"/>
  <c r="BJ1150" i="14"/>
  <c r="BI1150" i="14"/>
  <c r="BH1150" i="14"/>
  <c r="BG1150" i="14"/>
  <c r="BF1150" i="14"/>
  <c r="BE1150" i="14"/>
  <c r="BD1150" i="14"/>
  <c r="BC1150" i="14"/>
  <c r="BB1150" i="14"/>
  <c r="BA1150" i="14"/>
  <c r="AZ1150" i="14"/>
  <c r="AY1150" i="14"/>
  <c r="AX1150" i="14"/>
  <c r="AW1150" i="14"/>
  <c r="AV1150" i="14"/>
  <c r="AU1150" i="14"/>
  <c r="AT1150" i="14"/>
  <c r="AS1150" i="14"/>
  <c r="AR1150" i="14"/>
  <c r="AQ1150" i="14"/>
  <c r="AP1150" i="14"/>
  <c r="AO1150" i="14"/>
  <c r="AN1150" i="14"/>
  <c r="AM1150" i="14"/>
  <c r="AL1150" i="14"/>
  <c r="AK1150" i="14"/>
  <c r="AJ1150" i="14"/>
  <c r="AI1150" i="14"/>
  <c r="AH1150" i="14"/>
  <c r="AG1150" i="14"/>
  <c r="AF1150" i="14"/>
  <c r="AE1150" i="14"/>
  <c r="AD1150" i="14"/>
  <c r="AC1150" i="14"/>
  <c r="AB1150" i="14"/>
  <c r="AA1150" i="14"/>
  <c r="Z1150" i="14"/>
  <c r="Y1150" i="14"/>
  <c r="X1150" i="14"/>
  <c r="W1150" i="14"/>
  <c r="V1150" i="14"/>
  <c r="U1150" i="14"/>
  <c r="T1150" i="14"/>
  <c r="S1150" i="14"/>
  <c r="R1150" i="14"/>
  <c r="Q1150" i="14"/>
  <c r="P1150" i="14"/>
  <c r="O1150" i="14"/>
  <c r="N1150" i="14"/>
  <c r="M1150" i="14"/>
  <c r="L1150" i="14"/>
  <c r="K1150" i="14"/>
  <c r="J1150" i="14"/>
  <c r="I1150" i="14"/>
  <c r="H1150" i="14"/>
  <c r="E91" i="33"/>
  <c r="C1138" i="14"/>
  <c r="AD13" i="35"/>
  <c r="AD15" i="35" s="1"/>
  <c r="AC13" i="35"/>
  <c r="AC15" i="35" s="1"/>
  <c r="AB13" i="35"/>
  <c r="AB15" i="35" s="1"/>
  <c r="AA13" i="35"/>
  <c r="Z13" i="35"/>
  <c r="Z15" i="35" s="1"/>
  <c r="Y13" i="35"/>
  <c r="Y15" i="35" s="1"/>
  <c r="X13" i="35"/>
  <c r="X15" i="35" s="1"/>
  <c r="W13" i="35"/>
  <c r="W15" i="35" s="1"/>
  <c r="V13" i="35"/>
  <c r="U13" i="35"/>
  <c r="T13" i="35"/>
  <c r="T15" i="35" s="1"/>
  <c r="S13" i="35"/>
  <c r="R13" i="35"/>
  <c r="R15" i="35" s="1"/>
  <c r="Q13" i="35"/>
  <c r="Q15" i="35" s="1"/>
  <c r="P13" i="35"/>
  <c r="P15" i="35" s="1"/>
  <c r="O13" i="35"/>
  <c r="N13" i="35"/>
  <c r="N15" i="35" s="1"/>
  <c r="M13" i="35"/>
  <c r="M15" i="35" s="1"/>
  <c r="L13" i="35"/>
  <c r="L15" i="35" s="1"/>
  <c r="K13" i="35"/>
  <c r="J13" i="35"/>
  <c r="J15" i="35" s="1"/>
  <c r="I13" i="35"/>
  <c r="I15" i="35" s="1"/>
  <c r="H13" i="35"/>
  <c r="H15" i="35" s="1"/>
  <c r="AD12" i="35"/>
  <c r="AC12" i="35"/>
  <c r="AB12" i="35"/>
  <c r="AA12" i="35"/>
  <c r="Z12" i="35"/>
  <c r="Y12" i="35"/>
  <c r="X12" i="35"/>
  <c r="W12" i="35"/>
  <c r="W21" i="35" s="1"/>
  <c r="W24" i="35" s="1"/>
  <c r="V12" i="35"/>
  <c r="U12" i="35"/>
  <c r="T12" i="35"/>
  <c r="S12" i="35"/>
  <c r="R12" i="35"/>
  <c r="Q12" i="35"/>
  <c r="P12" i="35"/>
  <c r="O12" i="35"/>
  <c r="N12" i="35"/>
  <c r="M12" i="35"/>
  <c r="L12" i="35"/>
  <c r="K12" i="35"/>
  <c r="J12" i="35"/>
  <c r="I12" i="35"/>
  <c r="H12" i="35"/>
  <c r="H19" i="35"/>
  <c r="AA33" i="36"/>
  <c r="Z33" i="36"/>
  <c r="Y33" i="36"/>
  <c r="X33" i="36"/>
  <c r="W33" i="36"/>
  <c r="V33" i="36"/>
  <c r="U33" i="36"/>
  <c r="T33" i="36"/>
  <c r="S33" i="36"/>
  <c r="R33" i="36"/>
  <c r="Q33" i="36"/>
  <c r="P33" i="36"/>
  <c r="O33" i="36"/>
  <c r="N33" i="36"/>
  <c r="M33" i="36"/>
  <c r="L33" i="36"/>
  <c r="K33" i="36"/>
  <c r="J33" i="36"/>
  <c r="I33" i="36"/>
  <c r="H33" i="36"/>
  <c r="G33" i="36"/>
  <c r="F33" i="36"/>
  <c r="E33" i="36"/>
  <c r="AA29" i="36"/>
  <c r="BH37" i="35" s="1"/>
  <c r="Z29" i="36"/>
  <c r="BG37" i="35" s="1"/>
  <c r="Y29" i="36"/>
  <c r="BF37" i="35" s="1"/>
  <c r="X29" i="36"/>
  <c r="BE37" i="35" s="1"/>
  <c r="W29" i="36"/>
  <c r="BD37" i="35" s="1"/>
  <c r="V29" i="36"/>
  <c r="BC37" i="35" s="1"/>
  <c r="U29" i="36"/>
  <c r="BB37" i="35" s="1"/>
  <c r="T29" i="36"/>
  <c r="BA37" i="35" s="1"/>
  <c r="S29" i="36"/>
  <c r="AZ37" i="35" s="1"/>
  <c r="R29" i="36"/>
  <c r="AY37" i="35" s="1"/>
  <c r="Q29" i="36"/>
  <c r="AX37" i="35" s="1"/>
  <c r="P29" i="36"/>
  <c r="AW37" i="35" s="1"/>
  <c r="O29" i="36"/>
  <c r="AV37" i="35" s="1"/>
  <c r="N29" i="36"/>
  <c r="AU37" i="35" s="1"/>
  <c r="M29" i="36"/>
  <c r="AT37" i="35" s="1"/>
  <c r="L29" i="36"/>
  <c r="AS37" i="35" s="1"/>
  <c r="K29" i="36"/>
  <c r="AR37" i="35" s="1"/>
  <c r="J29" i="36"/>
  <c r="AQ37" i="35" s="1"/>
  <c r="I29" i="36"/>
  <c r="AP37" i="35" s="1"/>
  <c r="H29" i="36"/>
  <c r="AO37" i="35" s="1"/>
  <c r="G29" i="36"/>
  <c r="AN37" i="35" s="1"/>
  <c r="F29" i="36"/>
  <c r="AM37" i="35" s="1"/>
  <c r="E29" i="36"/>
  <c r="AL37" i="35" s="1"/>
  <c r="AA21" i="36"/>
  <c r="Z21" i="36"/>
  <c r="Y21" i="36"/>
  <c r="X21" i="36"/>
  <c r="W21" i="36"/>
  <c r="V21" i="36"/>
  <c r="U21" i="36"/>
  <c r="T21" i="36"/>
  <c r="S21" i="36"/>
  <c r="R21" i="36"/>
  <c r="Q21" i="36"/>
  <c r="P21" i="36"/>
  <c r="O21" i="36"/>
  <c r="N21" i="36"/>
  <c r="M21" i="36"/>
  <c r="L21" i="36"/>
  <c r="K21" i="36"/>
  <c r="J21" i="36"/>
  <c r="I21" i="36"/>
  <c r="H21" i="36"/>
  <c r="G21" i="36"/>
  <c r="F21" i="36"/>
  <c r="E21" i="36"/>
  <c r="AD54" i="35"/>
  <c r="AC54" i="35"/>
  <c r="AB54" i="35"/>
  <c r="AA54" i="35"/>
  <c r="Z54" i="35"/>
  <c r="Y54" i="35"/>
  <c r="X54" i="35"/>
  <c r="W54" i="35"/>
  <c r="V54" i="35"/>
  <c r="U54" i="35"/>
  <c r="T54" i="35"/>
  <c r="S54" i="35"/>
  <c r="R54" i="35"/>
  <c r="Q54" i="35"/>
  <c r="P54" i="35"/>
  <c r="O54" i="35"/>
  <c r="N54" i="35"/>
  <c r="M54" i="35"/>
  <c r="L54" i="35"/>
  <c r="K54" i="35"/>
  <c r="J54" i="35"/>
  <c r="I54" i="35"/>
  <c r="D53" i="35"/>
  <c r="D52" i="35"/>
  <c r="F47" i="35"/>
  <c r="D47" i="35"/>
  <c r="D42" i="35"/>
  <c r="F41" i="35"/>
  <c r="D41" i="35"/>
  <c r="F37" i="35"/>
  <c r="AD34" i="35"/>
  <c r="AD35" i="35" s="1"/>
  <c r="AC34" i="35"/>
  <c r="AC35" i="35" s="1"/>
  <c r="AB34" i="35"/>
  <c r="AB35" i="35" s="1"/>
  <c r="AA34" i="35"/>
  <c r="Z34" i="35"/>
  <c r="Y34" i="35"/>
  <c r="Y35" i="35" s="1"/>
  <c r="X34" i="35"/>
  <c r="X35" i="35" s="1"/>
  <c r="W34" i="35"/>
  <c r="W35" i="35" s="1"/>
  <c r="V34" i="35"/>
  <c r="U34" i="35"/>
  <c r="U35" i="35" s="1"/>
  <c r="T34" i="35"/>
  <c r="T35" i="35" s="1"/>
  <c r="S34" i="35"/>
  <c r="S35" i="35" s="1"/>
  <c r="R34" i="35"/>
  <c r="R35" i="35" s="1"/>
  <c r="Q34" i="35"/>
  <c r="Q35" i="35" s="1"/>
  <c r="P34" i="35"/>
  <c r="P35" i="35" s="1"/>
  <c r="O34" i="35"/>
  <c r="N34" i="35"/>
  <c r="N35" i="35" s="1"/>
  <c r="M34" i="35"/>
  <c r="M35" i="35" s="1"/>
  <c r="L34" i="35"/>
  <c r="L35" i="35" s="1"/>
  <c r="K34" i="35"/>
  <c r="J34" i="35"/>
  <c r="I34" i="35"/>
  <c r="I35" i="35" s="1"/>
  <c r="H34" i="35"/>
  <c r="H35" i="35" s="1"/>
  <c r="Q17" i="26" s="1"/>
  <c r="Q18" i="26" s="1"/>
  <c r="F31" i="35"/>
  <c r="D26" i="35"/>
  <c r="S26" i="35" s="1"/>
  <c r="F23" i="35"/>
  <c r="D23" i="35"/>
  <c r="AD19" i="35"/>
  <c r="AD20" i="35" s="1"/>
  <c r="AC19" i="35"/>
  <c r="AC20" i="35" s="1"/>
  <c r="AB19" i="35"/>
  <c r="AA19" i="35"/>
  <c r="AA20" i="35" s="1"/>
  <c r="Z19" i="35"/>
  <c r="Y19" i="35"/>
  <c r="Y20" i="35" s="1"/>
  <c r="X19" i="35"/>
  <c r="W19" i="35"/>
  <c r="W20" i="35" s="1"/>
  <c r="V19" i="35"/>
  <c r="V20" i="35" s="1"/>
  <c r="U19" i="35"/>
  <c r="U20" i="35" s="1"/>
  <c r="T19" i="35"/>
  <c r="S19" i="35"/>
  <c r="S20" i="35" s="1"/>
  <c r="R19" i="35"/>
  <c r="Q19" i="35"/>
  <c r="Q20" i="35" s="1"/>
  <c r="P19" i="35"/>
  <c r="P20" i="35" s="1"/>
  <c r="O19" i="35"/>
  <c r="O20" i="35" s="1"/>
  <c r="N19" i="35"/>
  <c r="N20" i="35" s="1"/>
  <c r="M19" i="35"/>
  <c r="L19" i="35"/>
  <c r="K19" i="35"/>
  <c r="K20" i="35" s="1"/>
  <c r="J19" i="35"/>
  <c r="I19" i="35"/>
  <c r="I20" i="35" s="1"/>
  <c r="D14" i="35"/>
  <c r="AH14" i="35" s="1"/>
  <c r="D47" i="34"/>
  <c r="D45" i="34"/>
  <c r="B45" i="34"/>
  <c r="P42" i="34"/>
  <c r="M42" i="34"/>
  <c r="J42" i="34"/>
  <c r="G42" i="34"/>
  <c r="B40" i="34"/>
  <c r="B36" i="34"/>
  <c r="B30" i="34"/>
  <c r="B26" i="34"/>
  <c r="H27" i="25" l="1"/>
  <c r="C740" i="41"/>
  <c r="G740" i="41" s="1"/>
  <c r="G739" i="41"/>
  <c r="B1347" i="41"/>
  <c r="G1347" i="41"/>
  <c r="B580" i="41"/>
  <c r="G580" i="41"/>
  <c r="B1299" i="41"/>
  <c r="G1299" i="41"/>
  <c r="B1348" i="41"/>
  <c r="G1348" i="41"/>
  <c r="B297" i="41"/>
  <c r="G297" i="41"/>
  <c r="B165" i="41"/>
  <c r="G165" i="41"/>
  <c r="B1178" i="41"/>
  <c r="G1178" i="41"/>
  <c r="B147" i="41"/>
  <c r="G147" i="41"/>
  <c r="B548" i="41"/>
  <c r="G548" i="41"/>
  <c r="B947" i="41"/>
  <c r="G947" i="41"/>
  <c r="B1037" i="41"/>
  <c r="G1037" i="41"/>
  <c r="B1078" i="41"/>
  <c r="G1078" i="41"/>
  <c r="B1129" i="41"/>
  <c r="G1129" i="41"/>
  <c r="B1179" i="41"/>
  <c r="G1179" i="41"/>
  <c r="B1214" i="41"/>
  <c r="G1214" i="41"/>
  <c r="G222" i="41"/>
  <c r="G439" i="41"/>
  <c r="G510" i="41"/>
  <c r="B948" i="41"/>
  <c r="G948" i="41"/>
  <c r="B1079" i="41"/>
  <c r="G1079" i="41"/>
  <c r="B1130" i="41"/>
  <c r="G1130" i="41"/>
  <c r="G223" i="41"/>
  <c r="B75" i="41"/>
  <c r="B189" i="41"/>
  <c r="G189" i="41"/>
  <c r="B935" i="41"/>
  <c r="B949" i="41"/>
  <c r="G949" i="41"/>
  <c r="B1007" i="41"/>
  <c r="G1007" i="41"/>
  <c r="B1055" i="41"/>
  <c r="G1055" i="41"/>
  <c r="B1080" i="41"/>
  <c r="G1080" i="41"/>
  <c r="B1131" i="41"/>
  <c r="G1131" i="41"/>
  <c r="B1166" i="41"/>
  <c r="G272" i="41"/>
  <c r="G368" i="41"/>
  <c r="B614" i="41"/>
  <c r="G614" i="41"/>
  <c r="B658" i="41"/>
  <c r="G658" i="41"/>
  <c r="B1081" i="41"/>
  <c r="G1081" i="41"/>
  <c r="B899" i="41"/>
  <c r="G899" i="41"/>
  <c r="B27" i="41"/>
  <c r="G27" i="41"/>
  <c r="B857" i="41"/>
  <c r="G857" i="41"/>
  <c r="B900" i="41"/>
  <c r="G900" i="41"/>
  <c r="G110" i="41"/>
  <c r="G257" i="41"/>
  <c r="G312" i="41"/>
  <c r="G618" i="41"/>
  <c r="B671" i="41"/>
  <c r="G671" i="41"/>
  <c r="G1329" i="41"/>
  <c r="B1212" i="41"/>
  <c r="G1212" i="41"/>
  <c r="B1225" i="41"/>
  <c r="G1225" i="41"/>
  <c r="B1260" i="41"/>
  <c r="G1260" i="41"/>
  <c r="B1300" i="41"/>
  <c r="G1300" i="41"/>
  <c r="B337" i="41"/>
  <c r="G337" i="41"/>
  <c r="B1301" i="41"/>
  <c r="G1301" i="41"/>
  <c r="B1331" i="41"/>
  <c r="G1331" i="41"/>
  <c r="B63" i="41"/>
  <c r="G63" i="41"/>
  <c r="B149" i="41"/>
  <c r="G149" i="41"/>
  <c r="B970" i="41"/>
  <c r="G970" i="41"/>
  <c r="B1008" i="41"/>
  <c r="G1008" i="41"/>
  <c r="C1202" i="41"/>
  <c r="G1193" i="41"/>
  <c r="C1194" i="41"/>
  <c r="G1194" i="41" s="1"/>
  <c r="B1319" i="41"/>
  <c r="G1319" i="41"/>
  <c r="G255" i="41"/>
  <c r="B26" i="41"/>
  <c r="G26" i="41"/>
  <c r="G256" i="41"/>
  <c r="B28" i="41"/>
  <c r="G28" i="41"/>
  <c r="B100" i="41"/>
  <c r="G100" i="41"/>
  <c r="B734" i="41"/>
  <c r="G734" i="41"/>
  <c r="B787" i="41"/>
  <c r="G787" i="41"/>
  <c r="B858" i="41"/>
  <c r="G858" i="41"/>
  <c r="B914" i="41"/>
  <c r="G914" i="41"/>
  <c r="G111" i="41"/>
  <c r="G477" i="41"/>
  <c r="C8" i="41"/>
  <c r="G8" i="41" s="1"/>
  <c r="C16" i="41"/>
  <c r="G7" i="41"/>
  <c r="B738" i="41"/>
  <c r="G738" i="41"/>
  <c r="B724" i="41"/>
  <c r="G724" i="41"/>
  <c r="B338" i="41"/>
  <c r="G338" i="41"/>
  <c r="B1236" i="41"/>
  <c r="G1236" i="41"/>
  <c r="B1262" i="41"/>
  <c r="G1262" i="41"/>
  <c r="B1302" i="41"/>
  <c r="G1302" i="41"/>
  <c r="B1039" i="41"/>
  <c r="G1039" i="41"/>
  <c r="B93" i="41"/>
  <c r="G93" i="41"/>
  <c r="B150" i="41"/>
  <c r="G150" i="41"/>
  <c r="B912" i="41"/>
  <c r="G912" i="41"/>
  <c r="G109" i="41"/>
  <c r="G311" i="41"/>
  <c r="B41" i="41"/>
  <c r="G41" i="41"/>
  <c r="B788" i="41"/>
  <c r="G788" i="41"/>
  <c r="B822" i="41"/>
  <c r="G822" i="41"/>
  <c r="B859" i="41"/>
  <c r="G859" i="41"/>
  <c r="B875" i="41"/>
  <c r="G875" i="41"/>
  <c r="G1328" i="41"/>
  <c r="B166" i="41"/>
  <c r="G166" i="41"/>
  <c r="B170" i="41"/>
  <c r="G170" i="41"/>
  <c r="B1132" i="41"/>
  <c r="G1132" i="41"/>
  <c r="B7" i="41"/>
  <c r="B101" i="41"/>
  <c r="G101" i="41"/>
  <c r="B1350" i="41"/>
  <c r="G1350" i="41"/>
  <c r="G619" i="41"/>
  <c r="B790" i="41"/>
  <c r="G790" i="41"/>
  <c r="G113" i="41"/>
  <c r="C918" i="41"/>
  <c r="G918" i="41" s="1"/>
  <c r="G917" i="41"/>
  <c r="B452" i="41"/>
  <c r="G452" i="41"/>
  <c r="G209" i="41"/>
  <c r="G638" i="41"/>
  <c r="G1170" i="41"/>
  <c r="B70" i="41"/>
  <c r="G70" i="41"/>
  <c r="B1012" i="41"/>
  <c r="G1012" i="41"/>
  <c r="B1093" i="41"/>
  <c r="G1093" i="41"/>
  <c r="B1171" i="41"/>
  <c r="G1171" i="41"/>
  <c r="B1267" i="41"/>
  <c r="G1267" i="41"/>
  <c r="G639" i="41"/>
  <c r="G675" i="41"/>
  <c r="G695" i="41"/>
  <c r="G860" i="41"/>
  <c r="G951" i="41"/>
  <c r="G1133" i="41"/>
  <c r="G1153" i="41"/>
  <c r="G155" i="41"/>
  <c r="G301" i="41"/>
  <c r="G521" i="41"/>
  <c r="G640" i="41"/>
  <c r="G823" i="41"/>
  <c r="G861" i="41"/>
  <c r="G1040" i="41"/>
  <c r="G1154" i="41"/>
  <c r="G1339" i="41"/>
  <c r="B725" i="41"/>
  <c r="G725" i="41"/>
  <c r="B1283" i="41"/>
  <c r="G1283" i="41"/>
  <c r="G1167" i="41"/>
  <c r="B1156" i="41"/>
  <c r="G1156" i="41"/>
  <c r="B453" i="41"/>
  <c r="G453" i="41"/>
  <c r="C641" i="41"/>
  <c r="C642" i="41" s="1"/>
  <c r="B52" i="41"/>
  <c r="G52" i="41"/>
  <c r="B1172" i="41"/>
  <c r="G1172" i="41"/>
  <c r="B644" i="41"/>
  <c r="G644" i="41"/>
  <c r="C810" i="41"/>
  <c r="B1124" i="41"/>
  <c r="G1124" i="41"/>
  <c r="B1173" i="41"/>
  <c r="G1173" i="41"/>
  <c r="B1220" i="41"/>
  <c r="G1220" i="41"/>
  <c r="G193" i="41"/>
  <c r="G361" i="41"/>
  <c r="G503" i="41"/>
  <c r="G522" i="41"/>
  <c r="G659" i="41"/>
  <c r="G1297" i="41"/>
  <c r="G1340" i="41"/>
  <c r="B1061" i="41"/>
  <c r="G1061" i="41"/>
  <c r="B660" i="41"/>
  <c r="G660" i="41"/>
  <c r="B117" i="41"/>
  <c r="G117" i="41"/>
  <c r="B886" i="41"/>
  <c r="G886" i="41"/>
  <c r="B182" i="41"/>
  <c r="G182" i="41"/>
  <c r="B197" i="41"/>
  <c r="G197" i="41"/>
  <c r="B596" i="41"/>
  <c r="B645" i="41"/>
  <c r="G645" i="41"/>
  <c r="B1125" i="41"/>
  <c r="G1125" i="41"/>
  <c r="B1174" i="41"/>
  <c r="G1174" i="41"/>
  <c r="C1229" i="41"/>
  <c r="G1203" i="41"/>
  <c r="B1221" i="41"/>
  <c r="G1221" i="41"/>
  <c r="G25" i="41"/>
  <c r="G62" i="41"/>
  <c r="G138" i="41"/>
  <c r="G194" i="41"/>
  <c r="G215" i="41"/>
  <c r="G303" i="41"/>
  <c r="G379" i="41"/>
  <c r="G431" i="41"/>
  <c r="G523" i="41"/>
  <c r="G539" i="41"/>
  <c r="G698" i="41"/>
  <c r="G1217" i="41"/>
  <c r="G1259" i="41"/>
  <c r="G1322" i="41"/>
  <c r="B326" i="41"/>
  <c r="G326" i="41"/>
  <c r="B726" i="41"/>
  <c r="G726" i="41"/>
  <c r="G317" i="41"/>
  <c r="G673" i="41"/>
  <c r="B502" i="41"/>
  <c r="G502" i="41"/>
  <c r="G674" i="41"/>
  <c r="B180" i="41"/>
  <c r="G180" i="41"/>
  <c r="B454" i="41"/>
  <c r="G454" i="41"/>
  <c r="B181" i="41"/>
  <c r="G181" i="41"/>
  <c r="B36" i="41"/>
  <c r="G36" i="41"/>
  <c r="B159" i="41"/>
  <c r="B198" i="41"/>
  <c r="G198" i="41"/>
  <c r="B308" i="41"/>
  <c r="G308" i="41"/>
  <c r="B347" i="41"/>
  <c r="B472" i="41"/>
  <c r="B612" i="41"/>
  <c r="B836" i="41"/>
  <c r="G836" i="41"/>
  <c r="B852" i="41"/>
  <c r="G852" i="41"/>
  <c r="C926" i="41"/>
  <c r="G121" i="41"/>
  <c r="G176" i="41"/>
  <c r="G195" i="41"/>
  <c r="G216" i="41"/>
  <c r="G250" i="41"/>
  <c r="G304" i="41"/>
  <c r="G323" i="41"/>
  <c r="G344" i="41"/>
  <c r="G380" i="41"/>
  <c r="G432" i="41"/>
  <c r="G471" i="41"/>
  <c r="G524" i="41"/>
  <c r="G573" i="41"/>
  <c r="G699" i="41"/>
  <c r="G718" i="41"/>
  <c r="G880" i="41"/>
  <c r="G937" i="41"/>
  <c r="G1118" i="41"/>
  <c r="G1218" i="41"/>
  <c r="G1303" i="41"/>
  <c r="B342" i="41"/>
  <c r="G342" i="41"/>
  <c r="B1062" i="41"/>
  <c r="G1062" i="41"/>
  <c r="G425" i="41"/>
  <c r="G496" i="41"/>
  <c r="G672" i="41"/>
  <c r="G711" i="41"/>
  <c r="G1168" i="41"/>
  <c r="B277" i="41"/>
  <c r="G277" i="41"/>
  <c r="B468" i="41"/>
  <c r="G468" i="41"/>
  <c r="B694" i="41"/>
  <c r="G694" i="41"/>
  <c r="G227" i="41"/>
  <c r="B1013" i="41"/>
  <c r="G1013" i="41"/>
  <c r="B1268" i="41"/>
  <c r="G1268" i="41"/>
  <c r="B470" i="41"/>
  <c r="G470" i="41"/>
  <c r="B37" i="41"/>
  <c r="G37" i="41"/>
  <c r="C175" i="41"/>
  <c r="C174" i="41"/>
  <c r="B309" i="41"/>
  <c r="G309" i="41"/>
  <c r="B837" i="41"/>
  <c r="G837" i="41"/>
  <c r="B853" i="41"/>
  <c r="G853" i="41"/>
  <c r="G83" i="41"/>
  <c r="G159" i="41"/>
  <c r="G235" i="41"/>
  <c r="G286" i="41"/>
  <c r="G305" i="41"/>
  <c r="G381" i="41"/>
  <c r="G450" i="41"/>
  <c r="G525" i="41"/>
  <c r="G574" i="41"/>
  <c r="G592" i="41"/>
  <c r="G719" i="41"/>
  <c r="G938" i="41"/>
  <c r="G1101" i="41"/>
  <c r="G1119" i="41"/>
  <c r="G1200" i="41"/>
  <c r="G1304" i="41"/>
  <c r="G1343" i="41"/>
  <c r="G151" i="41"/>
  <c r="C1312" i="41"/>
  <c r="G1286" i="41"/>
  <c r="C1310" i="41"/>
  <c r="B324" i="41"/>
  <c r="G324" i="41"/>
  <c r="B38" i="41"/>
  <c r="G38" i="41"/>
  <c r="B310" i="41"/>
  <c r="G310" i="41"/>
  <c r="B438" i="41"/>
  <c r="G438" i="41"/>
  <c r="B613" i="41"/>
  <c r="G613" i="41"/>
  <c r="G106" i="41"/>
  <c r="G160" i="41"/>
  <c r="G178" i="41"/>
  <c r="G236" i="41"/>
  <c r="G252" i="41"/>
  <c r="G287" i="41"/>
  <c r="G306" i="41"/>
  <c r="G327" i="41"/>
  <c r="G382" i="41"/>
  <c r="G398" i="41"/>
  <c r="G451" i="41"/>
  <c r="G473" i="41"/>
  <c r="G542" i="41"/>
  <c r="G593" i="41"/>
  <c r="G610" i="41"/>
  <c r="G720" i="41"/>
  <c r="G1009" i="41"/>
  <c r="G1082" i="41"/>
  <c r="G1120" i="41"/>
  <c r="G1224" i="41"/>
  <c r="G66" i="41"/>
  <c r="G107" i="41"/>
  <c r="G142" i="41"/>
  <c r="G161" i="41"/>
  <c r="G179" i="41"/>
  <c r="G219" i="41"/>
  <c r="G237" i="41"/>
  <c r="G253" i="41"/>
  <c r="G383" i="41"/>
  <c r="G399" i="41"/>
  <c r="G543" i="41"/>
  <c r="G611" i="41"/>
  <c r="G648" i="41"/>
  <c r="G903" i="41"/>
  <c r="G940" i="41"/>
  <c r="G1010" i="41"/>
  <c r="G1065" i="41"/>
  <c r="G1083" i="41"/>
  <c r="G1121" i="41"/>
  <c r="G1306" i="41"/>
  <c r="G1345" i="41"/>
  <c r="B68" i="41"/>
  <c r="B405" i="41"/>
  <c r="B1222" i="41"/>
  <c r="G260" i="41"/>
  <c r="G340" i="41"/>
  <c r="G420" i="41"/>
  <c r="G708" i="41"/>
  <c r="G1076" i="41"/>
  <c r="G1108" i="41"/>
  <c r="G69" i="41"/>
  <c r="G341" i="41"/>
  <c r="G581" i="41"/>
  <c r="G709" i="41"/>
  <c r="G965" i="41"/>
  <c r="G1269" i="41"/>
  <c r="R37" i="35"/>
  <c r="H37" i="35"/>
  <c r="G102" i="41"/>
  <c r="G406" i="41"/>
  <c r="G838" i="41"/>
  <c r="G854" i="41"/>
  <c r="G1270" i="41"/>
  <c r="U41" i="35"/>
  <c r="U77" i="35" s="1"/>
  <c r="BE41" i="35"/>
  <c r="BF41" i="35"/>
  <c r="AS41" i="35"/>
  <c r="BD41" i="35"/>
  <c r="AX41" i="35"/>
  <c r="AW41" i="35"/>
  <c r="BA41" i="35"/>
  <c r="AZ41" i="35"/>
  <c r="AL41" i="35"/>
  <c r="BB41" i="35"/>
  <c r="AV41" i="35"/>
  <c r="AM41" i="35"/>
  <c r="BC41" i="35"/>
  <c r="AP41" i="35"/>
  <c r="AQ41" i="35"/>
  <c r="AN41" i="35"/>
  <c r="BG41" i="35"/>
  <c r="AY41" i="35"/>
  <c r="AR41" i="35"/>
  <c r="AU41" i="35"/>
  <c r="BH41" i="35"/>
  <c r="AO41" i="35"/>
  <c r="AT41" i="35"/>
  <c r="AH23" i="35"/>
  <c r="AV51" i="35"/>
  <c r="AW51" i="35"/>
  <c r="AX51" i="35"/>
  <c r="BB51" i="35"/>
  <c r="AM51" i="35"/>
  <c r="BC51" i="35"/>
  <c r="AN51" i="35"/>
  <c r="BD51" i="35"/>
  <c r="AO51" i="35"/>
  <c r="BE51" i="35"/>
  <c r="AT51" i="35"/>
  <c r="AP51" i="35"/>
  <c r="AQ51" i="35"/>
  <c r="AR51" i="35"/>
  <c r="AS51" i="35"/>
  <c r="AU51" i="35"/>
  <c r="AY51" i="35"/>
  <c r="AZ51" i="35"/>
  <c r="BA51" i="35"/>
  <c r="BF51" i="35"/>
  <c r="BG51" i="35"/>
  <c r="BH51" i="35"/>
  <c r="AD88" i="35"/>
  <c r="AZ88" i="35"/>
  <c r="BA88" i="35"/>
  <c r="AU88" i="35"/>
  <c r="BH88" i="35"/>
  <c r="AX88" i="35"/>
  <c r="AR88" i="35"/>
  <c r="BF88" i="35"/>
  <c r="AP88" i="35"/>
  <c r="AL88" i="35"/>
  <c r="BC88" i="35"/>
  <c r="BB88" i="35"/>
  <c r="AT88" i="35"/>
  <c r="BG88" i="35"/>
  <c r="AY88" i="35"/>
  <c r="AQ88" i="35"/>
  <c r="BE88" i="35"/>
  <c r="AV88" i="35"/>
  <c r="AO88" i="35"/>
  <c r="BD88" i="35"/>
  <c r="AW88" i="35"/>
  <c r="AN88" i="35"/>
  <c r="AS88" i="35"/>
  <c r="AM88" i="35"/>
  <c r="R21" i="35"/>
  <c r="R24" i="35" s="1"/>
  <c r="X36" i="35"/>
  <c r="O37" i="35"/>
  <c r="P37" i="35"/>
  <c r="S37" i="35"/>
  <c r="U37" i="35"/>
  <c r="Y36" i="35"/>
  <c r="AD51" i="35"/>
  <c r="T37" i="35"/>
  <c r="V37" i="35"/>
  <c r="W37" i="35"/>
  <c r="X37" i="35"/>
  <c r="T36" i="35"/>
  <c r="I37" i="35"/>
  <c r="Y37" i="35"/>
  <c r="J37" i="35"/>
  <c r="Z37" i="35"/>
  <c r="K37" i="35"/>
  <c r="AA37" i="35"/>
  <c r="L37" i="35"/>
  <c r="AB37" i="35"/>
  <c r="M37" i="35"/>
  <c r="AC37" i="35"/>
  <c r="N37" i="35"/>
  <c r="AD37" i="35"/>
  <c r="Q37" i="35"/>
  <c r="C1324" i="41"/>
  <c r="B1323" i="41"/>
  <c r="C427" i="41"/>
  <c r="G427" i="41" s="1"/>
  <c r="B426" i="41"/>
  <c r="C689" i="41"/>
  <c r="G689" i="41" s="1"/>
  <c r="C1318" i="41"/>
  <c r="B161" i="41"/>
  <c r="C84" i="41"/>
  <c r="G84" i="41" s="1"/>
  <c r="C163" i="41"/>
  <c r="B1322" i="41"/>
  <c r="C281" i="41"/>
  <c r="B209" i="41"/>
  <c r="C811" i="41"/>
  <c r="G811" i="41" s="1"/>
  <c r="B121" i="41"/>
  <c r="C169" i="41"/>
  <c r="B317" i="41"/>
  <c r="B638" i="41"/>
  <c r="C289" i="41"/>
  <c r="C1090" i="41"/>
  <c r="C1148" i="41"/>
  <c r="G1148" i="41" s="1"/>
  <c r="B1193" i="41"/>
  <c r="B639" i="41"/>
  <c r="C1098" i="41"/>
  <c r="B45" i="41"/>
  <c r="C46" i="41"/>
  <c r="G46" i="41" s="1"/>
  <c r="C54" i="41"/>
  <c r="B281" i="41"/>
  <c r="B210" i="41"/>
  <c r="C211" i="41"/>
  <c r="G211" i="41" s="1"/>
  <c r="C177" i="41"/>
  <c r="B160" i="41"/>
  <c r="C173" i="41"/>
  <c r="AK144" i="41"/>
  <c r="B162" i="41"/>
  <c r="C122" i="41"/>
  <c r="G122" i="41" s="1"/>
  <c r="AK340" i="41"/>
  <c r="B354" i="41"/>
  <c r="C355" i="41"/>
  <c r="G355" i="41" s="1"/>
  <c r="C318" i="41"/>
  <c r="G318" i="41" s="1"/>
  <c r="C497" i="41"/>
  <c r="G497" i="41" s="1"/>
  <c r="B567" i="41"/>
  <c r="C568" i="41"/>
  <c r="G568" i="41" s="1"/>
  <c r="B641" i="41"/>
  <c r="C654" i="41"/>
  <c r="B740" i="41"/>
  <c r="C741" i="41"/>
  <c r="G741" i="41" s="1"/>
  <c r="B689" i="41"/>
  <c r="C690" i="41"/>
  <c r="G690" i="41" s="1"/>
  <c r="B739" i="41"/>
  <c r="C889" i="41"/>
  <c r="C881" i="41"/>
  <c r="G881" i="41" s="1"/>
  <c r="B918" i="41"/>
  <c r="C919" i="41"/>
  <c r="G919" i="41" s="1"/>
  <c r="B954" i="41"/>
  <c r="C955" i="41"/>
  <c r="G955" i="41" s="1"/>
  <c r="C974" i="41"/>
  <c r="B961" i="41"/>
  <c r="B1014" i="41"/>
  <c r="C1032" i="41"/>
  <c r="C1137" i="41"/>
  <c r="C1140" i="41"/>
  <c r="C1141" i="41"/>
  <c r="C1135" i="41"/>
  <c r="C1142" i="41"/>
  <c r="C1138" i="41"/>
  <c r="C1143" i="41"/>
  <c r="C1144" i="41"/>
  <c r="C1136" i="41"/>
  <c r="C1139" i="41"/>
  <c r="C1097" i="41"/>
  <c r="C1064" i="41"/>
  <c r="C1110" i="41"/>
  <c r="C1092" i="41"/>
  <c r="C1096" i="41"/>
  <c r="C1089" i="41"/>
  <c r="C1095" i="41"/>
  <c r="C1094" i="41"/>
  <c r="C1091" i="41"/>
  <c r="C1056" i="41"/>
  <c r="G1056" i="41" s="1"/>
  <c r="C1102" i="41"/>
  <c r="G1102" i="41" s="1"/>
  <c r="B1147" i="41"/>
  <c r="C1186" i="41"/>
  <c r="C1187" i="41"/>
  <c r="C1181" i="41"/>
  <c r="C1188" i="41"/>
  <c r="C1184" i="41"/>
  <c r="C1189" i="41"/>
  <c r="C1190" i="41"/>
  <c r="C1182" i="41"/>
  <c r="C1185" i="41"/>
  <c r="C1183" i="41"/>
  <c r="B1194" i="41"/>
  <c r="C1195" i="41"/>
  <c r="G1195" i="41" s="1"/>
  <c r="C1285" i="41"/>
  <c r="C1277" i="41"/>
  <c r="G1277" i="41" s="1"/>
  <c r="B1276" i="41"/>
  <c r="C1231" i="41"/>
  <c r="C1248" i="41"/>
  <c r="B1239" i="41"/>
  <c r="C1240" i="41"/>
  <c r="G1240" i="41" s="1"/>
  <c r="B1203" i="41"/>
  <c r="C1233" i="41"/>
  <c r="C1227" i="41"/>
  <c r="C1234" i="41"/>
  <c r="C1230" i="41"/>
  <c r="C1235" i="41"/>
  <c r="C1228" i="41"/>
  <c r="C1232" i="41"/>
  <c r="B1249" i="41"/>
  <c r="C1311" i="41"/>
  <c r="B1286" i="41"/>
  <c r="C1317" i="41"/>
  <c r="C1313" i="41"/>
  <c r="C1314" i="41"/>
  <c r="C1315" i="41"/>
  <c r="C1316" i="41"/>
  <c r="C1358" i="41"/>
  <c r="C1361" i="41"/>
  <c r="C1362" i="41"/>
  <c r="C1356" i="41"/>
  <c r="C1363" i="41"/>
  <c r="C1359" i="41"/>
  <c r="C1364" i="41"/>
  <c r="C1365" i="41"/>
  <c r="C1357" i="41"/>
  <c r="B1332" i="41"/>
  <c r="C1360" i="41"/>
  <c r="V41" i="35"/>
  <c r="V77" i="35" s="1"/>
  <c r="H88" i="35"/>
  <c r="W41" i="35"/>
  <c r="W77" i="35" s="1"/>
  <c r="H41" i="35"/>
  <c r="H77" i="35" s="1"/>
  <c r="X41" i="35"/>
  <c r="X77" i="35" s="1"/>
  <c r="I41" i="35"/>
  <c r="I77" i="35" s="1"/>
  <c r="Y41" i="35"/>
  <c r="Y77" i="35" s="1"/>
  <c r="J41" i="35"/>
  <c r="J77" i="35" s="1"/>
  <c r="Z41" i="35"/>
  <c r="Z77" i="35" s="1"/>
  <c r="K41" i="35"/>
  <c r="K77" i="35" s="1"/>
  <c r="AA41" i="35"/>
  <c r="AA77" i="35" s="1"/>
  <c r="L41" i="35"/>
  <c r="L77" i="35" s="1"/>
  <c r="AB41" i="35"/>
  <c r="AB77" i="35" s="1"/>
  <c r="M41" i="35"/>
  <c r="M77" i="35" s="1"/>
  <c r="AC41" i="35"/>
  <c r="AC77" i="35" s="1"/>
  <c r="AA22" i="35"/>
  <c r="AA25" i="35" s="1"/>
  <c r="O88" i="35"/>
  <c r="N41" i="35"/>
  <c r="N77" i="35" s="1"/>
  <c r="AD41" i="35"/>
  <c r="AD77" i="35" s="1"/>
  <c r="O41" i="35"/>
  <c r="O77" i="35" s="1"/>
  <c r="P41" i="35"/>
  <c r="P77" i="35" s="1"/>
  <c r="H36" i="35"/>
  <c r="Q41" i="35"/>
  <c r="Q77" i="35" s="1"/>
  <c r="R41" i="35"/>
  <c r="R77" i="35" s="1"/>
  <c r="S41" i="35"/>
  <c r="S77" i="35" s="1"/>
  <c r="T41" i="35"/>
  <c r="T77" i="35" s="1"/>
  <c r="AB36" i="35"/>
  <c r="K22" i="35"/>
  <c r="K25" i="35" s="1"/>
  <c r="R88" i="35"/>
  <c r="U36" i="35"/>
  <c r="O22" i="35"/>
  <c r="O25" i="35" s="1"/>
  <c r="O51" i="35"/>
  <c r="U22" i="35"/>
  <c r="U25" i="35" s="1"/>
  <c r="AA51" i="35"/>
  <c r="S21" i="35"/>
  <c r="S24" i="35" s="1"/>
  <c r="P88" i="35"/>
  <c r="H26" i="35"/>
  <c r="H29" i="35" s="1"/>
  <c r="H33" i="35" s="1"/>
  <c r="S88" i="35"/>
  <c r="I26" i="35"/>
  <c r="I27" i="35" s="1"/>
  <c r="T88" i="35"/>
  <c r="O15" i="35"/>
  <c r="U26" i="35"/>
  <c r="U27" i="35" s="1"/>
  <c r="U88" i="35"/>
  <c r="X26" i="35"/>
  <c r="X30" i="35" s="1"/>
  <c r="X86" i="35" s="1"/>
  <c r="AC88" i="35"/>
  <c r="Y26" i="35"/>
  <c r="Y27" i="35" s="1"/>
  <c r="K21" i="35"/>
  <c r="K24" i="35" s="1"/>
  <c r="AA21" i="35"/>
  <c r="AA24" i="35" s="1"/>
  <c r="K51" i="35"/>
  <c r="K88" i="35"/>
  <c r="L88" i="35"/>
  <c r="O36" i="35"/>
  <c r="Q36" i="35"/>
  <c r="V21" i="35"/>
  <c r="V24" i="35" s="1"/>
  <c r="M88" i="35"/>
  <c r="Q88" i="35"/>
  <c r="R22" i="35"/>
  <c r="R25" i="35" s="1"/>
  <c r="R20" i="35"/>
  <c r="R61" i="35" s="1"/>
  <c r="O35" i="35"/>
  <c r="O61" i="35" s="1"/>
  <c r="M36" i="35"/>
  <c r="U15" i="35"/>
  <c r="AC36" i="35"/>
  <c r="L26" i="35"/>
  <c r="L28" i="35" s="1"/>
  <c r="L32" i="35" s="1"/>
  <c r="W88" i="35"/>
  <c r="S36" i="35"/>
  <c r="P51" i="35"/>
  <c r="U21" i="35"/>
  <c r="U24" i="35" s="1"/>
  <c r="M26" i="35"/>
  <c r="M29" i="35" s="1"/>
  <c r="M33" i="35" s="1"/>
  <c r="X88" i="35"/>
  <c r="Q51" i="35"/>
  <c r="AA15" i="35"/>
  <c r="P26" i="35"/>
  <c r="P30" i="35" s="1"/>
  <c r="P86" i="35" s="1"/>
  <c r="AA88" i="35"/>
  <c r="S51" i="35"/>
  <c r="K15" i="35"/>
  <c r="T26" i="35"/>
  <c r="T28" i="35" s="1"/>
  <c r="T32" i="35" s="1"/>
  <c r="AB88" i="35"/>
  <c r="V36" i="35"/>
  <c r="T51" i="35"/>
  <c r="N21" i="35"/>
  <c r="N24" i="35" s="1"/>
  <c r="O21" i="35"/>
  <c r="O24" i="35" s="1"/>
  <c r="V26" i="35"/>
  <c r="V27" i="35" s="1"/>
  <c r="L36" i="35"/>
  <c r="P36" i="35"/>
  <c r="AD21" i="35"/>
  <c r="AD24" i="35" s="1"/>
  <c r="L21" i="35"/>
  <c r="L24" i="35" s="1"/>
  <c r="AB26" i="35"/>
  <c r="AB28" i="35" s="1"/>
  <c r="AB32" i="35" s="1"/>
  <c r="K36" i="35"/>
  <c r="AA36" i="35"/>
  <c r="AC26" i="35"/>
  <c r="AC28" i="35" s="1"/>
  <c r="AC32" i="35" s="1"/>
  <c r="AC61" i="35"/>
  <c r="S22" i="35"/>
  <c r="S25" i="35" s="1"/>
  <c r="T21" i="35"/>
  <c r="T24" i="35" s="1"/>
  <c r="T20" i="35"/>
  <c r="T22" i="35"/>
  <c r="T25" i="35" s="1"/>
  <c r="S61" i="35"/>
  <c r="U61" i="35"/>
  <c r="W22" i="35"/>
  <c r="W25" i="35" s="1"/>
  <c r="Q61" i="35"/>
  <c r="V15" i="35"/>
  <c r="V22" i="35"/>
  <c r="V25" i="35" s="1"/>
  <c r="H21" i="35"/>
  <c r="H24" i="35" s="1"/>
  <c r="H20" i="35"/>
  <c r="H61" i="35" s="1"/>
  <c r="H22" i="35"/>
  <c r="H25" i="35" s="1"/>
  <c r="X21" i="35"/>
  <c r="X24" i="35" s="1"/>
  <c r="X20" i="35"/>
  <c r="X22" i="35"/>
  <c r="X25" i="35" s="1"/>
  <c r="I21" i="35"/>
  <c r="I24" i="35" s="1"/>
  <c r="Y21" i="35"/>
  <c r="Y24" i="35" s="1"/>
  <c r="J20" i="35"/>
  <c r="J22" i="35"/>
  <c r="J25" i="35" s="1"/>
  <c r="Z20" i="35"/>
  <c r="Z22" i="35"/>
  <c r="Z25" i="35" s="1"/>
  <c r="J21" i="35"/>
  <c r="J24" i="35" s="1"/>
  <c r="S28" i="35"/>
  <c r="S32" i="35" s="1"/>
  <c r="S30" i="35"/>
  <c r="S86" i="35" s="1"/>
  <c r="S27" i="35"/>
  <c r="S29" i="35"/>
  <c r="S33" i="35" s="1"/>
  <c r="W36" i="35"/>
  <c r="L20" i="35"/>
  <c r="L22" i="35"/>
  <c r="L25" i="35" s="1"/>
  <c r="AB20" i="35"/>
  <c r="AB22" i="35"/>
  <c r="AB25" i="35" s="1"/>
  <c r="I36" i="35"/>
  <c r="AC22" i="35"/>
  <c r="AC25" i="35" s="1"/>
  <c r="AC21" i="35"/>
  <c r="AC24" i="35" s="1"/>
  <c r="J36" i="35"/>
  <c r="J35" i="35"/>
  <c r="M22" i="35"/>
  <c r="M25" i="35" s="1"/>
  <c r="M21" i="35"/>
  <c r="M24" i="35" s="1"/>
  <c r="N61" i="35"/>
  <c r="Z21" i="35"/>
  <c r="Z24" i="35" s="1"/>
  <c r="Z36" i="35"/>
  <c r="Z35" i="35"/>
  <c r="AD61" i="35"/>
  <c r="P61" i="35"/>
  <c r="M20" i="35"/>
  <c r="AB21" i="35"/>
  <c r="AB24" i="35" s="1"/>
  <c r="S15" i="35"/>
  <c r="Q22" i="35"/>
  <c r="Q25" i="35" s="1"/>
  <c r="N36" i="35"/>
  <c r="AD36" i="35"/>
  <c r="W61" i="35"/>
  <c r="W26" i="35"/>
  <c r="V35" i="35"/>
  <c r="V61" i="35" s="1"/>
  <c r="R51" i="35"/>
  <c r="P21" i="35"/>
  <c r="P24" i="35" s="1"/>
  <c r="I22" i="35"/>
  <c r="I25" i="35" s="1"/>
  <c r="Y22" i="35"/>
  <c r="Y25" i="35" s="1"/>
  <c r="J26" i="35"/>
  <c r="Z26" i="35"/>
  <c r="U29" i="35"/>
  <c r="U33" i="35" s="1"/>
  <c r="R36" i="35"/>
  <c r="U51" i="35"/>
  <c r="Q21" i="35"/>
  <c r="Q24" i="35" s="1"/>
  <c r="K26" i="35"/>
  <c r="AA26" i="35"/>
  <c r="V88" i="35"/>
  <c r="V51" i="35"/>
  <c r="I61" i="35"/>
  <c r="Y61" i="35"/>
  <c r="K35" i="35"/>
  <c r="K61" i="35" s="1"/>
  <c r="AA35" i="35"/>
  <c r="AA61" i="35" s="1"/>
  <c r="W51" i="35"/>
  <c r="H51" i="35"/>
  <c r="X51" i="35"/>
  <c r="N26" i="35"/>
  <c r="AD26" i="35"/>
  <c r="I88" i="35"/>
  <c r="Y88" i="35"/>
  <c r="I51" i="35"/>
  <c r="Y51" i="35"/>
  <c r="N22" i="35"/>
  <c r="N25" i="35" s="1"/>
  <c r="AD22" i="35"/>
  <c r="AD25" i="35" s="1"/>
  <c r="O26" i="35"/>
  <c r="J88" i="35"/>
  <c r="Z88" i="35"/>
  <c r="J51" i="35"/>
  <c r="Z51" i="35"/>
  <c r="D38" i="35"/>
  <c r="P22" i="35"/>
  <c r="P25" i="35" s="1"/>
  <c r="Q26" i="35"/>
  <c r="L51" i="35"/>
  <c r="AB51" i="35"/>
  <c r="R26" i="35"/>
  <c r="M51" i="35"/>
  <c r="AC51" i="35"/>
  <c r="N88" i="35"/>
  <c r="N51" i="35"/>
  <c r="B642" i="41" l="1"/>
  <c r="G642" i="41"/>
  <c r="B1318" i="41"/>
  <c r="G1318" i="41"/>
  <c r="B1363" i="41"/>
  <c r="G1363" i="41"/>
  <c r="B175" i="41"/>
  <c r="G175" i="41"/>
  <c r="B1232" i="41"/>
  <c r="G1232" i="41"/>
  <c r="B1141" i="41"/>
  <c r="G1141" i="41"/>
  <c r="B1095" i="41"/>
  <c r="G1095" i="41"/>
  <c r="B1032" i="41"/>
  <c r="G1032" i="41"/>
  <c r="B1096" i="41"/>
  <c r="G1096" i="41"/>
  <c r="B8" i="41"/>
  <c r="B1312" i="41"/>
  <c r="G1312" i="41"/>
  <c r="B1110" i="41"/>
  <c r="G1110" i="41"/>
  <c r="B1188" i="41"/>
  <c r="G1188" i="41"/>
  <c r="B1317" i="41"/>
  <c r="G1317" i="41"/>
  <c r="B1181" i="41"/>
  <c r="G1181" i="41"/>
  <c r="B1097" i="41"/>
  <c r="G1097" i="41"/>
  <c r="B1185" i="41"/>
  <c r="G1185" i="41"/>
  <c r="B1230" i="41"/>
  <c r="G1230" i="41"/>
  <c r="B1310" i="41"/>
  <c r="G1310" i="41"/>
  <c r="C652" i="41"/>
  <c r="G641" i="41"/>
  <c r="B1316" i="41"/>
  <c r="G1316" i="41"/>
  <c r="B1233" i="41"/>
  <c r="G1233" i="41"/>
  <c r="C655" i="41"/>
  <c r="B1360" i="41"/>
  <c r="G1360" i="41"/>
  <c r="B1187" i="41"/>
  <c r="G1187" i="41"/>
  <c r="B1139" i="41"/>
  <c r="G1139" i="41"/>
  <c r="B54" i="41"/>
  <c r="G54" i="41"/>
  <c r="C282" i="41"/>
  <c r="G282" i="41" s="1"/>
  <c r="G281" i="41"/>
  <c r="B16" i="41"/>
  <c r="G16" i="41"/>
  <c r="U30" i="35"/>
  <c r="U86" i="35" s="1"/>
  <c r="B1356" i="41"/>
  <c r="G1356" i="41"/>
  <c r="B1362" i="41"/>
  <c r="G1362" i="41"/>
  <c r="B1140" i="41"/>
  <c r="G1140" i="41"/>
  <c r="B289" i="41"/>
  <c r="G289" i="41"/>
  <c r="B1361" i="41"/>
  <c r="G1361" i="41"/>
  <c r="B1089" i="41"/>
  <c r="G1089" i="41"/>
  <c r="B1234" i="41"/>
  <c r="G1234" i="41"/>
  <c r="B1190" i="41"/>
  <c r="G1190" i="41"/>
  <c r="C653" i="41"/>
  <c r="B169" i="41"/>
  <c r="G169" i="41"/>
  <c r="B1227" i="41"/>
  <c r="G1227" i="41"/>
  <c r="B974" i="41"/>
  <c r="G974" i="41"/>
  <c r="B1064" i="41"/>
  <c r="G1064" i="41"/>
  <c r="B1311" i="41"/>
  <c r="G1311" i="41"/>
  <c r="B1248" i="41"/>
  <c r="G1248" i="41"/>
  <c r="B1186" i="41"/>
  <c r="G1186" i="41"/>
  <c r="B1136" i="41"/>
  <c r="G1136" i="41"/>
  <c r="B1135" i="41"/>
  <c r="G1135" i="41"/>
  <c r="B1091" i="41"/>
  <c r="G1091" i="41"/>
  <c r="B1090" i="41"/>
  <c r="G1090" i="41"/>
  <c r="B1228" i="41"/>
  <c r="G1228" i="41"/>
  <c r="B1235" i="41"/>
  <c r="G1235" i="41"/>
  <c r="B654" i="41"/>
  <c r="G654" i="41"/>
  <c r="C1325" i="41"/>
  <c r="G1324" i="41"/>
  <c r="B1189" i="41"/>
  <c r="G1189" i="41"/>
  <c r="I30" i="35"/>
  <c r="I86" i="35" s="1"/>
  <c r="B1357" i="41"/>
  <c r="G1357" i="41"/>
  <c r="B1324" i="41"/>
  <c r="B1231" i="41"/>
  <c r="G1231" i="41"/>
  <c r="B1144" i="41"/>
  <c r="G1144" i="41"/>
  <c r="C428" i="41"/>
  <c r="G428" i="41" s="1"/>
  <c r="B163" i="41"/>
  <c r="G163" i="41"/>
  <c r="B1229" i="41"/>
  <c r="G1229" i="41"/>
  <c r="B1142" i="41"/>
  <c r="G1142" i="41"/>
  <c r="B1094" i="41"/>
  <c r="G1094" i="41"/>
  <c r="B1137" i="41"/>
  <c r="G1137" i="41"/>
  <c r="B1358" i="41"/>
  <c r="G1358" i="41"/>
  <c r="B1315" i="41"/>
  <c r="G1315" i="41"/>
  <c r="C656" i="41"/>
  <c r="B1184" i="41"/>
  <c r="G1184" i="41"/>
  <c r="G1202" i="41"/>
  <c r="B1202" i="41"/>
  <c r="U28" i="35"/>
  <c r="U32" i="35" s="1"/>
  <c r="B1365" i="41"/>
  <c r="G1365" i="41"/>
  <c r="C1149" i="41"/>
  <c r="G1149" i="41" s="1"/>
  <c r="B1143" i="41"/>
  <c r="G1143" i="41"/>
  <c r="B889" i="41"/>
  <c r="G889" i="41"/>
  <c r="B427" i="41"/>
  <c r="B1098" i="41"/>
  <c r="G1098" i="41"/>
  <c r="G926" i="41"/>
  <c r="B926" i="41"/>
  <c r="B810" i="41"/>
  <c r="G810" i="41"/>
  <c r="B1359" i="41"/>
  <c r="G1359" i="41"/>
  <c r="B1285" i="41"/>
  <c r="G1285" i="41"/>
  <c r="B174" i="41"/>
  <c r="G174" i="41"/>
  <c r="B1183" i="41"/>
  <c r="G1183" i="41"/>
  <c r="B1182" i="41"/>
  <c r="G1182" i="41"/>
  <c r="B173" i="41"/>
  <c r="G173" i="41"/>
  <c r="B1092" i="41"/>
  <c r="G1092" i="41"/>
  <c r="B177" i="41"/>
  <c r="G177" i="41"/>
  <c r="C9" i="41"/>
  <c r="G9" i="41" s="1"/>
  <c r="B1314" i="41"/>
  <c r="G1314" i="41"/>
  <c r="B1313" i="41"/>
  <c r="G1313" i="41"/>
  <c r="B1364" i="41"/>
  <c r="G1364" i="41"/>
  <c r="B1148" i="41"/>
  <c r="B1138" i="41"/>
  <c r="G1138" i="41"/>
  <c r="AQ77" i="35"/>
  <c r="AQ79" i="35" s="1"/>
  <c r="I28" i="35"/>
  <c r="I32" i="35" s="1"/>
  <c r="I29" i="35"/>
  <c r="I33" i="35" s="1"/>
  <c r="P29" i="35"/>
  <c r="P33" i="35" s="1"/>
  <c r="P28" i="35"/>
  <c r="P32" i="35" s="1"/>
  <c r="H27" i="35"/>
  <c r="AT77" i="35"/>
  <c r="AT79" i="35" s="1"/>
  <c r="AT80" i="35" s="1"/>
  <c r="BA77" i="35"/>
  <c r="BA79" i="35" s="1"/>
  <c r="BA53" i="35" s="1"/>
  <c r="X28" i="35"/>
  <c r="X32" i="35" s="1"/>
  <c r="AQ80" i="35"/>
  <c r="AQ53" i="35"/>
  <c r="X29" i="35"/>
  <c r="X33" i="35" s="1"/>
  <c r="AP77" i="35"/>
  <c r="AP79" i="35" s="1"/>
  <c r="X27" i="35"/>
  <c r="BC77" i="35"/>
  <c r="BC79" i="35" s="1"/>
  <c r="AM77" i="35"/>
  <c r="AM79" i="35" s="1"/>
  <c r="AV77" i="35"/>
  <c r="AV79" i="35" s="1"/>
  <c r="BB77" i="35"/>
  <c r="BB79" i="35" s="1"/>
  <c r="AL77" i="35"/>
  <c r="AL79" i="35" s="1"/>
  <c r="AZ77" i="35"/>
  <c r="AZ79" i="35" s="1"/>
  <c r="AO77" i="35"/>
  <c r="AO79" i="35" s="1"/>
  <c r="AW77" i="35"/>
  <c r="AW79" i="35" s="1"/>
  <c r="BH77" i="35"/>
  <c r="BH79" i="35" s="1"/>
  <c r="AX77" i="35"/>
  <c r="AX79" i="35" s="1"/>
  <c r="AU77" i="35"/>
  <c r="AU79" i="35" s="1"/>
  <c r="BD77" i="35"/>
  <c r="BD79" i="35" s="1"/>
  <c r="AR77" i="35"/>
  <c r="AR79" i="35" s="1"/>
  <c r="AS77" i="35"/>
  <c r="AS79" i="35" s="1"/>
  <c r="AY77" i="35"/>
  <c r="AY79" i="35" s="1"/>
  <c r="BF77" i="35"/>
  <c r="BF79" i="35" s="1"/>
  <c r="BG77" i="35"/>
  <c r="BG79" i="35" s="1"/>
  <c r="BE77" i="35"/>
  <c r="BE79" i="35" s="1"/>
  <c r="AN77" i="35"/>
  <c r="AN79" i="35" s="1"/>
  <c r="Y29" i="35"/>
  <c r="Y33" i="35" s="1"/>
  <c r="V29" i="35"/>
  <c r="V33" i="35" s="1"/>
  <c r="Y30" i="35"/>
  <c r="Y86" i="35" s="1"/>
  <c r="L29" i="35"/>
  <c r="L33" i="35" s="1"/>
  <c r="Y28" i="35"/>
  <c r="Y32" i="35" s="1"/>
  <c r="B811" i="41"/>
  <c r="C812" i="41"/>
  <c r="G812" i="41" s="1"/>
  <c r="C85" i="41"/>
  <c r="G85" i="41" s="1"/>
  <c r="B84" i="41"/>
  <c r="C1326" i="41"/>
  <c r="C1338" i="41"/>
  <c r="C1337" i="41"/>
  <c r="B9" i="41"/>
  <c r="C10" i="41"/>
  <c r="G10" i="41" s="1"/>
  <c r="AK1359" i="41"/>
  <c r="AM903" i="41"/>
  <c r="AM1356" i="41"/>
  <c r="AK1356" i="41"/>
  <c r="AK1314" i="41"/>
  <c r="AK1313" i="41"/>
  <c r="AK1312" i="41"/>
  <c r="AL1310" i="41"/>
  <c r="AK1310" i="41"/>
  <c r="AK1273" i="41"/>
  <c r="AN1273" i="41"/>
  <c r="AK1185" i="41"/>
  <c r="AN1185" i="41"/>
  <c r="AN1183" i="41"/>
  <c r="AL1093" i="41"/>
  <c r="AN1184" i="41"/>
  <c r="B955" i="41"/>
  <c r="C956" i="41"/>
  <c r="G956" i="41" s="1"/>
  <c r="AL1227" i="41"/>
  <c r="AN1091" i="41"/>
  <c r="AM1091" i="41"/>
  <c r="AL1091" i="41"/>
  <c r="AM1093" i="41"/>
  <c r="AM1078" i="41"/>
  <c r="AM1345" i="41"/>
  <c r="AL1348" i="41"/>
  <c r="AL1312" i="41"/>
  <c r="AL1314" i="41"/>
  <c r="AL1313" i="41"/>
  <c r="AL1230" i="41"/>
  <c r="AL1231" i="41"/>
  <c r="AL1183" i="41"/>
  <c r="AM940" i="41"/>
  <c r="AM941" i="41"/>
  <c r="B1195" i="41"/>
  <c r="C1196" i="41"/>
  <c r="G1196" i="41" s="1"/>
  <c r="AN1093" i="41"/>
  <c r="AM1360" i="41"/>
  <c r="AK1360" i="41"/>
  <c r="AL1229" i="41"/>
  <c r="AM1217" i="41"/>
  <c r="AN1182" i="41"/>
  <c r="AN1170" i="41"/>
  <c r="AM1359" i="41"/>
  <c r="AK1299" i="41"/>
  <c r="AL1299" i="41"/>
  <c r="AL1273" i="41"/>
  <c r="AN1181" i="41"/>
  <c r="AN108" i="41"/>
  <c r="AK1348" i="41"/>
  <c r="AL1228" i="41"/>
  <c r="C1278" i="41"/>
  <c r="G1278" i="41" s="1"/>
  <c r="B1277" i="41"/>
  <c r="AN1171" i="41"/>
  <c r="AM1171" i="41"/>
  <c r="AL1171" i="41"/>
  <c r="AK1171" i="41"/>
  <c r="AL1078" i="41"/>
  <c r="AM1310" i="41"/>
  <c r="AM1313" i="41"/>
  <c r="AM1314" i="41"/>
  <c r="AM1312" i="41"/>
  <c r="AK1345" i="41"/>
  <c r="AK1346" i="41"/>
  <c r="AK1347" i="41"/>
  <c r="AK1230" i="41"/>
  <c r="AK1228" i="41"/>
  <c r="AK1231" i="41"/>
  <c r="AK1227" i="41"/>
  <c r="AK1229" i="41"/>
  <c r="AN1089" i="41"/>
  <c r="AM1089" i="41"/>
  <c r="AL1089" i="41"/>
  <c r="AN1136" i="41"/>
  <c r="AM1136" i="41"/>
  <c r="AL1136" i="41"/>
  <c r="AK1136" i="41"/>
  <c r="AK1139" i="41"/>
  <c r="AK1137" i="41"/>
  <c r="AK1138" i="41"/>
  <c r="AK1124" i="41"/>
  <c r="AK1135" i="41"/>
  <c r="AL903" i="41"/>
  <c r="AM1358" i="41"/>
  <c r="AL1358" i="41"/>
  <c r="AK1358" i="41"/>
  <c r="AN1358" i="41"/>
  <c r="AN1356" i="41"/>
  <c r="AN1359" i="41"/>
  <c r="AN1360" i="41"/>
  <c r="AL1360" i="41"/>
  <c r="AL1356" i="41"/>
  <c r="AL1359" i="41"/>
  <c r="AN1357" i="41"/>
  <c r="AM1357" i="41"/>
  <c r="AL1357" i="41"/>
  <c r="AK1357" i="41"/>
  <c r="AL1349" i="41"/>
  <c r="AK1349" i="41"/>
  <c r="AL1345" i="41"/>
  <c r="AL1346" i="41"/>
  <c r="AL1347" i="41"/>
  <c r="AM1231" i="41"/>
  <c r="AM1227" i="41"/>
  <c r="AM1230" i="41"/>
  <c r="AM1229" i="41"/>
  <c r="AM1228" i="41"/>
  <c r="AK1183" i="41"/>
  <c r="AK1181" i="41"/>
  <c r="AK1184" i="41"/>
  <c r="AK1182" i="41"/>
  <c r="AK1170" i="41"/>
  <c r="B1102" i="41"/>
  <c r="C1103" i="41"/>
  <c r="G1103" i="41" s="1"/>
  <c r="AN1090" i="41"/>
  <c r="AM1090" i="41"/>
  <c r="AL1090" i="41"/>
  <c r="AL1139" i="41"/>
  <c r="AL1137" i="41"/>
  <c r="AL1135" i="41"/>
  <c r="AL1138" i="41"/>
  <c r="AL1124" i="41"/>
  <c r="AM1299" i="41"/>
  <c r="B1056" i="41"/>
  <c r="C1057" i="41"/>
  <c r="G1057" i="41" s="1"/>
  <c r="AN1078" i="41"/>
  <c r="B1240" i="41"/>
  <c r="C1241" i="41"/>
  <c r="G1241" i="41" s="1"/>
  <c r="AK1217" i="41"/>
  <c r="AK1216" i="41"/>
  <c r="AN1227" i="41"/>
  <c r="AN1230" i="41"/>
  <c r="AN1229" i="41"/>
  <c r="AN1228" i="41"/>
  <c r="AL1181" i="41"/>
  <c r="AL1184" i="41"/>
  <c r="AL1182" i="41"/>
  <c r="AL1185" i="41"/>
  <c r="AL1170" i="41"/>
  <c r="AN1092" i="41"/>
  <c r="AM1092" i="41"/>
  <c r="AL1092" i="41"/>
  <c r="AM1137" i="41"/>
  <c r="AM1135" i="41"/>
  <c r="AM1138" i="41"/>
  <c r="AM1139" i="41"/>
  <c r="AM1124" i="41"/>
  <c r="AK940" i="41"/>
  <c r="AK941" i="41"/>
  <c r="C319" i="41"/>
  <c r="G319" i="41" s="1"/>
  <c r="B318" i="41"/>
  <c r="AN940" i="41"/>
  <c r="AL1311" i="41"/>
  <c r="AM1311" i="41"/>
  <c r="AK1311" i="41"/>
  <c r="AN1348" i="41"/>
  <c r="AN1349" i="41"/>
  <c r="AN1347" i="41"/>
  <c r="AN1345" i="41"/>
  <c r="AM1273" i="41"/>
  <c r="AM1183" i="41"/>
  <c r="AM1181" i="41"/>
  <c r="AM1184" i="41"/>
  <c r="AM1185" i="41"/>
  <c r="AM1170" i="41"/>
  <c r="AN1137" i="41"/>
  <c r="AN1135" i="41"/>
  <c r="AN1138" i="41"/>
  <c r="AN1139" i="41"/>
  <c r="AN1124" i="41"/>
  <c r="AK1090" i="41"/>
  <c r="AK1093" i="41"/>
  <c r="AK1091" i="41"/>
  <c r="AK1089" i="41"/>
  <c r="AK1092" i="41"/>
  <c r="AK1078" i="41"/>
  <c r="B919" i="41"/>
  <c r="C920" i="41"/>
  <c r="G920" i="41" s="1"/>
  <c r="B497" i="41"/>
  <c r="C498" i="41"/>
  <c r="G498" i="41" s="1"/>
  <c r="AN340" i="41"/>
  <c r="C445" i="41"/>
  <c r="B428" i="41"/>
  <c r="C429" i="41"/>
  <c r="C446" i="41"/>
  <c r="C447" i="41"/>
  <c r="C448" i="41"/>
  <c r="C449" i="41"/>
  <c r="AL340" i="41"/>
  <c r="B211" i="41"/>
  <c r="C212" i="41"/>
  <c r="G212" i="41" s="1"/>
  <c r="AN903" i="41"/>
  <c r="AL303" i="41"/>
  <c r="AN1346" i="41"/>
  <c r="AN1231" i="41"/>
  <c r="AN941" i="41"/>
  <c r="AN107" i="41"/>
  <c r="AN106" i="41"/>
  <c r="AN32" i="41"/>
  <c r="AN303" i="41"/>
  <c r="AL32" i="41"/>
  <c r="AL30" i="41"/>
  <c r="AL31" i="41"/>
  <c r="AL33" i="41"/>
  <c r="C882" i="41"/>
  <c r="G882" i="41" s="1"/>
  <c r="B881" i="41"/>
  <c r="AK903" i="41"/>
  <c r="C758" i="41"/>
  <c r="B741" i="41"/>
  <c r="C742" i="41"/>
  <c r="C762" i="41"/>
  <c r="C759" i="41"/>
  <c r="C761" i="41"/>
  <c r="C760" i="41"/>
  <c r="AL107" i="41"/>
  <c r="AL106" i="41"/>
  <c r="AK108" i="41"/>
  <c r="AK106" i="41"/>
  <c r="AK107" i="41"/>
  <c r="B122" i="41"/>
  <c r="C123" i="41"/>
  <c r="G123" i="41" s="1"/>
  <c r="AL940" i="41"/>
  <c r="AL941" i="41"/>
  <c r="AM340" i="41"/>
  <c r="C356" i="41"/>
  <c r="G356" i="41" s="1"/>
  <c r="B355" i="41"/>
  <c r="AL144" i="41"/>
  <c r="AM106" i="41"/>
  <c r="AM108" i="41"/>
  <c r="AM107" i="41"/>
  <c r="AK34" i="41"/>
  <c r="AK32" i="41"/>
  <c r="AK30" i="41"/>
  <c r="AK31" i="41"/>
  <c r="AK33" i="41"/>
  <c r="AL108" i="41"/>
  <c r="AM32" i="41"/>
  <c r="AM30" i="41"/>
  <c r="AM33" i="41"/>
  <c r="AM31" i="41"/>
  <c r="AM144" i="41"/>
  <c r="B690" i="41"/>
  <c r="C691" i="41"/>
  <c r="G691" i="41" s="1"/>
  <c r="B568" i="41"/>
  <c r="C569" i="41"/>
  <c r="G569" i="41" s="1"/>
  <c r="AK303" i="41"/>
  <c r="AK68" i="41"/>
  <c r="AM34" i="41"/>
  <c r="AL34" i="41"/>
  <c r="AM68" i="41"/>
  <c r="B282" i="41"/>
  <c r="C283" i="41"/>
  <c r="G283" i="41" s="1"/>
  <c r="AM304" i="41"/>
  <c r="AL304" i="41"/>
  <c r="AK304" i="41"/>
  <c r="B46" i="41"/>
  <c r="C47" i="41"/>
  <c r="G47" i="41" s="1"/>
  <c r="AL68" i="41"/>
  <c r="AM303" i="41"/>
  <c r="AL1262" i="41"/>
  <c r="AM1262" i="41"/>
  <c r="T29" i="35"/>
  <c r="T33" i="35" s="1"/>
  <c r="T27" i="35"/>
  <c r="T30" i="35"/>
  <c r="T86" i="35" s="1"/>
  <c r="H30" i="35"/>
  <c r="H86" i="35" s="1"/>
  <c r="P27" i="35"/>
  <c r="H28" i="35"/>
  <c r="H32" i="35" s="1"/>
  <c r="AB29" i="35"/>
  <c r="AB33" i="35" s="1"/>
  <c r="M28" i="35"/>
  <c r="M32" i="35" s="1"/>
  <c r="V30" i="35"/>
  <c r="V86" i="35" s="1"/>
  <c r="V28" i="35"/>
  <c r="V32" i="35" s="1"/>
  <c r="L27" i="35"/>
  <c r="L30" i="35"/>
  <c r="L86" i="35" s="1"/>
  <c r="AC30" i="35"/>
  <c r="AC86" i="35" s="1"/>
  <c r="AC27" i="35"/>
  <c r="AB27" i="35"/>
  <c r="AB30" i="35"/>
  <c r="AB86" i="35" s="1"/>
  <c r="M30" i="35"/>
  <c r="M86" i="35" s="1"/>
  <c r="M27" i="35"/>
  <c r="AC29" i="35"/>
  <c r="AC33" i="35" s="1"/>
  <c r="AA27" i="35"/>
  <c r="AA29" i="35"/>
  <c r="AA33" i="35" s="1"/>
  <c r="AA28" i="35"/>
  <c r="AA32" i="35" s="1"/>
  <c r="AA30" i="35"/>
  <c r="AA86" i="35" s="1"/>
  <c r="Q28" i="35"/>
  <c r="Q32" i="35" s="1"/>
  <c r="Q30" i="35"/>
  <c r="Q86" i="35" s="1"/>
  <c r="Q29" i="35"/>
  <c r="Q33" i="35" s="1"/>
  <c r="Q27" i="35"/>
  <c r="AD29" i="35"/>
  <c r="AD33" i="35" s="1"/>
  <c r="AD28" i="35"/>
  <c r="AD32" i="35" s="1"/>
  <c r="AD30" i="35"/>
  <c r="AD86" i="35" s="1"/>
  <c r="AD27" i="35"/>
  <c r="Z61" i="35"/>
  <c r="W30" i="35"/>
  <c r="W86" i="35" s="1"/>
  <c r="W27" i="35"/>
  <c r="W29" i="35"/>
  <c r="W33" i="35" s="1"/>
  <c r="W28" i="35"/>
  <c r="W32" i="35" s="1"/>
  <c r="N29" i="35"/>
  <c r="N33" i="35" s="1"/>
  <c r="N28" i="35"/>
  <c r="N32" i="35" s="1"/>
  <c r="N30" i="35"/>
  <c r="N86" i="35" s="1"/>
  <c r="N27" i="35"/>
  <c r="Z27" i="35"/>
  <c r="Z29" i="35"/>
  <c r="Z33" i="35" s="1"/>
  <c r="Z30" i="35"/>
  <c r="Z86" i="35" s="1"/>
  <c r="Z28" i="35"/>
  <c r="Z32" i="35" s="1"/>
  <c r="J61" i="35"/>
  <c r="J27" i="35"/>
  <c r="J29" i="35"/>
  <c r="J33" i="35" s="1"/>
  <c r="J30" i="35"/>
  <c r="J86" i="35" s="1"/>
  <c r="J28" i="35"/>
  <c r="J32" i="35" s="1"/>
  <c r="K27" i="35"/>
  <c r="K29" i="35"/>
  <c r="K33" i="35" s="1"/>
  <c r="K28" i="35"/>
  <c r="K32" i="35" s="1"/>
  <c r="K30" i="35"/>
  <c r="K86" i="35" s="1"/>
  <c r="AB61" i="35"/>
  <c r="X61" i="35"/>
  <c r="T61" i="35"/>
  <c r="L61" i="35"/>
  <c r="M61" i="35"/>
  <c r="Z38" i="35"/>
  <c r="J38" i="35"/>
  <c r="Y38" i="35"/>
  <c r="I38" i="35"/>
  <c r="X38" i="35"/>
  <c r="H38" i="35"/>
  <c r="W38" i="35"/>
  <c r="V38" i="35"/>
  <c r="U38" i="35"/>
  <c r="T38" i="35"/>
  <c r="S38" i="35"/>
  <c r="R38" i="35"/>
  <c r="Q38" i="35"/>
  <c r="P38" i="35"/>
  <c r="O38" i="35"/>
  <c r="AD38" i="35"/>
  <c r="N38" i="35"/>
  <c r="AC38" i="35"/>
  <c r="M38" i="35"/>
  <c r="AB38" i="35"/>
  <c r="L38" i="35"/>
  <c r="AA38" i="35"/>
  <c r="K38" i="35"/>
  <c r="K43" i="34"/>
  <c r="R28" i="35"/>
  <c r="R32" i="35" s="1"/>
  <c r="R30" i="35"/>
  <c r="R86" i="35" s="1"/>
  <c r="R27" i="35"/>
  <c r="R29" i="35"/>
  <c r="R33" i="35" s="1"/>
  <c r="O28" i="35"/>
  <c r="O32" i="35" s="1"/>
  <c r="O30" i="35"/>
  <c r="O86" i="35" s="1"/>
  <c r="O27" i="35"/>
  <c r="O29" i="35"/>
  <c r="O33" i="35" s="1"/>
  <c r="B1337" i="41" l="1"/>
  <c r="G1337" i="41"/>
  <c r="B448" i="41"/>
  <c r="G448" i="41"/>
  <c r="B1326" i="41"/>
  <c r="G1326" i="41"/>
  <c r="B652" i="41"/>
  <c r="G652" i="41"/>
  <c r="B761" i="41"/>
  <c r="G761" i="41"/>
  <c r="B449" i="41"/>
  <c r="G449" i="41"/>
  <c r="B447" i="41"/>
  <c r="G447" i="41"/>
  <c r="C1336" i="41"/>
  <c r="G1325" i="41"/>
  <c r="C1335" i="41"/>
  <c r="B1325" i="41"/>
  <c r="C1334" i="41"/>
  <c r="B445" i="41"/>
  <c r="G445" i="41"/>
  <c r="B762" i="41"/>
  <c r="G762" i="41"/>
  <c r="B1338" i="41"/>
  <c r="G1338" i="41"/>
  <c r="B446" i="41"/>
  <c r="G446" i="41"/>
  <c r="B742" i="41"/>
  <c r="G742" i="41"/>
  <c r="B656" i="41"/>
  <c r="G656" i="41"/>
  <c r="B655" i="41"/>
  <c r="G655" i="41"/>
  <c r="B653" i="41"/>
  <c r="G653" i="41"/>
  <c r="B760" i="41"/>
  <c r="G760" i="41"/>
  <c r="B758" i="41"/>
  <c r="G758" i="41"/>
  <c r="C1150" i="41"/>
  <c r="G1150" i="41" s="1"/>
  <c r="B429" i="41"/>
  <c r="G429" i="41"/>
  <c r="B759" i="41"/>
  <c r="G759" i="41"/>
  <c r="B1149" i="41"/>
  <c r="BA80" i="35"/>
  <c r="BA83" i="35" s="1"/>
  <c r="BA84" i="35" s="1"/>
  <c r="BA85" i="35" s="1"/>
  <c r="BA90" i="35" s="1"/>
  <c r="AT53" i="35"/>
  <c r="BB80" i="35"/>
  <c r="BB53" i="35"/>
  <c r="BE80" i="35"/>
  <c r="BE53" i="35"/>
  <c r="BG53" i="35"/>
  <c r="BG80" i="35"/>
  <c r="AV80" i="35"/>
  <c r="AV53" i="35"/>
  <c r="AP53" i="35"/>
  <c r="AP80" i="35"/>
  <c r="AX80" i="35"/>
  <c r="AX53" i="35"/>
  <c r="AL80" i="35"/>
  <c r="AL53" i="35"/>
  <c r="BH53" i="35"/>
  <c r="BH80" i="35"/>
  <c r="AT81" i="35"/>
  <c r="AT82" i="35" s="1"/>
  <c r="AT89" i="35" s="1"/>
  <c r="AT83" i="35"/>
  <c r="AT84" i="35" s="1"/>
  <c r="AT85" i="35" s="1"/>
  <c r="AT90" i="35" s="1"/>
  <c r="BF53" i="35"/>
  <c r="BF80" i="35"/>
  <c r="AS80" i="35"/>
  <c r="AS53" i="35"/>
  <c r="AM80" i="35"/>
  <c r="AM53" i="35"/>
  <c r="AY80" i="35"/>
  <c r="AY53" i="35"/>
  <c r="AR80" i="35"/>
  <c r="AR53" i="35"/>
  <c r="AZ80" i="35"/>
  <c r="AZ53" i="35"/>
  <c r="BC80" i="35"/>
  <c r="BC53" i="35"/>
  <c r="BD80" i="35"/>
  <c r="BD53" i="35"/>
  <c r="AW80" i="35"/>
  <c r="AW53" i="35"/>
  <c r="AN80" i="35"/>
  <c r="AN53" i="35"/>
  <c r="AU80" i="35"/>
  <c r="AU53" i="35"/>
  <c r="AO80" i="35"/>
  <c r="AO53" i="35"/>
  <c r="AQ81" i="35"/>
  <c r="AQ82" i="35" s="1"/>
  <c r="AQ89" i="35" s="1"/>
  <c r="AQ83" i="35"/>
  <c r="AQ84" i="35" s="1"/>
  <c r="AQ85" i="35" s="1"/>
  <c r="AQ90" i="35" s="1"/>
  <c r="B10" i="41"/>
  <c r="C11" i="41"/>
  <c r="C23" i="41"/>
  <c r="C20" i="41"/>
  <c r="C19" i="41"/>
  <c r="C21" i="41"/>
  <c r="C22" i="41"/>
  <c r="B85" i="41"/>
  <c r="C86" i="41"/>
  <c r="G86" i="41" s="1"/>
  <c r="C813" i="41"/>
  <c r="C830" i="41"/>
  <c r="C831" i="41"/>
  <c r="C832" i="41"/>
  <c r="C833" i="41"/>
  <c r="B812" i="41"/>
  <c r="C829" i="41"/>
  <c r="AN144" i="41"/>
  <c r="B1241" i="41"/>
  <c r="C1242" i="41"/>
  <c r="G1242" i="41" s="1"/>
  <c r="AL1216" i="41"/>
  <c r="B882" i="41"/>
  <c r="C883" i="41"/>
  <c r="G883" i="41" s="1"/>
  <c r="AM1263" i="41"/>
  <c r="AL1263" i="41"/>
  <c r="AL1217" i="41"/>
  <c r="C233" i="41"/>
  <c r="C229" i="41"/>
  <c r="C213" i="41"/>
  <c r="C232" i="41"/>
  <c r="C230" i="41"/>
  <c r="B212" i="41"/>
  <c r="C231" i="41"/>
  <c r="AM1300" i="41"/>
  <c r="AL1300" i="41"/>
  <c r="AK1300" i="41"/>
  <c r="AN1300" i="41"/>
  <c r="AM1347" i="41"/>
  <c r="B569" i="41"/>
  <c r="C570" i="41"/>
  <c r="G570" i="41" s="1"/>
  <c r="C929" i="41"/>
  <c r="C931" i="41"/>
  <c r="C932" i="41"/>
  <c r="C921" i="41"/>
  <c r="C930" i="41"/>
  <c r="B920" i="41"/>
  <c r="C933" i="41"/>
  <c r="B1278" i="41"/>
  <c r="C1279" i="41"/>
  <c r="G1279" i="41" s="1"/>
  <c r="C1205" i="41"/>
  <c r="C1206" i="41"/>
  <c r="C1207" i="41"/>
  <c r="C1208" i="41"/>
  <c r="C1197" i="41"/>
  <c r="C1209" i="41"/>
  <c r="B1196" i="41"/>
  <c r="B956" i="41"/>
  <c r="C957" i="41"/>
  <c r="G957" i="41" s="1"/>
  <c r="AM1349" i="41"/>
  <c r="AN942" i="41"/>
  <c r="AK942" i="41"/>
  <c r="AM942" i="41"/>
  <c r="AL942" i="41"/>
  <c r="AK1218" i="41"/>
  <c r="AN1218" i="41"/>
  <c r="AL1218" i="41"/>
  <c r="AM1346" i="41"/>
  <c r="AN34" i="41"/>
  <c r="AM1182" i="41"/>
  <c r="AM1348" i="41"/>
  <c r="C702" i="41"/>
  <c r="C704" i="41"/>
  <c r="C706" i="41"/>
  <c r="C705" i="41"/>
  <c r="B691" i="41"/>
  <c r="C692" i="41"/>
  <c r="C703" i="41"/>
  <c r="AK190" i="41"/>
  <c r="AK193" i="41"/>
  <c r="AK191" i="41"/>
  <c r="AK189" i="41"/>
  <c r="AK192" i="41"/>
  <c r="AN68" i="41"/>
  <c r="AN31" i="41"/>
  <c r="AN192" i="41"/>
  <c r="AN191" i="41"/>
  <c r="AN190" i="41"/>
  <c r="AN193" i="41"/>
  <c r="AN189" i="41"/>
  <c r="AN33" i="41"/>
  <c r="C1162" i="41"/>
  <c r="C1163" i="41"/>
  <c r="B1150" i="41"/>
  <c r="C1151" i="41"/>
  <c r="C1159" i="41"/>
  <c r="C1160" i="41"/>
  <c r="AK1262" i="41"/>
  <c r="AK1263" i="41"/>
  <c r="AN30" i="41"/>
  <c r="B1057" i="41"/>
  <c r="C1058" i="41"/>
  <c r="G1058" i="41" s="1"/>
  <c r="AK1172" i="41"/>
  <c r="AN1172" i="41"/>
  <c r="AM1172" i="41"/>
  <c r="AL1172" i="41"/>
  <c r="B47" i="41"/>
  <c r="C48" i="41"/>
  <c r="G48" i="41" s="1"/>
  <c r="AL189" i="41"/>
  <c r="AL191" i="41"/>
  <c r="AL190" i="41"/>
  <c r="AL193" i="41"/>
  <c r="AL192" i="41"/>
  <c r="B123" i="41"/>
  <c r="C124" i="41"/>
  <c r="G124" i="41" s="1"/>
  <c r="AN1217" i="41"/>
  <c r="AN1216" i="41"/>
  <c r="AL1079" i="41"/>
  <c r="AK1079" i="41"/>
  <c r="AN1079" i="41"/>
  <c r="AM1079" i="41"/>
  <c r="AN1313" i="41"/>
  <c r="AN1314" i="41"/>
  <c r="AN1312" i="41"/>
  <c r="AN1310" i="41"/>
  <c r="AN1299" i="41"/>
  <c r="C320" i="41"/>
  <c r="G320" i="41" s="1"/>
  <c r="B319" i="41"/>
  <c r="AK69" i="41"/>
  <c r="AN69" i="41"/>
  <c r="AM69" i="41"/>
  <c r="AL69" i="41"/>
  <c r="AN145" i="41"/>
  <c r="AL145" i="41"/>
  <c r="AK145" i="41"/>
  <c r="AM145" i="41"/>
  <c r="AN304" i="41"/>
  <c r="B1103" i="41"/>
  <c r="C1104" i="41"/>
  <c r="G1104" i="41" s="1"/>
  <c r="AM1216" i="41"/>
  <c r="C296" i="41"/>
  <c r="B283" i="41"/>
  <c r="C292" i="41"/>
  <c r="C293" i="41"/>
  <c r="C294" i="41"/>
  <c r="C284" i="41"/>
  <c r="C295" i="41"/>
  <c r="AM110" i="41"/>
  <c r="AL110" i="41"/>
  <c r="AK110" i="41"/>
  <c r="AN110" i="41"/>
  <c r="B356" i="41"/>
  <c r="C357" i="41"/>
  <c r="G357" i="41" s="1"/>
  <c r="C499" i="41"/>
  <c r="G499" i="41" s="1"/>
  <c r="B498" i="41"/>
  <c r="AL1125" i="41"/>
  <c r="AK1125" i="41"/>
  <c r="AN1125" i="41"/>
  <c r="AM1125" i="41"/>
  <c r="AM193" i="41"/>
  <c r="AM191" i="41"/>
  <c r="AM192" i="41"/>
  <c r="AM190" i="41"/>
  <c r="AM189" i="41"/>
  <c r="AM305" i="41"/>
  <c r="AK305" i="41"/>
  <c r="AL305" i="41"/>
  <c r="AN305" i="41"/>
  <c r="AN1262" i="41"/>
  <c r="AN1263" i="41"/>
  <c r="AM1218" i="41"/>
  <c r="AK109" i="41"/>
  <c r="AN109" i="41"/>
  <c r="AM109" i="41"/>
  <c r="AL109" i="41"/>
  <c r="AN904" i="41"/>
  <c r="AL904" i="41"/>
  <c r="AK904" i="41"/>
  <c r="AM904" i="41"/>
  <c r="AM341" i="41"/>
  <c r="AL341" i="41"/>
  <c r="AN341" i="41"/>
  <c r="AK341" i="41"/>
  <c r="U40" i="35"/>
  <c r="U39" i="35"/>
  <c r="U78" i="35" s="1"/>
  <c r="U79" i="35" s="1"/>
  <c r="W40" i="35"/>
  <c r="W39" i="35"/>
  <c r="W78" i="35" s="1"/>
  <c r="W79" i="35" s="1"/>
  <c r="AA40" i="35"/>
  <c r="AA39" i="35"/>
  <c r="AA78" i="35" s="1"/>
  <c r="AA79" i="35" s="1"/>
  <c r="T40" i="35"/>
  <c r="T39" i="35"/>
  <c r="T78" i="35" s="1"/>
  <c r="T79" i="35" s="1"/>
  <c r="X40" i="35"/>
  <c r="X39" i="35"/>
  <c r="X78" i="35" s="1"/>
  <c r="X79" i="35" s="1"/>
  <c r="AB40" i="35"/>
  <c r="AB39" i="35"/>
  <c r="AB78" i="35" s="1"/>
  <c r="AB79" i="35" s="1"/>
  <c r="I40" i="35"/>
  <c r="I39" i="35"/>
  <c r="I78" i="35" s="1"/>
  <c r="I79" i="35" s="1"/>
  <c r="M39" i="35"/>
  <c r="M78" i="35" s="1"/>
  <c r="M79" i="35" s="1"/>
  <c r="M40" i="35"/>
  <c r="V40" i="35"/>
  <c r="V39" i="35"/>
  <c r="V78" i="35" s="1"/>
  <c r="V79" i="35" s="1"/>
  <c r="K40" i="35"/>
  <c r="K39" i="35"/>
  <c r="K78" i="35" s="1"/>
  <c r="K79" i="35" s="1"/>
  <c r="Y40" i="35"/>
  <c r="Y39" i="35"/>
  <c r="Y78" i="35" s="1"/>
  <c r="Y79" i="35" s="1"/>
  <c r="N39" i="35"/>
  <c r="N78" i="35" s="1"/>
  <c r="N79" i="35" s="1"/>
  <c r="N40" i="35"/>
  <c r="AD39" i="35"/>
  <c r="AD78" i="35" s="1"/>
  <c r="AD79" i="35" s="1"/>
  <c r="AD40" i="35"/>
  <c r="S39" i="35"/>
  <c r="S78" i="35" s="1"/>
  <c r="S79" i="35" s="1"/>
  <c r="S40" i="35"/>
  <c r="H40" i="35"/>
  <c r="H39" i="35"/>
  <c r="H78" i="35" s="1"/>
  <c r="H79" i="35" s="1"/>
  <c r="H80" i="35" s="1"/>
  <c r="H81" i="35" s="1"/>
  <c r="J40" i="35"/>
  <c r="J39" i="35"/>
  <c r="J78" i="35" s="1"/>
  <c r="J79" i="35" s="1"/>
  <c r="Z40" i="35"/>
  <c r="Z39" i="35"/>
  <c r="Z78" i="35" s="1"/>
  <c r="Z79" i="35" s="1"/>
  <c r="O39" i="35"/>
  <c r="O78" i="35" s="1"/>
  <c r="O79" i="35" s="1"/>
  <c r="O40" i="35"/>
  <c r="L40" i="35"/>
  <c r="L39" i="35"/>
  <c r="L78" i="35" s="1"/>
  <c r="L79" i="35" s="1"/>
  <c r="P39" i="35"/>
  <c r="P78" i="35" s="1"/>
  <c r="P79" i="35" s="1"/>
  <c r="P40" i="35"/>
  <c r="Q39" i="35"/>
  <c r="Q78" i="35" s="1"/>
  <c r="Q79" i="35" s="1"/>
  <c r="Q40" i="35"/>
  <c r="AC39" i="35"/>
  <c r="AC78" i="35" s="1"/>
  <c r="AC79" i="35" s="1"/>
  <c r="AC40" i="35"/>
  <c r="R39" i="35"/>
  <c r="R78" i="35" s="1"/>
  <c r="R79" i="35" s="1"/>
  <c r="R40" i="35"/>
  <c r="B295" i="41" l="1"/>
  <c r="G295" i="41"/>
  <c r="B232" i="41"/>
  <c r="G232" i="41"/>
  <c r="B831" i="41"/>
  <c r="G831" i="41"/>
  <c r="BA81" i="35"/>
  <c r="BA82" i="35" s="1"/>
  <c r="BA89" i="35" s="1"/>
  <c r="B692" i="41"/>
  <c r="G692" i="41"/>
  <c r="B932" i="41"/>
  <c r="G932" i="41"/>
  <c r="B706" i="41"/>
  <c r="G706" i="41"/>
  <c r="B929" i="41"/>
  <c r="G929" i="41"/>
  <c r="B231" i="41"/>
  <c r="G231" i="41"/>
  <c r="B933" i="41"/>
  <c r="G933" i="41"/>
  <c r="B296" i="41"/>
  <c r="G296" i="41"/>
  <c r="B930" i="41"/>
  <c r="G930" i="41"/>
  <c r="B1162" i="41"/>
  <c r="G1162" i="41"/>
  <c r="B705" i="41"/>
  <c r="G705" i="41"/>
  <c r="B704" i="41"/>
  <c r="G704" i="41"/>
  <c r="B22" i="41"/>
  <c r="G22" i="41"/>
  <c r="B11" i="41"/>
  <c r="G11" i="41"/>
  <c r="B284" i="41"/>
  <c r="G284" i="41"/>
  <c r="B1160" i="41"/>
  <c r="G1160" i="41"/>
  <c r="B829" i="41"/>
  <c r="G829" i="41"/>
  <c r="B833" i="41"/>
  <c r="G833" i="41"/>
  <c r="B703" i="41"/>
  <c r="G703" i="41"/>
  <c r="B229" i="41"/>
  <c r="G229" i="41"/>
  <c r="B702" i="41"/>
  <c r="G702" i="41"/>
  <c r="B1209" i="41"/>
  <c r="G1209" i="41"/>
  <c r="B21" i="41"/>
  <c r="G21" i="41"/>
  <c r="B1334" i="41"/>
  <c r="G1334" i="41"/>
  <c r="B1336" i="41"/>
  <c r="G1336" i="41"/>
  <c r="B292" i="41"/>
  <c r="G292" i="41"/>
  <c r="B230" i="41"/>
  <c r="G230" i="41"/>
  <c r="B1163" i="41"/>
  <c r="G1163" i="41"/>
  <c r="B813" i="41"/>
  <c r="G813" i="41"/>
  <c r="B1197" i="41"/>
  <c r="G1197" i="41"/>
  <c r="B19" i="41"/>
  <c r="G19" i="41"/>
  <c r="B1205" i="41"/>
  <c r="G1205" i="41"/>
  <c r="B1159" i="41"/>
  <c r="G1159" i="41"/>
  <c r="B921" i="41"/>
  <c r="G921" i="41"/>
  <c r="B233" i="41"/>
  <c r="G233" i="41"/>
  <c r="B1208" i="41"/>
  <c r="G1208" i="41"/>
  <c r="B20" i="41"/>
  <c r="G20" i="41"/>
  <c r="B1335" i="41"/>
  <c r="G1335" i="41"/>
  <c r="B1206" i="41"/>
  <c r="G1206" i="41"/>
  <c r="B294" i="41"/>
  <c r="G294" i="41"/>
  <c r="B293" i="41"/>
  <c r="G293" i="41"/>
  <c r="B1151" i="41"/>
  <c r="G1151" i="41"/>
  <c r="B832" i="41"/>
  <c r="G832" i="41"/>
  <c r="B213" i="41"/>
  <c r="G213" i="41"/>
  <c r="B830" i="41"/>
  <c r="G830" i="41"/>
  <c r="C1161" i="41"/>
  <c r="B931" i="41"/>
  <c r="G931" i="41"/>
  <c r="B1207" i="41"/>
  <c r="G1207" i="41"/>
  <c r="B23" i="41"/>
  <c r="G23" i="41"/>
  <c r="AO81" i="35"/>
  <c r="AO82" i="35" s="1"/>
  <c r="AO89" i="35" s="1"/>
  <c r="AO83" i="35"/>
  <c r="AO84" i="35" s="1"/>
  <c r="AO85" i="35" s="1"/>
  <c r="AO90" i="35" s="1"/>
  <c r="BG81" i="35"/>
  <c r="BG82" i="35" s="1"/>
  <c r="BG89" i="35" s="1"/>
  <c r="BG83" i="35"/>
  <c r="BG84" i="35" s="1"/>
  <c r="BG85" i="35" s="1"/>
  <c r="BG90" i="35" s="1"/>
  <c r="BD83" i="35"/>
  <c r="BD84" i="35" s="1"/>
  <c r="BD85" i="35" s="1"/>
  <c r="BD90" i="35" s="1"/>
  <c r="BD81" i="35"/>
  <c r="BD82" i="35" s="1"/>
  <c r="BD89" i="35" s="1"/>
  <c r="AU81" i="35"/>
  <c r="AU82" i="35" s="1"/>
  <c r="AU89" i="35" s="1"/>
  <c r="AU83" i="35"/>
  <c r="AU84" i="35" s="1"/>
  <c r="AU85" i="35" s="1"/>
  <c r="AU90" i="35" s="1"/>
  <c r="BH83" i="35"/>
  <c r="BH84" i="35" s="1"/>
  <c r="BH85" i="35" s="1"/>
  <c r="BH90" i="35" s="1"/>
  <c r="BH81" i="35"/>
  <c r="BH82" i="35" s="1"/>
  <c r="BH89" i="35" s="1"/>
  <c r="AR83" i="35"/>
  <c r="AR84" i="35" s="1"/>
  <c r="AR85" i="35" s="1"/>
  <c r="AR90" i="35" s="1"/>
  <c r="AR81" i="35"/>
  <c r="AR82" i="35" s="1"/>
  <c r="AR89" i="35" s="1"/>
  <c r="AW81" i="35"/>
  <c r="AW82" i="35" s="1"/>
  <c r="AW89" i="35" s="1"/>
  <c r="AW83" i="35"/>
  <c r="AW84" i="35" s="1"/>
  <c r="AW85" i="35" s="1"/>
  <c r="AW90" i="35" s="1"/>
  <c r="AZ83" i="35"/>
  <c r="AZ84" i="35" s="1"/>
  <c r="AZ85" i="35" s="1"/>
  <c r="AZ90" i="35" s="1"/>
  <c r="AZ81" i="35"/>
  <c r="AZ82" i="35" s="1"/>
  <c r="AZ89" i="35" s="1"/>
  <c r="AY81" i="35"/>
  <c r="AY82" i="35" s="1"/>
  <c r="AY89" i="35" s="1"/>
  <c r="AY83" i="35"/>
  <c r="AY84" i="35" s="1"/>
  <c r="AY85" i="35" s="1"/>
  <c r="AY90" i="35" s="1"/>
  <c r="AP81" i="35"/>
  <c r="AP82" i="35" s="1"/>
  <c r="AP89" i="35" s="1"/>
  <c r="AP83" i="35"/>
  <c r="AP84" i="35" s="1"/>
  <c r="AP85" i="35" s="1"/>
  <c r="AP90" i="35" s="1"/>
  <c r="BB83" i="35"/>
  <c r="BB84" i="35" s="1"/>
  <c r="BB85" i="35" s="1"/>
  <c r="BB90" i="35" s="1"/>
  <c r="BB81" i="35"/>
  <c r="BB82" i="35" s="1"/>
  <c r="BB89" i="35" s="1"/>
  <c r="AM81" i="35"/>
  <c r="AM82" i="35" s="1"/>
  <c r="AM89" i="35" s="1"/>
  <c r="AM83" i="35"/>
  <c r="AM84" i="35" s="1"/>
  <c r="AM85" i="35" s="1"/>
  <c r="AM90" i="35" s="1"/>
  <c r="AS83" i="35"/>
  <c r="AS84" i="35" s="1"/>
  <c r="AS85" i="35" s="1"/>
  <c r="AS90" i="35" s="1"/>
  <c r="AS81" i="35"/>
  <c r="AS82" i="35" s="1"/>
  <c r="AS89" i="35" s="1"/>
  <c r="AL83" i="35"/>
  <c r="AL84" i="35" s="1"/>
  <c r="AL85" i="35" s="1"/>
  <c r="AL90" i="35" s="1"/>
  <c r="AL81" i="35"/>
  <c r="AL82" i="35" s="1"/>
  <c r="AL89" i="35" s="1"/>
  <c r="AN81" i="35"/>
  <c r="AN82" i="35" s="1"/>
  <c r="AN89" i="35" s="1"/>
  <c r="AN83" i="35"/>
  <c r="AN84" i="35" s="1"/>
  <c r="AN85" i="35" s="1"/>
  <c r="AN90" i="35" s="1"/>
  <c r="BE83" i="35"/>
  <c r="BE84" i="35" s="1"/>
  <c r="BE85" i="35" s="1"/>
  <c r="BE90" i="35" s="1"/>
  <c r="BE81" i="35"/>
  <c r="BE82" i="35" s="1"/>
  <c r="BE89" i="35" s="1"/>
  <c r="AV81" i="35"/>
  <c r="AV82" i="35" s="1"/>
  <c r="AV89" i="35" s="1"/>
  <c r="AV83" i="35"/>
  <c r="AV84" i="35" s="1"/>
  <c r="AV85" i="35" s="1"/>
  <c r="AV90" i="35" s="1"/>
  <c r="BC83" i="35"/>
  <c r="BC84" i="35" s="1"/>
  <c r="BC85" i="35" s="1"/>
  <c r="BC90" i="35" s="1"/>
  <c r="BC81" i="35"/>
  <c r="BC82" i="35" s="1"/>
  <c r="BC89" i="35" s="1"/>
  <c r="AX81" i="35"/>
  <c r="AX82" i="35" s="1"/>
  <c r="AX89" i="35" s="1"/>
  <c r="AX83" i="35"/>
  <c r="AX84" i="35" s="1"/>
  <c r="AX85" i="35" s="1"/>
  <c r="AX90" i="35" s="1"/>
  <c r="BF81" i="35"/>
  <c r="BF82" i="35" s="1"/>
  <c r="BF89" i="35" s="1"/>
  <c r="BF83" i="35"/>
  <c r="BF84" i="35" s="1"/>
  <c r="BF85" i="35" s="1"/>
  <c r="BF90" i="35" s="1"/>
  <c r="C97" i="41"/>
  <c r="C96" i="41"/>
  <c r="B86" i="41"/>
  <c r="C87" i="41"/>
  <c r="C95" i="41"/>
  <c r="C99" i="41"/>
  <c r="C98" i="41"/>
  <c r="AO1079" i="41"/>
  <c r="AO1231" i="41"/>
  <c r="AO1227" i="41"/>
  <c r="AO1230" i="41"/>
  <c r="AO1228" i="41"/>
  <c r="AO1229" i="41"/>
  <c r="AO145" i="41"/>
  <c r="AO144" i="41"/>
  <c r="C374" i="41"/>
  <c r="B357" i="41"/>
  <c r="C375" i="41"/>
  <c r="C378" i="41"/>
  <c r="C376" i="41"/>
  <c r="C358" i="41"/>
  <c r="C377" i="41"/>
  <c r="AK307" i="41"/>
  <c r="AN307" i="41"/>
  <c r="AM307" i="41"/>
  <c r="AL307" i="41"/>
  <c r="AM1219" i="41"/>
  <c r="AL1219" i="41"/>
  <c r="AK1219" i="41"/>
  <c r="AN1219" i="41"/>
  <c r="AN944" i="41"/>
  <c r="AM944" i="41"/>
  <c r="AL944" i="41"/>
  <c r="AK944" i="41"/>
  <c r="AO1093" i="41"/>
  <c r="AO1091" i="41"/>
  <c r="AO1089" i="41"/>
  <c r="AO1092" i="41"/>
  <c r="AO1078" i="41"/>
  <c r="AO1090" i="41"/>
  <c r="AO1125" i="41"/>
  <c r="AN1220" i="41"/>
  <c r="AM1220" i="41"/>
  <c r="AL1220" i="41"/>
  <c r="AK1220" i="41"/>
  <c r="AO1348" i="41"/>
  <c r="AO1346" i="41"/>
  <c r="AO1349" i="41"/>
  <c r="AO1347" i="41"/>
  <c r="AN342" i="41"/>
  <c r="AL342" i="41"/>
  <c r="AM342" i="41"/>
  <c r="AK342" i="41"/>
  <c r="AO306" i="41"/>
  <c r="AM306" i="41"/>
  <c r="AL306" i="41"/>
  <c r="AK306" i="41"/>
  <c r="AN306" i="41"/>
  <c r="C333" i="41"/>
  <c r="B320" i="41"/>
  <c r="C321" i="41"/>
  <c r="C329" i="41"/>
  <c r="C331" i="41"/>
  <c r="C330" i="41"/>
  <c r="C332" i="41"/>
  <c r="AO1358" i="41"/>
  <c r="AO1356" i="41"/>
  <c r="AO1359" i="41"/>
  <c r="AO1345" i="41"/>
  <c r="AO1360" i="41"/>
  <c r="AO1137" i="41"/>
  <c r="AO1135" i="41"/>
  <c r="AO1138" i="41"/>
  <c r="AO1139" i="41"/>
  <c r="AO1136" i="41"/>
  <c r="C1254" i="41"/>
  <c r="C1255" i="41"/>
  <c r="B1242" i="41"/>
  <c r="C1252" i="41"/>
  <c r="C1243" i="41"/>
  <c r="C1253" i="41"/>
  <c r="C1251" i="41"/>
  <c r="AO904" i="41"/>
  <c r="AO903" i="41"/>
  <c r="AL1264" i="41"/>
  <c r="AN1264" i="41"/>
  <c r="AM1264" i="41"/>
  <c r="AK1264" i="41"/>
  <c r="AM943" i="41"/>
  <c r="AL943" i="41"/>
  <c r="AK943" i="41"/>
  <c r="AN943" i="41"/>
  <c r="AN1174" i="41"/>
  <c r="AM1174" i="41"/>
  <c r="AL1174" i="41"/>
  <c r="AK1174" i="41"/>
  <c r="AO304" i="41"/>
  <c r="AO305" i="41"/>
  <c r="AO303" i="41"/>
  <c r="AO307" i="41"/>
  <c r="AO106" i="41"/>
  <c r="AO109" i="41"/>
  <c r="AO108" i="41"/>
  <c r="AO107" i="41"/>
  <c r="AO110" i="41"/>
  <c r="AN1311" i="41"/>
  <c r="AM1173" i="41"/>
  <c r="AL1173" i="41"/>
  <c r="AK1173" i="41"/>
  <c r="AN1173" i="41"/>
  <c r="C516" i="41"/>
  <c r="B499" i="41"/>
  <c r="C500" i="41"/>
  <c r="C518" i="41"/>
  <c r="C519" i="41"/>
  <c r="C520" i="41"/>
  <c r="C517" i="41"/>
  <c r="C136" i="41"/>
  <c r="C135" i="41"/>
  <c r="C134" i="41"/>
  <c r="C133" i="41"/>
  <c r="C125" i="41"/>
  <c r="C137" i="41"/>
  <c r="B124" i="41"/>
  <c r="C1114" i="41"/>
  <c r="C1115" i="41"/>
  <c r="C1116" i="41"/>
  <c r="C1117" i="41"/>
  <c r="B1104" i="41"/>
  <c r="C1105" i="41"/>
  <c r="C1113" i="41"/>
  <c r="AN146" i="41"/>
  <c r="AL146" i="41"/>
  <c r="AO146" i="41"/>
  <c r="AM146" i="41"/>
  <c r="AK146" i="41"/>
  <c r="C1292" i="41"/>
  <c r="B1279" i="41"/>
  <c r="C1288" i="41"/>
  <c r="C1291" i="41"/>
  <c r="C1280" i="41"/>
  <c r="C1290" i="41"/>
  <c r="C1289" i="41"/>
  <c r="AO943" i="41"/>
  <c r="AO944" i="41"/>
  <c r="AO942" i="41"/>
  <c r="AO940" i="41"/>
  <c r="AO941" i="41"/>
  <c r="AO1300" i="41"/>
  <c r="AO32" i="41"/>
  <c r="AO30" i="41"/>
  <c r="AO33" i="41"/>
  <c r="AO34" i="41"/>
  <c r="AO31" i="41"/>
  <c r="AN1126" i="41"/>
  <c r="AM1126" i="41"/>
  <c r="AL1126" i="41"/>
  <c r="AK1126" i="41"/>
  <c r="AO1126" i="41"/>
  <c r="C58" i="41"/>
  <c r="C59" i="41"/>
  <c r="C60" i="41"/>
  <c r="C61" i="41"/>
  <c r="B48" i="41"/>
  <c r="C49" i="41"/>
  <c r="C57" i="41"/>
  <c r="AO1301" i="41"/>
  <c r="AK1301" i="41"/>
  <c r="AN1301" i="41"/>
  <c r="AM1301" i="41"/>
  <c r="AL1301" i="41"/>
  <c r="C587" i="41"/>
  <c r="B570" i="41"/>
  <c r="C588" i="41"/>
  <c r="C589" i="41"/>
  <c r="C590" i="41"/>
  <c r="C591" i="41"/>
  <c r="C571" i="41"/>
  <c r="AO1220" i="41"/>
  <c r="AO1218" i="41"/>
  <c r="AO1219" i="41"/>
  <c r="AO1217" i="41"/>
  <c r="AO1216" i="41"/>
  <c r="AO1313" i="41"/>
  <c r="AO1314" i="41"/>
  <c r="AO1312" i="41"/>
  <c r="AO1310" i="41"/>
  <c r="AO1299" i="41"/>
  <c r="AM70" i="41"/>
  <c r="AL70" i="41"/>
  <c r="AK70" i="41"/>
  <c r="AN70" i="41"/>
  <c r="C1068" i="41"/>
  <c r="C1069" i="41"/>
  <c r="C1070" i="41"/>
  <c r="C1071" i="41"/>
  <c r="B1058" i="41"/>
  <c r="C1059" i="41"/>
  <c r="C1067" i="41"/>
  <c r="AO1181" i="41"/>
  <c r="AO1184" i="41"/>
  <c r="AO1182" i="41"/>
  <c r="AO1185" i="41"/>
  <c r="AO1183" i="41"/>
  <c r="AO1273" i="41"/>
  <c r="AO68" i="41"/>
  <c r="AO69" i="41"/>
  <c r="AO70" i="41"/>
  <c r="AN1080" i="41"/>
  <c r="AM1080" i="41"/>
  <c r="AL1080" i="41"/>
  <c r="AK1080" i="41"/>
  <c r="AO1080" i="41"/>
  <c r="AO905" i="41"/>
  <c r="AN905" i="41"/>
  <c r="AL905" i="41"/>
  <c r="AM905" i="41"/>
  <c r="AK905" i="41"/>
  <c r="C979" i="41"/>
  <c r="C980" i="41"/>
  <c r="C958" i="41"/>
  <c r="C982" i="41"/>
  <c r="C978" i="41"/>
  <c r="B957" i="41"/>
  <c r="C981" i="41"/>
  <c r="AO1263" i="41"/>
  <c r="AO1262" i="41"/>
  <c r="AO1264" i="41"/>
  <c r="AO1171" i="41"/>
  <c r="AO1174" i="41"/>
  <c r="AO1172" i="41"/>
  <c r="AO1170" i="41"/>
  <c r="AO1173" i="41"/>
  <c r="AO341" i="41"/>
  <c r="AO342" i="41"/>
  <c r="AO340" i="41"/>
  <c r="C895" i="41"/>
  <c r="C884" i="41"/>
  <c r="B883" i="41"/>
  <c r="C892" i="41"/>
  <c r="C894" i="41"/>
  <c r="C896" i="41"/>
  <c r="C893" i="41"/>
  <c r="N80" i="35"/>
  <c r="N53" i="35"/>
  <c r="AA80" i="35"/>
  <c r="AA53" i="35"/>
  <c r="J80" i="35"/>
  <c r="J53" i="35"/>
  <c r="Z80" i="35"/>
  <c r="Z53" i="35"/>
  <c r="Y80" i="35"/>
  <c r="Y53" i="35"/>
  <c r="W80" i="35"/>
  <c r="W53" i="35"/>
  <c r="I80" i="35"/>
  <c r="I53" i="35"/>
  <c r="AD80" i="35"/>
  <c r="AD53" i="35"/>
  <c r="R80" i="35"/>
  <c r="R53" i="35"/>
  <c r="K80" i="35"/>
  <c r="K53" i="35"/>
  <c r="H53" i="35"/>
  <c r="U80" i="35"/>
  <c r="U53" i="35"/>
  <c r="Q80" i="35"/>
  <c r="Q53" i="35"/>
  <c r="M80" i="35"/>
  <c r="M53" i="35"/>
  <c r="S80" i="35"/>
  <c r="S53" i="35"/>
  <c r="X80" i="35"/>
  <c r="X53" i="35"/>
  <c r="L80" i="35"/>
  <c r="L53" i="35"/>
  <c r="V80" i="35"/>
  <c r="V53" i="35"/>
  <c r="T80" i="35"/>
  <c r="T53" i="35"/>
  <c r="P80" i="35"/>
  <c r="P53" i="35"/>
  <c r="AB80" i="35"/>
  <c r="AB53" i="35"/>
  <c r="O80" i="35"/>
  <c r="O53" i="35"/>
  <c r="AC80" i="35"/>
  <c r="AC53" i="35"/>
  <c r="B896" i="41" l="1"/>
  <c r="G896" i="41"/>
  <c r="B571" i="41"/>
  <c r="G571" i="41"/>
  <c r="B518" i="41"/>
  <c r="G518" i="41"/>
  <c r="B375" i="41"/>
  <c r="G375" i="41"/>
  <c r="B591" i="41"/>
  <c r="G591" i="41"/>
  <c r="B892" i="41"/>
  <c r="G892" i="41"/>
  <c r="B1117" i="41"/>
  <c r="G1117" i="41"/>
  <c r="B980" i="41"/>
  <c r="G980" i="41"/>
  <c r="B1291" i="41"/>
  <c r="G1291" i="41"/>
  <c r="B333" i="41"/>
  <c r="G333" i="41"/>
  <c r="B134" i="41"/>
  <c r="G134" i="41"/>
  <c r="B1068" i="41"/>
  <c r="G1068" i="41"/>
  <c r="B500" i="41"/>
  <c r="G500" i="41"/>
  <c r="B1253" i="41"/>
  <c r="G1253" i="41"/>
  <c r="B97" i="41"/>
  <c r="G97" i="41"/>
  <c r="B58" i="41"/>
  <c r="G58" i="41"/>
  <c r="B516" i="41"/>
  <c r="G516" i="41"/>
  <c r="B982" i="41"/>
  <c r="G982" i="41"/>
  <c r="B588" i="41"/>
  <c r="G588" i="41"/>
  <c r="B329" i="41"/>
  <c r="G329" i="41"/>
  <c r="B979" i="41"/>
  <c r="G979" i="41"/>
  <c r="B1288" i="41"/>
  <c r="G1288" i="41"/>
  <c r="B1067" i="41"/>
  <c r="G1067" i="41"/>
  <c r="B135" i="41"/>
  <c r="G135" i="41"/>
  <c r="B98" i="41"/>
  <c r="G98" i="41"/>
  <c r="B60" i="41"/>
  <c r="G60" i="41"/>
  <c r="B1105" i="41"/>
  <c r="G1105" i="41"/>
  <c r="B1251" i="41"/>
  <c r="G1251" i="41"/>
  <c r="B96" i="41"/>
  <c r="G96" i="41"/>
  <c r="B894" i="41"/>
  <c r="G894" i="41"/>
  <c r="B332" i="41"/>
  <c r="G332" i="41"/>
  <c r="B978" i="41"/>
  <c r="G978" i="41"/>
  <c r="B1289" i="41"/>
  <c r="G1289" i="41"/>
  <c r="B1252" i="41"/>
  <c r="G1252" i="41"/>
  <c r="B895" i="41"/>
  <c r="G895" i="41"/>
  <c r="B1114" i="41"/>
  <c r="G1114" i="41"/>
  <c r="B1254" i="41"/>
  <c r="G1254" i="41"/>
  <c r="B1059" i="41"/>
  <c r="G1059" i="41"/>
  <c r="B57" i="41"/>
  <c r="G57" i="41"/>
  <c r="B136" i="41"/>
  <c r="G136" i="41"/>
  <c r="B377" i="41"/>
  <c r="G377" i="41"/>
  <c r="B99" i="41"/>
  <c r="G99" i="41"/>
  <c r="B1069" i="41"/>
  <c r="G1069" i="41"/>
  <c r="B981" i="41"/>
  <c r="G981" i="41"/>
  <c r="B59" i="41"/>
  <c r="G59" i="41"/>
  <c r="B1243" i="41"/>
  <c r="G1243" i="41"/>
  <c r="B330" i="41"/>
  <c r="G330" i="41"/>
  <c r="B374" i="41"/>
  <c r="G374" i="41"/>
  <c r="B589" i="41"/>
  <c r="G589" i="41"/>
  <c r="B321" i="41"/>
  <c r="G321" i="41"/>
  <c r="B587" i="41"/>
  <c r="G587" i="41"/>
  <c r="B137" i="41"/>
  <c r="G137" i="41"/>
  <c r="B125" i="41"/>
  <c r="G125" i="41"/>
  <c r="B133" i="41"/>
  <c r="G133" i="41"/>
  <c r="B49" i="41"/>
  <c r="G49" i="41"/>
  <c r="B517" i="41"/>
  <c r="G517" i="41"/>
  <c r="B358" i="41"/>
  <c r="G358" i="41"/>
  <c r="B95" i="41"/>
  <c r="G95" i="41"/>
  <c r="B590" i="41"/>
  <c r="G590" i="41"/>
  <c r="B884" i="41"/>
  <c r="G884" i="41"/>
  <c r="B1115" i="41"/>
  <c r="G1115" i="41"/>
  <c r="B958" i="41"/>
  <c r="G958" i="41"/>
  <c r="B1255" i="41"/>
  <c r="G1255" i="41"/>
  <c r="B1071" i="41"/>
  <c r="G1071" i="41"/>
  <c r="B520" i="41"/>
  <c r="G520" i="41"/>
  <c r="B376" i="41"/>
  <c r="G376" i="41"/>
  <c r="B87" i="41"/>
  <c r="G87" i="41"/>
  <c r="B1161" i="41"/>
  <c r="G1161" i="41"/>
  <c r="B1116" i="41"/>
  <c r="G1116" i="41"/>
  <c r="B331" i="41"/>
  <c r="G331" i="41"/>
  <c r="B1290" i="41"/>
  <c r="G1290" i="41"/>
  <c r="B1280" i="41"/>
  <c r="G1280" i="41"/>
  <c r="B1292" i="41"/>
  <c r="G1292" i="41"/>
  <c r="B893" i="41"/>
  <c r="G893" i="41"/>
  <c r="B1070" i="41"/>
  <c r="G1070" i="41"/>
  <c r="B61" i="41"/>
  <c r="G61" i="41"/>
  <c r="B1113" i="41"/>
  <c r="G1113" i="41"/>
  <c r="B519" i="41"/>
  <c r="G519" i="41"/>
  <c r="B378" i="41"/>
  <c r="G378" i="41"/>
  <c r="H30" i="25"/>
  <c r="H29" i="25"/>
  <c r="AP1137" i="41"/>
  <c r="AP1135" i="41"/>
  <c r="AP1138" i="41"/>
  <c r="AP1139" i="41"/>
  <c r="AP1136" i="41"/>
  <c r="AP904" i="41"/>
  <c r="AP905" i="41"/>
  <c r="AP903" i="41"/>
  <c r="AO1082" i="41"/>
  <c r="AN1082" i="41"/>
  <c r="AM1082" i="41"/>
  <c r="AL1082" i="41"/>
  <c r="AK1082" i="41"/>
  <c r="AP1300" i="41"/>
  <c r="AP1301" i="41"/>
  <c r="AO1081" i="41"/>
  <c r="AN1081" i="41"/>
  <c r="AM1081" i="41"/>
  <c r="AL1081" i="41"/>
  <c r="AK1081" i="41"/>
  <c r="AP1230" i="41"/>
  <c r="AP1231" i="41"/>
  <c r="AP1228" i="41"/>
  <c r="AP1227" i="41"/>
  <c r="AP1229" i="41"/>
  <c r="AO1357" i="41"/>
  <c r="AK1265" i="41"/>
  <c r="AM1265" i="41"/>
  <c r="AN1265" i="41"/>
  <c r="AL1265" i="41"/>
  <c r="AO1265" i="41"/>
  <c r="AK906" i="41"/>
  <c r="AP906" i="41"/>
  <c r="AO906" i="41"/>
  <c r="AN906" i="41"/>
  <c r="AM906" i="41"/>
  <c r="AL906" i="41"/>
  <c r="AM907" i="41"/>
  <c r="AL907" i="41"/>
  <c r="AP907" i="41"/>
  <c r="AO907" i="41"/>
  <c r="AN907" i="41"/>
  <c r="AK907" i="41"/>
  <c r="AP71" i="41"/>
  <c r="AP69" i="41"/>
  <c r="AP70" i="41"/>
  <c r="AP68" i="41"/>
  <c r="AP1218" i="41"/>
  <c r="AP1219" i="41"/>
  <c r="AP1217" i="41"/>
  <c r="AP1220" i="41"/>
  <c r="AP1216" i="41"/>
  <c r="AP1358" i="41"/>
  <c r="AP1356" i="41"/>
  <c r="AP1359" i="41"/>
  <c r="AP1357" i="41"/>
  <c r="AP1360" i="41"/>
  <c r="AP146" i="41"/>
  <c r="AP144" i="41"/>
  <c r="AP145" i="41"/>
  <c r="AP148" i="41"/>
  <c r="AP342" i="41"/>
  <c r="AP340" i="41"/>
  <c r="AP341" i="41"/>
  <c r="AP1310" i="41"/>
  <c r="AP1311" i="41"/>
  <c r="AP1314" i="41"/>
  <c r="AP1312" i="41"/>
  <c r="AP1313" i="41"/>
  <c r="AN344" i="41"/>
  <c r="AK344" i="41"/>
  <c r="AP344" i="41"/>
  <c r="AL344" i="41"/>
  <c r="AO344" i="41"/>
  <c r="AM344" i="41"/>
  <c r="AP1171" i="41"/>
  <c r="AP1174" i="41"/>
  <c r="AP1172" i="41"/>
  <c r="AP1173" i="41"/>
  <c r="AP30" i="41"/>
  <c r="AP33" i="41"/>
  <c r="AP34" i="41"/>
  <c r="AP32" i="41"/>
  <c r="AP31" i="41"/>
  <c r="AL343" i="41"/>
  <c r="AP343" i="41"/>
  <c r="AN343" i="41"/>
  <c r="AK343" i="41"/>
  <c r="AO343" i="41"/>
  <c r="AM343" i="41"/>
  <c r="AP1081" i="41"/>
  <c r="AP1079" i="41"/>
  <c r="AP1082" i="41"/>
  <c r="AP1080" i="41"/>
  <c r="AP1181" i="41"/>
  <c r="AP1184" i="41"/>
  <c r="AP1185" i="41"/>
  <c r="AP1170" i="41"/>
  <c r="AP1183" i="41"/>
  <c r="AP1124" i="41"/>
  <c r="AP1125" i="41"/>
  <c r="AP1126" i="41"/>
  <c r="AP1346" i="41"/>
  <c r="AP1349" i="41"/>
  <c r="AP1347" i="41"/>
  <c r="AP1345" i="41"/>
  <c r="AP1348" i="41"/>
  <c r="AP307" i="41"/>
  <c r="AP303" i="41"/>
  <c r="AP306" i="41"/>
  <c r="AP305" i="41"/>
  <c r="AP304" i="41"/>
  <c r="AK1303" i="41"/>
  <c r="AM1303" i="41"/>
  <c r="AL1303" i="41"/>
  <c r="AN1303" i="41"/>
  <c r="AP1303" i="41"/>
  <c r="AO1303" i="41"/>
  <c r="AP147" i="41"/>
  <c r="AN147" i="41"/>
  <c r="AK147" i="41"/>
  <c r="AO147" i="41"/>
  <c r="AM147" i="41"/>
  <c r="AL147" i="41"/>
  <c r="AO1124" i="41"/>
  <c r="AP940" i="41"/>
  <c r="AP941" i="41"/>
  <c r="AP944" i="41"/>
  <c r="AP942" i="41"/>
  <c r="AP943" i="41"/>
  <c r="AP110" i="41"/>
  <c r="AP108" i="41"/>
  <c r="AP109" i="41"/>
  <c r="AP106" i="41"/>
  <c r="AP107" i="41"/>
  <c r="AO1311" i="41"/>
  <c r="AP72" i="41"/>
  <c r="AO72" i="41"/>
  <c r="AN72" i="41"/>
  <c r="AM72" i="41"/>
  <c r="AL72" i="41"/>
  <c r="AK72" i="41"/>
  <c r="AP1265" i="41"/>
  <c r="AP1263" i="41"/>
  <c r="AP1264" i="41"/>
  <c r="AO71" i="41"/>
  <c r="AN71" i="41"/>
  <c r="AM71" i="41"/>
  <c r="AL71" i="41"/>
  <c r="AK71" i="41"/>
  <c r="AP1128" i="41"/>
  <c r="AO1128" i="41"/>
  <c r="AN1128" i="41"/>
  <c r="AM1128" i="41"/>
  <c r="AL1128" i="41"/>
  <c r="AK1128" i="41"/>
  <c r="AM148" i="41"/>
  <c r="AL148" i="41"/>
  <c r="AO148" i="41"/>
  <c r="AN148" i="41"/>
  <c r="AK148" i="41"/>
  <c r="AP1273" i="41"/>
  <c r="AP1262" i="41"/>
  <c r="AP1302" i="41"/>
  <c r="AO1302" i="41"/>
  <c r="AL1302" i="41"/>
  <c r="AN1302" i="41"/>
  <c r="AM1302" i="41"/>
  <c r="AK1302" i="41"/>
  <c r="AP1127" i="41"/>
  <c r="AO1127" i="41"/>
  <c r="AN1127" i="41"/>
  <c r="AM1127" i="41"/>
  <c r="AL1127" i="41"/>
  <c r="AK1127" i="41"/>
  <c r="AM1266" i="41"/>
  <c r="AL1266" i="41"/>
  <c r="AP1266" i="41"/>
  <c r="AO1266" i="41"/>
  <c r="AN1266" i="41"/>
  <c r="AK1266" i="41"/>
  <c r="AO191" i="41"/>
  <c r="AO189" i="41"/>
  <c r="AO190" i="41"/>
  <c r="AO193" i="41"/>
  <c r="AO192" i="41"/>
  <c r="AP1091" i="41"/>
  <c r="AP1089" i="41"/>
  <c r="AP1092" i="41"/>
  <c r="AP1090" i="41"/>
  <c r="AP1093" i="41"/>
  <c r="AD83" i="35"/>
  <c r="AD84" i="35" s="1"/>
  <c r="AD85" i="35" s="1"/>
  <c r="AD90" i="35" s="1"/>
  <c r="AD81" i="35"/>
  <c r="AD82" i="35" s="1"/>
  <c r="AD89" i="35" s="1"/>
  <c r="M81" i="35"/>
  <c r="M82" i="35" s="1"/>
  <c r="M89" i="35" s="1"/>
  <c r="M83" i="35"/>
  <c r="M84" i="35" s="1"/>
  <c r="M85" i="35" s="1"/>
  <c r="M90" i="35" s="1"/>
  <c r="I81" i="35"/>
  <c r="I82" i="35" s="1"/>
  <c r="I89" i="35" s="1"/>
  <c r="I83" i="35"/>
  <c r="I84" i="35" s="1"/>
  <c r="I85" i="35" s="1"/>
  <c r="I90" i="35" s="1"/>
  <c r="O83" i="35"/>
  <c r="O84" i="35" s="1"/>
  <c r="O85" i="35" s="1"/>
  <c r="O90" i="35" s="1"/>
  <c r="O81" i="35"/>
  <c r="O82" i="35" s="1"/>
  <c r="O89" i="35" s="1"/>
  <c r="Q81" i="35"/>
  <c r="Q82" i="35" s="1"/>
  <c r="Q89" i="35" s="1"/>
  <c r="Q83" i="35"/>
  <c r="Q84" i="35" s="1"/>
  <c r="Q85" i="35" s="1"/>
  <c r="Q90" i="35" s="1"/>
  <c r="Y81" i="35"/>
  <c r="Y82" i="35" s="1"/>
  <c r="Y89" i="35" s="1"/>
  <c r="Y83" i="35"/>
  <c r="Y84" i="35" s="1"/>
  <c r="Y85" i="35" s="1"/>
  <c r="Y90" i="35" s="1"/>
  <c r="W81" i="35"/>
  <c r="W82" i="35" s="1"/>
  <c r="W89" i="35" s="1"/>
  <c r="W83" i="35"/>
  <c r="W84" i="35" s="1"/>
  <c r="W85" i="35" s="1"/>
  <c r="W90" i="35" s="1"/>
  <c r="T81" i="35"/>
  <c r="T82" i="35" s="1"/>
  <c r="T89" i="35" s="1"/>
  <c r="T83" i="35"/>
  <c r="T84" i="35" s="1"/>
  <c r="T85" i="35" s="1"/>
  <c r="T90" i="35" s="1"/>
  <c r="U81" i="35"/>
  <c r="U82" i="35" s="1"/>
  <c r="U89" i="35" s="1"/>
  <c r="U83" i="35"/>
  <c r="U84" i="35" s="1"/>
  <c r="U85" i="35" s="1"/>
  <c r="U90" i="35" s="1"/>
  <c r="Z81" i="35"/>
  <c r="Z82" i="35" s="1"/>
  <c r="Z89" i="35" s="1"/>
  <c r="Z83" i="35"/>
  <c r="Z84" i="35" s="1"/>
  <c r="Z85" i="35" s="1"/>
  <c r="Z90" i="35" s="1"/>
  <c r="P81" i="35"/>
  <c r="P82" i="35" s="1"/>
  <c r="P89" i="35" s="1"/>
  <c r="P83" i="35"/>
  <c r="P84" i="35" s="1"/>
  <c r="P85" i="35" s="1"/>
  <c r="P90" i="35" s="1"/>
  <c r="AB81" i="35"/>
  <c r="AB82" i="35" s="1"/>
  <c r="AB89" i="35" s="1"/>
  <c r="AB83" i="35"/>
  <c r="AB84" i="35" s="1"/>
  <c r="AB85" i="35" s="1"/>
  <c r="AB90" i="35" s="1"/>
  <c r="V81" i="35"/>
  <c r="V82" i="35" s="1"/>
  <c r="V89" i="35" s="1"/>
  <c r="V83" i="35"/>
  <c r="V84" i="35" s="1"/>
  <c r="V85" i="35" s="1"/>
  <c r="V90" i="35" s="1"/>
  <c r="X81" i="35"/>
  <c r="X82" i="35" s="1"/>
  <c r="X89" i="35" s="1"/>
  <c r="X83" i="35"/>
  <c r="X84" i="35" s="1"/>
  <c r="X85" i="35" s="1"/>
  <c r="X90" i="35" s="1"/>
  <c r="AC81" i="35"/>
  <c r="AC82" i="35" s="1"/>
  <c r="AC89" i="35" s="1"/>
  <c r="AC83" i="35"/>
  <c r="AC84" i="35" s="1"/>
  <c r="AC85" i="35" s="1"/>
  <c r="AC90" i="35" s="1"/>
  <c r="S81" i="35"/>
  <c r="S82" i="35" s="1"/>
  <c r="S89" i="35" s="1"/>
  <c r="S83" i="35"/>
  <c r="S84" i="35" s="1"/>
  <c r="S85" i="35" s="1"/>
  <c r="S90" i="35" s="1"/>
  <c r="H82" i="35"/>
  <c r="H89" i="35" s="1"/>
  <c r="H83" i="35"/>
  <c r="H84" i="35" s="1"/>
  <c r="H85" i="35" s="1"/>
  <c r="H90" i="35" s="1"/>
  <c r="J81" i="35"/>
  <c r="J82" i="35" s="1"/>
  <c r="J89" i="35" s="1"/>
  <c r="J83" i="35"/>
  <c r="J84" i="35" s="1"/>
  <c r="J85" i="35" s="1"/>
  <c r="J90" i="35" s="1"/>
  <c r="K45" i="34" s="1"/>
  <c r="L81" i="35"/>
  <c r="L82" i="35" s="1"/>
  <c r="L89" i="35" s="1"/>
  <c r="L83" i="35"/>
  <c r="L84" i="35" s="1"/>
  <c r="L85" i="35" s="1"/>
  <c r="L90" i="35" s="1"/>
  <c r="K81" i="35"/>
  <c r="K82" i="35" s="1"/>
  <c r="K89" i="35" s="1"/>
  <c r="K83" i="35"/>
  <c r="K84" i="35" s="1"/>
  <c r="K85" i="35" s="1"/>
  <c r="K90" i="35" s="1"/>
  <c r="AA81" i="35"/>
  <c r="AA82" i="35" s="1"/>
  <c r="AA89" i="35" s="1"/>
  <c r="AA83" i="35"/>
  <c r="AA84" i="35" s="1"/>
  <c r="AA85" i="35" s="1"/>
  <c r="AA90" i="35" s="1"/>
  <c r="R81" i="35"/>
  <c r="R82" i="35" s="1"/>
  <c r="R89" i="35" s="1"/>
  <c r="R83" i="35"/>
  <c r="R84" i="35" s="1"/>
  <c r="R85" i="35" s="1"/>
  <c r="R90" i="35" s="1"/>
  <c r="N83" i="35"/>
  <c r="N84" i="35" s="1"/>
  <c r="N85" i="35" s="1"/>
  <c r="N90" i="35" s="1"/>
  <c r="N81" i="35"/>
  <c r="N82" i="35" s="1"/>
  <c r="N89" i="35" s="1"/>
  <c r="AP1078" i="41" l="1"/>
  <c r="AQ1128" i="41"/>
  <c r="AQ1127" i="41"/>
  <c r="AQ1125" i="41"/>
  <c r="AQ1126" i="41"/>
  <c r="AQ30" i="41"/>
  <c r="AQ33" i="41"/>
  <c r="AQ31" i="41"/>
  <c r="AQ32" i="41"/>
  <c r="AQ34" i="41"/>
  <c r="AQ1091" i="41"/>
  <c r="AQ1089" i="41"/>
  <c r="AQ1092" i="41"/>
  <c r="AQ1090" i="41"/>
  <c r="AQ1093" i="41"/>
  <c r="AQ189" i="41"/>
  <c r="AQ190" i="41"/>
  <c r="AQ1356" i="41"/>
  <c r="AQ1359" i="41"/>
  <c r="AQ1345" i="41"/>
  <c r="AQ1360" i="41"/>
  <c r="AQ1358" i="41"/>
  <c r="AP1299" i="41"/>
  <c r="AQ1181" i="41"/>
  <c r="AQ1184" i="41"/>
  <c r="AQ1182" i="41"/>
  <c r="AQ1185" i="41"/>
  <c r="AQ1183" i="41"/>
  <c r="AQ1346" i="41"/>
  <c r="AQ1349" i="41"/>
  <c r="AQ1347" i="41"/>
  <c r="AQ1348" i="41"/>
  <c r="AQ1081" i="41"/>
  <c r="AQ1079" i="41"/>
  <c r="AQ1082" i="41"/>
  <c r="AQ1080" i="41"/>
  <c r="AQ1078" i="41"/>
  <c r="AP190" i="41"/>
  <c r="AP193" i="41"/>
  <c r="AP189" i="41"/>
  <c r="AP192" i="41"/>
  <c r="AP191" i="41"/>
  <c r="AP1182" i="41"/>
  <c r="AQ191" i="41"/>
  <c r="AQ1273" i="41"/>
  <c r="AQ305" i="41"/>
  <c r="AQ303" i="41"/>
  <c r="AQ307" i="41"/>
  <c r="AQ306" i="41"/>
  <c r="AQ304" i="41"/>
  <c r="AQ904" i="41"/>
  <c r="AQ905" i="41"/>
  <c r="AQ907" i="41"/>
  <c r="AQ906" i="41"/>
  <c r="AQ903" i="41"/>
  <c r="AQ71" i="41"/>
  <c r="AQ69" i="41"/>
  <c r="AQ72" i="41"/>
  <c r="AQ70" i="41"/>
  <c r="AQ68" i="41"/>
  <c r="AQ109" i="41"/>
  <c r="AQ108" i="41"/>
  <c r="AQ107" i="41"/>
  <c r="AQ110" i="41"/>
  <c r="AQ106" i="41"/>
  <c r="AQ1301" i="41"/>
  <c r="AQ1302" i="41"/>
  <c r="AQ1300" i="41"/>
  <c r="AQ1303" i="41"/>
  <c r="AQ1231" i="41"/>
  <c r="AQ1229" i="41"/>
  <c r="AQ1227" i="41"/>
  <c r="AQ1230" i="41"/>
  <c r="AQ1228" i="41"/>
  <c r="AQ145" i="41"/>
  <c r="AQ148" i="41"/>
  <c r="AQ144" i="41"/>
  <c r="AQ147" i="41"/>
  <c r="AQ146" i="41"/>
  <c r="AQ1265" i="41"/>
  <c r="AQ1266" i="41"/>
  <c r="AQ1263" i="41"/>
  <c r="AQ1264" i="41"/>
  <c r="AQ1262" i="41"/>
  <c r="AQ1218" i="41"/>
  <c r="AQ1219" i="41"/>
  <c r="AQ1217" i="41"/>
  <c r="AQ1220" i="41"/>
  <c r="AQ1216" i="41"/>
  <c r="AQ1135" i="41"/>
  <c r="AQ1138" i="41"/>
  <c r="AQ1136" i="41"/>
  <c r="AQ1139" i="41"/>
  <c r="AQ1137" i="41"/>
  <c r="AQ1124" i="41"/>
  <c r="AQ1312" i="41"/>
  <c r="AQ1311" i="41"/>
  <c r="AQ1313" i="41"/>
  <c r="AQ1310" i="41"/>
  <c r="AQ1314" i="41"/>
  <c r="AQ344" i="41"/>
  <c r="AQ342" i="41"/>
  <c r="AQ340" i="41"/>
  <c r="AQ343" i="41"/>
  <c r="AQ341" i="41"/>
  <c r="AQ1174" i="41"/>
  <c r="AQ1172" i="41"/>
  <c r="AQ1170" i="41"/>
  <c r="AQ1173" i="41"/>
  <c r="AQ1171" i="41"/>
  <c r="AQ940" i="41"/>
  <c r="AQ941" i="41"/>
  <c r="AQ942" i="41"/>
  <c r="AQ944" i="41"/>
  <c r="AQ943" i="41"/>
  <c r="K44" i="34"/>
  <c r="AQ1299" i="41" l="1"/>
  <c r="AR1219" i="41"/>
  <c r="AR1218" i="41"/>
  <c r="AR1217" i="41"/>
  <c r="AR1220" i="41"/>
  <c r="AR69" i="41"/>
  <c r="AR72" i="41"/>
  <c r="AR70" i="41"/>
  <c r="AR68" i="41"/>
  <c r="AR71" i="41"/>
  <c r="AR1174" i="41"/>
  <c r="AR1172" i="41"/>
  <c r="AR1173" i="41"/>
  <c r="AR1171" i="41"/>
  <c r="AR1231" i="41"/>
  <c r="AR1230" i="41"/>
  <c r="AR1227" i="41"/>
  <c r="AR1229" i="41"/>
  <c r="AR1216" i="41"/>
  <c r="AR1081" i="41"/>
  <c r="AR1079" i="41"/>
  <c r="AR1082" i="41"/>
  <c r="AR1080" i="41"/>
  <c r="AR1128" i="41"/>
  <c r="AR1125" i="41"/>
  <c r="AR1127" i="41"/>
  <c r="AR1126" i="41"/>
  <c r="AR1312" i="41"/>
  <c r="AR1313" i="41"/>
  <c r="AR1311" i="41"/>
  <c r="AR1314" i="41"/>
  <c r="AR1310" i="41"/>
  <c r="AR1301" i="41"/>
  <c r="AR1302" i="41"/>
  <c r="AR1300" i="41"/>
  <c r="AR1303" i="41"/>
  <c r="AR1299" i="41"/>
  <c r="AR1184" i="41"/>
  <c r="AR1185" i="41"/>
  <c r="AR1183" i="41"/>
  <c r="AR1181" i="41"/>
  <c r="AR1182" i="41"/>
  <c r="AR341" i="41"/>
  <c r="AR343" i="41"/>
  <c r="AR342" i="41"/>
  <c r="AR340" i="41"/>
  <c r="AR344" i="41"/>
  <c r="AR307" i="41"/>
  <c r="AR305" i="41"/>
  <c r="AR306" i="41"/>
  <c r="AR303" i="41"/>
  <c r="AR304" i="41"/>
  <c r="AR1346" i="41"/>
  <c r="AR1349" i="41"/>
  <c r="AR1347" i="41"/>
  <c r="AR1345" i="41"/>
  <c r="AR1348" i="41"/>
  <c r="AR1091" i="41"/>
  <c r="AR1089" i="41"/>
  <c r="AR1092" i="41"/>
  <c r="AR1078" i="41"/>
  <c r="AR1090" i="41"/>
  <c r="AR1093" i="41"/>
  <c r="AR1356" i="41"/>
  <c r="AR1359" i="41"/>
  <c r="AR1357" i="41"/>
  <c r="AR1360" i="41"/>
  <c r="AR1358" i="41"/>
  <c r="AR1273" i="41"/>
  <c r="AR1262" i="41"/>
  <c r="AR943" i="41"/>
  <c r="AR941" i="41"/>
  <c r="AR944" i="41"/>
  <c r="AR942" i="41"/>
  <c r="AR940" i="41"/>
  <c r="AQ1357" i="41"/>
  <c r="AR108" i="41"/>
  <c r="AR106" i="41"/>
  <c r="AR109" i="41"/>
  <c r="AR107" i="41"/>
  <c r="AR110" i="41"/>
  <c r="AQ193" i="41"/>
  <c r="AR144" i="41"/>
  <c r="AR147" i="41"/>
  <c r="AR148" i="41"/>
  <c r="AR146" i="41"/>
  <c r="AR145" i="41"/>
  <c r="AR30" i="41"/>
  <c r="AR33" i="41"/>
  <c r="AR34" i="41"/>
  <c r="AR31" i="41"/>
  <c r="AR32" i="41"/>
  <c r="AR1263" i="41"/>
  <c r="AR1264" i="41"/>
  <c r="AR1265" i="41"/>
  <c r="AR1266" i="41"/>
  <c r="AQ192" i="41"/>
  <c r="AR907" i="41"/>
  <c r="AR905" i="41"/>
  <c r="AR903" i="41"/>
  <c r="AR904" i="41"/>
  <c r="AR906" i="41"/>
  <c r="AR1135" i="41"/>
  <c r="AR1138" i="41"/>
  <c r="AR1136" i="41"/>
  <c r="AR1139" i="41"/>
  <c r="AR1137" i="41"/>
  <c r="AR1124" i="41"/>
  <c r="AS1218" i="41" l="1"/>
  <c r="AS1217" i="41"/>
  <c r="AS1220" i="41"/>
  <c r="AS1219" i="41"/>
  <c r="AS1346" i="41"/>
  <c r="AS1349" i="41"/>
  <c r="AS1347" i="41"/>
  <c r="AS1348" i="41"/>
  <c r="AS1314" i="41"/>
  <c r="AS1312" i="41"/>
  <c r="AS1310" i="41"/>
  <c r="AS1311" i="41"/>
  <c r="AS1313" i="41"/>
  <c r="AS1135" i="41"/>
  <c r="AS1138" i="41"/>
  <c r="AS1139" i="41"/>
  <c r="AS1137" i="41"/>
  <c r="AS1136" i="41"/>
  <c r="AS340" i="41"/>
  <c r="AS343" i="41"/>
  <c r="AS342" i="41"/>
  <c r="AS341" i="41"/>
  <c r="AS344" i="41"/>
  <c r="AS189" i="41"/>
  <c r="AS193" i="41"/>
  <c r="AS1128" i="41"/>
  <c r="AS1127" i="41"/>
  <c r="AS1125" i="41"/>
  <c r="AS1126" i="41"/>
  <c r="AS1124" i="41"/>
  <c r="AR1170" i="41"/>
  <c r="AS943" i="41"/>
  <c r="AS941" i="41"/>
  <c r="AS944" i="41"/>
  <c r="AS942" i="41"/>
  <c r="AS940" i="41"/>
  <c r="AS1300" i="41"/>
  <c r="AS1303" i="41"/>
  <c r="AS1302" i="41"/>
  <c r="AS1299" i="41"/>
  <c r="AS1301" i="41"/>
  <c r="AS1172" i="41"/>
  <c r="AS1170" i="41"/>
  <c r="AS1173" i="41"/>
  <c r="AS1174" i="41"/>
  <c r="AS1171" i="41"/>
  <c r="AS1263" i="41"/>
  <c r="AS1264" i="41"/>
  <c r="AS1266" i="41"/>
  <c r="AS1265" i="41"/>
  <c r="AR1228" i="41"/>
  <c r="AS1231" i="41"/>
  <c r="AS1227" i="41"/>
  <c r="AS1230" i="41"/>
  <c r="AS1216" i="41"/>
  <c r="AS1229" i="41"/>
  <c r="AS1228" i="41"/>
  <c r="AS69" i="41"/>
  <c r="AS72" i="41"/>
  <c r="AS70" i="41"/>
  <c r="AS68" i="41"/>
  <c r="AS71" i="41"/>
  <c r="AS1184" i="41"/>
  <c r="AS1185" i="41"/>
  <c r="AS1183" i="41"/>
  <c r="AS1181" i="41"/>
  <c r="AS1182" i="41"/>
  <c r="AS108" i="41"/>
  <c r="AS107" i="41"/>
  <c r="AS110" i="41"/>
  <c r="AS106" i="41"/>
  <c r="AS109" i="41"/>
  <c r="AS1356" i="41"/>
  <c r="AS1359" i="41"/>
  <c r="AS1357" i="41"/>
  <c r="AS1360" i="41"/>
  <c r="AS1358" i="41"/>
  <c r="AS1091" i="41"/>
  <c r="AS1089" i="41"/>
  <c r="AS1092" i="41"/>
  <c r="AS1090" i="41"/>
  <c r="AS1093" i="41"/>
  <c r="AS307" i="41"/>
  <c r="AS303" i="41"/>
  <c r="AS306" i="41"/>
  <c r="AS304" i="41"/>
  <c r="AS305" i="41"/>
  <c r="AS1079" i="41"/>
  <c r="AS1082" i="41"/>
  <c r="AS1080" i="41"/>
  <c r="AS1078" i="41"/>
  <c r="AS1081" i="41"/>
  <c r="AS148" i="41"/>
  <c r="AS144" i="41"/>
  <c r="AS147" i="41"/>
  <c r="AS146" i="41"/>
  <c r="AS145" i="41"/>
  <c r="AS1262" i="41"/>
  <c r="AS1273" i="41"/>
  <c r="AS907" i="41"/>
  <c r="AS905" i="41"/>
  <c r="AS906" i="41"/>
  <c r="AS904" i="41"/>
  <c r="AS903" i="41"/>
  <c r="AR190" i="41"/>
  <c r="AR193" i="41"/>
  <c r="AR189" i="41"/>
  <c r="AR192" i="41"/>
  <c r="AR191" i="41"/>
  <c r="AS30" i="41"/>
  <c r="AS33" i="41"/>
  <c r="AS31" i="41"/>
  <c r="AS34" i="41"/>
  <c r="AS32" i="41"/>
  <c r="AT1128" i="41" l="1"/>
  <c r="AT1127" i="41"/>
  <c r="AT1125" i="41"/>
  <c r="AT1126" i="41"/>
  <c r="AT1231" i="41"/>
  <c r="AT1229" i="41"/>
  <c r="AT1227" i="41"/>
  <c r="AT1230" i="41"/>
  <c r="AT1228" i="41"/>
  <c r="AT1172" i="41"/>
  <c r="AT1173" i="41"/>
  <c r="AT1171" i="41"/>
  <c r="AT1174" i="41"/>
  <c r="AT1314" i="41"/>
  <c r="AT1313" i="41"/>
  <c r="AT1312" i="41"/>
  <c r="AT1310" i="41"/>
  <c r="AT1299" i="41"/>
  <c r="AT1349" i="41"/>
  <c r="AT1347" i="41"/>
  <c r="AT1348" i="41"/>
  <c r="AT1346" i="41"/>
  <c r="AT1135" i="41"/>
  <c r="AT1138" i="41"/>
  <c r="AT1139" i="41"/>
  <c r="AT1137" i="41"/>
  <c r="AT1136" i="41"/>
  <c r="AT1262" i="41"/>
  <c r="AT1263" i="41"/>
  <c r="AT1264" i="41"/>
  <c r="AT1266" i="41"/>
  <c r="AT1265" i="41"/>
  <c r="AS1345" i="41"/>
  <c r="AT1273" i="41"/>
  <c r="AT903" i="41"/>
  <c r="AT906" i="41"/>
  <c r="AT905" i="41"/>
  <c r="AT907" i="41"/>
  <c r="AT904" i="41"/>
  <c r="AT344" i="41"/>
  <c r="AT342" i="41"/>
  <c r="AT340" i="41"/>
  <c r="AT341" i="41"/>
  <c r="AT343" i="41"/>
  <c r="AT108" i="41"/>
  <c r="AT106" i="41"/>
  <c r="AT109" i="41"/>
  <c r="AT107" i="41"/>
  <c r="AT110" i="41"/>
  <c r="AT1219" i="41"/>
  <c r="AT1220" i="41"/>
  <c r="AT1216" i="41"/>
  <c r="AT1217" i="41"/>
  <c r="AT1218" i="41"/>
  <c r="AS191" i="41"/>
  <c r="AT1185" i="41"/>
  <c r="AT1183" i="41"/>
  <c r="AT1181" i="41"/>
  <c r="AT1170" i="41"/>
  <c r="AT1184" i="41"/>
  <c r="AT1300" i="41"/>
  <c r="AT1302" i="41"/>
  <c r="AT1303" i="41"/>
  <c r="AT1301" i="41"/>
  <c r="AT1079" i="41"/>
  <c r="AT1082" i="41"/>
  <c r="AT1080" i="41"/>
  <c r="AT1078" i="41"/>
  <c r="AT1081" i="41"/>
  <c r="AT944" i="41"/>
  <c r="AT942" i="41"/>
  <c r="AT940" i="41"/>
  <c r="AT943" i="41"/>
  <c r="AT941" i="41"/>
  <c r="AS190" i="41"/>
  <c r="AT307" i="41"/>
  <c r="AT304" i="41"/>
  <c r="AT303" i="41"/>
  <c r="AT306" i="41"/>
  <c r="AT305" i="41"/>
  <c r="AT144" i="41"/>
  <c r="AT147" i="41"/>
  <c r="AT145" i="41"/>
  <c r="AT148" i="41"/>
  <c r="AT146" i="41"/>
  <c r="AT69" i="41"/>
  <c r="AT72" i="41"/>
  <c r="AT70" i="41"/>
  <c r="AT68" i="41"/>
  <c r="AT71" i="41"/>
  <c r="AT1089" i="41"/>
  <c r="AT1092" i="41"/>
  <c r="AT1090" i="41"/>
  <c r="AT1093" i="41"/>
  <c r="AT1091" i="41"/>
  <c r="AT1356" i="41"/>
  <c r="AT1359" i="41"/>
  <c r="AT1345" i="41"/>
  <c r="AT1357" i="41"/>
  <c r="AT1360" i="41"/>
  <c r="AT1358" i="41"/>
  <c r="AS192" i="41"/>
  <c r="AT33" i="41"/>
  <c r="AT31" i="41"/>
  <c r="AT34" i="41"/>
  <c r="AT32" i="41"/>
  <c r="AT30" i="41"/>
  <c r="AU1185" i="41" l="1"/>
  <c r="AU1183" i="41"/>
  <c r="AU1181" i="41"/>
  <c r="AU1170" i="41"/>
  <c r="AU1184" i="41"/>
  <c r="AU1264" i="41"/>
  <c r="AU1266" i="41"/>
  <c r="AU1265" i="41"/>
  <c r="AU1263" i="41"/>
  <c r="AT1182" i="41"/>
  <c r="AU1359" i="41"/>
  <c r="AU1357" i="41"/>
  <c r="AU1360" i="41"/>
  <c r="AU1358" i="41"/>
  <c r="AU1356" i="41"/>
  <c r="AT1311" i="41"/>
  <c r="AU1300" i="41"/>
  <c r="AU1302" i="41"/>
  <c r="AU1303" i="41"/>
  <c r="AU1301" i="41"/>
  <c r="AU1079" i="41"/>
  <c r="AU1082" i="41"/>
  <c r="AU1080" i="41"/>
  <c r="AU1081" i="41"/>
  <c r="AU1314" i="41"/>
  <c r="AU1310" i="41"/>
  <c r="AU1313" i="41"/>
  <c r="AU1312" i="41"/>
  <c r="AU1311" i="41"/>
  <c r="AU144" i="41"/>
  <c r="AU147" i="41"/>
  <c r="AU146" i="41"/>
  <c r="AU145" i="41"/>
  <c r="AU148" i="41"/>
  <c r="AU107" i="41"/>
  <c r="AU108" i="41"/>
  <c r="AU110" i="41"/>
  <c r="AU106" i="41"/>
  <c r="AU109" i="41"/>
  <c r="AU33" i="41"/>
  <c r="AU31" i="41"/>
  <c r="AU34" i="41"/>
  <c r="AU30" i="41"/>
  <c r="AU32" i="41"/>
  <c r="AU1229" i="41"/>
  <c r="AU1227" i="41"/>
  <c r="AU1231" i="41"/>
  <c r="AU1230" i="41"/>
  <c r="AU1228" i="41"/>
  <c r="AU1172" i="41"/>
  <c r="AU1173" i="41"/>
  <c r="AU1171" i="41"/>
  <c r="AU1174" i="41"/>
  <c r="AT193" i="41"/>
  <c r="AT190" i="41"/>
  <c r="AT189" i="41"/>
  <c r="AT192" i="41"/>
  <c r="AT191" i="41"/>
  <c r="AU1089" i="41"/>
  <c r="AU1092" i="41"/>
  <c r="AU1078" i="41"/>
  <c r="AU1090" i="41"/>
  <c r="AU1093" i="41"/>
  <c r="AU1091" i="41"/>
  <c r="AU1349" i="41"/>
  <c r="AU1347" i="41"/>
  <c r="AU1345" i="41"/>
  <c r="AU1348" i="41"/>
  <c r="AU1346" i="41"/>
  <c r="AU1138" i="41"/>
  <c r="AU1136" i="41"/>
  <c r="AU1139" i="41"/>
  <c r="AU1137" i="41"/>
  <c r="AU1135" i="41"/>
  <c r="AU69" i="41"/>
  <c r="AU72" i="41"/>
  <c r="AU70" i="41"/>
  <c r="AU68" i="41"/>
  <c r="AU71" i="41"/>
  <c r="AT1124" i="41"/>
  <c r="AU1128" i="41"/>
  <c r="AU1127" i="41"/>
  <c r="AU1125" i="41"/>
  <c r="AU1126" i="41"/>
  <c r="AU1124" i="41"/>
  <c r="AU1273" i="41"/>
  <c r="AU1262" i="41"/>
  <c r="AU1216" i="41"/>
  <c r="AU1219" i="41"/>
  <c r="AU1218" i="41"/>
  <c r="AU1217" i="41"/>
  <c r="AU1220" i="41"/>
  <c r="AU307" i="41"/>
  <c r="AU305" i="41"/>
  <c r="AU303" i="41"/>
  <c r="AU306" i="41"/>
  <c r="AU304" i="41"/>
  <c r="AU903" i="41"/>
  <c r="AU906" i="41"/>
  <c r="AU907" i="41"/>
  <c r="AU904" i="41"/>
  <c r="AU905" i="41"/>
  <c r="AU342" i="41"/>
  <c r="AU340" i="41"/>
  <c r="AU343" i="41"/>
  <c r="AU341" i="41"/>
  <c r="AU344" i="41"/>
  <c r="AU944" i="41"/>
  <c r="AU940" i="41"/>
  <c r="AU941" i="41"/>
  <c r="AU942" i="41"/>
  <c r="AU943" i="41"/>
  <c r="AV106" i="41" l="1"/>
  <c r="AV109" i="41"/>
  <c r="AV110" i="41"/>
  <c r="AV108" i="41"/>
  <c r="AV107" i="41"/>
  <c r="AV1359" i="41"/>
  <c r="AV1345" i="41"/>
  <c r="AV1357" i="41"/>
  <c r="AV1360" i="41"/>
  <c r="AV1358" i="41"/>
  <c r="AV1356" i="41"/>
  <c r="AV1219" i="41"/>
  <c r="AV1218" i="41"/>
  <c r="AV1217" i="41"/>
  <c r="AV1220" i="41"/>
  <c r="AV1347" i="41"/>
  <c r="AV1348" i="41"/>
  <c r="AV1346" i="41"/>
  <c r="AV1349" i="41"/>
  <c r="AV31" i="41"/>
  <c r="AV34" i="41"/>
  <c r="AV30" i="41"/>
  <c r="AV33" i="41"/>
  <c r="AV32" i="41"/>
  <c r="AV72" i="41"/>
  <c r="AV70" i="41"/>
  <c r="AV68" i="41"/>
  <c r="AV71" i="41"/>
  <c r="AV69" i="41"/>
  <c r="AV1302" i="41"/>
  <c r="AV1300" i="41"/>
  <c r="AV1303" i="41"/>
  <c r="AV1301" i="41"/>
  <c r="AV1172" i="41"/>
  <c r="AV1173" i="41"/>
  <c r="AV1171" i="41"/>
  <c r="AV1174" i="41"/>
  <c r="AV1138" i="41"/>
  <c r="AV1139" i="41"/>
  <c r="AV1137" i="41"/>
  <c r="AV1135" i="41"/>
  <c r="AV1136" i="41"/>
  <c r="AV941" i="41"/>
  <c r="AV942" i="41"/>
  <c r="AV940" i="41"/>
  <c r="AV944" i="41"/>
  <c r="AV943" i="41"/>
  <c r="AV1127" i="41"/>
  <c r="AV1128" i="41"/>
  <c r="AV1125" i="41"/>
  <c r="AV1126" i="41"/>
  <c r="AV1124" i="41"/>
  <c r="AV343" i="41"/>
  <c r="AV341" i="41"/>
  <c r="AV344" i="41"/>
  <c r="AV340" i="41"/>
  <c r="AV342" i="41"/>
  <c r="AU189" i="41"/>
  <c r="AU192" i="41"/>
  <c r="AU190" i="41"/>
  <c r="AU193" i="41"/>
  <c r="AU191" i="41"/>
  <c r="AV1079" i="41"/>
  <c r="AV1082" i="41"/>
  <c r="AV1080" i="41"/>
  <c r="AV1078" i="41"/>
  <c r="AV1081" i="41"/>
  <c r="AV1089" i="41"/>
  <c r="AV1092" i="41"/>
  <c r="AV1090" i="41"/>
  <c r="AV1093" i="41"/>
  <c r="AV1091" i="41"/>
  <c r="AV307" i="41"/>
  <c r="AV303" i="41"/>
  <c r="AV304" i="41"/>
  <c r="AV306" i="41"/>
  <c r="AV305" i="41"/>
  <c r="AV147" i="41"/>
  <c r="AV145" i="41"/>
  <c r="AV148" i="41"/>
  <c r="AV146" i="41"/>
  <c r="AV144" i="41"/>
  <c r="AU1299" i="41"/>
  <c r="AV1182" i="41"/>
  <c r="AV1185" i="41"/>
  <c r="AV1183" i="41"/>
  <c r="AV1181" i="41"/>
  <c r="AV1170" i="41"/>
  <c r="AV1184" i="41"/>
  <c r="AV1231" i="41"/>
  <c r="AV1228" i="41"/>
  <c r="AV1227" i="41"/>
  <c r="AV1230" i="41"/>
  <c r="AV1216" i="41"/>
  <c r="AV1229" i="41"/>
  <c r="AV1264" i="41"/>
  <c r="AV1266" i="41"/>
  <c r="AV1265" i="41"/>
  <c r="AV1262" i="41"/>
  <c r="AV1263" i="41"/>
  <c r="AV1310" i="41"/>
  <c r="AV1311" i="41"/>
  <c r="AV1313" i="41"/>
  <c r="AV1314" i="41"/>
  <c r="AV1312" i="41"/>
  <c r="AV1299" i="41"/>
  <c r="AU1182" i="41"/>
  <c r="AV905" i="41"/>
  <c r="AV903" i="41"/>
  <c r="AV906" i="41"/>
  <c r="AV907" i="41"/>
  <c r="AV904" i="41"/>
  <c r="AV1273" i="41"/>
  <c r="AW1082" i="41" l="1"/>
  <c r="AW1080" i="41"/>
  <c r="AW1081" i="41"/>
  <c r="AW1079" i="41"/>
  <c r="AW110" i="41"/>
  <c r="AW108" i="41"/>
  <c r="AW107" i="41"/>
  <c r="AW106" i="41"/>
  <c r="AW109" i="41"/>
  <c r="AW307" i="41"/>
  <c r="AW306" i="41"/>
  <c r="AW304" i="41"/>
  <c r="AW303" i="41"/>
  <c r="AW305" i="41"/>
  <c r="AW193" i="41"/>
  <c r="AW189" i="41"/>
  <c r="AW1127" i="41"/>
  <c r="AW1128" i="41"/>
  <c r="AW1126" i="41"/>
  <c r="AW1125" i="41"/>
  <c r="AW1357" i="41"/>
  <c r="AW1360" i="41"/>
  <c r="AW1358" i="41"/>
  <c r="AW1356" i="41"/>
  <c r="AW1359" i="41"/>
  <c r="AW941" i="41"/>
  <c r="AW942" i="41"/>
  <c r="AW940" i="41"/>
  <c r="AW943" i="41"/>
  <c r="AW944" i="41"/>
  <c r="AW1347" i="41"/>
  <c r="AW1345" i="41"/>
  <c r="AW1348" i="41"/>
  <c r="AW1346" i="41"/>
  <c r="AW1349" i="41"/>
  <c r="AV193" i="41"/>
  <c r="AV189" i="41"/>
  <c r="AV192" i="41"/>
  <c r="AV191" i="41"/>
  <c r="AV190" i="41"/>
  <c r="AW1302" i="41"/>
  <c r="AW1303" i="41"/>
  <c r="AW1300" i="41"/>
  <c r="AW1301" i="41"/>
  <c r="AW1139" i="41"/>
  <c r="AW1137" i="41"/>
  <c r="AW1135" i="41"/>
  <c r="AW1124" i="41"/>
  <c r="AW1138" i="41"/>
  <c r="AW1230" i="41"/>
  <c r="AW1231" i="41"/>
  <c r="AW1229" i="41"/>
  <c r="AW1228" i="41"/>
  <c r="AW1227" i="41"/>
  <c r="AW1089" i="41"/>
  <c r="AW1092" i="41"/>
  <c r="AW1078" i="41"/>
  <c r="AW1090" i="41"/>
  <c r="AW1093" i="41"/>
  <c r="AW1091" i="41"/>
  <c r="AW146" i="41"/>
  <c r="AW144" i="41"/>
  <c r="AW147" i="41"/>
  <c r="AW145" i="41"/>
  <c r="AW148" i="41"/>
  <c r="AW191" i="41"/>
  <c r="AW1273" i="41"/>
  <c r="AW31" i="41"/>
  <c r="AW34" i="41"/>
  <c r="AW32" i="41"/>
  <c r="AW30" i="41"/>
  <c r="AW33" i="41"/>
  <c r="AW190" i="41"/>
  <c r="AW1216" i="41"/>
  <c r="AW1219" i="41"/>
  <c r="AW1220" i="41"/>
  <c r="AW1217" i="41"/>
  <c r="AW1218" i="41"/>
  <c r="AW905" i="41"/>
  <c r="AW903" i="41"/>
  <c r="AW906" i="41"/>
  <c r="AW907" i="41"/>
  <c r="AW904" i="41"/>
  <c r="AW72" i="41"/>
  <c r="AW70" i="41"/>
  <c r="AW68" i="41"/>
  <c r="AW71" i="41"/>
  <c r="AW69" i="41"/>
  <c r="AW1312" i="41"/>
  <c r="AW1310" i="41"/>
  <c r="AW1313" i="41"/>
  <c r="AW1314" i="41"/>
  <c r="AW1299" i="41"/>
  <c r="AW1266" i="41"/>
  <c r="AW1264" i="41"/>
  <c r="AW1265" i="41"/>
  <c r="AW1262" i="41"/>
  <c r="AW1263" i="41"/>
  <c r="AW1185" i="41"/>
  <c r="AW1183" i="41"/>
  <c r="AW1181" i="41"/>
  <c r="AW1184" i="41"/>
  <c r="AW1182" i="41"/>
  <c r="AW343" i="41"/>
  <c r="AW341" i="41"/>
  <c r="AW342" i="41"/>
  <c r="AW340" i="41"/>
  <c r="AW344" i="41"/>
  <c r="AW1170" i="41"/>
  <c r="AW1173" i="41"/>
  <c r="AW1171" i="41"/>
  <c r="AW1174" i="41"/>
  <c r="AW1172" i="41"/>
  <c r="AX1266" i="41" l="1"/>
  <c r="AX1264" i="41"/>
  <c r="AX1263" i="41"/>
  <c r="AX1265" i="41"/>
  <c r="AX1082" i="41"/>
  <c r="AX1080" i="41"/>
  <c r="AX1078" i="41"/>
  <c r="AX1081" i="41"/>
  <c r="AX1079" i="41"/>
  <c r="AX1128" i="41"/>
  <c r="AX1126" i="41"/>
  <c r="AX1127" i="41"/>
  <c r="AX1124" i="41"/>
  <c r="AX1125" i="41"/>
  <c r="AX342" i="41"/>
  <c r="AX340" i="41"/>
  <c r="AX344" i="41"/>
  <c r="AX343" i="41"/>
  <c r="AX341" i="41"/>
  <c r="AX1302" i="41"/>
  <c r="AX1303" i="41"/>
  <c r="AX1301" i="41"/>
  <c r="AX1300" i="41"/>
  <c r="AX944" i="41"/>
  <c r="AX942" i="41"/>
  <c r="AX940" i="41"/>
  <c r="AX943" i="41"/>
  <c r="AX941" i="41"/>
  <c r="AX70" i="41"/>
  <c r="AX68" i="41"/>
  <c r="AX69" i="41"/>
  <c r="AX71" i="41"/>
  <c r="AX72" i="41"/>
  <c r="AX1312" i="41"/>
  <c r="AX1313" i="41"/>
  <c r="AX1314" i="41"/>
  <c r="AX1310" i="41"/>
  <c r="AX1299" i="41"/>
  <c r="AX1092" i="41"/>
  <c r="AX1090" i="41"/>
  <c r="AX1093" i="41"/>
  <c r="AX1091" i="41"/>
  <c r="AX1089" i="41"/>
  <c r="AW192" i="41"/>
  <c r="AX1139" i="41"/>
  <c r="AX1137" i="41"/>
  <c r="AX1135" i="41"/>
  <c r="AX1138" i="41"/>
  <c r="AX1136" i="41"/>
  <c r="AX31" i="41"/>
  <c r="AX34" i="41"/>
  <c r="AX32" i="41"/>
  <c r="AX30" i="41"/>
  <c r="AX33" i="41"/>
  <c r="AX306" i="41"/>
  <c r="AX307" i="41"/>
  <c r="AX304" i="41"/>
  <c r="AX305" i="41"/>
  <c r="AX303" i="41"/>
  <c r="AW1311" i="41"/>
  <c r="AW1136" i="41"/>
  <c r="AX1347" i="41"/>
  <c r="AX1348" i="41"/>
  <c r="AX1346" i="41"/>
  <c r="AX1349" i="41"/>
  <c r="AX145" i="41"/>
  <c r="AX148" i="41"/>
  <c r="AX147" i="41"/>
  <c r="AX146" i="41"/>
  <c r="AX144" i="41"/>
  <c r="AX1229" i="41"/>
  <c r="AX1227" i="41"/>
  <c r="AX1231" i="41"/>
  <c r="AX1230" i="41"/>
  <c r="AX1228" i="41"/>
  <c r="AX1360" i="41"/>
  <c r="AX1358" i="41"/>
  <c r="AX1356" i="41"/>
  <c r="AX1357" i="41"/>
  <c r="AX1359" i="41"/>
  <c r="AX906" i="41"/>
  <c r="AX904" i="41"/>
  <c r="AX907" i="41"/>
  <c r="AX905" i="41"/>
  <c r="AX903" i="41"/>
  <c r="AX1218" i="41"/>
  <c r="AX1217" i="41"/>
  <c r="AX1220" i="41"/>
  <c r="AX1216" i="41"/>
  <c r="AX1219" i="41"/>
  <c r="AX1185" i="41"/>
  <c r="AX1183" i="41"/>
  <c r="AX1181" i="41"/>
  <c r="AX1184" i="41"/>
  <c r="AX1170" i="41"/>
  <c r="AX1273" i="41"/>
  <c r="AX1262" i="41"/>
  <c r="AX106" i="41"/>
  <c r="AX109" i="41"/>
  <c r="AX107" i="41"/>
  <c r="AX108" i="41"/>
  <c r="AX110" i="41"/>
  <c r="AX1173" i="41"/>
  <c r="AX1171" i="41"/>
  <c r="AX1174" i="41"/>
  <c r="AX1172" i="41"/>
  <c r="AY340" i="41" l="1"/>
  <c r="AY341" i="41"/>
  <c r="AY344" i="41"/>
  <c r="AY343" i="41"/>
  <c r="AY342" i="41"/>
  <c r="AY107" i="41"/>
  <c r="AY110" i="41"/>
  <c r="AY106" i="41"/>
  <c r="AY109" i="41"/>
  <c r="AY108" i="41"/>
  <c r="AY1219" i="41"/>
  <c r="AY1218" i="41"/>
  <c r="AY1217" i="41"/>
  <c r="AY1220" i="41"/>
  <c r="AX1345" i="41"/>
  <c r="AY1092" i="41"/>
  <c r="AY1090" i="41"/>
  <c r="AY1093" i="41"/>
  <c r="AY1091" i="41"/>
  <c r="AY1089" i="41"/>
  <c r="AY31" i="41"/>
  <c r="AY34" i="41"/>
  <c r="AY32" i="41"/>
  <c r="AY33" i="41"/>
  <c r="AY30" i="41"/>
  <c r="AY1080" i="41"/>
  <c r="AY1078" i="41"/>
  <c r="AY1081" i="41"/>
  <c r="AY1079" i="41"/>
  <c r="AY1082" i="41"/>
  <c r="AY1347" i="41"/>
  <c r="AY1348" i="41"/>
  <c r="AY1346" i="41"/>
  <c r="AY1349" i="41"/>
  <c r="AY1273" i="41"/>
  <c r="AY1302" i="41"/>
  <c r="AY1300" i="41"/>
  <c r="AY1303" i="41"/>
  <c r="AY1301" i="41"/>
  <c r="AY1227" i="41"/>
  <c r="AY1231" i="41"/>
  <c r="AY1230" i="41"/>
  <c r="AY1229" i="41"/>
  <c r="AY1216" i="41"/>
  <c r="AX1311" i="41"/>
  <c r="AY303" i="41"/>
  <c r="AY304" i="41"/>
  <c r="AY305" i="41"/>
  <c r="AY306" i="41"/>
  <c r="AY307" i="41"/>
  <c r="AX191" i="41"/>
  <c r="AX189" i="41"/>
  <c r="AX192" i="41"/>
  <c r="AX190" i="41"/>
  <c r="AX193" i="41"/>
  <c r="AY1185" i="41"/>
  <c r="AY1183" i="41"/>
  <c r="AY1181" i="41"/>
  <c r="AY1184" i="41"/>
  <c r="AY1182" i="41"/>
  <c r="AY1173" i="41"/>
  <c r="AY1171" i="41"/>
  <c r="AY1174" i="41"/>
  <c r="AY1172" i="41"/>
  <c r="AY1312" i="41"/>
  <c r="AY1313" i="41"/>
  <c r="AY1310" i="41"/>
  <c r="AY1314" i="41"/>
  <c r="AY1299" i="41"/>
  <c r="AX1182" i="41"/>
  <c r="AY1266" i="41"/>
  <c r="AY1264" i="41"/>
  <c r="AY1263" i="41"/>
  <c r="AY1262" i="41"/>
  <c r="AY1265" i="41"/>
  <c r="AY147" i="41"/>
  <c r="AY146" i="41"/>
  <c r="AY145" i="41"/>
  <c r="AY148" i="41"/>
  <c r="AY144" i="41"/>
  <c r="AY1360" i="41"/>
  <c r="AY1358" i="41"/>
  <c r="AY1356" i="41"/>
  <c r="AY1359" i="41"/>
  <c r="AY1345" i="41"/>
  <c r="AY1127" i="41"/>
  <c r="AY1128" i="41"/>
  <c r="AY1126" i="41"/>
  <c r="AY1125" i="41"/>
  <c r="AY1139" i="41"/>
  <c r="AY1137" i="41"/>
  <c r="AY1135" i="41"/>
  <c r="AY1138" i="41"/>
  <c r="AY1136" i="41"/>
  <c r="AY944" i="41"/>
  <c r="AY942" i="41"/>
  <c r="AY943" i="41"/>
  <c r="AY940" i="41"/>
  <c r="AY941" i="41"/>
  <c r="AY906" i="41"/>
  <c r="AY907" i="41"/>
  <c r="AY905" i="41"/>
  <c r="AY904" i="41"/>
  <c r="AY903" i="41"/>
  <c r="AY70" i="41"/>
  <c r="AY68" i="41"/>
  <c r="AY71" i="41"/>
  <c r="AY69" i="41"/>
  <c r="AY72" i="41"/>
  <c r="H388" i="11"/>
  <c r="H376" i="11"/>
  <c r="H377" i="11"/>
  <c r="H387" i="11"/>
  <c r="H393" i="11"/>
  <c r="K8" i="33"/>
  <c r="M8" i="33"/>
  <c r="P8" i="33"/>
  <c r="K9" i="33"/>
  <c r="M9" i="33"/>
  <c r="P9" i="33"/>
  <c r="K10" i="33"/>
  <c r="M10" i="33"/>
  <c r="P10" i="33"/>
  <c r="E93" i="33" s="1"/>
  <c r="K11" i="33"/>
  <c r="M11" i="33"/>
  <c r="P11" i="33"/>
  <c r="K12" i="33"/>
  <c r="M12" i="33"/>
  <c r="P12" i="33"/>
  <c r="K13" i="33"/>
  <c r="M13" i="33"/>
  <c r="P13" i="33"/>
  <c r="K14" i="33"/>
  <c r="M14" i="33"/>
  <c r="P14" i="33"/>
  <c r="K15" i="33"/>
  <c r="M15" i="33"/>
  <c r="P15" i="33"/>
  <c r="K16" i="33"/>
  <c r="M16" i="33"/>
  <c r="P16" i="33"/>
  <c r="K17" i="33"/>
  <c r="M17" i="33"/>
  <c r="P17" i="33"/>
  <c r="K18" i="33"/>
  <c r="M18" i="33"/>
  <c r="P18" i="33"/>
  <c r="K19" i="33"/>
  <c r="M19" i="33"/>
  <c r="P19" i="33"/>
  <c r="K20" i="33"/>
  <c r="M20" i="33"/>
  <c r="P20" i="33"/>
  <c r="K21" i="33"/>
  <c r="M21" i="33"/>
  <c r="P21" i="33"/>
  <c r="K22" i="33"/>
  <c r="M22" i="33"/>
  <c r="P22" i="33"/>
  <c r="K23" i="33"/>
  <c r="M23" i="33"/>
  <c r="P23" i="33"/>
  <c r="K24" i="33"/>
  <c r="M24" i="33"/>
  <c r="P24" i="33"/>
  <c r="K25" i="33"/>
  <c r="M25" i="33"/>
  <c r="P25" i="33"/>
  <c r="K26" i="33"/>
  <c r="M26" i="33"/>
  <c r="P26" i="33"/>
  <c r="B27" i="33"/>
  <c r="D27" i="33"/>
  <c r="K27" i="33"/>
  <c r="M27" i="33"/>
  <c r="P27" i="33"/>
  <c r="K28" i="33"/>
  <c r="M28" i="33"/>
  <c r="P28" i="33"/>
  <c r="K29" i="33"/>
  <c r="M29" i="33"/>
  <c r="P29" i="33"/>
  <c r="K30" i="33"/>
  <c r="M30" i="33"/>
  <c r="P30" i="33"/>
  <c r="B31" i="33"/>
  <c r="K31" i="33"/>
  <c r="M31" i="33"/>
  <c r="P31" i="33"/>
  <c r="K32" i="33"/>
  <c r="M32" i="33"/>
  <c r="P32" i="33"/>
  <c r="K33" i="33"/>
  <c r="M33" i="33"/>
  <c r="P33" i="33"/>
  <c r="B35" i="33"/>
  <c r="M40" i="33"/>
  <c r="M42" i="33"/>
  <c r="L50" i="33"/>
  <c r="E57" i="33"/>
  <c r="E60" i="33"/>
  <c r="E61" i="33"/>
  <c r="C62" i="33"/>
  <c r="E62" i="33"/>
  <c r="E65" i="33"/>
  <c r="E66" i="33" s="1"/>
  <c r="E78" i="33" s="1"/>
  <c r="C67" i="33"/>
  <c r="E67" i="33"/>
  <c r="E77" i="33" s="1"/>
  <c r="E70" i="33"/>
  <c r="E71" i="33" s="1"/>
  <c r="E111" i="33" s="1"/>
  <c r="E72" i="33"/>
  <c r="B93" i="33"/>
  <c r="C93" i="33"/>
  <c r="C102" i="33"/>
  <c r="E102" i="33"/>
  <c r="C118" i="33"/>
  <c r="E118" i="33"/>
  <c r="B126" i="33"/>
  <c r="C126" i="33"/>
  <c r="E126" i="33"/>
  <c r="E127" i="33" s="1"/>
  <c r="E132" i="33"/>
  <c r="E133" i="33"/>
  <c r="E134" i="33" s="1"/>
  <c r="E135" i="33" s="1"/>
  <c r="E136" i="33" s="1"/>
  <c r="E79" i="33" l="1"/>
  <c r="AY1357" i="41"/>
  <c r="AZ1183" i="41"/>
  <c r="AZ1181" i="41"/>
  <c r="AZ1184" i="41"/>
  <c r="AZ1185" i="41"/>
  <c r="AZ1182" i="41"/>
  <c r="AZ1273" i="41"/>
  <c r="AZ1262" i="41"/>
  <c r="AY1228" i="41"/>
  <c r="AZ1139" i="41"/>
  <c r="AZ1137" i="41"/>
  <c r="AZ1135" i="41"/>
  <c r="AZ1138" i="41"/>
  <c r="AZ1124" i="41"/>
  <c r="AZ1127" i="41"/>
  <c r="AZ1128" i="41"/>
  <c r="AZ1126" i="41"/>
  <c r="AZ1125" i="41"/>
  <c r="AZ1220" i="41"/>
  <c r="AZ1219" i="41"/>
  <c r="AZ1217" i="41"/>
  <c r="AZ1218" i="41"/>
  <c r="AZ145" i="41"/>
  <c r="AZ148" i="41"/>
  <c r="AZ146" i="41"/>
  <c r="AZ144" i="41"/>
  <c r="AZ147" i="41"/>
  <c r="AY1124" i="41"/>
  <c r="AY1311" i="41"/>
  <c r="AY1170" i="41"/>
  <c r="AZ307" i="41"/>
  <c r="AZ305" i="41"/>
  <c r="AZ306" i="41"/>
  <c r="AZ304" i="41"/>
  <c r="AZ303" i="41"/>
  <c r="AZ70" i="41"/>
  <c r="AZ68" i="41"/>
  <c r="AZ71" i="41"/>
  <c r="AZ69" i="41"/>
  <c r="AZ72" i="41"/>
  <c r="AZ109" i="41"/>
  <c r="AZ107" i="41"/>
  <c r="AZ110" i="41"/>
  <c r="AZ108" i="41"/>
  <c r="AZ106" i="41"/>
  <c r="AZ1265" i="41"/>
  <c r="AZ1263" i="41"/>
  <c r="AZ1264" i="41"/>
  <c r="AZ1266" i="41"/>
  <c r="AZ1345" i="41"/>
  <c r="AZ1348" i="41"/>
  <c r="AZ1346" i="41"/>
  <c r="AZ1349" i="41"/>
  <c r="AZ1347" i="41"/>
  <c r="AZ1301" i="41"/>
  <c r="AZ1303" i="41"/>
  <c r="AZ1300" i="41"/>
  <c r="AZ1302" i="41"/>
  <c r="AZ34" i="41"/>
  <c r="AZ32" i="41"/>
  <c r="AZ33" i="41"/>
  <c r="AZ30" i="41"/>
  <c r="AZ31" i="41"/>
  <c r="AZ940" i="41"/>
  <c r="AZ943" i="41"/>
  <c r="AZ944" i="41"/>
  <c r="AZ942" i="41"/>
  <c r="AZ941" i="41"/>
  <c r="AZ1312" i="41"/>
  <c r="AZ1310" i="41"/>
  <c r="AZ1299" i="41"/>
  <c r="AZ1313" i="41"/>
  <c r="AZ1314" i="41"/>
  <c r="AZ1311" i="41"/>
  <c r="AZ1080" i="41"/>
  <c r="AZ1081" i="41"/>
  <c r="AZ1079" i="41"/>
  <c r="AZ1082" i="41"/>
  <c r="AZ1093" i="41"/>
  <c r="AZ1091" i="41"/>
  <c r="AZ1089" i="41"/>
  <c r="AZ1078" i="41"/>
  <c r="AZ1092" i="41"/>
  <c r="AY190" i="41"/>
  <c r="AY193" i="41"/>
  <c r="AY189" i="41"/>
  <c r="AY192" i="41"/>
  <c r="AY191" i="41"/>
  <c r="AZ1170" i="41"/>
  <c r="AZ1173" i="41"/>
  <c r="AZ1171" i="41"/>
  <c r="AZ1174" i="41"/>
  <c r="AZ1172" i="41"/>
  <c r="AZ903" i="41"/>
  <c r="AZ904" i="41"/>
  <c r="AZ907" i="41"/>
  <c r="AZ906" i="41"/>
  <c r="AZ905" i="41"/>
  <c r="AZ1229" i="41"/>
  <c r="AZ1230" i="41"/>
  <c r="AZ1231" i="41"/>
  <c r="AZ1216" i="41"/>
  <c r="AZ1228" i="41"/>
  <c r="AZ1227" i="41"/>
  <c r="AZ1357" i="41"/>
  <c r="AZ1360" i="41"/>
  <c r="AZ1358" i="41"/>
  <c r="AZ1356" i="41"/>
  <c r="AZ1359" i="41"/>
  <c r="AZ343" i="41"/>
  <c r="AZ341" i="41"/>
  <c r="AZ342" i="41"/>
  <c r="AZ340" i="41"/>
  <c r="AZ344" i="41"/>
  <c r="E81" i="33"/>
  <c r="D35" i="33" s="1"/>
  <c r="H389" i="11"/>
  <c r="H1132" i="14" s="1"/>
  <c r="E110" i="33"/>
  <c r="E114" i="33" s="1"/>
  <c r="E87" i="33"/>
  <c r="E88" i="33" s="1"/>
  <c r="E112" i="33"/>
  <c r="E113" i="33" s="1"/>
  <c r="B119" i="33" s="1"/>
  <c r="E80" i="33"/>
  <c r="E92" i="33" l="1"/>
  <c r="E94" i="33" s="1"/>
  <c r="E82" i="33"/>
  <c r="BA1080" i="41"/>
  <c r="BA1081" i="41"/>
  <c r="BA1079" i="41"/>
  <c r="BA1082" i="41"/>
  <c r="BA1183" i="41"/>
  <c r="BA1181" i="41"/>
  <c r="BA1184" i="41"/>
  <c r="BA1185" i="41"/>
  <c r="BA1182" i="41"/>
  <c r="BA1360" i="41"/>
  <c r="BA1358" i="41"/>
  <c r="BA1356" i="41"/>
  <c r="BA1359" i="41"/>
  <c r="BA1357" i="41"/>
  <c r="AZ189" i="41"/>
  <c r="AZ192" i="41"/>
  <c r="AZ191" i="41"/>
  <c r="AZ190" i="41"/>
  <c r="AZ193" i="41"/>
  <c r="BA307" i="41"/>
  <c r="BA306" i="41"/>
  <c r="BA304" i="41"/>
  <c r="BA305" i="41"/>
  <c r="BA303" i="41"/>
  <c r="BA1217" i="41"/>
  <c r="BA1220" i="41"/>
  <c r="BA1219" i="41"/>
  <c r="BA1218" i="41"/>
  <c r="AZ1090" i="41"/>
  <c r="BA1300" i="41"/>
  <c r="BA1301" i="41"/>
  <c r="BA1303" i="41"/>
  <c r="BA1302" i="41"/>
  <c r="BA343" i="41"/>
  <c r="BA341" i="41"/>
  <c r="BA344" i="41"/>
  <c r="BA340" i="41"/>
  <c r="BA342" i="41"/>
  <c r="BA1173" i="41"/>
  <c r="BA1171" i="41"/>
  <c r="BA1174" i="41"/>
  <c r="BA1172" i="41"/>
  <c r="BA1170" i="41"/>
  <c r="BA70" i="41"/>
  <c r="BA68" i="41"/>
  <c r="BA71" i="41"/>
  <c r="BA69" i="41"/>
  <c r="BA72" i="41"/>
  <c r="BA1127" i="41"/>
  <c r="BA1128" i="41"/>
  <c r="BA1126" i="41"/>
  <c r="BA1124" i="41"/>
  <c r="BA1125" i="41"/>
  <c r="BA903" i="41"/>
  <c r="BA904" i="41"/>
  <c r="BA907" i="41"/>
  <c r="BA906" i="41"/>
  <c r="BA905" i="41"/>
  <c r="BA1093" i="41"/>
  <c r="BA1091" i="41"/>
  <c r="BA1089" i="41"/>
  <c r="BA1092" i="41"/>
  <c r="BA1090" i="41"/>
  <c r="BA1139" i="41"/>
  <c r="BA1137" i="41"/>
  <c r="BA1135" i="41"/>
  <c r="BA1138" i="41"/>
  <c r="BA1136" i="41"/>
  <c r="BA1310" i="41"/>
  <c r="BA1299" i="41"/>
  <c r="BA1314" i="41"/>
  <c r="BA1312" i="41"/>
  <c r="BA1313" i="41"/>
  <c r="BA1345" i="41"/>
  <c r="BA1348" i="41"/>
  <c r="BA1346" i="41"/>
  <c r="BA1349" i="41"/>
  <c r="BA1347" i="41"/>
  <c r="AZ1136" i="41"/>
  <c r="BA1273" i="41"/>
  <c r="BA1262" i="41"/>
  <c r="BA1265" i="41"/>
  <c r="BA1263" i="41"/>
  <c r="BA1266" i="41"/>
  <c r="BA1264" i="41"/>
  <c r="BA940" i="41"/>
  <c r="BA941" i="41"/>
  <c r="BA942" i="41"/>
  <c r="BA943" i="41"/>
  <c r="BA944" i="41"/>
  <c r="BA108" i="41"/>
  <c r="BA107" i="41"/>
  <c r="BA110" i="41"/>
  <c r="BA106" i="41"/>
  <c r="BA109" i="41"/>
  <c r="BA144" i="41"/>
  <c r="BA146" i="41"/>
  <c r="BA145" i="41"/>
  <c r="BA148" i="41"/>
  <c r="BA147" i="41"/>
  <c r="BA1230" i="41"/>
  <c r="BA1228" i="41"/>
  <c r="BA1229" i="41"/>
  <c r="BA1227" i="41"/>
  <c r="BA1231" i="41"/>
  <c r="BA193" i="41"/>
  <c r="BA191" i="41"/>
  <c r="BA189" i="41"/>
  <c r="BA192" i="41"/>
  <c r="BA34" i="41"/>
  <c r="BA32" i="41"/>
  <c r="BA30" i="41"/>
  <c r="BA31" i="41"/>
  <c r="BA33" i="41"/>
  <c r="E137" i="33"/>
  <c r="E115" i="33"/>
  <c r="E119" i="33" s="1"/>
  <c r="E120" i="33"/>
  <c r="E83" i="33"/>
  <c r="BB189" i="41" l="1"/>
  <c r="BB191" i="41"/>
  <c r="BB190" i="41"/>
  <c r="BB32" i="41"/>
  <c r="BB30" i="41"/>
  <c r="BB33" i="41"/>
  <c r="BB31" i="41"/>
  <c r="BB34" i="41"/>
  <c r="BB1218" i="41"/>
  <c r="BB1217" i="41"/>
  <c r="BB1219" i="41"/>
  <c r="BB1220" i="41"/>
  <c r="BB148" i="41"/>
  <c r="BB146" i="41"/>
  <c r="BB147" i="41"/>
  <c r="BB145" i="41"/>
  <c r="BB144" i="41"/>
  <c r="BB1173" i="41"/>
  <c r="BB1171" i="41"/>
  <c r="BB1174" i="41"/>
  <c r="BB1172" i="41"/>
  <c r="BB68" i="41"/>
  <c r="BB71" i="41"/>
  <c r="BB69" i="41"/>
  <c r="BB72" i="41"/>
  <c r="BB70" i="41"/>
  <c r="BB1139" i="41"/>
  <c r="BB1137" i="41"/>
  <c r="BB1135" i="41"/>
  <c r="BB1138" i="41"/>
  <c r="BB1136" i="41"/>
  <c r="BB1265" i="41"/>
  <c r="BB1266" i="41"/>
  <c r="BB1263" i="41"/>
  <c r="BB1264" i="41"/>
  <c r="BB1127" i="41"/>
  <c r="BB1128" i="41"/>
  <c r="BB1126" i="41"/>
  <c r="BB1124" i="41"/>
  <c r="BB1125" i="41"/>
  <c r="BB1080" i="41"/>
  <c r="BB1078" i="41"/>
  <c r="BB1081" i="41"/>
  <c r="BB1079" i="41"/>
  <c r="BB1082" i="41"/>
  <c r="BB304" i="41"/>
  <c r="BB307" i="41"/>
  <c r="BB305" i="41"/>
  <c r="BB306" i="41"/>
  <c r="BB303" i="41"/>
  <c r="BA1311" i="41"/>
  <c r="BB340" i="41"/>
  <c r="BB344" i="41"/>
  <c r="BB342" i="41"/>
  <c r="BB343" i="41"/>
  <c r="BB341" i="41"/>
  <c r="BB1300" i="41"/>
  <c r="BB1303" i="41"/>
  <c r="BB1301" i="41"/>
  <c r="BB1302" i="41"/>
  <c r="BA1216" i="41"/>
  <c r="BB1310" i="41"/>
  <c r="BB1312" i="41"/>
  <c r="BB1311" i="41"/>
  <c r="BB1313" i="41"/>
  <c r="BB1314" i="41"/>
  <c r="BA190" i="41"/>
  <c r="BB1273" i="41"/>
  <c r="BB1262" i="41"/>
  <c r="BB1183" i="41"/>
  <c r="BB1181" i="41"/>
  <c r="BB1184" i="41"/>
  <c r="BB1185" i="41"/>
  <c r="BB1182" i="41"/>
  <c r="BB1093" i="41"/>
  <c r="BB1091" i="41"/>
  <c r="BB1089" i="41"/>
  <c r="BB1092" i="41"/>
  <c r="BB1090" i="41"/>
  <c r="BB942" i="41"/>
  <c r="BB940" i="41"/>
  <c r="BB943" i="41"/>
  <c r="BB941" i="41"/>
  <c r="BB944" i="41"/>
  <c r="BA1078" i="41"/>
  <c r="BB1227" i="41"/>
  <c r="BB1229" i="41"/>
  <c r="BB1230" i="41"/>
  <c r="BB1228" i="41"/>
  <c r="BB1231" i="41"/>
  <c r="BB1216" i="41"/>
  <c r="BB1345" i="41"/>
  <c r="BB1348" i="41"/>
  <c r="BB1346" i="41"/>
  <c r="BB1349" i="41"/>
  <c r="BB1347" i="41"/>
  <c r="BB1360" i="41"/>
  <c r="BB1358" i="41"/>
  <c r="BB1356" i="41"/>
  <c r="BB1359" i="41"/>
  <c r="BB1357" i="41"/>
  <c r="BB906" i="41"/>
  <c r="BB904" i="41"/>
  <c r="BB907" i="41"/>
  <c r="BB905" i="41"/>
  <c r="BB903" i="41"/>
  <c r="BB107" i="41"/>
  <c r="BB110" i="41"/>
  <c r="BB106" i="41"/>
  <c r="BB109" i="41"/>
  <c r="BB108" i="41"/>
  <c r="E121" i="33"/>
  <c r="C51" i="33" s="1"/>
  <c r="E95" i="33"/>
  <c r="E99" i="33" s="1"/>
  <c r="BC305" i="41" l="1"/>
  <c r="BC303" i="41"/>
  <c r="BC306" i="41"/>
  <c r="BC304" i="41"/>
  <c r="BC307" i="41"/>
  <c r="BC1093" i="41"/>
  <c r="BC1091" i="41"/>
  <c r="BC1089" i="41"/>
  <c r="BC1092" i="41"/>
  <c r="BC1090" i="41"/>
  <c r="BC1171" i="41"/>
  <c r="BC1174" i="41"/>
  <c r="BC1172" i="41"/>
  <c r="BC1173" i="41"/>
  <c r="BC1170" i="41"/>
  <c r="BC1231" i="41"/>
  <c r="BC1229" i="41"/>
  <c r="BC1228" i="41"/>
  <c r="BC1230" i="41"/>
  <c r="BC1227" i="41"/>
  <c r="BB1170" i="41"/>
  <c r="BB1299" i="41"/>
  <c r="BC1183" i="41"/>
  <c r="BC1181" i="41"/>
  <c r="BC1184" i="41"/>
  <c r="BC1185" i="41"/>
  <c r="BC1182" i="41"/>
  <c r="BC1310" i="41"/>
  <c r="BC1313" i="41"/>
  <c r="BC1311" i="41"/>
  <c r="BC1314" i="41"/>
  <c r="BC1312" i="41"/>
  <c r="BC1127" i="41"/>
  <c r="BC1128" i="41"/>
  <c r="BC1125" i="41"/>
  <c r="BC1126" i="41"/>
  <c r="BB192" i="41"/>
  <c r="BC1217" i="41"/>
  <c r="BC1220" i="41"/>
  <c r="BC1218" i="41"/>
  <c r="BC1216" i="41"/>
  <c r="BC1219" i="41"/>
  <c r="BC107" i="41"/>
  <c r="BC110" i="41"/>
  <c r="BC106" i="41"/>
  <c r="BC109" i="41"/>
  <c r="BC108" i="41"/>
  <c r="BC147" i="41"/>
  <c r="BC146" i="41"/>
  <c r="BC145" i="41"/>
  <c r="BC148" i="41"/>
  <c r="BC144" i="41"/>
  <c r="BC942" i="41"/>
  <c r="BC940" i="41"/>
  <c r="BC943" i="41"/>
  <c r="BC941" i="41"/>
  <c r="BC944" i="41"/>
  <c r="BC906" i="41"/>
  <c r="BC904" i="41"/>
  <c r="BC907" i="41"/>
  <c r="BC903" i="41"/>
  <c r="BC905" i="41"/>
  <c r="BC1345" i="41"/>
  <c r="BC1348" i="41"/>
  <c r="BC1346" i="41"/>
  <c r="BC1349" i="41"/>
  <c r="BC1347" i="41"/>
  <c r="BC344" i="41"/>
  <c r="BC342" i="41"/>
  <c r="BC343" i="41"/>
  <c r="BC340" i="41"/>
  <c r="BC341" i="41"/>
  <c r="BC68" i="41"/>
  <c r="BC71" i="41"/>
  <c r="BC69" i="41"/>
  <c r="BC72" i="41"/>
  <c r="BC70" i="41"/>
  <c r="BC1273" i="41"/>
  <c r="BC1303" i="41"/>
  <c r="BC1301" i="41"/>
  <c r="BC1299" i="41"/>
  <c r="BC1302" i="41"/>
  <c r="BC1300" i="41"/>
  <c r="BC32" i="41"/>
  <c r="BC30" i="41"/>
  <c r="BC33" i="41"/>
  <c r="BC31" i="41"/>
  <c r="BC34" i="41"/>
  <c r="BC1137" i="41"/>
  <c r="BC1135" i="41"/>
  <c r="BC1138" i="41"/>
  <c r="BC1124" i="41"/>
  <c r="BC1139" i="41"/>
  <c r="BC1078" i="41"/>
  <c r="BC1081" i="41"/>
  <c r="BC1079" i="41"/>
  <c r="BC1082" i="41"/>
  <c r="BC1080" i="41"/>
  <c r="BC1358" i="41"/>
  <c r="BC1356" i="41"/>
  <c r="BC1359" i="41"/>
  <c r="BC1357" i="41"/>
  <c r="BC1360" i="41"/>
  <c r="BC1262" i="41"/>
  <c r="BC1265" i="41"/>
  <c r="BC1263" i="41"/>
  <c r="BC1264" i="41"/>
  <c r="BC1266" i="41"/>
  <c r="BB193" i="41"/>
  <c r="B98" i="33"/>
  <c r="B99" i="33"/>
  <c r="BD1171" i="41" l="1"/>
  <c r="BD1174" i="41"/>
  <c r="BD1172" i="41"/>
  <c r="BD1173" i="41"/>
  <c r="BD1137" i="41"/>
  <c r="BD1135" i="41"/>
  <c r="BD1138" i="41"/>
  <c r="BD1139" i="41"/>
  <c r="BD1124" i="41"/>
  <c r="BD1093" i="41"/>
  <c r="BD1091" i="41"/>
  <c r="BD1089" i="41"/>
  <c r="BD1092" i="41"/>
  <c r="BD1090" i="41"/>
  <c r="BD1127" i="41"/>
  <c r="BD1128" i="41"/>
  <c r="BD1125" i="41"/>
  <c r="BD1126" i="41"/>
  <c r="BD1078" i="41"/>
  <c r="BD1081" i="41"/>
  <c r="BD1079" i="41"/>
  <c r="BD1082" i="41"/>
  <c r="BD1080" i="41"/>
  <c r="BD1266" i="41"/>
  <c r="BD1265" i="41"/>
  <c r="BD1264" i="41"/>
  <c r="BD1263" i="41"/>
  <c r="BD1273" i="41"/>
  <c r="BD1262" i="41"/>
  <c r="BD1227" i="41"/>
  <c r="BD1230" i="41"/>
  <c r="BD1229" i="41"/>
  <c r="BD1231" i="41"/>
  <c r="BD1228" i="41"/>
  <c r="BD943" i="41"/>
  <c r="BD941" i="41"/>
  <c r="BD942" i="41"/>
  <c r="BD940" i="41"/>
  <c r="BD944" i="41"/>
  <c r="BD107" i="41"/>
  <c r="BD110" i="41"/>
  <c r="BD108" i="41"/>
  <c r="BD106" i="41"/>
  <c r="BD109" i="41"/>
  <c r="BD1358" i="41"/>
  <c r="BD1356" i="41"/>
  <c r="BD1359" i="41"/>
  <c r="BD1357" i="41"/>
  <c r="BD1360" i="41"/>
  <c r="BD32" i="41"/>
  <c r="BD30" i="41"/>
  <c r="BD33" i="41"/>
  <c r="BD31" i="41"/>
  <c r="BD34" i="41"/>
  <c r="BD68" i="41"/>
  <c r="BD71" i="41"/>
  <c r="BD69" i="41"/>
  <c r="BD72" i="41"/>
  <c r="BD70" i="41"/>
  <c r="BD146" i="41"/>
  <c r="BD144" i="41"/>
  <c r="BD145" i="41"/>
  <c r="BD148" i="41"/>
  <c r="BD147" i="41"/>
  <c r="BC193" i="41"/>
  <c r="BC191" i="41"/>
  <c r="BC192" i="41"/>
  <c r="BC190" i="41"/>
  <c r="BC189" i="41"/>
  <c r="BD1303" i="41"/>
  <c r="BD1302" i="41"/>
  <c r="BD1299" i="41"/>
  <c r="BD1301" i="41"/>
  <c r="BD1300" i="41"/>
  <c r="BD307" i="41"/>
  <c r="BD303" i="41"/>
  <c r="BD304" i="41"/>
  <c r="BD305" i="41"/>
  <c r="BD306" i="41"/>
  <c r="BD343" i="41"/>
  <c r="BD341" i="41"/>
  <c r="BD340" i="41"/>
  <c r="BD344" i="41"/>
  <c r="BD342" i="41"/>
  <c r="BD907" i="41"/>
  <c r="BD905" i="41"/>
  <c r="BD906" i="41"/>
  <c r="BD904" i="41"/>
  <c r="BD903" i="41"/>
  <c r="BC1136" i="41"/>
  <c r="BD1218" i="41"/>
  <c r="BD1219" i="41"/>
  <c r="BD1217" i="41"/>
  <c r="BD1216" i="41"/>
  <c r="BD1220" i="41"/>
  <c r="BD1348" i="41"/>
  <c r="BD1346" i="41"/>
  <c r="BD1349" i="41"/>
  <c r="BD1347" i="41"/>
  <c r="BD1345" i="41"/>
  <c r="BD1181" i="41"/>
  <c r="BD1184" i="41"/>
  <c r="BD1185" i="41"/>
  <c r="BD1170" i="41"/>
  <c r="BD1183" i="41"/>
  <c r="BD1313" i="41"/>
  <c r="BD1314" i="41"/>
  <c r="BD1312" i="41"/>
  <c r="BD1311" i="41"/>
  <c r="BD1310" i="41"/>
  <c r="B103" i="33"/>
  <c r="E103" i="33"/>
  <c r="E128" i="33"/>
  <c r="E104" i="33"/>
  <c r="BD1182" i="41" l="1"/>
  <c r="BE1220" i="41"/>
  <c r="BE1218" i="41"/>
  <c r="BE1219" i="41"/>
  <c r="BE1217" i="41"/>
  <c r="BD1136" i="41"/>
  <c r="BE1078" i="41"/>
  <c r="BE1081" i="41"/>
  <c r="BE1079" i="41"/>
  <c r="BE1082" i="41"/>
  <c r="BE1080" i="41"/>
  <c r="BE1181" i="41"/>
  <c r="BE1184" i="41"/>
  <c r="BE1182" i="41"/>
  <c r="BE1185" i="41"/>
  <c r="BE1170" i="41"/>
  <c r="BE1183" i="41"/>
  <c r="BE1171" i="41"/>
  <c r="BE1174" i="41"/>
  <c r="BE1172" i="41"/>
  <c r="BE1173" i="41"/>
  <c r="BE1313" i="41"/>
  <c r="BE1314" i="41"/>
  <c r="BE1311" i="41"/>
  <c r="BE1312" i="41"/>
  <c r="BE1310" i="41"/>
  <c r="BE341" i="41"/>
  <c r="BE342" i="41"/>
  <c r="BE340" i="41"/>
  <c r="BE343" i="41"/>
  <c r="BE344" i="41"/>
  <c r="BE1127" i="41"/>
  <c r="BE1128" i="41"/>
  <c r="BE1125" i="41"/>
  <c r="BE1126" i="41"/>
  <c r="BE146" i="41"/>
  <c r="BE145" i="41"/>
  <c r="BE148" i="41"/>
  <c r="BE144" i="41"/>
  <c r="BE147" i="41"/>
  <c r="BE1266" i="41"/>
  <c r="BE1262" i="41"/>
  <c r="BE1265" i="41"/>
  <c r="BE1264" i="41"/>
  <c r="BE1263" i="41"/>
  <c r="BE1093" i="41"/>
  <c r="BE1091" i="41"/>
  <c r="BE1089" i="41"/>
  <c r="BE1092" i="41"/>
  <c r="BE1090" i="41"/>
  <c r="BE1273" i="41"/>
  <c r="BE106" i="41"/>
  <c r="BE107" i="41"/>
  <c r="BE110" i="41"/>
  <c r="BE109" i="41"/>
  <c r="BE108" i="41"/>
  <c r="BD192" i="41"/>
  <c r="BD191" i="41"/>
  <c r="BD190" i="41"/>
  <c r="BD193" i="41"/>
  <c r="BD189" i="41"/>
  <c r="BE1358" i="41"/>
  <c r="BE1356" i="41"/>
  <c r="BE1359" i="41"/>
  <c r="BE1357" i="41"/>
  <c r="BE1360" i="41"/>
  <c r="BE192" i="41"/>
  <c r="BE189" i="41"/>
  <c r="BE193" i="41"/>
  <c r="BE304" i="41"/>
  <c r="BE307" i="41"/>
  <c r="BE305" i="41"/>
  <c r="BE303" i="41"/>
  <c r="BE306" i="41"/>
  <c r="BE907" i="41"/>
  <c r="BE904" i="41"/>
  <c r="BE903" i="41"/>
  <c r="BE905" i="41"/>
  <c r="BE906" i="41"/>
  <c r="BE32" i="41"/>
  <c r="BE30" i="41"/>
  <c r="BE33" i="41"/>
  <c r="BE34" i="41"/>
  <c r="BE31" i="41"/>
  <c r="BE68" i="41"/>
  <c r="BE71" i="41"/>
  <c r="BE69" i="41"/>
  <c r="BE72" i="41"/>
  <c r="BE70" i="41"/>
  <c r="BE1348" i="41"/>
  <c r="BE1346" i="41"/>
  <c r="BE1349" i="41"/>
  <c r="BE1347" i="41"/>
  <c r="BE1345" i="41"/>
  <c r="BE1228" i="41"/>
  <c r="BE1229" i="41"/>
  <c r="BE1230" i="41"/>
  <c r="BE1227" i="41"/>
  <c r="BE1216" i="41"/>
  <c r="BE1231" i="41"/>
  <c r="BE1137" i="41"/>
  <c r="BE1135" i="41"/>
  <c r="BE1138" i="41"/>
  <c r="BE1139" i="41"/>
  <c r="BE1124" i="41"/>
  <c r="BE943" i="41"/>
  <c r="BE944" i="41"/>
  <c r="BE940" i="41"/>
  <c r="BE941" i="41"/>
  <c r="BE942" i="41"/>
  <c r="BE191" i="41"/>
  <c r="BE190" i="41"/>
  <c r="BE1299" i="41"/>
  <c r="BE1301" i="41"/>
  <c r="BE1303" i="41"/>
  <c r="BE1300" i="41"/>
  <c r="BE1302" i="41"/>
  <c r="E129" i="33"/>
  <c r="E138" i="33" s="1"/>
  <c r="E139" i="33" s="1"/>
  <c r="E105" i="33"/>
  <c r="B51" i="33" s="1"/>
  <c r="E51" i="33" l="1"/>
  <c r="BF1091" i="41"/>
  <c r="BF1089" i="41"/>
  <c r="BF1092" i="41"/>
  <c r="BF1090" i="41"/>
  <c r="BF1093" i="41"/>
  <c r="BF71" i="41"/>
  <c r="BF69" i="41"/>
  <c r="BF72" i="41"/>
  <c r="BF70" i="41"/>
  <c r="BF68" i="41"/>
  <c r="BF344" i="41"/>
  <c r="BF342" i="41"/>
  <c r="BF340" i="41"/>
  <c r="BF343" i="41"/>
  <c r="BF341" i="41"/>
  <c r="BF1230" i="41"/>
  <c r="BF1231" i="41"/>
  <c r="BF1227" i="41"/>
  <c r="BF1229" i="41"/>
  <c r="BF1228" i="41"/>
  <c r="BF30" i="41"/>
  <c r="BF33" i="41"/>
  <c r="BF34" i="41"/>
  <c r="BF31" i="41"/>
  <c r="BF32" i="41"/>
  <c r="BF110" i="41"/>
  <c r="BF108" i="41"/>
  <c r="BF109" i="41"/>
  <c r="BF107" i="41"/>
  <c r="BF106" i="41"/>
  <c r="BF1358" i="41"/>
  <c r="BF1356" i="41"/>
  <c r="BF1359" i="41"/>
  <c r="BF1357" i="41"/>
  <c r="BF1360" i="41"/>
  <c r="BF1346" i="41"/>
  <c r="BF1349" i="41"/>
  <c r="BF1347" i="41"/>
  <c r="BF1345" i="41"/>
  <c r="BF1348" i="41"/>
  <c r="BF1181" i="41"/>
  <c r="BF1184" i="41"/>
  <c r="BF1185" i="41"/>
  <c r="BF1170" i="41"/>
  <c r="BF1183" i="41"/>
  <c r="BF940" i="41"/>
  <c r="BF941" i="41"/>
  <c r="BF944" i="41"/>
  <c r="BF943" i="41"/>
  <c r="BF942" i="41"/>
  <c r="BF307" i="41"/>
  <c r="BF303" i="41"/>
  <c r="BF306" i="41"/>
  <c r="BF304" i="41"/>
  <c r="BF305" i="41"/>
  <c r="BF1128" i="41"/>
  <c r="BF1127" i="41"/>
  <c r="BF1125" i="41"/>
  <c r="BF1126" i="41"/>
  <c r="BF1137" i="41"/>
  <c r="BF1135" i="41"/>
  <c r="BF1138" i="41"/>
  <c r="BF1139" i="41"/>
  <c r="BF1124" i="41"/>
  <c r="BF1299" i="41"/>
  <c r="BF1302" i="41"/>
  <c r="BF1301" i="41"/>
  <c r="BF1303" i="41"/>
  <c r="BF1300" i="41"/>
  <c r="BF146" i="41"/>
  <c r="BF144" i="41"/>
  <c r="BF147" i="41"/>
  <c r="BF145" i="41"/>
  <c r="BF148" i="41"/>
  <c r="BE1136" i="41"/>
  <c r="BF1078" i="41"/>
  <c r="BF1081" i="41"/>
  <c r="BF1079" i="41"/>
  <c r="BF1082" i="41"/>
  <c r="BF1080" i="41"/>
  <c r="BF1218" i="41"/>
  <c r="BF1219" i="41"/>
  <c r="BF1217" i="41"/>
  <c r="BF1220" i="41"/>
  <c r="BF1216" i="41"/>
  <c r="BF1263" i="41"/>
  <c r="BF1264" i="41"/>
  <c r="BF1265" i="41"/>
  <c r="BF1266" i="41"/>
  <c r="BF1273" i="41"/>
  <c r="BF1262" i="41"/>
  <c r="BF904" i="41"/>
  <c r="BF905" i="41"/>
  <c r="BF903" i="41"/>
  <c r="BF906" i="41"/>
  <c r="BF907" i="41"/>
  <c r="BF1171" i="41"/>
  <c r="BF1174" i="41"/>
  <c r="BF1172" i="41"/>
  <c r="BF1173" i="41"/>
  <c r="BF1310" i="41"/>
  <c r="BF1314" i="41"/>
  <c r="BF1312" i="41"/>
  <c r="BF1313" i="41"/>
  <c r="BF1311" i="41"/>
  <c r="BG1128" i="41" l="1"/>
  <c r="BG1127" i="41"/>
  <c r="BG1125" i="41"/>
  <c r="BG1126" i="41"/>
  <c r="BG1312" i="41"/>
  <c r="BG1311" i="41"/>
  <c r="BG1313" i="41"/>
  <c r="BG1310" i="41"/>
  <c r="BG1314" i="41"/>
  <c r="BG1091" i="41"/>
  <c r="BG1089" i="41"/>
  <c r="BG1092" i="41"/>
  <c r="BG1090" i="41"/>
  <c r="BG1093" i="41"/>
  <c r="BG1081" i="41"/>
  <c r="BG1079" i="41"/>
  <c r="BG1082" i="41"/>
  <c r="BG1080" i="41"/>
  <c r="BG1078" i="41"/>
  <c r="BG344" i="41"/>
  <c r="BG342" i="41"/>
  <c r="BG340" i="41"/>
  <c r="BG343" i="41"/>
  <c r="BG341" i="41"/>
  <c r="BG1356" i="41"/>
  <c r="BG1359" i="41"/>
  <c r="BG1345" i="41"/>
  <c r="BG1357" i="41"/>
  <c r="BG1360" i="41"/>
  <c r="BG1358" i="41"/>
  <c r="BF1136" i="41"/>
  <c r="BF1182" i="41"/>
  <c r="BG904" i="41"/>
  <c r="BG905" i="41"/>
  <c r="BG906" i="41"/>
  <c r="BG907" i="41"/>
  <c r="BG903" i="41"/>
  <c r="BG71" i="41"/>
  <c r="BG69" i="41"/>
  <c r="BG72" i="41"/>
  <c r="BG70" i="41"/>
  <c r="BG68" i="41"/>
  <c r="BG145" i="41"/>
  <c r="BG146" i="41"/>
  <c r="BG148" i="41"/>
  <c r="BG144" i="41"/>
  <c r="BG147" i="41"/>
  <c r="BG940" i="41"/>
  <c r="BG941" i="41"/>
  <c r="BG942" i="41"/>
  <c r="BG943" i="41"/>
  <c r="BG944" i="41"/>
  <c r="BG109" i="41"/>
  <c r="BG107" i="41"/>
  <c r="BG110" i="41"/>
  <c r="BG106" i="41"/>
  <c r="BG108" i="41"/>
  <c r="BG1346" i="41"/>
  <c r="BG1349" i="41"/>
  <c r="BG1347" i="41"/>
  <c r="BG1348" i="41"/>
  <c r="BG1301" i="41"/>
  <c r="BG1302" i="41"/>
  <c r="BG1303" i="41"/>
  <c r="BG1300" i="41"/>
  <c r="BG1299" i="41"/>
  <c r="BG1135" i="41"/>
  <c r="BG1138" i="41"/>
  <c r="BG1136" i="41"/>
  <c r="BG1139" i="41"/>
  <c r="BG1137" i="41"/>
  <c r="BG1124" i="41"/>
  <c r="BF191" i="41"/>
  <c r="BF190" i="41"/>
  <c r="BF193" i="41"/>
  <c r="BF189" i="41"/>
  <c r="BF192" i="41"/>
  <c r="BG1218" i="41"/>
  <c r="BG1219" i="41"/>
  <c r="BG1217" i="41"/>
  <c r="BG1220" i="41"/>
  <c r="BG30" i="41"/>
  <c r="BG33" i="41"/>
  <c r="BG31" i="41"/>
  <c r="BG32" i="41"/>
  <c r="BG34" i="41"/>
  <c r="BG1231" i="41"/>
  <c r="BG1229" i="41"/>
  <c r="BG1227" i="41"/>
  <c r="BG1216" i="41"/>
  <c r="BG1230" i="41"/>
  <c r="BG1262" i="41"/>
  <c r="BG1273" i="41"/>
  <c r="BG1181" i="41"/>
  <c r="BG1184" i="41"/>
  <c r="BG1182" i="41"/>
  <c r="BG1185" i="41"/>
  <c r="BG1183" i="41"/>
  <c r="BG1265" i="41"/>
  <c r="BG1266" i="41"/>
  <c r="BG1263" i="41"/>
  <c r="BG1264" i="41"/>
  <c r="BG307" i="41"/>
  <c r="BG305" i="41"/>
  <c r="BG303" i="41"/>
  <c r="BG306" i="41"/>
  <c r="BG304" i="41"/>
  <c r="BG1174" i="41"/>
  <c r="BG1172" i="41"/>
  <c r="BG1170" i="41"/>
  <c r="BG1173" i="41"/>
  <c r="BG1171" i="41"/>
  <c r="BH1301" i="41" l="1"/>
  <c r="BH1302" i="41"/>
  <c r="BH1300" i="41"/>
  <c r="BH1299" i="41"/>
  <c r="BH1303" i="41"/>
  <c r="BH1091" i="41"/>
  <c r="BH1089" i="41"/>
  <c r="BH1092" i="41"/>
  <c r="BH1090" i="41"/>
  <c r="BH1093" i="41"/>
  <c r="BH144" i="41"/>
  <c r="BH147" i="41"/>
  <c r="BH148" i="41"/>
  <c r="BH146" i="41"/>
  <c r="BH145" i="41"/>
  <c r="BG191" i="41"/>
  <c r="BG189" i="41"/>
  <c r="BG192" i="41"/>
  <c r="BG190" i="41"/>
  <c r="BG193" i="41"/>
  <c r="BH1228" i="41"/>
  <c r="BH1231" i="41"/>
  <c r="BH1230" i="41"/>
  <c r="BH1229" i="41"/>
  <c r="BH1227" i="41"/>
  <c r="BH30" i="41"/>
  <c r="BH33" i="41"/>
  <c r="BH31" i="41"/>
  <c r="BH34" i="41"/>
  <c r="BH32" i="41"/>
  <c r="BH341" i="41"/>
  <c r="BH343" i="41"/>
  <c r="BH344" i="41"/>
  <c r="BH342" i="41"/>
  <c r="BH340" i="41"/>
  <c r="BG1228" i="41"/>
  <c r="BH1273" i="41"/>
  <c r="BH1262" i="41"/>
  <c r="BH1081" i="41"/>
  <c r="BH1079" i="41"/>
  <c r="BH1082" i="41"/>
  <c r="BH1080" i="41"/>
  <c r="BH1078" i="41"/>
  <c r="BH907" i="41"/>
  <c r="BH905" i="41"/>
  <c r="BH903" i="41"/>
  <c r="BH904" i="41"/>
  <c r="BH906" i="41"/>
  <c r="BH1219" i="41"/>
  <c r="BH1218" i="41"/>
  <c r="BH1217" i="41"/>
  <c r="BH1220" i="41"/>
  <c r="BH1216" i="41"/>
  <c r="BH1265" i="41"/>
  <c r="BH1263" i="41"/>
  <c r="BH1264" i="41"/>
  <c r="BH1266" i="41"/>
  <c r="BH307" i="41"/>
  <c r="BH305" i="41"/>
  <c r="BH306" i="41"/>
  <c r="BH304" i="41"/>
  <c r="BH303" i="41"/>
  <c r="BH69" i="41"/>
  <c r="BH72" i="41"/>
  <c r="BH70" i="41"/>
  <c r="BH68" i="41"/>
  <c r="BH71" i="41"/>
  <c r="BH1346" i="41"/>
  <c r="BH1349" i="41"/>
  <c r="BH1347" i="41"/>
  <c r="BH1348" i="41"/>
  <c r="BH1174" i="41"/>
  <c r="BH1172" i="41"/>
  <c r="BH1173" i="41"/>
  <c r="BH1171" i="41"/>
  <c r="BH943" i="41"/>
  <c r="BH941" i="41"/>
  <c r="BH944" i="41"/>
  <c r="BH942" i="41"/>
  <c r="BH940" i="41"/>
  <c r="BH108" i="41"/>
  <c r="BH106" i="41"/>
  <c r="BH110" i="41"/>
  <c r="BH109" i="41"/>
  <c r="BH107" i="41"/>
  <c r="BH1135" i="41"/>
  <c r="BH1138" i="41"/>
  <c r="BH1136" i="41"/>
  <c r="BH1139" i="41"/>
  <c r="BH1137" i="41"/>
  <c r="BH1128" i="41"/>
  <c r="BH1127" i="41"/>
  <c r="BH1125" i="41"/>
  <c r="BH1126" i="41"/>
  <c r="BH1124" i="41"/>
  <c r="BH1312" i="41"/>
  <c r="BH1313" i="41"/>
  <c r="BH1311" i="41"/>
  <c r="BH1314" i="41"/>
  <c r="BH1310" i="41"/>
  <c r="BH1184" i="41"/>
  <c r="BH1185" i="41"/>
  <c r="BH1183" i="41"/>
  <c r="BH1181" i="41"/>
  <c r="BH1170" i="41"/>
  <c r="BH1356" i="41"/>
  <c r="BH1359" i="41"/>
  <c r="BH1345" i="41"/>
  <c r="BH1360" i="41"/>
  <c r="BH1358" i="41"/>
  <c r="BI189" i="41" l="1"/>
  <c r="BI192" i="41"/>
  <c r="BI193" i="41"/>
  <c r="BI190" i="41"/>
  <c r="BI1091" i="41"/>
  <c r="BI1089" i="41"/>
  <c r="BI1092" i="41"/>
  <c r="BI1078" i="41"/>
  <c r="BI1093" i="41"/>
  <c r="BI307" i="41"/>
  <c r="BI303" i="41"/>
  <c r="BI306" i="41"/>
  <c r="BI304" i="41"/>
  <c r="BI305" i="41"/>
  <c r="BI1273" i="41"/>
  <c r="BI943" i="41"/>
  <c r="BI941" i="41"/>
  <c r="BI944" i="41"/>
  <c r="BI942" i="41"/>
  <c r="BI940" i="41"/>
  <c r="BI1135" i="41"/>
  <c r="BI1138" i="41"/>
  <c r="BI1139" i="41"/>
  <c r="BI1137" i="41"/>
  <c r="BI1124" i="41"/>
  <c r="BI110" i="41"/>
  <c r="BI106" i="41"/>
  <c r="BI109" i="41"/>
  <c r="BI108" i="41"/>
  <c r="BI107" i="41"/>
  <c r="BH1357" i="41"/>
  <c r="BI1301" i="41"/>
  <c r="BI1303" i="41"/>
  <c r="BI1300" i="41"/>
  <c r="BI1302" i="41"/>
  <c r="BH1182" i="41"/>
  <c r="BI148" i="41"/>
  <c r="BI145" i="41"/>
  <c r="BI144" i="41"/>
  <c r="BI147" i="41"/>
  <c r="BI146" i="41"/>
  <c r="BI1172" i="41"/>
  <c r="BI1170" i="41"/>
  <c r="BI1173" i="41"/>
  <c r="BI1174" i="41"/>
  <c r="BI1171" i="41"/>
  <c r="BI1218" i="41"/>
  <c r="BI1219" i="41"/>
  <c r="BI1217" i="41"/>
  <c r="BI1220" i="41"/>
  <c r="BI1314" i="41"/>
  <c r="BI1312" i="41"/>
  <c r="BI1310" i="41"/>
  <c r="BI1299" i="41"/>
  <c r="BI1313" i="41"/>
  <c r="BI191" i="41"/>
  <c r="BI30" i="41"/>
  <c r="BI33" i="41"/>
  <c r="BI31" i="41"/>
  <c r="BI34" i="41"/>
  <c r="BI32" i="41"/>
  <c r="BI1265" i="41"/>
  <c r="BI1263" i="41"/>
  <c r="BI1264" i="41"/>
  <c r="BI1262" i="41"/>
  <c r="BI1266" i="41"/>
  <c r="BH190" i="41"/>
  <c r="BH191" i="41"/>
  <c r="BH193" i="41"/>
  <c r="BH189" i="41"/>
  <c r="BH192" i="41"/>
  <c r="BI1184" i="41"/>
  <c r="BI1182" i="41"/>
  <c r="BI1185" i="41"/>
  <c r="BI1183" i="41"/>
  <c r="BI1181" i="41"/>
  <c r="BI1079" i="41"/>
  <c r="BI1082" i="41"/>
  <c r="BI1080" i="41"/>
  <c r="BI1081" i="41"/>
  <c r="BI340" i="41"/>
  <c r="BI343" i="41"/>
  <c r="BI341" i="41"/>
  <c r="BI342" i="41"/>
  <c r="BI344" i="41"/>
  <c r="BI69" i="41"/>
  <c r="BI72" i="41"/>
  <c r="BI70" i="41"/>
  <c r="BI68" i="41"/>
  <c r="BI71" i="41"/>
  <c r="BI1231" i="41"/>
  <c r="BI1227" i="41"/>
  <c r="BI1216" i="41"/>
  <c r="BI1230" i="41"/>
  <c r="BI1229" i="41"/>
  <c r="BI1356" i="41"/>
  <c r="BI1359" i="41"/>
  <c r="BI1345" i="41"/>
  <c r="BI1357" i="41"/>
  <c r="BI1360" i="41"/>
  <c r="BI1358" i="41"/>
  <c r="BI907" i="41"/>
  <c r="BI905" i="41"/>
  <c r="BI906" i="41"/>
  <c r="BI903" i="41"/>
  <c r="BI904" i="41"/>
  <c r="BI1128" i="41"/>
  <c r="BI1127" i="41"/>
  <c r="BI1125" i="41"/>
  <c r="BI1126" i="41"/>
  <c r="BI1346" i="41"/>
  <c r="BI1349" i="41"/>
  <c r="BI1347" i="41"/>
  <c r="BI1348" i="41"/>
  <c r="BJ304" i="41" l="1"/>
  <c r="BJ305" i="41"/>
  <c r="BJ303" i="41"/>
  <c r="BJ307" i="41"/>
  <c r="BJ306" i="41"/>
  <c r="BJ1182" i="41"/>
  <c r="BJ1185" i="41"/>
  <c r="BJ1183" i="41"/>
  <c r="BJ1184" i="41"/>
  <c r="BJ1170" i="41"/>
  <c r="BJ1181" i="41"/>
  <c r="BJ108" i="41"/>
  <c r="BJ106" i="41"/>
  <c r="BJ109" i="41"/>
  <c r="BJ107" i="41"/>
  <c r="BJ110" i="41"/>
  <c r="BJ1356" i="41"/>
  <c r="BJ1359" i="41"/>
  <c r="BJ1357" i="41"/>
  <c r="BJ1360" i="41"/>
  <c r="BJ1358" i="41"/>
  <c r="BI1136" i="41"/>
  <c r="BI1090" i="41"/>
  <c r="BJ1172" i="41"/>
  <c r="BJ1173" i="41"/>
  <c r="BJ1171" i="41"/>
  <c r="BJ1174" i="41"/>
  <c r="BJ1219" i="41"/>
  <c r="BJ1217" i="41"/>
  <c r="BJ1218" i="41"/>
  <c r="BJ1220" i="41"/>
  <c r="BJ69" i="41"/>
  <c r="BJ72" i="41"/>
  <c r="BJ70" i="41"/>
  <c r="BJ68" i="41"/>
  <c r="BJ71" i="41"/>
  <c r="BJ1314" i="41"/>
  <c r="BJ1313" i="41"/>
  <c r="BJ1311" i="41"/>
  <c r="BJ1312" i="41"/>
  <c r="BJ1310" i="41"/>
  <c r="BI1228" i="41"/>
  <c r="BJ344" i="41"/>
  <c r="BJ342" i="41"/>
  <c r="BJ340" i="41"/>
  <c r="BJ341" i="41"/>
  <c r="BJ343" i="41"/>
  <c r="BJ1089" i="41"/>
  <c r="BJ1092" i="41"/>
  <c r="BJ1090" i="41"/>
  <c r="BJ1093" i="41"/>
  <c r="BJ1091" i="41"/>
  <c r="BJ1349" i="41"/>
  <c r="BJ1347" i="41"/>
  <c r="BJ1348" i="41"/>
  <c r="BJ1346" i="41"/>
  <c r="BJ903" i="41"/>
  <c r="BJ906" i="41"/>
  <c r="BJ904" i="41"/>
  <c r="BJ907" i="41"/>
  <c r="BJ905" i="41"/>
  <c r="BJ1262" i="41"/>
  <c r="BJ1265" i="41"/>
  <c r="BJ1263" i="41"/>
  <c r="BJ1266" i="41"/>
  <c r="BJ1264" i="41"/>
  <c r="BJ1273" i="41"/>
  <c r="BJ1128" i="41"/>
  <c r="BJ1127" i="41"/>
  <c r="BJ1125" i="41"/>
  <c r="BJ1126" i="41"/>
  <c r="BJ1124" i="41"/>
  <c r="BJ144" i="41"/>
  <c r="BJ147" i="41"/>
  <c r="BJ145" i="41"/>
  <c r="BJ148" i="41"/>
  <c r="BJ146" i="41"/>
  <c r="BI1311" i="41"/>
  <c r="BJ1135" i="41"/>
  <c r="BJ1138" i="41"/>
  <c r="BJ1139" i="41"/>
  <c r="BJ1137" i="41"/>
  <c r="BJ1136" i="41"/>
  <c r="BJ1231" i="41"/>
  <c r="BJ1229" i="41"/>
  <c r="BJ1227" i="41"/>
  <c r="BJ1228" i="41"/>
  <c r="BJ1230" i="41"/>
  <c r="BJ1300" i="41"/>
  <c r="BJ1299" i="41"/>
  <c r="BJ1302" i="41"/>
  <c r="BJ1303" i="41"/>
  <c r="BJ1301" i="41"/>
  <c r="BJ33" i="41"/>
  <c r="BJ31" i="41"/>
  <c r="BJ34" i="41"/>
  <c r="BJ32" i="41"/>
  <c r="BJ30" i="41"/>
  <c r="BJ1079" i="41"/>
  <c r="BJ1082" i="41"/>
  <c r="BJ1080" i="41"/>
  <c r="BJ1078" i="41"/>
  <c r="BJ1081" i="41"/>
  <c r="BJ944" i="41"/>
  <c r="BJ942" i="41"/>
  <c r="BJ940" i="41"/>
  <c r="BJ943" i="41"/>
  <c r="BJ941" i="41"/>
  <c r="BK1172" i="41" l="1"/>
  <c r="BK1173" i="41"/>
  <c r="BK1171" i="41"/>
  <c r="BK1174" i="41"/>
  <c r="BK1266" i="41"/>
  <c r="BK1265" i="41"/>
  <c r="BK1263" i="41"/>
  <c r="BK1264" i="41"/>
  <c r="BJ1216" i="41"/>
  <c r="BK1349" i="41"/>
  <c r="BK1347" i="41"/>
  <c r="BK1348" i="41"/>
  <c r="BK1346" i="41"/>
  <c r="BK1229" i="41"/>
  <c r="BK1227" i="41"/>
  <c r="BK1228" i="41"/>
  <c r="BK1230" i="41"/>
  <c r="BK1231" i="41"/>
  <c r="BK145" i="41"/>
  <c r="BK148" i="41"/>
  <c r="BK144" i="41"/>
  <c r="BK147" i="41"/>
  <c r="BK146" i="41"/>
  <c r="BK1128" i="41"/>
  <c r="BK1127" i="41"/>
  <c r="BK1125" i="41"/>
  <c r="BK1126" i="41"/>
  <c r="BK1089" i="41"/>
  <c r="BK1092" i="41"/>
  <c r="BK1090" i="41"/>
  <c r="BK1093" i="41"/>
  <c r="BK1091" i="41"/>
  <c r="BJ193" i="41"/>
  <c r="BJ191" i="41"/>
  <c r="BJ190" i="41"/>
  <c r="BJ189" i="41"/>
  <c r="BJ192" i="41"/>
  <c r="BK1138" i="41"/>
  <c r="BK1139" i="41"/>
  <c r="BK1137" i="41"/>
  <c r="BK1124" i="41"/>
  <c r="BK1135" i="41"/>
  <c r="BK342" i="41"/>
  <c r="BK340" i="41"/>
  <c r="BK343" i="41"/>
  <c r="BK341" i="41"/>
  <c r="BK344" i="41"/>
  <c r="BK33" i="41"/>
  <c r="BK31" i="41"/>
  <c r="BK34" i="41"/>
  <c r="BK30" i="41"/>
  <c r="BK32" i="41"/>
  <c r="BK1185" i="41"/>
  <c r="BK1183" i="41"/>
  <c r="BK1181" i="41"/>
  <c r="BK1170" i="41"/>
  <c r="BK1184" i="41"/>
  <c r="BK189" i="41"/>
  <c r="BK191" i="41"/>
  <c r="BK193" i="41"/>
  <c r="BK1359" i="41"/>
  <c r="BK1357" i="41"/>
  <c r="BK1360" i="41"/>
  <c r="BK1358" i="41"/>
  <c r="BK1356" i="41"/>
  <c r="BK1299" i="41"/>
  <c r="BK1300" i="41"/>
  <c r="BK1303" i="41"/>
  <c r="BK1302" i="41"/>
  <c r="BK1301" i="41"/>
  <c r="BK192" i="41"/>
  <c r="BK1216" i="41"/>
  <c r="BK1217" i="41"/>
  <c r="BK1219" i="41"/>
  <c r="BK1218" i="41"/>
  <c r="BK1220" i="41"/>
  <c r="BJ1345" i="41"/>
  <c r="BK1314" i="41"/>
  <c r="BK1310" i="41"/>
  <c r="BK1313" i="41"/>
  <c r="BK1312" i="41"/>
  <c r="BK1311" i="41"/>
  <c r="BK944" i="41"/>
  <c r="BK940" i="41"/>
  <c r="BK943" i="41"/>
  <c r="BK941" i="41"/>
  <c r="BK942" i="41"/>
  <c r="BK1079" i="41"/>
  <c r="BK1082" i="41"/>
  <c r="BK1080" i="41"/>
  <c r="BK1078" i="41"/>
  <c r="BK1081" i="41"/>
  <c r="BK307" i="41"/>
  <c r="BK305" i="41"/>
  <c r="BK303" i="41"/>
  <c r="BK306" i="41"/>
  <c r="BK304" i="41"/>
  <c r="BK107" i="41"/>
  <c r="BK106" i="41"/>
  <c r="BK109" i="41"/>
  <c r="BK108" i="41"/>
  <c r="BK110" i="41"/>
  <c r="BK1273" i="41"/>
  <c r="BK1262" i="41"/>
  <c r="BK903" i="41"/>
  <c r="BK906" i="41"/>
  <c r="BK907" i="41"/>
  <c r="BK904" i="41"/>
  <c r="BK905" i="41"/>
  <c r="BK190" i="41"/>
  <c r="BK69" i="41"/>
  <c r="BK72" i="41"/>
  <c r="BK70" i="41"/>
  <c r="BK68" i="41"/>
  <c r="BK71" i="41"/>
  <c r="BL1219" i="41" l="1"/>
  <c r="BL1218" i="41"/>
  <c r="BL1220" i="41"/>
  <c r="BL1217" i="41"/>
  <c r="BK1345" i="41"/>
  <c r="BL1231" i="41"/>
  <c r="BL1216" i="41"/>
  <c r="BL1227" i="41"/>
  <c r="BL1230" i="41"/>
  <c r="BL1229" i="41"/>
  <c r="BL1347" i="41"/>
  <c r="BL1345" i="41"/>
  <c r="BL1348" i="41"/>
  <c r="BL1346" i="41"/>
  <c r="BL1349" i="41"/>
  <c r="BL1089" i="41"/>
  <c r="BL1092" i="41"/>
  <c r="BL1090" i="41"/>
  <c r="BL1093" i="41"/>
  <c r="BL1091" i="41"/>
  <c r="BL31" i="41"/>
  <c r="BL34" i="41"/>
  <c r="BL30" i="41"/>
  <c r="BL33" i="41"/>
  <c r="BL32" i="41"/>
  <c r="BL1127" i="41"/>
  <c r="BL1125" i="41"/>
  <c r="BL1126" i="41"/>
  <c r="BL1128" i="41"/>
  <c r="BL1302" i="41"/>
  <c r="BL1300" i="41"/>
  <c r="BL1303" i="41"/>
  <c r="BL1301" i="41"/>
  <c r="BL343" i="41"/>
  <c r="BL341" i="41"/>
  <c r="BL344" i="41"/>
  <c r="BL342" i="41"/>
  <c r="BL340" i="41"/>
  <c r="BL147" i="41"/>
  <c r="BL145" i="41"/>
  <c r="BL148" i="41"/>
  <c r="BL146" i="41"/>
  <c r="BL144" i="41"/>
  <c r="BL1185" i="41"/>
  <c r="BL1183" i="41"/>
  <c r="BL1181" i="41"/>
  <c r="BL1170" i="41"/>
  <c r="BL1184" i="41"/>
  <c r="BL1079" i="41"/>
  <c r="BL1082" i="41"/>
  <c r="BL1080" i="41"/>
  <c r="BL1078" i="41"/>
  <c r="BL1081" i="41"/>
  <c r="BL1359" i="41"/>
  <c r="BL1357" i="41"/>
  <c r="BL1360" i="41"/>
  <c r="BL1358" i="41"/>
  <c r="BL1356" i="41"/>
  <c r="BK1182" i="41"/>
  <c r="BL941" i="41"/>
  <c r="BL942" i="41"/>
  <c r="BL943" i="41"/>
  <c r="BL940" i="41"/>
  <c r="BL944" i="41"/>
  <c r="BK1136" i="41"/>
  <c r="BL905" i="41"/>
  <c r="BL903" i="41"/>
  <c r="BL906" i="41"/>
  <c r="BL907" i="41"/>
  <c r="BL904" i="41"/>
  <c r="BL307" i="41"/>
  <c r="BL303" i="41"/>
  <c r="BL304" i="41"/>
  <c r="BL305" i="41"/>
  <c r="BL306" i="41"/>
  <c r="BL1264" i="41"/>
  <c r="BL1265" i="41"/>
  <c r="BL1263" i="41"/>
  <c r="BL1266" i="41"/>
  <c r="BL1262" i="41"/>
  <c r="BL1138" i="41"/>
  <c r="BL1139" i="41"/>
  <c r="BL1137" i="41"/>
  <c r="BL1135" i="41"/>
  <c r="BL1136" i="41"/>
  <c r="BL1273" i="41"/>
  <c r="BL1310" i="41"/>
  <c r="BL1313" i="41"/>
  <c r="BL1314" i="41"/>
  <c r="BL1312" i="41"/>
  <c r="BL1311" i="41"/>
  <c r="BL72" i="41"/>
  <c r="BL70" i="41"/>
  <c r="BL68" i="41"/>
  <c r="BL71" i="41"/>
  <c r="BL69" i="41"/>
  <c r="BL1172" i="41"/>
  <c r="BL1173" i="41"/>
  <c r="BL1171" i="41"/>
  <c r="BL1174" i="41"/>
  <c r="BL106" i="41"/>
  <c r="BL109" i="41"/>
  <c r="BL110" i="41"/>
  <c r="BL108" i="41"/>
  <c r="BL107" i="41"/>
  <c r="BL1182" i="41" l="1"/>
  <c r="BL1124" i="41"/>
  <c r="BL191" i="41"/>
  <c r="BL190" i="41"/>
  <c r="BL193" i="41"/>
  <c r="BL189" i="41"/>
  <c r="BL192" i="41"/>
  <c r="BL1228" i="41"/>
  <c r="BL1299" i="41"/>
  <c r="N20" i="26" l="1"/>
  <c r="N19" i="26"/>
  <c r="N6" i="26"/>
  <c r="N5" i="26"/>
  <c r="E384" i="11"/>
  <c r="E383" i="11"/>
  <c r="E313" i="11"/>
  <c r="J23" i="32"/>
  <c r="J22" i="32"/>
  <c r="N11" i="26" s="1"/>
  <c r="E27" i="32"/>
  <c r="E20" i="32"/>
  <c r="E22" i="32" s="1"/>
  <c r="F20" i="32"/>
  <c r="F22" i="32" s="1"/>
  <c r="G20" i="32"/>
  <c r="H20" i="32"/>
  <c r="I20" i="32"/>
  <c r="J20" i="32"/>
  <c r="K20" i="32"/>
  <c r="S20" i="32"/>
  <c r="E24" i="32" s="1"/>
  <c r="E25" i="32" s="1"/>
  <c r="E21" i="32"/>
  <c r="F21" i="32"/>
  <c r="G21" i="32"/>
  <c r="H21" i="32"/>
  <c r="J21" i="32"/>
  <c r="J36" i="32" s="1"/>
  <c r="J37" i="32" s="1"/>
  <c r="K21" i="32"/>
  <c r="S21" i="32"/>
  <c r="F24" i="32" s="1"/>
  <c r="F25" i="32" s="1"/>
  <c r="S22" i="32"/>
  <c r="G24" i="32" s="1"/>
  <c r="E23" i="32"/>
  <c r="G23" i="32"/>
  <c r="H23" i="32"/>
  <c r="I23" i="32"/>
  <c r="I36" i="32" s="1"/>
  <c r="I37" i="32" s="1"/>
  <c r="K23" i="32"/>
  <c r="H24" i="32"/>
  <c r="S24" i="32"/>
  <c r="I24" i="32" s="1"/>
  <c r="S25" i="32"/>
  <c r="J24" i="32" s="1"/>
  <c r="J25" i="32" s="1"/>
  <c r="J41" i="32" s="1"/>
  <c r="J42" i="32" s="1"/>
  <c r="S26" i="32"/>
  <c r="K24" i="32" s="1"/>
  <c r="F27" i="32"/>
  <c r="G27" i="32"/>
  <c r="H27" i="32"/>
  <c r="I27" i="32"/>
  <c r="J27" i="32"/>
  <c r="K27" i="32"/>
  <c r="E31" i="32"/>
  <c r="F31" i="32"/>
  <c r="G31" i="32"/>
  <c r="H31" i="32"/>
  <c r="I31" i="32"/>
  <c r="I35" i="32"/>
  <c r="J40" i="32"/>
  <c r="K40" i="32"/>
  <c r="F45" i="32"/>
  <c r="G45" i="32"/>
  <c r="H45" i="32"/>
  <c r="I45" i="32"/>
  <c r="J45" i="32"/>
  <c r="K45" i="32"/>
  <c r="I46" i="32"/>
  <c r="J46" i="32"/>
  <c r="J50" i="32" s="1"/>
  <c r="J49" i="32" s="1"/>
  <c r="K46" i="32"/>
  <c r="I47" i="32"/>
  <c r="J47" i="32"/>
  <c r="K47" i="32"/>
  <c r="E48" i="32"/>
  <c r="F48" i="32"/>
  <c r="G48" i="32"/>
  <c r="H48" i="32"/>
  <c r="J48" i="32"/>
  <c r="K4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G384" i="11"/>
  <c r="B1102" i="14"/>
  <c r="E28" i="32" l="1"/>
  <c r="N7" i="26"/>
  <c r="F32" i="32"/>
  <c r="G22" i="32"/>
  <c r="N13" i="26" s="1"/>
  <c r="N12" i="26" s="1"/>
  <c r="C6" i="32"/>
  <c r="D6" i="32" s="1"/>
  <c r="E6" i="32" s="1"/>
  <c r="I25" i="32"/>
  <c r="K64" i="32"/>
  <c r="I22" i="32"/>
  <c r="N10" i="26" s="1"/>
  <c r="F36" i="32"/>
  <c r="F37" i="32" s="1"/>
  <c r="F42" i="32" s="1"/>
  <c r="K50" i="32"/>
  <c r="K49" i="32" s="1"/>
  <c r="K60" i="32"/>
  <c r="K36" i="32"/>
  <c r="K37" i="32" s="1"/>
  <c r="N9" i="26"/>
  <c r="N8" i="26" s="1"/>
  <c r="K25" i="32"/>
  <c r="K41" i="32" s="1"/>
  <c r="K42" i="32" s="1"/>
  <c r="J32" i="32"/>
  <c r="F62" i="32"/>
  <c r="J28" i="32"/>
  <c r="F28" i="32"/>
  <c r="K61" i="32"/>
  <c r="K66" i="32"/>
  <c r="K58" i="32"/>
  <c r="G25" i="32"/>
  <c r="K22" i="32"/>
  <c r="F59" i="32"/>
  <c r="F67" i="32"/>
  <c r="F65" i="32"/>
  <c r="H22" i="32"/>
  <c r="K63" i="32"/>
  <c r="E32" i="32"/>
  <c r="E62" i="32"/>
  <c r="E59" i="32"/>
  <c r="E67" i="32"/>
  <c r="E61" i="32"/>
  <c r="E65" i="32"/>
  <c r="E58" i="32"/>
  <c r="E66" i="32"/>
  <c r="E63" i="32"/>
  <c r="E64" i="32"/>
  <c r="O58" i="32"/>
  <c r="O66" i="32"/>
  <c r="O63" i="32"/>
  <c r="O62" i="32"/>
  <c r="O59" i="32"/>
  <c r="O67" i="32"/>
  <c r="O61" i="32"/>
  <c r="I42" i="32"/>
  <c r="J60" i="32"/>
  <c r="J59" i="32"/>
  <c r="J67" i="32"/>
  <c r="J64" i="32"/>
  <c r="J61" i="32"/>
  <c r="J63" i="32"/>
  <c r="J58" i="32"/>
  <c r="J66" i="32"/>
  <c r="O64" i="32"/>
  <c r="E60" i="32"/>
  <c r="H25" i="32"/>
  <c r="F63" i="32"/>
  <c r="C13" i="32"/>
  <c r="D13" i="32" s="1"/>
  <c r="E13" i="32" s="1"/>
  <c r="H36" i="32"/>
  <c r="H37" i="32" s="1"/>
  <c r="H42" i="32" s="1"/>
  <c r="K67" i="32"/>
  <c r="K59" i="32"/>
  <c r="G36" i="32"/>
  <c r="G37" i="32" s="1"/>
  <c r="G42" i="32" s="1"/>
  <c r="O65" i="32"/>
  <c r="K62" i="32"/>
  <c r="E36" i="32"/>
  <c r="E37" i="32" s="1"/>
  <c r="E42" i="32" s="1"/>
  <c r="J62" i="32"/>
  <c r="O60" i="32"/>
  <c r="K65" i="32"/>
  <c r="C7" i="32"/>
  <c r="D7" i="32" s="1"/>
  <c r="J65" i="32"/>
  <c r="C14" i="32"/>
  <c r="D14" i="32" s="1"/>
  <c r="E14" i="32" s="1"/>
  <c r="I32" i="32" l="1"/>
  <c r="I28" i="32"/>
  <c r="H32" i="32"/>
  <c r="M65" i="32" s="1"/>
  <c r="N15" i="26"/>
  <c r="N14" i="26" s="1"/>
  <c r="K32" i="32"/>
  <c r="N16" i="26"/>
  <c r="D112" i="32"/>
  <c r="G32" i="32"/>
  <c r="G28" i="32"/>
  <c r="H28" i="32"/>
  <c r="F33" i="32"/>
  <c r="F47" i="32" s="1"/>
  <c r="K28" i="32"/>
  <c r="F64" i="32"/>
  <c r="F66" i="32"/>
  <c r="F58" i="32"/>
  <c r="F61" i="32"/>
  <c r="F60" i="32"/>
  <c r="M58" i="32"/>
  <c r="M59" i="32"/>
  <c r="M67" i="32"/>
  <c r="M64" i="32"/>
  <c r="M61" i="32"/>
  <c r="I38" i="32"/>
  <c r="I48" i="32" s="1"/>
  <c r="I50" i="32" s="1"/>
  <c r="I49" i="32" s="1"/>
  <c r="C9" i="32" s="1"/>
  <c r="D9" i="32" s="1"/>
  <c r="C125" i="32"/>
  <c r="D125" i="32"/>
  <c r="E125" i="32"/>
  <c r="F125" i="32"/>
  <c r="E33" i="32"/>
  <c r="E47" i="32" s="1"/>
  <c r="E29" i="32"/>
  <c r="E46" i="32" s="1"/>
  <c r="E50" i="32" s="1"/>
  <c r="E49" i="32" s="1"/>
  <c r="C8" i="32" s="1"/>
  <c r="D8" i="32" s="1"/>
  <c r="E7" i="32"/>
  <c r="D113" i="32"/>
  <c r="M66" i="32"/>
  <c r="M62" i="32"/>
  <c r="M63" i="32"/>
  <c r="M60" i="32"/>
  <c r="G65" i="32" l="1"/>
  <c r="G59" i="32"/>
  <c r="G64" i="32"/>
  <c r="G58" i="32"/>
  <c r="G66" i="32"/>
  <c r="G62" i="32"/>
  <c r="G67" i="32"/>
  <c r="G63" i="32"/>
  <c r="G61" i="32"/>
  <c r="G60" i="32"/>
  <c r="L64" i="32"/>
  <c r="L63" i="32"/>
  <c r="L61" i="32"/>
  <c r="L65" i="32"/>
  <c r="L66" i="32"/>
  <c r="L60" i="32"/>
  <c r="L67" i="32"/>
  <c r="L58" i="32"/>
  <c r="L62" i="32"/>
  <c r="L59" i="32"/>
  <c r="F29" i="32"/>
  <c r="F46" i="32" s="1"/>
  <c r="F50" i="32" s="1"/>
  <c r="F49" i="32" s="1"/>
  <c r="C10" i="32" s="1"/>
  <c r="D10" i="32" s="1"/>
  <c r="F115" i="32" s="1"/>
  <c r="D123" i="32"/>
  <c r="H66" i="32"/>
  <c r="H65" i="32"/>
  <c r="H62" i="32"/>
  <c r="H59" i="32"/>
  <c r="H60" i="32"/>
  <c r="H64" i="32"/>
  <c r="H61" i="32"/>
  <c r="H58" i="32"/>
  <c r="H63" i="32"/>
  <c r="H67" i="32"/>
  <c r="E126" i="32"/>
  <c r="F126" i="32"/>
  <c r="D126" i="32"/>
  <c r="C126" i="32"/>
  <c r="H33" i="32"/>
  <c r="H47" i="32" s="1"/>
  <c r="AC118" i="32"/>
  <c r="P118" i="32"/>
  <c r="T118" i="32"/>
  <c r="J118" i="32"/>
  <c r="K118" i="32"/>
  <c r="Q118" i="32"/>
  <c r="S118" i="32"/>
  <c r="U118" i="32"/>
  <c r="F118" i="32"/>
  <c r="G118" i="32"/>
  <c r="Z118" i="32"/>
  <c r="R118" i="32"/>
  <c r="D118" i="32"/>
  <c r="E118" i="32"/>
  <c r="L118" i="32"/>
  <c r="M118" i="32"/>
  <c r="F124" i="32"/>
  <c r="V118" i="32"/>
  <c r="W118" i="32"/>
  <c r="F123" i="32"/>
  <c r="H118" i="32"/>
  <c r="X118" i="32"/>
  <c r="O118" i="32"/>
  <c r="I118" i="32"/>
  <c r="Y118" i="32"/>
  <c r="E9" i="32"/>
  <c r="AA118" i="32"/>
  <c r="AB118" i="32"/>
  <c r="N118" i="32"/>
  <c r="J114" i="32"/>
  <c r="Z114" i="32"/>
  <c r="K114" i="32"/>
  <c r="AC114" i="32"/>
  <c r="L114" i="32"/>
  <c r="AB114" i="32"/>
  <c r="N114" i="32"/>
  <c r="Q114" i="32"/>
  <c r="C123" i="32"/>
  <c r="O114" i="32"/>
  <c r="D114" i="32"/>
  <c r="Y114" i="32"/>
  <c r="AA114" i="32"/>
  <c r="P114" i="32"/>
  <c r="C124" i="32"/>
  <c r="R114" i="32"/>
  <c r="T114" i="32"/>
  <c r="M114" i="32"/>
  <c r="S114" i="32"/>
  <c r="U114" i="32"/>
  <c r="I114" i="32"/>
  <c r="E114" i="32"/>
  <c r="E8" i="32"/>
  <c r="F114" i="32"/>
  <c r="V114" i="32"/>
  <c r="X114" i="32"/>
  <c r="G114" i="32"/>
  <c r="W114" i="32"/>
  <c r="H114" i="32"/>
  <c r="G29" i="32" l="1"/>
  <c r="G46" i="32" s="1"/>
  <c r="G33" i="32"/>
  <c r="G47" i="32" s="1"/>
  <c r="O115" i="32"/>
  <c r="Q115" i="32"/>
  <c r="AB115" i="32"/>
  <c r="E10" i="32"/>
  <c r="J115" i="32"/>
  <c r="AC115" i="32"/>
  <c r="E115" i="32"/>
  <c r="P115" i="32"/>
  <c r="W115" i="32"/>
  <c r="N115" i="32"/>
  <c r="U115" i="32"/>
  <c r="L115" i="32"/>
  <c r="AA115" i="32"/>
  <c r="T115" i="32"/>
  <c r="M115" i="32"/>
  <c r="Z115" i="32"/>
  <c r="D115" i="32"/>
  <c r="Y115" i="32"/>
  <c r="H115" i="32"/>
  <c r="G115" i="32"/>
  <c r="H29" i="32"/>
  <c r="H46" i="32" s="1"/>
  <c r="H50" i="32" s="1"/>
  <c r="H49" i="32" s="1"/>
  <c r="C12" i="32" s="1"/>
  <c r="D12" i="32" s="1"/>
  <c r="E12" i="32" s="1"/>
  <c r="I115" i="32"/>
  <c r="R115" i="32"/>
  <c r="D124" i="32"/>
  <c r="X115" i="32"/>
  <c r="V115" i="32"/>
  <c r="K115" i="32"/>
  <c r="S115" i="32"/>
  <c r="E123" i="32"/>
  <c r="G50" i="32" l="1"/>
  <c r="G49" i="32" s="1"/>
  <c r="C11" i="32" s="1"/>
  <c r="D11" i="32" s="1"/>
  <c r="F958" i="14"/>
  <c r="H343" i="11"/>
  <c r="G343" i="11"/>
  <c r="H332" i="11"/>
  <c r="G332" i="11"/>
  <c r="C198" i="25"/>
  <c r="C105" i="25"/>
  <c r="I356" i="11"/>
  <c r="G356" i="11" s="1"/>
  <c r="I359" i="11"/>
  <c r="I344" i="11"/>
  <c r="I333" i="11"/>
  <c r="C192" i="25"/>
  <c r="C99" i="25"/>
  <c r="E324" i="11"/>
  <c r="C95" i="25"/>
  <c r="C94" i="25"/>
  <c r="C188" i="25"/>
  <c r="C187" i="25"/>
  <c r="H294" i="11"/>
  <c r="F439" i="14"/>
  <c r="F441" i="14"/>
  <c r="H263" i="11"/>
  <c r="H313" i="11" s="1"/>
  <c r="E29" i="11"/>
  <c r="D29" i="11"/>
  <c r="H116" i="32" l="1"/>
  <c r="M116" i="32"/>
  <c r="E124" i="32"/>
  <c r="O116" i="32"/>
  <c r="K116" i="32"/>
  <c r="Y116" i="32"/>
  <c r="L116" i="32"/>
  <c r="J116" i="32"/>
  <c r="E116" i="32"/>
  <c r="I116" i="32"/>
  <c r="AB116" i="32"/>
  <c r="Z116" i="32"/>
  <c r="P116" i="32"/>
  <c r="D116" i="32"/>
  <c r="X116" i="32"/>
  <c r="N116" i="32"/>
  <c r="E11" i="32"/>
  <c r="F116" i="32"/>
  <c r="AC116" i="32"/>
  <c r="V116" i="32"/>
  <c r="AA116" i="32"/>
  <c r="R116" i="32"/>
  <c r="Q116" i="32"/>
  <c r="W116" i="32"/>
  <c r="S116" i="32"/>
  <c r="T116" i="32"/>
  <c r="G116" i="32"/>
  <c r="U116" i="32"/>
  <c r="H324" i="11"/>
  <c r="H1134" i="14"/>
  <c r="I1134" i="14" s="1"/>
  <c r="J1134" i="14" s="1"/>
  <c r="K1134" i="14" s="1"/>
  <c r="H1168" i="14"/>
  <c r="H1158" i="14"/>
  <c r="H1126" i="14"/>
  <c r="H1111" i="14"/>
  <c r="H1075" i="14"/>
  <c r="H356" i="11"/>
  <c r="E306" i="11"/>
  <c r="E305" i="11"/>
  <c r="G294" i="11"/>
  <c r="H274" i="11"/>
  <c r="G274" i="11"/>
  <c r="AR8" i="26"/>
  <c r="AR10" i="26"/>
  <c r="AR9" i="26"/>
  <c r="AR7" i="26"/>
  <c r="AI19" i="26"/>
  <c r="AI18" i="26"/>
  <c r="AI17" i="26"/>
  <c r="AI22" i="26"/>
  <c r="AI16" i="26"/>
  <c r="AI15" i="26"/>
  <c r="AI14" i="26"/>
  <c r="AI13" i="26"/>
  <c r="AI12" i="26"/>
  <c r="AI11" i="26"/>
  <c r="AI10" i="26"/>
  <c r="AI9" i="26"/>
  <c r="AI8" i="26"/>
  <c r="AI7" i="26"/>
  <c r="AI6" i="26"/>
  <c r="H271" i="11" s="1"/>
  <c r="AI5" i="26"/>
  <c r="H237" i="11"/>
  <c r="H226" i="11"/>
  <c r="C175" i="25"/>
  <c r="C82" i="25"/>
  <c r="C164" i="25"/>
  <c r="C71" i="25"/>
  <c r="H199" i="11"/>
  <c r="H188" i="11"/>
  <c r="H93" i="11"/>
  <c r="G188" i="11"/>
  <c r="G226" i="11"/>
  <c r="G237" i="11"/>
  <c r="G199" i="11"/>
  <c r="I238" i="11"/>
  <c r="I227" i="11"/>
  <c r="I200" i="11"/>
  <c r="I189" i="11"/>
  <c r="C64" i="25"/>
  <c r="C65" i="25" s="1"/>
  <c r="E65" i="25"/>
  <c r="E64" i="25"/>
  <c r="C157" i="25"/>
  <c r="C158" i="25" s="1"/>
  <c r="E157" i="25"/>
  <c r="E158" i="25"/>
  <c r="C59" i="25"/>
  <c r="C58" i="25"/>
  <c r="C151" i="25"/>
  <c r="C152" i="25"/>
  <c r="E166" i="11"/>
  <c r="E161" i="11"/>
  <c r="E160" i="11"/>
  <c r="G149" i="11"/>
  <c r="G122" i="11"/>
  <c r="F209" i="14"/>
  <c r="F743" i="14"/>
  <c r="F736" i="14"/>
  <c r="C146" i="25"/>
  <c r="C145" i="25"/>
  <c r="C53" i="25"/>
  <c r="F202" i="14"/>
  <c r="C52" i="25"/>
  <c r="H170" i="11"/>
  <c r="G170" i="11"/>
  <c r="E134" i="11"/>
  <c r="E176" i="11"/>
  <c r="I94" i="11"/>
  <c r="H82" i="11"/>
  <c r="C660" i="14"/>
  <c r="C659" i="14"/>
  <c r="C132" i="25"/>
  <c r="C35" i="25"/>
  <c r="G93" i="11"/>
  <c r="G82" i="11"/>
  <c r="F83" i="14"/>
  <c r="C25" i="25"/>
  <c r="E71" i="11"/>
  <c r="E73" i="11"/>
  <c r="F80" i="14"/>
  <c r="H57" i="11"/>
  <c r="B195" i="25"/>
  <c r="B190" i="25"/>
  <c r="B184" i="25"/>
  <c r="A183" i="25"/>
  <c r="B172" i="25"/>
  <c r="B161" i="25"/>
  <c r="B154" i="25"/>
  <c r="B148" i="25"/>
  <c r="A141" i="25"/>
  <c r="B102" i="25"/>
  <c r="B97" i="25"/>
  <c r="B91" i="25"/>
  <c r="A90" i="25"/>
  <c r="B79" i="25"/>
  <c r="B68" i="25"/>
  <c r="B61" i="25"/>
  <c r="B55" i="25"/>
  <c r="A46" i="25"/>
  <c r="B32" i="25"/>
  <c r="B129" i="25" s="1"/>
  <c r="B22" i="25"/>
  <c r="B124" i="25" s="1"/>
  <c r="B16" i="25"/>
  <c r="B118" i="25" s="1"/>
  <c r="A15" i="25"/>
  <c r="A117" i="25" s="1"/>
  <c r="C122" i="25"/>
  <c r="F73" i="14"/>
  <c r="C121" i="25"/>
  <c r="C20" i="25"/>
  <c r="C19" i="25"/>
  <c r="G36" i="11"/>
  <c r="G38" i="11" s="1"/>
  <c r="G40" i="11" s="1"/>
  <c r="I254" i="11"/>
  <c r="I251" i="11"/>
  <c r="H251" i="11" s="1"/>
  <c r="I216" i="11"/>
  <c r="I213" i="11"/>
  <c r="H213" i="11" s="1"/>
  <c r="I109" i="11"/>
  <c r="I106" i="11"/>
  <c r="I83" i="11"/>
  <c r="H106" i="11" l="1"/>
  <c r="G106" i="11"/>
  <c r="L1134" i="14"/>
  <c r="M1134" i="14" s="1"/>
  <c r="N1134" i="14" s="1"/>
  <c r="O1134" i="14" s="1"/>
  <c r="P1134" i="14" s="1"/>
  <c r="Q1134" i="14" s="1"/>
  <c r="R1134" i="14" s="1"/>
  <c r="S1134" i="14" s="1"/>
  <c r="T1134" i="14" s="1"/>
  <c r="U1134" i="14" s="1"/>
  <c r="V1134" i="14" s="1"/>
  <c r="W1134" i="14" s="1"/>
  <c r="X1134" i="14" s="1"/>
  <c r="Y1134" i="14" s="1"/>
  <c r="Z1134" i="14" s="1"/>
  <c r="AA1134" i="14" s="1"/>
  <c r="AB1134" i="14" s="1"/>
  <c r="AC1134" i="14" s="1"/>
  <c r="AD1134" i="14" s="1"/>
  <c r="AE1134" i="14" s="1"/>
  <c r="AF1134" i="14" s="1"/>
  <c r="AG1134" i="14" s="1"/>
  <c r="AH1134" i="14" s="1"/>
  <c r="AI1134" i="14" s="1"/>
  <c r="AJ1134" i="14" s="1"/>
  <c r="AK1134" i="14" s="1"/>
  <c r="AL1134" i="14" s="1"/>
  <c r="AM1134" i="14" s="1"/>
  <c r="AN1134" i="14" s="1"/>
  <c r="AO1134" i="14" s="1"/>
  <c r="AP1134" i="14" s="1"/>
  <c r="AQ1134" i="14" s="1"/>
  <c r="AR1134" i="14" s="1"/>
  <c r="AS1134" i="14" s="1"/>
  <c r="AT1134" i="14" s="1"/>
  <c r="AU1134" i="14" s="1"/>
  <c r="AV1134" i="14" s="1"/>
  <c r="AW1134" i="14" s="1"/>
  <c r="AX1134" i="14" s="1"/>
  <c r="AY1134" i="14" s="1"/>
  <c r="AZ1134" i="14" s="1"/>
  <c r="BA1134" i="14" s="1"/>
  <c r="BB1134" i="14" s="1"/>
  <c r="BC1134" i="14" s="1"/>
  <c r="BD1134" i="14" s="1"/>
  <c r="BE1134" i="14" s="1"/>
  <c r="BF1134" i="14" s="1"/>
  <c r="BG1134" i="14" s="1"/>
  <c r="BH1134" i="14" s="1"/>
  <c r="BI1134" i="14" s="1"/>
  <c r="BJ1134" i="14" s="1"/>
  <c r="BK1134" i="14" s="1"/>
  <c r="BL1134" i="14" s="1"/>
  <c r="BM1134" i="14" s="1"/>
  <c r="BN1134" i="14" s="1"/>
  <c r="BO1134" i="14" s="1"/>
  <c r="BP1134" i="14" s="1"/>
  <c r="BQ1134" i="14" s="1"/>
  <c r="BR1134" i="14" s="1"/>
  <c r="BS1134" i="14" s="1"/>
  <c r="BT1134" i="14" s="1"/>
  <c r="BU1134" i="14" s="1"/>
  <c r="BV1134" i="14" s="1"/>
  <c r="BW1134" i="14" s="1"/>
  <c r="BX1134" i="14" s="1"/>
  <c r="BY1134" i="14" s="1"/>
  <c r="I1168" i="14"/>
  <c r="J1168" i="14" s="1"/>
  <c r="I1126" i="14"/>
  <c r="H1098" i="14"/>
  <c r="I1098" i="14" s="1"/>
  <c r="J1098" i="14" s="1"/>
  <c r="K1098" i="14" s="1"/>
  <c r="H1175" i="14"/>
  <c r="H1091" i="14"/>
  <c r="I1091" i="14" s="1"/>
  <c r="J1091" i="14" s="1"/>
  <c r="H36" i="11"/>
  <c r="I1158" i="14"/>
  <c r="I1111" i="14"/>
  <c r="I345" i="11"/>
  <c r="I334" i="11"/>
  <c r="G271" i="11"/>
  <c r="I239" i="11"/>
  <c r="H240" i="11" s="1"/>
  <c r="I228" i="11"/>
  <c r="H229" i="11" s="1"/>
  <c r="I201" i="11"/>
  <c r="G202" i="11" s="1"/>
  <c r="G216" i="11" s="1"/>
  <c r="H217" i="11" s="1"/>
  <c r="I190" i="11"/>
  <c r="G191" i="11" s="1"/>
  <c r="I95" i="11"/>
  <c r="G96" i="11" s="1"/>
  <c r="G109" i="11" s="1"/>
  <c r="I84" i="11"/>
  <c r="G85" i="11" s="1"/>
  <c r="G213" i="11"/>
  <c r="G251" i="11"/>
  <c r="G431" i="11" s="1"/>
  <c r="H102" i="11"/>
  <c r="G102" i="11"/>
  <c r="I1175" i="14" l="1"/>
  <c r="J1126" i="14"/>
  <c r="L1098" i="14"/>
  <c r="O18" i="26"/>
  <c r="O17" i="26"/>
  <c r="O16" i="26"/>
  <c r="O15" i="26"/>
  <c r="O14" i="26"/>
  <c r="O13" i="26"/>
  <c r="O12" i="26"/>
  <c r="O20" i="26"/>
  <c r="O19" i="26"/>
  <c r="P20" i="26"/>
  <c r="P18" i="26"/>
  <c r="P17" i="26"/>
  <c r="P19" i="26"/>
  <c r="P16" i="26"/>
  <c r="P15" i="26"/>
  <c r="P14" i="26"/>
  <c r="P13" i="26"/>
  <c r="P12" i="26"/>
  <c r="P7" i="26"/>
  <c r="P6" i="26"/>
  <c r="P5" i="26"/>
  <c r="P9" i="26"/>
  <c r="P10" i="26"/>
  <c r="P11" i="26"/>
  <c r="P8" i="26"/>
  <c r="K1091" i="14"/>
  <c r="O9" i="26"/>
  <c r="O8" i="26"/>
  <c r="O7" i="26"/>
  <c r="O6" i="26"/>
  <c r="O5" i="26"/>
  <c r="O11" i="26"/>
  <c r="O10" i="26"/>
  <c r="H38" i="11"/>
  <c r="I41" i="11"/>
  <c r="J1158" i="14"/>
  <c r="K1168" i="14"/>
  <c r="J1175" i="14"/>
  <c r="J1111" i="14"/>
  <c r="H335" i="11"/>
  <c r="G335" i="11"/>
  <c r="G346" i="11"/>
  <c r="G359" i="11" s="1"/>
  <c r="H346" i="11"/>
  <c r="H202" i="11"/>
  <c r="G229" i="11"/>
  <c r="G240" i="11"/>
  <c r="G254" i="11" s="1"/>
  <c r="H191" i="11"/>
  <c r="H96" i="11"/>
  <c r="H85" i="11"/>
  <c r="I170" i="11"/>
  <c r="I125" i="11"/>
  <c r="I297" i="11" s="1"/>
  <c r="I123" i="11"/>
  <c r="I295" i="11" s="1"/>
  <c r="I36" i="11"/>
  <c r="I122" i="11" s="1"/>
  <c r="E312" i="11"/>
  <c r="K1126" i="14" l="1"/>
  <c r="M1098" i="14"/>
  <c r="L1091" i="14"/>
  <c r="H40" i="11"/>
  <c r="K1158" i="14"/>
  <c r="L1168" i="14"/>
  <c r="K1175" i="14"/>
  <c r="K1111" i="14"/>
  <c r="H296" i="11"/>
  <c r="H298" i="11" s="1"/>
  <c r="G124" i="11"/>
  <c r="G126" i="11" s="1"/>
  <c r="I150" i="11"/>
  <c r="G151" i="11" s="1"/>
  <c r="I152" i="11"/>
  <c r="I149" i="11"/>
  <c r="L1126" i="14" l="1"/>
  <c r="N1098" i="14"/>
  <c r="H42" i="11"/>
  <c r="G42" i="11"/>
  <c r="M1091" i="14"/>
  <c r="L1158" i="14"/>
  <c r="M1168" i="14"/>
  <c r="L1175" i="14"/>
  <c r="L1111" i="14"/>
  <c r="G153" i="11"/>
  <c r="G296" i="11"/>
  <c r="G298" i="11" s="1"/>
  <c r="M1126" i="14" l="1"/>
  <c r="O1098" i="14"/>
  <c r="C26" i="20"/>
  <c r="G57" i="11"/>
  <c r="I192" i="11"/>
  <c r="I127" i="11"/>
  <c r="I347" i="11"/>
  <c r="I336" i="11"/>
  <c r="I241" i="11"/>
  <c r="I230" i="11"/>
  <c r="I203" i="11"/>
  <c r="I154" i="11"/>
  <c r="I97" i="11"/>
  <c r="I299" i="11"/>
  <c r="I86" i="11"/>
  <c r="N1091" i="14"/>
  <c r="M1158" i="14"/>
  <c r="N1168" i="14"/>
  <c r="M1175" i="14"/>
  <c r="M1111" i="14"/>
  <c r="E167" i="11"/>
  <c r="E141" i="11"/>
  <c r="E140" i="11"/>
  <c r="E135" i="11"/>
  <c r="E70" i="11"/>
  <c r="F10" i="11"/>
  <c r="N1126" i="14" l="1"/>
  <c r="H155" i="11"/>
  <c r="G155" i="11"/>
  <c r="C30" i="20" s="1"/>
  <c r="H128" i="11"/>
  <c r="H144" i="11" s="1"/>
  <c r="G128" i="11"/>
  <c r="I316" i="11"/>
  <c r="H300" i="11"/>
  <c r="H316" i="11" s="1"/>
  <c r="G300" i="11"/>
  <c r="P1098" i="14"/>
  <c r="G98" i="11"/>
  <c r="H98" i="11"/>
  <c r="H204" i="11"/>
  <c r="G204" i="11"/>
  <c r="G337" i="11"/>
  <c r="H337" i="11"/>
  <c r="G231" i="11"/>
  <c r="H231" i="11"/>
  <c r="H242" i="11"/>
  <c r="G242" i="11"/>
  <c r="H348" i="11"/>
  <c r="G348" i="11"/>
  <c r="H87" i="11"/>
  <c r="G87" i="11"/>
  <c r="G193" i="11"/>
  <c r="H193" i="11"/>
  <c r="O1091" i="14"/>
  <c r="N1158" i="14"/>
  <c r="O1168" i="14"/>
  <c r="N1175" i="14"/>
  <c r="N1111" i="14"/>
  <c r="F204" i="25"/>
  <c r="F201" i="25"/>
  <c r="F198" i="25"/>
  <c r="F181" i="25"/>
  <c r="F178" i="25"/>
  <c r="F175" i="25"/>
  <c r="F170" i="25"/>
  <c r="F167" i="25"/>
  <c r="F164" i="25"/>
  <c r="F138" i="25"/>
  <c r="F135" i="25"/>
  <c r="F132" i="25"/>
  <c r="F113" i="25"/>
  <c r="F109" i="25"/>
  <c r="F105" i="25"/>
  <c r="F88" i="25"/>
  <c r="F85" i="25"/>
  <c r="F82" i="25"/>
  <c r="F77" i="25"/>
  <c r="F74" i="25"/>
  <c r="F71" i="25"/>
  <c r="F43" i="25"/>
  <c r="F40" i="25"/>
  <c r="F35" i="25"/>
  <c r="H14" i="11"/>
  <c r="H15" i="11" s="1"/>
  <c r="C135" i="25"/>
  <c r="C204" i="25"/>
  <c r="C201" i="25"/>
  <c r="C181" i="25"/>
  <c r="C178" i="25"/>
  <c r="C170" i="25"/>
  <c r="C167" i="25"/>
  <c r="C138" i="25"/>
  <c r="C113" i="25"/>
  <c r="C109" i="25"/>
  <c r="C88" i="25"/>
  <c r="C85" i="25"/>
  <c r="C77" i="25"/>
  <c r="C74" i="25"/>
  <c r="C43" i="25"/>
  <c r="C40" i="25"/>
  <c r="O1126" i="14" l="1"/>
  <c r="H127" i="25"/>
  <c r="C32" i="20"/>
  <c r="G316" i="11"/>
  <c r="G144" i="11"/>
  <c r="C28" i="20"/>
  <c r="Q1098" i="14"/>
  <c r="P1091" i="14"/>
  <c r="O1158" i="14"/>
  <c r="P1168" i="14"/>
  <c r="O1175" i="14"/>
  <c r="O1111" i="14"/>
  <c r="C13" i="25"/>
  <c r="E54" i="11"/>
  <c r="E53" i="11"/>
  <c r="B1" i="28"/>
  <c r="E48" i="11"/>
  <c r="E47" i="11"/>
  <c r="B1" i="25"/>
  <c r="P1126" i="14" l="1"/>
  <c r="R1098" i="14"/>
  <c r="Q1091" i="14"/>
  <c r="H4" i="25"/>
  <c r="I3" i="25" s="1"/>
  <c r="I28" i="25" s="1"/>
  <c r="P1158" i="14"/>
  <c r="BW1132" i="14"/>
  <c r="Y1132" i="14"/>
  <c r="AB1132" i="14"/>
  <c r="BR1132" i="14"/>
  <c r="AV1132" i="14"/>
  <c r="BB1132" i="14"/>
  <c r="AD1132" i="14"/>
  <c r="AP1132" i="14"/>
  <c r="BD1132" i="14"/>
  <c r="BX1132" i="14"/>
  <c r="BE1132" i="14"/>
  <c r="BH1132" i="14"/>
  <c r="AF1132" i="14"/>
  <c r="BG1132" i="14"/>
  <c r="I1132" i="14"/>
  <c r="BP1132" i="14"/>
  <c r="AW1132" i="14"/>
  <c r="AE1132" i="14"/>
  <c r="AY1132" i="14"/>
  <c r="AM1132" i="14"/>
  <c r="W1132" i="14"/>
  <c r="J1132" i="14"/>
  <c r="AO1132" i="14"/>
  <c r="AQ1132" i="14"/>
  <c r="AL1132" i="14"/>
  <c r="BK1132" i="14"/>
  <c r="AZ1132" i="14"/>
  <c r="L1132" i="14"/>
  <c r="AA1132" i="14"/>
  <c r="AJ1132" i="14"/>
  <c r="K1132" i="14"/>
  <c r="T1132" i="14"/>
  <c r="P1132" i="14"/>
  <c r="S1132" i="14"/>
  <c r="V1132" i="14"/>
  <c r="BN1132" i="14"/>
  <c r="AH1132" i="14"/>
  <c r="BI1132" i="14"/>
  <c r="Q1132" i="14"/>
  <c r="AS1132" i="14"/>
  <c r="BU1132" i="14"/>
  <c r="BL1132" i="14"/>
  <c r="X1132" i="14"/>
  <c r="BJ1132" i="14"/>
  <c r="AC1132" i="14"/>
  <c r="AU1132" i="14"/>
  <c r="N1132" i="14"/>
  <c r="AT1132" i="14"/>
  <c r="BM1132" i="14"/>
  <c r="BQ1132" i="14"/>
  <c r="BO1132" i="14"/>
  <c r="O1132" i="14"/>
  <c r="BV1132" i="14"/>
  <c r="BS1132" i="14"/>
  <c r="AG1132" i="14"/>
  <c r="BA1132" i="14"/>
  <c r="AI1132" i="14"/>
  <c r="M1132" i="14"/>
  <c r="BF1132" i="14"/>
  <c r="BC1132" i="14"/>
  <c r="AK1132" i="14"/>
  <c r="BT1132" i="14"/>
  <c r="U1132" i="14"/>
  <c r="BY1132" i="14"/>
  <c r="Z1132" i="14"/>
  <c r="AX1132" i="14"/>
  <c r="AN1132" i="14"/>
  <c r="R1132" i="14"/>
  <c r="AR1132" i="14"/>
  <c r="Q1168" i="14"/>
  <c r="P1175" i="14"/>
  <c r="P1111" i="14"/>
  <c r="H464" i="11"/>
  <c r="H465" i="11"/>
  <c r="G465" i="11"/>
  <c r="E21" i="20" s="1"/>
  <c r="G464" i="11"/>
  <c r="G500" i="11"/>
  <c r="Q1126" i="14" l="1"/>
  <c r="I27" i="25"/>
  <c r="I30" i="25"/>
  <c r="I29" i="25"/>
  <c r="I127" i="25"/>
  <c r="S1098" i="14"/>
  <c r="AY42" i="35"/>
  <c r="BC42" i="35"/>
  <c r="AO42" i="35"/>
  <c r="BG42" i="35"/>
  <c r="AQ42" i="35"/>
  <c r="BD42" i="35"/>
  <c r="BB42" i="35"/>
  <c r="BA42" i="35"/>
  <c r="AS42" i="35"/>
  <c r="AU42" i="35"/>
  <c r="AT42" i="35"/>
  <c r="BF42" i="35"/>
  <c r="AX42" i="35"/>
  <c r="BH42" i="35"/>
  <c r="AR42" i="35"/>
  <c r="AM42" i="35"/>
  <c r="AN42" i="35"/>
  <c r="AZ42" i="35"/>
  <c r="AP42" i="35"/>
  <c r="BE42" i="35"/>
  <c r="AW42" i="35"/>
  <c r="AL42" i="35"/>
  <c r="AV42" i="35"/>
  <c r="C43" i="34"/>
  <c r="AD42" i="35"/>
  <c r="P42" i="35"/>
  <c r="T42" i="35"/>
  <c r="N42" i="35"/>
  <c r="H42" i="35"/>
  <c r="K42" i="35"/>
  <c r="X42" i="35"/>
  <c r="AA42" i="35"/>
  <c r="Q42" i="35"/>
  <c r="U42" i="35"/>
  <c r="I42" i="35"/>
  <c r="L42" i="35"/>
  <c r="Y42" i="35"/>
  <c r="AB42" i="35"/>
  <c r="R42" i="35"/>
  <c r="V42" i="35"/>
  <c r="M42" i="35"/>
  <c r="O42" i="35"/>
  <c r="S42" i="35"/>
  <c r="J42" i="35"/>
  <c r="AC42" i="35"/>
  <c r="Z42" i="35"/>
  <c r="W42" i="35"/>
  <c r="R1091" i="14"/>
  <c r="I4" i="25"/>
  <c r="J3" i="25" s="1"/>
  <c r="J28" i="25" s="1"/>
  <c r="Q1158" i="14"/>
  <c r="R1168" i="14"/>
  <c r="Q1175" i="14"/>
  <c r="Q1111" i="14"/>
  <c r="R1126" i="14" l="1"/>
  <c r="J29" i="25"/>
  <c r="J30" i="25"/>
  <c r="J27" i="25"/>
  <c r="J127" i="25"/>
  <c r="T1098" i="14"/>
  <c r="BH46" i="35"/>
  <c r="BH43" i="35"/>
  <c r="BH98" i="35" s="1"/>
  <c r="BH44" i="35"/>
  <c r="BH118" i="35" s="1"/>
  <c r="BH124" i="35" s="1"/>
  <c r="BH45" i="35"/>
  <c r="BH119" i="35" s="1"/>
  <c r="BH125" i="35" s="1"/>
  <c r="BH121" i="35"/>
  <c r="BH14" i="35"/>
  <c r="AC14" i="35"/>
  <c r="AC121" i="35"/>
  <c r="AC44" i="35"/>
  <c r="AC118" i="35" s="1"/>
  <c r="AC124" i="35" s="1"/>
  <c r="AC46" i="35"/>
  <c r="AC43" i="35"/>
  <c r="AC98" i="35" s="1"/>
  <c r="AC45" i="35"/>
  <c r="AC119" i="35" s="1"/>
  <c r="AC125" i="35" s="1"/>
  <c r="J14" i="35"/>
  <c r="J121" i="35"/>
  <c r="J44" i="35"/>
  <c r="J118" i="35" s="1"/>
  <c r="J124" i="35" s="1"/>
  <c r="J46" i="35"/>
  <c r="J43" i="35"/>
  <c r="J98" i="35" s="1"/>
  <c r="J45" i="35"/>
  <c r="J119" i="35" s="1"/>
  <c r="J125" i="35" s="1"/>
  <c r="Q46" i="34" s="1"/>
  <c r="N14" i="35"/>
  <c r="N45" i="35"/>
  <c r="N119" i="35" s="1"/>
  <c r="N125" i="35" s="1"/>
  <c r="N46" i="35"/>
  <c r="N44" i="35"/>
  <c r="N118" i="35" s="1"/>
  <c r="N124" i="35" s="1"/>
  <c r="N121" i="35"/>
  <c r="N43" i="35"/>
  <c r="N98" i="35" s="1"/>
  <c r="BF46" i="35"/>
  <c r="BF45" i="35"/>
  <c r="BF119" i="35" s="1"/>
  <c r="BF125" i="35" s="1"/>
  <c r="BF121" i="35"/>
  <c r="BF43" i="35"/>
  <c r="BF98" i="35" s="1"/>
  <c r="BF44" i="35"/>
  <c r="BF118" i="35" s="1"/>
  <c r="BF124" i="35" s="1"/>
  <c r="BF14" i="35"/>
  <c r="AX45" i="35"/>
  <c r="AX119" i="35" s="1"/>
  <c r="AX125" i="35" s="1"/>
  <c r="AX46" i="35"/>
  <c r="AX121" i="35"/>
  <c r="AX44" i="35"/>
  <c r="AX118" i="35" s="1"/>
  <c r="AX124" i="35" s="1"/>
  <c r="AX43" i="35"/>
  <c r="AX98" i="35" s="1"/>
  <c r="AX14" i="35"/>
  <c r="S14" i="35"/>
  <c r="S44" i="35"/>
  <c r="S118" i="35" s="1"/>
  <c r="S124" i="35" s="1"/>
  <c r="S121" i="35"/>
  <c r="S45" i="35"/>
  <c r="S119" i="35" s="1"/>
  <c r="S125" i="35" s="1"/>
  <c r="S46" i="35"/>
  <c r="S43" i="35"/>
  <c r="S98" i="35" s="1"/>
  <c r="T14" i="35"/>
  <c r="T43" i="35"/>
  <c r="T98" i="35" s="1"/>
  <c r="T46" i="35"/>
  <c r="T121" i="35"/>
  <c r="T45" i="35"/>
  <c r="T119" i="35" s="1"/>
  <c r="T125" i="35" s="1"/>
  <c r="T44" i="35"/>
  <c r="T118" i="35" s="1"/>
  <c r="T124" i="35" s="1"/>
  <c r="AT45" i="35"/>
  <c r="AT119" i="35" s="1"/>
  <c r="AT125" i="35" s="1"/>
  <c r="AT43" i="35"/>
  <c r="AT98" i="35" s="1"/>
  <c r="AT121" i="35"/>
  <c r="AT44" i="35"/>
  <c r="AT118" i="35" s="1"/>
  <c r="AT124" i="35" s="1"/>
  <c r="AT46" i="35"/>
  <c r="AT14" i="35"/>
  <c r="AU45" i="35"/>
  <c r="AU119" i="35" s="1"/>
  <c r="AU125" i="35" s="1"/>
  <c r="AU46" i="35"/>
  <c r="AU43" i="35"/>
  <c r="AU98" i="35" s="1"/>
  <c r="AU44" i="35"/>
  <c r="AU118" i="35" s="1"/>
  <c r="AU124" i="35" s="1"/>
  <c r="AU121" i="35"/>
  <c r="AU14" i="35"/>
  <c r="AR43" i="35"/>
  <c r="AR98" i="35" s="1"/>
  <c r="AR44" i="35"/>
  <c r="AR118" i="35" s="1"/>
  <c r="AR124" i="35" s="1"/>
  <c r="AR121" i="35"/>
  <c r="AR45" i="35"/>
  <c r="AR119" i="35" s="1"/>
  <c r="AR125" i="35" s="1"/>
  <c r="AR46" i="35"/>
  <c r="AR14" i="35"/>
  <c r="O14" i="35"/>
  <c r="O44" i="35"/>
  <c r="O118" i="35" s="1"/>
  <c r="O124" i="35" s="1"/>
  <c r="O46" i="35"/>
  <c r="O45" i="35"/>
  <c r="O119" i="35" s="1"/>
  <c r="O125" i="35" s="1"/>
  <c r="O121" i="35"/>
  <c r="O43" i="35"/>
  <c r="O98" i="35" s="1"/>
  <c r="P14" i="35"/>
  <c r="P44" i="35"/>
  <c r="P118" i="35" s="1"/>
  <c r="P124" i="35" s="1"/>
  <c r="P121" i="35"/>
  <c r="P43" i="35"/>
  <c r="P98" i="35" s="1"/>
  <c r="P46" i="35"/>
  <c r="P45" i="35"/>
  <c r="P119" i="35" s="1"/>
  <c r="P125" i="35" s="1"/>
  <c r="M14" i="35"/>
  <c r="M45" i="35"/>
  <c r="M119" i="35" s="1"/>
  <c r="M125" i="35" s="1"/>
  <c r="M121" i="35"/>
  <c r="M44" i="35"/>
  <c r="M118" i="35" s="1"/>
  <c r="M124" i="35" s="1"/>
  <c r="M46" i="35"/>
  <c r="M43" i="35"/>
  <c r="M98" i="35" s="1"/>
  <c r="AD121" i="35"/>
  <c r="AD46" i="35"/>
  <c r="AD14" i="35"/>
  <c r="AD44" i="35"/>
  <c r="AD118" i="35" s="1"/>
  <c r="AD124" i="35" s="1"/>
  <c r="AD45" i="35"/>
  <c r="AD119" i="35" s="1"/>
  <c r="AD125" i="35" s="1"/>
  <c r="AD43" i="35"/>
  <c r="AD98" i="35" s="1"/>
  <c r="AS44" i="35"/>
  <c r="AS118" i="35" s="1"/>
  <c r="AS124" i="35" s="1"/>
  <c r="AS43" i="35"/>
  <c r="AS98" i="35" s="1"/>
  <c r="AS45" i="35"/>
  <c r="AS119" i="35" s="1"/>
  <c r="AS125" i="35" s="1"/>
  <c r="AS46" i="35"/>
  <c r="AS121" i="35"/>
  <c r="AS14" i="35"/>
  <c r="BA45" i="35"/>
  <c r="BA119" i="35" s="1"/>
  <c r="BA125" i="35" s="1"/>
  <c r="BA44" i="35"/>
  <c r="BA118" i="35" s="1"/>
  <c r="BA124" i="35" s="1"/>
  <c r="BA43" i="35"/>
  <c r="BA98" i="35" s="1"/>
  <c r="BA121" i="35"/>
  <c r="BA46" i="35"/>
  <c r="BA14" i="35"/>
  <c r="R14" i="35"/>
  <c r="R46" i="35"/>
  <c r="R44" i="35"/>
  <c r="R118" i="35" s="1"/>
  <c r="R124" i="35" s="1"/>
  <c r="R121" i="35"/>
  <c r="R45" i="35"/>
  <c r="R119" i="35" s="1"/>
  <c r="R125" i="35" s="1"/>
  <c r="R43" i="35"/>
  <c r="R98" i="35" s="1"/>
  <c r="Z14" i="35"/>
  <c r="Z44" i="35"/>
  <c r="Z118" i="35" s="1"/>
  <c r="Z124" i="35" s="1"/>
  <c r="Z46" i="35"/>
  <c r="Z43" i="35"/>
  <c r="Z98" i="35" s="1"/>
  <c r="Z45" i="35"/>
  <c r="Z119" i="35" s="1"/>
  <c r="Z125" i="35" s="1"/>
  <c r="Z121" i="35"/>
  <c r="BB44" i="35"/>
  <c r="BB118" i="35" s="1"/>
  <c r="BB124" i="35" s="1"/>
  <c r="BB45" i="35"/>
  <c r="BB119" i="35" s="1"/>
  <c r="BB125" i="35" s="1"/>
  <c r="BB121" i="35"/>
  <c r="BB43" i="35"/>
  <c r="BB98" i="35" s="1"/>
  <c r="BB46" i="35"/>
  <c r="BB14" i="35"/>
  <c r="AB14" i="35"/>
  <c r="AB45" i="35"/>
  <c r="AB119" i="35" s="1"/>
  <c r="AB125" i="35" s="1"/>
  <c r="AB43" i="35"/>
  <c r="AB98" i="35" s="1"/>
  <c r="AB46" i="35"/>
  <c r="AB121" i="35"/>
  <c r="AB44" i="35"/>
  <c r="AB118" i="35" s="1"/>
  <c r="AB124" i="35" s="1"/>
  <c r="AL45" i="35"/>
  <c r="AL119" i="35" s="1"/>
  <c r="AL125" i="35" s="1"/>
  <c r="AL44" i="35"/>
  <c r="AL118" i="35" s="1"/>
  <c r="AL124" i="35" s="1"/>
  <c r="AL43" i="35"/>
  <c r="AL98" i="35" s="1"/>
  <c r="AL121" i="35"/>
  <c r="AL46" i="35"/>
  <c r="AL14" i="35"/>
  <c r="BD121" i="35"/>
  <c r="BD46" i="35"/>
  <c r="BD44" i="35"/>
  <c r="BD118" i="35" s="1"/>
  <c r="BD124" i="35" s="1"/>
  <c r="BD45" i="35"/>
  <c r="BD119" i="35" s="1"/>
  <c r="BD125" i="35" s="1"/>
  <c r="BD43" i="35"/>
  <c r="BD98" i="35" s="1"/>
  <c r="BD14" i="35"/>
  <c r="X14" i="35"/>
  <c r="X43" i="35"/>
  <c r="X98" i="35" s="1"/>
  <c r="X45" i="35"/>
  <c r="X119" i="35" s="1"/>
  <c r="X125" i="35" s="1"/>
  <c r="X44" i="35"/>
  <c r="X118" i="35" s="1"/>
  <c r="X124" i="35" s="1"/>
  <c r="X121" i="35"/>
  <c r="X46" i="35"/>
  <c r="V14" i="35"/>
  <c r="V46" i="35"/>
  <c r="V44" i="35"/>
  <c r="V118" i="35" s="1"/>
  <c r="V124" i="35" s="1"/>
  <c r="V43" i="35"/>
  <c r="V98" i="35" s="1"/>
  <c r="V45" i="35"/>
  <c r="V119" i="35" s="1"/>
  <c r="V125" i="35" s="1"/>
  <c r="V121" i="35"/>
  <c r="AV43" i="35"/>
  <c r="AV98" i="35" s="1"/>
  <c r="AV44" i="35"/>
  <c r="AV118" i="35" s="1"/>
  <c r="AV124" i="35" s="1"/>
  <c r="AV45" i="35"/>
  <c r="AV119" i="35" s="1"/>
  <c r="AV125" i="35" s="1"/>
  <c r="AV121" i="35"/>
  <c r="AV46" i="35"/>
  <c r="AV14" i="35"/>
  <c r="Y14" i="35"/>
  <c r="Y44" i="35"/>
  <c r="Y118" i="35" s="1"/>
  <c r="Y124" i="35" s="1"/>
  <c r="Y45" i="35"/>
  <c r="Y119" i="35" s="1"/>
  <c r="Y125" i="35" s="1"/>
  <c r="Y121" i="35"/>
  <c r="Y43" i="35"/>
  <c r="Y98" i="35" s="1"/>
  <c r="Y46" i="35"/>
  <c r="AW46" i="35"/>
  <c r="AW44" i="35"/>
  <c r="AW118" i="35" s="1"/>
  <c r="AW124" i="35" s="1"/>
  <c r="AW45" i="35"/>
  <c r="AW119" i="35" s="1"/>
  <c r="AW125" i="35" s="1"/>
  <c r="AW121" i="35"/>
  <c r="AW43" i="35"/>
  <c r="AW98" i="35" s="1"/>
  <c r="AW14" i="35"/>
  <c r="AQ43" i="35"/>
  <c r="AQ98" i="35" s="1"/>
  <c r="AQ44" i="35"/>
  <c r="AQ118" i="35" s="1"/>
  <c r="AQ124" i="35" s="1"/>
  <c r="AQ121" i="35"/>
  <c r="AQ46" i="35"/>
  <c r="AQ45" i="35"/>
  <c r="AQ119" i="35" s="1"/>
  <c r="AQ125" i="35" s="1"/>
  <c r="AQ14" i="35"/>
  <c r="H45" i="35"/>
  <c r="H119" i="35" s="1"/>
  <c r="H125" i="35" s="1"/>
  <c r="H46" i="35"/>
  <c r="H14" i="35"/>
  <c r="H44" i="35"/>
  <c r="H118" i="35" s="1"/>
  <c r="H124" i="35" s="1"/>
  <c r="H121" i="35"/>
  <c r="H43" i="35"/>
  <c r="H98" i="35" s="1"/>
  <c r="L14" i="35"/>
  <c r="L45" i="35"/>
  <c r="L119" i="35" s="1"/>
  <c r="L125" i="35" s="1"/>
  <c r="L44" i="35"/>
  <c r="L118" i="35" s="1"/>
  <c r="L124" i="35" s="1"/>
  <c r="L43" i="35"/>
  <c r="L98" i="35" s="1"/>
  <c r="L121" i="35"/>
  <c r="L46" i="35"/>
  <c r="BE46" i="35"/>
  <c r="BE45" i="35"/>
  <c r="BE119" i="35" s="1"/>
  <c r="BE125" i="35" s="1"/>
  <c r="BE121" i="35"/>
  <c r="BE44" i="35"/>
  <c r="BE118" i="35" s="1"/>
  <c r="BE124" i="35" s="1"/>
  <c r="BE43" i="35"/>
  <c r="BE98" i="35" s="1"/>
  <c r="BE14" i="35"/>
  <c r="BG46" i="35"/>
  <c r="BG43" i="35"/>
  <c r="BG98" i="35" s="1"/>
  <c r="BG121" i="35"/>
  <c r="BG45" i="35"/>
  <c r="BG119" i="35" s="1"/>
  <c r="BG125" i="35" s="1"/>
  <c r="BG44" i="35"/>
  <c r="BG118" i="35" s="1"/>
  <c r="BG124" i="35" s="1"/>
  <c r="BG14" i="35"/>
  <c r="AO46" i="35"/>
  <c r="AO121" i="35"/>
  <c r="AO45" i="35"/>
  <c r="AO119" i="35" s="1"/>
  <c r="AO125" i="35" s="1"/>
  <c r="AO44" i="35"/>
  <c r="AO118" i="35" s="1"/>
  <c r="AO124" i="35" s="1"/>
  <c r="AO43" i="35"/>
  <c r="AO98" i="35" s="1"/>
  <c r="AO14" i="35"/>
  <c r="K14" i="35"/>
  <c r="K46" i="35"/>
  <c r="K43" i="35"/>
  <c r="K98" i="35" s="1"/>
  <c r="K45" i="35"/>
  <c r="K119" i="35" s="1"/>
  <c r="K125" i="35" s="1"/>
  <c r="K121" i="35"/>
  <c r="K44" i="35"/>
  <c r="K118" i="35" s="1"/>
  <c r="K124" i="35" s="1"/>
  <c r="I14" i="35"/>
  <c r="I121" i="35"/>
  <c r="I44" i="35"/>
  <c r="I118" i="35" s="1"/>
  <c r="I124" i="35" s="1"/>
  <c r="I43" i="35"/>
  <c r="I98" i="35" s="1"/>
  <c r="I45" i="35"/>
  <c r="I119" i="35" s="1"/>
  <c r="I125" i="35" s="1"/>
  <c r="I46" i="35"/>
  <c r="AP46" i="35"/>
  <c r="AP45" i="35"/>
  <c r="AP119" i="35" s="1"/>
  <c r="AP125" i="35" s="1"/>
  <c r="AP121" i="35"/>
  <c r="AP43" i="35"/>
  <c r="AP98" i="35" s="1"/>
  <c r="AP44" i="35"/>
  <c r="AP118" i="35" s="1"/>
  <c r="AP124" i="35" s="1"/>
  <c r="AP14" i="35"/>
  <c r="U14" i="35"/>
  <c r="U46" i="35"/>
  <c r="U45" i="35"/>
  <c r="U119" i="35" s="1"/>
  <c r="U125" i="35" s="1"/>
  <c r="U121" i="35"/>
  <c r="U43" i="35"/>
  <c r="U98" i="35" s="1"/>
  <c r="U44" i="35"/>
  <c r="U118" i="35" s="1"/>
  <c r="U124" i="35" s="1"/>
  <c r="AZ46" i="35"/>
  <c r="AZ121" i="35"/>
  <c r="AZ43" i="35"/>
  <c r="AZ98" i="35" s="1"/>
  <c r="AZ44" i="35"/>
  <c r="AZ118" i="35" s="1"/>
  <c r="AZ124" i="35" s="1"/>
  <c r="AZ45" i="35"/>
  <c r="AZ119" i="35" s="1"/>
  <c r="AZ125" i="35" s="1"/>
  <c r="AZ14" i="35"/>
  <c r="BC43" i="35"/>
  <c r="BC98" i="35" s="1"/>
  <c r="BC46" i="35"/>
  <c r="BC45" i="35"/>
  <c r="BC119" i="35" s="1"/>
  <c r="BC125" i="35" s="1"/>
  <c r="BC121" i="35"/>
  <c r="BC44" i="35"/>
  <c r="BC118" i="35" s="1"/>
  <c r="BC124" i="35" s="1"/>
  <c r="BC14" i="35"/>
  <c r="AY44" i="35"/>
  <c r="AY118" i="35" s="1"/>
  <c r="AY124" i="35" s="1"/>
  <c r="AY45" i="35"/>
  <c r="AY119" i="35" s="1"/>
  <c r="AY125" i="35" s="1"/>
  <c r="AY121" i="35"/>
  <c r="AY43" i="35"/>
  <c r="AY98" i="35" s="1"/>
  <c r="AY46" i="35"/>
  <c r="AY14" i="35"/>
  <c r="W14" i="35"/>
  <c r="W45" i="35"/>
  <c r="W119" i="35" s="1"/>
  <c r="W125" i="35" s="1"/>
  <c r="W121" i="35"/>
  <c r="W44" i="35"/>
  <c r="W118" i="35" s="1"/>
  <c r="W124" i="35" s="1"/>
  <c r="W46" i="35"/>
  <c r="W43" i="35"/>
  <c r="W98" i="35" s="1"/>
  <c r="Q14" i="35"/>
  <c r="Q45" i="35"/>
  <c r="Q119" i="35" s="1"/>
  <c r="Q125" i="35" s="1"/>
  <c r="Q44" i="35"/>
  <c r="Q118" i="35" s="1"/>
  <c r="Q124" i="35" s="1"/>
  <c r="Q46" i="35"/>
  <c r="Q43" i="35"/>
  <c r="Q98" i="35" s="1"/>
  <c r="Q121" i="35"/>
  <c r="AN121" i="35"/>
  <c r="AN46" i="35"/>
  <c r="AN44" i="35"/>
  <c r="AN118" i="35" s="1"/>
  <c r="AN124" i="35" s="1"/>
  <c r="AN43" i="35"/>
  <c r="AN98" i="35" s="1"/>
  <c r="AN45" i="35"/>
  <c r="AN119" i="35" s="1"/>
  <c r="AN125" i="35" s="1"/>
  <c r="AN14" i="35"/>
  <c r="AA14" i="35"/>
  <c r="AA45" i="35"/>
  <c r="AA119" i="35" s="1"/>
  <c r="AA125" i="35" s="1"/>
  <c r="AA43" i="35"/>
  <c r="AA98" i="35" s="1"/>
  <c r="AA44" i="35"/>
  <c r="AA118" i="35" s="1"/>
  <c r="AA124" i="35" s="1"/>
  <c r="AA46" i="35"/>
  <c r="AA121" i="35"/>
  <c r="AM43" i="35"/>
  <c r="AM98" i="35" s="1"/>
  <c r="AM44" i="35"/>
  <c r="AM118" i="35" s="1"/>
  <c r="AM124" i="35" s="1"/>
  <c r="AM46" i="35"/>
  <c r="AM121" i="35"/>
  <c r="AM45" i="35"/>
  <c r="AM119" i="35" s="1"/>
  <c r="AM125" i="35" s="1"/>
  <c r="AM14" i="35"/>
  <c r="S1091" i="14"/>
  <c r="J4" i="25"/>
  <c r="K3" i="25" s="1"/>
  <c r="K28" i="25" s="1"/>
  <c r="R1158" i="14"/>
  <c r="S1168" i="14"/>
  <c r="R1175" i="14"/>
  <c r="R1111" i="14"/>
  <c r="E323" i="11"/>
  <c r="E62" i="11"/>
  <c r="E64" i="11"/>
  <c r="AX122" i="35" l="1"/>
  <c r="AX127" i="35" s="1"/>
  <c r="S1126" i="14"/>
  <c r="K30" i="25"/>
  <c r="K27" i="25"/>
  <c r="K29" i="25"/>
  <c r="C47" i="34" s="1"/>
  <c r="K127" i="25"/>
  <c r="BF122" i="35"/>
  <c r="BF127" i="35" s="1"/>
  <c r="U1098" i="14"/>
  <c r="AP122" i="35"/>
  <c r="AP127" i="35" s="1"/>
  <c r="AT122" i="35"/>
  <c r="AT127" i="35" s="1"/>
  <c r="BD122" i="35"/>
  <c r="BD127" i="35" s="1"/>
  <c r="BB122" i="35"/>
  <c r="BB127" i="35" s="1"/>
  <c r="BH122" i="35"/>
  <c r="BH127" i="35" s="1"/>
  <c r="BG122" i="35"/>
  <c r="BG127" i="35" s="1"/>
  <c r="AQ122" i="35"/>
  <c r="AQ127" i="35" s="1"/>
  <c r="T122" i="35"/>
  <c r="T127" i="35" s="1"/>
  <c r="AN122" i="35"/>
  <c r="AN127" i="35" s="1"/>
  <c r="V122" i="35"/>
  <c r="V127" i="35" s="1"/>
  <c r="AY122" i="35"/>
  <c r="AY127" i="35" s="1"/>
  <c r="BA122" i="35"/>
  <c r="BA127" i="35" s="1"/>
  <c r="N122" i="35"/>
  <c r="N127" i="35" s="1"/>
  <c r="AO122" i="35"/>
  <c r="AO127" i="35" s="1"/>
  <c r="AA122" i="35"/>
  <c r="AA127" i="35" s="1"/>
  <c r="AM122" i="35"/>
  <c r="AM127" i="35" s="1"/>
  <c r="AB122" i="35"/>
  <c r="AB127" i="35" s="1"/>
  <c r="S122" i="35"/>
  <c r="S127" i="35" s="1"/>
  <c r="AL122" i="35"/>
  <c r="AL127" i="35" s="1"/>
  <c r="H122" i="35"/>
  <c r="H127" i="35" s="1"/>
  <c r="BC122" i="35"/>
  <c r="BC127" i="35" s="1"/>
  <c r="BE122" i="35"/>
  <c r="BE127" i="35" s="1"/>
  <c r="Y122" i="35"/>
  <c r="Y127" i="35" s="1"/>
  <c r="AS122" i="35"/>
  <c r="AS127" i="35" s="1"/>
  <c r="X122" i="35"/>
  <c r="X127" i="35" s="1"/>
  <c r="J122" i="35"/>
  <c r="J127" i="35" s="1"/>
  <c r="AV122" i="35"/>
  <c r="AV127" i="35" s="1"/>
  <c r="AU122" i="35"/>
  <c r="AU127" i="35" s="1"/>
  <c r="AZ122" i="35"/>
  <c r="AZ127" i="35" s="1"/>
  <c r="L122" i="35"/>
  <c r="L127" i="35" s="1"/>
  <c r="O122" i="35"/>
  <c r="O127" i="35" s="1"/>
  <c r="Q45" i="34"/>
  <c r="P122" i="35"/>
  <c r="P127" i="35" s="1"/>
  <c r="R122" i="35"/>
  <c r="R127" i="35" s="1"/>
  <c r="W122" i="35"/>
  <c r="W127" i="35" s="1"/>
  <c r="AW122" i="35"/>
  <c r="AW127" i="35" s="1"/>
  <c r="AC122" i="35"/>
  <c r="AC127" i="35" s="1"/>
  <c r="AD122" i="35"/>
  <c r="AD127" i="35" s="1"/>
  <c r="I122" i="35"/>
  <c r="I127" i="35" s="1"/>
  <c r="Q122" i="35"/>
  <c r="Q127" i="35" s="1"/>
  <c r="U122" i="35"/>
  <c r="U127" i="35" s="1"/>
  <c r="Z122" i="35"/>
  <c r="Z127" i="35" s="1"/>
  <c r="AR122" i="35"/>
  <c r="AR127" i="35" s="1"/>
  <c r="K122" i="35"/>
  <c r="K127" i="35" s="1"/>
  <c r="M122" i="35"/>
  <c r="M127" i="35" s="1"/>
  <c r="T1091" i="14"/>
  <c r="K4" i="25"/>
  <c r="L3" i="25" s="1"/>
  <c r="L28" i="25" s="1"/>
  <c r="S1158" i="14"/>
  <c r="T1168" i="14"/>
  <c r="S1175" i="14"/>
  <c r="S1111" i="14"/>
  <c r="H54" i="11"/>
  <c r="E575"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C628" i="14"/>
  <c r="C627" i="14"/>
  <c r="A596" i="14"/>
  <c r="A60" i="14"/>
  <c r="F688" i="14"/>
  <c r="F686" i="14"/>
  <c r="F685" i="14"/>
  <c r="F684" i="14"/>
  <c r="F683" i="14"/>
  <c r="F682" i="14"/>
  <c r="F681" i="14"/>
  <c r="F680" i="14"/>
  <c r="F679" i="14"/>
  <c r="F678" i="14"/>
  <c r="F677" i="14"/>
  <c r="F676" i="14"/>
  <c r="F675" i="14"/>
  <c r="H674" i="14"/>
  <c r="F674" i="14"/>
  <c r="F660" i="14"/>
  <c r="F656" i="14"/>
  <c r="F654" i="14"/>
  <c r="F653" i="14"/>
  <c r="F652" i="14"/>
  <c r="F651" i="14"/>
  <c r="F650" i="14"/>
  <c r="F649" i="14"/>
  <c r="F648" i="14"/>
  <c r="F647" i="14"/>
  <c r="F646" i="14"/>
  <c r="F645" i="14"/>
  <c r="F644" i="14"/>
  <c r="F643" i="14"/>
  <c r="H642" i="14"/>
  <c r="F642" i="14"/>
  <c r="F628" i="14"/>
  <c r="F623" i="14"/>
  <c r="F617" i="14"/>
  <c r="F611" i="14"/>
  <c r="F610" i="14"/>
  <c r="E322" i="11"/>
  <c r="T1126" i="14" l="1"/>
  <c r="L27" i="25"/>
  <c r="L29" i="25"/>
  <c r="L30" i="25"/>
  <c r="L127" i="25"/>
  <c r="C26" i="34"/>
  <c r="V1098" i="14"/>
  <c r="AR47" i="35"/>
  <c r="AR123" i="35" s="1"/>
  <c r="BG47" i="35"/>
  <c r="BG123" i="35" s="1"/>
  <c r="AN47" i="35"/>
  <c r="AN123" i="35" s="1"/>
  <c r="BB47" i="35"/>
  <c r="BB123" i="35" s="1"/>
  <c r="BD47" i="35"/>
  <c r="BD123" i="35" s="1"/>
  <c r="BC47" i="35"/>
  <c r="BC123" i="35" s="1"/>
  <c r="AO47" i="35"/>
  <c r="AO123" i="35" s="1"/>
  <c r="BA47" i="35"/>
  <c r="BA123" i="35" s="1"/>
  <c r="AX47" i="35"/>
  <c r="AX123" i="35" s="1"/>
  <c r="BE47" i="35"/>
  <c r="BE123" i="35" s="1"/>
  <c r="BH47" i="35"/>
  <c r="BH123" i="35" s="1"/>
  <c r="AS47" i="35"/>
  <c r="AS123" i="35" s="1"/>
  <c r="AP47" i="35"/>
  <c r="AP123" i="35" s="1"/>
  <c r="BF47" i="35"/>
  <c r="BF123" i="35" s="1"/>
  <c r="AT47" i="35"/>
  <c r="AT123" i="35" s="1"/>
  <c r="AZ47" i="35"/>
  <c r="AZ123" i="35" s="1"/>
  <c r="AU47" i="35"/>
  <c r="AU123" i="35" s="1"/>
  <c r="AV47" i="35"/>
  <c r="AV123" i="35" s="1"/>
  <c r="AM47" i="35"/>
  <c r="AM123" i="35" s="1"/>
  <c r="AQ47" i="35"/>
  <c r="AQ123" i="35" s="1"/>
  <c r="AY47" i="35"/>
  <c r="AY123" i="35" s="1"/>
  <c r="AW47" i="35"/>
  <c r="AW123" i="35" s="1"/>
  <c r="AL47" i="35"/>
  <c r="AL123" i="35" s="1"/>
  <c r="V47" i="35"/>
  <c r="V123" i="35" s="1"/>
  <c r="K47" i="35"/>
  <c r="K123" i="35" s="1"/>
  <c r="T47" i="35"/>
  <c r="T123" i="35" s="1"/>
  <c r="J47" i="35"/>
  <c r="J123" i="35" s="1"/>
  <c r="Q43" i="34" s="1"/>
  <c r="U47" i="35"/>
  <c r="U123" i="35" s="1"/>
  <c r="M47" i="35"/>
  <c r="M123" i="35" s="1"/>
  <c r="AC47" i="35"/>
  <c r="AC123" i="35" s="1"/>
  <c r="P47" i="35"/>
  <c r="P123" i="35" s="1"/>
  <c r="N47" i="35"/>
  <c r="N123" i="35" s="1"/>
  <c r="L47" i="35"/>
  <c r="L123" i="35" s="1"/>
  <c r="W47" i="35"/>
  <c r="W123" i="35" s="1"/>
  <c r="X47" i="35"/>
  <c r="X123" i="35" s="1"/>
  <c r="AB47" i="35"/>
  <c r="AB123" i="35" s="1"/>
  <c r="AD47" i="35"/>
  <c r="AD123" i="35" s="1"/>
  <c r="Y47" i="35"/>
  <c r="Y123" i="35" s="1"/>
  <c r="S47" i="35"/>
  <c r="S123" i="35" s="1"/>
  <c r="Q47" i="35"/>
  <c r="Q123" i="35" s="1"/>
  <c r="H47" i="35"/>
  <c r="H123" i="35" s="1"/>
  <c r="Z47" i="35"/>
  <c r="Z123" i="35" s="1"/>
  <c r="R47" i="35"/>
  <c r="R123" i="35" s="1"/>
  <c r="O47" i="35"/>
  <c r="O123" i="35" s="1"/>
  <c r="I47" i="35"/>
  <c r="I123" i="35" s="1"/>
  <c r="AA47" i="35"/>
  <c r="AA123" i="35" s="1"/>
  <c r="Q48" i="34"/>
  <c r="U1091" i="14"/>
  <c r="L4" i="25"/>
  <c r="M3" i="25" s="1"/>
  <c r="M28" i="25" s="1"/>
  <c r="T1158" i="14"/>
  <c r="U1168" i="14"/>
  <c r="T1175" i="14"/>
  <c r="T1111" i="14"/>
  <c r="H675" i="14"/>
  <c r="H643" i="14"/>
  <c r="U1126" i="14" l="1"/>
  <c r="M29" i="25"/>
  <c r="M30" i="25"/>
  <c r="M27" i="25"/>
  <c r="M127" i="25"/>
  <c r="W1098" i="14"/>
  <c r="V1091" i="14"/>
  <c r="M4" i="25"/>
  <c r="N3" i="25" s="1"/>
  <c r="N28" i="25" s="1"/>
  <c r="U1158" i="14"/>
  <c r="V1168" i="14"/>
  <c r="U1175" i="14"/>
  <c r="U1111" i="14"/>
  <c r="H1238" i="14"/>
  <c r="H228" i="14"/>
  <c r="I228" i="14" s="1"/>
  <c r="J228" i="14" s="1"/>
  <c r="H45" i="14"/>
  <c r="V1126" i="14" l="1"/>
  <c r="N30" i="25"/>
  <c r="N29" i="25"/>
  <c r="N27" i="25"/>
  <c r="N127" i="25"/>
  <c r="X1098" i="14"/>
  <c r="W1091" i="14"/>
  <c r="N4" i="25"/>
  <c r="O3" i="25" s="1"/>
  <c r="O28" i="25" s="1"/>
  <c r="V1158" i="14"/>
  <c r="W1168" i="14"/>
  <c r="V1175" i="14"/>
  <c r="V1111" i="14"/>
  <c r="H48" i="11"/>
  <c r="K228" i="14"/>
  <c r="L228" i="14" s="1"/>
  <c r="H576" i="14"/>
  <c r="I576" i="14" s="1"/>
  <c r="J576" i="14" s="1"/>
  <c r="K576" i="14" s="1"/>
  <c r="L576" i="14" s="1"/>
  <c r="M576" i="14" s="1"/>
  <c r="N576" i="14" s="1"/>
  <c r="O576" i="14" s="1"/>
  <c r="P576" i="14" s="1"/>
  <c r="Q576" i="14" s="1"/>
  <c r="R576" i="14" s="1"/>
  <c r="S576" i="14" s="1"/>
  <c r="T576" i="14" s="1"/>
  <c r="U576" i="14" s="1"/>
  <c r="V576" i="14" s="1"/>
  <c r="W576" i="14" s="1"/>
  <c r="X576" i="14" s="1"/>
  <c r="Y576" i="14" s="1"/>
  <c r="Z576" i="14" s="1"/>
  <c r="AA576" i="14" s="1"/>
  <c r="AB576" i="14" s="1"/>
  <c r="AC576" i="14" s="1"/>
  <c r="AD576" i="14" s="1"/>
  <c r="AE576" i="14" s="1"/>
  <c r="AF576" i="14" s="1"/>
  <c r="AG576" i="14" s="1"/>
  <c r="AH576" i="14" s="1"/>
  <c r="AI576" i="14" s="1"/>
  <c r="AJ576" i="14" s="1"/>
  <c r="AK576" i="14" s="1"/>
  <c r="AL576" i="14" s="1"/>
  <c r="AM576" i="14" s="1"/>
  <c r="AN576" i="14" s="1"/>
  <c r="AO576" i="14" s="1"/>
  <c r="AP576" i="14" s="1"/>
  <c r="AQ576" i="14" s="1"/>
  <c r="AR576" i="14" s="1"/>
  <c r="AS576" i="14" s="1"/>
  <c r="AT576" i="14" s="1"/>
  <c r="AU576" i="14" s="1"/>
  <c r="AV576" i="14" s="1"/>
  <c r="AW576" i="14" s="1"/>
  <c r="AX576" i="14" s="1"/>
  <c r="AY576" i="14" s="1"/>
  <c r="AZ576" i="14" s="1"/>
  <c r="BA576" i="14" s="1"/>
  <c r="BB576" i="14" s="1"/>
  <c r="BC576" i="14" s="1"/>
  <c r="BD576" i="14" s="1"/>
  <c r="BE576" i="14" s="1"/>
  <c r="BF576" i="14" s="1"/>
  <c r="BG576" i="14" s="1"/>
  <c r="BH576" i="14" s="1"/>
  <c r="BI576" i="14" s="1"/>
  <c r="BJ576" i="14" s="1"/>
  <c r="BK576" i="14" s="1"/>
  <c r="BL576" i="14" s="1"/>
  <c r="BM576" i="14" s="1"/>
  <c r="BN576" i="14" s="1"/>
  <c r="BO576" i="14" s="1"/>
  <c r="BP576" i="14" s="1"/>
  <c r="BQ576" i="14" s="1"/>
  <c r="BR576" i="14" s="1"/>
  <c r="BS576" i="14" s="1"/>
  <c r="BT576" i="14" s="1"/>
  <c r="BU576" i="14" s="1"/>
  <c r="BV576" i="14" s="1"/>
  <c r="BW576" i="14" s="1"/>
  <c r="BX576" i="14" s="1"/>
  <c r="BY576" i="14" s="1"/>
  <c r="W1126" i="14" l="1"/>
  <c r="O29" i="25"/>
  <c r="O30" i="25"/>
  <c r="O27" i="25"/>
  <c r="O127" i="25"/>
  <c r="Y1098" i="14"/>
  <c r="X1091" i="14"/>
  <c r="O4" i="25"/>
  <c r="P3" i="25" s="1"/>
  <c r="P28" i="25" s="1"/>
  <c r="W1158" i="14"/>
  <c r="X1168" i="14"/>
  <c r="W1175" i="14"/>
  <c r="W1111" i="14"/>
  <c r="M228" i="14"/>
  <c r="I1075" i="14"/>
  <c r="J1075" i="14" s="1"/>
  <c r="K1075" i="14" s="1"/>
  <c r="L1075" i="14" s="1"/>
  <c r="M1075" i="14" s="1"/>
  <c r="N1075" i="14" s="1"/>
  <c r="O1075" i="14" s="1"/>
  <c r="P1075" i="14" s="1"/>
  <c r="Q1075" i="14" s="1"/>
  <c r="R1075" i="14" s="1"/>
  <c r="S1075" i="14" s="1"/>
  <c r="T1075" i="14" s="1"/>
  <c r="U1075" i="14" s="1"/>
  <c r="V1075" i="14" s="1"/>
  <c r="W1075" i="14" s="1"/>
  <c r="X1075" i="14" s="1"/>
  <c r="Y1075" i="14" s="1"/>
  <c r="Z1075" i="14" s="1"/>
  <c r="AA1075" i="14" s="1"/>
  <c r="AB1075" i="14" s="1"/>
  <c r="AC1075" i="14" s="1"/>
  <c r="AD1075" i="14" s="1"/>
  <c r="AE1075" i="14" s="1"/>
  <c r="AF1075" i="14" s="1"/>
  <c r="AG1075" i="14" s="1"/>
  <c r="AH1075" i="14" s="1"/>
  <c r="AI1075" i="14" s="1"/>
  <c r="AJ1075" i="14" s="1"/>
  <c r="AK1075" i="14" s="1"/>
  <c r="AL1075" i="14" s="1"/>
  <c r="AM1075" i="14" s="1"/>
  <c r="AN1075" i="14" s="1"/>
  <c r="AO1075" i="14" s="1"/>
  <c r="AP1075" i="14" s="1"/>
  <c r="AQ1075" i="14" s="1"/>
  <c r="AR1075" i="14" s="1"/>
  <c r="AS1075" i="14" s="1"/>
  <c r="AT1075" i="14" s="1"/>
  <c r="AU1075" i="14" s="1"/>
  <c r="AV1075" i="14" s="1"/>
  <c r="AW1075" i="14" s="1"/>
  <c r="AX1075" i="14" s="1"/>
  <c r="AY1075" i="14" s="1"/>
  <c r="AZ1075" i="14" s="1"/>
  <c r="BA1075" i="14" s="1"/>
  <c r="BB1075" i="14" s="1"/>
  <c r="BC1075" i="14" s="1"/>
  <c r="BD1075" i="14" s="1"/>
  <c r="BE1075" i="14" s="1"/>
  <c r="BF1075" i="14" s="1"/>
  <c r="BG1075" i="14" s="1"/>
  <c r="BH1075" i="14" s="1"/>
  <c r="BI1075" i="14" s="1"/>
  <c r="BJ1075" i="14" s="1"/>
  <c r="BK1075" i="14" s="1"/>
  <c r="BL1075" i="14" s="1"/>
  <c r="BM1075" i="14" s="1"/>
  <c r="BN1075" i="14" s="1"/>
  <c r="BO1075" i="14" s="1"/>
  <c r="BP1075" i="14" s="1"/>
  <c r="BQ1075" i="14" s="1"/>
  <c r="BR1075" i="14" s="1"/>
  <c r="BS1075" i="14" s="1"/>
  <c r="BT1075" i="14" s="1"/>
  <c r="BU1075" i="14" s="1"/>
  <c r="BV1075" i="14" s="1"/>
  <c r="BW1075" i="14" s="1"/>
  <c r="BX1075" i="14" s="1"/>
  <c r="BY1075" i="14" s="1"/>
  <c r="E39" i="14"/>
  <c r="H1083" i="14"/>
  <c r="C796" i="14"/>
  <c r="C795" i="14"/>
  <c r="E590" i="14"/>
  <c r="E585" i="14"/>
  <c r="E580" i="14"/>
  <c r="X1126" i="14" l="1"/>
  <c r="P29" i="25"/>
  <c r="P30" i="25"/>
  <c r="P27" i="25"/>
  <c r="P127" i="25"/>
  <c r="Z1098" i="14"/>
  <c r="Y1091" i="14"/>
  <c r="P4" i="25"/>
  <c r="Q3" i="25" s="1"/>
  <c r="Q28" i="25" s="1"/>
  <c r="X1158" i="14"/>
  <c r="Y1168" i="14"/>
  <c r="X1175" i="14"/>
  <c r="X1111" i="14"/>
  <c r="N228" i="14"/>
  <c r="O228" i="14" s="1"/>
  <c r="E371" i="11"/>
  <c r="D371" i="11"/>
  <c r="Y1126" i="14" l="1"/>
  <c r="Q30" i="25"/>
  <c r="Q29" i="25"/>
  <c r="Q27" i="25"/>
  <c r="Q127" i="25"/>
  <c r="AA1098" i="14"/>
  <c r="Z1091" i="14"/>
  <c r="Q4" i="25"/>
  <c r="R3" i="25" s="1"/>
  <c r="R28" i="25" s="1"/>
  <c r="Y1158" i="14"/>
  <c r="Z1168" i="14"/>
  <c r="Y1175" i="14"/>
  <c r="Y1111" i="14"/>
  <c r="P228" i="14"/>
  <c r="Q228" i="14" s="1"/>
  <c r="R228" i="14" s="1"/>
  <c r="Z1126" i="14" l="1"/>
  <c r="R27" i="25"/>
  <c r="R29" i="25"/>
  <c r="R30" i="25"/>
  <c r="R127" i="25"/>
  <c r="AB1098" i="14"/>
  <c r="AA1091" i="14"/>
  <c r="R4" i="25"/>
  <c r="S3" i="25" s="1"/>
  <c r="S28" i="25" s="1"/>
  <c r="Z1158" i="14"/>
  <c r="AA1168" i="14"/>
  <c r="Z1175" i="14"/>
  <c r="Z1111" i="14"/>
  <c r="S228" i="14"/>
  <c r="AA1126" i="14" l="1"/>
  <c r="S29" i="25"/>
  <c r="S27" i="25"/>
  <c r="S30" i="25"/>
  <c r="S127" i="25"/>
  <c r="AC1098" i="14"/>
  <c r="AB1091" i="14"/>
  <c r="S4" i="25"/>
  <c r="T3" i="25" s="1"/>
  <c r="T28" i="25" s="1"/>
  <c r="AA1158" i="14"/>
  <c r="AB1168" i="14"/>
  <c r="AA1175" i="14"/>
  <c r="AA1111" i="14"/>
  <c r="T228" i="14"/>
  <c r="B72" i="20"/>
  <c r="AB1126" i="14" l="1"/>
  <c r="T29" i="25"/>
  <c r="T27" i="25"/>
  <c r="T30" i="25"/>
  <c r="T127" i="25"/>
  <c r="AD1098" i="14"/>
  <c r="AC1091" i="14"/>
  <c r="T4" i="25"/>
  <c r="U3" i="25" s="1"/>
  <c r="U28" i="25" s="1"/>
  <c r="AB1158" i="14"/>
  <c r="AC1168" i="14"/>
  <c r="AB1175" i="14"/>
  <c r="AB1111" i="14"/>
  <c r="U228" i="14"/>
  <c r="H1188" i="14"/>
  <c r="AC1126" i="14" l="1"/>
  <c r="U27" i="25"/>
  <c r="U29" i="25"/>
  <c r="U30" i="25"/>
  <c r="U127" i="25"/>
  <c r="AE1098" i="14"/>
  <c r="AD1091" i="14"/>
  <c r="U4" i="25"/>
  <c r="V3" i="25" s="1"/>
  <c r="V28" i="25" s="1"/>
  <c r="AC1158" i="14"/>
  <c r="AD1168" i="14"/>
  <c r="AC1175" i="14"/>
  <c r="AC1111" i="14"/>
  <c r="V228" i="14"/>
  <c r="BY1197" i="14"/>
  <c r="BX1197" i="14"/>
  <c r="BW1197" i="14"/>
  <c r="BV1197" i="14"/>
  <c r="BU1197" i="14"/>
  <c r="BT1197" i="14"/>
  <c r="BS1197" i="14"/>
  <c r="BR1197" i="14"/>
  <c r="BQ1197" i="14"/>
  <c r="BP1197" i="14"/>
  <c r="BO1197" i="14"/>
  <c r="BN1197" i="14"/>
  <c r="BM1197" i="14"/>
  <c r="BL1197" i="14"/>
  <c r="BK1197" i="14"/>
  <c r="BJ1197" i="14"/>
  <c r="BI1197" i="14"/>
  <c r="BH1197" i="14"/>
  <c r="BG1197" i="14"/>
  <c r="BF1197" i="14"/>
  <c r="BE1197" i="14"/>
  <c r="BD1197" i="14"/>
  <c r="BC1197" i="14"/>
  <c r="BB1197" i="14"/>
  <c r="BA1197" i="14"/>
  <c r="AZ1197" i="14"/>
  <c r="AY1197" i="14"/>
  <c r="AX1197" i="14"/>
  <c r="AW1197" i="14"/>
  <c r="AV1197" i="14"/>
  <c r="AU1197" i="14"/>
  <c r="AT1197" i="14"/>
  <c r="AS1197" i="14"/>
  <c r="AR1197" i="14"/>
  <c r="AQ1197" i="14"/>
  <c r="AP1197" i="14"/>
  <c r="AO1197" i="14"/>
  <c r="AN1197" i="14"/>
  <c r="AM1197" i="14"/>
  <c r="AL1197" i="14"/>
  <c r="AK1197" i="14"/>
  <c r="AJ1197" i="14"/>
  <c r="AI1197" i="14"/>
  <c r="AH1197" i="14"/>
  <c r="AG1197" i="14"/>
  <c r="AF1197" i="14"/>
  <c r="AE1197" i="14"/>
  <c r="AD1197" i="14"/>
  <c r="AC1197" i="14"/>
  <c r="AB1197" i="14"/>
  <c r="AA1197" i="14"/>
  <c r="Z1197" i="14"/>
  <c r="Y1197" i="14"/>
  <c r="X1197" i="14"/>
  <c r="W1197" i="14"/>
  <c r="V1197" i="14"/>
  <c r="U1197" i="14"/>
  <c r="T1197" i="14"/>
  <c r="S1197" i="14"/>
  <c r="R1197" i="14"/>
  <c r="Q1197" i="14"/>
  <c r="P1197" i="14"/>
  <c r="O1197" i="14"/>
  <c r="N1197" i="14"/>
  <c r="M1197" i="14"/>
  <c r="L1197" i="14"/>
  <c r="K1197" i="14"/>
  <c r="J1197" i="14"/>
  <c r="I1197" i="14"/>
  <c r="BY1262" i="14"/>
  <c r="BX1262" i="14"/>
  <c r="BW1262" i="14"/>
  <c r="BV1262" i="14"/>
  <c r="BU1262" i="14"/>
  <c r="BT1262" i="14"/>
  <c r="BS1262" i="14"/>
  <c r="BR1262" i="14"/>
  <c r="BQ1262" i="14"/>
  <c r="BP1262" i="14"/>
  <c r="BO1262" i="14"/>
  <c r="BN1262" i="14"/>
  <c r="BM1262" i="14"/>
  <c r="BL1262" i="14"/>
  <c r="BK1262" i="14"/>
  <c r="BJ1262" i="14"/>
  <c r="BI1262" i="14"/>
  <c r="BH1262" i="14"/>
  <c r="BG1262" i="14"/>
  <c r="BF1262" i="14"/>
  <c r="BE1262" i="14"/>
  <c r="BD1262" i="14"/>
  <c r="BC1262" i="14"/>
  <c r="BB1262" i="14"/>
  <c r="BA1262" i="14"/>
  <c r="AZ1262" i="14"/>
  <c r="AY1262" i="14"/>
  <c r="AX1262" i="14"/>
  <c r="AW1262" i="14"/>
  <c r="AV1262" i="14"/>
  <c r="AU1262" i="14"/>
  <c r="AT1262" i="14"/>
  <c r="AS1262" i="14"/>
  <c r="AR1262" i="14"/>
  <c r="AQ1262" i="14"/>
  <c r="AP1262" i="14"/>
  <c r="AO1262" i="14"/>
  <c r="AN1262" i="14"/>
  <c r="AM1262" i="14"/>
  <c r="AL1262" i="14"/>
  <c r="AK1262" i="14"/>
  <c r="AJ1262" i="14"/>
  <c r="AI1262" i="14"/>
  <c r="AH1262" i="14"/>
  <c r="AG1262" i="14"/>
  <c r="AF1262" i="14"/>
  <c r="AE1262" i="14"/>
  <c r="AD1262" i="14"/>
  <c r="AC1262" i="14"/>
  <c r="AB1262" i="14"/>
  <c r="AA1262" i="14"/>
  <c r="Z1262" i="14"/>
  <c r="Y1262" i="14"/>
  <c r="X1262" i="14"/>
  <c r="W1262" i="14"/>
  <c r="V1262" i="14"/>
  <c r="U1262" i="14"/>
  <c r="T1262" i="14"/>
  <c r="S1262" i="14"/>
  <c r="R1262" i="14"/>
  <c r="Q1262" i="14"/>
  <c r="P1262" i="14"/>
  <c r="O1262" i="14"/>
  <c r="N1262" i="14"/>
  <c r="M1262" i="14"/>
  <c r="L1262" i="14"/>
  <c r="K1262" i="14"/>
  <c r="J1262" i="14"/>
  <c r="I1262" i="14"/>
  <c r="H1262" i="14"/>
  <c r="H1253" i="14"/>
  <c r="BY1237" i="14"/>
  <c r="BX1237" i="14"/>
  <c r="BW1237" i="14"/>
  <c r="BV1237" i="14"/>
  <c r="BU1237" i="14"/>
  <c r="BT1237" i="14"/>
  <c r="BS1237" i="14"/>
  <c r="BR1237" i="14"/>
  <c r="BQ1237" i="14"/>
  <c r="BP1237" i="14"/>
  <c r="BO1237" i="14"/>
  <c r="BN1237" i="14"/>
  <c r="BM1237" i="14"/>
  <c r="BL1237" i="14"/>
  <c r="BK1237" i="14"/>
  <c r="BJ1237" i="14"/>
  <c r="BI1237" i="14"/>
  <c r="BH1237" i="14"/>
  <c r="BG1237" i="14"/>
  <c r="BF1237" i="14"/>
  <c r="BE1237" i="14"/>
  <c r="BD1237" i="14"/>
  <c r="BC1237" i="14"/>
  <c r="BB1237" i="14"/>
  <c r="BA1237" i="14"/>
  <c r="AZ1237" i="14"/>
  <c r="AY1237" i="14"/>
  <c r="AX1237" i="14"/>
  <c r="AW1237" i="14"/>
  <c r="AV1237" i="14"/>
  <c r="AU1237" i="14"/>
  <c r="AT1237" i="14"/>
  <c r="AS1237" i="14"/>
  <c r="AR1237" i="14"/>
  <c r="AQ1237" i="14"/>
  <c r="AP1237" i="14"/>
  <c r="AO1237" i="14"/>
  <c r="AN1237" i="14"/>
  <c r="AM1237" i="14"/>
  <c r="AL1237" i="14"/>
  <c r="AK1237" i="14"/>
  <c r="AJ1237" i="14"/>
  <c r="AI1237" i="14"/>
  <c r="AH1237" i="14"/>
  <c r="AG1237" i="14"/>
  <c r="AF1237" i="14"/>
  <c r="AE1237" i="14"/>
  <c r="AD1237" i="14"/>
  <c r="AC1237" i="14"/>
  <c r="AB1237" i="14"/>
  <c r="AA1237" i="14"/>
  <c r="Z1237" i="14"/>
  <c r="Y1237" i="14"/>
  <c r="X1237" i="14"/>
  <c r="W1237" i="14"/>
  <c r="V1237" i="14"/>
  <c r="U1237" i="14"/>
  <c r="T1237" i="14"/>
  <c r="S1237" i="14"/>
  <c r="R1237" i="14"/>
  <c r="Q1237" i="14"/>
  <c r="P1237" i="14"/>
  <c r="O1237" i="14"/>
  <c r="N1237" i="14"/>
  <c r="M1237" i="14"/>
  <c r="L1237" i="14"/>
  <c r="K1237" i="14"/>
  <c r="J1237" i="14"/>
  <c r="I1237" i="14"/>
  <c r="H1237" i="14"/>
  <c r="BY1219" i="14"/>
  <c r="BX1219" i="14"/>
  <c r="BW1219" i="14"/>
  <c r="BV1219" i="14"/>
  <c r="BU1219" i="14"/>
  <c r="BT1219" i="14"/>
  <c r="BS1219" i="14"/>
  <c r="BR1219" i="14"/>
  <c r="BQ1219" i="14"/>
  <c r="BP1219" i="14"/>
  <c r="BO1219" i="14"/>
  <c r="BN1219" i="14"/>
  <c r="BM1219" i="14"/>
  <c r="BL1219" i="14"/>
  <c r="BK1219" i="14"/>
  <c r="BJ1219" i="14"/>
  <c r="BI1219" i="14"/>
  <c r="BH1219" i="14"/>
  <c r="BG1219" i="14"/>
  <c r="BF1219" i="14"/>
  <c r="BE1219" i="14"/>
  <c r="BD1219" i="14"/>
  <c r="BC1219" i="14"/>
  <c r="BB1219" i="14"/>
  <c r="BA1219" i="14"/>
  <c r="AZ1219" i="14"/>
  <c r="AY1219" i="14"/>
  <c r="AX1219" i="14"/>
  <c r="AW1219" i="14"/>
  <c r="AV1219" i="14"/>
  <c r="AU1219" i="14"/>
  <c r="AT1219" i="14"/>
  <c r="AS1219" i="14"/>
  <c r="AR1219" i="14"/>
  <c r="AQ1219" i="14"/>
  <c r="AP1219" i="14"/>
  <c r="AO1219" i="14"/>
  <c r="AN1219" i="14"/>
  <c r="AM1219" i="14"/>
  <c r="AL1219" i="14"/>
  <c r="AK1219" i="14"/>
  <c r="AJ1219" i="14"/>
  <c r="AI1219" i="14"/>
  <c r="AH1219" i="14"/>
  <c r="AG1219" i="14"/>
  <c r="AF1219" i="14"/>
  <c r="AE1219" i="14"/>
  <c r="AD1219" i="14"/>
  <c r="AC1219" i="14"/>
  <c r="AB1219" i="14"/>
  <c r="AA1219" i="14"/>
  <c r="Z1219" i="14"/>
  <c r="Y1219" i="14"/>
  <c r="X1219" i="14"/>
  <c r="W1219" i="14"/>
  <c r="V1219" i="14"/>
  <c r="U1219" i="14"/>
  <c r="T1219" i="14"/>
  <c r="S1219" i="14"/>
  <c r="R1219" i="14"/>
  <c r="Q1219" i="14"/>
  <c r="P1219" i="14"/>
  <c r="O1219" i="14"/>
  <c r="N1219" i="14"/>
  <c r="M1219" i="14"/>
  <c r="L1219" i="14"/>
  <c r="K1219" i="14"/>
  <c r="J1219" i="14"/>
  <c r="I1219" i="14"/>
  <c r="H1219" i="14"/>
  <c r="H1210" i="14"/>
  <c r="H1192" i="14"/>
  <c r="AD1126" i="14" l="1"/>
  <c r="V27" i="25"/>
  <c r="V29" i="25"/>
  <c r="V30" i="25"/>
  <c r="V127" i="25"/>
  <c r="AF1098" i="14"/>
  <c r="AE1091" i="14"/>
  <c r="V4" i="25"/>
  <c r="W3" i="25" s="1"/>
  <c r="W28" i="25" s="1"/>
  <c r="AD1158" i="14"/>
  <c r="AE1168" i="14"/>
  <c r="AD1175" i="14"/>
  <c r="AD1111" i="14"/>
  <c r="W228" i="14"/>
  <c r="A1065" i="14"/>
  <c r="A1068" i="14"/>
  <c r="B1069" i="14"/>
  <c r="B101" i="20"/>
  <c r="I1083" i="14"/>
  <c r="J1083" i="14" s="1"/>
  <c r="K1083" i="14" s="1"/>
  <c r="L1083" i="14" s="1"/>
  <c r="M1083" i="14" s="1"/>
  <c r="N1083" i="14" s="1"/>
  <c r="O1083" i="14" s="1"/>
  <c r="P1083" i="14" s="1"/>
  <c r="Q1083" i="14" s="1"/>
  <c r="R1083" i="14" s="1"/>
  <c r="S1083" i="14" s="1"/>
  <c r="T1083" i="14" s="1"/>
  <c r="U1083" i="14" s="1"/>
  <c r="V1083" i="14" s="1"/>
  <c r="W1083" i="14" s="1"/>
  <c r="X1083" i="14" s="1"/>
  <c r="Y1083" i="14" s="1"/>
  <c r="Z1083" i="14" s="1"/>
  <c r="AA1083" i="14" s="1"/>
  <c r="AB1083" i="14" s="1"/>
  <c r="AC1083" i="14" s="1"/>
  <c r="AD1083" i="14" s="1"/>
  <c r="AE1083" i="14" s="1"/>
  <c r="AF1083" i="14" s="1"/>
  <c r="AG1083" i="14" s="1"/>
  <c r="AH1083" i="14" s="1"/>
  <c r="AI1083" i="14" s="1"/>
  <c r="AJ1083" i="14" s="1"/>
  <c r="AK1083" i="14" s="1"/>
  <c r="AL1083" i="14" s="1"/>
  <c r="AM1083" i="14" s="1"/>
  <c r="AN1083" i="14" s="1"/>
  <c r="AO1083" i="14" s="1"/>
  <c r="AP1083" i="14" s="1"/>
  <c r="AQ1083" i="14" s="1"/>
  <c r="AR1083" i="14" s="1"/>
  <c r="AS1083" i="14" s="1"/>
  <c r="AT1083" i="14" s="1"/>
  <c r="AU1083" i="14" s="1"/>
  <c r="AV1083" i="14" s="1"/>
  <c r="AW1083" i="14" s="1"/>
  <c r="AX1083" i="14" s="1"/>
  <c r="AY1083" i="14" s="1"/>
  <c r="AZ1083" i="14" s="1"/>
  <c r="BA1083" i="14" s="1"/>
  <c r="BB1083" i="14" s="1"/>
  <c r="BC1083" i="14" s="1"/>
  <c r="BD1083" i="14" s="1"/>
  <c r="BE1083" i="14" s="1"/>
  <c r="BF1083" i="14" s="1"/>
  <c r="BG1083" i="14" s="1"/>
  <c r="BH1083" i="14" s="1"/>
  <c r="BI1083" i="14" s="1"/>
  <c r="BJ1083" i="14" s="1"/>
  <c r="BK1083" i="14" s="1"/>
  <c r="BL1083" i="14" s="1"/>
  <c r="BM1083" i="14" s="1"/>
  <c r="BN1083" i="14" s="1"/>
  <c r="BO1083" i="14" s="1"/>
  <c r="BP1083" i="14" s="1"/>
  <c r="BQ1083" i="14" s="1"/>
  <c r="BR1083" i="14" s="1"/>
  <c r="BS1083" i="14" s="1"/>
  <c r="BT1083" i="14" s="1"/>
  <c r="BU1083" i="14" s="1"/>
  <c r="BV1083" i="14" s="1"/>
  <c r="BW1083" i="14" s="1"/>
  <c r="BX1083" i="14" s="1"/>
  <c r="BY1083" i="14" s="1"/>
  <c r="H371" i="11"/>
  <c r="G371" i="11"/>
  <c r="B113" i="20"/>
  <c r="G476" i="11"/>
  <c r="E54" i="14"/>
  <c r="E49" i="14"/>
  <c r="E44" i="14"/>
  <c r="B84" i="20"/>
  <c r="B1272" i="14"/>
  <c r="A1184" i="14"/>
  <c r="A1181" i="14"/>
  <c r="H1257" i="14"/>
  <c r="BY1253" i="14"/>
  <c r="BX1253" i="14"/>
  <c r="BW1253" i="14"/>
  <c r="BV1253" i="14"/>
  <c r="BU1253" i="14"/>
  <c r="BT1253" i="14"/>
  <c r="BS1253" i="14"/>
  <c r="BR1253" i="14"/>
  <c r="BQ1253" i="14"/>
  <c r="BP1253" i="14"/>
  <c r="BO1253" i="14"/>
  <c r="BN1253" i="14"/>
  <c r="BM1253" i="14"/>
  <c r="BL1253" i="14"/>
  <c r="BK1253" i="14"/>
  <c r="BJ1253" i="14"/>
  <c r="BI1253" i="14"/>
  <c r="BH1253" i="14"/>
  <c r="BG1253" i="14"/>
  <c r="BF1253" i="14"/>
  <c r="BE1253" i="14"/>
  <c r="BD1253" i="14"/>
  <c r="BC1253" i="14"/>
  <c r="BB1253" i="14"/>
  <c r="BA1253" i="14"/>
  <c r="AZ1253" i="14"/>
  <c r="AY1253" i="14"/>
  <c r="AX1253" i="14"/>
  <c r="AW1253" i="14"/>
  <c r="AV1253" i="14"/>
  <c r="AU1253" i="14"/>
  <c r="AT1253" i="14"/>
  <c r="AS1253" i="14"/>
  <c r="AR1253" i="14"/>
  <c r="AQ1253" i="14"/>
  <c r="AP1253" i="14"/>
  <c r="AO1253" i="14"/>
  <c r="AN1253" i="14"/>
  <c r="AM1253" i="14"/>
  <c r="AL1253" i="14"/>
  <c r="AK1253" i="14"/>
  <c r="AJ1253" i="14"/>
  <c r="AI1253" i="14"/>
  <c r="AH1253" i="14"/>
  <c r="AG1253" i="14"/>
  <c r="AF1253" i="14"/>
  <c r="AE1253" i="14"/>
  <c r="AD1253" i="14"/>
  <c r="AC1253" i="14"/>
  <c r="AB1253" i="14"/>
  <c r="AA1253" i="14"/>
  <c r="Z1253" i="14"/>
  <c r="Y1253" i="14"/>
  <c r="X1253" i="14"/>
  <c r="W1253" i="14"/>
  <c r="V1253" i="14"/>
  <c r="U1253" i="14"/>
  <c r="T1253" i="14"/>
  <c r="S1253" i="14"/>
  <c r="R1253" i="14"/>
  <c r="Q1253" i="14"/>
  <c r="P1253" i="14"/>
  <c r="O1253" i="14"/>
  <c r="N1253" i="14"/>
  <c r="M1253" i="14"/>
  <c r="L1253" i="14"/>
  <c r="K1253" i="14"/>
  <c r="J1253" i="14"/>
  <c r="I1253" i="14"/>
  <c r="BY1228" i="14"/>
  <c r="BX1228" i="14"/>
  <c r="BW1228" i="14"/>
  <c r="BV1228" i="14"/>
  <c r="BU1228" i="14"/>
  <c r="BT1228" i="14"/>
  <c r="BS1228" i="14"/>
  <c r="BR1228" i="14"/>
  <c r="BQ1228" i="14"/>
  <c r="BP1228" i="14"/>
  <c r="BO1228" i="14"/>
  <c r="BN1228" i="14"/>
  <c r="BM1228" i="14"/>
  <c r="BL1228" i="14"/>
  <c r="BK1228" i="14"/>
  <c r="BJ1228" i="14"/>
  <c r="BI1228" i="14"/>
  <c r="BH1228" i="14"/>
  <c r="BG1228" i="14"/>
  <c r="BF1228" i="14"/>
  <c r="BE1228" i="14"/>
  <c r="BD1228" i="14"/>
  <c r="BC1228" i="14"/>
  <c r="BB1228" i="14"/>
  <c r="BA1228" i="14"/>
  <c r="AZ1228" i="14"/>
  <c r="AY1228" i="14"/>
  <c r="AX1228" i="14"/>
  <c r="AW1228" i="14"/>
  <c r="AV1228" i="14"/>
  <c r="AU1228" i="14"/>
  <c r="AT1228" i="14"/>
  <c r="AS1228" i="14"/>
  <c r="AR1228" i="14"/>
  <c r="AQ1228" i="14"/>
  <c r="AP1228" i="14"/>
  <c r="AO1228" i="14"/>
  <c r="AN1228" i="14"/>
  <c r="AM1228" i="14"/>
  <c r="AL1228" i="14"/>
  <c r="AK1228" i="14"/>
  <c r="AJ1228" i="14"/>
  <c r="AI1228" i="14"/>
  <c r="AH1228" i="14"/>
  <c r="AG1228" i="14"/>
  <c r="AF1228" i="14"/>
  <c r="AE1228" i="14"/>
  <c r="AD1228" i="14"/>
  <c r="AC1228" i="14"/>
  <c r="AB1228" i="14"/>
  <c r="AA1228" i="14"/>
  <c r="Z1228" i="14"/>
  <c r="Y1228" i="14"/>
  <c r="X1228" i="14"/>
  <c r="W1228" i="14"/>
  <c r="V1228" i="14"/>
  <c r="U1228" i="14"/>
  <c r="T1228" i="14"/>
  <c r="S1228" i="14"/>
  <c r="R1228" i="14"/>
  <c r="Q1228" i="14"/>
  <c r="P1228" i="14"/>
  <c r="O1228" i="14"/>
  <c r="N1228" i="14"/>
  <c r="M1228" i="14"/>
  <c r="L1228" i="14"/>
  <c r="K1228" i="14"/>
  <c r="J1228" i="14"/>
  <c r="I1228" i="14"/>
  <c r="H1228" i="14"/>
  <c r="BY1210" i="14"/>
  <c r="BX1210" i="14"/>
  <c r="BW1210" i="14"/>
  <c r="BV1210" i="14"/>
  <c r="BU1210" i="14"/>
  <c r="BT1210" i="14"/>
  <c r="BS1210" i="14"/>
  <c r="BR1210" i="14"/>
  <c r="BQ1210" i="14"/>
  <c r="BP1210" i="14"/>
  <c r="BO1210" i="14"/>
  <c r="BN1210" i="14"/>
  <c r="BM1210" i="14"/>
  <c r="BL1210" i="14"/>
  <c r="BK1210" i="14"/>
  <c r="BJ1210" i="14"/>
  <c r="BI1210" i="14"/>
  <c r="BH1210" i="14"/>
  <c r="BG1210" i="14"/>
  <c r="BF1210" i="14"/>
  <c r="BE1210" i="14"/>
  <c r="BD1210" i="14"/>
  <c r="BC1210" i="14"/>
  <c r="BB1210" i="14"/>
  <c r="BA1210" i="14"/>
  <c r="AZ1210" i="14"/>
  <c r="AY1210" i="14"/>
  <c r="AX1210" i="14"/>
  <c r="AW1210" i="14"/>
  <c r="AV1210" i="14"/>
  <c r="AU1210" i="14"/>
  <c r="AT1210" i="14"/>
  <c r="AS1210" i="14"/>
  <c r="AR1210" i="14"/>
  <c r="AQ1210" i="14"/>
  <c r="AP1210" i="14"/>
  <c r="AO1210" i="14"/>
  <c r="AN1210" i="14"/>
  <c r="AM1210" i="14"/>
  <c r="AL1210" i="14"/>
  <c r="AK1210" i="14"/>
  <c r="AJ1210" i="14"/>
  <c r="AI1210" i="14"/>
  <c r="AH1210" i="14"/>
  <c r="AG1210" i="14"/>
  <c r="AF1210" i="14"/>
  <c r="AE1210" i="14"/>
  <c r="AD1210" i="14"/>
  <c r="AC1210" i="14"/>
  <c r="AB1210" i="14"/>
  <c r="AA1210" i="14"/>
  <c r="Z1210" i="14"/>
  <c r="Y1210" i="14"/>
  <c r="X1210" i="14"/>
  <c r="W1210" i="14"/>
  <c r="V1210" i="14"/>
  <c r="U1210" i="14"/>
  <c r="T1210" i="14"/>
  <c r="S1210" i="14"/>
  <c r="R1210" i="14"/>
  <c r="Q1210" i="14"/>
  <c r="P1210" i="14"/>
  <c r="O1210" i="14"/>
  <c r="N1210" i="14"/>
  <c r="M1210" i="14"/>
  <c r="L1210" i="14"/>
  <c r="K1210" i="14"/>
  <c r="J1210" i="14"/>
  <c r="I1210" i="14"/>
  <c r="BY1188" i="14"/>
  <c r="BX1188" i="14"/>
  <c r="BW1188" i="14"/>
  <c r="BV1188" i="14"/>
  <c r="BU1188" i="14"/>
  <c r="BT1188" i="14"/>
  <c r="BS1188" i="14"/>
  <c r="BR1188" i="14"/>
  <c r="BQ1188" i="14"/>
  <c r="BP1188" i="14"/>
  <c r="BO1188" i="14"/>
  <c r="BN1188" i="14"/>
  <c r="BM1188" i="14"/>
  <c r="BL1188" i="14"/>
  <c r="BK1188" i="14"/>
  <c r="BJ1188" i="14"/>
  <c r="BI1188" i="14"/>
  <c r="BH1188" i="14"/>
  <c r="BG1188" i="14"/>
  <c r="BF1188" i="14"/>
  <c r="BE1188" i="14"/>
  <c r="BD1188" i="14"/>
  <c r="BC1188" i="14"/>
  <c r="BB1188" i="14"/>
  <c r="BA1188" i="14"/>
  <c r="AZ1188" i="14"/>
  <c r="AY1188" i="14"/>
  <c r="AX1188" i="14"/>
  <c r="AW1188" i="14"/>
  <c r="AV1188" i="14"/>
  <c r="AU1188" i="14"/>
  <c r="AT1188" i="14"/>
  <c r="AS1188" i="14"/>
  <c r="AR1188" i="14"/>
  <c r="AQ1188" i="14"/>
  <c r="AP1188" i="14"/>
  <c r="AO1188" i="14"/>
  <c r="AN1188" i="14"/>
  <c r="AM1188" i="14"/>
  <c r="AL1188" i="14"/>
  <c r="AK1188" i="14"/>
  <c r="AJ1188" i="14"/>
  <c r="AI1188" i="14"/>
  <c r="AH1188" i="14"/>
  <c r="AG1188" i="14"/>
  <c r="AF1188" i="14"/>
  <c r="AE1188" i="14"/>
  <c r="AD1188" i="14"/>
  <c r="AC1188" i="14"/>
  <c r="AB1188" i="14"/>
  <c r="AA1188" i="14"/>
  <c r="Z1188" i="14"/>
  <c r="Y1188" i="14"/>
  <c r="X1188" i="14"/>
  <c r="W1188" i="14"/>
  <c r="V1188" i="14"/>
  <c r="U1188" i="14"/>
  <c r="T1188" i="14"/>
  <c r="S1188" i="14"/>
  <c r="R1188" i="14"/>
  <c r="Q1188" i="14"/>
  <c r="P1188" i="14"/>
  <c r="O1188" i="14"/>
  <c r="N1188" i="14"/>
  <c r="M1188" i="14"/>
  <c r="L1188" i="14"/>
  <c r="K1188" i="14"/>
  <c r="J1188" i="14"/>
  <c r="I1188" i="14"/>
  <c r="B1250" i="14"/>
  <c r="B1206" i="14"/>
  <c r="B1185" i="14"/>
  <c r="G409" i="11"/>
  <c r="G421" i="11"/>
  <c r="G443" i="11"/>
  <c r="AE1126" i="14" l="1"/>
  <c r="W30" i="25"/>
  <c r="W27" i="25"/>
  <c r="W29" i="25"/>
  <c r="W127" i="25"/>
  <c r="AG1098" i="14"/>
  <c r="AF1091" i="14"/>
  <c r="W4" i="25"/>
  <c r="X3" i="25" s="1"/>
  <c r="X28" i="25" s="1"/>
  <c r="AE1158" i="14"/>
  <c r="AF1168" i="14"/>
  <c r="AE1175" i="14"/>
  <c r="AE1111" i="14"/>
  <c r="X228" i="14"/>
  <c r="H1263" i="14"/>
  <c r="H1254" i="14"/>
  <c r="H1229" i="14"/>
  <c r="H1198" i="14"/>
  <c r="H1189" i="14"/>
  <c r="H1211" i="14"/>
  <c r="I1211" i="14" s="1"/>
  <c r="H1220" i="14"/>
  <c r="AF1126" i="14" l="1"/>
  <c r="X27" i="25"/>
  <c r="X30" i="25"/>
  <c r="X29" i="25"/>
  <c r="X127" i="25"/>
  <c r="AH1098" i="14"/>
  <c r="I1263" i="14"/>
  <c r="I1229" i="14"/>
  <c r="AG1091" i="14"/>
  <c r="X4" i="25"/>
  <c r="Y3" i="25" s="1"/>
  <c r="Y28" i="25" s="1"/>
  <c r="AF1158" i="14"/>
  <c r="AG1168" i="14"/>
  <c r="AF1175" i="14"/>
  <c r="AF1111" i="14"/>
  <c r="Y228" i="14"/>
  <c r="I1189" i="14"/>
  <c r="J1211" i="14"/>
  <c r="K1211" i="14" s="1"/>
  <c r="I1254" i="14"/>
  <c r="J1263" i="14" s="1"/>
  <c r="I1238" i="14"/>
  <c r="I1220" i="14"/>
  <c r="I1198" i="14"/>
  <c r="AG1126" i="14" l="1"/>
  <c r="Y30" i="25"/>
  <c r="Y27" i="25"/>
  <c r="Y29" i="25"/>
  <c r="Y127" i="25"/>
  <c r="AI1098" i="14"/>
  <c r="J1229" i="14"/>
  <c r="AH1091" i="14"/>
  <c r="Y4" i="25"/>
  <c r="Z3" i="25" s="1"/>
  <c r="Z28" i="25" s="1"/>
  <c r="AG1158" i="14"/>
  <c r="AH1168" i="14"/>
  <c r="AG1175" i="14"/>
  <c r="AG1111" i="14"/>
  <c r="Z228" i="14"/>
  <c r="J1189" i="14"/>
  <c r="J1254" i="14"/>
  <c r="K1263" i="14" s="1"/>
  <c r="J1198" i="14"/>
  <c r="J1220" i="14"/>
  <c r="J1238" i="14"/>
  <c r="L1211" i="14"/>
  <c r="AH1126" i="14" l="1"/>
  <c r="Z30" i="25"/>
  <c r="Z29" i="25"/>
  <c r="Z27" i="25"/>
  <c r="Z127" i="25"/>
  <c r="AJ1098" i="14"/>
  <c r="K1229" i="14"/>
  <c r="AI1091" i="14"/>
  <c r="Z4" i="25"/>
  <c r="AA3" i="25" s="1"/>
  <c r="AA28" i="25" s="1"/>
  <c r="AH1158" i="14"/>
  <c r="AI1168" i="14"/>
  <c r="AH1175" i="14"/>
  <c r="AH1111" i="14"/>
  <c r="AA228" i="14"/>
  <c r="K1189" i="14"/>
  <c r="K1254" i="14"/>
  <c r="L1263" i="14" s="1"/>
  <c r="K1238" i="14"/>
  <c r="K1198" i="14"/>
  <c r="K1220" i="14"/>
  <c r="M1211" i="14"/>
  <c r="AI1126" i="14" l="1"/>
  <c r="AA27" i="25"/>
  <c r="AA29" i="25"/>
  <c r="AA30" i="25"/>
  <c r="AA127" i="25"/>
  <c r="AK1098" i="14"/>
  <c r="L1229" i="14"/>
  <c r="AJ1091" i="14"/>
  <c r="AA4" i="25"/>
  <c r="AB3" i="25" s="1"/>
  <c r="AB28" i="25" s="1"/>
  <c r="AI1158" i="14"/>
  <c r="AJ1168" i="14"/>
  <c r="AI1175" i="14"/>
  <c r="AI1111" i="14"/>
  <c r="AB228" i="14"/>
  <c r="L1254" i="14"/>
  <c r="M1263" i="14" s="1"/>
  <c r="L1189" i="14"/>
  <c r="L1220" i="14"/>
  <c r="L1198" i="14"/>
  <c r="L1238" i="14"/>
  <c r="N1211" i="14"/>
  <c r="AJ1126" i="14" l="1"/>
  <c r="AB27" i="25"/>
  <c r="AB29" i="25"/>
  <c r="AB30" i="25"/>
  <c r="AB127" i="25"/>
  <c r="AL1098" i="14"/>
  <c r="M1229" i="14"/>
  <c r="AK1091" i="14"/>
  <c r="AB4" i="25"/>
  <c r="AC3" i="25" s="1"/>
  <c r="AC28" i="25" s="1"/>
  <c r="AJ1158" i="14"/>
  <c r="AK1168" i="14"/>
  <c r="AJ1175" i="14"/>
  <c r="AJ1111" i="14"/>
  <c r="AC228" i="14"/>
  <c r="M1254" i="14"/>
  <c r="N1263" i="14" s="1"/>
  <c r="M1189" i="14"/>
  <c r="M1238" i="14"/>
  <c r="M1198" i="14"/>
  <c r="M1220" i="14"/>
  <c r="O1211" i="14"/>
  <c r="AK1126" i="14" l="1"/>
  <c r="AC29" i="25"/>
  <c r="AC30" i="25"/>
  <c r="AC27" i="25"/>
  <c r="AC127" i="25"/>
  <c r="AM1098" i="14"/>
  <c r="N1229" i="14"/>
  <c r="AL1091" i="14"/>
  <c r="AC4" i="25"/>
  <c r="AD3" i="25" s="1"/>
  <c r="AD28" i="25" s="1"/>
  <c r="AK1158" i="14"/>
  <c r="AL1168" i="14"/>
  <c r="AK1175" i="14"/>
  <c r="AK1111" i="14"/>
  <c r="N1254" i="14"/>
  <c r="O1263" i="14" s="1"/>
  <c r="AD228" i="14"/>
  <c r="AE228" i="14" s="1"/>
  <c r="N1189" i="14"/>
  <c r="N1220" i="14"/>
  <c r="N1198" i="14"/>
  <c r="N1238" i="14"/>
  <c r="P1211" i="14"/>
  <c r="AL1126" i="14" l="1"/>
  <c r="AD30" i="25"/>
  <c r="AD29" i="25"/>
  <c r="AD27" i="25"/>
  <c r="AD127" i="25"/>
  <c r="AN1098" i="14"/>
  <c r="O1229" i="14"/>
  <c r="AM1091" i="14"/>
  <c r="AD4" i="25"/>
  <c r="AE3" i="25" s="1"/>
  <c r="AE28" i="25" s="1"/>
  <c r="AL1158" i="14"/>
  <c r="AM1168" i="14"/>
  <c r="AL1175" i="14"/>
  <c r="AL1111" i="14"/>
  <c r="O1254" i="14"/>
  <c r="P1263" i="14" s="1"/>
  <c r="AF228" i="14"/>
  <c r="AG228" i="14" s="1"/>
  <c r="AH228" i="14" s="1"/>
  <c r="O1189" i="14"/>
  <c r="O1238" i="14"/>
  <c r="O1198" i="14"/>
  <c r="O1220" i="14"/>
  <c r="Q1211" i="14"/>
  <c r="AM1126" i="14" l="1"/>
  <c r="AE30" i="25"/>
  <c r="AE27" i="25"/>
  <c r="AE29" i="25"/>
  <c r="AE127" i="25"/>
  <c r="AO1098" i="14"/>
  <c r="P1229" i="14"/>
  <c r="AN1091" i="14"/>
  <c r="AE4" i="25"/>
  <c r="AF3" i="25" s="1"/>
  <c r="AF28" i="25" s="1"/>
  <c r="AM1158" i="14"/>
  <c r="P1254" i="14"/>
  <c r="Q1263" i="14" s="1"/>
  <c r="AN1168" i="14"/>
  <c r="AM1175" i="14"/>
  <c r="AM1111" i="14"/>
  <c r="AI228" i="14"/>
  <c r="P1189" i="14"/>
  <c r="P1198" i="14"/>
  <c r="P1220" i="14"/>
  <c r="P1238" i="14"/>
  <c r="R1211" i="14"/>
  <c r="AN1126" i="14" l="1"/>
  <c r="AF27" i="25"/>
  <c r="AF29" i="25"/>
  <c r="AF127" i="25"/>
  <c r="AF30" i="25"/>
  <c r="AP1098" i="14"/>
  <c r="Q1229" i="14"/>
  <c r="AO1091" i="14"/>
  <c r="AF4" i="25"/>
  <c r="AG3" i="25" s="1"/>
  <c r="AG28" i="25" s="1"/>
  <c r="AN1158" i="14"/>
  <c r="Q1254" i="14"/>
  <c r="R1263" i="14" s="1"/>
  <c r="AO1168" i="14"/>
  <c r="AN1175" i="14"/>
  <c r="AN1111" i="14"/>
  <c r="AJ228" i="14"/>
  <c r="Q1189" i="14"/>
  <c r="Q1238" i="14"/>
  <c r="Q1220" i="14"/>
  <c r="Q1198" i="14"/>
  <c r="S1211" i="14"/>
  <c r="AO1126" i="14" l="1"/>
  <c r="AG30" i="25"/>
  <c r="AG27" i="25"/>
  <c r="AG29" i="25"/>
  <c r="AG127" i="25"/>
  <c r="AQ1098" i="14"/>
  <c r="R1229" i="14"/>
  <c r="AP1091" i="14"/>
  <c r="AG4" i="25"/>
  <c r="AH3" i="25" s="1"/>
  <c r="AH28" i="25" s="1"/>
  <c r="R1254" i="14"/>
  <c r="S1254" i="14" s="1"/>
  <c r="AO1158" i="14"/>
  <c r="AP1168" i="14"/>
  <c r="AO1175" i="14"/>
  <c r="AO1111" i="14"/>
  <c r="AK228" i="14"/>
  <c r="R1189" i="14"/>
  <c r="R1198" i="14"/>
  <c r="R1238" i="14"/>
  <c r="R1220" i="14"/>
  <c r="T1211" i="14"/>
  <c r="AP1126" i="14" l="1"/>
  <c r="AH27" i="25"/>
  <c r="AH29" i="25"/>
  <c r="AH127" i="25"/>
  <c r="AH30" i="25"/>
  <c r="AR1098" i="14"/>
  <c r="S1229" i="14"/>
  <c r="S1263" i="14"/>
  <c r="AQ1091" i="14"/>
  <c r="AH4" i="25"/>
  <c r="AI3" i="25" s="1"/>
  <c r="AI28" i="25" s="1"/>
  <c r="AP1158" i="14"/>
  <c r="AQ1168" i="14"/>
  <c r="AP1175" i="14"/>
  <c r="AP1111" i="14"/>
  <c r="AL228" i="14"/>
  <c r="S1189" i="14"/>
  <c r="T1263" i="14"/>
  <c r="S1220" i="14"/>
  <c r="S1198" i="14"/>
  <c r="S1238" i="14"/>
  <c r="T1254" i="14"/>
  <c r="U1211" i="14"/>
  <c r="AQ1126" i="14" l="1"/>
  <c r="AI30" i="25"/>
  <c r="AI27" i="25"/>
  <c r="AI29" i="25"/>
  <c r="AI127" i="25"/>
  <c r="AS1098" i="14"/>
  <c r="T1229" i="14"/>
  <c r="AR1091" i="14"/>
  <c r="AI4" i="25"/>
  <c r="AJ3" i="25" s="1"/>
  <c r="AJ28" i="25" s="1"/>
  <c r="AQ1158" i="14"/>
  <c r="AR1168" i="14"/>
  <c r="AQ1175" i="14"/>
  <c r="AQ1111" i="14"/>
  <c r="AM228" i="14"/>
  <c r="T1189" i="14"/>
  <c r="U1263" i="14"/>
  <c r="T1198" i="14"/>
  <c r="T1220" i="14"/>
  <c r="T1238" i="14"/>
  <c r="U1254" i="14"/>
  <c r="V1211" i="14"/>
  <c r="AR1126" i="14" l="1"/>
  <c r="AJ27" i="25"/>
  <c r="AJ29" i="25"/>
  <c r="AJ127" i="25"/>
  <c r="AJ30" i="25"/>
  <c r="AT1098" i="14"/>
  <c r="U1229" i="14"/>
  <c r="AS1091" i="14"/>
  <c r="AJ4" i="25"/>
  <c r="AK3" i="25" s="1"/>
  <c r="AK28" i="25" s="1"/>
  <c r="AR1158" i="14"/>
  <c r="AS1168" i="14"/>
  <c r="AR1175" i="14"/>
  <c r="AR1111" i="14"/>
  <c r="AN228" i="14"/>
  <c r="U1189" i="14"/>
  <c r="V1263" i="14"/>
  <c r="U1238" i="14"/>
  <c r="U1220" i="14"/>
  <c r="U1198" i="14"/>
  <c r="V1254" i="14"/>
  <c r="W1211" i="14"/>
  <c r="AS1126" i="14" l="1"/>
  <c r="AK29" i="25"/>
  <c r="AK127" i="25"/>
  <c r="AK30" i="25"/>
  <c r="AK27" i="25"/>
  <c r="AU1098" i="14"/>
  <c r="V1229" i="14"/>
  <c r="AT1091" i="14"/>
  <c r="AK4" i="25"/>
  <c r="AL3" i="25" s="1"/>
  <c r="AL28" i="25" s="1"/>
  <c r="AS1158" i="14"/>
  <c r="AT1168" i="14"/>
  <c r="AS1175" i="14"/>
  <c r="AS1111" i="14"/>
  <c r="AO228" i="14"/>
  <c r="V1189" i="14"/>
  <c r="W1263" i="14"/>
  <c r="V1198" i="14"/>
  <c r="V1220" i="14"/>
  <c r="V1238" i="14"/>
  <c r="W1254" i="14"/>
  <c r="X1211" i="14"/>
  <c r="AT1126" i="14" l="1"/>
  <c r="AL30" i="25"/>
  <c r="AL29" i="25"/>
  <c r="AL127" i="25"/>
  <c r="AL27" i="25"/>
  <c r="AV1098" i="14"/>
  <c r="W1229" i="14"/>
  <c r="AU1091" i="14"/>
  <c r="AL4" i="25"/>
  <c r="AM3" i="25" s="1"/>
  <c r="AM28" i="25" s="1"/>
  <c r="AT1158" i="14"/>
  <c r="AU1168" i="14"/>
  <c r="AT1175" i="14"/>
  <c r="AT1111" i="14"/>
  <c r="AP228" i="14"/>
  <c r="W1189" i="14"/>
  <c r="X1263" i="14"/>
  <c r="W1220" i="14"/>
  <c r="W1238" i="14"/>
  <c r="W1198" i="14"/>
  <c r="X1254" i="14"/>
  <c r="Y1211" i="14"/>
  <c r="AU1126" i="14" l="1"/>
  <c r="AM27" i="25"/>
  <c r="AM30" i="25"/>
  <c r="AM29" i="25"/>
  <c r="AM127" i="25"/>
  <c r="AW1098" i="14"/>
  <c r="X1229" i="14"/>
  <c r="AV1091" i="14"/>
  <c r="AM4" i="25"/>
  <c r="AN3" i="25" s="1"/>
  <c r="AN28" i="25" s="1"/>
  <c r="AU1158" i="14"/>
  <c r="AV1168" i="14"/>
  <c r="AU1175" i="14"/>
  <c r="AU1111" i="14"/>
  <c r="AQ228" i="14"/>
  <c r="X1189" i="14"/>
  <c r="Y1263" i="14"/>
  <c r="X1198" i="14"/>
  <c r="X1238" i="14"/>
  <c r="X1220" i="14"/>
  <c r="Y1254" i="14"/>
  <c r="Z1211" i="14"/>
  <c r="AV1126" i="14" l="1"/>
  <c r="AN30" i="25"/>
  <c r="AN29" i="25"/>
  <c r="AN127" i="25"/>
  <c r="AN27" i="25"/>
  <c r="AX1098" i="14"/>
  <c r="Y1229" i="14"/>
  <c r="AW1091" i="14"/>
  <c r="AN4" i="25"/>
  <c r="AO3" i="25" s="1"/>
  <c r="AO28" i="25" s="1"/>
  <c r="AV1158" i="14"/>
  <c r="AW1168" i="14"/>
  <c r="AV1175" i="14"/>
  <c r="AV1111" i="14"/>
  <c r="AR228" i="14"/>
  <c r="Y1189" i="14"/>
  <c r="Z1263" i="14"/>
  <c r="Y1220" i="14"/>
  <c r="Y1238" i="14"/>
  <c r="Y1198" i="14"/>
  <c r="Z1254" i="14"/>
  <c r="AA1211" i="14"/>
  <c r="AW1126" i="14" l="1"/>
  <c r="AO27" i="25"/>
  <c r="AO30" i="25"/>
  <c r="AO29" i="25"/>
  <c r="AO127" i="25"/>
  <c r="AY1098" i="14"/>
  <c r="Z1229" i="14"/>
  <c r="AX1091" i="14"/>
  <c r="AO4" i="25"/>
  <c r="AP3" i="25" s="1"/>
  <c r="AP28" i="25" s="1"/>
  <c r="AW1158" i="14"/>
  <c r="AX1168" i="14"/>
  <c r="AW1175" i="14"/>
  <c r="AW1111" i="14"/>
  <c r="AS228" i="14"/>
  <c r="Z1189" i="14"/>
  <c r="AA1263" i="14"/>
  <c r="Z1198" i="14"/>
  <c r="Z1238" i="14"/>
  <c r="Z1220" i="14"/>
  <c r="AA1254" i="14"/>
  <c r="AB1211" i="14"/>
  <c r="AX1126" i="14" l="1"/>
  <c r="AP30" i="25"/>
  <c r="AP29" i="25"/>
  <c r="AP127" i="25"/>
  <c r="AP27" i="25"/>
  <c r="AZ1098" i="14"/>
  <c r="AA1229" i="14"/>
  <c r="AY1091" i="14"/>
  <c r="AP4" i="25"/>
  <c r="AQ3" i="25" s="1"/>
  <c r="AQ28" i="25" s="1"/>
  <c r="AX1158" i="14"/>
  <c r="AY1168" i="14"/>
  <c r="AX1175" i="14"/>
  <c r="AX1111" i="14"/>
  <c r="AT228" i="14"/>
  <c r="AU228" i="14" s="1"/>
  <c r="AA1189" i="14"/>
  <c r="AB1263" i="14"/>
  <c r="AA1220" i="14"/>
  <c r="AA1238" i="14"/>
  <c r="AA1198" i="14"/>
  <c r="AB1254" i="14"/>
  <c r="AC1211" i="14"/>
  <c r="AQ27" i="25" l="1"/>
  <c r="AY1126" i="14"/>
  <c r="AQ30" i="25"/>
  <c r="AQ29" i="25"/>
  <c r="AQ127" i="25"/>
  <c r="BA1098" i="14"/>
  <c r="AB1229" i="14"/>
  <c r="AZ1091" i="14"/>
  <c r="AQ4" i="25"/>
  <c r="AR3" i="25" s="1"/>
  <c r="AR28" i="25" s="1"/>
  <c r="AY1158" i="14"/>
  <c r="AZ1168" i="14"/>
  <c r="AY1175" i="14"/>
  <c r="AY1111" i="14"/>
  <c r="AV228" i="14"/>
  <c r="AW228" i="14" s="1"/>
  <c r="AX228" i="14" s="1"/>
  <c r="AB1189" i="14"/>
  <c r="AC1263" i="14"/>
  <c r="AB1238" i="14"/>
  <c r="AB1198" i="14"/>
  <c r="AB1220" i="14"/>
  <c r="AC1254" i="14"/>
  <c r="AD1211" i="14"/>
  <c r="AR27" i="25" l="1"/>
  <c r="AZ1126" i="14"/>
  <c r="AR30" i="25"/>
  <c r="AR29" i="25"/>
  <c r="AR127" i="25"/>
  <c r="BB1098" i="14"/>
  <c r="AC1229" i="14"/>
  <c r="BA1091" i="14"/>
  <c r="AR4" i="25"/>
  <c r="AS3" i="25" s="1"/>
  <c r="AS28" i="25" s="1"/>
  <c r="AZ1158" i="14"/>
  <c r="BA1168" i="14"/>
  <c r="AZ1175" i="14"/>
  <c r="AZ1111" i="14"/>
  <c r="AY228" i="14"/>
  <c r="AC1189" i="14"/>
  <c r="AD1263" i="14"/>
  <c r="AC1220" i="14"/>
  <c r="AC1198" i="14"/>
  <c r="AC1238" i="14"/>
  <c r="AD1254" i="14"/>
  <c r="AE1211" i="14"/>
  <c r="BA1126" i="14" l="1"/>
  <c r="AS30" i="25"/>
  <c r="AS29" i="25"/>
  <c r="AS127" i="25"/>
  <c r="AS27" i="25"/>
  <c r="BC1098" i="14"/>
  <c r="AD1229" i="14"/>
  <c r="BB1091" i="14"/>
  <c r="AS4" i="25"/>
  <c r="AT3" i="25" s="1"/>
  <c r="AT28" i="25" s="1"/>
  <c r="BA1158" i="14"/>
  <c r="BB1168" i="14"/>
  <c r="BA1175" i="14"/>
  <c r="BA1111" i="14"/>
  <c r="AZ228" i="14"/>
  <c r="AD1189" i="14"/>
  <c r="AE1263" i="14"/>
  <c r="AD1220" i="14"/>
  <c r="AD1238" i="14"/>
  <c r="AD1198" i="14"/>
  <c r="AE1254" i="14"/>
  <c r="AF1211" i="14"/>
  <c r="G475" i="11"/>
  <c r="G474" i="11"/>
  <c r="H1293" i="14" s="1"/>
  <c r="G473" i="11"/>
  <c r="G472" i="11"/>
  <c r="BB1126" i="14" l="1"/>
  <c r="AT30" i="25"/>
  <c r="AT29" i="25"/>
  <c r="AT127" i="25"/>
  <c r="AT27" i="25"/>
  <c r="BD1098" i="14"/>
  <c r="AE1229" i="14"/>
  <c r="BC1091" i="14"/>
  <c r="AT4" i="25"/>
  <c r="AU3" i="25" s="1"/>
  <c r="AU28" i="25" s="1"/>
  <c r="BB1158" i="14"/>
  <c r="BC1168" i="14"/>
  <c r="BB1175" i="14"/>
  <c r="BB1111" i="14"/>
  <c r="BA228" i="14"/>
  <c r="AE1189" i="14"/>
  <c r="AF1263" i="14"/>
  <c r="AE1198" i="14"/>
  <c r="AE1220" i="14"/>
  <c r="AE1238" i="14"/>
  <c r="AF1254" i="14"/>
  <c r="AG1211" i="14"/>
  <c r="A1271" i="14"/>
  <c r="D5" i="20"/>
  <c r="B58" i="20"/>
  <c r="F590" i="14"/>
  <c r="C1011" i="14"/>
  <c r="C1010" i="14"/>
  <c r="C979" i="14"/>
  <c r="C978" i="14"/>
  <c r="F1039" i="14"/>
  <c r="F1037" i="14"/>
  <c r="F1036" i="14"/>
  <c r="F1035" i="14"/>
  <c r="F1034" i="14"/>
  <c r="F1033" i="14"/>
  <c r="F1032" i="14"/>
  <c r="F1031" i="14"/>
  <c r="F1030" i="14"/>
  <c r="F1029" i="14"/>
  <c r="F1028" i="14"/>
  <c r="F1027" i="14"/>
  <c r="F1026" i="14"/>
  <c r="H1025" i="14"/>
  <c r="F1025" i="14"/>
  <c r="F1011" i="14"/>
  <c r="F1007" i="14"/>
  <c r="F1005" i="14"/>
  <c r="F1004" i="14"/>
  <c r="F1003" i="14"/>
  <c r="F1002" i="14"/>
  <c r="F1001" i="14"/>
  <c r="F1000" i="14"/>
  <c r="F999" i="14"/>
  <c r="F998" i="14"/>
  <c r="F997" i="14"/>
  <c r="F996" i="14"/>
  <c r="F995" i="14"/>
  <c r="F994" i="14"/>
  <c r="H993" i="14"/>
  <c r="H994" i="14" s="1"/>
  <c r="F993" i="14"/>
  <c r="F979" i="14"/>
  <c r="F974" i="14"/>
  <c r="C868" i="14"/>
  <c r="C867" i="14"/>
  <c r="H246" i="11"/>
  <c r="H586" i="14" s="1"/>
  <c r="I586" i="14" s="1"/>
  <c r="J586" i="14" s="1"/>
  <c r="K586" i="14" s="1"/>
  <c r="L586" i="14" s="1"/>
  <c r="M586" i="14" s="1"/>
  <c r="N586" i="14" s="1"/>
  <c r="O586" i="14" s="1"/>
  <c r="P586" i="14" s="1"/>
  <c r="Q586" i="14" s="1"/>
  <c r="R586" i="14" s="1"/>
  <c r="S586" i="14" s="1"/>
  <c r="T586" i="14" s="1"/>
  <c r="U586" i="14" s="1"/>
  <c r="V586" i="14" s="1"/>
  <c r="W586" i="14" s="1"/>
  <c r="X586" i="14" s="1"/>
  <c r="Y586" i="14" s="1"/>
  <c r="Z586" i="14" s="1"/>
  <c r="AA586" i="14" s="1"/>
  <c r="AB586" i="14" s="1"/>
  <c r="AC586" i="14" s="1"/>
  <c r="AD586" i="14" s="1"/>
  <c r="AE586" i="14" s="1"/>
  <c r="AF586" i="14" s="1"/>
  <c r="AG586" i="14" s="1"/>
  <c r="AH586" i="14" s="1"/>
  <c r="AI586" i="14" s="1"/>
  <c r="AJ586" i="14" s="1"/>
  <c r="AK586" i="14" s="1"/>
  <c r="AL586" i="14" s="1"/>
  <c r="AM586" i="14" s="1"/>
  <c r="AN586" i="14" s="1"/>
  <c r="AO586" i="14" s="1"/>
  <c r="AP586" i="14" s="1"/>
  <c r="AQ586" i="14" s="1"/>
  <c r="AR586" i="14" s="1"/>
  <c r="AS586" i="14" s="1"/>
  <c r="AT586" i="14" s="1"/>
  <c r="AU586" i="14" s="1"/>
  <c r="AV586" i="14" s="1"/>
  <c r="AW586" i="14" s="1"/>
  <c r="AX586" i="14" s="1"/>
  <c r="AY586" i="14" s="1"/>
  <c r="AZ586" i="14" s="1"/>
  <c r="BA586" i="14" s="1"/>
  <c r="BB586" i="14" s="1"/>
  <c r="BC586" i="14" s="1"/>
  <c r="BD586" i="14" s="1"/>
  <c r="BE586" i="14" s="1"/>
  <c r="BF586" i="14" s="1"/>
  <c r="BG586" i="14" s="1"/>
  <c r="BH586" i="14" s="1"/>
  <c r="BI586" i="14" s="1"/>
  <c r="BJ586" i="14" s="1"/>
  <c r="BK586" i="14" s="1"/>
  <c r="BL586" i="14" s="1"/>
  <c r="BM586" i="14" s="1"/>
  <c r="BN586" i="14" s="1"/>
  <c r="BO586" i="14" s="1"/>
  <c r="BP586" i="14" s="1"/>
  <c r="BQ586" i="14" s="1"/>
  <c r="BR586" i="14" s="1"/>
  <c r="BS586" i="14" s="1"/>
  <c r="BT586" i="14" s="1"/>
  <c r="BU586" i="14" s="1"/>
  <c r="BV586" i="14" s="1"/>
  <c r="BW586" i="14" s="1"/>
  <c r="BX586" i="14" s="1"/>
  <c r="BY586" i="14" s="1"/>
  <c r="C836" i="14"/>
  <c r="C835" i="14"/>
  <c r="C764" i="14"/>
  <c r="C763" i="14"/>
  <c r="F896" i="14"/>
  <c r="F894" i="14"/>
  <c r="F893" i="14"/>
  <c r="F892" i="14"/>
  <c r="F891" i="14"/>
  <c r="F890" i="14"/>
  <c r="F889" i="14"/>
  <c r="F888" i="14"/>
  <c r="F887" i="14"/>
  <c r="F886" i="14"/>
  <c r="F885" i="14"/>
  <c r="F884" i="14"/>
  <c r="F883" i="14"/>
  <c r="H882" i="14"/>
  <c r="H883" i="14" s="1"/>
  <c r="F882" i="14"/>
  <c r="F868" i="14"/>
  <c r="F864" i="14"/>
  <c r="F862" i="14"/>
  <c r="F861" i="14"/>
  <c r="F860" i="14"/>
  <c r="F859" i="14"/>
  <c r="F858" i="14"/>
  <c r="F857" i="14"/>
  <c r="F856" i="14"/>
  <c r="F855" i="14"/>
  <c r="F854" i="14"/>
  <c r="F853" i="14"/>
  <c r="F852" i="14"/>
  <c r="F851" i="14"/>
  <c r="H850" i="14"/>
  <c r="H851" i="14" s="1"/>
  <c r="F850" i="14"/>
  <c r="F836" i="14"/>
  <c r="F831" i="14"/>
  <c r="F824" i="14"/>
  <c r="F822" i="14"/>
  <c r="F821" i="14"/>
  <c r="F820" i="14"/>
  <c r="F819" i="14"/>
  <c r="F818" i="14"/>
  <c r="F817" i="14"/>
  <c r="F816" i="14"/>
  <c r="F815" i="14"/>
  <c r="F814" i="14"/>
  <c r="F813" i="14"/>
  <c r="F812" i="14"/>
  <c r="F811" i="14"/>
  <c r="H810" i="14"/>
  <c r="F810" i="14"/>
  <c r="F796" i="14"/>
  <c r="F792" i="14"/>
  <c r="F790" i="14"/>
  <c r="F789" i="14"/>
  <c r="F788" i="14"/>
  <c r="F787" i="14"/>
  <c r="F786" i="14"/>
  <c r="F785" i="14"/>
  <c r="F784" i="14"/>
  <c r="F783" i="14"/>
  <c r="F782" i="14"/>
  <c r="F781" i="14"/>
  <c r="F780" i="14"/>
  <c r="F779" i="14"/>
  <c r="H778" i="14"/>
  <c r="H779" i="14" s="1"/>
  <c r="F778" i="14"/>
  <c r="F764" i="14"/>
  <c r="F759" i="14"/>
  <c r="C459" i="14"/>
  <c r="C458" i="14"/>
  <c r="F519" i="14"/>
  <c r="F517" i="14"/>
  <c r="F516" i="14"/>
  <c r="F515" i="14"/>
  <c r="F514" i="14"/>
  <c r="F513" i="14"/>
  <c r="F512" i="14"/>
  <c r="F511" i="14"/>
  <c r="F510" i="14"/>
  <c r="F509" i="14"/>
  <c r="F508" i="14"/>
  <c r="F507" i="14"/>
  <c r="F506" i="14"/>
  <c r="H505" i="14"/>
  <c r="F505" i="14"/>
  <c r="F491" i="14"/>
  <c r="C491" i="14"/>
  <c r="C490" i="14"/>
  <c r="F487" i="14"/>
  <c r="F485" i="14"/>
  <c r="F484" i="14"/>
  <c r="F483" i="14"/>
  <c r="F482" i="14"/>
  <c r="F481" i="14"/>
  <c r="F480" i="14"/>
  <c r="F479" i="14"/>
  <c r="F478" i="14"/>
  <c r="F477" i="14"/>
  <c r="F476" i="14"/>
  <c r="F475" i="14"/>
  <c r="F474" i="14"/>
  <c r="H473" i="14"/>
  <c r="H474" i="14" s="1"/>
  <c r="F473" i="14"/>
  <c r="F459" i="14"/>
  <c r="F454" i="14"/>
  <c r="H352" i="11"/>
  <c r="G352" i="11"/>
  <c r="C347" i="14"/>
  <c r="C346" i="14"/>
  <c r="C315" i="14"/>
  <c r="C314" i="14"/>
  <c r="F375" i="14"/>
  <c r="F373" i="14"/>
  <c r="F372" i="14"/>
  <c r="F371" i="14"/>
  <c r="F370" i="14"/>
  <c r="F369" i="14"/>
  <c r="F368" i="14"/>
  <c r="F367" i="14"/>
  <c r="F366" i="14"/>
  <c r="F365" i="14"/>
  <c r="F364" i="14"/>
  <c r="F363" i="14"/>
  <c r="F362" i="14"/>
  <c r="H361" i="14"/>
  <c r="F361" i="14"/>
  <c r="F347" i="14"/>
  <c r="F343" i="14"/>
  <c r="F341" i="14"/>
  <c r="F340" i="14"/>
  <c r="F339" i="14"/>
  <c r="F338" i="14"/>
  <c r="F337" i="14"/>
  <c r="F336" i="14"/>
  <c r="F335" i="14"/>
  <c r="F334" i="14"/>
  <c r="F333" i="14"/>
  <c r="F332" i="14"/>
  <c r="F331" i="14"/>
  <c r="F330" i="14"/>
  <c r="H329" i="14"/>
  <c r="H330" i="14" s="1"/>
  <c r="F329" i="14"/>
  <c r="F315" i="14"/>
  <c r="F310" i="14"/>
  <c r="G246" i="11"/>
  <c r="H289" i="14"/>
  <c r="C243" i="14"/>
  <c r="C242" i="14"/>
  <c r="F303" i="14"/>
  <c r="F301" i="14"/>
  <c r="F300" i="14"/>
  <c r="F299" i="14"/>
  <c r="F298" i="14"/>
  <c r="F297" i="14"/>
  <c r="F296" i="14"/>
  <c r="F295" i="14"/>
  <c r="F294" i="14"/>
  <c r="F293" i="14"/>
  <c r="F292" i="14"/>
  <c r="F291" i="14"/>
  <c r="F290" i="14"/>
  <c r="F289" i="14"/>
  <c r="F275" i="14"/>
  <c r="C275" i="14"/>
  <c r="C274" i="14"/>
  <c r="F271" i="14"/>
  <c r="F269" i="14"/>
  <c r="F268" i="14"/>
  <c r="F267" i="14"/>
  <c r="F266" i="14"/>
  <c r="F265" i="14"/>
  <c r="F264" i="14"/>
  <c r="F263" i="14"/>
  <c r="F262" i="14"/>
  <c r="F261" i="14"/>
  <c r="F260" i="14"/>
  <c r="F259" i="14"/>
  <c r="F258" i="14"/>
  <c r="H257" i="14"/>
  <c r="H258" i="14" s="1"/>
  <c r="F257" i="14"/>
  <c r="F243" i="14"/>
  <c r="F238" i="14"/>
  <c r="H208" i="11"/>
  <c r="G208" i="11"/>
  <c r="C126" i="14"/>
  <c r="C125" i="14"/>
  <c r="F154" i="14"/>
  <c r="F152" i="14"/>
  <c r="F151" i="14"/>
  <c r="F150" i="14"/>
  <c r="F149" i="14"/>
  <c r="F148" i="14"/>
  <c r="F147" i="14"/>
  <c r="F146" i="14"/>
  <c r="F145" i="14"/>
  <c r="F144" i="14"/>
  <c r="F143" i="14"/>
  <c r="F142" i="14"/>
  <c r="F141" i="14"/>
  <c r="H140" i="14"/>
  <c r="F140" i="14"/>
  <c r="F126" i="14"/>
  <c r="E751" i="14"/>
  <c r="E750" i="14"/>
  <c r="F752" i="14"/>
  <c r="F751" i="14"/>
  <c r="F750" i="14"/>
  <c r="F745" i="14"/>
  <c r="F744" i="14"/>
  <c r="F738" i="14"/>
  <c r="F737" i="14"/>
  <c r="F959" i="14"/>
  <c r="F960" i="14"/>
  <c r="F966" i="14"/>
  <c r="F967" i="14"/>
  <c r="BC1126" i="14" l="1"/>
  <c r="AU30" i="25"/>
  <c r="AU29" i="25"/>
  <c r="AU127" i="25"/>
  <c r="AU27" i="25"/>
  <c r="BE1098" i="14"/>
  <c r="AF1229" i="14"/>
  <c r="BD1091" i="14"/>
  <c r="AU4" i="25"/>
  <c r="AV3" i="25" s="1"/>
  <c r="AV28" i="25" s="1"/>
  <c r="BC1158" i="14"/>
  <c r="BD1168" i="14"/>
  <c r="BC1175" i="14"/>
  <c r="BC1111" i="14"/>
  <c r="G361" i="11"/>
  <c r="H360" i="11" s="1"/>
  <c r="BB228" i="14"/>
  <c r="H110" i="11"/>
  <c r="G111" i="11"/>
  <c r="G218" i="11"/>
  <c r="G256" i="11"/>
  <c r="H255" i="11"/>
  <c r="AF1189" i="14"/>
  <c r="H695" i="14"/>
  <c r="AG1263" i="14"/>
  <c r="AF1238" i="14"/>
  <c r="AF1220" i="14"/>
  <c r="AF1198" i="14"/>
  <c r="H1026" i="14"/>
  <c r="H1046" i="14" s="1"/>
  <c r="H912" i="14"/>
  <c r="H941" i="14" s="1"/>
  <c r="AG1254" i="14"/>
  <c r="AH1211" i="14"/>
  <c r="H40" i="14"/>
  <c r="I40" i="14" s="1"/>
  <c r="J40" i="14" s="1"/>
  <c r="K40" i="14" s="1"/>
  <c r="L40" i="14" s="1"/>
  <c r="M40" i="14" s="1"/>
  <c r="N40" i="14" s="1"/>
  <c r="O40" i="14" s="1"/>
  <c r="P40" i="14" s="1"/>
  <c r="Q40" i="14" s="1"/>
  <c r="R40" i="14" s="1"/>
  <c r="S40" i="14" s="1"/>
  <c r="T40" i="14" s="1"/>
  <c r="U40" i="14" s="1"/>
  <c r="V40" i="14" s="1"/>
  <c r="W40" i="14" s="1"/>
  <c r="X40" i="14" s="1"/>
  <c r="Y40" i="14" s="1"/>
  <c r="Z40" i="14" s="1"/>
  <c r="AA40" i="14" s="1"/>
  <c r="AB40" i="14" s="1"/>
  <c r="AC40" i="14" s="1"/>
  <c r="AD40" i="14" s="1"/>
  <c r="AE40" i="14" s="1"/>
  <c r="AF40" i="14" s="1"/>
  <c r="AG40" i="14" s="1"/>
  <c r="AH40" i="14" s="1"/>
  <c r="AI40" i="14" s="1"/>
  <c r="AJ40" i="14" s="1"/>
  <c r="AK40" i="14" s="1"/>
  <c r="AL40" i="14" s="1"/>
  <c r="AM40" i="14" s="1"/>
  <c r="AN40" i="14" s="1"/>
  <c r="AO40" i="14" s="1"/>
  <c r="AP40" i="14" s="1"/>
  <c r="AQ40" i="14" s="1"/>
  <c r="AR40" i="14" s="1"/>
  <c r="AS40" i="14" s="1"/>
  <c r="AT40" i="14" s="1"/>
  <c r="AU40" i="14" s="1"/>
  <c r="AV40" i="14" s="1"/>
  <c r="AW40" i="14" s="1"/>
  <c r="AX40" i="14" s="1"/>
  <c r="AY40" i="14" s="1"/>
  <c r="AZ40" i="14" s="1"/>
  <c r="BA40" i="14" s="1"/>
  <c r="BB40" i="14" s="1"/>
  <c r="BC40" i="14" s="1"/>
  <c r="BD40" i="14" s="1"/>
  <c r="BE40" i="14" s="1"/>
  <c r="BF40" i="14" s="1"/>
  <c r="BG40" i="14" s="1"/>
  <c r="BH40" i="14" s="1"/>
  <c r="BI40" i="14" s="1"/>
  <c r="BJ40" i="14" s="1"/>
  <c r="BK40" i="14" s="1"/>
  <c r="BL40" i="14" s="1"/>
  <c r="BM40" i="14" s="1"/>
  <c r="BN40" i="14" s="1"/>
  <c r="BO40" i="14" s="1"/>
  <c r="BP40" i="14" s="1"/>
  <c r="BQ40" i="14" s="1"/>
  <c r="BR40" i="14" s="1"/>
  <c r="BS40" i="14" s="1"/>
  <c r="BT40" i="14" s="1"/>
  <c r="BU40" i="14" s="1"/>
  <c r="BV40" i="14" s="1"/>
  <c r="BW40" i="14" s="1"/>
  <c r="BX40" i="14" s="1"/>
  <c r="BY40" i="14" s="1"/>
  <c r="I45" i="14"/>
  <c r="J45" i="14" s="1"/>
  <c r="K45" i="14" s="1"/>
  <c r="L45" i="14" s="1"/>
  <c r="M45" i="14" s="1"/>
  <c r="N45" i="14" s="1"/>
  <c r="O45" i="14" s="1"/>
  <c r="P45" i="14" s="1"/>
  <c r="Q45" i="14" s="1"/>
  <c r="R45" i="14" s="1"/>
  <c r="S45" i="14" s="1"/>
  <c r="T45" i="14" s="1"/>
  <c r="U45" i="14" s="1"/>
  <c r="V45" i="14" s="1"/>
  <c r="W45" i="14" s="1"/>
  <c r="X45" i="14" s="1"/>
  <c r="Y45" i="14" s="1"/>
  <c r="Z45" i="14" s="1"/>
  <c r="AA45" i="14" s="1"/>
  <c r="AB45" i="14" s="1"/>
  <c r="AC45" i="14" s="1"/>
  <c r="AD45" i="14" s="1"/>
  <c r="AE45" i="14" s="1"/>
  <c r="AF45" i="14" s="1"/>
  <c r="AG45" i="14" s="1"/>
  <c r="AH45" i="14" s="1"/>
  <c r="AI45" i="14" s="1"/>
  <c r="AJ45" i="14" s="1"/>
  <c r="AK45" i="14" s="1"/>
  <c r="AL45" i="14" s="1"/>
  <c r="AM45" i="14" s="1"/>
  <c r="AN45" i="14" s="1"/>
  <c r="AO45" i="14" s="1"/>
  <c r="AP45" i="14" s="1"/>
  <c r="AQ45" i="14" s="1"/>
  <c r="AR45" i="14" s="1"/>
  <c r="AS45" i="14" s="1"/>
  <c r="AT45" i="14" s="1"/>
  <c r="AU45" i="14" s="1"/>
  <c r="AV45" i="14" s="1"/>
  <c r="AW45" i="14" s="1"/>
  <c r="AX45" i="14" s="1"/>
  <c r="AY45" i="14" s="1"/>
  <c r="AZ45" i="14" s="1"/>
  <c r="BA45" i="14" s="1"/>
  <c r="BB45" i="14" s="1"/>
  <c r="BC45" i="14" s="1"/>
  <c r="BD45" i="14" s="1"/>
  <c r="BE45" i="14" s="1"/>
  <c r="BF45" i="14" s="1"/>
  <c r="BG45" i="14" s="1"/>
  <c r="BH45" i="14" s="1"/>
  <c r="BI45" i="14" s="1"/>
  <c r="BJ45" i="14" s="1"/>
  <c r="BK45" i="14" s="1"/>
  <c r="BL45" i="14" s="1"/>
  <c r="BM45" i="14" s="1"/>
  <c r="BN45" i="14" s="1"/>
  <c r="BO45" i="14" s="1"/>
  <c r="BP45" i="14" s="1"/>
  <c r="BQ45" i="14" s="1"/>
  <c r="BR45" i="14" s="1"/>
  <c r="BS45" i="14" s="1"/>
  <c r="BT45" i="14" s="1"/>
  <c r="BU45" i="14" s="1"/>
  <c r="BV45" i="14" s="1"/>
  <c r="BW45" i="14" s="1"/>
  <c r="BX45" i="14" s="1"/>
  <c r="BY45" i="14" s="1"/>
  <c r="H581" i="14"/>
  <c r="I581" i="14" s="1"/>
  <c r="J581" i="14" s="1"/>
  <c r="K581" i="14" s="1"/>
  <c r="L581" i="14" s="1"/>
  <c r="M581" i="14" s="1"/>
  <c r="N581" i="14" s="1"/>
  <c r="O581" i="14" s="1"/>
  <c r="P581" i="14" s="1"/>
  <c r="Q581" i="14" s="1"/>
  <c r="R581" i="14" s="1"/>
  <c r="S581" i="14" s="1"/>
  <c r="T581" i="14" s="1"/>
  <c r="U581" i="14" s="1"/>
  <c r="V581" i="14" s="1"/>
  <c r="W581" i="14" s="1"/>
  <c r="X581" i="14" s="1"/>
  <c r="Y581" i="14" s="1"/>
  <c r="Z581" i="14" s="1"/>
  <c r="AA581" i="14" s="1"/>
  <c r="AB581" i="14" s="1"/>
  <c r="AC581" i="14" s="1"/>
  <c r="AD581" i="14" s="1"/>
  <c r="AE581" i="14" s="1"/>
  <c r="AF581" i="14" s="1"/>
  <c r="AG581" i="14" s="1"/>
  <c r="AH581" i="14" s="1"/>
  <c r="AI581" i="14" s="1"/>
  <c r="AJ581" i="14" s="1"/>
  <c r="AK581" i="14" s="1"/>
  <c r="AL581" i="14" s="1"/>
  <c r="AM581" i="14" s="1"/>
  <c r="AN581" i="14" s="1"/>
  <c r="AO581" i="14" s="1"/>
  <c r="AP581" i="14" s="1"/>
  <c r="AQ581" i="14" s="1"/>
  <c r="AR581" i="14" s="1"/>
  <c r="AS581" i="14" s="1"/>
  <c r="AT581" i="14" s="1"/>
  <c r="AU581" i="14" s="1"/>
  <c r="AV581" i="14" s="1"/>
  <c r="AW581" i="14" s="1"/>
  <c r="AX581" i="14" s="1"/>
  <c r="AY581" i="14" s="1"/>
  <c r="AZ581" i="14" s="1"/>
  <c r="BA581" i="14" s="1"/>
  <c r="BB581" i="14" s="1"/>
  <c r="BC581" i="14" s="1"/>
  <c r="BD581" i="14" s="1"/>
  <c r="BE581" i="14" s="1"/>
  <c r="BF581" i="14" s="1"/>
  <c r="BG581" i="14" s="1"/>
  <c r="BH581" i="14" s="1"/>
  <c r="BI581" i="14" s="1"/>
  <c r="BJ581" i="14" s="1"/>
  <c r="BK581" i="14" s="1"/>
  <c r="BL581" i="14" s="1"/>
  <c r="BM581" i="14" s="1"/>
  <c r="BN581" i="14" s="1"/>
  <c r="BO581" i="14" s="1"/>
  <c r="BP581" i="14" s="1"/>
  <c r="BQ581" i="14" s="1"/>
  <c r="BR581" i="14" s="1"/>
  <c r="BS581" i="14" s="1"/>
  <c r="BT581" i="14" s="1"/>
  <c r="BU581" i="14" s="1"/>
  <c r="BV581" i="14" s="1"/>
  <c r="BW581" i="14" s="1"/>
  <c r="BX581" i="14" s="1"/>
  <c r="BY581" i="14" s="1"/>
  <c r="H50" i="14"/>
  <c r="I50" i="14" s="1"/>
  <c r="J50" i="14" s="1"/>
  <c r="K50" i="14" s="1"/>
  <c r="L50" i="14" s="1"/>
  <c r="M50" i="14" s="1"/>
  <c r="N50" i="14" s="1"/>
  <c r="O50" i="14" s="1"/>
  <c r="P50" i="14" s="1"/>
  <c r="Q50" i="14" s="1"/>
  <c r="R50" i="14" s="1"/>
  <c r="S50" i="14" s="1"/>
  <c r="T50" i="14" s="1"/>
  <c r="U50" i="14" s="1"/>
  <c r="V50" i="14" s="1"/>
  <c r="W50" i="14" s="1"/>
  <c r="X50" i="14" s="1"/>
  <c r="Y50" i="14" s="1"/>
  <c r="Z50" i="14" s="1"/>
  <c r="AA50" i="14" s="1"/>
  <c r="AB50" i="14" s="1"/>
  <c r="AC50" i="14" s="1"/>
  <c r="AD50" i="14" s="1"/>
  <c r="AE50" i="14" s="1"/>
  <c r="AF50" i="14" s="1"/>
  <c r="AG50" i="14" s="1"/>
  <c r="AH50" i="14" s="1"/>
  <c r="AI50" i="14" s="1"/>
  <c r="AJ50" i="14" s="1"/>
  <c r="AK50" i="14" s="1"/>
  <c r="AL50" i="14" s="1"/>
  <c r="AM50" i="14" s="1"/>
  <c r="AN50" i="14" s="1"/>
  <c r="AO50" i="14" s="1"/>
  <c r="AP50" i="14" s="1"/>
  <c r="AQ50" i="14" s="1"/>
  <c r="AR50" i="14" s="1"/>
  <c r="AS50" i="14" s="1"/>
  <c r="AT50" i="14" s="1"/>
  <c r="AU50" i="14" s="1"/>
  <c r="AV50" i="14" s="1"/>
  <c r="AW50" i="14" s="1"/>
  <c r="AX50" i="14" s="1"/>
  <c r="AY50" i="14" s="1"/>
  <c r="AZ50" i="14" s="1"/>
  <c r="BA50" i="14" s="1"/>
  <c r="BB50" i="14" s="1"/>
  <c r="BC50" i="14" s="1"/>
  <c r="BD50" i="14" s="1"/>
  <c r="BE50" i="14" s="1"/>
  <c r="BF50" i="14" s="1"/>
  <c r="BG50" i="14" s="1"/>
  <c r="BH50" i="14" s="1"/>
  <c r="BI50" i="14" s="1"/>
  <c r="BJ50" i="14" s="1"/>
  <c r="BK50" i="14" s="1"/>
  <c r="BL50" i="14" s="1"/>
  <c r="BM50" i="14" s="1"/>
  <c r="BN50" i="14" s="1"/>
  <c r="BO50" i="14" s="1"/>
  <c r="BP50" i="14" s="1"/>
  <c r="BQ50" i="14" s="1"/>
  <c r="BR50" i="14" s="1"/>
  <c r="BS50" i="14" s="1"/>
  <c r="BT50" i="14" s="1"/>
  <c r="BU50" i="14" s="1"/>
  <c r="BV50" i="14" s="1"/>
  <c r="BW50" i="14" s="1"/>
  <c r="BX50" i="14" s="1"/>
  <c r="BY50" i="14" s="1"/>
  <c r="H55" i="14"/>
  <c r="I55" i="14" s="1"/>
  <c r="J55" i="14" s="1"/>
  <c r="K55" i="14" s="1"/>
  <c r="L55" i="14" s="1"/>
  <c r="M55" i="14" s="1"/>
  <c r="N55" i="14" s="1"/>
  <c r="H811" i="14"/>
  <c r="H903" i="14" s="1"/>
  <c r="H362" i="14"/>
  <c r="H392" i="14" s="1"/>
  <c r="H506" i="14"/>
  <c r="H527" i="14" s="1"/>
  <c r="H290" i="14"/>
  <c r="H383" i="14" s="1"/>
  <c r="H409" i="14" s="1"/>
  <c r="H141" i="14"/>
  <c r="BD1126" i="14" l="1"/>
  <c r="AV30" i="25"/>
  <c r="AV29" i="25"/>
  <c r="AV127" i="25"/>
  <c r="AV27" i="25"/>
  <c r="BF1098" i="14"/>
  <c r="AG1229" i="14"/>
  <c r="BE1091" i="14"/>
  <c r="AV4" i="25"/>
  <c r="AW3" i="25" s="1"/>
  <c r="AW28" i="25" s="1"/>
  <c r="BD1158" i="14"/>
  <c r="BE1168" i="14"/>
  <c r="BD1175" i="14"/>
  <c r="BD1111" i="14"/>
  <c r="BC228" i="14"/>
  <c r="AG1189" i="14"/>
  <c r="H554" i="14"/>
  <c r="H712" i="14"/>
  <c r="H542" i="14"/>
  <c r="H422" i="14"/>
  <c r="AH1263" i="14"/>
  <c r="AG1198" i="14"/>
  <c r="AG1220" i="14"/>
  <c r="AG1238" i="14"/>
  <c r="AH1254" i="14"/>
  <c r="AI1211" i="14"/>
  <c r="H591" i="14"/>
  <c r="I591" i="14" s="1"/>
  <c r="O55" i="14"/>
  <c r="BE1126" i="14" l="1"/>
  <c r="AW27" i="25"/>
  <c r="AW30" i="25"/>
  <c r="AW29" i="25"/>
  <c r="AW127" i="25"/>
  <c r="BG1098" i="14"/>
  <c r="AH1229" i="14"/>
  <c r="BF1091" i="14"/>
  <c r="AW4" i="25"/>
  <c r="AX3" i="25" s="1"/>
  <c r="AX28" i="25" s="1"/>
  <c r="BE1158" i="14"/>
  <c r="BF1168" i="14"/>
  <c r="BE1175" i="14"/>
  <c r="BE1111" i="14"/>
  <c r="BD228" i="14"/>
  <c r="AH1189" i="14"/>
  <c r="AI1263" i="14"/>
  <c r="AH1238" i="14"/>
  <c r="AH1220" i="14"/>
  <c r="AH1198" i="14"/>
  <c r="AI1254" i="14"/>
  <c r="AJ1211" i="14"/>
  <c r="P55" i="14"/>
  <c r="J591" i="14"/>
  <c r="BF1126" i="14" l="1"/>
  <c r="AX30" i="25"/>
  <c r="AX29" i="25"/>
  <c r="AX127" i="25"/>
  <c r="AX27" i="25"/>
  <c r="BH1098" i="14"/>
  <c r="AI1229" i="14"/>
  <c r="BG1091" i="14"/>
  <c r="AX4" i="25"/>
  <c r="AY3" i="25" s="1"/>
  <c r="AY28" i="25" s="1"/>
  <c r="BF1158" i="14"/>
  <c r="BG1168" i="14"/>
  <c r="BF1175" i="14"/>
  <c r="BF1111" i="14"/>
  <c r="BE228" i="14"/>
  <c r="AI1189" i="14"/>
  <c r="AJ1263" i="14"/>
  <c r="AI1198" i="14"/>
  <c r="AI1220" i="14"/>
  <c r="AI1238" i="14"/>
  <c r="AJ1254" i="14"/>
  <c r="AK1211" i="14"/>
  <c r="Q55" i="14"/>
  <c r="K591" i="14"/>
  <c r="BG1126" i="14" l="1"/>
  <c r="AY27" i="25"/>
  <c r="AY30" i="25"/>
  <c r="AY29" i="25"/>
  <c r="AY127" i="25"/>
  <c r="BI1098" i="14"/>
  <c r="AJ1229" i="14"/>
  <c r="BH1091" i="14"/>
  <c r="AY4" i="25"/>
  <c r="AZ3" i="25" s="1"/>
  <c r="AZ28" i="25" s="1"/>
  <c r="BG1158" i="14"/>
  <c r="BH1168" i="14"/>
  <c r="BG1175" i="14"/>
  <c r="BG1111" i="14"/>
  <c r="BF228" i="14"/>
  <c r="AJ1189" i="14"/>
  <c r="AK1263" i="14"/>
  <c r="AJ1238" i="14"/>
  <c r="AJ1220" i="14"/>
  <c r="AJ1198" i="14"/>
  <c r="AK1254" i="14"/>
  <c r="AL1211" i="14"/>
  <c r="R55" i="14"/>
  <c r="L591" i="14"/>
  <c r="BH1126" i="14" l="1"/>
  <c r="AZ30" i="25"/>
  <c r="AZ29" i="25"/>
  <c r="AZ127" i="25"/>
  <c r="AZ27" i="25"/>
  <c r="BJ1098" i="14"/>
  <c r="AK1229" i="14"/>
  <c r="BI1091" i="14"/>
  <c r="AZ4" i="25"/>
  <c r="BA3" i="25" s="1"/>
  <c r="BA28" i="25" s="1"/>
  <c r="BH1158" i="14"/>
  <c r="BI1168" i="14"/>
  <c r="BH1175" i="14"/>
  <c r="BH1111" i="14"/>
  <c r="BG228" i="14"/>
  <c r="AK1189" i="14"/>
  <c r="AL1263" i="14"/>
  <c r="AK1220" i="14"/>
  <c r="AK1198" i="14"/>
  <c r="AK1238" i="14"/>
  <c r="AL1254" i="14"/>
  <c r="AM1211" i="14"/>
  <c r="S55" i="14"/>
  <c r="M591" i="14"/>
  <c r="BI1126" i="14" l="1"/>
  <c r="BA27" i="25"/>
  <c r="BA30" i="25"/>
  <c r="BA29" i="25"/>
  <c r="BA127" i="25"/>
  <c r="BK1098" i="14"/>
  <c r="AL1229" i="14"/>
  <c r="BJ1091" i="14"/>
  <c r="BA4" i="25"/>
  <c r="BB3" i="25" s="1"/>
  <c r="BB28" i="25" s="1"/>
  <c r="BI1158" i="14"/>
  <c r="BJ1168" i="14"/>
  <c r="BI1175" i="14"/>
  <c r="BI1111" i="14"/>
  <c r="BH228" i="14"/>
  <c r="AL1189" i="14"/>
  <c r="AM1263" i="14"/>
  <c r="AL1198" i="14"/>
  <c r="AL1238" i="14"/>
  <c r="AL1220" i="14"/>
  <c r="AM1254" i="14"/>
  <c r="AN1211" i="14"/>
  <c r="T55" i="14"/>
  <c r="N591" i="14"/>
  <c r="BJ1126" i="14" l="1"/>
  <c r="BB30" i="25"/>
  <c r="BB29" i="25"/>
  <c r="BB127" i="25"/>
  <c r="BB27" i="25"/>
  <c r="BL1098" i="14"/>
  <c r="AM1229" i="14"/>
  <c r="BK1091" i="14"/>
  <c r="BB4" i="25"/>
  <c r="BC3" i="25" s="1"/>
  <c r="BC28" i="25" s="1"/>
  <c r="BJ1158" i="14"/>
  <c r="BK1168" i="14"/>
  <c r="BJ1175" i="14"/>
  <c r="BJ1111" i="14"/>
  <c r="BI228" i="14"/>
  <c r="AM1189" i="14"/>
  <c r="AN1263" i="14"/>
  <c r="AM1238" i="14"/>
  <c r="AM1220" i="14"/>
  <c r="AM1198" i="14"/>
  <c r="AN1254" i="14"/>
  <c r="AO1211" i="14"/>
  <c r="U55" i="14"/>
  <c r="O591" i="14"/>
  <c r="BC27" i="25" l="1"/>
  <c r="BK1126" i="14"/>
  <c r="BC30" i="25"/>
  <c r="BC29" i="25"/>
  <c r="BC127" i="25"/>
  <c r="BM1098" i="14"/>
  <c r="AN1229" i="14"/>
  <c r="BL1091" i="14"/>
  <c r="BC4" i="25"/>
  <c r="BD3" i="25" s="1"/>
  <c r="BD28" i="25" s="1"/>
  <c r="BK1158" i="14"/>
  <c r="BL1168" i="14"/>
  <c r="BK1175" i="14"/>
  <c r="BK1111" i="14"/>
  <c r="BJ228" i="14"/>
  <c r="BK228" i="14" s="1"/>
  <c r="AN1189" i="14"/>
  <c r="AO1263" i="14"/>
  <c r="AN1198" i="14"/>
  <c r="AN1220" i="14"/>
  <c r="AN1238" i="14"/>
  <c r="AO1254" i="14"/>
  <c r="AP1211" i="14"/>
  <c r="V55" i="14"/>
  <c r="P591" i="14"/>
  <c r="BL1126" i="14" l="1"/>
  <c r="BD30" i="25"/>
  <c r="BD29" i="25"/>
  <c r="BD127" i="25"/>
  <c r="BD27" i="25"/>
  <c r="BN1098" i="14"/>
  <c r="AO1229" i="14"/>
  <c r="BM1091" i="14"/>
  <c r="BD4" i="25"/>
  <c r="BE3" i="25" s="1"/>
  <c r="BE28" i="25" s="1"/>
  <c r="BL1158" i="14"/>
  <c r="BM1168" i="14"/>
  <c r="BL1175" i="14"/>
  <c r="BL1111" i="14"/>
  <c r="BL228" i="14"/>
  <c r="BM228" i="14" s="1"/>
  <c r="BN228" i="14" s="1"/>
  <c r="AO1189" i="14"/>
  <c r="AP1263" i="14"/>
  <c r="AO1238" i="14"/>
  <c r="AO1220" i="14"/>
  <c r="AO1198" i="14"/>
  <c r="AP1254" i="14"/>
  <c r="AQ1211" i="14"/>
  <c r="W55" i="14"/>
  <c r="Q591" i="14"/>
  <c r="BE27" i="25" l="1"/>
  <c r="BM1126" i="14"/>
  <c r="BE30" i="25"/>
  <c r="BE29" i="25"/>
  <c r="BE127" i="25"/>
  <c r="BO1098" i="14"/>
  <c r="AP1229" i="14"/>
  <c r="BN1091" i="14"/>
  <c r="BE4" i="25"/>
  <c r="BF3" i="25" s="1"/>
  <c r="BF28" i="25" s="1"/>
  <c r="BM1158" i="14"/>
  <c r="BN1168" i="14"/>
  <c r="BM1175" i="14"/>
  <c r="BM1111" i="14"/>
  <c r="BO228" i="14"/>
  <c r="AP1189" i="14"/>
  <c r="AQ1263" i="14"/>
  <c r="AP1198" i="14"/>
  <c r="AP1220" i="14"/>
  <c r="AP1238" i="14"/>
  <c r="AQ1254" i="14"/>
  <c r="AR1211" i="14"/>
  <c r="X55" i="14"/>
  <c r="R591" i="14"/>
  <c r="BN1126" i="14" l="1"/>
  <c r="BF30" i="25"/>
  <c r="BF29" i="25"/>
  <c r="BF127" i="25"/>
  <c r="BF27" i="25"/>
  <c r="BP1098" i="14"/>
  <c r="AQ1229" i="14"/>
  <c r="BO1091" i="14"/>
  <c r="BF4" i="25"/>
  <c r="BG3" i="25" s="1"/>
  <c r="BG28" i="25" s="1"/>
  <c r="BN1158" i="14"/>
  <c r="BO1168" i="14"/>
  <c r="BN1175" i="14"/>
  <c r="BN1111" i="14"/>
  <c r="BP228" i="14"/>
  <c r="AQ1189" i="14"/>
  <c r="AR1263" i="14"/>
  <c r="AQ1238" i="14"/>
  <c r="AQ1220" i="14"/>
  <c r="AQ1198" i="14"/>
  <c r="AR1254" i="14"/>
  <c r="AS1211" i="14"/>
  <c r="Y55" i="14"/>
  <c r="S591" i="14"/>
  <c r="BG27" i="25" l="1"/>
  <c r="BO1126" i="14"/>
  <c r="BG30" i="25"/>
  <c r="BG29" i="25"/>
  <c r="BG127" i="25"/>
  <c r="BQ1098" i="14"/>
  <c r="AR1229" i="14"/>
  <c r="BP1091" i="14"/>
  <c r="BG4" i="25"/>
  <c r="BH3" i="25" s="1"/>
  <c r="BH28" i="25" s="1"/>
  <c r="BO1158" i="14"/>
  <c r="BP1168" i="14"/>
  <c r="BO1175" i="14"/>
  <c r="BO1111" i="14"/>
  <c r="BQ228" i="14"/>
  <c r="AR1189" i="14"/>
  <c r="AS1263" i="14"/>
  <c r="AR1198" i="14"/>
  <c r="AR1220" i="14"/>
  <c r="AR1238" i="14"/>
  <c r="AS1254" i="14"/>
  <c r="AT1211" i="14"/>
  <c r="Z55" i="14"/>
  <c r="T591" i="14"/>
  <c r="BP1126" i="14" l="1"/>
  <c r="BH30" i="25"/>
  <c r="BH29" i="25"/>
  <c r="BH127" i="25"/>
  <c r="BH27" i="25"/>
  <c r="BR1098" i="14"/>
  <c r="AS1229" i="14"/>
  <c r="BQ1091" i="14"/>
  <c r="BH4" i="25"/>
  <c r="BI3" i="25" s="1"/>
  <c r="BI28" i="25" s="1"/>
  <c r="BP1158" i="14"/>
  <c r="BQ1168" i="14"/>
  <c r="BP1175" i="14"/>
  <c r="BP1111" i="14"/>
  <c r="BR228" i="14"/>
  <c r="AS1189" i="14"/>
  <c r="AT1263" i="14"/>
  <c r="AS1238" i="14"/>
  <c r="AS1220" i="14"/>
  <c r="AS1198" i="14"/>
  <c r="AT1254" i="14"/>
  <c r="AU1211" i="14"/>
  <c r="AA55" i="14"/>
  <c r="U591" i="14"/>
  <c r="BI27" i="25" l="1"/>
  <c r="BQ1126" i="14"/>
  <c r="BI30" i="25"/>
  <c r="BI29" i="25"/>
  <c r="BI127" i="25"/>
  <c r="BS1098" i="14"/>
  <c r="AT1229" i="14"/>
  <c r="BR1091" i="14"/>
  <c r="BI4" i="25"/>
  <c r="BJ3" i="25" s="1"/>
  <c r="BJ28" i="25" s="1"/>
  <c r="BQ1158" i="14"/>
  <c r="BR1168" i="14"/>
  <c r="BQ1175" i="14"/>
  <c r="BQ1111" i="14"/>
  <c r="BS228" i="14"/>
  <c r="AT1189" i="14"/>
  <c r="AU1263" i="14"/>
  <c r="AT1198" i="14"/>
  <c r="AT1220" i="14"/>
  <c r="AT1238" i="14"/>
  <c r="AU1254" i="14"/>
  <c r="AV1211" i="14"/>
  <c r="AB55" i="14"/>
  <c r="V591" i="14"/>
  <c r="BJ27" i="25" l="1"/>
  <c r="BR1126" i="14"/>
  <c r="BJ30" i="25"/>
  <c r="BJ29" i="25"/>
  <c r="BJ127" i="25"/>
  <c r="BT1098" i="14"/>
  <c r="AU1229" i="14"/>
  <c r="BS1091" i="14"/>
  <c r="BJ4" i="25"/>
  <c r="BK3" i="25" s="1"/>
  <c r="BK28" i="25" s="1"/>
  <c r="BR1158" i="14"/>
  <c r="BS1168" i="14"/>
  <c r="BR1175" i="14"/>
  <c r="BR1111" i="14"/>
  <c r="BT228" i="14"/>
  <c r="AU1189" i="14"/>
  <c r="AV1263" i="14"/>
  <c r="AU1238" i="14"/>
  <c r="AU1220" i="14"/>
  <c r="AU1198" i="14"/>
  <c r="AV1254" i="14"/>
  <c r="AW1211" i="14"/>
  <c r="AC55" i="14"/>
  <c r="W591" i="14"/>
  <c r="BS1126" i="14" l="1"/>
  <c r="BK30" i="25"/>
  <c r="BK29" i="25"/>
  <c r="BK127" i="25"/>
  <c r="BK27" i="25"/>
  <c r="BU1098" i="14"/>
  <c r="AV1229" i="14"/>
  <c r="BT1091" i="14"/>
  <c r="BK4" i="25"/>
  <c r="BL3" i="25" s="1"/>
  <c r="BL28" i="25" s="1"/>
  <c r="BS1158" i="14"/>
  <c r="BT1168" i="14"/>
  <c r="BS1175" i="14"/>
  <c r="BS1111" i="14"/>
  <c r="BU228" i="14"/>
  <c r="AV1189" i="14"/>
  <c r="AW1263" i="14"/>
  <c r="AV1198" i="14"/>
  <c r="AV1220" i="14"/>
  <c r="AV1238" i="14"/>
  <c r="AW1254" i="14"/>
  <c r="AX1211" i="14"/>
  <c r="AD55" i="14"/>
  <c r="X591" i="14"/>
  <c r="BL27" i="25" l="1"/>
  <c r="BT1126" i="14"/>
  <c r="BL30" i="25"/>
  <c r="BL29" i="25"/>
  <c r="BL127" i="25"/>
  <c r="BV1098" i="14"/>
  <c r="AW1229" i="14"/>
  <c r="BU1091" i="14"/>
  <c r="BL4" i="25"/>
  <c r="BM3" i="25" s="1"/>
  <c r="BM28" i="25" s="1"/>
  <c r="BT1158" i="14"/>
  <c r="BU1168" i="14"/>
  <c r="BT1175" i="14"/>
  <c r="BT1111" i="14"/>
  <c r="BV228" i="14"/>
  <c r="AW1189" i="14"/>
  <c r="AX1263" i="14"/>
  <c r="AW1238" i="14"/>
  <c r="AW1220" i="14"/>
  <c r="AW1198" i="14"/>
  <c r="AX1254" i="14"/>
  <c r="AY1211" i="14"/>
  <c r="AE55" i="14"/>
  <c r="Y591" i="14"/>
  <c r="BU1126" i="14" l="1"/>
  <c r="BM30" i="25"/>
  <c r="BM29" i="25"/>
  <c r="BM127" i="25"/>
  <c r="BM27" i="25"/>
  <c r="BW1098" i="14"/>
  <c r="AX1229" i="14"/>
  <c r="BV1091" i="14"/>
  <c r="BM4" i="25"/>
  <c r="BN3" i="25" s="1"/>
  <c r="BN28" i="25" s="1"/>
  <c r="BU1158" i="14"/>
  <c r="BV1168" i="14"/>
  <c r="BU1175" i="14"/>
  <c r="BU1111" i="14"/>
  <c r="BW228" i="14"/>
  <c r="AX1189" i="14"/>
  <c r="AY1263" i="14"/>
  <c r="AX1198" i="14"/>
  <c r="AX1220" i="14"/>
  <c r="AX1238" i="14"/>
  <c r="AY1254" i="14"/>
  <c r="AZ1211" i="14"/>
  <c r="AF55" i="14"/>
  <c r="Z591" i="14"/>
  <c r="BV1126" i="14" l="1"/>
  <c r="BN30" i="25"/>
  <c r="BN29" i="25"/>
  <c r="BN127" i="25"/>
  <c r="BN27" i="25"/>
  <c r="BX1098" i="14"/>
  <c r="AY1229" i="14"/>
  <c r="BW1091" i="14"/>
  <c r="BN4" i="25"/>
  <c r="BO3" i="25" s="1"/>
  <c r="BO28" i="25" s="1"/>
  <c r="BV1158" i="14"/>
  <c r="BW1168" i="14"/>
  <c r="BV1175" i="14"/>
  <c r="BV1111" i="14"/>
  <c r="BX228" i="14"/>
  <c r="AY1189" i="14"/>
  <c r="AZ1263" i="14"/>
  <c r="AY1238" i="14"/>
  <c r="AY1220" i="14"/>
  <c r="AY1198" i="14"/>
  <c r="AZ1254" i="14"/>
  <c r="BA1211" i="14"/>
  <c r="AG55" i="14"/>
  <c r="AA591" i="14"/>
  <c r="BO27" i="25" l="1"/>
  <c r="BW1126" i="14"/>
  <c r="BO30" i="25"/>
  <c r="BO29" i="25"/>
  <c r="BO127" i="25"/>
  <c r="BY1098" i="14"/>
  <c r="AZ1229" i="14"/>
  <c r="BX1091" i="14"/>
  <c r="BO4" i="25"/>
  <c r="BP3" i="25" s="1"/>
  <c r="BP28" i="25" s="1"/>
  <c r="BW1158" i="14"/>
  <c r="BX1168" i="14"/>
  <c r="BW1175" i="14"/>
  <c r="BW1111" i="14"/>
  <c r="BY228" i="14"/>
  <c r="AZ1189" i="14"/>
  <c r="BA1263" i="14"/>
  <c r="AZ1198" i="14"/>
  <c r="AZ1220" i="14"/>
  <c r="AZ1238" i="14"/>
  <c r="BA1254" i="14"/>
  <c r="BB1211" i="14"/>
  <c r="AH55" i="14"/>
  <c r="AB591" i="14"/>
  <c r="BX1126" i="14" l="1"/>
  <c r="BP30" i="25"/>
  <c r="BP29" i="25"/>
  <c r="BP127" i="25"/>
  <c r="BP27" i="25"/>
  <c r="BA1229" i="14"/>
  <c r="BY1091" i="14"/>
  <c r="BP4" i="25"/>
  <c r="BQ3" i="25" s="1"/>
  <c r="BQ28" i="25" s="1"/>
  <c r="BX1158" i="14"/>
  <c r="BY1168" i="14"/>
  <c r="BX1175" i="14"/>
  <c r="BX1111" i="14"/>
  <c r="BA1189" i="14"/>
  <c r="BB1263" i="14"/>
  <c r="BA1238" i="14"/>
  <c r="BA1220" i="14"/>
  <c r="BA1198" i="14"/>
  <c r="BB1254" i="14"/>
  <c r="BC1211" i="14"/>
  <c r="AI55" i="14"/>
  <c r="AC591" i="14"/>
  <c r="BQ27" i="25" l="1"/>
  <c r="BY1175" i="14"/>
  <c r="BY1126" i="14"/>
  <c r="BQ30" i="25"/>
  <c r="BQ29" i="25"/>
  <c r="BQ127" i="25"/>
  <c r="BB1229" i="14"/>
  <c r="BQ4" i="25"/>
  <c r="BR3" i="25" s="1"/>
  <c r="BR28" i="25" s="1"/>
  <c r="BY1158" i="14"/>
  <c r="BY1111" i="14"/>
  <c r="BB1189" i="14"/>
  <c r="BC1263" i="14"/>
  <c r="BB1238" i="14"/>
  <c r="BB1198" i="14"/>
  <c r="BB1220" i="14"/>
  <c r="BC1254" i="14"/>
  <c r="BD1211" i="14"/>
  <c r="AJ55" i="14"/>
  <c r="AD591" i="14"/>
  <c r="BR30" i="25" l="1"/>
  <c r="BR29" i="25"/>
  <c r="BR127" i="25"/>
  <c r="BR27" i="25"/>
  <c r="BC1229" i="14"/>
  <c r="BR4" i="25"/>
  <c r="BS3" i="25" s="1"/>
  <c r="BS28" i="25" s="1"/>
  <c r="BC1189" i="14"/>
  <c r="BD1263" i="14"/>
  <c r="BC1220" i="14"/>
  <c r="BC1198" i="14"/>
  <c r="BC1238" i="14"/>
  <c r="BD1254" i="14"/>
  <c r="BE1211" i="14"/>
  <c r="AK55" i="14"/>
  <c r="AE591" i="14"/>
  <c r="BS27" i="25" l="1"/>
  <c r="BS30" i="25"/>
  <c r="BS29" i="25"/>
  <c r="BS127" i="25"/>
  <c r="BD1229" i="14"/>
  <c r="BS4" i="25"/>
  <c r="BT3" i="25" s="1"/>
  <c r="BT28" i="25" s="1"/>
  <c r="BD1189" i="14"/>
  <c r="BE1263" i="14"/>
  <c r="BD1238" i="14"/>
  <c r="BD1198" i="14"/>
  <c r="BD1220" i="14"/>
  <c r="BE1254" i="14"/>
  <c r="BF1211" i="14"/>
  <c r="AL55" i="14"/>
  <c r="AF591" i="14"/>
  <c r="BT27" i="25" l="1"/>
  <c r="BT30" i="25"/>
  <c r="BT29" i="25"/>
  <c r="BT127" i="25"/>
  <c r="BE1229" i="14"/>
  <c r="BT4" i="25"/>
  <c r="BU3" i="25" s="1"/>
  <c r="BU28" i="25" s="1"/>
  <c r="BE1189" i="14"/>
  <c r="BF1263" i="14"/>
  <c r="BE1198" i="14"/>
  <c r="BE1220" i="14"/>
  <c r="BE1238" i="14"/>
  <c r="BF1254" i="14"/>
  <c r="BG1211" i="14"/>
  <c r="AM55" i="14"/>
  <c r="AG591" i="14"/>
  <c r="BU27" i="25" l="1"/>
  <c r="BU30" i="25"/>
  <c r="BU29" i="25"/>
  <c r="BU127" i="25"/>
  <c r="BF1229" i="14"/>
  <c r="BU4" i="25"/>
  <c r="BV3" i="25" s="1"/>
  <c r="BV28" i="25" s="1"/>
  <c r="BF1189" i="14"/>
  <c r="BG1263" i="14"/>
  <c r="BF1238" i="14"/>
  <c r="BF1220" i="14"/>
  <c r="BF1198" i="14"/>
  <c r="BG1254" i="14"/>
  <c r="BH1211" i="14"/>
  <c r="AN55" i="14"/>
  <c r="AH591" i="14"/>
  <c r="BV30" i="25" l="1"/>
  <c r="BV29" i="25"/>
  <c r="BV127" i="25"/>
  <c r="BV27" i="25"/>
  <c r="BG1229" i="14"/>
  <c r="BV4" i="25"/>
  <c r="BW3" i="25" s="1"/>
  <c r="BW28" i="25" s="1"/>
  <c r="BG1189" i="14"/>
  <c r="BH1263" i="14"/>
  <c r="BG1198" i="14"/>
  <c r="BG1220" i="14"/>
  <c r="BG1238" i="14"/>
  <c r="BH1254" i="14"/>
  <c r="BI1211" i="14"/>
  <c r="AO55" i="14"/>
  <c r="AI591" i="14"/>
  <c r="BW27" i="25" l="1"/>
  <c r="BW30" i="25"/>
  <c r="BW29" i="25"/>
  <c r="BW127" i="25"/>
  <c r="BH1229" i="14"/>
  <c r="BW4" i="25"/>
  <c r="BX3" i="25" s="1"/>
  <c r="BX28" i="25" s="1"/>
  <c r="BH1189" i="14"/>
  <c r="BI1263" i="14"/>
  <c r="BH1238" i="14"/>
  <c r="BH1220" i="14"/>
  <c r="BH1198" i="14"/>
  <c r="BI1254" i="14"/>
  <c r="BJ1211" i="14"/>
  <c r="AP55" i="14"/>
  <c r="AJ591" i="14"/>
  <c r="BX30" i="25" l="1"/>
  <c r="BX29" i="25"/>
  <c r="BX127" i="25"/>
  <c r="BX27" i="25"/>
  <c r="BI1229" i="14"/>
  <c r="BX4" i="25"/>
  <c r="BY3" i="25" s="1"/>
  <c r="BY28" i="25" s="1"/>
  <c r="BI1189" i="14"/>
  <c r="BJ1263" i="14"/>
  <c r="BI1198" i="14"/>
  <c r="BI1220" i="14"/>
  <c r="BI1238" i="14"/>
  <c r="BJ1254" i="14"/>
  <c r="BK1211" i="14"/>
  <c r="AQ55" i="14"/>
  <c r="AK591" i="14"/>
  <c r="BY27" i="25" l="1"/>
  <c r="BY30" i="25"/>
  <c r="BY29" i="25"/>
  <c r="BY127" i="25"/>
  <c r="BJ1229" i="14"/>
  <c r="T23" i="35"/>
  <c r="X23" i="35"/>
  <c r="O23" i="35"/>
  <c r="I23" i="35"/>
  <c r="AC23" i="35"/>
  <c r="Y23" i="35"/>
  <c r="H23" i="35"/>
  <c r="M23" i="35"/>
  <c r="AD23" i="35"/>
  <c r="U23" i="35"/>
  <c r="P23" i="35"/>
  <c r="J23" i="35"/>
  <c r="Z23" i="35"/>
  <c r="Q23" i="35"/>
  <c r="K23" i="35"/>
  <c r="V23" i="35"/>
  <c r="AA23" i="35"/>
  <c r="R23" i="35"/>
  <c r="S23" i="35"/>
  <c r="L23" i="35"/>
  <c r="W23" i="35"/>
  <c r="AB23" i="35"/>
  <c r="N23" i="35"/>
  <c r="AW23" i="35"/>
  <c r="AX23" i="35"/>
  <c r="AY23" i="35"/>
  <c r="AZ23" i="35"/>
  <c r="BA23" i="35"/>
  <c r="AL23" i="35"/>
  <c r="BB23" i="35"/>
  <c r="AM23" i="35"/>
  <c r="AQ23" i="35"/>
  <c r="BC23" i="35"/>
  <c r="AN23" i="35"/>
  <c r="BG23" i="35"/>
  <c r="AR23" i="35"/>
  <c r="BD23" i="35"/>
  <c r="BH23" i="35"/>
  <c r="AO23" i="35"/>
  <c r="AP23" i="35"/>
  <c r="AS23" i="35"/>
  <c r="BE23" i="35"/>
  <c r="AT23" i="35"/>
  <c r="AU23" i="35"/>
  <c r="BF23" i="35"/>
  <c r="AV23" i="35"/>
  <c r="BY4" i="25"/>
  <c r="BJ1189" i="14"/>
  <c r="BK1263" i="14"/>
  <c r="BJ1220" i="14"/>
  <c r="BJ1238" i="14"/>
  <c r="BJ1198" i="14"/>
  <c r="BK1254" i="14"/>
  <c r="BL1211" i="14"/>
  <c r="AR55" i="14"/>
  <c r="AL591" i="14"/>
  <c r="BK1229" i="14" l="1"/>
  <c r="K60" i="35"/>
  <c r="K62" i="35" s="1"/>
  <c r="K69" i="35"/>
  <c r="K97" i="35"/>
  <c r="K99" i="35" s="1"/>
  <c r="K100" i="35" s="1"/>
  <c r="K109" i="35"/>
  <c r="Z60" i="35"/>
  <c r="Z62" i="35" s="1"/>
  <c r="Z97" i="35"/>
  <c r="Z99" i="35" s="1"/>
  <c r="Z100" i="35" s="1"/>
  <c r="Z109" i="35"/>
  <c r="Z69" i="35"/>
  <c r="J69" i="35"/>
  <c r="J109" i="35"/>
  <c r="N43" i="34" s="1"/>
  <c r="J97" i="35"/>
  <c r="J99" i="35" s="1"/>
  <c r="J100" i="35" s="1"/>
  <c r="J60" i="35"/>
  <c r="J62" i="35" s="1"/>
  <c r="P60" i="35"/>
  <c r="P62" i="35" s="1"/>
  <c r="P97" i="35"/>
  <c r="P99" i="35" s="1"/>
  <c r="P100" i="35" s="1"/>
  <c r="P109" i="35"/>
  <c r="P69" i="35"/>
  <c r="AQ69" i="35"/>
  <c r="AQ109" i="35"/>
  <c r="AQ97" i="35"/>
  <c r="AQ99" i="35" s="1"/>
  <c r="AQ100" i="35" s="1"/>
  <c r="AQ60" i="35"/>
  <c r="AQ62" i="35" s="1"/>
  <c r="BE69" i="35"/>
  <c r="BE109" i="35"/>
  <c r="BE60" i="35"/>
  <c r="BE62" i="35" s="1"/>
  <c r="BE97" i="35"/>
  <c r="BE99" i="35" s="1"/>
  <c r="BE100" i="35" s="1"/>
  <c r="U109" i="35"/>
  <c r="U97" i="35"/>
  <c r="U99" i="35" s="1"/>
  <c r="U100" i="35" s="1"/>
  <c r="U69" i="35"/>
  <c r="U60" i="35"/>
  <c r="U62" i="35" s="1"/>
  <c r="Q97" i="35"/>
  <c r="Q99" i="35" s="1"/>
  <c r="Q100" i="35" s="1"/>
  <c r="Q109" i="35"/>
  <c r="Q69" i="35"/>
  <c r="Q60" i="35"/>
  <c r="Q62" i="35" s="1"/>
  <c r="AZ97" i="35"/>
  <c r="AZ99" i="35" s="1"/>
  <c r="AZ100" i="35" s="1"/>
  <c r="AZ109" i="35"/>
  <c r="AZ69" i="35"/>
  <c r="AZ60" i="35"/>
  <c r="AZ62" i="35" s="1"/>
  <c r="AS69" i="35"/>
  <c r="AS60" i="35"/>
  <c r="AS62" i="35" s="1"/>
  <c r="AS109" i="35"/>
  <c r="AS97" i="35"/>
  <c r="AS99" i="35" s="1"/>
  <c r="AS100" i="35" s="1"/>
  <c r="AX60" i="35"/>
  <c r="AX62" i="35" s="1"/>
  <c r="AX97" i="35"/>
  <c r="AX99" i="35" s="1"/>
  <c r="AX100" i="35" s="1"/>
  <c r="AX69" i="35"/>
  <c r="AX109" i="35"/>
  <c r="AD109" i="35"/>
  <c r="AD69" i="35"/>
  <c r="AD97" i="35"/>
  <c r="AD99" i="35" s="1"/>
  <c r="AD100" i="35" s="1"/>
  <c r="AD60" i="35"/>
  <c r="AD62" i="35" s="1"/>
  <c r="AV60" i="35"/>
  <c r="AV62" i="35" s="1"/>
  <c r="AV97" i="35"/>
  <c r="AV99" i="35" s="1"/>
  <c r="AV100" i="35" s="1"/>
  <c r="AV69" i="35"/>
  <c r="AV109" i="35"/>
  <c r="AY69" i="35"/>
  <c r="AY109" i="35"/>
  <c r="AY97" i="35"/>
  <c r="AY99" i="35" s="1"/>
  <c r="AY100" i="35" s="1"/>
  <c r="AY60" i="35"/>
  <c r="AY62" i="35" s="1"/>
  <c r="AP69" i="35"/>
  <c r="AP109" i="35"/>
  <c r="AP60" i="35"/>
  <c r="AP62" i="35" s="1"/>
  <c r="AP97" i="35"/>
  <c r="AP99" i="35" s="1"/>
  <c r="AP100" i="35" s="1"/>
  <c r="AW109" i="35"/>
  <c r="AW69" i="35"/>
  <c r="AW60" i="35"/>
  <c r="AW62" i="35" s="1"/>
  <c r="AW97" i="35"/>
  <c r="AW99" i="35" s="1"/>
  <c r="AW100" i="35" s="1"/>
  <c r="M60" i="35"/>
  <c r="M62" i="35" s="1"/>
  <c r="M97" i="35"/>
  <c r="M99" i="35" s="1"/>
  <c r="M100" i="35" s="1"/>
  <c r="M109" i="35"/>
  <c r="M69" i="35"/>
  <c r="H109" i="35"/>
  <c r="H60" i="35"/>
  <c r="H62" i="35" s="1"/>
  <c r="H69" i="35"/>
  <c r="H97" i="35"/>
  <c r="H99" i="35" s="1"/>
  <c r="H100" i="35" s="1"/>
  <c r="AL60" i="35"/>
  <c r="AL62" i="35" s="1"/>
  <c r="AL69" i="35"/>
  <c r="AL109" i="35"/>
  <c r="AL97" i="35"/>
  <c r="AL99" i="35" s="1"/>
  <c r="AL100" i="35" s="1"/>
  <c r="AO60" i="35"/>
  <c r="AO62" i="35" s="1"/>
  <c r="AO97" i="35"/>
  <c r="AO99" i="35" s="1"/>
  <c r="AO100" i="35" s="1"/>
  <c r="AO69" i="35"/>
  <c r="AO109" i="35"/>
  <c r="AB109" i="35"/>
  <c r="AB69" i="35"/>
  <c r="AB97" i="35"/>
  <c r="AB99" i="35" s="1"/>
  <c r="AB100" i="35" s="1"/>
  <c r="AB60" i="35"/>
  <c r="AB62" i="35" s="1"/>
  <c r="Y60" i="35"/>
  <c r="Y62" i="35" s="1"/>
  <c r="Y97" i="35"/>
  <c r="Y99" i="35" s="1"/>
  <c r="Y100" i="35" s="1"/>
  <c r="Y109" i="35"/>
  <c r="Y69" i="35"/>
  <c r="V97" i="35"/>
  <c r="V99" i="35" s="1"/>
  <c r="V100" i="35" s="1"/>
  <c r="V69" i="35"/>
  <c r="V60" i="35"/>
  <c r="V62" i="35" s="1"/>
  <c r="V109" i="35"/>
  <c r="BF109" i="35"/>
  <c r="BF69" i="35"/>
  <c r="BF97" i="35"/>
  <c r="BF99" i="35" s="1"/>
  <c r="BF100" i="35" s="1"/>
  <c r="BF60" i="35"/>
  <c r="BF62" i="35" s="1"/>
  <c r="AT69" i="35"/>
  <c r="AT109" i="35"/>
  <c r="AT60" i="35"/>
  <c r="AT62" i="35" s="1"/>
  <c r="AT97" i="35"/>
  <c r="AT99" i="35" s="1"/>
  <c r="AT100" i="35" s="1"/>
  <c r="N60" i="35"/>
  <c r="N62" i="35" s="1"/>
  <c r="N109" i="35"/>
  <c r="N69" i="35"/>
  <c r="N97" i="35"/>
  <c r="N99" i="35" s="1"/>
  <c r="N100" i="35" s="1"/>
  <c r="BH109" i="35"/>
  <c r="BH69" i="35"/>
  <c r="BH97" i="35"/>
  <c r="BH99" i="35" s="1"/>
  <c r="BH100" i="35" s="1"/>
  <c r="BH60" i="35"/>
  <c r="BH62" i="35" s="1"/>
  <c r="BD109" i="35"/>
  <c r="BD60" i="35"/>
  <c r="BD62" i="35" s="1"/>
  <c r="BD69" i="35"/>
  <c r="BD97" i="35"/>
  <c r="BD99" i="35" s="1"/>
  <c r="BD100" i="35" s="1"/>
  <c r="W97" i="35"/>
  <c r="W99" i="35" s="1"/>
  <c r="W100" i="35" s="1"/>
  <c r="W109" i="35"/>
  <c r="W60" i="35"/>
  <c r="W62" i="35" s="1"/>
  <c r="W69" i="35"/>
  <c r="AC97" i="35"/>
  <c r="AC99" i="35" s="1"/>
  <c r="AC100" i="35" s="1"/>
  <c r="AC60" i="35"/>
  <c r="AC62" i="35" s="1"/>
  <c r="AC109" i="35"/>
  <c r="AC69" i="35"/>
  <c r="AR69" i="35"/>
  <c r="AR109" i="35"/>
  <c r="AR97" i="35"/>
  <c r="AR99" i="35" s="1"/>
  <c r="AR100" i="35" s="1"/>
  <c r="AR60" i="35"/>
  <c r="AR62" i="35" s="1"/>
  <c r="L109" i="35"/>
  <c r="L69" i="35"/>
  <c r="L60" i="35"/>
  <c r="L62" i="35" s="1"/>
  <c r="L97" i="35"/>
  <c r="L99" i="35" s="1"/>
  <c r="L100" i="35" s="1"/>
  <c r="I109" i="35"/>
  <c r="I69" i="35"/>
  <c r="I97" i="35"/>
  <c r="I99" i="35" s="1"/>
  <c r="I100" i="35" s="1"/>
  <c r="I60" i="35"/>
  <c r="I62" i="35" s="1"/>
  <c r="AM60" i="35"/>
  <c r="AM62" i="35" s="1"/>
  <c r="AM69" i="35"/>
  <c r="AM97" i="35"/>
  <c r="AM99" i="35" s="1"/>
  <c r="AM100" i="35" s="1"/>
  <c r="AM109" i="35"/>
  <c r="BG109" i="35"/>
  <c r="BG69" i="35"/>
  <c r="BG60" i="35"/>
  <c r="BG62" i="35" s="1"/>
  <c r="BG97" i="35"/>
  <c r="BG99" i="35" s="1"/>
  <c r="BG100" i="35" s="1"/>
  <c r="S69" i="35"/>
  <c r="S109" i="35"/>
  <c r="S60" i="35"/>
  <c r="S62" i="35" s="1"/>
  <c r="S97" i="35"/>
  <c r="S99" i="35" s="1"/>
  <c r="S100" i="35" s="1"/>
  <c r="O97" i="35"/>
  <c r="O99" i="35" s="1"/>
  <c r="O100" i="35" s="1"/>
  <c r="O109" i="35"/>
  <c r="O69" i="35"/>
  <c r="O60" i="35"/>
  <c r="O62" i="35" s="1"/>
  <c r="BA60" i="35"/>
  <c r="BA62" i="35" s="1"/>
  <c r="BA69" i="35"/>
  <c r="BA109" i="35"/>
  <c r="BA97" i="35"/>
  <c r="BA99" i="35" s="1"/>
  <c r="BA100" i="35" s="1"/>
  <c r="AN69" i="35"/>
  <c r="AN109" i="35"/>
  <c r="AN60" i="35"/>
  <c r="AN62" i="35" s="1"/>
  <c r="AN97" i="35"/>
  <c r="AN99" i="35" s="1"/>
  <c r="AN100" i="35" s="1"/>
  <c r="R97" i="35"/>
  <c r="R99" i="35" s="1"/>
  <c r="R100" i="35" s="1"/>
  <c r="R60" i="35"/>
  <c r="R62" i="35" s="1"/>
  <c r="R109" i="35"/>
  <c r="R69" i="35"/>
  <c r="X60" i="35"/>
  <c r="X62" i="35" s="1"/>
  <c r="X97" i="35"/>
  <c r="X99" i="35" s="1"/>
  <c r="X100" i="35" s="1"/>
  <c r="X109" i="35"/>
  <c r="X69" i="35"/>
  <c r="BB60" i="35"/>
  <c r="BB62" i="35" s="1"/>
  <c r="BB69" i="35"/>
  <c r="BB97" i="35"/>
  <c r="BB99" i="35" s="1"/>
  <c r="BB100" i="35" s="1"/>
  <c r="BB109" i="35"/>
  <c r="AU60" i="35"/>
  <c r="AU62" i="35" s="1"/>
  <c r="AU69" i="35"/>
  <c r="AU109" i="35"/>
  <c r="AU97" i="35"/>
  <c r="AU99" i="35" s="1"/>
  <c r="AU100" i="35" s="1"/>
  <c r="BC60" i="35"/>
  <c r="BC62" i="35" s="1"/>
  <c r="BC97" i="35"/>
  <c r="BC99" i="35" s="1"/>
  <c r="BC100" i="35" s="1"/>
  <c r="BC109" i="35"/>
  <c r="BC69" i="35"/>
  <c r="AA109" i="35"/>
  <c r="AA69" i="35"/>
  <c r="AA60" i="35"/>
  <c r="AA62" i="35" s="1"/>
  <c r="AA97" i="35"/>
  <c r="AA99" i="35" s="1"/>
  <c r="AA100" i="35" s="1"/>
  <c r="T60" i="35"/>
  <c r="T62" i="35" s="1"/>
  <c r="T97" i="35"/>
  <c r="T99" i="35" s="1"/>
  <c r="T100" i="35" s="1"/>
  <c r="T109" i="35"/>
  <c r="T69" i="35"/>
  <c r="BK1189" i="14"/>
  <c r="BL1263" i="14"/>
  <c r="BK1198" i="14"/>
  <c r="BK1238" i="14"/>
  <c r="BK1220" i="14"/>
  <c r="BL1254" i="14"/>
  <c r="BM1211" i="14"/>
  <c r="AS55" i="14"/>
  <c r="AM591" i="14"/>
  <c r="BL1229" i="14" l="1"/>
  <c r="Q52" i="35"/>
  <c r="Q55" i="35" s="1"/>
  <c r="Q63" i="35"/>
  <c r="S63" i="35"/>
  <c r="S52" i="35"/>
  <c r="S55" i="35" s="1"/>
  <c r="L63" i="35"/>
  <c r="L52" i="35"/>
  <c r="L55" i="35" s="1"/>
  <c r="BF103" i="35"/>
  <c r="BF104" i="35" s="1"/>
  <c r="BF105" i="35" s="1"/>
  <c r="BF111" i="35" s="1"/>
  <c r="BF101" i="35"/>
  <c r="AW52" i="35"/>
  <c r="AW55" i="35" s="1"/>
  <c r="AW63" i="35"/>
  <c r="AD101" i="35"/>
  <c r="AD103" i="35"/>
  <c r="AD104" i="35" s="1"/>
  <c r="AD105" i="35" s="1"/>
  <c r="AD111" i="35" s="1"/>
  <c r="AO101" i="35"/>
  <c r="AO103" i="35"/>
  <c r="AO104" i="35" s="1"/>
  <c r="AO105" i="35" s="1"/>
  <c r="AO111" i="35" s="1"/>
  <c r="P101" i="35"/>
  <c r="P103" i="35"/>
  <c r="P104" i="35" s="1"/>
  <c r="P105" i="35" s="1"/>
  <c r="P111" i="35" s="1"/>
  <c r="S101" i="35"/>
  <c r="S103" i="35"/>
  <c r="S104" i="35" s="1"/>
  <c r="S105" i="35" s="1"/>
  <c r="S111" i="35" s="1"/>
  <c r="AO63" i="35"/>
  <c r="AO52" i="35"/>
  <c r="AO55" i="35" s="1"/>
  <c r="Q101" i="35"/>
  <c r="Q103" i="35"/>
  <c r="Q104" i="35" s="1"/>
  <c r="Q105" i="35" s="1"/>
  <c r="Q111" i="35" s="1"/>
  <c r="P63" i="35"/>
  <c r="P52" i="35"/>
  <c r="P55" i="35" s="1"/>
  <c r="BD103" i="35"/>
  <c r="BD104" i="35" s="1"/>
  <c r="BD105" i="35" s="1"/>
  <c r="BD111" i="35" s="1"/>
  <c r="BD101" i="35"/>
  <c r="BG103" i="35"/>
  <c r="BG104" i="35" s="1"/>
  <c r="BG105" i="35" s="1"/>
  <c r="BG111" i="35" s="1"/>
  <c r="BG101" i="35"/>
  <c r="AR63" i="35"/>
  <c r="AR52" i="35"/>
  <c r="AR55" i="35" s="1"/>
  <c r="BH63" i="35"/>
  <c r="BH52" i="35"/>
  <c r="BH55" i="35" s="1"/>
  <c r="AL101" i="35"/>
  <c r="AL103" i="35"/>
  <c r="AL104" i="35" s="1"/>
  <c r="AL105" i="35" s="1"/>
  <c r="AL111" i="35" s="1"/>
  <c r="AP101" i="35"/>
  <c r="AP103" i="35"/>
  <c r="AP104" i="35" s="1"/>
  <c r="AP105" i="35" s="1"/>
  <c r="AP111" i="35" s="1"/>
  <c r="U52" i="35"/>
  <c r="U55" i="35" s="1"/>
  <c r="U63" i="35"/>
  <c r="J63" i="35"/>
  <c r="J52" i="35"/>
  <c r="J55" i="35" s="1"/>
  <c r="R103" i="35"/>
  <c r="R104" i="35" s="1"/>
  <c r="R105" i="35" s="1"/>
  <c r="R111" i="35" s="1"/>
  <c r="R101" i="35"/>
  <c r="AN63" i="35"/>
  <c r="AN52" i="35"/>
  <c r="AN55" i="35" s="1"/>
  <c r="BG52" i="35"/>
  <c r="BG55" i="35" s="1"/>
  <c r="BG63" i="35"/>
  <c r="AR103" i="35"/>
  <c r="AR104" i="35" s="1"/>
  <c r="AR105" i="35" s="1"/>
  <c r="AR111" i="35" s="1"/>
  <c r="AR101" i="35"/>
  <c r="BH101" i="35"/>
  <c r="BH103" i="35"/>
  <c r="BH104" i="35" s="1"/>
  <c r="BH105" i="35" s="1"/>
  <c r="BH111" i="35" s="1"/>
  <c r="V63" i="35"/>
  <c r="V52" i="35"/>
  <c r="V55" i="35" s="1"/>
  <c r="AP63" i="35"/>
  <c r="AP52" i="35"/>
  <c r="AP55" i="35" s="1"/>
  <c r="J101" i="35"/>
  <c r="J103" i="35"/>
  <c r="J104" i="35" s="1"/>
  <c r="J105" i="35" s="1"/>
  <c r="J111" i="35" s="1"/>
  <c r="N45" i="34" s="1"/>
  <c r="AD63" i="35"/>
  <c r="AD52" i="35"/>
  <c r="AD55" i="35" s="1"/>
  <c r="U103" i="35"/>
  <c r="U104" i="35" s="1"/>
  <c r="U105" i="35" s="1"/>
  <c r="U111" i="35" s="1"/>
  <c r="U101" i="35"/>
  <c r="BC103" i="35"/>
  <c r="BC104" i="35" s="1"/>
  <c r="BC105" i="35" s="1"/>
  <c r="BC111" i="35" s="1"/>
  <c r="BC101" i="35"/>
  <c r="AX103" i="35"/>
  <c r="AX104" i="35" s="1"/>
  <c r="AX105" i="35" s="1"/>
  <c r="AX111" i="35" s="1"/>
  <c r="AX101" i="35"/>
  <c r="AU63" i="35"/>
  <c r="AU52" i="35"/>
  <c r="AU55" i="35" s="1"/>
  <c r="V101" i="35"/>
  <c r="V103" i="35"/>
  <c r="V104" i="35" s="1"/>
  <c r="V105" i="35" s="1"/>
  <c r="V111" i="35" s="1"/>
  <c r="AL63" i="35"/>
  <c r="AL52" i="35"/>
  <c r="AL55" i="35" s="1"/>
  <c r="AX52" i="35"/>
  <c r="AX55" i="35" s="1"/>
  <c r="AX63" i="35"/>
  <c r="H43" i="34"/>
  <c r="AW101" i="35"/>
  <c r="AW103" i="35"/>
  <c r="AW104" i="35" s="1"/>
  <c r="AW105" i="35" s="1"/>
  <c r="AW111" i="35" s="1"/>
  <c r="BA103" i="35"/>
  <c r="BA104" i="35" s="1"/>
  <c r="BA105" i="35" s="1"/>
  <c r="BA111" i="35" s="1"/>
  <c r="BA101" i="35"/>
  <c r="N103" i="35"/>
  <c r="N104" i="35" s="1"/>
  <c r="N105" i="35" s="1"/>
  <c r="N111" i="35" s="1"/>
  <c r="N101" i="35"/>
  <c r="H101" i="35"/>
  <c r="H103" i="35"/>
  <c r="H104" i="35" s="1"/>
  <c r="H105" i="35" s="1"/>
  <c r="H111" i="35" s="1"/>
  <c r="AY63" i="35"/>
  <c r="AY52" i="35"/>
  <c r="AY55" i="35" s="1"/>
  <c r="AS103" i="35"/>
  <c r="AS104" i="35" s="1"/>
  <c r="AS105" i="35" s="1"/>
  <c r="AS111" i="35" s="1"/>
  <c r="AS101" i="35"/>
  <c r="BE101" i="35"/>
  <c r="BE103" i="35"/>
  <c r="BE104" i="35" s="1"/>
  <c r="BE105" i="35" s="1"/>
  <c r="BE111" i="35" s="1"/>
  <c r="AM101" i="35"/>
  <c r="AM103" i="35"/>
  <c r="AM104" i="35" s="1"/>
  <c r="AM105" i="35" s="1"/>
  <c r="AM111" i="35" s="1"/>
  <c r="AY103" i="35"/>
  <c r="AY104" i="35" s="1"/>
  <c r="AY105" i="35" s="1"/>
  <c r="AY111" i="35" s="1"/>
  <c r="AY101" i="35"/>
  <c r="BE63" i="35"/>
  <c r="BE52" i="35"/>
  <c r="BE55" i="35" s="1"/>
  <c r="BF63" i="35"/>
  <c r="BF52" i="35"/>
  <c r="BF55" i="35" s="1"/>
  <c r="AN103" i="35"/>
  <c r="AN104" i="35" s="1"/>
  <c r="AN105" i="35" s="1"/>
  <c r="AN111" i="35" s="1"/>
  <c r="AN101" i="35"/>
  <c r="Y101" i="35"/>
  <c r="Y103" i="35"/>
  <c r="Y104" i="35" s="1"/>
  <c r="Y105" i="35" s="1"/>
  <c r="Y111" i="35" s="1"/>
  <c r="H63" i="35"/>
  <c r="H52" i="35"/>
  <c r="H55" i="35" s="1"/>
  <c r="AS63" i="35"/>
  <c r="AS52" i="35"/>
  <c r="AS55" i="35" s="1"/>
  <c r="Z103" i="35"/>
  <c r="Z104" i="35" s="1"/>
  <c r="Z105" i="35" s="1"/>
  <c r="Z111" i="35" s="1"/>
  <c r="Z101" i="35"/>
  <c r="L101" i="35"/>
  <c r="L103" i="35"/>
  <c r="L104" i="35" s="1"/>
  <c r="L105" i="35" s="1"/>
  <c r="L111" i="35" s="1"/>
  <c r="BC63" i="35"/>
  <c r="BC52" i="35"/>
  <c r="BC55" i="35" s="1"/>
  <c r="BB52" i="35"/>
  <c r="BB55" i="35" s="1"/>
  <c r="BB63" i="35"/>
  <c r="AM63" i="35"/>
  <c r="AM52" i="35"/>
  <c r="AM55" i="35" s="1"/>
  <c r="AC101" i="35"/>
  <c r="AC103" i="35"/>
  <c r="AC104" i="35" s="1"/>
  <c r="AC105" i="35" s="1"/>
  <c r="AC111" i="35" s="1"/>
  <c r="N63" i="35"/>
  <c r="N52" i="35"/>
  <c r="N55" i="35" s="1"/>
  <c r="Y63" i="35"/>
  <c r="Y52" i="35"/>
  <c r="Y55" i="35" s="1"/>
  <c r="Z63" i="35"/>
  <c r="Z52" i="35"/>
  <c r="Z55" i="35" s="1"/>
  <c r="BD52" i="35"/>
  <c r="BD55" i="35" s="1"/>
  <c r="BD63" i="35"/>
  <c r="AU101" i="35"/>
  <c r="AU103" i="35"/>
  <c r="AU104" i="35" s="1"/>
  <c r="AU105" i="35" s="1"/>
  <c r="AU111" i="35" s="1"/>
  <c r="T63" i="35"/>
  <c r="T52" i="35"/>
  <c r="T55" i="35" s="1"/>
  <c r="BA63" i="35"/>
  <c r="BA52" i="35"/>
  <c r="BA55" i="35" s="1"/>
  <c r="AA103" i="35"/>
  <c r="AA104" i="35" s="1"/>
  <c r="AA105" i="35" s="1"/>
  <c r="AA111" i="35" s="1"/>
  <c r="AA101" i="35"/>
  <c r="O63" i="35"/>
  <c r="O52" i="35"/>
  <c r="O55" i="35" s="1"/>
  <c r="I63" i="35"/>
  <c r="I52" i="35"/>
  <c r="I55" i="35" s="1"/>
  <c r="AT101" i="35"/>
  <c r="AT103" i="35"/>
  <c r="AT104" i="35" s="1"/>
  <c r="AT105" i="35" s="1"/>
  <c r="AT111" i="35" s="1"/>
  <c r="AB52" i="35"/>
  <c r="AB55" i="35" s="1"/>
  <c r="AB63" i="35"/>
  <c r="AZ63" i="35"/>
  <c r="AZ52" i="35"/>
  <c r="AZ55" i="35" s="1"/>
  <c r="AQ63" i="35"/>
  <c r="AQ52" i="35"/>
  <c r="AQ55" i="35" s="1"/>
  <c r="BB101" i="35"/>
  <c r="BB103" i="35"/>
  <c r="BB104" i="35" s="1"/>
  <c r="BB105" i="35" s="1"/>
  <c r="BB111" i="35" s="1"/>
  <c r="AA63" i="35"/>
  <c r="AA52" i="35"/>
  <c r="AA55" i="35" s="1"/>
  <c r="I103" i="35"/>
  <c r="I104" i="35" s="1"/>
  <c r="I105" i="35" s="1"/>
  <c r="I111" i="35" s="1"/>
  <c r="I101" i="35"/>
  <c r="W63" i="35"/>
  <c r="W52" i="35"/>
  <c r="W55" i="35" s="1"/>
  <c r="AT63" i="35"/>
  <c r="AT52" i="35"/>
  <c r="AT55" i="35" s="1"/>
  <c r="AB101" i="35"/>
  <c r="AB103" i="35"/>
  <c r="AB104" i="35" s="1"/>
  <c r="AB105" i="35" s="1"/>
  <c r="AB111" i="35" s="1"/>
  <c r="AQ103" i="35"/>
  <c r="AQ104" i="35" s="1"/>
  <c r="AQ105" i="35" s="1"/>
  <c r="AQ111" i="35" s="1"/>
  <c r="AQ101" i="35"/>
  <c r="K101" i="35"/>
  <c r="K103" i="35"/>
  <c r="K104" i="35" s="1"/>
  <c r="K105" i="35" s="1"/>
  <c r="K111" i="35" s="1"/>
  <c r="AC63" i="35"/>
  <c r="AC52" i="35"/>
  <c r="AC55" i="35" s="1"/>
  <c r="X101" i="35"/>
  <c r="X103" i="35"/>
  <c r="X104" i="35" s="1"/>
  <c r="X105" i="35" s="1"/>
  <c r="X111" i="35" s="1"/>
  <c r="M101" i="35"/>
  <c r="M103" i="35"/>
  <c r="M104" i="35" s="1"/>
  <c r="M105" i="35" s="1"/>
  <c r="M111" i="35" s="1"/>
  <c r="AV103" i="35"/>
  <c r="AV104" i="35" s="1"/>
  <c r="AV105" i="35" s="1"/>
  <c r="AV111" i="35" s="1"/>
  <c r="AV101" i="35"/>
  <c r="R63" i="35"/>
  <c r="R52" i="35"/>
  <c r="R55" i="35" s="1"/>
  <c r="T101" i="35"/>
  <c r="T103" i="35"/>
  <c r="T104" i="35" s="1"/>
  <c r="T105" i="35" s="1"/>
  <c r="T111" i="35" s="1"/>
  <c r="X52" i="35"/>
  <c r="X55" i="35" s="1"/>
  <c r="X63" i="35"/>
  <c r="O103" i="35"/>
  <c r="O104" i="35" s="1"/>
  <c r="O105" i="35" s="1"/>
  <c r="O111" i="35" s="1"/>
  <c r="O101" i="35"/>
  <c r="W101" i="35"/>
  <c r="W103" i="35"/>
  <c r="W104" i="35" s="1"/>
  <c r="W105" i="35" s="1"/>
  <c r="W111" i="35" s="1"/>
  <c r="M63" i="35"/>
  <c r="M52" i="35"/>
  <c r="M55" i="35" s="1"/>
  <c r="AV63" i="35"/>
  <c r="AV52" i="35"/>
  <c r="AV55" i="35" s="1"/>
  <c r="AZ101" i="35"/>
  <c r="AZ103" i="35"/>
  <c r="AZ104" i="35" s="1"/>
  <c r="AZ105" i="35" s="1"/>
  <c r="AZ111" i="35" s="1"/>
  <c r="K63" i="35"/>
  <c r="K52" i="35"/>
  <c r="K55" i="35" s="1"/>
  <c r="BL1189" i="14"/>
  <c r="BM1263" i="14"/>
  <c r="BL1220" i="14"/>
  <c r="BL1238" i="14"/>
  <c r="BL1198" i="14"/>
  <c r="BM1254" i="14"/>
  <c r="BN1211" i="14"/>
  <c r="AT55" i="14"/>
  <c r="AN591" i="14"/>
  <c r="BM1229" i="14" l="1"/>
  <c r="AQ87" i="35"/>
  <c r="AQ91" i="35" s="1"/>
  <c r="AQ92" i="35" s="1"/>
  <c r="AQ120" i="35"/>
  <c r="AQ126" i="35" s="1"/>
  <c r="AA102" i="35"/>
  <c r="AA110" i="35" s="1"/>
  <c r="AA106" i="35"/>
  <c r="AA107" i="35" s="1"/>
  <c r="AA108" i="35" s="1"/>
  <c r="AA112" i="35" s="1"/>
  <c r="BC66" i="35"/>
  <c r="BC67" i="35" s="1"/>
  <c r="BC68" i="35" s="1"/>
  <c r="BC71" i="35" s="1"/>
  <c r="BC64" i="35"/>
  <c r="BC65" i="35" s="1"/>
  <c r="BC70" i="35" s="1"/>
  <c r="AS106" i="35"/>
  <c r="AS107" i="35" s="1"/>
  <c r="AS108" i="35" s="1"/>
  <c r="AS112" i="35" s="1"/>
  <c r="AS102" i="35"/>
  <c r="AS110" i="35" s="1"/>
  <c r="BC106" i="35"/>
  <c r="BC107" i="35" s="1"/>
  <c r="BC108" i="35" s="1"/>
  <c r="BC112" i="35" s="1"/>
  <c r="BC102" i="35"/>
  <c r="BC110" i="35" s="1"/>
  <c r="BH106" i="35"/>
  <c r="BH107" i="35" s="1"/>
  <c r="BH108" i="35" s="1"/>
  <c r="BH112" i="35" s="1"/>
  <c r="BH102" i="35"/>
  <c r="BH110" i="35" s="1"/>
  <c r="Q106" i="35"/>
  <c r="Q107" i="35" s="1"/>
  <c r="Q108" i="35" s="1"/>
  <c r="Q112" i="35" s="1"/>
  <c r="Q102" i="35"/>
  <c r="Q110" i="35" s="1"/>
  <c r="AR106" i="35"/>
  <c r="AR107" i="35" s="1"/>
  <c r="AR108" i="35" s="1"/>
  <c r="AR112" i="35" s="1"/>
  <c r="AR102" i="35"/>
  <c r="AR110" i="35" s="1"/>
  <c r="AP106" i="35"/>
  <c r="AP107" i="35" s="1"/>
  <c r="AP108" i="35" s="1"/>
  <c r="AP112" i="35" s="1"/>
  <c r="AP102" i="35"/>
  <c r="AP110" i="35" s="1"/>
  <c r="AD102" i="35"/>
  <c r="AD110" i="35" s="1"/>
  <c r="AD106" i="35"/>
  <c r="AD107" i="35" s="1"/>
  <c r="AD108" i="35" s="1"/>
  <c r="AD112" i="35" s="1"/>
  <c r="AW66" i="35"/>
  <c r="AW67" i="35" s="1"/>
  <c r="AW68" i="35" s="1"/>
  <c r="AW71" i="35" s="1"/>
  <c r="AW64" i="35"/>
  <c r="AW65" i="35" s="1"/>
  <c r="AW70" i="35" s="1"/>
  <c r="AN102" i="35"/>
  <c r="AN110" i="35" s="1"/>
  <c r="AN106" i="35"/>
  <c r="AN107" i="35" s="1"/>
  <c r="AN108" i="35" s="1"/>
  <c r="AN112" i="35" s="1"/>
  <c r="T106" i="35"/>
  <c r="T107" i="35" s="1"/>
  <c r="T108" i="35" s="1"/>
  <c r="T112" i="35" s="1"/>
  <c r="T102" i="35"/>
  <c r="T110" i="35" s="1"/>
  <c r="AZ87" i="35"/>
  <c r="AZ91" i="35" s="1"/>
  <c r="AZ92" i="35" s="1"/>
  <c r="AZ120" i="35"/>
  <c r="AZ126" i="35" s="1"/>
  <c r="AY87" i="35"/>
  <c r="AY91" i="35" s="1"/>
  <c r="AY92" i="35" s="1"/>
  <c r="AY120" i="35"/>
  <c r="AY126" i="35" s="1"/>
  <c r="AT87" i="35"/>
  <c r="AT91" i="35" s="1"/>
  <c r="AT92" i="35" s="1"/>
  <c r="AT120" i="35"/>
  <c r="AT126" i="35" s="1"/>
  <c r="BA66" i="35"/>
  <c r="BA67" i="35" s="1"/>
  <c r="BA68" i="35" s="1"/>
  <c r="BA71" i="35" s="1"/>
  <c r="BA64" i="35"/>
  <c r="BA65" i="35" s="1"/>
  <c r="BA70" i="35" s="1"/>
  <c r="Y87" i="35"/>
  <c r="Y91" i="35" s="1"/>
  <c r="Y120" i="35"/>
  <c r="Y126" i="35" s="1"/>
  <c r="Y128" i="35" s="1"/>
  <c r="Y40" i="34" s="1"/>
  <c r="Z106" i="35"/>
  <c r="Z107" i="35" s="1"/>
  <c r="Z108" i="35" s="1"/>
  <c r="Z112" i="35" s="1"/>
  <c r="Z102" i="35"/>
  <c r="Z110" i="35" s="1"/>
  <c r="BE87" i="35"/>
  <c r="BE91" i="35" s="1"/>
  <c r="BE92" i="35" s="1"/>
  <c r="BE120" i="35"/>
  <c r="BE126" i="35" s="1"/>
  <c r="AY66" i="35"/>
  <c r="AY67" i="35" s="1"/>
  <c r="AY68" i="35" s="1"/>
  <c r="AY71" i="35" s="1"/>
  <c r="AY64" i="35"/>
  <c r="AY65" i="35" s="1"/>
  <c r="AY70" i="35" s="1"/>
  <c r="AX87" i="35"/>
  <c r="AX91" i="35" s="1"/>
  <c r="AX92" i="35" s="1"/>
  <c r="AX120" i="35"/>
  <c r="AX126" i="35" s="1"/>
  <c r="BG66" i="35"/>
  <c r="BG67" i="35" s="1"/>
  <c r="BG68" i="35" s="1"/>
  <c r="BG71" i="35" s="1"/>
  <c r="BG64" i="35"/>
  <c r="BG65" i="35" s="1"/>
  <c r="BG70" i="35" s="1"/>
  <c r="AL106" i="35"/>
  <c r="AL107" i="35" s="1"/>
  <c r="AL108" i="35" s="1"/>
  <c r="AL112" i="35" s="1"/>
  <c r="AL102" i="35"/>
  <c r="AL110" i="35" s="1"/>
  <c r="AO87" i="35"/>
  <c r="AO91" i="35" s="1"/>
  <c r="AO92" i="35" s="1"/>
  <c r="AO120" i="35"/>
  <c r="AO126" i="35" s="1"/>
  <c r="AW87" i="35"/>
  <c r="AW91" i="35" s="1"/>
  <c r="AW92" i="35" s="1"/>
  <c r="AW120" i="35"/>
  <c r="AW126" i="35" s="1"/>
  <c r="Z66" i="35"/>
  <c r="Z67" i="35" s="1"/>
  <c r="Z68" i="35" s="1"/>
  <c r="Z71" i="35" s="1"/>
  <c r="Z64" i="35"/>
  <c r="Z65" i="35" s="1"/>
  <c r="Z70" i="35" s="1"/>
  <c r="BA87" i="35"/>
  <c r="BA91" i="35" s="1"/>
  <c r="BA92" i="35" s="1"/>
  <c r="BA120" i="35"/>
  <c r="BA126" i="35" s="1"/>
  <c r="U102" i="35"/>
  <c r="U110" i="35" s="1"/>
  <c r="U106" i="35"/>
  <c r="U107" i="35" s="1"/>
  <c r="U108" i="35" s="1"/>
  <c r="U112" i="35" s="1"/>
  <c r="AC87" i="35"/>
  <c r="AC91" i="35" s="1"/>
  <c r="AC120" i="35"/>
  <c r="AC126" i="35" s="1"/>
  <c r="AC128" i="35" s="1"/>
  <c r="AC40" i="34" s="1"/>
  <c r="T87" i="35"/>
  <c r="T91" i="35" s="1"/>
  <c r="T120" i="35"/>
  <c r="T126" i="35" s="1"/>
  <c r="T128" i="35" s="1"/>
  <c r="T40" i="34" s="1"/>
  <c r="BE66" i="35"/>
  <c r="BE67" i="35" s="1"/>
  <c r="BE68" i="35" s="1"/>
  <c r="BE71" i="35" s="1"/>
  <c r="BE64" i="35"/>
  <c r="BE65" i="35" s="1"/>
  <c r="BE70" i="35" s="1"/>
  <c r="BG87" i="35"/>
  <c r="BG91" i="35" s="1"/>
  <c r="BG92" i="35" s="1"/>
  <c r="BG120" i="35"/>
  <c r="BG126" i="35" s="1"/>
  <c r="AO66" i="35"/>
  <c r="AO67" i="35" s="1"/>
  <c r="AO68" i="35" s="1"/>
  <c r="AO71" i="35" s="1"/>
  <c r="AO64" i="35"/>
  <c r="AO65" i="35" s="1"/>
  <c r="AO70" i="35" s="1"/>
  <c r="AQ66" i="35"/>
  <c r="AQ67" i="35" s="1"/>
  <c r="AQ68" i="35" s="1"/>
  <c r="AQ71" i="35" s="1"/>
  <c r="AQ64" i="35"/>
  <c r="AQ65" i="35" s="1"/>
  <c r="AQ70" i="35" s="1"/>
  <c r="BF87" i="35"/>
  <c r="BF91" i="35" s="1"/>
  <c r="BF92" i="35" s="1"/>
  <c r="BF120" i="35"/>
  <c r="BF126" i="35" s="1"/>
  <c r="AB106" i="35"/>
  <c r="AB107" i="35" s="1"/>
  <c r="AB108" i="35" s="1"/>
  <c r="AB112" i="35" s="1"/>
  <c r="AB102" i="35"/>
  <c r="AB110" i="35" s="1"/>
  <c r="AZ66" i="35"/>
  <c r="AZ67" i="35" s="1"/>
  <c r="AZ68" i="35" s="1"/>
  <c r="AZ71" i="35" s="1"/>
  <c r="AZ64" i="35"/>
  <c r="AZ65" i="35" s="1"/>
  <c r="AZ70" i="35" s="1"/>
  <c r="AV87" i="35"/>
  <c r="AV91" i="35" s="1"/>
  <c r="AV92" i="35" s="1"/>
  <c r="AV120" i="35"/>
  <c r="AV126" i="35" s="1"/>
  <c r="R87" i="35"/>
  <c r="R91" i="35" s="1"/>
  <c r="R120" i="35"/>
  <c r="R126" i="35" s="1"/>
  <c r="R128" i="35" s="1"/>
  <c r="R40" i="34" s="1"/>
  <c r="AC64" i="35"/>
  <c r="AC65" i="35" s="1"/>
  <c r="AC70" i="35" s="1"/>
  <c r="AC66" i="35"/>
  <c r="AC67" i="35" s="1"/>
  <c r="AC68" i="35" s="1"/>
  <c r="AC71" i="35" s="1"/>
  <c r="W87" i="35"/>
  <c r="W91" i="35" s="1"/>
  <c r="W120" i="35"/>
  <c r="W126" i="35" s="1"/>
  <c r="W128" i="35" s="1"/>
  <c r="W40" i="34" s="1"/>
  <c r="T66" i="35"/>
  <c r="T67" i="35" s="1"/>
  <c r="T68" i="35" s="1"/>
  <c r="T71" i="35" s="1"/>
  <c r="T64" i="35"/>
  <c r="T65" i="35" s="1"/>
  <c r="T70" i="35" s="1"/>
  <c r="N87" i="35"/>
  <c r="N91" i="35" s="1"/>
  <c r="N120" i="35"/>
  <c r="N126" i="35" s="1"/>
  <c r="N128" i="35" s="1"/>
  <c r="N40" i="34" s="1"/>
  <c r="AY102" i="35"/>
  <c r="AY110" i="35" s="1"/>
  <c r="AY106" i="35"/>
  <c r="AY107" i="35" s="1"/>
  <c r="AY108" i="35" s="1"/>
  <c r="AY112" i="35" s="1"/>
  <c r="H106" i="35"/>
  <c r="H107" i="35" s="1"/>
  <c r="H108" i="35" s="1"/>
  <c r="H112" i="35" s="1"/>
  <c r="H102" i="35"/>
  <c r="H110" i="35" s="1"/>
  <c r="AL87" i="35"/>
  <c r="AL91" i="35" s="1"/>
  <c r="AL92" i="35" s="1"/>
  <c r="AL120" i="35"/>
  <c r="AL126" i="35" s="1"/>
  <c r="AD87" i="35"/>
  <c r="AD91" i="35" s="1"/>
  <c r="AD120" i="35"/>
  <c r="AD126" i="35" s="1"/>
  <c r="AD128" i="35" s="1"/>
  <c r="AD40" i="34" s="1"/>
  <c r="AN87" i="35"/>
  <c r="AN91" i="35" s="1"/>
  <c r="AN92" i="35" s="1"/>
  <c r="AN120" i="35"/>
  <c r="AN126" i="35" s="1"/>
  <c r="BH87" i="35"/>
  <c r="BH91" i="35" s="1"/>
  <c r="BH92" i="35" s="1"/>
  <c r="BH120" i="35"/>
  <c r="BH126" i="35" s="1"/>
  <c r="BF106" i="35"/>
  <c r="BF107" i="35" s="1"/>
  <c r="BF108" i="35" s="1"/>
  <c r="BF112" i="35" s="1"/>
  <c r="BF102" i="35"/>
  <c r="BF110" i="35" s="1"/>
  <c r="X64" i="35"/>
  <c r="X65" i="35" s="1"/>
  <c r="X70" i="35" s="1"/>
  <c r="X66" i="35"/>
  <c r="X67" i="35" s="1"/>
  <c r="X68" i="35" s="1"/>
  <c r="X71" i="35" s="1"/>
  <c r="X106" i="35"/>
  <c r="X107" i="35" s="1"/>
  <c r="X108" i="35" s="1"/>
  <c r="X112" i="35" s="1"/>
  <c r="X102" i="35"/>
  <c r="X110" i="35" s="1"/>
  <c r="L102" i="35"/>
  <c r="L110" i="35" s="1"/>
  <c r="L106" i="35"/>
  <c r="L107" i="35" s="1"/>
  <c r="L108" i="35" s="1"/>
  <c r="L112" i="35" s="1"/>
  <c r="BF64" i="35"/>
  <c r="BF65" i="35" s="1"/>
  <c r="BF70" i="35" s="1"/>
  <c r="BF66" i="35"/>
  <c r="BF67" i="35" s="1"/>
  <c r="BF68" i="35" s="1"/>
  <c r="BF71" i="35" s="1"/>
  <c r="AX66" i="35"/>
  <c r="AX67" i="35" s="1"/>
  <c r="AX68" i="35" s="1"/>
  <c r="AX71" i="35" s="1"/>
  <c r="AX64" i="35"/>
  <c r="AX65" i="35" s="1"/>
  <c r="AX70" i="35" s="1"/>
  <c r="AZ106" i="35"/>
  <c r="AZ107" i="35" s="1"/>
  <c r="AZ108" i="35" s="1"/>
  <c r="AZ112" i="35" s="1"/>
  <c r="AZ102" i="35"/>
  <c r="AZ110" i="35" s="1"/>
  <c r="AT66" i="35"/>
  <c r="AT67" i="35" s="1"/>
  <c r="AT68" i="35" s="1"/>
  <c r="AT71" i="35" s="1"/>
  <c r="AT64" i="35"/>
  <c r="AT65" i="35" s="1"/>
  <c r="AT70" i="35" s="1"/>
  <c r="Y66" i="35"/>
  <c r="Y67" i="35" s="1"/>
  <c r="Y68" i="35" s="1"/>
  <c r="Y71" i="35" s="1"/>
  <c r="Y64" i="35"/>
  <c r="Y65" i="35" s="1"/>
  <c r="Y70" i="35" s="1"/>
  <c r="AV64" i="35"/>
  <c r="AV65" i="35" s="1"/>
  <c r="AV70" i="35" s="1"/>
  <c r="AV66" i="35"/>
  <c r="AV67" i="35" s="1"/>
  <c r="AV68" i="35" s="1"/>
  <c r="AV71" i="35" s="1"/>
  <c r="R66" i="35"/>
  <c r="R67" i="35" s="1"/>
  <c r="R68" i="35" s="1"/>
  <c r="R71" i="35" s="1"/>
  <c r="R64" i="35"/>
  <c r="R65" i="35" s="1"/>
  <c r="R70" i="35" s="1"/>
  <c r="W64" i="35"/>
  <c r="W65" i="35" s="1"/>
  <c r="W70" i="35" s="1"/>
  <c r="W66" i="35"/>
  <c r="W67" i="35" s="1"/>
  <c r="W68" i="35" s="1"/>
  <c r="W71" i="35" s="1"/>
  <c r="AB64" i="35"/>
  <c r="AB65" i="35" s="1"/>
  <c r="AB70" i="35" s="1"/>
  <c r="AB66" i="35"/>
  <c r="AB67" i="35" s="1"/>
  <c r="AB68" i="35" s="1"/>
  <c r="AB71" i="35" s="1"/>
  <c r="N64" i="35"/>
  <c r="N65" i="35" s="1"/>
  <c r="N70" i="35" s="1"/>
  <c r="N66" i="35"/>
  <c r="N67" i="35" s="1"/>
  <c r="N68" i="35" s="1"/>
  <c r="N71" i="35" s="1"/>
  <c r="AS87" i="35"/>
  <c r="AS91" i="35" s="1"/>
  <c r="AS92" i="35" s="1"/>
  <c r="AS120" i="35"/>
  <c r="AS126" i="35" s="1"/>
  <c r="AL64" i="35"/>
  <c r="AL65" i="35" s="1"/>
  <c r="AL70" i="35" s="1"/>
  <c r="AL66" i="35"/>
  <c r="AL67" i="35" s="1"/>
  <c r="AL68" i="35" s="1"/>
  <c r="AL71" i="35" s="1"/>
  <c r="AD64" i="35"/>
  <c r="AD65" i="35" s="1"/>
  <c r="AD70" i="35" s="1"/>
  <c r="AD66" i="35"/>
  <c r="AD67" i="35" s="1"/>
  <c r="AD68" i="35" s="1"/>
  <c r="AD71" i="35" s="1"/>
  <c r="AN66" i="35"/>
  <c r="AN67" i="35" s="1"/>
  <c r="AN68" i="35" s="1"/>
  <c r="AN71" i="35" s="1"/>
  <c r="AN64" i="35"/>
  <c r="AN65" i="35" s="1"/>
  <c r="AN70" i="35" s="1"/>
  <c r="BH66" i="35"/>
  <c r="BH67" i="35" s="1"/>
  <c r="BH68" i="35" s="1"/>
  <c r="BH71" i="35" s="1"/>
  <c r="BH64" i="35"/>
  <c r="BH65" i="35" s="1"/>
  <c r="BH70" i="35" s="1"/>
  <c r="AW106" i="35"/>
  <c r="AW107" i="35" s="1"/>
  <c r="AW108" i="35" s="1"/>
  <c r="AW112" i="35" s="1"/>
  <c r="AW102" i="35"/>
  <c r="AW110" i="35" s="1"/>
  <c r="AS64" i="35"/>
  <c r="AS65" i="35" s="1"/>
  <c r="AS70" i="35" s="1"/>
  <c r="AS66" i="35"/>
  <c r="AS67" i="35" s="1"/>
  <c r="AS68" i="35" s="1"/>
  <c r="AS71" i="35" s="1"/>
  <c r="N102" i="35"/>
  <c r="N110" i="35" s="1"/>
  <c r="N106" i="35"/>
  <c r="N107" i="35" s="1"/>
  <c r="N108" i="35" s="1"/>
  <c r="N112" i="35" s="1"/>
  <c r="AR87" i="35"/>
  <c r="AR91" i="35" s="1"/>
  <c r="AR92" i="35" s="1"/>
  <c r="AR120" i="35"/>
  <c r="AR126" i="35" s="1"/>
  <c r="AC102" i="35"/>
  <c r="AC110" i="35" s="1"/>
  <c r="AC106" i="35"/>
  <c r="AC107" i="35" s="1"/>
  <c r="AC108" i="35" s="1"/>
  <c r="AC112" i="35" s="1"/>
  <c r="V102" i="35"/>
  <c r="V110" i="35" s="1"/>
  <c r="V106" i="35"/>
  <c r="V107" i="35" s="1"/>
  <c r="V108" i="35" s="1"/>
  <c r="V112" i="35" s="1"/>
  <c r="J106" i="35"/>
  <c r="J107" i="35" s="1"/>
  <c r="J108" i="35" s="1"/>
  <c r="J102" i="35"/>
  <c r="J110" i="35" s="1"/>
  <c r="N44" i="34" s="1"/>
  <c r="R102" i="35"/>
  <c r="R110" i="35" s="1"/>
  <c r="R106" i="35"/>
  <c r="R107" i="35" s="1"/>
  <c r="R108" i="35" s="1"/>
  <c r="R112" i="35" s="1"/>
  <c r="AR66" i="35"/>
  <c r="AR67" i="35" s="1"/>
  <c r="AR68" i="35" s="1"/>
  <c r="AR71" i="35" s="1"/>
  <c r="AR64" i="35"/>
  <c r="AR65" i="35" s="1"/>
  <c r="AR70" i="35" s="1"/>
  <c r="S102" i="35"/>
  <c r="S110" i="35" s="1"/>
  <c r="S106" i="35"/>
  <c r="S107" i="35" s="1"/>
  <c r="S108" i="35" s="1"/>
  <c r="S112" i="35" s="1"/>
  <c r="L87" i="35"/>
  <c r="L91" i="35" s="1"/>
  <c r="L120" i="35"/>
  <c r="L126" i="35" s="1"/>
  <c r="L128" i="35" s="1"/>
  <c r="L40" i="34" s="1"/>
  <c r="K64" i="35"/>
  <c r="K65" i="35" s="1"/>
  <c r="K70" i="35" s="1"/>
  <c r="K66" i="35"/>
  <c r="K67" i="35" s="1"/>
  <c r="K68" i="35" s="1"/>
  <c r="K71" i="35" s="1"/>
  <c r="AM87" i="35"/>
  <c r="AM91" i="35" s="1"/>
  <c r="AM92" i="35" s="1"/>
  <c r="AM120" i="35"/>
  <c r="AM126" i="35" s="1"/>
  <c r="H87" i="35"/>
  <c r="H91" i="35" s="1"/>
  <c r="H120" i="35"/>
  <c r="H126" i="35" s="1"/>
  <c r="H128" i="35" s="1"/>
  <c r="H40" i="34" s="1"/>
  <c r="BA106" i="35"/>
  <c r="BA107" i="35" s="1"/>
  <c r="BA108" i="35" s="1"/>
  <c r="BA112" i="35" s="1"/>
  <c r="BA102" i="35"/>
  <c r="BA110" i="35" s="1"/>
  <c r="BG102" i="35"/>
  <c r="BG110" i="35" s="1"/>
  <c r="BG106" i="35"/>
  <c r="BG107" i="35" s="1"/>
  <c r="BG108" i="35" s="1"/>
  <c r="BG112" i="35" s="1"/>
  <c r="L66" i="35"/>
  <c r="L67" i="35" s="1"/>
  <c r="L68" i="35" s="1"/>
  <c r="L71" i="35" s="1"/>
  <c r="L64" i="35"/>
  <c r="L65" i="35" s="1"/>
  <c r="L70" i="35" s="1"/>
  <c r="BC87" i="35"/>
  <c r="BC91" i="35" s="1"/>
  <c r="BC92" i="35" s="1"/>
  <c r="BC120" i="35"/>
  <c r="BC126" i="35" s="1"/>
  <c r="AA87" i="35"/>
  <c r="AA91" i="35" s="1"/>
  <c r="AA120" i="35"/>
  <c r="AA126" i="35" s="1"/>
  <c r="AA128" i="35" s="1"/>
  <c r="AA40" i="34" s="1"/>
  <c r="AA64" i="35"/>
  <c r="AA65" i="35" s="1"/>
  <c r="AA70" i="35" s="1"/>
  <c r="AA66" i="35"/>
  <c r="AA67" i="35" s="1"/>
  <c r="AA68" i="35" s="1"/>
  <c r="AA71" i="35" s="1"/>
  <c r="AU102" i="35"/>
  <c r="AU110" i="35" s="1"/>
  <c r="AU106" i="35"/>
  <c r="AU107" i="35" s="1"/>
  <c r="AU108" i="35" s="1"/>
  <c r="AU112" i="35" s="1"/>
  <c r="AM66" i="35"/>
  <c r="AM67" i="35" s="1"/>
  <c r="AM68" i="35" s="1"/>
  <c r="AM71" i="35" s="1"/>
  <c r="AM64" i="35"/>
  <c r="AM65" i="35" s="1"/>
  <c r="AM70" i="35" s="1"/>
  <c r="H64" i="35"/>
  <c r="H65" i="35" s="1"/>
  <c r="H70" i="35" s="1"/>
  <c r="H66" i="35"/>
  <c r="H67" i="35" s="1"/>
  <c r="H68" i="35" s="1"/>
  <c r="H71" i="35" s="1"/>
  <c r="P102" i="35"/>
  <c r="P110" i="35" s="1"/>
  <c r="P106" i="35"/>
  <c r="P107" i="35" s="1"/>
  <c r="P108" i="35" s="1"/>
  <c r="P112" i="35" s="1"/>
  <c r="S87" i="35"/>
  <c r="S91" i="35" s="1"/>
  <c r="S120" i="35"/>
  <c r="S126" i="35" s="1"/>
  <c r="S128" i="35" s="1"/>
  <c r="S40" i="34" s="1"/>
  <c r="K87" i="35"/>
  <c r="K91" i="35" s="1"/>
  <c r="K120" i="35"/>
  <c r="K126" i="35" s="1"/>
  <c r="K128" i="35" s="1"/>
  <c r="K40" i="34" s="1"/>
  <c r="M87" i="35"/>
  <c r="M91" i="35" s="1"/>
  <c r="M120" i="35"/>
  <c r="M126" i="35" s="1"/>
  <c r="M128" i="35" s="1"/>
  <c r="M40" i="34" s="1"/>
  <c r="K106" i="35"/>
  <c r="K107" i="35" s="1"/>
  <c r="K108" i="35" s="1"/>
  <c r="K112" i="35" s="1"/>
  <c r="K102" i="35"/>
  <c r="K110" i="35" s="1"/>
  <c r="I87" i="35"/>
  <c r="I91" i="35" s="1"/>
  <c r="I120" i="35"/>
  <c r="I126" i="35" s="1"/>
  <c r="I128" i="35" s="1"/>
  <c r="I40" i="34" s="1"/>
  <c r="BD66" i="35"/>
  <c r="BD67" i="35" s="1"/>
  <c r="BD68" i="35" s="1"/>
  <c r="BD71" i="35" s="1"/>
  <c r="BD64" i="35"/>
  <c r="BD65" i="35" s="1"/>
  <c r="BD70" i="35" s="1"/>
  <c r="BB64" i="35"/>
  <c r="BB65" i="35" s="1"/>
  <c r="BB70" i="35" s="1"/>
  <c r="BB66" i="35"/>
  <c r="BB67" i="35" s="1"/>
  <c r="BB68" i="35" s="1"/>
  <c r="BB71" i="35" s="1"/>
  <c r="AM102" i="35"/>
  <c r="AM110" i="35" s="1"/>
  <c r="AM106" i="35"/>
  <c r="AM107" i="35" s="1"/>
  <c r="AM108" i="35" s="1"/>
  <c r="AM112" i="35" s="1"/>
  <c r="AP87" i="35"/>
  <c r="AP91" i="35" s="1"/>
  <c r="AP92" i="35" s="1"/>
  <c r="AP120" i="35"/>
  <c r="AP126" i="35" s="1"/>
  <c r="J87" i="35"/>
  <c r="J91" i="35" s="1"/>
  <c r="J135" i="35" s="1"/>
  <c r="J120" i="35"/>
  <c r="J126" i="35" s="1"/>
  <c r="BD106" i="35"/>
  <c r="BD107" i="35" s="1"/>
  <c r="BD108" i="35" s="1"/>
  <c r="BD112" i="35" s="1"/>
  <c r="BD102" i="35"/>
  <c r="BD110" i="35" s="1"/>
  <c r="S66" i="35"/>
  <c r="S67" i="35" s="1"/>
  <c r="S68" i="35" s="1"/>
  <c r="S71" i="35" s="1"/>
  <c r="S64" i="35"/>
  <c r="S65" i="35" s="1"/>
  <c r="S70" i="35" s="1"/>
  <c r="BE106" i="35"/>
  <c r="BE107" i="35" s="1"/>
  <c r="BE108" i="35" s="1"/>
  <c r="BE112" i="35" s="1"/>
  <c r="BE102" i="35"/>
  <c r="BE110" i="35" s="1"/>
  <c r="BB87" i="35"/>
  <c r="BB91" i="35" s="1"/>
  <c r="BB92" i="35" s="1"/>
  <c r="BB120" i="35"/>
  <c r="BB126" i="35" s="1"/>
  <c r="AU87" i="35"/>
  <c r="AU91" i="35" s="1"/>
  <c r="AU92" i="35" s="1"/>
  <c r="AU120" i="35"/>
  <c r="AU126" i="35" s="1"/>
  <c r="AP66" i="35"/>
  <c r="AP67" i="35" s="1"/>
  <c r="AP68" i="35" s="1"/>
  <c r="AP71" i="35" s="1"/>
  <c r="AP64" i="35"/>
  <c r="AP65" i="35" s="1"/>
  <c r="AP70" i="35" s="1"/>
  <c r="J66" i="35"/>
  <c r="J67" i="35" s="1"/>
  <c r="J68" i="35" s="1"/>
  <c r="J71" i="35" s="1"/>
  <c r="H45" i="34" s="1"/>
  <c r="J64" i="35"/>
  <c r="J65" i="35" s="1"/>
  <c r="J70" i="35" s="1"/>
  <c r="X87" i="35"/>
  <c r="X91" i="35" s="1"/>
  <c r="X120" i="35"/>
  <c r="X126" i="35" s="1"/>
  <c r="X128" i="35" s="1"/>
  <c r="X40" i="34" s="1"/>
  <c r="I106" i="35"/>
  <c r="I107" i="35" s="1"/>
  <c r="I108" i="35" s="1"/>
  <c r="I112" i="35" s="1"/>
  <c r="I102" i="35"/>
  <c r="I110" i="35" s="1"/>
  <c r="AT106" i="35"/>
  <c r="AT107" i="35" s="1"/>
  <c r="AT108" i="35" s="1"/>
  <c r="AT112" i="35" s="1"/>
  <c r="AT102" i="35"/>
  <c r="AT110" i="35" s="1"/>
  <c r="AV106" i="35"/>
  <c r="AV107" i="35" s="1"/>
  <c r="AV108" i="35" s="1"/>
  <c r="AV112" i="35" s="1"/>
  <c r="AV102" i="35"/>
  <c r="AV110" i="35" s="1"/>
  <c r="BD87" i="35"/>
  <c r="BD91" i="35" s="1"/>
  <c r="BD92" i="35" s="1"/>
  <c r="BD120" i="35"/>
  <c r="BD126" i="35" s="1"/>
  <c r="Y106" i="35"/>
  <c r="Y107" i="35" s="1"/>
  <c r="Y108" i="35" s="1"/>
  <c r="Y112" i="35" s="1"/>
  <c r="Y102" i="35"/>
  <c r="Y110" i="35" s="1"/>
  <c r="O102" i="35"/>
  <c r="O110" i="35" s="1"/>
  <c r="O106" i="35"/>
  <c r="O107" i="35" s="1"/>
  <c r="O108" i="35" s="1"/>
  <c r="O112" i="35" s="1"/>
  <c r="M102" i="35"/>
  <c r="M110" i="35" s="1"/>
  <c r="M106" i="35"/>
  <c r="M107" i="35" s="1"/>
  <c r="M108" i="35" s="1"/>
  <c r="M112" i="35" s="1"/>
  <c r="BB106" i="35"/>
  <c r="BB107" i="35" s="1"/>
  <c r="BB108" i="35" s="1"/>
  <c r="BB112" i="35" s="1"/>
  <c r="BB102" i="35"/>
  <c r="BB110" i="35" s="1"/>
  <c r="O87" i="35"/>
  <c r="O91" i="35" s="1"/>
  <c r="O120" i="35"/>
  <c r="O126" i="35" s="1"/>
  <c r="O128" i="35" s="1"/>
  <c r="O40" i="34" s="1"/>
  <c r="AU64" i="35"/>
  <c r="AU65" i="35" s="1"/>
  <c r="AU70" i="35" s="1"/>
  <c r="AU66" i="35"/>
  <c r="AU67" i="35" s="1"/>
  <c r="AU68" i="35" s="1"/>
  <c r="AU71" i="35" s="1"/>
  <c r="V87" i="35"/>
  <c r="V91" i="35" s="1"/>
  <c r="V120" i="35"/>
  <c r="V126" i="35" s="1"/>
  <c r="V128" i="35" s="1"/>
  <c r="V40" i="34" s="1"/>
  <c r="U64" i="35"/>
  <c r="U65" i="35" s="1"/>
  <c r="U70" i="35" s="1"/>
  <c r="U66" i="35"/>
  <c r="U67" i="35" s="1"/>
  <c r="U68" i="35" s="1"/>
  <c r="U71" i="35" s="1"/>
  <c r="P87" i="35"/>
  <c r="P91" i="35" s="1"/>
  <c r="P120" i="35"/>
  <c r="P126" i="35" s="1"/>
  <c r="P128" i="35" s="1"/>
  <c r="P40" i="34" s="1"/>
  <c r="AO102" i="35"/>
  <c r="AO110" i="35" s="1"/>
  <c r="AO106" i="35"/>
  <c r="AO107" i="35" s="1"/>
  <c r="AO108" i="35" s="1"/>
  <c r="AO112" i="35" s="1"/>
  <c r="Q66" i="35"/>
  <c r="Q67" i="35" s="1"/>
  <c r="Q68" i="35" s="1"/>
  <c r="Q71" i="35" s="1"/>
  <c r="Q64" i="35"/>
  <c r="Q65" i="35" s="1"/>
  <c r="Q70" i="35" s="1"/>
  <c r="AB87" i="35"/>
  <c r="AB91" i="35" s="1"/>
  <c r="AB120" i="35"/>
  <c r="AB126" i="35" s="1"/>
  <c r="AB128" i="35" s="1"/>
  <c r="AB40" i="34" s="1"/>
  <c r="M64" i="35"/>
  <c r="M65" i="35" s="1"/>
  <c r="M70" i="35" s="1"/>
  <c r="M66" i="35"/>
  <c r="M67" i="35" s="1"/>
  <c r="M68" i="35" s="1"/>
  <c r="M71" i="35" s="1"/>
  <c r="W102" i="35"/>
  <c r="W110" i="35" s="1"/>
  <c r="W106" i="35"/>
  <c r="W107" i="35" s="1"/>
  <c r="W108" i="35" s="1"/>
  <c r="W112" i="35" s="1"/>
  <c r="AQ106" i="35"/>
  <c r="AQ107" i="35" s="1"/>
  <c r="AQ108" i="35" s="1"/>
  <c r="AQ112" i="35" s="1"/>
  <c r="AQ102" i="35"/>
  <c r="AQ110" i="35" s="1"/>
  <c r="I66" i="35"/>
  <c r="I67" i="35" s="1"/>
  <c r="I68" i="35" s="1"/>
  <c r="I71" i="35" s="1"/>
  <c r="I64" i="35"/>
  <c r="I65" i="35" s="1"/>
  <c r="I70" i="35" s="1"/>
  <c r="O64" i="35"/>
  <c r="O65" i="35" s="1"/>
  <c r="O70" i="35" s="1"/>
  <c r="O66" i="35"/>
  <c r="O67" i="35" s="1"/>
  <c r="O68" i="35" s="1"/>
  <c r="O71" i="35" s="1"/>
  <c r="Z87" i="35"/>
  <c r="Z91" i="35" s="1"/>
  <c r="Z120" i="35"/>
  <c r="Z126" i="35" s="1"/>
  <c r="Z128" i="35" s="1"/>
  <c r="Z40" i="34" s="1"/>
  <c r="AX102" i="35"/>
  <c r="AX110" i="35" s="1"/>
  <c r="AX106" i="35"/>
  <c r="AX107" i="35" s="1"/>
  <c r="AX108" i="35" s="1"/>
  <c r="AX112" i="35" s="1"/>
  <c r="V64" i="35"/>
  <c r="V65" i="35" s="1"/>
  <c r="V70" i="35" s="1"/>
  <c r="V66" i="35"/>
  <c r="V67" i="35" s="1"/>
  <c r="V68" i="35" s="1"/>
  <c r="V71" i="35" s="1"/>
  <c r="U87" i="35"/>
  <c r="U91" i="35" s="1"/>
  <c r="U120" i="35"/>
  <c r="U126" i="35" s="1"/>
  <c r="U128" i="35" s="1"/>
  <c r="U40" i="34" s="1"/>
  <c r="P64" i="35"/>
  <c r="P65" i="35" s="1"/>
  <c r="P70" i="35" s="1"/>
  <c r="P66" i="35"/>
  <c r="P67" i="35" s="1"/>
  <c r="P68" i="35" s="1"/>
  <c r="P71" i="35" s="1"/>
  <c r="Q87" i="35"/>
  <c r="Q91" i="35" s="1"/>
  <c r="Q120" i="35"/>
  <c r="Q126" i="35" s="1"/>
  <c r="Q128" i="35" s="1"/>
  <c r="Q40" i="34" s="1"/>
  <c r="BM1189" i="14"/>
  <c r="BN1263" i="14"/>
  <c r="BM1198" i="14"/>
  <c r="BM1238" i="14"/>
  <c r="BM1220" i="14"/>
  <c r="BN1254" i="14"/>
  <c r="BO1211" i="14"/>
  <c r="AU55" i="14"/>
  <c r="AO591" i="14"/>
  <c r="Q92" i="35" l="1"/>
  <c r="Q38" i="34" s="1"/>
  <c r="Q135" i="35"/>
  <c r="U92" i="35"/>
  <c r="U38" i="34" s="1"/>
  <c r="U135" i="35"/>
  <c r="Z92" i="35"/>
  <c r="Z38" i="34" s="1"/>
  <c r="Z135" i="35"/>
  <c r="AB92" i="35"/>
  <c r="AB38" i="34" s="1"/>
  <c r="AB135" i="35"/>
  <c r="P92" i="35"/>
  <c r="P38" i="34" s="1"/>
  <c r="P135" i="35"/>
  <c r="V92" i="35"/>
  <c r="V38" i="34" s="1"/>
  <c r="V135" i="35"/>
  <c r="O92" i="35"/>
  <c r="O38" i="34" s="1"/>
  <c r="O135" i="35"/>
  <c r="X92" i="35"/>
  <c r="X38" i="34" s="1"/>
  <c r="X135" i="35"/>
  <c r="I92" i="35"/>
  <c r="I38" i="34" s="1"/>
  <c r="I135" i="35"/>
  <c r="M92" i="35"/>
  <c r="M38" i="34" s="1"/>
  <c r="M135" i="35"/>
  <c r="K92" i="35"/>
  <c r="K38" i="34" s="1"/>
  <c r="K135" i="35"/>
  <c r="S92" i="35"/>
  <c r="S38" i="34" s="1"/>
  <c r="S135" i="35"/>
  <c r="AA92" i="35"/>
  <c r="AA38" i="34" s="1"/>
  <c r="AA135" i="35"/>
  <c r="H92" i="35"/>
  <c r="H38" i="34" s="1"/>
  <c r="H135" i="35"/>
  <c r="L92" i="35"/>
  <c r="L38" i="34" s="1"/>
  <c r="L135" i="35"/>
  <c r="AD92" i="35"/>
  <c r="AD38" i="34" s="1"/>
  <c r="AD135" i="35"/>
  <c r="N92" i="35"/>
  <c r="N38" i="34" s="1"/>
  <c r="N135" i="35"/>
  <c r="W92" i="35"/>
  <c r="W38" i="34" s="1"/>
  <c r="W135" i="35"/>
  <c r="R92" i="35"/>
  <c r="R38" i="34" s="1"/>
  <c r="R135" i="35"/>
  <c r="T92" i="35"/>
  <c r="T38" i="34" s="1"/>
  <c r="T135" i="35"/>
  <c r="AC92" i="35"/>
  <c r="AC38" i="34" s="1"/>
  <c r="AC135" i="35"/>
  <c r="Y92" i="35"/>
  <c r="Y38" i="34" s="1"/>
  <c r="Y135" i="35"/>
  <c r="AC134" i="35"/>
  <c r="P72" i="35"/>
  <c r="P37" i="34" s="1"/>
  <c r="BH113" i="35"/>
  <c r="BN1229" i="14"/>
  <c r="BE113" i="35"/>
  <c r="Q113" i="35"/>
  <c r="Q39" i="34" s="1"/>
  <c r="I113" i="35"/>
  <c r="I39" i="34" s="1"/>
  <c r="BD113" i="35"/>
  <c r="N134" i="35"/>
  <c r="AL113" i="35"/>
  <c r="AR113" i="35"/>
  <c r="BB113" i="35"/>
  <c r="AN113" i="35"/>
  <c r="AQ113" i="35"/>
  <c r="AV113" i="35"/>
  <c r="AA134" i="35"/>
  <c r="L113" i="35"/>
  <c r="L39" i="34" s="1"/>
  <c r="AX113" i="35"/>
  <c r="O134" i="35"/>
  <c r="AD134" i="35"/>
  <c r="M113" i="35"/>
  <c r="M39" i="34" s="1"/>
  <c r="M134" i="35"/>
  <c r="M72" i="35"/>
  <c r="M37" i="34" s="1"/>
  <c r="N113" i="35"/>
  <c r="N39" i="34" s="1"/>
  <c r="N72" i="35"/>
  <c r="N37" i="34" s="1"/>
  <c r="BC128" i="35"/>
  <c r="BC134" i="35"/>
  <c r="AL134" i="35"/>
  <c r="AL128" i="35"/>
  <c r="AV128" i="35"/>
  <c r="AV134" i="35"/>
  <c r="BG138" i="35"/>
  <c r="BG72" i="35"/>
  <c r="AY128" i="35"/>
  <c r="AY134" i="35"/>
  <c r="S113" i="35"/>
  <c r="S39" i="34" s="1"/>
  <c r="AS138" i="35"/>
  <c r="AS72" i="35"/>
  <c r="AB134" i="35"/>
  <c r="AB72" i="35"/>
  <c r="AB37" i="34" s="1"/>
  <c r="BF138" i="35"/>
  <c r="BF72" i="35"/>
  <c r="Q47" i="34"/>
  <c r="Q44" i="34" s="1"/>
  <c r="J128" i="35"/>
  <c r="K46" i="34"/>
  <c r="J92" i="35"/>
  <c r="Q134" i="35"/>
  <c r="Q72" i="35"/>
  <c r="Q37" i="34" s="1"/>
  <c r="J134" i="35"/>
  <c r="H44" i="34"/>
  <c r="J72" i="35"/>
  <c r="AP128" i="35"/>
  <c r="AP134" i="35"/>
  <c r="L134" i="35"/>
  <c r="L72" i="35"/>
  <c r="L37" i="34" s="1"/>
  <c r="AR138" i="35"/>
  <c r="AR72" i="35"/>
  <c r="AW113" i="35"/>
  <c r="H113" i="35"/>
  <c r="H39" i="34" s="1"/>
  <c r="AZ138" i="35"/>
  <c r="AZ72" i="35"/>
  <c r="AX134" i="35"/>
  <c r="AX128" i="35"/>
  <c r="AZ134" i="35"/>
  <c r="AZ128" i="35"/>
  <c r="AX138" i="35"/>
  <c r="AX72" i="35"/>
  <c r="W134" i="35"/>
  <c r="W72" i="35"/>
  <c r="W37" i="34" s="1"/>
  <c r="V134" i="35"/>
  <c r="V72" i="35"/>
  <c r="V37" i="34" s="1"/>
  <c r="AP138" i="35"/>
  <c r="AP72" i="35"/>
  <c r="BH138" i="35"/>
  <c r="BH72" i="35"/>
  <c r="R134" i="35"/>
  <c r="R72" i="35"/>
  <c r="R37" i="34" s="1"/>
  <c r="X113" i="35"/>
  <c r="X39" i="34" s="1"/>
  <c r="AB113" i="35"/>
  <c r="AB39" i="34" s="1"/>
  <c r="U113" i="35"/>
  <c r="U39" i="34" s="1"/>
  <c r="AY138" i="35"/>
  <c r="AY72" i="35"/>
  <c r="T113" i="35"/>
  <c r="T39" i="34" s="1"/>
  <c r="BC113" i="35"/>
  <c r="AO113" i="35"/>
  <c r="O113" i="35"/>
  <c r="O39" i="34" s="1"/>
  <c r="AM113" i="35"/>
  <c r="P113" i="35"/>
  <c r="P39" i="34" s="1"/>
  <c r="BG113" i="35"/>
  <c r="R113" i="35"/>
  <c r="R39" i="34" s="1"/>
  <c r="AY113" i="35"/>
  <c r="O72" i="35"/>
  <c r="O37" i="34" s="1"/>
  <c r="Y113" i="35"/>
  <c r="Y39" i="34" s="1"/>
  <c r="AU128" i="35"/>
  <c r="AU134" i="35"/>
  <c r="BA113" i="35"/>
  <c r="AN138" i="35"/>
  <c r="AN72" i="35"/>
  <c r="BF134" i="35"/>
  <c r="BF128" i="35"/>
  <c r="BA128" i="35"/>
  <c r="BA134" i="35"/>
  <c r="BE134" i="35"/>
  <c r="BE128" i="35"/>
  <c r="AS113" i="35"/>
  <c r="BB138" i="35"/>
  <c r="BB72" i="35"/>
  <c r="H134" i="35"/>
  <c r="H72" i="35"/>
  <c r="H37" i="34" s="1"/>
  <c r="N46" i="34"/>
  <c r="J112" i="35"/>
  <c r="J113" i="35" s="1"/>
  <c r="AV138" i="35"/>
  <c r="AV72" i="35"/>
  <c r="X134" i="35"/>
  <c r="X72" i="35"/>
  <c r="X37" i="34" s="1"/>
  <c r="AT128" i="35"/>
  <c r="AT134" i="35"/>
  <c r="AD72" i="35"/>
  <c r="AD37" i="34" s="1"/>
  <c r="Y134" i="35"/>
  <c r="Y72" i="35"/>
  <c r="Y37" i="34" s="1"/>
  <c r="BF113" i="35"/>
  <c r="T134" i="35"/>
  <c r="T72" i="35"/>
  <c r="T37" i="34" s="1"/>
  <c r="AQ138" i="35"/>
  <c r="AQ72" i="35"/>
  <c r="Z134" i="35"/>
  <c r="Z72" i="35"/>
  <c r="Z37" i="34" s="1"/>
  <c r="Z113" i="35"/>
  <c r="Z39" i="34" s="1"/>
  <c r="AW138" i="35"/>
  <c r="AW72" i="35"/>
  <c r="BC138" i="35"/>
  <c r="BC72" i="35"/>
  <c r="BE138" i="35"/>
  <c r="BE72" i="35"/>
  <c r="V113" i="35"/>
  <c r="V39" i="34" s="1"/>
  <c r="BD138" i="35"/>
  <c r="BD72" i="35"/>
  <c r="AM128" i="35"/>
  <c r="AM134" i="35"/>
  <c r="AT138" i="35"/>
  <c r="AT72" i="35"/>
  <c r="BH128" i="35"/>
  <c r="BH134" i="35"/>
  <c r="AO138" i="35"/>
  <c r="AO72" i="35"/>
  <c r="AW134" i="35"/>
  <c r="AW128" i="35"/>
  <c r="AM138" i="35"/>
  <c r="AM72" i="35"/>
  <c r="AU113" i="35"/>
  <c r="AC113" i="35"/>
  <c r="AC39" i="34" s="1"/>
  <c r="AL138" i="35"/>
  <c r="AL72" i="35"/>
  <c r="AD113" i="35"/>
  <c r="AD39" i="34" s="1"/>
  <c r="AA113" i="35"/>
  <c r="AA39" i="34" s="1"/>
  <c r="BD134" i="35"/>
  <c r="BD128" i="35"/>
  <c r="AT113" i="35"/>
  <c r="S134" i="35"/>
  <c r="S72" i="35"/>
  <c r="S37" i="34" s="1"/>
  <c r="K113" i="35"/>
  <c r="K39" i="34" s="1"/>
  <c r="AA72" i="35"/>
  <c r="AA37" i="34" s="1"/>
  <c r="AR128" i="35"/>
  <c r="AR134" i="35"/>
  <c r="AS128" i="35"/>
  <c r="AS134" i="35"/>
  <c r="AZ113" i="35"/>
  <c r="AN134" i="35"/>
  <c r="AN128" i="35"/>
  <c r="AC72" i="35"/>
  <c r="AC37" i="34" s="1"/>
  <c r="BG134" i="35"/>
  <c r="BG128" i="35"/>
  <c r="AO134" i="35"/>
  <c r="AO128" i="35"/>
  <c r="BA138" i="35"/>
  <c r="BA72" i="35"/>
  <c r="AP113" i="35"/>
  <c r="AQ128" i="35"/>
  <c r="AQ134" i="35"/>
  <c r="I134" i="35"/>
  <c r="I72" i="35"/>
  <c r="I37" i="34" s="1"/>
  <c r="BB134" i="35"/>
  <c r="BB128" i="35"/>
  <c r="U134" i="35"/>
  <c r="U72" i="35"/>
  <c r="U37" i="34" s="1"/>
  <c r="P134" i="35"/>
  <c r="W113" i="35"/>
  <c r="W39" i="34" s="1"/>
  <c r="AU138" i="35"/>
  <c r="AU72" i="35"/>
  <c r="K134" i="35"/>
  <c r="K72" i="35"/>
  <c r="K37" i="34" s="1"/>
  <c r="BN1189" i="14"/>
  <c r="BO1263" i="14"/>
  <c r="BN1220" i="14"/>
  <c r="BN1238" i="14"/>
  <c r="BN1198" i="14"/>
  <c r="BO1254" i="14"/>
  <c r="BP1211" i="14"/>
  <c r="AV55" i="14"/>
  <c r="AP591" i="14"/>
  <c r="BO1229" i="14" l="1"/>
  <c r="J37" i="34"/>
  <c r="H46" i="34"/>
  <c r="G47" i="34" s="1"/>
  <c r="N47" i="34"/>
  <c r="M48" i="34" s="1"/>
  <c r="J39" i="34"/>
  <c r="J38" i="34"/>
  <c r="K47" i="34"/>
  <c r="J48" i="34" s="1"/>
  <c r="J40" i="34"/>
  <c r="Q49" i="34"/>
  <c r="P50" i="34" s="1"/>
  <c r="BO1189" i="14"/>
  <c r="BP1263" i="14"/>
  <c r="BO1198" i="14"/>
  <c r="BO1238" i="14"/>
  <c r="BO1220" i="14"/>
  <c r="BP1254" i="14"/>
  <c r="BQ1211" i="14"/>
  <c r="AW55" i="14"/>
  <c r="AQ591" i="14"/>
  <c r="BP1229" i="14" l="1"/>
  <c r="BP1189" i="14"/>
  <c r="BQ1263" i="14"/>
  <c r="BP1220" i="14"/>
  <c r="BP1238" i="14"/>
  <c r="BP1198" i="14"/>
  <c r="BQ1254" i="14"/>
  <c r="BR1211" i="14"/>
  <c r="AX55" i="14"/>
  <c r="AR591" i="14"/>
  <c r="BQ1229" i="14" l="1"/>
  <c r="BQ1189" i="14"/>
  <c r="BR1263" i="14"/>
  <c r="BQ1198" i="14"/>
  <c r="BQ1238" i="14"/>
  <c r="BQ1220" i="14"/>
  <c r="BR1254" i="14"/>
  <c r="BS1211" i="14"/>
  <c r="AY55" i="14"/>
  <c r="AS591" i="14"/>
  <c r="BR1229" i="14" l="1"/>
  <c r="BR1189" i="14"/>
  <c r="BS1263" i="14"/>
  <c r="BR1238" i="14"/>
  <c r="BR1198" i="14"/>
  <c r="BR1220" i="14"/>
  <c r="BS1254" i="14"/>
  <c r="BT1211" i="14"/>
  <c r="AZ55" i="14"/>
  <c r="AT591" i="14"/>
  <c r="BS1229" i="14" l="1"/>
  <c r="BS1189" i="14"/>
  <c r="BT1263" i="14"/>
  <c r="BS1220" i="14"/>
  <c r="BS1238" i="14"/>
  <c r="BS1198" i="14"/>
  <c r="BT1254" i="14"/>
  <c r="BU1211" i="14"/>
  <c r="BA55" i="14"/>
  <c r="AU591" i="14"/>
  <c r="BT1229" i="14" l="1"/>
  <c r="BT1189" i="14"/>
  <c r="BU1263" i="14"/>
  <c r="BT1238" i="14"/>
  <c r="BT1198" i="14"/>
  <c r="BT1220" i="14"/>
  <c r="BU1254" i="14"/>
  <c r="BV1211" i="14"/>
  <c r="BB55" i="14"/>
  <c r="AV591" i="14"/>
  <c r="BU1229" i="14" l="1"/>
  <c r="BU1189" i="14"/>
  <c r="BV1263" i="14"/>
  <c r="BU1220" i="14"/>
  <c r="BU1198" i="14"/>
  <c r="BU1238" i="14"/>
  <c r="BV1254" i="14"/>
  <c r="BW1211" i="14"/>
  <c r="BC55" i="14"/>
  <c r="AW591" i="14"/>
  <c r="BV1229" i="14" l="1"/>
  <c r="BV1189" i="14"/>
  <c r="BW1263" i="14"/>
  <c r="BV1198" i="14"/>
  <c r="BV1238" i="14"/>
  <c r="BV1220" i="14"/>
  <c r="BW1254" i="14"/>
  <c r="BX1211" i="14"/>
  <c r="BD55" i="14"/>
  <c r="AX591" i="14"/>
  <c r="BW1229" i="14" l="1"/>
  <c r="BW1189" i="14"/>
  <c r="BX1263" i="14"/>
  <c r="BW1220" i="14"/>
  <c r="BW1238" i="14"/>
  <c r="BW1198" i="14"/>
  <c r="BX1254" i="14"/>
  <c r="BY1211" i="14"/>
  <c r="BE55" i="14"/>
  <c r="AY591" i="14"/>
  <c r="BX1229" i="14" l="1"/>
  <c r="BX1189" i="14"/>
  <c r="BY1263" i="14"/>
  <c r="BX1198" i="14"/>
  <c r="BX1238" i="14"/>
  <c r="BX1220" i="14"/>
  <c r="BY1254" i="14"/>
  <c r="BF55" i="14"/>
  <c r="AZ591" i="14"/>
  <c r="BY1229" i="14" l="1"/>
  <c r="BY1189" i="14"/>
  <c r="BY1220" i="14"/>
  <c r="BY1238" i="14"/>
  <c r="BY1198" i="14"/>
  <c r="BG55" i="14"/>
  <c r="BA591" i="14"/>
  <c r="BH55" i="14" l="1"/>
  <c r="BB591" i="14"/>
  <c r="BI55" i="14" l="1"/>
  <c r="BC591" i="14"/>
  <c r="BJ55" i="14" l="1"/>
  <c r="BD591" i="14"/>
  <c r="BK55" i="14" l="1"/>
  <c r="BE591" i="14"/>
  <c r="BL55" i="14" l="1"/>
  <c r="BF591" i="14"/>
  <c r="BM55" i="14" l="1"/>
  <c r="BG591" i="14"/>
  <c r="BN55" i="14" l="1"/>
  <c r="BH591" i="14"/>
  <c r="BO55" i="14" l="1"/>
  <c r="BI591" i="14"/>
  <c r="BP55" i="14" l="1"/>
  <c r="BJ591" i="14"/>
  <c r="BQ55" i="14" l="1"/>
  <c r="BK591" i="14"/>
  <c r="BR55" i="14" l="1"/>
  <c r="BL591" i="14"/>
  <c r="BS55" i="14" l="1"/>
  <c r="BM591" i="14"/>
  <c r="BT55" i="14" l="1"/>
  <c r="BN591" i="14"/>
  <c r="BU55" i="14" l="1"/>
  <c r="BO591" i="14"/>
  <c r="BV55" i="14" l="1"/>
  <c r="BP591" i="14"/>
  <c r="BW55" i="14" l="1"/>
  <c r="BQ591" i="14"/>
  <c r="BX55" i="14" l="1"/>
  <c r="BR591" i="14"/>
  <c r="BY55" i="14" l="1"/>
  <c r="BS591" i="14"/>
  <c r="BT591" i="14" l="1"/>
  <c r="BU591" i="14" l="1"/>
  <c r="BV591" i="14" l="1"/>
  <c r="BW591" i="14" l="1"/>
  <c r="BX591" i="14" l="1"/>
  <c r="BY591" i="14" l="1"/>
  <c r="BY26" i="14" l="1"/>
  <c r="BX26" i="14"/>
  <c r="BW26" i="14"/>
  <c r="BV26" i="14"/>
  <c r="BU26" i="14"/>
  <c r="BT26" i="14"/>
  <c r="BS26" i="14"/>
  <c r="BR26" i="14"/>
  <c r="BQ26" i="14"/>
  <c r="BP26" i="14"/>
  <c r="BO26" i="14"/>
  <c r="BN26" i="14"/>
  <c r="BM26" i="14"/>
  <c r="BL26" i="14"/>
  <c r="BK26" i="14"/>
  <c r="BJ26" i="14"/>
  <c r="BI26" i="14"/>
  <c r="BH26" i="14"/>
  <c r="BG26" i="14"/>
  <c r="BF26"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 r="V26" i="14"/>
  <c r="U26" i="14"/>
  <c r="T26" i="14"/>
  <c r="S26" i="14"/>
  <c r="R26" i="14"/>
  <c r="Q26" i="14"/>
  <c r="P26" i="14"/>
  <c r="O26" i="14"/>
  <c r="N26" i="14"/>
  <c r="M26" i="14"/>
  <c r="L26" i="14"/>
  <c r="K26" i="14"/>
  <c r="J26" i="14"/>
  <c r="I26" i="14"/>
  <c r="H26" i="14"/>
  <c r="E217" i="14"/>
  <c r="E216" i="14"/>
  <c r="E179" i="11"/>
  <c r="E177" i="11"/>
  <c r="H12" i="11"/>
  <c r="H11" i="11"/>
  <c r="F447" i="14"/>
  <c r="F446" i="14"/>
  <c r="F440" i="14"/>
  <c r="F218" i="14"/>
  <c r="F217" i="14"/>
  <c r="F216" i="14"/>
  <c r="F211" i="14"/>
  <c r="F210" i="14"/>
  <c r="F204" i="14"/>
  <c r="F203" i="14"/>
  <c r="F122" i="14"/>
  <c r="F120" i="14"/>
  <c r="F119" i="14"/>
  <c r="F118" i="14"/>
  <c r="F117" i="14"/>
  <c r="F116" i="14"/>
  <c r="F115" i="14"/>
  <c r="F114" i="14"/>
  <c r="F113" i="14"/>
  <c r="F112" i="14"/>
  <c r="F111" i="14"/>
  <c r="F110" i="14"/>
  <c r="F108" i="14"/>
  <c r="F109" i="14"/>
  <c r="F94" i="14"/>
  <c r="F89" i="14"/>
  <c r="F84" i="14"/>
  <c r="F75" i="14"/>
  <c r="F74" i="14"/>
  <c r="H149" i="11" l="1"/>
  <c r="H151" i="11" s="1"/>
  <c r="H153" i="11" s="1"/>
  <c r="H122" i="11"/>
  <c r="H124" i="11" s="1"/>
  <c r="H126" i="11" s="1"/>
  <c r="B45" i="20" l="1"/>
  <c r="C93" i="14"/>
  <c r="C94" i="14"/>
  <c r="A426" i="14"/>
  <c r="A945" i="14" s="1"/>
  <c r="A182" i="14"/>
  <c r="A716" i="14" s="1"/>
  <c r="H108" i="14"/>
  <c r="H109" i="14" l="1"/>
  <c r="H161" i="14" s="1"/>
  <c r="E72" i="11" l="1"/>
  <c r="H3" i="14" l="1"/>
  <c r="H1166" i="14" l="1"/>
  <c r="H1095" i="14"/>
  <c r="H1088" i="14"/>
  <c r="H1118" i="14"/>
  <c r="H1131" i="14" s="1"/>
  <c r="H1080" i="14"/>
  <c r="H1337" i="14"/>
  <c r="H1173" i="14"/>
  <c r="H1145" i="14"/>
  <c r="H1072" i="14"/>
  <c r="H1152" i="14"/>
  <c r="H1109" i="14"/>
  <c r="H951" i="14"/>
  <c r="H432" i="14"/>
  <c r="H603" i="14"/>
  <c r="H623" i="14" s="1"/>
  <c r="H602" i="14"/>
  <c r="H952" i="14"/>
  <c r="H959" i="14" s="1"/>
  <c r="H723" i="14"/>
  <c r="H724" i="14"/>
  <c r="H737" i="14" s="1"/>
  <c r="H729" i="14"/>
  <c r="H730" i="14"/>
  <c r="H744" i="14" s="1"/>
  <c r="H433" i="14"/>
  <c r="H440" i="14" s="1"/>
  <c r="H441" i="14" s="1"/>
  <c r="H189" i="14"/>
  <c r="H190" i="14"/>
  <c r="H203" i="14" s="1"/>
  <c r="H67" i="14"/>
  <c r="H74" i="14" s="1"/>
  <c r="H66" i="14"/>
  <c r="H195" i="14"/>
  <c r="H196" i="14"/>
  <c r="H210" i="14" s="1"/>
  <c r="H4" i="14"/>
  <c r="B1" i="20"/>
  <c r="B1" i="14"/>
  <c r="H1130" i="14" l="1"/>
  <c r="H1140" i="14" s="1"/>
  <c r="H1142" i="14" s="1"/>
  <c r="H89" i="14"/>
  <c r="H759" i="14"/>
  <c r="H310" i="14"/>
  <c r="H238" i="14"/>
  <c r="H831" i="14"/>
  <c r="H601" i="14"/>
  <c r="H63" i="14"/>
  <c r="H599" i="14"/>
  <c r="H65" i="14"/>
  <c r="H728" i="14"/>
  <c r="H722" i="14"/>
  <c r="H719" i="14"/>
  <c r="H948" i="14"/>
  <c r="H950" i="14"/>
  <c r="H431" i="14"/>
  <c r="H429" i="14"/>
  <c r="H194" i="14"/>
  <c r="H188" i="14"/>
  <c r="H185" i="14"/>
  <c r="I3" i="14"/>
  <c r="I1118" i="14" s="1"/>
  <c r="I1095" i="14" l="1"/>
  <c r="I1166" i="14"/>
  <c r="I1337" i="14"/>
  <c r="I1173" i="14"/>
  <c r="H1141" i="14"/>
  <c r="H1143" i="14" s="1"/>
  <c r="I1088" i="14"/>
  <c r="I1080" i="14"/>
  <c r="I1072" i="14"/>
  <c r="I1152" i="14"/>
  <c r="H1146" i="14"/>
  <c r="I1145" i="14"/>
  <c r="I1109" i="14"/>
  <c r="I951" i="14"/>
  <c r="I958" i="14" s="1"/>
  <c r="I432" i="14"/>
  <c r="I439" i="14" s="1"/>
  <c r="I602" i="14"/>
  <c r="I603" i="14"/>
  <c r="I730" i="14"/>
  <c r="I729" i="14"/>
  <c r="I743" i="14" s="1"/>
  <c r="I724" i="14"/>
  <c r="I723" i="14"/>
  <c r="I736" i="14" s="1"/>
  <c r="I952" i="14"/>
  <c r="I433" i="14"/>
  <c r="I66" i="14"/>
  <c r="I190" i="14"/>
  <c r="I189" i="14"/>
  <c r="I202" i="14" s="1"/>
  <c r="I67" i="14"/>
  <c r="I196" i="14"/>
  <c r="I195" i="14"/>
  <c r="I209" i="14" s="1"/>
  <c r="I4" i="14"/>
  <c r="I63" i="14" s="1"/>
  <c r="H1147" i="14" l="1"/>
  <c r="H1148" i="14" s="1"/>
  <c r="H1151" i="14"/>
  <c r="H1153" i="14" s="1"/>
  <c r="I1130" i="14"/>
  <c r="I1140" i="14" s="1"/>
  <c r="I1131" i="14"/>
  <c r="I599" i="14"/>
  <c r="I601" i="14"/>
  <c r="I719" i="14"/>
  <c r="I722" i="14"/>
  <c r="I728" i="14"/>
  <c r="I950" i="14"/>
  <c r="I948" i="14"/>
  <c r="I431" i="14"/>
  <c r="I65" i="14"/>
  <c r="I429" i="14"/>
  <c r="I194" i="14"/>
  <c r="I188" i="14"/>
  <c r="I185" i="14"/>
  <c r="J3" i="14"/>
  <c r="J1118" i="14" s="1"/>
  <c r="J1095" i="14" l="1"/>
  <c r="J1166" i="14"/>
  <c r="J1337" i="14"/>
  <c r="J1173" i="14"/>
  <c r="I1141" i="14"/>
  <c r="I1142" i="14"/>
  <c r="I1146" i="14" s="1"/>
  <c r="H1154" i="14"/>
  <c r="J1080" i="14"/>
  <c r="J1088" i="14"/>
  <c r="J1072" i="14"/>
  <c r="J1152" i="14"/>
  <c r="J1145" i="14"/>
  <c r="J1109" i="14"/>
  <c r="J951" i="14"/>
  <c r="J432" i="14"/>
  <c r="J602" i="14"/>
  <c r="J603" i="14"/>
  <c r="J729" i="14"/>
  <c r="J724" i="14"/>
  <c r="J730" i="14"/>
  <c r="J723" i="14"/>
  <c r="J952" i="14"/>
  <c r="J433" i="14"/>
  <c r="J190" i="14"/>
  <c r="J189" i="14"/>
  <c r="J66" i="14"/>
  <c r="J67" i="14"/>
  <c r="J195" i="14"/>
  <c r="J196" i="14"/>
  <c r="J4" i="14"/>
  <c r="J63" i="14" s="1"/>
  <c r="J736" i="14" l="1"/>
  <c r="J958" i="14"/>
  <c r="J202" i="14"/>
  <c r="J439" i="14"/>
  <c r="J743" i="14"/>
  <c r="J209" i="14"/>
  <c r="J73" i="14"/>
  <c r="J1131" i="14"/>
  <c r="I1143" i="14"/>
  <c r="J1130" i="14"/>
  <c r="J1140" i="14" s="1"/>
  <c r="J1142" i="14" s="1"/>
  <c r="J601" i="14"/>
  <c r="J599" i="14"/>
  <c r="J719" i="14"/>
  <c r="J728" i="14"/>
  <c r="J722" i="14"/>
  <c r="J950" i="14"/>
  <c r="J948" i="14"/>
  <c r="J431" i="14"/>
  <c r="J194" i="14"/>
  <c r="J429" i="14"/>
  <c r="J65" i="14"/>
  <c r="J188" i="14"/>
  <c r="J185" i="14"/>
  <c r="K3" i="14"/>
  <c r="K1118" i="14" s="1"/>
  <c r="K1095" i="14" l="1"/>
  <c r="K1166" i="14"/>
  <c r="K1337" i="14"/>
  <c r="K1173" i="14"/>
  <c r="I1147" i="14"/>
  <c r="I1148" i="14" s="1"/>
  <c r="I1151" i="14"/>
  <c r="I1153" i="14" s="1"/>
  <c r="J1141" i="14"/>
  <c r="J1143" i="14" s="1"/>
  <c r="K1080" i="14"/>
  <c r="K1088" i="14"/>
  <c r="K1072" i="14"/>
  <c r="K1152" i="14"/>
  <c r="K1145" i="14"/>
  <c r="J1146" i="14"/>
  <c r="K1109" i="14"/>
  <c r="K951" i="14"/>
  <c r="K432" i="14"/>
  <c r="K602" i="14"/>
  <c r="K603" i="14"/>
  <c r="K729" i="14"/>
  <c r="K724" i="14"/>
  <c r="K737" i="14" s="1"/>
  <c r="K730" i="14"/>
  <c r="K744" i="14" s="1"/>
  <c r="K723" i="14"/>
  <c r="K952" i="14"/>
  <c r="K433" i="14"/>
  <c r="K190" i="14"/>
  <c r="K203" i="14" s="1"/>
  <c r="K189" i="14"/>
  <c r="K67" i="14"/>
  <c r="K66" i="14"/>
  <c r="K196" i="14"/>
  <c r="K210" i="14" s="1"/>
  <c r="K195" i="14"/>
  <c r="K4" i="14"/>
  <c r="K63" i="14" s="1"/>
  <c r="K736" i="14" l="1"/>
  <c r="K958" i="14"/>
  <c r="K209" i="14"/>
  <c r="K211" i="14" s="1"/>
  <c r="K440" i="14"/>
  <c r="K441" i="14" s="1"/>
  <c r="K959" i="14"/>
  <c r="K743" i="14"/>
  <c r="K439" i="14"/>
  <c r="K73" i="14"/>
  <c r="K202" i="14"/>
  <c r="K204" i="14" s="1"/>
  <c r="I1154" i="14"/>
  <c r="J1147" i="14"/>
  <c r="J1148" i="14" s="1"/>
  <c r="J1151" i="14"/>
  <c r="J1153" i="14" s="1"/>
  <c r="K1130" i="14"/>
  <c r="K1140" i="14" s="1"/>
  <c r="K1142" i="14" s="1"/>
  <c r="K1131" i="14"/>
  <c r="K599" i="14"/>
  <c r="K601" i="14"/>
  <c r="K719" i="14"/>
  <c r="K728" i="14"/>
  <c r="K722" i="14"/>
  <c r="K950" i="14"/>
  <c r="K948" i="14"/>
  <c r="K431" i="14"/>
  <c r="K194" i="14"/>
  <c r="K429" i="14"/>
  <c r="K65" i="14"/>
  <c r="K188" i="14"/>
  <c r="K185" i="14"/>
  <c r="L3" i="14"/>
  <c r="L1166" i="14" l="1"/>
  <c r="L1118" i="14"/>
  <c r="L1095" i="14"/>
  <c r="L952" i="14"/>
  <c r="L1337" i="14"/>
  <c r="L1173" i="14"/>
  <c r="J1154" i="14"/>
  <c r="K1141" i="14"/>
  <c r="K1143" i="14" s="1"/>
  <c r="L1080" i="14"/>
  <c r="L1088" i="14"/>
  <c r="L1072" i="14"/>
  <c r="L1152" i="14"/>
  <c r="L1145" i="14"/>
  <c r="K1146" i="14"/>
  <c r="L1109" i="14"/>
  <c r="K960" i="14"/>
  <c r="K1353" i="14" s="1"/>
  <c r="L951" i="14"/>
  <c r="L432" i="14"/>
  <c r="K611" i="14"/>
  <c r="L603" i="14"/>
  <c r="L602" i="14"/>
  <c r="L729" i="14"/>
  <c r="L730" i="14"/>
  <c r="L744" i="14" s="1"/>
  <c r="L724" i="14"/>
  <c r="L737" i="14" s="1"/>
  <c r="L723" i="14"/>
  <c r="L433" i="14"/>
  <c r="L190" i="14"/>
  <c r="L203" i="14" s="1"/>
  <c r="L189" i="14"/>
  <c r="L67" i="14"/>
  <c r="L74" i="14" s="1"/>
  <c r="L66" i="14"/>
  <c r="L196" i="14"/>
  <c r="L210" i="14" s="1"/>
  <c r="L195" i="14"/>
  <c r="L4" i="14"/>
  <c r="L63" i="14" s="1"/>
  <c r="L440" i="14" l="1"/>
  <c r="L441" i="14" s="1"/>
  <c r="L439" i="14"/>
  <c r="L958" i="14"/>
  <c r="L736" i="14"/>
  <c r="L209" i="14"/>
  <c r="L211" i="14" s="1"/>
  <c r="L73" i="14"/>
  <c r="L75" i="14" s="1"/>
  <c r="L959" i="14"/>
  <c r="L743" i="14"/>
  <c r="L202" i="14"/>
  <c r="L204" i="14" s="1"/>
  <c r="K709" i="14"/>
  <c r="K1350" i="14"/>
  <c r="K1147" i="14"/>
  <c r="K1148" i="14" s="1"/>
  <c r="K1151" i="14"/>
  <c r="K1153" i="14" s="1"/>
  <c r="L1131" i="14"/>
  <c r="L1130" i="14"/>
  <c r="L1140" i="14" s="1"/>
  <c r="L599" i="14"/>
  <c r="L601" i="14"/>
  <c r="L719" i="14"/>
  <c r="L728" i="14"/>
  <c r="L722" i="14"/>
  <c r="L950" i="14"/>
  <c r="L948" i="14"/>
  <c r="L431" i="14"/>
  <c r="L194" i="14"/>
  <c r="L429" i="14"/>
  <c r="L65" i="14"/>
  <c r="L188" i="14"/>
  <c r="L185" i="14"/>
  <c r="M3" i="14"/>
  <c r="M1118" i="14" s="1"/>
  <c r="M1095" i="14" l="1"/>
  <c r="M1166" i="14"/>
  <c r="M1337" i="14"/>
  <c r="M1173" i="14"/>
  <c r="L1142" i="14"/>
  <c r="L1146" i="14" s="1"/>
  <c r="K1154" i="14"/>
  <c r="L960" i="14"/>
  <c r="L1353" i="14" s="1"/>
  <c r="L1141" i="14"/>
  <c r="M1080" i="14"/>
  <c r="M1088" i="14"/>
  <c r="M1072" i="14"/>
  <c r="M1152" i="14"/>
  <c r="M1145" i="14"/>
  <c r="M1109" i="14"/>
  <c r="M951" i="14"/>
  <c r="M958" i="14" s="1"/>
  <c r="M432" i="14"/>
  <c r="M439" i="14" s="1"/>
  <c r="L745" i="14"/>
  <c r="L1352" i="14" s="1"/>
  <c r="L738" i="14"/>
  <c r="L1351" i="14" s="1"/>
  <c r="L1339" i="14"/>
  <c r="L611" i="14"/>
  <c r="M603" i="14"/>
  <c r="M602" i="14"/>
  <c r="M729" i="14"/>
  <c r="M724" i="14"/>
  <c r="M737" i="14" s="1"/>
  <c r="M723" i="14"/>
  <c r="M730" i="14"/>
  <c r="M744" i="14" s="1"/>
  <c r="M952" i="14"/>
  <c r="M433" i="14"/>
  <c r="M190" i="14"/>
  <c r="M203" i="14" s="1"/>
  <c r="M189" i="14"/>
  <c r="M67" i="14"/>
  <c r="M74" i="14" s="1"/>
  <c r="M66" i="14"/>
  <c r="M196" i="14"/>
  <c r="M210" i="14" s="1"/>
  <c r="M195" i="14"/>
  <c r="M4" i="14"/>
  <c r="M63" i="14" s="1"/>
  <c r="M209" i="14" l="1"/>
  <c r="M211" i="14" s="1"/>
  <c r="M202" i="14"/>
  <c r="M204" i="14" s="1"/>
  <c r="M73" i="14"/>
  <c r="M75" i="14" s="1"/>
  <c r="M959" i="14"/>
  <c r="M960" i="14" s="1"/>
  <c r="M1353" i="14" s="1"/>
  <c r="M736" i="14"/>
  <c r="M743" i="14"/>
  <c r="M440" i="14"/>
  <c r="M441" i="14" s="1"/>
  <c r="L709" i="14"/>
  <c r="L1350" i="14"/>
  <c r="L1143" i="14"/>
  <c r="L1147" i="14" s="1"/>
  <c r="L1148" i="14" s="1"/>
  <c r="L1312" i="14" a="1"/>
  <c r="L1312" i="14" s="1"/>
  <c r="L1324" i="14" a="1"/>
  <c r="L1324" i="14" s="1"/>
  <c r="M1130" i="14"/>
  <c r="M1140" i="14" s="1"/>
  <c r="M1131" i="14"/>
  <c r="M599" i="14"/>
  <c r="M601" i="14"/>
  <c r="M722" i="14"/>
  <c r="M728" i="14"/>
  <c r="M719" i="14"/>
  <c r="M950" i="14"/>
  <c r="M948" i="14"/>
  <c r="M431" i="14"/>
  <c r="M194" i="14"/>
  <c r="M429" i="14"/>
  <c r="M188" i="14"/>
  <c r="M65" i="14"/>
  <c r="M185" i="14"/>
  <c r="N3" i="14"/>
  <c r="N1118" i="14" s="1"/>
  <c r="L1151" i="14" l="1"/>
  <c r="L1153" i="14" s="1"/>
  <c r="L1154" i="14" s="1"/>
  <c r="N1095" i="14"/>
  <c r="N1166" i="14"/>
  <c r="N1337" i="14"/>
  <c r="N1173" i="14"/>
  <c r="M1142" i="14"/>
  <c r="M1146" i="14" s="1"/>
  <c r="M1141" i="14"/>
  <c r="N1088" i="14"/>
  <c r="N1080" i="14"/>
  <c r="N1072" i="14"/>
  <c r="N1152" i="14"/>
  <c r="N1145" i="14"/>
  <c r="N1109" i="14"/>
  <c r="M745" i="14"/>
  <c r="M1352" i="14" s="1"/>
  <c r="N951" i="14"/>
  <c r="N958" i="14" s="1"/>
  <c r="N432" i="14"/>
  <c r="N439" i="14" s="1"/>
  <c r="M738" i="14"/>
  <c r="M1351" i="14" s="1"/>
  <c r="M1339" i="14"/>
  <c r="M611" i="14"/>
  <c r="N603" i="14"/>
  <c r="N602" i="14"/>
  <c r="N729" i="14"/>
  <c r="N743" i="14" s="1"/>
  <c r="N724" i="14"/>
  <c r="N737" i="14" s="1"/>
  <c r="N723" i="14"/>
  <c r="N736" i="14" s="1"/>
  <c r="N730" i="14"/>
  <c r="N744" i="14" s="1"/>
  <c r="N952" i="14"/>
  <c r="N959" i="14" s="1"/>
  <c r="N433" i="14"/>
  <c r="N190" i="14"/>
  <c r="N203" i="14" s="1"/>
  <c r="N189" i="14"/>
  <c r="N67" i="14"/>
  <c r="N74" i="14" s="1"/>
  <c r="N66" i="14"/>
  <c r="N195" i="14"/>
  <c r="N196" i="14"/>
  <c r="N210" i="14" s="1"/>
  <c r="N4" i="14"/>
  <c r="N63" i="14" s="1"/>
  <c r="N209" i="14" l="1"/>
  <c r="N211" i="14" s="1"/>
  <c r="N73" i="14"/>
  <c r="N75" i="14" s="1"/>
  <c r="N202" i="14"/>
  <c r="N204" i="14" s="1"/>
  <c r="N1339" i="14" s="1"/>
  <c r="N440" i="14"/>
  <c r="N441" i="14" s="1"/>
  <c r="N960" i="14"/>
  <c r="N1353" i="14" s="1"/>
  <c r="M709" i="14"/>
  <c r="M1350" i="14"/>
  <c r="M1143" i="14"/>
  <c r="M1151" i="14" s="1"/>
  <c r="M1153" i="14" s="1"/>
  <c r="M1312" i="14" a="1"/>
  <c r="M1312" i="14" s="1"/>
  <c r="M1324" i="14" a="1"/>
  <c r="M1324" i="14" s="1"/>
  <c r="N1131" i="14"/>
  <c r="N1130" i="14"/>
  <c r="N1140" i="14" s="1"/>
  <c r="N1142" i="14" s="1"/>
  <c r="N738" i="14"/>
  <c r="N1351" i="14" s="1"/>
  <c r="N599" i="14"/>
  <c r="N601" i="14"/>
  <c r="N745" i="14"/>
  <c r="N1352" i="14" s="1"/>
  <c r="N728" i="14"/>
  <c r="N719" i="14"/>
  <c r="N722" i="14"/>
  <c r="N950" i="14"/>
  <c r="N948" i="14"/>
  <c r="N431" i="14"/>
  <c r="N194" i="14"/>
  <c r="N429" i="14"/>
  <c r="N65" i="14"/>
  <c r="N188" i="14"/>
  <c r="O3" i="14"/>
  <c r="O1118" i="14" s="1"/>
  <c r="N185" i="14"/>
  <c r="O1095" i="14" l="1"/>
  <c r="O1166" i="14"/>
  <c r="O1337" i="14"/>
  <c r="O1173" i="14"/>
  <c r="M1147" i="14"/>
  <c r="M1148" i="14" s="1"/>
  <c r="M1154" i="14" s="1"/>
  <c r="N1312" i="14" a="1"/>
  <c r="N1312" i="14" s="1"/>
  <c r="N1324" i="14" a="1"/>
  <c r="N1324" i="14" s="1"/>
  <c r="N1141" i="14"/>
  <c r="N1143" i="14" s="1"/>
  <c r="O1080" i="14"/>
  <c r="O1088" i="14"/>
  <c r="O1072" i="14"/>
  <c r="O1152" i="14"/>
  <c r="O1145" i="14"/>
  <c r="N1146" i="14"/>
  <c r="O1109" i="14"/>
  <c r="O432" i="14"/>
  <c r="O439" i="14" s="1"/>
  <c r="O951" i="14"/>
  <c r="O958" i="14" s="1"/>
  <c r="N611" i="14"/>
  <c r="O603" i="14"/>
  <c r="O602" i="14"/>
  <c r="O729" i="14"/>
  <c r="O743" i="14" s="1"/>
  <c r="O723" i="14"/>
  <c r="O736" i="14" s="1"/>
  <c r="O730" i="14"/>
  <c r="O744" i="14" s="1"/>
  <c r="O724" i="14"/>
  <c r="O737" i="14" s="1"/>
  <c r="O952" i="14"/>
  <c r="O959" i="14" s="1"/>
  <c r="O433" i="14"/>
  <c r="O440" i="14" s="1"/>
  <c r="O441" i="14" s="1"/>
  <c r="O4" i="14"/>
  <c r="O63" i="14" s="1"/>
  <c r="O190" i="14"/>
  <c r="O203" i="14" s="1"/>
  <c r="O189" i="14"/>
  <c r="O202" i="14" s="1"/>
  <c r="O67" i="14"/>
  <c r="O74" i="14" s="1"/>
  <c r="O66" i="14"/>
  <c r="O195" i="14"/>
  <c r="O209" i="14" s="1"/>
  <c r="O196" i="14"/>
  <c r="O210" i="14" s="1"/>
  <c r="O204" i="14" l="1"/>
  <c r="O1339" i="14" s="1"/>
  <c r="O211" i="14"/>
  <c r="O73" i="14"/>
  <c r="O75" i="14" s="1"/>
  <c r="O960" i="14"/>
  <c r="O1353" i="14" s="1"/>
  <c r="N709" i="14"/>
  <c r="N1350" i="14"/>
  <c r="N1151" i="14"/>
  <c r="N1153" i="14" s="1"/>
  <c r="N1147" i="14"/>
  <c r="N1148" i="14" s="1"/>
  <c r="O1130" i="14"/>
  <c r="O1140" i="14" s="1"/>
  <c r="O1142" i="14" s="1"/>
  <c r="O1131" i="14"/>
  <c r="O745" i="14"/>
  <c r="O1352" i="14" s="1"/>
  <c r="O599" i="14"/>
  <c r="O601" i="14"/>
  <c r="O611" i="14" s="1"/>
  <c r="O1350" i="14" s="1"/>
  <c r="O728" i="14"/>
  <c r="O719" i="14"/>
  <c r="O722" i="14"/>
  <c r="O950" i="14"/>
  <c r="O948" i="14"/>
  <c r="O431" i="14"/>
  <c r="O429" i="14"/>
  <c r="P3" i="14"/>
  <c r="P1118" i="14" s="1"/>
  <c r="O194" i="14"/>
  <c r="O185" i="14"/>
  <c r="O188" i="14"/>
  <c r="O65" i="14"/>
  <c r="P1095" i="14" l="1"/>
  <c r="P1166" i="14"/>
  <c r="P1337" i="14"/>
  <c r="P1173" i="14"/>
  <c r="O1312" i="14" a="1"/>
  <c r="O1312" i="14" s="1"/>
  <c r="O1324" i="14" a="1"/>
  <c r="O1324" i="14" s="1"/>
  <c r="N1154" i="14"/>
  <c r="O1141" i="14"/>
  <c r="O1143" i="14" s="1"/>
  <c r="P1080" i="14"/>
  <c r="P1088" i="14"/>
  <c r="P1072" i="14"/>
  <c r="P1152" i="14"/>
  <c r="P1130" i="14"/>
  <c r="P1140" i="14" s="1"/>
  <c r="P1142" i="14" s="1"/>
  <c r="P1145" i="14"/>
  <c r="O1146" i="14"/>
  <c r="P1109" i="14"/>
  <c r="P432" i="14"/>
  <c r="P439" i="14" s="1"/>
  <c r="P951" i="14"/>
  <c r="P958" i="14" s="1"/>
  <c r="O738" i="14"/>
  <c r="O1351" i="14" s="1"/>
  <c r="P603" i="14"/>
  <c r="P602" i="14"/>
  <c r="O709" i="14"/>
  <c r="P729" i="14"/>
  <c r="P743" i="14" s="1"/>
  <c r="P723" i="14"/>
  <c r="P736" i="14" s="1"/>
  <c r="P730" i="14"/>
  <c r="P744" i="14" s="1"/>
  <c r="P724" i="14"/>
  <c r="P737" i="14" s="1"/>
  <c r="P952" i="14"/>
  <c r="P959" i="14" s="1"/>
  <c r="P433" i="14"/>
  <c r="P440" i="14" s="1"/>
  <c r="P441" i="14" s="1"/>
  <c r="P189" i="14"/>
  <c r="P202" i="14" s="1"/>
  <c r="P66" i="14"/>
  <c r="P196" i="14"/>
  <c r="P210" i="14" s="1"/>
  <c r="P4" i="14"/>
  <c r="P63" i="14" s="1"/>
  <c r="P195" i="14"/>
  <c r="P209" i="14" s="1"/>
  <c r="P67" i="14"/>
  <c r="P74" i="14" s="1"/>
  <c r="P190" i="14"/>
  <c r="P203" i="14" s="1"/>
  <c r="P211" i="14" l="1"/>
  <c r="P73" i="14"/>
  <c r="P75" i="14" s="1"/>
  <c r="P204" i="14"/>
  <c r="P1339" i="14" s="1"/>
  <c r="O1151" i="14"/>
  <c r="O1153" i="14" s="1"/>
  <c r="O1147" i="14"/>
  <c r="O1148" i="14" s="1"/>
  <c r="P1131" i="14"/>
  <c r="P1141" i="14"/>
  <c r="P1146" i="14"/>
  <c r="P960" i="14"/>
  <c r="P1353" i="14" s="1"/>
  <c r="P745" i="14"/>
  <c r="P1352" i="14" s="1"/>
  <c r="P738" i="14"/>
  <c r="P1351" i="14" s="1"/>
  <c r="P599" i="14"/>
  <c r="P601" i="14"/>
  <c r="P611" i="14" s="1"/>
  <c r="P1350" i="14" s="1"/>
  <c r="P719" i="14"/>
  <c r="P722" i="14"/>
  <c r="P728" i="14"/>
  <c r="P950" i="14"/>
  <c r="P948" i="14"/>
  <c r="P431" i="14"/>
  <c r="P65" i="14"/>
  <c r="P429" i="14"/>
  <c r="P194" i="14"/>
  <c r="P188" i="14"/>
  <c r="Q3" i="14"/>
  <c r="Q1118" i="14" s="1"/>
  <c r="P185" i="14"/>
  <c r="Q1095" i="14" l="1"/>
  <c r="Q1166" i="14"/>
  <c r="Q1337" i="14"/>
  <c r="Q1173" i="14"/>
  <c r="O1154" i="14"/>
  <c r="P1312" i="14" a="1"/>
  <c r="P1312" i="14" s="1"/>
  <c r="P1324" i="14" a="1"/>
  <c r="P1324" i="14" s="1"/>
  <c r="Q1080" i="14"/>
  <c r="Q1088" i="14"/>
  <c r="Q1072" i="14"/>
  <c r="Q1152" i="14"/>
  <c r="Q1145" i="14"/>
  <c r="P1143" i="14"/>
  <c r="Q1109" i="14"/>
  <c r="Q432" i="14"/>
  <c r="Q439" i="14" s="1"/>
  <c r="Q951" i="14"/>
  <c r="Q958" i="14" s="1"/>
  <c r="Q603" i="14"/>
  <c r="Q602" i="14"/>
  <c r="P709" i="14"/>
  <c r="Q730" i="14"/>
  <c r="Q744" i="14" s="1"/>
  <c r="Q729" i="14"/>
  <c r="Q743" i="14" s="1"/>
  <c r="Q723" i="14"/>
  <c r="Q736" i="14" s="1"/>
  <c r="Q724" i="14"/>
  <c r="Q737" i="14" s="1"/>
  <c r="Q952" i="14"/>
  <c r="Q959" i="14" s="1"/>
  <c r="Q433" i="14"/>
  <c r="Q440" i="14" s="1"/>
  <c r="Q441" i="14" s="1"/>
  <c r="Q67" i="14"/>
  <c r="Q74" i="14" s="1"/>
  <c r="Q189" i="14"/>
  <c r="Q202" i="14" s="1"/>
  <c r="Q4" i="14"/>
  <c r="Q63" i="14" s="1"/>
  <c r="Q195" i="14"/>
  <c r="Q209" i="14" s="1"/>
  <c r="Q196" i="14"/>
  <c r="Q210" i="14" s="1"/>
  <c r="Q190" i="14"/>
  <c r="Q203" i="14" s="1"/>
  <c r="Q66" i="14"/>
  <c r="Q73" i="14" s="1"/>
  <c r="Q211" i="14" l="1"/>
  <c r="Q204" i="14"/>
  <c r="Q1339" i="14" s="1"/>
  <c r="Q75" i="14"/>
  <c r="P1151" i="14"/>
  <c r="P1153" i="14" s="1"/>
  <c r="P1147" i="14"/>
  <c r="P1148" i="14" s="1"/>
  <c r="Q1131" i="14"/>
  <c r="Q1130" i="14"/>
  <c r="Q1140" i="14" s="1"/>
  <c r="Q1142" i="14" s="1"/>
  <c r="Q960" i="14"/>
  <c r="Q1353" i="14" s="1"/>
  <c r="Q745" i="14"/>
  <c r="Q1352" i="14" s="1"/>
  <c r="Q738" i="14"/>
  <c r="Q1351" i="14" s="1"/>
  <c r="Q601" i="14"/>
  <c r="Q611" i="14" s="1"/>
  <c r="Q1350" i="14" s="1"/>
  <c r="Q599" i="14"/>
  <c r="Q719" i="14"/>
  <c r="Q722" i="14"/>
  <c r="Q728" i="14"/>
  <c r="Q950" i="14"/>
  <c r="Q948" i="14"/>
  <c r="Q431" i="14"/>
  <c r="Q194" i="14"/>
  <c r="Q429" i="14"/>
  <c r="R3" i="14"/>
  <c r="R1118" i="14" s="1"/>
  <c r="Q185" i="14"/>
  <c r="Q65" i="14"/>
  <c r="Q188" i="14"/>
  <c r="R1095" i="14" l="1"/>
  <c r="R1166" i="14"/>
  <c r="R1337" i="14"/>
  <c r="R1173" i="14"/>
  <c r="P1154" i="14"/>
  <c r="Q1312" i="14" a="1"/>
  <c r="Q1312" i="14" s="1"/>
  <c r="Q1324" i="14" a="1"/>
  <c r="Q1324" i="14" s="1"/>
  <c r="Q1141" i="14"/>
  <c r="Q1143" i="14" s="1"/>
  <c r="R1080" i="14"/>
  <c r="R1088" i="14"/>
  <c r="R1072" i="14"/>
  <c r="R1152" i="14"/>
  <c r="Q1146" i="14"/>
  <c r="R1145" i="14"/>
  <c r="R1109" i="14"/>
  <c r="R432" i="14"/>
  <c r="R439" i="14" s="1"/>
  <c r="R951" i="14"/>
  <c r="R958" i="14" s="1"/>
  <c r="Q709" i="14"/>
  <c r="R603" i="14"/>
  <c r="R602" i="14"/>
  <c r="R730" i="14"/>
  <c r="R744" i="14" s="1"/>
  <c r="R723" i="14"/>
  <c r="R736" i="14" s="1"/>
  <c r="R729" i="14"/>
  <c r="R743" i="14" s="1"/>
  <c r="R724" i="14"/>
  <c r="R737" i="14" s="1"/>
  <c r="R952" i="14"/>
  <c r="R959" i="14" s="1"/>
  <c r="R433" i="14"/>
  <c r="R440" i="14" s="1"/>
  <c r="R441" i="14" s="1"/>
  <c r="R189" i="14"/>
  <c r="R202" i="14" s="1"/>
  <c r="R190" i="14"/>
  <c r="R203" i="14" s="1"/>
  <c r="R4" i="14"/>
  <c r="R63" i="14" s="1"/>
  <c r="R196" i="14"/>
  <c r="R210" i="14" s="1"/>
  <c r="R66" i="14"/>
  <c r="R195" i="14"/>
  <c r="R209" i="14" s="1"/>
  <c r="R67" i="14"/>
  <c r="R74" i="14" s="1"/>
  <c r="R204" i="14" l="1"/>
  <c r="R1339" i="14" s="1"/>
  <c r="R211" i="14"/>
  <c r="R1340" i="14" s="1"/>
  <c r="R73" i="14"/>
  <c r="R75" i="14" s="1"/>
  <c r="Q1151" i="14"/>
  <c r="Q1153" i="14" s="1"/>
  <c r="Q1147" i="14"/>
  <c r="Q1148" i="14" s="1"/>
  <c r="R1131" i="14"/>
  <c r="R1130" i="14"/>
  <c r="R1140" i="14" s="1"/>
  <c r="R960" i="14"/>
  <c r="R1353" i="14" s="1"/>
  <c r="R745" i="14"/>
  <c r="R1352" i="14" s="1"/>
  <c r="R738" i="14"/>
  <c r="R1351" i="14" s="1"/>
  <c r="R601" i="14"/>
  <c r="R611" i="14" s="1"/>
  <c r="R1350" i="14" s="1"/>
  <c r="R599" i="14"/>
  <c r="R719" i="14"/>
  <c r="R722" i="14"/>
  <c r="R728" i="14"/>
  <c r="R950" i="14"/>
  <c r="R948" i="14"/>
  <c r="R431" i="14"/>
  <c r="S3" i="14"/>
  <c r="S1118" i="14" s="1"/>
  <c r="R185" i="14"/>
  <c r="R188" i="14"/>
  <c r="R65" i="14"/>
  <c r="R194" i="14"/>
  <c r="R429" i="14"/>
  <c r="S1095" i="14" l="1"/>
  <c r="S1166" i="14"/>
  <c r="S1337" i="14"/>
  <c r="S1173" i="14"/>
  <c r="R1141" i="14"/>
  <c r="R1142" i="14"/>
  <c r="R1146" i="14" s="1"/>
  <c r="R1312" i="14" a="1"/>
  <c r="R1312" i="14" s="1"/>
  <c r="R1324" i="14" a="1"/>
  <c r="R1324" i="14" s="1"/>
  <c r="R1314" i="14" a="1"/>
  <c r="R1314" i="14" s="1"/>
  <c r="R1326" i="14" a="1"/>
  <c r="R1326" i="14" s="1"/>
  <c r="Q1154" i="14"/>
  <c r="S1080" i="14"/>
  <c r="S1088" i="14"/>
  <c r="S1072" i="14"/>
  <c r="S1152" i="14"/>
  <c r="S1145" i="14"/>
  <c r="S1109" i="14"/>
  <c r="S432" i="14"/>
  <c r="S439" i="14" s="1"/>
  <c r="S951" i="14"/>
  <c r="S958" i="14" s="1"/>
  <c r="S603" i="14"/>
  <c r="S602" i="14"/>
  <c r="R709" i="14"/>
  <c r="S730" i="14"/>
  <c r="S744" i="14" s="1"/>
  <c r="S723" i="14"/>
  <c r="S736" i="14" s="1"/>
  <c r="S729" i="14"/>
  <c r="S743" i="14" s="1"/>
  <c r="S724" i="14"/>
  <c r="S737" i="14" s="1"/>
  <c r="S952" i="14"/>
  <c r="S959" i="14" s="1"/>
  <c r="S66" i="14"/>
  <c r="S73" i="14" s="1"/>
  <c r="S433" i="14"/>
  <c r="S440" i="14" s="1"/>
  <c r="S441" i="14" s="1"/>
  <c r="S4" i="14"/>
  <c r="S63" i="14" s="1"/>
  <c r="S67" i="14"/>
  <c r="S74" i="14" s="1"/>
  <c r="S195" i="14"/>
  <c r="S209" i="14" s="1"/>
  <c r="S196" i="14"/>
  <c r="S210" i="14" s="1"/>
  <c r="S189" i="14"/>
  <c r="S202" i="14" s="1"/>
  <c r="S190" i="14"/>
  <c r="S203" i="14" s="1"/>
  <c r="S211" i="14" l="1"/>
  <c r="S1340" i="14" s="1"/>
  <c r="S204" i="14"/>
  <c r="S1339" i="14" s="1"/>
  <c r="S75" i="14"/>
  <c r="R1143" i="14"/>
  <c r="S1130" i="14"/>
  <c r="S1140" i="14" s="1"/>
  <c r="S1131" i="14"/>
  <c r="S960" i="14"/>
  <c r="S1353" i="14" s="1"/>
  <c r="S738" i="14"/>
  <c r="S1351" i="14" s="1"/>
  <c r="S745" i="14"/>
  <c r="S1352" i="14" s="1"/>
  <c r="S599" i="14"/>
  <c r="S601" i="14"/>
  <c r="S611" i="14" s="1"/>
  <c r="S1350" i="14" s="1"/>
  <c r="S719" i="14"/>
  <c r="S722" i="14"/>
  <c r="S728" i="14"/>
  <c r="S950" i="14"/>
  <c r="S948" i="14"/>
  <c r="S65" i="14"/>
  <c r="S194" i="14"/>
  <c r="S185" i="14"/>
  <c r="S429" i="14"/>
  <c r="S188" i="14"/>
  <c r="S431" i="14"/>
  <c r="T3" i="14"/>
  <c r="T1118" i="14" s="1"/>
  <c r="T1095" i="14" l="1"/>
  <c r="T1166" i="14"/>
  <c r="T1337" i="14"/>
  <c r="T1173" i="14"/>
  <c r="S1142" i="14"/>
  <c r="S1146" i="14" s="1"/>
  <c r="R1151" i="14"/>
  <c r="R1153" i="14" s="1"/>
  <c r="R1147" i="14"/>
  <c r="R1148" i="14" s="1"/>
  <c r="S1314" i="14" a="1"/>
  <c r="S1314" i="14" s="1"/>
  <c r="S1326" i="14" a="1"/>
  <c r="S1326" i="14" s="1"/>
  <c r="S1312" i="14" a="1"/>
  <c r="S1312" i="14" s="1"/>
  <c r="S1324" i="14" a="1"/>
  <c r="S1324" i="14" s="1"/>
  <c r="S1141" i="14"/>
  <c r="T1080" i="14"/>
  <c r="T1088" i="14"/>
  <c r="T1072" i="14"/>
  <c r="T1152" i="14"/>
  <c r="T1145" i="14"/>
  <c r="T1109" i="14"/>
  <c r="T432" i="14"/>
  <c r="T439" i="14" s="1"/>
  <c r="T951" i="14"/>
  <c r="T958" i="14" s="1"/>
  <c r="T603" i="14"/>
  <c r="T602" i="14"/>
  <c r="S709" i="14"/>
  <c r="T730" i="14"/>
  <c r="T744" i="14" s="1"/>
  <c r="T723" i="14"/>
  <c r="T736" i="14" s="1"/>
  <c r="T724" i="14"/>
  <c r="T737" i="14" s="1"/>
  <c r="T729" i="14"/>
  <c r="T743" i="14" s="1"/>
  <c r="T952" i="14"/>
  <c r="T959" i="14" s="1"/>
  <c r="T433" i="14"/>
  <c r="T440" i="14" s="1"/>
  <c r="T441" i="14" s="1"/>
  <c r="T4" i="14"/>
  <c r="T63" i="14" s="1"/>
  <c r="T196" i="14"/>
  <c r="T210" i="14" s="1"/>
  <c r="T190" i="14"/>
  <c r="T203" i="14" s="1"/>
  <c r="T195" i="14"/>
  <c r="T209" i="14" s="1"/>
  <c r="T66" i="14"/>
  <c r="T73" i="14" s="1"/>
  <c r="T67" i="14"/>
  <c r="T74" i="14" s="1"/>
  <c r="T189" i="14"/>
  <c r="T202" i="14" s="1"/>
  <c r="T204" i="14" l="1"/>
  <c r="T1339" i="14" s="1"/>
  <c r="T211" i="14"/>
  <c r="T1340" i="14" s="1"/>
  <c r="S1143" i="14"/>
  <c r="T75" i="14"/>
  <c r="R1154" i="14"/>
  <c r="S1151" i="14"/>
  <c r="S1153" i="14" s="1"/>
  <c r="S1147" i="14"/>
  <c r="S1148" i="14" s="1"/>
  <c r="T1130" i="14"/>
  <c r="T1140" i="14" s="1"/>
  <c r="T1141" i="14" s="1"/>
  <c r="T1131" i="14"/>
  <c r="T960" i="14"/>
  <c r="T1353" i="14" s="1"/>
  <c r="T599" i="14"/>
  <c r="T601" i="14"/>
  <c r="T611" i="14" s="1"/>
  <c r="T1350" i="14" s="1"/>
  <c r="T745" i="14"/>
  <c r="T1352" i="14" s="1"/>
  <c r="T722" i="14"/>
  <c r="T728" i="14"/>
  <c r="T719" i="14"/>
  <c r="T950" i="14"/>
  <c r="T948" i="14"/>
  <c r="T431" i="14"/>
  <c r="T185" i="14"/>
  <c r="T188" i="14"/>
  <c r="T65" i="14"/>
  <c r="T194" i="14"/>
  <c r="T429" i="14"/>
  <c r="U3" i="14"/>
  <c r="U1118" i="14" s="1"/>
  <c r="U1095" i="14" l="1"/>
  <c r="U1166" i="14"/>
  <c r="S1154" i="14"/>
  <c r="U1337" i="14"/>
  <c r="U1173" i="14"/>
  <c r="T1142" i="14"/>
  <c r="T1146" i="14" s="1"/>
  <c r="T1312" i="14" a="1"/>
  <c r="T1312" i="14" s="1"/>
  <c r="T1324" i="14" a="1"/>
  <c r="T1324" i="14" s="1"/>
  <c r="T1314" i="14" a="1"/>
  <c r="T1314" i="14" s="1"/>
  <c r="T1326" i="14" a="1"/>
  <c r="T1326" i="14" s="1"/>
  <c r="U1088" i="14"/>
  <c r="U1080" i="14"/>
  <c r="U1072" i="14"/>
  <c r="U1152" i="14"/>
  <c r="U1145" i="14"/>
  <c r="U1109" i="14"/>
  <c r="U432" i="14"/>
  <c r="U439" i="14" s="1"/>
  <c r="U951" i="14"/>
  <c r="U958" i="14" s="1"/>
  <c r="T738" i="14"/>
  <c r="T1351" i="14" s="1"/>
  <c r="U603" i="14"/>
  <c r="U602" i="14"/>
  <c r="T709" i="14"/>
  <c r="U730" i="14"/>
  <c r="U744" i="14" s="1"/>
  <c r="U723" i="14"/>
  <c r="U736" i="14" s="1"/>
  <c r="U724" i="14"/>
  <c r="U737" i="14" s="1"/>
  <c r="U729" i="14"/>
  <c r="U743" i="14" s="1"/>
  <c r="U952" i="14"/>
  <c r="U959" i="14" s="1"/>
  <c r="U433" i="14"/>
  <c r="U440" i="14" s="1"/>
  <c r="U441" i="14" s="1"/>
  <c r="U4" i="14"/>
  <c r="U63" i="14" s="1"/>
  <c r="U195" i="14"/>
  <c r="U209" i="14" s="1"/>
  <c r="U196" i="14"/>
  <c r="U210" i="14" s="1"/>
  <c r="U66" i="14"/>
  <c r="U73" i="14" s="1"/>
  <c r="U189" i="14"/>
  <c r="U202" i="14" s="1"/>
  <c r="U67" i="14"/>
  <c r="U74" i="14" s="1"/>
  <c r="U190" i="14"/>
  <c r="U203" i="14" s="1"/>
  <c r="T1143" i="14" l="1"/>
  <c r="U211" i="14"/>
  <c r="U1340" i="14" s="1"/>
  <c r="U204" i="14"/>
  <c r="U1339" i="14" s="1"/>
  <c r="U75" i="14"/>
  <c r="T1151" i="14"/>
  <c r="T1153" i="14" s="1"/>
  <c r="T1147" i="14"/>
  <c r="T1148" i="14" s="1"/>
  <c r="U1131" i="14"/>
  <c r="U1130" i="14"/>
  <c r="U1140" i="14" s="1"/>
  <c r="U960" i="14"/>
  <c r="U1353" i="14" s="1"/>
  <c r="U738" i="14"/>
  <c r="U1351" i="14" s="1"/>
  <c r="U745" i="14"/>
  <c r="U1352" i="14" s="1"/>
  <c r="U599" i="14"/>
  <c r="U601" i="14"/>
  <c r="U611" i="14" s="1"/>
  <c r="U1350" i="14" s="1"/>
  <c r="U719" i="14"/>
  <c r="U728" i="14"/>
  <c r="U722" i="14"/>
  <c r="U950" i="14"/>
  <c r="V3" i="14"/>
  <c r="V1118" i="14" s="1"/>
  <c r="U948" i="14"/>
  <c r="U188" i="14"/>
  <c r="U429" i="14"/>
  <c r="U185" i="14"/>
  <c r="U194" i="14"/>
  <c r="U65" i="14"/>
  <c r="U431" i="14"/>
  <c r="V1095" i="14" l="1"/>
  <c r="V1166" i="14"/>
  <c r="V1337" i="14"/>
  <c r="V1173" i="14"/>
  <c r="T1154" i="14"/>
  <c r="U1142" i="14"/>
  <c r="U1146" i="14" s="1"/>
  <c r="U1324" i="14" a="1"/>
  <c r="U1324" i="14" s="1"/>
  <c r="U1312" i="14" a="1"/>
  <c r="U1312" i="14" s="1"/>
  <c r="U1314" i="14" a="1"/>
  <c r="U1314" i="14" s="1"/>
  <c r="U1326" i="14" a="1"/>
  <c r="U1326" i="14" s="1"/>
  <c r="U1141" i="14"/>
  <c r="V1080" i="14"/>
  <c r="V1088" i="14"/>
  <c r="V1072" i="14"/>
  <c r="V1152" i="14"/>
  <c r="V1145" i="14"/>
  <c r="V1109" i="14"/>
  <c r="V432" i="14"/>
  <c r="V439" i="14" s="1"/>
  <c r="V951" i="14"/>
  <c r="V958" i="14" s="1"/>
  <c r="V603" i="14"/>
  <c r="V602" i="14"/>
  <c r="U709" i="14"/>
  <c r="V189" i="14"/>
  <c r="V202" i="14" s="1"/>
  <c r="V730" i="14"/>
  <c r="V744" i="14" s="1"/>
  <c r="V729" i="14"/>
  <c r="V743" i="14" s="1"/>
  <c r="V724" i="14"/>
  <c r="V737" i="14" s="1"/>
  <c r="V723" i="14"/>
  <c r="V736" i="14" s="1"/>
  <c r="V195" i="14"/>
  <c r="V209" i="14" s="1"/>
  <c r="V4" i="14"/>
  <c r="V63" i="14" s="1"/>
  <c r="V196" i="14"/>
  <c r="V210" i="14" s="1"/>
  <c r="V67" i="14"/>
  <c r="V74" i="14" s="1"/>
  <c r="V190" i="14"/>
  <c r="V203" i="14" s="1"/>
  <c r="V66" i="14"/>
  <c r="V73" i="14" s="1"/>
  <c r="V952" i="14"/>
  <c r="V959" i="14" s="1"/>
  <c r="V433" i="14"/>
  <c r="V440" i="14" s="1"/>
  <c r="V441" i="14" s="1"/>
  <c r="U1143" i="14" l="1"/>
  <c r="V204" i="14"/>
  <c r="V1339" i="14" s="1"/>
  <c r="V211" i="14"/>
  <c r="V1340" i="14" s="1"/>
  <c r="V75" i="14"/>
  <c r="U1147" i="14"/>
  <c r="U1148" i="14" s="1"/>
  <c r="U1151" i="14"/>
  <c r="U1153" i="14" s="1"/>
  <c r="V1130" i="14"/>
  <c r="V1140" i="14" s="1"/>
  <c r="V1131" i="14"/>
  <c r="V960" i="14"/>
  <c r="V1353" i="14" s="1"/>
  <c r="V745" i="14"/>
  <c r="V1352" i="14" s="1"/>
  <c r="V738" i="14"/>
  <c r="V1351" i="14" s="1"/>
  <c r="V599" i="14"/>
  <c r="V601" i="14"/>
  <c r="V611" i="14" s="1"/>
  <c r="V1350" i="14" s="1"/>
  <c r="V728" i="14"/>
  <c r="V722" i="14"/>
  <c r="W3" i="14"/>
  <c r="W1118" i="14" s="1"/>
  <c r="V950" i="14"/>
  <c r="V719" i="14"/>
  <c r="V194" i="14"/>
  <c r="V429" i="14"/>
  <c r="V65" i="14"/>
  <c r="V188" i="14"/>
  <c r="V431" i="14"/>
  <c r="V185" i="14"/>
  <c r="V948" i="14"/>
  <c r="W1095" i="14" l="1"/>
  <c r="W1166" i="14"/>
  <c r="W1337" i="14"/>
  <c r="W1173" i="14"/>
  <c r="V1142" i="14"/>
  <c r="V1146" i="14" s="1"/>
  <c r="U1154" i="14"/>
  <c r="V1312" i="14" a="1"/>
  <c r="V1312" i="14" s="1"/>
  <c r="V1324" i="14" a="1"/>
  <c r="V1324" i="14" s="1"/>
  <c r="V1314" i="14" a="1"/>
  <c r="V1314" i="14" s="1"/>
  <c r="V1326" i="14" a="1"/>
  <c r="V1326" i="14" s="1"/>
  <c r="V1141" i="14"/>
  <c r="V1143" i="14" s="1"/>
  <c r="W1080" i="14"/>
  <c r="W1088" i="14"/>
  <c r="W1072" i="14"/>
  <c r="W1152" i="14"/>
  <c r="W1145" i="14"/>
  <c r="W1109" i="14"/>
  <c r="W432" i="14"/>
  <c r="W439" i="14" s="1"/>
  <c r="W951" i="14"/>
  <c r="W958" i="14" s="1"/>
  <c r="W602" i="14"/>
  <c r="W603" i="14"/>
  <c r="V709" i="14"/>
  <c r="W196" i="14"/>
  <c r="W210" i="14" s="1"/>
  <c r="W723" i="14"/>
  <c r="W736" i="14" s="1"/>
  <c r="W724" i="14"/>
  <c r="W737" i="14" s="1"/>
  <c r="W190" i="14"/>
  <c r="W203" i="14" s="1"/>
  <c r="W67" i="14"/>
  <c r="W74" i="14" s="1"/>
  <c r="W66" i="14"/>
  <c r="W730" i="14"/>
  <c r="W744" i="14" s="1"/>
  <c r="W433" i="14"/>
  <c r="W440" i="14" s="1"/>
  <c r="W441" i="14" s="1"/>
  <c r="W729" i="14"/>
  <c r="W743" i="14" s="1"/>
  <c r="W952" i="14"/>
  <c r="W959" i="14" s="1"/>
  <c r="W189" i="14"/>
  <c r="W202" i="14" s="1"/>
  <c r="W4" i="14"/>
  <c r="W63" i="14" s="1"/>
  <c r="W195" i="14"/>
  <c r="W209" i="14" s="1"/>
  <c r="W204" i="14" l="1"/>
  <c r="W1339" i="14" s="1"/>
  <c r="W211" i="14"/>
  <c r="W73" i="14"/>
  <c r="W75" i="14" s="1"/>
  <c r="V1147" i="14"/>
  <c r="V1148" i="14" s="1"/>
  <c r="V1151" i="14"/>
  <c r="V1153" i="14" s="1"/>
  <c r="W1131" i="14"/>
  <c r="W1130" i="14"/>
  <c r="W1140" i="14" s="1"/>
  <c r="W960" i="14"/>
  <c r="W1353" i="14" s="1"/>
  <c r="W738" i="14"/>
  <c r="W1351" i="14" s="1"/>
  <c r="W599" i="14"/>
  <c r="W601" i="14"/>
  <c r="W611" i="14" s="1"/>
  <c r="W1350" i="14" s="1"/>
  <c r="W185" i="14"/>
  <c r="W745" i="14"/>
  <c r="W1352" i="14" s="1"/>
  <c r="W728" i="14"/>
  <c r="W950" i="14"/>
  <c r="W948" i="14"/>
  <c r="W65" i="14"/>
  <c r="W188" i="14"/>
  <c r="W194" i="14"/>
  <c r="W722" i="14"/>
  <c r="X3" i="14"/>
  <c r="X1118" i="14" s="1"/>
  <c r="W429" i="14"/>
  <c r="W431" i="14"/>
  <c r="W719" i="14"/>
  <c r="X1095" i="14" l="1"/>
  <c r="X1166" i="14"/>
  <c r="X1337" i="14"/>
  <c r="X1173" i="14"/>
  <c r="W1142" i="14"/>
  <c r="W1146" i="14" s="1"/>
  <c r="V1154" i="14"/>
  <c r="W1312" i="14" a="1"/>
  <c r="W1312" i="14" s="1"/>
  <c r="W1324" i="14" a="1"/>
  <c r="W1324" i="14" s="1"/>
  <c r="W1141" i="14"/>
  <c r="X1080" i="14"/>
  <c r="X1088" i="14"/>
  <c r="X1072" i="14"/>
  <c r="X1152" i="14"/>
  <c r="X1145" i="14"/>
  <c r="X1109" i="14"/>
  <c r="X432" i="14"/>
  <c r="X439" i="14" s="1"/>
  <c r="X951" i="14"/>
  <c r="X958" i="14" s="1"/>
  <c r="W1340" i="14"/>
  <c r="X602" i="14"/>
  <c r="X603" i="14"/>
  <c r="W709" i="14"/>
  <c r="X723" i="14"/>
  <c r="X736" i="14" s="1"/>
  <c r="X724" i="14"/>
  <c r="X737" i="14" s="1"/>
  <c r="X195" i="14"/>
  <c r="X209" i="14" s="1"/>
  <c r="X4" i="14"/>
  <c r="X63" i="14" s="1"/>
  <c r="X730" i="14"/>
  <c r="X744" i="14" s="1"/>
  <c r="X190" i="14"/>
  <c r="X203" i="14" s="1"/>
  <c r="X66" i="14"/>
  <c r="X189" i="14"/>
  <c r="X202" i="14" s="1"/>
  <c r="X433" i="14"/>
  <c r="X440" i="14" s="1"/>
  <c r="X441" i="14" s="1"/>
  <c r="X952" i="14"/>
  <c r="X959" i="14" s="1"/>
  <c r="X729" i="14"/>
  <c r="X743" i="14" s="1"/>
  <c r="X196" i="14"/>
  <c r="X210" i="14" s="1"/>
  <c r="X67" i="14"/>
  <c r="X74" i="14" s="1"/>
  <c r="W1143" i="14" l="1"/>
  <c r="W1151" i="14" s="1"/>
  <c r="W1153" i="14" s="1"/>
  <c r="X204" i="14"/>
  <c r="X1339" i="14" s="1"/>
  <c r="X73" i="14"/>
  <c r="X75" i="14" s="1"/>
  <c r="X211" i="14"/>
  <c r="X1340" i="14" s="1"/>
  <c r="W1314" i="14" a="1"/>
  <c r="W1314" i="14" s="1"/>
  <c r="W1326" i="14" a="1"/>
  <c r="W1326" i="14" s="1"/>
  <c r="X1130" i="14"/>
  <c r="X1140" i="14" s="1"/>
  <c r="X1131" i="14"/>
  <c r="X960" i="14"/>
  <c r="X1353" i="14" s="1"/>
  <c r="X738" i="14"/>
  <c r="X1351" i="14" s="1"/>
  <c r="X599" i="14"/>
  <c r="X601" i="14"/>
  <c r="X611" i="14" s="1"/>
  <c r="X1350" i="14" s="1"/>
  <c r="X745" i="14"/>
  <c r="X1352" i="14" s="1"/>
  <c r="X188" i="14"/>
  <c r="X194" i="14"/>
  <c r="X429" i="14"/>
  <c r="X65" i="14"/>
  <c r="X431" i="14"/>
  <c r="X950" i="14"/>
  <c r="X948" i="14"/>
  <c r="X722" i="14"/>
  <c r="X728" i="14"/>
  <c r="X185" i="14"/>
  <c r="Y3" i="14"/>
  <c r="Y1118" i="14" s="1"/>
  <c r="X719" i="14"/>
  <c r="W1147" i="14" l="1"/>
  <c r="W1148" i="14" s="1"/>
  <c r="W1154" i="14" s="1"/>
  <c r="Y1095" i="14"/>
  <c r="Y1166" i="14"/>
  <c r="Y1337" i="14"/>
  <c r="Y1173" i="14"/>
  <c r="X1142" i="14"/>
  <c r="X1146" i="14" s="1"/>
  <c r="X1312" i="14" a="1"/>
  <c r="X1312" i="14" s="1"/>
  <c r="X1324" i="14" a="1"/>
  <c r="X1324" i="14" s="1"/>
  <c r="X1314" i="14" a="1"/>
  <c r="X1314" i="14" s="1"/>
  <c r="X1326" i="14" a="1"/>
  <c r="X1326" i="14" s="1"/>
  <c r="X1141" i="14"/>
  <c r="Y1080" i="14"/>
  <c r="Y1088" i="14"/>
  <c r="Y1072" i="14"/>
  <c r="Y1152" i="14"/>
  <c r="Y1145" i="14"/>
  <c r="Y1109" i="14"/>
  <c r="Y951" i="14"/>
  <c r="Y958" i="14" s="1"/>
  <c r="Y432" i="14"/>
  <c r="Y439" i="14" s="1"/>
  <c r="Y602" i="14"/>
  <c r="Y603" i="14"/>
  <c r="X709" i="14"/>
  <c r="Y66" i="14"/>
  <c r="Y724" i="14"/>
  <c r="Y737" i="14" s="1"/>
  <c r="Y433" i="14"/>
  <c r="Y440" i="14" s="1"/>
  <c r="Y441" i="14" s="1"/>
  <c r="Y4" i="14"/>
  <c r="Y63" i="14" s="1"/>
  <c r="Y952" i="14"/>
  <c r="Y959" i="14" s="1"/>
  <c r="Y723" i="14"/>
  <c r="Y736" i="14" s="1"/>
  <c r="Y195" i="14"/>
  <c r="Y209" i="14" s="1"/>
  <c r="Y196" i="14"/>
  <c r="Y210" i="14" s="1"/>
  <c r="Y189" i="14"/>
  <c r="Y202" i="14" s="1"/>
  <c r="Y729" i="14"/>
  <c r="Y743" i="14" s="1"/>
  <c r="Y67" i="14"/>
  <c r="Y74" i="14" s="1"/>
  <c r="Y730" i="14"/>
  <c r="Y744" i="14" s="1"/>
  <c r="Y190" i="14"/>
  <c r="Y203" i="14" s="1"/>
  <c r="X1143" i="14" l="1"/>
  <c r="Y211" i="14"/>
  <c r="Y1340" i="14" s="1"/>
  <c r="Y73" i="14"/>
  <c r="Y75" i="14" s="1"/>
  <c r="Y204" i="14"/>
  <c r="Y1339" i="14" s="1"/>
  <c r="X1147" i="14"/>
  <c r="X1148" i="14" s="1"/>
  <c r="X1151" i="14"/>
  <c r="X1153" i="14" s="1"/>
  <c r="Y1131" i="14"/>
  <c r="Y1130" i="14"/>
  <c r="Y1140" i="14" s="1"/>
  <c r="Y960" i="14"/>
  <c r="Y1353" i="14" s="1"/>
  <c r="Y738" i="14"/>
  <c r="Y1351" i="14" s="1"/>
  <c r="Y599" i="14"/>
  <c r="Y601" i="14"/>
  <c r="Y611" i="14" s="1"/>
  <c r="Y1350" i="14" s="1"/>
  <c r="Y188" i="14"/>
  <c r="Y745" i="14"/>
  <c r="Y1352" i="14" s="1"/>
  <c r="Y65" i="14"/>
  <c r="Y429" i="14"/>
  <c r="Y948" i="14"/>
  <c r="Y950" i="14"/>
  <c r="Y194" i="14"/>
  <c r="Y431" i="14"/>
  <c r="Y722" i="14"/>
  <c r="Y728" i="14"/>
  <c r="Z3" i="14"/>
  <c r="Z1118" i="14" s="1"/>
  <c r="Y185" i="14"/>
  <c r="Y719" i="14"/>
  <c r="Z1095" i="14" l="1"/>
  <c r="Z1166" i="14"/>
  <c r="Z1337" i="14"/>
  <c r="Z1173" i="14"/>
  <c r="Y1142" i="14"/>
  <c r="Y1146" i="14" s="1"/>
  <c r="X1154" i="14"/>
  <c r="Y1312" i="14" a="1"/>
  <c r="Y1312" i="14" s="1"/>
  <c r="Y1324" i="14" a="1"/>
  <c r="Y1324" i="14" s="1"/>
  <c r="Y1314" i="14" a="1"/>
  <c r="Y1314" i="14" s="1"/>
  <c r="Y1326" i="14" a="1"/>
  <c r="Y1326" i="14" s="1"/>
  <c r="Y1141" i="14"/>
  <c r="Y1143" i="14" s="1"/>
  <c r="Z1080" i="14"/>
  <c r="Z1088" i="14"/>
  <c r="Z1072" i="14"/>
  <c r="Z1152" i="14"/>
  <c r="Z1145" i="14"/>
  <c r="Z1109" i="14"/>
  <c r="Z951" i="14"/>
  <c r="Z958" i="14" s="1"/>
  <c r="Z432" i="14"/>
  <c r="Z439" i="14" s="1"/>
  <c r="Z602" i="14"/>
  <c r="Z603" i="14"/>
  <c r="Y709" i="14"/>
  <c r="Z433" i="14"/>
  <c r="Z440" i="14" s="1"/>
  <c r="Z441" i="14" s="1"/>
  <c r="Z724" i="14"/>
  <c r="Z737" i="14" s="1"/>
  <c r="Z723" i="14"/>
  <c r="Z736" i="14" s="1"/>
  <c r="Z730" i="14"/>
  <c r="Z744" i="14" s="1"/>
  <c r="Z4" i="14"/>
  <c r="Z63" i="14" s="1"/>
  <c r="Z952" i="14"/>
  <c r="Z959" i="14" s="1"/>
  <c r="Z196" i="14"/>
  <c r="Z210" i="14" s="1"/>
  <c r="Z67" i="14"/>
  <c r="Z74" i="14" s="1"/>
  <c r="Z189" i="14"/>
  <c r="Z202" i="14" s="1"/>
  <c r="Z66" i="14"/>
  <c r="Z73" i="14" s="1"/>
  <c r="Z195" i="14"/>
  <c r="Z209" i="14" s="1"/>
  <c r="Z729" i="14"/>
  <c r="Z743" i="14" s="1"/>
  <c r="Z190" i="14"/>
  <c r="Z203" i="14" s="1"/>
  <c r="Z211" i="14" l="1"/>
  <c r="Z1340" i="14" s="1"/>
  <c r="Z204" i="14"/>
  <c r="Z1339" i="14" s="1"/>
  <c r="Z75" i="14"/>
  <c r="Y1147" i="14"/>
  <c r="Y1148" i="14" s="1"/>
  <c r="Y1151" i="14"/>
  <c r="Y1153" i="14" s="1"/>
  <c r="Z1131" i="14"/>
  <c r="Z1130" i="14"/>
  <c r="Z1140" i="14" s="1"/>
  <c r="Z960" i="14"/>
  <c r="Z1353" i="14" s="1"/>
  <c r="Z738" i="14"/>
  <c r="Z1351" i="14" s="1"/>
  <c r="Z599" i="14"/>
  <c r="Z601" i="14"/>
  <c r="Z611" i="14" s="1"/>
  <c r="Z1350" i="14" s="1"/>
  <c r="Z719" i="14"/>
  <c r="Z745" i="14"/>
  <c r="Z1352" i="14" s="1"/>
  <c r="Z65" i="14"/>
  <c r="Z429" i="14"/>
  <c r="Z188" i="14"/>
  <c r="Z431" i="14"/>
  <c r="Z194" i="14"/>
  <c r="Z948" i="14"/>
  <c r="Z950" i="14"/>
  <c r="Z728" i="14"/>
  <c r="AA3" i="14"/>
  <c r="AA1118" i="14" s="1"/>
  <c r="Z722" i="14"/>
  <c r="Z185" i="14"/>
  <c r="AA1095" i="14" l="1"/>
  <c r="AA1166" i="14"/>
  <c r="AA1337" i="14"/>
  <c r="AA1173" i="14"/>
  <c r="Z1142" i="14"/>
  <c r="Z1146" i="14" s="1"/>
  <c r="Y1154" i="14"/>
  <c r="Z1314" i="14" a="1"/>
  <c r="Z1314" i="14" s="1"/>
  <c r="Z1326" i="14" a="1"/>
  <c r="Z1326" i="14" s="1"/>
  <c r="Z1324" i="14" a="1"/>
  <c r="Z1324" i="14" s="1"/>
  <c r="Z1312" i="14" a="1"/>
  <c r="Z1312" i="14" s="1"/>
  <c r="Z1141" i="14"/>
  <c r="AA1080" i="14"/>
  <c r="AA1088" i="14"/>
  <c r="AA1072" i="14"/>
  <c r="AA1152" i="14"/>
  <c r="AA1145" i="14"/>
  <c r="AA1109" i="14"/>
  <c r="AA951" i="14"/>
  <c r="AA958" i="14" s="1"/>
  <c r="AA432" i="14"/>
  <c r="AA439" i="14" s="1"/>
  <c r="AA602" i="14"/>
  <c r="AA603" i="14"/>
  <c r="Z709" i="14"/>
  <c r="AA952" i="14"/>
  <c r="AA959" i="14" s="1"/>
  <c r="AA723" i="14"/>
  <c r="AA736" i="14" s="1"/>
  <c r="AA724" i="14"/>
  <c r="AA737" i="14" s="1"/>
  <c r="AA730" i="14"/>
  <c r="AA744" i="14" s="1"/>
  <c r="AA729" i="14"/>
  <c r="AA743" i="14" s="1"/>
  <c r="AA4" i="14"/>
  <c r="AA63" i="14" s="1"/>
  <c r="AA196" i="14"/>
  <c r="AA210" i="14" s="1"/>
  <c r="AA195" i="14"/>
  <c r="AA209" i="14" s="1"/>
  <c r="AA66" i="14"/>
  <c r="AA73" i="14" s="1"/>
  <c r="AA433" i="14"/>
  <c r="AA440" i="14" s="1"/>
  <c r="AA441" i="14" s="1"/>
  <c r="AA67" i="14"/>
  <c r="AA74" i="14" s="1"/>
  <c r="AA189" i="14"/>
  <c r="AA202" i="14" s="1"/>
  <c r="AA190" i="14"/>
  <c r="AA203" i="14" s="1"/>
  <c r="Z1143" i="14" l="1"/>
  <c r="Z1147" i="14" s="1"/>
  <c r="Z1148" i="14" s="1"/>
  <c r="AA211" i="14"/>
  <c r="AA1340" i="14" s="1"/>
  <c r="AA204" i="14"/>
  <c r="AA1339" i="14" s="1"/>
  <c r="AA75" i="14"/>
  <c r="AA1131" i="14"/>
  <c r="AA1130" i="14"/>
  <c r="AA1140" i="14" s="1"/>
  <c r="AA960" i="14"/>
  <c r="AA1353" i="14" s="1"/>
  <c r="AA738" i="14"/>
  <c r="AA1351" i="14" s="1"/>
  <c r="AA599" i="14"/>
  <c r="AA601" i="14"/>
  <c r="AA611" i="14" s="1"/>
  <c r="AA1350" i="14" s="1"/>
  <c r="AA728" i="14"/>
  <c r="AA745" i="14"/>
  <c r="AA1352" i="14" s="1"/>
  <c r="AA1341" i="14"/>
  <c r="AB3" i="14"/>
  <c r="AB1118" i="14" s="1"/>
  <c r="AA185" i="14"/>
  <c r="AA65" i="14"/>
  <c r="AA719" i="14"/>
  <c r="AA429" i="14"/>
  <c r="AA431" i="14"/>
  <c r="AA948" i="14"/>
  <c r="AA950" i="14"/>
  <c r="AA722" i="14"/>
  <c r="AA188" i="14"/>
  <c r="AA194" i="14"/>
  <c r="Z1151" i="14" l="1"/>
  <c r="Z1153" i="14" s="1"/>
  <c r="Z1154" i="14" s="1"/>
  <c r="AB1095" i="14"/>
  <c r="AB1166" i="14"/>
  <c r="AB1337" i="14"/>
  <c r="AB1173" i="14"/>
  <c r="AA1142" i="14"/>
  <c r="AA1146" i="14" s="1"/>
  <c r="AA1314" i="14" a="1"/>
  <c r="AA1314" i="14" s="1"/>
  <c r="AA1326" i="14" a="1"/>
  <c r="AA1326" i="14" s="1"/>
  <c r="AA1316" i="14" a="1"/>
  <c r="AA1316" i="14" s="1"/>
  <c r="AA1328" i="14" a="1"/>
  <c r="AA1328" i="14" s="1"/>
  <c r="AA1312" i="14" a="1"/>
  <c r="AA1312" i="14" s="1"/>
  <c r="AA1324" i="14" a="1"/>
  <c r="AA1324" i="14" s="1"/>
  <c r="AA1141" i="14"/>
  <c r="AA1143" i="14" s="1"/>
  <c r="AB1080" i="14"/>
  <c r="AB1088" i="14"/>
  <c r="AB1072" i="14"/>
  <c r="AB1152" i="14"/>
  <c r="AB1145" i="14"/>
  <c r="AB1109" i="14"/>
  <c r="AB951" i="14"/>
  <c r="AB958" i="14" s="1"/>
  <c r="AB432" i="14"/>
  <c r="AB439" i="14" s="1"/>
  <c r="AB603" i="14"/>
  <c r="AB602" i="14"/>
  <c r="AA709" i="14"/>
  <c r="AB729" i="14"/>
  <c r="AB743" i="14" s="1"/>
  <c r="AB730" i="14"/>
  <c r="AB744" i="14" s="1"/>
  <c r="AB4" i="14"/>
  <c r="AB63" i="14" s="1"/>
  <c r="AB196" i="14"/>
  <c r="AB210" i="14" s="1"/>
  <c r="AB195" i="14"/>
  <c r="AB209" i="14" s="1"/>
  <c r="AB67" i="14"/>
  <c r="AB74" i="14" s="1"/>
  <c r="AB189" i="14"/>
  <c r="AB202" i="14" s="1"/>
  <c r="AB190" i="14"/>
  <c r="AB203" i="14" s="1"/>
  <c r="AB66" i="14"/>
  <c r="AB73" i="14" s="1"/>
  <c r="AB433" i="14"/>
  <c r="AB440" i="14" s="1"/>
  <c r="AB441" i="14" s="1"/>
  <c r="AB952" i="14"/>
  <c r="AB959" i="14" s="1"/>
  <c r="AB723" i="14"/>
  <c r="AB736" i="14" s="1"/>
  <c r="AB724" i="14"/>
  <c r="AB737" i="14" s="1"/>
  <c r="AB211" i="14" l="1"/>
  <c r="AB1340" i="14" s="1"/>
  <c r="AB204" i="14"/>
  <c r="AB1339" i="14" s="1"/>
  <c r="AB75" i="14"/>
  <c r="AA1147" i="14"/>
  <c r="AA1148" i="14" s="1"/>
  <c r="AA1151" i="14"/>
  <c r="AA1153" i="14" s="1"/>
  <c r="AB1130" i="14"/>
  <c r="AB1140" i="14" s="1"/>
  <c r="AB1131" i="14"/>
  <c r="AB960" i="14"/>
  <c r="AB1353" i="14" s="1"/>
  <c r="AB738" i="14"/>
  <c r="AB1351" i="14" s="1"/>
  <c r="AB599" i="14"/>
  <c r="AB601" i="14"/>
  <c r="AB611" i="14" s="1"/>
  <c r="AB1350" i="14" s="1"/>
  <c r="AB194" i="14"/>
  <c r="AB745" i="14"/>
  <c r="AB1352" i="14" s="1"/>
  <c r="AB1341" i="14"/>
  <c r="AB948" i="14"/>
  <c r="AB431" i="14"/>
  <c r="AB950" i="14"/>
  <c r="AB722" i="14"/>
  <c r="AC3" i="14"/>
  <c r="AC1118" i="14" s="1"/>
  <c r="AB728" i="14"/>
  <c r="AB719" i="14"/>
  <c r="AB185" i="14"/>
  <c r="AB65" i="14"/>
  <c r="AB429" i="14"/>
  <c r="AB188" i="14"/>
  <c r="AC1095" i="14" l="1"/>
  <c r="AC1166" i="14"/>
  <c r="AC1337" i="14"/>
  <c r="AC1173" i="14"/>
  <c r="AB1142" i="14"/>
  <c r="AB1146" i="14" s="1"/>
  <c r="AA1154" i="14"/>
  <c r="AB1314" i="14" a="1"/>
  <c r="AB1314" i="14" s="1"/>
  <c r="AB1326" i="14" a="1"/>
  <c r="AB1326" i="14" s="1"/>
  <c r="AB1316" i="14" a="1"/>
  <c r="AB1316" i="14" s="1"/>
  <c r="AB1328" i="14" a="1"/>
  <c r="AB1328" i="14" s="1"/>
  <c r="AB1312" i="14" a="1"/>
  <c r="AB1312" i="14" s="1"/>
  <c r="AB1324" i="14" a="1"/>
  <c r="AB1324" i="14" s="1"/>
  <c r="AB1141" i="14"/>
  <c r="AB1143" i="14" s="1"/>
  <c r="AC1080" i="14"/>
  <c r="AC1088" i="14"/>
  <c r="AC1072" i="14"/>
  <c r="AC1152" i="14"/>
  <c r="AC1145" i="14"/>
  <c r="AC1109" i="14"/>
  <c r="AC951" i="14"/>
  <c r="AC958" i="14" s="1"/>
  <c r="AC432" i="14"/>
  <c r="AC439" i="14" s="1"/>
  <c r="AC603" i="14"/>
  <c r="AC602" i="14"/>
  <c r="AB709" i="14"/>
  <c r="AC723" i="14"/>
  <c r="AC736" i="14" s="1"/>
  <c r="AC4" i="14"/>
  <c r="AC63" i="14" s="1"/>
  <c r="AC195" i="14"/>
  <c r="AC209" i="14" s="1"/>
  <c r="AC196" i="14"/>
  <c r="AC210" i="14" s="1"/>
  <c r="AC730" i="14"/>
  <c r="AC744" i="14" s="1"/>
  <c r="AC729" i="14"/>
  <c r="AC743" i="14" s="1"/>
  <c r="AC66" i="14"/>
  <c r="AC73" i="14" s="1"/>
  <c r="AC190" i="14"/>
  <c r="AC203" i="14" s="1"/>
  <c r="AC67" i="14"/>
  <c r="AC74" i="14" s="1"/>
  <c r="AC189" i="14"/>
  <c r="AC202" i="14" s="1"/>
  <c r="AC724" i="14"/>
  <c r="AC737" i="14" s="1"/>
  <c r="AC433" i="14"/>
  <c r="AC440" i="14" s="1"/>
  <c r="AC441" i="14" s="1"/>
  <c r="AC952" i="14"/>
  <c r="AC959" i="14" s="1"/>
  <c r="AC204" i="14" l="1"/>
  <c r="AC1339" i="14" s="1"/>
  <c r="AC211" i="14"/>
  <c r="AC1340" i="14" s="1"/>
  <c r="AC75" i="14"/>
  <c r="AB1151" i="14"/>
  <c r="AB1153" i="14" s="1"/>
  <c r="AB1147" i="14"/>
  <c r="AB1148" i="14" s="1"/>
  <c r="AC1131" i="14"/>
  <c r="AC1130" i="14"/>
  <c r="AC1140" i="14" s="1"/>
  <c r="AC960" i="14"/>
  <c r="AC1353" i="14" s="1"/>
  <c r="AC738" i="14"/>
  <c r="AC1351" i="14" s="1"/>
  <c r="AC599" i="14"/>
  <c r="AC601" i="14"/>
  <c r="AC611" i="14" s="1"/>
  <c r="AC1350" i="14" s="1"/>
  <c r="AC745" i="14"/>
  <c r="AC1352" i="14" s="1"/>
  <c r="AC1341" i="14"/>
  <c r="AC65" i="14"/>
  <c r="AC194" i="14"/>
  <c r="AD3" i="14"/>
  <c r="AD1118" i="14" s="1"/>
  <c r="AC429" i="14"/>
  <c r="AC950" i="14"/>
  <c r="AC431" i="14"/>
  <c r="AC948" i="14"/>
  <c r="AC728" i="14"/>
  <c r="AC185" i="14"/>
  <c r="AC188" i="14"/>
  <c r="AC722" i="14"/>
  <c r="AC719" i="14"/>
  <c r="AD1095" i="14" l="1"/>
  <c r="AD1166" i="14"/>
  <c r="AD1337" i="14"/>
  <c r="AD1173" i="14"/>
  <c r="AC1142" i="14"/>
  <c r="AC1146" i="14" s="1"/>
  <c r="AB1154" i="14"/>
  <c r="AC1326" i="14" a="1"/>
  <c r="AC1326" i="14" s="1"/>
  <c r="AC1314" i="14" a="1"/>
  <c r="AC1314" i="14" s="1"/>
  <c r="AC1316" i="14" a="1"/>
  <c r="AC1316" i="14" s="1"/>
  <c r="AC1328" i="14" a="1"/>
  <c r="AC1328" i="14" s="1"/>
  <c r="AC1312" i="14" a="1"/>
  <c r="AC1312" i="14" s="1"/>
  <c r="AC1324" i="14" a="1"/>
  <c r="AC1324" i="14" s="1"/>
  <c r="AC1141" i="14"/>
  <c r="AC1143" i="14" s="1"/>
  <c r="AD1080" i="14"/>
  <c r="AD1088" i="14"/>
  <c r="AD1072" i="14"/>
  <c r="AD1152" i="14"/>
  <c r="AD1145" i="14"/>
  <c r="AD1109" i="14"/>
  <c r="AD432" i="14"/>
  <c r="AD439" i="14" s="1"/>
  <c r="AD951" i="14"/>
  <c r="AD958" i="14" s="1"/>
  <c r="AD603" i="14"/>
  <c r="AD602" i="14"/>
  <c r="AC709" i="14"/>
  <c r="AD723" i="14"/>
  <c r="AD736" i="14" s="1"/>
  <c r="AD67" i="14"/>
  <c r="AD74" i="14" s="1"/>
  <c r="AD66" i="14"/>
  <c r="AD189" i="14"/>
  <c r="AD202" i="14" s="1"/>
  <c r="AD190" i="14"/>
  <c r="AD203" i="14" s="1"/>
  <c r="AD195" i="14"/>
  <c r="AD209" i="14" s="1"/>
  <c r="AD433" i="14"/>
  <c r="AD440" i="14" s="1"/>
  <c r="AD441" i="14" s="1"/>
  <c r="AD952" i="14"/>
  <c r="AD959" i="14" s="1"/>
  <c r="AD730" i="14"/>
  <c r="AD744" i="14" s="1"/>
  <c r="AD724" i="14"/>
  <c r="AD737" i="14" s="1"/>
  <c r="AD4" i="14"/>
  <c r="AD63" i="14" s="1"/>
  <c r="AD196" i="14"/>
  <c r="AD210" i="14" s="1"/>
  <c r="AD729" i="14"/>
  <c r="AD743" i="14" s="1"/>
  <c r="AD211" i="14" l="1"/>
  <c r="AD204" i="14"/>
  <c r="AD1339" i="14" s="1"/>
  <c r="AD73" i="14"/>
  <c r="AD75" i="14" s="1"/>
  <c r="AC1151" i="14"/>
  <c r="AC1153" i="14" s="1"/>
  <c r="AC1147" i="14"/>
  <c r="AC1148" i="14" s="1"/>
  <c r="AD1130" i="14"/>
  <c r="AD1140" i="14" s="1"/>
  <c r="AD1131" i="14"/>
  <c r="AD960" i="14"/>
  <c r="AD1353" i="14" s="1"/>
  <c r="AD1341" i="14"/>
  <c r="AD738" i="14"/>
  <c r="AD1351" i="14" s="1"/>
  <c r="AD599" i="14"/>
  <c r="AD601" i="14"/>
  <c r="AD611" i="14" s="1"/>
  <c r="AD1350" i="14" s="1"/>
  <c r="AD194" i="14"/>
  <c r="AD745" i="14"/>
  <c r="AD1352" i="14" s="1"/>
  <c r="AE3" i="14"/>
  <c r="AE1118" i="14" s="1"/>
  <c r="AD719" i="14"/>
  <c r="AD185" i="14"/>
  <c r="AD65" i="14"/>
  <c r="AD431" i="14"/>
  <c r="AD950" i="14"/>
  <c r="AD722" i="14"/>
  <c r="AD948" i="14"/>
  <c r="AD728" i="14"/>
  <c r="AD188" i="14"/>
  <c r="AD429" i="14"/>
  <c r="AE1095" i="14" l="1"/>
  <c r="AE1166" i="14"/>
  <c r="AE1337" i="14"/>
  <c r="AE1173" i="14"/>
  <c r="AD1142" i="14"/>
  <c r="AD1146" i="14" s="1"/>
  <c r="AC1154" i="14"/>
  <c r="AD1312" i="14" a="1"/>
  <c r="AD1312" i="14" s="1"/>
  <c r="AD1324" i="14" a="1"/>
  <c r="AD1324" i="14" s="1"/>
  <c r="AD1316" i="14" a="1"/>
  <c r="AD1316" i="14" s="1"/>
  <c r="AD1328" i="14" a="1"/>
  <c r="AD1328" i="14" s="1"/>
  <c r="AD1141" i="14"/>
  <c r="AE1080" i="14"/>
  <c r="AE1088" i="14"/>
  <c r="AE1072" i="14"/>
  <c r="AE1152" i="14"/>
  <c r="AE1124" i="14"/>
  <c r="AE1145" i="14"/>
  <c r="AE1109" i="14"/>
  <c r="AE432" i="14"/>
  <c r="AE439" i="14" s="1"/>
  <c r="AE951" i="14"/>
  <c r="AE958" i="14" s="1"/>
  <c r="AD1340" i="14"/>
  <c r="AE603" i="14"/>
  <c r="AE602" i="14"/>
  <c r="AD709" i="14"/>
  <c r="AE730" i="14"/>
  <c r="AE744" i="14" s="1"/>
  <c r="AE4" i="14"/>
  <c r="AE63" i="14" s="1"/>
  <c r="AE196" i="14"/>
  <c r="AE210" i="14" s="1"/>
  <c r="AE195" i="14"/>
  <c r="AE209" i="14" s="1"/>
  <c r="AE66" i="14"/>
  <c r="AE73" i="14" s="1"/>
  <c r="AE190" i="14"/>
  <c r="AE203" i="14" s="1"/>
  <c r="AE67" i="14"/>
  <c r="AE74" i="14" s="1"/>
  <c r="AE189" i="14"/>
  <c r="AE202" i="14" s="1"/>
  <c r="AE433" i="14"/>
  <c r="AE440" i="14" s="1"/>
  <c r="AE441" i="14" s="1"/>
  <c r="AE723" i="14"/>
  <c r="AE736" i="14" s="1"/>
  <c r="AE952" i="14"/>
  <c r="AE959" i="14" s="1"/>
  <c r="AE729" i="14"/>
  <c r="AE743" i="14" s="1"/>
  <c r="AE724" i="14"/>
  <c r="AE737" i="14" s="1"/>
  <c r="AD1143" i="14" l="1"/>
  <c r="AE211" i="14"/>
  <c r="AE1340" i="14" s="1"/>
  <c r="AE204" i="14"/>
  <c r="AE1339" i="14" s="1"/>
  <c r="AE75" i="14"/>
  <c r="AD1151" i="14"/>
  <c r="AD1153" i="14" s="1"/>
  <c r="AD1147" i="14"/>
  <c r="AD1148" i="14" s="1"/>
  <c r="AD1326" i="14" a="1"/>
  <c r="AD1326" i="14" s="1"/>
  <c r="AD1314" i="14" a="1"/>
  <c r="AD1314" i="14" s="1"/>
  <c r="AE1131" i="14"/>
  <c r="AE1130" i="14"/>
  <c r="AE1140" i="14" s="1"/>
  <c r="AE960" i="14"/>
  <c r="AE1353" i="14" s="1"/>
  <c r="AE1341" i="14"/>
  <c r="AE738" i="14"/>
  <c r="AE1351" i="14" s="1"/>
  <c r="AE599" i="14"/>
  <c r="AE601" i="14"/>
  <c r="AE611" i="14" s="1"/>
  <c r="AE1350" i="14" s="1"/>
  <c r="AE745" i="14"/>
  <c r="AE1352" i="14" s="1"/>
  <c r="AE188" i="14"/>
  <c r="AE948" i="14"/>
  <c r="AF3" i="14"/>
  <c r="AF1118" i="14" s="1"/>
  <c r="AE185" i="14"/>
  <c r="AE429" i="14"/>
  <c r="AE65" i="14"/>
  <c r="AE194" i="14"/>
  <c r="AE431" i="14"/>
  <c r="AE950" i="14"/>
  <c r="AE728" i="14"/>
  <c r="AE722" i="14"/>
  <c r="AE719" i="14"/>
  <c r="AF1095" i="14" l="1"/>
  <c r="AF1166" i="14"/>
  <c r="AF1337" i="14"/>
  <c r="AF1173" i="14"/>
  <c r="AE1142" i="14"/>
  <c r="AE1146" i="14" s="1"/>
  <c r="AD1154" i="14"/>
  <c r="AE1326" i="14" a="1"/>
  <c r="AE1326" i="14" s="1"/>
  <c r="AE1314" i="14" a="1"/>
  <c r="AE1314" i="14" s="1"/>
  <c r="AE1312" i="14" a="1"/>
  <c r="AE1312" i="14" s="1"/>
  <c r="AE1324" i="14" a="1"/>
  <c r="AE1324" i="14" s="1"/>
  <c r="AE1316" i="14" a="1"/>
  <c r="AE1316" i="14" s="1"/>
  <c r="AE1328" i="14" a="1"/>
  <c r="AE1328" i="14" s="1"/>
  <c r="AE1141" i="14"/>
  <c r="AE1143" i="14"/>
  <c r="AF1088" i="14"/>
  <c r="AF1080" i="14"/>
  <c r="AF1072" i="14"/>
  <c r="AF1152" i="14"/>
  <c r="AF1145" i="14"/>
  <c r="AF1109" i="14"/>
  <c r="AF432" i="14"/>
  <c r="AF439" i="14" s="1"/>
  <c r="AF951" i="14"/>
  <c r="AF958" i="14" s="1"/>
  <c r="AF603" i="14"/>
  <c r="AF602" i="14"/>
  <c r="AE709" i="14"/>
  <c r="AF729" i="14"/>
  <c r="AF743" i="14" s="1"/>
  <c r="AF724" i="14"/>
  <c r="AF737" i="14" s="1"/>
  <c r="AF723" i="14"/>
  <c r="AF736" i="14" s="1"/>
  <c r="AF730" i="14"/>
  <c r="AF744" i="14" s="1"/>
  <c r="AF196" i="14"/>
  <c r="AF210" i="14" s="1"/>
  <c r="AF67" i="14"/>
  <c r="AF74" i="14" s="1"/>
  <c r="AF190" i="14"/>
  <c r="AF203" i="14" s="1"/>
  <c r="AF4" i="14"/>
  <c r="AF63" i="14" s="1"/>
  <c r="AF195" i="14"/>
  <c r="AF209" i="14" s="1"/>
  <c r="AF189" i="14"/>
  <c r="AF202" i="14" s="1"/>
  <c r="AF66" i="14"/>
  <c r="AF73" i="14" s="1"/>
  <c r="AF433" i="14"/>
  <c r="AF440" i="14" s="1"/>
  <c r="AF441" i="14" s="1"/>
  <c r="AF952" i="14"/>
  <c r="AF959" i="14" s="1"/>
  <c r="AF204" i="14" l="1"/>
  <c r="AF1339" i="14" s="1"/>
  <c r="AF211" i="14"/>
  <c r="AF75" i="14"/>
  <c r="AE1151" i="14"/>
  <c r="AE1153" i="14" s="1"/>
  <c r="AE1147" i="14"/>
  <c r="AE1148" i="14" s="1"/>
  <c r="AF1124" i="14"/>
  <c r="AF1130" i="14"/>
  <c r="AF1140" i="14" s="1"/>
  <c r="AF1131" i="14"/>
  <c r="AF960" i="14"/>
  <c r="AF1353" i="14" s="1"/>
  <c r="AF1341" i="14"/>
  <c r="AF738" i="14"/>
  <c r="AF1351" i="14" s="1"/>
  <c r="AF599" i="14"/>
  <c r="AF601" i="14"/>
  <c r="AF611" i="14" s="1"/>
  <c r="AF1350" i="14" s="1"/>
  <c r="AF745" i="14"/>
  <c r="AF1352" i="14" s="1"/>
  <c r="AF950" i="14"/>
  <c r="AF728" i="14"/>
  <c r="AG3" i="14"/>
  <c r="AG1118" i="14" s="1"/>
  <c r="AF185" i="14"/>
  <c r="AF188" i="14"/>
  <c r="AF65" i="14"/>
  <c r="AF429" i="14"/>
  <c r="AF194" i="14"/>
  <c r="AF431" i="14"/>
  <c r="AF948" i="14"/>
  <c r="AF722" i="14"/>
  <c r="AF719" i="14"/>
  <c r="AG1095" i="14" l="1"/>
  <c r="AG1166" i="14"/>
  <c r="AG1337" i="14"/>
  <c r="AG1173" i="14"/>
  <c r="AE1154" i="14"/>
  <c r="AF1142" i="14"/>
  <c r="AF1146" i="14" s="1"/>
  <c r="AF1312" i="14" a="1"/>
  <c r="AF1312" i="14" s="1"/>
  <c r="AF1324" i="14" a="1"/>
  <c r="AF1324" i="14" s="1"/>
  <c r="AF1316" i="14" a="1"/>
  <c r="AF1316" i="14" s="1"/>
  <c r="AF1328" i="14" a="1"/>
  <c r="AF1328" i="14" s="1"/>
  <c r="AF1133" i="14"/>
  <c r="AF1135" i="14" s="1"/>
  <c r="AF1143" i="14"/>
  <c r="AF1141" i="14"/>
  <c r="AG1088" i="14"/>
  <c r="AG1080" i="14"/>
  <c r="AG1072" i="14"/>
  <c r="AG1152" i="14"/>
  <c r="AG1130" i="14"/>
  <c r="AG1140" i="14" s="1"/>
  <c r="AG1142" i="14" s="1"/>
  <c r="AG1145" i="14"/>
  <c r="AG1109" i="14"/>
  <c r="AG432" i="14"/>
  <c r="AG439" i="14" s="1"/>
  <c r="AG951" i="14"/>
  <c r="AG958" i="14" s="1"/>
  <c r="AF1340" i="14"/>
  <c r="AG603" i="14"/>
  <c r="AG602" i="14"/>
  <c r="AF709" i="14"/>
  <c r="AG723" i="14"/>
  <c r="AG736" i="14" s="1"/>
  <c r="AG729" i="14"/>
  <c r="AG743" i="14" s="1"/>
  <c r="AG730" i="14"/>
  <c r="AG744" i="14" s="1"/>
  <c r="AG4" i="14"/>
  <c r="AG63" i="14" s="1"/>
  <c r="AG195" i="14"/>
  <c r="AG209" i="14" s="1"/>
  <c r="AG196" i="14"/>
  <c r="AG210" i="14" s="1"/>
  <c r="AG66" i="14"/>
  <c r="AG190" i="14"/>
  <c r="AG203" i="14" s="1"/>
  <c r="AG67" i="14"/>
  <c r="AG74" i="14" s="1"/>
  <c r="AG189" i="14"/>
  <c r="AG202" i="14" s="1"/>
  <c r="AG952" i="14"/>
  <c r="AG959" i="14" s="1"/>
  <c r="AG724" i="14"/>
  <c r="AG737" i="14" s="1"/>
  <c r="AG433" i="14"/>
  <c r="AG440" i="14" s="1"/>
  <c r="AG441" i="14" s="1"/>
  <c r="AG204" i="14" l="1"/>
  <c r="AG1339" i="14" s="1"/>
  <c r="AG73" i="14"/>
  <c r="AG75" i="14" s="1"/>
  <c r="AG211" i="14"/>
  <c r="AF1151" i="14"/>
  <c r="AF1153" i="14" s="1"/>
  <c r="AF1147" i="14"/>
  <c r="AF1148" i="14" s="1"/>
  <c r="AF1326" i="14" a="1"/>
  <c r="AF1326" i="14" s="1"/>
  <c r="AF1314" i="14" a="1"/>
  <c r="AF1314" i="14" s="1"/>
  <c r="AG1131" i="14"/>
  <c r="AG1124" i="14"/>
  <c r="AG1141" i="14"/>
  <c r="AG1143" i="14"/>
  <c r="AG1146" i="14"/>
  <c r="AG1133" i="14"/>
  <c r="AG1135" i="14" s="1"/>
  <c r="AG960" i="14"/>
  <c r="AG1353" i="14" s="1"/>
  <c r="AG1341" i="14"/>
  <c r="AG738" i="14"/>
  <c r="AG1351" i="14" s="1"/>
  <c r="AG599" i="14"/>
  <c r="AG601" i="14"/>
  <c r="AG611" i="14" s="1"/>
  <c r="AG1350" i="14" s="1"/>
  <c r="AG745" i="14"/>
  <c r="AG1352" i="14" s="1"/>
  <c r="AG719" i="14"/>
  <c r="AH3" i="14"/>
  <c r="AH1118" i="14" s="1"/>
  <c r="AG185" i="14"/>
  <c r="AG722" i="14"/>
  <c r="AG429" i="14"/>
  <c r="AG728" i="14"/>
  <c r="AG194" i="14"/>
  <c r="AG65" i="14"/>
  <c r="AG188" i="14"/>
  <c r="AG431" i="14"/>
  <c r="AG948" i="14"/>
  <c r="AG950" i="14"/>
  <c r="AH1095" i="14" l="1"/>
  <c r="AH1166" i="14"/>
  <c r="AH1337" i="14"/>
  <c r="AH1173" i="14"/>
  <c r="AF1154" i="14"/>
  <c r="AG1151" i="14"/>
  <c r="AG1153" i="14" s="1"/>
  <c r="AG1147" i="14"/>
  <c r="AG1148" i="14" s="1"/>
  <c r="AG1312" i="14" a="1"/>
  <c r="AG1312" i="14" s="1"/>
  <c r="AG1324" i="14" a="1"/>
  <c r="AG1324" i="14" s="1"/>
  <c r="AG1316" i="14" a="1"/>
  <c r="AG1316" i="14" s="1"/>
  <c r="AG1328" i="14" a="1"/>
  <c r="AG1328" i="14" s="1"/>
  <c r="AH1088" i="14"/>
  <c r="AH1080" i="14"/>
  <c r="AH1072" i="14"/>
  <c r="AH1152" i="14"/>
  <c r="AH1145" i="14"/>
  <c r="AH1109" i="14"/>
  <c r="AH432" i="14"/>
  <c r="AH439" i="14" s="1"/>
  <c r="AH951" i="14"/>
  <c r="AH958" i="14" s="1"/>
  <c r="AG1340" i="14"/>
  <c r="AH603" i="14"/>
  <c r="AH602" i="14"/>
  <c r="AG709" i="14"/>
  <c r="AH730" i="14"/>
  <c r="AH744" i="14" s="1"/>
  <c r="AH723" i="14"/>
  <c r="AH736" i="14" s="1"/>
  <c r="AH729" i="14"/>
  <c r="AH743" i="14" s="1"/>
  <c r="AH724" i="14"/>
  <c r="AH737" i="14" s="1"/>
  <c r="AH4" i="14"/>
  <c r="AH63" i="14" s="1"/>
  <c r="AH195" i="14"/>
  <c r="AH209" i="14" s="1"/>
  <c r="AH196" i="14"/>
  <c r="AH210" i="14" s="1"/>
  <c r="AH67" i="14"/>
  <c r="AH74" i="14" s="1"/>
  <c r="AH189" i="14"/>
  <c r="AH202" i="14" s="1"/>
  <c r="AH66" i="14"/>
  <c r="AH73" i="14" s="1"/>
  <c r="AH190" i="14"/>
  <c r="AH203" i="14" s="1"/>
  <c r="AH433" i="14"/>
  <c r="AH440" i="14" s="1"/>
  <c r="AH441" i="14" s="1"/>
  <c r="AH952" i="14"/>
  <c r="AH959" i="14" s="1"/>
  <c r="AH204" i="14" l="1"/>
  <c r="AH1339" i="14" s="1"/>
  <c r="AH211" i="14"/>
  <c r="AH75" i="14"/>
  <c r="AG1314" i="14" a="1"/>
  <c r="AG1314" i="14" s="1"/>
  <c r="AG1326" i="14" a="1"/>
  <c r="AG1326" i="14" s="1"/>
  <c r="AH1124" i="14"/>
  <c r="AH1131" i="14"/>
  <c r="AH1130" i="14"/>
  <c r="AH1140" i="14" s="1"/>
  <c r="AG1154" i="14"/>
  <c r="AH960" i="14"/>
  <c r="AH1353" i="14" s="1"/>
  <c r="AH1341" i="14"/>
  <c r="AH738" i="14"/>
  <c r="AH1351" i="14" s="1"/>
  <c r="AH599" i="14"/>
  <c r="AH601" i="14"/>
  <c r="AH611" i="14" s="1"/>
  <c r="AH1350" i="14" s="1"/>
  <c r="AH745" i="14"/>
  <c r="AH1352" i="14" s="1"/>
  <c r="AH719" i="14"/>
  <c r="AH185" i="14"/>
  <c r="AH194" i="14"/>
  <c r="AH431" i="14"/>
  <c r="AH188" i="14"/>
  <c r="AH948" i="14"/>
  <c r="AH65" i="14"/>
  <c r="AH429" i="14"/>
  <c r="AH728" i="14"/>
  <c r="AH722" i="14"/>
  <c r="AH950" i="14"/>
  <c r="AI3" i="14"/>
  <c r="AI1118" i="14" s="1"/>
  <c r="AI1095" i="14" l="1"/>
  <c r="AI1166" i="14"/>
  <c r="AI1337" i="14"/>
  <c r="AI1173" i="14"/>
  <c r="AH1142" i="14"/>
  <c r="AH1146" i="14" s="1"/>
  <c r="AH1133" i="14"/>
  <c r="AH1135" i="14" s="1"/>
  <c r="AH1312" i="14" a="1"/>
  <c r="AH1312" i="14" s="1"/>
  <c r="AH1324" i="14" a="1"/>
  <c r="AH1324" i="14" s="1"/>
  <c r="AH1316" i="14" a="1"/>
  <c r="AH1316" i="14" s="1"/>
  <c r="AH1328" i="14" a="1"/>
  <c r="AH1328" i="14" s="1"/>
  <c r="AH1143" i="14"/>
  <c r="AH1141" i="14"/>
  <c r="AI1088" i="14"/>
  <c r="AI1080" i="14"/>
  <c r="AI1072" i="14"/>
  <c r="AI1152" i="14"/>
  <c r="AI1131" i="14"/>
  <c r="AI1145" i="14"/>
  <c r="AI1109" i="14"/>
  <c r="AI432" i="14"/>
  <c r="AI439" i="14" s="1"/>
  <c r="AI951" i="14"/>
  <c r="AI958" i="14" s="1"/>
  <c r="AH1340" i="14"/>
  <c r="AI603" i="14"/>
  <c r="AI602" i="14"/>
  <c r="AH709" i="14"/>
  <c r="AI189" i="14"/>
  <c r="AI202" i="14" s="1"/>
  <c r="AI952" i="14"/>
  <c r="AI959" i="14" s="1"/>
  <c r="AI724" i="14"/>
  <c r="AI737" i="14" s="1"/>
  <c r="AI4" i="14"/>
  <c r="AI63" i="14" s="1"/>
  <c r="AI195" i="14"/>
  <c r="AI209" i="14" s="1"/>
  <c r="AI67" i="14"/>
  <c r="AI74" i="14" s="1"/>
  <c r="AI433" i="14"/>
  <c r="AI440" i="14" s="1"/>
  <c r="AI441" i="14" s="1"/>
  <c r="AI729" i="14"/>
  <c r="AI743" i="14" s="1"/>
  <c r="AI723" i="14"/>
  <c r="AI736" i="14" s="1"/>
  <c r="AI730" i="14"/>
  <c r="AI744" i="14" s="1"/>
  <c r="AI196" i="14"/>
  <c r="AI210" i="14" s="1"/>
  <c r="AI66" i="14"/>
  <c r="AI73" i="14" s="1"/>
  <c r="AI190" i="14"/>
  <c r="AI203" i="14" s="1"/>
  <c r="AI204" i="14" l="1"/>
  <c r="AI1339" i="14" s="1"/>
  <c r="AI211" i="14"/>
  <c r="AI75" i="14"/>
  <c r="AH1151" i="14"/>
  <c r="AH1153" i="14" s="1"/>
  <c r="AH1147" i="14"/>
  <c r="AH1148" i="14" s="1"/>
  <c r="AH1314" i="14" a="1"/>
  <c r="AH1314" i="14" s="1"/>
  <c r="AH1326" i="14" a="1"/>
  <c r="AH1326" i="14" s="1"/>
  <c r="AI1124" i="14"/>
  <c r="AI1130" i="14"/>
  <c r="AI1140" i="14" s="1"/>
  <c r="AI960" i="14"/>
  <c r="AI1353" i="14" s="1"/>
  <c r="AI1341" i="14"/>
  <c r="AI738" i="14"/>
  <c r="AI1351" i="14" s="1"/>
  <c r="AI599" i="14"/>
  <c r="AI601" i="14"/>
  <c r="AI611" i="14" s="1"/>
  <c r="AI1350" i="14" s="1"/>
  <c r="AI745" i="14"/>
  <c r="AI1352" i="14" s="1"/>
  <c r="AI719" i="14"/>
  <c r="AI188" i="14"/>
  <c r="AI429" i="14"/>
  <c r="AI65" i="14"/>
  <c r="AI948" i="14"/>
  <c r="AI431" i="14"/>
  <c r="AI194" i="14"/>
  <c r="AI950" i="14"/>
  <c r="AI728" i="14"/>
  <c r="AJ3" i="14"/>
  <c r="AJ1118" i="14" s="1"/>
  <c r="AI722" i="14"/>
  <c r="AI185" i="14"/>
  <c r="AJ1095" i="14" l="1"/>
  <c r="AJ1166" i="14"/>
  <c r="AJ1337" i="14"/>
  <c r="AJ1173" i="14"/>
  <c r="AI1142" i="14"/>
  <c r="AI1146" i="14" s="1"/>
  <c r="AH1154" i="14"/>
  <c r="AI1312" i="14" a="1"/>
  <c r="AI1312" i="14" s="1"/>
  <c r="AI1324" i="14" a="1"/>
  <c r="AI1324" i="14" s="1"/>
  <c r="AI1328" i="14" a="1"/>
  <c r="AI1328" i="14" s="1"/>
  <c r="AI1316" i="14" a="1"/>
  <c r="AI1316" i="14" s="1"/>
  <c r="AI1133" i="14"/>
  <c r="AI1135" i="14" s="1"/>
  <c r="AI1141" i="14"/>
  <c r="AI1143" i="14"/>
  <c r="AJ1088" i="14"/>
  <c r="AJ1080" i="14"/>
  <c r="AJ1072" i="14"/>
  <c r="AJ1152" i="14"/>
  <c r="AJ1145" i="14"/>
  <c r="AJ1109" i="14"/>
  <c r="AJ951" i="14"/>
  <c r="AJ958" i="14" s="1"/>
  <c r="AJ432" i="14"/>
  <c r="AJ439" i="14" s="1"/>
  <c r="AI1340" i="14"/>
  <c r="AJ603" i="14"/>
  <c r="AJ602" i="14"/>
  <c r="AI709" i="14"/>
  <c r="AJ195" i="14"/>
  <c r="AJ209" i="14" s="1"/>
  <c r="AJ723" i="14"/>
  <c r="AJ736" i="14" s="1"/>
  <c r="AJ724" i="14"/>
  <c r="AJ737" i="14" s="1"/>
  <c r="AJ729" i="14"/>
  <c r="AJ743" i="14" s="1"/>
  <c r="AJ730" i="14"/>
  <c r="AJ744" i="14" s="1"/>
  <c r="AJ952" i="14"/>
  <c r="AJ959" i="14" s="1"/>
  <c r="AJ4" i="14"/>
  <c r="AJ63" i="14" s="1"/>
  <c r="AJ196" i="14"/>
  <c r="AJ210" i="14" s="1"/>
  <c r="AJ190" i="14"/>
  <c r="AJ203" i="14" s="1"/>
  <c r="AJ66" i="14"/>
  <c r="AJ73" i="14" s="1"/>
  <c r="AJ433" i="14"/>
  <c r="AJ440" i="14" s="1"/>
  <c r="AJ441" i="14" s="1"/>
  <c r="AJ67" i="14"/>
  <c r="AJ74" i="14" s="1"/>
  <c r="AJ189" i="14"/>
  <c r="AJ202" i="14" s="1"/>
  <c r="AJ204" i="14" l="1"/>
  <c r="AJ1339" i="14" s="1"/>
  <c r="AJ211" i="14"/>
  <c r="AJ75" i="14"/>
  <c r="AI1151" i="14"/>
  <c r="AI1153" i="14" s="1"/>
  <c r="AI1147" i="14"/>
  <c r="AI1148" i="14" s="1"/>
  <c r="AI1314" i="14" a="1"/>
  <c r="AI1314" i="14" s="1"/>
  <c r="AI1326" i="14" a="1"/>
  <c r="AI1326" i="14" s="1"/>
  <c r="AJ1124" i="14"/>
  <c r="AJ1131" i="14"/>
  <c r="AJ1130" i="14"/>
  <c r="AJ1140" i="14" s="1"/>
  <c r="AJ960" i="14"/>
  <c r="AJ1353" i="14" s="1"/>
  <c r="AJ1341" i="14"/>
  <c r="AJ738" i="14"/>
  <c r="AJ1351" i="14" s="1"/>
  <c r="AJ599" i="14"/>
  <c r="AJ601" i="14"/>
  <c r="AJ611" i="14" s="1"/>
  <c r="AJ1350" i="14" s="1"/>
  <c r="AJ745" i="14"/>
  <c r="AJ1352" i="14" s="1"/>
  <c r="AJ719" i="14"/>
  <c r="AJ188" i="14"/>
  <c r="AJ65" i="14"/>
  <c r="AJ429" i="14"/>
  <c r="AJ194" i="14"/>
  <c r="AJ948" i="14"/>
  <c r="AJ950" i="14"/>
  <c r="AJ722" i="14"/>
  <c r="AK3" i="14"/>
  <c r="AK1118" i="14" s="1"/>
  <c r="AJ431" i="14"/>
  <c r="AJ728" i="14"/>
  <c r="AJ185" i="14"/>
  <c r="AK1095" i="14" l="1"/>
  <c r="AK1166" i="14"/>
  <c r="AI1154" i="14"/>
  <c r="AK1337" i="14"/>
  <c r="AK1173" i="14"/>
  <c r="AJ1143" i="14"/>
  <c r="AJ1151" i="14" s="1"/>
  <c r="AJ1153" i="14" s="1"/>
  <c r="AJ1142" i="14"/>
  <c r="AJ1146" i="14" s="1"/>
  <c r="AJ1312" i="14" a="1"/>
  <c r="AJ1312" i="14" s="1"/>
  <c r="AJ1324" i="14" a="1"/>
  <c r="AJ1324" i="14" s="1"/>
  <c r="AJ1316" i="14" a="1"/>
  <c r="AJ1316" i="14" s="1"/>
  <c r="AJ1328" i="14" a="1"/>
  <c r="AJ1328" i="14" s="1"/>
  <c r="AJ1133" i="14"/>
  <c r="AJ1135" i="14" s="1"/>
  <c r="AK1088" i="14"/>
  <c r="AK1072" i="14"/>
  <c r="AK1080" i="14"/>
  <c r="AJ1141" i="14"/>
  <c r="AK1152" i="14"/>
  <c r="AK1145" i="14"/>
  <c r="AK1109" i="14"/>
  <c r="AK951" i="14"/>
  <c r="AK958" i="14" s="1"/>
  <c r="AK432" i="14"/>
  <c r="AK439" i="14" s="1"/>
  <c r="AJ1340" i="14"/>
  <c r="AK603" i="14"/>
  <c r="AK602" i="14"/>
  <c r="AJ709" i="14"/>
  <c r="AK952" i="14"/>
  <c r="AK959" i="14" s="1"/>
  <c r="AK723" i="14"/>
  <c r="AK736" i="14" s="1"/>
  <c r="AK195" i="14"/>
  <c r="AK209" i="14" s="1"/>
  <c r="AK729" i="14"/>
  <c r="AK743" i="14" s="1"/>
  <c r="AK724" i="14"/>
  <c r="AK737" i="14" s="1"/>
  <c r="AK730" i="14"/>
  <c r="AK744" i="14" s="1"/>
  <c r="AK4" i="14"/>
  <c r="AK63" i="14" s="1"/>
  <c r="AK196" i="14"/>
  <c r="AK210" i="14" s="1"/>
  <c r="AK433" i="14"/>
  <c r="AK440" i="14" s="1"/>
  <c r="AK441" i="14" s="1"/>
  <c r="AK67" i="14"/>
  <c r="AK74" i="14" s="1"/>
  <c r="AK66" i="14"/>
  <c r="AK190" i="14"/>
  <c r="AK203" i="14" s="1"/>
  <c r="AK189" i="14"/>
  <c r="AK202" i="14" s="1"/>
  <c r="AJ1147" i="14" l="1"/>
  <c r="AJ1148" i="14" s="1"/>
  <c r="AJ1154" i="14" s="1"/>
  <c r="AK211" i="14"/>
  <c r="AK204" i="14"/>
  <c r="AK1339" i="14" s="1"/>
  <c r="AK73" i="14"/>
  <c r="AK75" i="14" s="1"/>
  <c r="AJ1314" i="14" a="1"/>
  <c r="AJ1314" i="14" s="1"/>
  <c r="AJ1326" i="14" a="1"/>
  <c r="AJ1326" i="14" s="1"/>
  <c r="AK1124" i="14"/>
  <c r="AK1131" i="14"/>
  <c r="AK1130" i="14"/>
  <c r="AK1140" i="14" s="1"/>
  <c r="AK960" i="14"/>
  <c r="AK1353" i="14" s="1"/>
  <c r="AK1341" i="14"/>
  <c r="AK738" i="14"/>
  <c r="AK1351" i="14" s="1"/>
  <c r="AK599" i="14"/>
  <c r="AK601" i="14"/>
  <c r="AK611" i="14" s="1"/>
  <c r="AK1350" i="14" s="1"/>
  <c r="AK745" i="14"/>
  <c r="AK1352" i="14" s="1"/>
  <c r="AK719" i="14"/>
  <c r="AK948" i="14"/>
  <c r="AK65" i="14"/>
  <c r="AK431" i="14"/>
  <c r="AK950" i="14"/>
  <c r="AK429" i="14"/>
  <c r="AK194" i="14"/>
  <c r="AK722" i="14"/>
  <c r="AK188" i="14"/>
  <c r="AK728" i="14"/>
  <c r="AL3" i="14"/>
  <c r="AL1118" i="14" s="1"/>
  <c r="AK185" i="14"/>
  <c r="AL1095" i="14" l="1"/>
  <c r="AL1166" i="14"/>
  <c r="AL1337" i="14"/>
  <c r="AL1173" i="14"/>
  <c r="AK1142" i="14"/>
  <c r="AK1146" i="14" s="1"/>
  <c r="AK1312" i="14" a="1"/>
  <c r="AK1312" i="14" s="1"/>
  <c r="AK1324" i="14" a="1"/>
  <c r="AK1324" i="14" s="1"/>
  <c r="AK1328" i="14" a="1"/>
  <c r="AK1328" i="14" s="1"/>
  <c r="AK1316" i="14" a="1"/>
  <c r="AK1316" i="14" s="1"/>
  <c r="AK1133" i="14"/>
  <c r="AK1135" i="14" s="1"/>
  <c r="AK1143" i="14"/>
  <c r="AK1141" i="14"/>
  <c r="AL1080" i="14"/>
  <c r="AL1072" i="14"/>
  <c r="AL1088" i="14"/>
  <c r="AL1152" i="14"/>
  <c r="AL1124" i="14"/>
  <c r="AL1145" i="14"/>
  <c r="AL1109" i="14"/>
  <c r="AL432" i="14"/>
  <c r="AL439" i="14" s="1"/>
  <c r="AL951" i="14"/>
  <c r="AL958" i="14" s="1"/>
  <c r="AK1340" i="14"/>
  <c r="AL603" i="14"/>
  <c r="AL602" i="14"/>
  <c r="AK709" i="14"/>
  <c r="AL724" i="14"/>
  <c r="AL737" i="14" s="1"/>
  <c r="AL729" i="14"/>
  <c r="AL743" i="14" s="1"/>
  <c r="AL195" i="14"/>
  <c r="AL209" i="14" s="1"/>
  <c r="AL730" i="14"/>
  <c r="AL744" i="14" s="1"/>
  <c r="AL4" i="14"/>
  <c r="AL63" i="14" s="1"/>
  <c r="AL66" i="14"/>
  <c r="AL190" i="14"/>
  <c r="AL203" i="14" s="1"/>
  <c r="AL433" i="14"/>
  <c r="AL440" i="14" s="1"/>
  <c r="AL441" i="14" s="1"/>
  <c r="AL952" i="14"/>
  <c r="AL959" i="14" s="1"/>
  <c r="AL189" i="14"/>
  <c r="AL202" i="14" s="1"/>
  <c r="AL196" i="14"/>
  <c r="AL210" i="14" s="1"/>
  <c r="AL67" i="14"/>
  <c r="AL74" i="14" s="1"/>
  <c r="AL723" i="14"/>
  <c r="AL736" i="14" s="1"/>
  <c r="AL211" i="14" l="1"/>
  <c r="AL73" i="14"/>
  <c r="AL75" i="14" s="1"/>
  <c r="AL204" i="14"/>
  <c r="AL1339" i="14" s="1"/>
  <c r="AK1147" i="14"/>
  <c r="AK1148" i="14" s="1"/>
  <c r="AK1151" i="14"/>
  <c r="AK1153" i="14" s="1"/>
  <c r="AK1314" i="14" a="1"/>
  <c r="AK1314" i="14" s="1"/>
  <c r="AK1326" i="14" a="1"/>
  <c r="AK1326" i="14" s="1"/>
  <c r="AL1130" i="14"/>
  <c r="AL1140" i="14" s="1"/>
  <c r="AL1131" i="14"/>
  <c r="AL960" i="14"/>
  <c r="AL1353" i="14" s="1"/>
  <c r="AL1341" i="14"/>
  <c r="AL738" i="14"/>
  <c r="AL1351" i="14" s="1"/>
  <c r="AL599" i="14"/>
  <c r="AL601" i="14"/>
  <c r="AL611" i="14" s="1"/>
  <c r="AL1350" i="14" s="1"/>
  <c r="AL745" i="14"/>
  <c r="AL1352" i="14" s="1"/>
  <c r="AL185" i="14"/>
  <c r="AL194" i="14"/>
  <c r="AL429" i="14"/>
  <c r="AL188" i="14"/>
  <c r="AL65" i="14"/>
  <c r="AL948" i="14"/>
  <c r="AL431" i="14"/>
  <c r="AL728" i="14"/>
  <c r="AL719" i="14"/>
  <c r="AL722" i="14"/>
  <c r="AM3" i="14"/>
  <c r="AM1118" i="14" s="1"/>
  <c r="AL950" i="14"/>
  <c r="AM1095" i="14" l="1"/>
  <c r="AM1166" i="14"/>
  <c r="AM1337" i="14"/>
  <c r="AM1173" i="14"/>
  <c r="AL1142" i="14"/>
  <c r="AL1146" i="14" s="1"/>
  <c r="AK1154" i="14"/>
  <c r="AL1133" i="14"/>
  <c r="AL1135" i="14" s="1"/>
  <c r="AL1312" i="14" a="1"/>
  <c r="AL1312" i="14" s="1"/>
  <c r="AL1324" i="14" a="1"/>
  <c r="AL1324" i="14" s="1"/>
  <c r="AL1328" i="14" a="1"/>
  <c r="AL1328" i="14" s="1"/>
  <c r="AL1316" i="14" a="1"/>
  <c r="AL1316" i="14" s="1"/>
  <c r="AL1141" i="14"/>
  <c r="AL1143" i="14"/>
  <c r="AM1072" i="14"/>
  <c r="AM1088" i="14"/>
  <c r="AM1080" i="14"/>
  <c r="AM1152" i="14"/>
  <c r="AM1124" i="14"/>
  <c r="AM1145" i="14"/>
  <c r="AM1109" i="14"/>
  <c r="AM432" i="14"/>
  <c r="AM439" i="14" s="1"/>
  <c r="AM951" i="14"/>
  <c r="AM958" i="14" s="1"/>
  <c r="AL1340" i="14"/>
  <c r="AM602" i="14"/>
  <c r="AM603" i="14"/>
  <c r="AL709" i="14"/>
  <c r="AM66" i="14"/>
  <c r="AM190" i="14"/>
  <c r="AM203" i="14" s="1"/>
  <c r="AM952" i="14"/>
  <c r="AM959" i="14" s="1"/>
  <c r="AM729" i="14"/>
  <c r="AM743" i="14" s="1"/>
  <c r="AM189" i="14"/>
  <c r="AM202" i="14" s="1"/>
  <c r="AM433" i="14"/>
  <c r="AM440" i="14" s="1"/>
  <c r="AM441" i="14" s="1"/>
  <c r="AM724" i="14"/>
  <c r="AM737" i="14" s="1"/>
  <c r="AM4" i="14"/>
  <c r="AM63" i="14" s="1"/>
  <c r="AM195" i="14"/>
  <c r="AM209" i="14" s="1"/>
  <c r="AM723" i="14"/>
  <c r="AM736" i="14" s="1"/>
  <c r="AM730" i="14"/>
  <c r="AM744" i="14" s="1"/>
  <c r="AM196" i="14"/>
  <c r="AM210" i="14" s="1"/>
  <c r="AM67" i="14"/>
  <c r="AM74" i="14" s="1"/>
  <c r="AM204" i="14" l="1"/>
  <c r="AM1339" i="14" s="1"/>
  <c r="AM73" i="14"/>
  <c r="AM75" i="14" s="1"/>
  <c r="AM211" i="14"/>
  <c r="AL1147" i="14"/>
  <c r="AL1148" i="14" s="1"/>
  <c r="AL1151" i="14"/>
  <c r="AL1153" i="14" s="1"/>
  <c r="AL1314" i="14" a="1"/>
  <c r="AL1314" i="14" s="1"/>
  <c r="AL1326" i="14" a="1"/>
  <c r="AL1326" i="14" s="1"/>
  <c r="AM1130" i="14"/>
  <c r="AM1140" i="14" s="1"/>
  <c r="AM1131" i="14"/>
  <c r="AM960" i="14"/>
  <c r="AM1353" i="14" s="1"/>
  <c r="AM1341" i="14"/>
  <c r="AM738" i="14"/>
  <c r="AM1351" i="14" s="1"/>
  <c r="AM599" i="14"/>
  <c r="AM601" i="14"/>
  <c r="AM611" i="14" s="1"/>
  <c r="AM1350" i="14" s="1"/>
  <c r="AM745" i="14"/>
  <c r="AM1352" i="14" s="1"/>
  <c r="AM722" i="14"/>
  <c r="AM188" i="14"/>
  <c r="AM65" i="14"/>
  <c r="AM429" i="14"/>
  <c r="AM431" i="14"/>
  <c r="AM194" i="14"/>
  <c r="AM948" i="14"/>
  <c r="AM950" i="14"/>
  <c r="AM719" i="14"/>
  <c r="AM728" i="14"/>
  <c r="AN3" i="14"/>
  <c r="AN1118" i="14" s="1"/>
  <c r="AM185" i="14"/>
  <c r="AN1095" i="14" l="1"/>
  <c r="AN1166" i="14"/>
  <c r="AN1337" i="14"/>
  <c r="AN1173" i="14"/>
  <c r="AM1142" i="14"/>
  <c r="AM1146" i="14" s="1"/>
  <c r="AL1154" i="14"/>
  <c r="AM1133" i="14"/>
  <c r="AM1135" i="14" s="1"/>
  <c r="AM1141" i="14"/>
  <c r="AM1143" i="14"/>
  <c r="AM1312" i="14" a="1"/>
  <c r="AM1312" i="14" s="1"/>
  <c r="AM1324" i="14" a="1"/>
  <c r="AM1324" i="14" s="1"/>
  <c r="AM1328" i="14" a="1"/>
  <c r="AM1328" i="14" s="1"/>
  <c r="AM1316" i="14" a="1"/>
  <c r="AM1316" i="14" s="1"/>
  <c r="AN1088" i="14"/>
  <c r="AN1080" i="14"/>
  <c r="AN1072" i="14"/>
  <c r="AN1152" i="14"/>
  <c r="AN1124" i="14"/>
  <c r="AN1145" i="14"/>
  <c r="AN1109" i="14"/>
  <c r="AN951" i="14"/>
  <c r="AN958" i="14" s="1"/>
  <c r="AN432" i="14"/>
  <c r="AN439" i="14" s="1"/>
  <c r="AM1340" i="14"/>
  <c r="AN602" i="14"/>
  <c r="AN603" i="14"/>
  <c r="AM709" i="14"/>
  <c r="AN723" i="14"/>
  <c r="AN736" i="14" s="1"/>
  <c r="AN952" i="14"/>
  <c r="AN959" i="14" s="1"/>
  <c r="AN729" i="14"/>
  <c r="AN743" i="14" s="1"/>
  <c r="AN730" i="14"/>
  <c r="AN744" i="14" s="1"/>
  <c r="AN4" i="14"/>
  <c r="AN63" i="14" s="1"/>
  <c r="AN195" i="14"/>
  <c r="AN209" i="14" s="1"/>
  <c r="AN190" i="14"/>
  <c r="AN203" i="14" s="1"/>
  <c r="AN724" i="14"/>
  <c r="AN737" i="14" s="1"/>
  <c r="AN196" i="14"/>
  <c r="AN210" i="14" s="1"/>
  <c r="AN67" i="14"/>
  <c r="AN74" i="14" s="1"/>
  <c r="AN66" i="14"/>
  <c r="AN189" i="14"/>
  <c r="AN202" i="14" s="1"/>
  <c r="AN433" i="14"/>
  <c r="AN440" i="14" s="1"/>
  <c r="AN441" i="14" s="1"/>
  <c r="AN211" i="14" l="1"/>
  <c r="AN204" i="14"/>
  <c r="AN1339" i="14" s="1"/>
  <c r="AN73" i="14"/>
  <c r="AN75" i="14" s="1"/>
  <c r="AM1147" i="14"/>
  <c r="AM1148" i="14" s="1"/>
  <c r="AM1151" i="14"/>
  <c r="AM1153" i="14" s="1"/>
  <c r="AM1314" i="14" a="1"/>
  <c r="AM1314" i="14" s="1"/>
  <c r="AM1326" i="14" a="1"/>
  <c r="AM1326" i="14" s="1"/>
  <c r="AN1130" i="14"/>
  <c r="AN1140" i="14" s="1"/>
  <c r="AN1131" i="14"/>
  <c r="AN960" i="14"/>
  <c r="AN1353" i="14" s="1"/>
  <c r="AN1341" i="14"/>
  <c r="AN738" i="14"/>
  <c r="AN1351" i="14" s="1"/>
  <c r="AN599" i="14"/>
  <c r="AN601" i="14"/>
  <c r="AN611" i="14" s="1"/>
  <c r="AN1350" i="14" s="1"/>
  <c r="AN745" i="14"/>
  <c r="AN1352" i="14" s="1"/>
  <c r="AN719" i="14"/>
  <c r="AN65" i="14"/>
  <c r="AN429" i="14"/>
  <c r="AN431" i="14"/>
  <c r="AN948" i="14"/>
  <c r="AN194" i="14"/>
  <c r="AN950" i="14"/>
  <c r="AN188" i="14"/>
  <c r="AN722" i="14"/>
  <c r="AO3" i="14"/>
  <c r="AO1118" i="14" s="1"/>
  <c r="AN728" i="14"/>
  <c r="AN185" i="14"/>
  <c r="AO1095" i="14" l="1"/>
  <c r="AO1166" i="14"/>
  <c r="AO1337" i="14"/>
  <c r="AO1173" i="14"/>
  <c r="AN1142" i="14"/>
  <c r="AN1146" i="14" s="1"/>
  <c r="AM1154" i="14"/>
  <c r="AN1312" i="14" a="1"/>
  <c r="AN1312" i="14" s="1"/>
  <c r="AN1324" i="14" a="1"/>
  <c r="AN1324" i="14" s="1"/>
  <c r="AN1316" i="14" a="1"/>
  <c r="AN1316" i="14" s="1"/>
  <c r="AN1328" i="14" a="1"/>
  <c r="AN1328" i="14" s="1"/>
  <c r="AN1143" i="14"/>
  <c r="AN1133" i="14"/>
  <c r="AN1135" i="14" s="1"/>
  <c r="AN1141" i="14"/>
  <c r="AO1088" i="14"/>
  <c r="AO1080" i="14"/>
  <c r="AO1072" i="14"/>
  <c r="AO1152" i="14"/>
  <c r="AO1124" i="14"/>
  <c r="AO1145" i="14"/>
  <c r="AO1109" i="14"/>
  <c r="AO951" i="14"/>
  <c r="AO958" i="14" s="1"/>
  <c r="AO432" i="14"/>
  <c r="AO439" i="14" s="1"/>
  <c r="AN1340" i="14"/>
  <c r="AN709" i="14"/>
  <c r="AO602" i="14"/>
  <c r="AO603" i="14"/>
  <c r="AO189" i="14"/>
  <c r="AO202" i="14" s="1"/>
  <c r="AO4" i="14"/>
  <c r="AO63" i="14" s="1"/>
  <c r="AO190" i="14"/>
  <c r="AO203" i="14" s="1"/>
  <c r="AO67" i="14"/>
  <c r="AO74" i="14" s="1"/>
  <c r="AO66" i="14"/>
  <c r="AO433" i="14"/>
  <c r="AO440" i="14" s="1"/>
  <c r="AO441" i="14" s="1"/>
  <c r="AO952" i="14"/>
  <c r="AO959" i="14" s="1"/>
  <c r="AO729" i="14"/>
  <c r="AO743" i="14" s="1"/>
  <c r="AO730" i="14"/>
  <c r="AO744" i="14" s="1"/>
  <c r="AO723" i="14"/>
  <c r="AO736" i="14" s="1"/>
  <c r="AO724" i="14"/>
  <c r="AO737" i="14" s="1"/>
  <c r="AO195" i="14"/>
  <c r="AO209" i="14" s="1"/>
  <c r="AO196" i="14"/>
  <c r="AO210" i="14" s="1"/>
  <c r="AO211" i="14" l="1"/>
  <c r="AO204" i="14"/>
  <c r="AO1339" i="14" s="1"/>
  <c r="AO73" i="14"/>
  <c r="AO75" i="14" s="1"/>
  <c r="AN1147" i="14"/>
  <c r="AN1148" i="14" s="1"/>
  <c r="AN1151" i="14"/>
  <c r="AN1153" i="14" s="1"/>
  <c r="AN1314" i="14" a="1"/>
  <c r="AN1314" i="14" s="1"/>
  <c r="AN1326" i="14" a="1"/>
  <c r="AN1326" i="14" s="1"/>
  <c r="AO1131" i="14"/>
  <c r="AO1130" i="14"/>
  <c r="AO1140" i="14" s="1"/>
  <c r="AO960" i="14"/>
  <c r="AO1353" i="14" s="1"/>
  <c r="AO1341" i="14"/>
  <c r="AO738" i="14"/>
  <c r="AO1351" i="14" s="1"/>
  <c r="AO599" i="14"/>
  <c r="AO601" i="14"/>
  <c r="AO611" i="14" s="1"/>
  <c r="AO1350" i="14" s="1"/>
  <c r="AO745" i="14"/>
  <c r="AO1352" i="14" s="1"/>
  <c r="AO719" i="14"/>
  <c r="AP3" i="14"/>
  <c r="AP1118" i="14" s="1"/>
  <c r="AO185" i="14"/>
  <c r="AO722" i="14"/>
  <c r="AO728" i="14"/>
  <c r="AO194" i="14"/>
  <c r="AO429" i="14"/>
  <c r="AO65" i="14"/>
  <c r="AO948" i="14"/>
  <c r="AO188" i="14"/>
  <c r="AO950" i="14"/>
  <c r="AO431" i="14"/>
  <c r="AP1095" i="14" l="1"/>
  <c r="AP1166" i="14"/>
  <c r="AP1337" i="14"/>
  <c r="AP1173" i="14"/>
  <c r="AO1142" i="14"/>
  <c r="AO1146" i="14" s="1"/>
  <c r="AN1154" i="14"/>
  <c r="AO1324" i="14" a="1"/>
  <c r="AO1324" i="14" s="1"/>
  <c r="AO1312" i="14" a="1"/>
  <c r="AO1312" i="14" s="1"/>
  <c r="AO1316" i="14" a="1"/>
  <c r="AO1316" i="14" s="1"/>
  <c r="AO1328" i="14" a="1"/>
  <c r="AO1328" i="14" s="1"/>
  <c r="AO1133" i="14"/>
  <c r="AO1135" i="14" s="1"/>
  <c r="AO1143" i="14"/>
  <c r="AO1141" i="14"/>
  <c r="AP1088" i="14"/>
  <c r="AP1080" i="14"/>
  <c r="AP1072" i="14"/>
  <c r="AP1152" i="14"/>
  <c r="AP1131" i="14"/>
  <c r="AP1145" i="14"/>
  <c r="AP1109" i="14"/>
  <c r="AP951" i="14"/>
  <c r="AP958" i="14" s="1"/>
  <c r="AP432" i="14"/>
  <c r="AP439" i="14" s="1"/>
  <c r="AO1340" i="14"/>
  <c r="AP729" i="14"/>
  <c r="AP743" i="14" s="1"/>
  <c r="AP602" i="14"/>
  <c r="AP603" i="14"/>
  <c r="AO709" i="14"/>
  <c r="AP724" i="14"/>
  <c r="AP737" i="14" s="1"/>
  <c r="AP730" i="14"/>
  <c r="AP744" i="14" s="1"/>
  <c r="AP723" i="14"/>
  <c r="AP736" i="14" s="1"/>
  <c r="AP4" i="14"/>
  <c r="AP63" i="14" s="1"/>
  <c r="AP196" i="14"/>
  <c r="AP210" i="14" s="1"/>
  <c r="AP195" i="14"/>
  <c r="AP209" i="14" s="1"/>
  <c r="AP189" i="14"/>
  <c r="AP202" i="14" s="1"/>
  <c r="AP66" i="14"/>
  <c r="AP73" i="14" s="1"/>
  <c r="AP67" i="14"/>
  <c r="AP74" i="14" s="1"/>
  <c r="AP190" i="14"/>
  <c r="AP203" i="14" s="1"/>
  <c r="AP952" i="14"/>
  <c r="AP959" i="14" s="1"/>
  <c r="AP433" i="14"/>
  <c r="AP440" i="14" s="1"/>
  <c r="AP441" i="14" s="1"/>
  <c r="AP204" i="14" l="1"/>
  <c r="AP1339" i="14" s="1"/>
  <c r="AP211" i="14"/>
  <c r="AP1340" i="14" s="1"/>
  <c r="AP75" i="14"/>
  <c r="AO1147" i="14"/>
  <c r="AO1148" i="14" s="1"/>
  <c r="AO1151" i="14"/>
  <c r="AO1153" i="14" s="1"/>
  <c r="AO1314" i="14" a="1"/>
  <c r="AO1314" i="14" s="1"/>
  <c r="AO1326" i="14" a="1"/>
  <c r="AO1326" i="14" s="1"/>
  <c r="AP1130" i="14"/>
  <c r="AP1140" i="14" s="1"/>
  <c r="AP1124" i="14"/>
  <c r="AP960" i="14"/>
  <c r="AP1353" i="14" s="1"/>
  <c r="AP1341" i="14"/>
  <c r="AP745" i="14"/>
  <c r="AP1352" i="14" s="1"/>
  <c r="AP738" i="14"/>
  <c r="AP1351" i="14" s="1"/>
  <c r="AP599" i="14"/>
  <c r="AP601" i="14"/>
  <c r="AP611" i="14" s="1"/>
  <c r="AP1350" i="14" s="1"/>
  <c r="AP722" i="14"/>
  <c r="AP728" i="14"/>
  <c r="AP719" i="14"/>
  <c r="AQ3" i="14"/>
  <c r="AQ1118" i="14" s="1"/>
  <c r="AP185" i="14"/>
  <c r="AP194" i="14"/>
  <c r="AP188" i="14"/>
  <c r="AP429" i="14"/>
  <c r="AP65" i="14"/>
  <c r="AP950" i="14"/>
  <c r="AP431" i="14"/>
  <c r="AP948" i="14"/>
  <c r="AQ1095" i="14" l="1"/>
  <c r="AQ1166" i="14"/>
  <c r="AQ1337" i="14"/>
  <c r="AQ1173" i="14"/>
  <c r="AP1142" i="14"/>
  <c r="AP1146" i="14" s="1"/>
  <c r="AO1154" i="14"/>
  <c r="AP1133" i="14"/>
  <c r="AP1135" i="14" s="1"/>
  <c r="AP1143" i="14"/>
  <c r="AP1324" i="14" a="1"/>
  <c r="AP1324" i="14" s="1"/>
  <c r="AP1312" i="14" a="1"/>
  <c r="AP1312" i="14" s="1"/>
  <c r="AP1314" i="14" a="1"/>
  <c r="AP1314" i="14" s="1"/>
  <c r="AP1326" i="14" a="1"/>
  <c r="AP1326" i="14" s="1"/>
  <c r="AP1316" i="14" a="1"/>
  <c r="AP1316" i="14" s="1"/>
  <c r="AP1328" i="14" a="1"/>
  <c r="AP1328" i="14" s="1"/>
  <c r="AP1141" i="14"/>
  <c r="AQ1088" i="14"/>
  <c r="AQ1080" i="14"/>
  <c r="AQ1072" i="14"/>
  <c r="AQ1152" i="14"/>
  <c r="AQ1124" i="14"/>
  <c r="AQ1145" i="14"/>
  <c r="AQ1109" i="14"/>
  <c r="AQ951" i="14"/>
  <c r="AQ958" i="14" s="1"/>
  <c r="AQ432" i="14"/>
  <c r="AQ439" i="14" s="1"/>
  <c r="AQ724" i="14"/>
  <c r="AQ737" i="14" s="1"/>
  <c r="AQ602" i="14"/>
  <c r="AQ603" i="14"/>
  <c r="AP709" i="14"/>
  <c r="AQ729" i="14"/>
  <c r="AQ743" i="14" s="1"/>
  <c r="AQ66" i="14"/>
  <c r="AQ4" i="14"/>
  <c r="AQ63" i="14" s="1"/>
  <c r="AQ195" i="14"/>
  <c r="AQ209" i="14" s="1"/>
  <c r="AQ196" i="14"/>
  <c r="AQ210" i="14" s="1"/>
  <c r="AQ67" i="14"/>
  <c r="AQ74" i="14" s="1"/>
  <c r="AQ189" i="14"/>
  <c r="AQ202" i="14" s="1"/>
  <c r="AQ190" i="14"/>
  <c r="AQ203" i="14" s="1"/>
  <c r="AQ433" i="14"/>
  <c r="AQ440" i="14" s="1"/>
  <c r="AQ441" i="14" s="1"/>
  <c r="AQ952" i="14"/>
  <c r="AQ959" i="14" s="1"/>
  <c r="AQ730" i="14"/>
  <c r="AQ744" i="14" s="1"/>
  <c r="AQ723" i="14"/>
  <c r="AQ736" i="14" s="1"/>
  <c r="B1" i="11"/>
  <c r="AQ211" i="14" l="1"/>
  <c r="AQ73" i="14"/>
  <c r="AQ75" i="14" s="1"/>
  <c r="AQ204" i="14"/>
  <c r="AQ1339" i="14" s="1"/>
  <c r="AP1147" i="14"/>
  <c r="AP1148" i="14" s="1"/>
  <c r="AP1151" i="14"/>
  <c r="AP1153" i="14" s="1"/>
  <c r="AQ1131" i="14"/>
  <c r="AQ1130" i="14"/>
  <c r="AQ1140" i="14" s="1"/>
  <c r="AQ960" i="14"/>
  <c r="AQ1353" i="14" s="1"/>
  <c r="AQ1341" i="14"/>
  <c r="AQ738" i="14"/>
  <c r="AQ1351" i="14" s="1"/>
  <c r="AQ599" i="14"/>
  <c r="AQ601" i="14"/>
  <c r="AQ611" i="14" s="1"/>
  <c r="AQ1350" i="14" s="1"/>
  <c r="AQ745" i="14"/>
  <c r="AQ1352" i="14" s="1"/>
  <c r="AQ719" i="14"/>
  <c r="AQ185" i="14"/>
  <c r="AQ65" i="14"/>
  <c r="AQ188" i="14"/>
  <c r="AQ429" i="14"/>
  <c r="AQ194" i="14"/>
  <c r="AQ431" i="14"/>
  <c r="AQ948" i="14"/>
  <c r="AQ950" i="14"/>
  <c r="AQ728" i="14"/>
  <c r="AQ722" i="14"/>
  <c r="AR3" i="14"/>
  <c r="AR1118" i="14" s="1"/>
  <c r="AR1095" i="14" l="1"/>
  <c r="AR1166" i="14"/>
  <c r="AR1337" i="14"/>
  <c r="AR1173" i="14"/>
  <c r="AQ1142" i="14"/>
  <c r="AQ1146" i="14" s="1"/>
  <c r="AP1154" i="14"/>
  <c r="AQ1133" i="14"/>
  <c r="AQ1135" i="14" s="1"/>
  <c r="AQ1324" i="14" a="1"/>
  <c r="AQ1324" i="14" s="1"/>
  <c r="AQ1312" i="14" a="1"/>
  <c r="AQ1312" i="14" s="1"/>
  <c r="AQ1316" i="14" a="1"/>
  <c r="AQ1316" i="14" s="1"/>
  <c r="AQ1328" i="14" a="1"/>
  <c r="AQ1328" i="14" s="1"/>
  <c r="AQ1143" i="14"/>
  <c r="AQ1141" i="14"/>
  <c r="AR1088" i="14"/>
  <c r="AR1080" i="14"/>
  <c r="AR1072" i="14"/>
  <c r="AR1152" i="14"/>
  <c r="AR1124" i="14"/>
  <c r="AR1145" i="14"/>
  <c r="AR1109" i="14"/>
  <c r="AR951" i="14"/>
  <c r="AR958" i="14" s="1"/>
  <c r="AR432" i="14"/>
  <c r="AR439" i="14" s="1"/>
  <c r="AQ1340" i="14"/>
  <c r="AR724" i="14"/>
  <c r="AR737" i="14" s="1"/>
  <c r="AR603" i="14"/>
  <c r="AR602" i="14"/>
  <c r="AQ709" i="14"/>
  <c r="AR196" i="14"/>
  <c r="AR210" i="14" s="1"/>
  <c r="AR67" i="14"/>
  <c r="AR74" i="14" s="1"/>
  <c r="AR433" i="14"/>
  <c r="AR440" i="14" s="1"/>
  <c r="AR441" i="14" s="1"/>
  <c r="AR66" i="14"/>
  <c r="AR952" i="14"/>
  <c r="AR959" i="14" s="1"/>
  <c r="AR189" i="14"/>
  <c r="AR202" i="14" s="1"/>
  <c r="AR190" i="14"/>
  <c r="AR203" i="14" s="1"/>
  <c r="AR195" i="14"/>
  <c r="AR209" i="14" s="1"/>
  <c r="AR723" i="14"/>
  <c r="AR736" i="14" s="1"/>
  <c r="AR730" i="14"/>
  <c r="AR744" i="14" s="1"/>
  <c r="AR729" i="14"/>
  <c r="AR743" i="14" s="1"/>
  <c r="AR4" i="14"/>
  <c r="AR63" i="14" s="1"/>
  <c r="AR204" i="14" l="1"/>
  <c r="AR1339" i="14" s="1"/>
  <c r="AR73" i="14"/>
  <c r="AR75" i="14" s="1"/>
  <c r="AR211" i="14"/>
  <c r="AQ1147" i="14"/>
  <c r="AQ1148" i="14" s="1"/>
  <c r="AQ1151" i="14"/>
  <c r="AQ1153" i="14" s="1"/>
  <c r="AQ1314" i="14" a="1"/>
  <c r="AQ1314" i="14" s="1"/>
  <c r="AQ1326" i="14" a="1"/>
  <c r="AQ1326" i="14" s="1"/>
  <c r="AR1130" i="14"/>
  <c r="AR1140" i="14" s="1"/>
  <c r="AR1131" i="14"/>
  <c r="AR960" i="14"/>
  <c r="AR1353" i="14" s="1"/>
  <c r="AR1341" i="14"/>
  <c r="AR738" i="14"/>
  <c r="AR1351" i="14" s="1"/>
  <c r="AR599" i="14"/>
  <c r="AR601" i="14"/>
  <c r="AR611" i="14" s="1"/>
  <c r="AR1350" i="14" s="1"/>
  <c r="AR745" i="14"/>
  <c r="AR1352" i="14" s="1"/>
  <c r="AR65" i="14"/>
  <c r="AS3" i="14"/>
  <c r="AS1118" i="14" s="1"/>
  <c r="AR948" i="14"/>
  <c r="AR719" i="14"/>
  <c r="AR431" i="14"/>
  <c r="AR950" i="14"/>
  <c r="AR722" i="14"/>
  <c r="AR728" i="14"/>
  <c r="AR185" i="14"/>
  <c r="AR194" i="14"/>
  <c r="AR188" i="14"/>
  <c r="AR429" i="14"/>
  <c r="AS1095" i="14" l="1"/>
  <c r="AS1166" i="14"/>
  <c r="AS1337" i="14"/>
  <c r="AS1173" i="14"/>
  <c r="AR1142" i="14"/>
  <c r="AR1146" i="14" s="1"/>
  <c r="AQ1154" i="14"/>
  <c r="AR1312" i="14" a="1"/>
  <c r="AR1312" i="14" s="1"/>
  <c r="AR1324" i="14" a="1"/>
  <c r="AR1324" i="14" s="1"/>
  <c r="AR1316" i="14" a="1"/>
  <c r="AR1316" i="14" s="1"/>
  <c r="AR1328" i="14" a="1"/>
  <c r="AR1328" i="14" s="1"/>
  <c r="AR1133" i="14"/>
  <c r="AR1135" i="14" s="1"/>
  <c r="AR1143" i="14"/>
  <c r="AR1141" i="14"/>
  <c r="AS1088" i="14"/>
  <c r="AS1080" i="14"/>
  <c r="AS1072" i="14"/>
  <c r="AS1152" i="14"/>
  <c r="AS1124" i="14"/>
  <c r="AS1145" i="14"/>
  <c r="AS1109" i="14"/>
  <c r="AS951" i="14"/>
  <c r="AS958" i="14" s="1"/>
  <c r="AS432" i="14"/>
  <c r="AS439" i="14" s="1"/>
  <c r="AR1340" i="14"/>
  <c r="AS724" i="14"/>
  <c r="AS737" i="14" s="1"/>
  <c r="AS603" i="14"/>
  <c r="AS602" i="14"/>
  <c r="AR709" i="14"/>
  <c r="AS729" i="14"/>
  <c r="AS743" i="14" s="1"/>
  <c r="AS4" i="14"/>
  <c r="AS63" i="14" s="1"/>
  <c r="AS195" i="14"/>
  <c r="AS209" i="14" s="1"/>
  <c r="AS196" i="14"/>
  <c r="AS210" i="14" s="1"/>
  <c r="AS190" i="14"/>
  <c r="AS203" i="14" s="1"/>
  <c r="AS66" i="14"/>
  <c r="AS189" i="14"/>
  <c r="AS202" i="14" s="1"/>
  <c r="AS67" i="14"/>
  <c r="AS74" i="14" s="1"/>
  <c r="AS433" i="14"/>
  <c r="AS440" i="14" s="1"/>
  <c r="AS441" i="14" s="1"/>
  <c r="AS952" i="14"/>
  <c r="AS959" i="14" s="1"/>
  <c r="AS723" i="14"/>
  <c r="AS736" i="14" s="1"/>
  <c r="AS730" i="14"/>
  <c r="AS744" i="14" s="1"/>
  <c r="AS211" i="14" l="1"/>
  <c r="AS204" i="14"/>
  <c r="AS1339" i="14" s="1"/>
  <c r="AS73" i="14"/>
  <c r="AS75" i="14" s="1"/>
  <c r="AR1151" i="14"/>
  <c r="AR1153" i="14" s="1"/>
  <c r="AR1147" i="14"/>
  <c r="AR1148" i="14" s="1"/>
  <c r="AR1314" i="14" a="1"/>
  <c r="AR1314" i="14" s="1"/>
  <c r="AR1326" i="14" a="1"/>
  <c r="AR1326" i="14" s="1"/>
  <c r="AS1131" i="14"/>
  <c r="AS1130" i="14"/>
  <c r="AS1140" i="14" s="1"/>
  <c r="AS960" i="14"/>
  <c r="AS1353" i="14" s="1"/>
  <c r="AS1341" i="14"/>
  <c r="AS738" i="14"/>
  <c r="AS1351" i="14" s="1"/>
  <c r="AS599" i="14"/>
  <c r="AS728" i="14"/>
  <c r="AS601" i="14"/>
  <c r="AS611" i="14" s="1"/>
  <c r="AS1350" i="14" s="1"/>
  <c r="AT3" i="14"/>
  <c r="AT1118" i="14" s="1"/>
  <c r="AS185" i="14"/>
  <c r="AS194" i="14"/>
  <c r="AS65" i="14"/>
  <c r="AS429" i="14"/>
  <c r="AS188" i="14"/>
  <c r="AS431" i="14"/>
  <c r="AS948" i="14"/>
  <c r="AS722" i="14"/>
  <c r="AS745" i="14"/>
  <c r="AS1352" i="14" s="1"/>
  <c r="AS950" i="14"/>
  <c r="AS719" i="14"/>
  <c r="AT1095" i="14" l="1"/>
  <c r="AT1166" i="14"/>
  <c r="AT1337" i="14"/>
  <c r="AT1173" i="14"/>
  <c r="AR1154" i="14"/>
  <c r="AS1142" i="14"/>
  <c r="AS1146" i="14" s="1"/>
  <c r="AS1312" i="14" a="1"/>
  <c r="AS1312" i="14" s="1"/>
  <c r="AS1324" i="14" a="1"/>
  <c r="AS1324" i="14" s="1"/>
  <c r="AS1316" i="14" a="1"/>
  <c r="AS1316" i="14" s="1"/>
  <c r="AS1328" i="14" a="1"/>
  <c r="AS1328" i="14" s="1"/>
  <c r="AS1133" i="14"/>
  <c r="AS1135" i="14" s="1"/>
  <c r="AS1143" i="14"/>
  <c r="AS1141" i="14"/>
  <c r="AT1080" i="14"/>
  <c r="AT1088" i="14"/>
  <c r="AT1072" i="14"/>
  <c r="AT1152" i="14"/>
  <c r="AT1145" i="14"/>
  <c r="AT1109" i="14"/>
  <c r="AT951" i="14"/>
  <c r="AT958" i="14" s="1"/>
  <c r="AT432" i="14"/>
  <c r="AT439" i="14" s="1"/>
  <c r="AS1340" i="14"/>
  <c r="AT603" i="14"/>
  <c r="AT602" i="14"/>
  <c r="AT195" i="14"/>
  <c r="AT209" i="14" s="1"/>
  <c r="AT730" i="14"/>
  <c r="AT744" i="14" s="1"/>
  <c r="AT4" i="14"/>
  <c r="AT63" i="14" s="1"/>
  <c r="AT196" i="14"/>
  <c r="AT210" i="14" s="1"/>
  <c r="AT66" i="14"/>
  <c r="AT73" i="14" s="1"/>
  <c r="AT189" i="14"/>
  <c r="AT202" i="14" s="1"/>
  <c r="AT952" i="14"/>
  <c r="AT959" i="14" s="1"/>
  <c r="AT723" i="14"/>
  <c r="AT736" i="14" s="1"/>
  <c r="AT724" i="14"/>
  <c r="AT737" i="14" s="1"/>
  <c r="AT729" i="14"/>
  <c r="AT743" i="14" s="1"/>
  <c r="AS709" i="14"/>
  <c r="AT67" i="14"/>
  <c r="AT74" i="14" s="1"/>
  <c r="AT190" i="14"/>
  <c r="AT203" i="14" s="1"/>
  <c r="AT433" i="14"/>
  <c r="AT440" i="14" s="1"/>
  <c r="AT441" i="14" s="1"/>
  <c r="AT204" i="14" l="1"/>
  <c r="AT1339" i="14" s="1"/>
  <c r="AT211" i="14"/>
  <c r="AT75" i="14"/>
  <c r="AS1151" i="14"/>
  <c r="AS1153" i="14" s="1"/>
  <c r="AS1147" i="14"/>
  <c r="AS1148" i="14" s="1"/>
  <c r="AS1326" i="14" a="1"/>
  <c r="AS1326" i="14" s="1"/>
  <c r="AS1314" i="14" a="1"/>
  <c r="AS1314" i="14" s="1"/>
  <c r="AT1124" i="14"/>
  <c r="AT1131" i="14"/>
  <c r="AT1130" i="14"/>
  <c r="AT1140" i="14" s="1"/>
  <c r="AT960" i="14"/>
  <c r="AT1353" i="14" s="1"/>
  <c r="AT1341" i="14"/>
  <c r="AT745" i="14"/>
  <c r="AT1352" i="14" s="1"/>
  <c r="AT738" i="14"/>
  <c r="AT1351" i="14" s="1"/>
  <c r="AU3" i="14"/>
  <c r="AU1118" i="14" s="1"/>
  <c r="AT429" i="14"/>
  <c r="AT185" i="14"/>
  <c r="AT194" i="14"/>
  <c r="AT431" i="14"/>
  <c r="AT948" i="14"/>
  <c r="AT950" i="14"/>
  <c r="AT719" i="14"/>
  <c r="AT722" i="14"/>
  <c r="AT728" i="14"/>
  <c r="AT599" i="14"/>
  <c r="AT65" i="14"/>
  <c r="AT188" i="14"/>
  <c r="AT601" i="14"/>
  <c r="AT611" i="14" s="1"/>
  <c r="AT1350" i="14" s="1"/>
  <c r="AU1095" i="14" l="1"/>
  <c r="AU1166" i="14"/>
  <c r="AU1337" i="14"/>
  <c r="AU1173" i="14"/>
  <c r="AS1154" i="14"/>
  <c r="AT1142" i="14"/>
  <c r="AT1146" i="14" s="1"/>
  <c r="AT1143" i="14"/>
  <c r="AT1133" i="14"/>
  <c r="AT1135" i="14" s="1"/>
  <c r="AT1141" i="14"/>
  <c r="AT1312" i="14" a="1"/>
  <c r="AT1312" i="14" s="1"/>
  <c r="AT1324" i="14" a="1"/>
  <c r="AT1324" i="14" s="1"/>
  <c r="AT1316" i="14" a="1"/>
  <c r="AT1316" i="14" s="1"/>
  <c r="AT1328" i="14" a="1"/>
  <c r="AT1328" i="14" s="1"/>
  <c r="AU1072" i="14"/>
  <c r="AU1088" i="14"/>
  <c r="AU1080" i="14"/>
  <c r="AU1152" i="14"/>
  <c r="AU1145" i="14"/>
  <c r="AU1109" i="14"/>
  <c r="AU724" i="14"/>
  <c r="AU737" i="14" s="1"/>
  <c r="AU432" i="14"/>
  <c r="AU439" i="14" s="1"/>
  <c r="AU951" i="14"/>
  <c r="AU958" i="14" s="1"/>
  <c r="AT1340" i="14"/>
  <c r="AU195" i="14"/>
  <c r="AU209" i="14" s="1"/>
  <c r="AU66" i="14"/>
  <c r="AU73" i="14" s="1"/>
  <c r="AU603" i="14"/>
  <c r="AU196" i="14"/>
  <c r="AU210" i="14" s="1"/>
  <c r="AU189" i="14"/>
  <c r="AU202" i="14" s="1"/>
  <c r="AU67" i="14"/>
  <c r="AU74" i="14" s="1"/>
  <c r="AU602" i="14"/>
  <c r="AU4" i="14"/>
  <c r="AU190" i="14"/>
  <c r="AU203" i="14" s="1"/>
  <c r="AU433" i="14"/>
  <c r="AU440" i="14" s="1"/>
  <c r="AU441" i="14" s="1"/>
  <c r="AU952" i="14"/>
  <c r="AU959" i="14" s="1"/>
  <c r="AU730" i="14"/>
  <c r="AU744" i="14" s="1"/>
  <c r="AU729" i="14"/>
  <c r="AU743" i="14" s="1"/>
  <c r="AU723" i="14"/>
  <c r="AU736" i="14" s="1"/>
  <c r="AT709" i="14"/>
  <c r="AU204" i="14" l="1"/>
  <c r="AU1339" i="14" s="1"/>
  <c r="AU211" i="14"/>
  <c r="AU75" i="14"/>
  <c r="AT1151" i="14"/>
  <c r="AT1153" i="14" s="1"/>
  <c r="AT1147" i="14"/>
  <c r="AT1148" i="14" s="1"/>
  <c r="AT1326" i="14" a="1"/>
  <c r="AT1326" i="14" s="1"/>
  <c r="AT1314" i="14" a="1"/>
  <c r="AT1314" i="14" s="1"/>
  <c r="AU1124" i="14"/>
  <c r="AU1130" i="14"/>
  <c r="AU1140" i="14" s="1"/>
  <c r="AU1131" i="14"/>
  <c r="AU738" i="14"/>
  <c r="AU1351" i="14" s="1"/>
  <c r="AU960" i="14"/>
  <c r="AU1353" i="14" s="1"/>
  <c r="AU1341" i="14"/>
  <c r="AU745" i="14"/>
  <c r="AU1352" i="14" s="1"/>
  <c r="AU599" i="14"/>
  <c r="AU63" i="14"/>
  <c r="AU431" i="14"/>
  <c r="AU65" i="14"/>
  <c r="AU429" i="14"/>
  <c r="AU188" i="14"/>
  <c r="AU194" i="14"/>
  <c r="AU948" i="14"/>
  <c r="AU950" i="14"/>
  <c r="AU728" i="14"/>
  <c r="AU719" i="14"/>
  <c r="AV3" i="14"/>
  <c r="AV1118" i="14" s="1"/>
  <c r="AU722" i="14"/>
  <c r="AU185" i="14"/>
  <c r="AU601" i="14"/>
  <c r="AU611" i="14" s="1"/>
  <c r="AV1095" i="14" l="1"/>
  <c r="AV1166" i="14"/>
  <c r="AU709" i="14"/>
  <c r="AU1350" i="14"/>
  <c r="AV1337" i="14"/>
  <c r="AV1173" i="14"/>
  <c r="AT1154" i="14"/>
  <c r="AU1143" i="14"/>
  <c r="AU1151" i="14" s="1"/>
  <c r="AU1153" i="14" s="1"/>
  <c r="AU1142" i="14"/>
  <c r="AU1146" i="14" s="1"/>
  <c r="AU1147" i="14"/>
  <c r="AU1133" i="14"/>
  <c r="AU1135" i="14" s="1"/>
  <c r="AU1312" i="14" a="1"/>
  <c r="AU1312" i="14" s="1"/>
  <c r="AU1324" i="14" a="1"/>
  <c r="AU1324" i="14" s="1"/>
  <c r="AU1316" i="14" a="1"/>
  <c r="AU1316" i="14" s="1"/>
  <c r="AU1328" i="14" a="1"/>
  <c r="AU1328" i="14" s="1"/>
  <c r="AV1088" i="14"/>
  <c r="AV1080" i="14"/>
  <c r="AV1072" i="14"/>
  <c r="AU1141" i="14"/>
  <c r="AV1152" i="14"/>
  <c r="AV1145" i="14"/>
  <c r="AV1109" i="14"/>
  <c r="AV433" i="14"/>
  <c r="AV440" i="14" s="1"/>
  <c r="AV441" i="14" s="1"/>
  <c r="AV432" i="14"/>
  <c r="AV439" i="14" s="1"/>
  <c r="AV951" i="14"/>
  <c r="AV958" i="14" s="1"/>
  <c r="AU1340" i="14"/>
  <c r="AV602" i="14"/>
  <c r="AV603" i="14"/>
  <c r="AV4" i="14"/>
  <c r="AV196" i="14"/>
  <c r="AV210" i="14" s="1"/>
  <c r="AV66" i="14"/>
  <c r="AV952" i="14"/>
  <c r="AV959" i="14" s="1"/>
  <c r="AV189" i="14"/>
  <c r="AV202" i="14" s="1"/>
  <c r="AV723" i="14"/>
  <c r="AV736" i="14" s="1"/>
  <c r="AV730" i="14"/>
  <c r="AV744" i="14" s="1"/>
  <c r="AV724" i="14"/>
  <c r="AV737" i="14" s="1"/>
  <c r="AV195" i="14"/>
  <c r="AV209" i="14" s="1"/>
  <c r="AV67" i="14"/>
  <c r="AV74" i="14" s="1"/>
  <c r="AV190" i="14"/>
  <c r="AV203" i="14" s="1"/>
  <c r="AV729" i="14"/>
  <c r="AV743" i="14" s="1"/>
  <c r="AV211" i="14" l="1"/>
  <c r="AV204" i="14"/>
  <c r="AV1339" i="14" s="1"/>
  <c r="AV73" i="14"/>
  <c r="AV75" i="14" s="1"/>
  <c r="AU1148" i="14"/>
  <c r="AU1154" i="14" s="1"/>
  <c r="AU1326" i="14" a="1"/>
  <c r="AU1326" i="14" s="1"/>
  <c r="AU1314" i="14" a="1"/>
  <c r="AU1314" i="14" s="1"/>
  <c r="AV1124" i="14"/>
  <c r="AV1131" i="14"/>
  <c r="AV1130" i="14"/>
  <c r="AV1140" i="14" s="1"/>
  <c r="AV960" i="14"/>
  <c r="AV1353" i="14" s="1"/>
  <c r="AV745" i="14"/>
  <c r="AV1352" i="14" s="1"/>
  <c r="AV738" i="14"/>
  <c r="AV1351" i="14" s="1"/>
  <c r="AV599" i="14"/>
  <c r="AV63" i="14"/>
  <c r="AW3" i="14"/>
  <c r="AW1118" i="14" s="1"/>
  <c r="AV65" i="14"/>
  <c r="AV194" i="14"/>
  <c r="AV188" i="14"/>
  <c r="AV429" i="14"/>
  <c r="AV431" i="14"/>
  <c r="AV948" i="14"/>
  <c r="AV950" i="14"/>
  <c r="AV728" i="14"/>
  <c r="AV722" i="14"/>
  <c r="AV719" i="14"/>
  <c r="AV601" i="14"/>
  <c r="AV611" i="14" s="1"/>
  <c r="AV185" i="14"/>
  <c r="AW1095" i="14" l="1"/>
  <c r="AW1166" i="14"/>
  <c r="AV1341" i="14"/>
  <c r="AV1328" i="14" a="1"/>
  <c r="AV1328" i="14" s="1"/>
  <c r="AV1316" i="14" a="1"/>
  <c r="AV1316" i="14" s="1"/>
  <c r="AV709" i="14"/>
  <c r="AV1350" i="14"/>
  <c r="AW1337" i="14"/>
  <c r="AW1173" i="14"/>
  <c r="AV1142" i="14"/>
  <c r="AV1146" i="14" s="1"/>
  <c r="AV1312" i="14" a="1"/>
  <c r="AV1312" i="14" s="1"/>
  <c r="AV1324" i="14" a="1"/>
  <c r="AV1324" i="14" s="1"/>
  <c r="AV1133" i="14"/>
  <c r="AV1135" i="14" s="1"/>
  <c r="AV1143" i="14"/>
  <c r="AV1141" i="14"/>
  <c r="AW1088" i="14"/>
  <c r="AW1080" i="14"/>
  <c r="AW1072" i="14"/>
  <c r="AW1152" i="14"/>
  <c r="AW1130" i="14"/>
  <c r="AW1140" i="14" s="1"/>
  <c r="AW1142" i="14" s="1"/>
  <c r="AW1145" i="14"/>
  <c r="AW1109" i="14"/>
  <c r="AW724" i="14"/>
  <c r="AW737" i="14" s="1"/>
  <c r="AW432" i="14"/>
  <c r="AW439" i="14" s="1"/>
  <c r="AW951" i="14"/>
  <c r="AW958" i="14" s="1"/>
  <c r="AV1340" i="14"/>
  <c r="AW603" i="14"/>
  <c r="AW602" i="14"/>
  <c r="AW190" i="14"/>
  <c r="AW203" i="14" s="1"/>
  <c r="AW195" i="14"/>
  <c r="AW209" i="14" s="1"/>
  <c r="AW189" i="14"/>
  <c r="AW202" i="14" s="1"/>
  <c r="AW4" i="14"/>
  <c r="AW63" i="14" s="1"/>
  <c r="AW196" i="14"/>
  <c r="AW210" i="14" s="1"/>
  <c r="AW66" i="14"/>
  <c r="AW73" i="14" s="1"/>
  <c r="AW67" i="14"/>
  <c r="AW74" i="14" s="1"/>
  <c r="AW433" i="14"/>
  <c r="AW440" i="14" s="1"/>
  <c r="AW441" i="14" s="1"/>
  <c r="AW952" i="14"/>
  <c r="AW959" i="14" s="1"/>
  <c r="AW730" i="14"/>
  <c r="AW744" i="14" s="1"/>
  <c r="AW723" i="14"/>
  <c r="AW736" i="14" s="1"/>
  <c r="AW729" i="14"/>
  <c r="AW743" i="14" s="1"/>
  <c r="AW211" i="14" l="1"/>
  <c r="AW204" i="14"/>
  <c r="AW1339" i="14" s="1"/>
  <c r="AW75" i="14"/>
  <c r="AV1151" i="14"/>
  <c r="AV1153" i="14" s="1"/>
  <c r="AV1147" i="14"/>
  <c r="AV1148" i="14" s="1"/>
  <c r="AV1326" i="14" a="1"/>
  <c r="AV1326" i="14" s="1"/>
  <c r="AV1314" i="14" a="1"/>
  <c r="AV1314" i="14" s="1"/>
  <c r="AW1131" i="14"/>
  <c r="AW1124" i="14"/>
  <c r="AW1141" i="14"/>
  <c r="AW1143" i="14"/>
  <c r="AW1146" i="14"/>
  <c r="AW1133" i="14"/>
  <c r="AW1135" i="14" s="1"/>
  <c r="AW738" i="14"/>
  <c r="AW1351" i="14" s="1"/>
  <c r="AW960" i="14"/>
  <c r="AW1353" i="14" s="1"/>
  <c r="AW1341" i="14"/>
  <c r="AW745" i="14"/>
  <c r="AW1352" i="14" s="1"/>
  <c r="AW599" i="14"/>
  <c r="AW601" i="14"/>
  <c r="AW611" i="14" s="1"/>
  <c r="AW185" i="14"/>
  <c r="AX3" i="14"/>
  <c r="AX1118" i="14" s="1"/>
  <c r="AW194" i="14"/>
  <c r="AW65" i="14"/>
  <c r="AW429" i="14"/>
  <c r="AW188" i="14"/>
  <c r="AW431" i="14"/>
  <c r="AW948" i="14"/>
  <c r="AW950" i="14"/>
  <c r="AW722" i="14"/>
  <c r="AW719" i="14"/>
  <c r="AW728" i="14"/>
  <c r="AX1095" i="14" l="1"/>
  <c r="AX1166" i="14"/>
  <c r="AV1154" i="14"/>
  <c r="AW709" i="14"/>
  <c r="AW1350" i="14"/>
  <c r="AX1337" i="14"/>
  <c r="AX1173" i="14"/>
  <c r="AW1151" i="14"/>
  <c r="AW1153" i="14" s="1"/>
  <c r="AW1147" i="14"/>
  <c r="AW1148" i="14" s="1"/>
  <c r="AW1312" i="14" a="1"/>
  <c r="AW1312" i="14" s="1"/>
  <c r="AW1324" i="14" a="1"/>
  <c r="AW1324" i="14" s="1"/>
  <c r="AW1316" i="14" a="1"/>
  <c r="AW1316" i="14" s="1"/>
  <c r="AW1328" i="14" a="1"/>
  <c r="AW1328" i="14" s="1"/>
  <c r="AX1088" i="14"/>
  <c r="AX1080" i="14"/>
  <c r="AX1072" i="14"/>
  <c r="AX1152" i="14"/>
  <c r="AX1124" i="14"/>
  <c r="AX1145" i="14"/>
  <c r="AX1109" i="14"/>
  <c r="AX723" i="14"/>
  <c r="AX736" i="14" s="1"/>
  <c r="AX432" i="14"/>
  <c r="AX439" i="14" s="1"/>
  <c r="AX951" i="14"/>
  <c r="AX958" i="14" s="1"/>
  <c r="AW1340" i="14"/>
  <c r="AX603" i="14"/>
  <c r="AX602" i="14"/>
  <c r="AX730" i="14"/>
  <c r="AX744" i="14" s="1"/>
  <c r="AX4" i="14"/>
  <c r="AX63" i="14" s="1"/>
  <c r="AX195" i="14"/>
  <c r="AX209" i="14" s="1"/>
  <c r="AX196" i="14"/>
  <c r="AX210" i="14" s="1"/>
  <c r="AX66" i="14"/>
  <c r="AX73" i="14" s="1"/>
  <c r="AX190" i="14"/>
  <c r="AX203" i="14" s="1"/>
  <c r="AX67" i="14"/>
  <c r="AX74" i="14" s="1"/>
  <c r="AX189" i="14"/>
  <c r="AX202" i="14" s="1"/>
  <c r="AX433" i="14"/>
  <c r="AX440" i="14" s="1"/>
  <c r="AX441" i="14" s="1"/>
  <c r="AX952" i="14"/>
  <c r="AX959" i="14" s="1"/>
  <c r="AX724" i="14"/>
  <c r="AX737" i="14" s="1"/>
  <c r="AX729" i="14"/>
  <c r="AX743" i="14" s="1"/>
  <c r="AX211" i="14" l="1"/>
  <c r="AX204" i="14"/>
  <c r="AX1339" i="14" s="1"/>
  <c r="AX75" i="14"/>
  <c r="AW1326" i="14" a="1"/>
  <c r="AW1326" i="14" s="1"/>
  <c r="AW1314" i="14" a="1"/>
  <c r="AW1314" i="14" s="1"/>
  <c r="AX1131" i="14"/>
  <c r="AX1130" i="14"/>
  <c r="AX1140" i="14" s="1"/>
  <c r="AW1154" i="14"/>
  <c r="AX960" i="14"/>
  <c r="AX1353" i="14" s="1"/>
  <c r="AX1341" i="14"/>
  <c r="AX745" i="14"/>
  <c r="AX1352" i="14" s="1"/>
  <c r="AX948" i="14"/>
  <c r="AX738" i="14"/>
  <c r="AX1351" i="14" s="1"/>
  <c r="AY3" i="14"/>
  <c r="AY1118" i="14" s="1"/>
  <c r="AX185" i="14"/>
  <c r="AX194" i="14"/>
  <c r="AX65" i="14"/>
  <c r="AX429" i="14"/>
  <c r="AX188" i="14"/>
  <c r="AX431" i="14"/>
  <c r="AX728" i="14"/>
  <c r="AX722" i="14"/>
  <c r="AX719" i="14"/>
  <c r="AX599" i="14"/>
  <c r="AX601" i="14"/>
  <c r="AX611" i="14" s="1"/>
  <c r="AX950" i="14"/>
  <c r="AY1095" i="14" l="1"/>
  <c r="AY1166" i="14"/>
  <c r="AX709" i="14"/>
  <c r="AX1350" i="14"/>
  <c r="AY1337" i="14"/>
  <c r="AY1173" i="14"/>
  <c r="AX1142" i="14"/>
  <c r="AX1146" i="14" s="1"/>
  <c r="AX1312" i="14" a="1"/>
  <c r="AX1312" i="14" s="1"/>
  <c r="AX1324" i="14" a="1"/>
  <c r="AX1324" i="14" s="1"/>
  <c r="AX1316" i="14" a="1"/>
  <c r="AX1316" i="14" s="1"/>
  <c r="AX1328" i="14" a="1"/>
  <c r="AX1328" i="14" s="1"/>
  <c r="AX1133" i="14"/>
  <c r="AX1135" i="14" s="1"/>
  <c r="AX1141" i="14"/>
  <c r="AX1143" i="14"/>
  <c r="AY1088" i="14"/>
  <c r="AY1080" i="14"/>
  <c r="AY1072" i="14"/>
  <c r="AY1152" i="14"/>
  <c r="AY1130" i="14"/>
  <c r="AY1140" i="14" s="1"/>
  <c r="AY1142" i="14" s="1"/>
  <c r="AY1145" i="14"/>
  <c r="AY1109" i="14"/>
  <c r="AY603" i="14"/>
  <c r="AY432" i="14"/>
  <c r="AY439" i="14" s="1"/>
  <c r="AY951" i="14"/>
  <c r="AY958" i="14" s="1"/>
  <c r="AY189" i="14"/>
  <c r="AY202" i="14" s="1"/>
  <c r="AY196" i="14"/>
  <c r="AY210" i="14" s="1"/>
  <c r="AY190" i="14"/>
  <c r="AY203" i="14" s="1"/>
  <c r="AY67" i="14"/>
  <c r="AY74" i="14" s="1"/>
  <c r="AY195" i="14"/>
  <c r="AY209" i="14" s="1"/>
  <c r="AY66" i="14"/>
  <c r="AY433" i="14"/>
  <c r="AY440" i="14" s="1"/>
  <c r="AY441" i="14" s="1"/>
  <c r="AY952" i="14"/>
  <c r="AY959" i="14" s="1"/>
  <c r="AY723" i="14"/>
  <c r="AY736" i="14" s="1"/>
  <c r="AY724" i="14"/>
  <c r="AY737" i="14" s="1"/>
  <c r="AY602" i="14"/>
  <c r="AY729" i="14"/>
  <c r="AY743" i="14" s="1"/>
  <c r="AY4" i="14"/>
  <c r="AY63" i="14" s="1"/>
  <c r="AX1340" i="14"/>
  <c r="AY730" i="14"/>
  <c r="AY744" i="14" s="1"/>
  <c r="AY211" i="14" l="1"/>
  <c r="AY1340" i="14" s="1"/>
  <c r="AY73" i="14"/>
  <c r="AY75" i="14" s="1"/>
  <c r="AY204" i="14"/>
  <c r="AY1339" i="14" s="1"/>
  <c r="AX1151" i="14"/>
  <c r="AX1153" i="14" s="1"/>
  <c r="AX1147" i="14"/>
  <c r="AX1148" i="14" s="1"/>
  <c r="AX1314" i="14" a="1"/>
  <c r="AX1314" i="14" s="1"/>
  <c r="AX1326" i="14" a="1"/>
  <c r="AX1326" i="14" s="1"/>
  <c r="AY1131" i="14"/>
  <c r="AY1124" i="14"/>
  <c r="AY1143" i="14"/>
  <c r="AY1146" i="14"/>
  <c r="AY1141" i="14"/>
  <c r="AY1133" i="14"/>
  <c r="AY1135" i="14" s="1"/>
  <c r="AY960" i="14"/>
  <c r="AY1353" i="14" s="1"/>
  <c r="AY1341" i="14"/>
  <c r="AY745" i="14"/>
  <c r="AY1352" i="14" s="1"/>
  <c r="AY738" i="14"/>
  <c r="AY1351" i="14" s="1"/>
  <c r="AY65" i="14"/>
  <c r="AY185" i="14"/>
  <c r="AY188" i="14"/>
  <c r="AY599" i="14"/>
  <c r="AZ3" i="14"/>
  <c r="AZ1118" i="14" s="1"/>
  <c r="AY429" i="14"/>
  <c r="AY601" i="14"/>
  <c r="AY611" i="14" s="1"/>
  <c r="AY431" i="14"/>
  <c r="AY950" i="14"/>
  <c r="AY194" i="14"/>
  <c r="AY948" i="14"/>
  <c r="AY722" i="14"/>
  <c r="AY728" i="14"/>
  <c r="AY719" i="14"/>
  <c r="AZ1095" i="14" l="1"/>
  <c r="AZ1166" i="14"/>
  <c r="AY709" i="14"/>
  <c r="AY1350" i="14"/>
  <c r="AZ1337" i="14"/>
  <c r="AZ1173" i="14"/>
  <c r="AX1154" i="14"/>
  <c r="AY1151" i="14"/>
  <c r="AY1153" i="14" s="1"/>
  <c r="AY1147" i="14"/>
  <c r="AY1148" i="14" s="1"/>
  <c r="AY1312" i="14" a="1"/>
  <c r="AY1312" i="14" s="1"/>
  <c r="AY1324" i="14" a="1"/>
  <c r="AY1324" i="14" s="1"/>
  <c r="AY1314" i="14" a="1"/>
  <c r="AY1314" i="14" s="1"/>
  <c r="AY1326" i="14" a="1"/>
  <c r="AY1326" i="14" s="1"/>
  <c r="AY1328" i="14" a="1"/>
  <c r="AY1328" i="14" s="1"/>
  <c r="AY1316" i="14" a="1"/>
  <c r="AY1316" i="14" s="1"/>
  <c r="AZ1080" i="14"/>
  <c r="AZ1072" i="14"/>
  <c r="AZ1088" i="14"/>
  <c r="AZ1152" i="14"/>
  <c r="AZ1130" i="14"/>
  <c r="AZ1140" i="14" s="1"/>
  <c r="AZ1142" i="14" s="1"/>
  <c r="AZ1145" i="14"/>
  <c r="AZ1109" i="14"/>
  <c r="AZ723" i="14"/>
  <c r="AZ736" i="14" s="1"/>
  <c r="AZ951" i="14"/>
  <c r="AZ958" i="14" s="1"/>
  <c r="AZ432" i="14"/>
  <c r="AZ439" i="14" s="1"/>
  <c r="AZ603" i="14"/>
  <c r="AZ196" i="14"/>
  <c r="AZ210" i="14" s="1"/>
  <c r="AZ195" i="14"/>
  <c r="AZ209" i="14" s="1"/>
  <c r="AZ4" i="14"/>
  <c r="AZ63" i="14" s="1"/>
  <c r="AZ190" i="14"/>
  <c r="AZ203" i="14" s="1"/>
  <c r="AZ66" i="14"/>
  <c r="AZ73" i="14" s="1"/>
  <c r="AZ189" i="14"/>
  <c r="AZ202" i="14" s="1"/>
  <c r="AZ67" i="14"/>
  <c r="AZ74" i="14" s="1"/>
  <c r="AZ433" i="14"/>
  <c r="AZ440" i="14" s="1"/>
  <c r="AZ441" i="14" s="1"/>
  <c r="AZ952" i="14"/>
  <c r="AZ959" i="14" s="1"/>
  <c r="AZ602" i="14"/>
  <c r="AZ729" i="14"/>
  <c r="AZ743" i="14" s="1"/>
  <c r="AZ730" i="14"/>
  <c r="AZ744" i="14" s="1"/>
  <c r="AZ724" i="14"/>
  <c r="AZ737" i="14" s="1"/>
  <c r="AZ211" i="14" l="1"/>
  <c r="AZ1340" i="14" s="1"/>
  <c r="AZ204" i="14"/>
  <c r="AZ1339" i="14" s="1"/>
  <c r="AZ75" i="14"/>
  <c r="AY1154" i="14"/>
  <c r="AZ1131" i="14"/>
  <c r="AZ1124" i="14"/>
  <c r="AZ1146" i="14"/>
  <c r="AZ1141" i="14"/>
  <c r="AZ1143" i="14"/>
  <c r="AZ1133" i="14"/>
  <c r="AZ1135" i="14" s="1"/>
  <c r="AZ738" i="14"/>
  <c r="AZ1351" i="14" s="1"/>
  <c r="AZ960" i="14"/>
  <c r="AZ1353" i="14" s="1"/>
  <c r="AZ1341" i="14"/>
  <c r="BA3" i="14"/>
  <c r="BA1118" i="14" s="1"/>
  <c r="AZ185" i="14"/>
  <c r="AZ65" i="14"/>
  <c r="AZ188" i="14"/>
  <c r="AZ429" i="14"/>
  <c r="AZ194" i="14"/>
  <c r="AZ745" i="14"/>
  <c r="AZ1352" i="14" s="1"/>
  <c r="AZ431" i="14"/>
  <c r="AZ948" i="14"/>
  <c r="AZ950" i="14"/>
  <c r="AZ722" i="14"/>
  <c r="AZ719" i="14"/>
  <c r="AZ728" i="14"/>
  <c r="AZ599" i="14"/>
  <c r="AZ601" i="14"/>
  <c r="AZ611" i="14" s="1"/>
  <c r="BA1095" i="14" l="1"/>
  <c r="BA1166" i="14"/>
  <c r="AZ709" i="14"/>
  <c r="AZ1350" i="14"/>
  <c r="BA1337" i="14"/>
  <c r="BA1173" i="14"/>
  <c r="AZ1151" i="14"/>
  <c r="AZ1153" i="14" s="1"/>
  <c r="AZ1147" i="14"/>
  <c r="AZ1148" i="14" s="1"/>
  <c r="AZ1314" i="14" a="1"/>
  <c r="AZ1314" i="14" s="1"/>
  <c r="AZ1326" i="14" a="1"/>
  <c r="AZ1326" i="14" s="1"/>
  <c r="AZ1312" i="14" a="1"/>
  <c r="AZ1312" i="14" s="1"/>
  <c r="AZ1324" i="14" a="1"/>
  <c r="AZ1324" i="14" s="1"/>
  <c r="AZ1328" i="14" a="1"/>
  <c r="AZ1328" i="14" s="1"/>
  <c r="AZ1316" i="14" a="1"/>
  <c r="AZ1316" i="14" s="1"/>
  <c r="BA1088" i="14"/>
  <c r="BA1080" i="14"/>
  <c r="BA1072" i="14"/>
  <c r="BA1152" i="14"/>
  <c r="BA1130" i="14"/>
  <c r="BA1140" i="14" s="1"/>
  <c r="BA1142" i="14" s="1"/>
  <c r="BA1145" i="14"/>
  <c r="BA1109" i="14"/>
  <c r="BA603" i="14"/>
  <c r="BA432" i="14"/>
  <c r="BA439" i="14" s="1"/>
  <c r="BA951" i="14"/>
  <c r="BA958" i="14" s="1"/>
  <c r="BA4" i="14"/>
  <c r="BA63" i="14" s="1"/>
  <c r="BA196" i="14"/>
  <c r="BA210" i="14" s="1"/>
  <c r="BA195" i="14"/>
  <c r="BA209" i="14" s="1"/>
  <c r="BA190" i="14"/>
  <c r="BA203" i="14" s="1"/>
  <c r="BA67" i="14"/>
  <c r="BA74" i="14" s="1"/>
  <c r="BA433" i="14"/>
  <c r="BA440" i="14" s="1"/>
  <c r="BA441" i="14" s="1"/>
  <c r="BA189" i="14"/>
  <c r="BA202" i="14" s="1"/>
  <c r="BA66" i="14"/>
  <c r="BA952" i="14"/>
  <c r="BA959" i="14" s="1"/>
  <c r="BA724" i="14"/>
  <c r="BA737" i="14" s="1"/>
  <c r="BA723" i="14"/>
  <c r="BA736" i="14" s="1"/>
  <c r="BA729" i="14"/>
  <c r="BA743" i="14" s="1"/>
  <c r="BA730" i="14"/>
  <c r="BA744" i="14" s="1"/>
  <c r="BA602" i="14"/>
  <c r="BA211" i="14" l="1"/>
  <c r="BA1340" i="14" s="1"/>
  <c r="BA204" i="14"/>
  <c r="BA1339" i="14" s="1"/>
  <c r="BA73" i="14"/>
  <c r="BA75" i="14" s="1"/>
  <c r="BA1131" i="14"/>
  <c r="BA1124" i="14"/>
  <c r="AZ1154" i="14"/>
  <c r="BA1146" i="14"/>
  <c r="BA1141" i="14"/>
  <c r="BA1143" i="14"/>
  <c r="BA1133" i="14"/>
  <c r="BA1135" i="14" s="1"/>
  <c r="BB3" i="14"/>
  <c r="BB1118" i="14" s="1"/>
  <c r="BA185" i="14"/>
  <c r="BA65" i="14"/>
  <c r="BA188" i="14"/>
  <c r="BA429" i="14"/>
  <c r="BA431" i="14"/>
  <c r="BA948" i="14"/>
  <c r="BA950" i="14"/>
  <c r="BA960" i="14"/>
  <c r="BA1353" i="14" s="1"/>
  <c r="BA194" i="14"/>
  <c r="BA719" i="14"/>
  <c r="BA601" i="14"/>
  <c r="BA611" i="14" s="1"/>
  <c r="BA728" i="14"/>
  <c r="BA1341" i="14"/>
  <c r="BA722" i="14"/>
  <c r="BA599" i="14"/>
  <c r="BA738" i="14"/>
  <c r="BA1351" i="14" s="1"/>
  <c r="BA745" i="14"/>
  <c r="BA1352" i="14" s="1"/>
  <c r="BB1095" i="14" l="1"/>
  <c r="BB1166" i="14"/>
  <c r="BA709" i="14"/>
  <c r="BA1350" i="14"/>
  <c r="BB1337" i="14"/>
  <c r="BB1173" i="14"/>
  <c r="BA1147" i="14"/>
  <c r="BA1148" i="14" s="1"/>
  <c r="BA1151" i="14"/>
  <c r="BA1153" i="14" s="1"/>
  <c r="BA1312" i="14" a="1"/>
  <c r="BA1312" i="14" s="1"/>
  <c r="BA1324" i="14" a="1"/>
  <c r="BA1324" i="14" s="1"/>
  <c r="BA1314" i="14" a="1"/>
  <c r="BA1314" i="14" s="1"/>
  <c r="BA1326" i="14" a="1"/>
  <c r="BA1326" i="14" s="1"/>
  <c r="BA1328" i="14" a="1"/>
  <c r="BA1328" i="14" s="1"/>
  <c r="BA1316" i="14" a="1"/>
  <c r="BA1316" i="14" s="1"/>
  <c r="BB1080" i="14"/>
  <c r="BB1072" i="14"/>
  <c r="BB1088" i="14"/>
  <c r="BB1152" i="14"/>
  <c r="BB1130" i="14"/>
  <c r="BB1140" i="14" s="1"/>
  <c r="BB1142" i="14" s="1"/>
  <c r="BB1145" i="14"/>
  <c r="BB952" i="14"/>
  <c r="BB959" i="14" s="1"/>
  <c r="BB195" i="14"/>
  <c r="BB209" i="14" s="1"/>
  <c r="BB196" i="14"/>
  <c r="BB210" i="14" s="1"/>
  <c r="BB67" i="14"/>
  <c r="BB74" i="14" s="1"/>
  <c r="BB190" i="14"/>
  <c r="BB203" i="14" s="1"/>
  <c r="BB189" i="14"/>
  <c r="BB202" i="14" s="1"/>
  <c r="BB433" i="14"/>
  <c r="BB440" i="14" s="1"/>
  <c r="BB441" i="14" s="1"/>
  <c r="BB723" i="14"/>
  <c r="BB736" i="14" s="1"/>
  <c r="BB951" i="14"/>
  <c r="BB958" i="14" s="1"/>
  <c r="BB724" i="14"/>
  <c r="BB737" i="14" s="1"/>
  <c r="BB432" i="14"/>
  <c r="BB439" i="14" s="1"/>
  <c r="BB729" i="14"/>
  <c r="BB743" i="14" s="1"/>
  <c r="BB730" i="14"/>
  <c r="BB744" i="14" s="1"/>
  <c r="BB602" i="14"/>
  <c r="BB603" i="14"/>
  <c r="BB4" i="14"/>
  <c r="BB63" i="14" s="1"/>
  <c r="BB66" i="14"/>
  <c r="BB73" i="14" s="1"/>
  <c r="BB1109" i="14"/>
  <c r="BB204" i="14" l="1"/>
  <c r="BB1339" i="14" s="1"/>
  <c r="BB211" i="14"/>
  <c r="BB1340" i="14" s="1"/>
  <c r="BB75" i="14"/>
  <c r="BA1154" i="14"/>
  <c r="BB1131" i="14"/>
  <c r="BB1124" i="14"/>
  <c r="BB738" i="14"/>
  <c r="BB1351" i="14" s="1"/>
  <c r="BB1143" i="14"/>
  <c r="BB1146" i="14"/>
  <c r="BB1141" i="14"/>
  <c r="BB960" i="14"/>
  <c r="BB1353" i="14" s="1"/>
  <c r="BB948" i="14"/>
  <c r="BB599" i="14"/>
  <c r="BB601" i="14"/>
  <c r="BB611" i="14" s="1"/>
  <c r="BB185" i="14"/>
  <c r="BB722" i="14"/>
  <c r="BB719" i="14"/>
  <c r="BB188" i="14"/>
  <c r="BB431" i="14"/>
  <c r="BB728" i="14"/>
  <c r="BC3" i="14"/>
  <c r="BC1118" i="14" s="1"/>
  <c r="BB950" i="14"/>
  <c r="BB745" i="14"/>
  <c r="BB1352" i="14" s="1"/>
  <c r="BB194" i="14"/>
  <c r="BB65" i="14"/>
  <c r="BB1133" i="14"/>
  <c r="BB1135" i="14" s="1"/>
  <c r="BB429" i="14"/>
  <c r="BC1095" i="14" l="1"/>
  <c r="BC1166" i="14"/>
  <c r="BB1341" i="14"/>
  <c r="BB1316" i="14" a="1"/>
  <c r="BB1316" i="14" s="1"/>
  <c r="BB1328" i="14" a="1"/>
  <c r="BB1328" i="14" s="1"/>
  <c r="BB709" i="14"/>
  <c r="BB1350" i="14"/>
  <c r="BC1337" i="14"/>
  <c r="BC1173" i="14"/>
  <c r="BB1147" i="14"/>
  <c r="BB1148" i="14" s="1"/>
  <c r="BB1151" i="14"/>
  <c r="BB1153" i="14" s="1"/>
  <c r="BB1312" i="14" a="1"/>
  <c r="BB1312" i="14" s="1"/>
  <c r="BB1324" i="14" a="1"/>
  <c r="BB1324" i="14" s="1"/>
  <c r="BB1314" i="14" a="1"/>
  <c r="BB1314" i="14" s="1"/>
  <c r="BB1326" i="14" a="1"/>
  <c r="BB1326" i="14" s="1"/>
  <c r="BC1072" i="14"/>
  <c r="BC1088" i="14"/>
  <c r="BC1080" i="14"/>
  <c r="BC1152" i="14"/>
  <c r="BC1124" i="14"/>
  <c r="BC1145" i="14"/>
  <c r="BC603" i="14"/>
  <c r="BC602" i="14"/>
  <c r="BC1109" i="14"/>
  <c r="BC730" i="14"/>
  <c r="BC744" i="14" s="1"/>
  <c r="BC4" i="14"/>
  <c r="BC63" i="14" s="1"/>
  <c r="BC951" i="14"/>
  <c r="BC958" i="14" s="1"/>
  <c r="BC196" i="14"/>
  <c r="BC210" i="14" s="1"/>
  <c r="BC67" i="14"/>
  <c r="BC74" i="14" s="1"/>
  <c r="BC190" i="14"/>
  <c r="BC203" i="14" s="1"/>
  <c r="BC189" i="14"/>
  <c r="BC202" i="14" s="1"/>
  <c r="BC66" i="14"/>
  <c r="BC73" i="14" s="1"/>
  <c r="BC433" i="14"/>
  <c r="BC440" i="14" s="1"/>
  <c r="BC441" i="14" s="1"/>
  <c r="BC952" i="14"/>
  <c r="BC959" i="14" s="1"/>
  <c r="BC723" i="14"/>
  <c r="BC736" i="14" s="1"/>
  <c r="BC729" i="14"/>
  <c r="BC743" i="14" s="1"/>
  <c r="BC724" i="14"/>
  <c r="BC737" i="14" s="1"/>
  <c r="BC195" i="14"/>
  <c r="BC209" i="14" s="1"/>
  <c r="BC432" i="14"/>
  <c r="BC439" i="14" s="1"/>
  <c r="BC204" i="14" l="1"/>
  <c r="BC1339" i="14" s="1"/>
  <c r="BC211" i="14"/>
  <c r="BC1340" i="14" s="1"/>
  <c r="BC75" i="14"/>
  <c r="BC1131" i="14"/>
  <c r="BC431" i="14"/>
  <c r="BB1154" i="14"/>
  <c r="BC745" i="14"/>
  <c r="BC1352" i="14" s="1"/>
  <c r="BC1130" i="14"/>
  <c r="BC1133" i="14" s="1"/>
  <c r="BC1135" i="14" s="1"/>
  <c r="BC738" i="14"/>
  <c r="BC1351" i="14" s="1"/>
  <c r="BC960" i="14"/>
  <c r="BC1353" i="14" s="1"/>
  <c r="BC950" i="14"/>
  <c r="BC728" i="14"/>
  <c r="BC719" i="14"/>
  <c r="BC722" i="14"/>
  <c r="BD3" i="14"/>
  <c r="BD1118" i="14" s="1"/>
  <c r="BC65" i="14"/>
  <c r="BC188" i="14"/>
  <c r="BC948" i="14"/>
  <c r="BC599" i="14"/>
  <c r="BC601" i="14"/>
  <c r="BC611" i="14" s="1"/>
  <c r="BC185" i="14"/>
  <c r="BC429" i="14"/>
  <c r="BC194" i="14"/>
  <c r="BD1095" i="14" l="1"/>
  <c r="BD1166" i="14"/>
  <c r="BC1341" i="14"/>
  <c r="BC1328" i="14" a="1"/>
  <c r="BC1328" i="14" s="1"/>
  <c r="BC1316" i="14" a="1"/>
  <c r="BC1316" i="14" s="1"/>
  <c r="BC709" i="14"/>
  <c r="BC1350" i="14"/>
  <c r="BD1337" i="14"/>
  <c r="BD1173" i="14"/>
  <c r="BC1140" i="14"/>
  <c r="BC1142" i="14" s="1"/>
  <c r="BC1146" i="14" s="1"/>
  <c r="BC1324" i="14" a="1"/>
  <c r="BC1324" i="14" s="1"/>
  <c r="BC1312" i="14" a="1"/>
  <c r="BC1312" i="14" s="1"/>
  <c r="BC1314" i="14" a="1"/>
  <c r="BC1314" i="14" s="1"/>
  <c r="BC1326" i="14" a="1"/>
  <c r="BC1326" i="14" s="1"/>
  <c r="BD1088" i="14"/>
  <c r="BD1080" i="14"/>
  <c r="BD1072" i="14"/>
  <c r="BD1152" i="14"/>
  <c r="BD1124" i="14"/>
  <c r="BD1145" i="14"/>
  <c r="BD952" i="14"/>
  <c r="BD959" i="14" s="1"/>
  <c r="BD729" i="14"/>
  <c r="BD743" i="14" s="1"/>
  <c r="BD602" i="14"/>
  <c r="BD724" i="14"/>
  <c r="BD737" i="14" s="1"/>
  <c r="BD603" i="14"/>
  <c r="BD4" i="14"/>
  <c r="BD63" i="14" s="1"/>
  <c r="BD195" i="14"/>
  <c r="BD209" i="14" s="1"/>
  <c r="BD190" i="14"/>
  <c r="BD203" i="14" s="1"/>
  <c r="BD723" i="14"/>
  <c r="BD736" i="14" s="1"/>
  <c r="BD432" i="14"/>
  <c r="BD439" i="14" s="1"/>
  <c r="BD196" i="14"/>
  <c r="BD210" i="14" s="1"/>
  <c r="BD67" i="14"/>
  <c r="BD74" i="14" s="1"/>
  <c r="BD730" i="14"/>
  <c r="BD744" i="14" s="1"/>
  <c r="BD66" i="14"/>
  <c r="BD73" i="14" s="1"/>
  <c r="BD189" i="14"/>
  <c r="BD202" i="14" s="1"/>
  <c r="BD951" i="14"/>
  <c r="BD958" i="14" s="1"/>
  <c r="BD1109" i="14"/>
  <c r="BD433" i="14"/>
  <c r="BD440" i="14" s="1"/>
  <c r="BD441" i="14" s="1"/>
  <c r="BD211" i="14" l="1"/>
  <c r="BD1340" i="14" s="1"/>
  <c r="BD204" i="14"/>
  <c r="BD1339" i="14" s="1"/>
  <c r="BD75" i="14"/>
  <c r="BC1141" i="14"/>
  <c r="BC1143" i="14"/>
  <c r="BD1131" i="14"/>
  <c r="BD1130" i="14"/>
  <c r="BD1140" i="14" s="1"/>
  <c r="BD1142" i="14" s="1"/>
  <c r="BD599" i="14"/>
  <c r="BD601" i="14"/>
  <c r="BD611" i="14" s="1"/>
  <c r="BD960" i="14"/>
  <c r="BD1353" i="14" s="1"/>
  <c r="BD738" i="14"/>
  <c r="BD1351" i="14" s="1"/>
  <c r="BD719" i="14"/>
  <c r="BD1133" i="14"/>
  <c r="BD1135" i="14" s="1"/>
  <c r="BD429" i="14"/>
  <c r="BD948" i="14"/>
  <c r="BD194" i="14"/>
  <c r="BD745" i="14"/>
  <c r="BD1352" i="14" s="1"/>
  <c r="BE3" i="14"/>
  <c r="BE1118" i="14" s="1"/>
  <c r="BD185" i="14"/>
  <c r="BD65" i="14"/>
  <c r="BD950" i="14"/>
  <c r="BD431" i="14"/>
  <c r="BD188" i="14"/>
  <c r="BD722" i="14"/>
  <c r="BD728" i="14"/>
  <c r="BE1095" i="14" l="1"/>
  <c r="BE1166" i="14"/>
  <c r="BD1341" i="14"/>
  <c r="BD1316" i="14" a="1"/>
  <c r="BD1316" i="14" s="1"/>
  <c r="BD1328" i="14" a="1"/>
  <c r="BD1328" i="14" s="1"/>
  <c r="BD709" i="14"/>
  <c r="BD1350" i="14"/>
  <c r="BE1337" i="14"/>
  <c r="BE1173" i="14"/>
  <c r="BC1147" i="14"/>
  <c r="BC1148" i="14" s="1"/>
  <c r="BC1151" i="14"/>
  <c r="BC1153" i="14" s="1"/>
  <c r="BD1324" i="14" a="1"/>
  <c r="BD1324" i="14" s="1"/>
  <c r="BD1312" i="14" a="1"/>
  <c r="BD1312" i="14" s="1"/>
  <c r="BD1314" i="14" a="1"/>
  <c r="BD1314" i="14" s="1"/>
  <c r="BD1326" i="14" a="1"/>
  <c r="BD1326" i="14" s="1"/>
  <c r="BE1088" i="14"/>
  <c r="BE1080" i="14"/>
  <c r="BE1072" i="14"/>
  <c r="BE1152" i="14"/>
  <c r="BE1124" i="14"/>
  <c r="BE1145" i="14"/>
  <c r="BE189" i="14"/>
  <c r="BE202" i="14" s="1"/>
  <c r="BE66" i="14"/>
  <c r="BE73" i="14" s="1"/>
  <c r="BE433" i="14"/>
  <c r="BE440" i="14" s="1"/>
  <c r="BE441" i="14" s="1"/>
  <c r="BD1146" i="14"/>
  <c r="BD1141" i="14"/>
  <c r="BD1143" i="14"/>
  <c r="BE723" i="14"/>
  <c r="BE736" i="14" s="1"/>
  <c r="BE724" i="14"/>
  <c r="BE737" i="14" s="1"/>
  <c r="BE729" i="14"/>
  <c r="BE743" i="14" s="1"/>
  <c r="BE730" i="14"/>
  <c r="BE744" i="14" s="1"/>
  <c r="BE603" i="14"/>
  <c r="BE432" i="14"/>
  <c r="BE439" i="14" s="1"/>
  <c r="BE952" i="14"/>
  <c r="BE959" i="14" s="1"/>
  <c r="BE602" i="14"/>
  <c r="BE4" i="14"/>
  <c r="BE63" i="14" s="1"/>
  <c r="BE196" i="14"/>
  <c r="BE210" i="14" s="1"/>
  <c r="BE951" i="14"/>
  <c r="BE958" i="14" s="1"/>
  <c r="BE67" i="14"/>
  <c r="BE74" i="14" s="1"/>
  <c r="BE1109" i="14"/>
  <c r="BE195" i="14"/>
  <c r="BE209" i="14" s="1"/>
  <c r="BE190" i="14"/>
  <c r="BE203" i="14" s="1"/>
  <c r="BE211" i="14" l="1"/>
  <c r="BE1340" i="14" s="1"/>
  <c r="BE204" i="14"/>
  <c r="BE1339" i="14" s="1"/>
  <c r="BE75" i="14"/>
  <c r="BD1147" i="14"/>
  <c r="BD1148" i="14" s="1"/>
  <c r="BD1151" i="14"/>
  <c r="BD1153" i="14" s="1"/>
  <c r="BC1154" i="14"/>
  <c r="BE1131" i="14"/>
  <c r="BE1130" i="14"/>
  <c r="BE1140" i="14" s="1"/>
  <c r="BE1142" i="14" s="1"/>
  <c r="BE738" i="14"/>
  <c r="BE1351" i="14" s="1"/>
  <c r="BE745" i="14"/>
  <c r="BE1352" i="14" s="1"/>
  <c r="BE960" i="14"/>
  <c r="BE1353" i="14" s="1"/>
  <c r="BE722" i="14"/>
  <c r="BF3" i="14"/>
  <c r="BF1118" i="14" s="1"/>
  <c r="BE719" i="14"/>
  <c r="BE601" i="14"/>
  <c r="BE611" i="14" s="1"/>
  <c r="BE599" i="14"/>
  <c r="BE65" i="14"/>
  <c r="BE429" i="14"/>
  <c r="BE194" i="14"/>
  <c r="BE948" i="14"/>
  <c r="BE728" i="14"/>
  <c r="BE185" i="14"/>
  <c r="BE188" i="14"/>
  <c r="BE431" i="14"/>
  <c r="BE950" i="14"/>
  <c r="BF1095" i="14" l="1"/>
  <c r="BF1166" i="14"/>
  <c r="BE1341" i="14"/>
  <c r="BE1328" i="14" a="1"/>
  <c r="BE1328" i="14" s="1"/>
  <c r="BE1316" i="14" a="1"/>
  <c r="BE1316" i="14" s="1"/>
  <c r="BE709" i="14"/>
  <c r="BE1350" i="14"/>
  <c r="BF1337" i="14"/>
  <c r="BF1173" i="14"/>
  <c r="BD1154" i="14"/>
  <c r="BE1314" i="14" a="1"/>
  <c r="BE1314" i="14" s="1"/>
  <c r="BE1326" i="14" a="1"/>
  <c r="BE1326" i="14" s="1"/>
  <c r="BE1324" i="14" a="1"/>
  <c r="BE1324" i="14" s="1"/>
  <c r="BE1312" i="14" a="1"/>
  <c r="BE1312" i="14" s="1"/>
  <c r="BE1133" i="14"/>
  <c r="BE1135" i="14" s="1"/>
  <c r="BF1088" i="14"/>
  <c r="BF1080" i="14"/>
  <c r="BF1072" i="14"/>
  <c r="BF1152" i="14"/>
  <c r="BF1131" i="14"/>
  <c r="BF1145" i="14"/>
  <c r="BE1146" i="14"/>
  <c r="BE1141" i="14"/>
  <c r="BE1143" i="14"/>
  <c r="BF4" i="14"/>
  <c r="BF63" i="14" s="1"/>
  <c r="BF66" i="14"/>
  <c r="BF73" i="14" s="1"/>
  <c r="BF189" i="14"/>
  <c r="BF202" i="14" s="1"/>
  <c r="BF952" i="14"/>
  <c r="BF959" i="14" s="1"/>
  <c r="BF723" i="14"/>
  <c r="BF736" i="14" s="1"/>
  <c r="BF724" i="14"/>
  <c r="BF737" i="14" s="1"/>
  <c r="BF730" i="14"/>
  <c r="BF744" i="14" s="1"/>
  <c r="BF729" i="14"/>
  <c r="BF743" i="14" s="1"/>
  <c r="BF603" i="14"/>
  <c r="BF602" i="14"/>
  <c r="BF432" i="14"/>
  <c r="BF439" i="14" s="1"/>
  <c r="BF951" i="14"/>
  <c r="BF958" i="14" s="1"/>
  <c r="BF195" i="14"/>
  <c r="BF209" i="14" s="1"/>
  <c r="BF1109" i="14"/>
  <c r="BF196" i="14"/>
  <c r="BF210" i="14" s="1"/>
  <c r="BF67" i="14"/>
  <c r="BF74" i="14" s="1"/>
  <c r="BF190" i="14"/>
  <c r="BF203" i="14" s="1"/>
  <c r="BF433" i="14"/>
  <c r="BF440" i="14" s="1"/>
  <c r="BF441" i="14" s="1"/>
  <c r="BF204" i="14" l="1"/>
  <c r="BF1339" i="14" s="1"/>
  <c r="BF211" i="14"/>
  <c r="BF1340" i="14" s="1"/>
  <c r="BF75" i="14"/>
  <c r="BE1147" i="14"/>
  <c r="BE1148" i="14" s="1"/>
  <c r="BE1151" i="14"/>
  <c r="BE1153" i="14" s="1"/>
  <c r="BF1130" i="14"/>
  <c r="BF1133" i="14" s="1"/>
  <c r="BF1135" i="14" s="1"/>
  <c r="BF1124" i="14"/>
  <c r="BF599" i="14"/>
  <c r="BF738" i="14"/>
  <c r="BF1351" i="14" s="1"/>
  <c r="BF745" i="14"/>
  <c r="BF1352" i="14" s="1"/>
  <c r="BG3" i="14"/>
  <c r="BG1118" i="14" s="1"/>
  <c r="BF601" i="14"/>
  <c r="BF611" i="14" s="1"/>
  <c r="BF185" i="14"/>
  <c r="BF188" i="14"/>
  <c r="BF65" i="14"/>
  <c r="BF429" i="14"/>
  <c r="BF194" i="14"/>
  <c r="BF431" i="14"/>
  <c r="BF948" i="14"/>
  <c r="BF950" i="14"/>
  <c r="BF728" i="14"/>
  <c r="BF722" i="14"/>
  <c r="BF719" i="14"/>
  <c r="BF960" i="14"/>
  <c r="BF1353" i="14" s="1"/>
  <c r="BG1095" i="14" l="1"/>
  <c r="BG1166" i="14"/>
  <c r="BF1341" i="14"/>
  <c r="BF1328" i="14" a="1"/>
  <c r="BF1328" i="14" s="1"/>
  <c r="BF1316" i="14" a="1"/>
  <c r="BF1316" i="14" s="1"/>
  <c r="BF709" i="14"/>
  <c r="BF1350" i="14"/>
  <c r="BG1337" i="14"/>
  <c r="BG1173" i="14"/>
  <c r="BE1154" i="14"/>
  <c r="BF1140" i="14"/>
  <c r="BF1142" i="14" s="1"/>
  <c r="BF1146" i="14" s="1"/>
  <c r="BG1124" i="14"/>
  <c r="BF1314" i="14" a="1"/>
  <c r="BF1314" i="14" s="1"/>
  <c r="BF1326" i="14" a="1"/>
  <c r="BF1326" i="14" s="1"/>
  <c r="BF1312" i="14" a="1"/>
  <c r="BF1312" i="14" s="1"/>
  <c r="BF1324" i="14" a="1"/>
  <c r="BF1324" i="14" s="1"/>
  <c r="BG951" i="14"/>
  <c r="BG958" i="14" s="1"/>
  <c r="BG432" i="14"/>
  <c r="BG439" i="14" s="1"/>
  <c r="BG1145" i="14"/>
  <c r="BG1109" i="14"/>
  <c r="BG1088" i="14"/>
  <c r="BG1080" i="14"/>
  <c r="BG1072" i="14"/>
  <c r="BG723" i="14"/>
  <c r="BG736" i="14" s="1"/>
  <c r="BG1152" i="14"/>
  <c r="BG4" i="14"/>
  <c r="BG63" i="14" s="1"/>
  <c r="BG196" i="14"/>
  <c r="BG210" i="14" s="1"/>
  <c r="BG195" i="14"/>
  <c r="BG209" i="14" s="1"/>
  <c r="BG66" i="14"/>
  <c r="BG73" i="14" s="1"/>
  <c r="BG67" i="14"/>
  <c r="BG74" i="14" s="1"/>
  <c r="BG952" i="14"/>
  <c r="BG959" i="14" s="1"/>
  <c r="BG189" i="14"/>
  <c r="BG202" i="14" s="1"/>
  <c r="BG190" i="14"/>
  <c r="BG203" i="14" s="1"/>
  <c r="BG433" i="14"/>
  <c r="BG440" i="14" s="1"/>
  <c r="BG441" i="14" s="1"/>
  <c r="BG603" i="14"/>
  <c r="BG730" i="14"/>
  <c r="BG744" i="14" s="1"/>
  <c r="BG602" i="14"/>
  <c r="BG724" i="14"/>
  <c r="BG737" i="14" s="1"/>
  <c r="BG729" i="14"/>
  <c r="BG743" i="14" s="1"/>
  <c r="BG204" i="14" l="1"/>
  <c r="BG1339" i="14" s="1"/>
  <c r="BG211" i="14"/>
  <c r="BG1340" i="14" s="1"/>
  <c r="BG75" i="14"/>
  <c r="BF1141" i="14"/>
  <c r="BF1143" i="14"/>
  <c r="BF1151" i="14" s="1"/>
  <c r="BF1153" i="14" s="1"/>
  <c r="BG1131" i="14"/>
  <c r="BG1130" i="14"/>
  <c r="BG1140" i="14" s="1"/>
  <c r="BG1142" i="14" s="1"/>
  <c r="BG1146" i="14" s="1"/>
  <c r="BF1147" i="14"/>
  <c r="BF1148" i="14" s="1"/>
  <c r="BG960" i="14"/>
  <c r="BG1353" i="14" s="1"/>
  <c r="BG1133" i="14"/>
  <c r="BG1135" i="14" s="1"/>
  <c r="BG738" i="14"/>
  <c r="BG1351" i="14" s="1"/>
  <c r="BG601" i="14"/>
  <c r="BG611" i="14" s="1"/>
  <c r="BG719" i="14"/>
  <c r="BG599" i="14"/>
  <c r="BG429" i="14"/>
  <c r="BG722" i="14"/>
  <c r="BG728" i="14"/>
  <c r="BH3" i="14"/>
  <c r="BH1118" i="14" s="1"/>
  <c r="BG185" i="14"/>
  <c r="BG65" i="14"/>
  <c r="BG188" i="14"/>
  <c r="BG948" i="14"/>
  <c r="BG194" i="14"/>
  <c r="BG431" i="14"/>
  <c r="BG950" i="14"/>
  <c r="BG745" i="14"/>
  <c r="BG1352" i="14" s="1"/>
  <c r="BG1141" i="14" l="1"/>
  <c r="BG1143" i="14"/>
  <c r="BH1095" i="14"/>
  <c r="BH1166" i="14"/>
  <c r="BG1341" i="14"/>
  <c r="BG1328" i="14" a="1"/>
  <c r="BG1328" i="14" s="1"/>
  <c r="BG1316" i="14" a="1"/>
  <c r="BG1316" i="14" s="1"/>
  <c r="BG709" i="14"/>
  <c r="BG1350" i="14"/>
  <c r="BH1337" i="14"/>
  <c r="BH1173" i="14"/>
  <c r="BG1147" i="14"/>
  <c r="BG1148" i="14" s="1"/>
  <c r="BG1151" i="14"/>
  <c r="BG1153" i="14" s="1"/>
  <c r="BF1154" i="14"/>
  <c r="BH1145" i="14"/>
  <c r="BG1312" i="14" a="1"/>
  <c r="BG1312" i="14" s="1"/>
  <c r="BG1324" i="14" a="1"/>
  <c r="BG1324" i="14" s="1"/>
  <c r="BG1314" i="14" a="1"/>
  <c r="BG1314" i="14" s="1"/>
  <c r="BG1326" i="14" a="1"/>
  <c r="BG1326" i="14" s="1"/>
  <c r="BH729" i="14"/>
  <c r="BH743" i="14" s="1"/>
  <c r="BH602" i="14"/>
  <c r="BH603" i="14"/>
  <c r="BH432" i="14"/>
  <c r="BH439" i="14" s="1"/>
  <c r="BH730" i="14"/>
  <c r="BH744" i="14" s="1"/>
  <c r="BH1152" i="14"/>
  <c r="BH951" i="14"/>
  <c r="BH958" i="14" s="1"/>
  <c r="BH1109" i="14"/>
  <c r="BH724" i="14"/>
  <c r="BH737" i="14" s="1"/>
  <c r="BH723" i="14"/>
  <c r="BH736" i="14" s="1"/>
  <c r="BH4" i="14"/>
  <c r="BH63" i="14" s="1"/>
  <c r="BH196" i="14"/>
  <c r="BH210" i="14" s="1"/>
  <c r="BH195" i="14"/>
  <c r="BH209" i="14" s="1"/>
  <c r="BH66" i="14"/>
  <c r="BH73" i="14" s="1"/>
  <c r="BH67" i="14"/>
  <c r="BH74" i="14" s="1"/>
  <c r="BH189" i="14"/>
  <c r="BH202" i="14" s="1"/>
  <c r="BH1088" i="14"/>
  <c r="BH1080" i="14"/>
  <c r="BH1072" i="14"/>
  <c r="BH190" i="14"/>
  <c r="BH203" i="14" s="1"/>
  <c r="BH1124" i="14"/>
  <c r="BH433" i="14"/>
  <c r="BH440" i="14" s="1"/>
  <c r="BH441" i="14" s="1"/>
  <c r="BH952" i="14"/>
  <c r="BH959" i="14" s="1"/>
  <c r="BH204" i="14" l="1"/>
  <c r="BH1339" i="14" s="1"/>
  <c r="BH211" i="14"/>
  <c r="BH1340" i="14" s="1"/>
  <c r="BH75" i="14"/>
  <c r="BG1154" i="14"/>
  <c r="BH745" i="14"/>
  <c r="BH1352" i="14" s="1"/>
  <c r="BH960" i="14"/>
  <c r="BH1353" i="14" s="1"/>
  <c r="BH185" i="14"/>
  <c r="BH188" i="14"/>
  <c r="BH429" i="14"/>
  <c r="BH194" i="14"/>
  <c r="BH431" i="14"/>
  <c r="BH948" i="14"/>
  <c r="BH950" i="14"/>
  <c r="BH722" i="14"/>
  <c r="BH728" i="14"/>
  <c r="BH719" i="14"/>
  <c r="BH601" i="14"/>
  <c r="BH611" i="14" s="1"/>
  <c r="BH738" i="14"/>
  <c r="BH1351" i="14" s="1"/>
  <c r="BH1130" i="14"/>
  <c r="BH1140" i="14" s="1"/>
  <c r="BH599" i="14"/>
  <c r="BI3" i="14"/>
  <c r="BI1118" i="14" s="1"/>
  <c r="BH65" i="14"/>
  <c r="BH1131" i="14"/>
  <c r="BI1095" i="14" l="1"/>
  <c r="BI1166" i="14"/>
  <c r="BH1341" i="14"/>
  <c r="BH1316" i="14" a="1"/>
  <c r="BH1316" i="14" s="1"/>
  <c r="BH1328" i="14" a="1"/>
  <c r="BH1328" i="14" s="1"/>
  <c r="BH709" i="14"/>
  <c r="BH1350" i="14"/>
  <c r="BI1337" i="14"/>
  <c r="BI1173" i="14"/>
  <c r="BH1142" i="14"/>
  <c r="BH1146" i="14" s="1"/>
  <c r="BI190" i="14"/>
  <c r="BI203" i="14" s="1"/>
  <c r="BH1314" i="14" a="1"/>
  <c r="BH1314" i="14" s="1"/>
  <c r="BH1326" i="14" a="1"/>
  <c r="BH1326" i="14" s="1"/>
  <c r="BH1312" i="14" a="1"/>
  <c r="BH1312" i="14" s="1"/>
  <c r="BH1324" i="14" a="1"/>
  <c r="BH1324" i="14" s="1"/>
  <c r="BH1143" i="14"/>
  <c r="BH1141" i="14"/>
  <c r="BI1088" i="14"/>
  <c r="BI1072" i="14"/>
  <c r="BI1080" i="14"/>
  <c r="BH1133" i="14"/>
  <c r="BH1135" i="14" s="1"/>
  <c r="BI189" i="14"/>
  <c r="BI202" i="14" s="1"/>
  <c r="BI4" i="14"/>
  <c r="BI63" i="14" s="1"/>
  <c r="BI433" i="14"/>
  <c r="BI440" i="14" s="1"/>
  <c r="BI441" i="14" s="1"/>
  <c r="BI1152" i="14"/>
  <c r="BI723" i="14"/>
  <c r="BI736" i="14" s="1"/>
  <c r="BI730" i="14"/>
  <c r="BI744" i="14" s="1"/>
  <c r="BI952" i="14"/>
  <c r="BI959" i="14" s="1"/>
  <c r="BI724" i="14"/>
  <c r="BI737" i="14" s="1"/>
  <c r="BI729" i="14"/>
  <c r="BI743" i="14" s="1"/>
  <c r="BI602" i="14"/>
  <c r="BI603" i="14"/>
  <c r="BI432" i="14"/>
  <c r="BI439" i="14" s="1"/>
  <c r="BI951" i="14"/>
  <c r="BI958" i="14" s="1"/>
  <c r="BI1109" i="14"/>
  <c r="BI67" i="14"/>
  <c r="BI74" i="14" s="1"/>
  <c r="BI196" i="14"/>
  <c r="BI210" i="14" s="1"/>
  <c r="BI195" i="14"/>
  <c r="BI209" i="14" s="1"/>
  <c r="BI66" i="14"/>
  <c r="BI73" i="14" s="1"/>
  <c r="BI1145" i="14"/>
  <c r="BI1124" i="14"/>
  <c r="BI211" i="14" l="1"/>
  <c r="BI1340" i="14" s="1"/>
  <c r="BI204" i="14"/>
  <c r="BI1339" i="14" s="1"/>
  <c r="BI75" i="14"/>
  <c r="BH1151" i="14"/>
  <c r="BH1153" i="14" s="1"/>
  <c r="BH1147" i="14"/>
  <c r="BH1148" i="14" s="1"/>
  <c r="BI738" i="14"/>
  <c r="BI1351" i="14" s="1"/>
  <c r="BI1312" i="14" a="1"/>
  <c r="BI1312" i="14" s="1"/>
  <c r="BI1324" i="14" a="1"/>
  <c r="BI1324" i="14" s="1"/>
  <c r="BI601" i="14"/>
  <c r="BI611" i="14" s="1"/>
  <c r="BI599" i="14"/>
  <c r="BI722" i="14"/>
  <c r="BI745" i="14"/>
  <c r="BI1352" i="14" s="1"/>
  <c r="BI728" i="14"/>
  <c r="BI950" i="14"/>
  <c r="BI719" i="14"/>
  <c r="BJ3" i="14"/>
  <c r="BJ1118" i="14" s="1"/>
  <c r="BI185" i="14"/>
  <c r="BI65" i="14"/>
  <c r="BI948" i="14"/>
  <c r="BI188" i="14"/>
  <c r="BI429" i="14"/>
  <c r="BI194" i="14"/>
  <c r="BI431" i="14"/>
  <c r="BI1130" i="14"/>
  <c r="BI1131" i="14"/>
  <c r="BI960" i="14"/>
  <c r="BI1353" i="14" s="1"/>
  <c r="BJ1095" i="14" l="1"/>
  <c r="BJ1166" i="14"/>
  <c r="BI1341" i="14"/>
  <c r="BI1316" i="14" a="1"/>
  <c r="BI1316" i="14" s="1"/>
  <c r="BI1328" i="14" a="1"/>
  <c r="BI1328" i="14" s="1"/>
  <c r="BI709" i="14"/>
  <c r="BI1350" i="14"/>
  <c r="BJ1337" i="14"/>
  <c r="BJ1173" i="14"/>
  <c r="BH1154" i="14"/>
  <c r="BJ1152" i="14"/>
  <c r="BI1326" i="14" a="1"/>
  <c r="BI1326" i="14" s="1"/>
  <c r="BI1314" i="14" a="1"/>
  <c r="BI1314" i="14" s="1"/>
  <c r="BJ189" i="14"/>
  <c r="BJ202" i="14" s="1"/>
  <c r="BJ952" i="14"/>
  <c r="BJ959" i="14" s="1"/>
  <c r="BJ66" i="14"/>
  <c r="BJ724" i="14"/>
  <c r="BJ737" i="14" s="1"/>
  <c r="BJ723" i="14"/>
  <c r="BJ736" i="14" s="1"/>
  <c r="BJ730" i="14"/>
  <c r="BJ744" i="14" s="1"/>
  <c r="BJ1080" i="14"/>
  <c r="BJ729" i="14"/>
  <c r="BJ743" i="14" s="1"/>
  <c r="BJ602" i="14"/>
  <c r="BJ603" i="14"/>
  <c r="BJ432" i="14"/>
  <c r="BJ439" i="14" s="1"/>
  <c r="BJ951" i="14"/>
  <c r="BJ958" i="14" s="1"/>
  <c r="BJ1088" i="14"/>
  <c r="BJ196" i="14"/>
  <c r="BJ210" i="14" s="1"/>
  <c r="BJ1109" i="14"/>
  <c r="BJ4" i="14"/>
  <c r="BJ63" i="14" s="1"/>
  <c r="BJ1145" i="14"/>
  <c r="BJ1131" i="14"/>
  <c r="BJ195" i="14"/>
  <c r="BJ209" i="14" s="1"/>
  <c r="BJ1072" i="14"/>
  <c r="BJ67" i="14"/>
  <c r="BJ74" i="14" s="1"/>
  <c r="BJ190" i="14"/>
  <c r="BJ203" i="14" s="1"/>
  <c r="BJ433" i="14"/>
  <c r="BJ440" i="14" s="1"/>
  <c r="BJ441" i="14" s="1"/>
  <c r="BI1140" i="14"/>
  <c r="BI1142" i="14" s="1"/>
  <c r="BI1133" i="14"/>
  <c r="BI1135" i="14" s="1"/>
  <c r="BJ211" i="14" l="1"/>
  <c r="BJ1340" i="14" s="1"/>
  <c r="BJ204" i="14"/>
  <c r="BJ1339" i="14" s="1"/>
  <c r="BJ73" i="14"/>
  <c r="BJ75" i="14" s="1"/>
  <c r="BJ738" i="14"/>
  <c r="BJ1351" i="14" s="1"/>
  <c r="BJ1312" i="14" a="1"/>
  <c r="BJ1312" i="14" s="1"/>
  <c r="BJ1324" i="14" a="1"/>
  <c r="BJ1324" i="14" s="1"/>
  <c r="BJ745" i="14"/>
  <c r="BJ1352" i="14" s="1"/>
  <c r="BJ950" i="14"/>
  <c r="BJ728" i="14"/>
  <c r="BJ948" i="14"/>
  <c r="BJ722" i="14"/>
  <c r="BJ960" i="14"/>
  <c r="BJ1353" i="14" s="1"/>
  <c r="BJ719" i="14"/>
  <c r="BJ431" i="14"/>
  <c r="BJ185" i="14"/>
  <c r="BJ601" i="14"/>
  <c r="BJ611" i="14" s="1"/>
  <c r="BJ599" i="14"/>
  <c r="BJ1130" i="14"/>
  <c r="BJ1140" i="14" s="1"/>
  <c r="BK3" i="14"/>
  <c r="BK1118" i="14" s="1"/>
  <c r="BJ188" i="14"/>
  <c r="BJ429" i="14"/>
  <c r="BJ1124" i="14"/>
  <c r="BJ65" i="14"/>
  <c r="BJ194" i="14"/>
  <c r="BI1146" i="14"/>
  <c r="BI1143" i="14"/>
  <c r="BI1141" i="14"/>
  <c r="BK1095" i="14" l="1"/>
  <c r="BK1166" i="14"/>
  <c r="BJ1341" i="14"/>
  <c r="BJ1328" i="14" a="1"/>
  <c r="BJ1328" i="14" s="1"/>
  <c r="BJ1316" i="14" a="1"/>
  <c r="BJ1316" i="14" s="1"/>
  <c r="BJ709" i="14"/>
  <c r="BJ1350" i="14"/>
  <c r="BK1337" i="14"/>
  <c r="BK1173" i="14"/>
  <c r="BJ1143" i="14"/>
  <c r="BJ1151" i="14" s="1"/>
  <c r="BJ1153" i="14" s="1"/>
  <c r="BJ1142" i="14"/>
  <c r="BJ1146" i="14" s="1"/>
  <c r="BI1151" i="14"/>
  <c r="BI1153" i="14" s="1"/>
  <c r="BI1147" i="14"/>
  <c r="BI1148" i="14" s="1"/>
  <c r="BK1088" i="14"/>
  <c r="BJ1326" i="14" a="1"/>
  <c r="BJ1326" i="14" s="1"/>
  <c r="BJ1314" i="14" a="1"/>
  <c r="BJ1314" i="14" s="1"/>
  <c r="BK190" i="14"/>
  <c r="BK203" i="14" s="1"/>
  <c r="BK432" i="14"/>
  <c r="BK439" i="14" s="1"/>
  <c r="BK67" i="14"/>
  <c r="BK74" i="14" s="1"/>
  <c r="BJ1133" i="14"/>
  <c r="BJ1135" i="14" s="1"/>
  <c r="BK602" i="14"/>
  <c r="BK603" i="14"/>
  <c r="BK1124" i="14"/>
  <c r="BK1145" i="14"/>
  <c r="BK4" i="14"/>
  <c r="BK63" i="14" s="1"/>
  <c r="BK951" i="14"/>
  <c r="BK958" i="14" s="1"/>
  <c r="BK1109" i="14"/>
  <c r="BK196" i="14"/>
  <c r="BK210" i="14" s="1"/>
  <c r="BJ1141" i="14"/>
  <c r="BK189" i="14"/>
  <c r="BK202" i="14" s="1"/>
  <c r="BK195" i="14"/>
  <c r="BK209" i="14" s="1"/>
  <c r="BK66" i="14"/>
  <c r="BK73" i="14" s="1"/>
  <c r="BK433" i="14"/>
  <c r="BK440" i="14" s="1"/>
  <c r="BK441" i="14" s="1"/>
  <c r="BK723" i="14"/>
  <c r="BK736" i="14" s="1"/>
  <c r="BK1080" i="14"/>
  <c r="BK952" i="14"/>
  <c r="BK959" i="14" s="1"/>
  <c r="BK1152" i="14"/>
  <c r="BK729" i="14"/>
  <c r="BK743" i="14" s="1"/>
  <c r="BK724" i="14"/>
  <c r="BK737" i="14" s="1"/>
  <c r="BK1072" i="14"/>
  <c r="BK730" i="14"/>
  <c r="BK744" i="14" s="1"/>
  <c r="BJ1147" i="14" l="1"/>
  <c r="BJ1148" i="14" s="1"/>
  <c r="BJ1154" i="14" s="1"/>
  <c r="BK204" i="14"/>
  <c r="BK1339" i="14" s="1"/>
  <c r="BK211" i="14"/>
  <c r="BK1340" i="14" s="1"/>
  <c r="BK75" i="14"/>
  <c r="BK745" i="14"/>
  <c r="BK1352" i="14" s="1"/>
  <c r="BK948" i="14"/>
  <c r="BK188" i="14"/>
  <c r="BK65" i="14"/>
  <c r="BK429" i="14"/>
  <c r="BK194" i="14"/>
  <c r="BK431" i="14"/>
  <c r="BK719" i="14"/>
  <c r="BK950" i="14"/>
  <c r="BK722" i="14"/>
  <c r="BK599" i="14"/>
  <c r="BK1131" i="14"/>
  <c r="BL3" i="14"/>
  <c r="BL1118" i="14" s="1"/>
  <c r="BK1130" i="14"/>
  <c r="BK1140" i="14" s="1"/>
  <c r="BK185" i="14"/>
  <c r="BK738" i="14"/>
  <c r="BK1351" i="14" s="1"/>
  <c r="BK728" i="14"/>
  <c r="BK960" i="14"/>
  <c r="BK1353" i="14" s="1"/>
  <c r="BK601" i="14"/>
  <c r="BK611" i="14" s="1"/>
  <c r="BI1154" i="14"/>
  <c r="BL1095" i="14" l="1"/>
  <c r="BL1166" i="14"/>
  <c r="BK1341" i="14"/>
  <c r="BK1316" i="14" a="1"/>
  <c r="BK1316" i="14" s="1"/>
  <c r="BK1328" i="14" a="1"/>
  <c r="BK1328" i="14" s="1"/>
  <c r="BK709" i="14"/>
  <c r="BK1350" i="14"/>
  <c r="BL1337" i="14"/>
  <c r="BL1173" i="14"/>
  <c r="BK1142" i="14"/>
  <c r="BK1146" i="14" s="1"/>
  <c r="BL1088" i="14"/>
  <c r="BK1312" i="14" a="1"/>
  <c r="BK1312" i="14" s="1"/>
  <c r="BK1324" i="14" a="1"/>
  <c r="BK1324" i="14" s="1"/>
  <c r="BK1326" i="14" a="1"/>
  <c r="BK1326" i="14" s="1"/>
  <c r="BK1314" i="14" a="1"/>
  <c r="BK1314" i="14" s="1"/>
  <c r="BL724" i="14"/>
  <c r="BL737" i="14" s="1"/>
  <c r="BL730" i="14"/>
  <c r="BL744" i="14" s="1"/>
  <c r="BL432" i="14"/>
  <c r="BL439" i="14" s="1"/>
  <c r="BK1141" i="14"/>
  <c r="BK1143" i="14"/>
  <c r="BL66" i="14"/>
  <c r="BL73" i="14" s="1"/>
  <c r="BL602" i="14"/>
  <c r="BL196" i="14"/>
  <c r="BL210" i="14" s="1"/>
  <c r="BL603" i="14"/>
  <c r="BL951" i="14"/>
  <c r="BL958" i="14" s="1"/>
  <c r="BL1109" i="14"/>
  <c r="BL1145" i="14"/>
  <c r="BK1133" i="14"/>
  <c r="BK1135" i="14" s="1"/>
  <c r="BL4" i="14"/>
  <c r="BL63" i="14" s="1"/>
  <c r="BL195" i="14"/>
  <c r="BL209" i="14" s="1"/>
  <c r="BL1130" i="14"/>
  <c r="BL1140" i="14" s="1"/>
  <c r="BL1142" i="14" s="1"/>
  <c r="BL190" i="14"/>
  <c r="BL203" i="14" s="1"/>
  <c r="BL189" i="14"/>
  <c r="BL202" i="14" s="1"/>
  <c r="BL1152" i="14"/>
  <c r="BL952" i="14"/>
  <c r="BL959" i="14" s="1"/>
  <c r="BL1072" i="14"/>
  <c r="BL67" i="14"/>
  <c r="BL74" i="14" s="1"/>
  <c r="BL729" i="14"/>
  <c r="BL743" i="14" s="1"/>
  <c r="BL1080" i="14"/>
  <c r="BL433" i="14"/>
  <c r="BL440" i="14" s="1"/>
  <c r="BL441" i="14" s="1"/>
  <c r="BL723" i="14"/>
  <c r="BL736" i="14" s="1"/>
  <c r="BL211" i="14" l="1"/>
  <c r="BL1340" i="14" s="1"/>
  <c r="BL204" i="14"/>
  <c r="BL1339" i="14" s="1"/>
  <c r="BL75" i="14"/>
  <c r="BK1151" i="14"/>
  <c r="BK1153" i="14" s="1"/>
  <c r="BK1147" i="14"/>
  <c r="BK1148" i="14" s="1"/>
  <c r="BL738" i="14"/>
  <c r="BL1351" i="14" s="1"/>
  <c r="BL745" i="14"/>
  <c r="BL1352" i="14" s="1"/>
  <c r="BL429" i="14"/>
  <c r="BL1146" i="14"/>
  <c r="BL188" i="14"/>
  <c r="BL65" i="14"/>
  <c r="BL1141" i="14"/>
  <c r="BL431" i="14"/>
  <c r="BL948" i="14"/>
  <c r="BL728" i="14"/>
  <c r="BL722" i="14"/>
  <c r="BL601" i="14"/>
  <c r="BL611" i="14" s="1"/>
  <c r="BM3" i="14"/>
  <c r="BM1118" i="14" s="1"/>
  <c r="BL599" i="14"/>
  <c r="BL1131" i="14"/>
  <c r="BL719" i="14"/>
  <c r="BL950" i="14"/>
  <c r="BL960" i="14"/>
  <c r="BL1353" i="14" s="1"/>
  <c r="BL185" i="14"/>
  <c r="BL1133" i="14"/>
  <c r="BL1135" i="14" s="1"/>
  <c r="BL1124" i="14"/>
  <c r="BL194" i="14"/>
  <c r="BL1143" i="14"/>
  <c r="BM1095" i="14" l="1"/>
  <c r="BM1166" i="14"/>
  <c r="BK1154" i="14"/>
  <c r="BL1341" i="14"/>
  <c r="BL1316" i="14" a="1"/>
  <c r="BL1316" i="14" s="1"/>
  <c r="BL1328" i="14" a="1"/>
  <c r="BL1328" i="14" s="1"/>
  <c r="BL709" i="14"/>
  <c r="BL1350" i="14"/>
  <c r="BM1337" i="14"/>
  <c r="BM1173" i="14"/>
  <c r="BL1151" i="14"/>
  <c r="BL1153" i="14" s="1"/>
  <c r="BL1147" i="14"/>
  <c r="BL1148" i="14" s="1"/>
  <c r="BM603" i="14"/>
  <c r="BL1326" i="14" a="1"/>
  <c r="BL1326" i="14" s="1"/>
  <c r="BL1314" i="14" a="1"/>
  <c r="BL1314" i="14" s="1"/>
  <c r="BL1312" i="14" a="1"/>
  <c r="BL1312" i="14" s="1"/>
  <c r="BL1324" i="14" a="1"/>
  <c r="BL1324" i="14" s="1"/>
  <c r="BM195" i="14"/>
  <c r="BM209" i="14" s="1"/>
  <c r="BM4" i="14"/>
  <c r="BM63" i="14" s="1"/>
  <c r="BM196" i="14"/>
  <c r="BM210" i="14" s="1"/>
  <c r="BM66" i="14"/>
  <c r="BM73" i="14" s="1"/>
  <c r="BM67" i="14"/>
  <c r="BM74" i="14" s="1"/>
  <c r="BM1145" i="14"/>
  <c r="BM432" i="14"/>
  <c r="BM439" i="14" s="1"/>
  <c r="BM951" i="14"/>
  <c r="BM958" i="14" s="1"/>
  <c r="BM1109" i="14"/>
  <c r="BM1124" i="14"/>
  <c r="BM190" i="14"/>
  <c r="BM203" i="14" s="1"/>
  <c r="BM723" i="14"/>
  <c r="BM736" i="14" s="1"/>
  <c r="BM189" i="14"/>
  <c r="BM202" i="14" s="1"/>
  <c r="BM952" i="14"/>
  <c r="BM959" i="14" s="1"/>
  <c r="BM1072" i="14"/>
  <c r="BM433" i="14"/>
  <c r="BM440" i="14" s="1"/>
  <c r="BM441" i="14" s="1"/>
  <c r="BM1152" i="14"/>
  <c r="BM1088" i="14"/>
  <c r="BM602" i="14"/>
  <c r="BM729" i="14"/>
  <c r="BM743" i="14" s="1"/>
  <c r="BM730" i="14"/>
  <c r="BM744" i="14" s="1"/>
  <c r="BM1080" i="14"/>
  <c r="BM724" i="14"/>
  <c r="BM737" i="14" s="1"/>
  <c r="BM204" i="14" l="1"/>
  <c r="BM1339" i="14" s="1"/>
  <c r="BM211" i="14"/>
  <c r="BM1340" i="14" s="1"/>
  <c r="BM75" i="14"/>
  <c r="BL1154" i="14"/>
  <c r="BM599" i="14"/>
  <c r="BM601" i="14"/>
  <c r="BM611" i="14" s="1"/>
  <c r="BM1350" i="14" s="1"/>
  <c r="BM1314" i="14" a="1"/>
  <c r="BM1314" i="14" s="1"/>
  <c r="BM1326" i="14" a="1"/>
  <c r="BM1326" i="14" s="1"/>
  <c r="BM719" i="14"/>
  <c r="BM950" i="14"/>
  <c r="BM185" i="14"/>
  <c r="BN3" i="14"/>
  <c r="BN1118" i="14" s="1"/>
  <c r="BM194" i="14"/>
  <c r="BM728" i="14"/>
  <c r="BM429" i="14"/>
  <c r="BM722" i="14"/>
  <c r="BM960" i="14"/>
  <c r="BM1353" i="14" s="1"/>
  <c r="BM65" i="14"/>
  <c r="BM188" i="14"/>
  <c r="BM431" i="14"/>
  <c r="BM948" i="14"/>
  <c r="BM1130" i="14"/>
  <c r="BM738" i="14"/>
  <c r="BM1351" i="14" s="1"/>
  <c r="BM1131" i="14"/>
  <c r="BM745" i="14"/>
  <c r="BM1352" i="14" s="1"/>
  <c r="BN1095" i="14" l="1"/>
  <c r="BN1166" i="14"/>
  <c r="BM709" i="14"/>
  <c r="BM1341" i="14"/>
  <c r="BM1328" i="14" a="1"/>
  <c r="BM1328" i="14" s="1"/>
  <c r="BM1316" i="14" a="1"/>
  <c r="BM1316" i="14" s="1"/>
  <c r="BN1337" i="14"/>
  <c r="BN1173" i="14"/>
  <c r="BN1088" i="14"/>
  <c r="BM1312" i="14" a="1"/>
  <c r="BM1312" i="14" s="1"/>
  <c r="BM1324" i="14" a="1"/>
  <c r="BM1324" i="14" s="1"/>
  <c r="BN196" i="14"/>
  <c r="BN210" i="14" s="1"/>
  <c r="BN603" i="14"/>
  <c r="BN1145" i="14"/>
  <c r="BN724" i="14"/>
  <c r="BN737" i="14" s="1"/>
  <c r="BN195" i="14"/>
  <c r="BN209" i="14" s="1"/>
  <c r="BN432" i="14"/>
  <c r="BN439" i="14" s="1"/>
  <c r="BN1109" i="14"/>
  <c r="BN66" i="14"/>
  <c r="BN73" i="14" s="1"/>
  <c r="BN67" i="14"/>
  <c r="BN74" i="14" s="1"/>
  <c r="BN1152" i="14"/>
  <c r="BN730" i="14"/>
  <c r="BN744" i="14" s="1"/>
  <c r="BN4" i="14"/>
  <c r="BN63" i="14" s="1"/>
  <c r="BN951" i="14"/>
  <c r="BN958" i="14" s="1"/>
  <c r="BN1124" i="14"/>
  <c r="BN190" i="14"/>
  <c r="BN203" i="14" s="1"/>
  <c r="BN189" i="14"/>
  <c r="BN202" i="14" s="1"/>
  <c r="BN433" i="14"/>
  <c r="BN440" i="14" s="1"/>
  <c r="BN441" i="14" s="1"/>
  <c r="BN723" i="14"/>
  <c r="BN736" i="14" s="1"/>
  <c r="BN602" i="14"/>
  <c r="BN952" i="14"/>
  <c r="BN959" i="14" s="1"/>
  <c r="BN1072" i="14"/>
  <c r="BN729" i="14"/>
  <c r="BN743" i="14" s="1"/>
  <c r="BN1080" i="14"/>
  <c r="BM1140" i="14"/>
  <c r="BM1142" i="14" s="1"/>
  <c r="BM1133" i="14"/>
  <c r="BM1135" i="14" s="1"/>
  <c r="BN211" i="14" l="1"/>
  <c r="BN1340" i="14" s="1"/>
  <c r="BN204" i="14"/>
  <c r="BN1339" i="14" s="1"/>
  <c r="BN75" i="14"/>
  <c r="BN738" i="14"/>
  <c r="BN1351" i="14" s="1"/>
  <c r="BN745" i="14"/>
  <c r="BN1352" i="14" s="1"/>
  <c r="BN960" i="14"/>
  <c r="BN1353" i="14" s="1"/>
  <c r="BN1130" i="14"/>
  <c r="BN728" i="14"/>
  <c r="BN65" i="14"/>
  <c r="BN948" i="14"/>
  <c r="BN599" i="14"/>
  <c r="BN719" i="14"/>
  <c r="BN601" i="14"/>
  <c r="BN611" i="14" s="1"/>
  <c r="BN185" i="14"/>
  <c r="BN722" i="14"/>
  <c r="BN194" i="14"/>
  <c r="BN431" i="14"/>
  <c r="BN1131" i="14"/>
  <c r="BO3" i="14"/>
  <c r="BO1118" i="14" s="1"/>
  <c r="BN188" i="14"/>
  <c r="BN950" i="14"/>
  <c r="BN429" i="14"/>
  <c r="BM1146" i="14"/>
  <c r="BM1143" i="14"/>
  <c r="BM1141" i="14"/>
  <c r="BO1095" i="14" l="1"/>
  <c r="BO1166" i="14"/>
  <c r="BN1341" i="14"/>
  <c r="BN1328" i="14" a="1"/>
  <c r="BN1328" i="14" s="1"/>
  <c r="BN1316" i="14" a="1"/>
  <c r="BN1316" i="14" s="1"/>
  <c r="BN709" i="14"/>
  <c r="BN1350" i="14"/>
  <c r="BO1337" i="14"/>
  <c r="BO1173" i="14"/>
  <c r="BM1151" i="14"/>
  <c r="BM1153" i="14" s="1"/>
  <c r="BM1147" i="14"/>
  <c r="BM1148" i="14" s="1"/>
  <c r="BO432" i="14"/>
  <c r="BO439" i="14" s="1"/>
  <c r="BO1145" i="14"/>
  <c r="BO1124" i="14"/>
  <c r="BN1312" i="14" a="1"/>
  <c r="BN1312" i="14" s="1"/>
  <c r="BN1324" i="14" a="1"/>
  <c r="BN1324" i="14" s="1"/>
  <c r="BN1314" i="14" a="1"/>
  <c r="BN1314" i="14" s="1"/>
  <c r="BN1326" i="14" a="1"/>
  <c r="BN1326" i="14" s="1"/>
  <c r="BO189" i="14"/>
  <c r="BO202" i="14" s="1"/>
  <c r="BO66" i="14"/>
  <c r="BO73" i="14" s="1"/>
  <c r="BO195" i="14"/>
  <c r="BO209" i="14" s="1"/>
  <c r="BO1109" i="14"/>
  <c r="BO724" i="14"/>
  <c r="BO737" i="14" s="1"/>
  <c r="BO730" i="14"/>
  <c r="BO744" i="14" s="1"/>
  <c r="BO723" i="14"/>
  <c r="BO736" i="14" s="1"/>
  <c r="BO1152" i="14"/>
  <c r="BO952" i="14"/>
  <c r="BO959" i="14" s="1"/>
  <c r="BO729" i="14"/>
  <c r="BO743" i="14" s="1"/>
  <c r="BO1072" i="14"/>
  <c r="BO1080" i="14"/>
  <c r="BO1088" i="14"/>
  <c r="BO67" i="14"/>
  <c r="BO74" i="14" s="1"/>
  <c r="BO190" i="14"/>
  <c r="BO203" i="14" s="1"/>
  <c r="BO433" i="14"/>
  <c r="BO440" i="14" s="1"/>
  <c r="BO441" i="14" s="1"/>
  <c r="BO602" i="14"/>
  <c r="BO603" i="14"/>
  <c r="BO4" i="14"/>
  <c r="BO63" i="14" s="1"/>
  <c r="BO951" i="14"/>
  <c r="BO958" i="14" s="1"/>
  <c r="BO196" i="14"/>
  <c r="BO210" i="14" s="1"/>
  <c r="BN1140" i="14"/>
  <c r="BN1142" i="14" s="1"/>
  <c r="BN1133" i="14"/>
  <c r="BN1135" i="14" s="1"/>
  <c r="BO211" i="14" l="1"/>
  <c r="BO1340" i="14" s="1"/>
  <c r="BO204" i="14"/>
  <c r="BO1339" i="14" s="1"/>
  <c r="BO75" i="14"/>
  <c r="BO1130" i="14"/>
  <c r="BO1131" i="14"/>
  <c r="BO948" i="14"/>
  <c r="BP3" i="14"/>
  <c r="BP1118" i="14" s="1"/>
  <c r="BO185" i="14"/>
  <c r="BO194" i="14"/>
  <c r="BO65" i="14"/>
  <c r="BO188" i="14"/>
  <c r="BO429" i="14"/>
  <c r="BO431" i="14"/>
  <c r="BO950" i="14"/>
  <c r="BO960" i="14"/>
  <c r="BO1353" i="14" s="1"/>
  <c r="BO738" i="14"/>
  <c r="BO1351" i="14" s="1"/>
  <c r="BO745" i="14"/>
  <c r="BO1352" i="14" s="1"/>
  <c r="BO1314" i="14" a="1"/>
  <c r="BO1314" i="14" s="1"/>
  <c r="BO1326" i="14" a="1"/>
  <c r="BO1326" i="14" s="1"/>
  <c r="BO728" i="14"/>
  <c r="BO722" i="14"/>
  <c r="BO719" i="14"/>
  <c r="BO601" i="14"/>
  <c r="BO611" i="14" s="1"/>
  <c r="BO599" i="14"/>
  <c r="BN1146" i="14"/>
  <c r="BN1143" i="14"/>
  <c r="BN1141" i="14"/>
  <c r="BM1154" i="14"/>
  <c r="BO1324" i="14" l="1" a="1"/>
  <c r="BO1324" i="14" s="1"/>
  <c r="BO1312" i="14" a="1"/>
  <c r="BO1312" i="14" s="1"/>
  <c r="BP1095" i="14"/>
  <c r="BP1166" i="14"/>
  <c r="BP1072" i="14"/>
  <c r="BP1080" i="14"/>
  <c r="BP1088" i="14"/>
  <c r="BO1341" i="14"/>
  <c r="BO1328" i="14" a="1"/>
  <c r="BO1328" i="14" s="1"/>
  <c r="BO1316" i="14" a="1"/>
  <c r="BO1316" i="14" s="1"/>
  <c r="BO709" i="14"/>
  <c r="BO1350" i="14"/>
  <c r="BP1337" i="14"/>
  <c r="BP1173" i="14"/>
  <c r="BN1151" i="14"/>
  <c r="BN1153" i="14" s="1"/>
  <c r="BN1147" i="14"/>
  <c r="BN1148" i="14" s="1"/>
  <c r="BP196" i="14"/>
  <c r="BP210" i="14" s="1"/>
  <c r="BP195" i="14"/>
  <c r="BP209" i="14" s="1"/>
  <c r="BP190" i="14"/>
  <c r="BP203" i="14" s="1"/>
  <c r="BP189" i="14"/>
  <c r="BP202" i="14" s="1"/>
  <c r="BP952" i="14"/>
  <c r="BP959" i="14" s="1"/>
  <c r="BP723" i="14"/>
  <c r="BP736" i="14" s="1"/>
  <c r="BP433" i="14"/>
  <c r="BP440" i="14" s="1"/>
  <c r="BP441" i="14" s="1"/>
  <c r="BP730" i="14"/>
  <c r="BP744" i="14" s="1"/>
  <c r="BP724" i="14"/>
  <c r="BP737" i="14" s="1"/>
  <c r="BP602" i="14"/>
  <c r="BP1109" i="14"/>
  <c r="BP1145" i="14"/>
  <c r="BP1124" i="14"/>
  <c r="BP729" i="14"/>
  <c r="BP743" i="14" s="1"/>
  <c r="BP951" i="14"/>
  <c r="BP958" i="14" s="1"/>
  <c r="BP603" i="14"/>
  <c r="BP4" i="14"/>
  <c r="BP63" i="14" s="1"/>
  <c r="BP432" i="14"/>
  <c r="BP439" i="14" s="1"/>
  <c r="BP66" i="14"/>
  <c r="BP73" i="14" s="1"/>
  <c r="BP67" i="14"/>
  <c r="BP74" i="14" s="1"/>
  <c r="BP1152" i="14"/>
  <c r="BO1140" i="14"/>
  <c r="BO1142" i="14" s="1"/>
  <c r="BO1133" i="14"/>
  <c r="BO1135" i="14" s="1"/>
  <c r="BP211" i="14" l="1"/>
  <c r="BP1340" i="14" s="1"/>
  <c r="BP204" i="14"/>
  <c r="BP1339" i="14" s="1"/>
  <c r="BP75" i="14"/>
  <c r="BP719" i="14"/>
  <c r="BP738" i="14"/>
  <c r="BP1351" i="14" s="1"/>
  <c r="BP745" i="14"/>
  <c r="BP1352" i="14" s="1"/>
  <c r="BP950" i="14"/>
  <c r="BP728" i="14"/>
  <c r="BP722" i="14"/>
  <c r="BP948" i="14"/>
  <c r="BP601" i="14"/>
  <c r="BP611" i="14" s="1"/>
  <c r="BP960" i="14"/>
  <c r="BP1353" i="14" s="1"/>
  <c r="BP599" i="14"/>
  <c r="BP65" i="14"/>
  <c r="BP1130" i="14"/>
  <c r="BP1140" i="14" s="1"/>
  <c r="BP1141" i="14" s="1"/>
  <c r="BQ3" i="14"/>
  <c r="BQ1118" i="14" s="1"/>
  <c r="BP185" i="14"/>
  <c r="BP431" i="14"/>
  <c r="BP1131" i="14"/>
  <c r="BP188" i="14"/>
  <c r="BP429" i="14"/>
  <c r="BP194" i="14"/>
  <c r="BO1146" i="14"/>
  <c r="BO1143" i="14"/>
  <c r="BO1141" i="14"/>
  <c r="BP1314" i="14" a="1"/>
  <c r="BP1314" i="14" s="1"/>
  <c r="BP1326" i="14" a="1"/>
  <c r="BP1326" i="14" s="1"/>
  <c r="BP1312" i="14" a="1"/>
  <c r="BP1312" i="14" s="1"/>
  <c r="BP1324" i="14" a="1"/>
  <c r="BP1324" i="14" s="1"/>
  <c r="BN1154" i="14"/>
  <c r="BP1133" i="14" l="1"/>
  <c r="BP1135" i="14" s="1"/>
  <c r="BP1143" i="14"/>
  <c r="BP1147" i="14" s="1"/>
  <c r="BQ1095" i="14"/>
  <c r="BQ1166" i="14"/>
  <c r="BP1341" i="14"/>
  <c r="BP1316" i="14" a="1"/>
  <c r="BP1316" i="14" s="1"/>
  <c r="BP1328" i="14" a="1"/>
  <c r="BP1328" i="14" s="1"/>
  <c r="BP709" i="14"/>
  <c r="BP1350" i="14"/>
  <c r="BQ1337" i="14"/>
  <c r="BQ1173" i="14"/>
  <c r="BP1142" i="14"/>
  <c r="BP1146" i="14" s="1"/>
  <c r="BP1151" i="14"/>
  <c r="BP1153" i="14" s="1"/>
  <c r="BO1151" i="14"/>
  <c r="BO1153" i="14" s="1"/>
  <c r="BO1147" i="14"/>
  <c r="BO1148" i="14" s="1"/>
  <c r="BQ4" i="14"/>
  <c r="BQ63" i="14" s="1"/>
  <c r="BQ952" i="14"/>
  <c r="BQ959" i="14" s="1"/>
  <c r="BQ729" i="14"/>
  <c r="BQ743" i="14" s="1"/>
  <c r="BQ195" i="14"/>
  <c r="BQ209" i="14" s="1"/>
  <c r="BQ433" i="14"/>
  <c r="BQ440" i="14" s="1"/>
  <c r="BQ441" i="14" s="1"/>
  <c r="BQ1088" i="14"/>
  <c r="BQ723" i="14"/>
  <c r="BQ736" i="14" s="1"/>
  <c r="BQ730" i="14"/>
  <c r="BQ744" i="14" s="1"/>
  <c r="BQ603" i="14"/>
  <c r="BQ432" i="14"/>
  <c r="BQ439" i="14" s="1"/>
  <c r="BQ1080" i="14"/>
  <c r="BQ724" i="14"/>
  <c r="BQ737" i="14" s="1"/>
  <c r="BQ1072" i="14"/>
  <c r="BQ602" i="14"/>
  <c r="BQ1109" i="14"/>
  <c r="BQ1145" i="14"/>
  <c r="BQ190" i="14"/>
  <c r="BQ203" i="14" s="1"/>
  <c r="BQ1124" i="14"/>
  <c r="BQ196" i="14"/>
  <c r="BQ210" i="14" s="1"/>
  <c r="BQ189" i="14"/>
  <c r="BQ202" i="14" s="1"/>
  <c r="BQ67" i="14"/>
  <c r="BQ74" i="14" s="1"/>
  <c r="BQ66" i="14"/>
  <c r="BQ73" i="14" s="1"/>
  <c r="BQ1152" i="14"/>
  <c r="BQ951" i="14"/>
  <c r="BQ958" i="14" s="1"/>
  <c r="BQ204" i="14" l="1"/>
  <c r="BQ1339" i="14" s="1"/>
  <c r="BQ211" i="14"/>
  <c r="BQ1340" i="14" s="1"/>
  <c r="BQ75" i="14"/>
  <c r="BQ745" i="14"/>
  <c r="BQ1352" i="14" s="1"/>
  <c r="BQ431" i="14"/>
  <c r="BR3" i="14"/>
  <c r="BR1118" i="14" s="1"/>
  <c r="BQ185" i="14"/>
  <c r="BQ188" i="14"/>
  <c r="BQ194" i="14"/>
  <c r="BQ429" i="14"/>
  <c r="BQ65" i="14"/>
  <c r="BP1148" i="14"/>
  <c r="BP1154" i="14" s="1"/>
  <c r="BQ948" i="14"/>
  <c r="BQ599" i="14"/>
  <c r="BQ738" i="14"/>
  <c r="BQ1351" i="14" s="1"/>
  <c r="BQ719" i="14"/>
  <c r="BQ601" i="14"/>
  <c r="BQ611" i="14" s="1"/>
  <c r="BQ950" i="14"/>
  <c r="BQ722" i="14"/>
  <c r="BQ728" i="14"/>
  <c r="BQ960" i="14"/>
  <c r="BQ1353" i="14" s="1"/>
  <c r="BQ1130" i="14"/>
  <c r="BQ1140" i="14" s="1"/>
  <c r="BQ1131" i="14"/>
  <c r="BO1154" i="14"/>
  <c r="BQ1314" i="14" a="1"/>
  <c r="BQ1314" i="14" s="1"/>
  <c r="BQ1326" i="14" a="1"/>
  <c r="BQ1326" i="14" s="1"/>
  <c r="BQ1312" i="14" a="1"/>
  <c r="BQ1312" i="14" s="1"/>
  <c r="BQ1324" i="14" a="1"/>
  <c r="BQ1324" i="14" s="1"/>
  <c r="BR1095" i="14" l="1"/>
  <c r="BR1166" i="14"/>
  <c r="BR190" i="14"/>
  <c r="BR203" i="14" s="1"/>
  <c r="BR196" i="14"/>
  <c r="BR210" i="14" s="1"/>
  <c r="BR67" i="14"/>
  <c r="BR74" i="14" s="1"/>
  <c r="BR1109" i="14"/>
  <c r="BR1088" i="14"/>
  <c r="BR1080" i="14"/>
  <c r="BR66" i="14"/>
  <c r="BR433" i="14"/>
  <c r="BR189" i="14"/>
  <c r="BR202" i="14" s="1"/>
  <c r="BR723" i="14"/>
  <c r="BR736" i="14" s="1"/>
  <c r="BR729" i="14"/>
  <c r="BR743" i="14" s="1"/>
  <c r="BR952" i="14"/>
  <c r="BR959" i="14" s="1"/>
  <c r="BR730" i="14"/>
  <c r="BR744" i="14" s="1"/>
  <c r="BR724" i="14"/>
  <c r="BR737" i="14" s="1"/>
  <c r="BR602" i="14"/>
  <c r="BR603" i="14"/>
  <c r="BR432" i="14"/>
  <c r="BR439" i="14" s="1"/>
  <c r="BQ1341" i="14"/>
  <c r="BQ1316" i="14" a="1"/>
  <c r="BQ1316" i="14" s="1"/>
  <c r="BQ1328" i="14" a="1"/>
  <c r="BQ1328" i="14" s="1"/>
  <c r="BR4" i="14"/>
  <c r="BR63" i="14" s="1"/>
  <c r="BR195" i="14"/>
  <c r="BR209" i="14" s="1"/>
  <c r="BR1145" i="14"/>
  <c r="BQ709" i="14"/>
  <c r="BQ1350" i="14"/>
  <c r="BR951" i="14"/>
  <c r="BR958" i="14" s="1"/>
  <c r="BR1124" i="14"/>
  <c r="BR1072" i="14"/>
  <c r="BR1337" i="14"/>
  <c r="BR1173" i="14"/>
  <c r="BR1152" i="14"/>
  <c r="BQ1133" i="14"/>
  <c r="BQ1135" i="14" s="1"/>
  <c r="BQ1142" i="14"/>
  <c r="BQ1146" i="14" s="1"/>
  <c r="BQ1143" i="14"/>
  <c r="BQ1141" i="14"/>
  <c r="BR204" i="14" l="1"/>
  <c r="BR1339" i="14" s="1"/>
  <c r="BR211" i="14"/>
  <c r="BR440" i="14"/>
  <c r="BR441" i="14" s="1"/>
  <c r="BR1341" i="14" s="1"/>
  <c r="BR73" i="14"/>
  <c r="BR75" i="14" s="1"/>
  <c r="BR738" i="14"/>
  <c r="BR1351" i="14" s="1"/>
  <c r="BR745" i="14"/>
  <c r="BR1352" i="14" s="1"/>
  <c r="BR722" i="14"/>
  <c r="BR728" i="14"/>
  <c r="BR719" i="14"/>
  <c r="BR601" i="14"/>
  <c r="BR611" i="14" s="1"/>
  <c r="BR1350" i="14" s="1"/>
  <c r="BR185" i="14"/>
  <c r="BS3" i="14"/>
  <c r="BR429" i="14"/>
  <c r="BR599" i="14"/>
  <c r="BR188" i="14"/>
  <c r="BR431" i="14"/>
  <c r="BR194" i="14"/>
  <c r="BR65" i="14"/>
  <c r="BR948" i="14"/>
  <c r="BR950" i="14"/>
  <c r="BR960" i="14"/>
  <c r="BR1353" i="14" s="1"/>
  <c r="BR1131" i="14"/>
  <c r="BR1130" i="14"/>
  <c r="BR1140" i="14" s="1"/>
  <c r="BR1143" i="14" s="1"/>
  <c r="BQ1147" i="14"/>
  <c r="BQ1148" i="14" s="1"/>
  <c r="BQ1151" i="14"/>
  <c r="BQ1153" i="14" s="1"/>
  <c r="BR1312" i="14" a="1"/>
  <c r="BR1312" i="14" s="1"/>
  <c r="BR1324" i="14" a="1"/>
  <c r="BR1324" i="14" s="1"/>
  <c r="BS190" i="14" l="1"/>
  <c r="BS203" i="14" s="1"/>
  <c r="BS1118" i="14"/>
  <c r="BS1072" i="14"/>
  <c r="BR1316" i="14" a="1"/>
  <c r="BR1316" i="14" s="1"/>
  <c r="BR1328" i="14" a="1"/>
  <c r="BR1328" i="14" s="1"/>
  <c r="BS189" i="14"/>
  <c r="BS202" i="14" s="1"/>
  <c r="BS1095" i="14"/>
  <c r="BS1166" i="14"/>
  <c r="BS952" i="14"/>
  <c r="BS959" i="14" s="1"/>
  <c r="BS730" i="14"/>
  <c r="BS744" i="14" s="1"/>
  <c r="BS724" i="14"/>
  <c r="BS737" i="14" s="1"/>
  <c r="BS66" i="14"/>
  <c r="BS73" i="14" s="1"/>
  <c r="BS433" i="14"/>
  <c r="BS440" i="14" s="1"/>
  <c r="BS441" i="14" s="1"/>
  <c r="BS1341" i="14" s="1"/>
  <c r="BS603" i="14"/>
  <c r="BS723" i="14"/>
  <c r="BS736" i="14" s="1"/>
  <c r="BS1131" i="14"/>
  <c r="BS729" i="14"/>
  <c r="BS743" i="14" s="1"/>
  <c r="BS1152" i="14"/>
  <c r="BS1080" i="14"/>
  <c r="BS1088" i="14"/>
  <c r="BR709" i="14"/>
  <c r="BS602" i="14"/>
  <c r="BS1173" i="14"/>
  <c r="BS196" i="14"/>
  <c r="BS210" i="14" s="1"/>
  <c r="BS432" i="14"/>
  <c r="BS439" i="14" s="1"/>
  <c r="BS1337" i="14"/>
  <c r="BS4" i="14"/>
  <c r="BS63" i="14" s="1"/>
  <c r="BS195" i="14"/>
  <c r="BS209" i="14" s="1"/>
  <c r="BS1109" i="14"/>
  <c r="BS951" i="14"/>
  <c r="BS67" i="14"/>
  <c r="BS1145" i="14"/>
  <c r="BR1141" i="14"/>
  <c r="BR1142" i="14"/>
  <c r="BR1146" i="14" s="1"/>
  <c r="BR1340" i="14"/>
  <c r="BR1314" i="14" a="1"/>
  <c r="BR1314" i="14" s="1"/>
  <c r="BR1326" i="14" a="1"/>
  <c r="BR1326" i="14" s="1"/>
  <c r="BR1133" i="14"/>
  <c r="BR1135" i="14" s="1"/>
  <c r="BQ1154" i="14"/>
  <c r="BR1147" i="14"/>
  <c r="BR1151" i="14"/>
  <c r="BR1153" i="14" s="1"/>
  <c r="BS204" i="14" l="1"/>
  <c r="BS1339" i="14" s="1"/>
  <c r="BS745" i="14"/>
  <c r="BS1352" i="14" s="1"/>
  <c r="BS185" i="14"/>
  <c r="BS719" i="14"/>
  <c r="BS738" i="14"/>
  <c r="BS1351" i="14" s="1"/>
  <c r="BS722" i="14"/>
  <c r="BS728" i="14"/>
  <c r="BS211" i="14"/>
  <c r="BS1340" i="14" s="1"/>
  <c r="BS601" i="14"/>
  <c r="BS611" i="14" s="1"/>
  <c r="BS1350" i="14" s="1"/>
  <c r="BS599" i="14"/>
  <c r="BS74" i="14"/>
  <c r="BS75" i="14" s="1"/>
  <c r="BS958" i="14"/>
  <c r="BS960" i="14" s="1"/>
  <c r="BS1353" i="14" s="1"/>
  <c r="BS1124" i="14"/>
  <c r="BS1130" i="14"/>
  <c r="BS1140" i="14" s="1"/>
  <c r="BS1142" i="14" s="1"/>
  <c r="BS1146" i="14" s="1"/>
  <c r="BT3" i="14"/>
  <c r="BS194" i="14"/>
  <c r="BR1148" i="14"/>
  <c r="BR1154" i="14" s="1"/>
  <c r="BS65" i="14"/>
  <c r="BS429" i="14"/>
  <c r="BS188" i="14"/>
  <c r="BS948" i="14"/>
  <c r="BS431" i="14"/>
  <c r="BS950" i="14"/>
  <c r="BS1314" i="14" a="1"/>
  <c r="BS1314" i="14" s="1"/>
  <c r="BS1326" i="14" a="1"/>
  <c r="BS1326" i="14" s="1"/>
  <c r="BS1328" i="14" a="1"/>
  <c r="BS1328" i="14" s="1"/>
  <c r="BS1316" i="14" a="1"/>
  <c r="BS1316" i="14" s="1"/>
  <c r="BS1324" i="14" a="1"/>
  <c r="BS1324" i="14" s="1"/>
  <c r="BS1312" i="14" a="1"/>
  <c r="BS1312" i="14" s="1"/>
  <c r="BT1145" i="14" l="1"/>
  <c r="BT1118" i="14"/>
  <c r="BT723" i="14"/>
  <c r="BT736" i="14" s="1"/>
  <c r="BT729" i="14"/>
  <c r="BT743" i="14" s="1"/>
  <c r="BS709" i="14"/>
  <c r="BT730" i="14"/>
  <c r="BT744" i="14" s="1"/>
  <c r="BT724" i="14"/>
  <c r="BT737" i="14" s="1"/>
  <c r="BT603" i="14"/>
  <c r="BT1088" i="14"/>
  <c r="BS1143" i="14"/>
  <c r="BS1151" i="14" s="1"/>
  <c r="BS1153" i="14" s="1"/>
  <c r="BS1141" i="14"/>
  <c r="BT952" i="14"/>
  <c r="BT959" i="14" s="1"/>
  <c r="BS1133" i="14"/>
  <c r="BS1135" i="14" s="1"/>
  <c r="BT432" i="14"/>
  <c r="BT439" i="14" s="1"/>
  <c r="BT190" i="14"/>
  <c r="BT203" i="14" s="1"/>
  <c r="BT602" i="14"/>
  <c r="BT4" i="14"/>
  <c r="BT63" i="14" s="1"/>
  <c r="BT951" i="14"/>
  <c r="BT958" i="14" s="1"/>
  <c r="BT196" i="14"/>
  <c r="BT210" i="14" s="1"/>
  <c r="BT67" i="14"/>
  <c r="BT74" i="14" s="1"/>
  <c r="BT66" i="14"/>
  <c r="BT73" i="14" s="1"/>
  <c r="BT1337" i="14"/>
  <c r="BT195" i="14"/>
  <c r="BT209" i="14" s="1"/>
  <c r="BT1109" i="14"/>
  <c r="BT1095" i="14"/>
  <c r="BT1166" i="14"/>
  <c r="BT1130" i="14"/>
  <c r="BT1140" i="14" s="1"/>
  <c r="BT1142" i="14" s="1"/>
  <c r="BT1146" i="14" s="1"/>
  <c r="BT1173" i="14"/>
  <c r="BT1152" i="14"/>
  <c r="BT189" i="14"/>
  <c r="BT202" i="14" s="1"/>
  <c r="BT1072" i="14"/>
  <c r="BT433" i="14"/>
  <c r="BT440" i="14" s="1"/>
  <c r="BT441" i="14" s="1"/>
  <c r="BT1341" i="14" s="1"/>
  <c r="BT1080" i="14"/>
  <c r="BS1147" i="14" l="1"/>
  <c r="BS1148" i="14" s="1"/>
  <c r="BS1154" i="14" s="1"/>
  <c r="BT745" i="14"/>
  <c r="BT1352" i="14" s="1"/>
  <c r="BT738" i="14"/>
  <c r="BT1351" i="14" s="1"/>
  <c r="BT960" i="14"/>
  <c r="BT1353" i="14" s="1"/>
  <c r="BT1133" i="14"/>
  <c r="BT1135" i="14" s="1"/>
  <c r="BU3" i="14"/>
  <c r="BU1152" i="14" s="1"/>
  <c r="BT599" i="14"/>
  <c r="BT75" i="14"/>
  <c r="BT188" i="14"/>
  <c r="BT194" i="14"/>
  <c r="BT429" i="14"/>
  <c r="BT728" i="14"/>
  <c r="BT719" i="14"/>
  <c r="BT950" i="14"/>
  <c r="BT722" i="14"/>
  <c r="BT431" i="14"/>
  <c r="BT948" i="14"/>
  <c r="BT601" i="14"/>
  <c r="BT611" i="14" s="1"/>
  <c r="BT1350" i="14" s="1"/>
  <c r="BT211" i="14"/>
  <c r="BT1340" i="14" s="1"/>
  <c r="BT204" i="14"/>
  <c r="BT1339" i="14" s="1"/>
  <c r="BT1141" i="14"/>
  <c r="BT1124" i="14"/>
  <c r="BT1143" i="14"/>
  <c r="BT1151" i="14" s="1"/>
  <c r="BT1153" i="14" s="1"/>
  <c r="BT1131" i="14"/>
  <c r="BT185" i="14"/>
  <c r="BT65" i="14"/>
  <c r="BT1314" i="14" a="1"/>
  <c r="BT1314" i="14" s="1"/>
  <c r="BT1326" i="14" a="1"/>
  <c r="BT1326" i="14" s="1"/>
  <c r="BT1316" i="14" a="1"/>
  <c r="BT1316" i="14" s="1"/>
  <c r="BT1328" i="14" a="1"/>
  <c r="BT1328" i="14" s="1"/>
  <c r="BT1312" i="14" a="1"/>
  <c r="BT1312" i="14" s="1"/>
  <c r="BT1324" i="14" a="1"/>
  <c r="BT1324" i="14" s="1"/>
  <c r="BU1109" i="14" l="1"/>
  <c r="BU1145" i="14"/>
  <c r="BU729" i="14"/>
  <c r="BU743" i="14" s="1"/>
  <c r="BU1118" i="14"/>
  <c r="BU1131" i="14" s="1"/>
  <c r="BU602" i="14"/>
  <c r="BU432" i="14"/>
  <c r="BU439" i="14" s="1"/>
  <c r="BU1166" i="14"/>
  <c r="BU196" i="14"/>
  <c r="BU210" i="14" s="1"/>
  <c r="BU1173" i="14"/>
  <c r="BU730" i="14"/>
  <c r="BU744" i="14" s="1"/>
  <c r="BU1337" i="14"/>
  <c r="BU603" i="14"/>
  <c r="BU951" i="14"/>
  <c r="BU958" i="14" s="1"/>
  <c r="BU1095" i="14"/>
  <c r="BU1072" i="14"/>
  <c r="BU1080" i="14"/>
  <c r="BU4" i="14"/>
  <c r="BU63" i="14" s="1"/>
  <c r="BU195" i="14"/>
  <c r="BU209" i="14" s="1"/>
  <c r="BU189" i="14"/>
  <c r="BU202" i="14" s="1"/>
  <c r="BU66" i="14"/>
  <c r="BU190" i="14"/>
  <c r="BU203" i="14" s="1"/>
  <c r="BU1088" i="14"/>
  <c r="BU67" i="14"/>
  <c r="BU74" i="14" s="1"/>
  <c r="BU433" i="14"/>
  <c r="BU440" i="14" s="1"/>
  <c r="BU441" i="14" s="1"/>
  <c r="BU1341" i="14" s="1"/>
  <c r="BU724" i="14"/>
  <c r="BU737" i="14" s="1"/>
  <c r="BU952" i="14"/>
  <c r="BU959" i="14" s="1"/>
  <c r="BU723" i="14"/>
  <c r="BU736" i="14" s="1"/>
  <c r="BT709" i="14"/>
  <c r="BT1147" i="14"/>
  <c r="BT1148" i="14" s="1"/>
  <c r="BT1154" i="14" s="1"/>
  <c r="BU73" i="14"/>
  <c r="BU745" i="14" l="1"/>
  <c r="BU1352" i="14" s="1"/>
  <c r="BU1130" i="14"/>
  <c r="BU1140" i="14" s="1"/>
  <c r="BU1124" i="14"/>
  <c r="BU211" i="14"/>
  <c r="BU1340" i="14" s="1"/>
  <c r="BU960" i="14"/>
  <c r="BU1353" i="14" s="1"/>
  <c r="BU188" i="14"/>
  <c r="BU429" i="14"/>
  <c r="BU65" i="14"/>
  <c r="BU431" i="14"/>
  <c r="BU719" i="14"/>
  <c r="BU948" i="14"/>
  <c r="BU722" i="14"/>
  <c r="BU728" i="14"/>
  <c r="BU194" i="14"/>
  <c r="BU950" i="14"/>
  <c r="BU601" i="14"/>
  <c r="BU611" i="14" s="1"/>
  <c r="BU1350" i="14" s="1"/>
  <c r="BU599" i="14"/>
  <c r="BV3" i="14"/>
  <c r="BV1118" i="14" s="1"/>
  <c r="BU185" i="14"/>
  <c r="BU75" i="14"/>
  <c r="BU204" i="14"/>
  <c r="BU1339" i="14" s="1"/>
  <c r="BU738" i="14"/>
  <c r="BU1351" i="14" s="1"/>
  <c r="BU1133" i="14"/>
  <c r="BU1135" i="14" s="1"/>
  <c r="BU1142" i="14"/>
  <c r="BU1146" i="14" s="1"/>
  <c r="BU1143" i="14"/>
  <c r="BU1141" i="14"/>
  <c r="BU1314" i="14" a="1"/>
  <c r="BU1314" i="14" s="1"/>
  <c r="BU1326" i="14" a="1"/>
  <c r="BU1326" i="14" s="1"/>
  <c r="BU1316" i="14" a="1"/>
  <c r="BU1316" i="14" s="1"/>
  <c r="BU1328" i="14" a="1"/>
  <c r="BU1328" i="14" s="1"/>
  <c r="BV190" i="14" l="1"/>
  <c r="BV203" i="14" s="1"/>
  <c r="BV1072" i="14"/>
  <c r="BV1080" i="14"/>
  <c r="BV1088" i="14"/>
  <c r="BV433" i="14"/>
  <c r="BV440" i="14" s="1"/>
  <c r="BV441" i="14" s="1"/>
  <c r="BV1341" i="14" s="1"/>
  <c r="BV189" i="14"/>
  <c r="BV202" i="14" s="1"/>
  <c r="BV952" i="14"/>
  <c r="BV959" i="14" s="1"/>
  <c r="BV729" i="14"/>
  <c r="BV743" i="14" s="1"/>
  <c r="BV730" i="14"/>
  <c r="BV744" i="14" s="1"/>
  <c r="BV603" i="14"/>
  <c r="BV4" i="14"/>
  <c r="BV63" i="14" s="1"/>
  <c r="BV1337" i="14"/>
  <c r="BV951" i="14"/>
  <c r="BV958" i="14" s="1"/>
  <c r="BV1166" i="14"/>
  <c r="BV724" i="14"/>
  <c r="BV737" i="14" s="1"/>
  <c r="BU709" i="14"/>
  <c r="BV602" i="14"/>
  <c r="BV1173" i="14"/>
  <c r="BV196" i="14"/>
  <c r="BV210" i="14" s="1"/>
  <c r="BV195" i="14"/>
  <c r="BV209" i="14" s="1"/>
  <c r="BV1145" i="14"/>
  <c r="BV723" i="14"/>
  <c r="BV736" i="14" s="1"/>
  <c r="BV432" i="14"/>
  <c r="BV439" i="14" s="1"/>
  <c r="BV1109" i="14"/>
  <c r="BV1095" i="14"/>
  <c r="BV66" i="14"/>
  <c r="BV67" i="14"/>
  <c r="BV74" i="14" s="1"/>
  <c r="BV1152" i="14"/>
  <c r="BU1312" i="14" a="1"/>
  <c r="BU1312" i="14" s="1"/>
  <c r="BU1324" i="14" a="1"/>
  <c r="BU1324" i="14" s="1"/>
  <c r="BV73" i="14"/>
  <c r="BU1147" i="14"/>
  <c r="BU1148" i="14" s="1"/>
  <c r="BU1151" i="14"/>
  <c r="BU1153" i="14" s="1"/>
  <c r="BV1124" i="14"/>
  <c r="BV1130" i="14"/>
  <c r="BV1140" i="14" s="1"/>
  <c r="BV1143" i="14" s="1"/>
  <c r="BV1131" i="14"/>
  <c r="BV204" i="14" l="1"/>
  <c r="BV1339" i="14" s="1"/>
  <c r="BV745" i="14"/>
  <c r="BV1352" i="14" s="1"/>
  <c r="BV211" i="14"/>
  <c r="BV1340" i="14" s="1"/>
  <c r="BV75" i="14"/>
  <c r="BV960" i="14"/>
  <c r="BV1353" i="14" s="1"/>
  <c r="BV948" i="14"/>
  <c r="BV431" i="14"/>
  <c r="BV429" i="14"/>
  <c r="BV194" i="14"/>
  <c r="BV601" i="14"/>
  <c r="BV611" i="14" s="1"/>
  <c r="BV1350" i="14" s="1"/>
  <c r="BV722" i="14"/>
  <c r="BV719" i="14"/>
  <c r="BV599" i="14"/>
  <c r="BV950" i="14"/>
  <c r="BV728" i="14"/>
  <c r="BV738" i="14"/>
  <c r="BV1351" i="14" s="1"/>
  <c r="BW3" i="14"/>
  <c r="BW1118" i="14" s="1"/>
  <c r="BW1124" i="14" s="1"/>
  <c r="BV185" i="14"/>
  <c r="BV188" i="14"/>
  <c r="BV1133" i="14"/>
  <c r="BV1135" i="14" s="1"/>
  <c r="BV65" i="14"/>
  <c r="BV1142" i="14"/>
  <c r="BV1146" i="14" s="1"/>
  <c r="BU1154" i="14"/>
  <c r="BV1147" i="14"/>
  <c r="BV1151" i="14"/>
  <c r="BV1153" i="14" s="1"/>
  <c r="BV1314" i="14" a="1"/>
  <c r="BV1314" i="14" s="1"/>
  <c r="BV1326" i="14" a="1"/>
  <c r="BV1326" i="14" s="1"/>
  <c r="BV1316" i="14" a="1"/>
  <c r="BV1316" i="14" s="1"/>
  <c r="BV1328" i="14" a="1"/>
  <c r="BV1328" i="14" s="1"/>
  <c r="BV1312" i="14" a="1"/>
  <c r="BV1312" i="14" s="1"/>
  <c r="BV1324" i="14" a="1"/>
  <c r="BV1324" i="14" s="1"/>
  <c r="BV1141" i="14"/>
  <c r="BW1088" i="14"/>
  <c r="BW67" i="14" l="1"/>
  <c r="BW74" i="14" s="1"/>
  <c r="BW189" i="14"/>
  <c r="BW202" i="14" s="1"/>
  <c r="BV709" i="14"/>
  <c r="BW723" i="14"/>
  <c r="BW736" i="14" s="1"/>
  <c r="BW433" i="14"/>
  <c r="BW440" i="14" s="1"/>
  <c r="BW441" i="14" s="1"/>
  <c r="BW1341" i="14" s="1"/>
  <c r="BW952" i="14"/>
  <c r="BW959" i="14" s="1"/>
  <c r="BW1166" i="14"/>
  <c r="BW190" i="14"/>
  <c r="BW203" i="14" s="1"/>
  <c r="BW730" i="14"/>
  <c r="BW744" i="14" s="1"/>
  <c r="BW724" i="14"/>
  <c r="BW737" i="14" s="1"/>
  <c r="BW1173" i="14"/>
  <c r="BW1152" i="14"/>
  <c r="BW1337" i="14"/>
  <c r="BW1072" i="14"/>
  <c r="BW1080" i="14"/>
  <c r="BW1095" i="14"/>
  <c r="BW603" i="14"/>
  <c r="BW729" i="14"/>
  <c r="BW743" i="14" s="1"/>
  <c r="BW195" i="14"/>
  <c r="BW209" i="14" s="1"/>
  <c r="BW602" i="14"/>
  <c r="BW4" i="14"/>
  <c r="BW63" i="14" s="1"/>
  <c r="BW432" i="14"/>
  <c r="BW439" i="14" s="1"/>
  <c r="BW951" i="14"/>
  <c r="BW958" i="14" s="1"/>
  <c r="BW196" i="14"/>
  <c r="BW210" i="14" s="1"/>
  <c r="BW1109" i="14"/>
  <c r="BW66" i="14"/>
  <c r="BW73" i="14" s="1"/>
  <c r="BW1145" i="14"/>
  <c r="BV1148" i="14"/>
  <c r="BV1154" i="14" s="1"/>
  <c r="BW1131" i="14"/>
  <c r="BW1130" i="14"/>
  <c r="BW1140" i="14" s="1"/>
  <c r="BW601" i="14"/>
  <c r="BW611" i="14" s="1"/>
  <c r="BW1350" i="14" s="1"/>
  <c r="BW738" i="14" l="1"/>
  <c r="BW1351" i="14" s="1"/>
  <c r="BW75" i="14"/>
  <c r="BW204" i="14"/>
  <c r="BW1339" i="14" s="1"/>
  <c r="BW429" i="14"/>
  <c r="BW948" i="14"/>
  <c r="BW722" i="14"/>
  <c r="BW65" i="14"/>
  <c r="BW431" i="14"/>
  <c r="BW719" i="14"/>
  <c r="BW950" i="14"/>
  <c r="BW728" i="14"/>
  <c r="BW960" i="14"/>
  <c r="BW1353" i="14" s="1"/>
  <c r="BW745" i="14"/>
  <c r="BW1352" i="14" s="1"/>
  <c r="BW211" i="14"/>
  <c r="BW1340" i="14" s="1"/>
  <c r="BX3" i="14"/>
  <c r="BX1118" i="14" s="1"/>
  <c r="BW185" i="14"/>
  <c r="BW599" i="14"/>
  <c r="BW188" i="14"/>
  <c r="BW194" i="14"/>
  <c r="BW1142" i="14"/>
  <c r="BW1146" i="14" s="1"/>
  <c r="BW1141" i="14"/>
  <c r="BW1316" i="14" a="1"/>
  <c r="BW1316" i="14" s="1"/>
  <c r="BW1328" i="14" a="1"/>
  <c r="BW1328" i="14" s="1"/>
  <c r="BW1324" i="14" a="1"/>
  <c r="BW1324" i="14" s="1"/>
  <c r="BW1312" i="14" a="1"/>
  <c r="BW1312" i="14" s="1"/>
  <c r="BW1133" i="14"/>
  <c r="BW1135" i="14" s="1"/>
  <c r="BW1143" i="14"/>
  <c r="BW709" i="14"/>
  <c r="BX189" i="14" l="1"/>
  <c r="BX202" i="14" s="1"/>
  <c r="BX433" i="14"/>
  <c r="BX440" i="14" s="1"/>
  <c r="BX441" i="14" s="1"/>
  <c r="BX1341" i="14" s="1"/>
  <c r="BX190" i="14"/>
  <c r="BX203" i="14" s="1"/>
  <c r="BX1088" i="14"/>
  <c r="BX1072" i="14"/>
  <c r="BX1080" i="14"/>
  <c r="BX196" i="14"/>
  <c r="BX210" i="14" s="1"/>
  <c r="BX66" i="14"/>
  <c r="BX73" i="14" s="1"/>
  <c r="BX67" i="14"/>
  <c r="BX74" i="14" s="1"/>
  <c r="BX1095" i="14"/>
  <c r="BW1314" i="14" a="1"/>
  <c r="BW1314" i="14" s="1"/>
  <c r="BW1326" i="14" a="1"/>
  <c r="BW1326" i="14" s="1"/>
  <c r="BX952" i="14"/>
  <c r="BX959" i="14" s="1"/>
  <c r="BX723" i="14"/>
  <c r="BX736" i="14" s="1"/>
  <c r="BX724" i="14"/>
  <c r="BX737" i="14" s="1"/>
  <c r="BX603" i="14"/>
  <c r="BX1109" i="14"/>
  <c r="BX1173" i="14"/>
  <c r="BX4" i="14"/>
  <c r="BX63" i="14" s="1"/>
  <c r="BX1145" i="14"/>
  <c r="BX1337" i="14"/>
  <c r="BX432" i="14"/>
  <c r="BX439" i="14" s="1"/>
  <c r="BX951" i="14"/>
  <c r="BX958" i="14" s="1"/>
  <c r="BX195" i="14"/>
  <c r="BX209" i="14" s="1"/>
  <c r="BX1152" i="14"/>
  <c r="BX1166" i="14"/>
  <c r="BX730" i="14"/>
  <c r="BX744" i="14" s="1"/>
  <c r="BX729" i="14"/>
  <c r="BX743" i="14" s="1"/>
  <c r="BX602" i="14"/>
  <c r="BW1151" i="14"/>
  <c r="BW1153" i="14" s="1"/>
  <c r="BW1147" i="14"/>
  <c r="BW1148" i="14" s="1"/>
  <c r="BX1124" i="14"/>
  <c r="BX1130" i="14"/>
  <c r="BX1140" i="14" s="1"/>
  <c r="BX1131" i="14"/>
  <c r="BX204" i="14" l="1"/>
  <c r="BX1339" i="14" s="1"/>
  <c r="BX75" i="14"/>
  <c r="BX738" i="14"/>
  <c r="BX1351" i="14" s="1"/>
  <c r="BY3" i="14"/>
  <c r="BY1118" i="14" s="1"/>
  <c r="BY1124" i="14" s="1"/>
  <c r="BX65" i="14"/>
  <c r="BX719" i="14"/>
  <c r="BX185" i="14"/>
  <c r="BX188" i="14"/>
  <c r="BX211" i="14"/>
  <c r="BX1340" i="14" s="1"/>
  <c r="BX601" i="14"/>
  <c r="BX611" i="14" s="1"/>
  <c r="BX1350" i="14" s="1"/>
  <c r="BX960" i="14"/>
  <c r="BX1353" i="14" s="1"/>
  <c r="BX599" i="14"/>
  <c r="BX745" i="14"/>
  <c r="BX1352" i="14" s="1"/>
  <c r="BX431" i="14"/>
  <c r="BX429" i="14"/>
  <c r="BX194" i="14"/>
  <c r="BX948" i="14"/>
  <c r="BX950" i="14"/>
  <c r="BX722" i="14"/>
  <c r="BX728" i="14"/>
  <c r="BX1142" i="14"/>
  <c r="BX1146" i="14" s="1"/>
  <c r="BW1154" i="14"/>
  <c r="BX1314" i="14" a="1"/>
  <c r="BX1314" i="14" s="1"/>
  <c r="BX1326" i="14" a="1"/>
  <c r="BX1326" i="14" s="1"/>
  <c r="BX1316" i="14" a="1"/>
  <c r="BX1316" i="14" s="1"/>
  <c r="BX1328" i="14" a="1"/>
  <c r="BX1328" i="14" s="1"/>
  <c r="BX1312" i="14" a="1"/>
  <c r="BX1312" i="14" s="1"/>
  <c r="BX1324" i="14" a="1"/>
  <c r="BX1324" i="14" s="1"/>
  <c r="BX1143" i="14"/>
  <c r="BX1141" i="14"/>
  <c r="BX1133" i="14"/>
  <c r="BX1135" i="14" s="1"/>
  <c r="M1341" i="14"/>
  <c r="BY66" i="14" l="1"/>
  <c r="I73" i="14" s="1"/>
  <c r="BY189" i="14"/>
  <c r="BY4" i="14"/>
  <c r="BY63" i="14" s="1"/>
  <c r="BY1173" i="14"/>
  <c r="BY190" i="14"/>
  <c r="BY203" i="14" s="1"/>
  <c r="BY67" i="14"/>
  <c r="BY74" i="14" s="1"/>
  <c r="BY1337" i="14"/>
  <c r="BY729" i="14"/>
  <c r="BY730" i="14"/>
  <c r="BY744" i="14" s="1"/>
  <c r="BY723" i="14"/>
  <c r="BY736" i="14" s="1"/>
  <c r="BY602" i="14"/>
  <c r="H611" i="14" s="1"/>
  <c r="H1350" i="14" s="1"/>
  <c r="BY603" i="14"/>
  <c r="S604" i="14" s="1"/>
  <c r="BY432" i="14"/>
  <c r="BY951" i="14"/>
  <c r="BY958" i="14" s="1"/>
  <c r="BY1109" i="14"/>
  <c r="BY1145" i="14"/>
  <c r="BY196" i="14"/>
  <c r="BY210" i="14" s="1"/>
  <c r="BY195" i="14"/>
  <c r="BY209" i="14" s="1"/>
  <c r="BY1152" i="14"/>
  <c r="BX709" i="14"/>
  <c r="BY1072" i="14"/>
  <c r="BY1166" i="14"/>
  <c r="BY433" i="14"/>
  <c r="I434" i="14" s="1"/>
  <c r="BY1080" i="14"/>
  <c r="BY952" i="14"/>
  <c r="I953" i="14" s="1"/>
  <c r="BY1088" i="14"/>
  <c r="BY724" i="14"/>
  <c r="BY737" i="14" s="1"/>
  <c r="BY1095" i="14"/>
  <c r="H736" i="14"/>
  <c r="H958" i="14"/>
  <c r="H960" i="14" s="1"/>
  <c r="H1353" i="14" s="1"/>
  <c r="BY439" i="14"/>
  <c r="H439" i="14"/>
  <c r="H209" i="14"/>
  <c r="H211" i="14" s="1"/>
  <c r="H73" i="14"/>
  <c r="H75" i="14" s="1"/>
  <c r="BY202" i="14"/>
  <c r="H202" i="14"/>
  <c r="H204" i="14" s="1"/>
  <c r="BY743" i="14"/>
  <c r="H743" i="14"/>
  <c r="BX1151" i="14"/>
  <c r="BX1153" i="14" s="1"/>
  <c r="BX1147" i="14"/>
  <c r="BX1148" i="14" s="1"/>
  <c r="M1316" i="14" a="1"/>
  <c r="M1316" i="14" s="1"/>
  <c r="M1328" i="14" a="1"/>
  <c r="M1328" i="14" s="1"/>
  <c r="BY1131" i="14"/>
  <c r="BY1130" i="14"/>
  <c r="BY1140" i="14" s="1"/>
  <c r="K745" i="14"/>
  <c r="K1352" i="14" s="1"/>
  <c r="K1339" i="14"/>
  <c r="H1341" i="14"/>
  <c r="L1340" i="14"/>
  <c r="M1340" i="14"/>
  <c r="N1340" i="14"/>
  <c r="O1340" i="14"/>
  <c r="P1340" i="14"/>
  <c r="Q1340" i="14"/>
  <c r="BY599" i="14"/>
  <c r="V604" i="14"/>
  <c r="Y604" i="14"/>
  <c r="Z604" i="14"/>
  <c r="BY601" i="14"/>
  <c r="BY719" i="14"/>
  <c r="I731" i="14"/>
  <c r="H731" i="14"/>
  <c r="J731" i="14"/>
  <c r="K731" i="14"/>
  <c r="M731" i="14"/>
  <c r="N731" i="14"/>
  <c r="O731" i="14"/>
  <c r="P731" i="14"/>
  <c r="Q731" i="14"/>
  <c r="R731" i="14"/>
  <c r="S731" i="14"/>
  <c r="V731" i="14"/>
  <c r="X731" i="14"/>
  <c r="Y731" i="14"/>
  <c r="Z731" i="14"/>
  <c r="AA731" i="14"/>
  <c r="AB731" i="14"/>
  <c r="AC731" i="14"/>
  <c r="AD731" i="14"/>
  <c r="AE731" i="14"/>
  <c r="AF731" i="14"/>
  <c r="AG731" i="14"/>
  <c r="AH731" i="14"/>
  <c r="AI731" i="14"/>
  <c r="AM731" i="14"/>
  <c r="AN731" i="14"/>
  <c r="AO731" i="14"/>
  <c r="AP731" i="14"/>
  <c r="AQ731" i="14"/>
  <c r="AR731" i="14"/>
  <c r="AS731" i="14"/>
  <c r="AT731" i="14"/>
  <c r="AU731" i="14"/>
  <c r="AV731" i="14"/>
  <c r="AW731" i="14"/>
  <c r="AX731" i="14"/>
  <c r="AY731" i="14"/>
  <c r="BB731" i="14"/>
  <c r="BC731" i="14"/>
  <c r="BD731" i="14"/>
  <c r="BE731" i="14"/>
  <c r="BF731" i="14"/>
  <c r="BG731" i="14"/>
  <c r="BH731" i="14"/>
  <c r="BI731" i="14"/>
  <c r="BJ731" i="14"/>
  <c r="BK731" i="14"/>
  <c r="BL731" i="14"/>
  <c r="BM731" i="14"/>
  <c r="BN731" i="14"/>
  <c r="BO731" i="14"/>
  <c r="BR731" i="14"/>
  <c r="BS731" i="14"/>
  <c r="BX731" i="14"/>
  <c r="BU731" i="14"/>
  <c r="BW731" i="14"/>
  <c r="BV731" i="14"/>
  <c r="BT731" i="14"/>
  <c r="BY722" i="14"/>
  <c r="BY728" i="14"/>
  <c r="BY950" i="14"/>
  <c r="BY948" i="14"/>
  <c r="L1341" i="14"/>
  <c r="K1341" i="14"/>
  <c r="K1340" i="14"/>
  <c r="N1341" i="14"/>
  <c r="O1341" i="14"/>
  <c r="P1341" i="14"/>
  <c r="Q1341" i="14"/>
  <c r="R1341" i="14"/>
  <c r="S1341" i="14"/>
  <c r="T1341" i="14"/>
  <c r="V1341" i="14"/>
  <c r="U1341" i="14"/>
  <c r="W1341" i="14"/>
  <c r="X1341" i="14"/>
  <c r="Y1341" i="14"/>
  <c r="Z1341" i="14"/>
  <c r="BY431" i="14"/>
  <c r="BY434" i="14"/>
  <c r="BY446" i="14" s="1"/>
  <c r="BY447" i="14" s="1"/>
  <c r="H434" i="14"/>
  <c r="L434" i="14"/>
  <c r="P434" i="14"/>
  <c r="AL434" i="14"/>
  <c r="AM434" i="14"/>
  <c r="BL434" i="14"/>
  <c r="BO434" i="14"/>
  <c r="BP434" i="14"/>
  <c r="BQ434" i="14"/>
  <c r="BR434" i="14"/>
  <c r="BS434" i="14"/>
  <c r="BY188" i="14"/>
  <c r="BY429" i="14"/>
  <c r="BY1266" i="14" s="1"/>
  <c r="BY191" i="14"/>
  <c r="BY1246" i="14" s="1"/>
  <c r="H191" i="14"/>
  <c r="H1246" i="14" s="1"/>
  <c r="I191" i="14"/>
  <c r="J191" i="14"/>
  <c r="K191" i="14"/>
  <c r="L191" i="14"/>
  <c r="M191" i="14"/>
  <c r="O191" i="14"/>
  <c r="N191" i="14"/>
  <c r="P191" i="14"/>
  <c r="Q191" i="14"/>
  <c r="R191" i="14"/>
  <c r="S191" i="14"/>
  <c r="T191" i="14"/>
  <c r="U191" i="14"/>
  <c r="V191" i="14"/>
  <c r="W191" i="14"/>
  <c r="X191" i="14"/>
  <c r="Y191" i="14"/>
  <c r="Z191" i="14"/>
  <c r="AA191" i="14"/>
  <c r="AB191" i="14"/>
  <c r="AC191" i="14"/>
  <c r="AD191" i="14"/>
  <c r="AE191" i="14"/>
  <c r="AF191" i="14"/>
  <c r="AG191" i="14"/>
  <c r="AH191" i="14"/>
  <c r="AI191" i="14"/>
  <c r="AJ191" i="14"/>
  <c r="AK191" i="14"/>
  <c r="AL191" i="14"/>
  <c r="AM191" i="14"/>
  <c r="AN191" i="14"/>
  <c r="AO191" i="14"/>
  <c r="AP191" i="14"/>
  <c r="AQ191" i="14"/>
  <c r="AR191" i="14"/>
  <c r="AS191" i="14"/>
  <c r="AT191" i="14"/>
  <c r="AU191" i="14"/>
  <c r="AV191" i="14"/>
  <c r="AW191" i="14"/>
  <c r="AX191" i="14"/>
  <c r="AY191" i="14"/>
  <c r="AZ191" i="14"/>
  <c r="BA191" i="14"/>
  <c r="BB191" i="14"/>
  <c r="BC191" i="14"/>
  <c r="BD191" i="14"/>
  <c r="BE191" i="14"/>
  <c r="BF191" i="14"/>
  <c r="BG191" i="14"/>
  <c r="BH191" i="14"/>
  <c r="BI191" i="14"/>
  <c r="BJ191" i="14"/>
  <c r="BK191" i="14"/>
  <c r="BL191" i="14"/>
  <c r="BM191" i="14"/>
  <c r="BN191" i="14"/>
  <c r="BO191" i="14"/>
  <c r="BP191" i="14"/>
  <c r="BQ191" i="14"/>
  <c r="BR191" i="14"/>
  <c r="BS191" i="14"/>
  <c r="BX191" i="14"/>
  <c r="BW191" i="14"/>
  <c r="BV191" i="14"/>
  <c r="BT191" i="14"/>
  <c r="BU191" i="14"/>
  <c r="BY68" i="14"/>
  <c r="BY80" i="14" s="1"/>
  <c r="I68" i="14"/>
  <c r="I80" i="14" s="1"/>
  <c r="J68" i="14"/>
  <c r="J80" i="14" s="1"/>
  <c r="L68" i="14"/>
  <c r="L80" i="14" s="1"/>
  <c r="N68" i="14"/>
  <c r="N80" i="14" s="1"/>
  <c r="M68" i="14"/>
  <c r="M80" i="14" s="1"/>
  <c r="K68" i="14"/>
  <c r="K80" i="14" s="1"/>
  <c r="O68" i="14"/>
  <c r="O80" i="14" s="1"/>
  <c r="P68" i="14"/>
  <c r="P80" i="14" s="1"/>
  <c r="Q68" i="14"/>
  <c r="Q80" i="14" s="1"/>
  <c r="S68" i="14"/>
  <c r="S80" i="14" s="1"/>
  <c r="R68" i="14"/>
  <c r="R80" i="14" s="1"/>
  <c r="H68" i="14"/>
  <c r="H80" i="14" s="1"/>
  <c r="T68" i="14"/>
  <c r="T80" i="14" s="1"/>
  <c r="U68" i="14"/>
  <c r="U80" i="14" s="1"/>
  <c r="V68" i="14"/>
  <c r="V80" i="14" s="1"/>
  <c r="W68" i="14"/>
  <c r="W80" i="14" s="1"/>
  <c r="X68" i="14"/>
  <c r="X80" i="14" s="1"/>
  <c r="Y68" i="14"/>
  <c r="Y80" i="14" s="1"/>
  <c r="Z68" i="14"/>
  <c r="Z80" i="14" s="1"/>
  <c r="AB68" i="14"/>
  <c r="AB80" i="14" s="1"/>
  <c r="AC68" i="14"/>
  <c r="AC80" i="14" s="1"/>
  <c r="AA68" i="14"/>
  <c r="AA80" i="14" s="1"/>
  <c r="AE68" i="14"/>
  <c r="AE80" i="14" s="1"/>
  <c r="AG68" i="14"/>
  <c r="AG80" i="14" s="1"/>
  <c r="AF68" i="14"/>
  <c r="AF80" i="14" s="1"/>
  <c r="AI68" i="14"/>
  <c r="AI80" i="14" s="1"/>
  <c r="AH68" i="14"/>
  <c r="AH80" i="14" s="1"/>
  <c r="AD68" i="14"/>
  <c r="AD80" i="14" s="1"/>
  <c r="AJ68" i="14"/>
  <c r="AJ80" i="14" s="1"/>
  <c r="AK68" i="14"/>
  <c r="AK80" i="14" s="1"/>
  <c r="AL68" i="14"/>
  <c r="AL80" i="14" s="1"/>
  <c r="AM68" i="14"/>
  <c r="AM80" i="14" s="1"/>
  <c r="AN68" i="14"/>
  <c r="AN80" i="14" s="1"/>
  <c r="AP68" i="14"/>
  <c r="AP80" i="14" s="1"/>
  <c r="AR68" i="14"/>
  <c r="AR80" i="14" s="1"/>
  <c r="AT68" i="14"/>
  <c r="AT80" i="14" s="1"/>
  <c r="AS68" i="14"/>
  <c r="AS80" i="14" s="1"/>
  <c r="AU68" i="14"/>
  <c r="AU80" i="14" s="1"/>
  <c r="AO68" i="14"/>
  <c r="AO80" i="14" s="1"/>
  <c r="AV68" i="14"/>
  <c r="AV80" i="14" s="1"/>
  <c r="AW68" i="14"/>
  <c r="AW80" i="14" s="1"/>
  <c r="AY68" i="14"/>
  <c r="AY80" i="14" s="1"/>
  <c r="AX68" i="14"/>
  <c r="AX80" i="14" s="1"/>
  <c r="AQ68" i="14"/>
  <c r="AQ80" i="14" s="1"/>
  <c r="AZ68" i="14"/>
  <c r="AZ80" i="14" s="1"/>
  <c r="BA68" i="14"/>
  <c r="BA80" i="14" s="1"/>
  <c r="BB68" i="14"/>
  <c r="BB80" i="14" s="1"/>
  <c r="BC68" i="14"/>
  <c r="BC80" i="14" s="1"/>
  <c r="BD68" i="14"/>
  <c r="BD80" i="14" s="1"/>
  <c r="BE68" i="14"/>
  <c r="BE80" i="14" s="1"/>
  <c r="BF68" i="14"/>
  <c r="BF80" i="14" s="1"/>
  <c r="BH68" i="14"/>
  <c r="BH80" i="14" s="1"/>
  <c r="BJ68" i="14"/>
  <c r="BJ80" i="14" s="1"/>
  <c r="BI68" i="14"/>
  <c r="BI80" i="14" s="1"/>
  <c r="BK68" i="14"/>
  <c r="BK80" i="14" s="1"/>
  <c r="BG68" i="14"/>
  <c r="BG80" i="14" s="1"/>
  <c r="BM68" i="14"/>
  <c r="BM80" i="14" s="1"/>
  <c r="BL68" i="14"/>
  <c r="BL80" i="14" s="1"/>
  <c r="BN68" i="14"/>
  <c r="BN80" i="14" s="1"/>
  <c r="BO68" i="14"/>
  <c r="BO80" i="14" s="1"/>
  <c r="BP68" i="14"/>
  <c r="BP80" i="14" s="1"/>
  <c r="BQ68" i="14"/>
  <c r="BQ80" i="14" s="1"/>
  <c r="BR68" i="14"/>
  <c r="BR80" i="14" s="1"/>
  <c r="BX68" i="14"/>
  <c r="BX80" i="14" s="1"/>
  <c r="BV68" i="14"/>
  <c r="BV80" i="14" s="1"/>
  <c r="BW68" i="14"/>
  <c r="BW80" i="14" s="1"/>
  <c r="BU68" i="14"/>
  <c r="BU80" i="14" s="1"/>
  <c r="BT68" i="14"/>
  <c r="BT80" i="14" s="1"/>
  <c r="BS68" i="14"/>
  <c r="BS80" i="14" s="1"/>
  <c r="BY65" i="14"/>
  <c r="BY194" i="14"/>
  <c r="L197" i="14"/>
  <c r="L1241" i="14" s="1"/>
  <c r="M197" i="14"/>
  <c r="M1241" i="14" s="1"/>
  <c r="N197" i="14"/>
  <c r="N1241" i="14" s="1"/>
  <c r="O197" i="14"/>
  <c r="O1241" i="14" s="1"/>
  <c r="P197" i="14"/>
  <c r="P1241" i="14" s="1"/>
  <c r="Q197" i="14"/>
  <c r="Q1241" i="14" s="1"/>
  <c r="AB197" i="14"/>
  <c r="AB1241" i="14" s="1"/>
  <c r="AC197" i="14"/>
  <c r="AC1241" i="14" s="1"/>
  <c r="AD197" i="14"/>
  <c r="AD1241" i="14" s="1"/>
  <c r="AE197" i="14"/>
  <c r="AE1241" i="14" s="1"/>
  <c r="AF197" i="14"/>
  <c r="AF1241" i="14" s="1"/>
  <c r="AG197" i="14"/>
  <c r="AG1241" i="14" s="1"/>
  <c r="AR197" i="14"/>
  <c r="AR1241" i="14" s="1"/>
  <c r="AS197" i="14"/>
  <c r="AS1241" i="14" s="1"/>
  <c r="AT197" i="14"/>
  <c r="AT1241" i="14" s="1"/>
  <c r="AU197" i="14"/>
  <c r="AU1241" i="14" s="1"/>
  <c r="AV197" i="14"/>
  <c r="AV1241" i="14" s="1"/>
  <c r="AW197" i="14"/>
  <c r="AW1241" i="14" s="1"/>
  <c r="BH197" i="14"/>
  <c r="BH1241" i="14" s="1"/>
  <c r="BI197" i="14"/>
  <c r="BI1241" i="14" s="1"/>
  <c r="BJ197" i="14"/>
  <c r="BJ1241" i="14" s="1"/>
  <c r="BK197" i="14"/>
  <c r="BK1241" i="14" s="1"/>
  <c r="BL197" i="14"/>
  <c r="BL1241" i="14" s="1"/>
  <c r="BM197" i="14"/>
  <c r="BM1241" i="14" s="1"/>
  <c r="BX197" i="14"/>
  <c r="BX1241" i="14" s="1"/>
  <c r="BY185" i="14"/>
  <c r="X604" i="14" l="1"/>
  <c r="Q604" i="14"/>
  <c r="P604" i="14"/>
  <c r="I959" i="14"/>
  <c r="I960" i="14" s="1"/>
  <c r="I1353" i="14" s="1"/>
  <c r="O604" i="14"/>
  <c r="BY73" i="14"/>
  <c r="BY75" i="14" s="1"/>
  <c r="BY204" i="14"/>
  <c r="BY731" i="14"/>
  <c r="AL731" i="14"/>
  <c r="W731" i="14"/>
  <c r="BQ731" i="14"/>
  <c r="BA731" i="14"/>
  <c r="AK731" i="14"/>
  <c r="U731" i="14"/>
  <c r="BV604" i="14"/>
  <c r="BP731" i="14"/>
  <c r="AZ731" i="14"/>
  <c r="AJ731" i="14"/>
  <c r="T731" i="14"/>
  <c r="BL604" i="14"/>
  <c r="BW604" i="14"/>
  <c r="BJ604" i="14"/>
  <c r="AV604" i="14"/>
  <c r="AS604" i="14"/>
  <c r="AU604" i="14"/>
  <c r="AL604" i="14"/>
  <c r="L731" i="14"/>
  <c r="AG604" i="14"/>
  <c r="BR604" i="14"/>
  <c r="M604" i="14"/>
  <c r="BK604" i="14"/>
  <c r="L604" i="14"/>
  <c r="BI604" i="14"/>
  <c r="BH604" i="14"/>
  <c r="AT604" i="14"/>
  <c r="AR604" i="14"/>
  <c r="J604" i="14"/>
  <c r="K604" i="14"/>
  <c r="AQ604" i="14"/>
  <c r="BT604" i="14"/>
  <c r="AP604" i="14"/>
  <c r="BS604" i="14"/>
  <c r="AN604" i="14"/>
  <c r="BU604" i="14"/>
  <c r="AO604" i="14"/>
  <c r="BG604" i="14"/>
  <c r="BF604" i="14"/>
  <c r="H604" i="14"/>
  <c r="BE604" i="14"/>
  <c r="AC604" i="14"/>
  <c r="AF604" i="14"/>
  <c r="I604" i="14"/>
  <c r="BD604" i="14"/>
  <c r="AB604" i="14"/>
  <c r="AE604" i="14"/>
  <c r="BB604" i="14"/>
  <c r="AA604" i="14"/>
  <c r="BW197" i="14"/>
  <c r="BW1241" i="14" s="1"/>
  <c r="Z197" i="14"/>
  <c r="Z1241" i="14" s="1"/>
  <c r="BU197" i="14"/>
  <c r="BU1241" i="14" s="1"/>
  <c r="BD197" i="14"/>
  <c r="BD1241" i="14" s="1"/>
  <c r="AN197" i="14"/>
  <c r="AN1241" i="14" s="1"/>
  <c r="X197" i="14"/>
  <c r="X1241" i="14" s="1"/>
  <c r="H197" i="14"/>
  <c r="H1241" i="14" s="1"/>
  <c r="BX604" i="14"/>
  <c r="BC604" i="14"/>
  <c r="AM604" i="14"/>
  <c r="W604" i="14"/>
  <c r="BY604" i="14"/>
  <c r="AA197" i="14"/>
  <c r="AA1241" i="14" s="1"/>
  <c r="AP197" i="14"/>
  <c r="AP1241" i="14" s="1"/>
  <c r="Y197" i="14"/>
  <c r="Y1241" i="14" s="1"/>
  <c r="AL197" i="14"/>
  <c r="AL1241" i="14" s="1"/>
  <c r="BQ604" i="14"/>
  <c r="U604" i="14"/>
  <c r="H709" i="14"/>
  <c r="N604" i="14"/>
  <c r="BF197" i="14"/>
  <c r="BF1241" i="14" s="1"/>
  <c r="AM197" i="14"/>
  <c r="AM1241" i="14" s="1"/>
  <c r="V197" i="14"/>
  <c r="V1241" i="14" s="1"/>
  <c r="BA197" i="14"/>
  <c r="BA1241" i="14" s="1"/>
  <c r="BP604" i="14"/>
  <c r="BN604" i="14"/>
  <c r="AY604" i="14"/>
  <c r="AD604" i="14"/>
  <c r="T604" i="14"/>
  <c r="BG197" i="14"/>
  <c r="BG1241" i="14" s="1"/>
  <c r="BV197" i="14"/>
  <c r="BV1241" i="14" s="1"/>
  <c r="BE197" i="14"/>
  <c r="BE1241" i="14" s="1"/>
  <c r="I197" i="14"/>
  <c r="I1241" i="14" s="1"/>
  <c r="BC197" i="14"/>
  <c r="BC1241" i="14" s="1"/>
  <c r="BY197" i="14"/>
  <c r="BY222" i="14" s="1"/>
  <c r="BR197" i="14"/>
  <c r="BR1241" i="14" s="1"/>
  <c r="BA604" i="14"/>
  <c r="BQ197" i="14"/>
  <c r="BQ1241" i="14" s="1"/>
  <c r="U197" i="14"/>
  <c r="U1241" i="14" s="1"/>
  <c r="AZ604" i="14"/>
  <c r="BO197" i="14"/>
  <c r="BO1241" i="14" s="1"/>
  <c r="AY197" i="14"/>
  <c r="AY1241" i="14" s="1"/>
  <c r="AI197" i="14"/>
  <c r="AI1241" i="14" s="1"/>
  <c r="S197" i="14"/>
  <c r="S1241" i="14" s="1"/>
  <c r="BO604" i="14"/>
  <c r="AX604" i="14"/>
  <c r="AH604" i="14"/>
  <c r="R604" i="14"/>
  <c r="AQ197" i="14"/>
  <c r="AQ1241" i="14" s="1"/>
  <c r="K197" i="14"/>
  <c r="K1241" i="14" s="1"/>
  <c r="J197" i="14"/>
  <c r="J1241" i="14" s="1"/>
  <c r="BT197" i="14"/>
  <c r="BT1241" i="14" s="1"/>
  <c r="AO197" i="14"/>
  <c r="AO1241" i="14" s="1"/>
  <c r="BS197" i="14"/>
  <c r="BS1241" i="14" s="1"/>
  <c r="W197" i="14"/>
  <c r="W1241" i="14" s="1"/>
  <c r="BB197" i="14"/>
  <c r="BB1241" i="14" s="1"/>
  <c r="AK604" i="14"/>
  <c r="AK197" i="14"/>
  <c r="AK1241" i="14" s="1"/>
  <c r="AJ604" i="14"/>
  <c r="BP197" i="14"/>
  <c r="BP1241" i="14" s="1"/>
  <c r="AZ197" i="14"/>
  <c r="AZ1241" i="14" s="1"/>
  <c r="AJ197" i="14"/>
  <c r="AJ1241" i="14" s="1"/>
  <c r="T197" i="14"/>
  <c r="T1241" i="14" s="1"/>
  <c r="BN197" i="14"/>
  <c r="BN1241" i="14" s="1"/>
  <c r="AX197" i="14"/>
  <c r="AX1241" i="14" s="1"/>
  <c r="AH197" i="14"/>
  <c r="AH1241" i="14" s="1"/>
  <c r="R197" i="14"/>
  <c r="R1241" i="14" s="1"/>
  <c r="BM604" i="14"/>
  <c r="AW604" i="14"/>
  <c r="AI604" i="14"/>
  <c r="BY211" i="14"/>
  <c r="BY1340" i="14" s="1"/>
  <c r="BN434" i="14"/>
  <c r="BN446" i="14" s="1"/>
  <c r="BN447" i="14" s="1"/>
  <c r="BA953" i="14"/>
  <c r="BA966" i="14" s="1"/>
  <c r="BA967" i="14" s="1"/>
  <c r="BA1357" i="14" s="1"/>
  <c r="AY953" i="14"/>
  <c r="AY966" i="14" s="1"/>
  <c r="AY967" i="14" s="1"/>
  <c r="AY1357" i="14" s="1"/>
  <c r="AO434" i="14"/>
  <c r="AO225" i="14" s="1"/>
  <c r="AW953" i="14"/>
  <c r="AW966" i="14" s="1"/>
  <c r="AW967" i="14" s="1"/>
  <c r="AW1357" i="14" s="1"/>
  <c r="AS434" i="14"/>
  <c r="AS446" i="14" s="1"/>
  <c r="AS447" i="14" s="1"/>
  <c r="AN434" i="14"/>
  <c r="AN223" i="14" s="1"/>
  <c r="AU953" i="14"/>
  <c r="AU966" i="14" s="1"/>
  <c r="AU967" i="14" s="1"/>
  <c r="AU1357" i="14" s="1"/>
  <c r="BY953" i="14"/>
  <c r="BY966" i="14" s="1"/>
  <c r="BY967" i="14" s="1"/>
  <c r="BY1357" i="14" s="1"/>
  <c r="AI434" i="14"/>
  <c r="AI225" i="14" s="1"/>
  <c r="AZ953" i="14"/>
  <c r="AZ966" i="14" s="1"/>
  <c r="AZ967" i="14" s="1"/>
  <c r="AZ1357" i="14" s="1"/>
  <c r="H953" i="14"/>
  <c r="H966" i="14" s="1"/>
  <c r="H967" i="14" s="1"/>
  <c r="H1357" i="14" s="1"/>
  <c r="R434" i="14"/>
  <c r="R446" i="14" s="1"/>
  <c r="R447" i="14" s="1"/>
  <c r="AK434" i="14"/>
  <c r="AK446" i="14" s="1"/>
  <c r="AK447" i="14" s="1"/>
  <c r="Q434" i="14"/>
  <c r="Q225" i="14" s="1"/>
  <c r="BY440" i="14"/>
  <c r="BY441" i="14" s="1"/>
  <c r="BY1341" i="14" s="1"/>
  <c r="AN953" i="14"/>
  <c r="AN966" i="14" s="1"/>
  <c r="AN967" i="14" s="1"/>
  <c r="AN1357" i="14" s="1"/>
  <c r="AJ434" i="14"/>
  <c r="AJ446" i="14" s="1"/>
  <c r="AJ447" i="14" s="1"/>
  <c r="BV725" i="14"/>
  <c r="BV750" i="14" s="1"/>
  <c r="BV1355" i="14" s="1"/>
  <c r="BH434" i="14"/>
  <c r="BH446" i="14" s="1"/>
  <c r="BH447" i="14" s="1"/>
  <c r="BG434" i="14"/>
  <c r="BG225" i="14" s="1"/>
  <c r="AE953" i="14"/>
  <c r="AE966" i="14" s="1"/>
  <c r="AE967" i="14" s="1"/>
  <c r="AE1357" i="14" s="1"/>
  <c r="AF434" i="14"/>
  <c r="AF446" i="14" s="1"/>
  <c r="AF447" i="14" s="1"/>
  <c r="AB434" i="14"/>
  <c r="AB225" i="14" s="1"/>
  <c r="X434" i="14"/>
  <c r="X446" i="14" s="1"/>
  <c r="X447" i="14" s="1"/>
  <c r="BP953" i="14"/>
  <c r="BP966" i="14" s="1"/>
  <c r="BP967" i="14" s="1"/>
  <c r="BP1357" i="14" s="1"/>
  <c r="AF725" i="14"/>
  <c r="BA434" i="14"/>
  <c r="BA225" i="14" s="1"/>
  <c r="W434" i="14"/>
  <c r="W225" i="14" s="1"/>
  <c r="BK953" i="14"/>
  <c r="BK966" i="14" s="1"/>
  <c r="BK967" i="14" s="1"/>
  <c r="BK1357" i="14" s="1"/>
  <c r="W953" i="14"/>
  <c r="W966" i="14" s="1"/>
  <c r="W967" i="14" s="1"/>
  <c r="W1357" i="14" s="1"/>
  <c r="Z725" i="14"/>
  <c r="BT725" i="14"/>
  <c r="BT750" i="14" s="1"/>
  <c r="BT1355" i="14" s="1"/>
  <c r="AK953" i="14"/>
  <c r="AK966" i="14" s="1"/>
  <c r="AK967" i="14" s="1"/>
  <c r="AK1357" i="14" s="1"/>
  <c r="AH434" i="14"/>
  <c r="AH225" i="14" s="1"/>
  <c r="AM725" i="14"/>
  <c r="AM750" i="14" s="1"/>
  <c r="AM1355" i="14" s="1"/>
  <c r="BX953" i="14"/>
  <c r="BX966" i="14" s="1"/>
  <c r="BX967" i="14" s="1"/>
  <c r="BX1357" i="14" s="1"/>
  <c r="AL725" i="14"/>
  <c r="AL751" i="14" s="1"/>
  <c r="AL1356" i="14" s="1"/>
  <c r="BB434" i="14"/>
  <c r="BB223" i="14" s="1"/>
  <c r="P953" i="14"/>
  <c r="P966" i="14" s="1"/>
  <c r="P967" i="14" s="1"/>
  <c r="P1357" i="14" s="1"/>
  <c r="BY959" i="14"/>
  <c r="BY960" i="14" s="1"/>
  <c r="BY1353" i="14" s="1"/>
  <c r="BS725" i="14"/>
  <c r="BS751" i="14" s="1"/>
  <c r="BS1356" i="14" s="1"/>
  <c r="BN725" i="14"/>
  <c r="BN750" i="14" s="1"/>
  <c r="BN1355" i="14" s="1"/>
  <c r="BD434" i="14"/>
  <c r="BD446" i="14" s="1"/>
  <c r="BD447" i="14" s="1"/>
  <c r="X953" i="14"/>
  <c r="X966" i="14" s="1"/>
  <c r="X967" i="14" s="1"/>
  <c r="X1357" i="14" s="1"/>
  <c r="V953" i="14"/>
  <c r="V966" i="14" s="1"/>
  <c r="V967" i="14" s="1"/>
  <c r="V1357" i="14" s="1"/>
  <c r="BU434" i="14"/>
  <c r="BU223" i="14" s="1"/>
  <c r="V434" i="14"/>
  <c r="V446" i="14" s="1"/>
  <c r="V447" i="14" s="1"/>
  <c r="BI953" i="14"/>
  <c r="BI966" i="14" s="1"/>
  <c r="BI967" i="14" s="1"/>
  <c r="BI1357" i="14" s="1"/>
  <c r="BT434" i="14"/>
  <c r="BT446" i="14" s="1"/>
  <c r="BT447" i="14" s="1"/>
  <c r="AZ434" i="14"/>
  <c r="AZ223" i="14" s="1"/>
  <c r="U434" i="14"/>
  <c r="U446" i="14" s="1"/>
  <c r="U447" i="14" s="1"/>
  <c r="BB953" i="14"/>
  <c r="BB966" i="14" s="1"/>
  <c r="BB967" i="14" s="1"/>
  <c r="BB1357" i="14" s="1"/>
  <c r="T953" i="14"/>
  <c r="T966" i="14" s="1"/>
  <c r="T967" i="14" s="1"/>
  <c r="T1357" i="14" s="1"/>
  <c r="J440" i="14"/>
  <c r="J441" i="14" s="1"/>
  <c r="AJ953" i="14"/>
  <c r="AJ966" i="14" s="1"/>
  <c r="AJ967" i="14" s="1"/>
  <c r="AJ1357" i="14" s="1"/>
  <c r="BR725" i="14"/>
  <c r="BR750" i="14" s="1"/>
  <c r="BR1355" i="14" s="1"/>
  <c r="BW953" i="14"/>
  <c r="BW966" i="14" s="1"/>
  <c r="BW967" i="14" s="1"/>
  <c r="BW1357" i="14" s="1"/>
  <c r="AC953" i="14"/>
  <c r="AC966" i="14" s="1"/>
  <c r="AC967" i="14" s="1"/>
  <c r="AC1357" i="14" s="1"/>
  <c r="BC434" i="14"/>
  <c r="BC446" i="14" s="1"/>
  <c r="BC447" i="14" s="1"/>
  <c r="BR953" i="14"/>
  <c r="BR966" i="14" s="1"/>
  <c r="BR967" i="14" s="1"/>
  <c r="BR1357" i="14" s="1"/>
  <c r="AH725" i="14"/>
  <c r="AY434" i="14"/>
  <c r="AY223" i="14" s="1"/>
  <c r="BX434" i="14"/>
  <c r="BX223" i="14" s="1"/>
  <c r="AX434" i="14"/>
  <c r="AX225" i="14" s="1"/>
  <c r="S434" i="14"/>
  <c r="S446" i="14" s="1"/>
  <c r="S447" i="14" s="1"/>
  <c r="AV953" i="14"/>
  <c r="AV966" i="14" s="1"/>
  <c r="AV967" i="14" s="1"/>
  <c r="AV1357" i="14" s="1"/>
  <c r="Q953" i="14"/>
  <c r="Q966" i="14" s="1"/>
  <c r="Q967" i="14" s="1"/>
  <c r="Q1357" i="14" s="1"/>
  <c r="I440" i="14"/>
  <c r="I441" i="14" s="1"/>
  <c r="BF725" i="14"/>
  <c r="BF751" i="14" s="1"/>
  <c r="BF1356" i="14" s="1"/>
  <c r="X725" i="14"/>
  <c r="BM434" i="14"/>
  <c r="BM225" i="14" s="1"/>
  <c r="AW434" i="14"/>
  <c r="AW225" i="14" s="1"/>
  <c r="AG434" i="14"/>
  <c r="AG225" i="14" s="1"/>
  <c r="T434" i="14"/>
  <c r="T225" i="14" s="1"/>
  <c r="BL953" i="14"/>
  <c r="BL966" i="14" s="1"/>
  <c r="BL967" i="14" s="1"/>
  <c r="BL1357" i="14" s="1"/>
  <c r="AT953" i="14"/>
  <c r="AT966" i="14" s="1"/>
  <c r="AT967" i="14" s="1"/>
  <c r="AT1357" i="14" s="1"/>
  <c r="U953" i="14"/>
  <c r="U966" i="14" s="1"/>
  <c r="U967" i="14" s="1"/>
  <c r="U1357" i="14" s="1"/>
  <c r="BE725" i="14"/>
  <c r="BE750" i="14" s="1"/>
  <c r="BE1355" i="14" s="1"/>
  <c r="V725" i="14"/>
  <c r="BD725" i="14"/>
  <c r="BD751" i="14" s="1"/>
  <c r="BD1356" i="14" s="1"/>
  <c r="BK434" i="14"/>
  <c r="BK225" i="14" s="1"/>
  <c r="AV434" i="14"/>
  <c r="AV223" i="14" s="1"/>
  <c r="AE434" i="14"/>
  <c r="O434" i="14"/>
  <c r="O225" i="14" s="1"/>
  <c r="BQ953" i="14"/>
  <c r="BQ966" i="14" s="1"/>
  <c r="BQ967" i="14" s="1"/>
  <c r="BQ1357" i="14" s="1"/>
  <c r="AM953" i="14"/>
  <c r="AM966" i="14" s="1"/>
  <c r="AM967" i="14" s="1"/>
  <c r="AM1357" i="14" s="1"/>
  <c r="R953" i="14"/>
  <c r="R966" i="14" s="1"/>
  <c r="R967" i="14" s="1"/>
  <c r="R1357" i="14" s="1"/>
  <c r="BC725" i="14"/>
  <c r="BC751" i="14" s="1"/>
  <c r="BC1356" i="14" s="1"/>
  <c r="R725" i="14"/>
  <c r="W725" i="14"/>
  <c r="BJ434" i="14"/>
  <c r="BJ223" i="14" s="1"/>
  <c r="AU434" i="14"/>
  <c r="AU446" i="14" s="1"/>
  <c r="AU447" i="14" s="1"/>
  <c r="AD434" i="14"/>
  <c r="AD446" i="14" s="1"/>
  <c r="AD447" i="14" s="1"/>
  <c r="N434" i="14"/>
  <c r="N225" i="14" s="1"/>
  <c r="BO953" i="14"/>
  <c r="BO966" i="14" s="1"/>
  <c r="BO967" i="14" s="1"/>
  <c r="BO1357" i="14" s="1"/>
  <c r="AL953" i="14"/>
  <c r="AL966" i="14" s="1"/>
  <c r="AL967" i="14" s="1"/>
  <c r="AL1357" i="14" s="1"/>
  <c r="O953" i="14"/>
  <c r="O966" i="14" s="1"/>
  <c r="O967" i="14" s="1"/>
  <c r="O1357" i="14" s="1"/>
  <c r="BB725" i="14"/>
  <c r="BB751" i="14" s="1"/>
  <c r="BB1356" i="14" s="1"/>
  <c r="P725" i="14"/>
  <c r="BI434" i="14"/>
  <c r="BI225" i="14" s="1"/>
  <c r="AT434" i="14"/>
  <c r="AT446" i="14" s="1"/>
  <c r="AT447" i="14" s="1"/>
  <c r="AC434" i="14"/>
  <c r="AC225" i="14" s="1"/>
  <c r="M434" i="14"/>
  <c r="M225" i="14" s="1"/>
  <c r="BM953" i="14"/>
  <c r="BM966" i="14" s="1"/>
  <c r="BM967" i="14" s="1"/>
  <c r="BM1357" i="14" s="1"/>
  <c r="AF953" i="14"/>
  <c r="AF966" i="14" s="1"/>
  <c r="AF967" i="14" s="1"/>
  <c r="AF1357" i="14" s="1"/>
  <c r="M953" i="14"/>
  <c r="M966" i="14" s="1"/>
  <c r="M967" i="14" s="1"/>
  <c r="M1357" i="14" s="1"/>
  <c r="AX725" i="14"/>
  <c r="AX751" i="14" s="1"/>
  <c r="AX1356" i="14" s="1"/>
  <c r="J725" i="14"/>
  <c r="J750" i="14" s="1"/>
  <c r="J1355" i="14" s="1"/>
  <c r="AV725" i="14"/>
  <c r="AV751" i="14" s="1"/>
  <c r="AV1356" i="14" s="1"/>
  <c r="BL725" i="14"/>
  <c r="BL750" i="14" s="1"/>
  <c r="BL1355" i="14" s="1"/>
  <c r="Y725" i="14"/>
  <c r="I725" i="14"/>
  <c r="I750" i="14" s="1"/>
  <c r="I1355" i="14" s="1"/>
  <c r="AR434" i="14"/>
  <c r="AR223" i="14" s="1"/>
  <c r="AA434" i="14"/>
  <c r="AA446" i="14" s="1"/>
  <c r="AA447" i="14" s="1"/>
  <c r="K434" i="14"/>
  <c r="K446" i="14" s="1"/>
  <c r="K447" i="14" s="1"/>
  <c r="H725" i="14"/>
  <c r="H751" i="14" s="1"/>
  <c r="H1356" i="14" s="1"/>
  <c r="BV434" i="14"/>
  <c r="BV446" i="14" s="1"/>
  <c r="BV447" i="14" s="1"/>
  <c r="BF434" i="14"/>
  <c r="BF225" i="14" s="1"/>
  <c r="AQ434" i="14"/>
  <c r="AQ225" i="14" s="1"/>
  <c r="Z434" i="14"/>
  <c r="Z446" i="14" s="1"/>
  <c r="Z447" i="14" s="1"/>
  <c r="J434" i="14"/>
  <c r="J446" i="14" s="1"/>
  <c r="J447" i="14" s="1"/>
  <c r="BD953" i="14"/>
  <c r="BD966" i="14" s="1"/>
  <c r="BD967" i="14" s="1"/>
  <c r="BD1357" i="14" s="1"/>
  <c r="AG953" i="14"/>
  <c r="AG966" i="14" s="1"/>
  <c r="AG967" i="14" s="1"/>
  <c r="AG1357" i="14" s="1"/>
  <c r="AO725" i="14"/>
  <c r="AO751" i="14" s="1"/>
  <c r="AO1356" i="14" s="1"/>
  <c r="BY725" i="14"/>
  <c r="BY750" i="14" s="1"/>
  <c r="BY1355" i="14" s="1"/>
  <c r="AP725" i="14"/>
  <c r="AP751" i="14" s="1"/>
  <c r="AP1356" i="14" s="1"/>
  <c r="BW434" i="14"/>
  <c r="BW225" i="14" s="1"/>
  <c r="BE434" i="14"/>
  <c r="BE446" i="14" s="1"/>
  <c r="BE447" i="14" s="1"/>
  <c r="AP434" i="14"/>
  <c r="AP446" i="14" s="1"/>
  <c r="AP447" i="14" s="1"/>
  <c r="Y434" i="14"/>
  <c r="Y446" i="14" s="1"/>
  <c r="Y447" i="14" s="1"/>
  <c r="BC953" i="14"/>
  <c r="BC966" i="14" s="1"/>
  <c r="BC967" i="14" s="1"/>
  <c r="BC1357" i="14" s="1"/>
  <c r="AH953" i="14"/>
  <c r="AH966" i="14" s="1"/>
  <c r="AH967" i="14" s="1"/>
  <c r="AH1357" i="14" s="1"/>
  <c r="BU725" i="14"/>
  <c r="BU750" i="14" s="1"/>
  <c r="BU1355" i="14" s="1"/>
  <c r="AN725" i="14"/>
  <c r="AN750" i="14" s="1"/>
  <c r="AN1355" i="14" s="1"/>
  <c r="BN953" i="14"/>
  <c r="BN966" i="14" s="1"/>
  <c r="BN967" i="14" s="1"/>
  <c r="BN1357" i="14" s="1"/>
  <c r="AX953" i="14"/>
  <c r="AX966" i="14" s="1"/>
  <c r="AX967" i="14" s="1"/>
  <c r="AX1357" i="14" s="1"/>
  <c r="AI953" i="14"/>
  <c r="AI966" i="14" s="1"/>
  <c r="AI967" i="14" s="1"/>
  <c r="AI1357" i="14" s="1"/>
  <c r="S953" i="14"/>
  <c r="S966" i="14" s="1"/>
  <c r="S967" i="14" s="1"/>
  <c r="S1357" i="14" s="1"/>
  <c r="BF953" i="14"/>
  <c r="BF966" i="14" s="1"/>
  <c r="BF967" i="14" s="1"/>
  <c r="BF1357" i="14" s="1"/>
  <c r="AP953" i="14"/>
  <c r="AP966" i="14" s="1"/>
  <c r="AP967" i="14" s="1"/>
  <c r="AP1357" i="14" s="1"/>
  <c r="Z953" i="14"/>
  <c r="Z966" i="14" s="1"/>
  <c r="Z967" i="14" s="1"/>
  <c r="Z1357" i="14" s="1"/>
  <c r="J953" i="14"/>
  <c r="J966" i="14" s="1"/>
  <c r="J967" i="14" s="1"/>
  <c r="J1357" i="14" s="1"/>
  <c r="J959" i="14"/>
  <c r="J960" i="14" s="1"/>
  <c r="J1353" i="14" s="1"/>
  <c r="BT953" i="14"/>
  <c r="BT966" i="14" s="1"/>
  <c r="BT967" i="14" s="1"/>
  <c r="BT1357" i="14" s="1"/>
  <c r="BJ953" i="14"/>
  <c r="BJ966" i="14" s="1"/>
  <c r="BJ967" i="14" s="1"/>
  <c r="BJ1357" i="14" s="1"/>
  <c r="AS953" i="14"/>
  <c r="AS966" i="14" s="1"/>
  <c r="AS967" i="14" s="1"/>
  <c r="AS1357" i="14" s="1"/>
  <c r="AD953" i="14"/>
  <c r="AD966" i="14" s="1"/>
  <c r="AD967" i="14" s="1"/>
  <c r="AD1357" i="14" s="1"/>
  <c r="N953" i="14"/>
  <c r="N966" i="14" s="1"/>
  <c r="N967" i="14" s="1"/>
  <c r="N1357" i="14" s="1"/>
  <c r="BS953" i="14"/>
  <c r="BS966" i="14" s="1"/>
  <c r="BS967" i="14" s="1"/>
  <c r="BS1357" i="14" s="1"/>
  <c r="BH953" i="14"/>
  <c r="BH966" i="14" s="1"/>
  <c r="BH967" i="14" s="1"/>
  <c r="BH1357" i="14" s="1"/>
  <c r="AR953" i="14"/>
  <c r="AR966" i="14" s="1"/>
  <c r="AR967" i="14" s="1"/>
  <c r="AR1357" i="14" s="1"/>
  <c r="AB953" i="14"/>
  <c r="AB966" i="14" s="1"/>
  <c r="AB967" i="14" s="1"/>
  <c r="AB1357" i="14" s="1"/>
  <c r="L953" i="14"/>
  <c r="L966" i="14" s="1"/>
  <c r="L967" i="14" s="1"/>
  <c r="L1357" i="14" s="1"/>
  <c r="BU953" i="14"/>
  <c r="BU966" i="14" s="1"/>
  <c r="BU967" i="14" s="1"/>
  <c r="BU1357" i="14" s="1"/>
  <c r="BG953" i="14"/>
  <c r="BG966" i="14" s="1"/>
  <c r="BG967" i="14" s="1"/>
  <c r="BG1357" i="14" s="1"/>
  <c r="AQ953" i="14"/>
  <c r="AQ966" i="14" s="1"/>
  <c r="AQ967" i="14" s="1"/>
  <c r="AQ1357" i="14" s="1"/>
  <c r="AA953" i="14"/>
  <c r="AA966" i="14" s="1"/>
  <c r="AA967" i="14" s="1"/>
  <c r="AA1357" i="14" s="1"/>
  <c r="K953" i="14"/>
  <c r="K966" i="14" s="1"/>
  <c r="K967" i="14" s="1"/>
  <c r="K1357" i="14" s="1"/>
  <c r="BV953" i="14"/>
  <c r="BV966" i="14" s="1"/>
  <c r="BV967" i="14" s="1"/>
  <c r="BV1357" i="14" s="1"/>
  <c r="BE953" i="14"/>
  <c r="BE966" i="14" s="1"/>
  <c r="BE967" i="14" s="1"/>
  <c r="BE1357" i="14" s="1"/>
  <c r="AO953" i="14"/>
  <c r="AO966" i="14" s="1"/>
  <c r="AO967" i="14" s="1"/>
  <c r="AO1357" i="14" s="1"/>
  <c r="Y953" i="14"/>
  <c r="Y966" i="14" s="1"/>
  <c r="Y967" i="14" s="1"/>
  <c r="Y1357" i="14" s="1"/>
  <c r="BQ725" i="14"/>
  <c r="BQ751" i="14" s="1"/>
  <c r="BQ1356" i="14" s="1"/>
  <c r="AK725" i="14"/>
  <c r="AK750" i="14" s="1"/>
  <c r="AK1355" i="14" s="1"/>
  <c r="U725" i="14"/>
  <c r="BP725" i="14"/>
  <c r="BP750" i="14" s="1"/>
  <c r="BP1355" i="14" s="1"/>
  <c r="AZ725" i="14"/>
  <c r="AZ750" i="14" s="1"/>
  <c r="AZ1355" i="14" s="1"/>
  <c r="AJ725" i="14"/>
  <c r="AJ751" i="14" s="1"/>
  <c r="AJ1356" i="14" s="1"/>
  <c r="T725" i="14"/>
  <c r="BA725" i="14"/>
  <c r="BA751" i="14" s="1"/>
  <c r="BA1356" i="14" s="1"/>
  <c r="BO725" i="14"/>
  <c r="BO750" i="14" s="1"/>
  <c r="BO1355" i="14" s="1"/>
  <c r="AY725" i="14"/>
  <c r="AY751" i="14" s="1"/>
  <c r="AY1356" i="14" s="1"/>
  <c r="AI725" i="14"/>
  <c r="S725" i="14"/>
  <c r="BM725" i="14"/>
  <c r="BM750" i="14" s="1"/>
  <c r="BM1355" i="14" s="1"/>
  <c r="AW725" i="14"/>
  <c r="AW750" i="14" s="1"/>
  <c r="AW1355" i="14" s="1"/>
  <c r="AG725" i="14"/>
  <c r="Q725" i="14"/>
  <c r="AU725" i="14"/>
  <c r="AU750" i="14" s="1"/>
  <c r="AU1355" i="14" s="1"/>
  <c r="O725" i="14"/>
  <c r="BJ725" i="14"/>
  <c r="BJ751" i="14" s="1"/>
  <c r="BJ1356" i="14" s="1"/>
  <c r="AT725" i="14"/>
  <c r="AT751" i="14" s="1"/>
  <c r="AT1356" i="14" s="1"/>
  <c r="AD725" i="14"/>
  <c r="N725" i="14"/>
  <c r="BI725" i="14"/>
  <c r="BI750" i="14" s="1"/>
  <c r="BI1355" i="14" s="1"/>
  <c r="AS725" i="14"/>
  <c r="AS751" i="14" s="1"/>
  <c r="AS1356" i="14" s="1"/>
  <c r="AC725" i="14"/>
  <c r="M725" i="14"/>
  <c r="BK725" i="14"/>
  <c r="BK750" i="14" s="1"/>
  <c r="BK1355" i="14" s="1"/>
  <c r="BX725" i="14"/>
  <c r="BX750" i="14" s="1"/>
  <c r="BX1355" i="14" s="1"/>
  <c r="BH725" i="14"/>
  <c r="BH751" i="14" s="1"/>
  <c r="BH1356" i="14" s="1"/>
  <c r="AR725" i="14"/>
  <c r="AR750" i="14" s="1"/>
  <c r="AR1355" i="14" s="1"/>
  <c r="AB725" i="14"/>
  <c r="L725" i="14"/>
  <c r="AE725" i="14"/>
  <c r="BW725" i="14"/>
  <c r="BW750" i="14" s="1"/>
  <c r="BW1355" i="14" s="1"/>
  <c r="BG725" i="14"/>
  <c r="BG750" i="14" s="1"/>
  <c r="BG1355" i="14" s="1"/>
  <c r="AQ725" i="14"/>
  <c r="AQ750" i="14" s="1"/>
  <c r="AQ1355" i="14" s="1"/>
  <c r="AA725" i="14"/>
  <c r="K725" i="14"/>
  <c r="Z1223" i="14"/>
  <c r="Z1246" i="14"/>
  <c r="BW1223" i="14"/>
  <c r="BW1246" i="14"/>
  <c r="W1223" i="14"/>
  <c r="W1246" i="14"/>
  <c r="AL1223" i="14"/>
  <c r="AL1246" i="14"/>
  <c r="BQ1223" i="14"/>
  <c r="BQ1246" i="14"/>
  <c r="AZ1223" i="14"/>
  <c r="AZ1246" i="14"/>
  <c r="BO1223" i="14"/>
  <c r="BO1246" i="14"/>
  <c r="BN1223" i="14"/>
  <c r="BN1246" i="14"/>
  <c r="BM1223" i="14"/>
  <c r="BM1246" i="14"/>
  <c r="AW1223" i="14"/>
  <c r="AW1246" i="14"/>
  <c r="AG1223" i="14"/>
  <c r="AG1246" i="14"/>
  <c r="Q1223" i="14"/>
  <c r="Q1246" i="14"/>
  <c r="BE1223" i="14"/>
  <c r="BE1246" i="14"/>
  <c r="AM1223" i="14"/>
  <c r="AM1246" i="14"/>
  <c r="BR1223" i="14"/>
  <c r="BR1246" i="14"/>
  <c r="BP1223" i="14"/>
  <c r="BP1246" i="14"/>
  <c r="AY1223" i="14"/>
  <c r="AY1246" i="14"/>
  <c r="R1223" i="14"/>
  <c r="R1246" i="14"/>
  <c r="P1223" i="14"/>
  <c r="P1246" i="14"/>
  <c r="BK1223" i="14"/>
  <c r="BK1246" i="14"/>
  <c r="AU1223" i="14"/>
  <c r="AU1246" i="14"/>
  <c r="AE1223" i="14"/>
  <c r="AE1246" i="14"/>
  <c r="N1223" i="14"/>
  <c r="N1246" i="14"/>
  <c r="J1223" i="14"/>
  <c r="J1246" i="14"/>
  <c r="Y1223" i="14"/>
  <c r="Y1246" i="14"/>
  <c r="BD1223" i="14"/>
  <c r="BD1246" i="14"/>
  <c r="V1223" i="14"/>
  <c r="V1246" i="14"/>
  <c r="BA1223" i="14"/>
  <c r="BA1246" i="14"/>
  <c r="AI1223" i="14"/>
  <c r="AI1246" i="14"/>
  <c r="AX1223" i="14"/>
  <c r="AX1246" i="14"/>
  <c r="AF1223" i="14"/>
  <c r="AF1246" i="14"/>
  <c r="BJ1223" i="14"/>
  <c r="BJ1246" i="14"/>
  <c r="AT1223" i="14"/>
  <c r="AT1246" i="14"/>
  <c r="AD1223" i="14"/>
  <c r="AD1246" i="14"/>
  <c r="O1223" i="14"/>
  <c r="O1246" i="14"/>
  <c r="BF1223" i="14"/>
  <c r="BF1246" i="14"/>
  <c r="X1223" i="14"/>
  <c r="X1246" i="14"/>
  <c r="BS1223" i="14"/>
  <c r="BS1246" i="14"/>
  <c r="BB1223" i="14"/>
  <c r="BB1246" i="14"/>
  <c r="U1223" i="14"/>
  <c r="U1246" i="14"/>
  <c r="AJ1223" i="14"/>
  <c r="AJ1246" i="14"/>
  <c r="AH1223" i="14"/>
  <c r="AH1246" i="14"/>
  <c r="BL1223" i="14"/>
  <c r="BL1246" i="14"/>
  <c r="BI1223" i="14"/>
  <c r="BI1246" i="14"/>
  <c r="AS1223" i="14"/>
  <c r="AS1246" i="14"/>
  <c r="AC1223" i="14"/>
  <c r="AC1246" i="14"/>
  <c r="M1223" i="14"/>
  <c r="M1246" i="14"/>
  <c r="BV1223" i="14"/>
  <c r="BV1246" i="14"/>
  <c r="I1223" i="14"/>
  <c r="I1246" i="14"/>
  <c r="BX1223" i="14"/>
  <c r="BX1246" i="14"/>
  <c r="AK1223" i="14"/>
  <c r="AK1246" i="14"/>
  <c r="T1223" i="14"/>
  <c r="T1246" i="14"/>
  <c r="S1223" i="14"/>
  <c r="S1246" i="14"/>
  <c r="BU1223" i="14"/>
  <c r="BU1246" i="14"/>
  <c r="BH1223" i="14"/>
  <c r="BH1246" i="14"/>
  <c r="AR1223" i="14"/>
  <c r="AR1246" i="14"/>
  <c r="AB1223" i="14"/>
  <c r="AB1246" i="14"/>
  <c r="L1223" i="14"/>
  <c r="L1246" i="14"/>
  <c r="AP1223" i="14"/>
  <c r="AP1246" i="14"/>
  <c r="AO1223" i="14"/>
  <c r="AO1246" i="14"/>
  <c r="AN1223" i="14"/>
  <c r="AN1246" i="14"/>
  <c r="BC1223" i="14"/>
  <c r="BC1246" i="14"/>
  <c r="AV1223" i="14"/>
  <c r="AV1246" i="14"/>
  <c r="BT1223" i="14"/>
  <c r="BT1246" i="14"/>
  <c r="BG1223" i="14"/>
  <c r="BG1246" i="14"/>
  <c r="AQ1223" i="14"/>
  <c r="AQ1246" i="14"/>
  <c r="AA1223" i="14"/>
  <c r="AA1246" i="14"/>
  <c r="K1223" i="14"/>
  <c r="K1246" i="14"/>
  <c r="AZ1201" i="14"/>
  <c r="AH1201" i="14"/>
  <c r="BL1201" i="14"/>
  <c r="AY1201" i="14"/>
  <c r="AI1201" i="14"/>
  <c r="S1201" i="14"/>
  <c r="BM1201" i="14"/>
  <c r="AW1201" i="14"/>
  <c r="AF1201" i="14"/>
  <c r="Q1201" i="14"/>
  <c r="T1201" i="14"/>
  <c r="BG1201" i="14"/>
  <c r="AV1201" i="14"/>
  <c r="AG1201" i="14"/>
  <c r="P1201" i="14"/>
  <c r="BK1201" i="14"/>
  <c r="AO1201" i="14"/>
  <c r="AE1201" i="14"/>
  <c r="O1201" i="14"/>
  <c r="BP1201" i="14"/>
  <c r="AQ1201" i="14"/>
  <c r="R1201" i="14"/>
  <c r="BI1201" i="14"/>
  <c r="AU1201" i="14"/>
  <c r="AA1201" i="14"/>
  <c r="K1201" i="14"/>
  <c r="BS1201" i="14"/>
  <c r="BJ1201" i="14"/>
  <c r="AS1201" i="14"/>
  <c r="AC1201" i="14"/>
  <c r="M1201" i="14"/>
  <c r="H1201" i="14"/>
  <c r="BT1201" i="14"/>
  <c r="AT1201" i="14"/>
  <c r="AB1201" i="14"/>
  <c r="N1201" i="14"/>
  <c r="AR1201" i="14"/>
  <c r="Z1201" i="14"/>
  <c r="L1201" i="14"/>
  <c r="BN1201" i="14"/>
  <c r="BH1201" i="14"/>
  <c r="BF1201" i="14"/>
  <c r="BW1201" i="14"/>
  <c r="BE1201" i="14"/>
  <c r="AP1201" i="14"/>
  <c r="Y1201" i="14"/>
  <c r="J1201" i="14"/>
  <c r="AJ1201" i="14"/>
  <c r="BU1201" i="14"/>
  <c r="BV1201" i="14"/>
  <c r="BD1201" i="14"/>
  <c r="AN1201" i="14"/>
  <c r="X1201" i="14"/>
  <c r="I1201" i="14"/>
  <c r="BX1201" i="14"/>
  <c r="BC1201" i="14"/>
  <c r="AM1201" i="14"/>
  <c r="W1201" i="14"/>
  <c r="BY1201" i="14"/>
  <c r="AD1201" i="14"/>
  <c r="AX1201" i="14"/>
  <c r="BR1201" i="14"/>
  <c r="BB1201" i="14"/>
  <c r="AL1201" i="14"/>
  <c r="V1201" i="14"/>
  <c r="BO1201" i="14"/>
  <c r="BQ1201" i="14"/>
  <c r="BA1201" i="14"/>
  <c r="AK1201" i="14"/>
  <c r="U1201" i="14"/>
  <c r="I966" i="14"/>
  <c r="I967" i="14" s="1"/>
  <c r="I1357" i="14" s="1"/>
  <c r="AC1266" i="14"/>
  <c r="BT1266" i="14"/>
  <c r="BG1266" i="14"/>
  <c r="AR1266" i="14"/>
  <c r="AA1266" i="14"/>
  <c r="K1266" i="14"/>
  <c r="AE1266" i="14"/>
  <c r="AD1266" i="14"/>
  <c r="AT1266" i="14"/>
  <c r="BH1266" i="14"/>
  <c r="BW1266" i="14"/>
  <c r="BE1266" i="14"/>
  <c r="AP1266" i="14"/>
  <c r="Y1266" i="14"/>
  <c r="I446" i="14"/>
  <c r="I447" i="14" s="1"/>
  <c r="I1266" i="14"/>
  <c r="AU1266" i="14"/>
  <c r="BU1266" i="14"/>
  <c r="BX1266" i="14"/>
  <c r="BD1266" i="14"/>
  <c r="AO446" i="14"/>
  <c r="AO447" i="14" s="1"/>
  <c r="AO1266" i="14"/>
  <c r="X1266" i="14"/>
  <c r="H446" i="14"/>
  <c r="H447" i="14" s="1"/>
  <c r="H1266" i="14"/>
  <c r="AF1266" i="14"/>
  <c r="AV1266" i="14"/>
  <c r="Z1266" i="14"/>
  <c r="BS446" i="14"/>
  <c r="BS447" i="14" s="1"/>
  <c r="BS1266" i="14"/>
  <c r="BC1266" i="14"/>
  <c r="AN1266" i="14"/>
  <c r="W1266" i="14"/>
  <c r="AM446" i="14"/>
  <c r="AM447" i="14" s="1"/>
  <c r="AM1266" i="14"/>
  <c r="AB1266" i="14"/>
  <c r="BR446" i="14"/>
  <c r="BR447" i="14" s="1"/>
  <c r="BR1266" i="14"/>
  <c r="BB1266" i="14"/>
  <c r="AL446" i="14"/>
  <c r="AL447" i="14" s="1"/>
  <c r="AL1266" i="14"/>
  <c r="V1266" i="14"/>
  <c r="P446" i="14"/>
  <c r="P447" i="14" s="1"/>
  <c r="P1266" i="14"/>
  <c r="O1266" i="14"/>
  <c r="BJ1266" i="14"/>
  <c r="J1266" i="14"/>
  <c r="BQ446" i="14"/>
  <c r="BQ447" i="14" s="1"/>
  <c r="BQ1266" i="14"/>
  <c r="BA1266" i="14"/>
  <c r="AK1266" i="14"/>
  <c r="U1266" i="14"/>
  <c r="AS1266" i="14"/>
  <c r="BF1266" i="14"/>
  <c r="BP446" i="14"/>
  <c r="BP447" i="14" s="1"/>
  <c r="BP1266" i="14"/>
  <c r="AY1266" i="14"/>
  <c r="AI1266" i="14"/>
  <c r="S1266" i="14"/>
  <c r="BL446" i="14"/>
  <c r="BL447" i="14" s="1"/>
  <c r="BL1266" i="14"/>
  <c r="AQ1266" i="14"/>
  <c r="BO446" i="14"/>
  <c r="BO447" i="14" s="1"/>
  <c r="BO1266" i="14"/>
  <c r="AZ1266" i="14"/>
  <c r="AJ1266" i="14"/>
  <c r="R1266" i="14"/>
  <c r="BK1266" i="14"/>
  <c r="N1266" i="14"/>
  <c r="BI446" i="14"/>
  <c r="BI447" i="14" s="1"/>
  <c r="BI1266" i="14"/>
  <c r="L446" i="14"/>
  <c r="L447" i="14" s="1"/>
  <c r="L1266" i="14"/>
  <c r="BV1266" i="14"/>
  <c r="BN1266" i="14"/>
  <c r="AX1266" i="14"/>
  <c r="AH1266" i="14"/>
  <c r="Q1266" i="14"/>
  <c r="H1247" i="14"/>
  <c r="H1223" i="14"/>
  <c r="M1266" i="14"/>
  <c r="BM1266" i="14"/>
  <c r="AW1266" i="14"/>
  <c r="AG1266" i="14"/>
  <c r="T1266" i="14"/>
  <c r="BY1241" i="14"/>
  <c r="BY1223" i="14"/>
  <c r="AO82" i="14"/>
  <c r="BP217" i="14"/>
  <c r="BP1344" i="14" s="1"/>
  <c r="BP216" i="14"/>
  <c r="BI82" i="14"/>
  <c r="AU82" i="14"/>
  <c r="AA82" i="14"/>
  <c r="K82" i="14"/>
  <c r="BO217" i="14"/>
  <c r="BO1344" i="14" s="1"/>
  <c r="BO216" i="14"/>
  <c r="BO1343" i="14" s="1"/>
  <c r="AY216" i="14"/>
  <c r="AY1343" i="14" s="1"/>
  <c r="AY217" i="14"/>
  <c r="AY1344" i="14" s="1"/>
  <c r="BL216" i="14"/>
  <c r="BL217" i="14"/>
  <c r="BL1344" i="14" s="1"/>
  <c r="BD82" i="14"/>
  <c r="AS217" i="14"/>
  <c r="AS1344" i="14" s="1"/>
  <c r="AS216" i="14"/>
  <c r="BK82" i="14"/>
  <c r="O82" i="14"/>
  <c r="AZ217" i="14"/>
  <c r="AZ1344" i="14" s="1"/>
  <c r="AZ216" i="14"/>
  <c r="BS82" i="14"/>
  <c r="BJ82" i="14"/>
  <c r="AS82" i="14"/>
  <c r="AC82" i="14"/>
  <c r="M82" i="14"/>
  <c r="BN217" i="14"/>
  <c r="BN1344" i="14" s="1"/>
  <c r="BN216" i="14"/>
  <c r="BN1343" i="14" s="1"/>
  <c r="AX216" i="14"/>
  <c r="AX1343" i="14" s="1"/>
  <c r="AX217" i="14"/>
  <c r="AX1344" i="14" s="1"/>
  <c r="AB82" i="14"/>
  <c r="Z82" i="14"/>
  <c r="J82" i="14"/>
  <c r="I82" i="14"/>
  <c r="BI217" i="14"/>
  <c r="BI1344" i="14" s="1"/>
  <c r="BI216" i="14"/>
  <c r="BI1343" i="14" s="1"/>
  <c r="BH216" i="14"/>
  <c r="BH1343" i="14" s="1"/>
  <c r="BH217" i="14"/>
  <c r="BH1344" i="14" s="1"/>
  <c r="N82" i="14"/>
  <c r="L82" i="14"/>
  <c r="AM82" i="14"/>
  <c r="AL82" i="14"/>
  <c r="BU216" i="14"/>
  <c r="BU217" i="14"/>
  <c r="BU1344" i="14" s="1"/>
  <c r="BA82" i="14"/>
  <c r="U82" i="14"/>
  <c r="BT216" i="14"/>
  <c r="BT1343" i="14" s="1"/>
  <c r="BT217" i="14"/>
  <c r="BT1344" i="14" s="1"/>
  <c r="BG216" i="14"/>
  <c r="BG1343" i="14" s="1"/>
  <c r="BG217" i="14"/>
  <c r="BG1344" i="14" s="1"/>
  <c r="AQ216" i="14"/>
  <c r="AQ217" i="14"/>
  <c r="AQ1344" i="14" s="1"/>
  <c r="AW216" i="14"/>
  <c r="AW1343" i="14" s="1"/>
  <c r="AW217" i="14"/>
  <c r="AW1344" i="14" s="1"/>
  <c r="AU216" i="14"/>
  <c r="AU217" i="14"/>
  <c r="AU1344" i="14" s="1"/>
  <c r="BX82" i="14"/>
  <c r="V82" i="14"/>
  <c r="AR217" i="14"/>
  <c r="AR1344" i="14" s="1"/>
  <c r="AR216" i="14"/>
  <c r="AR1343" i="14" s="1"/>
  <c r="BQ82" i="14"/>
  <c r="AK82" i="14"/>
  <c r="BP82" i="14"/>
  <c r="AZ82" i="14"/>
  <c r="AJ82" i="14"/>
  <c r="T82" i="14"/>
  <c r="BV216" i="14"/>
  <c r="BV1343" i="14" s="1"/>
  <c r="BV217" i="14"/>
  <c r="BV1344" i="14" s="1"/>
  <c r="BF217" i="14"/>
  <c r="BF1344" i="14" s="1"/>
  <c r="BF216" i="14"/>
  <c r="AP217" i="14"/>
  <c r="AP1344" i="14" s="1"/>
  <c r="AP216" i="14"/>
  <c r="AP1343" i="14" s="1"/>
  <c r="J217" i="14"/>
  <c r="J1344" i="14" s="1"/>
  <c r="J216" i="14"/>
  <c r="J1343" i="14" s="1"/>
  <c r="BE216" i="14"/>
  <c r="BE1343" i="14" s="1"/>
  <c r="BE217" i="14"/>
  <c r="BE1344" i="14" s="1"/>
  <c r="AO216" i="14"/>
  <c r="AO1343" i="14" s="1"/>
  <c r="AO217" i="14"/>
  <c r="AO1344" i="14" s="1"/>
  <c r="I216" i="14"/>
  <c r="I1343" i="14" s="1"/>
  <c r="I217" i="14"/>
  <c r="I1344" i="14" s="1"/>
  <c r="BY82" i="14"/>
  <c r="BT82" i="14"/>
  <c r="AV216" i="14"/>
  <c r="AV1343" i="14" s="1"/>
  <c r="AV217" i="14"/>
  <c r="AV1344" i="14" s="1"/>
  <c r="AP82" i="14"/>
  <c r="BV82" i="14"/>
  <c r="AT82" i="14"/>
  <c r="BF82" i="14"/>
  <c r="Y82" i="14"/>
  <c r="X82" i="14"/>
  <c r="AT217" i="14"/>
  <c r="AT1344" i="14" s="1"/>
  <c r="AT216" i="14"/>
  <c r="AT1343" i="14" s="1"/>
  <c r="BB82" i="14"/>
  <c r="BO82" i="14"/>
  <c r="AQ82" i="14"/>
  <c r="AD82" i="14"/>
  <c r="H82" i="14"/>
  <c r="BW217" i="14"/>
  <c r="BW1344" i="14" s="1"/>
  <c r="BW216" i="14"/>
  <c r="BW1343" i="14" s="1"/>
  <c r="BN82" i="14"/>
  <c r="AX82" i="14"/>
  <c r="AH82" i="14"/>
  <c r="R82" i="14"/>
  <c r="BX217" i="14"/>
  <c r="BX1344" i="14" s="1"/>
  <c r="BX216" i="14"/>
  <c r="BX1343" i="14" s="1"/>
  <c r="BD217" i="14"/>
  <c r="BD1344" i="14" s="1"/>
  <c r="BD216" i="14"/>
  <c r="BD1343" i="14" s="1"/>
  <c r="AN216" i="14"/>
  <c r="AN1343" i="14" s="1"/>
  <c r="AN217" i="14"/>
  <c r="AN1344" i="14" s="1"/>
  <c r="H217" i="14"/>
  <c r="H1344" i="14" s="1"/>
  <c r="H216" i="14"/>
  <c r="H1343" i="14" s="1"/>
  <c r="BL82" i="14"/>
  <c r="AY82" i="14"/>
  <c r="AI82" i="14"/>
  <c r="S82" i="14"/>
  <c r="BS217" i="14"/>
  <c r="BS1344" i="14" s="1"/>
  <c r="BS216" i="14"/>
  <c r="BS1343" i="14" s="1"/>
  <c r="BC217" i="14"/>
  <c r="BC1344" i="14" s="1"/>
  <c r="BC216" i="14"/>
  <c r="BC1343" i="14" s="1"/>
  <c r="AM217" i="14"/>
  <c r="AM1344" i="14" s="1"/>
  <c r="AM216" i="14"/>
  <c r="AM1343" i="14" s="1"/>
  <c r="BY217" i="14"/>
  <c r="BY1344" i="14" s="1"/>
  <c r="BY216" i="14"/>
  <c r="BY1343" i="14" s="1"/>
  <c r="BM216" i="14"/>
  <c r="BM1343" i="14" s="1"/>
  <c r="BM217" i="14"/>
  <c r="BM1344" i="14" s="1"/>
  <c r="BU82" i="14"/>
  <c r="BE82" i="14"/>
  <c r="BJ216" i="14"/>
  <c r="BJ1343" i="14" s="1"/>
  <c r="BJ217" i="14"/>
  <c r="BJ1344" i="14" s="1"/>
  <c r="W82" i="14"/>
  <c r="BR82" i="14"/>
  <c r="BM82" i="14"/>
  <c r="AW82" i="14"/>
  <c r="AF82" i="14"/>
  <c r="Q82" i="14"/>
  <c r="BR216" i="14"/>
  <c r="BR1343" i="14" s="1"/>
  <c r="BR217" i="14"/>
  <c r="BR1344" i="14" s="1"/>
  <c r="BB216" i="14"/>
  <c r="BB217" i="14"/>
  <c r="BB1344" i="14" s="1"/>
  <c r="AL217" i="14"/>
  <c r="AL1344" i="14" s="1"/>
  <c r="AL216" i="14"/>
  <c r="BH82" i="14"/>
  <c r="AR82" i="14"/>
  <c r="BW82" i="14"/>
  <c r="BC82" i="14"/>
  <c r="BG82" i="14"/>
  <c r="AV82" i="14"/>
  <c r="AG82" i="14"/>
  <c r="P82" i="14"/>
  <c r="BQ217" i="14"/>
  <c r="BQ1344" i="14" s="1"/>
  <c r="BQ216" i="14"/>
  <c r="BA217" i="14"/>
  <c r="BA1344" i="14" s="1"/>
  <c r="BA216" i="14"/>
  <c r="BA1343" i="14" s="1"/>
  <c r="AK217" i="14"/>
  <c r="AK1344" i="14" s="1"/>
  <c r="AK216" i="14"/>
  <c r="BK217" i="14"/>
  <c r="BK1344" i="14" s="1"/>
  <c r="BK216" i="14"/>
  <c r="BK1343" i="14" s="1"/>
  <c r="AN82" i="14"/>
  <c r="AE82" i="14"/>
  <c r="AJ217" i="14"/>
  <c r="AJ1344" i="14" s="1"/>
  <c r="AJ216" i="14"/>
  <c r="BY1142" i="14"/>
  <c r="BY1146" i="14" s="1"/>
  <c r="BX1154" i="14"/>
  <c r="Z1316" i="14" a="1"/>
  <c r="Z1316" i="14" s="1"/>
  <c r="Z1328" i="14" a="1"/>
  <c r="Z1328" i="14" s="1"/>
  <c r="Y1316" i="14" a="1"/>
  <c r="Y1316" i="14" s="1"/>
  <c r="Y1328" i="14" a="1"/>
  <c r="Y1328" i="14" s="1"/>
  <c r="X1316" i="14" a="1"/>
  <c r="X1316" i="14" s="1"/>
  <c r="X1328" i="14" a="1"/>
  <c r="X1328" i="14" s="1"/>
  <c r="W1328" i="14" a="1"/>
  <c r="W1328" i="14" s="1"/>
  <c r="W1316" i="14" a="1"/>
  <c r="W1316" i="14" s="1"/>
  <c r="U1328" i="14" a="1"/>
  <c r="U1328" i="14" s="1"/>
  <c r="U1316" i="14" a="1"/>
  <c r="U1316" i="14" s="1"/>
  <c r="V1328" i="14" a="1"/>
  <c r="V1328" i="14" s="1"/>
  <c r="V1316" i="14" a="1"/>
  <c r="V1316" i="14" s="1"/>
  <c r="T1328" i="14" a="1"/>
  <c r="T1328" i="14" s="1"/>
  <c r="T1316" i="14" a="1"/>
  <c r="T1316" i="14" s="1"/>
  <c r="S1328" i="14" a="1"/>
  <c r="S1328" i="14" s="1"/>
  <c r="S1316" i="14" a="1"/>
  <c r="S1316" i="14" s="1"/>
  <c r="R1316" i="14" a="1"/>
  <c r="R1316" i="14" s="1"/>
  <c r="R1328" i="14" a="1"/>
  <c r="R1328" i="14" s="1"/>
  <c r="Q1316" i="14" a="1"/>
  <c r="Q1316" i="14" s="1"/>
  <c r="Q1328" i="14" a="1"/>
  <c r="Q1328" i="14" s="1"/>
  <c r="P1316" i="14" a="1"/>
  <c r="P1316" i="14" s="1"/>
  <c r="P1328" i="14" a="1"/>
  <c r="P1328" i="14" s="1"/>
  <c r="O1316" i="14" a="1"/>
  <c r="O1316" i="14" s="1"/>
  <c r="O1328" i="14" a="1"/>
  <c r="O1328" i="14" s="1"/>
  <c r="N1316" i="14" a="1"/>
  <c r="N1316" i="14" s="1"/>
  <c r="N1328" i="14" a="1"/>
  <c r="N1328" i="14" s="1"/>
  <c r="K1314" i="14" a="1"/>
  <c r="K1314" i="14" s="1"/>
  <c r="K1326" i="14" a="1"/>
  <c r="K1326" i="14" s="1"/>
  <c r="K1316" i="14" a="1"/>
  <c r="K1316" i="14" s="1"/>
  <c r="K1328" i="14" a="1"/>
  <c r="K1328" i="14" s="1"/>
  <c r="L1316" i="14" a="1"/>
  <c r="L1316" i="14" s="1"/>
  <c r="L1328" i="14" a="1"/>
  <c r="L1328" i="14" s="1"/>
  <c r="Q1314" i="14" a="1"/>
  <c r="Q1314" i="14" s="1"/>
  <c r="Q1326" i="14" a="1"/>
  <c r="Q1326" i="14" s="1"/>
  <c r="P1326" i="14" a="1"/>
  <c r="P1326" i="14" s="1"/>
  <c r="P1314" i="14" a="1"/>
  <c r="P1314" i="14" s="1"/>
  <c r="O1314" i="14" a="1"/>
  <c r="O1314" i="14" s="1"/>
  <c r="O1326" i="14" a="1"/>
  <c r="O1326" i="14" s="1"/>
  <c r="N1326" i="14" a="1"/>
  <c r="N1326" i="14" s="1"/>
  <c r="N1314" i="14" a="1"/>
  <c r="N1314" i="14" s="1"/>
  <c r="M1326" i="14" a="1"/>
  <c r="M1326" i="14" s="1"/>
  <c r="M1314" i="14" a="1"/>
  <c r="M1314" i="14" s="1"/>
  <c r="L1314" i="14" a="1"/>
  <c r="L1314" i="14" s="1"/>
  <c r="L1326" i="14" a="1"/>
  <c r="L1326" i="14" s="1"/>
  <c r="H1328" i="14" a="1"/>
  <c r="H1328" i="14" s="1"/>
  <c r="H1316" i="14" a="1"/>
  <c r="H1316" i="14" s="1"/>
  <c r="K1312" i="14" a="1"/>
  <c r="K1312" i="14" s="1"/>
  <c r="K1324" i="14" a="1"/>
  <c r="K1324" i="14" s="1"/>
  <c r="H1255" i="14"/>
  <c r="BY1133" i="14"/>
  <c r="BY1135" i="14" s="1"/>
  <c r="BY1141" i="14"/>
  <c r="BY1143" i="14"/>
  <c r="BV225" i="14"/>
  <c r="I225" i="14"/>
  <c r="BS225" i="14"/>
  <c r="BY225" i="14"/>
  <c r="BR225" i="14"/>
  <c r="AL225" i="14"/>
  <c r="BQ225" i="14"/>
  <c r="U225" i="14"/>
  <c r="BP225" i="14"/>
  <c r="BO225" i="14"/>
  <c r="BL225" i="14"/>
  <c r="AM225" i="14"/>
  <c r="P225" i="14"/>
  <c r="L225" i="14"/>
  <c r="H225" i="14"/>
  <c r="BY745" i="14"/>
  <c r="K738" i="14"/>
  <c r="K1351" i="14" s="1"/>
  <c r="BW925" i="14"/>
  <c r="BG925" i="14"/>
  <c r="AQ925" i="14"/>
  <c r="BU925" i="14"/>
  <c r="BF925" i="14"/>
  <c r="AP925" i="14"/>
  <c r="BV925" i="14"/>
  <c r="BE925" i="14"/>
  <c r="AO925" i="14"/>
  <c r="BT925" i="14"/>
  <c r="BD925" i="14"/>
  <c r="AN925" i="14"/>
  <c r="BS925" i="14"/>
  <c r="BC925" i="14"/>
  <c r="AM925" i="14"/>
  <c r="BR925" i="14"/>
  <c r="BB925" i="14"/>
  <c r="AL925" i="14"/>
  <c r="BQ925" i="14"/>
  <c r="BA925" i="14"/>
  <c r="AK925" i="14"/>
  <c r="BP925" i="14"/>
  <c r="AZ925" i="14"/>
  <c r="AJ925" i="14"/>
  <c r="BO925" i="14"/>
  <c r="AY925" i="14"/>
  <c r="AI925" i="14"/>
  <c r="BN925" i="14"/>
  <c r="AX925" i="14"/>
  <c r="AH925" i="14"/>
  <c r="BM925" i="14"/>
  <c r="AW925" i="14"/>
  <c r="AG925" i="14"/>
  <c r="BL925" i="14"/>
  <c r="AV925" i="14"/>
  <c r="AF925" i="14"/>
  <c r="BK925" i="14"/>
  <c r="AU925" i="14"/>
  <c r="AE925" i="14"/>
  <c r="BJ925" i="14"/>
  <c r="AT925" i="14"/>
  <c r="AD925" i="14"/>
  <c r="BI925" i="14"/>
  <c r="AS925" i="14"/>
  <c r="AC925" i="14"/>
  <c r="BY738" i="14"/>
  <c r="BY1351" i="14" s="1"/>
  <c r="BX925" i="14"/>
  <c r="BH925" i="14"/>
  <c r="AR925" i="14"/>
  <c r="AB925" i="14"/>
  <c r="BY1339" i="14"/>
  <c r="BQ222" i="14"/>
  <c r="U222" i="14"/>
  <c r="AZ222" i="14"/>
  <c r="AJ222" i="14"/>
  <c r="T222" i="14"/>
  <c r="BO222" i="14"/>
  <c r="AX222" i="14"/>
  <c r="BM222" i="14"/>
  <c r="AW222" i="14"/>
  <c r="Q222" i="14"/>
  <c r="BL222" i="14"/>
  <c r="AV222" i="14"/>
  <c r="AF222" i="14"/>
  <c r="P222" i="14"/>
  <c r="BK222" i="14"/>
  <c r="AU222" i="14"/>
  <c r="O222" i="14"/>
  <c r="BJ222" i="14"/>
  <c r="AT222" i="14"/>
  <c r="N222" i="14"/>
  <c r="BI222" i="14"/>
  <c r="AS222" i="14"/>
  <c r="M222" i="14"/>
  <c r="BX222" i="14"/>
  <c r="BH222" i="14"/>
  <c r="AR222" i="14"/>
  <c r="AB222" i="14"/>
  <c r="L222" i="14"/>
  <c r="BP222" i="14"/>
  <c r="AQ222" i="14"/>
  <c r="BV222" i="14"/>
  <c r="K222" i="14"/>
  <c r="BT222" i="14"/>
  <c r="AO222" i="14"/>
  <c r="J222" i="14"/>
  <c r="BU222" i="14"/>
  <c r="BD222" i="14"/>
  <c r="AN222" i="14"/>
  <c r="R222" i="14"/>
  <c r="BC222" i="14"/>
  <c r="AM222" i="14"/>
  <c r="I222" i="14"/>
  <c r="I223" i="14" s="1"/>
  <c r="BW222" i="14"/>
  <c r="BR222" i="14"/>
  <c r="V222" i="14"/>
  <c r="H222" i="14"/>
  <c r="J611" i="14"/>
  <c r="I611" i="14"/>
  <c r="I1350" i="14" s="1"/>
  <c r="BY611" i="14"/>
  <c r="H223" i="14"/>
  <c r="BL223" i="14"/>
  <c r="BS223" i="14"/>
  <c r="BY223" i="14"/>
  <c r="BQ223" i="14"/>
  <c r="BH223" i="14"/>
  <c r="BV223" i="14"/>
  <c r="BR223" i="14"/>
  <c r="BP223" i="14"/>
  <c r="BO223" i="14"/>
  <c r="AM223" i="14"/>
  <c r="AL223" i="14"/>
  <c r="AO223" i="14"/>
  <c r="C609" i="14"/>
  <c r="C623" i="14" s="1"/>
  <c r="BO1058" i="14"/>
  <c r="AY1058" i="14"/>
  <c r="AG1058" i="14"/>
  <c r="BN1058" i="14"/>
  <c r="AX1058" i="14"/>
  <c r="AI1058" i="14"/>
  <c r="BM1058" i="14"/>
  <c r="AW1058" i="14"/>
  <c r="AH1058" i="14"/>
  <c r="BF1058" i="14"/>
  <c r="AP1058" i="14"/>
  <c r="BK1058" i="14"/>
  <c r="AU1058" i="14"/>
  <c r="AE1058" i="14"/>
  <c r="BI1058" i="14"/>
  <c r="AT1058" i="14"/>
  <c r="AC1058" i="14"/>
  <c r="BT1058" i="14"/>
  <c r="BJ1058" i="14"/>
  <c r="AS1058" i="14"/>
  <c r="AD1058" i="14"/>
  <c r="BS1058" i="14"/>
  <c r="BH1058" i="14"/>
  <c r="AR1058" i="14"/>
  <c r="AB1058" i="14"/>
  <c r="BU1058" i="14"/>
  <c r="BG1058" i="14"/>
  <c r="AQ1058" i="14"/>
  <c r="AZ1058" i="14"/>
  <c r="BV1058" i="14"/>
  <c r="BE1058" i="14"/>
  <c r="AO1058" i="14"/>
  <c r="BW1058" i="14"/>
  <c r="BD1058" i="14"/>
  <c r="AN1058" i="14"/>
  <c r="BQ1058" i="14"/>
  <c r="BX1058" i="14"/>
  <c r="BC1058" i="14"/>
  <c r="AM1058" i="14"/>
  <c r="AK1058" i="14"/>
  <c r="BR1058" i="14"/>
  <c r="BB1058" i="14"/>
  <c r="AL1058" i="14"/>
  <c r="BL1058" i="14"/>
  <c r="AV1058" i="14"/>
  <c r="AF1058" i="14"/>
  <c r="BP1058" i="14"/>
  <c r="BA1058" i="14"/>
  <c r="AJ1058" i="14"/>
  <c r="H1058" i="14"/>
  <c r="L925" i="14"/>
  <c r="BM938" i="14"/>
  <c r="AG938" i="14"/>
  <c r="Q938" i="14"/>
  <c r="P938" i="14"/>
  <c r="BJ938" i="14"/>
  <c r="AD938" i="14"/>
  <c r="T925" i="14"/>
  <c r="AS938" i="14"/>
  <c r="AC938" i="14"/>
  <c r="M938" i="14"/>
  <c r="BH938" i="14"/>
  <c r="L938" i="14"/>
  <c r="AA938" i="14"/>
  <c r="K938" i="14"/>
  <c r="BW938" i="14"/>
  <c r="Z938" i="14"/>
  <c r="Y938" i="14"/>
  <c r="BX938" i="14"/>
  <c r="X938" i="14"/>
  <c r="BS938" i="14"/>
  <c r="BC938" i="14"/>
  <c r="AM938" i="14"/>
  <c r="V938" i="14"/>
  <c r="W938" i="14"/>
  <c r="BQ938" i="14"/>
  <c r="U938" i="14"/>
  <c r="AJ938" i="14"/>
  <c r="T938" i="14"/>
  <c r="AI938" i="14"/>
  <c r="S938" i="14"/>
  <c r="BN938" i="14"/>
  <c r="AX938" i="14"/>
  <c r="R938" i="14"/>
  <c r="S925" i="14"/>
  <c r="R925" i="14"/>
  <c r="Q925" i="14"/>
  <c r="P925" i="14"/>
  <c r="O925" i="14"/>
  <c r="N925" i="14"/>
  <c r="M925" i="14"/>
  <c r="AA925" i="14"/>
  <c r="Z925" i="14"/>
  <c r="Y925" i="14"/>
  <c r="X925" i="14"/>
  <c r="V925" i="14"/>
  <c r="W925" i="14"/>
  <c r="U925" i="14"/>
  <c r="O938" i="14"/>
  <c r="N938" i="14"/>
  <c r="Q1058" i="14"/>
  <c r="S1058" i="14"/>
  <c r="Z1058" i="14"/>
  <c r="O1058" i="14"/>
  <c r="M1058" i="14"/>
  <c r="N1058" i="14"/>
  <c r="AA1058" i="14"/>
  <c r="Y1058" i="14"/>
  <c r="X1058" i="14"/>
  <c r="V1058" i="14"/>
  <c r="W1058" i="14"/>
  <c r="P1058" i="14"/>
  <c r="T1058" i="14"/>
  <c r="U1058" i="14"/>
  <c r="L1058" i="14"/>
  <c r="K1058" i="14"/>
  <c r="R1058" i="14"/>
  <c r="BQ539" i="14"/>
  <c r="AK539" i="14"/>
  <c r="BP539" i="14"/>
  <c r="AY539" i="14"/>
  <c r="AI539" i="14"/>
  <c r="BO539" i="14"/>
  <c r="AZ539" i="14"/>
  <c r="AJ539" i="14"/>
  <c r="BN539" i="14"/>
  <c r="AH539" i="14"/>
  <c r="BM539" i="14"/>
  <c r="AW539" i="14"/>
  <c r="AG539" i="14"/>
  <c r="BL539" i="14"/>
  <c r="AM539" i="14"/>
  <c r="AF539" i="14"/>
  <c r="BB539" i="14"/>
  <c r="BK539" i="14"/>
  <c r="AE539" i="14"/>
  <c r="BJ539" i="14"/>
  <c r="AL539" i="14"/>
  <c r="BI539" i="14"/>
  <c r="AC539" i="14"/>
  <c r="BU539" i="14"/>
  <c r="BH539" i="14"/>
  <c r="AS539" i="14"/>
  <c r="BT539" i="14"/>
  <c r="BG539" i="14"/>
  <c r="AR539" i="14"/>
  <c r="BR539" i="14"/>
  <c r="BV539" i="14"/>
  <c r="AQ539" i="14"/>
  <c r="BW539" i="14"/>
  <c r="AP539" i="14"/>
  <c r="AN539" i="14"/>
  <c r="BA539" i="14"/>
  <c r="AV539" i="14"/>
  <c r="AU539" i="14"/>
  <c r="AT539" i="14"/>
  <c r="L539" i="14"/>
  <c r="BF539" i="14"/>
  <c r="BE539" i="14"/>
  <c r="BD539" i="14"/>
  <c r="AO539" i="14"/>
  <c r="BS539" i="14"/>
  <c r="BC539" i="14"/>
  <c r="N539" i="14"/>
  <c r="AB539" i="14"/>
  <c r="AA539" i="14"/>
  <c r="Z539" i="14"/>
  <c r="Y539" i="14"/>
  <c r="X539" i="14"/>
  <c r="Q539" i="14"/>
  <c r="W539" i="14"/>
  <c r="V539" i="14"/>
  <c r="U539" i="14"/>
  <c r="T539" i="14"/>
  <c r="R539" i="14"/>
  <c r="P539" i="14"/>
  <c r="O539" i="14"/>
  <c r="BV1338" i="14"/>
  <c r="BA222" i="14" l="1"/>
  <c r="BB222" i="14"/>
  <c r="AK222" i="14"/>
  <c r="AE446" i="14"/>
  <c r="AE447" i="14" s="1"/>
  <c r="AE1133" i="14"/>
  <c r="AE1135" i="14" s="1"/>
  <c r="BU751" i="14"/>
  <c r="BU1356" i="14" s="1"/>
  <c r="BN223" i="14"/>
  <c r="BN225" i="14"/>
  <c r="AK225" i="14"/>
  <c r="BT751" i="14"/>
  <c r="BT1356" i="14" s="1"/>
  <c r="AX223" i="14"/>
  <c r="I751" i="14"/>
  <c r="I1356" i="14" s="1"/>
  <c r="BK446" i="14"/>
  <c r="BK447" i="14" s="1"/>
  <c r="BK1345" i="14" s="1"/>
  <c r="BE223" i="14"/>
  <c r="AX446" i="14"/>
  <c r="AX447" i="14" s="1"/>
  <c r="AX1345" i="14" s="1"/>
  <c r="BK223" i="14"/>
  <c r="AR225" i="14"/>
  <c r="BT225" i="14"/>
  <c r="BT223" i="14"/>
  <c r="AP223" i="14"/>
  <c r="AP225" i="14"/>
  <c r="AJ225" i="14"/>
  <c r="AR446" i="14"/>
  <c r="AR447" i="14" s="1"/>
  <c r="AR1345" i="14" s="1"/>
  <c r="AZ225" i="14"/>
  <c r="S225" i="14"/>
  <c r="AJ223" i="14"/>
  <c r="AQ223" i="14"/>
  <c r="BH225" i="14"/>
  <c r="AS225" i="14"/>
  <c r="AM751" i="14"/>
  <c r="AM1356" i="14" s="1"/>
  <c r="AV225" i="14"/>
  <c r="Y225" i="14"/>
  <c r="AI446" i="14"/>
  <c r="AI447" i="14" s="1"/>
  <c r="AI1345" i="14" s="1"/>
  <c r="AW223" i="14"/>
  <c r="AN446" i="14"/>
  <c r="AN447" i="14" s="1"/>
  <c r="AN1345" i="14" s="1"/>
  <c r="BG222" i="14"/>
  <c r="AT223" i="14"/>
  <c r="AL222" i="14"/>
  <c r="AT225" i="14"/>
  <c r="Y222" i="14"/>
  <c r="Z225" i="14"/>
  <c r="BG446" i="14"/>
  <c r="BG447" i="14" s="1"/>
  <c r="BG1345" i="14" s="1"/>
  <c r="BF223" i="14"/>
  <c r="BG223" i="14"/>
  <c r="BC750" i="14"/>
  <c r="BC1355" i="14" s="1"/>
  <c r="AV446" i="14"/>
  <c r="AV447" i="14" s="1"/>
  <c r="AV1345" i="14" s="1"/>
  <c r="AW446" i="14"/>
  <c r="AW447" i="14" s="1"/>
  <c r="AW1345" i="14" s="1"/>
  <c r="AC222" i="14"/>
  <c r="W222" i="14"/>
  <c r="AF225" i="14"/>
  <c r="BB225" i="14"/>
  <c r="BV751" i="14"/>
  <c r="BV1356" i="14" s="1"/>
  <c r="AH446" i="14"/>
  <c r="AH447" i="14" s="1"/>
  <c r="AH1345" i="14" s="1"/>
  <c r="BE222" i="14"/>
  <c r="AG222" i="14"/>
  <c r="AH222" i="14"/>
  <c r="BR751" i="14"/>
  <c r="BR1356" i="14" s="1"/>
  <c r="AL750" i="14"/>
  <c r="AL1355" i="14" s="1"/>
  <c r="AZ446" i="14"/>
  <c r="AZ447" i="14" s="1"/>
  <c r="AZ1345" i="14" s="1"/>
  <c r="BS222" i="14"/>
  <c r="AN225" i="14"/>
  <c r="AS223" i="14"/>
  <c r="AA222" i="14"/>
  <c r="BF222" i="14"/>
  <c r="AI222" i="14"/>
  <c r="AA225" i="14"/>
  <c r="AC446" i="14"/>
  <c r="AC447" i="14" s="1"/>
  <c r="AC1345" i="14" s="1"/>
  <c r="AP222" i="14"/>
  <c r="AY222" i="14"/>
  <c r="X225" i="14"/>
  <c r="BB750" i="14"/>
  <c r="BB1355" i="14" s="1"/>
  <c r="BF750" i="14"/>
  <c r="BF1355" i="14" s="1"/>
  <c r="Z222" i="14"/>
  <c r="AD222" i="14"/>
  <c r="BN222" i="14"/>
  <c r="S222" i="14"/>
  <c r="X222" i="14"/>
  <c r="AE222" i="14"/>
  <c r="Q446" i="14"/>
  <c r="Q447" i="14" s="1"/>
  <c r="Q1345" i="14" s="1"/>
  <c r="BY1316" i="14" a="1"/>
  <c r="BY1316" i="14" s="1"/>
  <c r="R225" i="14"/>
  <c r="AZ751" i="14"/>
  <c r="AZ1356" i="14" s="1"/>
  <c r="AK223" i="14"/>
  <c r="AU225" i="14"/>
  <c r="BJ446" i="14"/>
  <c r="BJ447" i="14" s="1"/>
  <c r="BJ1345" i="14" s="1"/>
  <c r="BJ225" i="14"/>
  <c r="BY539" i="14"/>
  <c r="BY1328" i="14" a="1"/>
  <c r="BY1328" i="14" s="1"/>
  <c r="J751" i="14"/>
  <c r="J1356" i="14" s="1"/>
  <c r="J223" i="14"/>
  <c r="BS750" i="14"/>
  <c r="BS1355" i="14" s="1"/>
  <c r="J225" i="14"/>
  <c r="AP750" i="14"/>
  <c r="AP1355" i="14" s="1"/>
  <c r="AB446" i="14"/>
  <c r="AB447" i="14" s="1"/>
  <c r="AB1345" i="14" s="1"/>
  <c r="BA223" i="14"/>
  <c r="T446" i="14"/>
  <c r="T447" i="14" s="1"/>
  <c r="T1345" i="14" s="1"/>
  <c r="AD225" i="14"/>
  <c r="BW223" i="14"/>
  <c r="AO750" i="14"/>
  <c r="AO1355" i="14" s="1"/>
  <c r="BF446" i="14"/>
  <c r="BF447" i="14" s="1"/>
  <c r="BF1345" i="14" s="1"/>
  <c r="AG446" i="14"/>
  <c r="AG447" i="14" s="1"/>
  <c r="AG1345" i="14" s="1"/>
  <c r="AY446" i="14"/>
  <c r="AY447" i="14" s="1"/>
  <c r="AY1345" i="14" s="1"/>
  <c r="AV750" i="14"/>
  <c r="AV1355" i="14" s="1"/>
  <c r="AQ446" i="14"/>
  <c r="AQ447" i="14" s="1"/>
  <c r="AQ1345" i="14" s="1"/>
  <c r="BC223" i="14"/>
  <c r="AY225" i="14"/>
  <c r="BN751" i="14"/>
  <c r="BN1356" i="14" s="1"/>
  <c r="BM446" i="14"/>
  <c r="BM447" i="14" s="1"/>
  <c r="BM1345" i="14" s="1"/>
  <c r="BX446" i="14"/>
  <c r="BX447" i="14" s="1"/>
  <c r="BX1345" i="14" s="1"/>
  <c r="W446" i="14"/>
  <c r="W447" i="14" s="1"/>
  <c r="W1345" i="14" s="1"/>
  <c r="AU223" i="14"/>
  <c r="BD223" i="14"/>
  <c r="AX750" i="14"/>
  <c r="AX1355" i="14" s="1"/>
  <c r="BD225" i="14"/>
  <c r="BC225" i="14"/>
  <c r="BM223" i="14"/>
  <c r="BU225" i="14"/>
  <c r="BX225" i="14"/>
  <c r="M446" i="14"/>
  <c r="M447" i="14" s="1"/>
  <c r="M1345" i="14" s="1"/>
  <c r="BB446" i="14"/>
  <c r="BB447" i="14" s="1"/>
  <c r="BB1345" i="14" s="1"/>
  <c r="BU446" i="14"/>
  <c r="BU447" i="14" s="1"/>
  <c r="BU1345" i="14" s="1"/>
  <c r="V225" i="14"/>
  <c r="AN751" i="14"/>
  <c r="AN1356" i="14" s="1"/>
  <c r="BA446" i="14"/>
  <c r="BA447" i="14" s="1"/>
  <c r="BA1345" i="14" s="1"/>
  <c r="BP751" i="14"/>
  <c r="BP1356" i="14" s="1"/>
  <c r="H750" i="14"/>
  <c r="H1355" i="14" s="1"/>
  <c r="N446" i="14"/>
  <c r="N447" i="14" s="1"/>
  <c r="N1345" i="14" s="1"/>
  <c r="K225" i="14"/>
  <c r="BE225" i="14"/>
  <c r="BY751" i="14"/>
  <c r="BY1356" i="14" s="1"/>
  <c r="BL751" i="14"/>
  <c r="BL1356" i="14" s="1"/>
  <c r="BE751" i="14"/>
  <c r="BE1356" i="14" s="1"/>
  <c r="O446" i="14"/>
  <c r="O447" i="14" s="1"/>
  <c r="O1345" i="14" s="1"/>
  <c r="AK751" i="14"/>
  <c r="AK1356" i="14" s="1"/>
  <c r="BD750" i="14"/>
  <c r="BD1355" i="14" s="1"/>
  <c r="BI223" i="14"/>
  <c r="AE225" i="14"/>
  <c r="BW446" i="14"/>
  <c r="BW447" i="14" s="1"/>
  <c r="BW1345" i="14" s="1"/>
  <c r="AQ751" i="14"/>
  <c r="AQ1356" i="14" s="1"/>
  <c r="BQ750" i="14"/>
  <c r="BQ1355" i="14" s="1"/>
  <c r="BG751" i="14"/>
  <c r="BG1356" i="14" s="1"/>
  <c r="BW751" i="14"/>
  <c r="BW1356" i="14" s="1"/>
  <c r="AT750" i="14"/>
  <c r="AT1355" i="14" s="1"/>
  <c r="AU751" i="14"/>
  <c r="AU1356" i="14" s="1"/>
  <c r="AY750" i="14"/>
  <c r="AY1355" i="14" s="1"/>
  <c r="BO751" i="14"/>
  <c r="BO1356" i="14" s="1"/>
  <c r="BJ750" i="14"/>
  <c r="BJ1355" i="14" s="1"/>
  <c r="BK751" i="14"/>
  <c r="BK1356" i="14" s="1"/>
  <c r="AS750" i="14"/>
  <c r="AS1355" i="14" s="1"/>
  <c r="BI751" i="14"/>
  <c r="BI1356" i="14" s="1"/>
  <c r="BA750" i="14"/>
  <c r="BA1355" i="14" s="1"/>
  <c r="AW751" i="14"/>
  <c r="AW1356" i="14" s="1"/>
  <c r="BM751" i="14"/>
  <c r="BM1356" i="14" s="1"/>
  <c r="AJ750" i="14"/>
  <c r="AJ1355" i="14" s="1"/>
  <c r="AR751" i="14"/>
  <c r="AR1356" i="14" s="1"/>
  <c r="BH750" i="14"/>
  <c r="BH1355" i="14" s="1"/>
  <c r="BX751" i="14"/>
  <c r="BX1356" i="14" s="1"/>
  <c r="AJ218" i="14"/>
  <c r="AL218" i="14"/>
  <c r="AK218" i="14"/>
  <c r="BF218" i="14"/>
  <c r="AZ218" i="14"/>
  <c r="AS218" i="14"/>
  <c r="BP218" i="14"/>
  <c r="BO218" i="14"/>
  <c r="BP1343" i="14"/>
  <c r="AS1343" i="14"/>
  <c r="BS218" i="14"/>
  <c r="BQ218" i="14"/>
  <c r="BD218" i="14"/>
  <c r="BE218" i="14"/>
  <c r="BF1343" i="14"/>
  <c r="AJ1343" i="14"/>
  <c r="BB218" i="14"/>
  <c r="BY218" i="14"/>
  <c r="BW218" i="14"/>
  <c r="I218" i="14"/>
  <c r="BV218" i="14"/>
  <c r="BG218" i="14"/>
  <c r="AN218" i="14"/>
  <c r="BT218" i="14"/>
  <c r="AL1343" i="14"/>
  <c r="AV218" i="14"/>
  <c r="AY218" i="14"/>
  <c r="AQ218" i="14"/>
  <c r="BM218" i="14"/>
  <c r="AK1343" i="14"/>
  <c r="AW218" i="14"/>
  <c r="AT218" i="14"/>
  <c r="BU218" i="14"/>
  <c r="BU1343" i="14"/>
  <c r="AM218" i="14"/>
  <c r="AR218" i="14"/>
  <c r="BB1343" i="14"/>
  <c r="BQ1343" i="14"/>
  <c r="BC218" i="14"/>
  <c r="H218" i="14"/>
  <c r="J218" i="14"/>
  <c r="BL218" i="14"/>
  <c r="AQ1343" i="14"/>
  <c r="BR218" i="14"/>
  <c r="AZ1343" i="14"/>
  <c r="BJ218" i="14"/>
  <c r="AO218" i="14"/>
  <c r="BH218" i="14"/>
  <c r="BL1343" i="14"/>
  <c r="BK218" i="14"/>
  <c r="AP218" i="14"/>
  <c r="BI218" i="14"/>
  <c r="AU218" i="14"/>
  <c r="AU1343" i="14"/>
  <c r="AX218" i="14"/>
  <c r="BA218" i="14"/>
  <c r="BX218" i="14"/>
  <c r="BN218" i="14"/>
  <c r="BY709" i="14"/>
  <c r="BY1350" i="14"/>
  <c r="J709" i="14"/>
  <c r="J1350" i="14"/>
  <c r="BY938" i="14"/>
  <c r="BY1352" i="14"/>
  <c r="BY1151" i="14"/>
  <c r="BY1153" i="14" s="1"/>
  <c r="BY1147" i="14"/>
  <c r="BY1148" i="14" s="1"/>
  <c r="I709" i="14"/>
  <c r="BV1310" i="14" a="1"/>
  <c r="BV1310" i="14" s="1"/>
  <c r="BV1322" i="14" a="1"/>
  <c r="BV1322" i="14" s="1"/>
  <c r="BY1312" i="14" a="1"/>
  <c r="BY1312" i="14" s="1"/>
  <c r="BY1324" i="14" a="1"/>
  <c r="BY1324" i="14" s="1"/>
  <c r="AW1315" i="14" a="1"/>
  <c r="AW1315" i="14" s="1"/>
  <c r="AW1327" i="14" a="1"/>
  <c r="AW1327" i="14" s="1"/>
  <c r="AW1313" i="14" a="1"/>
  <c r="AW1313" i="14" s="1"/>
  <c r="AW1325" i="14" a="1"/>
  <c r="AW1325" i="14" s="1"/>
  <c r="BM1315" i="14" a="1"/>
  <c r="BM1315" i="14" s="1"/>
  <c r="BM1327" i="14" a="1"/>
  <c r="BM1327" i="14" s="1"/>
  <c r="BM1313" i="14" a="1"/>
  <c r="BM1313" i="14" s="1"/>
  <c r="BM1325" i="14" a="1"/>
  <c r="BM1325" i="14" s="1"/>
  <c r="AX1325" i="14" a="1"/>
  <c r="AX1325" i="14" s="1"/>
  <c r="AX1313" i="14" a="1"/>
  <c r="AX1313" i="14" s="1"/>
  <c r="AX1315" i="14" a="1"/>
  <c r="AX1315" i="14" s="1"/>
  <c r="AX1327" i="14" a="1"/>
  <c r="AX1327" i="14" s="1"/>
  <c r="BN1325" i="14" a="1"/>
  <c r="BN1325" i="14" s="1"/>
  <c r="BN1313" i="14" a="1"/>
  <c r="BN1313" i="14" s="1"/>
  <c r="BN1315" i="14" a="1"/>
  <c r="BN1315" i="14" s="1"/>
  <c r="BN1327" i="14" a="1"/>
  <c r="BN1327" i="14" s="1"/>
  <c r="BO1325" i="14" a="1"/>
  <c r="BO1325" i="14" s="1"/>
  <c r="BO1313" i="14" a="1"/>
  <c r="BO1313" i="14" s="1"/>
  <c r="BO1315" i="14" a="1"/>
  <c r="BO1315" i="14" s="1"/>
  <c r="BO1327" i="14" a="1"/>
  <c r="BO1327" i="14" s="1"/>
  <c r="AY1313" i="14" a="1"/>
  <c r="AY1313" i="14" s="1"/>
  <c r="AY1325" i="14" a="1"/>
  <c r="AY1325" i="14" s="1"/>
  <c r="AY1315" i="14" a="1"/>
  <c r="AY1315" i="14" s="1"/>
  <c r="AY1327" i="14" a="1"/>
  <c r="AY1327" i="14" s="1"/>
  <c r="AJ1313" i="14" a="1"/>
  <c r="AJ1313" i="14" s="1"/>
  <c r="AJ1325" i="14" a="1"/>
  <c r="AJ1325" i="14" s="1"/>
  <c r="AJ1315" i="14" a="1"/>
  <c r="AJ1315" i="14" s="1"/>
  <c r="AJ1327" i="14" a="1"/>
  <c r="AJ1327" i="14" s="1"/>
  <c r="AZ1325" i="14" a="1"/>
  <c r="AZ1325" i="14" s="1"/>
  <c r="AZ1313" i="14" a="1"/>
  <c r="AZ1313" i="14" s="1"/>
  <c r="AZ1315" i="14" a="1"/>
  <c r="AZ1315" i="14" s="1"/>
  <c r="AZ1327" i="14" a="1"/>
  <c r="AZ1327" i="14" s="1"/>
  <c r="BP1313" i="14" a="1"/>
  <c r="BP1313" i="14" s="1"/>
  <c r="BP1325" i="14" a="1"/>
  <c r="BP1325" i="14" s="1"/>
  <c r="BP1315" i="14" a="1"/>
  <c r="BP1315" i="14" s="1"/>
  <c r="BP1327" i="14" a="1"/>
  <c r="BP1327" i="14" s="1"/>
  <c r="BL1313" i="14" a="1"/>
  <c r="BL1313" i="14" s="1"/>
  <c r="BL1325" i="14" a="1"/>
  <c r="BL1325" i="14" s="1"/>
  <c r="BL1315" i="14" a="1"/>
  <c r="BL1315" i="14" s="1"/>
  <c r="BL1327" i="14" a="1"/>
  <c r="BL1327" i="14" s="1"/>
  <c r="AK1313" i="14" a="1"/>
  <c r="AK1313" i="14" s="1"/>
  <c r="AK1325" i="14" a="1"/>
  <c r="AK1325" i="14" s="1"/>
  <c r="AK1315" i="14" a="1"/>
  <c r="AK1315" i="14" s="1"/>
  <c r="AK1327" i="14" a="1"/>
  <c r="AK1327" i="14" s="1"/>
  <c r="BA1313" i="14" a="1"/>
  <c r="BA1313" i="14" s="1"/>
  <c r="BA1325" i="14" a="1"/>
  <c r="BA1325" i="14" s="1"/>
  <c r="BA1315" i="14" a="1"/>
  <c r="BA1315" i="14" s="1"/>
  <c r="BA1327" i="14" a="1"/>
  <c r="BA1327" i="14" s="1"/>
  <c r="BQ1325" i="14" a="1"/>
  <c r="BQ1325" i="14" s="1"/>
  <c r="BQ1313" i="14" a="1"/>
  <c r="BQ1313" i="14" s="1"/>
  <c r="BQ1315" i="14" a="1"/>
  <c r="BQ1315" i="14" s="1"/>
  <c r="BQ1327" i="14" a="1"/>
  <c r="BQ1327" i="14" s="1"/>
  <c r="AL1313" i="14" a="1"/>
  <c r="AL1313" i="14" s="1"/>
  <c r="AL1325" i="14" a="1"/>
  <c r="AL1325" i="14" s="1"/>
  <c r="AL1315" i="14" a="1"/>
  <c r="AL1315" i="14" s="1"/>
  <c r="AL1327" i="14" a="1"/>
  <c r="AL1327" i="14" s="1"/>
  <c r="BB1313" i="14" a="1"/>
  <c r="BB1313" i="14" s="1"/>
  <c r="BB1325" i="14" a="1"/>
  <c r="BB1325" i="14" s="1"/>
  <c r="BB1315" i="14" a="1"/>
  <c r="BB1315" i="14" s="1"/>
  <c r="BB1327" i="14" a="1"/>
  <c r="BB1327" i="14" s="1"/>
  <c r="BR1325" i="14" a="1"/>
  <c r="BR1325" i="14" s="1"/>
  <c r="BR1313" i="14" a="1"/>
  <c r="BR1313" i="14" s="1"/>
  <c r="BR1315" i="14" a="1"/>
  <c r="BR1315" i="14" s="1"/>
  <c r="BR1327" i="14" a="1"/>
  <c r="BR1327" i="14" s="1"/>
  <c r="BY1315" i="14" a="1"/>
  <c r="BY1315" i="14" s="1"/>
  <c r="BY1327" i="14" a="1"/>
  <c r="BY1327" i="14" s="1"/>
  <c r="BY1313" i="14" a="1"/>
  <c r="BY1313" i="14" s="1"/>
  <c r="BY1325" i="14" a="1"/>
  <c r="BY1325" i="14" s="1"/>
  <c r="AM1313" i="14" a="1"/>
  <c r="AM1313" i="14" s="1"/>
  <c r="AM1325" i="14" a="1"/>
  <c r="AM1325" i="14" s="1"/>
  <c r="AM1315" i="14" a="1"/>
  <c r="AM1315" i="14" s="1"/>
  <c r="AM1327" i="14" a="1"/>
  <c r="AM1327" i="14" s="1"/>
  <c r="BC1313" i="14" a="1"/>
  <c r="BC1313" i="14" s="1"/>
  <c r="BC1325" i="14" a="1"/>
  <c r="BC1325" i="14" s="1"/>
  <c r="BC1315" i="14" a="1"/>
  <c r="BC1315" i="14" s="1"/>
  <c r="BC1327" i="14" a="1"/>
  <c r="BC1327" i="14" s="1"/>
  <c r="BS1313" i="14" a="1"/>
  <c r="BS1313" i="14" s="1"/>
  <c r="BS1325" i="14" a="1"/>
  <c r="BS1325" i="14" s="1"/>
  <c r="BS1315" i="14" a="1"/>
  <c r="BS1315" i="14" s="1"/>
  <c r="BS1327" i="14" a="1"/>
  <c r="BS1327" i="14" s="1"/>
  <c r="H1313" i="14" a="1"/>
  <c r="H1313" i="14" s="1"/>
  <c r="H1325" i="14" a="1"/>
  <c r="H1325" i="14" s="1"/>
  <c r="H1327" i="14" a="1"/>
  <c r="H1327" i="14" s="1"/>
  <c r="H1315" i="14" a="1"/>
  <c r="H1315" i="14" s="1"/>
  <c r="AN1313" i="14" a="1"/>
  <c r="AN1313" i="14" s="1"/>
  <c r="AN1325" i="14" a="1"/>
  <c r="AN1325" i="14" s="1"/>
  <c r="AN1327" i="14" a="1"/>
  <c r="AN1327" i="14" s="1"/>
  <c r="AN1315" i="14" a="1"/>
  <c r="AN1315" i="14" s="1"/>
  <c r="BD1313" i="14" a="1"/>
  <c r="BD1313" i="14" s="1"/>
  <c r="BD1325" i="14" a="1"/>
  <c r="BD1325" i="14" s="1"/>
  <c r="BD1327" i="14" a="1"/>
  <c r="BD1327" i="14" s="1"/>
  <c r="BD1315" i="14" a="1"/>
  <c r="BD1315" i="14" s="1"/>
  <c r="BX1327" i="14" a="1"/>
  <c r="BX1327" i="14" s="1"/>
  <c r="BX1315" i="14" a="1"/>
  <c r="BX1315" i="14" s="1"/>
  <c r="BX1313" i="14" a="1"/>
  <c r="BX1313" i="14" s="1"/>
  <c r="BX1325" i="14" a="1"/>
  <c r="BX1325" i="14" s="1"/>
  <c r="I1313" i="14" a="1"/>
  <c r="I1313" i="14" s="1"/>
  <c r="I1325" i="14" a="1"/>
  <c r="I1325" i="14" s="1"/>
  <c r="I1327" i="14" a="1"/>
  <c r="I1327" i="14" s="1"/>
  <c r="I1315" i="14" a="1"/>
  <c r="I1315" i="14" s="1"/>
  <c r="AO1313" i="14" a="1"/>
  <c r="AO1313" i="14" s="1"/>
  <c r="AO1325" i="14" a="1"/>
  <c r="AO1325" i="14" s="1"/>
  <c r="AO1327" i="14" a="1"/>
  <c r="AO1327" i="14" s="1"/>
  <c r="AO1315" i="14" a="1"/>
  <c r="AO1315" i="14" s="1"/>
  <c r="BE1313" i="14" a="1"/>
  <c r="BE1313" i="14" s="1"/>
  <c r="BE1325" i="14" a="1"/>
  <c r="BE1325" i="14" s="1"/>
  <c r="BE1315" i="14" a="1"/>
  <c r="BE1315" i="14" s="1"/>
  <c r="BE1327" i="14" a="1"/>
  <c r="BE1327" i="14" s="1"/>
  <c r="BW1313" i="14" a="1"/>
  <c r="BW1313" i="14" s="1"/>
  <c r="BW1325" i="14" a="1"/>
  <c r="BW1325" i="14" s="1"/>
  <c r="BW1327" i="14" a="1"/>
  <c r="BW1327" i="14" s="1"/>
  <c r="BW1315" i="14" a="1"/>
  <c r="BW1315" i="14" s="1"/>
  <c r="BI1315" i="14" a="1"/>
  <c r="BI1315" i="14" s="1"/>
  <c r="BI1327" i="14" a="1"/>
  <c r="BI1327" i="14" s="1"/>
  <c r="BI1313" i="14" a="1"/>
  <c r="BI1313" i="14" s="1"/>
  <c r="BI1325" i="14" a="1"/>
  <c r="BI1325" i="14" s="1"/>
  <c r="J1315" i="14" a="1"/>
  <c r="J1315" i="14" s="1"/>
  <c r="J1327" i="14" a="1"/>
  <c r="J1327" i="14" s="1"/>
  <c r="J1313" i="14" a="1"/>
  <c r="J1313" i="14" s="1"/>
  <c r="J1325" i="14" a="1"/>
  <c r="J1325" i="14" s="1"/>
  <c r="AP1327" i="14" a="1"/>
  <c r="AP1327" i="14" s="1"/>
  <c r="AP1315" i="14" a="1"/>
  <c r="AP1315" i="14" s="1"/>
  <c r="AP1313" i="14" a="1"/>
  <c r="AP1313" i="14" s="1"/>
  <c r="AP1325" i="14" a="1"/>
  <c r="AP1325" i="14" s="1"/>
  <c r="BF1327" i="14" a="1"/>
  <c r="BF1327" i="14" s="1"/>
  <c r="BF1315" i="14" a="1"/>
  <c r="BF1315" i="14" s="1"/>
  <c r="BF1313" i="14" a="1"/>
  <c r="BF1313" i="14" s="1"/>
  <c r="BF1325" i="14" a="1"/>
  <c r="BF1325" i="14" s="1"/>
  <c r="BV1327" i="14" a="1"/>
  <c r="BV1327" i="14" s="1"/>
  <c r="BV1315" i="14" a="1"/>
  <c r="BV1315" i="14" s="1"/>
  <c r="BV1313" i="14" a="1"/>
  <c r="BV1313" i="14" s="1"/>
  <c r="BV1325" i="14" a="1"/>
  <c r="BV1325" i="14" s="1"/>
  <c r="AV1315" i="14" a="1"/>
  <c r="AV1315" i="14" s="1"/>
  <c r="AV1327" i="14" a="1"/>
  <c r="AV1327" i="14" s="1"/>
  <c r="AV1313" i="14" a="1"/>
  <c r="AV1313" i="14" s="1"/>
  <c r="AV1325" i="14" a="1"/>
  <c r="AV1325" i="14" s="1"/>
  <c r="AQ1327" i="14" a="1"/>
  <c r="AQ1327" i="14" s="1"/>
  <c r="AQ1315" i="14" a="1"/>
  <c r="AQ1315" i="14" s="1"/>
  <c r="AQ1313" i="14" a="1"/>
  <c r="AQ1313" i="14" s="1"/>
  <c r="AQ1325" i="14" a="1"/>
  <c r="AQ1325" i="14" s="1"/>
  <c r="BG1313" i="14" a="1"/>
  <c r="BG1313" i="14" s="1"/>
  <c r="BG1325" i="14" a="1"/>
  <c r="BG1325" i="14" s="1"/>
  <c r="BG1327" i="14" a="1"/>
  <c r="BG1327" i="14" s="1"/>
  <c r="BG1315" i="14" a="1"/>
  <c r="BG1315" i="14" s="1"/>
  <c r="BT1313" i="14" a="1"/>
  <c r="BT1313" i="14" s="1"/>
  <c r="BT1325" i="14" a="1"/>
  <c r="BT1325" i="14" s="1"/>
  <c r="BT1327" i="14" a="1"/>
  <c r="BT1327" i="14" s="1"/>
  <c r="BT1315" i="14" a="1"/>
  <c r="BT1315" i="14" s="1"/>
  <c r="AR1315" i="14" a="1"/>
  <c r="AR1315" i="14" s="1"/>
  <c r="AR1327" i="14" a="1"/>
  <c r="AR1327" i="14" s="1"/>
  <c r="AR1313" i="14" a="1"/>
  <c r="AR1313" i="14" s="1"/>
  <c r="AR1325" i="14" a="1"/>
  <c r="AR1325" i="14" s="1"/>
  <c r="BH1315" i="14" a="1"/>
  <c r="BH1315" i="14" s="1"/>
  <c r="BH1327" i="14" a="1"/>
  <c r="BH1327" i="14" s="1"/>
  <c r="BH1313" i="14" a="1"/>
  <c r="BH1313" i="14" s="1"/>
  <c r="BH1325" i="14" a="1"/>
  <c r="BH1325" i="14" s="1"/>
  <c r="BU1313" i="14" a="1"/>
  <c r="BU1313" i="14" s="1"/>
  <c r="BU1325" i="14" a="1"/>
  <c r="BU1325" i="14" s="1"/>
  <c r="BU1327" i="14" a="1"/>
  <c r="BU1327" i="14" s="1"/>
  <c r="BU1315" i="14" a="1"/>
  <c r="BU1315" i="14" s="1"/>
  <c r="AS1315" i="14" a="1"/>
  <c r="AS1315" i="14" s="1"/>
  <c r="AS1327" i="14" a="1"/>
  <c r="AS1327" i="14" s="1"/>
  <c r="AS1313" i="14" a="1"/>
  <c r="AS1313" i="14" s="1"/>
  <c r="AS1325" i="14" a="1"/>
  <c r="AS1325" i="14" s="1"/>
  <c r="AT1315" i="14" a="1"/>
  <c r="AT1315" i="14" s="1"/>
  <c r="AT1327" i="14" a="1"/>
  <c r="AT1327" i="14" s="1"/>
  <c r="AT1313" i="14" a="1"/>
  <c r="AT1313" i="14" s="1"/>
  <c r="AT1325" i="14" a="1"/>
  <c r="AT1325" i="14" s="1"/>
  <c r="BJ1315" i="14" a="1"/>
  <c r="BJ1315" i="14" s="1"/>
  <c r="BJ1327" i="14" a="1"/>
  <c r="BJ1327" i="14" s="1"/>
  <c r="BJ1313" i="14" a="1"/>
  <c r="BJ1313" i="14" s="1"/>
  <c r="BJ1325" i="14" a="1"/>
  <c r="BJ1325" i="14" s="1"/>
  <c r="AU1315" i="14" a="1"/>
  <c r="AU1315" i="14" s="1"/>
  <c r="AU1327" i="14" a="1"/>
  <c r="AU1327" i="14" s="1"/>
  <c r="AU1313" i="14" a="1"/>
  <c r="AU1313" i="14" s="1"/>
  <c r="AU1325" i="14" a="1"/>
  <c r="AU1325" i="14" s="1"/>
  <c r="BK1313" i="14" a="1"/>
  <c r="BK1313" i="14" s="1"/>
  <c r="BK1325" i="14" a="1"/>
  <c r="BK1325" i="14" s="1"/>
  <c r="BK1315" i="14" a="1"/>
  <c r="BK1315" i="14" s="1"/>
  <c r="BK1327" i="14" a="1"/>
  <c r="BK1327" i="14" s="1"/>
  <c r="BY1326" i="14" a="1"/>
  <c r="BY1326" i="14" s="1"/>
  <c r="BY1314" i="14" a="1"/>
  <c r="BY1314" i="14" s="1"/>
  <c r="BJ910" i="14"/>
  <c r="BB910" i="14"/>
  <c r="BH910" i="14"/>
  <c r="BC910" i="14"/>
  <c r="BU910" i="14"/>
  <c r="BD910" i="14"/>
  <c r="BS910" i="14"/>
  <c r="AJ910" i="14"/>
  <c r="AX910" i="14"/>
  <c r="BF910" i="14"/>
  <c r="AS910" i="14"/>
  <c r="AY910" i="14"/>
  <c r="AV910" i="14"/>
  <c r="AP910" i="14"/>
  <c r="BQ910" i="14"/>
  <c r="BA910" i="14"/>
  <c r="AO910" i="14"/>
  <c r="AT910" i="14"/>
  <c r="AL910" i="14"/>
  <c r="H910" i="14"/>
  <c r="AN901" i="14"/>
  <c r="BI901" i="14"/>
  <c r="BV901" i="14"/>
  <c r="BU901" i="14"/>
  <c r="BR901" i="14"/>
  <c r="BX901" i="14"/>
  <c r="BT901" i="14"/>
  <c r="BE901" i="14"/>
  <c r="AQ901" i="14"/>
  <c r="J901" i="14"/>
  <c r="AU901" i="14"/>
  <c r="AW901" i="14"/>
  <c r="I901" i="14"/>
  <c r="BW901" i="14"/>
  <c r="AZ901" i="14"/>
  <c r="AK901" i="14"/>
  <c r="BN901" i="14"/>
  <c r="BO901" i="14"/>
  <c r="BY901" i="14"/>
  <c r="BK901" i="14"/>
  <c r="BM901" i="14"/>
  <c r="BG901" i="14"/>
  <c r="AR901" i="14"/>
  <c r="BL901" i="14"/>
  <c r="BP901" i="14"/>
  <c r="AM901" i="14"/>
  <c r="K925" i="14"/>
  <c r="K566" i="14" s="1"/>
  <c r="BY925" i="14"/>
  <c r="BY1058" i="14"/>
  <c r="I623" i="14"/>
  <c r="C663" i="14"/>
  <c r="C631" i="14"/>
  <c r="H628" i="14" s="1"/>
  <c r="BM566" i="14"/>
  <c r="R1345" i="14"/>
  <c r="AA1345" i="14"/>
  <c r="AJ1345" i="14"/>
  <c r="BO1345" i="14"/>
  <c r="L1345" i="14"/>
  <c r="S1345" i="14"/>
  <c r="AS1345" i="14"/>
  <c r="BH1345" i="14"/>
  <c r="BP1345" i="14"/>
  <c r="U1345" i="14"/>
  <c r="AK1345" i="14"/>
  <c r="AT1345" i="14"/>
  <c r="BI1345" i="14"/>
  <c r="BQ1345" i="14"/>
  <c r="V1345" i="14"/>
  <c r="AD1345" i="14"/>
  <c r="AL1345" i="14"/>
  <c r="AU1345" i="14"/>
  <c r="BR1345" i="14"/>
  <c r="BT1345" i="14"/>
  <c r="AE1345" i="14"/>
  <c r="BC1345" i="14"/>
  <c r="BS1345" i="14"/>
  <c r="P1345" i="14"/>
  <c r="X1345" i="14"/>
  <c r="AF1345" i="14"/>
  <c r="AO1345" i="14"/>
  <c r="AM1345" i="14"/>
  <c r="BD1345" i="14"/>
  <c r="BL1345" i="14"/>
  <c r="BY1345" i="14"/>
  <c r="H1345" i="14"/>
  <c r="Y1345" i="14"/>
  <c r="AP1345" i="14"/>
  <c r="BE1345" i="14"/>
  <c r="I1345" i="14"/>
  <c r="K1345" i="14"/>
  <c r="Z1345" i="14"/>
  <c r="BN1345" i="14"/>
  <c r="BV1345" i="14"/>
  <c r="J1345" i="14"/>
  <c r="BV1044" i="14"/>
  <c r="L1044" i="14"/>
  <c r="AS1044" i="14"/>
  <c r="O1044" i="14"/>
  <c r="BR1044" i="14"/>
  <c r="K1044" i="14"/>
  <c r="R1044" i="14"/>
  <c r="AE1044" i="14"/>
  <c r="AH1044" i="14"/>
  <c r="T1044" i="14"/>
  <c r="I1044" i="14"/>
  <c r="BD1044" i="14"/>
  <c r="AB1044" i="14"/>
  <c r="BJ1044" i="14"/>
  <c r="BL1044" i="14"/>
  <c r="AR1044" i="14"/>
  <c r="BT1044" i="14"/>
  <c r="AU1044" i="14"/>
  <c r="AJ1044" i="14"/>
  <c r="V1044" i="14"/>
  <c r="BW1044" i="14"/>
  <c r="AA1044" i="14"/>
  <c r="AW1044" i="14"/>
  <c r="BH1044" i="14"/>
  <c r="AQ1044" i="14"/>
  <c r="BK1044" i="14"/>
  <c r="AY1044" i="14"/>
  <c r="AM1044" i="14"/>
  <c r="AI1044" i="14"/>
  <c r="BG1044" i="14"/>
  <c r="H1044" i="14"/>
  <c r="BC1044" i="14"/>
  <c r="Y1044" i="14"/>
  <c r="BS1044" i="14"/>
  <c r="Q1044" i="14"/>
  <c r="U1044" i="14"/>
  <c r="AC1044" i="14"/>
  <c r="Z1044" i="14"/>
  <c r="AK1044" i="14"/>
  <c r="BX1044" i="14"/>
  <c r="BU1044" i="14"/>
  <c r="BN1044" i="14"/>
  <c r="W1044" i="14"/>
  <c r="AT1044" i="14"/>
  <c r="AL1044" i="14"/>
  <c r="S1044" i="14"/>
  <c r="N1044" i="14"/>
  <c r="AP1044" i="14"/>
  <c r="AZ1044" i="14"/>
  <c r="P1044" i="14"/>
  <c r="BO1044" i="14"/>
  <c r="BE1044" i="14"/>
  <c r="AG1044" i="14"/>
  <c r="BI1044" i="14"/>
  <c r="AF1044" i="14"/>
  <c r="BB1044" i="14"/>
  <c r="X1044" i="14"/>
  <c r="AD1044" i="14"/>
  <c r="BF1044" i="14"/>
  <c r="BH566" i="14"/>
  <c r="AI566" i="14"/>
  <c r="AD566" i="14"/>
  <c r="BS566" i="14"/>
  <c r="BW566" i="14"/>
  <c r="BJ566" i="14"/>
  <c r="AC566" i="14"/>
  <c r="AJ566" i="14"/>
  <c r="AG566" i="14"/>
  <c r="M566" i="14"/>
  <c r="BN566" i="14"/>
  <c r="AS566" i="14"/>
  <c r="BQ566" i="14"/>
  <c r="AM566" i="14"/>
  <c r="X566" i="14"/>
  <c r="AX566" i="14"/>
  <c r="BC566" i="14"/>
  <c r="BX566" i="14"/>
  <c r="S566" i="14"/>
  <c r="U566" i="14"/>
  <c r="O566" i="14"/>
  <c r="P566" i="14"/>
  <c r="Q566" i="14"/>
  <c r="R566" i="14"/>
  <c r="T566" i="14"/>
  <c r="L566" i="14"/>
  <c r="N566" i="14"/>
  <c r="W566" i="14"/>
  <c r="V566" i="14"/>
  <c r="Y566" i="14"/>
  <c r="Z566" i="14"/>
  <c r="AA566" i="14"/>
  <c r="BF938" i="14"/>
  <c r="BF566" i="14" s="1"/>
  <c r="AU938" i="14"/>
  <c r="AU566" i="14" s="1"/>
  <c r="BL938" i="14"/>
  <c r="BL566" i="14" s="1"/>
  <c r="BP938" i="14"/>
  <c r="BP566" i="14" s="1"/>
  <c r="AN938" i="14"/>
  <c r="AN566" i="14" s="1"/>
  <c r="BV938" i="14"/>
  <c r="BV566" i="14" s="1"/>
  <c r="AY938" i="14"/>
  <c r="AY566" i="14" s="1"/>
  <c r="AL938" i="14"/>
  <c r="AL566" i="14" s="1"/>
  <c r="BO938" i="14"/>
  <c r="BO566" i="14" s="1"/>
  <c r="BD938" i="14"/>
  <c r="BD566" i="14" s="1"/>
  <c r="BK938" i="14"/>
  <c r="BK566" i="14" s="1"/>
  <c r="BU938" i="14"/>
  <c r="BU566" i="14" s="1"/>
  <c r="AT938" i="14"/>
  <c r="AT566" i="14" s="1"/>
  <c r="BB938" i="14"/>
  <c r="BB566" i="14" s="1"/>
  <c r="BG938" i="14"/>
  <c r="BG566" i="14" s="1"/>
  <c r="AK938" i="14"/>
  <c r="AK566" i="14" s="1"/>
  <c r="AB938" i="14"/>
  <c r="AB566" i="14" s="1"/>
  <c r="BR938" i="14"/>
  <c r="BR566" i="14" s="1"/>
  <c r="AW938" i="14"/>
  <c r="AW566" i="14" s="1"/>
  <c r="AH938" i="14"/>
  <c r="AH566" i="14" s="1"/>
  <c r="BE938" i="14"/>
  <c r="BE566" i="14" s="1"/>
  <c r="BA938" i="14"/>
  <c r="BA566" i="14" s="1"/>
  <c r="AR938" i="14"/>
  <c r="AR566" i="14" s="1"/>
  <c r="AF938" i="14"/>
  <c r="AF566" i="14" s="1"/>
  <c r="BT938" i="14"/>
  <c r="BT566" i="14" s="1"/>
  <c r="AP938" i="14"/>
  <c r="AP566" i="14" s="1"/>
  <c r="BI938" i="14"/>
  <c r="BI566" i="14" s="1"/>
  <c r="AQ938" i="14"/>
  <c r="AQ566" i="14" s="1"/>
  <c r="AV938" i="14"/>
  <c r="AV566" i="14" s="1"/>
  <c r="AO938" i="14"/>
  <c r="AO566" i="14" s="1"/>
  <c r="AZ938" i="14"/>
  <c r="AZ566" i="14" s="1"/>
  <c r="AE938" i="14"/>
  <c r="AE566" i="14" s="1"/>
  <c r="M1255" i="14"/>
  <c r="M539" i="14"/>
  <c r="AX1255" i="14"/>
  <c r="AX539" i="14"/>
  <c r="K1255" i="14"/>
  <c r="K539" i="14"/>
  <c r="S1255" i="14"/>
  <c r="S539" i="14"/>
  <c r="AD1255" i="14"/>
  <c r="AD539" i="14"/>
  <c r="BX1255" i="14"/>
  <c r="BX539" i="14"/>
  <c r="AM1255" i="14"/>
  <c r="BM1255" i="14"/>
  <c r="BH1255" i="14"/>
  <c r="T1255" i="14"/>
  <c r="BT1255" i="14"/>
  <c r="O1255" i="14"/>
  <c r="AC1255" i="14"/>
  <c r="AJ1255" i="14"/>
  <c r="BO1255" i="14"/>
  <c r="BW1255" i="14"/>
  <c r="BY1255" i="14"/>
  <c r="BF1255" i="14"/>
  <c r="L1255" i="14"/>
  <c r="Q1255" i="14"/>
  <c r="AN1255" i="14"/>
  <c r="BJ1255" i="14"/>
  <c r="AY1255" i="14"/>
  <c r="BD1255" i="14"/>
  <c r="AG1255" i="14"/>
  <c r="AS1255" i="14"/>
  <c r="BN1255" i="14"/>
  <c r="BQ1255" i="14"/>
  <c r="AH1255" i="14"/>
  <c r="AB1255" i="14"/>
  <c r="BR1255" i="14"/>
  <c r="AW1255" i="14"/>
  <c r="BU1255" i="14"/>
  <c r="BB1255" i="14"/>
  <c r="AK1255" i="14"/>
  <c r="AR1255" i="14"/>
  <c r="BC1255" i="14"/>
  <c r="BS1255" i="14"/>
  <c r="AI1255" i="14"/>
  <c r="P1255" i="14"/>
  <c r="AL1255" i="14"/>
  <c r="AP1255" i="14"/>
  <c r="BG1255" i="14"/>
  <c r="BK1255" i="14"/>
  <c r="AQ1255" i="14"/>
  <c r="BL1255" i="14"/>
  <c r="AU1255" i="14"/>
  <c r="AV1255" i="14"/>
  <c r="AZ1255" i="14"/>
  <c r="N1255" i="14"/>
  <c r="U1255" i="14"/>
  <c r="X1255" i="14"/>
  <c r="AA1255" i="14"/>
  <c r="R1255" i="14"/>
  <c r="BI1255" i="14"/>
  <c r="AE1255" i="14"/>
  <c r="BP1255" i="14"/>
  <c r="BV1255" i="14"/>
  <c r="AF1255" i="14"/>
  <c r="V1255" i="14"/>
  <c r="BE1255" i="14"/>
  <c r="AT1255" i="14"/>
  <c r="BA1255" i="14"/>
  <c r="AO1255" i="14"/>
  <c r="W1255" i="14"/>
  <c r="Z1255" i="14"/>
  <c r="Y1255" i="14"/>
  <c r="H539" i="14"/>
  <c r="BY1044" i="14"/>
  <c r="BP1044" i="14"/>
  <c r="AO1044" i="14"/>
  <c r="AV1044" i="14"/>
  <c r="BW1338" i="14"/>
  <c r="BX1338" i="14"/>
  <c r="M1338" i="14"/>
  <c r="N1338" i="14"/>
  <c r="O1338" i="14"/>
  <c r="P1338" i="14"/>
  <c r="Q1338" i="14"/>
  <c r="R1338" i="14"/>
  <c r="S1338" i="14"/>
  <c r="T1338" i="14"/>
  <c r="W1338" i="14"/>
  <c r="X1338" i="14"/>
  <c r="Y1338" i="14"/>
  <c r="Z1338" i="14"/>
  <c r="AA1338" i="14"/>
  <c r="AB1338" i="14"/>
  <c r="AC1338" i="14"/>
  <c r="AD1338" i="14"/>
  <c r="AE1338" i="14"/>
  <c r="AF1338" i="14"/>
  <c r="AG1338" i="14"/>
  <c r="AH1338" i="14"/>
  <c r="AI1338" i="14"/>
  <c r="AJ1338" i="14"/>
  <c r="AK1338" i="14"/>
  <c r="AL1338" i="14"/>
  <c r="AM1338" i="14"/>
  <c r="AN1338" i="14"/>
  <c r="AO1338" i="14"/>
  <c r="AP1338" i="14"/>
  <c r="AQ1338" i="14"/>
  <c r="AR1338" i="14"/>
  <c r="AS1338" i="14"/>
  <c r="AT1338" i="14"/>
  <c r="AU1338" i="14"/>
  <c r="AV1338" i="14"/>
  <c r="AW1338" i="14"/>
  <c r="AX1338" i="14"/>
  <c r="AY1338" i="14"/>
  <c r="AZ1338" i="14"/>
  <c r="BA1338" i="14"/>
  <c r="BB1338" i="14"/>
  <c r="BC1338" i="14"/>
  <c r="BD1338" i="14"/>
  <c r="BE1338" i="14"/>
  <c r="BF1338" i="14"/>
  <c r="BG1338" i="14"/>
  <c r="BH1338" i="14"/>
  <c r="BI1338" i="14"/>
  <c r="BJ1338" i="14"/>
  <c r="BK1338" i="14"/>
  <c r="BL1338" i="14"/>
  <c r="BM1338" i="14"/>
  <c r="BN1338" i="14"/>
  <c r="BO1338" i="14"/>
  <c r="BP1338" i="14"/>
  <c r="BQ1338" i="14"/>
  <c r="BR1338" i="14"/>
  <c r="BS1338" i="14"/>
  <c r="BT1338" i="14"/>
  <c r="BY1221" i="14"/>
  <c r="BD1239" i="14"/>
  <c r="BF1239" i="14"/>
  <c r="BB1239" i="14"/>
  <c r="BJ1239" i="14"/>
  <c r="BC1239" i="14"/>
  <c r="BH1239" i="14"/>
  <c r="BA1239" i="14"/>
  <c r="BS1239" i="14"/>
  <c r="BQ1239" i="14"/>
  <c r="V1338" i="14"/>
  <c r="BU1338" i="14"/>
  <c r="BY1338" i="14"/>
  <c r="U1338" i="14"/>
  <c r="BT752" i="14" l="1"/>
  <c r="BT1239" i="14"/>
  <c r="BU1239" i="14"/>
  <c r="BU752" i="14"/>
  <c r="I752" i="14"/>
  <c r="BT910" i="14"/>
  <c r="I910" i="14"/>
  <c r="AM752" i="14"/>
  <c r="AL901" i="14"/>
  <c r="BC901" i="14"/>
  <c r="AM910" i="14"/>
  <c r="AZ752" i="14"/>
  <c r="BB752" i="14"/>
  <c r="BR752" i="14"/>
  <c r="BY910" i="14"/>
  <c r="BB901" i="14"/>
  <c r="BV910" i="14"/>
  <c r="BV1239" i="14"/>
  <c r="BV752" i="14"/>
  <c r="AZ910" i="14"/>
  <c r="BF752" i="14"/>
  <c r="J910" i="14"/>
  <c r="AL752" i="14"/>
  <c r="BF901" i="14"/>
  <c r="BR1239" i="14"/>
  <c r="BR910" i="14"/>
  <c r="BC752" i="14"/>
  <c r="AQ910" i="14"/>
  <c r="J752" i="14"/>
  <c r="AP901" i="14"/>
  <c r="BL910" i="14"/>
  <c r="BS901" i="14"/>
  <c r="BS752" i="14"/>
  <c r="BN910" i="14"/>
  <c r="BY752" i="14"/>
  <c r="AO901" i="14"/>
  <c r="BY1239" i="14"/>
  <c r="BE1239" i="14"/>
  <c r="BO1239" i="14"/>
  <c r="AP752" i="14"/>
  <c r="BL752" i="14"/>
  <c r="BL1239" i="14"/>
  <c r="BE752" i="14"/>
  <c r="BE910" i="14"/>
  <c r="BK910" i="14"/>
  <c r="AO752" i="14"/>
  <c r="AN910" i="14"/>
  <c r="AT752" i="14"/>
  <c r="AN752" i="14"/>
  <c r="AX752" i="14"/>
  <c r="BP752" i="14"/>
  <c r="AY901" i="14"/>
  <c r="BW1239" i="14"/>
  <c r="H752" i="14"/>
  <c r="H901" i="14"/>
  <c r="AY752" i="14"/>
  <c r="BN752" i="14"/>
  <c r="AV752" i="14"/>
  <c r="AX901" i="14"/>
  <c r="BP910" i="14"/>
  <c r="BP1239" i="14"/>
  <c r="BW752" i="14"/>
  <c r="BN1239" i="14"/>
  <c r="AV901" i="14"/>
  <c r="AT901" i="14"/>
  <c r="BJ752" i="14"/>
  <c r="AK752" i="14"/>
  <c r="BD901" i="14"/>
  <c r="BJ901" i="14"/>
  <c r="BQ901" i="14"/>
  <c r="BD752" i="14"/>
  <c r="AK910" i="14"/>
  <c r="BH901" i="14"/>
  <c r="AR910" i="14"/>
  <c r="AR752" i="14"/>
  <c r="AQ752" i="14"/>
  <c r="BG752" i="14"/>
  <c r="BQ752" i="14"/>
  <c r="BG1239" i="14"/>
  <c r="BX752" i="14"/>
  <c r="BG910" i="14"/>
  <c r="BO752" i="14"/>
  <c r="AU752" i="14"/>
  <c r="AU910" i="14"/>
  <c r="BM752" i="14"/>
  <c r="BM910" i="14"/>
  <c r="BO910" i="14"/>
  <c r="BK1239" i="14"/>
  <c r="AS752" i="14"/>
  <c r="BI910" i="14"/>
  <c r="BM1239" i="14"/>
  <c r="AW910" i="14"/>
  <c r="BW910" i="14"/>
  <c r="AW752" i="14"/>
  <c r="BI1239" i="14"/>
  <c r="BI752" i="14"/>
  <c r="AS901" i="14"/>
  <c r="BA752" i="14"/>
  <c r="BA901" i="14"/>
  <c r="BK752" i="14"/>
  <c r="AJ901" i="14"/>
  <c r="AJ752" i="14"/>
  <c r="BH752" i="14"/>
  <c r="BX910" i="14"/>
  <c r="BX1239" i="14"/>
  <c r="BY1154" i="14"/>
  <c r="U1310" i="14" a="1"/>
  <c r="U1310" i="14" s="1"/>
  <c r="U1322" i="14" a="1"/>
  <c r="U1322" i="14" s="1"/>
  <c r="BY1310" i="14" a="1"/>
  <c r="BY1310" i="14" s="1"/>
  <c r="BY1322" i="14" a="1"/>
  <c r="BY1322" i="14" s="1"/>
  <c r="BU1310" i="14" a="1"/>
  <c r="BU1310" i="14" s="1"/>
  <c r="BU1322" i="14" a="1"/>
  <c r="BU1322" i="14" s="1"/>
  <c r="V1310" i="14" a="1"/>
  <c r="V1310" i="14" s="1"/>
  <c r="V1322" i="14" a="1"/>
  <c r="V1322" i="14" s="1"/>
  <c r="BT1310" i="14" a="1"/>
  <c r="BT1310" i="14" s="1"/>
  <c r="BT1322" i="14" a="1"/>
  <c r="BT1322" i="14" s="1"/>
  <c r="BS1310" i="14" a="1"/>
  <c r="BS1310" i="14" s="1"/>
  <c r="BS1322" i="14" a="1"/>
  <c r="BS1322" i="14" s="1"/>
  <c r="BR1310" i="14" a="1"/>
  <c r="BR1310" i="14" s="1"/>
  <c r="BR1322" i="14" a="1"/>
  <c r="BR1322" i="14" s="1"/>
  <c r="BQ1310" i="14" a="1"/>
  <c r="BQ1310" i="14" s="1"/>
  <c r="BQ1322" i="14" a="1"/>
  <c r="BQ1322" i="14" s="1"/>
  <c r="BP1310" i="14" a="1"/>
  <c r="BP1310" i="14" s="1"/>
  <c r="BP1322" i="14" a="1"/>
  <c r="BP1322" i="14" s="1"/>
  <c r="BO1310" i="14" a="1"/>
  <c r="BO1310" i="14" s="1"/>
  <c r="BO1322" i="14" a="1"/>
  <c r="BO1322" i="14" s="1"/>
  <c r="BN1310" i="14" a="1"/>
  <c r="BN1310" i="14" s="1"/>
  <c r="BN1322" i="14" a="1"/>
  <c r="BN1322" i="14" s="1"/>
  <c r="BM1310" i="14" a="1"/>
  <c r="BM1310" i="14" s="1"/>
  <c r="BM1322" i="14" a="1"/>
  <c r="BM1322" i="14" s="1"/>
  <c r="BL1310" i="14" a="1"/>
  <c r="BL1310" i="14" s="1"/>
  <c r="BL1322" i="14" a="1"/>
  <c r="BL1322" i="14" s="1"/>
  <c r="BK1322" i="14" a="1"/>
  <c r="BK1322" i="14" s="1"/>
  <c r="BK1310" i="14" a="1"/>
  <c r="BK1310" i="14" s="1"/>
  <c r="BJ1322" i="14" a="1"/>
  <c r="BJ1322" i="14" s="1"/>
  <c r="BJ1310" i="14" a="1"/>
  <c r="BJ1310" i="14" s="1"/>
  <c r="BI1310" i="14" a="1"/>
  <c r="BI1310" i="14" s="1"/>
  <c r="BI1322" i="14" a="1"/>
  <c r="BI1322" i="14" s="1"/>
  <c r="BH1310" i="14" a="1"/>
  <c r="BH1310" i="14" s="1"/>
  <c r="BH1322" i="14" a="1"/>
  <c r="BH1322" i="14" s="1"/>
  <c r="BG1310" i="14" a="1"/>
  <c r="BG1310" i="14" s="1"/>
  <c r="BG1322" i="14" a="1"/>
  <c r="BG1322" i="14" s="1"/>
  <c r="BF1310" i="14" a="1"/>
  <c r="BF1310" i="14" s="1"/>
  <c r="BF1322" i="14" a="1"/>
  <c r="BF1322" i="14" s="1"/>
  <c r="BE1310" i="14" a="1"/>
  <c r="BE1310" i="14" s="1"/>
  <c r="BE1322" i="14" a="1"/>
  <c r="BE1322" i="14" s="1"/>
  <c r="BD1310" i="14" a="1"/>
  <c r="BD1310" i="14" s="1"/>
  <c r="BD1322" i="14" a="1"/>
  <c r="BD1322" i="14" s="1"/>
  <c r="BC1310" i="14" a="1"/>
  <c r="BC1310" i="14" s="1"/>
  <c r="BC1322" i="14" a="1"/>
  <c r="BC1322" i="14" s="1"/>
  <c r="BB1310" i="14" a="1"/>
  <c r="BB1310" i="14" s="1"/>
  <c r="BB1322" i="14" a="1"/>
  <c r="BB1322" i="14" s="1"/>
  <c r="BA1310" i="14" a="1"/>
  <c r="BA1310" i="14" s="1"/>
  <c r="BA1322" i="14" a="1"/>
  <c r="BA1322" i="14" s="1"/>
  <c r="AZ1310" i="14" a="1"/>
  <c r="AZ1310" i="14" s="1"/>
  <c r="AZ1322" i="14" a="1"/>
  <c r="AZ1322" i="14" s="1"/>
  <c r="AY1310" i="14" a="1"/>
  <c r="AY1310" i="14" s="1"/>
  <c r="AY1322" i="14" a="1"/>
  <c r="AY1322" i="14" s="1"/>
  <c r="AX1310" i="14" a="1"/>
  <c r="AX1310" i="14" s="1"/>
  <c r="AX1322" i="14" a="1"/>
  <c r="AX1322" i="14" s="1"/>
  <c r="AW1310" i="14" a="1"/>
  <c r="AW1310" i="14" s="1"/>
  <c r="AW1322" i="14" a="1"/>
  <c r="AW1322" i="14" s="1"/>
  <c r="AV1322" i="14" a="1"/>
  <c r="AV1322" i="14" s="1"/>
  <c r="AV1310" i="14" a="1"/>
  <c r="AV1310" i="14" s="1"/>
  <c r="AU1322" i="14" a="1"/>
  <c r="AU1322" i="14" s="1"/>
  <c r="AU1310" i="14" a="1"/>
  <c r="AU1310" i="14" s="1"/>
  <c r="AT1322" i="14" a="1"/>
  <c r="AT1322" i="14" s="1"/>
  <c r="AT1310" i="14" a="1"/>
  <c r="AT1310" i="14" s="1"/>
  <c r="AS1310" i="14" a="1"/>
  <c r="AS1310" i="14" s="1"/>
  <c r="AS1322" i="14" a="1"/>
  <c r="AS1322" i="14" s="1"/>
  <c r="AR1310" i="14" a="1"/>
  <c r="AR1310" i="14" s="1"/>
  <c r="AR1322" i="14" a="1"/>
  <c r="AR1322" i="14" s="1"/>
  <c r="AQ1310" i="14" a="1"/>
  <c r="AQ1310" i="14" s="1"/>
  <c r="AQ1322" i="14" a="1"/>
  <c r="AQ1322" i="14" s="1"/>
  <c r="AP1322" i="14" a="1"/>
  <c r="AP1322" i="14" s="1"/>
  <c r="AP1310" i="14" a="1"/>
  <c r="AP1310" i="14" s="1"/>
  <c r="AO1310" i="14" a="1"/>
  <c r="AO1310" i="14" s="1"/>
  <c r="AO1322" i="14" a="1"/>
  <c r="AO1322" i="14" s="1"/>
  <c r="AN1310" i="14" a="1"/>
  <c r="AN1310" i="14" s="1"/>
  <c r="AN1322" i="14" a="1"/>
  <c r="AN1322" i="14" s="1"/>
  <c r="AM1310" i="14" a="1"/>
  <c r="AM1310" i="14" s="1"/>
  <c r="AM1322" i="14" a="1"/>
  <c r="AM1322" i="14" s="1"/>
  <c r="AL1310" i="14" a="1"/>
  <c r="AL1310" i="14" s="1"/>
  <c r="AL1322" i="14" a="1"/>
  <c r="AL1322" i="14" s="1"/>
  <c r="AK1310" i="14" a="1"/>
  <c r="AK1310" i="14" s="1"/>
  <c r="AK1322" i="14" a="1"/>
  <c r="AK1322" i="14" s="1"/>
  <c r="AJ1310" i="14" a="1"/>
  <c r="AJ1310" i="14" s="1"/>
  <c r="AJ1322" i="14" a="1"/>
  <c r="AJ1322" i="14" s="1"/>
  <c r="AI1310" i="14" a="1"/>
  <c r="AI1310" i="14" s="1"/>
  <c r="AI1322" i="14" a="1"/>
  <c r="AI1322" i="14" s="1"/>
  <c r="AH1310" i="14" a="1"/>
  <c r="AH1310" i="14" s="1"/>
  <c r="AH1322" i="14" a="1"/>
  <c r="AH1322" i="14" s="1"/>
  <c r="AG1310" i="14" a="1"/>
  <c r="AG1310" i="14" s="1"/>
  <c r="AG1322" i="14" a="1"/>
  <c r="AG1322" i="14" s="1"/>
  <c r="AF1322" i="14" a="1"/>
  <c r="AF1322" i="14" s="1"/>
  <c r="AF1310" i="14" a="1"/>
  <c r="AF1310" i="14" s="1"/>
  <c r="AE1322" i="14" a="1"/>
  <c r="AE1322" i="14" s="1"/>
  <c r="AE1310" i="14" a="1"/>
  <c r="AE1310" i="14" s="1"/>
  <c r="AD1322" i="14" a="1"/>
  <c r="AD1322" i="14" s="1"/>
  <c r="AD1310" i="14" a="1"/>
  <c r="AD1310" i="14" s="1"/>
  <c r="AC1310" i="14" a="1"/>
  <c r="AC1310" i="14" s="1"/>
  <c r="AC1322" i="14" a="1"/>
  <c r="AC1322" i="14" s="1"/>
  <c r="AB1310" i="14" a="1"/>
  <c r="AB1310" i="14" s="1"/>
  <c r="AB1322" i="14" a="1"/>
  <c r="AB1322" i="14" s="1"/>
  <c r="AA1310" i="14" a="1"/>
  <c r="AA1310" i="14" s="1"/>
  <c r="AA1322" i="14" a="1"/>
  <c r="AA1322" i="14" s="1"/>
  <c r="Z1310" i="14" a="1"/>
  <c r="Z1310" i="14" s="1"/>
  <c r="Z1322" i="14" a="1"/>
  <c r="Z1322" i="14" s="1"/>
  <c r="Y1310" i="14" a="1"/>
  <c r="Y1310" i="14" s="1"/>
  <c r="Y1322" i="14" a="1"/>
  <c r="Y1322" i="14" s="1"/>
  <c r="X1310" i="14" a="1"/>
  <c r="X1310" i="14" s="1"/>
  <c r="X1322" i="14" a="1"/>
  <c r="X1322" i="14" s="1"/>
  <c r="W1310" i="14" a="1"/>
  <c r="W1310" i="14" s="1"/>
  <c r="W1322" i="14" a="1"/>
  <c r="W1322" i="14" s="1"/>
  <c r="T1310" i="14" a="1"/>
  <c r="T1310" i="14" s="1"/>
  <c r="T1322" i="14" a="1"/>
  <c r="T1322" i="14" s="1"/>
  <c r="S1310" i="14" a="1"/>
  <c r="S1310" i="14" s="1"/>
  <c r="S1322" i="14" a="1"/>
  <c r="S1322" i="14" s="1"/>
  <c r="R1310" i="14" a="1"/>
  <c r="R1310" i="14" s="1"/>
  <c r="R1322" i="14" a="1"/>
  <c r="R1322" i="14" s="1"/>
  <c r="Q1310" i="14" a="1"/>
  <c r="Q1310" i="14" s="1"/>
  <c r="Q1322" i="14" a="1"/>
  <c r="Q1322" i="14" s="1"/>
  <c r="P1322" i="14" a="1"/>
  <c r="P1322" i="14" s="1"/>
  <c r="P1310" i="14" a="1"/>
  <c r="P1310" i="14" s="1"/>
  <c r="O1310" i="14" a="1"/>
  <c r="O1310" i="14" s="1"/>
  <c r="O1322" i="14" a="1"/>
  <c r="O1322" i="14" s="1"/>
  <c r="N1322" i="14" a="1"/>
  <c r="N1322" i="14" s="1"/>
  <c r="N1310" i="14" a="1"/>
  <c r="N1310" i="14" s="1"/>
  <c r="M1310" i="14" a="1"/>
  <c r="M1310" i="14" s="1"/>
  <c r="M1322" i="14" a="1"/>
  <c r="M1322" i="14" s="1"/>
  <c r="BX1310" i="14" a="1"/>
  <c r="BX1310" i="14" s="1"/>
  <c r="BX1322" i="14" a="1"/>
  <c r="BX1322" i="14" s="1"/>
  <c r="BW1310" i="14" a="1"/>
  <c r="BW1310" i="14" s="1"/>
  <c r="BW1322" i="14" a="1"/>
  <c r="BW1322" i="14" s="1"/>
  <c r="J1317" i="14" a="1"/>
  <c r="J1317" i="14" s="1"/>
  <c r="J1329" i="14" a="1"/>
  <c r="J1329" i="14" s="1"/>
  <c r="BV1317" i="14" a="1"/>
  <c r="BV1317" i="14" s="1"/>
  <c r="BV1329" i="14" a="1"/>
  <c r="BV1329" i="14" s="1"/>
  <c r="BN1329" i="14" a="1"/>
  <c r="BN1329" i="14" s="1"/>
  <c r="BN1317" i="14" a="1"/>
  <c r="BN1317" i="14" s="1"/>
  <c r="BF1317" i="14" a="1"/>
  <c r="BF1317" i="14" s="1"/>
  <c r="BF1329" i="14" a="1"/>
  <c r="BF1329" i="14" s="1"/>
  <c r="AX1329" i="14" a="1"/>
  <c r="AX1329" i="14" s="1"/>
  <c r="AX1317" i="14" a="1"/>
  <c r="AX1317" i="14" s="1"/>
  <c r="AQ1317" i="14" a="1"/>
  <c r="AQ1317" i="14" s="1"/>
  <c r="AQ1329" i="14" a="1"/>
  <c r="AQ1329" i="14" s="1"/>
  <c r="AH1329" i="14" a="1"/>
  <c r="AH1329" i="14" s="1"/>
  <c r="AH1317" i="14" a="1"/>
  <c r="AH1317" i="14" s="1"/>
  <c r="Z1317" i="14" a="1"/>
  <c r="Z1317" i="14" s="1"/>
  <c r="Z1329" i="14" a="1"/>
  <c r="Z1329" i="14" s="1"/>
  <c r="Q1329" i="14" a="1"/>
  <c r="Q1329" i="14" s="1"/>
  <c r="Q1317" i="14" a="1"/>
  <c r="Q1317" i="14" s="1"/>
  <c r="K1317" i="14" a="1"/>
  <c r="K1317" i="14" s="1"/>
  <c r="K1329" i="14" a="1"/>
  <c r="K1329" i="14" s="1"/>
  <c r="I1317" i="14" a="1"/>
  <c r="I1317" i="14" s="1"/>
  <c r="I1329" i="14" a="1"/>
  <c r="I1329" i="14" s="1"/>
  <c r="BW1317" i="14" a="1"/>
  <c r="BW1317" i="14" s="1"/>
  <c r="BW1329" i="14" a="1"/>
  <c r="BW1329" i="14" s="1"/>
  <c r="BM1329" i="14" a="1"/>
  <c r="BM1329" i="14" s="1"/>
  <c r="BM1317" i="14" a="1"/>
  <c r="BM1317" i="14" s="1"/>
  <c r="BE1317" i="14" a="1"/>
  <c r="BE1317" i="14" s="1"/>
  <c r="BE1329" i="14" a="1"/>
  <c r="BE1329" i="14" s="1"/>
  <c r="AW1329" i="14" a="1"/>
  <c r="AW1329" i="14" s="1"/>
  <c r="AW1317" i="14" a="1"/>
  <c r="AW1317" i="14" s="1"/>
  <c r="AP1317" i="14" a="1"/>
  <c r="AP1317" i="14" s="1"/>
  <c r="AP1329" i="14" a="1"/>
  <c r="AP1329" i="14" s="1"/>
  <c r="AG1329" i="14" a="1"/>
  <c r="AG1329" i="14" s="1"/>
  <c r="AG1317" i="14" a="1"/>
  <c r="AG1317" i="14" s="1"/>
  <c r="Y1317" i="14" a="1"/>
  <c r="Y1317" i="14" s="1"/>
  <c r="Y1329" i="14" a="1"/>
  <c r="Y1329" i="14" s="1"/>
  <c r="T1317" i="14" a="1"/>
  <c r="T1317" i="14" s="1"/>
  <c r="T1329" i="14" a="1"/>
  <c r="T1329" i="14" s="1"/>
  <c r="H1329" i="14" a="1"/>
  <c r="H1329" i="14" s="1"/>
  <c r="H1317" i="14" a="1"/>
  <c r="H1317" i="14" s="1"/>
  <c r="BY1317" i="14" a="1"/>
  <c r="BY1317" i="14" s="1"/>
  <c r="BY1329" i="14" a="1"/>
  <c r="BY1329" i="14" s="1"/>
  <c r="BX1317" i="14" a="1"/>
  <c r="BX1317" i="14" s="1"/>
  <c r="BX1329" i="14" a="1"/>
  <c r="BX1329" i="14" s="1"/>
  <c r="BL1329" i="14" a="1"/>
  <c r="BL1329" i="14" s="1"/>
  <c r="BL1317" i="14" a="1"/>
  <c r="BL1317" i="14" s="1"/>
  <c r="BD1317" i="14" a="1"/>
  <c r="BD1317" i="14" s="1"/>
  <c r="BD1329" i="14" a="1"/>
  <c r="BD1329" i="14" s="1"/>
  <c r="AM1317" i="14" a="1"/>
  <c r="AM1317" i="14" s="1"/>
  <c r="AM1329" i="14" a="1"/>
  <c r="AM1329" i="14" s="1"/>
  <c r="AO1317" i="14" a="1"/>
  <c r="AO1317" i="14" s="1"/>
  <c r="AO1329" i="14" a="1"/>
  <c r="AO1329" i="14" s="1"/>
  <c r="AF1329" i="14" a="1"/>
  <c r="AF1329" i="14" s="1"/>
  <c r="AF1317" i="14" a="1"/>
  <c r="AF1317" i="14" s="1"/>
  <c r="X1317" i="14" a="1"/>
  <c r="X1317" i="14" s="1"/>
  <c r="X1329" i="14" a="1"/>
  <c r="X1329" i="14" s="1"/>
  <c r="P1329" i="14" a="1"/>
  <c r="P1329" i="14" s="1"/>
  <c r="P1317" i="14" a="1"/>
  <c r="P1317" i="14" s="1"/>
  <c r="BS1317" i="14" a="1"/>
  <c r="BS1317" i="14" s="1"/>
  <c r="BS1329" i="14" a="1"/>
  <c r="BS1329" i="14" s="1"/>
  <c r="BK1329" i="14" a="1"/>
  <c r="BK1329" i="14" s="1"/>
  <c r="BK1317" i="14" a="1"/>
  <c r="BK1317" i="14" s="1"/>
  <c r="BC1317" i="14" a="1"/>
  <c r="BC1317" i="14" s="1"/>
  <c r="BC1329" i="14" a="1"/>
  <c r="BC1329" i="14" s="1"/>
  <c r="AV1329" i="14" a="1"/>
  <c r="AV1329" i="14" s="1"/>
  <c r="AV1317" i="14" a="1"/>
  <c r="AV1317" i="14" s="1"/>
  <c r="AN1317" i="14" a="1"/>
  <c r="AN1317" i="14" s="1"/>
  <c r="AN1329" i="14" a="1"/>
  <c r="AN1329" i="14" s="1"/>
  <c r="AE1329" i="14" a="1"/>
  <c r="AE1329" i="14" s="1"/>
  <c r="AE1317" i="14" a="1"/>
  <c r="AE1317" i="14" s="1"/>
  <c r="W1317" i="14" a="1"/>
  <c r="W1317" i="14" s="1"/>
  <c r="W1329" i="14" a="1"/>
  <c r="W1329" i="14" s="1"/>
  <c r="O1329" i="14" a="1"/>
  <c r="O1329" i="14" s="1"/>
  <c r="O1317" i="14" a="1"/>
  <c r="O1317" i="14" s="1"/>
  <c r="BT1317" i="14" a="1"/>
  <c r="BT1317" i="14" s="1"/>
  <c r="BT1329" i="14" a="1"/>
  <c r="BT1329" i="14" s="1"/>
  <c r="BR1317" i="14" a="1"/>
  <c r="BR1317" i="14" s="1"/>
  <c r="BR1329" i="14" a="1"/>
  <c r="BR1329" i="14" s="1"/>
  <c r="BJ1329" i="14" a="1"/>
  <c r="BJ1329" i="14" s="1"/>
  <c r="BJ1317" i="14" a="1"/>
  <c r="BJ1317" i="14" s="1"/>
  <c r="BB1317" i="14" a="1"/>
  <c r="BB1317" i="14" s="1"/>
  <c r="BB1329" i="14" a="1"/>
  <c r="BB1329" i="14" s="1"/>
  <c r="AU1329" i="14" a="1"/>
  <c r="AU1329" i="14" s="1"/>
  <c r="AU1317" i="14" a="1"/>
  <c r="AU1317" i="14" s="1"/>
  <c r="AL1317" i="14" a="1"/>
  <c r="AL1317" i="14" s="1"/>
  <c r="AL1329" i="14" a="1"/>
  <c r="AL1329" i="14" s="1"/>
  <c r="AD1329" i="14" a="1"/>
  <c r="AD1329" i="14" s="1"/>
  <c r="AD1317" i="14" a="1"/>
  <c r="AD1317" i="14" s="1"/>
  <c r="V1317" i="14" a="1"/>
  <c r="V1317" i="14" s="1"/>
  <c r="V1329" i="14" a="1"/>
  <c r="V1329" i="14" s="1"/>
  <c r="N1329" i="14" a="1"/>
  <c r="N1329" i="14" s="1"/>
  <c r="N1317" i="14" a="1"/>
  <c r="N1317" i="14" s="1"/>
  <c r="BQ1317" i="14" a="1"/>
  <c r="BQ1317" i="14" s="1"/>
  <c r="BQ1329" i="14" a="1"/>
  <c r="BQ1329" i="14" s="1"/>
  <c r="BI1317" i="14" a="1"/>
  <c r="BI1317" i="14" s="1"/>
  <c r="BI1329" i="14" a="1"/>
  <c r="BI1329" i="14" s="1"/>
  <c r="BA1317" i="14" a="1"/>
  <c r="BA1317" i="14" s="1"/>
  <c r="BA1329" i="14" a="1"/>
  <c r="BA1329" i="14" s="1"/>
  <c r="AT1329" i="14" a="1"/>
  <c r="AT1329" i="14" s="1"/>
  <c r="AT1317" i="14" a="1"/>
  <c r="AT1317" i="14" s="1"/>
  <c r="AK1317" i="14" a="1"/>
  <c r="AK1317" i="14" s="1"/>
  <c r="AK1329" i="14" a="1"/>
  <c r="AK1329" i="14" s="1"/>
  <c r="AC1317" i="14" a="1"/>
  <c r="AC1317" i="14" s="1"/>
  <c r="AC1329" i="14" a="1"/>
  <c r="AC1329" i="14" s="1"/>
  <c r="U1317" i="14" a="1"/>
  <c r="U1317" i="14" s="1"/>
  <c r="U1329" i="14" a="1"/>
  <c r="U1329" i="14" s="1"/>
  <c r="M1317" i="14" a="1"/>
  <c r="M1317" i="14" s="1"/>
  <c r="M1329" i="14" a="1"/>
  <c r="M1329" i="14" s="1"/>
  <c r="BU1317" i="14" a="1"/>
  <c r="BU1317" i="14" s="1"/>
  <c r="BU1329" i="14" a="1"/>
  <c r="BU1329" i="14" s="1"/>
  <c r="BP1317" i="14" a="1"/>
  <c r="BP1317" i="14" s="1"/>
  <c r="BP1329" i="14" a="1"/>
  <c r="BP1329" i="14" s="1"/>
  <c r="BH1317" i="14" a="1"/>
  <c r="BH1317" i="14" s="1"/>
  <c r="BH1329" i="14" a="1"/>
  <c r="BH1329" i="14" s="1"/>
  <c r="AY1317" i="14" a="1"/>
  <c r="AY1317" i="14" s="1"/>
  <c r="AY1329" i="14" a="1"/>
  <c r="AY1329" i="14" s="1"/>
  <c r="AS1317" i="14" a="1"/>
  <c r="AS1317" i="14" s="1"/>
  <c r="AS1329" i="14" a="1"/>
  <c r="AS1329" i="14" s="1"/>
  <c r="AI1317" i="14" a="1"/>
  <c r="AI1317" i="14" s="1"/>
  <c r="AI1329" i="14" a="1"/>
  <c r="AI1329" i="14" s="1"/>
  <c r="AB1317" i="14" a="1"/>
  <c r="AB1317" i="14" s="1"/>
  <c r="AB1329" i="14" a="1"/>
  <c r="AB1329" i="14" s="1"/>
  <c r="S1317" i="14" a="1"/>
  <c r="S1317" i="14" s="1"/>
  <c r="S1329" i="14" a="1"/>
  <c r="S1329" i="14" s="1"/>
  <c r="L1317" i="14" a="1"/>
  <c r="L1317" i="14" s="1"/>
  <c r="L1329" i="14" a="1"/>
  <c r="L1329" i="14" s="1"/>
  <c r="BO1317" i="14" a="1"/>
  <c r="BO1317" i="14" s="1"/>
  <c r="BO1329" i="14" a="1"/>
  <c r="BO1329" i="14" s="1"/>
  <c r="BG1317" i="14" a="1"/>
  <c r="BG1317" i="14" s="1"/>
  <c r="BG1329" i="14" a="1"/>
  <c r="BG1329" i="14" s="1"/>
  <c r="AZ1317" i="14" a="1"/>
  <c r="AZ1317" i="14" s="1"/>
  <c r="AZ1329" i="14" a="1"/>
  <c r="AZ1329" i="14" s="1"/>
  <c r="AR1317" i="14" a="1"/>
  <c r="AR1317" i="14" s="1"/>
  <c r="AR1329" i="14" a="1"/>
  <c r="AR1329" i="14" s="1"/>
  <c r="AJ1317" i="14" a="1"/>
  <c r="AJ1317" i="14" s="1"/>
  <c r="AJ1329" i="14" a="1"/>
  <c r="AJ1329" i="14" s="1"/>
  <c r="AA1317" i="14" a="1"/>
  <c r="AA1317" i="14" s="1"/>
  <c r="AA1329" i="14" a="1"/>
  <c r="AA1329" i="14" s="1"/>
  <c r="R1329" i="14" a="1"/>
  <c r="R1329" i="14" s="1"/>
  <c r="R1317" i="14" a="1"/>
  <c r="R1317" i="14" s="1"/>
  <c r="BY566" i="14"/>
  <c r="BY1264" i="14"/>
  <c r="BY1367" i="14" s="1"/>
  <c r="AV1264" i="14"/>
  <c r="AV1367" i="14" s="1"/>
  <c r="M1264" i="14"/>
  <c r="M1367" i="14" s="1"/>
  <c r="M1044" i="14"/>
  <c r="BQ1264" i="14"/>
  <c r="BQ1367" i="14" s="1"/>
  <c r="I628" i="14"/>
  <c r="H660" i="14"/>
  <c r="J623" i="14"/>
  <c r="BA1264" i="14"/>
  <c r="BA1367" i="14" s="1"/>
  <c r="BM1264" i="14"/>
  <c r="BM1367" i="14" s="1"/>
  <c r="BM1044" i="14"/>
  <c r="J1264" i="14"/>
  <c r="W1264" i="14"/>
  <c r="W1367" i="14" s="1"/>
  <c r="AE1264" i="14"/>
  <c r="AE1367" i="14" s="1"/>
  <c r="AX1264" i="14"/>
  <c r="AX1367" i="14" s="1"/>
  <c r="AQ1264" i="14"/>
  <c r="AQ1367" i="14" s="1"/>
  <c r="AN1264" i="14"/>
  <c r="AN1367" i="14" s="1"/>
  <c r="T1264" i="14"/>
  <c r="T1367" i="14" s="1"/>
  <c r="AX1044" i="14"/>
  <c r="BQ1044" i="14"/>
  <c r="AH1264" i="14"/>
  <c r="AH1367" i="14" s="1"/>
  <c r="BR1264" i="14"/>
  <c r="BR1367" i="14" s="1"/>
  <c r="BU1264" i="14"/>
  <c r="BU1367" i="14" s="1"/>
  <c r="BD1264" i="14"/>
  <c r="BD1367" i="14" s="1"/>
  <c r="BP1264" i="14"/>
  <c r="BP1367" i="14" s="1"/>
  <c r="AM1264" i="14"/>
  <c r="AM1367" i="14" s="1"/>
  <c r="Q1264" i="14"/>
  <c r="Q1367" i="14" s="1"/>
  <c r="BB1264" i="14"/>
  <c r="BB1367" i="14" s="1"/>
  <c r="AO1264" i="14"/>
  <c r="AO1367" i="14" s="1"/>
  <c r="I1264" i="14"/>
  <c r="X1264" i="14"/>
  <c r="X1367" i="14" s="1"/>
  <c r="AD1264" i="14"/>
  <c r="AD1367" i="14" s="1"/>
  <c r="H641" i="14"/>
  <c r="BL1264" i="14"/>
  <c r="BL1367" i="14" s="1"/>
  <c r="BK1264" i="14"/>
  <c r="BK1367" i="14" s="1"/>
  <c r="Z1264" i="14"/>
  <c r="Z1367" i="14" s="1"/>
  <c r="AS1264" i="14"/>
  <c r="AS1367" i="14" s="1"/>
  <c r="BA1044" i="14"/>
  <c r="BV1264" i="14"/>
  <c r="BV1367" i="14" s="1"/>
  <c r="AC1264" i="14"/>
  <c r="AC1367" i="14" s="1"/>
  <c r="N1264" i="14"/>
  <c r="N1367" i="14" s="1"/>
  <c r="J1044" i="14"/>
  <c r="AN1044" i="14"/>
  <c r="AI1264" i="14"/>
  <c r="AI1367" i="14" s="1"/>
  <c r="AZ1264" i="14"/>
  <c r="AZ1367" i="14" s="1"/>
  <c r="U1264" i="14"/>
  <c r="U1367" i="14" s="1"/>
  <c r="BF1264" i="14"/>
  <c r="BF1367" i="14" s="1"/>
  <c r="BT1264" i="14"/>
  <c r="BT1367" i="14" s="1"/>
  <c r="AY1264" i="14"/>
  <c r="AY1367" i="14" s="1"/>
  <c r="BC1264" i="14"/>
  <c r="BC1367" i="14" s="1"/>
  <c r="BE1264" i="14"/>
  <c r="BE1367" i="14" s="1"/>
  <c r="BI1264" i="14"/>
  <c r="BI1367" i="14" s="1"/>
  <c r="AW1264" i="14"/>
  <c r="AW1367" i="14" s="1"/>
  <c r="BX1264" i="14"/>
  <c r="BX1367" i="14" s="1"/>
  <c r="S1264" i="14"/>
  <c r="S1367" i="14" s="1"/>
  <c r="AL1264" i="14"/>
  <c r="AL1367" i="14" s="1"/>
  <c r="Y1264" i="14"/>
  <c r="Y1367" i="14" s="1"/>
  <c r="AK1264" i="14"/>
  <c r="AK1367" i="14" s="1"/>
  <c r="BO1264" i="14"/>
  <c r="BO1367" i="14" s="1"/>
  <c r="BJ1264" i="14"/>
  <c r="BJ1367" i="14" s="1"/>
  <c r="AB1264" i="14"/>
  <c r="AB1367" i="14" s="1"/>
  <c r="AG1264" i="14"/>
  <c r="AG1367" i="14" s="1"/>
  <c r="AA1264" i="14"/>
  <c r="AA1367" i="14" s="1"/>
  <c r="V1264" i="14"/>
  <c r="V1367" i="14" s="1"/>
  <c r="BW1264" i="14"/>
  <c r="BW1367" i="14" s="1"/>
  <c r="BG1264" i="14"/>
  <c r="BG1367" i="14" s="1"/>
  <c r="AP1264" i="14"/>
  <c r="AP1367" i="14" s="1"/>
  <c r="BH1264" i="14"/>
  <c r="BH1367" i="14" s="1"/>
  <c r="P1264" i="14"/>
  <c r="P1367" i="14" s="1"/>
  <c r="O1264" i="14"/>
  <c r="O1367" i="14" s="1"/>
  <c r="AF1264" i="14"/>
  <c r="AF1367" i="14" s="1"/>
  <c r="R1264" i="14"/>
  <c r="R1367" i="14" s="1"/>
  <c r="AJ1264" i="14"/>
  <c r="AJ1367" i="14" s="1"/>
  <c r="AR1264" i="14"/>
  <c r="AR1367" i="14" s="1"/>
  <c r="AU1264" i="14"/>
  <c r="AU1367" i="14" s="1"/>
  <c r="K1264" i="14"/>
  <c r="K1367" i="14" s="1"/>
  <c r="H1264" i="14"/>
  <c r="AT1264" i="14"/>
  <c r="AT1367" i="14" s="1"/>
  <c r="BS1264" i="14"/>
  <c r="BS1367" i="14" s="1"/>
  <c r="BN1264" i="14"/>
  <c r="BN1367" i="14" s="1"/>
  <c r="L1264" i="14"/>
  <c r="L1367" i="14" s="1"/>
  <c r="BN1230" i="14"/>
  <c r="BN419" i="14"/>
  <c r="BR1230" i="14"/>
  <c r="BR419" i="14"/>
  <c r="BY1230" i="14"/>
  <c r="BY419" i="14"/>
  <c r="BH1230" i="14"/>
  <c r="BH419" i="14"/>
  <c r="BL1230" i="14"/>
  <c r="BL419" i="14"/>
  <c r="BU1230" i="14"/>
  <c r="BU419" i="14"/>
  <c r="BI1230" i="14"/>
  <c r="BI419" i="14"/>
  <c r="BT1230" i="14"/>
  <c r="BT419" i="14"/>
  <c r="BJ1230" i="14"/>
  <c r="BJ419" i="14"/>
  <c r="BP1230" i="14"/>
  <c r="BP419" i="14"/>
  <c r="BK1230" i="14"/>
  <c r="BK419" i="14"/>
  <c r="BE1230" i="14"/>
  <c r="BE419" i="14"/>
  <c r="BM1230" i="14"/>
  <c r="BM419" i="14"/>
  <c r="BX1230" i="14"/>
  <c r="BX419" i="14"/>
  <c r="BA1230" i="14"/>
  <c r="BA419" i="14"/>
  <c r="BB1230" i="14"/>
  <c r="BB419" i="14"/>
  <c r="AF1230" i="14"/>
  <c r="AF419" i="14"/>
  <c r="BF1230" i="14"/>
  <c r="BF419" i="14"/>
  <c r="AJ1230" i="14"/>
  <c r="AJ419" i="14"/>
  <c r="BQ1230" i="14"/>
  <c r="BQ419" i="14"/>
  <c r="BC1230" i="14"/>
  <c r="BC419" i="14"/>
  <c r="BO1230" i="14"/>
  <c r="BO419" i="14"/>
  <c r="BV1230" i="14"/>
  <c r="BV419" i="14"/>
  <c r="BG1230" i="14"/>
  <c r="BG419" i="14"/>
  <c r="BD1230" i="14"/>
  <c r="BD419" i="14"/>
  <c r="BS1230" i="14"/>
  <c r="BS419" i="14"/>
  <c r="BW1230" i="14"/>
  <c r="BW419" i="14"/>
  <c r="BA390" i="14"/>
  <c r="BK390" i="14"/>
  <c r="AZ525" i="14"/>
  <c r="AC525" i="14"/>
  <c r="BV525" i="14"/>
  <c r="AU525" i="14"/>
  <c r="W525" i="14"/>
  <c r="BY390" i="14"/>
  <c r="AH525" i="14"/>
  <c r="BC525" i="14"/>
  <c r="BD525" i="14"/>
  <c r="BT525" i="14"/>
  <c r="P525" i="14"/>
  <c r="AD525" i="14"/>
  <c r="BH390" i="14"/>
  <c r="BE525" i="14"/>
  <c r="AG525" i="14"/>
  <c r="BS525" i="14"/>
  <c r="U525" i="14"/>
  <c r="AF525" i="14"/>
  <c r="BL390" i="14"/>
  <c r="AL525" i="14"/>
  <c r="BI525" i="14"/>
  <c r="AK525" i="14"/>
  <c r="BN525" i="14"/>
  <c r="BU390" i="14"/>
  <c r="BI390" i="14"/>
  <c r="BT390" i="14"/>
  <c r="AN525" i="14"/>
  <c r="T525" i="14"/>
  <c r="BK525" i="14"/>
  <c r="AV525" i="14"/>
  <c r="X525" i="14"/>
  <c r="BJ390" i="14"/>
  <c r="AW525" i="14"/>
  <c r="Y525" i="14"/>
  <c r="BX525" i="14"/>
  <c r="BU525" i="14"/>
  <c r="Q525" i="14"/>
  <c r="BE390" i="14"/>
  <c r="BM390" i="14"/>
  <c r="BX390" i="14"/>
  <c r="N525" i="14"/>
  <c r="BP525" i="14"/>
  <c r="BB525" i="14"/>
  <c r="BG525" i="14"/>
  <c r="BB390" i="14"/>
  <c r="BF525" i="14"/>
  <c r="AS525" i="14"/>
  <c r="BL525" i="14"/>
  <c r="AA525" i="14"/>
  <c r="AT525" i="14"/>
  <c r="BQ390" i="14"/>
  <c r="BC390" i="14"/>
  <c r="BY381" i="14"/>
  <c r="AO525" i="14"/>
  <c r="Z525" i="14"/>
  <c r="M525" i="14"/>
  <c r="BR525" i="14"/>
  <c r="BF390" i="14"/>
  <c r="BO525" i="14"/>
  <c r="BJ525" i="14"/>
  <c r="AM525" i="14"/>
  <c r="H525" i="14"/>
  <c r="R525" i="14"/>
  <c r="L525" i="14"/>
  <c r="BO390" i="14"/>
  <c r="BV390" i="14"/>
  <c r="AE525" i="14"/>
  <c r="AB525" i="14"/>
  <c r="AX525" i="14"/>
  <c r="AY525" i="14"/>
  <c r="AR525" i="14"/>
  <c r="BD390" i="14"/>
  <c r="AP525" i="14"/>
  <c r="I525" i="14"/>
  <c r="BH525" i="14"/>
  <c r="K525" i="14"/>
  <c r="BS390" i="14"/>
  <c r="BW390" i="14"/>
  <c r="V525" i="14"/>
  <c r="BY525" i="14"/>
  <c r="BQ525" i="14"/>
  <c r="O525" i="14"/>
  <c r="BN390" i="14"/>
  <c r="BP390" i="14"/>
  <c r="S525" i="14"/>
  <c r="BA525" i="14"/>
  <c r="AI525" i="14"/>
  <c r="AJ525" i="14"/>
  <c r="J525" i="14"/>
  <c r="BG390" i="14"/>
  <c r="BR390" i="14"/>
  <c r="AQ525" i="14"/>
  <c r="BW525" i="14"/>
  <c r="BM525" i="14"/>
  <c r="AJ1239" i="14"/>
  <c r="AL1239" i="14"/>
  <c r="AT1239" i="14"/>
  <c r="J1239" i="14"/>
  <c r="AR1239" i="14"/>
  <c r="AY1239" i="14"/>
  <c r="L1338" i="14"/>
  <c r="I1239" i="14"/>
  <c r="AO1239" i="14"/>
  <c r="AN1239" i="14"/>
  <c r="AP1239" i="14"/>
  <c r="AX1239" i="14"/>
  <c r="AU1239" i="14"/>
  <c r="AZ1239" i="14"/>
  <c r="AM1239" i="14"/>
  <c r="AV1239" i="14"/>
  <c r="AS1239" i="14"/>
  <c r="AK1239" i="14"/>
  <c r="AQ1239" i="14"/>
  <c r="AW1239" i="14"/>
  <c r="AJ1221" i="14"/>
  <c r="BB1221" i="14"/>
  <c r="BW1221" i="14"/>
  <c r="AS1221" i="14"/>
  <c r="BD1221" i="14"/>
  <c r="AU1221" i="14"/>
  <c r="AO1221" i="14"/>
  <c r="BC1221" i="14"/>
  <c r="BO1221" i="14"/>
  <c r="BI1221" i="14"/>
  <c r="BJ1221" i="14"/>
  <c r="BS1221" i="14"/>
  <c r="AM1221" i="14"/>
  <c r="AV1221" i="14"/>
  <c r="BE1221" i="14"/>
  <c r="AP1221" i="14"/>
  <c r="AQ1221" i="14"/>
  <c r="AL1221" i="14"/>
  <c r="BL1221" i="14"/>
  <c r="BQ1221" i="14"/>
  <c r="BT1221" i="14"/>
  <c r="BK1221" i="14"/>
  <c r="BU1221" i="14"/>
  <c r="AZ1221" i="14"/>
  <c r="BV1221" i="14"/>
  <c r="BP1221" i="14"/>
  <c r="AR1221" i="14"/>
  <c r="BM1221" i="14"/>
  <c r="AY1221" i="14"/>
  <c r="BA1221" i="14"/>
  <c r="BR1221" i="14"/>
  <c r="BX1221" i="14"/>
  <c r="BH1221" i="14"/>
  <c r="AX1221" i="14"/>
  <c r="I1221" i="14"/>
  <c r="AN1221" i="14"/>
  <c r="J1221" i="14"/>
  <c r="BF1221" i="14"/>
  <c r="BG1221" i="14"/>
  <c r="BN1221" i="14"/>
  <c r="AT1221" i="14"/>
  <c r="AW1221" i="14"/>
  <c r="AK1221" i="14"/>
  <c r="H1221" i="14"/>
  <c r="H1367" i="14" l="1"/>
  <c r="H1268" i="14"/>
  <c r="D137" i="20" s="1"/>
  <c r="BY224" i="14"/>
  <c r="BY231" i="14" s="1"/>
  <c r="BY1247" i="14"/>
  <c r="L1310" i="14" a="1"/>
  <c r="L1310" i="14" s="1"/>
  <c r="L1322" i="14" a="1"/>
  <c r="L1322" i="14" s="1"/>
  <c r="E32" i="20" a="1"/>
  <c r="E32" i="20" s="1"/>
  <c r="D32" i="20"/>
  <c r="I660" i="14"/>
  <c r="J628" i="14"/>
  <c r="K623" i="14"/>
  <c r="L623" i="14" s="1"/>
  <c r="M623" i="14" s="1"/>
  <c r="H640" i="14"/>
  <c r="H635" i="14"/>
  <c r="H634" i="14"/>
  <c r="H637" i="14"/>
  <c r="H636" i="14"/>
  <c r="H639" i="14"/>
  <c r="H638" i="14"/>
  <c r="BH175" i="14"/>
  <c r="BH1190" i="14"/>
  <c r="AC175" i="14"/>
  <c r="AC1190" i="14"/>
  <c r="BV175" i="14"/>
  <c r="BV1190" i="14"/>
  <c r="AL175" i="14"/>
  <c r="AL1190" i="14"/>
  <c r="AX175" i="14"/>
  <c r="AX1190" i="14"/>
  <c r="BF175" i="14"/>
  <c r="BF1190" i="14"/>
  <c r="BT175" i="14"/>
  <c r="BT1190" i="14"/>
  <c r="AY175" i="14"/>
  <c r="AY1190" i="14"/>
  <c r="BU175" i="14"/>
  <c r="BU1190" i="14"/>
  <c r="BX175" i="14"/>
  <c r="BX1190" i="14"/>
  <c r="BN175" i="14"/>
  <c r="BN1190" i="14"/>
  <c r="BW175" i="14"/>
  <c r="BW1190" i="14"/>
  <c r="AD175" i="14"/>
  <c r="AD1190" i="14"/>
  <c r="AF175" i="14"/>
  <c r="AF1190" i="14"/>
  <c r="AV175" i="14"/>
  <c r="AV1190" i="14"/>
  <c r="BR175" i="14"/>
  <c r="BR1190" i="14"/>
  <c r="AP175" i="14"/>
  <c r="AP1190" i="14"/>
  <c r="BK175" i="14"/>
  <c r="BK1190" i="14"/>
  <c r="BJ175" i="14"/>
  <c r="BJ1190" i="14"/>
  <c r="BB175" i="14"/>
  <c r="BB1190" i="14"/>
  <c r="BE175" i="14"/>
  <c r="BE1190" i="14"/>
  <c r="BC175" i="14"/>
  <c r="BC1190" i="14"/>
  <c r="AQ175" i="14"/>
  <c r="AQ1190" i="14"/>
  <c r="BP175" i="14"/>
  <c r="BP1190" i="14"/>
  <c r="BY175" i="14"/>
  <c r="BY1190" i="14"/>
  <c r="BS175" i="14"/>
  <c r="BS1190" i="14"/>
  <c r="AZ175" i="14"/>
  <c r="AZ1190" i="14"/>
  <c r="BO175" i="14"/>
  <c r="BO1190" i="14"/>
  <c r="BQ175" i="14"/>
  <c r="BQ1190" i="14"/>
  <c r="BA175" i="14"/>
  <c r="BA1190" i="14"/>
  <c r="BI175" i="14"/>
  <c r="BI1190" i="14"/>
  <c r="BL175" i="14"/>
  <c r="BL1190" i="14"/>
  <c r="AJ175" i="14"/>
  <c r="AJ1190" i="14"/>
  <c r="AK175" i="14"/>
  <c r="AK1190" i="14"/>
  <c r="AT175" i="14"/>
  <c r="AT1190" i="14"/>
  <c r="AI175" i="14"/>
  <c r="AI1190" i="14"/>
  <c r="O1230" i="14"/>
  <c r="O419" i="14"/>
  <c r="AS1230" i="14"/>
  <c r="AS419" i="14"/>
  <c r="K1230" i="14"/>
  <c r="K419" i="14"/>
  <c r="AD1230" i="14"/>
  <c r="AD419" i="14"/>
  <c r="W1230" i="14"/>
  <c r="W419" i="14"/>
  <c r="AK1230" i="14"/>
  <c r="AK419" i="14"/>
  <c r="S1230" i="14"/>
  <c r="S419" i="14"/>
  <c r="M1230" i="14"/>
  <c r="M419" i="14"/>
  <c r="AZ1230" i="14"/>
  <c r="AZ419" i="14"/>
  <c r="AV1230" i="14"/>
  <c r="AV419" i="14"/>
  <c r="AO1230" i="14"/>
  <c r="AO419" i="14"/>
  <c r="T1230" i="14"/>
  <c r="T419" i="14"/>
  <c r="AT1230" i="14"/>
  <c r="AT419" i="14"/>
  <c r="AY1230" i="14"/>
  <c r="AY419" i="14"/>
  <c r="P1230" i="14"/>
  <c r="P419" i="14"/>
  <c r="AU1230" i="14"/>
  <c r="AU419" i="14"/>
  <c r="L1230" i="14"/>
  <c r="L419" i="14"/>
  <c r="AQ1230" i="14"/>
  <c r="AQ419" i="14"/>
  <c r="Z1230" i="14"/>
  <c r="Z419" i="14"/>
  <c r="AH1230" i="14"/>
  <c r="AH419" i="14"/>
  <c r="U1230" i="14"/>
  <c r="U419" i="14"/>
  <c r="AW1230" i="14"/>
  <c r="AW419" i="14"/>
  <c r="AX1230" i="14"/>
  <c r="AX419" i="14"/>
  <c r="V1230" i="14"/>
  <c r="V419" i="14"/>
  <c r="N1230" i="14"/>
  <c r="N419" i="14"/>
  <c r="AE1230" i="14"/>
  <c r="AE419" i="14"/>
  <c r="AP1230" i="14"/>
  <c r="AP419" i="14"/>
  <c r="AI1230" i="14"/>
  <c r="AI419" i="14"/>
  <c r="AN1230" i="14"/>
  <c r="AN419" i="14"/>
  <c r="AG1230" i="14"/>
  <c r="AG419" i="14"/>
  <c r="AC1230" i="14"/>
  <c r="AC419" i="14"/>
  <c r="Y1230" i="14"/>
  <c r="Y419" i="14"/>
  <c r="AR1230" i="14"/>
  <c r="AR419" i="14"/>
  <c r="AA1230" i="14"/>
  <c r="AA419" i="14"/>
  <c r="AL1230" i="14"/>
  <c r="AL419" i="14"/>
  <c r="R1230" i="14"/>
  <c r="R419" i="14"/>
  <c r="X1230" i="14"/>
  <c r="X419" i="14"/>
  <c r="AM1230" i="14"/>
  <c r="AM419" i="14"/>
  <c r="Q1230" i="14"/>
  <c r="Q419" i="14"/>
  <c r="AB1230" i="14"/>
  <c r="AB419" i="14"/>
  <c r="H1239" i="14"/>
  <c r="H390" i="14"/>
  <c r="I381" i="14"/>
  <c r="AV381" i="14"/>
  <c r="J390" i="14"/>
  <c r="AX381" i="14"/>
  <c r="BK381" i="14"/>
  <c r="AM381" i="14"/>
  <c r="BW381" i="14"/>
  <c r="AN390" i="14"/>
  <c r="AT390" i="14"/>
  <c r="H381" i="14"/>
  <c r="BH381" i="14"/>
  <c r="BS381" i="14"/>
  <c r="BB381" i="14"/>
  <c r="AQ390" i="14"/>
  <c r="AM390" i="14"/>
  <c r="AK381" i="14"/>
  <c r="BX381" i="14"/>
  <c r="BJ381" i="14"/>
  <c r="AJ381" i="14"/>
  <c r="BI381" i="14"/>
  <c r="BE381" i="14"/>
  <c r="AW381" i="14"/>
  <c r="BR381" i="14"/>
  <c r="BT381" i="14"/>
  <c r="BO381" i="14"/>
  <c r="AL390" i="14"/>
  <c r="AT381" i="14"/>
  <c r="BA381" i="14"/>
  <c r="AJ390" i="14"/>
  <c r="AN381" i="14"/>
  <c r="BN381" i="14"/>
  <c r="AY381" i="14"/>
  <c r="AK390" i="14"/>
  <c r="AO390" i="14"/>
  <c r="BM381" i="14"/>
  <c r="BQ381" i="14"/>
  <c r="BC381" i="14"/>
  <c r="AR381" i="14"/>
  <c r="BL381" i="14"/>
  <c r="AO381" i="14"/>
  <c r="AS390" i="14"/>
  <c r="BG381" i="14"/>
  <c r="AU381" i="14"/>
  <c r="AW390" i="14"/>
  <c r="AZ390" i="14"/>
  <c r="AL381" i="14"/>
  <c r="BP381" i="14"/>
  <c r="AQ381" i="14"/>
  <c r="BD381" i="14"/>
  <c r="AU390" i="14"/>
  <c r="AY390" i="14"/>
  <c r="BF381" i="14"/>
  <c r="BV381" i="14"/>
  <c r="AP381" i="14"/>
  <c r="AV390" i="14"/>
  <c r="AX390" i="14"/>
  <c r="I390" i="14"/>
  <c r="BU381" i="14"/>
  <c r="J381" i="14"/>
  <c r="AZ381" i="14"/>
  <c r="AS381" i="14"/>
  <c r="AP390" i="14"/>
  <c r="AR390" i="14"/>
  <c r="AW224" i="14" l="1"/>
  <c r="AW231" i="14" s="1"/>
  <c r="AW1247" i="14"/>
  <c r="BT224" i="14"/>
  <c r="BT1247" i="14"/>
  <c r="BR224" i="14"/>
  <c r="BR231" i="14" s="1"/>
  <c r="BR1247" i="14"/>
  <c r="AM224" i="14"/>
  <c r="AM231" i="14" s="1"/>
  <c r="AM1247" i="14"/>
  <c r="I224" i="14"/>
  <c r="I231" i="14" s="1"/>
  <c r="I1247" i="14"/>
  <c r="BE224" i="14"/>
  <c r="BE231" i="14" s="1"/>
  <c r="BE1247" i="14"/>
  <c r="AK224" i="14"/>
  <c r="AK231" i="14" s="1"/>
  <c r="AK1247" i="14"/>
  <c r="AQ224" i="14"/>
  <c r="AQ231" i="14" s="1"/>
  <c r="AQ1247" i="14"/>
  <c r="AL224" i="14"/>
  <c r="AL231" i="14" s="1"/>
  <c r="AL1247" i="14"/>
  <c r="BA224" i="14"/>
  <c r="BA231" i="14" s="1"/>
  <c r="BA1247" i="14"/>
  <c r="BO224" i="14"/>
  <c r="BO231" i="14" s="1"/>
  <c r="BO1247" i="14"/>
  <c r="AV224" i="14"/>
  <c r="AV231" i="14" s="1"/>
  <c r="AV1247" i="14"/>
  <c r="BU224" i="14"/>
  <c r="BU231" i="14" s="1"/>
  <c r="BU1247" i="14"/>
  <c r="AP224" i="14"/>
  <c r="AP231" i="14" s="1"/>
  <c r="AP1247" i="14"/>
  <c r="BV224" i="14"/>
  <c r="BV231" i="14" s="1"/>
  <c r="BV1247" i="14"/>
  <c r="BD224" i="14"/>
  <c r="BD231" i="14" s="1"/>
  <c r="BD1247" i="14"/>
  <c r="BP224" i="14"/>
  <c r="BP231" i="14" s="1"/>
  <c r="BP1247" i="14"/>
  <c r="AY224" i="14"/>
  <c r="AY231" i="14" s="1"/>
  <c r="AY1247" i="14"/>
  <c r="BF224" i="14"/>
  <c r="BF231" i="14" s="1"/>
  <c r="BF1247" i="14"/>
  <c r="BK224" i="14"/>
  <c r="BK231" i="14" s="1"/>
  <c r="BK1247" i="14"/>
  <c r="BH224" i="14"/>
  <c r="BH231" i="14" s="1"/>
  <c r="BH1247" i="14"/>
  <c r="BN224" i="14"/>
  <c r="BN231" i="14" s="1"/>
  <c r="BN1247" i="14"/>
  <c r="AR224" i="14"/>
  <c r="AR231" i="14" s="1"/>
  <c r="AR1247" i="14"/>
  <c r="AT224" i="14"/>
  <c r="AT231" i="14" s="1"/>
  <c r="AT1247" i="14"/>
  <c r="AO224" i="14"/>
  <c r="AO231" i="14" s="1"/>
  <c r="AO1247" i="14"/>
  <c r="BL224" i="14"/>
  <c r="BL231" i="14" s="1"/>
  <c r="BL1247" i="14"/>
  <c r="AZ224" i="14"/>
  <c r="AZ231" i="14" s="1"/>
  <c r="AZ1247" i="14"/>
  <c r="AN224" i="14"/>
  <c r="AN231" i="14" s="1"/>
  <c r="AN1247" i="14"/>
  <c r="AS224" i="14"/>
  <c r="AS231" i="14" s="1"/>
  <c r="AS1247" i="14"/>
  <c r="J224" i="14"/>
  <c r="J231" i="14" s="1"/>
  <c r="J1247" i="14"/>
  <c r="BI224" i="14"/>
  <c r="BI231" i="14" s="1"/>
  <c r="BI1247" i="14"/>
  <c r="BG224" i="14"/>
  <c r="BG231" i="14" s="1"/>
  <c r="BG1247" i="14"/>
  <c r="AJ224" i="14"/>
  <c r="AJ231" i="14" s="1"/>
  <c r="AJ1247" i="14"/>
  <c r="BJ224" i="14"/>
  <c r="BJ231" i="14" s="1"/>
  <c r="BJ1247" i="14"/>
  <c r="BC224" i="14"/>
  <c r="BC231" i="14" s="1"/>
  <c r="BC1247" i="14"/>
  <c r="BM224" i="14"/>
  <c r="BM231" i="14" s="1"/>
  <c r="BM1247" i="14"/>
  <c r="AU224" i="14"/>
  <c r="AU231" i="14" s="1"/>
  <c r="AU1247" i="14"/>
  <c r="AX224" i="14"/>
  <c r="AX231" i="14" s="1"/>
  <c r="AX1247" i="14"/>
  <c r="BQ224" i="14"/>
  <c r="BQ231" i="14" s="1"/>
  <c r="BQ1247" i="14"/>
  <c r="BW224" i="14"/>
  <c r="BW231" i="14" s="1"/>
  <c r="BW1247" i="14"/>
  <c r="BX224" i="14"/>
  <c r="BX231" i="14" s="1"/>
  <c r="BX1247" i="14"/>
  <c r="BB224" i="14"/>
  <c r="BB231" i="14" s="1"/>
  <c r="BB1247" i="14"/>
  <c r="BS224" i="14"/>
  <c r="BS231" i="14" s="1"/>
  <c r="BS1247" i="14"/>
  <c r="N623" i="14"/>
  <c r="O623" i="14" s="1"/>
  <c r="J660" i="14"/>
  <c r="K628" i="14"/>
  <c r="L628" i="14" s="1"/>
  <c r="H669" i="14"/>
  <c r="H666" i="14"/>
  <c r="H667" i="14"/>
  <c r="H668" i="14"/>
  <c r="H673" i="14"/>
  <c r="H672" i="14"/>
  <c r="H670" i="14"/>
  <c r="I668" i="14"/>
  <c r="H671" i="14"/>
  <c r="BT231" i="14"/>
  <c r="X175" i="14"/>
  <c r="X1190" i="14"/>
  <c r="W175" i="14"/>
  <c r="W1190" i="14"/>
  <c r="P175" i="14"/>
  <c r="P1190" i="14"/>
  <c r="N175" i="14"/>
  <c r="N1190" i="14"/>
  <c r="AB175" i="14"/>
  <c r="AB1190" i="14"/>
  <c r="Q175" i="14"/>
  <c r="Q1190" i="14"/>
  <c r="AR175" i="14"/>
  <c r="AR1190" i="14"/>
  <c r="AH175" i="14"/>
  <c r="AH1190" i="14"/>
  <c r="AE175" i="14"/>
  <c r="AE1190" i="14"/>
  <c r="BG175" i="14"/>
  <c r="BG1190" i="14"/>
  <c r="AG175" i="14"/>
  <c r="AG1190" i="14"/>
  <c r="V175" i="14"/>
  <c r="V1190" i="14"/>
  <c r="BD175" i="14"/>
  <c r="BD1190" i="14"/>
  <c r="AM175" i="14"/>
  <c r="AM1190" i="14"/>
  <c r="AS175" i="14"/>
  <c r="AS1190" i="14"/>
  <c r="R175" i="14"/>
  <c r="R1190" i="14"/>
  <c r="BM175" i="14"/>
  <c r="BM1190" i="14"/>
  <c r="M175" i="14"/>
  <c r="M1190" i="14"/>
  <c r="O175" i="14"/>
  <c r="O1190" i="14"/>
  <c r="Y175" i="14"/>
  <c r="Y1190" i="14"/>
  <c r="AU175" i="14"/>
  <c r="AU1190" i="14"/>
  <c r="T175" i="14"/>
  <c r="T1190" i="14"/>
  <c r="AA175" i="14"/>
  <c r="AA1190" i="14"/>
  <c r="AO175" i="14"/>
  <c r="AO1190" i="14"/>
  <c r="S175" i="14"/>
  <c r="S1190" i="14"/>
  <c r="U175" i="14"/>
  <c r="U1190" i="14"/>
  <c r="Z175" i="14"/>
  <c r="Z1190" i="14"/>
  <c r="AW175" i="14"/>
  <c r="AW1190" i="14"/>
  <c r="AN175" i="14"/>
  <c r="AN1190" i="14"/>
  <c r="L175" i="14"/>
  <c r="L1190" i="14"/>
  <c r="I635" i="14"/>
  <c r="I641" i="14"/>
  <c r="I637" i="14"/>
  <c r="I634" i="14"/>
  <c r="I636" i="14"/>
  <c r="I639" i="14"/>
  <c r="I640" i="14"/>
  <c r="I638" i="14"/>
  <c r="H1061" i="14"/>
  <c r="K660" i="14" l="1"/>
  <c r="L660" i="14" s="1"/>
  <c r="M628" i="14"/>
  <c r="P623" i="14"/>
  <c r="I667" i="14"/>
  <c r="I669" i="14"/>
  <c r="I673" i="14"/>
  <c r="I672" i="14"/>
  <c r="I666" i="14"/>
  <c r="I670" i="14"/>
  <c r="I671" i="14"/>
  <c r="J640" i="14"/>
  <c r="J634" i="14"/>
  <c r="J636" i="14"/>
  <c r="J635" i="14"/>
  <c r="J639" i="14"/>
  <c r="J638" i="14"/>
  <c r="J641" i="14"/>
  <c r="J637" i="14"/>
  <c r="M660" i="14" l="1"/>
  <c r="N628" i="14"/>
  <c r="Q623" i="14"/>
  <c r="L641" i="14"/>
  <c r="L638" i="14"/>
  <c r="L640" i="14"/>
  <c r="L637" i="14"/>
  <c r="L634" i="14"/>
  <c r="L636" i="14"/>
  <c r="L635" i="14"/>
  <c r="L639" i="14"/>
  <c r="K641" i="14"/>
  <c r="K638" i="14"/>
  <c r="K640" i="14"/>
  <c r="K634" i="14"/>
  <c r="K636" i="14"/>
  <c r="K635" i="14"/>
  <c r="K637" i="14"/>
  <c r="K639" i="14"/>
  <c r="J672" i="14"/>
  <c r="J671" i="14"/>
  <c r="J670" i="14"/>
  <c r="J668" i="14"/>
  <c r="J673" i="14"/>
  <c r="J669" i="14"/>
  <c r="J667" i="14"/>
  <c r="J666" i="14"/>
  <c r="H178" i="14"/>
  <c r="N660" i="14" l="1"/>
  <c r="O628" i="14"/>
  <c r="R623" i="14"/>
  <c r="K672" i="14"/>
  <c r="K671" i="14"/>
  <c r="K668" i="14"/>
  <c r="K670" i="14"/>
  <c r="K673" i="14"/>
  <c r="K669" i="14"/>
  <c r="K667" i="14"/>
  <c r="K666" i="14"/>
  <c r="M635" i="14"/>
  <c r="M637" i="14"/>
  <c r="M634" i="14"/>
  <c r="M636" i="14"/>
  <c r="M639" i="14"/>
  <c r="M640" i="14"/>
  <c r="M641" i="14"/>
  <c r="M638" i="14"/>
  <c r="L672" i="14"/>
  <c r="L671" i="14"/>
  <c r="L668" i="14"/>
  <c r="L670" i="14"/>
  <c r="L673" i="14"/>
  <c r="L669" i="14"/>
  <c r="L667" i="14"/>
  <c r="L666" i="14"/>
  <c r="O660" i="14" l="1"/>
  <c r="P628" i="14"/>
  <c r="S623" i="14"/>
  <c r="N635" i="14"/>
  <c r="N636" i="14"/>
  <c r="N639" i="14"/>
  <c r="N640" i="14"/>
  <c r="N638" i="14"/>
  <c r="N634" i="14"/>
  <c r="N641" i="14"/>
  <c r="N637" i="14"/>
  <c r="M669" i="14"/>
  <c r="M668" i="14"/>
  <c r="M673" i="14"/>
  <c r="M670" i="14"/>
  <c r="M672" i="14"/>
  <c r="M667" i="14"/>
  <c r="M666" i="14"/>
  <c r="M671" i="14"/>
  <c r="O640" i="14"/>
  <c r="O634" i="14"/>
  <c r="O636" i="14"/>
  <c r="O635" i="14"/>
  <c r="O639" i="14"/>
  <c r="O638" i="14"/>
  <c r="O641" i="14"/>
  <c r="O637" i="14"/>
  <c r="P660" i="14" l="1"/>
  <c r="Q628" i="14"/>
  <c r="T623" i="14"/>
  <c r="P640" i="14"/>
  <c r="P639" i="14"/>
  <c r="P635" i="14"/>
  <c r="P638" i="14"/>
  <c r="P641" i="14"/>
  <c r="P637" i="14"/>
  <c r="P634" i="14"/>
  <c r="P636" i="14"/>
  <c r="O673" i="14"/>
  <c r="O670" i="14"/>
  <c r="O668" i="14"/>
  <c r="O667" i="14"/>
  <c r="O669" i="14"/>
  <c r="O666" i="14"/>
  <c r="O671" i="14"/>
  <c r="O672" i="14"/>
  <c r="N669" i="14"/>
  <c r="N668" i="14"/>
  <c r="N673" i="14"/>
  <c r="N672" i="14"/>
  <c r="N670" i="14"/>
  <c r="N667" i="14"/>
  <c r="N666" i="14"/>
  <c r="N671" i="14"/>
  <c r="Q660" i="14" l="1"/>
  <c r="R628" i="14"/>
  <c r="U623" i="14"/>
  <c r="P673" i="14"/>
  <c r="P670" i="14"/>
  <c r="P669" i="14"/>
  <c r="P672" i="14"/>
  <c r="P667" i="14"/>
  <c r="P666" i="14"/>
  <c r="P671" i="14"/>
  <c r="P668" i="14"/>
  <c r="Q637" i="14"/>
  <c r="Q639" i="14"/>
  <c r="Q635" i="14"/>
  <c r="Q638" i="14"/>
  <c r="Q641" i="14"/>
  <c r="Q640" i="14"/>
  <c r="Q636" i="14"/>
  <c r="Q634" i="14"/>
  <c r="R660" i="14" l="1"/>
  <c r="S628" i="14"/>
  <c r="V623" i="14"/>
  <c r="R637" i="14"/>
  <c r="R639" i="14"/>
  <c r="R636" i="14"/>
  <c r="R635" i="14"/>
  <c r="R638" i="14"/>
  <c r="R641" i="14"/>
  <c r="R640" i="14"/>
  <c r="R634" i="14"/>
  <c r="Q671" i="14"/>
  <c r="Q670" i="14"/>
  <c r="Q667" i="14"/>
  <c r="Q672" i="14"/>
  <c r="Q666" i="14"/>
  <c r="Q673" i="14"/>
  <c r="Q669" i="14"/>
  <c r="Q668" i="14"/>
  <c r="S660" i="14" l="1"/>
  <c r="T628" i="14"/>
  <c r="W623" i="14"/>
  <c r="S634" i="14"/>
  <c r="S636" i="14"/>
  <c r="S635" i="14"/>
  <c r="S638" i="14"/>
  <c r="S641" i="14"/>
  <c r="S640" i="14"/>
  <c r="S639" i="14"/>
  <c r="S637" i="14"/>
  <c r="R671" i="14"/>
  <c r="R673" i="14"/>
  <c r="R670" i="14"/>
  <c r="R667" i="14"/>
  <c r="R672" i="14"/>
  <c r="R669" i="14"/>
  <c r="R668" i="14"/>
  <c r="R666" i="14"/>
  <c r="T660" i="14" l="1"/>
  <c r="U628" i="14"/>
  <c r="X623" i="14"/>
  <c r="T634" i="14"/>
  <c r="T635" i="14"/>
  <c r="T638" i="14"/>
  <c r="T641" i="14"/>
  <c r="T640" i="14"/>
  <c r="T639" i="14"/>
  <c r="T637" i="14"/>
  <c r="T636" i="14"/>
  <c r="S668" i="14"/>
  <c r="S673" i="14"/>
  <c r="S667" i="14"/>
  <c r="S672" i="14"/>
  <c r="S666" i="14"/>
  <c r="S671" i="14"/>
  <c r="S669" i="14"/>
  <c r="S670" i="14"/>
  <c r="U660" i="14" l="1"/>
  <c r="V628" i="14"/>
  <c r="Y623" i="14"/>
  <c r="Z623" i="14" s="1"/>
  <c r="AA623" i="14" s="1"/>
  <c r="AB623" i="14" s="1"/>
  <c r="AC623" i="14" s="1"/>
  <c r="AD623" i="14" s="1"/>
  <c r="AE623" i="14" s="1"/>
  <c r="AF623" i="14" s="1"/>
  <c r="AG623" i="14" s="1"/>
  <c r="AH623" i="14" s="1"/>
  <c r="AI623" i="14" s="1"/>
  <c r="AJ623" i="14" s="1"/>
  <c r="AK623" i="14" s="1"/>
  <c r="AL623" i="14" s="1"/>
  <c r="AM623" i="14" s="1"/>
  <c r="AN623" i="14" s="1"/>
  <c r="AO623" i="14" s="1"/>
  <c r="AP623" i="14" s="1"/>
  <c r="AQ623" i="14" s="1"/>
  <c r="AR623" i="14" s="1"/>
  <c r="AS623" i="14" s="1"/>
  <c r="AT623" i="14" s="1"/>
  <c r="AU623" i="14" s="1"/>
  <c r="AV623" i="14" s="1"/>
  <c r="AW623" i="14" s="1"/>
  <c r="AX623" i="14" s="1"/>
  <c r="AY623" i="14" s="1"/>
  <c r="AZ623" i="14" s="1"/>
  <c r="BA623" i="14" s="1"/>
  <c r="BB623" i="14" s="1"/>
  <c r="BC623" i="14" s="1"/>
  <c r="BD623" i="14" s="1"/>
  <c r="BE623" i="14" s="1"/>
  <c r="BF623" i="14" s="1"/>
  <c r="BG623" i="14" s="1"/>
  <c r="BH623" i="14" s="1"/>
  <c r="BI623" i="14" s="1"/>
  <c r="BJ623" i="14" s="1"/>
  <c r="U639" i="14"/>
  <c r="U635" i="14"/>
  <c r="U638" i="14"/>
  <c r="U641" i="14"/>
  <c r="U640" i="14"/>
  <c r="U637" i="14"/>
  <c r="U634" i="14"/>
  <c r="U636" i="14"/>
  <c r="T668" i="14"/>
  <c r="T673" i="14"/>
  <c r="T672" i="14"/>
  <c r="T671" i="14"/>
  <c r="T666" i="14"/>
  <c r="T669" i="14"/>
  <c r="T667" i="14"/>
  <c r="T670" i="14"/>
  <c r="V660" i="14" l="1"/>
  <c r="W628" i="14"/>
  <c r="BK623" i="14"/>
  <c r="U673" i="14"/>
  <c r="U672" i="14"/>
  <c r="U669" i="14"/>
  <c r="U666" i="14"/>
  <c r="U667" i="14"/>
  <c r="U671" i="14"/>
  <c r="U668" i="14"/>
  <c r="U670" i="14"/>
  <c r="V639" i="14"/>
  <c r="V641" i="14"/>
  <c r="V638" i="14"/>
  <c r="V635" i="14"/>
  <c r="V640" i="14"/>
  <c r="V637" i="14"/>
  <c r="V634" i="14"/>
  <c r="V636" i="14"/>
  <c r="W660" i="14" l="1"/>
  <c r="X628" i="14"/>
  <c r="BL623" i="14"/>
  <c r="BM623" i="14" s="1"/>
  <c r="BN623" i="14" s="1"/>
  <c r="BO623" i="14" s="1"/>
  <c r="BP623" i="14" s="1"/>
  <c r="BQ623" i="14" s="1"/>
  <c r="BR623" i="14" s="1"/>
  <c r="BS623" i="14" s="1"/>
  <c r="BT623" i="14" s="1"/>
  <c r="BU623" i="14" s="1"/>
  <c r="BV623" i="14" s="1"/>
  <c r="BW623" i="14" s="1"/>
  <c r="BX623" i="14" s="1"/>
  <c r="BY623" i="14" s="1"/>
  <c r="W641" i="14"/>
  <c r="W636" i="14"/>
  <c r="W638" i="14"/>
  <c r="W640" i="14"/>
  <c r="W639" i="14"/>
  <c r="W637" i="14"/>
  <c r="W634" i="14"/>
  <c r="W635" i="14"/>
  <c r="V673" i="14"/>
  <c r="V672" i="14"/>
  <c r="V669" i="14"/>
  <c r="V668" i="14"/>
  <c r="V666" i="14"/>
  <c r="V667" i="14"/>
  <c r="V670" i="14"/>
  <c r="V671" i="14"/>
  <c r="Y628" i="14" l="1"/>
  <c r="Z628" i="14" s="1"/>
  <c r="AA628" i="14" s="1"/>
  <c r="AB628" i="14" s="1"/>
  <c r="AC628" i="14" s="1"/>
  <c r="AD628" i="14" s="1"/>
  <c r="AE628" i="14" s="1"/>
  <c r="AF628" i="14" s="1"/>
  <c r="AG628" i="14" s="1"/>
  <c r="AH628" i="14" s="1"/>
  <c r="AI628" i="14" s="1"/>
  <c r="AJ628" i="14" s="1"/>
  <c r="AK628" i="14" s="1"/>
  <c r="AL628" i="14" s="1"/>
  <c r="AM628" i="14" s="1"/>
  <c r="AN628" i="14" s="1"/>
  <c r="AO628" i="14" s="1"/>
  <c r="AP628" i="14" s="1"/>
  <c r="AQ628" i="14" s="1"/>
  <c r="AR628" i="14" s="1"/>
  <c r="AS628" i="14" s="1"/>
  <c r="AT628" i="14" s="1"/>
  <c r="AU628" i="14" s="1"/>
  <c r="AV628" i="14" s="1"/>
  <c r="AW628" i="14" s="1"/>
  <c r="AX628" i="14" s="1"/>
  <c r="AY628" i="14" s="1"/>
  <c r="AZ628" i="14" s="1"/>
  <c r="BA628" i="14" s="1"/>
  <c r="BB628" i="14" s="1"/>
  <c r="BC628" i="14" s="1"/>
  <c r="BD628" i="14" s="1"/>
  <c r="BE628" i="14" s="1"/>
  <c r="BF628" i="14" s="1"/>
  <c r="BG628" i="14" s="1"/>
  <c r="BH628" i="14" s="1"/>
  <c r="BI628" i="14" s="1"/>
  <c r="BJ628" i="14" s="1"/>
  <c r="X660" i="14"/>
  <c r="X641" i="14"/>
  <c r="X636" i="14"/>
  <c r="X638" i="14"/>
  <c r="X640" i="14"/>
  <c r="X639" i="14"/>
  <c r="X637" i="14"/>
  <c r="X634" i="14"/>
  <c r="X635" i="14"/>
  <c r="W670" i="14"/>
  <c r="W669" i="14"/>
  <c r="W666" i="14"/>
  <c r="W672" i="14"/>
  <c r="W667" i="14"/>
  <c r="W671" i="14"/>
  <c r="W673" i="14"/>
  <c r="W668" i="14"/>
  <c r="Y660" i="14" l="1"/>
  <c r="Z660" i="14" s="1"/>
  <c r="AA660" i="14" s="1"/>
  <c r="AB660" i="14" s="1"/>
  <c r="AC660" i="14" s="1"/>
  <c r="AD660" i="14" s="1"/>
  <c r="AE660" i="14" s="1"/>
  <c r="AF660" i="14" s="1"/>
  <c r="AG660" i="14" s="1"/>
  <c r="AH660" i="14" s="1"/>
  <c r="AI660" i="14" s="1"/>
  <c r="AJ660" i="14" s="1"/>
  <c r="AK660" i="14" s="1"/>
  <c r="AL660" i="14" s="1"/>
  <c r="AM660" i="14" s="1"/>
  <c r="AN660" i="14" s="1"/>
  <c r="AO660" i="14" s="1"/>
  <c r="AP660" i="14" s="1"/>
  <c r="AQ660" i="14" s="1"/>
  <c r="AR660" i="14" s="1"/>
  <c r="AS660" i="14" s="1"/>
  <c r="AT660" i="14" s="1"/>
  <c r="AU660" i="14" s="1"/>
  <c r="AV660" i="14" s="1"/>
  <c r="AW660" i="14" s="1"/>
  <c r="AX660" i="14" s="1"/>
  <c r="AY660" i="14" s="1"/>
  <c r="AZ660" i="14" s="1"/>
  <c r="BA660" i="14" s="1"/>
  <c r="BB660" i="14" s="1"/>
  <c r="BC660" i="14" s="1"/>
  <c r="BD660" i="14" s="1"/>
  <c r="BE660" i="14" s="1"/>
  <c r="BF660" i="14" s="1"/>
  <c r="BG660" i="14" s="1"/>
  <c r="BH660" i="14" s="1"/>
  <c r="BI660" i="14" s="1"/>
  <c r="BK628" i="14"/>
  <c r="X670" i="14"/>
  <c r="X672" i="14"/>
  <c r="X669" i="14"/>
  <c r="X673" i="14"/>
  <c r="X667" i="14"/>
  <c r="X671" i="14"/>
  <c r="X668" i="14"/>
  <c r="X666" i="14"/>
  <c r="Y641" i="14"/>
  <c r="Y635" i="14"/>
  <c r="Y640" i="14"/>
  <c r="Y639" i="14"/>
  <c r="Y638" i="14"/>
  <c r="Y637" i="14"/>
  <c r="Y634" i="14"/>
  <c r="Y636" i="14"/>
  <c r="BJ660" i="14" l="1"/>
  <c r="BK660" i="14" s="1"/>
  <c r="BL628" i="14"/>
  <c r="Z641" i="14"/>
  <c r="Z640" i="14"/>
  <c r="Z639" i="14"/>
  <c r="Z638" i="14"/>
  <c r="Z637" i="14"/>
  <c r="Z634" i="14"/>
  <c r="Z636" i="14"/>
  <c r="Z635" i="14"/>
  <c r="Y667" i="14"/>
  <c r="Y671" i="14"/>
  <c r="Y672" i="14"/>
  <c r="Y669" i="14"/>
  <c r="Y668" i="14"/>
  <c r="Y670" i="14"/>
  <c r="Y666" i="14"/>
  <c r="Y673" i="14"/>
  <c r="BM628" i="14" l="1"/>
  <c r="BN628" i="14" s="1"/>
  <c r="BO628" i="14" s="1"/>
  <c r="BP628" i="14" s="1"/>
  <c r="BQ628" i="14" s="1"/>
  <c r="BR628" i="14" s="1"/>
  <c r="BS628" i="14" s="1"/>
  <c r="BT628" i="14" s="1"/>
  <c r="BU628" i="14" s="1"/>
  <c r="BV628" i="14" s="1"/>
  <c r="BW628" i="14" s="1"/>
  <c r="BX628" i="14" s="1"/>
  <c r="BY628" i="14" s="1"/>
  <c r="BL660" i="14"/>
  <c r="AA638" i="14"/>
  <c r="AA640" i="14"/>
  <c r="AA639" i="14"/>
  <c r="AA637" i="14"/>
  <c r="AA641" i="14"/>
  <c r="AA634" i="14"/>
  <c r="AA636" i="14"/>
  <c r="AA635" i="14"/>
  <c r="Z667" i="14"/>
  <c r="Z672" i="14"/>
  <c r="Z671" i="14"/>
  <c r="Z670" i="14"/>
  <c r="Z669" i="14"/>
  <c r="Z673" i="14"/>
  <c r="Z668" i="14"/>
  <c r="Z666" i="14"/>
  <c r="BM660" i="14" l="1"/>
  <c r="BN660" i="14" s="1"/>
  <c r="BO660" i="14" s="1"/>
  <c r="BP660" i="14" s="1"/>
  <c r="BQ660" i="14" s="1"/>
  <c r="BR660" i="14" s="1"/>
  <c r="BS660" i="14" s="1"/>
  <c r="BT660" i="14" s="1"/>
  <c r="BU660" i="14" s="1"/>
  <c r="BV660" i="14" s="1"/>
  <c r="BW660" i="14" s="1"/>
  <c r="BX660" i="14" s="1"/>
  <c r="BY660" i="14" s="1"/>
  <c r="AA672" i="14"/>
  <c r="AA671" i="14"/>
  <c r="AA668" i="14"/>
  <c r="AA667" i="14"/>
  <c r="AA669" i="14"/>
  <c r="AA673" i="14"/>
  <c r="AA670" i="14"/>
  <c r="AA666" i="14"/>
  <c r="AB638" i="14"/>
  <c r="AB640" i="14"/>
  <c r="AB637" i="14"/>
  <c r="AB639" i="14"/>
  <c r="AB641" i="14"/>
  <c r="AB634" i="14"/>
  <c r="AB636" i="14"/>
  <c r="AB635" i="14"/>
  <c r="AC641" i="14" l="1"/>
  <c r="AC635" i="14"/>
  <c r="AC637" i="14"/>
  <c r="AC639" i="14"/>
  <c r="AC640" i="14"/>
  <c r="AC638" i="14"/>
  <c r="AC634" i="14"/>
  <c r="AC636" i="14"/>
  <c r="AB672" i="14"/>
  <c r="AB671" i="14"/>
  <c r="AB668" i="14"/>
  <c r="AB667" i="14"/>
  <c r="AB669" i="14"/>
  <c r="AB673" i="14"/>
  <c r="AB670" i="14"/>
  <c r="AB666" i="14"/>
  <c r="AC669" i="14" l="1"/>
  <c r="AC668" i="14"/>
  <c r="AC673" i="14"/>
  <c r="AC671" i="14"/>
  <c r="AC670" i="14"/>
  <c r="AC666" i="14"/>
  <c r="AC672" i="14"/>
  <c r="AC667" i="14"/>
  <c r="AD641" i="14"/>
  <c r="AD635" i="14"/>
  <c r="AD640" i="14"/>
  <c r="AD638" i="14"/>
  <c r="AD637" i="14"/>
  <c r="AD634" i="14"/>
  <c r="AD636" i="14"/>
  <c r="AD639" i="14"/>
  <c r="AE640" i="14" l="1"/>
  <c r="AE634" i="14"/>
  <c r="AE638" i="14"/>
  <c r="AE637" i="14"/>
  <c r="AE641" i="14"/>
  <c r="AE636" i="14"/>
  <c r="AE635" i="14"/>
  <c r="AE639" i="14"/>
  <c r="AD669" i="14"/>
  <c r="AD668" i="14"/>
  <c r="AD673" i="14"/>
  <c r="AD672" i="14"/>
  <c r="AD671" i="14"/>
  <c r="AD670" i="14"/>
  <c r="AD666" i="14"/>
  <c r="AD667" i="14"/>
  <c r="AF640" i="14" l="1"/>
  <c r="AF639" i="14"/>
  <c r="AF634" i="14"/>
  <c r="AF641" i="14"/>
  <c r="AF636" i="14"/>
  <c r="AF635" i="14"/>
  <c r="AF638" i="14"/>
  <c r="AF637" i="14"/>
  <c r="AE673" i="14"/>
  <c r="AE670" i="14"/>
  <c r="AE671" i="14"/>
  <c r="AE668" i="14"/>
  <c r="AE666" i="14"/>
  <c r="AE672" i="14"/>
  <c r="AE669" i="14"/>
  <c r="AE667" i="14"/>
  <c r="AG637" i="14" l="1"/>
  <c r="AG639" i="14"/>
  <c r="AG634" i="14"/>
  <c r="AG641" i="14"/>
  <c r="AG636" i="14"/>
  <c r="AG635" i="14"/>
  <c r="AG638" i="14"/>
  <c r="AG640" i="14"/>
  <c r="AF673" i="14"/>
  <c r="AF670" i="14"/>
  <c r="AF669" i="14"/>
  <c r="AF668" i="14"/>
  <c r="AF666" i="14"/>
  <c r="AF672" i="14"/>
  <c r="AF671" i="14"/>
  <c r="AF667" i="14"/>
  <c r="AG671" i="14" l="1"/>
  <c r="AG670" i="14"/>
  <c r="AG667" i="14"/>
  <c r="AG673" i="14"/>
  <c r="AG666" i="14"/>
  <c r="AG672" i="14"/>
  <c r="AG668" i="14"/>
  <c r="AG669" i="14"/>
  <c r="AH637" i="14"/>
  <c r="AH639" i="14"/>
  <c r="AH636" i="14"/>
  <c r="AH641" i="14"/>
  <c r="AH635" i="14"/>
  <c r="AH640" i="14"/>
  <c r="AH638" i="14"/>
  <c r="AH634" i="14"/>
  <c r="AI634" i="14" l="1"/>
  <c r="AI636" i="14"/>
  <c r="AI635" i="14"/>
  <c r="AI638" i="14"/>
  <c r="AI637" i="14"/>
  <c r="AI641" i="14"/>
  <c r="AI640" i="14"/>
  <c r="AI639" i="14"/>
  <c r="AH671" i="14"/>
  <c r="AH673" i="14"/>
  <c r="AH670" i="14"/>
  <c r="AH667" i="14"/>
  <c r="AH668" i="14"/>
  <c r="AH672" i="14"/>
  <c r="AH669" i="14"/>
  <c r="AH666" i="14"/>
  <c r="AJ634" i="14" l="1"/>
  <c r="AJ636" i="14"/>
  <c r="AJ635" i="14"/>
  <c r="AJ638" i="14"/>
  <c r="AJ640" i="14"/>
  <c r="AJ639" i="14"/>
  <c r="AJ641" i="14"/>
  <c r="AJ637" i="14"/>
  <c r="AI668" i="14"/>
  <c r="AI673" i="14"/>
  <c r="AI667" i="14"/>
  <c r="AI672" i="14"/>
  <c r="AI666" i="14"/>
  <c r="AI670" i="14"/>
  <c r="AI669" i="14"/>
  <c r="AI671" i="14"/>
  <c r="AJ668" i="14" l="1"/>
  <c r="AJ673" i="14"/>
  <c r="AJ667" i="14"/>
  <c r="AJ672" i="14"/>
  <c r="AJ671" i="14"/>
  <c r="AJ666" i="14"/>
  <c r="AJ669" i="14"/>
  <c r="AJ670" i="14"/>
  <c r="AK639" i="14"/>
  <c r="AK636" i="14"/>
  <c r="AK635" i="14"/>
  <c r="AK638" i="14"/>
  <c r="AK640" i="14"/>
  <c r="AK637" i="14"/>
  <c r="AK634" i="14"/>
  <c r="AK641" i="14"/>
  <c r="AL639" i="14" l="1"/>
  <c r="AL638" i="14"/>
  <c r="AL635" i="14"/>
  <c r="AL640" i="14"/>
  <c r="AL637" i="14"/>
  <c r="AL641" i="14"/>
  <c r="AL636" i="14"/>
  <c r="AL634" i="14"/>
  <c r="AK673" i="14"/>
  <c r="AK672" i="14"/>
  <c r="AK669" i="14"/>
  <c r="AK666" i="14"/>
  <c r="AK668" i="14"/>
  <c r="AK670" i="14"/>
  <c r="AK667" i="14"/>
  <c r="AK671" i="14"/>
  <c r="AL673" i="14" l="1"/>
  <c r="AL672" i="14"/>
  <c r="AL669" i="14"/>
  <c r="AL668" i="14"/>
  <c r="AL666" i="14"/>
  <c r="AL670" i="14"/>
  <c r="AL667" i="14"/>
  <c r="AL671" i="14"/>
  <c r="AM641" i="14"/>
  <c r="AM636" i="14"/>
  <c r="AM638" i="14"/>
  <c r="AM635" i="14"/>
  <c r="AM640" i="14"/>
  <c r="AM637" i="14"/>
  <c r="AM639" i="14"/>
  <c r="AM634" i="14"/>
  <c r="AN641" i="14" l="1"/>
  <c r="AN636" i="14"/>
  <c r="AN638" i="14"/>
  <c r="AN635" i="14"/>
  <c r="AN640" i="14"/>
  <c r="AN637" i="14"/>
  <c r="AN639" i="14"/>
  <c r="AN634" i="14"/>
  <c r="AM670" i="14"/>
  <c r="AM669" i="14"/>
  <c r="AM673" i="14"/>
  <c r="AM666" i="14"/>
  <c r="AM668" i="14"/>
  <c r="AM667" i="14"/>
  <c r="AM672" i="14"/>
  <c r="AM671" i="14"/>
  <c r="AO635" i="14" l="1"/>
  <c r="AO640" i="14"/>
  <c r="AO637" i="14"/>
  <c r="AO639" i="14"/>
  <c r="AO638" i="14"/>
  <c r="AO634" i="14"/>
  <c r="AO641" i="14"/>
  <c r="AO636" i="14"/>
  <c r="AN670" i="14"/>
  <c r="AN672" i="14"/>
  <c r="AN669" i="14"/>
  <c r="AN673" i="14"/>
  <c r="AN668" i="14"/>
  <c r="AN667" i="14"/>
  <c r="AN671" i="14"/>
  <c r="AN666" i="14"/>
  <c r="AP641" i="14" l="1"/>
  <c r="AP640" i="14"/>
  <c r="AP635" i="14"/>
  <c r="AP637" i="14"/>
  <c r="AP639" i="14"/>
  <c r="AP638" i="14"/>
  <c r="AP634" i="14"/>
  <c r="AP636" i="14"/>
  <c r="AO667" i="14"/>
  <c r="AO671" i="14"/>
  <c r="AO668" i="14"/>
  <c r="AO670" i="14"/>
  <c r="AO672" i="14"/>
  <c r="AO669" i="14"/>
  <c r="AO673" i="14"/>
  <c r="AO666" i="14"/>
  <c r="AP667" i="14" l="1"/>
  <c r="AP672" i="14"/>
  <c r="AP671" i="14"/>
  <c r="AP670" i="14"/>
  <c r="AP669" i="14"/>
  <c r="AP668" i="14"/>
  <c r="AP673" i="14"/>
  <c r="AP666" i="14"/>
  <c r="AQ638" i="14"/>
  <c r="AQ641" i="14"/>
  <c r="AQ640" i="14"/>
  <c r="AQ635" i="14"/>
  <c r="AQ637" i="14"/>
  <c r="AQ639" i="14"/>
  <c r="AQ634" i="14"/>
  <c r="AQ636" i="14"/>
  <c r="AR638" i="14" l="1"/>
  <c r="AR641" i="14"/>
  <c r="AR640" i="14"/>
  <c r="AR637" i="14"/>
  <c r="AR639" i="14"/>
  <c r="AR634" i="14"/>
  <c r="AR636" i="14"/>
  <c r="AR635" i="14"/>
  <c r="AQ672" i="14"/>
  <c r="AQ671" i="14"/>
  <c r="AQ668" i="14"/>
  <c r="AQ670" i="14"/>
  <c r="AQ667" i="14"/>
  <c r="AQ669" i="14"/>
  <c r="AQ673" i="14"/>
  <c r="AQ666" i="14"/>
  <c r="AS635" i="14" l="1"/>
  <c r="AS637" i="14"/>
  <c r="AS639" i="14"/>
  <c r="AS640" i="14"/>
  <c r="AS634" i="14"/>
  <c r="AS638" i="14"/>
  <c r="AS641" i="14"/>
  <c r="AS636" i="14"/>
  <c r="AR672" i="14"/>
  <c r="AR671" i="14"/>
  <c r="AR668" i="14"/>
  <c r="AR667" i="14"/>
  <c r="AR670" i="14"/>
  <c r="AR669" i="14"/>
  <c r="AR666" i="14"/>
  <c r="AR673" i="14"/>
  <c r="AT635" i="14" l="1"/>
  <c r="AT637" i="14"/>
  <c r="AT639" i="14"/>
  <c r="AT640" i="14"/>
  <c r="AT634" i="14"/>
  <c r="AT638" i="14"/>
  <c r="AT641" i="14"/>
  <c r="AT636" i="14"/>
  <c r="AS669" i="14"/>
  <c r="AS668" i="14"/>
  <c r="AS673" i="14"/>
  <c r="AS667" i="14"/>
  <c r="AS672" i="14"/>
  <c r="AS671" i="14"/>
  <c r="AS666" i="14"/>
  <c r="AS670" i="14"/>
  <c r="AU641" i="14" l="1"/>
  <c r="AU640" i="14"/>
  <c r="AU634" i="14"/>
  <c r="AU639" i="14"/>
  <c r="AU638" i="14"/>
  <c r="AU637" i="14"/>
  <c r="AU636" i="14"/>
  <c r="AU635" i="14"/>
  <c r="AT669" i="14"/>
  <c r="AT668" i="14"/>
  <c r="AT673" i="14"/>
  <c r="AT672" i="14"/>
  <c r="AT671" i="14"/>
  <c r="AT666" i="14"/>
  <c r="AT670" i="14"/>
  <c r="AT667" i="14"/>
  <c r="AU673" i="14" l="1"/>
  <c r="AU670" i="14"/>
  <c r="AU667" i="14"/>
  <c r="AU669" i="14"/>
  <c r="AU672" i="14"/>
  <c r="AU671" i="14"/>
  <c r="AU666" i="14"/>
  <c r="AU668" i="14"/>
  <c r="AV641" i="14"/>
  <c r="AV640" i="14"/>
  <c r="AV639" i="14"/>
  <c r="AV638" i="14"/>
  <c r="AV637" i="14"/>
  <c r="AV634" i="14"/>
  <c r="AV636" i="14"/>
  <c r="AV635" i="14"/>
  <c r="AW637" i="14" l="1"/>
  <c r="AW639" i="14"/>
  <c r="AW638" i="14"/>
  <c r="AW634" i="14"/>
  <c r="AW640" i="14"/>
  <c r="AW636" i="14"/>
  <c r="AW641" i="14"/>
  <c r="AW635" i="14"/>
  <c r="AV673" i="14"/>
  <c r="AV670" i="14"/>
  <c r="AV669" i="14"/>
  <c r="AV667" i="14"/>
  <c r="AV672" i="14"/>
  <c r="AV671" i="14"/>
  <c r="AV666" i="14"/>
  <c r="AV668" i="14"/>
  <c r="AX637" i="14" l="1"/>
  <c r="AX639" i="14"/>
  <c r="AX636" i="14"/>
  <c r="AX638" i="14"/>
  <c r="AX634" i="14"/>
  <c r="AX640" i="14"/>
  <c r="AX641" i="14"/>
  <c r="AX635" i="14"/>
  <c r="AW671" i="14"/>
  <c r="AW670" i="14"/>
  <c r="AW667" i="14"/>
  <c r="AW666" i="14"/>
  <c r="AW673" i="14"/>
  <c r="AW669" i="14"/>
  <c r="AW668" i="14"/>
  <c r="AW672" i="14"/>
  <c r="AX671" i="14" l="1"/>
  <c r="AX673" i="14"/>
  <c r="AX670" i="14"/>
  <c r="AX667" i="14"/>
  <c r="AX672" i="14"/>
  <c r="AX669" i="14"/>
  <c r="AX668" i="14"/>
  <c r="AX666" i="14"/>
  <c r="AY634" i="14"/>
  <c r="AY636" i="14"/>
  <c r="AY638" i="14"/>
  <c r="AY640" i="14"/>
  <c r="AY639" i="14"/>
  <c r="AY637" i="14"/>
  <c r="AY641" i="14"/>
  <c r="AY635" i="14"/>
  <c r="AZ634" i="14" l="1"/>
  <c r="AZ638" i="14"/>
  <c r="AZ640" i="14"/>
  <c r="AZ639" i="14"/>
  <c r="AZ637" i="14"/>
  <c r="AZ641" i="14"/>
  <c r="AZ636" i="14"/>
  <c r="AZ635" i="14"/>
  <c r="AY668" i="14"/>
  <c r="AY673" i="14"/>
  <c r="AY667" i="14"/>
  <c r="AY672" i="14"/>
  <c r="AY669" i="14"/>
  <c r="AY666" i="14"/>
  <c r="AY670" i="14"/>
  <c r="AY671" i="14"/>
  <c r="BA639" i="14" l="1"/>
  <c r="BA640" i="14"/>
  <c r="BA637" i="14"/>
  <c r="BA634" i="14"/>
  <c r="BA641" i="14"/>
  <c r="BA636" i="14"/>
  <c r="BA635" i="14"/>
  <c r="BA638" i="14"/>
  <c r="AZ668" i="14"/>
  <c r="AZ673" i="14"/>
  <c r="AZ667" i="14"/>
  <c r="AZ672" i="14"/>
  <c r="AZ671" i="14"/>
  <c r="AZ669" i="14"/>
  <c r="AZ666" i="14"/>
  <c r="AZ670" i="14"/>
  <c r="BB639" i="14" l="1"/>
  <c r="BB638" i="14"/>
  <c r="BB637" i="14"/>
  <c r="BB634" i="14"/>
  <c r="BB641" i="14"/>
  <c r="BB636" i="14"/>
  <c r="BB635" i="14"/>
  <c r="BB640" i="14"/>
  <c r="BA673" i="14"/>
  <c r="BA672" i="14"/>
  <c r="BA669" i="14"/>
  <c r="BA667" i="14"/>
  <c r="BA666" i="14"/>
  <c r="BA671" i="14"/>
  <c r="BA668" i="14"/>
  <c r="BA670" i="14"/>
  <c r="BC641" i="14" l="1"/>
  <c r="BC636" i="14"/>
  <c r="BC638" i="14"/>
  <c r="BC639" i="14"/>
  <c r="BC635" i="14"/>
  <c r="BC640" i="14"/>
  <c r="BC634" i="14"/>
  <c r="BC637" i="14"/>
  <c r="BB673" i="14"/>
  <c r="BB672" i="14"/>
  <c r="BB669" i="14"/>
  <c r="BB668" i="14"/>
  <c r="BB667" i="14"/>
  <c r="BB666" i="14"/>
  <c r="BB671" i="14"/>
  <c r="BB670" i="14"/>
  <c r="BD641" i="14" l="1"/>
  <c r="BD636" i="14"/>
  <c r="BD638" i="14"/>
  <c r="BD635" i="14"/>
  <c r="BD637" i="14"/>
  <c r="BD634" i="14"/>
  <c r="BD640" i="14"/>
  <c r="BD639" i="14"/>
  <c r="BC670" i="14"/>
  <c r="BC669" i="14"/>
  <c r="BC667" i="14"/>
  <c r="BC666" i="14"/>
  <c r="BC671" i="14"/>
  <c r="BC672" i="14"/>
  <c r="BC668" i="14"/>
  <c r="BC673" i="14"/>
  <c r="BE635" i="14" l="1"/>
  <c r="BE641" i="14"/>
  <c r="BE636" i="14"/>
  <c r="BE640" i="14"/>
  <c r="BE639" i="14"/>
  <c r="BE638" i="14"/>
  <c r="BE634" i="14"/>
  <c r="BE637" i="14"/>
  <c r="BD670" i="14"/>
  <c r="BD672" i="14"/>
  <c r="BD669" i="14"/>
  <c r="BD673" i="14"/>
  <c r="BD671" i="14"/>
  <c r="BD668" i="14"/>
  <c r="BD666" i="14"/>
  <c r="BD667" i="14"/>
  <c r="AP650" i="14" l="1"/>
  <c r="BO650" i="14"/>
  <c r="U650" i="14"/>
  <c r="N650" i="14"/>
  <c r="H650" i="14"/>
  <c r="AH650" i="14"/>
  <c r="BC650" i="14"/>
  <c r="BN650" i="14"/>
  <c r="BT650" i="14"/>
  <c r="AJ650" i="14"/>
  <c r="AV650" i="14"/>
  <c r="Z650" i="14"/>
  <c r="AZ650" i="14"/>
  <c r="AE650" i="14"/>
  <c r="AY650" i="14"/>
  <c r="AM650" i="14"/>
  <c r="V650" i="14"/>
  <c r="K650" i="14"/>
  <c r="AL650" i="14"/>
  <c r="S650" i="14"/>
  <c r="AF650" i="14"/>
  <c r="BB650" i="14"/>
  <c r="T650" i="14"/>
  <c r="AB650" i="14"/>
  <c r="BR650" i="14"/>
  <c r="BH650" i="14"/>
  <c r="BA650" i="14"/>
  <c r="BV650" i="14"/>
  <c r="AS650" i="14"/>
  <c r="O650" i="14"/>
  <c r="AA650" i="14"/>
  <c r="AT650" i="14"/>
  <c r="BJ650" i="14"/>
  <c r="AN650" i="14"/>
  <c r="P650" i="14"/>
  <c r="BE650" i="14"/>
  <c r="AG650" i="14"/>
  <c r="BG650" i="14"/>
  <c r="BQ650" i="14"/>
  <c r="I650" i="14"/>
  <c r="BI650" i="14"/>
  <c r="AR650" i="14"/>
  <c r="BK650" i="14"/>
  <c r="AX650" i="14"/>
  <c r="J650" i="14"/>
  <c r="BD650" i="14"/>
  <c r="L650" i="14"/>
  <c r="AU650" i="14"/>
  <c r="BW650" i="14"/>
  <c r="BL650" i="14"/>
  <c r="AW650" i="14"/>
  <c r="W650" i="14"/>
  <c r="Y650" i="14"/>
  <c r="AQ650" i="14"/>
  <c r="X650" i="14"/>
  <c r="Q650" i="14"/>
  <c r="AI650" i="14"/>
  <c r="BU650" i="14"/>
  <c r="BF650" i="14"/>
  <c r="AC650" i="14"/>
  <c r="BS650" i="14"/>
  <c r="BP650" i="14"/>
  <c r="AD650" i="14"/>
  <c r="AK650" i="14"/>
  <c r="M650" i="14"/>
  <c r="BY650" i="14"/>
  <c r="BX650" i="14"/>
  <c r="R650" i="14"/>
  <c r="AO650" i="14"/>
  <c r="BM650" i="14"/>
  <c r="X647" i="14"/>
  <c r="BT647" i="14"/>
  <c r="BM647" i="14"/>
  <c r="BL647" i="14"/>
  <c r="N647" i="14"/>
  <c r="S647" i="14"/>
  <c r="BB647" i="14"/>
  <c r="AT647" i="14"/>
  <c r="AC647" i="14"/>
  <c r="BK647" i="14"/>
  <c r="AP647" i="14"/>
  <c r="BY647" i="14"/>
  <c r="Z647" i="14"/>
  <c r="O647" i="14"/>
  <c r="BX647" i="14"/>
  <c r="AS647" i="14"/>
  <c r="AZ647" i="14"/>
  <c r="AU647" i="14"/>
  <c r="W647" i="14"/>
  <c r="BE647" i="14"/>
  <c r="BV647" i="14"/>
  <c r="BU647" i="14"/>
  <c r="Q647" i="14"/>
  <c r="AJ647" i="14"/>
  <c r="AN647" i="14"/>
  <c r="K647" i="14"/>
  <c r="BO647" i="14"/>
  <c r="BD647" i="14"/>
  <c r="I647" i="14"/>
  <c r="BR647" i="14"/>
  <c r="H647" i="14"/>
  <c r="BH647" i="14"/>
  <c r="BQ647" i="14"/>
  <c r="BJ647" i="14"/>
  <c r="AO647" i="14"/>
  <c r="U647" i="14"/>
  <c r="J647" i="14"/>
  <c r="Y647" i="14"/>
  <c r="AI647" i="14"/>
  <c r="AV647" i="14"/>
  <c r="AX647" i="14"/>
  <c r="BN647" i="14"/>
  <c r="T647" i="14"/>
  <c r="BW647" i="14"/>
  <c r="BP647" i="14"/>
  <c r="BC647" i="14"/>
  <c r="L647" i="14"/>
  <c r="BS647" i="14"/>
  <c r="AY647" i="14"/>
  <c r="AR647" i="14"/>
  <c r="BF647" i="14"/>
  <c r="AD647" i="14"/>
  <c r="AA647" i="14"/>
  <c r="V647" i="14"/>
  <c r="AK647" i="14"/>
  <c r="BA647" i="14"/>
  <c r="M647" i="14"/>
  <c r="BI647" i="14"/>
  <c r="AH647" i="14"/>
  <c r="P647" i="14"/>
  <c r="BG647" i="14"/>
  <c r="AF647" i="14"/>
  <c r="AQ647" i="14"/>
  <c r="AB647" i="14"/>
  <c r="AE647" i="14"/>
  <c r="AG647" i="14"/>
  <c r="AL647" i="14"/>
  <c r="AM647" i="14"/>
  <c r="AW647" i="14"/>
  <c r="R647" i="14"/>
  <c r="S651" i="14"/>
  <c r="BB651" i="14"/>
  <c r="BH651" i="14"/>
  <c r="BJ651" i="14"/>
  <c r="T651" i="14"/>
  <c r="AN651" i="14"/>
  <c r="BG651" i="14"/>
  <c r="BA651" i="14"/>
  <c r="AP651" i="14"/>
  <c r="P651" i="14"/>
  <c r="BF651" i="14"/>
  <c r="AT651" i="14"/>
  <c r="V651" i="14"/>
  <c r="BE651" i="14"/>
  <c r="BI651" i="14"/>
  <c r="AO651" i="14"/>
  <c r="BM651" i="14"/>
  <c r="W651" i="14"/>
  <c r="BC651" i="14"/>
  <c r="AS651" i="14"/>
  <c r="U651" i="14"/>
  <c r="AA651" i="14"/>
  <c r="M651" i="14"/>
  <c r="R651" i="14"/>
  <c r="N651" i="14"/>
  <c r="BO651" i="14"/>
  <c r="BS651" i="14"/>
  <c r="L651" i="14"/>
  <c r="AJ651" i="14"/>
  <c r="AH651" i="14"/>
  <c r="K651" i="14"/>
  <c r="Z651" i="14"/>
  <c r="BN651" i="14"/>
  <c r="BL651" i="14"/>
  <c r="BP651" i="14"/>
  <c r="Q651" i="14"/>
  <c r="BR651" i="14"/>
  <c r="BQ651" i="14"/>
  <c r="AY651" i="14"/>
  <c r="AU651" i="14"/>
  <c r="AG651" i="14"/>
  <c r="J651" i="14"/>
  <c r="BU651" i="14"/>
  <c r="BY651" i="14"/>
  <c r="BW651" i="14"/>
  <c r="AD651" i="14"/>
  <c r="AX651" i="14"/>
  <c r="AE651" i="14"/>
  <c r="AF651" i="14"/>
  <c r="BX651" i="14"/>
  <c r="O651" i="14"/>
  <c r="AW651" i="14"/>
  <c r="AC651" i="14"/>
  <c r="H651" i="14"/>
  <c r="AI651" i="14"/>
  <c r="AV651" i="14"/>
  <c r="Y651" i="14"/>
  <c r="AL651" i="14"/>
  <c r="AQ651" i="14"/>
  <c r="AM651" i="14"/>
  <c r="AK651" i="14"/>
  <c r="AR651" i="14"/>
  <c r="AZ651" i="14"/>
  <c r="X651" i="14"/>
  <c r="BV651" i="14"/>
  <c r="BD651" i="14"/>
  <c r="BT651" i="14"/>
  <c r="AB651" i="14"/>
  <c r="BK651" i="14"/>
  <c r="I651" i="14"/>
  <c r="AS652" i="14"/>
  <c r="AA652" i="14"/>
  <c r="N652" i="14"/>
  <c r="AL652" i="14"/>
  <c r="AY652" i="14"/>
  <c r="AM652" i="14"/>
  <c r="AU652" i="14"/>
  <c r="BB652" i="14"/>
  <c r="BR652" i="14"/>
  <c r="AW652" i="14"/>
  <c r="BX652" i="14"/>
  <c r="T652" i="14"/>
  <c r="BL652" i="14"/>
  <c r="BQ652" i="14"/>
  <c r="AR652" i="14"/>
  <c r="Q652" i="14"/>
  <c r="AH652" i="14"/>
  <c r="U652" i="14"/>
  <c r="AZ652" i="14"/>
  <c r="P652" i="14"/>
  <c r="K652" i="14"/>
  <c r="AV652" i="14"/>
  <c r="BY652" i="14"/>
  <c r="O652" i="14"/>
  <c r="Z652" i="14"/>
  <c r="W652" i="14"/>
  <c r="BD652" i="14"/>
  <c r="V652" i="14"/>
  <c r="AO652" i="14"/>
  <c r="BG652" i="14"/>
  <c r="BS652" i="14"/>
  <c r="BU652" i="14"/>
  <c r="BP652" i="14"/>
  <c r="BE652" i="14"/>
  <c r="I652" i="14"/>
  <c r="S652" i="14"/>
  <c r="BO652" i="14"/>
  <c r="L652" i="14"/>
  <c r="BF652" i="14"/>
  <c r="BA652" i="14"/>
  <c r="BV652" i="14"/>
  <c r="AD652" i="14"/>
  <c r="R652" i="14"/>
  <c r="AG652" i="14"/>
  <c r="AC652" i="14"/>
  <c r="AJ652" i="14"/>
  <c r="J652" i="14"/>
  <c r="BN652" i="14"/>
  <c r="BT652" i="14"/>
  <c r="BM652" i="14"/>
  <c r="Y652" i="14"/>
  <c r="BI652" i="14"/>
  <c r="AQ652" i="14"/>
  <c r="X652" i="14"/>
  <c r="AT652" i="14"/>
  <c r="AI652" i="14"/>
  <c r="AE652" i="14"/>
  <c r="AX652" i="14"/>
  <c r="AN652" i="14"/>
  <c r="AF652" i="14"/>
  <c r="BC652" i="14"/>
  <c r="H652" i="14"/>
  <c r="BH652" i="14"/>
  <c r="BW652" i="14"/>
  <c r="AK652" i="14"/>
  <c r="BJ652" i="14"/>
  <c r="AB652" i="14"/>
  <c r="M652" i="14"/>
  <c r="AP652" i="14"/>
  <c r="BK652" i="14"/>
  <c r="BR653" i="14"/>
  <c r="H653" i="14"/>
  <c r="BX653" i="14"/>
  <c r="AG653" i="14"/>
  <c r="U653" i="14"/>
  <c r="AP653" i="14"/>
  <c r="BJ653" i="14"/>
  <c r="I653" i="14"/>
  <c r="BU653" i="14"/>
  <c r="L653" i="14"/>
  <c r="AC653" i="14"/>
  <c r="R653" i="14"/>
  <c r="BQ653" i="14"/>
  <c r="AX653" i="14"/>
  <c r="AE653" i="14"/>
  <c r="BK653" i="14"/>
  <c r="BH653" i="14"/>
  <c r="BN653" i="14"/>
  <c r="AR653" i="14"/>
  <c r="BV653" i="14"/>
  <c r="X653" i="14"/>
  <c r="BS653" i="14"/>
  <c r="BG653" i="14"/>
  <c r="BO653" i="14"/>
  <c r="AF653" i="14"/>
  <c r="BL653" i="14"/>
  <c r="BD653" i="14"/>
  <c r="AK653" i="14"/>
  <c r="AV653" i="14"/>
  <c r="AU653" i="14"/>
  <c r="P653" i="14"/>
  <c r="T653" i="14"/>
  <c r="AO653" i="14"/>
  <c r="K653" i="14"/>
  <c r="BB653" i="14"/>
  <c r="BP653" i="14"/>
  <c r="AI653" i="14"/>
  <c r="BE653" i="14"/>
  <c r="AM653" i="14"/>
  <c r="AQ653" i="14"/>
  <c r="Z653" i="14"/>
  <c r="BC653" i="14"/>
  <c r="AY653" i="14"/>
  <c r="AN653" i="14"/>
  <c r="Q653" i="14"/>
  <c r="M653" i="14"/>
  <c r="AW653" i="14"/>
  <c r="BY653" i="14"/>
  <c r="BI653" i="14"/>
  <c r="Y653" i="14"/>
  <c r="AS653" i="14"/>
  <c r="BM653" i="14"/>
  <c r="AZ653" i="14"/>
  <c r="AJ653" i="14"/>
  <c r="AD653" i="14"/>
  <c r="BF653" i="14"/>
  <c r="AB653" i="14"/>
  <c r="N653" i="14"/>
  <c r="AH653" i="14"/>
  <c r="BT653" i="14"/>
  <c r="O653" i="14"/>
  <c r="AT653" i="14"/>
  <c r="BW653" i="14"/>
  <c r="J653" i="14"/>
  <c r="V653" i="14"/>
  <c r="W653" i="14"/>
  <c r="AL653" i="14"/>
  <c r="S653" i="14"/>
  <c r="BA653" i="14"/>
  <c r="AA653" i="14"/>
  <c r="AQ649" i="14"/>
  <c r="BW649" i="14"/>
  <c r="BX649" i="14"/>
  <c r="AH649" i="14"/>
  <c r="AY649" i="14"/>
  <c r="AW649" i="14"/>
  <c r="BN649" i="14"/>
  <c r="BJ649" i="14"/>
  <c r="H649" i="14"/>
  <c r="AV649" i="14"/>
  <c r="AC649" i="14"/>
  <c r="BR649" i="14"/>
  <c r="BT649" i="14"/>
  <c r="BH649" i="14"/>
  <c r="BU649" i="14"/>
  <c r="AG649" i="14"/>
  <c r="BF649" i="14"/>
  <c r="BQ649" i="14"/>
  <c r="Z649" i="14"/>
  <c r="P649" i="14"/>
  <c r="BO649" i="14"/>
  <c r="AB649" i="14"/>
  <c r="N649" i="14"/>
  <c r="S649" i="14"/>
  <c r="AP649" i="14"/>
  <c r="BI649" i="14"/>
  <c r="I649" i="14"/>
  <c r="AM649" i="14"/>
  <c r="J649" i="14"/>
  <c r="AU649" i="14"/>
  <c r="M649" i="14"/>
  <c r="AJ649" i="14"/>
  <c r="BL649" i="14"/>
  <c r="AT649" i="14"/>
  <c r="X649" i="14"/>
  <c r="AI649" i="14"/>
  <c r="AX649" i="14"/>
  <c r="Q649" i="14"/>
  <c r="BM649" i="14"/>
  <c r="AF649" i="14"/>
  <c r="BK649" i="14"/>
  <c r="BB649" i="14"/>
  <c r="BV649" i="14"/>
  <c r="BY649" i="14"/>
  <c r="BE649" i="14"/>
  <c r="AA649" i="14"/>
  <c r="AO649" i="14"/>
  <c r="W649" i="14"/>
  <c r="BC649" i="14"/>
  <c r="BD649" i="14"/>
  <c r="AD649" i="14"/>
  <c r="T649" i="14"/>
  <c r="AK649" i="14"/>
  <c r="L649" i="14"/>
  <c r="BA649" i="14"/>
  <c r="Y649" i="14"/>
  <c r="BG649" i="14"/>
  <c r="AN649" i="14"/>
  <c r="U649" i="14"/>
  <c r="AE649" i="14"/>
  <c r="AS649" i="14"/>
  <c r="AZ649" i="14"/>
  <c r="BS649" i="14"/>
  <c r="O649" i="14"/>
  <c r="AR649" i="14"/>
  <c r="K649" i="14"/>
  <c r="BP649" i="14"/>
  <c r="V649" i="14"/>
  <c r="AL649" i="14"/>
  <c r="R649" i="14"/>
  <c r="H654" i="14"/>
  <c r="AI654" i="14"/>
  <c r="BU654" i="14"/>
  <c r="BE654" i="14"/>
  <c r="BM654" i="14"/>
  <c r="AZ654" i="14"/>
  <c r="BC654" i="14"/>
  <c r="I654" i="14"/>
  <c r="AU654" i="14"/>
  <c r="T654" i="14"/>
  <c r="AM654" i="14"/>
  <c r="AA654" i="14"/>
  <c r="BT654" i="14"/>
  <c r="BL654" i="14"/>
  <c r="R654" i="14"/>
  <c r="AW654" i="14"/>
  <c r="O654" i="14"/>
  <c r="BN654" i="14"/>
  <c r="BJ654" i="14"/>
  <c r="AV654" i="14"/>
  <c r="AF654" i="14"/>
  <c r="L654" i="14"/>
  <c r="AY654" i="14"/>
  <c r="BP654" i="14"/>
  <c r="AS654" i="14"/>
  <c r="K654" i="14"/>
  <c r="BY654" i="14"/>
  <c r="BQ654" i="14"/>
  <c r="N654" i="14"/>
  <c r="BF654" i="14"/>
  <c r="AT654" i="14"/>
  <c r="W654" i="14"/>
  <c r="P654" i="14"/>
  <c r="BS654" i="14"/>
  <c r="AH654" i="14"/>
  <c r="BG654" i="14"/>
  <c r="Z654" i="14"/>
  <c r="AJ654" i="14"/>
  <c r="X654" i="14"/>
  <c r="Q654" i="14"/>
  <c r="BH654" i="14"/>
  <c r="BK654" i="14"/>
  <c r="AG654" i="14"/>
  <c r="BW654" i="14"/>
  <c r="BI654" i="14"/>
  <c r="BA654" i="14"/>
  <c r="AQ654" i="14"/>
  <c r="AP654" i="14"/>
  <c r="AD654" i="14"/>
  <c r="AK654" i="14"/>
  <c r="BR654" i="14"/>
  <c r="AN654" i="14"/>
  <c r="M654" i="14"/>
  <c r="BO654" i="14"/>
  <c r="BV654" i="14"/>
  <c r="J654" i="14"/>
  <c r="AL654" i="14"/>
  <c r="Y654" i="14"/>
  <c r="AX654" i="14"/>
  <c r="AB654" i="14"/>
  <c r="S654" i="14"/>
  <c r="BX654" i="14"/>
  <c r="AO654" i="14"/>
  <c r="AC654" i="14"/>
  <c r="BB654" i="14"/>
  <c r="V654" i="14"/>
  <c r="AE654" i="14"/>
  <c r="BD654" i="14"/>
  <c r="AR654" i="14"/>
  <c r="U654" i="14"/>
  <c r="AK648" i="14"/>
  <c r="AF648" i="14"/>
  <c r="J648" i="14"/>
  <c r="AE648" i="14"/>
  <c r="AL648" i="14"/>
  <c r="BE648" i="14"/>
  <c r="X648" i="14"/>
  <c r="AT648" i="14"/>
  <c r="I648" i="14"/>
  <c r="AW648" i="14"/>
  <c r="BX648" i="14"/>
  <c r="BJ648" i="14"/>
  <c r="AR648" i="14"/>
  <c r="AN648" i="14"/>
  <c r="AC648" i="14"/>
  <c r="AA648" i="14"/>
  <c r="AH648" i="14"/>
  <c r="BB648" i="14"/>
  <c r="K648" i="14"/>
  <c r="BO648" i="14"/>
  <c r="H648" i="14"/>
  <c r="BD648" i="14"/>
  <c r="BU648" i="14"/>
  <c r="BY648" i="14"/>
  <c r="BC648" i="14"/>
  <c r="BT648" i="14"/>
  <c r="BW648" i="14"/>
  <c r="P648" i="14"/>
  <c r="BR648" i="14"/>
  <c r="BI648" i="14"/>
  <c r="AJ648" i="14"/>
  <c r="AQ648" i="14"/>
  <c r="BH648" i="14"/>
  <c r="T648" i="14"/>
  <c r="BS648" i="14"/>
  <c r="N648" i="14"/>
  <c r="AG648" i="14"/>
  <c r="AY648" i="14"/>
  <c r="M648" i="14"/>
  <c r="BV648" i="14"/>
  <c r="BL648" i="14"/>
  <c r="AB648" i="14"/>
  <c r="BN648" i="14"/>
  <c r="V648" i="14"/>
  <c r="Z648" i="14"/>
  <c r="AU648" i="14"/>
  <c r="AP648" i="14"/>
  <c r="AS648" i="14"/>
  <c r="R648" i="14"/>
  <c r="AM648" i="14"/>
  <c r="BF648" i="14"/>
  <c r="L648" i="14"/>
  <c r="BQ648" i="14"/>
  <c r="AV648" i="14"/>
  <c r="AX648" i="14"/>
  <c r="BM648" i="14"/>
  <c r="BA648" i="14"/>
  <c r="U648" i="14"/>
  <c r="Q648" i="14"/>
  <c r="S648" i="14"/>
  <c r="AZ648" i="14"/>
  <c r="W648" i="14"/>
  <c r="BG648" i="14"/>
  <c r="BK648" i="14"/>
  <c r="AD648" i="14"/>
  <c r="AI648" i="14"/>
  <c r="BP648" i="14"/>
  <c r="AO648" i="14"/>
  <c r="Y648" i="14"/>
  <c r="O648" i="14"/>
  <c r="BE667" i="14"/>
  <c r="BE672" i="14"/>
  <c r="BE666" i="14"/>
  <c r="BE671" i="14"/>
  <c r="BE669" i="14"/>
  <c r="BE668" i="14"/>
  <c r="BE673" i="14"/>
  <c r="BE670" i="14"/>
  <c r="BF640" i="14"/>
  <c r="BF641" i="14"/>
  <c r="BF636" i="14"/>
  <c r="BF635" i="14"/>
  <c r="BF637" i="14"/>
  <c r="BF634" i="14"/>
  <c r="BF638" i="14"/>
  <c r="BF639" i="14"/>
  <c r="AR685" i="14" l="1"/>
  <c r="AX685" i="14"/>
  <c r="W685" i="14"/>
  <c r="BL685" i="14"/>
  <c r="BI685" i="14"/>
  <c r="K685" i="14"/>
  <c r="BU685" i="14"/>
  <c r="AC685" i="14"/>
  <c r="AM685" i="14"/>
  <c r="BE685" i="14"/>
  <c r="AQ685" i="14"/>
  <c r="Q685" i="14"/>
  <c r="I685" i="14"/>
  <c r="T685" i="14"/>
  <c r="BP685" i="14"/>
  <c r="AG685" i="14"/>
  <c r="BN685" i="14"/>
  <c r="AY685" i="14"/>
  <c r="Y685" i="14"/>
  <c r="BB685" i="14"/>
  <c r="BG685" i="14"/>
  <c r="BA685" i="14"/>
  <c r="AW685" i="14"/>
  <c r="BD685" i="14"/>
  <c r="J685" i="14"/>
  <c r="BC685" i="14"/>
  <c r="AB685" i="14"/>
  <c r="AZ685" i="14"/>
  <c r="AV685" i="14"/>
  <c r="BJ685" i="14"/>
  <c r="AJ685" i="14"/>
  <c r="R685" i="14"/>
  <c r="BX685" i="14"/>
  <c r="BF685" i="14"/>
  <c r="L685" i="14"/>
  <c r="S685" i="14"/>
  <c r="X685" i="14"/>
  <c r="AN685" i="14"/>
  <c r="AF685" i="14"/>
  <c r="AL685" i="14"/>
  <c r="AU685" i="14"/>
  <c r="BR685" i="14"/>
  <c r="BW685" i="14"/>
  <c r="AT685" i="14"/>
  <c r="Z685" i="14"/>
  <c r="AH685" i="14"/>
  <c r="M685" i="14"/>
  <c r="O685" i="14"/>
  <c r="BV685" i="14"/>
  <c r="H685" i="14"/>
  <c r="P685" i="14"/>
  <c r="AE685" i="14"/>
  <c r="BH685" i="14"/>
  <c r="AK685" i="14"/>
  <c r="AO685" i="14"/>
  <c r="AI685" i="14"/>
  <c r="BO685" i="14"/>
  <c r="BK685" i="14"/>
  <c r="AD685" i="14"/>
  <c r="BQ685" i="14"/>
  <c r="BM685" i="14"/>
  <c r="AA685" i="14"/>
  <c r="AP685" i="14"/>
  <c r="U685" i="14"/>
  <c r="AS685" i="14"/>
  <c r="N685" i="14"/>
  <c r="BS685" i="14"/>
  <c r="V685" i="14"/>
  <c r="BY685" i="14"/>
  <c r="BT685" i="14"/>
  <c r="AO680" i="14"/>
  <c r="BT680" i="14"/>
  <c r="J680" i="14"/>
  <c r="AS680" i="14"/>
  <c r="BF680" i="14"/>
  <c r="M680" i="14"/>
  <c r="BM680" i="14"/>
  <c r="BN680" i="14"/>
  <c r="H680" i="14"/>
  <c r="L680" i="14"/>
  <c r="K680" i="14"/>
  <c r="O680" i="14"/>
  <c r="BX680" i="14"/>
  <c r="AV680" i="14"/>
  <c r="AH680" i="14"/>
  <c r="AL680" i="14"/>
  <c r="BE680" i="14"/>
  <c r="BA680" i="14"/>
  <c r="T680" i="14"/>
  <c r="BQ680" i="14"/>
  <c r="BO680" i="14"/>
  <c r="Y680" i="14"/>
  <c r="AD680" i="14"/>
  <c r="BP680" i="14"/>
  <c r="AC680" i="14"/>
  <c r="AJ680" i="14"/>
  <c r="Q680" i="14"/>
  <c r="AF680" i="14"/>
  <c r="BS680" i="14"/>
  <c r="AN680" i="14"/>
  <c r="AX680" i="14"/>
  <c r="BJ680" i="14"/>
  <c r="BG680" i="14"/>
  <c r="AM680" i="14"/>
  <c r="AZ680" i="14"/>
  <c r="AY680" i="14"/>
  <c r="X680" i="14"/>
  <c r="AU680" i="14"/>
  <c r="S680" i="14"/>
  <c r="W680" i="14"/>
  <c r="BR680" i="14"/>
  <c r="AT680" i="14"/>
  <c r="AI680" i="14"/>
  <c r="BU680" i="14"/>
  <c r="AA680" i="14"/>
  <c r="BY680" i="14"/>
  <c r="P680" i="14"/>
  <c r="U680" i="14"/>
  <c r="BK680" i="14"/>
  <c r="BL680" i="14"/>
  <c r="AW680" i="14"/>
  <c r="AE680" i="14"/>
  <c r="BV680" i="14"/>
  <c r="AB680" i="14"/>
  <c r="BI680" i="14"/>
  <c r="BC680" i="14"/>
  <c r="I680" i="14"/>
  <c r="AR680" i="14"/>
  <c r="BB680" i="14"/>
  <c r="AG680" i="14"/>
  <c r="BW680" i="14"/>
  <c r="BD680" i="14"/>
  <c r="AQ680" i="14"/>
  <c r="N680" i="14"/>
  <c r="AP680" i="14"/>
  <c r="V680" i="14"/>
  <c r="BH680" i="14"/>
  <c r="Z680" i="14"/>
  <c r="AK680" i="14"/>
  <c r="R680" i="14"/>
  <c r="I679" i="14"/>
  <c r="M679" i="14"/>
  <c r="BL679" i="14"/>
  <c r="AZ679" i="14"/>
  <c r="BJ679" i="14"/>
  <c r="AI679" i="14"/>
  <c r="BW679" i="14"/>
  <c r="AF679" i="14"/>
  <c r="BC679" i="14"/>
  <c r="H679" i="14"/>
  <c r="AA679" i="14"/>
  <c r="Q679" i="14"/>
  <c r="N679" i="14"/>
  <c r="AK679" i="14"/>
  <c r="AS679" i="14"/>
  <c r="BP679" i="14"/>
  <c r="AT679" i="14"/>
  <c r="BO679" i="14"/>
  <c r="AB679" i="14"/>
  <c r="BE679" i="14"/>
  <c r="BQ679" i="14"/>
  <c r="K679" i="14"/>
  <c r="AR679" i="14"/>
  <c r="P679" i="14"/>
  <c r="BA679" i="14"/>
  <c r="AY679" i="14"/>
  <c r="AD679" i="14"/>
  <c r="Z679" i="14"/>
  <c r="AG679" i="14"/>
  <c r="BR679" i="14"/>
  <c r="AX679" i="14"/>
  <c r="AN679" i="14"/>
  <c r="BH679" i="14"/>
  <c r="AW679" i="14"/>
  <c r="AL679" i="14"/>
  <c r="BK679" i="14"/>
  <c r="BG679" i="14"/>
  <c r="Y679" i="14"/>
  <c r="BT679" i="14"/>
  <c r="BD679" i="14"/>
  <c r="S679" i="14"/>
  <c r="AP679" i="14"/>
  <c r="X679" i="14"/>
  <c r="AJ679" i="14"/>
  <c r="AU679" i="14"/>
  <c r="AE679" i="14"/>
  <c r="AQ679" i="14"/>
  <c r="BI679" i="14"/>
  <c r="L679" i="14"/>
  <c r="BN679" i="14"/>
  <c r="U679" i="14"/>
  <c r="R679" i="14"/>
  <c r="O679" i="14"/>
  <c r="AO679" i="14"/>
  <c r="BX679" i="14"/>
  <c r="AV679" i="14"/>
  <c r="BU679" i="14"/>
  <c r="BY679" i="14"/>
  <c r="V679" i="14"/>
  <c r="AH679" i="14"/>
  <c r="W679" i="14"/>
  <c r="BV679" i="14"/>
  <c r="T679" i="14"/>
  <c r="BS679" i="14"/>
  <c r="AM679" i="14"/>
  <c r="BM679" i="14"/>
  <c r="BB679" i="14"/>
  <c r="BF679" i="14"/>
  <c r="AC679" i="14"/>
  <c r="J679" i="14"/>
  <c r="BK683" i="14"/>
  <c r="BB683" i="14"/>
  <c r="AI683" i="14"/>
  <c r="K683" i="14"/>
  <c r="BI683" i="14"/>
  <c r="Y683" i="14"/>
  <c r="T683" i="14"/>
  <c r="AY683" i="14"/>
  <c r="H683" i="14"/>
  <c r="BX683" i="14"/>
  <c r="AF683" i="14"/>
  <c r="BC683" i="14"/>
  <c r="AJ683" i="14"/>
  <c r="L683" i="14"/>
  <c r="I683" i="14"/>
  <c r="AB683" i="14"/>
  <c r="BD683" i="14"/>
  <c r="J683" i="14"/>
  <c r="S683" i="14"/>
  <c r="AT683" i="14"/>
  <c r="W683" i="14"/>
  <c r="V683" i="14"/>
  <c r="AH683" i="14"/>
  <c r="AG683" i="14"/>
  <c r="AR683" i="14"/>
  <c r="BY683" i="14"/>
  <c r="BW683" i="14"/>
  <c r="BH683" i="14"/>
  <c r="BV683" i="14"/>
  <c r="AV683" i="14"/>
  <c r="Z683" i="14"/>
  <c r="AZ683" i="14"/>
  <c r="BJ683" i="14"/>
  <c r="AX683" i="14"/>
  <c r="R683" i="14"/>
  <c r="X683" i="14"/>
  <c r="AU683" i="14"/>
  <c r="AD683" i="14"/>
  <c r="U683" i="14"/>
  <c r="AK683" i="14"/>
  <c r="AA683" i="14"/>
  <c r="BM683" i="14"/>
  <c r="BU683" i="14"/>
  <c r="AW683" i="14"/>
  <c r="AP683" i="14"/>
  <c r="Q683" i="14"/>
  <c r="AN683" i="14"/>
  <c r="BL683" i="14"/>
  <c r="BE683" i="14"/>
  <c r="AL683" i="14"/>
  <c r="M683" i="14"/>
  <c r="AQ683" i="14"/>
  <c r="BR683" i="14"/>
  <c r="AO683" i="14"/>
  <c r="O683" i="14"/>
  <c r="BP683" i="14"/>
  <c r="BT683" i="14"/>
  <c r="BG683" i="14"/>
  <c r="AM683" i="14"/>
  <c r="BS683" i="14"/>
  <c r="P683" i="14"/>
  <c r="AS683" i="14"/>
  <c r="AC683" i="14"/>
  <c r="AE683" i="14"/>
  <c r="BO683" i="14"/>
  <c r="BN683" i="14"/>
  <c r="BA683" i="14"/>
  <c r="N683" i="14"/>
  <c r="BF683" i="14"/>
  <c r="BQ683" i="14"/>
  <c r="BA686" i="14"/>
  <c r="AU686" i="14"/>
  <c r="BT686" i="14"/>
  <c r="AJ686" i="14"/>
  <c r="AE686" i="14"/>
  <c r="J686" i="14"/>
  <c r="BQ686" i="14"/>
  <c r="BB686" i="14"/>
  <c r="I686" i="14"/>
  <c r="BE686" i="14"/>
  <c r="BM686" i="14"/>
  <c r="AD686" i="14"/>
  <c r="BY686" i="14"/>
  <c r="X686" i="14"/>
  <c r="AB686" i="14"/>
  <c r="BC686" i="14"/>
  <c r="AR686" i="14"/>
  <c r="O686" i="14"/>
  <c r="BN686" i="14"/>
  <c r="N686" i="14"/>
  <c r="BJ686" i="14"/>
  <c r="BO686" i="14"/>
  <c r="L686" i="14"/>
  <c r="BG686" i="14"/>
  <c r="BU686" i="14"/>
  <c r="AT686" i="14"/>
  <c r="AO686" i="14"/>
  <c r="BI686" i="14"/>
  <c r="Z686" i="14"/>
  <c r="BP686" i="14"/>
  <c r="BF686" i="14"/>
  <c r="AF686" i="14"/>
  <c r="AW686" i="14"/>
  <c r="BL686" i="14"/>
  <c r="AC686" i="14"/>
  <c r="AN686" i="14"/>
  <c r="V686" i="14"/>
  <c r="AP686" i="14"/>
  <c r="AZ686" i="14"/>
  <c r="BS686" i="14"/>
  <c r="BH686" i="14"/>
  <c r="W686" i="14"/>
  <c r="Y686" i="14"/>
  <c r="AK686" i="14"/>
  <c r="AQ686" i="14"/>
  <c r="T686" i="14"/>
  <c r="AH686" i="14"/>
  <c r="AX686" i="14"/>
  <c r="K686" i="14"/>
  <c r="AG686" i="14"/>
  <c r="AV686" i="14"/>
  <c r="BW686" i="14"/>
  <c r="H686" i="14"/>
  <c r="R686" i="14"/>
  <c r="M686" i="14"/>
  <c r="P686" i="14"/>
  <c r="AI686" i="14"/>
  <c r="AL686" i="14"/>
  <c r="BK686" i="14"/>
  <c r="S686" i="14"/>
  <c r="Q686" i="14"/>
  <c r="BV686" i="14"/>
  <c r="AS686" i="14"/>
  <c r="AA686" i="14"/>
  <c r="BR686" i="14"/>
  <c r="AY686" i="14"/>
  <c r="AM686" i="14"/>
  <c r="U686" i="14"/>
  <c r="BX686" i="14"/>
  <c r="BD686" i="14"/>
  <c r="BJ681" i="14"/>
  <c r="BN681" i="14"/>
  <c r="AS681" i="14"/>
  <c r="AY681" i="14"/>
  <c r="AL681" i="14"/>
  <c r="O681" i="14"/>
  <c r="BG681" i="14"/>
  <c r="BL681" i="14"/>
  <c r="K681" i="14"/>
  <c r="BC681" i="14"/>
  <c r="T681" i="14"/>
  <c r="AH681" i="14"/>
  <c r="AU681" i="14"/>
  <c r="BI681" i="14"/>
  <c r="AJ681" i="14"/>
  <c r="BY681" i="14"/>
  <c r="R681" i="14"/>
  <c r="AI681" i="14"/>
  <c r="AA681" i="14"/>
  <c r="AG681" i="14"/>
  <c r="AW681" i="14"/>
  <c r="Q681" i="14"/>
  <c r="AR681" i="14"/>
  <c r="BT681" i="14"/>
  <c r="U681" i="14"/>
  <c r="BU681" i="14"/>
  <c r="BS681" i="14"/>
  <c r="Z681" i="14"/>
  <c r="AF681" i="14"/>
  <c r="M681" i="14"/>
  <c r="BH681" i="14"/>
  <c r="AN681" i="14"/>
  <c r="AM681" i="14"/>
  <c r="AE681" i="14"/>
  <c r="H681" i="14"/>
  <c r="BX681" i="14"/>
  <c r="L681" i="14"/>
  <c r="X681" i="14"/>
  <c r="BA681" i="14"/>
  <c r="V681" i="14"/>
  <c r="AZ681" i="14"/>
  <c r="AK681" i="14"/>
  <c r="AP681" i="14"/>
  <c r="AX681" i="14"/>
  <c r="I681" i="14"/>
  <c r="S681" i="14"/>
  <c r="BO681" i="14"/>
  <c r="BP681" i="14"/>
  <c r="BR681" i="14"/>
  <c r="AC681" i="14"/>
  <c r="Y681" i="14"/>
  <c r="AB681" i="14"/>
  <c r="BM681" i="14"/>
  <c r="BB681" i="14"/>
  <c r="BW681" i="14"/>
  <c r="AD681" i="14"/>
  <c r="J681" i="14"/>
  <c r="BD681" i="14"/>
  <c r="P681" i="14"/>
  <c r="BV681" i="14"/>
  <c r="BQ681" i="14"/>
  <c r="AQ681" i="14"/>
  <c r="AT681" i="14"/>
  <c r="BF681" i="14"/>
  <c r="BE681" i="14"/>
  <c r="AO681" i="14"/>
  <c r="AV681" i="14"/>
  <c r="N681" i="14"/>
  <c r="BK681" i="14"/>
  <c r="W681" i="14"/>
  <c r="BY682" i="14"/>
  <c r="AM682" i="14"/>
  <c r="BO682" i="14"/>
  <c r="BJ682" i="14"/>
  <c r="AO682" i="14"/>
  <c r="BL682" i="14"/>
  <c r="BE682" i="14"/>
  <c r="N682" i="14"/>
  <c r="T682" i="14"/>
  <c r="AU682" i="14"/>
  <c r="P682" i="14"/>
  <c r="BB682" i="14"/>
  <c r="Q682" i="14"/>
  <c r="AD682" i="14"/>
  <c r="BU682" i="14"/>
  <c r="BF682" i="14"/>
  <c r="AS682" i="14"/>
  <c r="AB682" i="14"/>
  <c r="AW682" i="14"/>
  <c r="BD682" i="14"/>
  <c r="AA682" i="14"/>
  <c r="AR682" i="14"/>
  <c r="AX682" i="14"/>
  <c r="AG682" i="14"/>
  <c r="BI682" i="14"/>
  <c r="BG682" i="14"/>
  <c r="BM682" i="14"/>
  <c r="AL682" i="14"/>
  <c r="K682" i="14"/>
  <c r="U682" i="14"/>
  <c r="Z682" i="14"/>
  <c r="BQ682" i="14"/>
  <c r="BA682" i="14"/>
  <c r="L682" i="14"/>
  <c r="BX682" i="14"/>
  <c r="W682" i="14"/>
  <c r="BK682" i="14"/>
  <c r="H682" i="14"/>
  <c r="AZ682" i="14"/>
  <c r="BH682" i="14"/>
  <c r="AN682" i="14"/>
  <c r="J682" i="14"/>
  <c r="AH682" i="14"/>
  <c r="R682" i="14"/>
  <c r="Y682" i="14"/>
  <c r="BT682" i="14"/>
  <c r="BN682" i="14"/>
  <c r="BS682" i="14"/>
  <c r="S682" i="14"/>
  <c r="AV682" i="14"/>
  <c r="AC682" i="14"/>
  <c r="AP682" i="14"/>
  <c r="X682" i="14"/>
  <c r="AK682" i="14"/>
  <c r="M682" i="14"/>
  <c r="AJ682" i="14"/>
  <c r="BC682" i="14"/>
  <c r="AY682" i="14"/>
  <c r="AT682" i="14"/>
  <c r="AI682" i="14"/>
  <c r="I682" i="14"/>
  <c r="BW682" i="14"/>
  <c r="AE682" i="14"/>
  <c r="O682" i="14"/>
  <c r="AQ682" i="14"/>
  <c r="BR682" i="14"/>
  <c r="BV682" i="14"/>
  <c r="AF682" i="14"/>
  <c r="V682" i="14"/>
  <c r="BP682" i="14"/>
  <c r="BB684" i="14"/>
  <c r="BW684" i="14"/>
  <c r="BS684" i="14"/>
  <c r="AW684" i="14"/>
  <c r="T684" i="14"/>
  <c r="Y684" i="14"/>
  <c r="AV684" i="14"/>
  <c r="AD684" i="14"/>
  <c r="BR684" i="14"/>
  <c r="AL684" i="14"/>
  <c r="AB684" i="14"/>
  <c r="BO684" i="14"/>
  <c r="AH684" i="14"/>
  <c r="BT684" i="14"/>
  <c r="V684" i="14"/>
  <c r="BI684" i="14"/>
  <c r="X684" i="14"/>
  <c r="BJ684" i="14"/>
  <c r="BP684" i="14"/>
  <c r="AI684" i="14"/>
  <c r="K684" i="14"/>
  <c r="BD684" i="14"/>
  <c r="AS684" i="14"/>
  <c r="AC684" i="14"/>
  <c r="BG684" i="14"/>
  <c r="Z684" i="14"/>
  <c r="P684" i="14"/>
  <c r="BC684" i="14"/>
  <c r="I684" i="14"/>
  <c r="AF684" i="14"/>
  <c r="O684" i="14"/>
  <c r="Q684" i="14"/>
  <c r="R684" i="14"/>
  <c r="BU684" i="14"/>
  <c r="AZ684" i="14"/>
  <c r="AT684" i="14"/>
  <c r="BV684" i="14"/>
  <c r="AG684" i="14"/>
  <c r="AE684" i="14"/>
  <c r="BA684" i="14"/>
  <c r="M684" i="14"/>
  <c r="AJ684" i="14"/>
  <c r="AU684" i="14"/>
  <c r="H684" i="14"/>
  <c r="AP684" i="14"/>
  <c r="W684" i="14"/>
  <c r="BL684" i="14"/>
  <c r="L684" i="14"/>
  <c r="BQ684" i="14"/>
  <c r="AR684" i="14"/>
  <c r="U684" i="14"/>
  <c r="J684" i="14"/>
  <c r="BX684" i="14"/>
  <c r="S684" i="14"/>
  <c r="AN684" i="14"/>
  <c r="AK684" i="14"/>
  <c r="BE684" i="14"/>
  <c r="AX684" i="14"/>
  <c r="AM684" i="14"/>
  <c r="BH684" i="14"/>
  <c r="BK684" i="14"/>
  <c r="BN684" i="14"/>
  <c r="AO684" i="14"/>
  <c r="AA684" i="14"/>
  <c r="N684" i="14"/>
  <c r="AY684" i="14"/>
  <c r="BF684" i="14"/>
  <c r="AQ684" i="14"/>
  <c r="BY684" i="14"/>
  <c r="BM684" i="14"/>
  <c r="BG638" i="14"/>
  <c r="BG640" i="14"/>
  <c r="BG641" i="14"/>
  <c r="BG636" i="14"/>
  <c r="BG635" i="14"/>
  <c r="BG637" i="14"/>
  <c r="BG634" i="14"/>
  <c r="BG639" i="14"/>
  <c r="BF667" i="14"/>
  <c r="BF672" i="14"/>
  <c r="BF671" i="14"/>
  <c r="BF670" i="14"/>
  <c r="BF669" i="14"/>
  <c r="BF668" i="14"/>
  <c r="BF673" i="14"/>
  <c r="BF666" i="14"/>
  <c r="BG672" i="14" l="1"/>
  <c r="BG671" i="14"/>
  <c r="BG668" i="14"/>
  <c r="BG673" i="14"/>
  <c r="BG670" i="14"/>
  <c r="BG669" i="14"/>
  <c r="BG666" i="14"/>
  <c r="BG667" i="14"/>
  <c r="BH638" i="14"/>
  <c r="BH640" i="14"/>
  <c r="BH641" i="14"/>
  <c r="BH637" i="14"/>
  <c r="BH635" i="14"/>
  <c r="BH634" i="14"/>
  <c r="BH639" i="14"/>
  <c r="BH636" i="14"/>
  <c r="BI635" i="14" l="1"/>
  <c r="BI641" i="14"/>
  <c r="BI637" i="14"/>
  <c r="BI634" i="14"/>
  <c r="BI639" i="14"/>
  <c r="BI640" i="14"/>
  <c r="BI638" i="14"/>
  <c r="BI636" i="14"/>
  <c r="BH672" i="14"/>
  <c r="BH671" i="14"/>
  <c r="BH668" i="14"/>
  <c r="BH667" i="14"/>
  <c r="BH673" i="14"/>
  <c r="BH670" i="14"/>
  <c r="BH669" i="14"/>
  <c r="BH666" i="14"/>
  <c r="BI669" i="14" l="1"/>
  <c r="BI668" i="14"/>
  <c r="BI673" i="14"/>
  <c r="BI671" i="14"/>
  <c r="BI672" i="14"/>
  <c r="BI670" i="14"/>
  <c r="BI666" i="14"/>
  <c r="BI667" i="14"/>
  <c r="BJ635" i="14"/>
  <c r="BJ641" i="14"/>
  <c r="BJ637" i="14"/>
  <c r="BJ634" i="14"/>
  <c r="BJ639" i="14"/>
  <c r="BJ640" i="14"/>
  <c r="BJ638" i="14"/>
  <c r="BJ636" i="14"/>
  <c r="BK640" i="14" l="1"/>
  <c r="BK634" i="14"/>
  <c r="BK635" i="14"/>
  <c r="BK639" i="14"/>
  <c r="BK638" i="14"/>
  <c r="BK637" i="14"/>
  <c r="BK636" i="14"/>
  <c r="BK641" i="14"/>
  <c r="BJ669" i="14"/>
  <c r="BJ668" i="14"/>
  <c r="BJ673" i="14"/>
  <c r="BJ672" i="14"/>
  <c r="BJ666" i="14"/>
  <c r="BJ670" i="14"/>
  <c r="BJ667" i="14"/>
  <c r="BJ671" i="14"/>
  <c r="BK666" i="14" l="1"/>
  <c r="BK673" i="14"/>
  <c r="BK670" i="14"/>
  <c r="BK672" i="14"/>
  <c r="BK667" i="14"/>
  <c r="BK671" i="14"/>
  <c r="BK669" i="14"/>
  <c r="BK668" i="14"/>
  <c r="BL640" i="14"/>
  <c r="BL639" i="14"/>
  <c r="BL635" i="14"/>
  <c r="BL634" i="14"/>
  <c r="BL638" i="14"/>
  <c r="BL637" i="14"/>
  <c r="BL636" i="14"/>
  <c r="BL641" i="14"/>
  <c r="BM641" i="14" l="1"/>
  <c r="BM637" i="14"/>
  <c r="BM639" i="14"/>
  <c r="BM635" i="14"/>
  <c r="BM634" i="14"/>
  <c r="BM638" i="14"/>
  <c r="BM640" i="14"/>
  <c r="BM636" i="14"/>
  <c r="BL671" i="14"/>
  <c r="BL673" i="14"/>
  <c r="BL670" i="14"/>
  <c r="BL669" i="14"/>
  <c r="BL672" i="14"/>
  <c r="BL668" i="14"/>
  <c r="BL666" i="14"/>
  <c r="BL667" i="14"/>
  <c r="BM671" i="14" l="1"/>
  <c r="BM670" i="14"/>
  <c r="BM667" i="14"/>
  <c r="BM668" i="14"/>
  <c r="BM666" i="14"/>
  <c r="BM673" i="14"/>
  <c r="BM672" i="14"/>
  <c r="BM669" i="14"/>
  <c r="BN641" i="14"/>
  <c r="BN637" i="14"/>
  <c r="BN639" i="14"/>
  <c r="BN636" i="14"/>
  <c r="BN634" i="14"/>
  <c r="BN638" i="14"/>
  <c r="BN640" i="14"/>
  <c r="BN635" i="14"/>
  <c r="BO634" i="14" l="1"/>
  <c r="BO636" i="14"/>
  <c r="BO638" i="14"/>
  <c r="BO640" i="14"/>
  <c r="BO639" i="14"/>
  <c r="BO637" i="14"/>
  <c r="BO635" i="14"/>
  <c r="BO641" i="14"/>
  <c r="BN671" i="14"/>
  <c r="BN673" i="14"/>
  <c r="BN670" i="14"/>
  <c r="BN667" i="14"/>
  <c r="BN668" i="14"/>
  <c r="BN666" i="14"/>
  <c r="BN669" i="14"/>
  <c r="BN672" i="14"/>
  <c r="BO668" i="14" l="1"/>
  <c r="BO673" i="14"/>
  <c r="BO667" i="14"/>
  <c r="BO672" i="14"/>
  <c r="BO670" i="14"/>
  <c r="BO666" i="14"/>
  <c r="BO669" i="14"/>
  <c r="BO671" i="14"/>
  <c r="BP634" i="14"/>
  <c r="BP638" i="14"/>
  <c r="BP640" i="14"/>
  <c r="BP639" i="14"/>
  <c r="BP637" i="14"/>
  <c r="BP636" i="14"/>
  <c r="BP641" i="14"/>
  <c r="BP635" i="14"/>
  <c r="BQ639" i="14" l="1"/>
  <c r="BQ638" i="14"/>
  <c r="BQ634" i="14"/>
  <c r="BQ640" i="14"/>
  <c r="BQ637" i="14"/>
  <c r="BQ636" i="14"/>
  <c r="BQ641" i="14"/>
  <c r="BQ635" i="14"/>
  <c r="BP668" i="14"/>
  <c r="BP673" i="14"/>
  <c r="BP667" i="14"/>
  <c r="BP672" i="14"/>
  <c r="BP671" i="14"/>
  <c r="BP670" i="14"/>
  <c r="BP669" i="14"/>
  <c r="BP666" i="14"/>
  <c r="BQ673" i="14" l="1"/>
  <c r="BQ672" i="14"/>
  <c r="BQ669" i="14"/>
  <c r="BQ668" i="14"/>
  <c r="BQ670" i="14"/>
  <c r="BQ666" i="14"/>
  <c r="BQ667" i="14"/>
  <c r="BQ671" i="14"/>
  <c r="BR639" i="14"/>
  <c r="BR638" i="14"/>
  <c r="BR634" i="14"/>
  <c r="BR640" i="14"/>
  <c r="BR637" i="14"/>
  <c r="BR636" i="14"/>
  <c r="BR641" i="14"/>
  <c r="BR635" i="14"/>
  <c r="BS641" i="14" l="1"/>
  <c r="BS636" i="14"/>
  <c r="BS638" i="14"/>
  <c r="BS634" i="14"/>
  <c r="BS640" i="14"/>
  <c r="BS637" i="14"/>
  <c r="BS639" i="14"/>
  <c r="BS635" i="14"/>
  <c r="BR673" i="14"/>
  <c r="BR672" i="14"/>
  <c r="BR669" i="14"/>
  <c r="BR668" i="14"/>
  <c r="BR670" i="14"/>
  <c r="BR666" i="14"/>
  <c r="BR667" i="14"/>
  <c r="BR671" i="14"/>
  <c r="BT641" i="14" l="1"/>
  <c r="BT636" i="14"/>
  <c r="BT638" i="14"/>
  <c r="BT635" i="14"/>
  <c r="BT634" i="14"/>
  <c r="BT640" i="14"/>
  <c r="BT637" i="14"/>
  <c r="BT639" i="14"/>
  <c r="BS670" i="14"/>
  <c r="BS669" i="14"/>
  <c r="BS666" i="14"/>
  <c r="BS668" i="14"/>
  <c r="BS673" i="14"/>
  <c r="BS667" i="14"/>
  <c r="BS671" i="14"/>
  <c r="BS672" i="14"/>
  <c r="BT670" i="14" l="1"/>
  <c r="BT672" i="14"/>
  <c r="BT669" i="14"/>
  <c r="BT673" i="14"/>
  <c r="BT666" i="14"/>
  <c r="BT667" i="14"/>
  <c r="BT671" i="14"/>
  <c r="BT668" i="14"/>
  <c r="BU635" i="14"/>
  <c r="BU634" i="14"/>
  <c r="BU640" i="14"/>
  <c r="BU637" i="14"/>
  <c r="BU639" i="14"/>
  <c r="BU638" i="14"/>
  <c r="BU636" i="14"/>
  <c r="BU641" i="14"/>
  <c r="BV640" i="14" l="1"/>
  <c r="BV637" i="14"/>
  <c r="BV639" i="14"/>
  <c r="BV638" i="14"/>
  <c r="BV636" i="14"/>
  <c r="BV641" i="14"/>
  <c r="BV635" i="14"/>
  <c r="BV634" i="14"/>
  <c r="BU667" i="14"/>
  <c r="BU672" i="14"/>
  <c r="BU666" i="14"/>
  <c r="BU671" i="14"/>
  <c r="BU670" i="14"/>
  <c r="BU673" i="14"/>
  <c r="BU669" i="14"/>
  <c r="BU668" i="14"/>
  <c r="BW638" i="14" l="1"/>
  <c r="BW640" i="14"/>
  <c r="BW637" i="14"/>
  <c r="BW639" i="14"/>
  <c r="BW636" i="14"/>
  <c r="BW641" i="14"/>
  <c r="BW635" i="14"/>
  <c r="BW634" i="14"/>
  <c r="BV667" i="14"/>
  <c r="BV672" i="14"/>
  <c r="BV671" i="14"/>
  <c r="BV670" i="14"/>
  <c r="BV666" i="14"/>
  <c r="BV673" i="14"/>
  <c r="BV669" i="14"/>
  <c r="BV668" i="14"/>
  <c r="BW672" i="14" l="1"/>
  <c r="BW671" i="14"/>
  <c r="BW668" i="14"/>
  <c r="BW666" i="14"/>
  <c r="BW673" i="14"/>
  <c r="BW669" i="14"/>
  <c r="BW670" i="14"/>
  <c r="BW667" i="14"/>
  <c r="BX638" i="14"/>
  <c r="BX640" i="14"/>
  <c r="BX637" i="14"/>
  <c r="BX639" i="14"/>
  <c r="BX636" i="14"/>
  <c r="BX641" i="14"/>
  <c r="BX635" i="14"/>
  <c r="BX634" i="14"/>
  <c r="BY640" i="14" l="1"/>
  <c r="BY635" i="14"/>
  <c r="BY637" i="14"/>
  <c r="BY638" i="14"/>
  <c r="BY636" i="14"/>
  <c r="BY641" i="14"/>
  <c r="BY634" i="14"/>
  <c r="BY639" i="14"/>
  <c r="C634" i="14" a="1"/>
  <c r="BX672" i="14"/>
  <c r="BX671" i="14"/>
  <c r="BX668" i="14"/>
  <c r="BX667" i="14"/>
  <c r="BX673" i="14"/>
  <c r="BX670" i="14"/>
  <c r="BX666" i="14"/>
  <c r="BX669" i="14"/>
  <c r="C634" i="14" l="1"/>
  <c r="H632" i="14" s="1"/>
  <c r="H633" i="14"/>
  <c r="I633" i="14"/>
  <c r="J633" i="14"/>
  <c r="L633" i="14"/>
  <c r="K633" i="14"/>
  <c r="M633" i="14"/>
  <c r="N633" i="14"/>
  <c r="O633" i="14"/>
  <c r="P633" i="14"/>
  <c r="Q633" i="14"/>
  <c r="R633" i="14"/>
  <c r="S633" i="14"/>
  <c r="T633" i="14"/>
  <c r="U633" i="14"/>
  <c r="V633" i="14"/>
  <c r="W633" i="14"/>
  <c r="X633" i="14"/>
  <c r="Y633" i="14"/>
  <c r="Z633" i="14"/>
  <c r="AA633" i="14"/>
  <c r="AB633" i="14"/>
  <c r="AC633" i="14"/>
  <c r="AD633" i="14"/>
  <c r="AE633" i="14"/>
  <c r="AF633" i="14"/>
  <c r="AG633" i="14"/>
  <c r="AH633" i="14"/>
  <c r="AI633" i="14"/>
  <c r="AJ633" i="14"/>
  <c r="AK633" i="14"/>
  <c r="AL633" i="14"/>
  <c r="AM633" i="14"/>
  <c r="AN633" i="14"/>
  <c r="AO633" i="14"/>
  <c r="AP633" i="14"/>
  <c r="AQ633" i="14"/>
  <c r="AR633" i="14"/>
  <c r="AS633" i="14"/>
  <c r="AT633" i="14"/>
  <c r="AU633" i="14"/>
  <c r="AV633" i="14"/>
  <c r="AW633" i="14"/>
  <c r="AX633" i="14"/>
  <c r="AY633" i="14"/>
  <c r="AZ633" i="14"/>
  <c r="BA633" i="14"/>
  <c r="BB633" i="14"/>
  <c r="BC633" i="14"/>
  <c r="BD633" i="14"/>
  <c r="BE633" i="14"/>
  <c r="BF633" i="14"/>
  <c r="BG633" i="14"/>
  <c r="BH633" i="14"/>
  <c r="BI633" i="14"/>
  <c r="BJ633" i="14"/>
  <c r="BK633" i="14"/>
  <c r="BL633" i="14"/>
  <c r="BM633" i="14"/>
  <c r="BN633" i="14"/>
  <c r="BO633" i="14"/>
  <c r="BP633" i="14"/>
  <c r="BQ633" i="14"/>
  <c r="BR633" i="14"/>
  <c r="BS633" i="14"/>
  <c r="BT633" i="14"/>
  <c r="BU633" i="14"/>
  <c r="BV633" i="14"/>
  <c r="BW633" i="14"/>
  <c r="BX633" i="14"/>
  <c r="BY633" i="14"/>
  <c r="BY669" i="14"/>
  <c r="BY668" i="14"/>
  <c r="BY673" i="14"/>
  <c r="BY667" i="14"/>
  <c r="BY671" i="14"/>
  <c r="BY670" i="14"/>
  <c r="BY666" i="14"/>
  <c r="BY672" i="14"/>
  <c r="C666" i="14" a="1"/>
  <c r="BY665" i="14" s="1"/>
  <c r="BT632" i="14" l="1"/>
  <c r="AZ632" i="14"/>
  <c r="AF632" i="14"/>
  <c r="BS632" i="14"/>
  <c r="BR632" i="14"/>
  <c r="AW632" i="14"/>
  <c r="AV632" i="14"/>
  <c r="BO632" i="14"/>
  <c r="AY632" i="14"/>
  <c r="AD632" i="14"/>
  <c r="BQ632" i="14"/>
  <c r="BP632" i="14"/>
  <c r="X632" i="14"/>
  <c r="AU632" i="14"/>
  <c r="W632" i="14"/>
  <c r="BN632" i="14"/>
  <c r="AT632" i="14"/>
  <c r="V632" i="14"/>
  <c r="AX632" i="14"/>
  <c r="Y632" i="14"/>
  <c r="BM632" i="14"/>
  <c r="AO632" i="14"/>
  <c r="U632" i="14"/>
  <c r="T632" i="14"/>
  <c r="AL632" i="14"/>
  <c r="BE632" i="14"/>
  <c r="AJ632" i="14"/>
  <c r="BC632" i="14"/>
  <c r="AI632" i="14"/>
  <c r="O632" i="14"/>
  <c r="AE632" i="14"/>
  <c r="AN632" i="14"/>
  <c r="BK632" i="14"/>
  <c r="S632" i="14"/>
  <c r="BJ632" i="14"/>
  <c r="R632" i="14"/>
  <c r="AK632" i="14"/>
  <c r="Q632" i="14"/>
  <c r="BD632" i="14"/>
  <c r="P632" i="14"/>
  <c r="BB632" i="14"/>
  <c r="AH632" i="14"/>
  <c r="N632" i="14"/>
  <c r="BL632" i="14"/>
  <c r="AM632" i="14"/>
  <c r="BU632" i="14"/>
  <c r="BA632" i="14"/>
  <c r="AG632" i="14"/>
  <c r="BY632" i="14"/>
  <c r="AS632" i="14"/>
  <c r="BX632" i="14"/>
  <c r="AR632" i="14"/>
  <c r="L632" i="14"/>
  <c r="BW632" i="14"/>
  <c r="BG632" i="14"/>
  <c r="AQ632" i="14"/>
  <c r="AA632" i="14"/>
  <c r="K632" i="14"/>
  <c r="BI632" i="14"/>
  <c r="AC632" i="14"/>
  <c r="M632" i="14"/>
  <c r="BH632" i="14"/>
  <c r="AB632" i="14"/>
  <c r="BV632" i="14"/>
  <c r="BF632" i="14"/>
  <c r="AP632" i="14"/>
  <c r="Z632" i="14"/>
  <c r="C666" i="14"/>
  <c r="K664" i="14" s="1"/>
  <c r="H665" i="14"/>
  <c r="I665" i="14"/>
  <c r="J665" i="14"/>
  <c r="L665" i="14"/>
  <c r="K665" i="14"/>
  <c r="M665" i="14"/>
  <c r="O665" i="14"/>
  <c r="N665" i="14"/>
  <c r="P665" i="14"/>
  <c r="Q665" i="14"/>
  <c r="R665" i="14"/>
  <c r="S665" i="14"/>
  <c r="T665" i="14"/>
  <c r="U665" i="14"/>
  <c r="V665" i="14"/>
  <c r="W665" i="14"/>
  <c r="X665" i="14"/>
  <c r="Y665" i="14"/>
  <c r="Z665" i="14"/>
  <c r="AA665" i="14"/>
  <c r="AB665" i="14"/>
  <c r="AC665" i="14"/>
  <c r="AD665" i="14"/>
  <c r="AE665" i="14"/>
  <c r="AF665" i="14"/>
  <c r="AG665" i="14"/>
  <c r="AH665" i="14"/>
  <c r="AI665" i="14"/>
  <c r="AJ665" i="14"/>
  <c r="AK665" i="14"/>
  <c r="AL665" i="14"/>
  <c r="AM665" i="14"/>
  <c r="AN665" i="14"/>
  <c r="AO665" i="14"/>
  <c r="AP665" i="14"/>
  <c r="AQ665" i="14"/>
  <c r="AR665" i="14"/>
  <c r="AS665" i="14"/>
  <c r="AT665" i="14"/>
  <c r="AU665" i="14"/>
  <c r="AV665" i="14"/>
  <c r="AW665" i="14"/>
  <c r="AX665" i="14"/>
  <c r="AY665" i="14"/>
  <c r="AZ665" i="14"/>
  <c r="BA665" i="14"/>
  <c r="BB665" i="14"/>
  <c r="BC665" i="14"/>
  <c r="BD665" i="14"/>
  <c r="BE665" i="14"/>
  <c r="BF665" i="14"/>
  <c r="BG665" i="14"/>
  <c r="BH665" i="14"/>
  <c r="BI665" i="14"/>
  <c r="BJ665" i="14"/>
  <c r="BK665" i="14"/>
  <c r="BL665" i="14"/>
  <c r="BM665" i="14"/>
  <c r="BN665" i="14"/>
  <c r="BO665" i="14"/>
  <c r="BP665" i="14"/>
  <c r="BQ665" i="14"/>
  <c r="BR665" i="14"/>
  <c r="BS665" i="14"/>
  <c r="BT665" i="14"/>
  <c r="BU665" i="14"/>
  <c r="BV665" i="14"/>
  <c r="BW665" i="14"/>
  <c r="BX665" i="14"/>
  <c r="I632" i="14"/>
  <c r="J632" i="14"/>
  <c r="K646" i="14"/>
  <c r="L646" i="14" s="1"/>
  <c r="M646" i="14" s="1"/>
  <c r="N646" i="14" s="1"/>
  <c r="O646" i="14" s="1"/>
  <c r="P646" i="14" s="1"/>
  <c r="Q646" i="14" s="1"/>
  <c r="R646" i="14" s="1"/>
  <c r="S646" i="14" s="1"/>
  <c r="T646" i="14" s="1"/>
  <c r="U646" i="14" s="1"/>
  <c r="V646" i="14" s="1"/>
  <c r="W646" i="14" s="1"/>
  <c r="X646" i="14" s="1"/>
  <c r="Y646" i="14" s="1"/>
  <c r="Z646" i="14" s="1"/>
  <c r="AA646" i="14" s="1"/>
  <c r="AB646" i="14" s="1"/>
  <c r="AC646" i="14" s="1"/>
  <c r="AD646" i="14" s="1"/>
  <c r="AE646" i="14" s="1"/>
  <c r="AF646" i="14" s="1"/>
  <c r="AG646" i="14" s="1"/>
  <c r="AH646" i="14" s="1"/>
  <c r="AI646" i="14" s="1"/>
  <c r="AJ646" i="14" s="1"/>
  <c r="AK646" i="14" s="1"/>
  <c r="AL646" i="14" s="1"/>
  <c r="AM646" i="14" s="1"/>
  <c r="AN646" i="14" s="1"/>
  <c r="AO646" i="14" s="1"/>
  <c r="AP646" i="14" s="1"/>
  <c r="AQ646" i="14" s="1"/>
  <c r="AR646" i="14" s="1"/>
  <c r="AS646" i="14" s="1"/>
  <c r="AT646" i="14" s="1"/>
  <c r="AU646" i="14" s="1"/>
  <c r="AV646" i="14" s="1"/>
  <c r="AW646" i="14" s="1"/>
  <c r="AX646" i="14" s="1"/>
  <c r="AY646" i="14" s="1"/>
  <c r="AZ646" i="14" s="1"/>
  <c r="BA646" i="14" s="1"/>
  <c r="BB646" i="14" s="1"/>
  <c r="BC646" i="14" s="1"/>
  <c r="BD646" i="14" s="1"/>
  <c r="BE646" i="14" s="1"/>
  <c r="BF646" i="14" s="1"/>
  <c r="BG646" i="14" s="1"/>
  <c r="BH646" i="14" s="1"/>
  <c r="BI646" i="14" s="1"/>
  <c r="BJ646" i="14" s="1"/>
  <c r="BK646" i="14" s="1"/>
  <c r="BL646" i="14" s="1"/>
  <c r="BM646" i="14" s="1"/>
  <c r="BN646" i="14" s="1"/>
  <c r="BO646" i="14" s="1"/>
  <c r="BP646" i="14" s="1"/>
  <c r="BQ646" i="14" s="1"/>
  <c r="BR646" i="14" s="1"/>
  <c r="BS646" i="14" s="1"/>
  <c r="BT646" i="14" s="1"/>
  <c r="BU646" i="14" s="1"/>
  <c r="BV646" i="14" s="1"/>
  <c r="BW646" i="14" s="1"/>
  <c r="BX646" i="14" s="1"/>
  <c r="BY646" i="14" s="1"/>
  <c r="H646" i="14"/>
  <c r="I646" i="14" s="1"/>
  <c r="J646" i="14" s="1"/>
  <c r="P664" i="14" l="1"/>
  <c r="AH664" i="14"/>
  <c r="AY664" i="14"/>
  <c r="BP664" i="14"/>
  <c r="BO664" i="14"/>
  <c r="AX664" i="14"/>
  <c r="AG664" i="14"/>
  <c r="N664" i="14"/>
  <c r="BM664" i="14"/>
  <c r="AV664" i="14"/>
  <c r="AE664" i="14"/>
  <c r="M664" i="14"/>
  <c r="BK664" i="14"/>
  <c r="AT664" i="14"/>
  <c r="AC664" i="14"/>
  <c r="I664" i="14"/>
  <c r="BN664" i="14"/>
  <c r="AF664" i="14"/>
  <c r="O664" i="14"/>
  <c r="BL664" i="14"/>
  <c r="AU664" i="14"/>
  <c r="AD664" i="14"/>
  <c r="BJ664" i="14"/>
  <c r="AS664" i="14"/>
  <c r="Z664" i="14"/>
  <c r="H664" i="14"/>
  <c r="BI664" i="14"/>
  <c r="AQ664" i="14"/>
  <c r="Y664" i="14"/>
  <c r="X664" i="14"/>
  <c r="J664" i="14"/>
  <c r="BY664" i="14"/>
  <c r="BW664" i="14"/>
  <c r="BF664" i="14"/>
  <c r="AO664" i="14"/>
  <c r="W664" i="14"/>
  <c r="BG664" i="14"/>
  <c r="BE664" i="14"/>
  <c r="BU664" i="14"/>
  <c r="BD664" i="14"/>
  <c r="AM664" i="14"/>
  <c r="U664" i="14"/>
  <c r="AW664" i="14"/>
  <c r="AP664" i="14"/>
  <c r="BV664" i="14"/>
  <c r="AN664" i="14"/>
  <c r="V664" i="14"/>
  <c r="BS664" i="14"/>
  <c r="BB664" i="14"/>
  <c r="AK664" i="14"/>
  <c r="S664" i="14"/>
  <c r="R664" i="14"/>
  <c r="BT664" i="14"/>
  <c r="BC664" i="14"/>
  <c r="AL664" i="14"/>
  <c r="T664" i="14"/>
  <c r="BR664" i="14"/>
  <c r="BA664" i="14"/>
  <c r="AJ664" i="14"/>
  <c r="BQ664" i="14"/>
  <c r="AZ664" i="14"/>
  <c r="AI664" i="14"/>
  <c r="Q664" i="14"/>
  <c r="BX664" i="14"/>
  <c r="BH664" i="14"/>
  <c r="AR664" i="14"/>
  <c r="AB664" i="14"/>
  <c r="L664" i="14"/>
  <c r="AA664" i="14"/>
  <c r="J645" i="14"/>
  <c r="K645" i="14" s="1"/>
  <c r="H645" i="14"/>
  <c r="I645" i="14" s="1"/>
  <c r="I644" i="14" s="1"/>
  <c r="H678" i="14"/>
  <c r="I678" i="14" s="1"/>
  <c r="J678" i="14" s="1"/>
  <c r="K678" i="14" s="1"/>
  <c r="L678" i="14"/>
  <c r="M678" i="14" s="1"/>
  <c r="N678" i="14" s="1"/>
  <c r="O678" i="14" s="1"/>
  <c r="P678" i="14" s="1"/>
  <c r="Q678" i="14" s="1"/>
  <c r="R678" i="14" s="1"/>
  <c r="S678" i="14" s="1"/>
  <c r="T678" i="14" s="1"/>
  <c r="U678" i="14" s="1"/>
  <c r="V678" i="14" s="1"/>
  <c r="W678" i="14" s="1"/>
  <c r="X678" i="14" s="1"/>
  <c r="Y678" i="14" s="1"/>
  <c r="Z678" i="14" s="1"/>
  <c r="AA678" i="14" s="1"/>
  <c r="AB678" i="14" s="1"/>
  <c r="AC678" i="14" s="1"/>
  <c r="AD678" i="14" s="1"/>
  <c r="AE678" i="14" s="1"/>
  <c r="AF678" i="14" s="1"/>
  <c r="AG678" i="14" s="1"/>
  <c r="AH678" i="14" s="1"/>
  <c r="AI678" i="14" s="1"/>
  <c r="AJ678" i="14" s="1"/>
  <c r="AK678" i="14" s="1"/>
  <c r="AL678" i="14" s="1"/>
  <c r="AM678" i="14" s="1"/>
  <c r="AN678" i="14" s="1"/>
  <c r="AO678" i="14" s="1"/>
  <c r="AP678" i="14" s="1"/>
  <c r="AQ678" i="14" s="1"/>
  <c r="AR678" i="14" s="1"/>
  <c r="AS678" i="14" s="1"/>
  <c r="AT678" i="14" s="1"/>
  <c r="AU678" i="14" s="1"/>
  <c r="AV678" i="14" s="1"/>
  <c r="AW678" i="14" s="1"/>
  <c r="AX678" i="14" s="1"/>
  <c r="AY678" i="14" s="1"/>
  <c r="AZ678" i="14" s="1"/>
  <c r="BA678" i="14" s="1"/>
  <c r="BB678" i="14" s="1"/>
  <c r="BC678" i="14" s="1"/>
  <c r="BD678" i="14" s="1"/>
  <c r="BE678" i="14" s="1"/>
  <c r="BF678" i="14" s="1"/>
  <c r="BG678" i="14" s="1"/>
  <c r="BH678" i="14" s="1"/>
  <c r="BI678" i="14" s="1"/>
  <c r="BJ678" i="14" s="1"/>
  <c r="BK678" i="14" s="1"/>
  <c r="BL678" i="14" s="1"/>
  <c r="BM678" i="14" s="1"/>
  <c r="BN678" i="14" s="1"/>
  <c r="BO678" i="14" s="1"/>
  <c r="BP678" i="14" s="1"/>
  <c r="BQ678" i="14" s="1"/>
  <c r="BR678" i="14" s="1"/>
  <c r="BS678" i="14" s="1"/>
  <c r="BT678" i="14" s="1"/>
  <c r="BU678" i="14" s="1"/>
  <c r="BV678" i="14" s="1"/>
  <c r="BW678" i="14" s="1"/>
  <c r="BX678" i="14" s="1"/>
  <c r="BY678" i="14" s="1"/>
  <c r="H677" i="14" l="1"/>
  <c r="I677" i="14" s="1"/>
  <c r="I676" i="14" s="1"/>
  <c r="I711" i="14" s="1"/>
  <c r="J677" i="14"/>
  <c r="K677" i="14" s="1"/>
  <c r="L677" i="14" s="1"/>
  <c r="AD677" i="14"/>
  <c r="AE677" i="14" s="1"/>
  <c r="H644" i="14"/>
  <c r="H656" i="14" s="1"/>
  <c r="I642" i="14" s="1"/>
  <c r="I643" i="14" s="1"/>
  <c r="L645" i="14"/>
  <c r="I656" i="14" l="1"/>
  <c r="J642" i="14" s="1"/>
  <c r="J643" i="14" s="1"/>
  <c r="J644" i="14" s="1"/>
  <c r="J656" i="14" s="1"/>
  <c r="K642" i="14" s="1"/>
  <c r="K643" i="14" s="1"/>
  <c r="K644" i="14" s="1"/>
  <c r="H676" i="14"/>
  <c r="AF677" i="14"/>
  <c r="M677" i="14"/>
  <c r="M645" i="14"/>
  <c r="H688" i="14" l="1"/>
  <c r="I674" i="14" s="1"/>
  <c r="H711" i="14"/>
  <c r="N677" i="14"/>
  <c r="AF676" i="14"/>
  <c r="AG677" i="14"/>
  <c r="N645" i="14"/>
  <c r="K656" i="14"/>
  <c r="L642" i="14" s="1"/>
  <c r="I675" i="14" l="1"/>
  <c r="I695" i="14" s="1"/>
  <c r="I688" i="14"/>
  <c r="J674" i="14" s="1"/>
  <c r="AH677" i="14"/>
  <c r="AG676" i="14"/>
  <c r="O677" i="14"/>
  <c r="O645" i="14"/>
  <c r="L643" i="14"/>
  <c r="H224" i="14" l="1"/>
  <c r="H231" i="14" s="1"/>
  <c r="J675" i="14"/>
  <c r="I712" i="14"/>
  <c r="P677" i="14"/>
  <c r="AH676" i="14"/>
  <c r="AI677" i="14"/>
  <c r="L644" i="14"/>
  <c r="P645" i="14"/>
  <c r="J695" i="14" l="1"/>
  <c r="J712" i="14" s="1"/>
  <c r="J676" i="14"/>
  <c r="Q677" i="14"/>
  <c r="AI676" i="14"/>
  <c r="AJ677" i="14"/>
  <c r="L656" i="14"/>
  <c r="M642" i="14" s="1"/>
  <c r="M643" i="14" s="1"/>
  <c r="Q645" i="14"/>
  <c r="J711" i="14" l="1"/>
  <c r="J688" i="14"/>
  <c r="K674" i="14" s="1"/>
  <c r="K675" i="14" s="1"/>
  <c r="R677" i="14"/>
  <c r="AK677" i="14"/>
  <c r="AJ676" i="14"/>
  <c r="M644" i="14"/>
  <c r="R645" i="14"/>
  <c r="K676" i="14" l="1"/>
  <c r="K695" i="14"/>
  <c r="AK676" i="14"/>
  <c r="AL677" i="14"/>
  <c r="S677" i="14"/>
  <c r="M656" i="14"/>
  <c r="N642" i="14" s="1"/>
  <c r="N643" i="14" s="1"/>
  <c r="S645" i="14"/>
  <c r="K712" i="14" l="1"/>
  <c r="K711" i="14"/>
  <c r="K688" i="14"/>
  <c r="L674" i="14" s="1"/>
  <c r="L675" i="14" s="1"/>
  <c r="T677" i="14"/>
  <c r="AM677" i="14"/>
  <c r="AL676" i="14"/>
  <c r="N644" i="14"/>
  <c r="T645" i="14"/>
  <c r="L695" i="14" l="1"/>
  <c r="L676" i="14"/>
  <c r="AM676" i="14"/>
  <c r="AN677" i="14"/>
  <c r="U677" i="14"/>
  <c r="N656" i="14"/>
  <c r="O642" i="14" s="1"/>
  <c r="O643" i="14" s="1"/>
  <c r="U645" i="14"/>
  <c r="L711" i="14" l="1"/>
  <c r="L688" i="14"/>
  <c r="M674" i="14" s="1"/>
  <c r="M675" i="14" s="1"/>
  <c r="L712" i="14"/>
  <c r="AN676" i="14"/>
  <c r="AO677" i="14"/>
  <c r="V677" i="14"/>
  <c r="O644" i="14"/>
  <c r="V645" i="14"/>
  <c r="M676" i="14" l="1"/>
  <c r="M695" i="14"/>
  <c r="W677" i="14"/>
  <c r="AO676" i="14"/>
  <c r="AP677" i="14"/>
  <c r="O656" i="14"/>
  <c r="P642" i="14" s="1"/>
  <c r="P643" i="14" s="1"/>
  <c r="W645" i="14"/>
  <c r="M712" i="14" l="1"/>
  <c r="M711" i="14"/>
  <c r="M688" i="14"/>
  <c r="N674" i="14" s="1"/>
  <c r="N675" i="14" s="1"/>
  <c r="AQ677" i="14"/>
  <c r="AP676" i="14"/>
  <c r="X677" i="14"/>
  <c r="P644" i="14"/>
  <c r="X645" i="14"/>
  <c r="Y645" i="14" s="1"/>
  <c r="Z645" i="14" s="1"/>
  <c r="N676" i="14" l="1"/>
  <c r="N695" i="14"/>
  <c r="Y677" i="14"/>
  <c r="AQ676" i="14"/>
  <c r="AR677" i="14"/>
  <c r="AA645" i="14"/>
  <c r="P656" i="14"/>
  <c r="Q642" i="14" s="1"/>
  <c r="Q643" i="14" s="1"/>
  <c r="N712" i="14" l="1"/>
  <c r="N688" i="14"/>
  <c r="O674" i="14" s="1"/>
  <c r="O675" i="14" s="1"/>
  <c r="N711" i="14"/>
  <c r="AR676" i="14"/>
  <c r="AS677" i="14"/>
  <c r="Z677" i="14"/>
  <c r="AB645" i="14"/>
  <c r="Q644" i="14"/>
  <c r="O676" i="14" l="1"/>
  <c r="O695" i="14"/>
  <c r="AA677" i="14"/>
  <c r="AS676" i="14"/>
  <c r="AT677" i="14"/>
  <c r="AC645" i="14"/>
  <c r="AD645" i="14" s="1"/>
  <c r="AE645" i="14" s="1"/>
  <c r="Q656" i="14"/>
  <c r="R642" i="14" s="1"/>
  <c r="R643" i="14" s="1"/>
  <c r="O712" i="14" l="1"/>
  <c r="O711" i="14"/>
  <c r="O688" i="14"/>
  <c r="P674" i="14" s="1"/>
  <c r="P675" i="14" s="1"/>
  <c r="AF645" i="14"/>
  <c r="AE644" i="14"/>
  <c r="AT676" i="14"/>
  <c r="AU677" i="14"/>
  <c r="AB677" i="14"/>
  <c r="R644" i="14"/>
  <c r="P695" i="14" l="1"/>
  <c r="P676" i="14"/>
  <c r="AF644" i="14"/>
  <c r="AF711" i="14" s="1"/>
  <c r="AG645" i="14"/>
  <c r="AC677" i="14"/>
  <c r="AU676" i="14"/>
  <c r="AV677" i="14"/>
  <c r="R656" i="14"/>
  <c r="S642" i="14" s="1"/>
  <c r="S643" i="14" s="1"/>
  <c r="P712" i="14" l="1"/>
  <c r="P711" i="14"/>
  <c r="P688" i="14"/>
  <c r="Q674" i="14" s="1"/>
  <c r="Q675" i="14" s="1"/>
  <c r="AG644" i="14"/>
  <c r="AG711" i="14" s="1"/>
  <c r="AH645" i="14"/>
  <c r="AV676" i="14"/>
  <c r="AW677" i="14"/>
  <c r="S644" i="14"/>
  <c r="Q676" i="14" l="1"/>
  <c r="Q695" i="14"/>
  <c r="AH644" i="14"/>
  <c r="AH711" i="14" s="1"/>
  <c r="AI645" i="14"/>
  <c r="AX677" i="14"/>
  <c r="AW676" i="14"/>
  <c r="S656" i="14"/>
  <c r="T642" i="14" s="1"/>
  <c r="T643" i="14" s="1"/>
  <c r="Q712" i="14" l="1"/>
  <c r="Q711" i="14"/>
  <c r="Q688" i="14"/>
  <c r="R674" i="14" s="1"/>
  <c r="R675" i="14" s="1"/>
  <c r="AJ645" i="14"/>
  <c r="AI644" i="14"/>
  <c r="AI711" i="14" s="1"/>
  <c r="AX676" i="14"/>
  <c r="AY677" i="14"/>
  <c r="T644" i="14"/>
  <c r="R695" i="14" l="1"/>
  <c r="R676" i="14"/>
  <c r="AK645" i="14"/>
  <c r="AJ644" i="14"/>
  <c r="AJ711" i="14" s="1"/>
  <c r="AZ677" i="14"/>
  <c r="AY676" i="14"/>
  <c r="T656" i="14"/>
  <c r="U642" i="14" s="1"/>
  <c r="U643" i="14" s="1"/>
  <c r="R711" i="14" l="1"/>
  <c r="R688" i="14"/>
  <c r="S674" i="14" s="1"/>
  <c r="S675" i="14" s="1"/>
  <c r="R712" i="14"/>
  <c r="AK644" i="14"/>
  <c r="AK711" i="14" s="1"/>
  <c r="AL645" i="14"/>
  <c r="AZ676" i="14"/>
  <c r="BA677" i="14"/>
  <c r="U644" i="14"/>
  <c r="S676" i="14" l="1"/>
  <c r="S695" i="14"/>
  <c r="AL644" i="14"/>
  <c r="AL711" i="14" s="1"/>
  <c r="AM645" i="14"/>
  <c r="BB677" i="14"/>
  <c r="BA676" i="14"/>
  <c r="U656" i="14"/>
  <c r="V642" i="14" s="1"/>
  <c r="V643" i="14" s="1"/>
  <c r="S712" i="14" l="1"/>
  <c r="S688" i="14"/>
  <c r="T674" i="14" s="1"/>
  <c r="T675" i="14" s="1"/>
  <c r="S711" i="14"/>
  <c r="AM644" i="14"/>
  <c r="AM711" i="14" s="1"/>
  <c r="AN645" i="14"/>
  <c r="BC677" i="14"/>
  <c r="BB676" i="14"/>
  <c r="V644" i="14"/>
  <c r="T676" i="14" l="1"/>
  <c r="T695" i="14"/>
  <c r="AN644" i="14"/>
  <c r="AN711" i="14" s="1"/>
  <c r="AO645" i="14"/>
  <c r="BD677" i="14"/>
  <c r="BC676" i="14"/>
  <c r="V656" i="14"/>
  <c r="W642" i="14" s="1"/>
  <c r="W643" i="14" s="1"/>
  <c r="T712" i="14" l="1"/>
  <c r="T688" i="14"/>
  <c r="U674" i="14" s="1"/>
  <c r="U675" i="14" s="1"/>
  <c r="T711" i="14"/>
  <c r="AO644" i="14"/>
  <c r="AO711" i="14" s="1"/>
  <c r="AP645" i="14"/>
  <c r="BD676" i="14"/>
  <c r="BE677" i="14"/>
  <c r="W644" i="14"/>
  <c r="U676" i="14" l="1"/>
  <c r="U695" i="14"/>
  <c r="AQ645" i="14"/>
  <c r="AP644" i="14"/>
  <c r="AP711" i="14" s="1"/>
  <c r="BF677" i="14"/>
  <c r="BE676" i="14"/>
  <c r="W656" i="14"/>
  <c r="X642" i="14" s="1"/>
  <c r="X643" i="14" s="1"/>
  <c r="U712" i="14" l="1"/>
  <c r="U711" i="14"/>
  <c r="U688" i="14"/>
  <c r="V674" i="14" s="1"/>
  <c r="V675" i="14" s="1"/>
  <c r="AQ644" i="14"/>
  <c r="AQ711" i="14" s="1"/>
  <c r="AR645" i="14"/>
  <c r="BF676" i="14"/>
  <c r="BG677" i="14"/>
  <c r="X644" i="14"/>
  <c r="V695" i="14" l="1"/>
  <c r="V676" i="14"/>
  <c r="AR644" i="14"/>
  <c r="AR711" i="14" s="1"/>
  <c r="AS645" i="14"/>
  <c r="BH677" i="14"/>
  <c r="BG676" i="14"/>
  <c r="X656" i="14"/>
  <c r="Y642" i="14" s="1"/>
  <c r="Y643" i="14" s="1"/>
  <c r="V688" i="14" l="1"/>
  <c r="W674" i="14" s="1"/>
  <c r="W675" i="14" s="1"/>
  <c r="V711" i="14"/>
  <c r="V712" i="14"/>
  <c r="AS644" i="14"/>
  <c r="AS711" i="14" s="1"/>
  <c r="AT645" i="14"/>
  <c r="BH676" i="14"/>
  <c r="BI677" i="14"/>
  <c r="Y644" i="14"/>
  <c r="W676" i="14" l="1"/>
  <c r="W695" i="14"/>
  <c r="AU645" i="14"/>
  <c r="AT644" i="14"/>
  <c r="AT711" i="14" s="1"/>
  <c r="BI676" i="14"/>
  <c r="BJ677" i="14"/>
  <c r="Y656" i="14"/>
  <c r="Z642" i="14" s="1"/>
  <c r="W712" i="14" l="1"/>
  <c r="W688" i="14"/>
  <c r="X674" i="14" s="1"/>
  <c r="X675" i="14" s="1"/>
  <c r="W711" i="14"/>
  <c r="AV645" i="14"/>
  <c r="AU644" i="14"/>
  <c r="AU711" i="14" s="1"/>
  <c r="BJ676" i="14"/>
  <c r="BK677" i="14"/>
  <c r="Z643" i="14"/>
  <c r="X676" i="14" l="1"/>
  <c r="X695" i="14"/>
  <c r="AW645" i="14"/>
  <c r="AV644" i="14"/>
  <c r="AV711" i="14" s="1"/>
  <c r="BK676" i="14"/>
  <c r="BL677" i="14"/>
  <c r="Z644" i="14"/>
  <c r="X712" i="14" l="1"/>
  <c r="X711" i="14"/>
  <c r="X688" i="14"/>
  <c r="Y674" i="14" s="1"/>
  <c r="Y675" i="14" s="1"/>
  <c r="AW644" i="14"/>
  <c r="AW711" i="14" s="1"/>
  <c r="AX645" i="14"/>
  <c r="BL676" i="14"/>
  <c r="BM677" i="14"/>
  <c r="Z656" i="14"/>
  <c r="AA642" i="14" s="1"/>
  <c r="AA643" i="14" s="1"/>
  <c r="Y676" i="14" l="1"/>
  <c r="Y695" i="14"/>
  <c r="AX644" i="14"/>
  <c r="AX711" i="14" s="1"/>
  <c r="AY645" i="14"/>
  <c r="AA644" i="14"/>
  <c r="AA656" i="14" s="1"/>
  <c r="AB642" i="14" s="1"/>
  <c r="AB643" i="14" s="1"/>
  <c r="BM676" i="14"/>
  <c r="BN677" i="14"/>
  <c r="Y712" i="14" l="1"/>
  <c r="Y688" i="14"/>
  <c r="Z674" i="14" s="1"/>
  <c r="Z675" i="14" s="1"/>
  <c r="Y711" i="14"/>
  <c r="AZ645" i="14"/>
  <c r="AY644" i="14"/>
  <c r="AY711" i="14" s="1"/>
  <c r="AB644" i="14"/>
  <c r="BN676" i="14"/>
  <c r="BO677" i="14"/>
  <c r="Z695" i="14" l="1"/>
  <c r="Z676" i="14"/>
  <c r="AB656" i="14"/>
  <c r="AC642" i="14" s="1"/>
  <c r="AC643" i="14" s="1"/>
  <c r="BA645" i="14"/>
  <c r="AZ644" i="14"/>
  <c r="AZ711" i="14" s="1"/>
  <c r="AC644" i="14"/>
  <c r="BP677" i="14"/>
  <c r="BO676" i="14"/>
  <c r="Z688" i="14" l="1"/>
  <c r="AA674" i="14" s="1"/>
  <c r="AA675" i="14" s="1"/>
  <c r="Z711" i="14"/>
  <c r="Z712" i="14"/>
  <c r="AC656" i="14"/>
  <c r="AD642" i="14" s="1"/>
  <c r="AD643" i="14" s="1"/>
  <c r="BA644" i="14"/>
  <c r="BA711" i="14" s="1"/>
  <c r="BB645" i="14"/>
  <c r="BP676" i="14"/>
  <c r="BQ677" i="14"/>
  <c r="AA695" i="14" l="1"/>
  <c r="AA676" i="14"/>
  <c r="BB644" i="14"/>
  <c r="BB711" i="14" s="1"/>
  <c r="BC645" i="14"/>
  <c r="AD644" i="14"/>
  <c r="BR677" i="14"/>
  <c r="BQ676" i="14"/>
  <c r="AA688" i="14" l="1"/>
  <c r="AB674" i="14" s="1"/>
  <c r="AB675" i="14" s="1"/>
  <c r="AA711" i="14"/>
  <c r="AA712" i="14"/>
  <c r="BC644" i="14"/>
  <c r="BC711" i="14" s="1"/>
  <c r="BD645" i="14"/>
  <c r="AD656" i="14"/>
  <c r="AE642" i="14" s="1"/>
  <c r="BS677" i="14"/>
  <c r="BR676" i="14"/>
  <c r="AB676" i="14" l="1"/>
  <c r="AB695" i="14"/>
  <c r="BD644" i="14"/>
  <c r="BD711" i="14" s="1"/>
  <c r="BE645" i="14"/>
  <c r="AE643" i="14"/>
  <c r="AE656" i="14"/>
  <c r="AF642" i="14" s="1"/>
  <c r="BT677" i="14"/>
  <c r="BS676" i="14"/>
  <c r="AB712" i="14" l="1"/>
  <c r="AB688" i="14"/>
  <c r="AC674" i="14" s="1"/>
  <c r="AC675" i="14" s="1"/>
  <c r="AB711" i="14"/>
  <c r="BF645" i="14"/>
  <c r="BE644" i="14"/>
  <c r="BE711" i="14" s="1"/>
  <c r="AF643" i="14"/>
  <c r="AF656" i="14"/>
  <c r="AG642" i="14" s="1"/>
  <c r="BT676" i="14"/>
  <c r="BU677" i="14"/>
  <c r="AC676" i="14" l="1"/>
  <c r="AC695" i="14"/>
  <c r="BG645" i="14"/>
  <c r="BF644" i="14"/>
  <c r="BF711" i="14" s="1"/>
  <c r="AG643" i="14"/>
  <c r="AG656" i="14"/>
  <c r="AH642" i="14" s="1"/>
  <c r="BV677" i="14"/>
  <c r="BU676" i="14"/>
  <c r="AC712" i="14" l="1"/>
  <c r="AC711" i="14"/>
  <c r="AC688" i="14"/>
  <c r="AD674" i="14" s="1"/>
  <c r="AD675" i="14" s="1"/>
  <c r="BH645" i="14"/>
  <c r="BG644" i="14"/>
  <c r="BG711" i="14" s="1"/>
  <c r="AH656" i="14"/>
  <c r="AI642" i="14" s="1"/>
  <c r="AH643" i="14"/>
  <c r="BW677" i="14"/>
  <c r="BV676" i="14"/>
  <c r="AD695" i="14" l="1"/>
  <c r="AD676" i="14"/>
  <c r="BH644" i="14"/>
  <c r="BH711" i="14" s="1"/>
  <c r="BI645" i="14"/>
  <c r="AI656" i="14"/>
  <c r="AJ642" i="14" s="1"/>
  <c r="AI643" i="14"/>
  <c r="BX677" i="14"/>
  <c r="BW676" i="14"/>
  <c r="AD688" i="14" l="1"/>
  <c r="AE674" i="14" s="1"/>
  <c r="AE675" i="14" s="1"/>
  <c r="AD711" i="14"/>
  <c r="AD712" i="14"/>
  <c r="BI644" i="14"/>
  <c r="BI711" i="14" s="1"/>
  <c r="BJ645" i="14"/>
  <c r="AJ643" i="14"/>
  <c r="AJ656" i="14"/>
  <c r="AK642" i="14" s="1"/>
  <c r="BX676" i="14"/>
  <c r="BY677" i="14"/>
  <c r="BY676" i="14" s="1"/>
  <c r="AE676" i="14" l="1"/>
  <c r="AE695" i="14"/>
  <c r="BJ644" i="14"/>
  <c r="BJ711" i="14" s="1"/>
  <c r="BK645" i="14"/>
  <c r="AK656" i="14"/>
  <c r="AL642" i="14" s="1"/>
  <c r="AK643" i="14"/>
  <c r="AE712" i="14" l="1"/>
  <c r="AE711" i="14"/>
  <c r="AE688" i="14"/>
  <c r="AF674" i="14" s="1"/>
  <c r="BL645" i="14"/>
  <c r="BK644" i="14"/>
  <c r="BK711" i="14" s="1"/>
  <c r="AL656" i="14"/>
  <c r="AM642" i="14" s="1"/>
  <c r="AL643" i="14"/>
  <c r="AF688" i="14" l="1"/>
  <c r="AG674" i="14" s="1"/>
  <c r="AF675" i="14"/>
  <c r="AF695" i="14" s="1"/>
  <c r="BM645" i="14"/>
  <c r="BL644" i="14"/>
  <c r="BL711" i="14" s="1"/>
  <c r="AM656" i="14"/>
  <c r="AN642" i="14" s="1"/>
  <c r="AM643" i="14"/>
  <c r="AF712" i="14" l="1"/>
  <c r="AG688" i="14"/>
  <c r="AH674" i="14" s="1"/>
  <c r="AG675" i="14"/>
  <c r="AG695" i="14" s="1"/>
  <c r="BM644" i="14"/>
  <c r="BM711" i="14" s="1"/>
  <c r="BN645" i="14"/>
  <c r="AN643" i="14"/>
  <c r="AN656" i="14"/>
  <c r="AO642" i="14" s="1"/>
  <c r="AH688" i="14" l="1"/>
  <c r="AI674" i="14" s="1"/>
  <c r="AH675" i="14"/>
  <c r="AH695" i="14" s="1"/>
  <c r="AG712" i="14"/>
  <c r="BO645" i="14"/>
  <c r="BN644" i="14"/>
  <c r="BN711" i="14" s="1"/>
  <c r="AO643" i="14"/>
  <c r="AO656" i="14"/>
  <c r="AP642" i="14" s="1"/>
  <c r="AH712" i="14" l="1"/>
  <c r="AI675" i="14"/>
  <c r="AI695" i="14" s="1"/>
  <c r="AI688" i="14"/>
  <c r="AJ674" i="14" s="1"/>
  <c r="BO644" i="14"/>
  <c r="BO711" i="14" s="1"/>
  <c r="BP645" i="14"/>
  <c r="AP656" i="14"/>
  <c r="AQ642" i="14" s="1"/>
  <c r="AP643" i="14"/>
  <c r="AJ688" i="14" l="1"/>
  <c r="AK674" i="14" s="1"/>
  <c r="AJ675" i="14"/>
  <c r="AJ695" i="14" s="1"/>
  <c r="AI712" i="14"/>
  <c r="BP644" i="14"/>
  <c r="BP711" i="14" s="1"/>
  <c r="BQ645" i="14"/>
  <c r="AQ643" i="14"/>
  <c r="AQ656" i="14"/>
  <c r="AR642" i="14" s="1"/>
  <c r="AJ712" i="14" l="1"/>
  <c r="AK675" i="14"/>
  <c r="AK695" i="14" s="1"/>
  <c r="AK688" i="14"/>
  <c r="AL674" i="14" s="1"/>
  <c r="BQ644" i="14"/>
  <c r="BQ711" i="14" s="1"/>
  <c r="BR645" i="14"/>
  <c r="AR643" i="14"/>
  <c r="AR656" i="14"/>
  <c r="AS642" i="14" s="1"/>
  <c r="AL675" i="14" l="1"/>
  <c r="AL695" i="14" s="1"/>
  <c r="AL688" i="14"/>
  <c r="AM674" i="14" s="1"/>
  <c r="AK712" i="14"/>
  <c r="BS645" i="14"/>
  <c r="BR644" i="14"/>
  <c r="BR711" i="14" s="1"/>
  <c r="AS656" i="14"/>
  <c r="AT642" i="14" s="1"/>
  <c r="AS643" i="14"/>
  <c r="AM675" i="14" l="1"/>
  <c r="AM695" i="14" s="1"/>
  <c r="AM688" i="14"/>
  <c r="AN674" i="14" s="1"/>
  <c r="AL712" i="14"/>
  <c r="BT645" i="14"/>
  <c r="BS644" i="14"/>
  <c r="BS711" i="14" s="1"/>
  <c r="AT643" i="14"/>
  <c r="AT656" i="14"/>
  <c r="AU642" i="14" s="1"/>
  <c r="AN675" i="14" l="1"/>
  <c r="AN695" i="14" s="1"/>
  <c r="AN688" i="14"/>
  <c r="AO674" i="14" s="1"/>
  <c r="AM712" i="14"/>
  <c r="BT644" i="14"/>
  <c r="BT711" i="14" s="1"/>
  <c r="BU645" i="14"/>
  <c r="AU656" i="14"/>
  <c r="AV642" i="14" s="1"/>
  <c r="AU643" i="14"/>
  <c r="AO675" i="14" l="1"/>
  <c r="AO695" i="14" s="1"/>
  <c r="AO688" i="14"/>
  <c r="AP674" i="14" s="1"/>
  <c r="AN712" i="14"/>
  <c r="BV645" i="14"/>
  <c r="BU644" i="14"/>
  <c r="BU711" i="14" s="1"/>
  <c r="AV643" i="14"/>
  <c r="AV656" i="14"/>
  <c r="AW642" i="14" s="1"/>
  <c r="AP688" i="14" l="1"/>
  <c r="AQ674" i="14" s="1"/>
  <c r="AP675" i="14"/>
  <c r="AP695" i="14" s="1"/>
  <c r="AO712" i="14"/>
  <c r="BV644" i="14"/>
  <c r="BV711" i="14" s="1"/>
  <c r="BW645" i="14"/>
  <c r="AW643" i="14"/>
  <c r="AW656" i="14"/>
  <c r="AX642" i="14" s="1"/>
  <c r="AP712" i="14" l="1"/>
  <c r="AQ688" i="14"/>
  <c r="AR674" i="14" s="1"/>
  <c r="AQ675" i="14"/>
  <c r="AQ695" i="14" s="1"/>
  <c r="BX645" i="14"/>
  <c r="BW644" i="14"/>
  <c r="BW711" i="14" s="1"/>
  <c r="AX656" i="14"/>
  <c r="AY642" i="14" s="1"/>
  <c r="AX643" i="14"/>
  <c r="AR675" i="14" l="1"/>
  <c r="AR695" i="14" s="1"/>
  <c r="AR688" i="14"/>
  <c r="AS674" i="14" s="1"/>
  <c r="AQ712" i="14"/>
  <c r="BX644" i="14"/>
  <c r="BX711" i="14" s="1"/>
  <c r="BY645" i="14"/>
  <c r="BY644" i="14" s="1"/>
  <c r="BY711" i="14" s="1"/>
  <c r="AY656" i="14"/>
  <c r="AZ642" i="14" s="1"/>
  <c r="AY643" i="14"/>
  <c r="AS675" i="14" l="1"/>
  <c r="AS695" i="14" s="1"/>
  <c r="AS688" i="14"/>
  <c r="AT674" i="14" s="1"/>
  <c r="AR712" i="14"/>
  <c r="AZ656" i="14"/>
  <c r="BA642" i="14" s="1"/>
  <c r="AZ643" i="14"/>
  <c r="AT688" i="14" l="1"/>
  <c r="AU674" i="14" s="1"/>
  <c r="AT675" i="14"/>
  <c r="AT695" i="14" s="1"/>
  <c r="AS712" i="14"/>
  <c r="BA643" i="14"/>
  <c r="BA656" i="14"/>
  <c r="BB642" i="14" s="1"/>
  <c r="AU688" i="14" l="1"/>
  <c r="AV674" i="14" s="1"/>
  <c r="AU675" i="14"/>
  <c r="AU695" i="14" s="1"/>
  <c r="AT712" i="14"/>
  <c r="BB643" i="14"/>
  <c r="BB656" i="14"/>
  <c r="BC642" i="14" s="1"/>
  <c r="AU712" i="14" l="1"/>
  <c r="AV675" i="14"/>
  <c r="AV695" i="14" s="1"/>
  <c r="AV688" i="14"/>
  <c r="AW674" i="14" s="1"/>
  <c r="BC643" i="14"/>
  <c r="BC656" i="14"/>
  <c r="BD642" i="14" s="1"/>
  <c r="AW675" i="14" l="1"/>
  <c r="AW695" i="14" s="1"/>
  <c r="AW688" i="14"/>
  <c r="AX674" i="14" s="1"/>
  <c r="AV712" i="14"/>
  <c r="BD643" i="14"/>
  <c r="BD656" i="14"/>
  <c r="BE642" i="14" s="1"/>
  <c r="AX675" i="14" l="1"/>
  <c r="AX695" i="14" s="1"/>
  <c r="AX688" i="14"/>
  <c r="AY674" i="14" s="1"/>
  <c r="AW712" i="14"/>
  <c r="BE656" i="14"/>
  <c r="BF642" i="14" s="1"/>
  <c r="BE643" i="14"/>
  <c r="AY675" i="14" l="1"/>
  <c r="AY695" i="14" s="1"/>
  <c r="AY688" i="14"/>
  <c r="AZ674" i="14" s="1"/>
  <c r="AX712" i="14"/>
  <c r="BF643" i="14"/>
  <c r="BF656" i="14"/>
  <c r="BG642" i="14" s="1"/>
  <c r="AZ675" i="14" l="1"/>
  <c r="AZ695" i="14" s="1"/>
  <c r="AZ688" i="14"/>
  <c r="BA674" i="14" s="1"/>
  <c r="AY712" i="14"/>
  <c r="BG656" i="14"/>
  <c r="BH642" i="14" s="1"/>
  <c r="BG643" i="14"/>
  <c r="H32" i="14"/>
  <c r="H17" i="14"/>
  <c r="BA675" i="14" l="1"/>
  <c r="BA695" i="14" s="1"/>
  <c r="BA688" i="14"/>
  <c r="BB674" i="14" s="1"/>
  <c r="AZ712" i="14"/>
  <c r="BH643" i="14"/>
  <c r="BH656" i="14"/>
  <c r="BI642" i="14" s="1"/>
  <c r="BB675" i="14" l="1"/>
  <c r="BB695" i="14" s="1"/>
  <c r="BB688" i="14"/>
  <c r="BC674" i="14" s="1"/>
  <c r="BA712" i="14"/>
  <c r="BI643" i="14"/>
  <c r="BI656" i="14"/>
  <c r="BJ642" i="14" s="1"/>
  <c r="BB712" i="14" l="1"/>
  <c r="BC675" i="14"/>
  <c r="BC695" i="14" s="1"/>
  <c r="BC688" i="14"/>
  <c r="BD674" i="14" s="1"/>
  <c r="BJ643" i="14"/>
  <c r="BJ656" i="14"/>
  <c r="BK642" i="14" s="1"/>
  <c r="BD675" i="14" l="1"/>
  <c r="BD695" i="14" s="1"/>
  <c r="BD688" i="14"/>
  <c r="BE674" i="14" s="1"/>
  <c r="BC712" i="14"/>
  <c r="BK643" i="14"/>
  <c r="BK656" i="14"/>
  <c r="BL642" i="14" s="1"/>
  <c r="BE688" i="14" l="1"/>
  <c r="BF674" i="14" s="1"/>
  <c r="BE675" i="14"/>
  <c r="BE695" i="14" s="1"/>
  <c r="BD712" i="14"/>
  <c r="BL643" i="14"/>
  <c r="BL656" i="14"/>
  <c r="BM642" i="14" s="1"/>
  <c r="BE712" i="14" l="1"/>
  <c r="BF675" i="14"/>
  <c r="BF695" i="14" s="1"/>
  <c r="BF688" i="14"/>
  <c r="BG674" i="14" s="1"/>
  <c r="BM643" i="14"/>
  <c r="BM656" i="14"/>
  <c r="BN642" i="14" s="1"/>
  <c r="BF712" i="14" l="1"/>
  <c r="BG675" i="14"/>
  <c r="BG695" i="14" s="1"/>
  <c r="BG688" i="14"/>
  <c r="BH674" i="14" s="1"/>
  <c r="BN656" i="14"/>
  <c r="BO642" i="14" s="1"/>
  <c r="BN643" i="14"/>
  <c r="BH675" i="14" l="1"/>
  <c r="BH695" i="14" s="1"/>
  <c r="BH688" i="14"/>
  <c r="BI674" i="14" s="1"/>
  <c r="BG712" i="14"/>
  <c r="BO656" i="14"/>
  <c r="BP642" i="14" s="1"/>
  <c r="BO643" i="14"/>
  <c r="BI688" i="14" l="1"/>
  <c r="BJ674" i="14" s="1"/>
  <c r="BI675" i="14"/>
  <c r="BI695" i="14" s="1"/>
  <c r="BH712" i="14"/>
  <c r="BP643" i="14"/>
  <c r="BP656" i="14"/>
  <c r="BQ642" i="14" s="1"/>
  <c r="BI712" i="14" l="1"/>
  <c r="BJ675" i="14"/>
  <c r="BJ695" i="14" s="1"/>
  <c r="BJ688" i="14"/>
  <c r="BK674" i="14" s="1"/>
  <c r="BQ643" i="14"/>
  <c r="BQ656" i="14"/>
  <c r="BR642" i="14" s="1"/>
  <c r="BK675" i="14" l="1"/>
  <c r="BK695" i="14" s="1"/>
  <c r="BK688" i="14"/>
  <c r="BL674" i="14" s="1"/>
  <c r="BJ712" i="14"/>
  <c r="BR656" i="14"/>
  <c r="BS642" i="14" s="1"/>
  <c r="BR643" i="14"/>
  <c r="BL688" i="14" l="1"/>
  <c r="BM674" i="14" s="1"/>
  <c r="BL675" i="14"/>
  <c r="BL695" i="14" s="1"/>
  <c r="BK712" i="14"/>
  <c r="BS656" i="14"/>
  <c r="BT642" i="14" s="1"/>
  <c r="BS643" i="14"/>
  <c r="BL712" i="14" l="1"/>
  <c r="BM688" i="14"/>
  <c r="BN674" i="14" s="1"/>
  <c r="BM675" i="14"/>
  <c r="BM695" i="14" s="1"/>
  <c r="BT643" i="14"/>
  <c r="BT656" i="14"/>
  <c r="BU642" i="14" s="1"/>
  <c r="BM712" i="14" l="1"/>
  <c r="BN688" i="14"/>
  <c r="BO674" i="14" s="1"/>
  <c r="BN675" i="14"/>
  <c r="BN695" i="14" s="1"/>
  <c r="BU643" i="14"/>
  <c r="BU656" i="14"/>
  <c r="BV642" i="14" s="1"/>
  <c r="BO688" i="14" l="1"/>
  <c r="BP674" i="14" s="1"/>
  <c r="BO675" i="14"/>
  <c r="BO695" i="14" s="1"/>
  <c r="BN712" i="14"/>
  <c r="BV643" i="14"/>
  <c r="BV656" i="14"/>
  <c r="BW642" i="14" s="1"/>
  <c r="BO712" i="14" l="1"/>
  <c r="BP688" i="14"/>
  <c r="BQ674" i="14" s="1"/>
  <c r="BP675" i="14"/>
  <c r="BP695" i="14" s="1"/>
  <c r="BW643" i="14"/>
  <c r="BW656" i="14"/>
  <c r="BX642" i="14" s="1"/>
  <c r="BP712" i="14" l="1"/>
  <c r="BQ688" i="14"/>
  <c r="BR674" i="14" s="1"/>
  <c r="BQ675" i="14"/>
  <c r="BQ695" i="14" s="1"/>
  <c r="BX656" i="14"/>
  <c r="BY642" i="14" s="1"/>
  <c r="BX643" i="14"/>
  <c r="BR688" i="14" l="1"/>
  <c r="BS674" i="14" s="1"/>
  <c r="BR675" i="14"/>
  <c r="BR695" i="14" s="1"/>
  <c r="BQ712" i="14"/>
  <c r="BY656" i="14"/>
  <c r="BY643" i="14"/>
  <c r="BR712" i="14" l="1"/>
  <c r="BS675" i="14"/>
  <c r="BS695" i="14" s="1"/>
  <c r="BS688" i="14"/>
  <c r="BT674" i="14" s="1"/>
  <c r="BT688" i="14" l="1"/>
  <c r="BU674" i="14" s="1"/>
  <c r="BT675" i="14"/>
  <c r="BT695" i="14" s="1"/>
  <c r="BS712" i="14"/>
  <c r="BT712" i="14" l="1"/>
  <c r="BU688" i="14"/>
  <c r="BV674" i="14" s="1"/>
  <c r="BU675" i="14"/>
  <c r="BU695" i="14" s="1"/>
  <c r="BU712" i="14" l="1"/>
  <c r="BV688" i="14"/>
  <c r="BW674" i="14" s="1"/>
  <c r="BV675" i="14"/>
  <c r="BV695" i="14" s="1"/>
  <c r="BV712" i="14" l="1"/>
  <c r="BW675" i="14"/>
  <c r="BW695" i="14" s="1"/>
  <c r="BW688" i="14"/>
  <c r="BX674" i="14" s="1"/>
  <c r="BW712" i="14" l="1"/>
  <c r="BX675" i="14"/>
  <c r="BX695" i="14" s="1"/>
  <c r="BX688" i="14"/>
  <c r="BY674" i="14" s="1"/>
  <c r="BY688" i="14" l="1"/>
  <c r="BY675" i="14"/>
  <c r="BY695" i="14" s="1"/>
  <c r="BX712" i="14"/>
  <c r="BY712" i="14" l="1"/>
  <c r="AF1212" i="14" l="1"/>
  <c r="AF406" i="14"/>
  <c r="AF29" i="14" s="1"/>
  <c r="V1212" i="14"/>
  <c r="V406" i="14"/>
  <c r="V29" i="14" s="1"/>
  <c r="AB1212" i="14"/>
  <c r="AB406" i="14"/>
  <c r="AB29" i="14" s="1"/>
  <c r="N1212" i="14"/>
  <c r="N406" i="14"/>
  <c r="N29" i="14" s="1"/>
  <c r="R1212" i="14"/>
  <c r="R406" i="14"/>
  <c r="R29" i="14" s="1"/>
  <c r="AZ1212" i="14"/>
  <c r="AZ1366" i="14" s="1"/>
  <c r="AZ406" i="14"/>
  <c r="AZ29" i="14" s="1"/>
  <c r="AH1212" i="14"/>
  <c r="AH406" i="14"/>
  <c r="AH29" i="14" s="1"/>
  <c r="BJ1212" i="14"/>
  <c r="BJ1366" i="14" s="1"/>
  <c r="BJ406" i="14"/>
  <c r="BJ29" i="14" s="1"/>
  <c r="O1212" i="14"/>
  <c r="O406" i="14"/>
  <c r="O29" i="14" s="1"/>
  <c r="AG1212" i="14"/>
  <c r="AG406" i="14"/>
  <c r="AG29" i="14" s="1"/>
  <c r="BF1212" i="14"/>
  <c r="BF1366" i="14" s="1"/>
  <c r="BF406" i="14"/>
  <c r="BF29" i="14" s="1"/>
  <c r="AE1212" i="14"/>
  <c r="AE406" i="14"/>
  <c r="AE29" i="14" s="1"/>
  <c r="BQ1212" i="14"/>
  <c r="BQ1366" i="14" s="1"/>
  <c r="BQ406" i="14"/>
  <c r="BQ29" i="14" s="1"/>
  <c r="BP1212" i="14"/>
  <c r="BP1366" i="14" s="1"/>
  <c r="BP406" i="14"/>
  <c r="BP29" i="14" s="1"/>
  <c r="AL1212" i="14"/>
  <c r="AL1366" i="14" s="1"/>
  <c r="AL406" i="14"/>
  <c r="AL29" i="14" s="1"/>
  <c r="BN1212" i="14"/>
  <c r="BN1366" i="14" s="1"/>
  <c r="BN406" i="14"/>
  <c r="BN29" i="14" s="1"/>
  <c r="AX1212" i="14"/>
  <c r="AX1366" i="14" s="1"/>
  <c r="AX406" i="14"/>
  <c r="AX29" i="14" s="1"/>
  <c r="AK1212" i="14"/>
  <c r="AK1366" i="14" s="1"/>
  <c r="AK406" i="14"/>
  <c r="AK29" i="14" s="1"/>
  <c r="S1212" i="14"/>
  <c r="S406" i="14"/>
  <c r="S29" i="14" s="1"/>
  <c r="P1212" i="14"/>
  <c r="P406" i="14"/>
  <c r="P29" i="14" s="1"/>
  <c r="BH1212" i="14"/>
  <c r="BH1366" i="14" s="1"/>
  <c r="BH406" i="14"/>
  <c r="BH29" i="14" s="1"/>
  <c r="BU1212" i="14"/>
  <c r="BU1366" i="14" s="1"/>
  <c r="BU406" i="14"/>
  <c r="BU29" i="14" s="1"/>
  <c r="AW1212" i="14"/>
  <c r="AW1366" i="14" s="1"/>
  <c r="AW406" i="14"/>
  <c r="AW29" i="14" s="1"/>
  <c r="BX1212" i="14"/>
  <c r="BX1366" i="14" s="1"/>
  <c r="BX406" i="14"/>
  <c r="BX29" i="14" s="1"/>
  <c r="BE1212" i="14"/>
  <c r="BE1366" i="14" s="1"/>
  <c r="BE406" i="14"/>
  <c r="BE29" i="14" s="1"/>
  <c r="AJ1212" i="14"/>
  <c r="AJ1366" i="14" s="1"/>
  <c r="AJ406" i="14"/>
  <c r="AJ29" i="14" s="1"/>
  <c r="K1212" i="14"/>
  <c r="K406" i="14"/>
  <c r="AS1212" i="14"/>
  <c r="AS1366" i="14" s="1"/>
  <c r="AS406" i="14"/>
  <c r="AS29" i="14" s="1"/>
  <c r="Z1212" i="14"/>
  <c r="Z406" i="14"/>
  <c r="Z29" i="14" s="1"/>
  <c r="AQ1212" i="14"/>
  <c r="AQ1366" i="14" s="1"/>
  <c r="AQ406" i="14"/>
  <c r="AQ29" i="14" s="1"/>
  <c r="AV1212" i="14"/>
  <c r="AV1366" i="14" s="1"/>
  <c r="AV406" i="14"/>
  <c r="AV29" i="14" s="1"/>
  <c r="X1212" i="14"/>
  <c r="X406" i="14"/>
  <c r="X29" i="14" s="1"/>
  <c r="BK1212" i="14"/>
  <c r="BK1366" i="14" s="1"/>
  <c r="BK406" i="14"/>
  <c r="BK29" i="14" s="1"/>
  <c r="AP1212" i="14"/>
  <c r="AP1366" i="14" s="1"/>
  <c r="AP406" i="14"/>
  <c r="AP29" i="14" s="1"/>
  <c r="BI1212" i="14"/>
  <c r="BI1366" i="14" s="1"/>
  <c r="BI406" i="14"/>
  <c r="BI29" i="14" s="1"/>
  <c r="L1212" i="14"/>
  <c r="L406" i="14"/>
  <c r="L29" i="14" s="1"/>
  <c r="AM1212" i="14"/>
  <c r="AM1366" i="14" s="1"/>
  <c r="AM406" i="14"/>
  <c r="AM29" i="14" s="1"/>
  <c r="BV1212" i="14"/>
  <c r="BV1366" i="14" s="1"/>
  <c r="BV406" i="14"/>
  <c r="BV29" i="14" s="1"/>
  <c r="BW1212" i="14"/>
  <c r="BW1366" i="14" s="1"/>
  <c r="BW406" i="14"/>
  <c r="BW29" i="14" s="1"/>
  <c r="BD1212" i="14"/>
  <c r="BD1366" i="14" s="1"/>
  <c r="BD406" i="14"/>
  <c r="BD29" i="14" s="1"/>
  <c r="Q1212" i="14"/>
  <c r="Q406" i="14"/>
  <c r="Q29" i="14" s="1"/>
  <c r="AI1212" i="14"/>
  <c r="AI406" i="14"/>
  <c r="AI29" i="14" s="1"/>
  <c r="U1212" i="14"/>
  <c r="U406" i="14"/>
  <c r="U29" i="14" s="1"/>
  <c r="AA1212" i="14"/>
  <c r="AA406" i="14"/>
  <c r="AA29" i="14" s="1"/>
  <c r="BM1212" i="14"/>
  <c r="BM1366" i="14" s="1"/>
  <c r="BM406" i="14"/>
  <c r="BM29" i="14" s="1"/>
  <c r="AN1212" i="14"/>
  <c r="AN1366" i="14" s="1"/>
  <c r="AN406" i="14"/>
  <c r="AN29" i="14" s="1"/>
  <c r="BT1212" i="14"/>
  <c r="BT1366" i="14" s="1"/>
  <c r="BT406" i="14"/>
  <c r="BT29" i="14" s="1"/>
  <c r="T1212" i="14"/>
  <c r="T406" i="14"/>
  <c r="T29" i="14" s="1"/>
  <c r="BA1212" i="14"/>
  <c r="BA1366" i="14" s="1"/>
  <c r="BA406" i="14"/>
  <c r="BA29" i="14" s="1"/>
  <c r="AU1212" i="14"/>
  <c r="AU1366" i="14" s="1"/>
  <c r="AU406" i="14"/>
  <c r="AU29" i="14" s="1"/>
  <c r="BS1212" i="14"/>
  <c r="BS1366" i="14" s="1"/>
  <c r="BS406" i="14"/>
  <c r="BS29" i="14" s="1"/>
  <c r="BC1212" i="14"/>
  <c r="BC1366" i="14" s="1"/>
  <c r="BC406" i="14"/>
  <c r="BC29" i="14" s="1"/>
  <c r="AR1212" i="14"/>
  <c r="AR1366" i="14" s="1"/>
  <c r="AR406" i="14"/>
  <c r="AR29" i="14" s="1"/>
  <c r="AT1212" i="14"/>
  <c r="AT1366" i="14" s="1"/>
  <c r="AT406" i="14"/>
  <c r="AT29" i="14" s="1"/>
  <c r="AC1212" i="14"/>
  <c r="AC406" i="14"/>
  <c r="AC29" i="14" s="1"/>
  <c r="BO1212" i="14"/>
  <c r="BO1366" i="14" s="1"/>
  <c r="BO406" i="14"/>
  <c r="BO29" i="14" s="1"/>
  <c r="AY1212" i="14"/>
  <c r="AY1366" i="14" s="1"/>
  <c r="AY406" i="14"/>
  <c r="AY29" i="14" s="1"/>
  <c r="BL1212" i="14"/>
  <c r="BL1366" i="14" s="1"/>
  <c r="BL406" i="14"/>
  <c r="BL29" i="14" s="1"/>
  <c r="AD1212" i="14"/>
  <c r="AD406" i="14"/>
  <c r="AD29" i="14" s="1"/>
  <c r="AO1212" i="14"/>
  <c r="AO1366" i="14" s="1"/>
  <c r="AO406" i="14"/>
  <c r="AO29" i="14" s="1"/>
  <c r="BG1212" i="14"/>
  <c r="BG1366" i="14" s="1"/>
  <c r="BG406" i="14"/>
  <c r="BG29" i="14" s="1"/>
  <c r="M1212" i="14"/>
  <c r="M406" i="14"/>
  <c r="M29" i="14" s="1"/>
  <c r="BR1212" i="14"/>
  <c r="BR1366" i="14" s="1"/>
  <c r="BR406" i="14"/>
  <c r="BR29" i="14" s="1"/>
  <c r="BB1212" i="14"/>
  <c r="BB1366" i="14" s="1"/>
  <c r="BB406" i="14"/>
  <c r="BB29" i="14" s="1"/>
  <c r="Y1212" i="14"/>
  <c r="Y406" i="14"/>
  <c r="Y29" i="14" s="1"/>
  <c r="W1212" i="14"/>
  <c r="W406" i="14"/>
  <c r="W29" i="14" s="1"/>
  <c r="BY406" i="14" l="1"/>
  <c r="BY29" i="14" s="1"/>
  <c r="BY1212" i="14" l="1"/>
  <c r="BY1366" i="14" s="1"/>
  <c r="H928" i="14" l="1"/>
  <c r="H569" i="14" s="1"/>
  <c r="I1293" i="14" l="1"/>
  <c r="K1293" i="14"/>
  <c r="J1293" i="14"/>
  <c r="M1293" i="14" l="1"/>
  <c r="N1293" i="14"/>
  <c r="L1293" i="14"/>
  <c r="O1293" i="14"/>
  <c r="R1293" i="14" l="1"/>
  <c r="S1293" i="14"/>
  <c r="P1293" i="14"/>
  <c r="Q1293" i="14"/>
  <c r="T1293" i="14" l="1"/>
  <c r="W1293" i="14"/>
  <c r="U1293" i="14"/>
  <c r="V1293" i="14"/>
  <c r="Z1293" i="14" l="1"/>
  <c r="Y1293" i="14"/>
  <c r="AA1293" i="14"/>
  <c r="X1293" i="14"/>
  <c r="AB1293" i="14" l="1"/>
  <c r="AE1293" i="14"/>
  <c r="AC1293" i="14"/>
  <c r="AD1293" i="14"/>
  <c r="AI1293" i="14" l="1"/>
  <c r="AH1293" i="14"/>
  <c r="AG1293" i="14"/>
  <c r="AF1293" i="14"/>
  <c r="AJ1293" i="14" l="1"/>
  <c r="AK1293" i="14"/>
  <c r="AL1293" i="14"/>
  <c r="AM1293" i="14"/>
  <c r="AP1293" i="14" l="1"/>
  <c r="AQ1293" i="14"/>
  <c r="AO1293" i="14"/>
  <c r="AN1293" i="14"/>
  <c r="AS1293" i="14" l="1"/>
  <c r="AU1293" i="14"/>
  <c r="AR1293" i="14"/>
  <c r="AT1293" i="14"/>
  <c r="AX1293" i="14" l="1"/>
  <c r="AY1293" i="14"/>
  <c r="AV1293" i="14"/>
  <c r="AW1293" i="14"/>
  <c r="AZ1293" i="14" l="1"/>
  <c r="BC1293" i="14"/>
  <c r="BA1293" i="14"/>
  <c r="BB1293" i="14"/>
  <c r="BF1293" i="14" l="1"/>
  <c r="BG1293" i="14"/>
  <c r="BE1293" i="14"/>
  <c r="BD1293" i="14"/>
  <c r="BH1293" i="14" l="1"/>
  <c r="BI1293" i="14"/>
  <c r="BK1293" i="14"/>
  <c r="BJ1293" i="14"/>
  <c r="BN1293" i="14" l="1"/>
  <c r="BM1293" i="14"/>
  <c r="BO1293" i="14"/>
  <c r="BL1293" i="14"/>
  <c r="BP1293" i="14" l="1"/>
  <c r="BW1293" i="14"/>
  <c r="BS1293" i="14"/>
  <c r="BQ1293" i="14"/>
  <c r="BV1293" i="14"/>
  <c r="BR1293" i="14"/>
  <c r="BY1293" i="14" l="1"/>
  <c r="BU1293" i="14"/>
  <c r="BX1293" i="14"/>
  <c r="BT1293" i="14"/>
  <c r="AR12" i="26" l="1"/>
  <c r="AR20" i="26"/>
  <c r="AR14" i="26"/>
  <c r="AR18" i="26"/>
  <c r="AR17" i="26"/>
  <c r="AR22" i="26"/>
  <c r="AR19" i="26"/>
  <c r="AR16" i="26"/>
  <c r="AR21" i="26"/>
  <c r="AR15" i="26"/>
  <c r="AR13" i="26"/>
  <c r="AR11" i="26"/>
  <c r="J1341" i="14"/>
  <c r="I1341" i="14"/>
  <c r="I1316" i="14" l="1" a="1"/>
  <c r="I1316" i="14" s="1"/>
  <c r="I1328" i="14" a="1"/>
  <c r="I1328" i="14" s="1"/>
  <c r="J1316" i="14" a="1"/>
  <c r="J1316" i="14" s="1"/>
  <c r="J1328" i="14" a="1"/>
  <c r="J1328" i="14" s="1"/>
  <c r="C439" i="14"/>
  <c r="D31" i="20" l="1"/>
  <c r="E31" i="20" a="1"/>
  <c r="E31" i="20" s="1"/>
  <c r="I539" i="14"/>
  <c r="I526" i="14"/>
  <c r="S526" i="14"/>
  <c r="C454" i="14"/>
  <c r="H454" i="14" s="1"/>
  <c r="BV526" i="14"/>
  <c r="BC526" i="14"/>
  <c r="BT526" i="14"/>
  <c r="BY526" i="14"/>
  <c r="C494" i="14"/>
  <c r="AN526" i="14"/>
  <c r="BG526" i="14"/>
  <c r="K526" i="14"/>
  <c r="J526" i="14"/>
  <c r="BB526" i="14"/>
  <c r="M526" i="14"/>
  <c r="P526" i="14"/>
  <c r="AL526" i="14"/>
  <c r="AW526" i="14"/>
  <c r="U526" i="14"/>
  <c r="BU526" i="14"/>
  <c r="Z526" i="14"/>
  <c r="BW526" i="14"/>
  <c r="BF526" i="14"/>
  <c r="V526" i="14"/>
  <c r="BD526" i="14"/>
  <c r="AI526" i="14"/>
  <c r="AD526" i="14"/>
  <c r="AT526" i="14"/>
  <c r="BR526" i="14"/>
  <c r="BS526" i="14"/>
  <c r="AJ526" i="14"/>
  <c r="AS526" i="14"/>
  <c r="R526" i="14"/>
  <c r="BJ526" i="14"/>
  <c r="BQ526" i="14"/>
  <c r="H526" i="14"/>
  <c r="AA526" i="14"/>
  <c r="BN526" i="14"/>
  <c r="AY526" i="14"/>
  <c r="O526" i="14"/>
  <c r="AE526" i="14"/>
  <c r="BO526" i="14"/>
  <c r="AM526" i="14"/>
  <c r="T526" i="14"/>
  <c r="AK526" i="14"/>
  <c r="AH526" i="14"/>
  <c r="Y526" i="14"/>
  <c r="BE526" i="14"/>
  <c r="L526" i="14"/>
  <c r="AZ526" i="14"/>
  <c r="AU526" i="14"/>
  <c r="BX526" i="14"/>
  <c r="BA526" i="14"/>
  <c r="AV526" i="14"/>
  <c r="AG526" i="14"/>
  <c r="C462" i="14"/>
  <c r="W526" i="14"/>
  <c r="BM526" i="14"/>
  <c r="AC526" i="14"/>
  <c r="N526" i="14"/>
  <c r="AX526" i="14"/>
  <c r="BL526" i="14"/>
  <c r="AB526" i="14"/>
  <c r="AO526" i="14"/>
  <c r="BK526" i="14"/>
  <c r="X526" i="14"/>
  <c r="BI526" i="14"/>
  <c r="Q526" i="14"/>
  <c r="AP526" i="14"/>
  <c r="AF526" i="14"/>
  <c r="AR526" i="14"/>
  <c r="BP526" i="14"/>
  <c r="BH526" i="14"/>
  <c r="AQ526" i="14"/>
  <c r="J539" i="14"/>
  <c r="H459" i="14" l="1"/>
  <c r="H491" i="14" s="1"/>
  <c r="I454" i="14"/>
  <c r="BS535" i="14"/>
  <c r="BS534" i="14"/>
  <c r="AJ534" i="14"/>
  <c r="AJ535" i="14"/>
  <c r="J534" i="14"/>
  <c r="J535" i="14"/>
  <c r="T535" i="14"/>
  <c r="T534" i="14"/>
  <c r="AE535" i="14"/>
  <c r="AE534" i="14"/>
  <c r="M535" i="14"/>
  <c r="M534" i="14"/>
  <c r="BR535" i="14"/>
  <c r="BR534" i="14"/>
  <c r="BG534" i="14"/>
  <c r="BG535" i="14"/>
  <c r="BM535" i="14"/>
  <c r="BM534" i="14"/>
  <c r="AN535" i="14"/>
  <c r="AN534" i="14"/>
  <c r="W535" i="14"/>
  <c r="W534" i="14"/>
  <c r="BY535" i="14"/>
  <c r="BY534" i="14"/>
  <c r="BI535" i="14"/>
  <c r="BI534" i="14"/>
  <c r="Y535" i="14"/>
  <c r="Y534" i="14"/>
  <c r="AH535" i="14"/>
  <c r="AH534" i="14"/>
  <c r="AX534" i="14"/>
  <c r="AX535" i="14"/>
  <c r="AG535" i="14"/>
  <c r="AG534" i="14"/>
  <c r="BF534" i="14"/>
  <c r="BF535" i="14"/>
  <c r="AF534" i="14"/>
  <c r="AF535" i="14"/>
  <c r="BC535" i="14"/>
  <c r="BC534" i="14"/>
  <c r="BA535" i="14"/>
  <c r="BA534" i="14"/>
  <c r="BV535" i="14"/>
  <c r="BV534" i="14"/>
  <c r="AZ534" i="14"/>
  <c r="AZ535" i="14"/>
  <c r="I534" i="14"/>
  <c r="I535" i="14"/>
  <c r="BB534" i="14"/>
  <c r="BB535" i="14"/>
  <c r="AK535" i="14"/>
  <c r="AK534" i="14"/>
  <c r="N535" i="14"/>
  <c r="N534" i="14"/>
  <c r="AT534" i="14"/>
  <c r="AT535" i="14"/>
  <c r="AC534" i="14"/>
  <c r="AC535" i="14"/>
  <c r="AD535" i="14"/>
  <c r="AD534" i="14"/>
  <c r="AQ535" i="14"/>
  <c r="AQ534" i="14"/>
  <c r="BO535" i="14"/>
  <c r="BO534" i="14"/>
  <c r="BH535" i="14"/>
  <c r="BH534" i="14"/>
  <c r="BD534" i="14"/>
  <c r="BD535" i="14"/>
  <c r="BP534" i="14"/>
  <c r="BP535" i="14"/>
  <c r="O534" i="14"/>
  <c r="O535" i="14"/>
  <c r="AR535" i="14"/>
  <c r="AR534" i="14"/>
  <c r="AY534" i="14"/>
  <c r="AY535" i="14"/>
  <c r="BT535" i="14"/>
  <c r="BT534" i="14"/>
  <c r="BW535" i="14"/>
  <c r="BW534" i="14"/>
  <c r="AA534" i="14"/>
  <c r="AA535" i="14"/>
  <c r="Q535" i="14"/>
  <c r="Q534" i="14"/>
  <c r="L535" i="14"/>
  <c r="L534" i="14"/>
  <c r="AL534" i="14"/>
  <c r="AL535" i="14"/>
  <c r="AB535" i="14"/>
  <c r="AB534" i="14"/>
  <c r="BL535" i="14"/>
  <c r="BL534" i="14"/>
  <c r="K535" i="14"/>
  <c r="K534" i="14"/>
  <c r="AM535" i="14"/>
  <c r="AM534" i="14"/>
  <c r="AI534" i="14"/>
  <c r="AI535" i="14"/>
  <c r="V534" i="14"/>
  <c r="V535" i="14"/>
  <c r="AV535" i="14"/>
  <c r="AV534" i="14"/>
  <c r="BN535" i="14"/>
  <c r="BN534" i="14"/>
  <c r="AP535" i="14"/>
  <c r="AP534" i="14"/>
  <c r="Z535" i="14"/>
  <c r="Z534" i="14"/>
  <c r="BX535" i="14"/>
  <c r="BX534" i="14"/>
  <c r="H535" i="14"/>
  <c r="H534" i="14"/>
  <c r="H528" i="14"/>
  <c r="BU534" i="14"/>
  <c r="BU535" i="14"/>
  <c r="AU535" i="14"/>
  <c r="AU534" i="14"/>
  <c r="BQ535" i="14"/>
  <c r="BQ534" i="14"/>
  <c r="U535" i="14"/>
  <c r="U534" i="14"/>
  <c r="S535" i="14"/>
  <c r="S534" i="14"/>
  <c r="X535" i="14"/>
  <c r="X534" i="14"/>
  <c r="BJ535" i="14"/>
  <c r="BJ534" i="14"/>
  <c r="AW534" i="14"/>
  <c r="AW535" i="14"/>
  <c r="BK535" i="14"/>
  <c r="BK534" i="14"/>
  <c r="R534" i="14"/>
  <c r="R535" i="14"/>
  <c r="AO535" i="14"/>
  <c r="AO534" i="14"/>
  <c r="BE535" i="14"/>
  <c r="BE534" i="14"/>
  <c r="AS534" i="14"/>
  <c r="AS535" i="14"/>
  <c r="P534" i="14"/>
  <c r="P535" i="14"/>
  <c r="H470" i="14" l="1"/>
  <c r="H466" i="14"/>
  <c r="H467" i="14"/>
  <c r="H468" i="14"/>
  <c r="H471" i="14"/>
  <c r="H472" i="14"/>
  <c r="H469" i="14"/>
  <c r="I459" i="14"/>
  <c r="I491" i="14" s="1"/>
  <c r="J454" i="14"/>
  <c r="K454" i="14" s="1"/>
  <c r="H499" i="14"/>
  <c r="H498" i="14"/>
  <c r="H500" i="14"/>
  <c r="H502" i="14"/>
  <c r="H496" i="14"/>
  <c r="H503" i="14"/>
  <c r="H497" i="14"/>
  <c r="H504" i="14"/>
  <c r="H501" i="14"/>
  <c r="H529" i="14"/>
  <c r="H530" i="14" s="1"/>
  <c r="L454" i="14" l="1"/>
  <c r="M454" i="14" s="1"/>
  <c r="N454" i="14" s="1"/>
  <c r="J459" i="14"/>
  <c r="K459" i="14" s="1"/>
  <c r="H537" i="14"/>
  <c r="I469" i="14"/>
  <c r="I468" i="14"/>
  <c r="I470" i="14"/>
  <c r="I472" i="14"/>
  <c r="I467" i="14"/>
  <c r="I471" i="14"/>
  <c r="I466" i="14"/>
  <c r="J491" i="14" l="1"/>
  <c r="K491" i="14" s="1"/>
  <c r="L459" i="14"/>
  <c r="M459" i="14" s="1"/>
  <c r="O454" i="14"/>
  <c r="H538" i="14"/>
  <c r="I503" i="14"/>
  <c r="I504" i="14"/>
  <c r="I501" i="14"/>
  <c r="I497" i="14"/>
  <c r="I498" i="14"/>
  <c r="I500" i="14"/>
  <c r="I502" i="14"/>
  <c r="I496" i="14"/>
  <c r="I499" i="14"/>
  <c r="J472" i="14"/>
  <c r="J468" i="14"/>
  <c r="J466" i="14"/>
  <c r="J469" i="14"/>
  <c r="J470" i="14"/>
  <c r="J467" i="14"/>
  <c r="J471" i="14"/>
  <c r="J504" i="14" l="1"/>
  <c r="N459" i="14"/>
  <c r="O459" i="14" s="1"/>
  <c r="L491" i="14"/>
  <c r="M491" i="14" s="1"/>
  <c r="P454" i="14"/>
  <c r="J502" i="14"/>
  <c r="J500" i="14"/>
  <c r="J498" i="14"/>
  <c r="J499" i="14"/>
  <c r="J496" i="14"/>
  <c r="J497" i="14"/>
  <c r="J503" i="14"/>
  <c r="J501" i="14"/>
  <c r="H540" i="14"/>
  <c r="K469" i="14"/>
  <c r="K467" i="14"/>
  <c r="K472" i="14"/>
  <c r="K470" i="14"/>
  <c r="K471" i="14"/>
  <c r="K468" i="14"/>
  <c r="K466" i="14"/>
  <c r="N491" i="14" l="1"/>
  <c r="O491" i="14" s="1"/>
  <c r="Q454" i="14"/>
  <c r="P459" i="14"/>
  <c r="L470" i="14"/>
  <c r="L472" i="14"/>
  <c r="L469" i="14"/>
  <c r="L466" i="14"/>
  <c r="L468" i="14"/>
  <c r="L467" i="14"/>
  <c r="L471" i="14"/>
  <c r="K501" i="14"/>
  <c r="K502" i="14"/>
  <c r="K497" i="14"/>
  <c r="K498" i="14"/>
  <c r="K496" i="14"/>
  <c r="K504" i="14"/>
  <c r="K499" i="14"/>
  <c r="K500" i="14"/>
  <c r="K503" i="14"/>
  <c r="P491" i="14" l="1"/>
  <c r="R454" i="14"/>
  <c r="Q459" i="14"/>
  <c r="N468" i="14"/>
  <c r="N470" i="14"/>
  <c r="N467" i="14"/>
  <c r="N471" i="14"/>
  <c r="N472" i="14"/>
  <c r="N466" i="14"/>
  <c r="N469" i="14"/>
  <c r="L497" i="14"/>
  <c r="L499" i="14"/>
  <c r="L496" i="14"/>
  <c r="L503" i="14"/>
  <c r="L504" i="14"/>
  <c r="L501" i="14"/>
  <c r="L498" i="14"/>
  <c r="L500" i="14"/>
  <c r="L502" i="14"/>
  <c r="M470" i="14"/>
  <c r="M472" i="14"/>
  <c r="M469" i="14"/>
  <c r="M471" i="14"/>
  <c r="M467" i="14"/>
  <c r="M466" i="14"/>
  <c r="M468" i="14"/>
  <c r="Q491" i="14" l="1"/>
  <c r="S454" i="14"/>
  <c r="R459" i="14"/>
  <c r="N504" i="14"/>
  <c r="N498" i="14"/>
  <c r="N496" i="14"/>
  <c r="N497" i="14"/>
  <c r="N503" i="14"/>
  <c r="N499" i="14"/>
  <c r="N501" i="14"/>
  <c r="N500" i="14"/>
  <c r="N502" i="14"/>
  <c r="O467" i="14"/>
  <c r="O468" i="14"/>
  <c r="O472" i="14"/>
  <c r="O470" i="14"/>
  <c r="O466" i="14"/>
  <c r="O469" i="14"/>
  <c r="O471" i="14"/>
  <c r="M504" i="14"/>
  <c r="M498" i="14"/>
  <c r="M502" i="14"/>
  <c r="M501" i="14"/>
  <c r="M499" i="14"/>
  <c r="M500" i="14"/>
  <c r="M496" i="14"/>
  <c r="M497" i="14"/>
  <c r="M503" i="14"/>
  <c r="S459" i="14" l="1"/>
  <c r="R491" i="14"/>
  <c r="T454" i="14"/>
  <c r="U454" i="14" s="1"/>
  <c r="V454" i="14" s="1"/>
  <c r="W454" i="14" s="1"/>
  <c r="X454" i="14" s="1"/>
  <c r="Y454" i="14" s="1"/>
  <c r="R468" i="14"/>
  <c r="R466" i="14"/>
  <c r="R470" i="14"/>
  <c r="R469" i="14"/>
  <c r="R467" i="14"/>
  <c r="R471" i="14"/>
  <c r="R472" i="14"/>
  <c r="Q472" i="14"/>
  <c r="Q468" i="14"/>
  <c r="Q470" i="14"/>
  <c r="Q469" i="14"/>
  <c r="Q466" i="14"/>
  <c r="Q471" i="14"/>
  <c r="Q467" i="14"/>
  <c r="O499" i="14"/>
  <c r="O502" i="14"/>
  <c r="O503" i="14"/>
  <c r="O500" i="14"/>
  <c r="O497" i="14"/>
  <c r="O501" i="14"/>
  <c r="O498" i="14"/>
  <c r="O496" i="14"/>
  <c r="O504" i="14"/>
  <c r="P468" i="14"/>
  <c r="P467" i="14"/>
  <c r="P472" i="14"/>
  <c r="P469" i="14"/>
  <c r="P466" i="14"/>
  <c r="P470" i="14"/>
  <c r="P471" i="14"/>
  <c r="S491" i="14" l="1"/>
  <c r="Z454" i="14"/>
  <c r="AA454" i="14" s="1"/>
  <c r="AB454" i="14" s="1"/>
  <c r="AC454" i="14" s="1"/>
  <c r="AD454" i="14" s="1"/>
  <c r="AE454" i="14" s="1"/>
  <c r="AF454" i="14" s="1"/>
  <c r="AG454" i="14" s="1"/>
  <c r="AH454" i="14" s="1"/>
  <c r="AI454" i="14" s="1"/>
  <c r="AJ454" i="14" s="1"/>
  <c r="AK454" i="14" s="1"/>
  <c r="AL454" i="14" s="1"/>
  <c r="AM454" i="14" s="1"/>
  <c r="AN454" i="14" s="1"/>
  <c r="AO454" i="14" s="1"/>
  <c r="AP454" i="14" s="1"/>
  <c r="AQ454" i="14" s="1"/>
  <c r="AR454" i="14" s="1"/>
  <c r="AS454" i="14" s="1"/>
  <c r="AT454" i="14" s="1"/>
  <c r="AU454" i="14" s="1"/>
  <c r="AV454" i="14" s="1"/>
  <c r="AW454" i="14" s="1"/>
  <c r="AX454" i="14" s="1"/>
  <c r="AY454" i="14" s="1"/>
  <c r="AZ454" i="14" s="1"/>
  <c r="BA454" i="14" s="1"/>
  <c r="BB454" i="14" s="1"/>
  <c r="BC454" i="14" s="1"/>
  <c r="BD454" i="14" s="1"/>
  <c r="BE454" i="14" s="1"/>
  <c r="BF454" i="14" s="1"/>
  <c r="BG454" i="14" s="1"/>
  <c r="BH454" i="14" s="1"/>
  <c r="BI454" i="14" s="1"/>
  <c r="BJ454" i="14" s="1"/>
  <c r="BK454" i="14" s="1"/>
  <c r="BL454" i="14" s="1"/>
  <c r="BM454" i="14" s="1"/>
  <c r="BN454" i="14" s="1"/>
  <c r="BO454" i="14" s="1"/>
  <c r="BP454" i="14" s="1"/>
  <c r="BQ454" i="14" s="1"/>
  <c r="BR454" i="14" s="1"/>
  <c r="BS454" i="14" s="1"/>
  <c r="BT454" i="14" s="1"/>
  <c r="BU454" i="14" s="1"/>
  <c r="BV454" i="14" s="1"/>
  <c r="BW454" i="14" s="1"/>
  <c r="BX454" i="14" s="1"/>
  <c r="BY454" i="14" s="1"/>
  <c r="T459" i="14"/>
  <c r="U459" i="14" s="1"/>
  <c r="V459" i="14" s="1"/>
  <c r="W459" i="14" s="1"/>
  <c r="X459" i="14" s="1"/>
  <c r="Y459" i="14" s="1"/>
  <c r="S467" i="14"/>
  <c r="S471" i="14"/>
  <c r="S472" i="14"/>
  <c r="S469" i="14"/>
  <c r="S466" i="14"/>
  <c r="S470" i="14"/>
  <c r="S468" i="14"/>
  <c r="P499" i="14"/>
  <c r="P503" i="14"/>
  <c r="P498" i="14"/>
  <c r="P497" i="14"/>
  <c r="P500" i="14"/>
  <c r="P501" i="14"/>
  <c r="P496" i="14"/>
  <c r="P504" i="14"/>
  <c r="P502" i="14"/>
  <c r="Z459" i="14" l="1"/>
  <c r="AA459" i="14" s="1"/>
  <c r="AB459" i="14" s="1"/>
  <c r="AC459" i="14" s="1"/>
  <c r="AD459" i="14" s="1"/>
  <c r="AE459" i="14" s="1"/>
  <c r="AF459" i="14" s="1"/>
  <c r="AG459" i="14" s="1"/>
  <c r="AH459" i="14" s="1"/>
  <c r="AI459" i="14" s="1"/>
  <c r="AJ459" i="14" s="1"/>
  <c r="AK459" i="14" s="1"/>
  <c r="AL459" i="14" s="1"/>
  <c r="AM459" i="14" s="1"/>
  <c r="AN459" i="14" s="1"/>
  <c r="T468" i="14"/>
  <c r="T467" i="14"/>
  <c r="T469" i="14"/>
  <c r="T471" i="14"/>
  <c r="T470" i="14"/>
  <c r="T466" i="14"/>
  <c r="T472" i="14"/>
  <c r="T491" i="14"/>
  <c r="U491" i="14" s="1"/>
  <c r="V491" i="14" s="1"/>
  <c r="W491" i="14" s="1"/>
  <c r="X491" i="14" s="1"/>
  <c r="Q498" i="14"/>
  <c r="Q500" i="14"/>
  <c r="Q496" i="14"/>
  <c r="Q504" i="14"/>
  <c r="Q503" i="14"/>
  <c r="Q502" i="14"/>
  <c r="Q497" i="14"/>
  <c r="Q499" i="14"/>
  <c r="Q501" i="14"/>
  <c r="U466" i="14"/>
  <c r="U471" i="14"/>
  <c r="U469" i="14"/>
  <c r="U467" i="14"/>
  <c r="U470" i="14"/>
  <c r="U472" i="14"/>
  <c r="U468" i="14"/>
  <c r="AO459" i="14" l="1"/>
  <c r="AP459" i="14" s="1"/>
  <c r="AQ459" i="14" s="1"/>
  <c r="AR459" i="14" s="1"/>
  <c r="AS459" i="14" s="1"/>
  <c r="AT459" i="14" s="1"/>
  <c r="AU459" i="14" s="1"/>
  <c r="AV459" i="14" s="1"/>
  <c r="AW459" i="14" s="1"/>
  <c r="AX459" i="14" s="1"/>
  <c r="AY459" i="14" s="1"/>
  <c r="AZ459" i="14" s="1"/>
  <c r="BA459" i="14" s="1"/>
  <c r="BB459" i="14" s="1"/>
  <c r="BC459" i="14" s="1"/>
  <c r="BD459" i="14" s="1"/>
  <c r="BE459" i="14" s="1"/>
  <c r="BF459" i="14" s="1"/>
  <c r="BG459" i="14" s="1"/>
  <c r="BH459" i="14" s="1"/>
  <c r="BI459" i="14" s="1"/>
  <c r="BJ459" i="14" s="1"/>
  <c r="BK459" i="14" s="1"/>
  <c r="BL459" i="14" s="1"/>
  <c r="BM459" i="14" s="1"/>
  <c r="BN459" i="14" s="1"/>
  <c r="BO459" i="14" s="1"/>
  <c r="BP459" i="14" s="1"/>
  <c r="BQ459" i="14" s="1"/>
  <c r="BR459" i="14" s="1"/>
  <c r="BS459" i="14" s="1"/>
  <c r="BT459" i="14" s="1"/>
  <c r="BU459" i="14" s="1"/>
  <c r="BV459" i="14" s="1"/>
  <c r="BW459" i="14" s="1"/>
  <c r="BX459" i="14" s="1"/>
  <c r="BY459" i="14" s="1"/>
  <c r="Y491" i="14"/>
  <c r="Z491" i="14" s="1"/>
  <c r="AA491" i="14" s="1"/>
  <c r="AB491" i="14" s="1"/>
  <c r="AC491" i="14" s="1"/>
  <c r="AD491" i="14" s="1"/>
  <c r="AE491" i="14" s="1"/>
  <c r="AF491" i="14" s="1"/>
  <c r="AG491" i="14" s="1"/>
  <c r="AH491" i="14" s="1"/>
  <c r="AI491" i="14" s="1"/>
  <c r="AJ491" i="14" s="1"/>
  <c r="AK491" i="14" s="1"/>
  <c r="AL491" i="14" s="1"/>
  <c r="AM491" i="14" s="1"/>
  <c r="AN491" i="14" s="1"/>
  <c r="V470" i="14"/>
  <c r="V471" i="14"/>
  <c r="V469" i="14"/>
  <c r="V467" i="14"/>
  <c r="V466" i="14"/>
  <c r="V468" i="14"/>
  <c r="V472" i="14"/>
  <c r="R503" i="14"/>
  <c r="R498" i="14"/>
  <c r="R499" i="14"/>
  <c r="R496" i="14"/>
  <c r="R504" i="14"/>
  <c r="R502" i="14"/>
  <c r="R500" i="14"/>
  <c r="R497" i="14"/>
  <c r="R501" i="14"/>
  <c r="AO491" i="14" l="1"/>
  <c r="AP491" i="14" s="1"/>
  <c r="AQ491" i="14" s="1"/>
  <c r="AR491" i="14" s="1"/>
  <c r="AS491" i="14" s="1"/>
  <c r="AT491" i="14" s="1"/>
  <c r="AU491" i="14" s="1"/>
  <c r="AV491" i="14" s="1"/>
  <c r="AW491" i="14" s="1"/>
  <c r="AX491" i="14" s="1"/>
  <c r="AY491" i="14" s="1"/>
  <c r="AZ491" i="14" s="1"/>
  <c r="BA491" i="14" s="1"/>
  <c r="BB491" i="14" s="1"/>
  <c r="BC491" i="14" s="1"/>
  <c r="BD491" i="14" s="1"/>
  <c r="BE491" i="14" s="1"/>
  <c r="BF491" i="14" s="1"/>
  <c r="BG491" i="14" s="1"/>
  <c r="W467" i="14"/>
  <c r="W470" i="14"/>
  <c r="W468" i="14"/>
  <c r="W466" i="14"/>
  <c r="W469" i="14"/>
  <c r="W472" i="14"/>
  <c r="W471" i="14"/>
  <c r="S501" i="14"/>
  <c r="S496" i="14"/>
  <c r="S500" i="14"/>
  <c r="S497" i="14"/>
  <c r="S502" i="14"/>
  <c r="S503" i="14"/>
  <c r="S504" i="14"/>
  <c r="S498" i="14"/>
  <c r="S499" i="14"/>
  <c r="BH491" i="14" l="1"/>
  <c r="BI491" i="14" s="1"/>
  <c r="BJ491" i="14" s="1"/>
  <c r="BK491" i="14" s="1"/>
  <c r="BL491" i="14" s="1"/>
  <c r="BM491" i="14" s="1"/>
  <c r="BN491" i="14" s="1"/>
  <c r="BO491" i="14" s="1"/>
  <c r="BP491" i="14" s="1"/>
  <c r="BQ491" i="14" s="1"/>
  <c r="BR491" i="14" s="1"/>
  <c r="BS491" i="14" s="1"/>
  <c r="BT491" i="14" s="1"/>
  <c r="BU491" i="14" s="1"/>
  <c r="BV491" i="14" s="1"/>
  <c r="BW491" i="14" s="1"/>
  <c r="BX491" i="14" s="1"/>
  <c r="BY491" i="14" s="1"/>
  <c r="U498" i="14"/>
  <c r="U503" i="14"/>
  <c r="U496" i="14"/>
  <c r="U502" i="14"/>
  <c r="U501" i="14"/>
  <c r="U497" i="14"/>
  <c r="U500" i="14"/>
  <c r="U499" i="14"/>
  <c r="U504" i="14"/>
  <c r="T503" i="14"/>
  <c r="T499" i="14"/>
  <c r="T502" i="14"/>
  <c r="T504" i="14"/>
  <c r="T501" i="14"/>
  <c r="T496" i="14"/>
  <c r="T497" i="14"/>
  <c r="T498" i="14"/>
  <c r="T500" i="14"/>
  <c r="X469" i="14"/>
  <c r="X472" i="14"/>
  <c r="X470" i="14"/>
  <c r="X471" i="14"/>
  <c r="X467" i="14"/>
  <c r="X466" i="14"/>
  <c r="X468" i="14"/>
  <c r="W504" i="14" l="1"/>
  <c r="W501" i="14"/>
  <c r="W502" i="14"/>
  <c r="W498" i="14"/>
  <c r="W503" i="14"/>
  <c r="W499" i="14"/>
  <c r="W496" i="14"/>
  <c r="W500" i="14"/>
  <c r="W497" i="14"/>
  <c r="Y471" i="14"/>
  <c r="Y466" i="14"/>
  <c r="Y472" i="14"/>
  <c r="Y470" i="14"/>
  <c r="Y467" i="14"/>
  <c r="Y469" i="14"/>
  <c r="Y468" i="14"/>
  <c r="V500" i="14"/>
  <c r="V503" i="14"/>
  <c r="V498" i="14"/>
  <c r="V502" i="14"/>
  <c r="V497" i="14"/>
  <c r="V504" i="14"/>
  <c r="V496" i="14"/>
  <c r="V501" i="14"/>
  <c r="V499" i="14"/>
  <c r="X500" i="14" l="1"/>
  <c r="X502" i="14"/>
  <c r="X501" i="14"/>
  <c r="X503" i="14"/>
  <c r="X496" i="14"/>
  <c r="X504" i="14"/>
  <c r="X497" i="14"/>
  <c r="X498" i="14"/>
  <c r="X499" i="14"/>
  <c r="Z470" i="14"/>
  <c r="Z471" i="14"/>
  <c r="Z466" i="14"/>
  <c r="Z468" i="14"/>
  <c r="Z469" i="14"/>
  <c r="Z467" i="14"/>
  <c r="Z472" i="14"/>
  <c r="Y497" i="14" l="1"/>
  <c r="Y504" i="14"/>
  <c r="Y502" i="14"/>
  <c r="Y499" i="14"/>
  <c r="Y501" i="14"/>
  <c r="Y503" i="14"/>
  <c r="Y496" i="14"/>
  <c r="Y500" i="14"/>
  <c r="Y498" i="14"/>
  <c r="AA467" i="14"/>
  <c r="AA470" i="14"/>
  <c r="AA469" i="14"/>
  <c r="AA472" i="14"/>
  <c r="AA466" i="14"/>
  <c r="AA468" i="14"/>
  <c r="AA471" i="14"/>
  <c r="Z501" i="14" l="1"/>
  <c r="Z504" i="14"/>
  <c r="Z499" i="14"/>
  <c r="Z498" i="14"/>
  <c r="Z496" i="14"/>
  <c r="Z497" i="14"/>
  <c r="Z500" i="14"/>
  <c r="Z503" i="14"/>
  <c r="Z502" i="14"/>
  <c r="AB471" i="14"/>
  <c r="AB470" i="14"/>
  <c r="AB467" i="14"/>
  <c r="AB469" i="14"/>
  <c r="AB468" i="14"/>
  <c r="AB466" i="14"/>
  <c r="AB472" i="14"/>
  <c r="AC468" i="14" l="1"/>
  <c r="AC467" i="14"/>
  <c r="AC472" i="14"/>
  <c r="AC471" i="14"/>
  <c r="AC469" i="14"/>
  <c r="AC466" i="14"/>
  <c r="AC470" i="14"/>
  <c r="AA499" i="14"/>
  <c r="AA503" i="14"/>
  <c r="AA497" i="14"/>
  <c r="AA502" i="14"/>
  <c r="AA496" i="14"/>
  <c r="AA500" i="14"/>
  <c r="AA504" i="14"/>
  <c r="AA498" i="14"/>
  <c r="AA501" i="14"/>
  <c r="AD501" i="14" l="1"/>
  <c r="AD468" i="14"/>
  <c r="AD467" i="14"/>
  <c r="AD471" i="14"/>
  <c r="AD469" i="14"/>
  <c r="AD470" i="14"/>
  <c r="AD466" i="14"/>
  <c r="AD472" i="14"/>
  <c r="AC504" i="14"/>
  <c r="AC500" i="14"/>
  <c r="AC503" i="14"/>
  <c r="AC497" i="14"/>
  <c r="AC499" i="14"/>
  <c r="AC498" i="14"/>
  <c r="AC502" i="14"/>
  <c r="AC496" i="14"/>
  <c r="AC501" i="14"/>
  <c r="AB499" i="14"/>
  <c r="AB503" i="14"/>
  <c r="AB498" i="14"/>
  <c r="AB496" i="14"/>
  <c r="AB497" i="14"/>
  <c r="AB501" i="14"/>
  <c r="AB500" i="14"/>
  <c r="AB502" i="14"/>
  <c r="AB504" i="14"/>
  <c r="AD503" i="14" l="1"/>
  <c r="AD504" i="14"/>
  <c r="AD502" i="14"/>
  <c r="AD497" i="14"/>
  <c r="AD499" i="14"/>
  <c r="AD500" i="14"/>
  <c r="AD496" i="14"/>
  <c r="AD498" i="14"/>
  <c r="AE471" i="14"/>
  <c r="AE466" i="14"/>
  <c r="AE469" i="14"/>
  <c r="AE470" i="14"/>
  <c r="AE472" i="14"/>
  <c r="AE467" i="14"/>
  <c r="AE468" i="14"/>
  <c r="AF502" i="14" l="1"/>
  <c r="AE504" i="14"/>
  <c r="AE498" i="14"/>
  <c r="AE496" i="14"/>
  <c r="AE501" i="14"/>
  <c r="AE503" i="14"/>
  <c r="AE502" i="14"/>
  <c r="AE500" i="14"/>
  <c r="AE497" i="14"/>
  <c r="AE499" i="14"/>
  <c r="AF472" i="14"/>
  <c r="AF468" i="14"/>
  <c r="AF466" i="14"/>
  <c r="AF467" i="14"/>
  <c r="AF469" i="14"/>
  <c r="AF470" i="14"/>
  <c r="AF471" i="14"/>
  <c r="AG497" i="14" l="1"/>
  <c r="AF501" i="14"/>
  <c r="AF498" i="14"/>
  <c r="AF497" i="14"/>
  <c r="AF503" i="14"/>
  <c r="AF499" i="14"/>
  <c r="AF504" i="14"/>
  <c r="AF496" i="14"/>
  <c r="AF500" i="14"/>
  <c r="AG502" i="14"/>
  <c r="AG503" i="14"/>
  <c r="AG500" i="14"/>
  <c r="AG496" i="14"/>
  <c r="AG504" i="14"/>
  <c r="AG498" i="14"/>
  <c r="AG501" i="14"/>
  <c r="AG499" i="14"/>
  <c r="AG466" i="14"/>
  <c r="AG471" i="14"/>
  <c r="AG467" i="14"/>
  <c r="AG469" i="14"/>
  <c r="AG472" i="14"/>
  <c r="AG468" i="14"/>
  <c r="AG470" i="14"/>
  <c r="AH467" i="14" l="1"/>
  <c r="AH471" i="14"/>
  <c r="AH470" i="14"/>
  <c r="AH466" i="14"/>
  <c r="AH468" i="14"/>
  <c r="AH469" i="14"/>
  <c r="AH472" i="14"/>
  <c r="AI502" i="14" l="1"/>
  <c r="AH499" i="14"/>
  <c r="AH500" i="14"/>
  <c r="AH504" i="14"/>
  <c r="AH497" i="14"/>
  <c r="AH496" i="14"/>
  <c r="AH501" i="14"/>
  <c r="AH498" i="14"/>
  <c r="AH503" i="14"/>
  <c r="AH502" i="14"/>
  <c r="AI466" i="14"/>
  <c r="AI470" i="14"/>
  <c r="AI467" i="14"/>
  <c r="AI471" i="14"/>
  <c r="AI472" i="14"/>
  <c r="AI468" i="14"/>
  <c r="AI469" i="14"/>
  <c r="AJ496" i="14" l="1"/>
  <c r="AI498" i="14"/>
  <c r="AI500" i="14"/>
  <c r="AI503" i="14"/>
  <c r="AI499" i="14"/>
  <c r="AI496" i="14"/>
  <c r="AI497" i="14"/>
  <c r="AI504" i="14"/>
  <c r="AI501" i="14"/>
  <c r="AJ472" i="14"/>
  <c r="AJ471" i="14"/>
  <c r="AJ468" i="14"/>
  <c r="AJ470" i="14"/>
  <c r="AJ467" i="14"/>
  <c r="AJ469" i="14"/>
  <c r="AJ466" i="14"/>
  <c r="AJ500" i="14" l="1"/>
  <c r="AJ504" i="14"/>
  <c r="AK497" i="14"/>
  <c r="AJ502" i="14"/>
  <c r="AJ501" i="14"/>
  <c r="AJ497" i="14"/>
  <c r="AJ503" i="14"/>
  <c r="AJ499" i="14"/>
  <c r="AJ498" i="14"/>
  <c r="AK504" i="14"/>
  <c r="AK501" i="14"/>
  <c r="AK503" i="14"/>
  <c r="AK496" i="14"/>
  <c r="AK499" i="14"/>
  <c r="AK500" i="14"/>
  <c r="AK472" i="14"/>
  <c r="AK467" i="14"/>
  <c r="AK471" i="14"/>
  <c r="AK469" i="14"/>
  <c r="AK468" i="14"/>
  <c r="AK470" i="14"/>
  <c r="AK466" i="14"/>
  <c r="AK502" i="14" l="1"/>
  <c r="AL502" i="14"/>
  <c r="AK498" i="14"/>
  <c r="AL504" i="14"/>
  <c r="AL498" i="14"/>
  <c r="AL496" i="14"/>
  <c r="AL466" i="14"/>
  <c r="AL470" i="14"/>
  <c r="AL467" i="14"/>
  <c r="AL469" i="14"/>
  <c r="AL468" i="14"/>
  <c r="AL471" i="14"/>
  <c r="AL472" i="14"/>
  <c r="AL500" i="14" l="1"/>
  <c r="AL503" i="14"/>
  <c r="AL501" i="14"/>
  <c r="AL499" i="14"/>
  <c r="AL497" i="14"/>
  <c r="AM467" i="14"/>
  <c r="AM470" i="14"/>
  <c r="AM466" i="14"/>
  <c r="AM472" i="14"/>
  <c r="AM471" i="14"/>
  <c r="AM468" i="14"/>
  <c r="AM469" i="14"/>
  <c r="AM501" i="14" l="1"/>
  <c r="AM497" i="14"/>
  <c r="AM496" i="14"/>
  <c r="AM502" i="14"/>
  <c r="AM499" i="14"/>
  <c r="AM498" i="14"/>
  <c r="AM504" i="14"/>
  <c r="AM500" i="14"/>
  <c r="AM503" i="14"/>
  <c r="AN472" i="14"/>
  <c r="AN467" i="14"/>
  <c r="AN466" i="14"/>
  <c r="AN470" i="14"/>
  <c r="AN468" i="14"/>
  <c r="AN469" i="14"/>
  <c r="AN471" i="14"/>
  <c r="AO496" i="14" l="1"/>
  <c r="AN498" i="14"/>
  <c r="AN497" i="14"/>
  <c r="AN503" i="14"/>
  <c r="AN496" i="14"/>
  <c r="AN504" i="14"/>
  <c r="AN501" i="14"/>
  <c r="AN500" i="14"/>
  <c r="AN502" i="14"/>
  <c r="AN499" i="14"/>
  <c r="AO471" i="14"/>
  <c r="AO467" i="14"/>
  <c r="AO469" i="14"/>
  <c r="AO466" i="14"/>
  <c r="AO470" i="14"/>
  <c r="AO472" i="14"/>
  <c r="AO468" i="14"/>
  <c r="AO499" i="14" l="1"/>
  <c r="AO497" i="14"/>
  <c r="AO500" i="14"/>
  <c r="AO503" i="14"/>
  <c r="AO498" i="14"/>
  <c r="AO501" i="14"/>
  <c r="AO504" i="14"/>
  <c r="AO502" i="14"/>
  <c r="AP472" i="14"/>
  <c r="AP469" i="14"/>
  <c r="AP468" i="14"/>
  <c r="AP466" i="14"/>
  <c r="AP471" i="14"/>
  <c r="AP467" i="14"/>
  <c r="AP470" i="14"/>
  <c r="AP503" i="14" l="1"/>
  <c r="AP504" i="14"/>
  <c r="AP500" i="14"/>
  <c r="AP497" i="14"/>
  <c r="AP498" i="14"/>
  <c r="AP499" i="14"/>
  <c r="AP501" i="14"/>
  <c r="AP496" i="14"/>
  <c r="AP502" i="14"/>
  <c r="AQ467" i="14"/>
  <c r="AQ471" i="14"/>
  <c r="AQ470" i="14"/>
  <c r="AQ469" i="14"/>
  <c r="AQ468" i="14"/>
  <c r="AQ472" i="14"/>
  <c r="AQ466" i="14"/>
  <c r="AQ499" i="14" l="1"/>
  <c r="AQ503" i="14"/>
  <c r="AQ501" i="14"/>
  <c r="AQ497" i="14"/>
  <c r="AQ496" i="14"/>
  <c r="AQ504" i="14"/>
  <c r="AQ502" i="14"/>
  <c r="AQ500" i="14"/>
  <c r="AQ498" i="14"/>
  <c r="AR469" i="14"/>
  <c r="AR467" i="14"/>
  <c r="AR471" i="14"/>
  <c r="AR470" i="14"/>
  <c r="AR466" i="14"/>
  <c r="AR468" i="14"/>
  <c r="AR472" i="14"/>
  <c r="AS503" i="14" l="1"/>
  <c r="AR504" i="14"/>
  <c r="AR499" i="14"/>
  <c r="AR502" i="14"/>
  <c r="AR500" i="14"/>
  <c r="AR497" i="14"/>
  <c r="AR501" i="14"/>
  <c r="AR503" i="14"/>
  <c r="AR496" i="14"/>
  <c r="AR498" i="14"/>
  <c r="AS467" i="14"/>
  <c r="AS468" i="14"/>
  <c r="AS470" i="14"/>
  <c r="AS469" i="14"/>
  <c r="AS471" i="14"/>
  <c r="AS466" i="14"/>
  <c r="AS472" i="14"/>
  <c r="AS496" i="14" l="1"/>
  <c r="AS504" i="14"/>
  <c r="AS499" i="14"/>
  <c r="AS500" i="14"/>
  <c r="AS501" i="14"/>
  <c r="AS497" i="14"/>
  <c r="AS498" i="14"/>
  <c r="AS502" i="14"/>
  <c r="AT466" i="14"/>
  <c r="AT469" i="14"/>
  <c r="AT471" i="14"/>
  <c r="AT468" i="14"/>
  <c r="AT470" i="14"/>
  <c r="AT472" i="14"/>
  <c r="AT467" i="14"/>
  <c r="AT502" i="14" l="1"/>
  <c r="AT499" i="14"/>
  <c r="AT501" i="14"/>
  <c r="AT498" i="14"/>
  <c r="AT496" i="14"/>
  <c r="AT504" i="14"/>
  <c r="AT503" i="14"/>
  <c r="AT497" i="14"/>
  <c r="AT500" i="14"/>
  <c r="AU471" i="14"/>
  <c r="AU466" i="14"/>
  <c r="AU469" i="14"/>
  <c r="AU467" i="14"/>
  <c r="AU470" i="14"/>
  <c r="AU472" i="14"/>
  <c r="AU468" i="14"/>
  <c r="AV504" i="14" l="1"/>
  <c r="AU497" i="14"/>
  <c r="AU504" i="14"/>
  <c r="AU500" i="14"/>
  <c r="AU499" i="14"/>
  <c r="AU496" i="14"/>
  <c r="AU502" i="14"/>
  <c r="AU503" i="14"/>
  <c r="AU498" i="14"/>
  <c r="AU501" i="14"/>
  <c r="AV469" i="14"/>
  <c r="AV472" i="14"/>
  <c r="AV470" i="14"/>
  <c r="AV468" i="14"/>
  <c r="AV467" i="14"/>
  <c r="AV471" i="14"/>
  <c r="AV466" i="14"/>
  <c r="AV498" i="14" l="1"/>
  <c r="AV501" i="14"/>
  <c r="AV497" i="14"/>
  <c r="AV500" i="14"/>
  <c r="AV499" i="14"/>
  <c r="AV496" i="14"/>
  <c r="AV502" i="14"/>
  <c r="AV503" i="14"/>
  <c r="AW468" i="14"/>
  <c r="AW466" i="14"/>
  <c r="AW470" i="14"/>
  <c r="AW469" i="14"/>
  <c r="AW472" i="14"/>
  <c r="AW467" i="14"/>
  <c r="AW471" i="14"/>
  <c r="AW499" i="14" l="1"/>
  <c r="AW497" i="14"/>
  <c r="AW500" i="14"/>
  <c r="AW502" i="14"/>
  <c r="AW503" i="14"/>
  <c r="AW504" i="14"/>
  <c r="AW501" i="14"/>
  <c r="AW498" i="14"/>
  <c r="AW496" i="14"/>
  <c r="AX466" i="14"/>
  <c r="AX469" i="14"/>
  <c r="AX470" i="14"/>
  <c r="AX468" i="14"/>
  <c r="AX472" i="14"/>
  <c r="AX467" i="14"/>
  <c r="AX471" i="14"/>
  <c r="AX504" i="14"/>
  <c r="AX503" i="14"/>
  <c r="AX501" i="14"/>
  <c r="AX500" i="14"/>
  <c r="AX502" i="14"/>
  <c r="AX496" i="14"/>
  <c r="AX498" i="14"/>
  <c r="AX497" i="14"/>
  <c r="AX499" i="14"/>
  <c r="AY466" i="14" l="1"/>
  <c r="AY471" i="14"/>
  <c r="AY467" i="14"/>
  <c r="AY472" i="14"/>
  <c r="AY468" i="14"/>
  <c r="AY470" i="14"/>
  <c r="AY469" i="14"/>
  <c r="AY500" i="14" l="1"/>
  <c r="AY503" i="14"/>
  <c r="AY496" i="14"/>
  <c r="AY504" i="14"/>
  <c r="AY499" i="14"/>
  <c r="AY501" i="14"/>
  <c r="AY502" i="14"/>
  <c r="AY498" i="14"/>
  <c r="AY497" i="14"/>
  <c r="AZ467" i="14"/>
  <c r="AZ468" i="14"/>
  <c r="AZ469" i="14"/>
  <c r="AZ472" i="14"/>
  <c r="AZ470" i="14"/>
  <c r="AZ471" i="14"/>
  <c r="AZ466" i="14"/>
  <c r="AZ496" i="14" l="1"/>
  <c r="AZ503" i="14"/>
  <c r="AZ498" i="14"/>
  <c r="AZ500" i="14"/>
  <c r="AZ499" i="14"/>
  <c r="AZ504" i="14"/>
  <c r="AZ497" i="14"/>
  <c r="AZ502" i="14"/>
  <c r="AZ501" i="14"/>
  <c r="BA467" i="14"/>
  <c r="BA468" i="14"/>
  <c r="BA472" i="14"/>
  <c r="BA466" i="14"/>
  <c r="BA470" i="14"/>
  <c r="BA469" i="14"/>
  <c r="BA471" i="14"/>
  <c r="BA504" i="14" l="1"/>
  <c r="BA499" i="14"/>
  <c r="BA500" i="14"/>
  <c r="BA503" i="14"/>
  <c r="BA498" i="14"/>
  <c r="BA502" i="14"/>
  <c r="BA496" i="14"/>
  <c r="BA497" i="14"/>
  <c r="BA501" i="14"/>
  <c r="BB470" i="14"/>
  <c r="BB471" i="14"/>
  <c r="BB468" i="14"/>
  <c r="BB467" i="14"/>
  <c r="BB472" i="14"/>
  <c r="BB466" i="14"/>
  <c r="BB469" i="14"/>
  <c r="BC504" i="14" l="1"/>
  <c r="BB497" i="14"/>
  <c r="BB496" i="14"/>
  <c r="BB503" i="14"/>
  <c r="BB504" i="14"/>
  <c r="BB501" i="14"/>
  <c r="BB498" i="14"/>
  <c r="BB499" i="14"/>
  <c r="BB502" i="14"/>
  <c r="BB500" i="14"/>
  <c r="BC471" i="14"/>
  <c r="BC466" i="14"/>
  <c r="BC469" i="14"/>
  <c r="BC470" i="14"/>
  <c r="BC468" i="14"/>
  <c r="BC472" i="14"/>
  <c r="BC467" i="14"/>
  <c r="BC501" i="14" l="1"/>
  <c r="BC497" i="14"/>
  <c r="BC500" i="14"/>
  <c r="BC499" i="14"/>
  <c r="BC496" i="14"/>
  <c r="BC502" i="14"/>
  <c r="BC498" i="14"/>
  <c r="BC503" i="14"/>
  <c r="BD471" i="14"/>
  <c r="BD468" i="14"/>
  <c r="BD470" i="14"/>
  <c r="BD466" i="14"/>
  <c r="BD467" i="14"/>
  <c r="BD469" i="14"/>
  <c r="BD472" i="14"/>
  <c r="BE503" i="14" l="1"/>
  <c r="BD501" i="14"/>
  <c r="BD500" i="14"/>
  <c r="BD502" i="14"/>
  <c r="BD498" i="14"/>
  <c r="BD504" i="14"/>
  <c r="BD497" i="14"/>
  <c r="BD503" i="14"/>
  <c r="BD496" i="14"/>
  <c r="BD499" i="14"/>
  <c r="BE471" i="14"/>
  <c r="BE466" i="14"/>
  <c r="BE469" i="14"/>
  <c r="BE467" i="14"/>
  <c r="BE470" i="14"/>
  <c r="BE468" i="14"/>
  <c r="BE472" i="14"/>
  <c r="BE504" i="14" l="1"/>
  <c r="BE496" i="14"/>
  <c r="O509" i="14" s="1"/>
  <c r="BE502" i="14"/>
  <c r="O515" i="14" s="1"/>
  <c r="BE501" i="14"/>
  <c r="X514" i="14" s="1"/>
  <c r="BE498" i="14"/>
  <c r="BU511" i="14" s="1"/>
  <c r="BE497" i="14"/>
  <c r="BN510" i="14" s="1"/>
  <c r="BE499" i="14"/>
  <c r="AM512" i="14" s="1"/>
  <c r="BE500" i="14"/>
  <c r="AB513" i="14" s="1"/>
  <c r="AY517" i="14"/>
  <c r="AU517" i="14"/>
  <c r="AC517" i="14"/>
  <c r="V517" i="14"/>
  <c r="U517" i="14"/>
  <c r="BE517" i="14"/>
  <c r="AE517" i="14"/>
  <c r="BN517" i="14"/>
  <c r="BH517" i="14"/>
  <c r="O517" i="14"/>
  <c r="X517" i="14"/>
  <c r="AB517" i="14"/>
  <c r="T517" i="14"/>
  <c r="BY517" i="14"/>
  <c r="AA517" i="14"/>
  <c r="BW517" i="14"/>
  <c r="AG517" i="14"/>
  <c r="AO517" i="14"/>
  <c r="BS517" i="14"/>
  <c r="BR517" i="14"/>
  <c r="N517" i="14"/>
  <c r="S517" i="14"/>
  <c r="AW517" i="14"/>
  <c r="AZ517" i="14"/>
  <c r="AT517" i="14"/>
  <c r="AF517" i="14"/>
  <c r="BP517" i="14"/>
  <c r="Y517" i="14"/>
  <c r="AR517" i="14"/>
  <c r="K517" i="14"/>
  <c r="BL517" i="14"/>
  <c r="BK517" i="14"/>
  <c r="BC517" i="14"/>
  <c r="BA517" i="14"/>
  <c r="BI517" i="14"/>
  <c r="AK517" i="14"/>
  <c r="BX517" i="14"/>
  <c r="J517" i="14"/>
  <c r="I517" i="14"/>
  <c r="R517" i="14"/>
  <c r="AD517" i="14"/>
  <c r="BD517" i="14"/>
  <c r="BG517" i="14"/>
  <c r="AJ517" i="14"/>
  <c r="AM517" i="14"/>
  <c r="AL517" i="14"/>
  <c r="W517" i="14"/>
  <c r="AQ517" i="14"/>
  <c r="AS517" i="14"/>
  <c r="AI517" i="14"/>
  <c r="BU517" i="14"/>
  <c r="BV517" i="14"/>
  <c r="BQ517" i="14"/>
  <c r="Z517" i="14"/>
  <c r="BT517" i="14"/>
  <c r="Q517" i="14"/>
  <c r="AX517" i="14"/>
  <c r="H517" i="14"/>
  <c r="BF517" i="14"/>
  <c r="P517" i="14"/>
  <c r="BB517" i="14"/>
  <c r="BM517" i="14"/>
  <c r="BJ517" i="14"/>
  <c r="AP517" i="14"/>
  <c r="AN517" i="14"/>
  <c r="M517" i="14"/>
  <c r="BO517" i="14"/>
  <c r="L517" i="14"/>
  <c r="AV517" i="14"/>
  <c r="AH517" i="14"/>
  <c r="BF496" i="14"/>
  <c r="BF504" i="14"/>
  <c r="BF500" i="14"/>
  <c r="BF497" i="14"/>
  <c r="BF499" i="14"/>
  <c r="BF502" i="14"/>
  <c r="BF503" i="14"/>
  <c r="BF498" i="14"/>
  <c r="BF501" i="14"/>
  <c r="BV484" i="14"/>
  <c r="BI484" i="14"/>
  <c r="Q484" i="14"/>
  <c r="BF484" i="14"/>
  <c r="AF484" i="14"/>
  <c r="BO484" i="14"/>
  <c r="AS484" i="14"/>
  <c r="AH484" i="14"/>
  <c r="BH484" i="14"/>
  <c r="BX484" i="14"/>
  <c r="AK484" i="14"/>
  <c r="N484" i="14"/>
  <c r="BW484" i="14"/>
  <c r="BP484" i="14"/>
  <c r="BY484" i="14"/>
  <c r="AL484" i="14"/>
  <c r="BD484" i="14"/>
  <c r="BT484" i="14"/>
  <c r="X484" i="14"/>
  <c r="K484" i="14"/>
  <c r="AI484" i="14"/>
  <c r="W484" i="14"/>
  <c r="BS484" i="14"/>
  <c r="AO484" i="14"/>
  <c r="M484" i="14"/>
  <c r="BM484" i="14"/>
  <c r="AQ484" i="14"/>
  <c r="AX484" i="14"/>
  <c r="AM484" i="14"/>
  <c r="AR484" i="14"/>
  <c r="BE484" i="14"/>
  <c r="AC484" i="14"/>
  <c r="AJ484" i="14"/>
  <c r="AU484" i="14"/>
  <c r="AN484" i="14"/>
  <c r="R484" i="14"/>
  <c r="Z484" i="14"/>
  <c r="AV484" i="14"/>
  <c r="AE484" i="14"/>
  <c r="O484" i="14"/>
  <c r="I484" i="14"/>
  <c r="AB484" i="14"/>
  <c r="AZ484" i="14"/>
  <c r="BR484" i="14"/>
  <c r="BQ484" i="14"/>
  <c r="AP484" i="14"/>
  <c r="U484" i="14"/>
  <c r="J484" i="14"/>
  <c r="BG484" i="14"/>
  <c r="AG484" i="14"/>
  <c r="T484" i="14"/>
  <c r="S484" i="14"/>
  <c r="BU484" i="14"/>
  <c r="BN484" i="14"/>
  <c r="AW484" i="14"/>
  <c r="P484" i="14"/>
  <c r="AD484" i="14"/>
  <c r="V484" i="14"/>
  <c r="H484" i="14"/>
  <c r="AA484" i="14"/>
  <c r="AT484" i="14"/>
  <c r="BJ484" i="14"/>
  <c r="AY484" i="14"/>
  <c r="BK484" i="14"/>
  <c r="BL484" i="14"/>
  <c r="L484" i="14"/>
  <c r="Y484" i="14"/>
  <c r="BB484" i="14"/>
  <c r="BC484" i="14"/>
  <c r="BA484" i="14"/>
  <c r="AN511" i="14"/>
  <c r="J511" i="14"/>
  <c r="AB511" i="14"/>
  <c r="AA479" i="14"/>
  <c r="I479" i="14"/>
  <c r="AL479" i="14"/>
  <c r="AV479" i="14"/>
  <c r="AM479" i="14"/>
  <c r="AP479" i="14"/>
  <c r="AJ479" i="14"/>
  <c r="BU479" i="14"/>
  <c r="AR479" i="14"/>
  <c r="AQ479" i="14"/>
  <c r="U479" i="14"/>
  <c r="AN479" i="14"/>
  <c r="BT479" i="14"/>
  <c r="Z479" i="14"/>
  <c r="AS479" i="14"/>
  <c r="BA479" i="14"/>
  <c r="BO479" i="14"/>
  <c r="W479" i="14"/>
  <c r="BY479" i="14"/>
  <c r="AB479" i="14"/>
  <c r="BL479" i="14"/>
  <c r="H479" i="14"/>
  <c r="R479" i="14"/>
  <c r="AH479" i="14"/>
  <c r="P479" i="14"/>
  <c r="AX479" i="14"/>
  <c r="M479" i="14"/>
  <c r="X479" i="14"/>
  <c r="BG479" i="14"/>
  <c r="BX479" i="14"/>
  <c r="AO479" i="14"/>
  <c r="BS479" i="14"/>
  <c r="BN479" i="14"/>
  <c r="O479" i="14"/>
  <c r="AW479" i="14"/>
  <c r="BF479" i="14"/>
  <c r="L479" i="14"/>
  <c r="S479" i="14"/>
  <c r="BD479" i="14"/>
  <c r="AT479" i="14"/>
  <c r="BW479" i="14"/>
  <c r="BK479" i="14"/>
  <c r="BE479" i="14"/>
  <c r="AF479" i="14"/>
  <c r="K479" i="14"/>
  <c r="AK479" i="14"/>
  <c r="Q479" i="14"/>
  <c r="Y479" i="14"/>
  <c r="V479" i="14"/>
  <c r="BB479" i="14"/>
  <c r="N479" i="14"/>
  <c r="BJ479" i="14"/>
  <c r="BM479" i="14"/>
  <c r="AG479" i="14"/>
  <c r="AZ479" i="14"/>
  <c r="AY479" i="14"/>
  <c r="AD479" i="14"/>
  <c r="AU479" i="14"/>
  <c r="BV479" i="14"/>
  <c r="BH479" i="14"/>
  <c r="BI479" i="14"/>
  <c r="J479" i="14"/>
  <c r="BQ479" i="14"/>
  <c r="AI479" i="14"/>
  <c r="AC479" i="14"/>
  <c r="BR479" i="14"/>
  <c r="AE479" i="14"/>
  <c r="BC479" i="14"/>
  <c r="T479" i="14"/>
  <c r="BP479" i="14"/>
  <c r="BF470" i="14"/>
  <c r="BF466" i="14"/>
  <c r="BF471" i="14"/>
  <c r="BF469" i="14"/>
  <c r="BF468" i="14"/>
  <c r="BF472" i="14"/>
  <c r="BF467" i="14"/>
  <c r="BW509" i="14"/>
  <c r="AQ509" i="14"/>
  <c r="X509" i="14"/>
  <c r="L509" i="14"/>
  <c r="V509" i="14"/>
  <c r="AU509" i="14"/>
  <c r="AR509" i="14"/>
  <c r="BV509" i="14"/>
  <c r="AV509" i="14"/>
  <c r="AS509" i="14"/>
  <c r="AM509" i="14"/>
  <c r="BM509" i="14"/>
  <c r="K509" i="14"/>
  <c r="AO509" i="14"/>
  <c r="BN509" i="14"/>
  <c r="AN509" i="14"/>
  <c r="AI509" i="14"/>
  <c r="BS509" i="14"/>
  <c r="AX509" i="14"/>
  <c r="BB509" i="14"/>
  <c r="AE509" i="14"/>
  <c r="BA509" i="14"/>
  <c r="AL509" i="14"/>
  <c r="T509" i="14"/>
  <c r="AJ509" i="14"/>
  <c r="BK509" i="14"/>
  <c r="BX509" i="14"/>
  <c r="AW509" i="14"/>
  <c r="AZ509" i="14"/>
  <c r="Y509" i="14"/>
  <c r="AG509" i="14"/>
  <c r="W509" i="14"/>
  <c r="AY509" i="14"/>
  <c r="BU509" i="14"/>
  <c r="BG509" i="14"/>
  <c r="BP509" i="14"/>
  <c r="BU515" i="14"/>
  <c r="BJ515" i="14"/>
  <c r="AD515" i="14"/>
  <c r="BH515" i="14"/>
  <c r="AT515" i="14"/>
  <c r="BE515" i="14"/>
  <c r="AC515" i="14"/>
  <c r="AU515" i="14"/>
  <c r="AF515" i="14"/>
  <c r="BR515" i="14"/>
  <c r="BM515" i="14"/>
  <c r="AE515" i="14"/>
  <c r="AL515" i="14"/>
  <c r="AP515" i="14"/>
  <c r="AV485" i="14"/>
  <c r="AK485" i="14"/>
  <c r="BL485" i="14"/>
  <c r="BB485" i="14"/>
  <c r="Y485" i="14"/>
  <c r="AA485" i="14"/>
  <c r="AR485" i="14"/>
  <c r="J485" i="14"/>
  <c r="W485" i="14"/>
  <c r="R485" i="14"/>
  <c r="AD485" i="14"/>
  <c r="BM485" i="14"/>
  <c r="I485" i="14"/>
  <c r="AB485" i="14"/>
  <c r="AT485" i="14"/>
  <c r="BV485" i="14"/>
  <c r="BD485" i="14"/>
  <c r="AX485" i="14"/>
  <c r="AI485" i="14"/>
  <c r="BO485" i="14"/>
  <c r="AG485" i="14"/>
  <c r="N485" i="14"/>
  <c r="AN485" i="14"/>
  <c r="BP485" i="14"/>
  <c r="AM485" i="14"/>
  <c r="AL485" i="14"/>
  <c r="BN485" i="14"/>
  <c r="BT485" i="14"/>
  <c r="BG485" i="14"/>
  <c r="AE485" i="14"/>
  <c r="T485" i="14"/>
  <c r="O485" i="14"/>
  <c r="BX485" i="14"/>
  <c r="BR485" i="14"/>
  <c r="BK485" i="14"/>
  <c r="AH485" i="14"/>
  <c r="BY485" i="14"/>
  <c r="AZ485" i="14"/>
  <c r="AU485" i="14"/>
  <c r="S485" i="14"/>
  <c r="BU485" i="14"/>
  <c r="AY485" i="14"/>
  <c r="AP485" i="14"/>
  <c r="BE485" i="14"/>
  <c r="AF485" i="14"/>
  <c r="AJ485" i="14"/>
  <c r="BW485" i="14"/>
  <c r="P485" i="14"/>
  <c r="AW485" i="14"/>
  <c r="V485" i="14"/>
  <c r="AC485" i="14"/>
  <c r="X485" i="14"/>
  <c r="K485" i="14"/>
  <c r="AQ485" i="14"/>
  <c r="M485" i="14"/>
  <c r="L485" i="14"/>
  <c r="BF485" i="14"/>
  <c r="BA485" i="14"/>
  <c r="H485" i="14"/>
  <c r="Z485" i="14"/>
  <c r="AS485" i="14"/>
  <c r="BI485" i="14"/>
  <c r="BJ485" i="14"/>
  <c r="BH485" i="14"/>
  <c r="BQ485" i="14"/>
  <c r="Q485" i="14"/>
  <c r="BS485" i="14"/>
  <c r="U485" i="14"/>
  <c r="AO485" i="14"/>
  <c r="BC485" i="14"/>
  <c r="BI481" i="14"/>
  <c r="BE481" i="14"/>
  <c r="BD481" i="14"/>
  <c r="BJ481" i="14"/>
  <c r="AY481" i="14"/>
  <c r="AI481" i="14"/>
  <c r="BG481" i="14"/>
  <c r="AL481" i="14"/>
  <c r="BX481" i="14"/>
  <c r="V481" i="14"/>
  <c r="AJ481" i="14"/>
  <c r="X481" i="14"/>
  <c r="H481" i="14"/>
  <c r="AO481" i="14"/>
  <c r="BV481" i="14"/>
  <c r="AK481" i="14"/>
  <c r="S481" i="14"/>
  <c r="R481" i="14"/>
  <c r="AX481" i="14"/>
  <c r="BY481" i="14"/>
  <c r="U481" i="14"/>
  <c r="BK481" i="14"/>
  <c r="J481" i="14"/>
  <c r="N481" i="14"/>
  <c r="BT481" i="14"/>
  <c r="AN481" i="14"/>
  <c r="BF481" i="14"/>
  <c r="BM481" i="14"/>
  <c r="O481" i="14"/>
  <c r="P481" i="14"/>
  <c r="BH481" i="14"/>
  <c r="BB481" i="14"/>
  <c r="AH481" i="14"/>
  <c r="BO481" i="14"/>
  <c r="AA481" i="14"/>
  <c r="AE481" i="14"/>
  <c r="AR481" i="14"/>
  <c r="AB481" i="14"/>
  <c r="AD481" i="14"/>
  <c r="AP481" i="14"/>
  <c r="AS481" i="14"/>
  <c r="AG481" i="14"/>
  <c r="T481" i="14"/>
  <c r="M481" i="14"/>
  <c r="Z481" i="14"/>
  <c r="I481" i="14"/>
  <c r="BW481" i="14"/>
  <c r="AF481" i="14"/>
  <c r="K481" i="14"/>
  <c r="BU481" i="14"/>
  <c r="BR481" i="14"/>
  <c r="Y481" i="14"/>
  <c r="BS481" i="14"/>
  <c r="AV481" i="14"/>
  <c r="AC481" i="14"/>
  <c r="Q481" i="14"/>
  <c r="BL481" i="14"/>
  <c r="AZ481" i="14"/>
  <c r="BC481" i="14"/>
  <c r="AU481" i="14"/>
  <c r="AW481" i="14"/>
  <c r="AM481" i="14"/>
  <c r="BN481" i="14"/>
  <c r="BP481" i="14"/>
  <c r="AQ481" i="14"/>
  <c r="BQ481" i="14"/>
  <c r="AT481" i="14"/>
  <c r="L481" i="14"/>
  <c r="BA481" i="14"/>
  <c r="W481" i="14"/>
  <c r="BN483" i="14"/>
  <c r="AB483" i="14"/>
  <c r="BP483" i="14"/>
  <c r="K483" i="14"/>
  <c r="BR483" i="14"/>
  <c r="H483" i="14"/>
  <c r="AY483" i="14"/>
  <c r="BG483" i="14"/>
  <c r="AK483" i="14"/>
  <c r="AX483" i="14"/>
  <c r="BV483" i="14"/>
  <c r="AG483" i="14"/>
  <c r="Q483" i="14"/>
  <c r="BL483" i="14"/>
  <c r="AV483" i="14"/>
  <c r="BQ483" i="14"/>
  <c r="Y483" i="14"/>
  <c r="N483" i="14"/>
  <c r="AO483" i="14"/>
  <c r="L483" i="14"/>
  <c r="AR483" i="14"/>
  <c r="Z483" i="14"/>
  <c r="BO483" i="14"/>
  <c r="BI483" i="14"/>
  <c r="AI483" i="14"/>
  <c r="AC483" i="14"/>
  <c r="AZ483" i="14"/>
  <c r="M483" i="14"/>
  <c r="BS483" i="14"/>
  <c r="BM483" i="14"/>
  <c r="AE483" i="14"/>
  <c r="BH483" i="14"/>
  <c r="AQ483" i="14"/>
  <c r="AS483" i="14"/>
  <c r="BW483" i="14"/>
  <c r="V483" i="14"/>
  <c r="BB483" i="14"/>
  <c r="BJ483" i="14"/>
  <c r="S483" i="14"/>
  <c r="W483" i="14"/>
  <c r="BU483" i="14"/>
  <c r="BX483" i="14"/>
  <c r="AP483" i="14"/>
  <c r="BE483" i="14"/>
  <c r="BD483" i="14"/>
  <c r="J483" i="14"/>
  <c r="AH483" i="14"/>
  <c r="AN483" i="14"/>
  <c r="BF483" i="14"/>
  <c r="AJ483" i="14"/>
  <c r="AF483" i="14"/>
  <c r="AA483" i="14"/>
  <c r="AM483" i="14"/>
  <c r="BY483" i="14"/>
  <c r="I483" i="14"/>
  <c r="BA483" i="14"/>
  <c r="AL483" i="14"/>
  <c r="R483" i="14"/>
  <c r="P483" i="14"/>
  <c r="BK483" i="14"/>
  <c r="AW483" i="14"/>
  <c r="AT483" i="14"/>
  <c r="AU483" i="14"/>
  <c r="O483" i="14"/>
  <c r="T483" i="14"/>
  <c r="BT483" i="14"/>
  <c r="X483" i="14"/>
  <c r="AD483" i="14"/>
  <c r="BC483" i="14"/>
  <c r="U483" i="14"/>
  <c r="R480" i="14"/>
  <c r="BP480" i="14"/>
  <c r="AT480" i="14"/>
  <c r="BA480" i="14"/>
  <c r="W480" i="14"/>
  <c r="AS480" i="14"/>
  <c r="H480" i="14"/>
  <c r="BE480" i="14"/>
  <c r="BI480" i="14"/>
  <c r="BU480" i="14"/>
  <c r="BX480" i="14"/>
  <c r="T480" i="14"/>
  <c r="Y480" i="14"/>
  <c r="BD480" i="14"/>
  <c r="AP480" i="14"/>
  <c r="N480" i="14"/>
  <c r="AU480" i="14"/>
  <c r="P480" i="14"/>
  <c r="BQ480" i="14"/>
  <c r="BS480" i="14"/>
  <c r="Q480" i="14"/>
  <c r="J480" i="14"/>
  <c r="AO480" i="14"/>
  <c r="AF480" i="14"/>
  <c r="K480" i="14"/>
  <c r="BY480" i="14"/>
  <c r="BJ480" i="14"/>
  <c r="AQ480" i="14"/>
  <c r="BM480" i="14"/>
  <c r="M480" i="14"/>
  <c r="BL480" i="14"/>
  <c r="BR480" i="14"/>
  <c r="BB480" i="14"/>
  <c r="L480" i="14"/>
  <c r="I480" i="14"/>
  <c r="O480" i="14"/>
  <c r="AL480" i="14"/>
  <c r="AG480" i="14"/>
  <c r="AC480" i="14"/>
  <c r="V480" i="14"/>
  <c r="BT480" i="14"/>
  <c r="AY480" i="14"/>
  <c r="BO480" i="14"/>
  <c r="BN480" i="14"/>
  <c r="X480" i="14"/>
  <c r="BC480" i="14"/>
  <c r="AI480" i="14"/>
  <c r="AE480" i="14"/>
  <c r="AV480" i="14"/>
  <c r="BG480" i="14"/>
  <c r="AW480" i="14"/>
  <c r="AB480" i="14"/>
  <c r="AR480" i="14"/>
  <c r="BH480" i="14"/>
  <c r="AJ480" i="14"/>
  <c r="AX480" i="14"/>
  <c r="AD480" i="14"/>
  <c r="AM480" i="14"/>
  <c r="BV480" i="14"/>
  <c r="S480" i="14"/>
  <c r="BF480" i="14"/>
  <c r="U480" i="14"/>
  <c r="AA480" i="14"/>
  <c r="AK480" i="14"/>
  <c r="AH480" i="14"/>
  <c r="BW480" i="14"/>
  <c r="BK480" i="14"/>
  <c r="Z480" i="14"/>
  <c r="AZ480" i="14"/>
  <c r="AN480" i="14"/>
  <c r="BP516" i="14"/>
  <c r="BV516" i="14"/>
  <c r="BE516" i="14"/>
  <c r="AF516" i="14"/>
  <c r="BF516" i="14"/>
  <c r="AT516" i="14"/>
  <c r="BS516" i="14"/>
  <c r="AN516" i="14"/>
  <c r="BG516" i="14"/>
  <c r="BD516" i="14"/>
  <c r="AD516" i="14"/>
  <c r="U516" i="14"/>
  <c r="AA516" i="14"/>
  <c r="BM516" i="14"/>
  <c r="AU516" i="14"/>
  <c r="AM516" i="14"/>
  <c r="AO516" i="14"/>
  <c r="P516" i="14"/>
  <c r="L516" i="14"/>
  <c r="AE516" i="14"/>
  <c r="BH516" i="14"/>
  <c r="O516" i="14"/>
  <c r="BX516" i="14"/>
  <c r="AK516" i="14"/>
  <c r="BR516" i="14"/>
  <c r="BN516" i="14"/>
  <c r="AJ516" i="14"/>
  <c r="AR516" i="14"/>
  <c r="AG516" i="14"/>
  <c r="Q516" i="14"/>
  <c r="R516" i="14"/>
  <c r="BA516" i="14"/>
  <c r="BU516" i="14"/>
  <c r="BJ516" i="14"/>
  <c r="AV516" i="14"/>
  <c r="AQ516" i="14"/>
  <c r="I516" i="14"/>
  <c r="AZ516" i="14"/>
  <c r="AY516" i="14"/>
  <c r="AL516" i="14"/>
  <c r="BY516" i="14"/>
  <c r="X516" i="14"/>
  <c r="AX516" i="14"/>
  <c r="K516" i="14"/>
  <c r="BO516" i="14"/>
  <c r="BK516" i="14"/>
  <c r="BL516" i="14"/>
  <c r="BW516" i="14"/>
  <c r="BT516" i="14"/>
  <c r="AB516" i="14"/>
  <c r="W516" i="14"/>
  <c r="BB516" i="14"/>
  <c r="T516" i="14"/>
  <c r="BC516" i="14"/>
  <c r="H516" i="14"/>
  <c r="AH516" i="14"/>
  <c r="J516" i="14"/>
  <c r="N516" i="14"/>
  <c r="BQ516" i="14"/>
  <c r="Z516" i="14"/>
  <c r="S516" i="14"/>
  <c r="AC516" i="14"/>
  <c r="V516" i="14"/>
  <c r="AW516" i="14"/>
  <c r="M516" i="14"/>
  <c r="AS516" i="14"/>
  <c r="AI516" i="14"/>
  <c r="AP516" i="14"/>
  <c r="BI516" i="14"/>
  <c r="Y516" i="14"/>
  <c r="AX482" i="14"/>
  <c r="BR482" i="14"/>
  <c r="S482" i="14"/>
  <c r="BY482" i="14"/>
  <c r="AL482" i="14"/>
  <c r="L482" i="14"/>
  <c r="T482" i="14"/>
  <c r="AZ482" i="14"/>
  <c r="AQ482" i="14"/>
  <c r="BO482" i="14"/>
  <c r="BH482" i="14"/>
  <c r="BC482" i="14"/>
  <c r="AW482" i="14"/>
  <c r="BM482" i="14"/>
  <c r="BT482" i="14"/>
  <c r="V482" i="14"/>
  <c r="AN482" i="14"/>
  <c r="J482" i="14"/>
  <c r="BW482" i="14"/>
  <c r="AS482" i="14"/>
  <c r="AM482" i="14"/>
  <c r="AO482" i="14"/>
  <c r="BF482" i="14"/>
  <c r="W482" i="14"/>
  <c r="Q482" i="14"/>
  <c r="BP482" i="14"/>
  <c r="BU482" i="14"/>
  <c r="BS482" i="14"/>
  <c r="AG482" i="14"/>
  <c r="P482" i="14"/>
  <c r="BV482" i="14"/>
  <c r="BE482" i="14"/>
  <c r="AE482" i="14"/>
  <c r="BA482" i="14"/>
  <c r="BQ482" i="14"/>
  <c r="BL482" i="14"/>
  <c r="BN482" i="14"/>
  <c r="R482" i="14"/>
  <c r="Y482" i="14"/>
  <c r="N482" i="14"/>
  <c r="AJ482" i="14"/>
  <c r="I482" i="14"/>
  <c r="AI482" i="14"/>
  <c r="AU482" i="14"/>
  <c r="BK482" i="14"/>
  <c r="AP482" i="14"/>
  <c r="AF482" i="14"/>
  <c r="BX482" i="14"/>
  <c r="AY482" i="14"/>
  <c r="BB482" i="14"/>
  <c r="AB482" i="14"/>
  <c r="X482" i="14"/>
  <c r="AH482" i="14"/>
  <c r="BI482" i="14"/>
  <c r="AK482" i="14"/>
  <c r="U482" i="14"/>
  <c r="AT482" i="14"/>
  <c r="AC482" i="14"/>
  <c r="AR482" i="14"/>
  <c r="BD482" i="14"/>
  <c r="AD482" i="14"/>
  <c r="O482" i="14"/>
  <c r="H482" i="14"/>
  <c r="M482" i="14"/>
  <c r="Z482" i="14"/>
  <c r="BG482" i="14"/>
  <c r="BJ482" i="14"/>
  <c r="AA482" i="14"/>
  <c r="K482" i="14"/>
  <c r="AV482" i="14"/>
  <c r="V515" i="14" l="1"/>
  <c r="Q515" i="14"/>
  <c r="BX515" i="14"/>
  <c r="M515" i="14"/>
  <c r="K515" i="14"/>
  <c r="AQ515" i="14"/>
  <c r="BB515" i="14"/>
  <c r="BN515" i="14"/>
  <c r="BF515" i="14"/>
  <c r="AS515" i="14"/>
  <c r="BP515" i="14"/>
  <c r="AI515" i="14"/>
  <c r="H515" i="14"/>
  <c r="AN515" i="14"/>
  <c r="AO515" i="14"/>
  <c r="AH515" i="14"/>
  <c r="X515" i="14"/>
  <c r="U515" i="14"/>
  <c r="BV515" i="14"/>
  <c r="AK515" i="14"/>
  <c r="BL515" i="14"/>
  <c r="P515" i="14"/>
  <c r="R515" i="14"/>
  <c r="BD515" i="14"/>
  <c r="BC515" i="14"/>
  <c r="L515" i="14"/>
  <c r="BT515" i="14"/>
  <c r="AA515" i="14"/>
  <c r="Y515" i="14"/>
  <c r="AG515" i="14"/>
  <c r="BY515" i="14"/>
  <c r="AR515" i="14"/>
  <c r="J515" i="14"/>
  <c r="AM515" i="14"/>
  <c r="BI509" i="14"/>
  <c r="AK509" i="14"/>
  <c r="AA509" i="14"/>
  <c r="Q509" i="14"/>
  <c r="BR509" i="14"/>
  <c r="R514" i="14"/>
  <c r="BQ514" i="14"/>
  <c r="T515" i="14"/>
  <c r="BS515" i="14"/>
  <c r="AV515" i="14"/>
  <c r="BI515" i="14"/>
  <c r="W515" i="14"/>
  <c r="Z515" i="14"/>
  <c r="BA515" i="14"/>
  <c r="I515" i="14"/>
  <c r="BO515" i="14"/>
  <c r="BQ515" i="14"/>
  <c r="AW515" i="14"/>
  <c r="AX515" i="14"/>
  <c r="BW515" i="14"/>
  <c r="N515" i="14"/>
  <c r="BG515" i="14"/>
  <c r="AZ515" i="14"/>
  <c r="AB515" i="14"/>
  <c r="S515" i="14"/>
  <c r="BK515" i="14"/>
  <c r="AY515" i="14"/>
  <c r="AJ515" i="14"/>
  <c r="AD511" i="14"/>
  <c r="Y511" i="14"/>
  <c r="AE511" i="14"/>
  <c r="BT514" i="14"/>
  <c r="AV514" i="14"/>
  <c r="AW514" i="14"/>
  <c r="AD514" i="14"/>
  <c r="BG514" i="14"/>
  <c r="BL514" i="14"/>
  <c r="L514" i="14"/>
  <c r="AC514" i="14"/>
  <c r="AL514" i="14"/>
  <c r="BV514" i="14"/>
  <c r="BE514" i="14"/>
  <c r="BM514" i="14"/>
  <c r="AJ514" i="14"/>
  <c r="AK514" i="14"/>
  <c r="AG514" i="14"/>
  <c r="U514" i="14"/>
  <c r="AP514" i="14"/>
  <c r="AH509" i="14"/>
  <c r="AC509" i="14"/>
  <c r="BO509" i="14"/>
  <c r="H509" i="14"/>
  <c r="BT509" i="14"/>
  <c r="J509" i="14"/>
  <c r="BE509" i="14"/>
  <c r="R509" i="14"/>
  <c r="S509" i="14"/>
  <c r="BY509" i="14"/>
  <c r="Z509" i="14"/>
  <c r="BH509" i="14"/>
  <c r="BD509" i="14"/>
  <c r="BC509" i="14"/>
  <c r="AB509" i="14"/>
  <c r="N509" i="14"/>
  <c r="M509" i="14"/>
  <c r="U509" i="14"/>
  <c r="I509" i="14"/>
  <c r="BQ509" i="14"/>
  <c r="BF509" i="14"/>
  <c r="AP509" i="14"/>
  <c r="AD509" i="14"/>
  <c r="AT509" i="14"/>
  <c r="BJ509" i="14"/>
  <c r="AF509" i="14"/>
  <c r="P509" i="14"/>
  <c r="BL509" i="14"/>
  <c r="T511" i="14"/>
  <c r="BO511" i="14"/>
  <c r="AJ511" i="14"/>
  <c r="BV511" i="14"/>
  <c r="AI511" i="14"/>
  <c r="BC511" i="14"/>
  <c r="BB514" i="14"/>
  <c r="BS514" i="14"/>
  <c r="BK514" i="14"/>
  <c r="AA514" i="14"/>
  <c r="AN514" i="14"/>
  <c r="AO514" i="14"/>
  <c r="BO514" i="14"/>
  <c r="AR514" i="14"/>
  <c r="BU514" i="14"/>
  <c r="BI514" i="14"/>
  <c r="V514" i="14"/>
  <c r="BA514" i="14"/>
  <c r="S514" i="14"/>
  <c r="AM514" i="14"/>
  <c r="W514" i="14"/>
  <c r="R511" i="14"/>
  <c r="BP511" i="14"/>
  <c r="AV511" i="14"/>
  <c r="S511" i="14"/>
  <c r="BM511" i="14"/>
  <c r="X511" i="14"/>
  <c r="AK511" i="14"/>
  <c r="AS511" i="14"/>
  <c r="N511" i="14"/>
  <c r="BA511" i="14"/>
  <c r="W511" i="14"/>
  <c r="BE511" i="14"/>
  <c r="U511" i="14"/>
  <c r="AZ511" i="14"/>
  <c r="BH511" i="14"/>
  <c r="BD511" i="14"/>
  <c r="AX511" i="14"/>
  <c r="AH511" i="14"/>
  <c r="AO511" i="14"/>
  <c r="I511" i="14"/>
  <c r="BR511" i="14"/>
  <c r="AL511" i="14"/>
  <c r="H511" i="14"/>
  <c r="BG511" i="14"/>
  <c r="BK511" i="14"/>
  <c r="BB511" i="14"/>
  <c r="AM511" i="14"/>
  <c r="BT511" i="14"/>
  <c r="AA511" i="14"/>
  <c r="AT511" i="14"/>
  <c r="BY511" i="14"/>
  <c r="BJ511" i="14"/>
  <c r="AU511" i="14"/>
  <c r="AW511" i="14"/>
  <c r="V511" i="14"/>
  <c r="O512" i="14"/>
  <c r="W513" i="14"/>
  <c r="BI511" i="14"/>
  <c r="BW511" i="14"/>
  <c r="BS511" i="14"/>
  <c r="O511" i="14"/>
  <c r="P511" i="14"/>
  <c r="AP511" i="14"/>
  <c r="BF511" i="14"/>
  <c r="AY511" i="14"/>
  <c r="BL511" i="14"/>
  <c r="K511" i="14"/>
  <c r="BQ511" i="14"/>
  <c r="BX511" i="14"/>
  <c r="L511" i="14"/>
  <c r="M511" i="14"/>
  <c r="BN511" i="14"/>
  <c r="AG511" i="14"/>
  <c r="AQ511" i="14"/>
  <c r="AC511" i="14"/>
  <c r="Z511" i="14"/>
  <c r="Q511" i="14"/>
  <c r="AR511" i="14"/>
  <c r="AF511" i="14"/>
  <c r="T512" i="14"/>
  <c r="U510" i="14"/>
  <c r="AJ510" i="14"/>
  <c r="Z510" i="14"/>
  <c r="AZ510" i="14"/>
  <c r="AU510" i="14"/>
  <c r="AU513" i="14"/>
  <c r="BW510" i="14"/>
  <c r="BQ510" i="14"/>
  <c r="BU510" i="14"/>
  <c r="BI510" i="14"/>
  <c r="BT510" i="14"/>
  <c r="AP510" i="14"/>
  <c r="AO510" i="14"/>
  <c r="BK510" i="14"/>
  <c r="AW510" i="14"/>
  <c r="AA510" i="14"/>
  <c r="AO512" i="14"/>
  <c r="AQ510" i="14"/>
  <c r="S510" i="14"/>
  <c r="BB510" i="14"/>
  <c r="AK510" i="14"/>
  <c r="I514" i="14"/>
  <c r="BF514" i="14"/>
  <c r="J514" i="14"/>
  <c r="AZ514" i="14"/>
  <c r="AX510" i="14"/>
  <c r="BG510" i="14"/>
  <c r="AD510" i="14"/>
  <c r="K510" i="14"/>
  <c r="BR510" i="14"/>
  <c r="AS514" i="14"/>
  <c r="AT514" i="14"/>
  <c r="AQ514" i="14"/>
  <c r="AH514" i="14"/>
  <c r="BD514" i="14"/>
  <c r="BM510" i="14"/>
  <c r="BJ510" i="14"/>
  <c r="AH510" i="14"/>
  <c r="BX510" i="14"/>
  <c r="J510" i="14"/>
  <c r="Z514" i="14"/>
  <c r="AF514" i="14"/>
  <c r="BY514" i="14"/>
  <c r="Y514" i="14"/>
  <c r="BC514" i="14"/>
  <c r="BV510" i="14"/>
  <c r="AE510" i="14"/>
  <c r="AS510" i="14"/>
  <c r="AG510" i="14"/>
  <c r="AX514" i="14"/>
  <c r="BX514" i="14"/>
  <c r="BW514" i="14"/>
  <c r="P514" i="14"/>
  <c r="O514" i="14"/>
  <c r="H510" i="14"/>
  <c r="Q510" i="14"/>
  <c r="K514" i="14"/>
  <c r="T514" i="14"/>
  <c r="BH514" i="14"/>
  <c r="N514" i="14"/>
  <c r="BN514" i="14"/>
  <c r="AF510" i="14"/>
  <c r="AU514" i="14"/>
  <c r="H514" i="14"/>
  <c r="BR514" i="14"/>
  <c r="BP514" i="14"/>
  <c r="BH510" i="14"/>
  <c r="BF510" i="14"/>
  <c r="BS510" i="14"/>
  <c r="BY510" i="14"/>
  <c r="AE514" i="14"/>
  <c r="Q514" i="14"/>
  <c r="BJ514" i="14"/>
  <c r="AB514" i="14"/>
  <c r="X510" i="14"/>
  <c r="O510" i="14"/>
  <c r="BA510" i="14"/>
  <c r="BL510" i="14"/>
  <c r="AN510" i="14"/>
  <c r="AY514" i="14"/>
  <c r="AI514" i="14"/>
  <c r="M514" i="14"/>
  <c r="BP512" i="14"/>
  <c r="AV512" i="14"/>
  <c r="BC510" i="14"/>
  <c r="P510" i="14"/>
  <c r="AL510" i="14"/>
  <c r="Y510" i="14"/>
  <c r="T510" i="14"/>
  <c r="AE512" i="14"/>
  <c r="AC510" i="14"/>
  <c r="AB510" i="14"/>
  <c r="AT510" i="14"/>
  <c r="L510" i="14"/>
  <c r="AT512" i="14"/>
  <c r="H512" i="14"/>
  <c r="W510" i="14"/>
  <c r="AM510" i="14"/>
  <c r="I510" i="14"/>
  <c r="AI510" i="14"/>
  <c r="BG512" i="14"/>
  <c r="BE510" i="14"/>
  <c r="BP510" i="14"/>
  <c r="BO510" i="14"/>
  <c r="M510" i="14"/>
  <c r="AN512" i="14"/>
  <c r="AV510" i="14"/>
  <c r="BD510" i="14"/>
  <c r="AR510" i="14"/>
  <c r="N510" i="14"/>
  <c r="R510" i="14"/>
  <c r="V510" i="14"/>
  <c r="AY510" i="14"/>
  <c r="AM513" i="14"/>
  <c r="BT512" i="14"/>
  <c r="AY513" i="14"/>
  <c r="BO512" i="14"/>
  <c r="BV512" i="14"/>
  <c r="R513" i="14"/>
  <c r="AL512" i="14"/>
  <c r="Z512" i="14"/>
  <c r="AG512" i="14"/>
  <c r="Y512" i="14"/>
  <c r="AR513" i="14"/>
  <c r="AO513" i="14"/>
  <c r="X513" i="14"/>
  <c r="BE513" i="14"/>
  <c r="BT513" i="14"/>
  <c r="AZ513" i="14"/>
  <c r="O513" i="14"/>
  <c r="AH513" i="14"/>
  <c r="BP513" i="14"/>
  <c r="T513" i="14"/>
  <c r="BX512" i="14"/>
  <c r="AU512" i="14"/>
  <c r="BW512" i="14"/>
  <c r="BM512" i="14"/>
  <c r="BK513" i="14"/>
  <c r="BQ513" i="14"/>
  <c r="AC513" i="14"/>
  <c r="Z513" i="14"/>
  <c r="K513" i="14"/>
  <c r="AJ513" i="14"/>
  <c r="AF512" i="14"/>
  <c r="Q512" i="14"/>
  <c r="AS512" i="14"/>
  <c r="BF512" i="14"/>
  <c r="P513" i="14"/>
  <c r="BS513" i="14"/>
  <c r="AD513" i="14"/>
  <c r="BC513" i="14"/>
  <c r="L513" i="14"/>
  <c r="N512" i="14"/>
  <c r="AQ512" i="14"/>
  <c r="AK512" i="14"/>
  <c r="R512" i="14"/>
  <c r="J513" i="14"/>
  <c r="BI513" i="14"/>
  <c r="BY513" i="14"/>
  <c r="AF513" i="14"/>
  <c r="BD513" i="14"/>
  <c r="BU513" i="14"/>
  <c r="AW512" i="14"/>
  <c r="BK512" i="14"/>
  <c r="W512" i="14"/>
  <c r="AD512" i="14"/>
  <c r="AN513" i="14"/>
  <c r="BM513" i="14"/>
  <c r="N513" i="14"/>
  <c r="AE513" i="14"/>
  <c r="AK513" i="14"/>
  <c r="BV513" i="14"/>
  <c r="BL512" i="14"/>
  <c r="X512" i="14"/>
  <c r="I512" i="14"/>
  <c r="AA512" i="14"/>
  <c r="BN513" i="14"/>
  <c r="BR513" i="14"/>
  <c r="BO513" i="14"/>
  <c r="BX513" i="14"/>
  <c r="AT513" i="14"/>
  <c r="BD512" i="14"/>
  <c r="BJ512" i="14"/>
  <c r="V512" i="14"/>
  <c r="BC512" i="14"/>
  <c r="AA513" i="14"/>
  <c r="BH513" i="14"/>
  <c r="M513" i="14"/>
  <c r="BW513" i="14"/>
  <c r="U512" i="14"/>
  <c r="J512" i="14"/>
  <c r="BE512" i="14"/>
  <c r="AR512" i="14"/>
  <c r="BI512" i="14"/>
  <c r="AW513" i="14"/>
  <c r="AV513" i="14"/>
  <c r="BL513" i="14"/>
  <c r="BA513" i="14"/>
  <c r="AQ513" i="14"/>
  <c r="BR512" i="14"/>
  <c r="AZ512" i="14"/>
  <c r="AX512" i="14"/>
  <c r="AH512" i="14"/>
  <c r="M512" i="14"/>
  <c r="V513" i="14"/>
  <c r="Q513" i="14"/>
  <c r="AI513" i="14"/>
  <c r="AG513" i="14"/>
  <c r="AS513" i="14"/>
  <c r="BS512" i="14"/>
  <c r="BH512" i="14"/>
  <c r="AI512" i="14"/>
  <c r="BA512" i="14"/>
  <c r="AY512" i="14"/>
  <c r="AP513" i="14"/>
  <c r="BJ513" i="14"/>
  <c r="AX513" i="14"/>
  <c r="BF513" i="14"/>
  <c r="BB513" i="14"/>
  <c r="BN512" i="14"/>
  <c r="AP512" i="14"/>
  <c r="S512" i="14"/>
  <c r="BY512" i="14"/>
  <c r="L512" i="14"/>
  <c r="U513" i="14"/>
  <c r="AL513" i="14"/>
  <c r="H513" i="14"/>
  <c r="Y513" i="14"/>
  <c r="BQ512" i="14"/>
  <c r="K512" i="14"/>
  <c r="AJ512" i="14"/>
  <c r="AC512" i="14"/>
  <c r="P512" i="14"/>
  <c r="S513" i="14"/>
  <c r="I513" i="14"/>
  <c r="BG513" i="14"/>
  <c r="AB512" i="14"/>
  <c r="BU512" i="14"/>
  <c r="BB512" i="14"/>
  <c r="BG501" i="14"/>
  <c r="BG496" i="14"/>
  <c r="BG497" i="14"/>
  <c r="BG498" i="14"/>
  <c r="BG500" i="14"/>
  <c r="BG503" i="14"/>
  <c r="BG499" i="14"/>
  <c r="BG504" i="14"/>
  <c r="BG502" i="14"/>
  <c r="BG468" i="14"/>
  <c r="BG472" i="14"/>
  <c r="BG470" i="14"/>
  <c r="BG471" i="14"/>
  <c r="BG467" i="14"/>
  <c r="BG466" i="14"/>
  <c r="BG469" i="14"/>
  <c r="BH496" i="14" l="1"/>
  <c r="BH498" i="14"/>
  <c r="BH503" i="14"/>
  <c r="BH499" i="14"/>
  <c r="BH497" i="14"/>
  <c r="BH504" i="14"/>
  <c r="BH502" i="14"/>
  <c r="BH501" i="14"/>
  <c r="BH500" i="14"/>
  <c r="BH466" i="14"/>
  <c r="BH468" i="14"/>
  <c r="BH469" i="14"/>
  <c r="BH472" i="14"/>
  <c r="BH470" i="14"/>
  <c r="BH467" i="14"/>
  <c r="BH471" i="14"/>
  <c r="BI469" i="14" l="1"/>
  <c r="BI471" i="14"/>
  <c r="BI472" i="14"/>
  <c r="BI467" i="14"/>
  <c r="BI468" i="14"/>
  <c r="BI466" i="14"/>
  <c r="BI470" i="14"/>
  <c r="BI504" i="14" l="1"/>
  <c r="BI496" i="14"/>
  <c r="BI499" i="14"/>
  <c r="BI501" i="14"/>
  <c r="BI502" i="14"/>
  <c r="BI503" i="14"/>
  <c r="BI498" i="14"/>
  <c r="BI497" i="14"/>
  <c r="BI500" i="14"/>
  <c r="BJ469" i="14"/>
  <c r="BJ472" i="14"/>
  <c r="BJ467" i="14"/>
  <c r="BJ468" i="14"/>
  <c r="BJ470" i="14"/>
  <c r="BJ466" i="14"/>
  <c r="BJ471" i="14"/>
  <c r="BJ497" i="14" l="1"/>
  <c r="BJ496" i="14"/>
  <c r="BJ502" i="14"/>
  <c r="BJ504" i="14"/>
  <c r="BJ500" i="14"/>
  <c r="BJ499" i="14"/>
  <c r="BJ501" i="14"/>
  <c r="BJ503" i="14"/>
  <c r="BJ498" i="14"/>
  <c r="BK466" i="14"/>
  <c r="BK470" i="14"/>
  <c r="BK469" i="14"/>
  <c r="BK467" i="14"/>
  <c r="BK471" i="14"/>
  <c r="BK468" i="14"/>
  <c r="BK472" i="14"/>
  <c r="BL500" i="14" l="1"/>
  <c r="BK504" i="14"/>
  <c r="BK502" i="14"/>
  <c r="BK498" i="14"/>
  <c r="BK496" i="14"/>
  <c r="BK501" i="14"/>
  <c r="BK499" i="14"/>
  <c r="BK500" i="14"/>
  <c r="BK497" i="14"/>
  <c r="BK503" i="14"/>
  <c r="BL470" i="14"/>
  <c r="BL469" i="14"/>
  <c r="BL467" i="14"/>
  <c r="BL471" i="14"/>
  <c r="BL468" i="14"/>
  <c r="BL472" i="14"/>
  <c r="BL466" i="14"/>
  <c r="BL501" i="14" l="1"/>
  <c r="BL502" i="14"/>
  <c r="BL496" i="14"/>
  <c r="BL498" i="14"/>
  <c r="BL499" i="14"/>
  <c r="BL497" i="14"/>
  <c r="BL504" i="14"/>
  <c r="BL503" i="14"/>
  <c r="BM502" i="14"/>
  <c r="BM500" i="14"/>
  <c r="BM503" i="14"/>
  <c r="BM497" i="14"/>
  <c r="BM499" i="14"/>
  <c r="BM496" i="14"/>
  <c r="BM504" i="14"/>
  <c r="BM501" i="14"/>
  <c r="BM498" i="14"/>
  <c r="BM469" i="14"/>
  <c r="BM470" i="14"/>
  <c r="BM472" i="14"/>
  <c r="BM466" i="14"/>
  <c r="BM467" i="14"/>
  <c r="BM468" i="14"/>
  <c r="BM471" i="14"/>
  <c r="BN468" i="14" l="1"/>
  <c r="BN470" i="14"/>
  <c r="BN472" i="14"/>
  <c r="BN467" i="14"/>
  <c r="BN471" i="14"/>
  <c r="BN466" i="14"/>
  <c r="BN469" i="14"/>
  <c r="BN500" i="14"/>
  <c r="BN498" i="14"/>
  <c r="BN499" i="14"/>
  <c r="BN502" i="14"/>
  <c r="BN496" i="14"/>
  <c r="BN501" i="14"/>
  <c r="BN503" i="14"/>
  <c r="BN497" i="14"/>
  <c r="BN504" i="14"/>
  <c r="BO469" i="14" l="1"/>
  <c r="BO472" i="14"/>
  <c r="BO470" i="14"/>
  <c r="BO467" i="14"/>
  <c r="BO468" i="14"/>
  <c r="BO471" i="14"/>
  <c r="BO466" i="14"/>
  <c r="BP502" i="14" l="1"/>
  <c r="BO504" i="14"/>
  <c r="BO498" i="14"/>
  <c r="BO501" i="14"/>
  <c r="BO503" i="14"/>
  <c r="BO502" i="14"/>
  <c r="BO499" i="14"/>
  <c r="BO500" i="14"/>
  <c r="BO496" i="14"/>
  <c r="BO497" i="14"/>
  <c r="BP471" i="14"/>
  <c r="BP466" i="14"/>
  <c r="BP470" i="14"/>
  <c r="BP469" i="14"/>
  <c r="BP468" i="14"/>
  <c r="BP467" i="14"/>
  <c r="BP472" i="14"/>
  <c r="BQ502" i="14" l="1"/>
  <c r="BP501" i="14"/>
  <c r="BP504" i="14"/>
  <c r="BP503" i="14"/>
  <c r="BP500" i="14"/>
  <c r="BP496" i="14"/>
  <c r="BP497" i="14"/>
  <c r="BP498" i="14"/>
  <c r="BP499" i="14"/>
  <c r="BQ498" i="14"/>
  <c r="BQ501" i="14"/>
  <c r="BQ500" i="14"/>
  <c r="BQ503" i="14"/>
  <c r="BQ496" i="14"/>
  <c r="BQ499" i="14"/>
  <c r="BQ497" i="14"/>
  <c r="BQ504" i="14"/>
  <c r="BQ467" i="14"/>
  <c r="BQ469" i="14"/>
  <c r="BQ471" i="14"/>
  <c r="BQ466" i="14"/>
  <c r="BQ470" i="14"/>
  <c r="BQ468" i="14"/>
  <c r="BQ472" i="14"/>
  <c r="BR500" i="14" l="1"/>
  <c r="BR498" i="14"/>
  <c r="BR503" i="14"/>
  <c r="BR497" i="14"/>
  <c r="BR496" i="14"/>
  <c r="BR499" i="14"/>
  <c r="BR501" i="14"/>
  <c r="BR504" i="14"/>
  <c r="BR502" i="14"/>
  <c r="BR469" i="14"/>
  <c r="BR471" i="14"/>
  <c r="BR468" i="14"/>
  <c r="BR470" i="14"/>
  <c r="BR467" i="14"/>
  <c r="BR466" i="14"/>
  <c r="BR472" i="14"/>
  <c r="BS470" i="14" l="1"/>
  <c r="BS466" i="14"/>
  <c r="BS471" i="14"/>
  <c r="BS468" i="14"/>
  <c r="BS469" i="14"/>
  <c r="BS467" i="14"/>
  <c r="BS472" i="14"/>
  <c r="BT499" i="14" l="1"/>
  <c r="BS502" i="14"/>
  <c r="BS497" i="14"/>
  <c r="BS501" i="14"/>
  <c r="BS504" i="14"/>
  <c r="BS503" i="14"/>
  <c r="BS499" i="14"/>
  <c r="BS500" i="14"/>
  <c r="BS496" i="14"/>
  <c r="BS498" i="14"/>
  <c r="BT470" i="14"/>
  <c r="BT466" i="14"/>
  <c r="BT468" i="14"/>
  <c r="BT469" i="14"/>
  <c r="BT472" i="14"/>
  <c r="BT471" i="14"/>
  <c r="BT467" i="14"/>
  <c r="BT503" i="14" l="1"/>
  <c r="BT504" i="14"/>
  <c r="BT496" i="14"/>
  <c r="BT498" i="14"/>
  <c r="BT500" i="14"/>
  <c r="BT497" i="14"/>
  <c r="BT502" i="14"/>
  <c r="BT501" i="14"/>
  <c r="BU472" i="14"/>
  <c r="BU471" i="14"/>
  <c r="BU468" i="14"/>
  <c r="BU469" i="14"/>
  <c r="BU467" i="14"/>
  <c r="BU466" i="14"/>
  <c r="BU470" i="14"/>
  <c r="BV500" i="14" l="1"/>
  <c r="BU503" i="14"/>
  <c r="BU504" i="14"/>
  <c r="BU500" i="14"/>
  <c r="BU502" i="14"/>
  <c r="BU496" i="14"/>
  <c r="BU498" i="14"/>
  <c r="BU497" i="14"/>
  <c r="BU501" i="14"/>
  <c r="BU499" i="14"/>
  <c r="BV471" i="14"/>
  <c r="BV470" i="14"/>
  <c r="BV467" i="14"/>
  <c r="BV469" i="14"/>
  <c r="BV466" i="14"/>
  <c r="BV468" i="14"/>
  <c r="BV472" i="14"/>
  <c r="BW498" i="14" l="1"/>
  <c r="BV502" i="14"/>
  <c r="BV499" i="14"/>
  <c r="BV498" i="14"/>
  <c r="BV496" i="14"/>
  <c r="BV497" i="14"/>
  <c r="BV501" i="14"/>
  <c r="BV503" i="14"/>
  <c r="BV504" i="14"/>
  <c r="BW503" i="14"/>
  <c r="BW504" i="14"/>
  <c r="BW500" i="14"/>
  <c r="BW496" i="14"/>
  <c r="BW499" i="14"/>
  <c r="BW497" i="14"/>
  <c r="BW501" i="14"/>
  <c r="BW502" i="14"/>
  <c r="BW468" i="14"/>
  <c r="BW472" i="14"/>
  <c r="BW470" i="14"/>
  <c r="BW466" i="14"/>
  <c r="BW469" i="14"/>
  <c r="BW471" i="14"/>
  <c r="BW467" i="14"/>
  <c r="BX499" i="14" l="1"/>
  <c r="BX503" i="14"/>
  <c r="BX497" i="14"/>
  <c r="BX504" i="14"/>
  <c r="BX502" i="14"/>
  <c r="BX496" i="14"/>
  <c r="BX501" i="14"/>
  <c r="BX498" i="14"/>
  <c r="BX500" i="14"/>
  <c r="BX466" i="14"/>
  <c r="BX472" i="14"/>
  <c r="BX467" i="14"/>
  <c r="BX470" i="14"/>
  <c r="BX471" i="14"/>
  <c r="BX469" i="14"/>
  <c r="BX468" i="14"/>
  <c r="BY499" i="14" l="1"/>
  <c r="BY504" i="14"/>
  <c r="BY501" i="14"/>
  <c r="BY500" i="14"/>
  <c r="BY496" i="14"/>
  <c r="BY497" i="14"/>
  <c r="BY502" i="14"/>
  <c r="BY503" i="14"/>
  <c r="BY498" i="14"/>
  <c r="C497" i="14" a="1"/>
  <c r="C497" i="14" s="1"/>
  <c r="BY471" i="14"/>
  <c r="BY466" i="14"/>
  <c r="BY469" i="14"/>
  <c r="BY470" i="14"/>
  <c r="BY467" i="14"/>
  <c r="BY468" i="14"/>
  <c r="BY472" i="14"/>
  <c r="C465" i="14" a="1"/>
  <c r="H465" i="14" l="1"/>
  <c r="I465" i="14"/>
  <c r="J465" i="14"/>
  <c r="K465" i="14"/>
  <c r="L465" i="14"/>
  <c r="M465" i="14"/>
  <c r="N465" i="14"/>
  <c r="O465" i="14"/>
  <c r="Q465" i="14"/>
  <c r="P465" i="14"/>
  <c r="R465" i="14"/>
  <c r="S465" i="14"/>
  <c r="U465" i="14"/>
  <c r="T465" i="14"/>
  <c r="V465" i="14"/>
  <c r="W465" i="14"/>
  <c r="X465" i="14"/>
  <c r="Y465" i="14"/>
  <c r="Z465" i="14"/>
  <c r="AA465" i="14"/>
  <c r="AB465" i="14"/>
  <c r="AC465" i="14"/>
  <c r="AD465" i="14"/>
  <c r="AE465" i="14"/>
  <c r="AF465" i="14"/>
  <c r="AG465" i="14"/>
  <c r="AH465" i="14"/>
  <c r="AI465" i="14"/>
  <c r="AJ465" i="14"/>
  <c r="AK465" i="14"/>
  <c r="AL465" i="14"/>
  <c r="AM465" i="14"/>
  <c r="AN465" i="14"/>
  <c r="AO465" i="14"/>
  <c r="AP465" i="14"/>
  <c r="AQ465" i="14"/>
  <c r="AR465" i="14"/>
  <c r="AS465" i="14"/>
  <c r="AT465" i="14"/>
  <c r="AU465" i="14"/>
  <c r="AV465" i="14"/>
  <c r="AW465" i="14"/>
  <c r="AX465" i="14"/>
  <c r="AY465" i="14"/>
  <c r="AZ465" i="14"/>
  <c r="BA465" i="14"/>
  <c r="BB465" i="14"/>
  <c r="BC465" i="14"/>
  <c r="BD465" i="14"/>
  <c r="BE465" i="14"/>
  <c r="BF465" i="14"/>
  <c r="BG465" i="14"/>
  <c r="BH465" i="14"/>
  <c r="BI465" i="14"/>
  <c r="BJ465" i="14"/>
  <c r="BK465" i="14"/>
  <c r="BL465" i="14"/>
  <c r="BM465" i="14"/>
  <c r="BN465" i="14"/>
  <c r="BO465" i="14"/>
  <c r="BP465" i="14"/>
  <c r="BQ465" i="14"/>
  <c r="BR465" i="14"/>
  <c r="BS465" i="14"/>
  <c r="BT465" i="14"/>
  <c r="BU465" i="14"/>
  <c r="BV465" i="14"/>
  <c r="BW465" i="14"/>
  <c r="BX465" i="14"/>
  <c r="BY465" i="14"/>
  <c r="H495" i="14"/>
  <c r="J495" i="14"/>
  <c r="I495" i="14"/>
  <c r="K495" i="14"/>
  <c r="L495" i="14"/>
  <c r="M495" i="14"/>
  <c r="N495" i="14"/>
  <c r="O495" i="14"/>
  <c r="P495" i="14"/>
  <c r="Q495" i="14"/>
  <c r="R495" i="14"/>
  <c r="S495" i="14"/>
  <c r="T495" i="14"/>
  <c r="U495" i="14"/>
  <c r="W495" i="14"/>
  <c r="V495" i="14"/>
  <c r="X495" i="14"/>
  <c r="Y495" i="14"/>
  <c r="Z495" i="14"/>
  <c r="AA495" i="14"/>
  <c r="AC495" i="14"/>
  <c r="AD495" i="14"/>
  <c r="AB495" i="14"/>
  <c r="AE495" i="14"/>
  <c r="AF495" i="14"/>
  <c r="AG495" i="14"/>
  <c r="AH495" i="14"/>
  <c r="AI495" i="14"/>
  <c r="AJ495" i="14"/>
  <c r="AK495" i="14"/>
  <c r="AL495" i="14"/>
  <c r="AM495" i="14"/>
  <c r="AO495" i="14"/>
  <c r="AN495" i="14"/>
  <c r="AP495" i="14"/>
  <c r="AQ495" i="14"/>
  <c r="AS495" i="14"/>
  <c r="AR495" i="14"/>
  <c r="AT495" i="14"/>
  <c r="AV495" i="14"/>
  <c r="AU495" i="14"/>
  <c r="AW495" i="14"/>
  <c r="AX495" i="14"/>
  <c r="AY495" i="14"/>
  <c r="AZ495" i="14"/>
  <c r="BA495" i="14"/>
  <c r="BC495" i="14"/>
  <c r="BB495" i="14"/>
  <c r="BD495" i="14"/>
  <c r="BE495" i="14"/>
  <c r="BF495" i="14"/>
  <c r="BG495" i="14"/>
  <c r="BH495" i="14"/>
  <c r="BI495" i="14"/>
  <c r="BJ495" i="14"/>
  <c r="BL495" i="14"/>
  <c r="BK495" i="14"/>
  <c r="BM495" i="14"/>
  <c r="BN495" i="14"/>
  <c r="BP495" i="14"/>
  <c r="BO495" i="14"/>
  <c r="BQ495" i="14"/>
  <c r="BR495" i="14"/>
  <c r="BT495" i="14"/>
  <c r="BS495" i="14"/>
  <c r="BV495" i="14"/>
  <c r="BU495" i="14"/>
  <c r="BW495" i="14"/>
  <c r="BX495" i="14"/>
  <c r="C465" i="14"/>
  <c r="H464" i="14"/>
  <c r="I464" i="14"/>
  <c r="J464" i="14"/>
  <c r="K464" i="14"/>
  <c r="L464" i="14"/>
  <c r="M464" i="14"/>
  <c r="N464" i="14"/>
  <c r="O464" i="14"/>
  <c r="R464" i="14"/>
  <c r="Q464" i="14"/>
  <c r="P464" i="14"/>
  <c r="T464" i="14"/>
  <c r="S464" i="14"/>
  <c r="U464" i="14"/>
  <c r="V464" i="14"/>
  <c r="W464" i="14"/>
  <c r="X464" i="14"/>
  <c r="Y464" i="14"/>
  <c r="Z464" i="14"/>
  <c r="AA464" i="14"/>
  <c r="AB464" i="14"/>
  <c r="AC464" i="14"/>
  <c r="AD464" i="14"/>
  <c r="AE464" i="14"/>
  <c r="AF464" i="14"/>
  <c r="AG464" i="14"/>
  <c r="AH464" i="14"/>
  <c r="AI464" i="14"/>
  <c r="AJ464" i="14"/>
  <c r="AK464" i="14"/>
  <c r="AL464" i="14"/>
  <c r="AM464" i="14"/>
  <c r="AN464" i="14"/>
  <c r="AO464" i="14"/>
  <c r="AP464" i="14"/>
  <c r="AQ464" i="14"/>
  <c r="AR464" i="14"/>
  <c r="AS464" i="14"/>
  <c r="AT464" i="14"/>
  <c r="AU464" i="14"/>
  <c r="AV464" i="14"/>
  <c r="AW464" i="14"/>
  <c r="AX464" i="14"/>
  <c r="AY464" i="14"/>
  <c r="AZ464" i="14"/>
  <c r="BA464" i="14"/>
  <c r="BB464" i="14"/>
  <c r="BC464" i="14"/>
  <c r="BD464" i="14"/>
  <c r="BE464" i="14"/>
  <c r="BF464" i="14"/>
  <c r="BG464" i="14"/>
  <c r="BH464" i="14"/>
  <c r="BI464" i="14"/>
  <c r="BJ464" i="14"/>
  <c r="BK464" i="14"/>
  <c r="BL464" i="14"/>
  <c r="BM464" i="14"/>
  <c r="BN464" i="14"/>
  <c r="BO464" i="14"/>
  <c r="BP464" i="14"/>
  <c r="BQ464" i="14"/>
  <c r="BR464" i="14"/>
  <c r="BS464" i="14"/>
  <c r="BT464" i="14"/>
  <c r="BU464" i="14"/>
  <c r="BV464" i="14"/>
  <c r="BW464" i="14"/>
  <c r="BX464" i="14"/>
  <c r="BY464" i="14"/>
  <c r="BY495" i="14"/>
  <c r="AA478" i="14" l="1"/>
  <c r="BK478" i="14"/>
  <c r="AG478" i="14"/>
  <c r="AV478" i="14"/>
  <c r="BT478" i="14"/>
  <c r="V478" i="14"/>
  <c r="M478" i="14"/>
  <c r="Y478" i="14"/>
  <c r="AZ478" i="14"/>
  <c r="AP478" i="14"/>
  <c r="AT478" i="14"/>
  <c r="X478" i="14"/>
  <c r="N478" i="14"/>
  <c r="AS478" i="14"/>
  <c r="AY478" i="14"/>
  <c r="AJ478" i="14"/>
  <c r="BU478" i="14"/>
  <c r="BA478" i="14"/>
  <c r="AL478" i="14"/>
  <c r="BW478" i="14"/>
  <c r="BH478" i="14"/>
  <c r="BI478" i="14"/>
  <c r="BM478" i="14"/>
  <c r="AN478" i="14"/>
  <c r="BP478" i="14"/>
  <c r="U478" i="14"/>
  <c r="T478" i="14"/>
  <c r="J478" i="14"/>
  <c r="AR478" i="14"/>
  <c r="BB478" i="14"/>
  <c r="AM478" i="14"/>
  <c r="AU478" i="14"/>
  <c r="BO478" i="14"/>
  <c r="L478" i="14"/>
  <c r="BS478" i="14"/>
  <c r="AO478" i="14"/>
  <c r="BG478" i="14"/>
  <c r="AX478" i="14"/>
  <c r="AB478" i="14"/>
  <c r="O478" i="14"/>
  <c r="AQ478" i="14"/>
  <c r="R478" i="14"/>
  <c r="Z478" i="14"/>
  <c r="H478" i="14"/>
  <c r="AW478" i="14"/>
  <c r="Q478" i="14"/>
  <c r="AK478" i="14"/>
  <c r="BX478" i="14"/>
  <c r="BF478" i="14"/>
  <c r="BC478" i="14"/>
  <c r="BJ478" i="14"/>
  <c r="BD478" i="14"/>
  <c r="BR478" i="14"/>
  <c r="AD478" i="14"/>
  <c r="BY478" i="14"/>
  <c r="K478" i="14"/>
  <c r="BE478" i="14"/>
  <c r="AI478" i="14"/>
  <c r="BQ478" i="14"/>
  <c r="AH478" i="14"/>
  <c r="BL478" i="14"/>
  <c r="AE478" i="14"/>
  <c r="BV478" i="14"/>
  <c r="BN478" i="14"/>
  <c r="S478" i="14"/>
  <c r="P478" i="14"/>
  <c r="I478" i="14"/>
  <c r="AF478" i="14"/>
  <c r="W478" i="14"/>
  <c r="AC478" i="14"/>
  <c r="H477" i="14"/>
  <c r="I477" i="14" s="1"/>
  <c r="J477" i="14" s="1"/>
  <c r="K477" i="14" s="1"/>
  <c r="L477" i="14" s="1"/>
  <c r="M477" i="14" s="1"/>
  <c r="N477" i="14" s="1"/>
  <c r="O477" i="14" s="1"/>
  <c r="P477" i="14" s="1"/>
  <c r="Q477" i="14" s="1"/>
  <c r="R477" i="14" s="1"/>
  <c r="S477" i="14" s="1"/>
  <c r="T477" i="14" s="1"/>
  <c r="U477" i="14" s="1"/>
  <c r="V477" i="14" s="1"/>
  <c r="W477" i="14" s="1"/>
  <c r="X477" i="14" s="1"/>
  <c r="Y477" i="14" s="1"/>
  <c r="Z477" i="14" s="1"/>
  <c r="AA477" i="14" s="1"/>
  <c r="AB477" i="14" s="1"/>
  <c r="AC477" i="14" s="1"/>
  <c r="AD477" i="14" s="1"/>
  <c r="AE477" i="14" s="1"/>
  <c r="AF477" i="14" s="1"/>
  <c r="AG477" i="14" s="1"/>
  <c r="AH477" i="14" s="1"/>
  <c r="AI477" i="14" s="1"/>
  <c r="AJ477" i="14" s="1"/>
  <c r="AK477" i="14" s="1"/>
  <c r="AL477" i="14" s="1"/>
  <c r="AM477" i="14" s="1"/>
  <c r="AN477" i="14" s="1"/>
  <c r="AO477" i="14" s="1"/>
  <c r="AP477" i="14" s="1"/>
  <c r="AQ477" i="14" s="1"/>
  <c r="AR477" i="14" s="1"/>
  <c r="AS477" i="14" s="1"/>
  <c r="AT477" i="14" s="1"/>
  <c r="AU477" i="14" s="1"/>
  <c r="AV477" i="14" s="1"/>
  <c r="AW477" i="14" s="1"/>
  <c r="AX477" i="14" s="1"/>
  <c r="AY477" i="14" s="1"/>
  <c r="AZ477" i="14" s="1"/>
  <c r="BA477" i="14" s="1"/>
  <c r="BB477" i="14" s="1"/>
  <c r="BC477" i="14" s="1"/>
  <c r="BD477" i="14" s="1"/>
  <c r="BE477" i="14" s="1"/>
  <c r="BF477" i="14" s="1"/>
  <c r="BG477" i="14" s="1"/>
  <c r="BH477" i="14" s="1"/>
  <c r="BI477" i="14" s="1"/>
  <c r="BJ477" i="14" s="1"/>
  <c r="BK477" i="14" s="1"/>
  <c r="BL477" i="14" s="1"/>
  <c r="BM477" i="14" s="1"/>
  <c r="BN477" i="14" s="1"/>
  <c r="BO477" i="14" s="1"/>
  <c r="BP477" i="14" s="1"/>
  <c r="BQ477" i="14" s="1"/>
  <c r="BR477" i="14" s="1"/>
  <c r="BS477" i="14" s="1"/>
  <c r="BT477" i="14" s="1"/>
  <c r="BU477" i="14" s="1"/>
  <c r="BV477" i="14" s="1"/>
  <c r="BW477" i="14" s="1"/>
  <c r="BX477" i="14" s="1"/>
  <c r="BY477" i="14" s="1"/>
  <c r="H463" i="14"/>
  <c r="I463" i="14"/>
  <c r="J463" i="14"/>
  <c r="K463" i="14"/>
  <c r="L463" i="14"/>
  <c r="N463" i="14"/>
  <c r="M463" i="14"/>
  <c r="O463" i="14"/>
  <c r="R463" i="14"/>
  <c r="Q463" i="14"/>
  <c r="P463" i="14"/>
  <c r="S463" i="14"/>
  <c r="T463" i="14"/>
  <c r="U463" i="14"/>
  <c r="V463" i="14"/>
  <c r="W463" i="14"/>
  <c r="X463" i="14"/>
  <c r="Y463" i="14"/>
  <c r="Z463" i="14"/>
  <c r="AA463" i="14"/>
  <c r="AB463" i="14"/>
  <c r="AC463" i="14"/>
  <c r="AD463" i="14"/>
  <c r="AE463" i="14"/>
  <c r="AF463" i="14"/>
  <c r="AG463" i="14"/>
  <c r="AH463" i="14"/>
  <c r="AI463" i="14"/>
  <c r="AJ463" i="14"/>
  <c r="AK463" i="14"/>
  <c r="AL463" i="14"/>
  <c r="AM463" i="14"/>
  <c r="AN463" i="14"/>
  <c r="AO463" i="14"/>
  <c r="AP463" i="14"/>
  <c r="AQ463" i="14"/>
  <c r="AR463" i="14"/>
  <c r="AS463" i="14"/>
  <c r="AT463" i="14"/>
  <c r="AU463" i="14"/>
  <c r="AV463" i="14"/>
  <c r="AW463" i="14"/>
  <c r="AX463" i="14"/>
  <c r="AY463" i="14"/>
  <c r="AZ463" i="14"/>
  <c r="BA463" i="14"/>
  <c r="BB463" i="14"/>
  <c r="BC463" i="14"/>
  <c r="BD463" i="14"/>
  <c r="BE463" i="14"/>
  <c r="BF463" i="14"/>
  <c r="BG463" i="14"/>
  <c r="BH463" i="14"/>
  <c r="BI463" i="14"/>
  <c r="BJ463" i="14"/>
  <c r="BK463" i="14"/>
  <c r="BL463" i="14"/>
  <c r="BM463" i="14"/>
  <c r="BN463" i="14"/>
  <c r="BO463" i="14"/>
  <c r="BP463" i="14"/>
  <c r="BQ463" i="14"/>
  <c r="BR463" i="14"/>
  <c r="BS463" i="14"/>
  <c r="BT463" i="14"/>
  <c r="BU463" i="14"/>
  <c r="BV463" i="14"/>
  <c r="BW463" i="14"/>
  <c r="BX463" i="14"/>
  <c r="BY463" i="14"/>
  <c r="BX508" i="14"/>
  <c r="BX507" i="14" s="1"/>
  <c r="O508" i="14"/>
  <c r="O507" i="14" s="1"/>
  <c r="BS508" i="14"/>
  <c r="BS507" i="14" s="1"/>
  <c r="T508" i="14"/>
  <c r="T507" i="14" s="1"/>
  <c r="R508" i="14"/>
  <c r="R507" i="14" s="1"/>
  <c r="BW508" i="14"/>
  <c r="BW507" i="14" s="1"/>
  <c r="AX508" i="14"/>
  <c r="AX507" i="14" s="1"/>
  <c r="AA508" i="14"/>
  <c r="AA507" i="14" s="1"/>
  <c r="BE508" i="14"/>
  <c r="BE507" i="14" s="1"/>
  <c r="BY508" i="14"/>
  <c r="BY507" i="14" s="1"/>
  <c r="BO508" i="14"/>
  <c r="BO507" i="14" s="1"/>
  <c r="AR508" i="14"/>
  <c r="AR507" i="14" s="1"/>
  <c r="AS508" i="14"/>
  <c r="AS507" i="14" s="1"/>
  <c r="AL508" i="14"/>
  <c r="AL507" i="14" s="1"/>
  <c r="BK508" i="14"/>
  <c r="BK507" i="14" s="1"/>
  <c r="AY508" i="14"/>
  <c r="AY507" i="14" s="1"/>
  <c r="BM508" i="14"/>
  <c r="BM507" i="14" s="1"/>
  <c r="BB508" i="14"/>
  <c r="BB507" i="14" s="1"/>
  <c r="AM508" i="14"/>
  <c r="AM507" i="14" s="1"/>
  <c r="AN508" i="14"/>
  <c r="AN507" i="14" s="1"/>
  <c r="AG508" i="14"/>
  <c r="AG507" i="14" s="1"/>
  <c r="AU508" i="14"/>
  <c r="AU507" i="14" s="1"/>
  <c r="BC508" i="14"/>
  <c r="BC507" i="14" s="1"/>
  <c r="AZ508" i="14"/>
  <c r="AZ507" i="14" s="1"/>
  <c r="AQ508" i="14"/>
  <c r="AQ507" i="14" s="1"/>
  <c r="BL508" i="14"/>
  <c r="BL507" i="14" s="1"/>
  <c r="BT508" i="14"/>
  <c r="BT507" i="14" s="1"/>
  <c r="N508" i="14"/>
  <c r="N507" i="14" s="1"/>
  <c r="Y508" i="14"/>
  <c r="Y507" i="14" s="1"/>
  <c r="AE508" i="14"/>
  <c r="AE507" i="14" s="1"/>
  <c r="AB508" i="14"/>
  <c r="AB507" i="14" s="1"/>
  <c r="L508" i="14"/>
  <c r="L507" i="14" s="1"/>
  <c r="AF508" i="14"/>
  <c r="AF507" i="14" s="1"/>
  <c r="BH508" i="14"/>
  <c r="BH507" i="14" s="1"/>
  <c r="AO508" i="14"/>
  <c r="AO507" i="14" s="1"/>
  <c r="BN508" i="14"/>
  <c r="BN507" i="14" s="1"/>
  <c r="I508" i="14"/>
  <c r="I507" i="14" s="1"/>
  <c r="AJ508" i="14"/>
  <c r="AJ507" i="14" s="1"/>
  <c r="M508" i="14"/>
  <c r="M507" i="14" s="1"/>
  <c r="BA508" i="14"/>
  <c r="BA507" i="14" s="1"/>
  <c r="H508" i="14"/>
  <c r="H507" i="14" s="1"/>
  <c r="H519" i="14" s="1"/>
  <c r="I505" i="14" s="1"/>
  <c r="I506" i="14" s="1"/>
  <c r="X508" i="14"/>
  <c r="X507" i="14" s="1"/>
  <c r="AI508" i="14"/>
  <c r="AI507" i="14" s="1"/>
  <c r="BJ508" i="14"/>
  <c r="BJ507" i="14" s="1"/>
  <c r="BI508" i="14"/>
  <c r="BI507" i="14" s="1"/>
  <c r="BP508" i="14"/>
  <c r="BP507" i="14" s="1"/>
  <c r="Q508" i="14"/>
  <c r="Q507" i="14" s="1"/>
  <c r="U508" i="14"/>
  <c r="U507" i="14" s="1"/>
  <c r="AH508" i="14"/>
  <c r="AH507" i="14" s="1"/>
  <c r="Z508" i="14"/>
  <c r="Z507" i="14" s="1"/>
  <c r="BF508" i="14"/>
  <c r="BF507" i="14" s="1"/>
  <c r="S508" i="14"/>
  <c r="S507" i="14" s="1"/>
  <c r="K508" i="14"/>
  <c r="K507" i="14" s="1"/>
  <c r="BG508" i="14"/>
  <c r="BG507" i="14" s="1"/>
  <c r="BV508" i="14"/>
  <c r="BV507" i="14" s="1"/>
  <c r="AK508" i="14"/>
  <c r="AK507" i="14" s="1"/>
  <c r="W508" i="14"/>
  <c r="W507" i="14" s="1"/>
  <c r="AV508" i="14"/>
  <c r="AV507" i="14" s="1"/>
  <c r="AD508" i="14"/>
  <c r="AD507" i="14" s="1"/>
  <c r="BR508" i="14"/>
  <c r="BR507" i="14" s="1"/>
  <c r="AP508" i="14"/>
  <c r="AP507" i="14" s="1"/>
  <c r="P508" i="14"/>
  <c r="P507" i="14" s="1"/>
  <c r="BD508" i="14"/>
  <c r="BD507" i="14" s="1"/>
  <c r="BQ508" i="14"/>
  <c r="BQ507" i="14" s="1"/>
  <c r="J508" i="14"/>
  <c r="J507" i="14" s="1"/>
  <c r="BU508" i="14"/>
  <c r="BU507" i="14" s="1"/>
  <c r="AW508" i="14"/>
  <c r="AW507" i="14" s="1"/>
  <c r="AC508" i="14"/>
  <c r="AC507" i="14" s="1"/>
  <c r="AT508" i="14"/>
  <c r="AT507" i="14" s="1"/>
  <c r="V508" i="14"/>
  <c r="V507" i="14" s="1"/>
  <c r="H476" i="14" l="1"/>
  <c r="H475" i="14" s="1"/>
  <c r="I519" i="14"/>
  <c r="J505" i="14" s="1"/>
  <c r="J506" i="14" s="1"/>
  <c r="J519" i="14" l="1"/>
  <c r="K505" i="14" s="1"/>
  <c r="K506" i="14" s="1"/>
  <c r="H487" i="14"/>
  <c r="I473" i="14" s="1"/>
  <c r="I474" i="14" s="1"/>
  <c r="I527" i="14" s="1"/>
  <c r="H541" i="14"/>
  <c r="I476" i="14"/>
  <c r="I475" i="14" l="1"/>
  <c r="I541" i="14" s="1"/>
  <c r="J476" i="14"/>
  <c r="K476" i="14" s="1"/>
  <c r="L476" i="14" s="1"/>
  <c r="M476" i="14" s="1"/>
  <c r="K519" i="14"/>
  <c r="L505" i="14" s="1"/>
  <c r="L506" i="14" s="1"/>
  <c r="H543" i="14"/>
  <c r="I542" i="14"/>
  <c r="I528" i="14"/>
  <c r="I487" i="14" l="1"/>
  <c r="J473" i="14" s="1"/>
  <c r="J474" i="14" s="1"/>
  <c r="J527" i="14" s="1"/>
  <c r="L519" i="14"/>
  <c r="M505" i="14" s="1"/>
  <c r="M506" i="14" s="1"/>
  <c r="I529" i="14"/>
  <c r="I530" i="14" s="1"/>
  <c r="H54" i="14"/>
  <c r="H56" i="14" s="1"/>
  <c r="N476" i="14"/>
  <c r="J475" i="14" l="1"/>
  <c r="J541" i="14" s="1"/>
  <c r="M519" i="14"/>
  <c r="N505" i="14" s="1"/>
  <c r="N506" i="14" s="1"/>
  <c r="O476" i="14"/>
  <c r="J542" i="14"/>
  <c r="J528" i="14"/>
  <c r="I537" i="14"/>
  <c r="J487" i="14" l="1"/>
  <c r="K473" i="14" s="1"/>
  <c r="K474" i="14" s="1"/>
  <c r="K475" i="14" s="1"/>
  <c r="N519" i="14"/>
  <c r="O505" i="14" s="1"/>
  <c r="O506" i="14" s="1"/>
  <c r="I538" i="14"/>
  <c r="J529" i="14"/>
  <c r="P476" i="14"/>
  <c r="K527" i="14" l="1"/>
  <c r="K542" i="14" s="1"/>
  <c r="O519" i="14"/>
  <c r="P505" i="14" s="1"/>
  <c r="P519" i="14" s="1"/>
  <c r="Q505" i="14" s="1"/>
  <c r="Q476" i="14"/>
  <c r="J537" i="14"/>
  <c r="I540" i="14"/>
  <c r="K541" i="14"/>
  <c r="K487" i="14"/>
  <c r="L473" i="14" s="1"/>
  <c r="L474" i="14" s="1"/>
  <c r="J530" i="14"/>
  <c r="K528" i="14" l="1"/>
  <c r="K529" i="14" s="1"/>
  <c r="P506" i="14"/>
  <c r="L527" i="14"/>
  <c r="L475" i="14"/>
  <c r="I543" i="14"/>
  <c r="Q506" i="14"/>
  <c r="Q519" i="14"/>
  <c r="R505" i="14" s="1"/>
  <c r="R476" i="14"/>
  <c r="J538" i="14"/>
  <c r="K537" i="14" l="1"/>
  <c r="S476" i="14"/>
  <c r="K530" i="14"/>
  <c r="R506" i="14"/>
  <c r="R519" i="14"/>
  <c r="S505" i="14" s="1"/>
  <c r="I54" i="14"/>
  <c r="I56" i="14" s="1"/>
  <c r="L541" i="14"/>
  <c r="L487" i="14"/>
  <c r="M473" i="14" s="1"/>
  <c r="M474" i="14" s="1"/>
  <c r="J540" i="14"/>
  <c r="L542" i="14"/>
  <c r="L528" i="14"/>
  <c r="M527" i="14" l="1"/>
  <c r="M475" i="14"/>
  <c r="J543" i="14"/>
  <c r="T476" i="14"/>
  <c r="L529" i="14"/>
  <c r="L530" i="14" s="1"/>
  <c r="S506" i="14"/>
  <c r="S519" i="14"/>
  <c r="T505" i="14" s="1"/>
  <c r="K538" i="14"/>
  <c r="U476" i="14" l="1"/>
  <c r="K540" i="14"/>
  <c r="T506" i="14"/>
  <c r="T519" i="14"/>
  <c r="U505" i="14" s="1"/>
  <c r="L537" i="14"/>
  <c r="J54" i="14"/>
  <c r="J56" i="14" s="1"/>
  <c r="M541" i="14"/>
  <c r="M487" i="14"/>
  <c r="N473" i="14" s="1"/>
  <c r="N474" i="14" s="1"/>
  <c r="M542" i="14"/>
  <c r="M528" i="14"/>
  <c r="N527" i="14" l="1"/>
  <c r="N475" i="14"/>
  <c r="K543" i="14"/>
  <c r="M529" i="14"/>
  <c r="M530" i="14" s="1"/>
  <c r="U506" i="14"/>
  <c r="U519" i="14"/>
  <c r="V505" i="14" s="1"/>
  <c r="V476" i="14"/>
  <c r="L538" i="14"/>
  <c r="M537" i="14" l="1"/>
  <c r="W476" i="14"/>
  <c r="L540" i="14"/>
  <c r="N541" i="14"/>
  <c r="N487" i="14"/>
  <c r="O473" i="14" s="1"/>
  <c r="O474" i="14" s="1"/>
  <c r="V506" i="14"/>
  <c r="V519" i="14"/>
  <c r="W505" i="14" s="1"/>
  <c r="K54" i="14"/>
  <c r="K56" i="14" s="1"/>
  <c r="N542" i="14"/>
  <c r="N528" i="14"/>
  <c r="W506" i="14" l="1"/>
  <c r="W519" i="14"/>
  <c r="X505" i="14" s="1"/>
  <c r="O527" i="14"/>
  <c r="O475" i="14"/>
  <c r="L543" i="14"/>
  <c r="X476" i="14"/>
  <c r="N529" i="14"/>
  <c r="N530" i="14" s="1"/>
  <c r="M538" i="14"/>
  <c r="Y476" i="14" l="1"/>
  <c r="X506" i="14"/>
  <c r="X519" i="14"/>
  <c r="Y505" i="14" s="1"/>
  <c r="N537" i="14"/>
  <c r="L54" i="14"/>
  <c r="L56" i="14" s="1"/>
  <c r="O541" i="14"/>
  <c r="O487" i="14"/>
  <c r="P473" i="14" s="1"/>
  <c r="P474" i="14" s="1"/>
  <c r="M540" i="14"/>
  <c r="O542" i="14"/>
  <c r="O528" i="14"/>
  <c r="M543" i="14" l="1"/>
  <c r="N538" i="14"/>
  <c r="Y506" i="14"/>
  <c r="Y519" i="14"/>
  <c r="Z505" i="14" s="1"/>
  <c r="P527" i="14"/>
  <c r="P475" i="14"/>
  <c r="Z476" i="14"/>
  <c r="O529" i="14"/>
  <c r="O530" i="14" s="1"/>
  <c r="AA476" i="14" l="1"/>
  <c r="O537" i="14"/>
  <c r="P541" i="14"/>
  <c r="P487" i="14"/>
  <c r="Q473" i="14" s="1"/>
  <c r="Q474" i="14" s="1"/>
  <c r="P542" i="14"/>
  <c r="P528" i="14"/>
  <c r="M54" i="14"/>
  <c r="M56" i="14" s="1"/>
  <c r="Z506" i="14"/>
  <c r="Z519" i="14"/>
  <c r="AA505" i="14" s="1"/>
  <c r="N540" i="14"/>
  <c r="AA506" i="14" l="1"/>
  <c r="AA519" i="14"/>
  <c r="AB505" i="14" s="1"/>
  <c r="O538" i="14"/>
  <c r="AB476" i="14"/>
  <c r="N543" i="14"/>
  <c r="P529" i="14"/>
  <c r="P530" i="14" s="1"/>
  <c r="Q527" i="14"/>
  <c r="Q475" i="14"/>
  <c r="Q542" i="14" l="1"/>
  <c r="Q528" i="14"/>
  <c r="AC476" i="14"/>
  <c r="AD476" i="14" s="1"/>
  <c r="AE476" i="14" s="1"/>
  <c r="Q487" i="14"/>
  <c r="R473" i="14" s="1"/>
  <c r="R474" i="14" s="1"/>
  <c r="Q541" i="14"/>
  <c r="P537" i="14"/>
  <c r="N54" i="14"/>
  <c r="N56" i="14" s="1"/>
  <c r="O540" i="14"/>
  <c r="AB506" i="14"/>
  <c r="AB519" i="14"/>
  <c r="AC505" i="14" s="1"/>
  <c r="AF476" i="14" l="1"/>
  <c r="O543" i="14"/>
  <c r="P538" i="14"/>
  <c r="R527" i="14"/>
  <c r="R475" i="14"/>
  <c r="Q529" i="14"/>
  <c r="AC506" i="14"/>
  <c r="AC519" i="14"/>
  <c r="AD505" i="14" s="1"/>
  <c r="AG476" i="14" l="1"/>
  <c r="Q537" i="14"/>
  <c r="AD506" i="14"/>
  <c r="AD519" i="14"/>
  <c r="AE505" i="14" s="1"/>
  <c r="Q530" i="14"/>
  <c r="R487" i="14"/>
  <c r="S473" i="14" s="1"/>
  <c r="S474" i="14" s="1"/>
  <c r="R541" i="14"/>
  <c r="R542" i="14"/>
  <c r="R528" i="14"/>
  <c r="P540" i="14"/>
  <c r="O54" i="14"/>
  <c r="O56" i="14" s="1"/>
  <c r="AH476" i="14" l="1"/>
  <c r="R529" i="14"/>
  <c r="P543" i="14"/>
  <c r="S527" i="14"/>
  <c r="S475" i="14"/>
  <c r="AE506" i="14"/>
  <c r="AE519" i="14"/>
  <c r="AF505" i="14" s="1"/>
  <c r="Q538" i="14"/>
  <c r="AI476" i="14" l="1"/>
  <c r="AF506" i="14"/>
  <c r="AF519" i="14"/>
  <c r="AG505" i="14" s="1"/>
  <c r="Q540" i="14"/>
  <c r="S487" i="14"/>
  <c r="T473" i="14" s="1"/>
  <c r="T474" i="14" s="1"/>
  <c r="S541" i="14"/>
  <c r="S542" i="14"/>
  <c r="S528" i="14"/>
  <c r="P54" i="14"/>
  <c r="P56" i="14" s="1"/>
  <c r="R537" i="14"/>
  <c r="R530" i="14"/>
  <c r="AJ476" i="14" l="1"/>
  <c r="T527" i="14"/>
  <c r="T475" i="14"/>
  <c r="R538" i="14"/>
  <c r="S529" i="14"/>
  <c r="Q543" i="14"/>
  <c r="AG506" i="14"/>
  <c r="AG519" i="14"/>
  <c r="AH505" i="14" s="1"/>
  <c r="AK476" i="14" l="1"/>
  <c r="AH506" i="14"/>
  <c r="AH519" i="14"/>
  <c r="AI505" i="14" s="1"/>
  <c r="Q54" i="14"/>
  <c r="Q56" i="14" s="1"/>
  <c r="S537" i="14"/>
  <c r="S530" i="14"/>
  <c r="R540" i="14"/>
  <c r="T541" i="14"/>
  <c r="T487" i="14"/>
  <c r="U473" i="14" s="1"/>
  <c r="U474" i="14" s="1"/>
  <c r="T542" i="14"/>
  <c r="T528" i="14"/>
  <c r="AL476" i="14" l="1"/>
  <c r="U527" i="14"/>
  <c r="U475" i="14"/>
  <c r="R543" i="14"/>
  <c r="S538" i="14"/>
  <c r="AI506" i="14"/>
  <c r="AI519" i="14"/>
  <c r="AJ505" i="14" s="1"/>
  <c r="T529" i="14"/>
  <c r="T530" i="14" s="1"/>
  <c r="AM476" i="14" l="1"/>
  <c r="T537" i="14"/>
  <c r="S540" i="14"/>
  <c r="R54" i="14"/>
  <c r="R56" i="14" s="1"/>
  <c r="U487" i="14"/>
  <c r="V473" i="14" s="1"/>
  <c r="V474" i="14" s="1"/>
  <c r="U541" i="14"/>
  <c r="U542" i="14"/>
  <c r="U528" i="14"/>
  <c r="AJ506" i="14"/>
  <c r="AJ519" i="14"/>
  <c r="AK505" i="14" s="1"/>
  <c r="AN476" i="14" l="1"/>
  <c r="U529" i="14"/>
  <c r="U530" i="14" s="1"/>
  <c r="AK506" i="14"/>
  <c r="AK519" i="14"/>
  <c r="AL505" i="14" s="1"/>
  <c r="V527" i="14"/>
  <c r="V475" i="14"/>
  <c r="S543" i="14"/>
  <c r="T538" i="14"/>
  <c r="AO476" i="14" l="1"/>
  <c r="T540" i="14"/>
  <c r="AL506" i="14"/>
  <c r="AL519" i="14"/>
  <c r="AM505" i="14" s="1"/>
  <c r="S54" i="14"/>
  <c r="S56" i="14" s="1"/>
  <c r="V487" i="14"/>
  <c r="W473" i="14" s="1"/>
  <c r="W474" i="14" s="1"/>
  <c r="V541" i="14"/>
  <c r="V542" i="14"/>
  <c r="V528" i="14"/>
  <c r="U537" i="14"/>
  <c r="AP476" i="14" l="1"/>
  <c r="U538" i="14"/>
  <c r="V529" i="14"/>
  <c r="V530" i="14" s="1"/>
  <c r="W527" i="14"/>
  <c r="W475" i="14"/>
  <c r="AM506" i="14"/>
  <c r="AM519" i="14"/>
  <c r="AN505" i="14" s="1"/>
  <c r="T543" i="14"/>
  <c r="AQ476" i="14" l="1"/>
  <c r="W487" i="14"/>
  <c r="X473" i="14" s="1"/>
  <c r="X474" i="14" s="1"/>
  <c r="W541" i="14"/>
  <c r="AN506" i="14"/>
  <c r="AN519" i="14"/>
  <c r="AO505" i="14" s="1"/>
  <c r="W542" i="14"/>
  <c r="W528" i="14"/>
  <c r="V537" i="14"/>
  <c r="T54" i="14"/>
  <c r="T56" i="14" s="1"/>
  <c r="U540" i="14"/>
  <c r="AR476" i="14" l="1"/>
  <c r="V538" i="14"/>
  <c r="W529" i="14"/>
  <c r="W530" i="14" s="1"/>
  <c r="U543" i="14"/>
  <c r="AO506" i="14"/>
  <c r="AO519" i="14"/>
  <c r="AP505" i="14" s="1"/>
  <c r="X527" i="14"/>
  <c r="X475" i="14"/>
  <c r="AS476" i="14" l="1"/>
  <c r="AP506" i="14"/>
  <c r="AP519" i="14"/>
  <c r="AQ505" i="14" s="1"/>
  <c r="U54" i="14"/>
  <c r="U56" i="14" s="1"/>
  <c r="V540" i="14"/>
  <c r="X487" i="14"/>
  <c r="Y473" i="14" s="1"/>
  <c r="Y474" i="14" s="1"/>
  <c r="X541" i="14"/>
  <c r="X542" i="14"/>
  <c r="X528" i="14"/>
  <c r="W537" i="14"/>
  <c r="AT476" i="14" l="1"/>
  <c r="W538" i="14"/>
  <c r="X529" i="14"/>
  <c r="Y527" i="14"/>
  <c r="Y475" i="14"/>
  <c r="V543" i="14"/>
  <c r="AQ506" i="14"/>
  <c r="AQ519" i="14"/>
  <c r="AR505" i="14" s="1"/>
  <c r="AU476" i="14" l="1"/>
  <c r="Y541" i="14"/>
  <c r="Y487" i="14"/>
  <c r="Z473" i="14" s="1"/>
  <c r="Z474" i="14" s="1"/>
  <c r="AR506" i="14"/>
  <c r="AR519" i="14"/>
  <c r="AS505" i="14" s="1"/>
  <c r="V54" i="14"/>
  <c r="V56" i="14" s="1"/>
  <c r="X537" i="14"/>
  <c r="X530" i="14"/>
  <c r="W540" i="14"/>
  <c r="Y542" i="14"/>
  <c r="Y528" i="14"/>
  <c r="AV476" i="14" l="1"/>
  <c r="Y529" i="14"/>
  <c r="X538" i="14"/>
  <c r="W543" i="14"/>
  <c r="Z527" i="14"/>
  <c r="Z475" i="14"/>
  <c r="AS506" i="14"/>
  <c r="AS519" i="14"/>
  <c r="AT505" i="14" s="1"/>
  <c r="AW476" i="14" l="1"/>
  <c r="Z541" i="14"/>
  <c r="Z487" i="14"/>
  <c r="AA473" i="14" s="1"/>
  <c r="AA474" i="14" s="1"/>
  <c r="AT506" i="14"/>
  <c r="AT519" i="14"/>
  <c r="AU505" i="14" s="1"/>
  <c r="Z542" i="14"/>
  <c r="Z528" i="14"/>
  <c r="W54" i="14"/>
  <c r="W56" i="14" s="1"/>
  <c r="X540" i="14"/>
  <c r="Y537" i="14"/>
  <c r="Y530" i="14"/>
  <c r="AX476" i="14" l="1"/>
  <c r="Y538" i="14"/>
  <c r="X543" i="14"/>
  <c r="AA527" i="14"/>
  <c r="AA475" i="14"/>
  <c r="Z529" i="14"/>
  <c r="AU506" i="14"/>
  <c r="AU519" i="14"/>
  <c r="AV505" i="14" s="1"/>
  <c r="AY476" i="14" l="1"/>
  <c r="AV506" i="14"/>
  <c r="AV519" i="14"/>
  <c r="AW505" i="14" s="1"/>
  <c r="Z537" i="14"/>
  <c r="Z530" i="14"/>
  <c r="AA541" i="14"/>
  <c r="AA487" i="14"/>
  <c r="AB473" i="14" s="1"/>
  <c r="AB474" i="14" s="1"/>
  <c r="AA542" i="14"/>
  <c r="AA528" i="14"/>
  <c r="X54" i="14"/>
  <c r="X56" i="14" s="1"/>
  <c r="Y540" i="14"/>
  <c r="AZ476" i="14" l="1"/>
  <c r="AB527" i="14"/>
  <c r="AB475" i="14"/>
  <c r="Z538" i="14"/>
  <c r="AW506" i="14"/>
  <c r="AW519" i="14"/>
  <c r="AX505" i="14" s="1"/>
  <c r="Y543" i="14"/>
  <c r="AA529" i="14"/>
  <c r="BA476" i="14" l="1"/>
  <c r="Y54" i="14"/>
  <c r="Y56" i="14" s="1"/>
  <c r="AA537" i="14"/>
  <c r="AA530" i="14"/>
  <c r="AX506" i="14"/>
  <c r="AX519" i="14"/>
  <c r="AY505" i="14" s="1"/>
  <c r="Z540" i="14"/>
  <c r="AB541" i="14"/>
  <c r="AB487" i="14"/>
  <c r="AC473" i="14" s="1"/>
  <c r="AC474" i="14" s="1"/>
  <c r="AB542" i="14"/>
  <c r="AB528" i="14"/>
  <c r="BB476" i="14" l="1"/>
  <c r="Z543" i="14"/>
  <c r="AC527" i="14"/>
  <c r="AC475" i="14"/>
  <c r="AY506" i="14"/>
  <c r="AY519" i="14"/>
  <c r="AZ505" i="14" s="1"/>
  <c r="AA538" i="14"/>
  <c r="AB529" i="14"/>
  <c r="AB530" i="14" s="1"/>
  <c r="BC476" i="14" l="1"/>
  <c r="AA540" i="14"/>
  <c r="AB537" i="14"/>
  <c r="AZ506" i="14"/>
  <c r="AZ519" i="14"/>
  <c r="BA505" i="14" s="1"/>
  <c r="AC541" i="14"/>
  <c r="AC487" i="14"/>
  <c r="AD473" i="14" s="1"/>
  <c r="AD474" i="14" s="1"/>
  <c r="AC542" i="14"/>
  <c r="AC528" i="14"/>
  <c r="Z54" i="14"/>
  <c r="Z56" i="14" s="1"/>
  <c r="BD476" i="14" l="1"/>
  <c r="AC529" i="14"/>
  <c r="AC530" i="14" s="1"/>
  <c r="BA506" i="14"/>
  <c r="BA519" i="14"/>
  <c r="BB505" i="14" s="1"/>
  <c r="AB538" i="14"/>
  <c r="AA543" i="14"/>
  <c r="AD527" i="14"/>
  <c r="AD475" i="14"/>
  <c r="BE476" i="14" l="1"/>
  <c r="AA54" i="14"/>
  <c r="AA56" i="14" s="1"/>
  <c r="AB540" i="14"/>
  <c r="AD541" i="14"/>
  <c r="AD487" i="14"/>
  <c r="AE473" i="14" s="1"/>
  <c r="AD542" i="14"/>
  <c r="AD528" i="14"/>
  <c r="BB506" i="14"/>
  <c r="BB519" i="14"/>
  <c r="BC505" i="14" s="1"/>
  <c r="AC537" i="14"/>
  <c r="BF476" i="14" l="1"/>
  <c r="AD529" i="14"/>
  <c r="AD530" i="14" s="1"/>
  <c r="BC506" i="14"/>
  <c r="BC519" i="14"/>
  <c r="BD505" i="14" s="1"/>
  <c r="AE474" i="14"/>
  <c r="AB543" i="14"/>
  <c r="AC538" i="14"/>
  <c r="AE527" i="14" l="1"/>
  <c r="AE542" i="14" s="1"/>
  <c r="AE475" i="14"/>
  <c r="BG476" i="14"/>
  <c r="AB54" i="14"/>
  <c r="AB56" i="14" s="1"/>
  <c r="AC540" i="14"/>
  <c r="BD506" i="14"/>
  <c r="BD519" i="14"/>
  <c r="BE505" i="14" s="1"/>
  <c r="AD537" i="14"/>
  <c r="AE528" i="14" l="1"/>
  <c r="AE529" i="14" s="1"/>
  <c r="AE530" i="14" s="1"/>
  <c r="AE541" i="14"/>
  <c r="AE487" i="14"/>
  <c r="AF473" i="14" s="1"/>
  <c r="BH476" i="14"/>
  <c r="BE506" i="14"/>
  <c r="BE519" i="14"/>
  <c r="BF505" i="14" s="1"/>
  <c r="AC543" i="14"/>
  <c r="AD538" i="14"/>
  <c r="AF474" i="14" l="1"/>
  <c r="BI476" i="14"/>
  <c r="AD540" i="14"/>
  <c r="BF506" i="14"/>
  <c r="BF519" i="14"/>
  <c r="BG505" i="14" s="1"/>
  <c r="AC54" i="14"/>
  <c r="AC56" i="14" s="1"/>
  <c r="AE537" i="14"/>
  <c r="AF527" i="14" l="1"/>
  <c r="AF542" i="14" s="1"/>
  <c r="AF475" i="14"/>
  <c r="BJ476" i="14"/>
  <c r="AE538" i="14"/>
  <c r="BG506" i="14"/>
  <c r="BG519" i="14"/>
  <c r="BH505" i="14" s="1"/>
  <c r="AD543" i="14"/>
  <c r="AF528" i="14" l="1"/>
  <c r="AF529" i="14" s="1"/>
  <c r="AF530" i="14" s="1"/>
  <c r="AF541" i="14"/>
  <c r="AF487" i="14"/>
  <c r="AG473" i="14" s="1"/>
  <c r="AG474" i="14" s="1"/>
  <c r="BK476" i="14"/>
  <c r="BH506" i="14"/>
  <c r="BH519" i="14"/>
  <c r="BI505" i="14" s="1"/>
  <c r="AD54" i="14"/>
  <c r="AD56" i="14" s="1"/>
  <c r="AE540" i="14"/>
  <c r="AF537" i="14" l="1"/>
  <c r="AF538" i="14" s="1"/>
  <c r="AF540" i="14" s="1"/>
  <c r="AG527" i="14"/>
  <c r="AG475" i="14"/>
  <c r="BL476" i="14"/>
  <c r="BI506" i="14"/>
  <c r="BI519" i="14"/>
  <c r="BJ505" i="14" s="1"/>
  <c r="AE543" i="14"/>
  <c r="AG541" i="14" l="1"/>
  <c r="AG487" i="14"/>
  <c r="AH473" i="14" s="1"/>
  <c r="AH474" i="14" s="1"/>
  <c r="AG542" i="14"/>
  <c r="AG528" i="14"/>
  <c r="AG529" i="14" s="1"/>
  <c r="BM476" i="14"/>
  <c r="BJ506" i="14"/>
  <c r="BJ519" i="14"/>
  <c r="BK505" i="14" s="1"/>
  <c r="AF543" i="14"/>
  <c r="AE54" i="14"/>
  <c r="AE56" i="14" s="1"/>
  <c r="AG530" i="14" l="1"/>
  <c r="AG537" i="14"/>
  <c r="AG538" i="14" s="1"/>
  <c r="AG540" i="14" s="1"/>
  <c r="AG543" i="14" s="1"/>
  <c r="AH527" i="14"/>
  <c r="AH475" i="14"/>
  <c r="BN476" i="14"/>
  <c r="BK506" i="14"/>
  <c r="BK519" i="14"/>
  <c r="BL505" i="14" s="1"/>
  <c r="AF54" i="14"/>
  <c r="AF56" i="14" s="1"/>
  <c r="AH542" i="14" l="1"/>
  <c r="AH528" i="14"/>
  <c r="AH529" i="14" s="1"/>
  <c r="AH541" i="14"/>
  <c r="AH487" i="14"/>
  <c r="AI473" i="14" s="1"/>
  <c r="AI474" i="14" s="1"/>
  <c r="BO476" i="14"/>
  <c r="AG54" i="14"/>
  <c r="AG56" i="14" s="1"/>
  <c r="BL506" i="14"/>
  <c r="BL519" i="14"/>
  <c r="BM505" i="14" s="1"/>
  <c r="AI527" i="14" l="1"/>
  <c r="AI475" i="14"/>
  <c r="AH530" i="14"/>
  <c r="AH537" i="14"/>
  <c r="AH538" i="14" s="1"/>
  <c r="AH540" i="14" s="1"/>
  <c r="AH543" i="14" s="1"/>
  <c r="AH54" i="14" s="1"/>
  <c r="AH56" i="14" s="1"/>
  <c r="BP476" i="14"/>
  <c r="BM506" i="14"/>
  <c r="BM519" i="14"/>
  <c r="BN505" i="14" s="1"/>
  <c r="AI541" i="14" l="1"/>
  <c r="AI487" i="14"/>
  <c r="AJ473" i="14" s="1"/>
  <c r="AJ474" i="14" s="1"/>
  <c r="AI542" i="14"/>
  <c r="AI528" i="14"/>
  <c r="AI529" i="14" s="1"/>
  <c r="BQ476" i="14"/>
  <c r="BN506" i="14"/>
  <c r="BN519" i="14"/>
  <c r="BO505" i="14" s="1"/>
  <c r="AI530" i="14" l="1"/>
  <c r="AI537" i="14"/>
  <c r="AI538" i="14" s="1"/>
  <c r="AI540" i="14" s="1"/>
  <c r="AI543" i="14" s="1"/>
  <c r="AI54" i="14" s="1"/>
  <c r="AI56" i="14" s="1"/>
  <c r="AJ527" i="14"/>
  <c r="AJ475" i="14"/>
  <c r="BR476" i="14"/>
  <c r="BO506" i="14"/>
  <c r="BO519" i="14"/>
  <c r="BP505" i="14" s="1"/>
  <c r="AJ541" i="14" l="1"/>
  <c r="AJ487" i="14"/>
  <c r="AK473" i="14" s="1"/>
  <c r="AK474" i="14" s="1"/>
  <c r="AJ542" i="14"/>
  <c r="AJ528" i="14"/>
  <c r="BS476" i="14"/>
  <c r="BP506" i="14"/>
  <c r="BP519" i="14"/>
  <c r="BQ505" i="14" s="1"/>
  <c r="AK527" i="14" l="1"/>
  <c r="AK475" i="14"/>
  <c r="AJ529" i="14"/>
  <c r="AJ537" i="14" s="1"/>
  <c r="AJ538" i="14" s="1"/>
  <c r="AJ540" i="14" s="1"/>
  <c r="AJ543" i="14" s="1"/>
  <c r="AJ54" i="14" s="1"/>
  <c r="AJ56" i="14" s="1"/>
  <c r="BT476" i="14"/>
  <c r="BQ506" i="14"/>
  <c r="BQ519" i="14"/>
  <c r="BR505" i="14" s="1"/>
  <c r="AJ530" i="14" l="1"/>
  <c r="AK541" i="14"/>
  <c r="AK487" i="14"/>
  <c r="AL473" i="14" s="1"/>
  <c r="AL474" i="14" s="1"/>
  <c r="AK528" i="14"/>
  <c r="AK529" i="14" s="1"/>
  <c r="AK542" i="14"/>
  <c r="BU476" i="14"/>
  <c r="BR506" i="14"/>
  <c r="BR519" i="14"/>
  <c r="BS505" i="14" s="1"/>
  <c r="AK530" i="14" l="1"/>
  <c r="AK537" i="14"/>
  <c r="AK538" i="14" s="1"/>
  <c r="AK540" i="14" s="1"/>
  <c r="AK543" i="14" s="1"/>
  <c r="AK54" i="14" s="1"/>
  <c r="AK56" i="14" s="1"/>
  <c r="AL527" i="14"/>
  <c r="AL475" i="14"/>
  <c r="BV476" i="14"/>
  <c r="BS506" i="14"/>
  <c r="BS519" i="14"/>
  <c r="BT505" i="14" s="1"/>
  <c r="AL541" i="14" l="1"/>
  <c r="AL487" i="14"/>
  <c r="AM473" i="14" s="1"/>
  <c r="AM474" i="14" s="1"/>
  <c r="AL542" i="14"/>
  <c r="AL528" i="14"/>
  <c r="BW476" i="14"/>
  <c r="BT506" i="14"/>
  <c r="BT519" i="14"/>
  <c r="BU505" i="14" s="1"/>
  <c r="AL529" i="14" l="1"/>
  <c r="AL537" i="14" s="1"/>
  <c r="AL538" i="14" s="1"/>
  <c r="AL540" i="14" s="1"/>
  <c r="AL543" i="14" s="1"/>
  <c r="AL54" i="14" s="1"/>
  <c r="AL56" i="14" s="1"/>
  <c r="AM527" i="14"/>
  <c r="AM475" i="14"/>
  <c r="BX476" i="14"/>
  <c r="BU506" i="14"/>
  <c r="BU519" i="14"/>
  <c r="BV505" i="14" s="1"/>
  <c r="AL530" i="14" l="1"/>
  <c r="AM541" i="14"/>
  <c r="AM487" i="14"/>
  <c r="AN473" i="14" s="1"/>
  <c r="AN474" i="14" s="1"/>
  <c r="AM542" i="14"/>
  <c r="AM528" i="14"/>
  <c r="BY476" i="14"/>
  <c r="BV506" i="14"/>
  <c r="BV519" i="14"/>
  <c r="BW505" i="14" s="1"/>
  <c r="AM529" i="14" l="1"/>
  <c r="AM537" i="14" s="1"/>
  <c r="AM538" i="14" s="1"/>
  <c r="AM540" i="14" s="1"/>
  <c r="AM543" i="14" s="1"/>
  <c r="AM54" i="14" s="1"/>
  <c r="AM56" i="14" s="1"/>
  <c r="AN527" i="14"/>
  <c r="AN475" i="14"/>
  <c r="BW506" i="14"/>
  <c r="BW519" i="14"/>
  <c r="BX505" i="14" s="1"/>
  <c r="AM530" i="14" l="1"/>
  <c r="AN528" i="14"/>
  <c r="AN529" i="14" s="1"/>
  <c r="AN542" i="14"/>
  <c r="AN541" i="14"/>
  <c r="AN487" i="14"/>
  <c r="AO473" i="14" s="1"/>
  <c r="AO474" i="14" s="1"/>
  <c r="BX506" i="14"/>
  <c r="BX519" i="14"/>
  <c r="BY505" i="14" s="1"/>
  <c r="AO527" i="14" l="1"/>
  <c r="AO475" i="14"/>
  <c r="AN530" i="14"/>
  <c r="AN537" i="14"/>
  <c r="AN538" i="14" s="1"/>
  <c r="AN540" i="14" s="1"/>
  <c r="AN543" i="14" s="1"/>
  <c r="AN54" i="14" s="1"/>
  <c r="AN56" i="14" s="1"/>
  <c r="BY506" i="14"/>
  <c r="BY519" i="14"/>
  <c r="AO541" i="14" l="1"/>
  <c r="AO487" i="14"/>
  <c r="AP473" i="14" s="1"/>
  <c r="AP474" i="14" s="1"/>
  <c r="AO528" i="14"/>
  <c r="AO542" i="14"/>
  <c r="AP527" i="14" l="1"/>
  <c r="AP475" i="14"/>
  <c r="AO529" i="14"/>
  <c r="AO537" i="14" s="1"/>
  <c r="AO538" i="14" s="1"/>
  <c r="AO540" i="14" s="1"/>
  <c r="AO543" i="14" s="1"/>
  <c r="AO54" i="14" s="1"/>
  <c r="AO56" i="14" s="1"/>
  <c r="AO530" i="14" l="1"/>
  <c r="AP541" i="14"/>
  <c r="AP487" i="14"/>
  <c r="AQ473" i="14" s="1"/>
  <c r="AQ474" i="14" s="1"/>
  <c r="AP528" i="14"/>
  <c r="AP529" i="14" s="1"/>
  <c r="AP542" i="14"/>
  <c r="AP530" i="14" l="1"/>
  <c r="AP537" i="14"/>
  <c r="AP538" i="14" s="1"/>
  <c r="AP540" i="14" s="1"/>
  <c r="AP543" i="14" s="1"/>
  <c r="AP54" i="14" s="1"/>
  <c r="AP56" i="14" s="1"/>
  <c r="AQ527" i="14"/>
  <c r="AQ475" i="14"/>
  <c r="AQ541" i="14" l="1"/>
  <c r="AQ487" i="14"/>
  <c r="AR473" i="14" s="1"/>
  <c r="AR474" i="14" s="1"/>
  <c r="AQ542" i="14"/>
  <c r="AQ528" i="14"/>
  <c r="AQ529" i="14" s="1"/>
  <c r="AQ530" i="14" l="1"/>
  <c r="AQ537" i="14"/>
  <c r="AQ538" i="14" s="1"/>
  <c r="AQ540" i="14" s="1"/>
  <c r="AQ543" i="14" s="1"/>
  <c r="AQ54" i="14" s="1"/>
  <c r="AQ56" i="14" s="1"/>
  <c r="AR527" i="14"/>
  <c r="AR475" i="14"/>
  <c r="AR541" i="14" l="1"/>
  <c r="AR487" i="14"/>
  <c r="AS473" i="14" s="1"/>
  <c r="AS474" i="14" s="1"/>
  <c r="AR528" i="14"/>
  <c r="AR542" i="14"/>
  <c r="AR529" i="14" l="1"/>
  <c r="AR537" i="14" s="1"/>
  <c r="AR538" i="14" s="1"/>
  <c r="AR540" i="14" s="1"/>
  <c r="AR543" i="14" s="1"/>
  <c r="AR54" i="14" s="1"/>
  <c r="AR56" i="14" s="1"/>
  <c r="AS527" i="14"/>
  <c r="AS475" i="14"/>
  <c r="AS541" i="14" l="1"/>
  <c r="AS487" i="14"/>
  <c r="AT473" i="14" s="1"/>
  <c r="AT474" i="14" s="1"/>
  <c r="AS528" i="14"/>
  <c r="AS529" i="14" s="1"/>
  <c r="AS542" i="14"/>
  <c r="AR530" i="14"/>
  <c r="AS530" i="14" l="1"/>
  <c r="AS537" i="14"/>
  <c r="AS538" i="14" s="1"/>
  <c r="AS540" i="14" s="1"/>
  <c r="AS543" i="14" s="1"/>
  <c r="AS54" i="14" s="1"/>
  <c r="AS56" i="14" s="1"/>
  <c r="AT527" i="14"/>
  <c r="AT475" i="14"/>
  <c r="AT541" i="14" l="1"/>
  <c r="AT487" i="14"/>
  <c r="AU473" i="14" s="1"/>
  <c r="AU474" i="14" s="1"/>
  <c r="AT528" i="14"/>
  <c r="AT529" i="14" s="1"/>
  <c r="AT542" i="14"/>
  <c r="AT530" i="14" l="1"/>
  <c r="AT537" i="14"/>
  <c r="AT538" i="14" s="1"/>
  <c r="AT540" i="14" s="1"/>
  <c r="AT543" i="14" s="1"/>
  <c r="AT54" i="14" s="1"/>
  <c r="AT56" i="14" s="1"/>
  <c r="AU527" i="14"/>
  <c r="AU475" i="14"/>
  <c r="AU541" i="14" l="1"/>
  <c r="AU487" i="14"/>
  <c r="AV473" i="14" s="1"/>
  <c r="AV474" i="14" s="1"/>
  <c r="AU542" i="14"/>
  <c r="AU528" i="14"/>
  <c r="AU529" i="14" s="1"/>
  <c r="AU530" i="14" l="1"/>
  <c r="AU537" i="14"/>
  <c r="AU538" i="14" s="1"/>
  <c r="AU540" i="14" s="1"/>
  <c r="AU543" i="14" s="1"/>
  <c r="AU54" i="14" s="1"/>
  <c r="AU56" i="14" s="1"/>
  <c r="AV527" i="14"/>
  <c r="AV475" i="14"/>
  <c r="AV541" i="14" l="1"/>
  <c r="AV487" i="14"/>
  <c r="AW473" i="14" s="1"/>
  <c r="AW474" i="14" s="1"/>
  <c r="AV542" i="14"/>
  <c r="AV528" i="14"/>
  <c r="AV529" i="14" s="1"/>
  <c r="AW527" i="14" l="1"/>
  <c r="AW475" i="14"/>
  <c r="AV530" i="14"/>
  <c r="AV537" i="14"/>
  <c r="AV538" i="14" s="1"/>
  <c r="AV540" i="14" s="1"/>
  <c r="AV543" i="14" s="1"/>
  <c r="AV54" i="14" s="1"/>
  <c r="AV56" i="14" s="1"/>
  <c r="AW541" i="14" l="1"/>
  <c r="AW487" i="14"/>
  <c r="AX473" i="14" s="1"/>
  <c r="AX474" i="14" s="1"/>
  <c r="AW542" i="14"/>
  <c r="AW528" i="14"/>
  <c r="AW529" i="14" l="1"/>
  <c r="AW537" i="14" s="1"/>
  <c r="AW538" i="14" s="1"/>
  <c r="AW540" i="14" s="1"/>
  <c r="AW543" i="14" s="1"/>
  <c r="AW54" i="14" s="1"/>
  <c r="AW56" i="14" s="1"/>
  <c r="AX527" i="14"/>
  <c r="AX475" i="14"/>
  <c r="AW530" i="14" l="1"/>
  <c r="AX541" i="14"/>
  <c r="AX487" i="14"/>
  <c r="AY473" i="14" s="1"/>
  <c r="AY474" i="14" s="1"/>
  <c r="AX528" i="14"/>
  <c r="AX529" i="14" s="1"/>
  <c r="AX542" i="14"/>
  <c r="AY527" i="14" l="1"/>
  <c r="AY475" i="14"/>
  <c r="AX530" i="14"/>
  <c r="AX537" i="14"/>
  <c r="AX538" i="14" s="1"/>
  <c r="AX540" i="14" s="1"/>
  <c r="AX543" i="14" s="1"/>
  <c r="AX54" i="14" s="1"/>
  <c r="AX56" i="14" s="1"/>
  <c r="AY541" i="14" l="1"/>
  <c r="AY487" i="14"/>
  <c r="AZ473" i="14" s="1"/>
  <c r="AZ474" i="14" s="1"/>
  <c r="AY542" i="14"/>
  <c r="AY528" i="14"/>
  <c r="AY529" i="14" s="1"/>
  <c r="AY530" i="14" l="1"/>
  <c r="AY537" i="14"/>
  <c r="AY538" i="14" s="1"/>
  <c r="AY540" i="14" s="1"/>
  <c r="AY543" i="14" s="1"/>
  <c r="AY54" i="14" s="1"/>
  <c r="AY56" i="14" s="1"/>
  <c r="AZ527" i="14"/>
  <c r="AZ475" i="14"/>
  <c r="AZ541" i="14" l="1"/>
  <c r="AZ487" i="14"/>
  <c r="BA473" i="14" s="1"/>
  <c r="BA474" i="14" s="1"/>
  <c r="AZ542" i="14"/>
  <c r="AZ528" i="14"/>
  <c r="AZ529" i="14" s="1"/>
  <c r="AZ530" i="14" l="1"/>
  <c r="AZ537" i="14"/>
  <c r="AZ538" i="14" s="1"/>
  <c r="AZ540" i="14" s="1"/>
  <c r="AZ543" i="14" s="1"/>
  <c r="AZ54" i="14" s="1"/>
  <c r="AZ56" i="14" s="1"/>
  <c r="BA527" i="14"/>
  <c r="BA475" i="14"/>
  <c r="BA541" i="14" l="1"/>
  <c r="BA487" i="14"/>
  <c r="BB473" i="14" s="1"/>
  <c r="BB474" i="14" s="1"/>
  <c r="BA542" i="14"/>
  <c r="BA528" i="14"/>
  <c r="BA529" i="14" l="1"/>
  <c r="BA537" i="14" s="1"/>
  <c r="BA538" i="14" s="1"/>
  <c r="BA540" i="14" s="1"/>
  <c r="BA543" i="14" s="1"/>
  <c r="BA54" i="14" s="1"/>
  <c r="BA56" i="14" s="1"/>
  <c r="BB527" i="14"/>
  <c r="BB475" i="14"/>
  <c r="BA530" i="14" l="1"/>
  <c r="BB541" i="14"/>
  <c r="BB487" i="14"/>
  <c r="BC473" i="14" s="1"/>
  <c r="BC474" i="14" s="1"/>
  <c r="BB528" i="14"/>
  <c r="BB542" i="14"/>
  <c r="BC527" i="14" l="1"/>
  <c r="BC475" i="14"/>
  <c r="BB529" i="14"/>
  <c r="BB537" i="14" s="1"/>
  <c r="BB538" i="14" s="1"/>
  <c r="BB540" i="14" s="1"/>
  <c r="BB543" i="14" s="1"/>
  <c r="BB54" i="14" s="1"/>
  <c r="BB56" i="14" s="1"/>
  <c r="BB530" i="14" l="1"/>
  <c r="BC541" i="14"/>
  <c r="BC487" i="14"/>
  <c r="BD473" i="14" s="1"/>
  <c r="BD474" i="14" s="1"/>
  <c r="BC542" i="14"/>
  <c r="BC528" i="14"/>
  <c r="BC529" i="14" s="1"/>
  <c r="BD527" i="14" l="1"/>
  <c r="BD475" i="14"/>
  <c r="BC530" i="14"/>
  <c r="BC537" i="14"/>
  <c r="BC538" i="14" s="1"/>
  <c r="BC540" i="14" s="1"/>
  <c r="BC543" i="14" s="1"/>
  <c r="BC54" i="14" s="1"/>
  <c r="BC56" i="14" s="1"/>
  <c r="BD541" i="14" l="1"/>
  <c r="BD487" i="14"/>
  <c r="BE473" i="14" s="1"/>
  <c r="BE474" i="14" s="1"/>
  <c r="BD528" i="14"/>
  <c r="BD529" i="14" s="1"/>
  <c r="BD542" i="14"/>
  <c r="BE527" i="14" l="1"/>
  <c r="BE475" i="14"/>
  <c r="BD530" i="14"/>
  <c r="BD537" i="14"/>
  <c r="BD538" i="14" s="1"/>
  <c r="BD540" i="14" s="1"/>
  <c r="BD543" i="14" s="1"/>
  <c r="BD54" i="14" s="1"/>
  <c r="BD56" i="14" s="1"/>
  <c r="BE541" i="14" l="1"/>
  <c r="BE487" i="14"/>
  <c r="BF473" i="14" s="1"/>
  <c r="BF474" i="14" s="1"/>
  <c r="BE528" i="14"/>
  <c r="BE529" i="14" s="1"/>
  <c r="BE542" i="14"/>
  <c r="BE530" i="14" l="1"/>
  <c r="BE537" i="14"/>
  <c r="BE538" i="14" s="1"/>
  <c r="BE540" i="14" s="1"/>
  <c r="BE543" i="14" s="1"/>
  <c r="BE54" i="14" s="1"/>
  <c r="BE56" i="14" s="1"/>
  <c r="BF527" i="14"/>
  <c r="BF475" i="14"/>
  <c r="C959" i="14"/>
  <c r="BF528" i="14" l="1"/>
  <c r="BF542" i="14"/>
  <c r="BF541" i="14"/>
  <c r="BF487" i="14"/>
  <c r="BG473" i="14" s="1"/>
  <c r="BG474" i="14" s="1"/>
  <c r="J1255" i="14"/>
  <c r="J1367" i="14" s="1"/>
  <c r="J1058" i="14"/>
  <c r="I1255" i="14"/>
  <c r="I1367" i="14" s="1"/>
  <c r="I1058" i="14"/>
  <c r="BQ1045" i="14"/>
  <c r="BH1045" i="14"/>
  <c r="AR1045" i="14"/>
  <c r="C974" i="14"/>
  <c r="H974" i="14" s="1"/>
  <c r="C1014" i="14"/>
  <c r="AE1045" i="14"/>
  <c r="BB1045" i="14"/>
  <c r="BY1045" i="14"/>
  <c r="AO1045" i="14"/>
  <c r="AG1045" i="14"/>
  <c r="AK1045" i="14"/>
  <c r="BK1045" i="14"/>
  <c r="BP1045" i="14"/>
  <c r="BU1045" i="14"/>
  <c r="BI1045" i="14"/>
  <c r="R1045" i="14"/>
  <c r="BC1045" i="14"/>
  <c r="P1045" i="14"/>
  <c r="AL1045" i="14"/>
  <c r="AW1045" i="14"/>
  <c r="X1045" i="14"/>
  <c r="S1045" i="14"/>
  <c r="BW1045" i="14"/>
  <c r="AQ1045" i="14"/>
  <c r="BA1045" i="14"/>
  <c r="BE1045" i="14"/>
  <c r="AU1045" i="14"/>
  <c r="AX1045" i="14"/>
  <c r="T1045" i="14"/>
  <c r="AF1045" i="14"/>
  <c r="BG1045" i="14"/>
  <c r="AV1045" i="14"/>
  <c r="AY1045" i="14"/>
  <c r="BO1045" i="14"/>
  <c r="BS1045" i="14"/>
  <c r="BN1045" i="14"/>
  <c r="Y1045" i="14"/>
  <c r="AJ1045" i="14"/>
  <c r="I1045" i="14"/>
  <c r="AI1045" i="14"/>
  <c r="AC1045" i="14"/>
  <c r="AA1045" i="14"/>
  <c r="AD1045" i="14"/>
  <c r="W1045" i="14"/>
  <c r="BL1045" i="14"/>
  <c r="AN1045" i="14"/>
  <c r="AP1045" i="14"/>
  <c r="AT1045" i="14"/>
  <c r="BJ1045" i="14"/>
  <c r="O1045" i="14"/>
  <c r="J1045" i="14"/>
  <c r="N1045" i="14"/>
  <c r="BV1045" i="14"/>
  <c r="BT1045" i="14"/>
  <c r="H1045" i="14"/>
  <c r="C982" i="14"/>
  <c r="AM1045" i="14"/>
  <c r="Q1045" i="14"/>
  <c r="BD1045" i="14"/>
  <c r="Z1045" i="14"/>
  <c r="U1045" i="14"/>
  <c r="BF1045" i="14"/>
  <c r="M1045" i="14"/>
  <c r="L1045" i="14"/>
  <c r="AS1045" i="14"/>
  <c r="AB1045" i="14"/>
  <c r="K1045" i="14"/>
  <c r="BX1045" i="14"/>
  <c r="AZ1045" i="14"/>
  <c r="BR1045" i="14"/>
  <c r="AH1045" i="14"/>
  <c r="V1045" i="14"/>
  <c r="BM1045" i="14"/>
  <c r="H1259" i="14" l="1"/>
  <c r="D132" i="20" s="1"/>
  <c r="D15" i="20" s="1"/>
  <c r="H979" i="14"/>
  <c r="H1011" i="14" s="1"/>
  <c r="BG527" i="14"/>
  <c r="BG475" i="14"/>
  <c r="BF529" i="14"/>
  <c r="BF537" i="14" s="1"/>
  <c r="BF538" i="14" s="1"/>
  <c r="BF540" i="14" s="1"/>
  <c r="BF543" i="14" s="1"/>
  <c r="BF54" i="14" s="1"/>
  <c r="BF56" i="14" s="1"/>
  <c r="I974" i="14"/>
  <c r="J974" i="14" s="1"/>
  <c r="BE1053" i="14"/>
  <c r="BE1054" i="14"/>
  <c r="AX1053" i="14"/>
  <c r="AX1054" i="14"/>
  <c r="AG1054" i="14"/>
  <c r="AG1053" i="14"/>
  <c r="H1054" i="14"/>
  <c r="H1053" i="14"/>
  <c r="H1047" i="14"/>
  <c r="BK1054" i="14"/>
  <c r="BK1053" i="14"/>
  <c r="BD1054" i="14"/>
  <c r="BD1053" i="14"/>
  <c r="Q1053" i="14"/>
  <c r="Q1054" i="14"/>
  <c r="BM1053" i="14"/>
  <c r="BM1054" i="14"/>
  <c r="AM1054" i="14"/>
  <c r="AM1053" i="14"/>
  <c r="BA1054" i="14"/>
  <c r="BA1053" i="14"/>
  <c r="V1053" i="14"/>
  <c r="V1054" i="14"/>
  <c r="BY1053" i="14"/>
  <c r="BY1054" i="14"/>
  <c r="BW1054" i="14"/>
  <c r="BW1053" i="14"/>
  <c r="AJ1054" i="14"/>
  <c r="AJ1053" i="14"/>
  <c r="Y1053" i="14"/>
  <c r="Y1054" i="14"/>
  <c r="AV1053" i="14"/>
  <c r="AV1054" i="14"/>
  <c r="AU1054" i="14"/>
  <c r="AU1053" i="14"/>
  <c r="Z1053" i="14"/>
  <c r="Z1054" i="14"/>
  <c r="AK1054" i="14"/>
  <c r="AK1053" i="14"/>
  <c r="AQ1053" i="14"/>
  <c r="AQ1054" i="14"/>
  <c r="AH1054" i="14"/>
  <c r="AH1053" i="14"/>
  <c r="I1054" i="14"/>
  <c r="I1053" i="14"/>
  <c r="BB1053" i="14"/>
  <c r="BB1054" i="14"/>
  <c r="BT1054" i="14"/>
  <c r="BT1053" i="14"/>
  <c r="AE1053" i="14"/>
  <c r="AE1054" i="14"/>
  <c r="BV1054" i="14"/>
  <c r="BV1053" i="14"/>
  <c r="N1054" i="14"/>
  <c r="N1053" i="14"/>
  <c r="K1053" i="14"/>
  <c r="K1054" i="14"/>
  <c r="J1054" i="14"/>
  <c r="J1053" i="14"/>
  <c r="BS1054" i="14"/>
  <c r="BS1053" i="14"/>
  <c r="AR1054" i="14"/>
  <c r="AR1053" i="14"/>
  <c r="O1053" i="14"/>
  <c r="O1054" i="14"/>
  <c r="BO1053" i="14"/>
  <c r="BO1054" i="14"/>
  <c r="P1053" i="14"/>
  <c r="P1054" i="14"/>
  <c r="AS1054" i="14"/>
  <c r="AS1053" i="14"/>
  <c r="AY1053" i="14"/>
  <c r="AY1054" i="14"/>
  <c r="BQ1054" i="14"/>
  <c r="BQ1053" i="14"/>
  <c r="AT1054" i="14"/>
  <c r="AT1053" i="14"/>
  <c r="AP1054" i="14"/>
  <c r="AP1053" i="14"/>
  <c r="BI1054" i="14"/>
  <c r="BI1053" i="14"/>
  <c r="BF1053" i="14"/>
  <c r="BF1054" i="14"/>
  <c r="AN1053" i="14"/>
  <c r="AN1054" i="14"/>
  <c r="AF1053" i="14"/>
  <c r="AF1054" i="14"/>
  <c r="BU1053" i="14"/>
  <c r="BU1054" i="14"/>
  <c r="W1053" i="14"/>
  <c r="W1054" i="14"/>
  <c r="AD1054" i="14"/>
  <c r="AD1053" i="14"/>
  <c r="AA1054" i="14"/>
  <c r="AA1053" i="14"/>
  <c r="AC1053" i="14"/>
  <c r="AC1054" i="14"/>
  <c r="AO1053" i="14"/>
  <c r="AO1054" i="14"/>
  <c r="AI1054" i="14"/>
  <c r="AI1053" i="14"/>
  <c r="BR1053" i="14"/>
  <c r="BR1054" i="14"/>
  <c r="S1054" i="14"/>
  <c r="S1053" i="14"/>
  <c r="AZ1053" i="14"/>
  <c r="AZ1054" i="14"/>
  <c r="X1054" i="14"/>
  <c r="X1053" i="14"/>
  <c r="BX1053" i="14"/>
  <c r="BX1054" i="14"/>
  <c r="BN1054" i="14"/>
  <c r="BN1053" i="14"/>
  <c r="AW1053" i="14"/>
  <c r="AW1054" i="14"/>
  <c r="AL1053" i="14"/>
  <c r="AL1054" i="14"/>
  <c r="AB1054" i="14"/>
  <c r="AB1053" i="14"/>
  <c r="BH1053" i="14"/>
  <c r="BH1054" i="14"/>
  <c r="BJ1054" i="14"/>
  <c r="BJ1053" i="14"/>
  <c r="BC1053" i="14"/>
  <c r="BC1054" i="14"/>
  <c r="L1054" i="14"/>
  <c r="L1053" i="14"/>
  <c r="R1053" i="14"/>
  <c r="R1054" i="14"/>
  <c r="M1053" i="14"/>
  <c r="M1054" i="14"/>
  <c r="BG1054" i="14"/>
  <c r="BG1053" i="14"/>
  <c r="U1054" i="14"/>
  <c r="U1053" i="14"/>
  <c r="BL1053" i="14"/>
  <c r="BL1054" i="14"/>
  <c r="T1054" i="14"/>
  <c r="T1053" i="14"/>
  <c r="BP1053" i="14"/>
  <c r="BP1054" i="14"/>
  <c r="H991" i="14" l="1"/>
  <c r="H987" i="14"/>
  <c r="H992" i="14"/>
  <c r="H989" i="14"/>
  <c r="H986" i="14"/>
  <c r="H990" i="14"/>
  <c r="H988" i="14"/>
  <c r="BF530" i="14"/>
  <c r="BG541" i="14"/>
  <c r="BG487" i="14"/>
  <c r="BH473" i="14" s="1"/>
  <c r="BH474" i="14" s="1"/>
  <c r="BG528" i="14"/>
  <c r="BG542" i="14"/>
  <c r="K974" i="14"/>
  <c r="L974" i="14" s="1"/>
  <c r="M974" i="14" s="1"/>
  <c r="I979" i="14"/>
  <c r="J979" i="14" s="1"/>
  <c r="H1048" i="14"/>
  <c r="H1049" i="14" s="1"/>
  <c r="H1020" i="14"/>
  <c r="H1016" i="14"/>
  <c r="H1018" i="14"/>
  <c r="H1019" i="14"/>
  <c r="H1021" i="14"/>
  <c r="H1023" i="14"/>
  <c r="H1024" i="14"/>
  <c r="H1017" i="14"/>
  <c r="H1022" i="14"/>
  <c r="BG529" i="14" l="1"/>
  <c r="BG537" i="14" s="1"/>
  <c r="BG538" i="14" s="1"/>
  <c r="BG540" i="14" s="1"/>
  <c r="BG543" i="14" s="1"/>
  <c r="BG54" i="14" s="1"/>
  <c r="BG56" i="14" s="1"/>
  <c r="BH527" i="14"/>
  <c r="BH475" i="14"/>
  <c r="I1011" i="14"/>
  <c r="J1011" i="14" s="1"/>
  <c r="N974" i="14"/>
  <c r="O974" i="14" s="1"/>
  <c r="K979" i="14"/>
  <c r="I990" i="14"/>
  <c r="I989" i="14"/>
  <c r="I992" i="14"/>
  <c r="I988" i="14"/>
  <c r="I991" i="14"/>
  <c r="I986" i="14"/>
  <c r="I987" i="14"/>
  <c r="H1056" i="14"/>
  <c r="BG530" i="14" l="1"/>
  <c r="BH542" i="14"/>
  <c r="BH528" i="14"/>
  <c r="BH529" i="14" s="1"/>
  <c r="BH541" i="14"/>
  <c r="BH487" i="14"/>
  <c r="BI473" i="14" s="1"/>
  <c r="BI474" i="14" s="1"/>
  <c r="I1021" i="14"/>
  <c r="L979" i="14"/>
  <c r="K1011" i="14"/>
  <c r="I1019" i="14"/>
  <c r="I1024" i="14"/>
  <c r="I1016" i="14"/>
  <c r="I1022" i="14"/>
  <c r="I1020" i="14"/>
  <c r="P974" i="14"/>
  <c r="I1017" i="14"/>
  <c r="I1018" i="14"/>
  <c r="I1023" i="14"/>
  <c r="H1057" i="14"/>
  <c r="J1018" i="14"/>
  <c r="J1017" i="14"/>
  <c r="J1016" i="14"/>
  <c r="J1023" i="14"/>
  <c r="J1019" i="14"/>
  <c r="J1022" i="14"/>
  <c r="J1024" i="14"/>
  <c r="J1020" i="14"/>
  <c r="J1021" i="14"/>
  <c r="J992" i="14"/>
  <c r="J990" i="14"/>
  <c r="J986" i="14"/>
  <c r="J991" i="14"/>
  <c r="J989" i="14"/>
  <c r="J988" i="14"/>
  <c r="J987" i="14"/>
  <c r="BI527" i="14" l="1"/>
  <c r="BI475" i="14"/>
  <c r="BH530" i="14"/>
  <c r="BH537" i="14"/>
  <c r="BH538" i="14" s="1"/>
  <c r="BH540" i="14" s="1"/>
  <c r="BH543" i="14" s="1"/>
  <c r="BH54" i="14" s="1"/>
  <c r="BH56" i="14" s="1"/>
  <c r="Q974" i="14"/>
  <c r="L1011" i="14"/>
  <c r="M979" i="14"/>
  <c r="H1059" i="14"/>
  <c r="K1018" i="14"/>
  <c r="K1024" i="14"/>
  <c r="K1021" i="14"/>
  <c r="K1017" i="14"/>
  <c r="K1022" i="14"/>
  <c r="K1023" i="14"/>
  <c r="K1020" i="14"/>
  <c r="K1016" i="14"/>
  <c r="K1019" i="14"/>
  <c r="K992" i="14"/>
  <c r="K986" i="14"/>
  <c r="K990" i="14"/>
  <c r="K989" i="14"/>
  <c r="K987" i="14"/>
  <c r="K991" i="14"/>
  <c r="K988" i="14"/>
  <c r="BI541" i="14" l="1"/>
  <c r="BI487" i="14"/>
  <c r="BJ473" i="14" s="1"/>
  <c r="BJ474" i="14" s="1"/>
  <c r="BI528" i="14"/>
  <c r="BI542" i="14"/>
  <c r="M1011" i="14"/>
  <c r="M1017" i="14" s="1"/>
  <c r="N979" i="14"/>
  <c r="R974" i="14"/>
  <c r="L1016" i="14"/>
  <c r="L1018" i="14"/>
  <c r="L1020" i="14"/>
  <c r="L1019" i="14"/>
  <c r="L1017" i="14"/>
  <c r="L1024" i="14"/>
  <c r="L1022" i="14"/>
  <c r="L1023" i="14"/>
  <c r="L1021" i="14"/>
  <c r="L988" i="14"/>
  <c r="L987" i="14"/>
  <c r="L986" i="14"/>
  <c r="L990" i="14"/>
  <c r="L989" i="14"/>
  <c r="L991" i="14"/>
  <c r="L992" i="14"/>
  <c r="M986" i="14"/>
  <c r="BI529" i="14" l="1"/>
  <c r="BI537" i="14" s="1"/>
  <c r="BI538" i="14" s="1"/>
  <c r="BI540" i="14" s="1"/>
  <c r="BI543" i="14" s="1"/>
  <c r="BI54" i="14" s="1"/>
  <c r="BI56" i="14" s="1"/>
  <c r="BJ527" i="14"/>
  <c r="BJ475" i="14"/>
  <c r="O979" i="14"/>
  <c r="P979" i="14" s="1"/>
  <c r="N1011" i="14"/>
  <c r="N1018" i="14" s="1"/>
  <c r="S974" i="14"/>
  <c r="M991" i="14"/>
  <c r="M987" i="14"/>
  <c r="M992" i="14"/>
  <c r="M988" i="14"/>
  <c r="M990" i="14"/>
  <c r="M1023" i="14"/>
  <c r="M1016" i="14"/>
  <c r="M1019" i="14"/>
  <c r="M1020" i="14"/>
  <c r="M1022" i="14"/>
  <c r="M1021" i="14"/>
  <c r="M1024" i="14"/>
  <c r="M1018" i="14"/>
  <c r="M989" i="14"/>
  <c r="BI530" i="14" l="1"/>
  <c r="BJ528" i="14"/>
  <c r="BJ529" i="14" s="1"/>
  <c r="BJ542" i="14"/>
  <c r="BJ541" i="14"/>
  <c r="BJ487" i="14"/>
  <c r="BK473" i="14" s="1"/>
  <c r="BK474" i="14" s="1"/>
  <c r="T974" i="14"/>
  <c r="O1011" i="14"/>
  <c r="P1011" i="14" s="1"/>
  <c r="Q979" i="14"/>
  <c r="R979" i="14" s="1"/>
  <c r="N987" i="14"/>
  <c r="N992" i="14"/>
  <c r="N991" i="14"/>
  <c r="N986" i="14"/>
  <c r="N990" i="14"/>
  <c r="N989" i="14"/>
  <c r="N1016" i="14"/>
  <c r="N1020" i="14"/>
  <c r="N1022" i="14"/>
  <c r="N1024" i="14"/>
  <c r="N1023" i="14"/>
  <c r="N1021" i="14"/>
  <c r="N1017" i="14"/>
  <c r="N988" i="14"/>
  <c r="N1019" i="14"/>
  <c r="BK527" i="14" l="1"/>
  <c r="BK475" i="14"/>
  <c r="BJ530" i="14"/>
  <c r="BJ537" i="14"/>
  <c r="BJ538" i="14" s="1"/>
  <c r="BJ540" i="14" s="1"/>
  <c r="BJ543" i="14" s="1"/>
  <c r="BJ54" i="14" s="1"/>
  <c r="BJ56" i="14" s="1"/>
  <c r="O1017" i="14"/>
  <c r="S979" i="14"/>
  <c r="T979" i="14" s="1"/>
  <c r="Q1011" i="14"/>
  <c r="R1011" i="14" s="1"/>
  <c r="U974" i="14"/>
  <c r="O1024" i="14"/>
  <c r="O1023" i="14"/>
  <c r="P1018" i="14"/>
  <c r="O989" i="14"/>
  <c r="O1022" i="14"/>
  <c r="O988" i="14"/>
  <c r="O1021" i="14"/>
  <c r="O1018" i="14"/>
  <c r="O990" i="14"/>
  <c r="O1019" i="14"/>
  <c r="O1020" i="14"/>
  <c r="O987" i="14"/>
  <c r="O992" i="14"/>
  <c r="O986" i="14"/>
  <c r="O991" i="14"/>
  <c r="O1016" i="14"/>
  <c r="BK541" i="14" l="1"/>
  <c r="BK487" i="14"/>
  <c r="BL473" i="14" s="1"/>
  <c r="BL474" i="14" s="1"/>
  <c r="BK528" i="14"/>
  <c r="BK529" i="14" s="1"/>
  <c r="BK542" i="14"/>
  <c r="S1011" i="14"/>
  <c r="T1011" i="14" s="1"/>
  <c r="V974" i="14"/>
  <c r="W974" i="14" s="1"/>
  <c r="X974" i="14" s="1"/>
  <c r="U979" i="14"/>
  <c r="P988" i="14"/>
  <c r="P990" i="14"/>
  <c r="P991" i="14"/>
  <c r="P987" i="14"/>
  <c r="P1022" i="14"/>
  <c r="P986" i="14"/>
  <c r="P1019" i="14"/>
  <c r="P1021" i="14"/>
  <c r="P1017" i="14"/>
  <c r="P1023" i="14"/>
  <c r="P1020" i="14"/>
  <c r="P1016" i="14"/>
  <c r="P1024" i="14"/>
  <c r="Q1023" i="14"/>
  <c r="P992" i="14"/>
  <c r="P989" i="14"/>
  <c r="BL527" i="14" l="1"/>
  <c r="BL475" i="14"/>
  <c r="BK530" i="14"/>
  <c r="BK537" i="14"/>
  <c r="BK538" i="14" s="1"/>
  <c r="BK540" i="14" s="1"/>
  <c r="BK543" i="14" s="1"/>
  <c r="BK54" i="14" s="1"/>
  <c r="BK56" i="14" s="1"/>
  <c r="V979" i="14"/>
  <c r="W979" i="14" s="1"/>
  <c r="X979" i="14" s="1"/>
  <c r="U1011" i="14"/>
  <c r="Y974" i="14"/>
  <c r="Z974" i="14" s="1"/>
  <c r="Q1020" i="14"/>
  <c r="Q1022" i="14"/>
  <c r="Q1021" i="14"/>
  <c r="Q1016" i="14"/>
  <c r="Q1017" i="14"/>
  <c r="Q986" i="14"/>
  <c r="Q1018" i="14"/>
  <c r="Q1019" i="14"/>
  <c r="Q1024" i="14"/>
  <c r="Q991" i="14"/>
  <c r="Q988" i="14"/>
  <c r="Q989" i="14"/>
  <c r="Q992" i="14"/>
  <c r="Q990" i="14"/>
  <c r="Q987" i="14"/>
  <c r="BL541" i="14" l="1"/>
  <c r="BL487" i="14"/>
  <c r="BM473" i="14" s="1"/>
  <c r="BM474" i="14" s="1"/>
  <c r="BL528" i="14"/>
  <c r="BL529" i="14" s="1"/>
  <c r="BL542" i="14"/>
  <c r="V1011" i="14"/>
  <c r="W1011" i="14" s="1"/>
  <c r="X1011" i="14" s="1"/>
  <c r="Y979" i="14"/>
  <c r="Z979" i="14" s="1"/>
  <c r="AA974" i="14"/>
  <c r="S1017" i="14"/>
  <c r="R987" i="14"/>
  <c r="R989" i="14"/>
  <c r="R986" i="14"/>
  <c r="R990" i="14"/>
  <c r="R988" i="14"/>
  <c r="R991" i="14"/>
  <c r="R992" i="14"/>
  <c r="S991" i="14"/>
  <c r="S986" i="14"/>
  <c r="S989" i="14"/>
  <c r="S992" i="14"/>
  <c r="S988" i="14"/>
  <c r="S987" i="14"/>
  <c r="S990" i="14"/>
  <c r="BL530" i="14" l="1"/>
  <c r="BL537" i="14"/>
  <c r="BL538" i="14" s="1"/>
  <c r="BL540" i="14" s="1"/>
  <c r="BL543" i="14" s="1"/>
  <c r="BL54" i="14" s="1"/>
  <c r="BL56" i="14" s="1"/>
  <c r="BM527" i="14"/>
  <c r="BM475" i="14"/>
  <c r="Y1011" i="14"/>
  <c r="Z1011" i="14" s="1"/>
  <c r="AA979" i="14"/>
  <c r="AB974" i="14"/>
  <c r="AC974" i="14" s="1"/>
  <c r="AD974" i="14" s="1"/>
  <c r="AE974" i="14" s="1"/>
  <c r="AF974" i="14" s="1"/>
  <c r="AG974" i="14" s="1"/>
  <c r="AH974" i="14" s="1"/>
  <c r="AI974" i="14" s="1"/>
  <c r="AJ974" i="14" s="1"/>
  <c r="AK974" i="14" s="1"/>
  <c r="AL974" i="14" s="1"/>
  <c r="AM974" i="14" s="1"/>
  <c r="AN974" i="14" s="1"/>
  <c r="AO974" i="14" s="1"/>
  <c r="AP974" i="14" s="1"/>
  <c r="AQ974" i="14" s="1"/>
  <c r="AR974" i="14" s="1"/>
  <c r="AS974" i="14" s="1"/>
  <c r="AT974" i="14" s="1"/>
  <c r="AU974" i="14" s="1"/>
  <c r="AV974" i="14" s="1"/>
  <c r="AW974" i="14" s="1"/>
  <c r="AX974" i="14" s="1"/>
  <c r="AY974" i="14" s="1"/>
  <c r="AZ974" i="14" s="1"/>
  <c r="BA974" i="14" s="1"/>
  <c r="BB974" i="14" s="1"/>
  <c r="BC974" i="14" s="1"/>
  <c r="BD974" i="14" s="1"/>
  <c r="BE974" i="14" s="1"/>
  <c r="BF974" i="14" s="1"/>
  <c r="BG974" i="14" s="1"/>
  <c r="BH974" i="14" s="1"/>
  <c r="BI974" i="14" s="1"/>
  <c r="BJ974" i="14" s="1"/>
  <c r="BK974" i="14" s="1"/>
  <c r="BL974" i="14" s="1"/>
  <c r="BM974" i="14" s="1"/>
  <c r="BN974" i="14" s="1"/>
  <c r="BO974" i="14" s="1"/>
  <c r="BP974" i="14" s="1"/>
  <c r="BQ974" i="14" s="1"/>
  <c r="BR974" i="14" s="1"/>
  <c r="BS974" i="14" s="1"/>
  <c r="BT974" i="14" s="1"/>
  <c r="BU974" i="14" s="1"/>
  <c r="BV974" i="14" s="1"/>
  <c r="BW974" i="14" s="1"/>
  <c r="BX974" i="14" s="1"/>
  <c r="BY974" i="14" s="1"/>
  <c r="R1018" i="14"/>
  <c r="R1023" i="14"/>
  <c r="R1024" i="14"/>
  <c r="R1019" i="14"/>
  <c r="R1022" i="14"/>
  <c r="R1017" i="14"/>
  <c r="R1020" i="14"/>
  <c r="R1016" i="14"/>
  <c r="R1021" i="14"/>
  <c r="S1019" i="14"/>
  <c r="S1020" i="14"/>
  <c r="S1023" i="14"/>
  <c r="S1021" i="14"/>
  <c r="S1018" i="14"/>
  <c r="S1022" i="14"/>
  <c r="S1024" i="14"/>
  <c r="S1016" i="14"/>
  <c r="T988" i="14"/>
  <c r="T987" i="14"/>
  <c r="T986" i="14"/>
  <c r="T989" i="14"/>
  <c r="T992" i="14"/>
  <c r="T991" i="14"/>
  <c r="T990" i="14"/>
  <c r="BM541" i="14" l="1"/>
  <c r="BM487" i="14"/>
  <c r="BN473" i="14" s="1"/>
  <c r="BN474" i="14" s="1"/>
  <c r="BM528" i="14"/>
  <c r="BM529" i="14" s="1"/>
  <c r="BM542" i="14"/>
  <c r="AA1011" i="14"/>
  <c r="AB979" i="14"/>
  <c r="AC979" i="14" s="1"/>
  <c r="AD979" i="14" s="1"/>
  <c r="AE979" i="14" s="1"/>
  <c r="U1017" i="14"/>
  <c r="T1023" i="14"/>
  <c r="T1019" i="14"/>
  <c r="T1018" i="14"/>
  <c r="T1020" i="14"/>
  <c r="T1016" i="14"/>
  <c r="T1021" i="14"/>
  <c r="T1017" i="14"/>
  <c r="T1024" i="14"/>
  <c r="T1022" i="14"/>
  <c r="U989" i="14"/>
  <c r="U990" i="14"/>
  <c r="U986" i="14"/>
  <c r="U991" i="14"/>
  <c r="U992" i="14"/>
  <c r="U988" i="14"/>
  <c r="U987" i="14"/>
  <c r="BM530" i="14" l="1"/>
  <c r="BM537" i="14"/>
  <c r="BM538" i="14" s="1"/>
  <c r="BM540" i="14" s="1"/>
  <c r="BM543" i="14" s="1"/>
  <c r="BM54" i="14" s="1"/>
  <c r="BM56" i="14" s="1"/>
  <c r="BN527" i="14"/>
  <c r="BN475" i="14"/>
  <c r="AB1011" i="14"/>
  <c r="AC1011" i="14" s="1"/>
  <c r="AD1011" i="14" s="1"/>
  <c r="AE1011" i="14" s="1"/>
  <c r="AF979" i="14"/>
  <c r="AG979" i="14" s="1"/>
  <c r="U1016" i="14"/>
  <c r="U1024" i="14"/>
  <c r="U1022" i="14"/>
  <c r="U1019" i="14"/>
  <c r="U1023" i="14"/>
  <c r="U1021" i="14"/>
  <c r="U1020" i="14"/>
  <c r="U1018" i="14"/>
  <c r="V992" i="14"/>
  <c r="V986" i="14"/>
  <c r="V988" i="14"/>
  <c r="V991" i="14"/>
  <c r="V990" i="14"/>
  <c r="V989" i="14"/>
  <c r="V987" i="14"/>
  <c r="BN541" i="14" l="1"/>
  <c r="BN487" i="14"/>
  <c r="BO473" i="14" s="1"/>
  <c r="BO474" i="14" s="1"/>
  <c r="BN542" i="14"/>
  <c r="BN528" i="14"/>
  <c r="BN529" i="14" s="1"/>
  <c r="AH979" i="14"/>
  <c r="AI979" i="14" s="1"/>
  <c r="AJ979" i="14" s="1"/>
  <c r="AF1011" i="14"/>
  <c r="AG1011" i="14" s="1"/>
  <c r="V1019" i="14"/>
  <c r="V1018" i="14"/>
  <c r="V1024" i="14"/>
  <c r="V1022" i="14"/>
  <c r="V1020" i="14"/>
  <c r="V1021" i="14"/>
  <c r="V1017" i="14"/>
  <c r="V1023" i="14"/>
  <c r="V1016" i="14"/>
  <c r="W987" i="14"/>
  <c r="W990" i="14"/>
  <c r="W992" i="14"/>
  <c r="W989" i="14"/>
  <c r="W991" i="14"/>
  <c r="W986" i="14"/>
  <c r="W988" i="14"/>
  <c r="BN530" i="14" l="1"/>
  <c r="BN537" i="14"/>
  <c r="BN538" i="14" s="1"/>
  <c r="BN540" i="14" s="1"/>
  <c r="BN543" i="14" s="1"/>
  <c r="BN54" i="14" s="1"/>
  <c r="BN56" i="14" s="1"/>
  <c r="BO527" i="14"/>
  <c r="BO475" i="14"/>
  <c r="AH1011" i="14"/>
  <c r="AI1011" i="14" s="1"/>
  <c r="AK979" i="14"/>
  <c r="AL979" i="14" s="1"/>
  <c r="AM979" i="14" s="1"/>
  <c r="AN979" i="14" s="1"/>
  <c r="AO979" i="14" s="1"/>
  <c r="AP979" i="14" s="1"/>
  <c r="AQ979" i="14" s="1"/>
  <c r="AR979" i="14" s="1"/>
  <c r="AS979" i="14" s="1"/>
  <c r="AT979" i="14" s="1"/>
  <c r="AU979" i="14" s="1"/>
  <c r="AV979" i="14" s="1"/>
  <c r="AW979" i="14" s="1"/>
  <c r="AX979" i="14" s="1"/>
  <c r="AY979" i="14" s="1"/>
  <c r="AZ979" i="14" s="1"/>
  <c r="BA979" i="14" s="1"/>
  <c r="BB979" i="14" s="1"/>
  <c r="BC979" i="14" s="1"/>
  <c r="BD979" i="14" s="1"/>
  <c r="BE979" i="14" s="1"/>
  <c r="BF979" i="14" s="1"/>
  <c r="BG979" i="14" s="1"/>
  <c r="BH979" i="14" s="1"/>
  <c r="BI979" i="14" s="1"/>
  <c r="BJ979" i="14" s="1"/>
  <c r="BK979" i="14" s="1"/>
  <c r="BL979" i="14" s="1"/>
  <c r="BM979" i="14" s="1"/>
  <c r="BN979" i="14" s="1"/>
  <c r="BO979" i="14" s="1"/>
  <c r="BP979" i="14" s="1"/>
  <c r="BQ979" i="14" s="1"/>
  <c r="BR979" i="14" s="1"/>
  <c r="BS979" i="14" s="1"/>
  <c r="BT979" i="14" s="1"/>
  <c r="BU979" i="14" s="1"/>
  <c r="BV979" i="14" s="1"/>
  <c r="BW979" i="14" s="1"/>
  <c r="BX979" i="14" s="1"/>
  <c r="BY979" i="14" s="1"/>
  <c r="X1022" i="14"/>
  <c r="X989" i="14"/>
  <c r="X992" i="14"/>
  <c r="X986" i="14"/>
  <c r="X991" i="14"/>
  <c r="X987" i="14"/>
  <c r="X990" i="14"/>
  <c r="X988" i="14"/>
  <c r="W1019" i="14"/>
  <c r="W1021" i="14"/>
  <c r="W1016" i="14"/>
  <c r="W1024" i="14"/>
  <c r="W1023" i="14"/>
  <c r="W1018" i="14"/>
  <c r="W1022" i="14"/>
  <c r="W1020" i="14"/>
  <c r="W1017" i="14"/>
  <c r="BO541" i="14" l="1"/>
  <c r="BO487" i="14"/>
  <c r="BP473" i="14" s="1"/>
  <c r="BP474" i="14" s="1"/>
  <c r="BO528" i="14"/>
  <c r="BO542" i="14"/>
  <c r="AJ1011" i="14"/>
  <c r="AK1011" i="14" s="1"/>
  <c r="AL1011" i="14" s="1"/>
  <c r="AM1011" i="14" s="1"/>
  <c r="AN1011" i="14" s="1"/>
  <c r="AO1011" i="14" s="1"/>
  <c r="AP1011" i="14" s="1"/>
  <c r="AQ1011" i="14" s="1"/>
  <c r="AR1011" i="14" s="1"/>
  <c r="AS1011" i="14" s="1"/>
  <c r="AT1011" i="14" s="1"/>
  <c r="AU1011" i="14" s="1"/>
  <c r="AV1011" i="14" s="1"/>
  <c r="AW1011" i="14" s="1"/>
  <c r="AX1011" i="14" s="1"/>
  <c r="AY1011" i="14" s="1"/>
  <c r="AZ1011" i="14" s="1"/>
  <c r="BA1011" i="14" s="1"/>
  <c r="BB1011" i="14" s="1"/>
  <c r="BC1011" i="14" s="1"/>
  <c r="BD1011" i="14" s="1"/>
  <c r="BE1011" i="14" s="1"/>
  <c r="BF1011" i="14" s="1"/>
  <c r="BG1011" i="14" s="1"/>
  <c r="BH1011" i="14" s="1"/>
  <c r="BI1011" i="14" s="1"/>
  <c r="BJ1011" i="14" s="1"/>
  <c r="BK1011" i="14" s="1"/>
  <c r="BL1011" i="14" s="1"/>
  <c r="BM1011" i="14" s="1"/>
  <c r="BN1011" i="14" s="1"/>
  <c r="BO1011" i="14" s="1"/>
  <c r="BP1011" i="14" s="1"/>
  <c r="BQ1011" i="14" s="1"/>
  <c r="BR1011" i="14" s="1"/>
  <c r="BS1011" i="14" s="1"/>
  <c r="BT1011" i="14" s="1"/>
  <c r="BU1011" i="14" s="1"/>
  <c r="BV1011" i="14" s="1"/>
  <c r="BW1011" i="14" s="1"/>
  <c r="BX1011" i="14" s="1"/>
  <c r="BY1011" i="14" s="1"/>
  <c r="Y1020" i="14"/>
  <c r="X1017" i="14"/>
  <c r="X1019" i="14"/>
  <c r="X1023" i="14"/>
  <c r="X1020" i="14"/>
  <c r="X1016" i="14"/>
  <c r="X1021" i="14"/>
  <c r="X1018" i="14"/>
  <c r="X1024" i="14"/>
  <c r="Y1023" i="14"/>
  <c r="Y1021" i="14"/>
  <c r="Y1022" i="14"/>
  <c r="Y1019" i="14"/>
  <c r="Y1016" i="14"/>
  <c r="Y1018" i="14"/>
  <c r="Y1024" i="14"/>
  <c r="Y1017" i="14"/>
  <c r="Y989" i="14"/>
  <c r="Y990" i="14"/>
  <c r="Y991" i="14"/>
  <c r="Y986" i="14"/>
  <c r="Y987" i="14"/>
  <c r="Y992" i="14"/>
  <c r="Y988" i="14"/>
  <c r="BP527" i="14" l="1"/>
  <c r="BP475" i="14"/>
  <c r="BO529" i="14"/>
  <c r="BO537" i="14" s="1"/>
  <c r="BO538" i="14" s="1"/>
  <c r="BO540" i="14" s="1"/>
  <c r="BO543" i="14" s="1"/>
  <c r="BO54" i="14" s="1"/>
  <c r="BO56" i="14" s="1"/>
  <c r="Z990" i="14"/>
  <c r="Z987" i="14"/>
  <c r="Z991" i="14"/>
  <c r="Z988" i="14"/>
  <c r="Z992" i="14"/>
  <c r="Z989" i="14"/>
  <c r="Z986" i="14"/>
  <c r="BO530" i="14" l="1"/>
  <c r="BP541" i="14"/>
  <c r="BP487" i="14"/>
  <c r="BQ473" i="14" s="1"/>
  <c r="BQ474" i="14" s="1"/>
  <c r="BP542" i="14"/>
  <c r="BP528" i="14"/>
  <c r="AA991" i="14"/>
  <c r="AA988" i="14"/>
  <c r="AA990" i="14"/>
  <c r="AA992" i="14"/>
  <c r="AA987" i="14"/>
  <c r="AA989" i="14"/>
  <c r="AA986" i="14"/>
  <c r="Z1020" i="14"/>
  <c r="Z1021" i="14"/>
  <c r="Z1016" i="14"/>
  <c r="Z1018" i="14"/>
  <c r="Z1023" i="14"/>
  <c r="Z1024" i="14"/>
  <c r="Z1022" i="14"/>
  <c r="Z1017" i="14"/>
  <c r="Z1019" i="14"/>
  <c r="BP529" i="14" l="1"/>
  <c r="BP537" i="14" s="1"/>
  <c r="BP538" i="14" s="1"/>
  <c r="BP540" i="14" s="1"/>
  <c r="BP543" i="14" s="1"/>
  <c r="BP54" i="14" s="1"/>
  <c r="BP56" i="14" s="1"/>
  <c r="BQ527" i="14"/>
  <c r="BQ475" i="14"/>
  <c r="AB990" i="14"/>
  <c r="AB987" i="14"/>
  <c r="AB988" i="14"/>
  <c r="AB992" i="14"/>
  <c r="AB989" i="14"/>
  <c r="AB986" i="14"/>
  <c r="AB991" i="14"/>
  <c r="AA1023" i="14"/>
  <c r="AA1024" i="14"/>
  <c r="AA1019" i="14"/>
  <c r="AA1017" i="14"/>
  <c r="AA1020" i="14"/>
  <c r="AA1018" i="14"/>
  <c r="AA1016" i="14"/>
  <c r="AA1021" i="14"/>
  <c r="AA1022" i="14"/>
  <c r="BP530" i="14" l="1"/>
  <c r="BQ541" i="14"/>
  <c r="BQ487" i="14"/>
  <c r="BR473" i="14" s="1"/>
  <c r="BR474" i="14" s="1"/>
  <c r="BQ542" i="14"/>
  <c r="BQ528" i="14"/>
  <c r="BQ529" i="14" s="1"/>
  <c r="AC1016" i="14"/>
  <c r="AC1017" i="14"/>
  <c r="AC1019" i="14"/>
  <c r="AC1024" i="14"/>
  <c r="AC1021" i="14"/>
  <c r="AC1018" i="14"/>
  <c r="AC1023" i="14"/>
  <c r="AC1020" i="14"/>
  <c r="AC1022" i="14"/>
  <c r="AB1017" i="14"/>
  <c r="AB1020" i="14"/>
  <c r="AB1019" i="14"/>
  <c r="AB1024" i="14"/>
  <c r="AB1021" i="14"/>
  <c r="AB1023" i="14"/>
  <c r="AB1022" i="14"/>
  <c r="AB1018" i="14"/>
  <c r="AB1016" i="14"/>
  <c r="AC986" i="14"/>
  <c r="AC989" i="14"/>
  <c r="AC987" i="14"/>
  <c r="AC992" i="14"/>
  <c r="AC990" i="14"/>
  <c r="AC988" i="14"/>
  <c r="AC991" i="14"/>
  <c r="BQ530" i="14" l="1"/>
  <c r="BQ537" i="14"/>
  <c r="BQ538" i="14" s="1"/>
  <c r="BQ540" i="14" s="1"/>
  <c r="BQ543" i="14" s="1"/>
  <c r="BQ54" i="14" s="1"/>
  <c r="BQ56" i="14" s="1"/>
  <c r="BR527" i="14"/>
  <c r="BR475" i="14"/>
  <c r="AD1018" i="14"/>
  <c r="AD1022" i="14"/>
  <c r="AD1017" i="14"/>
  <c r="AD1019" i="14"/>
  <c r="AD1021" i="14"/>
  <c r="AD1016" i="14"/>
  <c r="AD1020" i="14"/>
  <c r="AD1024" i="14"/>
  <c r="AD1023" i="14"/>
  <c r="AD991" i="14"/>
  <c r="AD992" i="14"/>
  <c r="AD989" i="14"/>
  <c r="AD987" i="14"/>
  <c r="AD990" i="14"/>
  <c r="AD986" i="14"/>
  <c r="AD988" i="14"/>
  <c r="BR541" i="14" l="1"/>
  <c r="BR487" i="14"/>
  <c r="BS473" i="14" s="1"/>
  <c r="BS474" i="14" s="1"/>
  <c r="BR528" i="14"/>
  <c r="BR529" i="14" s="1"/>
  <c r="BR542" i="14"/>
  <c r="AE1018" i="14"/>
  <c r="AE1016" i="14"/>
  <c r="AE1019" i="14"/>
  <c r="AE1020" i="14"/>
  <c r="AE1021" i="14"/>
  <c r="AE1022" i="14"/>
  <c r="AE1023" i="14"/>
  <c r="AE1017" i="14"/>
  <c r="AE1024" i="14"/>
  <c r="AE986" i="14"/>
  <c r="AE992" i="14"/>
  <c r="AE991" i="14"/>
  <c r="AE990" i="14"/>
  <c r="AE988" i="14"/>
  <c r="AE987" i="14"/>
  <c r="AE989" i="14"/>
  <c r="BR530" i="14" l="1"/>
  <c r="BR537" i="14"/>
  <c r="BR538" i="14" s="1"/>
  <c r="BR540" i="14" s="1"/>
  <c r="BR543" i="14" s="1"/>
  <c r="BR54" i="14" s="1"/>
  <c r="BR56" i="14" s="1"/>
  <c r="BS527" i="14"/>
  <c r="BS475" i="14"/>
  <c r="AF1020" i="14"/>
  <c r="AF1017" i="14"/>
  <c r="AF1023" i="14"/>
  <c r="AF1016" i="14"/>
  <c r="AF1022" i="14"/>
  <c r="AF1018" i="14"/>
  <c r="AF1021" i="14"/>
  <c r="AF1024" i="14"/>
  <c r="AF1019" i="14"/>
  <c r="AF986" i="14"/>
  <c r="AF987" i="14"/>
  <c r="AF988" i="14"/>
  <c r="AF991" i="14"/>
  <c r="AF989" i="14"/>
  <c r="AF992" i="14"/>
  <c r="AF990" i="14"/>
  <c r="BS541" i="14" l="1"/>
  <c r="BS487" i="14"/>
  <c r="BT473" i="14" s="1"/>
  <c r="BT474" i="14" s="1"/>
  <c r="BS528" i="14"/>
  <c r="BS529" i="14" s="1"/>
  <c r="BS542" i="14"/>
  <c r="AG986" i="14"/>
  <c r="AG992" i="14"/>
  <c r="AG990" i="14"/>
  <c r="AG987" i="14"/>
  <c r="AG988" i="14"/>
  <c r="AG991" i="14"/>
  <c r="AG989" i="14"/>
  <c r="AG1024" i="14"/>
  <c r="AG1019" i="14"/>
  <c r="AG1023" i="14"/>
  <c r="AG1016" i="14"/>
  <c r="AG1018" i="14"/>
  <c r="AG1017" i="14"/>
  <c r="AG1021" i="14"/>
  <c r="AG1020" i="14"/>
  <c r="AG1022" i="14"/>
  <c r="BS530" i="14" l="1"/>
  <c r="BS537" i="14"/>
  <c r="BS538" i="14" s="1"/>
  <c r="BS540" i="14" s="1"/>
  <c r="BS543" i="14" s="1"/>
  <c r="BS54" i="14" s="1"/>
  <c r="BS56" i="14" s="1"/>
  <c r="BT527" i="14"/>
  <c r="BT475" i="14"/>
  <c r="AH1023" i="14"/>
  <c r="AH1024" i="14"/>
  <c r="AH1018" i="14"/>
  <c r="AH1022" i="14"/>
  <c r="AH1016" i="14"/>
  <c r="AH1021" i="14"/>
  <c r="AH1019" i="14"/>
  <c r="AH1020" i="14"/>
  <c r="AH1017" i="14"/>
  <c r="AH989" i="14"/>
  <c r="AH986" i="14"/>
  <c r="AH987" i="14"/>
  <c r="AH988" i="14"/>
  <c r="AH991" i="14"/>
  <c r="AH992" i="14"/>
  <c r="AH990" i="14"/>
  <c r="BT541" i="14" l="1"/>
  <c r="BT487" i="14"/>
  <c r="BU473" i="14" s="1"/>
  <c r="BU474" i="14" s="1"/>
  <c r="BT542" i="14"/>
  <c r="BT528" i="14"/>
  <c r="BT529" i="14" s="1"/>
  <c r="AI988" i="14"/>
  <c r="AI990" i="14"/>
  <c r="AI987" i="14"/>
  <c r="AI991" i="14"/>
  <c r="AI989" i="14"/>
  <c r="AI986" i="14"/>
  <c r="AI992" i="14"/>
  <c r="BT530" i="14" l="1"/>
  <c r="BT537" i="14"/>
  <c r="BT538" i="14" s="1"/>
  <c r="BT540" i="14" s="1"/>
  <c r="BT543" i="14" s="1"/>
  <c r="BT54" i="14" s="1"/>
  <c r="BT56" i="14" s="1"/>
  <c r="BU527" i="14"/>
  <c r="BU475" i="14"/>
  <c r="AI1016" i="14"/>
  <c r="AI1018" i="14"/>
  <c r="AI1019" i="14"/>
  <c r="AI1023" i="14"/>
  <c r="AI1024" i="14"/>
  <c r="AI1020" i="14"/>
  <c r="AI1017" i="14"/>
  <c r="AI1021" i="14"/>
  <c r="AI1022" i="14"/>
  <c r="AJ986" i="14"/>
  <c r="AJ989" i="14"/>
  <c r="AJ988" i="14"/>
  <c r="AJ990" i="14"/>
  <c r="AJ991" i="14"/>
  <c r="AJ992" i="14"/>
  <c r="AJ987" i="14"/>
  <c r="BU541" i="14" l="1"/>
  <c r="BU487" i="14"/>
  <c r="BV473" i="14" s="1"/>
  <c r="BV474" i="14" s="1"/>
  <c r="BU542" i="14"/>
  <c r="BU528" i="14"/>
  <c r="AK1022" i="14"/>
  <c r="AJ1021" i="14"/>
  <c r="AJ1024" i="14"/>
  <c r="AJ1016" i="14"/>
  <c r="AJ1018" i="14"/>
  <c r="AJ1019" i="14"/>
  <c r="AJ1017" i="14"/>
  <c r="AJ1020" i="14"/>
  <c r="AJ1023" i="14"/>
  <c r="AJ1022" i="14"/>
  <c r="AK990" i="14"/>
  <c r="AK991" i="14"/>
  <c r="AK992" i="14"/>
  <c r="AK989" i="14"/>
  <c r="AK986" i="14"/>
  <c r="AK987" i="14"/>
  <c r="AK988" i="14"/>
  <c r="BU529" i="14" l="1"/>
  <c r="BU537" i="14" s="1"/>
  <c r="BU538" i="14" s="1"/>
  <c r="BU540" i="14" s="1"/>
  <c r="BU543" i="14" s="1"/>
  <c r="BU54" i="14" s="1"/>
  <c r="BU56" i="14" s="1"/>
  <c r="BV527" i="14"/>
  <c r="BV475" i="14"/>
  <c r="AL1020" i="14"/>
  <c r="AK1017" i="14"/>
  <c r="AK1023" i="14"/>
  <c r="AK1021" i="14"/>
  <c r="AK1020" i="14"/>
  <c r="AK1019" i="14"/>
  <c r="AK1018" i="14"/>
  <c r="AK1016" i="14"/>
  <c r="AK1024" i="14"/>
  <c r="AL1016" i="14"/>
  <c r="AL1017" i="14"/>
  <c r="AL1019" i="14"/>
  <c r="AL1023" i="14"/>
  <c r="AL1022" i="14"/>
  <c r="AL1021" i="14"/>
  <c r="AL1018" i="14"/>
  <c r="AL1024" i="14"/>
  <c r="AL992" i="14"/>
  <c r="AL989" i="14"/>
  <c r="AL991" i="14"/>
  <c r="AL987" i="14"/>
  <c r="AL988" i="14"/>
  <c r="AL990" i="14"/>
  <c r="AL986" i="14"/>
  <c r="BU530" i="14" l="1"/>
  <c r="BV541" i="14"/>
  <c r="BV487" i="14"/>
  <c r="BW473" i="14" s="1"/>
  <c r="BW474" i="14" s="1"/>
  <c r="BV528" i="14"/>
  <c r="BV529" i="14" s="1"/>
  <c r="BV542" i="14"/>
  <c r="AM990" i="14"/>
  <c r="AM991" i="14"/>
  <c r="AM986" i="14"/>
  <c r="AM989" i="14"/>
  <c r="AM992" i="14"/>
  <c r="AM988" i="14"/>
  <c r="AM987" i="14"/>
  <c r="BV530" i="14" l="1"/>
  <c r="BV537" i="14"/>
  <c r="BV538" i="14" s="1"/>
  <c r="BV540" i="14" s="1"/>
  <c r="BV543" i="14" s="1"/>
  <c r="BV54" i="14" s="1"/>
  <c r="BV56" i="14" s="1"/>
  <c r="BW527" i="14"/>
  <c r="BW475" i="14"/>
  <c r="AM1019" i="14"/>
  <c r="AM1020" i="14"/>
  <c r="AM1024" i="14"/>
  <c r="AM1023" i="14"/>
  <c r="AM1021" i="14"/>
  <c r="AM1018" i="14"/>
  <c r="AM1016" i="14"/>
  <c r="AM1017" i="14"/>
  <c r="AM1022" i="14"/>
  <c r="AN991" i="14"/>
  <c r="AN992" i="14"/>
  <c r="AN989" i="14"/>
  <c r="AN990" i="14"/>
  <c r="AN986" i="14"/>
  <c r="AN988" i="14"/>
  <c r="AN987" i="14"/>
  <c r="BW528" i="14" l="1"/>
  <c r="BW529" i="14" s="1"/>
  <c r="BW542" i="14"/>
  <c r="BW541" i="14"/>
  <c r="BW487" i="14"/>
  <c r="BX473" i="14" s="1"/>
  <c r="BX474" i="14" s="1"/>
  <c r="AO989" i="14"/>
  <c r="AO986" i="14"/>
  <c r="AO987" i="14"/>
  <c r="AO992" i="14"/>
  <c r="AO988" i="14"/>
  <c r="AO991" i="14"/>
  <c r="AO990" i="14"/>
  <c r="AN1022" i="14"/>
  <c r="AN1018" i="14"/>
  <c r="AN1023" i="14"/>
  <c r="AN1024" i="14"/>
  <c r="AN1021" i="14"/>
  <c r="AN1020" i="14"/>
  <c r="AN1016" i="14"/>
  <c r="AN1017" i="14"/>
  <c r="AN1019" i="14"/>
  <c r="BX527" i="14" l="1"/>
  <c r="BX475" i="14"/>
  <c r="BW530" i="14"/>
  <c r="BW537" i="14"/>
  <c r="BW538" i="14" s="1"/>
  <c r="BW540" i="14" s="1"/>
  <c r="BW543" i="14" s="1"/>
  <c r="BW54" i="14" s="1"/>
  <c r="BW56" i="14" s="1"/>
  <c r="AO1019" i="14"/>
  <c r="AO1018" i="14"/>
  <c r="AO1024" i="14"/>
  <c r="AO1021" i="14"/>
  <c r="AO1016" i="14"/>
  <c r="AO1022" i="14"/>
  <c r="AO1020" i="14"/>
  <c r="AO1017" i="14"/>
  <c r="AO1023" i="14"/>
  <c r="AP987" i="14"/>
  <c r="AP986" i="14"/>
  <c r="AP988" i="14"/>
  <c r="AP991" i="14"/>
  <c r="AP989" i="14"/>
  <c r="AP992" i="14"/>
  <c r="AP990" i="14"/>
  <c r="BX541" i="14" l="1"/>
  <c r="BX487" i="14"/>
  <c r="BY473" i="14" s="1"/>
  <c r="BY474" i="14" s="1"/>
  <c r="BX542" i="14"/>
  <c r="BX528" i="14"/>
  <c r="BX529" i="14" s="1"/>
  <c r="AP1019" i="14"/>
  <c r="AP1016" i="14"/>
  <c r="AP1018" i="14"/>
  <c r="AP1023" i="14"/>
  <c r="AP1024" i="14"/>
  <c r="AP1021" i="14"/>
  <c r="AP1020" i="14"/>
  <c r="AP1022" i="14"/>
  <c r="AP1017" i="14"/>
  <c r="AQ989" i="14"/>
  <c r="AQ990" i="14"/>
  <c r="AQ988" i="14"/>
  <c r="AQ987" i="14"/>
  <c r="AQ992" i="14"/>
  <c r="AQ986" i="14"/>
  <c r="AQ991" i="14"/>
  <c r="BX530" i="14" l="1"/>
  <c r="BX537" i="14"/>
  <c r="BX538" i="14" s="1"/>
  <c r="BX540" i="14" s="1"/>
  <c r="BX543" i="14" s="1"/>
  <c r="BX54" i="14" s="1"/>
  <c r="BX56" i="14" s="1"/>
  <c r="BY527" i="14"/>
  <c r="BY475" i="14"/>
  <c r="AR992" i="14"/>
  <c r="AR986" i="14"/>
  <c r="AR987" i="14"/>
  <c r="AR991" i="14"/>
  <c r="AR990" i="14"/>
  <c r="AR988" i="14"/>
  <c r="AR989" i="14"/>
  <c r="AQ1022" i="14"/>
  <c r="AQ1018" i="14"/>
  <c r="AQ1020" i="14"/>
  <c r="AQ1024" i="14"/>
  <c r="AQ1023" i="14"/>
  <c r="AQ1019" i="14"/>
  <c r="AQ1016" i="14"/>
  <c r="AQ1021" i="14"/>
  <c r="AQ1017" i="14"/>
  <c r="BY542" i="14" l="1"/>
  <c r="BY528" i="14"/>
  <c r="BY541" i="14"/>
  <c r="BY487" i="14"/>
  <c r="AR1023" i="14"/>
  <c r="AR1019" i="14"/>
  <c r="AR1022" i="14"/>
  <c r="AR1016" i="14"/>
  <c r="AR1020" i="14"/>
  <c r="AR1018" i="14"/>
  <c r="AR1024" i="14"/>
  <c r="AR1021" i="14"/>
  <c r="AR1017" i="14"/>
  <c r="AS990" i="14"/>
  <c r="AS991" i="14"/>
  <c r="AS986" i="14"/>
  <c r="AS989" i="14"/>
  <c r="AS992" i="14"/>
  <c r="AS988" i="14"/>
  <c r="AS987" i="14"/>
  <c r="BY529" i="14" l="1"/>
  <c r="BY537" i="14" s="1"/>
  <c r="BY538" i="14" s="1"/>
  <c r="BY540" i="14" s="1"/>
  <c r="BY543" i="14" s="1"/>
  <c r="BY54" i="14" s="1"/>
  <c r="BY56" i="14" s="1"/>
  <c r="D49" i="20" s="1"/>
  <c r="AT1018" i="14"/>
  <c r="AS1016" i="14"/>
  <c r="AS1019" i="14"/>
  <c r="AS1017" i="14"/>
  <c r="AS1024" i="14"/>
  <c r="AS1022" i="14"/>
  <c r="AS1020" i="14"/>
  <c r="AS1021" i="14"/>
  <c r="AS1018" i="14"/>
  <c r="AS1023" i="14"/>
  <c r="AT989" i="14"/>
  <c r="AT987" i="14"/>
  <c r="AT986" i="14"/>
  <c r="AT991" i="14"/>
  <c r="AT990" i="14"/>
  <c r="AT992" i="14"/>
  <c r="AT988" i="14"/>
  <c r="D88" i="20" l="1"/>
  <c r="BY530" i="14"/>
  <c r="G360" i="11"/>
  <c r="AT1017" i="14"/>
  <c r="AT1022" i="14"/>
  <c r="AT1016" i="14"/>
  <c r="AT1019" i="14"/>
  <c r="AT1021" i="14"/>
  <c r="AT1020" i="14"/>
  <c r="AT1023" i="14"/>
  <c r="AT1024" i="14"/>
  <c r="AU991" i="14"/>
  <c r="AU992" i="14"/>
  <c r="AU989" i="14"/>
  <c r="AU987" i="14"/>
  <c r="AU990" i="14"/>
  <c r="AU986" i="14"/>
  <c r="AU988" i="14"/>
  <c r="AV1024" i="14" l="1"/>
  <c r="AU1022" i="14"/>
  <c r="AU1018" i="14"/>
  <c r="AU1019" i="14"/>
  <c r="AU1016" i="14"/>
  <c r="AU1023" i="14"/>
  <c r="AU1020" i="14"/>
  <c r="AU1024" i="14"/>
  <c r="AU1017" i="14"/>
  <c r="AU1021" i="14"/>
  <c r="AV989" i="14"/>
  <c r="AV990" i="14"/>
  <c r="AV992" i="14"/>
  <c r="AV986" i="14"/>
  <c r="AV987" i="14"/>
  <c r="AV988" i="14"/>
  <c r="AV991" i="14"/>
  <c r="AW1023" i="14" l="1"/>
  <c r="AV1022" i="14"/>
  <c r="AV1017" i="14"/>
  <c r="AV1020" i="14"/>
  <c r="AV1018" i="14"/>
  <c r="AV1021" i="14"/>
  <c r="AV1019" i="14"/>
  <c r="AV1023" i="14"/>
  <c r="AV1016" i="14"/>
  <c r="AW1017" i="14"/>
  <c r="AW1020" i="14"/>
  <c r="AW1021" i="14"/>
  <c r="AW1019" i="14"/>
  <c r="AW1022" i="14"/>
  <c r="AW989" i="14"/>
  <c r="AW991" i="14"/>
  <c r="AW988" i="14"/>
  <c r="AW992" i="14"/>
  <c r="AW990" i="14"/>
  <c r="AW987" i="14"/>
  <c r="AW986" i="14"/>
  <c r="AW1024" i="14" l="1"/>
  <c r="AW1016" i="14"/>
  <c r="AW1018" i="14"/>
  <c r="AX1024" i="14"/>
  <c r="AX1016" i="14"/>
  <c r="AX1020" i="14"/>
  <c r="AX1019" i="14"/>
  <c r="AX991" i="14"/>
  <c r="AX986" i="14"/>
  <c r="AX989" i="14"/>
  <c r="AX992" i="14"/>
  <c r="AX988" i="14"/>
  <c r="AX987" i="14"/>
  <c r="AX990" i="14"/>
  <c r="AX1018" i="14" l="1"/>
  <c r="AX1021" i="14"/>
  <c r="AX1017" i="14"/>
  <c r="AX1023" i="14"/>
  <c r="AX1022" i="14"/>
  <c r="AY1020" i="14"/>
  <c r="AY1023" i="14"/>
  <c r="AY1022" i="14"/>
  <c r="AY1016" i="14"/>
  <c r="AY1021" i="14"/>
  <c r="AY1018" i="14"/>
  <c r="AY1024" i="14"/>
  <c r="AY1017" i="14"/>
  <c r="AY1019" i="14"/>
  <c r="AY991" i="14"/>
  <c r="AY986" i="14"/>
  <c r="AY989" i="14"/>
  <c r="AY992" i="14"/>
  <c r="AY987" i="14"/>
  <c r="AY988" i="14"/>
  <c r="AY990" i="14"/>
  <c r="AZ989" i="14" l="1"/>
  <c r="AZ992" i="14"/>
  <c r="AZ990" i="14"/>
  <c r="AZ987" i="14"/>
  <c r="AZ991" i="14"/>
  <c r="AZ988" i="14"/>
  <c r="AZ986" i="14"/>
  <c r="BA991" i="14" l="1"/>
  <c r="BA988" i="14"/>
  <c r="BA989" i="14"/>
  <c r="BA992" i="14"/>
  <c r="BA990" i="14"/>
  <c r="BA986" i="14"/>
  <c r="BA987" i="14"/>
  <c r="AZ1024" i="14"/>
  <c r="AZ1023" i="14"/>
  <c r="AZ1022" i="14"/>
  <c r="AZ1019" i="14"/>
  <c r="AZ1016" i="14"/>
  <c r="AZ1020" i="14"/>
  <c r="AZ1021" i="14"/>
  <c r="AZ1018" i="14"/>
  <c r="AZ1017" i="14"/>
  <c r="BB1024" i="14" l="1"/>
  <c r="BA1020" i="14"/>
  <c r="BA1016" i="14"/>
  <c r="BA1022" i="14"/>
  <c r="BA1017" i="14"/>
  <c r="BA1021" i="14"/>
  <c r="BA1018" i="14"/>
  <c r="BA1023" i="14"/>
  <c r="BA1019" i="14"/>
  <c r="BA1024" i="14"/>
  <c r="BB991" i="14"/>
  <c r="BB987" i="14"/>
  <c r="BB986" i="14"/>
  <c r="BB989" i="14"/>
  <c r="BB992" i="14"/>
  <c r="BB990" i="14"/>
  <c r="BB988" i="14"/>
  <c r="BB1019" i="14" l="1"/>
  <c r="BB1018" i="14"/>
  <c r="BB1023" i="14"/>
  <c r="BB1017" i="14"/>
  <c r="BB1020" i="14"/>
  <c r="BB1016" i="14"/>
  <c r="BB1022" i="14"/>
  <c r="BB1021" i="14"/>
  <c r="BC987" i="14"/>
  <c r="BC986" i="14"/>
  <c r="BC992" i="14"/>
  <c r="BC990" i="14"/>
  <c r="BC988" i="14"/>
  <c r="BC991" i="14"/>
  <c r="BC989" i="14"/>
  <c r="BC1016" i="14" l="1"/>
  <c r="BC1017" i="14"/>
  <c r="BC1020" i="14"/>
  <c r="BC1018" i="14"/>
  <c r="BC1019" i="14"/>
  <c r="BC1024" i="14"/>
  <c r="BC1021" i="14"/>
  <c r="BC1022" i="14"/>
  <c r="BC1023" i="14"/>
  <c r="BD990" i="14"/>
  <c r="BD988" i="14"/>
  <c r="BD991" i="14"/>
  <c r="BD986" i="14"/>
  <c r="BD989" i="14"/>
  <c r="BD992" i="14"/>
  <c r="BD987" i="14"/>
  <c r="BE1021" i="14" l="1"/>
  <c r="BD1022" i="14"/>
  <c r="BD1016" i="14"/>
  <c r="BD1020" i="14"/>
  <c r="BD1019" i="14"/>
  <c r="BD1024" i="14"/>
  <c r="BD1023" i="14"/>
  <c r="BD1018" i="14"/>
  <c r="BD1021" i="14"/>
  <c r="BD1017" i="14"/>
  <c r="BE990" i="14"/>
  <c r="BE987" i="14"/>
  <c r="BE991" i="14"/>
  <c r="BE986" i="14"/>
  <c r="BE988" i="14"/>
  <c r="BE992" i="14"/>
  <c r="BE989" i="14"/>
  <c r="BF1021" i="14" l="1"/>
  <c r="BE1022" i="14"/>
  <c r="BB1035" i="14" s="1"/>
  <c r="BE1019" i="14"/>
  <c r="H1032" i="14" s="1"/>
  <c r="BE1024" i="14"/>
  <c r="AZ1037" i="14" s="1"/>
  <c r="BE1018" i="14"/>
  <c r="Z1031" i="14" s="1"/>
  <c r="BE1023" i="14"/>
  <c r="AL1036" i="14" s="1"/>
  <c r="BE1020" i="14"/>
  <c r="L1033" i="14" s="1"/>
  <c r="BE1016" i="14"/>
  <c r="AZ1029" i="14" s="1"/>
  <c r="BE1017" i="14"/>
  <c r="O1030" i="14" s="1"/>
  <c r="BF1020" i="14"/>
  <c r="BF1022" i="14"/>
  <c r="BF1017" i="14"/>
  <c r="BF1019" i="14"/>
  <c r="BF1018" i="14"/>
  <c r="BF1016" i="14"/>
  <c r="BF1023" i="14"/>
  <c r="BF1024" i="14"/>
  <c r="Z1003" i="14"/>
  <c r="K1003" i="14"/>
  <c r="BO1003" i="14"/>
  <c r="BR1003" i="14"/>
  <c r="BI1003" i="14"/>
  <c r="AP1003" i="14"/>
  <c r="AJ1003" i="14"/>
  <c r="AL1003" i="14"/>
  <c r="J1003" i="14"/>
  <c r="BM1003" i="14"/>
  <c r="AD1003" i="14"/>
  <c r="BE1003" i="14"/>
  <c r="AX1003" i="14"/>
  <c r="BA1003" i="14"/>
  <c r="BT1003" i="14"/>
  <c r="T1003" i="14"/>
  <c r="AE1003" i="14"/>
  <c r="R1003" i="14"/>
  <c r="AK1003" i="14"/>
  <c r="AG1003" i="14"/>
  <c r="M1003" i="14"/>
  <c r="S1003" i="14"/>
  <c r="AB1003" i="14"/>
  <c r="I1003" i="14"/>
  <c r="AV1003" i="14"/>
  <c r="BH1003" i="14"/>
  <c r="BD1003" i="14"/>
  <c r="AW1003" i="14"/>
  <c r="V1003" i="14"/>
  <c r="P1003" i="14"/>
  <c r="BV1003" i="14"/>
  <c r="BQ1003" i="14"/>
  <c r="BW1003" i="14"/>
  <c r="BF1003" i="14"/>
  <c r="BP1003" i="14"/>
  <c r="AH1003" i="14"/>
  <c r="AN1003" i="14"/>
  <c r="L1003" i="14"/>
  <c r="AO1003" i="14"/>
  <c r="BK1003" i="14"/>
  <c r="BY1003" i="14"/>
  <c r="X1003" i="14"/>
  <c r="AZ1003" i="14"/>
  <c r="AY1003" i="14"/>
  <c r="BS1003" i="14"/>
  <c r="AC1003" i="14"/>
  <c r="AM1003" i="14"/>
  <c r="AA1003" i="14"/>
  <c r="Q1003" i="14"/>
  <c r="AS1003" i="14"/>
  <c r="AR1003" i="14"/>
  <c r="BC1003" i="14"/>
  <c r="W1003" i="14"/>
  <c r="AF1003" i="14"/>
  <c r="AU1003" i="14"/>
  <c r="BU1003" i="14"/>
  <c r="N1003" i="14"/>
  <c r="BB1003" i="14"/>
  <c r="H1003" i="14"/>
  <c r="BL1003" i="14"/>
  <c r="AI1003" i="14"/>
  <c r="BJ1003" i="14"/>
  <c r="BG1003" i="14"/>
  <c r="BX1003" i="14"/>
  <c r="U1003" i="14"/>
  <c r="BN1003" i="14"/>
  <c r="O1003" i="14"/>
  <c r="AQ1003" i="14"/>
  <c r="AT1003" i="14"/>
  <c r="Y1003" i="14"/>
  <c r="BL1032" i="14"/>
  <c r="L1032" i="14"/>
  <c r="AS1032" i="14"/>
  <c r="N1032" i="14"/>
  <c r="U1032" i="14"/>
  <c r="AF1032" i="14"/>
  <c r="AC1032" i="14"/>
  <c r="BO1032" i="14"/>
  <c r="BF988" i="14"/>
  <c r="BF991" i="14"/>
  <c r="BF986" i="14"/>
  <c r="BF990" i="14"/>
  <c r="BF989" i="14"/>
  <c r="BF987" i="14"/>
  <c r="BF992" i="14"/>
  <c r="BM1035" i="14"/>
  <c r="AP1035" i="14"/>
  <c r="BK1035" i="14"/>
  <c r="L1035" i="14"/>
  <c r="AS1035" i="14"/>
  <c r="K1035" i="14"/>
  <c r="AI1035" i="14"/>
  <c r="AD1035" i="14"/>
  <c r="N1035" i="14"/>
  <c r="AU1035" i="14"/>
  <c r="AR1035" i="14"/>
  <c r="W1035" i="14"/>
  <c r="AJ1035" i="14"/>
  <c r="AQ1035" i="14"/>
  <c r="AK1035" i="14"/>
  <c r="BF1035" i="14"/>
  <c r="BJ1035" i="14"/>
  <c r="AC1035" i="14"/>
  <c r="AO1035" i="14"/>
  <c r="BS1035" i="14"/>
  <c r="BT1035" i="14"/>
  <c r="BH1035" i="14"/>
  <c r="BD1035" i="14"/>
  <c r="BU1035" i="14"/>
  <c r="O1035" i="14"/>
  <c r="BA1035" i="14"/>
  <c r="AW1035" i="14"/>
  <c r="AV1035" i="14"/>
  <c r="BV1035" i="14"/>
  <c r="BW1035" i="14"/>
  <c r="BR1035" i="14"/>
  <c r="BO1035" i="14"/>
  <c r="AB1035" i="14"/>
  <c r="U1035" i="14"/>
  <c r="BX1035" i="14"/>
  <c r="AA1035" i="14"/>
  <c r="BE1035" i="14"/>
  <c r="I1035" i="14"/>
  <c r="J1035" i="14"/>
  <c r="AF1035" i="14"/>
  <c r="BI1035" i="14"/>
  <c r="Z1035" i="14"/>
  <c r="AY1035" i="14"/>
  <c r="AM1035" i="14"/>
  <c r="AL1035" i="14"/>
  <c r="M1035" i="14"/>
  <c r="BP1035" i="14"/>
  <c r="AX1035" i="14"/>
  <c r="BC1035" i="14"/>
  <c r="R1035" i="14"/>
  <c r="BV1002" i="14"/>
  <c r="AA1002" i="14"/>
  <c r="AF1002" i="14"/>
  <c r="AI1002" i="14"/>
  <c r="BN1002" i="14"/>
  <c r="AG1002" i="14"/>
  <c r="BT1002" i="14"/>
  <c r="AV1002" i="14"/>
  <c r="V1002" i="14"/>
  <c r="BJ1002" i="14"/>
  <c r="BG1002" i="14"/>
  <c r="O1002" i="14"/>
  <c r="AS1002" i="14"/>
  <c r="BS1002" i="14"/>
  <c r="R1002" i="14"/>
  <c r="AR1002" i="14"/>
  <c r="H1002" i="14"/>
  <c r="AL1002" i="14"/>
  <c r="BM1002" i="14"/>
  <c r="AN1002" i="14"/>
  <c r="AD1002" i="14"/>
  <c r="AQ1002" i="14"/>
  <c r="AU1002" i="14"/>
  <c r="BX1002" i="14"/>
  <c r="AX1002" i="14"/>
  <c r="X1002" i="14"/>
  <c r="BA1002" i="14"/>
  <c r="AH1002" i="14"/>
  <c r="BK1002" i="14"/>
  <c r="AK1002" i="14"/>
  <c r="T1002" i="14"/>
  <c r="BB1002" i="14"/>
  <c r="AW1002" i="14"/>
  <c r="BW1002" i="14"/>
  <c r="M1002" i="14"/>
  <c r="BH1002" i="14"/>
  <c r="AO1002" i="14"/>
  <c r="Q1002" i="14"/>
  <c r="BL1002" i="14"/>
  <c r="Z1002" i="14"/>
  <c r="BC1002" i="14"/>
  <c r="AJ1002" i="14"/>
  <c r="S1002" i="14"/>
  <c r="K1002" i="14"/>
  <c r="BI1002" i="14"/>
  <c r="BQ1002" i="14"/>
  <c r="BU1002" i="14"/>
  <c r="AY1002" i="14"/>
  <c r="W1002" i="14"/>
  <c r="AT1002" i="14"/>
  <c r="BO1002" i="14"/>
  <c r="BR1002" i="14"/>
  <c r="AB1002" i="14"/>
  <c r="BY1002" i="14"/>
  <c r="I1002" i="14"/>
  <c r="BE1002" i="14"/>
  <c r="J1002" i="14"/>
  <c r="BD1002" i="14"/>
  <c r="N1002" i="14"/>
  <c r="L1002" i="14"/>
  <c r="AZ1002" i="14"/>
  <c r="AC1002" i="14"/>
  <c r="AE1002" i="14"/>
  <c r="P1002" i="14"/>
  <c r="AP1002" i="14"/>
  <c r="U1002" i="14"/>
  <c r="AM1002" i="14"/>
  <c r="BF1002" i="14"/>
  <c r="Y1002" i="14"/>
  <c r="BP1002" i="14"/>
  <c r="AB1034" i="14"/>
  <c r="BF1034" i="14"/>
  <c r="BA1034" i="14"/>
  <c r="AL1034" i="14"/>
  <c r="AK1034" i="14"/>
  <c r="BI1034" i="14"/>
  <c r="AT1034" i="14"/>
  <c r="BO1034" i="14"/>
  <c r="I1034" i="14"/>
  <c r="BN1034" i="14"/>
  <c r="X1034" i="14"/>
  <c r="AS1034" i="14"/>
  <c r="S1034" i="14"/>
  <c r="BW1034" i="14"/>
  <c r="AI1034" i="14"/>
  <c r="BE1034" i="14"/>
  <c r="BV1034" i="14"/>
  <c r="Z1034" i="14"/>
  <c r="BL1034" i="14"/>
  <c r="Q1034" i="14"/>
  <c r="BG1034" i="14"/>
  <c r="AD1034" i="14"/>
  <c r="BM1034" i="14"/>
  <c r="AZ1034" i="14"/>
  <c r="AN1034" i="14"/>
  <c r="AX1034" i="14"/>
  <c r="BT1034" i="14"/>
  <c r="AV1034" i="14"/>
  <c r="V1034" i="14"/>
  <c r="BK1034" i="14"/>
  <c r="AW1034" i="14"/>
  <c r="AY1034" i="14"/>
  <c r="AG1034" i="14"/>
  <c r="O1034" i="14"/>
  <c r="AQ1034" i="14"/>
  <c r="AU1034" i="14"/>
  <c r="BJ1034" i="14"/>
  <c r="AA1034" i="14"/>
  <c r="P1034" i="14"/>
  <c r="L1034" i="14"/>
  <c r="AE1034" i="14"/>
  <c r="M1034" i="14"/>
  <c r="H1034" i="14"/>
  <c r="BX1034" i="14"/>
  <c r="BY1034" i="14"/>
  <c r="J1034" i="14"/>
  <c r="AH1034" i="14"/>
  <c r="AP1034" i="14"/>
  <c r="BB1034" i="14"/>
  <c r="AM1034" i="14"/>
  <c r="AF1034" i="14"/>
  <c r="AJ1034" i="14"/>
  <c r="BU1034" i="14"/>
  <c r="N1034" i="14"/>
  <c r="AR1034" i="14"/>
  <c r="AO1034" i="14"/>
  <c r="BC1034" i="14"/>
  <c r="Y1034" i="14"/>
  <c r="BS1034" i="14"/>
  <c r="AC1034" i="14"/>
  <c r="BR1034" i="14"/>
  <c r="BQ1034" i="14"/>
  <c r="W1034" i="14"/>
  <c r="K1034" i="14"/>
  <c r="BH1034" i="14"/>
  <c r="BP1034" i="14"/>
  <c r="T1034" i="14"/>
  <c r="U1034" i="14"/>
  <c r="BD1034" i="14"/>
  <c r="R1034" i="14"/>
  <c r="BH1000" i="14"/>
  <c r="Q1000" i="14"/>
  <c r="I1000" i="14"/>
  <c r="BX1000" i="14"/>
  <c r="AS1000" i="14"/>
  <c r="AB1000" i="14"/>
  <c r="AI1000" i="14"/>
  <c r="BJ1000" i="14"/>
  <c r="BR1000" i="14"/>
  <c r="BB1000" i="14"/>
  <c r="BD1000" i="14"/>
  <c r="AE1000" i="14"/>
  <c r="AU1000" i="14"/>
  <c r="BL1000" i="14"/>
  <c r="BS1000" i="14"/>
  <c r="AJ1000" i="14"/>
  <c r="BP1000" i="14"/>
  <c r="L1000" i="14"/>
  <c r="BC1000" i="14"/>
  <c r="M1000" i="14"/>
  <c r="BU1000" i="14"/>
  <c r="T1000" i="14"/>
  <c r="O1000" i="14"/>
  <c r="AK1000" i="14"/>
  <c r="AW1000" i="14"/>
  <c r="AT1000" i="14"/>
  <c r="U1000" i="14"/>
  <c r="AZ1000" i="14"/>
  <c r="BO1000" i="14"/>
  <c r="BW1000" i="14"/>
  <c r="AV1000" i="14"/>
  <c r="BQ1000" i="14"/>
  <c r="BI1000" i="14"/>
  <c r="AG1000" i="14"/>
  <c r="Z1000" i="14"/>
  <c r="W1000" i="14"/>
  <c r="BM1000" i="14"/>
  <c r="AF1000" i="14"/>
  <c r="AD1000" i="14"/>
  <c r="BN1000" i="14"/>
  <c r="AX1000" i="14"/>
  <c r="H1000" i="14"/>
  <c r="BK1000" i="14"/>
  <c r="BY1000" i="14"/>
  <c r="BF1000" i="14"/>
  <c r="V1000" i="14"/>
  <c r="AP1000" i="14"/>
  <c r="Y1000" i="14"/>
  <c r="K1000" i="14"/>
  <c r="BG1000" i="14"/>
  <c r="AC1000" i="14"/>
  <c r="P1000" i="14"/>
  <c r="AQ1000" i="14"/>
  <c r="BT1000" i="14"/>
  <c r="AO1000" i="14"/>
  <c r="BE1000" i="14"/>
  <c r="AN1000" i="14"/>
  <c r="S1000" i="14"/>
  <c r="AL1000" i="14"/>
  <c r="AY1000" i="14"/>
  <c r="AR1000" i="14"/>
  <c r="AH1000" i="14"/>
  <c r="R1000" i="14"/>
  <c r="N1000" i="14"/>
  <c r="X1000" i="14"/>
  <c r="BA1000" i="14"/>
  <c r="BV1000" i="14"/>
  <c r="J1000" i="14"/>
  <c r="AA1000" i="14"/>
  <c r="AM1000" i="14"/>
  <c r="BP1005" i="14"/>
  <c r="AC1005" i="14"/>
  <c r="BN1005" i="14"/>
  <c r="O1005" i="14"/>
  <c r="X1005" i="14"/>
  <c r="BU1005" i="14"/>
  <c r="BM1005" i="14"/>
  <c r="AG1005" i="14"/>
  <c r="BH1005" i="14"/>
  <c r="I1005" i="14"/>
  <c r="BB1005" i="14"/>
  <c r="AA1005" i="14"/>
  <c r="AV1005" i="14"/>
  <c r="AN1005" i="14"/>
  <c r="AI1005" i="14"/>
  <c r="BR1005" i="14"/>
  <c r="BV1005" i="14"/>
  <c r="BE1005" i="14"/>
  <c r="BY1005" i="14"/>
  <c r="BA1005" i="14"/>
  <c r="AX1005" i="14"/>
  <c r="AD1005" i="14"/>
  <c r="AQ1005" i="14"/>
  <c r="T1005" i="14"/>
  <c r="BG1005" i="14"/>
  <c r="U1005" i="14"/>
  <c r="Y1005" i="14"/>
  <c r="BD1005" i="14"/>
  <c r="AW1005" i="14"/>
  <c r="J1005" i="14"/>
  <c r="L1005" i="14"/>
  <c r="K1005" i="14"/>
  <c r="AZ1005" i="14"/>
  <c r="AH1005" i="14"/>
  <c r="P1005" i="14"/>
  <c r="AY1005" i="14"/>
  <c r="BS1005" i="14"/>
  <c r="BQ1005" i="14"/>
  <c r="AR1005" i="14"/>
  <c r="BT1005" i="14"/>
  <c r="N1005" i="14"/>
  <c r="M1005" i="14"/>
  <c r="AT1005" i="14"/>
  <c r="W1005" i="14"/>
  <c r="AE1005" i="14"/>
  <c r="Z1005" i="14"/>
  <c r="BI1005" i="14"/>
  <c r="AJ1005" i="14"/>
  <c r="BK1005" i="14"/>
  <c r="S1005" i="14"/>
  <c r="Q1005" i="14"/>
  <c r="R1005" i="14"/>
  <c r="AM1005" i="14"/>
  <c r="V1005" i="14"/>
  <c r="BL1005" i="14"/>
  <c r="BJ1005" i="14"/>
  <c r="AK1005" i="14"/>
  <c r="AL1005" i="14"/>
  <c r="BX1005" i="14"/>
  <c r="AU1005" i="14"/>
  <c r="BF1005" i="14"/>
  <c r="H1005" i="14"/>
  <c r="BW1005" i="14"/>
  <c r="BC1005" i="14"/>
  <c r="AB1005" i="14"/>
  <c r="BO1005" i="14"/>
  <c r="AO1005" i="14"/>
  <c r="AS1005" i="14"/>
  <c r="AP1005" i="14"/>
  <c r="AF1005" i="14"/>
  <c r="AD1001" i="14"/>
  <c r="AO1001" i="14"/>
  <c r="AY1001" i="14"/>
  <c r="W1001" i="14"/>
  <c r="BO1001" i="14"/>
  <c r="AL1001" i="14"/>
  <c r="AG1001" i="14"/>
  <c r="AW1001" i="14"/>
  <c r="AA1001" i="14"/>
  <c r="BU1001" i="14"/>
  <c r="AN1001" i="14"/>
  <c r="AE1001" i="14"/>
  <c r="Y1001" i="14"/>
  <c r="BN1001" i="14"/>
  <c r="AJ1001" i="14"/>
  <c r="V1001" i="14"/>
  <c r="AT1001" i="14"/>
  <c r="P1001" i="14"/>
  <c r="AB1001" i="14"/>
  <c r="AX1001" i="14"/>
  <c r="K1001" i="14"/>
  <c r="X1001" i="14"/>
  <c r="AZ1001" i="14"/>
  <c r="BR1001" i="14"/>
  <c r="L1001" i="14"/>
  <c r="BL1001" i="14"/>
  <c r="M1001" i="14"/>
  <c r="N1001" i="14"/>
  <c r="Q1001" i="14"/>
  <c r="R1001" i="14"/>
  <c r="BS1001" i="14"/>
  <c r="BP1001" i="14"/>
  <c r="AI1001" i="14"/>
  <c r="BX1001" i="14"/>
  <c r="BM1001" i="14"/>
  <c r="BF1001" i="14"/>
  <c r="BT1001" i="14"/>
  <c r="BA1001" i="14"/>
  <c r="T1001" i="14"/>
  <c r="BH1001" i="14"/>
  <c r="I1001" i="14"/>
  <c r="AF1001" i="14"/>
  <c r="BV1001" i="14"/>
  <c r="BE1001" i="14"/>
  <c r="J1001" i="14"/>
  <c r="Z1001" i="14"/>
  <c r="BC1001" i="14"/>
  <c r="BJ1001" i="14"/>
  <c r="AV1001" i="14"/>
  <c r="AH1001" i="14"/>
  <c r="BG1001" i="14"/>
  <c r="BK1001" i="14"/>
  <c r="BI1001" i="14"/>
  <c r="BB1001" i="14"/>
  <c r="H1001" i="14"/>
  <c r="AC1001" i="14"/>
  <c r="BD1001" i="14"/>
  <c r="S1001" i="14"/>
  <c r="AU1001" i="14"/>
  <c r="U1001" i="14"/>
  <c r="AP1001" i="14"/>
  <c r="BY1001" i="14"/>
  <c r="BW1001" i="14"/>
  <c r="AQ1001" i="14"/>
  <c r="AK1001" i="14"/>
  <c r="AM1001" i="14"/>
  <c r="O1001" i="14"/>
  <c r="BQ1001" i="14"/>
  <c r="AS1001" i="14"/>
  <c r="AR1001" i="14"/>
  <c r="J999" i="14"/>
  <c r="AL999" i="14"/>
  <c r="W999" i="14"/>
  <c r="P999" i="14"/>
  <c r="BI999" i="14"/>
  <c r="AX999" i="14"/>
  <c r="R999" i="14"/>
  <c r="BV999" i="14"/>
  <c r="BL999" i="14"/>
  <c r="AZ999" i="14"/>
  <c r="BD999" i="14"/>
  <c r="BN999" i="14"/>
  <c r="AO999" i="14"/>
  <c r="H999" i="14"/>
  <c r="AG999" i="14"/>
  <c r="AA999" i="14"/>
  <c r="BJ999" i="14"/>
  <c r="BQ999" i="14"/>
  <c r="AU999" i="14"/>
  <c r="BX999" i="14"/>
  <c r="BH999" i="14"/>
  <c r="AQ999" i="14"/>
  <c r="BP999" i="14"/>
  <c r="BK999" i="14"/>
  <c r="BB999" i="14"/>
  <c r="BT999" i="14"/>
  <c r="BU999" i="14"/>
  <c r="AP999" i="14"/>
  <c r="BO999" i="14"/>
  <c r="AF999" i="14"/>
  <c r="BY999" i="14"/>
  <c r="V999" i="14"/>
  <c r="AW999" i="14"/>
  <c r="Y999" i="14"/>
  <c r="AI999" i="14"/>
  <c r="AV999" i="14"/>
  <c r="AC999" i="14"/>
  <c r="AB999" i="14"/>
  <c r="AK999" i="14"/>
  <c r="AN999" i="14"/>
  <c r="BW999" i="14"/>
  <c r="BR999" i="14"/>
  <c r="S999" i="14"/>
  <c r="X999" i="14"/>
  <c r="AJ999" i="14"/>
  <c r="AH999" i="14"/>
  <c r="U999" i="14"/>
  <c r="BA999" i="14"/>
  <c r="BM999" i="14"/>
  <c r="AS999" i="14"/>
  <c r="AD999" i="14"/>
  <c r="N999" i="14"/>
  <c r="AT999" i="14"/>
  <c r="Q999" i="14"/>
  <c r="AM999" i="14"/>
  <c r="AY999" i="14"/>
  <c r="T999" i="14"/>
  <c r="Z999" i="14"/>
  <c r="O999" i="14"/>
  <c r="BS999" i="14"/>
  <c r="AR999" i="14"/>
  <c r="I999" i="14"/>
  <c r="BF999" i="14"/>
  <c r="BG999" i="14"/>
  <c r="L999" i="14"/>
  <c r="BE999" i="14"/>
  <c r="M999" i="14"/>
  <c r="BC999" i="14"/>
  <c r="K999" i="14"/>
  <c r="AE999" i="14"/>
  <c r="V1004" i="14"/>
  <c r="AO1004" i="14"/>
  <c r="AS1004" i="14"/>
  <c r="J1004" i="14"/>
  <c r="O1004" i="14"/>
  <c r="BS1004" i="14"/>
  <c r="Q1004" i="14"/>
  <c r="AF1004" i="14"/>
  <c r="AA1004" i="14"/>
  <c r="AB1004" i="14"/>
  <c r="BB1004" i="14"/>
  <c r="BD1004" i="14"/>
  <c r="I1004" i="14"/>
  <c r="W1004" i="14"/>
  <c r="AL1004" i="14"/>
  <c r="AX1004" i="14"/>
  <c r="AN1004" i="14"/>
  <c r="AU1004" i="14"/>
  <c r="BQ1004" i="14"/>
  <c r="BF1004" i="14"/>
  <c r="T1004" i="14"/>
  <c r="AZ1004" i="14"/>
  <c r="BR1004" i="14"/>
  <c r="AC1004" i="14"/>
  <c r="BL1004" i="14"/>
  <c r="U1004" i="14"/>
  <c r="AR1004" i="14"/>
  <c r="AY1004" i="14"/>
  <c r="BK1004" i="14"/>
  <c r="S1004" i="14"/>
  <c r="AT1004" i="14"/>
  <c r="AP1004" i="14"/>
  <c r="AJ1004" i="14"/>
  <c r="Y1004" i="14"/>
  <c r="AG1004" i="14"/>
  <c r="AK1004" i="14"/>
  <c r="AE1004" i="14"/>
  <c r="BJ1004" i="14"/>
  <c r="BM1004" i="14"/>
  <c r="N1004" i="14"/>
  <c r="BX1004" i="14"/>
  <c r="K1004" i="14"/>
  <c r="BH1004" i="14"/>
  <c r="AH1004" i="14"/>
  <c r="BG1004" i="14"/>
  <c r="BO1004" i="14"/>
  <c r="X1004" i="14"/>
  <c r="P1004" i="14"/>
  <c r="BN1004" i="14"/>
  <c r="BE1004" i="14"/>
  <c r="AI1004" i="14"/>
  <c r="R1004" i="14"/>
  <c r="BA1004" i="14"/>
  <c r="AM1004" i="14"/>
  <c r="AQ1004" i="14"/>
  <c r="AD1004" i="14"/>
  <c r="AW1004" i="14"/>
  <c r="BW1004" i="14"/>
  <c r="H1004" i="14"/>
  <c r="Z1004" i="14"/>
  <c r="BV1004" i="14"/>
  <c r="BC1004" i="14"/>
  <c r="BI1004" i="14"/>
  <c r="L1004" i="14"/>
  <c r="BY1004" i="14"/>
  <c r="BU1004" i="14"/>
  <c r="M1004" i="14"/>
  <c r="BT1004" i="14"/>
  <c r="AV1004" i="14"/>
  <c r="BP1004" i="14"/>
  <c r="AZ1032" i="14" l="1"/>
  <c r="BK1032" i="14"/>
  <c r="BB1032" i="14"/>
  <c r="J1032" i="14"/>
  <c r="BY1035" i="14"/>
  <c r="AZ1035" i="14"/>
  <c r="T1035" i="14"/>
  <c r="BQ1035" i="14"/>
  <c r="BL1035" i="14"/>
  <c r="AT1035" i="14"/>
  <c r="V1035" i="14"/>
  <c r="Y1035" i="14"/>
  <c r="AE1035" i="14"/>
  <c r="H1035" i="14"/>
  <c r="AN1035" i="14"/>
  <c r="BN1035" i="14"/>
  <c r="P1035" i="14"/>
  <c r="BG1035" i="14"/>
  <c r="AH1035" i="14"/>
  <c r="S1035" i="14"/>
  <c r="AG1035" i="14"/>
  <c r="X1035" i="14"/>
  <c r="Q1035" i="14"/>
  <c r="BQ1032" i="14"/>
  <c r="BJ1032" i="14"/>
  <c r="BC1032" i="14"/>
  <c r="AH1032" i="14"/>
  <c r="I1032" i="14"/>
  <c r="BI1032" i="14"/>
  <c r="AO1032" i="14"/>
  <c r="AX1032" i="14"/>
  <c r="AM1032" i="14"/>
  <c r="AL1032" i="14"/>
  <c r="BY1032" i="14"/>
  <c r="Y1032" i="14"/>
  <c r="BN1032" i="14"/>
  <c r="V1032" i="14"/>
  <c r="AU1032" i="14"/>
  <c r="O1032" i="14"/>
  <c r="W1032" i="14"/>
  <c r="BR1032" i="14"/>
  <c r="BG1032" i="14"/>
  <c r="BP1032" i="14"/>
  <c r="BU1032" i="14"/>
  <c r="BT1037" i="14"/>
  <c r="BA1037" i="14"/>
  <c r="AO1033" i="14"/>
  <c r="Q1032" i="14"/>
  <c r="Z1032" i="14"/>
  <c r="AR1032" i="14"/>
  <c r="AD1032" i="14"/>
  <c r="R1032" i="14"/>
  <c r="AT1032" i="14"/>
  <c r="AP1032" i="14"/>
  <c r="AG1032" i="14"/>
  <c r="AK1032" i="14"/>
  <c r="AQ1032" i="14"/>
  <c r="BS1032" i="14"/>
  <c r="BM1032" i="14"/>
  <c r="AE1032" i="14"/>
  <c r="BT1032" i="14"/>
  <c r="BW1032" i="14"/>
  <c r="AM1031" i="14"/>
  <c r="AS1031" i="14"/>
  <c r="J1031" i="14"/>
  <c r="AK1036" i="14"/>
  <c r="Q1031" i="14"/>
  <c r="T1031" i="14"/>
  <c r="BU1031" i="14"/>
  <c r="AJ1031" i="14"/>
  <c r="BS1031" i="14"/>
  <c r="BJ1036" i="14"/>
  <c r="AX1031" i="14"/>
  <c r="BN1031" i="14"/>
  <c r="BW1031" i="14"/>
  <c r="AE1031" i="14"/>
  <c r="AL1031" i="14"/>
  <c r="AC1036" i="14"/>
  <c r="BD1033" i="14"/>
  <c r="BG1031" i="14"/>
  <c r="N1031" i="14"/>
  <c r="BQ1031" i="14"/>
  <c r="P1032" i="14"/>
  <c r="M1032" i="14"/>
  <c r="BE1031" i="14"/>
  <c r="AP1037" i="14"/>
  <c r="BD1032" i="14"/>
  <c r="BV1032" i="14"/>
  <c r="BE1032" i="14"/>
  <c r="BA1032" i="14"/>
  <c r="AN1032" i="14"/>
  <c r="BX1031" i="14"/>
  <c r="BJ1031" i="14"/>
  <c r="U1031" i="14"/>
  <c r="AV1032" i="14"/>
  <c r="AY1032" i="14"/>
  <c r="AB1032" i="14"/>
  <c r="AO1031" i="14"/>
  <c r="R1037" i="14"/>
  <c r="BF1032" i="14"/>
  <c r="AJ1032" i="14"/>
  <c r="AI1032" i="14"/>
  <c r="S1032" i="14"/>
  <c r="P1031" i="14"/>
  <c r="AV1031" i="14"/>
  <c r="I1031" i="14"/>
  <c r="AD1031" i="14"/>
  <c r="BH1032" i="14"/>
  <c r="AW1032" i="14"/>
  <c r="BX1032" i="14"/>
  <c r="T1032" i="14"/>
  <c r="AK1031" i="14"/>
  <c r="AR1031" i="14"/>
  <c r="R1031" i="14"/>
  <c r="S1031" i="14"/>
  <c r="X1032" i="14"/>
  <c r="K1032" i="14"/>
  <c r="AA1032" i="14"/>
  <c r="BM1030" i="14"/>
  <c r="AG1031" i="14"/>
  <c r="AT1031" i="14"/>
  <c r="K1031" i="14"/>
  <c r="O1031" i="14"/>
  <c r="BL1031" i="14"/>
  <c r="BM1031" i="14"/>
  <c r="AY1031" i="14"/>
  <c r="BF1031" i="14"/>
  <c r="AW1031" i="14"/>
  <c r="BP1031" i="14"/>
  <c r="BV1031" i="14"/>
  <c r="AN1031" i="14"/>
  <c r="BI1031" i="14"/>
  <c r="AB1031" i="14"/>
  <c r="AF1031" i="14"/>
  <c r="AD1030" i="14"/>
  <c r="BS1030" i="14"/>
  <c r="BG1030" i="14"/>
  <c r="AT1030" i="14"/>
  <c r="AC1033" i="14"/>
  <c r="BB1033" i="14"/>
  <c r="AK1037" i="14"/>
  <c r="N1037" i="14"/>
  <c r="J1037" i="14"/>
  <c r="AM1037" i="14"/>
  <c r="BH1030" i="14"/>
  <c r="AX1030" i="14"/>
  <c r="AL1030" i="14"/>
  <c r="AE1030" i="14"/>
  <c r="AA1030" i="14"/>
  <c r="Y1030" i="14"/>
  <c r="AN1030" i="14"/>
  <c r="N1030" i="14"/>
  <c r="M1030" i="14"/>
  <c r="AH1036" i="14"/>
  <c r="AV1033" i="14"/>
  <c r="BA1033" i="14"/>
  <c r="AU1033" i="14"/>
  <c r="Q1033" i="14"/>
  <c r="AN1033" i="14"/>
  <c r="BN1033" i="14"/>
  <c r="BW1033" i="14"/>
  <c r="J1033" i="14"/>
  <c r="AB1033" i="14"/>
  <c r="AA1033" i="14"/>
  <c r="BC1033" i="14"/>
  <c r="BQ1033" i="14"/>
  <c r="AQ1033" i="14"/>
  <c r="V1033" i="14"/>
  <c r="AD1033" i="14"/>
  <c r="K1033" i="14"/>
  <c r="Z1033" i="14"/>
  <c r="AJ1033" i="14"/>
  <c r="BJ1033" i="14"/>
  <c r="BV1033" i="14"/>
  <c r="AT1033" i="14"/>
  <c r="AO1030" i="14"/>
  <c r="U1030" i="14"/>
  <c r="AZ1030" i="14"/>
  <c r="AY1030" i="14"/>
  <c r="AW1030" i="14"/>
  <c r="BB1030" i="14"/>
  <c r="W1030" i="14"/>
  <c r="BU1030" i="14"/>
  <c r="T1030" i="14"/>
  <c r="BK1030" i="14"/>
  <c r="X1030" i="14"/>
  <c r="BI1030" i="14"/>
  <c r="V1030" i="14"/>
  <c r="J1030" i="14"/>
  <c r="BO1030" i="14"/>
  <c r="AF1030" i="14"/>
  <c r="BC1030" i="14"/>
  <c r="BA1030" i="14"/>
  <c r="BV1036" i="14"/>
  <c r="X1031" i="14"/>
  <c r="AU1031" i="14"/>
  <c r="BC1031" i="14"/>
  <c r="BD1031" i="14"/>
  <c r="AA1031" i="14"/>
  <c r="BR1036" i="14"/>
  <c r="AB1036" i="14"/>
  <c r="V1031" i="14"/>
  <c r="BY1031" i="14"/>
  <c r="BT1031" i="14"/>
  <c r="H1031" i="14"/>
  <c r="M1031" i="14"/>
  <c r="AG1036" i="14"/>
  <c r="BN1036" i="14"/>
  <c r="AZ1031" i="14"/>
  <c r="BB1031" i="14"/>
  <c r="W1031" i="14"/>
  <c r="AC1031" i="14"/>
  <c r="AQ1036" i="14"/>
  <c r="BA1031" i="14"/>
  <c r="BO1031" i="14"/>
  <c r="AQ1031" i="14"/>
  <c r="BR1031" i="14"/>
  <c r="AF1036" i="14"/>
  <c r="AP1031" i="14"/>
  <c r="AI1031" i="14"/>
  <c r="BH1031" i="14"/>
  <c r="L1031" i="14"/>
  <c r="BU1036" i="14"/>
  <c r="BK1031" i="14"/>
  <c r="Y1031" i="14"/>
  <c r="AH1031" i="14"/>
  <c r="K1036" i="14"/>
  <c r="BU1033" i="14"/>
  <c r="BR1033" i="14"/>
  <c r="BE1033" i="14"/>
  <c r="W1036" i="14"/>
  <c r="AS1033" i="14"/>
  <c r="AY1033" i="14"/>
  <c r="Y1036" i="14"/>
  <c r="AP1033" i="14"/>
  <c r="BS1033" i="14"/>
  <c r="M1036" i="14"/>
  <c r="I1036" i="14"/>
  <c r="H1033" i="14"/>
  <c r="X1033" i="14"/>
  <c r="R1033" i="14"/>
  <c r="AT1036" i="14"/>
  <c r="J1036" i="14"/>
  <c r="AR1033" i="14"/>
  <c r="O1033" i="14"/>
  <c r="AM1033" i="14"/>
  <c r="AD1036" i="14"/>
  <c r="BL1036" i="14"/>
  <c r="S1033" i="14"/>
  <c r="BT1033" i="14"/>
  <c r="AG1033" i="14"/>
  <c r="AA1036" i="14"/>
  <c r="BP1036" i="14"/>
  <c r="AL1033" i="14"/>
  <c r="W1033" i="14"/>
  <c r="BI1033" i="14"/>
  <c r="BF1033" i="14"/>
  <c r="T1033" i="14"/>
  <c r="AI1036" i="14"/>
  <c r="AY1036" i="14"/>
  <c r="N1033" i="14"/>
  <c r="O1029" i="14"/>
  <c r="M1033" i="14"/>
  <c r="BH1033" i="14"/>
  <c r="BY1033" i="14"/>
  <c r="AX1033" i="14"/>
  <c r="AZ1036" i="14"/>
  <c r="AS1036" i="14"/>
  <c r="Y1033" i="14"/>
  <c r="P1033" i="14"/>
  <c r="U1033" i="14"/>
  <c r="BO1033" i="14"/>
  <c r="BK1033" i="14"/>
  <c r="BG1036" i="14"/>
  <c r="R1036" i="14"/>
  <c r="BF1036" i="14"/>
  <c r="AW1033" i="14"/>
  <c r="AE1033" i="14"/>
  <c r="BG1033" i="14"/>
  <c r="BP1033" i="14"/>
  <c r="AF1033" i="14"/>
  <c r="BQ1036" i="14"/>
  <c r="AW1036" i="14"/>
  <c r="BA1036" i="14"/>
  <c r="V1029" i="14"/>
  <c r="I1033" i="14"/>
  <c r="BM1033" i="14"/>
  <c r="BX1033" i="14"/>
  <c r="AH1033" i="14"/>
  <c r="AZ1033" i="14"/>
  <c r="AO1036" i="14"/>
  <c r="Z1036" i="14"/>
  <c r="BS1036" i="14"/>
  <c r="AK1033" i="14"/>
  <c r="AI1033" i="14"/>
  <c r="BL1033" i="14"/>
  <c r="AP1036" i="14"/>
  <c r="T1036" i="14"/>
  <c r="AR1036" i="14"/>
  <c r="BV1037" i="14"/>
  <c r="AD1037" i="14"/>
  <c r="BD1037" i="14"/>
  <c r="BM1037" i="14"/>
  <c r="BJ1037" i="14"/>
  <c r="U1037" i="14"/>
  <c r="BN1037" i="14"/>
  <c r="BG1037" i="14"/>
  <c r="BL1037" i="14"/>
  <c r="AT1037" i="14"/>
  <c r="BS1037" i="14"/>
  <c r="AY1037" i="14"/>
  <c r="BK1037" i="14"/>
  <c r="BW1037" i="14"/>
  <c r="H1037" i="14"/>
  <c r="AB1037" i="14"/>
  <c r="AF1037" i="14"/>
  <c r="Z1037" i="14"/>
  <c r="AN1037" i="14"/>
  <c r="BF1037" i="14"/>
  <c r="L1037" i="14"/>
  <c r="W1037" i="14"/>
  <c r="BO1037" i="14"/>
  <c r="BC1037" i="14"/>
  <c r="AO1037" i="14"/>
  <c r="AG1037" i="14"/>
  <c r="AX1037" i="14"/>
  <c r="AJ1037" i="14"/>
  <c r="M1037" i="14"/>
  <c r="O1037" i="14"/>
  <c r="AL1037" i="14"/>
  <c r="AI1037" i="14"/>
  <c r="BH1037" i="14"/>
  <c r="BY1037" i="14"/>
  <c r="BX1037" i="14"/>
  <c r="V1037" i="14"/>
  <c r="Q1037" i="14"/>
  <c r="Y1037" i="14"/>
  <c r="BP1037" i="14"/>
  <c r="AH1037" i="14"/>
  <c r="BI1037" i="14"/>
  <c r="T1037" i="14"/>
  <c r="P1037" i="14"/>
  <c r="AE1037" i="14"/>
  <c r="BE1037" i="14"/>
  <c r="AR1037" i="14"/>
  <c r="BR1037" i="14"/>
  <c r="AC1037" i="14"/>
  <c r="X1037" i="14"/>
  <c r="AS1037" i="14"/>
  <c r="BQ1037" i="14"/>
  <c r="I1037" i="14"/>
  <c r="AV1037" i="14"/>
  <c r="BB1037" i="14"/>
  <c r="AA1037" i="14"/>
  <c r="K1037" i="14"/>
  <c r="AW1037" i="14"/>
  <c r="AU1037" i="14"/>
  <c r="BU1037" i="14"/>
  <c r="S1037" i="14"/>
  <c r="AQ1037" i="14"/>
  <c r="AK1029" i="14"/>
  <c r="X1036" i="14"/>
  <c r="BK1036" i="14"/>
  <c r="BT1036" i="14"/>
  <c r="L1036" i="14"/>
  <c r="Z1029" i="14"/>
  <c r="AU1036" i="14"/>
  <c r="AV1036" i="14"/>
  <c r="U1036" i="14"/>
  <c r="BY1036" i="14"/>
  <c r="BJ1029" i="14"/>
  <c r="AJ1036" i="14"/>
  <c r="BO1036" i="14"/>
  <c r="BX1036" i="14"/>
  <c r="V1036" i="14"/>
  <c r="BT1029" i="14"/>
  <c r="AE1036" i="14"/>
  <c r="BD1036" i="14"/>
  <c r="N1036" i="14"/>
  <c r="AM1036" i="14"/>
  <c r="J1029" i="14"/>
  <c r="BE1036" i="14"/>
  <c r="P1036" i="14"/>
  <c r="BC1036" i="14"/>
  <c r="AN1036" i="14"/>
  <c r="BB1036" i="14"/>
  <c r="AJ1029" i="14"/>
  <c r="O1036" i="14"/>
  <c r="S1036" i="14"/>
  <c r="BI1036" i="14"/>
  <c r="BW1036" i="14"/>
  <c r="AX1036" i="14"/>
  <c r="Q1036" i="14"/>
  <c r="BM1036" i="14"/>
  <c r="H1036" i="14"/>
  <c r="BH1036" i="14"/>
  <c r="BX1030" i="14"/>
  <c r="BF1030" i="14"/>
  <c r="H1030" i="14"/>
  <c r="AJ1030" i="14"/>
  <c r="L1030" i="14"/>
  <c r="K1029" i="14"/>
  <c r="S1030" i="14"/>
  <c r="BP1030" i="14"/>
  <c r="BL1030" i="14"/>
  <c r="Z1030" i="14"/>
  <c r="P1030" i="14"/>
  <c r="BL1029" i="14"/>
  <c r="R1030" i="14"/>
  <c r="AV1030" i="14"/>
  <c r="AS1030" i="14"/>
  <c r="AU1030" i="14"/>
  <c r="AH1030" i="14"/>
  <c r="BM1029" i="14"/>
  <c r="BE1030" i="14"/>
  <c r="AG1030" i="14"/>
  <c r="I1030" i="14"/>
  <c r="AB1030" i="14"/>
  <c r="BC1029" i="14"/>
  <c r="AQ1030" i="14"/>
  <c r="BV1030" i="14"/>
  <c r="BW1030" i="14"/>
  <c r="AI1030" i="14"/>
  <c r="M1029" i="14"/>
  <c r="BQ1030" i="14"/>
  <c r="AM1030" i="14"/>
  <c r="AR1030" i="14"/>
  <c r="AK1030" i="14"/>
  <c r="BR1030" i="14"/>
  <c r="AW1029" i="14"/>
  <c r="BD1030" i="14"/>
  <c r="BY1030" i="14"/>
  <c r="BT1030" i="14"/>
  <c r="AC1030" i="14"/>
  <c r="AP1030" i="14"/>
  <c r="AB1029" i="14"/>
  <c r="BJ1030" i="14"/>
  <c r="BN1030" i="14"/>
  <c r="K1030" i="14"/>
  <c r="Q1030" i="14"/>
  <c r="U1029" i="14"/>
  <c r="AL1029" i="14"/>
  <c r="BB1029" i="14"/>
  <c r="N1029" i="14"/>
  <c r="H1029" i="14"/>
  <c r="AC1029" i="14"/>
  <c r="I1029" i="14"/>
  <c r="AQ1029" i="14"/>
  <c r="AD1029" i="14"/>
  <c r="AG1029" i="14"/>
  <c r="BU1029" i="14"/>
  <c r="AA1029" i="14"/>
  <c r="BQ1029" i="14"/>
  <c r="X1029" i="14"/>
  <c r="BH1029" i="14"/>
  <c r="T1029" i="14"/>
  <c r="BK1029" i="14"/>
  <c r="BG1029" i="14"/>
  <c r="AP1029" i="14"/>
  <c r="AT1029" i="14"/>
  <c r="BD1029" i="14"/>
  <c r="AM1029" i="14"/>
  <c r="BY1029" i="14"/>
  <c r="AI1029" i="14"/>
  <c r="BA1029" i="14"/>
  <c r="AE1029" i="14"/>
  <c r="BS1029" i="14"/>
  <c r="P1029" i="14"/>
  <c r="BP1029" i="14"/>
  <c r="BX1029" i="14"/>
  <c r="AU1029" i="14"/>
  <c r="S1029" i="14"/>
  <c r="AN1029" i="14"/>
  <c r="AY1029" i="14"/>
  <c r="BW1029" i="14"/>
  <c r="BN1029" i="14"/>
  <c r="BF1029" i="14"/>
  <c r="BE1029" i="14"/>
  <c r="AV1029" i="14"/>
  <c r="R1029" i="14"/>
  <c r="BI1029" i="14"/>
  <c r="AS1029" i="14"/>
  <c r="AR1029" i="14"/>
  <c r="AF1029" i="14"/>
  <c r="BR1029" i="14"/>
  <c r="Q1029" i="14"/>
  <c r="AO1029" i="14"/>
  <c r="AH1029" i="14"/>
  <c r="W1029" i="14"/>
  <c r="Y1029" i="14"/>
  <c r="AX1029" i="14"/>
  <c r="BV1029" i="14"/>
  <c r="L1029" i="14"/>
  <c r="BO1029" i="14"/>
  <c r="BG989" i="14"/>
  <c r="BG987" i="14"/>
  <c r="BG990" i="14"/>
  <c r="BG988" i="14"/>
  <c r="BG986" i="14"/>
  <c r="BG991" i="14"/>
  <c r="BG992" i="14"/>
  <c r="BH1021" i="14" l="1"/>
  <c r="BG1024" i="14"/>
  <c r="BG1020" i="14"/>
  <c r="BG1022" i="14"/>
  <c r="BG1021" i="14"/>
  <c r="BG1019" i="14"/>
  <c r="BG1018" i="14"/>
  <c r="BG1016" i="14"/>
  <c r="BG1017" i="14"/>
  <c r="BG1023" i="14"/>
  <c r="BH987" i="14"/>
  <c r="BH986" i="14"/>
  <c r="BH988" i="14"/>
  <c r="BH991" i="14"/>
  <c r="BH989" i="14"/>
  <c r="BH990" i="14"/>
  <c r="BH992" i="14"/>
  <c r="BH1020" i="14" l="1"/>
  <c r="BH1024" i="14"/>
  <c r="BH1023" i="14"/>
  <c r="BH1019" i="14"/>
  <c r="BH1022" i="14"/>
  <c r="BH1018" i="14"/>
  <c r="BH1017" i="14"/>
  <c r="BH1016" i="14"/>
  <c r="BI990" i="14"/>
  <c r="BI991" i="14"/>
  <c r="BI992" i="14"/>
  <c r="BI986" i="14"/>
  <c r="BI987" i="14"/>
  <c r="BI989" i="14"/>
  <c r="BI988" i="14"/>
  <c r="BJ1024" i="14" l="1"/>
  <c r="BI1017" i="14"/>
  <c r="BI1016" i="14"/>
  <c r="BI1018" i="14"/>
  <c r="BI1019" i="14"/>
  <c r="BI1022" i="14"/>
  <c r="BI1023" i="14"/>
  <c r="BI1020" i="14"/>
  <c r="BI1024" i="14"/>
  <c r="BI1021" i="14"/>
  <c r="BJ988" i="14"/>
  <c r="BJ987" i="14"/>
  <c r="BJ991" i="14"/>
  <c r="BJ986" i="14"/>
  <c r="BJ989" i="14"/>
  <c r="BJ990" i="14"/>
  <c r="BJ992" i="14"/>
  <c r="BK1024" i="14" l="1"/>
  <c r="BJ1018" i="14"/>
  <c r="BJ1017" i="14"/>
  <c r="BJ1023" i="14"/>
  <c r="BJ1020" i="14"/>
  <c r="BJ1022" i="14"/>
  <c r="BJ1016" i="14"/>
  <c r="BJ1021" i="14"/>
  <c r="BJ1019" i="14"/>
  <c r="BK1021" i="14"/>
  <c r="BK1017" i="14"/>
  <c r="BK1016" i="14"/>
  <c r="BK1022" i="14"/>
  <c r="BK1023" i="14"/>
  <c r="BK1019" i="14"/>
  <c r="BK1020" i="14"/>
  <c r="BK1018" i="14"/>
  <c r="BK990" i="14"/>
  <c r="BK991" i="14"/>
  <c r="BK987" i="14"/>
  <c r="BK992" i="14"/>
  <c r="BK989" i="14"/>
  <c r="BK988" i="14"/>
  <c r="BK986" i="14"/>
  <c r="BL990" i="14" l="1"/>
  <c r="BL992" i="14"/>
  <c r="BL987" i="14"/>
  <c r="BL991" i="14"/>
  <c r="BL989" i="14"/>
  <c r="BL988" i="14"/>
  <c r="BL986" i="14"/>
  <c r="BM1020" i="14" l="1"/>
  <c r="BL1018" i="14"/>
  <c r="BL1021" i="14"/>
  <c r="BL1019" i="14"/>
  <c r="BL1024" i="14"/>
  <c r="BL1020" i="14"/>
  <c r="BL1023" i="14"/>
  <c r="BL1022" i="14"/>
  <c r="BL1016" i="14"/>
  <c r="BL1017" i="14"/>
  <c r="BM989" i="14"/>
  <c r="BM990" i="14"/>
  <c r="BM988" i="14"/>
  <c r="BM991" i="14"/>
  <c r="BM992" i="14"/>
  <c r="BM986" i="14"/>
  <c r="BM987" i="14"/>
  <c r="BM1023" i="14" l="1"/>
  <c r="BM1021" i="14"/>
  <c r="BM1022" i="14"/>
  <c r="BM1018" i="14"/>
  <c r="BM1016" i="14"/>
  <c r="BM1017" i="14"/>
  <c r="BM1024" i="14"/>
  <c r="BM1019" i="14"/>
  <c r="BN992" i="14"/>
  <c r="BN990" i="14"/>
  <c r="BN987" i="14"/>
  <c r="BN991" i="14"/>
  <c r="BN988" i="14"/>
  <c r="BN989" i="14"/>
  <c r="BN986" i="14"/>
  <c r="BN1018" i="14" l="1"/>
  <c r="BN1023" i="14"/>
  <c r="BN1024" i="14"/>
  <c r="BN1021" i="14"/>
  <c r="BN1019" i="14"/>
  <c r="BN1022" i="14"/>
  <c r="BN1016" i="14"/>
  <c r="BN1017" i="14"/>
  <c r="BN1020" i="14"/>
  <c r="BO986" i="14"/>
  <c r="BO992" i="14"/>
  <c r="BO988" i="14"/>
  <c r="BO991" i="14"/>
  <c r="BO987" i="14"/>
  <c r="BO990" i="14"/>
  <c r="BO989" i="14"/>
  <c r="BP1024" i="14" l="1"/>
  <c r="BO1020" i="14"/>
  <c r="BO1018" i="14"/>
  <c r="BO1023" i="14"/>
  <c r="BO1021" i="14"/>
  <c r="BO1022" i="14"/>
  <c r="BO1017" i="14"/>
  <c r="BO1016" i="14"/>
  <c r="BO1024" i="14"/>
  <c r="BO1019" i="14"/>
  <c r="BP990" i="14"/>
  <c r="BP992" i="14"/>
  <c r="BP986" i="14"/>
  <c r="BP988" i="14"/>
  <c r="BP987" i="14"/>
  <c r="BP989" i="14"/>
  <c r="BP991" i="14"/>
  <c r="BQ1018" i="14" l="1"/>
  <c r="BP1016" i="14"/>
  <c r="BP1018" i="14"/>
  <c r="BP1023" i="14"/>
  <c r="BP1020" i="14"/>
  <c r="BP1019" i="14"/>
  <c r="BP1017" i="14"/>
  <c r="BP1022" i="14"/>
  <c r="BP1021" i="14"/>
  <c r="BQ1020" i="14"/>
  <c r="BQ1019" i="14"/>
  <c r="BQ1024" i="14"/>
  <c r="BQ1023" i="14"/>
  <c r="BQ1016" i="14"/>
  <c r="BQ1022" i="14"/>
  <c r="BQ1021" i="14"/>
  <c r="BQ1017" i="14"/>
  <c r="BQ986" i="14"/>
  <c r="BQ992" i="14"/>
  <c r="BQ990" i="14"/>
  <c r="BQ988" i="14"/>
  <c r="BQ989" i="14"/>
  <c r="BQ987" i="14"/>
  <c r="BQ991" i="14"/>
  <c r="BR1017" i="14" l="1"/>
  <c r="BR986" i="14"/>
  <c r="BR991" i="14"/>
  <c r="BR988" i="14"/>
  <c r="BR987" i="14"/>
  <c r="BR992" i="14"/>
  <c r="BR990" i="14"/>
  <c r="BR989" i="14"/>
  <c r="BR1021" i="14" l="1"/>
  <c r="BR1023" i="14"/>
  <c r="BR1020" i="14"/>
  <c r="BR1022" i="14"/>
  <c r="BR1016" i="14"/>
  <c r="BR1019" i="14"/>
  <c r="BR1018" i="14"/>
  <c r="BR1024" i="14"/>
  <c r="BS987" i="14"/>
  <c r="BS989" i="14"/>
  <c r="BS986" i="14"/>
  <c r="BS992" i="14"/>
  <c r="BS990" i="14"/>
  <c r="BS991" i="14"/>
  <c r="BS988" i="14"/>
  <c r="BT991" i="14" l="1"/>
  <c r="BT989" i="14"/>
  <c r="BT986" i="14"/>
  <c r="BT990" i="14"/>
  <c r="BT992" i="14"/>
  <c r="BT987" i="14"/>
  <c r="BT988" i="14"/>
  <c r="BS1017" i="14"/>
  <c r="BS1022" i="14"/>
  <c r="BS1018" i="14"/>
  <c r="BS1023" i="14"/>
  <c r="BS1020" i="14"/>
  <c r="BS1019" i="14"/>
  <c r="BS1024" i="14"/>
  <c r="BS1021" i="14"/>
  <c r="BS1016" i="14"/>
  <c r="BT1016" i="14" l="1"/>
  <c r="BT1023" i="14"/>
  <c r="BT1022" i="14"/>
  <c r="BT1024" i="14"/>
  <c r="BT1021" i="14"/>
  <c r="BT1019" i="14"/>
  <c r="BT1017" i="14"/>
  <c r="BT1020" i="14"/>
  <c r="BT1018" i="14"/>
  <c r="BU988" i="14"/>
  <c r="BU992" i="14"/>
  <c r="BU986" i="14"/>
  <c r="BU987" i="14"/>
  <c r="BU989" i="14"/>
  <c r="BU990" i="14"/>
  <c r="BU991" i="14"/>
  <c r="BV1024" i="14" l="1"/>
  <c r="BV992" i="14"/>
  <c r="BV990" i="14"/>
  <c r="BV991" i="14"/>
  <c r="BV987" i="14"/>
  <c r="BV989" i="14"/>
  <c r="BV986" i="14"/>
  <c r="BV988" i="14"/>
  <c r="BU1018" i="14"/>
  <c r="BU1022" i="14"/>
  <c r="BU1019" i="14"/>
  <c r="BU1024" i="14"/>
  <c r="BU1023" i="14"/>
  <c r="BU1017" i="14"/>
  <c r="BU1016" i="14"/>
  <c r="BU1021" i="14"/>
  <c r="BU1020" i="14"/>
  <c r="BW1017" i="14" l="1"/>
  <c r="BV1017" i="14"/>
  <c r="BV1022" i="14"/>
  <c r="BV1019" i="14"/>
  <c r="BV1020" i="14"/>
  <c r="BV1018" i="14"/>
  <c r="BV1021" i="14"/>
  <c r="BV1023" i="14"/>
  <c r="BV1016" i="14"/>
  <c r="BW1019" i="14"/>
  <c r="BW1020" i="14"/>
  <c r="BW1023" i="14"/>
  <c r="BW1024" i="14"/>
  <c r="BW1018" i="14"/>
  <c r="BW1016" i="14"/>
  <c r="BW1021" i="14"/>
  <c r="BW1022" i="14"/>
  <c r="BW989" i="14"/>
  <c r="BW991" i="14"/>
  <c r="BW992" i="14"/>
  <c r="BW990" i="14"/>
  <c r="BW988" i="14"/>
  <c r="BW986" i="14"/>
  <c r="BW987" i="14"/>
  <c r="BX1018" i="14" l="1"/>
  <c r="BX1019" i="14"/>
  <c r="BX1020" i="14"/>
  <c r="BX1016" i="14"/>
  <c r="BX987" i="14"/>
  <c r="BX988" i="14"/>
  <c r="BX991" i="14"/>
  <c r="BX990" i="14"/>
  <c r="BX986" i="14"/>
  <c r="BX989" i="14"/>
  <c r="BX992" i="14"/>
  <c r="BX1021" i="14" l="1"/>
  <c r="BX1024" i="14"/>
  <c r="BX1023" i="14"/>
  <c r="BX1022" i="14"/>
  <c r="BX1017" i="14"/>
  <c r="BY987" i="14"/>
  <c r="BY988" i="14"/>
  <c r="BY986" i="14"/>
  <c r="BY989" i="14"/>
  <c r="BY991" i="14"/>
  <c r="BY992" i="14"/>
  <c r="BY990" i="14"/>
  <c r="C985" i="14" a="1"/>
  <c r="H985" i="14" l="1"/>
  <c r="I985" i="14"/>
  <c r="J985" i="14"/>
  <c r="K985" i="14"/>
  <c r="L985" i="14"/>
  <c r="M985" i="14"/>
  <c r="N985" i="14"/>
  <c r="O985" i="14"/>
  <c r="P985" i="14"/>
  <c r="Q985" i="14"/>
  <c r="S985" i="14"/>
  <c r="R985" i="14"/>
  <c r="T985" i="14"/>
  <c r="U985" i="14"/>
  <c r="V985" i="14"/>
  <c r="W985" i="14"/>
  <c r="X985" i="14"/>
  <c r="Y985" i="14"/>
  <c r="Z985" i="14"/>
  <c r="AA985" i="14"/>
  <c r="AB985" i="14"/>
  <c r="AC985" i="14"/>
  <c r="AD985" i="14"/>
  <c r="AE985" i="14"/>
  <c r="AF985" i="14"/>
  <c r="AG985" i="14"/>
  <c r="AH985" i="14"/>
  <c r="AI985" i="14"/>
  <c r="AJ985" i="14"/>
  <c r="AK985" i="14"/>
  <c r="AL985" i="14"/>
  <c r="AM985" i="14"/>
  <c r="AN985" i="14"/>
  <c r="AO985" i="14"/>
  <c r="AP985" i="14"/>
  <c r="AQ985" i="14"/>
  <c r="AR985" i="14"/>
  <c r="AS985" i="14"/>
  <c r="AT985" i="14"/>
  <c r="AU985" i="14"/>
  <c r="AV985" i="14"/>
  <c r="AW985" i="14"/>
  <c r="AX985" i="14"/>
  <c r="AY985" i="14"/>
  <c r="AZ985" i="14"/>
  <c r="BA985" i="14"/>
  <c r="BB985" i="14"/>
  <c r="BC985" i="14"/>
  <c r="BD985" i="14"/>
  <c r="BE985" i="14"/>
  <c r="BF985" i="14"/>
  <c r="BG985" i="14"/>
  <c r="BH985" i="14"/>
  <c r="BI985" i="14"/>
  <c r="BJ985" i="14"/>
  <c r="BK985" i="14"/>
  <c r="BL985" i="14"/>
  <c r="BM985" i="14"/>
  <c r="BN985" i="14"/>
  <c r="BO985" i="14"/>
  <c r="BP985" i="14"/>
  <c r="BQ985" i="14"/>
  <c r="BR985" i="14"/>
  <c r="BS985" i="14"/>
  <c r="BT985" i="14"/>
  <c r="BU985" i="14"/>
  <c r="BV985" i="14"/>
  <c r="BW985" i="14"/>
  <c r="BX985" i="14"/>
  <c r="BY985" i="14"/>
  <c r="BY1018" i="14"/>
  <c r="BY1022" i="14"/>
  <c r="BY1017" i="14"/>
  <c r="BY1023" i="14"/>
  <c r="BY1016" i="14"/>
  <c r="BY1020" i="14"/>
  <c r="BY1021" i="14"/>
  <c r="BY1024" i="14"/>
  <c r="BY1019" i="14"/>
  <c r="C1017" i="14" a="1"/>
  <c r="C1017" i="14" s="1"/>
  <c r="C985" i="14"/>
  <c r="H984" i="14"/>
  <c r="I984" i="14"/>
  <c r="J984" i="14"/>
  <c r="K984" i="14"/>
  <c r="L984" i="14"/>
  <c r="M984" i="14"/>
  <c r="N984" i="14"/>
  <c r="O984" i="14"/>
  <c r="P984" i="14"/>
  <c r="Q984" i="14"/>
  <c r="R984" i="14"/>
  <c r="S984" i="14"/>
  <c r="T984" i="14"/>
  <c r="U984" i="14"/>
  <c r="V984" i="14"/>
  <c r="W984" i="14"/>
  <c r="X984" i="14"/>
  <c r="Y984" i="14"/>
  <c r="Z984" i="14"/>
  <c r="AA984" i="14"/>
  <c r="AB984" i="14"/>
  <c r="AC984" i="14"/>
  <c r="AD984" i="14"/>
  <c r="AE984" i="14"/>
  <c r="AF984" i="14"/>
  <c r="AG984" i="14"/>
  <c r="AH984" i="14"/>
  <c r="AI984" i="14"/>
  <c r="AJ984" i="14"/>
  <c r="AK984" i="14"/>
  <c r="AL984" i="14"/>
  <c r="AM984" i="14"/>
  <c r="AN984" i="14"/>
  <c r="AO984" i="14"/>
  <c r="AP984" i="14"/>
  <c r="AQ984" i="14"/>
  <c r="AR984" i="14"/>
  <c r="AS984" i="14"/>
  <c r="AT984" i="14"/>
  <c r="AU984" i="14"/>
  <c r="AV984" i="14"/>
  <c r="AW984" i="14"/>
  <c r="AX984" i="14"/>
  <c r="AY984" i="14"/>
  <c r="AZ984" i="14"/>
  <c r="BA984" i="14"/>
  <c r="BB984" i="14"/>
  <c r="BC984" i="14"/>
  <c r="BD984" i="14"/>
  <c r="BE984" i="14"/>
  <c r="BF984" i="14"/>
  <c r="BG984" i="14"/>
  <c r="BH984" i="14"/>
  <c r="BI984" i="14"/>
  <c r="BJ984" i="14"/>
  <c r="BK984" i="14"/>
  <c r="BL984" i="14"/>
  <c r="BM984" i="14"/>
  <c r="BN984" i="14"/>
  <c r="BO984" i="14"/>
  <c r="BP984" i="14"/>
  <c r="BQ984" i="14"/>
  <c r="BR984" i="14"/>
  <c r="BS984" i="14"/>
  <c r="BT984" i="14"/>
  <c r="BU984" i="14"/>
  <c r="BV984" i="14"/>
  <c r="BW984" i="14"/>
  <c r="BX984" i="14"/>
  <c r="BY984" i="14"/>
  <c r="AX998" i="14" l="1"/>
  <c r="BV998" i="14"/>
  <c r="I998" i="14"/>
  <c r="L998" i="14"/>
  <c r="N998" i="14"/>
  <c r="AZ998" i="14"/>
  <c r="BW998" i="14"/>
  <c r="BN998" i="14"/>
  <c r="V998" i="14"/>
  <c r="S998" i="14"/>
  <c r="AH998" i="14"/>
  <c r="BI998" i="14"/>
  <c r="BM998" i="14"/>
  <c r="AA998" i="14"/>
  <c r="BK998" i="14"/>
  <c r="BL998" i="14"/>
  <c r="AK998" i="14"/>
  <c r="AQ998" i="14"/>
  <c r="BJ998" i="14"/>
  <c r="K998" i="14"/>
  <c r="BA998" i="14"/>
  <c r="Z998" i="14"/>
  <c r="BD998" i="14"/>
  <c r="AO998" i="14"/>
  <c r="BT998" i="14"/>
  <c r="AP998" i="14"/>
  <c r="BO998" i="14"/>
  <c r="AG998" i="14"/>
  <c r="AT998" i="14"/>
  <c r="AD998" i="14"/>
  <c r="AV998" i="14"/>
  <c r="AL998" i="14"/>
  <c r="X998" i="14"/>
  <c r="AI998" i="14"/>
  <c r="BY998" i="14"/>
  <c r="M998" i="14"/>
  <c r="AS998" i="14"/>
  <c r="BX998" i="14"/>
  <c r="BB998" i="14"/>
  <c r="T998" i="14"/>
  <c r="BR998" i="14"/>
  <c r="BE998" i="14"/>
  <c r="AM998" i="14"/>
  <c r="AC998" i="14"/>
  <c r="R998" i="14"/>
  <c r="P998" i="14"/>
  <c r="AJ998" i="14"/>
  <c r="U998" i="14"/>
  <c r="AE998" i="14"/>
  <c r="AF998" i="14"/>
  <c r="AU998" i="14"/>
  <c r="BQ998" i="14"/>
  <c r="BC998" i="14"/>
  <c r="BP998" i="14"/>
  <c r="BS998" i="14"/>
  <c r="Y998" i="14"/>
  <c r="AN998" i="14"/>
  <c r="H998" i="14"/>
  <c r="BU998" i="14"/>
  <c r="BH998" i="14"/>
  <c r="AB998" i="14"/>
  <c r="W998" i="14"/>
  <c r="Q998" i="14"/>
  <c r="AY998" i="14"/>
  <c r="AR998" i="14"/>
  <c r="O998" i="14"/>
  <c r="BF998" i="14"/>
  <c r="BG998" i="14"/>
  <c r="J998" i="14"/>
  <c r="AW998" i="14"/>
  <c r="H983" i="14"/>
  <c r="I983" i="14"/>
  <c r="J983" i="14"/>
  <c r="K983" i="14"/>
  <c r="M983" i="14"/>
  <c r="L983" i="14"/>
  <c r="N983" i="14"/>
  <c r="O983" i="14"/>
  <c r="P983" i="14"/>
  <c r="Q983" i="14"/>
  <c r="R983" i="14"/>
  <c r="S983" i="14"/>
  <c r="T983" i="14"/>
  <c r="U983" i="14"/>
  <c r="V983" i="14"/>
  <c r="W983" i="14"/>
  <c r="X983" i="14"/>
  <c r="Y983" i="14"/>
  <c r="Z983" i="14"/>
  <c r="AA983" i="14"/>
  <c r="AB983" i="14"/>
  <c r="AC983" i="14"/>
  <c r="AD983" i="14"/>
  <c r="AE983" i="14"/>
  <c r="AF983" i="14"/>
  <c r="AG983" i="14"/>
  <c r="AH983" i="14"/>
  <c r="AI983" i="14"/>
  <c r="AJ983" i="14"/>
  <c r="AK983" i="14"/>
  <c r="AL983" i="14"/>
  <c r="AM983" i="14"/>
  <c r="AN983" i="14"/>
  <c r="AO983" i="14"/>
  <c r="AP983" i="14"/>
  <c r="AQ983" i="14"/>
  <c r="AR983" i="14"/>
  <c r="AS983" i="14"/>
  <c r="AT983" i="14"/>
  <c r="AU983" i="14"/>
  <c r="AV983" i="14"/>
  <c r="AW983" i="14"/>
  <c r="AX983" i="14"/>
  <c r="AY983" i="14"/>
  <c r="AZ983" i="14"/>
  <c r="BA983" i="14"/>
  <c r="BB983" i="14"/>
  <c r="BC983" i="14"/>
  <c r="BD983" i="14"/>
  <c r="BE983" i="14"/>
  <c r="BF983" i="14"/>
  <c r="BG983" i="14"/>
  <c r="BH983" i="14"/>
  <c r="BI983" i="14"/>
  <c r="BJ983" i="14"/>
  <c r="BK983" i="14"/>
  <c r="BL983" i="14"/>
  <c r="BM983" i="14"/>
  <c r="BN983" i="14"/>
  <c r="BO983" i="14"/>
  <c r="BP983" i="14"/>
  <c r="BQ983" i="14"/>
  <c r="BR983" i="14"/>
  <c r="BS983" i="14"/>
  <c r="BT983" i="14"/>
  <c r="BU983" i="14"/>
  <c r="BV983" i="14"/>
  <c r="BW983" i="14"/>
  <c r="BX983" i="14"/>
  <c r="BY983" i="14"/>
  <c r="H1015" i="14"/>
  <c r="I1015" i="14"/>
  <c r="J1015" i="14"/>
  <c r="K1015" i="14"/>
  <c r="M1015" i="14"/>
  <c r="L1015" i="14"/>
  <c r="N1015" i="14"/>
  <c r="O1015" i="14"/>
  <c r="P1015" i="14"/>
  <c r="Q1015" i="14"/>
  <c r="S1015" i="14"/>
  <c r="R1015" i="14"/>
  <c r="U1015" i="14"/>
  <c r="T1015" i="14"/>
  <c r="V1015" i="14"/>
  <c r="X1015" i="14"/>
  <c r="W1015" i="14"/>
  <c r="Y1015" i="14"/>
  <c r="Z1015" i="14"/>
  <c r="AA1015" i="14"/>
  <c r="AB1015" i="14"/>
  <c r="AC1015" i="14"/>
  <c r="AD1015" i="14"/>
  <c r="AE1015" i="14"/>
  <c r="AF1015" i="14"/>
  <c r="AG1015" i="14"/>
  <c r="AH1015" i="14"/>
  <c r="AI1015" i="14"/>
  <c r="AJ1015" i="14"/>
  <c r="AK1015" i="14"/>
  <c r="AL1015" i="14"/>
  <c r="AM1015" i="14"/>
  <c r="AN1015" i="14"/>
  <c r="AO1015" i="14"/>
  <c r="AP1015" i="14"/>
  <c r="AQ1015" i="14"/>
  <c r="AR1015" i="14"/>
  <c r="AS1015" i="14"/>
  <c r="AT1015" i="14"/>
  <c r="AU1015" i="14"/>
  <c r="AV1015" i="14"/>
  <c r="AW1015" i="14"/>
  <c r="AX1015" i="14"/>
  <c r="AY1015" i="14"/>
  <c r="AZ1015" i="14"/>
  <c r="BB1015" i="14"/>
  <c r="BA1015" i="14"/>
  <c r="BC1015" i="14"/>
  <c r="BE1015" i="14"/>
  <c r="BD1015" i="14"/>
  <c r="BF1015" i="14"/>
  <c r="BG1015" i="14"/>
  <c r="BH1015" i="14"/>
  <c r="BJ1015" i="14"/>
  <c r="BI1015" i="14"/>
  <c r="BK1015" i="14"/>
  <c r="BM1015" i="14"/>
  <c r="BL1015" i="14"/>
  <c r="BN1015" i="14"/>
  <c r="BO1015" i="14"/>
  <c r="BP1015" i="14"/>
  <c r="BQ1015" i="14"/>
  <c r="BR1015" i="14"/>
  <c r="BS1015" i="14"/>
  <c r="BT1015" i="14"/>
  <c r="BV1015" i="14"/>
  <c r="BU1015" i="14"/>
  <c r="BW1015" i="14"/>
  <c r="BX1015" i="14"/>
  <c r="BY1015" i="14"/>
  <c r="H997" i="14"/>
  <c r="I997" i="14" s="1"/>
  <c r="J997" i="14" s="1"/>
  <c r="K997" i="14" s="1"/>
  <c r="L997" i="14" s="1"/>
  <c r="M997" i="14" s="1"/>
  <c r="N997" i="14" s="1"/>
  <c r="O997" i="14" s="1"/>
  <c r="P997" i="14" s="1"/>
  <c r="Q997" i="14" s="1"/>
  <c r="R997" i="14" s="1"/>
  <c r="S997" i="14" s="1"/>
  <c r="T997" i="14" s="1"/>
  <c r="U997" i="14" s="1"/>
  <c r="V997" i="14" s="1"/>
  <c r="W997" i="14" s="1"/>
  <c r="X997" i="14" s="1"/>
  <c r="Y997" i="14" s="1"/>
  <c r="Z997" i="14" s="1"/>
  <c r="AA997" i="14" s="1"/>
  <c r="AB997" i="14" s="1"/>
  <c r="AC997" i="14" s="1"/>
  <c r="AD997" i="14" s="1"/>
  <c r="AE997" i="14" s="1"/>
  <c r="AF997" i="14" s="1"/>
  <c r="AG997" i="14" s="1"/>
  <c r="AH997" i="14" s="1"/>
  <c r="AI997" i="14" s="1"/>
  <c r="AJ997" i="14" s="1"/>
  <c r="AK997" i="14" s="1"/>
  <c r="AL997" i="14" s="1"/>
  <c r="AM997" i="14" s="1"/>
  <c r="AN997" i="14" s="1"/>
  <c r="AO997" i="14" s="1"/>
  <c r="AP997" i="14" s="1"/>
  <c r="AQ997" i="14" s="1"/>
  <c r="AR997" i="14" s="1"/>
  <c r="AS997" i="14" s="1"/>
  <c r="AT997" i="14" s="1"/>
  <c r="AU997" i="14" s="1"/>
  <c r="AV997" i="14" s="1"/>
  <c r="AW997" i="14" s="1"/>
  <c r="AX997" i="14" s="1"/>
  <c r="AY997" i="14" s="1"/>
  <c r="AZ997" i="14" s="1"/>
  <c r="BA997" i="14" s="1"/>
  <c r="BB997" i="14" s="1"/>
  <c r="BC997" i="14" s="1"/>
  <c r="BD997" i="14" s="1"/>
  <c r="BE997" i="14" s="1"/>
  <c r="BF997" i="14" s="1"/>
  <c r="BG997" i="14" s="1"/>
  <c r="BH997" i="14" s="1"/>
  <c r="BI997" i="14" s="1"/>
  <c r="BJ997" i="14" s="1"/>
  <c r="BK997" i="14" s="1"/>
  <c r="BL997" i="14" s="1"/>
  <c r="BM997" i="14" s="1"/>
  <c r="BN997" i="14" s="1"/>
  <c r="BO997" i="14" s="1"/>
  <c r="BP997" i="14" s="1"/>
  <c r="BQ997" i="14" s="1"/>
  <c r="BR997" i="14" s="1"/>
  <c r="BS997" i="14" s="1"/>
  <c r="BT997" i="14" s="1"/>
  <c r="BU997" i="14" s="1"/>
  <c r="BV997" i="14" s="1"/>
  <c r="BW997" i="14" s="1"/>
  <c r="BX997" i="14" s="1"/>
  <c r="BY997" i="14" s="1"/>
  <c r="AZ1028" i="14" l="1"/>
  <c r="AZ1027" i="14" s="1"/>
  <c r="BW1028" i="14"/>
  <c r="BW1027" i="14" s="1"/>
  <c r="AU1028" i="14"/>
  <c r="AU1027" i="14" s="1"/>
  <c r="O1028" i="14"/>
  <c r="O1027" i="14" s="1"/>
  <c r="AO1028" i="14"/>
  <c r="AO1027" i="14" s="1"/>
  <c r="BU1028" i="14"/>
  <c r="BU1027" i="14" s="1"/>
  <c r="AS1028" i="14"/>
  <c r="AS1027" i="14" s="1"/>
  <c r="AC1028" i="14"/>
  <c r="AC1027" i="14" s="1"/>
  <c r="BV1028" i="14"/>
  <c r="BV1027" i="14" s="1"/>
  <c r="BL1028" i="14"/>
  <c r="BL1027" i="14" s="1"/>
  <c r="AQ1028" i="14"/>
  <c r="AQ1027" i="14" s="1"/>
  <c r="AT1028" i="14"/>
  <c r="AT1027" i="14" s="1"/>
  <c r="BJ1028" i="14"/>
  <c r="BJ1027" i="14" s="1"/>
  <c r="BO1028" i="14"/>
  <c r="BO1027" i="14" s="1"/>
  <c r="H1028" i="14"/>
  <c r="H1027" i="14" s="1"/>
  <c r="H1039" i="14" s="1"/>
  <c r="I1025" i="14" s="1"/>
  <c r="I1026" i="14" s="1"/>
  <c r="Z1028" i="14"/>
  <c r="Z1027" i="14" s="1"/>
  <c r="AA1028" i="14"/>
  <c r="AA1027" i="14" s="1"/>
  <c r="BF1028" i="14"/>
  <c r="BF1027" i="14" s="1"/>
  <c r="BT1028" i="14"/>
  <c r="BT1027" i="14" s="1"/>
  <c r="M1028" i="14"/>
  <c r="M1027" i="14" s="1"/>
  <c r="AL1028" i="14"/>
  <c r="AL1027" i="14" s="1"/>
  <c r="S1028" i="14"/>
  <c r="S1027" i="14" s="1"/>
  <c r="Q1028" i="14"/>
  <c r="Q1027" i="14" s="1"/>
  <c r="BQ1028" i="14"/>
  <c r="BQ1027" i="14" s="1"/>
  <c r="BC1028" i="14"/>
  <c r="BC1027" i="14" s="1"/>
  <c r="BI1028" i="14"/>
  <c r="BI1027" i="14" s="1"/>
  <c r="AF1028" i="14"/>
  <c r="AF1027" i="14" s="1"/>
  <c r="L1028" i="14"/>
  <c r="L1027" i="14" s="1"/>
  <c r="N1028" i="14"/>
  <c r="N1027" i="14" s="1"/>
  <c r="AK1028" i="14"/>
  <c r="AK1027" i="14" s="1"/>
  <c r="BE1028" i="14"/>
  <c r="BE1027" i="14" s="1"/>
  <c r="U1028" i="14"/>
  <c r="U1027" i="14" s="1"/>
  <c r="T1028" i="14"/>
  <c r="T1027" i="14" s="1"/>
  <c r="K1028" i="14"/>
  <c r="K1027" i="14" s="1"/>
  <c r="J1028" i="14"/>
  <c r="J1027" i="14" s="1"/>
  <c r="BG1028" i="14"/>
  <c r="BG1027" i="14" s="1"/>
  <c r="X1028" i="14"/>
  <c r="X1027" i="14" s="1"/>
  <c r="AX1028" i="14"/>
  <c r="AX1027" i="14" s="1"/>
  <c r="AV1028" i="14"/>
  <c r="AV1027" i="14" s="1"/>
  <c r="R1028" i="14"/>
  <c r="R1027" i="14" s="1"/>
  <c r="BY1028" i="14"/>
  <c r="BY1027" i="14" s="1"/>
  <c r="I1028" i="14"/>
  <c r="I1027" i="14" s="1"/>
  <c r="P1028" i="14"/>
  <c r="P1027" i="14" s="1"/>
  <c r="BK1028" i="14"/>
  <c r="BK1027" i="14" s="1"/>
  <c r="AG1028" i="14"/>
  <c r="AG1027" i="14" s="1"/>
  <c r="BB1028" i="14"/>
  <c r="BB1027" i="14" s="1"/>
  <c r="BH1028" i="14"/>
  <c r="BH1027" i="14" s="1"/>
  <c r="AJ1028" i="14"/>
  <c r="AJ1027" i="14" s="1"/>
  <c r="Y1028" i="14"/>
  <c r="Y1027" i="14" s="1"/>
  <c r="AE1028" i="14"/>
  <c r="AE1027" i="14" s="1"/>
  <c r="AW1028" i="14"/>
  <c r="AW1027" i="14" s="1"/>
  <c r="AD1028" i="14"/>
  <c r="AD1027" i="14" s="1"/>
  <c r="AI1028" i="14"/>
  <c r="AI1027" i="14" s="1"/>
  <c r="BX1028" i="14"/>
  <c r="BX1027" i="14" s="1"/>
  <c r="BM1028" i="14"/>
  <c r="BM1027" i="14" s="1"/>
  <c r="AR1028" i="14"/>
  <c r="AR1027" i="14" s="1"/>
  <c r="BP1028" i="14"/>
  <c r="BP1027" i="14" s="1"/>
  <c r="BR1028" i="14"/>
  <c r="BR1027" i="14" s="1"/>
  <c r="BN1028" i="14"/>
  <c r="BN1027" i="14" s="1"/>
  <c r="BA1028" i="14"/>
  <c r="BA1027" i="14" s="1"/>
  <c r="BS1028" i="14"/>
  <c r="BS1027" i="14" s="1"/>
  <c r="BD1028" i="14"/>
  <c r="BD1027" i="14" s="1"/>
  <c r="AH1028" i="14"/>
  <c r="AH1027" i="14" s="1"/>
  <c r="W1028" i="14"/>
  <c r="W1027" i="14" s="1"/>
  <c r="V1028" i="14"/>
  <c r="V1027" i="14" s="1"/>
  <c r="AN1028" i="14"/>
  <c r="AN1027" i="14" s="1"/>
  <c r="AM1028" i="14"/>
  <c r="AM1027" i="14" s="1"/>
  <c r="AB1028" i="14"/>
  <c r="AB1027" i="14" s="1"/>
  <c r="AP1028" i="14"/>
  <c r="AP1027" i="14" s="1"/>
  <c r="AY1028" i="14"/>
  <c r="AY1027" i="14" s="1"/>
  <c r="H996" i="14"/>
  <c r="H995" i="14" s="1"/>
  <c r="I1039" i="14" l="1"/>
  <c r="J1025" i="14" s="1"/>
  <c r="J1026" i="14" s="1"/>
  <c r="I996" i="14"/>
  <c r="H1060" i="14"/>
  <c r="H1007" i="14"/>
  <c r="I993" i="14" s="1"/>
  <c r="I994" i="14" s="1"/>
  <c r="I1046" i="14" s="1"/>
  <c r="I995" i="14" l="1"/>
  <c r="I1060" i="14" s="1"/>
  <c r="J996" i="14"/>
  <c r="K996" i="14" s="1"/>
  <c r="L996" i="14" s="1"/>
  <c r="M996" i="14" s="1"/>
  <c r="N996" i="14" s="1"/>
  <c r="O996" i="14" s="1"/>
  <c r="J1039" i="14"/>
  <c r="K1025" i="14" s="1"/>
  <c r="K1026" i="14" s="1"/>
  <c r="I1061" i="14"/>
  <c r="I1047" i="14"/>
  <c r="H1062" i="14"/>
  <c r="I1007" i="14" l="1"/>
  <c r="J993" i="14" s="1"/>
  <c r="J994" i="14" s="1"/>
  <c r="J1046" i="14" s="1"/>
  <c r="K1039" i="14"/>
  <c r="L1025" i="14" s="1"/>
  <c r="L1026" i="14" s="1"/>
  <c r="P996" i="14"/>
  <c r="H590" i="14"/>
  <c r="H592" i="14" s="1"/>
  <c r="I1048" i="14"/>
  <c r="J995" i="14" l="1"/>
  <c r="J1060" i="14" s="1"/>
  <c r="L1039" i="14"/>
  <c r="M1025" i="14" s="1"/>
  <c r="M1026" i="14" s="1"/>
  <c r="I1056" i="14"/>
  <c r="I1049" i="14"/>
  <c r="J1061" i="14"/>
  <c r="J1047" i="14"/>
  <c r="Q996" i="14"/>
  <c r="J1007" i="14" l="1"/>
  <c r="K993" i="14" s="1"/>
  <c r="K994" i="14" s="1"/>
  <c r="K1046" i="14" s="1"/>
  <c r="M1039" i="14"/>
  <c r="N1025" i="14" s="1"/>
  <c r="N1026" i="14" s="1"/>
  <c r="J1048" i="14"/>
  <c r="J1049" i="14" s="1"/>
  <c r="R996" i="14"/>
  <c r="I1057" i="14"/>
  <c r="K995" i="14" l="1"/>
  <c r="K1060" i="14" s="1"/>
  <c r="N1039" i="14"/>
  <c r="O1025" i="14" s="1"/>
  <c r="O1039" i="14" s="1"/>
  <c r="P1025" i="14" s="1"/>
  <c r="P1026" i="14" s="1"/>
  <c r="I1059" i="14"/>
  <c r="K1061" i="14"/>
  <c r="K1047" i="14"/>
  <c r="S996" i="14"/>
  <c r="J1056" i="14"/>
  <c r="K1007" i="14" l="1"/>
  <c r="L993" i="14" s="1"/>
  <c r="L994" i="14" s="1"/>
  <c r="L1046" i="14" s="1"/>
  <c r="P1039" i="14"/>
  <c r="Q1025" i="14" s="1"/>
  <c r="Q1026" i="14" s="1"/>
  <c r="O1026" i="14"/>
  <c r="T996" i="14"/>
  <c r="I1062" i="14"/>
  <c r="K1048" i="14"/>
  <c r="J1057" i="14"/>
  <c r="L995" i="14" l="1"/>
  <c r="L1007" i="14" s="1"/>
  <c r="M993" i="14" s="1"/>
  <c r="M994" i="14" s="1"/>
  <c r="Q1039" i="14"/>
  <c r="R1025" i="14" s="1"/>
  <c r="R1039" i="14" s="1"/>
  <c r="S1025" i="14" s="1"/>
  <c r="U996" i="14"/>
  <c r="L1061" i="14"/>
  <c r="L1047" i="14"/>
  <c r="K1056" i="14"/>
  <c r="K1049" i="14"/>
  <c r="I590" i="14"/>
  <c r="I592" i="14" s="1"/>
  <c r="J1059" i="14"/>
  <c r="L1060" i="14" l="1"/>
  <c r="R1026" i="14"/>
  <c r="S1039" i="14"/>
  <c r="T1025" i="14" s="1"/>
  <c r="S1026" i="14"/>
  <c r="K1057" i="14"/>
  <c r="L1048" i="14"/>
  <c r="L1049" i="14" s="1"/>
  <c r="M1046" i="14"/>
  <c r="M995" i="14"/>
  <c r="V996" i="14"/>
  <c r="J1062" i="14"/>
  <c r="T1039" i="14" l="1"/>
  <c r="U1025" i="14" s="1"/>
  <c r="T1026" i="14"/>
  <c r="W996" i="14"/>
  <c r="L1056" i="14"/>
  <c r="J590" i="14"/>
  <c r="J592" i="14" s="1"/>
  <c r="M1007" i="14"/>
  <c r="N993" i="14" s="1"/>
  <c r="N994" i="14" s="1"/>
  <c r="M1060" i="14"/>
  <c r="M1061" i="14"/>
  <c r="M1047" i="14"/>
  <c r="K1059" i="14"/>
  <c r="U1039" i="14" l="1"/>
  <c r="V1025" i="14" s="1"/>
  <c r="U1026" i="14"/>
  <c r="L1057" i="14"/>
  <c r="X996" i="14"/>
  <c r="M1048" i="14"/>
  <c r="M1049" i="14" s="1"/>
  <c r="N1046" i="14"/>
  <c r="N995" i="14"/>
  <c r="K1062" i="14"/>
  <c r="V1039" i="14" l="1"/>
  <c r="W1025" i="14" s="1"/>
  <c r="V1026" i="14"/>
  <c r="Y996" i="14"/>
  <c r="L1059" i="14"/>
  <c r="N1007" i="14"/>
  <c r="O993" i="14" s="1"/>
  <c r="O994" i="14" s="1"/>
  <c r="N1060" i="14"/>
  <c r="N1061" i="14"/>
  <c r="N1047" i="14"/>
  <c r="M1056" i="14"/>
  <c r="K590" i="14"/>
  <c r="K592" i="14" s="1"/>
  <c r="W1039" i="14" l="1"/>
  <c r="X1025" i="14" s="1"/>
  <c r="W1026" i="14"/>
  <c r="O1046" i="14"/>
  <c r="O995" i="14"/>
  <c r="N1048" i="14"/>
  <c r="L1062" i="14"/>
  <c r="M1057" i="14"/>
  <c r="Z996" i="14"/>
  <c r="X1039" i="14" l="1"/>
  <c r="Y1025" i="14" s="1"/>
  <c r="X1026" i="14"/>
  <c r="AA996" i="14"/>
  <c r="O1007" i="14"/>
  <c r="P993" i="14" s="1"/>
  <c r="P994" i="14" s="1"/>
  <c r="O1060" i="14"/>
  <c r="M1059" i="14"/>
  <c r="L590" i="14"/>
  <c r="L592" i="14" s="1"/>
  <c r="N1056" i="14"/>
  <c r="N1049" i="14"/>
  <c r="O1061" i="14"/>
  <c r="O1047" i="14"/>
  <c r="Y1039" i="14" l="1"/>
  <c r="Z1025" i="14" s="1"/>
  <c r="Y1026" i="14"/>
  <c r="N1057" i="14"/>
  <c r="P1046" i="14"/>
  <c r="P995" i="14"/>
  <c r="O1048" i="14"/>
  <c r="M1062" i="14"/>
  <c r="AB996" i="14"/>
  <c r="Z1026" i="14" l="1"/>
  <c r="Z1039" i="14"/>
  <c r="AA1025" i="14" s="1"/>
  <c r="O1056" i="14"/>
  <c r="M590" i="14"/>
  <c r="M592" i="14" s="1"/>
  <c r="O1049" i="14"/>
  <c r="P1061" i="14"/>
  <c r="P1047" i="14"/>
  <c r="P1060" i="14"/>
  <c r="P1007" i="14"/>
  <c r="Q993" i="14" s="1"/>
  <c r="Q994" i="14" s="1"/>
  <c r="N1059" i="14"/>
  <c r="AC996" i="14"/>
  <c r="AD996" i="14" s="1"/>
  <c r="AE996" i="14" s="1"/>
  <c r="AF996" i="14" l="1"/>
  <c r="AA1039" i="14"/>
  <c r="AB1025" i="14" s="1"/>
  <c r="AA1026" i="14"/>
  <c r="N1062" i="14"/>
  <c r="Q1046" i="14"/>
  <c r="Q995" i="14"/>
  <c r="P1048" i="14"/>
  <c r="P1049" i="14" s="1"/>
  <c r="O1057" i="14"/>
  <c r="AG996" i="14" l="1"/>
  <c r="AB1026" i="14"/>
  <c r="AB1039" i="14"/>
  <c r="AC1025" i="14" s="1"/>
  <c r="O1059" i="14"/>
  <c r="P1056" i="14"/>
  <c r="Q1061" i="14"/>
  <c r="Q1047" i="14"/>
  <c r="Q1007" i="14"/>
  <c r="R993" i="14" s="1"/>
  <c r="R994" i="14" s="1"/>
  <c r="Q1060" i="14"/>
  <c r="N590" i="14"/>
  <c r="N592" i="14" s="1"/>
  <c r="AH996" i="14" l="1"/>
  <c r="AC1026" i="14"/>
  <c r="AC1039" i="14"/>
  <c r="AD1025" i="14" s="1"/>
  <c r="R1046" i="14"/>
  <c r="R995" i="14"/>
  <c r="Q1048" i="14"/>
  <c r="Q1049" i="14" s="1"/>
  <c r="P1057" i="14"/>
  <c r="O1062" i="14"/>
  <c r="AI996" i="14" l="1"/>
  <c r="AD1026" i="14"/>
  <c r="AD1039" i="14"/>
  <c r="AE1025" i="14" s="1"/>
  <c r="O590" i="14"/>
  <c r="O592" i="14" s="1"/>
  <c r="P1059" i="14"/>
  <c r="R1061" i="14"/>
  <c r="R1047" i="14"/>
  <c r="Q1056" i="14"/>
  <c r="R1007" i="14"/>
  <c r="S993" i="14" s="1"/>
  <c r="S994" i="14" s="1"/>
  <c r="R1060" i="14"/>
  <c r="AJ996" i="14" l="1"/>
  <c r="AE1026" i="14"/>
  <c r="AE1039" i="14"/>
  <c r="AF1025" i="14" s="1"/>
  <c r="S1046" i="14"/>
  <c r="S995" i="14"/>
  <c r="R1048" i="14"/>
  <c r="R1049" i="14" s="1"/>
  <c r="Q1057" i="14"/>
  <c r="P1062" i="14"/>
  <c r="AK996" i="14" l="1"/>
  <c r="AF1039" i="14"/>
  <c r="AG1025" i="14" s="1"/>
  <c r="AF1026" i="14"/>
  <c r="Q1059" i="14"/>
  <c r="P590" i="14"/>
  <c r="P592" i="14" s="1"/>
  <c r="R1056" i="14"/>
  <c r="S1007" i="14"/>
  <c r="T993" i="14" s="1"/>
  <c r="T994" i="14" s="1"/>
  <c r="S1060" i="14"/>
  <c r="S1061" i="14"/>
  <c r="S1047" i="14"/>
  <c r="AL996" i="14" l="1"/>
  <c r="AG1026" i="14"/>
  <c r="AG1039" i="14"/>
  <c r="AH1025" i="14" s="1"/>
  <c r="T1046" i="14"/>
  <c r="T995" i="14"/>
  <c r="R1057" i="14"/>
  <c r="Q1062" i="14"/>
  <c r="S1048" i="14"/>
  <c r="AM996" i="14" l="1"/>
  <c r="AH1026" i="14"/>
  <c r="AH1039" i="14"/>
  <c r="AI1025" i="14" s="1"/>
  <c r="S1056" i="14"/>
  <c r="R1059" i="14"/>
  <c r="T1060" i="14"/>
  <c r="T1007" i="14"/>
  <c r="U993" i="14" s="1"/>
  <c r="U994" i="14" s="1"/>
  <c r="T1061" i="14"/>
  <c r="T1047" i="14"/>
  <c r="S1049" i="14"/>
  <c r="Q590" i="14"/>
  <c r="Q592" i="14" s="1"/>
  <c r="AN996" i="14" l="1"/>
  <c r="AI1026" i="14"/>
  <c r="AI1039" i="14"/>
  <c r="AJ1025" i="14" s="1"/>
  <c r="U1046" i="14"/>
  <c r="U995" i="14"/>
  <c r="S1057" i="14"/>
  <c r="T1048" i="14"/>
  <c r="T1049" i="14" s="1"/>
  <c r="R1062" i="14"/>
  <c r="AO996" i="14" l="1"/>
  <c r="AJ1026" i="14"/>
  <c r="AJ1039" i="14"/>
  <c r="AK1025" i="14" s="1"/>
  <c r="R590" i="14"/>
  <c r="R592" i="14" s="1"/>
  <c r="S1059" i="14"/>
  <c r="T1056" i="14"/>
  <c r="U1007" i="14"/>
  <c r="V993" i="14" s="1"/>
  <c r="V994" i="14" s="1"/>
  <c r="U1060" i="14"/>
  <c r="U1061" i="14"/>
  <c r="U1047" i="14"/>
  <c r="AP996" i="14" l="1"/>
  <c r="AK1026" i="14"/>
  <c r="AK1039" i="14"/>
  <c r="AL1025" i="14" s="1"/>
  <c r="U1048" i="14"/>
  <c r="U1049" i="14" s="1"/>
  <c r="S1062" i="14"/>
  <c r="V1046" i="14"/>
  <c r="V995" i="14"/>
  <c r="T1057" i="14"/>
  <c r="AQ996" i="14" l="1"/>
  <c r="AL1026" i="14"/>
  <c r="AL1039" i="14"/>
  <c r="AM1025" i="14" s="1"/>
  <c r="T1059" i="14"/>
  <c r="V1061" i="14"/>
  <c r="V1047" i="14"/>
  <c r="U1056" i="14"/>
  <c r="V1007" i="14"/>
  <c r="W993" i="14" s="1"/>
  <c r="W994" i="14" s="1"/>
  <c r="V1060" i="14"/>
  <c r="S590" i="14"/>
  <c r="S592" i="14" s="1"/>
  <c r="AR996" i="14" l="1"/>
  <c r="AM1039" i="14"/>
  <c r="AN1025" i="14" s="1"/>
  <c r="AM1026" i="14"/>
  <c r="V1048" i="14"/>
  <c r="V1049" i="14" s="1"/>
  <c r="W1046" i="14"/>
  <c r="W995" i="14"/>
  <c r="U1057" i="14"/>
  <c r="T1062" i="14"/>
  <c r="AS996" i="14" l="1"/>
  <c r="AN1026" i="14"/>
  <c r="AN1039" i="14"/>
  <c r="AO1025" i="14" s="1"/>
  <c r="W1007" i="14"/>
  <c r="X993" i="14" s="1"/>
  <c r="X994" i="14" s="1"/>
  <c r="W1060" i="14"/>
  <c r="W1061" i="14"/>
  <c r="W1047" i="14"/>
  <c r="T590" i="14"/>
  <c r="T592" i="14" s="1"/>
  <c r="U1059" i="14"/>
  <c r="V1056" i="14"/>
  <c r="AT996" i="14" l="1"/>
  <c r="AO1026" i="14"/>
  <c r="AO1039" i="14"/>
  <c r="AP1025" i="14" s="1"/>
  <c r="V1057" i="14"/>
  <c r="U1062" i="14"/>
  <c r="W1048" i="14"/>
  <c r="W1049" i="14" s="1"/>
  <c r="X1046" i="14"/>
  <c r="X995" i="14"/>
  <c r="AU996" i="14" l="1"/>
  <c r="AP1039" i="14"/>
  <c r="AQ1025" i="14" s="1"/>
  <c r="AP1026" i="14"/>
  <c r="X1007" i="14"/>
  <c r="Y993" i="14" s="1"/>
  <c r="Y994" i="14" s="1"/>
  <c r="X1060" i="14"/>
  <c r="X1061" i="14"/>
  <c r="X1047" i="14"/>
  <c r="W1056" i="14"/>
  <c r="U590" i="14"/>
  <c r="U592" i="14" s="1"/>
  <c r="V1059" i="14"/>
  <c r="AV996" i="14" l="1"/>
  <c r="AQ1026" i="14"/>
  <c r="AQ1039" i="14"/>
  <c r="AR1025" i="14" s="1"/>
  <c r="V1062" i="14"/>
  <c r="W1057" i="14"/>
  <c r="X1048" i="14"/>
  <c r="X1049" i="14" s="1"/>
  <c r="Y1046" i="14"/>
  <c r="Y995" i="14"/>
  <c r="AW996" i="14" l="1"/>
  <c r="AR1026" i="14"/>
  <c r="AR1039" i="14"/>
  <c r="AS1025" i="14" s="1"/>
  <c r="X1056" i="14"/>
  <c r="Y1060" i="14"/>
  <c r="Y1007" i="14"/>
  <c r="Z993" i="14" s="1"/>
  <c r="Z994" i="14" s="1"/>
  <c r="Y1061" i="14"/>
  <c r="Y1047" i="14"/>
  <c r="W1059" i="14"/>
  <c r="V590" i="14"/>
  <c r="V592" i="14" s="1"/>
  <c r="AX996" i="14" l="1"/>
  <c r="AS1026" i="14"/>
  <c r="AS1039" i="14"/>
  <c r="AT1025" i="14" s="1"/>
  <c r="W1062" i="14"/>
  <c r="Y1048" i="14"/>
  <c r="Z1046" i="14"/>
  <c r="Z995" i="14"/>
  <c r="X1057" i="14"/>
  <c r="AY996" i="14" l="1"/>
  <c r="AT1039" i="14"/>
  <c r="AU1025" i="14" s="1"/>
  <c r="AT1026" i="14"/>
  <c r="Z1061" i="14"/>
  <c r="Z1047" i="14"/>
  <c r="Y1056" i="14"/>
  <c r="X1059" i="14"/>
  <c r="Y1049" i="14"/>
  <c r="Z1007" i="14"/>
  <c r="AA993" i="14" s="1"/>
  <c r="AA994" i="14" s="1"/>
  <c r="Z1060" i="14"/>
  <c r="W590" i="14"/>
  <c r="W592" i="14" s="1"/>
  <c r="AZ996" i="14" l="1"/>
  <c r="AU1026" i="14"/>
  <c r="AU1039" i="14"/>
  <c r="AV1025" i="14" s="1"/>
  <c r="AA1046" i="14"/>
  <c r="AA995" i="14"/>
  <c r="X1062" i="14"/>
  <c r="Y1057" i="14"/>
  <c r="Z1048" i="14"/>
  <c r="BA996" i="14" l="1"/>
  <c r="AV1026" i="14"/>
  <c r="AV1039" i="14"/>
  <c r="AW1025" i="14" s="1"/>
  <c r="Z1056" i="14"/>
  <c r="Y1059" i="14"/>
  <c r="X590" i="14"/>
  <c r="X592" i="14" s="1"/>
  <c r="Z1049" i="14"/>
  <c r="AA1060" i="14"/>
  <c r="AA1007" i="14"/>
  <c r="AB993" i="14" s="1"/>
  <c r="AB994" i="14" s="1"/>
  <c r="AA1061" i="14"/>
  <c r="AA1047" i="14"/>
  <c r="BB996" i="14" l="1"/>
  <c r="AW1039" i="14"/>
  <c r="AX1025" i="14" s="1"/>
  <c r="AW1026" i="14"/>
  <c r="AB1046" i="14"/>
  <c r="AB995" i="14"/>
  <c r="Y1062" i="14"/>
  <c r="Z1057" i="14"/>
  <c r="AA1048" i="14"/>
  <c r="BC996" i="14" l="1"/>
  <c r="AX1026" i="14"/>
  <c r="AX1039" i="14"/>
  <c r="AY1025" i="14" s="1"/>
  <c r="AA1056" i="14"/>
  <c r="Y590" i="14"/>
  <c r="Y592" i="14" s="1"/>
  <c r="AA1049" i="14"/>
  <c r="Z1059" i="14"/>
  <c r="AB1060" i="14"/>
  <c r="AB1007" i="14"/>
  <c r="AC993" i="14" s="1"/>
  <c r="AC994" i="14" s="1"/>
  <c r="AB1061" i="14"/>
  <c r="AB1047" i="14"/>
  <c r="BD996" i="14" l="1"/>
  <c r="AY1026" i="14"/>
  <c r="AY1039" i="14"/>
  <c r="AZ1025" i="14" s="1"/>
  <c r="AA1057" i="14"/>
  <c r="AB1048" i="14"/>
  <c r="AC1046" i="14"/>
  <c r="AC995" i="14"/>
  <c r="Z1062" i="14"/>
  <c r="BE996" i="14" l="1"/>
  <c r="AZ1026" i="14"/>
  <c r="AZ1039" i="14"/>
  <c r="BA1025" i="14" s="1"/>
  <c r="AC1060" i="14"/>
  <c r="AC1007" i="14"/>
  <c r="AD993" i="14" s="1"/>
  <c r="AD994" i="14" s="1"/>
  <c r="Z590" i="14"/>
  <c r="Z592" i="14" s="1"/>
  <c r="AC1061" i="14"/>
  <c r="AC1047" i="14"/>
  <c r="AB1056" i="14"/>
  <c r="AB1049" i="14"/>
  <c r="AA1059" i="14"/>
  <c r="BF996" i="14" l="1"/>
  <c r="BA1026" i="14"/>
  <c r="BA1039" i="14"/>
  <c r="BB1025" i="14" s="1"/>
  <c r="AA1062" i="14"/>
  <c r="AD1046" i="14"/>
  <c r="AD995" i="14"/>
  <c r="AB1057" i="14"/>
  <c r="AC1048" i="14"/>
  <c r="AC1049" i="14" s="1"/>
  <c r="BG996" i="14" l="1"/>
  <c r="BB1026" i="14"/>
  <c r="BB1039" i="14"/>
  <c r="BC1025" i="14" s="1"/>
  <c r="AB1059" i="14"/>
  <c r="AD1061" i="14"/>
  <c r="AD1047" i="14"/>
  <c r="AC1056" i="14"/>
  <c r="AD1007" i="14"/>
  <c r="AE993" i="14" s="1"/>
  <c r="AD1060" i="14"/>
  <c r="AA590" i="14"/>
  <c r="AA592" i="14" s="1"/>
  <c r="BH996" i="14" l="1"/>
  <c r="BC1026" i="14"/>
  <c r="BC1039" i="14"/>
  <c r="BD1025" i="14" s="1"/>
  <c r="AE994" i="14"/>
  <c r="AC1057" i="14"/>
  <c r="AD1048" i="14"/>
  <c r="AD1049" i="14" s="1"/>
  <c r="AB1062" i="14"/>
  <c r="AE1046" i="14" l="1"/>
  <c r="AE1047" i="14" s="1"/>
  <c r="AE995" i="14"/>
  <c r="BI996" i="14"/>
  <c r="BD1039" i="14"/>
  <c r="BE1025" i="14" s="1"/>
  <c r="BD1026" i="14"/>
  <c r="AB590" i="14"/>
  <c r="AB592" i="14" s="1"/>
  <c r="AD1056" i="14"/>
  <c r="AC1059" i="14"/>
  <c r="AE1061" i="14" l="1"/>
  <c r="AE1060" i="14"/>
  <c r="AE1007" i="14"/>
  <c r="AF993" i="14" s="1"/>
  <c r="BJ996" i="14"/>
  <c r="BE1039" i="14"/>
  <c r="BF1025" i="14" s="1"/>
  <c r="BE1026" i="14"/>
  <c r="AE1048" i="14"/>
  <c r="AE1049" i="14" s="1"/>
  <c r="AC1062" i="14"/>
  <c r="AD1057" i="14"/>
  <c r="AF994" i="14" l="1"/>
  <c r="BK996" i="14"/>
  <c r="BF1026" i="14"/>
  <c r="BF1039" i="14"/>
  <c r="BG1025" i="14" s="1"/>
  <c r="AC590" i="14"/>
  <c r="AC592" i="14" s="1"/>
  <c r="AD1059" i="14"/>
  <c r="AE1056" i="14"/>
  <c r="AF1046" i="14" l="1"/>
  <c r="AF1061" i="14" s="1"/>
  <c r="AF995" i="14"/>
  <c r="BL996" i="14"/>
  <c r="BG1026" i="14"/>
  <c r="BG1039" i="14"/>
  <c r="BH1025" i="14" s="1"/>
  <c r="AE1057" i="14"/>
  <c r="AD1062" i="14"/>
  <c r="AF1047" i="14" l="1"/>
  <c r="AF1048" i="14" s="1"/>
  <c r="AF1056" i="14" s="1"/>
  <c r="AF1057" i="14" s="1"/>
  <c r="AF1060" i="14"/>
  <c r="AF1007" i="14"/>
  <c r="AG993" i="14" s="1"/>
  <c r="AG994" i="14" s="1"/>
  <c r="BM996" i="14"/>
  <c r="BH1039" i="14"/>
  <c r="BI1025" i="14" s="1"/>
  <c r="BH1026" i="14"/>
  <c r="AD590" i="14"/>
  <c r="AD592" i="14" s="1"/>
  <c r="AE1059" i="14"/>
  <c r="AF1049" i="14" l="1"/>
  <c r="AG1046" i="14"/>
  <c r="AG995" i="14"/>
  <c r="BN996" i="14"/>
  <c r="BI1026" i="14"/>
  <c r="BI1039" i="14"/>
  <c r="BJ1025" i="14" s="1"/>
  <c r="AE1062" i="14"/>
  <c r="AF1059" i="14"/>
  <c r="AG1060" i="14" l="1"/>
  <c r="AG1007" i="14"/>
  <c r="AH993" i="14" s="1"/>
  <c r="AH994" i="14" s="1"/>
  <c r="AG1047" i="14"/>
  <c r="AG1061" i="14"/>
  <c r="BO996" i="14"/>
  <c r="BJ1026" i="14"/>
  <c r="BJ1039" i="14"/>
  <c r="BK1025" i="14" s="1"/>
  <c r="AF1062" i="14"/>
  <c r="AE590" i="14"/>
  <c r="AE592" i="14" s="1"/>
  <c r="AG1048" i="14" l="1"/>
  <c r="AG1056" i="14" s="1"/>
  <c r="AG1057" i="14" s="1"/>
  <c r="AG1059" i="14" s="1"/>
  <c r="AG1062" i="14" s="1"/>
  <c r="AH1046" i="14"/>
  <c r="AH995" i="14"/>
  <c r="BP996" i="14"/>
  <c r="BK1026" i="14"/>
  <c r="BK1039" i="14"/>
  <c r="BL1025" i="14" s="1"/>
  <c r="AF590" i="14"/>
  <c r="AF592" i="14" s="1"/>
  <c r="AG1049" i="14" l="1"/>
  <c r="AH1060" i="14"/>
  <c r="AH1007" i="14"/>
  <c r="AI993" i="14" s="1"/>
  <c r="AI994" i="14" s="1"/>
  <c r="AH1061" i="14"/>
  <c r="AH1047" i="14"/>
  <c r="BQ996" i="14"/>
  <c r="BL1026" i="14"/>
  <c r="BL1039" i="14"/>
  <c r="BM1025" i="14" s="1"/>
  <c r="AG590" i="14"/>
  <c r="AG592" i="14" s="1"/>
  <c r="AH1048" i="14" l="1"/>
  <c r="AH1056" i="14" s="1"/>
  <c r="AH1057" i="14" s="1"/>
  <c r="AH1059" i="14" s="1"/>
  <c r="AH1062" i="14" s="1"/>
  <c r="AH590" i="14" s="1"/>
  <c r="AH592" i="14" s="1"/>
  <c r="AI1046" i="14"/>
  <c r="AI995" i="14"/>
  <c r="BR996" i="14"/>
  <c r="BM1039" i="14"/>
  <c r="BN1025" i="14" s="1"/>
  <c r="BM1026" i="14"/>
  <c r="AH1049" i="14" l="1"/>
  <c r="AI1060" i="14"/>
  <c r="AI1007" i="14"/>
  <c r="AJ993" i="14" s="1"/>
  <c r="AJ994" i="14" s="1"/>
  <c r="AI1047" i="14"/>
  <c r="AI1048" i="14" s="1"/>
  <c r="AI1061" i="14"/>
  <c r="BS996" i="14"/>
  <c r="BN1026" i="14"/>
  <c r="BN1039" i="14"/>
  <c r="BO1025" i="14" s="1"/>
  <c r="AI1049" i="14" l="1"/>
  <c r="AI1056" i="14"/>
  <c r="AI1057" i="14" s="1"/>
  <c r="AI1059" i="14" s="1"/>
  <c r="AI1062" i="14" s="1"/>
  <c r="AI590" i="14" s="1"/>
  <c r="AI592" i="14" s="1"/>
  <c r="AJ1046" i="14"/>
  <c r="AJ995" i="14"/>
  <c r="BT996" i="14"/>
  <c r="BO1039" i="14"/>
  <c r="BP1025" i="14" s="1"/>
  <c r="BO1026" i="14"/>
  <c r="AJ1060" i="14" l="1"/>
  <c r="AJ1007" i="14"/>
  <c r="AK993" i="14" s="1"/>
  <c r="AK994" i="14" s="1"/>
  <c r="AJ1061" i="14"/>
  <c r="AJ1047" i="14"/>
  <c r="BU996" i="14"/>
  <c r="BP1026" i="14"/>
  <c r="BP1039" i="14"/>
  <c r="BQ1025" i="14" s="1"/>
  <c r="AJ1048" i="14" l="1"/>
  <c r="AJ1056" i="14" s="1"/>
  <c r="AJ1057" i="14" s="1"/>
  <c r="AJ1059" i="14" s="1"/>
  <c r="AJ1062" i="14" s="1"/>
  <c r="AJ590" i="14" s="1"/>
  <c r="AJ592" i="14" s="1"/>
  <c r="AK1046" i="14"/>
  <c r="AK995" i="14"/>
  <c r="BV996" i="14"/>
  <c r="BQ1026" i="14"/>
  <c r="BQ1039" i="14"/>
  <c r="BR1025" i="14" s="1"/>
  <c r="AJ1049" i="14" l="1"/>
  <c r="AK1060" i="14"/>
  <c r="AK1007" i="14"/>
  <c r="AL993" i="14" s="1"/>
  <c r="AL994" i="14" s="1"/>
  <c r="AK1047" i="14"/>
  <c r="AK1061" i="14"/>
  <c r="BW996" i="14"/>
  <c r="BR1026" i="14"/>
  <c r="BR1039" i="14"/>
  <c r="BS1025" i="14" s="1"/>
  <c r="AK1048" i="14" l="1"/>
  <c r="AK1056" i="14" s="1"/>
  <c r="AK1057" i="14" s="1"/>
  <c r="AK1059" i="14" s="1"/>
  <c r="AK1062" i="14" s="1"/>
  <c r="AK590" i="14" s="1"/>
  <c r="AK592" i="14" s="1"/>
  <c r="AL1046" i="14"/>
  <c r="AL995" i="14"/>
  <c r="BX996" i="14"/>
  <c r="BS1026" i="14"/>
  <c r="BS1039" i="14"/>
  <c r="BT1025" i="14" s="1"/>
  <c r="AK1049" i="14" l="1"/>
  <c r="AL1061" i="14"/>
  <c r="AL1047" i="14"/>
  <c r="AL1060" i="14"/>
  <c r="AL1007" i="14"/>
  <c r="AM993" i="14" s="1"/>
  <c r="AM994" i="14" s="1"/>
  <c r="BY996" i="14"/>
  <c r="BT1026" i="14"/>
  <c r="BT1039" i="14"/>
  <c r="BU1025" i="14" s="1"/>
  <c r="AM1046" i="14" l="1"/>
  <c r="AM995" i="14"/>
  <c r="AL1048" i="14"/>
  <c r="AL1056" i="14" s="1"/>
  <c r="AL1057" i="14" s="1"/>
  <c r="AL1059" i="14" s="1"/>
  <c r="AL1062" i="14" s="1"/>
  <c r="AL590" i="14" s="1"/>
  <c r="AL592" i="14" s="1"/>
  <c r="BU1026" i="14"/>
  <c r="BU1039" i="14"/>
  <c r="BV1025" i="14" s="1"/>
  <c r="AM1061" i="14" l="1"/>
  <c r="AM1047" i="14"/>
  <c r="AL1049" i="14"/>
  <c r="AM1060" i="14"/>
  <c r="AM1007" i="14"/>
  <c r="AN993" i="14" s="1"/>
  <c r="AN994" i="14" s="1"/>
  <c r="BV1026" i="14"/>
  <c r="BV1039" i="14"/>
  <c r="BW1025" i="14" s="1"/>
  <c r="AN1046" i="14" l="1"/>
  <c r="AN995" i="14"/>
  <c r="AM1048" i="14"/>
  <c r="AM1056" i="14" s="1"/>
  <c r="AM1057" i="14" s="1"/>
  <c r="AM1059" i="14" s="1"/>
  <c r="AM1062" i="14" s="1"/>
  <c r="AM590" i="14" s="1"/>
  <c r="AM592" i="14" s="1"/>
  <c r="BW1039" i="14"/>
  <c r="BX1025" i="14" s="1"/>
  <c r="BW1026" i="14"/>
  <c r="AM1049" i="14" l="1"/>
  <c r="AN1060" i="14"/>
  <c r="AN1007" i="14"/>
  <c r="AO993" i="14" s="1"/>
  <c r="AO994" i="14" s="1"/>
  <c r="AN1061" i="14"/>
  <c r="AN1047" i="14"/>
  <c r="BX1039" i="14"/>
  <c r="BY1025" i="14" s="1"/>
  <c r="BX1026" i="14"/>
  <c r="AN1048" i="14" l="1"/>
  <c r="AN1056" i="14" s="1"/>
  <c r="AN1057" i="14" s="1"/>
  <c r="AN1059" i="14" s="1"/>
  <c r="AN1062" i="14" s="1"/>
  <c r="AN590" i="14" s="1"/>
  <c r="AN592" i="14" s="1"/>
  <c r="AO1046" i="14"/>
  <c r="AO995" i="14"/>
  <c r="BY1026" i="14"/>
  <c r="BY1039" i="14"/>
  <c r="AN1049" i="14" l="1"/>
  <c r="AO1060" i="14"/>
  <c r="AO1007" i="14"/>
  <c r="AP993" i="14" s="1"/>
  <c r="AP994" i="14" s="1"/>
  <c r="AO1061" i="14"/>
  <c r="AO1047" i="14"/>
  <c r="AO1048" i="14" l="1"/>
  <c r="AO1056" i="14" s="1"/>
  <c r="AO1057" i="14" s="1"/>
  <c r="AO1059" i="14" s="1"/>
  <c r="AO1062" i="14" s="1"/>
  <c r="AO590" i="14" s="1"/>
  <c r="AO592" i="14" s="1"/>
  <c r="AP1046" i="14"/>
  <c r="AP995" i="14"/>
  <c r="AO1049" i="14" l="1"/>
  <c r="AP1060" i="14"/>
  <c r="AP1007" i="14"/>
  <c r="AQ993" i="14" s="1"/>
  <c r="AQ994" i="14" s="1"/>
  <c r="AP1047" i="14"/>
  <c r="AP1048" i="14" s="1"/>
  <c r="AP1061" i="14"/>
  <c r="AP1049" i="14" l="1"/>
  <c r="AP1056" i="14"/>
  <c r="AP1057" i="14" s="1"/>
  <c r="AP1059" i="14" s="1"/>
  <c r="AP1062" i="14" s="1"/>
  <c r="AP590" i="14" s="1"/>
  <c r="AP592" i="14" s="1"/>
  <c r="AQ1046" i="14"/>
  <c r="AQ995" i="14"/>
  <c r="AQ1061" i="14" l="1"/>
  <c r="AQ1047" i="14"/>
  <c r="AQ1060" i="14"/>
  <c r="AQ1007" i="14"/>
  <c r="AR993" i="14" s="1"/>
  <c r="AR994" i="14" s="1"/>
  <c r="AQ1048" i="14" l="1"/>
  <c r="AQ1056" i="14" s="1"/>
  <c r="AQ1057" i="14" s="1"/>
  <c r="AQ1059" i="14" s="1"/>
  <c r="AQ1062" i="14" s="1"/>
  <c r="AQ590" i="14" s="1"/>
  <c r="AQ592" i="14" s="1"/>
  <c r="AR1046" i="14"/>
  <c r="AR995" i="14"/>
  <c r="AQ1049" i="14" l="1"/>
  <c r="AR1060" i="14"/>
  <c r="AR1007" i="14"/>
  <c r="AS993" i="14" s="1"/>
  <c r="AS994" i="14" s="1"/>
  <c r="AR1047" i="14"/>
  <c r="AR1061" i="14"/>
  <c r="AR1048" i="14" l="1"/>
  <c r="AR1056" i="14" s="1"/>
  <c r="AR1057" i="14" s="1"/>
  <c r="AR1059" i="14" s="1"/>
  <c r="AR1062" i="14" s="1"/>
  <c r="AR590" i="14" s="1"/>
  <c r="AR592" i="14" s="1"/>
  <c r="AS1046" i="14"/>
  <c r="AS995" i="14"/>
  <c r="AR1049" i="14" l="1"/>
  <c r="AS1060" i="14"/>
  <c r="AS1007" i="14"/>
  <c r="AT993" i="14" s="1"/>
  <c r="AT994" i="14" s="1"/>
  <c r="AS1061" i="14"/>
  <c r="AS1047" i="14"/>
  <c r="AS1048" i="14" s="1"/>
  <c r="AS1049" i="14" l="1"/>
  <c r="AS1056" i="14"/>
  <c r="AS1057" i="14" s="1"/>
  <c r="AS1059" i="14" s="1"/>
  <c r="AS1062" i="14" s="1"/>
  <c r="AS590" i="14" s="1"/>
  <c r="AS592" i="14" s="1"/>
  <c r="AT1046" i="14"/>
  <c r="AT995" i="14"/>
  <c r="AT1060" i="14" l="1"/>
  <c r="AT1007" i="14"/>
  <c r="AU993" i="14" s="1"/>
  <c r="AU994" i="14" s="1"/>
  <c r="AT1061" i="14"/>
  <c r="AT1047" i="14"/>
  <c r="AT1048" i="14" l="1"/>
  <c r="AT1056" i="14" s="1"/>
  <c r="AT1057" i="14" s="1"/>
  <c r="AT1059" i="14" s="1"/>
  <c r="AT1062" i="14" s="1"/>
  <c r="AT590" i="14" s="1"/>
  <c r="AT592" i="14" s="1"/>
  <c r="AU1046" i="14"/>
  <c r="AU995" i="14"/>
  <c r="AT1049" i="14" l="1"/>
  <c r="AU1060" i="14"/>
  <c r="AU1007" i="14"/>
  <c r="AV993" i="14" s="1"/>
  <c r="AV994" i="14" s="1"/>
  <c r="AU1061" i="14"/>
  <c r="AU1047" i="14"/>
  <c r="AU1048" i="14" l="1"/>
  <c r="AU1056" i="14" s="1"/>
  <c r="AU1057" i="14" s="1"/>
  <c r="AU1059" i="14" s="1"/>
  <c r="AU1062" i="14" s="1"/>
  <c r="AU590" i="14" s="1"/>
  <c r="AU592" i="14" s="1"/>
  <c r="AV1046" i="14"/>
  <c r="AV995" i="14"/>
  <c r="AU1049" i="14" l="1"/>
  <c r="AV1060" i="14"/>
  <c r="AV1007" i="14"/>
  <c r="AW993" i="14" s="1"/>
  <c r="AW994" i="14" s="1"/>
  <c r="AV1061" i="14"/>
  <c r="AV1047" i="14"/>
  <c r="AV1048" i="14" l="1"/>
  <c r="AV1056" i="14" s="1"/>
  <c r="AV1057" i="14" s="1"/>
  <c r="AV1059" i="14" s="1"/>
  <c r="AV1062" i="14" s="1"/>
  <c r="AV590" i="14" s="1"/>
  <c r="AV592" i="14" s="1"/>
  <c r="AW1046" i="14"/>
  <c r="AW995" i="14"/>
  <c r="AV1049" i="14" l="1"/>
  <c r="AW1060" i="14"/>
  <c r="AW1007" i="14"/>
  <c r="AX993" i="14" s="1"/>
  <c r="AX994" i="14" s="1"/>
  <c r="AW1061" i="14"/>
  <c r="AW1047" i="14"/>
  <c r="AW1048" i="14" s="1"/>
  <c r="AW1049" i="14" l="1"/>
  <c r="AW1056" i="14"/>
  <c r="AW1057" i="14" s="1"/>
  <c r="AW1059" i="14" s="1"/>
  <c r="AW1062" i="14" s="1"/>
  <c r="AW590" i="14" s="1"/>
  <c r="AW592" i="14" s="1"/>
  <c r="AX1046" i="14"/>
  <c r="AX995" i="14"/>
  <c r="AX1060" i="14" l="1"/>
  <c r="AX1007" i="14"/>
  <c r="AY993" i="14" s="1"/>
  <c r="AY994" i="14" s="1"/>
  <c r="AX1061" i="14"/>
  <c r="AX1047" i="14"/>
  <c r="AX1048" i="14" s="1"/>
  <c r="AX1049" i="14" l="1"/>
  <c r="AX1056" i="14"/>
  <c r="AX1057" i="14" s="1"/>
  <c r="AX1059" i="14" s="1"/>
  <c r="AX1062" i="14" s="1"/>
  <c r="AX590" i="14" s="1"/>
  <c r="AX592" i="14" s="1"/>
  <c r="AY1046" i="14"/>
  <c r="AY995" i="14"/>
  <c r="AY1060" i="14" l="1"/>
  <c r="AY1007" i="14"/>
  <c r="AZ993" i="14" s="1"/>
  <c r="AZ994" i="14" s="1"/>
  <c r="AY1061" i="14"/>
  <c r="AY1047" i="14"/>
  <c r="AY1048" i="14" s="1"/>
  <c r="AY1049" i="14" l="1"/>
  <c r="AY1056" i="14"/>
  <c r="AY1057" i="14" s="1"/>
  <c r="AY1059" i="14" s="1"/>
  <c r="AY1062" i="14" s="1"/>
  <c r="AY590" i="14" s="1"/>
  <c r="AY592" i="14" s="1"/>
  <c r="AZ1046" i="14"/>
  <c r="AZ995" i="14"/>
  <c r="AZ1047" i="14" l="1"/>
  <c r="AZ1048" i="14" s="1"/>
  <c r="AZ1061" i="14"/>
  <c r="AZ1060" i="14"/>
  <c r="AZ1007" i="14"/>
  <c r="BA993" i="14" s="1"/>
  <c r="BA994" i="14" s="1"/>
  <c r="BA1046" i="14" l="1"/>
  <c r="BA995" i="14"/>
  <c r="AZ1049" i="14"/>
  <c r="AZ1056" i="14"/>
  <c r="AZ1057" i="14" s="1"/>
  <c r="AZ1059" i="14" s="1"/>
  <c r="AZ1062" i="14" s="1"/>
  <c r="AZ590" i="14" s="1"/>
  <c r="AZ592" i="14" s="1"/>
  <c r="BA1060" i="14" l="1"/>
  <c r="BA1007" i="14"/>
  <c r="BB993" i="14" s="1"/>
  <c r="BB994" i="14" s="1"/>
  <c r="BA1047" i="14"/>
  <c r="BA1048" i="14" s="1"/>
  <c r="BA1061" i="14"/>
  <c r="BB1046" i="14" l="1"/>
  <c r="BB995" i="14"/>
  <c r="BA1049" i="14"/>
  <c r="BA1056" i="14"/>
  <c r="BA1057" i="14" s="1"/>
  <c r="BA1059" i="14" s="1"/>
  <c r="BA1062" i="14" s="1"/>
  <c r="BA590" i="14" s="1"/>
  <c r="BA592" i="14" s="1"/>
  <c r="BB1060" i="14" l="1"/>
  <c r="BB1007" i="14"/>
  <c r="BC993" i="14" s="1"/>
  <c r="BC994" i="14" s="1"/>
  <c r="BB1047" i="14"/>
  <c r="BB1061" i="14"/>
  <c r="BB1048" i="14" l="1"/>
  <c r="BB1056" i="14" s="1"/>
  <c r="BB1057" i="14" s="1"/>
  <c r="BB1059" i="14" s="1"/>
  <c r="BB1062" i="14" s="1"/>
  <c r="BB590" i="14" s="1"/>
  <c r="BB592" i="14" s="1"/>
  <c r="BC1046" i="14"/>
  <c r="BC995" i="14"/>
  <c r="BB1049" i="14" l="1"/>
  <c r="BC1060" i="14"/>
  <c r="BC1007" i="14"/>
  <c r="BD993" i="14" s="1"/>
  <c r="BD994" i="14" s="1"/>
  <c r="BC1061" i="14"/>
  <c r="BC1047" i="14"/>
  <c r="BC1048" i="14" s="1"/>
  <c r="BC1049" i="14" l="1"/>
  <c r="BC1056" i="14"/>
  <c r="BC1057" i="14" s="1"/>
  <c r="BC1059" i="14" s="1"/>
  <c r="BC1062" i="14" s="1"/>
  <c r="BC590" i="14" s="1"/>
  <c r="BC592" i="14" s="1"/>
  <c r="BD1046" i="14"/>
  <c r="BD995" i="14"/>
  <c r="BD1060" i="14" l="1"/>
  <c r="BD1007" i="14"/>
  <c r="BE993" i="14" s="1"/>
  <c r="BE994" i="14" s="1"/>
  <c r="BD1061" i="14"/>
  <c r="BD1047" i="14"/>
  <c r="BD1048" i="14" s="1"/>
  <c r="BD1049" i="14" l="1"/>
  <c r="BD1056" i="14"/>
  <c r="BD1057" i="14" s="1"/>
  <c r="BD1059" i="14" s="1"/>
  <c r="BD1062" i="14" s="1"/>
  <c r="BD590" i="14" s="1"/>
  <c r="BD592" i="14" s="1"/>
  <c r="BE1046" i="14"/>
  <c r="BE995" i="14"/>
  <c r="BE1060" i="14" l="1"/>
  <c r="BE1007" i="14"/>
  <c r="BF993" i="14" s="1"/>
  <c r="BF994" i="14" s="1"/>
  <c r="BE1047" i="14"/>
  <c r="BE1048" i="14" s="1"/>
  <c r="BE1061" i="14"/>
  <c r="BE1049" i="14" l="1"/>
  <c r="BE1056" i="14"/>
  <c r="BE1057" i="14" s="1"/>
  <c r="BE1059" i="14" s="1"/>
  <c r="BE1062" i="14" s="1"/>
  <c r="BE590" i="14" s="1"/>
  <c r="BE592" i="14" s="1"/>
  <c r="BF1046" i="14"/>
  <c r="BF995" i="14"/>
  <c r="BF1060" i="14" l="1"/>
  <c r="BF1007" i="14"/>
  <c r="BG993" i="14" s="1"/>
  <c r="BG994" i="14" s="1"/>
  <c r="BF1061" i="14"/>
  <c r="BF1047" i="14"/>
  <c r="BF1048" i="14" s="1"/>
  <c r="BF1049" i="14" l="1"/>
  <c r="BF1056" i="14"/>
  <c r="BF1057" i="14" s="1"/>
  <c r="BF1059" i="14" s="1"/>
  <c r="BF1062" i="14" s="1"/>
  <c r="BF590" i="14" s="1"/>
  <c r="BF592" i="14" s="1"/>
  <c r="BG1046" i="14"/>
  <c r="BG995" i="14"/>
  <c r="BG1060" i="14" l="1"/>
  <c r="BG1007" i="14"/>
  <c r="BH993" i="14" s="1"/>
  <c r="BH994" i="14" s="1"/>
  <c r="BG1061" i="14"/>
  <c r="BG1047" i="14"/>
  <c r="BG1048" i="14" s="1"/>
  <c r="BG1049" i="14" l="1"/>
  <c r="BG1056" i="14"/>
  <c r="BG1057" i="14" s="1"/>
  <c r="BG1059" i="14" s="1"/>
  <c r="BG1062" i="14" s="1"/>
  <c r="BG590" i="14" s="1"/>
  <c r="BG592" i="14" s="1"/>
  <c r="BH1046" i="14"/>
  <c r="BH995" i="14"/>
  <c r="BH1047" i="14" l="1"/>
  <c r="BH1061" i="14"/>
  <c r="BH1060" i="14"/>
  <c r="BH1007" i="14"/>
  <c r="BI993" i="14" s="1"/>
  <c r="BI994" i="14" s="1"/>
  <c r="BI1046" i="14" l="1"/>
  <c r="BI995" i="14"/>
  <c r="BH1048" i="14"/>
  <c r="BH1056" i="14" s="1"/>
  <c r="BH1057" i="14" s="1"/>
  <c r="BH1059" i="14" s="1"/>
  <c r="BH1062" i="14" s="1"/>
  <c r="BH590" i="14" s="1"/>
  <c r="BH592" i="14" s="1"/>
  <c r="BH1049" i="14" l="1"/>
  <c r="BI1060" i="14"/>
  <c r="BI1007" i="14"/>
  <c r="BJ993" i="14" s="1"/>
  <c r="BJ994" i="14" s="1"/>
  <c r="BI1047" i="14"/>
  <c r="BI1061" i="14"/>
  <c r="BI1048" i="14" l="1"/>
  <c r="BI1056" i="14" s="1"/>
  <c r="BI1057" i="14" s="1"/>
  <c r="BI1059" i="14" s="1"/>
  <c r="BI1062" i="14" s="1"/>
  <c r="BI590" i="14" s="1"/>
  <c r="BI592" i="14" s="1"/>
  <c r="BJ1046" i="14"/>
  <c r="BJ995" i="14"/>
  <c r="BI1049" i="14" l="1"/>
  <c r="BJ1060" i="14"/>
  <c r="BJ1007" i="14"/>
  <c r="BK993" i="14" s="1"/>
  <c r="BK994" i="14" s="1"/>
  <c r="BJ1047" i="14"/>
  <c r="BJ1048" i="14" s="1"/>
  <c r="BJ1061" i="14"/>
  <c r="BJ1049" i="14" l="1"/>
  <c r="BJ1056" i="14"/>
  <c r="BJ1057" i="14" s="1"/>
  <c r="BJ1059" i="14" s="1"/>
  <c r="BJ1062" i="14" s="1"/>
  <c r="BJ590" i="14" s="1"/>
  <c r="BJ592" i="14" s="1"/>
  <c r="BK1046" i="14"/>
  <c r="BK995" i="14"/>
  <c r="BK1061" i="14" l="1"/>
  <c r="BK1047" i="14"/>
  <c r="BK1048" i="14" s="1"/>
  <c r="BK1060" i="14"/>
  <c r="BK1007" i="14"/>
  <c r="BL993" i="14" s="1"/>
  <c r="BL994" i="14" s="1"/>
  <c r="BL1046" i="14" l="1"/>
  <c r="BL995" i="14"/>
  <c r="BK1049" i="14"/>
  <c r="BK1056" i="14"/>
  <c r="BK1057" i="14" s="1"/>
  <c r="BK1059" i="14" s="1"/>
  <c r="BK1062" i="14" s="1"/>
  <c r="BK590" i="14" s="1"/>
  <c r="BK592" i="14" s="1"/>
  <c r="BL1060" i="14" l="1"/>
  <c r="BL1007" i="14"/>
  <c r="BM993" i="14" s="1"/>
  <c r="BM994" i="14" s="1"/>
  <c r="BL1061" i="14"/>
  <c r="BL1047" i="14"/>
  <c r="BL1048" i="14" s="1"/>
  <c r="BL1049" i="14" l="1"/>
  <c r="BL1056" i="14"/>
  <c r="BL1057" i="14" s="1"/>
  <c r="BL1059" i="14" s="1"/>
  <c r="BL1062" i="14" s="1"/>
  <c r="BL590" i="14" s="1"/>
  <c r="BL592" i="14" s="1"/>
  <c r="BM1046" i="14"/>
  <c r="BM995" i="14"/>
  <c r="BM1060" i="14" l="1"/>
  <c r="BM1007" i="14"/>
  <c r="BN993" i="14" s="1"/>
  <c r="BN994" i="14" s="1"/>
  <c r="BM1061" i="14"/>
  <c r="BM1047" i="14"/>
  <c r="BM1048" i="14" s="1"/>
  <c r="BN1046" i="14" l="1"/>
  <c r="BN995" i="14"/>
  <c r="BM1049" i="14"/>
  <c r="BM1056" i="14"/>
  <c r="BM1057" i="14" s="1"/>
  <c r="BM1059" i="14" s="1"/>
  <c r="BM1062" i="14" s="1"/>
  <c r="BM590" i="14" s="1"/>
  <c r="BM592" i="14" s="1"/>
  <c r="BN1060" i="14" l="1"/>
  <c r="BN1007" i="14"/>
  <c r="BO993" i="14" s="1"/>
  <c r="BO994" i="14" s="1"/>
  <c r="BN1061" i="14"/>
  <c r="BN1047" i="14"/>
  <c r="BN1048" i="14" s="1"/>
  <c r="BN1049" i="14" l="1"/>
  <c r="BN1056" i="14"/>
  <c r="BN1057" i="14" s="1"/>
  <c r="BN1059" i="14" s="1"/>
  <c r="BN1062" i="14" s="1"/>
  <c r="BN590" i="14" s="1"/>
  <c r="BN592" i="14" s="1"/>
  <c r="BO1046" i="14"/>
  <c r="BO995" i="14"/>
  <c r="BO1060" i="14" l="1"/>
  <c r="BO1007" i="14"/>
  <c r="BP993" i="14" s="1"/>
  <c r="BP994" i="14" s="1"/>
  <c r="BO1061" i="14"/>
  <c r="BO1047" i="14"/>
  <c r="BO1048" i="14" l="1"/>
  <c r="BO1056" i="14" s="1"/>
  <c r="BO1057" i="14" s="1"/>
  <c r="BO1059" i="14" s="1"/>
  <c r="BO1062" i="14" s="1"/>
  <c r="BO590" i="14" s="1"/>
  <c r="BO592" i="14" s="1"/>
  <c r="BP1046" i="14"/>
  <c r="BP995" i="14"/>
  <c r="BO1049" i="14" l="1"/>
  <c r="BP1060" i="14"/>
  <c r="BP1007" i="14"/>
  <c r="BQ993" i="14" s="1"/>
  <c r="BQ994" i="14" s="1"/>
  <c r="BP1061" i="14"/>
  <c r="BP1047" i="14"/>
  <c r="BP1048" i="14" s="1"/>
  <c r="BQ1046" i="14" l="1"/>
  <c r="BQ995" i="14"/>
  <c r="BP1049" i="14"/>
  <c r="BP1056" i="14"/>
  <c r="BP1057" i="14" s="1"/>
  <c r="BP1059" i="14" s="1"/>
  <c r="BP1062" i="14" s="1"/>
  <c r="BP590" i="14" s="1"/>
  <c r="BP592" i="14" s="1"/>
  <c r="BQ1060" i="14" l="1"/>
  <c r="BQ1007" i="14"/>
  <c r="BR993" i="14" s="1"/>
  <c r="BR994" i="14" s="1"/>
  <c r="BQ1047" i="14"/>
  <c r="BQ1048" i="14" s="1"/>
  <c r="BQ1061" i="14"/>
  <c r="BR1046" i="14" l="1"/>
  <c r="BR995" i="14"/>
  <c r="BQ1049" i="14"/>
  <c r="BQ1056" i="14"/>
  <c r="BQ1057" i="14" s="1"/>
  <c r="BQ1059" i="14" s="1"/>
  <c r="BQ1062" i="14" s="1"/>
  <c r="BQ590" i="14" s="1"/>
  <c r="BQ592" i="14" s="1"/>
  <c r="BR1060" i="14" l="1"/>
  <c r="BR1007" i="14"/>
  <c r="BS993" i="14" s="1"/>
  <c r="BS994" i="14" s="1"/>
  <c r="BR1047" i="14"/>
  <c r="BR1048" i="14" s="1"/>
  <c r="BR1061" i="14"/>
  <c r="BR1049" i="14" l="1"/>
  <c r="BR1056" i="14"/>
  <c r="BR1057" i="14" s="1"/>
  <c r="BR1059" i="14" s="1"/>
  <c r="BR1062" i="14" s="1"/>
  <c r="BR590" i="14" s="1"/>
  <c r="BR592" i="14" s="1"/>
  <c r="BS1046" i="14"/>
  <c r="BS995" i="14"/>
  <c r="BS1061" i="14" l="1"/>
  <c r="BS1047" i="14"/>
  <c r="BS1048" i="14" s="1"/>
  <c r="BS1060" i="14"/>
  <c r="BS1007" i="14"/>
  <c r="BT993" i="14" s="1"/>
  <c r="BT994" i="14" s="1"/>
  <c r="BT1046" i="14" l="1"/>
  <c r="BT995" i="14"/>
  <c r="BS1049" i="14"/>
  <c r="BS1056" i="14"/>
  <c r="BS1057" i="14" s="1"/>
  <c r="BS1059" i="14" s="1"/>
  <c r="BS1062" i="14" s="1"/>
  <c r="BS590" i="14" s="1"/>
  <c r="BS592" i="14" s="1"/>
  <c r="BT1060" i="14" l="1"/>
  <c r="BT1007" i="14"/>
  <c r="BU993" i="14" s="1"/>
  <c r="BU994" i="14" s="1"/>
  <c r="BT1047" i="14"/>
  <c r="BT1048" i="14" s="1"/>
  <c r="BT1061" i="14"/>
  <c r="BT1049" i="14" l="1"/>
  <c r="BT1056" i="14"/>
  <c r="BT1057" i="14" s="1"/>
  <c r="BT1059" i="14" s="1"/>
  <c r="BT1062" i="14" s="1"/>
  <c r="BT590" i="14" s="1"/>
  <c r="BT592" i="14" s="1"/>
  <c r="BU1046" i="14"/>
  <c r="BU995" i="14"/>
  <c r="BU1060" i="14" l="1"/>
  <c r="BU1007" i="14"/>
  <c r="BV993" i="14" s="1"/>
  <c r="BV994" i="14" s="1"/>
  <c r="BU1061" i="14"/>
  <c r="BU1047" i="14"/>
  <c r="BV1046" i="14" l="1"/>
  <c r="BV995" i="14"/>
  <c r="BU1048" i="14"/>
  <c r="BU1056" i="14" s="1"/>
  <c r="BU1057" i="14" s="1"/>
  <c r="BU1059" i="14" s="1"/>
  <c r="BU1062" i="14" s="1"/>
  <c r="BU590" i="14" s="1"/>
  <c r="BU592" i="14" s="1"/>
  <c r="BU1049" i="14" l="1"/>
  <c r="BV1060" i="14"/>
  <c r="BV1007" i="14"/>
  <c r="BW993" i="14" s="1"/>
  <c r="BW994" i="14" s="1"/>
  <c r="BV1047" i="14"/>
  <c r="BV1061" i="14"/>
  <c r="BV1048" i="14" l="1"/>
  <c r="BV1056" i="14" s="1"/>
  <c r="BV1057" i="14" s="1"/>
  <c r="BV1059" i="14" s="1"/>
  <c r="BV1062" i="14" s="1"/>
  <c r="BV590" i="14" s="1"/>
  <c r="BV592" i="14" s="1"/>
  <c r="BW1046" i="14"/>
  <c r="BW995" i="14"/>
  <c r="BV1049" i="14" l="1"/>
  <c r="BW1060" i="14"/>
  <c r="BW1007" i="14"/>
  <c r="BX993" i="14" s="1"/>
  <c r="BX994" i="14" s="1"/>
  <c r="BW1061" i="14"/>
  <c r="BW1047" i="14"/>
  <c r="BW1048" i="14" l="1"/>
  <c r="BW1056" i="14" s="1"/>
  <c r="BW1057" i="14" s="1"/>
  <c r="BW1059" i="14" s="1"/>
  <c r="BW1062" i="14" s="1"/>
  <c r="BW590" i="14" s="1"/>
  <c r="BW592" i="14" s="1"/>
  <c r="BX1046" i="14"/>
  <c r="BX995" i="14"/>
  <c r="BW1049" i="14" l="1"/>
  <c r="BX1060" i="14"/>
  <c r="BX1007" i="14"/>
  <c r="BY993" i="14" s="1"/>
  <c r="BY994" i="14" s="1"/>
  <c r="BX1047" i="14"/>
  <c r="BX1061" i="14"/>
  <c r="BX1048" i="14" l="1"/>
  <c r="BX1056" i="14" s="1"/>
  <c r="BX1057" i="14" s="1"/>
  <c r="BX1059" i="14" s="1"/>
  <c r="BX1062" i="14" s="1"/>
  <c r="BX590" i="14" s="1"/>
  <c r="BX592" i="14" s="1"/>
  <c r="BY1046" i="14"/>
  <c r="BY995" i="14"/>
  <c r="BX1049" i="14" l="1"/>
  <c r="BY1060" i="14"/>
  <c r="BY1007" i="14"/>
  <c r="BY1061" i="14"/>
  <c r="BY1047" i="14"/>
  <c r="BY1048" i="14" s="1"/>
  <c r="BY1049" i="14" l="1"/>
  <c r="BY1056" i="14"/>
  <c r="BY1057" i="14" s="1"/>
  <c r="BY1059" i="14" s="1"/>
  <c r="BY1062" i="14" s="1"/>
  <c r="BY590" i="14" s="1"/>
  <c r="BY592" i="14" s="1"/>
  <c r="D62" i="20" s="1"/>
  <c r="H1338" i="14" l="1"/>
  <c r="H1340" i="14"/>
  <c r="H1339" i="14"/>
  <c r="H1324" i="14" l="1" a="1"/>
  <c r="H1324" i="14" s="1"/>
  <c r="H1312" i="14" a="1"/>
  <c r="H1312" i="14" s="1"/>
  <c r="H1314" i="14" a="1"/>
  <c r="H1314" i="14" s="1"/>
  <c r="H1326" i="14" a="1"/>
  <c r="H1326" i="14" s="1"/>
  <c r="H1310" i="14" a="1"/>
  <c r="H1310" i="14" s="1"/>
  <c r="H1322" i="14" a="1"/>
  <c r="H1322" i="14" s="1"/>
  <c r="H406" i="14"/>
  <c r="H419" i="14"/>
  <c r="H175" i="14"/>
  <c r="H1190" i="14"/>
  <c r="H745" i="14"/>
  <c r="H1352" i="14" s="1"/>
  <c r="H738" i="14"/>
  <c r="H1351" i="14" s="1"/>
  <c r="H29" i="14" l="1"/>
  <c r="H938" i="14"/>
  <c r="H925" i="14"/>
  <c r="H1230" i="14"/>
  <c r="H1212" i="14"/>
  <c r="H1366" i="14" l="1"/>
  <c r="H566" i="14"/>
  <c r="H1286" i="14" l="1"/>
  <c r="I1286" i="14" l="1"/>
  <c r="J1286" i="14" l="1"/>
  <c r="K1286" i="14" l="1"/>
  <c r="L1286" i="14" l="1"/>
  <c r="M1286" i="14" l="1"/>
  <c r="N1286" i="14" l="1"/>
  <c r="O1286" i="14" l="1"/>
  <c r="P1286" i="14" l="1"/>
  <c r="Q1286" i="14" l="1"/>
  <c r="R1286" i="14" l="1"/>
  <c r="S1286" i="14" l="1"/>
  <c r="T1286" i="14" l="1"/>
  <c r="U1286" i="14" l="1"/>
  <c r="V1286" i="14" l="1"/>
  <c r="W1286" i="14" l="1"/>
  <c r="X1286" i="14" l="1"/>
  <c r="Y1286" i="14" l="1"/>
  <c r="Z1286" i="14" l="1"/>
  <c r="AA1286" i="14" l="1"/>
  <c r="AB1286" i="14" l="1"/>
  <c r="AC1286" i="14" l="1"/>
  <c r="AD1286" i="14" l="1"/>
  <c r="AE1286" i="14" l="1"/>
  <c r="AF1286" i="14" l="1"/>
  <c r="AG1286" i="14" l="1"/>
  <c r="AH1286" i="14" l="1"/>
  <c r="BX1286" i="14"/>
  <c r="BW1286" i="14"/>
  <c r="BV1286" i="14"/>
  <c r="BU1286" i="14"/>
  <c r="BT1286" i="14"/>
  <c r="BS1286" i="14"/>
  <c r="BR1286" i="14"/>
  <c r="BQ1286" i="14"/>
  <c r="BP1286" i="14"/>
  <c r="BO1286" i="14"/>
  <c r="BN1286" i="14"/>
  <c r="BM1286" i="14"/>
  <c r="BL1286" i="14"/>
  <c r="BK1286" i="14"/>
  <c r="BJ1286" i="14"/>
  <c r="BI1286" i="14"/>
  <c r="BH1286" i="14"/>
  <c r="BG1286" i="14"/>
  <c r="BF1286" i="14"/>
  <c r="BE1286" i="14"/>
  <c r="BD1286" i="14"/>
  <c r="BC1286" i="14"/>
  <c r="BB1286" i="14"/>
  <c r="BA1286" i="14"/>
  <c r="AZ1286" i="14"/>
  <c r="AY1286" i="14"/>
  <c r="AX1286" i="14"/>
  <c r="AW1286" i="14"/>
  <c r="AV1286" i="14"/>
  <c r="AU1286" i="14"/>
  <c r="AT1286" i="14"/>
  <c r="AS1286" i="14"/>
  <c r="AR1286" i="14"/>
  <c r="AQ1286" i="14"/>
  <c r="AP1286" i="14"/>
  <c r="AO1286" i="14"/>
  <c r="AN1286" i="14"/>
  <c r="AM1286" i="14"/>
  <c r="AL1286" i="14"/>
  <c r="AK1286" i="14"/>
  <c r="AJ1286" i="14"/>
  <c r="AI1286" i="14"/>
  <c r="BY1286" i="14"/>
  <c r="AB1247" i="14" l="1"/>
  <c r="AG1247" i="14"/>
  <c r="AE1247" i="14"/>
  <c r="Y1247" i="14"/>
  <c r="O1247" i="14"/>
  <c r="U1247" i="14"/>
  <c r="S1247" i="14"/>
  <c r="AA1247" i="14"/>
  <c r="R1247" i="14"/>
  <c r="X1247" i="14"/>
  <c r="AF1247" i="14"/>
  <c r="V1247" i="14"/>
  <c r="K1247" i="14"/>
  <c r="M1247" i="14"/>
  <c r="Q1247" i="14" l="1"/>
  <c r="N1247" i="14"/>
  <c r="AD1247" i="14"/>
  <c r="AI1247" i="14"/>
  <c r="L1247" i="14"/>
  <c r="P1247" i="14"/>
  <c r="W1247" i="14"/>
  <c r="Z1247" i="14"/>
  <c r="AC1247" i="14"/>
  <c r="AH1247" i="14"/>
  <c r="T1247" i="14"/>
  <c r="D133" i="20" l="1"/>
  <c r="G73" i="11" l="1"/>
  <c r="BT81" i="14" l="1"/>
  <c r="AN81" i="14"/>
  <c r="O81" i="14"/>
  <c r="K81" i="14"/>
  <c r="W81" i="14"/>
  <c r="AI81" i="14"/>
  <c r="AK81" i="14"/>
  <c r="Y81" i="14"/>
  <c r="BS81" i="14"/>
  <c r="U81" i="14"/>
  <c r="BF81" i="14"/>
  <c r="BW81" i="14"/>
  <c r="BQ81" i="14"/>
  <c r="BN81" i="14"/>
  <c r="BC81" i="14"/>
  <c r="BR81" i="14"/>
  <c r="BJ81" i="14"/>
  <c r="AH81" i="14"/>
  <c r="AE81" i="14"/>
  <c r="AJ81" i="14"/>
  <c r="BK81" i="14"/>
  <c r="BL81" i="14"/>
  <c r="BM81" i="14"/>
  <c r="AV81" i="14"/>
  <c r="N81" i="14"/>
  <c r="BI81" i="14"/>
  <c r="BO81" i="14"/>
  <c r="AL81" i="14"/>
  <c r="AS81" i="14"/>
  <c r="J81" i="14"/>
  <c r="BU81" i="14"/>
  <c r="BH81" i="14"/>
  <c r="X81" i="14"/>
  <c r="AR81" i="14"/>
  <c r="BE81" i="14"/>
  <c r="BP81" i="14"/>
  <c r="AD81" i="14"/>
  <c r="BV81" i="14"/>
  <c r="L81" i="14"/>
  <c r="AM81" i="14"/>
  <c r="BB81" i="14"/>
  <c r="AP81" i="14"/>
  <c r="AT81" i="14"/>
  <c r="AF81" i="14"/>
  <c r="H81" i="14"/>
  <c r="BA81" i="14"/>
  <c r="AX81" i="14"/>
  <c r="AY81" i="14"/>
  <c r="AW81" i="14"/>
  <c r="Z81" i="14"/>
  <c r="I81" i="14"/>
  <c r="AA81" i="14"/>
  <c r="T81" i="14"/>
  <c r="AO81" i="14"/>
  <c r="AU81" i="14"/>
  <c r="AC81" i="14"/>
  <c r="AG81" i="14"/>
  <c r="Q81" i="14"/>
  <c r="BD81" i="14"/>
  <c r="M81" i="14"/>
  <c r="AZ81" i="14"/>
  <c r="P81" i="14"/>
  <c r="BX81" i="14"/>
  <c r="BY81" i="14"/>
  <c r="V81" i="14"/>
  <c r="BG81" i="14"/>
  <c r="AB81" i="14"/>
  <c r="R81" i="14"/>
  <c r="S81" i="14"/>
  <c r="AQ81" i="14"/>
  <c r="Z751" i="14"/>
  <c r="AA751" i="14"/>
  <c r="AB751" i="14"/>
  <c r="AC751" i="14"/>
  <c r="AD751" i="14"/>
  <c r="AE751" i="14"/>
  <c r="AF751" i="14"/>
  <c r="AG751" i="14"/>
  <c r="AH751" i="14"/>
  <c r="AI751" i="14"/>
  <c r="AG910" i="14" l="1"/>
  <c r="AG1356" i="14"/>
  <c r="AF910" i="14"/>
  <c r="AF1356" i="14"/>
  <c r="AE910" i="14"/>
  <c r="AE1356" i="14"/>
  <c r="AD910" i="14"/>
  <c r="AD1356" i="14"/>
  <c r="AC910" i="14"/>
  <c r="AC1356" i="14"/>
  <c r="AB910" i="14"/>
  <c r="AB1356" i="14"/>
  <c r="AI910" i="14"/>
  <c r="AI1356" i="14"/>
  <c r="AA910" i="14"/>
  <c r="AA1356" i="14"/>
  <c r="AH910" i="14"/>
  <c r="AH1356" i="14"/>
  <c r="Z910" i="14"/>
  <c r="Z1356" i="14"/>
  <c r="AC1133" i="14" l="1"/>
  <c r="AC1135" i="14" s="1"/>
  <c r="AD1133" i="14"/>
  <c r="AD1135" i="14" s="1"/>
  <c r="AB1133" i="14"/>
  <c r="AB1135" i="14" s="1"/>
  <c r="AA1133" i="14"/>
  <c r="AA1135" i="14" s="1"/>
  <c r="AE750" i="14" l="1"/>
  <c r="AF750" i="14"/>
  <c r="AG750" i="14"/>
  <c r="AH750" i="14"/>
  <c r="AI750" i="14"/>
  <c r="Z750" i="14"/>
  <c r="AB750" i="14"/>
  <c r="AC750" i="14"/>
  <c r="AD750" i="14"/>
  <c r="AA750" i="14"/>
  <c r="J1164" i="14"/>
  <c r="N1164" i="14"/>
  <c r="R1164" i="14"/>
  <c r="V1164" i="14"/>
  <c r="Z1164" i="14"/>
  <c r="AD1164" i="14"/>
  <c r="AH1164" i="14"/>
  <c r="AL1164" i="14"/>
  <c r="K1164" i="14"/>
  <c r="O1164" i="14"/>
  <c r="S1164" i="14"/>
  <c r="W1164" i="14"/>
  <c r="AA1164" i="14"/>
  <c r="AE1164" i="14"/>
  <c r="AI1164" i="14"/>
  <c r="AM1164" i="14"/>
  <c r="H1164" i="14"/>
  <c r="L1164" i="14"/>
  <c r="P1164" i="14"/>
  <c r="T1164" i="14"/>
  <c r="X1164" i="14"/>
  <c r="AB1164" i="14"/>
  <c r="AF1164" i="14"/>
  <c r="AJ1164" i="14"/>
  <c r="I1164" i="14"/>
  <c r="M1164" i="14"/>
  <c r="Q1164" i="14"/>
  <c r="U1164" i="14"/>
  <c r="Y1164" i="14"/>
  <c r="AC1164" i="14"/>
  <c r="AG1164" i="14"/>
  <c r="AN1164" i="14"/>
  <c r="AW1164" i="14"/>
  <c r="BF1164" i="14"/>
  <c r="BJ1164" i="14"/>
  <c r="BN1164" i="14"/>
  <c r="BR1164" i="14"/>
  <c r="BV1164" i="14"/>
  <c r="AS1164" i="14"/>
  <c r="BB1164" i="14"/>
  <c r="AO1164" i="14"/>
  <c r="AX1164" i="14"/>
  <c r="BG1164" i="14"/>
  <c r="BK1164" i="14"/>
  <c r="BO1164" i="14"/>
  <c r="BS1164" i="14"/>
  <c r="BW1164" i="14"/>
  <c r="AT1164" i="14"/>
  <c r="BC1164" i="14"/>
  <c r="AK1164" i="14"/>
  <c r="AP1164" i="14"/>
  <c r="AU1164" i="14"/>
  <c r="BD1164" i="14"/>
  <c r="BH1164" i="14"/>
  <c r="BL1164" i="14"/>
  <c r="BP1164" i="14"/>
  <c r="BT1164" i="14"/>
  <c r="BX1164" i="14"/>
  <c r="AZ1164" i="14"/>
  <c r="AV1164" i="14"/>
  <c r="BI1164" i="14"/>
  <c r="AG223" i="14"/>
  <c r="AA223" i="14"/>
  <c r="AH223" i="14"/>
  <c r="AY1164" i="14"/>
  <c r="BY1164" i="14"/>
  <c r="AB223" i="14"/>
  <c r="BM1164" i="14"/>
  <c r="AI223" i="14"/>
  <c r="AD223" i="14"/>
  <c r="AR1164" i="14"/>
  <c r="BE1164" i="14"/>
  <c r="Z223" i="14"/>
  <c r="AC223" i="14"/>
  <c r="BQ1164" i="14"/>
  <c r="AE223" i="14"/>
  <c r="AF223" i="14"/>
  <c r="BU1164" i="14"/>
  <c r="AQ1164" i="14"/>
  <c r="BA1164" i="14"/>
  <c r="H286" i="11" l="1"/>
  <c r="Y1165" i="14"/>
  <c r="Y1167" i="14" s="1"/>
  <c r="BI1165" i="14"/>
  <c r="BI1167" i="14" s="1"/>
  <c r="AZ1165" i="14"/>
  <c r="AZ1167" i="14" s="1"/>
  <c r="Z901" i="14"/>
  <c r="Z1355" i="14"/>
  <c r="Z752" i="14"/>
  <c r="BX1165" i="14"/>
  <c r="BX1167" i="14" s="1"/>
  <c r="W1165" i="14"/>
  <c r="W1167" i="14" s="1"/>
  <c r="S1165" i="14"/>
  <c r="S1167" i="14" s="1"/>
  <c r="AR1165" i="14"/>
  <c r="AR1167" i="14" s="1"/>
  <c r="AI1165" i="14"/>
  <c r="AI1167" i="14" s="1"/>
  <c r="AO1165" i="14"/>
  <c r="AO1167" i="14" s="1"/>
  <c r="BP1165" i="14"/>
  <c r="BP1167" i="14" s="1"/>
  <c r="BL1165" i="14"/>
  <c r="BL1167" i="14" s="1"/>
  <c r="AS1165" i="14"/>
  <c r="AS1167" i="14" s="1"/>
  <c r="AJ1165" i="14"/>
  <c r="AJ1167" i="14" s="1"/>
  <c r="K1165" i="14"/>
  <c r="K1167" i="14" s="1"/>
  <c r="AI901" i="14"/>
  <c r="AI1355" i="14"/>
  <c r="AI752" i="14"/>
  <c r="AB752" i="14"/>
  <c r="AB901" i="14"/>
  <c r="AB1355" i="14"/>
  <c r="M1165" i="14"/>
  <c r="M1167" i="14" s="1"/>
  <c r="BB1165" i="14"/>
  <c r="BB1167" i="14" s="1"/>
  <c r="BH1165" i="14"/>
  <c r="BH1167" i="14" s="1"/>
  <c r="BV1165" i="14"/>
  <c r="BV1167" i="14" s="1"/>
  <c r="AF1165" i="14"/>
  <c r="AF1167" i="14" s="1"/>
  <c r="AV1165" i="14"/>
  <c r="AV1167" i="14" s="1"/>
  <c r="O1165" i="14"/>
  <c r="O1167" i="14" s="1"/>
  <c r="BQ1165" i="14"/>
  <c r="BQ1167" i="14" s="1"/>
  <c r="BY1165" i="14"/>
  <c r="BY1167" i="14" s="1"/>
  <c r="BD1165" i="14"/>
  <c r="BD1167" i="14" s="1"/>
  <c r="BR1165" i="14"/>
  <c r="BR1167" i="14" s="1"/>
  <c r="AB1165" i="14"/>
  <c r="AB1167" i="14" s="1"/>
  <c r="AL1165" i="14"/>
  <c r="AL1167" i="14" s="1"/>
  <c r="AA901" i="14"/>
  <c r="AA1355" i="14"/>
  <c r="AA752" i="14"/>
  <c r="U1165" i="14"/>
  <c r="U1167" i="14" s="1"/>
  <c r="AY1165" i="14"/>
  <c r="AY1167" i="14" s="1"/>
  <c r="AU1165" i="14"/>
  <c r="AU1167" i="14" s="1"/>
  <c r="BN1165" i="14"/>
  <c r="BN1167" i="14" s="1"/>
  <c r="X1165" i="14"/>
  <c r="X1167" i="14" s="1"/>
  <c r="AH1165" i="14"/>
  <c r="AH1167" i="14" s="1"/>
  <c r="AD901" i="14"/>
  <c r="AD752" i="14"/>
  <c r="AD1355" i="14"/>
  <c r="AH901" i="14"/>
  <c r="AH1355" i="14"/>
  <c r="AH752" i="14"/>
  <c r="AP1165" i="14"/>
  <c r="AP1167" i="14" s="1"/>
  <c r="BJ1165" i="14"/>
  <c r="BJ1167" i="14" s="1"/>
  <c r="T1165" i="14"/>
  <c r="T1167" i="14" s="1"/>
  <c r="AD1165" i="14"/>
  <c r="AD1167" i="14" s="1"/>
  <c r="BG1165" i="14"/>
  <c r="BG1167" i="14" s="1"/>
  <c r="BF1165" i="14"/>
  <c r="BF1167" i="14" s="1"/>
  <c r="P1165" i="14"/>
  <c r="P1167" i="14" s="1"/>
  <c r="Z1165" i="14"/>
  <c r="Z1167" i="14" s="1"/>
  <c r="AC901" i="14"/>
  <c r="AC1355" i="14"/>
  <c r="AC752" i="14"/>
  <c r="AG901" i="14"/>
  <c r="AG1355" i="14"/>
  <c r="AG752" i="14"/>
  <c r="BK1165" i="14"/>
  <c r="BK1167" i="14" s="1"/>
  <c r="AA1165" i="14"/>
  <c r="AA1167" i="14" s="1"/>
  <c r="AX1165" i="14"/>
  <c r="AX1167" i="14" s="1"/>
  <c r="BU1165" i="14"/>
  <c r="BU1167" i="14" s="1"/>
  <c r="AK1165" i="14"/>
  <c r="AK1167" i="14" s="1"/>
  <c r="AQ1165" i="14"/>
  <c r="AQ1167" i="14" s="1"/>
  <c r="BC1165" i="14"/>
  <c r="BC1167" i="14" s="1"/>
  <c r="AW1165" i="14"/>
  <c r="AW1167" i="14" s="1"/>
  <c r="L1165" i="14"/>
  <c r="L1167" i="14" s="1"/>
  <c r="V1165" i="14"/>
  <c r="V1167" i="14" s="1"/>
  <c r="AE1165" i="14"/>
  <c r="AE1167" i="14" s="1"/>
  <c r="AT1165" i="14"/>
  <c r="AT1167" i="14" s="1"/>
  <c r="AN1165" i="14"/>
  <c r="AN1167" i="14" s="1"/>
  <c r="AF901" i="14"/>
  <c r="AF752" i="14"/>
  <c r="AF1355" i="14"/>
  <c r="I1165" i="14"/>
  <c r="I1167" i="14" s="1"/>
  <c r="BE1165" i="14"/>
  <c r="BE1167" i="14" s="1"/>
  <c r="H1165" i="14"/>
  <c r="H1167" i="14" s="1"/>
  <c r="BM1165" i="14"/>
  <c r="BM1167" i="14" s="1"/>
  <c r="BW1165" i="14"/>
  <c r="BW1167" i="14" s="1"/>
  <c r="AG1165" i="14"/>
  <c r="AG1167" i="14" s="1"/>
  <c r="N1165" i="14"/>
  <c r="N1167" i="14" s="1"/>
  <c r="BO1165" i="14"/>
  <c r="BO1167" i="14" s="1"/>
  <c r="Q1165" i="14"/>
  <c r="Q1167" i="14" s="1"/>
  <c r="BA1165" i="14"/>
  <c r="BA1167" i="14" s="1"/>
  <c r="BT1165" i="14"/>
  <c r="BT1167" i="14" s="1"/>
  <c r="R1165" i="14"/>
  <c r="R1167" i="14" s="1"/>
  <c r="BS1165" i="14"/>
  <c r="BS1167" i="14" s="1"/>
  <c r="AC1165" i="14"/>
  <c r="AC1167" i="14" s="1"/>
  <c r="AM1165" i="14"/>
  <c r="AM1167" i="14" s="1"/>
  <c r="J1165" i="14"/>
  <c r="J1167" i="14" s="1"/>
  <c r="AE901" i="14"/>
  <c r="AE1355" i="14"/>
  <c r="AE752" i="14"/>
  <c r="U616" i="14" l="1"/>
  <c r="U617" i="14" s="1"/>
  <c r="AI1172" i="14"/>
  <c r="AI1174" i="14" s="1"/>
  <c r="AI1176" i="14" s="1"/>
  <c r="AZ1172" i="14"/>
  <c r="AZ1174" i="14" s="1"/>
  <c r="AZ1176" i="14" s="1"/>
  <c r="AX1172" i="14"/>
  <c r="AX1174" i="14" s="1"/>
  <c r="AX1176" i="14" s="1"/>
  <c r="AU616" i="14"/>
  <c r="AU617" i="14" s="1"/>
  <c r="AG1172" i="14"/>
  <c r="AG1174" i="14" s="1"/>
  <c r="AG1176" i="14" s="1"/>
  <c r="R1133" i="14"/>
  <c r="R1135" i="14" s="1"/>
  <c r="T616" i="14"/>
  <c r="T617" i="14" s="1"/>
  <c r="H616" i="14"/>
  <c r="H617" i="14" s="1"/>
  <c r="AQ616" i="14"/>
  <c r="AQ617" i="14" s="1"/>
  <c r="AX616" i="14"/>
  <c r="AX617" i="14" s="1"/>
  <c r="V616" i="14"/>
  <c r="V617" i="14" s="1"/>
  <c r="AW616" i="14"/>
  <c r="AW617" i="14" s="1"/>
  <c r="AH616" i="14"/>
  <c r="AH617" i="14" s="1"/>
  <c r="I1172" i="14"/>
  <c r="I1174" i="14" s="1"/>
  <c r="I1176" i="14" s="1"/>
  <c r="AM1172" i="14"/>
  <c r="AM1174" i="14" s="1"/>
  <c r="AM1176" i="14" s="1"/>
  <c r="AE1172" i="14"/>
  <c r="AE1174" i="14" s="1"/>
  <c r="AE1176" i="14" s="1"/>
  <c r="BK1172" i="14"/>
  <c r="BK1174" i="14" s="1"/>
  <c r="BK1176" i="14" s="1"/>
  <c r="R1172" i="14"/>
  <c r="R1174" i="14" s="1"/>
  <c r="R1176" i="14" s="1"/>
  <c r="P1172" i="14"/>
  <c r="P1174" i="14" s="1"/>
  <c r="P1176" i="14" s="1"/>
  <c r="AC616" i="14"/>
  <c r="AC617" i="14" s="1"/>
  <c r="BW1172" i="14"/>
  <c r="BW1174" i="14" s="1"/>
  <c r="BW1176" i="14" s="1"/>
  <c r="Z1172" i="14"/>
  <c r="Z1174" i="14" s="1"/>
  <c r="Z1176" i="14" s="1"/>
  <c r="AI616" i="14"/>
  <c r="AI617" i="14" s="1"/>
  <c r="AO616" i="14"/>
  <c r="AO617" i="14" s="1"/>
  <c r="L616" i="14"/>
  <c r="L617" i="14" s="1"/>
  <c r="AN1172" i="14"/>
  <c r="AN1174" i="14" s="1"/>
  <c r="AN1176" i="14" s="1"/>
  <c r="H1172" i="14"/>
  <c r="H1174" i="14" s="1"/>
  <c r="H1176" i="14" s="1"/>
  <c r="K1133" i="14"/>
  <c r="K1135" i="14" s="1"/>
  <c r="AR1172" i="14"/>
  <c r="AR1174" i="14" s="1"/>
  <c r="AR1176" i="14" s="1"/>
  <c r="T1133" i="14"/>
  <c r="T1135" i="14" s="1"/>
  <c r="M1133" i="14"/>
  <c r="M1135" i="14" s="1"/>
  <c r="N1172" i="14"/>
  <c r="N1174" i="14" s="1"/>
  <c r="N1176" i="14" s="1"/>
  <c r="BP1172" i="14"/>
  <c r="BP1174" i="14" s="1"/>
  <c r="BP1176" i="14" s="1"/>
  <c r="BB616" i="14"/>
  <c r="BB617" i="14" s="1"/>
  <c r="Y616" i="14"/>
  <c r="Y617" i="14" s="1"/>
  <c r="M616" i="14"/>
  <c r="M617" i="14" s="1"/>
  <c r="BE616" i="14"/>
  <c r="BE617" i="14" s="1"/>
  <c r="AD616" i="14"/>
  <c r="AD617" i="14" s="1"/>
  <c r="AF616" i="14"/>
  <c r="AF617" i="14" s="1"/>
  <c r="V1172" i="14"/>
  <c r="V1174" i="14" s="1"/>
  <c r="V1176" i="14" s="1"/>
  <c r="N1133" i="14"/>
  <c r="N1135" i="14" s="1"/>
  <c r="BQ616" i="14"/>
  <c r="BQ617" i="14" s="1"/>
  <c r="BU1172" i="14"/>
  <c r="BU1174" i="14" s="1"/>
  <c r="BU1176" i="14" s="1"/>
  <c r="W1172" i="14"/>
  <c r="W1174" i="14" s="1"/>
  <c r="W1176" i="14" s="1"/>
  <c r="AM616" i="14"/>
  <c r="AM617" i="14" s="1"/>
  <c r="S616" i="14"/>
  <c r="S617" i="14" s="1"/>
  <c r="BH1172" i="14"/>
  <c r="BH1174" i="14" s="1"/>
  <c r="BH1176" i="14" s="1"/>
  <c r="BV616" i="14"/>
  <c r="BV617" i="14" s="1"/>
  <c r="BS616" i="14"/>
  <c r="BS617" i="14" s="1"/>
  <c r="H27" i="11"/>
  <c r="AY616" i="14"/>
  <c r="AY617" i="14" s="1"/>
  <c r="BV1172" i="14"/>
  <c r="BV1174" i="14" s="1"/>
  <c r="BV1176" i="14" s="1"/>
  <c r="AJ1172" i="14"/>
  <c r="AJ1174" i="14" s="1"/>
  <c r="AJ1176" i="14" s="1"/>
  <c r="J1133" i="14"/>
  <c r="J1135" i="14" s="1"/>
  <c r="BC616" i="14"/>
  <c r="BC617" i="14" s="1"/>
  <c r="S1133" i="14"/>
  <c r="S1135" i="14" s="1"/>
  <c r="BQ1172" i="14"/>
  <c r="BQ1174" i="14" s="1"/>
  <c r="BQ1176" i="14" s="1"/>
  <c r="H1133" i="14"/>
  <c r="H1135" i="14" s="1"/>
  <c r="AK1172" i="14"/>
  <c r="AK1174" i="14" s="1"/>
  <c r="AK1176" i="14" s="1"/>
  <c r="BL616" i="14"/>
  <c r="BL617" i="14" s="1"/>
  <c r="BH616" i="14"/>
  <c r="BH617" i="14" s="1"/>
  <c r="BP616" i="14"/>
  <c r="BP617" i="14" s="1"/>
  <c r="BY616" i="14"/>
  <c r="BY617" i="14" s="1"/>
  <c r="BK616" i="14"/>
  <c r="BK617" i="14" s="1"/>
  <c r="AY1172" i="14"/>
  <c r="AY1174" i="14" s="1"/>
  <c r="AY1176" i="14" s="1"/>
  <c r="AP1172" i="14"/>
  <c r="AP1174" i="14" s="1"/>
  <c r="AP1176" i="14" s="1"/>
  <c r="AL616" i="14"/>
  <c r="AL617" i="14" s="1"/>
  <c r="BO1172" i="14"/>
  <c r="BO1174" i="14" s="1"/>
  <c r="BO1176" i="14" s="1"/>
  <c r="AB616" i="14"/>
  <c r="AB617" i="14" s="1"/>
  <c r="AB1172" i="14"/>
  <c r="AB1174" i="14" s="1"/>
  <c r="AB1176" i="14" s="1"/>
  <c r="AT616" i="14"/>
  <c r="AT617" i="14" s="1"/>
  <c r="AP616" i="14"/>
  <c r="AP617" i="14" s="1"/>
  <c r="AC1172" i="14"/>
  <c r="AC1174" i="14" s="1"/>
  <c r="AC1176" i="14" s="1"/>
  <c r="H288" i="11"/>
  <c r="G286" i="11" s="1"/>
  <c r="W1133" i="14"/>
  <c r="W1135" i="14" s="1"/>
  <c r="BN1172" i="14"/>
  <c r="BN1174" i="14" s="1"/>
  <c r="BN1176" i="14" s="1"/>
  <c r="S1172" i="14"/>
  <c r="S1174" i="14" s="1"/>
  <c r="S1176" i="14" s="1"/>
  <c r="BS1172" i="14"/>
  <c r="BS1174" i="14" s="1"/>
  <c r="BS1176" i="14" s="1"/>
  <c r="BE1172" i="14"/>
  <c r="BE1174" i="14" s="1"/>
  <c r="BE1176" i="14" s="1"/>
  <c r="AD1172" i="14"/>
  <c r="AD1174" i="14" s="1"/>
  <c r="AD1176" i="14" s="1"/>
  <c r="U1172" i="14"/>
  <c r="U1174" i="14" s="1"/>
  <c r="U1176" i="14" s="1"/>
  <c r="AK616" i="14"/>
  <c r="AK617" i="14" s="1"/>
  <c r="P616" i="14"/>
  <c r="P617" i="14" s="1"/>
  <c r="AG616" i="14"/>
  <c r="AG617" i="14" s="1"/>
  <c r="O616" i="14"/>
  <c r="O617" i="14" s="1"/>
  <c r="Q616" i="14"/>
  <c r="Q617" i="14" s="1"/>
  <c r="AN616" i="14"/>
  <c r="AN617" i="14" s="1"/>
  <c r="BY1172" i="14"/>
  <c r="BY1174" i="14" s="1"/>
  <c r="BY1176" i="14" s="1"/>
  <c r="Y1172" i="14"/>
  <c r="Y1174" i="14" s="1"/>
  <c r="Y1176" i="14" s="1"/>
  <c r="BA616" i="14"/>
  <c r="BA617" i="14" s="1"/>
  <c r="BF1172" i="14"/>
  <c r="BF1174" i="14" s="1"/>
  <c r="BF1176" i="14" s="1"/>
  <c r="AS1172" i="14"/>
  <c r="AS1174" i="14" s="1"/>
  <c r="AS1176" i="14" s="1"/>
  <c r="M1172" i="14"/>
  <c r="M1174" i="14" s="1"/>
  <c r="M1176" i="14" s="1"/>
  <c r="K1172" i="14"/>
  <c r="K1174" i="14" s="1"/>
  <c r="K1176" i="14" s="1"/>
  <c r="R616" i="14"/>
  <c r="R617" i="14" s="1"/>
  <c r="W616" i="14"/>
  <c r="W617" i="14" s="1"/>
  <c r="J1172" i="14"/>
  <c r="J1174" i="14" s="1"/>
  <c r="J1176" i="14" s="1"/>
  <c r="BX1172" i="14"/>
  <c r="BX1174" i="14" s="1"/>
  <c r="BX1176" i="14" s="1"/>
  <c r="I1133" i="14"/>
  <c r="I1135" i="14" s="1"/>
  <c r="BJ1172" i="14"/>
  <c r="BJ1174" i="14" s="1"/>
  <c r="BJ1176" i="14" s="1"/>
  <c r="AW1172" i="14"/>
  <c r="AW1174" i="14" s="1"/>
  <c r="AW1176" i="14" s="1"/>
  <c r="AF1172" i="14"/>
  <c r="AF1174" i="14" s="1"/>
  <c r="AF1176" i="14" s="1"/>
  <c r="Q1133" i="14"/>
  <c r="Q1135" i="14" s="1"/>
  <c r="Y1133" i="14"/>
  <c r="Y1135" i="14" s="1"/>
  <c r="I616" i="14"/>
  <c r="I617" i="14" s="1"/>
  <c r="X616" i="14"/>
  <c r="X617" i="14" s="1"/>
  <c r="BO616" i="14"/>
  <c r="BO617" i="14" s="1"/>
  <c r="BF616" i="14"/>
  <c r="BF617" i="14" s="1"/>
  <c r="BN616" i="14"/>
  <c r="BN617" i="14" s="1"/>
  <c r="BW616" i="14"/>
  <c r="BW617" i="14" s="1"/>
  <c r="V1133" i="14"/>
  <c r="V1135" i="14" s="1"/>
  <c r="AA1172" i="14"/>
  <c r="AA1174" i="14" s="1"/>
  <c r="AA1176" i="14" s="1"/>
  <c r="L1172" i="14"/>
  <c r="L1174" i="14" s="1"/>
  <c r="L1176" i="14" s="1"/>
  <c r="AH1172" i="14"/>
  <c r="AH1174" i="14" s="1"/>
  <c r="AH1176" i="14" s="1"/>
  <c r="O1172" i="14"/>
  <c r="O1174" i="14" s="1"/>
  <c r="O1176" i="14" s="1"/>
  <c r="BX616" i="14"/>
  <c r="BX617" i="14" s="1"/>
  <c r="O1133" i="14"/>
  <c r="O1135" i="14" s="1"/>
  <c r="BT616" i="14"/>
  <c r="BT617" i="14" s="1"/>
  <c r="P1133" i="14"/>
  <c r="P1135" i="14" s="1"/>
  <c r="AJ616" i="14"/>
  <c r="AJ617" i="14" s="1"/>
  <c r="BD1172" i="14"/>
  <c r="BD1174" i="14" s="1"/>
  <c r="BD1176" i="14" s="1"/>
  <c r="BT1172" i="14"/>
  <c r="BT1174" i="14" s="1"/>
  <c r="BT1176" i="14" s="1"/>
  <c r="AS616" i="14"/>
  <c r="AS617" i="14" s="1"/>
  <c r="BR1172" i="14"/>
  <c r="BR1174" i="14" s="1"/>
  <c r="BR1176" i="14" s="1"/>
  <c r="L1133" i="14"/>
  <c r="L1135" i="14" s="1"/>
  <c r="AA616" i="14"/>
  <c r="AA617" i="14" s="1"/>
  <c r="BM616" i="14"/>
  <c r="BM617" i="14" s="1"/>
  <c r="BJ616" i="14"/>
  <c r="BJ617" i="14" s="1"/>
  <c r="BR616" i="14"/>
  <c r="BR617" i="14" s="1"/>
  <c r="AV616" i="14"/>
  <c r="AV617" i="14" s="1"/>
  <c r="N616" i="14"/>
  <c r="N617" i="14" s="1"/>
  <c r="Z1133" i="14"/>
  <c r="Z1135" i="14" s="1"/>
  <c r="AZ616" i="14"/>
  <c r="AZ617" i="14" s="1"/>
  <c r="BC1172" i="14"/>
  <c r="BC1174" i="14" s="1"/>
  <c r="BC1176" i="14" s="1"/>
  <c r="BM1172" i="14"/>
  <c r="BM1174" i="14" s="1"/>
  <c r="BM1176" i="14" s="1"/>
  <c r="AO1172" i="14"/>
  <c r="AO1174" i="14" s="1"/>
  <c r="AO1176" i="14" s="1"/>
  <c r="AV1172" i="14"/>
  <c r="AV1174" i="14" s="1"/>
  <c r="AV1176" i="14" s="1"/>
  <c r="J616" i="14"/>
  <c r="J617" i="14" s="1"/>
  <c r="AT1172" i="14"/>
  <c r="AT1174" i="14" s="1"/>
  <c r="AT1176" i="14" s="1"/>
  <c r="K616" i="14"/>
  <c r="K617" i="14" s="1"/>
  <c r="AR616" i="14"/>
  <c r="AR617" i="14" s="1"/>
  <c r="BG616" i="14"/>
  <c r="BG617" i="14" s="1"/>
  <c r="X1133" i="14"/>
  <c r="X1135" i="14" s="1"/>
  <c r="BI616" i="14"/>
  <c r="BI617" i="14" s="1"/>
  <c r="BB1172" i="14"/>
  <c r="BB1174" i="14" s="1"/>
  <c r="BB1176" i="14" s="1"/>
  <c r="X1172" i="14"/>
  <c r="X1174" i="14" s="1"/>
  <c r="X1176" i="14" s="1"/>
  <c r="BI1172" i="14"/>
  <c r="BI1174" i="14" s="1"/>
  <c r="BI1176" i="14" s="1"/>
  <c r="Q1172" i="14"/>
  <c r="Q1174" i="14" s="1"/>
  <c r="Q1176" i="14" s="1"/>
  <c r="AQ1172" i="14"/>
  <c r="AQ1174" i="14" s="1"/>
  <c r="AQ1176" i="14" s="1"/>
  <c r="AL1172" i="14"/>
  <c r="AL1174" i="14" s="1"/>
  <c r="AL1176" i="14" s="1"/>
  <c r="T1172" i="14"/>
  <c r="T1174" i="14" s="1"/>
  <c r="T1176" i="14" s="1"/>
  <c r="Z616" i="14"/>
  <c r="Z617" i="14" s="1"/>
  <c r="U1133" i="14"/>
  <c r="U1135" i="14" s="1"/>
  <c r="BA1172" i="14"/>
  <c r="BA1174" i="14" s="1"/>
  <c r="BA1176" i="14" s="1"/>
  <c r="BU616" i="14"/>
  <c r="BU617" i="14" s="1"/>
  <c r="AU1172" i="14"/>
  <c r="AU1174" i="14" s="1"/>
  <c r="AU1176" i="14" s="1"/>
  <c r="AE616" i="14"/>
  <c r="AE617" i="14" s="1"/>
  <c r="BG1172" i="14"/>
  <c r="BG1174" i="14" s="1"/>
  <c r="BG1176" i="14" s="1"/>
  <c r="BL1172" i="14"/>
  <c r="BL1174" i="14" s="1"/>
  <c r="BL1176" i="14" s="1"/>
  <c r="BD616" i="14"/>
  <c r="BD617" i="14" s="1"/>
  <c r="BW1169" i="14"/>
  <c r="M1169" i="14"/>
  <c r="BX1169" i="14"/>
  <c r="AO1169" i="14"/>
  <c r="AC1169" i="14"/>
  <c r="AF1169" i="14"/>
  <c r="BV1169" i="14"/>
  <c r="BQ1169" i="14"/>
  <c r="AE1169" i="14"/>
  <c r="W1169" i="14"/>
  <c r="J1169" i="14"/>
  <c r="AU1169" i="14"/>
  <c r="Z1169" i="14"/>
  <c r="AB1169" i="14"/>
  <c r="BK1169" i="14"/>
  <c r="AK1169" i="14"/>
  <c r="P1169" i="14"/>
  <c r="AD1169" i="14"/>
  <c r="AX1169" i="14"/>
  <c r="T1169" i="14"/>
  <c r="AJ1169" i="14"/>
  <c r="AW1169" i="14"/>
  <c r="AT1169" i="14"/>
  <c r="BD1169" i="14"/>
  <c r="AS1169" i="14"/>
  <c r="X1169" i="14"/>
  <c r="Q1169" i="14"/>
  <c r="AG1169" i="14"/>
  <c r="BY1169" i="14"/>
  <c r="BB1169" i="14"/>
  <c r="BO1169" i="14"/>
  <c r="BG1169" i="14"/>
  <c r="BJ1169" i="14"/>
  <c r="R1169" i="14"/>
  <c r="AY1169" i="14"/>
  <c r="I1169" i="14"/>
  <c r="BM1169" i="14"/>
  <c r="AL1169" i="14"/>
  <c r="AF217" i="14"/>
  <c r="AG217" i="14"/>
  <c r="AH217" i="14"/>
  <c r="AI217" i="14"/>
  <c r="Z217" i="14"/>
  <c r="AA217" i="14"/>
  <c r="AB217" i="14"/>
  <c r="AC217" i="14"/>
  <c r="AD217" i="14"/>
  <c r="AE217" i="14"/>
  <c r="AZ1169" i="14"/>
  <c r="BS1169" i="14"/>
  <c r="AI1169" i="14"/>
  <c r="BT1169" i="14"/>
  <c r="AH1169" i="14"/>
  <c r="U1169" i="14"/>
  <c r="O1169" i="14"/>
  <c r="AR1169" i="14"/>
  <c r="BC1169" i="14"/>
  <c r="BU1169" i="14"/>
  <c r="AE216" i="14"/>
  <c r="AF216" i="14"/>
  <c r="AG216" i="14"/>
  <c r="AH216" i="14"/>
  <c r="AI216" i="14"/>
  <c r="Z216" i="14"/>
  <c r="AA216" i="14"/>
  <c r="AC216" i="14"/>
  <c r="AB216" i="14"/>
  <c r="AD216" i="14"/>
  <c r="AA1169" i="14"/>
  <c r="BR1169" i="14"/>
  <c r="S1169" i="14"/>
  <c r="BL1169" i="14"/>
  <c r="V1169" i="14"/>
  <c r="BA1169" i="14"/>
  <c r="N1169" i="14"/>
  <c r="AQ1169" i="14"/>
  <c r="BF1169" i="14"/>
  <c r="BI1169" i="14"/>
  <c r="AN1169" i="14"/>
  <c r="BH1169" i="14"/>
  <c r="H1169" i="14"/>
  <c r="L1169" i="14"/>
  <c r="BN1169" i="14"/>
  <c r="AV1169" i="14"/>
  <c r="K1169" i="14"/>
  <c r="BP1169" i="14"/>
  <c r="AP1169" i="14"/>
  <c r="Y1169" i="14"/>
  <c r="BE1169" i="14"/>
  <c r="AM1169" i="14"/>
  <c r="AB1106" i="14" l="1"/>
  <c r="N223" i="14"/>
  <c r="M1106" i="14"/>
  <c r="K1106" i="14"/>
  <c r="BJ1106" i="14"/>
  <c r="BM1106" i="14"/>
  <c r="X223" i="14"/>
  <c r="AR1106" i="14"/>
  <c r="AC1106" i="14"/>
  <c r="AA1106" i="14"/>
  <c r="R223" i="14"/>
  <c r="AD1106" i="14"/>
  <c r="BK1106" i="14"/>
  <c r="T223" i="14"/>
  <c r="G27" i="11"/>
  <c r="BH1106" i="14"/>
  <c r="AS1106" i="14"/>
  <c r="AQ1106" i="14"/>
  <c r="N1106" i="14"/>
  <c r="BV1106" i="14"/>
  <c r="BC1106" i="14"/>
  <c r="AF1106" i="14"/>
  <c r="V1106" i="14"/>
  <c r="AL1106" i="14"/>
  <c r="G287" i="11"/>
  <c r="BX1106" i="14"/>
  <c r="S1106" i="14"/>
  <c r="BI1106" i="14"/>
  <c r="BG1106" i="14"/>
  <c r="AH1106" i="14"/>
  <c r="S223" i="14"/>
  <c r="AO1106" i="14"/>
  <c r="M223" i="14"/>
  <c r="AI1106" i="14"/>
  <c r="BY1106" i="14"/>
  <c r="BW1106" i="14"/>
  <c r="L223" i="14"/>
  <c r="AW1106" i="14"/>
  <c r="AT1106" i="14"/>
  <c r="T1106" i="14"/>
  <c r="AP1106" i="14"/>
  <c r="BN1106" i="14"/>
  <c r="AY1106" i="14"/>
  <c r="V223" i="14"/>
  <c r="K223" i="14"/>
  <c r="Y223" i="14"/>
  <c r="Q1106" i="14"/>
  <c r="Q223" i="14"/>
  <c r="I1106" i="14"/>
  <c r="BO1106" i="14"/>
  <c r="W1106" i="14"/>
  <c r="P223" i="14"/>
  <c r="R1106" i="14"/>
  <c r="X1106" i="14"/>
  <c r="BF1106" i="14"/>
  <c r="AJ1106" i="14"/>
  <c r="J1106" i="14"/>
  <c r="BP1106" i="14"/>
  <c r="L1106" i="14"/>
  <c r="Y1106" i="14"/>
  <c r="U223" i="14"/>
  <c r="AM1106" i="14"/>
  <c r="H1106" i="14"/>
  <c r="Z1106" i="14"/>
  <c r="AX1106" i="14"/>
  <c r="AZ1106" i="14"/>
  <c r="AG1106" i="14"/>
  <c r="O223" i="14"/>
  <c r="BA1106" i="14"/>
  <c r="AV1106" i="14"/>
  <c r="BL1106" i="14"/>
  <c r="BB1106" i="14"/>
  <c r="BD1106" i="14"/>
  <c r="O1106" i="14"/>
  <c r="BE1106" i="14"/>
  <c r="BS1106" i="14"/>
  <c r="AN1106" i="14"/>
  <c r="BT1106" i="14"/>
  <c r="U1106" i="14"/>
  <c r="AE1106" i="14"/>
  <c r="P1106" i="14"/>
  <c r="AU1106" i="14"/>
  <c r="BU1106" i="14"/>
  <c r="AK1106" i="14"/>
  <c r="BR1106" i="14"/>
  <c r="BQ1106" i="14"/>
  <c r="W223" i="14"/>
  <c r="AW1178" i="14"/>
  <c r="BW1178" i="14"/>
  <c r="AY1178" i="14"/>
  <c r="BV1178" i="14"/>
  <c r="BG1178" i="14"/>
  <c r="BA1178" i="14"/>
  <c r="AO1178" i="14"/>
  <c r="BK1178" i="14"/>
  <c r="AN1178" i="14"/>
  <c r="AX1178" i="14"/>
  <c r="BD1178" i="14"/>
  <c r="AM1178" i="14"/>
  <c r="U1178" i="14"/>
  <c r="S1178" i="14"/>
  <c r="BE1178" i="14"/>
  <c r="V1178" i="14"/>
  <c r="BU1178" i="14"/>
  <c r="M1178" i="14"/>
  <c r="BB1178" i="14"/>
  <c r="BM1178" i="14"/>
  <c r="AB1178" i="14"/>
  <c r="T1178" i="14"/>
  <c r="BY1178" i="14"/>
  <c r="AD1178" i="14"/>
  <c r="R1178" i="14"/>
  <c r="AT1178" i="14"/>
  <c r="AU1178" i="14"/>
  <c r="BF1178" i="14"/>
  <c r="AH1178" i="14"/>
  <c r="K1178" i="14"/>
  <c r="L1178" i="14"/>
  <c r="AR1178" i="14"/>
  <c r="I1178" i="14"/>
  <c r="BC1178" i="14"/>
  <c r="G288" i="11"/>
  <c r="BS1178" i="14"/>
  <c r="BL1178" i="14"/>
  <c r="BI1178" i="14"/>
  <c r="BN1178" i="14"/>
  <c r="H1178" i="14"/>
  <c r="AV1178" i="14"/>
  <c r="BJ1178" i="14"/>
  <c r="AI1178" i="14"/>
  <c r="AS1178" i="14"/>
  <c r="AK1178" i="14"/>
  <c r="BR1178" i="14"/>
  <c r="J1178" i="14"/>
  <c r="BP1178" i="14"/>
  <c r="BT1178" i="14"/>
  <c r="X1178" i="14"/>
  <c r="BX1178" i="14"/>
  <c r="Z1178" i="14"/>
  <c r="P1178" i="14"/>
  <c r="AG1178" i="14"/>
  <c r="Q1178" i="14"/>
  <c r="AZ1178" i="14"/>
  <c r="AC1178" i="14"/>
  <c r="AE1178" i="14"/>
  <c r="AL1178" i="14"/>
  <c r="W1178" i="14"/>
  <c r="AQ1178" i="14"/>
  <c r="N1178" i="14"/>
  <c r="BO1178" i="14"/>
  <c r="BQ1178" i="14"/>
  <c r="O1178" i="14"/>
  <c r="AF1178" i="14"/>
  <c r="AP1178" i="14"/>
  <c r="BH1178" i="14"/>
  <c r="AA1178" i="14"/>
  <c r="H167" i="11"/>
  <c r="H179" i="11"/>
  <c r="H141" i="11"/>
  <c r="H177" i="11"/>
  <c r="D105" i="20"/>
  <c r="N693" i="14"/>
  <c r="N1354" i="14"/>
  <c r="P693" i="14"/>
  <c r="P1354" i="14"/>
  <c r="AL693" i="14"/>
  <c r="AL552" i="14" s="1"/>
  <c r="AL1354" i="14"/>
  <c r="AL1358" i="14" s="1"/>
  <c r="AY1354" i="14"/>
  <c r="AY1358" i="14" s="1"/>
  <c r="AY693" i="14"/>
  <c r="AY552" i="14" s="1"/>
  <c r="Y693" i="14"/>
  <c r="Y1354" i="14"/>
  <c r="AV693" i="14"/>
  <c r="AV552" i="14" s="1"/>
  <c r="AV1354" i="14"/>
  <c r="AV1358" i="14" s="1"/>
  <c r="AK693" i="14"/>
  <c r="AK552" i="14" s="1"/>
  <c r="AK1354" i="14"/>
  <c r="AK1358" i="14" s="1"/>
  <c r="BB693" i="14"/>
  <c r="BB552" i="14" s="1"/>
  <c r="BB1354" i="14"/>
  <c r="BB1358" i="14" s="1"/>
  <c r="BR693" i="14"/>
  <c r="BR552" i="14" s="1"/>
  <c r="BR1354" i="14"/>
  <c r="BR1358" i="14" s="1"/>
  <c r="BS693" i="14"/>
  <c r="BS552" i="14" s="1"/>
  <c r="BS1354" i="14"/>
  <c r="BS1358" i="14" s="1"/>
  <c r="BD693" i="14"/>
  <c r="BD552" i="14" s="1"/>
  <c r="BD1354" i="14"/>
  <c r="BD1358" i="14" s="1"/>
  <c r="BI693" i="14"/>
  <c r="BI552" i="14" s="1"/>
  <c r="BI1354" i="14"/>
  <c r="BI1358" i="14" s="1"/>
  <c r="BJ693" i="14"/>
  <c r="BJ552" i="14" s="1"/>
  <c r="BJ1354" i="14"/>
  <c r="BJ1358" i="14" s="1"/>
  <c r="W1354" i="14"/>
  <c r="W693" i="14"/>
  <c r="BK693" i="14"/>
  <c r="BK552" i="14" s="1"/>
  <c r="BK1354" i="14"/>
  <c r="BK1358" i="14" s="1"/>
  <c r="BV1354" i="14"/>
  <c r="BV1358" i="14" s="1"/>
  <c r="BV693" i="14"/>
  <c r="BV552" i="14" s="1"/>
  <c r="U1354" i="14"/>
  <c r="U693" i="14"/>
  <c r="BX693" i="14"/>
  <c r="BX552" i="14" s="1"/>
  <c r="BX1354" i="14"/>
  <c r="BX1358" i="14" s="1"/>
  <c r="BG693" i="14"/>
  <c r="BG552" i="14" s="1"/>
  <c r="BG1354" i="14"/>
  <c r="BG1358" i="14" s="1"/>
  <c r="AA693" i="14"/>
  <c r="AA552" i="14" s="1"/>
  <c r="AA1354" i="14"/>
  <c r="AA1358" i="14" s="1"/>
  <c r="BW693" i="14"/>
  <c r="BW552" i="14" s="1"/>
  <c r="BW1354" i="14"/>
  <c r="BW1358" i="14" s="1"/>
  <c r="BP1354" i="14"/>
  <c r="BP1358" i="14" s="1"/>
  <c r="BP693" i="14"/>
  <c r="BP552" i="14" s="1"/>
  <c r="S693" i="14"/>
  <c r="S1354" i="14"/>
  <c r="AE693" i="14"/>
  <c r="AE552" i="14" s="1"/>
  <c r="AE1354" i="14"/>
  <c r="AE1358" i="14" s="1"/>
  <c r="AR1354" i="14"/>
  <c r="AR1358" i="14" s="1"/>
  <c r="AR693" i="14"/>
  <c r="AR552" i="14" s="1"/>
  <c r="BN1354" i="14"/>
  <c r="BN1358" i="14" s="1"/>
  <c r="BN693" i="14"/>
  <c r="BN552" i="14" s="1"/>
  <c r="BH693" i="14"/>
  <c r="BH552" i="14" s="1"/>
  <c r="BH1354" i="14"/>
  <c r="BH1358" i="14" s="1"/>
  <c r="AM1354" i="14"/>
  <c r="AM1358" i="14" s="1"/>
  <c r="AM693" i="14"/>
  <c r="AM552" i="14" s="1"/>
  <c r="AH693" i="14"/>
  <c r="AH552" i="14" s="1"/>
  <c r="AH1354" i="14"/>
  <c r="AH1358" i="14" s="1"/>
  <c r="K693" i="14"/>
  <c r="K1354" i="14"/>
  <c r="BF693" i="14"/>
  <c r="BF552" i="14" s="1"/>
  <c r="BF1354" i="14"/>
  <c r="BF1358" i="14" s="1"/>
  <c r="BL693" i="14"/>
  <c r="BL552" i="14" s="1"/>
  <c r="BL1354" i="14"/>
  <c r="BL1358" i="14" s="1"/>
  <c r="AW693" i="14"/>
  <c r="AW552" i="14" s="1"/>
  <c r="AW1354" i="14"/>
  <c r="AW1358" i="14" s="1"/>
  <c r="BM693" i="14"/>
  <c r="BM552" i="14" s="1"/>
  <c r="BM1354" i="14"/>
  <c r="BM1358" i="14" s="1"/>
  <c r="BU693" i="14"/>
  <c r="BU552" i="14" s="1"/>
  <c r="BU1354" i="14"/>
  <c r="BU1358" i="14" s="1"/>
  <c r="AS1354" i="14"/>
  <c r="AS1358" i="14" s="1"/>
  <c r="AS693" i="14"/>
  <c r="AS552" i="14" s="1"/>
  <c r="BO693" i="14"/>
  <c r="BO552" i="14" s="1"/>
  <c r="BO1354" i="14"/>
  <c r="BO1358" i="14" s="1"/>
  <c r="V1354" i="14"/>
  <c r="V693" i="14"/>
  <c r="M693" i="14"/>
  <c r="M1354" i="14"/>
  <c r="BY1354" i="14"/>
  <c r="BY1358" i="14" s="1"/>
  <c r="BY693" i="14"/>
  <c r="BY552" i="14" s="1"/>
  <c r="J693" i="14"/>
  <c r="J552" i="14" s="1"/>
  <c r="J1354" i="14"/>
  <c r="X693" i="14"/>
  <c r="X1354" i="14"/>
  <c r="BA693" i="14"/>
  <c r="BA552" i="14" s="1"/>
  <c r="BA1354" i="14"/>
  <c r="BA1358" i="14" s="1"/>
  <c r="AM1144" i="14"/>
  <c r="AN1144" i="14"/>
  <c r="AO1144" i="14"/>
  <c r="AT1144" i="14"/>
  <c r="BP1144" i="14"/>
  <c r="AA1144" i="14"/>
  <c r="P1144" i="14"/>
  <c r="AQ1144" i="14"/>
  <c r="AR1144" i="14"/>
  <c r="AS1144" i="14"/>
  <c r="AX1144" i="14"/>
  <c r="BO1144" i="14"/>
  <c r="AE1144" i="14"/>
  <c r="AU1144" i="14"/>
  <c r="AV1144" i="14"/>
  <c r="AW1144" i="14"/>
  <c r="BB1144" i="14"/>
  <c r="U1144" i="14"/>
  <c r="V1144" i="14"/>
  <c r="AF1144" i="14"/>
  <c r="AY1144" i="14"/>
  <c r="AZ1144" i="14"/>
  <c r="BA1144" i="14"/>
  <c r="BF1144" i="14"/>
  <c r="AC1144" i="14"/>
  <c r="BC1144" i="14"/>
  <c r="BD1144" i="14"/>
  <c r="BE1144" i="14"/>
  <c r="BJ1144" i="14"/>
  <c r="BG1144" i="14"/>
  <c r="BH1144" i="14"/>
  <c r="BI1144" i="14"/>
  <c r="BN1144" i="14"/>
  <c r="BK1144" i="14"/>
  <c r="BL1144" i="14"/>
  <c r="BM1144" i="14"/>
  <c r="BR1144" i="14"/>
  <c r="AH1144" i="14"/>
  <c r="BQ1144" i="14"/>
  <c r="H370" i="11"/>
  <c r="BS1144" i="14"/>
  <c r="BT1144" i="14"/>
  <c r="BU1144" i="14"/>
  <c r="H1144" i="14"/>
  <c r="Q1144" i="14"/>
  <c r="BW1144" i="14"/>
  <c r="BX1144" i="14"/>
  <c r="BY1144" i="14"/>
  <c r="Z1144" i="14"/>
  <c r="J1144" i="14"/>
  <c r="N1144" i="14"/>
  <c r="M1144" i="14"/>
  <c r="Y1144" i="14"/>
  <c r="S1144" i="14"/>
  <c r="W1144" i="14"/>
  <c r="T1144" i="14"/>
  <c r="I1144" i="14"/>
  <c r="AB1144" i="14"/>
  <c r="K1144" i="14"/>
  <c r="AD1144" i="14"/>
  <c r="O1144" i="14"/>
  <c r="L1144" i="14"/>
  <c r="X1144" i="14"/>
  <c r="AL1144" i="14"/>
  <c r="AI1144" i="14"/>
  <c r="AJ1144" i="14"/>
  <c r="AK1144" i="14"/>
  <c r="AP1144" i="14"/>
  <c r="R1144" i="14"/>
  <c r="BV1144" i="14"/>
  <c r="H29" i="11"/>
  <c r="AG1144" i="14"/>
  <c r="BQ1354" i="14"/>
  <c r="BQ1358" i="14" s="1"/>
  <c r="BQ693" i="14"/>
  <c r="BQ552" i="14" s="1"/>
  <c r="AX693" i="14"/>
  <c r="AX552" i="14" s="1"/>
  <c r="AX1354" i="14"/>
  <c r="AX1358" i="14" s="1"/>
  <c r="AG693" i="14"/>
  <c r="AG552" i="14" s="1"/>
  <c r="AG1354" i="14"/>
  <c r="AG1358" i="14" s="1"/>
  <c r="I693" i="14"/>
  <c r="I552" i="14" s="1"/>
  <c r="I1354" i="14"/>
  <c r="L693" i="14"/>
  <c r="L1354" i="14"/>
  <c r="AQ693" i="14"/>
  <c r="AQ552" i="14" s="1"/>
  <c r="AQ1354" i="14"/>
  <c r="AQ1358" i="14" s="1"/>
  <c r="Z693" i="14"/>
  <c r="Z552" i="14" s="1"/>
  <c r="Z1354" i="14"/>
  <c r="Z1358" i="14" s="1"/>
  <c r="AJ1354" i="14"/>
  <c r="AJ1358" i="14" s="1"/>
  <c r="AJ693" i="14"/>
  <c r="AJ552" i="14" s="1"/>
  <c r="AP693" i="14"/>
  <c r="AP552" i="14" s="1"/>
  <c r="AP1354" i="14"/>
  <c r="AP1358" i="14" s="1"/>
  <c r="AO1354" i="14"/>
  <c r="AO1358" i="14" s="1"/>
  <c r="AO693" i="14"/>
  <c r="AO552" i="14" s="1"/>
  <c r="H693" i="14"/>
  <c r="H552" i="14" s="1"/>
  <c r="H1354" i="14"/>
  <c r="H1358" i="14" s="1"/>
  <c r="AC693" i="14"/>
  <c r="AC552" i="14" s="1"/>
  <c r="AC1354" i="14"/>
  <c r="AC1358" i="14" s="1"/>
  <c r="R693" i="14"/>
  <c r="R1354" i="14"/>
  <c r="AN1354" i="14"/>
  <c r="AN1358" i="14" s="1"/>
  <c r="AN693" i="14"/>
  <c r="AN552" i="14" s="1"/>
  <c r="AT1354" i="14"/>
  <c r="AT1358" i="14" s="1"/>
  <c r="AT693" i="14"/>
  <c r="AT552" i="14" s="1"/>
  <c r="BC693" i="14"/>
  <c r="BC552" i="14" s="1"/>
  <c r="BC1354" i="14"/>
  <c r="BC1358" i="14" s="1"/>
  <c r="AF1354" i="14"/>
  <c r="AF1358" i="14" s="1"/>
  <c r="AF693" i="14"/>
  <c r="AF552" i="14" s="1"/>
  <c r="AI693" i="14"/>
  <c r="AI552" i="14" s="1"/>
  <c r="AI1354" i="14"/>
  <c r="AI1358" i="14" s="1"/>
  <c r="T693" i="14"/>
  <c r="T1354" i="14"/>
  <c r="BT1354" i="14"/>
  <c r="BT1358" i="14" s="1"/>
  <c r="BT693" i="14"/>
  <c r="BT552" i="14" s="1"/>
  <c r="Q693" i="14"/>
  <c r="Q1354" i="14"/>
  <c r="AD693" i="14"/>
  <c r="AD552" i="14" s="1"/>
  <c r="AD1354" i="14"/>
  <c r="AD1358" i="14" s="1"/>
  <c r="AU1354" i="14"/>
  <c r="AU1358" i="14" s="1"/>
  <c r="AU693" i="14"/>
  <c r="AU552" i="14" s="1"/>
  <c r="AZ693" i="14"/>
  <c r="AZ552" i="14" s="1"/>
  <c r="AZ1354" i="14"/>
  <c r="AZ1358" i="14" s="1"/>
  <c r="O693" i="14"/>
  <c r="O1354" i="14"/>
  <c r="AB1354" i="14"/>
  <c r="AB1358" i="14" s="1"/>
  <c r="AB693" i="14"/>
  <c r="AB552" i="14" s="1"/>
  <c r="BE693" i="14"/>
  <c r="BE552" i="14" s="1"/>
  <c r="BE1354" i="14"/>
  <c r="BE1358" i="14" s="1"/>
  <c r="AG381" i="14"/>
  <c r="AG1221" i="14"/>
  <c r="AG1325" i="14" a="1"/>
  <c r="AG1325" i="14" s="1"/>
  <c r="AG218" i="14"/>
  <c r="AG224" i="14" s="1"/>
  <c r="AG1313" i="14" a="1"/>
  <c r="AG1313" i="14" s="1"/>
  <c r="AG1343" i="14"/>
  <c r="AC1313" i="14" a="1"/>
  <c r="AC1313" i="14" s="1"/>
  <c r="AC381" i="14"/>
  <c r="AC218" i="14"/>
  <c r="AC224" i="14" s="1"/>
  <c r="AC1325" i="14" a="1"/>
  <c r="AC1325" i="14" s="1"/>
  <c r="AC1343" i="14"/>
  <c r="AC1221" i="14"/>
  <c r="AF381" i="14"/>
  <c r="AF1325" i="14" a="1"/>
  <c r="AF1325" i="14" s="1"/>
  <c r="AF1221" i="14"/>
  <c r="AF1343" i="14"/>
  <c r="AF218" i="14"/>
  <c r="AF224" i="14" s="1"/>
  <c r="AF1313" i="14" a="1"/>
  <c r="AF1313" i="14" s="1"/>
  <c r="AE390" i="14"/>
  <c r="AE1239" i="14"/>
  <c r="AE1344" i="14"/>
  <c r="AE1315" i="14" a="1"/>
  <c r="AE1315" i="14" s="1"/>
  <c r="AE1327" i="14" a="1"/>
  <c r="AE1327" i="14" s="1"/>
  <c r="AH1239" i="14"/>
  <c r="AH390" i="14"/>
  <c r="AH1327" i="14" a="1"/>
  <c r="AH1327" i="14" s="1"/>
  <c r="AH1344" i="14"/>
  <c r="AH1315" i="14" a="1"/>
  <c r="AH1315" i="14" s="1"/>
  <c r="D104" i="20"/>
  <c r="Z381" i="14"/>
  <c r="Z1325" i="14" a="1"/>
  <c r="Z1325" i="14" s="1"/>
  <c r="Z1343" i="14"/>
  <c r="Z1313" i="14" a="1"/>
  <c r="Z1313" i="14" s="1"/>
  <c r="Z218" i="14"/>
  <c r="Z224" i="14" s="1"/>
  <c r="Z1221" i="14"/>
  <c r="AG1239" i="14"/>
  <c r="AG1344" i="14"/>
  <c r="AG1327" i="14" a="1"/>
  <c r="AG1327" i="14" s="1"/>
  <c r="AG1315" i="14" a="1"/>
  <c r="AG1315" i="14" s="1"/>
  <c r="AG390" i="14"/>
  <c r="AB390" i="14"/>
  <c r="AB1239" i="14"/>
  <c r="AB1344" i="14"/>
  <c r="AB1327" i="14" a="1"/>
  <c r="AB1327" i="14" s="1"/>
  <c r="AB1315" i="14" a="1"/>
  <c r="AB1315" i="14" s="1"/>
  <c r="AF390" i="14"/>
  <c r="AF1239" i="14"/>
  <c r="AF1344" i="14"/>
  <c r="AF1327" i="14" a="1"/>
  <c r="AF1327" i="14" s="1"/>
  <c r="AF1315" i="14" a="1"/>
  <c r="AF1315" i="14" s="1"/>
  <c r="AC390" i="14"/>
  <c r="AC1239" i="14"/>
  <c r="AC1327" i="14" a="1"/>
  <c r="AC1327" i="14" s="1"/>
  <c r="AC1315" i="14" a="1"/>
  <c r="AC1315" i="14" s="1"/>
  <c r="AC1344" i="14"/>
  <c r="AD390" i="14"/>
  <c r="AD1344" i="14"/>
  <c r="AD1315" i="14" a="1"/>
  <c r="AD1315" i="14" s="1"/>
  <c r="AD1327" i="14" a="1"/>
  <c r="AD1327" i="14" s="1"/>
  <c r="AD1239" i="14"/>
  <c r="AA1239" i="14"/>
  <c r="AA390" i="14"/>
  <c r="AA1315" i="14" a="1"/>
  <c r="AA1315" i="14" s="1"/>
  <c r="AA1327" i="14" a="1"/>
  <c r="AA1327" i="14" s="1"/>
  <c r="AA1344" i="14"/>
  <c r="AE381" i="14"/>
  <c r="AE1221" i="14"/>
  <c r="AE1313" i="14" a="1"/>
  <c r="AE1313" i="14" s="1"/>
  <c r="AE1325" i="14" a="1"/>
  <c r="AE1325" i="14" s="1"/>
  <c r="AE1343" i="14"/>
  <c r="AE218" i="14"/>
  <c r="AE224" i="14" s="1"/>
  <c r="AI381" i="14"/>
  <c r="AI218" i="14"/>
  <c r="AI224" i="14" s="1"/>
  <c r="AI1221" i="14"/>
  <c r="AI1343" i="14"/>
  <c r="AI1325" i="14" a="1"/>
  <c r="AI1325" i="14" s="1"/>
  <c r="AI1313" i="14" a="1"/>
  <c r="AI1313" i="14" s="1"/>
  <c r="AA381" i="14"/>
  <c r="AA1221" i="14"/>
  <c r="AA1343" i="14"/>
  <c r="AA1325" i="14" a="1"/>
  <c r="AA1325" i="14" s="1"/>
  <c r="AA1313" i="14" a="1"/>
  <c r="AA1313" i="14" s="1"/>
  <c r="AA218" i="14"/>
  <c r="AA224" i="14" s="1"/>
  <c r="N1124" i="14"/>
  <c r="AD1325" i="14" a="1"/>
  <c r="AD1325" i="14" s="1"/>
  <c r="AD381" i="14"/>
  <c r="AD1221" i="14"/>
  <c r="AD218" i="14"/>
  <c r="AD224" i="14" s="1"/>
  <c r="AD1343" i="14"/>
  <c r="AD1313" i="14" a="1"/>
  <c r="AD1313" i="14" s="1"/>
  <c r="AH381" i="14"/>
  <c r="AH1221" i="14"/>
  <c r="AH1325" i="14" a="1"/>
  <c r="AH1325" i="14" s="1"/>
  <c r="AH1313" i="14" a="1"/>
  <c r="AH1313" i="14" s="1"/>
  <c r="AH1343" i="14"/>
  <c r="AH218" i="14"/>
  <c r="AH224" i="14" s="1"/>
  <c r="Z1327" i="14" a="1"/>
  <c r="Z1327" i="14" s="1"/>
  <c r="Z390" i="14"/>
  <c r="Z1239" i="14"/>
  <c r="Z1344" i="14"/>
  <c r="Z1315" i="14" a="1"/>
  <c r="Z1315" i="14" s="1"/>
  <c r="P1124" i="14"/>
  <c r="AB381" i="14"/>
  <c r="AB218" i="14"/>
  <c r="AB224" i="14" s="1"/>
  <c r="AB1325" i="14" a="1"/>
  <c r="AB1325" i="14" s="1"/>
  <c r="AB1343" i="14"/>
  <c r="AB1313" i="14" a="1"/>
  <c r="AB1313" i="14" s="1"/>
  <c r="AB1221" i="14"/>
  <c r="AI390" i="14"/>
  <c r="AI1239" i="14"/>
  <c r="AI1315" i="14" a="1"/>
  <c r="AI1315" i="14" s="1"/>
  <c r="AI1344" i="14"/>
  <c r="AI1327" i="14" a="1"/>
  <c r="AI1327" i="14" s="1"/>
  <c r="R1124" i="14"/>
  <c r="G370" i="11" l="1"/>
  <c r="G29" i="11"/>
  <c r="AE1107" i="14"/>
  <c r="AE1108" i="14" s="1"/>
  <c r="AE1110" i="14" s="1"/>
  <c r="BR1107" i="14"/>
  <c r="BR1108" i="14" s="1"/>
  <c r="BR1110" i="14" s="1"/>
  <c r="BS1107" i="14"/>
  <c r="BS1108" i="14" s="1"/>
  <c r="BS1110" i="14" s="1"/>
  <c r="AS1107" i="14"/>
  <c r="AS1108" i="14" s="1"/>
  <c r="AS1110" i="14" s="1"/>
  <c r="AN1107" i="14"/>
  <c r="AN1108" i="14" s="1"/>
  <c r="AN1110" i="14" s="1"/>
  <c r="AU1107" i="14"/>
  <c r="AU1108" i="14" s="1"/>
  <c r="AU1110" i="14" s="1"/>
  <c r="S1107" i="14"/>
  <c r="S1108" i="14" s="1"/>
  <c r="S1110" i="14" s="1"/>
  <c r="N1107" i="14"/>
  <c r="N1108" i="14" s="1"/>
  <c r="N1110" i="14" s="1"/>
  <c r="BA1107" i="14"/>
  <c r="BA1108" i="14" s="1"/>
  <c r="BA1110" i="14" s="1"/>
  <c r="BG1107" i="14"/>
  <c r="BG1108" i="14" s="1"/>
  <c r="BG1110" i="14" s="1"/>
  <c r="AC1107" i="14"/>
  <c r="AC1108" i="14" s="1"/>
  <c r="AC1110" i="14" s="1"/>
  <c r="BK1107" i="14"/>
  <c r="BK1108" i="14" s="1"/>
  <c r="BK1110" i="14" s="1"/>
  <c r="AI1107" i="14"/>
  <c r="AI1108" i="14" s="1"/>
  <c r="AI1110" i="14" s="1"/>
  <c r="AD1107" i="14"/>
  <c r="AD1108" i="14" s="1"/>
  <c r="AD1110" i="14" s="1"/>
  <c r="AJ1107" i="14"/>
  <c r="AJ1108" i="14" s="1"/>
  <c r="AJ1110" i="14" s="1"/>
  <c r="L1107" i="14"/>
  <c r="L1108" i="14" s="1"/>
  <c r="L1110" i="14" s="1"/>
  <c r="AY1107" i="14"/>
  <c r="AY1108" i="14" s="1"/>
  <c r="AY1110" i="14" s="1"/>
  <c r="AT1107" i="14"/>
  <c r="AT1108" i="14" s="1"/>
  <c r="AT1110" i="14" s="1"/>
  <c r="BT1107" i="14"/>
  <c r="BT1108" i="14" s="1"/>
  <c r="BT1110" i="14" s="1"/>
  <c r="AL1107" i="14"/>
  <c r="AL1108" i="14" s="1"/>
  <c r="AL1110" i="14" s="1"/>
  <c r="AB1107" i="14"/>
  <c r="AB1108" i="14" s="1"/>
  <c r="AB1110" i="14" s="1"/>
  <c r="BO1107" i="14"/>
  <c r="BO1108" i="14" s="1"/>
  <c r="BO1110" i="14" s="1"/>
  <c r="BJ1107" i="14"/>
  <c r="BJ1108" i="14" s="1"/>
  <c r="BJ1110" i="14" s="1"/>
  <c r="Q1107" i="14"/>
  <c r="Q1108" i="14" s="1"/>
  <c r="Q1110" i="14" s="1"/>
  <c r="AR1107" i="14"/>
  <c r="AR1108" i="14" s="1"/>
  <c r="AR1110" i="14" s="1"/>
  <c r="P1107" i="14"/>
  <c r="P1108" i="14" s="1"/>
  <c r="P1110" i="14" s="1"/>
  <c r="K1107" i="14"/>
  <c r="K1108" i="14" s="1"/>
  <c r="K1110" i="14" s="1"/>
  <c r="AK1107" i="14"/>
  <c r="AK1108" i="14" s="1"/>
  <c r="AK1110" i="14" s="1"/>
  <c r="AM1107" i="14"/>
  <c r="AM1108" i="14" s="1"/>
  <c r="AM1110" i="14" s="1"/>
  <c r="BC1107" i="14"/>
  <c r="BC1108" i="14" s="1"/>
  <c r="BC1110" i="14" s="1"/>
  <c r="BH1107" i="14"/>
  <c r="BH1108" i="14" s="1"/>
  <c r="BH1110" i="14" s="1"/>
  <c r="AF1107" i="14"/>
  <c r="AF1108" i="14" s="1"/>
  <c r="AF1110" i="14" s="1"/>
  <c r="AA1107" i="14"/>
  <c r="AA1108" i="14" s="1"/>
  <c r="AA1110" i="14" s="1"/>
  <c r="BD1107" i="14"/>
  <c r="BD1108" i="14" s="1"/>
  <c r="BD1110" i="14" s="1"/>
  <c r="BX1107" i="14"/>
  <c r="BX1108" i="14" s="1"/>
  <c r="BX1110" i="14" s="1"/>
  <c r="AV1107" i="14"/>
  <c r="AV1108" i="14" s="1"/>
  <c r="AV1110" i="14" s="1"/>
  <c r="AQ1107" i="14"/>
  <c r="AQ1108" i="14" s="1"/>
  <c r="AQ1110" i="14" s="1"/>
  <c r="BM1107" i="14"/>
  <c r="BM1108" i="14" s="1"/>
  <c r="BM1110" i="14" s="1"/>
  <c r="BB1107" i="14"/>
  <c r="BB1108" i="14" s="1"/>
  <c r="BB1110" i="14" s="1"/>
  <c r="I1107" i="14"/>
  <c r="I1108" i="14" s="1"/>
  <c r="I1110" i="14" s="1"/>
  <c r="BL1107" i="14"/>
  <c r="BL1108" i="14" s="1"/>
  <c r="BL1110" i="14" s="1"/>
  <c r="U1107" i="14"/>
  <c r="U1108" i="14" s="1"/>
  <c r="U1110" i="14" s="1"/>
  <c r="BV1107" i="14"/>
  <c r="BV1108" i="14" s="1"/>
  <c r="BV1110" i="14" s="1"/>
  <c r="Y1107" i="14"/>
  <c r="Y1108" i="14" s="1"/>
  <c r="Y1110" i="14" s="1"/>
  <c r="J1107" i="14"/>
  <c r="J1108" i="14" s="1"/>
  <c r="J1110" i="14" s="1"/>
  <c r="AZ1107" i="14"/>
  <c r="AZ1108" i="14" s="1"/>
  <c r="AZ1110" i="14" s="1"/>
  <c r="BW1107" i="14"/>
  <c r="BW1108" i="14" s="1"/>
  <c r="BW1110" i="14" s="1"/>
  <c r="O1107" i="14"/>
  <c r="O1108" i="14" s="1"/>
  <c r="O1110" i="14" s="1"/>
  <c r="X1107" i="14"/>
  <c r="X1108" i="14" s="1"/>
  <c r="X1110" i="14" s="1"/>
  <c r="G28" i="11"/>
  <c r="BN1120" i="14" s="1"/>
  <c r="AO1107" i="14"/>
  <c r="AO1108" i="14" s="1"/>
  <c r="AO1110" i="14" s="1"/>
  <c r="Z1107" i="14"/>
  <c r="Z1108" i="14" s="1"/>
  <c r="Z1110" i="14" s="1"/>
  <c r="BY1107" i="14"/>
  <c r="BY1108" i="14" s="1"/>
  <c r="BY1110" i="14" s="1"/>
  <c r="AW1107" i="14"/>
  <c r="AW1108" i="14" s="1"/>
  <c r="AW1110" i="14" s="1"/>
  <c r="R1107" i="14"/>
  <c r="R1108" i="14" s="1"/>
  <c r="R1110" i="14" s="1"/>
  <c r="BE1107" i="14"/>
  <c r="BE1108" i="14" s="1"/>
  <c r="BE1110" i="14" s="1"/>
  <c r="AP1107" i="14"/>
  <c r="AP1108" i="14" s="1"/>
  <c r="AP1110" i="14" s="1"/>
  <c r="BI1107" i="14"/>
  <c r="BI1108" i="14" s="1"/>
  <c r="BI1110" i="14" s="1"/>
  <c r="T1107" i="14"/>
  <c r="T1108" i="14" s="1"/>
  <c r="T1110" i="14" s="1"/>
  <c r="BN1107" i="14"/>
  <c r="BN1108" i="14" s="1"/>
  <c r="BN1110" i="14" s="1"/>
  <c r="AH1107" i="14"/>
  <c r="AH1108" i="14" s="1"/>
  <c r="AH1110" i="14" s="1"/>
  <c r="BU1107" i="14"/>
  <c r="BU1108" i="14" s="1"/>
  <c r="BU1110" i="14" s="1"/>
  <c r="BF1107" i="14"/>
  <c r="BF1108" i="14" s="1"/>
  <c r="BF1110" i="14" s="1"/>
  <c r="M1107" i="14"/>
  <c r="M1108" i="14" s="1"/>
  <c r="M1110" i="14" s="1"/>
  <c r="H1107" i="14"/>
  <c r="H1108" i="14" s="1"/>
  <c r="H1110" i="14" s="1"/>
  <c r="AX1107" i="14"/>
  <c r="AX1108" i="14" s="1"/>
  <c r="AX1110" i="14" s="1"/>
  <c r="V1107" i="14"/>
  <c r="V1108" i="14" s="1"/>
  <c r="V1110" i="14" s="1"/>
  <c r="W1107" i="14"/>
  <c r="W1108" i="14" s="1"/>
  <c r="W1110" i="14" s="1"/>
  <c r="AG1107" i="14"/>
  <c r="AG1108" i="14" s="1"/>
  <c r="AG1110" i="14" s="1"/>
  <c r="BQ1107" i="14"/>
  <c r="BQ1108" i="14" s="1"/>
  <c r="BQ1110" i="14" s="1"/>
  <c r="BP1107" i="14"/>
  <c r="BP1108" i="14" s="1"/>
  <c r="BP1110" i="14" s="1"/>
  <c r="J83" i="14"/>
  <c r="BB83" i="14"/>
  <c r="AE83" i="14"/>
  <c r="AW83" i="14"/>
  <c r="Y83" i="14"/>
  <c r="W83" i="14"/>
  <c r="R83" i="14"/>
  <c r="BJ83" i="14"/>
  <c r="AN83" i="14"/>
  <c r="BF83" i="14"/>
  <c r="Z83" i="14"/>
  <c r="AJ83" i="14"/>
  <c r="T83" i="14"/>
  <c r="BD83" i="14"/>
  <c r="BN83" i="14"/>
  <c r="BG83" i="14"/>
  <c r="AS83" i="14"/>
  <c r="AD83" i="14"/>
  <c r="BM83" i="14"/>
  <c r="BX83" i="14"/>
  <c r="AB83" i="14"/>
  <c r="BH83" i="14"/>
  <c r="BK83" i="14"/>
  <c r="BV83" i="14"/>
  <c r="P83" i="14"/>
  <c r="Q83" i="14"/>
  <c r="BU83" i="14"/>
  <c r="BR83" i="14"/>
  <c r="U83" i="14"/>
  <c r="G167" i="11"/>
  <c r="AP83" i="14"/>
  <c r="AA83" i="14"/>
  <c r="AK83" i="14"/>
  <c r="AC83" i="14"/>
  <c r="AL83" i="14"/>
  <c r="H83" i="14"/>
  <c r="AY83" i="14"/>
  <c r="AH83" i="14"/>
  <c r="N83" i="14"/>
  <c r="AX83" i="14"/>
  <c r="BA83" i="14"/>
  <c r="AU83" i="14"/>
  <c r="AV83" i="14"/>
  <c r="BQ83" i="14"/>
  <c r="AI83" i="14"/>
  <c r="AT83" i="14"/>
  <c r="BL83" i="14"/>
  <c r="BE83" i="14"/>
  <c r="G179" i="11"/>
  <c r="AZ83" i="14"/>
  <c r="BI83" i="14"/>
  <c r="BT83" i="14"/>
  <c r="BW83" i="14"/>
  <c r="BY83" i="14"/>
  <c r="BO83" i="14"/>
  <c r="O83" i="14"/>
  <c r="BS83" i="14"/>
  <c r="L83" i="14"/>
  <c r="M83" i="14"/>
  <c r="AQ83" i="14"/>
  <c r="BP83" i="14"/>
  <c r="S83" i="14"/>
  <c r="G177" i="11"/>
  <c r="V83" i="14"/>
  <c r="X83" i="14"/>
  <c r="G141" i="11"/>
  <c r="G54" i="11" a="1"/>
  <c r="G54" i="11" s="1"/>
  <c r="AM83" i="14"/>
  <c r="AF83" i="14"/>
  <c r="I83" i="14"/>
  <c r="AG83" i="14"/>
  <c r="K83" i="14"/>
  <c r="BC83" i="14"/>
  <c r="AO83" i="14"/>
  <c r="AR83" i="14"/>
  <c r="AK1119" i="14"/>
  <c r="AH1120" i="14"/>
  <c r="BC1122" i="14"/>
  <c r="Q1120" i="14"/>
  <c r="AL1119" i="14"/>
  <c r="BJ1119" i="14"/>
  <c r="BJ1121" i="14" s="1"/>
  <c r="AP1122" i="14"/>
  <c r="AD1122" i="14"/>
  <c r="BM1122" i="14"/>
  <c r="BP1119" i="14"/>
  <c r="BP1121" i="14" s="1"/>
  <c r="BP1123" i="14" s="1"/>
  <c r="BP1125" i="14" s="1"/>
  <c r="BP1127" i="14" s="1"/>
  <c r="AS1120" i="14"/>
  <c r="AS1119" i="14"/>
  <c r="BD1120" i="14"/>
  <c r="V1119" i="14"/>
  <c r="BG1119" i="14"/>
  <c r="BG1121" i="14" s="1"/>
  <c r="AE1119" i="14"/>
  <c r="AT1120" i="14"/>
  <c r="BD1122" i="14"/>
  <c r="H1122" i="14"/>
  <c r="H1119" i="14"/>
  <c r="H1121" i="14" s="1"/>
  <c r="BH1120" i="14"/>
  <c r="O1120" i="14"/>
  <c r="BM1120" i="14"/>
  <c r="BE1122" i="14"/>
  <c r="Q1122" i="14"/>
  <c r="BV1120" i="14"/>
  <c r="BY1120" i="14"/>
  <c r="BT1122" i="14"/>
  <c r="BW1120" i="14"/>
  <c r="O1122" i="14"/>
  <c r="AH1122" i="14"/>
  <c r="W1119" i="14"/>
  <c r="BK1120" i="14"/>
  <c r="BB1119" i="14"/>
  <c r="BB1121" i="14" s="1"/>
  <c r="BB1123" i="14" s="1"/>
  <c r="BB1125" i="14" s="1"/>
  <c r="BB1127" i="14" s="1"/>
  <c r="R1120" i="14"/>
  <c r="AW1122" i="14"/>
  <c r="BF1122" i="14"/>
  <c r="BX1120" i="14"/>
  <c r="BW1122" i="14"/>
  <c r="AQ1120" i="14"/>
  <c r="AK1120" i="14"/>
  <c r="H1120" i="14"/>
  <c r="BS1122" i="14"/>
  <c r="BX1122" i="14"/>
  <c r="BB1122" i="14"/>
  <c r="BI1120" i="14"/>
  <c r="AL1122" i="14"/>
  <c r="BR1119" i="14"/>
  <c r="AF1120" i="14"/>
  <c r="I1119" i="14"/>
  <c r="I1121" i="14" s="1"/>
  <c r="M1120" i="14"/>
  <c r="BX1119" i="14"/>
  <c r="BJ1122" i="14"/>
  <c r="J1120" i="14"/>
  <c r="AO1120" i="14"/>
  <c r="Z1120" i="14"/>
  <c r="BK1119" i="14"/>
  <c r="BK1121" i="14" s="1"/>
  <c r="O1119" i="14"/>
  <c r="BP1122" i="14"/>
  <c r="BL1119" i="14"/>
  <c r="BL1121" i="14" s="1"/>
  <c r="AY1119" i="14"/>
  <c r="AQ1119" i="14"/>
  <c r="AT1122" i="14"/>
  <c r="AD1120" i="14"/>
  <c r="BP1120" i="14"/>
  <c r="BY1122" i="14"/>
  <c r="AI1120" i="14"/>
  <c r="AR1119" i="14"/>
  <c r="BR1120" i="14"/>
  <c r="X1119" i="14"/>
  <c r="X1121" i="14" s="1"/>
  <c r="X1123" i="14" s="1"/>
  <c r="AJ1119" i="14"/>
  <c r="AY1122" i="14"/>
  <c r="Z1122" i="14"/>
  <c r="BH1122" i="14"/>
  <c r="BF1119" i="14"/>
  <c r="BI1119" i="14"/>
  <c r="BI1121" i="14" s="1"/>
  <c r="AN1119" i="14"/>
  <c r="I1120" i="14"/>
  <c r="BT1120" i="14"/>
  <c r="BL1120" i="14"/>
  <c r="BV1119" i="14"/>
  <c r="AC1120" i="14"/>
  <c r="AU1120" i="14"/>
  <c r="AY1120" i="14"/>
  <c r="P1120" i="14"/>
  <c r="AL1120" i="14"/>
  <c r="AU1119" i="14"/>
  <c r="AU1121" i="14" s="1"/>
  <c r="AQ1122" i="14"/>
  <c r="AB1122" i="14"/>
  <c r="AC1122" i="14"/>
  <c r="AT1119" i="14"/>
  <c r="AT1121" i="14" s="1"/>
  <c r="AT1123" i="14" s="1"/>
  <c r="AT1125" i="14" s="1"/>
  <c r="AT1127" i="14" s="1"/>
  <c r="AI1119" i="14"/>
  <c r="BO1122" i="14"/>
  <c r="AX1122" i="14"/>
  <c r="Y1119" i="14"/>
  <c r="BU1119" i="14"/>
  <c r="AO1119" i="14"/>
  <c r="BL1122" i="14"/>
  <c r="BN1119" i="14"/>
  <c r="BN1121" i="14" s="1"/>
  <c r="AS1122" i="14"/>
  <c r="S1122" i="14"/>
  <c r="BO1119" i="14"/>
  <c r="BO1121" i="14" s="1"/>
  <c r="BO1123" i="14" s="1"/>
  <c r="BO1125" i="14" s="1"/>
  <c r="BO1127" i="14" s="1"/>
  <c r="P1119" i="14"/>
  <c r="L1119" i="14"/>
  <c r="L1121" i="14" s="1"/>
  <c r="L1123" i="14" s="1"/>
  <c r="AF1122" i="14"/>
  <c r="AV1120" i="14"/>
  <c r="AP1119" i="14"/>
  <c r="K1122" i="14"/>
  <c r="BQ1120" i="14"/>
  <c r="AD1119" i="14"/>
  <c r="AD1121" i="14" s="1"/>
  <c r="L1122" i="14"/>
  <c r="W1122" i="14"/>
  <c r="AZ1119" i="14"/>
  <c r="BC1120" i="14"/>
  <c r="BU1122" i="14"/>
  <c r="AJ1120" i="14"/>
  <c r="AI1122" i="14"/>
  <c r="S1119" i="14"/>
  <c r="S1121" i="14" s="1"/>
  <c r="S1123" i="14" s="1"/>
  <c r="S1125" i="14" s="1"/>
  <c r="S1127" i="14" s="1"/>
  <c r="J1119" i="14"/>
  <c r="AN1120" i="14"/>
  <c r="BE1119" i="14"/>
  <c r="BB1120" i="14"/>
  <c r="AX1119" i="14"/>
  <c r="AX1121" i="14" s="1"/>
  <c r="AX1123" i="14" s="1"/>
  <c r="AX1125" i="14" s="1"/>
  <c r="AX1127" i="14" s="1"/>
  <c r="BJ1120" i="14"/>
  <c r="BG1122" i="14"/>
  <c r="N1120" i="14"/>
  <c r="AM1122" i="14"/>
  <c r="AX1120" i="14"/>
  <c r="AE1122" i="14"/>
  <c r="R1119" i="14"/>
  <c r="R1121" i="14" s="1"/>
  <c r="R1123" i="14" s="1"/>
  <c r="Q1119" i="14"/>
  <c r="AA1119" i="14"/>
  <c r="W1120" i="14"/>
  <c r="V1122" i="14"/>
  <c r="AM1120" i="14"/>
  <c r="BQ1122" i="14"/>
  <c r="BQ1119" i="14"/>
  <c r="BQ1121" i="14" s="1"/>
  <c r="P1122" i="14"/>
  <c r="U1119" i="14"/>
  <c r="U1121" i="14" s="1"/>
  <c r="I1122" i="14"/>
  <c r="AB1119" i="14"/>
  <c r="M1122" i="14"/>
  <c r="BF1120" i="14"/>
  <c r="BG1120" i="14"/>
  <c r="M1119" i="14"/>
  <c r="BT1119" i="14"/>
  <c r="BT1121" i="14" s="1"/>
  <c r="BT1123" i="14" s="1"/>
  <c r="BT1125" i="14" s="1"/>
  <c r="BT1127" i="14" s="1"/>
  <c r="BE1120" i="14"/>
  <c r="L1120" i="14"/>
  <c r="BA1122" i="14"/>
  <c r="AU1122" i="14"/>
  <c r="T1119" i="14"/>
  <c r="T1121" i="14" s="1"/>
  <c r="T1123" i="14" s="1"/>
  <c r="AJ1122" i="14"/>
  <c r="X1122" i="14"/>
  <c r="AN1122" i="14"/>
  <c r="BN1122" i="14"/>
  <c r="AR1122" i="14"/>
  <c r="BV1122" i="14"/>
  <c r="R1122" i="14"/>
  <c r="V1120" i="14"/>
  <c r="BH1119" i="14"/>
  <c r="Y1120" i="14"/>
  <c r="BW1119" i="14"/>
  <c r="BW1121" i="14" s="1"/>
  <c r="BW1123" i="14" s="1"/>
  <c r="BW1125" i="14" s="1"/>
  <c r="BW1127" i="14" s="1"/>
  <c r="Z1119" i="14"/>
  <c r="AA1120" i="14"/>
  <c r="AR1120" i="14"/>
  <c r="AF1119" i="14"/>
  <c r="AF1121" i="14" s="1"/>
  <c r="AF1123" i="14" s="1"/>
  <c r="AF1125" i="14" s="1"/>
  <c r="AF1127" i="14" s="1"/>
  <c r="AO1122" i="14"/>
  <c r="N1122" i="14"/>
  <c r="N1119" i="14"/>
  <c r="N1121" i="14" s="1"/>
  <c r="T1120" i="14"/>
  <c r="BK1122" i="14"/>
  <c r="AA1122" i="14"/>
  <c r="AE1120" i="14"/>
  <c r="AB1120" i="14"/>
  <c r="J1122" i="14"/>
  <c r="AK1122" i="14"/>
  <c r="AV1122" i="14"/>
  <c r="K1120" i="14"/>
  <c r="AV1119" i="14"/>
  <c r="AV1121" i="14" s="1"/>
  <c r="AV1123" i="14" s="1"/>
  <c r="AV1125" i="14" s="1"/>
  <c r="AV1127" i="14" s="1"/>
  <c r="AH1119" i="14"/>
  <c r="AH1121" i="14" s="1"/>
  <c r="AH1123" i="14" s="1"/>
  <c r="AH1125" i="14" s="1"/>
  <c r="AH1127" i="14" s="1"/>
  <c r="BS1120" i="14"/>
  <c r="Y1122" i="14"/>
  <c r="BS1119" i="14"/>
  <c r="X1120" i="14"/>
  <c r="BC1119" i="14"/>
  <c r="AG1122" i="14"/>
  <c r="S1120" i="14"/>
  <c r="AG1119" i="14"/>
  <c r="AZ1122" i="14"/>
  <c r="BU1120" i="14"/>
  <c r="K1119" i="14"/>
  <c r="U1120" i="14"/>
  <c r="BI1122" i="14"/>
  <c r="BA1119" i="14"/>
  <c r="BA1121" i="14" s="1"/>
  <c r="BO1120" i="14"/>
  <c r="AM1119" i="14"/>
  <c r="AM1121" i="14" s="1"/>
  <c r="AM1123" i="14" s="1"/>
  <c r="AM1125" i="14" s="1"/>
  <c r="AM1127" i="14" s="1"/>
  <c r="BD1119" i="14"/>
  <c r="BD1121" i="14" s="1"/>
  <c r="BD1123" i="14" s="1"/>
  <c r="BD1125" i="14" s="1"/>
  <c r="BD1127" i="14" s="1"/>
  <c r="AW1119" i="14"/>
  <c r="AW1121" i="14" s="1"/>
  <c r="AW1123" i="14" s="1"/>
  <c r="AW1125" i="14" s="1"/>
  <c r="AW1127" i="14" s="1"/>
  <c r="AZ1120" i="14"/>
  <c r="BM1119" i="14"/>
  <c r="BM1121" i="14" s="1"/>
  <c r="BM1123" i="14" s="1"/>
  <c r="BM1125" i="14" s="1"/>
  <c r="BM1127" i="14" s="1"/>
  <c r="U1122" i="14"/>
  <c r="AC1119" i="14"/>
  <c r="AP1120" i="14"/>
  <c r="T1122" i="14"/>
  <c r="BA1120" i="14"/>
  <c r="AW1120" i="14"/>
  <c r="BY1119" i="14"/>
  <c r="BY1121" i="14" s="1"/>
  <c r="AJ1178" i="14"/>
  <c r="Y1178" i="14"/>
  <c r="E20" i="20" s="1"/>
  <c r="K750" i="14"/>
  <c r="Q750" i="14"/>
  <c r="N750" i="14"/>
  <c r="R750" i="14"/>
  <c r="L750" i="14"/>
  <c r="X750" i="14"/>
  <c r="S750" i="14"/>
  <c r="M750" i="14"/>
  <c r="O750" i="14"/>
  <c r="T750" i="14"/>
  <c r="P750" i="14"/>
  <c r="U750" i="14"/>
  <c r="H504" i="11"/>
  <c r="V750" i="14"/>
  <c r="W750" i="14"/>
  <c r="Y750" i="14"/>
  <c r="I737" i="14"/>
  <c r="J737" i="14"/>
  <c r="J738" i="14" s="1"/>
  <c r="M751" i="14"/>
  <c r="S751" i="14"/>
  <c r="R751" i="14"/>
  <c r="N751" i="14"/>
  <c r="Y751" i="14"/>
  <c r="T751" i="14"/>
  <c r="P751" i="14"/>
  <c r="L751" i="14"/>
  <c r="O751" i="14"/>
  <c r="Q751" i="14"/>
  <c r="U751" i="14"/>
  <c r="V751" i="14"/>
  <c r="W751" i="14"/>
  <c r="X751" i="14"/>
  <c r="K751" i="14"/>
  <c r="J744" i="14"/>
  <c r="I744" i="14"/>
  <c r="BV1156" i="14"/>
  <c r="BV1155" i="14"/>
  <c r="BV1157" i="14" s="1"/>
  <c r="BV1159" i="14" s="1"/>
  <c r="S1155" i="14"/>
  <c r="S1156" i="14"/>
  <c r="AH1155" i="14"/>
  <c r="AH1157" i="14" s="1"/>
  <c r="AH1159" i="14" s="1"/>
  <c r="AH1156" i="14"/>
  <c r="AZ1155" i="14"/>
  <c r="AZ1157" i="14" s="1"/>
  <c r="AZ1159" i="14" s="1"/>
  <c r="AZ1156" i="14"/>
  <c r="AA1156" i="14"/>
  <c r="AA1155" i="14"/>
  <c r="AA1157" i="14" s="1"/>
  <c r="AA1159" i="14" s="1"/>
  <c r="R1155" i="14"/>
  <c r="R1156" i="14"/>
  <c r="BP1155" i="14"/>
  <c r="BP1157" i="14" s="1"/>
  <c r="BP1159" i="14" s="1"/>
  <c r="BP1156" i="14"/>
  <c r="AP1156" i="14"/>
  <c r="AP1155" i="14"/>
  <c r="AP1157" i="14" s="1"/>
  <c r="AP1159" i="14" s="1"/>
  <c r="M1155" i="14"/>
  <c r="M1156" i="14"/>
  <c r="BM1155" i="14"/>
  <c r="BM1157" i="14" s="1"/>
  <c r="BM1159" i="14" s="1"/>
  <c r="BM1156" i="14"/>
  <c r="AF1155" i="14"/>
  <c r="AF1157" i="14" s="1"/>
  <c r="AF1159" i="14" s="1"/>
  <c r="AF1156" i="14"/>
  <c r="AT1155" i="14"/>
  <c r="AT1157" i="14" s="1"/>
  <c r="AT1159" i="14" s="1"/>
  <c r="AT1156" i="14"/>
  <c r="Y1156" i="14"/>
  <c r="Y1155" i="14"/>
  <c r="Y1157" i="14" s="1"/>
  <c r="Y1159" i="14" s="1"/>
  <c r="AY1155" i="14"/>
  <c r="AY1157" i="14" s="1"/>
  <c r="AY1159" i="14" s="1"/>
  <c r="AY1156" i="14"/>
  <c r="AK1155" i="14"/>
  <c r="AK1157" i="14" s="1"/>
  <c r="AK1159" i="14" s="1"/>
  <c r="AK1156" i="14"/>
  <c r="N1156" i="14"/>
  <c r="N1155" i="14"/>
  <c r="BL1155" i="14"/>
  <c r="BL1157" i="14" s="1"/>
  <c r="BL1159" i="14" s="1"/>
  <c r="BL1156" i="14"/>
  <c r="V1156" i="14"/>
  <c r="V1155" i="14"/>
  <c r="AO1156" i="14"/>
  <c r="AO1155" i="14"/>
  <c r="AO1157" i="14" s="1"/>
  <c r="AO1159" i="14" s="1"/>
  <c r="AJ1155" i="14"/>
  <c r="AJ1157" i="14" s="1"/>
  <c r="AJ1159" i="14" s="1"/>
  <c r="AJ1156" i="14"/>
  <c r="J1155" i="14"/>
  <c r="J1156" i="14"/>
  <c r="BK1155" i="14"/>
  <c r="BK1157" i="14" s="1"/>
  <c r="BK1159" i="14" s="1"/>
  <c r="BK1156" i="14"/>
  <c r="U1155" i="14"/>
  <c r="U1156" i="14"/>
  <c r="AN1155" i="14"/>
  <c r="AN1157" i="14" s="1"/>
  <c r="AN1159" i="14" s="1"/>
  <c r="AN1156" i="14"/>
  <c r="AI1155" i="14"/>
  <c r="AI1157" i="14" s="1"/>
  <c r="AI1159" i="14" s="1"/>
  <c r="AI1156" i="14"/>
  <c r="Z1156" i="14"/>
  <c r="Z1155" i="14"/>
  <c r="BN1156" i="14"/>
  <c r="BN1155" i="14"/>
  <c r="BN1157" i="14" s="1"/>
  <c r="BN1159" i="14" s="1"/>
  <c r="BB1156" i="14"/>
  <c r="BB1155" i="14"/>
  <c r="BB1157" i="14" s="1"/>
  <c r="BB1159" i="14" s="1"/>
  <c r="AM1155" i="14"/>
  <c r="AM1157" i="14" s="1"/>
  <c r="AM1159" i="14" s="1"/>
  <c r="AM1156" i="14"/>
  <c r="AL1155" i="14"/>
  <c r="AL1157" i="14" s="1"/>
  <c r="AL1159" i="14" s="1"/>
  <c r="AL1156" i="14"/>
  <c r="BY1156" i="14"/>
  <c r="BY1155" i="14"/>
  <c r="BY1157" i="14" s="1"/>
  <c r="BY1159" i="14" s="1"/>
  <c r="BI1155" i="14"/>
  <c r="BI1157" i="14" s="1"/>
  <c r="BI1159" i="14" s="1"/>
  <c r="BI1156" i="14"/>
  <c r="AW1156" i="14"/>
  <c r="AW1155" i="14"/>
  <c r="AW1157" i="14" s="1"/>
  <c r="AW1159" i="14" s="1"/>
  <c r="X1155" i="14"/>
  <c r="X1156" i="14"/>
  <c r="BX1156" i="14"/>
  <c r="BX1155" i="14"/>
  <c r="BX1157" i="14" s="1"/>
  <c r="BX1159" i="14" s="1"/>
  <c r="BH1155" i="14"/>
  <c r="BH1157" i="14" s="1"/>
  <c r="BH1159" i="14" s="1"/>
  <c r="BH1156" i="14"/>
  <c r="AV1155" i="14"/>
  <c r="AV1157" i="14" s="1"/>
  <c r="AV1159" i="14" s="1"/>
  <c r="AV1156" i="14"/>
  <c r="L1155" i="14"/>
  <c r="L1156" i="14"/>
  <c r="BW1155" i="14"/>
  <c r="BW1157" i="14" s="1"/>
  <c r="BW1159" i="14" s="1"/>
  <c r="BW1156" i="14"/>
  <c r="BG1155" i="14"/>
  <c r="BG1157" i="14" s="1"/>
  <c r="BG1159" i="14" s="1"/>
  <c r="BG1156" i="14"/>
  <c r="AU1156" i="14"/>
  <c r="AU1155" i="14"/>
  <c r="AU1157" i="14" s="1"/>
  <c r="AU1159" i="14" s="1"/>
  <c r="O1156" i="14"/>
  <c r="O1155" i="14"/>
  <c r="Q1155" i="14"/>
  <c r="Q1156" i="14"/>
  <c r="BJ1156" i="14"/>
  <c r="BJ1155" i="14"/>
  <c r="BJ1157" i="14" s="1"/>
  <c r="BJ1159" i="14" s="1"/>
  <c r="AE1155" i="14"/>
  <c r="AE1157" i="14" s="1"/>
  <c r="AE1159" i="14" s="1"/>
  <c r="AE1156" i="14"/>
  <c r="AD1155" i="14"/>
  <c r="AD1157" i="14" s="1"/>
  <c r="AD1159" i="14" s="1"/>
  <c r="AD1156" i="14"/>
  <c r="H1155" i="14"/>
  <c r="H1156" i="14"/>
  <c r="BE1155" i="14"/>
  <c r="BE1157" i="14" s="1"/>
  <c r="BE1159" i="14" s="1"/>
  <c r="BE1156" i="14"/>
  <c r="BO1155" i="14"/>
  <c r="BO1157" i="14" s="1"/>
  <c r="BO1159" i="14" s="1"/>
  <c r="BO1156" i="14"/>
  <c r="BR1156" i="14"/>
  <c r="BR1155" i="14"/>
  <c r="BR1157" i="14" s="1"/>
  <c r="BR1159" i="14" s="1"/>
  <c r="K1155" i="14"/>
  <c r="K1156" i="14"/>
  <c r="BU1155" i="14"/>
  <c r="BU1157" i="14" s="1"/>
  <c r="BU1159" i="14" s="1"/>
  <c r="BU1156" i="14"/>
  <c r="BD1155" i="14"/>
  <c r="BD1157" i="14" s="1"/>
  <c r="BD1159" i="14" s="1"/>
  <c r="BD1156" i="14"/>
  <c r="AX1155" i="14"/>
  <c r="AX1157" i="14" s="1"/>
  <c r="AX1159" i="14" s="1"/>
  <c r="AX1156" i="14"/>
  <c r="AB1156" i="14"/>
  <c r="AB1155" i="14"/>
  <c r="AB1157" i="14" s="1"/>
  <c r="AB1159" i="14" s="1"/>
  <c r="BT1155" i="14"/>
  <c r="BT1157" i="14" s="1"/>
  <c r="BT1159" i="14" s="1"/>
  <c r="BT1156" i="14"/>
  <c r="BC1155" i="14"/>
  <c r="BC1157" i="14" s="1"/>
  <c r="BC1159" i="14" s="1"/>
  <c r="BC1156" i="14"/>
  <c r="AS1155" i="14"/>
  <c r="AS1157" i="14" s="1"/>
  <c r="AS1159" i="14" s="1"/>
  <c r="AS1156" i="14"/>
  <c r="I1155" i="14"/>
  <c r="I1156" i="14"/>
  <c r="BS1156" i="14"/>
  <c r="BS1155" i="14"/>
  <c r="BS1157" i="14" s="1"/>
  <c r="BS1159" i="14" s="1"/>
  <c r="AC1155" i="14"/>
  <c r="AC1157" i="14" s="1"/>
  <c r="AC1159" i="14" s="1"/>
  <c r="AC1156" i="14"/>
  <c r="AR1155" i="14"/>
  <c r="AR1157" i="14" s="1"/>
  <c r="AR1159" i="14" s="1"/>
  <c r="AR1156" i="14"/>
  <c r="AG1155" i="14"/>
  <c r="AG1157" i="14" s="1"/>
  <c r="AG1159" i="14" s="1"/>
  <c r="AG1156" i="14"/>
  <c r="T1155" i="14"/>
  <c r="T1156" i="14"/>
  <c r="BO1081" i="14"/>
  <c r="BO1082" i="14" s="1"/>
  <c r="BO1084" i="14" s="1"/>
  <c r="BA1089" i="14"/>
  <c r="BA1090" i="14" s="1"/>
  <c r="BA1092" i="14" s="1"/>
  <c r="AA1096" i="14"/>
  <c r="AA1097" i="14" s="1"/>
  <c r="AA1099" i="14" s="1"/>
  <c r="O1081" i="14"/>
  <c r="O1082" i="14" s="1"/>
  <c r="O1084" i="14" s="1"/>
  <c r="BV1081" i="14"/>
  <c r="BV1082" i="14" s="1"/>
  <c r="BV1084" i="14" s="1"/>
  <c r="AR1089" i="14"/>
  <c r="AR1090" i="14" s="1"/>
  <c r="AR1092" i="14" s="1"/>
  <c r="BS1089" i="14"/>
  <c r="BS1090" i="14" s="1"/>
  <c r="BS1092" i="14" s="1"/>
  <c r="AT1096" i="14"/>
  <c r="AT1097" i="14" s="1"/>
  <c r="AT1099" i="14" s="1"/>
  <c r="S1081" i="14"/>
  <c r="S1082" i="14" s="1"/>
  <c r="S1084" i="14" s="1"/>
  <c r="AD1089" i="14"/>
  <c r="AD1090" i="14" s="1"/>
  <c r="AD1092" i="14" s="1"/>
  <c r="AI1089" i="14"/>
  <c r="AI1090" i="14" s="1"/>
  <c r="AI1092" i="14" s="1"/>
  <c r="BU1089" i="14"/>
  <c r="BU1090" i="14" s="1"/>
  <c r="BU1092" i="14" s="1"/>
  <c r="AG1081" i="14"/>
  <c r="AG1082" i="14" s="1"/>
  <c r="AG1084" i="14" s="1"/>
  <c r="H1081" i="14"/>
  <c r="H1082" i="14" s="1"/>
  <c r="H1084" i="14" s="1"/>
  <c r="BL1089" i="14"/>
  <c r="BL1090" i="14" s="1"/>
  <c r="BL1092" i="14" s="1"/>
  <c r="BU1096" i="14"/>
  <c r="BU1097" i="14" s="1"/>
  <c r="BU1099" i="14" s="1"/>
  <c r="AK1089" i="14"/>
  <c r="AK1090" i="14" s="1"/>
  <c r="AK1092" i="14" s="1"/>
  <c r="AN1089" i="14"/>
  <c r="AN1090" i="14" s="1"/>
  <c r="AN1092" i="14" s="1"/>
  <c r="AP1089" i="14"/>
  <c r="AP1090" i="14" s="1"/>
  <c r="AP1092" i="14" s="1"/>
  <c r="BQ1089" i="14"/>
  <c r="BQ1090" i="14" s="1"/>
  <c r="BQ1092" i="14" s="1"/>
  <c r="AR1096" i="14"/>
  <c r="AR1097" i="14" s="1"/>
  <c r="AR1099" i="14" s="1"/>
  <c r="W1081" i="14"/>
  <c r="W1082" i="14" s="1"/>
  <c r="W1084" i="14" s="1"/>
  <c r="J1089" i="14"/>
  <c r="J1090" i="14" s="1"/>
  <c r="J1092" i="14" s="1"/>
  <c r="BH1089" i="14"/>
  <c r="BH1090" i="14" s="1"/>
  <c r="BH1092" i="14" s="1"/>
  <c r="AC1096" i="14"/>
  <c r="AC1097" i="14" s="1"/>
  <c r="AC1099" i="14" s="1"/>
  <c r="BJ1096" i="14"/>
  <c r="BJ1097" i="14" s="1"/>
  <c r="BJ1099" i="14" s="1"/>
  <c r="AA1081" i="14"/>
  <c r="AA1082" i="14" s="1"/>
  <c r="AA1084" i="14" s="1"/>
  <c r="BK1089" i="14"/>
  <c r="BK1090" i="14" s="1"/>
  <c r="BK1092" i="14" s="1"/>
  <c r="BP1089" i="14"/>
  <c r="BP1090" i="14" s="1"/>
  <c r="BP1092" i="14" s="1"/>
  <c r="Y1096" i="14"/>
  <c r="Y1097" i="14" s="1"/>
  <c r="Y1099" i="14" s="1"/>
  <c r="V1089" i="14"/>
  <c r="V1090" i="14" s="1"/>
  <c r="V1092" i="14" s="1"/>
  <c r="BU1081" i="14"/>
  <c r="BU1082" i="14" s="1"/>
  <c r="BU1084" i="14" s="1"/>
  <c r="AE1089" i="14"/>
  <c r="AE1090" i="14" s="1"/>
  <c r="AE1092" i="14" s="1"/>
  <c r="BG1096" i="14"/>
  <c r="BG1097" i="14" s="1"/>
  <c r="BG1099" i="14" s="1"/>
  <c r="AM1089" i="14"/>
  <c r="AM1090" i="14" s="1"/>
  <c r="AM1092" i="14" s="1"/>
  <c r="S1096" i="14"/>
  <c r="S1097" i="14" s="1"/>
  <c r="S1099" i="14" s="1"/>
  <c r="BC1089" i="14"/>
  <c r="BC1090" i="14" s="1"/>
  <c r="BC1092" i="14" s="1"/>
  <c r="AS1081" i="14"/>
  <c r="AS1082" i="14" s="1"/>
  <c r="AS1084" i="14" s="1"/>
  <c r="BF1089" i="14"/>
  <c r="BF1090" i="14" s="1"/>
  <c r="BF1092" i="14" s="1"/>
  <c r="AG1096" i="14"/>
  <c r="AG1097" i="14" s="1"/>
  <c r="AG1099" i="14" s="1"/>
  <c r="BH1096" i="14"/>
  <c r="BH1097" i="14" s="1"/>
  <c r="BH1099" i="14" s="1"/>
  <c r="AE1081" i="14"/>
  <c r="AE1082" i="14" s="1"/>
  <c r="AE1084" i="14" s="1"/>
  <c r="R1089" i="14"/>
  <c r="R1090" i="14" s="1"/>
  <c r="R1092" i="14" s="1"/>
  <c r="BX1089" i="14"/>
  <c r="BX1090" i="14" s="1"/>
  <c r="BX1092" i="14" s="1"/>
  <c r="AI1096" i="14"/>
  <c r="AI1097" i="14" s="1"/>
  <c r="AI1099" i="14" s="1"/>
  <c r="AL1081" i="14"/>
  <c r="AL1082" i="14" s="1"/>
  <c r="AL1084" i="14" s="1"/>
  <c r="AM1081" i="14"/>
  <c r="AM1082" i="14" s="1"/>
  <c r="AM1084" i="14" s="1"/>
  <c r="O1096" i="14"/>
  <c r="O1097" i="14" s="1"/>
  <c r="O1099" i="14" s="1"/>
  <c r="AB1081" i="14"/>
  <c r="AB1082" i="14" s="1"/>
  <c r="AB1084" i="14" s="1"/>
  <c r="AQ1096" i="14"/>
  <c r="AQ1097" i="14" s="1"/>
  <c r="AQ1099" i="14" s="1"/>
  <c r="W1089" i="14"/>
  <c r="W1090" i="14" s="1"/>
  <c r="W1092" i="14" s="1"/>
  <c r="BW1081" i="14"/>
  <c r="BW1082" i="14" s="1"/>
  <c r="BW1084" i="14" s="1"/>
  <c r="T1081" i="14"/>
  <c r="T1082" i="14" s="1"/>
  <c r="T1084" i="14" s="1"/>
  <c r="N1096" i="14"/>
  <c r="N1097" i="14" s="1"/>
  <c r="N1099" i="14" s="1"/>
  <c r="BP1096" i="14"/>
  <c r="BP1097" i="14" s="1"/>
  <c r="BP1099" i="14" s="1"/>
  <c r="BV1089" i="14"/>
  <c r="BV1090" i="14" s="1"/>
  <c r="BV1092" i="14" s="1"/>
  <c r="AW1096" i="14"/>
  <c r="AW1097" i="14" s="1"/>
  <c r="AW1099" i="14" s="1"/>
  <c r="BX1096" i="14"/>
  <c r="BX1097" i="14" s="1"/>
  <c r="BX1099" i="14" s="1"/>
  <c r="AU1081" i="14"/>
  <c r="AU1082" i="14" s="1"/>
  <c r="AU1084" i="14" s="1"/>
  <c r="Z1089" i="14"/>
  <c r="Z1090" i="14" s="1"/>
  <c r="Z1092" i="14" s="1"/>
  <c r="M1096" i="14"/>
  <c r="M1097" i="14" s="1"/>
  <c r="M1099" i="14" s="1"/>
  <c r="AY1096" i="14"/>
  <c r="AY1097" i="14" s="1"/>
  <c r="AY1099" i="14" s="1"/>
  <c r="BB1081" i="14"/>
  <c r="BB1082" i="14" s="1"/>
  <c r="BB1084" i="14" s="1"/>
  <c r="BC1081" i="14"/>
  <c r="BC1082" i="14" s="1"/>
  <c r="BC1084" i="14" s="1"/>
  <c r="BA1096" i="14"/>
  <c r="BA1097" i="14" s="1"/>
  <c r="BA1099" i="14" s="1"/>
  <c r="BM1081" i="14"/>
  <c r="BM1082" i="14" s="1"/>
  <c r="BM1084" i="14" s="1"/>
  <c r="AH1081" i="14"/>
  <c r="AH1082" i="14" s="1"/>
  <c r="AH1084" i="14" s="1"/>
  <c r="I1096" i="14"/>
  <c r="I1097" i="14" s="1"/>
  <c r="I1099" i="14" s="1"/>
  <c r="AQ1089" i="14"/>
  <c r="AQ1090" i="14" s="1"/>
  <c r="AQ1092" i="14" s="1"/>
  <c r="L1081" i="14"/>
  <c r="L1082" i="14" s="1"/>
  <c r="L1084" i="14" s="1"/>
  <c r="AY1089" i="14"/>
  <c r="AY1090" i="14" s="1"/>
  <c r="AY1092" i="14" s="1"/>
  <c r="J1096" i="14"/>
  <c r="J1097" i="14" s="1"/>
  <c r="J1099" i="14" s="1"/>
  <c r="BM1096" i="14"/>
  <c r="BM1097" i="14" s="1"/>
  <c r="BM1099" i="14" s="1"/>
  <c r="AJ1081" i="14"/>
  <c r="AJ1082" i="14" s="1"/>
  <c r="AJ1084" i="14" s="1"/>
  <c r="BK1081" i="14"/>
  <c r="BK1082" i="14" s="1"/>
  <c r="BK1084" i="14" s="1"/>
  <c r="AG1089" i="14"/>
  <c r="AG1090" i="14" s="1"/>
  <c r="AG1092" i="14" s="1"/>
  <c r="U1096" i="14"/>
  <c r="U1097" i="14" s="1"/>
  <c r="U1099" i="14" s="1"/>
  <c r="BO1096" i="14"/>
  <c r="BO1097" i="14" s="1"/>
  <c r="BO1099" i="14" s="1"/>
  <c r="BR1081" i="14"/>
  <c r="BR1082" i="14" s="1"/>
  <c r="BR1084" i="14" s="1"/>
  <c r="BS1081" i="14"/>
  <c r="BS1082" i="14" s="1"/>
  <c r="BS1084" i="14" s="1"/>
  <c r="BH1081" i="14"/>
  <c r="BH1082" i="14" s="1"/>
  <c r="BH1084" i="14" s="1"/>
  <c r="M1089" i="14"/>
  <c r="M1090" i="14" s="1"/>
  <c r="M1092" i="14" s="1"/>
  <c r="BE1089" i="14"/>
  <c r="BE1090" i="14" s="1"/>
  <c r="BE1092" i="14" s="1"/>
  <c r="BQ1096" i="14"/>
  <c r="BQ1097" i="14" s="1"/>
  <c r="BQ1099" i="14" s="1"/>
  <c r="AT1081" i="14"/>
  <c r="AT1082" i="14" s="1"/>
  <c r="AT1084" i="14" s="1"/>
  <c r="BL1081" i="14"/>
  <c r="BL1082" i="14" s="1"/>
  <c r="BL1084" i="14" s="1"/>
  <c r="AZ1096" i="14"/>
  <c r="AZ1097" i="14" s="1"/>
  <c r="AZ1099" i="14" s="1"/>
  <c r="K1096" i="14"/>
  <c r="K1097" i="14" s="1"/>
  <c r="K1099" i="14" s="1"/>
  <c r="AY1081" i="14"/>
  <c r="AY1082" i="14" s="1"/>
  <c r="AY1084" i="14" s="1"/>
  <c r="V1096" i="14"/>
  <c r="V1097" i="14" s="1"/>
  <c r="V1099" i="14" s="1"/>
  <c r="R1096" i="14"/>
  <c r="R1097" i="14" s="1"/>
  <c r="R1099" i="14" s="1"/>
  <c r="N1081" i="14"/>
  <c r="N1082" i="14" s="1"/>
  <c r="N1084" i="14" s="1"/>
  <c r="AZ1081" i="14"/>
  <c r="AZ1082" i="14" s="1"/>
  <c r="AZ1084" i="14" s="1"/>
  <c r="AL1089" i="14"/>
  <c r="AL1090" i="14" s="1"/>
  <c r="AL1092" i="14" s="1"/>
  <c r="AW1089" i="14"/>
  <c r="AW1090" i="14" s="1"/>
  <c r="AW1092" i="14" s="1"/>
  <c r="AN1096" i="14"/>
  <c r="AN1097" i="14" s="1"/>
  <c r="AN1099" i="14" s="1"/>
  <c r="I1081" i="14"/>
  <c r="I1082" i="14" s="1"/>
  <c r="I1084" i="14" s="1"/>
  <c r="L1089" i="14"/>
  <c r="L1090" i="14" s="1"/>
  <c r="L1092" i="14" s="1"/>
  <c r="AT1089" i="14"/>
  <c r="AT1090" i="14" s="1"/>
  <c r="AT1092" i="14" s="1"/>
  <c r="AU1089" i="14"/>
  <c r="AU1090" i="14" s="1"/>
  <c r="AU1092" i="14" s="1"/>
  <c r="AZ1089" i="14"/>
  <c r="AZ1090" i="14" s="1"/>
  <c r="AZ1092" i="14" s="1"/>
  <c r="BK1096" i="14"/>
  <c r="BK1097" i="14" s="1"/>
  <c r="BK1099" i="14" s="1"/>
  <c r="AE1096" i="14"/>
  <c r="AE1097" i="14" s="1"/>
  <c r="AE1099" i="14" s="1"/>
  <c r="AB1096" i="14"/>
  <c r="AB1097" i="14" s="1"/>
  <c r="AB1099" i="14" s="1"/>
  <c r="BT1089" i="14"/>
  <c r="BT1090" i="14" s="1"/>
  <c r="BT1092" i="14" s="1"/>
  <c r="AA1089" i="14"/>
  <c r="AA1090" i="14" s="1"/>
  <c r="AA1092" i="14" s="1"/>
  <c r="AI1081" i="14"/>
  <c r="AI1082" i="14" s="1"/>
  <c r="AI1084" i="14" s="1"/>
  <c r="Q1096" i="14"/>
  <c r="Q1097" i="14" s="1"/>
  <c r="Q1099" i="14" s="1"/>
  <c r="BQ1081" i="14"/>
  <c r="BQ1082" i="14" s="1"/>
  <c r="BQ1084" i="14" s="1"/>
  <c r="Z1096" i="14"/>
  <c r="Z1097" i="14" s="1"/>
  <c r="Z1099" i="14" s="1"/>
  <c r="V1081" i="14"/>
  <c r="V1082" i="14" s="1"/>
  <c r="V1084" i="14" s="1"/>
  <c r="BP1081" i="14"/>
  <c r="BP1082" i="14" s="1"/>
  <c r="BP1084" i="14" s="1"/>
  <c r="BB1089" i="14"/>
  <c r="BB1090" i="14" s="1"/>
  <c r="BB1092" i="14" s="1"/>
  <c r="BM1089" i="14"/>
  <c r="BM1090" i="14" s="1"/>
  <c r="BM1092" i="14" s="1"/>
  <c r="BD1096" i="14"/>
  <c r="BD1097" i="14" s="1"/>
  <c r="BD1099" i="14" s="1"/>
  <c r="Q1081" i="14"/>
  <c r="Q1082" i="14" s="1"/>
  <c r="Q1084" i="14" s="1"/>
  <c r="T1089" i="14"/>
  <c r="T1090" i="14" s="1"/>
  <c r="T1092" i="14" s="1"/>
  <c r="BJ1089" i="14"/>
  <c r="BJ1090" i="14" s="1"/>
  <c r="BJ1092" i="14" s="1"/>
  <c r="AK1096" i="14"/>
  <c r="AK1097" i="14" s="1"/>
  <c r="AK1099" i="14" s="1"/>
  <c r="W1096" i="14"/>
  <c r="W1097" i="14" s="1"/>
  <c r="W1099" i="14" s="1"/>
  <c r="U1089" i="14"/>
  <c r="U1090" i="14" s="1"/>
  <c r="U1092" i="14" s="1"/>
  <c r="AF1096" i="14"/>
  <c r="AF1097" i="14" s="1"/>
  <c r="AF1099" i="14" s="1"/>
  <c r="AP1096" i="14"/>
  <c r="AP1097" i="14" s="1"/>
  <c r="AP1099" i="14" s="1"/>
  <c r="BE1096" i="14"/>
  <c r="BE1097" i="14" s="1"/>
  <c r="BE1099" i="14" s="1"/>
  <c r="AL1096" i="14"/>
  <c r="AL1097" i="14" s="1"/>
  <c r="AL1099" i="14" s="1"/>
  <c r="AD1081" i="14"/>
  <c r="AD1082" i="14" s="1"/>
  <c r="AD1084" i="14" s="1"/>
  <c r="I1089" i="14"/>
  <c r="I1090" i="14" s="1"/>
  <c r="I1092" i="14" s="1"/>
  <c r="BR1089" i="14"/>
  <c r="BR1090" i="14" s="1"/>
  <c r="BR1092" i="14" s="1"/>
  <c r="AS1096" i="14"/>
  <c r="AS1097" i="14" s="1"/>
  <c r="AS1099" i="14" s="1"/>
  <c r="BT1096" i="14"/>
  <c r="BT1097" i="14" s="1"/>
  <c r="BT1099" i="14" s="1"/>
  <c r="Y1081" i="14"/>
  <c r="Y1082" i="14" s="1"/>
  <c r="Y1084" i="14" s="1"/>
  <c r="AB1089" i="14"/>
  <c r="AB1090" i="14" s="1"/>
  <c r="AB1092" i="14" s="1"/>
  <c r="H1096" i="14"/>
  <c r="H1097" i="14" s="1"/>
  <c r="H1099" i="14" s="1"/>
  <c r="Z1081" i="14"/>
  <c r="Z1082" i="14" s="1"/>
  <c r="Z1084" i="14" s="1"/>
  <c r="AW1081" i="14"/>
  <c r="AW1082" i="14" s="1"/>
  <c r="AW1084" i="14" s="1"/>
  <c r="AO1089" i="14"/>
  <c r="AO1090" i="14" s="1"/>
  <c r="AO1092" i="14" s="1"/>
  <c r="BD1081" i="14"/>
  <c r="BD1082" i="14" s="1"/>
  <c r="BD1084" i="14" s="1"/>
  <c r="AX1081" i="14"/>
  <c r="AX1082" i="14" s="1"/>
  <c r="AX1084" i="14" s="1"/>
  <c r="X1089" i="14"/>
  <c r="X1090" i="14" s="1"/>
  <c r="X1092" i="14" s="1"/>
  <c r="O1089" i="14"/>
  <c r="O1090" i="14" s="1"/>
  <c r="O1092" i="14" s="1"/>
  <c r="BB1096" i="14"/>
  <c r="BB1097" i="14" s="1"/>
  <c r="BB1099" i="14" s="1"/>
  <c r="AO1081" i="14"/>
  <c r="AO1082" i="14" s="1"/>
  <c r="AO1084" i="14" s="1"/>
  <c r="Q1089" i="14"/>
  <c r="Q1090" i="14" s="1"/>
  <c r="Q1092" i="14" s="1"/>
  <c r="L1096" i="14"/>
  <c r="L1097" i="14" s="1"/>
  <c r="L1099" i="14" s="1"/>
  <c r="BI1096" i="14"/>
  <c r="BI1097" i="14" s="1"/>
  <c r="BI1099" i="14" s="1"/>
  <c r="AF1081" i="14"/>
  <c r="AF1082" i="14" s="1"/>
  <c r="AF1084" i="14" s="1"/>
  <c r="AQ1081" i="14"/>
  <c r="AQ1082" i="14" s="1"/>
  <c r="AQ1084" i="14" s="1"/>
  <c r="AS1089" i="14"/>
  <c r="AS1090" i="14" s="1"/>
  <c r="AS1092" i="14" s="1"/>
  <c r="P1096" i="14"/>
  <c r="P1097" i="14" s="1"/>
  <c r="P1099" i="14" s="1"/>
  <c r="AR1081" i="14"/>
  <c r="AR1082" i="14" s="1"/>
  <c r="AR1084" i="14" s="1"/>
  <c r="N1089" i="14"/>
  <c r="N1090" i="14" s="1"/>
  <c r="N1092" i="14" s="1"/>
  <c r="AU1096" i="14"/>
  <c r="AU1097" i="14" s="1"/>
  <c r="AU1099" i="14" s="1"/>
  <c r="BD1089" i="14"/>
  <c r="BD1090" i="14" s="1"/>
  <c r="BD1092" i="14" s="1"/>
  <c r="BY1089" i="14"/>
  <c r="BY1090" i="14" s="1"/>
  <c r="BY1092" i="14" s="1"/>
  <c r="AM1096" i="14"/>
  <c r="AM1097" i="14" s="1"/>
  <c r="AM1099" i="14" s="1"/>
  <c r="BN1089" i="14"/>
  <c r="BN1090" i="14" s="1"/>
  <c r="BN1092" i="14" s="1"/>
  <c r="BA1081" i="14"/>
  <c r="BA1082" i="14" s="1"/>
  <c r="BA1084" i="14" s="1"/>
  <c r="BL1096" i="14"/>
  <c r="BL1097" i="14" s="1"/>
  <c r="BL1099" i="14" s="1"/>
  <c r="BR1096" i="14"/>
  <c r="BR1097" i="14" s="1"/>
  <c r="BR1099" i="14" s="1"/>
  <c r="BE1081" i="14"/>
  <c r="BE1082" i="14" s="1"/>
  <c r="BE1084" i="14" s="1"/>
  <c r="Y1089" i="14"/>
  <c r="Y1090" i="14" s="1"/>
  <c r="Y1092" i="14" s="1"/>
  <c r="T1096" i="14"/>
  <c r="T1097" i="14" s="1"/>
  <c r="T1099" i="14" s="1"/>
  <c r="BY1096" i="14"/>
  <c r="BY1097" i="14" s="1"/>
  <c r="BY1099" i="14" s="1"/>
  <c r="AV1081" i="14"/>
  <c r="AV1082" i="14" s="1"/>
  <c r="AV1084" i="14" s="1"/>
  <c r="BG1081" i="14"/>
  <c r="BG1082" i="14" s="1"/>
  <c r="BG1084" i="14" s="1"/>
  <c r="BI1089" i="14"/>
  <c r="BI1090" i="14" s="1"/>
  <c r="BI1092" i="14" s="1"/>
  <c r="X1096" i="14"/>
  <c r="X1097" i="14" s="1"/>
  <c r="X1099" i="14" s="1"/>
  <c r="BY1081" i="14"/>
  <c r="BY1082" i="14" s="1"/>
  <c r="BY1084" i="14" s="1"/>
  <c r="AJ1089" i="14"/>
  <c r="AJ1090" i="14" s="1"/>
  <c r="AJ1092" i="14" s="1"/>
  <c r="AV1096" i="14"/>
  <c r="AV1097" i="14" s="1"/>
  <c r="AV1099" i="14" s="1"/>
  <c r="AJ1096" i="14"/>
  <c r="AJ1097" i="14" s="1"/>
  <c r="AJ1099" i="14" s="1"/>
  <c r="AP1081" i="14"/>
  <c r="AP1082" i="14" s="1"/>
  <c r="AP1084" i="14" s="1"/>
  <c r="BS1096" i="14"/>
  <c r="BS1097" i="14" s="1"/>
  <c r="BS1099" i="14" s="1"/>
  <c r="K1081" i="14"/>
  <c r="K1082" i="14" s="1"/>
  <c r="K1084" i="14" s="1"/>
  <c r="M1081" i="14"/>
  <c r="M1082" i="14" s="1"/>
  <c r="M1084" i="14" s="1"/>
  <c r="BJ1081" i="14"/>
  <c r="BJ1082" i="14" s="1"/>
  <c r="BJ1084" i="14" s="1"/>
  <c r="AF1089" i="14"/>
  <c r="AF1090" i="14" s="1"/>
  <c r="AF1092" i="14" s="1"/>
  <c r="BG1089" i="14"/>
  <c r="BG1090" i="14" s="1"/>
  <c r="BG1092" i="14" s="1"/>
  <c r="AH1096" i="14"/>
  <c r="AH1097" i="14" s="1"/>
  <c r="AH1099" i="14" s="1"/>
  <c r="P1081" i="14"/>
  <c r="P1082" i="14" s="1"/>
  <c r="P1084" i="14" s="1"/>
  <c r="K1089" i="14"/>
  <c r="K1090" i="14" s="1"/>
  <c r="K1092" i="14" s="1"/>
  <c r="AH1089" i="14"/>
  <c r="AH1090" i="14" s="1"/>
  <c r="AH1092" i="14" s="1"/>
  <c r="AD1096" i="14"/>
  <c r="AD1097" i="14" s="1"/>
  <c r="AD1099" i="14" s="1"/>
  <c r="BF1096" i="14"/>
  <c r="BF1097" i="14" s="1"/>
  <c r="BF1099" i="14" s="1"/>
  <c r="BO1089" i="14"/>
  <c r="BO1090" i="14" s="1"/>
  <c r="BO1092" i="14" s="1"/>
  <c r="BW1096" i="14"/>
  <c r="BW1097" i="14" s="1"/>
  <c r="BW1099" i="14" s="1"/>
  <c r="R1081" i="14"/>
  <c r="R1082" i="14" s="1"/>
  <c r="R1084" i="14" s="1"/>
  <c r="BN1081" i="14"/>
  <c r="BN1082" i="14" s="1"/>
  <c r="BN1084" i="14" s="1"/>
  <c r="P1089" i="14"/>
  <c r="P1090" i="14" s="1"/>
  <c r="P1092" i="14" s="1"/>
  <c r="AK1081" i="14"/>
  <c r="AK1082" i="14" s="1"/>
  <c r="AK1084" i="14" s="1"/>
  <c r="BC1096" i="14"/>
  <c r="BC1097" i="14" s="1"/>
  <c r="BC1099" i="14" s="1"/>
  <c r="BX1081" i="14"/>
  <c r="BX1082" i="14" s="1"/>
  <c r="BX1084" i="14" s="1"/>
  <c r="U1081" i="14"/>
  <c r="U1082" i="14" s="1"/>
  <c r="U1084" i="14" s="1"/>
  <c r="H1089" i="14"/>
  <c r="H1090" i="14" s="1"/>
  <c r="H1092" i="14" s="1"/>
  <c r="AV1089" i="14"/>
  <c r="AV1090" i="14" s="1"/>
  <c r="AV1092" i="14" s="1"/>
  <c r="BW1089" i="14"/>
  <c r="BW1090" i="14" s="1"/>
  <c r="BW1092" i="14" s="1"/>
  <c r="AX1096" i="14"/>
  <c r="AX1097" i="14" s="1"/>
  <c r="AX1099" i="14" s="1"/>
  <c r="X1081" i="14"/>
  <c r="X1082" i="14" s="1"/>
  <c r="X1084" i="14" s="1"/>
  <c r="S1089" i="14"/>
  <c r="S1090" i="14" s="1"/>
  <c r="S1092" i="14" s="1"/>
  <c r="AX1089" i="14"/>
  <c r="AX1090" i="14" s="1"/>
  <c r="AX1092" i="14" s="1"/>
  <c r="AO1096" i="14"/>
  <c r="AO1097" i="14" s="1"/>
  <c r="AO1099" i="14" s="1"/>
  <c r="BV1096" i="14"/>
  <c r="BV1097" i="14" s="1"/>
  <c r="BV1099" i="14" s="1"/>
  <c r="BI1081" i="14"/>
  <c r="BI1082" i="14" s="1"/>
  <c r="BI1084" i="14" s="1"/>
  <c r="J1081" i="14"/>
  <c r="J1082" i="14" s="1"/>
  <c r="J1084" i="14" s="1"/>
  <c r="BT1081" i="14"/>
  <c r="BT1082" i="14" s="1"/>
  <c r="BT1084" i="14" s="1"/>
  <c r="AC1089" i="14"/>
  <c r="AC1090" i="14" s="1"/>
  <c r="AC1092" i="14" s="1"/>
  <c r="AC1081" i="14"/>
  <c r="AC1082" i="14" s="1"/>
  <c r="AC1084" i="14" s="1"/>
  <c r="BN1096" i="14"/>
  <c r="BN1097" i="14" s="1"/>
  <c r="BN1099" i="14" s="1"/>
  <c r="AN1081" i="14"/>
  <c r="AN1082" i="14" s="1"/>
  <c r="AN1084" i="14" s="1"/>
  <c r="BF1081" i="14"/>
  <c r="BF1082" i="14" s="1"/>
  <c r="BF1084" i="14" s="1"/>
  <c r="BF1155" i="14"/>
  <c r="BF1157" i="14" s="1"/>
  <c r="BF1159" i="14" s="1"/>
  <c r="BF1156" i="14"/>
  <c r="AQ1156" i="14"/>
  <c r="AQ1155" i="14"/>
  <c r="AQ1157" i="14" s="1"/>
  <c r="AQ1159" i="14" s="1"/>
  <c r="W1156" i="14"/>
  <c r="W1155" i="14"/>
  <c r="BQ1155" i="14"/>
  <c r="BQ1157" i="14" s="1"/>
  <c r="BQ1159" i="14" s="1"/>
  <c r="BQ1156" i="14"/>
  <c r="BA1156" i="14"/>
  <c r="BA1155" i="14"/>
  <c r="BA1157" i="14" s="1"/>
  <c r="BA1159" i="14" s="1"/>
  <c r="P1156" i="14"/>
  <c r="P1155" i="14"/>
  <c r="W1124" i="14"/>
  <c r="AA1124" i="14"/>
  <c r="R1125" i="14"/>
  <c r="R1127" i="14" s="1"/>
  <c r="AD1124" i="14"/>
  <c r="S1124" i="14"/>
  <c r="T1124" i="14"/>
  <c r="T1125" i="14" s="1"/>
  <c r="T1127" i="14" s="1"/>
  <c r="AB1366" i="14"/>
  <c r="AI1366" i="14"/>
  <c r="AD1366" i="14"/>
  <c r="AA1366" i="14"/>
  <c r="AE1366" i="14"/>
  <c r="AH1366" i="14"/>
  <c r="AC1366" i="14"/>
  <c r="Z1366" i="14"/>
  <c r="L1124" i="14"/>
  <c r="AE231" i="14"/>
  <c r="AE232" i="14"/>
  <c r="AE233" i="14"/>
  <c r="Y1124" i="14"/>
  <c r="Z231" i="14"/>
  <c r="Z233" i="14"/>
  <c r="Z232" i="14"/>
  <c r="M1124" i="14"/>
  <c r="AC231" i="14"/>
  <c r="AC233" i="14"/>
  <c r="AC232" i="14"/>
  <c r="AH231" i="14"/>
  <c r="AH233" i="14"/>
  <c r="AH232" i="14"/>
  <c r="AB1124" i="14"/>
  <c r="AC1124" i="14"/>
  <c r="AB231" i="14"/>
  <c r="AB232" i="14"/>
  <c r="AB233" i="14"/>
  <c r="Q1124" i="14"/>
  <c r="X1124" i="14"/>
  <c r="K1124" i="14"/>
  <c r="AD231" i="14"/>
  <c r="AD232" i="14"/>
  <c r="AD233" i="14"/>
  <c r="AI231" i="14"/>
  <c r="AI232" i="14"/>
  <c r="AI233" i="14"/>
  <c r="AA231" i="14"/>
  <c r="AA233" i="14"/>
  <c r="AA232" i="14"/>
  <c r="AG231" i="14"/>
  <c r="AG232" i="14"/>
  <c r="AG233" i="14"/>
  <c r="H1123" i="14"/>
  <c r="H1124" i="14"/>
  <c r="O1124" i="14"/>
  <c r="I1123" i="14"/>
  <c r="I1124" i="14"/>
  <c r="Z1124" i="14"/>
  <c r="AF231" i="14"/>
  <c r="AF232" i="14"/>
  <c r="AF233" i="14"/>
  <c r="AG1366" i="14"/>
  <c r="U1123" i="14"/>
  <c r="U1124" i="14"/>
  <c r="AF1366" i="14"/>
  <c r="J1124" i="14"/>
  <c r="P1112" i="14" l="1"/>
  <c r="P1363" i="14"/>
  <c r="BC1121" i="14"/>
  <c r="BC1123" i="14" s="1"/>
  <c r="BC1125" i="14" s="1"/>
  <c r="BC1127" i="14" s="1"/>
  <c r="N1123" i="14"/>
  <c r="N1125" i="14" s="1"/>
  <c r="N1127" i="14" s="1"/>
  <c r="BQ1123" i="14"/>
  <c r="BQ1125" i="14" s="1"/>
  <c r="BQ1127" i="14" s="1"/>
  <c r="BE1121" i="14"/>
  <c r="BE1123" i="14" s="1"/>
  <c r="BE1125" i="14" s="1"/>
  <c r="BE1127" i="14" s="1"/>
  <c r="BK1123" i="14"/>
  <c r="BK1125" i="14" s="1"/>
  <c r="BK1127" i="14" s="1"/>
  <c r="I84" i="14"/>
  <c r="I1199" i="14"/>
  <c r="BY84" i="14"/>
  <c r="BY1199" i="14"/>
  <c r="BY1365" i="14" s="1"/>
  <c r="AH84" i="14"/>
  <c r="AH1199" i="14"/>
  <c r="AH1365" i="14" s="1"/>
  <c r="BH84" i="14"/>
  <c r="BH1199" i="14"/>
  <c r="BH1365" i="14" s="1"/>
  <c r="W1199" i="14"/>
  <c r="W1365" i="14" s="1"/>
  <c r="W84" i="14"/>
  <c r="AH1112" i="14"/>
  <c r="AH1363" i="14"/>
  <c r="J1112" i="14"/>
  <c r="J1363" i="14"/>
  <c r="AM1112" i="14"/>
  <c r="AM1363" i="14"/>
  <c r="AI1112" i="14"/>
  <c r="AI1363" i="14"/>
  <c r="AF84" i="14"/>
  <c r="AF1199" i="14"/>
  <c r="AF1365" i="14" s="1"/>
  <c r="BW84" i="14"/>
  <c r="BW1199" i="14"/>
  <c r="BW1365" i="14" s="1"/>
  <c r="AY84" i="14"/>
  <c r="AY1199" i="14"/>
  <c r="AY1365" i="14" s="1"/>
  <c r="AB84" i="14"/>
  <c r="AB1199" i="14"/>
  <c r="AB1365" i="14" s="1"/>
  <c r="Y84" i="14"/>
  <c r="Y1199" i="14"/>
  <c r="Y1365" i="14" s="1"/>
  <c r="BN1112" i="14"/>
  <c r="BN1363" i="14"/>
  <c r="Y1112" i="14"/>
  <c r="Y1363" i="14"/>
  <c r="AK1112" i="14"/>
  <c r="AK1363" i="14"/>
  <c r="BK1112" i="14"/>
  <c r="BK1363" i="14"/>
  <c r="AD1125" i="14"/>
  <c r="AD1127" i="14" s="1"/>
  <c r="BS1121" i="14"/>
  <c r="BS1123" i="14" s="1"/>
  <c r="BS1125" i="14" s="1"/>
  <c r="BS1127" i="14" s="1"/>
  <c r="J1121" i="14"/>
  <c r="J1123" i="14" s="1"/>
  <c r="P1121" i="14"/>
  <c r="P1123" i="14" s="1"/>
  <c r="P1125" i="14" s="1"/>
  <c r="P1127" i="14" s="1"/>
  <c r="AU1123" i="14"/>
  <c r="AU1125" i="14" s="1"/>
  <c r="AU1127" i="14" s="1"/>
  <c r="AJ1121" i="14"/>
  <c r="AJ1123" i="14" s="1"/>
  <c r="AJ1125" i="14" s="1"/>
  <c r="AJ1127" i="14" s="1"/>
  <c r="AM84" i="14"/>
  <c r="AM1199" i="14"/>
  <c r="AM1365" i="14" s="1"/>
  <c r="BT84" i="14"/>
  <c r="BT1199" i="14"/>
  <c r="BT1365" i="14" s="1"/>
  <c r="H84" i="14"/>
  <c r="H1199" i="14"/>
  <c r="BX84" i="14"/>
  <c r="BX1199" i="14"/>
  <c r="BX1365" i="14" s="1"/>
  <c r="AW84" i="14"/>
  <c r="AW1199" i="14"/>
  <c r="AW1365" i="14" s="1"/>
  <c r="T1112" i="14"/>
  <c r="T1363" i="14"/>
  <c r="BV1112" i="14"/>
  <c r="BV1363" i="14"/>
  <c r="K1363" i="14"/>
  <c r="K1112" i="14"/>
  <c r="AC1363" i="14"/>
  <c r="AC1112" i="14"/>
  <c r="AL84" i="14"/>
  <c r="AL1199" i="14"/>
  <c r="AL1365" i="14" s="1"/>
  <c r="I203" i="14"/>
  <c r="J203" i="14"/>
  <c r="J204" i="14" s="1"/>
  <c r="AZ84" i="14"/>
  <c r="AZ1199" i="14"/>
  <c r="AZ1365" i="14" s="1"/>
  <c r="AC84" i="14"/>
  <c r="AC1199" i="14"/>
  <c r="AC1365" i="14" s="1"/>
  <c r="AD84" i="14"/>
  <c r="AD1199" i="14"/>
  <c r="AD1365" i="14" s="1"/>
  <c r="BB84" i="14"/>
  <c r="BB1199" i="14"/>
  <c r="BB1365" i="14" s="1"/>
  <c r="AP1112" i="14"/>
  <c r="AP1363" i="14"/>
  <c r="BL1112" i="14"/>
  <c r="BL1363" i="14"/>
  <c r="AR1112" i="14"/>
  <c r="AR1363" i="14"/>
  <c r="BA1112" i="14"/>
  <c r="BA1363" i="14"/>
  <c r="AE84" i="14"/>
  <c r="AE1199" i="14"/>
  <c r="AE1365" i="14" s="1"/>
  <c r="AA1121" i="14"/>
  <c r="AA1123" i="14" s="1"/>
  <c r="AA1125" i="14" s="1"/>
  <c r="AA1127" i="14" s="1"/>
  <c r="AR1121" i="14"/>
  <c r="AR1123" i="14" s="1"/>
  <c r="AR1125" i="14" s="1"/>
  <c r="AR1127" i="14" s="1"/>
  <c r="BX1121" i="14"/>
  <c r="BX1123" i="14" s="1"/>
  <c r="BX1125" i="14" s="1"/>
  <c r="BX1127" i="14" s="1"/>
  <c r="BJ1123" i="14"/>
  <c r="BJ1125" i="14" s="1"/>
  <c r="BJ1127" i="14" s="1"/>
  <c r="X84" i="14"/>
  <c r="X1199" i="14"/>
  <c r="X1365" i="14" s="1"/>
  <c r="P217" i="14"/>
  <c r="P1239" i="14" s="1"/>
  <c r="K217" i="14"/>
  <c r="R217" i="14"/>
  <c r="O217" i="14"/>
  <c r="S217" i="14"/>
  <c r="L217" i="14"/>
  <c r="T217" i="14"/>
  <c r="T1239" i="14" s="1"/>
  <c r="M217" i="14"/>
  <c r="M1239" i="14" s="1"/>
  <c r="U217" i="14"/>
  <c r="U1239" i="14" s="1"/>
  <c r="W217" i="14"/>
  <c r="W1239" i="14" s="1"/>
  <c r="V217" i="14"/>
  <c r="N217" i="14"/>
  <c r="X217" i="14"/>
  <c r="Y217" i="14"/>
  <c r="Y1239" i="14" s="1"/>
  <c r="Q217" i="14"/>
  <c r="Q1239" i="14" s="1"/>
  <c r="AK84" i="14"/>
  <c r="AK1199" i="14"/>
  <c r="AK1365" i="14" s="1"/>
  <c r="AS84" i="14"/>
  <c r="AS1199" i="14"/>
  <c r="AS1365" i="14" s="1"/>
  <c r="J84" i="14"/>
  <c r="J1199" i="14"/>
  <c r="BE1363" i="14"/>
  <c r="BE1112" i="14"/>
  <c r="I1112" i="14"/>
  <c r="I1363" i="14"/>
  <c r="Q1112" i="14"/>
  <c r="Q1363" i="14"/>
  <c r="N1112" i="14"/>
  <c r="N1363" i="14"/>
  <c r="K74" i="14"/>
  <c r="K75" i="14" s="1"/>
  <c r="J74" i="14"/>
  <c r="J75" i="14" s="1"/>
  <c r="I74" i="14"/>
  <c r="U1112" i="14"/>
  <c r="U1363" i="14"/>
  <c r="Z1121" i="14"/>
  <c r="Z1123" i="14" s="1"/>
  <c r="Q1121" i="14"/>
  <c r="Q1123" i="14" s="1"/>
  <c r="BN1123" i="14"/>
  <c r="BN1125" i="14" s="1"/>
  <c r="BN1127" i="14" s="1"/>
  <c r="AL1121" i="14"/>
  <c r="AL1123" i="14" s="1"/>
  <c r="AL1125" i="14" s="1"/>
  <c r="AL1127" i="14" s="1"/>
  <c r="V84" i="14"/>
  <c r="V1199" i="14"/>
  <c r="V1365" i="14" s="1"/>
  <c r="BE84" i="14"/>
  <c r="BE1199" i="14"/>
  <c r="BE1365" i="14" s="1"/>
  <c r="AA84" i="14"/>
  <c r="AA1199" i="14"/>
  <c r="AA1365" i="14" s="1"/>
  <c r="BG84" i="14"/>
  <c r="BG1199" i="14"/>
  <c r="BG1365" i="14" s="1"/>
  <c r="BP1112" i="14"/>
  <c r="BP1363" i="14"/>
  <c r="R1112" i="14"/>
  <c r="R1363" i="14"/>
  <c r="BB1363" i="14"/>
  <c r="BB1112" i="14"/>
  <c r="BJ1112" i="14"/>
  <c r="BJ1363" i="14"/>
  <c r="S1363" i="14"/>
  <c r="S1112" i="14"/>
  <c r="BA1123" i="14"/>
  <c r="BA1125" i="14" s="1"/>
  <c r="BA1127" i="14" s="1"/>
  <c r="K216" i="14"/>
  <c r="K1221" i="14" s="1"/>
  <c r="T216" i="14"/>
  <c r="W216" i="14"/>
  <c r="W1221" i="14" s="1"/>
  <c r="S216" i="14"/>
  <c r="G501" i="11"/>
  <c r="G502" i="11" s="1"/>
  <c r="M216" i="14"/>
  <c r="M1221" i="14" s="1"/>
  <c r="X216" i="14"/>
  <c r="X1221" i="14" s="1"/>
  <c r="N216" i="14"/>
  <c r="N1221" i="14" s="1"/>
  <c r="Y216" i="14"/>
  <c r="Q216" i="14"/>
  <c r="Q1221" i="14" s="1"/>
  <c r="O216" i="14"/>
  <c r="V216" i="14"/>
  <c r="U216" i="14"/>
  <c r="P216" i="14"/>
  <c r="P1221" i="14" s="1"/>
  <c r="R216" i="14"/>
  <c r="R1221" i="14" s="1"/>
  <c r="L216" i="14"/>
  <c r="BL84" i="14"/>
  <c r="BL1199" i="14"/>
  <c r="BL1365" i="14" s="1"/>
  <c r="AP84" i="14"/>
  <c r="AP1199" i="14"/>
  <c r="AP1365" i="14" s="1"/>
  <c r="BN84" i="14"/>
  <c r="BN1199" i="14"/>
  <c r="BN1365" i="14" s="1"/>
  <c r="BQ1363" i="14"/>
  <c r="BQ1112" i="14"/>
  <c r="AW1363" i="14"/>
  <c r="AW1112" i="14"/>
  <c r="BM1112" i="14"/>
  <c r="BM1363" i="14"/>
  <c r="BO1112" i="14"/>
  <c r="BO1363" i="14"/>
  <c r="AU1112" i="14"/>
  <c r="AU1363" i="14"/>
  <c r="M1121" i="14"/>
  <c r="M1123" i="14" s="1"/>
  <c r="AZ1121" i="14"/>
  <c r="AZ1123" i="14" s="1"/>
  <c r="AZ1125" i="14" s="1"/>
  <c r="AZ1127" i="14" s="1"/>
  <c r="AO1121" i="14"/>
  <c r="AO1123" i="14" s="1"/>
  <c r="AO1125" i="14" s="1"/>
  <c r="AO1127" i="14" s="1"/>
  <c r="BV1121" i="14"/>
  <c r="BV1123" i="14" s="1"/>
  <c r="BV1125" i="14" s="1"/>
  <c r="BV1127" i="14" s="1"/>
  <c r="S84" i="14"/>
  <c r="S1199" i="14"/>
  <c r="S1365" i="14" s="1"/>
  <c r="AT84" i="14"/>
  <c r="AT1199" i="14"/>
  <c r="AT1365" i="14" s="1"/>
  <c r="J210" i="14"/>
  <c r="J211" i="14" s="1"/>
  <c r="I210" i="14"/>
  <c r="BD84" i="14"/>
  <c r="BD1199" i="14"/>
  <c r="BD1365" i="14" s="1"/>
  <c r="AG1112" i="14"/>
  <c r="AG1363" i="14"/>
  <c r="BY1112" i="14"/>
  <c r="BY1363" i="14"/>
  <c r="AQ1112" i="14"/>
  <c r="AQ1363" i="14"/>
  <c r="AB1112" i="14"/>
  <c r="AB1363" i="14"/>
  <c r="AN1112" i="14"/>
  <c r="AN1363" i="14"/>
  <c r="BI1363" i="14"/>
  <c r="BI1112" i="14"/>
  <c r="BH1121" i="14"/>
  <c r="BH1123" i="14" s="1"/>
  <c r="BH1125" i="14" s="1"/>
  <c r="BH1127" i="14" s="1"/>
  <c r="BU1121" i="14"/>
  <c r="BU1123" i="14" s="1"/>
  <c r="BU1125" i="14" s="1"/>
  <c r="BU1127" i="14" s="1"/>
  <c r="BR1121" i="14"/>
  <c r="W1121" i="14"/>
  <c r="W1123" i="14" s="1"/>
  <c r="W1125" i="14" s="1"/>
  <c r="W1127" i="14" s="1"/>
  <c r="BP84" i="14"/>
  <c r="BP1199" i="14"/>
  <c r="BP1365" i="14" s="1"/>
  <c r="AI84" i="14"/>
  <c r="AI1199" i="14"/>
  <c r="AI1365" i="14" s="1"/>
  <c r="U84" i="14"/>
  <c r="U1199" i="14"/>
  <c r="U1365" i="14" s="1"/>
  <c r="T84" i="14"/>
  <c r="T1199" i="14"/>
  <c r="T1365" i="14" s="1"/>
  <c r="W1112" i="14"/>
  <c r="W1363" i="14"/>
  <c r="Z1363" i="14"/>
  <c r="Z1112" i="14"/>
  <c r="AV1363" i="14"/>
  <c r="AV1112" i="14"/>
  <c r="AL1112" i="14"/>
  <c r="AL1363" i="14"/>
  <c r="AS1112" i="14"/>
  <c r="AS1363" i="14"/>
  <c r="BG1363" i="14"/>
  <c r="BG1112" i="14"/>
  <c r="BY1123" i="14"/>
  <c r="BY1125" i="14" s="1"/>
  <c r="BY1127" i="14" s="1"/>
  <c r="K1121" i="14"/>
  <c r="K1123" i="14" s="1"/>
  <c r="Y1121" i="14"/>
  <c r="Y1123" i="14" s="1"/>
  <c r="Y1125" i="14" s="1"/>
  <c r="Y1127" i="14" s="1"/>
  <c r="AE1121" i="14"/>
  <c r="AE1123" i="14" s="1"/>
  <c r="AE1125" i="14" s="1"/>
  <c r="AE1127" i="14" s="1"/>
  <c r="AK1121" i="14"/>
  <c r="AK1123" i="14" s="1"/>
  <c r="AK1125" i="14" s="1"/>
  <c r="AK1127" i="14" s="1"/>
  <c r="AQ84" i="14"/>
  <c r="AQ1199" i="14"/>
  <c r="AQ1365" i="14" s="1"/>
  <c r="BQ84" i="14"/>
  <c r="BQ1199" i="14"/>
  <c r="BQ1365" i="14" s="1"/>
  <c r="BR84" i="14"/>
  <c r="BR1199" i="14"/>
  <c r="BR1365" i="14" s="1"/>
  <c r="AJ84" i="14"/>
  <c r="AJ1199" i="14"/>
  <c r="AJ1365" i="14" s="1"/>
  <c r="V1112" i="14"/>
  <c r="V1363" i="14"/>
  <c r="AO1112" i="14"/>
  <c r="AO1363" i="14"/>
  <c r="BX1363" i="14"/>
  <c r="BX1112" i="14"/>
  <c r="BT1112" i="14"/>
  <c r="BT1363" i="14"/>
  <c r="BS1112" i="14"/>
  <c r="BS1363" i="14"/>
  <c r="AD1123" i="14"/>
  <c r="AQ1121" i="14"/>
  <c r="AQ1123" i="14" s="1"/>
  <c r="AQ1125" i="14" s="1"/>
  <c r="AQ1127" i="14" s="1"/>
  <c r="BG1123" i="14"/>
  <c r="BG1125" i="14" s="1"/>
  <c r="BG1127" i="14" s="1"/>
  <c r="AR84" i="14"/>
  <c r="AR1199" i="14"/>
  <c r="AR1365" i="14" s="1"/>
  <c r="M84" i="14"/>
  <c r="M1199" i="14"/>
  <c r="M1365" i="14" s="1"/>
  <c r="AV84" i="14"/>
  <c r="AV1199" i="14"/>
  <c r="AV1365" i="14" s="1"/>
  <c r="BU84" i="14"/>
  <c r="BU1199" i="14"/>
  <c r="BU1365" i="14" s="1"/>
  <c r="Z84" i="14"/>
  <c r="Z1199" i="14"/>
  <c r="Z1365" i="14" s="1"/>
  <c r="AX1112" i="14"/>
  <c r="AX1363" i="14"/>
  <c r="BD1112" i="14"/>
  <c r="BD1363" i="14"/>
  <c r="AT1112" i="14"/>
  <c r="AT1363" i="14"/>
  <c r="BR1363" i="14"/>
  <c r="BR1112" i="14"/>
  <c r="BM84" i="14"/>
  <c r="BM1199" i="14"/>
  <c r="BM1365" i="14" s="1"/>
  <c r="AB1121" i="14"/>
  <c r="AB1123" i="14" s="1"/>
  <c r="AN1121" i="14"/>
  <c r="AN1123" i="14" s="1"/>
  <c r="AN1125" i="14" s="1"/>
  <c r="AN1127" i="14" s="1"/>
  <c r="AY1121" i="14"/>
  <c r="AY1123" i="14" s="1"/>
  <c r="AY1125" i="14" s="1"/>
  <c r="AY1127" i="14" s="1"/>
  <c r="V1121" i="14"/>
  <c r="AO84" i="14"/>
  <c r="AO1199" i="14"/>
  <c r="AO1365" i="14" s="1"/>
  <c r="L84" i="14"/>
  <c r="L1199" i="14"/>
  <c r="L1365" i="14" s="1"/>
  <c r="AU84" i="14"/>
  <c r="AU1199" i="14"/>
  <c r="AU1365" i="14" s="1"/>
  <c r="Q84" i="14"/>
  <c r="Q1199" i="14"/>
  <c r="Q1365" i="14" s="1"/>
  <c r="BF84" i="14"/>
  <c r="BF1199" i="14"/>
  <c r="BF1365" i="14" s="1"/>
  <c r="H1112" i="14"/>
  <c r="H1363" i="14"/>
  <c r="X1112" i="14"/>
  <c r="X1363" i="14"/>
  <c r="AA1112" i="14"/>
  <c r="AA1363" i="14"/>
  <c r="AY1112" i="14"/>
  <c r="AY1363" i="14"/>
  <c r="AE1112" i="14"/>
  <c r="AE1363" i="14"/>
  <c r="BI84" i="14"/>
  <c r="BI1199" i="14"/>
  <c r="BI1365" i="14" s="1"/>
  <c r="AI1121" i="14"/>
  <c r="AI1123" i="14" s="1"/>
  <c r="AI1125" i="14" s="1"/>
  <c r="AI1127" i="14" s="1"/>
  <c r="BI1123" i="14"/>
  <c r="BI1125" i="14" s="1"/>
  <c r="BI1127" i="14" s="1"/>
  <c r="BL1123" i="14"/>
  <c r="BL1125" i="14" s="1"/>
  <c r="BL1127" i="14" s="1"/>
  <c r="BC84" i="14"/>
  <c r="BC1199" i="14"/>
  <c r="BC1365" i="14" s="1"/>
  <c r="BS84" i="14"/>
  <c r="BS1199" i="14"/>
  <c r="BS1365" i="14" s="1"/>
  <c r="BA84" i="14"/>
  <c r="BA1199" i="14"/>
  <c r="BA1365" i="14" s="1"/>
  <c r="P84" i="14"/>
  <c r="P1199" i="14"/>
  <c r="P1365" i="14" s="1"/>
  <c r="AN84" i="14"/>
  <c r="AN1199" i="14"/>
  <c r="AN1365" i="14" s="1"/>
  <c r="M1112" i="14"/>
  <c r="M1363" i="14"/>
  <c r="O1112" i="14"/>
  <c r="O1363" i="14"/>
  <c r="AF1112" i="14"/>
  <c r="AF1363" i="14"/>
  <c r="L1112" i="14"/>
  <c r="L1363" i="14"/>
  <c r="AP1121" i="14"/>
  <c r="AP1123" i="14" s="1"/>
  <c r="AP1125" i="14" s="1"/>
  <c r="AP1127" i="14" s="1"/>
  <c r="BF1121" i="14"/>
  <c r="BF1123" i="14" s="1"/>
  <c r="BF1125" i="14" s="1"/>
  <c r="BF1127" i="14" s="1"/>
  <c r="AS1121" i="14"/>
  <c r="AS1123" i="14" s="1"/>
  <c r="AS1125" i="14" s="1"/>
  <c r="AS1127" i="14" s="1"/>
  <c r="K84" i="14"/>
  <c r="K1199" i="14"/>
  <c r="O84" i="14"/>
  <c r="O1199" i="14"/>
  <c r="O1365" i="14" s="1"/>
  <c r="AX84" i="14"/>
  <c r="AX1199" i="14"/>
  <c r="AX1365" i="14" s="1"/>
  <c r="BV84" i="14"/>
  <c r="BV1199" i="14"/>
  <c r="BV1365" i="14" s="1"/>
  <c r="BJ84" i="14"/>
  <c r="BJ1199" i="14"/>
  <c r="BJ1365" i="14" s="1"/>
  <c r="BF1112" i="14"/>
  <c r="BF1363" i="14"/>
  <c r="BW1112" i="14"/>
  <c r="BW1363" i="14"/>
  <c r="BH1363" i="14"/>
  <c r="BH1112" i="14"/>
  <c r="AJ1112" i="14"/>
  <c r="AJ1363" i="14"/>
  <c r="BD1073" i="14"/>
  <c r="BD1074" i="14" s="1"/>
  <c r="AJ1073" i="14"/>
  <c r="AJ1074" i="14" s="1"/>
  <c r="AJ1076" i="14" s="1"/>
  <c r="BQ1073" i="14"/>
  <c r="BQ1074" i="14" s="1"/>
  <c r="BQ1076" i="14" s="1"/>
  <c r="AR1073" i="14"/>
  <c r="AR1074" i="14" s="1"/>
  <c r="BT1073" i="14"/>
  <c r="BT1074" i="14" s="1"/>
  <c r="BT1076" i="14" s="1"/>
  <c r="AZ1073" i="14"/>
  <c r="AZ1074" i="14" s="1"/>
  <c r="AZ1076" i="14" s="1"/>
  <c r="AL1073" i="14"/>
  <c r="AL1074" i="14" s="1"/>
  <c r="AL1076" i="14" s="1"/>
  <c r="BL1073" i="14"/>
  <c r="BL1074" i="14" s="1"/>
  <c r="M1073" i="14"/>
  <c r="M1074" i="14" s="1"/>
  <c r="M1076" i="14" s="1"/>
  <c r="BP1073" i="14"/>
  <c r="BP1074" i="14" s="1"/>
  <c r="BP1076" i="14" s="1"/>
  <c r="BB1073" i="14"/>
  <c r="BB1074" i="14" s="1"/>
  <c r="BB1076" i="14" s="1"/>
  <c r="AA1073" i="14"/>
  <c r="AA1074" i="14" s="1"/>
  <c r="U1073" i="14"/>
  <c r="U1074" i="14" s="1"/>
  <c r="U1076" i="14" s="1"/>
  <c r="O1073" i="14"/>
  <c r="O1074" i="14" s="1"/>
  <c r="O1076" i="14" s="1"/>
  <c r="BR1073" i="14"/>
  <c r="BR1074" i="14" s="1"/>
  <c r="BR1076" i="14" s="1"/>
  <c r="AV1073" i="14"/>
  <c r="AV1074" i="14" s="1"/>
  <c r="AV1076" i="14" s="1"/>
  <c r="AC1073" i="14"/>
  <c r="AC1074" i="14" s="1"/>
  <c r="AC1076" i="14" s="1"/>
  <c r="W1073" i="14"/>
  <c r="W1074" i="14" s="1"/>
  <c r="W1076" i="14" s="1"/>
  <c r="K1073" i="14"/>
  <c r="K1074" i="14" s="1"/>
  <c r="K1076" i="14" s="1"/>
  <c r="AW1073" i="14"/>
  <c r="AW1074" i="14" s="1"/>
  <c r="AI1073" i="14"/>
  <c r="AI1074" i="14" s="1"/>
  <c r="AE1073" i="14"/>
  <c r="AE1074" i="14" s="1"/>
  <c r="AE1076" i="14" s="1"/>
  <c r="Q1073" i="14"/>
  <c r="Q1074" i="14" s="1"/>
  <c r="Q1076" i="14" s="1"/>
  <c r="Y1073" i="14"/>
  <c r="Y1074" i="14" s="1"/>
  <c r="Y1076" i="14" s="1"/>
  <c r="AH1073" i="14"/>
  <c r="AH1074" i="14" s="1"/>
  <c r="AY1073" i="14"/>
  <c r="AY1074" i="14" s="1"/>
  <c r="AU1073" i="14"/>
  <c r="AU1074" i="14" s="1"/>
  <c r="BS1073" i="14"/>
  <c r="BS1074" i="14" s="1"/>
  <c r="BS1076" i="14" s="1"/>
  <c r="AF1073" i="14"/>
  <c r="AF1074" i="14" s="1"/>
  <c r="AX1073" i="14"/>
  <c r="AX1074" i="14" s="1"/>
  <c r="AX1076" i="14" s="1"/>
  <c r="BO1073" i="14"/>
  <c r="BO1074" i="14" s="1"/>
  <c r="BK1073" i="14"/>
  <c r="BK1074" i="14" s="1"/>
  <c r="R1073" i="14"/>
  <c r="R1074" i="14" s="1"/>
  <c r="R1076" i="14" s="1"/>
  <c r="AG1073" i="14"/>
  <c r="AG1074" i="14" s="1"/>
  <c r="AG1076" i="14" s="1"/>
  <c r="BN1073" i="14"/>
  <c r="BN1074" i="14" s="1"/>
  <c r="BN1076" i="14" s="1"/>
  <c r="AT1073" i="14"/>
  <c r="AT1074" i="14" s="1"/>
  <c r="AT1076" i="14" s="1"/>
  <c r="AP1073" i="14"/>
  <c r="AP1074" i="14" s="1"/>
  <c r="AP1076" i="14" s="1"/>
  <c r="BC1073" i="14"/>
  <c r="BC1074" i="14" s="1"/>
  <c r="BC1076" i="14" s="1"/>
  <c r="I1073" i="14"/>
  <c r="I1074" i="14" s="1"/>
  <c r="I1076" i="14" s="1"/>
  <c r="BY1073" i="14"/>
  <c r="BY1074" i="14" s="1"/>
  <c r="BE1073" i="14"/>
  <c r="BE1074" i="14" s="1"/>
  <c r="BE1076" i="14" s="1"/>
  <c r="AK1073" i="14"/>
  <c r="AK1074" i="14" s="1"/>
  <c r="AK1076" i="14" s="1"/>
  <c r="BX1073" i="14"/>
  <c r="BX1074" i="14" s="1"/>
  <c r="BX1076" i="14" s="1"/>
  <c r="L1073" i="14"/>
  <c r="L1074" i="14" s="1"/>
  <c r="L1076" i="14" s="1"/>
  <c r="BJ1073" i="14"/>
  <c r="BJ1074" i="14" s="1"/>
  <c r="BJ1076" i="14" s="1"/>
  <c r="BF1073" i="14"/>
  <c r="BF1074" i="14" s="1"/>
  <c r="AM1073" i="14"/>
  <c r="AM1074" i="14" s="1"/>
  <c r="AM1076" i="14" s="1"/>
  <c r="BH1073" i="14"/>
  <c r="BH1074" i="14" s="1"/>
  <c r="T1073" i="14"/>
  <c r="T1074" i="14" s="1"/>
  <c r="T1076" i="14" s="1"/>
  <c r="N1073" i="14"/>
  <c r="N1074" i="14" s="1"/>
  <c r="N1076" i="14" s="1"/>
  <c r="BV1073" i="14"/>
  <c r="BV1074" i="14" s="1"/>
  <c r="BW1073" i="14"/>
  <c r="BW1074" i="14" s="1"/>
  <c r="BM1073" i="14"/>
  <c r="BM1074" i="14" s="1"/>
  <c r="AS1073" i="14"/>
  <c r="AS1074" i="14" s="1"/>
  <c r="AD1073" i="14"/>
  <c r="AD1074" i="14" s="1"/>
  <c r="AD1076" i="14" s="1"/>
  <c r="P1073" i="14"/>
  <c r="P1074" i="14" s="1"/>
  <c r="P1076" i="14" s="1"/>
  <c r="BG1073" i="14"/>
  <c r="BG1074" i="14" s="1"/>
  <c r="BG1076" i="14" s="1"/>
  <c r="AB1073" i="14"/>
  <c r="AB1074" i="14" s="1"/>
  <c r="V1073" i="14"/>
  <c r="V1074" i="14" s="1"/>
  <c r="V1076" i="14" s="1"/>
  <c r="H1073" i="14"/>
  <c r="H1074" i="14" s="1"/>
  <c r="H1076" i="14" s="1"/>
  <c r="S1073" i="14"/>
  <c r="S1074" i="14" s="1"/>
  <c r="S1076" i="14" s="1"/>
  <c r="J1073" i="14"/>
  <c r="J1074" i="14" s="1"/>
  <c r="J1076" i="14" s="1"/>
  <c r="BI1073" i="14"/>
  <c r="BI1074" i="14" s="1"/>
  <c r="AO1073" i="14"/>
  <c r="AO1074" i="14" s="1"/>
  <c r="AO1076" i="14" s="1"/>
  <c r="X1073" i="14"/>
  <c r="X1074" i="14" s="1"/>
  <c r="X1076" i="14" s="1"/>
  <c r="AQ1073" i="14"/>
  <c r="AQ1074" i="14" s="1"/>
  <c r="AN1073" i="14"/>
  <c r="AN1074" i="14" s="1"/>
  <c r="BU1073" i="14"/>
  <c r="BU1074" i="14" s="1"/>
  <c r="BU1076" i="14" s="1"/>
  <c r="BA1073" i="14"/>
  <c r="BA1074" i="14" s="1"/>
  <c r="BA1076" i="14" s="1"/>
  <c r="Z1073" i="14"/>
  <c r="Z1074" i="14" s="1"/>
  <c r="Z1076" i="14" s="1"/>
  <c r="AC1121" i="14"/>
  <c r="AC1123" i="14" s="1"/>
  <c r="O1121" i="14"/>
  <c r="O1123" i="14" s="1"/>
  <c r="BR1122" i="14"/>
  <c r="AG1120" i="14"/>
  <c r="AG1121" i="14" s="1"/>
  <c r="AG1123" i="14" s="1"/>
  <c r="AG1125" i="14" s="1"/>
  <c r="AG1127" i="14" s="1"/>
  <c r="AG84" i="14"/>
  <c r="AG1199" i="14"/>
  <c r="AG1365" i="14" s="1"/>
  <c r="BO84" i="14"/>
  <c r="BO1199" i="14"/>
  <c r="BO1365" i="14" s="1"/>
  <c r="N84" i="14"/>
  <c r="N1199" i="14"/>
  <c r="N1365" i="14" s="1"/>
  <c r="BK84" i="14"/>
  <c r="BK1199" i="14"/>
  <c r="BK1365" i="14" s="1"/>
  <c r="R84" i="14"/>
  <c r="R1199" i="14"/>
  <c r="R1365" i="14" s="1"/>
  <c r="BU1112" i="14"/>
  <c r="BU1363" i="14"/>
  <c r="AZ1112" i="14"/>
  <c r="AZ1363" i="14"/>
  <c r="BC1363" i="14"/>
  <c r="BC1112" i="14"/>
  <c r="AD1112" i="14"/>
  <c r="AD1363" i="14"/>
  <c r="K910" i="14"/>
  <c r="K1356" i="14"/>
  <c r="K1239" i="14"/>
  <c r="L901" i="14"/>
  <c r="L1355" i="14"/>
  <c r="L752" i="14"/>
  <c r="L1221" i="14"/>
  <c r="X910" i="14"/>
  <c r="X1356" i="14"/>
  <c r="J925" i="14"/>
  <c r="J1351" i="14"/>
  <c r="R901" i="14"/>
  <c r="R752" i="14"/>
  <c r="R1355" i="14"/>
  <c r="W1356" i="14"/>
  <c r="W910" i="14"/>
  <c r="C735" i="14"/>
  <c r="I738" i="14"/>
  <c r="N752" i="14"/>
  <c r="N1355" i="14"/>
  <c r="N901" i="14"/>
  <c r="V1356" i="14"/>
  <c r="V910" i="14"/>
  <c r="V1239" i="14"/>
  <c r="Q752" i="14"/>
  <c r="Q901" i="14"/>
  <c r="Q1355" i="14"/>
  <c r="U910" i="14"/>
  <c r="U1356" i="14"/>
  <c r="K901" i="14"/>
  <c r="K752" i="14"/>
  <c r="K1355" i="14"/>
  <c r="Q1356" i="14"/>
  <c r="Q910" i="14"/>
  <c r="Y901" i="14"/>
  <c r="Y752" i="14"/>
  <c r="Y1355" i="14"/>
  <c r="Y1221" i="14"/>
  <c r="O910" i="14"/>
  <c r="O1356" i="14"/>
  <c r="O1239" i="14"/>
  <c r="W901" i="14"/>
  <c r="W752" i="14"/>
  <c r="W1355" i="14"/>
  <c r="L1356" i="14"/>
  <c r="L910" i="14"/>
  <c r="L1239" i="14"/>
  <c r="V752" i="14"/>
  <c r="V1355" i="14"/>
  <c r="V901" i="14"/>
  <c r="V1221" i="14"/>
  <c r="P910" i="14"/>
  <c r="P1356" i="14"/>
  <c r="BR226" i="14"/>
  <c r="BR227" i="14" s="1"/>
  <c r="BR229" i="14" s="1"/>
  <c r="BK226" i="14"/>
  <c r="BK227" i="14" s="1"/>
  <c r="BK229" i="14" s="1"/>
  <c r="X226" i="14"/>
  <c r="BP233" i="14"/>
  <c r="BD233" i="14"/>
  <c r="AX226" i="14"/>
  <c r="AX227" i="14" s="1"/>
  <c r="AX229" i="14" s="1"/>
  <c r="BH232" i="14"/>
  <c r="AN233" i="14"/>
  <c r="H232" i="14"/>
  <c r="AQ232" i="14"/>
  <c r="BB232" i="14"/>
  <c r="AK226" i="14"/>
  <c r="AK227" i="14" s="1"/>
  <c r="AK229" i="14" s="1"/>
  <c r="AG226" i="14"/>
  <c r="AG227" i="14" s="1"/>
  <c r="AG229" i="14" s="1"/>
  <c r="U226" i="14"/>
  <c r="AE226" i="14"/>
  <c r="AE227" i="14" s="1"/>
  <c r="AE229" i="14" s="1"/>
  <c r="K226" i="14"/>
  <c r="BA233" i="14"/>
  <c r="Q226" i="14"/>
  <c r="BQ233" i="14"/>
  <c r="BW233" i="14"/>
  <c r="AO232" i="14"/>
  <c r="BP232" i="14"/>
  <c r="BC233" i="14"/>
  <c r="AQ226" i="14"/>
  <c r="AQ227" i="14" s="1"/>
  <c r="AQ229" i="14" s="1"/>
  <c r="AB226" i="14"/>
  <c r="AB227" i="14" s="1"/>
  <c r="AB229" i="14" s="1"/>
  <c r="AM226" i="14"/>
  <c r="AM227" i="14" s="1"/>
  <c r="AM229" i="14" s="1"/>
  <c r="AU226" i="14"/>
  <c r="AU227" i="14" s="1"/>
  <c r="AU229" i="14" s="1"/>
  <c r="AC226" i="14"/>
  <c r="AC227" i="14" s="1"/>
  <c r="AC229" i="14" s="1"/>
  <c r="BW226" i="14"/>
  <c r="BW227" i="14" s="1"/>
  <c r="BW229" i="14" s="1"/>
  <c r="AN232" i="14"/>
  <c r="AW233" i="14"/>
  <c r="AM232" i="14"/>
  <c r="BY232" i="14"/>
  <c r="BI232" i="14"/>
  <c r="BS226" i="14"/>
  <c r="BS227" i="14" s="1"/>
  <c r="BS229" i="14" s="1"/>
  <c r="BB226" i="14"/>
  <c r="BB227" i="14" s="1"/>
  <c r="BB229" i="14" s="1"/>
  <c r="BG226" i="14"/>
  <c r="BG227" i="14" s="1"/>
  <c r="BG229" i="14" s="1"/>
  <c r="BW232" i="14"/>
  <c r="AV226" i="14"/>
  <c r="AV227" i="14" s="1"/>
  <c r="AV229" i="14" s="1"/>
  <c r="AF226" i="14"/>
  <c r="AF227" i="14" s="1"/>
  <c r="AF229" i="14" s="1"/>
  <c r="AX233" i="14"/>
  <c r="H233" i="14"/>
  <c r="AK233" i="14"/>
  <c r="BF232" i="14"/>
  <c r="M226" i="14"/>
  <c r="O226" i="14"/>
  <c r="BO226" i="14"/>
  <c r="BO227" i="14" s="1"/>
  <c r="BO229" i="14" s="1"/>
  <c r="BC232" i="14"/>
  <c r="BP226" i="14"/>
  <c r="BP227" i="14" s="1"/>
  <c r="BP229" i="14" s="1"/>
  <c r="BD226" i="14"/>
  <c r="BD227" i="14" s="1"/>
  <c r="BD229" i="14" s="1"/>
  <c r="BJ233" i="14"/>
  <c r="BA232" i="14"/>
  <c r="BO233" i="14"/>
  <c r="BK232" i="14"/>
  <c r="AZ232" i="14"/>
  <c r="T226" i="14"/>
  <c r="AI226" i="14"/>
  <c r="AI227" i="14" s="1"/>
  <c r="AI229" i="14" s="1"/>
  <c r="BM226" i="14"/>
  <c r="BM227" i="14" s="1"/>
  <c r="BM229" i="14" s="1"/>
  <c r="AU233" i="14"/>
  <c r="AZ233" i="14"/>
  <c r="BS233" i="14"/>
  <c r="BX233" i="14"/>
  <c r="BR233" i="14"/>
  <c r="BN233" i="14"/>
  <c r="AW232" i="14"/>
  <c r="AA226" i="14"/>
  <c r="AA227" i="14" s="1"/>
  <c r="AA229" i="14" s="1"/>
  <c r="AT226" i="14"/>
  <c r="AT227" i="14" s="1"/>
  <c r="AT229" i="14" s="1"/>
  <c r="J226" i="14"/>
  <c r="J227" i="14" s="1"/>
  <c r="J229" i="14" s="1"/>
  <c r="BS232" i="14"/>
  <c r="AR226" i="14"/>
  <c r="AR227" i="14" s="1"/>
  <c r="AR229" i="14" s="1"/>
  <c r="BC226" i="14"/>
  <c r="BC227" i="14" s="1"/>
  <c r="BC229" i="14" s="1"/>
  <c r="Y226" i="14"/>
  <c r="BE232" i="14"/>
  <c r="AM233" i="14"/>
  <c r="AL233" i="14"/>
  <c r="BQ232" i="14"/>
  <c r="BD232" i="14"/>
  <c r="AL232" i="14"/>
  <c r="BX232" i="14"/>
  <c r="AN226" i="14"/>
  <c r="AN227" i="14" s="1"/>
  <c r="AN229" i="14" s="1"/>
  <c r="AZ226" i="14"/>
  <c r="AZ227" i="14" s="1"/>
  <c r="AZ229" i="14" s="1"/>
  <c r="BL226" i="14"/>
  <c r="BL227" i="14" s="1"/>
  <c r="BL229" i="14" s="1"/>
  <c r="BF233" i="14"/>
  <c r="AJ232" i="14"/>
  <c r="J233" i="14"/>
  <c r="BJ232" i="14"/>
  <c r="AL226" i="14"/>
  <c r="AL227" i="14" s="1"/>
  <c r="AL229" i="14" s="1"/>
  <c r="BB233" i="14"/>
  <c r="H226" i="14"/>
  <c r="H227" i="14" s="1"/>
  <c r="H229" i="14" s="1"/>
  <c r="BL232" i="14"/>
  <c r="BT233" i="14"/>
  <c r="BJ226" i="14"/>
  <c r="BJ227" i="14" s="1"/>
  <c r="BJ229" i="14" s="1"/>
  <c r="BV226" i="14"/>
  <c r="BV227" i="14" s="1"/>
  <c r="BV229" i="14" s="1"/>
  <c r="BH233" i="14"/>
  <c r="BG232" i="14"/>
  <c r="AY232" i="14"/>
  <c r="BM233" i="14"/>
  <c r="AO226" i="14"/>
  <c r="AO227" i="14" s="1"/>
  <c r="AO229" i="14" s="1"/>
  <c r="AT232" i="14"/>
  <c r="BY233" i="14"/>
  <c r="AO233" i="14"/>
  <c r="BE233" i="14"/>
  <c r="BT226" i="14"/>
  <c r="BT227" i="14" s="1"/>
  <c r="BT229" i="14" s="1"/>
  <c r="I226" i="14"/>
  <c r="I227" i="14" s="1"/>
  <c r="I229" i="14" s="1"/>
  <c r="AP233" i="14"/>
  <c r="AS233" i="14"/>
  <c r="AQ233" i="14"/>
  <c r="I232" i="14"/>
  <c r="BV232" i="14"/>
  <c r="BH226" i="14"/>
  <c r="BH227" i="14" s="1"/>
  <c r="BH229" i="14" s="1"/>
  <c r="BN232" i="14"/>
  <c r="V226" i="14"/>
  <c r="AP232" i="14"/>
  <c r="L226" i="14"/>
  <c r="AH226" i="14"/>
  <c r="AH227" i="14" s="1"/>
  <c r="AH229" i="14" s="1"/>
  <c r="W226" i="14"/>
  <c r="BU233" i="14"/>
  <c r="BO232" i="14"/>
  <c r="BV233" i="14"/>
  <c r="BY226" i="14"/>
  <c r="BY227" i="14" s="1"/>
  <c r="BY229" i="14" s="1"/>
  <c r="BU232" i="14"/>
  <c r="AY233" i="14"/>
  <c r="AR232" i="14"/>
  <c r="AS232" i="14"/>
  <c r="BQ226" i="14"/>
  <c r="BQ227" i="14" s="1"/>
  <c r="BQ229" i="14" s="1"/>
  <c r="Z226" i="14"/>
  <c r="Z227" i="14" s="1"/>
  <c r="Z229" i="14" s="1"/>
  <c r="BU226" i="14"/>
  <c r="BU227" i="14" s="1"/>
  <c r="BU229" i="14" s="1"/>
  <c r="BE226" i="14"/>
  <c r="BE227" i="14" s="1"/>
  <c r="BE229" i="14" s="1"/>
  <c r="AU232" i="14"/>
  <c r="AK232" i="14"/>
  <c r="AD226" i="14"/>
  <c r="AD227" i="14" s="1"/>
  <c r="AD229" i="14" s="1"/>
  <c r="S226" i="14"/>
  <c r="BF226" i="14"/>
  <c r="BF227" i="14" s="1"/>
  <c r="BF229" i="14" s="1"/>
  <c r="G505" i="11"/>
  <c r="AP226" i="14"/>
  <c r="AP227" i="14" s="1"/>
  <c r="AP229" i="14" s="1"/>
  <c r="N226" i="14"/>
  <c r="BN226" i="14"/>
  <c r="BN227" i="14" s="1"/>
  <c r="BN229" i="14" s="1"/>
  <c r="BM232" i="14"/>
  <c r="BI233" i="14"/>
  <c r="AW226" i="14"/>
  <c r="AW227" i="14" s="1"/>
  <c r="AW229" i="14" s="1"/>
  <c r="AJ226" i="14"/>
  <c r="AJ227" i="14" s="1"/>
  <c r="AJ229" i="14" s="1"/>
  <c r="BR232" i="14"/>
  <c r="AX232" i="14"/>
  <c r="AR233" i="14"/>
  <c r="AV232" i="14"/>
  <c r="AY226" i="14"/>
  <c r="AY227" i="14" s="1"/>
  <c r="AY229" i="14" s="1"/>
  <c r="AS226" i="14"/>
  <c r="AS227" i="14" s="1"/>
  <c r="AS229" i="14" s="1"/>
  <c r="BX226" i="14"/>
  <c r="BX227" i="14" s="1"/>
  <c r="BX229" i="14" s="1"/>
  <c r="BL233" i="14"/>
  <c r="I233" i="14"/>
  <c r="BI226" i="14"/>
  <c r="BI227" i="14" s="1"/>
  <c r="BI229" i="14" s="1"/>
  <c r="BA226" i="14"/>
  <c r="BA227" i="14" s="1"/>
  <c r="BA229" i="14" s="1"/>
  <c r="R226" i="14"/>
  <c r="J232" i="14"/>
  <c r="AJ233" i="14"/>
  <c r="P226" i="14"/>
  <c r="AT233" i="14"/>
  <c r="AV233" i="14"/>
  <c r="BT232" i="14"/>
  <c r="BG233" i="14"/>
  <c r="BK233" i="14"/>
  <c r="T910" i="14"/>
  <c r="T1356" i="14"/>
  <c r="U1355" i="14"/>
  <c r="U1358" i="14" s="1"/>
  <c r="U901" i="14"/>
  <c r="U752" i="14"/>
  <c r="U1221" i="14"/>
  <c r="Y910" i="14"/>
  <c r="Y1356" i="14"/>
  <c r="P901" i="14"/>
  <c r="P752" i="14"/>
  <c r="P1355" i="14"/>
  <c r="N1356" i="14"/>
  <c r="N910" i="14"/>
  <c r="T901" i="14"/>
  <c r="T752" i="14"/>
  <c r="T1355" i="14"/>
  <c r="T1221" i="14"/>
  <c r="R910" i="14"/>
  <c r="R1356" i="14"/>
  <c r="R1239" i="14"/>
  <c r="O901" i="14"/>
  <c r="O752" i="14"/>
  <c r="O1355" i="14"/>
  <c r="O1221" i="14"/>
  <c r="C742" i="14"/>
  <c r="I745" i="14"/>
  <c r="S910" i="14"/>
  <c r="S1356" i="14"/>
  <c r="S1239" i="14"/>
  <c r="M1355" i="14"/>
  <c r="M901" i="14"/>
  <c r="M752" i="14"/>
  <c r="J745" i="14"/>
  <c r="M910" i="14"/>
  <c r="M1356" i="14"/>
  <c r="S901" i="14"/>
  <c r="S1355" i="14"/>
  <c r="S752" i="14"/>
  <c r="X901" i="14"/>
  <c r="X1355" i="14"/>
  <c r="X752" i="14"/>
  <c r="AG1362" i="14" a="1"/>
  <c r="AG1362" i="14" s="1"/>
  <c r="H1362" i="14" a="1"/>
  <c r="H1362" i="14" s="1"/>
  <c r="I1362" i="14" a="1"/>
  <c r="I1362" i="14" s="1"/>
  <c r="L1362" i="14" a="1"/>
  <c r="L1362" i="14" s="1"/>
  <c r="P1362" i="14" a="1"/>
  <c r="P1362" i="14" s="1"/>
  <c r="Q1362" i="14" a="1"/>
  <c r="Q1362" i="14" s="1"/>
  <c r="Y1362" i="14" a="1"/>
  <c r="Y1362" i="14" s="1"/>
  <c r="T1157" i="14"/>
  <c r="T1159" i="14" s="1"/>
  <c r="BJ1362" i="14" a="1"/>
  <c r="BJ1362" i="14" s="1"/>
  <c r="BE1362" i="14" a="1"/>
  <c r="BE1362" i="14" s="1"/>
  <c r="BX1362" i="14" a="1"/>
  <c r="BX1362" i="14" s="1"/>
  <c r="BC1362" i="14" a="1"/>
  <c r="BC1362" i="14" s="1"/>
  <c r="BU1362" i="14" a="1"/>
  <c r="BU1362" i="14" s="1"/>
  <c r="BP1362" i="14" a="1"/>
  <c r="BP1362" i="14" s="1"/>
  <c r="O1157" i="14"/>
  <c r="O1159" i="14" s="1"/>
  <c r="Z1157" i="14"/>
  <c r="Z1159" i="14" s="1"/>
  <c r="V1157" i="14"/>
  <c r="V1159" i="14" s="1"/>
  <c r="BS1362" i="14" a="1"/>
  <c r="BS1362" i="14" s="1"/>
  <c r="V1362" i="14" a="1"/>
  <c r="V1362" i="14" s="1"/>
  <c r="BG1362" i="14" a="1"/>
  <c r="BG1362" i="14" s="1"/>
  <c r="AK1362" i="14" a="1"/>
  <c r="AK1362" i="14" s="1"/>
  <c r="H1157" i="14"/>
  <c r="H1159" i="14" s="1"/>
  <c r="U1157" i="14"/>
  <c r="U1159" i="14" s="1"/>
  <c r="AT1362" i="14" a="1"/>
  <c r="AT1362" i="14" s="1"/>
  <c r="M1362" i="14" a="1"/>
  <c r="M1362" i="14" s="1"/>
  <c r="AD1362" i="14" a="1"/>
  <c r="AD1362" i="14" s="1"/>
  <c r="AC1362" i="14" a="1"/>
  <c r="AC1362" i="14" s="1"/>
  <c r="BB1362" i="14" a="1"/>
  <c r="BB1362" i="14" s="1"/>
  <c r="AL1362" i="14" a="1"/>
  <c r="AL1362" i="14" s="1"/>
  <c r="AX1362" i="14" a="1"/>
  <c r="AX1362" i="14" s="1"/>
  <c r="AP1362" i="14" a="1"/>
  <c r="AP1362" i="14" s="1"/>
  <c r="N1157" i="14"/>
  <c r="N1159" i="14" s="1"/>
  <c r="J1362" i="14" a="1"/>
  <c r="J1362" i="14" s="1"/>
  <c r="AJ1362" i="14" a="1"/>
  <c r="AJ1362" i="14" s="1"/>
  <c r="P1157" i="14"/>
  <c r="P1159" i="14" s="1"/>
  <c r="D103" i="20" a="1"/>
  <c r="D103" i="20" s="1"/>
  <c r="L1157" i="14"/>
  <c r="L1159" i="14" s="1"/>
  <c r="R1157" i="14"/>
  <c r="R1159" i="14" s="1"/>
  <c r="BA1362" i="14" a="1"/>
  <c r="BA1362" i="14" s="1"/>
  <c r="J1157" i="14"/>
  <c r="J1159" i="14" s="1"/>
  <c r="AZ1362" i="14" a="1"/>
  <c r="AZ1362" i="14" s="1"/>
  <c r="W1157" i="14"/>
  <c r="W1159" i="14" s="1"/>
  <c r="BQ1362" i="14" a="1"/>
  <c r="BQ1362" i="14" s="1"/>
  <c r="AE1362" i="14" a="1"/>
  <c r="AE1362" i="14" s="1"/>
  <c r="I1157" i="14"/>
  <c r="I1159" i="14" s="1"/>
  <c r="K1157" i="14"/>
  <c r="K1159" i="14" s="1"/>
  <c r="Q1157" i="14"/>
  <c r="Q1159" i="14" s="1"/>
  <c r="X1157" i="14"/>
  <c r="X1159" i="14" s="1"/>
  <c r="S1157" i="14"/>
  <c r="S1159" i="14" s="1"/>
  <c r="BN1362" i="14" a="1"/>
  <c r="BN1362" i="14" s="1"/>
  <c r="BT1362" i="14" a="1"/>
  <c r="BT1362" i="14" s="1"/>
  <c r="M1157" i="14"/>
  <c r="M1159" i="14" s="1"/>
  <c r="Q1125" i="14"/>
  <c r="Q1127" i="14" s="1"/>
  <c r="AC1125" i="14"/>
  <c r="AC1127" i="14" s="1"/>
  <c r="X1125" i="14"/>
  <c r="X1127" i="14" s="1"/>
  <c r="O1125" i="14"/>
  <c r="O1127" i="14" s="1"/>
  <c r="M1125" i="14"/>
  <c r="M1127" i="14" s="1"/>
  <c r="Z1125" i="14"/>
  <c r="Z1127" i="14" s="1"/>
  <c r="J1125" i="14"/>
  <c r="J1127" i="14" s="1"/>
  <c r="AB1125" i="14"/>
  <c r="AB1127" i="14" s="1"/>
  <c r="H1125" i="14"/>
  <c r="H1127" i="14" s="1"/>
  <c r="K1125" i="14"/>
  <c r="K1127" i="14" s="1"/>
  <c r="L1125" i="14"/>
  <c r="L1127" i="14" s="1"/>
  <c r="I1125" i="14"/>
  <c r="I1127" i="14" s="1"/>
  <c r="U1125" i="14"/>
  <c r="U1127" i="14" s="1"/>
  <c r="K1358" i="14" l="1"/>
  <c r="O1358" i="14"/>
  <c r="O1366" i="14"/>
  <c r="P1358" i="14"/>
  <c r="T1362" i="14" a="1"/>
  <c r="T1362" i="14" s="1"/>
  <c r="V1366" i="14"/>
  <c r="R1362" i="14" a="1"/>
  <c r="R1362" i="14" s="1"/>
  <c r="S1362" i="14" a="1"/>
  <c r="S1362" i="14" s="1"/>
  <c r="N1362" i="14" a="1"/>
  <c r="N1362" i="14" s="1"/>
  <c r="X1362" i="14" a="1"/>
  <c r="X1362" i="14" s="1"/>
  <c r="W1362" i="14" a="1"/>
  <c r="W1362" i="14" s="1"/>
  <c r="U1362" i="14" a="1"/>
  <c r="U1362" i="14" s="1"/>
  <c r="P1366" i="14"/>
  <c r="X1358" i="14"/>
  <c r="W1358" i="14"/>
  <c r="K1362" i="14" a="1"/>
  <c r="K1362" i="14" s="1"/>
  <c r="O1362" i="14" a="1"/>
  <c r="O1362" i="14" s="1"/>
  <c r="V1358" i="14"/>
  <c r="T1358" i="14"/>
  <c r="L1366" i="14"/>
  <c r="Z1362" i="14" a="1"/>
  <c r="Z1362" i="14" s="1"/>
  <c r="W1366" i="14"/>
  <c r="BK1076" i="14"/>
  <c r="BK1362" i="14" a="1"/>
  <c r="BK1362" i="14" s="1"/>
  <c r="S1325" i="14" a="1"/>
  <c r="S1325" i="14" s="1"/>
  <c r="S1343" i="14"/>
  <c r="S381" i="14"/>
  <c r="S1313" i="14" a="1"/>
  <c r="S1313" i="14" s="1"/>
  <c r="S218" i="14"/>
  <c r="S224" i="14" s="1"/>
  <c r="S227" i="14" s="1"/>
  <c r="S229" i="14" s="1"/>
  <c r="U1366" i="14"/>
  <c r="R1342" i="14"/>
  <c r="R1311" i="14" a="1"/>
  <c r="R1311" i="14" s="1"/>
  <c r="R159" i="14"/>
  <c r="R1323" i="14" a="1"/>
  <c r="R1323" i="14" s="1"/>
  <c r="AN1362" i="14" a="1"/>
  <c r="AN1362" i="14" s="1"/>
  <c r="AN1076" i="14"/>
  <c r="BV1362" i="14" a="1"/>
  <c r="BV1362" i="14" s="1"/>
  <c r="BV1076" i="14"/>
  <c r="AX1342" i="14"/>
  <c r="AX1346" i="14" s="1"/>
  <c r="AX159" i="14"/>
  <c r="AX15" i="14" s="1"/>
  <c r="AX1311" i="14" a="1"/>
  <c r="AX1311" i="14" s="1"/>
  <c r="AX1319" i="14" s="1"/>
  <c r="AX1323" i="14" a="1"/>
  <c r="AX1323" i="14" s="1"/>
  <c r="AX1331" i="14" s="1"/>
  <c r="AQ159" i="14"/>
  <c r="AQ15" i="14" s="1"/>
  <c r="AQ1323" i="14" a="1"/>
  <c r="AQ1323" i="14" s="1"/>
  <c r="AQ1331" i="14" s="1"/>
  <c r="AQ1311" i="14" a="1"/>
  <c r="AQ1311" i="14" s="1"/>
  <c r="AQ1319" i="14" s="1"/>
  <c r="AQ1342" i="14"/>
  <c r="AQ1346" i="14" s="1"/>
  <c r="AT1342" i="14"/>
  <c r="AT1346" i="14" s="1"/>
  <c r="AT159" i="14"/>
  <c r="AT15" i="14" s="1"/>
  <c r="AT1323" i="14" a="1"/>
  <c r="AT1323" i="14" s="1"/>
  <c r="AT1331" i="14" s="1"/>
  <c r="AT1311" i="14" a="1"/>
  <c r="AT1311" i="14" s="1"/>
  <c r="AT1319" i="14" s="1"/>
  <c r="X1313" i="14" a="1"/>
  <c r="X1313" i="14" s="1"/>
  <c r="X218" i="14"/>
  <c r="X224" i="14" s="1"/>
  <c r="X227" i="14" s="1"/>
  <c r="X229" i="14" s="1"/>
  <c r="X1325" i="14" a="1"/>
  <c r="X1325" i="14" s="1"/>
  <c r="X381" i="14"/>
  <c r="X1343" i="14"/>
  <c r="I75" i="14"/>
  <c r="C73" i="14"/>
  <c r="AK159" i="14"/>
  <c r="AK15" i="14" s="1"/>
  <c r="AK1342" i="14"/>
  <c r="AK1346" i="14" s="1"/>
  <c r="AK1323" i="14" a="1"/>
  <c r="AK1323" i="14" s="1"/>
  <c r="AK1331" i="14" s="1"/>
  <c r="AK1311" i="14" a="1"/>
  <c r="AK1311" i="14" s="1"/>
  <c r="AK1319" i="14" s="1"/>
  <c r="AB1342" i="14"/>
  <c r="AB1346" i="14" s="1"/>
  <c r="AB1323" i="14" a="1"/>
  <c r="AB1323" i="14" s="1"/>
  <c r="AB1331" i="14" s="1"/>
  <c r="AB1311" i="14" a="1"/>
  <c r="AB1311" i="14" s="1"/>
  <c r="AB1319" i="14" s="1"/>
  <c r="AB159" i="14"/>
  <c r="AB15" i="14" s="1"/>
  <c r="BO1362" i="14" a="1"/>
  <c r="BO1362" i="14" s="1"/>
  <c r="BO1076" i="14"/>
  <c r="N390" i="14"/>
  <c r="N1315" i="14" a="1"/>
  <c r="N1315" i="14" s="1"/>
  <c r="N1344" i="14"/>
  <c r="N1327" i="14" a="1"/>
  <c r="N1327" i="14" s="1"/>
  <c r="AQ1362" i="14" a="1"/>
  <c r="AQ1362" i="14" s="1"/>
  <c r="AQ1076" i="14"/>
  <c r="AN159" i="14"/>
  <c r="AN15" i="14" s="1"/>
  <c r="AN1311" i="14" a="1"/>
  <c r="AN1311" i="14" s="1"/>
  <c r="AN1319" i="14" s="1"/>
  <c r="AN1342" i="14"/>
  <c r="AN1346" i="14" s="1"/>
  <c r="AN1323" i="14" a="1"/>
  <c r="AN1323" i="14" s="1"/>
  <c r="AN1331" i="14" s="1"/>
  <c r="L1311" i="14" a="1"/>
  <c r="L1311" i="14" s="1"/>
  <c r="L1342" i="14"/>
  <c r="L159" i="14"/>
  <c r="L1323" i="14" a="1"/>
  <c r="L1323" i="14" s="1"/>
  <c r="M218" i="14"/>
  <c r="M224" i="14" s="1"/>
  <c r="M227" i="14" s="1"/>
  <c r="M229" i="14" s="1"/>
  <c r="M1325" i="14" a="1"/>
  <c r="M1325" i="14" s="1"/>
  <c r="M1343" i="14"/>
  <c r="M1313" i="14" a="1"/>
  <c r="M1313" i="14" s="1"/>
  <c r="M381" i="14"/>
  <c r="J1310" i="14" a="1"/>
  <c r="J1310" i="14" s="1"/>
  <c r="J1190" i="14"/>
  <c r="J1365" i="14" s="1"/>
  <c r="J1322" i="14" a="1"/>
  <c r="J1322" i="14" s="1"/>
  <c r="J1338" i="14"/>
  <c r="J175" i="14"/>
  <c r="Q390" i="14"/>
  <c r="Q1327" i="14" a="1"/>
  <c r="Q1327" i="14" s="1"/>
  <c r="Q1344" i="14"/>
  <c r="Q1315" i="14" a="1"/>
  <c r="Q1315" i="14" s="1"/>
  <c r="X159" i="14"/>
  <c r="X1311" i="14" a="1"/>
  <c r="X1311" i="14" s="1"/>
  <c r="X1323" i="14" a="1"/>
  <c r="X1323" i="14" s="1"/>
  <c r="X1342" i="14"/>
  <c r="AO1362" i="14" a="1"/>
  <c r="AO1362" i="14" s="1"/>
  <c r="T1366" i="14"/>
  <c r="BK1342" i="14"/>
  <c r="BK1346" i="14" s="1"/>
  <c r="BK159" i="14"/>
  <c r="BK15" i="14" s="1"/>
  <c r="BK1323" i="14" a="1"/>
  <c r="BK1323" i="14" s="1"/>
  <c r="BK1331" i="14" s="1"/>
  <c r="BK1311" i="14" a="1"/>
  <c r="BK1311" i="14" s="1"/>
  <c r="BK1319" i="14" s="1"/>
  <c r="BD1076" i="14"/>
  <c r="BD1362" i="14" a="1"/>
  <c r="BD1362" i="14" s="1"/>
  <c r="O1342" i="14"/>
  <c r="O1323" i="14" a="1"/>
  <c r="O1323" i="14" s="1"/>
  <c r="O159" i="14"/>
  <c r="O1311" i="14" a="1"/>
  <c r="O1311" i="14" s="1"/>
  <c r="S1323" i="14" a="1"/>
  <c r="S1323" i="14" s="1"/>
  <c r="S1342" i="14"/>
  <c r="S1311" i="14" a="1"/>
  <c r="S1311" i="14" s="1"/>
  <c r="S159" i="14"/>
  <c r="BN1323" i="14" a="1"/>
  <c r="BN1323" i="14" s="1"/>
  <c r="BN1331" i="14" s="1"/>
  <c r="BN159" i="14"/>
  <c r="BN15" i="14" s="1"/>
  <c r="BN1311" i="14" a="1"/>
  <c r="BN1311" i="14" s="1"/>
  <c r="BN1319" i="14" s="1"/>
  <c r="BN1342" i="14"/>
  <c r="BN1346" i="14" s="1"/>
  <c r="K175" i="14"/>
  <c r="K29" i="14" s="1"/>
  <c r="K1310" i="14" a="1"/>
  <c r="K1310" i="14" s="1"/>
  <c r="K1322" i="14" a="1"/>
  <c r="K1322" i="14" s="1"/>
  <c r="K1338" i="14"/>
  <c r="K1190" i="14"/>
  <c r="K1365" i="14" s="1"/>
  <c r="Y390" i="14"/>
  <c r="Y1315" i="14" a="1"/>
  <c r="Y1315" i="14" s="1"/>
  <c r="Y1344" i="14"/>
  <c r="Y1327" i="14" a="1"/>
  <c r="Y1327" i="14" s="1"/>
  <c r="BB159" i="14"/>
  <c r="BB15" i="14" s="1"/>
  <c r="BB1323" i="14" a="1"/>
  <c r="BB1323" i="14" s="1"/>
  <c r="BB1331" i="14" s="1"/>
  <c r="BB1311" i="14" a="1"/>
  <c r="BB1311" i="14" s="1"/>
  <c r="BB1319" i="14" s="1"/>
  <c r="BB1342" i="14"/>
  <c r="BB1346" i="14" s="1"/>
  <c r="AY159" i="14"/>
  <c r="AY15" i="14" s="1"/>
  <c r="AY1311" i="14" a="1"/>
  <c r="AY1311" i="14" s="1"/>
  <c r="AY1319" i="14" s="1"/>
  <c r="AY1323" i="14" a="1"/>
  <c r="AY1323" i="14" s="1"/>
  <c r="AY1331" i="14" s="1"/>
  <c r="AY1342" i="14"/>
  <c r="AY1346" i="14" s="1"/>
  <c r="BH1311" i="14" a="1"/>
  <c r="BH1311" i="14" s="1"/>
  <c r="BH1319" i="14" s="1"/>
  <c r="BH1323" i="14" a="1"/>
  <c r="BH1323" i="14" s="1"/>
  <c r="BH1331" i="14" s="1"/>
  <c r="BH159" i="14"/>
  <c r="BH15" i="14" s="1"/>
  <c r="BH1342" i="14"/>
  <c r="BH1346" i="14" s="1"/>
  <c r="AO1342" i="14"/>
  <c r="AO1346" i="14" s="1"/>
  <c r="AO159" i="14"/>
  <c r="AO15" i="14" s="1"/>
  <c r="AO1311" i="14" a="1"/>
  <c r="AO1311" i="14" s="1"/>
  <c r="AO1319" i="14" s="1"/>
  <c r="AO1323" i="14" a="1"/>
  <c r="AO1323" i="14" s="1"/>
  <c r="AO1331" i="14" s="1"/>
  <c r="AH1311" i="14" a="1"/>
  <c r="AH1311" i="14" s="1"/>
  <c r="AH1319" i="14" s="1"/>
  <c r="AH1323" i="14" a="1"/>
  <c r="AH1323" i="14" s="1"/>
  <c r="AH1331" i="14" s="1"/>
  <c r="AH159" i="14"/>
  <c r="AH15" i="14" s="1"/>
  <c r="AH1342" i="14"/>
  <c r="AH1346" i="14" s="1"/>
  <c r="BF1076" i="14"/>
  <c r="BF1362" i="14" a="1"/>
  <c r="BF1362" i="14" s="1"/>
  <c r="BA1323" i="14" a="1"/>
  <c r="BA1323" i="14" s="1"/>
  <c r="BA1331" i="14" s="1"/>
  <c r="BA159" i="14"/>
  <c r="BA15" i="14" s="1"/>
  <c r="BA1311" i="14" a="1"/>
  <c r="BA1311" i="14" s="1"/>
  <c r="BA1319" i="14" s="1"/>
  <c r="BA1342" i="14"/>
  <c r="BA1346" i="14" s="1"/>
  <c r="BU1323" i="14" a="1"/>
  <c r="BU1323" i="14" s="1"/>
  <c r="BU1331" i="14" s="1"/>
  <c r="BU1342" i="14"/>
  <c r="BU1346" i="14" s="1"/>
  <c r="BU1311" i="14" a="1"/>
  <c r="BU1311" i="14" s="1"/>
  <c r="BU1319" i="14" s="1"/>
  <c r="BU159" i="14"/>
  <c r="BU15" i="14" s="1"/>
  <c r="U1323" i="14" a="1"/>
  <c r="U1323" i="14" s="1"/>
  <c r="U1342" i="14"/>
  <c r="U1311" i="14" a="1"/>
  <c r="U1311" i="14" s="1"/>
  <c r="U159" i="14"/>
  <c r="T218" i="14"/>
  <c r="T224" i="14" s="1"/>
  <c r="T227" i="14" s="1"/>
  <c r="T229" i="14" s="1"/>
  <c r="T1325" i="14" a="1"/>
  <c r="T1325" i="14" s="1"/>
  <c r="T381" i="14"/>
  <c r="T1343" i="14"/>
  <c r="T1313" i="14" a="1"/>
  <c r="T1313" i="14" s="1"/>
  <c r="AA159" i="14"/>
  <c r="AA15" i="14" s="1"/>
  <c r="AA1311" i="14" a="1"/>
  <c r="AA1311" i="14" s="1"/>
  <c r="AA1319" i="14" s="1"/>
  <c r="AA1323" i="14" a="1"/>
  <c r="AA1323" i="14" s="1"/>
  <c r="AA1331" i="14" s="1"/>
  <c r="AA1342" i="14"/>
  <c r="AA1346" i="14" s="1"/>
  <c r="V1344" i="14"/>
  <c r="V1327" i="14" a="1"/>
  <c r="V1327" i="14" s="1"/>
  <c r="V390" i="14"/>
  <c r="V1315" i="14" a="1"/>
  <c r="V1315" i="14" s="1"/>
  <c r="BW159" i="14"/>
  <c r="BW15" i="14" s="1"/>
  <c r="BW1323" i="14" a="1"/>
  <c r="BW1323" i="14" s="1"/>
  <c r="BW1331" i="14" s="1"/>
  <c r="BW1342" i="14"/>
  <c r="BW1346" i="14" s="1"/>
  <c r="BW1311" i="14" a="1"/>
  <c r="BW1311" i="14" s="1"/>
  <c r="BW1319" i="14" s="1"/>
  <c r="BR1362" i="14" a="1"/>
  <c r="BR1362" i="14" s="1"/>
  <c r="N1239" i="14"/>
  <c r="N1366" i="14" s="1"/>
  <c r="BO1311" i="14" a="1"/>
  <c r="BO1311" i="14" s="1"/>
  <c r="BO1319" i="14" s="1"/>
  <c r="BO1342" i="14"/>
  <c r="BO1346" i="14" s="1"/>
  <c r="BO1323" i="14" a="1"/>
  <c r="BO1323" i="14" s="1"/>
  <c r="BO1331" i="14" s="1"/>
  <c r="BO159" i="14"/>
  <c r="BO15" i="14" s="1"/>
  <c r="AF1076" i="14"/>
  <c r="AF1362" i="14" a="1"/>
  <c r="AF1362" i="14" s="1"/>
  <c r="BL159" i="14"/>
  <c r="BL15" i="14" s="1"/>
  <c r="BL1323" i="14" a="1"/>
  <c r="BL1323" i="14" s="1"/>
  <c r="BL1331" i="14" s="1"/>
  <c r="BL1342" i="14"/>
  <c r="BL1346" i="14" s="1"/>
  <c r="BL1311" i="14" a="1"/>
  <c r="BL1311" i="14" s="1"/>
  <c r="BL1319" i="14" s="1"/>
  <c r="K1343" i="14"/>
  <c r="K1325" i="14" a="1"/>
  <c r="K1325" i="14" s="1"/>
  <c r="K218" i="14"/>
  <c r="K224" i="14" s="1"/>
  <c r="K227" i="14" s="1"/>
  <c r="K229" i="14" s="1"/>
  <c r="K381" i="14"/>
  <c r="K1313" i="14" a="1"/>
  <c r="K1313" i="14" s="1"/>
  <c r="W390" i="14"/>
  <c r="W1344" i="14"/>
  <c r="W1315" i="14" a="1"/>
  <c r="W1315" i="14" s="1"/>
  <c r="W1327" i="14" a="1"/>
  <c r="W1327" i="14" s="1"/>
  <c r="AC1323" i="14" a="1"/>
  <c r="AC1323" i="14" s="1"/>
  <c r="AC1331" i="14" s="1"/>
  <c r="AC1342" i="14"/>
  <c r="AC1346" i="14" s="1"/>
  <c r="AC159" i="14"/>
  <c r="AC15" i="14" s="1"/>
  <c r="AC1311" i="14" a="1"/>
  <c r="AC1311" i="14" s="1"/>
  <c r="AC1319" i="14" s="1"/>
  <c r="AW159" i="14"/>
  <c r="AW15" i="14" s="1"/>
  <c r="AW1342" i="14"/>
  <c r="AW1346" i="14" s="1"/>
  <c r="AW1311" i="14" a="1"/>
  <c r="AW1311" i="14" s="1"/>
  <c r="AW1319" i="14" s="1"/>
  <c r="AW1323" i="14" a="1"/>
  <c r="AW1323" i="14" s="1"/>
  <c r="AW1331" i="14" s="1"/>
  <c r="AF1342" i="14"/>
  <c r="AF1346" i="14" s="1"/>
  <c r="AF159" i="14"/>
  <c r="AF15" i="14" s="1"/>
  <c r="AF1323" i="14" a="1"/>
  <c r="AF1323" i="14" s="1"/>
  <c r="AF1331" i="14" s="1"/>
  <c r="AF1311" i="14" a="1"/>
  <c r="AF1311" i="14" s="1"/>
  <c r="AF1319" i="14" s="1"/>
  <c r="BY1323" i="14" a="1"/>
  <c r="BY1323" i="14" s="1"/>
  <c r="BY1331" i="14" s="1"/>
  <c r="BY1311" i="14" a="1"/>
  <c r="BY1311" i="14" s="1"/>
  <c r="BY1319" i="14" s="1"/>
  <c r="BY159" i="14"/>
  <c r="BY15" i="14" s="1"/>
  <c r="BY1342" i="14"/>
  <c r="BY1346" i="14" s="1"/>
  <c r="BH1362" i="14" a="1"/>
  <c r="BH1362" i="14" s="1"/>
  <c r="BH1076" i="14"/>
  <c r="Z159" i="14"/>
  <c r="Z15" i="14" s="1"/>
  <c r="Z1311" i="14" a="1"/>
  <c r="Z1311" i="14" s="1"/>
  <c r="Z1319" i="14" s="1"/>
  <c r="Z1323" i="14" a="1"/>
  <c r="Z1323" i="14" s="1"/>
  <c r="Z1331" i="14" s="1"/>
  <c r="Z1342" i="14"/>
  <c r="Z1346" i="14" s="1"/>
  <c r="AV1362" i="14" a="1"/>
  <c r="AV1362" i="14" s="1"/>
  <c r="V1124" i="14"/>
  <c r="V1123" i="14"/>
  <c r="V1125" i="14" s="1"/>
  <c r="V1127" i="14" s="1"/>
  <c r="AA1076" i="14"/>
  <c r="AA1362" i="14" a="1"/>
  <c r="AA1362" i="14" s="1"/>
  <c r="BS1323" i="14" a="1"/>
  <c r="BS1323" i="14" s="1"/>
  <c r="BS1331" i="14" s="1"/>
  <c r="BS1342" i="14"/>
  <c r="BS1346" i="14" s="1"/>
  <c r="BS159" i="14"/>
  <c r="BS15" i="14" s="1"/>
  <c r="BS1311" i="14" a="1"/>
  <c r="BS1311" i="14" s="1"/>
  <c r="BS1319" i="14" s="1"/>
  <c r="AV159" i="14"/>
  <c r="AV15" i="14" s="1"/>
  <c r="AV1311" i="14" a="1"/>
  <c r="AV1311" i="14" s="1"/>
  <c r="AV1319" i="14" s="1"/>
  <c r="AV1323" i="14" a="1"/>
  <c r="AV1323" i="14" s="1"/>
  <c r="AV1331" i="14" s="1"/>
  <c r="AV1342" i="14"/>
  <c r="AV1346" i="14" s="1"/>
  <c r="AI1323" i="14" a="1"/>
  <c r="AI1323" i="14" s="1"/>
  <c r="AI1331" i="14" s="1"/>
  <c r="AI1311" i="14" a="1"/>
  <c r="AI1311" i="14" s="1"/>
  <c r="AI1319" i="14" s="1"/>
  <c r="AI159" i="14"/>
  <c r="AI15" i="14" s="1"/>
  <c r="AI1342" i="14"/>
  <c r="AI1346" i="14" s="1"/>
  <c r="L1325" i="14" a="1"/>
  <c r="L1325" i="14" s="1"/>
  <c r="L1343" i="14"/>
  <c r="L381" i="14"/>
  <c r="L218" i="14"/>
  <c r="L224" i="14" s="1"/>
  <c r="L227" i="14" s="1"/>
  <c r="L229" i="14" s="1"/>
  <c r="L1313" i="14" a="1"/>
  <c r="L1313" i="14" s="1"/>
  <c r="BE1311" i="14" a="1"/>
  <c r="BE1311" i="14" s="1"/>
  <c r="BE1319" i="14" s="1"/>
  <c r="BE1323" i="14" a="1"/>
  <c r="BE1323" i="14" s="1"/>
  <c r="BE1331" i="14" s="1"/>
  <c r="BE159" i="14"/>
  <c r="BE15" i="14" s="1"/>
  <c r="BE1342" i="14"/>
  <c r="BE1346" i="14" s="1"/>
  <c r="U1315" i="14" a="1"/>
  <c r="U1315" i="14" s="1"/>
  <c r="U1327" i="14" a="1"/>
  <c r="U1327" i="14" s="1"/>
  <c r="U1344" i="14"/>
  <c r="U390" i="14"/>
  <c r="Q1358" i="14"/>
  <c r="AG1323" i="14" a="1"/>
  <c r="AG1323" i="14" s="1"/>
  <c r="AG1331" i="14" s="1"/>
  <c r="AG1342" i="14"/>
  <c r="AG1346" i="14" s="1"/>
  <c r="AG1311" i="14" a="1"/>
  <c r="AG1311" i="14" s="1"/>
  <c r="AG1319" i="14" s="1"/>
  <c r="AG159" i="14"/>
  <c r="AG15" i="14" s="1"/>
  <c r="AU1076" i="14"/>
  <c r="AU1362" i="14" a="1"/>
  <c r="AU1362" i="14" s="1"/>
  <c r="R381" i="14"/>
  <c r="R1313" i="14" a="1"/>
  <c r="R1313" i="14" s="1"/>
  <c r="R1343" i="14"/>
  <c r="R1325" i="14" a="1"/>
  <c r="R1325" i="14" s="1"/>
  <c r="R218" i="14"/>
  <c r="R224" i="14" s="1"/>
  <c r="M1344" i="14"/>
  <c r="M1315" i="14" a="1"/>
  <c r="M1315" i="14" s="1"/>
  <c r="M1327" i="14" a="1"/>
  <c r="M1327" i="14" s="1"/>
  <c r="M390" i="14"/>
  <c r="AE159" i="14"/>
  <c r="AE15" i="14" s="1"/>
  <c r="AE1311" i="14" a="1"/>
  <c r="AE1311" i="14" s="1"/>
  <c r="AE1319" i="14" s="1"/>
  <c r="AE1323" i="14" a="1"/>
  <c r="AE1323" i="14" s="1"/>
  <c r="AE1331" i="14" s="1"/>
  <c r="AE1342" i="14"/>
  <c r="AE1346" i="14" s="1"/>
  <c r="AZ159" i="14"/>
  <c r="AZ15" i="14" s="1"/>
  <c r="AZ1311" i="14" a="1"/>
  <c r="AZ1311" i="14" s="1"/>
  <c r="AZ1319" i="14" s="1"/>
  <c r="AZ1342" i="14"/>
  <c r="AZ1346" i="14" s="1"/>
  <c r="AZ1323" i="14" a="1"/>
  <c r="AZ1323" i="14" s="1"/>
  <c r="AZ1331" i="14" s="1"/>
  <c r="BX159" i="14"/>
  <c r="BX15" i="14" s="1"/>
  <c r="BX1323" i="14" a="1"/>
  <c r="BX1323" i="14" s="1"/>
  <c r="BX1331" i="14" s="1"/>
  <c r="BX1311" i="14" a="1"/>
  <c r="BX1311" i="14" s="1"/>
  <c r="BX1319" i="14" s="1"/>
  <c r="BX1342" i="14"/>
  <c r="BX1346" i="14" s="1"/>
  <c r="I159" i="14"/>
  <c r="I15" i="14" s="1"/>
  <c r="I1342" i="14"/>
  <c r="I1311" i="14" a="1"/>
  <c r="I1311" i="14" s="1"/>
  <c r="I1323" i="14" a="1"/>
  <c r="I1323" i="14" s="1"/>
  <c r="AB1362" i="14" a="1"/>
  <c r="AB1362" i="14" s="1"/>
  <c r="AB1076" i="14"/>
  <c r="AY1076" i="14"/>
  <c r="AY1362" i="14" a="1"/>
  <c r="AY1362" i="14" s="1"/>
  <c r="BC1323" i="14" a="1"/>
  <c r="BC1323" i="14" s="1"/>
  <c r="BC1331" i="14" s="1"/>
  <c r="BC159" i="14"/>
  <c r="BC15" i="14" s="1"/>
  <c r="BC1342" i="14"/>
  <c r="BC1346" i="14" s="1"/>
  <c r="BC1311" i="14" a="1"/>
  <c r="BC1311" i="14" s="1"/>
  <c r="BC1319" i="14" s="1"/>
  <c r="D108" i="20"/>
  <c r="BM1342" i="14"/>
  <c r="BM1346" i="14" s="1"/>
  <c r="BM1323" i="14" a="1"/>
  <c r="BM1323" i="14" s="1"/>
  <c r="BM1331" i="14" s="1"/>
  <c r="BM159" i="14"/>
  <c r="BM15" i="14" s="1"/>
  <c r="BM1311" i="14" a="1"/>
  <c r="BM1311" i="14" s="1"/>
  <c r="BM1319" i="14" s="1"/>
  <c r="M1323" i="14" a="1"/>
  <c r="M1323" i="14" s="1"/>
  <c r="M159" i="14"/>
  <c r="M1311" i="14" a="1"/>
  <c r="M1311" i="14" s="1"/>
  <c r="M1342" i="14"/>
  <c r="BP1311" i="14" a="1"/>
  <c r="BP1311" i="14" s="1"/>
  <c r="BP1319" i="14" s="1"/>
  <c r="BP159" i="14"/>
  <c r="BP15" i="14" s="1"/>
  <c r="BP1342" i="14"/>
  <c r="BP1346" i="14" s="1"/>
  <c r="BP1323" i="14" a="1"/>
  <c r="BP1323" i="14" s="1"/>
  <c r="BP1331" i="14" s="1"/>
  <c r="P218" i="14"/>
  <c r="P224" i="14" s="1"/>
  <c r="P227" i="14" s="1"/>
  <c r="P229" i="14" s="1"/>
  <c r="P1313" i="14" a="1"/>
  <c r="P1313" i="14" s="1"/>
  <c r="P1325" i="14" a="1"/>
  <c r="P1325" i="14" s="1"/>
  <c r="P381" i="14"/>
  <c r="P1343" i="14"/>
  <c r="V159" i="14"/>
  <c r="V1342" i="14"/>
  <c r="V1323" i="14" a="1"/>
  <c r="V1323" i="14" s="1"/>
  <c r="V1311" i="14" a="1"/>
  <c r="V1311" i="14" s="1"/>
  <c r="T390" i="14"/>
  <c r="T1344" i="14"/>
  <c r="T1315" i="14" a="1"/>
  <c r="T1315" i="14" s="1"/>
  <c r="T1327" i="14" a="1"/>
  <c r="T1327" i="14" s="1"/>
  <c r="J406" i="14"/>
  <c r="J1212" i="14"/>
  <c r="J1324" i="14" a="1"/>
  <c r="J1324" i="14" s="1"/>
  <c r="J1339" i="14"/>
  <c r="J1312" i="14" a="1"/>
  <c r="J1312" i="14" s="1"/>
  <c r="H1365" i="14"/>
  <c r="H1204" i="14"/>
  <c r="D134" i="20" s="1"/>
  <c r="P1342" i="14"/>
  <c r="P1311" i="14" a="1"/>
  <c r="P1311" i="14" s="1"/>
  <c r="P1323" i="14" a="1"/>
  <c r="P1323" i="14" s="1"/>
  <c r="P159" i="14"/>
  <c r="X1315" i="14" a="1"/>
  <c r="X1315" i="14" s="1"/>
  <c r="X390" i="14"/>
  <c r="X1344" i="14"/>
  <c r="X1327" i="14" a="1"/>
  <c r="X1327" i="14" s="1"/>
  <c r="S1221" i="14"/>
  <c r="H1225" i="14" s="1"/>
  <c r="D135" i="20" s="1"/>
  <c r="AH1362" i="14" a="1"/>
  <c r="AH1362" i="14" s="1"/>
  <c r="AH1076" i="14"/>
  <c r="AJ159" i="14"/>
  <c r="AJ15" i="14" s="1"/>
  <c r="AJ1342" i="14"/>
  <c r="AJ1346" i="14" s="1"/>
  <c r="AJ1311" i="14" a="1"/>
  <c r="AJ1311" i="14" s="1"/>
  <c r="AJ1319" i="14" s="1"/>
  <c r="AJ1323" i="14" a="1"/>
  <c r="AJ1323" i="14" s="1"/>
  <c r="AJ1331" i="14" s="1"/>
  <c r="U381" i="14"/>
  <c r="U218" i="14"/>
  <c r="U224" i="14" s="1"/>
  <c r="U227" i="14" s="1"/>
  <c r="U229" i="14" s="1"/>
  <c r="U1343" i="14"/>
  <c r="U1313" i="14" a="1"/>
  <c r="U1313" i="14" s="1"/>
  <c r="U1325" i="14" a="1"/>
  <c r="U1325" i="14" s="1"/>
  <c r="L1327" i="14" a="1"/>
  <c r="L1327" i="14" s="1"/>
  <c r="L390" i="14"/>
  <c r="L1344" i="14"/>
  <c r="L1315" i="14" a="1"/>
  <c r="L1315" i="14" s="1"/>
  <c r="I204" i="14"/>
  <c r="I1212" i="14" s="1"/>
  <c r="C203" i="14"/>
  <c r="H159" i="14"/>
  <c r="H15" i="14" s="1"/>
  <c r="H1311" i="14" a="1"/>
  <c r="H1311" i="14" s="1"/>
  <c r="H1323" i="14" a="1"/>
  <c r="H1323" i="14" s="1"/>
  <c r="H1342" i="14"/>
  <c r="H1346" i="14" s="1"/>
  <c r="T1323" i="14" a="1"/>
  <c r="T1323" i="14" s="1"/>
  <c r="T1342" i="14"/>
  <c r="T159" i="14"/>
  <c r="T1311" i="14" a="1"/>
  <c r="T1311" i="14" s="1"/>
  <c r="N1311" i="14" a="1"/>
  <c r="N1311" i="14" s="1"/>
  <c r="N1342" i="14"/>
  <c r="N159" i="14"/>
  <c r="N1323" i="14" a="1"/>
  <c r="N1323" i="14" s="1"/>
  <c r="AP159" i="14"/>
  <c r="AP15" i="14" s="1"/>
  <c r="AP1342" i="14"/>
  <c r="AP1346" i="14" s="1"/>
  <c r="AP1323" i="14" a="1"/>
  <c r="AP1323" i="14" s="1"/>
  <c r="AP1331" i="14" s="1"/>
  <c r="AP1311" i="14" a="1"/>
  <c r="AP1311" i="14" s="1"/>
  <c r="AP1319" i="14" s="1"/>
  <c r="BY1076" i="14"/>
  <c r="BY1362" i="14" a="1"/>
  <c r="BY1362" i="14" s="1"/>
  <c r="BL1076" i="14"/>
  <c r="BL1362" i="14" a="1"/>
  <c r="BL1362" i="14" s="1"/>
  <c r="BF1323" i="14" a="1"/>
  <c r="BF1323" i="14" s="1"/>
  <c r="BF1331" i="14" s="1"/>
  <c r="BF159" i="14"/>
  <c r="BF15" i="14" s="1"/>
  <c r="BF1342" i="14"/>
  <c r="BF1346" i="14" s="1"/>
  <c r="BF1311" i="14" a="1"/>
  <c r="BF1311" i="14" s="1"/>
  <c r="BF1319" i="14" s="1"/>
  <c r="AR1342" i="14"/>
  <c r="AR1346" i="14" s="1"/>
  <c r="AR1323" i="14" a="1"/>
  <c r="AR1323" i="14" s="1"/>
  <c r="AR1331" i="14" s="1"/>
  <c r="AR1311" i="14" a="1"/>
  <c r="AR1311" i="14" s="1"/>
  <c r="AR1319" i="14" s="1"/>
  <c r="AR159" i="14"/>
  <c r="AR15" i="14" s="1"/>
  <c r="BR1123" i="14"/>
  <c r="BR1125" i="14" s="1"/>
  <c r="BR1127" i="14" s="1"/>
  <c r="V1325" i="14" a="1"/>
  <c r="V1325" i="14" s="1"/>
  <c r="V1343" i="14"/>
  <c r="V1313" i="14" a="1"/>
  <c r="V1313" i="14" s="1"/>
  <c r="V381" i="14"/>
  <c r="V218" i="14"/>
  <c r="V224" i="14" s="1"/>
  <c r="V227" i="14" s="1"/>
  <c r="V229" i="14" s="1"/>
  <c r="S390" i="14"/>
  <c r="S1344" i="14"/>
  <c r="S1315" i="14" a="1"/>
  <c r="S1315" i="14" s="1"/>
  <c r="S1327" i="14" a="1"/>
  <c r="S1327" i="14" s="1"/>
  <c r="BI1076" i="14"/>
  <c r="BI1362" i="14" a="1"/>
  <c r="BI1362" i="14" s="1"/>
  <c r="K159" i="14"/>
  <c r="K1323" i="14" a="1"/>
  <c r="K1323" i="14" s="1"/>
  <c r="K1311" i="14" a="1"/>
  <c r="K1311" i="14" s="1"/>
  <c r="K1342" i="14"/>
  <c r="S1358" i="14"/>
  <c r="BJ159" i="14"/>
  <c r="BJ15" i="14" s="1"/>
  <c r="BJ1323" i="14" a="1"/>
  <c r="BJ1323" i="14" s="1"/>
  <c r="BJ1331" i="14" s="1"/>
  <c r="BJ1342" i="14"/>
  <c r="BJ1346" i="14" s="1"/>
  <c r="BJ1311" i="14" a="1"/>
  <c r="BJ1311" i="14" s="1"/>
  <c r="BJ1319" i="14" s="1"/>
  <c r="BR1323" i="14" a="1"/>
  <c r="BR1323" i="14" s="1"/>
  <c r="BR1331" i="14" s="1"/>
  <c r="BR159" i="14"/>
  <c r="BR15" i="14" s="1"/>
  <c r="BR1311" i="14" a="1"/>
  <c r="BR1311" i="14" s="1"/>
  <c r="BR1319" i="14" s="1"/>
  <c r="BR1342" i="14"/>
  <c r="BR1346" i="14" s="1"/>
  <c r="BD1311" i="14" a="1"/>
  <c r="BD1311" i="14" s="1"/>
  <c r="BD1319" i="14" s="1"/>
  <c r="BD1342" i="14"/>
  <c r="BD1346" i="14" s="1"/>
  <c r="BD1323" i="14" a="1"/>
  <c r="BD1323" i="14" s="1"/>
  <c r="BD1331" i="14" s="1"/>
  <c r="BD159" i="14"/>
  <c r="BD15" i="14" s="1"/>
  <c r="O218" i="14"/>
  <c r="O224" i="14" s="1"/>
  <c r="O227" i="14" s="1"/>
  <c r="O229" i="14" s="1"/>
  <c r="O1343" i="14"/>
  <c r="O1313" i="14" a="1"/>
  <c r="O1313" i="14" s="1"/>
  <c r="O381" i="14"/>
  <c r="O1325" i="14" a="1"/>
  <c r="O1325" i="14" s="1"/>
  <c r="J1342" i="14"/>
  <c r="J1323" i="14" a="1"/>
  <c r="J1323" i="14" s="1"/>
  <c r="J159" i="14"/>
  <c r="J15" i="14" s="1"/>
  <c r="J1311" i="14" a="1"/>
  <c r="J1311" i="14" s="1"/>
  <c r="O1315" i="14" a="1"/>
  <c r="O1315" i="14" s="1"/>
  <c r="O1344" i="14"/>
  <c r="O1327" i="14" a="1"/>
  <c r="O1327" i="14" s="1"/>
  <c r="O390" i="14"/>
  <c r="AL1311" i="14" a="1"/>
  <c r="AL1311" i="14" s="1"/>
  <c r="AL1319" i="14" s="1"/>
  <c r="AL159" i="14"/>
  <c r="AL15" i="14" s="1"/>
  <c r="AL1323" i="14" a="1"/>
  <c r="AL1323" i="14" s="1"/>
  <c r="AL1331" i="14" s="1"/>
  <c r="AL1342" i="14"/>
  <c r="AL1346" i="14" s="1"/>
  <c r="BT1342" i="14"/>
  <c r="BT1346" i="14" s="1"/>
  <c r="BT1323" i="14" a="1"/>
  <c r="BT1323" i="14" s="1"/>
  <c r="BT1331" i="14" s="1"/>
  <c r="BT1311" i="14" a="1"/>
  <c r="BT1311" i="14" s="1"/>
  <c r="BT1319" i="14" s="1"/>
  <c r="BT159" i="14"/>
  <c r="BT15" i="14" s="1"/>
  <c r="AD1311" i="14" a="1"/>
  <c r="AD1311" i="14" s="1"/>
  <c r="AD1319" i="14" s="1"/>
  <c r="AD159" i="14"/>
  <c r="AD15" i="14" s="1"/>
  <c r="AD1342" i="14"/>
  <c r="AD1346" i="14" s="1"/>
  <c r="AD1323" i="14" a="1"/>
  <c r="AD1323" i="14" s="1"/>
  <c r="AD1331" i="14" s="1"/>
  <c r="X1239" i="14"/>
  <c r="X1366" i="14" s="1"/>
  <c r="AS1076" i="14"/>
  <c r="AS1362" i="14" a="1"/>
  <c r="AS1362" i="14" s="1"/>
  <c r="Q1311" i="14" a="1"/>
  <c r="Q1311" i="14" s="1"/>
  <c r="Q1342" i="14"/>
  <c r="Q1323" i="14" a="1"/>
  <c r="Q1323" i="14" s="1"/>
  <c r="Q159" i="14"/>
  <c r="I211" i="14"/>
  <c r="I1230" i="14" s="1"/>
  <c r="C210" i="14"/>
  <c r="Q1325" i="14" a="1"/>
  <c r="Q1325" i="14" s="1"/>
  <c r="Q1343" i="14"/>
  <c r="Q1313" i="14" a="1"/>
  <c r="Q1313" i="14" s="1"/>
  <c r="Q218" i="14"/>
  <c r="Q224" i="14" s="1"/>
  <c r="Q381" i="14"/>
  <c r="R390" i="14"/>
  <c r="R1327" i="14" a="1"/>
  <c r="R1327" i="14" s="1"/>
  <c r="R1344" i="14"/>
  <c r="R1315" i="14" a="1"/>
  <c r="R1315" i="14" s="1"/>
  <c r="BG1311" i="14" a="1"/>
  <c r="BG1311" i="14" s="1"/>
  <c r="BG1319" i="14" s="1"/>
  <c r="BG159" i="14"/>
  <c r="BG15" i="14" s="1"/>
  <c r="BG1342" i="14"/>
  <c r="BG1346" i="14" s="1"/>
  <c r="BG1323" i="14" a="1"/>
  <c r="BG1323" i="14" s="1"/>
  <c r="BG1331" i="14" s="1"/>
  <c r="BM1076" i="14"/>
  <c r="BM1362" i="14" a="1"/>
  <c r="BM1362" i="14" s="1"/>
  <c r="AI1076" i="14"/>
  <c r="AI1362" i="14" a="1"/>
  <c r="AI1362" i="14" s="1"/>
  <c r="BV159" i="14"/>
  <c r="BV15" i="14" s="1"/>
  <c r="BV1311" i="14" a="1"/>
  <c r="BV1311" i="14" s="1"/>
  <c r="BV1319" i="14" s="1"/>
  <c r="BV1342" i="14"/>
  <c r="BV1346" i="14" s="1"/>
  <c r="BV1323" i="14" a="1"/>
  <c r="BV1323" i="14" s="1"/>
  <c r="BV1331" i="14" s="1"/>
  <c r="BQ1342" i="14"/>
  <c r="BQ1346" i="14" s="1"/>
  <c r="BQ159" i="14"/>
  <c r="BQ15" i="14" s="1"/>
  <c r="BQ1323" i="14" a="1"/>
  <c r="BQ1323" i="14" s="1"/>
  <c r="BQ1331" i="14" s="1"/>
  <c r="BQ1311" i="14" a="1"/>
  <c r="BQ1311" i="14" s="1"/>
  <c r="BQ1319" i="14" s="1"/>
  <c r="J1314" i="14" a="1"/>
  <c r="J1314" i="14" s="1"/>
  <c r="J419" i="14"/>
  <c r="J1326" i="14" a="1"/>
  <c r="J1326" i="14" s="1"/>
  <c r="J1340" i="14"/>
  <c r="Y1325" i="14" a="1"/>
  <c r="Y1325" i="14" s="1"/>
  <c r="Y1343" i="14"/>
  <c r="Y381" i="14"/>
  <c r="Y1313" i="14" a="1"/>
  <c r="Y1313" i="14" s="1"/>
  <c r="Y218" i="14"/>
  <c r="Y224" i="14" s="1"/>
  <c r="Y227" i="14" s="1"/>
  <c r="Y229" i="14" s="1"/>
  <c r="AS1323" i="14" a="1"/>
  <c r="AS1323" i="14" s="1"/>
  <c r="AS1331" i="14" s="1"/>
  <c r="AS1342" i="14"/>
  <c r="AS1346" i="14" s="1"/>
  <c r="AS159" i="14"/>
  <c r="AS15" i="14" s="1"/>
  <c r="AS1311" i="14" a="1"/>
  <c r="AS1311" i="14" s="1"/>
  <c r="AS1319" i="14" s="1"/>
  <c r="K390" i="14"/>
  <c r="K1315" i="14" a="1"/>
  <c r="K1315" i="14" s="1"/>
  <c r="K1327" i="14" a="1"/>
  <c r="K1327" i="14" s="1"/>
  <c r="K1344" i="14"/>
  <c r="AM1342" i="14"/>
  <c r="AM1346" i="14" s="1"/>
  <c r="AM1323" i="14" a="1"/>
  <c r="AM1323" i="14" s="1"/>
  <c r="AM1331" i="14" s="1"/>
  <c r="AM159" i="14"/>
  <c r="AM15" i="14" s="1"/>
  <c r="AM1311" i="14" a="1"/>
  <c r="AM1311" i="14" s="1"/>
  <c r="AM1319" i="14" s="1"/>
  <c r="Y159" i="14"/>
  <c r="Y1311" i="14" a="1"/>
  <c r="Y1311" i="14" s="1"/>
  <c r="Y1342" i="14"/>
  <c r="Y1323" i="14" a="1"/>
  <c r="Y1323" i="14" s="1"/>
  <c r="W1313" i="14" a="1"/>
  <c r="W1313" i="14" s="1"/>
  <c r="W1343" i="14"/>
  <c r="W381" i="14"/>
  <c r="W218" i="14"/>
  <c r="W224" i="14" s="1"/>
  <c r="W227" i="14" s="1"/>
  <c r="W229" i="14" s="1"/>
  <c r="W1325" i="14" a="1"/>
  <c r="W1325" i="14" s="1"/>
  <c r="AM1362" i="14" a="1"/>
  <c r="AM1362" i="14" s="1"/>
  <c r="R227" i="14"/>
  <c r="R229" i="14" s="1"/>
  <c r="BW1076" i="14"/>
  <c r="BW1362" i="14" a="1"/>
  <c r="BW1362" i="14" s="1"/>
  <c r="AW1076" i="14"/>
  <c r="AW1362" i="14" a="1"/>
  <c r="AW1362" i="14" s="1"/>
  <c r="AR1076" i="14"/>
  <c r="AR1362" i="14" a="1"/>
  <c r="AR1362" i="14" s="1"/>
  <c r="BI1323" i="14" a="1"/>
  <c r="BI1323" i="14" s="1"/>
  <c r="BI1331" i="14" s="1"/>
  <c r="BI1342" i="14"/>
  <c r="BI1346" i="14" s="1"/>
  <c r="BI1311" i="14" a="1"/>
  <c r="BI1311" i="14" s="1"/>
  <c r="BI1319" i="14" s="1"/>
  <c r="BI159" i="14"/>
  <c r="BI15" i="14" s="1"/>
  <c r="AU1342" i="14"/>
  <c r="AU1346" i="14" s="1"/>
  <c r="AU1311" i="14" a="1"/>
  <c r="AU1311" i="14" s="1"/>
  <c r="AU1319" i="14" s="1"/>
  <c r="AU159" i="14"/>
  <c r="AU15" i="14" s="1"/>
  <c r="AU1323" i="14" a="1"/>
  <c r="AU1323" i="14" s="1"/>
  <c r="AU1331" i="14" s="1"/>
  <c r="N381" i="14"/>
  <c r="N1343" i="14"/>
  <c r="N218" i="14"/>
  <c r="N224" i="14" s="1"/>
  <c r="N1325" i="14" a="1"/>
  <c r="N1325" i="14" s="1"/>
  <c r="N1313" i="14" a="1"/>
  <c r="N1313" i="14" s="1"/>
  <c r="P1315" i="14" a="1"/>
  <c r="P1315" i="14" s="1"/>
  <c r="P390" i="14"/>
  <c r="P1327" i="14" a="1"/>
  <c r="P1327" i="14" s="1"/>
  <c r="P1344" i="14"/>
  <c r="W1342" i="14"/>
  <c r="W1323" i="14" a="1"/>
  <c r="W1323" i="14" s="1"/>
  <c r="W159" i="14"/>
  <c r="W1311" i="14" a="1"/>
  <c r="W1311" i="14" s="1"/>
  <c r="M1366" i="14"/>
  <c r="R1366" i="14"/>
  <c r="I1352" i="14"/>
  <c r="I938" i="14"/>
  <c r="Y1366" i="14"/>
  <c r="Q552" i="14"/>
  <c r="R1358" i="14"/>
  <c r="S552" i="14"/>
  <c r="BD911" i="14"/>
  <c r="BR911" i="14"/>
  <c r="AF911" i="14"/>
  <c r="H911" i="14"/>
  <c r="BK911" i="14"/>
  <c r="AO911" i="14"/>
  <c r="T911" i="14"/>
  <c r="T934" i="14" s="1"/>
  <c r="M911" i="14"/>
  <c r="M934" i="14" s="1"/>
  <c r="BQ911" i="14"/>
  <c r="AU911" i="14"/>
  <c r="AK911" i="14"/>
  <c r="K911" i="14"/>
  <c r="K934" i="14" s="1"/>
  <c r="BU911" i="14"/>
  <c r="BG911" i="14"/>
  <c r="BX911" i="14"/>
  <c r="AT911" i="14"/>
  <c r="BV911" i="14"/>
  <c r="AX911" i="14"/>
  <c r="AC911" i="14"/>
  <c r="AR911" i="14"/>
  <c r="AD911" i="14"/>
  <c r="C871" i="14"/>
  <c r="BA911" i="14"/>
  <c r="V911" i="14"/>
  <c r="V934" i="14" s="1"/>
  <c r="AL911" i="14"/>
  <c r="U911" i="14"/>
  <c r="U934" i="14" s="1"/>
  <c r="AP911" i="14"/>
  <c r="BH911" i="14"/>
  <c r="BS911" i="14"/>
  <c r="O911" i="14"/>
  <c r="O934" i="14" s="1"/>
  <c r="C831" i="14"/>
  <c r="BT911" i="14"/>
  <c r="BC911" i="14"/>
  <c r="BL911" i="14"/>
  <c r="BF911" i="14"/>
  <c r="BM911" i="14"/>
  <c r="BJ911" i="14"/>
  <c r="Q911" i="14"/>
  <c r="Q934" i="14" s="1"/>
  <c r="AI911" i="14"/>
  <c r="AG911" i="14"/>
  <c r="AB911" i="14"/>
  <c r="BY911" i="14"/>
  <c r="AZ911" i="14"/>
  <c r="AM911" i="14"/>
  <c r="AH911" i="14"/>
  <c r="BN911" i="14"/>
  <c r="AW911" i="14"/>
  <c r="BO911" i="14"/>
  <c r="BP911" i="14"/>
  <c r="X911" i="14"/>
  <c r="X934" i="14" s="1"/>
  <c r="BE911" i="14"/>
  <c r="AQ911" i="14"/>
  <c r="AN911" i="14"/>
  <c r="Z911" i="14"/>
  <c r="BW911" i="14"/>
  <c r="P911" i="14"/>
  <c r="P934" i="14" s="1"/>
  <c r="S911" i="14"/>
  <c r="S934" i="14" s="1"/>
  <c r="AJ911" i="14"/>
  <c r="AA911" i="14"/>
  <c r="R911" i="14"/>
  <c r="R934" i="14" s="1"/>
  <c r="I911" i="14"/>
  <c r="J911" i="14"/>
  <c r="BB911" i="14"/>
  <c r="C839" i="14"/>
  <c r="H836" i="14" s="1"/>
  <c r="Y911" i="14"/>
  <c r="Y934" i="14" s="1"/>
  <c r="N911" i="14"/>
  <c r="N934" i="14" s="1"/>
  <c r="AS911" i="14"/>
  <c r="AY911" i="14"/>
  <c r="W911" i="14"/>
  <c r="W934" i="14" s="1"/>
  <c r="BI911" i="14"/>
  <c r="L911" i="14"/>
  <c r="L934" i="14" s="1"/>
  <c r="AV911" i="14"/>
  <c r="AE911" i="14"/>
  <c r="Y1358" i="14"/>
  <c r="R552" i="14"/>
  <c r="P552" i="14"/>
  <c r="V552" i="14"/>
  <c r="Y552" i="14"/>
  <c r="O552" i="14"/>
  <c r="N552" i="14"/>
  <c r="J938" i="14"/>
  <c r="J566" i="14" s="1"/>
  <c r="J1352" i="14"/>
  <c r="J1358" i="14" s="1"/>
  <c r="J1230" i="14"/>
  <c r="K1366" i="14"/>
  <c r="N1358" i="14"/>
  <c r="U552" i="14"/>
  <c r="M552" i="14"/>
  <c r="K552" i="14"/>
  <c r="I925" i="14"/>
  <c r="I1351" i="14"/>
  <c r="L1358" i="14"/>
  <c r="M1358" i="14"/>
  <c r="AA902" i="14"/>
  <c r="O902" i="14"/>
  <c r="AQ902" i="14"/>
  <c r="AG902" i="14"/>
  <c r="BQ902" i="14"/>
  <c r="Z902" i="14"/>
  <c r="I902" i="14"/>
  <c r="AF902" i="14"/>
  <c r="AB902" i="14"/>
  <c r="AN902" i="14"/>
  <c r="C799" i="14"/>
  <c r="BT902" i="14"/>
  <c r="V902" i="14"/>
  <c r="V920" i="14" s="1"/>
  <c r="AP902" i="14"/>
  <c r="AO902" i="14"/>
  <c r="M902" i="14"/>
  <c r="M920" i="14" s="1"/>
  <c r="AK902" i="14"/>
  <c r="AW902" i="14"/>
  <c r="C767" i="14"/>
  <c r="H764" i="14" s="1"/>
  <c r="C759" i="14"/>
  <c r="BO902" i="14"/>
  <c r="BJ902" i="14"/>
  <c r="Q902" i="14"/>
  <c r="S902" i="14"/>
  <c r="AD902" i="14"/>
  <c r="BK902" i="14"/>
  <c r="AE902" i="14"/>
  <c r="BC902" i="14"/>
  <c r="BE902" i="14"/>
  <c r="AJ902" i="14"/>
  <c r="R902" i="14"/>
  <c r="R920" i="14" s="1"/>
  <c r="AZ902" i="14"/>
  <c r="BA902" i="14"/>
  <c r="X902" i="14"/>
  <c r="L902" i="14"/>
  <c r="L920" i="14" s="1"/>
  <c r="N902" i="14"/>
  <c r="N920" i="14" s="1"/>
  <c r="BM902" i="14"/>
  <c r="P902" i="14"/>
  <c r="BY902" i="14"/>
  <c r="BF902" i="14"/>
  <c r="BV902" i="14"/>
  <c r="U902" i="14"/>
  <c r="W902" i="14"/>
  <c r="W920" i="14" s="1"/>
  <c r="BB902" i="14"/>
  <c r="AU902" i="14"/>
  <c r="AL902" i="14"/>
  <c r="AX902" i="14"/>
  <c r="Y902" i="14"/>
  <c r="Y920" i="14" s="1"/>
  <c r="J902" i="14"/>
  <c r="AY902" i="14"/>
  <c r="AH902" i="14"/>
  <c r="BW902" i="14"/>
  <c r="BG902" i="14"/>
  <c r="H902" i="14"/>
  <c r="AS902" i="14"/>
  <c r="AC902" i="14"/>
  <c r="BS902" i="14"/>
  <c r="BR902" i="14"/>
  <c r="AT902" i="14"/>
  <c r="BD902" i="14"/>
  <c r="BX902" i="14"/>
  <c r="BP902" i="14"/>
  <c r="K902" i="14"/>
  <c r="K920" i="14" s="1"/>
  <c r="BU902" i="14"/>
  <c r="AM902" i="14"/>
  <c r="BH902" i="14"/>
  <c r="BN902" i="14"/>
  <c r="BL902" i="14"/>
  <c r="AR902" i="14"/>
  <c r="BI902" i="14"/>
  <c r="T902" i="14"/>
  <c r="AV902" i="14"/>
  <c r="AI902" i="14"/>
  <c r="L552" i="14"/>
  <c r="T552" i="14"/>
  <c r="W552" i="14"/>
  <c r="X552" i="14"/>
  <c r="Q1366" i="14"/>
  <c r="H1364" i="14"/>
  <c r="I1364" i="14" s="1"/>
  <c r="J1364" i="14" s="1"/>
  <c r="K1364" i="14" s="1"/>
  <c r="L1364" i="14" s="1"/>
  <c r="M1364" i="14" s="1"/>
  <c r="N1364" i="14" s="1"/>
  <c r="O1364" i="14" s="1"/>
  <c r="P1364" i="14" s="1"/>
  <c r="Q1364" i="14" s="1"/>
  <c r="R1364" i="14" s="1"/>
  <c r="S1364" i="14" s="1"/>
  <c r="T1364" i="14" s="1"/>
  <c r="U1364" i="14" s="1"/>
  <c r="V1364" i="14" s="1"/>
  <c r="W1364" i="14" s="1"/>
  <c r="X1364" i="14" s="1"/>
  <c r="Y1364" i="14" s="1"/>
  <c r="Z1364" i="14" s="1"/>
  <c r="AA1364" i="14" s="1"/>
  <c r="AB1364" i="14" s="1"/>
  <c r="AC1364" i="14" s="1"/>
  <c r="AD1364" i="14" s="1"/>
  <c r="AE1364" i="14" s="1"/>
  <c r="AF1364" i="14" s="1"/>
  <c r="D107" i="20"/>
  <c r="T1319" i="14" l="1"/>
  <c r="Q15" i="14"/>
  <c r="D106" i="20"/>
  <c r="V15" i="14"/>
  <c r="L933" i="14"/>
  <c r="S933" i="14"/>
  <c r="T933" i="14"/>
  <c r="P933" i="14"/>
  <c r="Q1319" i="14"/>
  <c r="M15" i="14"/>
  <c r="W933" i="14"/>
  <c r="V1346" i="14"/>
  <c r="R933" i="14"/>
  <c r="S1366" i="14"/>
  <c r="L15" i="14"/>
  <c r="U933" i="14"/>
  <c r="Q933" i="14"/>
  <c r="R1346" i="14"/>
  <c r="L1319" i="14"/>
  <c r="N1331" i="14"/>
  <c r="O1331" i="14"/>
  <c r="Q1331" i="14"/>
  <c r="K15" i="14"/>
  <c r="V1319" i="14"/>
  <c r="M1331" i="14"/>
  <c r="N1319" i="14"/>
  <c r="P1331" i="14"/>
  <c r="E30" i="20" a="1"/>
  <c r="E30" i="20" s="1"/>
  <c r="T15" i="14"/>
  <c r="T1346" i="14"/>
  <c r="T1331" i="14"/>
  <c r="K933" i="14"/>
  <c r="W1319" i="14"/>
  <c r="J1366" i="14"/>
  <c r="Q1346" i="14"/>
  <c r="N1346" i="14"/>
  <c r="U1346" i="14"/>
  <c r="S1346" i="14"/>
  <c r="X1319" i="14"/>
  <c r="L1331" i="14"/>
  <c r="R1331" i="14"/>
  <c r="U1331" i="14"/>
  <c r="S1331" i="14"/>
  <c r="X15" i="14"/>
  <c r="R15" i="14"/>
  <c r="N231" i="14"/>
  <c r="N233" i="14"/>
  <c r="N232" i="14"/>
  <c r="P15" i="14"/>
  <c r="V1331" i="14"/>
  <c r="O1319" i="14"/>
  <c r="L1346" i="14"/>
  <c r="R1319" i="14"/>
  <c r="D30" i="20"/>
  <c r="P1346" i="14"/>
  <c r="O1346" i="14"/>
  <c r="K1346" i="14"/>
  <c r="J29" i="14"/>
  <c r="N227" i="14"/>
  <c r="N229" i="14" s="1"/>
  <c r="P1319" i="14"/>
  <c r="E26" i="20" a="1"/>
  <c r="E26" i="20" s="1"/>
  <c r="H1331" i="14"/>
  <c r="K1331" i="14"/>
  <c r="J1346" i="14"/>
  <c r="Q231" i="14"/>
  <c r="Q233" i="14"/>
  <c r="Q232" i="14"/>
  <c r="H1319" i="14"/>
  <c r="D26" i="20"/>
  <c r="Q227" i="14"/>
  <c r="Q229" i="14" s="1"/>
  <c r="K1319" i="14"/>
  <c r="J1331" i="14"/>
  <c r="S233" i="14"/>
  <c r="S232" i="14"/>
  <c r="S231" i="14"/>
  <c r="V231" i="14"/>
  <c r="V233" i="14"/>
  <c r="V232" i="14"/>
  <c r="W15" i="14"/>
  <c r="P231" i="14"/>
  <c r="P232" i="14"/>
  <c r="P233" i="14"/>
  <c r="D28" i="20"/>
  <c r="BS160" i="14"/>
  <c r="BC160" i="14"/>
  <c r="BT694" i="14"/>
  <c r="AT694" i="14"/>
  <c r="AG694" i="14"/>
  <c r="AG553" i="14" s="1"/>
  <c r="AW160" i="14"/>
  <c r="T160" i="14"/>
  <c r="Y694" i="14"/>
  <c r="BK694" i="14"/>
  <c r="BK553" i="14" s="1"/>
  <c r="AL160" i="14"/>
  <c r="K160" i="14"/>
  <c r="BN160" i="14"/>
  <c r="AP160" i="14"/>
  <c r="V160" i="14"/>
  <c r="AV160" i="14"/>
  <c r="BJ694" i="14"/>
  <c r="BJ553" i="14" s="1"/>
  <c r="AG160" i="14"/>
  <c r="AJ160" i="14"/>
  <c r="AV694" i="14"/>
  <c r="X694" i="14"/>
  <c r="C97" i="14"/>
  <c r="H94" i="14" s="1"/>
  <c r="BX694" i="14"/>
  <c r="BX553" i="14" s="1"/>
  <c r="BQ694" i="14"/>
  <c r="T694" i="14"/>
  <c r="T553" i="14" s="1"/>
  <c r="BU694" i="14"/>
  <c r="P694" i="14"/>
  <c r="AX160" i="14"/>
  <c r="BF694" i="14"/>
  <c r="BF160" i="14"/>
  <c r="AX694" i="14"/>
  <c r="AX553" i="14" s="1"/>
  <c r="AB694" i="14"/>
  <c r="AB553" i="14" s="1"/>
  <c r="O160" i="14"/>
  <c r="BR160" i="14"/>
  <c r="AM160" i="14"/>
  <c r="BT160" i="14"/>
  <c r="BQ160" i="14"/>
  <c r="AL694" i="14"/>
  <c r="AL553" i="14" s="1"/>
  <c r="H160" i="14"/>
  <c r="BV694" i="14"/>
  <c r="S160" i="14"/>
  <c r="BM160" i="14"/>
  <c r="BX160" i="14"/>
  <c r="AQ160" i="14"/>
  <c r="U160" i="14"/>
  <c r="Z160" i="14"/>
  <c r="AY160" i="14"/>
  <c r="AQ694" i="14"/>
  <c r="AQ553" i="14" s="1"/>
  <c r="AS694" i="14"/>
  <c r="AS553" i="14" s="1"/>
  <c r="AK160" i="14"/>
  <c r="AP694" i="14"/>
  <c r="AP553" i="14" s="1"/>
  <c r="Y160" i="14"/>
  <c r="R694" i="14"/>
  <c r="AA694" i="14"/>
  <c r="AA553" i="14" s="1"/>
  <c r="BP160" i="14"/>
  <c r="AS160" i="14"/>
  <c r="AK694" i="14"/>
  <c r="AA160" i="14"/>
  <c r="AD694" i="14"/>
  <c r="AD553" i="14" s="1"/>
  <c r="BR694" i="14"/>
  <c r="BR553" i="14" s="1"/>
  <c r="BD694" i="14"/>
  <c r="BD553" i="14" s="1"/>
  <c r="AO160" i="14"/>
  <c r="BB160" i="14"/>
  <c r="BH694" i="14"/>
  <c r="BH553" i="14" s="1"/>
  <c r="AJ694" i="14"/>
  <c r="AJ553" i="14" s="1"/>
  <c r="AU694" i="14"/>
  <c r="O694" i="14"/>
  <c r="O553" i="14" s="1"/>
  <c r="BJ160" i="14"/>
  <c r="BC694" i="14"/>
  <c r="S694" i="14"/>
  <c r="S553" i="14" s="1"/>
  <c r="AI160" i="14"/>
  <c r="BI694" i="14"/>
  <c r="AB160" i="14"/>
  <c r="AC694" i="14"/>
  <c r="N694" i="14"/>
  <c r="N553" i="14" s="1"/>
  <c r="BG694" i="14"/>
  <c r="BG553" i="14" s="1"/>
  <c r="J160" i="14"/>
  <c r="I160" i="14"/>
  <c r="W694" i="14"/>
  <c r="W553" i="14" s="1"/>
  <c r="BS694" i="14"/>
  <c r="BS553" i="14" s="1"/>
  <c r="BA694" i="14"/>
  <c r="BA553" i="14" s="1"/>
  <c r="C129" i="14"/>
  <c r="AR694" i="14"/>
  <c r="AR553" i="14" s="1"/>
  <c r="BL160" i="14"/>
  <c r="N160" i="14"/>
  <c r="BW694" i="14"/>
  <c r="BW553" i="14" s="1"/>
  <c r="AT160" i="14"/>
  <c r="BA160" i="14"/>
  <c r="M694" i="14"/>
  <c r="AI694" i="14"/>
  <c r="BG160" i="14"/>
  <c r="AZ160" i="14"/>
  <c r="U694" i="14"/>
  <c r="BE160" i="14"/>
  <c r="V694" i="14"/>
  <c r="V553" i="14" s="1"/>
  <c r="AE694" i="14"/>
  <c r="AE553" i="14" s="1"/>
  <c r="BO160" i="14"/>
  <c r="I694" i="14"/>
  <c r="P160" i="14"/>
  <c r="H694" i="14"/>
  <c r="AN694" i="14"/>
  <c r="BL694" i="14"/>
  <c r="BL553" i="14" s="1"/>
  <c r="X160" i="14"/>
  <c r="AF694" i="14"/>
  <c r="L694" i="14"/>
  <c r="AO694" i="14"/>
  <c r="AO553" i="14" s="1"/>
  <c r="AZ694" i="14"/>
  <c r="AZ553" i="14" s="1"/>
  <c r="R160" i="14"/>
  <c r="AR160" i="14"/>
  <c r="M160" i="14"/>
  <c r="BY160" i="14"/>
  <c r="BH160" i="14"/>
  <c r="BY694" i="14"/>
  <c r="BY553" i="14" s="1"/>
  <c r="AH694" i="14"/>
  <c r="AF160" i="14"/>
  <c r="BB694" i="14"/>
  <c r="BM694" i="14"/>
  <c r="BU160" i="14"/>
  <c r="AN160" i="14"/>
  <c r="BV160" i="14"/>
  <c r="J694" i="14"/>
  <c r="BI160" i="14"/>
  <c r="L160" i="14"/>
  <c r="Q694" i="14"/>
  <c r="Q553" i="14" s="1"/>
  <c r="K694" i="14"/>
  <c r="AM694" i="14"/>
  <c r="AM553" i="14" s="1"/>
  <c r="Z694" i="14"/>
  <c r="Z553" i="14" s="1"/>
  <c r="BO694" i="14"/>
  <c r="BO553" i="14" s="1"/>
  <c r="AW694" i="14"/>
  <c r="AW553" i="14" s="1"/>
  <c r="W160" i="14"/>
  <c r="AY694" i="14"/>
  <c r="AY553" i="14" s="1"/>
  <c r="C89" i="14"/>
  <c r="BE694" i="14"/>
  <c r="AE160" i="14"/>
  <c r="BP694" i="14"/>
  <c r="BP553" i="14" s="1"/>
  <c r="BK160" i="14"/>
  <c r="AC160" i="14"/>
  <c r="AD160" i="14"/>
  <c r="Q160" i="14"/>
  <c r="BW160" i="14"/>
  <c r="AU160" i="14"/>
  <c r="BD160" i="14"/>
  <c r="BN694" i="14"/>
  <c r="BN553" i="14" s="1"/>
  <c r="AH160" i="14"/>
  <c r="H1243" i="14"/>
  <c r="D136" i="20" s="1"/>
  <c r="W231" i="14"/>
  <c r="W233" i="14"/>
  <c r="W232" i="14"/>
  <c r="I1358" i="14"/>
  <c r="Y1331" i="14"/>
  <c r="Y231" i="14"/>
  <c r="Y233" i="14"/>
  <c r="Y232" i="14"/>
  <c r="AR382" i="14"/>
  <c r="BN382" i="14"/>
  <c r="Q382" i="14"/>
  <c r="Q402" i="14" s="1"/>
  <c r="AD382" i="14"/>
  <c r="AA382" i="14"/>
  <c r="BR382" i="14"/>
  <c r="BS382" i="14"/>
  <c r="W382" i="14"/>
  <c r="W402" i="14" s="1"/>
  <c r="AF382" i="14"/>
  <c r="BE382" i="14"/>
  <c r="BM382" i="14"/>
  <c r="I382" i="14"/>
  <c r="BJ382" i="14"/>
  <c r="Z382" i="14"/>
  <c r="AP382" i="14"/>
  <c r="BT382" i="14"/>
  <c r="AB382" i="14"/>
  <c r="BU382" i="14"/>
  <c r="X382" i="14"/>
  <c r="X402" i="14" s="1"/>
  <c r="BB382" i="14"/>
  <c r="AW382" i="14"/>
  <c r="R382" i="14"/>
  <c r="R402" i="14" s="1"/>
  <c r="P382" i="14"/>
  <c r="P402" i="14" s="1"/>
  <c r="T382" i="14"/>
  <c r="T402" i="14" s="1"/>
  <c r="J382" i="14"/>
  <c r="AH382" i="14"/>
  <c r="BP382" i="14"/>
  <c r="AE382" i="14"/>
  <c r="AO382" i="14"/>
  <c r="BO382" i="14"/>
  <c r="S382" i="14"/>
  <c r="S402" i="14" s="1"/>
  <c r="H382" i="14"/>
  <c r="AG382" i="14"/>
  <c r="AT382" i="14"/>
  <c r="M382" i="14"/>
  <c r="M402" i="14" s="1"/>
  <c r="AS382" i="14"/>
  <c r="BV382" i="14"/>
  <c r="O382" i="14"/>
  <c r="O402" i="14" s="1"/>
  <c r="C278" i="14"/>
  <c r="AK382" i="14"/>
  <c r="BW382" i="14"/>
  <c r="AZ382" i="14"/>
  <c r="BI382" i="14"/>
  <c r="BH382" i="14"/>
  <c r="BG382" i="14"/>
  <c r="BF382" i="14"/>
  <c r="BA382" i="14"/>
  <c r="K382" i="14"/>
  <c r="K402" i="14" s="1"/>
  <c r="AQ382" i="14"/>
  <c r="Y382" i="14"/>
  <c r="Y402" i="14" s="1"/>
  <c r="AX382" i="14"/>
  <c r="U382" i="14"/>
  <c r="U402" i="14" s="1"/>
  <c r="BY382" i="14"/>
  <c r="AL382" i="14"/>
  <c r="L382" i="14"/>
  <c r="L402" i="14" s="1"/>
  <c r="V382" i="14"/>
  <c r="V402" i="14" s="1"/>
  <c r="BD382" i="14"/>
  <c r="C246" i="14"/>
  <c r="H243" i="14" s="1"/>
  <c r="AY382" i="14"/>
  <c r="AV382" i="14"/>
  <c r="BQ382" i="14"/>
  <c r="AN382" i="14"/>
  <c r="AM382" i="14"/>
  <c r="AI382" i="14"/>
  <c r="BC382" i="14"/>
  <c r="AU382" i="14"/>
  <c r="AJ382" i="14"/>
  <c r="N382" i="14"/>
  <c r="N402" i="14" s="1"/>
  <c r="BL382" i="14"/>
  <c r="BK382" i="14"/>
  <c r="AC382" i="14"/>
  <c r="BX382" i="14"/>
  <c r="C238" i="14"/>
  <c r="L232" i="14"/>
  <c r="L233" i="14"/>
  <c r="L231" i="14"/>
  <c r="J1319" i="14"/>
  <c r="I1338" i="14"/>
  <c r="I1190" i="14"/>
  <c r="I1310" i="14" a="1"/>
  <c r="I1310" i="14" s="1"/>
  <c r="I175" i="14"/>
  <c r="I1322" i="14" a="1"/>
  <c r="I1322" i="14" s="1"/>
  <c r="O15" i="14"/>
  <c r="M933" i="14"/>
  <c r="W1346" i="14"/>
  <c r="Y1346" i="14"/>
  <c r="I1312" i="14" a="1"/>
  <c r="I1312" i="14" s="1"/>
  <c r="D27" i="20" s="1"/>
  <c r="I1339" i="14"/>
  <c r="I406" i="14"/>
  <c r="I1324" i="14" a="1"/>
  <c r="I1324" i="14" s="1"/>
  <c r="E27" i="20" s="1" a="1"/>
  <c r="E27" i="20" s="1"/>
  <c r="D102" i="20"/>
  <c r="D109" i="20" s="1"/>
  <c r="D10" i="20" s="1"/>
  <c r="K232" i="14"/>
  <c r="K231" i="14"/>
  <c r="K233" i="14"/>
  <c r="W1331" i="14"/>
  <c r="Y1319" i="14"/>
  <c r="BX391" i="14"/>
  <c r="AH391" i="14"/>
  <c r="AJ391" i="14"/>
  <c r="AB391" i="14"/>
  <c r="S391" i="14"/>
  <c r="S415" i="14" s="1"/>
  <c r="BN391" i="14"/>
  <c r="BJ391" i="14"/>
  <c r="T391" i="14"/>
  <c r="T415" i="14" s="1"/>
  <c r="AK391" i="14"/>
  <c r="Y391" i="14"/>
  <c r="Y415" i="14" s="1"/>
  <c r="AO391" i="14"/>
  <c r="AQ391" i="14"/>
  <c r="BR391" i="14"/>
  <c r="BQ391" i="14"/>
  <c r="BY391" i="14"/>
  <c r="AF391" i="14"/>
  <c r="U391" i="14"/>
  <c r="U415" i="14" s="1"/>
  <c r="AD391" i="14"/>
  <c r="I391" i="14"/>
  <c r="M391" i="14"/>
  <c r="M415" i="14" s="1"/>
  <c r="AX391" i="14"/>
  <c r="Q391" i="14"/>
  <c r="Q415" i="14" s="1"/>
  <c r="BI391" i="14"/>
  <c r="BC391" i="14"/>
  <c r="AY391" i="14"/>
  <c r="AE391" i="14"/>
  <c r="K391" i="14"/>
  <c r="K415" i="14" s="1"/>
  <c r="H391" i="14"/>
  <c r="AR391" i="14"/>
  <c r="BP391" i="14"/>
  <c r="X391" i="14"/>
  <c r="X415" i="14" s="1"/>
  <c r="AZ391" i="14"/>
  <c r="V391" i="14"/>
  <c r="V415" i="14" s="1"/>
  <c r="AW391" i="14"/>
  <c r="R391" i="14"/>
  <c r="R415" i="14" s="1"/>
  <c r="Z391" i="14"/>
  <c r="BL391" i="14"/>
  <c r="C318" i="14"/>
  <c r="H315" i="14" s="1"/>
  <c r="BK391" i="14"/>
  <c r="BG391" i="14"/>
  <c r="BF391" i="14"/>
  <c r="BS391" i="14"/>
  <c r="BT391" i="14"/>
  <c r="BD391" i="14"/>
  <c r="AG391" i="14"/>
  <c r="C310" i="14"/>
  <c r="AV391" i="14"/>
  <c r="N391" i="14"/>
  <c r="N415" i="14" s="1"/>
  <c r="AU391" i="14"/>
  <c r="C350" i="14"/>
  <c r="J391" i="14"/>
  <c r="P391" i="14"/>
  <c r="P415" i="14" s="1"/>
  <c r="BM391" i="14"/>
  <c r="BO391" i="14"/>
  <c r="BE391" i="14"/>
  <c r="AT391" i="14"/>
  <c r="AA391" i="14"/>
  <c r="BB391" i="14"/>
  <c r="O391" i="14"/>
  <c r="O415" i="14" s="1"/>
  <c r="AC391" i="14"/>
  <c r="BA391" i="14"/>
  <c r="BV391" i="14"/>
  <c r="AM391" i="14"/>
  <c r="W391" i="14"/>
  <c r="W415" i="14" s="1"/>
  <c r="BW391" i="14"/>
  <c r="L391" i="14"/>
  <c r="L415" i="14" s="1"/>
  <c r="AS391" i="14"/>
  <c r="BH391" i="14"/>
  <c r="AL391" i="14"/>
  <c r="AP391" i="14"/>
  <c r="BU391" i="14"/>
  <c r="AI391" i="14"/>
  <c r="AN391" i="14"/>
  <c r="E28" i="20" a="1"/>
  <c r="E28" i="20" s="1"/>
  <c r="U233" i="14"/>
  <c r="U231" i="14"/>
  <c r="U232" i="14"/>
  <c r="R231" i="14"/>
  <c r="R232" i="14"/>
  <c r="R233" i="14"/>
  <c r="V933" i="14"/>
  <c r="Y15" i="14"/>
  <c r="I1314" i="14" a="1"/>
  <c r="I1314" i="14" s="1"/>
  <c r="D29" i="20" s="1"/>
  <c r="I1326" i="14" a="1"/>
  <c r="I1326" i="14" s="1"/>
  <c r="E29" i="20" s="1" a="1"/>
  <c r="E29" i="20" s="1"/>
  <c r="I1340" i="14"/>
  <c r="I419" i="14"/>
  <c r="O232" i="14"/>
  <c r="O231" i="14"/>
  <c r="O233" i="14"/>
  <c r="T231" i="14"/>
  <c r="T233" i="14"/>
  <c r="T232" i="14"/>
  <c r="M1346" i="14"/>
  <c r="U15" i="14"/>
  <c r="S15" i="14"/>
  <c r="X1346" i="14"/>
  <c r="X231" i="14"/>
  <c r="X232" i="14"/>
  <c r="X233" i="14"/>
  <c r="N15" i="14"/>
  <c r="M1319" i="14"/>
  <c r="U1319" i="14"/>
  <c r="S1319" i="14"/>
  <c r="X1331" i="14"/>
  <c r="M233" i="14"/>
  <c r="M232" i="14"/>
  <c r="M231" i="14"/>
  <c r="H1234" i="14"/>
  <c r="D131" i="20" s="1"/>
  <c r="BR921" i="14"/>
  <c r="BR920" i="14"/>
  <c r="U921" i="14"/>
  <c r="BK920" i="14"/>
  <c r="BK921" i="14"/>
  <c r="AN921" i="14"/>
  <c r="AN920" i="14"/>
  <c r="AN553" i="14"/>
  <c r="AY933" i="14"/>
  <c r="AY934" i="14"/>
  <c r="AQ933" i="14"/>
  <c r="AQ934" i="14"/>
  <c r="BM933" i="14"/>
  <c r="BM934" i="14"/>
  <c r="AR933" i="14"/>
  <c r="AR934" i="14"/>
  <c r="H913" i="14"/>
  <c r="H933" i="14"/>
  <c r="H934" i="14"/>
  <c r="AI921" i="14"/>
  <c r="AI920" i="14"/>
  <c r="AI553" i="14"/>
  <c r="BS921" i="14"/>
  <c r="BS920" i="14"/>
  <c r="BV920" i="14"/>
  <c r="BV921" i="14"/>
  <c r="BV553" i="14"/>
  <c r="AD921" i="14"/>
  <c r="AD920" i="14"/>
  <c r="AB921" i="14"/>
  <c r="AB920" i="14"/>
  <c r="AS934" i="14"/>
  <c r="AS933" i="14"/>
  <c r="BE933" i="14"/>
  <c r="BE934" i="14"/>
  <c r="BF934" i="14"/>
  <c r="BF933" i="14"/>
  <c r="AC934" i="14"/>
  <c r="AC933" i="14"/>
  <c r="AF933" i="14"/>
  <c r="AF934" i="14"/>
  <c r="AV921" i="14"/>
  <c r="AV920" i="14"/>
  <c r="AV553" i="14"/>
  <c r="AC921" i="14"/>
  <c r="AC920" i="14"/>
  <c r="BF921" i="14"/>
  <c r="BF920" i="14"/>
  <c r="S921" i="14"/>
  <c r="AF921" i="14"/>
  <c r="AF920" i="14"/>
  <c r="AF553" i="14"/>
  <c r="BL933" i="14"/>
  <c r="BL934" i="14"/>
  <c r="AX934" i="14"/>
  <c r="AX933" i="14"/>
  <c r="BR933" i="14"/>
  <c r="BR934" i="14"/>
  <c r="T921" i="14"/>
  <c r="AS921" i="14"/>
  <c r="AS920" i="14"/>
  <c r="BY920" i="14"/>
  <c r="BY921" i="14"/>
  <c r="Q921" i="14"/>
  <c r="I921" i="14"/>
  <c r="I920" i="14"/>
  <c r="I553" i="14"/>
  <c r="BP933" i="14"/>
  <c r="BP934" i="14"/>
  <c r="BC934" i="14"/>
  <c r="BC933" i="14"/>
  <c r="BV933" i="14"/>
  <c r="BV934" i="14"/>
  <c r="BD934" i="14"/>
  <c r="BD933" i="14"/>
  <c r="BI921" i="14"/>
  <c r="BI920" i="14"/>
  <c r="BI553" i="14"/>
  <c r="H921" i="14"/>
  <c r="H904" i="14"/>
  <c r="H920" i="14"/>
  <c r="H553" i="14"/>
  <c r="P921" i="14"/>
  <c r="BJ921" i="14"/>
  <c r="BJ920" i="14"/>
  <c r="Z921" i="14"/>
  <c r="Z920" i="14"/>
  <c r="U920" i="14"/>
  <c r="Y933" i="14"/>
  <c r="H847" i="14"/>
  <c r="H846" i="14"/>
  <c r="H844" i="14"/>
  <c r="H849" i="14"/>
  <c r="H868" i="14"/>
  <c r="H848" i="14"/>
  <c r="H843" i="14"/>
  <c r="H845" i="14"/>
  <c r="H842" i="14"/>
  <c r="BO934" i="14"/>
  <c r="BO933" i="14"/>
  <c r="BT933" i="14"/>
  <c r="BT934" i="14"/>
  <c r="AT934" i="14"/>
  <c r="AT933" i="14"/>
  <c r="AR921" i="14"/>
  <c r="AR920" i="14"/>
  <c r="BG921" i="14"/>
  <c r="BG920" i="14"/>
  <c r="BM921" i="14"/>
  <c r="BM920" i="14"/>
  <c r="BM553" i="14"/>
  <c r="BO920" i="14"/>
  <c r="BO921" i="14"/>
  <c r="BQ921" i="14"/>
  <c r="BQ920" i="14"/>
  <c r="BQ553" i="14"/>
  <c r="P920" i="14"/>
  <c r="BB933" i="14"/>
  <c r="BB934" i="14"/>
  <c r="AW933" i="14"/>
  <c r="AW934" i="14"/>
  <c r="I831" i="14"/>
  <c r="BX934" i="14"/>
  <c r="BX933" i="14"/>
  <c r="S920" i="14"/>
  <c r="BL920" i="14"/>
  <c r="BL921" i="14"/>
  <c r="BW921" i="14"/>
  <c r="BW920" i="14"/>
  <c r="N921" i="14"/>
  <c r="I759" i="14"/>
  <c r="AG921" i="14"/>
  <c r="AG920" i="14"/>
  <c r="J934" i="14"/>
  <c r="J933" i="14"/>
  <c r="BN934" i="14"/>
  <c r="BN933" i="14"/>
  <c r="BG933" i="14"/>
  <c r="BG934" i="14"/>
  <c r="BN921" i="14"/>
  <c r="BN920" i="14"/>
  <c r="AH921" i="14"/>
  <c r="AH920" i="14"/>
  <c r="AH553" i="14"/>
  <c r="L921" i="14"/>
  <c r="L553" i="14"/>
  <c r="H777" i="14"/>
  <c r="H796" i="14"/>
  <c r="H771" i="14"/>
  <c r="H772" i="14"/>
  <c r="H774" i="14"/>
  <c r="H775" i="14"/>
  <c r="H773" i="14"/>
  <c r="H776" i="14"/>
  <c r="AQ920" i="14"/>
  <c r="AQ921" i="14"/>
  <c r="I933" i="14"/>
  <c r="I934" i="14"/>
  <c r="AH934" i="14"/>
  <c r="AH933" i="14"/>
  <c r="BS933" i="14"/>
  <c r="BS934" i="14"/>
  <c r="BU934" i="14"/>
  <c r="BU933" i="14"/>
  <c r="BH921" i="14"/>
  <c r="BH920" i="14"/>
  <c r="AY920" i="14"/>
  <c r="AY921" i="14"/>
  <c r="X921" i="14"/>
  <c r="X553" i="14"/>
  <c r="AW920" i="14"/>
  <c r="AW921" i="14"/>
  <c r="O921" i="14"/>
  <c r="X933" i="14"/>
  <c r="AM934" i="14"/>
  <c r="AM933" i="14"/>
  <c r="BH933" i="14"/>
  <c r="BH934" i="14"/>
  <c r="Q920" i="14"/>
  <c r="X920" i="14"/>
  <c r="AM921" i="14"/>
  <c r="AM920" i="14"/>
  <c r="J921" i="14"/>
  <c r="J920" i="14"/>
  <c r="J553" i="14"/>
  <c r="BA921" i="14"/>
  <c r="BA920" i="14"/>
  <c r="AK921" i="14"/>
  <c r="AK920" i="14"/>
  <c r="AK553" i="14"/>
  <c r="AA921" i="14"/>
  <c r="AA920" i="14"/>
  <c r="O920" i="14"/>
  <c r="AA934" i="14"/>
  <c r="AA933" i="14"/>
  <c r="AZ934" i="14"/>
  <c r="AZ933" i="14"/>
  <c r="AP934" i="14"/>
  <c r="AP933" i="14"/>
  <c r="AK933" i="14"/>
  <c r="AK934" i="14"/>
  <c r="BU921" i="14"/>
  <c r="BU920" i="14"/>
  <c r="Y921" i="14"/>
  <c r="Y553" i="14"/>
  <c r="AZ921" i="14"/>
  <c r="AZ920" i="14"/>
  <c r="M921" i="14"/>
  <c r="M553" i="14"/>
  <c r="AJ933" i="14"/>
  <c r="AJ934" i="14"/>
  <c r="BY934" i="14"/>
  <c r="BY933" i="14"/>
  <c r="AU934" i="14"/>
  <c r="AU933" i="14"/>
  <c r="K921" i="14"/>
  <c r="AX920" i="14"/>
  <c r="AX921" i="14"/>
  <c r="R921" i="14"/>
  <c r="R553" i="14"/>
  <c r="AO920" i="14"/>
  <c r="AO921" i="14"/>
  <c r="AE934" i="14"/>
  <c r="AE933" i="14"/>
  <c r="AB934" i="14"/>
  <c r="AB933" i="14"/>
  <c r="AL933" i="14"/>
  <c r="AL934" i="14"/>
  <c r="BQ934" i="14"/>
  <c r="BQ933" i="14"/>
  <c r="BP921" i="14"/>
  <c r="BP920" i="14"/>
  <c r="AL921" i="14"/>
  <c r="AL920" i="14"/>
  <c r="AJ920" i="14"/>
  <c r="AJ921" i="14"/>
  <c r="AP920" i="14"/>
  <c r="AP921" i="14"/>
  <c r="H1216" i="14"/>
  <c r="D130" i="20" s="1"/>
  <c r="I1366" i="14"/>
  <c r="AV933" i="14"/>
  <c r="AV934" i="14"/>
  <c r="AG934" i="14"/>
  <c r="AG933" i="14"/>
  <c r="BX920" i="14"/>
  <c r="BX921" i="14"/>
  <c r="AU921" i="14"/>
  <c r="AU920" i="14"/>
  <c r="AU553" i="14"/>
  <c r="BE920" i="14"/>
  <c r="BE921" i="14"/>
  <c r="BE553" i="14"/>
  <c r="V921" i="14"/>
  <c r="BW933" i="14"/>
  <c r="BW934" i="14"/>
  <c r="AI934" i="14"/>
  <c r="AI933" i="14"/>
  <c r="BA934" i="14"/>
  <c r="BA933" i="14"/>
  <c r="N933" i="14"/>
  <c r="T920" i="14"/>
  <c r="BD921" i="14"/>
  <c r="BD920" i="14"/>
  <c r="BB921" i="14"/>
  <c r="BB920" i="14"/>
  <c r="BB553" i="14"/>
  <c r="BC920" i="14"/>
  <c r="BC921" i="14"/>
  <c r="BC553" i="14"/>
  <c r="BT921" i="14"/>
  <c r="BT920" i="14"/>
  <c r="BT553" i="14"/>
  <c r="I566" i="14"/>
  <c r="BI933" i="14"/>
  <c r="BI934" i="14"/>
  <c r="Z933" i="14"/>
  <c r="Z934" i="14"/>
  <c r="AO933" i="14"/>
  <c r="AO934" i="14"/>
  <c r="AT920" i="14"/>
  <c r="AT921" i="14"/>
  <c r="AT553" i="14"/>
  <c r="W921" i="14"/>
  <c r="AE921" i="14"/>
  <c r="AE920" i="14"/>
  <c r="AN933" i="14"/>
  <c r="AN934" i="14"/>
  <c r="BJ934" i="14"/>
  <c r="BJ933" i="14"/>
  <c r="AD933" i="14"/>
  <c r="AD934" i="14"/>
  <c r="BK933" i="14"/>
  <c r="BK934" i="14"/>
  <c r="O933" i="14"/>
  <c r="AG1364" i="14"/>
  <c r="AF1369" i="14"/>
  <c r="M414" i="14" l="1"/>
  <c r="L401" i="14"/>
  <c r="T401" i="14"/>
  <c r="D17" i="20"/>
  <c r="Q414" i="14"/>
  <c r="U414" i="14"/>
  <c r="V401" i="14"/>
  <c r="O401" i="14"/>
  <c r="AE415" i="14"/>
  <c r="AE414" i="14"/>
  <c r="BC402" i="14"/>
  <c r="BC401" i="14"/>
  <c r="H1194" i="14"/>
  <c r="D129" i="20" s="1"/>
  <c r="D13" i="20" s="1"/>
  <c r="I1365" i="14"/>
  <c r="AC705" i="14"/>
  <c r="AC704" i="14"/>
  <c r="AC696" i="14"/>
  <c r="X401" i="14"/>
  <c r="BT414" i="14"/>
  <c r="BT415" i="14"/>
  <c r="AO415" i="14"/>
  <c r="AO414" i="14"/>
  <c r="S401" i="14"/>
  <c r="AS402" i="14"/>
  <c r="AS401" i="14"/>
  <c r="BB402" i="14"/>
  <c r="BB401" i="14"/>
  <c r="AD402" i="14"/>
  <c r="AD401" i="14"/>
  <c r="BD170" i="14"/>
  <c r="BD16" i="14"/>
  <c r="BD171" i="14"/>
  <c r="AM705" i="14"/>
  <c r="AM704" i="14"/>
  <c r="AM696" i="14"/>
  <c r="M170" i="14"/>
  <c r="M171" i="14"/>
  <c r="M25" i="14" s="1"/>
  <c r="M16" i="14"/>
  <c r="BE16" i="14"/>
  <c r="BE171" i="14"/>
  <c r="BE170" i="14"/>
  <c r="I171" i="14"/>
  <c r="I170" i="14"/>
  <c r="I16" i="14"/>
  <c r="AO170" i="14"/>
  <c r="AO171" i="14"/>
  <c r="AO16" i="14"/>
  <c r="Z171" i="14"/>
  <c r="Z170" i="14"/>
  <c r="Z16" i="14"/>
  <c r="BF171" i="14"/>
  <c r="BF170" i="14"/>
  <c r="BF16" i="14"/>
  <c r="AP170" i="14"/>
  <c r="AP16" i="14"/>
  <c r="AP171" i="14"/>
  <c r="R414" i="14"/>
  <c r="E25" i="20" a="1"/>
  <c r="E25" i="20" s="1"/>
  <c r="E33" i="20" s="1"/>
  <c r="I1331" i="14"/>
  <c r="AJ401" i="14"/>
  <c r="AJ402" i="14"/>
  <c r="AX401" i="14"/>
  <c r="AX402" i="14"/>
  <c r="AU16" i="14"/>
  <c r="AU170" i="14"/>
  <c r="AU171" i="14"/>
  <c r="K705" i="14"/>
  <c r="K696" i="14"/>
  <c r="K704" i="14"/>
  <c r="AR171" i="14"/>
  <c r="AR170" i="14"/>
  <c r="AR16" i="14"/>
  <c r="U705" i="14"/>
  <c r="U704" i="14"/>
  <c r="U696" i="14"/>
  <c r="J171" i="14"/>
  <c r="J16" i="14"/>
  <c r="J170" i="14"/>
  <c r="BD705" i="14"/>
  <c r="BD704" i="14"/>
  <c r="BD696" i="14"/>
  <c r="U16" i="14"/>
  <c r="U170" i="14"/>
  <c r="U171" i="14"/>
  <c r="U25" i="14" s="1"/>
  <c r="BF705" i="14"/>
  <c r="BF696" i="14"/>
  <c r="BF704" i="14"/>
  <c r="BN171" i="14"/>
  <c r="BN16" i="14"/>
  <c r="BN170" i="14"/>
  <c r="BF553" i="14"/>
  <c r="BF562" i="14" s="1"/>
  <c r="AN414" i="14"/>
  <c r="AN415" i="14"/>
  <c r="AA415" i="14"/>
  <c r="AA414" i="14"/>
  <c r="BF414" i="14"/>
  <c r="BF415" i="14"/>
  <c r="AY415" i="14"/>
  <c r="AY414" i="14"/>
  <c r="AK414" i="14"/>
  <c r="AK415" i="14"/>
  <c r="I29" i="14"/>
  <c r="AU402" i="14"/>
  <c r="AU401" i="14"/>
  <c r="AT402" i="14"/>
  <c r="AT401" i="14"/>
  <c r="BU402" i="14"/>
  <c r="BU401" i="14"/>
  <c r="BN402" i="14"/>
  <c r="BN401" i="14"/>
  <c r="BW170" i="14"/>
  <c r="BW16" i="14"/>
  <c r="BW171" i="14"/>
  <c r="Q705" i="14"/>
  <c r="Q704" i="14"/>
  <c r="Q696" i="14"/>
  <c r="R171" i="14"/>
  <c r="R25" i="14" s="1"/>
  <c r="R16" i="14"/>
  <c r="R170" i="14"/>
  <c r="AZ171" i="14"/>
  <c r="AZ170" i="14"/>
  <c r="AZ16" i="14"/>
  <c r="BG705" i="14"/>
  <c r="BG704" i="14"/>
  <c r="BG696" i="14"/>
  <c r="BR705" i="14"/>
  <c r="BR704" i="14"/>
  <c r="BR696" i="14"/>
  <c r="AQ171" i="14"/>
  <c r="AQ170" i="14"/>
  <c r="AQ16" i="14"/>
  <c r="AX170" i="14"/>
  <c r="AX171" i="14"/>
  <c r="AX16" i="14"/>
  <c r="K170" i="14"/>
  <c r="K171" i="14"/>
  <c r="K25" i="14" s="1"/>
  <c r="K16" i="14"/>
  <c r="AP414" i="14"/>
  <c r="AP415" i="14"/>
  <c r="BO415" i="14"/>
  <c r="BO414" i="14"/>
  <c r="H322" i="14"/>
  <c r="H323" i="14"/>
  <c r="H324" i="14"/>
  <c r="H347" i="14"/>
  <c r="H328" i="14"/>
  <c r="H325" i="14"/>
  <c r="H326" i="14"/>
  <c r="H327" i="14"/>
  <c r="BN415" i="14"/>
  <c r="BN414" i="14"/>
  <c r="I1346" i="14"/>
  <c r="AM401" i="14"/>
  <c r="AM402" i="14"/>
  <c r="BA402" i="14"/>
  <c r="BA401" i="14"/>
  <c r="AP402" i="14"/>
  <c r="AP401" i="14"/>
  <c r="AC171" i="14"/>
  <c r="AC170" i="14"/>
  <c r="AC16" i="14"/>
  <c r="J705" i="14"/>
  <c r="J704" i="14"/>
  <c r="J696" i="14"/>
  <c r="L704" i="14"/>
  <c r="L696" i="14"/>
  <c r="L705" i="14"/>
  <c r="M704" i="14"/>
  <c r="M696" i="14"/>
  <c r="M705" i="14"/>
  <c r="AB171" i="14"/>
  <c r="AB16" i="14"/>
  <c r="AB170" i="14"/>
  <c r="AK705" i="14"/>
  <c r="AK704" i="14"/>
  <c r="AK696" i="14"/>
  <c r="S170" i="14"/>
  <c r="S171" i="14"/>
  <c r="S25" i="14" s="1"/>
  <c r="S16" i="14"/>
  <c r="T705" i="14"/>
  <c r="T704" i="14"/>
  <c r="T696" i="14"/>
  <c r="Y705" i="14"/>
  <c r="Y696" i="14"/>
  <c r="Y704" i="14"/>
  <c r="Q401" i="14"/>
  <c r="BM414" i="14"/>
  <c r="BM415" i="14"/>
  <c r="BL415" i="14"/>
  <c r="BL414" i="14"/>
  <c r="AX414" i="14"/>
  <c r="AX415" i="14"/>
  <c r="AN401" i="14"/>
  <c r="AN402" i="14"/>
  <c r="BF401" i="14"/>
  <c r="BF402" i="14"/>
  <c r="BO401" i="14"/>
  <c r="BO402" i="14"/>
  <c r="Z401" i="14"/>
  <c r="Z402" i="14"/>
  <c r="BK171" i="14"/>
  <c r="BK16" i="14"/>
  <c r="BK170" i="14"/>
  <c r="BV171" i="14"/>
  <c r="BV170" i="14"/>
  <c r="BV16" i="14"/>
  <c r="AF705" i="14"/>
  <c r="AF704" i="14"/>
  <c r="AF696" i="14"/>
  <c r="BA171" i="14"/>
  <c r="BA16" i="14"/>
  <c r="BA170" i="14"/>
  <c r="BI705" i="14"/>
  <c r="BI704" i="14"/>
  <c r="BI696" i="14"/>
  <c r="AS171" i="14"/>
  <c r="AS170" i="14"/>
  <c r="AS16" i="14"/>
  <c r="BV705" i="14"/>
  <c r="BV696" i="14"/>
  <c r="BV704" i="14"/>
  <c r="BQ705" i="14"/>
  <c r="BQ696" i="14"/>
  <c r="BQ704" i="14"/>
  <c r="T171" i="14"/>
  <c r="T25" i="14" s="1"/>
  <c r="T16" i="14"/>
  <c r="T170" i="14"/>
  <c r="W401" i="14"/>
  <c r="BC414" i="14"/>
  <c r="BC415" i="14"/>
  <c r="AR401" i="14"/>
  <c r="AR402" i="14"/>
  <c r="P705" i="14"/>
  <c r="P704" i="14"/>
  <c r="P696" i="14"/>
  <c r="AA171" i="14"/>
  <c r="AA16" i="14"/>
  <c r="AA170" i="14"/>
  <c r="BH414" i="14"/>
  <c r="BH415" i="14"/>
  <c r="Z415" i="14"/>
  <c r="Z414" i="14"/>
  <c r="AB415" i="14"/>
  <c r="AB414" i="14"/>
  <c r="K401" i="14"/>
  <c r="BQ402" i="14"/>
  <c r="BQ401" i="14"/>
  <c r="BG401" i="14"/>
  <c r="BG402" i="14"/>
  <c r="AO402" i="14"/>
  <c r="AO401" i="14"/>
  <c r="BJ402" i="14"/>
  <c r="BJ401" i="14"/>
  <c r="BP696" i="14"/>
  <c r="BP704" i="14"/>
  <c r="BP705" i="14"/>
  <c r="AN171" i="14"/>
  <c r="AN170" i="14"/>
  <c r="AN16" i="14"/>
  <c r="X171" i="14"/>
  <c r="X25" i="14" s="1"/>
  <c r="X16" i="14"/>
  <c r="X170" i="14"/>
  <c r="AT16" i="14"/>
  <c r="AT170" i="14"/>
  <c r="AT171" i="14"/>
  <c r="AI171" i="14"/>
  <c r="AI170" i="14"/>
  <c r="AI16" i="14"/>
  <c r="BP16" i="14"/>
  <c r="BP171" i="14"/>
  <c r="BP170" i="14"/>
  <c r="H162" i="14"/>
  <c r="H170" i="14"/>
  <c r="H171" i="14"/>
  <c r="H16" i="14"/>
  <c r="BX705" i="14"/>
  <c r="BX696" i="14"/>
  <c r="BX704" i="14"/>
  <c r="AW16" i="14"/>
  <c r="AW170" i="14"/>
  <c r="AW171" i="14"/>
  <c r="U401" i="14"/>
  <c r="R401" i="14"/>
  <c r="D25" i="20"/>
  <c r="D33" i="20" s="1"/>
  <c r="I1319" i="14"/>
  <c r="AG402" i="14"/>
  <c r="AG401" i="14"/>
  <c r="AB402" i="14"/>
  <c r="AB401" i="14"/>
  <c r="Q171" i="14"/>
  <c r="Q25" i="14" s="1"/>
  <c r="Q16" i="14"/>
  <c r="Q170" i="14"/>
  <c r="AL171" i="14"/>
  <c r="AL170" i="14"/>
  <c r="AL16" i="14"/>
  <c r="BE415" i="14"/>
  <c r="BE414" i="14"/>
  <c r="BM171" i="14"/>
  <c r="BM16" i="14"/>
  <c r="BM170" i="14"/>
  <c r="AC553" i="14"/>
  <c r="AC562" i="14" s="1"/>
  <c r="AL415" i="14"/>
  <c r="AL414" i="14"/>
  <c r="AS415" i="14"/>
  <c r="AS414" i="14"/>
  <c r="J414" i="14"/>
  <c r="J415" i="14"/>
  <c r="I414" i="14"/>
  <c r="I415" i="14"/>
  <c r="AJ414" i="14"/>
  <c r="AJ415" i="14"/>
  <c r="AV401" i="14"/>
  <c r="AV402" i="14"/>
  <c r="BH401" i="14"/>
  <c r="BH402" i="14"/>
  <c r="AE402" i="14"/>
  <c r="AE401" i="14"/>
  <c r="I402" i="14"/>
  <c r="I401" i="14"/>
  <c r="AE171" i="14"/>
  <c r="AE16" i="14"/>
  <c r="AE170" i="14"/>
  <c r="BU170" i="14"/>
  <c r="BU16" i="14"/>
  <c r="BU171" i="14"/>
  <c r="BL705" i="14"/>
  <c r="BL704" i="14"/>
  <c r="BL696" i="14"/>
  <c r="BW696" i="14"/>
  <c r="BW705" i="14"/>
  <c r="BW704" i="14"/>
  <c r="S705" i="14"/>
  <c r="S704" i="14"/>
  <c r="S696" i="14"/>
  <c r="AA696" i="14"/>
  <c r="AA704" i="14"/>
  <c r="AA705" i="14"/>
  <c r="AL705" i="14"/>
  <c r="AL696" i="14"/>
  <c r="AL704" i="14"/>
  <c r="H106" i="14"/>
  <c r="H101" i="14"/>
  <c r="H103" i="14"/>
  <c r="H126" i="14"/>
  <c r="H104" i="14"/>
  <c r="H107" i="14"/>
  <c r="H102" i="14"/>
  <c r="H105" i="14"/>
  <c r="AG696" i="14"/>
  <c r="AG704" i="14"/>
  <c r="AG705" i="14"/>
  <c r="BX171" i="14"/>
  <c r="BX170" i="14"/>
  <c r="BX16" i="14"/>
  <c r="AI402" i="14"/>
  <c r="AI401" i="14"/>
  <c r="U553" i="14"/>
  <c r="U562" i="14" s="1"/>
  <c r="P553" i="14"/>
  <c r="AW414" i="14"/>
  <c r="AW415" i="14"/>
  <c r="AD415" i="14"/>
  <c r="AD414" i="14"/>
  <c r="AH415" i="14"/>
  <c r="AH414" i="14"/>
  <c r="AY401" i="14"/>
  <c r="AY402" i="14"/>
  <c r="BI402" i="14"/>
  <c r="BI401" i="14"/>
  <c r="BP401" i="14"/>
  <c r="BP402" i="14"/>
  <c r="BM401" i="14"/>
  <c r="BM402" i="14"/>
  <c r="BE705" i="14"/>
  <c r="BE704" i="14"/>
  <c r="BE696" i="14"/>
  <c r="BM705" i="14"/>
  <c r="BM704" i="14"/>
  <c r="BM696" i="14"/>
  <c r="AN705" i="14"/>
  <c r="AN696" i="14"/>
  <c r="AN704" i="14"/>
  <c r="N171" i="14"/>
  <c r="N25" i="14" s="1"/>
  <c r="N16" i="14"/>
  <c r="N170" i="14"/>
  <c r="BC705" i="14"/>
  <c r="BC704" i="14"/>
  <c r="BC696" i="14"/>
  <c r="R705" i="14"/>
  <c r="R704" i="14"/>
  <c r="R696" i="14"/>
  <c r="BQ170" i="14"/>
  <c r="BQ171" i="14"/>
  <c r="BQ16" i="14"/>
  <c r="X705" i="14"/>
  <c r="X696" i="14"/>
  <c r="X704" i="14"/>
  <c r="AT705" i="14"/>
  <c r="AT704" i="14"/>
  <c r="AT696" i="14"/>
  <c r="V414" i="14"/>
  <c r="T414" i="14"/>
  <c r="BS415" i="14"/>
  <c r="BS414" i="14"/>
  <c r="AT415" i="14"/>
  <c r="AT414" i="14"/>
  <c r="BK705" i="14"/>
  <c r="BK696" i="14"/>
  <c r="BK704" i="14"/>
  <c r="BW414" i="14"/>
  <c r="BW415" i="14"/>
  <c r="AU414" i="14"/>
  <c r="AU415" i="14"/>
  <c r="BX414" i="14"/>
  <c r="BX415" i="14"/>
  <c r="H275" i="14"/>
  <c r="H254" i="14"/>
  <c r="H256" i="14"/>
  <c r="H251" i="14"/>
  <c r="H253" i="14"/>
  <c r="H250" i="14"/>
  <c r="H252" i="14"/>
  <c r="H249" i="14"/>
  <c r="H255" i="14"/>
  <c r="AZ401" i="14"/>
  <c r="AZ402" i="14"/>
  <c r="AH402" i="14"/>
  <c r="AH401" i="14"/>
  <c r="BE401" i="14"/>
  <c r="BE402" i="14"/>
  <c r="I89" i="14"/>
  <c r="J89" i="14" s="1"/>
  <c r="BB705" i="14"/>
  <c r="BB704" i="14"/>
  <c r="BB696" i="14"/>
  <c r="H705" i="14"/>
  <c r="H696" i="14"/>
  <c r="H704" i="14"/>
  <c r="BL171" i="14"/>
  <c r="BL170" i="14"/>
  <c r="BL16" i="14"/>
  <c r="BJ170" i="14"/>
  <c r="BJ171" i="14"/>
  <c r="BJ16" i="14"/>
  <c r="Y171" i="14"/>
  <c r="Y25" i="14" s="1"/>
  <c r="Y170" i="14"/>
  <c r="Y16" i="14"/>
  <c r="BT170" i="14"/>
  <c r="BT171" i="14"/>
  <c r="BT16" i="14"/>
  <c r="AV704" i="14"/>
  <c r="AV696" i="14"/>
  <c r="AV705" i="14"/>
  <c r="BT705" i="14"/>
  <c r="BT696" i="14"/>
  <c r="BT704" i="14"/>
  <c r="X414" i="14"/>
  <c r="BG170" i="14"/>
  <c r="BG171" i="14"/>
  <c r="BG16" i="14"/>
  <c r="BU414" i="14"/>
  <c r="BU415" i="14"/>
  <c r="H401" i="14"/>
  <c r="H402" i="14"/>
  <c r="H384" i="14"/>
  <c r="AI704" i="14"/>
  <c r="AI705" i="14"/>
  <c r="AI696" i="14"/>
  <c r="L414" i="14"/>
  <c r="AZ414" i="14"/>
  <c r="AZ415" i="14"/>
  <c r="AF415" i="14"/>
  <c r="AF414" i="14"/>
  <c r="Y401" i="14"/>
  <c r="I238" i="14"/>
  <c r="J238" i="14" s="1"/>
  <c r="BD401" i="14"/>
  <c r="BD402" i="14"/>
  <c r="BW402" i="14"/>
  <c r="BW401" i="14"/>
  <c r="J401" i="14"/>
  <c r="J402" i="14"/>
  <c r="AF402" i="14"/>
  <c r="AF401" i="14"/>
  <c r="AY705" i="14"/>
  <c r="AY696" i="14"/>
  <c r="AY704" i="14"/>
  <c r="AF16" i="14"/>
  <c r="AF171" i="14"/>
  <c r="AF170" i="14"/>
  <c r="P170" i="14"/>
  <c r="P16" i="14"/>
  <c r="P171" i="14"/>
  <c r="P25" i="14" s="1"/>
  <c r="AR704" i="14"/>
  <c r="AR705" i="14"/>
  <c r="AR696" i="14"/>
  <c r="O705" i="14"/>
  <c r="O704" i="14"/>
  <c r="O696" i="14"/>
  <c r="AP705" i="14"/>
  <c r="AP704" i="14"/>
  <c r="AP696" i="14"/>
  <c r="AM171" i="14"/>
  <c r="AM170" i="14"/>
  <c r="AM16" i="14"/>
  <c r="AJ171" i="14"/>
  <c r="AJ170" i="14"/>
  <c r="AJ16" i="14"/>
  <c r="BC171" i="14"/>
  <c r="BC16" i="14"/>
  <c r="BC170" i="14"/>
  <c r="BC24" i="14" s="1"/>
  <c r="BB414" i="14"/>
  <c r="BB415" i="14"/>
  <c r="N705" i="14"/>
  <c r="N704" i="14"/>
  <c r="N696" i="14"/>
  <c r="BJ415" i="14"/>
  <c r="BJ414" i="14"/>
  <c r="BT401" i="14"/>
  <c r="BT402" i="14"/>
  <c r="AD171" i="14"/>
  <c r="AD170" i="14"/>
  <c r="AD16" i="14"/>
  <c r="BI16" i="14"/>
  <c r="BI170" i="14"/>
  <c r="BI171" i="14"/>
  <c r="AO705" i="14"/>
  <c r="AO704" i="14"/>
  <c r="AO696" i="14"/>
  <c r="Y414" i="14"/>
  <c r="N414" i="14"/>
  <c r="AM414" i="14"/>
  <c r="AM415" i="14"/>
  <c r="AV414" i="14"/>
  <c r="AV415" i="14"/>
  <c r="BY415" i="14"/>
  <c r="BY414" i="14"/>
  <c r="BX402" i="14"/>
  <c r="BX401" i="14"/>
  <c r="AK401" i="14"/>
  <c r="AK402" i="14"/>
  <c r="W171" i="14"/>
  <c r="W25" i="14" s="1"/>
  <c r="W170" i="14"/>
  <c r="W16" i="14"/>
  <c r="AH705" i="14"/>
  <c r="AH704" i="14"/>
  <c r="AH696" i="14"/>
  <c r="I705" i="14"/>
  <c r="I704" i="14"/>
  <c r="I696" i="14"/>
  <c r="AU705" i="14"/>
  <c r="AU704" i="14"/>
  <c r="AU696" i="14"/>
  <c r="AK170" i="14"/>
  <c r="AK171" i="14"/>
  <c r="AK16" i="14"/>
  <c r="BR171" i="14"/>
  <c r="BR16" i="14"/>
  <c r="BR170" i="14"/>
  <c r="AG170" i="14"/>
  <c r="AG171" i="14"/>
  <c r="AG16" i="14"/>
  <c r="BS171" i="14"/>
  <c r="BS170" i="14"/>
  <c r="BS16" i="14"/>
  <c r="AZ705" i="14"/>
  <c r="AZ696" i="14"/>
  <c r="AZ704" i="14"/>
  <c r="BI415" i="14"/>
  <c r="BI414" i="14"/>
  <c r="BU705" i="14"/>
  <c r="BU696" i="14"/>
  <c r="BU704" i="14"/>
  <c r="BU553" i="14"/>
  <c r="BU561" i="14" s="1"/>
  <c r="BV415" i="14"/>
  <c r="BV414" i="14"/>
  <c r="I310" i="14"/>
  <c r="J310" i="14" s="1"/>
  <c r="BP415" i="14"/>
  <c r="BP414" i="14"/>
  <c r="BQ414" i="14"/>
  <c r="BQ415" i="14"/>
  <c r="N401" i="14"/>
  <c r="AC402" i="14"/>
  <c r="AC401" i="14"/>
  <c r="BS401" i="14"/>
  <c r="BS402" i="14"/>
  <c r="AW704" i="14"/>
  <c r="AW696" i="14"/>
  <c r="AW705" i="14"/>
  <c r="BY705" i="14"/>
  <c r="BY704" i="14"/>
  <c r="BY696" i="14"/>
  <c r="BO171" i="14"/>
  <c r="BO16" i="14"/>
  <c r="BO170" i="14"/>
  <c r="BA705" i="14"/>
  <c r="BA696" i="14"/>
  <c r="BA704" i="14"/>
  <c r="AJ705" i="14"/>
  <c r="AJ704" i="14"/>
  <c r="AJ696" i="14"/>
  <c r="AS696" i="14"/>
  <c r="AS705" i="14"/>
  <c r="AS704" i="14"/>
  <c r="O171" i="14"/>
  <c r="O25" i="14" s="1"/>
  <c r="O16" i="14"/>
  <c r="O170" i="14"/>
  <c r="BJ705" i="14"/>
  <c r="BJ704" i="14"/>
  <c r="BJ696" i="14"/>
  <c r="BG414" i="14"/>
  <c r="BG415" i="14"/>
  <c r="AD704" i="14"/>
  <c r="AD696" i="14"/>
  <c r="AD705" i="14"/>
  <c r="K553" i="14"/>
  <c r="K562" i="14" s="1"/>
  <c r="BA415" i="14"/>
  <c r="BA414" i="14"/>
  <c r="AG415" i="14"/>
  <c r="AG414" i="14"/>
  <c r="AR414" i="14"/>
  <c r="AR415" i="14"/>
  <c r="BR414" i="14"/>
  <c r="BR415" i="14"/>
  <c r="K414" i="14"/>
  <c r="BK402" i="14"/>
  <c r="BK401" i="14"/>
  <c r="AL402" i="14"/>
  <c r="AL401" i="14"/>
  <c r="BR401" i="14"/>
  <c r="BR402" i="14"/>
  <c r="AH171" i="14"/>
  <c r="AH170" i="14"/>
  <c r="AH16" i="14"/>
  <c r="BO705" i="14"/>
  <c r="BO696" i="14"/>
  <c r="BO704" i="14"/>
  <c r="BH171" i="14"/>
  <c r="BH16" i="14"/>
  <c r="BH170" i="14"/>
  <c r="AE696" i="14"/>
  <c r="AE705" i="14"/>
  <c r="AE704" i="14"/>
  <c r="BS705" i="14"/>
  <c r="BS696" i="14"/>
  <c r="BS704" i="14"/>
  <c r="BH705" i="14"/>
  <c r="BH704" i="14"/>
  <c r="BH696" i="14"/>
  <c r="AQ705" i="14"/>
  <c r="AQ704" i="14"/>
  <c r="AQ696" i="14"/>
  <c r="AB696" i="14"/>
  <c r="AB704" i="14"/>
  <c r="AB705" i="14"/>
  <c r="AV16" i="14"/>
  <c r="AV171" i="14"/>
  <c r="AV170" i="14"/>
  <c r="W414" i="14"/>
  <c r="P401" i="14"/>
  <c r="AI415" i="14"/>
  <c r="AI414" i="14"/>
  <c r="AQ402" i="14"/>
  <c r="AQ401" i="14"/>
  <c r="L171" i="14"/>
  <c r="L25" i="14" s="1"/>
  <c r="L16" i="14"/>
  <c r="L170" i="14"/>
  <c r="BK414" i="14"/>
  <c r="BK415" i="14"/>
  <c r="O414" i="14"/>
  <c r="AC415" i="14"/>
  <c r="AC414" i="14"/>
  <c r="BD414" i="14"/>
  <c r="BD415" i="14"/>
  <c r="H415" i="14"/>
  <c r="H393" i="14"/>
  <c r="H414" i="14"/>
  <c r="AQ415" i="14"/>
  <c r="AQ414" i="14"/>
  <c r="M401" i="14"/>
  <c r="P414" i="14"/>
  <c r="BL401" i="14"/>
  <c r="BL402" i="14"/>
  <c r="BY401" i="14"/>
  <c r="BY402" i="14"/>
  <c r="BV401" i="14"/>
  <c r="BV402" i="14"/>
  <c r="AW401" i="14"/>
  <c r="AW402" i="14"/>
  <c r="AA402" i="14"/>
  <c r="AA401" i="14"/>
  <c r="BN696" i="14"/>
  <c r="BN705" i="14"/>
  <c r="BN704" i="14"/>
  <c r="Z705" i="14"/>
  <c r="Z696" i="14"/>
  <c r="Z704" i="14"/>
  <c r="BY171" i="14"/>
  <c r="BY170" i="14"/>
  <c r="BY16" i="14"/>
  <c r="V705" i="14"/>
  <c r="V696" i="14"/>
  <c r="V704" i="14"/>
  <c r="W705" i="14"/>
  <c r="W696" i="14"/>
  <c r="W704" i="14"/>
  <c r="BB170" i="14"/>
  <c r="BB171" i="14"/>
  <c r="BB16" i="14"/>
  <c r="AY171" i="14"/>
  <c r="AY16" i="14"/>
  <c r="AY170" i="14"/>
  <c r="AX705" i="14"/>
  <c r="AX696" i="14"/>
  <c r="AX704" i="14"/>
  <c r="V170" i="14"/>
  <c r="V171" i="14"/>
  <c r="V25" i="14" s="1"/>
  <c r="V16" i="14"/>
  <c r="S414" i="14"/>
  <c r="AO562" i="14"/>
  <c r="AO561" i="14"/>
  <c r="BA562" i="14"/>
  <c r="BA561" i="14"/>
  <c r="BW562" i="14"/>
  <c r="BW561" i="14"/>
  <c r="BS562" i="14"/>
  <c r="BS561" i="14"/>
  <c r="BP562" i="14"/>
  <c r="BP561" i="14"/>
  <c r="BQ561" i="14"/>
  <c r="BQ562" i="14"/>
  <c r="H562" i="14"/>
  <c r="H561" i="14"/>
  <c r="BB561" i="14"/>
  <c r="BB562" i="14"/>
  <c r="O562" i="14"/>
  <c r="O561" i="14"/>
  <c r="H879" i="14"/>
  <c r="H880" i="14"/>
  <c r="H875" i="14"/>
  <c r="H881" i="14"/>
  <c r="H873" i="14"/>
  <c r="H874" i="14"/>
  <c r="H876" i="14"/>
  <c r="H878" i="14"/>
  <c r="H877" i="14"/>
  <c r="V562" i="14"/>
  <c r="V561" i="14"/>
  <c r="R562" i="14"/>
  <c r="R561" i="14"/>
  <c r="J562" i="14"/>
  <c r="J561" i="14"/>
  <c r="H905" i="14"/>
  <c r="H906" i="14" s="1"/>
  <c r="AI562" i="14"/>
  <c r="AI561" i="14"/>
  <c r="BL562" i="14"/>
  <c r="BL561" i="14"/>
  <c r="AW562" i="14"/>
  <c r="AW561" i="14"/>
  <c r="BO561" i="14"/>
  <c r="BO562" i="14"/>
  <c r="I562" i="14"/>
  <c r="I561" i="14"/>
  <c r="AX562" i="14"/>
  <c r="AX561" i="14"/>
  <c r="H806" i="14"/>
  <c r="H807" i="14"/>
  <c r="H804" i="14"/>
  <c r="H809" i="14"/>
  <c r="H805" i="14"/>
  <c r="H808" i="14"/>
  <c r="H803" i="14"/>
  <c r="H801" i="14"/>
  <c r="H802" i="14"/>
  <c r="BI562" i="14"/>
  <c r="BI561" i="14"/>
  <c r="AV561" i="14"/>
  <c r="AV562" i="14"/>
  <c r="AN562" i="14"/>
  <c r="AN561" i="14"/>
  <c r="M561" i="14"/>
  <c r="M562" i="14"/>
  <c r="BD562" i="14"/>
  <c r="BD561" i="14"/>
  <c r="BE562" i="14"/>
  <c r="BE561" i="14"/>
  <c r="AZ562" i="14"/>
  <c r="AZ561" i="14"/>
  <c r="AM561" i="14"/>
  <c r="AM562" i="14"/>
  <c r="X562" i="14"/>
  <c r="X561" i="14"/>
  <c r="L561" i="14"/>
  <c r="L562" i="14"/>
  <c r="BM561" i="14"/>
  <c r="BM562" i="14"/>
  <c r="Q562" i="14"/>
  <c r="Q561" i="14"/>
  <c r="AB562" i="14"/>
  <c r="AB561" i="14"/>
  <c r="D14" i="20"/>
  <c r="AE562" i="14"/>
  <c r="AE561" i="14"/>
  <c r="AU561" i="14"/>
  <c r="AU562" i="14"/>
  <c r="AP562" i="14"/>
  <c r="AP561" i="14"/>
  <c r="Y562" i="14"/>
  <c r="Y561" i="14"/>
  <c r="AG562" i="14"/>
  <c r="AG561" i="14"/>
  <c r="H914" i="14"/>
  <c r="H936" i="14" s="1"/>
  <c r="H937" i="14" s="1"/>
  <c r="H939" i="14" s="1"/>
  <c r="BK562" i="14"/>
  <c r="BK561" i="14"/>
  <c r="AY562" i="14"/>
  <c r="AY561" i="14"/>
  <c r="AH562" i="14"/>
  <c r="AH561" i="14"/>
  <c r="Z562" i="14"/>
  <c r="Z561" i="14"/>
  <c r="BY562" i="14"/>
  <c r="BY561" i="14"/>
  <c r="AA562" i="14"/>
  <c r="AA561" i="14"/>
  <c r="BG562" i="14"/>
  <c r="BG561" i="14"/>
  <c r="AF562" i="14"/>
  <c r="AF561" i="14"/>
  <c r="AD561" i="14"/>
  <c r="AD562" i="14"/>
  <c r="W562" i="14"/>
  <c r="W561" i="14"/>
  <c r="BT561" i="14"/>
  <c r="BT562" i="14"/>
  <c r="BH562" i="14"/>
  <c r="BH561" i="14"/>
  <c r="AQ562" i="14"/>
  <c r="AQ561" i="14"/>
  <c r="BN562" i="14"/>
  <c r="BN561" i="14"/>
  <c r="J759" i="14"/>
  <c r="I764" i="14"/>
  <c r="I796" i="14" s="1"/>
  <c r="BJ562" i="14"/>
  <c r="BJ561" i="14"/>
  <c r="AS561" i="14"/>
  <c r="AS562" i="14"/>
  <c r="BX562" i="14"/>
  <c r="BX561" i="14"/>
  <c r="AT562" i="14"/>
  <c r="AT561" i="14"/>
  <c r="AR562" i="14"/>
  <c r="AR561" i="14"/>
  <c r="S562" i="14"/>
  <c r="S561" i="14"/>
  <c r="BV562" i="14"/>
  <c r="BV561" i="14"/>
  <c r="BR562" i="14"/>
  <c r="BR561" i="14"/>
  <c r="AJ562" i="14"/>
  <c r="AJ561" i="14"/>
  <c r="AL561" i="14"/>
  <c r="AL562" i="14"/>
  <c r="N562" i="14"/>
  <c r="N561" i="14"/>
  <c r="J831" i="14"/>
  <c r="I836" i="14"/>
  <c r="AK562" i="14"/>
  <c r="AK561" i="14"/>
  <c r="BC561" i="14"/>
  <c r="BC562" i="14"/>
  <c r="P562" i="14"/>
  <c r="P561" i="14"/>
  <c r="T562" i="14"/>
  <c r="T561" i="14"/>
  <c r="AH1364" i="14"/>
  <c r="AG1369" i="14"/>
  <c r="BC25" i="14" l="1"/>
  <c r="BU562" i="14"/>
  <c r="AH25" i="14"/>
  <c r="BB25" i="14"/>
  <c r="BB24" i="14"/>
  <c r="BO25" i="14"/>
  <c r="AC561" i="14"/>
  <c r="AJ24" i="14"/>
  <c r="AD24" i="14"/>
  <c r="AJ25" i="14"/>
  <c r="AH24" i="14"/>
  <c r="AE24" i="14"/>
  <c r="D138" i="20"/>
  <c r="BH24" i="14"/>
  <c r="BH25" i="14"/>
  <c r="AF24" i="14"/>
  <c r="AV24" i="14"/>
  <c r="BU24" i="14"/>
  <c r="AE25" i="14"/>
  <c r="AK25" i="14"/>
  <c r="AK24" i="14"/>
  <c r="AU24" i="14"/>
  <c r="Z24" i="14"/>
  <c r="AG25" i="14"/>
  <c r="BT25" i="14"/>
  <c r="BT24" i="14"/>
  <c r="AO25" i="14"/>
  <c r="BV24" i="14"/>
  <c r="AB24" i="14"/>
  <c r="AO24" i="14"/>
  <c r="BI25" i="14"/>
  <c r="Y24" i="14"/>
  <c r="BR25" i="14"/>
  <c r="AB25" i="14"/>
  <c r="L24" i="14"/>
  <c r="BM25" i="14"/>
  <c r="P24" i="14"/>
  <c r="AW25" i="14"/>
  <c r="AT25" i="14"/>
  <c r="AZ25" i="14"/>
  <c r="AY24" i="14"/>
  <c r="R24" i="14"/>
  <c r="X24" i="14"/>
  <c r="AD697" i="14"/>
  <c r="AD707" i="14" s="1"/>
  <c r="AD708" i="14" s="1"/>
  <c r="AD710" i="14" s="1"/>
  <c r="AD713" i="14" s="1"/>
  <c r="AD575" i="14" s="1"/>
  <c r="AD577" i="14" s="1"/>
  <c r="BK24" i="14"/>
  <c r="W697" i="14"/>
  <c r="W707" i="14" s="1"/>
  <c r="W708" i="14" s="1"/>
  <c r="W710" i="14" s="1"/>
  <c r="W713" i="14" s="1"/>
  <c r="W575" i="14" s="1"/>
  <c r="W577" i="14" s="1"/>
  <c r="BA697" i="14"/>
  <c r="BA707" i="14" s="1"/>
  <c r="BA708" i="14" s="1"/>
  <c r="BA710" i="14" s="1"/>
  <c r="BA713" i="14" s="1"/>
  <c r="BA575" i="14" s="1"/>
  <c r="BA577" i="14" s="1"/>
  <c r="AJ697" i="14"/>
  <c r="AJ707" i="14" s="1"/>
  <c r="AJ708" i="14" s="1"/>
  <c r="AJ710" i="14" s="1"/>
  <c r="AJ713" i="14" s="1"/>
  <c r="AJ575" i="14" s="1"/>
  <c r="AJ577" i="14" s="1"/>
  <c r="H697" i="14"/>
  <c r="H707" i="14" s="1"/>
  <c r="H708" i="14" s="1"/>
  <c r="H710" i="14" s="1"/>
  <c r="R697" i="14"/>
  <c r="R707" i="14" s="1"/>
  <c r="R708" i="14" s="1"/>
  <c r="R710" i="14" s="1"/>
  <c r="R713" i="14" s="1"/>
  <c r="R575" i="14" s="1"/>
  <c r="R577" i="14" s="1"/>
  <c r="AI25" i="14"/>
  <c r="AA24" i="14"/>
  <c r="AU25" i="14"/>
  <c r="BN697" i="14"/>
  <c r="BN707" i="14" s="1"/>
  <c r="BN708" i="14" s="1"/>
  <c r="BN710" i="14" s="1"/>
  <c r="BN713" i="14" s="1"/>
  <c r="BN575" i="14" s="1"/>
  <c r="BN577" i="14" s="1"/>
  <c r="H394" i="14"/>
  <c r="H417" i="14" s="1"/>
  <c r="H418" i="14" s="1"/>
  <c r="H420" i="14" s="1"/>
  <c r="BS697" i="14"/>
  <c r="BS707" i="14" s="1"/>
  <c r="BS708" i="14" s="1"/>
  <c r="BS710" i="14" s="1"/>
  <c r="BS713" i="14" s="1"/>
  <c r="BS575" i="14" s="1"/>
  <c r="BS577" i="14" s="1"/>
  <c r="AO697" i="14"/>
  <c r="AO707" i="14" s="1"/>
  <c r="AO708" i="14" s="1"/>
  <c r="AO710" i="14" s="1"/>
  <c r="AO713" i="14" s="1"/>
  <c r="AO575" i="14" s="1"/>
  <c r="AO577" i="14" s="1"/>
  <c r="AI697" i="14"/>
  <c r="AI707" i="14" s="1"/>
  <c r="AI708" i="14" s="1"/>
  <c r="AI710" i="14" s="1"/>
  <c r="AI713" i="14" s="1"/>
  <c r="AI575" i="14" s="1"/>
  <c r="AI577" i="14" s="1"/>
  <c r="AV697" i="14"/>
  <c r="AV707" i="14" s="1"/>
  <c r="AV708" i="14" s="1"/>
  <c r="AV710" i="14" s="1"/>
  <c r="AV713" i="14" s="1"/>
  <c r="AV575" i="14" s="1"/>
  <c r="AV577" i="14" s="1"/>
  <c r="BU25" i="14"/>
  <c r="BG697" i="14"/>
  <c r="BG707" i="14" s="1"/>
  <c r="BG708" i="14" s="1"/>
  <c r="BG710" i="14" s="1"/>
  <c r="BG713" i="14" s="1"/>
  <c r="BG575" i="14" s="1"/>
  <c r="BG577" i="14" s="1"/>
  <c r="BD697" i="14"/>
  <c r="BD707" i="14" s="1"/>
  <c r="BD708" i="14" s="1"/>
  <c r="BD710" i="14" s="1"/>
  <c r="BD713" i="14" s="1"/>
  <c r="BD575" i="14" s="1"/>
  <c r="BD577" i="14" s="1"/>
  <c r="BU697" i="14"/>
  <c r="BU707" i="14" s="1"/>
  <c r="BU708" i="14" s="1"/>
  <c r="BU710" i="14" s="1"/>
  <c r="BU713" i="14" s="1"/>
  <c r="BU575" i="14" s="1"/>
  <c r="BU577" i="14" s="1"/>
  <c r="AR697" i="14"/>
  <c r="AR707" i="14" s="1"/>
  <c r="AR708" i="14" s="1"/>
  <c r="AR710" i="14" s="1"/>
  <c r="AR713" i="14" s="1"/>
  <c r="AR575" i="14" s="1"/>
  <c r="AR577" i="14" s="1"/>
  <c r="BB697" i="14"/>
  <c r="BB707" i="14" s="1"/>
  <c r="BB708" i="14" s="1"/>
  <c r="BB710" i="14" s="1"/>
  <c r="BB713" i="14" s="1"/>
  <c r="BB575" i="14" s="1"/>
  <c r="BB577" i="14" s="1"/>
  <c r="AW24" i="14"/>
  <c r="AT24" i="14"/>
  <c r="AA25" i="14"/>
  <c r="BV697" i="14"/>
  <c r="BV707" i="14" s="1"/>
  <c r="BV708" i="14" s="1"/>
  <c r="BV710" i="14" s="1"/>
  <c r="BV713" i="14" s="1"/>
  <c r="BV575" i="14" s="1"/>
  <c r="BV577" i="14" s="1"/>
  <c r="BV25" i="14"/>
  <c r="Z25" i="14"/>
  <c r="BD25" i="14"/>
  <c r="K561" i="14"/>
  <c r="AV25" i="14"/>
  <c r="AE697" i="14"/>
  <c r="AE707" i="14" s="1"/>
  <c r="AE708" i="14" s="1"/>
  <c r="AE710" i="14" s="1"/>
  <c r="AE713" i="14" s="1"/>
  <c r="AE575" i="14" s="1"/>
  <c r="AE577" i="14" s="1"/>
  <c r="AU697" i="14"/>
  <c r="AU707" i="14" s="1"/>
  <c r="AU708" i="14" s="1"/>
  <c r="AU710" i="14" s="1"/>
  <c r="AU713" i="14" s="1"/>
  <c r="AU575" i="14" s="1"/>
  <c r="AU577" i="14" s="1"/>
  <c r="BI24" i="14"/>
  <c r="H281" i="14"/>
  <c r="H280" i="14"/>
  <c r="H286" i="14"/>
  <c r="H284" i="14"/>
  <c r="H288" i="14"/>
  <c r="H283" i="14"/>
  <c r="H282" i="14"/>
  <c r="H287" i="14"/>
  <c r="H285" i="14"/>
  <c r="BX24" i="14"/>
  <c r="AL25" i="14"/>
  <c r="BX697" i="14"/>
  <c r="BX707" i="14" s="1"/>
  <c r="BX708" i="14" s="1"/>
  <c r="BX710" i="14" s="1"/>
  <c r="BX713" i="14" s="1"/>
  <c r="BX575" i="14" s="1"/>
  <c r="BX577" i="14" s="1"/>
  <c r="AS24" i="14"/>
  <c r="BK25" i="14"/>
  <c r="M697" i="14"/>
  <c r="M707" i="14" s="1"/>
  <c r="M708" i="14" s="1"/>
  <c r="M710" i="14" s="1"/>
  <c r="M713" i="14" s="1"/>
  <c r="M575" i="14" s="1"/>
  <c r="M577" i="14" s="1"/>
  <c r="AZ24" i="14"/>
  <c r="AC697" i="14"/>
  <c r="AC707" i="14" s="1"/>
  <c r="AC708" i="14" s="1"/>
  <c r="AC710" i="14" s="1"/>
  <c r="AC713" i="14" s="1"/>
  <c r="AC575" i="14" s="1"/>
  <c r="AC577" i="14" s="1"/>
  <c r="I94" i="14"/>
  <c r="I126" i="14" s="1"/>
  <c r="K89" i="14"/>
  <c r="N24" i="14"/>
  <c r="BX25" i="14"/>
  <c r="Q24" i="14"/>
  <c r="AS25" i="14"/>
  <c r="Y697" i="14"/>
  <c r="Y707" i="14" s="1"/>
  <c r="Y708" i="14" s="1"/>
  <c r="Y710" i="14" s="1"/>
  <c r="Y713" i="14" s="1"/>
  <c r="Y575" i="14" s="1"/>
  <c r="Y577" i="14" s="1"/>
  <c r="J25" i="14"/>
  <c r="J24" i="14"/>
  <c r="V697" i="14"/>
  <c r="V707" i="14" s="1"/>
  <c r="V708" i="14" s="1"/>
  <c r="V710" i="14" s="1"/>
  <c r="V713" i="14" s="1"/>
  <c r="V575" i="14" s="1"/>
  <c r="V577" i="14" s="1"/>
  <c r="BJ697" i="14"/>
  <c r="BJ707" i="14" s="1"/>
  <c r="BJ708" i="14" s="1"/>
  <c r="BJ710" i="14" s="1"/>
  <c r="BJ713" i="14" s="1"/>
  <c r="BJ575" i="14" s="1"/>
  <c r="BJ577" i="14" s="1"/>
  <c r="AZ697" i="14"/>
  <c r="AZ707" i="14" s="1"/>
  <c r="AZ708" i="14" s="1"/>
  <c r="AZ710" i="14" s="1"/>
  <c r="AZ713" i="14" s="1"/>
  <c r="AZ575" i="14" s="1"/>
  <c r="AZ577" i="14" s="1"/>
  <c r="I243" i="14"/>
  <c r="I275" i="14" s="1"/>
  <c r="K238" i="14"/>
  <c r="AT697" i="14"/>
  <c r="AT707" i="14" s="1"/>
  <c r="AT708" i="14" s="1"/>
  <c r="AT710" i="14" s="1"/>
  <c r="AT713" i="14" s="1"/>
  <c r="AT575" i="14" s="1"/>
  <c r="AT577" i="14" s="1"/>
  <c r="AA697" i="14"/>
  <c r="AA707" i="14" s="1"/>
  <c r="AA708" i="14" s="1"/>
  <c r="AA710" i="14" s="1"/>
  <c r="AA713" i="14" s="1"/>
  <c r="AA575" i="14" s="1"/>
  <c r="AA577" i="14" s="1"/>
  <c r="BI697" i="14"/>
  <c r="BI707" i="14" s="1"/>
  <c r="BI708" i="14" s="1"/>
  <c r="BI710" i="14" s="1"/>
  <c r="BI713" i="14" s="1"/>
  <c r="BI575" i="14" s="1"/>
  <c r="BI577" i="14" s="1"/>
  <c r="K24" i="14"/>
  <c r="K759" i="14"/>
  <c r="U697" i="14"/>
  <c r="U707" i="14" s="1"/>
  <c r="U708" i="14" s="1"/>
  <c r="U710" i="14" s="1"/>
  <c r="U713" i="14" s="1"/>
  <c r="U575" i="14" s="1"/>
  <c r="U577" i="14" s="1"/>
  <c r="I24" i="14"/>
  <c r="I697" i="14"/>
  <c r="I707" i="14" s="1"/>
  <c r="I708" i="14" s="1"/>
  <c r="I710" i="14" s="1"/>
  <c r="I713" i="14" s="1"/>
  <c r="I575" i="14" s="1"/>
  <c r="I577" i="14" s="1"/>
  <c r="S697" i="14"/>
  <c r="S707" i="14" s="1"/>
  <c r="S708" i="14" s="1"/>
  <c r="S710" i="14" s="1"/>
  <c r="S713" i="14" s="1"/>
  <c r="S575" i="14" s="1"/>
  <c r="S577" i="14" s="1"/>
  <c r="H25" i="14"/>
  <c r="AN24" i="14"/>
  <c r="T697" i="14"/>
  <c r="T707" i="14" s="1"/>
  <c r="T708" i="14" s="1"/>
  <c r="T710" i="14" s="1"/>
  <c r="T713" i="14" s="1"/>
  <c r="T575" i="14" s="1"/>
  <c r="T577" i="14" s="1"/>
  <c r="L697" i="14"/>
  <c r="L707" i="14" s="1"/>
  <c r="L708" i="14" s="1"/>
  <c r="L710" i="14" s="1"/>
  <c r="L713" i="14" s="1"/>
  <c r="L575" i="14" s="1"/>
  <c r="L577" i="14" s="1"/>
  <c r="BN24" i="14"/>
  <c r="I25" i="14"/>
  <c r="BF561" i="14"/>
  <c r="U561" i="14"/>
  <c r="V24" i="14"/>
  <c r="AB697" i="14"/>
  <c r="AB707" i="14" s="1"/>
  <c r="AB708" i="14" s="1"/>
  <c r="AB710" i="14" s="1"/>
  <c r="AB713" i="14" s="1"/>
  <c r="AB575" i="14" s="1"/>
  <c r="AB577" i="14" s="1"/>
  <c r="BY697" i="14"/>
  <c r="BY707" i="14" s="1"/>
  <c r="BY708" i="14" s="1"/>
  <c r="BY710" i="14" s="1"/>
  <c r="BY713" i="14" s="1"/>
  <c r="BY575" i="14" s="1"/>
  <c r="BY577" i="14" s="1"/>
  <c r="I315" i="14"/>
  <c r="K310" i="14"/>
  <c r="AD25" i="14"/>
  <c r="AF25" i="14"/>
  <c r="AG697" i="14"/>
  <c r="AG707" i="14" s="1"/>
  <c r="AG708" i="14" s="1"/>
  <c r="AG710" i="14" s="1"/>
  <c r="AG713" i="14" s="1"/>
  <c r="AG575" i="14" s="1"/>
  <c r="AG577" i="14" s="1"/>
  <c r="H24" i="14"/>
  <c r="AN25" i="14"/>
  <c r="AX25" i="14"/>
  <c r="BE24" i="14"/>
  <c r="BY24" i="14"/>
  <c r="AQ697" i="14"/>
  <c r="AQ707" i="14" s="1"/>
  <c r="AQ708" i="14" s="1"/>
  <c r="AQ710" i="14" s="1"/>
  <c r="AQ713" i="14" s="1"/>
  <c r="AQ575" i="14" s="1"/>
  <c r="AQ577" i="14" s="1"/>
  <c r="BO697" i="14"/>
  <c r="BO707" i="14" s="1"/>
  <c r="BO708" i="14" s="1"/>
  <c r="BO710" i="14" s="1"/>
  <c r="BO713" i="14" s="1"/>
  <c r="BO575" i="14" s="1"/>
  <c r="BO577" i="14" s="1"/>
  <c r="O24" i="14"/>
  <c r="BS24" i="14"/>
  <c r="AM24" i="14"/>
  <c r="BG25" i="14"/>
  <c r="BJ25" i="14"/>
  <c r="AN697" i="14"/>
  <c r="AN707" i="14" s="1"/>
  <c r="AN708" i="14" s="1"/>
  <c r="AN710" i="14" s="1"/>
  <c r="AN713" i="14" s="1"/>
  <c r="AN575" i="14" s="1"/>
  <c r="AN577" i="14" s="1"/>
  <c r="H163" i="14"/>
  <c r="H18" i="14"/>
  <c r="BA24" i="14"/>
  <c r="J697" i="14"/>
  <c r="J707" i="14" s="1"/>
  <c r="J708" i="14" s="1"/>
  <c r="J710" i="14" s="1"/>
  <c r="J713" i="14" s="1"/>
  <c r="J575" i="14" s="1"/>
  <c r="J577" i="14" s="1"/>
  <c r="AX24" i="14"/>
  <c r="Q697" i="14"/>
  <c r="Q707" i="14" s="1"/>
  <c r="Q708" i="14" s="1"/>
  <c r="Q710" i="14" s="1"/>
  <c r="Q713" i="14" s="1"/>
  <c r="Q575" i="14" s="1"/>
  <c r="Q577" i="14" s="1"/>
  <c r="BN25" i="14"/>
  <c r="AP25" i="14"/>
  <c r="BE25" i="14"/>
  <c r="AL24" i="14"/>
  <c r="BD24" i="14"/>
  <c r="AX697" i="14"/>
  <c r="AX707" i="14" s="1"/>
  <c r="AX708" i="14" s="1"/>
  <c r="AX710" i="14" s="1"/>
  <c r="AX713" i="14" s="1"/>
  <c r="AX575" i="14" s="1"/>
  <c r="AX577" i="14" s="1"/>
  <c r="BY25" i="14"/>
  <c r="BS25" i="14"/>
  <c r="AH697" i="14"/>
  <c r="AH707" i="14" s="1"/>
  <c r="AH708" i="14" s="1"/>
  <c r="AH710" i="14" s="1"/>
  <c r="AH713" i="14" s="1"/>
  <c r="AH575" i="14" s="1"/>
  <c r="AH577" i="14" s="1"/>
  <c r="AM25" i="14"/>
  <c r="BG24" i="14"/>
  <c r="BJ24" i="14"/>
  <c r="X697" i="14"/>
  <c r="X707" i="14" s="1"/>
  <c r="X708" i="14" s="1"/>
  <c r="X710" i="14" s="1"/>
  <c r="X713" i="14" s="1"/>
  <c r="X575" i="14" s="1"/>
  <c r="X577" i="14" s="1"/>
  <c r="BP24" i="14"/>
  <c r="T24" i="14"/>
  <c r="AR24" i="14"/>
  <c r="H385" i="14"/>
  <c r="H404" i="14" s="1"/>
  <c r="H405" i="14" s="1"/>
  <c r="H407" i="14" s="1"/>
  <c r="K831" i="14"/>
  <c r="L831" i="14" s="1"/>
  <c r="AP697" i="14"/>
  <c r="AP707" i="14" s="1"/>
  <c r="AP708" i="14" s="1"/>
  <c r="AP710" i="14" s="1"/>
  <c r="AP713" i="14" s="1"/>
  <c r="AP575" i="14" s="1"/>
  <c r="AP577" i="14" s="1"/>
  <c r="AY697" i="14"/>
  <c r="AY707" i="14" s="1"/>
  <c r="AY708" i="14" s="1"/>
  <c r="AY710" i="14" s="1"/>
  <c r="AY713" i="14" s="1"/>
  <c r="AY575" i="14" s="1"/>
  <c r="AY577" i="14" s="1"/>
  <c r="BM697" i="14"/>
  <c r="BM707" i="14" s="1"/>
  <c r="BM708" i="14" s="1"/>
  <c r="BM710" i="14" s="1"/>
  <c r="BM713" i="14" s="1"/>
  <c r="BM575" i="14" s="1"/>
  <c r="BM577" i="14" s="1"/>
  <c r="BP25" i="14"/>
  <c r="BP697" i="14"/>
  <c r="BP707" i="14" s="1"/>
  <c r="BP708" i="14" s="1"/>
  <c r="BP710" i="14" s="1"/>
  <c r="BP713" i="14" s="1"/>
  <c r="BP575" i="14" s="1"/>
  <c r="BP577" i="14" s="1"/>
  <c r="BA25" i="14"/>
  <c r="AQ24" i="14"/>
  <c r="BF697" i="14"/>
  <c r="BF707" i="14" s="1"/>
  <c r="BF708" i="14" s="1"/>
  <c r="BF710" i="14" s="1"/>
  <c r="BF713" i="14" s="1"/>
  <c r="BF575" i="14" s="1"/>
  <c r="BF577" i="14" s="1"/>
  <c r="AR25" i="14"/>
  <c r="AP24" i="14"/>
  <c r="Z697" i="14"/>
  <c r="Z707" i="14" s="1"/>
  <c r="Z708" i="14" s="1"/>
  <c r="Z710" i="14" s="1"/>
  <c r="Z713" i="14" s="1"/>
  <c r="Z575" i="14" s="1"/>
  <c r="Z577" i="14" s="1"/>
  <c r="BH697" i="14"/>
  <c r="BH707" i="14" s="1"/>
  <c r="BH708" i="14" s="1"/>
  <c r="BH710" i="14" s="1"/>
  <c r="BH713" i="14" s="1"/>
  <c r="BH575" i="14" s="1"/>
  <c r="BH577" i="14" s="1"/>
  <c r="AW697" i="14"/>
  <c r="AW707" i="14" s="1"/>
  <c r="AW708" i="14" s="1"/>
  <c r="AW710" i="14" s="1"/>
  <c r="AW713" i="14" s="1"/>
  <c r="AW575" i="14" s="1"/>
  <c r="AW577" i="14" s="1"/>
  <c r="BL24" i="14"/>
  <c r="BW697" i="14"/>
  <c r="BW707" i="14" s="1"/>
  <c r="BW708" i="14" s="1"/>
  <c r="BW710" i="14" s="1"/>
  <c r="BW713" i="14" s="1"/>
  <c r="BW575" i="14" s="1"/>
  <c r="BW577" i="14" s="1"/>
  <c r="AF697" i="14"/>
  <c r="AF707" i="14" s="1"/>
  <c r="AF708" i="14" s="1"/>
  <c r="AF710" i="14" s="1"/>
  <c r="AF713" i="14" s="1"/>
  <c r="AF575" i="14" s="1"/>
  <c r="AF577" i="14" s="1"/>
  <c r="S24" i="14"/>
  <c r="H354" i="14"/>
  <c r="H352" i="14"/>
  <c r="H357" i="14"/>
  <c r="H356" i="14"/>
  <c r="H358" i="14"/>
  <c r="H359" i="14"/>
  <c r="H353" i="14"/>
  <c r="H360" i="14"/>
  <c r="H355" i="14"/>
  <c r="AQ25" i="14"/>
  <c r="BW25" i="14"/>
  <c r="AL697" i="14"/>
  <c r="AL707" i="14" s="1"/>
  <c r="AL708" i="14" s="1"/>
  <c r="AL710" i="14" s="1"/>
  <c r="AL713" i="14" s="1"/>
  <c r="AL575" i="14" s="1"/>
  <c r="AL577" i="14" s="1"/>
  <c r="P697" i="14"/>
  <c r="P707" i="14" s="1"/>
  <c r="P708" i="14" s="1"/>
  <c r="P710" i="14" s="1"/>
  <c r="P713" i="14" s="1"/>
  <c r="P575" i="14" s="1"/>
  <c r="P577" i="14" s="1"/>
  <c r="AG24" i="14"/>
  <c r="N697" i="14"/>
  <c r="N707" i="14" s="1"/>
  <c r="N708" i="14" s="1"/>
  <c r="N710" i="14" s="1"/>
  <c r="N713" i="14" s="1"/>
  <c r="N575" i="14" s="1"/>
  <c r="N577" i="14" s="1"/>
  <c r="BT697" i="14"/>
  <c r="BT707" i="14" s="1"/>
  <c r="BT708" i="14" s="1"/>
  <c r="BT710" i="14" s="1"/>
  <c r="BT713" i="14" s="1"/>
  <c r="BT575" i="14" s="1"/>
  <c r="BT577" i="14" s="1"/>
  <c r="BL25" i="14"/>
  <c r="BQ25" i="14"/>
  <c r="H132" i="14"/>
  <c r="H134" i="14"/>
  <c r="H135" i="14"/>
  <c r="H137" i="14"/>
  <c r="H136" i="14"/>
  <c r="H133" i="14"/>
  <c r="H131" i="14"/>
  <c r="H138" i="14"/>
  <c r="H139" i="14"/>
  <c r="BL697" i="14"/>
  <c r="BL707" i="14" s="1"/>
  <c r="BL708" i="14" s="1"/>
  <c r="BL710" i="14" s="1"/>
  <c r="BL713" i="14" s="1"/>
  <c r="BL575" i="14" s="1"/>
  <c r="BL577" i="14" s="1"/>
  <c r="BM24" i="14"/>
  <c r="AK697" i="14"/>
  <c r="AK707" i="14" s="1"/>
  <c r="AK708" i="14" s="1"/>
  <c r="AK710" i="14" s="1"/>
  <c r="AK713" i="14" s="1"/>
  <c r="AK575" i="14" s="1"/>
  <c r="AK577" i="14" s="1"/>
  <c r="AC24" i="14"/>
  <c r="BR697" i="14"/>
  <c r="BR707" i="14" s="1"/>
  <c r="BR708" i="14" s="1"/>
  <c r="BR710" i="14" s="1"/>
  <c r="BR713" i="14" s="1"/>
  <c r="BR575" i="14" s="1"/>
  <c r="BR577" i="14" s="1"/>
  <c r="K697" i="14"/>
  <c r="K707" i="14" s="1"/>
  <c r="K708" i="14" s="1"/>
  <c r="K710" i="14" s="1"/>
  <c r="K713" i="14" s="1"/>
  <c r="K575" i="14" s="1"/>
  <c r="K577" i="14" s="1"/>
  <c r="BF24" i="14"/>
  <c r="M24" i="14"/>
  <c r="BC697" i="14"/>
  <c r="BC707" i="14" s="1"/>
  <c r="BC708" i="14" s="1"/>
  <c r="BC710" i="14" s="1"/>
  <c r="BC713" i="14" s="1"/>
  <c r="BC575" i="14" s="1"/>
  <c r="BC577" i="14" s="1"/>
  <c r="BO24" i="14"/>
  <c r="H555" i="14"/>
  <c r="AY25" i="14"/>
  <c r="AS697" i="14"/>
  <c r="AS707" i="14" s="1"/>
  <c r="AS708" i="14" s="1"/>
  <c r="AS710" i="14" s="1"/>
  <c r="AS713" i="14" s="1"/>
  <c r="AS575" i="14" s="1"/>
  <c r="AS577" i="14" s="1"/>
  <c r="BR24" i="14"/>
  <c r="W24" i="14"/>
  <c r="O697" i="14"/>
  <c r="O707" i="14" s="1"/>
  <c r="O708" i="14" s="1"/>
  <c r="O710" i="14" s="1"/>
  <c r="O713" i="14" s="1"/>
  <c r="O575" i="14" s="1"/>
  <c r="O577" i="14" s="1"/>
  <c r="BK697" i="14"/>
  <c r="BK707" i="14" s="1"/>
  <c r="BK708" i="14" s="1"/>
  <c r="BK710" i="14" s="1"/>
  <c r="BK713" i="14" s="1"/>
  <c r="BK575" i="14" s="1"/>
  <c r="BK577" i="14" s="1"/>
  <c r="BQ24" i="14"/>
  <c r="BE697" i="14"/>
  <c r="BE707" i="14" s="1"/>
  <c r="BE708" i="14" s="1"/>
  <c r="BE710" i="14" s="1"/>
  <c r="BE713" i="14" s="1"/>
  <c r="BE575" i="14" s="1"/>
  <c r="BE577" i="14" s="1"/>
  <c r="AI24" i="14"/>
  <c r="BQ697" i="14"/>
  <c r="BQ707" i="14" s="1"/>
  <c r="BQ708" i="14" s="1"/>
  <c r="BQ710" i="14" s="1"/>
  <c r="BQ713" i="14" s="1"/>
  <c r="BQ575" i="14" s="1"/>
  <c r="BQ577" i="14" s="1"/>
  <c r="AC25" i="14"/>
  <c r="BW24" i="14"/>
  <c r="U24" i="14"/>
  <c r="BF25" i="14"/>
  <c r="AM697" i="14"/>
  <c r="AM707" i="14" s="1"/>
  <c r="AM708" i="14" s="1"/>
  <c r="AM710" i="14" s="1"/>
  <c r="AM713" i="14" s="1"/>
  <c r="AM575" i="14" s="1"/>
  <c r="AM577" i="14" s="1"/>
  <c r="H915" i="14"/>
  <c r="I868" i="14"/>
  <c r="I843" i="14"/>
  <c r="I848" i="14"/>
  <c r="I849" i="14"/>
  <c r="I847" i="14"/>
  <c r="I846" i="14"/>
  <c r="I845" i="14"/>
  <c r="I844" i="14"/>
  <c r="I842" i="14"/>
  <c r="J836" i="14"/>
  <c r="I772" i="14"/>
  <c r="I776" i="14"/>
  <c r="I777" i="14"/>
  <c r="I773" i="14"/>
  <c r="I774" i="14"/>
  <c r="I775" i="14"/>
  <c r="I771" i="14"/>
  <c r="J764" i="14"/>
  <c r="J796" i="14" s="1"/>
  <c r="H923" i="14"/>
  <c r="I805" i="14"/>
  <c r="I807" i="14"/>
  <c r="I804" i="14"/>
  <c r="I801" i="14"/>
  <c r="I808" i="14"/>
  <c r="I802" i="14"/>
  <c r="I809" i="14"/>
  <c r="I806" i="14"/>
  <c r="I803" i="14"/>
  <c r="AI1364" i="14"/>
  <c r="AH1369" i="14"/>
  <c r="AZ698" i="14" l="1"/>
  <c r="H556" i="14"/>
  <c r="AU698" i="14"/>
  <c r="H395" i="14"/>
  <c r="AG698" i="14"/>
  <c r="Q698" i="14"/>
  <c r="Z698" i="14"/>
  <c r="AY698" i="14"/>
  <c r="BU698" i="14"/>
  <c r="H698" i="14"/>
  <c r="H557" i="14" s="1"/>
  <c r="J698" i="14"/>
  <c r="R698" i="14"/>
  <c r="K698" i="14"/>
  <c r="V698" i="14"/>
  <c r="AE698" i="14"/>
  <c r="AJ698" i="14"/>
  <c r="N698" i="14"/>
  <c r="I698" i="14"/>
  <c r="BA698" i="14"/>
  <c r="W698" i="14"/>
  <c r="AL698" i="14"/>
  <c r="H386" i="14"/>
  <c r="BO698" i="14"/>
  <c r="AP698" i="14"/>
  <c r="S698" i="14"/>
  <c r="AR698" i="14"/>
  <c r="BX698" i="14"/>
  <c r="AB698" i="14"/>
  <c r="BD698" i="14"/>
  <c r="X698" i="14"/>
  <c r="AV698" i="14"/>
  <c r="AT698" i="14"/>
  <c r="BV698" i="14"/>
  <c r="BT698" i="14"/>
  <c r="BK698" i="14"/>
  <c r="AK698" i="14"/>
  <c r="AH698" i="14"/>
  <c r="AC698" i="14"/>
  <c r="BN698" i="14"/>
  <c r="I287" i="14"/>
  <c r="I281" i="14"/>
  <c r="I284" i="14"/>
  <c r="I288" i="14"/>
  <c r="I285" i="14"/>
  <c r="I280" i="14"/>
  <c r="I283" i="14"/>
  <c r="I286" i="14"/>
  <c r="I282" i="14"/>
  <c r="BE698" i="14"/>
  <c r="BL698" i="14"/>
  <c r="I347" i="14"/>
  <c r="I326" i="14"/>
  <c r="I327" i="14"/>
  <c r="I322" i="14"/>
  <c r="I328" i="14"/>
  <c r="I324" i="14"/>
  <c r="I325" i="14"/>
  <c r="I323" i="14"/>
  <c r="AO698" i="14"/>
  <c r="BH698" i="14"/>
  <c r="BM698" i="14"/>
  <c r="BY698" i="14"/>
  <c r="AA698" i="14"/>
  <c r="Y698" i="14"/>
  <c r="BC698" i="14"/>
  <c r="AQ698" i="14"/>
  <c r="BS698" i="14"/>
  <c r="L238" i="14"/>
  <c r="M238" i="14" s="1"/>
  <c r="N238" i="14" s="1"/>
  <c r="AM698" i="14"/>
  <c r="O698" i="14"/>
  <c r="P698" i="14"/>
  <c r="AF698" i="14"/>
  <c r="H164" i="14"/>
  <c r="H173" i="14"/>
  <c r="H19" i="14"/>
  <c r="J315" i="14"/>
  <c r="K315" i="14" s="1"/>
  <c r="I256" i="14"/>
  <c r="I251" i="14"/>
  <c r="I254" i="14"/>
  <c r="I249" i="14"/>
  <c r="I255" i="14"/>
  <c r="I252" i="14"/>
  <c r="I250" i="14"/>
  <c r="I253" i="14"/>
  <c r="I139" i="14"/>
  <c r="I135" i="14"/>
  <c r="I132" i="14"/>
  <c r="I131" i="14"/>
  <c r="I138" i="14"/>
  <c r="I136" i="14"/>
  <c r="I137" i="14"/>
  <c r="I133" i="14"/>
  <c r="I134" i="14"/>
  <c r="L89" i="14"/>
  <c r="M89" i="14" s="1"/>
  <c r="AD698" i="14"/>
  <c r="BR698" i="14"/>
  <c r="BW698" i="14"/>
  <c r="BF698" i="14"/>
  <c r="AX698" i="14"/>
  <c r="AN698" i="14"/>
  <c r="I103" i="14"/>
  <c r="I104" i="14"/>
  <c r="I107" i="14"/>
  <c r="I106" i="14"/>
  <c r="I101" i="14"/>
  <c r="I102" i="14"/>
  <c r="I105" i="14"/>
  <c r="BG698" i="14"/>
  <c r="U698" i="14"/>
  <c r="BJ698" i="14"/>
  <c r="J243" i="14"/>
  <c r="M831" i="14"/>
  <c r="BQ698" i="14"/>
  <c r="AS698" i="14"/>
  <c r="L698" i="14"/>
  <c r="L759" i="14"/>
  <c r="J94" i="14"/>
  <c r="K94" i="14" s="1"/>
  <c r="BP698" i="14"/>
  <c r="T698" i="14"/>
  <c r="BI698" i="14"/>
  <c r="AI698" i="14"/>
  <c r="AW698" i="14"/>
  <c r="L310" i="14"/>
  <c r="M698" i="14"/>
  <c r="BB698" i="14"/>
  <c r="K836" i="14"/>
  <c r="L836" i="14" s="1"/>
  <c r="H924" i="14"/>
  <c r="H564" i="14"/>
  <c r="I877" i="14"/>
  <c r="I876" i="14"/>
  <c r="I875" i="14"/>
  <c r="I878" i="14"/>
  <c r="I880" i="14"/>
  <c r="I881" i="14"/>
  <c r="I874" i="14"/>
  <c r="I879" i="14"/>
  <c r="I873" i="14"/>
  <c r="J802" i="14"/>
  <c r="J804" i="14"/>
  <c r="J805" i="14"/>
  <c r="J807" i="14"/>
  <c r="J808" i="14"/>
  <c r="J803" i="14"/>
  <c r="J809" i="14"/>
  <c r="J806" i="14"/>
  <c r="J801" i="14"/>
  <c r="J868" i="14"/>
  <c r="J776" i="14"/>
  <c r="J775" i="14"/>
  <c r="J773" i="14"/>
  <c r="J771" i="14"/>
  <c r="J777" i="14"/>
  <c r="J772" i="14"/>
  <c r="J774" i="14"/>
  <c r="K764" i="14"/>
  <c r="J846" i="14"/>
  <c r="J845" i="14"/>
  <c r="J844" i="14"/>
  <c r="J843" i="14"/>
  <c r="J847" i="14"/>
  <c r="J848" i="14"/>
  <c r="J849" i="14"/>
  <c r="J842" i="14"/>
  <c r="AJ1364" i="14"/>
  <c r="AI1369" i="14"/>
  <c r="H713" i="14"/>
  <c r="H575" i="14" s="1"/>
  <c r="H577" i="14" s="1"/>
  <c r="D59" i="20" s="1"/>
  <c r="H20" i="14" l="1"/>
  <c r="K101" i="14"/>
  <c r="K102" i="14"/>
  <c r="K103" i="14"/>
  <c r="K107" i="14"/>
  <c r="K104" i="14"/>
  <c r="K105" i="14"/>
  <c r="K106" i="14"/>
  <c r="M759" i="14"/>
  <c r="J255" i="14"/>
  <c r="J252" i="14"/>
  <c r="J253" i="14"/>
  <c r="J249" i="14"/>
  <c r="J256" i="14"/>
  <c r="J251" i="14"/>
  <c r="J254" i="14"/>
  <c r="J250" i="14"/>
  <c r="J275" i="14"/>
  <c r="I360" i="14"/>
  <c r="I359" i="14"/>
  <c r="I356" i="14"/>
  <c r="I355" i="14"/>
  <c r="I352" i="14"/>
  <c r="I357" i="14"/>
  <c r="I353" i="14"/>
  <c r="I354" i="14"/>
  <c r="I358" i="14"/>
  <c r="L94" i="14"/>
  <c r="N89" i="14"/>
  <c r="K243" i="14"/>
  <c r="L243" i="14" s="1"/>
  <c r="L315" i="14"/>
  <c r="M310" i="14"/>
  <c r="K325" i="14"/>
  <c r="K322" i="14"/>
  <c r="K324" i="14"/>
  <c r="K326" i="14"/>
  <c r="K328" i="14"/>
  <c r="K323" i="14"/>
  <c r="K327" i="14"/>
  <c r="O238" i="14"/>
  <c r="P238" i="14" s="1"/>
  <c r="Q238" i="14" s="1"/>
  <c r="R238" i="14" s="1"/>
  <c r="N831" i="14"/>
  <c r="O831" i="14" s="1"/>
  <c r="J347" i="14"/>
  <c r="K347" i="14" s="1"/>
  <c r="J326" i="14"/>
  <c r="J323" i="14"/>
  <c r="J327" i="14"/>
  <c r="J324" i="14"/>
  <c r="J328" i="14"/>
  <c r="J322" i="14"/>
  <c r="J325" i="14"/>
  <c r="J105" i="14"/>
  <c r="J102" i="14"/>
  <c r="J106" i="14"/>
  <c r="J103" i="14"/>
  <c r="J101" i="14"/>
  <c r="J107" i="14"/>
  <c r="J104" i="14"/>
  <c r="J126" i="14"/>
  <c r="K126" i="14" s="1"/>
  <c r="H27" i="14"/>
  <c r="H174" i="14"/>
  <c r="J878" i="14"/>
  <c r="J876" i="14"/>
  <c r="J881" i="14"/>
  <c r="J880" i="14"/>
  <c r="J874" i="14"/>
  <c r="J873" i="14"/>
  <c r="J877" i="14"/>
  <c r="J875" i="14"/>
  <c r="J879" i="14"/>
  <c r="H926" i="14"/>
  <c r="H567" i="14" s="1"/>
  <c r="H565" i="14"/>
  <c r="L844" i="14"/>
  <c r="L843" i="14"/>
  <c r="L846" i="14"/>
  <c r="L845" i="14"/>
  <c r="L849" i="14"/>
  <c r="L848" i="14"/>
  <c r="L847" i="14"/>
  <c r="L842" i="14"/>
  <c r="K844" i="14"/>
  <c r="K849" i="14"/>
  <c r="K848" i="14"/>
  <c r="K843" i="14"/>
  <c r="K845" i="14"/>
  <c r="K847" i="14"/>
  <c r="K846" i="14"/>
  <c r="K842" i="14"/>
  <c r="K868" i="14"/>
  <c r="L868" i="14" s="1"/>
  <c r="M836" i="14"/>
  <c r="K774" i="14"/>
  <c r="K772" i="14"/>
  <c r="K775" i="14"/>
  <c r="K773" i="14"/>
  <c r="K771" i="14"/>
  <c r="K777" i="14"/>
  <c r="K776" i="14"/>
  <c r="K796" i="14"/>
  <c r="L764" i="14"/>
  <c r="AK1364" i="14"/>
  <c r="AJ1369" i="14"/>
  <c r="M315" i="14" l="1"/>
  <c r="M322" i="14" s="1"/>
  <c r="N836" i="14"/>
  <c r="S238" i="14"/>
  <c r="M243" i="14"/>
  <c r="N243" i="14" s="1"/>
  <c r="K135" i="14"/>
  <c r="K131" i="14"/>
  <c r="K137" i="14"/>
  <c r="K139" i="14"/>
  <c r="K133" i="14"/>
  <c r="K138" i="14"/>
  <c r="K134" i="14"/>
  <c r="K132" i="14"/>
  <c r="K136" i="14"/>
  <c r="M94" i="14"/>
  <c r="L106" i="14"/>
  <c r="L105" i="14"/>
  <c r="L103" i="14"/>
  <c r="L107" i="14"/>
  <c r="L101" i="14"/>
  <c r="L104" i="14"/>
  <c r="L126" i="14"/>
  <c r="L102" i="14"/>
  <c r="N759" i="14"/>
  <c r="O759" i="14" s="1"/>
  <c r="P759" i="14" s="1"/>
  <c r="Q759" i="14" s="1"/>
  <c r="R759" i="14" s="1"/>
  <c r="K353" i="14"/>
  <c r="K360" i="14"/>
  <c r="K355" i="14"/>
  <c r="K354" i="14"/>
  <c r="K359" i="14"/>
  <c r="K356" i="14"/>
  <c r="K358" i="14"/>
  <c r="K352" i="14"/>
  <c r="K357" i="14"/>
  <c r="L249" i="14"/>
  <c r="L254" i="14"/>
  <c r="L255" i="14"/>
  <c r="L256" i="14"/>
  <c r="L250" i="14"/>
  <c r="L251" i="14"/>
  <c r="L252" i="14"/>
  <c r="L253" i="14"/>
  <c r="J281" i="14"/>
  <c r="J285" i="14"/>
  <c r="J288" i="14"/>
  <c r="J287" i="14"/>
  <c r="J286" i="14"/>
  <c r="J280" i="14"/>
  <c r="J282" i="14"/>
  <c r="J284" i="14"/>
  <c r="J283" i="14"/>
  <c r="H28" i="14"/>
  <c r="H176" i="14"/>
  <c r="H30" i="14" s="1"/>
  <c r="L347" i="14"/>
  <c r="M347" i="14" s="1"/>
  <c r="L325" i="14"/>
  <c r="L322" i="14"/>
  <c r="L323" i="14"/>
  <c r="L327" i="14"/>
  <c r="L328" i="14"/>
  <c r="L326" i="14"/>
  <c r="L324" i="14"/>
  <c r="J132" i="14"/>
  <c r="J135" i="14"/>
  <c r="J134" i="14"/>
  <c r="J137" i="14"/>
  <c r="J133" i="14"/>
  <c r="J131" i="14"/>
  <c r="J139" i="14"/>
  <c r="J136" i="14"/>
  <c r="J138" i="14"/>
  <c r="N310" i="14"/>
  <c r="K254" i="14"/>
  <c r="K252" i="14"/>
  <c r="K249" i="14"/>
  <c r="K251" i="14"/>
  <c r="K256" i="14"/>
  <c r="K250" i="14"/>
  <c r="K253" i="14"/>
  <c r="K255" i="14"/>
  <c r="K275" i="14"/>
  <c r="L275" i="14" s="1"/>
  <c r="P831" i="14"/>
  <c r="J358" i="14"/>
  <c r="J352" i="14"/>
  <c r="J356" i="14"/>
  <c r="J354" i="14"/>
  <c r="J359" i="14"/>
  <c r="J360" i="14"/>
  <c r="J355" i="14"/>
  <c r="J357" i="14"/>
  <c r="J353" i="14"/>
  <c r="O89" i="14"/>
  <c r="P89" i="14" s="1"/>
  <c r="L873" i="14"/>
  <c r="L874" i="14"/>
  <c r="L875" i="14"/>
  <c r="L881" i="14"/>
  <c r="L877" i="14"/>
  <c r="L878" i="14"/>
  <c r="L876" i="14"/>
  <c r="L880" i="14"/>
  <c r="L879" i="14"/>
  <c r="L772" i="14"/>
  <c r="L773" i="14"/>
  <c r="L796" i="14"/>
  <c r="L777" i="14"/>
  <c r="L775" i="14"/>
  <c r="L776" i="14"/>
  <c r="L771" i="14"/>
  <c r="L774" i="14"/>
  <c r="M764" i="14"/>
  <c r="O836" i="14"/>
  <c r="N843" i="14"/>
  <c r="N848" i="14"/>
  <c r="N849" i="14"/>
  <c r="N844" i="14"/>
  <c r="N845" i="14"/>
  <c r="N846" i="14"/>
  <c r="N847" i="14"/>
  <c r="N842" i="14"/>
  <c r="K809" i="14"/>
  <c r="K802" i="14"/>
  <c r="K805" i="14"/>
  <c r="K803" i="14"/>
  <c r="K807" i="14"/>
  <c r="K806" i="14"/>
  <c r="K804" i="14"/>
  <c r="K808" i="14"/>
  <c r="K801" i="14"/>
  <c r="M846" i="14"/>
  <c r="M844" i="14"/>
  <c r="M845" i="14"/>
  <c r="M848" i="14"/>
  <c r="M849" i="14"/>
  <c r="M843" i="14"/>
  <c r="M847" i="14"/>
  <c r="M842" i="14"/>
  <c r="M868" i="14"/>
  <c r="K876" i="14"/>
  <c r="K873" i="14"/>
  <c r="K879" i="14"/>
  <c r="K877" i="14"/>
  <c r="K881" i="14"/>
  <c r="K874" i="14"/>
  <c r="K880" i="14"/>
  <c r="K875" i="14"/>
  <c r="K878" i="14"/>
  <c r="AL1364" i="14"/>
  <c r="AK1369" i="14"/>
  <c r="T238" i="14"/>
  <c r="M253" i="14" l="1"/>
  <c r="M250" i="14"/>
  <c r="M251" i="14"/>
  <c r="M254" i="14"/>
  <c r="M252" i="14"/>
  <c r="M323" i="14"/>
  <c r="M324" i="14"/>
  <c r="M325" i="14"/>
  <c r="M327" i="14"/>
  <c r="M328" i="14"/>
  <c r="M326" i="14"/>
  <c r="M256" i="14"/>
  <c r="N255" i="14"/>
  <c r="N249" i="14"/>
  <c r="N250" i="14"/>
  <c r="N256" i="14"/>
  <c r="N254" i="14"/>
  <c r="N251" i="14"/>
  <c r="N253" i="14"/>
  <c r="O243" i="14"/>
  <c r="O253" i="14" s="1"/>
  <c r="N252" i="14"/>
  <c r="P836" i="14"/>
  <c r="P847" i="14" s="1"/>
  <c r="M249" i="14"/>
  <c r="M255" i="14"/>
  <c r="N315" i="14"/>
  <c r="O310" i="14"/>
  <c r="M102" i="14"/>
  <c r="M101" i="14"/>
  <c r="M107" i="14"/>
  <c r="M105" i="14"/>
  <c r="M106" i="14"/>
  <c r="M103" i="14"/>
  <c r="M104" i="14"/>
  <c r="M126" i="14"/>
  <c r="L282" i="14"/>
  <c r="L288" i="14"/>
  <c r="L284" i="14"/>
  <c r="L283" i="14"/>
  <c r="L280" i="14"/>
  <c r="L287" i="14"/>
  <c r="L286" i="14"/>
  <c r="L281" i="14"/>
  <c r="L285" i="14"/>
  <c r="N94" i="14"/>
  <c r="Q89" i="14"/>
  <c r="K287" i="14"/>
  <c r="K281" i="14"/>
  <c r="K282" i="14"/>
  <c r="K286" i="14"/>
  <c r="K284" i="14"/>
  <c r="K285" i="14"/>
  <c r="K280" i="14"/>
  <c r="K283" i="14"/>
  <c r="K288" i="14"/>
  <c r="S759" i="14"/>
  <c r="Q831" i="14"/>
  <c r="Q836" i="14" s="1"/>
  <c r="L353" i="14"/>
  <c r="L358" i="14"/>
  <c r="L356" i="14"/>
  <c r="L359" i="14"/>
  <c r="L355" i="14"/>
  <c r="L352" i="14"/>
  <c r="L354" i="14"/>
  <c r="L357" i="14"/>
  <c r="L360" i="14"/>
  <c r="M275" i="14"/>
  <c r="N275" i="14" s="1"/>
  <c r="L135" i="14"/>
  <c r="L133" i="14"/>
  <c r="L134" i="14"/>
  <c r="L138" i="14"/>
  <c r="L137" i="14"/>
  <c r="L136" i="14"/>
  <c r="L139" i="14"/>
  <c r="L131" i="14"/>
  <c r="L132" i="14"/>
  <c r="M354" i="14"/>
  <c r="M353" i="14"/>
  <c r="M359" i="14"/>
  <c r="M352" i="14"/>
  <c r="M360" i="14"/>
  <c r="M357" i="14"/>
  <c r="M356" i="14"/>
  <c r="M355" i="14"/>
  <c r="M358" i="14"/>
  <c r="L807" i="14"/>
  <c r="L804" i="14"/>
  <c r="L808" i="14"/>
  <c r="L802" i="14"/>
  <c r="L801" i="14"/>
  <c r="L806" i="14"/>
  <c r="L809" i="14"/>
  <c r="L805" i="14"/>
  <c r="L803" i="14"/>
  <c r="N764" i="14"/>
  <c r="O764" i="14" s="1"/>
  <c r="M772" i="14"/>
  <c r="M775" i="14"/>
  <c r="M773" i="14"/>
  <c r="M774" i="14"/>
  <c r="M777" i="14"/>
  <c r="M771" i="14"/>
  <c r="M776" i="14"/>
  <c r="M796" i="14"/>
  <c r="O844" i="14"/>
  <c r="O845" i="14"/>
  <c r="O847" i="14"/>
  <c r="O846" i="14"/>
  <c r="O848" i="14"/>
  <c r="O849" i="14"/>
  <c r="O843" i="14"/>
  <c r="O842" i="14"/>
  <c r="M880" i="14"/>
  <c r="M877" i="14"/>
  <c r="M875" i="14"/>
  <c r="M879" i="14"/>
  <c r="M876" i="14"/>
  <c r="M874" i="14"/>
  <c r="M881" i="14"/>
  <c r="M878" i="14"/>
  <c r="M873" i="14"/>
  <c r="N868" i="14"/>
  <c r="AM1364" i="14"/>
  <c r="AL1369" i="14"/>
  <c r="U238" i="14"/>
  <c r="V238" i="14" s="1"/>
  <c r="O250" i="14" l="1"/>
  <c r="P842" i="14"/>
  <c r="O254" i="14"/>
  <c r="O255" i="14"/>
  <c r="O249" i="14"/>
  <c r="O252" i="14"/>
  <c r="O251" i="14"/>
  <c r="O256" i="14"/>
  <c r="P843" i="14"/>
  <c r="R831" i="14"/>
  <c r="S831" i="14" s="1"/>
  <c r="P849" i="14"/>
  <c r="P846" i="14"/>
  <c r="P848" i="14"/>
  <c r="P844" i="14"/>
  <c r="P845" i="14"/>
  <c r="P243" i="14"/>
  <c r="Q243" i="14" s="1"/>
  <c r="Q254" i="14" s="1"/>
  <c r="N281" i="14"/>
  <c r="N282" i="14"/>
  <c r="N287" i="14"/>
  <c r="N284" i="14"/>
  <c r="N285" i="14"/>
  <c r="N283" i="14"/>
  <c r="N288" i="14"/>
  <c r="N286" i="14"/>
  <c r="N280" i="14"/>
  <c r="N126" i="14"/>
  <c r="M135" i="14"/>
  <c r="M136" i="14"/>
  <c r="M133" i="14"/>
  <c r="M138" i="14"/>
  <c r="M131" i="14"/>
  <c r="M132" i="14"/>
  <c r="M137" i="14"/>
  <c r="M134" i="14"/>
  <c r="M139" i="14"/>
  <c r="O275" i="14"/>
  <c r="O283" i="14" s="1"/>
  <c r="M288" i="14"/>
  <c r="M285" i="14"/>
  <c r="M284" i="14"/>
  <c r="M280" i="14"/>
  <c r="M283" i="14"/>
  <c r="M282" i="14"/>
  <c r="M286" i="14"/>
  <c r="M287" i="14"/>
  <c r="M281" i="14"/>
  <c r="R836" i="14"/>
  <c r="R843" i="14" s="1"/>
  <c r="N106" i="14"/>
  <c r="N102" i="14"/>
  <c r="N105" i="14"/>
  <c r="N104" i="14"/>
  <c r="N107" i="14"/>
  <c r="N103" i="14"/>
  <c r="N101" i="14"/>
  <c r="P310" i="14"/>
  <c r="O315" i="14"/>
  <c r="R89" i="14"/>
  <c r="S89" i="14" s="1"/>
  <c r="N347" i="14"/>
  <c r="N324" i="14"/>
  <c r="N328" i="14"/>
  <c r="N327" i="14"/>
  <c r="N326" i="14"/>
  <c r="N322" i="14"/>
  <c r="N325" i="14"/>
  <c r="N323" i="14"/>
  <c r="O94" i="14"/>
  <c r="T759" i="14"/>
  <c r="U759" i="14" s="1"/>
  <c r="P764" i="14"/>
  <c r="O772" i="14"/>
  <c r="O774" i="14"/>
  <c r="O775" i="14"/>
  <c r="O777" i="14"/>
  <c r="O771" i="14"/>
  <c r="O773" i="14"/>
  <c r="O776" i="14"/>
  <c r="M805" i="14"/>
  <c r="M801" i="14"/>
  <c r="M806" i="14"/>
  <c r="M809" i="14"/>
  <c r="M808" i="14"/>
  <c r="M802" i="14"/>
  <c r="M807" i="14"/>
  <c r="M804" i="14"/>
  <c r="M803" i="14"/>
  <c r="N777" i="14"/>
  <c r="N772" i="14"/>
  <c r="N774" i="14"/>
  <c r="N773" i="14"/>
  <c r="N771" i="14"/>
  <c r="N775" i="14"/>
  <c r="N776" i="14"/>
  <c r="N796" i="14"/>
  <c r="O868" i="14"/>
  <c r="N878" i="14"/>
  <c r="N874" i="14"/>
  <c r="N875" i="14"/>
  <c r="N879" i="14"/>
  <c r="N877" i="14"/>
  <c r="N876" i="14"/>
  <c r="N881" i="14"/>
  <c r="N880" i="14"/>
  <c r="N873" i="14"/>
  <c r="Q848" i="14"/>
  <c r="Q847" i="14"/>
  <c r="Q843" i="14"/>
  <c r="Q846" i="14"/>
  <c r="Q845" i="14"/>
  <c r="Q849" i="14"/>
  <c r="Q844" i="14"/>
  <c r="Q842" i="14"/>
  <c r="AN1364" i="14"/>
  <c r="AM1369" i="14"/>
  <c r="W238" i="14"/>
  <c r="X238" i="14" s="1"/>
  <c r="P256" i="14" l="1"/>
  <c r="R243" i="14"/>
  <c r="S243" i="14" s="1"/>
  <c r="P252" i="14"/>
  <c r="P253" i="14"/>
  <c r="P254" i="14"/>
  <c r="P250" i="14"/>
  <c r="Q253" i="14"/>
  <c r="P255" i="14"/>
  <c r="P251" i="14"/>
  <c r="P249" i="14"/>
  <c r="O288" i="14"/>
  <c r="O280" i="14"/>
  <c r="Q252" i="14"/>
  <c r="Q249" i="14"/>
  <c r="Q250" i="14"/>
  <c r="Q256" i="14"/>
  <c r="Q255" i="14"/>
  <c r="Q251" i="14"/>
  <c r="R844" i="14"/>
  <c r="R849" i="14"/>
  <c r="R848" i="14"/>
  <c r="V759" i="14"/>
  <c r="W759" i="14" s="1"/>
  <c r="Q310" i="14"/>
  <c r="R310" i="14" s="1"/>
  <c r="S310" i="14" s="1"/>
  <c r="N135" i="14"/>
  <c r="N139" i="14"/>
  <c r="N136" i="14"/>
  <c r="N131" i="14"/>
  <c r="N132" i="14"/>
  <c r="N138" i="14"/>
  <c r="N137" i="14"/>
  <c r="N134" i="14"/>
  <c r="N133" i="14"/>
  <c r="S836" i="14"/>
  <c r="S849" i="14" s="1"/>
  <c r="P275" i="14"/>
  <c r="Q275" i="14" s="1"/>
  <c r="Q280" i="14" s="1"/>
  <c r="O282" i="14"/>
  <c r="R842" i="14"/>
  <c r="N359" i="14"/>
  <c r="N353" i="14"/>
  <c r="N352" i="14"/>
  <c r="N358" i="14"/>
  <c r="N356" i="14"/>
  <c r="N354" i="14"/>
  <c r="N360" i="14"/>
  <c r="N357" i="14"/>
  <c r="N355" i="14"/>
  <c r="O286" i="14"/>
  <c r="R846" i="14"/>
  <c r="R845" i="14"/>
  <c r="T89" i="14"/>
  <c r="O284" i="14"/>
  <c r="O281" i="14"/>
  <c r="R847" i="14"/>
  <c r="O287" i="14"/>
  <c r="O285" i="14"/>
  <c r="P94" i="14"/>
  <c r="O106" i="14"/>
  <c r="O102" i="14"/>
  <c r="O107" i="14"/>
  <c r="O103" i="14"/>
  <c r="O101" i="14"/>
  <c r="O104" i="14"/>
  <c r="O126" i="14"/>
  <c r="O105" i="14"/>
  <c r="P315" i="14"/>
  <c r="O327" i="14"/>
  <c r="O325" i="14"/>
  <c r="O322" i="14"/>
  <c r="O347" i="14"/>
  <c r="O326" i="14"/>
  <c r="O328" i="14"/>
  <c r="O323" i="14"/>
  <c r="O324" i="14"/>
  <c r="T831" i="14"/>
  <c r="O796" i="14"/>
  <c r="P796" i="14" s="1"/>
  <c r="N803" i="14"/>
  <c r="N801" i="14"/>
  <c r="N804" i="14"/>
  <c r="N808" i="14"/>
  <c r="N802" i="14"/>
  <c r="N806" i="14"/>
  <c r="N807" i="14"/>
  <c r="N805" i="14"/>
  <c r="N809" i="14"/>
  <c r="P777" i="14"/>
  <c r="P771" i="14"/>
  <c r="P773" i="14"/>
  <c r="P775" i="14"/>
  <c r="P776" i="14"/>
  <c r="P772" i="14"/>
  <c r="P774" i="14"/>
  <c r="Q764" i="14"/>
  <c r="O879" i="14"/>
  <c r="O876" i="14"/>
  <c r="O878" i="14"/>
  <c r="O873" i="14"/>
  <c r="O877" i="14"/>
  <c r="O874" i="14"/>
  <c r="O880" i="14"/>
  <c r="O881" i="14"/>
  <c r="O875" i="14"/>
  <c r="P868" i="14"/>
  <c r="AO1364" i="14"/>
  <c r="AN1369" i="14"/>
  <c r="Y238" i="14"/>
  <c r="Z238" i="14" s="1"/>
  <c r="S252" i="14"/>
  <c r="S250" i="14"/>
  <c r="S254" i="14"/>
  <c r="S251" i="14"/>
  <c r="S255" i="14"/>
  <c r="S249" i="14"/>
  <c r="S256" i="14"/>
  <c r="S253" i="14"/>
  <c r="R249" i="14"/>
  <c r="R250" i="14"/>
  <c r="R254" i="14"/>
  <c r="R252" i="14"/>
  <c r="R256" i="14"/>
  <c r="R251" i="14"/>
  <c r="R253" i="14"/>
  <c r="Q286" i="14"/>
  <c r="Q287" i="14"/>
  <c r="Q282" i="14"/>
  <c r="Q284" i="14"/>
  <c r="P347" i="14" l="1"/>
  <c r="P360" i="14" s="1"/>
  <c r="R255" i="14"/>
  <c r="T243" i="14"/>
  <c r="U243" i="14" s="1"/>
  <c r="U251" i="14" s="1"/>
  <c r="P282" i="14"/>
  <c r="S847" i="14"/>
  <c r="S846" i="14"/>
  <c r="P352" i="14"/>
  <c r="Q285" i="14"/>
  <c r="P356" i="14"/>
  <c r="P286" i="14"/>
  <c r="P283" i="14"/>
  <c r="P288" i="14"/>
  <c r="Q288" i="14"/>
  <c r="P287" i="14"/>
  <c r="X759" i="14"/>
  <c r="Y759" i="14" s="1"/>
  <c r="Z759" i="14" s="1"/>
  <c r="AA759" i="14" s="1"/>
  <c r="O353" i="14"/>
  <c r="O358" i="14"/>
  <c r="O352" i="14"/>
  <c r="O354" i="14"/>
  <c r="O355" i="14"/>
  <c r="O356" i="14"/>
  <c r="O357" i="14"/>
  <c r="O359" i="14"/>
  <c r="O360" i="14"/>
  <c r="P359" i="14"/>
  <c r="P354" i="14"/>
  <c r="P353" i="14"/>
  <c r="S842" i="14"/>
  <c r="T310" i="14"/>
  <c r="P355" i="14"/>
  <c r="Q315" i="14"/>
  <c r="P357" i="14"/>
  <c r="P325" i="14"/>
  <c r="P322" i="14"/>
  <c r="P323" i="14"/>
  <c r="P326" i="14"/>
  <c r="P327" i="14"/>
  <c r="P328" i="14"/>
  <c r="P324" i="14"/>
  <c r="Q281" i="14"/>
  <c r="P284" i="14"/>
  <c r="S845" i="14"/>
  <c r="P281" i="14"/>
  <c r="P358" i="14"/>
  <c r="P285" i="14"/>
  <c r="R275" i="14"/>
  <c r="R283" i="14" s="1"/>
  <c r="P280" i="14"/>
  <c r="S844" i="14"/>
  <c r="P126" i="14"/>
  <c r="O138" i="14"/>
  <c r="O134" i="14"/>
  <c r="O132" i="14"/>
  <c r="O137" i="14"/>
  <c r="O139" i="14"/>
  <c r="O135" i="14"/>
  <c r="O133" i="14"/>
  <c r="O136" i="14"/>
  <c r="O131" i="14"/>
  <c r="U89" i="14"/>
  <c r="Q283" i="14"/>
  <c r="S848" i="14"/>
  <c r="S843" i="14"/>
  <c r="U831" i="14"/>
  <c r="V831" i="14" s="1"/>
  <c r="W831" i="14" s="1"/>
  <c r="X831" i="14" s="1"/>
  <c r="Y831" i="14" s="1"/>
  <c r="Z831" i="14" s="1"/>
  <c r="AA831" i="14" s="1"/>
  <c r="AB831" i="14" s="1"/>
  <c r="AC831" i="14" s="1"/>
  <c r="AD831" i="14" s="1"/>
  <c r="AE831" i="14" s="1"/>
  <c r="AF831" i="14" s="1"/>
  <c r="AG831" i="14" s="1"/>
  <c r="AH831" i="14" s="1"/>
  <c r="AI831" i="14" s="1"/>
  <c r="AJ831" i="14" s="1"/>
  <c r="AK831" i="14" s="1"/>
  <c r="AL831" i="14" s="1"/>
  <c r="AM831" i="14" s="1"/>
  <c r="AN831" i="14" s="1"/>
  <c r="AO831" i="14" s="1"/>
  <c r="AP831" i="14" s="1"/>
  <c r="AQ831" i="14" s="1"/>
  <c r="AR831" i="14" s="1"/>
  <c r="AS831" i="14" s="1"/>
  <c r="AT831" i="14" s="1"/>
  <c r="AU831" i="14" s="1"/>
  <c r="AV831" i="14" s="1"/>
  <c r="AW831" i="14" s="1"/>
  <c r="AX831" i="14" s="1"/>
  <c r="AY831" i="14" s="1"/>
  <c r="AZ831" i="14" s="1"/>
  <c r="BA831" i="14" s="1"/>
  <c r="BB831" i="14" s="1"/>
  <c r="BC831" i="14" s="1"/>
  <c r="BD831" i="14" s="1"/>
  <c r="BE831" i="14" s="1"/>
  <c r="BF831" i="14" s="1"/>
  <c r="BG831" i="14" s="1"/>
  <c r="BH831" i="14" s="1"/>
  <c r="BI831" i="14" s="1"/>
  <c r="BJ831" i="14" s="1"/>
  <c r="BK831" i="14" s="1"/>
  <c r="BL831" i="14" s="1"/>
  <c r="BM831" i="14" s="1"/>
  <c r="BN831" i="14" s="1"/>
  <c r="BO831" i="14" s="1"/>
  <c r="BP831" i="14" s="1"/>
  <c r="BQ831" i="14" s="1"/>
  <c r="BR831" i="14" s="1"/>
  <c r="BS831" i="14" s="1"/>
  <c r="BT831" i="14" s="1"/>
  <c r="BU831" i="14" s="1"/>
  <c r="BV831" i="14" s="1"/>
  <c r="BW831" i="14" s="1"/>
  <c r="BX831" i="14" s="1"/>
  <c r="BY831" i="14" s="1"/>
  <c r="P103" i="14"/>
  <c r="P105" i="14"/>
  <c r="P107" i="14"/>
  <c r="P102" i="14"/>
  <c r="P104" i="14"/>
  <c r="P106" i="14"/>
  <c r="P101" i="14"/>
  <c r="Q94" i="14"/>
  <c r="T836" i="14"/>
  <c r="T849" i="14" s="1"/>
  <c r="Q776" i="14"/>
  <c r="Q777" i="14"/>
  <c r="Q773" i="14"/>
  <c r="Q772" i="14"/>
  <c r="Q771" i="14"/>
  <c r="Q775" i="14"/>
  <c r="Q774" i="14"/>
  <c r="R764" i="14"/>
  <c r="Q796" i="14"/>
  <c r="P803" i="14"/>
  <c r="P807" i="14"/>
  <c r="P808" i="14"/>
  <c r="P805" i="14"/>
  <c r="P809" i="14"/>
  <c r="P804" i="14"/>
  <c r="P801" i="14"/>
  <c r="P802" i="14"/>
  <c r="P806" i="14"/>
  <c r="P876" i="14"/>
  <c r="P881" i="14"/>
  <c r="P879" i="14"/>
  <c r="P878" i="14"/>
  <c r="P877" i="14"/>
  <c r="P874" i="14"/>
  <c r="P875" i="14"/>
  <c r="P873" i="14"/>
  <c r="P880" i="14"/>
  <c r="Q868" i="14"/>
  <c r="O809" i="14"/>
  <c r="O804" i="14"/>
  <c r="O805" i="14"/>
  <c r="O807" i="14"/>
  <c r="O801" i="14"/>
  <c r="O802" i="14"/>
  <c r="O808" i="14"/>
  <c r="O806" i="14"/>
  <c r="O803" i="14"/>
  <c r="AP1364" i="14"/>
  <c r="AO1369" i="14"/>
  <c r="V243" i="14"/>
  <c r="V253" i="14" s="1"/>
  <c r="T255" i="14"/>
  <c r="U249" i="14"/>
  <c r="U250" i="14"/>
  <c r="U256" i="14"/>
  <c r="U253" i="14"/>
  <c r="U255" i="14"/>
  <c r="U254" i="14"/>
  <c r="AA238" i="14"/>
  <c r="T254" i="14" l="1"/>
  <c r="U252" i="14"/>
  <c r="T253" i="14"/>
  <c r="T250" i="14"/>
  <c r="T256" i="14"/>
  <c r="T249" i="14"/>
  <c r="T252" i="14"/>
  <c r="T251" i="14"/>
  <c r="T847" i="14"/>
  <c r="T845" i="14"/>
  <c r="T843" i="14"/>
  <c r="T848" i="14"/>
  <c r="R284" i="14"/>
  <c r="S275" i="14"/>
  <c r="S282" i="14" s="1"/>
  <c r="R288" i="14"/>
  <c r="R286" i="14"/>
  <c r="R285" i="14"/>
  <c r="R282" i="14"/>
  <c r="T846" i="14"/>
  <c r="U836" i="14"/>
  <c r="U844" i="14" s="1"/>
  <c r="T842" i="14"/>
  <c r="Q101" i="14"/>
  <c r="Q105" i="14"/>
  <c r="Q126" i="14"/>
  <c r="Q107" i="14"/>
  <c r="Q102" i="14"/>
  <c r="Q106" i="14"/>
  <c r="Q103" i="14"/>
  <c r="Q104" i="14"/>
  <c r="P132" i="14"/>
  <c r="P136" i="14"/>
  <c r="P137" i="14"/>
  <c r="P133" i="14"/>
  <c r="P138" i="14"/>
  <c r="P131" i="14"/>
  <c r="P139" i="14"/>
  <c r="P135" i="14"/>
  <c r="P134" i="14"/>
  <c r="Q323" i="14"/>
  <c r="Q326" i="14"/>
  <c r="Q322" i="14"/>
  <c r="Q327" i="14"/>
  <c r="Q325" i="14"/>
  <c r="Q324" i="14"/>
  <c r="Q328" i="14"/>
  <c r="Q347" i="14"/>
  <c r="R280" i="14"/>
  <c r="T844" i="14"/>
  <c r="R287" i="14"/>
  <c r="R281" i="14"/>
  <c r="V89" i="14"/>
  <c r="U310" i="14"/>
  <c r="V310" i="14" s="1"/>
  <c r="R315" i="14"/>
  <c r="R94" i="14"/>
  <c r="R773" i="14"/>
  <c r="R774" i="14"/>
  <c r="R772" i="14"/>
  <c r="R775" i="14"/>
  <c r="R776" i="14"/>
  <c r="R777" i="14"/>
  <c r="R796" i="14"/>
  <c r="R771" i="14"/>
  <c r="S764" i="14"/>
  <c r="T764" i="14" s="1"/>
  <c r="Q801" i="14"/>
  <c r="Q802" i="14"/>
  <c r="Q806" i="14"/>
  <c r="Q809" i="14"/>
  <c r="Q808" i="14"/>
  <c r="Q803" i="14"/>
  <c r="Q805" i="14"/>
  <c r="Q807" i="14"/>
  <c r="Q804" i="14"/>
  <c r="Q878" i="14"/>
  <c r="Q874" i="14"/>
  <c r="Q881" i="14"/>
  <c r="Q876" i="14"/>
  <c r="Q880" i="14"/>
  <c r="Q877" i="14"/>
  <c r="Q873" i="14"/>
  <c r="Q875" i="14"/>
  <c r="Q879" i="14"/>
  <c r="R868" i="14"/>
  <c r="S868" i="14" s="1"/>
  <c r="W243" i="14"/>
  <c r="X243" i="14" s="1"/>
  <c r="X253" i="14" s="1"/>
  <c r="V249" i="14"/>
  <c r="V254" i="14"/>
  <c r="V255" i="14"/>
  <c r="V251" i="14"/>
  <c r="V250" i="14"/>
  <c r="V252" i="14"/>
  <c r="AQ1364" i="14"/>
  <c r="AP1369" i="14"/>
  <c r="V256" i="14"/>
  <c r="AB238" i="14"/>
  <c r="AB759" i="14"/>
  <c r="T275" i="14" l="1"/>
  <c r="S283" i="14"/>
  <c r="S280" i="14"/>
  <c r="S288" i="14"/>
  <c r="S284" i="14"/>
  <c r="S287" i="14"/>
  <c r="S285" i="14"/>
  <c r="S286" i="14"/>
  <c r="S281" i="14"/>
  <c r="V836" i="14"/>
  <c r="W836" i="14" s="1"/>
  <c r="U845" i="14"/>
  <c r="U849" i="14"/>
  <c r="U843" i="14"/>
  <c r="U847" i="14"/>
  <c r="U846" i="14"/>
  <c r="U842" i="14"/>
  <c r="U848" i="14"/>
  <c r="R347" i="14"/>
  <c r="Q353" i="14"/>
  <c r="Q356" i="14"/>
  <c r="Q357" i="14"/>
  <c r="Q359" i="14"/>
  <c r="Q354" i="14"/>
  <c r="Q355" i="14"/>
  <c r="Q352" i="14"/>
  <c r="Q360" i="14"/>
  <c r="Q358" i="14"/>
  <c r="S94" i="14"/>
  <c r="R105" i="14"/>
  <c r="R126" i="14"/>
  <c r="R101" i="14"/>
  <c r="R104" i="14"/>
  <c r="R102" i="14"/>
  <c r="R103" i="14"/>
  <c r="R107" i="14"/>
  <c r="R106" i="14"/>
  <c r="S315" i="14"/>
  <c r="R326" i="14"/>
  <c r="R323" i="14"/>
  <c r="R328" i="14"/>
  <c r="R324" i="14"/>
  <c r="R325" i="14"/>
  <c r="R322" i="14"/>
  <c r="R327" i="14"/>
  <c r="Q136" i="14"/>
  <c r="Q131" i="14"/>
  <c r="Q133" i="14"/>
  <c r="Q137" i="14"/>
  <c r="Q135" i="14"/>
  <c r="Q139" i="14"/>
  <c r="Q138" i="14"/>
  <c r="Q132" i="14"/>
  <c r="Q134" i="14"/>
  <c r="W310" i="14"/>
  <c r="W250" i="14"/>
  <c r="W89" i="14"/>
  <c r="X89" i="14" s="1"/>
  <c r="X251" i="14"/>
  <c r="T776" i="14"/>
  <c r="T771" i="14"/>
  <c r="T772" i="14"/>
  <c r="T774" i="14"/>
  <c r="T775" i="14"/>
  <c r="T773" i="14"/>
  <c r="T777" i="14"/>
  <c r="X249" i="14"/>
  <c r="R804" i="14"/>
  <c r="R803" i="14"/>
  <c r="R807" i="14"/>
  <c r="R802" i="14"/>
  <c r="R806" i="14"/>
  <c r="R808" i="14"/>
  <c r="R805" i="14"/>
  <c r="R809" i="14"/>
  <c r="R801" i="14"/>
  <c r="X250" i="14"/>
  <c r="X255" i="14"/>
  <c r="Y243" i="14"/>
  <c r="Y255" i="14" s="1"/>
  <c r="U764" i="14"/>
  <c r="S879" i="14"/>
  <c r="S880" i="14"/>
  <c r="S881" i="14"/>
  <c r="S873" i="14"/>
  <c r="S874" i="14"/>
  <c r="S876" i="14"/>
  <c r="S875" i="14"/>
  <c r="S878" i="14"/>
  <c r="S877" i="14"/>
  <c r="W254" i="14"/>
  <c r="W252" i="14"/>
  <c r="S773" i="14"/>
  <c r="S774" i="14"/>
  <c r="S772" i="14"/>
  <c r="S796" i="14"/>
  <c r="T796" i="14" s="1"/>
  <c r="S771" i="14"/>
  <c r="S776" i="14"/>
  <c r="S777" i="14"/>
  <c r="S775" i="14"/>
  <c r="X252" i="14"/>
  <c r="X256" i="14"/>
  <c r="W253" i="14"/>
  <c r="W255" i="14"/>
  <c r="R878" i="14"/>
  <c r="R879" i="14"/>
  <c r="R881" i="14"/>
  <c r="R875" i="14"/>
  <c r="R876" i="14"/>
  <c r="R877" i="14"/>
  <c r="R873" i="14"/>
  <c r="R880" i="14"/>
  <c r="R874" i="14"/>
  <c r="W249" i="14"/>
  <c r="T868" i="14"/>
  <c r="W256" i="14"/>
  <c r="W251" i="14"/>
  <c r="X254" i="14"/>
  <c r="AR1364" i="14"/>
  <c r="AQ1369" i="14"/>
  <c r="AC238" i="14"/>
  <c r="T287" i="14"/>
  <c r="T284" i="14"/>
  <c r="T282" i="14"/>
  <c r="T286" i="14"/>
  <c r="T281" i="14"/>
  <c r="T283" i="14"/>
  <c r="T285" i="14"/>
  <c r="T288" i="14"/>
  <c r="T280" i="14"/>
  <c r="U275" i="14"/>
  <c r="AC759" i="14"/>
  <c r="V843" i="14" l="1"/>
  <c r="V849" i="14"/>
  <c r="V847" i="14"/>
  <c r="V845" i="14"/>
  <c r="V848" i="14"/>
  <c r="V846" i="14"/>
  <c r="V844" i="14"/>
  <c r="V842" i="14"/>
  <c r="Z243" i="14"/>
  <c r="Z252" i="14" s="1"/>
  <c r="R131" i="14"/>
  <c r="R139" i="14"/>
  <c r="R136" i="14"/>
  <c r="R132" i="14"/>
  <c r="R133" i="14"/>
  <c r="R138" i="14"/>
  <c r="R135" i="14"/>
  <c r="R137" i="14"/>
  <c r="R134" i="14"/>
  <c r="S107" i="14"/>
  <c r="S104" i="14"/>
  <c r="S105" i="14"/>
  <c r="S102" i="14"/>
  <c r="S101" i="14"/>
  <c r="S106" i="14"/>
  <c r="S103" i="14"/>
  <c r="S126" i="14"/>
  <c r="T94" i="14"/>
  <c r="U94" i="14" s="1"/>
  <c r="V94" i="14" s="1"/>
  <c r="Y250" i="14"/>
  <c r="X310" i="14"/>
  <c r="Y251" i="14"/>
  <c r="Y254" i="14"/>
  <c r="Y256" i="14"/>
  <c r="S326" i="14"/>
  <c r="S328" i="14"/>
  <c r="S322" i="14"/>
  <c r="S323" i="14"/>
  <c r="S327" i="14"/>
  <c r="S324" i="14"/>
  <c r="S325" i="14"/>
  <c r="T315" i="14"/>
  <c r="Y253" i="14"/>
  <c r="Y249" i="14"/>
  <c r="S347" i="14"/>
  <c r="R359" i="14"/>
  <c r="R356" i="14"/>
  <c r="R355" i="14"/>
  <c r="R360" i="14"/>
  <c r="R357" i="14"/>
  <c r="R354" i="14"/>
  <c r="R352" i="14"/>
  <c r="R353" i="14"/>
  <c r="R358" i="14"/>
  <c r="Y252" i="14"/>
  <c r="Y89" i="14"/>
  <c r="T802" i="14"/>
  <c r="T805" i="14"/>
  <c r="T806" i="14"/>
  <c r="T803" i="14"/>
  <c r="T804" i="14"/>
  <c r="T801" i="14"/>
  <c r="T808" i="14"/>
  <c r="T809" i="14"/>
  <c r="T807" i="14"/>
  <c r="S803" i="14"/>
  <c r="S801" i="14"/>
  <c r="S804" i="14"/>
  <c r="S807" i="14"/>
  <c r="S809" i="14"/>
  <c r="S806" i="14"/>
  <c r="S808" i="14"/>
  <c r="S802" i="14"/>
  <c r="S805" i="14"/>
  <c r="U777" i="14"/>
  <c r="U773" i="14"/>
  <c r="U772" i="14"/>
  <c r="U775" i="14"/>
  <c r="U796" i="14"/>
  <c r="U776" i="14"/>
  <c r="U771" i="14"/>
  <c r="U774" i="14"/>
  <c r="V764" i="14"/>
  <c r="T879" i="14"/>
  <c r="T875" i="14"/>
  <c r="T876" i="14"/>
  <c r="T873" i="14"/>
  <c r="T878" i="14"/>
  <c r="T880" i="14"/>
  <c r="T881" i="14"/>
  <c r="T874" i="14"/>
  <c r="T877" i="14"/>
  <c r="U868" i="14"/>
  <c r="W845" i="14"/>
  <c r="W846" i="14"/>
  <c r="W844" i="14"/>
  <c r="W847" i="14"/>
  <c r="W843" i="14"/>
  <c r="W849" i="14"/>
  <c r="W848" i="14"/>
  <c r="W842" i="14"/>
  <c r="X836" i="14"/>
  <c r="AS1364" i="14"/>
  <c r="AR1369" i="14"/>
  <c r="V275" i="14"/>
  <c r="W275" i="14" s="1"/>
  <c r="Z250" i="14"/>
  <c r="Z255" i="14"/>
  <c r="Z249" i="14"/>
  <c r="AA243" i="14"/>
  <c r="U282" i="14"/>
  <c r="U287" i="14"/>
  <c r="U288" i="14"/>
  <c r="U281" i="14"/>
  <c r="U284" i="14"/>
  <c r="U286" i="14"/>
  <c r="U285" i="14"/>
  <c r="U283" i="14"/>
  <c r="U280" i="14"/>
  <c r="AD238" i="14"/>
  <c r="AD759" i="14"/>
  <c r="Z256" i="14" l="1"/>
  <c r="Z253" i="14"/>
  <c r="Z254" i="14"/>
  <c r="Z251" i="14"/>
  <c r="V106" i="14"/>
  <c r="V101" i="14"/>
  <c r="V102" i="14"/>
  <c r="V107" i="14"/>
  <c r="V104" i="14"/>
  <c r="V103" i="14"/>
  <c r="V105" i="14"/>
  <c r="Y310" i="14"/>
  <c r="Z310" i="14" s="1"/>
  <c r="T106" i="14"/>
  <c r="T105" i="14"/>
  <c r="T104" i="14"/>
  <c r="T102" i="14"/>
  <c r="T107" i="14"/>
  <c r="T103" i="14"/>
  <c r="T101" i="14"/>
  <c r="T126" i="14"/>
  <c r="U107" i="14"/>
  <c r="U102" i="14"/>
  <c r="U104" i="14"/>
  <c r="U106" i="14"/>
  <c r="U101" i="14"/>
  <c r="U105" i="14"/>
  <c r="U103" i="14"/>
  <c r="Z89" i="14"/>
  <c r="U315" i="14"/>
  <c r="T325" i="14"/>
  <c r="T323" i="14"/>
  <c r="T324" i="14"/>
  <c r="T322" i="14"/>
  <c r="T328" i="14"/>
  <c r="T347" i="14"/>
  <c r="T326" i="14"/>
  <c r="T327" i="14"/>
  <c r="S131" i="14"/>
  <c r="S139" i="14"/>
  <c r="S133" i="14"/>
  <c r="S134" i="14"/>
  <c r="S137" i="14"/>
  <c r="S138" i="14"/>
  <c r="S135" i="14"/>
  <c r="S132" i="14"/>
  <c r="S136" i="14"/>
  <c r="S352" i="14"/>
  <c r="S353" i="14"/>
  <c r="S357" i="14"/>
  <c r="S354" i="14"/>
  <c r="S360" i="14"/>
  <c r="S359" i="14"/>
  <c r="S356" i="14"/>
  <c r="S358" i="14"/>
  <c r="S355" i="14"/>
  <c r="W94" i="14"/>
  <c r="U803" i="14"/>
  <c r="U806" i="14"/>
  <c r="U809" i="14"/>
  <c r="U805" i="14"/>
  <c r="U807" i="14"/>
  <c r="U801" i="14"/>
  <c r="U802" i="14"/>
  <c r="U808" i="14"/>
  <c r="U804" i="14"/>
  <c r="V771" i="14"/>
  <c r="V776" i="14"/>
  <c r="V796" i="14"/>
  <c r="V773" i="14"/>
  <c r="V775" i="14"/>
  <c r="V777" i="14"/>
  <c r="V774" i="14"/>
  <c r="V772" i="14"/>
  <c r="W764" i="14"/>
  <c r="U881" i="14"/>
  <c r="U874" i="14"/>
  <c r="U875" i="14"/>
  <c r="U878" i="14"/>
  <c r="U877" i="14"/>
  <c r="U876" i="14"/>
  <c r="U873" i="14"/>
  <c r="U879" i="14"/>
  <c r="U880" i="14"/>
  <c r="V868" i="14"/>
  <c r="W868" i="14" s="1"/>
  <c r="X845" i="14"/>
  <c r="X846" i="14"/>
  <c r="X847" i="14"/>
  <c r="X843" i="14"/>
  <c r="X849" i="14"/>
  <c r="X848" i="14"/>
  <c r="X844" i="14"/>
  <c r="X842" i="14"/>
  <c r="Y836" i="14"/>
  <c r="AT1364" i="14"/>
  <c r="AS1369" i="14"/>
  <c r="V283" i="14"/>
  <c r="V287" i="14"/>
  <c r="V288" i="14"/>
  <c r="V284" i="14"/>
  <c r="V282" i="14"/>
  <c r="V280" i="14"/>
  <c r="V285" i="14"/>
  <c r="V281" i="14"/>
  <c r="V286" i="14"/>
  <c r="W286" i="14"/>
  <c r="W280" i="14"/>
  <c r="W281" i="14"/>
  <c r="W282" i="14"/>
  <c r="W283" i="14"/>
  <c r="W288" i="14"/>
  <c r="W287" i="14"/>
  <c r="X275" i="14"/>
  <c r="Y275" i="14" s="1"/>
  <c r="W284" i="14"/>
  <c r="W285" i="14"/>
  <c r="AA250" i="14"/>
  <c r="AA249" i="14"/>
  <c r="AA256" i="14"/>
  <c r="AA254" i="14"/>
  <c r="AA252" i="14"/>
  <c r="AA253" i="14"/>
  <c r="AA251" i="14"/>
  <c r="AA255" i="14"/>
  <c r="AB243" i="14"/>
  <c r="AE238" i="14"/>
  <c r="AE759" i="14"/>
  <c r="AA310" i="14" l="1"/>
  <c r="AA89" i="14"/>
  <c r="X94" i="14"/>
  <c r="W103" i="14"/>
  <c r="W106" i="14"/>
  <c r="W104" i="14"/>
  <c r="W102" i="14"/>
  <c r="W105" i="14"/>
  <c r="W107" i="14"/>
  <c r="W101" i="14"/>
  <c r="T355" i="14"/>
  <c r="T357" i="14"/>
  <c r="T353" i="14"/>
  <c r="T359" i="14"/>
  <c r="T354" i="14"/>
  <c r="T358" i="14"/>
  <c r="T352" i="14"/>
  <c r="T360" i="14"/>
  <c r="T356" i="14"/>
  <c r="U126" i="14"/>
  <c r="T131" i="14"/>
  <c r="T136" i="14"/>
  <c r="T138" i="14"/>
  <c r="T134" i="14"/>
  <c r="T137" i="14"/>
  <c r="T133" i="14"/>
  <c r="T132" i="14"/>
  <c r="T139" i="14"/>
  <c r="T135" i="14"/>
  <c r="U328" i="14"/>
  <c r="U324" i="14"/>
  <c r="U326" i="14"/>
  <c r="U325" i="14"/>
  <c r="U322" i="14"/>
  <c r="U323" i="14"/>
  <c r="U327" i="14"/>
  <c r="U347" i="14"/>
  <c r="V315" i="14"/>
  <c r="W315" i="14" s="1"/>
  <c r="V877" i="14"/>
  <c r="V880" i="14"/>
  <c r="V873" i="14"/>
  <c r="V875" i="14"/>
  <c r="V878" i="14"/>
  <c r="V879" i="14"/>
  <c r="V874" i="14"/>
  <c r="V881" i="14"/>
  <c r="V876" i="14"/>
  <c r="V806" i="14"/>
  <c r="V808" i="14"/>
  <c r="V809" i="14"/>
  <c r="V807" i="14"/>
  <c r="V802" i="14"/>
  <c r="V801" i="14"/>
  <c r="V804" i="14"/>
  <c r="V805" i="14"/>
  <c r="V803" i="14"/>
  <c r="X868" i="14"/>
  <c r="Y868" i="14" s="1"/>
  <c r="W878" i="14"/>
  <c r="W879" i="14"/>
  <c r="W875" i="14"/>
  <c r="W874" i="14"/>
  <c r="W877" i="14"/>
  <c r="W881" i="14"/>
  <c r="W873" i="14"/>
  <c r="W876" i="14"/>
  <c r="W880" i="14"/>
  <c r="X764" i="14"/>
  <c r="Y764" i="14" s="1"/>
  <c r="W771" i="14"/>
  <c r="W775" i="14"/>
  <c r="W776" i="14"/>
  <c r="W774" i="14"/>
  <c r="W772" i="14"/>
  <c r="W796" i="14"/>
  <c r="W773" i="14"/>
  <c r="W777" i="14"/>
  <c r="Y843" i="14"/>
  <c r="Y844" i="14"/>
  <c r="Y846" i="14"/>
  <c r="Y847" i="14"/>
  <c r="Y849" i="14"/>
  <c r="Y845" i="14"/>
  <c r="Y848" i="14"/>
  <c r="Y842" i="14"/>
  <c r="Z836" i="14"/>
  <c r="AU1364" i="14"/>
  <c r="AT1369" i="14"/>
  <c r="X285" i="14"/>
  <c r="X284" i="14"/>
  <c r="X282" i="14"/>
  <c r="X288" i="14"/>
  <c r="X281" i="14"/>
  <c r="X286" i="14"/>
  <c r="X280" i="14"/>
  <c r="X287" i="14"/>
  <c r="X283" i="14"/>
  <c r="AB254" i="14"/>
  <c r="AB256" i="14"/>
  <c r="AB255" i="14"/>
  <c r="AB251" i="14"/>
  <c r="AB253" i="14"/>
  <c r="AB249" i="14"/>
  <c r="AB250" i="14"/>
  <c r="AB252" i="14"/>
  <c r="AC243" i="14"/>
  <c r="Y285" i="14"/>
  <c r="Y281" i="14"/>
  <c r="Y284" i="14"/>
  <c r="Y280" i="14"/>
  <c r="Y286" i="14"/>
  <c r="Y288" i="14"/>
  <c r="Y287" i="14"/>
  <c r="Y283" i="14"/>
  <c r="Y282" i="14"/>
  <c r="Z275" i="14"/>
  <c r="AF238" i="14"/>
  <c r="AG238" i="14" s="1"/>
  <c r="AH238" i="14" s="1"/>
  <c r="AF759" i="14"/>
  <c r="W328" i="14" l="1"/>
  <c r="W326" i="14"/>
  <c r="W327" i="14"/>
  <c r="W323" i="14"/>
  <c r="W322" i="14"/>
  <c r="W325" i="14"/>
  <c r="W324" i="14"/>
  <c r="U139" i="14"/>
  <c r="U133" i="14"/>
  <c r="U135" i="14"/>
  <c r="U138" i="14"/>
  <c r="U132" i="14"/>
  <c r="U136" i="14"/>
  <c r="U134" i="14"/>
  <c r="U131" i="14"/>
  <c r="U137" i="14"/>
  <c r="V126" i="14"/>
  <c r="X106" i="14"/>
  <c r="X104" i="14"/>
  <c r="X101" i="14"/>
  <c r="X107" i="14"/>
  <c r="X102" i="14"/>
  <c r="X105" i="14"/>
  <c r="X103" i="14"/>
  <c r="Y94" i="14"/>
  <c r="AB89" i="14"/>
  <c r="AB310" i="14"/>
  <c r="AC310" i="14" s="1"/>
  <c r="V327" i="14"/>
  <c r="V324" i="14"/>
  <c r="V322" i="14"/>
  <c r="V323" i="14"/>
  <c r="V326" i="14"/>
  <c r="V328" i="14"/>
  <c r="V325" i="14"/>
  <c r="V347" i="14"/>
  <c r="X315" i="14"/>
  <c r="U354" i="14"/>
  <c r="U356" i="14"/>
  <c r="U358" i="14"/>
  <c r="U355" i="14"/>
  <c r="U357" i="14"/>
  <c r="U359" i="14"/>
  <c r="U352" i="14"/>
  <c r="U353" i="14"/>
  <c r="U360" i="14"/>
  <c r="X796" i="14"/>
  <c r="Y796" i="14" s="1"/>
  <c r="W807" i="14"/>
  <c r="W809" i="14"/>
  <c r="W805" i="14"/>
  <c r="W808" i="14"/>
  <c r="W803" i="14"/>
  <c r="W802" i="14"/>
  <c r="W806" i="14"/>
  <c r="W801" i="14"/>
  <c r="W804" i="14"/>
  <c r="Z764" i="14"/>
  <c r="Y777" i="14"/>
  <c r="Y772" i="14"/>
  <c r="Y771" i="14"/>
  <c r="Y776" i="14"/>
  <c r="Y774" i="14"/>
  <c r="Y775" i="14"/>
  <c r="Y773" i="14"/>
  <c r="X876" i="14"/>
  <c r="X880" i="14"/>
  <c r="X879" i="14"/>
  <c r="X874" i="14"/>
  <c r="X878" i="14"/>
  <c r="X873" i="14"/>
  <c r="X881" i="14"/>
  <c r="X877" i="14"/>
  <c r="X875" i="14"/>
  <c r="Y879" i="14"/>
  <c r="Y873" i="14"/>
  <c r="Y876" i="14"/>
  <c r="Y881" i="14"/>
  <c r="Y874" i="14"/>
  <c r="Y880" i="14"/>
  <c r="Y875" i="14"/>
  <c r="Y878" i="14"/>
  <c r="Y877" i="14"/>
  <c r="Z848" i="14"/>
  <c r="Z845" i="14"/>
  <c r="Z849" i="14"/>
  <c r="Z844" i="14"/>
  <c r="Z847" i="14"/>
  <c r="Z846" i="14"/>
  <c r="Z843" i="14"/>
  <c r="Z842" i="14"/>
  <c r="Z868" i="14"/>
  <c r="AA836" i="14"/>
  <c r="X771" i="14"/>
  <c r="X772" i="14"/>
  <c r="X775" i="14"/>
  <c r="X776" i="14"/>
  <c r="X774" i="14"/>
  <c r="X777" i="14"/>
  <c r="X773" i="14"/>
  <c r="AV1364" i="14"/>
  <c r="AU1369" i="14"/>
  <c r="Z287" i="14"/>
  <c r="Z285" i="14"/>
  <c r="Z288" i="14"/>
  <c r="Z280" i="14"/>
  <c r="Z283" i="14"/>
  <c r="Z286" i="14"/>
  <c r="Z281" i="14"/>
  <c r="Z284" i="14"/>
  <c r="Z282" i="14"/>
  <c r="AA275" i="14"/>
  <c r="AB275" i="14" s="1"/>
  <c r="AC250" i="14"/>
  <c r="AC251" i="14"/>
  <c r="AC253" i="14"/>
  <c r="AC254" i="14"/>
  <c r="AC255" i="14"/>
  <c r="AC252" i="14"/>
  <c r="AC256" i="14"/>
  <c r="AC249" i="14"/>
  <c r="AD243" i="14"/>
  <c r="AG759" i="14"/>
  <c r="AI238" i="14"/>
  <c r="X327" i="14" l="1"/>
  <c r="X322" i="14"/>
  <c r="X326" i="14"/>
  <c r="X324" i="14"/>
  <c r="X323" i="14"/>
  <c r="X328" i="14"/>
  <c r="X325" i="14"/>
  <c r="V358" i="14"/>
  <c r="V353" i="14"/>
  <c r="V356" i="14"/>
  <c r="V354" i="14"/>
  <c r="V357" i="14"/>
  <c r="V359" i="14"/>
  <c r="V355" i="14"/>
  <c r="V352" i="14"/>
  <c r="V360" i="14"/>
  <c r="W347" i="14"/>
  <c r="X347" i="14" s="1"/>
  <c r="Y315" i="14"/>
  <c r="AD310" i="14"/>
  <c r="Z94" i="14"/>
  <c r="Y104" i="14"/>
  <c r="Y102" i="14"/>
  <c r="Y106" i="14"/>
  <c r="Y107" i="14"/>
  <c r="Y103" i="14"/>
  <c r="Y105" i="14"/>
  <c r="Y101" i="14"/>
  <c r="V136" i="14"/>
  <c r="V131" i="14"/>
  <c r="V132" i="14"/>
  <c r="V133" i="14"/>
  <c r="V135" i="14"/>
  <c r="V137" i="14"/>
  <c r="V139" i="14"/>
  <c r="V138" i="14"/>
  <c r="V134" i="14"/>
  <c r="W126" i="14"/>
  <c r="AC89" i="14"/>
  <c r="Z796" i="14"/>
  <c r="Y803" i="14"/>
  <c r="Y806" i="14"/>
  <c r="Y805" i="14"/>
  <c r="Y808" i="14"/>
  <c r="Y807" i="14"/>
  <c r="Y802" i="14"/>
  <c r="Y804" i="14"/>
  <c r="Y801" i="14"/>
  <c r="Y809" i="14"/>
  <c r="AA848" i="14"/>
  <c r="AA849" i="14"/>
  <c r="AA843" i="14"/>
  <c r="AA845" i="14"/>
  <c r="AA844" i="14"/>
  <c r="AA847" i="14"/>
  <c r="AA846" i="14"/>
  <c r="AA842" i="14"/>
  <c r="AA868" i="14"/>
  <c r="AB836" i="14"/>
  <c r="Z771" i="14"/>
  <c r="Z772" i="14"/>
  <c r="Z773" i="14"/>
  <c r="Z777" i="14"/>
  <c r="Z776" i="14"/>
  <c r="Z775" i="14"/>
  <c r="Z774" i="14"/>
  <c r="AA764" i="14"/>
  <c r="Z881" i="14"/>
  <c r="Z873" i="14"/>
  <c r="Z880" i="14"/>
  <c r="Z875" i="14"/>
  <c r="Z879" i="14"/>
  <c r="Z874" i="14"/>
  <c r="Z878" i="14"/>
  <c r="Z876" i="14"/>
  <c r="Z877" i="14"/>
  <c r="X804" i="14"/>
  <c r="X805" i="14"/>
  <c r="X807" i="14"/>
  <c r="X803" i="14"/>
  <c r="X808" i="14"/>
  <c r="X809" i="14"/>
  <c r="X802" i="14"/>
  <c r="X801" i="14"/>
  <c r="X806" i="14"/>
  <c r="AW1364" i="14"/>
  <c r="AV1369" i="14"/>
  <c r="AA280" i="14"/>
  <c r="AA286" i="14"/>
  <c r="AA284" i="14"/>
  <c r="AA283" i="14"/>
  <c r="AA288" i="14"/>
  <c r="AA287" i="14"/>
  <c r="AA282" i="14"/>
  <c r="AA281" i="14"/>
  <c r="AA285" i="14"/>
  <c r="AB282" i="14"/>
  <c r="AB287" i="14"/>
  <c r="AB281" i="14"/>
  <c r="AB288" i="14"/>
  <c r="AB280" i="14"/>
  <c r="AB283" i="14"/>
  <c r="AB284" i="14"/>
  <c r="AB285" i="14"/>
  <c r="AB286" i="14"/>
  <c r="AD250" i="14"/>
  <c r="AD252" i="14"/>
  <c r="AD255" i="14"/>
  <c r="AD251" i="14"/>
  <c r="AD253" i="14"/>
  <c r="AD249" i="14"/>
  <c r="AD254" i="14"/>
  <c r="AD256" i="14"/>
  <c r="AE243" i="14"/>
  <c r="AF243" i="14" s="1"/>
  <c r="AG243" i="14" s="1"/>
  <c r="AC275" i="14"/>
  <c r="AJ238" i="14"/>
  <c r="AH759" i="14"/>
  <c r="AD89" i="14" l="1"/>
  <c r="X354" i="14"/>
  <c r="X356" i="14"/>
  <c r="X359" i="14"/>
  <c r="X355" i="14"/>
  <c r="X352" i="14"/>
  <c r="X357" i="14"/>
  <c r="X358" i="14"/>
  <c r="X360" i="14"/>
  <c r="X353" i="14"/>
  <c r="Z103" i="14"/>
  <c r="Z101" i="14"/>
  <c r="Z105" i="14"/>
  <c r="Z106" i="14"/>
  <c r="Z107" i="14"/>
  <c r="Z102" i="14"/>
  <c r="Z104" i="14"/>
  <c r="AA94" i="14"/>
  <c r="AE310" i="14"/>
  <c r="Z315" i="14"/>
  <c r="Y325" i="14"/>
  <c r="Y322" i="14"/>
  <c r="Y326" i="14"/>
  <c r="Y324" i="14"/>
  <c r="Y328" i="14"/>
  <c r="Y327" i="14"/>
  <c r="Y323" i="14"/>
  <c r="Y347" i="14"/>
  <c r="W358" i="14"/>
  <c r="W357" i="14"/>
  <c r="W360" i="14"/>
  <c r="W356" i="14"/>
  <c r="W352" i="14"/>
  <c r="W359" i="14"/>
  <c r="W354" i="14"/>
  <c r="W355" i="14"/>
  <c r="W353" i="14"/>
  <c r="X126" i="14"/>
  <c r="W134" i="14"/>
  <c r="W131" i="14"/>
  <c r="W137" i="14"/>
  <c r="W138" i="14"/>
  <c r="W139" i="14"/>
  <c r="W133" i="14"/>
  <c r="W136" i="14"/>
  <c r="W135" i="14"/>
  <c r="W132" i="14"/>
  <c r="AC836" i="14"/>
  <c r="AB848" i="14"/>
  <c r="AB844" i="14"/>
  <c r="AB849" i="14"/>
  <c r="AB847" i="14"/>
  <c r="AB846" i="14"/>
  <c r="AB845" i="14"/>
  <c r="AB843" i="14"/>
  <c r="AB842" i="14"/>
  <c r="AB868" i="14"/>
  <c r="AA881" i="14"/>
  <c r="AA880" i="14"/>
  <c r="AA877" i="14"/>
  <c r="AA873" i="14"/>
  <c r="AA874" i="14"/>
  <c r="AA876" i="14"/>
  <c r="AA875" i="14"/>
  <c r="AA879" i="14"/>
  <c r="AA878" i="14"/>
  <c r="AA774" i="14"/>
  <c r="AA772" i="14"/>
  <c r="AA777" i="14"/>
  <c r="AA775" i="14"/>
  <c r="AA796" i="14"/>
  <c r="AA771" i="14"/>
  <c r="AA776" i="14"/>
  <c r="AA773" i="14"/>
  <c r="AB764" i="14"/>
  <c r="Z809" i="14"/>
  <c r="Z808" i="14"/>
  <c r="Z806" i="14"/>
  <c r="Z803" i="14"/>
  <c r="Z807" i="14"/>
  <c r="Z804" i="14"/>
  <c r="Z802" i="14"/>
  <c r="Z801" i="14"/>
  <c r="Z805" i="14"/>
  <c r="AX1364" i="14"/>
  <c r="AW1369" i="14"/>
  <c r="AG255" i="14"/>
  <c r="AG250" i="14"/>
  <c r="AG251" i="14"/>
  <c r="AG253" i="14"/>
  <c r="AG256" i="14"/>
  <c r="AG252" i="14"/>
  <c r="AG249" i="14"/>
  <c r="AG254" i="14"/>
  <c r="AC283" i="14"/>
  <c r="AC286" i="14"/>
  <c r="AC280" i="14"/>
  <c r="AC288" i="14"/>
  <c r="AC285" i="14"/>
  <c r="AC287" i="14"/>
  <c r="AC282" i="14"/>
  <c r="AC281" i="14"/>
  <c r="AC284" i="14"/>
  <c r="AF251" i="14"/>
  <c r="AF253" i="14"/>
  <c r="AF252" i="14"/>
  <c r="AF249" i="14"/>
  <c r="AF250" i="14"/>
  <c r="AF254" i="14"/>
  <c r="AF256" i="14"/>
  <c r="AF255" i="14"/>
  <c r="AE250" i="14"/>
  <c r="AE256" i="14"/>
  <c r="AE251" i="14"/>
  <c r="AE255" i="14"/>
  <c r="AE252" i="14"/>
  <c r="AE253" i="14"/>
  <c r="AE249" i="14"/>
  <c r="AE254" i="14"/>
  <c r="AH243" i="14"/>
  <c r="AD275" i="14"/>
  <c r="AI759" i="14"/>
  <c r="AK238" i="14"/>
  <c r="Z327" i="14" l="1"/>
  <c r="Z323" i="14"/>
  <c r="Z325" i="14"/>
  <c r="Z322" i="14"/>
  <c r="Z328" i="14"/>
  <c r="Z326" i="14"/>
  <c r="Z324" i="14"/>
  <c r="AA315" i="14"/>
  <c r="X133" i="14"/>
  <c r="X132" i="14"/>
  <c r="X135" i="14"/>
  <c r="X139" i="14"/>
  <c r="X137" i="14"/>
  <c r="X136" i="14"/>
  <c r="X138" i="14"/>
  <c r="X134" i="14"/>
  <c r="X131" i="14"/>
  <c r="Y126" i="14"/>
  <c r="AF310" i="14"/>
  <c r="AG310" i="14" s="1"/>
  <c r="Z347" i="14"/>
  <c r="Y356" i="14"/>
  <c r="Y354" i="14"/>
  <c r="Y352" i="14"/>
  <c r="Y358" i="14"/>
  <c r="Y359" i="14"/>
  <c r="Y360" i="14"/>
  <c r="Y353" i="14"/>
  <c r="Y357" i="14"/>
  <c r="Y355" i="14"/>
  <c r="AB94" i="14"/>
  <c r="AC94" i="14" s="1"/>
  <c r="AA102" i="14"/>
  <c r="AA103" i="14"/>
  <c r="AA104" i="14"/>
  <c r="AA105" i="14"/>
  <c r="AA106" i="14"/>
  <c r="AA101" i="14"/>
  <c r="AA107" i="14"/>
  <c r="AE89" i="14"/>
  <c r="AB876" i="14"/>
  <c r="AB880" i="14"/>
  <c r="AB873" i="14"/>
  <c r="AB878" i="14"/>
  <c r="AB875" i="14"/>
  <c r="AB879" i="14"/>
  <c r="AB881" i="14"/>
  <c r="AB877" i="14"/>
  <c r="AB874" i="14"/>
  <c r="AA804" i="14"/>
  <c r="AA805" i="14"/>
  <c r="AA801" i="14"/>
  <c r="AA802" i="14"/>
  <c r="AA807" i="14"/>
  <c r="AA806" i="14"/>
  <c r="AA809" i="14"/>
  <c r="AA803" i="14"/>
  <c r="AA808" i="14"/>
  <c r="AC764" i="14"/>
  <c r="AD764" i="14" s="1"/>
  <c r="AB777" i="14"/>
  <c r="AB776" i="14"/>
  <c r="AB772" i="14"/>
  <c r="AB773" i="14"/>
  <c r="AB774" i="14"/>
  <c r="AB775" i="14"/>
  <c r="AB796" i="14"/>
  <c r="AB771" i="14"/>
  <c r="AC846" i="14"/>
  <c r="AC844" i="14"/>
  <c r="AC845" i="14"/>
  <c r="AC848" i="14"/>
  <c r="AC847" i="14"/>
  <c r="AC843" i="14"/>
  <c r="AC849" i="14"/>
  <c r="AC842" i="14"/>
  <c r="AC868" i="14"/>
  <c r="AD836" i="14"/>
  <c r="AY1364" i="14"/>
  <c r="AX1369" i="14"/>
  <c r="AH256" i="14"/>
  <c r="AH254" i="14"/>
  <c r="AH249" i="14"/>
  <c r="AH251" i="14"/>
  <c r="AH255" i="14"/>
  <c r="AH250" i="14"/>
  <c r="AH252" i="14"/>
  <c r="AH253" i="14"/>
  <c r="AD280" i="14"/>
  <c r="AD283" i="14"/>
  <c r="AD282" i="14"/>
  <c r="AD286" i="14"/>
  <c r="AD284" i="14"/>
  <c r="AD285" i="14"/>
  <c r="AD288" i="14"/>
  <c r="AD287" i="14"/>
  <c r="AD281" i="14"/>
  <c r="AI243" i="14"/>
  <c r="AE275" i="14"/>
  <c r="AL238" i="14"/>
  <c r="AJ759" i="14"/>
  <c r="AH310" i="14" l="1"/>
  <c r="AI310" i="14" s="1"/>
  <c r="AJ310" i="14" s="1"/>
  <c r="AK310" i="14" s="1"/>
  <c r="AL310" i="14" s="1"/>
  <c r="Z358" i="14"/>
  <c r="Z359" i="14"/>
  <c r="Z357" i="14"/>
  <c r="Z354" i="14"/>
  <c r="Z356" i="14"/>
  <c r="Z360" i="14"/>
  <c r="Z353" i="14"/>
  <c r="Z352" i="14"/>
  <c r="Z355" i="14"/>
  <c r="AB315" i="14"/>
  <c r="AA322" i="14"/>
  <c r="AA328" i="14"/>
  <c r="AA326" i="14"/>
  <c r="AA323" i="14"/>
  <c r="AA327" i="14"/>
  <c r="AA324" i="14"/>
  <c r="AA325" i="14"/>
  <c r="AA347" i="14"/>
  <c r="AF89" i="14"/>
  <c r="AD94" i="14"/>
  <c r="AC102" i="14"/>
  <c r="AC101" i="14"/>
  <c r="AC106" i="14"/>
  <c r="AC105" i="14"/>
  <c r="AC103" i="14"/>
  <c r="AC107" i="14"/>
  <c r="AC104" i="14"/>
  <c r="AB107" i="14"/>
  <c r="AB104" i="14"/>
  <c r="AB105" i="14"/>
  <c r="AB101" i="14"/>
  <c r="AB106" i="14"/>
  <c r="AB103" i="14"/>
  <c r="AB102" i="14"/>
  <c r="Z126" i="14"/>
  <c r="Y133" i="14"/>
  <c r="Y137" i="14"/>
  <c r="Y132" i="14"/>
  <c r="Y139" i="14"/>
  <c r="Y135" i="14"/>
  <c r="Y134" i="14"/>
  <c r="Y138" i="14"/>
  <c r="Y136" i="14"/>
  <c r="Y131" i="14"/>
  <c r="AB803" i="14"/>
  <c r="AB806" i="14"/>
  <c r="AB808" i="14"/>
  <c r="AB807" i="14"/>
  <c r="AB804" i="14"/>
  <c r="AB809" i="14"/>
  <c r="AB801" i="14"/>
  <c r="AB805" i="14"/>
  <c r="AB802" i="14"/>
  <c r="AD843" i="14"/>
  <c r="AD848" i="14"/>
  <c r="AD847" i="14"/>
  <c r="AD846" i="14"/>
  <c r="AD845" i="14"/>
  <c r="AD844" i="14"/>
  <c r="AD849" i="14"/>
  <c r="AD842" i="14"/>
  <c r="AD868" i="14"/>
  <c r="AE836" i="14"/>
  <c r="AC777" i="14"/>
  <c r="AC776" i="14"/>
  <c r="AC773" i="14"/>
  <c r="AC774" i="14"/>
  <c r="AC771" i="14"/>
  <c r="AC772" i="14"/>
  <c r="AC775" i="14"/>
  <c r="AC796" i="14"/>
  <c r="AE764" i="14"/>
  <c r="AC878" i="14"/>
  <c r="AC880" i="14"/>
  <c r="AC879" i="14"/>
  <c r="AC877" i="14"/>
  <c r="AC881" i="14"/>
  <c r="AC873" i="14"/>
  <c r="AC875" i="14"/>
  <c r="AC874" i="14"/>
  <c r="AC876" i="14"/>
  <c r="AD775" i="14"/>
  <c r="AD771" i="14"/>
  <c r="AD774" i="14"/>
  <c r="AD772" i="14"/>
  <c r="AD776" i="14"/>
  <c r="AD777" i="14"/>
  <c r="AD773" i="14"/>
  <c r="AZ1364" i="14"/>
  <c r="AY1369" i="14"/>
  <c r="AE285" i="14"/>
  <c r="AE280" i="14"/>
  <c r="AE282" i="14"/>
  <c r="AE286" i="14"/>
  <c r="AE288" i="14"/>
  <c r="AE287" i="14"/>
  <c r="AE283" i="14"/>
  <c r="AE281" i="14"/>
  <c r="AE284" i="14"/>
  <c r="AI251" i="14"/>
  <c r="AI249" i="14"/>
  <c r="AI250" i="14"/>
  <c r="AI256" i="14"/>
  <c r="AI254" i="14"/>
  <c r="AI255" i="14"/>
  <c r="AI252" i="14"/>
  <c r="AI253" i="14"/>
  <c r="AJ243" i="14"/>
  <c r="AF275" i="14"/>
  <c r="AK759" i="14"/>
  <c r="AM238" i="14"/>
  <c r="AB325" i="14" l="1"/>
  <c r="AB326" i="14"/>
  <c r="AB327" i="14"/>
  <c r="AB328" i="14"/>
  <c r="AB323" i="14"/>
  <c r="AB324" i="14"/>
  <c r="AB322" i="14"/>
  <c r="AD104" i="14"/>
  <c r="AD105" i="14"/>
  <c r="AD107" i="14"/>
  <c r="AD106" i="14"/>
  <c r="AD103" i="14"/>
  <c r="AD102" i="14"/>
  <c r="AD101" i="14"/>
  <c r="AG89" i="14"/>
  <c r="AH89" i="14" s="1"/>
  <c r="AE94" i="14"/>
  <c r="AC315" i="14"/>
  <c r="AB347" i="14"/>
  <c r="AA358" i="14"/>
  <c r="AA357" i="14"/>
  <c r="AA360" i="14"/>
  <c r="AA356" i="14"/>
  <c r="AA353" i="14"/>
  <c r="AA354" i="14"/>
  <c r="AA359" i="14"/>
  <c r="AA352" i="14"/>
  <c r="AA355" i="14"/>
  <c r="Z132" i="14"/>
  <c r="Z136" i="14"/>
  <c r="Z134" i="14"/>
  <c r="Z138" i="14"/>
  <c r="Z137" i="14"/>
  <c r="Z139" i="14"/>
  <c r="Z133" i="14"/>
  <c r="Z131" i="14"/>
  <c r="Z135" i="14"/>
  <c r="AA126" i="14"/>
  <c r="AC803" i="14"/>
  <c r="AC801" i="14"/>
  <c r="AC806" i="14"/>
  <c r="AC805" i="14"/>
  <c r="AC808" i="14"/>
  <c r="AC802" i="14"/>
  <c r="AC809" i="14"/>
  <c r="AC807" i="14"/>
  <c r="AC804" i="14"/>
  <c r="AE868" i="14"/>
  <c r="AD875" i="14"/>
  <c r="AD874" i="14"/>
  <c r="AD880" i="14"/>
  <c r="AD879" i="14"/>
  <c r="AD881" i="14"/>
  <c r="AD873" i="14"/>
  <c r="AD876" i="14"/>
  <c r="AD878" i="14"/>
  <c r="AD877" i="14"/>
  <c r="AE843" i="14"/>
  <c r="AE847" i="14"/>
  <c r="AE846" i="14"/>
  <c r="AE844" i="14"/>
  <c r="AE849" i="14"/>
  <c r="AE848" i="14"/>
  <c r="AE845" i="14"/>
  <c r="AE842" i="14"/>
  <c r="AF836" i="14"/>
  <c r="AD796" i="14"/>
  <c r="AE772" i="14"/>
  <c r="AE774" i="14"/>
  <c r="AE771" i="14"/>
  <c r="AE776" i="14"/>
  <c r="AE773" i="14"/>
  <c r="AE777" i="14"/>
  <c r="AE775" i="14"/>
  <c r="AF764" i="14"/>
  <c r="AG764" i="14" s="1"/>
  <c r="BA1364" i="14"/>
  <c r="AZ1369" i="14"/>
  <c r="AF288" i="14"/>
  <c r="AF284" i="14"/>
  <c r="AF285" i="14"/>
  <c r="AF283" i="14"/>
  <c r="AF286" i="14"/>
  <c r="AF280" i="14"/>
  <c r="AF281" i="14"/>
  <c r="AF282" i="14"/>
  <c r="AF287" i="14"/>
  <c r="AM310" i="14"/>
  <c r="AG275" i="14"/>
  <c r="AJ253" i="14"/>
  <c r="AK243" i="14"/>
  <c r="AJ251" i="14"/>
  <c r="AJ256" i="14"/>
  <c r="AJ252" i="14"/>
  <c r="AJ254" i="14"/>
  <c r="AJ249" i="14"/>
  <c r="AJ255" i="14"/>
  <c r="AJ250" i="14"/>
  <c r="AL759" i="14"/>
  <c r="AN238" i="14"/>
  <c r="AB358" i="14" l="1"/>
  <c r="AB356" i="14"/>
  <c r="AB352" i="14"/>
  <c r="AB357" i="14"/>
  <c r="AB355" i="14"/>
  <c r="AB354" i="14"/>
  <c r="AB353" i="14"/>
  <c r="AB359" i="14"/>
  <c r="AB360" i="14"/>
  <c r="AC328" i="14"/>
  <c r="AC324" i="14"/>
  <c r="AC325" i="14"/>
  <c r="AC322" i="14"/>
  <c r="AC326" i="14"/>
  <c r="AC323" i="14"/>
  <c r="AC327" i="14"/>
  <c r="AC347" i="14"/>
  <c r="AF94" i="14"/>
  <c r="AG94" i="14" s="1"/>
  <c r="AH94" i="14" s="1"/>
  <c r="AE107" i="14"/>
  <c r="AE101" i="14"/>
  <c r="AE104" i="14"/>
  <c r="AE102" i="14"/>
  <c r="AE106" i="14"/>
  <c r="AE105" i="14"/>
  <c r="AE103" i="14"/>
  <c r="AB126" i="14"/>
  <c r="AA137" i="14"/>
  <c r="AA131" i="14"/>
  <c r="AA136" i="14"/>
  <c r="AA135" i="14"/>
  <c r="AA139" i="14"/>
  <c r="AA133" i="14"/>
  <c r="AA138" i="14"/>
  <c r="AA134" i="14"/>
  <c r="AA132" i="14"/>
  <c r="AI89" i="14"/>
  <c r="AD315" i="14"/>
  <c r="AF771" i="14"/>
  <c r="AF773" i="14"/>
  <c r="AF772" i="14"/>
  <c r="AF774" i="14"/>
  <c r="AF776" i="14"/>
  <c r="AF777" i="14"/>
  <c r="AF775" i="14"/>
  <c r="AH764" i="14"/>
  <c r="AF868" i="14"/>
  <c r="AE873" i="14"/>
  <c r="AE877" i="14"/>
  <c r="AE876" i="14"/>
  <c r="AE878" i="14"/>
  <c r="AE879" i="14"/>
  <c r="AE875" i="14"/>
  <c r="AE874" i="14"/>
  <c r="AE881" i="14"/>
  <c r="AE880" i="14"/>
  <c r="AE796" i="14"/>
  <c r="AD803" i="14"/>
  <c r="AD801" i="14"/>
  <c r="AD802" i="14"/>
  <c r="AD806" i="14"/>
  <c r="AD804" i="14"/>
  <c r="AD809" i="14"/>
  <c r="AD805" i="14"/>
  <c r="AD807" i="14"/>
  <c r="AD808" i="14"/>
  <c r="AF844" i="14"/>
  <c r="AF843" i="14"/>
  <c r="AF849" i="14"/>
  <c r="AF845" i="14"/>
  <c r="AF848" i="14"/>
  <c r="AF847" i="14"/>
  <c r="AF846" i="14"/>
  <c r="AF842" i="14"/>
  <c r="AG836" i="14"/>
  <c r="AG771" i="14"/>
  <c r="AG777" i="14"/>
  <c r="AG772" i="14"/>
  <c r="AG773" i="14"/>
  <c r="AG775" i="14"/>
  <c r="AG774" i="14"/>
  <c r="AG776" i="14"/>
  <c r="BB1364" i="14"/>
  <c r="BA1369" i="14"/>
  <c r="AN310" i="14"/>
  <c r="AO310" i="14" s="1"/>
  <c r="AG288" i="14"/>
  <c r="AG284" i="14"/>
  <c r="AG280" i="14"/>
  <c r="AG283" i="14"/>
  <c r="AG282" i="14"/>
  <c r="AG286" i="14"/>
  <c r="AG285" i="14"/>
  <c r="AG287" i="14"/>
  <c r="AG281" i="14"/>
  <c r="AK256" i="14"/>
  <c r="AK252" i="14"/>
  <c r="AK251" i="14"/>
  <c r="AK255" i="14"/>
  <c r="AK249" i="14"/>
  <c r="AK254" i="14"/>
  <c r="AK253" i="14"/>
  <c r="AK250" i="14"/>
  <c r="AH275" i="14"/>
  <c r="AI275" i="14" s="1"/>
  <c r="AL243" i="14"/>
  <c r="AM759" i="14"/>
  <c r="AO238" i="14"/>
  <c r="AD327" i="14" l="1"/>
  <c r="AD328" i="14"/>
  <c r="AD324" i="14"/>
  <c r="AD323" i="14"/>
  <c r="AD326" i="14"/>
  <c r="AD325" i="14"/>
  <c r="AD322" i="14"/>
  <c r="AD347" i="14"/>
  <c r="AE315" i="14"/>
  <c r="AJ89" i="14"/>
  <c r="AI94" i="14"/>
  <c r="AG105" i="14"/>
  <c r="AG102" i="14"/>
  <c r="AG103" i="14"/>
  <c r="AG106" i="14"/>
  <c r="AG107" i="14"/>
  <c r="AG101" i="14"/>
  <c r="AG104" i="14"/>
  <c r="AB134" i="14"/>
  <c r="AB139" i="14"/>
  <c r="AB131" i="14"/>
  <c r="AB133" i="14"/>
  <c r="AB135" i="14"/>
  <c r="AB138" i="14"/>
  <c r="AB137" i="14"/>
  <c r="AB132" i="14"/>
  <c r="AB136" i="14"/>
  <c r="AC126" i="14"/>
  <c r="AH104" i="14"/>
  <c r="AH103" i="14"/>
  <c r="AH107" i="14"/>
  <c r="AH102" i="14"/>
  <c r="AH101" i="14"/>
  <c r="AH106" i="14"/>
  <c r="AH105" i="14"/>
  <c r="AF105" i="14"/>
  <c r="AF107" i="14"/>
  <c r="AF106" i="14"/>
  <c r="AF104" i="14"/>
  <c r="AF103" i="14"/>
  <c r="AF102" i="14"/>
  <c r="AF101" i="14"/>
  <c r="AC358" i="14"/>
  <c r="AC357" i="14"/>
  <c r="AC353" i="14"/>
  <c r="AC356" i="14"/>
  <c r="AC352" i="14"/>
  <c r="AC354" i="14"/>
  <c r="AC355" i="14"/>
  <c r="AC360" i="14"/>
  <c r="AC359" i="14"/>
  <c r="AH772" i="14"/>
  <c r="AH775" i="14"/>
  <c r="AH773" i="14"/>
  <c r="AH777" i="14"/>
  <c r="AH771" i="14"/>
  <c r="AH774" i="14"/>
  <c r="AH776" i="14"/>
  <c r="AI764" i="14"/>
  <c r="AJ764" i="14" s="1"/>
  <c r="AF878" i="14"/>
  <c r="AF873" i="14"/>
  <c r="AF874" i="14"/>
  <c r="AF880" i="14"/>
  <c r="AF875" i="14"/>
  <c r="AF881" i="14"/>
  <c r="AF877" i="14"/>
  <c r="AF879" i="14"/>
  <c r="AF876" i="14"/>
  <c r="AG846" i="14"/>
  <c r="AG845" i="14"/>
  <c r="AG847" i="14"/>
  <c r="AG844" i="14"/>
  <c r="AG849" i="14"/>
  <c r="AG843" i="14"/>
  <c r="AG848" i="14"/>
  <c r="AG842" i="14"/>
  <c r="AG868" i="14"/>
  <c r="AH836" i="14"/>
  <c r="AE802" i="14"/>
  <c r="AE806" i="14"/>
  <c r="AE804" i="14"/>
  <c r="AE807" i="14"/>
  <c r="AE803" i="14"/>
  <c r="AE801" i="14"/>
  <c r="AE805" i="14"/>
  <c r="AE809" i="14"/>
  <c r="AE808" i="14"/>
  <c r="AF796" i="14"/>
  <c r="BC1364" i="14"/>
  <c r="BB1369" i="14"/>
  <c r="AP310" i="14"/>
  <c r="AQ310" i="14" s="1"/>
  <c r="AI280" i="14"/>
  <c r="AI283" i="14"/>
  <c r="AI288" i="14"/>
  <c r="AI284" i="14"/>
  <c r="AI286" i="14"/>
  <c r="AI281" i="14"/>
  <c r="AI285" i="14"/>
  <c r="AI282" i="14"/>
  <c r="AI287" i="14"/>
  <c r="AL256" i="14"/>
  <c r="AL251" i="14"/>
  <c r="AL253" i="14"/>
  <c r="AL249" i="14"/>
  <c r="AL255" i="14"/>
  <c r="AL254" i="14"/>
  <c r="AL252" i="14"/>
  <c r="AM243" i="14"/>
  <c r="AL250" i="14"/>
  <c r="AH282" i="14"/>
  <c r="AH288" i="14"/>
  <c r="AH281" i="14"/>
  <c r="AH280" i="14"/>
  <c r="AH287" i="14"/>
  <c r="AH284" i="14"/>
  <c r="AH285" i="14"/>
  <c r="AH283" i="14"/>
  <c r="AH286" i="14"/>
  <c r="AJ275" i="14"/>
  <c r="AP238" i="14"/>
  <c r="AN759" i="14"/>
  <c r="AI103" i="14" l="1"/>
  <c r="AI106" i="14"/>
  <c r="AI105" i="14"/>
  <c r="AI101" i="14"/>
  <c r="AI102" i="14"/>
  <c r="AI104" i="14"/>
  <c r="AI107" i="14"/>
  <c r="AJ94" i="14"/>
  <c r="AE347" i="14"/>
  <c r="AD360" i="14"/>
  <c r="AD358" i="14"/>
  <c r="AD353" i="14"/>
  <c r="AD356" i="14"/>
  <c r="AD357" i="14"/>
  <c r="AD352" i="14"/>
  <c r="AD359" i="14"/>
  <c r="AD355" i="14"/>
  <c r="AD354" i="14"/>
  <c r="AC139" i="14"/>
  <c r="AC134" i="14"/>
  <c r="AC137" i="14"/>
  <c r="AC133" i="14"/>
  <c r="AC135" i="14"/>
  <c r="AC138" i="14"/>
  <c r="AC136" i="14"/>
  <c r="AC131" i="14"/>
  <c r="AC132" i="14"/>
  <c r="AE326" i="14"/>
  <c r="AE327" i="14"/>
  <c r="AE324" i="14"/>
  <c r="AE325" i="14"/>
  <c r="AE328" i="14"/>
  <c r="AE323" i="14"/>
  <c r="AE322" i="14"/>
  <c r="AF315" i="14"/>
  <c r="AD126" i="14"/>
  <c r="AE126" i="14" s="1"/>
  <c r="AK89" i="14"/>
  <c r="AJ777" i="14"/>
  <c r="AJ776" i="14"/>
  <c r="AJ774" i="14"/>
  <c r="AJ771" i="14"/>
  <c r="AJ772" i="14"/>
  <c r="AJ775" i="14"/>
  <c r="AJ773" i="14"/>
  <c r="AF802" i="14"/>
  <c r="AF809" i="14"/>
  <c r="AF805" i="14"/>
  <c r="AF804" i="14"/>
  <c r="AF808" i="14"/>
  <c r="AF803" i="14"/>
  <c r="AF806" i="14"/>
  <c r="AF801" i="14"/>
  <c r="AF807" i="14"/>
  <c r="AI774" i="14"/>
  <c r="AI772" i="14"/>
  <c r="AI775" i="14"/>
  <c r="AI776" i="14"/>
  <c r="AI773" i="14"/>
  <c r="AI777" i="14"/>
  <c r="AI771" i="14"/>
  <c r="AH847" i="14"/>
  <c r="AH843" i="14"/>
  <c r="AH846" i="14"/>
  <c r="AH848" i="14"/>
  <c r="AH845" i="14"/>
  <c r="AH844" i="14"/>
  <c r="AH849" i="14"/>
  <c r="AH842" i="14"/>
  <c r="AH868" i="14"/>
  <c r="AI836" i="14"/>
  <c r="AG796" i="14"/>
  <c r="AG876" i="14"/>
  <c r="AG880" i="14"/>
  <c r="AG879" i="14"/>
  <c r="AG875" i="14"/>
  <c r="AG877" i="14"/>
  <c r="AG873" i="14"/>
  <c r="AG874" i="14"/>
  <c r="AG881" i="14"/>
  <c r="AG878" i="14"/>
  <c r="AK764" i="14"/>
  <c r="AL764" i="14" s="1"/>
  <c r="AM764" i="14" s="1"/>
  <c r="BD1364" i="14"/>
  <c r="BC1369" i="14"/>
  <c r="AM252" i="14"/>
  <c r="AM256" i="14"/>
  <c r="AM253" i="14"/>
  <c r="AM249" i="14"/>
  <c r="AM250" i="14"/>
  <c r="AM255" i="14"/>
  <c r="AM254" i="14"/>
  <c r="AM251" i="14"/>
  <c r="AN243" i="14"/>
  <c r="AO243" i="14" s="1"/>
  <c r="AO251" i="14" s="1"/>
  <c r="AJ287" i="14"/>
  <c r="AJ288" i="14"/>
  <c r="AJ286" i="14"/>
  <c r="AJ280" i="14"/>
  <c r="AJ285" i="14"/>
  <c r="AJ283" i="14"/>
  <c r="AJ284" i="14"/>
  <c r="AJ282" i="14"/>
  <c r="AJ281" i="14"/>
  <c r="AK275" i="14"/>
  <c r="AR310" i="14"/>
  <c r="AQ238" i="14"/>
  <c r="AO759" i="14"/>
  <c r="AE139" i="14" l="1"/>
  <c r="AE132" i="14"/>
  <c r="AE138" i="14"/>
  <c r="AE136" i="14"/>
  <c r="AE131" i="14"/>
  <c r="AE134" i="14"/>
  <c r="AE135" i="14"/>
  <c r="AE137" i="14"/>
  <c r="AE133" i="14"/>
  <c r="AJ104" i="14"/>
  <c r="AJ101" i="14"/>
  <c r="AJ106" i="14"/>
  <c r="AJ102" i="14"/>
  <c r="AJ103" i="14"/>
  <c r="AJ107" i="14"/>
  <c r="AJ105" i="14"/>
  <c r="AE353" i="14"/>
  <c r="AE356" i="14"/>
  <c r="AE357" i="14"/>
  <c r="AE359" i="14"/>
  <c r="AE360" i="14"/>
  <c r="AE355" i="14"/>
  <c r="AE354" i="14"/>
  <c r="AE358" i="14"/>
  <c r="AE352" i="14"/>
  <c r="AF324" i="14"/>
  <c r="AF326" i="14"/>
  <c r="AF328" i="14"/>
  <c r="AF323" i="14"/>
  <c r="AF327" i="14"/>
  <c r="AF347" i="14"/>
  <c r="AF325" i="14"/>
  <c r="AF322" i="14"/>
  <c r="AG315" i="14"/>
  <c r="AD132" i="14"/>
  <c r="AD138" i="14"/>
  <c r="AD134" i="14"/>
  <c r="AD137" i="14"/>
  <c r="AD131" i="14"/>
  <c r="AD136" i="14"/>
  <c r="AD135" i="14"/>
  <c r="AD133" i="14"/>
  <c r="AD139" i="14"/>
  <c r="AF126" i="14"/>
  <c r="AG126" i="14" s="1"/>
  <c r="AL89" i="14"/>
  <c r="AK94" i="14"/>
  <c r="AM776" i="14"/>
  <c r="AM777" i="14"/>
  <c r="AM772" i="14"/>
  <c r="AM773" i="14"/>
  <c r="AM775" i="14"/>
  <c r="AM774" i="14"/>
  <c r="AM771" i="14"/>
  <c r="AG809" i="14"/>
  <c r="AG806" i="14"/>
  <c r="AG805" i="14"/>
  <c r="AG802" i="14"/>
  <c r="AG808" i="14"/>
  <c r="AG801" i="14"/>
  <c r="AG807" i="14"/>
  <c r="AG804" i="14"/>
  <c r="AG803" i="14"/>
  <c r="AK777" i="14"/>
  <c r="AK773" i="14"/>
  <c r="AK774" i="14"/>
  <c r="AK776" i="14"/>
  <c r="AK771" i="14"/>
  <c r="AK772" i="14"/>
  <c r="AK775" i="14"/>
  <c r="AI846" i="14"/>
  <c r="AI844" i="14"/>
  <c r="AI848" i="14"/>
  <c r="AI849" i="14"/>
  <c r="AI845" i="14"/>
  <c r="AI843" i="14"/>
  <c r="AI847" i="14"/>
  <c r="AI842" i="14"/>
  <c r="AJ836" i="14"/>
  <c r="AI868" i="14"/>
  <c r="AH875" i="14"/>
  <c r="AH878" i="14"/>
  <c r="AH879" i="14"/>
  <c r="AH881" i="14"/>
  <c r="AH876" i="14"/>
  <c r="AH880" i="14"/>
  <c r="AH873" i="14"/>
  <c r="AH874" i="14"/>
  <c r="AH877" i="14"/>
  <c r="AH796" i="14"/>
  <c r="AI796" i="14" s="1"/>
  <c r="AJ796" i="14" s="1"/>
  <c r="AL775" i="14"/>
  <c r="AL774" i="14"/>
  <c r="AL771" i="14"/>
  <c r="AL777" i="14"/>
  <c r="AL772" i="14"/>
  <c r="AL773" i="14"/>
  <c r="AL776" i="14"/>
  <c r="AN764" i="14"/>
  <c r="AN776" i="14" s="1"/>
  <c r="BE1364" i="14"/>
  <c r="BD1369" i="14"/>
  <c r="AO250" i="14"/>
  <c r="AO255" i="14"/>
  <c r="AO254" i="14"/>
  <c r="AN252" i="14"/>
  <c r="AN251" i="14"/>
  <c r="AN249" i="14"/>
  <c r="AN253" i="14"/>
  <c r="AN256" i="14"/>
  <c r="AN250" i="14"/>
  <c r="AN254" i="14"/>
  <c r="AN255" i="14"/>
  <c r="AK282" i="14"/>
  <c r="AK281" i="14"/>
  <c r="AK285" i="14"/>
  <c r="AK287" i="14"/>
  <c r="AK283" i="14"/>
  <c r="AK286" i="14"/>
  <c r="AK284" i="14"/>
  <c r="AK288" i="14"/>
  <c r="AK280" i="14"/>
  <c r="AO252" i="14"/>
  <c r="AP243" i="14"/>
  <c r="AP249" i="14" s="1"/>
  <c r="AL275" i="14"/>
  <c r="AM275" i="14" s="1"/>
  <c r="AO256" i="14"/>
  <c r="AO249" i="14"/>
  <c r="AO253" i="14"/>
  <c r="AS310" i="14"/>
  <c r="AN772" i="14"/>
  <c r="AN775" i="14"/>
  <c r="AP759" i="14"/>
  <c r="AR238" i="14"/>
  <c r="AG138" i="14" l="1"/>
  <c r="AG137" i="14"/>
  <c r="AG131" i="14"/>
  <c r="AG135" i="14"/>
  <c r="AG136" i="14"/>
  <c r="AG134" i="14"/>
  <c r="AG139" i="14"/>
  <c r="AG133" i="14"/>
  <c r="AG132" i="14"/>
  <c r="AH126" i="14"/>
  <c r="AG322" i="14"/>
  <c r="AG328" i="14"/>
  <c r="AG326" i="14"/>
  <c r="AG327" i="14"/>
  <c r="AG324" i="14"/>
  <c r="AG323" i="14"/>
  <c r="AG325" i="14"/>
  <c r="AG347" i="14"/>
  <c r="AH315" i="14"/>
  <c r="AK107" i="14"/>
  <c r="AK105" i="14"/>
  <c r="AK102" i="14"/>
  <c r="AK103" i="14"/>
  <c r="AK104" i="14"/>
  <c r="AK106" i="14"/>
  <c r="AK101" i="14"/>
  <c r="AL94" i="14"/>
  <c r="AM89" i="14"/>
  <c r="AF134" i="14"/>
  <c r="AF136" i="14"/>
  <c r="AF139" i="14"/>
  <c r="AF133" i="14"/>
  <c r="AF137" i="14"/>
  <c r="AF135" i="14"/>
  <c r="AF132" i="14"/>
  <c r="AF131" i="14"/>
  <c r="AF138" i="14"/>
  <c r="AF352" i="14"/>
  <c r="AF355" i="14"/>
  <c r="AF358" i="14"/>
  <c r="AF353" i="14"/>
  <c r="AF359" i="14"/>
  <c r="AF357" i="14"/>
  <c r="AF354" i="14"/>
  <c r="AF356" i="14"/>
  <c r="AF360" i="14"/>
  <c r="AI801" i="14"/>
  <c r="AI804" i="14"/>
  <c r="AI807" i="14"/>
  <c r="AI809" i="14"/>
  <c r="AI806" i="14"/>
  <c r="AI802" i="14"/>
  <c r="AI805" i="14"/>
  <c r="AI803" i="14"/>
  <c r="AI808" i="14"/>
  <c r="AK796" i="14"/>
  <c r="AJ849" i="14"/>
  <c r="AJ843" i="14"/>
  <c r="AJ845" i="14"/>
  <c r="AJ844" i="14"/>
  <c r="AJ848" i="14"/>
  <c r="AJ847" i="14"/>
  <c r="AJ846" i="14"/>
  <c r="AJ842" i="14"/>
  <c r="AJ868" i="14"/>
  <c r="AK836" i="14"/>
  <c r="AH801" i="14"/>
  <c r="AH807" i="14"/>
  <c r="AH803" i="14"/>
  <c r="AH802" i="14"/>
  <c r="AH804" i="14"/>
  <c r="AH808" i="14"/>
  <c r="AH806" i="14"/>
  <c r="AH805" i="14"/>
  <c r="AH809" i="14"/>
  <c r="AJ807" i="14"/>
  <c r="AJ801" i="14"/>
  <c r="AJ802" i="14"/>
  <c r="AJ806" i="14"/>
  <c r="AJ803" i="14"/>
  <c r="AJ805" i="14"/>
  <c r="AJ809" i="14"/>
  <c r="AJ808" i="14"/>
  <c r="AJ804" i="14"/>
  <c r="AI881" i="14"/>
  <c r="AI879" i="14"/>
  <c r="AI877" i="14"/>
  <c r="AI874" i="14"/>
  <c r="AI875" i="14"/>
  <c r="AI876" i="14"/>
  <c r="AI880" i="14"/>
  <c r="AI873" i="14"/>
  <c r="AI878" i="14"/>
  <c r="AN773" i="14"/>
  <c r="AN777" i="14"/>
  <c r="AN774" i="14"/>
  <c r="AN771" i="14"/>
  <c r="AO764" i="14"/>
  <c r="AP764" i="14" s="1"/>
  <c r="BF1364" i="14"/>
  <c r="BE1369" i="14"/>
  <c r="AP251" i="14"/>
  <c r="AP253" i="14"/>
  <c r="AP250" i="14"/>
  <c r="AP252" i="14"/>
  <c r="AP255" i="14"/>
  <c r="AQ243" i="14"/>
  <c r="AQ252" i="14" s="1"/>
  <c r="AL285" i="14"/>
  <c r="AL284" i="14"/>
  <c r="AL280" i="14"/>
  <c r="AL281" i="14"/>
  <c r="AL287" i="14"/>
  <c r="AL283" i="14"/>
  <c r="AL288" i="14"/>
  <c r="AL286" i="14"/>
  <c r="AL282" i="14"/>
  <c r="AP256" i="14"/>
  <c r="AP254" i="14"/>
  <c r="AN275" i="14"/>
  <c r="AM281" i="14"/>
  <c r="AM282" i="14"/>
  <c r="AM288" i="14"/>
  <c r="AM285" i="14"/>
  <c r="AM280" i="14"/>
  <c r="AM283" i="14"/>
  <c r="AM284" i="14"/>
  <c r="AM287" i="14"/>
  <c r="AM286" i="14"/>
  <c r="AS238" i="14"/>
  <c r="AT310" i="14"/>
  <c r="AQ759" i="14"/>
  <c r="AH325" i="14" l="1"/>
  <c r="AH322" i="14"/>
  <c r="AH328" i="14"/>
  <c r="AH323" i="14"/>
  <c r="AH347" i="14"/>
  <c r="AH326" i="14"/>
  <c r="AH324" i="14"/>
  <c r="AH327" i="14"/>
  <c r="AO777" i="14"/>
  <c r="AO776" i="14"/>
  <c r="AI315" i="14"/>
  <c r="AG355" i="14"/>
  <c r="AG357" i="14"/>
  <c r="AG358" i="14"/>
  <c r="AG353" i="14"/>
  <c r="AG360" i="14"/>
  <c r="AG359" i="14"/>
  <c r="AG352" i="14"/>
  <c r="AG354" i="14"/>
  <c r="AG356" i="14"/>
  <c r="AN89" i="14"/>
  <c r="AO89" i="14" s="1"/>
  <c r="AH135" i="14"/>
  <c r="AH132" i="14"/>
  <c r="AH139" i="14"/>
  <c r="AH138" i="14"/>
  <c r="AH131" i="14"/>
  <c r="AH133" i="14"/>
  <c r="AH137" i="14"/>
  <c r="AH134" i="14"/>
  <c r="AH136" i="14"/>
  <c r="AM94" i="14"/>
  <c r="AL102" i="14"/>
  <c r="AL104" i="14"/>
  <c r="AL107" i="14"/>
  <c r="AL106" i="14"/>
  <c r="AL105" i="14"/>
  <c r="AL101" i="14"/>
  <c r="AL103" i="14"/>
  <c r="AI126" i="14"/>
  <c r="AJ880" i="14"/>
  <c r="AJ878" i="14"/>
  <c r="AJ873" i="14"/>
  <c r="AJ879" i="14"/>
  <c r="AJ876" i="14"/>
  <c r="AJ875" i="14"/>
  <c r="AJ877" i="14"/>
  <c r="AJ874" i="14"/>
  <c r="AJ881" i="14"/>
  <c r="AO772" i="14"/>
  <c r="AK809" i="14"/>
  <c r="AK804" i="14"/>
  <c r="AK806" i="14"/>
  <c r="AK808" i="14"/>
  <c r="AK803" i="14"/>
  <c r="AK801" i="14"/>
  <c r="AK807" i="14"/>
  <c r="AK805" i="14"/>
  <c r="AK802" i="14"/>
  <c r="AO771" i="14"/>
  <c r="AO774" i="14"/>
  <c r="AO773" i="14"/>
  <c r="AO775" i="14"/>
  <c r="AK849" i="14"/>
  <c r="AK848" i="14"/>
  <c r="AK844" i="14"/>
  <c r="AK845" i="14"/>
  <c r="AK843" i="14"/>
  <c r="AK847" i="14"/>
  <c r="AK846" i="14"/>
  <c r="AK842" i="14"/>
  <c r="AK868" i="14"/>
  <c r="AL836" i="14"/>
  <c r="AL796" i="14"/>
  <c r="BG1364" i="14"/>
  <c r="BF1369" i="14"/>
  <c r="AQ253" i="14"/>
  <c r="AQ251" i="14"/>
  <c r="AQ249" i="14"/>
  <c r="AQ254" i="14"/>
  <c r="AQ255" i="14"/>
  <c r="AQ256" i="14"/>
  <c r="AQ250" i="14"/>
  <c r="AR243" i="14"/>
  <c r="AR254" i="14" s="1"/>
  <c r="AN288" i="14"/>
  <c r="AN287" i="14"/>
  <c r="AN284" i="14"/>
  <c r="AN285" i="14"/>
  <c r="AN280" i="14"/>
  <c r="AN283" i="14"/>
  <c r="AN286" i="14"/>
  <c r="AN281" i="14"/>
  <c r="AN282" i="14"/>
  <c r="AO275" i="14"/>
  <c r="AT238" i="14"/>
  <c r="AU310" i="14"/>
  <c r="AP774" i="14"/>
  <c r="AP771" i="14"/>
  <c r="AP772" i="14"/>
  <c r="AP775" i="14"/>
  <c r="AP776" i="14"/>
  <c r="AP773" i="14"/>
  <c r="AP777" i="14"/>
  <c r="AQ764" i="14"/>
  <c r="AR759" i="14"/>
  <c r="AI325" i="14" l="1"/>
  <c r="AI326" i="14"/>
  <c r="AI327" i="14"/>
  <c r="AI324" i="14"/>
  <c r="AI328" i="14"/>
  <c r="AI323" i="14"/>
  <c r="AI347" i="14"/>
  <c r="AI322" i="14"/>
  <c r="AJ315" i="14"/>
  <c r="AK315" i="14" s="1"/>
  <c r="AN94" i="14"/>
  <c r="AO94" i="14" s="1"/>
  <c r="AP89" i="14"/>
  <c r="AH353" i="14"/>
  <c r="AH354" i="14"/>
  <c r="AH352" i="14"/>
  <c r="AH355" i="14"/>
  <c r="AH358" i="14"/>
  <c r="AH359" i="14"/>
  <c r="AH356" i="14"/>
  <c r="AH357" i="14"/>
  <c r="AH360" i="14"/>
  <c r="AM105" i="14"/>
  <c r="AM104" i="14"/>
  <c r="AM106" i="14"/>
  <c r="AM101" i="14"/>
  <c r="AM107" i="14"/>
  <c r="AM102" i="14"/>
  <c r="AM103" i="14"/>
  <c r="AI131" i="14"/>
  <c r="AI134" i="14"/>
  <c r="AI133" i="14"/>
  <c r="AI137" i="14"/>
  <c r="AI139" i="14"/>
  <c r="AI138" i="14"/>
  <c r="AI135" i="14"/>
  <c r="AI136" i="14"/>
  <c r="AI132" i="14"/>
  <c r="AJ126" i="14"/>
  <c r="AK126" i="14" s="1"/>
  <c r="AL806" i="14"/>
  <c r="AL804" i="14"/>
  <c r="AL803" i="14"/>
  <c r="AL801" i="14"/>
  <c r="AL805" i="14"/>
  <c r="AL808" i="14"/>
  <c r="AL802" i="14"/>
  <c r="AL809" i="14"/>
  <c r="AL807" i="14"/>
  <c r="AK880" i="14"/>
  <c r="AK878" i="14"/>
  <c r="AK879" i="14"/>
  <c r="AK873" i="14"/>
  <c r="AK881" i="14"/>
  <c r="AK874" i="14"/>
  <c r="AK877" i="14"/>
  <c r="AK876" i="14"/>
  <c r="AK875" i="14"/>
  <c r="AL848" i="14"/>
  <c r="AL845" i="14"/>
  <c r="AL844" i="14"/>
  <c r="AL849" i="14"/>
  <c r="AL846" i="14"/>
  <c r="AL843" i="14"/>
  <c r="AL847" i="14"/>
  <c r="AL842" i="14"/>
  <c r="AL868" i="14"/>
  <c r="AM836" i="14"/>
  <c r="AM796" i="14"/>
  <c r="AN796" i="14" s="1"/>
  <c r="BH1364" i="14"/>
  <c r="BG1369" i="14"/>
  <c r="AS243" i="14"/>
  <c r="AS253" i="14" s="1"/>
  <c r="AR251" i="14"/>
  <c r="AR249" i="14"/>
  <c r="AR253" i="14"/>
  <c r="AR255" i="14"/>
  <c r="AR250" i="14"/>
  <c r="AR252" i="14"/>
  <c r="AR256" i="14"/>
  <c r="AO282" i="14"/>
  <c r="AO283" i="14"/>
  <c r="AO286" i="14"/>
  <c r="AO287" i="14"/>
  <c r="AO284" i="14"/>
  <c r="AO281" i="14"/>
  <c r="AO285" i="14"/>
  <c r="AO280" i="14"/>
  <c r="AO288" i="14"/>
  <c r="AP275" i="14"/>
  <c r="AV310" i="14"/>
  <c r="AR764" i="14"/>
  <c r="AS759" i="14"/>
  <c r="AQ773" i="14"/>
  <c r="AQ774" i="14"/>
  <c r="AQ771" i="14"/>
  <c r="AQ772" i="14"/>
  <c r="AQ775" i="14"/>
  <c r="AQ777" i="14"/>
  <c r="AQ776" i="14"/>
  <c r="AU238" i="14"/>
  <c r="AO107" i="14" l="1"/>
  <c r="AO104" i="14"/>
  <c r="AO101" i="14"/>
  <c r="AO103" i="14"/>
  <c r="AO102" i="14"/>
  <c r="AO105" i="14"/>
  <c r="AO106" i="14"/>
  <c r="AQ89" i="14"/>
  <c r="AK323" i="14"/>
  <c r="AK327" i="14"/>
  <c r="AK324" i="14"/>
  <c r="AK325" i="14"/>
  <c r="AK328" i="14"/>
  <c r="AK322" i="14"/>
  <c r="AK326" i="14"/>
  <c r="AK137" i="14"/>
  <c r="AK138" i="14"/>
  <c r="AK134" i="14"/>
  <c r="AK136" i="14"/>
  <c r="AK131" i="14"/>
  <c r="AK139" i="14"/>
  <c r="AK132" i="14"/>
  <c r="AK135" i="14"/>
  <c r="AK133" i="14"/>
  <c r="AI357" i="14"/>
  <c r="AI358" i="14"/>
  <c r="AI355" i="14"/>
  <c r="AI352" i="14"/>
  <c r="AI354" i="14"/>
  <c r="AI353" i="14"/>
  <c r="AI360" i="14"/>
  <c r="AI359" i="14"/>
  <c r="AI356" i="14"/>
  <c r="AP94" i="14"/>
  <c r="AN104" i="14"/>
  <c r="AN101" i="14"/>
  <c r="AN107" i="14"/>
  <c r="AN103" i="14"/>
  <c r="AN102" i="14"/>
  <c r="AN106" i="14"/>
  <c r="AN105" i="14"/>
  <c r="AJ327" i="14"/>
  <c r="AJ347" i="14"/>
  <c r="AK347" i="14" s="1"/>
  <c r="AJ323" i="14"/>
  <c r="AJ326" i="14"/>
  <c r="AJ322" i="14"/>
  <c r="AJ324" i="14"/>
  <c r="AJ325" i="14"/>
  <c r="AJ328" i="14"/>
  <c r="AL315" i="14"/>
  <c r="AJ138" i="14"/>
  <c r="AJ133" i="14"/>
  <c r="AJ132" i="14"/>
  <c r="AJ137" i="14"/>
  <c r="AJ134" i="14"/>
  <c r="AJ136" i="14"/>
  <c r="AJ139" i="14"/>
  <c r="AJ135" i="14"/>
  <c r="AJ131" i="14"/>
  <c r="AL126" i="14"/>
  <c r="AM126" i="14" s="1"/>
  <c r="AN803" i="14"/>
  <c r="AN809" i="14"/>
  <c r="AN801" i="14"/>
  <c r="AN802" i="14"/>
  <c r="AN804" i="14"/>
  <c r="AN808" i="14"/>
  <c r="AN805" i="14"/>
  <c r="AN807" i="14"/>
  <c r="AN806" i="14"/>
  <c r="AM808" i="14"/>
  <c r="AM807" i="14"/>
  <c r="AM804" i="14"/>
  <c r="AM802" i="14"/>
  <c r="AM805" i="14"/>
  <c r="AM801" i="14"/>
  <c r="AM803" i="14"/>
  <c r="AM809" i="14"/>
  <c r="AM806" i="14"/>
  <c r="AO796" i="14"/>
  <c r="AN836" i="14"/>
  <c r="AM843" i="14"/>
  <c r="AM846" i="14"/>
  <c r="AM844" i="14"/>
  <c r="AM848" i="14"/>
  <c r="AM849" i="14"/>
  <c r="AM845" i="14"/>
  <c r="AM847" i="14"/>
  <c r="AM842" i="14"/>
  <c r="AM868" i="14"/>
  <c r="AL881" i="14"/>
  <c r="AL879" i="14"/>
  <c r="AL876" i="14"/>
  <c r="AL880" i="14"/>
  <c r="AL874" i="14"/>
  <c r="AL878" i="14"/>
  <c r="AL877" i="14"/>
  <c r="AL873" i="14"/>
  <c r="AL875" i="14"/>
  <c r="BI1364" i="14"/>
  <c r="BH1369" i="14"/>
  <c r="AS249" i="14"/>
  <c r="AS256" i="14"/>
  <c r="AS255" i="14"/>
  <c r="AS251" i="14"/>
  <c r="AS252" i="14"/>
  <c r="AS250" i="14"/>
  <c r="AT243" i="14"/>
  <c r="AT250" i="14" s="1"/>
  <c r="AS254" i="14"/>
  <c r="AP288" i="14"/>
  <c r="AP287" i="14"/>
  <c r="AP280" i="14"/>
  <c r="AP285" i="14"/>
  <c r="AP286" i="14"/>
  <c r="AP281" i="14"/>
  <c r="AP282" i="14"/>
  <c r="AP284" i="14"/>
  <c r="AP283" i="14"/>
  <c r="AQ275" i="14"/>
  <c r="AW310" i="14"/>
  <c r="AR772" i="14"/>
  <c r="AR773" i="14"/>
  <c r="AR774" i="14"/>
  <c r="AR771" i="14"/>
  <c r="AR775" i="14"/>
  <c r="AR777" i="14"/>
  <c r="AR776" i="14"/>
  <c r="AV238" i="14"/>
  <c r="AS764" i="14"/>
  <c r="AT759" i="14"/>
  <c r="AQ94" i="14" l="1"/>
  <c r="AR89" i="14"/>
  <c r="AM133" i="14"/>
  <c r="AM131" i="14"/>
  <c r="AM137" i="14"/>
  <c r="AM132" i="14"/>
  <c r="AM134" i="14"/>
  <c r="AM139" i="14"/>
  <c r="AM136" i="14"/>
  <c r="AM135" i="14"/>
  <c r="AM138" i="14"/>
  <c r="AR94" i="14"/>
  <c r="AQ106" i="14"/>
  <c r="AQ105" i="14"/>
  <c r="AQ104" i="14"/>
  <c r="AQ103" i="14"/>
  <c r="AQ107" i="14"/>
  <c r="AQ102" i="14"/>
  <c r="AQ101" i="14"/>
  <c r="AL326" i="14"/>
  <c r="AL323" i="14"/>
  <c r="AL347" i="14"/>
  <c r="AL327" i="14"/>
  <c r="AL325" i="14"/>
  <c r="AL328" i="14"/>
  <c r="AL324" i="14"/>
  <c r="AL322" i="14"/>
  <c r="AM315" i="14"/>
  <c r="AN315" i="14" s="1"/>
  <c r="AS89" i="14"/>
  <c r="AK352" i="14"/>
  <c r="AK356" i="14"/>
  <c r="AK353" i="14"/>
  <c r="AK359" i="14"/>
  <c r="AK360" i="14"/>
  <c r="AK355" i="14"/>
  <c r="AK358" i="14"/>
  <c r="AK357" i="14"/>
  <c r="AK354" i="14"/>
  <c r="AN126" i="14"/>
  <c r="AP101" i="14"/>
  <c r="AP106" i="14"/>
  <c r="AP104" i="14"/>
  <c r="AP102" i="14"/>
  <c r="AP107" i="14"/>
  <c r="AP105" i="14"/>
  <c r="AP103" i="14"/>
  <c r="AL139" i="14"/>
  <c r="AL134" i="14"/>
  <c r="AL135" i="14"/>
  <c r="AL132" i="14"/>
  <c r="AL136" i="14"/>
  <c r="AL137" i="14"/>
  <c r="AL138" i="14"/>
  <c r="AL133" i="14"/>
  <c r="AL131" i="14"/>
  <c r="AJ355" i="14"/>
  <c r="AJ354" i="14"/>
  <c r="AJ352" i="14"/>
  <c r="AJ360" i="14"/>
  <c r="AJ358" i="14"/>
  <c r="AJ353" i="14"/>
  <c r="AJ356" i="14"/>
  <c r="AJ359" i="14"/>
  <c r="AJ357" i="14"/>
  <c r="AN843" i="14"/>
  <c r="AN845" i="14"/>
  <c r="AN846" i="14"/>
  <c r="AN847" i="14"/>
  <c r="AN849" i="14"/>
  <c r="AN844" i="14"/>
  <c r="AN848" i="14"/>
  <c r="AN842" i="14"/>
  <c r="AO836" i="14"/>
  <c r="AO804" i="14"/>
  <c r="AO801" i="14"/>
  <c r="AO803" i="14"/>
  <c r="AO806" i="14"/>
  <c r="AO807" i="14"/>
  <c r="AO805" i="14"/>
  <c r="AO809" i="14"/>
  <c r="AO802" i="14"/>
  <c r="AO808" i="14"/>
  <c r="AP796" i="14"/>
  <c r="AN868" i="14"/>
  <c r="AM876" i="14"/>
  <c r="AM873" i="14"/>
  <c r="AM877" i="14"/>
  <c r="AM881" i="14"/>
  <c r="AM875" i="14"/>
  <c r="AM880" i="14"/>
  <c r="AM879" i="14"/>
  <c r="AM878" i="14"/>
  <c r="AM874" i="14"/>
  <c r="BJ1364" i="14"/>
  <c r="BI1369" i="14"/>
  <c r="AT254" i="14"/>
  <c r="AT251" i="14"/>
  <c r="AT256" i="14"/>
  <c r="AT255" i="14"/>
  <c r="AU243" i="14"/>
  <c r="AU254" i="14" s="1"/>
  <c r="AT253" i="14"/>
  <c r="AT252" i="14"/>
  <c r="AT249" i="14"/>
  <c r="AQ284" i="14"/>
  <c r="AQ283" i="14"/>
  <c r="AQ285" i="14"/>
  <c r="AQ288" i="14"/>
  <c r="AQ281" i="14"/>
  <c r="AQ280" i="14"/>
  <c r="AQ282" i="14"/>
  <c r="AQ286" i="14"/>
  <c r="AQ287" i="14"/>
  <c r="AR275" i="14"/>
  <c r="AS773" i="14"/>
  <c r="AS774" i="14"/>
  <c r="AS771" i="14"/>
  <c r="AS772" i="14"/>
  <c r="AS775" i="14"/>
  <c r="AS777" i="14"/>
  <c r="AS776" i="14"/>
  <c r="AX310" i="14"/>
  <c r="AW238" i="14"/>
  <c r="AT764" i="14"/>
  <c r="AU759" i="14"/>
  <c r="AN322" i="14" l="1"/>
  <c r="AN327" i="14"/>
  <c r="AN325" i="14"/>
  <c r="AN324" i="14"/>
  <c r="AN328" i="14"/>
  <c r="AN326" i="14"/>
  <c r="AN323" i="14"/>
  <c r="AM347" i="14"/>
  <c r="AN347" i="14" s="1"/>
  <c r="AM324" i="14"/>
  <c r="AM325" i="14"/>
  <c r="AM323" i="14"/>
  <c r="AM322" i="14"/>
  <c r="AM326" i="14"/>
  <c r="AM328" i="14"/>
  <c r="AM327" i="14"/>
  <c r="AO315" i="14"/>
  <c r="AS94" i="14"/>
  <c r="AL354" i="14"/>
  <c r="AL355" i="14"/>
  <c r="AL357" i="14"/>
  <c r="AL359" i="14"/>
  <c r="AL358" i="14"/>
  <c r="AL360" i="14"/>
  <c r="AL352" i="14"/>
  <c r="AL353" i="14"/>
  <c r="AL356" i="14"/>
  <c r="AR101" i="14"/>
  <c r="AR103" i="14"/>
  <c r="AR107" i="14"/>
  <c r="AR102" i="14"/>
  <c r="AR106" i="14"/>
  <c r="AR105" i="14"/>
  <c r="AR104" i="14"/>
  <c r="AT89" i="14"/>
  <c r="AO126" i="14"/>
  <c r="AN137" i="14"/>
  <c r="AN131" i="14"/>
  <c r="AN138" i="14"/>
  <c r="AN133" i="14"/>
  <c r="AN139" i="14"/>
  <c r="AN134" i="14"/>
  <c r="AN135" i="14"/>
  <c r="AN136" i="14"/>
  <c r="AN132" i="14"/>
  <c r="AO849" i="14"/>
  <c r="AO844" i="14"/>
  <c r="AO845" i="14"/>
  <c r="AO846" i="14"/>
  <c r="AO848" i="14"/>
  <c r="AO843" i="14"/>
  <c r="AO847" i="14"/>
  <c r="AO842" i="14"/>
  <c r="AO868" i="14"/>
  <c r="AP836" i="14"/>
  <c r="AP806" i="14"/>
  <c r="AP801" i="14"/>
  <c r="AP808" i="14"/>
  <c r="AP809" i="14"/>
  <c r="AP804" i="14"/>
  <c r="AP802" i="14"/>
  <c r="AP803" i="14"/>
  <c r="AP805" i="14"/>
  <c r="AP807" i="14"/>
  <c r="AQ796" i="14"/>
  <c r="AR796" i="14" s="1"/>
  <c r="AN877" i="14"/>
  <c r="AN881" i="14"/>
  <c r="AN873" i="14"/>
  <c r="AN875" i="14"/>
  <c r="AN879" i="14"/>
  <c r="AN880" i="14"/>
  <c r="AN878" i="14"/>
  <c r="AN874" i="14"/>
  <c r="AN876" i="14"/>
  <c r="AV243" i="14"/>
  <c r="AV249" i="14" s="1"/>
  <c r="BK1364" i="14"/>
  <c r="BJ1369" i="14"/>
  <c r="AU252" i="14"/>
  <c r="AU253" i="14"/>
  <c r="AU251" i="14"/>
  <c r="AU256" i="14"/>
  <c r="AU250" i="14"/>
  <c r="AU249" i="14"/>
  <c r="AU255" i="14"/>
  <c r="AR288" i="14"/>
  <c r="AR287" i="14"/>
  <c r="AR285" i="14"/>
  <c r="AR284" i="14"/>
  <c r="AR286" i="14"/>
  <c r="AR281" i="14"/>
  <c r="AR280" i="14"/>
  <c r="AR282" i="14"/>
  <c r="AR283" i="14"/>
  <c r="AS275" i="14"/>
  <c r="AT275" i="14" s="1"/>
  <c r="AY310" i="14"/>
  <c r="AX238" i="14"/>
  <c r="AU764" i="14"/>
  <c r="AV759" i="14"/>
  <c r="AT771" i="14"/>
  <c r="AT772" i="14"/>
  <c r="AT774" i="14"/>
  <c r="AT773" i="14"/>
  <c r="AT775" i="14"/>
  <c r="AT777" i="14"/>
  <c r="AT776" i="14"/>
  <c r="AN355" i="14" l="1"/>
  <c r="AN356" i="14"/>
  <c r="AN353" i="14"/>
  <c r="AN357" i="14"/>
  <c r="AN354" i="14"/>
  <c r="AN359" i="14"/>
  <c r="AN360" i="14"/>
  <c r="AN358" i="14"/>
  <c r="AN352" i="14"/>
  <c r="AO139" i="14"/>
  <c r="AO131" i="14"/>
  <c r="AO133" i="14"/>
  <c r="AO132" i="14"/>
  <c r="AO138" i="14"/>
  <c r="AO136" i="14"/>
  <c r="AO137" i="14"/>
  <c r="AO135" i="14"/>
  <c r="AO134" i="14"/>
  <c r="AP126" i="14"/>
  <c r="AT94" i="14"/>
  <c r="AS103" i="14"/>
  <c r="AS102" i="14"/>
  <c r="AS107" i="14"/>
  <c r="AS106" i="14"/>
  <c r="AS105" i="14"/>
  <c r="AS104" i="14"/>
  <c r="AS101" i="14"/>
  <c r="AP315" i="14"/>
  <c r="AO325" i="14"/>
  <c r="AO327" i="14"/>
  <c r="AO326" i="14"/>
  <c r="AO347" i="14"/>
  <c r="AO324" i="14"/>
  <c r="AO322" i="14"/>
  <c r="AO323" i="14"/>
  <c r="AO328" i="14"/>
  <c r="AM355" i="14"/>
  <c r="AM353" i="14"/>
  <c r="AM360" i="14"/>
  <c r="AM356" i="14"/>
  <c r="AM358" i="14"/>
  <c r="AM352" i="14"/>
  <c r="AM359" i="14"/>
  <c r="AM354" i="14"/>
  <c r="AM357" i="14"/>
  <c r="AU89" i="14"/>
  <c r="AV89" i="14" s="1"/>
  <c r="AR806" i="14"/>
  <c r="AR809" i="14"/>
  <c r="AR802" i="14"/>
  <c r="AR808" i="14"/>
  <c r="AR805" i="14"/>
  <c r="AR804" i="14"/>
  <c r="AR803" i="14"/>
  <c r="AR807" i="14"/>
  <c r="AR801" i="14"/>
  <c r="AP849" i="14"/>
  <c r="AP847" i="14"/>
  <c r="AP843" i="14"/>
  <c r="AP844" i="14"/>
  <c r="AP846" i="14"/>
  <c r="AP848" i="14"/>
  <c r="AP845" i="14"/>
  <c r="AP842" i="14"/>
  <c r="AP868" i="14"/>
  <c r="AQ836" i="14"/>
  <c r="AO877" i="14"/>
  <c r="AO879" i="14"/>
  <c r="AO875" i="14"/>
  <c r="AO878" i="14"/>
  <c r="AO874" i="14"/>
  <c r="AO881" i="14"/>
  <c r="AO873" i="14"/>
  <c r="AO880" i="14"/>
  <c r="AO876" i="14"/>
  <c r="AQ807" i="14"/>
  <c r="AQ806" i="14"/>
  <c r="AQ803" i="14"/>
  <c r="AQ802" i="14"/>
  <c r="AQ804" i="14"/>
  <c r="AQ805" i="14"/>
  <c r="AQ801" i="14"/>
  <c r="AQ809" i="14"/>
  <c r="AQ808" i="14"/>
  <c r="AS796" i="14"/>
  <c r="AV250" i="14"/>
  <c r="AW243" i="14"/>
  <c r="AW256" i="14" s="1"/>
  <c r="AV256" i="14"/>
  <c r="AV255" i="14"/>
  <c r="AV254" i="14"/>
  <c r="AV253" i="14"/>
  <c r="AV252" i="14"/>
  <c r="AV251" i="14"/>
  <c r="BL1364" i="14"/>
  <c r="BK1369" i="14"/>
  <c r="AT284" i="14"/>
  <c r="AT288" i="14"/>
  <c r="AT280" i="14"/>
  <c r="AT281" i="14"/>
  <c r="AT283" i="14"/>
  <c r="AT286" i="14"/>
  <c r="AT287" i="14"/>
  <c r="AT282" i="14"/>
  <c r="AT285" i="14"/>
  <c r="AS286" i="14"/>
  <c r="AS287" i="14"/>
  <c r="AS288" i="14"/>
  <c r="AS281" i="14"/>
  <c r="AS282" i="14"/>
  <c r="AS283" i="14"/>
  <c r="AS285" i="14"/>
  <c r="AS280" i="14"/>
  <c r="AS284" i="14"/>
  <c r="AU275" i="14"/>
  <c r="AV275" i="14" s="1"/>
  <c r="AV288" i="14" s="1"/>
  <c r="AV764" i="14"/>
  <c r="AW759" i="14"/>
  <c r="AY238" i="14"/>
  <c r="AU771" i="14"/>
  <c r="AU772" i="14"/>
  <c r="AU774" i="14"/>
  <c r="AU775" i="14"/>
  <c r="AU773" i="14"/>
  <c r="AU777" i="14"/>
  <c r="AU776" i="14"/>
  <c r="AZ310" i="14"/>
  <c r="AT103" i="14" l="1"/>
  <c r="AT104" i="14"/>
  <c r="AT102" i="14"/>
  <c r="AT105" i="14"/>
  <c r="AT106" i="14"/>
  <c r="AT101" i="14"/>
  <c r="AT107" i="14"/>
  <c r="AU94" i="14"/>
  <c r="AO353" i="14"/>
  <c r="AO356" i="14"/>
  <c r="AO354" i="14"/>
  <c r="AO355" i="14"/>
  <c r="AO358" i="14"/>
  <c r="AO360" i="14"/>
  <c r="AO359" i="14"/>
  <c r="AO357" i="14"/>
  <c r="AO352" i="14"/>
  <c r="AQ126" i="14"/>
  <c r="AP139" i="14"/>
  <c r="AP135" i="14"/>
  <c r="AP131" i="14"/>
  <c r="AP137" i="14"/>
  <c r="AP136" i="14"/>
  <c r="AP132" i="14"/>
  <c r="AP133" i="14"/>
  <c r="AP138" i="14"/>
  <c r="AP134" i="14"/>
  <c r="AW89" i="14"/>
  <c r="AX89" i="14" s="1"/>
  <c r="AP323" i="14"/>
  <c r="AP328" i="14"/>
  <c r="AP327" i="14"/>
  <c r="AP322" i="14"/>
  <c r="AP324" i="14"/>
  <c r="AP326" i="14"/>
  <c r="AP325" i="14"/>
  <c r="AP347" i="14"/>
  <c r="AQ315" i="14"/>
  <c r="AS803" i="14"/>
  <c r="AS804" i="14"/>
  <c r="AS802" i="14"/>
  <c r="AS805" i="14"/>
  <c r="AS807" i="14"/>
  <c r="AS808" i="14"/>
  <c r="AS809" i="14"/>
  <c r="AS801" i="14"/>
  <c r="AS806" i="14"/>
  <c r="AP873" i="14"/>
  <c r="AP876" i="14"/>
  <c r="AP877" i="14"/>
  <c r="AP881" i="14"/>
  <c r="AP880" i="14"/>
  <c r="AP874" i="14"/>
  <c r="AP879" i="14"/>
  <c r="AP878" i="14"/>
  <c r="AP875" i="14"/>
  <c r="AT796" i="14"/>
  <c r="AU796" i="14" s="1"/>
  <c r="AQ848" i="14"/>
  <c r="AQ843" i="14"/>
  <c r="AQ849" i="14"/>
  <c r="AQ845" i="14"/>
  <c r="AQ846" i="14"/>
  <c r="AQ847" i="14"/>
  <c r="AQ844" i="14"/>
  <c r="AQ842" i="14"/>
  <c r="AQ868" i="14"/>
  <c r="AR836" i="14"/>
  <c r="AX243" i="14"/>
  <c r="AX252" i="14" s="1"/>
  <c r="AW249" i="14"/>
  <c r="AW253" i="14"/>
  <c r="AW252" i="14"/>
  <c r="AW250" i="14"/>
  <c r="AW255" i="14"/>
  <c r="AW254" i="14"/>
  <c r="AW251" i="14"/>
  <c r="BM1364" i="14"/>
  <c r="BL1369" i="14"/>
  <c r="AW275" i="14"/>
  <c r="AW285" i="14" s="1"/>
  <c r="AV280" i="14"/>
  <c r="AV285" i="14"/>
  <c r="AV282" i="14"/>
  <c r="AV281" i="14"/>
  <c r="AV286" i="14"/>
  <c r="AV284" i="14"/>
  <c r="AU280" i="14"/>
  <c r="AU281" i="14"/>
  <c r="AU282" i="14"/>
  <c r="AU284" i="14"/>
  <c r="AU288" i="14"/>
  <c r="AU285" i="14"/>
  <c r="AU287" i="14"/>
  <c r="AU283" i="14"/>
  <c r="AU286" i="14"/>
  <c r="AV287" i="14"/>
  <c r="AV283" i="14"/>
  <c r="AW764" i="14"/>
  <c r="AX759" i="14"/>
  <c r="AV771" i="14"/>
  <c r="AV772" i="14"/>
  <c r="AV774" i="14"/>
  <c r="AV776" i="14"/>
  <c r="AV777" i="14"/>
  <c r="AV775" i="14"/>
  <c r="AV773" i="14"/>
  <c r="AZ238" i="14"/>
  <c r="BA310" i="14"/>
  <c r="AU807" i="14" l="1"/>
  <c r="AU802" i="14"/>
  <c r="AU806" i="14"/>
  <c r="AU805" i="14"/>
  <c r="AU808" i="14"/>
  <c r="AU801" i="14"/>
  <c r="AY89" i="14"/>
  <c r="AV796" i="14"/>
  <c r="AV802" i="14" s="1"/>
  <c r="AR315" i="14"/>
  <c r="AQ325" i="14"/>
  <c r="AQ327" i="14"/>
  <c r="AQ322" i="14"/>
  <c r="AQ324" i="14"/>
  <c r="AQ326" i="14"/>
  <c r="AQ328" i="14"/>
  <c r="AQ323" i="14"/>
  <c r="AQ347" i="14"/>
  <c r="AU105" i="14"/>
  <c r="AU101" i="14"/>
  <c r="AU104" i="14"/>
  <c r="AU103" i="14"/>
  <c r="AU106" i="14"/>
  <c r="AU107" i="14"/>
  <c r="AU102" i="14"/>
  <c r="AP353" i="14"/>
  <c r="AP352" i="14"/>
  <c r="AP360" i="14"/>
  <c r="AP356" i="14"/>
  <c r="AP358" i="14"/>
  <c r="AP357" i="14"/>
  <c r="AP354" i="14"/>
  <c r="AP355" i="14"/>
  <c r="AP359" i="14"/>
  <c r="AQ138" i="14"/>
  <c r="AQ133" i="14"/>
  <c r="AQ135" i="14"/>
  <c r="AQ131" i="14"/>
  <c r="AQ139" i="14"/>
  <c r="AQ136" i="14"/>
  <c r="AQ134" i="14"/>
  <c r="AQ137" i="14"/>
  <c r="AQ132" i="14"/>
  <c r="AR126" i="14"/>
  <c r="AY243" i="14"/>
  <c r="AZ243" i="14" s="1"/>
  <c r="AX251" i="14"/>
  <c r="AX250" i="14"/>
  <c r="AZ89" i="14"/>
  <c r="AX255" i="14"/>
  <c r="AX249" i="14"/>
  <c r="AV94" i="14"/>
  <c r="AW94" i="14" s="1"/>
  <c r="AX94" i="14" s="1"/>
  <c r="AT801" i="14"/>
  <c r="AT806" i="14"/>
  <c r="AT805" i="14"/>
  <c r="AT809" i="14"/>
  <c r="AT804" i="14"/>
  <c r="AT802" i="14"/>
  <c r="AT803" i="14"/>
  <c r="AT807" i="14"/>
  <c r="AT808" i="14"/>
  <c r="AX256" i="14"/>
  <c r="AU804" i="14"/>
  <c r="AR848" i="14"/>
  <c r="AR846" i="14"/>
  <c r="AR845" i="14"/>
  <c r="AR843" i="14"/>
  <c r="AR849" i="14"/>
  <c r="AR844" i="14"/>
  <c r="AR847" i="14"/>
  <c r="AR842" i="14"/>
  <c r="AR868" i="14"/>
  <c r="AS836" i="14"/>
  <c r="AU803" i="14"/>
  <c r="AX254" i="14"/>
  <c r="AU809" i="14"/>
  <c r="AQ880" i="14"/>
  <c r="AQ876" i="14"/>
  <c r="AQ873" i="14"/>
  <c r="AQ874" i="14"/>
  <c r="AQ881" i="14"/>
  <c r="AQ877" i="14"/>
  <c r="AQ878" i="14"/>
  <c r="AQ879" i="14"/>
  <c r="AQ875" i="14"/>
  <c r="AX253" i="14"/>
  <c r="AW288" i="14"/>
  <c r="AW280" i="14"/>
  <c r="AW287" i="14"/>
  <c r="AW286" i="14"/>
  <c r="BN1364" i="14"/>
  <c r="BM1369" i="14"/>
  <c r="AW283" i="14"/>
  <c r="AW284" i="14"/>
  <c r="AX275" i="14"/>
  <c r="AX283" i="14" s="1"/>
  <c r="AV804" i="14"/>
  <c r="AW796" i="14"/>
  <c r="AW806" i="14" s="1"/>
  <c r="AV809" i="14"/>
  <c r="AW281" i="14"/>
  <c r="AW282" i="14"/>
  <c r="BA238" i="14"/>
  <c r="BB310" i="14"/>
  <c r="AX764" i="14"/>
  <c r="AY759" i="14"/>
  <c r="AW771" i="14"/>
  <c r="AW777" i="14"/>
  <c r="AW772" i="14"/>
  <c r="AW775" i="14"/>
  <c r="AW776" i="14"/>
  <c r="AW773" i="14"/>
  <c r="AW774" i="14"/>
  <c r="AV801" i="14" l="1"/>
  <c r="AV805" i="14"/>
  <c r="AV803" i="14"/>
  <c r="AV807" i="14"/>
  <c r="AV808" i="14"/>
  <c r="AV806" i="14"/>
  <c r="AY253" i="14"/>
  <c r="AY252" i="14"/>
  <c r="AY251" i="14"/>
  <c r="AY255" i="14"/>
  <c r="AY250" i="14"/>
  <c r="AY249" i="14"/>
  <c r="AY254" i="14"/>
  <c r="AY256" i="14"/>
  <c r="AX106" i="14"/>
  <c r="AX107" i="14"/>
  <c r="AX102" i="14"/>
  <c r="AX104" i="14"/>
  <c r="AX101" i="14"/>
  <c r="AX105" i="14"/>
  <c r="AX103" i="14"/>
  <c r="AR347" i="14"/>
  <c r="AQ356" i="14"/>
  <c r="AQ360" i="14"/>
  <c r="AQ355" i="14"/>
  <c r="AQ354" i="14"/>
  <c r="AQ352" i="14"/>
  <c r="AQ358" i="14"/>
  <c r="AQ353" i="14"/>
  <c r="AQ357" i="14"/>
  <c r="AQ359" i="14"/>
  <c r="AR133" i="14"/>
  <c r="AR132" i="14"/>
  <c r="AR134" i="14"/>
  <c r="AR131" i="14"/>
  <c r="AR137" i="14"/>
  <c r="AR135" i="14"/>
  <c r="AR136" i="14"/>
  <c r="AR138" i="14"/>
  <c r="AR139" i="14"/>
  <c r="AS126" i="14"/>
  <c r="AW107" i="14"/>
  <c r="AW103" i="14"/>
  <c r="AW101" i="14"/>
  <c r="AW105" i="14"/>
  <c r="AW102" i="14"/>
  <c r="AW104" i="14"/>
  <c r="AW106" i="14"/>
  <c r="AV103" i="14"/>
  <c r="AV101" i="14"/>
  <c r="AV107" i="14"/>
  <c r="AV102" i="14"/>
  <c r="AV104" i="14"/>
  <c r="AV106" i="14"/>
  <c r="AV105" i="14"/>
  <c r="BA89" i="14"/>
  <c r="AS315" i="14"/>
  <c r="AR322" i="14"/>
  <c r="AR325" i="14"/>
  <c r="AR328" i="14"/>
  <c r="AR323" i="14"/>
  <c r="AR326" i="14"/>
  <c r="AR324" i="14"/>
  <c r="AR327" i="14"/>
  <c r="AY94" i="14"/>
  <c r="AZ94" i="14" s="1"/>
  <c r="AR875" i="14"/>
  <c r="AR878" i="14"/>
  <c r="AR879" i="14"/>
  <c r="AR876" i="14"/>
  <c r="AR881" i="14"/>
  <c r="AR877" i="14"/>
  <c r="AR873" i="14"/>
  <c r="AR874" i="14"/>
  <c r="AR880" i="14"/>
  <c r="AS846" i="14"/>
  <c r="AS848" i="14"/>
  <c r="AS844" i="14"/>
  <c r="AS843" i="14"/>
  <c r="AS845" i="14"/>
  <c r="AS849" i="14"/>
  <c r="AS847" i="14"/>
  <c r="AS842" i="14"/>
  <c r="AS868" i="14"/>
  <c r="AT836" i="14"/>
  <c r="AY275" i="14"/>
  <c r="AY283" i="14" s="1"/>
  <c r="BO1364" i="14"/>
  <c r="BN1369" i="14"/>
  <c r="AX281" i="14"/>
  <c r="AX287" i="14"/>
  <c r="AX286" i="14"/>
  <c r="AX285" i="14"/>
  <c r="AX282" i="14"/>
  <c r="AX288" i="14"/>
  <c r="AX284" i="14"/>
  <c r="AX280" i="14"/>
  <c r="AW804" i="14"/>
  <c r="AW809" i="14"/>
  <c r="AW803" i="14"/>
  <c r="AW805" i="14"/>
  <c r="AW807" i="14"/>
  <c r="AW808" i="14"/>
  <c r="AW802" i="14"/>
  <c r="AW801" i="14"/>
  <c r="BC310" i="14"/>
  <c r="AZ253" i="14"/>
  <c r="AZ254" i="14"/>
  <c r="AZ249" i="14"/>
  <c r="AZ255" i="14"/>
  <c r="AZ250" i="14"/>
  <c r="AZ251" i="14"/>
  <c r="AZ252" i="14"/>
  <c r="AZ256" i="14"/>
  <c r="AY764" i="14"/>
  <c r="AZ759" i="14"/>
  <c r="BA243" i="14"/>
  <c r="BB238" i="14"/>
  <c r="AX771" i="14"/>
  <c r="AX777" i="14"/>
  <c r="AX772" i="14"/>
  <c r="AX776" i="14"/>
  <c r="AX775" i="14"/>
  <c r="AX774" i="14"/>
  <c r="AX773" i="14"/>
  <c r="AX796" i="14"/>
  <c r="BA94" i="14" l="1"/>
  <c r="BA107" i="14" s="1"/>
  <c r="AR352" i="14"/>
  <c r="AR354" i="14"/>
  <c r="AR358" i="14"/>
  <c r="AR359" i="14"/>
  <c r="AR357" i="14"/>
  <c r="AR353" i="14"/>
  <c r="AR356" i="14"/>
  <c r="AR360" i="14"/>
  <c r="AR355" i="14"/>
  <c r="BA101" i="14"/>
  <c r="AT126" i="14"/>
  <c r="AS132" i="14"/>
  <c r="AS139" i="14"/>
  <c r="AS131" i="14"/>
  <c r="AS137" i="14"/>
  <c r="AS135" i="14"/>
  <c r="AS138" i="14"/>
  <c r="AS136" i="14"/>
  <c r="AS133" i="14"/>
  <c r="AS134" i="14"/>
  <c r="BA104" i="14"/>
  <c r="BA105" i="14"/>
  <c r="BA103" i="14"/>
  <c r="BA106" i="14"/>
  <c r="BB89" i="14"/>
  <c r="BB94" i="14" s="1"/>
  <c r="BB101" i="14" s="1"/>
  <c r="AZ104" i="14"/>
  <c r="AZ105" i="14"/>
  <c r="AZ101" i="14"/>
  <c r="AZ102" i="14"/>
  <c r="AZ106" i="14"/>
  <c r="AZ107" i="14"/>
  <c r="AZ103" i="14"/>
  <c r="AY104" i="14"/>
  <c r="AY107" i="14"/>
  <c r="AY102" i="14"/>
  <c r="AY106" i="14"/>
  <c r="AY103" i="14"/>
  <c r="AY101" i="14"/>
  <c r="AY105" i="14"/>
  <c r="AS326" i="14"/>
  <c r="AS328" i="14"/>
  <c r="AS323" i="14"/>
  <c r="AS327" i="14"/>
  <c r="AS325" i="14"/>
  <c r="AS322" i="14"/>
  <c r="AS324" i="14"/>
  <c r="AS347" i="14"/>
  <c r="AT315" i="14"/>
  <c r="AT843" i="14"/>
  <c r="AT847" i="14"/>
  <c r="AT844" i="14"/>
  <c r="AT848" i="14"/>
  <c r="AT845" i="14"/>
  <c r="AT846" i="14"/>
  <c r="AT849" i="14"/>
  <c r="AT842" i="14"/>
  <c r="AT868" i="14"/>
  <c r="AU836" i="14"/>
  <c r="AS881" i="14"/>
  <c r="AS877" i="14"/>
  <c r="AS878" i="14"/>
  <c r="AS875" i="14"/>
  <c r="AS880" i="14"/>
  <c r="AS873" i="14"/>
  <c r="AS879" i="14"/>
  <c r="AS876" i="14"/>
  <c r="AS874" i="14"/>
  <c r="AY284" i="14"/>
  <c r="AY288" i="14"/>
  <c r="AY281" i="14"/>
  <c r="AY282" i="14"/>
  <c r="AY287" i="14"/>
  <c r="AY280" i="14"/>
  <c r="AY286" i="14"/>
  <c r="AY285" i="14"/>
  <c r="AZ275" i="14"/>
  <c r="AZ287" i="14" s="1"/>
  <c r="BP1364" i="14"/>
  <c r="BO1369" i="14"/>
  <c r="AY796" i="14"/>
  <c r="AY807" i="14" s="1"/>
  <c r="BB243" i="14"/>
  <c r="BC238" i="14"/>
  <c r="AZ764" i="14"/>
  <c r="BA759" i="14"/>
  <c r="BD310" i="14"/>
  <c r="BA254" i="14"/>
  <c r="BA249" i="14"/>
  <c r="BA250" i="14"/>
  <c r="BA251" i="14"/>
  <c r="BA252" i="14"/>
  <c r="BA253" i="14"/>
  <c r="BA256" i="14"/>
  <c r="BA255" i="14"/>
  <c r="AY771" i="14"/>
  <c r="AY777" i="14"/>
  <c r="AY772" i="14"/>
  <c r="AY776" i="14"/>
  <c r="AY775" i="14"/>
  <c r="AY773" i="14"/>
  <c r="AY774" i="14"/>
  <c r="AX801" i="14"/>
  <c r="AX807" i="14"/>
  <c r="AX802" i="14"/>
  <c r="AX806" i="14"/>
  <c r="AX805" i="14"/>
  <c r="AX803" i="14"/>
  <c r="AX808" i="14"/>
  <c r="AX809" i="14"/>
  <c r="AX804" i="14"/>
  <c r="BA102" i="14" l="1"/>
  <c r="BB106" i="14"/>
  <c r="AU315" i="14"/>
  <c r="AT323" i="14"/>
  <c r="AT328" i="14"/>
  <c r="AT325" i="14"/>
  <c r="AT326" i="14"/>
  <c r="AT324" i="14"/>
  <c r="AT322" i="14"/>
  <c r="AT327" i="14"/>
  <c r="AT347" i="14"/>
  <c r="AV315" i="14"/>
  <c r="AW315" i="14" s="1"/>
  <c r="AT132" i="14"/>
  <c r="AT133" i="14"/>
  <c r="AT138" i="14"/>
  <c r="AT136" i="14"/>
  <c r="AT131" i="14"/>
  <c r="AT134" i="14"/>
  <c r="AT139" i="14"/>
  <c r="AT137" i="14"/>
  <c r="AT135" i="14"/>
  <c r="AU126" i="14"/>
  <c r="AS360" i="14"/>
  <c r="AS356" i="14"/>
  <c r="AS358" i="14"/>
  <c r="AS352" i="14"/>
  <c r="AS357" i="14"/>
  <c r="AS355" i="14"/>
  <c r="AS353" i="14"/>
  <c r="AS354" i="14"/>
  <c r="AS359" i="14"/>
  <c r="BC89" i="14"/>
  <c r="BB105" i="14"/>
  <c r="BB103" i="14"/>
  <c r="BB104" i="14"/>
  <c r="BB102" i="14"/>
  <c r="BB107" i="14"/>
  <c r="AT874" i="14"/>
  <c r="AT877" i="14"/>
  <c r="AT875" i="14"/>
  <c r="AT881" i="14"/>
  <c r="AT879" i="14"/>
  <c r="AT878" i="14"/>
  <c r="AT876" i="14"/>
  <c r="AT880" i="14"/>
  <c r="AT873" i="14"/>
  <c r="AU846" i="14"/>
  <c r="AU844" i="14"/>
  <c r="AU848" i="14"/>
  <c r="AU843" i="14"/>
  <c r="AU849" i="14"/>
  <c r="AU845" i="14"/>
  <c r="AU847" i="14"/>
  <c r="AU842" i="14"/>
  <c r="AU868" i="14"/>
  <c r="AV836" i="14"/>
  <c r="AZ288" i="14"/>
  <c r="AZ281" i="14"/>
  <c r="AZ280" i="14"/>
  <c r="AZ282" i="14"/>
  <c r="AZ285" i="14"/>
  <c r="AZ283" i="14"/>
  <c r="BA275" i="14"/>
  <c r="BA281" i="14" s="1"/>
  <c r="AZ284" i="14"/>
  <c r="AZ286" i="14"/>
  <c r="BQ1364" i="14"/>
  <c r="BP1369" i="14"/>
  <c r="AY801" i="14"/>
  <c r="AY803" i="14"/>
  <c r="AY809" i="14"/>
  <c r="AY802" i="14"/>
  <c r="AY805" i="14"/>
  <c r="AY806" i="14"/>
  <c r="AY804" i="14"/>
  <c r="AY808" i="14"/>
  <c r="AZ773" i="14"/>
  <c r="AZ776" i="14"/>
  <c r="AZ777" i="14"/>
  <c r="AZ771" i="14"/>
  <c r="AZ774" i="14"/>
  <c r="AZ772" i="14"/>
  <c r="AZ775" i="14"/>
  <c r="BB253" i="14"/>
  <c r="BB254" i="14"/>
  <c r="BB249" i="14"/>
  <c r="BB250" i="14"/>
  <c r="BB251" i="14"/>
  <c r="BB252" i="14"/>
  <c r="BB256" i="14"/>
  <c r="BB255" i="14"/>
  <c r="BA764" i="14"/>
  <c r="BB759" i="14"/>
  <c r="AZ796" i="14"/>
  <c r="BE310" i="14"/>
  <c r="BC243" i="14"/>
  <c r="BD238" i="14"/>
  <c r="AV326" i="14" l="1"/>
  <c r="AV323" i="14"/>
  <c r="AV327" i="14"/>
  <c r="AV328" i="14"/>
  <c r="AV322" i="14"/>
  <c r="AV324" i="14"/>
  <c r="AV325" i="14"/>
  <c r="AT360" i="14"/>
  <c r="AT358" i="14"/>
  <c r="AT359" i="14"/>
  <c r="AT356" i="14"/>
  <c r="AT355" i="14"/>
  <c r="AT357" i="14"/>
  <c r="AT352" i="14"/>
  <c r="AT354" i="14"/>
  <c r="AT353" i="14"/>
  <c r="AX315" i="14"/>
  <c r="BD89" i="14"/>
  <c r="BC94" i="14"/>
  <c r="AW326" i="14"/>
  <c r="AW327" i="14"/>
  <c r="AW325" i="14"/>
  <c r="AW324" i="14"/>
  <c r="AW322" i="14"/>
  <c r="AW323" i="14"/>
  <c r="AW328" i="14"/>
  <c r="AU138" i="14"/>
  <c r="AU137" i="14"/>
  <c r="AU135" i="14"/>
  <c r="AU139" i="14"/>
  <c r="AU136" i="14"/>
  <c r="AU132" i="14"/>
  <c r="AU131" i="14"/>
  <c r="AU134" i="14"/>
  <c r="AU133" i="14"/>
  <c r="AV126" i="14"/>
  <c r="AU322" i="14"/>
  <c r="AU328" i="14"/>
  <c r="AU323" i="14"/>
  <c r="AU327" i="14"/>
  <c r="AU326" i="14"/>
  <c r="AU324" i="14"/>
  <c r="AU325" i="14"/>
  <c r="AU347" i="14"/>
  <c r="AV347" i="14" s="1"/>
  <c r="AV845" i="14"/>
  <c r="AV847" i="14"/>
  <c r="AV843" i="14"/>
  <c r="AV846" i="14"/>
  <c r="AV849" i="14"/>
  <c r="AV848" i="14"/>
  <c r="AV844" i="14"/>
  <c r="AV842" i="14"/>
  <c r="AV868" i="14"/>
  <c r="AW836" i="14"/>
  <c r="AU875" i="14"/>
  <c r="AU877" i="14"/>
  <c r="AU876" i="14"/>
  <c r="AU874" i="14"/>
  <c r="AU878" i="14"/>
  <c r="AU873" i="14"/>
  <c r="AU880" i="14"/>
  <c r="AU881" i="14"/>
  <c r="AU879" i="14"/>
  <c r="BB275" i="14"/>
  <c r="BB281" i="14" s="1"/>
  <c r="BA288" i="14"/>
  <c r="BA280" i="14"/>
  <c r="BA284" i="14"/>
  <c r="BA283" i="14"/>
  <c r="BA285" i="14"/>
  <c r="BA286" i="14"/>
  <c r="BA282" i="14"/>
  <c r="BA287" i="14"/>
  <c r="BR1364" i="14"/>
  <c r="BQ1369" i="14"/>
  <c r="BB764" i="14"/>
  <c r="BC759" i="14"/>
  <c r="BA773" i="14"/>
  <c r="BA776" i="14"/>
  <c r="BA777" i="14"/>
  <c r="BA771" i="14"/>
  <c r="BA772" i="14"/>
  <c r="BA775" i="14"/>
  <c r="BA774" i="14"/>
  <c r="BF310" i="14"/>
  <c r="BC252" i="14"/>
  <c r="BC253" i="14"/>
  <c r="BC254" i="14"/>
  <c r="BC249" i="14"/>
  <c r="BC256" i="14"/>
  <c r="BC250" i="14"/>
  <c r="BC251" i="14"/>
  <c r="BC255" i="14"/>
  <c r="BD243" i="14"/>
  <c r="BE238" i="14"/>
  <c r="AZ806" i="14"/>
  <c r="AZ801" i="14"/>
  <c r="AZ804" i="14"/>
  <c r="AZ802" i="14"/>
  <c r="AZ805" i="14"/>
  <c r="AZ808" i="14"/>
  <c r="AZ809" i="14"/>
  <c r="AZ807" i="14"/>
  <c r="AZ803" i="14"/>
  <c r="BA796" i="14"/>
  <c r="AV356" i="14" l="1"/>
  <c r="AV359" i="14"/>
  <c r="AV352" i="14"/>
  <c r="AV358" i="14"/>
  <c r="AV353" i="14"/>
  <c r="AV357" i="14"/>
  <c r="AV354" i="14"/>
  <c r="AV355" i="14"/>
  <c r="AV360" i="14"/>
  <c r="AW347" i="14"/>
  <c r="AV132" i="14"/>
  <c r="AV135" i="14"/>
  <c r="AV138" i="14"/>
  <c r="AV139" i="14"/>
  <c r="AV133" i="14"/>
  <c r="AV134" i="14"/>
  <c r="AV137" i="14"/>
  <c r="AV136" i="14"/>
  <c r="AV131" i="14"/>
  <c r="AW126" i="14"/>
  <c r="AU355" i="14"/>
  <c r="AU353" i="14"/>
  <c r="AU356" i="14"/>
  <c r="AU359" i="14"/>
  <c r="AU358" i="14"/>
  <c r="AU360" i="14"/>
  <c r="AU357" i="14"/>
  <c r="AU354" i="14"/>
  <c r="AU352" i="14"/>
  <c r="BC106" i="14"/>
  <c r="BC105" i="14"/>
  <c r="BC101" i="14"/>
  <c r="BC107" i="14"/>
  <c r="BC102" i="14"/>
  <c r="BC104" i="14"/>
  <c r="BC103" i="14"/>
  <c r="BE89" i="14"/>
  <c r="BD94" i="14"/>
  <c r="AX326" i="14"/>
  <c r="AX328" i="14"/>
  <c r="AX327" i="14"/>
  <c r="AX322" i="14"/>
  <c r="AX325" i="14"/>
  <c r="AX324" i="14"/>
  <c r="AX323" i="14"/>
  <c r="AY315" i="14"/>
  <c r="AW844" i="14"/>
  <c r="AW845" i="14"/>
  <c r="AW846" i="14"/>
  <c r="AW848" i="14"/>
  <c r="AW843" i="14"/>
  <c r="AW847" i="14"/>
  <c r="AW849" i="14"/>
  <c r="AW842" i="14"/>
  <c r="AW868" i="14"/>
  <c r="AX836" i="14"/>
  <c r="BB282" i="14"/>
  <c r="BB280" i="14"/>
  <c r="AV880" i="14"/>
  <c r="AV881" i="14"/>
  <c r="AV873" i="14"/>
  <c r="AV879" i="14"/>
  <c r="AV875" i="14"/>
  <c r="AV878" i="14"/>
  <c r="AV876" i="14"/>
  <c r="AV874" i="14"/>
  <c r="AV877" i="14"/>
  <c r="BB284" i="14"/>
  <c r="BB288" i="14"/>
  <c r="BC275" i="14"/>
  <c r="BC281" i="14" s="1"/>
  <c r="BB286" i="14"/>
  <c r="BB285" i="14"/>
  <c r="BB283" i="14"/>
  <c r="BB287" i="14"/>
  <c r="BS1364" i="14"/>
  <c r="BR1369" i="14"/>
  <c r="BB796" i="14"/>
  <c r="BB802" i="14" s="1"/>
  <c r="BE243" i="14"/>
  <c r="BF238" i="14"/>
  <c r="BG310" i="14"/>
  <c r="BB773" i="14"/>
  <c r="BB776" i="14"/>
  <c r="BB771" i="14"/>
  <c r="BB777" i="14"/>
  <c r="BB772" i="14"/>
  <c r="BB775" i="14"/>
  <c r="BB774" i="14"/>
  <c r="BA806" i="14"/>
  <c r="BA801" i="14"/>
  <c r="BA809" i="14"/>
  <c r="BA804" i="14"/>
  <c r="BA802" i="14"/>
  <c r="BA805" i="14"/>
  <c r="BA808" i="14"/>
  <c r="BA803" i="14"/>
  <c r="BA807" i="14"/>
  <c r="BC764" i="14"/>
  <c r="BD759" i="14"/>
  <c r="BD253" i="14"/>
  <c r="BD256" i="14"/>
  <c r="BD254" i="14"/>
  <c r="BD250" i="14"/>
  <c r="BD249" i="14"/>
  <c r="BD251" i="14"/>
  <c r="BD252" i="14"/>
  <c r="BD255" i="14"/>
  <c r="AW357" i="14" l="1"/>
  <c r="AW356" i="14"/>
  <c r="AW355" i="14"/>
  <c r="AW352" i="14"/>
  <c r="AW353" i="14"/>
  <c r="AW354" i="14"/>
  <c r="AW360" i="14"/>
  <c r="AW358" i="14"/>
  <c r="AW359" i="14"/>
  <c r="BD105" i="14"/>
  <c r="BD106" i="14"/>
  <c r="BD101" i="14"/>
  <c r="BD107" i="14"/>
  <c r="BD102" i="14"/>
  <c r="BD104" i="14"/>
  <c r="BD103" i="14"/>
  <c r="BE94" i="14"/>
  <c r="BF89" i="14"/>
  <c r="AW133" i="14"/>
  <c r="AW131" i="14"/>
  <c r="AW139" i="14"/>
  <c r="AW134" i="14"/>
  <c r="AW136" i="14"/>
  <c r="AW135" i="14"/>
  <c r="AW132" i="14"/>
  <c r="AW138" i="14"/>
  <c r="AW137" i="14"/>
  <c r="AX126" i="14"/>
  <c r="AY126" i="14" s="1"/>
  <c r="AY324" i="14"/>
  <c r="AY327" i="14"/>
  <c r="AY328" i="14"/>
  <c r="AY322" i="14"/>
  <c r="AY323" i="14"/>
  <c r="AY326" i="14"/>
  <c r="AY325" i="14"/>
  <c r="AZ315" i="14"/>
  <c r="AX347" i="14"/>
  <c r="AX845" i="14"/>
  <c r="AX843" i="14"/>
  <c r="AX846" i="14"/>
  <c r="AX847" i="14"/>
  <c r="AX848" i="14"/>
  <c r="AX849" i="14"/>
  <c r="AX844" i="14"/>
  <c r="AX842" i="14"/>
  <c r="AX868" i="14"/>
  <c r="AY836" i="14"/>
  <c r="AW875" i="14"/>
  <c r="AW878" i="14"/>
  <c r="AW879" i="14"/>
  <c r="AW876" i="14"/>
  <c r="AW873" i="14"/>
  <c r="AW874" i="14"/>
  <c r="AW881" i="14"/>
  <c r="AW877" i="14"/>
  <c r="AW880" i="14"/>
  <c r="BC286" i="14"/>
  <c r="BC284" i="14"/>
  <c r="BC288" i="14"/>
  <c r="BC283" i="14"/>
  <c r="BD275" i="14"/>
  <c r="BE275" i="14" s="1"/>
  <c r="BE285" i="14" s="1"/>
  <c r="BC280" i="14"/>
  <c r="BC282" i="14"/>
  <c r="BC287" i="14"/>
  <c r="BC285" i="14"/>
  <c r="BT1364" i="14"/>
  <c r="BS1369" i="14"/>
  <c r="BB809" i="14"/>
  <c r="BB806" i="14"/>
  <c r="BB804" i="14"/>
  <c r="BC796" i="14"/>
  <c r="BC808" i="14" s="1"/>
  <c r="BB808" i="14"/>
  <c r="BB807" i="14"/>
  <c r="BB803" i="14"/>
  <c r="BB805" i="14"/>
  <c r="BB801" i="14"/>
  <c r="BD764" i="14"/>
  <c r="BE759" i="14"/>
  <c r="BH310" i="14"/>
  <c r="BC775" i="14"/>
  <c r="BC773" i="14"/>
  <c r="BC776" i="14"/>
  <c r="BC777" i="14"/>
  <c r="BC771" i="14"/>
  <c r="BC772" i="14"/>
  <c r="BC774" i="14"/>
  <c r="BF243" i="14"/>
  <c r="BG238" i="14"/>
  <c r="BE252" i="14"/>
  <c r="BE253" i="14"/>
  <c r="BE256" i="14"/>
  <c r="BE254" i="14"/>
  <c r="BE255" i="14"/>
  <c r="BE250" i="14"/>
  <c r="BE249" i="14"/>
  <c r="BE251" i="14"/>
  <c r="BD288" i="14" l="1"/>
  <c r="BD281" i="14"/>
  <c r="BD284" i="14"/>
  <c r="BD282" i="14"/>
  <c r="BD285" i="14"/>
  <c r="BY298" i="14" s="1"/>
  <c r="AX137" i="14"/>
  <c r="AX134" i="14"/>
  <c r="AX132" i="14"/>
  <c r="AX139" i="14"/>
  <c r="AX133" i="14"/>
  <c r="AX135" i="14"/>
  <c r="AX131" i="14"/>
  <c r="AX136" i="14"/>
  <c r="AX138" i="14"/>
  <c r="AY347" i="14"/>
  <c r="AZ347" i="14" s="1"/>
  <c r="AX355" i="14"/>
  <c r="AX357" i="14"/>
  <c r="AX358" i="14"/>
  <c r="AX359" i="14"/>
  <c r="AX356" i="14"/>
  <c r="AX354" i="14"/>
  <c r="AX353" i="14"/>
  <c r="AX352" i="14"/>
  <c r="AX360" i="14"/>
  <c r="AY139" i="14"/>
  <c r="AY133" i="14"/>
  <c r="AY137" i="14"/>
  <c r="AY132" i="14"/>
  <c r="AY135" i="14"/>
  <c r="AY138" i="14"/>
  <c r="AY131" i="14"/>
  <c r="AY134" i="14"/>
  <c r="AY136" i="14"/>
  <c r="AZ126" i="14"/>
  <c r="AZ328" i="14"/>
  <c r="AZ326" i="14"/>
  <c r="AZ324" i="14"/>
  <c r="AZ325" i="14"/>
  <c r="AZ322" i="14"/>
  <c r="AZ327" i="14"/>
  <c r="AZ323" i="14"/>
  <c r="BA315" i="14"/>
  <c r="BG89" i="14"/>
  <c r="BF94" i="14"/>
  <c r="BE104" i="14"/>
  <c r="BE103" i="14"/>
  <c r="BE107" i="14"/>
  <c r="BE106" i="14"/>
  <c r="J119" i="14" s="1"/>
  <c r="BE102" i="14"/>
  <c r="BE105" i="14"/>
  <c r="BE101" i="14"/>
  <c r="AE115" i="14"/>
  <c r="AY846" i="14"/>
  <c r="AY847" i="14"/>
  <c r="AY843" i="14"/>
  <c r="AY849" i="14"/>
  <c r="AY848" i="14"/>
  <c r="AY845" i="14"/>
  <c r="AY844" i="14"/>
  <c r="AY842" i="14"/>
  <c r="AY868" i="14"/>
  <c r="AZ836" i="14"/>
  <c r="AX874" i="14"/>
  <c r="AX881" i="14"/>
  <c r="AX876" i="14"/>
  <c r="AX875" i="14"/>
  <c r="AX877" i="14"/>
  <c r="AX879" i="14"/>
  <c r="AX878" i="14"/>
  <c r="AX880" i="14"/>
  <c r="AX873" i="14"/>
  <c r="BD287" i="14"/>
  <c r="BD283" i="14"/>
  <c r="BD286" i="14"/>
  <c r="BD280" i="14"/>
  <c r="BU1364" i="14"/>
  <c r="BT1369" i="14"/>
  <c r="BE288" i="14"/>
  <c r="AH301" i="14" s="1"/>
  <c r="BE287" i="14"/>
  <c r="BC801" i="14"/>
  <c r="BC805" i="14"/>
  <c r="BD796" i="14"/>
  <c r="BD808" i="14" s="1"/>
  <c r="BE282" i="14"/>
  <c r="AM295" i="14" s="1"/>
  <c r="BE286" i="14"/>
  <c r="BE283" i="14"/>
  <c r="BC803" i="14"/>
  <c r="BC802" i="14"/>
  <c r="BC804" i="14"/>
  <c r="BC809" i="14"/>
  <c r="BC806" i="14"/>
  <c r="BC807" i="14"/>
  <c r="BE284" i="14"/>
  <c r="BC297" i="14" s="1"/>
  <c r="BE281" i="14"/>
  <c r="V294" i="14" s="1"/>
  <c r="BE280" i="14"/>
  <c r="BI310" i="14"/>
  <c r="AY262" i="14"/>
  <c r="BQ262" i="14"/>
  <c r="Z262" i="14"/>
  <c r="AI262" i="14"/>
  <c r="BH262" i="14"/>
  <c r="R262" i="14"/>
  <c r="T262" i="14"/>
  <c r="AP262" i="14"/>
  <c r="W262" i="14"/>
  <c r="AR262" i="14"/>
  <c r="AN262" i="14"/>
  <c r="Y262" i="14"/>
  <c r="V262" i="14"/>
  <c r="AE262" i="14"/>
  <c r="BB262" i="14"/>
  <c r="M262" i="14"/>
  <c r="AQ262" i="14"/>
  <c r="N262" i="14"/>
  <c r="AH262" i="14"/>
  <c r="BV262" i="14"/>
  <c r="U262" i="14"/>
  <c r="AA262" i="14"/>
  <c r="BJ262" i="14"/>
  <c r="BS262" i="14"/>
  <c r="X262" i="14"/>
  <c r="BR262" i="14"/>
  <c r="BE262" i="14"/>
  <c r="AO262" i="14"/>
  <c r="AL262" i="14"/>
  <c r="I262" i="14"/>
  <c r="BD262" i="14"/>
  <c r="AV262" i="14"/>
  <c r="BU262" i="14"/>
  <c r="AM262" i="14"/>
  <c r="BN262" i="14"/>
  <c r="BK262" i="14"/>
  <c r="BY262" i="14"/>
  <c r="BP262" i="14"/>
  <c r="AG262" i="14"/>
  <c r="J262" i="14"/>
  <c r="H262" i="14"/>
  <c r="AT262" i="14"/>
  <c r="AS262" i="14"/>
  <c r="BF262" i="14"/>
  <c r="K262" i="14"/>
  <c r="S262" i="14"/>
  <c r="BL262" i="14"/>
  <c r="AU262" i="14"/>
  <c r="AF262" i="14"/>
  <c r="BG262" i="14"/>
  <c r="BI262" i="14"/>
  <c r="BT262" i="14"/>
  <c r="AK262" i="14"/>
  <c r="AB262" i="14"/>
  <c r="AJ262" i="14"/>
  <c r="O262" i="14"/>
  <c r="L262" i="14"/>
  <c r="AD262" i="14"/>
  <c r="BA262" i="14"/>
  <c r="AZ262" i="14"/>
  <c r="Q262" i="14"/>
  <c r="BO262" i="14"/>
  <c r="BX262" i="14"/>
  <c r="BM262" i="14"/>
  <c r="AX262" i="14"/>
  <c r="AC262" i="14"/>
  <c r="AW262" i="14"/>
  <c r="BW262" i="14"/>
  <c r="BC262" i="14"/>
  <c r="P262" i="14"/>
  <c r="AV268" i="14"/>
  <c r="BB268" i="14"/>
  <c r="AA268" i="14"/>
  <c r="AQ268" i="14"/>
  <c r="J268" i="14"/>
  <c r="BR268" i="14"/>
  <c r="BD268" i="14"/>
  <c r="H268" i="14"/>
  <c r="BU268" i="14"/>
  <c r="X268" i="14"/>
  <c r="AZ268" i="14"/>
  <c r="AT268" i="14"/>
  <c r="BH268" i="14"/>
  <c r="Y268" i="14"/>
  <c r="BN268" i="14"/>
  <c r="AJ268" i="14"/>
  <c r="BY268" i="14"/>
  <c r="AB268" i="14"/>
  <c r="AK268" i="14"/>
  <c r="BP268" i="14"/>
  <c r="AE268" i="14"/>
  <c r="BM268" i="14"/>
  <c r="Z268" i="14"/>
  <c r="AR268" i="14"/>
  <c r="BO268" i="14"/>
  <c r="BA268" i="14"/>
  <c r="BK268" i="14"/>
  <c r="W268" i="14"/>
  <c r="BX268" i="14"/>
  <c r="BF268" i="14"/>
  <c r="BG268" i="14"/>
  <c r="BE268" i="14"/>
  <c r="AN268" i="14"/>
  <c r="AC268" i="14"/>
  <c r="R268" i="14"/>
  <c r="O268" i="14"/>
  <c r="BI268" i="14"/>
  <c r="N268" i="14"/>
  <c r="L268" i="14"/>
  <c r="AD268" i="14"/>
  <c r="AF268" i="14"/>
  <c r="V268" i="14"/>
  <c r="S268" i="14"/>
  <c r="U268" i="14"/>
  <c r="AM268" i="14"/>
  <c r="AY268" i="14"/>
  <c r="BQ268" i="14"/>
  <c r="AW268" i="14"/>
  <c r="AO268" i="14"/>
  <c r="BV268" i="14"/>
  <c r="Q268" i="14"/>
  <c r="P268" i="14"/>
  <c r="BC268" i="14"/>
  <c r="AS268" i="14"/>
  <c r="AX268" i="14"/>
  <c r="I268" i="14"/>
  <c r="BL268" i="14"/>
  <c r="M268" i="14"/>
  <c r="AH268" i="14"/>
  <c r="T268" i="14"/>
  <c r="BW268" i="14"/>
  <c r="BT268" i="14"/>
  <c r="AL268" i="14"/>
  <c r="BJ268" i="14"/>
  <c r="K268" i="14"/>
  <c r="AP268" i="14"/>
  <c r="AG268" i="14"/>
  <c r="BS268" i="14"/>
  <c r="AI268" i="14"/>
  <c r="AU268" i="14"/>
  <c r="AG267" i="14"/>
  <c r="Y267" i="14"/>
  <c r="BG267" i="14"/>
  <c r="AF267" i="14"/>
  <c r="O267" i="14"/>
  <c r="AP267" i="14"/>
  <c r="U267" i="14"/>
  <c r="BM267" i="14"/>
  <c r="K267" i="14"/>
  <c r="S267" i="14"/>
  <c r="BU267" i="14"/>
  <c r="AK267" i="14"/>
  <c r="BN267" i="14"/>
  <c r="AN267" i="14"/>
  <c r="AE267" i="14"/>
  <c r="AQ267" i="14"/>
  <c r="BO267" i="14"/>
  <c r="BI267" i="14"/>
  <c r="BR267" i="14"/>
  <c r="W267" i="14"/>
  <c r="AY267" i="14"/>
  <c r="AB267" i="14"/>
  <c r="BW267" i="14"/>
  <c r="AC267" i="14"/>
  <c r="BQ267" i="14"/>
  <c r="P267" i="14"/>
  <c r="AA267" i="14"/>
  <c r="AR267" i="14"/>
  <c r="L267" i="14"/>
  <c r="AZ267" i="14"/>
  <c r="AT267" i="14"/>
  <c r="H267" i="14"/>
  <c r="T267" i="14"/>
  <c r="J267" i="14"/>
  <c r="AD267" i="14"/>
  <c r="I267" i="14"/>
  <c r="BV267" i="14"/>
  <c r="BB267" i="14"/>
  <c r="AS267" i="14"/>
  <c r="BX267" i="14"/>
  <c r="BF267" i="14"/>
  <c r="BC267" i="14"/>
  <c r="AM267" i="14"/>
  <c r="BS267" i="14"/>
  <c r="M267" i="14"/>
  <c r="AO267" i="14"/>
  <c r="BE267" i="14"/>
  <c r="N267" i="14"/>
  <c r="AW267" i="14"/>
  <c r="V267" i="14"/>
  <c r="BY267" i="14"/>
  <c r="R267" i="14"/>
  <c r="Z267" i="14"/>
  <c r="BD267" i="14"/>
  <c r="AV267" i="14"/>
  <c r="BA267" i="14"/>
  <c r="X267" i="14"/>
  <c r="BL267" i="14"/>
  <c r="AU267" i="14"/>
  <c r="BK267" i="14"/>
  <c r="BP267" i="14"/>
  <c r="Q267" i="14"/>
  <c r="AH267" i="14"/>
  <c r="AI267" i="14"/>
  <c r="BH267" i="14"/>
  <c r="AJ267" i="14"/>
  <c r="BT267" i="14"/>
  <c r="AX267" i="14"/>
  <c r="AL267" i="14"/>
  <c r="BJ267" i="14"/>
  <c r="BG243" i="14"/>
  <c r="BH238" i="14"/>
  <c r="AW269" i="14"/>
  <c r="AE269" i="14"/>
  <c r="AB269" i="14"/>
  <c r="N269" i="14"/>
  <c r="AC269" i="14"/>
  <c r="AG269" i="14"/>
  <c r="AD269" i="14"/>
  <c r="BL269" i="14"/>
  <c r="BS269" i="14"/>
  <c r="BA269" i="14"/>
  <c r="AP269" i="14"/>
  <c r="U269" i="14"/>
  <c r="BX269" i="14"/>
  <c r="BI269" i="14"/>
  <c r="AF269" i="14"/>
  <c r="P269" i="14"/>
  <c r="AM269" i="14"/>
  <c r="BF269" i="14"/>
  <c r="J269" i="14"/>
  <c r="V269" i="14"/>
  <c r="AX269" i="14"/>
  <c r="BT269" i="14"/>
  <c r="BH269" i="14"/>
  <c r="AT269" i="14"/>
  <c r="BB269" i="14"/>
  <c r="AY269" i="14"/>
  <c r="AZ269" i="14"/>
  <c r="BP269" i="14"/>
  <c r="BR269" i="14"/>
  <c r="X269" i="14"/>
  <c r="BN269" i="14"/>
  <c r="Z269" i="14"/>
  <c r="BO269" i="14"/>
  <c r="R269" i="14"/>
  <c r="H269" i="14"/>
  <c r="AS269" i="14"/>
  <c r="AI269" i="14"/>
  <c r="BQ269" i="14"/>
  <c r="BW269" i="14"/>
  <c r="I269" i="14"/>
  <c r="Q269" i="14"/>
  <c r="BU269" i="14"/>
  <c r="K269" i="14"/>
  <c r="AK269" i="14"/>
  <c r="BJ269" i="14"/>
  <c r="AQ269" i="14"/>
  <c r="AL269" i="14"/>
  <c r="W269" i="14"/>
  <c r="AU269" i="14"/>
  <c r="T269" i="14"/>
  <c r="BE269" i="14"/>
  <c r="BD269" i="14"/>
  <c r="AN269" i="14"/>
  <c r="BC269" i="14"/>
  <c r="BG269" i="14"/>
  <c r="M269" i="14"/>
  <c r="BY269" i="14"/>
  <c r="Y269" i="14"/>
  <c r="AR269" i="14"/>
  <c r="AO269" i="14"/>
  <c r="AA269" i="14"/>
  <c r="BV269" i="14"/>
  <c r="AH269" i="14"/>
  <c r="BK269" i="14"/>
  <c r="BM269" i="14"/>
  <c r="S269" i="14"/>
  <c r="AJ269" i="14"/>
  <c r="O269" i="14"/>
  <c r="AV269" i="14"/>
  <c r="L269" i="14"/>
  <c r="BF253" i="14"/>
  <c r="BF254" i="14"/>
  <c r="BF252" i="14"/>
  <c r="BF251" i="14"/>
  <c r="BF255" i="14"/>
  <c r="BF256" i="14"/>
  <c r="BF250" i="14"/>
  <c r="BF249" i="14"/>
  <c r="BE764" i="14"/>
  <c r="BF759" i="14"/>
  <c r="BA266" i="14"/>
  <c r="N266" i="14"/>
  <c r="BU266" i="14"/>
  <c r="BN266" i="14"/>
  <c r="BK266" i="14"/>
  <c r="P266" i="14"/>
  <c r="AP266" i="14"/>
  <c r="AU266" i="14"/>
  <c r="BL266" i="14"/>
  <c r="K266" i="14"/>
  <c r="BE266" i="14"/>
  <c r="BT266" i="14"/>
  <c r="AR266" i="14"/>
  <c r="AN266" i="14"/>
  <c r="AG266" i="14"/>
  <c r="AS266" i="14"/>
  <c r="AA266" i="14"/>
  <c r="BJ266" i="14"/>
  <c r="AO266" i="14"/>
  <c r="BY266" i="14"/>
  <c r="AX266" i="14"/>
  <c r="U266" i="14"/>
  <c r="V266" i="14"/>
  <c r="M266" i="14"/>
  <c r="AC266" i="14"/>
  <c r="BW266" i="14"/>
  <c r="AT266" i="14"/>
  <c r="BR266" i="14"/>
  <c r="AQ266" i="14"/>
  <c r="T266" i="14"/>
  <c r="I266" i="14"/>
  <c r="AJ266" i="14"/>
  <c r="AF266" i="14"/>
  <c r="AE266" i="14"/>
  <c r="AM266" i="14"/>
  <c r="BO266" i="14"/>
  <c r="AV266" i="14"/>
  <c r="BX266" i="14"/>
  <c r="BH266" i="14"/>
  <c r="AB266" i="14"/>
  <c r="S266" i="14"/>
  <c r="BP266" i="14"/>
  <c r="BG266" i="14"/>
  <c r="BV266" i="14"/>
  <c r="BM266" i="14"/>
  <c r="BB266" i="14"/>
  <c r="O266" i="14"/>
  <c r="AK266" i="14"/>
  <c r="AZ266" i="14"/>
  <c r="L266" i="14"/>
  <c r="Z266" i="14"/>
  <c r="Q266" i="14"/>
  <c r="AL266" i="14"/>
  <c r="Y266" i="14"/>
  <c r="BC266" i="14"/>
  <c r="BS266" i="14"/>
  <c r="AD266" i="14"/>
  <c r="BD266" i="14"/>
  <c r="AW266" i="14"/>
  <c r="R266" i="14"/>
  <c r="AI266" i="14"/>
  <c r="W266" i="14"/>
  <c r="H266" i="14"/>
  <c r="BF266" i="14"/>
  <c r="AH266" i="14"/>
  <c r="X266" i="14"/>
  <c r="AY266" i="14"/>
  <c r="BI266" i="14"/>
  <c r="J266" i="14"/>
  <c r="BQ266" i="14"/>
  <c r="BF275" i="14"/>
  <c r="BE264" i="14"/>
  <c r="BU264" i="14"/>
  <c r="BR264" i="14"/>
  <c r="BF264" i="14"/>
  <c r="BJ264" i="14"/>
  <c r="BH264" i="14"/>
  <c r="AX264" i="14"/>
  <c r="AC264" i="14"/>
  <c r="X264" i="14"/>
  <c r="AR264" i="14"/>
  <c r="BV264" i="14"/>
  <c r="M264" i="14"/>
  <c r="BT264" i="14"/>
  <c r="AV264" i="14"/>
  <c r="S264" i="14"/>
  <c r="AW264" i="14"/>
  <c r="L264" i="14"/>
  <c r="AS264" i="14"/>
  <c r="BB264" i="14"/>
  <c r="BP264" i="14"/>
  <c r="J264" i="14"/>
  <c r="AO264" i="14"/>
  <c r="BI264" i="14"/>
  <c r="P264" i="14"/>
  <c r="BS264" i="14"/>
  <c r="AM264" i="14"/>
  <c r="AI264" i="14"/>
  <c r="BA264" i="14"/>
  <c r="AJ264" i="14"/>
  <c r="AP264" i="14"/>
  <c r="Q264" i="14"/>
  <c r="BO264" i="14"/>
  <c r="AN264" i="14"/>
  <c r="AB264" i="14"/>
  <c r="BX264" i="14"/>
  <c r="Y264" i="14"/>
  <c r="BG264" i="14"/>
  <c r="BM264" i="14"/>
  <c r="AD264" i="14"/>
  <c r="BD264" i="14"/>
  <c r="AG264" i="14"/>
  <c r="AL264" i="14"/>
  <c r="BY264" i="14"/>
  <c r="BC264" i="14"/>
  <c r="AK264" i="14"/>
  <c r="I264" i="14"/>
  <c r="AE264" i="14"/>
  <c r="AH264" i="14"/>
  <c r="BN264" i="14"/>
  <c r="H264" i="14"/>
  <c r="AZ264" i="14"/>
  <c r="BL264" i="14"/>
  <c r="N264" i="14"/>
  <c r="V264" i="14"/>
  <c r="AT264" i="14"/>
  <c r="BW264" i="14"/>
  <c r="BQ264" i="14"/>
  <c r="R264" i="14"/>
  <c r="AA264" i="14"/>
  <c r="T264" i="14"/>
  <c r="K264" i="14"/>
  <c r="AF264" i="14"/>
  <c r="AY264" i="14"/>
  <c r="Z264" i="14"/>
  <c r="W264" i="14"/>
  <c r="AQ264" i="14"/>
  <c r="O264" i="14"/>
  <c r="BK264" i="14"/>
  <c r="U264" i="14"/>
  <c r="AU264" i="14"/>
  <c r="AB263" i="14"/>
  <c r="BV263" i="14"/>
  <c r="AW263" i="14"/>
  <c r="AF263" i="14"/>
  <c r="H263" i="14"/>
  <c r="AC263" i="14"/>
  <c r="BS263" i="14"/>
  <c r="AH263" i="14"/>
  <c r="BB263" i="14"/>
  <c r="AD263" i="14"/>
  <c r="AX263" i="14"/>
  <c r="BN263" i="14"/>
  <c r="AR263" i="14"/>
  <c r="AT263" i="14"/>
  <c r="U263" i="14"/>
  <c r="AN263" i="14"/>
  <c r="W263" i="14"/>
  <c r="BL263" i="14"/>
  <c r="BE263" i="14"/>
  <c r="J263" i="14"/>
  <c r="AA263" i="14"/>
  <c r="AS263" i="14"/>
  <c r="Z263" i="14"/>
  <c r="R263" i="14"/>
  <c r="BC263" i="14"/>
  <c r="BF263" i="14"/>
  <c r="O263" i="14"/>
  <c r="AL263" i="14"/>
  <c r="BX263" i="14"/>
  <c r="BT263" i="14"/>
  <c r="BG263" i="14"/>
  <c r="N263" i="14"/>
  <c r="BO263" i="14"/>
  <c r="BR263" i="14"/>
  <c r="BD263" i="14"/>
  <c r="M263" i="14"/>
  <c r="AJ263" i="14"/>
  <c r="BU263" i="14"/>
  <c r="AP263" i="14"/>
  <c r="I263" i="14"/>
  <c r="BW263" i="14"/>
  <c r="BM263" i="14"/>
  <c r="L263" i="14"/>
  <c r="AI263" i="14"/>
  <c r="Y263" i="14"/>
  <c r="Q263" i="14"/>
  <c r="AG263" i="14"/>
  <c r="AV263" i="14"/>
  <c r="AY263" i="14"/>
  <c r="AZ263" i="14"/>
  <c r="BK263" i="14"/>
  <c r="BH263" i="14"/>
  <c r="BI263" i="14"/>
  <c r="BA263" i="14"/>
  <c r="BY263" i="14"/>
  <c r="V263" i="14"/>
  <c r="BQ263" i="14"/>
  <c r="P263" i="14"/>
  <c r="BP263" i="14"/>
  <c r="S263" i="14"/>
  <c r="K263" i="14"/>
  <c r="AK263" i="14"/>
  <c r="AQ263" i="14"/>
  <c r="AE263" i="14"/>
  <c r="T263" i="14"/>
  <c r="BJ263" i="14"/>
  <c r="AU263" i="14"/>
  <c r="AM263" i="14"/>
  <c r="X263" i="14"/>
  <c r="AO263" i="14"/>
  <c r="BV265" i="14"/>
  <c r="BW265" i="14"/>
  <c r="M265" i="14"/>
  <c r="AP265" i="14"/>
  <c r="O265" i="14"/>
  <c r="AF265" i="14"/>
  <c r="AW265" i="14"/>
  <c r="AQ265" i="14"/>
  <c r="AI265" i="14"/>
  <c r="AG265" i="14"/>
  <c r="AR265" i="14"/>
  <c r="BT265" i="14"/>
  <c r="BM265" i="14"/>
  <c r="AA265" i="14"/>
  <c r="N265" i="14"/>
  <c r="AD265" i="14"/>
  <c r="BB265" i="14"/>
  <c r="L265" i="14"/>
  <c r="AK265" i="14"/>
  <c r="BU265" i="14"/>
  <c r="BG265" i="14"/>
  <c r="AH265" i="14"/>
  <c r="J265" i="14"/>
  <c r="BF265" i="14"/>
  <c r="T265" i="14"/>
  <c r="AZ265" i="14"/>
  <c r="BC265" i="14"/>
  <c r="BE265" i="14"/>
  <c r="AL265" i="14"/>
  <c r="BK265" i="14"/>
  <c r="BO265" i="14"/>
  <c r="V265" i="14"/>
  <c r="BN265" i="14"/>
  <c r="R265" i="14"/>
  <c r="Z265" i="14"/>
  <c r="AN265" i="14"/>
  <c r="AO265" i="14"/>
  <c r="AM265" i="14"/>
  <c r="BH265" i="14"/>
  <c r="AV265" i="14"/>
  <c r="BP265" i="14"/>
  <c r="AS265" i="14"/>
  <c r="BX265" i="14"/>
  <c r="AT265" i="14"/>
  <c r="W265" i="14"/>
  <c r="S265" i="14"/>
  <c r="AU265" i="14"/>
  <c r="Q265" i="14"/>
  <c r="BS265" i="14"/>
  <c r="I265" i="14"/>
  <c r="BY265" i="14"/>
  <c r="AJ265" i="14"/>
  <c r="AY265" i="14"/>
  <c r="K265" i="14"/>
  <c r="AC265" i="14"/>
  <c r="U265" i="14"/>
  <c r="AB265" i="14"/>
  <c r="BQ265" i="14"/>
  <c r="AX265" i="14"/>
  <c r="BR265" i="14"/>
  <c r="BI265" i="14"/>
  <c r="BL265" i="14"/>
  <c r="Y265" i="14"/>
  <c r="BD265" i="14"/>
  <c r="BJ265" i="14"/>
  <c r="AE265" i="14"/>
  <c r="X265" i="14"/>
  <c r="BA265" i="14"/>
  <c r="H265" i="14"/>
  <c r="P265" i="14"/>
  <c r="BD775" i="14"/>
  <c r="BD773" i="14"/>
  <c r="BD776" i="14"/>
  <c r="BD777" i="14"/>
  <c r="BD771" i="14"/>
  <c r="BD772" i="14"/>
  <c r="BD774" i="14"/>
  <c r="V298" i="14"/>
  <c r="AE298" i="14"/>
  <c r="AJ298" i="14"/>
  <c r="BW298" i="14"/>
  <c r="AP298" i="14"/>
  <c r="AR298" i="14"/>
  <c r="BE298" i="14"/>
  <c r="P298" i="14"/>
  <c r="BR298" i="14"/>
  <c r="X298" i="14"/>
  <c r="BP298" i="14"/>
  <c r="BG298" i="14"/>
  <c r="M298" i="14"/>
  <c r="AH298" i="14"/>
  <c r="AF298" i="14"/>
  <c r="O298" i="14"/>
  <c r="BX298" i="14"/>
  <c r="W298" i="14"/>
  <c r="BV298" i="14"/>
  <c r="AS298" i="14"/>
  <c r="BQ298" i="14"/>
  <c r="AX298" i="14"/>
  <c r="BK298" i="14"/>
  <c r="AG298" i="14"/>
  <c r="AK298" i="14"/>
  <c r="BN298" i="14"/>
  <c r="BH298" i="14"/>
  <c r="AV298" i="14"/>
  <c r="BB298" i="14"/>
  <c r="BO298" i="14"/>
  <c r="K298" i="14"/>
  <c r="BI115" i="14" l="1"/>
  <c r="BH115" i="14"/>
  <c r="AM117" i="14"/>
  <c r="BG117" i="14"/>
  <c r="X117" i="14"/>
  <c r="AC117" i="14"/>
  <c r="K115" i="14"/>
  <c r="AT115" i="14"/>
  <c r="BW115" i="14"/>
  <c r="P115" i="14"/>
  <c r="AJ115" i="14"/>
  <c r="BD298" i="14"/>
  <c r="I298" i="14"/>
  <c r="AI298" i="14"/>
  <c r="Q298" i="14"/>
  <c r="AZ298" i="14"/>
  <c r="AD298" i="14"/>
  <c r="BL298" i="14"/>
  <c r="Y298" i="14"/>
  <c r="BT298" i="14"/>
  <c r="U298" i="14"/>
  <c r="AL298" i="14"/>
  <c r="S298" i="14"/>
  <c r="T298" i="14"/>
  <c r="R298" i="14"/>
  <c r="AA298" i="14"/>
  <c r="BS298" i="14"/>
  <c r="AC298" i="14"/>
  <c r="AN298" i="14"/>
  <c r="BM298" i="14"/>
  <c r="AT298" i="14"/>
  <c r="BJ298" i="14"/>
  <c r="N298" i="14"/>
  <c r="BF298" i="14"/>
  <c r="BU298" i="14"/>
  <c r="AU298" i="14"/>
  <c r="Z298" i="14"/>
  <c r="AB298" i="14"/>
  <c r="J298" i="14"/>
  <c r="AO298" i="14"/>
  <c r="BA298" i="14"/>
  <c r="BC298" i="14"/>
  <c r="AY298" i="14"/>
  <c r="AW298" i="14"/>
  <c r="L298" i="14"/>
  <c r="AM298" i="14"/>
  <c r="AQ298" i="14"/>
  <c r="BI298" i="14"/>
  <c r="H298" i="14"/>
  <c r="AE117" i="14"/>
  <c r="BU117" i="14"/>
  <c r="AA117" i="14"/>
  <c r="L296" i="14"/>
  <c r="BT117" i="14"/>
  <c r="AJ117" i="14"/>
  <c r="AY117" i="14"/>
  <c r="BH117" i="14"/>
  <c r="BC117" i="14"/>
  <c r="BA117" i="14"/>
  <c r="O117" i="14"/>
  <c r="AZ117" i="14"/>
  <c r="BP117" i="14"/>
  <c r="Z117" i="14"/>
  <c r="AT117" i="14"/>
  <c r="AD117" i="14"/>
  <c r="BS117" i="14"/>
  <c r="AO117" i="14"/>
  <c r="AN117" i="14"/>
  <c r="J300" i="14"/>
  <c r="T117" i="14"/>
  <c r="BX117" i="14"/>
  <c r="BN117" i="14"/>
  <c r="BQ293" i="14"/>
  <c r="AV115" i="14"/>
  <c r="BK117" i="14"/>
  <c r="AK115" i="14"/>
  <c r="AP117" i="14"/>
  <c r="AB117" i="14"/>
  <c r="AS117" i="14"/>
  <c r="BK115" i="14"/>
  <c r="O115" i="14"/>
  <c r="AW115" i="14"/>
  <c r="BF115" i="14"/>
  <c r="AN115" i="14"/>
  <c r="BJ115" i="14"/>
  <c r="L117" i="14"/>
  <c r="AA115" i="14"/>
  <c r="BO117" i="14"/>
  <c r="BD117" i="14"/>
  <c r="Y115" i="14"/>
  <c r="L115" i="14"/>
  <c r="BR117" i="14"/>
  <c r="AG115" i="14"/>
  <c r="BX115" i="14"/>
  <c r="I115" i="14"/>
  <c r="AL117" i="14"/>
  <c r="AQ117" i="14"/>
  <c r="M115" i="14"/>
  <c r="BQ117" i="14"/>
  <c r="U117" i="14"/>
  <c r="AH117" i="14"/>
  <c r="I117" i="14"/>
  <c r="Q117" i="14"/>
  <c r="BF104" i="14"/>
  <c r="BF103" i="14"/>
  <c r="BF106" i="14"/>
  <c r="BF101" i="14"/>
  <c r="BF105" i="14"/>
  <c r="BF107" i="14"/>
  <c r="BF102" i="14"/>
  <c r="BG94" i="14"/>
  <c r="BH89" i="14"/>
  <c r="BV115" i="14"/>
  <c r="BE115" i="14"/>
  <c r="BT115" i="14"/>
  <c r="AZ131" i="14"/>
  <c r="AZ136" i="14"/>
  <c r="AZ132" i="14"/>
  <c r="AZ137" i="14"/>
  <c r="AZ133" i="14"/>
  <c r="AZ135" i="14"/>
  <c r="AZ134" i="14"/>
  <c r="AZ139" i="14"/>
  <c r="AZ138" i="14"/>
  <c r="AR115" i="14"/>
  <c r="BJ117" i="14"/>
  <c r="BL117" i="14"/>
  <c r="AM114" i="14"/>
  <c r="BL114" i="14"/>
  <c r="AK114" i="14"/>
  <c r="AG114" i="14"/>
  <c r="BM114" i="14"/>
  <c r="Z114" i="14"/>
  <c r="R114" i="14"/>
  <c r="AX114" i="14"/>
  <c r="BW114" i="14"/>
  <c r="J114" i="14"/>
  <c r="BV114" i="14"/>
  <c r="BS114" i="14"/>
  <c r="T114" i="14"/>
  <c r="BU114" i="14"/>
  <c r="BR114" i="14"/>
  <c r="BX114" i="14"/>
  <c r="BB114" i="14"/>
  <c r="P114" i="14"/>
  <c r="AP114" i="14"/>
  <c r="BO114" i="14"/>
  <c r="BN114" i="14"/>
  <c r="U114" i="14"/>
  <c r="AE114" i="14"/>
  <c r="BJ114" i="14"/>
  <c r="AO114" i="14"/>
  <c r="V114" i="14"/>
  <c r="Y114" i="14"/>
  <c r="AR114" i="14"/>
  <c r="AJ114" i="14"/>
  <c r="AW114" i="14"/>
  <c r="BK114" i="14"/>
  <c r="K114" i="14"/>
  <c r="BD114" i="14"/>
  <c r="AD114" i="14"/>
  <c r="AI114" i="14"/>
  <c r="AS114" i="14"/>
  <c r="BF114" i="14"/>
  <c r="AH114" i="14"/>
  <c r="BT114" i="14"/>
  <c r="AN114" i="14"/>
  <c r="AU114" i="14"/>
  <c r="N114" i="14"/>
  <c r="S114" i="14"/>
  <c r="AL114" i="14"/>
  <c r="AQ114" i="14"/>
  <c r="AB114" i="14"/>
  <c r="AT114" i="14"/>
  <c r="AV114" i="14"/>
  <c r="BE114" i="14"/>
  <c r="BY114" i="14"/>
  <c r="AY114" i="14"/>
  <c r="BG114" i="14"/>
  <c r="H114" i="14"/>
  <c r="X114" i="14"/>
  <c r="BQ114" i="14"/>
  <c r="M114" i="14"/>
  <c r="Q114" i="14"/>
  <c r="O114" i="14"/>
  <c r="I114" i="14"/>
  <c r="BI114" i="14"/>
  <c r="AC114" i="14"/>
  <c r="W114" i="14"/>
  <c r="AZ114" i="14"/>
  <c r="AF114" i="14"/>
  <c r="L114" i="14"/>
  <c r="BC114" i="14"/>
  <c r="BP114" i="14"/>
  <c r="BH114" i="14"/>
  <c r="BA114" i="14"/>
  <c r="AA114" i="14"/>
  <c r="AM115" i="14"/>
  <c r="AH115" i="14"/>
  <c r="BD115" i="14"/>
  <c r="BM117" i="14"/>
  <c r="BB118" i="14"/>
  <c r="AL118" i="14"/>
  <c r="V118" i="14"/>
  <c r="AT118" i="14"/>
  <c r="J118" i="14"/>
  <c r="N118" i="14"/>
  <c r="R118" i="14"/>
  <c r="BO118" i="14"/>
  <c r="BF118" i="14"/>
  <c r="AE118" i="14"/>
  <c r="T118" i="14"/>
  <c r="AB118" i="14"/>
  <c r="AY118" i="14"/>
  <c r="Q118" i="14"/>
  <c r="L118" i="14"/>
  <c r="BU118" i="14"/>
  <c r="Y118" i="14"/>
  <c r="M118" i="14"/>
  <c r="BE118" i="14"/>
  <c r="W118" i="14"/>
  <c r="BX118" i="14"/>
  <c r="AF118" i="14"/>
  <c r="AR118" i="14"/>
  <c r="AO118" i="14"/>
  <c r="O118" i="14"/>
  <c r="S118" i="14"/>
  <c r="AD118" i="14"/>
  <c r="BP118" i="14"/>
  <c r="P118" i="14"/>
  <c r="AH118" i="14"/>
  <c r="BH118" i="14"/>
  <c r="BD118" i="14"/>
  <c r="AQ118" i="14"/>
  <c r="AC118" i="14"/>
  <c r="AK118" i="14"/>
  <c r="AX118" i="14"/>
  <c r="BY118" i="14"/>
  <c r="AP118" i="14"/>
  <c r="K118" i="14"/>
  <c r="BG118" i="14"/>
  <c r="AW118" i="14"/>
  <c r="AI118" i="14"/>
  <c r="BL118" i="14"/>
  <c r="BI118" i="14"/>
  <c r="H118" i="14"/>
  <c r="AU118" i="14"/>
  <c r="AG118" i="14"/>
  <c r="BQ118" i="14"/>
  <c r="BC118" i="14"/>
  <c r="AN118" i="14"/>
  <c r="AA118" i="14"/>
  <c r="BM118" i="14"/>
  <c r="BW118" i="14"/>
  <c r="BV118" i="14"/>
  <c r="BJ118" i="14"/>
  <c r="BK118" i="14"/>
  <c r="AM118" i="14"/>
  <c r="AS118" i="14"/>
  <c r="AV118" i="14"/>
  <c r="BR118" i="14"/>
  <c r="AJ118" i="14"/>
  <c r="BN118" i="14"/>
  <c r="Z118" i="14"/>
  <c r="U118" i="14"/>
  <c r="I118" i="14"/>
  <c r="BS118" i="14"/>
  <c r="X118" i="14"/>
  <c r="BA118" i="14"/>
  <c r="BT118" i="14"/>
  <c r="AZ118" i="14"/>
  <c r="BM115" i="14"/>
  <c r="BA126" i="14"/>
  <c r="Y117" i="14"/>
  <c r="AQ115" i="14"/>
  <c r="BC115" i="14"/>
  <c r="BR115" i="14"/>
  <c r="AL115" i="14"/>
  <c r="Z115" i="14"/>
  <c r="AZ115" i="14"/>
  <c r="J115" i="14"/>
  <c r="BL115" i="14"/>
  <c r="V115" i="14"/>
  <c r="AB115" i="14"/>
  <c r="BU115" i="14"/>
  <c r="N115" i="14"/>
  <c r="X115" i="14"/>
  <c r="AP115" i="14"/>
  <c r="AS115" i="14"/>
  <c r="AD115" i="14"/>
  <c r="BB115" i="14"/>
  <c r="S115" i="14"/>
  <c r="BP115" i="14"/>
  <c r="M117" i="14"/>
  <c r="AC120" i="14"/>
  <c r="AV120" i="14"/>
  <c r="AN120" i="14"/>
  <c r="AZ120" i="14"/>
  <c r="T120" i="14"/>
  <c r="S120" i="14"/>
  <c r="AQ120" i="14"/>
  <c r="BD120" i="14"/>
  <c r="N120" i="14"/>
  <c r="J120" i="14"/>
  <c r="BR120" i="14"/>
  <c r="BY120" i="14"/>
  <c r="AO120" i="14"/>
  <c r="BU120" i="14"/>
  <c r="BQ120" i="14"/>
  <c r="AU120" i="14"/>
  <c r="BK120" i="14"/>
  <c r="BC120" i="14"/>
  <c r="BO120" i="14"/>
  <c r="I120" i="14"/>
  <c r="AE120" i="14"/>
  <c r="Z120" i="14"/>
  <c r="AB120" i="14"/>
  <c r="BX120" i="14"/>
  <c r="BF120" i="14"/>
  <c r="BH120" i="14"/>
  <c r="BL120" i="14"/>
  <c r="AG120" i="14"/>
  <c r="AT120" i="14"/>
  <c r="BV120" i="14"/>
  <c r="P120" i="14"/>
  <c r="BS120" i="14"/>
  <c r="H120" i="14"/>
  <c r="O120" i="14"/>
  <c r="Q120" i="14"/>
  <c r="U120" i="14"/>
  <c r="AK120" i="14"/>
  <c r="BA120" i="14"/>
  <c r="BJ120" i="14"/>
  <c r="W120" i="14"/>
  <c r="AA120" i="14"/>
  <c r="AX120" i="14"/>
  <c r="AM120" i="14"/>
  <c r="Y120" i="14"/>
  <c r="BE120" i="14"/>
  <c r="BT120" i="14"/>
  <c r="AF120" i="14"/>
  <c r="BM120" i="14"/>
  <c r="AW120" i="14"/>
  <c r="X120" i="14"/>
  <c r="AL120" i="14"/>
  <c r="V120" i="14"/>
  <c r="BP120" i="14"/>
  <c r="AH120" i="14"/>
  <c r="M120" i="14"/>
  <c r="R120" i="14"/>
  <c r="BB120" i="14"/>
  <c r="K120" i="14"/>
  <c r="BN120" i="14"/>
  <c r="BG120" i="14"/>
  <c r="BW120" i="14"/>
  <c r="AY120" i="14"/>
  <c r="AR120" i="14"/>
  <c r="L120" i="14"/>
  <c r="AD120" i="14"/>
  <c r="AI120" i="14"/>
  <c r="BI120" i="14"/>
  <c r="AS120" i="14"/>
  <c r="AP120" i="14"/>
  <c r="AJ120" i="14"/>
  <c r="BQ115" i="14"/>
  <c r="BS115" i="14"/>
  <c r="AI117" i="14"/>
  <c r="W115" i="14"/>
  <c r="R115" i="14"/>
  <c r="BA326" i="14"/>
  <c r="BA327" i="14"/>
  <c r="BA322" i="14"/>
  <c r="BA328" i="14"/>
  <c r="BA323" i="14"/>
  <c r="BA324" i="14"/>
  <c r="BA325" i="14"/>
  <c r="AO115" i="14"/>
  <c r="AC115" i="14"/>
  <c r="AQ119" i="14"/>
  <c r="BO119" i="14"/>
  <c r="BW119" i="14"/>
  <c r="S119" i="14"/>
  <c r="Z119" i="14"/>
  <c r="AZ119" i="14"/>
  <c r="BF119" i="14"/>
  <c r="BG119" i="14"/>
  <c r="M119" i="14"/>
  <c r="AS119" i="14"/>
  <c r="K119" i="14"/>
  <c r="V119" i="14"/>
  <c r="R119" i="14"/>
  <c r="BM119" i="14"/>
  <c r="AL119" i="14"/>
  <c r="BK119" i="14"/>
  <c r="AU119" i="14"/>
  <c r="BU119" i="14"/>
  <c r="AC119" i="14"/>
  <c r="AJ119" i="14"/>
  <c r="BC119" i="14"/>
  <c r="BN119" i="14"/>
  <c r="AW119" i="14"/>
  <c r="H119" i="14"/>
  <c r="BX119" i="14"/>
  <c r="I119" i="14"/>
  <c r="AO119" i="14"/>
  <c r="BB119" i="14"/>
  <c r="BE119" i="14"/>
  <c r="AE119" i="14"/>
  <c r="AX119" i="14"/>
  <c r="BL119" i="14"/>
  <c r="BJ119" i="14"/>
  <c r="AY119" i="14"/>
  <c r="AP119" i="14"/>
  <c r="Q119" i="14"/>
  <c r="AD119" i="14"/>
  <c r="AF119" i="14"/>
  <c r="BY119" i="14"/>
  <c r="BT119" i="14"/>
  <c r="AK119" i="14"/>
  <c r="BD119" i="14"/>
  <c r="AG119" i="14"/>
  <c r="BI119" i="14"/>
  <c r="BA119" i="14"/>
  <c r="AN119" i="14"/>
  <c r="AH119" i="14"/>
  <c r="O119" i="14"/>
  <c r="N119" i="14"/>
  <c r="X119" i="14"/>
  <c r="BR119" i="14"/>
  <c r="W119" i="14"/>
  <c r="AB119" i="14"/>
  <c r="AT119" i="14"/>
  <c r="BH119" i="14"/>
  <c r="AI119" i="14"/>
  <c r="AA119" i="14"/>
  <c r="L119" i="14"/>
  <c r="T119" i="14"/>
  <c r="BQ119" i="14"/>
  <c r="AR119" i="14"/>
  <c r="U119" i="14"/>
  <c r="BP119" i="14"/>
  <c r="Y119" i="14"/>
  <c r="P119" i="14"/>
  <c r="AM119" i="14"/>
  <c r="J116" i="14"/>
  <c r="R116" i="14"/>
  <c r="BV116" i="14"/>
  <c r="AQ116" i="14"/>
  <c r="N116" i="14"/>
  <c r="BT116" i="14"/>
  <c r="AV116" i="14"/>
  <c r="BC116" i="14"/>
  <c r="AD116" i="14"/>
  <c r="BB116" i="14"/>
  <c r="BX116" i="14"/>
  <c r="BF116" i="14"/>
  <c r="BD116" i="14"/>
  <c r="U116" i="14"/>
  <c r="AN116" i="14"/>
  <c r="BS116" i="14"/>
  <c r="AZ116" i="14"/>
  <c r="BL116" i="14"/>
  <c r="AI116" i="14"/>
  <c r="M116" i="14"/>
  <c r="BM116" i="14"/>
  <c r="BK116" i="14"/>
  <c r="AW116" i="14"/>
  <c r="AR116" i="14"/>
  <c r="Y116" i="14"/>
  <c r="AY116" i="14"/>
  <c r="X116" i="14"/>
  <c r="AO116" i="14"/>
  <c r="S116" i="14"/>
  <c r="BY116" i="14"/>
  <c r="BJ116" i="14"/>
  <c r="AG116" i="14"/>
  <c r="W116" i="14"/>
  <c r="AS116" i="14"/>
  <c r="H116" i="14"/>
  <c r="AK116" i="14"/>
  <c r="AM116" i="14"/>
  <c r="O116" i="14"/>
  <c r="AF116" i="14"/>
  <c r="L116" i="14"/>
  <c r="AJ116" i="14"/>
  <c r="AX116" i="14"/>
  <c r="BO116" i="14"/>
  <c r="BI116" i="14"/>
  <c r="BH116" i="14"/>
  <c r="I116" i="14"/>
  <c r="BG116" i="14"/>
  <c r="BN116" i="14"/>
  <c r="AB116" i="14"/>
  <c r="AU116" i="14"/>
  <c r="BA116" i="14"/>
  <c r="AP116" i="14"/>
  <c r="AA116" i="14"/>
  <c r="P116" i="14"/>
  <c r="BW116" i="14"/>
  <c r="Q116" i="14"/>
  <c r="AE116" i="14"/>
  <c r="Z116" i="14"/>
  <c r="BP116" i="14"/>
  <c r="AT116" i="14"/>
  <c r="AL116" i="14"/>
  <c r="BQ116" i="14"/>
  <c r="BU116" i="14"/>
  <c r="K116" i="14"/>
  <c r="AH116" i="14"/>
  <c r="BR116" i="14"/>
  <c r="T116" i="14"/>
  <c r="AC116" i="14"/>
  <c r="V116" i="14"/>
  <c r="BE116" i="14"/>
  <c r="AU115" i="14"/>
  <c r="BA347" i="14"/>
  <c r="AZ356" i="14"/>
  <c r="AZ360" i="14"/>
  <c r="AZ358" i="14"/>
  <c r="AZ353" i="14"/>
  <c r="AZ357" i="14"/>
  <c r="AZ359" i="14"/>
  <c r="AZ352" i="14"/>
  <c r="AZ355" i="14"/>
  <c r="AZ354" i="14"/>
  <c r="AY115" i="14"/>
  <c r="P117" i="14"/>
  <c r="BI117" i="14"/>
  <c r="BB117" i="14"/>
  <c r="AR117" i="14"/>
  <c r="BA115" i="14"/>
  <c r="BF117" i="14"/>
  <c r="BN115" i="14"/>
  <c r="AW117" i="14"/>
  <c r="BY117" i="14"/>
  <c r="AU117" i="14"/>
  <c r="BV119" i="14"/>
  <c r="T115" i="14"/>
  <c r="AF117" i="14"/>
  <c r="R117" i="14"/>
  <c r="Q115" i="14"/>
  <c r="BV117" i="14"/>
  <c r="BB315" i="14"/>
  <c r="BS119" i="14"/>
  <c r="H115" i="14"/>
  <c r="K117" i="14"/>
  <c r="BG115" i="14"/>
  <c r="N117" i="14"/>
  <c r="H117" i="14"/>
  <c r="J117" i="14"/>
  <c r="BX299" i="14"/>
  <c r="AX117" i="14"/>
  <c r="V117" i="14"/>
  <c r="AG117" i="14"/>
  <c r="AF115" i="14"/>
  <c r="AK117" i="14"/>
  <c r="BY115" i="14"/>
  <c r="BE117" i="14"/>
  <c r="BW117" i="14"/>
  <c r="AV119" i="14"/>
  <c r="W117" i="14"/>
  <c r="AI115" i="14"/>
  <c r="AV117" i="14"/>
  <c r="U115" i="14"/>
  <c r="BO115" i="14"/>
  <c r="S117" i="14"/>
  <c r="AY358" i="14"/>
  <c r="AY354" i="14"/>
  <c r="AY353" i="14"/>
  <c r="AY357" i="14"/>
  <c r="AY355" i="14"/>
  <c r="AY352" i="14"/>
  <c r="AY360" i="14"/>
  <c r="AY359" i="14"/>
  <c r="AY356" i="14"/>
  <c r="AX115" i="14"/>
  <c r="AZ845" i="14"/>
  <c r="AZ848" i="14"/>
  <c r="AZ846" i="14"/>
  <c r="AZ844" i="14"/>
  <c r="AZ847" i="14"/>
  <c r="AZ843" i="14"/>
  <c r="AZ849" i="14"/>
  <c r="AZ842" i="14"/>
  <c r="AZ868" i="14"/>
  <c r="BA836" i="14"/>
  <c r="AY873" i="14"/>
  <c r="AY875" i="14"/>
  <c r="AY876" i="14"/>
  <c r="AY877" i="14"/>
  <c r="AY874" i="14"/>
  <c r="AY879" i="14"/>
  <c r="AY880" i="14"/>
  <c r="AY881" i="14"/>
  <c r="AY878" i="14"/>
  <c r="BV1364" i="14"/>
  <c r="BU1369" i="14"/>
  <c r="AE300" i="14"/>
  <c r="AW300" i="14"/>
  <c r="Y300" i="14"/>
  <c r="BI300" i="14"/>
  <c r="AS300" i="14"/>
  <c r="BG300" i="14"/>
  <c r="AF300" i="14"/>
  <c r="AQ301" i="14"/>
  <c r="AV301" i="14"/>
  <c r="BD301" i="14"/>
  <c r="AM301" i="14"/>
  <c r="BO301" i="14"/>
  <c r="BR301" i="14"/>
  <c r="BM301" i="14"/>
  <c r="T301" i="14"/>
  <c r="AC301" i="14"/>
  <c r="J301" i="14"/>
  <c r="AL301" i="14"/>
  <c r="X301" i="14"/>
  <c r="AB301" i="14"/>
  <c r="BT301" i="14"/>
  <c r="Q301" i="14"/>
  <c r="AO301" i="14"/>
  <c r="AR301" i="14"/>
  <c r="BG301" i="14"/>
  <c r="BB301" i="14"/>
  <c r="AF301" i="14"/>
  <c r="Y301" i="14"/>
  <c r="BQ301" i="14"/>
  <c r="AA301" i="14"/>
  <c r="BP301" i="14"/>
  <c r="AG301" i="14"/>
  <c r="W301" i="14"/>
  <c r="BF301" i="14"/>
  <c r="P301" i="14"/>
  <c r="U301" i="14"/>
  <c r="H295" i="14"/>
  <c r="BJ301" i="14"/>
  <c r="BI301" i="14"/>
  <c r="AN301" i="14"/>
  <c r="AX301" i="14"/>
  <c r="BV301" i="14"/>
  <c r="AI301" i="14"/>
  <c r="BX301" i="14"/>
  <c r="BY295" i="14"/>
  <c r="I301" i="14"/>
  <c r="BS301" i="14"/>
  <c r="AY301" i="14"/>
  <c r="BH301" i="14"/>
  <c r="BY301" i="14"/>
  <c r="BN301" i="14"/>
  <c r="BW301" i="14"/>
  <c r="AE301" i="14"/>
  <c r="I295" i="14"/>
  <c r="AK301" i="14"/>
  <c r="AU301" i="14"/>
  <c r="M301" i="14"/>
  <c r="AT301" i="14"/>
  <c r="O301" i="14"/>
  <c r="AP301" i="14"/>
  <c r="K301" i="14"/>
  <c r="AW301" i="14"/>
  <c r="BL301" i="14"/>
  <c r="H301" i="14"/>
  <c r="AD301" i="14"/>
  <c r="N301" i="14"/>
  <c r="BC301" i="14"/>
  <c r="BA301" i="14"/>
  <c r="BU301" i="14"/>
  <c r="S301" i="14"/>
  <c r="Z301" i="14"/>
  <c r="AZ301" i="14"/>
  <c r="L301" i="14"/>
  <c r="BE301" i="14"/>
  <c r="BK301" i="14"/>
  <c r="AS301" i="14"/>
  <c r="AJ301" i="14"/>
  <c r="V301" i="14"/>
  <c r="R301" i="14"/>
  <c r="AB300" i="14"/>
  <c r="BH300" i="14"/>
  <c r="K300" i="14"/>
  <c r="AH300" i="14"/>
  <c r="AX300" i="14"/>
  <c r="L300" i="14"/>
  <c r="BE300" i="14"/>
  <c r="AJ300" i="14"/>
  <c r="BK300" i="14"/>
  <c r="AU300" i="14"/>
  <c r="BX300" i="14"/>
  <c r="AD300" i="14"/>
  <c r="BV300" i="14"/>
  <c r="BY300" i="14"/>
  <c r="AG300" i="14"/>
  <c r="P300" i="14"/>
  <c r="X300" i="14"/>
  <c r="O300" i="14"/>
  <c r="BT300" i="14"/>
  <c r="M300" i="14"/>
  <c r="AZ300" i="14"/>
  <c r="BU300" i="14"/>
  <c r="Q300" i="14"/>
  <c r="AR300" i="14"/>
  <c r="U300" i="14"/>
  <c r="AM300" i="14"/>
  <c r="AC300" i="14"/>
  <c r="BS300" i="14"/>
  <c r="AI300" i="14"/>
  <c r="R300" i="14"/>
  <c r="BD300" i="14"/>
  <c r="N300" i="14"/>
  <c r="AT300" i="14"/>
  <c r="H300" i="14"/>
  <c r="W300" i="14"/>
  <c r="BM300" i="14"/>
  <c r="BB300" i="14"/>
  <c r="I300" i="14"/>
  <c r="AO300" i="14"/>
  <c r="AY300" i="14"/>
  <c r="Z300" i="14"/>
  <c r="AQ300" i="14"/>
  <c r="BR300" i="14"/>
  <c r="AK300" i="14"/>
  <c r="S300" i="14"/>
  <c r="BL300" i="14"/>
  <c r="AP300" i="14"/>
  <c r="T300" i="14"/>
  <c r="BA300" i="14"/>
  <c r="V300" i="14"/>
  <c r="BQ300" i="14"/>
  <c r="BJ300" i="14"/>
  <c r="BO300" i="14"/>
  <c r="AL300" i="14"/>
  <c r="AV300" i="14"/>
  <c r="BP300" i="14"/>
  <c r="BC300" i="14"/>
  <c r="BN300" i="14"/>
  <c r="BW300" i="14"/>
  <c r="BF300" i="14"/>
  <c r="AN300" i="14"/>
  <c r="AA300" i="14"/>
  <c r="BE796" i="14"/>
  <c r="BE805" i="14" s="1"/>
  <c r="BD802" i="14"/>
  <c r="BD805" i="14"/>
  <c r="BD803" i="14"/>
  <c r="BD804" i="14"/>
  <c r="BD807" i="14"/>
  <c r="BK296" i="14"/>
  <c r="AX296" i="14"/>
  <c r="AU299" i="14"/>
  <c r="BL299" i="14"/>
  <c r="AN299" i="14"/>
  <c r="BN299" i="14"/>
  <c r="O295" i="14"/>
  <c r="AR299" i="14"/>
  <c r="BK295" i="14"/>
  <c r="Y299" i="14"/>
  <c r="X299" i="14"/>
  <c r="BW299" i="14"/>
  <c r="BD809" i="14"/>
  <c r="BD806" i="14"/>
  <c r="BD801" i="14"/>
  <c r="AG299" i="14"/>
  <c r="AW299" i="14"/>
  <c r="BS295" i="14"/>
  <c r="BT299" i="14"/>
  <c r="W299" i="14"/>
  <c r="AR295" i="14"/>
  <c r="BO297" i="14"/>
  <c r="BM299" i="14"/>
  <c r="AO299" i="14"/>
  <c r="BI295" i="14"/>
  <c r="K299" i="14"/>
  <c r="BP299" i="14"/>
  <c r="AD295" i="14"/>
  <c r="BO299" i="14"/>
  <c r="BJ295" i="14"/>
  <c r="BH299" i="14"/>
  <c r="T295" i="14"/>
  <c r="I299" i="14"/>
  <c r="AF299" i="14"/>
  <c r="Z299" i="14"/>
  <c r="AA299" i="14"/>
  <c r="BW295" i="14"/>
  <c r="AE299" i="14"/>
  <c r="U299" i="14"/>
  <c r="AG294" i="14"/>
  <c r="Y295" i="14"/>
  <c r="AM299" i="14"/>
  <c r="BF299" i="14"/>
  <c r="AX299" i="14"/>
  <c r="BL294" i="14"/>
  <c r="K295" i="14"/>
  <c r="AK299" i="14"/>
  <c r="AY299" i="14"/>
  <c r="AV299" i="14"/>
  <c r="P299" i="14"/>
  <c r="AI299" i="14"/>
  <c r="AB295" i="14"/>
  <c r="BF295" i="14"/>
  <c r="BE295" i="14"/>
  <c r="AQ293" i="14"/>
  <c r="AB299" i="14"/>
  <c r="R299" i="14"/>
  <c r="BB299" i="14"/>
  <c r="Q299" i="14"/>
  <c r="AZ299" i="14"/>
  <c r="AD296" i="14"/>
  <c r="Q295" i="14"/>
  <c r="AJ295" i="14"/>
  <c r="BB293" i="14"/>
  <c r="N299" i="14"/>
  <c r="BI299" i="14"/>
  <c r="V299" i="14"/>
  <c r="H299" i="14"/>
  <c r="O299" i="14"/>
  <c r="AN296" i="14"/>
  <c r="AU295" i="14"/>
  <c r="L295" i="14"/>
  <c r="AC293" i="14"/>
  <c r="BD299" i="14"/>
  <c r="AP299" i="14"/>
  <c r="BY299" i="14"/>
  <c r="BQ299" i="14"/>
  <c r="AO296" i="14"/>
  <c r="AS295" i="14"/>
  <c r="W295" i="14"/>
  <c r="AP293" i="14"/>
  <c r="BG299" i="14"/>
  <c r="J299" i="14"/>
  <c r="AC299" i="14"/>
  <c r="BU299" i="14"/>
  <c r="AI296" i="14"/>
  <c r="AE295" i="14"/>
  <c r="Z295" i="14"/>
  <c r="T293" i="14"/>
  <c r="BK299" i="14"/>
  <c r="BA299" i="14"/>
  <c r="BC299" i="14"/>
  <c r="AL299" i="14"/>
  <c r="BG296" i="14"/>
  <c r="AA295" i="14"/>
  <c r="BG295" i="14"/>
  <c r="AI293" i="14"/>
  <c r="AL296" i="14"/>
  <c r="AJ299" i="14"/>
  <c r="T299" i="14"/>
  <c r="AD299" i="14"/>
  <c r="BS299" i="14"/>
  <c r="Y296" i="14"/>
  <c r="X295" i="14"/>
  <c r="BD295" i="14"/>
  <c r="BR299" i="14"/>
  <c r="AT299" i="14"/>
  <c r="AS299" i="14"/>
  <c r="AH299" i="14"/>
  <c r="AM296" i="14"/>
  <c r="BN295" i="14"/>
  <c r="AZ295" i="14"/>
  <c r="M299" i="14"/>
  <c r="BJ299" i="14"/>
  <c r="L299" i="14"/>
  <c r="AQ299" i="14"/>
  <c r="BG294" i="14"/>
  <c r="AK296" i="14"/>
  <c r="AF295" i="14"/>
  <c r="AH295" i="14"/>
  <c r="BE299" i="14"/>
  <c r="BV299" i="14"/>
  <c r="S299" i="14"/>
  <c r="BJ294" i="14"/>
  <c r="BM296" i="14"/>
  <c r="BQ295" i="14"/>
  <c r="R295" i="14"/>
  <c r="Q293" i="14"/>
  <c r="BO296" i="14"/>
  <c r="BI296" i="14"/>
  <c r="P297" i="14"/>
  <c r="BS293" i="14"/>
  <c r="AR296" i="14"/>
  <c r="H296" i="14"/>
  <c r="AM297" i="14"/>
  <c r="BF293" i="14"/>
  <c r="AY296" i="14"/>
  <c r="K296" i="14"/>
  <c r="I297" i="14"/>
  <c r="W293" i="14"/>
  <c r="Q296" i="14"/>
  <c r="AE296" i="14"/>
  <c r="I296" i="14"/>
  <c r="AG297" i="14"/>
  <c r="AO293" i="14"/>
  <c r="N293" i="14"/>
  <c r="AC296" i="14"/>
  <c r="W296" i="14"/>
  <c r="P296" i="14"/>
  <c r="BJ293" i="14"/>
  <c r="AB293" i="14"/>
  <c r="X296" i="14"/>
  <c r="AQ296" i="14"/>
  <c r="AU296" i="14"/>
  <c r="AN293" i="14"/>
  <c r="BT293" i="14"/>
  <c r="BS296" i="14"/>
  <c r="BJ296" i="14"/>
  <c r="M296" i="14"/>
  <c r="X293" i="14"/>
  <c r="O293" i="14"/>
  <c r="Z296" i="14"/>
  <c r="N296" i="14"/>
  <c r="AT296" i="14"/>
  <c r="R293" i="14"/>
  <c r="BE293" i="14"/>
  <c r="BU296" i="14"/>
  <c r="AH296" i="14"/>
  <c r="AS293" i="14"/>
  <c r="BH296" i="14"/>
  <c r="O296" i="14"/>
  <c r="BU297" i="14"/>
  <c r="AD293" i="14"/>
  <c r="AT293" i="14"/>
  <c r="S293" i="14"/>
  <c r="BT296" i="14"/>
  <c r="BR296" i="14"/>
  <c r="AV296" i="14"/>
  <c r="BL296" i="14"/>
  <c r="BC296" i="14"/>
  <c r="P295" i="14"/>
  <c r="AC295" i="14"/>
  <c r="N295" i="14"/>
  <c r="AK295" i="14"/>
  <c r="AE297" i="14"/>
  <c r="X297" i="14"/>
  <c r="AG293" i="14"/>
  <c r="BG293" i="14"/>
  <c r="AF296" i="14"/>
  <c r="BA296" i="14"/>
  <c r="BV296" i="14"/>
  <c r="T296" i="14"/>
  <c r="U295" i="14"/>
  <c r="BT295" i="14"/>
  <c r="AO295" i="14"/>
  <c r="J295" i="14"/>
  <c r="AL295" i="14"/>
  <c r="T297" i="14"/>
  <c r="BC293" i="14"/>
  <c r="AK293" i="14"/>
  <c r="S296" i="14"/>
  <c r="BB296" i="14"/>
  <c r="AJ296" i="14"/>
  <c r="BP296" i="14"/>
  <c r="BL295" i="14"/>
  <c r="BP295" i="14"/>
  <c r="AY295" i="14"/>
  <c r="AI295" i="14"/>
  <c r="AP295" i="14"/>
  <c r="AH293" i="14"/>
  <c r="P293" i="14"/>
  <c r="BY296" i="14"/>
  <c r="R296" i="14"/>
  <c r="U296" i="14"/>
  <c r="BW296" i="14"/>
  <c r="BH295" i="14"/>
  <c r="AQ295" i="14"/>
  <c r="BC295" i="14"/>
  <c r="BM295" i="14"/>
  <c r="M295" i="14"/>
  <c r="AV293" i="14"/>
  <c r="Z293" i="14"/>
  <c r="BD296" i="14"/>
  <c r="BQ296" i="14"/>
  <c r="AB296" i="14"/>
  <c r="BF296" i="14"/>
  <c r="AW295" i="14"/>
  <c r="S295" i="14"/>
  <c r="BX295" i="14"/>
  <c r="AX295" i="14"/>
  <c r="AF293" i="14"/>
  <c r="BH293" i="14"/>
  <c r="J296" i="14"/>
  <c r="AZ296" i="14"/>
  <c r="AW296" i="14"/>
  <c r="AA296" i="14"/>
  <c r="BB295" i="14"/>
  <c r="AG295" i="14"/>
  <c r="BR295" i="14"/>
  <c r="AV295" i="14"/>
  <c r="BK293" i="14"/>
  <c r="BD293" i="14"/>
  <c r="AS296" i="14"/>
  <c r="AG296" i="14"/>
  <c r="V296" i="14"/>
  <c r="BE296" i="14"/>
  <c r="BU295" i="14"/>
  <c r="BO295" i="14"/>
  <c r="V295" i="14"/>
  <c r="BV295" i="14"/>
  <c r="AD297" i="14"/>
  <c r="J293" i="14"/>
  <c r="BV293" i="14"/>
  <c r="AP296" i="14"/>
  <c r="BX296" i="14"/>
  <c r="BN296" i="14"/>
  <c r="AT295" i="14"/>
  <c r="BA295" i="14"/>
  <c r="AN295" i="14"/>
  <c r="AJ293" i="14"/>
  <c r="V293" i="14"/>
  <c r="I293" i="14"/>
  <c r="AL293" i="14"/>
  <c r="L293" i="14"/>
  <c r="AZ293" i="14"/>
  <c r="BY293" i="14"/>
  <c r="AA293" i="14"/>
  <c r="AY293" i="14"/>
  <c r="U293" i="14"/>
  <c r="AM293" i="14"/>
  <c r="BI293" i="14"/>
  <c r="AE293" i="14"/>
  <c r="BN293" i="14"/>
  <c r="BL293" i="14"/>
  <c r="BA293" i="14"/>
  <c r="BW293" i="14"/>
  <c r="BR293" i="14"/>
  <c r="AR293" i="14"/>
  <c r="M293" i="14"/>
  <c r="AX293" i="14"/>
  <c r="BO293" i="14"/>
  <c r="AU293" i="14"/>
  <c r="BM293" i="14"/>
  <c r="K293" i="14"/>
  <c r="BU293" i="14"/>
  <c r="AW293" i="14"/>
  <c r="BP293" i="14"/>
  <c r="Y293" i="14"/>
  <c r="H293" i="14"/>
  <c r="BX293" i="14"/>
  <c r="AD294" i="14"/>
  <c r="AA297" i="14"/>
  <c r="AV294" i="14"/>
  <c r="AQ297" i="14"/>
  <c r="BM294" i="14"/>
  <c r="AH297" i="14"/>
  <c r="BR297" i="14"/>
  <c r="BT297" i="14"/>
  <c r="BD297" i="14"/>
  <c r="AO294" i="14"/>
  <c r="I294" i="14"/>
  <c r="AI294" i="14"/>
  <c r="AT294" i="14"/>
  <c r="BX294" i="14"/>
  <c r="AY297" i="14"/>
  <c r="BJ297" i="14"/>
  <c r="Z297" i="14"/>
  <c r="AS297" i="14"/>
  <c r="BS294" i="14"/>
  <c r="P294" i="14"/>
  <c r="AB294" i="14"/>
  <c r="R294" i="14"/>
  <c r="BA294" i="14"/>
  <c r="AK294" i="14"/>
  <c r="BI297" i="14"/>
  <c r="BH294" i="14"/>
  <c r="X294" i="14"/>
  <c r="M294" i="14"/>
  <c r="AX294" i="14"/>
  <c r="BE294" i="14"/>
  <c r="BW297" i="14"/>
  <c r="L297" i="14"/>
  <c r="BG297" i="14"/>
  <c r="J297" i="14"/>
  <c r="BU294" i="14"/>
  <c r="BT294" i="14"/>
  <c r="V297" i="14"/>
  <c r="AR297" i="14"/>
  <c r="AS294" i="14"/>
  <c r="AJ297" i="14"/>
  <c r="BK297" i="14"/>
  <c r="BY294" i="14"/>
  <c r="AA294" i="14"/>
  <c r="AF294" i="14"/>
  <c r="K294" i="14"/>
  <c r="AP294" i="14"/>
  <c r="Y297" i="14"/>
  <c r="AU297" i="14"/>
  <c r="AC297" i="14"/>
  <c r="AT297" i="14"/>
  <c r="BQ297" i="14"/>
  <c r="AH294" i="14"/>
  <c r="AK297" i="14"/>
  <c r="BO294" i="14"/>
  <c r="AZ297" i="14"/>
  <c r="BF294" i="14"/>
  <c r="K297" i="14"/>
  <c r="AW294" i="14"/>
  <c r="J294" i="14"/>
  <c r="O294" i="14"/>
  <c r="AJ294" i="14"/>
  <c r="M297" i="14"/>
  <c r="N297" i="14"/>
  <c r="U297" i="14"/>
  <c r="AW297" i="14"/>
  <c r="BV294" i="14"/>
  <c r="AX297" i="14"/>
  <c r="BB294" i="14"/>
  <c r="BW294" i="14"/>
  <c r="S294" i="14"/>
  <c r="U294" i="14"/>
  <c r="AY294" i="14"/>
  <c r="Z294" i="14"/>
  <c r="O297" i="14"/>
  <c r="AN297" i="14"/>
  <c r="R297" i="14"/>
  <c r="BP297" i="14"/>
  <c r="BC294" i="14"/>
  <c r="BM297" i="14"/>
  <c r="BD294" i="14"/>
  <c r="BE297" i="14"/>
  <c r="AQ294" i="14"/>
  <c r="BI294" i="14"/>
  <c r="S297" i="14"/>
  <c r="AC294" i="14"/>
  <c r="BK294" i="14"/>
  <c r="AR294" i="14"/>
  <c r="W294" i="14"/>
  <c r="AP297" i="14"/>
  <c r="BN297" i="14"/>
  <c r="AF297" i="14"/>
  <c r="AO297" i="14"/>
  <c r="T294" i="14"/>
  <c r="AV297" i="14"/>
  <c r="BS297" i="14"/>
  <c r="BQ294" i="14"/>
  <c r="AN294" i="14"/>
  <c r="AM294" i="14"/>
  <c r="BX297" i="14"/>
  <c r="Y294" i="14"/>
  <c r="BR294" i="14"/>
  <c r="AZ294" i="14"/>
  <c r="Q294" i="14"/>
  <c r="AB297" i="14"/>
  <c r="W297" i="14"/>
  <c r="BH297" i="14"/>
  <c r="BV297" i="14"/>
  <c r="AI297" i="14"/>
  <c r="BP294" i="14"/>
  <c r="Q297" i="14"/>
  <c r="BF297" i="14"/>
  <c r="N294" i="14"/>
  <c r="BB297" i="14"/>
  <c r="AE294" i="14"/>
  <c r="H297" i="14"/>
  <c r="H294" i="14"/>
  <c r="L294" i="14"/>
  <c r="BN294" i="14"/>
  <c r="AU294" i="14"/>
  <c r="AL294" i="14"/>
  <c r="BA297" i="14"/>
  <c r="BL297" i="14"/>
  <c r="BY297" i="14"/>
  <c r="AL297" i="14"/>
  <c r="BG275" i="14"/>
  <c r="BG283" i="14" s="1"/>
  <c r="BJ310" i="14"/>
  <c r="BF764" i="14"/>
  <c r="BG759" i="14"/>
  <c r="BF282" i="14"/>
  <c r="BF281" i="14"/>
  <c r="BF280" i="14"/>
  <c r="BF286" i="14"/>
  <c r="BF283" i="14"/>
  <c r="BF285" i="14"/>
  <c r="BF284" i="14"/>
  <c r="BF287" i="14"/>
  <c r="BF288" i="14"/>
  <c r="BH243" i="14"/>
  <c r="BI238" i="14"/>
  <c r="BE773" i="14"/>
  <c r="BE775" i="14"/>
  <c r="BE776" i="14"/>
  <c r="BE771" i="14"/>
  <c r="BE774" i="14"/>
  <c r="BE777" i="14"/>
  <c r="BE772" i="14"/>
  <c r="BG255" i="14"/>
  <c r="BG252" i="14"/>
  <c r="BG251" i="14"/>
  <c r="BG249" i="14"/>
  <c r="BG254" i="14"/>
  <c r="BG256" i="14"/>
  <c r="BG253" i="14"/>
  <c r="BG250" i="14"/>
  <c r="BC315" i="14" l="1"/>
  <c r="BD315" i="14" s="1"/>
  <c r="BB327" i="14"/>
  <c r="BB322" i="14"/>
  <c r="BB328" i="14"/>
  <c r="BB323" i="14"/>
  <c r="BB325" i="14"/>
  <c r="BB326" i="14"/>
  <c r="BB324" i="14"/>
  <c r="BA137" i="14"/>
  <c r="BA139" i="14"/>
  <c r="BA134" i="14"/>
  <c r="BA138" i="14"/>
  <c r="BA131" i="14"/>
  <c r="BA132" i="14"/>
  <c r="BA133" i="14"/>
  <c r="BA135" i="14"/>
  <c r="BA136" i="14"/>
  <c r="BH94" i="14"/>
  <c r="BI89" i="14"/>
  <c r="BG107" i="14"/>
  <c r="BG103" i="14"/>
  <c r="BG101" i="14"/>
  <c r="BG106" i="14"/>
  <c r="BG104" i="14"/>
  <c r="BG105" i="14"/>
  <c r="BG102" i="14"/>
  <c r="BB347" i="14"/>
  <c r="BA355" i="14"/>
  <c r="BA360" i="14"/>
  <c r="BA356" i="14"/>
  <c r="BA354" i="14"/>
  <c r="BA352" i="14"/>
  <c r="BA353" i="14"/>
  <c r="BA357" i="14"/>
  <c r="BA358" i="14"/>
  <c r="BA359" i="14"/>
  <c r="BB126" i="14"/>
  <c r="BA844" i="14"/>
  <c r="BA849" i="14"/>
  <c r="BA845" i="14"/>
  <c r="BA847" i="14"/>
  <c r="BA848" i="14"/>
  <c r="BA843" i="14"/>
  <c r="BA846" i="14"/>
  <c r="BA842" i="14"/>
  <c r="BA868" i="14"/>
  <c r="BB836" i="14"/>
  <c r="AZ880" i="14"/>
  <c r="AZ878" i="14"/>
  <c r="AZ874" i="14"/>
  <c r="AZ873" i="14"/>
  <c r="AZ875" i="14"/>
  <c r="AZ876" i="14"/>
  <c r="AZ879" i="14"/>
  <c r="AZ877" i="14"/>
  <c r="AZ881" i="14"/>
  <c r="BW1364" i="14"/>
  <c r="BV1369" i="14"/>
  <c r="BE804" i="14"/>
  <c r="W817" i="14" s="1"/>
  <c r="BF796" i="14"/>
  <c r="BF806" i="14" s="1"/>
  <c r="BE802" i="14"/>
  <c r="BQ815" i="14" s="1"/>
  <c r="BE809" i="14"/>
  <c r="H822" i="14" s="1"/>
  <c r="BE807" i="14"/>
  <c r="AG820" i="14" s="1"/>
  <c r="BE803" i="14"/>
  <c r="BE816" i="14" s="1"/>
  <c r="BE806" i="14"/>
  <c r="BQ819" i="14" s="1"/>
  <c r="BE808" i="14"/>
  <c r="P821" i="14" s="1"/>
  <c r="BE801" i="14"/>
  <c r="AW814" i="14" s="1"/>
  <c r="BG280" i="14"/>
  <c r="BG282" i="14"/>
  <c r="BG284" i="14"/>
  <c r="BG288" i="14"/>
  <c r="BG286" i="14"/>
  <c r="BG281" i="14"/>
  <c r="BG285" i="14"/>
  <c r="BG287" i="14"/>
  <c r="Y788" i="14"/>
  <c r="T788" i="14"/>
  <c r="R788" i="14"/>
  <c r="AE788" i="14"/>
  <c r="BG788" i="14"/>
  <c r="BD788" i="14"/>
  <c r="K788" i="14"/>
  <c r="BH788" i="14"/>
  <c r="AM788" i="14"/>
  <c r="BT788" i="14"/>
  <c r="BN788" i="14"/>
  <c r="S788" i="14"/>
  <c r="BB788" i="14"/>
  <c r="BJ788" i="14"/>
  <c r="Q788" i="14"/>
  <c r="BV788" i="14"/>
  <c r="BI788" i="14"/>
  <c r="BF788" i="14"/>
  <c r="BO788" i="14"/>
  <c r="BU788" i="14"/>
  <c r="AY788" i="14"/>
  <c r="BX788" i="14"/>
  <c r="AF788" i="14"/>
  <c r="BA788" i="14"/>
  <c r="AK788" i="14"/>
  <c r="BW788" i="14"/>
  <c r="AG788" i="14"/>
  <c r="BS788" i="14"/>
  <c r="AP788" i="14"/>
  <c r="BP788" i="14"/>
  <c r="BK788" i="14"/>
  <c r="M788" i="14"/>
  <c r="Z788" i="14"/>
  <c r="AJ788" i="14"/>
  <c r="L788" i="14"/>
  <c r="BQ788" i="14"/>
  <c r="AV788" i="14"/>
  <c r="AO788" i="14"/>
  <c r="AB788" i="14"/>
  <c r="AZ788" i="14"/>
  <c r="AX788" i="14"/>
  <c r="V788" i="14"/>
  <c r="AH788" i="14"/>
  <c r="AT788" i="14"/>
  <c r="BL788" i="14"/>
  <c r="AN788" i="14"/>
  <c r="AU788" i="14"/>
  <c r="I788" i="14"/>
  <c r="BE788" i="14"/>
  <c r="H788" i="14"/>
  <c r="J788" i="14"/>
  <c r="P788" i="14"/>
  <c r="BY788" i="14"/>
  <c r="N788" i="14"/>
  <c r="AW788" i="14"/>
  <c r="BC788" i="14"/>
  <c r="W788" i="14"/>
  <c r="AC788" i="14"/>
  <c r="BM788" i="14"/>
  <c r="AA788" i="14"/>
  <c r="AR788" i="14"/>
  <c r="BR788" i="14"/>
  <c r="AQ788" i="14"/>
  <c r="U788" i="14"/>
  <c r="X788" i="14"/>
  <c r="AS788" i="14"/>
  <c r="AD788" i="14"/>
  <c r="AI788" i="14"/>
  <c r="O788" i="14"/>
  <c r="AL788" i="14"/>
  <c r="BK310" i="14"/>
  <c r="BF773" i="14"/>
  <c r="BF774" i="14"/>
  <c r="BF772" i="14"/>
  <c r="BF777" i="14"/>
  <c r="BF776" i="14"/>
  <c r="BF771" i="14"/>
  <c r="BF775" i="14"/>
  <c r="AP818" i="14"/>
  <c r="O818" i="14"/>
  <c r="BB818" i="14"/>
  <c r="BL818" i="14"/>
  <c r="BM818" i="14"/>
  <c r="AV818" i="14"/>
  <c r="AE818" i="14"/>
  <c r="Y818" i="14"/>
  <c r="AL818" i="14"/>
  <c r="X818" i="14"/>
  <c r="BA818" i="14"/>
  <c r="I818" i="14"/>
  <c r="BF818" i="14"/>
  <c r="BJ818" i="14"/>
  <c r="BY818" i="14"/>
  <c r="AK818" i="14"/>
  <c r="AO818" i="14"/>
  <c r="AI818" i="14"/>
  <c r="BO818" i="14"/>
  <c r="BK818" i="14"/>
  <c r="H818" i="14"/>
  <c r="AT818" i="14"/>
  <c r="AM818" i="14"/>
  <c r="BI818" i="14"/>
  <c r="BP818" i="14"/>
  <c r="AY818" i="14"/>
  <c r="BE818" i="14"/>
  <c r="P818" i="14"/>
  <c r="AC818" i="14"/>
  <c r="BC818" i="14"/>
  <c r="AW818" i="14"/>
  <c r="AF818" i="14"/>
  <c r="BS818" i="14"/>
  <c r="BW818" i="14"/>
  <c r="BG818" i="14"/>
  <c r="BQ818" i="14"/>
  <c r="BU818" i="14"/>
  <c r="N818" i="14"/>
  <c r="K818" i="14"/>
  <c r="M818" i="14"/>
  <c r="BX818" i="14"/>
  <c r="BR818" i="14"/>
  <c r="BT818" i="14"/>
  <c r="AA818" i="14"/>
  <c r="S818" i="14"/>
  <c r="BV818" i="14"/>
  <c r="AD818" i="14"/>
  <c r="AS818" i="14"/>
  <c r="AH818" i="14"/>
  <c r="AU818" i="14"/>
  <c r="AN818" i="14"/>
  <c r="BH818" i="14"/>
  <c r="AB818" i="14"/>
  <c r="J818" i="14"/>
  <c r="R818" i="14"/>
  <c r="AR818" i="14"/>
  <c r="BN818" i="14"/>
  <c r="W818" i="14"/>
  <c r="AX818" i="14"/>
  <c r="AJ818" i="14"/>
  <c r="AG818" i="14"/>
  <c r="L818" i="14"/>
  <c r="T818" i="14"/>
  <c r="BD818" i="14"/>
  <c r="V818" i="14"/>
  <c r="U818" i="14"/>
  <c r="AQ818" i="14"/>
  <c r="Z818" i="14"/>
  <c r="AZ818" i="14"/>
  <c r="Q818" i="14"/>
  <c r="BI243" i="14"/>
  <c r="BJ238" i="14"/>
  <c r="AK786" i="14"/>
  <c r="Y786" i="14"/>
  <c r="AU786" i="14"/>
  <c r="BH786" i="14"/>
  <c r="AF786" i="14"/>
  <c r="AM786" i="14"/>
  <c r="AS786" i="14"/>
  <c r="AH786" i="14"/>
  <c r="AT786" i="14"/>
  <c r="H786" i="14"/>
  <c r="AV786" i="14"/>
  <c r="BG786" i="14"/>
  <c r="BW786" i="14"/>
  <c r="AN786" i="14"/>
  <c r="T786" i="14"/>
  <c r="AJ786" i="14"/>
  <c r="P786" i="14"/>
  <c r="BR786" i="14"/>
  <c r="BA786" i="14"/>
  <c r="BF786" i="14"/>
  <c r="BU786" i="14"/>
  <c r="BO786" i="14"/>
  <c r="BE786" i="14"/>
  <c r="AE786" i="14"/>
  <c r="L786" i="14"/>
  <c r="X786" i="14"/>
  <c r="AD786" i="14"/>
  <c r="O786" i="14"/>
  <c r="BJ786" i="14"/>
  <c r="AL786" i="14"/>
  <c r="BK786" i="14"/>
  <c r="BX786" i="14"/>
  <c r="Z786" i="14"/>
  <c r="U786" i="14"/>
  <c r="AI786" i="14"/>
  <c r="R786" i="14"/>
  <c r="BM786" i="14"/>
  <c r="J786" i="14"/>
  <c r="AY786" i="14"/>
  <c r="BB786" i="14"/>
  <c r="BN786" i="14"/>
  <c r="AQ786" i="14"/>
  <c r="BT786" i="14"/>
  <c r="BS786" i="14"/>
  <c r="AZ786" i="14"/>
  <c r="BI786" i="14"/>
  <c r="K786" i="14"/>
  <c r="I786" i="14"/>
  <c r="AA786" i="14"/>
  <c r="W786" i="14"/>
  <c r="S786" i="14"/>
  <c r="BC786" i="14"/>
  <c r="AC786" i="14"/>
  <c r="BQ786" i="14"/>
  <c r="AX786" i="14"/>
  <c r="AW786" i="14"/>
  <c r="AG786" i="14"/>
  <c r="AB786" i="14"/>
  <c r="AP786" i="14"/>
  <c r="V786" i="14"/>
  <c r="N786" i="14"/>
  <c r="BL786" i="14"/>
  <c r="AO786" i="14"/>
  <c r="BP786" i="14"/>
  <c r="BV786" i="14"/>
  <c r="Q786" i="14"/>
  <c r="AR786" i="14"/>
  <c r="M786" i="14"/>
  <c r="BY786" i="14"/>
  <c r="BD786" i="14"/>
  <c r="BH254" i="14"/>
  <c r="BH253" i="14"/>
  <c r="BH255" i="14"/>
  <c r="BH250" i="14"/>
  <c r="BH251" i="14"/>
  <c r="BH249" i="14"/>
  <c r="BH256" i="14"/>
  <c r="BH252" i="14"/>
  <c r="BR790" i="14"/>
  <c r="AR790" i="14"/>
  <c r="AN790" i="14"/>
  <c r="AF790" i="14"/>
  <c r="BQ790" i="14"/>
  <c r="AJ790" i="14"/>
  <c r="BH790" i="14"/>
  <c r="P790" i="14"/>
  <c r="AD790" i="14"/>
  <c r="AE790" i="14"/>
  <c r="U790" i="14"/>
  <c r="X790" i="14"/>
  <c r="T790" i="14"/>
  <c r="BN790" i="14"/>
  <c r="AK790" i="14"/>
  <c r="L790" i="14"/>
  <c r="AZ790" i="14"/>
  <c r="BG790" i="14"/>
  <c r="BC790" i="14"/>
  <c r="BU790" i="14"/>
  <c r="M790" i="14"/>
  <c r="Q790" i="14"/>
  <c r="AA790" i="14"/>
  <c r="AL790" i="14"/>
  <c r="AI790" i="14"/>
  <c r="W790" i="14"/>
  <c r="AH790" i="14"/>
  <c r="AQ790" i="14"/>
  <c r="R790" i="14"/>
  <c r="AU790" i="14"/>
  <c r="H790" i="14"/>
  <c r="BT790" i="14"/>
  <c r="AT790" i="14"/>
  <c r="BY790" i="14"/>
  <c r="V790" i="14"/>
  <c r="AM790" i="14"/>
  <c r="O790" i="14"/>
  <c r="Z790" i="14"/>
  <c r="BO790" i="14"/>
  <c r="BP790" i="14"/>
  <c r="BJ790" i="14"/>
  <c r="BM790" i="14"/>
  <c r="BI790" i="14"/>
  <c r="BS790" i="14"/>
  <c r="BW790" i="14"/>
  <c r="BL790" i="14"/>
  <c r="AC790" i="14"/>
  <c r="BK790" i="14"/>
  <c r="AS790" i="14"/>
  <c r="BV790" i="14"/>
  <c r="J790" i="14"/>
  <c r="AB790" i="14"/>
  <c r="BB790" i="14"/>
  <c r="K790" i="14"/>
  <c r="AX790" i="14"/>
  <c r="AP790" i="14"/>
  <c r="AW790" i="14"/>
  <c r="BX790" i="14"/>
  <c r="AO790" i="14"/>
  <c r="S790" i="14"/>
  <c r="AY790" i="14"/>
  <c r="Y790" i="14"/>
  <c r="AV790" i="14"/>
  <c r="N790" i="14"/>
  <c r="BE790" i="14"/>
  <c r="BA790" i="14"/>
  <c r="BF790" i="14"/>
  <c r="I790" i="14"/>
  <c r="BD790" i="14"/>
  <c r="AG790" i="14"/>
  <c r="BG764" i="14"/>
  <c r="BH759" i="14"/>
  <c r="AS787" i="14"/>
  <c r="BF787" i="14"/>
  <c r="BB787" i="14"/>
  <c r="BC787" i="14"/>
  <c r="AZ787" i="14"/>
  <c r="BJ787" i="14"/>
  <c r="AQ787" i="14"/>
  <c r="R787" i="14"/>
  <c r="BX787" i="14"/>
  <c r="BH787" i="14"/>
  <c r="AM787" i="14"/>
  <c r="Q787" i="14"/>
  <c r="W787" i="14"/>
  <c r="Z787" i="14"/>
  <c r="AG787" i="14"/>
  <c r="S787" i="14"/>
  <c r="AA787" i="14"/>
  <c r="BE787" i="14"/>
  <c r="BR787" i="14"/>
  <c r="BV787" i="14"/>
  <c r="AF787" i="14"/>
  <c r="I787" i="14"/>
  <c r="AB787" i="14"/>
  <c r="BO787" i="14"/>
  <c r="M787" i="14"/>
  <c r="X787" i="14"/>
  <c r="V787" i="14"/>
  <c r="BW787" i="14"/>
  <c r="AK787" i="14"/>
  <c r="BL787" i="14"/>
  <c r="BM787" i="14"/>
  <c r="AY787" i="14"/>
  <c r="K787" i="14"/>
  <c r="BY787" i="14"/>
  <c r="O787" i="14"/>
  <c r="BK787" i="14"/>
  <c r="AC787" i="14"/>
  <c r="AR787" i="14"/>
  <c r="AD787" i="14"/>
  <c r="U787" i="14"/>
  <c r="Y787" i="14"/>
  <c r="AO787" i="14"/>
  <c r="BS787" i="14"/>
  <c r="BN787" i="14"/>
  <c r="BT787" i="14"/>
  <c r="AH787" i="14"/>
  <c r="AJ787" i="14"/>
  <c r="BD787" i="14"/>
  <c r="BU787" i="14"/>
  <c r="BG787" i="14"/>
  <c r="BA787" i="14"/>
  <c r="BQ787" i="14"/>
  <c r="AU787" i="14"/>
  <c r="BI787" i="14"/>
  <c r="AL787" i="14"/>
  <c r="AW787" i="14"/>
  <c r="AV787" i="14"/>
  <c r="N787" i="14"/>
  <c r="AI787" i="14"/>
  <c r="AN787" i="14"/>
  <c r="H787" i="14"/>
  <c r="P787" i="14"/>
  <c r="AE787" i="14"/>
  <c r="BP787" i="14"/>
  <c r="AT787" i="14"/>
  <c r="AP787" i="14"/>
  <c r="AX787" i="14"/>
  <c r="J787" i="14"/>
  <c r="T787" i="14"/>
  <c r="L787" i="14"/>
  <c r="AN789" i="14"/>
  <c r="BX789" i="14"/>
  <c r="BL789" i="14"/>
  <c r="BY789" i="14"/>
  <c r="AF789" i="14"/>
  <c r="BC789" i="14"/>
  <c r="AH789" i="14"/>
  <c r="N789" i="14"/>
  <c r="L789" i="14"/>
  <c r="AO789" i="14"/>
  <c r="AL789" i="14"/>
  <c r="S789" i="14"/>
  <c r="Y789" i="14"/>
  <c r="AA789" i="14"/>
  <c r="BG789" i="14"/>
  <c r="BV789" i="14"/>
  <c r="AD789" i="14"/>
  <c r="BI789" i="14"/>
  <c r="BR789" i="14"/>
  <c r="BA789" i="14"/>
  <c r="I789" i="14"/>
  <c r="AT789" i="14"/>
  <c r="BN789" i="14"/>
  <c r="BP789" i="14"/>
  <c r="V789" i="14"/>
  <c r="AR789" i="14"/>
  <c r="M789" i="14"/>
  <c r="X789" i="14"/>
  <c r="AY789" i="14"/>
  <c r="AJ789" i="14"/>
  <c r="AK789" i="14"/>
  <c r="BM789" i="14"/>
  <c r="BE789" i="14"/>
  <c r="BD789" i="14"/>
  <c r="AQ789" i="14"/>
  <c r="AG789" i="14"/>
  <c r="H789" i="14"/>
  <c r="AE789" i="14"/>
  <c r="BQ789" i="14"/>
  <c r="J789" i="14"/>
  <c r="BS789" i="14"/>
  <c r="T789" i="14"/>
  <c r="Q789" i="14"/>
  <c r="BW789" i="14"/>
  <c r="AV789" i="14"/>
  <c r="AX789" i="14"/>
  <c r="BK789" i="14"/>
  <c r="AU789" i="14"/>
  <c r="BO789" i="14"/>
  <c r="U789" i="14"/>
  <c r="AW789" i="14"/>
  <c r="K789" i="14"/>
  <c r="AP789" i="14"/>
  <c r="BF789" i="14"/>
  <c r="BJ789" i="14"/>
  <c r="BU789" i="14"/>
  <c r="AZ789" i="14"/>
  <c r="BH789" i="14"/>
  <c r="BT789" i="14"/>
  <c r="AB789" i="14"/>
  <c r="AM789" i="14"/>
  <c r="AC789" i="14"/>
  <c r="R789" i="14"/>
  <c r="O789" i="14"/>
  <c r="AI789" i="14"/>
  <c r="P789" i="14"/>
  <c r="AS789" i="14"/>
  <c r="Z789" i="14"/>
  <c r="BB789" i="14"/>
  <c r="W789" i="14"/>
  <c r="AY785" i="14"/>
  <c r="AB785" i="14"/>
  <c r="BU785" i="14"/>
  <c r="AV785" i="14"/>
  <c r="AD785" i="14"/>
  <c r="AW785" i="14"/>
  <c r="BJ785" i="14"/>
  <c r="X785" i="14"/>
  <c r="AE785" i="14"/>
  <c r="AG785" i="14"/>
  <c r="M785" i="14"/>
  <c r="BW785" i="14"/>
  <c r="BL785" i="14"/>
  <c r="BP785" i="14"/>
  <c r="AS785" i="14"/>
  <c r="L785" i="14"/>
  <c r="I785" i="14"/>
  <c r="N785" i="14"/>
  <c r="BD785" i="14"/>
  <c r="P785" i="14"/>
  <c r="AU785" i="14"/>
  <c r="AI785" i="14"/>
  <c r="H785" i="14"/>
  <c r="BB785" i="14"/>
  <c r="AM785" i="14"/>
  <c r="BT785" i="14"/>
  <c r="W785" i="14"/>
  <c r="O785" i="14"/>
  <c r="R785" i="14"/>
  <c r="BV785" i="14"/>
  <c r="AQ785" i="14"/>
  <c r="BC785" i="14"/>
  <c r="K785" i="14"/>
  <c r="T785" i="14"/>
  <c r="BM785" i="14"/>
  <c r="BK785" i="14"/>
  <c r="AL785" i="14"/>
  <c r="BS785" i="14"/>
  <c r="J785" i="14"/>
  <c r="BF785" i="14"/>
  <c r="AO785" i="14"/>
  <c r="AA785" i="14"/>
  <c r="AN785" i="14"/>
  <c r="Y785" i="14"/>
  <c r="BI785" i="14"/>
  <c r="AF785" i="14"/>
  <c r="BX785" i="14"/>
  <c r="AC785" i="14"/>
  <c r="S785" i="14"/>
  <c r="AH785" i="14"/>
  <c r="AZ785" i="14"/>
  <c r="BY785" i="14"/>
  <c r="BQ785" i="14"/>
  <c r="Z785" i="14"/>
  <c r="AJ785" i="14"/>
  <c r="Q785" i="14"/>
  <c r="U785" i="14"/>
  <c r="AT785" i="14"/>
  <c r="BA785" i="14"/>
  <c r="BR785" i="14"/>
  <c r="AX785" i="14"/>
  <c r="AP785" i="14"/>
  <c r="AR785" i="14"/>
  <c r="BH785" i="14"/>
  <c r="BO785" i="14"/>
  <c r="AK785" i="14"/>
  <c r="BN785" i="14"/>
  <c r="BG785" i="14"/>
  <c r="V785" i="14"/>
  <c r="BE785" i="14"/>
  <c r="BH275" i="14"/>
  <c r="BE784" i="14"/>
  <c r="BA784" i="14"/>
  <c r="BY784" i="14"/>
  <c r="X784" i="14"/>
  <c r="BV784" i="14"/>
  <c r="P784" i="14"/>
  <c r="BD784" i="14"/>
  <c r="AJ784" i="14"/>
  <c r="AX784" i="14"/>
  <c r="AE784" i="14"/>
  <c r="BF784" i="14"/>
  <c r="BX784" i="14"/>
  <c r="AS784" i="14"/>
  <c r="AY784" i="14"/>
  <c r="Y784" i="14"/>
  <c r="BJ784" i="14"/>
  <c r="S784" i="14"/>
  <c r="AR784" i="14"/>
  <c r="AB784" i="14"/>
  <c r="BC784" i="14"/>
  <c r="AC784" i="14"/>
  <c r="AF784" i="14"/>
  <c r="AO784" i="14"/>
  <c r="BH784" i="14"/>
  <c r="AD784" i="14"/>
  <c r="AK784" i="14"/>
  <c r="BS784" i="14"/>
  <c r="Q784" i="14"/>
  <c r="J784" i="14"/>
  <c r="AQ784" i="14"/>
  <c r="U784" i="14"/>
  <c r="BO784" i="14"/>
  <c r="T784" i="14"/>
  <c r="O784" i="14"/>
  <c r="L784" i="14"/>
  <c r="AT784" i="14"/>
  <c r="N784" i="14"/>
  <c r="AH784" i="14"/>
  <c r="R784" i="14"/>
  <c r="W784" i="14"/>
  <c r="AV784" i="14"/>
  <c r="BQ784" i="14"/>
  <c r="V784" i="14"/>
  <c r="BU784" i="14"/>
  <c r="AN784" i="14"/>
  <c r="BR784" i="14"/>
  <c r="AW784" i="14"/>
  <c r="AZ784" i="14"/>
  <c r="BN784" i="14"/>
  <c r="BL784" i="14"/>
  <c r="Z784" i="14"/>
  <c r="BM784" i="14"/>
  <c r="BK784" i="14"/>
  <c r="BW784" i="14"/>
  <c r="K784" i="14"/>
  <c r="AP784" i="14"/>
  <c r="BG784" i="14"/>
  <c r="H784" i="14"/>
  <c r="AI784" i="14"/>
  <c r="AA784" i="14"/>
  <c r="BI784" i="14"/>
  <c r="AU784" i="14"/>
  <c r="AG784" i="14"/>
  <c r="BT784" i="14"/>
  <c r="M784" i="14"/>
  <c r="AL784" i="14"/>
  <c r="BB784" i="14"/>
  <c r="I784" i="14"/>
  <c r="AM784" i="14"/>
  <c r="BP784" i="14"/>
  <c r="BB131" i="14" l="1"/>
  <c r="BB138" i="14"/>
  <c r="BB137" i="14"/>
  <c r="BB135" i="14"/>
  <c r="BB132" i="14"/>
  <c r="BB134" i="14"/>
  <c r="BB133" i="14"/>
  <c r="BB139" i="14"/>
  <c r="BB136" i="14"/>
  <c r="BC126" i="14"/>
  <c r="BH107" i="14"/>
  <c r="BH106" i="14"/>
  <c r="BH104" i="14"/>
  <c r="BH103" i="14"/>
  <c r="BH102" i="14"/>
  <c r="BH105" i="14"/>
  <c r="BH101" i="14"/>
  <c r="BD328" i="14"/>
  <c r="BD325" i="14"/>
  <c r="BD324" i="14"/>
  <c r="BD322" i="14"/>
  <c r="BD326" i="14"/>
  <c r="BD327" i="14"/>
  <c r="BD323" i="14"/>
  <c r="BB359" i="14"/>
  <c r="BB356" i="14"/>
  <c r="BB357" i="14"/>
  <c r="BB352" i="14"/>
  <c r="BB353" i="14"/>
  <c r="BB355" i="14"/>
  <c r="BB358" i="14"/>
  <c r="BB360" i="14"/>
  <c r="BB354" i="14"/>
  <c r="BC327" i="14"/>
  <c r="BC322" i="14"/>
  <c r="BC328" i="14"/>
  <c r="BC323" i="14"/>
  <c r="BC325" i="14"/>
  <c r="BC326" i="14"/>
  <c r="BC324" i="14"/>
  <c r="BC347" i="14"/>
  <c r="BE315" i="14"/>
  <c r="BI94" i="14"/>
  <c r="BJ89" i="14"/>
  <c r="BB848" i="14"/>
  <c r="BB844" i="14"/>
  <c r="BB849" i="14"/>
  <c r="BB845" i="14"/>
  <c r="BB846" i="14"/>
  <c r="BB843" i="14"/>
  <c r="BB847" i="14"/>
  <c r="BB842" i="14"/>
  <c r="BB868" i="14"/>
  <c r="BC836" i="14"/>
  <c r="BA879" i="14"/>
  <c r="BA874" i="14"/>
  <c r="BA877" i="14"/>
  <c r="BA878" i="14"/>
  <c r="BA875" i="14"/>
  <c r="BA873" i="14"/>
  <c r="BA880" i="14"/>
  <c r="BA876" i="14"/>
  <c r="BA881" i="14"/>
  <c r="BH817" i="14"/>
  <c r="BN817" i="14"/>
  <c r="BE817" i="14"/>
  <c r="BT817" i="14"/>
  <c r="BL817" i="14"/>
  <c r="Y817" i="14"/>
  <c r="AH817" i="14"/>
  <c r="AS817" i="14"/>
  <c r="AP817" i="14"/>
  <c r="J817" i="14"/>
  <c r="U817" i="14"/>
  <c r="AI817" i="14"/>
  <c r="BO817" i="14"/>
  <c r="Z817" i="14"/>
  <c r="T817" i="14"/>
  <c r="AT817" i="14"/>
  <c r="BC817" i="14"/>
  <c r="AK817" i="14"/>
  <c r="AQ817" i="14"/>
  <c r="AC817" i="14"/>
  <c r="BK817" i="14"/>
  <c r="AR817" i="14"/>
  <c r="O817" i="14"/>
  <c r="AF817" i="14"/>
  <c r="BS817" i="14"/>
  <c r="BY817" i="14"/>
  <c r="L817" i="14"/>
  <c r="M817" i="14"/>
  <c r="AW817" i="14"/>
  <c r="BD817" i="14"/>
  <c r="R817" i="14"/>
  <c r="BM817" i="14"/>
  <c r="AM817" i="14"/>
  <c r="AU817" i="14"/>
  <c r="BB817" i="14"/>
  <c r="S817" i="14"/>
  <c r="BR817" i="14"/>
  <c r="H817" i="14"/>
  <c r="BG817" i="14"/>
  <c r="BA817" i="14"/>
  <c r="AE817" i="14"/>
  <c r="AJ817" i="14"/>
  <c r="Q817" i="14"/>
  <c r="BQ817" i="14"/>
  <c r="AX817" i="14"/>
  <c r="AA817" i="14"/>
  <c r="BX817" i="14"/>
  <c r="BI817" i="14"/>
  <c r="AV817" i="14"/>
  <c r="BF805" i="14"/>
  <c r="BF802" i="14"/>
  <c r="AC815" i="14"/>
  <c r="BV815" i="14"/>
  <c r="BF815" i="14"/>
  <c r="BF807" i="14"/>
  <c r="AR815" i="14"/>
  <c r="BF809" i="14"/>
  <c r="BK815" i="14"/>
  <c r="BF801" i="14"/>
  <c r="BN815" i="14"/>
  <c r="AZ815" i="14"/>
  <c r="N815" i="14"/>
  <c r="AQ815" i="14"/>
  <c r="X815" i="14"/>
  <c r="BS815" i="14"/>
  <c r="BY815" i="14"/>
  <c r="BG796" i="14"/>
  <c r="BG806" i="14" s="1"/>
  <c r="BT815" i="14"/>
  <c r="H815" i="14"/>
  <c r="AS815" i="14"/>
  <c r="BP815" i="14"/>
  <c r="BF804" i="14"/>
  <c r="BX815" i="14"/>
  <c r="K815" i="14"/>
  <c r="AH815" i="14"/>
  <c r="S815" i="14"/>
  <c r="BC815" i="14"/>
  <c r="AD815" i="14"/>
  <c r="BF803" i="14"/>
  <c r="AK815" i="14"/>
  <c r="BU815" i="14"/>
  <c r="R815" i="14"/>
  <c r="Y815" i="14"/>
  <c r="AL815" i="14"/>
  <c r="O815" i="14"/>
  <c r="BH815" i="14"/>
  <c r="Q815" i="14"/>
  <c r="AM815" i="14"/>
  <c r="T815" i="14"/>
  <c r="BF808" i="14"/>
  <c r="AB815" i="14"/>
  <c r="AG815" i="14"/>
  <c r="AA815" i="14"/>
  <c r="U815" i="14"/>
  <c r="AJ815" i="14"/>
  <c r="BA815" i="14"/>
  <c r="AX815" i="14"/>
  <c r="BB815" i="14"/>
  <c r="BW815" i="14"/>
  <c r="AY815" i="14"/>
  <c r="BO815" i="14"/>
  <c r="W815" i="14"/>
  <c r="AW815" i="14"/>
  <c r="AI815" i="14"/>
  <c r="AF815" i="14"/>
  <c r="BD815" i="14"/>
  <c r="AO815" i="14"/>
  <c r="AU815" i="14"/>
  <c r="L815" i="14"/>
  <c r="BM815" i="14"/>
  <c r="P815" i="14"/>
  <c r="AV815" i="14"/>
  <c r="BR815" i="14"/>
  <c r="V815" i="14"/>
  <c r="AN815" i="14"/>
  <c r="BG815" i="14"/>
  <c r="J815" i="14"/>
  <c r="BE815" i="14"/>
  <c r="AE815" i="14"/>
  <c r="BL815" i="14"/>
  <c r="AP815" i="14"/>
  <c r="AT815" i="14"/>
  <c r="I815" i="14"/>
  <c r="M815" i="14"/>
  <c r="BJ815" i="14"/>
  <c r="BI815" i="14"/>
  <c r="Z815" i="14"/>
  <c r="BX1364" i="14"/>
  <c r="BW1369" i="14"/>
  <c r="AA822" i="14"/>
  <c r="AP822" i="14"/>
  <c r="BC822" i="14"/>
  <c r="AK822" i="14"/>
  <c r="BJ822" i="14"/>
  <c r="BS822" i="14"/>
  <c r="BB822" i="14"/>
  <c r="BY822" i="14"/>
  <c r="AB822" i="14"/>
  <c r="AZ822" i="14"/>
  <c r="BP822" i="14"/>
  <c r="BT816" i="14"/>
  <c r="AJ816" i="14"/>
  <c r="BR816" i="14"/>
  <c r="X816" i="14"/>
  <c r="W816" i="14"/>
  <c r="BL820" i="14"/>
  <c r="AO819" i="14"/>
  <c r="AT816" i="14"/>
  <c r="AA819" i="14"/>
  <c r="BX816" i="14"/>
  <c r="BC819" i="14"/>
  <c r="AE819" i="14"/>
  <c r="BK819" i="14"/>
  <c r="BI819" i="14"/>
  <c r="M819" i="14"/>
  <c r="AV819" i="14"/>
  <c r="BW819" i="14"/>
  <c r="BH819" i="14"/>
  <c r="BJ819" i="14"/>
  <c r="BU820" i="14"/>
  <c r="V819" i="14"/>
  <c r="BS820" i="14"/>
  <c r="BR819" i="14"/>
  <c r="V820" i="14"/>
  <c r="BS819" i="14"/>
  <c r="BN814" i="14"/>
  <c r="BC820" i="14"/>
  <c r="BA819" i="14"/>
  <c r="AF820" i="14"/>
  <c r="BF820" i="14"/>
  <c r="AN819" i="14"/>
  <c r="N820" i="14"/>
  <c r="AL820" i="14"/>
  <c r="AS819" i="14"/>
  <c r="AK820" i="14"/>
  <c r="AU819" i="14"/>
  <c r="AU814" i="14"/>
  <c r="AE820" i="14"/>
  <c r="BI820" i="14"/>
  <c r="U820" i="14"/>
  <c r="AS820" i="14"/>
  <c r="BT822" i="14"/>
  <c r="BQ822" i="14"/>
  <c r="BV820" i="14"/>
  <c r="BN820" i="14"/>
  <c r="K820" i="14"/>
  <c r="BA822" i="14"/>
  <c r="BM820" i="14"/>
  <c r="AA820" i="14"/>
  <c r="AD820" i="14"/>
  <c r="BG822" i="14"/>
  <c r="BQ820" i="14"/>
  <c r="BX820" i="14"/>
  <c r="BE820" i="14"/>
  <c r="AI822" i="14"/>
  <c r="AU820" i="14"/>
  <c r="AM820" i="14"/>
  <c r="BF822" i="14"/>
  <c r="I820" i="14"/>
  <c r="BT820" i="14"/>
  <c r="S820" i="14"/>
  <c r="Q822" i="14"/>
  <c r="AI820" i="14"/>
  <c r="L820" i="14"/>
  <c r="P822" i="14"/>
  <c r="AV814" i="14"/>
  <c r="AH820" i="14"/>
  <c r="P820" i="14"/>
  <c r="AF822" i="14"/>
  <c r="R814" i="14"/>
  <c r="AO820" i="14"/>
  <c r="AY820" i="14"/>
  <c r="T822" i="14"/>
  <c r="AA814" i="14"/>
  <c r="BU814" i="14"/>
  <c r="BQ814" i="14"/>
  <c r="AY819" i="14"/>
  <c r="N819" i="14"/>
  <c r="BM819" i="14"/>
  <c r="AF819" i="14"/>
  <c r="J819" i="14"/>
  <c r="BP819" i="14"/>
  <c r="AI821" i="14"/>
  <c r="AL819" i="14"/>
  <c r="L819" i="14"/>
  <c r="O821" i="14"/>
  <c r="BN819" i="14"/>
  <c r="BG819" i="14"/>
  <c r="U821" i="14"/>
  <c r="BT819" i="14"/>
  <c r="T819" i="14"/>
  <c r="BG821" i="14"/>
  <c r="AM819" i="14"/>
  <c r="BY819" i="14"/>
  <c r="BI821" i="14"/>
  <c r="AI819" i="14"/>
  <c r="AK819" i="14"/>
  <c r="BH821" i="14"/>
  <c r="BO822" i="14"/>
  <c r="BE822" i="14"/>
  <c r="BW822" i="14"/>
  <c r="AW822" i="14"/>
  <c r="AV822" i="14"/>
  <c r="AG819" i="14"/>
  <c r="AD819" i="14"/>
  <c r="M816" i="14"/>
  <c r="K819" i="14"/>
  <c r="AH819" i="14"/>
  <c r="Z819" i="14"/>
  <c r="AJ819" i="14"/>
  <c r="T821" i="14"/>
  <c r="BV819" i="14"/>
  <c r="AD821" i="14"/>
  <c r="AM816" i="14"/>
  <c r="U819" i="14"/>
  <c r="Y819" i="14"/>
  <c r="BO819" i="14"/>
  <c r="AT819" i="14"/>
  <c r="AA821" i="14"/>
  <c r="AW819" i="14"/>
  <c r="AB819" i="14"/>
  <c r="BB819" i="14"/>
  <c r="AP819" i="14"/>
  <c r="AZ819" i="14"/>
  <c r="BQ821" i="14"/>
  <c r="R819" i="14"/>
  <c r="BX819" i="14"/>
  <c r="AX819" i="14"/>
  <c r="BE819" i="14"/>
  <c r="X819" i="14"/>
  <c r="BV821" i="14"/>
  <c r="AF821" i="14"/>
  <c r="Q819" i="14"/>
  <c r="BD819" i="14"/>
  <c r="S819" i="14"/>
  <c r="AR819" i="14"/>
  <c r="J821" i="14"/>
  <c r="O819" i="14"/>
  <c r="H816" i="14"/>
  <c r="AQ819" i="14"/>
  <c r="I819" i="14"/>
  <c r="H819" i="14"/>
  <c r="P819" i="14"/>
  <c r="AC821" i="14"/>
  <c r="I821" i="14"/>
  <c r="BF819" i="14"/>
  <c r="AH816" i="14"/>
  <c r="BU819" i="14"/>
  <c r="W819" i="14"/>
  <c r="AC819" i="14"/>
  <c r="BL819" i="14"/>
  <c r="BR821" i="14"/>
  <c r="M814" i="14"/>
  <c r="S814" i="14"/>
  <c r="BO814" i="14"/>
  <c r="AN814" i="14"/>
  <c r="AS814" i="14"/>
  <c r="AR814" i="14"/>
  <c r="BG816" i="14"/>
  <c r="R816" i="14"/>
  <c r="BA820" i="14"/>
  <c r="Y820" i="14"/>
  <c r="J816" i="14"/>
  <c r="AR820" i="14"/>
  <c r="Q820" i="14"/>
  <c r="O820" i="14"/>
  <c r="BY820" i="14"/>
  <c r="AE822" i="14"/>
  <c r="BR822" i="14"/>
  <c r="AQ822" i="14"/>
  <c r="BK816" i="14"/>
  <c r="K816" i="14"/>
  <c r="AQ820" i="14"/>
  <c r="P816" i="14"/>
  <c r="BH820" i="14"/>
  <c r="X820" i="14"/>
  <c r="BG820" i="14"/>
  <c r="AT820" i="14"/>
  <c r="BH822" i="14"/>
  <c r="AU822" i="14"/>
  <c r="J822" i="14"/>
  <c r="BJ820" i="14"/>
  <c r="Q816" i="14"/>
  <c r="AP820" i="14"/>
  <c r="BB820" i="14"/>
  <c r="T820" i="14"/>
  <c r="AZ820" i="14"/>
  <c r="AT822" i="14"/>
  <c r="AJ822" i="14"/>
  <c r="BF816" i="14"/>
  <c r="W820" i="14"/>
  <c r="M820" i="14"/>
  <c r="AQ816" i="14"/>
  <c r="AU816" i="14"/>
  <c r="Z820" i="14"/>
  <c r="AV820" i="14"/>
  <c r="AC820" i="14"/>
  <c r="H820" i="14"/>
  <c r="AN820" i="14"/>
  <c r="N822" i="14"/>
  <c r="BI822" i="14"/>
  <c r="J820" i="14"/>
  <c r="BR820" i="14"/>
  <c r="AR816" i="14"/>
  <c r="AY816" i="14"/>
  <c r="BK820" i="14"/>
  <c r="AJ820" i="14"/>
  <c r="R820" i="14"/>
  <c r="AW820" i="14"/>
  <c r="BO820" i="14"/>
  <c r="V822" i="14"/>
  <c r="BL822" i="14"/>
  <c r="Y816" i="14"/>
  <c r="BP820" i="14"/>
  <c r="AL816" i="14"/>
  <c r="AK816" i="14"/>
  <c r="AX820" i="14"/>
  <c r="BW820" i="14"/>
  <c r="AB820" i="14"/>
  <c r="BD820" i="14"/>
  <c r="W822" i="14"/>
  <c r="K822" i="14"/>
  <c r="AG816" i="14"/>
  <c r="BH816" i="14"/>
  <c r="BN816" i="14"/>
  <c r="AW821" i="14"/>
  <c r="AN821" i="14"/>
  <c r="V816" i="14"/>
  <c r="AB816" i="14"/>
  <c r="AE816" i="14"/>
  <c r="AB821" i="14"/>
  <c r="BU821" i="14"/>
  <c r="BV816" i="14"/>
  <c r="BY816" i="14"/>
  <c r="AZ816" i="14"/>
  <c r="BP821" i="14"/>
  <c r="AY821" i="14"/>
  <c r="T816" i="14"/>
  <c r="AS816" i="14"/>
  <c r="BU816" i="14"/>
  <c r="AL821" i="14"/>
  <c r="BD821" i="14"/>
  <c r="N821" i="14"/>
  <c r="BD816" i="14"/>
  <c r="BP816" i="14"/>
  <c r="AO816" i="14"/>
  <c r="Z821" i="14"/>
  <c r="R821" i="14"/>
  <c r="AH821" i="14"/>
  <c r="U816" i="14"/>
  <c r="O816" i="14"/>
  <c r="Q821" i="14"/>
  <c r="X821" i="14"/>
  <c r="BS816" i="14"/>
  <c r="AN816" i="14"/>
  <c r="AD816" i="14"/>
  <c r="I816" i="14"/>
  <c r="AK821" i="14"/>
  <c r="AT821" i="14"/>
  <c r="BO816" i="14"/>
  <c r="AI816" i="14"/>
  <c r="BI816" i="14"/>
  <c r="S821" i="14"/>
  <c r="AR821" i="14"/>
  <c r="BP814" i="14"/>
  <c r="P814" i="14"/>
  <c r="AX821" i="14"/>
  <c r="BW821" i="14"/>
  <c r="H821" i="14"/>
  <c r="BJ821" i="14"/>
  <c r="Z814" i="14"/>
  <c r="BD814" i="14"/>
  <c r="BN821" i="14"/>
  <c r="BL821" i="14"/>
  <c r="AG821" i="14"/>
  <c r="L821" i="14"/>
  <c r="M821" i="14"/>
  <c r="AL814" i="14"/>
  <c r="AU821" i="14"/>
  <c r="BC821" i="14"/>
  <c r="BX821" i="14"/>
  <c r="AE821" i="14"/>
  <c r="BE821" i="14"/>
  <c r="U814" i="14"/>
  <c r="V821" i="14"/>
  <c r="BM821" i="14"/>
  <c r="K821" i="14"/>
  <c r="AM821" i="14"/>
  <c r="BA821" i="14"/>
  <c r="BS814" i="14"/>
  <c r="BV814" i="14"/>
  <c r="BK821" i="14"/>
  <c r="BY821" i="14"/>
  <c r="BO821" i="14"/>
  <c r="AV821" i="14"/>
  <c r="AP821" i="14"/>
  <c r="AK814" i="14"/>
  <c r="BB821" i="14"/>
  <c r="BT821" i="14"/>
  <c r="AZ821" i="14"/>
  <c r="AJ821" i="14"/>
  <c r="V814" i="14"/>
  <c r="AQ821" i="14"/>
  <c r="AS821" i="14"/>
  <c r="AO821" i="14"/>
  <c r="W821" i="14"/>
  <c r="O814" i="14"/>
  <c r="Y821" i="14"/>
  <c r="BF821" i="14"/>
  <c r="BS821" i="14"/>
  <c r="W814" i="14"/>
  <c r="AM814" i="14"/>
  <c r="AJ814" i="14"/>
  <c r="AP814" i="14"/>
  <c r="AX814" i="14"/>
  <c r="BB814" i="14"/>
  <c r="AQ814" i="14"/>
  <c r="AC814" i="14"/>
  <c r="BY814" i="14"/>
  <c r="AO814" i="14"/>
  <c r="BX814" i="14"/>
  <c r="BK814" i="14"/>
  <c r="Y814" i="14"/>
  <c r="K814" i="14"/>
  <c r="BG814" i="14"/>
  <c r="AG814" i="14"/>
  <c r="L814" i="14"/>
  <c r="BA814" i="14"/>
  <c r="N814" i="14"/>
  <c r="BW814" i="14"/>
  <c r="AI814" i="14"/>
  <c r="AF814" i="14"/>
  <c r="AB814" i="14"/>
  <c r="BH814" i="14"/>
  <c r="I814" i="14"/>
  <c r="T814" i="14"/>
  <c r="BT814" i="14"/>
  <c r="BL814" i="14"/>
  <c r="AZ814" i="14"/>
  <c r="BE814" i="14"/>
  <c r="AD814" i="14"/>
  <c r="X814" i="14"/>
  <c r="AT814" i="14"/>
  <c r="AY814" i="14"/>
  <c r="BI814" i="14"/>
  <c r="BM814" i="14"/>
  <c r="BJ814" i="14"/>
  <c r="AE814" i="14"/>
  <c r="Q814" i="14"/>
  <c r="BR814" i="14"/>
  <c r="J814" i="14"/>
  <c r="AH814" i="14"/>
  <c r="BC814" i="14"/>
  <c r="BF814" i="14"/>
  <c r="H814" i="14"/>
  <c r="X822" i="14"/>
  <c r="AY822" i="14"/>
  <c r="Z822" i="14"/>
  <c r="BX822" i="14"/>
  <c r="AL822" i="14"/>
  <c r="BM816" i="14"/>
  <c r="BW816" i="14"/>
  <c r="AV816" i="14"/>
  <c r="BQ816" i="14"/>
  <c r="AY817" i="14"/>
  <c r="AZ817" i="14"/>
  <c r="BU817" i="14"/>
  <c r="N817" i="14"/>
  <c r="K817" i="14"/>
  <c r="Y822" i="14"/>
  <c r="AO822" i="14"/>
  <c r="BM822" i="14"/>
  <c r="R822" i="14"/>
  <c r="BD822" i="14"/>
  <c r="Z816" i="14"/>
  <c r="BC816" i="14"/>
  <c r="L816" i="14"/>
  <c r="AC816" i="14"/>
  <c r="BW817" i="14"/>
  <c r="AL817" i="14"/>
  <c r="BV817" i="14"/>
  <c r="P817" i="14"/>
  <c r="AG822" i="14"/>
  <c r="M822" i="14"/>
  <c r="AH822" i="14"/>
  <c r="AS822" i="14"/>
  <c r="BB816" i="14"/>
  <c r="BA816" i="14"/>
  <c r="BJ816" i="14"/>
  <c r="AF816" i="14"/>
  <c r="BF817" i="14"/>
  <c r="AO817" i="14"/>
  <c r="AD817" i="14"/>
  <c r="V817" i="14"/>
  <c r="BU822" i="14"/>
  <c r="AC822" i="14"/>
  <c r="BK822" i="14"/>
  <c r="AX822" i="14"/>
  <c r="S816" i="14"/>
  <c r="AW816" i="14"/>
  <c r="AA816" i="14"/>
  <c r="AP816" i="14"/>
  <c r="AB817" i="14"/>
  <c r="AN817" i="14"/>
  <c r="BJ817" i="14"/>
  <c r="I817" i="14"/>
  <c r="S822" i="14"/>
  <c r="AM822" i="14"/>
  <c r="O822" i="14"/>
  <c r="U822" i="14"/>
  <c r="N816" i="14"/>
  <c r="AX816" i="14"/>
  <c r="BL816" i="14"/>
  <c r="AG817" i="14"/>
  <c r="X817" i="14"/>
  <c r="BP817" i="14"/>
  <c r="AR822" i="14"/>
  <c r="AD822" i="14"/>
  <c r="I822" i="14"/>
  <c r="BV822" i="14"/>
  <c r="AN822" i="14"/>
  <c r="L822" i="14"/>
  <c r="BN822" i="14"/>
  <c r="BH285" i="14"/>
  <c r="BH283" i="14"/>
  <c r="BH287" i="14"/>
  <c r="BH288" i="14"/>
  <c r="BH281" i="14"/>
  <c r="BH282" i="14"/>
  <c r="BH280" i="14"/>
  <c r="BH284" i="14"/>
  <c r="BH286" i="14"/>
  <c r="BH764" i="14"/>
  <c r="BI759" i="14"/>
  <c r="BI252" i="14"/>
  <c r="BI256" i="14"/>
  <c r="BI250" i="14"/>
  <c r="BI253" i="14"/>
  <c r="BI249" i="14"/>
  <c r="BI251" i="14"/>
  <c r="BI255" i="14"/>
  <c r="BI254" i="14"/>
  <c r="BJ243" i="14"/>
  <c r="BK238" i="14"/>
  <c r="BG772" i="14"/>
  <c r="BG773" i="14"/>
  <c r="BG777" i="14"/>
  <c r="BG776" i="14"/>
  <c r="BG774" i="14"/>
  <c r="BG775" i="14"/>
  <c r="BG771" i="14"/>
  <c r="BI275" i="14"/>
  <c r="BL310" i="14"/>
  <c r="BC136" i="14" l="1"/>
  <c r="BC131" i="14"/>
  <c r="BC137" i="14"/>
  <c r="BC133" i="14"/>
  <c r="BC132" i="14"/>
  <c r="BC139" i="14"/>
  <c r="BC138" i="14"/>
  <c r="BC134" i="14"/>
  <c r="BC135" i="14"/>
  <c r="BD126" i="14"/>
  <c r="BE322" i="14"/>
  <c r="AL335" i="14" s="1"/>
  <c r="BE325" i="14"/>
  <c r="AG338" i="14" s="1"/>
  <c r="BE323" i="14"/>
  <c r="Y336" i="14" s="1"/>
  <c r="BE326" i="14"/>
  <c r="BT339" i="14" s="1"/>
  <c r="BE327" i="14"/>
  <c r="AN340" i="14" s="1"/>
  <c r="BE328" i="14"/>
  <c r="AM341" i="14" s="1"/>
  <c r="BE324" i="14"/>
  <c r="BF315" i="14"/>
  <c r="BG315" i="14" s="1"/>
  <c r="BC356" i="14"/>
  <c r="BC352" i="14"/>
  <c r="BC359" i="14"/>
  <c r="BC357" i="14"/>
  <c r="BC354" i="14"/>
  <c r="BC355" i="14"/>
  <c r="BC360" i="14"/>
  <c r="BC353" i="14"/>
  <c r="BC358" i="14"/>
  <c r="BD347" i="14"/>
  <c r="BE347" i="14" s="1"/>
  <c r="BU337" i="14"/>
  <c r="V337" i="14"/>
  <c r="W337" i="14"/>
  <c r="Z337" i="14"/>
  <c r="BM337" i="14"/>
  <c r="BL337" i="14"/>
  <c r="T337" i="14"/>
  <c r="BE337" i="14"/>
  <c r="BJ94" i="14"/>
  <c r="BK89" i="14"/>
  <c r="BI106" i="14"/>
  <c r="BI101" i="14"/>
  <c r="BI103" i="14"/>
  <c r="BI107" i="14"/>
  <c r="BI105" i="14"/>
  <c r="BI104" i="14"/>
  <c r="BI102" i="14"/>
  <c r="BJ341" i="14"/>
  <c r="M341" i="14"/>
  <c r="BG341" i="14"/>
  <c r="AW341" i="14"/>
  <c r="L341" i="14"/>
  <c r="BR341" i="14"/>
  <c r="BU341" i="14"/>
  <c r="W341" i="14"/>
  <c r="X341" i="14"/>
  <c r="K341" i="14"/>
  <c r="BM341" i="14"/>
  <c r="U341" i="14"/>
  <c r="AD341" i="14"/>
  <c r="BH341" i="14"/>
  <c r="AV341" i="14"/>
  <c r="BI341" i="14"/>
  <c r="N341" i="14"/>
  <c r="S341" i="14"/>
  <c r="AR341" i="14"/>
  <c r="AA341" i="14"/>
  <c r="AK341" i="14"/>
  <c r="AH341" i="14"/>
  <c r="BO341" i="14"/>
  <c r="BL341" i="14"/>
  <c r="BS341" i="14"/>
  <c r="AF341" i="14"/>
  <c r="BY341" i="14"/>
  <c r="BN341" i="14"/>
  <c r="BA341" i="14"/>
  <c r="BX341" i="14"/>
  <c r="BE341" i="14"/>
  <c r="AB341" i="14"/>
  <c r="O341" i="14"/>
  <c r="H341" i="14"/>
  <c r="BK341" i="14"/>
  <c r="AC341" i="14"/>
  <c r="R341" i="14"/>
  <c r="T341" i="14"/>
  <c r="AS341" i="14"/>
  <c r="BD341" i="14"/>
  <c r="AL341" i="14"/>
  <c r="AY341" i="14"/>
  <c r="BP341" i="14"/>
  <c r="AX341" i="14"/>
  <c r="AE341" i="14"/>
  <c r="I341" i="14"/>
  <c r="AU341" i="14"/>
  <c r="AJ341" i="14"/>
  <c r="AT341" i="14"/>
  <c r="BF341" i="14"/>
  <c r="AO341" i="14"/>
  <c r="AG341" i="14"/>
  <c r="BT341" i="14"/>
  <c r="BB341" i="14"/>
  <c r="Q341" i="14"/>
  <c r="AZ341" i="14"/>
  <c r="Z341" i="14"/>
  <c r="AP341" i="14"/>
  <c r="AQ341" i="14"/>
  <c r="BQ341" i="14"/>
  <c r="AN341" i="14"/>
  <c r="BC843" i="14"/>
  <c r="BC844" i="14"/>
  <c r="BC845" i="14"/>
  <c r="BC846" i="14"/>
  <c r="BC847" i="14"/>
  <c r="BC849" i="14"/>
  <c r="BC848" i="14"/>
  <c r="BC842" i="14"/>
  <c r="BC868" i="14"/>
  <c r="BD836" i="14"/>
  <c r="BB879" i="14"/>
  <c r="BB878" i="14"/>
  <c r="BB881" i="14"/>
  <c r="BB880" i="14"/>
  <c r="BB873" i="14"/>
  <c r="BB877" i="14"/>
  <c r="BB876" i="14"/>
  <c r="BB875" i="14"/>
  <c r="BB874" i="14"/>
  <c r="BG801" i="14"/>
  <c r="BG805" i="14"/>
  <c r="BG808" i="14"/>
  <c r="BG809" i="14"/>
  <c r="BG807" i="14"/>
  <c r="BH796" i="14"/>
  <c r="BH806" i="14" s="1"/>
  <c r="BG804" i="14"/>
  <c r="BG802" i="14"/>
  <c r="BG803" i="14"/>
  <c r="BY1364" i="14"/>
  <c r="BY1369" i="14" s="1"/>
  <c r="BX1369" i="14"/>
  <c r="BJ275" i="14"/>
  <c r="BJ287" i="14" s="1"/>
  <c r="BJ250" i="14"/>
  <c r="BJ251" i="14"/>
  <c r="BJ254" i="14"/>
  <c r="BJ255" i="14"/>
  <c r="BJ256" i="14"/>
  <c r="BJ253" i="14"/>
  <c r="BJ249" i="14"/>
  <c r="BJ252" i="14"/>
  <c r="BI764" i="14"/>
  <c r="BJ759" i="14"/>
  <c r="BM310" i="14"/>
  <c r="BH772" i="14"/>
  <c r="BH773" i="14"/>
  <c r="BH775" i="14"/>
  <c r="BH776" i="14"/>
  <c r="BH777" i="14"/>
  <c r="BH774" i="14"/>
  <c r="BH771" i="14"/>
  <c r="BK243" i="14"/>
  <c r="BL238" i="14"/>
  <c r="BI286" i="14"/>
  <c r="BI288" i="14"/>
  <c r="BI282" i="14"/>
  <c r="BI283" i="14"/>
  <c r="BI287" i="14"/>
  <c r="BI284" i="14"/>
  <c r="BI285" i="14"/>
  <c r="BI280" i="14"/>
  <c r="BI281" i="14"/>
  <c r="AD337" i="14" l="1"/>
  <c r="BT337" i="14"/>
  <c r="BK337" i="14"/>
  <c r="BP337" i="14"/>
  <c r="Q337" i="14"/>
  <c r="AF337" i="14"/>
  <c r="BR337" i="14"/>
  <c r="AM337" i="14"/>
  <c r="BY337" i="14"/>
  <c r="BH337" i="14"/>
  <c r="P337" i="14"/>
  <c r="Y337" i="14"/>
  <c r="AC337" i="14"/>
  <c r="AS337" i="14"/>
  <c r="AL337" i="14"/>
  <c r="AA337" i="14"/>
  <c r="BW337" i="14"/>
  <c r="J341" i="14"/>
  <c r="BC340" i="14"/>
  <c r="AW337" i="14"/>
  <c r="AJ337" i="14"/>
  <c r="AZ337" i="14"/>
  <c r="BD337" i="14"/>
  <c r="BF337" i="14"/>
  <c r="BN337" i="14"/>
  <c r="R337" i="14"/>
  <c r="H337" i="14"/>
  <c r="BQ337" i="14"/>
  <c r="AK337" i="14"/>
  <c r="K337" i="14"/>
  <c r="AB337" i="14"/>
  <c r="BA337" i="14"/>
  <c r="AN337" i="14"/>
  <c r="BG337" i="14"/>
  <c r="O337" i="14"/>
  <c r="BS339" i="14"/>
  <c r="BP339" i="14"/>
  <c r="AC339" i="14"/>
  <c r="AN336" i="14"/>
  <c r="AZ336" i="14"/>
  <c r="AQ336" i="14"/>
  <c r="P339" i="14"/>
  <c r="AM339" i="14"/>
  <c r="AB336" i="14"/>
  <c r="X339" i="14"/>
  <c r="AJ339" i="14"/>
  <c r="Q339" i="14"/>
  <c r="BH339" i="14"/>
  <c r="AA339" i="14"/>
  <c r="AI339" i="14"/>
  <c r="W339" i="14"/>
  <c r="Z339" i="14"/>
  <c r="BK339" i="14"/>
  <c r="AB339" i="14"/>
  <c r="V339" i="14"/>
  <c r="AF339" i="14"/>
  <c r="BV339" i="14"/>
  <c r="BF339" i="14"/>
  <c r="BI339" i="14"/>
  <c r="AE339" i="14"/>
  <c r="AT339" i="14"/>
  <c r="BJ339" i="14"/>
  <c r="BM339" i="14"/>
  <c r="BB339" i="14"/>
  <c r="BU339" i="14"/>
  <c r="BY339" i="14"/>
  <c r="BL339" i="14"/>
  <c r="H339" i="14"/>
  <c r="AY339" i="14"/>
  <c r="AQ339" i="14"/>
  <c r="S336" i="14"/>
  <c r="BD336" i="14"/>
  <c r="AV336" i="14"/>
  <c r="AC336" i="14"/>
  <c r="AL336" i="14"/>
  <c r="BU336" i="14"/>
  <c r="Q336" i="14"/>
  <c r="K336" i="14"/>
  <c r="H336" i="14"/>
  <c r="AK336" i="14"/>
  <c r="BM336" i="14"/>
  <c r="AA336" i="14"/>
  <c r="BY336" i="14"/>
  <c r="W336" i="14"/>
  <c r="AO336" i="14"/>
  <c r="I336" i="14"/>
  <c r="AF336" i="14"/>
  <c r="Z336" i="14"/>
  <c r="M336" i="14"/>
  <c r="AE336" i="14"/>
  <c r="T336" i="14"/>
  <c r="BN336" i="14"/>
  <c r="P336" i="14"/>
  <c r="BB336" i="14"/>
  <c r="BE336" i="14"/>
  <c r="BF336" i="14"/>
  <c r="V336" i="14"/>
  <c r="O336" i="14"/>
  <c r="X336" i="14"/>
  <c r="BL336" i="14"/>
  <c r="BA336" i="14"/>
  <c r="BP336" i="14"/>
  <c r="AO339" i="14"/>
  <c r="BO336" i="14"/>
  <c r="BQ336" i="14"/>
  <c r="BR336" i="14"/>
  <c r="BW336" i="14"/>
  <c r="BA339" i="14"/>
  <c r="BS336" i="14"/>
  <c r="BC336" i="14"/>
  <c r="U336" i="14"/>
  <c r="AH336" i="14"/>
  <c r="S339" i="14"/>
  <c r="AV339" i="14"/>
  <c r="AK339" i="14"/>
  <c r="BT336" i="14"/>
  <c r="BI336" i="14"/>
  <c r="AW336" i="14"/>
  <c r="AJ336" i="14"/>
  <c r="AS339" i="14"/>
  <c r="AN339" i="14"/>
  <c r="BC339" i="14"/>
  <c r="BH336" i="14"/>
  <c r="BJ336" i="14"/>
  <c r="AM336" i="14"/>
  <c r="AS336" i="14"/>
  <c r="BN339" i="14"/>
  <c r="BG339" i="14"/>
  <c r="AX339" i="14"/>
  <c r="AP336" i="14"/>
  <c r="AG336" i="14"/>
  <c r="BK336" i="14"/>
  <c r="BX336" i="14"/>
  <c r="Y339" i="14"/>
  <c r="M339" i="14"/>
  <c r="J339" i="14"/>
  <c r="BG336" i="14"/>
  <c r="N336" i="14"/>
  <c r="R336" i="14"/>
  <c r="AU336" i="14"/>
  <c r="BW339" i="14"/>
  <c r="AR339" i="14"/>
  <c r="AT336" i="14"/>
  <c r="L336" i="14"/>
  <c r="J336" i="14"/>
  <c r="AY336" i="14"/>
  <c r="BR339" i="14"/>
  <c r="BE339" i="14"/>
  <c r="AU337" i="14"/>
  <c r="BC337" i="14"/>
  <c r="BO337" i="14"/>
  <c r="U337" i="14"/>
  <c r="S337" i="14"/>
  <c r="AX337" i="14"/>
  <c r="AR337" i="14"/>
  <c r="J337" i="14"/>
  <c r="BX337" i="14"/>
  <c r="AT337" i="14"/>
  <c r="N337" i="14"/>
  <c r="L337" i="14"/>
  <c r="AP337" i="14"/>
  <c r="AI337" i="14"/>
  <c r="I337" i="14"/>
  <c r="AV337" i="14"/>
  <c r="X337" i="14"/>
  <c r="AO337" i="14"/>
  <c r="BI337" i="14"/>
  <c r="BV337" i="14"/>
  <c r="AV338" i="14"/>
  <c r="AA338" i="14"/>
  <c r="V338" i="14"/>
  <c r="R338" i="14"/>
  <c r="BI338" i="14"/>
  <c r="BB338" i="14"/>
  <c r="BE335" i="14"/>
  <c r="BF338" i="14"/>
  <c r="AD338" i="14"/>
  <c r="Z335" i="14"/>
  <c r="K338" i="14"/>
  <c r="BG335" i="14"/>
  <c r="AU338" i="14"/>
  <c r="AY338" i="14"/>
  <c r="AE338" i="14"/>
  <c r="AC338" i="14"/>
  <c r="BN335" i="14"/>
  <c r="BT338" i="14"/>
  <c r="BW338" i="14"/>
  <c r="AH338" i="14"/>
  <c r="Z338" i="14"/>
  <c r="W338" i="14"/>
  <c r="AA335" i="14"/>
  <c r="O338" i="14"/>
  <c r="Y338" i="14"/>
  <c r="BE338" i="14"/>
  <c r="I339" i="14"/>
  <c r="BS337" i="14"/>
  <c r="AH337" i="14"/>
  <c r="BJ337" i="14"/>
  <c r="R339" i="14"/>
  <c r="AY337" i="14"/>
  <c r="AQ337" i="14"/>
  <c r="BB337" i="14"/>
  <c r="T339" i="14"/>
  <c r="M337" i="14"/>
  <c r="AG337" i="14"/>
  <c r="AE337" i="14"/>
  <c r="I340" i="14"/>
  <c r="AH340" i="14"/>
  <c r="BX340" i="14"/>
  <c r="AL340" i="14"/>
  <c r="AS340" i="14"/>
  <c r="BO335" i="14"/>
  <c r="T335" i="14"/>
  <c r="AX340" i="14"/>
  <c r="BW335" i="14"/>
  <c r="U335" i="14"/>
  <c r="AD339" i="14"/>
  <c r="R340" i="14"/>
  <c r="AG335" i="14"/>
  <c r="K340" i="14"/>
  <c r="AC340" i="14"/>
  <c r="AR335" i="14"/>
  <c r="AM340" i="14"/>
  <c r="BW340" i="14"/>
  <c r="AE335" i="14"/>
  <c r="BU340" i="14"/>
  <c r="AR340" i="14"/>
  <c r="Y335" i="14"/>
  <c r="AH339" i="14"/>
  <c r="Q340" i="14"/>
  <c r="AU335" i="14"/>
  <c r="AK340" i="14"/>
  <c r="U339" i="14"/>
  <c r="BS340" i="14"/>
  <c r="AX335" i="14"/>
  <c r="BL340" i="14"/>
  <c r="BY338" i="14"/>
  <c r="AZ340" i="14"/>
  <c r="AR336" i="14"/>
  <c r="BR338" i="14"/>
  <c r="AQ338" i="14"/>
  <c r="J338" i="14"/>
  <c r="N338" i="14"/>
  <c r="N340" i="14"/>
  <c r="O340" i="14"/>
  <c r="BT340" i="14"/>
  <c r="AE340" i="14"/>
  <c r="H340" i="14"/>
  <c r="Q335" i="14"/>
  <c r="AF335" i="14"/>
  <c r="S335" i="14"/>
  <c r="N335" i="14"/>
  <c r="S340" i="14"/>
  <c r="J340" i="14"/>
  <c r="AO340" i="14"/>
  <c r="BH340" i="14"/>
  <c r="BB335" i="14"/>
  <c r="I335" i="14"/>
  <c r="R335" i="14"/>
  <c r="BI335" i="14"/>
  <c r="AI338" i="14"/>
  <c r="AS338" i="14"/>
  <c r="L338" i="14"/>
  <c r="BJ338" i="14"/>
  <c r="BR340" i="14"/>
  <c r="AT340" i="14"/>
  <c r="AD340" i="14"/>
  <c r="T340" i="14"/>
  <c r="V335" i="14"/>
  <c r="BJ335" i="14"/>
  <c r="AH335" i="14"/>
  <c r="BU335" i="14"/>
  <c r="I338" i="14"/>
  <c r="BQ338" i="14"/>
  <c r="BG338" i="14"/>
  <c r="U338" i="14"/>
  <c r="BG322" i="14"/>
  <c r="BG325" i="14"/>
  <c r="BG328" i="14"/>
  <c r="BG324" i="14"/>
  <c r="BG326" i="14"/>
  <c r="BG327" i="14"/>
  <c r="BG323" i="14"/>
  <c r="Z340" i="14"/>
  <c r="AF340" i="14"/>
  <c r="BP340" i="14"/>
  <c r="AD336" i="14"/>
  <c r="J335" i="14"/>
  <c r="H335" i="14"/>
  <c r="BD335" i="14"/>
  <c r="BP335" i="14"/>
  <c r="AF338" i="14"/>
  <c r="T338" i="14"/>
  <c r="BS338" i="14"/>
  <c r="AK338" i="14"/>
  <c r="AT338" i="14"/>
  <c r="AJ338" i="14"/>
  <c r="L340" i="14"/>
  <c r="BO340" i="14"/>
  <c r="V340" i="14"/>
  <c r="BK335" i="14"/>
  <c r="AV335" i="14"/>
  <c r="BA335" i="14"/>
  <c r="BL335" i="14"/>
  <c r="M335" i="14"/>
  <c r="BX339" i="14"/>
  <c r="BA338" i="14"/>
  <c r="AM338" i="14"/>
  <c r="H338" i="14"/>
  <c r="BK94" i="14"/>
  <c r="BL89" i="14"/>
  <c r="BU338" i="14"/>
  <c r="BF322" i="14"/>
  <c r="BF324" i="14"/>
  <c r="BF325" i="14"/>
  <c r="BF326" i="14"/>
  <c r="BF328" i="14"/>
  <c r="BF323" i="14"/>
  <c r="BF327" i="14"/>
  <c r="BF347" i="14"/>
  <c r="BG347" i="14" s="1"/>
  <c r="AX336" i="14"/>
  <c r="Y340" i="14"/>
  <c r="BG340" i="14"/>
  <c r="U340" i="14"/>
  <c r="AW340" i="14"/>
  <c r="AY335" i="14"/>
  <c r="L335" i="14"/>
  <c r="AQ335" i="14"/>
  <c r="BT335" i="14"/>
  <c r="BC338" i="14"/>
  <c r="AL338" i="14"/>
  <c r="BJ106" i="14"/>
  <c r="BJ102" i="14"/>
  <c r="BJ105" i="14"/>
  <c r="BJ104" i="14"/>
  <c r="BJ103" i="14"/>
  <c r="BJ101" i="14"/>
  <c r="BJ107" i="14"/>
  <c r="BD356" i="14"/>
  <c r="BD353" i="14"/>
  <c r="BD360" i="14"/>
  <c r="BD357" i="14"/>
  <c r="BD359" i="14"/>
  <c r="BD354" i="14"/>
  <c r="BD358" i="14"/>
  <c r="BD352" i="14"/>
  <c r="BD355" i="14"/>
  <c r="BH315" i="14"/>
  <c r="BI315" i="14" s="1"/>
  <c r="BM338" i="14"/>
  <c r="AW335" i="14"/>
  <c r="AQ340" i="14"/>
  <c r="BD340" i="14"/>
  <c r="BF340" i="14"/>
  <c r="BK340" i="14"/>
  <c r="BY335" i="14"/>
  <c r="BS335" i="14"/>
  <c r="AJ335" i="14"/>
  <c r="AC335" i="14"/>
  <c r="BE358" i="14"/>
  <c r="BE357" i="14"/>
  <c r="BE355" i="14"/>
  <c r="BE356" i="14"/>
  <c r="BE352" i="14"/>
  <c r="BE359" i="14"/>
  <c r="BE360" i="14"/>
  <c r="BE354" i="14"/>
  <c r="BE353" i="14"/>
  <c r="BH366" i="14" s="1"/>
  <c r="AU340" i="14"/>
  <c r="BM340" i="14"/>
  <c r="BA340" i="14"/>
  <c r="AI340" i="14"/>
  <c r="AM335" i="14"/>
  <c r="AK335" i="14"/>
  <c r="X335" i="14"/>
  <c r="BC335" i="14"/>
  <c r="BV338" i="14"/>
  <c r="BH338" i="14"/>
  <c r="AN338" i="14"/>
  <c r="BI340" i="14"/>
  <c r="BE340" i="14"/>
  <c r="P340" i="14"/>
  <c r="AB340" i="14"/>
  <c r="AT335" i="14"/>
  <c r="AD335" i="14"/>
  <c r="K335" i="14"/>
  <c r="AN335" i="14"/>
  <c r="BD338" i="14"/>
  <c r="BL338" i="14"/>
  <c r="BK338" i="14"/>
  <c r="AO338" i="14"/>
  <c r="V341" i="14"/>
  <c r="AI341" i="14"/>
  <c r="Y341" i="14"/>
  <c r="BV341" i="14"/>
  <c r="P341" i="14"/>
  <c r="BC341" i="14"/>
  <c r="BW341" i="14"/>
  <c r="BQ340" i="14"/>
  <c r="AA340" i="14"/>
  <c r="AJ340" i="14"/>
  <c r="BY340" i="14"/>
  <c r="BP338" i="14"/>
  <c r="BV335" i="14"/>
  <c r="BR335" i="14"/>
  <c r="AZ335" i="14"/>
  <c r="BQ335" i="14"/>
  <c r="P338" i="14"/>
  <c r="AX338" i="14"/>
  <c r="AZ338" i="14"/>
  <c r="S338" i="14"/>
  <c r="AQ368" i="14"/>
  <c r="BN340" i="14"/>
  <c r="X340" i="14"/>
  <c r="AG340" i="14"/>
  <c r="BV340" i="14"/>
  <c r="AI335" i="14"/>
  <c r="AS335" i="14"/>
  <c r="O335" i="14"/>
  <c r="AO335" i="14"/>
  <c r="AP338" i="14"/>
  <c r="AB338" i="14"/>
  <c r="AW338" i="14"/>
  <c r="M338" i="14"/>
  <c r="BO338" i="14"/>
  <c r="BN338" i="14"/>
  <c r="AD368" i="14"/>
  <c r="K339" i="14"/>
  <c r="BD339" i="14"/>
  <c r="BO339" i="14"/>
  <c r="L339" i="14"/>
  <c r="N339" i="14"/>
  <c r="AL339" i="14"/>
  <c r="AW339" i="14"/>
  <c r="AP339" i="14"/>
  <c r="AZ339" i="14"/>
  <c r="AG339" i="14"/>
  <c r="BQ339" i="14"/>
  <c r="O339" i="14"/>
  <c r="M340" i="14"/>
  <c r="AY340" i="14"/>
  <c r="W340" i="14"/>
  <c r="AV340" i="14"/>
  <c r="BF335" i="14"/>
  <c r="BX335" i="14"/>
  <c r="BH335" i="14"/>
  <c r="BM335" i="14"/>
  <c r="BX338" i="14"/>
  <c r="AR338" i="14"/>
  <c r="Q338" i="14"/>
  <c r="X338" i="14"/>
  <c r="AI336" i="14"/>
  <c r="BV336" i="14"/>
  <c r="AU339" i="14"/>
  <c r="BM368" i="14"/>
  <c r="BD135" i="14"/>
  <c r="BD133" i="14"/>
  <c r="BD136" i="14"/>
  <c r="BD131" i="14"/>
  <c r="BD137" i="14"/>
  <c r="BD132" i="14"/>
  <c r="BD139" i="14"/>
  <c r="BD134" i="14"/>
  <c r="BD138" i="14"/>
  <c r="BE126" i="14"/>
  <c r="BF126" i="14" s="1"/>
  <c r="BG126" i="14" s="1"/>
  <c r="AP340" i="14"/>
  <c r="BJ340" i="14"/>
  <c r="BB340" i="14"/>
  <c r="AP335" i="14"/>
  <c r="W335" i="14"/>
  <c r="P335" i="14"/>
  <c r="AB335" i="14"/>
  <c r="BD843" i="14"/>
  <c r="BD847" i="14"/>
  <c r="BD848" i="14"/>
  <c r="BD849" i="14"/>
  <c r="BD844" i="14"/>
  <c r="BD846" i="14"/>
  <c r="BD845" i="14"/>
  <c r="BD842" i="14"/>
  <c r="BD868" i="14"/>
  <c r="BE836" i="14"/>
  <c r="BC879" i="14"/>
  <c r="BC875" i="14"/>
  <c r="BC877" i="14"/>
  <c r="BC876" i="14"/>
  <c r="BC874" i="14"/>
  <c r="BC881" i="14"/>
  <c r="BC878" i="14"/>
  <c r="BC873" i="14"/>
  <c r="BC880" i="14"/>
  <c r="BH802" i="14"/>
  <c r="BH809" i="14"/>
  <c r="BH804" i="14"/>
  <c r="BH805" i="14"/>
  <c r="BH803" i="14"/>
  <c r="BH808" i="14"/>
  <c r="BI796" i="14"/>
  <c r="BI801" i="14" s="1"/>
  <c r="BH807" i="14"/>
  <c r="BH801" i="14"/>
  <c r="BJ284" i="14"/>
  <c r="BJ285" i="14"/>
  <c r="BJ282" i="14"/>
  <c r="BJ288" i="14"/>
  <c r="BJ281" i="14"/>
  <c r="BK275" i="14"/>
  <c r="BK286" i="14" s="1"/>
  <c r="BJ280" i="14"/>
  <c r="BJ286" i="14"/>
  <c r="BJ283" i="14"/>
  <c r="BK253" i="14"/>
  <c r="BK254" i="14"/>
  <c r="BK251" i="14"/>
  <c r="BK250" i="14"/>
  <c r="BK249" i="14"/>
  <c r="BK252" i="14"/>
  <c r="BK256" i="14"/>
  <c r="BK255" i="14"/>
  <c r="BJ764" i="14"/>
  <c r="BK759" i="14"/>
  <c r="BI775" i="14"/>
  <c r="BI771" i="14"/>
  <c r="BI772" i="14"/>
  <c r="BI774" i="14"/>
  <c r="BI777" i="14"/>
  <c r="BI773" i="14"/>
  <c r="BI776" i="14"/>
  <c r="BN310" i="14"/>
  <c r="BL243" i="14"/>
  <c r="BM238" i="14"/>
  <c r="BQ368" i="14" l="1"/>
  <c r="BC368" i="14"/>
  <c r="K368" i="14"/>
  <c r="W368" i="14"/>
  <c r="BO368" i="14"/>
  <c r="BN368" i="14"/>
  <c r="V366" i="14"/>
  <c r="AI366" i="14"/>
  <c r="AJ365" i="14"/>
  <c r="BT367" i="14"/>
  <c r="BB373" i="14"/>
  <c r="I370" i="14"/>
  <c r="BV368" i="14"/>
  <c r="BE367" i="14"/>
  <c r="BC372" i="14"/>
  <c r="AN366" i="14"/>
  <c r="BJ366" i="14"/>
  <c r="U371" i="14"/>
  <c r="AB371" i="14"/>
  <c r="P371" i="14"/>
  <c r="V370" i="14"/>
  <c r="AG367" i="14"/>
  <c r="X367" i="14"/>
  <c r="N372" i="14"/>
  <c r="BJ372" i="14"/>
  <c r="AJ367" i="14"/>
  <c r="AR372" i="14"/>
  <c r="BF367" i="14"/>
  <c r="AS371" i="14"/>
  <c r="AV371" i="14"/>
  <c r="BC370" i="14"/>
  <c r="Z371" i="14"/>
  <c r="R372" i="14"/>
  <c r="AY371" i="14"/>
  <c r="AJ371" i="14"/>
  <c r="W366" i="14"/>
  <c r="AH371" i="14"/>
  <c r="V371" i="14"/>
  <c r="BO366" i="14"/>
  <c r="AV367" i="14"/>
  <c r="AX371" i="14"/>
  <c r="AP367" i="14"/>
  <c r="BL366" i="14"/>
  <c r="P373" i="14"/>
  <c r="BQ371" i="14"/>
  <c r="AB367" i="14"/>
  <c r="AT366" i="14"/>
  <c r="H367" i="14"/>
  <c r="BX367" i="14"/>
  <c r="AA368" i="14"/>
  <c r="BS368" i="14"/>
  <c r="U367" i="14"/>
  <c r="AC367" i="14"/>
  <c r="AP365" i="14"/>
  <c r="AG371" i="14"/>
  <c r="AE367" i="14"/>
  <c r="BU367" i="14"/>
  <c r="AL367" i="14"/>
  <c r="V373" i="14"/>
  <c r="BS367" i="14"/>
  <c r="J367" i="14"/>
  <c r="T371" i="14"/>
  <c r="AW369" i="14"/>
  <c r="BE368" i="14"/>
  <c r="BG367" i="14"/>
  <c r="BP368" i="14"/>
  <c r="R368" i="14"/>
  <c r="AN371" i="14"/>
  <c r="BO371" i="14"/>
  <c r="S366" i="14"/>
  <c r="AC371" i="14"/>
  <c r="BI371" i="14"/>
  <c r="BD371" i="14"/>
  <c r="X366" i="14"/>
  <c r="BN371" i="14"/>
  <c r="BJ315" i="14"/>
  <c r="BK315" i="14" s="1"/>
  <c r="N368" i="14"/>
  <c r="Z366" i="14"/>
  <c r="AT370" i="14"/>
  <c r="M371" i="14"/>
  <c r="AG368" i="14"/>
  <c r="AN368" i="14"/>
  <c r="BQ366" i="14"/>
  <c r="AX366" i="14"/>
  <c r="AP371" i="14"/>
  <c r="AR368" i="14"/>
  <c r="BE366" i="14"/>
  <c r="AQ371" i="14"/>
  <c r="AC368" i="14"/>
  <c r="J366" i="14"/>
  <c r="BH371" i="14"/>
  <c r="AX368" i="14"/>
  <c r="BI372" i="14"/>
  <c r="AM369" i="14"/>
  <c r="I368" i="14"/>
  <c r="O370" i="14"/>
  <c r="AZ368" i="14"/>
  <c r="BW369" i="14"/>
  <c r="AT368" i="14"/>
  <c r="W371" i="14"/>
  <c r="AV369" i="14"/>
  <c r="BL373" i="14"/>
  <c r="W370" i="14"/>
  <c r="BG354" i="14"/>
  <c r="BG352" i="14"/>
  <c r="BG357" i="14"/>
  <c r="BG358" i="14"/>
  <c r="BG359" i="14"/>
  <c r="BG356" i="14"/>
  <c r="BG353" i="14"/>
  <c r="BG355" i="14"/>
  <c r="BG360" i="14"/>
  <c r="AT369" i="14"/>
  <c r="AG373" i="14"/>
  <c r="AD373" i="14"/>
  <c r="BF372" i="14"/>
  <c r="AW372" i="14"/>
  <c r="O373" i="14"/>
  <c r="H373" i="14"/>
  <c r="Z372" i="14"/>
  <c r="AO371" i="14"/>
  <c r="R371" i="14"/>
  <c r="AL371" i="14"/>
  <c r="Y371" i="14"/>
  <c r="S371" i="14"/>
  <c r="BV371" i="14"/>
  <c r="BX371" i="14"/>
  <c r="AD371" i="14"/>
  <c r="L371" i="14"/>
  <c r="BU371" i="14"/>
  <c r="AF371" i="14"/>
  <c r="BF371" i="14"/>
  <c r="BM371" i="14"/>
  <c r="K371" i="14"/>
  <c r="BS371" i="14"/>
  <c r="BL371" i="14"/>
  <c r="BY371" i="14"/>
  <c r="X371" i="14"/>
  <c r="AB372" i="14"/>
  <c r="AU371" i="14"/>
  <c r="AM372" i="14"/>
  <c r="BK371" i="14"/>
  <c r="BH368" i="14"/>
  <c r="BJ369" i="14"/>
  <c r="L369" i="14"/>
  <c r="AD369" i="14"/>
  <c r="S369" i="14"/>
  <c r="AO373" i="14"/>
  <c r="V369" i="14"/>
  <c r="BF134" i="14"/>
  <c r="BF138" i="14"/>
  <c r="BF136" i="14"/>
  <c r="BF137" i="14"/>
  <c r="BF132" i="14"/>
  <c r="BF139" i="14"/>
  <c r="BF133" i="14"/>
  <c r="BF135" i="14"/>
  <c r="BF131" i="14"/>
  <c r="BU372" i="14"/>
  <c r="AN373" i="14"/>
  <c r="AH373" i="14"/>
  <c r="BF373" i="14"/>
  <c r="BT365" i="14"/>
  <c r="AM367" i="14"/>
  <c r="I367" i="14"/>
  <c r="AI367" i="14"/>
  <c r="AH367" i="14"/>
  <c r="AT367" i="14"/>
  <c r="AQ367" i="14"/>
  <c r="BV367" i="14"/>
  <c r="R367" i="14"/>
  <c r="N367" i="14"/>
  <c r="BR367" i="14"/>
  <c r="AO367" i="14"/>
  <c r="AU367" i="14"/>
  <c r="AR367" i="14"/>
  <c r="K367" i="14"/>
  <c r="BK367" i="14"/>
  <c r="BC367" i="14"/>
  <c r="AA367" i="14"/>
  <c r="AD367" i="14"/>
  <c r="T367" i="14"/>
  <c r="L367" i="14"/>
  <c r="AN367" i="14"/>
  <c r="BW367" i="14"/>
  <c r="AY367" i="14"/>
  <c r="BM367" i="14"/>
  <c r="W367" i="14"/>
  <c r="BN367" i="14"/>
  <c r="BA367" i="14"/>
  <c r="Q367" i="14"/>
  <c r="AZ367" i="14"/>
  <c r="V367" i="14"/>
  <c r="AF367" i="14"/>
  <c r="M367" i="14"/>
  <c r="P367" i="14"/>
  <c r="Z367" i="14"/>
  <c r="BP367" i="14"/>
  <c r="S367" i="14"/>
  <c r="BI367" i="14"/>
  <c r="AX367" i="14"/>
  <c r="BB367" i="14"/>
  <c r="BH367" i="14"/>
  <c r="BY367" i="14"/>
  <c r="BO367" i="14"/>
  <c r="BJ367" i="14"/>
  <c r="AK372" i="14"/>
  <c r="AP372" i="14"/>
  <c r="BA369" i="14"/>
  <c r="BC369" i="14"/>
  <c r="BN369" i="14"/>
  <c r="BY369" i="14"/>
  <c r="H365" i="14"/>
  <c r="W365" i="14"/>
  <c r="M365" i="14"/>
  <c r="BX365" i="14"/>
  <c r="AG365" i="14"/>
  <c r="BO365" i="14"/>
  <c r="Z365" i="14"/>
  <c r="AM365" i="14"/>
  <c r="AS365" i="14"/>
  <c r="AK365" i="14"/>
  <c r="J365" i="14"/>
  <c r="S365" i="14"/>
  <c r="I365" i="14"/>
  <c r="T365" i="14"/>
  <c r="AL365" i="14"/>
  <c r="BQ365" i="14"/>
  <c r="BN365" i="14"/>
  <c r="BW365" i="14"/>
  <c r="Q365" i="14"/>
  <c r="AE365" i="14"/>
  <c r="BS365" i="14"/>
  <c r="BU365" i="14"/>
  <c r="BL365" i="14"/>
  <c r="AT365" i="14"/>
  <c r="AC365" i="14"/>
  <c r="X365" i="14"/>
  <c r="BY365" i="14"/>
  <c r="AH365" i="14"/>
  <c r="K365" i="14"/>
  <c r="AF365" i="14"/>
  <c r="Y365" i="14"/>
  <c r="AN365" i="14"/>
  <c r="U365" i="14"/>
  <c r="BC365" i="14"/>
  <c r="BA365" i="14"/>
  <c r="AO365" i="14"/>
  <c r="O365" i="14"/>
  <c r="BR365" i="14"/>
  <c r="AD365" i="14"/>
  <c r="AU365" i="14"/>
  <c r="BM365" i="14"/>
  <c r="BF365" i="14"/>
  <c r="BB365" i="14"/>
  <c r="BH365" i="14"/>
  <c r="AY365" i="14"/>
  <c r="AB365" i="14"/>
  <c r="BI365" i="14"/>
  <c r="BV365" i="14"/>
  <c r="AZ365" i="14"/>
  <c r="AX365" i="14"/>
  <c r="AQ365" i="14"/>
  <c r="V365" i="14"/>
  <c r="BJ365" i="14"/>
  <c r="AI365" i="14"/>
  <c r="BE365" i="14"/>
  <c r="AR365" i="14"/>
  <c r="N365" i="14"/>
  <c r="BP365" i="14"/>
  <c r="BA373" i="14"/>
  <c r="BG365" i="14"/>
  <c r="AM373" i="14"/>
  <c r="BI369" i="14"/>
  <c r="BE134" i="14"/>
  <c r="AL147" i="14" s="1"/>
  <c r="BE138" i="14"/>
  <c r="BD151" i="14" s="1"/>
  <c r="BE133" i="14"/>
  <c r="AE146" i="14" s="1"/>
  <c r="BE132" i="14"/>
  <c r="BC145" i="14" s="1"/>
  <c r="BE135" i="14"/>
  <c r="M148" i="14" s="1"/>
  <c r="BE139" i="14"/>
  <c r="BT152" i="14" s="1"/>
  <c r="BE136" i="14"/>
  <c r="AY149" i="14" s="1"/>
  <c r="BE131" i="14"/>
  <c r="AU144" i="14" s="1"/>
  <c r="BE137" i="14"/>
  <c r="AT150" i="14" s="1"/>
  <c r="BH126" i="14"/>
  <c r="BI126" i="14" s="1"/>
  <c r="BJ126" i="14" s="1"/>
  <c r="AI372" i="14"/>
  <c r="AV373" i="14"/>
  <c r="BI373" i="14"/>
  <c r="AA365" i="14"/>
  <c r="AZ371" i="14"/>
  <c r="H370" i="14"/>
  <c r="BA370" i="14"/>
  <c r="AD370" i="14"/>
  <c r="AJ370" i="14"/>
  <c r="N370" i="14"/>
  <c r="BI370" i="14"/>
  <c r="M370" i="14"/>
  <c r="AX370" i="14"/>
  <c r="AH370" i="14"/>
  <c r="BH370" i="14"/>
  <c r="K370" i="14"/>
  <c r="BD370" i="14"/>
  <c r="Q370" i="14"/>
  <c r="AL370" i="14"/>
  <c r="AK370" i="14"/>
  <c r="BN370" i="14"/>
  <c r="BQ370" i="14"/>
  <c r="AB370" i="14"/>
  <c r="AO370" i="14"/>
  <c r="BR370" i="14"/>
  <c r="BY370" i="14"/>
  <c r="X370" i="14"/>
  <c r="AI370" i="14"/>
  <c r="BT370" i="14"/>
  <c r="BS370" i="14"/>
  <c r="AA370" i="14"/>
  <c r="AQ370" i="14"/>
  <c r="BG370" i="14"/>
  <c r="AM370" i="14"/>
  <c r="AN370" i="14"/>
  <c r="Z370" i="14"/>
  <c r="AR370" i="14"/>
  <c r="AS370" i="14"/>
  <c r="AG370" i="14"/>
  <c r="BF370" i="14"/>
  <c r="BL370" i="14"/>
  <c r="BX370" i="14"/>
  <c r="BK370" i="14"/>
  <c r="AE370" i="14"/>
  <c r="AP370" i="14"/>
  <c r="P370" i="14"/>
  <c r="J370" i="14"/>
  <c r="AV370" i="14"/>
  <c r="U370" i="14"/>
  <c r="T370" i="14"/>
  <c r="AF370" i="14"/>
  <c r="AY370" i="14"/>
  <c r="BO370" i="14"/>
  <c r="AU370" i="14"/>
  <c r="R370" i="14"/>
  <c r="BP370" i="14"/>
  <c r="AZ370" i="14"/>
  <c r="BU370" i="14"/>
  <c r="BM370" i="14"/>
  <c r="S370" i="14"/>
  <c r="L370" i="14"/>
  <c r="BW370" i="14"/>
  <c r="AW370" i="14"/>
  <c r="BJ370" i="14"/>
  <c r="BE370" i="14"/>
  <c r="BB370" i="14"/>
  <c r="AC370" i="14"/>
  <c r="BV370" i="14"/>
  <c r="BJ371" i="14"/>
  <c r="BB151" i="14"/>
  <c r="N369" i="14"/>
  <c r="AP369" i="14"/>
  <c r="AJ369" i="14"/>
  <c r="AC369" i="14"/>
  <c r="BO149" i="14"/>
  <c r="AZ369" i="14"/>
  <c r="BH373" i="14"/>
  <c r="W372" i="14"/>
  <c r="N371" i="14"/>
  <c r="AD149" i="14"/>
  <c r="BU149" i="14"/>
  <c r="BL149" i="14"/>
  <c r="BI149" i="14"/>
  <c r="BD373" i="14"/>
  <c r="AE373" i="14"/>
  <c r="BS373" i="14"/>
  <c r="L373" i="14"/>
  <c r="AT373" i="14"/>
  <c r="BN373" i="14"/>
  <c r="AP373" i="14"/>
  <c r="M373" i="14"/>
  <c r="AW373" i="14"/>
  <c r="T373" i="14"/>
  <c r="AI373" i="14"/>
  <c r="AC373" i="14"/>
  <c r="BM373" i="14"/>
  <c r="BO373" i="14"/>
  <c r="X373" i="14"/>
  <c r="BR373" i="14"/>
  <c r="BG373" i="14"/>
  <c r="W373" i="14"/>
  <c r="BJ373" i="14"/>
  <c r="BC373" i="14"/>
  <c r="J373" i="14"/>
  <c r="AJ373" i="14"/>
  <c r="U373" i="14"/>
  <c r="AY373" i="14"/>
  <c r="S373" i="14"/>
  <c r="K373" i="14"/>
  <c r="AZ373" i="14"/>
  <c r="BK373" i="14"/>
  <c r="BA371" i="14"/>
  <c r="AK373" i="14"/>
  <c r="BR151" i="14"/>
  <c r="AA369" i="14"/>
  <c r="AY369" i="14"/>
  <c r="H369" i="14"/>
  <c r="Z369" i="14"/>
  <c r="AQ373" i="14"/>
  <c r="P372" i="14"/>
  <c r="L372" i="14"/>
  <c r="AE372" i="14"/>
  <c r="BE372" i="14"/>
  <c r="AJ372" i="14"/>
  <c r="AV372" i="14"/>
  <c r="BO372" i="14"/>
  <c r="AS372" i="14"/>
  <c r="M372" i="14"/>
  <c r="V372" i="14"/>
  <c r="BY372" i="14"/>
  <c r="AZ372" i="14"/>
  <c r="I372" i="14"/>
  <c r="U372" i="14"/>
  <c r="AQ372" i="14"/>
  <c r="BM372" i="14"/>
  <c r="AO372" i="14"/>
  <c r="BW372" i="14"/>
  <c r="O372" i="14"/>
  <c r="BK372" i="14"/>
  <c r="H372" i="14"/>
  <c r="S372" i="14"/>
  <c r="BN372" i="14"/>
  <c r="AD372" i="14"/>
  <c r="J372" i="14"/>
  <c r="BX372" i="14"/>
  <c r="AH372" i="14"/>
  <c r="Q372" i="14"/>
  <c r="BT372" i="14"/>
  <c r="W369" i="14"/>
  <c r="BQ372" i="14"/>
  <c r="AU373" i="14"/>
  <c r="AM366" i="14"/>
  <c r="AK371" i="14"/>
  <c r="AW149" i="14"/>
  <c r="BJ149" i="14"/>
  <c r="AT149" i="14"/>
  <c r="S368" i="14"/>
  <c r="AK366" i="14"/>
  <c r="I366" i="14"/>
  <c r="BC366" i="14"/>
  <c r="AS366" i="14"/>
  <c r="BR366" i="14"/>
  <c r="BN366" i="14"/>
  <c r="AH366" i="14"/>
  <c r="AO366" i="14"/>
  <c r="Q366" i="14"/>
  <c r="K366" i="14"/>
  <c r="BD366" i="14"/>
  <c r="AB366" i="14"/>
  <c r="Y366" i="14"/>
  <c r="AL366" i="14"/>
  <c r="H366" i="14"/>
  <c r="AR366" i="14"/>
  <c r="AD366" i="14"/>
  <c r="P366" i="14"/>
  <c r="AA366" i="14"/>
  <c r="U366" i="14"/>
  <c r="AU366" i="14"/>
  <c r="BT366" i="14"/>
  <c r="O366" i="14"/>
  <c r="BS366" i="14"/>
  <c r="L366" i="14"/>
  <c r="BA366" i="14"/>
  <c r="AC366" i="14"/>
  <c r="AY366" i="14"/>
  <c r="BY366" i="14"/>
  <c r="T366" i="14"/>
  <c r="AF366" i="14"/>
  <c r="BU366" i="14"/>
  <c r="BP366" i="14"/>
  <c r="BX366" i="14"/>
  <c r="BF366" i="14"/>
  <c r="AW366" i="14"/>
  <c r="BG366" i="14"/>
  <c r="N366" i="14"/>
  <c r="AP366" i="14"/>
  <c r="AZ366" i="14"/>
  <c r="AE366" i="14"/>
  <c r="BW366" i="14"/>
  <c r="AJ366" i="14"/>
  <c r="BB366" i="14"/>
  <c r="BM366" i="14"/>
  <c r="M366" i="14"/>
  <c r="BI366" i="14"/>
  <c r="AG366" i="14"/>
  <c r="AQ366" i="14"/>
  <c r="BW373" i="14"/>
  <c r="AR373" i="14"/>
  <c r="BP373" i="14"/>
  <c r="BA148" i="14"/>
  <c r="BJ148" i="14"/>
  <c r="AA148" i="14"/>
  <c r="BG372" i="14"/>
  <c r="BO369" i="14"/>
  <c r="AL369" i="14"/>
  <c r="O369" i="14"/>
  <c r="P149" i="14"/>
  <c r="AX372" i="14"/>
  <c r="BY373" i="14"/>
  <c r="AN372" i="14"/>
  <c r="AB149" i="14"/>
  <c r="AP149" i="14"/>
  <c r="V149" i="14"/>
  <c r="BQ367" i="14"/>
  <c r="BS369" i="14"/>
  <c r="AR369" i="14"/>
  <c r="U369" i="14"/>
  <c r="BR369" i="14"/>
  <c r="P369" i="14"/>
  <c r="BE369" i="14"/>
  <c r="AU369" i="14"/>
  <c r="BV369" i="14"/>
  <c r="AB369" i="14"/>
  <c r="BQ369" i="14"/>
  <c r="BR371" i="14"/>
  <c r="BP371" i="14"/>
  <c r="BV148" i="14"/>
  <c r="AN148" i="14"/>
  <c r="S148" i="14"/>
  <c r="AL148" i="14"/>
  <c r="BH372" i="14"/>
  <c r="AH369" i="14"/>
  <c r="BG369" i="14"/>
  <c r="K369" i="14"/>
  <c r="BL369" i="14"/>
  <c r="BF359" i="14"/>
  <c r="BF355" i="14"/>
  <c r="BF356" i="14"/>
  <c r="BF353" i="14"/>
  <c r="BF352" i="14"/>
  <c r="BF358" i="14"/>
  <c r="BF357" i="14"/>
  <c r="BF354" i="14"/>
  <c r="BF360" i="14"/>
  <c r="BK149" i="14"/>
  <c r="AK149" i="14"/>
  <c r="AX149" i="14"/>
  <c r="BB372" i="14"/>
  <c r="AW371" i="14"/>
  <c r="W148" i="14"/>
  <c r="BH148" i="14"/>
  <c r="BX148" i="14"/>
  <c r="AW148" i="14"/>
  <c r="BP372" i="14"/>
  <c r="BX151" i="14"/>
  <c r="L151" i="14"/>
  <c r="X369" i="14"/>
  <c r="AI369" i="14"/>
  <c r="J369" i="14"/>
  <c r="BT369" i="14"/>
  <c r="L365" i="14"/>
  <c r="BR372" i="14"/>
  <c r="AF373" i="14"/>
  <c r="AF372" i="14"/>
  <c r="O371" i="14"/>
  <c r="BV366" i="14"/>
  <c r="T372" i="14"/>
  <c r="T368" i="14"/>
  <c r="AM371" i="14"/>
  <c r="H371" i="14"/>
  <c r="W149" i="14"/>
  <c r="O149" i="14"/>
  <c r="Q149" i="14"/>
  <c r="BD367" i="14"/>
  <c r="AD148" i="14"/>
  <c r="U148" i="14"/>
  <c r="BK148" i="14"/>
  <c r="BB148" i="14"/>
  <c r="AQ369" i="14"/>
  <c r="Y369" i="14"/>
  <c r="M369" i="14"/>
  <c r="H368" i="14"/>
  <c r="AN369" i="14"/>
  <c r="AM144" i="14"/>
  <c r="AX144" i="14"/>
  <c r="R144" i="14"/>
  <c r="AX373" i="14"/>
  <c r="AA372" i="14"/>
  <c r="BK366" i="14"/>
  <c r="K372" i="14"/>
  <c r="AS373" i="14"/>
  <c r="BB371" i="14"/>
  <c r="BW371" i="14"/>
  <c r="BQ149" i="14"/>
  <c r="BF149" i="14"/>
  <c r="AW367" i="14"/>
  <c r="Z373" i="14"/>
  <c r="Z368" i="14"/>
  <c r="X372" i="14"/>
  <c r="BE373" i="14"/>
  <c r="BY148" i="14"/>
  <c r="BC148" i="14"/>
  <c r="AY148" i="14"/>
  <c r="T369" i="14"/>
  <c r="AX369" i="14"/>
  <c r="BM369" i="14"/>
  <c r="R373" i="14"/>
  <c r="T149" i="14"/>
  <c r="Z149" i="14"/>
  <c r="K149" i="14"/>
  <c r="BP149" i="14"/>
  <c r="AS149" i="14"/>
  <c r="AN149" i="14"/>
  <c r="BX149" i="14"/>
  <c r="AV149" i="14"/>
  <c r="R149" i="14"/>
  <c r="AZ149" i="14"/>
  <c r="N149" i="14"/>
  <c r="BG149" i="14"/>
  <c r="BA149" i="14"/>
  <c r="AC149" i="14"/>
  <c r="AU149" i="14"/>
  <c r="AQ149" i="14"/>
  <c r="BC149" i="14"/>
  <c r="AM149" i="14"/>
  <c r="I149" i="14"/>
  <c r="J149" i="14"/>
  <c r="BY149" i="14"/>
  <c r="AU372" i="14"/>
  <c r="R148" i="14"/>
  <c r="H148" i="14"/>
  <c r="AF148" i="14"/>
  <c r="AL373" i="14"/>
  <c r="BU369" i="14"/>
  <c r="BF369" i="14"/>
  <c r="BB369" i="14"/>
  <c r="BP369" i="14"/>
  <c r="Y372" i="14"/>
  <c r="I373" i="14"/>
  <c r="AB373" i="14"/>
  <c r="R365" i="14"/>
  <c r="AA373" i="14"/>
  <c r="BQ373" i="14"/>
  <c r="AY372" i="14"/>
  <c r="BA372" i="14"/>
  <c r="AI371" i="14"/>
  <c r="BG371" i="14"/>
  <c r="BH149" i="14"/>
  <c r="S149" i="14"/>
  <c r="AR149" i="14"/>
  <c r="AK367" i="14"/>
  <c r="BL94" i="14"/>
  <c r="BM89" i="14"/>
  <c r="AU368" i="14"/>
  <c r="BS372" i="14"/>
  <c r="AR148" i="14"/>
  <c r="BG148" i="14"/>
  <c r="J371" i="14"/>
  <c r="AG369" i="14"/>
  <c r="R369" i="14"/>
  <c r="I369" i="14"/>
  <c r="Y370" i="14"/>
  <c r="BG138" i="14"/>
  <c r="BG132" i="14"/>
  <c r="BG136" i="14"/>
  <c r="BG134" i="14"/>
  <c r="BG135" i="14"/>
  <c r="BG133" i="14"/>
  <c r="BG139" i="14"/>
  <c r="BG137" i="14"/>
  <c r="BG131" i="14"/>
  <c r="BX373" i="14"/>
  <c r="BT373" i="14"/>
  <c r="BE149" i="14"/>
  <c r="AJ148" i="14"/>
  <c r="AT148" i="14"/>
  <c r="AI148" i="14"/>
  <c r="BE148" i="14"/>
  <c r="AQ148" i="14"/>
  <c r="AX148" i="14"/>
  <c r="AK148" i="14"/>
  <c r="BS148" i="14"/>
  <c r="AU148" i="14"/>
  <c r="AS148" i="14"/>
  <c r="AG148" i="14"/>
  <c r="BP148" i="14"/>
  <c r="AH148" i="14"/>
  <c r="J148" i="14"/>
  <c r="K148" i="14"/>
  <c r="I148" i="14"/>
  <c r="BF148" i="14"/>
  <c r="BL148" i="14"/>
  <c r="N148" i="14"/>
  <c r="AW365" i="14"/>
  <c r="BD365" i="14"/>
  <c r="Y373" i="14"/>
  <c r="AT372" i="14"/>
  <c r="I371" i="14"/>
  <c r="AR371" i="14"/>
  <c r="BB149" i="14"/>
  <c r="AL149" i="14"/>
  <c r="BT149" i="14"/>
  <c r="AE371" i="14"/>
  <c r="AA144" i="14"/>
  <c r="Y367" i="14"/>
  <c r="BK103" i="14"/>
  <c r="BK106" i="14"/>
  <c r="BK101" i="14"/>
  <c r="BK104" i="14"/>
  <c r="BK102" i="14"/>
  <c r="BK105" i="14"/>
  <c r="BK107" i="14"/>
  <c r="BD148" i="14"/>
  <c r="Q148" i="14"/>
  <c r="AB148" i="14"/>
  <c r="AT371" i="14"/>
  <c r="AE369" i="14"/>
  <c r="AF369" i="14"/>
  <c r="AO369" i="14"/>
  <c r="BL367" i="14"/>
  <c r="AL372" i="14"/>
  <c r="BV149" i="14"/>
  <c r="P365" i="14"/>
  <c r="BL372" i="14"/>
  <c r="Q373" i="14"/>
  <c r="BI327" i="14"/>
  <c r="BI322" i="14"/>
  <c r="BI326" i="14"/>
  <c r="BI328" i="14"/>
  <c r="BI324" i="14"/>
  <c r="BI325" i="14"/>
  <c r="BI323" i="14"/>
  <c r="BC371" i="14"/>
  <c r="BR149" i="14"/>
  <c r="AJ149" i="14"/>
  <c r="AO149" i="14"/>
  <c r="BH323" i="14"/>
  <c r="BH322" i="14"/>
  <c r="BH326" i="14"/>
  <c r="BH328" i="14"/>
  <c r="BH327" i="14"/>
  <c r="BH324" i="14"/>
  <c r="BH325" i="14"/>
  <c r="BH347" i="14"/>
  <c r="BI347" i="14" s="1"/>
  <c r="O367" i="14"/>
  <c r="AP148" i="14"/>
  <c r="AO148" i="14"/>
  <c r="AM148" i="14"/>
  <c r="AA371" i="14"/>
  <c r="O151" i="14"/>
  <c r="BH369" i="14"/>
  <c r="AK369" i="14"/>
  <c r="AS369" i="14"/>
  <c r="BE371" i="14"/>
  <c r="BV372" i="14"/>
  <c r="BW149" i="14"/>
  <c r="BK365" i="14"/>
  <c r="BT371" i="14"/>
  <c r="AG372" i="14"/>
  <c r="AS367" i="14"/>
  <c r="BV373" i="14"/>
  <c r="AC372" i="14"/>
  <c r="N373" i="14"/>
  <c r="R366" i="14"/>
  <c r="Q371" i="14"/>
  <c r="BN149" i="14"/>
  <c r="L149" i="14"/>
  <c r="AF149" i="14"/>
  <c r="AY368" i="14"/>
  <c r="AS368" i="14"/>
  <c r="AF368" i="14"/>
  <c r="AJ368" i="14"/>
  <c r="BI368" i="14"/>
  <c r="BT368" i="14"/>
  <c r="BF368" i="14"/>
  <c r="X368" i="14"/>
  <c r="BU368" i="14"/>
  <c r="Q368" i="14"/>
  <c r="U368" i="14"/>
  <c r="AE368" i="14"/>
  <c r="AO368" i="14"/>
  <c r="BG368" i="14"/>
  <c r="L368" i="14"/>
  <c r="BX368" i="14"/>
  <c r="BL368" i="14"/>
  <c r="BB368" i="14"/>
  <c r="BD368" i="14"/>
  <c r="AW368" i="14"/>
  <c r="BY368" i="14"/>
  <c r="BW368" i="14"/>
  <c r="AB368" i="14"/>
  <c r="Y368" i="14"/>
  <c r="BK368" i="14"/>
  <c r="O368" i="14"/>
  <c r="AV368" i="14"/>
  <c r="M368" i="14"/>
  <c r="AL368" i="14"/>
  <c r="AI368" i="14"/>
  <c r="BJ368" i="14"/>
  <c r="BR368" i="14"/>
  <c r="AP368" i="14"/>
  <c r="AH368" i="14"/>
  <c r="AM368" i="14"/>
  <c r="BA368" i="14"/>
  <c r="V368" i="14"/>
  <c r="AK368" i="14"/>
  <c r="P368" i="14"/>
  <c r="J368" i="14"/>
  <c r="BU373" i="14"/>
  <c r="BD372" i="14"/>
  <c r="AV148" i="14"/>
  <c r="O148" i="14"/>
  <c r="BN148" i="14"/>
  <c r="AV365" i="14"/>
  <c r="BI151" i="14"/>
  <c r="BX369" i="14"/>
  <c r="BD369" i="14"/>
  <c r="BK369" i="14"/>
  <c r="Q369" i="14"/>
  <c r="AV366" i="14"/>
  <c r="BD881" i="14"/>
  <c r="BD873" i="14"/>
  <c r="BD874" i="14"/>
  <c r="BD875" i="14"/>
  <c r="BD878" i="14"/>
  <c r="BD877" i="14"/>
  <c r="BD879" i="14"/>
  <c r="BD880" i="14"/>
  <c r="BD876" i="14"/>
  <c r="BE845" i="14"/>
  <c r="BE843" i="14"/>
  <c r="BE847" i="14"/>
  <c r="BE848" i="14"/>
  <c r="BE849" i="14"/>
  <c r="BE844" i="14"/>
  <c r="BE846" i="14"/>
  <c r="BE842" i="14"/>
  <c r="BE868" i="14"/>
  <c r="BF836" i="14"/>
  <c r="BI804" i="14"/>
  <c r="BI803" i="14"/>
  <c r="BI808" i="14"/>
  <c r="BI806" i="14"/>
  <c r="BI802" i="14"/>
  <c r="BI807" i="14"/>
  <c r="BI805" i="14"/>
  <c r="BI809" i="14"/>
  <c r="BK281" i="14"/>
  <c r="BK287" i="14"/>
  <c r="BL275" i="14"/>
  <c r="BL288" i="14" s="1"/>
  <c r="BK284" i="14"/>
  <c r="BK283" i="14"/>
  <c r="BK285" i="14"/>
  <c r="BK282" i="14"/>
  <c r="BK280" i="14"/>
  <c r="BK288" i="14"/>
  <c r="BO310" i="14"/>
  <c r="BK764" i="14"/>
  <c r="BL759" i="14"/>
  <c r="BJ774" i="14"/>
  <c r="BJ773" i="14"/>
  <c r="BJ776" i="14"/>
  <c r="BJ777" i="14"/>
  <c r="BJ772" i="14"/>
  <c r="BJ775" i="14"/>
  <c r="BJ771" i="14"/>
  <c r="BM243" i="14"/>
  <c r="BN238" i="14"/>
  <c r="BJ796" i="14"/>
  <c r="BL254" i="14"/>
  <c r="BL251" i="14"/>
  <c r="BL253" i="14"/>
  <c r="BL250" i="14"/>
  <c r="BL255" i="14"/>
  <c r="BL252" i="14"/>
  <c r="BL249" i="14"/>
  <c r="BL256" i="14"/>
  <c r="BR148" i="14" l="1"/>
  <c r="BO148" i="14"/>
  <c r="BU148" i="14"/>
  <c r="BM148" i="14"/>
  <c r="BI148" i="14"/>
  <c r="Z148" i="14"/>
  <c r="BO150" i="14"/>
  <c r="AN150" i="14"/>
  <c r="AN151" i="14"/>
  <c r="Q151" i="14"/>
  <c r="AA151" i="14"/>
  <c r="AO151" i="14"/>
  <c r="AV151" i="14"/>
  <c r="AP151" i="14"/>
  <c r="M151" i="14"/>
  <c r="H151" i="14"/>
  <c r="AG151" i="14"/>
  <c r="P151" i="14"/>
  <c r="BF151" i="14"/>
  <c r="BJ151" i="14"/>
  <c r="AC151" i="14"/>
  <c r="J151" i="14"/>
  <c r="BN151" i="14"/>
  <c r="Y151" i="14"/>
  <c r="AK151" i="14"/>
  <c r="BV151" i="14"/>
  <c r="AU151" i="14"/>
  <c r="AW151" i="14"/>
  <c r="AY151" i="14"/>
  <c r="BH151" i="14"/>
  <c r="BC151" i="14"/>
  <c r="AI151" i="14"/>
  <c r="W151" i="14"/>
  <c r="R151" i="14"/>
  <c r="BK151" i="14"/>
  <c r="BM151" i="14"/>
  <c r="BU151" i="14"/>
  <c r="K151" i="14"/>
  <c r="AS151" i="14"/>
  <c r="U151" i="14"/>
  <c r="AJ151" i="14"/>
  <c r="AH151" i="14"/>
  <c r="AX151" i="14"/>
  <c r="AD151" i="14"/>
  <c r="AM151" i="14"/>
  <c r="BL151" i="14"/>
  <c r="BG151" i="14"/>
  <c r="BF147" i="14"/>
  <c r="M147" i="14"/>
  <c r="BM147" i="14"/>
  <c r="BE147" i="14"/>
  <c r="AG147" i="14"/>
  <c r="BJ147" i="14"/>
  <c r="J147" i="14"/>
  <c r="AJ147" i="14"/>
  <c r="L147" i="14"/>
  <c r="BG147" i="14"/>
  <c r="BX146" i="14"/>
  <c r="AE151" i="14"/>
  <c r="BS151" i="14"/>
  <c r="T151" i="14"/>
  <c r="AO146" i="14"/>
  <c r="BG146" i="14"/>
  <c r="X151" i="14"/>
  <c r="AR151" i="14"/>
  <c r="S145" i="14"/>
  <c r="BL146" i="14"/>
  <c r="AI145" i="14"/>
  <c r="AV145" i="14"/>
  <c r="BD145" i="14"/>
  <c r="BT145" i="14"/>
  <c r="Z145" i="14"/>
  <c r="BE145" i="14"/>
  <c r="R145" i="14"/>
  <c r="AP145" i="14"/>
  <c r="BM145" i="14"/>
  <c r="AD145" i="14"/>
  <c r="BL145" i="14"/>
  <c r="AT146" i="14"/>
  <c r="BM146" i="14"/>
  <c r="BF146" i="14"/>
  <c r="BQ146" i="14"/>
  <c r="AS146" i="14"/>
  <c r="J146" i="14"/>
  <c r="AZ146" i="14"/>
  <c r="P146" i="14"/>
  <c r="AG146" i="14"/>
  <c r="BO146" i="14"/>
  <c r="AM146" i="14"/>
  <c r="AV146" i="14"/>
  <c r="AR146" i="14"/>
  <c r="BY146" i="14"/>
  <c r="BE146" i="14"/>
  <c r="H146" i="14"/>
  <c r="AI146" i="14"/>
  <c r="K146" i="14"/>
  <c r="AW146" i="14"/>
  <c r="AQ146" i="14"/>
  <c r="AU146" i="14"/>
  <c r="O146" i="14"/>
  <c r="AJ146" i="14"/>
  <c r="AN146" i="14"/>
  <c r="AH146" i="14"/>
  <c r="BD146" i="14"/>
  <c r="Q146" i="14"/>
  <c r="T146" i="14"/>
  <c r="AA146" i="14"/>
  <c r="AB146" i="14"/>
  <c r="BV146" i="14"/>
  <c r="AD146" i="14"/>
  <c r="BP146" i="14"/>
  <c r="AY146" i="14"/>
  <c r="AL146" i="14"/>
  <c r="S146" i="14"/>
  <c r="BI146" i="14"/>
  <c r="AK146" i="14"/>
  <c r="BH146" i="14"/>
  <c r="W146" i="14"/>
  <c r="BR146" i="14"/>
  <c r="BA146" i="14"/>
  <c r="AC146" i="14"/>
  <c r="N146" i="14"/>
  <c r="L146" i="14"/>
  <c r="BN146" i="14"/>
  <c r="X146" i="14"/>
  <c r="BU146" i="14"/>
  <c r="X152" i="14"/>
  <c r="H152" i="14"/>
  <c r="BE152" i="14"/>
  <c r="BY152" i="14"/>
  <c r="N152" i="14"/>
  <c r="O152" i="14"/>
  <c r="BC152" i="14"/>
  <c r="Z152" i="14"/>
  <c r="AU152" i="14"/>
  <c r="BS152" i="14"/>
  <c r="AR152" i="14"/>
  <c r="BO152" i="14"/>
  <c r="AN152" i="14"/>
  <c r="BU152" i="14"/>
  <c r="AL152" i="14"/>
  <c r="M152" i="14"/>
  <c r="AP152" i="14"/>
  <c r="AS152" i="14"/>
  <c r="R146" i="14"/>
  <c r="BP152" i="14"/>
  <c r="AC152" i="14"/>
  <c r="AJ152" i="14"/>
  <c r="AM152" i="14"/>
  <c r="Q152" i="14"/>
  <c r="BX152" i="14"/>
  <c r="AH152" i="14"/>
  <c r="Y152" i="14"/>
  <c r="AI152" i="14"/>
  <c r="AY152" i="14"/>
  <c r="AW152" i="14"/>
  <c r="V152" i="14"/>
  <c r="BI152" i="14"/>
  <c r="AA152" i="14"/>
  <c r="BB152" i="14"/>
  <c r="BF152" i="14"/>
  <c r="AT152" i="14"/>
  <c r="BM152" i="14"/>
  <c r="AX152" i="14"/>
  <c r="AO152" i="14"/>
  <c r="W152" i="14"/>
  <c r="R152" i="14"/>
  <c r="AK152" i="14"/>
  <c r="AQ152" i="14"/>
  <c r="AZ152" i="14"/>
  <c r="K152" i="14"/>
  <c r="L152" i="14"/>
  <c r="AE152" i="14"/>
  <c r="S152" i="14"/>
  <c r="AB152" i="14"/>
  <c r="BA152" i="14"/>
  <c r="H150" i="14"/>
  <c r="BF150" i="14"/>
  <c r="AD150" i="14"/>
  <c r="AR150" i="14"/>
  <c r="BH150" i="14"/>
  <c r="BC150" i="14"/>
  <c r="K150" i="14"/>
  <c r="BJ150" i="14"/>
  <c r="AY150" i="14"/>
  <c r="AI150" i="14"/>
  <c r="BI150" i="14"/>
  <c r="AE150" i="14"/>
  <c r="BQ150" i="14"/>
  <c r="Y150" i="14"/>
  <c r="BR150" i="14"/>
  <c r="BM150" i="14"/>
  <c r="M150" i="14"/>
  <c r="AO150" i="14"/>
  <c r="BU150" i="14"/>
  <c r="AU150" i="14"/>
  <c r="Z150" i="14"/>
  <c r="BV150" i="14"/>
  <c r="BE150" i="14"/>
  <c r="AB150" i="14"/>
  <c r="AK150" i="14"/>
  <c r="V150" i="14"/>
  <c r="Q150" i="14"/>
  <c r="BN150" i="14"/>
  <c r="AX150" i="14"/>
  <c r="BD150" i="14"/>
  <c r="AG150" i="14"/>
  <c r="X150" i="14"/>
  <c r="BK150" i="14"/>
  <c r="BT150" i="14"/>
  <c r="BW150" i="14"/>
  <c r="N150" i="14"/>
  <c r="L150" i="14"/>
  <c r="BG150" i="14"/>
  <c r="AV150" i="14"/>
  <c r="AC150" i="14"/>
  <c r="AF150" i="14"/>
  <c r="R150" i="14"/>
  <c r="I150" i="14"/>
  <c r="P150" i="14"/>
  <c r="AM150" i="14"/>
  <c r="BL150" i="14"/>
  <c r="AZ150" i="14"/>
  <c r="BY150" i="14"/>
  <c r="AQ150" i="14"/>
  <c r="BA150" i="14"/>
  <c r="AW150" i="14"/>
  <c r="AA150" i="14"/>
  <c r="BB150" i="14"/>
  <c r="AP150" i="14"/>
  <c r="AJ150" i="14"/>
  <c r="AW144" i="14"/>
  <c r="BK144" i="14"/>
  <c r="O144" i="14"/>
  <c r="AV144" i="14"/>
  <c r="V144" i="14"/>
  <c r="S144" i="14"/>
  <c r="AK144" i="14"/>
  <c r="BF144" i="14"/>
  <c r="AL144" i="14"/>
  <c r="Q144" i="14"/>
  <c r="X144" i="14"/>
  <c r="BL144" i="14"/>
  <c r="BY144" i="14"/>
  <c r="AE144" i="14"/>
  <c r="BD144" i="14"/>
  <c r="BB144" i="14"/>
  <c r="AF144" i="14"/>
  <c r="AQ144" i="14"/>
  <c r="BR144" i="14"/>
  <c r="BI144" i="14"/>
  <c r="AJ144" i="14"/>
  <c r="I144" i="14"/>
  <c r="AG144" i="14"/>
  <c r="M144" i="14"/>
  <c r="AD144" i="14"/>
  <c r="T144" i="14"/>
  <c r="BJ144" i="14"/>
  <c r="AZ144" i="14"/>
  <c r="U144" i="14"/>
  <c r="BP144" i="14"/>
  <c r="BW144" i="14"/>
  <c r="J144" i="14"/>
  <c r="BV144" i="14"/>
  <c r="AH144" i="14"/>
  <c r="BE144" i="14"/>
  <c r="BS144" i="14"/>
  <c r="AG149" i="14"/>
  <c r="BX144" i="14"/>
  <c r="Y144" i="14"/>
  <c r="BM144" i="14"/>
  <c r="BG144" i="14"/>
  <c r="AS144" i="14"/>
  <c r="AP144" i="14"/>
  <c r="AN144" i="14"/>
  <c r="AO144" i="14"/>
  <c r="AC144" i="14"/>
  <c r="AB144" i="14"/>
  <c r="W144" i="14"/>
  <c r="H144" i="14"/>
  <c r="BU144" i="14"/>
  <c r="L144" i="14"/>
  <c r="AI144" i="14"/>
  <c r="BO144" i="14"/>
  <c r="N144" i="14"/>
  <c r="BT144" i="14"/>
  <c r="AY144" i="14"/>
  <c r="M149" i="14"/>
  <c r="AH149" i="14"/>
  <c r="BJ324" i="14"/>
  <c r="BJ322" i="14"/>
  <c r="BK323" i="14"/>
  <c r="BK327" i="14"/>
  <c r="BK326" i="14"/>
  <c r="BK322" i="14"/>
  <c r="BK324" i="14"/>
  <c r="BK325" i="14"/>
  <c r="BK328" i="14"/>
  <c r="BL315" i="14"/>
  <c r="BL326" i="14" s="1"/>
  <c r="U146" i="14"/>
  <c r="BT146" i="14"/>
  <c r="N151" i="14"/>
  <c r="K144" i="14"/>
  <c r="BW148" i="14"/>
  <c r="AE148" i="14"/>
  <c r="Y149" i="14"/>
  <c r="BJ328" i="14"/>
  <c r="BN152" i="14"/>
  <c r="BJ327" i="14"/>
  <c r="BJ323" i="14"/>
  <c r="BJ325" i="14"/>
  <c r="P152" i="14"/>
  <c r="BJ326" i="14"/>
  <c r="BX145" i="14"/>
  <c r="AW145" i="14"/>
  <c r="BH353" i="14"/>
  <c r="BH355" i="14"/>
  <c r="BH354" i="14"/>
  <c r="BH352" i="14"/>
  <c r="BH360" i="14"/>
  <c r="BH357" i="14"/>
  <c r="BH358" i="14"/>
  <c r="BH359" i="14"/>
  <c r="BH356" i="14"/>
  <c r="BJ138" i="14"/>
  <c r="BJ136" i="14"/>
  <c r="BJ135" i="14"/>
  <c r="BJ133" i="14"/>
  <c r="BJ134" i="14"/>
  <c r="BJ139" i="14"/>
  <c r="BJ131" i="14"/>
  <c r="BJ132" i="14"/>
  <c r="BJ137" i="14"/>
  <c r="BG145" i="14"/>
  <c r="AM145" i="14"/>
  <c r="AW147" i="14"/>
  <c r="BB147" i="14"/>
  <c r="BN145" i="14"/>
  <c r="BR147" i="14"/>
  <c r="V146" i="14"/>
  <c r="Y146" i="14"/>
  <c r="BK146" i="14"/>
  <c r="BJ146" i="14"/>
  <c r="AP146" i="14"/>
  <c r="AF146" i="14"/>
  <c r="BS146" i="14"/>
  <c r="AX146" i="14"/>
  <c r="Z146" i="14"/>
  <c r="BQ145" i="14"/>
  <c r="K145" i="14"/>
  <c r="BJ347" i="14"/>
  <c r="BK347" i="14" s="1"/>
  <c r="AT145" i="14"/>
  <c r="BB145" i="14"/>
  <c r="BI145" i="14"/>
  <c r="AO145" i="14"/>
  <c r="Q145" i="14"/>
  <c r="BA145" i="14"/>
  <c r="BV145" i="14"/>
  <c r="BJ145" i="14"/>
  <c r="AJ145" i="14"/>
  <c r="X147" i="14"/>
  <c r="X145" i="14"/>
  <c r="BD147" i="14"/>
  <c r="W145" i="14"/>
  <c r="AA147" i="14"/>
  <c r="BX147" i="14"/>
  <c r="AN145" i="14"/>
  <c r="I151" i="14"/>
  <c r="AT151" i="14"/>
  <c r="BA151" i="14"/>
  <c r="Z151" i="14"/>
  <c r="BY151" i="14"/>
  <c r="BE151" i="14"/>
  <c r="S151" i="14"/>
  <c r="BQ151" i="14"/>
  <c r="AB151" i="14"/>
  <c r="BW151" i="14"/>
  <c r="T145" i="14"/>
  <c r="BR152" i="14"/>
  <c r="BQ152" i="14"/>
  <c r="BM149" i="14"/>
  <c r="V151" i="14"/>
  <c r="AC145" i="14"/>
  <c r="BK147" i="14"/>
  <c r="AV147" i="14"/>
  <c r="AQ145" i="14"/>
  <c r="I147" i="14"/>
  <c r="W147" i="14"/>
  <c r="I145" i="14"/>
  <c r="BO151" i="14"/>
  <c r="U152" i="14"/>
  <c r="BS149" i="14"/>
  <c r="BP150" i="14"/>
  <c r="V147" i="14"/>
  <c r="AB147" i="14"/>
  <c r="AI147" i="14"/>
  <c r="AS147" i="14"/>
  <c r="AC147" i="14"/>
  <c r="BU147" i="14"/>
  <c r="AN147" i="14"/>
  <c r="AZ147" i="14"/>
  <c r="T147" i="14"/>
  <c r="Y147" i="14"/>
  <c r="AB145" i="14"/>
  <c r="AR147" i="14"/>
  <c r="BT147" i="14"/>
  <c r="BV147" i="14"/>
  <c r="BR145" i="14"/>
  <c r="BK152" i="14"/>
  <c r="BP151" i="14"/>
  <c r="BA147" i="14"/>
  <c r="AO147" i="14"/>
  <c r="Y145" i="14"/>
  <c r="BC147" i="14"/>
  <c r="BU145" i="14"/>
  <c r="BY145" i="14"/>
  <c r="H147" i="14"/>
  <c r="AQ151" i="14"/>
  <c r="I152" i="14"/>
  <c r="AL151" i="14"/>
  <c r="BC146" i="14"/>
  <c r="BI355" i="14"/>
  <c r="BI358" i="14"/>
  <c r="BI357" i="14"/>
  <c r="BI354" i="14"/>
  <c r="BI353" i="14"/>
  <c r="BI352" i="14"/>
  <c r="BI359" i="14"/>
  <c r="BI356" i="14"/>
  <c r="BI360" i="14"/>
  <c r="AK145" i="14"/>
  <c r="BL147" i="14"/>
  <c r="AG145" i="14"/>
  <c r="V145" i="14"/>
  <c r="BW145" i="14"/>
  <c r="AH145" i="14"/>
  <c r="U147" i="14"/>
  <c r="AZ151" i="14"/>
  <c r="I146" i="14"/>
  <c r="BQ148" i="14"/>
  <c r="BB146" i="14"/>
  <c r="AE145" i="14"/>
  <c r="Q147" i="14"/>
  <c r="Z147" i="14"/>
  <c r="AF145" i="14"/>
  <c r="BP145" i="14"/>
  <c r="J145" i="14"/>
  <c r="AU147" i="14"/>
  <c r="BI131" i="14"/>
  <c r="BI135" i="14"/>
  <c r="BI138" i="14"/>
  <c r="BI132" i="14"/>
  <c r="BI139" i="14"/>
  <c r="BI133" i="14"/>
  <c r="BI137" i="14"/>
  <c r="BI136" i="14"/>
  <c r="BI134" i="14"/>
  <c r="BT151" i="14"/>
  <c r="M146" i="14"/>
  <c r="Y148" i="14"/>
  <c r="AL145" i="14"/>
  <c r="BY147" i="14"/>
  <c r="BI147" i="14"/>
  <c r="BM94" i="14"/>
  <c r="BN89" i="14"/>
  <c r="BF145" i="14"/>
  <c r="AY145" i="14"/>
  <c r="AX147" i="14"/>
  <c r="BH139" i="14"/>
  <c r="BH135" i="14"/>
  <c r="BH132" i="14"/>
  <c r="BH131" i="14"/>
  <c r="BH137" i="14"/>
  <c r="BH133" i="14"/>
  <c r="BH136" i="14"/>
  <c r="BH138" i="14"/>
  <c r="BH134" i="14"/>
  <c r="AC148" i="14"/>
  <c r="BN147" i="14"/>
  <c r="BL104" i="14"/>
  <c r="BL107" i="14"/>
  <c r="BL103" i="14"/>
  <c r="BL101" i="14"/>
  <c r="BL105" i="14"/>
  <c r="BL106" i="14"/>
  <c r="BL102" i="14"/>
  <c r="AT147" i="14"/>
  <c r="AS145" i="14"/>
  <c r="P147" i="14"/>
  <c r="AF151" i="14"/>
  <c r="BW146" i="14"/>
  <c r="BS150" i="14"/>
  <c r="AS150" i="14"/>
  <c r="W150" i="14"/>
  <c r="T150" i="14"/>
  <c r="BX150" i="14"/>
  <c r="U150" i="14"/>
  <c r="S150" i="14"/>
  <c r="V148" i="14"/>
  <c r="AL150" i="14"/>
  <c r="BW147" i="14"/>
  <c r="O150" i="14"/>
  <c r="BO145" i="14"/>
  <c r="AR145" i="14"/>
  <c r="R147" i="14"/>
  <c r="BP147" i="14"/>
  <c r="BQ144" i="14"/>
  <c r="BA144" i="14"/>
  <c r="BC144" i="14"/>
  <c r="BN144" i="14"/>
  <c r="BH144" i="14"/>
  <c r="P144" i="14"/>
  <c r="AH150" i="14"/>
  <c r="O147" i="14"/>
  <c r="AP147" i="14"/>
  <c r="AU145" i="14"/>
  <c r="BH145" i="14"/>
  <c r="U145" i="14"/>
  <c r="AZ145" i="14"/>
  <c r="AQ147" i="14"/>
  <c r="BO147" i="14"/>
  <c r="BQ147" i="14"/>
  <c r="AA149" i="14"/>
  <c r="AI149" i="14"/>
  <c r="U149" i="14"/>
  <c r="X149" i="14"/>
  <c r="N147" i="14"/>
  <c r="J150" i="14"/>
  <c r="AE149" i="14"/>
  <c r="AK147" i="14"/>
  <c r="H149" i="14"/>
  <c r="AX145" i="14"/>
  <c r="BK126" i="14"/>
  <c r="O145" i="14"/>
  <c r="L145" i="14"/>
  <c r="AA145" i="14"/>
  <c r="K147" i="14"/>
  <c r="AH147" i="14"/>
  <c r="AM147" i="14"/>
  <c r="AD152" i="14"/>
  <c r="BD152" i="14"/>
  <c r="BL152" i="14"/>
  <c r="AG152" i="14"/>
  <c r="T152" i="14"/>
  <c r="AV152" i="14"/>
  <c r="BJ152" i="14"/>
  <c r="BW152" i="14"/>
  <c r="BH152" i="14"/>
  <c r="BV152" i="14"/>
  <c r="AF152" i="14"/>
  <c r="J152" i="14"/>
  <c r="BH147" i="14"/>
  <c r="BD149" i="14"/>
  <c r="H145" i="14"/>
  <c r="N145" i="14"/>
  <c r="BS147" i="14"/>
  <c r="AE147" i="14"/>
  <c r="BK145" i="14"/>
  <c r="M145" i="14"/>
  <c r="P145" i="14"/>
  <c r="AF147" i="14"/>
  <c r="S147" i="14"/>
  <c r="AD147" i="14"/>
  <c r="L148" i="14"/>
  <c r="X148" i="14"/>
  <c r="AZ148" i="14"/>
  <c r="BT148" i="14"/>
  <c r="T148" i="14"/>
  <c r="P148" i="14"/>
  <c r="AY147" i="14"/>
  <c r="AT144" i="14"/>
  <c r="BS145" i="14"/>
  <c r="AR144" i="14"/>
  <c r="Z144" i="14"/>
  <c r="BG152" i="14"/>
  <c r="BW861" i="14"/>
  <c r="AE861" i="14"/>
  <c r="N861" i="14"/>
  <c r="AX861" i="14"/>
  <c r="BQ861" i="14"/>
  <c r="AP861" i="14"/>
  <c r="BK861" i="14"/>
  <c r="BX861" i="14"/>
  <c r="BU861" i="14"/>
  <c r="AA861" i="14"/>
  <c r="U861" i="14"/>
  <c r="AS861" i="14"/>
  <c r="BE861" i="14"/>
  <c r="J861" i="14"/>
  <c r="Z861" i="14"/>
  <c r="BR861" i="14"/>
  <c r="AU861" i="14"/>
  <c r="AI861" i="14"/>
  <c r="BT861" i="14"/>
  <c r="Q861" i="14"/>
  <c r="AL861" i="14"/>
  <c r="BV861" i="14"/>
  <c r="BS861" i="14"/>
  <c r="AF861" i="14"/>
  <c r="BO861" i="14"/>
  <c r="K861" i="14"/>
  <c r="BN861" i="14"/>
  <c r="BD861" i="14"/>
  <c r="AK861" i="14"/>
  <c r="H861" i="14"/>
  <c r="BH861" i="14"/>
  <c r="X861" i="14"/>
  <c r="Y861" i="14"/>
  <c r="T861" i="14"/>
  <c r="BA861" i="14"/>
  <c r="AW861" i="14"/>
  <c r="BP861" i="14"/>
  <c r="BB861" i="14"/>
  <c r="AZ861" i="14"/>
  <c r="I861" i="14"/>
  <c r="AJ861" i="14"/>
  <c r="L861" i="14"/>
  <c r="AD861" i="14"/>
  <c r="BM861" i="14"/>
  <c r="BY861" i="14"/>
  <c r="AN861" i="14"/>
  <c r="AG861" i="14"/>
  <c r="AV861" i="14"/>
  <c r="M861" i="14"/>
  <c r="BF861" i="14"/>
  <c r="W861" i="14"/>
  <c r="AB861" i="14"/>
  <c r="AO861" i="14"/>
  <c r="AM861" i="14"/>
  <c r="AH861" i="14"/>
  <c r="AT861" i="14"/>
  <c r="AR861" i="14"/>
  <c r="P861" i="14"/>
  <c r="AY861" i="14"/>
  <c r="BG861" i="14"/>
  <c r="O861" i="14"/>
  <c r="V861" i="14"/>
  <c r="AQ861" i="14"/>
  <c r="R861" i="14"/>
  <c r="S861" i="14"/>
  <c r="BJ861" i="14"/>
  <c r="BI861" i="14"/>
  <c r="BL861" i="14"/>
  <c r="AC861" i="14"/>
  <c r="BC861" i="14"/>
  <c r="AM862" i="14"/>
  <c r="Y862" i="14"/>
  <c r="AT862" i="14"/>
  <c r="AX862" i="14"/>
  <c r="BK862" i="14"/>
  <c r="AW862" i="14"/>
  <c r="BB862" i="14"/>
  <c r="N862" i="14"/>
  <c r="AZ862" i="14"/>
  <c r="X862" i="14"/>
  <c r="AB862" i="14"/>
  <c r="U862" i="14"/>
  <c r="I862" i="14"/>
  <c r="AK862" i="14"/>
  <c r="BH862" i="14"/>
  <c r="M862" i="14"/>
  <c r="AA862" i="14"/>
  <c r="AY862" i="14"/>
  <c r="BY862" i="14"/>
  <c r="AR862" i="14"/>
  <c r="BA862" i="14"/>
  <c r="BR862" i="14"/>
  <c r="BU862" i="14"/>
  <c r="BX862" i="14"/>
  <c r="AN862" i="14"/>
  <c r="K862" i="14"/>
  <c r="BP862" i="14"/>
  <c r="H862" i="14"/>
  <c r="BO862" i="14"/>
  <c r="Q862" i="14"/>
  <c r="BN862" i="14"/>
  <c r="O862" i="14"/>
  <c r="AI862" i="14"/>
  <c r="BG862" i="14"/>
  <c r="BJ862" i="14"/>
  <c r="AG862" i="14"/>
  <c r="AJ862" i="14"/>
  <c r="P862" i="14"/>
  <c r="AO862" i="14"/>
  <c r="AL862" i="14"/>
  <c r="AQ862" i="14"/>
  <c r="J862" i="14"/>
  <c r="T862" i="14"/>
  <c r="AH862" i="14"/>
  <c r="Z862" i="14"/>
  <c r="BQ862" i="14"/>
  <c r="BF862" i="14"/>
  <c r="BV862" i="14"/>
  <c r="R862" i="14"/>
  <c r="AC862" i="14"/>
  <c r="BL862" i="14"/>
  <c r="BM862" i="14"/>
  <c r="AD862" i="14"/>
  <c r="AP862" i="14"/>
  <c r="BC862" i="14"/>
  <c r="W862" i="14"/>
  <c r="V862" i="14"/>
  <c r="AF862" i="14"/>
  <c r="BE862" i="14"/>
  <c r="S862" i="14"/>
  <c r="BI862" i="14"/>
  <c r="L862" i="14"/>
  <c r="BS862" i="14"/>
  <c r="BW862" i="14"/>
  <c r="AU862" i="14"/>
  <c r="BD862" i="14"/>
  <c r="AV862" i="14"/>
  <c r="AS862" i="14"/>
  <c r="BT862" i="14"/>
  <c r="AE862" i="14"/>
  <c r="V858" i="14"/>
  <c r="AW858" i="14"/>
  <c r="BV858" i="14"/>
  <c r="AX858" i="14"/>
  <c r="O858" i="14"/>
  <c r="BL858" i="14"/>
  <c r="BU858" i="14"/>
  <c r="BF858" i="14"/>
  <c r="BO858" i="14"/>
  <c r="H858" i="14"/>
  <c r="AP858" i="14"/>
  <c r="BP858" i="14"/>
  <c r="AM858" i="14"/>
  <c r="BB858" i="14"/>
  <c r="AF858" i="14"/>
  <c r="BD858" i="14"/>
  <c r="BC858" i="14"/>
  <c r="BI858" i="14"/>
  <c r="BT858" i="14"/>
  <c r="R858" i="14"/>
  <c r="BA858" i="14"/>
  <c r="K858" i="14"/>
  <c r="AC858" i="14"/>
  <c r="AB858" i="14"/>
  <c r="AY858" i="14"/>
  <c r="BW858" i="14"/>
  <c r="AK858" i="14"/>
  <c r="BE858" i="14"/>
  <c r="BK858" i="14"/>
  <c r="BN858" i="14"/>
  <c r="L858" i="14"/>
  <c r="AT858" i="14"/>
  <c r="AD858" i="14"/>
  <c r="U858" i="14"/>
  <c r="J858" i="14"/>
  <c r="AJ858" i="14"/>
  <c r="AE858" i="14"/>
  <c r="AZ858" i="14"/>
  <c r="AR858" i="14"/>
  <c r="X858" i="14"/>
  <c r="AA858" i="14"/>
  <c r="Z858" i="14"/>
  <c r="BM858" i="14"/>
  <c r="AL858" i="14"/>
  <c r="AS858" i="14"/>
  <c r="N858" i="14"/>
  <c r="BS858" i="14"/>
  <c r="T858" i="14"/>
  <c r="AH858" i="14"/>
  <c r="BR858" i="14"/>
  <c r="BJ858" i="14"/>
  <c r="M858" i="14"/>
  <c r="AO858" i="14"/>
  <c r="BY858" i="14"/>
  <c r="BG858" i="14"/>
  <c r="AN858" i="14"/>
  <c r="AQ858" i="14"/>
  <c r="AG858" i="14"/>
  <c r="Y858" i="14"/>
  <c r="P858" i="14"/>
  <c r="AU858" i="14"/>
  <c r="I858" i="14"/>
  <c r="BX858" i="14"/>
  <c r="AV858" i="14"/>
  <c r="S858" i="14"/>
  <c r="Q858" i="14"/>
  <c r="BQ858" i="14"/>
  <c r="AI858" i="14"/>
  <c r="W858" i="14"/>
  <c r="BH858" i="14"/>
  <c r="BO856" i="14"/>
  <c r="T856" i="14"/>
  <c r="X856" i="14"/>
  <c r="U856" i="14"/>
  <c r="BR856" i="14"/>
  <c r="BL856" i="14"/>
  <c r="AV856" i="14"/>
  <c r="BT856" i="14"/>
  <c r="H856" i="14"/>
  <c r="BQ856" i="14"/>
  <c r="AJ856" i="14"/>
  <c r="Z856" i="14"/>
  <c r="BM856" i="14"/>
  <c r="K856" i="14"/>
  <c r="BF856" i="14"/>
  <c r="AX856" i="14"/>
  <c r="AO856" i="14"/>
  <c r="AZ856" i="14"/>
  <c r="BB856" i="14"/>
  <c r="AH856" i="14"/>
  <c r="N856" i="14"/>
  <c r="BE856" i="14"/>
  <c r="R856" i="14"/>
  <c r="Q856" i="14"/>
  <c r="BY856" i="14"/>
  <c r="P856" i="14"/>
  <c r="AK856" i="14"/>
  <c r="AA856" i="14"/>
  <c r="AE856" i="14"/>
  <c r="J856" i="14"/>
  <c r="S856" i="14"/>
  <c r="V856" i="14"/>
  <c r="AM856" i="14"/>
  <c r="BV856" i="14"/>
  <c r="BN856" i="14"/>
  <c r="AQ856" i="14"/>
  <c r="AS856" i="14"/>
  <c r="BC856" i="14"/>
  <c r="M856" i="14"/>
  <c r="AR856" i="14"/>
  <c r="BA856" i="14"/>
  <c r="BP856" i="14"/>
  <c r="BI856" i="14"/>
  <c r="O856" i="14"/>
  <c r="AC856" i="14"/>
  <c r="BJ856" i="14"/>
  <c r="AB856" i="14"/>
  <c r="AN856" i="14"/>
  <c r="AG856" i="14"/>
  <c r="BS856" i="14"/>
  <c r="AP856" i="14"/>
  <c r="BX856" i="14"/>
  <c r="BW856" i="14"/>
  <c r="BU856" i="14"/>
  <c r="AD856" i="14"/>
  <c r="AT856" i="14"/>
  <c r="BD856" i="14"/>
  <c r="AU856" i="14"/>
  <c r="BK856" i="14"/>
  <c r="AF856" i="14"/>
  <c r="AI856" i="14"/>
  <c r="W856" i="14"/>
  <c r="BG856" i="14"/>
  <c r="AW856" i="14"/>
  <c r="BH856" i="14"/>
  <c r="L856" i="14"/>
  <c r="AY856" i="14"/>
  <c r="Y856" i="14"/>
  <c r="AL856" i="14"/>
  <c r="I856" i="14"/>
  <c r="AN855" i="14"/>
  <c r="BU855" i="14"/>
  <c r="AX855" i="14"/>
  <c r="U855" i="14"/>
  <c r="I855" i="14"/>
  <c r="Y855" i="14"/>
  <c r="AR855" i="14"/>
  <c r="T855" i="14"/>
  <c r="AF855" i="14"/>
  <c r="J855" i="14"/>
  <c r="AQ855" i="14"/>
  <c r="BX855" i="14"/>
  <c r="BT855" i="14"/>
  <c r="AM855" i="14"/>
  <c r="BH855" i="14"/>
  <c r="BS855" i="14"/>
  <c r="BQ855" i="14"/>
  <c r="O855" i="14"/>
  <c r="BK855" i="14"/>
  <c r="W855" i="14"/>
  <c r="BM855" i="14"/>
  <c r="AL855" i="14"/>
  <c r="AJ855" i="14"/>
  <c r="S855" i="14"/>
  <c r="AI855" i="14"/>
  <c r="AS855" i="14"/>
  <c r="BR855" i="14"/>
  <c r="N855" i="14"/>
  <c r="AK855" i="14"/>
  <c r="BP855" i="14"/>
  <c r="R855" i="14"/>
  <c r="AV855" i="14"/>
  <c r="AG855" i="14"/>
  <c r="X855" i="14"/>
  <c r="AC855" i="14"/>
  <c r="L855" i="14"/>
  <c r="BC855" i="14"/>
  <c r="BJ855" i="14"/>
  <c r="AD855" i="14"/>
  <c r="Z855" i="14"/>
  <c r="H855" i="14"/>
  <c r="BA855" i="14"/>
  <c r="AA855" i="14"/>
  <c r="Q855" i="14"/>
  <c r="AP855" i="14"/>
  <c r="BG855" i="14"/>
  <c r="AH855" i="14"/>
  <c r="P855" i="14"/>
  <c r="BO855" i="14"/>
  <c r="BI855" i="14"/>
  <c r="BE855" i="14"/>
  <c r="BB855" i="14"/>
  <c r="AE855" i="14"/>
  <c r="V855" i="14"/>
  <c r="BV855" i="14"/>
  <c r="BW855" i="14"/>
  <c r="BF855" i="14"/>
  <c r="K855" i="14"/>
  <c r="BD855" i="14"/>
  <c r="AT855" i="14"/>
  <c r="BN855" i="14"/>
  <c r="AW855" i="14"/>
  <c r="BY855" i="14"/>
  <c r="AY855" i="14"/>
  <c r="AZ855" i="14"/>
  <c r="AU855" i="14"/>
  <c r="AB855" i="14"/>
  <c r="BL855" i="14"/>
  <c r="AO855" i="14"/>
  <c r="M855" i="14"/>
  <c r="BF848" i="14"/>
  <c r="BF844" i="14"/>
  <c r="BF847" i="14"/>
  <c r="BF849" i="14"/>
  <c r="BF846" i="14"/>
  <c r="BF845" i="14"/>
  <c r="BF843" i="14"/>
  <c r="BF842" i="14"/>
  <c r="BF868" i="14"/>
  <c r="BG836" i="14"/>
  <c r="AC859" i="14"/>
  <c r="BO859" i="14"/>
  <c r="AT859" i="14"/>
  <c r="AK859" i="14"/>
  <c r="BM859" i="14"/>
  <c r="BV859" i="14"/>
  <c r="AR859" i="14"/>
  <c r="AO859" i="14"/>
  <c r="AU859" i="14"/>
  <c r="P859" i="14"/>
  <c r="AW859" i="14"/>
  <c r="BS859" i="14"/>
  <c r="BK859" i="14"/>
  <c r="AE859" i="14"/>
  <c r="BX859" i="14"/>
  <c r="BE859" i="14"/>
  <c r="AD859" i="14"/>
  <c r="AA859" i="14"/>
  <c r="Z859" i="14"/>
  <c r="BJ859" i="14"/>
  <c r="X859" i="14"/>
  <c r="BA859" i="14"/>
  <c r="AI859" i="14"/>
  <c r="BG859" i="14"/>
  <c r="M859" i="14"/>
  <c r="BB859" i="14"/>
  <c r="BU859" i="14"/>
  <c r="BY859" i="14"/>
  <c r="AX859" i="14"/>
  <c r="AN859" i="14"/>
  <c r="S859" i="14"/>
  <c r="BQ859" i="14"/>
  <c r="AH859" i="14"/>
  <c r="L859" i="14"/>
  <c r="W859" i="14"/>
  <c r="AG859" i="14"/>
  <c r="AM859" i="14"/>
  <c r="BC859" i="14"/>
  <c r="BP859" i="14"/>
  <c r="BN859" i="14"/>
  <c r="AS859" i="14"/>
  <c r="K859" i="14"/>
  <c r="AJ859" i="14"/>
  <c r="AV859" i="14"/>
  <c r="AB859" i="14"/>
  <c r="H859" i="14"/>
  <c r="AZ859" i="14"/>
  <c r="AY859" i="14"/>
  <c r="I859" i="14"/>
  <c r="BT859" i="14"/>
  <c r="AQ859" i="14"/>
  <c r="T859" i="14"/>
  <c r="BR859" i="14"/>
  <c r="AP859" i="14"/>
  <c r="Y859" i="14"/>
  <c r="AL859" i="14"/>
  <c r="BH859" i="14"/>
  <c r="U859" i="14"/>
  <c r="O859" i="14"/>
  <c r="BD859" i="14"/>
  <c r="R859" i="14"/>
  <c r="Q859" i="14"/>
  <c r="BL859" i="14"/>
  <c r="BI859" i="14"/>
  <c r="BW859" i="14"/>
  <c r="AF859" i="14"/>
  <c r="N859" i="14"/>
  <c r="V859" i="14"/>
  <c r="BF859" i="14"/>
  <c r="J859" i="14"/>
  <c r="BR860" i="14"/>
  <c r="BP860" i="14"/>
  <c r="J860" i="14"/>
  <c r="BT860" i="14"/>
  <c r="AS860" i="14"/>
  <c r="AW860" i="14"/>
  <c r="O860" i="14"/>
  <c r="H860" i="14"/>
  <c r="BU860" i="14"/>
  <c r="AL860" i="14"/>
  <c r="AA860" i="14"/>
  <c r="AT860" i="14"/>
  <c r="BG860" i="14"/>
  <c r="AZ860" i="14"/>
  <c r="T860" i="14"/>
  <c r="BL860" i="14"/>
  <c r="BK860" i="14"/>
  <c r="BN860" i="14"/>
  <c r="AO860" i="14"/>
  <c r="BS860" i="14"/>
  <c r="BJ860" i="14"/>
  <c r="S860" i="14"/>
  <c r="AJ860" i="14"/>
  <c r="AU860" i="14"/>
  <c r="Q860" i="14"/>
  <c r="AQ860" i="14"/>
  <c r="X860" i="14"/>
  <c r="BF860" i="14"/>
  <c r="Z860" i="14"/>
  <c r="L860" i="14"/>
  <c r="N860" i="14"/>
  <c r="BC860" i="14"/>
  <c r="AV860" i="14"/>
  <c r="M860" i="14"/>
  <c r="BB860" i="14"/>
  <c r="BM860" i="14"/>
  <c r="V860" i="14"/>
  <c r="Y860" i="14"/>
  <c r="BA860" i="14"/>
  <c r="AE860" i="14"/>
  <c r="AX860" i="14"/>
  <c r="AK860" i="14"/>
  <c r="BE860" i="14"/>
  <c r="U860" i="14"/>
  <c r="BX860" i="14"/>
  <c r="BV860" i="14"/>
  <c r="AG860" i="14"/>
  <c r="I860" i="14"/>
  <c r="AI860" i="14"/>
  <c r="BQ860" i="14"/>
  <c r="AF860" i="14"/>
  <c r="K860" i="14"/>
  <c r="BO860" i="14"/>
  <c r="P860" i="14"/>
  <c r="BY860" i="14"/>
  <c r="BI860" i="14"/>
  <c r="AY860" i="14"/>
  <c r="W860" i="14"/>
  <c r="AM860" i="14"/>
  <c r="BH860" i="14"/>
  <c r="BD860" i="14"/>
  <c r="BW860" i="14"/>
  <c r="AN860" i="14"/>
  <c r="R860" i="14"/>
  <c r="AH860" i="14"/>
  <c r="AR860" i="14"/>
  <c r="AP860" i="14"/>
  <c r="AD860" i="14"/>
  <c r="AB860" i="14"/>
  <c r="AC860" i="14"/>
  <c r="BE878" i="14"/>
  <c r="BE873" i="14"/>
  <c r="BE879" i="14"/>
  <c r="BE874" i="14"/>
  <c r="BE880" i="14"/>
  <c r="BE875" i="14"/>
  <c r="BE881" i="14"/>
  <c r="BE876" i="14"/>
  <c r="BE877" i="14"/>
  <c r="BB857" i="14"/>
  <c r="BF857" i="14"/>
  <c r="AA857" i="14"/>
  <c r="BM857" i="14"/>
  <c r="AE857" i="14"/>
  <c r="S857" i="14"/>
  <c r="BC857" i="14"/>
  <c r="AJ857" i="14"/>
  <c r="AH857" i="14"/>
  <c r="H857" i="14"/>
  <c r="N857" i="14"/>
  <c r="AN857" i="14"/>
  <c r="AQ857" i="14"/>
  <c r="AU857" i="14"/>
  <c r="V857" i="14"/>
  <c r="AV857" i="14"/>
  <c r="R857" i="14"/>
  <c r="BS857" i="14"/>
  <c r="AI857" i="14"/>
  <c r="AW857" i="14"/>
  <c r="BK857" i="14"/>
  <c r="BP857" i="14"/>
  <c r="AB857" i="14"/>
  <c r="BV857" i="14"/>
  <c r="AD857" i="14"/>
  <c r="BI857" i="14"/>
  <c r="AF857" i="14"/>
  <c r="I857" i="14"/>
  <c r="BT857" i="14"/>
  <c r="AS857" i="14"/>
  <c r="U857" i="14"/>
  <c r="AK857" i="14"/>
  <c r="Y857" i="14"/>
  <c r="O857" i="14"/>
  <c r="BD857" i="14"/>
  <c r="J857" i="14"/>
  <c r="BN857" i="14"/>
  <c r="BL857" i="14"/>
  <c r="AY857" i="14"/>
  <c r="Z857" i="14"/>
  <c r="P857" i="14"/>
  <c r="BA857" i="14"/>
  <c r="BU857" i="14"/>
  <c r="AG857" i="14"/>
  <c r="W857" i="14"/>
  <c r="BX857" i="14"/>
  <c r="BW857" i="14"/>
  <c r="BQ857" i="14"/>
  <c r="AO857" i="14"/>
  <c r="AL857" i="14"/>
  <c r="BJ857" i="14"/>
  <c r="BH857" i="14"/>
  <c r="M857" i="14"/>
  <c r="T857" i="14"/>
  <c r="BO857" i="14"/>
  <c r="AZ857" i="14"/>
  <c r="AM857" i="14"/>
  <c r="AT857" i="14"/>
  <c r="BR857" i="14"/>
  <c r="L857" i="14"/>
  <c r="AP857" i="14"/>
  <c r="BE857" i="14"/>
  <c r="BG857" i="14"/>
  <c r="AR857" i="14"/>
  <c r="K857" i="14"/>
  <c r="AC857" i="14"/>
  <c r="BY857" i="14"/>
  <c r="AX857" i="14"/>
  <c r="Q857" i="14"/>
  <c r="X857" i="14"/>
  <c r="BL283" i="14"/>
  <c r="BL287" i="14"/>
  <c r="BM275" i="14"/>
  <c r="BM284" i="14" s="1"/>
  <c r="BL280" i="14"/>
  <c r="BL282" i="14"/>
  <c r="BL285" i="14"/>
  <c r="BL286" i="14"/>
  <c r="BL281" i="14"/>
  <c r="BL284" i="14"/>
  <c r="BJ804" i="14"/>
  <c r="BJ807" i="14"/>
  <c r="BJ803" i="14"/>
  <c r="BJ801" i="14"/>
  <c r="BJ805" i="14"/>
  <c r="BJ808" i="14"/>
  <c r="BJ802" i="14"/>
  <c r="BJ809" i="14"/>
  <c r="BJ806" i="14"/>
  <c r="BK773" i="14"/>
  <c r="BK777" i="14"/>
  <c r="BK772" i="14"/>
  <c r="BK771" i="14"/>
  <c r="BK775" i="14"/>
  <c r="BK774" i="14"/>
  <c r="BK776" i="14"/>
  <c r="BL764" i="14"/>
  <c r="BM759" i="14"/>
  <c r="BM251" i="14"/>
  <c r="BM249" i="14"/>
  <c r="BM256" i="14"/>
  <c r="BM255" i="14"/>
  <c r="BM254" i="14"/>
  <c r="BM253" i="14"/>
  <c r="BM252" i="14"/>
  <c r="BM250" i="14"/>
  <c r="BN243" i="14"/>
  <c r="BO238" i="14"/>
  <c r="BK796" i="14"/>
  <c r="BP310" i="14"/>
  <c r="BM315" i="14" l="1"/>
  <c r="BM328" i="14" s="1"/>
  <c r="BL323" i="14"/>
  <c r="BL324" i="14"/>
  <c r="BL322" i="14"/>
  <c r="BL328" i="14"/>
  <c r="BL325" i="14"/>
  <c r="BL327" i="14"/>
  <c r="BK356" i="14"/>
  <c r="BK358" i="14"/>
  <c r="BK360" i="14"/>
  <c r="BK357" i="14"/>
  <c r="BK355" i="14"/>
  <c r="BK353" i="14"/>
  <c r="BK352" i="14"/>
  <c r="BK359" i="14"/>
  <c r="BK354" i="14"/>
  <c r="BK131" i="14"/>
  <c r="BK139" i="14"/>
  <c r="BK137" i="14"/>
  <c r="BK134" i="14"/>
  <c r="BK136" i="14"/>
  <c r="BK132" i="14"/>
  <c r="BK138" i="14"/>
  <c r="BK133" i="14"/>
  <c r="BK135" i="14"/>
  <c r="BL347" i="14"/>
  <c r="BJ358" i="14"/>
  <c r="BJ356" i="14"/>
  <c r="BJ353" i="14"/>
  <c r="BJ355" i="14"/>
  <c r="BJ357" i="14"/>
  <c r="BJ359" i="14"/>
  <c r="BJ352" i="14"/>
  <c r="BJ360" i="14"/>
  <c r="BJ354" i="14"/>
  <c r="BL126" i="14"/>
  <c r="BM126" i="14" s="1"/>
  <c r="BN94" i="14"/>
  <c r="BO89" i="14"/>
  <c r="BM103" i="14"/>
  <c r="BM105" i="14"/>
  <c r="BM102" i="14"/>
  <c r="BM104" i="14"/>
  <c r="BM106" i="14"/>
  <c r="BM107" i="14"/>
  <c r="BM101" i="14"/>
  <c r="BW890" i="14"/>
  <c r="V890" i="14"/>
  <c r="AQ890" i="14"/>
  <c r="T890" i="14"/>
  <c r="AT890" i="14"/>
  <c r="BT890" i="14"/>
  <c r="AC890" i="14"/>
  <c r="AI890" i="14"/>
  <c r="J890" i="14"/>
  <c r="S890" i="14"/>
  <c r="BU890" i="14"/>
  <c r="BH890" i="14"/>
  <c r="BC890" i="14"/>
  <c r="BI890" i="14"/>
  <c r="BF890" i="14"/>
  <c r="BY890" i="14"/>
  <c r="AX890" i="14"/>
  <c r="AE890" i="14"/>
  <c r="BP890" i="14"/>
  <c r="AB890" i="14"/>
  <c r="U890" i="14"/>
  <c r="AY890" i="14"/>
  <c r="N890" i="14"/>
  <c r="BS890" i="14"/>
  <c r="AK890" i="14"/>
  <c r="AU890" i="14"/>
  <c r="BO890" i="14"/>
  <c r="H890" i="14"/>
  <c r="AA890" i="14"/>
  <c r="X890" i="14"/>
  <c r="BV890" i="14"/>
  <c r="K890" i="14"/>
  <c r="BN890" i="14"/>
  <c r="AH890" i="14"/>
  <c r="M890" i="14"/>
  <c r="BG890" i="14"/>
  <c r="R890" i="14"/>
  <c r="BA890" i="14"/>
  <c r="AR890" i="14"/>
  <c r="BK890" i="14"/>
  <c r="AZ890" i="14"/>
  <c r="BX890" i="14"/>
  <c r="Q890" i="14"/>
  <c r="P890" i="14"/>
  <c r="AP890" i="14"/>
  <c r="BD890" i="14"/>
  <c r="BL890" i="14"/>
  <c r="AF890" i="14"/>
  <c r="W890" i="14"/>
  <c r="O890" i="14"/>
  <c r="BJ890" i="14"/>
  <c r="AJ890" i="14"/>
  <c r="Y890" i="14"/>
  <c r="AM890" i="14"/>
  <c r="BM890" i="14"/>
  <c r="AV890" i="14"/>
  <c r="BQ890" i="14"/>
  <c r="AS890" i="14"/>
  <c r="AG890" i="14"/>
  <c r="BR890" i="14"/>
  <c r="AD890" i="14"/>
  <c r="I890" i="14"/>
  <c r="Z890" i="14"/>
  <c r="BB890" i="14"/>
  <c r="AO890" i="14"/>
  <c r="BE890" i="14"/>
  <c r="L890" i="14"/>
  <c r="AN890" i="14"/>
  <c r="AL890" i="14"/>
  <c r="AW890" i="14"/>
  <c r="BA889" i="14"/>
  <c r="BJ889" i="14"/>
  <c r="AT889" i="14"/>
  <c r="BB889" i="14"/>
  <c r="AR889" i="14"/>
  <c r="R889" i="14"/>
  <c r="BH889" i="14"/>
  <c r="AO889" i="14"/>
  <c r="AA889" i="14"/>
  <c r="BM889" i="14"/>
  <c r="BI889" i="14"/>
  <c r="P889" i="14"/>
  <c r="X889" i="14"/>
  <c r="BT889" i="14"/>
  <c r="M889" i="14"/>
  <c r="AC889" i="14"/>
  <c r="AW889" i="14"/>
  <c r="AH889" i="14"/>
  <c r="AB889" i="14"/>
  <c r="AV889" i="14"/>
  <c r="AD889" i="14"/>
  <c r="BY889" i="14"/>
  <c r="Q889" i="14"/>
  <c r="AE889" i="14"/>
  <c r="BD889" i="14"/>
  <c r="AZ889" i="14"/>
  <c r="AJ889" i="14"/>
  <c r="AX889" i="14"/>
  <c r="Y889" i="14"/>
  <c r="BN889" i="14"/>
  <c r="K889" i="14"/>
  <c r="L889" i="14"/>
  <c r="AI889" i="14"/>
  <c r="AM889" i="14"/>
  <c r="BQ889" i="14"/>
  <c r="BK889" i="14"/>
  <c r="J889" i="14"/>
  <c r="BS889" i="14"/>
  <c r="BV889" i="14"/>
  <c r="AP889" i="14"/>
  <c r="AG889" i="14"/>
  <c r="BE889" i="14"/>
  <c r="BC889" i="14"/>
  <c r="T889" i="14"/>
  <c r="U889" i="14"/>
  <c r="AN889" i="14"/>
  <c r="BL889" i="14"/>
  <c r="BX889" i="14"/>
  <c r="BO889" i="14"/>
  <c r="AL889" i="14"/>
  <c r="Z889" i="14"/>
  <c r="N889" i="14"/>
  <c r="H889" i="14"/>
  <c r="AQ889" i="14"/>
  <c r="AS889" i="14"/>
  <c r="V889" i="14"/>
  <c r="BF889" i="14"/>
  <c r="S889" i="14"/>
  <c r="AK889" i="14"/>
  <c r="BG889" i="14"/>
  <c r="BU889" i="14"/>
  <c r="W889" i="14"/>
  <c r="O889" i="14"/>
  <c r="AU889" i="14"/>
  <c r="BW889" i="14"/>
  <c r="I889" i="14"/>
  <c r="BR889" i="14"/>
  <c r="AF889" i="14"/>
  <c r="BP889" i="14"/>
  <c r="AY889" i="14"/>
  <c r="BS894" i="14"/>
  <c r="Y894" i="14"/>
  <c r="BJ894" i="14"/>
  <c r="H894" i="14"/>
  <c r="AJ894" i="14"/>
  <c r="N894" i="14"/>
  <c r="BU894" i="14"/>
  <c r="T894" i="14"/>
  <c r="AK894" i="14"/>
  <c r="BH894" i="14"/>
  <c r="AM894" i="14"/>
  <c r="I894" i="14"/>
  <c r="Z894" i="14"/>
  <c r="P894" i="14"/>
  <c r="U894" i="14"/>
  <c r="AW894" i="14"/>
  <c r="BL894" i="14"/>
  <c r="BN894" i="14"/>
  <c r="AH894" i="14"/>
  <c r="AV894" i="14"/>
  <c r="BP894" i="14"/>
  <c r="AD894" i="14"/>
  <c r="BC894" i="14"/>
  <c r="BW894" i="14"/>
  <c r="Q894" i="14"/>
  <c r="AZ894" i="14"/>
  <c r="BQ894" i="14"/>
  <c r="BB894" i="14"/>
  <c r="AL894" i="14"/>
  <c r="AF894" i="14"/>
  <c r="BD894" i="14"/>
  <c r="V894" i="14"/>
  <c r="J894" i="14"/>
  <c r="AP894" i="14"/>
  <c r="AS894" i="14"/>
  <c r="AI894" i="14"/>
  <c r="BR894" i="14"/>
  <c r="R894" i="14"/>
  <c r="AT894" i="14"/>
  <c r="BF894" i="14"/>
  <c r="AA894" i="14"/>
  <c r="AY894" i="14"/>
  <c r="AO894" i="14"/>
  <c r="S894" i="14"/>
  <c r="BM894" i="14"/>
  <c r="AG894" i="14"/>
  <c r="BT894" i="14"/>
  <c r="AQ894" i="14"/>
  <c r="BG894" i="14"/>
  <c r="AE894" i="14"/>
  <c r="AX894" i="14"/>
  <c r="BE894" i="14"/>
  <c r="BK894" i="14"/>
  <c r="M894" i="14"/>
  <c r="BA894" i="14"/>
  <c r="BX894" i="14"/>
  <c r="BO894" i="14"/>
  <c r="L894" i="14"/>
  <c r="AR894" i="14"/>
  <c r="BY894" i="14"/>
  <c r="AB894" i="14"/>
  <c r="O894" i="14"/>
  <c r="BI894" i="14"/>
  <c r="AC894" i="14"/>
  <c r="AU894" i="14"/>
  <c r="K894" i="14"/>
  <c r="BV894" i="14"/>
  <c r="AN894" i="14"/>
  <c r="W894" i="14"/>
  <c r="X894" i="14"/>
  <c r="J888" i="14"/>
  <c r="BF888" i="14"/>
  <c r="O888" i="14"/>
  <c r="BW888" i="14"/>
  <c r="AA888" i="14"/>
  <c r="T888" i="14"/>
  <c r="AN888" i="14"/>
  <c r="AK888" i="14"/>
  <c r="K888" i="14"/>
  <c r="AC888" i="14"/>
  <c r="AV888" i="14"/>
  <c r="M888" i="14"/>
  <c r="BO888" i="14"/>
  <c r="BL888" i="14"/>
  <c r="AY888" i="14"/>
  <c r="AG888" i="14"/>
  <c r="L888" i="14"/>
  <c r="AE888" i="14"/>
  <c r="BJ888" i="14"/>
  <c r="AH888" i="14"/>
  <c r="W888" i="14"/>
  <c r="BA888" i="14"/>
  <c r="AD888" i="14"/>
  <c r="H888" i="14"/>
  <c r="V888" i="14"/>
  <c r="BQ888" i="14"/>
  <c r="BR888" i="14"/>
  <c r="BS888" i="14"/>
  <c r="BN888" i="14"/>
  <c r="AJ888" i="14"/>
  <c r="S888" i="14"/>
  <c r="AQ888" i="14"/>
  <c r="BK888" i="14"/>
  <c r="AW888" i="14"/>
  <c r="AT888" i="14"/>
  <c r="AF888" i="14"/>
  <c r="AO888" i="14"/>
  <c r="U888" i="14"/>
  <c r="AR888" i="14"/>
  <c r="I888" i="14"/>
  <c r="BC888" i="14"/>
  <c r="BP888" i="14"/>
  <c r="BX888" i="14"/>
  <c r="X888" i="14"/>
  <c r="BD888" i="14"/>
  <c r="AS888" i="14"/>
  <c r="BV888" i="14"/>
  <c r="BB888" i="14"/>
  <c r="N888" i="14"/>
  <c r="Z888" i="14"/>
  <c r="AM888" i="14"/>
  <c r="BU888" i="14"/>
  <c r="BT888" i="14"/>
  <c r="AB888" i="14"/>
  <c r="BY888" i="14"/>
  <c r="R888" i="14"/>
  <c r="BM888" i="14"/>
  <c r="Q888" i="14"/>
  <c r="AU888" i="14"/>
  <c r="AI888" i="14"/>
  <c r="BH888" i="14"/>
  <c r="BE888" i="14"/>
  <c r="AP888" i="14"/>
  <c r="Y888" i="14"/>
  <c r="BG888" i="14"/>
  <c r="AX888" i="14"/>
  <c r="AZ888" i="14"/>
  <c r="BI888" i="14"/>
  <c r="P888" i="14"/>
  <c r="AL888" i="14"/>
  <c r="N893" i="14"/>
  <c r="H893" i="14"/>
  <c r="BC893" i="14"/>
  <c r="AF893" i="14"/>
  <c r="AA893" i="14"/>
  <c r="AR893" i="14"/>
  <c r="BM893" i="14"/>
  <c r="BG893" i="14"/>
  <c r="Q893" i="14"/>
  <c r="K893" i="14"/>
  <c r="BV893" i="14"/>
  <c r="AO893" i="14"/>
  <c r="V893" i="14"/>
  <c r="X893" i="14"/>
  <c r="M893" i="14"/>
  <c r="AP893" i="14"/>
  <c r="L893" i="14"/>
  <c r="BT893" i="14"/>
  <c r="U893" i="14"/>
  <c r="S893" i="14"/>
  <c r="BK893" i="14"/>
  <c r="J893" i="14"/>
  <c r="W893" i="14"/>
  <c r="Z893" i="14"/>
  <c r="AH893" i="14"/>
  <c r="BS893" i="14"/>
  <c r="BA893" i="14"/>
  <c r="AI893" i="14"/>
  <c r="AT893" i="14"/>
  <c r="AM893" i="14"/>
  <c r="BF893" i="14"/>
  <c r="I893" i="14"/>
  <c r="AW893" i="14"/>
  <c r="BY893" i="14"/>
  <c r="BB893" i="14"/>
  <c r="BN893" i="14"/>
  <c r="O893" i="14"/>
  <c r="AN893" i="14"/>
  <c r="AL893" i="14"/>
  <c r="Y893" i="14"/>
  <c r="BD893" i="14"/>
  <c r="BI893" i="14"/>
  <c r="BX893" i="14"/>
  <c r="AY893" i="14"/>
  <c r="BO893" i="14"/>
  <c r="AQ893" i="14"/>
  <c r="T893" i="14"/>
  <c r="BL893" i="14"/>
  <c r="AJ893" i="14"/>
  <c r="R893" i="14"/>
  <c r="BQ893" i="14"/>
  <c r="BP893" i="14"/>
  <c r="AK893" i="14"/>
  <c r="BE893" i="14"/>
  <c r="AC893" i="14"/>
  <c r="AD893" i="14"/>
  <c r="P893" i="14"/>
  <c r="AV893" i="14"/>
  <c r="BJ893" i="14"/>
  <c r="BR893" i="14"/>
  <c r="BU893" i="14"/>
  <c r="AG893" i="14"/>
  <c r="AU893" i="14"/>
  <c r="AX893" i="14"/>
  <c r="AE893" i="14"/>
  <c r="BW893" i="14"/>
  <c r="AB893" i="14"/>
  <c r="BH893" i="14"/>
  <c r="AZ893" i="14"/>
  <c r="AS893" i="14"/>
  <c r="AT887" i="14"/>
  <c r="BG887" i="14"/>
  <c r="AE887" i="14"/>
  <c r="O887" i="14"/>
  <c r="AJ887" i="14"/>
  <c r="AQ887" i="14"/>
  <c r="V887" i="14"/>
  <c r="AY887" i="14"/>
  <c r="BK887" i="14"/>
  <c r="AL887" i="14"/>
  <c r="Q887" i="14"/>
  <c r="AO887" i="14"/>
  <c r="BT887" i="14"/>
  <c r="AA887" i="14"/>
  <c r="BC887" i="14"/>
  <c r="AG887" i="14"/>
  <c r="AV887" i="14"/>
  <c r="Z887" i="14"/>
  <c r="S887" i="14"/>
  <c r="W887" i="14"/>
  <c r="BR887" i="14"/>
  <c r="H887" i="14"/>
  <c r="BF887" i="14"/>
  <c r="AR887" i="14"/>
  <c r="BW887" i="14"/>
  <c r="BH887" i="14"/>
  <c r="AS887" i="14"/>
  <c r="AN887" i="14"/>
  <c r="AC887" i="14"/>
  <c r="BD887" i="14"/>
  <c r="AX887" i="14"/>
  <c r="AU887" i="14"/>
  <c r="AP887" i="14"/>
  <c r="R887" i="14"/>
  <c r="I887" i="14"/>
  <c r="AZ887" i="14"/>
  <c r="BA887" i="14"/>
  <c r="AF887" i="14"/>
  <c r="BN887" i="14"/>
  <c r="T887" i="14"/>
  <c r="BJ887" i="14"/>
  <c r="L887" i="14"/>
  <c r="AB887" i="14"/>
  <c r="BX887" i="14"/>
  <c r="M887" i="14"/>
  <c r="BU887" i="14"/>
  <c r="X887" i="14"/>
  <c r="BV887" i="14"/>
  <c r="P887" i="14"/>
  <c r="BB887" i="14"/>
  <c r="AI887" i="14"/>
  <c r="BO887" i="14"/>
  <c r="BM887" i="14"/>
  <c r="AD887" i="14"/>
  <c r="BQ887" i="14"/>
  <c r="AW887" i="14"/>
  <c r="BL887" i="14"/>
  <c r="BE887" i="14"/>
  <c r="BY887" i="14"/>
  <c r="AK887" i="14"/>
  <c r="BP887" i="14"/>
  <c r="K887" i="14"/>
  <c r="AM887" i="14"/>
  <c r="BS887" i="14"/>
  <c r="U887" i="14"/>
  <c r="BI887" i="14"/>
  <c r="AH887" i="14"/>
  <c r="J887" i="14"/>
  <c r="N887" i="14"/>
  <c r="Y887" i="14"/>
  <c r="BG849" i="14"/>
  <c r="BG843" i="14"/>
  <c r="BG845" i="14"/>
  <c r="BG848" i="14"/>
  <c r="BG847" i="14"/>
  <c r="BG846" i="14"/>
  <c r="BG844" i="14"/>
  <c r="BG842" i="14"/>
  <c r="BG868" i="14"/>
  <c r="BH836" i="14"/>
  <c r="BV892" i="14"/>
  <c r="AG892" i="14"/>
  <c r="AL892" i="14"/>
  <c r="BO892" i="14"/>
  <c r="AW892" i="14"/>
  <c r="AJ892" i="14"/>
  <c r="BM892" i="14"/>
  <c r="BP892" i="14"/>
  <c r="BW892" i="14"/>
  <c r="U892" i="14"/>
  <c r="AZ892" i="14"/>
  <c r="K892" i="14"/>
  <c r="BF892" i="14"/>
  <c r="N892" i="14"/>
  <c r="W892" i="14"/>
  <c r="AP892" i="14"/>
  <c r="Q892" i="14"/>
  <c r="BK892" i="14"/>
  <c r="BX892" i="14"/>
  <c r="AU892" i="14"/>
  <c r="AQ892" i="14"/>
  <c r="AM892" i="14"/>
  <c r="BN892" i="14"/>
  <c r="AB892" i="14"/>
  <c r="Y892" i="14"/>
  <c r="BG892" i="14"/>
  <c r="AK892" i="14"/>
  <c r="V892" i="14"/>
  <c r="AF892" i="14"/>
  <c r="R892" i="14"/>
  <c r="H892" i="14"/>
  <c r="P892" i="14"/>
  <c r="BQ892" i="14"/>
  <c r="M892" i="14"/>
  <c r="AI892" i="14"/>
  <c r="AN892" i="14"/>
  <c r="BI892" i="14"/>
  <c r="BU892" i="14"/>
  <c r="AE892" i="14"/>
  <c r="AO892" i="14"/>
  <c r="AA892" i="14"/>
  <c r="L892" i="14"/>
  <c r="AY892" i="14"/>
  <c r="AV892" i="14"/>
  <c r="X892" i="14"/>
  <c r="BA892" i="14"/>
  <c r="BT892" i="14"/>
  <c r="BD892" i="14"/>
  <c r="BR892" i="14"/>
  <c r="AD892" i="14"/>
  <c r="BE892" i="14"/>
  <c r="S892" i="14"/>
  <c r="BC892" i="14"/>
  <c r="BS892" i="14"/>
  <c r="AC892" i="14"/>
  <c r="T892" i="14"/>
  <c r="BY892" i="14"/>
  <c r="BJ892" i="14"/>
  <c r="AS892" i="14"/>
  <c r="AH892" i="14"/>
  <c r="I892" i="14"/>
  <c r="J892" i="14"/>
  <c r="O892" i="14"/>
  <c r="AX892" i="14"/>
  <c r="BH892" i="14"/>
  <c r="BL892" i="14"/>
  <c r="AT892" i="14"/>
  <c r="BB892" i="14"/>
  <c r="Z892" i="14"/>
  <c r="AR892" i="14"/>
  <c r="BF873" i="14"/>
  <c r="BF881" i="14"/>
  <c r="BF875" i="14"/>
  <c r="BF876" i="14"/>
  <c r="BF880" i="14"/>
  <c r="BF877" i="14"/>
  <c r="BF874" i="14"/>
  <c r="BF878" i="14"/>
  <c r="BF879" i="14"/>
  <c r="BG886" i="14"/>
  <c r="AD886" i="14"/>
  <c r="AX886" i="14"/>
  <c r="AE886" i="14"/>
  <c r="AZ886" i="14"/>
  <c r="BP886" i="14"/>
  <c r="Z886" i="14"/>
  <c r="AY886" i="14"/>
  <c r="BJ886" i="14"/>
  <c r="BU886" i="14"/>
  <c r="H886" i="14"/>
  <c r="AL886" i="14"/>
  <c r="BE886" i="14"/>
  <c r="AT886" i="14"/>
  <c r="Q886" i="14"/>
  <c r="AU886" i="14"/>
  <c r="L886" i="14"/>
  <c r="J886" i="14"/>
  <c r="AW886" i="14"/>
  <c r="AP886" i="14"/>
  <c r="AG886" i="14"/>
  <c r="BY886" i="14"/>
  <c r="BF886" i="14"/>
  <c r="AC886" i="14"/>
  <c r="AR886" i="14"/>
  <c r="BC886" i="14"/>
  <c r="X886" i="14"/>
  <c r="BQ886" i="14"/>
  <c r="BT886" i="14"/>
  <c r="BR886" i="14"/>
  <c r="BL886" i="14"/>
  <c r="BH886" i="14"/>
  <c r="AN886" i="14"/>
  <c r="BV886" i="14"/>
  <c r="I886" i="14"/>
  <c r="AB886" i="14"/>
  <c r="R886" i="14"/>
  <c r="Y886" i="14"/>
  <c r="BM886" i="14"/>
  <c r="AV886" i="14"/>
  <c r="BB886" i="14"/>
  <c r="AH886" i="14"/>
  <c r="T886" i="14"/>
  <c r="AI886" i="14"/>
  <c r="BN886" i="14"/>
  <c r="BX886" i="14"/>
  <c r="AK886" i="14"/>
  <c r="BI886" i="14"/>
  <c r="AO886" i="14"/>
  <c r="AA886" i="14"/>
  <c r="BD886" i="14"/>
  <c r="P886" i="14"/>
  <c r="K886" i="14"/>
  <c r="S886" i="14"/>
  <c r="BA886" i="14"/>
  <c r="W886" i="14"/>
  <c r="AF886" i="14"/>
  <c r="V886" i="14"/>
  <c r="M886" i="14"/>
  <c r="O886" i="14"/>
  <c r="BS886" i="14"/>
  <c r="BK886" i="14"/>
  <c r="U886" i="14"/>
  <c r="N886" i="14"/>
  <c r="AJ886" i="14"/>
  <c r="AM886" i="14"/>
  <c r="BO886" i="14"/>
  <c r="AQ886" i="14"/>
  <c r="BW886" i="14"/>
  <c r="AS886" i="14"/>
  <c r="BA891" i="14"/>
  <c r="V891" i="14"/>
  <c r="AX891" i="14"/>
  <c r="AF891" i="14"/>
  <c r="AY891" i="14"/>
  <c r="BJ891" i="14"/>
  <c r="BQ891" i="14"/>
  <c r="BL891" i="14"/>
  <c r="AC891" i="14"/>
  <c r="T891" i="14"/>
  <c r="AH891" i="14"/>
  <c r="BK891" i="14"/>
  <c r="BM891" i="14"/>
  <c r="P891" i="14"/>
  <c r="X891" i="14"/>
  <c r="AT891" i="14"/>
  <c r="AD891" i="14"/>
  <c r="AP891" i="14"/>
  <c r="S891" i="14"/>
  <c r="AN891" i="14"/>
  <c r="BU891" i="14"/>
  <c r="BC891" i="14"/>
  <c r="BY891" i="14"/>
  <c r="AB891" i="14"/>
  <c r="AU891" i="14"/>
  <c r="BI891" i="14"/>
  <c r="Y891" i="14"/>
  <c r="BX891" i="14"/>
  <c r="BF891" i="14"/>
  <c r="BR891" i="14"/>
  <c r="AL891" i="14"/>
  <c r="AZ891" i="14"/>
  <c r="AW891" i="14"/>
  <c r="BN891" i="14"/>
  <c r="O891" i="14"/>
  <c r="L891" i="14"/>
  <c r="K891" i="14"/>
  <c r="W891" i="14"/>
  <c r="BT891" i="14"/>
  <c r="AA891" i="14"/>
  <c r="BP891" i="14"/>
  <c r="M891" i="14"/>
  <c r="AG891" i="14"/>
  <c r="BH891" i="14"/>
  <c r="H891" i="14"/>
  <c r="BG891" i="14"/>
  <c r="AJ891" i="14"/>
  <c r="AO891" i="14"/>
  <c r="BD891" i="14"/>
  <c r="AV891" i="14"/>
  <c r="U891" i="14"/>
  <c r="AM891" i="14"/>
  <c r="BS891" i="14"/>
  <c r="BO891" i="14"/>
  <c r="N891" i="14"/>
  <c r="R891" i="14"/>
  <c r="BW891" i="14"/>
  <c r="AI891" i="14"/>
  <c r="BB891" i="14"/>
  <c r="AR891" i="14"/>
  <c r="Q891" i="14"/>
  <c r="AK891" i="14"/>
  <c r="BE891" i="14"/>
  <c r="Z891" i="14"/>
  <c r="J891" i="14"/>
  <c r="AS891" i="14"/>
  <c r="AQ891" i="14"/>
  <c r="AE891" i="14"/>
  <c r="I891" i="14"/>
  <c r="BV891" i="14"/>
  <c r="BN275" i="14"/>
  <c r="BN281" i="14" s="1"/>
  <c r="BM288" i="14"/>
  <c r="BM281" i="14"/>
  <c r="BM282" i="14"/>
  <c r="BM285" i="14"/>
  <c r="BM287" i="14"/>
  <c r="BM280" i="14"/>
  <c r="BM283" i="14"/>
  <c r="BM286" i="14"/>
  <c r="BO243" i="14"/>
  <c r="BP238" i="14"/>
  <c r="BK806" i="14"/>
  <c r="BK804" i="14"/>
  <c r="BK803" i="14"/>
  <c r="BK807" i="14"/>
  <c r="BK809" i="14"/>
  <c r="BK801" i="14"/>
  <c r="BK805" i="14"/>
  <c r="BK802" i="14"/>
  <c r="BK808" i="14"/>
  <c r="BM764" i="14"/>
  <c r="BN759" i="14"/>
  <c r="BQ310" i="14"/>
  <c r="BL796" i="14"/>
  <c r="BN253" i="14"/>
  <c r="BN251" i="14"/>
  <c r="BN249" i="14"/>
  <c r="BN252" i="14"/>
  <c r="BN254" i="14"/>
  <c r="BN250" i="14"/>
  <c r="BN255" i="14"/>
  <c r="BN256" i="14"/>
  <c r="BL773" i="14"/>
  <c r="BL775" i="14"/>
  <c r="BL771" i="14"/>
  <c r="BL776" i="14"/>
  <c r="BL774" i="14"/>
  <c r="BL772" i="14"/>
  <c r="BL777" i="14"/>
  <c r="BM325" i="14" l="1"/>
  <c r="BM327" i="14"/>
  <c r="BM324" i="14"/>
  <c r="BM347" i="14"/>
  <c r="BM360" i="14" s="1"/>
  <c r="BM323" i="14"/>
  <c r="BN315" i="14"/>
  <c r="BO315" i="14" s="1"/>
  <c r="BO324" i="14" s="1"/>
  <c r="BM326" i="14"/>
  <c r="BM322" i="14"/>
  <c r="BM132" i="14"/>
  <c r="BM138" i="14"/>
  <c r="BM131" i="14"/>
  <c r="BM139" i="14"/>
  <c r="BM137" i="14"/>
  <c r="BM134" i="14"/>
  <c r="BM136" i="14"/>
  <c r="BM135" i="14"/>
  <c r="BM133" i="14"/>
  <c r="BO94" i="14"/>
  <c r="BP89" i="14"/>
  <c r="BN103" i="14"/>
  <c r="BN106" i="14"/>
  <c r="BN107" i="14"/>
  <c r="BN102" i="14"/>
  <c r="BN105" i="14"/>
  <c r="BN104" i="14"/>
  <c r="BN101" i="14"/>
  <c r="BN126" i="14"/>
  <c r="BL132" i="14"/>
  <c r="BL137" i="14"/>
  <c r="BL136" i="14"/>
  <c r="BL131" i="14"/>
  <c r="BL139" i="14"/>
  <c r="BL133" i="14"/>
  <c r="BL135" i="14"/>
  <c r="BL138" i="14"/>
  <c r="BL134" i="14"/>
  <c r="BL358" i="14"/>
  <c r="BL354" i="14"/>
  <c r="BL356" i="14"/>
  <c r="BL352" i="14"/>
  <c r="BL360" i="14"/>
  <c r="BL359" i="14"/>
  <c r="BL353" i="14"/>
  <c r="BL355" i="14"/>
  <c r="BL357" i="14"/>
  <c r="BG873" i="14"/>
  <c r="BG874" i="14"/>
  <c r="BG877" i="14"/>
  <c r="BG881" i="14"/>
  <c r="BG875" i="14"/>
  <c r="BG878" i="14"/>
  <c r="BG879" i="14"/>
  <c r="BG876" i="14"/>
  <c r="BG880" i="14"/>
  <c r="BH846" i="14"/>
  <c r="BH844" i="14"/>
  <c r="BH848" i="14"/>
  <c r="BH843" i="14"/>
  <c r="BH845" i="14"/>
  <c r="BH849" i="14"/>
  <c r="BH847" i="14"/>
  <c r="BH842" i="14"/>
  <c r="BH868" i="14"/>
  <c r="BI836" i="14"/>
  <c r="BN280" i="14"/>
  <c r="BN282" i="14"/>
  <c r="BN284" i="14"/>
  <c r="BN288" i="14"/>
  <c r="BN286" i="14"/>
  <c r="BN287" i="14"/>
  <c r="BN285" i="14"/>
  <c r="BN283" i="14"/>
  <c r="BO252" i="14"/>
  <c r="BO250" i="14"/>
  <c r="BO255" i="14"/>
  <c r="BO256" i="14"/>
  <c r="BO253" i="14"/>
  <c r="BO249" i="14"/>
  <c r="BO251" i="14"/>
  <c r="BO254" i="14"/>
  <c r="BL801" i="14"/>
  <c r="BL805" i="14"/>
  <c r="BL804" i="14"/>
  <c r="BL806" i="14"/>
  <c r="BL809" i="14"/>
  <c r="BL803" i="14"/>
  <c r="BL807" i="14"/>
  <c r="BL808" i="14"/>
  <c r="BL802" i="14"/>
  <c r="BR310" i="14"/>
  <c r="BN764" i="14"/>
  <c r="BO759" i="14"/>
  <c r="BP243" i="14"/>
  <c r="BQ238" i="14"/>
  <c r="BO275" i="14"/>
  <c r="BM796" i="14"/>
  <c r="BM771" i="14"/>
  <c r="BM773" i="14"/>
  <c r="BM772" i="14"/>
  <c r="BM775" i="14"/>
  <c r="BM774" i="14"/>
  <c r="BM777" i="14"/>
  <c r="BM776" i="14"/>
  <c r="BO326" i="14" l="1"/>
  <c r="BO323" i="14"/>
  <c r="BO322" i="14"/>
  <c r="BN325" i="14"/>
  <c r="BN327" i="14"/>
  <c r="BN324" i="14"/>
  <c r="BP315" i="14"/>
  <c r="BP325" i="14" s="1"/>
  <c r="BO327" i="14"/>
  <c r="BN328" i="14"/>
  <c r="BM358" i="14"/>
  <c r="BM352" i="14"/>
  <c r="BN322" i="14"/>
  <c r="BM359" i="14"/>
  <c r="BN326" i="14"/>
  <c r="BN323" i="14"/>
  <c r="BM357" i="14"/>
  <c r="BO328" i="14"/>
  <c r="BM356" i="14"/>
  <c r="BM354" i="14"/>
  <c r="BO325" i="14"/>
  <c r="BM353" i="14"/>
  <c r="BM355" i="14"/>
  <c r="BN347" i="14"/>
  <c r="BN355" i="14" s="1"/>
  <c r="BN136" i="14"/>
  <c r="BN131" i="14"/>
  <c r="BN137" i="14"/>
  <c r="BN133" i="14"/>
  <c r="BN134" i="14"/>
  <c r="BN132" i="14"/>
  <c r="BN139" i="14"/>
  <c r="BN138" i="14"/>
  <c r="BN135" i="14"/>
  <c r="BP94" i="14"/>
  <c r="BQ89" i="14"/>
  <c r="BO106" i="14"/>
  <c r="BO101" i="14"/>
  <c r="BO104" i="14"/>
  <c r="BO107" i="14"/>
  <c r="BO105" i="14"/>
  <c r="BO102" i="14"/>
  <c r="BO103" i="14"/>
  <c r="BO126" i="14"/>
  <c r="BI845" i="14"/>
  <c r="BI846" i="14"/>
  <c r="BI849" i="14"/>
  <c r="BI848" i="14"/>
  <c r="BI843" i="14"/>
  <c r="BI844" i="14"/>
  <c r="BI847" i="14"/>
  <c r="BI842" i="14"/>
  <c r="BI868" i="14"/>
  <c r="BJ836" i="14"/>
  <c r="BH879" i="14"/>
  <c r="BH873" i="14"/>
  <c r="BH876" i="14"/>
  <c r="BH877" i="14"/>
  <c r="BH881" i="14"/>
  <c r="BH875" i="14"/>
  <c r="BH878" i="14"/>
  <c r="BH880" i="14"/>
  <c r="BH874" i="14"/>
  <c r="BN796" i="14"/>
  <c r="BN801" i="14" s="1"/>
  <c r="BS310" i="14"/>
  <c r="BO282" i="14"/>
  <c r="BO280" i="14"/>
  <c r="BO283" i="14"/>
  <c r="BO285" i="14"/>
  <c r="BO284" i="14"/>
  <c r="BO286" i="14"/>
  <c r="BO281" i="14"/>
  <c r="BO287" i="14"/>
  <c r="BO288" i="14"/>
  <c r="BQ243" i="14"/>
  <c r="BR238" i="14"/>
  <c r="BP275" i="14"/>
  <c r="BP256" i="14"/>
  <c r="BP255" i="14"/>
  <c r="BP249" i="14"/>
  <c r="BP253" i="14"/>
  <c r="BP254" i="14"/>
  <c r="BP250" i="14"/>
  <c r="BP251" i="14"/>
  <c r="BP252" i="14"/>
  <c r="BO764" i="14"/>
  <c r="BP759" i="14"/>
  <c r="BM803" i="14"/>
  <c r="BM801" i="14"/>
  <c r="BM808" i="14"/>
  <c r="BM804" i="14"/>
  <c r="BM809" i="14"/>
  <c r="BM802" i="14"/>
  <c r="BM806" i="14"/>
  <c r="BM805" i="14"/>
  <c r="BM807" i="14"/>
  <c r="BN772" i="14"/>
  <c r="BN774" i="14"/>
  <c r="BN773" i="14"/>
  <c r="BN775" i="14"/>
  <c r="BN777" i="14"/>
  <c r="BN776" i="14"/>
  <c r="BN771" i="14"/>
  <c r="BQ315" i="14" l="1"/>
  <c r="BQ325" i="14" s="1"/>
  <c r="BQ324" i="14"/>
  <c r="BQ327" i="14"/>
  <c r="BP323" i="14"/>
  <c r="BP328" i="14"/>
  <c r="BR315" i="14"/>
  <c r="BR327" i="14" s="1"/>
  <c r="BQ328" i="14"/>
  <c r="BP326" i="14"/>
  <c r="BQ323" i="14"/>
  <c r="BP322" i="14"/>
  <c r="BQ322" i="14"/>
  <c r="BQ326" i="14"/>
  <c r="BP327" i="14"/>
  <c r="BP324" i="14"/>
  <c r="BO347" i="14"/>
  <c r="BO353" i="14" s="1"/>
  <c r="BN352" i="14"/>
  <c r="BN354" i="14"/>
  <c r="BN359" i="14"/>
  <c r="BN358" i="14"/>
  <c r="BN356" i="14"/>
  <c r="BN357" i="14"/>
  <c r="BN353" i="14"/>
  <c r="BN360" i="14"/>
  <c r="BQ94" i="14"/>
  <c r="BR89" i="14"/>
  <c r="BO135" i="14"/>
  <c r="BO139" i="14"/>
  <c r="BO138" i="14"/>
  <c r="BO137" i="14"/>
  <c r="BO131" i="14"/>
  <c r="BO133" i="14"/>
  <c r="BO136" i="14"/>
  <c r="BO132" i="14"/>
  <c r="BO134" i="14"/>
  <c r="BP102" i="14"/>
  <c r="BP105" i="14"/>
  <c r="BP101" i="14"/>
  <c r="BP107" i="14"/>
  <c r="BP103" i="14"/>
  <c r="BP104" i="14"/>
  <c r="BP106" i="14"/>
  <c r="BP126" i="14"/>
  <c r="BJ849" i="14"/>
  <c r="BJ847" i="14"/>
  <c r="BJ846" i="14"/>
  <c r="BJ844" i="14"/>
  <c r="BJ845" i="14"/>
  <c r="BJ848" i="14"/>
  <c r="BJ843" i="14"/>
  <c r="BJ842" i="14"/>
  <c r="BJ868" i="14"/>
  <c r="BK836" i="14"/>
  <c r="BI876" i="14"/>
  <c r="BI878" i="14"/>
  <c r="BI877" i="14"/>
  <c r="BI879" i="14"/>
  <c r="BI875" i="14"/>
  <c r="BI873" i="14"/>
  <c r="BI880" i="14"/>
  <c r="BI881" i="14"/>
  <c r="BI874" i="14"/>
  <c r="BO796" i="14"/>
  <c r="BO802" i="14" s="1"/>
  <c r="BN802" i="14"/>
  <c r="BN805" i="14"/>
  <c r="BN804" i="14"/>
  <c r="BN809" i="14"/>
  <c r="BN807" i="14"/>
  <c r="BN808" i="14"/>
  <c r="BN803" i="14"/>
  <c r="BN806" i="14"/>
  <c r="BP286" i="14"/>
  <c r="BP288" i="14"/>
  <c r="BP287" i="14"/>
  <c r="BP281" i="14"/>
  <c r="BP284" i="14"/>
  <c r="BP282" i="14"/>
  <c r="BP283" i="14"/>
  <c r="BP280" i="14"/>
  <c r="BP285" i="14"/>
  <c r="BT310" i="14"/>
  <c r="BP764" i="14"/>
  <c r="BQ759" i="14"/>
  <c r="BR243" i="14"/>
  <c r="BS238" i="14"/>
  <c r="BR325" i="14"/>
  <c r="BR328" i="14"/>
  <c r="BO775" i="14"/>
  <c r="BO771" i="14"/>
  <c r="BO774" i="14"/>
  <c r="BO772" i="14"/>
  <c r="BO776" i="14"/>
  <c r="BO773" i="14"/>
  <c r="BO777" i="14"/>
  <c r="BQ275" i="14"/>
  <c r="BQ255" i="14"/>
  <c r="BQ251" i="14"/>
  <c r="BQ256" i="14"/>
  <c r="BQ253" i="14"/>
  <c r="BQ250" i="14"/>
  <c r="BQ252" i="14"/>
  <c r="BQ249" i="14"/>
  <c r="BQ254" i="14"/>
  <c r="BR322" i="14" l="1"/>
  <c r="BR324" i="14"/>
  <c r="BO360" i="14"/>
  <c r="BO352" i="14"/>
  <c r="BO359" i="14"/>
  <c r="BS315" i="14"/>
  <c r="BT315" i="14" s="1"/>
  <c r="BO358" i="14"/>
  <c r="BO354" i="14"/>
  <c r="BO357" i="14"/>
  <c r="BR326" i="14"/>
  <c r="BR323" i="14"/>
  <c r="BP347" i="14"/>
  <c r="BP358" i="14" s="1"/>
  <c r="BO355" i="14"/>
  <c r="BO356" i="14"/>
  <c r="BQ126" i="14"/>
  <c r="BQ134" i="14" s="1"/>
  <c r="BR94" i="14"/>
  <c r="BS89" i="14"/>
  <c r="BP137" i="14"/>
  <c r="BP134" i="14"/>
  <c r="BP139" i="14"/>
  <c r="BP135" i="14"/>
  <c r="BP138" i="14"/>
  <c r="BP132" i="14"/>
  <c r="BP136" i="14"/>
  <c r="BP133" i="14"/>
  <c r="BP131" i="14"/>
  <c r="BQ104" i="14"/>
  <c r="BQ103" i="14"/>
  <c r="BQ101" i="14"/>
  <c r="BQ106" i="14"/>
  <c r="BQ107" i="14"/>
  <c r="BQ105" i="14"/>
  <c r="BQ102" i="14"/>
  <c r="BJ879" i="14"/>
  <c r="BJ875" i="14"/>
  <c r="BJ876" i="14"/>
  <c r="BJ873" i="14"/>
  <c r="BJ874" i="14"/>
  <c r="BJ881" i="14"/>
  <c r="BJ878" i="14"/>
  <c r="BJ877" i="14"/>
  <c r="BJ880" i="14"/>
  <c r="BK848" i="14"/>
  <c r="BK849" i="14"/>
  <c r="BK847" i="14"/>
  <c r="BK844" i="14"/>
  <c r="BK843" i="14"/>
  <c r="BK845" i="14"/>
  <c r="BK846" i="14"/>
  <c r="BK842" i="14"/>
  <c r="BK868" i="14"/>
  <c r="BL836" i="14"/>
  <c r="BP796" i="14"/>
  <c r="BP801" i="14" s="1"/>
  <c r="BO804" i="14"/>
  <c r="BO801" i="14"/>
  <c r="BO807" i="14"/>
  <c r="BO808" i="14"/>
  <c r="BO806" i="14"/>
  <c r="BO803" i="14"/>
  <c r="BO805" i="14"/>
  <c r="BO809" i="14"/>
  <c r="BQ285" i="14"/>
  <c r="BQ287" i="14"/>
  <c r="BQ281" i="14"/>
  <c r="BQ282" i="14"/>
  <c r="BQ280" i="14"/>
  <c r="BQ288" i="14"/>
  <c r="BQ286" i="14"/>
  <c r="BQ284" i="14"/>
  <c r="BQ283" i="14"/>
  <c r="BS243" i="14"/>
  <c r="BT238" i="14"/>
  <c r="BQ764" i="14"/>
  <c r="BR759" i="14"/>
  <c r="BP777" i="14"/>
  <c r="BP772" i="14"/>
  <c r="BP773" i="14"/>
  <c r="BP776" i="14"/>
  <c r="BP771" i="14"/>
  <c r="BP775" i="14"/>
  <c r="BP774" i="14"/>
  <c r="BU310" i="14"/>
  <c r="BR275" i="14"/>
  <c r="BS328" i="14"/>
  <c r="BS327" i="14"/>
  <c r="BS326" i="14"/>
  <c r="BS325" i="14"/>
  <c r="BS322" i="14"/>
  <c r="BS323" i="14"/>
  <c r="BS324" i="14"/>
  <c r="BR256" i="14"/>
  <c r="BR255" i="14"/>
  <c r="BR254" i="14"/>
  <c r="BR251" i="14"/>
  <c r="BR253" i="14"/>
  <c r="BR250" i="14"/>
  <c r="BR249" i="14"/>
  <c r="BR252" i="14"/>
  <c r="BP357" i="14" l="1"/>
  <c r="BP355" i="14"/>
  <c r="BQ135" i="14"/>
  <c r="BP354" i="14"/>
  <c r="BP353" i="14"/>
  <c r="BP359" i="14"/>
  <c r="BQ132" i="14"/>
  <c r="BQ139" i="14"/>
  <c r="BP356" i="14"/>
  <c r="BQ136" i="14"/>
  <c r="BP352" i="14"/>
  <c r="BQ137" i="14"/>
  <c r="BP360" i="14"/>
  <c r="BQ138" i="14"/>
  <c r="BQ347" i="14"/>
  <c r="BQ355" i="14" s="1"/>
  <c r="BQ133" i="14"/>
  <c r="BQ131" i="14"/>
  <c r="BT89" i="14"/>
  <c r="BS94" i="14"/>
  <c r="BR103" i="14"/>
  <c r="BR126" i="14"/>
  <c r="BR105" i="14"/>
  <c r="BR106" i="14"/>
  <c r="BR107" i="14"/>
  <c r="BR102" i="14"/>
  <c r="BR104" i="14"/>
  <c r="BR101" i="14"/>
  <c r="BL848" i="14"/>
  <c r="BL849" i="14"/>
  <c r="BL845" i="14"/>
  <c r="BL843" i="14"/>
  <c r="BL844" i="14"/>
  <c r="BL846" i="14"/>
  <c r="BL847" i="14"/>
  <c r="BL842" i="14"/>
  <c r="BL868" i="14"/>
  <c r="BM836" i="14"/>
  <c r="BK881" i="14"/>
  <c r="BK878" i="14"/>
  <c r="BK875" i="14"/>
  <c r="BK877" i="14"/>
  <c r="BK874" i="14"/>
  <c r="BK879" i="14"/>
  <c r="BK876" i="14"/>
  <c r="BK873" i="14"/>
  <c r="BK880" i="14"/>
  <c r="BQ796" i="14"/>
  <c r="BQ804" i="14" s="1"/>
  <c r="BP806" i="14"/>
  <c r="BP803" i="14"/>
  <c r="BP802" i="14"/>
  <c r="BP807" i="14"/>
  <c r="BP805" i="14"/>
  <c r="BP808" i="14"/>
  <c r="BP804" i="14"/>
  <c r="BP809" i="14"/>
  <c r="BS256" i="14"/>
  <c r="BS253" i="14"/>
  <c r="BS250" i="14"/>
  <c r="BS255" i="14"/>
  <c r="BS254" i="14"/>
  <c r="BS249" i="14"/>
  <c r="BS251" i="14"/>
  <c r="BS252" i="14"/>
  <c r="BT243" i="14"/>
  <c r="BU238" i="14"/>
  <c r="BS275" i="14"/>
  <c r="BR285" i="14"/>
  <c r="BR287" i="14"/>
  <c r="BR286" i="14"/>
  <c r="BR281" i="14"/>
  <c r="BR282" i="14"/>
  <c r="BR288" i="14"/>
  <c r="BR284" i="14"/>
  <c r="BR280" i="14"/>
  <c r="BR283" i="14"/>
  <c r="BQ772" i="14"/>
  <c r="BQ776" i="14"/>
  <c r="BQ774" i="14"/>
  <c r="BQ777" i="14"/>
  <c r="BQ775" i="14"/>
  <c r="BQ773" i="14"/>
  <c r="BQ771" i="14"/>
  <c r="BT322" i="14"/>
  <c r="BT323" i="14"/>
  <c r="BT328" i="14"/>
  <c r="BT327" i="14"/>
  <c r="BT324" i="14"/>
  <c r="BT326" i="14"/>
  <c r="BT325" i="14"/>
  <c r="BU315" i="14"/>
  <c r="BV310" i="14"/>
  <c r="BR764" i="14"/>
  <c r="BS759" i="14"/>
  <c r="BQ356" i="14" l="1"/>
  <c r="BQ359" i="14"/>
  <c r="BQ360" i="14"/>
  <c r="BQ352" i="14"/>
  <c r="BQ354" i="14"/>
  <c r="BQ357" i="14"/>
  <c r="BR347" i="14"/>
  <c r="BS347" i="14" s="1"/>
  <c r="BQ358" i="14"/>
  <c r="BQ353" i="14"/>
  <c r="BR137" i="14"/>
  <c r="BR132" i="14"/>
  <c r="BR136" i="14"/>
  <c r="BR134" i="14"/>
  <c r="BR131" i="14"/>
  <c r="BR138" i="14"/>
  <c r="BR135" i="14"/>
  <c r="BR133" i="14"/>
  <c r="BR139" i="14"/>
  <c r="BS105" i="14"/>
  <c r="BS103" i="14"/>
  <c r="BS106" i="14"/>
  <c r="BS107" i="14"/>
  <c r="BS104" i="14"/>
  <c r="BS101" i="14"/>
  <c r="BS102" i="14"/>
  <c r="BS126" i="14"/>
  <c r="BT94" i="14"/>
  <c r="BU89" i="14"/>
  <c r="BU94" i="14" s="1"/>
  <c r="BU102" i="14" s="1"/>
  <c r="BQ807" i="14"/>
  <c r="BM845" i="14"/>
  <c r="BM848" i="14"/>
  <c r="BM847" i="14"/>
  <c r="BM843" i="14"/>
  <c r="BM844" i="14"/>
  <c r="BM846" i="14"/>
  <c r="BM849" i="14"/>
  <c r="BM842" i="14"/>
  <c r="BM868" i="14"/>
  <c r="BN836" i="14"/>
  <c r="BQ801" i="14"/>
  <c r="BQ802" i="14"/>
  <c r="BQ808" i="14"/>
  <c r="BQ809" i="14"/>
  <c r="BL880" i="14"/>
  <c r="BL878" i="14"/>
  <c r="BL877" i="14"/>
  <c r="BL879" i="14"/>
  <c r="BL881" i="14"/>
  <c r="BL874" i="14"/>
  <c r="BL873" i="14"/>
  <c r="BL875" i="14"/>
  <c r="BL876" i="14"/>
  <c r="BQ806" i="14"/>
  <c r="BQ805" i="14"/>
  <c r="BR796" i="14"/>
  <c r="BR807" i="14" s="1"/>
  <c r="BQ803" i="14"/>
  <c r="BV315" i="14"/>
  <c r="BW310" i="14"/>
  <c r="BU323" i="14"/>
  <c r="BU324" i="14"/>
  <c r="BU322" i="14"/>
  <c r="BU326" i="14"/>
  <c r="BU325" i="14"/>
  <c r="BU327" i="14"/>
  <c r="BU328" i="14"/>
  <c r="BS764" i="14"/>
  <c r="BT759" i="14"/>
  <c r="BS284" i="14"/>
  <c r="BS286" i="14"/>
  <c r="BS280" i="14"/>
  <c r="BS281" i="14"/>
  <c r="BS287" i="14"/>
  <c r="BS288" i="14"/>
  <c r="BS283" i="14"/>
  <c r="BS282" i="14"/>
  <c r="BS285" i="14"/>
  <c r="BT253" i="14"/>
  <c r="BT250" i="14"/>
  <c r="BT251" i="14"/>
  <c r="BT249" i="14"/>
  <c r="BT254" i="14"/>
  <c r="BT255" i="14"/>
  <c r="BT252" i="14"/>
  <c r="BT256" i="14"/>
  <c r="BU243" i="14"/>
  <c r="BV238" i="14"/>
  <c r="BR777" i="14"/>
  <c r="BR774" i="14"/>
  <c r="BR776" i="14"/>
  <c r="BR772" i="14"/>
  <c r="BR775" i="14"/>
  <c r="BR773" i="14"/>
  <c r="BR771" i="14"/>
  <c r="BT275" i="14"/>
  <c r="BR352" i="14" l="1"/>
  <c r="BR356" i="14"/>
  <c r="BR355" i="14"/>
  <c r="BR353" i="14"/>
  <c r="BR360" i="14"/>
  <c r="BR354" i="14"/>
  <c r="BR358" i="14"/>
  <c r="BS354" i="14"/>
  <c r="BS358" i="14"/>
  <c r="BS353" i="14"/>
  <c r="BS357" i="14"/>
  <c r="BS359" i="14"/>
  <c r="BT347" i="14"/>
  <c r="BT358" i="14" s="1"/>
  <c r="BS356" i="14"/>
  <c r="BS352" i="14"/>
  <c r="BS355" i="14"/>
  <c r="BS360" i="14"/>
  <c r="BR359" i="14"/>
  <c r="BR357" i="14"/>
  <c r="BU103" i="14"/>
  <c r="BU104" i="14"/>
  <c r="BU105" i="14"/>
  <c r="BU107" i="14"/>
  <c r="BT101" i="14"/>
  <c r="BT107" i="14"/>
  <c r="BT102" i="14"/>
  <c r="BT106" i="14"/>
  <c r="BT105" i="14"/>
  <c r="BT103" i="14"/>
  <c r="BT104" i="14"/>
  <c r="BT126" i="14"/>
  <c r="BU126" i="14" s="1"/>
  <c r="BS138" i="14"/>
  <c r="BS136" i="14"/>
  <c r="BS137" i="14"/>
  <c r="BS134" i="14"/>
  <c r="BS139" i="14"/>
  <c r="BS131" i="14"/>
  <c r="BS132" i="14"/>
  <c r="BS133" i="14"/>
  <c r="BS135" i="14"/>
  <c r="BU101" i="14"/>
  <c r="BU106" i="14"/>
  <c r="BV89" i="14"/>
  <c r="BV94" i="14" s="1"/>
  <c r="BV107" i="14" s="1"/>
  <c r="BR806" i="14"/>
  <c r="BR804" i="14"/>
  <c r="BR805" i="14"/>
  <c r="BM875" i="14"/>
  <c r="BM881" i="14"/>
  <c r="BM874" i="14"/>
  <c r="BM880" i="14"/>
  <c r="BM876" i="14"/>
  <c r="BM873" i="14"/>
  <c r="BM878" i="14"/>
  <c r="BM877" i="14"/>
  <c r="BM879" i="14"/>
  <c r="BR802" i="14"/>
  <c r="BR809" i="14"/>
  <c r="BR808" i="14"/>
  <c r="BR801" i="14"/>
  <c r="BR803" i="14"/>
  <c r="BS796" i="14"/>
  <c r="BS808" i="14" s="1"/>
  <c r="BN846" i="14"/>
  <c r="BN843" i="14"/>
  <c r="BN844" i="14"/>
  <c r="BN848" i="14"/>
  <c r="BN849" i="14"/>
  <c r="BN845" i="14"/>
  <c r="BN847" i="14"/>
  <c r="BN842" i="14"/>
  <c r="BN868" i="14"/>
  <c r="BO836" i="14"/>
  <c r="BU275" i="14"/>
  <c r="BU287" i="14" s="1"/>
  <c r="BW315" i="14"/>
  <c r="BX310" i="14"/>
  <c r="BT764" i="14"/>
  <c r="BU759" i="14"/>
  <c r="BU254" i="14"/>
  <c r="BU251" i="14"/>
  <c r="BU253" i="14"/>
  <c r="BU256" i="14"/>
  <c r="BU250" i="14"/>
  <c r="BU255" i="14"/>
  <c r="BU249" i="14"/>
  <c r="BU252" i="14"/>
  <c r="BS776" i="14"/>
  <c r="BS772" i="14"/>
  <c r="BS771" i="14"/>
  <c r="BS773" i="14"/>
  <c r="BS777" i="14"/>
  <c r="BS775" i="14"/>
  <c r="BS774" i="14"/>
  <c r="BV326" i="14"/>
  <c r="BV328" i="14"/>
  <c r="BV325" i="14"/>
  <c r="BV323" i="14"/>
  <c r="BV322" i="14"/>
  <c r="BV324" i="14"/>
  <c r="BV327" i="14"/>
  <c r="BV243" i="14"/>
  <c r="BW238" i="14"/>
  <c r="BT281" i="14"/>
  <c r="BT288" i="14"/>
  <c r="BT282" i="14"/>
  <c r="BT286" i="14"/>
  <c r="BT285" i="14"/>
  <c r="BT287" i="14"/>
  <c r="BT280" i="14"/>
  <c r="BT283" i="14"/>
  <c r="BT284" i="14"/>
  <c r="BT359" i="14" l="1"/>
  <c r="BT355" i="14"/>
  <c r="BT353" i="14"/>
  <c r="BT356" i="14"/>
  <c r="BT357" i="14"/>
  <c r="BU347" i="14"/>
  <c r="BU352" i="14" s="1"/>
  <c r="BT360" i="14"/>
  <c r="BT352" i="14"/>
  <c r="BT354" i="14"/>
  <c r="BU353" i="14"/>
  <c r="BU357" i="14"/>
  <c r="BU356" i="14"/>
  <c r="BU358" i="14"/>
  <c r="BW89" i="14"/>
  <c r="BW94" i="14" s="1"/>
  <c r="BW106" i="14" s="1"/>
  <c r="BU355" i="14"/>
  <c r="BV347" i="14"/>
  <c r="BV352" i="14" s="1"/>
  <c r="BV102" i="14"/>
  <c r="BT796" i="14"/>
  <c r="BT809" i="14" s="1"/>
  <c r="BV103" i="14"/>
  <c r="BV106" i="14"/>
  <c r="BV101" i="14"/>
  <c r="BU139" i="14"/>
  <c r="BU132" i="14"/>
  <c r="BU131" i="14"/>
  <c r="BU137" i="14"/>
  <c r="BU136" i="14"/>
  <c r="BU133" i="14"/>
  <c r="BU135" i="14"/>
  <c r="BU134" i="14"/>
  <c r="BU138" i="14"/>
  <c r="BV126" i="14"/>
  <c r="BV135" i="14" s="1"/>
  <c r="BS804" i="14"/>
  <c r="BV104" i="14"/>
  <c r="BX89" i="14"/>
  <c r="BS801" i="14"/>
  <c r="BS803" i="14"/>
  <c r="BS805" i="14"/>
  <c r="BT139" i="14"/>
  <c r="BT138" i="14"/>
  <c r="BT134" i="14"/>
  <c r="BT137" i="14"/>
  <c r="BT133" i="14"/>
  <c r="BT136" i="14"/>
  <c r="BT131" i="14"/>
  <c r="BT132" i="14"/>
  <c r="BT135" i="14"/>
  <c r="BV105" i="14"/>
  <c r="BS802" i="14"/>
  <c r="BN879" i="14"/>
  <c r="BN873" i="14"/>
  <c r="BN876" i="14"/>
  <c r="BN880" i="14"/>
  <c r="BN874" i="14"/>
  <c r="BN875" i="14"/>
  <c r="BN878" i="14"/>
  <c r="BN877" i="14"/>
  <c r="BN881" i="14"/>
  <c r="BS809" i="14"/>
  <c r="BS806" i="14"/>
  <c r="BS807" i="14"/>
  <c r="BO843" i="14"/>
  <c r="BO844" i="14"/>
  <c r="BO848" i="14"/>
  <c r="BO846" i="14"/>
  <c r="BO849" i="14"/>
  <c r="BO845" i="14"/>
  <c r="BO847" i="14"/>
  <c r="BO842" i="14"/>
  <c r="BO868" i="14"/>
  <c r="BP836" i="14"/>
  <c r="BU286" i="14"/>
  <c r="BU284" i="14"/>
  <c r="BU283" i="14"/>
  <c r="BU280" i="14"/>
  <c r="BU288" i="14"/>
  <c r="BU281" i="14"/>
  <c r="BU282" i="14"/>
  <c r="BU285" i="14"/>
  <c r="BW323" i="14"/>
  <c r="BW325" i="14"/>
  <c r="BW326" i="14"/>
  <c r="BW327" i="14"/>
  <c r="BW328" i="14"/>
  <c r="BW322" i="14"/>
  <c r="BW324" i="14"/>
  <c r="BV252" i="14"/>
  <c r="BV250" i="14"/>
  <c r="BV251" i="14"/>
  <c r="BV249" i="14"/>
  <c r="BV256" i="14"/>
  <c r="BV254" i="14"/>
  <c r="BV255" i="14"/>
  <c r="BV253" i="14"/>
  <c r="BU764" i="14"/>
  <c r="BV759" i="14"/>
  <c r="BW243" i="14"/>
  <c r="BX238" i="14"/>
  <c r="BV275" i="14"/>
  <c r="BT776" i="14"/>
  <c r="BT771" i="14"/>
  <c r="BT774" i="14"/>
  <c r="BT772" i="14"/>
  <c r="BT773" i="14"/>
  <c r="BT775" i="14"/>
  <c r="BT777" i="14"/>
  <c r="BX315" i="14"/>
  <c r="BY310" i="14"/>
  <c r="BX94" i="14" l="1"/>
  <c r="BW347" i="14"/>
  <c r="BW355" i="14" s="1"/>
  <c r="BU359" i="14"/>
  <c r="BU354" i="14"/>
  <c r="BU360" i="14"/>
  <c r="BV353" i="14"/>
  <c r="BV356" i="14"/>
  <c r="BT804" i="14"/>
  <c r="BT803" i="14"/>
  <c r="BT801" i="14"/>
  <c r="BT807" i="14"/>
  <c r="BT808" i="14"/>
  <c r="BW105" i="14"/>
  <c r="BW107" i="14"/>
  <c r="BT802" i="14"/>
  <c r="BW102" i="14"/>
  <c r="BW104" i="14"/>
  <c r="BW103" i="14"/>
  <c r="BW101" i="14"/>
  <c r="BW352" i="14"/>
  <c r="BV355" i="14"/>
  <c r="BW357" i="14"/>
  <c r="BW354" i="14"/>
  <c r="BV357" i="14"/>
  <c r="BT805" i="14"/>
  <c r="BV354" i="14"/>
  <c r="BV360" i="14"/>
  <c r="BV359" i="14"/>
  <c r="BV358" i="14"/>
  <c r="BT806" i="14"/>
  <c r="BV139" i="14"/>
  <c r="BW126" i="14"/>
  <c r="BW135" i="14" s="1"/>
  <c r="BV132" i="14"/>
  <c r="BX347" i="14"/>
  <c r="BX352" i="14" s="1"/>
  <c r="BV134" i="14"/>
  <c r="BV137" i="14"/>
  <c r="BV138" i="14"/>
  <c r="BV133" i="14"/>
  <c r="BV131" i="14"/>
  <c r="BV136" i="14"/>
  <c r="BY89" i="14"/>
  <c r="BY94" i="14" s="1"/>
  <c r="BW358" i="14"/>
  <c r="BW360" i="14"/>
  <c r="BW356" i="14"/>
  <c r="BW353" i="14"/>
  <c r="BW359" i="14"/>
  <c r="BP845" i="14"/>
  <c r="BP847" i="14"/>
  <c r="BP844" i="14"/>
  <c r="BP843" i="14"/>
  <c r="BP849" i="14"/>
  <c r="BP848" i="14"/>
  <c r="BP846" i="14"/>
  <c r="BP842" i="14"/>
  <c r="BP868" i="14"/>
  <c r="BQ836" i="14"/>
  <c r="BO881" i="14"/>
  <c r="BO878" i="14"/>
  <c r="BO880" i="14"/>
  <c r="BO879" i="14"/>
  <c r="BO876" i="14"/>
  <c r="BO874" i="14"/>
  <c r="BO877" i="14"/>
  <c r="BO875" i="14"/>
  <c r="BO873" i="14"/>
  <c r="BV287" i="14"/>
  <c r="BV283" i="14"/>
  <c r="BV285" i="14"/>
  <c r="BV286" i="14"/>
  <c r="BV281" i="14"/>
  <c r="BV284" i="14"/>
  <c r="BV288" i="14"/>
  <c r="BV280" i="14"/>
  <c r="BV282" i="14"/>
  <c r="BY315" i="14"/>
  <c r="BX325" i="14"/>
  <c r="BX323" i="14"/>
  <c r="BX324" i="14"/>
  <c r="BX326" i="14"/>
  <c r="BX327" i="14"/>
  <c r="BX328" i="14"/>
  <c r="BX322" i="14"/>
  <c r="BX243" i="14"/>
  <c r="BY238" i="14"/>
  <c r="BW275" i="14"/>
  <c r="BX101" i="14"/>
  <c r="BX106" i="14"/>
  <c r="BX104" i="14"/>
  <c r="BX103" i="14"/>
  <c r="BX107" i="14"/>
  <c r="BX105" i="14"/>
  <c r="BX102" i="14"/>
  <c r="BW249" i="14"/>
  <c r="BW251" i="14"/>
  <c r="BW254" i="14"/>
  <c r="BW255" i="14"/>
  <c r="BW253" i="14"/>
  <c r="BW252" i="14"/>
  <c r="BW250" i="14"/>
  <c r="BW256" i="14"/>
  <c r="BV764" i="14"/>
  <c r="BW759" i="14"/>
  <c r="BU775" i="14"/>
  <c r="BU771" i="14"/>
  <c r="BU776" i="14"/>
  <c r="BU774" i="14"/>
  <c r="BU772" i="14"/>
  <c r="BU777" i="14"/>
  <c r="BU773" i="14"/>
  <c r="BU796" i="14"/>
  <c r="BW131" i="14" l="1"/>
  <c r="BW133" i="14"/>
  <c r="BX126" i="14"/>
  <c r="BX135" i="14" s="1"/>
  <c r="BY347" i="14"/>
  <c r="BY354" i="14" s="1"/>
  <c r="BW132" i="14"/>
  <c r="BX356" i="14"/>
  <c r="BX355" i="14"/>
  <c r="BX354" i="14"/>
  <c r="BX358" i="14"/>
  <c r="BX357" i="14"/>
  <c r="BW137" i="14"/>
  <c r="BW138" i="14"/>
  <c r="BX353" i="14"/>
  <c r="BX360" i="14"/>
  <c r="BX359" i="14"/>
  <c r="BW136" i="14"/>
  <c r="BW139" i="14"/>
  <c r="BW134" i="14"/>
  <c r="BP879" i="14"/>
  <c r="BP874" i="14"/>
  <c r="BP876" i="14"/>
  <c r="BP878" i="14"/>
  <c r="BP877" i="14"/>
  <c r="BP873" i="14"/>
  <c r="BP875" i="14"/>
  <c r="BP881" i="14"/>
  <c r="BP880" i="14"/>
  <c r="BQ848" i="14"/>
  <c r="BQ847" i="14"/>
  <c r="BQ845" i="14"/>
  <c r="BQ843" i="14"/>
  <c r="BQ846" i="14"/>
  <c r="BQ844" i="14"/>
  <c r="BQ849" i="14"/>
  <c r="BQ842" i="14"/>
  <c r="BQ868" i="14"/>
  <c r="BR836" i="14"/>
  <c r="BX134" i="14"/>
  <c r="BX138" i="14"/>
  <c r="BX137" i="14"/>
  <c r="BX139" i="14"/>
  <c r="BX131" i="14"/>
  <c r="BX133" i="14"/>
  <c r="BX136" i="14"/>
  <c r="BX132" i="14"/>
  <c r="BY126" i="14"/>
  <c r="BY131" i="14" s="1"/>
  <c r="BY359" i="14"/>
  <c r="BY355" i="14"/>
  <c r="BV776" i="14"/>
  <c r="BV777" i="14"/>
  <c r="BV775" i="14"/>
  <c r="BV774" i="14"/>
  <c r="BV771" i="14"/>
  <c r="BV773" i="14"/>
  <c r="BV772" i="14"/>
  <c r="BV796" i="14"/>
  <c r="BW764" i="14"/>
  <c r="BX759" i="14"/>
  <c r="BW286" i="14"/>
  <c r="BW287" i="14"/>
  <c r="BW280" i="14"/>
  <c r="BW282" i="14"/>
  <c r="BW288" i="14"/>
  <c r="BW284" i="14"/>
  <c r="BW283" i="14"/>
  <c r="BW285" i="14"/>
  <c r="BW281" i="14"/>
  <c r="BY324" i="14"/>
  <c r="BY326" i="14"/>
  <c r="BY327" i="14"/>
  <c r="BY323" i="14"/>
  <c r="BY328" i="14"/>
  <c r="BY325" i="14"/>
  <c r="BY322" i="14"/>
  <c r="C321" i="14" a="1"/>
  <c r="BY243" i="14"/>
  <c r="BX275" i="14"/>
  <c r="BU806" i="14"/>
  <c r="BU808" i="14"/>
  <c r="BU807" i="14"/>
  <c r="BU802" i="14"/>
  <c r="BU804" i="14"/>
  <c r="BU805" i="14"/>
  <c r="BU801" i="14"/>
  <c r="BU809" i="14"/>
  <c r="BU803" i="14"/>
  <c r="BX255" i="14"/>
  <c r="BX254" i="14"/>
  <c r="BX249" i="14"/>
  <c r="BX253" i="14"/>
  <c r="BX250" i="14"/>
  <c r="BX252" i="14"/>
  <c r="BX256" i="14"/>
  <c r="BX251" i="14"/>
  <c r="BY103" i="14"/>
  <c r="BY107" i="14"/>
  <c r="BY105" i="14"/>
  <c r="BY104" i="14"/>
  <c r="BY102" i="14"/>
  <c r="BY106" i="14"/>
  <c r="BY101" i="14"/>
  <c r="C100" i="14" a="1"/>
  <c r="BY352" i="14" l="1"/>
  <c r="C353" i="14" a="1"/>
  <c r="C353" i="14" s="1"/>
  <c r="BY351" i="14" s="1"/>
  <c r="BY356" i="14"/>
  <c r="BY357" i="14"/>
  <c r="BY358" i="14"/>
  <c r="BY353" i="14"/>
  <c r="BY360" i="14"/>
  <c r="BY139" i="14"/>
  <c r="BY138" i="14"/>
  <c r="BY132" i="14"/>
  <c r="BY137" i="14"/>
  <c r="BR845" i="14"/>
  <c r="BR849" i="14"/>
  <c r="BR846" i="14"/>
  <c r="BR847" i="14"/>
  <c r="BR843" i="14"/>
  <c r="BR848" i="14"/>
  <c r="BR844" i="14"/>
  <c r="BR842" i="14"/>
  <c r="BR868" i="14"/>
  <c r="BS836" i="14"/>
  <c r="BQ881" i="14"/>
  <c r="BQ874" i="14"/>
  <c r="BQ879" i="14"/>
  <c r="BQ877" i="14"/>
  <c r="BQ875" i="14"/>
  <c r="BQ878" i="14"/>
  <c r="BQ880" i="14"/>
  <c r="BQ873" i="14"/>
  <c r="BQ876" i="14"/>
  <c r="BY134" i="14"/>
  <c r="C132" i="14" a="1"/>
  <c r="C132" i="14" s="1"/>
  <c r="H130" i="14" s="1"/>
  <c r="BY135" i="14"/>
  <c r="BY133" i="14"/>
  <c r="BY136" i="14"/>
  <c r="H100" i="14"/>
  <c r="I100" i="14"/>
  <c r="J100" i="14"/>
  <c r="K100" i="14"/>
  <c r="L100" i="14"/>
  <c r="M100" i="14"/>
  <c r="N100" i="14"/>
  <c r="P100" i="14"/>
  <c r="O100" i="14"/>
  <c r="Q100" i="14"/>
  <c r="S100" i="14"/>
  <c r="R100" i="14"/>
  <c r="T100" i="14"/>
  <c r="U100" i="14"/>
  <c r="V100" i="14"/>
  <c r="W100" i="14"/>
  <c r="X100" i="14"/>
  <c r="Y100" i="14"/>
  <c r="Z100" i="14"/>
  <c r="AA100" i="14"/>
  <c r="AB100" i="14"/>
  <c r="AC100" i="14"/>
  <c r="AD100" i="14"/>
  <c r="AE100" i="14"/>
  <c r="AF100" i="14"/>
  <c r="AG100" i="14"/>
  <c r="AH100" i="14"/>
  <c r="AI100" i="14"/>
  <c r="AJ100" i="14"/>
  <c r="AK100" i="14"/>
  <c r="AL100" i="14"/>
  <c r="AM100" i="14"/>
  <c r="AN100" i="14"/>
  <c r="AO100" i="14"/>
  <c r="AP100" i="14"/>
  <c r="AR100" i="14"/>
  <c r="AQ100" i="14"/>
  <c r="AS100" i="14"/>
  <c r="AT100" i="14"/>
  <c r="AU100" i="14"/>
  <c r="AV100" i="14"/>
  <c r="AW100" i="14"/>
  <c r="AX100" i="14"/>
  <c r="AY100" i="14"/>
  <c r="AZ100" i="14"/>
  <c r="BA100" i="14"/>
  <c r="BB100" i="14"/>
  <c r="BC100" i="14"/>
  <c r="BD100" i="14"/>
  <c r="BE100" i="14"/>
  <c r="BF100" i="14"/>
  <c r="BG100" i="14"/>
  <c r="BH100" i="14"/>
  <c r="BI100" i="14"/>
  <c r="BJ100" i="14"/>
  <c r="BK100" i="14"/>
  <c r="BL100" i="14"/>
  <c r="BM100" i="14"/>
  <c r="BN100" i="14"/>
  <c r="BO100" i="14"/>
  <c r="BP100" i="14"/>
  <c r="BQ100" i="14"/>
  <c r="BR100" i="14"/>
  <c r="BS100" i="14"/>
  <c r="BT100" i="14"/>
  <c r="BU100" i="14"/>
  <c r="BV100" i="14"/>
  <c r="BW100" i="14"/>
  <c r="BX100" i="14"/>
  <c r="BY100" i="14"/>
  <c r="BY320" i="14"/>
  <c r="H321" i="14"/>
  <c r="I321" i="14"/>
  <c r="J321" i="14"/>
  <c r="K321" i="14"/>
  <c r="L321" i="14"/>
  <c r="M321" i="14"/>
  <c r="N321" i="14"/>
  <c r="O321" i="14"/>
  <c r="P321" i="14"/>
  <c r="Q321" i="14"/>
  <c r="R321" i="14"/>
  <c r="S321" i="14"/>
  <c r="T321" i="14"/>
  <c r="U321" i="14"/>
  <c r="V321" i="14"/>
  <c r="W321" i="14"/>
  <c r="X321" i="14"/>
  <c r="Y321" i="14"/>
  <c r="Z321" i="14"/>
  <c r="AA321" i="14"/>
  <c r="AB321" i="14"/>
  <c r="AC321" i="14"/>
  <c r="AD321" i="14"/>
  <c r="AE321" i="14"/>
  <c r="AF321" i="14"/>
  <c r="AG321" i="14"/>
  <c r="AH321" i="14"/>
  <c r="AI321" i="14"/>
  <c r="AJ321" i="14"/>
  <c r="AK321" i="14"/>
  <c r="AL321" i="14"/>
  <c r="AM321" i="14"/>
  <c r="AN321" i="14"/>
  <c r="AP321" i="14"/>
  <c r="AO321" i="14"/>
  <c r="AS321" i="14"/>
  <c r="AQ321" i="14"/>
  <c r="AR321" i="14"/>
  <c r="AT321" i="14"/>
  <c r="AU321" i="14"/>
  <c r="AV321" i="14"/>
  <c r="AW321" i="14"/>
  <c r="AX321" i="14"/>
  <c r="AY321" i="14"/>
  <c r="AZ321" i="14"/>
  <c r="BA321" i="14"/>
  <c r="BB321" i="14"/>
  <c r="BC321" i="14"/>
  <c r="BD321" i="14"/>
  <c r="BE321" i="14"/>
  <c r="BF321" i="14"/>
  <c r="BG321" i="14"/>
  <c r="BH321" i="14"/>
  <c r="BI321" i="14"/>
  <c r="BJ321" i="14"/>
  <c r="BK321" i="14"/>
  <c r="BL321" i="14"/>
  <c r="BM321" i="14"/>
  <c r="BN321" i="14"/>
  <c r="BO321" i="14"/>
  <c r="BP321" i="14"/>
  <c r="BQ321" i="14"/>
  <c r="BR321" i="14"/>
  <c r="BS321" i="14"/>
  <c r="BT321" i="14"/>
  <c r="BU321" i="14"/>
  <c r="BV321" i="14"/>
  <c r="BW321" i="14"/>
  <c r="BX321" i="14"/>
  <c r="BY321" i="14"/>
  <c r="BW796" i="14"/>
  <c r="BW803" i="14" s="1"/>
  <c r="C100" i="14"/>
  <c r="I99" i="14"/>
  <c r="H99" i="14"/>
  <c r="J99" i="14"/>
  <c r="K99" i="14"/>
  <c r="L99" i="14"/>
  <c r="N99" i="14"/>
  <c r="M99" i="14"/>
  <c r="O99" i="14"/>
  <c r="P99" i="14"/>
  <c r="Q99" i="14"/>
  <c r="R99" i="14"/>
  <c r="S99" i="14"/>
  <c r="T99" i="14"/>
  <c r="U99" i="14"/>
  <c r="V99" i="14"/>
  <c r="W99" i="14"/>
  <c r="X99" i="14"/>
  <c r="Y99" i="14"/>
  <c r="Z99" i="14"/>
  <c r="AA99" i="14"/>
  <c r="AB99" i="14"/>
  <c r="AC99" i="14"/>
  <c r="AD99" i="14"/>
  <c r="AE99" i="14"/>
  <c r="AF99" i="14"/>
  <c r="AG99" i="14"/>
  <c r="AH99" i="14"/>
  <c r="AI99" i="14"/>
  <c r="AJ99" i="14"/>
  <c r="AK99" i="14"/>
  <c r="AL99" i="14"/>
  <c r="AM99" i="14"/>
  <c r="AN99" i="14"/>
  <c r="AO99" i="14"/>
  <c r="AP99" i="14"/>
  <c r="AQ99" i="14"/>
  <c r="AR99" i="14"/>
  <c r="AS99" i="14"/>
  <c r="AT99" i="14"/>
  <c r="AU99" i="14"/>
  <c r="AV99" i="14"/>
  <c r="AW99" i="14"/>
  <c r="AX99" i="14"/>
  <c r="AY99" i="14"/>
  <c r="AZ99" i="14"/>
  <c r="BA99" i="14"/>
  <c r="BB99" i="14"/>
  <c r="BC99" i="14"/>
  <c r="BD99" i="14"/>
  <c r="BE99" i="14"/>
  <c r="BF99" i="14"/>
  <c r="BG99" i="14"/>
  <c r="BH99" i="14"/>
  <c r="BI99" i="14"/>
  <c r="BJ99" i="14"/>
  <c r="BK99" i="14"/>
  <c r="BL99" i="14"/>
  <c r="BM99" i="14"/>
  <c r="BN99" i="14"/>
  <c r="BO99" i="14"/>
  <c r="BP99" i="14"/>
  <c r="BQ99" i="14"/>
  <c r="BR99" i="14"/>
  <c r="BS99" i="14"/>
  <c r="BT99" i="14"/>
  <c r="BU99" i="14"/>
  <c r="BV99" i="14"/>
  <c r="BW99" i="14"/>
  <c r="BX99" i="14"/>
  <c r="BX282" i="14"/>
  <c r="BX280" i="14"/>
  <c r="BX284" i="14"/>
  <c r="BX286" i="14"/>
  <c r="BX281" i="14"/>
  <c r="BX288" i="14"/>
  <c r="BX287" i="14"/>
  <c r="BX285" i="14"/>
  <c r="BX283" i="14"/>
  <c r="BX764" i="14"/>
  <c r="BY759" i="14"/>
  <c r="BW776" i="14"/>
  <c r="BW775" i="14"/>
  <c r="BW771" i="14"/>
  <c r="BW774" i="14"/>
  <c r="BW773" i="14"/>
  <c r="BW772" i="14"/>
  <c r="BW777" i="14"/>
  <c r="BY99" i="14"/>
  <c r="BY275" i="14"/>
  <c r="C321" i="14"/>
  <c r="H320" i="14"/>
  <c r="I320" i="14"/>
  <c r="J320" i="14"/>
  <c r="K320" i="14"/>
  <c r="L320" i="14"/>
  <c r="M320" i="14"/>
  <c r="N320" i="14"/>
  <c r="O320" i="14"/>
  <c r="P320" i="14"/>
  <c r="Q320" i="14"/>
  <c r="R320" i="14"/>
  <c r="S320" i="14"/>
  <c r="T320" i="14"/>
  <c r="U320" i="14"/>
  <c r="V320" i="14"/>
  <c r="W320" i="14"/>
  <c r="X320" i="14"/>
  <c r="Y320" i="14"/>
  <c r="Z320" i="14"/>
  <c r="AA320" i="14"/>
  <c r="AB320" i="14"/>
  <c r="AC320" i="14"/>
  <c r="AD320" i="14"/>
  <c r="AE320" i="14"/>
  <c r="AF320" i="14"/>
  <c r="AG320" i="14"/>
  <c r="AH320" i="14"/>
  <c r="AI320" i="14"/>
  <c r="AJ320" i="14"/>
  <c r="AK320" i="14"/>
  <c r="AL320" i="14"/>
  <c r="AM320" i="14"/>
  <c r="AN320" i="14"/>
  <c r="AO320" i="14"/>
  <c r="AP320" i="14"/>
  <c r="AQ320" i="14"/>
  <c r="AR320" i="14"/>
  <c r="AS320" i="14"/>
  <c r="AT320" i="14"/>
  <c r="AU320" i="14"/>
  <c r="AV320" i="14"/>
  <c r="AW320" i="14"/>
  <c r="AX320" i="14"/>
  <c r="AY320" i="14"/>
  <c r="AZ320" i="14"/>
  <c r="BA320" i="14"/>
  <c r="BB320" i="14"/>
  <c r="BC320" i="14"/>
  <c r="BD320" i="14"/>
  <c r="BE320" i="14"/>
  <c r="BF320" i="14"/>
  <c r="BG320" i="14"/>
  <c r="BH320" i="14"/>
  <c r="BI320" i="14"/>
  <c r="BJ320" i="14"/>
  <c r="BK320" i="14"/>
  <c r="BL320" i="14"/>
  <c r="BM320" i="14"/>
  <c r="BN320" i="14"/>
  <c r="BO320" i="14"/>
  <c r="BP320" i="14"/>
  <c r="BQ320" i="14"/>
  <c r="BR320" i="14"/>
  <c r="BS320" i="14"/>
  <c r="BT320" i="14"/>
  <c r="BU320" i="14"/>
  <c r="BV320" i="14"/>
  <c r="BW320" i="14"/>
  <c r="BX320" i="14"/>
  <c r="BV805" i="14"/>
  <c r="BV802" i="14"/>
  <c r="BV807" i="14"/>
  <c r="BV801" i="14"/>
  <c r="BV808" i="14"/>
  <c r="BV806" i="14"/>
  <c r="BV809" i="14"/>
  <c r="BV803" i="14"/>
  <c r="BV804" i="14"/>
  <c r="BY254" i="14"/>
  <c r="BY251" i="14"/>
  <c r="BY256" i="14"/>
  <c r="BY253" i="14"/>
  <c r="BY249" i="14"/>
  <c r="BY255" i="14"/>
  <c r="BY252" i="14"/>
  <c r="BY250" i="14"/>
  <c r="C249" i="14" a="1"/>
  <c r="BY248" i="14" s="1"/>
  <c r="AC351" i="14" l="1"/>
  <c r="AB351" i="14"/>
  <c r="AA351" i="14"/>
  <c r="R351" i="14"/>
  <c r="P351" i="14"/>
  <c r="Q351" i="14"/>
  <c r="O351" i="14"/>
  <c r="N351" i="14"/>
  <c r="L351" i="14"/>
  <c r="BG351" i="14"/>
  <c r="BW351" i="14"/>
  <c r="BX351" i="14"/>
  <c r="BH351" i="14"/>
  <c r="AT351" i="14"/>
  <c r="BF351" i="14"/>
  <c r="AX351" i="14"/>
  <c r="AV351" i="14"/>
  <c r="AW351" i="14"/>
  <c r="AU351" i="14"/>
  <c r="AS351" i="14"/>
  <c r="M351" i="14"/>
  <c r="K351" i="14"/>
  <c r="BV351" i="14"/>
  <c r="AQ351" i="14"/>
  <c r="AH351" i="14"/>
  <c r="AG351" i="14"/>
  <c r="AR351" i="14"/>
  <c r="BN351" i="14"/>
  <c r="BL351" i="14"/>
  <c r="BK351" i="14"/>
  <c r="AF351" i="14"/>
  <c r="BJ351" i="14"/>
  <c r="AE351" i="14"/>
  <c r="BM351" i="14"/>
  <c r="BI351" i="14"/>
  <c r="AD351" i="14"/>
  <c r="BN130" i="14"/>
  <c r="AQ130" i="14"/>
  <c r="T130" i="14"/>
  <c r="AP130" i="14"/>
  <c r="P130" i="14"/>
  <c r="BL130" i="14"/>
  <c r="BJ130" i="14"/>
  <c r="AL130" i="14"/>
  <c r="S130" i="14"/>
  <c r="AJ130" i="14"/>
  <c r="AP351" i="14"/>
  <c r="Z351" i="14"/>
  <c r="J351" i="14"/>
  <c r="BG130" i="14"/>
  <c r="BB130" i="14"/>
  <c r="AG130" i="14"/>
  <c r="K130" i="14"/>
  <c r="BU351" i="14"/>
  <c r="BE351" i="14"/>
  <c r="AO351" i="14"/>
  <c r="X351" i="14"/>
  <c r="I351" i="14"/>
  <c r="AU130" i="14"/>
  <c r="BK130" i="14"/>
  <c r="BI130" i="14"/>
  <c r="AI130" i="14"/>
  <c r="BA130" i="14"/>
  <c r="AF130" i="14"/>
  <c r="J130" i="14"/>
  <c r="BS351" i="14"/>
  <c r="BD351" i="14"/>
  <c r="AN351" i="14"/>
  <c r="Y351" i="14"/>
  <c r="H351" i="14"/>
  <c r="BT351" i="14"/>
  <c r="BC351" i="14"/>
  <c r="AM351" i="14"/>
  <c r="W351" i="14"/>
  <c r="BP130" i="14"/>
  <c r="BU130" i="14"/>
  <c r="AY130" i="14"/>
  <c r="AD130" i="14"/>
  <c r="BR351" i="14"/>
  <c r="BB351" i="14"/>
  <c r="AL351" i="14"/>
  <c r="V351" i="14"/>
  <c r="AK130" i="14"/>
  <c r="N130" i="14"/>
  <c r="BC130" i="14"/>
  <c r="AE130" i="14"/>
  <c r="BS130" i="14"/>
  <c r="AX130" i="14"/>
  <c r="BQ351" i="14"/>
  <c r="BA351" i="14"/>
  <c r="AK351" i="14"/>
  <c r="U351" i="14"/>
  <c r="U130" i="14"/>
  <c r="Q130" i="14"/>
  <c r="AM130" i="14"/>
  <c r="R130" i="14"/>
  <c r="AH130" i="14"/>
  <c r="AZ130" i="14"/>
  <c r="AC130" i="14"/>
  <c r="BR130" i="14"/>
  <c r="AW130" i="14"/>
  <c r="AA130" i="14"/>
  <c r="BP351" i="14"/>
  <c r="AZ351" i="14"/>
  <c r="AJ351" i="14"/>
  <c r="T351" i="14"/>
  <c r="BF130" i="14"/>
  <c r="O130" i="14"/>
  <c r="M130" i="14"/>
  <c r="BY130" i="14"/>
  <c r="BW130" i="14"/>
  <c r="BQ130" i="14"/>
  <c r="AV130" i="14"/>
  <c r="W130" i="14"/>
  <c r="BO351" i="14"/>
  <c r="AY351" i="14"/>
  <c r="AI351" i="14"/>
  <c r="S351" i="14"/>
  <c r="BO130" i="14"/>
  <c r="AS130" i="14"/>
  <c r="V130" i="14"/>
  <c r="BM130" i="14"/>
  <c r="AT130" i="14"/>
  <c r="Z130" i="14"/>
  <c r="BX130" i="14"/>
  <c r="BH130" i="14"/>
  <c r="AR130" i="14"/>
  <c r="AB130" i="14"/>
  <c r="L130" i="14"/>
  <c r="BV130" i="14"/>
  <c r="BE130" i="14"/>
  <c r="AO130" i="14"/>
  <c r="Y130" i="14"/>
  <c r="I130" i="14"/>
  <c r="BT130" i="14"/>
  <c r="BD130" i="14"/>
  <c r="AN130" i="14"/>
  <c r="X130" i="14"/>
  <c r="BS846" i="14"/>
  <c r="BS843" i="14"/>
  <c r="BS844" i="14"/>
  <c r="BS845" i="14"/>
  <c r="BS849" i="14"/>
  <c r="BS847" i="14"/>
  <c r="BS848" i="14"/>
  <c r="BS842" i="14"/>
  <c r="BS868" i="14"/>
  <c r="BT836" i="14"/>
  <c r="BR875" i="14"/>
  <c r="BR877" i="14"/>
  <c r="BR878" i="14"/>
  <c r="BR874" i="14"/>
  <c r="BR876" i="14"/>
  <c r="BR880" i="14"/>
  <c r="BR881" i="14"/>
  <c r="BR879" i="14"/>
  <c r="BR873" i="14"/>
  <c r="AL113" i="14"/>
  <c r="BW113" i="14"/>
  <c r="BR113" i="14"/>
  <c r="BL113" i="14"/>
  <c r="AZ113" i="14"/>
  <c r="BA113" i="14"/>
  <c r="N113" i="14"/>
  <c r="W113" i="14"/>
  <c r="BT113" i="14"/>
  <c r="AU113" i="14"/>
  <c r="AN113" i="14"/>
  <c r="AW113" i="14"/>
  <c r="U113" i="14"/>
  <c r="AJ113" i="14"/>
  <c r="AV113" i="14"/>
  <c r="BE113" i="14"/>
  <c r="BU113" i="14"/>
  <c r="AT113" i="14"/>
  <c r="BK113" i="14"/>
  <c r="M113" i="14"/>
  <c r="R113" i="14"/>
  <c r="BV113" i="14"/>
  <c r="AF113" i="14"/>
  <c r="AC113" i="14"/>
  <c r="BO113" i="14"/>
  <c r="AH113" i="14"/>
  <c r="BQ113" i="14"/>
  <c r="X113" i="14"/>
  <c r="K113" i="14"/>
  <c r="AM113" i="14"/>
  <c r="BY113" i="14"/>
  <c r="AK113" i="14"/>
  <c r="BS113" i="14"/>
  <c r="AR113" i="14"/>
  <c r="S113" i="14"/>
  <c r="H113" i="14"/>
  <c r="BF113" i="14"/>
  <c r="BH113" i="14"/>
  <c r="O113" i="14"/>
  <c r="BG113" i="14"/>
  <c r="AQ113" i="14"/>
  <c r="L113" i="14"/>
  <c r="P113" i="14"/>
  <c r="J113" i="14"/>
  <c r="AO113" i="14"/>
  <c r="AD113" i="14"/>
  <c r="T113" i="14"/>
  <c r="AB113" i="14"/>
  <c r="BM113" i="14"/>
  <c r="AX113" i="14"/>
  <c r="AI113" i="14"/>
  <c r="Z113" i="14"/>
  <c r="AE113" i="14"/>
  <c r="I113" i="14"/>
  <c r="AP113" i="14"/>
  <c r="BC113" i="14"/>
  <c r="Q113" i="14"/>
  <c r="AY113" i="14"/>
  <c r="AS113" i="14"/>
  <c r="BJ113" i="14"/>
  <c r="V113" i="14"/>
  <c r="AA113" i="14"/>
  <c r="BX113" i="14"/>
  <c r="BD113" i="14"/>
  <c r="BN113" i="14"/>
  <c r="BB113" i="14"/>
  <c r="BP113" i="14"/>
  <c r="Y113" i="14"/>
  <c r="AG113" i="14"/>
  <c r="BI113" i="14"/>
  <c r="AL334" i="14"/>
  <c r="AT334" i="14"/>
  <c r="BT334" i="14"/>
  <c r="BL334" i="14"/>
  <c r="AW334" i="14"/>
  <c r="U334" i="14"/>
  <c r="V334" i="14"/>
  <c r="BB334" i="14"/>
  <c r="AE334" i="14"/>
  <c r="H334" i="14"/>
  <c r="AA334" i="14"/>
  <c r="AO334" i="14"/>
  <c r="AG334" i="14"/>
  <c r="BD334" i="14"/>
  <c r="AH334" i="14"/>
  <c r="AQ334" i="14"/>
  <c r="K334" i="14"/>
  <c r="S334" i="14"/>
  <c r="O334" i="14"/>
  <c r="BX334" i="14"/>
  <c r="BG334" i="14"/>
  <c r="N334" i="14"/>
  <c r="BR334" i="14"/>
  <c r="AI334" i="14"/>
  <c r="BM334" i="14"/>
  <c r="AF334" i="14"/>
  <c r="J334" i="14"/>
  <c r="Q334" i="14"/>
  <c r="BK334" i="14"/>
  <c r="AS334" i="14"/>
  <c r="AB334" i="14"/>
  <c r="L334" i="14"/>
  <c r="Z334" i="14"/>
  <c r="M334" i="14"/>
  <c r="BJ334" i="14"/>
  <c r="AD334" i="14"/>
  <c r="BI334" i="14"/>
  <c r="AY334" i="14"/>
  <c r="BC334" i="14"/>
  <c r="BW334" i="14"/>
  <c r="AR334" i="14"/>
  <c r="AJ334" i="14"/>
  <c r="BP334" i="14"/>
  <c r="AX334" i="14"/>
  <c r="AK334" i="14"/>
  <c r="AC334" i="14"/>
  <c r="BV334" i="14"/>
  <c r="AP334" i="14"/>
  <c r="W334" i="14"/>
  <c r="AV334" i="14"/>
  <c r="BA334" i="14"/>
  <c r="BO334" i="14"/>
  <c r="R334" i="14"/>
  <c r="AM334" i="14"/>
  <c r="BQ334" i="14"/>
  <c r="AZ334" i="14"/>
  <c r="BY334" i="14"/>
  <c r="BS334" i="14"/>
  <c r="X334" i="14"/>
  <c r="BU334" i="14"/>
  <c r="Y334" i="14"/>
  <c r="AU334" i="14"/>
  <c r="BH334" i="14"/>
  <c r="BF334" i="14"/>
  <c r="AN334" i="14"/>
  <c r="I334" i="14"/>
  <c r="BN334" i="14"/>
  <c r="BE334" i="14"/>
  <c r="T334" i="14"/>
  <c r="P334" i="14"/>
  <c r="BW801" i="14"/>
  <c r="BW805" i="14"/>
  <c r="BW804" i="14"/>
  <c r="BW808" i="14"/>
  <c r="BW807" i="14"/>
  <c r="BW806" i="14"/>
  <c r="BW802" i="14"/>
  <c r="BW809" i="14"/>
  <c r="I98" i="14"/>
  <c r="H98" i="14"/>
  <c r="J98" i="14"/>
  <c r="K98" i="14"/>
  <c r="L98" i="14"/>
  <c r="N98" i="14"/>
  <c r="M98" i="14"/>
  <c r="O98" i="14"/>
  <c r="P98" i="14"/>
  <c r="Q98" i="14"/>
  <c r="R98" i="14"/>
  <c r="S98" i="14"/>
  <c r="T98" i="14"/>
  <c r="U98" i="14"/>
  <c r="V98" i="14"/>
  <c r="W98" i="14"/>
  <c r="X98" i="14"/>
  <c r="Y98" i="14"/>
  <c r="Z98" i="14"/>
  <c r="AA98" i="14"/>
  <c r="AB98" i="14"/>
  <c r="AC98" i="14"/>
  <c r="AD98" i="14"/>
  <c r="AE98" i="14"/>
  <c r="AF98" i="14"/>
  <c r="AG98" i="14"/>
  <c r="AH98" i="14"/>
  <c r="AI98" i="14"/>
  <c r="AJ98" i="14"/>
  <c r="AK98" i="14"/>
  <c r="AL98" i="14"/>
  <c r="AM98" i="14"/>
  <c r="AN98" i="14"/>
  <c r="AO98" i="14"/>
  <c r="AP98" i="14"/>
  <c r="AQ98" i="14"/>
  <c r="AR98" i="14"/>
  <c r="AS98" i="14"/>
  <c r="AT98" i="14"/>
  <c r="AU98" i="14"/>
  <c r="AV98" i="14"/>
  <c r="AW98" i="14"/>
  <c r="AX98" i="14"/>
  <c r="AY98" i="14"/>
  <c r="AZ98" i="14"/>
  <c r="BA98" i="14"/>
  <c r="BB98" i="14"/>
  <c r="BC98" i="14"/>
  <c r="BD98" i="14"/>
  <c r="BE98" i="14"/>
  <c r="BF98" i="14"/>
  <c r="BG98" i="14"/>
  <c r="BH98" i="14"/>
  <c r="BI98" i="14"/>
  <c r="BJ98" i="14"/>
  <c r="BK98" i="14"/>
  <c r="BL98" i="14"/>
  <c r="BM98" i="14"/>
  <c r="BN98" i="14"/>
  <c r="BO98" i="14"/>
  <c r="BP98" i="14"/>
  <c r="BQ98" i="14"/>
  <c r="BR98" i="14"/>
  <c r="BS98" i="14"/>
  <c r="BT98" i="14"/>
  <c r="BU98" i="14"/>
  <c r="BV98" i="14"/>
  <c r="BW98" i="14"/>
  <c r="BX98" i="14"/>
  <c r="BY98" i="14"/>
  <c r="H333" i="14"/>
  <c r="I333" i="14" s="1"/>
  <c r="J333" i="14" s="1"/>
  <c r="K333" i="14"/>
  <c r="L333" i="14" s="1"/>
  <c r="M333" i="14" s="1"/>
  <c r="N333" i="14" s="1"/>
  <c r="O333" i="14" s="1"/>
  <c r="P333" i="14" s="1"/>
  <c r="Q333" i="14" s="1"/>
  <c r="R333" i="14" s="1"/>
  <c r="S333" i="14" s="1"/>
  <c r="T333" i="14" s="1"/>
  <c r="U333" i="14" s="1"/>
  <c r="V333" i="14" s="1"/>
  <c r="W333" i="14" s="1"/>
  <c r="X333" i="14" s="1"/>
  <c r="Y333" i="14" s="1"/>
  <c r="Z333" i="14" s="1"/>
  <c r="AA333" i="14" s="1"/>
  <c r="AB333" i="14" s="1"/>
  <c r="AC333" i="14" s="1"/>
  <c r="AD333" i="14" s="1"/>
  <c r="AE333" i="14" s="1"/>
  <c r="AF333" i="14" s="1"/>
  <c r="AG333" i="14" s="1"/>
  <c r="AH333" i="14" s="1"/>
  <c r="AI333" i="14" s="1"/>
  <c r="AJ333" i="14" s="1"/>
  <c r="AK333" i="14" s="1"/>
  <c r="AL333" i="14" s="1"/>
  <c r="AM333" i="14" s="1"/>
  <c r="AN333" i="14" s="1"/>
  <c r="AO333" i="14" s="1"/>
  <c r="AP333" i="14" s="1"/>
  <c r="AQ333" i="14" s="1"/>
  <c r="AR333" i="14" s="1"/>
  <c r="AS333" i="14" s="1"/>
  <c r="AT333" i="14" s="1"/>
  <c r="AU333" i="14" s="1"/>
  <c r="AV333" i="14" s="1"/>
  <c r="AW333" i="14" s="1"/>
  <c r="AX333" i="14" s="1"/>
  <c r="AY333" i="14" s="1"/>
  <c r="AZ333" i="14" s="1"/>
  <c r="BA333" i="14" s="1"/>
  <c r="BB333" i="14" s="1"/>
  <c r="BC333" i="14" s="1"/>
  <c r="BD333" i="14" s="1"/>
  <c r="BE333" i="14" s="1"/>
  <c r="BF333" i="14" s="1"/>
  <c r="BG333" i="14" s="1"/>
  <c r="BH333" i="14" s="1"/>
  <c r="BI333" i="14" s="1"/>
  <c r="BJ333" i="14" s="1"/>
  <c r="BK333" i="14" s="1"/>
  <c r="BL333" i="14" s="1"/>
  <c r="BM333" i="14" s="1"/>
  <c r="BN333" i="14" s="1"/>
  <c r="BO333" i="14" s="1"/>
  <c r="BP333" i="14" s="1"/>
  <c r="BQ333" i="14" s="1"/>
  <c r="BR333" i="14" s="1"/>
  <c r="BS333" i="14" s="1"/>
  <c r="BT333" i="14" s="1"/>
  <c r="BU333" i="14" s="1"/>
  <c r="BV333" i="14" s="1"/>
  <c r="BW333" i="14" s="1"/>
  <c r="BX333" i="14" s="1"/>
  <c r="BY333" i="14" s="1"/>
  <c r="BY764" i="14"/>
  <c r="BX772" i="14"/>
  <c r="BX777" i="14"/>
  <c r="BX773" i="14"/>
  <c r="BX771" i="14"/>
  <c r="BX775" i="14"/>
  <c r="BX776" i="14"/>
  <c r="BX774" i="14"/>
  <c r="H112" i="14"/>
  <c r="I112" i="14" s="1"/>
  <c r="J112" i="14" s="1"/>
  <c r="K112" i="14" s="1"/>
  <c r="L112" i="14" s="1"/>
  <c r="M112" i="14" s="1"/>
  <c r="N112" i="14" s="1"/>
  <c r="O112" i="14" s="1"/>
  <c r="P112" i="14" s="1"/>
  <c r="Q112" i="14" s="1"/>
  <c r="R112" i="14" s="1"/>
  <c r="S112" i="14" s="1"/>
  <c r="T112" i="14" s="1"/>
  <c r="U112" i="14" s="1"/>
  <c r="V112" i="14" s="1"/>
  <c r="W112" i="14" s="1"/>
  <c r="X112" i="14" s="1"/>
  <c r="Y112" i="14" s="1"/>
  <c r="Z112" i="14" s="1"/>
  <c r="AA112" i="14" s="1"/>
  <c r="AB112" i="14" s="1"/>
  <c r="AC112" i="14" s="1"/>
  <c r="AD112" i="14" s="1"/>
  <c r="AE112" i="14" s="1"/>
  <c r="AF112" i="14" s="1"/>
  <c r="AG112" i="14" s="1"/>
  <c r="AH112" i="14" s="1"/>
  <c r="AI112" i="14" s="1"/>
  <c r="AJ112" i="14" s="1"/>
  <c r="AK112" i="14" s="1"/>
  <c r="AL112" i="14" s="1"/>
  <c r="AM112" i="14" s="1"/>
  <c r="AN112" i="14" s="1"/>
  <c r="AO112" i="14" s="1"/>
  <c r="AP112" i="14" s="1"/>
  <c r="AQ112" i="14" s="1"/>
  <c r="AR112" i="14" s="1"/>
  <c r="AS112" i="14" s="1"/>
  <c r="AT112" i="14" s="1"/>
  <c r="AU112" i="14" s="1"/>
  <c r="AV112" i="14" s="1"/>
  <c r="AW112" i="14" s="1"/>
  <c r="AX112" i="14" s="1"/>
  <c r="AY112" i="14" s="1"/>
  <c r="AZ112" i="14" s="1"/>
  <c r="BA112" i="14" s="1"/>
  <c r="BB112" i="14" s="1"/>
  <c r="BC112" i="14" s="1"/>
  <c r="BD112" i="14" s="1"/>
  <c r="BE112" i="14" s="1"/>
  <c r="BF112" i="14" s="1"/>
  <c r="BG112" i="14" s="1"/>
  <c r="BH112" i="14" s="1"/>
  <c r="BI112" i="14" s="1"/>
  <c r="BJ112" i="14" s="1"/>
  <c r="BK112" i="14" s="1"/>
  <c r="BL112" i="14" s="1"/>
  <c r="BM112" i="14" s="1"/>
  <c r="BN112" i="14" s="1"/>
  <c r="BO112" i="14" s="1"/>
  <c r="BP112" i="14" s="1"/>
  <c r="BQ112" i="14" s="1"/>
  <c r="BR112" i="14" s="1"/>
  <c r="BS112" i="14" s="1"/>
  <c r="BT112" i="14" s="1"/>
  <c r="BU112" i="14" s="1"/>
  <c r="BV112" i="14" s="1"/>
  <c r="BW112" i="14" s="1"/>
  <c r="BX112" i="14" s="1"/>
  <c r="BY112" i="14" s="1"/>
  <c r="H319" i="14"/>
  <c r="I319" i="14"/>
  <c r="J319" i="14"/>
  <c r="K319" i="14"/>
  <c r="L319" i="14"/>
  <c r="M319" i="14"/>
  <c r="N319" i="14"/>
  <c r="O319" i="14"/>
  <c r="P319" i="14"/>
  <c r="Q319" i="14"/>
  <c r="R319" i="14"/>
  <c r="S319" i="14"/>
  <c r="T319" i="14"/>
  <c r="U319" i="14"/>
  <c r="V319" i="14"/>
  <c r="W319" i="14"/>
  <c r="X319" i="14"/>
  <c r="Y319" i="14"/>
  <c r="Z319" i="14"/>
  <c r="AA319" i="14"/>
  <c r="AB319" i="14"/>
  <c r="AC319" i="14"/>
  <c r="AD319" i="14"/>
  <c r="AE319" i="14"/>
  <c r="AF319" i="14"/>
  <c r="AG319" i="14"/>
  <c r="AH319" i="14"/>
  <c r="AI319" i="14"/>
  <c r="AJ319" i="14"/>
  <c r="AK319" i="14"/>
  <c r="AL319" i="14"/>
  <c r="AM319" i="14"/>
  <c r="AN319" i="14"/>
  <c r="AO319" i="14"/>
  <c r="AP319" i="14"/>
  <c r="AQ319" i="14"/>
  <c r="AR319" i="14"/>
  <c r="AS319" i="14"/>
  <c r="AT319" i="14"/>
  <c r="AU319" i="14"/>
  <c r="AV319" i="14"/>
  <c r="AW319" i="14"/>
  <c r="AX319" i="14"/>
  <c r="AY319" i="14"/>
  <c r="AZ319" i="14"/>
  <c r="BA319" i="14"/>
  <c r="BB319" i="14"/>
  <c r="BC319" i="14"/>
  <c r="BD319" i="14"/>
  <c r="BE319" i="14"/>
  <c r="BF319" i="14"/>
  <c r="BG319" i="14"/>
  <c r="BH319" i="14"/>
  <c r="BI319" i="14"/>
  <c r="BJ319" i="14"/>
  <c r="BK319" i="14"/>
  <c r="BL319" i="14"/>
  <c r="BM319" i="14"/>
  <c r="BN319" i="14"/>
  <c r="BO319" i="14"/>
  <c r="BP319" i="14"/>
  <c r="BQ319" i="14"/>
  <c r="BR319" i="14"/>
  <c r="BS319" i="14"/>
  <c r="BT319" i="14"/>
  <c r="BU319" i="14"/>
  <c r="BV319" i="14"/>
  <c r="BW319" i="14"/>
  <c r="BX319" i="14"/>
  <c r="BY319" i="14"/>
  <c r="C249" i="14"/>
  <c r="H248" i="14"/>
  <c r="J248" i="14"/>
  <c r="I248" i="14"/>
  <c r="K248" i="14"/>
  <c r="M248" i="14"/>
  <c r="L248" i="14"/>
  <c r="O248" i="14"/>
  <c r="N248" i="14"/>
  <c r="P248" i="14"/>
  <c r="Q248" i="14"/>
  <c r="R248" i="14"/>
  <c r="S248" i="14"/>
  <c r="T248" i="14"/>
  <c r="U248" i="14"/>
  <c r="V248" i="14"/>
  <c r="W248" i="14"/>
  <c r="X248" i="14"/>
  <c r="Y248" i="14"/>
  <c r="Z248" i="14"/>
  <c r="AA248" i="14"/>
  <c r="AB248" i="14"/>
  <c r="AC248" i="14"/>
  <c r="AD248" i="14"/>
  <c r="AE248" i="14"/>
  <c r="AF248" i="14"/>
  <c r="AG248" i="14"/>
  <c r="AH248" i="14"/>
  <c r="AI248" i="14"/>
  <c r="AJ248" i="14"/>
  <c r="AK248" i="14"/>
  <c r="AL248" i="14"/>
  <c r="AM248" i="14"/>
  <c r="AN248" i="14"/>
  <c r="AO248" i="14"/>
  <c r="AP248" i="14"/>
  <c r="AQ248" i="14"/>
  <c r="AR248" i="14"/>
  <c r="AS248" i="14"/>
  <c r="AT248" i="14"/>
  <c r="AU248" i="14"/>
  <c r="AV248" i="14"/>
  <c r="AW248" i="14"/>
  <c r="AX248" i="14"/>
  <c r="AY248" i="14"/>
  <c r="AZ248" i="14"/>
  <c r="BA248" i="14"/>
  <c r="BB248" i="14"/>
  <c r="BC248" i="14"/>
  <c r="BD248" i="14"/>
  <c r="BE248" i="14"/>
  <c r="BF248" i="14"/>
  <c r="BG248" i="14"/>
  <c r="BH248" i="14"/>
  <c r="BI248" i="14"/>
  <c r="BJ248" i="14"/>
  <c r="BK248" i="14"/>
  <c r="BL248" i="14"/>
  <c r="BM248" i="14"/>
  <c r="BN248" i="14"/>
  <c r="BO248" i="14"/>
  <c r="BP248" i="14"/>
  <c r="BQ248" i="14"/>
  <c r="BR248" i="14"/>
  <c r="BS248" i="14"/>
  <c r="BT248" i="14"/>
  <c r="BU248" i="14"/>
  <c r="BV248" i="14"/>
  <c r="BW248" i="14"/>
  <c r="BX248" i="14"/>
  <c r="BX796" i="14"/>
  <c r="BY282" i="14"/>
  <c r="BY284" i="14"/>
  <c r="BY287" i="14"/>
  <c r="BY285" i="14"/>
  <c r="BY283" i="14"/>
  <c r="BY286" i="14"/>
  <c r="BY281" i="14"/>
  <c r="BY288" i="14"/>
  <c r="BY280" i="14"/>
  <c r="C281" i="14" a="1"/>
  <c r="C281" i="14" s="1"/>
  <c r="BY279" i="14" s="1"/>
  <c r="AW364" i="14" l="1"/>
  <c r="AW363" i="14" s="1"/>
  <c r="BY364" i="14"/>
  <c r="BY363" i="14" s="1"/>
  <c r="O364" i="14"/>
  <c r="O363" i="14" s="1"/>
  <c r="BW364" i="14"/>
  <c r="BW363" i="14" s="1"/>
  <c r="BF364" i="14"/>
  <c r="BF363" i="14" s="1"/>
  <c r="AS364" i="14"/>
  <c r="AS363" i="14" s="1"/>
  <c r="AI364" i="14"/>
  <c r="AI363" i="14" s="1"/>
  <c r="BS364" i="14"/>
  <c r="BS363" i="14" s="1"/>
  <c r="AG364" i="14"/>
  <c r="AG363" i="14" s="1"/>
  <c r="AV364" i="14"/>
  <c r="AV363" i="14" s="1"/>
  <c r="BJ364" i="14"/>
  <c r="BJ363" i="14" s="1"/>
  <c r="AU364" i="14"/>
  <c r="AU363" i="14" s="1"/>
  <c r="BA364" i="14"/>
  <c r="BA363" i="14" s="1"/>
  <c r="BJ143" i="14"/>
  <c r="BJ142" i="14" s="1"/>
  <c r="R364" i="14"/>
  <c r="R363" i="14" s="1"/>
  <c r="AC364" i="14"/>
  <c r="AC363" i="14" s="1"/>
  <c r="AL364" i="14"/>
  <c r="AL363" i="14" s="1"/>
  <c r="U364" i="14"/>
  <c r="U363" i="14" s="1"/>
  <c r="AY364" i="14"/>
  <c r="AY363" i="14" s="1"/>
  <c r="BD364" i="14"/>
  <c r="BD363" i="14" s="1"/>
  <c r="AD364" i="14"/>
  <c r="AD363" i="14" s="1"/>
  <c r="BU364" i="14"/>
  <c r="BU363" i="14" s="1"/>
  <c r="BC364" i="14"/>
  <c r="BC363" i="14" s="1"/>
  <c r="BL364" i="14"/>
  <c r="BL363" i="14" s="1"/>
  <c r="L364" i="14"/>
  <c r="L363" i="14" s="1"/>
  <c r="BG364" i="14"/>
  <c r="BG363" i="14" s="1"/>
  <c r="BX364" i="14"/>
  <c r="BX363" i="14" s="1"/>
  <c r="K364" i="14"/>
  <c r="K363" i="14" s="1"/>
  <c r="BT364" i="14"/>
  <c r="BT363" i="14" s="1"/>
  <c r="AO364" i="14"/>
  <c r="AO363" i="14" s="1"/>
  <c r="W364" i="14"/>
  <c r="W363" i="14" s="1"/>
  <c r="AX364" i="14"/>
  <c r="AX363" i="14" s="1"/>
  <c r="AK364" i="14"/>
  <c r="AK363" i="14" s="1"/>
  <c r="P364" i="14"/>
  <c r="P363" i="14" s="1"/>
  <c r="V364" i="14"/>
  <c r="V363" i="14" s="1"/>
  <c r="X364" i="14"/>
  <c r="X363" i="14" s="1"/>
  <c r="AE364" i="14"/>
  <c r="AE363" i="14" s="1"/>
  <c r="BO364" i="14"/>
  <c r="BO363" i="14" s="1"/>
  <c r="BH364" i="14"/>
  <c r="BH363" i="14" s="1"/>
  <c r="BQ364" i="14"/>
  <c r="BQ363" i="14" s="1"/>
  <c r="BI364" i="14"/>
  <c r="BI363" i="14" s="1"/>
  <c r="Z364" i="14"/>
  <c r="Z363" i="14" s="1"/>
  <c r="BP364" i="14"/>
  <c r="BP363" i="14" s="1"/>
  <c r="AZ364" i="14"/>
  <c r="AZ363" i="14" s="1"/>
  <c r="J364" i="14"/>
  <c r="J363" i="14" s="1"/>
  <c r="AB364" i="14"/>
  <c r="AB363" i="14" s="1"/>
  <c r="S364" i="14"/>
  <c r="S363" i="14" s="1"/>
  <c r="AJ364" i="14"/>
  <c r="AJ363" i="14" s="1"/>
  <c r="BN364" i="14"/>
  <c r="BN363" i="14" s="1"/>
  <c r="BV364" i="14"/>
  <c r="BV363" i="14" s="1"/>
  <c r="AA364" i="14"/>
  <c r="AA363" i="14" s="1"/>
  <c r="AR364" i="14"/>
  <c r="AR363" i="14" s="1"/>
  <c r="BB364" i="14"/>
  <c r="BB363" i="14" s="1"/>
  <c r="H364" i="14"/>
  <c r="H363" i="14" s="1"/>
  <c r="H375" i="14" s="1"/>
  <c r="I361" i="14" s="1"/>
  <c r="I362" i="14" s="1"/>
  <c r="AP364" i="14"/>
  <c r="AP363" i="14" s="1"/>
  <c r="AM364" i="14"/>
  <c r="AM363" i="14" s="1"/>
  <c r="AH364" i="14"/>
  <c r="AH363" i="14" s="1"/>
  <c r="AN364" i="14"/>
  <c r="AN363" i="14" s="1"/>
  <c r="N364" i="14"/>
  <c r="N363" i="14" s="1"/>
  <c r="T364" i="14"/>
  <c r="T363" i="14" s="1"/>
  <c r="Q364" i="14"/>
  <c r="Q363" i="14" s="1"/>
  <c r="BM364" i="14"/>
  <c r="BM363" i="14" s="1"/>
  <c r="M364" i="14"/>
  <c r="M363" i="14" s="1"/>
  <c r="BE364" i="14"/>
  <c r="BE363" i="14" s="1"/>
  <c r="BR364" i="14"/>
  <c r="BR363" i="14" s="1"/>
  <c r="BK364" i="14"/>
  <c r="BK363" i="14" s="1"/>
  <c r="AF364" i="14"/>
  <c r="AF363" i="14" s="1"/>
  <c r="AT364" i="14"/>
  <c r="AT363" i="14" s="1"/>
  <c r="AQ364" i="14"/>
  <c r="AQ363" i="14" s="1"/>
  <c r="Y364" i="14"/>
  <c r="Y363" i="14" s="1"/>
  <c r="I364" i="14"/>
  <c r="I363" i="14" s="1"/>
  <c r="BN143" i="14"/>
  <c r="BN142" i="14" s="1"/>
  <c r="AY143" i="14"/>
  <c r="AY142" i="14" s="1"/>
  <c r="BE143" i="14"/>
  <c r="BE142" i="14" s="1"/>
  <c r="BP143" i="14"/>
  <c r="BP142" i="14" s="1"/>
  <c r="BW143" i="14"/>
  <c r="BW142" i="14" s="1"/>
  <c r="AC143" i="14"/>
  <c r="AC142" i="14" s="1"/>
  <c r="J143" i="14"/>
  <c r="J142" i="14" s="1"/>
  <c r="BY143" i="14"/>
  <c r="BY142" i="14" s="1"/>
  <c r="AU143" i="14"/>
  <c r="AU142" i="14" s="1"/>
  <c r="AZ143" i="14"/>
  <c r="AZ142" i="14" s="1"/>
  <c r="AD143" i="14"/>
  <c r="AD142" i="14" s="1"/>
  <c r="U143" i="14"/>
  <c r="U142" i="14" s="1"/>
  <c r="H143" i="14"/>
  <c r="H142" i="14" s="1"/>
  <c r="H154" i="14" s="1"/>
  <c r="I140" i="14" s="1"/>
  <c r="I141" i="14" s="1"/>
  <c r="N143" i="14"/>
  <c r="N142" i="14" s="1"/>
  <c r="AR143" i="14"/>
  <c r="AR142" i="14" s="1"/>
  <c r="BX143" i="14"/>
  <c r="BX142" i="14" s="1"/>
  <c r="S143" i="14"/>
  <c r="S142" i="14" s="1"/>
  <c r="P143" i="14"/>
  <c r="P142" i="14" s="1"/>
  <c r="AK143" i="14"/>
  <c r="AK142" i="14" s="1"/>
  <c r="BK143" i="14"/>
  <c r="BK142" i="14" s="1"/>
  <c r="AQ143" i="14"/>
  <c r="AQ142" i="14" s="1"/>
  <c r="K143" i="14"/>
  <c r="K142" i="14" s="1"/>
  <c r="AG143" i="14"/>
  <c r="AG142" i="14" s="1"/>
  <c r="BC143" i="14"/>
  <c r="BC142" i="14" s="1"/>
  <c r="Q143" i="14"/>
  <c r="Q142" i="14" s="1"/>
  <c r="I143" i="14"/>
  <c r="I142" i="14" s="1"/>
  <c r="AT143" i="14"/>
  <c r="AT142" i="14" s="1"/>
  <c r="AP143" i="14"/>
  <c r="AP142" i="14" s="1"/>
  <c r="BB143" i="14"/>
  <c r="BB142" i="14" s="1"/>
  <c r="AF143" i="14"/>
  <c r="AF142" i="14" s="1"/>
  <c r="BH143" i="14"/>
  <c r="BH142" i="14" s="1"/>
  <c r="BF143" i="14"/>
  <c r="BF142" i="14" s="1"/>
  <c r="AE143" i="14"/>
  <c r="AE142" i="14" s="1"/>
  <c r="W143" i="14"/>
  <c r="W142" i="14" s="1"/>
  <c r="BT143" i="14"/>
  <c r="BT142" i="14" s="1"/>
  <c r="AW143" i="14"/>
  <c r="AW142" i="14" s="1"/>
  <c r="BM143" i="14"/>
  <c r="BM142" i="14" s="1"/>
  <c r="AS143" i="14"/>
  <c r="AS142" i="14" s="1"/>
  <c r="BU143" i="14"/>
  <c r="BU142" i="14" s="1"/>
  <c r="T143" i="14"/>
  <c r="T142" i="14" s="1"/>
  <c r="V143" i="14"/>
  <c r="V142" i="14" s="1"/>
  <c r="AJ143" i="14"/>
  <c r="AJ142" i="14" s="1"/>
  <c r="AX143" i="14"/>
  <c r="AX142" i="14" s="1"/>
  <c r="X143" i="14"/>
  <c r="X142" i="14" s="1"/>
  <c r="BS143" i="14"/>
  <c r="BS142" i="14" s="1"/>
  <c r="AH143" i="14"/>
  <c r="AH142" i="14" s="1"/>
  <c r="AV143" i="14"/>
  <c r="AV142" i="14" s="1"/>
  <c r="BL143" i="14"/>
  <c r="BL142" i="14" s="1"/>
  <c r="BQ143" i="14"/>
  <c r="BQ142" i="14" s="1"/>
  <c r="O143" i="14"/>
  <c r="O142" i="14" s="1"/>
  <c r="BI143" i="14"/>
  <c r="BI142" i="14" s="1"/>
  <c r="AM143" i="14"/>
  <c r="AM142" i="14" s="1"/>
  <c r="BO143" i="14"/>
  <c r="BO142" i="14" s="1"/>
  <c r="AL143" i="14"/>
  <c r="AL142" i="14" s="1"/>
  <c r="AN143" i="14"/>
  <c r="AN142" i="14" s="1"/>
  <c r="AI143" i="14"/>
  <c r="AI142" i="14" s="1"/>
  <c r="BD143" i="14"/>
  <c r="BD142" i="14" s="1"/>
  <c r="Y143" i="14"/>
  <c r="Y142" i="14" s="1"/>
  <c r="BR143" i="14"/>
  <c r="BR142" i="14" s="1"/>
  <c r="Z143" i="14"/>
  <c r="Z142" i="14" s="1"/>
  <c r="M143" i="14"/>
  <c r="M142" i="14" s="1"/>
  <c r="R143" i="14"/>
  <c r="R142" i="14" s="1"/>
  <c r="AA143" i="14"/>
  <c r="AA142" i="14" s="1"/>
  <c r="BV143" i="14"/>
  <c r="BV142" i="14" s="1"/>
  <c r="AO143" i="14"/>
  <c r="AO142" i="14" s="1"/>
  <c r="L143" i="14"/>
  <c r="L142" i="14" s="1"/>
  <c r="BA143" i="14"/>
  <c r="BA142" i="14" s="1"/>
  <c r="BG143" i="14"/>
  <c r="BG142" i="14" s="1"/>
  <c r="AB143" i="14"/>
  <c r="AB142" i="14" s="1"/>
  <c r="BT847" i="14"/>
  <c r="BT844" i="14"/>
  <c r="BT845" i="14"/>
  <c r="BT848" i="14"/>
  <c r="BT843" i="14"/>
  <c r="BT849" i="14"/>
  <c r="BT846" i="14"/>
  <c r="BT842" i="14"/>
  <c r="BT868" i="14"/>
  <c r="BU836" i="14"/>
  <c r="BS880" i="14"/>
  <c r="BS874" i="14"/>
  <c r="BS873" i="14"/>
  <c r="BS878" i="14"/>
  <c r="BS879" i="14"/>
  <c r="BS877" i="14"/>
  <c r="BS875" i="14"/>
  <c r="BS876" i="14"/>
  <c r="BS881" i="14"/>
  <c r="BY796" i="14"/>
  <c r="BY803" i="14" s="1"/>
  <c r="H332" i="14"/>
  <c r="J332" i="14"/>
  <c r="H247" i="14"/>
  <c r="I247" i="14"/>
  <c r="J247" i="14"/>
  <c r="K247" i="14"/>
  <c r="M247" i="14"/>
  <c r="L247" i="14"/>
  <c r="O247" i="14"/>
  <c r="N247" i="14"/>
  <c r="P247" i="14"/>
  <c r="Q247" i="14"/>
  <c r="R247" i="14"/>
  <c r="S247" i="14"/>
  <c r="T247" i="14"/>
  <c r="U247" i="14"/>
  <c r="V247" i="14"/>
  <c r="W247" i="14"/>
  <c r="X247" i="14"/>
  <c r="Y247" i="14"/>
  <c r="Z247" i="14"/>
  <c r="AA247" i="14"/>
  <c r="AB247" i="14"/>
  <c r="AC247" i="14"/>
  <c r="AD247" i="14"/>
  <c r="AE247" i="14"/>
  <c r="AF247" i="14"/>
  <c r="AG247" i="14"/>
  <c r="AH247" i="14"/>
  <c r="AI247" i="14"/>
  <c r="AJ247" i="14"/>
  <c r="AK247" i="14"/>
  <c r="AL247" i="14"/>
  <c r="AM247" i="14"/>
  <c r="AN247" i="14"/>
  <c r="AO247" i="14"/>
  <c r="AP247" i="14"/>
  <c r="AQ247" i="14"/>
  <c r="AR247" i="14"/>
  <c r="AS247" i="14"/>
  <c r="AT247" i="14"/>
  <c r="AU247" i="14"/>
  <c r="AV247" i="14"/>
  <c r="AW247" i="14"/>
  <c r="AX247" i="14"/>
  <c r="AY247" i="14"/>
  <c r="AZ247" i="14"/>
  <c r="BA247" i="14"/>
  <c r="BB247" i="14"/>
  <c r="BC247" i="14"/>
  <c r="BD247" i="14"/>
  <c r="BE247" i="14"/>
  <c r="BF247" i="14"/>
  <c r="BG247" i="14"/>
  <c r="BH247" i="14"/>
  <c r="BI247" i="14"/>
  <c r="BJ247" i="14"/>
  <c r="BK247" i="14"/>
  <c r="BL247" i="14"/>
  <c r="BM247" i="14"/>
  <c r="BN247" i="14"/>
  <c r="BO247" i="14"/>
  <c r="BP247" i="14"/>
  <c r="BQ247" i="14"/>
  <c r="BR247" i="14"/>
  <c r="BS247" i="14"/>
  <c r="BT247" i="14"/>
  <c r="BU247" i="14"/>
  <c r="BV247" i="14"/>
  <c r="BW247" i="14"/>
  <c r="BX247" i="14"/>
  <c r="BY247" i="14"/>
  <c r="BY771" i="14"/>
  <c r="BY777" i="14"/>
  <c r="BY774" i="14"/>
  <c r="BY773" i="14"/>
  <c r="BY775" i="14"/>
  <c r="BY772" i="14"/>
  <c r="BY776" i="14"/>
  <c r="C770" i="14" a="1"/>
  <c r="H261" i="14"/>
  <c r="I261" i="14" s="1"/>
  <c r="J261" i="14" s="1"/>
  <c r="K261" i="14"/>
  <c r="L261" i="14" s="1"/>
  <c r="M261" i="14" s="1"/>
  <c r="N261" i="14" s="1"/>
  <c r="O261" i="14" s="1"/>
  <c r="P261" i="14" s="1"/>
  <c r="Q261" i="14" s="1"/>
  <c r="R261" i="14" s="1"/>
  <c r="S261" i="14" s="1"/>
  <c r="T261" i="14" s="1"/>
  <c r="U261" i="14" s="1"/>
  <c r="V261" i="14" s="1"/>
  <c r="W261" i="14" s="1"/>
  <c r="X261" i="14" s="1"/>
  <c r="Y261" i="14" s="1"/>
  <c r="Z261" i="14" s="1"/>
  <c r="AA261" i="14" s="1"/>
  <c r="AB261" i="14" s="1"/>
  <c r="AC261" i="14" s="1"/>
  <c r="AD261" i="14" s="1"/>
  <c r="AE261" i="14" s="1"/>
  <c r="AF261" i="14" s="1"/>
  <c r="AG261" i="14" s="1"/>
  <c r="AH261" i="14" s="1"/>
  <c r="AI261" i="14" s="1"/>
  <c r="AJ261" i="14" s="1"/>
  <c r="AK261" i="14" s="1"/>
  <c r="AL261" i="14" s="1"/>
  <c r="AM261" i="14" s="1"/>
  <c r="AN261" i="14" s="1"/>
  <c r="AO261" i="14" s="1"/>
  <c r="AP261" i="14" s="1"/>
  <c r="AQ261" i="14" s="1"/>
  <c r="AR261" i="14" s="1"/>
  <c r="AS261" i="14" s="1"/>
  <c r="AT261" i="14" s="1"/>
  <c r="AU261" i="14" s="1"/>
  <c r="AV261" i="14" s="1"/>
  <c r="AW261" i="14" s="1"/>
  <c r="AX261" i="14" s="1"/>
  <c r="AY261" i="14" s="1"/>
  <c r="AZ261" i="14" s="1"/>
  <c r="BA261" i="14" s="1"/>
  <c r="BB261" i="14" s="1"/>
  <c r="BC261" i="14" s="1"/>
  <c r="BD261" i="14" s="1"/>
  <c r="BE261" i="14" s="1"/>
  <c r="BF261" i="14" s="1"/>
  <c r="BG261" i="14" s="1"/>
  <c r="BH261" i="14" s="1"/>
  <c r="BI261" i="14" s="1"/>
  <c r="BJ261" i="14" s="1"/>
  <c r="BK261" i="14" s="1"/>
  <c r="BL261" i="14" s="1"/>
  <c r="BM261" i="14" s="1"/>
  <c r="BN261" i="14" s="1"/>
  <c r="BO261" i="14" s="1"/>
  <c r="BP261" i="14" s="1"/>
  <c r="BQ261" i="14" s="1"/>
  <c r="BR261" i="14" s="1"/>
  <c r="BS261" i="14" s="1"/>
  <c r="BT261" i="14" s="1"/>
  <c r="BU261" i="14" s="1"/>
  <c r="BV261" i="14" s="1"/>
  <c r="BW261" i="14" s="1"/>
  <c r="BX261" i="14" s="1"/>
  <c r="BY261" i="14" s="1"/>
  <c r="I154" i="14"/>
  <c r="J140" i="14" s="1"/>
  <c r="J141" i="14" s="1"/>
  <c r="H279" i="14"/>
  <c r="I279" i="14"/>
  <c r="J279" i="14"/>
  <c r="K279" i="14"/>
  <c r="M279" i="14"/>
  <c r="L279" i="14"/>
  <c r="N279" i="14"/>
  <c r="O279" i="14"/>
  <c r="P279" i="14"/>
  <c r="Q279" i="14"/>
  <c r="R279" i="14"/>
  <c r="S279" i="14"/>
  <c r="T279" i="14"/>
  <c r="U279" i="14"/>
  <c r="V279" i="14"/>
  <c r="W279" i="14"/>
  <c r="X279" i="14"/>
  <c r="Y279" i="14"/>
  <c r="Z279" i="14"/>
  <c r="AA279" i="14"/>
  <c r="AB279" i="14"/>
  <c r="AD279" i="14"/>
  <c r="AC279" i="14"/>
  <c r="AE279" i="14"/>
  <c r="AF279" i="14"/>
  <c r="AG279" i="14"/>
  <c r="AH279" i="14"/>
  <c r="AI279" i="14"/>
  <c r="AJ279" i="14"/>
  <c r="AL279" i="14"/>
  <c r="AK279" i="14"/>
  <c r="AN279" i="14"/>
  <c r="AM279" i="14"/>
  <c r="AO279" i="14"/>
  <c r="AQ279" i="14"/>
  <c r="AP279" i="14"/>
  <c r="AR279" i="14"/>
  <c r="AS279" i="14"/>
  <c r="AT279" i="14"/>
  <c r="AU279" i="14"/>
  <c r="AV279" i="14"/>
  <c r="AW279" i="14"/>
  <c r="AX279" i="14"/>
  <c r="AY279" i="14"/>
  <c r="AZ279" i="14"/>
  <c r="BA279" i="14"/>
  <c r="BB279" i="14"/>
  <c r="BC279" i="14"/>
  <c r="BE279" i="14"/>
  <c r="BD279" i="14"/>
  <c r="BF279" i="14"/>
  <c r="BG279" i="14"/>
  <c r="BH279" i="14"/>
  <c r="BJ279" i="14"/>
  <c r="BI279" i="14"/>
  <c r="BK279" i="14"/>
  <c r="BL279" i="14"/>
  <c r="BM279" i="14"/>
  <c r="BN279" i="14"/>
  <c r="BO279" i="14"/>
  <c r="BP279" i="14"/>
  <c r="BQ279" i="14"/>
  <c r="BR279" i="14"/>
  <c r="BS279" i="14"/>
  <c r="BT279" i="14"/>
  <c r="BU279" i="14"/>
  <c r="BV279" i="14"/>
  <c r="BW279" i="14"/>
  <c r="BX279" i="14"/>
  <c r="BX804" i="14"/>
  <c r="BX801" i="14"/>
  <c r="BX803" i="14"/>
  <c r="BX802" i="14"/>
  <c r="BX808" i="14"/>
  <c r="BX806" i="14"/>
  <c r="BX807" i="14"/>
  <c r="BX809" i="14"/>
  <c r="BX805" i="14"/>
  <c r="H111" i="14"/>
  <c r="H110" i="14" s="1"/>
  <c r="I375" i="14" l="1"/>
  <c r="J361" i="14" s="1"/>
  <c r="J362" i="14" s="1"/>
  <c r="BU844" i="14"/>
  <c r="BU847" i="14"/>
  <c r="BU846" i="14"/>
  <c r="BU849" i="14"/>
  <c r="BU843" i="14"/>
  <c r="BU848" i="14"/>
  <c r="BU845" i="14"/>
  <c r="BU842" i="14"/>
  <c r="BU868" i="14"/>
  <c r="BV836" i="14"/>
  <c r="BT874" i="14"/>
  <c r="BT875" i="14"/>
  <c r="BT880" i="14"/>
  <c r="BT881" i="14"/>
  <c r="BT876" i="14"/>
  <c r="BT879" i="14"/>
  <c r="BT873" i="14"/>
  <c r="BT877" i="14"/>
  <c r="BT878" i="14"/>
  <c r="H770" i="14"/>
  <c r="I770" i="14"/>
  <c r="J770" i="14"/>
  <c r="K770" i="14"/>
  <c r="L770" i="14"/>
  <c r="M770" i="14"/>
  <c r="N770" i="14"/>
  <c r="P770" i="14"/>
  <c r="O770" i="14"/>
  <c r="Q770" i="14"/>
  <c r="R770" i="14"/>
  <c r="S770" i="14"/>
  <c r="T770" i="14"/>
  <c r="U770" i="14"/>
  <c r="V770" i="14"/>
  <c r="X770" i="14"/>
  <c r="W770" i="14"/>
  <c r="Z770" i="14"/>
  <c r="Y770" i="14"/>
  <c r="AB770" i="14"/>
  <c r="AA770" i="14"/>
  <c r="AC770" i="14"/>
  <c r="AD770" i="14"/>
  <c r="AE770" i="14"/>
  <c r="AF770" i="14"/>
  <c r="AG770" i="14"/>
  <c r="AH770" i="14"/>
  <c r="AI770" i="14"/>
  <c r="AJ770" i="14"/>
  <c r="AK770" i="14"/>
  <c r="AL770" i="14"/>
  <c r="AM770" i="14"/>
  <c r="AN770" i="14"/>
  <c r="AO770" i="14"/>
  <c r="AP770" i="14"/>
  <c r="AQ770" i="14"/>
  <c r="AR770" i="14"/>
  <c r="AS770" i="14"/>
  <c r="AT770" i="14"/>
  <c r="AU770" i="14"/>
  <c r="AV770" i="14"/>
  <c r="AW770" i="14"/>
  <c r="AX770" i="14"/>
  <c r="AY770" i="14"/>
  <c r="AZ770" i="14"/>
  <c r="BA770" i="14"/>
  <c r="BB770" i="14"/>
  <c r="BC770" i="14"/>
  <c r="BD770" i="14"/>
  <c r="BE770" i="14"/>
  <c r="BF770" i="14"/>
  <c r="BG770" i="14"/>
  <c r="BH770" i="14"/>
  <c r="BI770" i="14"/>
  <c r="BJ770" i="14"/>
  <c r="BK770" i="14"/>
  <c r="BL770" i="14"/>
  <c r="BM770" i="14"/>
  <c r="BN770" i="14"/>
  <c r="BO770" i="14"/>
  <c r="BP770" i="14"/>
  <c r="BQ770" i="14"/>
  <c r="BR770" i="14"/>
  <c r="BS770" i="14"/>
  <c r="BT770" i="14"/>
  <c r="BU770" i="14"/>
  <c r="BV770" i="14"/>
  <c r="BW770" i="14"/>
  <c r="BX770" i="14"/>
  <c r="BY770" i="14"/>
  <c r="C802" i="14" a="1"/>
  <c r="C802" i="14" s="1"/>
  <c r="K800" i="14" s="1"/>
  <c r="BY801" i="14"/>
  <c r="BY805" i="14"/>
  <c r="BY807" i="14"/>
  <c r="BY808" i="14"/>
  <c r="BY806" i="14"/>
  <c r="BY802" i="14"/>
  <c r="BY804" i="14"/>
  <c r="BY809" i="14"/>
  <c r="J375" i="14"/>
  <c r="K361" i="14" s="1"/>
  <c r="K362" i="14" s="1"/>
  <c r="H122" i="14"/>
  <c r="I108" i="14" s="1"/>
  <c r="I109" i="14" s="1"/>
  <c r="I161" i="14" s="1"/>
  <c r="H177" i="14"/>
  <c r="I332" i="14"/>
  <c r="I331" i="14" s="1"/>
  <c r="H331" i="14"/>
  <c r="J154" i="14"/>
  <c r="K140" i="14" s="1"/>
  <c r="H260" i="14"/>
  <c r="H259" i="14" s="1"/>
  <c r="J260" i="14"/>
  <c r="I111" i="14"/>
  <c r="J292" i="14"/>
  <c r="J291" i="14" s="1"/>
  <c r="L292" i="14"/>
  <c r="L291" i="14" s="1"/>
  <c r="S292" i="14"/>
  <c r="S291" i="14" s="1"/>
  <c r="Z292" i="14"/>
  <c r="Z291" i="14" s="1"/>
  <c r="AG292" i="14"/>
  <c r="AG291" i="14" s="1"/>
  <c r="AM292" i="14"/>
  <c r="AM291" i="14" s="1"/>
  <c r="N292" i="14"/>
  <c r="N291" i="14" s="1"/>
  <c r="U292" i="14"/>
  <c r="U291" i="14" s="1"/>
  <c r="AB292" i="14"/>
  <c r="AB291" i="14" s="1"/>
  <c r="AI292" i="14"/>
  <c r="AI291" i="14" s="1"/>
  <c r="AK292" i="14"/>
  <c r="AK291" i="14" s="1"/>
  <c r="P292" i="14"/>
  <c r="P291" i="14" s="1"/>
  <c r="H292" i="14"/>
  <c r="H291" i="14" s="1"/>
  <c r="H303" i="14" s="1"/>
  <c r="I289" i="14" s="1"/>
  <c r="I290" i="14" s="1"/>
  <c r="W292" i="14"/>
  <c r="W291" i="14" s="1"/>
  <c r="AD292" i="14"/>
  <c r="AD291" i="14" s="1"/>
  <c r="BD292" i="14"/>
  <c r="BD291" i="14" s="1"/>
  <c r="BO292" i="14"/>
  <c r="BO291" i="14" s="1"/>
  <c r="O292" i="14"/>
  <c r="O291" i="14" s="1"/>
  <c r="AP292" i="14"/>
  <c r="AP291" i="14" s="1"/>
  <c r="AU292" i="14"/>
  <c r="AU291" i="14" s="1"/>
  <c r="AF292" i="14"/>
  <c r="AF291" i="14" s="1"/>
  <c r="BB292" i="14"/>
  <c r="BB291" i="14" s="1"/>
  <c r="BM292" i="14"/>
  <c r="BM291" i="14" s="1"/>
  <c r="T292" i="14"/>
  <c r="T291" i="14" s="1"/>
  <c r="AN292" i="14"/>
  <c r="AN291" i="14" s="1"/>
  <c r="AS292" i="14"/>
  <c r="AS291" i="14" s="1"/>
  <c r="BV292" i="14"/>
  <c r="BV291" i="14" s="1"/>
  <c r="BX292" i="14"/>
  <c r="BX291" i="14" s="1"/>
  <c r="AO292" i="14"/>
  <c r="AO291" i="14" s="1"/>
  <c r="AZ292" i="14"/>
  <c r="AZ291" i="14" s="1"/>
  <c r="BK292" i="14"/>
  <c r="BK291" i="14" s="1"/>
  <c r="M292" i="14"/>
  <c r="M291" i="14" s="1"/>
  <c r="Y292" i="14"/>
  <c r="Y291" i="14" s="1"/>
  <c r="BR292" i="14"/>
  <c r="BR291" i="14" s="1"/>
  <c r="I292" i="14"/>
  <c r="I291" i="14" s="1"/>
  <c r="AQ292" i="14"/>
  <c r="AQ291" i="14" s="1"/>
  <c r="AX292" i="14"/>
  <c r="AX291" i="14" s="1"/>
  <c r="BI292" i="14"/>
  <c r="BI291" i="14" s="1"/>
  <c r="AE292" i="14"/>
  <c r="AE291" i="14" s="1"/>
  <c r="AL292" i="14"/>
  <c r="AL291" i="14" s="1"/>
  <c r="BE292" i="14"/>
  <c r="BE291" i="14" s="1"/>
  <c r="BG292" i="14"/>
  <c r="BG291" i="14" s="1"/>
  <c r="AW292" i="14"/>
  <c r="AW291" i="14" s="1"/>
  <c r="BH292" i="14"/>
  <c r="BH291" i="14" s="1"/>
  <c r="AV292" i="14"/>
  <c r="AV291" i="14" s="1"/>
  <c r="BC292" i="14"/>
  <c r="BC291" i="14" s="1"/>
  <c r="AJ292" i="14"/>
  <c r="AJ291" i="14" s="1"/>
  <c r="BN292" i="14"/>
  <c r="BN291" i="14" s="1"/>
  <c r="BW292" i="14"/>
  <c r="BW291" i="14" s="1"/>
  <c r="Q292" i="14"/>
  <c r="Q291" i="14" s="1"/>
  <c r="AH292" i="14"/>
  <c r="AH291" i="14" s="1"/>
  <c r="AR292" i="14"/>
  <c r="AR291" i="14" s="1"/>
  <c r="K292" i="14"/>
  <c r="K291" i="14" s="1"/>
  <c r="AY292" i="14"/>
  <c r="AY291" i="14" s="1"/>
  <c r="BJ292" i="14"/>
  <c r="BJ291" i="14" s="1"/>
  <c r="BF292" i="14"/>
  <c r="BF291" i="14" s="1"/>
  <c r="V292" i="14"/>
  <c r="V291" i="14" s="1"/>
  <c r="AC292" i="14"/>
  <c r="AC291" i="14" s="1"/>
  <c r="BQ292" i="14"/>
  <c r="BQ291" i="14" s="1"/>
  <c r="BY292" i="14"/>
  <c r="BY291" i="14" s="1"/>
  <c r="BS292" i="14"/>
  <c r="BS291" i="14" s="1"/>
  <c r="AA292" i="14"/>
  <c r="AA291" i="14" s="1"/>
  <c r="BU292" i="14"/>
  <c r="BU291" i="14" s="1"/>
  <c r="X292" i="14"/>
  <c r="X291" i="14" s="1"/>
  <c r="AT292" i="14"/>
  <c r="AT291" i="14" s="1"/>
  <c r="BT292" i="14"/>
  <c r="BT291" i="14" s="1"/>
  <c r="R292" i="14"/>
  <c r="R291" i="14" s="1"/>
  <c r="BA292" i="14"/>
  <c r="BA291" i="14" s="1"/>
  <c r="BL292" i="14"/>
  <c r="BL291" i="14" s="1"/>
  <c r="BP292" i="14"/>
  <c r="BP291" i="14" s="1"/>
  <c r="K332" i="14"/>
  <c r="C770" i="14"/>
  <c r="H769" i="14"/>
  <c r="I769" i="14"/>
  <c r="J769" i="14"/>
  <c r="K769" i="14"/>
  <c r="L769" i="14"/>
  <c r="M769" i="14"/>
  <c r="N769" i="14"/>
  <c r="O769" i="14"/>
  <c r="P769" i="14"/>
  <c r="Q769" i="14"/>
  <c r="R769" i="14"/>
  <c r="S769" i="14"/>
  <c r="T769" i="14"/>
  <c r="U769" i="14"/>
  <c r="V769" i="14"/>
  <c r="W769" i="14"/>
  <c r="X769" i="14"/>
  <c r="Y769" i="14"/>
  <c r="Z769" i="14"/>
  <c r="AA769" i="14"/>
  <c r="AB769" i="14"/>
  <c r="AC769" i="14"/>
  <c r="AD769" i="14"/>
  <c r="AE769" i="14"/>
  <c r="AF769" i="14"/>
  <c r="AG769" i="14"/>
  <c r="AH769" i="14"/>
  <c r="AI769" i="14"/>
  <c r="AJ769" i="14"/>
  <c r="AK769" i="14"/>
  <c r="AL769" i="14"/>
  <c r="AM769" i="14"/>
  <c r="AN769" i="14"/>
  <c r="AO769" i="14"/>
  <c r="AP769" i="14"/>
  <c r="AQ769" i="14"/>
  <c r="AR769" i="14"/>
  <c r="AS769" i="14"/>
  <c r="AT769" i="14"/>
  <c r="AU769" i="14"/>
  <c r="AV769" i="14"/>
  <c r="AW769" i="14"/>
  <c r="AX769" i="14"/>
  <c r="AY769" i="14"/>
  <c r="AZ769" i="14"/>
  <c r="BA769" i="14"/>
  <c r="BB769" i="14"/>
  <c r="BC769" i="14"/>
  <c r="BD769" i="14"/>
  <c r="BE769" i="14"/>
  <c r="BF769" i="14"/>
  <c r="BG769" i="14"/>
  <c r="BH769" i="14"/>
  <c r="BI769" i="14"/>
  <c r="BJ769" i="14"/>
  <c r="BK769" i="14"/>
  <c r="BL769" i="14"/>
  <c r="BM769" i="14"/>
  <c r="BN769" i="14"/>
  <c r="BO769" i="14"/>
  <c r="BP769" i="14"/>
  <c r="BQ769" i="14"/>
  <c r="BR769" i="14"/>
  <c r="BS769" i="14"/>
  <c r="BT769" i="14"/>
  <c r="BU769" i="14"/>
  <c r="BV769" i="14"/>
  <c r="BW769" i="14"/>
  <c r="BX769" i="14"/>
  <c r="BY769" i="14"/>
  <c r="BV849" i="14" l="1"/>
  <c r="BV846" i="14"/>
  <c r="BV847" i="14"/>
  <c r="BV843" i="14"/>
  <c r="BV845" i="14"/>
  <c r="BV848" i="14"/>
  <c r="BV844" i="14"/>
  <c r="BV842" i="14"/>
  <c r="BV868" i="14"/>
  <c r="BW836" i="14"/>
  <c r="BU880" i="14"/>
  <c r="BU879" i="14"/>
  <c r="BU877" i="14"/>
  <c r="BU873" i="14"/>
  <c r="BU874" i="14"/>
  <c r="BU876" i="14"/>
  <c r="BU878" i="14"/>
  <c r="BU881" i="14"/>
  <c r="BU875" i="14"/>
  <c r="I110" i="14"/>
  <c r="J111" i="14"/>
  <c r="K111" i="14" s="1"/>
  <c r="L111" i="14" s="1"/>
  <c r="M111" i="14" s="1"/>
  <c r="AR783" i="14"/>
  <c r="BH783" i="14"/>
  <c r="BP783" i="14"/>
  <c r="K783" i="14"/>
  <c r="AY783" i="14"/>
  <c r="BB783" i="14"/>
  <c r="M783" i="14"/>
  <c r="BK783" i="14"/>
  <c r="BG783" i="14"/>
  <c r="BI783" i="14"/>
  <c r="AU783" i="14"/>
  <c r="BX783" i="14"/>
  <c r="BY783" i="14"/>
  <c r="S783" i="14"/>
  <c r="AS783" i="14"/>
  <c r="AZ783" i="14"/>
  <c r="U783" i="14"/>
  <c r="Z783" i="14"/>
  <c r="I783" i="14"/>
  <c r="BW783" i="14"/>
  <c r="AD783" i="14"/>
  <c r="AX783" i="14"/>
  <c r="Q783" i="14"/>
  <c r="BV783" i="14"/>
  <c r="L783" i="14"/>
  <c r="AJ783" i="14"/>
  <c r="AI783" i="14"/>
  <c r="AT783" i="14"/>
  <c r="AC783" i="14"/>
  <c r="BF783" i="14"/>
  <c r="AQ783" i="14"/>
  <c r="BU783" i="14"/>
  <c r="X783" i="14"/>
  <c r="R783" i="14"/>
  <c r="W783" i="14"/>
  <c r="BE783" i="14"/>
  <c r="H783" i="14"/>
  <c r="AP783" i="14"/>
  <c r="O783" i="14"/>
  <c r="V783" i="14"/>
  <c r="N783" i="14"/>
  <c r="T783" i="14"/>
  <c r="AL783" i="14"/>
  <c r="BD783" i="14"/>
  <c r="BO783" i="14"/>
  <c r="J783" i="14"/>
  <c r="BL783" i="14"/>
  <c r="AA783" i="14"/>
  <c r="AE783" i="14"/>
  <c r="AG783" i="14"/>
  <c r="AB783" i="14"/>
  <c r="AV783" i="14"/>
  <c r="Y783" i="14"/>
  <c r="BA783" i="14"/>
  <c r="BJ783" i="14"/>
  <c r="BQ783" i="14"/>
  <c r="AH783" i="14"/>
  <c r="AM783" i="14"/>
  <c r="AK783" i="14"/>
  <c r="BR783" i="14"/>
  <c r="AW783" i="14"/>
  <c r="AF783" i="14"/>
  <c r="BS783" i="14"/>
  <c r="BM783" i="14"/>
  <c r="AN783" i="14"/>
  <c r="AO783" i="14"/>
  <c r="BN783" i="14"/>
  <c r="BC783" i="14"/>
  <c r="BT783" i="14"/>
  <c r="P783" i="14"/>
  <c r="BN800" i="14"/>
  <c r="I800" i="14"/>
  <c r="J800" i="14"/>
  <c r="AV800" i="14"/>
  <c r="AC800" i="14"/>
  <c r="BM800" i="14"/>
  <c r="BX800" i="14"/>
  <c r="AA800" i="14"/>
  <c r="H800" i="14"/>
  <c r="BL800" i="14"/>
  <c r="AU800" i="14"/>
  <c r="AS800" i="14"/>
  <c r="AP800" i="14"/>
  <c r="Z800" i="14"/>
  <c r="BK800" i="14"/>
  <c r="Y800" i="14"/>
  <c r="BI800" i="14"/>
  <c r="AR800" i="14"/>
  <c r="BY800" i="14"/>
  <c r="X800" i="14"/>
  <c r="BH800" i="14"/>
  <c r="AN800" i="14"/>
  <c r="W800" i="14"/>
  <c r="BF800" i="14"/>
  <c r="AO800" i="14"/>
  <c r="V800" i="14"/>
  <c r="BE800" i="14"/>
  <c r="AM800" i="14"/>
  <c r="U800" i="14"/>
  <c r="BW800" i="14"/>
  <c r="BD800" i="14"/>
  <c r="AL800" i="14"/>
  <c r="T800" i="14"/>
  <c r="BU800" i="14"/>
  <c r="BC800" i="14"/>
  <c r="AK800" i="14"/>
  <c r="S800" i="14"/>
  <c r="BT800" i="14"/>
  <c r="BA800" i="14"/>
  <c r="AJ800" i="14"/>
  <c r="R800" i="14"/>
  <c r="BS800" i="14"/>
  <c r="BB800" i="14"/>
  <c r="AH800" i="14"/>
  <c r="O800" i="14"/>
  <c r="BR800" i="14"/>
  <c r="AZ800" i="14"/>
  <c r="AI800" i="14"/>
  <c r="Q800" i="14"/>
  <c r="BQ800" i="14"/>
  <c r="AY800" i="14"/>
  <c r="AG800" i="14"/>
  <c r="P800" i="14"/>
  <c r="BP800" i="14"/>
  <c r="AX800" i="14"/>
  <c r="AF800" i="14"/>
  <c r="M800" i="14"/>
  <c r="BO800" i="14"/>
  <c r="AW800" i="14"/>
  <c r="AD800" i="14"/>
  <c r="L800" i="14"/>
  <c r="BJ800" i="14"/>
  <c r="AT800" i="14"/>
  <c r="AE800" i="14"/>
  <c r="N800" i="14"/>
  <c r="BV800" i="14"/>
  <c r="BG800" i="14"/>
  <c r="AQ800" i="14"/>
  <c r="AB800" i="14"/>
  <c r="K375" i="14"/>
  <c r="L361" i="14" s="1"/>
  <c r="L362" i="14" s="1"/>
  <c r="I303" i="14"/>
  <c r="J289" i="14" s="1"/>
  <c r="J290" i="14" s="1"/>
  <c r="L332" i="14"/>
  <c r="K141" i="14"/>
  <c r="K154" i="14"/>
  <c r="L140" i="14" s="1"/>
  <c r="H271" i="14"/>
  <c r="I257" i="14" s="1"/>
  <c r="I258" i="14" s="1"/>
  <c r="I383" i="14" s="1"/>
  <c r="H408" i="14"/>
  <c r="H410" i="14" s="1"/>
  <c r="H44" i="14" s="1"/>
  <c r="H46" i="14" s="1"/>
  <c r="H782" i="14"/>
  <c r="I782" i="14" s="1"/>
  <c r="J782" i="14" s="1"/>
  <c r="K782" i="14"/>
  <c r="L782" i="14" s="1"/>
  <c r="M782" i="14" s="1"/>
  <c r="N782" i="14" s="1"/>
  <c r="O782" i="14" s="1"/>
  <c r="P782" i="14" s="1"/>
  <c r="Q782" i="14" s="1"/>
  <c r="R782" i="14" s="1"/>
  <c r="S782" i="14" s="1"/>
  <c r="T782" i="14" s="1"/>
  <c r="U782" i="14" s="1"/>
  <c r="V782" i="14" s="1"/>
  <c r="W782" i="14" s="1"/>
  <c r="X782" i="14" s="1"/>
  <c r="Y782" i="14" s="1"/>
  <c r="Z782" i="14" s="1"/>
  <c r="AA782" i="14" s="1"/>
  <c r="AB782" i="14" s="1"/>
  <c r="AC782" i="14" s="1"/>
  <c r="AD782" i="14" s="1"/>
  <c r="AE782" i="14" s="1"/>
  <c r="AF782" i="14" s="1"/>
  <c r="AG782" i="14" s="1"/>
  <c r="AH782" i="14" s="1"/>
  <c r="AI782" i="14" s="1"/>
  <c r="AJ782" i="14" s="1"/>
  <c r="AK782" i="14" s="1"/>
  <c r="AL782" i="14" s="1"/>
  <c r="AM782" i="14" s="1"/>
  <c r="AN782" i="14" s="1"/>
  <c r="AO782" i="14" s="1"/>
  <c r="AP782" i="14" s="1"/>
  <c r="AQ782" i="14" s="1"/>
  <c r="AR782" i="14" s="1"/>
  <c r="AS782" i="14" s="1"/>
  <c r="AT782" i="14" s="1"/>
  <c r="AU782" i="14" s="1"/>
  <c r="AV782" i="14" s="1"/>
  <c r="AW782" i="14" s="1"/>
  <c r="AX782" i="14" s="1"/>
  <c r="AY782" i="14" s="1"/>
  <c r="AZ782" i="14" s="1"/>
  <c r="BA782" i="14" s="1"/>
  <c r="BB782" i="14" s="1"/>
  <c r="BC782" i="14" s="1"/>
  <c r="BD782" i="14" s="1"/>
  <c r="BE782" i="14" s="1"/>
  <c r="BF782" i="14" s="1"/>
  <c r="BG782" i="14" s="1"/>
  <c r="BH782" i="14" s="1"/>
  <c r="BI782" i="14" s="1"/>
  <c r="BJ782" i="14" s="1"/>
  <c r="BK782" i="14" s="1"/>
  <c r="BL782" i="14" s="1"/>
  <c r="BM782" i="14" s="1"/>
  <c r="BN782" i="14" s="1"/>
  <c r="BO782" i="14" s="1"/>
  <c r="BP782" i="14" s="1"/>
  <c r="BQ782" i="14" s="1"/>
  <c r="BR782" i="14" s="1"/>
  <c r="BS782" i="14" s="1"/>
  <c r="BT782" i="14" s="1"/>
  <c r="BU782" i="14" s="1"/>
  <c r="BV782" i="14" s="1"/>
  <c r="BW782" i="14" s="1"/>
  <c r="BX782" i="14" s="1"/>
  <c r="BY782" i="14" s="1"/>
  <c r="H421" i="14"/>
  <c r="H423" i="14" s="1"/>
  <c r="H49" i="14" s="1"/>
  <c r="H51" i="14" s="1"/>
  <c r="H343" i="14"/>
  <c r="I329" i="14" s="1"/>
  <c r="I330" i="14" s="1"/>
  <c r="I392" i="14" s="1"/>
  <c r="I177" i="14"/>
  <c r="I122" i="14"/>
  <c r="J108" i="14" s="1"/>
  <c r="J109" i="14" s="1"/>
  <c r="I421" i="14"/>
  <c r="I260" i="14"/>
  <c r="I259" i="14" s="1"/>
  <c r="H179" i="14"/>
  <c r="H768" i="14"/>
  <c r="I768" i="14"/>
  <c r="J768" i="14"/>
  <c r="L768" i="14"/>
  <c r="K768" i="14"/>
  <c r="M768" i="14"/>
  <c r="N768" i="14"/>
  <c r="O768" i="14"/>
  <c r="P768" i="14"/>
  <c r="Q768" i="14"/>
  <c r="R768" i="14"/>
  <c r="S768" i="14"/>
  <c r="T768" i="14"/>
  <c r="U768" i="14"/>
  <c r="V768" i="14"/>
  <c r="W768" i="14"/>
  <c r="X768" i="14"/>
  <c r="Y768" i="14"/>
  <c r="Z768" i="14"/>
  <c r="AA768" i="14"/>
  <c r="AB768" i="14"/>
  <c r="AC768" i="14"/>
  <c r="AD768" i="14"/>
  <c r="AE768" i="14"/>
  <c r="AF768" i="14"/>
  <c r="AG768" i="14"/>
  <c r="AH768" i="14"/>
  <c r="AI768" i="14"/>
  <c r="AJ768" i="14"/>
  <c r="AK768" i="14"/>
  <c r="AL768" i="14"/>
  <c r="AM768" i="14"/>
  <c r="AN768" i="14"/>
  <c r="AO768" i="14"/>
  <c r="AP768" i="14"/>
  <c r="AQ768" i="14"/>
  <c r="AR768" i="14"/>
  <c r="AS768" i="14"/>
  <c r="AT768" i="14"/>
  <c r="AU768" i="14"/>
  <c r="AV768" i="14"/>
  <c r="AW768" i="14"/>
  <c r="AX768" i="14"/>
  <c r="AY768" i="14"/>
  <c r="AZ768" i="14"/>
  <c r="BA768" i="14"/>
  <c r="BB768" i="14"/>
  <c r="BC768" i="14"/>
  <c r="BD768" i="14"/>
  <c r="BE768" i="14"/>
  <c r="BF768" i="14"/>
  <c r="BG768" i="14"/>
  <c r="BH768" i="14"/>
  <c r="BI768" i="14"/>
  <c r="BJ768" i="14"/>
  <c r="BK768" i="14"/>
  <c r="BL768" i="14"/>
  <c r="BM768" i="14"/>
  <c r="BN768" i="14"/>
  <c r="BO768" i="14"/>
  <c r="BP768" i="14"/>
  <c r="BQ768" i="14"/>
  <c r="BR768" i="14"/>
  <c r="BS768" i="14"/>
  <c r="BT768" i="14"/>
  <c r="BU768" i="14"/>
  <c r="BV768" i="14"/>
  <c r="BW768" i="14"/>
  <c r="BX768" i="14"/>
  <c r="BY768" i="14"/>
  <c r="K260" i="14"/>
  <c r="I178" i="14"/>
  <c r="I162" i="14"/>
  <c r="BW847" i="14" l="1"/>
  <c r="BW844" i="14"/>
  <c r="BW849" i="14"/>
  <c r="BW846" i="14"/>
  <c r="BW843" i="14"/>
  <c r="BW845" i="14"/>
  <c r="BW848" i="14"/>
  <c r="BW842" i="14"/>
  <c r="BW868" i="14"/>
  <c r="BX836" i="14"/>
  <c r="BV874" i="14"/>
  <c r="BV877" i="14"/>
  <c r="BV876" i="14"/>
  <c r="BV873" i="14"/>
  <c r="BV875" i="14"/>
  <c r="BV880" i="14"/>
  <c r="BV878" i="14"/>
  <c r="BV881" i="14"/>
  <c r="BV879" i="14"/>
  <c r="BC813" i="14"/>
  <c r="BC812" i="14" s="1"/>
  <c r="AU813" i="14"/>
  <c r="AU812" i="14" s="1"/>
  <c r="AZ813" i="14"/>
  <c r="AZ812" i="14" s="1"/>
  <c r="AB813" i="14"/>
  <c r="AB812" i="14" s="1"/>
  <c r="BD813" i="14"/>
  <c r="BD812" i="14" s="1"/>
  <c r="M813" i="14"/>
  <c r="M812" i="14" s="1"/>
  <c r="BF813" i="14"/>
  <c r="BF812" i="14" s="1"/>
  <c r="AA813" i="14"/>
  <c r="AA812" i="14" s="1"/>
  <c r="AG813" i="14"/>
  <c r="AG812" i="14" s="1"/>
  <c r="BK813" i="14"/>
  <c r="BK812" i="14" s="1"/>
  <c r="AC813" i="14"/>
  <c r="AC812" i="14" s="1"/>
  <c r="N813" i="14"/>
  <c r="N812" i="14" s="1"/>
  <c r="BL813" i="14"/>
  <c r="BL812" i="14" s="1"/>
  <c r="AR813" i="14"/>
  <c r="AR812" i="14" s="1"/>
  <c r="BI813" i="14"/>
  <c r="BI812" i="14" s="1"/>
  <c r="V813" i="14"/>
  <c r="V812" i="14" s="1"/>
  <c r="AE813" i="14"/>
  <c r="AE812" i="14" s="1"/>
  <c r="AM813" i="14"/>
  <c r="AM812" i="14" s="1"/>
  <c r="BW813" i="14"/>
  <c r="BW812" i="14" s="1"/>
  <c r="O813" i="14"/>
  <c r="O812" i="14" s="1"/>
  <c r="J813" i="14"/>
  <c r="J812" i="14" s="1"/>
  <c r="AT813" i="14"/>
  <c r="AT812" i="14" s="1"/>
  <c r="AH813" i="14"/>
  <c r="AH812" i="14" s="1"/>
  <c r="I813" i="14"/>
  <c r="I812" i="14" s="1"/>
  <c r="BM813" i="14"/>
  <c r="BM812" i="14" s="1"/>
  <c r="L813" i="14"/>
  <c r="L812" i="14" s="1"/>
  <c r="BE813" i="14"/>
  <c r="BE812" i="14" s="1"/>
  <c r="R813" i="14"/>
  <c r="R812" i="14" s="1"/>
  <c r="BQ813" i="14"/>
  <c r="BQ812" i="14" s="1"/>
  <c r="AV813" i="14"/>
  <c r="AV812" i="14" s="1"/>
  <c r="U813" i="14"/>
  <c r="U812" i="14" s="1"/>
  <c r="AX813" i="14"/>
  <c r="AX812" i="14" s="1"/>
  <c r="K813" i="14"/>
  <c r="K812" i="14" s="1"/>
  <c r="BR813" i="14"/>
  <c r="BR812" i="14" s="1"/>
  <c r="BS813" i="14"/>
  <c r="BS812" i="14" s="1"/>
  <c r="AN813" i="14"/>
  <c r="AN812" i="14" s="1"/>
  <c r="BU813" i="14"/>
  <c r="BU812" i="14" s="1"/>
  <c r="AJ813" i="14"/>
  <c r="AJ812" i="14" s="1"/>
  <c r="AO813" i="14"/>
  <c r="AO812" i="14" s="1"/>
  <c r="T813" i="14"/>
  <c r="T812" i="14" s="1"/>
  <c r="BV813" i="14"/>
  <c r="BV812" i="14" s="1"/>
  <c r="BA813" i="14"/>
  <c r="BA812" i="14" s="1"/>
  <c r="AP813" i="14"/>
  <c r="AP812" i="14" s="1"/>
  <c r="AK813" i="14"/>
  <c r="AK812" i="14" s="1"/>
  <c r="BG813" i="14"/>
  <c r="BG812" i="14" s="1"/>
  <c r="X813" i="14"/>
  <c r="X812" i="14" s="1"/>
  <c r="BB813" i="14"/>
  <c r="BB812" i="14" s="1"/>
  <c r="AQ813" i="14"/>
  <c r="AQ812" i="14" s="1"/>
  <c r="AW813" i="14"/>
  <c r="AW812" i="14" s="1"/>
  <c r="AL813" i="14"/>
  <c r="AL812" i="14" s="1"/>
  <c r="BN813" i="14"/>
  <c r="BN812" i="14" s="1"/>
  <c r="BX813" i="14"/>
  <c r="BX812" i="14" s="1"/>
  <c r="AI813" i="14"/>
  <c r="AI812" i="14" s="1"/>
  <c r="Z813" i="14"/>
  <c r="Z812" i="14" s="1"/>
  <c r="AF813" i="14"/>
  <c r="AF812" i="14" s="1"/>
  <c r="BH813" i="14"/>
  <c r="BH812" i="14" s="1"/>
  <c r="S813" i="14"/>
  <c r="S812" i="14" s="1"/>
  <c r="H813" i="14"/>
  <c r="H812" i="14" s="1"/>
  <c r="H824" i="14" s="1"/>
  <c r="I810" i="14" s="1"/>
  <c r="I811" i="14" s="1"/>
  <c r="BP813" i="14"/>
  <c r="BP812" i="14" s="1"/>
  <c r="BO813" i="14"/>
  <c r="BO812" i="14" s="1"/>
  <c r="BY813" i="14"/>
  <c r="BY812" i="14" s="1"/>
  <c r="AD813" i="14"/>
  <c r="AD812" i="14" s="1"/>
  <c r="P813" i="14"/>
  <c r="P812" i="14" s="1"/>
  <c r="Q813" i="14"/>
  <c r="Q812" i="14" s="1"/>
  <c r="AS813" i="14"/>
  <c r="AS812" i="14" s="1"/>
  <c r="AY813" i="14"/>
  <c r="AY812" i="14" s="1"/>
  <c r="BT813" i="14"/>
  <c r="BT812" i="14" s="1"/>
  <c r="W813" i="14"/>
  <c r="W812" i="14" s="1"/>
  <c r="Y813" i="14"/>
  <c r="Y812" i="14" s="1"/>
  <c r="BJ813" i="14"/>
  <c r="BJ812" i="14" s="1"/>
  <c r="I343" i="14"/>
  <c r="J329" i="14" s="1"/>
  <c r="J330" i="14" s="1"/>
  <c r="J392" i="14" s="1"/>
  <c r="L375" i="14"/>
  <c r="M361" i="14" s="1"/>
  <c r="M362" i="14" s="1"/>
  <c r="I17" i="14"/>
  <c r="J303" i="14"/>
  <c r="K289" i="14" s="1"/>
  <c r="N111" i="14"/>
  <c r="I422" i="14"/>
  <c r="I393" i="14"/>
  <c r="I163" i="14"/>
  <c r="L141" i="14"/>
  <c r="L154" i="14"/>
  <c r="M140" i="14" s="1"/>
  <c r="L260" i="14"/>
  <c r="J110" i="14"/>
  <c r="J161" i="14"/>
  <c r="M332" i="14"/>
  <c r="I409" i="14"/>
  <c r="I384" i="14"/>
  <c r="H33" i="14"/>
  <c r="H39" i="14"/>
  <c r="H41" i="14" s="1"/>
  <c r="H31" i="14"/>
  <c r="H781" i="14"/>
  <c r="H780" i="14" s="1"/>
  <c r="J781" i="14"/>
  <c r="K781" i="14" s="1"/>
  <c r="I408" i="14"/>
  <c r="I31" i="14" s="1"/>
  <c r="I271" i="14"/>
  <c r="J257" i="14" s="1"/>
  <c r="J258" i="14" s="1"/>
  <c r="BX845" i="14" l="1"/>
  <c r="BX848" i="14"/>
  <c r="BX847" i="14"/>
  <c r="BX849" i="14"/>
  <c r="BX846" i="14"/>
  <c r="BX844" i="14"/>
  <c r="BX843" i="14"/>
  <c r="BX842" i="14"/>
  <c r="BX868" i="14"/>
  <c r="BY836" i="14"/>
  <c r="BW881" i="14"/>
  <c r="BW876" i="14"/>
  <c r="BW879" i="14"/>
  <c r="BW877" i="14"/>
  <c r="BW874" i="14"/>
  <c r="BW880" i="14"/>
  <c r="BW875" i="14"/>
  <c r="BW878" i="14"/>
  <c r="BW873" i="14"/>
  <c r="I824" i="14"/>
  <c r="J810" i="14" s="1"/>
  <c r="J811" i="14" s="1"/>
  <c r="J331" i="14"/>
  <c r="J421" i="14" s="1"/>
  <c r="M375" i="14"/>
  <c r="N361" i="14" s="1"/>
  <c r="N375" i="14" s="1"/>
  <c r="O361" i="14" s="1"/>
  <c r="I781" i="14"/>
  <c r="I780" i="14" s="1"/>
  <c r="I927" i="14" s="1"/>
  <c r="I18" i="14"/>
  <c r="K290" i="14"/>
  <c r="K303" i="14"/>
  <c r="L289" i="14" s="1"/>
  <c r="I32" i="14"/>
  <c r="I385" i="14"/>
  <c r="I404" i="14" s="1"/>
  <c r="I405" i="14" s="1"/>
  <c r="I407" i="14" s="1"/>
  <c r="I410" i="14" s="1"/>
  <c r="I44" i="14" s="1"/>
  <c r="I46" i="14" s="1"/>
  <c r="I164" i="14"/>
  <c r="I173" i="14"/>
  <c r="N332" i="14"/>
  <c r="I394" i="14"/>
  <c r="I417" i="14" s="1"/>
  <c r="I418" i="14" s="1"/>
  <c r="I420" i="14" s="1"/>
  <c r="I423" i="14" s="1"/>
  <c r="I49" i="14" s="1"/>
  <c r="I51" i="14" s="1"/>
  <c r="J178" i="14"/>
  <c r="J162" i="14"/>
  <c r="J422" i="14"/>
  <c r="J393" i="14"/>
  <c r="J394" i="14" s="1"/>
  <c r="O111" i="14"/>
  <c r="J383" i="14"/>
  <c r="J17" i="14" s="1"/>
  <c r="J259" i="14"/>
  <c r="J122" i="14"/>
  <c r="K108" i="14" s="1"/>
  <c r="K109" i="14" s="1"/>
  <c r="J177" i="14"/>
  <c r="M141" i="14"/>
  <c r="M154" i="14"/>
  <c r="N140" i="14" s="1"/>
  <c r="H927" i="14"/>
  <c r="H792" i="14"/>
  <c r="I778" i="14" s="1"/>
  <c r="I779" i="14" s="1"/>
  <c r="I903" i="14" s="1"/>
  <c r="M260" i="14"/>
  <c r="L781" i="14"/>
  <c r="BY844" i="14" l="1"/>
  <c r="BY845" i="14"/>
  <c r="BY849" i="14"/>
  <c r="BY848" i="14"/>
  <c r="BY846" i="14"/>
  <c r="BY843" i="14"/>
  <c r="BY847" i="14"/>
  <c r="BY842" i="14"/>
  <c r="BY868" i="14"/>
  <c r="C842" i="14" a="1"/>
  <c r="BX877" i="14"/>
  <c r="BX873" i="14"/>
  <c r="BX879" i="14"/>
  <c r="BX874" i="14"/>
  <c r="BX876" i="14"/>
  <c r="BX880" i="14"/>
  <c r="BX875" i="14"/>
  <c r="BX881" i="14"/>
  <c r="BX878" i="14"/>
  <c r="J343" i="14"/>
  <c r="K329" i="14" s="1"/>
  <c r="K330" i="14" s="1"/>
  <c r="K392" i="14" s="1"/>
  <c r="N362" i="14"/>
  <c r="J824" i="14"/>
  <c r="K810" i="14" s="1"/>
  <c r="K824" i="14" s="1"/>
  <c r="L810" i="14" s="1"/>
  <c r="I792" i="14"/>
  <c r="J778" i="14" s="1"/>
  <c r="J779" i="14" s="1"/>
  <c r="J903" i="14" s="1"/>
  <c r="L290" i="14"/>
  <c r="L303" i="14"/>
  <c r="M289" i="14" s="1"/>
  <c r="I19" i="14"/>
  <c r="I395" i="14"/>
  <c r="O332" i="14"/>
  <c r="N141" i="14"/>
  <c r="N154" i="14"/>
  <c r="O140" i="14" s="1"/>
  <c r="O362" i="14"/>
  <c r="O375" i="14"/>
  <c r="P361" i="14" s="1"/>
  <c r="J163" i="14"/>
  <c r="I174" i="14"/>
  <c r="I27" i="14"/>
  <c r="J395" i="14"/>
  <c r="J417" i="14"/>
  <c r="J418" i="14" s="1"/>
  <c r="J420" i="14" s="1"/>
  <c r="J423" i="14" s="1"/>
  <c r="J49" i="14" s="1"/>
  <c r="J51" i="14" s="1"/>
  <c r="M781" i="14"/>
  <c r="K161" i="14"/>
  <c r="K110" i="14"/>
  <c r="J408" i="14"/>
  <c r="J31" i="14" s="1"/>
  <c r="J271" i="14"/>
  <c r="K257" i="14" s="1"/>
  <c r="K258" i="14" s="1"/>
  <c r="N260" i="14"/>
  <c r="I928" i="14"/>
  <c r="I904" i="14"/>
  <c r="J384" i="14"/>
  <c r="J409" i="14"/>
  <c r="J32" i="14" s="1"/>
  <c r="I386" i="14"/>
  <c r="H929" i="14"/>
  <c r="P111" i="14"/>
  <c r="C842" i="14" l="1"/>
  <c r="H841" i="14"/>
  <c r="I841" i="14"/>
  <c r="J841" i="14"/>
  <c r="L841" i="14"/>
  <c r="K841" i="14"/>
  <c r="N841" i="14"/>
  <c r="M841" i="14"/>
  <c r="P841" i="14"/>
  <c r="O841" i="14"/>
  <c r="R841" i="14"/>
  <c r="Q841" i="14"/>
  <c r="S841" i="14"/>
  <c r="T841" i="14"/>
  <c r="U841" i="14"/>
  <c r="V841" i="14"/>
  <c r="W841" i="14"/>
  <c r="X841" i="14"/>
  <c r="Y841" i="14"/>
  <c r="Z841" i="14"/>
  <c r="AA841" i="14"/>
  <c r="AB841" i="14"/>
  <c r="AC841" i="14"/>
  <c r="AD841" i="14"/>
  <c r="AE841" i="14"/>
  <c r="AF841" i="14"/>
  <c r="AG841" i="14"/>
  <c r="AH841" i="14"/>
  <c r="AI841" i="14"/>
  <c r="AJ841" i="14"/>
  <c r="AK841" i="14"/>
  <c r="AL841" i="14"/>
  <c r="AM841" i="14"/>
  <c r="AN841" i="14"/>
  <c r="AO841" i="14"/>
  <c r="AP841" i="14"/>
  <c r="AQ841" i="14"/>
  <c r="AR841" i="14"/>
  <c r="AS841" i="14"/>
  <c r="AT841" i="14"/>
  <c r="AU841" i="14"/>
  <c r="AV841" i="14"/>
  <c r="AW841" i="14"/>
  <c r="AX841" i="14"/>
  <c r="AY841" i="14"/>
  <c r="AZ841" i="14"/>
  <c r="BA841" i="14"/>
  <c r="BB841" i="14"/>
  <c r="BC841" i="14"/>
  <c r="BD841" i="14"/>
  <c r="BE841" i="14"/>
  <c r="BF841" i="14"/>
  <c r="BG841" i="14"/>
  <c r="BH841" i="14"/>
  <c r="BI841" i="14"/>
  <c r="BJ841" i="14"/>
  <c r="BK841" i="14"/>
  <c r="BL841" i="14"/>
  <c r="BM841" i="14"/>
  <c r="BN841" i="14"/>
  <c r="BO841" i="14"/>
  <c r="BP841" i="14"/>
  <c r="BQ841" i="14"/>
  <c r="BR841" i="14"/>
  <c r="BS841" i="14"/>
  <c r="BT841" i="14"/>
  <c r="BU841" i="14"/>
  <c r="BV841" i="14"/>
  <c r="BW841" i="14"/>
  <c r="BX841" i="14"/>
  <c r="BY841" i="14"/>
  <c r="BY880" i="14"/>
  <c r="BY876" i="14"/>
  <c r="BY877" i="14"/>
  <c r="BY875" i="14"/>
  <c r="BY878" i="14"/>
  <c r="BY879" i="14"/>
  <c r="BY881" i="14"/>
  <c r="BY873" i="14"/>
  <c r="BY874" i="14"/>
  <c r="C874" i="14" a="1"/>
  <c r="C874" i="14" s="1"/>
  <c r="I20" i="14"/>
  <c r="K811" i="14"/>
  <c r="K331" i="14"/>
  <c r="K421" i="14" s="1"/>
  <c r="J780" i="14"/>
  <c r="J792" i="14" s="1"/>
  <c r="K778" i="14" s="1"/>
  <c r="K779" i="14" s="1"/>
  <c r="K780" i="14" s="1"/>
  <c r="J904" i="14"/>
  <c r="J905" i="14" s="1"/>
  <c r="J906" i="14" s="1"/>
  <c r="J928" i="14"/>
  <c r="M290" i="14"/>
  <c r="M303" i="14"/>
  <c r="N289" i="14" s="1"/>
  <c r="Q111" i="14"/>
  <c r="P332" i="14"/>
  <c r="N781" i="14"/>
  <c r="K393" i="14"/>
  <c r="K394" i="14" s="1"/>
  <c r="K422" i="14"/>
  <c r="J385" i="14"/>
  <c r="J404" i="14" s="1"/>
  <c r="J405" i="14" s="1"/>
  <c r="J407" i="14" s="1"/>
  <c r="J410" i="14" s="1"/>
  <c r="J44" i="14" s="1"/>
  <c r="J46" i="14" s="1"/>
  <c r="L811" i="14"/>
  <c r="L824" i="14"/>
  <c r="M810" i="14" s="1"/>
  <c r="I905" i="14"/>
  <c r="I906" i="14" s="1"/>
  <c r="K122" i="14"/>
  <c r="L108" i="14" s="1"/>
  <c r="L109" i="14" s="1"/>
  <c r="K177" i="14"/>
  <c r="I176" i="14"/>
  <c r="I28" i="14"/>
  <c r="O260" i="14"/>
  <c r="P362" i="14"/>
  <c r="P375" i="14"/>
  <c r="Q361" i="14" s="1"/>
  <c r="O141" i="14"/>
  <c r="O154" i="14"/>
  <c r="P140" i="14" s="1"/>
  <c r="K383" i="14"/>
  <c r="K259" i="14"/>
  <c r="H580" i="14"/>
  <c r="H582" i="14" s="1"/>
  <c r="H1213" i="14"/>
  <c r="K178" i="14"/>
  <c r="K162" i="14"/>
  <c r="J18" i="14"/>
  <c r="J164" i="14"/>
  <c r="J173" i="14"/>
  <c r="BX872" i="14" l="1"/>
  <c r="H872" i="14"/>
  <c r="I872" i="14"/>
  <c r="J872" i="14"/>
  <c r="L872" i="14"/>
  <c r="K872" i="14"/>
  <c r="M872" i="14"/>
  <c r="N872" i="14"/>
  <c r="O872" i="14"/>
  <c r="P872" i="14"/>
  <c r="Q872" i="14"/>
  <c r="R872" i="14"/>
  <c r="S872" i="14"/>
  <c r="T872" i="14"/>
  <c r="U872" i="14"/>
  <c r="W872" i="14"/>
  <c r="V872" i="14"/>
  <c r="Y872" i="14"/>
  <c r="X872" i="14"/>
  <c r="Z872" i="14"/>
  <c r="AA872" i="14"/>
  <c r="AB872" i="14"/>
  <c r="AC872" i="14"/>
  <c r="AD872" i="14"/>
  <c r="AE872" i="14"/>
  <c r="AF872" i="14"/>
  <c r="AG872" i="14"/>
  <c r="AH872" i="14"/>
  <c r="AI872" i="14"/>
  <c r="AJ872" i="14"/>
  <c r="AK872" i="14"/>
  <c r="AL872" i="14"/>
  <c r="AM872" i="14"/>
  <c r="AN872" i="14"/>
  <c r="AO872" i="14"/>
  <c r="AP872" i="14"/>
  <c r="AQ872" i="14"/>
  <c r="AR872" i="14"/>
  <c r="AS872" i="14"/>
  <c r="AT872" i="14"/>
  <c r="AU872" i="14"/>
  <c r="AV872" i="14"/>
  <c r="AW872" i="14"/>
  <c r="AX872" i="14"/>
  <c r="AY872" i="14"/>
  <c r="AZ872" i="14"/>
  <c r="BA872" i="14"/>
  <c r="BB872" i="14"/>
  <c r="BC872" i="14"/>
  <c r="BD872" i="14"/>
  <c r="BE872" i="14"/>
  <c r="BF872" i="14"/>
  <c r="BG872" i="14"/>
  <c r="BH872" i="14"/>
  <c r="BI872" i="14"/>
  <c r="BJ872" i="14"/>
  <c r="BK872" i="14"/>
  <c r="BL872" i="14"/>
  <c r="BM872" i="14"/>
  <c r="BN872" i="14"/>
  <c r="BO872" i="14"/>
  <c r="BP872" i="14"/>
  <c r="BQ872" i="14"/>
  <c r="BR872" i="14"/>
  <c r="BS872" i="14"/>
  <c r="BT872" i="14"/>
  <c r="BU872" i="14"/>
  <c r="BV872" i="14"/>
  <c r="BW872" i="14"/>
  <c r="BY872" i="14"/>
  <c r="H854" i="14"/>
  <c r="I854" i="14" s="1"/>
  <c r="J854" i="14" s="1"/>
  <c r="K854" i="14"/>
  <c r="L854" i="14" s="1"/>
  <c r="M854" i="14" s="1"/>
  <c r="N854" i="14" s="1"/>
  <c r="O854" i="14" s="1"/>
  <c r="P854" i="14" s="1"/>
  <c r="Q854" i="14" s="1"/>
  <c r="R854" i="14" s="1"/>
  <c r="S854" i="14" s="1"/>
  <c r="T854" i="14" s="1"/>
  <c r="U854" i="14" s="1"/>
  <c r="V854" i="14" s="1"/>
  <c r="W854" i="14" s="1"/>
  <c r="X854" i="14" s="1"/>
  <c r="Y854" i="14" s="1"/>
  <c r="Z854" i="14" s="1"/>
  <c r="AA854" i="14" s="1"/>
  <c r="AB854" i="14" s="1"/>
  <c r="AC854" i="14" s="1"/>
  <c r="AD854" i="14" s="1"/>
  <c r="AE854" i="14" s="1"/>
  <c r="AF854" i="14" s="1"/>
  <c r="AG854" i="14" s="1"/>
  <c r="AH854" i="14" s="1"/>
  <c r="AI854" i="14" s="1"/>
  <c r="AJ854" i="14" s="1"/>
  <c r="AK854" i="14" s="1"/>
  <c r="AL854" i="14" s="1"/>
  <c r="AM854" i="14" s="1"/>
  <c r="AN854" i="14" s="1"/>
  <c r="AO854" i="14" s="1"/>
  <c r="AP854" i="14" s="1"/>
  <c r="AQ854" i="14" s="1"/>
  <c r="AR854" i="14" s="1"/>
  <c r="AS854" i="14" s="1"/>
  <c r="AT854" i="14" s="1"/>
  <c r="AU854" i="14" s="1"/>
  <c r="AV854" i="14" s="1"/>
  <c r="AW854" i="14" s="1"/>
  <c r="AX854" i="14" s="1"/>
  <c r="AY854" i="14" s="1"/>
  <c r="AZ854" i="14" s="1"/>
  <c r="BA854" i="14" s="1"/>
  <c r="BB854" i="14" s="1"/>
  <c r="BC854" i="14" s="1"/>
  <c r="BD854" i="14" s="1"/>
  <c r="BE854" i="14" s="1"/>
  <c r="BF854" i="14" s="1"/>
  <c r="BG854" i="14" s="1"/>
  <c r="BH854" i="14" s="1"/>
  <c r="BI854" i="14" s="1"/>
  <c r="BJ854" i="14" s="1"/>
  <c r="BK854" i="14" s="1"/>
  <c r="BL854" i="14" s="1"/>
  <c r="BM854" i="14" s="1"/>
  <c r="BN854" i="14" s="1"/>
  <c r="BO854" i="14" s="1"/>
  <c r="BP854" i="14" s="1"/>
  <c r="BQ854" i="14" s="1"/>
  <c r="BR854" i="14" s="1"/>
  <c r="BS854" i="14" s="1"/>
  <c r="BT854" i="14" s="1"/>
  <c r="BU854" i="14" s="1"/>
  <c r="BV854" i="14" s="1"/>
  <c r="BW854" i="14" s="1"/>
  <c r="BX854" i="14" s="1"/>
  <c r="BY854" i="14" s="1"/>
  <c r="H840" i="14"/>
  <c r="I840" i="14"/>
  <c r="J840" i="14"/>
  <c r="L840" i="14"/>
  <c r="K840" i="14"/>
  <c r="N840" i="14"/>
  <c r="M840" i="14"/>
  <c r="P840" i="14"/>
  <c r="O840" i="14"/>
  <c r="Q840" i="14"/>
  <c r="R840" i="14"/>
  <c r="S840" i="14"/>
  <c r="T840" i="14"/>
  <c r="U840" i="14"/>
  <c r="V840" i="14"/>
  <c r="W840" i="14"/>
  <c r="X840" i="14"/>
  <c r="Y840" i="14"/>
  <c r="Z840" i="14"/>
  <c r="AA840" i="14"/>
  <c r="AB840" i="14"/>
  <c r="AC840" i="14"/>
  <c r="AD840" i="14"/>
  <c r="AE840" i="14"/>
  <c r="AF840" i="14"/>
  <c r="AG840" i="14"/>
  <c r="AH840" i="14"/>
  <c r="AI840" i="14"/>
  <c r="AJ840" i="14"/>
  <c r="AK840" i="14"/>
  <c r="AL840" i="14"/>
  <c r="AM840" i="14"/>
  <c r="AN840" i="14"/>
  <c r="AO840" i="14"/>
  <c r="AP840" i="14"/>
  <c r="AQ840" i="14"/>
  <c r="AR840" i="14"/>
  <c r="AS840" i="14"/>
  <c r="AT840" i="14"/>
  <c r="AU840" i="14"/>
  <c r="AV840" i="14"/>
  <c r="AW840" i="14"/>
  <c r="AX840" i="14"/>
  <c r="AY840" i="14"/>
  <c r="AZ840" i="14"/>
  <c r="BA840" i="14"/>
  <c r="BB840" i="14"/>
  <c r="BC840" i="14"/>
  <c r="BD840" i="14"/>
  <c r="BE840" i="14"/>
  <c r="BF840" i="14"/>
  <c r="BG840" i="14"/>
  <c r="BH840" i="14"/>
  <c r="BI840" i="14"/>
  <c r="BJ840" i="14"/>
  <c r="BK840" i="14"/>
  <c r="BL840" i="14"/>
  <c r="BM840" i="14"/>
  <c r="BN840" i="14"/>
  <c r="BO840" i="14"/>
  <c r="BP840" i="14"/>
  <c r="BQ840" i="14"/>
  <c r="BR840" i="14"/>
  <c r="BS840" i="14"/>
  <c r="BT840" i="14"/>
  <c r="BU840" i="14"/>
  <c r="BV840" i="14"/>
  <c r="BW840" i="14"/>
  <c r="BX840" i="14"/>
  <c r="BY840" i="14"/>
  <c r="K343" i="14"/>
  <c r="L329" i="14" s="1"/>
  <c r="L330" i="14" s="1"/>
  <c r="L392" i="14" s="1"/>
  <c r="K903" i="14"/>
  <c r="J927" i="14"/>
  <c r="N290" i="14"/>
  <c r="N303" i="14"/>
  <c r="O289" i="14" s="1"/>
  <c r="J19" i="14"/>
  <c r="P141" i="14"/>
  <c r="P154" i="14"/>
  <c r="Q140" i="14" s="1"/>
  <c r="O781" i="14"/>
  <c r="J386" i="14"/>
  <c r="J20" i="14" s="1"/>
  <c r="J923" i="14"/>
  <c r="M811" i="14"/>
  <c r="M824" i="14"/>
  <c r="N810" i="14" s="1"/>
  <c r="K409" i="14"/>
  <c r="K32" i="14" s="1"/>
  <c r="K384" i="14"/>
  <c r="K18" i="14" s="1"/>
  <c r="J174" i="14"/>
  <c r="J27" i="14"/>
  <c r="K395" i="14"/>
  <c r="K417" i="14"/>
  <c r="K418" i="14" s="1"/>
  <c r="K420" i="14" s="1"/>
  <c r="K423" i="14" s="1"/>
  <c r="K49" i="14" s="1"/>
  <c r="K51" i="14" s="1"/>
  <c r="K17" i="14"/>
  <c r="R111" i="14"/>
  <c r="I179" i="14"/>
  <c r="I30" i="14"/>
  <c r="K792" i="14"/>
  <c r="L778" i="14" s="1"/>
  <c r="L779" i="14" s="1"/>
  <c r="K927" i="14"/>
  <c r="K408" i="14"/>
  <c r="K31" i="14" s="1"/>
  <c r="K271" i="14"/>
  <c r="L257" i="14" s="1"/>
  <c r="L258" i="14" s="1"/>
  <c r="Q362" i="14"/>
  <c r="Q375" i="14"/>
  <c r="R361" i="14" s="1"/>
  <c r="K163" i="14"/>
  <c r="P260" i="14"/>
  <c r="I923" i="14"/>
  <c r="Q332" i="14"/>
  <c r="L161" i="14"/>
  <c r="L110" i="14"/>
  <c r="H853" i="14" l="1"/>
  <c r="H852" i="14" s="1"/>
  <c r="J853" i="14"/>
  <c r="Y853" i="14"/>
  <c r="Z853" i="14" s="1"/>
  <c r="Z852" i="14" s="1"/>
  <c r="BX885" i="14"/>
  <c r="BX884" i="14" s="1"/>
  <c r="AP885" i="14"/>
  <c r="AP884" i="14" s="1"/>
  <c r="AC885" i="14"/>
  <c r="AC884" i="14" s="1"/>
  <c r="AA885" i="14"/>
  <c r="AA884" i="14" s="1"/>
  <c r="AS885" i="14"/>
  <c r="AS884" i="14" s="1"/>
  <c r="BB885" i="14"/>
  <c r="BB884" i="14" s="1"/>
  <c r="T885" i="14"/>
  <c r="T884" i="14" s="1"/>
  <c r="AE885" i="14"/>
  <c r="AE884" i="14" s="1"/>
  <c r="BQ885" i="14"/>
  <c r="BQ884" i="14" s="1"/>
  <c r="J885" i="14"/>
  <c r="J884" i="14" s="1"/>
  <c r="BN885" i="14"/>
  <c r="BN884" i="14" s="1"/>
  <c r="L885" i="14"/>
  <c r="L884" i="14" s="1"/>
  <c r="BC885" i="14"/>
  <c r="BC884" i="14" s="1"/>
  <c r="M885" i="14"/>
  <c r="M884" i="14" s="1"/>
  <c r="BA885" i="14"/>
  <c r="BA884" i="14" s="1"/>
  <c r="BI885" i="14"/>
  <c r="BI884" i="14" s="1"/>
  <c r="BM885" i="14"/>
  <c r="BM884" i="14" s="1"/>
  <c r="AL885" i="14"/>
  <c r="AL884" i="14" s="1"/>
  <c r="H885" i="14"/>
  <c r="H884" i="14" s="1"/>
  <c r="H896" i="14" s="1"/>
  <c r="I882" i="14" s="1"/>
  <c r="I883" i="14" s="1"/>
  <c r="W885" i="14"/>
  <c r="W884" i="14" s="1"/>
  <c r="N885" i="14"/>
  <c r="N884" i="14" s="1"/>
  <c r="AX885" i="14"/>
  <c r="AX884" i="14" s="1"/>
  <c r="AM885" i="14"/>
  <c r="AM884" i="14" s="1"/>
  <c r="AU885" i="14"/>
  <c r="AU884" i="14" s="1"/>
  <c r="AT885" i="14"/>
  <c r="AT884" i="14" s="1"/>
  <c r="O885" i="14"/>
  <c r="O884" i="14" s="1"/>
  <c r="S885" i="14"/>
  <c r="S884" i="14" s="1"/>
  <c r="BG885" i="14"/>
  <c r="BG884" i="14" s="1"/>
  <c r="AG885" i="14"/>
  <c r="AG884" i="14" s="1"/>
  <c r="BF885" i="14"/>
  <c r="BF884" i="14" s="1"/>
  <c r="BJ885" i="14"/>
  <c r="BJ884" i="14" s="1"/>
  <c r="AJ885" i="14"/>
  <c r="AJ884" i="14" s="1"/>
  <c r="AK885" i="14"/>
  <c r="AK884" i="14" s="1"/>
  <c r="U885" i="14"/>
  <c r="U884" i="14" s="1"/>
  <c r="BY885" i="14"/>
  <c r="BY884" i="14" s="1"/>
  <c r="BP885" i="14"/>
  <c r="BP884" i="14" s="1"/>
  <c r="Y885" i="14"/>
  <c r="Y884" i="14" s="1"/>
  <c r="V885" i="14"/>
  <c r="V884" i="14" s="1"/>
  <c r="BW885" i="14"/>
  <c r="BW884" i="14" s="1"/>
  <c r="AD885" i="14"/>
  <c r="AD884" i="14" s="1"/>
  <c r="Q885" i="14"/>
  <c r="Q884" i="14" s="1"/>
  <c r="BO885" i="14"/>
  <c r="BO884" i="14" s="1"/>
  <c r="AO885" i="14"/>
  <c r="AO884" i="14" s="1"/>
  <c r="AI885" i="14"/>
  <c r="AI884" i="14" s="1"/>
  <c r="BU885" i="14"/>
  <c r="BU884" i="14" s="1"/>
  <c r="AV885" i="14"/>
  <c r="AV884" i="14" s="1"/>
  <c r="BH885" i="14"/>
  <c r="BH884" i="14" s="1"/>
  <c r="AH885" i="14"/>
  <c r="AH884" i="14" s="1"/>
  <c r="AF885" i="14"/>
  <c r="AF884" i="14" s="1"/>
  <c r="AW885" i="14"/>
  <c r="AW884" i="14" s="1"/>
  <c r="BK885" i="14"/>
  <c r="BK884" i="14" s="1"/>
  <c r="P885" i="14"/>
  <c r="P884" i="14" s="1"/>
  <c r="AZ885" i="14"/>
  <c r="AZ884" i="14" s="1"/>
  <c r="Z885" i="14"/>
  <c r="Z884" i="14" s="1"/>
  <c r="BL885" i="14"/>
  <c r="BL884" i="14" s="1"/>
  <c r="K885" i="14"/>
  <c r="K884" i="14" s="1"/>
  <c r="X885" i="14"/>
  <c r="X884" i="14" s="1"/>
  <c r="BV885" i="14"/>
  <c r="BV884" i="14" s="1"/>
  <c r="AN885" i="14"/>
  <c r="AN884" i="14" s="1"/>
  <c r="BD885" i="14"/>
  <c r="BD884" i="14" s="1"/>
  <c r="AB885" i="14"/>
  <c r="AB884" i="14" s="1"/>
  <c r="BT885" i="14"/>
  <c r="BT884" i="14" s="1"/>
  <c r="BE885" i="14"/>
  <c r="BE884" i="14" s="1"/>
  <c r="I885" i="14"/>
  <c r="I884" i="14" s="1"/>
  <c r="I896" i="14" s="1"/>
  <c r="J882" i="14" s="1"/>
  <c r="J883" i="14" s="1"/>
  <c r="AY885" i="14"/>
  <c r="AY884" i="14" s="1"/>
  <c r="BS885" i="14"/>
  <c r="BS884" i="14" s="1"/>
  <c r="AQ885" i="14"/>
  <c r="AQ884" i="14" s="1"/>
  <c r="AR885" i="14"/>
  <c r="AR884" i="14" s="1"/>
  <c r="R885" i="14"/>
  <c r="R884" i="14" s="1"/>
  <c r="BR885" i="14"/>
  <c r="BR884" i="14" s="1"/>
  <c r="L331" i="14"/>
  <c r="L343" i="14" s="1"/>
  <c r="M329" i="14" s="1"/>
  <c r="M330" i="14" s="1"/>
  <c r="K904" i="14"/>
  <c r="K905" i="14" s="1"/>
  <c r="K906" i="14" s="1"/>
  <c r="K928" i="14"/>
  <c r="O290" i="14"/>
  <c r="O303" i="14"/>
  <c r="P289" i="14" s="1"/>
  <c r="S111" i="14"/>
  <c r="R362" i="14"/>
  <c r="R375" i="14"/>
  <c r="S361" i="14" s="1"/>
  <c r="J924" i="14"/>
  <c r="L178" i="14"/>
  <c r="L162" i="14"/>
  <c r="N811" i="14"/>
  <c r="N824" i="14"/>
  <c r="O810" i="14" s="1"/>
  <c r="L383" i="14"/>
  <c r="L17" i="14" s="1"/>
  <c r="L259" i="14"/>
  <c r="P781" i="14"/>
  <c r="L177" i="14"/>
  <c r="L122" i="14"/>
  <c r="M108" i="14" s="1"/>
  <c r="M109" i="14" s="1"/>
  <c r="J176" i="14"/>
  <c r="J28" i="14"/>
  <c r="L903" i="14"/>
  <c r="L780" i="14"/>
  <c r="Q141" i="14"/>
  <c r="Q154" i="14"/>
  <c r="R140" i="14" s="1"/>
  <c r="Q260" i="14"/>
  <c r="R332" i="14"/>
  <c r="I924" i="14"/>
  <c r="I39" i="14"/>
  <c r="I41" i="14" s="1"/>
  <c r="I33" i="14"/>
  <c r="K385" i="14"/>
  <c r="K404" i="14" s="1"/>
  <c r="K405" i="14" s="1"/>
  <c r="K407" i="14" s="1"/>
  <c r="K410" i="14" s="1"/>
  <c r="K44" i="14" s="1"/>
  <c r="K46" i="14" s="1"/>
  <c r="L393" i="14"/>
  <c r="L422" i="14"/>
  <c r="K164" i="14"/>
  <c r="K173" i="14"/>
  <c r="I853" i="14" l="1"/>
  <c r="I852" i="14" s="1"/>
  <c r="I940" i="14" s="1"/>
  <c r="I568" i="14" s="1"/>
  <c r="AA853" i="14"/>
  <c r="J896" i="14"/>
  <c r="K882" i="14" s="1"/>
  <c r="K883" i="14" s="1"/>
  <c r="Z940" i="14"/>
  <c r="K853" i="14"/>
  <c r="H940" i="14"/>
  <c r="H864" i="14"/>
  <c r="I850" i="14" s="1"/>
  <c r="I851" i="14" s="1"/>
  <c r="I912" i="14" s="1"/>
  <c r="L421" i="14"/>
  <c r="P290" i="14"/>
  <c r="P303" i="14"/>
  <c r="Q289" i="14" s="1"/>
  <c r="L904" i="14"/>
  <c r="L928" i="14"/>
  <c r="L408" i="14"/>
  <c r="L271" i="14"/>
  <c r="M257" i="14" s="1"/>
  <c r="M258" i="14" s="1"/>
  <c r="S332" i="14"/>
  <c r="R260" i="14"/>
  <c r="I926" i="14"/>
  <c r="L927" i="14"/>
  <c r="L792" i="14"/>
  <c r="M778" i="14" s="1"/>
  <c r="M779" i="14" s="1"/>
  <c r="K923" i="14"/>
  <c r="K174" i="14"/>
  <c r="K27" i="14"/>
  <c r="J179" i="14"/>
  <c r="J30" i="14"/>
  <c r="J926" i="14"/>
  <c r="L163" i="14"/>
  <c r="L164" i="14" s="1"/>
  <c r="K19" i="14"/>
  <c r="R141" i="14"/>
  <c r="R154" i="14"/>
  <c r="S140" i="14" s="1"/>
  <c r="M161" i="14"/>
  <c r="M110" i="14"/>
  <c r="S362" i="14"/>
  <c r="S375" i="14"/>
  <c r="T361" i="14" s="1"/>
  <c r="M392" i="14"/>
  <c r="M331" i="14"/>
  <c r="O811" i="14"/>
  <c r="O824" i="14"/>
  <c r="P810" i="14" s="1"/>
  <c r="L394" i="14"/>
  <c r="L417" i="14" s="1"/>
  <c r="L418" i="14" s="1"/>
  <c r="L420" i="14" s="1"/>
  <c r="T111" i="14"/>
  <c r="L384" i="14"/>
  <c r="L409" i="14"/>
  <c r="L32" i="14" s="1"/>
  <c r="Q781" i="14"/>
  <c r="K386" i="14"/>
  <c r="K20" i="14" s="1"/>
  <c r="L423" i="14" l="1"/>
  <c r="L49" i="14" s="1"/>
  <c r="L51" i="14" s="1"/>
  <c r="L853" i="14"/>
  <c r="AA852" i="14"/>
  <c r="AA940" i="14" s="1"/>
  <c r="AB853" i="14"/>
  <c r="I941" i="14"/>
  <c r="I569" i="14" s="1"/>
  <c r="I913" i="14"/>
  <c r="I554" i="14"/>
  <c r="H942" i="14"/>
  <c r="H568" i="14"/>
  <c r="K896" i="14"/>
  <c r="L882" i="14" s="1"/>
  <c r="L31" i="14"/>
  <c r="I864" i="14"/>
  <c r="J850" i="14" s="1"/>
  <c r="J851" i="14" s="1"/>
  <c r="Q290" i="14"/>
  <c r="Q303" i="14"/>
  <c r="R289" i="14" s="1"/>
  <c r="L395" i="14"/>
  <c r="T362" i="14"/>
  <c r="T375" i="14"/>
  <c r="U361" i="14" s="1"/>
  <c r="M393" i="14"/>
  <c r="M394" i="14" s="1"/>
  <c r="M422" i="14"/>
  <c r="U111" i="14"/>
  <c r="K924" i="14"/>
  <c r="R781" i="14"/>
  <c r="T332" i="14"/>
  <c r="L385" i="14"/>
  <c r="L404" i="14" s="1"/>
  <c r="L405" i="14" s="1"/>
  <c r="L407" i="14" s="1"/>
  <c r="L410" i="14" s="1"/>
  <c r="L44" i="14" s="1"/>
  <c r="L46" i="14" s="1"/>
  <c r="M903" i="14"/>
  <c r="M780" i="14"/>
  <c r="L905" i="14"/>
  <c r="M421" i="14"/>
  <c r="M343" i="14"/>
  <c r="N329" i="14" s="1"/>
  <c r="N330" i="14" s="1"/>
  <c r="J929" i="14"/>
  <c r="M383" i="14"/>
  <c r="M259" i="14"/>
  <c r="K176" i="14"/>
  <c r="K28" i="14"/>
  <c r="S141" i="14"/>
  <c r="S154" i="14"/>
  <c r="T140" i="14" s="1"/>
  <c r="L18" i="14"/>
  <c r="S260" i="14"/>
  <c r="M177" i="14"/>
  <c r="M122" i="14"/>
  <c r="N108" i="14" s="1"/>
  <c r="N109" i="14" s="1"/>
  <c r="M162" i="14"/>
  <c r="M178" i="14"/>
  <c r="J39" i="14"/>
  <c r="J41" i="14" s="1"/>
  <c r="J33" i="14"/>
  <c r="P811" i="14"/>
  <c r="P824" i="14"/>
  <c r="Q810" i="14" s="1"/>
  <c r="L173" i="14"/>
  <c r="I929" i="14"/>
  <c r="AB852" i="14" l="1"/>
  <c r="AB940" i="14" s="1"/>
  <c r="AC853" i="14"/>
  <c r="J912" i="14"/>
  <c r="J852" i="14"/>
  <c r="J940" i="14" s="1"/>
  <c r="J568" i="14" s="1"/>
  <c r="M853" i="14"/>
  <c r="H585" i="14"/>
  <c r="H587" i="14" s="1"/>
  <c r="H570" i="14"/>
  <c r="J941" i="14"/>
  <c r="J569" i="14" s="1"/>
  <c r="J913" i="14"/>
  <c r="J554" i="14"/>
  <c r="L883" i="14"/>
  <c r="L896" i="14"/>
  <c r="M882" i="14" s="1"/>
  <c r="I914" i="14"/>
  <c r="I915" i="14" s="1"/>
  <c r="I557" i="14" s="1"/>
  <c r="I555" i="14"/>
  <c r="R290" i="14"/>
  <c r="R303" i="14"/>
  <c r="S289" i="14" s="1"/>
  <c r="L19" i="14"/>
  <c r="L386" i="14"/>
  <c r="L20" i="14" s="1"/>
  <c r="N161" i="14"/>
  <c r="N110" i="14"/>
  <c r="L906" i="14"/>
  <c r="L923" i="14"/>
  <c r="M395" i="14"/>
  <c r="M417" i="14"/>
  <c r="M418" i="14" s="1"/>
  <c r="M420" i="14" s="1"/>
  <c r="M423" i="14" s="1"/>
  <c r="M49" i="14" s="1"/>
  <c r="M51" i="14" s="1"/>
  <c r="J580" i="14"/>
  <c r="J582" i="14" s="1"/>
  <c r="I580" i="14"/>
  <c r="I582" i="14" s="1"/>
  <c r="Q811" i="14"/>
  <c r="Q824" i="14"/>
  <c r="R810" i="14" s="1"/>
  <c r="M792" i="14"/>
  <c r="N778" i="14" s="1"/>
  <c r="N779" i="14" s="1"/>
  <c r="M927" i="14"/>
  <c r="M271" i="14"/>
  <c r="N257" i="14" s="1"/>
  <c r="N258" i="14" s="1"/>
  <c r="M408" i="14"/>
  <c r="M31" i="14" s="1"/>
  <c r="T260" i="14"/>
  <c r="U362" i="14"/>
  <c r="U375" i="14"/>
  <c r="V361" i="14" s="1"/>
  <c r="K179" i="14"/>
  <c r="K30" i="14"/>
  <c r="M384" i="14"/>
  <c r="M18" i="14" s="1"/>
  <c r="M409" i="14"/>
  <c r="M32" i="14" s="1"/>
  <c r="S781" i="14"/>
  <c r="N392" i="14"/>
  <c r="N331" i="14"/>
  <c r="K926" i="14"/>
  <c r="L174" i="14"/>
  <c r="L27" i="14"/>
  <c r="M928" i="14"/>
  <c r="M904" i="14"/>
  <c r="U332" i="14"/>
  <c r="M163" i="14"/>
  <c r="V111" i="14"/>
  <c r="T141" i="14"/>
  <c r="T154" i="14"/>
  <c r="U140" i="14" s="1"/>
  <c r="M17" i="14"/>
  <c r="N853" i="14" l="1"/>
  <c r="J864" i="14"/>
  <c r="K850" i="14" s="1"/>
  <c r="K851" i="14" s="1"/>
  <c r="AC852" i="14"/>
  <c r="AC940" i="14" s="1"/>
  <c r="AD853" i="14"/>
  <c r="M883" i="14"/>
  <c r="M896" i="14"/>
  <c r="N882" i="14" s="1"/>
  <c r="J914" i="14"/>
  <c r="J915" i="14" s="1"/>
  <c r="J557" i="14" s="1"/>
  <c r="J555" i="14"/>
  <c r="I936" i="14"/>
  <c r="I556" i="14"/>
  <c r="S303" i="14"/>
  <c r="T289" i="14" s="1"/>
  <c r="S290" i="14"/>
  <c r="V332" i="14"/>
  <c r="L176" i="14"/>
  <c r="L28" i="14"/>
  <c r="K39" i="14"/>
  <c r="K41" i="14" s="1"/>
  <c r="K33" i="14"/>
  <c r="V362" i="14"/>
  <c r="V375" i="14"/>
  <c r="W361" i="14" s="1"/>
  <c r="U141" i="14"/>
  <c r="U154" i="14"/>
  <c r="V140" i="14" s="1"/>
  <c r="N421" i="14"/>
  <c r="N343" i="14"/>
  <c r="O329" i="14" s="1"/>
  <c r="O330" i="14" s="1"/>
  <c r="N903" i="14"/>
  <c r="N780" i="14"/>
  <c r="M905" i="14"/>
  <c r="M906" i="14" s="1"/>
  <c r="T781" i="14"/>
  <c r="M164" i="14"/>
  <c r="M173" i="14"/>
  <c r="R811" i="14"/>
  <c r="R824" i="14"/>
  <c r="S810" i="14" s="1"/>
  <c r="M385" i="14"/>
  <c r="M404" i="14" s="1"/>
  <c r="M405" i="14" s="1"/>
  <c r="M407" i="14" s="1"/>
  <c r="M410" i="14" s="1"/>
  <c r="M44" i="14" s="1"/>
  <c r="M46" i="14" s="1"/>
  <c r="U260" i="14"/>
  <c r="N422" i="14"/>
  <c r="N393" i="14"/>
  <c r="N394" i="14" s="1"/>
  <c r="N383" i="14"/>
  <c r="N17" i="14" s="1"/>
  <c r="N259" i="14"/>
  <c r="N177" i="14"/>
  <c r="N122" i="14"/>
  <c r="O108" i="14" s="1"/>
  <c r="O109" i="14" s="1"/>
  <c r="K929" i="14"/>
  <c r="W111" i="14"/>
  <c r="L924" i="14"/>
  <c r="N162" i="14"/>
  <c r="N178" i="14"/>
  <c r="K912" i="14" l="1"/>
  <c r="K852" i="14"/>
  <c r="AD852" i="14"/>
  <c r="AD940" i="14" s="1"/>
  <c r="AE853" i="14"/>
  <c r="O853" i="14"/>
  <c r="I937" i="14"/>
  <c r="I564" i="14"/>
  <c r="J936" i="14"/>
  <c r="J556" i="14"/>
  <c r="N883" i="14"/>
  <c r="N896" i="14"/>
  <c r="O882" i="14" s="1"/>
  <c r="K941" i="14"/>
  <c r="K569" i="14" s="1"/>
  <c r="K913" i="14"/>
  <c r="K554" i="14"/>
  <c r="T303" i="14"/>
  <c r="U289" i="14" s="1"/>
  <c r="T290" i="14"/>
  <c r="M386" i="14"/>
  <c r="M20" i="14" s="1"/>
  <c r="O392" i="14"/>
  <c r="O331" i="14"/>
  <c r="L179" i="14"/>
  <c r="L30" i="14"/>
  <c r="N163" i="14"/>
  <c r="N792" i="14"/>
  <c r="O778" i="14" s="1"/>
  <c r="O779" i="14" s="1"/>
  <c r="N927" i="14"/>
  <c r="X111" i="14"/>
  <c r="N384" i="14"/>
  <c r="N18" i="14" s="1"/>
  <c r="N409" i="14"/>
  <c r="N32" i="14" s="1"/>
  <c r="N395" i="14"/>
  <c r="N417" i="14"/>
  <c r="N418" i="14" s="1"/>
  <c r="N420" i="14" s="1"/>
  <c r="N423" i="14" s="1"/>
  <c r="N49" i="14" s="1"/>
  <c r="N51" i="14" s="1"/>
  <c r="S811" i="14"/>
  <c r="S824" i="14"/>
  <c r="T810" i="14" s="1"/>
  <c r="M19" i="14"/>
  <c r="M174" i="14"/>
  <c r="M27" i="14"/>
  <c r="O161" i="14"/>
  <c r="O110" i="14"/>
  <c r="V141" i="14"/>
  <c r="V154" i="14"/>
  <c r="W140" i="14" s="1"/>
  <c r="M923" i="14"/>
  <c r="V260" i="14"/>
  <c r="N928" i="14"/>
  <c r="N904" i="14"/>
  <c r="U781" i="14"/>
  <c r="W332" i="14"/>
  <c r="W362" i="14"/>
  <c r="W375" i="14"/>
  <c r="X361" i="14" s="1"/>
  <c r="L926" i="14"/>
  <c r="K580" i="14"/>
  <c r="K582" i="14" s="1"/>
  <c r="N271" i="14"/>
  <c r="O257" i="14" s="1"/>
  <c r="O258" i="14" s="1"/>
  <c r="N408" i="14"/>
  <c r="N31" i="14" s="1"/>
  <c r="P853" i="14" l="1"/>
  <c r="AE852" i="14"/>
  <c r="AE940" i="14" s="1"/>
  <c r="AF853" i="14"/>
  <c r="K940" i="14"/>
  <c r="K568" i="14" s="1"/>
  <c r="K864" i="14"/>
  <c r="L850" i="14" s="1"/>
  <c r="L851" i="14" s="1"/>
  <c r="K914" i="14"/>
  <c r="K915" i="14" s="1"/>
  <c r="K557" i="14" s="1"/>
  <c r="K555" i="14"/>
  <c r="I939" i="14"/>
  <c r="I565" i="14"/>
  <c r="J937" i="14"/>
  <c r="J564" i="14"/>
  <c r="O896" i="14"/>
  <c r="P882" i="14" s="1"/>
  <c r="O883" i="14"/>
  <c r="U303" i="14"/>
  <c r="V289" i="14" s="1"/>
  <c r="U290" i="14"/>
  <c r="W260" i="14"/>
  <c r="N164" i="14"/>
  <c r="N173" i="14"/>
  <c r="T811" i="14"/>
  <c r="T824" i="14"/>
  <c r="U810" i="14" s="1"/>
  <c r="L929" i="14"/>
  <c r="L39" i="14"/>
  <c r="L41" i="14" s="1"/>
  <c r="L33" i="14"/>
  <c r="O903" i="14"/>
  <c r="O780" i="14"/>
  <c r="M924" i="14"/>
  <c r="O421" i="14"/>
  <c r="O343" i="14"/>
  <c r="P329" i="14" s="1"/>
  <c r="P330" i="14" s="1"/>
  <c r="V781" i="14"/>
  <c r="O178" i="14"/>
  <c r="O162" i="14"/>
  <c r="X332" i="14"/>
  <c r="O177" i="14"/>
  <c r="O122" i="14"/>
  <c r="P108" i="14" s="1"/>
  <c r="P109" i="14" s="1"/>
  <c r="N905" i="14"/>
  <c r="N906" i="14" s="1"/>
  <c r="N385" i="14"/>
  <c r="N404" i="14" s="1"/>
  <c r="N405" i="14" s="1"/>
  <c r="N407" i="14" s="1"/>
  <c r="N410" i="14" s="1"/>
  <c r="N44" i="14" s="1"/>
  <c r="N46" i="14" s="1"/>
  <c r="W141" i="14"/>
  <c r="W154" i="14"/>
  <c r="X140" i="14" s="1"/>
  <c r="O422" i="14"/>
  <c r="O393" i="14"/>
  <c r="Y111" i="14"/>
  <c r="O383" i="14"/>
  <c r="O17" i="14" s="1"/>
  <c r="O259" i="14"/>
  <c r="X362" i="14"/>
  <c r="X375" i="14"/>
  <c r="Y361" i="14" s="1"/>
  <c r="M176" i="14"/>
  <c r="M28" i="14"/>
  <c r="L912" i="14" l="1"/>
  <c r="L852" i="14"/>
  <c r="AF852" i="14"/>
  <c r="AF940" i="14" s="1"/>
  <c r="AG853" i="14"/>
  <c r="Q853" i="14"/>
  <c r="P883" i="14"/>
  <c r="P896" i="14"/>
  <c r="Q882" i="14" s="1"/>
  <c r="I942" i="14"/>
  <c r="I567" i="14"/>
  <c r="J939" i="14"/>
  <c r="J565" i="14"/>
  <c r="K936" i="14"/>
  <c r="K556" i="14"/>
  <c r="N386" i="14"/>
  <c r="N20" i="14" s="1"/>
  <c r="V290" i="14"/>
  <c r="V303" i="14"/>
  <c r="W289" i="14" s="1"/>
  <c r="O792" i="14"/>
  <c r="P778" i="14" s="1"/>
  <c r="P779" i="14" s="1"/>
  <c r="O927" i="14"/>
  <c r="X141" i="14"/>
  <c r="X154" i="14"/>
  <c r="Y140" i="14" s="1"/>
  <c r="O394" i="14"/>
  <c r="O417" i="14" s="1"/>
  <c r="O418" i="14" s="1"/>
  <c r="O420" i="14" s="1"/>
  <c r="O423" i="14" s="1"/>
  <c r="O49" i="14" s="1"/>
  <c r="O51" i="14" s="1"/>
  <c r="O928" i="14"/>
  <c r="O904" i="14"/>
  <c r="N19" i="14"/>
  <c r="W781" i="14"/>
  <c r="P392" i="14"/>
  <c r="P331" i="14"/>
  <c r="O271" i="14"/>
  <c r="P257" i="14" s="1"/>
  <c r="P258" i="14" s="1"/>
  <c r="O408" i="14"/>
  <c r="O31" i="14" s="1"/>
  <c r="M926" i="14"/>
  <c r="N174" i="14"/>
  <c r="N27" i="14"/>
  <c r="O163" i="14"/>
  <c r="M179" i="14"/>
  <c r="M30" i="14"/>
  <c r="U811" i="14"/>
  <c r="U824" i="14"/>
  <c r="V810" i="14" s="1"/>
  <c r="N923" i="14"/>
  <c r="O409" i="14"/>
  <c r="O32" i="14" s="1"/>
  <c r="O384" i="14"/>
  <c r="O18" i="14" s="1"/>
  <c r="P161" i="14"/>
  <c r="P110" i="14"/>
  <c r="Z111" i="14"/>
  <c r="X260" i="14"/>
  <c r="L580" i="14"/>
  <c r="L582" i="14" s="1"/>
  <c r="Y362" i="14"/>
  <c r="Y375" i="14"/>
  <c r="Z361" i="14" s="1"/>
  <c r="Y332" i="14"/>
  <c r="R853" i="14" l="1"/>
  <c r="AG852" i="14"/>
  <c r="AG940" i="14" s="1"/>
  <c r="AH853" i="14"/>
  <c r="L940" i="14"/>
  <c r="L568" i="14" s="1"/>
  <c r="L864" i="14"/>
  <c r="M850" i="14" s="1"/>
  <c r="M851" i="14" s="1"/>
  <c r="L941" i="14"/>
  <c r="L569" i="14" s="1"/>
  <c r="L913" i="14"/>
  <c r="L554" i="14"/>
  <c r="J942" i="14"/>
  <c r="J567" i="14"/>
  <c r="I585" i="14"/>
  <c r="I587" i="14" s="1"/>
  <c r="I570" i="14"/>
  <c r="Q883" i="14"/>
  <c r="Q896" i="14"/>
  <c r="R882" i="14" s="1"/>
  <c r="K937" i="14"/>
  <c r="K564" i="14"/>
  <c r="W290" i="14"/>
  <c r="W303" i="14"/>
  <c r="X289" i="14" s="1"/>
  <c r="X781" i="14"/>
  <c r="Z362" i="14"/>
  <c r="Z375" i="14"/>
  <c r="AA361" i="14" s="1"/>
  <c r="M39" i="14"/>
  <c r="M41" i="14" s="1"/>
  <c r="M33" i="14"/>
  <c r="O385" i="14"/>
  <c r="O404" i="14" s="1"/>
  <c r="O405" i="14" s="1"/>
  <c r="O407" i="14" s="1"/>
  <c r="O410" i="14" s="1"/>
  <c r="O44" i="14" s="1"/>
  <c r="O46" i="14" s="1"/>
  <c r="M929" i="14"/>
  <c r="O395" i="14"/>
  <c r="O164" i="14"/>
  <c r="O173" i="14"/>
  <c r="N176" i="14"/>
  <c r="N28" i="14"/>
  <c r="Y260" i="14"/>
  <c r="N924" i="14"/>
  <c r="P421" i="14"/>
  <c r="P343" i="14"/>
  <c r="Q329" i="14" s="1"/>
  <c r="Q330" i="14" s="1"/>
  <c r="O905" i="14"/>
  <c r="P422" i="14"/>
  <c r="P393" i="14"/>
  <c r="P394" i="14" s="1"/>
  <c r="Y141" i="14"/>
  <c r="Y154" i="14"/>
  <c r="Z140" i="14" s="1"/>
  <c r="Z332" i="14"/>
  <c r="P383" i="14"/>
  <c r="P17" i="14" s="1"/>
  <c r="P259" i="14"/>
  <c r="V811" i="14"/>
  <c r="V824" i="14"/>
  <c r="W810" i="14" s="1"/>
  <c r="P177" i="14"/>
  <c r="P122" i="14"/>
  <c r="Q108" i="14" s="1"/>
  <c r="Q109" i="14" s="1"/>
  <c r="P178" i="14"/>
  <c r="P162" i="14"/>
  <c r="P903" i="14"/>
  <c r="P780" i="14"/>
  <c r="AA111" i="14"/>
  <c r="M912" i="14" l="1"/>
  <c r="M852" i="14"/>
  <c r="L555" i="14"/>
  <c r="L914" i="14"/>
  <c r="AI853" i="14"/>
  <c r="AH852" i="14"/>
  <c r="AH940" i="14" s="1"/>
  <c r="S853" i="14"/>
  <c r="K939" i="14"/>
  <c r="K565" i="14"/>
  <c r="R883" i="14"/>
  <c r="R896" i="14"/>
  <c r="S882" i="14" s="1"/>
  <c r="J585" i="14"/>
  <c r="J587" i="14" s="1"/>
  <c r="J570" i="14"/>
  <c r="O19" i="14"/>
  <c r="X303" i="14"/>
  <c r="Y289" i="14" s="1"/>
  <c r="X290" i="14"/>
  <c r="N179" i="14"/>
  <c r="N30" i="14"/>
  <c r="P395" i="14"/>
  <c r="P417" i="14"/>
  <c r="P418" i="14" s="1"/>
  <c r="P420" i="14" s="1"/>
  <c r="P423" i="14" s="1"/>
  <c r="P49" i="14" s="1"/>
  <c r="P51" i="14" s="1"/>
  <c r="AB111" i="14"/>
  <c r="P792" i="14"/>
  <c r="Q778" i="14" s="1"/>
  <c r="Q779" i="14" s="1"/>
  <c r="P927" i="14"/>
  <c r="M580" i="14"/>
  <c r="M582" i="14" s="1"/>
  <c r="Z141" i="14"/>
  <c r="Z154" i="14"/>
  <c r="AA140" i="14" s="1"/>
  <c r="O386" i="14"/>
  <c r="O20" i="14" s="1"/>
  <c r="P384" i="14"/>
  <c r="P409" i="14"/>
  <c r="P32" i="14" s="1"/>
  <c r="W811" i="14"/>
  <c r="W824" i="14"/>
  <c r="X810" i="14" s="1"/>
  <c r="O174" i="14"/>
  <c r="O27" i="14"/>
  <c r="P408" i="14"/>
  <c r="P31" i="14" s="1"/>
  <c r="P271" i="14"/>
  <c r="Q257" i="14" s="1"/>
  <c r="Q258" i="14" s="1"/>
  <c r="P163" i="14"/>
  <c r="N926" i="14"/>
  <c r="AA362" i="14"/>
  <c r="AA375" i="14"/>
  <c r="AB361" i="14" s="1"/>
  <c r="O906" i="14"/>
  <c r="O923" i="14"/>
  <c r="P928" i="14"/>
  <c r="P904" i="14"/>
  <c r="Q392" i="14"/>
  <c r="Q331" i="14"/>
  <c r="AA332" i="14"/>
  <c r="Z260" i="14"/>
  <c r="Y781" i="14"/>
  <c r="Q161" i="14"/>
  <c r="Q110" i="14"/>
  <c r="AJ853" i="14" l="1"/>
  <c r="AI852" i="14"/>
  <c r="AI940" i="14" s="1"/>
  <c r="L915" i="14"/>
  <c r="L557" i="14" s="1"/>
  <c r="L556" i="14"/>
  <c r="L936" i="14"/>
  <c r="M940" i="14"/>
  <c r="M568" i="14" s="1"/>
  <c r="M864" i="14"/>
  <c r="N850" i="14" s="1"/>
  <c r="N851" i="14" s="1"/>
  <c r="T853" i="14"/>
  <c r="M554" i="14"/>
  <c r="M913" i="14"/>
  <c r="M941" i="14"/>
  <c r="M569" i="14" s="1"/>
  <c r="S883" i="14"/>
  <c r="S896" i="14"/>
  <c r="T882" i="14" s="1"/>
  <c r="K942" i="14"/>
  <c r="K567" i="14"/>
  <c r="Y290" i="14"/>
  <c r="Y303" i="14"/>
  <c r="Z289" i="14" s="1"/>
  <c r="AB362" i="14"/>
  <c r="AB375" i="14"/>
  <c r="AC361" i="14" s="1"/>
  <c r="Q903" i="14"/>
  <c r="Q780" i="14"/>
  <c r="Z781" i="14"/>
  <c r="P385" i="14"/>
  <c r="P404" i="14" s="1"/>
  <c r="P405" i="14" s="1"/>
  <c r="P407" i="14" s="1"/>
  <c r="P410" i="14" s="1"/>
  <c r="P44" i="14" s="1"/>
  <c r="P46" i="14" s="1"/>
  <c r="O176" i="14"/>
  <c r="O28" i="14"/>
  <c r="N929" i="14"/>
  <c r="AB332" i="14"/>
  <c r="Q421" i="14"/>
  <c r="Q343" i="14"/>
  <c r="R329" i="14" s="1"/>
  <c r="R330" i="14" s="1"/>
  <c r="P164" i="14"/>
  <c r="P173" i="14"/>
  <c r="Q177" i="14"/>
  <c r="Q122" i="14"/>
  <c r="R108" i="14" s="1"/>
  <c r="R109" i="14" s="1"/>
  <c r="X811" i="14"/>
  <c r="X824" i="14"/>
  <c r="Y810" i="14" s="1"/>
  <c r="Q178" i="14"/>
  <c r="Q162" i="14"/>
  <c r="O924" i="14"/>
  <c r="AA260" i="14"/>
  <c r="P18" i="14"/>
  <c r="Q422" i="14"/>
  <c r="Q393" i="14"/>
  <c r="AC111" i="14"/>
  <c r="AA141" i="14"/>
  <c r="AA154" i="14"/>
  <c r="AB140" i="14" s="1"/>
  <c r="Q383" i="14"/>
  <c r="Q17" i="14" s="1"/>
  <c r="Q259" i="14"/>
  <c r="P905" i="14"/>
  <c r="N39" i="14"/>
  <c r="N41" i="14" s="1"/>
  <c r="N33" i="14"/>
  <c r="U853" i="14" l="1"/>
  <c r="L937" i="14"/>
  <c r="L564" i="14"/>
  <c r="M914" i="14"/>
  <c r="M555" i="14"/>
  <c r="N912" i="14"/>
  <c r="N852" i="14"/>
  <c r="AJ852" i="14"/>
  <c r="AJ940" i="14" s="1"/>
  <c r="AK853" i="14"/>
  <c r="K585" i="14"/>
  <c r="K587" i="14" s="1"/>
  <c r="K570" i="14"/>
  <c r="T883" i="14"/>
  <c r="T896" i="14"/>
  <c r="U882" i="14" s="1"/>
  <c r="P19" i="14"/>
  <c r="P386" i="14"/>
  <c r="P20" i="14" s="1"/>
  <c r="Z303" i="14"/>
  <c r="AA289" i="14" s="1"/>
  <c r="Z290" i="14"/>
  <c r="AC332" i="14"/>
  <c r="P174" i="14"/>
  <c r="P27" i="14"/>
  <c r="P906" i="14"/>
  <c r="P923" i="14"/>
  <c r="Q792" i="14"/>
  <c r="R778" i="14" s="1"/>
  <c r="R779" i="14" s="1"/>
  <c r="Q927" i="14"/>
  <c r="AB260" i="14"/>
  <c r="Q163" i="14"/>
  <c r="Q164" i="14" s="1"/>
  <c r="Q928" i="14"/>
  <c r="Q904" i="14"/>
  <c r="O179" i="14"/>
  <c r="O30" i="14"/>
  <c r="AA781" i="14"/>
  <c r="Q409" i="14"/>
  <c r="Q32" i="14" s="1"/>
  <c r="Q384" i="14"/>
  <c r="Y811" i="14"/>
  <c r="Y824" i="14"/>
  <c r="Z810" i="14" s="1"/>
  <c r="AC362" i="14"/>
  <c r="AC375" i="14"/>
  <c r="AD361" i="14" s="1"/>
  <c r="O926" i="14"/>
  <c r="AB141" i="14"/>
  <c r="AB154" i="14"/>
  <c r="AC140" i="14" s="1"/>
  <c r="N580" i="14"/>
  <c r="N582" i="14" s="1"/>
  <c r="R161" i="14"/>
  <c r="R110" i="14"/>
  <c r="Q394" i="14"/>
  <c r="Q417" i="14" s="1"/>
  <c r="Q418" i="14" s="1"/>
  <c r="Q420" i="14" s="1"/>
  <c r="Q423" i="14" s="1"/>
  <c r="Q49" i="14" s="1"/>
  <c r="Q51" i="14" s="1"/>
  <c r="R392" i="14"/>
  <c r="R331" i="14"/>
  <c r="Q271" i="14"/>
  <c r="R257" i="14" s="1"/>
  <c r="R258" i="14" s="1"/>
  <c r="Q408" i="14"/>
  <c r="Q31" i="14" s="1"/>
  <c r="AD111" i="14"/>
  <c r="AK852" i="14" l="1"/>
  <c r="AK940" i="14" s="1"/>
  <c r="AL853" i="14"/>
  <c r="N940" i="14"/>
  <c r="N568" i="14" s="1"/>
  <c r="N864" i="14"/>
  <c r="O850" i="14" s="1"/>
  <c r="O851" i="14" s="1"/>
  <c r="N941" i="14"/>
  <c r="N569" i="14" s="1"/>
  <c r="N554" i="14"/>
  <c r="N913" i="14"/>
  <c r="M915" i="14"/>
  <c r="M557" i="14" s="1"/>
  <c r="M556" i="14"/>
  <c r="M936" i="14"/>
  <c r="L939" i="14"/>
  <c r="L565" i="14"/>
  <c r="V853" i="14"/>
  <c r="U883" i="14"/>
  <c r="U896" i="14"/>
  <c r="V882" i="14" s="1"/>
  <c r="AA290" i="14"/>
  <c r="AA303" i="14"/>
  <c r="AB289" i="14" s="1"/>
  <c r="AB781" i="14"/>
  <c r="Q905" i="14"/>
  <c r="P176" i="14"/>
  <c r="P28" i="14"/>
  <c r="Q395" i="14"/>
  <c r="R162" i="14"/>
  <c r="R178" i="14"/>
  <c r="O929" i="14"/>
  <c r="Q385" i="14"/>
  <c r="Q404" i="14" s="1"/>
  <c r="Q405" i="14" s="1"/>
  <c r="Q407" i="14" s="1"/>
  <c r="Q410" i="14" s="1"/>
  <c r="Q44" i="14" s="1"/>
  <c r="Q46" i="14" s="1"/>
  <c r="R422" i="14"/>
  <c r="R393" i="14"/>
  <c r="P924" i="14"/>
  <c r="Q18" i="14"/>
  <c r="AD332" i="14"/>
  <c r="O39" i="14"/>
  <c r="O41" i="14" s="1"/>
  <c r="O33" i="14"/>
  <c r="AD362" i="14"/>
  <c r="AD375" i="14"/>
  <c r="AE361" i="14" s="1"/>
  <c r="Q173" i="14"/>
  <c r="R903" i="14"/>
  <c r="R780" i="14"/>
  <c r="R383" i="14"/>
  <c r="R17" i="14" s="1"/>
  <c r="R259" i="14"/>
  <c r="AC141" i="14"/>
  <c r="AC154" i="14"/>
  <c r="AD140" i="14" s="1"/>
  <c r="R177" i="14"/>
  <c r="R122" i="14"/>
  <c r="S108" i="14" s="1"/>
  <c r="S109" i="14" s="1"/>
  <c r="AE111" i="14"/>
  <c r="R421" i="14"/>
  <c r="R343" i="14"/>
  <c r="S329" i="14" s="1"/>
  <c r="S330" i="14" s="1"/>
  <c r="Z811" i="14"/>
  <c r="Z824" i="14"/>
  <c r="AA810" i="14" s="1"/>
  <c r="AC260" i="14"/>
  <c r="N555" i="14" l="1"/>
  <c r="N914" i="14"/>
  <c r="W853" i="14"/>
  <c r="L567" i="14"/>
  <c r="L942" i="14"/>
  <c r="M564" i="14"/>
  <c r="M937" i="14"/>
  <c r="O912" i="14"/>
  <c r="O852" i="14"/>
  <c r="AL852" i="14"/>
  <c r="AL940" i="14" s="1"/>
  <c r="AM853" i="14"/>
  <c r="V883" i="14"/>
  <c r="V896" i="14"/>
  <c r="W882" i="14" s="1"/>
  <c r="AB303" i="14"/>
  <c r="AC289" i="14" s="1"/>
  <c r="AB290" i="14"/>
  <c r="Q19" i="14"/>
  <c r="Q386" i="14"/>
  <c r="Q20" i="14" s="1"/>
  <c r="R163" i="14"/>
  <c r="R928" i="14"/>
  <c r="R904" i="14"/>
  <c r="R384" i="14"/>
  <c r="R409" i="14"/>
  <c r="R32" i="14" s="1"/>
  <c r="AE332" i="14"/>
  <c r="R271" i="14"/>
  <c r="S257" i="14" s="1"/>
  <c r="S258" i="14" s="1"/>
  <c r="R408" i="14"/>
  <c r="R31" i="14" s="1"/>
  <c r="R927" i="14"/>
  <c r="R792" i="14"/>
  <c r="S778" i="14" s="1"/>
  <c r="S779" i="14" s="1"/>
  <c r="Q174" i="14"/>
  <c r="Q27" i="14"/>
  <c r="P926" i="14"/>
  <c r="AD260" i="14"/>
  <c r="R394" i="14"/>
  <c r="R417" i="14" s="1"/>
  <c r="R418" i="14" s="1"/>
  <c r="R420" i="14" s="1"/>
  <c r="R423" i="14" s="1"/>
  <c r="R49" i="14" s="1"/>
  <c r="R51" i="14" s="1"/>
  <c r="AD141" i="14"/>
  <c r="AD154" i="14"/>
  <c r="AE140" i="14" s="1"/>
  <c r="AA811" i="14"/>
  <c r="AA824" i="14"/>
  <c r="AB810" i="14" s="1"/>
  <c r="AE362" i="14"/>
  <c r="AE375" i="14"/>
  <c r="AF361" i="14" s="1"/>
  <c r="S392" i="14"/>
  <c r="S331" i="14"/>
  <c r="AF111" i="14"/>
  <c r="AC781" i="14"/>
  <c r="P179" i="14"/>
  <c r="P30" i="14"/>
  <c r="Q906" i="14"/>
  <c r="Q923" i="14"/>
  <c r="S161" i="14"/>
  <c r="S110" i="14"/>
  <c r="O580" i="14"/>
  <c r="O582" i="14" s="1"/>
  <c r="O940" i="14" l="1"/>
  <c r="O568" i="14" s="1"/>
  <c r="O864" i="14"/>
  <c r="P850" i="14" s="1"/>
  <c r="P851" i="14" s="1"/>
  <c r="L585" i="14"/>
  <c r="L587" i="14" s="1"/>
  <c r="L570" i="14"/>
  <c r="X853" i="14"/>
  <c r="AM852" i="14"/>
  <c r="AM940" i="14" s="1"/>
  <c r="AN853" i="14"/>
  <c r="N915" i="14"/>
  <c r="N557" i="14" s="1"/>
  <c r="N556" i="14"/>
  <c r="N936" i="14"/>
  <c r="O941" i="14"/>
  <c r="O569" i="14" s="1"/>
  <c r="O913" i="14"/>
  <c r="O554" i="14"/>
  <c r="M939" i="14"/>
  <c r="M565" i="14"/>
  <c r="W883" i="14"/>
  <c r="W896" i="14"/>
  <c r="X882" i="14" s="1"/>
  <c r="AC290" i="14"/>
  <c r="AC303" i="14"/>
  <c r="AD289" i="14" s="1"/>
  <c r="S383" i="14"/>
  <c r="S17" i="14" s="1"/>
  <c r="S259" i="14"/>
  <c r="R385" i="14"/>
  <c r="R404" i="14" s="1"/>
  <c r="R405" i="14" s="1"/>
  <c r="R407" i="14" s="1"/>
  <c r="R410" i="14" s="1"/>
  <c r="R44" i="14" s="1"/>
  <c r="R46" i="14" s="1"/>
  <c r="S422" i="14"/>
  <c r="S393" i="14"/>
  <c r="S394" i="14" s="1"/>
  <c r="AG111" i="14"/>
  <c r="AE141" i="14"/>
  <c r="AE154" i="14"/>
  <c r="AF140" i="14" s="1"/>
  <c r="AE260" i="14"/>
  <c r="S177" i="14"/>
  <c r="S122" i="14"/>
  <c r="T108" i="14" s="1"/>
  <c r="T109" i="14" s="1"/>
  <c r="R395" i="14"/>
  <c r="AD781" i="14"/>
  <c r="AF362" i="14"/>
  <c r="AF375" i="14"/>
  <c r="AG361" i="14" s="1"/>
  <c r="S421" i="14"/>
  <c r="S343" i="14"/>
  <c r="T329" i="14" s="1"/>
  <c r="T330" i="14" s="1"/>
  <c r="Q924" i="14"/>
  <c r="P39" i="14"/>
  <c r="P41" i="14" s="1"/>
  <c r="P33" i="14"/>
  <c r="Q176" i="14"/>
  <c r="Q28" i="14"/>
  <c r="R18" i="14"/>
  <c r="S162" i="14"/>
  <c r="S178" i="14"/>
  <c r="P929" i="14"/>
  <c r="AB811" i="14"/>
  <c r="AB824" i="14"/>
  <c r="AC810" i="14" s="1"/>
  <c r="S903" i="14"/>
  <c r="S780" i="14"/>
  <c r="R173" i="14"/>
  <c r="AF332" i="14"/>
  <c r="R905" i="14"/>
  <c r="R164" i="14"/>
  <c r="AN852" i="14" l="1"/>
  <c r="AN940" i="14" s="1"/>
  <c r="AO853" i="14"/>
  <c r="O555" i="14"/>
  <c r="O914" i="14"/>
  <c r="N937" i="14"/>
  <c r="N564" i="14"/>
  <c r="M942" i="14"/>
  <c r="M567" i="14"/>
  <c r="P912" i="14"/>
  <c r="P852" i="14"/>
  <c r="X883" i="14"/>
  <c r="X896" i="14"/>
  <c r="Y882" i="14" s="1"/>
  <c r="R386" i="14"/>
  <c r="R20" i="14" s="1"/>
  <c r="R19" i="14"/>
  <c r="AD290" i="14"/>
  <c r="AD303" i="14"/>
  <c r="AE289" i="14" s="1"/>
  <c r="R906" i="14"/>
  <c r="R923" i="14"/>
  <c r="AE781" i="14"/>
  <c r="S395" i="14"/>
  <c r="S417" i="14"/>
  <c r="S418" i="14" s="1"/>
  <c r="S420" i="14" s="1"/>
  <c r="S423" i="14" s="1"/>
  <c r="S49" i="14" s="1"/>
  <c r="S51" i="14" s="1"/>
  <c r="AH111" i="14"/>
  <c r="AI111" i="14" s="1"/>
  <c r="AJ111" i="14" s="1"/>
  <c r="AK111" i="14" s="1"/>
  <c r="S163" i="14"/>
  <c r="T161" i="14"/>
  <c r="T110" i="14"/>
  <c r="R174" i="14"/>
  <c r="R27" i="14"/>
  <c r="S928" i="14"/>
  <c r="S904" i="14"/>
  <c r="Q179" i="14"/>
  <c r="Q30" i="14"/>
  <c r="T392" i="14"/>
  <c r="T331" i="14"/>
  <c r="AF141" i="14"/>
  <c r="AF154" i="14"/>
  <c r="AG140" i="14" s="1"/>
  <c r="AG332" i="14"/>
  <c r="S927" i="14"/>
  <c r="S792" i="14"/>
  <c r="T778" i="14" s="1"/>
  <c r="T779" i="14" s="1"/>
  <c r="Q926" i="14"/>
  <c r="AF260" i="14"/>
  <c r="S271" i="14"/>
  <c r="T257" i="14" s="1"/>
  <c r="T258" i="14" s="1"/>
  <c r="S408" i="14"/>
  <c r="S31" i="14" s="1"/>
  <c r="AC811" i="14"/>
  <c r="AC824" i="14"/>
  <c r="AD810" i="14" s="1"/>
  <c r="P580" i="14"/>
  <c r="P582" i="14" s="1"/>
  <c r="AG362" i="14"/>
  <c r="AG375" i="14"/>
  <c r="AH361" i="14" s="1"/>
  <c r="S384" i="14"/>
  <c r="S409" i="14"/>
  <c r="S32" i="14" s="1"/>
  <c r="P940" i="14" l="1"/>
  <c r="P568" i="14" s="1"/>
  <c r="P864" i="14"/>
  <c r="Q850" i="14" s="1"/>
  <c r="Q851" i="14" s="1"/>
  <c r="M585" i="14"/>
  <c r="M587" i="14" s="1"/>
  <c r="M570" i="14"/>
  <c r="O556" i="14"/>
  <c r="O936" i="14"/>
  <c r="P913" i="14"/>
  <c r="P941" i="14"/>
  <c r="P569" i="14" s="1"/>
  <c r="P554" i="14"/>
  <c r="O915" i="14"/>
  <c r="O557" i="14" s="1"/>
  <c r="AO852" i="14"/>
  <c r="AO940" i="14" s="1"/>
  <c r="AP853" i="14"/>
  <c r="N939" i="14"/>
  <c r="N565" i="14"/>
  <c r="Y883" i="14"/>
  <c r="Y896" i="14"/>
  <c r="Z882" i="14" s="1"/>
  <c r="AL111" i="14"/>
  <c r="AE290" i="14"/>
  <c r="AE303" i="14"/>
  <c r="AF289" i="14" s="1"/>
  <c r="S385" i="14"/>
  <c r="S404" i="14" s="1"/>
  <c r="S405" i="14" s="1"/>
  <c r="S407" i="14" s="1"/>
  <c r="S410" i="14" s="1"/>
  <c r="S44" i="14" s="1"/>
  <c r="S46" i="14" s="1"/>
  <c r="T178" i="14"/>
  <c r="T162" i="14"/>
  <c r="T393" i="14"/>
  <c r="T422" i="14"/>
  <c r="R176" i="14"/>
  <c r="R28" i="14"/>
  <c r="AH332" i="14"/>
  <c r="AI332" i="14" s="1"/>
  <c r="AJ332" i="14" s="1"/>
  <c r="AK332" i="14" s="1"/>
  <c r="AG141" i="14"/>
  <c r="AG154" i="14"/>
  <c r="AH140" i="14" s="1"/>
  <c r="T383" i="14"/>
  <c r="T17" i="14" s="1"/>
  <c r="T259" i="14"/>
  <c r="T122" i="14"/>
  <c r="U108" i="14" s="1"/>
  <c r="U109" i="14" s="1"/>
  <c r="T177" i="14"/>
  <c r="AD811" i="14"/>
  <c r="AD824" i="14"/>
  <c r="AE810" i="14" s="1"/>
  <c r="AG260" i="14"/>
  <c r="S18" i="14"/>
  <c r="T903" i="14"/>
  <c r="T780" i="14"/>
  <c r="AF781" i="14"/>
  <c r="S164" i="14"/>
  <c r="S173" i="14"/>
  <c r="AH362" i="14"/>
  <c r="AH375" i="14"/>
  <c r="AI361" i="14" s="1"/>
  <c r="T421" i="14"/>
  <c r="T343" i="14"/>
  <c r="U329" i="14" s="1"/>
  <c r="U330" i="14" s="1"/>
  <c r="R924" i="14"/>
  <c r="S905" i="14"/>
  <c r="Q39" i="14"/>
  <c r="Q41" i="14" s="1"/>
  <c r="Q33" i="14"/>
  <c r="Q929" i="14"/>
  <c r="AP852" i="14" l="1"/>
  <c r="AP940" i="14" s="1"/>
  <c r="AQ853" i="14"/>
  <c r="P555" i="14"/>
  <c r="P914" i="14"/>
  <c r="P915" i="14" s="1"/>
  <c r="P557" i="14" s="1"/>
  <c r="Q912" i="14"/>
  <c r="Q852" i="14"/>
  <c r="N942" i="14"/>
  <c r="N567" i="14"/>
  <c r="O564" i="14"/>
  <c r="O937" i="14"/>
  <c r="Z883" i="14"/>
  <c r="Z896" i="14"/>
  <c r="AA882" i="14" s="1"/>
  <c r="AL332" i="14"/>
  <c r="AM111" i="14"/>
  <c r="AF303" i="14"/>
  <c r="AG289" i="14" s="1"/>
  <c r="AF290" i="14"/>
  <c r="S19" i="14"/>
  <c r="S386" i="14"/>
  <c r="S20" i="14" s="1"/>
  <c r="R926" i="14"/>
  <c r="U161" i="14"/>
  <c r="U110" i="14"/>
  <c r="AG781" i="14"/>
  <c r="U392" i="14"/>
  <c r="U331" i="14"/>
  <c r="R179" i="14"/>
  <c r="R30" i="14"/>
  <c r="S174" i="14"/>
  <c r="S27" i="14"/>
  <c r="AH260" i="14"/>
  <c r="AI260" i="14" s="1"/>
  <c r="AJ260" i="14" s="1"/>
  <c r="AK260" i="14" s="1"/>
  <c r="AI362" i="14"/>
  <c r="AI375" i="14"/>
  <c r="AJ361" i="14" s="1"/>
  <c r="T394" i="14"/>
  <c r="T417" i="14" s="1"/>
  <c r="T418" i="14" s="1"/>
  <c r="T420" i="14" s="1"/>
  <c r="T423" i="14" s="1"/>
  <c r="T49" i="14" s="1"/>
  <c r="T51" i="14" s="1"/>
  <c r="T792" i="14"/>
  <c r="U778" i="14" s="1"/>
  <c r="U779" i="14" s="1"/>
  <c r="T927" i="14"/>
  <c r="T409" i="14"/>
  <c r="T32" i="14" s="1"/>
  <c r="T384" i="14"/>
  <c r="T18" i="14" s="1"/>
  <c r="Q580" i="14"/>
  <c r="Q582" i="14" s="1"/>
  <c r="T408" i="14"/>
  <c r="T31" i="14" s="1"/>
  <c r="T271" i="14"/>
  <c r="U257" i="14" s="1"/>
  <c r="U258" i="14" s="1"/>
  <c r="S906" i="14"/>
  <c r="S923" i="14"/>
  <c r="T928" i="14"/>
  <c r="T904" i="14"/>
  <c r="AH141" i="14"/>
  <c r="AH154" i="14"/>
  <c r="AI140" i="14" s="1"/>
  <c r="AE811" i="14"/>
  <c r="AE824" i="14"/>
  <c r="AF810" i="14" s="1"/>
  <c r="T163" i="14"/>
  <c r="N585" i="14" l="1"/>
  <c r="N587" i="14" s="1"/>
  <c r="N570" i="14"/>
  <c r="Q941" i="14"/>
  <c r="Q569" i="14" s="1"/>
  <c r="Q554" i="14"/>
  <c r="Q913" i="14"/>
  <c r="O939" i="14"/>
  <c r="O565" i="14"/>
  <c r="Q940" i="14"/>
  <c r="Q568" i="14" s="1"/>
  <c r="Q864" i="14"/>
  <c r="R850" i="14" s="1"/>
  <c r="R851" i="14" s="1"/>
  <c r="P936" i="14"/>
  <c r="P556" i="14"/>
  <c r="AQ852" i="14"/>
  <c r="AQ940" i="14" s="1"/>
  <c r="AR853" i="14"/>
  <c r="AA883" i="14"/>
  <c r="AA896" i="14"/>
  <c r="AB882" i="14" s="1"/>
  <c r="AL260" i="14"/>
  <c r="AN111" i="14"/>
  <c r="AM332" i="14"/>
  <c r="AG303" i="14"/>
  <c r="AH289" i="14" s="1"/>
  <c r="AG290" i="14"/>
  <c r="U122" i="14"/>
  <c r="V108" i="14" s="1"/>
  <c r="V109" i="14" s="1"/>
  <c r="U177" i="14"/>
  <c r="U178" i="14"/>
  <c r="U162" i="14"/>
  <c r="R39" i="14"/>
  <c r="R41" i="14" s="1"/>
  <c r="R33" i="14"/>
  <c r="S924" i="14"/>
  <c r="AJ362" i="14"/>
  <c r="AJ375" i="14"/>
  <c r="AK361" i="14" s="1"/>
  <c r="S176" i="14"/>
  <c r="S28" i="14"/>
  <c r="U383" i="14"/>
  <c r="U17" i="14" s="1"/>
  <c r="U259" i="14"/>
  <c r="R929" i="14"/>
  <c r="T385" i="14"/>
  <c r="T404" i="14" s="1"/>
  <c r="T405" i="14" s="1"/>
  <c r="T407" i="14" s="1"/>
  <c r="T410" i="14" s="1"/>
  <c r="T44" i="14" s="1"/>
  <c r="T46" i="14" s="1"/>
  <c r="AH781" i="14"/>
  <c r="AI781" i="14" s="1"/>
  <c r="AJ781" i="14" s="1"/>
  <c r="AK781" i="14" s="1"/>
  <c r="T164" i="14"/>
  <c r="T173" i="14"/>
  <c r="AI141" i="14"/>
  <c r="AI154" i="14"/>
  <c r="AJ140" i="14" s="1"/>
  <c r="T905" i="14"/>
  <c r="T906" i="14" s="1"/>
  <c r="AF811" i="14"/>
  <c r="AF824" i="14"/>
  <c r="AG810" i="14" s="1"/>
  <c r="U903" i="14"/>
  <c r="U780" i="14"/>
  <c r="U343" i="14"/>
  <c r="V329" i="14" s="1"/>
  <c r="V330" i="14" s="1"/>
  <c r="U421" i="14"/>
  <c r="T395" i="14"/>
  <c r="U393" i="14"/>
  <c r="U394" i="14" s="1"/>
  <c r="U422" i="14"/>
  <c r="P937" i="14" l="1"/>
  <c r="P564" i="14"/>
  <c r="O567" i="14"/>
  <c r="O942" i="14"/>
  <c r="R912" i="14"/>
  <c r="R852" i="14"/>
  <c r="Q555" i="14"/>
  <c r="Q914" i="14"/>
  <c r="Q915" i="14" s="1"/>
  <c r="Q557" i="14" s="1"/>
  <c r="AR852" i="14"/>
  <c r="AR940" i="14" s="1"/>
  <c r="AS853" i="14"/>
  <c r="AB883" i="14"/>
  <c r="AB896" i="14"/>
  <c r="AC882" i="14" s="1"/>
  <c r="AN332" i="14"/>
  <c r="AO111" i="14"/>
  <c r="AL781" i="14"/>
  <c r="AM260" i="14"/>
  <c r="AH290" i="14"/>
  <c r="AH303" i="14"/>
  <c r="AI289" i="14" s="1"/>
  <c r="U395" i="14"/>
  <c r="U417" i="14"/>
  <c r="U418" i="14" s="1"/>
  <c r="U420" i="14" s="1"/>
  <c r="U423" i="14" s="1"/>
  <c r="U49" i="14" s="1"/>
  <c r="U51" i="14" s="1"/>
  <c r="S926" i="14"/>
  <c r="V161" i="14"/>
  <c r="V110" i="14"/>
  <c r="AG811" i="14"/>
  <c r="AG824" i="14"/>
  <c r="AH810" i="14" s="1"/>
  <c r="T386" i="14"/>
  <c r="T20" i="14" s="1"/>
  <c r="R580" i="14"/>
  <c r="R582" i="14" s="1"/>
  <c r="T923" i="14"/>
  <c r="U163" i="14"/>
  <c r="V392" i="14"/>
  <c r="V331" i="14"/>
  <c r="AK362" i="14"/>
  <c r="AK375" i="14"/>
  <c r="AL361" i="14" s="1"/>
  <c r="AJ141" i="14"/>
  <c r="AJ154" i="14"/>
  <c r="AK140" i="14" s="1"/>
  <c r="T19" i="14"/>
  <c r="S179" i="14"/>
  <c r="S30" i="14"/>
  <c r="U792" i="14"/>
  <c r="V778" i="14" s="1"/>
  <c r="V779" i="14" s="1"/>
  <c r="U927" i="14"/>
  <c r="U271" i="14"/>
  <c r="V257" i="14" s="1"/>
  <c r="V258" i="14" s="1"/>
  <c r="U408" i="14"/>
  <c r="U31" i="14" s="1"/>
  <c r="U409" i="14"/>
  <c r="U32" i="14" s="1"/>
  <c r="U384" i="14"/>
  <c r="U18" i="14" s="1"/>
  <c r="T174" i="14"/>
  <c r="T27" i="14"/>
  <c r="U928" i="14"/>
  <c r="U904" i="14"/>
  <c r="R913" i="14" l="1"/>
  <c r="R941" i="14"/>
  <c r="R569" i="14" s="1"/>
  <c r="R554" i="14"/>
  <c r="R940" i="14"/>
  <c r="R568" i="14" s="1"/>
  <c r="R864" i="14"/>
  <c r="S850" i="14" s="1"/>
  <c r="S851" i="14" s="1"/>
  <c r="O585" i="14"/>
  <c r="O587" i="14" s="1"/>
  <c r="O570" i="14"/>
  <c r="Q936" i="14"/>
  <c r="Q556" i="14"/>
  <c r="AS852" i="14"/>
  <c r="AS940" i="14" s="1"/>
  <c r="AT853" i="14"/>
  <c r="P939" i="14"/>
  <c r="P565" i="14"/>
  <c r="AC883" i="14"/>
  <c r="AC896" i="14"/>
  <c r="AD882" i="14" s="1"/>
  <c r="AM781" i="14"/>
  <c r="AP111" i="14"/>
  <c r="AN260" i="14"/>
  <c r="AO332" i="14"/>
  <c r="AI303" i="14"/>
  <c r="AJ289" i="14" s="1"/>
  <c r="AI290" i="14"/>
  <c r="V122" i="14"/>
  <c r="W108" i="14" s="1"/>
  <c r="W109" i="14" s="1"/>
  <c r="V177" i="14"/>
  <c r="V383" i="14"/>
  <c r="V17" i="14" s="1"/>
  <c r="V259" i="14"/>
  <c r="V162" i="14"/>
  <c r="V178" i="14"/>
  <c r="V422" i="14"/>
  <c r="V393" i="14"/>
  <c r="V394" i="14" s="1"/>
  <c r="V343" i="14"/>
  <c r="W329" i="14" s="1"/>
  <c r="W330" i="14" s="1"/>
  <c r="V421" i="14"/>
  <c r="U905" i="14"/>
  <c r="S929" i="14"/>
  <c r="AL362" i="14"/>
  <c r="AL375" i="14"/>
  <c r="AM361" i="14" s="1"/>
  <c r="U164" i="14"/>
  <c r="U173" i="14"/>
  <c r="U385" i="14"/>
  <c r="U404" i="14" s="1"/>
  <c r="U405" i="14" s="1"/>
  <c r="U407" i="14" s="1"/>
  <c r="U410" i="14" s="1"/>
  <c r="U44" i="14" s="1"/>
  <c r="U46" i="14" s="1"/>
  <c r="AH811" i="14"/>
  <c r="AH824" i="14"/>
  <c r="AI810" i="14" s="1"/>
  <c r="T176" i="14"/>
  <c r="T28" i="14"/>
  <c r="S39" i="14"/>
  <c r="S41" i="14" s="1"/>
  <c r="S33" i="14"/>
  <c r="AK141" i="14"/>
  <c r="AK154" i="14"/>
  <c r="AL140" i="14" s="1"/>
  <c r="T924" i="14"/>
  <c r="V903" i="14"/>
  <c r="V780" i="14"/>
  <c r="AT852" i="14" l="1"/>
  <c r="AT940" i="14" s="1"/>
  <c r="AU853" i="14"/>
  <c r="S912" i="14"/>
  <c r="S852" i="14"/>
  <c r="P942" i="14"/>
  <c r="P567" i="14"/>
  <c r="Q937" i="14"/>
  <c r="Q564" i="14"/>
  <c r="R914" i="14"/>
  <c r="R915" i="14" s="1"/>
  <c r="R557" i="14" s="1"/>
  <c r="R555" i="14"/>
  <c r="AD883" i="14"/>
  <c r="AD896" i="14"/>
  <c r="AE882" i="14" s="1"/>
  <c r="AP332" i="14"/>
  <c r="AO260" i="14"/>
  <c r="AQ111" i="14"/>
  <c r="AN781" i="14"/>
  <c r="AJ290" i="14"/>
  <c r="AJ303" i="14"/>
  <c r="AK289" i="14" s="1"/>
  <c r="T926" i="14"/>
  <c r="V395" i="14"/>
  <c r="V417" i="14"/>
  <c r="V418" i="14" s="1"/>
  <c r="V420" i="14" s="1"/>
  <c r="V423" i="14" s="1"/>
  <c r="V49" i="14" s="1"/>
  <c r="V51" i="14" s="1"/>
  <c r="AM362" i="14"/>
  <c r="AM375" i="14"/>
  <c r="AN361" i="14" s="1"/>
  <c r="V409" i="14"/>
  <c r="V32" i="14" s="1"/>
  <c r="V384" i="14"/>
  <c r="W392" i="14"/>
  <c r="W331" i="14"/>
  <c r="U19" i="14"/>
  <c r="T179" i="14"/>
  <c r="T30" i="14"/>
  <c r="V408" i="14"/>
  <c r="V31" i="14" s="1"/>
  <c r="V271" i="14"/>
  <c r="W257" i="14" s="1"/>
  <c r="W258" i="14" s="1"/>
  <c r="V904" i="14"/>
  <c r="V928" i="14"/>
  <c r="U906" i="14"/>
  <c r="U923" i="14"/>
  <c r="U386" i="14"/>
  <c r="U20" i="14" s="1"/>
  <c r="U174" i="14"/>
  <c r="U27" i="14"/>
  <c r="V163" i="14"/>
  <c r="V164" i="14" s="1"/>
  <c r="V792" i="14"/>
  <c r="W778" i="14" s="1"/>
  <c r="W779" i="14" s="1"/>
  <c r="V927" i="14"/>
  <c r="AI811" i="14"/>
  <c r="AI824" i="14"/>
  <c r="AJ810" i="14" s="1"/>
  <c r="AL141" i="14"/>
  <c r="AL154" i="14"/>
  <c r="AM140" i="14" s="1"/>
  <c r="S580" i="14"/>
  <c r="S582" i="14" s="1"/>
  <c r="W161" i="14"/>
  <c r="W110" i="14"/>
  <c r="R936" i="14" l="1"/>
  <c r="R556" i="14"/>
  <c r="Q939" i="14"/>
  <c r="Q565" i="14"/>
  <c r="P585" i="14"/>
  <c r="P587" i="14" s="1"/>
  <c r="P570" i="14"/>
  <c r="S940" i="14"/>
  <c r="S568" i="14" s="1"/>
  <c r="S864" i="14"/>
  <c r="T850" i="14" s="1"/>
  <c r="T851" i="14" s="1"/>
  <c r="S941" i="14"/>
  <c r="S569" i="14" s="1"/>
  <c r="S913" i="14"/>
  <c r="S554" i="14"/>
  <c r="AU852" i="14"/>
  <c r="AU940" i="14" s="1"/>
  <c r="AV853" i="14"/>
  <c r="AE883" i="14"/>
  <c r="AE896" i="14"/>
  <c r="AF882" i="14" s="1"/>
  <c r="AR111" i="14"/>
  <c r="AO781" i="14"/>
  <c r="AP260" i="14"/>
  <c r="AQ332" i="14"/>
  <c r="AK290" i="14"/>
  <c r="AK303" i="14"/>
  <c r="AL289" i="14" s="1"/>
  <c r="AN362" i="14"/>
  <c r="AN375" i="14"/>
  <c r="AO361" i="14" s="1"/>
  <c r="W178" i="14"/>
  <c r="W162" i="14"/>
  <c r="U924" i="14"/>
  <c r="W421" i="14"/>
  <c r="W343" i="14"/>
  <c r="X329" i="14" s="1"/>
  <c r="X330" i="14" s="1"/>
  <c r="W383" i="14"/>
  <c r="W17" i="14" s="1"/>
  <c r="W259" i="14"/>
  <c r="W393" i="14"/>
  <c r="W422" i="14"/>
  <c r="V905" i="14"/>
  <c r="V906" i="14" s="1"/>
  <c r="V173" i="14"/>
  <c r="AJ811" i="14"/>
  <c r="AJ824" i="14"/>
  <c r="AK810" i="14" s="1"/>
  <c r="T39" i="14"/>
  <c r="T41" i="14" s="1"/>
  <c r="T33" i="14"/>
  <c r="W903" i="14"/>
  <c r="W780" i="14"/>
  <c r="V385" i="14"/>
  <c r="V404" i="14" s="1"/>
  <c r="V405" i="14" s="1"/>
  <c r="V407" i="14" s="1"/>
  <c r="V410" i="14" s="1"/>
  <c r="V44" i="14" s="1"/>
  <c r="V46" i="14" s="1"/>
  <c r="T929" i="14"/>
  <c r="W122" i="14"/>
  <c r="X108" i="14" s="1"/>
  <c r="X109" i="14" s="1"/>
  <c r="W177" i="14"/>
  <c r="V18" i="14"/>
  <c r="U176" i="14"/>
  <c r="U28" i="14"/>
  <c r="AM141" i="14"/>
  <c r="AM154" i="14"/>
  <c r="AN140" i="14" s="1"/>
  <c r="T912" i="14" l="1"/>
  <c r="T852" i="14"/>
  <c r="AV852" i="14"/>
  <c r="AV940" i="14" s="1"/>
  <c r="AW853" i="14"/>
  <c r="Q942" i="14"/>
  <c r="Q567" i="14"/>
  <c r="S914" i="14"/>
  <c r="S915" i="14" s="1"/>
  <c r="S557" i="14" s="1"/>
  <c r="S555" i="14"/>
  <c r="R937" i="14"/>
  <c r="R564" i="14"/>
  <c r="AF883" i="14"/>
  <c r="AF896" i="14"/>
  <c r="AG882" i="14" s="1"/>
  <c r="AR332" i="14"/>
  <c r="AQ260" i="14"/>
  <c r="AP781" i="14"/>
  <c r="AS111" i="14"/>
  <c r="V19" i="14"/>
  <c r="V386" i="14"/>
  <c r="V20" i="14" s="1"/>
  <c r="AL303" i="14"/>
  <c r="AM289" i="14" s="1"/>
  <c r="AL290" i="14"/>
  <c r="X161" i="14"/>
  <c r="X110" i="14"/>
  <c r="V174" i="14"/>
  <c r="V27" i="14"/>
  <c r="X392" i="14"/>
  <c r="X331" i="14"/>
  <c r="AN141" i="14"/>
  <c r="AN154" i="14"/>
  <c r="AO140" i="14" s="1"/>
  <c r="W792" i="14"/>
  <c r="X778" i="14" s="1"/>
  <c r="X779" i="14" s="1"/>
  <c r="W927" i="14"/>
  <c r="V923" i="14"/>
  <c r="W928" i="14"/>
  <c r="W904" i="14"/>
  <c r="W384" i="14"/>
  <c r="W18" i="14" s="1"/>
  <c r="W409" i="14"/>
  <c r="W32" i="14" s="1"/>
  <c r="AK811" i="14"/>
  <c r="AK824" i="14"/>
  <c r="AL810" i="14" s="1"/>
  <c r="W394" i="14"/>
  <c r="W417" i="14" s="1"/>
  <c r="W418" i="14" s="1"/>
  <c r="W420" i="14" s="1"/>
  <c r="W423" i="14" s="1"/>
  <c r="W49" i="14" s="1"/>
  <c r="W51" i="14" s="1"/>
  <c r="W163" i="14"/>
  <c r="W164" i="14" s="1"/>
  <c r="W271" i="14"/>
  <c r="X257" i="14" s="1"/>
  <c r="X258" i="14" s="1"/>
  <c r="W408" i="14"/>
  <c r="W31" i="14" s="1"/>
  <c r="U179" i="14"/>
  <c r="U30" i="14"/>
  <c r="AO362" i="14"/>
  <c r="AO375" i="14"/>
  <c r="AP361" i="14" s="1"/>
  <c r="T580" i="14"/>
  <c r="T582" i="14" s="1"/>
  <c r="U926" i="14"/>
  <c r="Q585" i="14" l="1"/>
  <c r="Q587" i="14" s="1"/>
  <c r="Q570" i="14"/>
  <c r="AW852" i="14"/>
  <c r="AW940" i="14" s="1"/>
  <c r="AX853" i="14"/>
  <c r="T940" i="14"/>
  <c r="T568" i="14" s="1"/>
  <c r="T864" i="14"/>
  <c r="U850" i="14" s="1"/>
  <c r="U851" i="14" s="1"/>
  <c r="R939" i="14"/>
  <c r="R565" i="14"/>
  <c r="S936" i="14"/>
  <c r="S556" i="14"/>
  <c r="T941" i="14"/>
  <c r="T569" i="14" s="1"/>
  <c r="T913" i="14"/>
  <c r="T554" i="14"/>
  <c r="AG883" i="14"/>
  <c r="AG896" i="14"/>
  <c r="AH882" i="14" s="1"/>
  <c r="AT111" i="14"/>
  <c r="AQ781" i="14"/>
  <c r="AR260" i="14"/>
  <c r="AS332" i="14"/>
  <c r="W395" i="14"/>
  <c r="AM290" i="14"/>
  <c r="AM303" i="14"/>
  <c r="AN289" i="14" s="1"/>
  <c r="AP362" i="14"/>
  <c r="AP375" i="14"/>
  <c r="AQ361" i="14" s="1"/>
  <c r="U39" i="14"/>
  <c r="U41" i="14" s="1"/>
  <c r="U33" i="14"/>
  <c r="W905" i="14"/>
  <c r="X343" i="14"/>
  <c r="Y329" i="14" s="1"/>
  <c r="Y330" i="14" s="1"/>
  <c r="X421" i="14"/>
  <c r="X383" i="14"/>
  <c r="X17" i="14" s="1"/>
  <c r="X259" i="14"/>
  <c r="X422" i="14"/>
  <c r="X393" i="14"/>
  <c r="V176" i="14"/>
  <c r="V28" i="14"/>
  <c r="W173" i="14"/>
  <c r="X903" i="14"/>
  <c r="X780" i="14"/>
  <c r="X177" i="14"/>
  <c r="X122" i="14"/>
  <c r="Y108" i="14" s="1"/>
  <c r="Y109" i="14" s="1"/>
  <c r="W385" i="14"/>
  <c r="W404" i="14" s="1"/>
  <c r="W405" i="14" s="1"/>
  <c r="W407" i="14" s="1"/>
  <c r="W410" i="14" s="1"/>
  <c r="W44" i="14" s="1"/>
  <c r="W46" i="14" s="1"/>
  <c r="U929" i="14"/>
  <c r="AO141" i="14"/>
  <c r="AO154" i="14"/>
  <c r="AP140" i="14" s="1"/>
  <c r="X162" i="14"/>
  <c r="X178" i="14"/>
  <c r="V924" i="14"/>
  <c r="AL811" i="14"/>
  <c r="AL824" i="14"/>
  <c r="AM810" i="14" s="1"/>
  <c r="S937" i="14" l="1"/>
  <c r="S564" i="14"/>
  <c r="R942" i="14"/>
  <c r="R567" i="14"/>
  <c r="T914" i="14"/>
  <c r="T915" i="14" s="1"/>
  <c r="T557" i="14" s="1"/>
  <c r="T555" i="14"/>
  <c r="AX852" i="14"/>
  <c r="AX940" i="14" s="1"/>
  <c r="AY853" i="14"/>
  <c r="U912" i="14"/>
  <c r="U852" i="14"/>
  <c r="AH883" i="14"/>
  <c r="AH896" i="14"/>
  <c r="AI882" i="14" s="1"/>
  <c r="AS260" i="14"/>
  <c r="AT332" i="14"/>
  <c r="AR781" i="14"/>
  <c r="AU111" i="14"/>
  <c r="AN290" i="14"/>
  <c r="AN303" i="14"/>
  <c r="AO289" i="14" s="1"/>
  <c r="W386" i="14"/>
  <c r="W20" i="14" s="1"/>
  <c r="W19" i="14"/>
  <c r="W923" i="14"/>
  <c r="X163" i="14"/>
  <c r="X164" i="14" s="1"/>
  <c r="W174" i="14"/>
  <c r="W27" i="14"/>
  <c r="Y161" i="14"/>
  <c r="Y110" i="14"/>
  <c r="X792" i="14"/>
  <c r="Y778" i="14" s="1"/>
  <c r="Y779" i="14" s="1"/>
  <c r="X927" i="14"/>
  <c r="AM811" i="14"/>
  <c r="AM824" i="14"/>
  <c r="AN810" i="14" s="1"/>
  <c r="X271" i="14"/>
  <c r="Y257" i="14" s="1"/>
  <c r="Y258" i="14" s="1"/>
  <c r="X408" i="14"/>
  <c r="X31" i="14" s="1"/>
  <c r="X904" i="14"/>
  <c r="X928" i="14"/>
  <c r="W906" i="14"/>
  <c r="X394" i="14"/>
  <c r="X417" i="14" s="1"/>
  <c r="X418" i="14" s="1"/>
  <c r="X420" i="14" s="1"/>
  <c r="X423" i="14" s="1"/>
  <c r="X49" i="14" s="1"/>
  <c r="X51" i="14" s="1"/>
  <c r="V926" i="14"/>
  <c r="X409" i="14"/>
  <c r="X32" i="14" s="1"/>
  <c r="X384" i="14"/>
  <c r="X18" i="14" s="1"/>
  <c r="AQ362" i="14"/>
  <c r="AQ375" i="14"/>
  <c r="AR361" i="14" s="1"/>
  <c r="Y392" i="14"/>
  <c r="Y331" i="14"/>
  <c r="AP141" i="14"/>
  <c r="AP154" i="14"/>
  <c r="AQ140" i="14" s="1"/>
  <c r="V179" i="14"/>
  <c r="V30" i="14"/>
  <c r="U580" i="14"/>
  <c r="U582" i="14" s="1"/>
  <c r="AY852" i="14" l="1"/>
  <c r="AY940" i="14" s="1"/>
  <c r="AZ853" i="14"/>
  <c r="T936" i="14"/>
  <c r="T556" i="14"/>
  <c r="U941" i="14"/>
  <c r="U569" i="14" s="1"/>
  <c r="U913" i="14"/>
  <c r="U554" i="14"/>
  <c r="R585" i="14"/>
  <c r="R587" i="14" s="1"/>
  <c r="R570" i="14"/>
  <c r="U940" i="14"/>
  <c r="U568" i="14" s="1"/>
  <c r="U864" i="14"/>
  <c r="V850" i="14" s="1"/>
  <c r="V851" i="14" s="1"/>
  <c r="S939" i="14"/>
  <c r="S565" i="14"/>
  <c r="AI883" i="14"/>
  <c r="AI896" i="14"/>
  <c r="AJ882" i="14" s="1"/>
  <c r="AS781" i="14"/>
  <c r="AU332" i="14"/>
  <c r="AV111" i="14"/>
  <c r="AT260" i="14"/>
  <c r="AO290" i="14"/>
  <c r="AO303" i="14"/>
  <c r="AP289" i="14" s="1"/>
  <c r="X395" i="14"/>
  <c r="Y393" i="14"/>
  <c r="Y422" i="14"/>
  <c r="AR362" i="14"/>
  <c r="AR375" i="14"/>
  <c r="AS361" i="14" s="1"/>
  <c r="W176" i="14"/>
  <c r="W28" i="14"/>
  <c r="Y903" i="14"/>
  <c r="Y780" i="14"/>
  <c r="X385" i="14"/>
  <c r="X404" i="14" s="1"/>
  <c r="X405" i="14" s="1"/>
  <c r="X407" i="14" s="1"/>
  <c r="X410" i="14" s="1"/>
  <c r="X44" i="14" s="1"/>
  <c r="X46" i="14" s="1"/>
  <c r="X173" i="14"/>
  <c r="W924" i="14"/>
  <c r="AQ141" i="14"/>
  <c r="AQ154" i="14"/>
  <c r="AR140" i="14" s="1"/>
  <c r="Y162" i="14"/>
  <c r="Y178" i="14"/>
  <c r="AN811" i="14"/>
  <c r="AN824" i="14"/>
  <c r="AO810" i="14" s="1"/>
  <c r="V929" i="14"/>
  <c r="Y383" i="14"/>
  <c r="Y17" i="14" s="1"/>
  <c r="Y259" i="14"/>
  <c r="V39" i="14"/>
  <c r="V41" i="14" s="1"/>
  <c r="V33" i="14"/>
  <c r="Y177" i="14"/>
  <c r="Y122" i="14"/>
  <c r="Z108" i="14" s="1"/>
  <c r="Z109" i="14" s="1"/>
  <c r="X905" i="14"/>
  <c r="Y343" i="14"/>
  <c r="Z329" i="14" s="1"/>
  <c r="Z330" i="14" s="1"/>
  <c r="Y421" i="14"/>
  <c r="S942" i="14" l="1"/>
  <c r="S567" i="14"/>
  <c r="T937" i="14"/>
  <c r="T564" i="14"/>
  <c r="AZ852" i="14"/>
  <c r="AZ940" i="14" s="1"/>
  <c r="BA853" i="14"/>
  <c r="V912" i="14"/>
  <c r="V852" i="14"/>
  <c r="U914" i="14"/>
  <c r="U915" i="14" s="1"/>
  <c r="U557" i="14" s="1"/>
  <c r="U555" i="14"/>
  <c r="AJ883" i="14"/>
  <c r="AJ896" i="14"/>
  <c r="AK882" i="14" s="1"/>
  <c r="AT781" i="14"/>
  <c r="AW111" i="14"/>
  <c r="AU260" i="14"/>
  <c r="AV332" i="14"/>
  <c r="X386" i="14"/>
  <c r="X20" i="14" s="1"/>
  <c r="AP290" i="14"/>
  <c r="AP303" i="14"/>
  <c r="AQ289" i="14" s="1"/>
  <c r="Y792" i="14"/>
  <c r="Z778" i="14" s="1"/>
  <c r="Z779" i="14" s="1"/>
  <c r="Y927" i="14"/>
  <c r="X923" i="14"/>
  <c r="Y384" i="14"/>
  <c r="Y18" i="14" s="1"/>
  <c r="Y409" i="14"/>
  <c r="Y32" i="14" s="1"/>
  <c r="Z161" i="14"/>
  <c r="Z110" i="14"/>
  <c r="AR141" i="14"/>
  <c r="AR154" i="14"/>
  <c r="AS140" i="14" s="1"/>
  <c r="Y904" i="14"/>
  <c r="Y928" i="14"/>
  <c r="W926" i="14"/>
  <c r="AS362" i="14"/>
  <c r="AS375" i="14"/>
  <c r="AT361" i="14" s="1"/>
  <c r="X19" i="14"/>
  <c r="V580" i="14"/>
  <c r="V582" i="14" s="1"/>
  <c r="AO811" i="14"/>
  <c r="AO824" i="14"/>
  <c r="AP810" i="14" s="1"/>
  <c r="X174" i="14"/>
  <c r="X27" i="14"/>
  <c r="Y163" i="14"/>
  <c r="Y408" i="14"/>
  <c r="Y31" i="14" s="1"/>
  <c r="Y271" i="14"/>
  <c r="Z257" i="14" s="1"/>
  <c r="Z258" i="14" s="1"/>
  <c r="W179" i="14"/>
  <c r="W30" i="14"/>
  <c r="Z392" i="14"/>
  <c r="Z331" i="14"/>
  <c r="X906" i="14"/>
  <c r="Y394" i="14"/>
  <c r="Y417" i="14" s="1"/>
  <c r="Y418" i="14" s="1"/>
  <c r="Y420" i="14" s="1"/>
  <c r="Y423" i="14" s="1"/>
  <c r="Y49" i="14" s="1"/>
  <c r="Y51" i="14" s="1"/>
  <c r="V913" i="14" l="1"/>
  <c r="V941" i="14"/>
  <c r="V569" i="14" s="1"/>
  <c r="V554" i="14"/>
  <c r="BA852" i="14"/>
  <c r="BA940" i="14" s="1"/>
  <c r="BB853" i="14"/>
  <c r="V940" i="14"/>
  <c r="V568" i="14" s="1"/>
  <c r="V864" i="14"/>
  <c r="W850" i="14" s="1"/>
  <c r="W851" i="14" s="1"/>
  <c r="U936" i="14"/>
  <c r="U556" i="14"/>
  <c r="T939" i="14"/>
  <c r="T565" i="14"/>
  <c r="S585" i="14"/>
  <c r="S587" i="14" s="1"/>
  <c r="S570" i="14"/>
  <c r="AK883" i="14"/>
  <c r="AK896" i="14"/>
  <c r="AL882" i="14" s="1"/>
  <c r="AW332" i="14"/>
  <c r="AV260" i="14"/>
  <c r="AX111" i="14"/>
  <c r="AU781" i="14"/>
  <c r="AQ303" i="14"/>
  <c r="AR289" i="14" s="1"/>
  <c r="AQ290" i="14"/>
  <c r="Z383" i="14"/>
  <c r="Z17" i="14" s="1"/>
  <c r="Z259" i="14"/>
  <c r="AS141" i="14"/>
  <c r="AS154" i="14"/>
  <c r="AT140" i="14" s="1"/>
  <c r="Z122" i="14"/>
  <c r="AA108" i="14" s="1"/>
  <c r="AA109" i="14" s="1"/>
  <c r="Z177" i="14"/>
  <c r="Y395" i="14"/>
  <c r="AP811" i="14"/>
  <c r="AP824" i="14"/>
  <c r="AQ810" i="14" s="1"/>
  <c r="W929" i="14"/>
  <c r="X924" i="14"/>
  <c r="Z178" i="14"/>
  <c r="Z162" i="14"/>
  <c r="Y164" i="14"/>
  <c r="Y173" i="14"/>
  <c r="Z422" i="14"/>
  <c r="Z393" i="14"/>
  <c r="Y385" i="14"/>
  <c r="Y404" i="14" s="1"/>
  <c r="Y405" i="14" s="1"/>
  <c r="Y407" i="14" s="1"/>
  <c r="Y410" i="14" s="1"/>
  <c r="Y44" i="14" s="1"/>
  <c r="Y46" i="14" s="1"/>
  <c r="X176" i="14"/>
  <c r="X28" i="14"/>
  <c r="AT362" i="14"/>
  <c r="AT375" i="14"/>
  <c r="AU361" i="14" s="1"/>
  <c r="Z343" i="14"/>
  <c r="AA329" i="14" s="1"/>
  <c r="AA330" i="14" s="1"/>
  <c r="Z421" i="14"/>
  <c r="W39" i="14"/>
  <c r="W41" i="14" s="1"/>
  <c r="W33" i="14"/>
  <c r="Y905" i="14"/>
  <c r="Y906" i="14" s="1"/>
  <c r="Z903" i="14"/>
  <c r="Z780" i="14"/>
  <c r="U937" i="14" l="1"/>
  <c r="U564" i="14"/>
  <c r="BB852" i="14"/>
  <c r="BB940" i="14" s="1"/>
  <c r="BC853" i="14"/>
  <c r="W912" i="14"/>
  <c r="W852" i="14"/>
  <c r="T942" i="14"/>
  <c r="T567" i="14"/>
  <c r="V914" i="14"/>
  <c r="V555" i="14"/>
  <c r="AL883" i="14"/>
  <c r="AL896" i="14"/>
  <c r="AM882" i="14" s="1"/>
  <c r="AY111" i="14"/>
  <c r="AV781" i="14"/>
  <c r="AW260" i="14"/>
  <c r="AX332" i="14"/>
  <c r="AR290" i="14"/>
  <c r="AR303" i="14"/>
  <c r="AS289" i="14" s="1"/>
  <c r="Y19" i="14"/>
  <c r="Y386" i="14"/>
  <c r="Y20" i="14" s="1"/>
  <c r="AQ811" i="14"/>
  <c r="AQ824" i="14"/>
  <c r="AR810" i="14" s="1"/>
  <c r="Z927" i="14"/>
  <c r="Z568" i="14" s="1"/>
  <c r="Z792" i="14"/>
  <c r="AA778" i="14" s="1"/>
  <c r="AA779" i="14" s="1"/>
  <c r="AT141" i="14"/>
  <c r="AT154" i="14"/>
  <c r="AU140" i="14" s="1"/>
  <c r="Z394" i="14"/>
  <c r="Z417" i="14" s="1"/>
  <c r="Z418" i="14" s="1"/>
  <c r="Z420" i="14" s="1"/>
  <c r="Z423" i="14" s="1"/>
  <c r="Z49" i="14" s="1"/>
  <c r="Z51" i="14" s="1"/>
  <c r="Z163" i="14"/>
  <c r="AU362" i="14"/>
  <c r="AU375" i="14"/>
  <c r="AV361" i="14" s="1"/>
  <c r="X179" i="14"/>
  <c r="X30" i="14"/>
  <c r="X926" i="14"/>
  <c r="AA392" i="14"/>
  <c r="AA331" i="14"/>
  <c r="Y923" i="14"/>
  <c r="Z408" i="14"/>
  <c r="Z31" i="14" s="1"/>
  <c r="Z271" i="14"/>
  <c r="AA257" i="14" s="1"/>
  <c r="AA258" i="14" s="1"/>
  <c r="Y174" i="14"/>
  <c r="Y27" i="14"/>
  <c r="AA161" i="14"/>
  <c r="AA110" i="14"/>
  <c r="Z928" i="14"/>
  <c r="Z904" i="14"/>
  <c r="W580" i="14"/>
  <c r="W582" i="14" s="1"/>
  <c r="Z384" i="14"/>
  <c r="Z18" i="14" s="1"/>
  <c r="Z409" i="14"/>
  <c r="Z32" i="14" s="1"/>
  <c r="V936" i="14" l="1"/>
  <c r="V556" i="14"/>
  <c r="V915" i="14"/>
  <c r="V557" i="14" s="1"/>
  <c r="W940" i="14"/>
  <c r="W568" i="14" s="1"/>
  <c r="W864" i="14"/>
  <c r="X850" i="14" s="1"/>
  <c r="X851" i="14" s="1"/>
  <c r="W941" i="14"/>
  <c r="W569" i="14" s="1"/>
  <c r="W913" i="14"/>
  <c r="W554" i="14"/>
  <c r="BC852" i="14"/>
  <c r="BC940" i="14" s="1"/>
  <c r="BD853" i="14"/>
  <c r="T585" i="14"/>
  <c r="T587" i="14" s="1"/>
  <c r="T570" i="14"/>
  <c r="U939" i="14"/>
  <c r="U565" i="14"/>
  <c r="AM883" i="14"/>
  <c r="AM896" i="14"/>
  <c r="AN882" i="14" s="1"/>
  <c r="AY332" i="14"/>
  <c r="AX260" i="14"/>
  <c r="AW781" i="14"/>
  <c r="AZ111" i="14"/>
  <c r="Z395" i="14"/>
  <c r="AS303" i="14"/>
  <c r="AT289" i="14" s="1"/>
  <c r="AS290" i="14"/>
  <c r="AU141" i="14"/>
  <c r="AU154" i="14"/>
  <c r="AV140" i="14" s="1"/>
  <c r="AA421" i="14"/>
  <c r="AA343" i="14"/>
  <c r="AB329" i="14" s="1"/>
  <c r="AB330" i="14" s="1"/>
  <c r="AA177" i="14"/>
  <c r="AA122" i="14"/>
  <c r="AB108" i="14" s="1"/>
  <c r="AB109" i="14" s="1"/>
  <c r="X929" i="14"/>
  <c r="Y176" i="14"/>
  <c r="Y28" i="14"/>
  <c r="X39" i="14"/>
  <c r="X41" i="14" s="1"/>
  <c r="X33" i="14"/>
  <c r="AA178" i="14"/>
  <c r="AA162" i="14"/>
  <c r="AV362" i="14"/>
  <c r="AV375" i="14"/>
  <c r="AW361" i="14" s="1"/>
  <c r="AA422" i="14"/>
  <c r="AA393" i="14"/>
  <c r="AA383" i="14"/>
  <c r="AA259" i="14"/>
  <c r="Y924" i="14"/>
  <c r="Z905" i="14"/>
  <c r="AA903" i="14"/>
  <c r="AA780" i="14"/>
  <c r="Z385" i="14"/>
  <c r="Z404" i="14" s="1"/>
  <c r="Z405" i="14" s="1"/>
  <c r="Z407" i="14" s="1"/>
  <c r="Z410" i="14" s="1"/>
  <c r="Z44" i="14" s="1"/>
  <c r="Z46" i="14" s="1"/>
  <c r="Z173" i="14"/>
  <c r="AR811" i="14"/>
  <c r="AR824" i="14"/>
  <c r="AS810" i="14" s="1"/>
  <c r="Z164" i="14"/>
  <c r="W914" i="14" l="1"/>
  <c r="W915" i="14" s="1"/>
  <c r="W557" i="14" s="1"/>
  <c r="W555" i="14"/>
  <c r="BD852" i="14"/>
  <c r="BD940" i="14" s="1"/>
  <c r="BE853" i="14"/>
  <c r="X912" i="14"/>
  <c r="X852" i="14"/>
  <c r="U942" i="14"/>
  <c r="U567" i="14"/>
  <c r="V937" i="14"/>
  <c r="V564" i="14"/>
  <c r="AN883" i="14"/>
  <c r="AN896" i="14"/>
  <c r="AO882" i="14" s="1"/>
  <c r="BA111" i="14"/>
  <c r="AX781" i="14"/>
  <c r="AY260" i="14"/>
  <c r="AZ332" i="14"/>
  <c r="Z19" i="14"/>
  <c r="Z386" i="14"/>
  <c r="Z20" i="14" s="1"/>
  <c r="AT290" i="14"/>
  <c r="AT303" i="14"/>
  <c r="AU289" i="14" s="1"/>
  <c r="AA163" i="14"/>
  <c r="Z174" i="14"/>
  <c r="Z27" i="14"/>
  <c r="Y179" i="14"/>
  <c r="Y30" i="14"/>
  <c r="X580" i="14"/>
  <c r="X582" i="14" s="1"/>
  <c r="AA927" i="14"/>
  <c r="AA568" i="14" s="1"/>
  <c r="AA792" i="14"/>
  <c r="AB778" i="14" s="1"/>
  <c r="AB779" i="14" s="1"/>
  <c r="AA394" i="14"/>
  <c r="AA417" i="14" s="1"/>
  <c r="AA418" i="14" s="1"/>
  <c r="AA420" i="14" s="1"/>
  <c r="AA423" i="14" s="1"/>
  <c r="AA49" i="14" s="1"/>
  <c r="AA51" i="14" s="1"/>
  <c r="AB161" i="14"/>
  <c r="AB110" i="14"/>
  <c r="AS811" i="14"/>
  <c r="AS824" i="14"/>
  <c r="AT810" i="14" s="1"/>
  <c r="AA904" i="14"/>
  <c r="AA928" i="14"/>
  <c r="AB392" i="14"/>
  <c r="AB331" i="14"/>
  <c r="AA271" i="14"/>
  <c r="AB257" i="14" s="1"/>
  <c r="AB258" i="14" s="1"/>
  <c r="AA408" i="14"/>
  <c r="AA31" i="14" s="1"/>
  <c r="Z906" i="14"/>
  <c r="Z923" i="14"/>
  <c r="AW362" i="14"/>
  <c r="AW375" i="14"/>
  <c r="AX361" i="14" s="1"/>
  <c r="Y926" i="14"/>
  <c r="AV141" i="14"/>
  <c r="AV154" i="14"/>
  <c r="AW140" i="14" s="1"/>
  <c r="AA384" i="14"/>
  <c r="AA18" i="14" s="1"/>
  <c r="AA409" i="14"/>
  <c r="AA32" i="14" s="1"/>
  <c r="AA17" i="14"/>
  <c r="U585" i="14" l="1"/>
  <c r="U587" i="14" s="1"/>
  <c r="U570" i="14"/>
  <c r="X940" i="14"/>
  <c r="X568" i="14" s="1"/>
  <c r="X864" i="14"/>
  <c r="Y850" i="14" s="1"/>
  <c r="Y851" i="14" s="1"/>
  <c r="V939" i="14"/>
  <c r="V565" i="14"/>
  <c r="X941" i="14"/>
  <c r="X569" i="14" s="1"/>
  <c r="X913" i="14"/>
  <c r="X554" i="14"/>
  <c r="BE852" i="14"/>
  <c r="BE940" i="14" s="1"/>
  <c r="BF853" i="14"/>
  <c r="W936" i="14"/>
  <c r="W556" i="14"/>
  <c r="AO883" i="14"/>
  <c r="AO896" i="14"/>
  <c r="AP882" i="14" s="1"/>
  <c r="BA332" i="14"/>
  <c r="AZ260" i="14"/>
  <c r="AY781" i="14"/>
  <c r="BB111" i="14"/>
  <c r="AA395" i="14"/>
  <c r="AU290" i="14"/>
  <c r="AU303" i="14"/>
  <c r="AV289" i="14" s="1"/>
  <c r="AA905" i="14"/>
  <c r="AX362" i="14"/>
  <c r="AX375" i="14"/>
  <c r="AY361" i="14" s="1"/>
  <c r="AW141" i="14"/>
  <c r="AW154" i="14"/>
  <c r="AX140" i="14" s="1"/>
  <c r="Z924" i="14"/>
  <c r="Y39" i="14"/>
  <c r="Y41" i="14" s="1"/>
  <c r="Y33" i="14"/>
  <c r="AB177" i="14"/>
  <c r="AB122" i="14"/>
  <c r="AC108" i="14" s="1"/>
  <c r="AC109" i="14" s="1"/>
  <c r="AB178" i="14"/>
  <c r="AB162" i="14"/>
  <c r="Z176" i="14"/>
  <c r="Z28" i="14"/>
  <c r="Y929" i="14"/>
  <c r="AT811" i="14"/>
  <c r="AT824" i="14"/>
  <c r="AU810" i="14" s="1"/>
  <c r="AA385" i="14"/>
  <c r="AA404" i="14" s="1"/>
  <c r="AA405" i="14" s="1"/>
  <c r="AA407" i="14" s="1"/>
  <c r="AA410" i="14" s="1"/>
  <c r="AA44" i="14" s="1"/>
  <c r="AA46" i="14" s="1"/>
  <c r="AB383" i="14"/>
  <c r="AB17" i="14" s="1"/>
  <c r="AB259" i="14"/>
  <c r="AA164" i="14"/>
  <c r="AA173" i="14"/>
  <c r="AB421" i="14"/>
  <c r="AB343" i="14"/>
  <c r="AC329" i="14" s="1"/>
  <c r="AC330" i="14" s="1"/>
  <c r="AB903" i="14"/>
  <c r="AB780" i="14"/>
  <c r="AB422" i="14"/>
  <c r="AB393" i="14"/>
  <c r="AB394" i="14" s="1"/>
  <c r="W937" i="14" l="1"/>
  <c r="W564" i="14"/>
  <c r="V942" i="14"/>
  <c r="V567" i="14"/>
  <c r="BF852" i="14"/>
  <c r="BF940" i="14" s="1"/>
  <c r="BG853" i="14"/>
  <c r="Y912" i="14"/>
  <c r="Y852" i="14"/>
  <c r="X914" i="14"/>
  <c r="X915" i="14" s="1"/>
  <c r="X557" i="14" s="1"/>
  <c r="X555" i="14"/>
  <c r="AP883" i="14"/>
  <c r="AP896" i="14"/>
  <c r="AQ882" i="14" s="1"/>
  <c r="BC111" i="14"/>
  <c r="AZ781" i="14"/>
  <c r="BA260" i="14"/>
  <c r="BB332" i="14"/>
  <c r="AA386" i="14"/>
  <c r="AA20" i="14" s="1"/>
  <c r="AV303" i="14"/>
  <c r="AW289" i="14" s="1"/>
  <c r="AV290" i="14"/>
  <c r="AU811" i="14"/>
  <c r="AU824" i="14"/>
  <c r="AV810" i="14" s="1"/>
  <c r="Z926" i="14"/>
  <c r="Z179" i="14"/>
  <c r="Z30" i="14"/>
  <c r="AA19" i="14"/>
  <c r="AC392" i="14"/>
  <c r="AC331" i="14"/>
  <c r="AA174" i="14"/>
  <c r="AA27" i="14"/>
  <c r="AC161" i="14"/>
  <c r="AC110" i="14"/>
  <c r="AX141" i="14"/>
  <c r="AX154" i="14"/>
  <c r="AY140" i="14" s="1"/>
  <c r="AY362" i="14"/>
  <c r="AY375" i="14"/>
  <c r="AZ361" i="14" s="1"/>
  <c r="AA906" i="14"/>
  <c r="AA923" i="14"/>
  <c r="Y580" i="14"/>
  <c r="Y582" i="14" s="1"/>
  <c r="AB395" i="14"/>
  <c r="AB417" i="14"/>
  <c r="AB418" i="14" s="1"/>
  <c r="AB420" i="14" s="1"/>
  <c r="AB423" i="14" s="1"/>
  <c r="AB49" i="14" s="1"/>
  <c r="AB51" i="14" s="1"/>
  <c r="AB163" i="14"/>
  <c r="AB408" i="14"/>
  <c r="AB31" i="14" s="1"/>
  <c r="AB271" i="14"/>
  <c r="AC257" i="14" s="1"/>
  <c r="AC258" i="14" s="1"/>
  <c r="AB904" i="14"/>
  <c r="AB928" i="14"/>
  <c r="AB927" i="14"/>
  <c r="AB568" i="14" s="1"/>
  <c r="AB792" i="14"/>
  <c r="AC778" i="14" s="1"/>
  <c r="AC779" i="14" s="1"/>
  <c r="AB384" i="14"/>
  <c r="AB18" i="14" s="1"/>
  <c r="AB409" i="14"/>
  <c r="AB32" i="14" s="1"/>
  <c r="Y940" i="14" l="1"/>
  <c r="Y568" i="14" s="1"/>
  <c r="Y864" i="14"/>
  <c r="Z850" i="14" s="1"/>
  <c r="BG852" i="14"/>
  <c r="BG940" i="14" s="1"/>
  <c r="BH853" i="14"/>
  <c r="X936" i="14"/>
  <c r="X556" i="14"/>
  <c r="Y941" i="14"/>
  <c r="Y569" i="14" s="1"/>
  <c r="Y913" i="14"/>
  <c r="Y554" i="14"/>
  <c r="V585" i="14"/>
  <c r="V587" i="14" s="1"/>
  <c r="V570" i="14"/>
  <c r="W939" i="14"/>
  <c r="W565" i="14"/>
  <c r="AQ883" i="14"/>
  <c r="AQ896" i="14"/>
  <c r="AR882" i="14" s="1"/>
  <c r="BC332" i="14"/>
  <c r="BB260" i="14"/>
  <c r="BA781" i="14"/>
  <c r="BD111" i="14"/>
  <c r="AW303" i="14"/>
  <c r="AX289" i="14" s="1"/>
  <c r="AW290" i="14"/>
  <c r="AC422" i="14"/>
  <c r="AC393" i="14"/>
  <c r="AC394" i="14" s="1"/>
  <c r="AC343" i="14"/>
  <c r="AD329" i="14" s="1"/>
  <c r="AD330" i="14" s="1"/>
  <c r="AC421" i="14"/>
  <c r="AB905" i="14"/>
  <c r="AB906" i="14" s="1"/>
  <c r="Z929" i="14"/>
  <c r="AY141" i="14"/>
  <c r="AY154" i="14"/>
  <c r="AZ140" i="14" s="1"/>
  <c r="Z39" i="14"/>
  <c r="Z41" i="14" s="1"/>
  <c r="Z33" i="14"/>
  <c r="AC177" i="14"/>
  <c r="AC122" i="14"/>
  <c r="AD108" i="14" s="1"/>
  <c r="AD109" i="14" s="1"/>
  <c r="AV811" i="14"/>
  <c r="AV824" i="14"/>
  <c r="AW810" i="14" s="1"/>
  <c r="AB164" i="14"/>
  <c r="AB173" i="14"/>
  <c r="AC178" i="14"/>
  <c r="AC162" i="14"/>
  <c r="AA176" i="14"/>
  <c r="AA28" i="14"/>
  <c r="AA924" i="14"/>
  <c r="AZ362" i="14"/>
  <c r="AZ375" i="14"/>
  <c r="BA361" i="14" s="1"/>
  <c r="AC383" i="14"/>
  <c r="AC259" i="14"/>
  <c r="AB385" i="14"/>
  <c r="AB404" i="14" s="1"/>
  <c r="AB405" i="14" s="1"/>
  <c r="AB407" i="14" s="1"/>
  <c r="AB410" i="14" s="1"/>
  <c r="AB44" i="14" s="1"/>
  <c r="AB46" i="14" s="1"/>
  <c r="AC903" i="14"/>
  <c r="AC780" i="14"/>
  <c r="W942" i="14" l="1"/>
  <c r="W567" i="14"/>
  <c r="X937" i="14"/>
  <c r="X564" i="14"/>
  <c r="BH852" i="14"/>
  <c r="BH940" i="14" s="1"/>
  <c r="BI853" i="14"/>
  <c r="Z864" i="14"/>
  <c r="AA850" i="14" s="1"/>
  <c r="Z851" i="14"/>
  <c r="Z912" i="14" s="1"/>
  <c r="Y914" i="14"/>
  <c r="Y915" i="14" s="1"/>
  <c r="Y557" i="14" s="1"/>
  <c r="Y555" i="14"/>
  <c r="AR883" i="14"/>
  <c r="AR896" i="14"/>
  <c r="AS882" i="14" s="1"/>
  <c r="BE111" i="14"/>
  <c r="BB781" i="14"/>
  <c r="BC260" i="14"/>
  <c r="BD332" i="14"/>
  <c r="AB19" i="14"/>
  <c r="AX290" i="14"/>
  <c r="AX303" i="14"/>
  <c r="AY289" i="14" s="1"/>
  <c r="AC271" i="14"/>
  <c r="AD257" i="14" s="1"/>
  <c r="AD258" i="14" s="1"/>
  <c r="AC408" i="14"/>
  <c r="AC31" i="14" s="1"/>
  <c r="AZ141" i="14"/>
  <c r="AZ154" i="14"/>
  <c r="BA140" i="14" s="1"/>
  <c r="AC409" i="14"/>
  <c r="AC32" i="14" s="1"/>
  <c r="AC384" i="14"/>
  <c r="AC18" i="14" s="1"/>
  <c r="AA926" i="14"/>
  <c r="BA362" i="14"/>
  <c r="BA375" i="14"/>
  <c r="BB361" i="14" s="1"/>
  <c r="AB174" i="14"/>
  <c r="AB27" i="14"/>
  <c r="AB923" i="14"/>
  <c r="AW811" i="14"/>
  <c r="AW824" i="14"/>
  <c r="AX810" i="14" s="1"/>
  <c r="AC17" i="14"/>
  <c r="Z580" i="14"/>
  <c r="Z582" i="14" s="1"/>
  <c r="AC904" i="14"/>
  <c r="AC928" i="14"/>
  <c r="AC163" i="14"/>
  <c r="AC395" i="14"/>
  <c r="AC417" i="14"/>
  <c r="AC418" i="14" s="1"/>
  <c r="AC420" i="14" s="1"/>
  <c r="AC423" i="14" s="1"/>
  <c r="AC49" i="14" s="1"/>
  <c r="AC51" i="14" s="1"/>
  <c r="AA179" i="14"/>
  <c r="AA30" i="14"/>
  <c r="AD392" i="14"/>
  <c r="AD331" i="14"/>
  <c r="AC792" i="14"/>
  <c r="AD778" i="14" s="1"/>
  <c r="AD779" i="14" s="1"/>
  <c r="AC927" i="14"/>
  <c r="AC568" i="14" s="1"/>
  <c r="AD161" i="14"/>
  <c r="AD110" i="14"/>
  <c r="AB386" i="14"/>
  <c r="AB20" i="14" s="1"/>
  <c r="Y936" i="14" l="1"/>
  <c r="Y556" i="14"/>
  <c r="Z941" i="14"/>
  <c r="Z569" i="14" s="1"/>
  <c r="Z913" i="14"/>
  <c r="Z554" i="14"/>
  <c r="BI852" i="14"/>
  <c r="BI940" i="14" s="1"/>
  <c r="BJ853" i="14"/>
  <c r="X939" i="14"/>
  <c r="X565" i="14"/>
  <c r="AA851" i="14"/>
  <c r="AA912" i="14" s="1"/>
  <c r="AA864" i="14"/>
  <c r="AB850" i="14" s="1"/>
  <c r="W585" i="14"/>
  <c r="W587" i="14" s="1"/>
  <c r="W570" i="14"/>
  <c r="AS883" i="14"/>
  <c r="AS896" i="14"/>
  <c r="AT882" i="14" s="1"/>
  <c r="BE332" i="14"/>
  <c r="BD260" i="14"/>
  <c r="BC781" i="14"/>
  <c r="BF111" i="14"/>
  <c r="AY303" i="14"/>
  <c r="AZ289" i="14" s="1"/>
  <c r="AY290" i="14"/>
  <c r="AA929" i="14"/>
  <c r="AD122" i="14"/>
  <c r="AE108" i="14" s="1"/>
  <c r="AE109" i="14" s="1"/>
  <c r="AD177" i="14"/>
  <c r="AX811" i="14"/>
  <c r="AX824" i="14"/>
  <c r="AY810" i="14" s="1"/>
  <c r="AC164" i="14"/>
  <c r="AC173" i="14"/>
  <c r="BA141" i="14"/>
  <c r="BA154" i="14"/>
  <c r="BB140" i="14" s="1"/>
  <c r="AD178" i="14"/>
  <c r="AD162" i="14"/>
  <c r="AB176" i="14"/>
  <c r="AB28" i="14"/>
  <c r="BB362" i="14"/>
  <c r="BB375" i="14"/>
  <c r="BC361" i="14" s="1"/>
  <c r="AC385" i="14"/>
  <c r="AC404" i="14" s="1"/>
  <c r="AC405" i="14" s="1"/>
  <c r="AC407" i="14" s="1"/>
  <c r="AC410" i="14" s="1"/>
  <c r="AC44" i="14" s="1"/>
  <c r="AC46" i="14" s="1"/>
  <c r="AC905" i="14"/>
  <c r="AC906" i="14" s="1"/>
  <c r="AD903" i="14"/>
  <c r="AD780" i="14"/>
  <c r="AD343" i="14"/>
  <c r="AE329" i="14" s="1"/>
  <c r="AE330" i="14" s="1"/>
  <c r="AD421" i="14"/>
  <c r="AD383" i="14"/>
  <c r="AD17" i="14" s="1"/>
  <c r="AD259" i="14"/>
  <c r="AA39" i="14"/>
  <c r="AA41" i="14" s="1"/>
  <c r="AA33" i="14"/>
  <c r="AB924" i="14"/>
  <c r="AD422" i="14"/>
  <c r="AD393" i="14"/>
  <c r="AD394" i="14" s="1"/>
  <c r="BJ852" i="14" l="1"/>
  <c r="BJ940" i="14" s="1"/>
  <c r="BK853" i="14"/>
  <c r="AB864" i="14"/>
  <c r="AC850" i="14" s="1"/>
  <c r="AB851" i="14"/>
  <c r="AB912" i="14" s="1"/>
  <c r="AA913" i="14"/>
  <c r="AA941" i="14"/>
  <c r="AA569" i="14" s="1"/>
  <c r="AA554" i="14"/>
  <c r="Z914" i="14"/>
  <c r="Z915" i="14" s="1"/>
  <c r="Z557" i="14" s="1"/>
  <c r="Z555" i="14"/>
  <c r="X942" i="14"/>
  <c r="X567" i="14"/>
  <c r="Y937" i="14"/>
  <c r="Y564" i="14"/>
  <c r="AT883" i="14"/>
  <c r="AT896" i="14"/>
  <c r="AU882" i="14" s="1"/>
  <c r="BD781" i="14"/>
  <c r="BE260" i="14"/>
  <c r="BG111" i="14"/>
  <c r="BF332" i="14"/>
  <c r="AC19" i="14"/>
  <c r="AC386" i="14"/>
  <c r="AC20" i="14" s="1"/>
  <c r="AZ290" i="14"/>
  <c r="AZ303" i="14"/>
  <c r="BA289" i="14" s="1"/>
  <c r="AD163" i="14"/>
  <c r="AD164" i="14" s="1"/>
  <c r="BB141" i="14"/>
  <c r="BB154" i="14"/>
  <c r="BC140" i="14" s="1"/>
  <c r="AC174" i="14"/>
  <c r="AC27" i="14"/>
  <c r="AC923" i="14"/>
  <c r="AE392" i="14"/>
  <c r="AE331" i="14"/>
  <c r="AD395" i="14"/>
  <c r="AD417" i="14"/>
  <c r="AD418" i="14" s="1"/>
  <c r="AD420" i="14" s="1"/>
  <c r="AD423" i="14" s="1"/>
  <c r="AD49" i="14" s="1"/>
  <c r="AD51" i="14" s="1"/>
  <c r="AD408" i="14"/>
  <c r="AD31" i="14" s="1"/>
  <c r="AD271" i="14"/>
  <c r="AE257" i="14" s="1"/>
  <c r="AE258" i="14" s="1"/>
  <c r="AD927" i="14"/>
  <c r="AD568" i="14" s="1"/>
  <c r="AD792" i="14"/>
  <c r="AE778" i="14" s="1"/>
  <c r="AE779" i="14" s="1"/>
  <c r="AD928" i="14"/>
  <c r="AD904" i="14"/>
  <c r="BC362" i="14"/>
  <c r="BC375" i="14"/>
  <c r="BD361" i="14" s="1"/>
  <c r="AE161" i="14"/>
  <c r="AE110" i="14"/>
  <c r="AB926" i="14"/>
  <c r="AY811" i="14"/>
  <c r="AY824" i="14"/>
  <c r="AZ810" i="14" s="1"/>
  <c r="AA580" i="14"/>
  <c r="AA582" i="14" s="1"/>
  <c r="AD409" i="14"/>
  <c r="AD32" i="14" s="1"/>
  <c r="AD384" i="14"/>
  <c r="AD18" i="14" s="1"/>
  <c r="AB179" i="14"/>
  <c r="AB30" i="14"/>
  <c r="Z936" i="14" l="1"/>
  <c r="Z556" i="14"/>
  <c r="AA914" i="14"/>
  <c r="AA915" i="14" s="1"/>
  <c r="AA557" i="14" s="1"/>
  <c r="AA555" i="14"/>
  <c r="AB913" i="14"/>
  <c r="AB941" i="14"/>
  <c r="AB569" i="14" s="1"/>
  <c r="AB554" i="14"/>
  <c r="Y939" i="14"/>
  <c r="Y565" i="14"/>
  <c r="AC851" i="14"/>
  <c r="AC912" i="14" s="1"/>
  <c r="AC864" i="14"/>
  <c r="AD850" i="14" s="1"/>
  <c r="BK852" i="14"/>
  <c r="BK940" i="14" s="1"/>
  <c r="BL853" i="14"/>
  <c r="X585" i="14"/>
  <c r="X587" i="14" s="1"/>
  <c r="X570" i="14"/>
  <c r="AU883" i="14"/>
  <c r="AU896" i="14"/>
  <c r="AV882" i="14" s="1"/>
  <c r="BG332" i="14"/>
  <c r="BH111" i="14"/>
  <c r="BF260" i="14"/>
  <c r="BE781" i="14"/>
  <c r="BA290" i="14"/>
  <c r="BA303" i="14"/>
  <c r="BB289" i="14" s="1"/>
  <c r="AB929" i="14"/>
  <c r="BD362" i="14"/>
  <c r="BD375" i="14"/>
  <c r="BE361" i="14" s="1"/>
  <c r="AE421" i="14"/>
  <c r="AE343" i="14"/>
  <c r="AF329" i="14" s="1"/>
  <c r="AF330" i="14" s="1"/>
  <c r="AE393" i="14"/>
  <c r="AE394" i="14" s="1"/>
  <c r="AE422" i="14"/>
  <c r="AC924" i="14"/>
  <c r="AB39" i="14"/>
  <c r="AB41" i="14" s="1"/>
  <c r="AB33" i="14"/>
  <c r="AE903" i="14"/>
  <c r="AE780" i="14"/>
  <c r="AE383" i="14"/>
  <c r="AE17" i="14" s="1"/>
  <c r="AE259" i="14"/>
  <c r="AE122" i="14"/>
  <c r="AF108" i="14" s="1"/>
  <c r="AF109" i="14" s="1"/>
  <c r="AE177" i="14"/>
  <c r="AE178" i="14"/>
  <c r="AE162" i="14"/>
  <c r="AC176" i="14"/>
  <c r="AC28" i="14"/>
  <c r="AD385" i="14"/>
  <c r="AD404" i="14" s="1"/>
  <c r="AD405" i="14" s="1"/>
  <c r="AD407" i="14" s="1"/>
  <c r="AD410" i="14" s="1"/>
  <c r="AD44" i="14" s="1"/>
  <c r="AD46" i="14" s="1"/>
  <c r="AD905" i="14"/>
  <c r="AD906" i="14" s="1"/>
  <c r="BC141" i="14"/>
  <c r="BC154" i="14"/>
  <c r="BD140" i="14" s="1"/>
  <c r="AZ811" i="14"/>
  <c r="AZ824" i="14"/>
  <c r="BA810" i="14" s="1"/>
  <c r="AD173" i="14"/>
  <c r="Y942" i="14" l="1"/>
  <c r="Y567" i="14"/>
  <c r="AC941" i="14"/>
  <c r="AC569" i="14" s="1"/>
  <c r="AC913" i="14"/>
  <c r="AC554" i="14"/>
  <c r="BL852" i="14"/>
  <c r="BL940" i="14" s="1"/>
  <c r="BM853" i="14"/>
  <c r="AA936" i="14"/>
  <c r="AA556" i="14"/>
  <c r="AD864" i="14"/>
  <c r="AE850" i="14" s="1"/>
  <c r="AD851" i="14"/>
  <c r="AD912" i="14" s="1"/>
  <c r="AB914" i="14"/>
  <c r="AB915" i="14" s="1"/>
  <c r="AB557" i="14" s="1"/>
  <c r="AB555" i="14"/>
  <c r="Z937" i="14"/>
  <c r="Z564" i="14"/>
  <c r="AV883" i="14"/>
  <c r="AV896" i="14"/>
  <c r="AW882" i="14" s="1"/>
  <c r="BG260" i="14"/>
  <c r="BI111" i="14"/>
  <c r="BF781" i="14"/>
  <c r="BH332" i="14"/>
  <c r="BB290" i="14"/>
  <c r="BB303" i="14"/>
  <c r="BC289" i="14" s="1"/>
  <c r="AD386" i="14"/>
  <c r="AD20" i="14" s="1"/>
  <c r="AE395" i="14"/>
  <c r="AE417" i="14"/>
  <c r="AE418" i="14" s="1"/>
  <c r="AE420" i="14" s="1"/>
  <c r="AE423" i="14" s="1"/>
  <c r="AE49" i="14" s="1"/>
  <c r="AE51" i="14" s="1"/>
  <c r="AC926" i="14"/>
  <c r="AC179" i="14"/>
  <c r="AC30" i="14"/>
  <c r="AE163" i="14"/>
  <c r="AD174" i="14"/>
  <c r="AD27" i="14"/>
  <c r="BE362" i="14"/>
  <c r="BE375" i="14"/>
  <c r="BF361" i="14" s="1"/>
  <c r="AE384" i="14"/>
  <c r="AE409" i="14"/>
  <c r="AE32" i="14" s="1"/>
  <c r="AD19" i="14"/>
  <c r="AF161" i="14"/>
  <c r="AF110" i="14"/>
  <c r="AF392" i="14"/>
  <c r="AF331" i="14"/>
  <c r="BA811" i="14"/>
  <c r="BA824" i="14"/>
  <c r="BB810" i="14" s="1"/>
  <c r="AE271" i="14"/>
  <c r="AF257" i="14" s="1"/>
  <c r="AF258" i="14" s="1"/>
  <c r="AE408" i="14"/>
  <c r="AE31" i="14" s="1"/>
  <c r="BD141" i="14"/>
  <c r="BD154" i="14"/>
  <c r="BE140" i="14" s="1"/>
  <c r="AB580" i="14"/>
  <c r="AB582" i="14" s="1"/>
  <c r="AE792" i="14"/>
  <c r="AF778" i="14" s="1"/>
  <c r="AF779" i="14" s="1"/>
  <c r="AE927" i="14"/>
  <c r="AE568" i="14" s="1"/>
  <c r="AD923" i="14"/>
  <c r="AE928" i="14"/>
  <c r="AE904" i="14"/>
  <c r="AB936" i="14" l="1"/>
  <c r="AB556" i="14"/>
  <c r="AE864" i="14"/>
  <c r="AF850" i="14" s="1"/>
  <c r="AE851" i="14"/>
  <c r="AE912" i="14" s="1"/>
  <c r="AA937" i="14"/>
  <c r="AA564" i="14"/>
  <c r="AC914" i="14"/>
  <c r="AC915" i="14" s="1"/>
  <c r="AC557" i="14" s="1"/>
  <c r="AC555" i="14"/>
  <c r="BM852" i="14"/>
  <c r="BM940" i="14" s="1"/>
  <c r="BN853" i="14"/>
  <c r="Z939" i="14"/>
  <c r="Z565" i="14"/>
  <c r="AD913" i="14"/>
  <c r="AD941" i="14"/>
  <c r="AD569" i="14" s="1"/>
  <c r="AD554" i="14"/>
  <c r="Y585" i="14"/>
  <c r="Y587" i="14" s="1"/>
  <c r="Y570" i="14"/>
  <c r="AW883" i="14"/>
  <c r="AW896" i="14"/>
  <c r="AX882" i="14" s="1"/>
  <c r="BG781" i="14"/>
  <c r="BI332" i="14"/>
  <c r="BH260" i="14"/>
  <c r="BJ111" i="14"/>
  <c r="BC290" i="14"/>
  <c r="BC303" i="14"/>
  <c r="BD289" i="14" s="1"/>
  <c r="BF362" i="14"/>
  <c r="BF375" i="14"/>
  <c r="BG361" i="14" s="1"/>
  <c r="AD176" i="14"/>
  <c r="AD28" i="14"/>
  <c r="AE164" i="14"/>
  <c r="AE173" i="14"/>
  <c r="AF343" i="14"/>
  <c r="AG329" i="14" s="1"/>
  <c r="AG330" i="14" s="1"/>
  <c r="AF421" i="14"/>
  <c r="AF177" i="14"/>
  <c r="AF122" i="14"/>
  <c r="AG108" i="14" s="1"/>
  <c r="AG109" i="14" s="1"/>
  <c r="AE385" i="14"/>
  <c r="AE404" i="14" s="1"/>
  <c r="AE405" i="14" s="1"/>
  <c r="AE407" i="14" s="1"/>
  <c r="AE410" i="14" s="1"/>
  <c r="AE44" i="14" s="1"/>
  <c r="AE46" i="14" s="1"/>
  <c r="AE18" i="14"/>
  <c r="AC39" i="14"/>
  <c r="AC41" i="14" s="1"/>
  <c r="AC33" i="14"/>
  <c r="AE905" i="14"/>
  <c r="AF422" i="14"/>
  <c r="AF393" i="14"/>
  <c r="AF903" i="14"/>
  <c r="AF780" i="14"/>
  <c r="BE141" i="14"/>
  <c r="BE154" i="14"/>
  <c r="BF140" i="14" s="1"/>
  <c r="AF383" i="14"/>
  <c r="AF259" i="14"/>
  <c r="BB811" i="14"/>
  <c r="BB824" i="14"/>
  <c r="BC810" i="14" s="1"/>
  <c r="AC929" i="14"/>
  <c r="AF178" i="14"/>
  <c r="AF162" i="14"/>
  <c r="AD924" i="14"/>
  <c r="BN852" i="14" l="1"/>
  <c r="BN940" i="14" s="1"/>
  <c r="BO853" i="14"/>
  <c r="AC936" i="14"/>
  <c r="AC556" i="14"/>
  <c r="Z942" i="14"/>
  <c r="Z567" i="14"/>
  <c r="AD914" i="14"/>
  <c r="AD915" i="14" s="1"/>
  <c r="AD557" i="14" s="1"/>
  <c r="AD555" i="14"/>
  <c r="AA939" i="14"/>
  <c r="AA565" i="14"/>
  <c r="AE941" i="14"/>
  <c r="AE569" i="14" s="1"/>
  <c r="AE913" i="14"/>
  <c r="AE554" i="14"/>
  <c r="AF851" i="14"/>
  <c r="AF912" i="14" s="1"/>
  <c r="AF554" i="14" s="1"/>
  <c r="AF864" i="14"/>
  <c r="AG850" i="14" s="1"/>
  <c r="AB937" i="14"/>
  <c r="AB564" i="14"/>
  <c r="AX883" i="14"/>
  <c r="AX896" i="14"/>
  <c r="AY882" i="14" s="1"/>
  <c r="BI260" i="14"/>
  <c r="BK111" i="14"/>
  <c r="BJ332" i="14"/>
  <c r="BH781" i="14"/>
  <c r="BD303" i="14"/>
  <c r="BE289" i="14" s="1"/>
  <c r="BD290" i="14"/>
  <c r="BC811" i="14"/>
  <c r="BC824" i="14"/>
  <c r="BD810" i="14" s="1"/>
  <c r="AF384" i="14"/>
  <c r="AF18" i="14" s="1"/>
  <c r="AF409" i="14"/>
  <c r="AF32" i="14" s="1"/>
  <c r="AG392" i="14"/>
  <c r="AG331" i="14"/>
  <c r="AG161" i="14"/>
  <c r="AG110" i="14"/>
  <c r="AF927" i="14"/>
  <c r="AF568" i="14" s="1"/>
  <c r="AF792" i="14"/>
  <c r="AG778" i="14" s="1"/>
  <c r="AG779" i="14" s="1"/>
  <c r="BF141" i="14"/>
  <c r="BF154" i="14"/>
  <c r="BG140" i="14" s="1"/>
  <c r="AE19" i="14"/>
  <c r="AF394" i="14"/>
  <c r="AF417" i="14" s="1"/>
  <c r="AF418" i="14" s="1"/>
  <c r="AF420" i="14" s="1"/>
  <c r="AF423" i="14" s="1"/>
  <c r="AF49" i="14" s="1"/>
  <c r="AF51" i="14" s="1"/>
  <c r="AF17" i="14"/>
  <c r="AF163" i="14"/>
  <c r="BG362" i="14"/>
  <c r="BG375" i="14"/>
  <c r="BH361" i="14" s="1"/>
  <c r="AC580" i="14"/>
  <c r="AC582" i="14" s="1"/>
  <c r="AF408" i="14"/>
  <c r="AF31" i="14" s="1"/>
  <c r="AF271" i="14"/>
  <c r="AG257" i="14" s="1"/>
  <c r="AG258" i="14" s="1"/>
  <c r="AE386" i="14"/>
  <c r="AE20" i="14" s="1"/>
  <c r="AF928" i="14"/>
  <c r="AF904" i="14"/>
  <c r="AE174" i="14"/>
  <c r="AE27" i="14"/>
  <c r="AD926" i="14"/>
  <c r="AE906" i="14"/>
  <c r="AE923" i="14"/>
  <c r="AD179" i="14"/>
  <c r="AD30" i="14"/>
  <c r="AA942" i="14" l="1"/>
  <c r="AA567" i="14"/>
  <c r="AD936" i="14"/>
  <c r="AD556" i="14"/>
  <c r="Z585" i="14"/>
  <c r="Z587" i="14" s="1"/>
  <c r="Z570" i="14"/>
  <c r="AF941" i="14"/>
  <c r="AF569" i="14" s="1"/>
  <c r="AF913" i="14"/>
  <c r="AF555" i="14" s="1"/>
  <c r="AC937" i="14"/>
  <c r="AC564" i="14"/>
  <c r="AE914" i="14"/>
  <c r="AE915" i="14" s="1"/>
  <c r="AE557" i="14" s="1"/>
  <c r="AE555" i="14"/>
  <c r="BO852" i="14"/>
  <c r="BO940" i="14" s="1"/>
  <c r="BP853" i="14"/>
  <c r="AG851" i="14"/>
  <c r="AG912" i="14" s="1"/>
  <c r="AG864" i="14"/>
  <c r="AH850" i="14" s="1"/>
  <c r="AB939" i="14"/>
  <c r="AB565" i="14"/>
  <c r="AY883" i="14"/>
  <c r="AY896" i="14"/>
  <c r="AZ882" i="14" s="1"/>
  <c r="BL111" i="14"/>
  <c r="BK332" i="14"/>
  <c r="BJ260" i="14"/>
  <c r="BI781" i="14"/>
  <c r="AF395" i="14"/>
  <c r="BE303" i="14"/>
  <c r="BF289" i="14" s="1"/>
  <c r="BE290" i="14"/>
  <c r="BG141" i="14"/>
  <c r="BG154" i="14"/>
  <c r="BH140" i="14" s="1"/>
  <c r="AF905" i="14"/>
  <c r="AF906" i="14" s="1"/>
  <c r="AG903" i="14"/>
  <c r="AG780" i="14"/>
  <c r="AG122" i="14"/>
  <c r="AH108" i="14" s="1"/>
  <c r="AH109" i="14" s="1"/>
  <c r="AG177" i="14"/>
  <c r="BH362" i="14"/>
  <c r="BH375" i="14"/>
  <c r="BI361" i="14" s="1"/>
  <c r="AF385" i="14"/>
  <c r="AF404" i="14" s="1"/>
  <c r="AF405" i="14" s="1"/>
  <c r="AF407" i="14" s="1"/>
  <c r="AF410" i="14" s="1"/>
  <c r="AF44" i="14" s="1"/>
  <c r="AF46" i="14" s="1"/>
  <c r="AD39" i="14"/>
  <c r="AD41" i="14" s="1"/>
  <c r="AD33" i="14"/>
  <c r="AE924" i="14"/>
  <c r="AF164" i="14"/>
  <c r="AF173" i="14"/>
  <c r="AG383" i="14"/>
  <c r="AG17" i="14" s="1"/>
  <c r="AG259" i="14"/>
  <c r="AG178" i="14"/>
  <c r="AG162" i="14"/>
  <c r="AG421" i="14"/>
  <c r="AG343" i="14"/>
  <c r="AH329" i="14" s="1"/>
  <c r="AH330" i="14" s="1"/>
  <c r="AG393" i="14"/>
  <c r="AG394" i="14" s="1"/>
  <c r="AG422" i="14"/>
  <c r="AD929" i="14"/>
  <c r="BD811" i="14"/>
  <c r="BD824" i="14"/>
  <c r="BE810" i="14" s="1"/>
  <c r="AE176" i="14"/>
  <c r="AE28" i="14"/>
  <c r="AG941" i="14" l="1"/>
  <c r="AG913" i="14"/>
  <c r="AB942" i="14"/>
  <c r="AB567" i="14"/>
  <c r="BP852" i="14"/>
  <c r="BP940" i="14" s="1"/>
  <c r="BQ853" i="14"/>
  <c r="AE936" i="14"/>
  <c r="AE556" i="14"/>
  <c r="AD937" i="14"/>
  <c r="AD564" i="14"/>
  <c r="AF914" i="14"/>
  <c r="AF936" i="14" s="1"/>
  <c r="AF937" i="14" s="1"/>
  <c r="AF939" i="14" s="1"/>
  <c r="AF942" i="14" s="1"/>
  <c r="AF585" i="14" s="1"/>
  <c r="AF587" i="14" s="1"/>
  <c r="AC939" i="14"/>
  <c r="AC565" i="14"/>
  <c r="AH851" i="14"/>
  <c r="AH912" i="14" s="1"/>
  <c r="AH864" i="14"/>
  <c r="AI850" i="14" s="1"/>
  <c r="AA585" i="14"/>
  <c r="AA587" i="14" s="1"/>
  <c r="AA570" i="14"/>
  <c r="AZ883" i="14"/>
  <c r="AZ896" i="14"/>
  <c r="BA882" i="14" s="1"/>
  <c r="BJ781" i="14"/>
  <c r="BK260" i="14"/>
  <c r="BL332" i="14"/>
  <c r="BM111" i="14"/>
  <c r="AF386" i="14"/>
  <c r="AF20" i="14" s="1"/>
  <c r="BF290" i="14"/>
  <c r="BF303" i="14"/>
  <c r="BG289" i="14" s="1"/>
  <c r="BI362" i="14"/>
  <c r="BI375" i="14"/>
  <c r="BJ361" i="14" s="1"/>
  <c r="AG928" i="14"/>
  <c r="AG569" i="14" s="1"/>
  <c r="AG554" i="14"/>
  <c r="AG904" i="14"/>
  <c r="AF174" i="14"/>
  <c r="AF27" i="14"/>
  <c r="AF923" i="14"/>
  <c r="AH392" i="14"/>
  <c r="AH331" i="14"/>
  <c r="AG163" i="14"/>
  <c r="AG271" i="14"/>
  <c r="AH257" i="14" s="1"/>
  <c r="AH258" i="14" s="1"/>
  <c r="AG408" i="14"/>
  <c r="AG31" i="14" s="1"/>
  <c r="AG409" i="14"/>
  <c r="AG32" i="14" s="1"/>
  <c r="AG384" i="14"/>
  <c r="AG18" i="14" s="1"/>
  <c r="AF19" i="14"/>
  <c r="AE179" i="14"/>
  <c r="AE30" i="14"/>
  <c r="BE811" i="14"/>
  <c r="BE824" i="14"/>
  <c r="BF810" i="14" s="1"/>
  <c r="AE926" i="14"/>
  <c r="BH141" i="14"/>
  <c r="BH154" i="14"/>
  <c r="BI140" i="14" s="1"/>
  <c r="AG395" i="14"/>
  <c r="AG417" i="14"/>
  <c r="AG418" i="14" s="1"/>
  <c r="AG420" i="14" s="1"/>
  <c r="AG423" i="14" s="1"/>
  <c r="AG49" i="14" s="1"/>
  <c r="AG51" i="14" s="1"/>
  <c r="AH161" i="14"/>
  <c r="AH110" i="14"/>
  <c r="AG792" i="14"/>
  <c r="AH778" i="14" s="1"/>
  <c r="AH779" i="14" s="1"/>
  <c r="AG927" i="14"/>
  <c r="AG568" i="14" s="1"/>
  <c r="AD580" i="14"/>
  <c r="AD582" i="14" s="1"/>
  <c r="AC942" i="14" l="1"/>
  <c r="AC567" i="14"/>
  <c r="AF556" i="14"/>
  <c r="AE937" i="14"/>
  <c r="AE564" i="14"/>
  <c r="AB585" i="14"/>
  <c r="AB587" i="14" s="1"/>
  <c r="AB570" i="14"/>
  <c r="AF915" i="14"/>
  <c r="AF557" i="14" s="1"/>
  <c r="AD939" i="14"/>
  <c r="AD565" i="14"/>
  <c r="AG914" i="14"/>
  <c r="AG936" i="14" s="1"/>
  <c r="AG937" i="14" s="1"/>
  <c r="AG939" i="14" s="1"/>
  <c r="AG942" i="14" s="1"/>
  <c r="AG585" i="14" s="1"/>
  <c r="AG587" i="14" s="1"/>
  <c r="BQ852" i="14"/>
  <c r="BQ940" i="14" s="1"/>
  <c r="BR853" i="14"/>
  <c r="AH941" i="14"/>
  <c r="AH913" i="14"/>
  <c r="AI851" i="14"/>
  <c r="AI912" i="14" s="1"/>
  <c r="AI864" i="14"/>
  <c r="AJ850" i="14" s="1"/>
  <c r="BA883" i="14"/>
  <c r="BA896" i="14"/>
  <c r="BB882" i="14" s="1"/>
  <c r="BN111" i="14"/>
  <c r="BM332" i="14"/>
  <c r="BL260" i="14"/>
  <c r="BK781" i="14"/>
  <c r="BG303" i="14"/>
  <c r="BH289" i="14" s="1"/>
  <c r="BG290" i="14"/>
  <c r="BI141" i="14"/>
  <c r="BI154" i="14"/>
  <c r="BJ140" i="14" s="1"/>
  <c r="AF176" i="14"/>
  <c r="AF28" i="14"/>
  <c r="AE39" i="14"/>
  <c r="AE41" i="14" s="1"/>
  <c r="AE33" i="14"/>
  <c r="AG164" i="14"/>
  <c r="AG173" i="14"/>
  <c r="AE929" i="14"/>
  <c r="AG555" i="14"/>
  <c r="AG905" i="14"/>
  <c r="AG906" i="14" s="1"/>
  <c r="AG385" i="14"/>
  <c r="AG404" i="14" s="1"/>
  <c r="AG405" i="14" s="1"/>
  <c r="AG407" i="14" s="1"/>
  <c r="AG410" i="14" s="1"/>
  <c r="AG44" i="14" s="1"/>
  <c r="AG46" i="14" s="1"/>
  <c r="AH421" i="14"/>
  <c r="AH343" i="14"/>
  <c r="AI329" i="14" s="1"/>
  <c r="AI330" i="14" s="1"/>
  <c r="AF924" i="14"/>
  <c r="AF564" i="14"/>
  <c r="AH422" i="14"/>
  <c r="AH393" i="14"/>
  <c r="BF811" i="14"/>
  <c r="BF824" i="14"/>
  <c r="BG810" i="14" s="1"/>
  <c r="AH903" i="14"/>
  <c r="AH780" i="14"/>
  <c r="BJ362" i="14"/>
  <c r="BJ375" i="14"/>
  <c r="BK361" i="14" s="1"/>
  <c r="AH122" i="14"/>
  <c r="AI108" i="14" s="1"/>
  <c r="AI109" i="14" s="1"/>
  <c r="AH177" i="14"/>
  <c r="AH178" i="14"/>
  <c r="AH162" i="14"/>
  <c r="AH383" i="14"/>
  <c r="AH259" i="14"/>
  <c r="AG915" i="14" l="1"/>
  <c r="AG557" i="14" s="1"/>
  <c r="AH914" i="14"/>
  <c r="AH936" i="14" s="1"/>
  <c r="AH937" i="14" s="1"/>
  <c r="AH939" i="14" s="1"/>
  <c r="AH942" i="14" s="1"/>
  <c r="AH585" i="14" s="1"/>
  <c r="AH587" i="14" s="1"/>
  <c r="BR852" i="14"/>
  <c r="BR940" i="14" s="1"/>
  <c r="BS853" i="14"/>
  <c r="AD942" i="14"/>
  <c r="AD567" i="14"/>
  <c r="AE939" i="14"/>
  <c r="AE565" i="14"/>
  <c r="AJ864" i="14"/>
  <c r="AK850" i="14" s="1"/>
  <c r="AJ851" i="14"/>
  <c r="AJ912" i="14" s="1"/>
  <c r="AI941" i="14"/>
  <c r="AI913" i="14"/>
  <c r="AC585" i="14"/>
  <c r="AC587" i="14" s="1"/>
  <c r="AC570" i="14"/>
  <c r="BB883" i="14"/>
  <c r="BB896" i="14"/>
  <c r="BC882" i="14" s="1"/>
  <c r="BN332" i="14"/>
  <c r="BL781" i="14"/>
  <c r="BO111" i="14"/>
  <c r="BM260" i="14"/>
  <c r="AG19" i="14"/>
  <c r="AG386" i="14"/>
  <c r="AG20" i="14" s="1"/>
  <c r="BH303" i="14"/>
  <c r="BI289" i="14" s="1"/>
  <c r="BH290" i="14"/>
  <c r="BK362" i="14"/>
  <c r="BK375" i="14"/>
  <c r="BL361" i="14" s="1"/>
  <c r="AI161" i="14"/>
  <c r="AI110" i="14"/>
  <c r="AH792" i="14"/>
  <c r="AI778" i="14" s="1"/>
  <c r="AI779" i="14" s="1"/>
  <c r="AH927" i="14"/>
  <c r="AH568" i="14" s="1"/>
  <c r="AH928" i="14"/>
  <c r="AH569" i="14" s="1"/>
  <c r="AH904" i="14"/>
  <c r="AH554" i="14"/>
  <c r="AG174" i="14"/>
  <c r="AG27" i="14"/>
  <c r="AF565" i="14"/>
  <c r="AF926" i="14"/>
  <c r="AG923" i="14"/>
  <c r="AG556" i="14"/>
  <c r="AE580" i="14"/>
  <c r="AE582" i="14" s="1"/>
  <c r="AH271" i="14"/>
  <c r="AI257" i="14" s="1"/>
  <c r="AI258" i="14" s="1"/>
  <c r="AH408" i="14"/>
  <c r="AH31" i="14" s="1"/>
  <c r="AH409" i="14"/>
  <c r="AH32" i="14" s="1"/>
  <c r="AH384" i="14"/>
  <c r="AH18" i="14" s="1"/>
  <c r="AH17" i="14"/>
  <c r="AH163" i="14"/>
  <c r="BJ141" i="14"/>
  <c r="BJ154" i="14"/>
  <c r="BK140" i="14" s="1"/>
  <c r="BG811" i="14"/>
  <c r="BG824" i="14"/>
  <c r="BH810" i="14" s="1"/>
  <c r="AH394" i="14"/>
  <c r="AH417" i="14" s="1"/>
  <c r="AH418" i="14" s="1"/>
  <c r="AH420" i="14" s="1"/>
  <c r="AH423" i="14" s="1"/>
  <c r="AH49" i="14" s="1"/>
  <c r="AH51" i="14" s="1"/>
  <c r="AI392" i="14"/>
  <c r="AI331" i="14"/>
  <c r="AF179" i="14"/>
  <c r="AF30" i="14"/>
  <c r="AE942" i="14" l="1"/>
  <c r="AE567" i="14"/>
  <c r="AJ913" i="14"/>
  <c r="AJ941" i="14"/>
  <c r="AI914" i="14"/>
  <c r="AI936" i="14" s="1"/>
  <c r="AI937" i="14" s="1"/>
  <c r="AI939" i="14" s="1"/>
  <c r="AI942" i="14" s="1"/>
  <c r="AI585" i="14" s="1"/>
  <c r="AI587" i="14" s="1"/>
  <c r="AK851" i="14"/>
  <c r="AK912" i="14" s="1"/>
  <c r="AK864" i="14"/>
  <c r="AL850" i="14" s="1"/>
  <c r="AD585" i="14"/>
  <c r="AD587" i="14" s="1"/>
  <c r="AD570" i="14"/>
  <c r="BS852" i="14"/>
  <c r="BS940" i="14" s="1"/>
  <c r="BT853" i="14"/>
  <c r="AH915" i="14"/>
  <c r="BC883" i="14"/>
  <c r="BC896" i="14"/>
  <c r="BD882" i="14" s="1"/>
  <c r="BP111" i="14"/>
  <c r="BO332" i="14"/>
  <c r="BN260" i="14"/>
  <c r="BM781" i="14"/>
  <c r="BI303" i="14"/>
  <c r="BJ289" i="14" s="1"/>
  <c r="BI290" i="14"/>
  <c r="AH395" i="14"/>
  <c r="AG924" i="14"/>
  <c r="AG564" i="14"/>
  <c r="AI903" i="14"/>
  <c r="AI780" i="14"/>
  <c r="AF567" i="14"/>
  <c r="AF929" i="14"/>
  <c r="AG176" i="14"/>
  <c r="AG28" i="14"/>
  <c r="BH811" i="14"/>
  <c r="BH824" i="14"/>
  <c r="BI810" i="14" s="1"/>
  <c r="AI343" i="14"/>
  <c r="AJ329" i="14" s="1"/>
  <c r="AI421" i="14"/>
  <c r="BK141" i="14"/>
  <c r="BK154" i="14"/>
  <c r="BL140" i="14" s="1"/>
  <c r="AH164" i="14"/>
  <c r="AH173" i="14"/>
  <c r="AI383" i="14"/>
  <c r="AI17" i="14" s="1"/>
  <c r="AI259" i="14"/>
  <c r="AI178" i="14"/>
  <c r="AI162" i="14"/>
  <c r="BL362" i="14"/>
  <c r="BL375" i="14"/>
  <c r="BM361" i="14" s="1"/>
  <c r="AH555" i="14"/>
  <c r="AH905" i="14"/>
  <c r="AH385" i="14"/>
  <c r="AH404" i="14" s="1"/>
  <c r="AH405" i="14" s="1"/>
  <c r="AH407" i="14" s="1"/>
  <c r="AH410" i="14" s="1"/>
  <c r="AH44" i="14" s="1"/>
  <c r="AH46" i="14" s="1"/>
  <c r="AI177" i="14"/>
  <c r="AI122" i="14"/>
  <c r="AJ108" i="14" s="1"/>
  <c r="AF39" i="14"/>
  <c r="AF41" i="14" s="1"/>
  <c r="AF33" i="14"/>
  <c r="AI393" i="14"/>
  <c r="AI422" i="14"/>
  <c r="AI915" i="14" l="1"/>
  <c r="BT852" i="14"/>
  <c r="BT940" i="14" s="1"/>
  <c r="BU853" i="14"/>
  <c r="AJ914" i="14"/>
  <c r="AJ936" i="14" s="1"/>
  <c r="AJ937" i="14" s="1"/>
  <c r="AJ939" i="14" s="1"/>
  <c r="AJ942" i="14" s="1"/>
  <c r="AJ585" i="14" s="1"/>
  <c r="AJ587" i="14" s="1"/>
  <c r="AL851" i="14"/>
  <c r="AL912" i="14" s="1"/>
  <c r="AL864" i="14"/>
  <c r="AM850" i="14" s="1"/>
  <c r="AK913" i="14"/>
  <c r="AK941" i="14"/>
  <c r="AE585" i="14"/>
  <c r="AE587" i="14" s="1"/>
  <c r="AE570" i="14"/>
  <c r="BD883" i="14"/>
  <c r="BD896" i="14"/>
  <c r="BE882" i="14" s="1"/>
  <c r="BO260" i="14"/>
  <c r="BP332" i="14"/>
  <c r="BN781" i="14"/>
  <c r="BQ111" i="14"/>
  <c r="AH386" i="14"/>
  <c r="AH20" i="14" s="1"/>
  <c r="BJ303" i="14"/>
  <c r="BK289" i="14" s="1"/>
  <c r="BJ290" i="14"/>
  <c r="AJ109" i="14"/>
  <c r="BM362" i="14"/>
  <c r="BM375" i="14"/>
  <c r="BN361" i="14" s="1"/>
  <c r="BL141" i="14"/>
  <c r="BL154" i="14"/>
  <c r="BM140" i="14" s="1"/>
  <c r="BI811" i="14"/>
  <c r="BI824" i="14"/>
  <c r="BJ810" i="14" s="1"/>
  <c r="AJ330" i="14"/>
  <c r="AF570" i="14"/>
  <c r="AF580" i="14"/>
  <c r="AF582" i="14" s="1"/>
  <c r="AI163" i="14"/>
  <c r="AH923" i="14"/>
  <c r="AH556" i="14"/>
  <c r="AH906" i="14"/>
  <c r="AH557" i="14" s="1"/>
  <c r="AG179" i="14"/>
  <c r="AG30" i="14"/>
  <c r="AI394" i="14"/>
  <c r="AI417" i="14" s="1"/>
  <c r="AI418" i="14" s="1"/>
  <c r="AI420" i="14" s="1"/>
  <c r="AI423" i="14" s="1"/>
  <c r="AI49" i="14" s="1"/>
  <c r="AI51" i="14" s="1"/>
  <c r="AI792" i="14"/>
  <c r="AJ778" i="14" s="1"/>
  <c r="AI927" i="14"/>
  <c r="AI568" i="14" s="1"/>
  <c r="AI271" i="14"/>
  <c r="AJ257" i="14" s="1"/>
  <c r="AI408" i="14"/>
  <c r="AI31" i="14" s="1"/>
  <c r="AI904" i="14"/>
  <c r="AI928" i="14"/>
  <c r="AI569" i="14" s="1"/>
  <c r="AI554" i="14"/>
  <c r="AI409" i="14"/>
  <c r="AI32" i="14" s="1"/>
  <c r="AI384" i="14"/>
  <c r="AI18" i="14" s="1"/>
  <c r="AH19" i="14"/>
  <c r="AH174" i="14"/>
  <c r="AH27" i="14"/>
  <c r="AG926" i="14"/>
  <c r="AG565" i="14"/>
  <c r="AJ915" i="14" l="1"/>
  <c r="AK914" i="14"/>
  <c r="AK936" i="14" s="1"/>
  <c r="AK937" i="14" s="1"/>
  <c r="AK939" i="14" s="1"/>
  <c r="AK942" i="14" s="1"/>
  <c r="AK585" i="14" s="1"/>
  <c r="AK587" i="14" s="1"/>
  <c r="AM851" i="14"/>
  <c r="AM912" i="14" s="1"/>
  <c r="AM864" i="14"/>
  <c r="AN850" i="14" s="1"/>
  <c r="AL941" i="14"/>
  <c r="AL913" i="14"/>
  <c r="BU852" i="14"/>
  <c r="BU940" i="14" s="1"/>
  <c r="BV853" i="14"/>
  <c r="BE883" i="14"/>
  <c r="BE896" i="14"/>
  <c r="BF882" i="14" s="1"/>
  <c r="BO781" i="14"/>
  <c r="BQ332" i="14"/>
  <c r="BP260" i="14"/>
  <c r="BR111" i="14"/>
  <c r="AJ392" i="14"/>
  <c r="AJ393" i="14" s="1"/>
  <c r="AJ331" i="14"/>
  <c r="AJ161" i="14"/>
  <c r="AJ178" i="14" s="1"/>
  <c r="AJ110" i="14"/>
  <c r="BK290" i="14"/>
  <c r="BK303" i="14"/>
  <c r="BL289" i="14" s="1"/>
  <c r="AI905" i="14"/>
  <c r="AI906" i="14" s="1"/>
  <c r="AI557" i="14" s="1"/>
  <c r="AI555" i="14"/>
  <c r="AJ258" i="14"/>
  <c r="AI395" i="14"/>
  <c r="AH176" i="14"/>
  <c r="AH28" i="14"/>
  <c r="AI164" i="14"/>
  <c r="AI173" i="14"/>
  <c r="BJ811" i="14"/>
  <c r="BJ824" i="14"/>
  <c r="BK810" i="14" s="1"/>
  <c r="AG39" i="14"/>
  <c r="AG41" i="14" s="1"/>
  <c r="AG33" i="14"/>
  <c r="BN362" i="14"/>
  <c r="BN375" i="14"/>
  <c r="BO361" i="14" s="1"/>
  <c r="AH924" i="14"/>
  <c r="AH564" i="14"/>
  <c r="AJ779" i="14"/>
  <c r="BM141" i="14"/>
  <c r="BM154" i="14"/>
  <c r="BN140" i="14" s="1"/>
  <c r="AG929" i="14"/>
  <c r="AG567" i="14"/>
  <c r="AI385" i="14"/>
  <c r="AI404" i="14" s="1"/>
  <c r="AI405" i="14" s="1"/>
  <c r="AI407" i="14" s="1"/>
  <c r="AI410" i="14" s="1"/>
  <c r="AI44" i="14" s="1"/>
  <c r="AI46" i="14" s="1"/>
  <c r="AK915" i="14" l="1"/>
  <c r="AL914" i="14"/>
  <c r="AL936" i="14" s="1"/>
  <c r="AL937" i="14" s="1"/>
  <c r="AL939" i="14" s="1"/>
  <c r="AL942" i="14" s="1"/>
  <c r="AL585" i="14" s="1"/>
  <c r="AL587" i="14" s="1"/>
  <c r="AN864" i="14"/>
  <c r="AO850" i="14" s="1"/>
  <c r="AN851" i="14"/>
  <c r="AN912" i="14" s="1"/>
  <c r="BV852" i="14"/>
  <c r="BV940" i="14" s="1"/>
  <c r="BW853" i="14"/>
  <c r="AM941" i="14"/>
  <c r="AM913" i="14"/>
  <c r="BF883" i="14"/>
  <c r="BF896" i="14"/>
  <c r="BG882" i="14" s="1"/>
  <c r="BR332" i="14"/>
  <c r="AJ162" i="14"/>
  <c r="AJ163" i="14" s="1"/>
  <c r="AJ164" i="14" s="1"/>
  <c r="AJ422" i="14"/>
  <c r="BQ260" i="14"/>
  <c r="BS111" i="14"/>
  <c r="BP781" i="14"/>
  <c r="AJ421" i="14"/>
  <c r="AJ343" i="14"/>
  <c r="AK329" i="14" s="1"/>
  <c r="AJ903" i="14"/>
  <c r="AJ554" i="14" s="1"/>
  <c r="AJ780" i="14"/>
  <c r="AJ383" i="14"/>
  <c r="AJ17" i="14" s="1"/>
  <c r="AJ259" i="14"/>
  <c r="AJ177" i="14"/>
  <c r="AJ122" i="14"/>
  <c r="AK108" i="14" s="1"/>
  <c r="BL290" i="14"/>
  <c r="BL303" i="14"/>
  <c r="BM289" i="14" s="1"/>
  <c r="BN141" i="14"/>
  <c r="BN154" i="14"/>
  <c r="BO140" i="14" s="1"/>
  <c r="AG570" i="14"/>
  <c r="AG580" i="14"/>
  <c r="AG582" i="14" s="1"/>
  <c r="AI19" i="14"/>
  <c r="AJ394" i="14"/>
  <c r="AJ417" i="14" s="1"/>
  <c r="AJ418" i="14" s="1"/>
  <c r="AJ420" i="14" s="1"/>
  <c r="AI174" i="14"/>
  <c r="AI27" i="14"/>
  <c r="AH179" i="14"/>
  <c r="AH30" i="14"/>
  <c r="AH926" i="14"/>
  <c r="AH565" i="14"/>
  <c r="BO362" i="14"/>
  <c r="BO375" i="14"/>
  <c r="BP361" i="14" s="1"/>
  <c r="AI386" i="14"/>
  <c r="AI20" i="14" s="1"/>
  <c r="BK811" i="14"/>
  <c r="BK824" i="14"/>
  <c r="BL810" i="14" s="1"/>
  <c r="AI923" i="14"/>
  <c r="AI556" i="14"/>
  <c r="AL915" i="14" l="1"/>
  <c r="BW852" i="14"/>
  <c r="BW940" i="14" s="1"/>
  <c r="BX853" i="14"/>
  <c r="AN941" i="14"/>
  <c r="AN913" i="14"/>
  <c r="AO851" i="14"/>
  <c r="AO912" i="14" s="1"/>
  <c r="AO864" i="14"/>
  <c r="AP850" i="14" s="1"/>
  <c r="AM914" i="14"/>
  <c r="AM936" i="14" s="1"/>
  <c r="AM937" i="14" s="1"/>
  <c r="AM939" i="14" s="1"/>
  <c r="AM942" i="14" s="1"/>
  <c r="AM585" i="14" s="1"/>
  <c r="AM587" i="14" s="1"/>
  <c r="BG883" i="14"/>
  <c r="BG896" i="14"/>
  <c r="BH882" i="14" s="1"/>
  <c r="AJ423" i="14"/>
  <c r="AJ49" i="14" s="1"/>
  <c r="AJ51" i="14" s="1"/>
  <c r="BT111" i="14"/>
  <c r="BR260" i="14"/>
  <c r="AJ904" i="14"/>
  <c r="AJ555" i="14" s="1"/>
  <c r="AJ409" i="14"/>
  <c r="AJ32" i="14" s="1"/>
  <c r="BS332" i="14"/>
  <c r="BQ781" i="14"/>
  <c r="AJ384" i="14"/>
  <c r="AJ385" i="14" s="1"/>
  <c r="AJ404" i="14" s="1"/>
  <c r="AJ405" i="14" s="1"/>
  <c r="AJ407" i="14" s="1"/>
  <c r="AJ928" i="14"/>
  <c r="AJ569" i="14" s="1"/>
  <c r="AK109" i="14"/>
  <c r="AJ927" i="14"/>
  <c r="AJ568" i="14" s="1"/>
  <c r="AJ792" i="14"/>
  <c r="AK778" i="14" s="1"/>
  <c r="AK330" i="14"/>
  <c r="AJ408" i="14"/>
  <c r="AJ31" i="14" s="1"/>
  <c r="AJ271" i="14"/>
  <c r="AK257" i="14" s="1"/>
  <c r="AJ395" i="14"/>
  <c r="BM290" i="14"/>
  <c r="BM303" i="14"/>
  <c r="BN289" i="14" s="1"/>
  <c r="AH39" i="14"/>
  <c r="AH41" i="14" s="1"/>
  <c r="AH33" i="14"/>
  <c r="AI564" i="14"/>
  <c r="AI924" i="14"/>
  <c r="AH929" i="14"/>
  <c r="AH567" i="14"/>
  <c r="BO141" i="14"/>
  <c r="BO154" i="14"/>
  <c r="BP140" i="14" s="1"/>
  <c r="BL811" i="14"/>
  <c r="BL824" i="14"/>
  <c r="BM810" i="14" s="1"/>
  <c r="BP362" i="14"/>
  <c r="BP375" i="14"/>
  <c r="BQ361" i="14" s="1"/>
  <c r="AJ173" i="14"/>
  <c r="AI176" i="14"/>
  <c r="AI28" i="14"/>
  <c r="AM915" i="14" l="1"/>
  <c r="AP864" i="14"/>
  <c r="AQ850" i="14" s="1"/>
  <c r="AP851" i="14"/>
  <c r="AP912" i="14" s="1"/>
  <c r="AO941" i="14"/>
  <c r="AO913" i="14"/>
  <c r="AN914" i="14"/>
  <c r="AN936" i="14" s="1"/>
  <c r="AN937" i="14" s="1"/>
  <c r="AN939" i="14" s="1"/>
  <c r="AN942" i="14" s="1"/>
  <c r="AN585" i="14" s="1"/>
  <c r="AN587" i="14" s="1"/>
  <c r="BX852" i="14"/>
  <c r="BX940" i="14" s="1"/>
  <c r="BY853" i="14"/>
  <c r="BY852" i="14" s="1"/>
  <c r="BY940" i="14" s="1"/>
  <c r="BH883" i="14"/>
  <c r="BH896" i="14"/>
  <c r="BI882" i="14" s="1"/>
  <c r="AJ18" i="14"/>
  <c r="AJ905" i="14"/>
  <c r="AJ906" i="14" s="1"/>
  <c r="AJ557" i="14" s="1"/>
  <c r="AJ410" i="14"/>
  <c r="AJ44" i="14" s="1"/>
  <c r="AJ46" i="14" s="1"/>
  <c r="AK161" i="14"/>
  <c r="AK178" i="14" s="1"/>
  <c r="AK110" i="14"/>
  <c r="AK392" i="14"/>
  <c r="AK393" i="14" s="1"/>
  <c r="AK394" i="14" s="1"/>
  <c r="AK417" i="14" s="1"/>
  <c r="AK418" i="14" s="1"/>
  <c r="AK420" i="14" s="1"/>
  <c r="AK331" i="14"/>
  <c r="BR781" i="14"/>
  <c r="BS260" i="14"/>
  <c r="BU111" i="14"/>
  <c r="BT332" i="14"/>
  <c r="AK779" i="14"/>
  <c r="AK258" i="14"/>
  <c r="AJ19" i="14"/>
  <c r="AJ386" i="14"/>
  <c r="AJ20" i="14" s="1"/>
  <c r="BN290" i="14"/>
  <c r="BN303" i="14"/>
  <c r="BO289" i="14" s="1"/>
  <c r="BQ362" i="14"/>
  <c r="BQ375" i="14"/>
  <c r="BR361" i="14" s="1"/>
  <c r="AI926" i="14"/>
  <c r="AI565" i="14"/>
  <c r="AJ174" i="14"/>
  <c r="AJ27" i="14"/>
  <c r="AI179" i="14"/>
  <c r="AI30" i="14"/>
  <c r="BM811" i="14"/>
  <c r="BM824" i="14"/>
  <c r="BN810" i="14" s="1"/>
  <c r="BP141" i="14"/>
  <c r="BP154" i="14"/>
  <c r="BQ140" i="14" s="1"/>
  <c r="AH570" i="14"/>
  <c r="AH580" i="14"/>
  <c r="AH582" i="14" s="1"/>
  <c r="AN915" i="14" l="1"/>
  <c r="AO914" i="14"/>
  <c r="AO936" i="14" s="1"/>
  <c r="AO937" i="14" s="1"/>
  <c r="AO939" i="14" s="1"/>
  <c r="AO942" i="14" s="1"/>
  <c r="AO585" i="14" s="1"/>
  <c r="AO587" i="14" s="1"/>
  <c r="AP941" i="14"/>
  <c r="AP913" i="14"/>
  <c r="AQ851" i="14"/>
  <c r="AQ912" i="14" s="1"/>
  <c r="AQ864" i="14"/>
  <c r="AR850" i="14" s="1"/>
  <c r="AK422" i="14"/>
  <c r="BI883" i="14"/>
  <c r="BI896" i="14"/>
  <c r="BJ882" i="14" s="1"/>
  <c r="AJ923" i="14"/>
  <c r="AJ924" i="14" s="1"/>
  <c r="AJ556" i="14"/>
  <c r="AK162" i="14"/>
  <c r="AK163" i="14" s="1"/>
  <c r="AK173" i="14" s="1"/>
  <c r="AK174" i="14" s="1"/>
  <c r="AK903" i="14"/>
  <c r="AK554" i="14" s="1"/>
  <c r="AK780" i="14"/>
  <c r="AK177" i="14"/>
  <c r="AK122" i="14"/>
  <c r="AL108" i="14" s="1"/>
  <c r="AL109" i="14" s="1"/>
  <c r="AK421" i="14"/>
  <c r="AK343" i="14"/>
  <c r="AL329" i="14" s="1"/>
  <c r="AL330" i="14" s="1"/>
  <c r="AK383" i="14"/>
  <c r="AK17" i="14" s="1"/>
  <c r="AK259" i="14"/>
  <c r="BV111" i="14"/>
  <c r="BT260" i="14"/>
  <c r="AK395" i="14"/>
  <c r="BU332" i="14"/>
  <c r="BS781" i="14"/>
  <c r="BO290" i="14"/>
  <c r="BO303" i="14"/>
  <c r="BP289" i="14" s="1"/>
  <c r="BQ141" i="14"/>
  <c r="BQ154" i="14"/>
  <c r="BR140" i="14" s="1"/>
  <c r="BN811" i="14"/>
  <c r="BN824" i="14"/>
  <c r="BO810" i="14" s="1"/>
  <c r="AJ176" i="14"/>
  <c r="AJ28" i="14"/>
  <c r="AI929" i="14"/>
  <c r="AI567" i="14"/>
  <c r="BR362" i="14"/>
  <c r="BR375" i="14"/>
  <c r="BS361" i="14" s="1"/>
  <c r="AI39" i="14"/>
  <c r="AI41" i="14" s="1"/>
  <c r="AI33" i="14"/>
  <c r="AO915" i="14" l="1"/>
  <c r="AR851" i="14"/>
  <c r="AR912" i="14" s="1"/>
  <c r="AR864" i="14"/>
  <c r="AS850" i="14" s="1"/>
  <c r="AP914" i="14"/>
  <c r="AP936" i="14" s="1"/>
  <c r="AP937" i="14" s="1"/>
  <c r="AP939" i="14" s="1"/>
  <c r="AP942" i="14" s="1"/>
  <c r="AP585" i="14" s="1"/>
  <c r="AP587" i="14" s="1"/>
  <c r="AK423" i="14"/>
  <c r="AK49" i="14" s="1"/>
  <c r="AK51" i="14" s="1"/>
  <c r="AQ941" i="14"/>
  <c r="AQ913" i="14"/>
  <c r="BJ883" i="14"/>
  <c r="BJ896" i="14"/>
  <c r="BK882" i="14" s="1"/>
  <c r="AJ564" i="14"/>
  <c r="AK928" i="14"/>
  <c r="AK569" i="14" s="1"/>
  <c r="AK904" i="14"/>
  <c r="AK905" i="14" s="1"/>
  <c r="AK164" i="14"/>
  <c r="AK409" i="14"/>
  <c r="AK32" i="14" s="1"/>
  <c r="AL161" i="14"/>
  <c r="AL110" i="14"/>
  <c r="AL392" i="14"/>
  <c r="AL331" i="14"/>
  <c r="AK408" i="14"/>
  <c r="AK31" i="14" s="1"/>
  <c r="AK271" i="14"/>
  <c r="AL257" i="14" s="1"/>
  <c r="AL258" i="14" s="1"/>
  <c r="AK384" i="14"/>
  <c r="AK385" i="14" s="1"/>
  <c r="AK927" i="14"/>
  <c r="AK568" i="14" s="1"/>
  <c r="AK792" i="14"/>
  <c r="AL778" i="14" s="1"/>
  <c r="AL779" i="14" s="1"/>
  <c r="BV332" i="14"/>
  <c r="BT781" i="14"/>
  <c r="BW111" i="14"/>
  <c r="BU260" i="14"/>
  <c r="BP290" i="14"/>
  <c r="BP303" i="14"/>
  <c r="BQ289" i="14" s="1"/>
  <c r="BS362" i="14"/>
  <c r="BS375" i="14"/>
  <c r="BT361" i="14" s="1"/>
  <c r="AK176" i="14"/>
  <c r="AJ179" i="14"/>
  <c r="AJ30" i="14"/>
  <c r="BO811" i="14"/>
  <c r="BO824" i="14"/>
  <c r="BP810" i="14" s="1"/>
  <c r="BR141" i="14"/>
  <c r="BR154" i="14"/>
  <c r="BS140" i="14" s="1"/>
  <c r="AI580" i="14"/>
  <c r="AI582" i="14" s="1"/>
  <c r="AI570" i="14"/>
  <c r="AJ926" i="14"/>
  <c r="AJ565" i="14"/>
  <c r="AP915" i="14" l="1"/>
  <c r="AQ914" i="14"/>
  <c r="AQ936" i="14" s="1"/>
  <c r="AQ937" i="14" s="1"/>
  <c r="AQ939" i="14" s="1"/>
  <c r="AQ942" i="14" s="1"/>
  <c r="AQ585" i="14" s="1"/>
  <c r="AQ587" i="14" s="1"/>
  <c r="AS851" i="14"/>
  <c r="AS912" i="14" s="1"/>
  <c r="AS864" i="14"/>
  <c r="AT850" i="14" s="1"/>
  <c r="AR941" i="14"/>
  <c r="AR913" i="14"/>
  <c r="BK883" i="14"/>
  <c r="BK896" i="14"/>
  <c r="BL882" i="14" s="1"/>
  <c r="AK555" i="14"/>
  <c r="AK386" i="14"/>
  <c r="AK20" i="14" s="1"/>
  <c r="AK18" i="14"/>
  <c r="AL421" i="14"/>
  <c r="AL343" i="14"/>
  <c r="AM329" i="14" s="1"/>
  <c r="AM330" i="14" s="1"/>
  <c r="AL393" i="14"/>
  <c r="AL422" i="14"/>
  <c r="AL177" i="14"/>
  <c r="AL122" i="14"/>
  <c r="AM108" i="14" s="1"/>
  <c r="AM109" i="14" s="1"/>
  <c r="AL903" i="14"/>
  <c r="AL780" i="14"/>
  <c r="AL383" i="14"/>
  <c r="AL259" i="14"/>
  <c r="AL178" i="14"/>
  <c r="AL162" i="14"/>
  <c r="AL163" i="14" s="1"/>
  <c r="BV260" i="14"/>
  <c r="BX111" i="14"/>
  <c r="BU781" i="14"/>
  <c r="BW332" i="14"/>
  <c r="AK923" i="14"/>
  <c r="AK906" i="14"/>
  <c r="AK557" i="14" s="1"/>
  <c r="AK556" i="14"/>
  <c r="AK404" i="14"/>
  <c r="AK19" i="14"/>
  <c r="BQ303" i="14"/>
  <c r="BR289" i="14" s="1"/>
  <c r="BQ290" i="14"/>
  <c r="AJ39" i="14"/>
  <c r="AJ41" i="14" s="1"/>
  <c r="AJ33" i="14"/>
  <c r="BS141" i="14"/>
  <c r="BS154" i="14"/>
  <c r="BT140" i="14" s="1"/>
  <c r="BT362" i="14"/>
  <c r="BT375" i="14"/>
  <c r="BU361" i="14" s="1"/>
  <c r="AJ929" i="14"/>
  <c r="AJ567" i="14"/>
  <c r="AK179" i="14"/>
  <c r="BP811" i="14"/>
  <c r="BP824" i="14"/>
  <c r="BQ810" i="14" s="1"/>
  <c r="AQ915" i="14" l="1"/>
  <c r="AR914" i="14"/>
  <c r="AR936" i="14" s="1"/>
  <c r="AR937" i="14" s="1"/>
  <c r="AR939" i="14" s="1"/>
  <c r="AR942" i="14" s="1"/>
  <c r="AR585" i="14" s="1"/>
  <c r="AR587" i="14" s="1"/>
  <c r="AT851" i="14"/>
  <c r="AT912" i="14" s="1"/>
  <c r="AT864" i="14"/>
  <c r="AU850" i="14" s="1"/>
  <c r="AS941" i="14"/>
  <c r="AS913" i="14"/>
  <c r="BL883" i="14"/>
  <c r="BL896" i="14"/>
  <c r="BM882" i="14" s="1"/>
  <c r="AL409" i="14"/>
  <c r="AL32" i="14" s="1"/>
  <c r="AL384" i="14"/>
  <c r="AL385" i="14" s="1"/>
  <c r="AL404" i="14" s="1"/>
  <c r="AL17" i="14"/>
  <c r="AL164" i="14"/>
  <c r="AL173" i="14"/>
  <c r="AL174" i="14" s="1"/>
  <c r="AL176" i="14" s="1"/>
  <c r="AL179" i="14" s="1"/>
  <c r="AL408" i="14"/>
  <c r="AL31" i="14" s="1"/>
  <c r="AL271" i="14"/>
  <c r="AM257" i="14" s="1"/>
  <c r="AM258" i="14" s="1"/>
  <c r="AL927" i="14"/>
  <c r="AL568" i="14" s="1"/>
  <c r="AL792" i="14"/>
  <c r="AM778" i="14" s="1"/>
  <c r="AM779" i="14" s="1"/>
  <c r="AL904" i="14"/>
  <c r="AL554" i="14"/>
  <c r="AL928" i="14"/>
  <c r="AL569" i="14" s="1"/>
  <c r="AL394" i="14"/>
  <c r="AL417" i="14" s="1"/>
  <c r="AL418" i="14" s="1"/>
  <c r="AL420" i="14" s="1"/>
  <c r="AL423" i="14" s="1"/>
  <c r="AL49" i="14" s="1"/>
  <c r="AL51" i="14" s="1"/>
  <c r="AM392" i="14"/>
  <c r="AM331" i="14"/>
  <c r="AM161" i="14"/>
  <c r="AM110" i="14"/>
  <c r="BV781" i="14"/>
  <c r="BY111" i="14"/>
  <c r="BW260" i="14"/>
  <c r="BX332" i="14"/>
  <c r="AK405" i="14"/>
  <c r="AK27" i="14"/>
  <c r="AK924" i="14"/>
  <c r="AK564" i="14"/>
  <c r="BR303" i="14"/>
  <c r="BS289" i="14" s="1"/>
  <c r="BR290" i="14"/>
  <c r="BT141" i="14"/>
  <c r="BT154" i="14"/>
  <c r="BU140" i="14" s="1"/>
  <c r="BQ811" i="14"/>
  <c r="BQ824" i="14"/>
  <c r="BR810" i="14" s="1"/>
  <c r="BU362" i="14"/>
  <c r="BU375" i="14"/>
  <c r="BV361" i="14" s="1"/>
  <c r="AK39" i="14"/>
  <c r="AK41" i="14" s="1"/>
  <c r="AJ580" i="14"/>
  <c r="AJ582" i="14" s="1"/>
  <c r="AJ570" i="14"/>
  <c r="AS914" i="14" l="1"/>
  <c r="AS936" i="14" s="1"/>
  <c r="AS937" i="14" s="1"/>
  <c r="AS939" i="14" s="1"/>
  <c r="AS942" i="14" s="1"/>
  <c r="AS585" i="14" s="1"/>
  <c r="AS587" i="14" s="1"/>
  <c r="AU864" i="14"/>
  <c r="AV850" i="14" s="1"/>
  <c r="AU851" i="14"/>
  <c r="AU912" i="14" s="1"/>
  <c r="AT941" i="14"/>
  <c r="AT913" i="14"/>
  <c r="AR915" i="14"/>
  <c r="BM883" i="14"/>
  <c r="BM896" i="14"/>
  <c r="BN882" i="14" s="1"/>
  <c r="AL386" i="14"/>
  <c r="AL18" i="14"/>
  <c r="AL19" i="14"/>
  <c r="AM903" i="14"/>
  <c r="AM780" i="14"/>
  <c r="AM177" i="14"/>
  <c r="AM122" i="14"/>
  <c r="AN108" i="14" s="1"/>
  <c r="AN109" i="14" s="1"/>
  <c r="AL395" i="14"/>
  <c r="AL905" i="14"/>
  <c r="AL555" i="14"/>
  <c r="AM383" i="14"/>
  <c r="AM17" i="14" s="1"/>
  <c r="AM259" i="14"/>
  <c r="AM162" i="14"/>
  <c r="AM178" i="14"/>
  <c r="AM393" i="14"/>
  <c r="AM422" i="14"/>
  <c r="AM421" i="14"/>
  <c r="AM343" i="14"/>
  <c r="AN329" i="14" s="1"/>
  <c r="AN330" i="14" s="1"/>
  <c r="BY332" i="14"/>
  <c r="BX260" i="14"/>
  <c r="BW781" i="14"/>
  <c r="AK407" i="14"/>
  <c r="AK28" i="14"/>
  <c r="AL405" i="14"/>
  <c r="AL27" i="14"/>
  <c r="AK926" i="14"/>
  <c r="AK565" i="14"/>
  <c r="BS290" i="14"/>
  <c r="BS303" i="14"/>
  <c r="BT289" i="14" s="1"/>
  <c r="BR811" i="14"/>
  <c r="BR824" i="14"/>
  <c r="BS810" i="14" s="1"/>
  <c r="AL39" i="14"/>
  <c r="AL41" i="14" s="1"/>
  <c r="BU141" i="14"/>
  <c r="BU154" i="14"/>
  <c r="BV140" i="14" s="1"/>
  <c r="BV362" i="14"/>
  <c r="BV375" i="14"/>
  <c r="BW361" i="14" s="1"/>
  <c r="AS915" i="14" l="1"/>
  <c r="AT914" i="14"/>
  <c r="AT936" i="14" s="1"/>
  <c r="AT937" i="14" s="1"/>
  <c r="AT939" i="14" s="1"/>
  <c r="AT942" i="14" s="1"/>
  <c r="AT585" i="14" s="1"/>
  <c r="AT587" i="14" s="1"/>
  <c r="AU941" i="14"/>
  <c r="AU913" i="14"/>
  <c r="AV851" i="14"/>
  <c r="AV912" i="14" s="1"/>
  <c r="AV864" i="14"/>
  <c r="AW850" i="14" s="1"/>
  <c r="BN883" i="14"/>
  <c r="BN896" i="14"/>
  <c r="BO882" i="14" s="1"/>
  <c r="AL20" i="14"/>
  <c r="AM394" i="14"/>
  <c r="AM417" i="14" s="1"/>
  <c r="AM418" i="14" s="1"/>
  <c r="AM420" i="14" s="1"/>
  <c r="AM423" i="14" s="1"/>
  <c r="AM49" i="14" s="1"/>
  <c r="AM51" i="14" s="1"/>
  <c r="AM163" i="14"/>
  <c r="AM164" i="14" s="1"/>
  <c r="AM409" i="14"/>
  <c r="AM32" i="14" s="1"/>
  <c r="AM384" i="14"/>
  <c r="AM18" i="14" s="1"/>
  <c r="AL906" i="14"/>
  <c r="AL557" i="14" s="1"/>
  <c r="AL556" i="14"/>
  <c r="AL923" i="14"/>
  <c r="AM927" i="14"/>
  <c r="AM568" i="14" s="1"/>
  <c r="AM792" i="14"/>
  <c r="AN778" i="14" s="1"/>
  <c r="AN779" i="14" s="1"/>
  <c r="AM554" i="14"/>
  <c r="AM904" i="14"/>
  <c r="AM928" i="14"/>
  <c r="AM569" i="14" s="1"/>
  <c r="AM408" i="14"/>
  <c r="AM31" i="14" s="1"/>
  <c r="AM271" i="14"/>
  <c r="AN257" i="14" s="1"/>
  <c r="AN258" i="14" s="1"/>
  <c r="AN392" i="14"/>
  <c r="AN331" i="14"/>
  <c r="AN161" i="14"/>
  <c r="AN110" i="14"/>
  <c r="BX781" i="14"/>
  <c r="BY260" i="14"/>
  <c r="AL407" i="14"/>
  <c r="AL28" i="14"/>
  <c r="AK567" i="14"/>
  <c r="AK929" i="14"/>
  <c r="AK410" i="14"/>
  <c r="AK30" i="14"/>
  <c r="BT290" i="14"/>
  <c r="BT303" i="14"/>
  <c r="BU289" i="14" s="1"/>
  <c r="BV141" i="14"/>
  <c r="BV154" i="14"/>
  <c r="BW140" i="14" s="1"/>
  <c r="BS811" i="14"/>
  <c r="BS824" i="14"/>
  <c r="BT810" i="14" s="1"/>
  <c r="BW362" i="14"/>
  <c r="BW375" i="14"/>
  <c r="BX361" i="14" s="1"/>
  <c r="AT915" i="14" l="1"/>
  <c r="AW851" i="14"/>
  <c r="AW912" i="14" s="1"/>
  <c r="AW864" i="14"/>
  <c r="AX850" i="14" s="1"/>
  <c r="AV913" i="14"/>
  <c r="AV941" i="14"/>
  <c r="AU914" i="14"/>
  <c r="AU936" i="14" s="1"/>
  <c r="AU937" i="14" s="1"/>
  <c r="AU939" i="14" s="1"/>
  <c r="AU942" i="14" s="1"/>
  <c r="AU585" i="14" s="1"/>
  <c r="AU587" i="14" s="1"/>
  <c r="BO883" i="14"/>
  <c r="BO896" i="14"/>
  <c r="BP882" i="14" s="1"/>
  <c r="AM395" i="14"/>
  <c r="AL564" i="14"/>
  <c r="AL924" i="14"/>
  <c r="AN178" i="14"/>
  <c r="AN162" i="14"/>
  <c r="AM555" i="14"/>
  <c r="AM905" i="14"/>
  <c r="AM906" i="14" s="1"/>
  <c r="AM557" i="14" s="1"/>
  <c r="AN421" i="14"/>
  <c r="AN343" i="14"/>
  <c r="AO329" i="14" s="1"/>
  <c r="AO330" i="14" s="1"/>
  <c r="AM173" i="14"/>
  <c r="AN903" i="14"/>
  <c r="AN780" i="14"/>
  <c r="AM385" i="14"/>
  <c r="AM404" i="14" s="1"/>
  <c r="AM405" i="14" s="1"/>
  <c r="AM407" i="14" s="1"/>
  <c r="AM410" i="14" s="1"/>
  <c r="AM44" i="14" s="1"/>
  <c r="AM46" i="14" s="1"/>
  <c r="AN393" i="14"/>
  <c r="AN422" i="14"/>
  <c r="AN177" i="14"/>
  <c r="AN122" i="14"/>
  <c r="AO108" i="14" s="1"/>
  <c r="AO109" i="14" s="1"/>
  <c r="AN383" i="14"/>
  <c r="AN259" i="14"/>
  <c r="BY781" i="14"/>
  <c r="AK570" i="14"/>
  <c r="AK580" i="14"/>
  <c r="AK582" i="14" s="1"/>
  <c r="AK44" i="14"/>
  <c r="AK46" i="14" s="1"/>
  <c r="AK33" i="14"/>
  <c r="AL410" i="14"/>
  <c r="AL30" i="14"/>
  <c r="BU303" i="14"/>
  <c r="BV289" i="14" s="1"/>
  <c r="BU290" i="14"/>
  <c r="BT811" i="14"/>
  <c r="BT824" i="14"/>
  <c r="BU810" i="14" s="1"/>
  <c r="BW141" i="14"/>
  <c r="BW154" i="14"/>
  <c r="BX140" i="14" s="1"/>
  <c r="BX362" i="14"/>
  <c r="BX375" i="14"/>
  <c r="BY361" i="14" s="1"/>
  <c r="AU915" i="14" l="1"/>
  <c r="AV914" i="14"/>
  <c r="AV936" i="14" s="1"/>
  <c r="AV937" i="14" s="1"/>
  <c r="AV939" i="14" s="1"/>
  <c r="AV942" i="14" s="1"/>
  <c r="AV585" i="14" s="1"/>
  <c r="AV587" i="14" s="1"/>
  <c r="AX864" i="14"/>
  <c r="AY850" i="14" s="1"/>
  <c r="AX851" i="14"/>
  <c r="AX912" i="14" s="1"/>
  <c r="AW941" i="14"/>
  <c r="AW913" i="14"/>
  <c r="BP883" i="14"/>
  <c r="BP896" i="14"/>
  <c r="BQ882" i="14" s="1"/>
  <c r="AN928" i="14"/>
  <c r="AN569" i="14" s="1"/>
  <c r="AN554" i="14"/>
  <c r="AN904" i="14"/>
  <c r="AM923" i="14"/>
  <c r="AM556" i="14"/>
  <c r="AN384" i="14"/>
  <c r="AN18" i="14" s="1"/>
  <c r="AN409" i="14"/>
  <c r="AN32" i="14" s="1"/>
  <c r="AN17" i="14"/>
  <c r="AN927" i="14"/>
  <c r="AN568" i="14" s="1"/>
  <c r="AN792" i="14"/>
  <c r="AO778" i="14" s="1"/>
  <c r="AO779" i="14" s="1"/>
  <c r="AM174" i="14"/>
  <c r="AM27" i="14"/>
  <c r="AO161" i="14"/>
  <c r="AO110" i="14"/>
  <c r="AN163" i="14"/>
  <c r="AN408" i="14"/>
  <c r="AN31" i="14" s="1"/>
  <c r="AN271" i="14"/>
  <c r="AO257" i="14" s="1"/>
  <c r="AO258" i="14" s="1"/>
  <c r="AL926" i="14"/>
  <c r="AL565" i="14"/>
  <c r="AM19" i="14"/>
  <c r="AN394" i="14"/>
  <c r="AN417" i="14" s="1"/>
  <c r="AN418" i="14" s="1"/>
  <c r="AN420" i="14" s="1"/>
  <c r="AN423" i="14" s="1"/>
  <c r="AN49" i="14" s="1"/>
  <c r="AN51" i="14" s="1"/>
  <c r="AO392" i="14"/>
  <c r="AO331" i="14"/>
  <c r="AM386" i="14"/>
  <c r="AM20" i="14" s="1"/>
  <c r="AL44" i="14"/>
  <c r="AL46" i="14" s="1"/>
  <c r="AL33" i="14"/>
  <c r="BV290" i="14"/>
  <c r="BV303" i="14"/>
  <c r="BW289" i="14" s="1"/>
  <c r="BY362" i="14"/>
  <c r="BY375" i="14"/>
  <c r="BU811" i="14"/>
  <c r="BU824" i="14"/>
  <c r="BV810" i="14" s="1"/>
  <c r="BX141" i="14"/>
  <c r="BX154" i="14"/>
  <c r="BY140" i="14" s="1"/>
  <c r="AW914" i="14" l="1"/>
  <c r="AW936" i="14" s="1"/>
  <c r="AW937" i="14" s="1"/>
  <c r="AW939" i="14" s="1"/>
  <c r="AW942" i="14" s="1"/>
  <c r="AW585" i="14" s="1"/>
  <c r="AW587" i="14" s="1"/>
  <c r="AX913" i="14"/>
  <c r="AX941" i="14"/>
  <c r="AY851" i="14"/>
  <c r="AY912" i="14" s="1"/>
  <c r="AY864" i="14"/>
  <c r="AZ850" i="14" s="1"/>
  <c r="AV915" i="14"/>
  <c r="BQ883" i="14"/>
  <c r="BQ896" i="14"/>
  <c r="BR882" i="14" s="1"/>
  <c r="AN395" i="14"/>
  <c r="AN164" i="14"/>
  <c r="AN173" i="14"/>
  <c r="AO178" i="14"/>
  <c r="AO162" i="14"/>
  <c r="AO177" i="14"/>
  <c r="AO122" i="14"/>
  <c r="AP108" i="14" s="1"/>
  <c r="AP109" i="14" s="1"/>
  <c r="AO422" i="14"/>
  <c r="AO393" i="14"/>
  <c r="AO421" i="14"/>
  <c r="AO343" i="14"/>
  <c r="AP329" i="14" s="1"/>
  <c r="AP330" i="14" s="1"/>
  <c r="AN385" i="14"/>
  <c r="AN404" i="14" s="1"/>
  <c r="AN405" i="14" s="1"/>
  <c r="AN407" i="14" s="1"/>
  <c r="AN410" i="14" s="1"/>
  <c r="AN44" i="14" s="1"/>
  <c r="AN46" i="14" s="1"/>
  <c r="AL929" i="14"/>
  <c r="AL567" i="14"/>
  <c r="AM924" i="14"/>
  <c r="AM564" i="14"/>
  <c r="AM176" i="14"/>
  <c r="AM28" i="14"/>
  <c r="AO383" i="14"/>
  <c r="AO17" i="14" s="1"/>
  <c r="AO259" i="14"/>
  <c r="AN905" i="14"/>
  <c r="AN906" i="14" s="1"/>
  <c r="AN557" i="14" s="1"/>
  <c r="AN555" i="14"/>
  <c r="AO903" i="14"/>
  <c r="AO780" i="14"/>
  <c r="BW290" i="14"/>
  <c r="BW303" i="14"/>
  <c r="BX289" i="14" s="1"/>
  <c r="BV811" i="14"/>
  <c r="BV824" i="14"/>
  <c r="BW810" i="14" s="1"/>
  <c r="BY141" i="14"/>
  <c r="BY154" i="14"/>
  <c r="AW915" i="14" l="1"/>
  <c r="AZ851" i="14"/>
  <c r="AZ912" i="14" s="1"/>
  <c r="AZ864" i="14"/>
  <c r="BA850" i="14" s="1"/>
  <c r="AY913" i="14"/>
  <c r="AY941" i="14"/>
  <c r="AX914" i="14"/>
  <c r="AX936" i="14" s="1"/>
  <c r="AX937" i="14" s="1"/>
  <c r="AX939" i="14" s="1"/>
  <c r="AX942" i="14" s="1"/>
  <c r="AX585" i="14" s="1"/>
  <c r="AX587" i="14" s="1"/>
  <c r="BR883" i="14"/>
  <c r="BR896" i="14"/>
  <c r="BS882" i="14" s="1"/>
  <c r="AN386" i="14"/>
  <c r="AN20" i="14" s="1"/>
  <c r="AL580" i="14"/>
  <c r="AL582" i="14" s="1"/>
  <c r="AL570" i="14"/>
  <c r="AO927" i="14"/>
  <c r="AO568" i="14" s="1"/>
  <c r="AO792" i="14"/>
  <c r="AP778" i="14" s="1"/>
  <c r="AP779" i="14" s="1"/>
  <c r="AP161" i="14"/>
  <c r="AP110" i="14"/>
  <c r="AO384" i="14"/>
  <c r="AO18" i="14" s="1"/>
  <c r="AO409" i="14"/>
  <c r="AO32" i="14" s="1"/>
  <c r="AO163" i="14"/>
  <c r="AP392" i="14"/>
  <c r="AP331" i="14"/>
  <c r="AO904" i="14"/>
  <c r="AO554" i="14"/>
  <c r="AO928" i="14"/>
  <c r="AO569" i="14" s="1"/>
  <c r="AO394" i="14"/>
  <c r="AO417" i="14" s="1"/>
  <c r="AO418" i="14" s="1"/>
  <c r="AO420" i="14" s="1"/>
  <c r="AO423" i="14" s="1"/>
  <c r="AO49" i="14" s="1"/>
  <c r="AO51" i="14" s="1"/>
  <c r="AO408" i="14"/>
  <c r="AO31" i="14" s="1"/>
  <c r="AO271" i="14"/>
  <c r="AP257" i="14" s="1"/>
  <c r="AP258" i="14" s="1"/>
  <c r="AM179" i="14"/>
  <c r="AM30" i="14"/>
  <c r="AN19" i="14"/>
  <c r="AN174" i="14"/>
  <c r="AN27" i="14"/>
  <c r="AN923" i="14"/>
  <c r="AN556" i="14"/>
  <c r="AM565" i="14"/>
  <c r="AM926" i="14"/>
  <c r="BX303" i="14"/>
  <c r="BY289" i="14" s="1"/>
  <c r="BX290" i="14"/>
  <c r="BW811" i="14"/>
  <c r="BW824" i="14"/>
  <c r="BX810" i="14" s="1"/>
  <c r="AX915" i="14" l="1"/>
  <c r="AY914" i="14"/>
  <c r="AY936" i="14" s="1"/>
  <c r="AY937" i="14" s="1"/>
  <c r="AY939" i="14" s="1"/>
  <c r="AY942" i="14" s="1"/>
  <c r="AY585" i="14" s="1"/>
  <c r="AY587" i="14" s="1"/>
  <c r="BA864" i="14"/>
  <c r="BB850" i="14" s="1"/>
  <c r="BA851" i="14"/>
  <c r="BA912" i="14" s="1"/>
  <c r="AZ941" i="14"/>
  <c r="AZ913" i="14"/>
  <c r="BS883" i="14"/>
  <c r="BS896" i="14"/>
  <c r="BT882" i="14" s="1"/>
  <c r="AO395" i="14"/>
  <c r="AM929" i="14"/>
  <c r="AM567" i="14"/>
  <c r="AP393" i="14"/>
  <c r="AP422" i="14"/>
  <c r="AP177" i="14"/>
  <c r="AP122" i="14"/>
  <c r="AQ108" i="14" s="1"/>
  <c r="AQ109" i="14" s="1"/>
  <c r="AO173" i="14"/>
  <c r="AM33" i="14"/>
  <c r="AM39" i="14"/>
  <c r="AM41" i="14" s="1"/>
  <c r="AP178" i="14"/>
  <c r="AP162" i="14"/>
  <c r="AP421" i="14"/>
  <c r="AP343" i="14"/>
  <c r="AQ329" i="14" s="1"/>
  <c r="AQ330" i="14" s="1"/>
  <c r="AP903" i="14"/>
  <c r="AP780" i="14"/>
  <c r="AN924" i="14"/>
  <c r="AN564" i="14"/>
  <c r="AN28" i="14"/>
  <c r="AN176" i="14"/>
  <c r="AO555" i="14"/>
  <c r="AO905" i="14"/>
  <c r="AO906" i="14" s="1"/>
  <c r="AO557" i="14" s="1"/>
  <c r="AO164" i="14"/>
  <c r="AO385" i="14"/>
  <c r="AO404" i="14" s="1"/>
  <c r="AO405" i="14" s="1"/>
  <c r="AO407" i="14" s="1"/>
  <c r="AO410" i="14" s="1"/>
  <c r="AO44" i="14" s="1"/>
  <c r="AO46" i="14" s="1"/>
  <c r="AP383" i="14"/>
  <c r="AP17" i="14" s="1"/>
  <c r="AP259" i="14"/>
  <c r="BY290" i="14"/>
  <c r="BY303" i="14"/>
  <c r="BX811" i="14"/>
  <c r="BX824" i="14"/>
  <c r="BY810" i="14" s="1"/>
  <c r="BA941" i="14" l="1"/>
  <c r="BA913" i="14"/>
  <c r="BB864" i="14"/>
  <c r="BC850" i="14" s="1"/>
  <c r="BB851" i="14"/>
  <c r="BB912" i="14" s="1"/>
  <c r="AZ914" i="14"/>
  <c r="AZ936" i="14" s="1"/>
  <c r="AZ937" i="14" s="1"/>
  <c r="AZ939" i="14" s="1"/>
  <c r="AZ942" i="14" s="1"/>
  <c r="AZ585" i="14" s="1"/>
  <c r="AZ587" i="14" s="1"/>
  <c r="AY915" i="14"/>
  <c r="BT883" i="14"/>
  <c r="BT896" i="14"/>
  <c r="BU882" i="14" s="1"/>
  <c r="AP408" i="14"/>
  <c r="AP31" i="14" s="1"/>
  <c r="AP271" i="14"/>
  <c r="AQ257" i="14" s="1"/>
  <c r="AQ258" i="14" s="1"/>
  <c r="AP163" i="14"/>
  <c r="AP384" i="14"/>
  <c r="AP409" i="14"/>
  <c r="AP32" i="14" s="1"/>
  <c r="AP928" i="14"/>
  <c r="AP569" i="14" s="1"/>
  <c r="AP904" i="14"/>
  <c r="AP554" i="14"/>
  <c r="AQ161" i="14"/>
  <c r="AQ110" i="14"/>
  <c r="AP394" i="14"/>
  <c r="AP417" i="14" s="1"/>
  <c r="AP418" i="14" s="1"/>
  <c r="AP420" i="14" s="1"/>
  <c r="AP423" i="14" s="1"/>
  <c r="AP49" i="14" s="1"/>
  <c r="AP51" i="14" s="1"/>
  <c r="AQ392" i="14"/>
  <c r="AQ331" i="14"/>
  <c r="AO386" i="14"/>
  <c r="AO20" i="14" s="1"/>
  <c r="AO19" i="14"/>
  <c r="AO174" i="14"/>
  <c r="AO27" i="14"/>
  <c r="AN179" i="14"/>
  <c r="AN30" i="14"/>
  <c r="AN565" i="14"/>
  <c r="AN926" i="14"/>
  <c r="AO556" i="14"/>
  <c r="AO923" i="14"/>
  <c r="AP927" i="14"/>
  <c r="AP568" i="14" s="1"/>
  <c r="AP792" i="14"/>
  <c r="AQ778" i="14" s="1"/>
  <c r="AQ779" i="14" s="1"/>
  <c r="AM570" i="14"/>
  <c r="AM580" i="14"/>
  <c r="AM582" i="14" s="1"/>
  <c r="BY811" i="14"/>
  <c r="BY824" i="14"/>
  <c r="AZ915" i="14" l="1"/>
  <c r="BB941" i="14"/>
  <c r="BB913" i="14"/>
  <c r="BC851" i="14"/>
  <c r="BC912" i="14" s="1"/>
  <c r="BC864" i="14"/>
  <c r="BD850" i="14" s="1"/>
  <c r="BA914" i="14"/>
  <c r="BA936" i="14" s="1"/>
  <c r="BA937" i="14" s="1"/>
  <c r="BA939" i="14" s="1"/>
  <c r="BA942" i="14" s="1"/>
  <c r="BA585" i="14" s="1"/>
  <c r="BA587" i="14" s="1"/>
  <c r="BU883" i="14"/>
  <c r="BU896" i="14"/>
  <c r="BV882" i="14" s="1"/>
  <c r="AP395" i="14"/>
  <c r="AP555" i="14"/>
  <c r="AP905" i="14"/>
  <c r="AP906" i="14" s="1"/>
  <c r="AP557" i="14" s="1"/>
  <c r="AQ162" i="14"/>
  <c r="AQ178" i="14"/>
  <c r="AQ393" i="14"/>
  <c r="AQ422" i="14"/>
  <c r="AQ177" i="14"/>
  <c r="AQ122" i="14"/>
  <c r="AR108" i="14" s="1"/>
  <c r="AR109" i="14" s="1"/>
  <c r="AP385" i="14"/>
  <c r="AP404" i="14" s="1"/>
  <c r="AP405" i="14" s="1"/>
  <c r="AP407" i="14" s="1"/>
  <c r="AP410" i="14" s="1"/>
  <c r="AP44" i="14" s="1"/>
  <c r="AP46" i="14" s="1"/>
  <c r="AN39" i="14"/>
  <c r="AN41" i="14" s="1"/>
  <c r="AN33" i="14"/>
  <c r="AP18" i="14"/>
  <c r="AQ903" i="14"/>
  <c r="AQ780" i="14"/>
  <c r="AP164" i="14"/>
  <c r="AP173" i="14"/>
  <c r="AO176" i="14"/>
  <c r="AO28" i="14"/>
  <c r="AQ383" i="14"/>
  <c r="AQ17" i="14" s="1"/>
  <c r="AQ259" i="14"/>
  <c r="AQ421" i="14"/>
  <c r="AQ343" i="14"/>
  <c r="AR329" i="14" s="1"/>
  <c r="AR330" i="14" s="1"/>
  <c r="AO924" i="14"/>
  <c r="AO564" i="14"/>
  <c r="AN929" i="14"/>
  <c r="AN567" i="14"/>
  <c r="BD851" i="14" l="1"/>
  <c r="BD912" i="14" s="1"/>
  <c r="BD864" i="14"/>
  <c r="BE850" i="14" s="1"/>
  <c r="BC941" i="14"/>
  <c r="BC913" i="14"/>
  <c r="BB914" i="14"/>
  <c r="BB936" i="14" s="1"/>
  <c r="BB937" i="14" s="1"/>
  <c r="BB939" i="14" s="1"/>
  <c r="BB942" i="14" s="1"/>
  <c r="BB585" i="14" s="1"/>
  <c r="BB587" i="14" s="1"/>
  <c r="BA915" i="14"/>
  <c r="BV883" i="14"/>
  <c r="BV896" i="14"/>
  <c r="BW882" i="14" s="1"/>
  <c r="AP386" i="14"/>
  <c r="AP20" i="14" s="1"/>
  <c r="AQ408" i="14"/>
  <c r="AQ31" i="14" s="1"/>
  <c r="AQ271" i="14"/>
  <c r="AR257" i="14" s="1"/>
  <c r="AR258" i="14" s="1"/>
  <c r="AO179" i="14"/>
  <c r="AO30" i="14"/>
  <c r="AQ928" i="14"/>
  <c r="AQ569" i="14" s="1"/>
  <c r="AQ904" i="14"/>
  <c r="AQ554" i="14"/>
  <c r="AN570" i="14"/>
  <c r="AN580" i="14"/>
  <c r="AN582" i="14" s="1"/>
  <c r="AR392" i="14"/>
  <c r="AR331" i="14"/>
  <c r="AQ394" i="14"/>
  <c r="AQ417" i="14" s="1"/>
  <c r="AQ418" i="14" s="1"/>
  <c r="AQ420" i="14" s="1"/>
  <c r="AQ423" i="14" s="1"/>
  <c r="AQ49" i="14" s="1"/>
  <c r="AQ51" i="14" s="1"/>
  <c r="AP19" i="14"/>
  <c r="AQ163" i="14"/>
  <c r="AR161" i="14"/>
  <c r="AR110" i="14"/>
  <c r="AQ384" i="14"/>
  <c r="AQ18" i="14" s="1"/>
  <c r="AQ409" i="14"/>
  <c r="AQ32" i="14" s="1"/>
  <c r="AP174" i="14"/>
  <c r="AP27" i="14"/>
  <c r="AO926" i="14"/>
  <c r="AO565" i="14"/>
  <c r="AP923" i="14"/>
  <c r="AP556" i="14"/>
  <c r="AQ927" i="14"/>
  <c r="AQ568" i="14" s="1"/>
  <c r="AQ792" i="14"/>
  <c r="AR778" i="14" s="1"/>
  <c r="AR779" i="14" s="1"/>
  <c r="BB915" i="14" l="1"/>
  <c r="BC914" i="14"/>
  <c r="BC936" i="14" s="1"/>
  <c r="BC937" i="14" s="1"/>
  <c r="BC939" i="14" s="1"/>
  <c r="BC942" i="14" s="1"/>
  <c r="BC585" i="14" s="1"/>
  <c r="BC587" i="14" s="1"/>
  <c r="BE851" i="14"/>
  <c r="BE912" i="14" s="1"/>
  <c r="BE864" i="14"/>
  <c r="BF850" i="14" s="1"/>
  <c r="BD913" i="14"/>
  <c r="BD941" i="14"/>
  <c r="BW883" i="14"/>
  <c r="BW896" i="14"/>
  <c r="BX882" i="14" s="1"/>
  <c r="AQ173" i="14"/>
  <c r="AQ164" i="14"/>
  <c r="AR421" i="14"/>
  <c r="AR343" i="14"/>
  <c r="AS329" i="14" s="1"/>
  <c r="AS330" i="14" s="1"/>
  <c r="AQ395" i="14"/>
  <c r="AO567" i="14"/>
  <c r="AO929" i="14"/>
  <c r="AR903" i="14"/>
  <c r="AR780" i="14"/>
  <c r="AQ385" i="14"/>
  <c r="AQ404" i="14" s="1"/>
  <c r="AQ405" i="14" s="1"/>
  <c r="AQ407" i="14" s="1"/>
  <c r="AQ410" i="14" s="1"/>
  <c r="AQ44" i="14" s="1"/>
  <c r="AQ46" i="14" s="1"/>
  <c r="AP924" i="14"/>
  <c r="AP564" i="14"/>
  <c r="AP176" i="14"/>
  <c r="AP28" i="14"/>
  <c r="AR177" i="14"/>
  <c r="AR122" i="14"/>
  <c r="AS108" i="14" s="1"/>
  <c r="AS109" i="14" s="1"/>
  <c r="AO39" i="14"/>
  <c r="AO41" i="14" s="1"/>
  <c r="AO33" i="14"/>
  <c r="AQ555" i="14"/>
  <c r="AQ905" i="14"/>
  <c r="AR178" i="14"/>
  <c r="AR162" i="14"/>
  <c r="AR383" i="14"/>
  <c r="AR17" i="14" s="1"/>
  <c r="AR259" i="14"/>
  <c r="AR422" i="14"/>
  <c r="AR393" i="14"/>
  <c r="BC915" i="14" l="1"/>
  <c r="BF851" i="14"/>
  <c r="BF912" i="14" s="1"/>
  <c r="BF864" i="14"/>
  <c r="BG850" i="14" s="1"/>
  <c r="BD914" i="14"/>
  <c r="BD936" i="14" s="1"/>
  <c r="BD937" i="14" s="1"/>
  <c r="BD939" i="14" s="1"/>
  <c r="BD942" i="14" s="1"/>
  <c r="BD585" i="14" s="1"/>
  <c r="BD587" i="14" s="1"/>
  <c r="BE913" i="14"/>
  <c r="BE941" i="14"/>
  <c r="BX883" i="14"/>
  <c r="BX896" i="14"/>
  <c r="BY882" i="14" s="1"/>
  <c r="AP179" i="14"/>
  <c r="AP30" i="14"/>
  <c r="AR927" i="14"/>
  <c r="AR568" i="14" s="1"/>
  <c r="AR792" i="14"/>
  <c r="AS778" i="14" s="1"/>
  <c r="AS779" i="14" s="1"/>
  <c r="AP565" i="14"/>
  <c r="AP926" i="14"/>
  <c r="AS392" i="14"/>
  <c r="AS331" i="14"/>
  <c r="AQ386" i="14"/>
  <c r="AQ20" i="14" s="1"/>
  <c r="AR163" i="14"/>
  <c r="AR164" i="14" s="1"/>
  <c r="AR408" i="14"/>
  <c r="AR31" i="14" s="1"/>
  <c r="AR271" i="14"/>
  <c r="AS257" i="14" s="1"/>
  <c r="AS258" i="14" s="1"/>
  <c r="AR928" i="14"/>
  <c r="AR569" i="14" s="1"/>
  <c r="AR554" i="14"/>
  <c r="AR904" i="14"/>
  <c r="AS161" i="14"/>
  <c r="AS110" i="14"/>
  <c r="AQ19" i="14"/>
  <c r="AR394" i="14"/>
  <c r="AR417" i="14" s="1"/>
  <c r="AR418" i="14" s="1"/>
  <c r="AR420" i="14" s="1"/>
  <c r="AR423" i="14" s="1"/>
  <c r="AR49" i="14" s="1"/>
  <c r="AR51" i="14" s="1"/>
  <c r="AR384" i="14"/>
  <c r="AR18" i="14" s="1"/>
  <c r="AR409" i="14"/>
  <c r="AR32" i="14" s="1"/>
  <c r="AO580" i="14"/>
  <c r="AO582" i="14" s="1"/>
  <c r="AO570" i="14"/>
  <c r="AQ906" i="14"/>
  <c r="AQ557" i="14" s="1"/>
  <c r="AQ556" i="14"/>
  <c r="AQ923" i="14"/>
  <c r="AQ174" i="14"/>
  <c r="AQ27" i="14"/>
  <c r="BD915" i="14" l="1"/>
  <c r="BE914" i="14"/>
  <c r="BE936" i="14" s="1"/>
  <c r="BE937" i="14" s="1"/>
  <c r="BE939" i="14" s="1"/>
  <c r="BE942" i="14" s="1"/>
  <c r="BE585" i="14" s="1"/>
  <c r="BE587" i="14" s="1"/>
  <c r="BG851" i="14"/>
  <c r="BG912" i="14" s="1"/>
  <c r="BG864" i="14"/>
  <c r="BH850" i="14" s="1"/>
  <c r="BF941" i="14"/>
  <c r="BF913" i="14"/>
  <c r="BY883" i="14"/>
  <c r="BY896" i="14"/>
  <c r="AR395" i="14"/>
  <c r="AP929" i="14"/>
  <c r="AP567" i="14"/>
  <c r="AS383" i="14"/>
  <c r="AS259" i="14"/>
  <c r="AS422" i="14"/>
  <c r="AS393" i="14"/>
  <c r="AS903" i="14"/>
  <c r="AS780" i="14"/>
  <c r="AR173" i="14"/>
  <c r="AS421" i="14"/>
  <c r="AS343" i="14"/>
  <c r="AT329" i="14" s="1"/>
  <c r="AT330" i="14" s="1"/>
  <c r="AR385" i="14"/>
  <c r="AR404" i="14" s="1"/>
  <c r="AR405" i="14" s="1"/>
  <c r="AR407" i="14" s="1"/>
  <c r="AR410" i="14" s="1"/>
  <c r="AR44" i="14" s="1"/>
  <c r="AR46" i="14" s="1"/>
  <c r="AS178" i="14"/>
  <c r="AS162" i="14"/>
  <c r="AQ176" i="14"/>
  <c r="AQ28" i="14"/>
  <c r="AQ564" i="14"/>
  <c r="AQ924" i="14"/>
  <c r="AS177" i="14"/>
  <c r="AS122" i="14"/>
  <c r="AT108" i="14" s="1"/>
  <c r="AT109" i="14" s="1"/>
  <c r="AR555" i="14"/>
  <c r="AR905" i="14"/>
  <c r="AR906" i="14" s="1"/>
  <c r="AR557" i="14" s="1"/>
  <c r="AP39" i="14"/>
  <c r="AP41" i="14" s="1"/>
  <c r="AP33" i="14"/>
  <c r="BE915" i="14" l="1"/>
  <c r="BH851" i="14"/>
  <c r="BH912" i="14" s="1"/>
  <c r="BH864" i="14"/>
  <c r="BI850" i="14" s="1"/>
  <c r="BG913" i="14"/>
  <c r="BG941" i="14"/>
  <c r="BF914" i="14"/>
  <c r="BF936" i="14" s="1"/>
  <c r="BF937" i="14" s="1"/>
  <c r="BF939" i="14" s="1"/>
  <c r="BF942" i="14" s="1"/>
  <c r="BF585" i="14" s="1"/>
  <c r="BF587" i="14" s="1"/>
  <c r="AR386" i="14"/>
  <c r="AR20" i="14" s="1"/>
  <c r="AT161" i="14"/>
  <c r="AT110" i="14"/>
  <c r="AS408" i="14"/>
  <c r="AS31" i="14" s="1"/>
  <c r="AS271" i="14"/>
  <c r="AT257" i="14" s="1"/>
  <c r="AT258" i="14" s="1"/>
  <c r="AR923" i="14"/>
  <c r="AR556" i="14"/>
  <c r="AS394" i="14"/>
  <c r="AS417" i="14" s="1"/>
  <c r="AS418" i="14" s="1"/>
  <c r="AS420" i="14" s="1"/>
  <c r="AS423" i="14" s="1"/>
  <c r="AS49" i="14" s="1"/>
  <c r="AS51" i="14" s="1"/>
  <c r="AS409" i="14"/>
  <c r="AS32" i="14" s="1"/>
  <c r="AS384" i="14"/>
  <c r="AS18" i="14" s="1"/>
  <c r="AR19" i="14"/>
  <c r="AS554" i="14"/>
  <c r="AS904" i="14"/>
  <c r="AS928" i="14"/>
  <c r="AS569" i="14" s="1"/>
  <c r="AQ565" i="14"/>
  <c r="AQ926" i="14"/>
  <c r="AQ179" i="14"/>
  <c r="AQ30" i="14"/>
  <c r="AT392" i="14"/>
  <c r="AT331" i="14"/>
  <c r="AS927" i="14"/>
  <c r="AS568" i="14" s="1"/>
  <c r="AS792" i="14"/>
  <c r="AT778" i="14" s="1"/>
  <c r="AT779" i="14" s="1"/>
  <c r="AS17" i="14"/>
  <c r="AP580" i="14"/>
  <c r="AP582" i="14" s="1"/>
  <c r="AP570" i="14"/>
  <c r="AR174" i="14"/>
  <c r="AR27" i="14"/>
  <c r="AS163" i="14"/>
  <c r="BG914" i="14" l="1"/>
  <c r="BG936" i="14" s="1"/>
  <c r="BG937" i="14" s="1"/>
  <c r="BG939" i="14" s="1"/>
  <c r="BG942" i="14" s="1"/>
  <c r="BG585" i="14" s="1"/>
  <c r="BG587" i="14" s="1"/>
  <c r="BI864" i="14"/>
  <c r="BJ850" i="14" s="1"/>
  <c r="BI851" i="14"/>
  <c r="BI912" i="14" s="1"/>
  <c r="BF915" i="14"/>
  <c r="BH913" i="14"/>
  <c r="BH941" i="14"/>
  <c r="AS395" i="14"/>
  <c r="AS164" i="14"/>
  <c r="AS173" i="14"/>
  <c r="AS905" i="14"/>
  <c r="AS906" i="14" s="1"/>
  <c r="AS557" i="14" s="1"/>
  <c r="AS555" i="14"/>
  <c r="AS385" i="14"/>
  <c r="AS404" i="14" s="1"/>
  <c r="AS405" i="14" s="1"/>
  <c r="AS407" i="14" s="1"/>
  <c r="AS410" i="14" s="1"/>
  <c r="AS44" i="14" s="1"/>
  <c r="AS46" i="14" s="1"/>
  <c r="AR176" i="14"/>
  <c r="AR28" i="14"/>
  <c r="AR924" i="14"/>
  <c r="AR564" i="14"/>
  <c r="AT383" i="14"/>
  <c r="AT259" i="14"/>
  <c r="AQ567" i="14"/>
  <c r="AQ929" i="14"/>
  <c r="AT903" i="14"/>
  <c r="AT780" i="14"/>
  <c r="AT421" i="14"/>
  <c r="AT343" i="14"/>
  <c r="AU329" i="14" s="1"/>
  <c r="AU330" i="14" s="1"/>
  <c r="AT177" i="14"/>
  <c r="AT122" i="14"/>
  <c r="AU108" i="14" s="1"/>
  <c r="AU109" i="14" s="1"/>
  <c r="AT422" i="14"/>
  <c r="AT393" i="14"/>
  <c r="AQ39" i="14"/>
  <c r="AQ41" i="14" s="1"/>
  <c r="AQ33" i="14"/>
  <c r="AT178" i="14"/>
  <c r="AT162" i="14"/>
  <c r="BG915" i="14" l="1"/>
  <c r="BH914" i="14"/>
  <c r="BH936" i="14" s="1"/>
  <c r="BH937" i="14" s="1"/>
  <c r="BH939" i="14" s="1"/>
  <c r="BH942" i="14" s="1"/>
  <c r="BH585" i="14" s="1"/>
  <c r="BH587" i="14" s="1"/>
  <c r="BI941" i="14"/>
  <c r="BI913" i="14"/>
  <c r="BJ851" i="14"/>
  <c r="BJ912" i="14" s="1"/>
  <c r="BJ864" i="14"/>
  <c r="BK850" i="14" s="1"/>
  <c r="AS386" i="14"/>
  <c r="AS20" i="14" s="1"/>
  <c r="AT408" i="14"/>
  <c r="AT31" i="14" s="1"/>
  <c r="AT271" i="14"/>
  <c r="AU257" i="14" s="1"/>
  <c r="AU258" i="14" s="1"/>
  <c r="AT163" i="14"/>
  <c r="AT164" i="14" s="1"/>
  <c r="AQ570" i="14"/>
  <c r="AQ580" i="14"/>
  <c r="AQ582" i="14" s="1"/>
  <c r="AT384" i="14"/>
  <c r="AT409" i="14"/>
  <c r="AT32" i="14" s="1"/>
  <c r="AR565" i="14"/>
  <c r="AR926" i="14"/>
  <c r="AT394" i="14"/>
  <c r="AT417" i="14" s="1"/>
  <c r="AT418" i="14" s="1"/>
  <c r="AT420" i="14" s="1"/>
  <c r="AT423" i="14" s="1"/>
  <c r="AT49" i="14" s="1"/>
  <c r="AT51" i="14" s="1"/>
  <c r="AU392" i="14"/>
  <c r="AU331" i="14"/>
  <c r="AS19" i="14"/>
  <c r="AT17" i="14"/>
  <c r="AR179" i="14"/>
  <c r="AR30" i="14"/>
  <c r="AT927" i="14"/>
  <c r="AT568" i="14" s="1"/>
  <c r="AT792" i="14"/>
  <c r="AU778" i="14" s="1"/>
  <c r="AU779" i="14" s="1"/>
  <c r="AS174" i="14"/>
  <c r="AS27" i="14"/>
  <c r="AU161" i="14"/>
  <c r="AU110" i="14"/>
  <c r="AS923" i="14"/>
  <c r="AS556" i="14"/>
  <c r="AT904" i="14"/>
  <c r="AT554" i="14"/>
  <c r="AT928" i="14"/>
  <c r="AT569" i="14" s="1"/>
  <c r="BH915" i="14" l="1"/>
  <c r="BI914" i="14"/>
  <c r="BI936" i="14" s="1"/>
  <c r="BI937" i="14" s="1"/>
  <c r="BI939" i="14" s="1"/>
  <c r="BI942" i="14" s="1"/>
  <c r="BI585" i="14" s="1"/>
  <c r="BI587" i="14" s="1"/>
  <c r="BK864" i="14"/>
  <c r="BL850" i="14" s="1"/>
  <c r="BK851" i="14"/>
  <c r="BK912" i="14" s="1"/>
  <c r="BJ913" i="14"/>
  <c r="BJ941" i="14"/>
  <c r="AT395" i="14"/>
  <c r="AT385" i="14"/>
  <c r="AT404" i="14" s="1"/>
  <c r="AT405" i="14" s="1"/>
  <c r="AT407" i="14" s="1"/>
  <c r="AT410" i="14" s="1"/>
  <c r="AT44" i="14" s="1"/>
  <c r="AT46" i="14" s="1"/>
  <c r="AU421" i="14"/>
  <c r="AU343" i="14"/>
  <c r="AV329" i="14" s="1"/>
  <c r="AV330" i="14" s="1"/>
  <c r="AS924" i="14"/>
  <c r="AS564" i="14"/>
  <c r="AT18" i="14"/>
  <c r="AU162" i="14"/>
  <c r="AU178" i="14"/>
  <c r="AU903" i="14"/>
  <c r="AU780" i="14"/>
  <c r="AT173" i="14"/>
  <c r="AU422" i="14"/>
  <c r="AU393" i="14"/>
  <c r="AT555" i="14"/>
  <c r="AT905" i="14"/>
  <c r="AT906" i="14" s="1"/>
  <c r="AT557" i="14" s="1"/>
  <c r="AU177" i="14"/>
  <c r="AU122" i="14"/>
  <c r="AV108" i="14" s="1"/>
  <c r="AV109" i="14" s="1"/>
  <c r="AR39" i="14"/>
  <c r="AR41" i="14" s="1"/>
  <c r="AR33" i="14"/>
  <c r="AU383" i="14"/>
  <c r="AU17" i="14" s="1"/>
  <c r="AU259" i="14"/>
  <c r="AR567" i="14"/>
  <c r="AR929" i="14"/>
  <c r="AS176" i="14"/>
  <c r="AS28" i="14"/>
  <c r="BK941" i="14" l="1"/>
  <c r="BK913" i="14"/>
  <c r="BJ914" i="14"/>
  <c r="BJ936" i="14" s="1"/>
  <c r="BJ937" i="14" s="1"/>
  <c r="BJ939" i="14" s="1"/>
  <c r="BJ942" i="14" s="1"/>
  <c r="BJ585" i="14" s="1"/>
  <c r="BJ587" i="14" s="1"/>
  <c r="AT19" i="14"/>
  <c r="BL864" i="14"/>
  <c r="BM850" i="14" s="1"/>
  <c r="BL851" i="14"/>
  <c r="BL912" i="14" s="1"/>
  <c r="BI915" i="14"/>
  <c r="AT386" i="14"/>
  <c r="AT20" i="14" s="1"/>
  <c r="AT174" i="14"/>
  <c r="AT27" i="14"/>
  <c r="AS179" i="14"/>
  <c r="AS30" i="14"/>
  <c r="AU394" i="14"/>
  <c r="AU417" i="14" s="1"/>
  <c r="AU418" i="14" s="1"/>
  <c r="AU420" i="14" s="1"/>
  <c r="AU423" i="14" s="1"/>
  <c r="AU49" i="14" s="1"/>
  <c r="AU51" i="14" s="1"/>
  <c r="AU904" i="14"/>
  <c r="AU554" i="14"/>
  <c r="AU928" i="14"/>
  <c r="AU569" i="14" s="1"/>
  <c r="AV161" i="14"/>
  <c r="AV110" i="14"/>
  <c r="AS565" i="14"/>
  <c r="AS926" i="14"/>
  <c r="AU384" i="14"/>
  <c r="AU409" i="14"/>
  <c r="AU32" i="14" s="1"/>
  <c r="AR570" i="14"/>
  <c r="AR580" i="14"/>
  <c r="AR582" i="14" s="1"/>
  <c r="AU927" i="14"/>
  <c r="AU568" i="14" s="1"/>
  <c r="AU792" i="14"/>
  <c r="AV778" i="14" s="1"/>
  <c r="AV779" i="14" s="1"/>
  <c r="AU163" i="14"/>
  <c r="AT923" i="14"/>
  <c r="AT556" i="14"/>
  <c r="AU408" i="14"/>
  <c r="AU31" i="14" s="1"/>
  <c r="AU271" i="14"/>
  <c r="AV257" i="14" s="1"/>
  <c r="AV258" i="14" s="1"/>
  <c r="AV392" i="14"/>
  <c r="AV331" i="14"/>
  <c r="BJ915" i="14" l="1"/>
  <c r="BL941" i="14"/>
  <c r="BL913" i="14"/>
  <c r="BK914" i="14"/>
  <c r="BK936" i="14" s="1"/>
  <c r="BK937" i="14" s="1"/>
  <c r="BK939" i="14" s="1"/>
  <c r="BK942" i="14" s="1"/>
  <c r="BK585" i="14" s="1"/>
  <c r="BK587" i="14" s="1"/>
  <c r="BM864" i="14"/>
  <c r="BN850" i="14" s="1"/>
  <c r="BM851" i="14"/>
  <c r="BM912" i="14" s="1"/>
  <c r="AU395" i="14"/>
  <c r="AV177" i="14"/>
  <c r="AV122" i="14"/>
  <c r="AW108" i="14" s="1"/>
  <c r="AW109" i="14" s="1"/>
  <c r="AV422" i="14"/>
  <c r="AV393" i="14"/>
  <c r="AT564" i="14"/>
  <c r="AT924" i="14"/>
  <c r="AS567" i="14"/>
  <c r="AS929" i="14"/>
  <c r="AU164" i="14"/>
  <c r="AU173" i="14"/>
  <c r="AV421" i="14"/>
  <c r="AV343" i="14"/>
  <c r="AW329" i="14" s="1"/>
  <c r="AW330" i="14" s="1"/>
  <c r="AV903" i="14"/>
  <c r="AV780" i="14"/>
  <c r="AS39" i="14"/>
  <c r="AS41" i="14" s="1"/>
  <c r="AS33" i="14"/>
  <c r="AV162" i="14"/>
  <c r="AV178" i="14"/>
  <c r="AU385" i="14"/>
  <c r="AU404" i="14" s="1"/>
  <c r="AU405" i="14" s="1"/>
  <c r="AU407" i="14" s="1"/>
  <c r="AU410" i="14" s="1"/>
  <c r="AU44" i="14" s="1"/>
  <c r="AU46" i="14" s="1"/>
  <c r="AV383" i="14"/>
  <c r="AV259" i="14"/>
  <c r="AU555" i="14"/>
  <c r="AU905" i="14"/>
  <c r="AU18" i="14"/>
  <c r="AT176" i="14"/>
  <c r="AT28" i="14"/>
  <c r="BK915" i="14" l="1"/>
  <c r="BM913" i="14"/>
  <c r="BM941" i="14"/>
  <c r="BL914" i="14"/>
  <c r="BL936" i="14" s="1"/>
  <c r="BL937" i="14" s="1"/>
  <c r="BL939" i="14" s="1"/>
  <c r="BL942" i="14" s="1"/>
  <c r="BL585" i="14" s="1"/>
  <c r="BL587" i="14" s="1"/>
  <c r="BN864" i="14"/>
  <c r="BO850" i="14" s="1"/>
  <c r="BN851" i="14"/>
  <c r="BN912" i="14" s="1"/>
  <c r="AU19" i="14"/>
  <c r="AV927" i="14"/>
  <c r="AV568" i="14" s="1"/>
  <c r="AV792" i="14"/>
  <c r="AW778" i="14" s="1"/>
  <c r="AW779" i="14" s="1"/>
  <c r="AU906" i="14"/>
  <c r="AU557" i="14" s="1"/>
  <c r="AU556" i="14"/>
  <c r="AU923" i="14"/>
  <c r="AV384" i="14"/>
  <c r="AV18" i="14" s="1"/>
  <c r="AV409" i="14"/>
  <c r="AV32" i="14" s="1"/>
  <c r="AU386" i="14"/>
  <c r="AU20" i="14" s="1"/>
  <c r="AV904" i="14"/>
  <c r="AV928" i="14"/>
  <c r="AV569" i="14" s="1"/>
  <c r="AV554" i="14"/>
  <c r="AV408" i="14"/>
  <c r="AV31" i="14" s="1"/>
  <c r="AV271" i="14"/>
  <c r="AW257" i="14" s="1"/>
  <c r="AW258" i="14" s="1"/>
  <c r="AV394" i="14"/>
  <c r="AV417" i="14" s="1"/>
  <c r="AV418" i="14" s="1"/>
  <c r="AV420" i="14" s="1"/>
  <c r="AV423" i="14" s="1"/>
  <c r="AV49" i="14" s="1"/>
  <c r="AV51" i="14" s="1"/>
  <c r="AW392" i="14"/>
  <c r="AW331" i="14"/>
  <c r="AS570" i="14"/>
  <c r="AS580" i="14"/>
  <c r="AS582" i="14" s="1"/>
  <c r="AT926" i="14"/>
  <c r="AT565" i="14"/>
  <c r="AT179" i="14"/>
  <c r="AT30" i="14"/>
  <c r="AW161" i="14"/>
  <c r="AW110" i="14"/>
  <c r="AU174" i="14"/>
  <c r="AU27" i="14"/>
  <c r="AV17" i="14"/>
  <c r="AV163" i="14"/>
  <c r="AV164" i="14" s="1"/>
  <c r="BL915" i="14" l="1"/>
  <c r="BN913" i="14"/>
  <c r="BN941" i="14"/>
  <c r="BO851" i="14"/>
  <c r="BO912" i="14" s="1"/>
  <c r="BO864" i="14"/>
  <c r="BP850" i="14" s="1"/>
  <c r="BM914" i="14"/>
  <c r="BM936" i="14" s="1"/>
  <c r="BM937" i="14" s="1"/>
  <c r="BM939" i="14" s="1"/>
  <c r="BM942" i="14" s="1"/>
  <c r="BM585" i="14" s="1"/>
  <c r="BM587" i="14" s="1"/>
  <c r="AV395" i="14"/>
  <c r="AW383" i="14"/>
  <c r="AW17" i="14" s="1"/>
  <c r="AW259" i="14"/>
  <c r="AV173" i="14"/>
  <c r="AV905" i="14"/>
  <c r="AV906" i="14" s="1"/>
  <c r="AV557" i="14" s="1"/>
  <c r="AV555" i="14"/>
  <c r="AU924" i="14"/>
  <c r="AU564" i="14"/>
  <c r="AT929" i="14"/>
  <c r="AT567" i="14"/>
  <c r="AW393" i="14"/>
  <c r="AW422" i="14"/>
  <c r="AW177" i="14"/>
  <c r="AW122" i="14"/>
  <c r="AX108" i="14" s="1"/>
  <c r="AX109" i="14" s="1"/>
  <c r="AT33" i="14"/>
  <c r="AT39" i="14"/>
  <c r="AT41" i="14" s="1"/>
  <c r="AW903" i="14"/>
  <c r="AW780" i="14"/>
  <c r="AU176" i="14"/>
  <c r="AU28" i="14"/>
  <c r="AW162" i="14"/>
  <c r="AW178" i="14"/>
  <c r="AV385" i="14"/>
  <c r="AV404" i="14" s="1"/>
  <c r="AV405" i="14" s="1"/>
  <c r="AV407" i="14" s="1"/>
  <c r="AV410" i="14" s="1"/>
  <c r="AV44" i="14" s="1"/>
  <c r="AV46" i="14" s="1"/>
  <c r="AW421" i="14"/>
  <c r="AW343" i="14"/>
  <c r="AX329" i="14" s="1"/>
  <c r="AX330" i="14" s="1"/>
  <c r="BM915" i="14" l="1"/>
  <c r="BP851" i="14"/>
  <c r="BP912" i="14" s="1"/>
  <c r="BP864" i="14"/>
  <c r="BQ850" i="14" s="1"/>
  <c r="BO913" i="14"/>
  <c r="BO941" i="14"/>
  <c r="BN914" i="14"/>
  <c r="BN936" i="14" s="1"/>
  <c r="BN937" i="14" s="1"/>
  <c r="BN939" i="14" s="1"/>
  <c r="BN942" i="14" s="1"/>
  <c r="BN585" i="14" s="1"/>
  <c r="BN587" i="14" s="1"/>
  <c r="AX161" i="14"/>
  <c r="AX110" i="14"/>
  <c r="AW394" i="14"/>
  <c r="AW417" i="14" s="1"/>
  <c r="AW418" i="14" s="1"/>
  <c r="AW420" i="14" s="1"/>
  <c r="AW423" i="14" s="1"/>
  <c r="AW49" i="14" s="1"/>
  <c r="AW51" i="14" s="1"/>
  <c r="AT580" i="14"/>
  <c r="AT582" i="14" s="1"/>
  <c r="AT570" i="14"/>
  <c r="AW163" i="14"/>
  <c r="AW164" i="14" s="1"/>
  <c r="AW927" i="14"/>
  <c r="AW568" i="14" s="1"/>
  <c r="AW792" i="14"/>
  <c r="AX778" i="14" s="1"/>
  <c r="AX779" i="14" s="1"/>
  <c r="AW408" i="14"/>
  <c r="AW31" i="14" s="1"/>
  <c r="AW271" i="14"/>
  <c r="AX257" i="14" s="1"/>
  <c r="AX258" i="14" s="1"/>
  <c r="AX392" i="14"/>
  <c r="AX331" i="14"/>
  <c r="AV386" i="14"/>
  <c r="AV20" i="14" s="1"/>
  <c r="AU926" i="14"/>
  <c r="AU565" i="14"/>
  <c r="AV923" i="14"/>
  <c r="AV556" i="14"/>
  <c r="AU179" i="14"/>
  <c r="AU30" i="14"/>
  <c r="AV19" i="14"/>
  <c r="AV174" i="14"/>
  <c r="AV27" i="14"/>
  <c r="AW554" i="14"/>
  <c r="AW928" i="14"/>
  <c r="AW569" i="14" s="1"/>
  <c r="AW904" i="14"/>
  <c r="AW409" i="14"/>
  <c r="AW32" i="14" s="1"/>
  <c r="AW384" i="14"/>
  <c r="BN915" i="14" l="1"/>
  <c r="BO914" i="14"/>
  <c r="BO936" i="14" s="1"/>
  <c r="BO937" i="14" s="1"/>
  <c r="BO939" i="14" s="1"/>
  <c r="BO942" i="14" s="1"/>
  <c r="BO585" i="14" s="1"/>
  <c r="BO587" i="14" s="1"/>
  <c r="BQ864" i="14"/>
  <c r="BR850" i="14" s="1"/>
  <c r="BQ851" i="14"/>
  <c r="BQ912" i="14" s="1"/>
  <c r="BP941" i="14"/>
  <c r="BP913" i="14"/>
  <c r="AW395" i="14"/>
  <c r="AX393" i="14"/>
  <c r="AX422" i="14"/>
  <c r="AW905" i="14"/>
  <c r="AW906" i="14" s="1"/>
  <c r="AW557" i="14" s="1"/>
  <c r="AW555" i="14"/>
  <c r="AW385" i="14"/>
  <c r="AW404" i="14" s="1"/>
  <c r="AW405" i="14" s="1"/>
  <c r="AW407" i="14" s="1"/>
  <c r="AW410" i="14" s="1"/>
  <c r="AW44" i="14" s="1"/>
  <c r="AW46" i="14" s="1"/>
  <c r="AX421" i="14"/>
  <c r="AX343" i="14"/>
  <c r="AY329" i="14" s="1"/>
  <c r="AY330" i="14" s="1"/>
  <c r="AX903" i="14"/>
  <c r="AX780" i="14"/>
  <c r="AW18" i="14"/>
  <c r="AX383" i="14"/>
  <c r="AX17" i="14" s="1"/>
  <c r="AX259" i="14"/>
  <c r="AU39" i="14"/>
  <c r="AU41" i="14" s="1"/>
  <c r="AU33" i="14"/>
  <c r="AX177" i="14"/>
  <c r="AX122" i="14"/>
  <c r="AY108" i="14" s="1"/>
  <c r="AY109" i="14" s="1"/>
  <c r="AV176" i="14"/>
  <c r="AV28" i="14"/>
  <c r="AW173" i="14"/>
  <c r="AV924" i="14"/>
  <c r="AV564" i="14"/>
  <c r="AU567" i="14"/>
  <c r="AU929" i="14"/>
  <c r="AX162" i="14"/>
  <c r="AX178" i="14"/>
  <c r="BO915" i="14" l="1"/>
  <c r="BR851" i="14"/>
  <c r="BR912" i="14" s="1"/>
  <c r="BR864" i="14"/>
  <c r="BS850" i="14" s="1"/>
  <c r="BP914" i="14"/>
  <c r="BP936" i="14" s="1"/>
  <c r="BP937" i="14" s="1"/>
  <c r="BP939" i="14" s="1"/>
  <c r="BP942" i="14" s="1"/>
  <c r="BP585" i="14" s="1"/>
  <c r="BP587" i="14" s="1"/>
  <c r="BQ913" i="14"/>
  <c r="BQ941" i="14"/>
  <c r="AW386" i="14"/>
  <c r="AW20" i="14" s="1"/>
  <c r="AW19" i="14"/>
  <c r="AX904" i="14"/>
  <c r="AX928" i="14"/>
  <c r="AX569" i="14" s="1"/>
  <c r="AX554" i="14"/>
  <c r="AX384" i="14"/>
  <c r="AX18" i="14" s="1"/>
  <c r="AX409" i="14"/>
  <c r="AX32" i="14" s="1"/>
  <c r="AX163" i="14"/>
  <c r="AX164" i="14" s="1"/>
  <c r="AV565" i="14"/>
  <c r="AV926" i="14"/>
  <c r="AW174" i="14"/>
  <c r="AW27" i="14"/>
  <c r="AV179" i="14"/>
  <c r="AV30" i="14"/>
  <c r="AW923" i="14"/>
  <c r="AW556" i="14"/>
  <c r="AY392" i="14"/>
  <c r="AY331" i="14"/>
  <c r="AY161" i="14"/>
  <c r="AY110" i="14"/>
  <c r="AX408" i="14"/>
  <c r="AX31" i="14" s="1"/>
  <c r="AX271" i="14"/>
  <c r="AY257" i="14" s="1"/>
  <c r="AY258" i="14" s="1"/>
  <c r="AX927" i="14"/>
  <c r="AX568" i="14" s="1"/>
  <c r="AX792" i="14"/>
  <c r="AY778" i="14" s="1"/>
  <c r="AY779" i="14" s="1"/>
  <c r="AU580" i="14"/>
  <c r="AU582" i="14" s="1"/>
  <c r="AU570" i="14"/>
  <c r="AX394" i="14"/>
  <c r="AX417" i="14" s="1"/>
  <c r="AX418" i="14" s="1"/>
  <c r="AX420" i="14" s="1"/>
  <c r="AX423" i="14" s="1"/>
  <c r="AX49" i="14" s="1"/>
  <c r="AX51" i="14" s="1"/>
  <c r="BP915" i="14" l="1"/>
  <c r="BS851" i="14"/>
  <c r="BS912" i="14" s="1"/>
  <c r="BS864" i="14"/>
  <c r="BT850" i="14" s="1"/>
  <c r="BQ914" i="14"/>
  <c r="BQ936" i="14" s="1"/>
  <c r="BQ937" i="14" s="1"/>
  <c r="BQ939" i="14" s="1"/>
  <c r="BQ942" i="14" s="1"/>
  <c r="BQ585" i="14" s="1"/>
  <c r="BQ587" i="14" s="1"/>
  <c r="BR941" i="14"/>
  <c r="BR913" i="14"/>
  <c r="AX395" i="14"/>
  <c r="AV567" i="14"/>
  <c r="AV929" i="14"/>
  <c r="AX173" i="14"/>
  <c r="AW564" i="14"/>
  <c r="AW924" i="14"/>
  <c r="AY903" i="14"/>
  <c r="AY780" i="14"/>
  <c r="AY383" i="14"/>
  <c r="AY17" i="14" s="1"/>
  <c r="AY259" i="14"/>
  <c r="AY177" i="14"/>
  <c r="AY122" i="14"/>
  <c r="AZ108" i="14" s="1"/>
  <c r="AZ109" i="14" s="1"/>
  <c r="AY178" i="14"/>
  <c r="AY162" i="14"/>
  <c r="AV39" i="14"/>
  <c r="AV41" i="14" s="1"/>
  <c r="AV33" i="14"/>
  <c r="AW176" i="14"/>
  <c r="AW28" i="14"/>
  <c r="AY421" i="14"/>
  <c r="AY343" i="14"/>
  <c r="AZ329" i="14" s="1"/>
  <c r="AZ330" i="14" s="1"/>
  <c r="AX385" i="14"/>
  <c r="AX404" i="14" s="1"/>
  <c r="AX405" i="14" s="1"/>
  <c r="AX407" i="14" s="1"/>
  <c r="AX410" i="14" s="1"/>
  <c r="AX44" i="14" s="1"/>
  <c r="AX46" i="14" s="1"/>
  <c r="AY422" i="14"/>
  <c r="AY393" i="14"/>
  <c r="AX905" i="14"/>
  <c r="AX906" i="14" s="1"/>
  <c r="AX557" i="14" s="1"/>
  <c r="AX555" i="14"/>
  <c r="BR914" i="14" l="1"/>
  <c r="BR936" i="14" s="1"/>
  <c r="BR937" i="14" s="1"/>
  <c r="BR939" i="14" s="1"/>
  <c r="BR942" i="14" s="1"/>
  <c r="BR585" i="14" s="1"/>
  <c r="BR587" i="14" s="1"/>
  <c r="BS941" i="14"/>
  <c r="BS913" i="14"/>
  <c r="BQ915" i="14"/>
  <c r="BT864" i="14"/>
  <c r="BU850" i="14" s="1"/>
  <c r="BT851" i="14"/>
  <c r="BT912" i="14" s="1"/>
  <c r="AY384" i="14"/>
  <c r="AY18" i="14" s="1"/>
  <c r="AY409" i="14"/>
  <c r="AY32" i="14" s="1"/>
  <c r="AZ161" i="14"/>
  <c r="AZ110" i="14"/>
  <c r="AY163" i="14"/>
  <c r="AY408" i="14"/>
  <c r="AY31" i="14" s="1"/>
  <c r="AY271" i="14"/>
  <c r="AZ257" i="14" s="1"/>
  <c r="AZ258" i="14" s="1"/>
  <c r="AX386" i="14"/>
  <c r="AX20" i="14" s="1"/>
  <c r="AX19" i="14"/>
  <c r="AY394" i="14"/>
  <c r="AY417" i="14" s="1"/>
  <c r="AY418" i="14" s="1"/>
  <c r="AY420" i="14" s="1"/>
  <c r="AY423" i="14" s="1"/>
  <c r="AY49" i="14" s="1"/>
  <c r="AY51" i="14" s="1"/>
  <c r="AY928" i="14"/>
  <c r="AY569" i="14" s="1"/>
  <c r="AY554" i="14"/>
  <c r="AY904" i="14"/>
  <c r="AX174" i="14"/>
  <c r="AX27" i="14"/>
  <c r="AY927" i="14"/>
  <c r="AY568" i="14" s="1"/>
  <c r="AY792" i="14"/>
  <c r="AZ778" i="14" s="1"/>
  <c r="AZ779" i="14" s="1"/>
  <c r="AZ392" i="14"/>
  <c r="AZ331" i="14"/>
  <c r="AW179" i="14"/>
  <c r="AW30" i="14"/>
  <c r="AV580" i="14"/>
  <c r="AV582" i="14" s="1"/>
  <c r="AV570" i="14"/>
  <c r="AX923" i="14"/>
  <c r="AX556" i="14"/>
  <c r="AW565" i="14"/>
  <c r="AW926" i="14"/>
  <c r="BS914" i="14" l="1"/>
  <c r="BS936" i="14" s="1"/>
  <c r="BS937" i="14" s="1"/>
  <c r="BS939" i="14" s="1"/>
  <c r="BS942" i="14" s="1"/>
  <c r="BS585" i="14" s="1"/>
  <c r="BS587" i="14" s="1"/>
  <c r="BT941" i="14"/>
  <c r="BT913" i="14"/>
  <c r="BU864" i="14"/>
  <c r="BV850" i="14" s="1"/>
  <c r="BU851" i="14"/>
  <c r="BU912" i="14" s="1"/>
  <c r="BR915" i="14"/>
  <c r="AY905" i="14"/>
  <c r="AY906" i="14" s="1"/>
  <c r="AY557" i="14" s="1"/>
  <c r="AY555" i="14"/>
  <c r="AZ383" i="14"/>
  <c r="AZ17" i="14" s="1"/>
  <c r="AZ259" i="14"/>
  <c r="AZ422" i="14"/>
  <c r="AZ393" i="14"/>
  <c r="AX176" i="14"/>
  <c r="AX28" i="14"/>
  <c r="AW567" i="14"/>
  <c r="AW929" i="14"/>
  <c r="AZ903" i="14"/>
  <c r="AZ780" i="14"/>
  <c r="AZ162" i="14"/>
  <c r="AZ178" i="14"/>
  <c r="AY395" i="14"/>
  <c r="AX924" i="14"/>
  <c r="AX564" i="14"/>
  <c r="AW39" i="14"/>
  <c r="AW41" i="14" s="1"/>
  <c r="AW33" i="14"/>
  <c r="AY164" i="14"/>
  <c r="AY173" i="14"/>
  <c r="AZ421" i="14"/>
  <c r="AZ343" i="14"/>
  <c r="BA329" i="14" s="1"/>
  <c r="BA330" i="14" s="1"/>
  <c r="AZ177" i="14"/>
  <c r="AZ122" i="14"/>
  <c r="BA108" i="14" s="1"/>
  <c r="BA109" i="14" s="1"/>
  <c r="AY385" i="14"/>
  <c r="AY404" i="14" s="1"/>
  <c r="AY405" i="14" s="1"/>
  <c r="AY407" i="14" s="1"/>
  <c r="AY410" i="14" s="1"/>
  <c r="AY44" i="14" s="1"/>
  <c r="AY46" i="14" s="1"/>
  <c r="BS915" i="14" l="1"/>
  <c r="BV851" i="14"/>
  <c r="BV912" i="14" s="1"/>
  <c r="BV864" i="14"/>
  <c r="BW850" i="14" s="1"/>
  <c r="BT914" i="14"/>
  <c r="BT936" i="14" s="1"/>
  <c r="BT937" i="14" s="1"/>
  <c r="BT939" i="14" s="1"/>
  <c r="BT942" i="14" s="1"/>
  <c r="BT585" i="14" s="1"/>
  <c r="BT587" i="14" s="1"/>
  <c r="BU913" i="14"/>
  <c r="BU941" i="14"/>
  <c r="AY386" i="14"/>
  <c r="AY20" i="14" s="1"/>
  <c r="AZ927" i="14"/>
  <c r="AZ568" i="14" s="1"/>
  <c r="AZ792" i="14"/>
  <c r="BA778" i="14" s="1"/>
  <c r="BA779" i="14" s="1"/>
  <c r="AZ904" i="14"/>
  <c r="AZ928" i="14"/>
  <c r="AZ569" i="14" s="1"/>
  <c r="AZ554" i="14"/>
  <c r="BA161" i="14"/>
  <c r="BA110" i="14"/>
  <c r="AW570" i="14"/>
  <c r="AW580" i="14"/>
  <c r="AW582" i="14" s="1"/>
  <c r="AZ408" i="14"/>
  <c r="AZ31" i="14" s="1"/>
  <c r="AZ271" i="14"/>
  <c r="BA257" i="14" s="1"/>
  <c r="BA258" i="14" s="1"/>
  <c r="AY174" i="14"/>
  <c r="AY27" i="14"/>
  <c r="AZ409" i="14"/>
  <c r="AZ32" i="14" s="1"/>
  <c r="AZ384" i="14"/>
  <c r="AY19" i="14"/>
  <c r="AZ394" i="14"/>
  <c r="AZ417" i="14" s="1"/>
  <c r="AZ418" i="14" s="1"/>
  <c r="AZ420" i="14" s="1"/>
  <c r="AZ423" i="14" s="1"/>
  <c r="AZ49" i="14" s="1"/>
  <c r="AZ51" i="14" s="1"/>
  <c r="AZ163" i="14"/>
  <c r="BA392" i="14"/>
  <c r="BA331" i="14"/>
  <c r="AX179" i="14"/>
  <c r="AX30" i="14"/>
  <c r="AX565" i="14"/>
  <c r="AX926" i="14"/>
  <c r="AY923" i="14"/>
  <c r="AY556" i="14"/>
  <c r="BT915" i="14" l="1"/>
  <c r="BU914" i="14"/>
  <c r="BU936" i="14" s="1"/>
  <c r="BU937" i="14" s="1"/>
  <c r="BU939" i="14" s="1"/>
  <c r="BU942" i="14" s="1"/>
  <c r="BU585" i="14" s="1"/>
  <c r="BU587" i="14" s="1"/>
  <c r="BW851" i="14"/>
  <c r="BW912" i="14" s="1"/>
  <c r="BW864" i="14"/>
  <c r="BX850" i="14" s="1"/>
  <c r="BV913" i="14"/>
  <c r="BV941" i="14"/>
  <c r="AZ395" i="14"/>
  <c r="AX929" i="14"/>
  <c r="AX567" i="14"/>
  <c r="BA421" i="14"/>
  <c r="BA343" i="14"/>
  <c r="BB329" i="14" s="1"/>
  <c r="BB330" i="14" s="1"/>
  <c r="BA162" i="14"/>
  <c r="BA178" i="14"/>
  <c r="AY564" i="14"/>
  <c r="AY924" i="14"/>
  <c r="AX39" i="14"/>
  <c r="AX41" i="14" s="1"/>
  <c r="AX33" i="14"/>
  <c r="BA422" i="14"/>
  <c r="BA393" i="14"/>
  <c r="AZ385" i="14"/>
  <c r="AZ404" i="14" s="1"/>
  <c r="AZ405" i="14" s="1"/>
  <c r="AZ407" i="14" s="1"/>
  <c r="AZ410" i="14" s="1"/>
  <c r="AZ44" i="14" s="1"/>
  <c r="AZ46" i="14" s="1"/>
  <c r="AY176" i="14"/>
  <c r="AY28" i="14"/>
  <c r="BA383" i="14"/>
  <c r="BA17" i="14" s="1"/>
  <c r="BA259" i="14"/>
  <c r="BA177" i="14"/>
  <c r="BA122" i="14"/>
  <c r="BB108" i="14" s="1"/>
  <c r="BB109" i="14" s="1"/>
  <c r="AZ164" i="14"/>
  <c r="AZ173" i="14"/>
  <c r="AZ905" i="14"/>
  <c r="AZ906" i="14" s="1"/>
  <c r="AZ557" i="14" s="1"/>
  <c r="AZ555" i="14"/>
  <c r="BA903" i="14"/>
  <c r="BA780" i="14"/>
  <c r="AZ18" i="14"/>
  <c r="BX851" i="14" l="1"/>
  <c r="BX912" i="14" s="1"/>
  <c r="BX864" i="14"/>
  <c r="BY850" i="14" s="1"/>
  <c r="BW913" i="14"/>
  <c r="BW941" i="14"/>
  <c r="BV914" i="14"/>
  <c r="BV936" i="14" s="1"/>
  <c r="BV937" i="14" s="1"/>
  <c r="BV939" i="14" s="1"/>
  <c r="BV942" i="14" s="1"/>
  <c r="BV585" i="14" s="1"/>
  <c r="BV587" i="14" s="1"/>
  <c r="BU915" i="14"/>
  <c r="BA394" i="14"/>
  <c r="BA417" i="14" s="1"/>
  <c r="BA418" i="14" s="1"/>
  <c r="BA420" i="14" s="1"/>
  <c r="BA423" i="14" s="1"/>
  <c r="BA49" i="14" s="1"/>
  <c r="BA51" i="14" s="1"/>
  <c r="AZ386" i="14"/>
  <c r="AZ20" i="14" s="1"/>
  <c r="AY926" i="14"/>
  <c r="AY565" i="14"/>
  <c r="BA927" i="14"/>
  <c r="BA568" i="14" s="1"/>
  <c r="BA792" i="14"/>
  <c r="BB778" i="14" s="1"/>
  <c r="BB779" i="14" s="1"/>
  <c r="AZ556" i="14"/>
  <c r="AZ923" i="14"/>
  <c r="BB161" i="14"/>
  <c r="BB110" i="14"/>
  <c r="BA384" i="14"/>
  <c r="BA409" i="14"/>
  <c r="BA32" i="14" s="1"/>
  <c r="AY179" i="14"/>
  <c r="AY30" i="14"/>
  <c r="BA928" i="14"/>
  <c r="BA569" i="14" s="1"/>
  <c r="BA904" i="14"/>
  <c r="BA554" i="14"/>
  <c r="AZ19" i="14"/>
  <c r="AZ174" i="14"/>
  <c r="AZ27" i="14"/>
  <c r="BA163" i="14"/>
  <c r="BA164" i="14" s="1"/>
  <c r="BB392" i="14"/>
  <c r="BB331" i="14"/>
  <c r="BA408" i="14"/>
  <c r="BA31" i="14" s="1"/>
  <c r="BA271" i="14"/>
  <c r="BB257" i="14" s="1"/>
  <c r="BB258" i="14" s="1"/>
  <c r="AX580" i="14"/>
  <c r="AX582" i="14" s="1"/>
  <c r="AX570" i="14"/>
  <c r="BV915" i="14" l="1"/>
  <c r="BW914" i="14"/>
  <c r="BW936" i="14" s="1"/>
  <c r="BW937" i="14" s="1"/>
  <c r="BW939" i="14" s="1"/>
  <c r="BW942" i="14" s="1"/>
  <c r="BW585" i="14" s="1"/>
  <c r="BW587" i="14" s="1"/>
  <c r="BY864" i="14"/>
  <c r="BY851" i="14"/>
  <c r="BY912" i="14" s="1"/>
  <c r="BX941" i="14"/>
  <c r="BX913" i="14"/>
  <c r="BA395" i="14"/>
  <c r="AY39" i="14"/>
  <c r="AY41" i="14" s="1"/>
  <c r="AY33" i="14"/>
  <c r="BB421" i="14"/>
  <c r="BB343" i="14"/>
  <c r="BC329" i="14" s="1"/>
  <c r="BC330" i="14" s="1"/>
  <c r="BA385" i="14"/>
  <c r="BA404" i="14" s="1"/>
  <c r="BA405" i="14" s="1"/>
  <c r="BA407" i="14" s="1"/>
  <c r="BA410" i="14" s="1"/>
  <c r="BA44" i="14" s="1"/>
  <c r="BA46" i="14" s="1"/>
  <c r="BB393" i="14"/>
  <c r="BB422" i="14"/>
  <c r="BB177" i="14"/>
  <c r="BB122" i="14"/>
  <c r="BC108" i="14" s="1"/>
  <c r="BC109" i="14" s="1"/>
  <c r="BB178" i="14"/>
  <c r="BB162" i="14"/>
  <c r="AZ176" i="14"/>
  <c r="AZ28" i="14"/>
  <c r="AY567" i="14"/>
  <c r="AY929" i="14"/>
  <c r="AZ924" i="14"/>
  <c r="AZ564" i="14"/>
  <c r="BA18" i="14"/>
  <c r="BA173" i="14"/>
  <c r="BB383" i="14"/>
  <c r="BB17" i="14" s="1"/>
  <c r="BB259" i="14"/>
  <c r="BB903" i="14"/>
  <c r="BB780" i="14"/>
  <c r="BA555" i="14"/>
  <c r="BA905" i="14"/>
  <c r="BA906" i="14" s="1"/>
  <c r="BA557" i="14" s="1"/>
  <c r="BW915" i="14" l="1"/>
  <c r="BX914" i="14"/>
  <c r="BX936" i="14" s="1"/>
  <c r="BX937" i="14" s="1"/>
  <c r="BX939" i="14" s="1"/>
  <c r="BX942" i="14" s="1"/>
  <c r="BX585" i="14" s="1"/>
  <c r="BX587" i="14" s="1"/>
  <c r="BY941" i="14"/>
  <c r="BY913" i="14"/>
  <c r="BA19" i="14"/>
  <c r="BA386" i="14"/>
  <c r="BA20" i="14" s="1"/>
  <c r="AZ179" i="14"/>
  <c r="AZ30" i="14"/>
  <c r="BA923" i="14"/>
  <c r="BA556" i="14"/>
  <c r="BB554" i="14"/>
  <c r="BB904" i="14"/>
  <c r="BB928" i="14"/>
  <c r="BB569" i="14" s="1"/>
  <c r="BC392" i="14"/>
  <c r="BC331" i="14"/>
  <c r="BB394" i="14"/>
  <c r="BB417" i="14" s="1"/>
  <c r="BB418" i="14" s="1"/>
  <c r="BB420" i="14" s="1"/>
  <c r="BB423" i="14" s="1"/>
  <c r="BB49" i="14" s="1"/>
  <c r="BB51" i="14" s="1"/>
  <c r="BA174" i="14"/>
  <c r="BA27" i="14"/>
  <c r="BC161" i="14"/>
  <c r="BC110" i="14"/>
  <c r="BB408" i="14"/>
  <c r="BB31" i="14" s="1"/>
  <c r="BB271" i="14"/>
  <c r="BC257" i="14" s="1"/>
  <c r="BC258" i="14" s="1"/>
  <c r="BB163" i="14"/>
  <c r="BB927" i="14"/>
  <c r="BB568" i="14" s="1"/>
  <c r="BB792" i="14"/>
  <c r="BC778" i="14" s="1"/>
  <c r="BC779" i="14" s="1"/>
  <c r="BB409" i="14"/>
  <c r="BB32" i="14" s="1"/>
  <c r="BB384" i="14"/>
  <c r="BB18" i="14" s="1"/>
  <c r="AZ926" i="14"/>
  <c r="AZ565" i="14"/>
  <c r="AY580" i="14"/>
  <c r="AY582" i="14" s="1"/>
  <c r="AY570" i="14"/>
  <c r="BX915" i="14" l="1"/>
  <c r="BY914" i="14"/>
  <c r="BY936" i="14" s="1"/>
  <c r="BY937" i="14" s="1"/>
  <c r="BY939" i="14" s="1"/>
  <c r="BY942" i="14" s="1"/>
  <c r="BY585" i="14" s="1"/>
  <c r="BY587" i="14" s="1"/>
  <c r="D61" i="20" s="1"/>
  <c r="BB555" i="14"/>
  <c r="BB905" i="14"/>
  <c r="BB906" i="14" s="1"/>
  <c r="BB557" i="14" s="1"/>
  <c r="BC178" i="14"/>
  <c r="BC162" i="14"/>
  <c r="AZ929" i="14"/>
  <c r="AZ567" i="14"/>
  <c r="BC903" i="14"/>
  <c r="BC780" i="14"/>
  <c r="BA176" i="14"/>
  <c r="BA28" i="14"/>
  <c r="BC421" i="14"/>
  <c r="BC343" i="14"/>
  <c r="BD329" i="14" s="1"/>
  <c r="BD330" i="14" s="1"/>
  <c r="BA564" i="14"/>
  <c r="BA924" i="14"/>
  <c r="BC177" i="14"/>
  <c r="BC122" i="14"/>
  <c r="BD108" i="14" s="1"/>
  <c r="BD109" i="14" s="1"/>
  <c r="BC393" i="14"/>
  <c r="BC422" i="14"/>
  <c r="BB164" i="14"/>
  <c r="BB173" i="14"/>
  <c r="BB395" i="14"/>
  <c r="BB385" i="14"/>
  <c r="BB404" i="14" s="1"/>
  <c r="BB405" i="14" s="1"/>
  <c r="BB407" i="14" s="1"/>
  <c r="BB410" i="14" s="1"/>
  <c r="BB44" i="14" s="1"/>
  <c r="BB46" i="14" s="1"/>
  <c r="BC383" i="14"/>
  <c r="BC259" i="14"/>
  <c r="AZ39" i="14"/>
  <c r="AZ41" i="14" s="1"/>
  <c r="AZ33" i="14"/>
  <c r="BY915" i="14" l="1"/>
  <c r="BB386" i="14"/>
  <c r="BB20" i="14" s="1"/>
  <c r="BC409" i="14"/>
  <c r="BC32" i="14" s="1"/>
  <c r="BC384" i="14"/>
  <c r="BC18" i="14" s="1"/>
  <c r="BC554" i="14"/>
  <c r="BC904" i="14"/>
  <c r="BC928" i="14"/>
  <c r="BC569" i="14" s="1"/>
  <c r="BA926" i="14"/>
  <c r="BA565" i="14"/>
  <c r="BD392" i="14"/>
  <c r="BD331" i="14"/>
  <c r="BC927" i="14"/>
  <c r="BC568" i="14" s="1"/>
  <c r="BC792" i="14"/>
  <c r="BD778" i="14" s="1"/>
  <c r="BD779" i="14" s="1"/>
  <c r="AZ570" i="14"/>
  <c r="AZ580" i="14"/>
  <c r="AZ582" i="14" s="1"/>
  <c r="BC163" i="14"/>
  <c r="BC164" i="14" s="1"/>
  <c r="BC394" i="14"/>
  <c r="BC417" i="14" s="1"/>
  <c r="BC418" i="14" s="1"/>
  <c r="BC420" i="14" s="1"/>
  <c r="BC423" i="14" s="1"/>
  <c r="BC49" i="14" s="1"/>
  <c r="BC51" i="14" s="1"/>
  <c r="BA179" i="14"/>
  <c r="BA30" i="14"/>
  <c r="BC17" i="14"/>
  <c r="BD161" i="14"/>
  <c r="BD110" i="14"/>
  <c r="BB923" i="14"/>
  <c r="BB556" i="14"/>
  <c r="BC408" i="14"/>
  <c r="BC31" i="14" s="1"/>
  <c r="BC271" i="14"/>
  <c r="BD257" i="14" s="1"/>
  <c r="BD258" i="14" s="1"/>
  <c r="BB19" i="14"/>
  <c r="BB174" i="14"/>
  <c r="BB27" i="14"/>
  <c r="BC395" i="14" l="1"/>
  <c r="BA567" i="14"/>
  <c r="BA929" i="14"/>
  <c r="BC173" i="14"/>
  <c r="BD393" i="14"/>
  <c r="BD422" i="14"/>
  <c r="BD383" i="14"/>
  <c r="BD259" i="14"/>
  <c r="BC555" i="14"/>
  <c r="BC905" i="14"/>
  <c r="BC906" i="14" s="1"/>
  <c r="BC557" i="14" s="1"/>
  <c r="BD421" i="14"/>
  <c r="BD343" i="14"/>
  <c r="BE329" i="14" s="1"/>
  <c r="BE330" i="14" s="1"/>
  <c r="BA39" i="14"/>
  <c r="BA41" i="14" s="1"/>
  <c r="BA33" i="14"/>
  <c r="BD903" i="14"/>
  <c r="BD780" i="14"/>
  <c r="BB564" i="14"/>
  <c r="BB924" i="14"/>
  <c r="BD162" i="14"/>
  <c r="BD178" i="14"/>
  <c r="BC385" i="14"/>
  <c r="BC404" i="14" s="1"/>
  <c r="BC405" i="14" s="1"/>
  <c r="BC407" i="14" s="1"/>
  <c r="BC410" i="14" s="1"/>
  <c r="BC44" i="14" s="1"/>
  <c r="BC46" i="14" s="1"/>
  <c r="BB176" i="14"/>
  <c r="BB28" i="14"/>
  <c r="BD177" i="14"/>
  <c r="BD122" i="14"/>
  <c r="BE108" i="14" s="1"/>
  <c r="BE109" i="14" s="1"/>
  <c r="BC386" i="14" l="1"/>
  <c r="BC20" i="14" s="1"/>
  <c r="BE392" i="14"/>
  <c r="BE331" i="14"/>
  <c r="BE161" i="14"/>
  <c r="BE110" i="14"/>
  <c r="BD409" i="14"/>
  <c r="BD32" i="14" s="1"/>
  <c r="BD384" i="14"/>
  <c r="BD18" i="14" s="1"/>
  <c r="BB926" i="14"/>
  <c r="BB565" i="14"/>
  <c r="BC174" i="14"/>
  <c r="BC27" i="14"/>
  <c r="BB179" i="14"/>
  <c r="BB30" i="14"/>
  <c r="BD17" i="14"/>
  <c r="BC19" i="14"/>
  <c r="BC556" i="14"/>
  <c r="BC923" i="14"/>
  <c r="BD394" i="14"/>
  <c r="BD417" i="14" s="1"/>
  <c r="BD418" i="14" s="1"/>
  <c r="BD420" i="14" s="1"/>
  <c r="BD423" i="14" s="1"/>
  <c r="BD49" i="14" s="1"/>
  <c r="BD51" i="14" s="1"/>
  <c r="BD927" i="14"/>
  <c r="BD568" i="14" s="1"/>
  <c r="BD792" i="14"/>
  <c r="BE778" i="14" s="1"/>
  <c r="BE779" i="14" s="1"/>
  <c r="BA580" i="14"/>
  <c r="BA582" i="14" s="1"/>
  <c r="BA570" i="14"/>
  <c r="BD408" i="14"/>
  <c r="BD31" i="14" s="1"/>
  <c r="BD271" i="14"/>
  <c r="BE257" i="14" s="1"/>
  <c r="BE258" i="14" s="1"/>
  <c r="BD163" i="14"/>
  <c r="BD164" i="14" s="1"/>
  <c r="BD928" i="14"/>
  <c r="BD569" i="14" s="1"/>
  <c r="BD904" i="14"/>
  <c r="BD554" i="14"/>
  <c r="BD395" i="14" l="1"/>
  <c r="BD905" i="14"/>
  <c r="BD906" i="14" s="1"/>
  <c r="BD557" i="14" s="1"/>
  <c r="BD555" i="14"/>
  <c r="BE383" i="14"/>
  <c r="BE259" i="14"/>
  <c r="BB39" i="14"/>
  <c r="BB41" i="14" s="1"/>
  <c r="BB33" i="14"/>
  <c r="BE903" i="14"/>
  <c r="BE780" i="14"/>
  <c r="BC924" i="14"/>
  <c r="BC564" i="14"/>
  <c r="BD173" i="14"/>
  <c r="BB929" i="14"/>
  <c r="BB567" i="14"/>
  <c r="BE178" i="14"/>
  <c r="BE162" i="14"/>
  <c r="BD385" i="14"/>
  <c r="BD404" i="14" s="1"/>
  <c r="BD405" i="14" s="1"/>
  <c r="BD407" i="14" s="1"/>
  <c r="BD410" i="14" s="1"/>
  <c r="BD44" i="14" s="1"/>
  <c r="BD46" i="14" s="1"/>
  <c r="BE421" i="14"/>
  <c r="BE343" i="14"/>
  <c r="BF329" i="14" s="1"/>
  <c r="BF330" i="14" s="1"/>
  <c r="BC176" i="14"/>
  <c r="BC28" i="14"/>
  <c r="BE177" i="14"/>
  <c r="BE122" i="14"/>
  <c r="BF108" i="14" s="1"/>
  <c r="BF109" i="14" s="1"/>
  <c r="BE422" i="14"/>
  <c r="BE393" i="14"/>
  <c r="BD19" i="14" l="1"/>
  <c r="BD386" i="14"/>
  <c r="BD20" i="14" s="1"/>
  <c r="BF161" i="14"/>
  <c r="BF110" i="14"/>
  <c r="BE394" i="14"/>
  <c r="BE417" i="14" s="1"/>
  <c r="BE418" i="14" s="1"/>
  <c r="BE420" i="14" s="1"/>
  <c r="BE423" i="14" s="1"/>
  <c r="BE49" i="14" s="1"/>
  <c r="BE51" i="14" s="1"/>
  <c r="BD174" i="14"/>
  <c r="BD27" i="14"/>
  <c r="BC926" i="14"/>
  <c r="BC565" i="14"/>
  <c r="BC179" i="14"/>
  <c r="BC30" i="14"/>
  <c r="BE409" i="14"/>
  <c r="BE32" i="14" s="1"/>
  <c r="BE384" i="14"/>
  <c r="BB570" i="14"/>
  <c r="BB580" i="14"/>
  <c r="BB582" i="14" s="1"/>
  <c r="BF392" i="14"/>
  <c r="BF331" i="14"/>
  <c r="BE17" i="14"/>
  <c r="BE927" i="14"/>
  <c r="BE568" i="14" s="1"/>
  <c r="BE792" i="14"/>
  <c r="BF778" i="14" s="1"/>
  <c r="BF779" i="14" s="1"/>
  <c r="BE928" i="14"/>
  <c r="BE569" i="14" s="1"/>
  <c r="BE904" i="14"/>
  <c r="BE554" i="14"/>
  <c r="BE408" i="14"/>
  <c r="BE31" i="14" s="1"/>
  <c r="BE271" i="14"/>
  <c r="BF257" i="14" s="1"/>
  <c r="BF258" i="14" s="1"/>
  <c r="BE163" i="14"/>
  <c r="BD923" i="14"/>
  <c r="BD556" i="14"/>
  <c r="BE395" i="14" l="1"/>
  <c r="BF421" i="14"/>
  <c r="BF343" i="14"/>
  <c r="BG329" i="14" s="1"/>
  <c r="BG330" i="14" s="1"/>
  <c r="BD924" i="14"/>
  <c r="BD564" i="14"/>
  <c r="BC567" i="14"/>
  <c r="BC929" i="14"/>
  <c r="BE385" i="14"/>
  <c r="BE404" i="14" s="1"/>
  <c r="BE405" i="14" s="1"/>
  <c r="BE407" i="14" s="1"/>
  <c r="BE410" i="14" s="1"/>
  <c r="BE44" i="14" s="1"/>
  <c r="BE46" i="14" s="1"/>
  <c r="BE173" i="14"/>
  <c r="BF383" i="14"/>
  <c r="BF17" i="14" s="1"/>
  <c r="BF259" i="14"/>
  <c r="BF422" i="14"/>
  <c r="BF393" i="14"/>
  <c r="BE164" i="14"/>
  <c r="BE555" i="14"/>
  <c r="BE905" i="14"/>
  <c r="BE906" i="14" s="1"/>
  <c r="BE557" i="14" s="1"/>
  <c r="BF903" i="14"/>
  <c r="BF780" i="14"/>
  <c r="BF177" i="14"/>
  <c r="BF122" i="14"/>
  <c r="BG108" i="14" s="1"/>
  <c r="BG109" i="14" s="1"/>
  <c r="BE18" i="14"/>
  <c r="BC39" i="14"/>
  <c r="BC41" i="14" s="1"/>
  <c r="BC33" i="14"/>
  <c r="BD176" i="14"/>
  <c r="BD28" i="14"/>
  <c r="BF162" i="14"/>
  <c r="BF178" i="14"/>
  <c r="BE19" i="14" l="1"/>
  <c r="BE386" i="14"/>
  <c r="BE20" i="14" s="1"/>
  <c r="BF408" i="14"/>
  <c r="BF31" i="14" s="1"/>
  <c r="BF271" i="14"/>
  <c r="BG257" i="14" s="1"/>
  <c r="BG258" i="14" s="1"/>
  <c r="BC570" i="14"/>
  <c r="BC580" i="14"/>
  <c r="BC582" i="14" s="1"/>
  <c r="BF163" i="14"/>
  <c r="BD179" i="14"/>
  <c r="BD30" i="14"/>
  <c r="BE174" i="14"/>
  <c r="BE27" i="14"/>
  <c r="BD565" i="14"/>
  <c r="BD926" i="14"/>
  <c r="BF394" i="14"/>
  <c r="BF417" i="14" s="1"/>
  <c r="BF418" i="14" s="1"/>
  <c r="BF420" i="14" s="1"/>
  <c r="BF423" i="14" s="1"/>
  <c r="BF49" i="14" s="1"/>
  <c r="BF51" i="14" s="1"/>
  <c r="BG161" i="14"/>
  <c r="BG110" i="14"/>
  <c r="BG392" i="14"/>
  <c r="BG331" i="14"/>
  <c r="BF409" i="14"/>
  <c r="BF32" i="14" s="1"/>
  <c r="BF384" i="14"/>
  <c r="BF18" i="14" s="1"/>
  <c r="BF927" i="14"/>
  <c r="BF568" i="14" s="1"/>
  <c r="BF792" i="14"/>
  <c r="BG778" i="14" s="1"/>
  <c r="BG779" i="14" s="1"/>
  <c r="BF554" i="14"/>
  <c r="BF904" i="14"/>
  <c r="BF928" i="14"/>
  <c r="BF569" i="14" s="1"/>
  <c r="BE923" i="14"/>
  <c r="BE556" i="14"/>
  <c r="BF395" i="14" l="1"/>
  <c r="BG162" i="14"/>
  <c r="BG178" i="14"/>
  <c r="BE176" i="14"/>
  <c r="BE28" i="14"/>
  <c r="BG177" i="14"/>
  <c r="BG122" i="14"/>
  <c r="BH108" i="14" s="1"/>
  <c r="BH109" i="14" s="1"/>
  <c r="BG903" i="14"/>
  <c r="BG780" i="14"/>
  <c r="BF385" i="14"/>
  <c r="BF404" i="14" s="1"/>
  <c r="BF405" i="14" s="1"/>
  <c r="BF407" i="14" s="1"/>
  <c r="BF410" i="14" s="1"/>
  <c r="BF44" i="14" s="1"/>
  <c r="BF46" i="14" s="1"/>
  <c r="BD567" i="14"/>
  <c r="BD929" i="14"/>
  <c r="BE564" i="14"/>
  <c r="BE924" i="14"/>
  <c r="BD39" i="14"/>
  <c r="BD41" i="14" s="1"/>
  <c r="BD33" i="14"/>
  <c r="BG383" i="14"/>
  <c r="BG259" i="14"/>
  <c r="BF905" i="14"/>
  <c r="BF906" i="14" s="1"/>
  <c r="BF557" i="14" s="1"/>
  <c r="BF555" i="14"/>
  <c r="BF164" i="14"/>
  <c r="BF173" i="14"/>
  <c r="BG421" i="14"/>
  <c r="BG343" i="14"/>
  <c r="BH329" i="14" s="1"/>
  <c r="BH330" i="14" s="1"/>
  <c r="BG393" i="14"/>
  <c r="BG422" i="14"/>
  <c r="BF386" i="14" l="1"/>
  <c r="BF20" i="14" s="1"/>
  <c r="BF19" i="14"/>
  <c r="BD580" i="14"/>
  <c r="BD582" i="14" s="1"/>
  <c r="BD570" i="14"/>
  <c r="BG394" i="14"/>
  <c r="BG417" i="14" s="1"/>
  <c r="BG418" i="14" s="1"/>
  <c r="BG420" i="14" s="1"/>
  <c r="BG423" i="14" s="1"/>
  <c r="BG49" i="14" s="1"/>
  <c r="BG51" i="14" s="1"/>
  <c r="BH392" i="14"/>
  <c r="BH331" i="14"/>
  <c r="BG928" i="14"/>
  <c r="BG569" i="14" s="1"/>
  <c r="BG554" i="14"/>
  <c r="BG904" i="14"/>
  <c r="BH161" i="14"/>
  <c r="BH110" i="14"/>
  <c r="BF923" i="14"/>
  <c r="BF556" i="14"/>
  <c r="BE926" i="14"/>
  <c r="BE565" i="14"/>
  <c r="BF174" i="14"/>
  <c r="BF27" i="14"/>
  <c r="BE179" i="14"/>
  <c r="BE30" i="14"/>
  <c r="BG409" i="14"/>
  <c r="BG32" i="14" s="1"/>
  <c r="BG384" i="14"/>
  <c r="BG18" i="14" s="1"/>
  <c r="BG163" i="14"/>
  <c r="BG927" i="14"/>
  <c r="BG568" i="14" s="1"/>
  <c r="BG792" i="14"/>
  <c r="BH778" i="14" s="1"/>
  <c r="BH779" i="14" s="1"/>
  <c r="BG408" i="14"/>
  <c r="BG31" i="14" s="1"/>
  <c r="BG271" i="14"/>
  <c r="BH257" i="14" s="1"/>
  <c r="BH258" i="14" s="1"/>
  <c r="BG17" i="14"/>
  <c r="BG395" i="14" l="1"/>
  <c r="BF564" i="14"/>
  <c r="BF924" i="14"/>
  <c r="BH178" i="14"/>
  <c r="BH162" i="14"/>
  <c r="BG164" i="14"/>
  <c r="BG173" i="14"/>
  <c r="BH383" i="14"/>
  <c r="BH259" i="14"/>
  <c r="BG555" i="14"/>
  <c r="BG905" i="14"/>
  <c r="BH421" i="14"/>
  <c r="BH343" i="14"/>
  <c r="BI329" i="14" s="1"/>
  <c r="BI330" i="14" s="1"/>
  <c r="BE929" i="14"/>
  <c r="BE567" i="14"/>
  <c r="BH903" i="14"/>
  <c r="BH780" i="14"/>
  <c r="BF176" i="14"/>
  <c r="BF28" i="14"/>
  <c r="BH177" i="14"/>
  <c r="BH122" i="14"/>
  <c r="BI108" i="14" s="1"/>
  <c r="BI109" i="14" s="1"/>
  <c r="BG385" i="14"/>
  <c r="BG404" i="14" s="1"/>
  <c r="BG405" i="14" s="1"/>
  <c r="BG407" i="14" s="1"/>
  <c r="BG410" i="14" s="1"/>
  <c r="BG44" i="14" s="1"/>
  <c r="BG46" i="14" s="1"/>
  <c r="BH393" i="14"/>
  <c r="BH422" i="14"/>
  <c r="BE39" i="14"/>
  <c r="BE41" i="14" s="1"/>
  <c r="BE33" i="14"/>
  <c r="BG386" i="14" l="1"/>
  <c r="BG20" i="14" s="1"/>
  <c r="BI392" i="14"/>
  <c r="BI331" i="14"/>
  <c r="BG556" i="14"/>
  <c r="BG923" i="14"/>
  <c r="BG174" i="14"/>
  <c r="BG27" i="14"/>
  <c r="BE570" i="14"/>
  <c r="BE580" i="14"/>
  <c r="BE582" i="14" s="1"/>
  <c r="BH394" i="14"/>
  <c r="BH417" i="14" s="1"/>
  <c r="BH418" i="14" s="1"/>
  <c r="BH420" i="14" s="1"/>
  <c r="BH423" i="14" s="1"/>
  <c r="BH49" i="14" s="1"/>
  <c r="BH51" i="14" s="1"/>
  <c r="BH408" i="14"/>
  <c r="BH31" i="14" s="1"/>
  <c r="BH271" i="14"/>
  <c r="BI257" i="14" s="1"/>
  <c r="BI258" i="14" s="1"/>
  <c r="BH384" i="14"/>
  <c r="BH409" i="14"/>
  <c r="BH32" i="14" s="1"/>
  <c r="BG906" i="14"/>
  <c r="BG557" i="14" s="1"/>
  <c r="BI161" i="14"/>
  <c r="BI110" i="14"/>
  <c r="BG19" i="14"/>
  <c r="BF179" i="14"/>
  <c r="BF30" i="14"/>
  <c r="BH17" i="14"/>
  <c r="BH163" i="14"/>
  <c r="BH164" i="14" s="1"/>
  <c r="BH927" i="14"/>
  <c r="BH568" i="14" s="1"/>
  <c r="BH792" i="14"/>
  <c r="BI778" i="14" s="1"/>
  <c r="BI779" i="14" s="1"/>
  <c r="BH928" i="14"/>
  <c r="BH569" i="14" s="1"/>
  <c r="BH554" i="14"/>
  <c r="BH904" i="14"/>
  <c r="BF926" i="14"/>
  <c r="BF565" i="14"/>
  <c r="BH395" i="14" l="1"/>
  <c r="BH555" i="14"/>
  <c r="BH905" i="14"/>
  <c r="BH906" i="14" s="1"/>
  <c r="BH557" i="14" s="1"/>
  <c r="BH385" i="14"/>
  <c r="BH404" i="14" s="1"/>
  <c r="BH405" i="14" s="1"/>
  <c r="BH407" i="14" s="1"/>
  <c r="BH410" i="14" s="1"/>
  <c r="BH44" i="14" s="1"/>
  <c r="BH46" i="14" s="1"/>
  <c r="BI903" i="14"/>
  <c r="BI780" i="14"/>
  <c r="BH18" i="14"/>
  <c r="BI383" i="14"/>
  <c r="BI17" i="14" s="1"/>
  <c r="BI259" i="14"/>
  <c r="BG564" i="14"/>
  <c r="BG924" i="14"/>
  <c r="BI421" i="14"/>
  <c r="BI343" i="14"/>
  <c r="BJ329" i="14" s="1"/>
  <c r="BJ330" i="14" s="1"/>
  <c r="BF567" i="14"/>
  <c r="BF929" i="14"/>
  <c r="BH173" i="14"/>
  <c r="BF39" i="14"/>
  <c r="BF41" i="14" s="1"/>
  <c r="BF33" i="14"/>
  <c r="BG176" i="14"/>
  <c r="BG28" i="14"/>
  <c r="BI177" i="14"/>
  <c r="BI122" i="14"/>
  <c r="BJ108" i="14" s="1"/>
  <c r="BJ109" i="14" s="1"/>
  <c r="BI162" i="14"/>
  <c r="BI178" i="14"/>
  <c r="BI393" i="14"/>
  <c r="BI422" i="14"/>
  <c r="BH386" i="14" l="1"/>
  <c r="BH20" i="14" s="1"/>
  <c r="BI394" i="14"/>
  <c r="BI417" i="14" s="1"/>
  <c r="BI418" i="14" s="1"/>
  <c r="BI420" i="14" s="1"/>
  <c r="BI423" i="14" s="1"/>
  <c r="BI49" i="14" s="1"/>
  <c r="BI51" i="14" s="1"/>
  <c r="BG565" i="14"/>
  <c r="BG926" i="14"/>
  <c r="BI408" i="14"/>
  <c r="BI31" i="14" s="1"/>
  <c r="BI271" i="14"/>
  <c r="BJ257" i="14" s="1"/>
  <c r="BJ258" i="14" s="1"/>
  <c r="BI163" i="14"/>
  <c r="BI409" i="14"/>
  <c r="BI32" i="14" s="1"/>
  <c r="BI384" i="14"/>
  <c r="BI18" i="14" s="1"/>
  <c r="BI927" i="14"/>
  <c r="BI568" i="14" s="1"/>
  <c r="BI792" i="14"/>
  <c r="BJ778" i="14" s="1"/>
  <c r="BJ779" i="14" s="1"/>
  <c r="BI928" i="14"/>
  <c r="BI569" i="14" s="1"/>
  <c r="BI904" i="14"/>
  <c r="BI554" i="14"/>
  <c r="BG179" i="14"/>
  <c r="BG30" i="14"/>
  <c r="BJ161" i="14"/>
  <c r="BJ110" i="14"/>
  <c r="BH19" i="14"/>
  <c r="BH923" i="14"/>
  <c r="BH556" i="14"/>
  <c r="BH27" i="14"/>
  <c r="BH174" i="14"/>
  <c r="BF570" i="14"/>
  <c r="BF580" i="14"/>
  <c r="BF582" i="14" s="1"/>
  <c r="BJ392" i="14"/>
  <c r="BJ331" i="14"/>
  <c r="BI395" i="14" l="1"/>
  <c r="BJ421" i="14"/>
  <c r="BJ343" i="14"/>
  <c r="BK329" i="14" s="1"/>
  <c r="BK330" i="14" s="1"/>
  <c r="BJ422" i="14"/>
  <c r="BJ393" i="14"/>
  <c r="BH564" i="14"/>
  <c r="BH924" i="14"/>
  <c r="BH28" i="14"/>
  <c r="BH176" i="14"/>
  <c r="BJ383" i="14"/>
  <c r="BJ259" i="14"/>
  <c r="BJ903" i="14"/>
  <c r="BJ780" i="14"/>
  <c r="BJ177" i="14"/>
  <c r="BJ122" i="14"/>
  <c r="BK108" i="14" s="1"/>
  <c r="BK109" i="14" s="1"/>
  <c r="BI164" i="14"/>
  <c r="BI173" i="14"/>
  <c r="BG929" i="14"/>
  <c r="BG567" i="14"/>
  <c r="BJ162" i="14"/>
  <c r="BJ178" i="14"/>
  <c r="BG39" i="14"/>
  <c r="BG41" i="14" s="1"/>
  <c r="BG33" i="14"/>
  <c r="BI905" i="14"/>
  <c r="BI906" i="14" s="1"/>
  <c r="BI557" i="14" s="1"/>
  <c r="BI555" i="14"/>
  <c r="BI385" i="14"/>
  <c r="BI404" i="14" s="1"/>
  <c r="BI405" i="14" s="1"/>
  <c r="BI407" i="14" s="1"/>
  <c r="BI410" i="14" s="1"/>
  <c r="BI44" i="14" s="1"/>
  <c r="BI46" i="14" s="1"/>
  <c r="BI386" i="14" l="1"/>
  <c r="BI20" i="14" s="1"/>
  <c r="BI174" i="14"/>
  <c r="BI27" i="14"/>
  <c r="BK161" i="14"/>
  <c r="BK110" i="14"/>
  <c r="BJ927" i="14"/>
  <c r="BJ568" i="14" s="1"/>
  <c r="BJ792" i="14"/>
  <c r="BK778" i="14" s="1"/>
  <c r="BK779" i="14" s="1"/>
  <c r="BJ904" i="14"/>
  <c r="BJ928" i="14"/>
  <c r="BJ569" i="14" s="1"/>
  <c r="BJ554" i="14"/>
  <c r="BJ408" i="14"/>
  <c r="BJ31" i="14" s="1"/>
  <c r="BJ271" i="14"/>
  <c r="BK257" i="14" s="1"/>
  <c r="BK258" i="14" s="1"/>
  <c r="BI923" i="14"/>
  <c r="BI556" i="14"/>
  <c r="BJ384" i="14"/>
  <c r="BJ409" i="14"/>
  <c r="BJ32" i="14" s="1"/>
  <c r="BH30" i="14"/>
  <c r="BH179" i="14"/>
  <c r="BJ17" i="14"/>
  <c r="BH565" i="14"/>
  <c r="BH926" i="14"/>
  <c r="BJ163" i="14"/>
  <c r="BJ394" i="14"/>
  <c r="BJ417" i="14" s="1"/>
  <c r="BJ418" i="14" s="1"/>
  <c r="BJ420" i="14" s="1"/>
  <c r="BJ423" i="14" s="1"/>
  <c r="BJ49" i="14" s="1"/>
  <c r="BJ51" i="14" s="1"/>
  <c r="BG580" i="14"/>
  <c r="BG582" i="14" s="1"/>
  <c r="BG570" i="14"/>
  <c r="BK392" i="14"/>
  <c r="BK331" i="14"/>
  <c r="BI19" i="14"/>
  <c r="BJ395" i="14" l="1"/>
  <c r="BK421" i="14"/>
  <c r="BK343" i="14"/>
  <c r="BL329" i="14" s="1"/>
  <c r="BL330" i="14" s="1"/>
  <c r="BK422" i="14"/>
  <c r="BK393" i="14"/>
  <c r="BJ385" i="14"/>
  <c r="BJ404" i="14" s="1"/>
  <c r="BJ405" i="14" s="1"/>
  <c r="BJ407" i="14" s="1"/>
  <c r="BJ410" i="14" s="1"/>
  <c r="BJ44" i="14" s="1"/>
  <c r="BJ46" i="14" s="1"/>
  <c r="BJ18" i="14"/>
  <c r="BK383" i="14"/>
  <c r="BK17" i="14" s="1"/>
  <c r="BK259" i="14"/>
  <c r="BJ164" i="14"/>
  <c r="BJ173" i="14"/>
  <c r="BJ19" i="14"/>
  <c r="BJ905" i="14"/>
  <c r="BJ555" i="14"/>
  <c r="BI564" i="14"/>
  <c r="BI924" i="14"/>
  <c r="BH567" i="14"/>
  <c r="BH929" i="14"/>
  <c r="BK903" i="14"/>
  <c r="BK780" i="14"/>
  <c r="BK177" i="14"/>
  <c r="BK122" i="14"/>
  <c r="BL108" i="14" s="1"/>
  <c r="BL109" i="14" s="1"/>
  <c r="BK162" i="14"/>
  <c r="BK178" i="14"/>
  <c r="BH39" i="14"/>
  <c r="BH41" i="14" s="1"/>
  <c r="BH33" i="14"/>
  <c r="BI176" i="14"/>
  <c r="BI28" i="14"/>
  <c r="BJ386" i="14" l="1"/>
  <c r="BJ20" i="14" s="1"/>
  <c r="BK408" i="14"/>
  <c r="BK31" i="14" s="1"/>
  <c r="BK271" i="14"/>
  <c r="BL257" i="14" s="1"/>
  <c r="BL258" i="14" s="1"/>
  <c r="BK163" i="14"/>
  <c r="BK164" i="14" s="1"/>
  <c r="BK384" i="14"/>
  <c r="BK18" i="14" s="1"/>
  <c r="BK409" i="14"/>
  <c r="BK32" i="14" s="1"/>
  <c r="BL161" i="14"/>
  <c r="BL110" i="14"/>
  <c r="BK927" i="14"/>
  <c r="BK568" i="14" s="1"/>
  <c r="BK792" i="14"/>
  <c r="BL778" i="14" s="1"/>
  <c r="BL779" i="14" s="1"/>
  <c r="BK554" i="14"/>
  <c r="BK904" i="14"/>
  <c r="BK928" i="14"/>
  <c r="BK569" i="14" s="1"/>
  <c r="BJ556" i="14"/>
  <c r="BJ923" i="14"/>
  <c r="BJ174" i="14"/>
  <c r="BJ27" i="14"/>
  <c r="BH580" i="14"/>
  <c r="BH582" i="14" s="1"/>
  <c r="BH570" i="14"/>
  <c r="BK394" i="14"/>
  <c r="BK417" i="14" s="1"/>
  <c r="BK418" i="14" s="1"/>
  <c r="BK420" i="14" s="1"/>
  <c r="BK423" i="14" s="1"/>
  <c r="BK49" i="14" s="1"/>
  <c r="BK51" i="14" s="1"/>
  <c r="BI565" i="14"/>
  <c r="BI926" i="14"/>
  <c r="BI179" i="14"/>
  <c r="BI30" i="14"/>
  <c r="BL392" i="14"/>
  <c r="BL331" i="14"/>
  <c r="BJ906" i="14"/>
  <c r="BJ557" i="14" s="1"/>
  <c r="BK395" i="14" l="1"/>
  <c r="BL421" i="14"/>
  <c r="BL343" i="14"/>
  <c r="BM329" i="14" s="1"/>
  <c r="BM330" i="14" s="1"/>
  <c r="BL422" i="14"/>
  <c r="BL393" i="14"/>
  <c r="BK555" i="14"/>
  <c r="BK905" i="14"/>
  <c r="BK906" i="14" s="1"/>
  <c r="BK557" i="14" s="1"/>
  <c r="BI567" i="14"/>
  <c r="BI929" i="14"/>
  <c r="BL178" i="14"/>
  <c r="BL162" i="14"/>
  <c r="BL903" i="14"/>
  <c r="BL780" i="14"/>
  <c r="BK385" i="14"/>
  <c r="BK404" i="14" s="1"/>
  <c r="BK405" i="14" s="1"/>
  <c r="BK407" i="14" s="1"/>
  <c r="BK410" i="14" s="1"/>
  <c r="BK44" i="14" s="1"/>
  <c r="BK46" i="14" s="1"/>
  <c r="BK173" i="14"/>
  <c r="BI39" i="14"/>
  <c r="BI41" i="14" s="1"/>
  <c r="BI33" i="14"/>
  <c r="BL177" i="14"/>
  <c r="BL122" i="14"/>
  <c r="BM108" i="14" s="1"/>
  <c r="BM109" i="14" s="1"/>
  <c r="BJ176" i="14"/>
  <c r="BJ28" i="14"/>
  <c r="BL383" i="14"/>
  <c r="BL17" i="14" s="1"/>
  <c r="BL259" i="14"/>
  <c r="BJ924" i="14"/>
  <c r="BJ564" i="14"/>
  <c r="BK386" i="14" l="1"/>
  <c r="BK20" i="14" s="1"/>
  <c r="BL927" i="14"/>
  <c r="BL568" i="14" s="1"/>
  <c r="BL792" i="14"/>
  <c r="BM778" i="14" s="1"/>
  <c r="BM779" i="14" s="1"/>
  <c r="BJ926" i="14"/>
  <c r="BJ565" i="14"/>
  <c r="BL163" i="14"/>
  <c r="BL928" i="14"/>
  <c r="BL569" i="14" s="1"/>
  <c r="BL904" i="14"/>
  <c r="BL554" i="14"/>
  <c r="BL408" i="14"/>
  <c r="BL31" i="14" s="1"/>
  <c r="BL271" i="14"/>
  <c r="BM257" i="14" s="1"/>
  <c r="BM258" i="14" s="1"/>
  <c r="BL384" i="14"/>
  <c r="BL409" i="14"/>
  <c r="BL32" i="14" s="1"/>
  <c r="BI570" i="14"/>
  <c r="BI580" i="14"/>
  <c r="BI582" i="14" s="1"/>
  <c r="BJ179" i="14"/>
  <c r="BJ30" i="14"/>
  <c r="BM161" i="14"/>
  <c r="BM110" i="14"/>
  <c r="BK923" i="14"/>
  <c r="BK556" i="14"/>
  <c r="BL394" i="14"/>
  <c r="BL417" i="14" s="1"/>
  <c r="BL418" i="14" s="1"/>
  <c r="BL420" i="14" s="1"/>
  <c r="BL423" i="14" s="1"/>
  <c r="BL49" i="14" s="1"/>
  <c r="BL51" i="14" s="1"/>
  <c r="BK19" i="14"/>
  <c r="BM392" i="14"/>
  <c r="BM331" i="14"/>
  <c r="BK174" i="14"/>
  <c r="BK27" i="14"/>
  <c r="BM383" i="14" l="1"/>
  <c r="BM17" i="14" s="1"/>
  <c r="BM259" i="14"/>
  <c r="BL385" i="14"/>
  <c r="BL404" i="14" s="1"/>
  <c r="BL405" i="14" s="1"/>
  <c r="BL407" i="14" s="1"/>
  <c r="BL410" i="14" s="1"/>
  <c r="BL44" i="14" s="1"/>
  <c r="BL46" i="14" s="1"/>
  <c r="BM421" i="14"/>
  <c r="BM343" i="14"/>
  <c r="BN329" i="14" s="1"/>
  <c r="BN330" i="14" s="1"/>
  <c r="BM393" i="14"/>
  <c r="BM422" i="14"/>
  <c r="BL905" i="14"/>
  <c r="BL906" i="14" s="1"/>
  <c r="BL557" i="14" s="1"/>
  <c r="BL555" i="14"/>
  <c r="BL395" i="14"/>
  <c r="BL18" i="14"/>
  <c r="BL164" i="14"/>
  <c r="BL173" i="14"/>
  <c r="BK176" i="14"/>
  <c r="BK28" i="14"/>
  <c r="BK564" i="14"/>
  <c r="BK924" i="14"/>
  <c r="BM177" i="14"/>
  <c r="BM122" i="14"/>
  <c r="BN108" i="14" s="1"/>
  <c r="BN109" i="14" s="1"/>
  <c r="BJ567" i="14"/>
  <c r="BJ929" i="14"/>
  <c r="BM162" i="14"/>
  <c r="BM178" i="14"/>
  <c r="BM903" i="14"/>
  <c r="BM780" i="14"/>
  <c r="BJ39" i="14"/>
  <c r="BJ41" i="14" s="1"/>
  <c r="BJ33" i="14"/>
  <c r="BL19" i="14" l="1"/>
  <c r="BL386" i="14"/>
  <c r="BL20" i="14" s="1"/>
  <c r="BM163" i="14"/>
  <c r="BJ580" i="14"/>
  <c r="BJ582" i="14" s="1"/>
  <c r="BJ570" i="14"/>
  <c r="BM394" i="14"/>
  <c r="BM417" i="14" s="1"/>
  <c r="BM418" i="14" s="1"/>
  <c r="BM420" i="14" s="1"/>
  <c r="BM423" i="14" s="1"/>
  <c r="BM49" i="14" s="1"/>
  <c r="BM51" i="14" s="1"/>
  <c r="BM554" i="14"/>
  <c r="BM904" i="14"/>
  <c r="BM928" i="14"/>
  <c r="BM569" i="14" s="1"/>
  <c r="BL556" i="14"/>
  <c r="BL923" i="14"/>
  <c r="BM927" i="14"/>
  <c r="BM568" i="14" s="1"/>
  <c r="BM792" i="14"/>
  <c r="BN778" i="14" s="1"/>
  <c r="BN779" i="14" s="1"/>
  <c r="BN161" i="14"/>
  <c r="BN110" i="14"/>
  <c r="BK926" i="14"/>
  <c r="BK565" i="14"/>
  <c r="BM408" i="14"/>
  <c r="BM31" i="14" s="1"/>
  <c r="BM271" i="14"/>
  <c r="BN257" i="14" s="1"/>
  <c r="BN258" i="14" s="1"/>
  <c r="BL174" i="14"/>
  <c r="BL27" i="14"/>
  <c r="BN392" i="14"/>
  <c r="BN331" i="14"/>
  <c r="BK179" i="14"/>
  <c r="BK30" i="14"/>
  <c r="BM409" i="14"/>
  <c r="BM32" i="14" s="1"/>
  <c r="BM384" i="14"/>
  <c r="BM395" i="14" l="1"/>
  <c r="BN177" i="14"/>
  <c r="BN122" i="14"/>
  <c r="BO108" i="14" s="1"/>
  <c r="BO109" i="14" s="1"/>
  <c r="BL924" i="14"/>
  <c r="BL564" i="14"/>
  <c r="BN903" i="14"/>
  <c r="BN780" i="14"/>
  <c r="BN421" i="14"/>
  <c r="BN343" i="14"/>
  <c r="BO329" i="14" s="1"/>
  <c r="BO330" i="14" s="1"/>
  <c r="BK929" i="14"/>
  <c r="BK567" i="14"/>
  <c r="BM385" i="14"/>
  <c r="BM404" i="14" s="1"/>
  <c r="BM405" i="14" s="1"/>
  <c r="BM407" i="14" s="1"/>
  <c r="BM410" i="14" s="1"/>
  <c r="BM44" i="14" s="1"/>
  <c r="BM46" i="14" s="1"/>
  <c r="BK39" i="14"/>
  <c r="BK41" i="14" s="1"/>
  <c r="BK33" i="14"/>
  <c r="BM905" i="14"/>
  <c r="BM555" i="14"/>
  <c r="BN393" i="14"/>
  <c r="BN422" i="14"/>
  <c r="BL176" i="14"/>
  <c r="BL28" i="14"/>
  <c r="BM18" i="14"/>
  <c r="BN178" i="14"/>
  <c r="BN162" i="14"/>
  <c r="BN383" i="14"/>
  <c r="BN259" i="14"/>
  <c r="BM164" i="14"/>
  <c r="BM173" i="14"/>
  <c r="BM19" i="14" l="1"/>
  <c r="BM386" i="14"/>
  <c r="BM20" i="14" s="1"/>
  <c r="BO392" i="14"/>
  <c r="BO331" i="14"/>
  <c r="BK570" i="14"/>
  <c r="BK580" i="14"/>
  <c r="BK582" i="14" s="1"/>
  <c r="BN408" i="14"/>
  <c r="BN31" i="14" s="1"/>
  <c r="BN271" i="14"/>
  <c r="BO257" i="14" s="1"/>
  <c r="BO258" i="14" s="1"/>
  <c r="BN163" i="14"/>
  <c r="BN164" i="14" s="1"/>
  <c r="BN927" i="14"/>
  <c r="BN568" i="14" s="1"/>
  <c r="BN792" i="14"/>
  <c r="BO778" i="14" s="1"/>
  <c r="BO779" i="14" s="1"/>
  <c r="BN928" i="14"/>
  <c r="BN569" i="14" s="1"/>
  <c r="BN554" i="14"/>
  <c r="BN904" i="14"/>
  <c r="BO161" i="14"/>
  <c r="BO110" i="14"/>
  <c r="BM556" i="14"/>
  <c r="BM923" i="14"/>
  <c r="BM174" i="14"/>
  <c r="BM27" i="14"/>
  <c r="BN384" i="14"/>
  <c r="BN18" i="14" s="1"/>
  <c r="BN409" i="14"/>
  <c r="BN32" i="14" s="1"/>
  <c r="BN17" i="14"/>
  <c r="BL179" i="14"/>
  <c r="BL30" i="14"/>
  <c r="BL565" i="14"/>
  <c r="BL926" i="14"/>
  <c r="BN394" i="14"/>
  <c r="BN417" i="14" s="1"/>
  <c r="BN418" i="14" s="1"/>
  <c r="BN420" i="14" s="1"/>
  <c r="BN423" i="14" s="1"/>
  <c r="BN49" i="14" s="1"/>
  <c r="BN51" i="14" s="1"/>
  <c r="BM906" i="14"/>
  <c r="BM557" i="14" s="1"/>
  <c r="BN395" i="14" l="1"/>
  <c r="BO903" i="14"/>
  <c r="BO780" i="14"/>
  <c r="BO177" i="14"/>
  <c r="BO122" i="14"/>
  <c r="BP108" i="14" s="1"/>
  <c r="BP109" i="14" s="1"/>
  <c r="BO178" i="14"/>
  <c r="BO162" i="14"/>
  <c r="BN905" i="14"/>
  <c r="BN555" i="14"/>
  <c r="BL39" i="14"/>
  <c r="BL41" i="14" s="1"/>
  <c r="BL33" i="14"/>
  <c r="BN173" i="14"/>
  <c r="BN385" i="14"/>
  <c r="BN404" i="14" s="1"/>
  <c r="BN405" i="14" s="1"/>
  <c r="BN407" i="14" s="1"/>
  <c r="BN410" i="14" s="1"/>
  <c r="BN44" i="14" s="1"/>
  <c r="BN46" i="14" s="1"/>
  <c r="BO421" i="14"/>
  <c r="BO343" i="14"/>
  <c r="BP329" i="14" s="1"/>
  <c r="BP330" i="14" s="1"/>
  <c r="BL567" i="14"/>
  <c r="BL929" i="14"/>
  <c r="BO383" i="14"/>
  <c r="BO17" i="14" s="1"/>
  <c r="BO259" i="14"/>
  <c r="BM28" i="14"/>
  <c r="BM176" i="14"/>
  <c r="BM924" i="14"/>
  <c r="BM564" i="14"/>
  <c r="BO393" i="14"/>
  <c r="BO422" i="14"/>
  <c r="BN386" i="14" l="1"/>
  <c r="BN20" i="14" s="1"/>
  <c r="BN174" i="14"/>
  <c r="BN27" i="14"/>
  <c r="BO394" i="14"/>
  <c r="BO417" i="14" s="1"/>
  <c r="BO418" i="14" s="1"/>
  <c r="BO420" i="14" s="1"/>
  <c r="BO423" i="14" s="1"/>
  <c r="BO49" i="14" s="1"/>
  <c r="BO51" i="14" s="1"/>
  <c r="BO408" i="14"/>
  <c r="BO31" i="14" s="1"/>
  <c r="BO271" i="14"/>
  <c r="BP257" i="14" s="1"/>
  <c r="BP258" i="14" s="1"/>
  <c r="BN19" i="14"/>
  <c r="BN556" i="14"/>
  <c r="BN923" i="14"/>
  <c r="BM30" i="14"/>
  <c r="BM179" i="14"/>
  <c r="BP161" i="14"/>
  <c r="BP110" i="14"/>
  <c r="BO927" i="14"/>
  <c r="BO568" i="14" s="1"/>
  <c r="BO792" i="14"/>
  <c r="BP778" i="14" s="1"/>
  <c r="BP779" i="14" s="1"/>
  <c r="BM926" i="14"/>
  <c r="BM565" i="14"/>
  <c r="BN906" i="14"/>
  <c r="BN557" i="14" s="1"/>
  <c r="BO163" i="14"/>
  <c r="BO384" i="14"/>
  <c r="BO409" i="14"/>
  <c r="BO32" i="14" s="1"/>
  <c r="BL580" i="14"/>
  <c r="BL582" i="14" s="1"/>
  <c r="BL570" i="14"/>
  <c r="BP392" i="14"/>
  <c r="BP331" i="14"/>
  <c r="BO554" i="14"/>
  <c r="BO904" i="14"/>
  <c r="BO928" i="14"/>
  <c r="BO569" i="14" s="1"/>
  <c r="BO395" i="14" l="1"/>
  <c r="BP903" i="14"/>
  <c r="BP780" i="14"/>
  <c r="BM567" i="14"/>
  <c r="BM929" i="14"/>
  <c r="BO555" i="14"/>
  <c r="BO905" i="14"/>
  <c r="BO906" i="14" s="1"/>
  <c r="BO557" i="14" s="1"/>
  <c r="BP177" i="14"/>
  <c r="BP122" i="14"/>
  <c r="BQ108" i="14" s="1"/>
  <c r="BQ109" i="14" s="1"/>
  <c r="BP162" i="14"/>
  <c r="BP178" i="14"/>
  <c r="BM39" i="14"/>
  <c r="BM41" i="14" s="1"/>
  <c r="BM33" i="14"/>
  <c r="BP422" i="14"/>
  <c r="BP393" i="14"/>
  <c r="BO385" i="14"/>
  <c r="BO404" i="14" s="1"/>
  <c r="BO405" i="14" s="1"/>
  <c r="BO407" i="14" s="1"/>
  <c r="BO410" i="14" s="1"/>
  <c r="BO44" i="14" s="1"/>
  <c r="BO46" i="14" s="1"/>
  <c r="BP421" i="14"/>
  <c r="BP343" i="14"/>
  <c r="BQ329" i="14" s="1"/>
  <c r="BQ330" i="14" s="1"/>
  <c r="BN564" i="14"/>
  <c r="BN924" i="14"/>
  <c r="BO18" i="14"/>
  <c r="BO164" i="14"/>
  <c r="BO173" i="14"/>
  <c r="BP383" i="14"/>
  <c r="BP17" i="14" s="1"/>
  <c r="BP259" i="14"/>
  <c r="BN176" i="14"/>
  <c r="BN28" i="14"/>
  <c r="BO19" i="14" l="1"/>
  <c r="BO386" i="14"/>
  <c r="BO174" i="14"/>
  <c r="BO27" i="14"/>
  <c r="BP408" i="14"/>
  <c r="BP31" i="14" s="1"/>
  <c r="BP271" i="14"/>
  <c r="BQ257" i="14" s="1"/>
  <c r="BQ258" i="14" s="1"/>
  <c r="BP163" i="14"/>
  <c r="BP394" i="14"/>
  <c r="BP417" i="14" s="1"/>
  <c r="BP418" i="14" s="1"/>
  <c r="BP420" i="14" s="1"/>
  <c r="BP423" i="14" s="1"/>
  <c r="BP49" i="14" s="1"/>
  <c r="BP51" i="14" s="1"/>
  <c r="BN179" i="14"/>
  <c r="BN30" i="14"/>
  <c r="BP384" i="14"/>
  <c r="BP18" i="14" s="1"/>
  <c r="BP409" i="14"/>
  <c r="BP32" i="14" s="1"/>
  <c r="BN565" i="14"/>
  <c r="BN926" i="14"/>
  <c r="BO20" i="14"/>
  <c r="BP927" i="14"/>
  <c r="BP568" i="14" s="1"/>
  <c r="BP792" i="14"/>
  <c r="BQ778" i="14" s="1"/>
  <c r="BQ779" i="14" s="1"/>
  <c r="BQ161" i="14"/>
  <c r="BQ110" i="14"/>
  <c r="BO923" i="14"/>
  <c r="BO556" i="14"/>
  <c r="BQ392" i="14"/>
  <c r="BQ331" i="14"/>
  <c r="BM570" i="14"/>
  <c r="BM580" i="14"/>
  <c r="BM582" i="14" s="1"/>
  <c r="BP928" i="14"/>
  <c r="BP569" i="14" s="1"/>
  <c r="BP904" i="14"/>
  <c r="BP554" i="14"/>
  <c r="BP395" i="14" l="1"/>
  <c r="BP555" i="14"/>
  <c r="BP905" i="14"/>
  <c r="BP906" i="14" s="1"/>
  <c r="BP557" i="14" s="1"/>
  <c r="BN39" i="14"/>
  <c r="BN41" i="14" s="1"/>
  <c r="BN33" i="14"/>
  <c r="BQ383" i="14"/>
  <c r="BQ17" i="14" s="1"/>
  <c r="BQ259" i="14"/>
  <c r="BN929" i="14"/>
  <c r="BN567" i="14"/>
  <c r="BP173" i="14"/>
  <c r="BP385" i="14"/>
  <c r="BP404" i="14" s="1"/>
  <c r="BP405" i="14" s="1"/>
  <c r="BP407" i="14" s="1"/>
  <c r="BP410" i="14" s="1"/>
  <c r="BP44" i="14" s="1"/>
  <c r="BP46" i="14" s="1"/>
  <c r="BQ421" i="14"/>
  <c r="BQ343" i="14"/>
  <c r="BR329" i="14" s="1"/>
  <c r="BR330" i="14" s="1"/>
  <c r="BQ422" i="14"/>
  <c r="BQ393" i="14"/>
  <c r="BQ177" i="14"/>
  <c r="BQ122" i="14"/>
  <c r="BR108" i="14" s="1"/>
  <c r="BR109" i="14" s="1"/>
  <c r="BQ178" i="14"/>
  <c r="BQ162" i="14"/>
  <c r="BP164" i="14"/>
  <c r="BO564" i="14"/>
  <c r="BO924" i="14"/>
  <c r="BQ903" i="14"/>
  <c r="BQ780" i="14"/>
  <c r="BO176" i="14"/>
  <c r="BO28" i="14"/>
  <c r="BP386" i="14" l="1"/>
  <c r="BP20" i="14" s="1"/>
  <c r="BP19" i="14"/>
  <c r="BQ927" i="14"/>
  <c r="BQ568" i="14" s="1"/>
  <c r="BQ792" i="14"/>
  <c r="BR778" i="14" s="1"/>
  <c r="BR779" i="14" s="1"/>
  <c r="BR392" i="14"/>
  <c r="BR331" i="14"/>
  <c r="BO179" i="14"/>
  <c r="BO30" i="14"/>
  <c r="BQ904" i="14"/>
  <c r="BQ928" i="14"/>
  <c r="BQ569" i="14" s="1"/>
  <c r="BQ554" i="14"/>
  <c r="BP174" i="14"/>
  <c r="BP27" i="14"/>
  <c r="BO565" i="14"/>
  <c r="BO926" i="14"/>
  <c r="BQ408" i="14"/>
  <c r="BQ31" i="14" s="1"/>
  <c r="BQ271" i="14"/>
  <c r="BR257" i="14" s="1"/>
  <c r="BR258" i="14" s="1"/>
  <c r="BQ163" i="14"/>
  <c r="BQ164" i="14" s="1"/>
  <c r="BP923" i="14"/>
  <c r="BP556" i="14"/>
  <c r="BN580" i="14"/>
  <c r="BN582" i="14" s="1"/>
  <c r="BN570" i="14"/>
  <c r="BQ384" i="14"/>
  <c r="BQ409" i="14"/>
  <c r="BQ32" i="14" s="1"/>
  <c r="BR161" i="14"/>
  <c r="BR110" i="14"/>
  <c r="BQ394" i="14"/>
  <c r="BQ417" i="14" s="1"/>
  <c r="BQ418" i="14" s="1"/>
  <c r="BQ420" i="14" s="1"/>
  <c r="BQ423" i="14" s="1"/>
  <c r="BQ49" i="14" s="1"/>
  <c r="BQ51" i="14" s="1"/>
  <c r="BQ395" i="14" l="1"/>
  <c r="BQ173" i="14"/>
  <c r="BR162" i="14"/>
  <c r="BR178" i="14"/>
  <c r="BR383" i="14"/>
  <c r="BR259" i="14"/>
  <c r="BO929" i="14"/>
  <c r="BO567" i="14"/>
  <c r="BR421" i="14"/>
  <c r="BR343" i="14"/>
  <c r="BS329" i="14" s="1"/>
  <c r="BS330" i="14" s="1"/>
  <c r="BP176" i="14"/>
  <c r="BP28" i="14"/>
  <c r="BP564" i="14"/>
  <c r="BP924" i="14"/>
  <c r="BR422" i="14"/>
  <c r="BR393" i="14"/>
  <c r="BR177" i="14"/>
  <c r="BR122" i="14"/>
  <c r="BS108" i="14" s="1"/>
  <c r="BS109" i="14" s="1"/>
  <c r="BQ385" i="14"/>
  <c r="BQ404" i="14" s="1"/>
  <c r="BQ405" i="14" s="1"/>
  <c r="BQ407" i="14" s="1"/>
  <c r="BQ410" i="14" s="1"/>
  <c r="BQ44" i="14" s="1"/>
  <c r="BQ46" i="14" s="1"/>
  <c r="BQ905" i="14"/>
  <c r="BQ906" i="14" s="1"/>
  <c r="BQ557" i="14" s="1"/>
  <c r="BQ555" i="14"/>
  <c r="BO39" i="14"/>
  <c r="BO41" i="14" s="1"/>
  <c r="BO33" i="14"/>
  <c r="BQ18" i="14"/>
  <c r="BR903" i="14"/>
  <c r="BR780" i="14"/>
  <c r="BS392" i="14" l="1"/>
  <c r="BS331" i="14"/>
  <c r="BQ386" i="14"/>
  <c r="BQ20" i="14" s="1"/>
  <c r="BP179" i="14"/>
  <c r="BP30" i="14"/>
  <c r="BR927" i="14"/>
  <c r="BR568" i="14" s="1"/>
  <c r="BR792" i="14"/>
  <c r="BS778" i="14" s="1"/>
  <c r="BS779" i="14" s="1"/>
  <c r="BR928" i="14"/>
  <c r="BR569" i="14" s="1"/>
  <c r="BR904" i="14"/>
  <c r="BR554" i="14"/>
  <c r="BO580" i="14"/>
  <c r="BO582" i="14" s="1"/>
  <c r="BO570" i="14"/>
  <c r="BR408" i="14"/>
  <c r="BR31" i="14" s="1"/>
  <c r="BR271" i="14"/>
  <c r="BS257" i="14" s="1"/>
  <c r="BS258" i="14" s="1"/>
  <c r="BS161" i="14"/>
  <c r="BS110" i="14"/>
  <c r="BR163" i="14"/>
  <c r="BP565" i="14"/>
  <c r="BP926" i="14"/>
  <c r="BQ923" i="14"/>
  <c r="BQ556" i="14"/>
  <c r="BR384" i="14"/>
  <c r="BR409" i="14"/>
  <c r="BR32" i="14" s="1"/>
  <c r="BR17" i="14"/>
  <c r="BQ19" i="14"/>
  <c r="BR394" i="14"/>
  <c r="BR417" i="14" s="1"/>
  <c r="BR418" i="14" s="1"/>
  <c r="BR420" i="14" s="1"/>
  <c r="BR423" i="14" s="1"/>
  <c r="BR49" i="14" s="1"/>
  <c r="BR51" i="14" s="1"/>
  <c r="BQ174" i="14"/>
  <c r="BQ27" i="14"/>
  <c r="BS177" i="14" l="1"/>
  <c r="BS122" i="14"/>
  <c r="BT108" i="14" s="1"/>
  <c r="BT109" i="14" s="1"/>
  <c r="BS162" i="14"/>
  <c r="BS178" i="14"/>
  <c r="BS383" i="14"/>
  <c r="BS259" i="14"/>
  <c r="BR395" i="14"/>
  <c r="BQ176" i="14"/>
  <c r="BQ28" i="14"/>
  <c r="BR555" i="14"/>
  <c r="BR905" i="14"/>
  <c r="BR906" i="14" s="1"/>
  <c r="BR557" i="14" s="1"/>
  <c r="BR385" i="14"/>
  <c r="BR404" i="14" s="1"/>
  <c r="BR405" i="14" s="1"/>
  <c r="BR407" i="14" s="1"/>
  <c r="BR410" i="14" s="1"/>
  <c r="BR44" i="14" s="1"/>
  <c r="BR46" i="14" s="1"/>
  <c r="BS903" i="14"/>
  <c r="BS780" i="14"/>
  <c r="BQ564" i="14"/>
  <c r="BQ924" i="14"/>
  <c r="BP567" i="14"/>
  <c r="BP929" i="14"/>
  <c r="BP39" i="14"/>
  <c r="BP41" i="14" s="1"/>
  <c r="BP33" i="14"/>
  <c r="BR18" i="14"/>
  <c r="BS421" i="14"/>
  <c r="BS343" i="14"/>
  <c r="BT329" i="14" s="1"/>
  <c r="BT330" i="14" s="1"/>
  <c r="BR164" i="14"/>
  <c r="BR173" i="14"/>
  <c r="BS422" i="14"/>
  <c r="BS393" i="14"/>
  <c r="BR386" i="14" l="1"/>
  <c r="BR20" i="14" s="1"/>
  <c r="BR19" i="14"/>
  <c r="BS394" i="14"/>
  <c r="BS417" i="14" s="1"/>
  <c r="BS418" i="14" s="1"/>
  <c r="BS420" i="14" s="1"/>
  <c r="BS423" i="14" s="1"/>
  <c r="BS49" i="14" s="1"/>
  <c r="BS51" i="14" s="1"/>
  <c r="BS554" i="14"/>
  <c r="BS904" i="14"/>
  <c r="BS928" i="14"/>
  <c r="BS569" i="14" s="1"/>
  <c r="BR923" i="14"/>
  <c r="BR556" i="14"/>
  <c r="BR174" i="14"/>
  <c r="BR27" i="14"/>
  <c r="BT392" i="14"/>
  <c r="BT331" i="14"/>
  <c r="BQ179" i="14"/>
  <c r="BQ30" i="14"/>
  <c r="BS408" i="14"/>
  <c r="BS31" i="14" s="1"/>
  <c r="BS271" i="14"/>
  <c r="BT257" i="14" s="1"/>
  <c r="BT258" i="14" s="1"/>
  <c r="BS384" i="14"/>
  <c r="BS18" i="14" s="1"/>
  <c r="BS409" i="14"/>
  <c r="BS32" i="14" s="1"/>
  <c r="BP570" i="14"/>
  <c r="BP580" i="14"/>
  <c r="BP582" i="14" s="1"/>
  <c r="BS17" i="14"/>
  <c r="BQ565" i="14"/>
  <c r="BQ926" i="14"/>
  <c r="BS163" i="14"/>
  <c r="BS164" i="14" s="1"/>
  <c r="BT161" i="14"/>
  <c r="BT110" i="14"/>
  <c r="BS927" i="14"/>
  <c r="BS568" i="14" s="1"/>
  <c r="BS792" i="14"/>
  <c r="BT778" i="14" s="1"/>
  <c r="BT779" i="14" s="1"/>
  <c r="BT903" i="14" l="1"/>
  <c r="BT780" i="14"/>
  <c r="BT177" i="14"/>
  <c r="BT122" i="14"/>
  <c r="BU108" i="14" s="1"/>
  <c r="BU109" i="14" s="1"/>
  <c r="BT421" i="14"/>
  <c r="BT343" i="14"/>
  <c r="BU329" i="14" s="1"/>
  <c r="BU330" i="14" s="1"/>
  <c r="BT383" i="14"/>
  <c r="BT17" i="14" s="1"/>
  <c r="BT259" i="14"/>
  <c r="BR176" i="14"/>
  <c r="BR28" i="14"/>
  <c r="BS173" i="14"/>
  <c r="BQ567" i="14"/>
  <c r="BQ929" i="14"/>
  <c r="BR924" i="14"/>
  <c r="BR564" i="14"/>
  <c r="BS555" i="14"/>
  <c r="BS905" i="14"/>
  <c r="BS906" i="14" s="1"/>
  <c r="BS557" i="14" s="1"/>
  <c r="BQ39" i="14"/>
  <c r="BQ41" i="14" s="1"/>
  <c r="BQ33" i="14"/>
  <c r="BT393" i="14"/>
  <c r="BT422" i="14"/>
  <c r="BS395" i="14"/>
  <c r="BT178" i="14"/>
  <c r="BT162" i="14"/>
  <c r="BS385" i="14"/>
  <c r="BS404" i="14" s="1"/>
  <c r="BS405" i="14" s="1"/>
  <c r="BS407" i="14" s="1"/>
  <c r="BS410" i="14" s="1"/>
  <c r="BS44" i="14" s="1"/>
  <c r="BS46" i="14" s="1"/>
  <c r="BS386" i="14" l="1"/>
  <c r="BS20" i="14" s="1"/>
  <c r="BR926" i="14"/>
  <c r="BR565" i="14"/>
  <c r="BS19" i="14"/>
  <c r="BS174" i="14"/>
  <c r="BS27" i="14"/>
  <c r="BQ570" i="14"/>
  <c r="BQ580" i="14"/>
  <c r="BQ582" i="14" s="1"/>
  <c r="BT163" i="14"/>
  <c r="BT164" i="14" s="1"/>
  <c r="BT384" i="14"/>
  <c r="BT409" i="14"/>
  <c r="BT32" i="14" s="1"/>
  <c r="BT408" i="14"/>
  <c r="BT31" i="14" s="1"/>
  <c r="BT271" i="14"/>
  <c r="BU257" i="14" s="1"/>
  <c r="BU258" i="14" s="1"/>
  <c r="BT394" i="14"/>
  <c r="BT417" i="14" s="1"/>
  <c r="BT418" i="14" s="1"/>
  <c r="BT420" i="14" s="1"/>
  <c r="BT423" i="14" s="1"/>
  <c r="BT49" i="14" s="1"/>
  <c r="BT51" i="14" s="1"/>
  <c r="BU392" i="14"/>
  <c r="BU331" i="14"/>
  <c r="BU161" i="14"/>
  <c r="BU110" i="14"/>
  <c r="BR179" i="14"/>
  <c r="BR30" i="14"/>
  <c r="BS556" i="14"/>
  <c r="BS923" i="14"/>
  <c r="BT927" i="14"/>
  <c r="BT568" i="14" s="1"/>
  <c r="BT792" i="14"/>
  <c r="BU778" i="14" s="1"/>
  <c r="BU779" i="14" s="1"/>
  <c r="BT904" i="14"/>
  <c r="BT928" i="14"/>
  <c r="BT569" i="14" s="1"/>
  <c r="BT554" i="14"/>
  <c r="BT395" i="14" l="1"/>
  <c r="BU383" i="14"/>
  <c r="BU17" i="14" s="1"/>
  <c r="BU259" i="14"/>
  <c r="BT905" i="14"/>
  <c r="BT906" i="14" s="1"/>
  <c r="BT557" i="14" s="1"/>
  <c r="BT555" i="14"/>
  <c r="BT385" i="14"/>
  <c r="BT404" i="14" s="1"/>
  <c r="BT405" i="14" s="1"/>
  <c r="BT407" i="14" s="1"/>
  <c r="BT410" i="14" s="1"/>
  <c r="BT44" i="14" s="1"/>
  <c r="BT46" i="14" s="1"/>
  <c r="BU903" i="14"/>
  <c r="BU780" i="14"/>
  <c r="BT18" i="14"/>
  <c r="BS564" i="14"/>
  <c r="BS924" i="14"/>
  <c r="BR39" i="14"/>
  <c r="BR41" i="14" s="1"/>
  <c r="BR33" i="14"/>
  <c r="BU177" i="14"/>
  <c r="BU122" i="14"/>
  <c r="BV108" i="14" s="1"/>
  <c r="BV109" i="14" s="1"/>
  <c r="BS176" i="14"/>
  <c r="BS28" i="14"/>
  <c r="BU178" i="14"/>
  <c r="BU162" i="14"/>
  <c r="BT173" i="14"/>
  <c r="BU421" i="14"/>
  <c r="BU343" i="14"/>
  <c r="BV329" i="14" s="1"/>
  <c r="BV330" i="14" s="1"/>
  <c r="BU422" i="14"/>
  <c r="BU393" i="14"/>
  <c r="BR929" i="14"/>
  <c r="BR567" i="14"/>
  <c r="BT19" i="14" l="1"/>
  <c r="BT386" i="14"/>
  <c r="BT20" i="14" s="1"/>
  <c r="BU904" i="14"/>
  <c r="BU928" i="14"/>
  <c r="BU569" i="14" s="1"/>
  <c r="BU554" i="14"/>
  <c r="BR570" i="14"/>
  <c r="BR580" i="14"/>
  <c r="BR582" i="14" s="1"/>
  <c r="BS926" i="14"/>
  <c r="BS565" i="14"/>
  <c r="BT174" i="14"/>
  <c r="BT27" i="14"/>
  <c r="BU927" i="14"/>
  <c r="BU568" i="14" s="1"/>
  <c r="BU792" i="14"/>
  <c r="BV778" i="14" s="1"/>
  <c r="BV779" i="14" s="1"/>
  <c r="BU163" i="14"/>
  <c r="BT556" i="14"/>
  <c r="BT923" i="14"/>
  <c r="BV161" i="14"/>
  <c r="BV110" i="14"/>
  <c r="BU394" i="14"/>
  <c r="BU417" i="14" s="1"/>
  <c r="BU418" i="14" s="1"/>
  <c r="BU420" i="14" s="1"/>
  <c r="BU423" i="14" s="1"/>
  <c r="BU49" i="14" s="1"/>
  <c r="BU51" i="14" s="1"/>
  <c r="BU408" i="14"/>
  <c r="BU31" i="14" s="1"/>
  <c r="BU271" i="14"/>
  <c r="BV257" i="14" s="1"/>
  <c r="BV258" i="14" s="1"/>
  <c r="BV392" i="14"/>
  <c r="BV331" i="14"/>
  <c r="BS179" i="14"/>
  <c r="BS30" i="14"/>
  <c r="BU384" i="14"/>
  <c r="BU18" i="14" s="1"/>
  <c r="BU409" i="14"/>
  <c r="BU32" i="14" s="1"/>
  <c r="BV903" i="14" l="1"/>
  <c r="BV780" i="14"/>
  <c r="BT564" i="14"/>
  <c r="BT924" i="14"/>
  <c r="BV422" i="14"/>
  <c r="BV393" i="14"/>
  <c r="BU385" i="14"/>
  <c r="BU404" i="14" s="1"/>
  <c r="BU405" i="14" s="1"/>
  <c r="BU407" i="14" s="1"/>
  <c r="BU410" i="14" s="1"/>
  <c r="BU44" i="14" s="1"/>
  <c r="BU46" i="14" s="1"/>
  <c r="BV383" i="14"/>
  <c r="BV17" i="14" s="1"/>
  <c r="BV259" i="14"/>
  <c r="BU164" i="14"/>
  <c r="BU173" i="14"/>
  <c r="BV421" i="14"/>
  <c r="BV343" i="14"/>
  <c r="BW329" i="14" s="1"/>
  <c r="BW330" i="14" s="1"/>
  <c r="BS567" i="14"/>
  <c r="BS929" i="14"/>
  <c r="BS33" i="14"/>
  <c r="BS39" i="14"/>
  <c r="BS41" i="14" s="1"/>
  <c r="BT176" i="14"/>
  <c r="BT28" i="14"/>
  <c r="BU395" i="14"/>
  <c r="BV178" i="14"/>
  <c r="BV162" i="14"/>
  <c r="BV177" i="14"/>
  <c r="BV122" i="14"/>
  <c r="BW108" i="14" s="1"/>
  <c r="BW109" i="14" s="1"/>
  <c r="BU555" i="14"/>
  <c r="BU905" i="14"/>
  <c r="BU906" i="14" s="1"/>
  <c r="BU557" i="14" s="1"/>
  <c r="BU19" i="14" l="1"/>
  <c r="BU386" i="14"/>
  <c r="BU20" i="14" s="1"/>
  <c r="BV394" i="14"/>
  <c r="BV417" i="14" s="1"/>
  <c r="BV418" i="14" s="1"/>
  <c r="BV420" i="14" s="1"/>
  <c r="BV423" i="14" s="1"/>
  <c r="BV49" i="14" s="1"/>
  <c r="BV51" i="14" s="1"/>
  <c r="BW161" i="14"/>
  <c r="BW110" i="14"/>
  <c r="BW392" i="14"/>
  <c r="BW331" i="14"/>
  <c r="BV408" i="14"/>
  <c r="BV31" i="14" s="1"/>
  <c r="BV271" i="14"/>
  <c r="BW257" i="14" s="1"/>
  <c r="BW258" i="14" s="1"/>
  <c r="BV384" i="14"/>
  <c r="BV18" i="14" s="1"/>
  <c r="BV409" i="14"/>
  <c r="BV32" i="14" s="1"/>
  <c r="BV163" i="14"/>
  <c r="BV164" i="14" s="1"/>
  <c r="BT179" i="14"/>
  <c r="BT30" i="14"/>
  <c r="BT565" i="14"/>
  <c r="BT926" i="14"/>
  <c r="BV927" i="14"/>
  <c r="BV568" i="14" s="1"/>
  <c r="BV792" i="14"/>
  <c r="BW778" i="14" s="1"/>
  <c r="BW779" i="14" s="1"/>
  <c r="BU923" i="14"/>
  <c r="BU556" i="14"/>
  <c r="BU174" i="14"/>
  <c r="BU27" i="14"/>
  <c r="BS570" i="14"/>
  <c r="BS580" i="14"/>
  <c r="BS582" i="14" s="1"/>
  <c r="BV928" i="14"/>
  <c r="BV569" i="14" s="1"/>
  <c r="BV904" i="14"/>
  <c r="BV554" i="14"/>
  <c r="BV555" i="14" l="1"/>
  <c r="BV905" i="14"/>
  <c r="BV906" i="14" s="1"/>
  <c r="BV557" i="14" s="1"/>
  <c r="BV385" i="14"/>
  <c r="BV404" i="14" s="1"/>
  <c r="BV405" i="14" s="1"/>
  <c r="BV407" i="14" s="1"/>
  <c r="BV410" i="14" s="1"/>
  <c r="BV44" i="14" s="1"/>
  <c r="BV46" i="14" s="1"/>
  <c r="BW383" i="14"/>
  <c r="BW259" i="14"/>
  <c r="BW421" i="14"/>
  <c r="BW343" i="14"/>
  <c r="BX329" i="14" s="1"/>
  <c r="BX330" i="14" s="1"/>
  <c r="BW422" i="14"/>
  <c r="BW393" i="14"/>
  <c r="BU924" i="14"/>
  <c r="BU564" i="14"/>
  <c r="BW177" i="14"/>
  <c r="BW122" i="14"/>
  <c r="BX108" i="14" s="1"/>
  <c r="BX109" i="14" s="1"/>
  <c r="BW903" i="14"/>
  <c r="BW780" i="14"/>
  <c r="BW162" i="14"/>
  <c r="BW178" i="14"/>
  <c r="BT39" i="14"/>
  <c r="BT41" i="14" s="1"/>
  <c r="BT33" i="14"/>
  <c r="BV173" i="14"/>
  <c r="BU176" i="14"/>
  <c r="BU28" i="14"/>
  <c r="BV395" i="14"/>
  <c r="BT929" i="14"/>
  <c r="BT567" i="14"/>
  <c r="BV19" i="14" l="1"/>
  <c r="BV386" i="14"/>
  <c r="BV20" i="14" s="1"/>
  <c r="BT580" i="14"/>
  <c r="BT582" i="14" s="1"/>
  <c r="BT570" i="14"/>
  <c r="BU926" i="14"/>
  <c r="BU565" i="14"/>
  <c r="BW394" i="14"/>
  <c r="BW417" i="14" s="1"/>
  <c r="BW418" i="14" s="1"/>
  <c r="BW420" i="14" s="1"/>
  <c r="BW423" i="14" s="1"/>
  <c r="BW49" i="14" s="1"/>
  <c r="BW51" i="14" s="1"/>
  <c r="BU179" i="14"/>
  <c r="BU30" i="14"/>
  <c r="BW409" i="14"/>
  <c r="BW32" i="14" s="1"/>
  <c r="BW384" i="14"/>
  <c r="BW17" i="14"/>
  <c r="BX392" i="14"/>
  <c r="BX331" i="14"/>
  <c r="BV174" i="14"/>
  <c r="BV27" i="14"/>
  <c r="BW163" i="14"/>
  <c r="BW408" i="14"/>
  <c r="BW31" i="14" s="1"/>
  <c r="BW271" i="14"/>
  <c r="BX257" i="14" s="1"/>
  <c r="BX258" i="14" s="1"/>
  <c r="BW927" i="14"/>
  <c r="BW568" i="14" s="1"/>
  <c r="BW792" i="14"/>
  <c r="BX778" i="14" s="1"/>
  <c r="BX779" i="14" s="1"/>
  <c r="BV556" i="14"/>
  <c r="BV923" i="14"/>
  <c r="BX161" i="14"/>
  <c r="BX110" i="14"/>
  <c r="BW928" i="14"/>
  <c r="BW569" i="14" s="1"/>
  <c r="BW554" i="14"/>
  <c r="BW904" i="14"/>
  <c r="BW395" i="14" l="1"/>
  <c r="BW905" i="14"/>
  <c r="BW906" i="14" s="1"/>
  <c r="BW557" i="14" s="1"/>
  <c r="BW555" i="14"/>
  <c r="BX421" i="14"/>
  <c r="BX343" i="14"/>
  <c r="BY329" i="14" s="1"/>
  <c r="BY330" i="14" s="1"/>
  <c r="BX422" i="14"/>
  <c r="BX393" i="14"/>
  <c r="BW173" i="14"/>
  <c r="BV176" i="14"/>
  <c r="BV28" i="14"/>
  <c r="BX177" i="14"/>
  <c r="BX122" i="14"/>
  <c r="BY108" i="14" s="1"/>
  <c r="BY109" i="14" s="1"/>
  <c r="BW385" i="14"/>
  <c r="BW404" i="14" s="1"/>
  <c r="BW405" i="14" s="1"/>
  <c r="BW407" i="14" s="1"/>
  <c r="BW410" i="14" s="1"/>
  <c r="BW44" i="14" s="1"/>
  <c r="BW46" i="14" s="1"/>
  <c r="BX178" i="14"/>
  <c r="BX162" i="14"/>
  <c r="BX903" i="14"/>
  <c r="BX780" i="14"/>
  <c r="BX383" i="14"/>
  <c r="BX259" i="14"/>
  <c r="BU567" i="14"/>
  <c r="BU929" i="14"/>
  <c r="BV924" i="14"/>
  <c r="BV564" i="14"/>
  <c r="BW18" i="14"/>
  <c r="BU39" i="14"/>
  <c r="BU41" i="14" s="1"/>
  <c r="BU33" i="14"/>
  <c r="BW164" i="14"/>
  <c r="BW386" i="14" l="1"/>
  <c r="BW20" i="14" s="1"/>
  <c r="BV179" i="14"/>
  <c r="BV30" i="14"/>
  <c r="BW19" i="14"/>
  <c r="BU570" i="14"/>
  <c r="BU580" i="14"/>
  <c r="BU582" i="14" s="1"/>
  <c r="BW174" i="14"/>
  <c r="BW27" i="14"/>
  <c r="BY161" i="14"/>
  <c r="BY110" i="14"/>
  <c r="BX394" i="14"/>
  <c r="BX417" i="14" s="1"/>
  <c r="BX418" i="14" s="1"/>
  <c r="BX420" i="14" s="1"/>
  <c r="BX423" i="14" s="1"/>
  <c r="BX49" i="14" s="1"/>
  <c r="BX51" i="14" s="1"/>
  <c r="BX408" i="14"/>
  <c r="BX31" i="14" s="1"/>
  <c r="BX271" i="14"/>
  <c r="BY257" i="14" s="1"/>
  <c r="BY258" i="14" s="1"/>
  <c r="BX409" i="14"/>
  <c r="BX32" i="14" s="1"/>
  <c r="BX384" i="14"/>
  <c r="BX385" i="14" s="1"/>
  <c r="BY392" i="14"/>
  <c r="BY331" i="14"/>
  <c r="BX927" i="14"/>
  <c r="BX568" i="14" s="1"/>
  <c r="BX792" i="14"/>
  <c r="BY778" i="14" s="1"/>
  <c r="BY779" i="14" s="1"/>
  <c r="BX904" i="14"/>
  <c r="BX554" i="14"/>
  <c r="BX928" i="14"/>
  <c r="BX569" i="14" s="1"/>
  <c r="BV565" i="14"/>
  <c r="BV926" i="14"/>
  <c r="BX17" i="14"/>
  <c r="BX163" i="14"/>
  <c r="BX164" i="14" s="1"/>
  <c r="BW556" i="14"/>
  <c r="BW923" i="14"/>
  <c r="BX395" i="14" l="1"/>
  <c r="BV929" i="14"/>
  <c r="BV567" i="14"/>
  <c r="BY178" i="14"/>
  <c r="BY162" i="14"/>
  <c r="BX386" i="14"/>
  <c r="BX404" i="14"/>
  <c r="BX405" i="14" s="1"/>
  <c r="BX407" i="14" s="1"/>
  <c r="BX410" i="14" s="1"/>
  <c r="BX44" i="14" s="1"/>
  <c r="BX46" i="14" s="1"/>
  <c r="BX173" i="14"/>
  <c r="BX19" i="14"/>
  <c r="BW176" i="14"/>
  <c r="BW28" i="14"/>
  <c r="BX18" i="14"/>
  <c r="BY393" i="14"/>
  <c r="BY422" i="14"/>
  <c r="BW564" i="14"/>
  <c r="BW924" i="14"/>
  <c r="BY177" i="14"/>
  <c r="BY122" i="14"/>
  <c r="BX555" i="14"/>
  <c r="BX905" i="14"/>
  <c r="BX906" i="14" s="1"/>
  <c r="BX557" i="14" s="1"/>
  <c r="BY903" i="14"/>
  <c r="BY780" i="14"/>
  <c r="BY383" i="14"/>
  <c r="BY259" i="14"/>
  <c r="BY421" i="14"/>
  <c r="BY343" i="14"/>
  <c r="BV33" i="14"/>
  <c r="BV39" i="14"/>
  <c r="BV41" i="14" s="1"/>
  <c r="BX20" i="14" l="1"/>
  <c r="BW30" i="14"/>
  <c r="BW179" i="14"/>
  <c r="BW565" i="14"/>
  <c r="BW926" i="14"/>
  <c r="BY408" i="14"/>
  <c r="BY31" i="14" s="1"/>
  <c r="BY271" i="14"/>
  <c r="BY384" i="14"/>
  <c r="BY409" i="14"/>
  <c r="BY32" i="14" s="1"/>
  <c r="BX174" i="14"/>
  <c r="BX27" i="14"/>
  <c r="BY927" i="14"/>
  <c r="BY568" i="14" s="1"/>
  <c r="BY792" i="14"/>
  <c r="BY928" i="14"/>
  <c r="BY569" i="14" s="1"/>
  <c r="BY904" i="14"/>
  <c r="BY554" i="14"/>
  <c r="BY17" i="14"/>
  <c r="BX923" i="14"/>
  <c r="BX556" i="14"/>
  <c r="BY163" i="14"/>
  <c r="BY164" i="14" s="1"/>
  <c r="BY394" i="14"/>
  <c r="BY417" i="14" s="1"/>
  <c r="BY418" i="14" s="1"/>
  <c r="BY420" i="14" s="1"/>
  <c r="BY423" i="14" s="1"/>
  <c r="BY49" i="14" s="1"/>
  <c r="BY51" i="14" s="1"/>
  <c r="BV570" i="14"/>
  <c r="BV580" i="14"/>
  <c r="BV582" i="14" s="1"/>
  <c r="BY395" i="14" l="1"/>
  <c r="BX176" i="14"/>
  <c r="BX28" i="14"/>
  <c r="BY555" i="14"/>
  <c r="BY905" i="14"/>
  <c r="BY906" i="14" s="1"/>
  <c r="BY557" i="14" s="1"/>
  <c r="BY385" i="14"/>
  <c r="BY404" i="14" s="1"/>
  <c r="BY405" i="14" s="1"/>
  <c r="BY407" i="14" s="1"/>
  <c r="BY410" i="14" s="1"/>
  <c r="BY44" i="14" s="1"/>
  <c r="BY46" i="14" s="1"/>
  <c r="D48" i="20"/>
  <c r="D87" i="20" s="1"/>
  <c r="G255" i="11"/>
  <c r="BY18" i="14"/>
  <c r="BW567" i="14"/>
  <c r="BW929" i="14"/>
  <c r="BY173" i="14"/>
  <c r="BW33" i="14"/>
  <c r="BW39" i="14"/>
  <c r="BW41" i="14" s="1"/>
  <c r="BX924" i="14"/>
  <c r="BX564" i="14"/>
  <c r="BY19" i="14" l="1"/>
  <c r="BY386" i="14"/>
  <c r="BY20" i="14" s="1"/>
  <c r="G217" i="11"/>
  <c r="D47" i="20"/>
  <c r="D86" i="20" s="1"/>
  <c r="BY174" i="14"/>
  <c r="BY27" i="14"/>
  <c r="BY556" i="14"/>
  <c r="BY923" i="14"/>
  <c r="BW580" i="14"/>
  <c r="BW582" i="14" s="1"/>
  <c r="BW570" i="14"/>
  <c r="BX926" i="14"/>
  <c r="BX565" i="14"/>
  <c r="BX179" i="14"/>
  <c r="BX30" i="14"/>
  <c r="BX567" i="14" l="1"/>
  <c r="BX929" i="14"/>
  <c r="BY564" i="14"/>
  <c r="BY924" i="14"/>
  <c r="BY176" i="14"/>
  <c r="BY28" i="14"/>
  <c r="BX39" i="14"/>
  <c r="BX41" i="14" s="1"/>
  <c r="BX33" i="14"/>
  <c r="BY179" i="14" l="1"/>
  <c r="BY30" i="14"/>
  <c r="BY926" i="14"/>
  <c r="BY565" i="14"/>
  <c r="BX570" i="14"/>
  <c r="BX580" i="14"/>
  <c r="BX582" i="14" s="1"/>
  <c r="BY929" i="14" l="1"/>
  <c r="BY567" i="14"/>
  <c r="BY39" i="14"/>
  <c r="BY41" i="14" s="1"/>
  <c r="D46" i="20" s="1"/>
  <c r="BY33" i="14"/>
  <c r="G110" i="11" l="1"/>
  <c r="BY570" i="14"/>
  <c r="BY580" i="14"/>
  <c r="BY582" i="14" s="1"/>
  <c r="D60" i="20" s="1"/>
  <c r="D63" i="20" s="1"/>
  <c r="D73" i="20" l="1"/>
  <c r="D7" i="20"/>
  <c r="H466" i="11" s="1"/>
  <c r="D85" i="20"/>
  <c r="D89" i="20" s="1"/>
  <c r="D9" i="20" s="1"/>
  <c r="D50" i="20"/>
  <c r="BY1296" i="14" l="1"/>
  <c r="BI1296" i="14"/>
  <c r="AS1296" i="14"/>
  <c r="AC1296" i="14"/>
  <c r="M1296" i="14"/>
  <c r="BX1296" i="14"/>
  <c r="AR1296" i="14"/>
  <c r="AB1296" i="14"/>
  <c r="L1296" i="14"/>
  <c r="BW1296" i="14"/>
  <c r="BG1296" i="14"/>
  <c r="AQ1296" i="14"/>
  <c r="AA1296" i="14"/>
  <c r="BV1296" i="14"/>
  <c r="BF1296" i="14"/>
  <c r="AP1296" i="14"/>
  <c r="Z1296" i="14"/>
  <c r="J1296" i="14"/>
  <c r="BU1296" i="14"/>
  <c r="AO1296" i="14"/>
  <c r="BH1296" i="14"/>
  <c r="K1296" i="14"/>
  <c r="BT1296" i="14"/>
  <c r="BD1296" i="14"/>
  <c r="AN1296" i="14"/>
  <c r="X1296" i="14"/>
  <c r="AL1296" i="14"/>
  <c r="BA1296" i="14"/>
  <c r="U1296" i="14"/>
  <c r="AJ1296" i="14"/>
  <c r="T1296" i="14"/>
  <c r="AY1296" i="14"/>
  <c r="S1296" i="14"/>
  <c r="AX1296" i="14"/>
  <c r="AW1296" i="14"/>
  <c r="AV1296" i="14"/>
  <c r="AE1296" i="14"/>
  <c r="AT1296" i="14"/>
  <c r="BS1296" i="14"/>
  <c r="BC1296" i="14"/>
  <c r="AM1296" i="14"/>
  <c r="W1296" i="14"/>
  <c r="BB1296" i="14"/>
  <c r="V1296" i="14"/>
  <c r="AK1296" i="14"/>
  <c r="AZ1296" i="14"/>
  <c r="BO1296" i="14"/>
  <c r="BN1296" i="14"/>
  <c r="R1296" i="14"/>
  <c r="Q1296" i="14"/>
  <c r="P1296" i="14"/>
  <c r="O1296" i="14"/>
  <c r="AD1296" i="14"/>
  <c r="Y1296" i="14"/>
  <c r="BR1296" i="14"/>
  <c r="AI1296" i="14"/>
  <c r="AH1296" i="14"/>
  <c r="AG1296" i="14"/>
  <c r="BK1296" i="14"/>
  <c r="N1296" i="14"/>
  <c r="BQ1296" i="14"/>
  <c r="BP1296" i="14"/>
  <c r="BM1296" i="14"/>
  <c r="AF1296" i="14"/>
  <c r="AU1296" i="14"/>
  <c r="BJ1296" i="14"/>
  <c r="BE1296" i="14"/>
  <c r="I1296" i="14"/>
  <c r="BL1296" i="14"/>
  <c r="H1296" i="14"/>
  <c r="D6" i="20"/>
  <c r="D74" i="20"/>
  <c r="D75" i="20" s="1"/>
  <c r="BM1275" i="14"/>
  <c r="BM1276" i="14" s="1"/>
  <c r="BU1275" i="14"/>
  <c r="BU1276" i="14" s="1"/>
  <c r="BW1282" i="14"/>
  <c r="BW1283" i="14" s="1"/>
  <c r="AU1275" i="14"/>
  <c r="AU1276" i="14" s="1"/>
  <c r="AS1282" i="14"/>
  <c r="AS1283" i="14" s="1"/>
  <c r="AT1282" i="14"/>
  <c r="AT1283" i="14" s="1"/>
  <c r="BL1282" i="14"/>
  <c r="BL1283" i="14" s="1"/>
  <c r="AR1282" i="14"/>
  <c r="AR1283" i="14" s="1"/>
  <c r="BF1275" i="14"/>
  <c r="BF1276" i="14" s="1"/>
  <c r="AL1282" i="14"/>
  <c r="AL1283" i="14" s="1"/>
  <c r="AS1275" i="14"/>
  <c r="AS1276" i="14" s="1"/>
  <c r="BI1282" i="14"/>
  <c r="BI1283" i="14" s="1"/>
  <c r="AW1282" i="14"/>
  <c r="AW1283" i="14" s="1"/>
  <c r="BB1282" i="14"/>
  <c r="BB1283" i="14" s="1"/>
  <c r="BS1282" i="14"/>
  <c r="BS1283" i="14" s="1"/>
  <c r="AX1275" i="14"/>
  <c r="AX1276" i="14" s="1"/>
  <c r="BX1275" i="14"/>
  <c r="BX1276" i="14" s="1"/>
  <c r="BJ1282" i="14"/>
  <c r="BJ1283" i="14" s="1"/>
  <c r="BA1275" i="14"/>
  <c r="BA1276" i="14" s="1"/>
  <c r="BM1282" i="14"/>
  <c r="BM1283" i="14" s="1"/>
  <c r="AM1275" i="14"/>
  <c r="AM1276" i="14" s="1"/>
  <c r="BV1275" i="14"/>
  <c r="BV1276" i="14" s="1"/>
  <c r="BA1282" i="14"/>
  <c r="BA1283" i="14" s="1"/>
  <c r="AM1282" i="14"/>
  <c r="AM1283" i="14" s="1"/>
  <c r="AV1275" i="14"/>
  <c r="AV1276" i="14" s="1"/>
  <c r="AR1275" i="14"/>
  <c r="AR1276" i="14" s="1"/>
  <c r="AX1282" i="14"/>
  <c r="AX1283" i="14" s="1"/>
  <c r="BQ1275" i="14"/>
  <c r="BQ1276" i="14" s="1"/>
  <c r="AP1282" i="14"/>
  <c r="AP1283" i="14" s="1"/>
  <c r="BC1282" i="14"/>
  <c r="BC1283" i="14" s="1"/>
  <c r="BO1275" i="14"/>
  <c r="BO1276" i="14" s="1"/>
  <c r="BV1282" i="14"/>
  <c r="BV1283" i="14" s="1"/>
  <c r="AY1275" i="14"/>
  <c r="AY1276" i="14" s="1"/>
  <c r="BD1275" i="14"/>
  <c r="BD1276" i="14" s="1"/>
  <c r="AZ1275" i="14"/>
  <c r="AZ1276" i="14" s="1"/>
  <c r="AY1282" i="14"/>
  <c r="AY1283" i="14" s="1"/>
  <c r="AQ1282" i="14"/>
  <c r="AQ1283" i="14" s="1"/>
  <c r="AU1282" i="14"/>
  <c r="AU1283" i="14" s="1"/>
  <c r="BU1282" i="14"/>
  <c r="BU1283" i="14" s="1"/>
  <c r="BJ1275" i="14"/>
  <c r="BJ1276" i="14" s="1"/>
  <c r="AW1275" i="14"/>
  <c r="AW1276" i="14" s="1"/>
  <c r="BY1282" i="14"/>
  <c r="BY1283" i="14" s="1"/>
  <c r="BP1275" i="14"/>
  <c r="BP1276" i="14" s="1"/>
  <c r="AN1282" i="14"/>
  <c r="AN1283" i="14" s="1"/>
  <c r="BE1282" i="14"/>
  <c r="BE1283" i="14" s="1"/>
  <c r="BC1275" i="14"/>
  <c r="BC1276" i="14" s="1"/>
  <c r="AN1275" i="14"/>
  <c r="AN1276" i="14" s="1"/>
  <c r="BR1282" i="14"/>
  <c r="BR1283" i="14" s="1"/>
  <c r="BK1282" i="14"/>
  <c r="BK1283" i="14" s="1"/>
  <c r="BH1275" i="14"/>
  <c r="BH1276" i="14" s="1"/>
  <c r="BY1275" i="14"/>
  <c r="BY1276" i="14" s="1"/>
  <c r="BT1275" i="14"/>
  <c r="BT1276" i="14" s="1"/>
  <c r="BT1282" i="14"/>
  <c r="BT1283" i="14" s="1"/>
  <c r="BP1282" i="14"/>
  <c r="BP1283" i="14" s="1"/>
  <c r="BL1275" i="14"/>
  <c r="BL1276" i="14" s="1"/>
  <c r="BS1275" i="14"/>
  <c r="BS1276" i="14" s="1"/>
  <c r="AQ1275" i="14"/>
  <c r="AQ1276" i="14" s="1"/>
  <c r="BO1282" i="14"/>
  <c r="BO1283" i="14" s="1"/>
  <c r="BR1275" i="14"/>
  <c r="BR1276" i="14" s="1"/>
  <c r="AL1275" i="14"/>
  <c r="AL1276" i="14" s="1"/>
  <c r="BG1275" i="14"/>
  <c r="BG1276" i="14" s="1"/>
  <c r="AO1275" i="14"/>
  <c r="AO1276" i="14" s="1"/>
  <c r="BH1282" i="14"/>
  <c r="BH1283" i="14" s="1"/>
  <c r="AV1282" i="14"/>
  <c r="AV1283" i="14" s="1"/>
  <c r="BG1282" i="14"/>
  <c r="BG1283" i="14" s="1"/>
  <c r="AO1282" i="14"/>
  <c r="AO1283" i="14" s="1"/>
  <c r="BD1282" i="14"/>
  <c r="BD1283" i="14" s="1"/>
  <c r="BN1275" i="14"/>
  <c r="BN1276" i="14" s="1"/>
  <c r="BF1282" i="14"/>
  <c r="BF1283" i="14" s="1"/>
  <c r="AZ1282" i="14"/>
  <c r="AZ1283" i="14" s="1"/>
  <c r="BI1275" i="14"/>
  <c r="BI1276" i="14" s="1"/>
  <c r="BB1275" i="14"/>
  <c r="BB1276" i="14" s="1"/>
  <c r="BX1282" i="14"/>
  <c r="BX1283" i="14" s="1"/>
  <c r="AP1275" i="14"/>
  <c r="AP1276" i="14" s="1"/>
  <c r="BE1275" i="14"/>
  <c r="BE1276" i="14" s="1"/>
  <c r="BW1275" i="14"/>
  <c r="BW1276" i="14" s="1"/>
  <c r="BQ1282" i="14"/>
  <c r="BQ1283" i="14" s="1"/>
  <c r="BN1282" i="14"/>
  <c r="BN1283" i="14" s="1"/>
  <c r="AT1275" i="14"/>
  <c r="AT1276" i="14" s="1"/>
  <c r="BK1275" i="14"/>
  <c r="BK1276" i="14" s="1"/>
  <c r="G467" i="11" l="1"/>
  <c r="D8" i="20"/>
  <c r="G466" i="11"/>
  <c r="F8" i="20" l="1"/>
  <c r="E8" i="20"/>
  <c r="D11" i="20"/>
  <c r="BN1278" i="14"/>
  <c r="BN1279" i="14" s="1"/>
  <c r="BJ1278" i="14"/>
  <c r="BJ1279" i="14" s="1"/>
  <c r="BL1285" i="14"/>
  <c r="BM1285" i="14"/>
  <c r="BB1285" i="14"/>
  <c r="AL1278" i="14"/>
  <c r="AL1279" i="14" s="1"/>
  <c r="AG1299" i="14"/>
  <c r="AG1300" i="14" s="1"/>
  <c r="I1299" i="14"/>
  <c r="I1300" i="14" s="1"/>
  <c r="AS1278" i="14"/>
  <c r="AS1279" i="14" s="1"/>
  <c r="BS1299" i="14"/>
  <c r="BS1300" i="14" s="1"/>
  <c r="BO1299" i="14"/>
  <c r="BO1300" i="14" s="1"/>
  <c r="I1292" i="14"/>
  <c r="M1292" i="14" s="1"/>
  <c r="Q1292" i="14" s="1"/>
  <c r="U1292" i="14" s="1"/>
  <c r="Y1292" i="14" s="1"/>
  <c r="AC1292" i="14" s="1"/>
  <c r="AG1292" i="14" s="1"/>
  <c r="AK1292" i="14" s="1"/>
  <c r="AO1292" i="14" s="1"/>
  <c r="AS1292" i="14" s="1"/>
  <c r="AW1292" i="14" s="1"/>
  <c r="BA1292" i="14" s="1"/>
  <c r="BE1292" i="14" s="1"/>
  <c r="BI1292" i="14" s="1"/>
  <c r="BM1292" i="14" s="1"/>
  <c r="BQ1292" i="14" s="1"/>
  <c r="BU1292" i="14" s="1"/>
  <c r="BY1292" i="14" s="1"/>
  <c r="AU1278" i="14"/>
  <c r="AU1279" i="14" s="1"/>
  <c r="BH1285" i="14"/>
  <c r="AM1299" i="14"/>
  <c r="AM1300" i="14" s="1"/>
  <c r="AM1285" i="14"/>
  <c r="BT1285" i="14"/>
  <c r="X1299" i="14"/>
  <c r="X1300" i="14" s="1"/>
  <c r="BW1285" i="14"/>
  <c r="AX1278" i="14"/>
  <c r="AX1279" i="14" s="1"/>
  <c r="BI1285" i="14"/>
  <c r="AO1278" i="14"/>
  <c r="AO1279" i="14" s="1"/>
  <c r="BD1299" i="14"/>
  <c r="BD1300" i="14" s="1"/>
  <c r="AA1299" i="14"/>
  <c r="AA1300" i="14" s="1"/>
  <c r="BJ1299" i="14"/>
  <c r="BJ1300" i="14" s="1"/>
  <c r="BE1285" i="14"/>
  <c r="W1299" i="14"/>
  <c r="W1300" i="14" s="1"/>
  <c r="AV1299" i="14"/>
  <c r="AV1300" i="14" s="1"/>
  <c r="BQ1278" i="14"/>
  <c r="BQ1279" i="14" s="1"/>
  <c r="T1299" i="14"/>
  <c r="T1300" i="14" s="1"/>
  <c r="AP1278" i="14"/>
  <c r="AP1279" i="14" s="1"/>
  <c r="AN1299" i="14"/>
  <c r="AN1300" i="14" s="1"/>
  <c r="AN1285" i="14"/>
  <c r="Z1299" i="14"/>
  <c r="Z1300" i="14" s="1"/>
  <c r="H1285" i="14"/>
  <c r="I1285" i="14" s="1"/>
  <c r="J1285" i="14" s="1"/>
  <c r="BF1278" i="14"/>
  <c r="BF1279" i="14" s="1"/>
  <c r="AV1285" i="14"/>
  <c r="R1299" i="14"/>
  <c r="R1300" i="14" s="1"/>
  <c r="BF1285" i="14"/>
  <c r="AB1299" i="14"/>
  <c r="AB1300" i="14" s="1"/>
  <c r="AW1285" i="14"/>
  <c r="BW1299" i="14"/>
  <c r="BW1300" i="14" s="1"/>
  <c r="BY1278" i="14"/>
  <c r="BY1279" i="14" s="1"/>
  <c r="J1292" i="14"/>
  <c r="N1292" i="14" s="1"/>
  <c r="R1292" i="14" s="1"/>
  <c r="V1292" i="14" s="1"/>
  <c r="Z1292" i="14" s="1"/>
  <c r="AD1292" i="14" s="1"/>
  <c r="AH1292" i="14" s="1"/>
  <c r="AL1292" i="14" s="1"/>
  <c r="AP1292" i="14" s="1"/>
  <c r="AT1292" i="14" s="1"/>
  <c r="AX1292" i="14" s="1"/>
  <c r="BB1292" i="14" s="1"/>
  <c r="BF1292" i="14" s="1"/>
  <c r="BJ1292" i="14" s="1"/>
  <c r="BN1292" i="14" s="1"/>
  <c r="BR1292" i="14" s="1"/>
  <c r="BV1292" i="14" s="1"/>
  <c r="AW1299" i="14"/>
  <c r="AW1300" i="14" s="1"/>
  <c r="BB1299" i="14"/>
  <c r="BB1300" i="14" s="1"/>
  <c r="AZ1299" i="14"/>
  <c r="AZ1300" i="14" s="1"/>
  <c r="BV1299" i="14"/>
  <c r="BV1300" i="14" s="1"/>
  <c r="AV1278" i="14"/>
  <c r="AV1279" i="14" s="1"/>
  <c r="BX1299" i="14"/>
  <c r="BX1300" i="14" s="1"/>
  <c r="AX1299" i="14"/>
  <c r="AX1300" i="14" s="1"/>
  <c r="BB1278" i="14"/>
  <c r="BB1279" i="14" s="1"/>
  <c r="J1299" i="14"/>
  <c r="J1300" i="14" s="1"/>
  <c r="Q1299" i="14"/>
  <c r="Q1300" i="14" s="1"/>
  <c r="BR1278" i="14"/>
  <c r="BR1279" i="14" s="1"/>
  <c r="BQ1299" i="14"/>
  <c r="BQ1300" i="14" s="1"/>
  <c r="BH1278" i="14"/>
  <c r="BH1279" i="14" s="1"/>
  <c r="BQ1285" i="14"/>
  <c r="BG1299" i="14"/>
  <c r="BG1300" i="14" s="1"/>
  <c r="AE1299" i="14"/>
  <c r="AE1300" i="14" s="1"/>
  <c r="BD1285" i="14"/>
  <c r="BV1285" i="14"/>
  <c r="AX1285" i="14"/>
  <c r="AT1299" i="14"/>
  <c r="AT1300" i="14" s="1"/>
  <c r="BU1278" i="14"/>
  <c r="BU1279" i="14" s="1"/>
  <c r="BK1299" i="14"/>
  <c r="BK1300" i="14" s="1"/>
  <c r="Y1299" i="14"/>
  <c r="Y1300" i="14" s="1"/>
  <c r="BT1278" i="14"/>
  <c r="BT1279" i="14" s="1"/>
  <c r="BX1278" i="14"/>
  <c r="BX1279" i="14" s="1"/>
  <c r="BU1285" i="14"/>
  <c r="BS1278" i="14"/>
  <c r="BS1279" i="14" s="1"/>
  <c r="BC1285" i="14"/>
  <c r="AC1299" i="14"/>
  <c r="AC1300" i="14" s="1"/>
  <c r="AL1299" i="14"/>
  <c r="AL1300" i="14" s="1"/>
  <c r="BK1285" i="14"/>
  <c r="AJ1299" i="14"/>
  <c r="AJ1300" i="14" s="1"/>
  <c r="BY1299" i="14"/>
  <c r="BY1300" i="14" s="1"/>
  <c r="BW1278" i="14"/>
  <c r="BW1279" i="14" s="1"/>
  <c r="AO1299" i="14"/>
  <c r="AO1300" i="14" s="1"/>
  <c r="H1299" i="14"/>
  <c r="H1300" i="14" s="1"/>
  <c r="BG1285" i="14"/>
  <c r="BL1278" i="14"/>
  <c r="BL1279" i="14" s="1"/>
  <c r="AF1299" i="14"/>
  <c r="AF1300" i="14" s="1"/>
  <c r="BV1278" i="14"/>
  <c r="BV1279" i="14" s="1"/>
  <c r="AY1285" i="14"/>
  <c r="AI1299" i="14"/>
  <c r="AI1300" i="14" s="1"/>
  <c r="BK1278" i="14"/>
  <c r="BK1279" i="14" s="1"/>
  <c r="AD1299" i="14"/>
  <c r="AD1300" i="14" s="1"/>
  <c r="AH1299" i="14"/>
  <c r="AH1300" i="14" s="1"/>
  <c r="BC1278" i="14"/>
  <c r="BC1279" i="14" s="1"/>
  <c r="AQ1285" i="14"/>
  <c r="AR1278" i="14"/>
  <c r="AR1279" i="14" s="1"/>
  <c r="AQ1299" i="14"/>
  <c r="AQ1300" i="14" s="1"/>
  <c r="BP1285" i="14"/>
  <c r="BN1285" i="14"/>
  <c r="AZ1285" i="14"/>
  <c r="BH1299" i="14"/>
  <c r="BH1300" i="14" s="1"/>
  <c r="K1278" i="14"/>
  <c r="AY1278" i="14"/>
  <c r="AY1279" i="14" s="1"/>
  <c r="BM1299" i="14"/>
  <c r="BM1300" i="14" s="1"/>
  <c r="AW1278" i="14"/>
  <c r="AW1279" i="14" s="1"/>
  <c r="K1292" i="14"/>
  <c r="O1292" i="14" s="1"/>
  <c r="S1292" i="14" s="1"/>
  <c r="W1292" i="14" s="1"/>
  <c r="AA1292" i="14" s="1"/>
  <c r="AE1292" i="14" s="1"/>
  <c r="AI1292" i="14" s="1"/>
  <c r="AM1292" i="14" s="1"/>
  <c r="AQ1292" i="14" s="1"/>
  <c r="AU1292" i="14" s="1"/>
  <c r="AY1292" i="14" s="1"/>
  <c r="BC1292" i="14" s="1"/>
  <c r="BG1292" i="14" s="1"/>
  <c r="BK1292" i="14" s="1"/>
  <c r="BO1292" i="14" s="1"/>
  <c r="BS1292" i="14" s="1"/>
  <c r="BW1292" i="14" s="1"/>
  <c r="AL1285" i="14"/>
  <c r="BY1285" i="14"/>
  <c r="AP1285" i="14"/>
  <c r="N1299" i="14"/>
  <c r="N1300" i="14" s="1"/>
  <c r="BJ1285" i="14"/>
  <c r="BA1278" i="14"/>
  <c r="BA1279" i="14" s="1"/>
  <c r="H1278" i="14"/>
  <c r="K1285" i="14"/>
  <c r="L1285" i="14" s="1"/>
  <c r="M1285" i="14" s="1"/>
  <c r="N1285" i="14" s="1"/>
  <c r="O1285" i="14" s="1"/>
  <c r="P1285" i="14" s="1"/>
  <c r="Q1285" i="14" s="1"/>
  <c r="R1285" i="14" s="1"/>
  <c r="S1285" i="14" s="1"/>
  <c r="T1285" i="14" s="1"/>
  <c r="U1285" i="14" s="1"/>
  <c r="V1285" i="14" s="1"/>
  <c r="W1285" i="14" s="1"/>
  <c r="X1285" i="14" s="1"/>
  <c r="Y1285" i="14" s="1"/>
  <c r="Z1285" i="14" s="1"/>
  <c r="AA1285" i="14" s="1"/>
  <c r="AB1285" i="14" s="1"/>
  <c r="AC1285" i="14" s="1"/>
  <c r="AD1285" i="14" s="1"/>
  <c r="AE1285" i="14" s="1"/>
  <c r="AF1285" i="14" s="1"/>
  <c r="AG1285" i="14" s="1"/>
  <c r="AH1285" i="14" s="1"/>
  <c r="AI1285" i="14" s="1"/>
  <c r="AJ1285" i="14" s="1"/>
  <c r="AK1285" i="14" s="1"/>
  <c r="BA1299" i="14"/>
  <c r="BA1300" i="14" s="1"/>
  <c r="BR1285" i="14"/>
  <c r="BP1278" i="14"/>
  <c r="BP1279" i="14" s="1"/>
  <c r="BT1299" i="14"/>
  <c r="BT1300" i="14" s="1"/>
  <c r="K1299" i="14"/>
  <c r="K1300" i="14" s="1"/>
  <c r="AR1299" i="14"/>
  <c r="AR1300" i="14" s="1"/>
  <c r="BS1285" i="14"/>
  <c r="BR1299" i="14"/>
  <c r="BR1300" i="14" s="1"/>
  <c r="AT1285" i="14"/>
  <c r="AN1278" i="14"/>
  <c r="AN1279" i="14" s="1"/>
  <c r="BM1278" i="14"/>
  <c r="BM1279" i="14" s="1"/>
  <c r="BL1299" i="14"/>
  <c r="BL1300" i="14" s="1"/>
  <c r="S1299" i="14"/>
  <c r="S1300" i="14" s="1"/>
  <c r="AU1285" i="14"/>
  <c r="BF1299" i="14"/>
  <c r="BF1300" i="14" s="1"/>
  <c r="AK1299" i="14"/>
  <c r="AK1300" i="14" s="1"/>
  <c r="AS1299" i="14"/>
  <c r="AS1300" i="14" s="1"/>
  <c r="BO1285" i="14"/>
  <c r="AR1285" i="14"/>
  <c r="AS1285" i="14"/>
  <c r="AP1299" i="14"/>
  <c r="AP1300" i="14" s="1"/>
  <c r="H1292" i="14"/>
  <c r="L1292" i="14" s="1"/>
  <c r="P1292" i="14" s="1"/>
  <c r="T1292" i="14" s="1"/>
  <c r="X1292" i="14" s="1"/>
  <c r="AB1292" i="14" s="1"/>
  <c r="AF1292" i="14" s="1"/>
  <c r="AJ1292" i="14" s="1"/>
  <c r="AN1292" i="14" s="1"/>
  <c r="AR1292" i="14" s="1"/>
  <c r="AV1292" i="14" s="1"/>
  <c r="AZ1292" i="14" s="1"/>
  <c r="BD1292" i="14" s="1"/>
  <c r="BH1292" i="14" s="1"/>
  <c r="BL1292" i="14" s="1"/>
  <c r="BP1292" i="14" s="1"/>
  <c r="BT1292" i="14" s="1"/>
  <c r="BX1292" i="14" s="1"/>
  <c r="BE1278" i="14"/>
  <c r="BE1279" i="14" s="1"/>
  <c r="BP1299" i="14"/>
  <c r="BP1300" i="14" s="1"/>
  <c r="AZ1278" i="14"/>
  <c r="AZ1279" i="14" s="1"/>
  <c r="BG1278" i="14"/>
  <c r="BG1279" i="14" s="1"/>
  <c r="AO1285" i="14"/>
  <c r="AU1299" i="14"/>
  <c r="AU1300" i="14" s="1"/>
  <c r="AM1278" i="14"/>
  <c r="AM1279" i="14" s="1"/>
  <c r="BA1285" i="14"/>
  <c r="AY1299" i="14"/>
  <c r="AY1300" i="14" s="1"/>
  <c r="O1299" i="14"/>
  <c r="O1300" i="14" s="1"/>
  <c r="BX1285" i="14"/>
  <c r="U1299" i="14"/>
  <c r="U1300" i="14" s="1"/>
  <c r="BE1299" i="14"/>
  <c r="BE1300" i="14" s="1"/>
  <c r="AQ1278" i="14"/>
  <c r="AQ1279" i="14" s="1"/>
  <c r="BI1299" i="14"/>
  <c r="BI1300" i="14" s="1"/>
  <c r="L1299" i="14"/>
  <c r="L1300" i="14" s="1"/>
  <c r="P1299" i="14"/>
  <c r="P1300" i="14" s="1"/>
  <c r="BD1278" i="14"/>
  <c r="BD1279" i="14" s="1"/>
  <c r="BN1299" i="14"/>
  <c r="BN1300" i="14" s="1"/>
  <c r="V1299" i="14"/>
  <c r="V1300" i="14" s="1"/>
  <c r="BU1299" i="14"/>
  <c r="BU1300" i="14" s="1"/>
  <c r="M1299" i="14"/>
  <c r="M1300" i="14" s="1"/>
  <c r="BC1299" i="14"/>
  <c r="BC1300" i="14" s="1"/>
  <c r="AT1278" i="14"/>
  <c r="AT1279" i="14" s="1"/>
  <c r="BO1278" i="14"/>
  <c r="BO1279" i="14" s="1"/>
  <c r="BI1278" i="14"/>
  <c r="BI1279" i="14" s="1"/>
  <c r="L1278" i="14" l="1"/>
  <c r="K1279" i="14"/>
  <c r="I1278" i="14"/>
  <c r="H1279" i="14"/>
  <c r="BH1297" i="14"/>
  <c r="BH1303" i="14" s="1"/>
  <c r="BH1368" i="14" s="1"/>
  <c r="P1297" i="14"/>
  <c r="BO1297" i="14"/>
  <c r="BO1303" i="14" s="1"/>
  <c r="BO1368" i="14" s="1"/>
  <c r="AG1297" i="14"/>
  <c r="BF1297" i="14"/>
  <c r="BF1303" i="14" s="1"/>
  <c r="BF1368" i="14" s="1"/>
  <c r="BU1297" i="14"/>
  <c r="BU1303" i="14" s="1"/>
  <c r="BU1368" i="14" s="1"/>
  <c r="O1297" i="14"/>
  <c r="AL1297" i="14"/>
  <c r="AL1303" i="14" s="1"/>
  <c r="AL1368" i="14" s="1"/>
  <c r="AJ1297" i="14"/>
  <c r="H1297" i="14"/>
  <c r="U1297" i="14"/>
  <c r="AN1297" i="14"/>
  <c r="AN1303" i="14" s="1"/>
  <c r="AN1368" i="14" s="1"/>
  <c r="AT1297" i="14"/>
  <c r="AT1303" i="14" s="1"/>
  <c r="AT1368" i="14" s="1"/>
  <c r="BS1297" i="14"/>
  <c r="BS1303" i="14" s="1"/>
  <c r="BS1368" i="14" s="1"/>
  <c r="AP1297" i="14"/>
  <c r="AP1303" i="14" s="1"/>
  <c r="AP1368" i="14" s="1"/>
  <c r="AU1297" i="14"/>
  <c r="AU1303" i="14" s="1"/>
  <c r="AU1368" i="14" s="1"/>
  <c r="AX1297" i="14"/>
  <c r="AX1303" i="14" s="1"/>
  <c r="AX1368" i="14" s="1"/>
  <c r="AI1297" i="14"/>
  <c r="AE1297" i="14"/>
  <c r="AK1297" i="14"/>
  <c r="K1275" i="14"/>
  <c r="AW1297" i="14"/>
  <c r="AW1303" i="14" s="1"/>
  <c r="AW1368" i="14" s="1"/>
  <c r="Y1297" i="14"/>
  <c r="Q1297" i="14"/>
  <c r="K1297" i="14"/>
  <c r="BW1297" i="14"/>
  <c r="BW1303" i="14" s="1"/>
  <c r="BW1368" i="14" s="1"/>
  <c r="W1297" i="14"/>
  <c r="BV1297" i="14"/>
  <c r="BV1303" i="14" s="1"/>
  <c r="BV1368" i="14" s="1"/>
  <c r="X1297" i="14"/>
  <c r="AH1297" i="14"/>
  <c r="AD1297" i="14"/>
  <c r="L1297" i="14"/>
  <c r="AB1297" i="14"/>
  <c r="AQ1297" i="14"/>
  <c r="AQ1303" i="14" s="1"/>
  <c r="AQ1368" i="14" s="1"/>
  <c r="BD1297" i="14"/>
  <c r="BD1303" i="14" s="1"/>
  <c r="BD1368" i="14" s="1"/>
  <c r="AA1297" i="14"/>
  <c r="BM1297" i="14"/>
  <c r="BM1303" i="14" s="1"/>
  <c r="BM1368" i="14" s="1"/>
  <c r="K1282" i="14"/>
  <c r="BC1297" i="14"/>
  <c r="BC1303" i="14" s="1"/>
  <c r="BC1368" i="14" s="1"/>
  <c r="J1289" i="14"/>
  <c r="N1289" i="14" s="1"/>
  <c r="R1289" i="14" s="1"/>
  <c r="V1289" i="14" s="1"/>
  <c r="Z1289" i="14" s="1"/>
  <c r="AD1289" i="14" s="1"/>
  <c r="AH1289" i="14" s="1"/>
  <c r="AL1289" i="14" s="1"/>
  <c r="AP1289" i="14" s="1"/>
  <c r="AT1289" i="14" s="1"/>
  <c r="AX1289" i="14" s="1"/>
  <c r="BB1289" i="14" s="1"/>
  <c r="BF1289" i="14" s="1"/>
  <c r="BJ1289" i="14" s="1"/>
  <c r="BN1289" i="14" s="1"/>
  <c r="BR1289" i="14" s="1"/>
  <c r="BV1289" i="14" s="1"/>
  <c r="AC1297" i="14"/>
  <c r="I1297" i="14"/>
  <c r="AM1297" i="14"/>
  <c r="AM1303" i="14" s="1"/>
  <c r="AM1368" i="14" s="1"/>
  <c r="BK1297" i="14"/>
  <c r="BK1303" i="14" s="1"/>
  <c r="BK1368" i="14" s="1"/>
  <c r="AZ1297" i="14"/>
  <c r="AZ1303" i="14" s="1"/>
  <c r="AZ1368" i="14" s="1"/>
  <c r="T1297" i="14"/>
  <c r="BG1297" i="14"/>
  <c r="BG1303" i="14" s="1"/>
  <c r="BG1368" i="14" s="1"/>
  <c r="AO1297" i="14"/>
  <c r="AO1303" i="14" s="1"/>
  <c r="AO1368" i="14" s="1"/>
  <c r="BJ1297" i="14"/>
  <c r="BJ1303" i="14" s="1"/>
  <c r="BJ1368" i="14" s="1"/>
  <c r="AS1297" i="14"/>
  <c r="AS1303" i="14" s="1"/>
  <c r="AS1368" i="14" s="1"/>
  <c r="BA1297" i="14"/>
  <c r="BA1303" i="14" s="1"/>
  <c r="BA1368" i="14" s="1"/>
  <c r="BE1297" i="14"/>
  <c r="BE1303" i="14" s="1"/>
  <c r="BE1368" i="14" s="1"/>
  <c r="AR1297" i="14"/>
  <c r="AR1303" i="14" s="1"/>
  <c r="AR1368" i="14" s="1"/>
  <c r="I1289" i="14"/>
  <c r="M1289" i="14" s="1"/>
  <c r="Q1289" i="14" s="1"/>
  <c r="U1289" i="14" s="1"/>
  <c r="Y1289" i="14" s="1"/>
  <c r="AC1289" i="14" s="1"/>
  <c r="AG1289" i="14" s="1"/>
  <c r="AK1289" i="14" s="1"/>
  <c r="AO1289" i="14" s="1"/>
  <c r="AS1289" i="14" s="1"/>
  <c r="AW1289" i="14" s="1"/>
  <c r="BA1289" i="14" s="1"/>
  <c r="BE1289" i="14" s="1"/>
  <c r="BI1289" i="14" s="1"/>
  <c r="BM1289" i="14" s="1"/>
  <c r="BQ1289" i="14" s="1"/>
  <c r="BU1289" i="14" s="1"/>
  <c r="BY1289" i="14" s="1"/>
  <c r="N1297" i="14"/>
  <c r="BT1297" i="14"/>
  <c r="BT1303" i="14" s="1"/>
  <c r="BT1368" i="14" s="1"/>
  <c r="BI1297" i="14"/>
  <c r="BI1303" i="14" s="1"/>
  <c r="BI1368" i="14" s="1"/>
  <c r="M1297" i="14"/>
  <c r="BN1297" i="14"/>
  <c r="BN1303" i="14" s="1"/>
  <c r="BN1368" i="14" s="1"/>
  <c r="K1289" i="14"/>
  <c r="O1289" i="14" s="1"/>
  <c r="S1289" i="14" s="1"/>
  <c r="W1289" i="14" s="1"/>
  <c r="AA1289" i="14" s="1"/>
  <c r="AE1289" i="14" s="1"/>
  <c r="AI1289" i="14" s="1"/>
  <c r="AM1289" i="14" s="1"/>
  <c r="AQ1289" i="14" s="1"/>
  <c r="AU1289" i="14" s="1"/>
  <c r="AY1289" i="14" s="1"/>
  <c r="BC1289" i="14" s="1"/>
  <c r="BG1289" i="14" s="1"/>
  <c r="BK1289" i="14" s="1"/>
  <c r="BO1289" i="14" s="1"/>
  <c r="BS1289" i="14" s="1"/>
  <c r="BW1289" i="14" s="1"/>
  <c r="BL1297" i="14"/>
  <c r="BL1303" i="14" s="1"/>
  <c r="BL1368" i="14" s="1"/>
  <c r="AF1297" i="14"/>
  <c r="R1297" i="14"/>
  <c r="Z1297" i="14"/>
  <c r="BX1297" i="14"/>
  <c r="BX1303" i="14" s="1"/>
  <c r="BX1368" i="14" s="1"/>
  <c r="AV1297" i="14"/>
  <c r="AV1303" i="14" s="1"/>
  <c r="AV1368" i="14" s="1"/>
  <c r="BQ1297" i="14"/>
  <c r="BQ1303" i="14" s="1"/>
  <c r="BQ1368" i="14" s="1"/>
  <c r="AY1297" i="14"/>
  <c r="AY1303" i="14" s="1"/>
  <c r="AY1368" i="14" s="1"/>
  <c r="BY1297" i="14"/>
  <c r="BY1303" i="14" s="1"/>
  <c r="BY1368" i="14" s="1"/>
  <c r="S1297" i="14"/>
  <c r="BP1297" i="14"/>
  <c r="BP1303" i="14" s="1"/>
  <c r="BP1368" i="14" s="1"/>
  <c r="J1297" i="14"/>
  <c r="H1289" i="14"/>
  <c r="L1289" i="14" s="1"/>
  <c r="P1289" i="14" s="1"/>
  <c r="T1289" i="14" s="1"/>
  <c r="X1289" i="14" s="1"/>
  <c r="AB1289" i="14" s="1"/>
  <c r="AF1289" i="14" s="1"/>
  <c r="AJ1289" i="14" s="1"/>
  <c r="AN1289" i="14" s="1"/>
  <c r="AR1289" i="14" s="1"/>
  <c r="AV1289" i="14" s="1"/>
  <c r="AZ1289" i="14" s="1"/>
  <c r="BD1289" i="14" s="1"/>
  <c r="BH1289" i="14" s="1"/>
  <c r="BL1289" i="14" s="1"/>
  <c r="BP1289" i="14" s="1"/>
  <c r="BT1289" i="14" s="1"/>
  <c r="BX1289" i="14" s="1"/>
  <c r="V1297" i="14"/>
  <c r="BR1297" i="14"/>
  <c r="BR1303" i="14" s="1"/>
  <c r="BR1368" i="14" s="1"/>
  <c r="BB1297" i="14"/>
  <c r="BB1303" i="14" s="1"/>
  <c r="BB1368" i="14" s="1"/>
  <c r="H1275" i="14"/>
  <c r="H1282" i="14"/>
  <c r="E11" i="20"/>
  <c r="F11" i="20"/>
  <c r="L1275" i="14" l="1"/>
  <c r="K1276" i="14"/>
  <c r="I1275" i="14"/>
  <c r="H1276" i="14"/>
  <c r="L1282" i="14"/>
  <c r="K1283" i="14"/>
  <c r="I1282" i="14"/>
  <c r="H1283" i="14"/>
  <c r="J1278" i="14"/>
  <c r="J1279" i="14" s="1"/>
  <c r="I1279" i="14"/>
  <c r="M1278" i="14"/>
  <c r="L1279" i="14"/>
  <c r="K1303" i="14" l="1"/>
  <c r="K1368" i="14" s="1"/>
  <c r="K1369" i="14" s="1"/>
  <c r="H1303" i="14"/>
  <c r="H1368" i="14" s="1"/>
  <c r="H1369" i="14" s="1"/>
  <c r="J1275" i="14"/>
  <c r="J1276" i="14" s="1"/>
  <c r="I1276" i="14"/>
  <c r="M1275" i="14"/>
  <c r="L1276" i="14"/>
  <c r="J1282" i="14"/>
  <c r="J1283" i="14" s="1"/>
  <c r="I1283" i="14"/>
  <c r="M1282" i="14"/>
  <c r="L1283" i="14"/>
  <c r="N1278" i="14"/>
  <c r="M1279" i="14"/>
  <c r="L1303" i="14" l="1"/>
  <c r="L1368" i="14" s="1"/>
  <c r="L1369" i="14" s="1"/>
  <c r="J1303" i="14"/>
  <c r="J1368" i="14" s="1"/>
  <c r="J1369" i="14" s="1"/>
  <c r="I1303" i="14"/>
  <c r="I1368" i="14" s="1"/>
  <c r="I1369" i="14" s="1"/>
  <c r="N1275" i="14"/>
  <c r="M1276" i="14"/>
  <c r="N1282" i="14"/>
  <c r="M1283" i="14"/>
  <c r="O1278" i="14"/>
  <c r="N1279" i="14"/>
  <c r="M1303" i="14" l="1"/>
  <c r="M1368" i="14" s="1"/>
  <c r="M1369" i="14" s="1"/>
  <c r="O1275" i="14"/>
  <c r="N1276" i="14"/>
  <c r="O1282" i="14"/>
  <c r="N1283" i="14"/>
  <c r="P1278" i="14"/>
  <c r="O1279" i="14"/>
  <c r="N1303" i="14" l="1"/>
  <c r="N1368" i="14" s="1"/>
  <c r="N1369" i="14" s="1"/>
  <c r="P1275" i="14"/>
  <c r="O1276" i="14"/>
  <c r="P1282" i="14"/>
  <c r="O1283" i="14"/>
  <c r="Q1278" i="14"/>
  <c r="P1279" i="14"/>
  <c r="O1303" i="14" l="1"/>
  <c r="O1368" i="14" s="1"/>
  <c r="O1369" i="14" s="1"/>
  <c r="Q1275" i="14"/>
  <c r="P1276" i="14"/>
  <c r="Q1282" i="14"/>
  <c r="P1283" i="14"/>
  <c r="R1278" i="14"/>
  <c r="Q1279" i="14"/>
  <c r="P1303" i="14" l="1"/>
  <c r="P1368" i="14" s="1"/>
  <c r="P1369" i="14" s="1"/>
  <c r="R1275" i="14"/>
  <c r="Q1276" i="14"/>
  <c r="R1282" i="14"/>
  <c r="Q1283" i="14"/>
  <c r="S1278" i="14"/>
  <c r="R1279" i="14"/>
  <c r="Q1303" i="14" l="1"/>
  <c r="Q1368" i="14" s="1"/>
  <c r="Q1369" i="14" s="1"/>
  <c r="S1275" i="14"/>
  <c r="R1276" i="14"/>
  <c r="S1282" i="14"/>
  <c r="R1283" i="14"/>
  <c r="T1278" i="14"/>
  <c r="S1279" i="14"/>
  <c r="R1303" i="14" l="1"/>
  <c r="R1368" i="14" s="1"/>
  <c r="R1369" i="14" s="1"/>
  <c r="T1275" i="14"/>
  <c r="S1276" i="14"/>
  <c r="T1282" i="14"/>
  <c r="S1283" i="14"/>
  <c r="U1278" i="14"/>
  <c r="T1279" i="14"/>
  <c r="S1303" i="14" l="1"/>
  <c r="S1368" i="14" s="1"/>
  <c r="S1369" i="14" s="1"/>
  <c r="U1275" i="14"/>
  <c r="T1276" i="14"/>
  <c r="U1282" i="14"/>
  <c r="T1283" i="14"/>
  <c r="V1278" i="14"/>
  <c r="U1279" i="14"/>
  <c r="T1303" i="14" l="1"/>
  <c r="T1368" i="14" s="1"/>
  <c r="T1369" i="14" s="1"/>
  <c r="V1275" i="14"/>
  <c r="U1276" i="14"/>
  <c r="V1282" i="14"/>
  <c r="U1283" i="14"/>
  <c r="W1278" i="14"/>
  <c r="V1279" i="14"/>
  <c r="U1303" i="14" l="1"/>
  <c r="U1368" i="14" s="1"/>
  <c r="U1369" i="14" s="1"/>
  <c r="W1275" i="14"/>
  <c r="V1276" i="14"/>
  <c r="W1282" i="14"/>
  <c r="V1283" i="14"/>
  <c r="X1278" i="14"/>
  <c r="W1279" i="14"/>
  <c r="V1303" i="14" l="1"/>
  <c r="V1368" i="14" s="1"/>
  <c r="V1369" i="14" s="1"/>
  <c r="X1275" i="14"/>
  <c r="W1276" i="14"/>
  <c r="X1282" i="14"/>
  <c r="W1283" i="14"/>
  <c r="Y1278" i="14"/>
  <c r="X1279" i="14"/>
  <c r="W1303" i="14" l="1"/>
  <c r="W1368" i="14" s="1"/>
  <c r="W1369" i="14" s="1"/>
  <c r="Y1275" i="14"/>
  <c r="X1276" i="14"/>
  <c r="Y1282" i="14"/>
  <c r="X1283" i="14"/>
  <c r="Z1278" i="14"/>
  <c r="Y1279" i="14"/>
  <c r="X1303" i="14" l="1"/>
  <c r="X1368" i="14" s="1"/>
  <c r="X1369" i="14" s="1"/>
  <c r="Z1275" i="14"/>
  <c r="Y1276" i="14"/>
  <c r="Z1282" i="14"/>
  <c r="Y1283" i="14"/>
  <c r="AA1278" i="14"/>
  <c r="Z1279" i="14"/>
  <c r="Y1303" i="14" l="1"/>
  <c r="Y1368" i="14" s="1"/>
  <c r="Y1369" i="14" s="1"/>
  <c r="AA1275" i="14"/>
  <c r="Z1276" i="14"/>
  <c r="AA1282" i="14"/>
  <c r="Z1283" i="14"/>
  <c r="AB1278" i="14"/>
  <c r="AA1279" i="14"/>
  <c r="Z1303" i="14" l="1"/>
  <c r="Z1368" i="14" s="1"/>
  <c r="Z1369" i="14" s="1"/>
  <c r="AB1275" i="14"/>
  <c r="AA1276" i="14"/>
  <c r="AB1282" i="14"/>
  <c r="AA1283" i="14"/>
  <c r="AC1278" i="14"/>
  <c r="AB1279" i="14"/>
  <c r="AA1303" i="14" l="1"/>
  <c r="AA1368" i="14" s="1"/>
  <c r="AA1369" i="14" s="1"/>
  <c r="AC1275" i="14"/>
  <c r="AB1276" i="14"/>
  <c r="AC1282" i="14"/>
  <c r="AB1283" i="14"/>
  <c r="AD1278" i="14"/>
  <c r="AC1279" i="14"/>
  <c r="AB1303" i="14" l="1"/>
  <c r="AB1368" i="14" s="1"/>
  <c r="AB1369" i="14" s="1"/>
  <c r="AD1275" i="14"/>
  <c r="AC1276" i="14"/>
  <c r="AD1282" i="14"/>
  <c r="AC1283" i="14"/>
  <c r="AE1278" i="14"/>
  <c r="AD1279" i="14"/>
  <c r="AC1303" i="14" l="1"/>
  <c r="AC1368" i="14" s="1"/>
  <c r="AC1369" i="14" s="1"/>
  <c r="AE1275" i="14"/>
  <c r="AD1276" i="14"/>
  <c r="AE1282" i="14"/>
  <c r="AD1283" i="14"/>
  <c r="AF1278" i="14"/>
  <c r="AE1279" i="14"/>
  <c r="AD1303" i="14" l="1"/>
  <c r="AD1368" i="14" s="1"/>
  <c r="AD1369" i="14" s="1"/>
  <c r="AF1275" i="14"/>
  <c r="AE1276" i="14"/>
  <c r="AF1282" i="14"/>
  <c r="AE1283" i="14"/>
  <c r="AG1278" i="14"/>
  <c r="AF1279" i="14"/>
  <c r="AE1303" i="14" l="1"/>
  <c r="AE1368" i="14" s="1"/>
  <c r="AE1369" i="14" s="1"/>
  <c r="AG1275" i="14"/>
  <c r="AF1276" i="14"/>
  <c r="AG1282" i="14"/>
  <c r="AF1283" i="14"/>
  <c r="AH1278" i="14"/>
  <c r="AG1279" i="14"/>
  <c r="AF1303" i="14" l="1"/>
  <c r="AF1368" i="14" s="1"/>
  <c r="AH1275" i="14"/>
  <c r="AG1276" i="14"/>
  <c r="AH1282" i="14"/>
  <c r="AG1283" i="14"/>
  <c r="AI1278" i="14"/>
  <c r="AH1279" i="14"/>
  <c r="AG1303" i="14" l="1"/>
  <c r="AG1368" i="14" s="1"/>
  <c r="AI1275" i="14"/>
  <c r="AH1276" i="14"/>
  <c r="AI1282" i="14"/>
  <c r="AH1283" i="14"/>
  <c r="AJ1278" i="14"/>
  <c r="AI1279" i="14"/>
  <c r="AH1303" i="14" l="1"/>
  <c r="AH1368" i="14" s="1"/>
  <c r="AJ1275" i="14"/>
  <c r="AI1276" i="14"/>
  <c r="AJ1282" i="14"/>
  <c r="AI1283" i="14"/>
  <c r="AK1278" i="14"/>
  <c r="AK1279" i="14" s="1"/>
  <c r="AJ1279" i="14"/>
  <c r="AI1303" i="14" l="1"/>
  <c r="AI1368" i="14" s="1"/>
  <c r="AK1275" i="14"/>
  <c r="AK1276" i="14" s="1"/>
  <c r="AJ1276" i="14"/>
  <c r="AK1282" i="14"/>
  <c r="AK1283" i="14" s="1"/>
  <c r="AJ1283" i="14"/>
  <c r="AJ1303" i="14" l="1"/>
  <c r="AJ1368" i="14" s="1"/>
  <c r="AK1303" i="14"/>
  <c r="AK1368" i="14" s="1"/>
  <c r="D114" i="20" l="1"/>
  <c r="D12" i="20" s="1"/>
  <c r="D16" i="20" s="1"/>
  <c r="D18" i="20" s="1"/>
  <c r="E16" i="20" l="1"/>
  <c r="F16" i="20"/>
  <c r="C18" i="28"/>
  <c r="C23" i="28"/>
  <c r="C8" i="28"/>
  <c r="L9" i="11" s="1"/>
  <c r="C13" i="28"/>
  <c r="C28" i="28"/>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3">
    <bk>
      <extLst>
        <ext uri="{3e2802c4-a4d2-4d8b-9148-e3be6c30e623}">
          <xlrd:rvb i="0"/>
        </ext>
      </extLst>
    </bk>
    <bk>
      <extLst>
        <ext uri="{3e2802c4-a4d2-4d8b-9148-e3be6c30e623}">
          <xlrd:rvb i="1"/>
        </ext>
      </extLst>
    </bk>
    <bk>
      <extLst>
        <ext uri="{3e2802c4-a4d2-4d8b-9148-e3be6c30e623}">
          <xlrd:rvb i="2"/>
        </ext>
      </extLst>
    </bk>
  </futureMetadata>
  <cellMetadata count="1">
    <bk>
      <rc t="1" v="0"/>
    </bk>
  </cellMetadata>
  <valueMetadata count="3">
    <bk>
      <rc t="2" v="0"/>
    </bk>
    <bk>
      <rc t="2" v="1"/>
    </bk>
    <bk>
      <rc t="2" v="2"/>
    </bk>
  </valueMetadata>
</metadata>
</file>

<file path=xl/sharedStrings.xml><?xml version="1.0" encoding="utf-8"?>
<sst xmlns="http://schemas.openxmlformats.org/spreadsheetml/2006/main" count="12938" uniqueCount="1969">
  <si>
    <t>Green Corridor Model</t>
  </si>
  <si>
    <t>PURPOSE</t>
  </si>
  <si>
    <t>This workbook is designed to calculate the incremental cost gap between green corridors and fossil corridors by estimating total costs for green and fossil corridors, incl. taking into account the effects from optimized financing, regulatory interventions, consortium effects, and green premia.</t>
  </si>
  <si>
    <t>DISCLAIMER</t>
  </si>
  <si>
    <t>This workbook is based on information that has not been generated by MMMCZCS and has not, therefore, been subject to our independent verification. MMMCZCS believes such information to be reliable and adequately comprehensive but does not represent that such information is in all respects accurate or complete.
The analyses and conclusions contained in this model are based on various assumptions which may or may not be correct, being based upon factors and events subject to uncertainty. Future results or values could be materially different from any forecast or estimates contained in the analyses.
No part of this workbook may be circulated, quoted, or reproduced for distribution without prior written approval from MMMCZCS, and this workbook is not intended to be relied upon by any third party for any purpose whatsoever.
MMMCZCS does not warrant any results obtained or conclusions drawn from the use of the model, and any estimates, analyses or opinions reflected in the model constitute our subjective judgment with no guarantees made regarding accuracy or completeness.</t>
  </si>
  <si>
    <t xml:space="preserve">  </t>
  </si>
  <si>
    <t>Instructions</t>
  </si>
  <si>
    <t>Worksheet specific notes</t>
  </si>
  <si>
    <t>Cover</t>
  </si>
  <si>
    <t>This sheet contains a disclarimer and gives an introduction to the purpose of the model</t>
  </si>
  <si>
    <t>This sheet gives an overview of the instructions and how to use the model</t>
  </si>
  <si>
    <t>Output</t>
  </si>
  <si>
    <t>This sheet summarizes the output based on the input in the model to derive at the residual cost gap. The present value numbers are discounted to the model start year</t>
  </si>
  <si>
    <t>Sensitivity_tables</t>
  </si>
  <si>
    <t>This sheet contains a selection of sensitivity analyses to understand the effect on the residual cost gap of changes in key assumptions</t>
  </si>
  <si>
    <t>Quick_assumption</t>
  </si>
  <si>
    <t>This sheet is designed for high-level calculations of the residual cost gap with minimal input requirements</t>
  </si>
  <si>
    <t>Assumptions</t>
  </si>
  <si>
    <t>This sheet contains all assumptions. All prices should be primo prices of the model start year</t>
  </si>
  <si>
    <t>Assumptions_Detailed</t>
  </si>
  <si>
    <t>When choosing "detailed" assumption in the Assumptions-sheet, you can write your detailed assumption per year in here. These prices overwrite any other assumptions. Prices should be nominal as these will not be inflated by the model</t>
  </si>
  <si>
    <t>Calculation</t>
  </si>
  <si>
    <t>This sheet computes the relevant calculations to derive at the output. The calculations are subject to the input in the "Assumptions"-sheet</t>
  </si>
  <si>
    <t>Data_tables</t>
  </si>
  <si>
    <t>This sheet contains relevant data tables with assumptions used in the calculations</t>
  </si>
  <si>
    <t>Other sheets</t>
  </si>
  <si>
    <t>Other sheets contain data and calculations from other tools, which feed into the calculations</t>
  </si>
  <si>
    <t>Cell formatting guide for the following sheets: 1) Output, 2) Quick_assumption, 3) Assumptions, 4) Assumptions_detailed, and 5) Calculation</t>
  </si>
  <si>
    <t>Throughout the output, assumption and calculation sheets, the following formatting conventions are used:</t>
  </si>
  <si>
    <t>Cells</t>
  </si>
  <si>
    <t>Values in black font are calculated values or manual input which should not be changed</t>
  </si>
  <si>
    <t>Values in blue font and blue fill contain input variables</t>
  </si>
  <si>
    <t>Values in white font and are non-applicable input-values which should not be changed</t>
  </si>
  <si>
    <t>Sheets</t>
  </si>
  <si>
    <t>Grey tabs indicate calculation sheets</t>
  </si>
  <si>
    <t>Turqoise tabs indicate assumption sheets</t>
  </si>
  <si>
    <t>Blue tabs indicate output sheets</t>
  </si>
  <si>
    <t>Overall cost stack-up</t>
  </si>
  <si>
    <t>Cost stack-up</t>
  </si>
  <si>
    <t>Reference</t>
  </si>
  <si>
    <t>Description</t>
  </si>
  <si>
    <t>1.</t>
  </si>
  <si>
    <t>Total cost of green corridor</t>
  </si>
  <si>
    <t>2.</t>
  </si>
  <si>
    <t>Total cost of fossil corridor</t>
  </si>
  <si>
    <t>3.</t>
  </si>
  <si>
    <t>Gross incremental cost</t>
  </si>
  <si>
    <t>4.</t>
  </si>
  <si>
    <t>Optimized financing</t>
  </si>
  <si>
    <t>5.</t>
  </si>
  <si>
    <t>Regulation</t>
  </si>
  <si>
    <t>Incremental cost</t>
  </si>
  <si>
    <t>6.</t>
  </si>
  <si>
    <t>Green Premium</t>
  </si>
  <si>
    <t>7.</t>
  </si>
  <si>
    <t>Fuel plant contribution</t>
  </si>
  <si>
    <t>Port contribution incl. port fee waived</t>
  </si>
  <si>
    <t>Vessel contribution</t>
  </si>
  <si>
    <t>Residual cost gap before externalities</t>
  </si>
  <si>
    <t>Share of cost gap that is related to the ports</t>
  </si>
  <si>
    <t>Share of cost gap that is related to the rest of the green corridor</t>
  </si>
  <si>
    <r>
      <t xml:space="preserve">Total CO2 abated over lifetime, </t>
    </r>
    <r>
      <rPr>
        <i/>
        <sz val="11"/>
        <color theme="1"/>
        <rFont val="Arial"/>
        <family val="2"/>
      </rPr>
      <t>tonnes of CO2e</t>
    </r>
  </si>
  <si>
    <r>
      <t xml:space="preserve">Total cargo moved over lifetime, </t>
    </r>
    <r>
      <rPr>
        <i/>
        <sz val="11"/>
        <color theme="1"/>
        <rFont val="Arial"/>
        <family val="2"/>
      </rPr>
      <t>tonnes of cargo</t>
    </r>
  </si>
  <si>
    <t>Externalities</t>
  </si>
  <si>
    <t>Externalities - category</t>
  </si>
  <si>
    <t>Lifetime or construction time</t>
  </si>
  <si>
    <t>GDP: nominal values, USDm per year of lifetime or construction time</t>
  </si>
  <si>
    <t>Jobs: nominal values, # of jobs per year of lifetime or construction time</t>
  </si>
  <si>
    <t>Total (for one year with effect from externalities)</t>
  </si>
  <si>
    <t>Detailed cost stack-uo</t>
  </si>
  <si>
    <t>Fuel production</t>
  </si>
  <si>
    <t>Port - Storage</t>
  </si>
  <si>
    <t>Port - Barge</t>
  </si>
  <si>
    <t>Vessel</t>
  </si>
  <si>
    <t>Total</t>
  </si>
  <si>
    <t>Fuel purchase</t>
  </si>
  <si>
    <t>Fossil costs</t>
  </si>
  <si>
    <t>Alternative costs</t>
  </si>
  <si>
    <t>Incremental cost gap</t>
  </si>
  <si>
    <t>Optimized financing: fuel production</t>
  </si>
  <si>
    <t>Optimized financing: storage</t>
  </si>
  <si>
    <t>Optimized financing: barge</t>
  </si>
  <si>
    <t>Optimized financing: vessel</t>
  </si>
  <si>
    <t>MtM: Green Corridor regulatory impact</t>
  </si>
  <si>
    <t>MtM: Fossil Corridor regulatory impact</t>
  </si>
  <si>
    <t>EU ETS: Green Corridor regulatory impact</t>
  </si>
  <si>
    <t>EU ETS: Fossil Corridor regulatory impact</t>
  </si>
  <si>
    <t>FuelEU: Green Corridor regulatory impact</t>
  </si>
  <si>
    <t>FuelEU: Fossil Corridor regulatory impact</t>
  </si>
  <si>
    <t>IRA (proxy): Green Corridor regulatory impact</t>
  </si>
  <si>
    <t>Total green premia</t>
  </si>
  <si>
    <t>7. Consortium cost absorption</t>
  </si>
  <si>
    <t>CAPEX: Green fuel production</t>
  </si>
  <si>
    <t>CAPEX: Green port - Storage</t>
  </si>
  <si>
    <t>CAPEX: Green port - Barge</t>
  </si>
  <si>
    <t>CAPEX: Green vessel</t>
  </si>
  <si>
    <t>Port fee waived</t>
  </si>
  <si>
    <t>OPEX: Green fuel production</t>
  </si>
  <si>
    <t>OPEX: Green port - Storage</t>
  </si>
  <si>
    <t>OPEX: Green port - Barge</t>
  </si>
  <si>
    <t>OPEX: Green vessel</t>
  </si>
  <si>
    <t>Sensitivity tables, PV of residual cost gap excl. effect from optimized financing</t>
  </si>
  <si>
    <t>Sensitivity analysis - Inflation</t>
  </si>
  <si>
    <t>Sensivity regulator:</t>
  </si>
  <si>
    <t>Residual cost gap, PV USDm</t>
  </si>
  <si>
    <t>Sensitivity analysis - CAPEX on green corridor</t>
  </si>
  <si>
    <t>Sensitivity analysis - OPEX on green corridor incl. fuel prices</t>
  </si>
  <si>
    <t>Sensitivity analysis - CAPEX on fossil corridor</t>
  </si>
  <si>
    <t>Sensitivity analysis - OPEX on fossil corridor incl. fuel prices</t>
  </si>
  <si>
    <t>Category</t>
  </si>
  <si>
    <t>Question</t>
  </si>
  <si>
    <t>Unit</t>
  </si>
  <si>
    <t>Comments</t>
  </si>
  <si>
    <t>General</t>
  </si>
  <si>
    <t>Do you want to run a quick calculation or go more into depth?</t>
  </si>
  <si>
    <t>Option</t>
  </si>
  <si>
    <t>In-depth calculation</t>
  </si>
  <si>
    <t>Which country will be the main country (if corridor between two countries, select one country as main country)?</t>
  </si>
  <si>
    <t>Chile</t>
  </si>
  <si>
    <t>Fuel characteristics</t>
  </si>
  <si>
    <t>What is the fuel type for the green corridor?</t>
  </si>
  <si>
    <t>e-ammonia</t>
  </si>
  <si>
    <t>Will the green fuel be purchased or will a fuel production plant be manufactured?</t>
  </si>
  <si>
    <t>Manufactured</t>
  </si>
  <si>
    <t>Vessel characteristics</t>
  </si>
  <si>
    <t>Which vessel will be used?</t>
  </si>
  <si>
    <t>Container (8000 TEU)</t>
  </si>
  <si>
    <t>How many vessels will be on the corridor?</t>
  </si>
  <si>
    <t># of vessels</t>
  </si>
  <si>
    <t>How many roundtrips will each vessel have to do per year?</t>
  </si>
  <si>
    <t># of roundtrips per year</t>
  </si>
  <si>
    <t>Do you know distance or fuel consumption for the fossil corridor?</t>
  </si>
  <si>
    <t>Fuel consumption</t>
  </si>
  <si>
    <t>What is the distance (nautic miles) per roundtrip?</t>
  </si>
  <si>
    <t>Nautic miles</t>
  </si>
  <si>
    <t>Fuel consumption per trip (LSFO)</t>
  </si>
  <si>
    <t>Tonnes</t>
  </si>
  <si>
    <t>Regulatory and green cargo premium characteristics</t>
  </si>
  <si>
    <t>Do you want to include mid-term-measurements (IMO) effects?</t>
  </si>
  <si>
    <t>Yes</t>
  </si>
  <si>
    <t>Further details incl. reward-option can be specified in the "assumptions"-tab</t>
  </si>
  <si>
    <t>Do you want to include IRA proxy effects?</t>
  </si>
  <si>
    <t>Further details incl. reward-value and end-year of regulatory effect can be specified in the "assumptions"-tab</t>
  </si>
  <si>
    <t>Do you want to include FuelEU effects?</t>
  </si>
  <si>
    <t>No</t>
  </si>
  <si>
    <t>Further details incl. end-year of regulatory effect and corridor exposure can be specified in the "assumptions"-tab</t>
  </si>
  <si>
    <t>Do you want to include EU ETS effects?</t>
  </si>
  <si>
    <t>What share of the incremental cost gap do you assume the cargo owners are willing to pay?</t>
  </si>
  <si>
    <t>Constant % of incremental cost covered</t>
  </si>
  <si>
    <t>Output message:</t>
  </si>
  <si>
    <t>Sub-category</t>
  </si>
  <si>
    <t>Line item</t>
  </si>
  <si>
    <t>Required to run the model?</t>
  </si>
  <si>
    <t>Green Corridor</t>
  </si>
  <si>
    <t>Fossil Corridor</t>
  </si>
  <si>
    <t>Generic assumptions</t>
  </si>
  <si>
    <t>Global assumptions</t>
  </si>
  <si>
    <t>Currency</t>
  </si>
  <si>
    <t>Note</t>
  </si>
  <si>
    <t>USD</t>
  </si>
  <si>
    <t>General or detailed assumption?</t>
  </si>
  <si>
    <t>Choose (if detailed, use "Assumptions_Detailed")</t>
  </si>
  <si>
    <t>Inflation</t>
  </si>
  <si>
    <t>%, (when "Assumptions_Detailed" is used, numbers will be treated as nominal values in the model)</t>
  </si>
  <si>
    <t>Model start</t>
  </si>
  <si>
    <t>Date</t>
  </si>
  <si>
    <t>Model end</t>
  </si>
  <si>
    <t>Main country (if corridor between two countries, select one country as main country)</t>
  </si>
  <si>
    <t>Choose</t>
  </si>
  <si>
    <t>Australia</t>
  </si>
  <si>
    <t>Implied country in scope</t>
  </si>
  <si>
    <t>Region</t>
  </si>
  <si>
    <t>Activate optimized financing?</t>
  </si>
  <si>
    <t>Choose (an increase in cost of debt will increase the impact from optimized financing)</t>
  </si>
  <si>
    <t>Corridors</t>
  </si>
  <si>
    <t>1.0 Fuel production</t>
  </si>
  <si>
    <t>1.1 Project specifics</t>
  </si>
  <si>
    <t>Tax rate</t>
  </si>
  <si>
    <t>%</t>
  </si>
  <si>
    <t>Fuel production type</t>
  </si>
  <si>
    <t>LSFO</t>
  </si>
  <si>
    <t>Implied fuel production type</t>
  </si>
  <si>
    <t>Fuel production characteristic - LHV</t>
  </si>
  <si>
    <t>GJ/ton</t>
  </si>
  <si>
    <t>Fuel production characteristic - emission intensity</t>
  </si>
  <si>
    <t>gGHG/GJ</t>
  </si>
  <si>
    <t>Main fuel consumption</t>
  </si>
  <si>
    <t>tonnes/year/vessel</t>
  </si>
  <si>
    <t>Pilot fuel consumption</t>
  </si>
  <si>
    <t>1.2 CAPEX</t>
  </si>
  <si>
    <t>Timeline</t>
  </si>
  <si>
    <t>Is the fuel purchased or is a fuel plant manufactured?</t>
  </si>
  <si>
    <t>Purchased</t>
  </si>
  <si>
    <t>Implied: fuel fuel purchased or fuel plant manufactured?</t>
  </si>
  <si>
    <t>Is the timeline known?</t>
  </si>
  <si>
    <t>Pre-construction start</t>
  </si>
  <si>
    <t>Date (must be 1st in the month)</t>
  </si>
  <si>
    <t>Pre-construction</t>
  </si>
  <si>
    <t>Years</t>
  </si>
  <si>
    <t>Implied FID</t>
  </si>
  <si>
    <t>Construction</t>
  </si>
  <si>
    <t>Implied COD</t>
  </si>
  <si>
    <t>Operations</t>
  </si>
  <si>
    <t>Implied years of operations</t>
  </si>
  <si>
    <t>Preconstruction costs (assuming linear cost split)</t>
  </si>
  <si>
    <t>Is the estimated CAPEX costs known?</t>
  </si>
  <si>
    <t>Detailed</t>
  </si>
  <si>
    <t>Total CAPEX</t>
  </si>
  <si>
    <t>Implied CAPEX</t>
  </si>
  <si>
    <t>Construction costs (assuming linear cost split)</t>
  </si>
  <si>
    <t>Depreciaton of asset</t>
  </si>
  <si>
    <t>Depreciation (linear)</t>
  </si>
  <si>
    <t>1.3 OPEX</t>
  </si>
  <si>
    <t>Is the main fuel price cost known?</t>
  </si>
  <si>
    <t>Main fuel - fuel cost</t>
  </si>
  <si>
    <t>Is the pilot fuel price cost known?</t>
  </si>
  <si>
    <t>Pilot fuel - fuel cost</t>
  </si>
  <si>
    <t>Implied fuel cost</t>
  </si>
  <si>
    <t>Fuel cost prices changes yearly - see "Assumptions_Detailed"</t>
  </si>
  <si>
    <t>OPEX - costs</t>
  </si>
  <si>
    <t>Is the OPEX known?</t>
  </si>
  <si>
    <t>Feedstock expenses</t>
  </si>
  <si>
    <t>O&amp;M</t>
  </si>
  <si>
    <t>Other OPEX (land lease, etc.)</t>
  </si>
  <si>
    <t>Implied total OPEX</t>
  </si>
  <si>
    <t>1.4 Financing of CAPEX</t>
  </si>
  <si>
    <t>Are financing terms known?</t>
  </si>
  <si>
    <t>Debt tranche 1</t>
  </si>
  <si>
    <t>Share of CAPEX financed through debt tranche</t>
  </si>
  <si>
    <t>Implied share of CAPEX financed through debt tranche</t>
  </si>
  <si>
    <t>Reference rate</t>
  </si>
  <si>
    <t>Risk-margin added</t>
  </si>
  <si>
    <t>Implied cost of debt</t>
  </si>
  <si>
    <t>Time to maturity on debt</t>
  </si>
  <si>
    <t>Implied time to maturity on debt</t>
  </si>
  <si>
    <t>Structure</t>
  </si>
  <si>
    <t>Fixed option</t>
  </si>
  <si>
    <t>Equity-first</t>
  </si>
  <si>
    <t>Payment profile</t>
  </si>
  <si>
    <t>Annuity</t>
  </si>
  <si>
    <t>Debt tranche 2</t>
  </si>
  <si>
    <t>Implied equity share of financing</t>
  </si>
  <si>
    <t>Is the discount factor known?</t>
  </si>
  <si>
    <t>Discount factor</t>
  </si>
  <si>
    <t>Implied discount factor</t>
  </si>
  <si>
    <t>Is the optimized financing known?</t>
  </si>
  <si>
    <t>Optimized financing (cost of debt)</t>
  </si>
  <si>
    <t>Implied optimized financing (cost of debt)</t>
  </si>
  <si>
    <t>Optimized financing scenario, total PV of Fuel Production</t>
  </si>
  <si>
    <t>USD Present Value</t>
  </si>
  <si>
    <t>2.0 Ports</t>
  </si>
  <si>
    <t>2.1 Project specifics</t>
  </si>
  <si>
    <t>Do you want to include storage, barge or both?</t>
  </si>
  <si>
    <t>Storage &amp; Barge</t>
  </si>
  <si>
    <t>Specific tax rate</t>
  </si>
  <si>
    <t>2.2 CAPEX - Storage</t>
  </si>
  <si>
    <t>2.3 CAPEX - Barge</t>
  </si>
  <si>
    <t>Depreciaton of assets</t>
  </si>
  <si>
    <t>2.4 OPEX</t>
  </si>
  <si>
    <t>Is the estimated OPEX costs known?</t>
  </si>
  <si>
    <t>(Storage) Total OPEX</t>
  </si>
  <si>
    <t>Implied - (Storage) Total OPEX</t>
  </si>
  <si>
    <t>(Barge) Total OPEX</t>
  </si>
  <si>
    <t>Implied - (Barge) Total OPEX</t>
  </si>
  <si>
    <t>2.5 Financing - Storage</t>
  </si>
  <si>
    <t>Optimized financing scenario, total PV of Port</t>
  </si>
  <si>
    <t>2.6 Financing - Barge</t>
  </si>
  <si>
    <t>Optimized financing scenario, total PV of Barge</t>
  </si>
  <si>
    <t>3.0 Vessel</t>
  </si>
  <si>
    <t>3.1 Project specifics</t>
  </si>
  <si>
    <t>Vessel type</t>
  </si>
  <si>
    <t>Type</t>
  </si>
  <si>
    <t>Bulk carrier (Panamax)</t>
  </si>
  <si>
    <t>Implied vessel type</t>
  </si>
  <si>
    <t>Vessel fuel pilot fuel</t>
  </si>
  <si>
    <t>Pilot fuel  LHV</t>
  </si>
  <si>
    <t>LHV</t>
  </si>
  <si>
    <t>Share that is pilot fuel of total energy consumption</t>
  </si>
  <si>
    <t>Number of vessels</t>
  </si>
  <si>
    <t>#</t>
  </si>
  <si>
    <t>Implied number of vessels</t>
  </si>
  <si>
    <t>Do you know the actual capacity?</t>
  </si>
  <si>
    <t>Actual capacity</t>
  </si>
  <si>
    <t>Tons of cargo per vessel moved per roundtrip</t>
  </si>
  <si>
    <t>Implied capacity</t>
  </si>
  <si>
    <t>Tons</t>
  </si>
  <si>
    <t>Do you know the actual utilization?</t>
  </si>
  <si>
    <t>Actual utilization</t>
  </si>
  <si>
    <t>Implied utilization</t>
  </si>
  <si>
    <t>Roundtrips per year</t>
  </si>
  <si>
    <t>Roundtrips per vessel per year</t>
  </si>
  <si>
    <t>Implied roundtrips per year</t>
  </si>
  <si>
    <t>Do you know the distance/fuel consumption for the green or fossil corridor?</t>
  </si>
  <si>
    <t>Fossil corridor</t>
  </si>
  <si>
    <t>Implied choice between green or fossil corridor?</t>
  </si>
  <si>
    <t>Do you know distance or fuel consumption?</t>
  </si>
  <si>
    <t>Distance (nautic miles)</t>
  </si>
  <si>
    <t>Implied choice: distance or fuel consumption</t>
  </si>
  <si>
    <t>Distance for a round trip?</t>
  </si>
  <si>
    <t>Implied distance for a round trip</t>
  </si>
  <si>
    <t>Fuel consumption per trip excl. pilot fuel</t>
  </si>
  <si>
    <t>Tonnes (green fuel)</t>
  </si>
  <si>
    <t>Implied fuel consumption per trip excl. pilot fuel</t>
  </si>
  <si>
    <t>Extra energy added on top</t>
  </si>
  <si>
    <t>Implied total fuel consumption (main fuel)</t>
  </si>
  <si>
    <t>Fuel consumption per year per vessel (ton)</t>
  </si>
  <si>
    <t>Implied total fuel consumption (pilot fuel) / bio-diesel blend for fossil</t>
  </si>
  <si>
    <t>Energy consumption</t>
  </si>
  <si>
    <t>GJ/year total per vessel</t>
  </si>
  <si>
    <t>3.2 CAPEX</t>
  </si>
  <si>
    <t>Total CAPEX per vessel</t>
  </si>
  <si>
    <t>Construction costs</t>
  </si>
  <si>
    <t>Implied CAPEX per vessel</t>
  </si>
  <si>
    <t>Implied total CAPEX</t>
  </si>
  <si>
    <t>3.3 OPEX</t>
  </si>
  <si>
    <t>Other OPEX</t>
  </si>
  <si>
    <t>Implied total OPEX per vessel</t>
  </si>
  <si>
    <t>3.4 Financing</t>
  </si>
  <si>
    <t>Are the financing terms known?</t>
  </si>
  <si>
    <t>Optimized financing scenario, total PV of Vessel</t>
  </si>
  <si>
    <t xml:space="preserve">Regulatory Configurator </t>
  </si>
  <si>
    <t>4.0 Regulation</t>
  </si>
  <si>
    <t>4.1 General</t>
  </si>
  <si>
    <t>Vessel energy consumption</t>
  </si>
  <si>
    <t>GJ  used per year per vessel</t>
  </si>
  <si>
    <t>MtM: Bio-diesel blend, LNG or pure LSFO penalty cost?</t>
  </si>
  <si>
    <t>FuelEU and ETS: Bio-diesel blend or pure LSFO?</t>
  </si>
  <si>
    <t>Pure LSFO or LNG</t>
  </si>
  <si>
    <t>4.2 Mid-term measures</t>
  </si>
  <si>
    <t>Activate IMO-mid-term measures regulatory impact forecast (EMPC83)?</t>
  </si>
  <si>
    <t>Impled activation of IMO-mid-term measures regulatory impact forecast (EMPC83)</t>
  </si>
  <si>
    <t>Reward option</t>
  </si>
  <si>
    <t>No Reward</t>
  </si>
  <si>
    <t>4.3 IRA (proxy)</t>
  </si>
  <si>
    <t>Activate IRA Proxy measures?</t>
  </si>
  <si>
    <t>Impled activation of IRA Proxy measures</t>
  </si>
  <si>
    <t>Use own value of credit?</t>
  </si>
  <si>
    <t>Last year for IRA effect</t>
  </si>
  <si>
    <t>Year</t>
  </si>
  <si>
    <t>Value of credit of hydrogen</t>
  </si>
  <si>
    <t>Implied value of credit used</t>
  </si>
  <si>
    <t>4.4 FuelEU</t>
  </si>
  <si>
    <t>Activate FuelEU measures?</t>
  </si>
  <si>
    <t>Implied activation of FuelEU measures</t>
  </si>
  <si>
    <t>Last year for FuelEU effect</t>
  </si>
  <si>
    <t>FuelEU penalty cost</t>
  </si>
  <si>
    <t>USD/tonne VLSFOeq</t>
  </si>
  <si>
    <t>Corridor exposure</t>
  </si>
  <si>
    <t>4.5 EU ETS</t>
  </si>
  <si>
    <t>Activate EU ETS measures?</t>
  </si>
  <si>
    <t>Consortium cost absorption, Willingness-to-pay and externalities</t>
  </si>
  <si>
    <t xml:space="preserve">5.0 Consortium cost absorption </t>
  </si>
  <si>
    <t>5.1 Green fuel production</t>
  </si>
  <si>
    <t>Manual value or share of excess CAPEX costs?</t>
  </si>
  <si>
    <t>Manual</t>
  </si>
  <si>
    <t>Manual input</t>
  </si>
  <si>
    <t>Present value USD</t>
  </si>
  <si>
    <t>Share of excess CAPEX costs</t>
  </si>
  <si>
    <t>%, not including financing costs</t>
  </si>
  <si>
    <t>Manual value or share of excess OPEX costs?</t>
  </si>
  <si>
    <t>Share</t>
  </si>
  <si>
    <t>Value per year in operations, USD</t>
  </si>
  <si>
    <t>Share of excess OPEX costs</t>
  </si>
  <si>
    <t>Implied discount factor applied</t>
  </si>
  <si>
    <t>5.2 Green port</t>
  </si>
  <si>
    <t>Storage</t>
  </si>
  <si>
    <t>Barge</t>
  </si>
  <si>
    <t>5.3 Green vessel</t>
  </si>
  <si>
    <t>5.4 Port fee</t>
  </si>
  <si>
    <t>Activate port fees?</t>
  </si>
  <si>
    <t>Implied fee for using the port per vessel per year</t>
  </si>
  <si>
    <t>% of fee/OPEX you want to waive?</t>
  </si>
  <si>
    <t>6.0 Green Cargo Premia</t>
  </si>
  <si>
    <t>6.1 Willingness to pay</t>
  </si>
  <si>
    <t>How do you want to calculate the willingness to pay?</t>
  </si>
  <si>
    <t>Percentage on top of fossil costs</t>
  </si>
  <si>
    <t>Implied calculation of willingness to pay</t>
  </si>
  <si>
    <t>Percentage on top of fossil</t>
  </si>
  <si>
    <t>Scenario 1</t>
  </si>
  <si>
    <t>Activate scenario 1</t>
  </si>
  <si>
    <t>Straight-line - 100% of fossil covered by 2050</t>
  </si>
  <si>
    <t>Activate scenario 2</t>
  </si>
  <si>
    <t>Straight-line - 100% of fossil covered 10 years after model start</t>
  </si>
  <si>
    <t>Activate scenario 3</t>
  </si>
  <si>
    <t>Staircase increase every 4th year (% of fossil covered)</t>
  </si>
  <si>
    <t>Activate scenario 4</t>
  </si>
  <si>
    <t>Constant % on top of fossil costs covered</t>
  </si>
  <si>
    <t>Implied cargo moved per year</t>
  </si>
  <si>
    <t>Tonnes (or passengers)</t>
  </si>
  <si>
    <t>Implied cargo moved in lifetime</t>
  </si>
  <si>
    <t>Implied transportation cost of cargo moved per year</t>
  </si>
  <si>
    <t>Present value per ton, USD</t>
  </si>
  <si>
    <t>Implied incremental transportation cost of cargo moved per year</t>
  </si>
  <si>
    <t>WtP of incremental costs in beginning</t>
  </si>
  <si>
    <t>Implied WtP of incremental costs in beginning</t>
  </si>
  <si>
    <t>Which scenario to activate</t>
  </si>
  <si>
    <t>Scenario to choose</t>
  </si>
  <si>
    <t>Scenario 4</t>
  </si>
  <si>
    <t>Implied scenario activated</t>
  </si>
  <si>
    <t>Straight-line - all cargo covered by 2050</t>
  </si>
  <si>
    <t>Straight-line - all cargo covered 10 years after model start</t>
  </si>
  <si>
    <t>Staircase increase every 4th year</t>
  </si>
  <si>
    <t>7.0 Externalities</t>
  </si>
  <si>
    <t>7.1 Externality split</t>
  </si>
  <si>
    <t>Fuel Production - CAPEX</t>
  </si>
  <si>
    <t>Is it part of the domestic economy?</t>
  </si>
  <si>
    <t>Fuel Production - OPEX</t>
  </si>
  <si>
    <t>Port (Storage) - CAPEX</t>
  </si>
  <si>
    <t>Port (Storage) - OPEX</t>
  </si>
  <si>
    <t>Port (Barge) - CAPEX</t>
  </si>
  <si>
    <t>Port (Barge) - OPEX</t>
  </si>
  <si>
    <t>Vessel - CAPEX</t>
  </si>
  <si>
    <t>Vessel - OPEX</t>
  </si>
  <si>
    <t>8.0 Residual cost gap closing mechanism</t>
  </si>
  <si>
    <t>This helps to derive subsidies required specifically to realize port infrastructure</t>
  </si>
  <si>
    <t>8.1 Port utilization</t>
  </si>
  <si>
    <t>Will more vessels than the ones added be using the storage and/or barge facility?</t>
  </si>
  <si>
    <t>Barge - capacity</t>
  </si>
  <si>
    <t>Tonnes of capacity</t>
  </si>
  <si>
    <t>Barge - availability</t>
  </si>
  <si>
    <t>Days per year</t>
  </si>
  <si>
    <t>Barge - utilization</t>
  </si>
  <si>
    <t>Density to convert from cubic metric to tonnes</t>
  </si>
  <si>
    <t>Factor</t>
  </si>
  <si>
    <t>Implied total barge capacity</t>
  </si>
  <si>
    <t>Metric tonnes per year</t>
  </si>
  <si>
    <t>Implied ships needed to break even</t>
  </si>
  <si>
    <t>Implied utilization for break even</t>
  </si>
  <si>
    <t>WtP per vessel per tonnes of capacity used</t>
  </si>
  <si>
    <t>USD per vessel per tonnes</t>
  </si>
  <si>
    <t>Alternative cost per fossil vessel per tonnes in Methanol equivalent</t>
  </si>
  <si>
    <t>Implied incremental willingness to pay per tonnes</t>
  </si>
  <si>
    <t>Number of vessels using the storage and barge in year 1 of operations</t>
  </si>
  <si>
    <t>Number of vessels using the storage and barge in year 2 of operations</t>
  </si>
  <si>
    <t>Number of vessels using the storage and barge in year 3 of operations</t>
  </si>
  <si>
    <t>Number of vessels using the storage and barge in year 4 of operations</t>
  </si>
  <si>
    <t>Number of vessels using the storage and barge in year 5 of operations</t>
  </si>
  <si>
    <t>Number of vessels using the storage and barge in year 6 of operations</t>
  </si>
  <si>
    <t>Number of vessels using the storage and barge in year 7 of operations</t>
  </si>
  <si>
    <t>Number of vessels using the storage and barge in year 8 of operations</t>
  </si>
  <si>
    <t>Number of vessels using the storage and barge in year 9 of operations</t>
  </si>
  <si>
    <t>Number of vessels using the storage and barge in year 10+ of operations</t>
  </si>
  <si>
    <t>Start period</t>
  </si>
  <si>
    <t>End period</t>
  </si>
  <si>
    <t>Instructions: Click the "+" on the left hand site to see the assumptions for each sub-category</t>
  </si>
  <si>
    <t>Green Corrdior</t>
  </si>
  <si>
    <t>CAPEX</t>
  </si>
  <si>
    <t>Pre-construction total</t>
  </si>
  <si>
    <t>Total USD</t>
  </si>
  <si>
    <t>Construction total</t>
  </si>
  <si>
    <t>OPEX</t>
  </si>
  <si>
    <t>Total opex (all-in-one OPEX)</t>
  </si>
  <si>
    <t>OPEX incl. feedstock</t>
  </si>
  <si>
    <t>Capex incl. feedstock</t>
  </si>
  <si>
    <t>Main fuel - prices</t>
  </si>
  <si>
    <t>Pilot fuel - prices</t>
  </si>
  <si>
    <t>Equity drawdowns</t>
  </si>
  <si>
    <t>Tranche 1 - commercial</t>
  </si>
  <si>
    <t>Debt drawdowns</t>
  </si>
  <si>
    <t>Tranche 2 - government</t>
  </si>
  <si>
    <t>CAPEX - Storage</t>
  </si>
  <si>
    <t>CAPEX - Barge</t>
  </si>
  <si>
    <t>Fossil Corrdior</t>
  </si>
  <si>
    <t>Instructions: Click the "+" on the left hand site to see the calculations for each sub-category</t>
  </si>
  <si>
    <t>0.0 Aggregated view</t>
  </si>
  <si>
    <t>0.0.1 Aggregated cost statement</t>
  </si>
  <si>
    <t>(-)</t>
  </si>
  <si>
    <t>Depreciation and amortization</t>
  </si>
  <si>
    <t>Net financial expenses</t>
  </si>
  <si>
    <t>Total costs before tax</t>
  </si>
  <si>
    <t>(=)</t>
  </si>
  <si>
    <t>Tax</t>
  </si>
  <si>
    <t>Total costs aftertax</t>
  </si>
  <si>
    <t>0.0.2 Aggregated cash flow statement</t>
  </si>
  <si>
    <t>OPEX and D&amp;A costs</t>
  </si>
  <si>
    <t>(+)</t>
  </si>
  <si>
    <t>Add back: depreciation and amortization</t>
  </si>
  <si>
    <t>Change in networking capital</t>
  </si>
  <si>
    <t>Cash flow from operations</t>
  </si>
  <si>
    <t>Free cash flow to Firm (unlevered FCF)</t>
  </si>
  <si>
    <t>Net debt</t>
  </si>
  <si>
    <t>Free cash flow to equity (levered FCF)</t>
  </si>
  <si>
    <t>0.0.3 Present value cash flows</t>
  </si>
  <si>
    <t>Discounted Cash Flow</t>
  </si>
  <si>
    <t>Ports (Port)</t>
  </si>
  <si>
    <t>Ports (Barge)</t>
  </si>
  <si>
    <t>1.1  Project specifics</t>
  </si>
  <si>
    <t>Inflation factor</t>
  </si>
  <si>
    <t>Indicator (1/0)</t>
  </si>
  <si>
    <t>CAPEX for financing:</t>
  </si>
  <si>
    <t>Main fuel purchase</t>
  </si>
  <si>
    <t>Pilot fuel purchase</t>
  </si>
  <si>
    <t>Feedstock</t>
  </si>
  <si>
    <t>OPEX excl. fuel purchase if general assumption but incl. feedstock if opex not known</t>
  </si>
  <si>
    <t>Total OPEX</t>
  </si>
  <si>
    <t>1.4 Financing</t>
  </si>
  <si>
    <t>Total equity drawdown:</t>
  </si>
  <si>
    <t>Tranche 1 financing:</t>
  </si>
  <si>
    <t>Debt drawdown:</t>
  </si>
  <si>
    <t>Annuity start on drawdown 1</t>
  </si>
  <si>
    <t>(1/0)</t>
  </si>
  <si>
    <t>Annuity drawdowns:</t>
  </si>
  <si>
    <t>Annuity start on drawdown 2</t>
  </si>
  <si>
    <t>Annuity start on drawdown 3</t>
  </si>
  <si>
    <t>Annuity start on drawdown 4</t>
  </si>
  <si>
    <t>Annuity start on drawdown 5</t>
  </si>
  <si>
    <t>Annuity start on drawdown 6</t>
  </si>
  <si>
    <t>Annuity start on drawdown 7</t>
  </si>
  <si>
    <t>Annuity start on drawdown 8</t>
  </si>
  <si>
    <t>Annuity start on drawdown 9</t>
  </si>
  <si>
    <t>Annuity start on drawdown 10</t>
  </si>
  <si>
    <t>Debt primo</t>
  </si>
  <si>
    <t>Interest payments</t>
  </si>
  <si>
    <t>Debt installments</t>
  </si>
  <si>
    <t>Total payment - annuity 1</t>
  </si>
  <si>
    <t>Total payment - annuity 2</t>
  </si>
  <si>
    <t>Total payment - annuity 3</t>
  </si>
  <si>
    <t>Total payment - annuity 4</t>
  </si>
  <si>
    <t>Total payment - annuity 5</t>
  </si>
  <si>
    <t>Total payment - annuity 6</t>
  </si>
  <si>
    <t>Total payment - annuity 7</t>
  </si>
  <si>
    <t>Total payment - annuity 8</t>
  </si>
  <si>
    <t>Total payment - annuity 9</t>
  </si>
  <si>
    <t>Total payment - annuity 10</t>
  </si>
  <si>
    <t>Debt ultimo</t>
  </si>
  <si>
    <t>Tranche 2 financing:</t>
  </si>
  <si>
    <t>Cost statement</t>
  </si>
  <si>
    <t>Total costs after tax</t>
  </si>
  <si>
    <t>Cash flow statement</t>
  </si>
  <si>
    <t>Cost gap for the ports</t>
  </si>
  <si>
    <t>Number of vessels in operation (incl. other vessels using port)</t>
  </si>
  <si>
    <t># of vessels in operation</t>
  </si>
  <si>
    <t>Capacity used</t>
  </si>
  <si>
    <t>Price per tonnes per vessel</t>
  </si>
  <si>
    <t>USD/tonnes/vessel/year</t>
  </si>
  <si>
    <t>WtP per vessel per tonnes</t>
  </si>
  <si>
    <t>Alternative cost per fossil vessel per tonnes in MEoH equivalent</t>
  </si>
  <si>
    <t>Incremental delta cost gap</t>
  </si>
  <si>
    <t>Incremental cost gap needed for funding</t>
  </si>
  <si>
    <t>Willingness to pay</t>
  </si>
  <si>
    <t>Incremental willingness to pay</t>
  </si>
  <si>
    <t>Incremental willingness to pay for vessels in corridor</t>
  </si>
  <si>
    <t>3.1  Project specifics</t>
  </si>
  <si>
    <t>Green Corridor costs</t>
  </si>
  <si>
    <t>GFS Surplus</t>
  </si>
  <si>
    <t>USD/tLSFOeq</t>
  </si>
  <si>
    <t>LSFO equivalent</t>
  </si>
  <si>
    <t>Value of  regulatory impact</t>
  </si>
  <si>
    <t>PV of regulatory impact</t>
  </si>
  <si>
    <t>PV USD</t>
  </si>
  <si>
    <t xml:space="preserve">Fossil Corridor costs - pure LSFO </t>
  </si>
  <si>
    <t>GFS (Bio-diesel or RU)</t>
  </si>
  <si>
    <t>Fossil Corridor costs - bio blend strategy</t>
  </si>
  <si>
    <t>Fossil Corridor costs - LNG strategy</t>
  </si>
  <si>
    <t xml:space="preserve"> </t>
  </si>
  <si>
    <t>Green corridor</t>
  </si>
  <si>
    <t>Main fuel energy consumed</t>
  </si>
  <si>
    <t>GJ</t>
  </si>
  <si>
    <t>Pilot fuel energy consumed</t>
  </si>
  <si>
    <t>Amount of hydrogen in fuel in total</t>
  </si>
  <si>
    <t>Kg</t>
  </si>
  <si>
    <t xml:space="preserve">Tax credit per </t>
  </si>
  <si>
    <t>Fuel EU - Green corridor (blended fuel)</t>
  </si>
  <si>
    <t>FuelEU Target Intensity</t>
  </si>
  <si>
    <t>gCO2eq/GJ</t>
  </si>
  <si>
    <t>Blended fuel: Total emissions contribution</t>
  </si>
  <si>
    <t>Blended fuel: Total energy contribution</t>
  </si>
  <si>
    <t>Blended fuel: emission intensity</t>
  </si>
  <si>
    <t>Blended fuel: weighted average LHV</t>
  </si>
  <si>
    <t>Blended fuel: Target - actual (converted)</t>
  </si>
  <si>
    <t>tCO2e abatement/t fuel</t>
  </si>
  <si>
    <t>Blended fuel: Penalty abatement cost</t>
  </si>
  <si>
    <t>USD/tCO2e abatement</t>
  </si>
  <si>
    <t>USD (calculated from ton of LSFOeq)</t>
  </si>
  <si>
    <t>Fuel EU - Fossil corridor (pure LSFO/LNG)</t>
  </si>
  <si>
    <t>Target - actual (converted)</t>
  </si>
  <si>
    <t>Main fuel: Penalty abatement cost</t>
  </si>
  <si>
    <t>Biodiesel blend - Activated</t>
  </si>
  <si>
    <t>Fuel EU and ETS - Fossil corridor (bio-blend)</t>
  </si>
  <si>
    <t>FuelEU</t>
  </si>
  <si>
    <t>LSFO tonnes abatement required per GJ</t>
  </si>
  <si>
    <t>tCO2e abatement/GJ</t>
  </si>
  <si>
    <t>Biodiesel abatement per GJ</t>
  </si>
  <si>
    <t>Share of biodiesel per GJ required</t>
  </si>
  <si>
    <t>% per GJ</t>
  </si>
  <si>
    <t>Implied energy from biodiesel</t>
  </si>
  <si>
    <t>Biodiesel fuel cost premium</t>
  </si>
  <si>
    <t>USD/GJ</t>
  </si>
  <si>
    <t>Biodiesel blend abatement cost</t>
  </si>
  <si>
    <t>USD/ton</t>
  </si>
  <si>
    <t>FuelEU Required CO2e abatement</t>
  </si>
  <si>
    <t>Biodiesel blend abatement cost per tonne of LSFO</t>
  </si>
  <si>
    <t>USD/tonne of LSFO fuel eq</t>
  </si>
  <si>
    <t>EU ETS - impact</t>
  </si>
  <si>
    <t>TtW emissions</t>
  </si>
  <si>
    <t>TtW tCO2e/t fuel</t>
  </si>
  <si>
    <t>TtW emissions with biodiesel blend</t>
  </si>
  <si>
    <t>ETS Price</t>
  </si>
  <si>
    <t>USD/TtW tCO2e</t>
  </si>
  <si>
    <t>ETS savings with biodiesel blend</t>
  </si>
  <si>
    <t>USD/tonne of fuel</t>
  </si>
  <si>
    <t>Biodiesel blend cost with ETS savings</t>
  </si>
  <si>
    <t>LSFO tonnes consumed</t>
  </si>
  <si>
    <t>Bio-diesel tonnes consumed</t>
  </si>
  <si>
    <t>ETS - Green corridor</t>
  </si>
  <si>
    <t>Main fuel</t>
  </si>
  <si>
    <t>Ton of CO2e</t>
  </si>
  <si>
    <t>Pilot fuel</t>
  </si>
  <si>
    <t>ETS price</t>
  </si>
  <si>
    <t>Total ETS price paid</t>
  </si>
  <si>
    <t>ETS - Fossil corridor (pure LSFO/LNG)</t>
  </si>
  <si>
    <t>CO2-abated</t>
  </si>
  <si>
    <t>Share of excess CAPEX covered</t>
  </si>
  <si>
    <t>PV of excess CAPEX</t>
  </si>
  <si>
    <t>Absolute value</t>
  </si>
  <si>
    <t>Applied contribution</t>
  </si>
  <si>
    <t>Share of excess OPEX covered</t>
  </si>
  <si>
    <t>PV of excess OPEX</t>
  </si>
  <si>
    <t>Manual value</t>
  </si>
  <si>
    <t>Applied fee waived</t>
  </si>
  <si>
    <t>Scenario 1:</t>
  </si>
  <si>
    <t>Percentage of fossil costs: Straightline towards 2050 scenario (100% on top of fossil costs)</t>
  </si>
  <si>
    <t>Present value USD/t</t>
  </si>
  <si>
    <t>Percentage on top of fossil costs: Total value covered</t>
  </si>
  <si>
    <t>Incremental cost gap: Straightline towards 2050 scenario - incremental cost</t>
  </si>
  <si>
    <t>Incremental cost gap: Total value covered</t>
  </si>
  <si>
    <t>Scenario 2:</t>
  </si>
  <si>
    <t>Percentage of fossil costs: Straight-line - (100% on top of fossil costs 10 years after model start  )</t>
  </si>
  <si>
    <t>Incremental cost gap: Straight-line - all cargo covered 10 years after model start</t>
  </si>
  <si>
    <t>Scenario 3:</t>
  </si>
  <si>
    <t>Percentage of fossil costs: Staircase increase every 4th year</t>
  </si>
  <si>
    <t>Incremental cost gap: Staircase increase every 4th year</t>
  </si>
  <si>
    <t>Scenario 4:</t>
  </si>
  <si>
    <t>Present value of green premia</t>
  </si>
  <si>
    <t>Calculations</t>
  </si>
  <si>
    <t>Included?</t>
  </si>
  <si>
    <t>GDP contributions</t>
  </si>
  <si>
    <t>USD, nominal values</t>
  </si>
  <si>
    <t>Total GDP contributions</t>
  </si>
  <si>
    <t>Jobs created</t>
  </si>
  <si>
    <t># of jobs</t>
  </si>
  <si>
    <t>Total jobs created</t>
  </si>
  <si>
    <t># of jobs, nominal values</t>
  </si>
  <si>
    <t>Graphs</t>
  </si>
  <si>
    <t>Graph data</t>
  </si>
  <si>
    <t>CAPEX: Fossil fuel production</t>
  </si>
  <si>
    <t>CAPEX: Fossil port - Storage</t>
  </si>
  <si>
    <t>CAPEX: Fossil port - Barge</t>
  </si>
  <si>
    <t>CAPEX: Fossil vessel</t>
  </si>
  <si>
    <t>OPEX: Fossil fuel production</t>
  </si>
  <si>
    <t>OPEX: Fossil port - Storage</t>
  </si>
  <si>
    <t>OPEX: Fossil port - Barge</t>
  </si>
  <si>
    <t>OPEX: Fossil vessel</t>
  </si>
  <si>
    <t>Regulations and WtP</t>
  </si>
  <si>
    <t>Mid-term measures</t>
  </si>
  <si>
    <t>IRA (proxy)</t>
  </si>
  <si>
    <t>Fuel EU / ETS</t>
  </si>
  <si>
    <t>Fuel production WtP</t>
  </si>
  <si>
    <t>Port WtP</t>
  </si>
  <si>
    <t>Vessel WtP</t>
  </si>
  <si>
    <t>Green Cargo WtP</t>
  </si>
  <si>
    <t>Fossil corridor costs + regulations</t>
  </si>
  <si>
    <t>Countries</t>
  </si>
  <si>
    <t>Project risk premium</t>
  </si>
  <si>
    <t>Fuel types</t>
  </si>
  <si>
    <t>Port characteristics</t>
  </si>
  <si>
    <t>Green vessel - total CAPEX and annual OPEX, USD</t>
  </si>
  <si>
    <t>Fossil vessel - total CAPEX and annual OPEX, USD</t>
  </si>
  <si>
    <t>List</t>
  </si>
  <si>
    <t>10y treasury bond yield, %</t>
  </si>
  <si>
    <t>Country risk premium</t>
  </si>
  <si>
    <t>Rating</t>
  </si>
  <si>
    <t>Spread</t>
  </si>
  <si>
    <t>Ton CO2eq/ton fuel (Total emissions - WTW - GWP100)</t>
  </si>
  <si>
    <t>Lower heating value, GJ/ton</t>
  </si>
  <si>
    <t>Kg of hydrogen per GJ of fuel</t>
  </si>
  <si>
    <t>CAPEX, USD/ton/year</t>
  </si>
  <si>
    <t>OPEX, USD/ton/lifetime</t>
  </si>
  <si>
    <t>Emission intensity, gGHG/MJ</t>
  </si>
  <si>
    <t>Subject to EU ETS?</t>
  </si>
  <si>
    <t>Density (from cubic meter to ton)</t>
  </si>
  <si>
    <t>Corridor</t>
  </si>
  <si>
    <t>Capex price per fuel consumed in total per year, USD/ton/lifetime</t>
  </si>
  <si>
    <t>Opex price per fuel consumed in total per year, USD/ton/year</t>
  </si>
  <si>
    <t>Vessels</t>
  </si>
  <si>
    <t>SizeUnit</t>
  </si>
  <si>
    <t>Size</t>
  </si>
  <si>
    <t>Cargo unit</t>
  </si>
  <si>
    <t>Conversion to tonnes or passengers</t>
  </si>
  <si>
    <t>Total transported weight, tonnes or passengers</t>
  </si>
  <si>
    <t>Source</t>
  </si>
  <si>
    <t>Avg. Speed (knots)</t>
  </si>
  <si>
    <t>Knots to nautic miles</t>
  </si>
  <si>
    <t>Propulsion power</t>
  </si>
  <si>
    <t>Thermal efficiency</t>
  </si>
  <si>
    <t>Days at sea</t>
  </si>
  <si>
    <t>Electricity and heat consumption, GJ</t>
  </si>
  <si>
    <t>Fuel consumption, GJ</t>
  </si>
  <si>
    <t>Energy consumed per km traveled, GJ</t>
  </si>
  <si>
    <t>Green vessel</t>
  </si>
  <si>
    <t>Fossil vessel</t>
  </si>
  <si>
    <t>Total CapEx per vessel</t>
  </si>
  <si>
    <t>Total non-fuel OpEx per vessel</t>
  </si>
  <si>
    <t>Country</t>
  </si>
  <si>
    <t>Value chain</t>
  </si>
  <si>
    <t>Sector assumed</t>
  </si>
  <si>
    <t>GDP-multiplier</t>
  </si>
  <si>
    <t>Jobs added per 1 USD investment</t>
  </si>
  <si>
    <t>Global</t>
  </si>
  <si>
    <t>D</t>
  </si>
  <si>
    <t>e-hydrogen (liquefied)</t>
  </si>
  <si>
    <t>Hydrogen</t>
  </si>
  <si>
    <t>Green</t>
  </si>
  <si>
    <t>Container (3500 TEU)</t>
  </si>
  <si>
    <t>3500 TEU</t>
  </si>
  <si>
    <t>TEU</t>
  </si>
  <si>
    <t>1 TEU max capacity is net 14 tonnes</t>
  </si>
  <si>
    <t>Argentina</t>
  </si>
  <si>
    <t>Water transport</t>
  </si>
  <si>
    <t>Austria</t>
  </si>
  <si>
    <t>Europe</t>
  </si>
  <si>
    <t>C</t>
  </si>
  <si>
    <t>e-hydrogen (compressed)</t>
  </si>
  <si>
    <t>8000 TEU</t>
  </si>
  <si>
    <t>Belgium</t>
  </si>
  <si>
    <t>CC</t>
  </si>
  <si>
    <t>DF Ammonia</t>
  </si>
  <si>
    <t>Fossil</t>
  </si>
  <si>
    <t>Container (15000 TEU)</t>
  </si>
  <si>
    <t>15000 TEU</t>
  </si>
  <si>
    <t>Brazil</t>
  </si>
  <si>
    <t>Americas</t>
  </si>
  <si>
    <t>CCC</t>
  </si>
  <si>
    <t>e-methanol (DAC)</t>
  </si>
  <si>
    <t>DF Methanol</t>
  </si>
  <si>
    <t>Bulk carrier (Handy)</t>
  </si>
  <si>
    <t>35k dwt</t>
  </si>
  <si>
    <t>dwt</t>
  </si>
  <si>
    <t xml:space="preserve">1 dwt is 0,95 tonnes capacity </t>
  </si>
  <si>
    <t>Bangladesh</t>
  </si>
  <si>
    <t>Canada</t>
  </si>
  <si>
    <t>B-</t>
  </si>
  <si>
    <t>e-methanol (PS)</t>
  </si>
  <si>
    <t>75k dwt</t>
  </si>
  <si>
    <t>Belarus</t>
  </si>
  <si>
    <t>B</t>
  </si>
  <si>
    <t>Blue ammonia (CCS)</t>
  </si>
  <si>
    <t>Bulk carrier (Capesize)</t>
  </si>
  <si>
    <t>200k dwt</t>
  </si>
  <si>
    <t>China</t>
  </si>
  <si>
    <t>Asia</t>
  </si>
  <si>
    <t>B+</t>
  </si>
  <si>
    <t>Bio-methanol</t>
  </si>
  <si>
    <t>Tanker (35k dwt)</t>
  </si>
  <si>
    <t>Colombia</t>
  </si>
  <si>
    <t>BB</t>
  </si>
  <si>
    <t>e-methane liquefied (DAC)</t>
  </si>
  <si>
    <t>DF Methane</t>
  </si>
  <si>
    <t>Tanker (100k dwt)</t>
  </si>
  <si>
    <t>100k dwt</t>
  </si>
  <si>
    <t>Brunei Darussalam</t>
  </si>
  <si>
    <t>Croatia</t>
  </si>
  <si>
    <t>BB+</t>
  </si>
  <si>
    <t>e-methane liquefied (PS)</t>
  </si>
  <si>
    <t>Tanker (300k dwt)</t>
  </si>
  <si>
    <t>300k dwt</t>
  </si>
  <si>
    <t>Bulgaria</t>
  </si>
  <si>
    <t>Denmark</t>
  </si>
  <si>
    <t>BBB</t>
  </si>
  <si>
    <t>e-diesel (DAC)</t>
  </si>
  <si>
    <t>MF Diesel</t>
  </si>
  <si>
    <t>RoRo (4000 CEU)</t>
  </si>
  <si>
    <t>4000 CEU</t>
  </si>
  <si>
    <t>CEU</t>
  </si>
  <si>
    <t>1 CEU (Car equivalent unit) is net 2 tonnes</t>
  </si>
  <si>
    <t>Cambodia</t>
  </si>
  <si>
    <t>Finland</t>
  </si>
  <si>
    <t>A-</t>
  </si>
  <si>
    <t>e-diesel (PS)</t>
  </si>
  <si>
    <t>RoRo (7000 CEU)</t>
  </si>
  <si>
    <t>7000 CEU</t>
  </si>
  <si>
    <t>Cameroon</t>
  </si>
  <si>
    <t>France</t>
  </si>
  <si>
    <t>A</t>
  </si>
  <si>
    <t>Bio-methane (liquefied)</t>
  </si>
  <si>
    <t>Gas Carrier, LNG</t>
  </si>
  <si>
    <t>100k cbm</t>
  </si>
  <si>
    <t>cbm</t>
  </si>
  <si>
    <t>Weight per 1 cbm: ~450–470 kg/cbm</t>
  </si>
  <si>
    <t>Germany</t>
  </si>
  <si>
    <t>A+</t>
  </si>
  <si>
    <t>Bio-diesel (HTL)</t>
  </si>
  <si>
    <t>N/A</t>
  </si>
  <si>
    <t>Cruise (25k GT)</t>
  </si>
  <si>
    <t xml:space="preserve">25k GT </t>
  </si>
  <si>
    <t xml:space="preserve">GT </t>
  </si>
  <si>
    <t>Assuming ~1,000 passengers and avg. person weight is 75kg</t>
  </si>
  <si>
    <t>Greece</t>
  </si>
  <si>
    <t>AA</t>
  </si>
  <si>
    <t>Bio-diesel (Pyrolysis)</t>
  </si>
  <si>
    <t>Cruise (100k GT)</t>
  </si>
  <si>
    <t xml:space="preserve">100k GT </t>
  </si>
  <si>
    <t>Assuming ~4,000 passengers and avg. person weight is 75kg</t>
  </si>
  <si>
    <t>Hungary</t>
  </si>
  <si>
    <t>AAA</t>
  </si>
  <si>
    <t>LNG</t>
  </si>
  <si>
    <t>Cruise (175k GT)</t>
  </si>
  <si>
    <t xml:space="preserve">175k GT </t>
  </si>
  <si>
    <t>Assuming ~7,000 passengers and avg. person weight is 75kg</t>
  </si>
  <si>
    <t>Iceland</t>
  </si>
  <si>
    <t>Assumed risk</t>
  </si>
  <si>
    <t>Fast Ferry</t>
  </si>
  <si>
    <t>1000 GT</t>
  </si>
  <si>
    <t>GT</t>
  </si>
  <si>
    <t>Assuming ~350 passengers and avg. person weight is 75kg</t>
  </si>
  <si>
    <t>Costa Rica</t>
  </si>
  <si>
    <t>India</t>
  </si>
  <si>
    <t>Ferry</t>
  </si>
  <si>
    <t>Assuming ~600 passengers and avg. person weight is 75kg</t>
  </si>
  <si>
    <t>Cote D'Ivoire</t>
  </si>
  <si>
    <t>Indonesia</t>
  </si>
  <si>
    <t>General Cargo</t>
  </si>
  <si>
    <t>10k dwt</t>
  </si>
  <si>
    <t>Ireland</t>
  </si>
  <si>
    <t>Cyprus</t>
  </si>
  <si>
    <t>Israel</t>
  </si>
  <si>
    <t>Middle East</t>
  </si>
  <si>
    <t>Czech Republic</t>
  </si>
  <si>
    <t>Italy</t>
  </si>
  <si>
    <t>Japan</t>
  </si>
  <si>
    <t>Egypt</t>
  </si>
  <si>
    <t>Lithuania</t>
  </si>
  <si>
    <t>Estonia</t>
  </si>
  <si>
    <t>Malaysia</t>
  </si>
  <si>
    <t>Mexico</t>
  </si>
  <si>
    <t>Netherlands</t>
  </si>
  <si>
    <t>New Zealand</t>
  </si>
  <si>
    <t>Nigeria</t>
  </si>
  <si>
    <t>Africa</t>
  </si>
  <si>
    <t>Hong Kong</t>
  </si>
  <si>
    <t>Norway</t>
  </si>
  <si>
    <t>Pakistan</t>
  </si>
  <si>
    <t>Philippines</t>
  </si>
  <si>
    <t>Poland</t>
  </si>
  <si>
    <t>Portugal</t>
  </si>
  <si>
    <t>Romania</t>
  </si>
  <si>
    <t>Russia</t>
  </si>
  <si>
    <t>Singapore</t>
  </si>
  <si>
    <t>Slovak Republic</t>
  </si>
  <si>
    <t>Jordan</t>
  </si>
  <si>
    <t>Slovenia</t>
  </si>
  <si>
    <t>Kazakhstan</t>
  </si>
  <si>
    <t>South Africa</t>
  </si>
  <si>
    <t>Laos</t>
  </si>
  <si>
    <t>South Korea</t>
  </si>
  <si>
    <t>Latvia</t>
  </si>
  <si>
    <t>Spain</t>
  </si>
  <si>
    <t>Sweden</t>
  </si>
  <si>
    <t>Luxembourg</t>
  </si>
  <si>
    <t>Switzerland</t>
  </si>
  <si>
    <t>Turkey</t>
  </si>
  <si>
    <t>Malta</t>
  </si>
  <si>
    <t>United Kingdom</t>
  </si>
  <si>
    <t>United States</t>
  </si>
  <si>
    <t>Morocco</t>
  </si>
  <si>
    <t>Vietnam</t>
  </si>
  <si>
    <t>Myanmar</t>
  </si>
  <si>
    <t>Peru</t>
  </si>
  <si>
    <t>Saudi Arabia</t>
  </si>
  <si>
    <t>Senegal</t>
  </si>
  <si>
    <t>Taiwan</t>
  </si>
  <si>
    <t>Thailand</t>
  </si>
  <si>
    <t>Tunisia</t>
  </si>
  <si>
    <t>Ukraine</t>
  </si>
  <si>
    <t>Warehousing and support activities for transportation</t>
  </si>
  <si>
    <t>Chemical and chemical products</t>
  </si>
  <si>
    <t>Container (3500 TEU) - Item - Unit</t>
  </si>
  <si>
    <t>Item</t>
  </si>
  <si>
    <t>Container (3500 TEU) - Nominal capacity - TEU</t>
  </si>
  <si>
    <t>Nominal capacity</t>
  </si>
  <si>
    <t>Container (3500 TEU) - Days at sea - Days</t>
  </si>
  <si>
    <t>Days</t>
  </si>
  <si>
    <t>Container (3500 TEU) - Average speed - knots</t>
  </si>
  <si>
    <t>Average speed</t>
  </si>
  <si>
    <t>knots</t>
  </si>
  <si>
    <t>Container (3500 TEU) - Main engine thermal efficiency - MF Diesel - %</t>
  </si>
  <si>
    <t>Main engine thermal efficiency - MF Diesel</t>
  </si>
  <si>
    <t>Container (3500 TEU) - Main engine thermal efficiency - DF Methane - %</t>
  </si>
  <si>
    <t>Main engine thermal efficiency - DF Methane</t>
  </si>
  <si>
    <t>Container (3500 TEU) - Main engine thermal efficiency - DF Methanol - %</t>
  </si>
  <si>
    <t>Main engine thermal efficiency - DF Methanol</t>
  </si>
  <si>
    <t>Container (3500 TEU) - Main engine thermal efficiency - DF Ammonia - %</t>
  </si>
  <si>
    <t>Main engine thermal efficiency - DF Ammonia</t>
  </si>
  <si>
    <t>Container (3500 TEU) - Main engine pilot fuel share - MF Diesel - % energy</t>
  </si>
  <si>
    <t>Main engine pilot fuel share - MF Diesel</t>
  </si>
  <si>
    <t>% energy</t>
  </si>
  <si>
    <t>Container (3500 TEU) - Main engine pilot fuel share - DF Methane - % energy</t>
  </si>
  <si>
    <t>Main engine pilot fuel share - DF Methane</t>
  </si>
  <si>
    <t>Container (3500 TEU) - Main engine pilot fuel share - DF Methanol - % energy</t>
  </si>
  <si>
    <t>Main engine pilot fuel share - DF Methanol</t>
  </si>
  <si>
    <t>Container (3500 TEU) - Main engine pilot fuel share - DF Ammonia - % energy</t>
  </si>
  <si>
    <t>Main engine pilot fuel share - DF Ammonia</t>
  </si>
  <si>
    <t>Container (3500 TEU) - Total fuel consumption for electricity - GJ</t>
  </si>
  <si>
    <t>Total fuel consumption for electricity</t>
  </si>
  <si>
    <t>Container (3500 TEU) - Total fuel consumption for heat - GJ</t>
  </si>
  <si>
    <t>Total fuel consumption for heat</t>
  </si>
  <si>
    <t>Container (3500 TEU) - Total CapEx per vessel - MF Diesel - USDm</t>
  </si>
  <si>
    <t>Total CapEx per vessel - MF Diesel</t>
  </si>
  <si>
    <t>USDm</t>
  </si>
  <si>
    <t>Container (3500 TEU) - Total non-fuel OpEx per vessel - MF Diesel - USDm/year</t>
  </si>
  <si>
    <t>Total non-fuel OpEx per vessel - MF Diesel</t>
  </si>
  <si>
    <t>USDm/year</t>
  </si>
  <si>
    <t>Container (3500 TEU) - Total CapEx per vessel - DF Methane - USDm</t>
  </si>
  <si>
    <t>Total CapEx per vessel - DF Methane</t>
  </si>
  <si>
    <t>Container (3500 TEU) - Total non-fuel OpEx per vessel - DF Methane - USDm/year</t>
  </si>
  <si>
    <t>Total non-fuel OpEx per vessel - DF Methane</t>
  </si>
  <si>
    <t>Container (3500 TEU) - Total CapEx per vessel - DF Methanol - USDm</t>
  </si>
  <si>
    <t>Total CapEx per vessel - DF Methanol</t>
  </si>
  <si>
    <t>Container (3500 TEU) - Total non-fuel OpEx per vessel - DF Methanol - USDm/year</t>
  </si>
  <si>
    <t>Total non-fuel OpEx per vessel - DF Methanol</t>
  </si>
  <si>
    <t>Container (3500 TEU) - Total CapEx per vessel - DF Ammonia - USDm</t>
  </si>
  <si>
    <t>Total CapEx per vessel - DF Ammonia</t>
  </si>
  <si>
    <t>Container (3500 TEU) - Total non-fuel OpEx per vessel - DF Ammonia - USDm/year</t>
  </si>
  <si>
    <t>Total non-fuel OpEx per vessel - DF Ammonia</t>
  </si>
  <si>
    <t/>
  </si>
  <si>
    <t>Container (8000 TEU) - Item - Unit</t>
  </si>
  <si>
    <t>Container (8000 TEU) - Nominal capacity - TEU</t>
  </si>
  <si>
    <t>Container (8000 TEU) - Days at sea - Days</t>
  </si>
  <si>
    <t>Container (8000 TEU) - Average speed - knots</t>
  </si>
  <si>
    <t>Container (8000 TEU) - Main engine thermal efficiency - MF Diesel - %</t>
  </si>
  <si>
    <t>Container (8000 TEU) - Main engine thermal efficiency - DF Methane - %</t>
  </si>
  <si>
    <t>Container (8000 TEU) - Main engine thermal efficiency - DF Methanol - %</t>
  </si>
  <si>
    <t>Container (8000 TEU) - Main engine thermal efficiency - DF Ammonia - %</t>
  </si>
  <si>
    <t>Container (8000 TEU) - Main engine pilot fuel share - MF Diesel - % energy</t>
  </si>
  <si>
    <t>Container (8000 TEU) - Main engine pilot fuel share - DF Methane - % energy</t>
  </si>
  <si>
    <t>Container (8000 TEU) - Main engine pilot fuel share - DF Methanol - % energy</t>
  </si>
  <si>
    <t>Container (8000 TEU) - Main engine pilot fuel share - DF Ammonia - % energy</t>
  </si>
  <si>
    <t>Container (8000 TEU) - Total fuel consumption for electricity - GJ</t>
  </si>
  <si>
    <t>Container (8000 TEU) - Total fuel consumption for heat - GJ</t>
  </si>
  <si>
    <t>Container (8000 TEU) - Total CapEx per vessel - MF Diesel - USDm</t>
  </si>
  <si>
    <t>Container (8000 TEU) - Total non-fuel OpEx per vessel - MF Diesel - USDm/year</t>
  </si>
  <si>
    <t>Container (8000 TEU) - Total CapEx per vessel - DF Methane - USDm</t>
  </si>
  <si>
    <t>Container (8000 TEU) - Total non-fuel OpEx per vessel - DF Methane - USDm/year</t>
  </si>
  <si>
    <t>Container (8000 TEU) - Total CapEx per vessel - DF Methanol - USDm</t>
  </si>
  <si>
    <t>Container (8000 TEU) - Total non-fuel OpEx per vessel - DF Methanol - USDm/year</t>
  </si>
  <si>
    <t>Container (8000 TEU) - Total CapEx per vessel - DF Ammonia - USDm</t>
  </si>
  <si>
    <t>Container (8000 TEU) - Total non-fuel OpEx per vessel - DF Ammonia - USDm/year</t>
  </si>
  <si>
    <t>Container (15000 TEU) - Item - Unit</t>
  </si>
  <si>
    <t>Container (15000 TEU) - Nominal capacity - TEU</t>
  </si>
  <si>
    <t>Container (15000 TEU) - Days at sea - Days</t>
  </si>
  <si>
    <t>Container (15000 TEU) - Average speed - knots</t>
  </si>
  <si>
    <t>Container (15000 TEU) - Main engine thermal efficiency - MF Diesel - %</t>
  </si>
  <si>
    <t>Container (15000 TEU) - Main engine thermal efficiency - DF Methane - %</t>
  </si>
  <si>
    <t>Container (15000 TEU) - Main engine thermal efficiency - DF Methanol - %</t>
  </si>
  <si>
    <t>Container (15000 TEU) - Main engine thermal efficiency - DF Ammonia - %</t>
  </si>
  <si>
    <t>Container (15000 TEU) - Main engine pilot fuel share - MF Diesel - % energy</t>
  </si>
  <si>
    <t>Container (15000 TEU) - Main engine pilot fuel share - DF Methane - % energy</t>
  </si>
  <si>
    <t>Container (15000 TEU) - Main engine pilot fuel share - DF Methanol - % energy</t>
  </si>
  <si>
    <t>Container (15000 TEU) - Main engine pilot fuel share - DF Ammonia - % energy</t>
  </si>
  <si>
    <t>Container (15000 TEU) - Total fuel consumption for electricity - GJ</t>
  </si>
  <si>
    <t>Container (15000 TEU) - Total fuel consumption for heat - GJ</t>
  </si>
  <si>
    <t>Container (15000 TEU) - Total CapEx per vessel - MF Diesel - USDm</t>
  </si>
  <si>
    <t>Container (15000 TEU) - Total non-fuel OpEx per vessel - MF Diesel - USDm/year</t>
  </si>
  <si>
    <t>Container (15000 TEU) - Total CapEx per vessel - DF Methane - USDm</t>
  </si>
  <si>
    <t>Container (15000 TEU) - Total non-fuel OpEx per vessel - DF Methane - USDm/year</t>
  </si>
  <si>
    <t>Container (15000 TEU) - Total CapEx per vessel - DF Methanol - USDm</t>
  </si>
  <si>
    <t>Container (15000 TEU) - Total non-fuel OpEx per vessel - DF Methanol - USDm/year</t>
  </si>
  <si>
    <t>Container (15000 TEU) - Total CapEx per vessel - DF Ammonia - USDm</t>
  </si>
  <si>
    <t>Container (15000 TEU) - Total non-fuel OpEx per vessel - DF Ammonia - USDm/year</t>
  </si>
  <si>
    <t>Bulk carrier (Handy) - Item - Unit</t>
  </si>
  <si>
    <t>Bulk carrier (Handy) - Nominal capacity - dwt</t>
  </si>
  <si>
    <t>Bulk carrier (Handy) - Days at sea - Days</t>
  </si>
  <si>
    <t>Bulk carrier (Handy) - Average speed - knots</t>
  </si>
  <si>
    <t>Bulk carrier (Handy) - Main engine thermal efficiency - MF Diesel - %</t>
  </si>
  <si>
    <t>Bulk carrier (Handy) - Main engine thermal efficiency - DF Methane - %</t>
  </si>
  <si>
    <t>Bulk carrier (Handy) - Main engine thermal efficiency - DF Methanol - %</t>
  </si>
  <si>
    <t>Bulk carrier (Handy) - Main engine thermal efficiency - DF Ammonia - %</t>
  </si>
  <si>
    <t>Bulk carrier (Handy) - Main engine pilot fuel share - MF Diesel - % energy</t>
  </si>
  <si>
    <t>Bulk carrier (Handy) - Main engine pilot fuel share - DF Methane - % energy</t>
  </si>
  <si>
    <t>Bulk carrier (Handy) - Main engine pilot fuel share - DF Methanol - % energy</t>
  </si>
  <si>
    <t>Bulk carrier (Handy) - Main engine pilot fuel share - DF Ammonia - % energy</t>
  </si>
  <si>
    <t>Bulk carrier (Handy) - Total fuel consumption for electricity - GJ</t>
  </si>
  <si>
    <t>Bulk carrier (Handy) - Total fuel consumption for heat - GJ</t>
  </si>
  <si>
    <t>Bulk carrier (Handy) - Total CapEx per vessel - MF Diesel - USDm</t>
  </si>
  <si>
    <t>Bulk carrier (Handy) - Total non-fuel OpEx per vessel - MF Diesel - USDm/year</t>
  </si>
  <si>
    <t>Bulk carrier (Handy) - Total CapEx per vessel - DF Methane - USDm</t>
  </si>
  <si>
    <t>Bulk carrier (Handy) - Total non-fuel OpEx per vessel - DF Methane - USDm/year</t>
  </si>
  <si>
    <t>Bulk carrier (Handy) - Total CapEx per vessel - DF Methanol - USDm</t>
  </si>
  <si>
    <t>Bulk carrier (Handy) - Total non-fuel OpEx per vessel - DF Methanol - USDm/year</t>
  </si>
  <si>
    <t>Bulk carrier (Handy) - Total CapEx per vessel - DF Ammonia - USDm</t>
  </si>
  <si>
    <t>Bulk carrier (Handy) - Total non-fuel OpEx per vessel - DF Ammonia - USDm/year</t>
  </si>
  <si>
    <t>Bulk carrier (Panamax) - Item - Unit</t>
  </si>
  <si>
    <t>Bulk carrier (Panamax) - Nominal capacity - dwt</t>
  </si>
  <si>
    <t>Bulk carrier (Panamax) - Days at sea - Days</t>
  </si>
  <si>
    <t>Bulk carrier (Panamax) - Average speed - knots</t>
  </si>
  <si>
    <t>Bulk carrier (Panamax) - Main engine thermal efficiency - MF Diesel - %</t>
  </si>
  <si>
    <t>Bulk carrier (Panamax) - Main engine thermal efficiency - DF Methane - %</t>
  </si>
  <si>
    <t>Bulk carrier (Panamax) - Main engine thermal efficiency - DF Methanol - %</t>
  </si>
  <si>
    <t>Bulk carrier (Panamax) - Main engine thermal efficiency - DF Ammonia - %</t>
  </si>
  <si>
    <t>Bulk carrier (Panamax) - Main engine pilot fuel share - MF Diesel - % energy</t>
  </si>
  <si>
    <t>Bulk carrier (Panamax) - Main engine pilot fuel share - DF Methane - % energy</t>
  </si>
  <si>
    <t>Bulk carrier (Panamax) - Main engine pilot fuel share - DF Methanol - % energy</t>
  </si>
  <si>
    <t>Bulk carrier (Panamax) - Main engine pilot fuel share - DF Ammonia - % energy</t>
  </si>
  <si>
    <t>Bulk carrier (Panamax) - Total fuel consumption for electricity - GJ</t>
  </si>
  <si>
    <t>Bulk carrier (Panamax) - Total fuel consumption for heat - GJ</t>
  </si>
  <si>
    <t>Bulk carrier (Panamax) - Total CapEx per vessel - MF Diesel - USDm</t>
  </si>
  <si>
    <t>Bulk carrier (Panamax) - Total non-fuel OpEx per vessel - MF Diesel - USDm/year</t>
  </si>
  <si>
    <t>Bulk carrier (Panamax) - Total CapEx per vessel - DF Methane - USDm</t>
  </si>
  <si>
    <t>Bulk carrier (Panamax) - Total non-fuel OpEx per vessel - DF Methane - USDm/year</t>
  </si>
  <si>
    <t>Bulk carrier (Panamax) - Total CapEx per vessel - DF Methanol - USDm</t>
  </si>
  <si>
    <t>Bulk carrier (Panamax) - Total non-fuel OpEx per vessel - DF Methanol - USDm/year</t>
  </si>
  <si>
    <t>Bulk carrier (Panamax) - Total CapEx per vessel - DF Ammonia - USDm</t>
  </si>
  <si>
    <t>Bulk carrier (Panamax) - Total non-fuel OpEx per vessel - DF Ammonia - USDm/year</t>
  </si>
  <si>
    <t>Bulk carrier (Capesize) - Item - Unit</t>
  </si>
  <si>
    <t>Bulk carrier (Capesize) - Nominal capacity - dwt</t>
  </si>
  <si>
    <t>Bulk carrier (Capesize) - Days at sea - Days</t>
  </si>
  <si>
    <t>Bulk carrier (Capesize) - Average speed - knots</t>
  </si>
  <si>
    <t>Bulk carrier (Capesize) - Main engine thermal efficiency - MF Diesel - %</t>
  </si>
  <si>
    <t>Bulk carrier (Capesize) - Main engine thermal efficiency - DF Methane - %</t>
  </si>
  <si>
    <t>Bulk carrier (Capesize) - Main engine thermal efficiency - DF Methanol - %</t>
  </si>
  <si>
    <t>Bulk carrier (Capesize) - Main engine thermal efficiency - DF Ammonia - %</t>
  </si>
  <si>
    <t>Bulk carrier (Capesize) - Main engine pilot fuel share - MF Diesel - % energy</t>
  </si>
  <si>
    <t>Bulk carrier (Capesize) - Main engine pilot fuel share - DF Methane - % energy</t>
  </si>
  <si>
    <t>Bulk carrier (Capesize) - Main engine pilot fuel share - DF Methanol - % energy</t>
  </si>
  <si>
    <t>Bulk carrier (Capesize) - Main engine pilot fuel share - DF Ammonia - % energy</t>
  </si>
  <si>
    <t>Bulk carrier (Capesize) - Total fuel consumption for electricity - GJ</t>
  </si>
  <si>
    <t>Bulk carrier (Capesize) - Total fuel consumption for heat - GJ</t>
  </si>
  <si>
    <t>Bulk carrier (Capesize) - Total CapEx per vessel - MF Diesel - USDm</t>
  </si>
  <si>
    <t>Bulk carrier (Capesize) - Total non-fuel OpEx per vessel - MF Diesel - USDm/year</t>
  </si>
  <si>
    <t>Bulk carrier (Capesize) - Total CapEx per vessel - DF Methane - USDm</t>
  </si>
  <si>
    <t>Bulk carrier (Capesize) - Total non-fuel OpEx per vessel - DF Methane - USDm/year</t>
  </si>
  <si>
    <t>Bulk carrier (Capesize) - Total CapEx per vessel - DF Methanol - USDm</t>
  </si>
  <si>
    <t>Bulk carrier (Capesize) - Total non-fuel OpEx per vessel - DF Methanol - USDm/year</t>
  </si>
  <si>
    <t>Bulk carrier (Capesize) - Total CapEx per vessel - DF Ammonia - USDm</t>
  </si>
  <si>
    <t>Bulk carrier (Capesize) - Total non-fuel OpEx per vessel - DF Ammonia - USDm/year</t>
  </si>
  <si>
    <t>Tanker (35k dwt) - Item - Unit</t>
  </si>
  <si>
    <t>Tanker (35k dwt) - Nominal capacity - dwt</t>
  </si>
  <si>
    <t>Tanker (35k dwt) - Days at sea - Days</t>
  </si>
  <si>
    <t>Tanker (35k dwt) - Average speed - knots</t>
  </si>
  <si>
    <t>Tanker (35k dwt) - Main engine thermal efficiency - MF Diesel - %</t>
  </si>
  <si>
    <t>Tanker (35k dwt) - Main engine thermal efficiency - DF Methane - %</t>
  </si>
  <si>
    <t>Tanker (35k dwt) - Main engine thermal efficiency - DF Methanol - %</t>
  </si>
  <si>
    <t>Tanker (35k dwt) - Main engine thermal efficiency - DF Ammonia - %</t>
  </si>
  <si>
    <t>Tanker (35k dwt) - Main engine pilot fuel share - MF Diesel - % energy</t>
  </si>
  <si>
    <t>Tanker (35k dwt) - Main engine pilot fuel share - DF Methane - % energy</t>
  </si>
  <si>
    <t>Tanker (35k dwt) - Main engine pilot fuel share - DF Methanol - % energy</t>
  </si>
  <si>
    <t>Tanker (35k dwt) - Main engine pilot fuel share - DF Ammonia - % energy</t>
  </si>
  <si>
    <t>Tanker (35k dwt) - Total fuel consumption for electricity - GJ</t>
  </si>
  <si>
    <t>Tanker (35k dwt) - Total fuel consumption for heat - GJ</t>
  </si>
  <si>
    <t>Tanker (35k dwt) - Total CapEx per vessel - MF Diesel - USDm</t>
  </si>
  <si>
    <t>Tanker (35k dwt) - Total non-fuel OpEx per vessel - MF Diesel - USDm/year</t>
  </si>
  <si>
    <t>Tanker (35k dwt) - Total CapEx per vessel - DF Methane - USDm</t>
  </si>
  <si>
    <t>Tanker (35k dwt) - Total non-fuel OpEx per vessel - DF Methane - USDm/year</t>
  </si>
  <si>
    <t>Tanker (35k dwt) - Total CapEx per vessel - DF Methanol - USDm</t>
  </si>
  <si>
    <t>Tanker (35k dwt) - Total non-fuel OpEx per vessel - DF Methanol - USDm/year</t>
  </si>
  <si>
    <t>Tanker (35k dwt) - Total CapEx per vessel - DF Ammonia - USDm</t>
  </si>
  <si>
    <t>Tanker (35k dwt) - Total non-fuel OpEx per vessel - DF Ammonia - USDm/year</t>
  </si>
  <si>
    <t>Tanker (100k dwt) - Item - Unit</t>
  </si>
  <si>
    <t>Tanker (100k dwt) - Nominal capacity - dwt</t>
  </si>
  <si>
    <t>Tanker (100k dwt) - Days at sea - Days</t>
  </si>
  <si>
    <t>Tanker (100k dwt) - Average speed - knots</t>
  </si>
  <si>
    <t>Tanker (100k dwt) - Main engine thermal efficiency - MF Diesel - %</t>
  </si>
  <si>
    <t>Tanker (100k dwt) - Main engine thermal efficiency - DF Methane - %</t>
  </si>
  <si>
    <t>Tanker (100k dwt) - Main engine thermal efficiency - DF Methanol - %</t>
  </si>
  <si>
    <t>Tanker (100k dwt) - Main engine thermal efficiency - DF Ammonia - %</t>
  </si>
  <si>
    <t>Tanker (100k dwt) - Main engine pilot fuel share - MF Diesel - % energy</t>
  </si>
  <si>
    <t>Tanker (100k dwt) - Main engine pilot fuel share - DF Methane - % energy</t>
  </si>
  <si>
    <t>Tanker (100k dwt) - Main engine pilot fuel share - DF Methanol - % energy</t>
  </si>
  <si>
    <t>Tanker (100k dwt) - Main engine pilot fuel share - DF Ammonia - % energy</t>
  </si>
  <si>
    <t>Tanker (100k dwt) - Total fuel consumption for electricity - GJ</t>
  </si>
  <si>
    <t>Tanker (100k dwt) - Total fuel consumption for heat - GJ</t>
  </si>
  <si>
    <t>Tanker (100k dwt) - Total CapEx per vessel - MF Diesel - USDm</t>
  </si>
  <si>
    <t>Tanker (100k dwt) - Total non-fuel OpEx per vessel - MF Diesel - USDm/year</t>
  </si>
  <si>
    <t>Tanker (100k dwt) - Total CapEx per vessel - DF Methane - USDm</t>
  </si>
  <si>
    <t>Tanker (100k dwt) - Total non-fuel OpEx per vessel - DF Methane - USDm/year</t>
  </si>
  <si>
    <t>Tanker (100k dwt) - Total CapEx per vessel - DF Methanol - USDm</t>
  </si>
  <si>
    <t>Tanker (100k dwt) - Total non-fuel OpEx per vessel - DF Methanol - USDm/year</t>
  </si>
  <si>
    <t>Tanker (100k dwt) - Total CapEx per vessel - DF Ammonia - USDm</t>
  </si>
  <si>
    <t>Tanker (100k dwt) - Total non-fuel OpEx per vessel - DF Ammonia - USDm/year</t>
  </si>
  <si>
    <t>Tanker (300k dwt) - Item - Unit</t>
  </si>
  <si>
    <t>Tanker (300k dwt) - Nominal capacity - dwt</t>
  </si>
  <si>
    <t>Tanker (300k dwt) - Days at sea - Days</t>
  </si>
  <si>
    <t>Tanker (300k dwt) - Average speed - knots</t>
  </si>
  <si>
    <t>Tanker (300k dwt) - Main engine thermal efficiency - MF Diesel - %</t>
  </si>
  <si>
    <t>Tanker (300k dwt) - Main engine thermal efficiency - DF Methane - %</t>
  </si>
  <si>
    <t>Tanker (300k dwt) - Main engine thermal efficiency - DF Methanol - %</t>
  </si>
  <si>
    <t>Tanker (300k dwt) - Main engine thermal efficiency - DF Ammonia - %</t>
  </si>
  <si>
    <t>Tanker (300k dwt) - Main engine pilot fuel share - MF Diesel - % energy</t>
  </si>
  <si>
    <t>Tanker (300k dwt) - Main engine pilot fuel share - DF Methane - % energy</t>
  </si>
  <si>
    <t>Tanker (300k dwt) - Main engine pilot fuel share - DF Methanol - % energy</t>
  </si>
  <si>
    <t>Tanker (300k dwt) - Main engine pilot fuel share - DF Ammonia - % energy</t>
  </si>
  <si>
    <t>Tanker (300k dwt) - Total fuel consumption for electricity - GJ</t>
  </si>
  <si>
    <t>Tanker (300k dwt) - Total fuel consumption for heat - GJ</t>
  </si>
  <si>
    <t>Tanker (300k dwt) - Total CapEx per vessel - MF Diesel - USDm</t>
  </si>
  <si>
    <t>Tanker (300k dwt) - Total non-fuel OpEx per vessel - MF Diesel - USDm/year</t>
  </si>
  <si>
    <t>Tanker (300k dwt) - Total CapEx per vessel - DF Methane - USDm</t>
  </si>
  <si>
    <t>Tanker (300k dwt) - Total non-fuel OpEx per vessel - DF Methane - USDm/year</t>
  </si>
  <si>
    <t>Tanker (300k dwt) - Total CapEx per vessel - DF Methanol - USDm</t>
  </si>
  <si>
    <t>Tanker (300k dwt) - Total non-fuel OpEx per vessel - DF Methanol - USDm/year</t>
  </si>
  <si>
    <t>Tanker (300k dwt) - Total CapEx per vessel - DF Ammonia - USDm</t>
  </si>
  <si>
    <t>Tanker (300k dwt) - Total non-fuel OpEx per vessel - DF Ammonia - USDm/year</t>
  </si>
  <si>
    <t>RoRo (4000 CEU) - Item - Unit</t>
  </si>
  <si>
    <t>RoRo (4000 CEU) - Nominal capacity - CEU</t>
  </si>
  <si>
    <t>RoRo (4000 CEU) - Days at sea - Days</t>
  </si>
  <si>
    <t>RoRo (4000 CEU) - Average speed - knots</t>
  </si>
  <si>
    <t>RoRo (4000 CEU) - Main engine thermal efficiency - MF Diesel - %</t>
  </si>
  <si>
    <t>RoRo (4000 CEU) - Main engine thermal efficiency - DF Methane - %</t>
  </si>
  <si>
    <t>RoRo (4000 CEU) - Main engine thermal efficiency - DF Methanol - %</t>
  </si>
  <si>
    <t>RoRo (4000 CEU) - Main engine thermal efficiency - DF Ammonia - %</t>
  </si>
  <si>
    <t>RoRo (4000 CEU) - Main engine pilot fuel share - MF Diesel - % energy</t>
  </si>
  <si>
    <t>RoRo (4000 CEU) - Main engine pilot fuel share - DF Methane - % energy</t>
  </si>
  <si>
    <t>RoRo (4000 CEU) - Main engine pilot fuel share - DF Methanol - % energy</t>
  </si>
  <si>
    <t>RoRo (4000 CEU) - Main engine pilot fuel share - DF Ammonia - % energy</t>
  </si>
  <si>
    <t>RoRo (4000 CEU) - Total fuel consumption for electricity - GJ</t>
  </si>
  <si>
    <t>RoRo (4000 CEU) - Total fuel consumption for heat - GJ</t>
  </si>
  <si>
    <t>RoRo (4000 CEU) - Total CapEx per vessel - MF Diesel - USDm</t>
  </si>
  <si>
    <t>RoRo (4000 CEU) - Total non-fuel OpEx per vessel - MF Diesel - USDm/year</t>
  </si>
  <si>
    <t>RoRo (4000 CEU) - Total CapEx per vessel - DF Methane - USDm</t>
  </si>
  <si>
    <t>RoRo (4000 CEU) - Total non-fuel OpEx per vessel - DF Methane - USDm/year</t>
  </si>
  <si>
    <t>RoRo (4000 CEU) - Total CapEx per vessel - DF Methanol - USDm</t>
  </si>
  <si>
    <t>RoRo (4000 CEU) - Total non-fuel OpEx per vessel - DF Methanol - USDm/year</t>
  </si>
  <si>
    <t>RoRo (4000 CEU) - Total CapEx per vessel - DF Ammonia - USDm</t>
  </si>
  <si>
    <t>RoRo (4000 CEU) - Total non-fuel OpEx per vessel - DF Ammonia - USDm/year</t>
  </si>
  <si>
    <t>RoRo (7000 CEU) - Item - Unit</t>
  </si>
  <si>
    <t>RoRo (7000 CEU) - Nominal capacity - CEU</t>
  </si>
  <si>
    <t>RoRo (7000 CEU) - Days at sea - Days</t>
  </si>
  <si>
    <t>RoRo (7000 CEU) - Average speed - knots</t>
  </si>
  <si>
    <t>RoRo (7000 CEU) - Main engine thermal efficiency - MF Diesel - %</t>
  </si>
  <si>
    <t>RoRo (7000 CEU) - Main engine thermal efficiency - DF Methane - %</t>
  </si>
  <si>
    <t>RoRo (7000 CEU) - Main engine thermal efficiency - DF Methanol - %</t>
  </si>
  <si>
    <t>RoRo (7000 CEU) - Main engine thermal efficiency - DF Ammonia - %</t>
  </si>
  <si>
    <t>RoRo (7000 CEU) - Main engine pilot fuel share - MF Diesel - % energy</t>
  </si>
  <si>
    <t>RoRo (7000 CEU) - Main engine pilot fuel share - DF Methane - % energy</t>
  </si>
  <si>
    <t>RoRo (7000 CEU) - Main engine pilot fuel share - DF Methanol - % energy</t>
  </si>
  <si>
    <t>RoRo (7000 CEU) - Main engine pilot fuel share - DF Ammonia - % energy</t>
  </si>
  <si>
    <t>RoRo (7000 CEU) - Total fuel consumption for electricity - GJ</t>
  </si>
  <si>
    <t>RoRo (7000 CEU) - Total fuel consumption for heat - GJ</t>
  </si>
  <si>
    <t>RoRo (7000 CEU) - Total CapEx per vessel - MF Diesel - USDm</t>
  </si>
  <si>
    <t>RoRo (7000 CEU) - Total non-fuel OpEx per vessel - MF Diesel - USDm/year</t>
  </si>
  <si>
    <t>RoRo (7000 CEU) - Total CapEx per vessel - DF Methane - USDm</t>
  </si>
  <si>
    <t>RoRo (7000 CEU) - Total non-fuel OpEx per vessel - DF Methane - USDm/year</t>
  </si>
  <si>
    <t>RoRo (7000 CEU) - Total CapEx per vessel - DF Methanol - USDm</t>
  </si>
  <si>
    <t>RoRo (7000 CEU) - Total non-fuel OpEx per vessel - DF Methanol - USDm/year</t>
  </si>
  <si>
    <t>RoRo (7000 CEU) - Total CapEx per vessel - DF Ammonia - USDm</t>
  </si>
  <si>
    <t>RoRo (7000 CEU) - Total non-fuel OpEx per vessel - DF Ammonia - USDm/year</t>
  </si>
  <si>
    <t>Gas Carrier - Item - Unit</t>
  </si>
  <si>
    <t>Gas Carrier</t>
  </si>
  <si>
    <t>Gas Carrier - Nominal capacity - cbm</t>
  </si>
  <si>
    <t>Gas Carrier - Days at sea - Days</t>
  </si>
  <si>
    <t>Gas Carrier - Average speed - knots</t>
  </si>
  <si>
    <t>Gas Carrier - Main engine thermal efficiency - MF Diesel - %</t>
  </si>
  <si>
    <t>Gas Carrier - Main engine thermal efficiency - DF Methane - %</t>
  </si>
  <si>
    <t>Gas Carrier - Main engine thermal efficiency - DF Methanol - %</t>
  </si>
  <si>
    <t>Gas Carrier - Main engine thermal efficiency - DF Ammonia - %</t>
  </si>
  <si>
    <t>Gas Carrier - Main engine pilot fuel share - MF Diesel - % energy</t>
  </si>
  <si>
    <t>Gas Carrier - Main engine pilot fuel share - DF Methane - % energy</t>
  </si>
  <si>
    <t>Gas Carrier - Main engine pilot fuel share - DF Methanol - % energy</t>
  </si>
  <si>
    <t>Gas Carrier - Main engine pilot fuel share - DF Ammonia - % energy</t>
  </si>
  <si>
    <t>Gas Carrier - Total fuel consumption for electricity - GJ</t>
  </si>
  <si>
    <t>Gas Carrier - Total fuel consumption for heat - GJ</t>
  </si>
  <si>
    <t>Gas Carrier - Total CapEx per vessel - MF Diesel - USDm</t>
  </si>
  <si>
    <t>Gas Carrier - Total non-fuel OpEx per vessel - MF Diesel - USDm/year</t>
  </si>
  <si>
    <t>Gas Carrier - Total CapEx per vessel - DF Methane - USDm</t>
  </si>
  <si>
    <t>Gas Carrier - Total non-fuel OpEx per vessel - DF Methane - USDm/year</t>
  </si>
  <si>
    <t>Gas Carrier - Total CapEx per vessel - DF Methanol - USDm</t>
  </si>
  <si>
    <t>Gas Carrier - Total non-fuel OpEx per vessel - DF Methanol - USDm/year</t>
  </si>
  <si>
    <t>Gas Carrier - Total CapEx per vessel - DF Ammonia - USDm</t>
  </si>
  <si>
    <t>Gas Carrier - Total non-fuel OpEx per vessel - DF Ammonia - USDm/year</t>
  </si>
  <si>
    <t>Cruise (25k GT) - Item - Unit</t>
  </si>
  <si>
    <t>Cruise (25k GT) - Nominal capacity - GT</t>
  </si>
  <si>
    <t>Cruise (25k GT) - Days at sea - Days</t>
  </si>
  <si>
    <t>Cruise (25k GT) - Average speed - knots</t>
  </si>
  <si>
    <t>Cruise (25k GT) - Main engine thermal efficiency - MF Diesel - %</t>
  </si>
  <si>
    <t>Cruise (25k GT) - Main engine thermal efficiency - DF Methane - %</t>
  </si>
  <si>
    <t>Cruise (25k GT) - Main engine thermal efficiency - DF Methanol - %</t>
  </si>
  <si>
    <t>Cruise (25k GT) - Main engine thermal efficiency - DF Ammonia - %</t>
  </si>
  <si>
    <t>Cruise (25k GT) - Main engine pilot fuel share - MF Diesel - % energy</t>
  </si>
  <si>
    <t>Cruise (25k GT) - Main engine pilot fuel share - DF Methane - % energy</t>
  </si>
  <si>
    <t>Cruise (25k GT) - Main engine pilot fuel share - DF Methanol - % energy</t>
  </si>
  <si>
    <t>Cruise (25k GT) - Main engine pilot fuel share - DF Ammonia - % energy</t>
  </si>
  <si>
    <t>Cruise (25k GT) - Total fuel consumption for electricity - GJ</t>
  </si>
  <si>
    <t>Cruise (25k GT) - Total fuel consumption for heat - GJ</t>
  </si>
  <si>
    <t>Cruise (25k GT) - Total CapEx per vessel - MF Diesel - USDm</t>
  </si>
  <si>
    <t>Cruise (25k GT) - Total non-fuel OpEx per vessel - MF Diesel - USDm/year</t>
  </si>
  <si>
    <t>Cruise (25k GT) - Total CapEx per vessel - DF Methane - USDm</t>
  </si>
  <si>
    <t>Cruise (25k GT) - Total non-fuel OpEx per vessel - DF Methane - USDm/year</t>
  </si>
  <si>
    <t>Cruise (25k GT) - Total CapEx per vessel - DF Methanol - USDm</t>
  </si>
  <si>
    <t>Cruise (25k GT) - Total non-fuel OpEx per vessel - DF Methanol - USDm/year</t>
  </si>
  <si>
    <t>Cruise (25k GT) - Total CapEx per vessel - DF Ammonia - USDm</t>
  </si>
  <si>
    <t>Cruise (25k GT) - Total non-fuel OpEx per vessel - DF Ammonia - USDm/year</t>
  </si>
  <si>
    <t>Cruise (100k GT) - Item - Unit</t>
  </si>
  <si>
    <t>Cruise (100k GT) - Nominal capacity - GT</t>
  </si>
  <si>
    <t>Cruise (100k GT) - Days at sea - Days</t>
  </si>
  <si>
    <t>Cruise (100k GT) - Average speed - knots</t>
  </si>
  <si>
    <t>Cruise (100k GT) - Main engine thermal efficiency - MF Diesel - %</t>
  </si>
  <si>
    <t>Cruise (100k GT) - Main engine thermal efficiency - DF Methane - %</t>
  </si>
  <si>
    <t>Cruise (100k GT) - Main engine thermal efficiency - DF Methanol - %</t>
  </si>
  <si>
    <t>Cruise (100k GT) - Main engine thermal efficiency - DF Ammonia - %</t>
  </si>
  <si>
    <t>Cruise (100k GT) - Main engine pilot fuel share - MF Diesel - % energy</t>
  </si>
  <si>
    <t>Cruise (100k GT) - Main engine pilot fuel share - DF Methane - % energy</t>
  </si>
  <si>
    <t>Cruise (100k GT) - Main engine pilot fuel share - DF Methanol - % energy</t>
  </si>
  <si>
    <t>Cruise (100k GT) - Main engine pilot fuel share - DF Ammonia - % energy</t>
  </si>
  <si>
    <t>Cruise (100k GT) - Total fuel consumption for electricity - GJ</t>
  </si>
  <si>
    <t>Cruise (100k GT) - Total fuel consumption for heat - GJ</t>
  </si>
  <si>
    <t>Cruise (100k GT) - Total CapEx per vessel - MF Diesel - USDm</t>
  </si>
  <si>
    <t>Cruise (100k GT) - Total non-fuel OpEx per vessel - MF Diesel - USDm/year</t>
  </si>
  <si>
    <t>Cruise (100k GT) - Total CapEx per vessel - DF Methane - USDm</t>
  </si>
  <si>
    <t>Cruise (100k GT) - Total non-fuel OpEx per vessel - DF Methane - USDm/year</t>
  </si>
  <si>
    <t>Cruise (100k GT) - Total CapEx per vessel - DF Methanol - USDm</t>
  </si>
  <si>
    <t>Cruise (100k GT) - Total non-fuel OpEx per vessel - DF Methanol - USDm/year</t>
  </si>
  <si>
    <t>Cruise (100k GT) - Total CapEx per vessel - DF Ammonia - USDm</t>
  </si>
  <si>
    <t>Cruise (100k GT) - Total non-fuel OpEx per vessel - DF Ammonia - USDm/year</t>
  </si>
  <si>
    <t>Cruise (175k GT) - Item - Unit</t>
  </si>
  <si>
    <t>Cruise (175k GT) - Nominal capacity - GT</t>
  </si>
  <si>
    <t>Cruise (175k GT) - Days at sea - Days</t>
  </si>
  <si>
    <t>Cruise (175k GT) - Average speed - knots</t>
  </si>
  <si>
    <t>Cruise (175k GT) - Main engine thermal efficiency - MF Diesel - %</t>
  </si>
  <si>
    <t>Cruise (175k GT) - Main engine thermal efficiency - DF Methane - %</t>
  </si>
  <si>
    <t>Cruise (175k GT) - Main engine thermal efficiency - DF Methanol - %</t>
  </si>
  <si>
    <t>Cruise (175k GT) - Main engine thermal efficiency - DF Ammonia - %</t>
  </si>
  <si>
    <t>Cruise (175k GT) - Main engine pilot fuel share - MF Diesel - % energy</t>
  </si>
  <si>
    <t>Cruise (175k GT) - Main engine pilot fuel share - DF Methane - % energy</t>
  </si>
  <si>
    <t>Cruise (175k GT) - Main engine pilot fuel share - DF Methanol - % energy</t>
  </si>
  <si>
    <t>Cruise (175k GT) - Main engine pilot fuel share - DF Ammonia - % energy</t>
  </si>
  <si>
    <t>Cruise (175k GT) - Total fuel consumption for electricity - GJ</t>
  </si>
  <si>
    <t>Cruise (175k GT) - Total fuel consumption for heat - GJ</t>
  </si>
  <si>
    <t>Cruise (175k GT) - Total CapEx per vessel - MF Diesel - USDm</t>
  </si>
  <si>
    <t>Cruise (175k GT) - Total non-fuel OpEx per vessel - MF Diesel - USDm/year</t>
  </si>
  <si>
    <t>Cruise (175k GT) - Total CapEx per vessel - DF Methane - USDm</t>
  </si>
  <si>
    <t>Cruise (175k GT) - Total non-fuel OpEx per vessel - DF Methane - USDm/year</t>
  </si>
  <si>
    <t>Cruise (175k GT) - Total CapEx per vessel - DF Methanol - USDm</t>
  </si>
  <si>
    <t>Cruise (175k GT) - Total non-fuel OpEx per vessel - DF Methanol - USDm/year</t>
  </si>
  <si>
    <t>Cruise (175k GT) - Total CapEx per vessel - DF Ammonia - USDm</t>
  </si>
  <si>
    <t>Cruise (175k GT) - Total non-fuel OpEx per vessel - DF Ammonia - USDm/year</t>
  </si>
  <si>
    <t>General Cargo - Item - Unit</t>
  </si>
  <si>
    <t>General Cargo - Nominal capacity - dwt</t>
  </si>
  <si>
    <t>General Cargo - Days at sea - Days</t>
  </si>
  <si>
    <t>General Cargo - Average speed - knots</t>
  </si>
  <si>
    <t>General Cargo - Main engine thermal efficiency - MF Diesel - %</t>
  </si>
  <si>
    <t>General Cargo - Main engine thermal efficiency - DF Methane - %</t>
  </si>
  <si>
    <t>General Cargo - Main engine thermal efficiency - DF Methanol - %</t>
  </si>
  <si>
    <t>General Cargo - Main engine thermal efficiency - DF Ammonia - %</t>
  </si>
  <si>
    <t>General Cargo - Main engine pilot fuel share - MF Diesel - % energy</t>
  </si>
  <si>
    <t>General Cargo - Main engine pilot fuel share - DF Methane - % energy</t>
  </si>
  <si>
    <t>General Cargo - Main engine pilot fuel share - DF Methanol - % energy</t>
  </si>
  <si>
    <t>General Cargo - Main engine pilot fuel share - DF Ammonia - % energy</t>
  </si>
  <si>
    <t>General Cargo - Total fuel consumption for electricity - GJ</t>
  </si>
  <si>
    <t>General Cargo - Total fuel consumption for heat - GJ</t>
  </si>
  <si>
    <t>General Cargo - Total CapEx per vessel - MF Diesel - USDm</t>
  </si>
  <si>
    <t>General Cargo - Total non-fuel OpEx per vessel - MF Diesel - USDm/year</t>
  </si>
  <si>
    <t>General Cargo - Total CapEx per vessel - DF Methane - USDm</t>
  </si>
  <si>
    <t>General Cargo - Total non-fuel OpEx per vessel - DF Methane - USDm/year</t>
  </si>
  <si>
    <t>General Cargo - Total CapEx per vessel - DF Methanol - USDm</t>
  </si>
  <si>
    <t>General Cargo - Total non-fuel OpEx per vessel - DF Methanol - USDm/year</t>
  </si>
  <si>
    <t>General Cargo - Total CapEx per vessel - DF Ammonia - USDm</t>
  </si>
  <si>
    <t>General Cargo - Total non-fuel OpEx per vessel - DF Ammonia - USDm/year</t>
  </si>
  <si>
    <t>Offshore - Item - Unit</t>
  </si>
  <si>
    <t>Offshore</t>
  </si>
  <si>
    <t>Offshore - Nominal capacity - dwt</t>
  </si>
  <si>
    <t>Offshore - Days at sea - Days</t>
  </si>
  <si>
    <t>Offshore - Average speed - knots</t>
  </si>
  <si>
    <t>Offshore - Main engine thermal efficiency - MF Diesel - %</t>
  </si>
  <si>
    <t>Offshore - Main engine thermal efficiency - DF Methane - %</t>
  </si>
  <si>
    <t>Offshore - Main engine thermal efficiency - DF Methanol - %</t>
  </si>
  <si>
    <t>Offshore - Main engine thermal efficiency - DF Ammonia - %</t>
  </si>
  <si>
    <t>Offshore - Main engine pilot fuel share - MF Diesel - % energy</t>
  </si>
  <si>
    <t>Offshore - Main engine pilot fuel share - DF Methane - % energy</t>
  </si>
  <si>
    <t>Offshore - Main engine pilot fuel share - DF Methanol - % energy</t>
  </si>
  <si>
    <t>Offshore - Main engine pilot fuel share - DF Ammonia - % energy</t>
  </si>
  <si>
    <t>Offshore - Total fuel consumption for electricity - GJ</t>
  </si>
  <si>
    <t>Offshore - Total fuel consumption for heat - GJ</t>
  </si>
  <si>
    <t>Offshore - Total CapEx per vessel - MF Diesel - USDm</t>
  </si>
  <si>
    <t>Offshore - Total non-fuel OpEx per vessel - MF Diesel - USDm/year</t>
  </si>
  <si>
    <t>Offshore - Total CapEx per vessel - DF Methane - USDm</t>
  </si>
  <si>
    <t>Offshore - Total non-fuel OpEx per vessel - DF Methane - USDm/year</t>
  </si>
  <si>
    <t>Offshore - Total CapEx per vessel - DF Methanol - USDm</t>
  </si>
  <si>
    <t>Offshore - Total non-fuel OpEx per vessel - DF Methanol - USDm/year</t>
  </si>
  <si>
    <t>Offshore - Total CapEx per vessel - DF Ammonia - USDm</t>
  </si>
  <si>
    <t>Offshore - Total non-fuel OpEx per vessel - DF Ammonia - USDm/year</t>
  </si>
  <si>
    <t>Tug - Item - Unit</t>
  </si>
  <si>
    <t>Tug</t>
  </si>
  <si>
    <t>Tug - Nominal capacity - dwt</t>
  </si>
  <si>
    <t>Tug - Days at sea - Days</t>
  </si>
  <si>
    <t>Tug - Average speed - knots</t>
  </si>
  <si>
    <t>Tug - Main engine thermal efficiency - MF Diesel - %</t>
  </si>
  <si>
    <t>Tug - Main engine thermal efficiency - DF Methane - %</t>
  </si>
  <si>
    <t>Tug - Main engine thermal efficiency - DF Methanol - %</t>
  </si>
  <si>
    <t>Tug - Main engine thermal efficiency - DF Ammonia - %</t>
  </si>
  <si>
    <t>Tug - Main engine pilot fuel share - MF Diesel - % energy</t>
  </si>
  <si>
    <t>Tug - Main engine pilot fuel share - DF Methane - % energy</t>
  </si>
  <si>
    <t>Tug - Main engine pilot fuel share - DF Methanol - % energy</t>
  </si>
  <si>
    <t>Tug - Main engine pilot fuel share - DF Ammonia - % energy</t>
  </si>
  <si>
    <t>Tug - Total fuel consumption for electricity - GJ</t>
  </si>
  <si>
    <t>Tug - Total fuel consumption for heat - GJ</t>
  </si>
  <si>
    <t>Tug - Total CapEx per vessel - MF Diesel - USDm</t>
  </si>
  <si>
    <t>Tug - Total non-fuel OpEx per vessel - MF Diesel - USDm/year</t>
  </si>
  <si>
    <t>Tug - Total CapEx per vessel - DF Methane - USDm</t>
  </si>
  <si>
    <t>Tug - Total non-fuel OpEx per vessel - DF Methane - USDm/year</t>
  </si>
  <si>
    <t>Tug - Total CapEx per vessel - DF Methanol - USDm</t>
  </si>
  <si>
    <t>Tug - Total non-fuel OpEx per vessel - DF Methanol - USDm/year</t>
  </si>
  <si>
    <t>Tug - Total CapEx per vessel - DF Ammonia - USDm</t>
  </si>
  <si>
    <t>Tug - Total non-fuel OpEx per vessel - DF Ammonia - USDm/year</t>
  </si>
  <si>
    <t>Fast Ferry - Item - Unit</t>
  </si>
  <si>
    <t>Fast Ferry - Nominal capacity - GT</t>
  </si>
  <si>
    <t>Fast Ferry - Days at sea - Days</t>
  </si>
  <si>
    <t>Fast Ferry - Average speed - knots</t>
  </si>
  <si>
    <t>Fast Ferry - Main engine thermal efficiency - MF Diesel - %</t>
  </si>
  <si>
    <t>Fast Ferry - Main engine thermal efficiency - DF Methane - %</t>
  </si>
  <si>
    <t>Fast Ferry - Main engine thermal efficiency - DF Methanol - %</t>
  </si>
  <si>
    <t>Fast Ferry - Main engine thermal efficiency - DF Ammonia - %</t>
  </si>
  <si>
    <t>Fast Ferry - Main engine pilot fuel share - MF Diesel - % energy</t>
  </si>
  <si>
    <t>Fast Ferry - Main engine pilot fuel share - DF Methane - % energy</t>
  </si>
  <si>
    <t>Fast Ferry - Main engine pilot fuel share - DF Methanol - % energy</t>
  </si>
  <si>
    <t>Fast Ferry - Main engine pilot fuel share - DF Ammonia - % energy</t>
  </si>
  <si>
    <t>Fast Ferry - Total fuel consumption for electricity - GJ</t>
  </si>
  <si>
    <t>Fast Ferry - Total fuel consumption for heat - GJ</t>
  </si>
  <si>
    <t>Fast Ferry - Total CapEx per vessel - MF Diesel - USDm</t>
  </si>
  <si>
    <t>Fast Ferry - Total non-fuel OpEx per vessel - MF Diesel - USDm/year</t>
  </si>
  <si>
    <t>Fast Ferry - Total CapEx per vessel - DF Methane - USDm</t>
  </si>
  <si>
    <t>Fast Ferry - Total non-fuel OpEx per vessel - DF Methane - USDm/year</t>
  </si>
  <si>
    <t>Fast Ferry - Total CapEx per vessel - DF Methanol - USDm</t>
  </si>
  <si>
    <t>Fast Ferry - Total non-fuel OpEx per vessel - DF Methanol - USDm/year</t>
  </si>
  <si>
    <t>Fast Ferry - Total CapEx per vessel - DF Ammonia - USDm</t>
  </si>
  <si>
    <t>Fast Ferry - Total non-fuel OpEx per vessel - DF Ammonia - USDm/year</t>
  </si>
  <si>
    <t>Ferry - Item - Unit</t>
  </si>
  <si>
    <t>Ferry - Nominal capacity - GT</t>
  </si>
  <si>
    <t>Ferry - Days at sea - Days</t>
  </si>
  <si>
    <t>Ferry - Average speed - knots</t>
  </si>
  <si>
    <t>Ferry - Main engine thermal efficiency - MF Diesel - %</t>
  </si>
  <si>
    <t>Ferry - Main engine thermal efficiency - DF Methane - %</t>
  </si>
  <si>
    <t>Ferry - Main engine thermal efficiency - DF Methanol - %</t>
  </si>
  <si>
    <t>Ferry - Main engine thermal efficiency - DF Ammonia - %</t>
  </si>
  <si>
    <t>Ferry - Main engine pilot fuel share - MF Diesel - % energy</t>
  </si>
  <si>
    <t>Ferry - Main engine pilot fuel share - DF Methane - % energy</t>
  </si>
  <si>
    <t>Ferry - Main engine pilot fuel share - DF Methanol - % energy</t>
  </si>
  <si>
    <t>Ferry - Main engine pilot fuel share - DF Ammonia - % energy</t>
  </si>
  <si>
    <t>Ferry - Total fuel consumption for electricity - GJ</t>
  </si>
  <si>
    <t>Ferry - Total fuel consumption for heat - GJ</t>
  </si>
  <si>
    <t>Ferry - Total CapEx per vessel - MF Diesel - USDm</t>
  </si>
  <si>
    <t>Ferry - Total non-fuel OpEx per vessel - MF Diesel - USDm/year</t>
  </si>
  <si>
    <t>Ferry - Total CapEx per vessel - DF Methane - USDm</t>
  </si>
  <si>
    <t>Ferry - Total non-fuel OpEx per vessel - DF Methane - USDm/year</t>
  </si>
  <si>
    <t>Ferry - Total CapEx per vessel - DF Methanol - USDm</t>
  </si>
  <si>
    <t>Ferry - Total non-fuel OpEx per vessel - DF Methanol - USDm/year</t>
  </si>
  <si>
    <t>Ferry - Total CapEx per vessel - DF Ammonia - USDm</t>
  </si>
  <si>
    <t>Ferry - Total non-fuel OpEx per vessel - DF Ammonia - USDm/year</t>
  </si>
  <si>
    <t>Speed</t>
  </si>
  <si>
    <t>Speed-power relation</t>
  </si>
  <si>
    <t>Knots</t>
  </si>
  <si>
    <t>MinimumSpeed</t>
  </si>
  <si>
    <t>MaximumSpeed</t>
  </si>
  <si>
    <t>Look-up</t>
  </si>
  <si>
    <t>CapEx</t>
  </si>
  <si>
    <t>USD/ton fuel</t>
  </si>
  <si>
    <t>OpEx</t>
  </si>
  <si>
    <t>Total emissions - WTT - GWP100</t>
  </si>
  <si>
    <t>ton CO2eq/ton fuel</t>
  </si>
  <si>
    <t>Total emissions - TTW - GWP100</t>
  </si>
  <si>
    <t>Total emissions - WTW - GWP100</t>
  </si>
  <si>
    <t>Calculates the cost of fuels split into CAPEX, OPEX, Feedstock, Electricity, and Finance costs from earlier feedstock.</t>
  </si>
  <si>
    <t>Fuel</t>
  </si>
  <si>
    <t>e-hydrogen (Alkaline)</t>
  </si>
  <si>
    <t>Total cost</t>
  </si>
  <si>
    <t>CAPEX including feedstock CAPEX</t>
  </si>
  <si>
    <t>OPEX including feedstock OPEX</t>
  </si>
  <si>
    <t>Finance cost including feedstock finance cost</t>
  </si>
  <si>
    <t>Finance cost</t>
  </si>
  <si>
    <t>Energy cost including feedstock energy cost</t>
  </si>
  <si>
    <t>Energy cost</t>
  </si>
  <si>
    <t>Feedstock cost including feedstock feedstock cost</t>
  </si>
  <si>
    <t>e-hydrogen</t>
  </si>
  <si>
    <t>Feedstock cost</t>
  </si>
  <si>
    <t>e-hydrogen (PEM)</t>
  </si>
  <si>
    <t>e-hydrogen (Solid oxide)</t>
  </si>
  <si>
    <t>Nitrogen</t>
  </si>
  <si>
    <t>Conversion H2 -&gt; NH3</t>
  </si>
  <si>
    <t>ton H2/ton NH3</t>
  </si>
  <si>
    <t>Conversion N2 -&gt; NH3</t>
  </si>
  <si>
    <t>ton N2/ton NH3</t>
  </si>
  <si>
    <t>Carbon dioxide (DAC)</t>
  </si>
  <si>
    <t>Carbon dioxide (PS)</t>
  </si>
  <si>
    <t>e-methanol</t>
  </si>
  <si>
    <t>Conversion H2 -&gt; MeOH</t>
  </si>
  <si>
    <t>ton H2/ton MeOH</t>
  </si>
  <si>
    <t>Conversion CO2 -&gt; MeOH</t>
  </si>
  <si>
    <t>ton CO2/ton MeOH</t>
  </si>
  <si>
    <t>e-methane (DAC)</t>
  </si>
  <si>
    <t>e-methane</t>
  </si>
  <si>
    <t>Conversion H2 -&gt; CH4</t>
  </si>
  <si>
    <t>ton H2/ton CH4</t>
  </si>
  <si>
    <t>Conversion CO2 -&gt; CH4</t>
  </si>
  <si>
    <t>ton CO2/ton CH4</t>
  </si>
  <si>
    <t>e-methane (PS)</t>
  </si>
  <si>
    <t>e-diesel</t>
  </si>
  <si>
    <t>Conversion H2 -&gt; diesel</t>
  </si>
  <si>
    <t>ton H2/ton diesel</t>
  </si>
  <si>
    <t>Conversion CO2 -&gt; diesel</t>
  </si>
  <si>
    <t>ton CO2/ton diesel</t>
  </si>
  <si>
    <t>Carbon capture</t>
  </si>
  <si>
    <t>Carbon storage</t>
  </si>
  <si>
    <t>Carbon capture &amp; storage (CCS)</t>
  </si>
  <si>
    <t>Conversion NG -&gt; CO2 -&gt; NH3</t>
  </si>
  <si>
    <t>ton CO2/ton NH3</t>
  </si>
  <si>
    <t>Carbon to store</t>
  </si>
  <si>
    <t>Natural gas</t>
  </si>
  <si>
    <t>Price</t>
  </si>
  <si>
    <t>Conversion NG -&gt; NH3</t>
  </si>
  <si>
    <t>ton NG/ton NH3</t>
  </si>
  <si>
    <t>Bio-oil (HTL)</t>
  </si>
  <si>
    <t>Bio-oil (Pyrolysis)</t>
  </si>
  <si>
    <t>Raw data for comparison</t>
  </si>
  <si>
    <t>Port</t>
  </si>
  <si>
    <t>IRA Credit Calculation</t>
  </si>
  <si>
    <t>Input Parameters</t>
  </si>
  <si>
    <t xml:space="preserve">Below are the parameters used to calculate the IRA costs </t>
  </si>
  <si>
    <t>2030 Production Costs</t>
  </si>
  <si>
    <t>Fuel Type</t>
  </si>
  <si>
    <t>Max Credit</t>
  </si>
  <si>
    <t>IRA Levelized Credit [USD/GJ]</t>
  </si>
  <si>
    <t>IRA Fuel Cost [USD/GJ]</t>
  </si>
  <si>
    <t>Decision variables</t>
  </si>
  <si>
    <t>2030 Fuel Costs</t>
  </si>
  <si>
    <t>Fuel Cost [USD/GJ]</t>
  </si>
  <si>
    <t>Bunker Region</t>
  </si>
  <si>
    <t>Default</t>
  </si>
  <si>
    <t>Year FID</t>
  </si>
  <si>
    <t>&lt;&lt; = Not working, will adjust which credits are applied</t>
  </si>
  <si>
    <t>Facility Lifetime</t>
  </si>
  <si>
    <t>NavigaTE</t>
  </si>
  <si>
    <t>WACC</t>
  </si>
  <si>
    <t>kWh/kg H2</t>
  </si>
  <si>
    <t>Source: NavigaTE 2030 USA costs</t>
  </si>
  <si>
    <t>Notes on calculations</t>
  </si>
  <si>
    <t>Input volumes</t>
  </si>
  <si>
    <t>GJ/ton fuel</t>
  </si>
  <si>
    <t>ton H2/ton fuel</t>
  </si>
  <si>
    <t>ton CO2 / ton h2</t>
  </si>
  <si>
    <t>ton CO2 / ton fuel</t>
  </si>
  <si>
    <t>gallons / kg</t>
  </si>
  <si>
    <t>Fuel Characteristics</t>
  </si>
  <si>
    <t>The amount of hydrogen that is needed to produce a ton of fuel.</t>
  </si>
  <si>
    <t>NA</t>
  </si>
  <si>
    <t>The amount of energy in gigajoules (GJ) for every ton of fuel</t>
  </si>
  <si>
    <t>kg H2/GJ fuel</t>
  </si>
  <si>
    <t>calculation: tons (H2 x 1000) / GJs</t>
  </si>
  <si>
    <t>The amount of CO2 captured for each ton h2 (ATR technology)</t>
  </si>
  <si>
    <t>gallons / Ton fuel</t>
  </si>
  <si>
    <t>Number of gallons per ton of fuel</t>
  </si>
  <si>
    <t>gallons / GJ</t>
  </si>
  <si>
    <t>(gallons/ton) / (GJ/ton) = gallons/gj</t>
  </si>
  <si>
    <t>45V</t>
  </si>
  <si>
    <t>Credit Value [USD]</t>
  </si>
  <si>
    <t>45v credit [USD per kg of H2]</t>
  </si>
  <si>
    <t>Note: Methane and diesel were calculated internally by Fuels team</t>
  </si>
  <si>
    <t>Source:</t>
  </si>
  <si>
    <t>Non-levelized 45V Credit [USD/GJ]</t>
  </si>
  <si>
    <t>credit x kgs of H2 per GJ</t>
  </si>
  <si>
    <t>Levelized Credit</t>
  </si>
  <si>
    <t>The net present value of a 10 year credit over a 30 year facility lifetime with a 7% WACC</t>
  </si>
  <si>
    <t>Credit Amount</t>
  </si>
  <si>
    <t>IRS Code</t>
  </si>
  <si>
    <t>Credit</t>
  </si>
  <si>
    <t>Fuel Credited</t>
  </si>
  <si>
    <t>Quantity Credited</t>
  </si>
  <si>
    <t>45 PTC</t>
  </si>
  <si>
    <t>45 PTC credit [USD per kWh]</t>
  </si>
  <si>
    <t>Clean hydrogen credit</t>
  </si>
  <si>
    <t>H2</t>
  </si>
  <si>
    <t>1 kg</t>
  </si>
  <si>
    <t>Non-levelized PTC Credit [USD/GJ]</t>
  </si>
  <si>
    <t>credit x kWh/kg H2 x kgs of H2 per GJ</t>
  </si>
  <si>
    <t>45Q</t>
  </si>
  <si>
    <t>Carbon capture (stored)</t>
  </si>
  <si>
    <t>CO2</t>
  </si>
  <si>
    <t>1 ton</t>
  </si>
  <si>
    <t>45Q DAC</t>
  </si>
  <si>
    <t>Direct air capture (utilized)</t>
  </si>
  <si>
    <t xml:space="preserve">Renewable energy credit </t>
  </si>
  <si>
    <t>power</t>
  </si>
  <si>
    <t>1 kwh</t>
  </si>
  <si>
    <t>45Q credit [USD per ton CO2]</t>
  </si>
  <si>
    <t>40 (Bio)</t>
  </si>
  <si>
    <t>Per-gallon credit for 2nd-gen biofuel production</t>
  </si>
  <si>
    <t>second generation biofuel</t>
  </si>
  <si>
    <t>1 gallon</t>
  </si>
  <si>
    <t>Ton co2 / GJ</t>
  </si>
  <si>
    <t>calculation: (tons CO2/ton h2 x tons h2/ton fuel) / gj per ton fuel</t>
  </si>
  <si>
    <t>Non-levelized 45Q Credit [USD/GJ]</t>
  </si>
  <si>
    <t>Per-gallon credit for 2nd-gen biofuel production [USD per gallon]</t>
  </si>
  <si>
    <t>Gallons / GJ</t>
  </si>
  <si>
    <t>The amount of gallons of fuel per 1 GJ of energy</t>
  </si>
  <si>
    <t>Credit valid through 2024 [USD/GJ]</t>
  </si>
  <si>
    <t>USD per GJ, only valid through 2024</t>
  </si>
  <si>
    <t>Credits for alternative fuels [USD/GJ]</t>
  </si>
  <si>
    <t>Max Credit Value</t>
  </si>
  <si>
    <t>Levelized Credit Calcultions</t>
  </si>
  <si>
    <t>40 (bio)</t>
  </si>
  <si>
    <t>Depreciation</t>
  </si>
  <si>
    <t>Fuel Cost Estimates (Americas)</t>
  </si>
  <si>
    <t>Fuel Cost Estimates with Levelized IRA Credits (Americas)</t>
  </si>
  <si>
    <t>Cost - Credit</t>
  </si>
  <si>
    <t>IRA Credits Broken Down for Figures (below)</t>
  </si>
  <si>
    <t>45V Credit</t>
  </si>
  <si>
    <t>45Q Credit</t>
  </si>
  <si>
    <t>IRA Credits with all fuels in 2030 for Figure (below)</t>
  </si>
  <si>
    <t>IRA Credit</t>
  </si>
  <si>
    <t>Mærsk Mc-Kinney Møller Center for Zero Carbon Shipping</t>
  </si>
  <si>
    <r>
      <t xml:space="preserve">Assumptions and Parameters </t>
    </r>
    <r>
      <rPr>
        <b/>
        <sz val="14"/>
        <color theme="0"/>
        <rFont val="Aptos Narrow"/>
        <family val="2"/>
      </rPr>
      <t>↓↓</t>
    </r>
  </si>
  <si>
    <t>FuelEU Calculator</t>
  </si>
  <si>
    <t>Assumptions and Parameters</t>
  </si>
  <si>
    <r>
      <rPr>
        <b/>
        <sz val="9"/>
        <color theme="1"/>
        <rFont val="Arial"/>
        <family val="2"/>
        <scheme val="minor"/>
      </rPr>
      <t>Disclaimer</t>
    </r>
    <r>
      <rPr>
        <sz val="9"/>
        <color theme="1"/>
        <rFont val="Arial"/>
        <family val="2"/>
        <scheme val="minor"/>
      </rPr>
      <t>:This calculator is meant to indicate potential pooling prices but is not a price forecasting tool. It should not be taken as investment, financial, legal, tax, or accounting advice. Please evaluate assumptions before making decisions. This calculator is provided "as is" with no warranties, and the Fonden Mærsk Mc-Kinney Møller Center for Zero Carbon Shipping is not responsible for errors or damages arising from its use.</t>
    </r>
  </si>
  <si>
    <t>All from public sources, see links at the bottom of the table.</t>
  </si>
  <si>
    <r>
      <rPr>
        <b/>
        <sz val="12"/>
        <color theme="0"/>
        <rFont val="Arial"/>
        <family val="2"/>
        <scheme val="minor"/>
      </rPr>
      <t>Purpose:</t>
    </r>
    <r>
      <rPr>
        <sz val="12"/>
        <color theme="0"/>
        <rFont val="Arial"/>
        <family val="2"/>
        <scheme val="minor"/>
      </rPr>
      <t xml:space="preserve"> This tool helps users compare the costs of sustainable marine fuel (SMF) and conventional fuels under FuelEU. It shows the cost of using SMF on voyages subject to FuelEU, comparing business as usual (BAU) fuel costs with the minimum required SMF for FuelEU compliance or fully running on SMF. The surplus price is based on the lowest market compliance option (biodiesel blending or paying the penalty).</t>
    </r>
  </si>
  <si>
    <t>Fuel Cost Assumptions</t>
  </si>
  <si>
    <t>ETS Allowance Price Assumptions</t>
  </si>
  <si>
    <r>
      <rPr>
        <b/>
        <sz val="12"/>
        <color theme="0"/>
        <rFont val="Arial"/>
        <family val="2"/>
        <scheme val="minor"/>
      </rPr>
      <t xml:space="preserve">Logc for the price of pooling surplus: </t>
    </r>
    <r>
      <rPr>
        <sz val="12"/>
        <color theme="0"/>
        <rFont val="Arial"/>
        <family val="2"/>
        <scheme val="minor"/>
      </rPr>
      <t>When green vessels are limited, the pooling price is likely set at the BAU FuelEU compliance cost—the cheapest option between paying a penalty or blending biodiesel with conventional fuel (we assume LSFO as the BAU fuel). This model highlights how a vessel running on SMF could sell surplus compliance at this price point.</t>
    </r>
  </si>
  <si>
    <t>LSFO cost per tonne</t>
  </si>
  <si>
    <t>100% Biodiesel (FAME)</t>
  </si>
  <si>
    <t>100% Biodiesel (FAME) cost per tonne</t>
  </si>
  <si>
    <t>Phase-in of allowances surrendered</t>
  </si>
  <si>
    <t>Base ETS Price Projections [USD/EUA]</t>
  </si>
  <si>
    <t>ETS price projection with phase-in</t>
  </si>
  <si>
    <t>Drop downs</t>
  </si>
  <si>
    <r>
      <rPr>
        <b/>
        <sz val="12"/>
        <color theme="0"/>
        <rFont val="Arial"/>
        <family val="2"/>
        <scheme val="minor"/>
      </rPr>
      <t>How to use the model:</t>
    </r>
    <r>
      <rPr>
        <sz val="12"/>
        <color theme="0"/>
        <rFont val="Arial"/>
        <family val="2"/>
        <scheme val="minor"/>
      </rPr>
      <t xml:space="preserve"> In 'Input 1,' provide SMF values specific to your organization. The calculator applies pooling benefits based on this input. 'Input 2' establishes a baseline. You can either use the standard assumptions provided or input your own baseline values for comparison.</t>
    </r>
  </si>
  <si>
    <t>USD/tonne</t>
  </si>
  <si>
    <t>USD/EUA</t>
  </si>
  <si>
    <t>gCO2eq/MJ</t>
  </si>
  <si>
    <r>
      <rPr>
        <b/>
        <sz val="12"/>
        <color theme="0"/>
        <rFont val="Arial"/>
        <family val="2"/>
        <scheme val="minor"/>
      </rPr>
      <t>The results:</t>
    </r>
    <r>
      <rPr>
        <sz val="12"/>
        <color theme="0"/>
        <rFont val="Arial"/>
        <family val="2"/>
        <scheme val="minor"/>
      </rPr>
      <t xml:space="preserve"> The figures compare 1) cost of BAU with the additional EU ETS and FuelEU costs, 2) cost of using just enough SMF to meet FuelEU compliance, and 3) the cost of fully sailing on SMF and pooling FuelEU surplus.</t>
    </r>
  </si>
  <si>
    <t>Enter my own</t>
  </si>
  <si>
    <t>User Input</t>
  </si>
  <si>
    <t>Input 1: Setup sustainable marine fuel (SMF)</t>
  </si>
  <si>
    <t>Notes</t>
  </si>
  <si>
    <t>Year for estimation</t>
  </si>
  <si>
    <t>Year is used for cost assumptions and FuelEU target</t>
  </si>
  <si>
    <t>Set a low-emissions fuel</t>
  </si>
  <si>
    <t>CO2e reduction share below comparator: 94 g/MJ</t>
  </si>
  <si>
    <t>Note: assumes satisfies the zero ETS rated criteria (btw 65-100%)</t>
  </si>
  <si>
    <t>Renewable fuel of non-biological origin (RFNBO)?</t>
  </si>
  <si>
    <t>Rewarded before 2033 (Note: CO2e reduction must be &gt;70%)</t>
  </si>
  <si>
    <t>Cost of SMF [USD/tonne LSFO-eq]</t>
  </si>
  <si>
    <t>Set SMF cost to estimate impact</t>
  </si>
  <si>
    <t>↑ If unsure on cost, use our Fuel Cost Calculator</t>
  </si>
  <si>
    <t>Sensitivity analysis on the pooling price</t>
  </si>
  <si>
    <t>U</t>
  </si>
  <si>
    <t xml:space="preserve">Adjust price for surplus tonnes (max +100% above, min -100%) to account for e.g., transaction costs (-%), or high demand (+%). </t>
  </si>
  <si>
    <t>Input 2: Set business as usual (BAU) baseline</t>
  </si>
  <si>
    <t>Center Assumption Sources</t>
  </si>
  <si>
    <t>LSFO Fuel Costs [USD/tonne LSFO]</t>
  </si>
  <si>
    <t xml:space="preserve">Use Center Estimate? </t>
  </si>
  <si>
    <t>MMM Fuel Cost Calculator, 2024</t>
  </si>
  <si>
    <t>Biodiesel Fuel Costs [USD/tonne biodiesel]</t>
  </si>
  <si>
    <t>Use LR &amp; UMAS Estimate?</t>
  </si>
  <si>
    <t>LR &amp; UMAS, 2021</t>
  </si>
  <si>
    <t>ETS Allowance Price [USD/tonne CO2e]</t>
  </si>
  <si>
    <t>Use Pietzcker et al., 2021 EUA Forecast?</t>
  </si>
  <si>
    <t>Pietzcker et al., 2021</t>
  </si>
  <si>
    <t>Sources:</t>
  </si>
  <si>
    <t>MMMCZCS, 2024</t>
  </si>
  <si>
    <t>LR &amp; UMAS, 2020</t>
  </si>
  <si>
    <t>FuelEU Article 4(2)</t>
  </si>
  <si>
    <t>Results Comparing Business as Usual (BAU) with Sustainable Marine Fuel (SMF)</t>
  </si>
  <si>
    <t>Fuel Emissions Factors</t>
  </si>
  <si>
    <t>LSFO (HFO)</t>
  </si>
  <si>
    <t>FAME (Waste Cooking Oil)</t>
  </si>
  <si>
    <t>Alternative</t>
  </si>
  <si>
    <t>FuelEU WtW EF (gCO2e/MJ)</t>
  </si>
  <si>
    <t>FuelEU Annex II</t>
  </si>
  <si>
    <t>Lower Calorific Value (MJ/g)</t>
  </si>
  <si>
    <t>use LSFO-eq</t>
  </si>
  <si>
    <t>LSFO: FuelEU Annex II; Biodiesel: RED Annex III</t>
  </si>
  <si>
    <t>EU ETS TtW EF (gCO2e/MJ)</t>
  </si>
  <si>
    <t>MRV Delegated Regulation Annex II (1.2)</t>
  </si>
  <si>
    <t>Note: We simplify the ETS EF for the Alternative to be 0 CO2e, however, there will be TtW emissions from CH4 and N2O</t>
  </si>
  <si>
    <t>FuelEU Parameters</t>
  </si>
  <si>
    <t>Parameters</t>
  </si>
  <si>
    <t>Value</t>
  </si>
  <si>
    <t>RED Comparator</t>
  </si>
  <si>
    <t>RED Annex III (C(19))</t>
  </si>
  <si>
    <t>According to RED for transport fuels, the fossil fuel comparator EF(t) shall be 94 g
CO2eq/MJ</t>
  </si>
  <si>
    <t>FuelEU Reference Value</t>
  </si>
  <si>
    <t>Intensity reduction targets are based on this value</t>
  </si>
  <si>
    <t>FuelEU Penalty in tonnes fuel</t>
  </si>
  <si>
    <t>EUR/tonne VLSFOeq</t>
  </si>
  <si>
    <t>FuelEU Annex IV</t>
  </si>
  <si>
    <t>Non-compliance in tons of VLSFO x 2400</t>
  </si>
  <si>
    <t>USD per EUR</t>
  </si>
  <si>
    <t>USD/EUR</t>
  </si>
  <si>
    <t>ECB, 2024</t>
  </si>
  <si>
    <t>European Central Bank: March 2014 to March 2024</t>
  </si>
  <si>
    <t>LSFO Penalty per tCO2e deficit</t>
  </si>
  <si>
    <t>USD/tonne CO2e deficit</t>
  </si>
  <si>
    <t>Penalty / (LSFO tonnesCO2 /tonnes fuel)</t>
  </si>
  <si>
    <t>EUR penalty per tonne of fuel, converted to cost per tonne CO2e, converted to USD</t>
  </si>
  <si>
    <t>Model Inputs</t>
  </si>
  <si>
    <t>FuelEU Target</t>
  </si>
  <si>
    <t>Source or Calculation</t>
  </si>
  <si>
    <t>Units</t>
  </si>
  <si>
    <t>Target Emissions Factor</t>
  </si>
  <si>
    <t>g/MJ</t>
  </si>
  <si>
    <t>Emissions Factor (gCO2e/MJ)</t>
  </si>
  <si>
    <t>We use LSFO as our BAU fuel</t>
  </si>
  <si>
    <t>Emissions Factor (tonnes CO2e/GJ)</t>
  </si>
  <si>
    <t>g/MJ / 1000</t>
  </si>
  <si>
    <t>tonnes/GJ</t>
  </si>
  <si>
    <t>Convered to tonnes CO2e per GJ</t>
  </si>
  <si>
    <t>Fuel Cost</t>
  </si>
  <si>
    <t>Biodiesel</t>
  </si>
  <si>
    <t>Based on waste cooking oil FAME</t>
  </si>
  <si>
    <t>Sustainable Marine Fuel (SMF)</t>
  </si>
  <si>
    <t>Reduction % x 94</t>
  </si>
  <si>
    <t>User input above</t>
  </si>
  <si>
    <t>converted from LSFO-eq to USD/GJ</t>
  </si>
  <si>
    <t>Converted to USD/GJ</t>
  </si>
  <si>
    <t>1. Cost of BAU</t>
  </si>
  <si>
    <t>Biodiesel Compliance Cost</t>
  </si>
  <si>
    <t>Biodiesel cost premium</t>
  </si>
  <si>
    <t>bio USD - LSFO USD</t>
  </si>
  <si>
    <t>Biodiesel additional cost per GJ</t>
  </si>
  <si>
    <t>bio EF - LSFO EF</t>
  </si>
  <si>
    <t>target - LSFO actual</t>
  </si>
  <si>
    <t>Required reduction to comply</t>
  </si>
  <si>
    <t>Share of biodiesel per GJ</t>
  </si>
  <si>
    <t>Required abatement / reduction of bio</t>
  </si>
  <si>
    <t>Min share of biodiesel to meet target</t>
  </si>
  <si>
    <t>Cost diff/EF diff</t>
  </si>
  <si>
    <t>Additional cost per t of abatement</t>
  </si>
  <si>
    <t>Target - LSFO actual (converted)</t>
  </si>
  <si>
    <t>The abatement needed (factors in a blended LCV)</t>
  </si>
  <si>
    <t>Abatement cost / emissions per tonne of fuel</t>
  </si>
  <si>
    <t>Additional biodiesel cost to achieve target CO2e reduction</t>
  </si>
  <si>
    <t>FuelEU Penalty Cost</t>
  </si>
  <si>
    <t>Penalty abatement cost</t>
  </si>
  <si>
    <t>Penalty / (LSFO EF converted to tonnes VLSFO)</t>
  </si>
  <si>
    <t>Cost per t of abatement via penalty</t>
  </si>
  <si>
    <t>The required reduction in tonnes CO2e per tonne of LSFO</t>
  </si>
  <si>
    <t>FuelEU Penalty cost</t>
  </si>
  <si>
    <t>USD/tonne of LSFO fuel</t>
  </si>
  <si>
    <t>The penalty for each tonne of fuel</t>
  </si>
  <si>
    <t>Biodiesel blend cost</t>
  </si>
  <si>
    <t>LSFO x TtW CO2e</t>
  </si>
  <si>
    <t>TtW emissions if not blending bio</t>
  </si>
  <si>
    <t>(Share LSFO x TtW CO2e) + (Share biodiesel x TtW CO2e)</t>
  </si>
  <si>
    <t>TtW emissions if biodiesel blended to meet FuelEU target</t>
  </si>
  <si>
    <t>We account for the reduced TtW emissions due to biodiesel blending</t>
  </si>
  <si>
    <t>TtW emissions reduction x ETS price</t>
  </si>
  <si>
    <t>Reduction in ETS costs due to blend</t>
  </si>
  <si>
    <t>Bioblend cost - ETS savings</t>
  </si>
  <si>
    <t>Additional costs to blend biodiesel - savings from ETS reduction</t>
  </si>
  <si>
    <t>What is the cheapest compliance option for BAU?</t>
  </si>
  <si>
    <t>&lt;-- Minimum between the biodiesel blend cost and FuelEU penalty above</t>
  </si>
  <si>
    <t>Min of biodiesel and penalty</t>
  </si>
  <si>
    <t>Used as the cost of FuelEU Compliance for BAU</t>
  </si>
  <si>
    <t>BAU fuel costs with FuelEU and ETS</t>
  </si>
  <si>
    <t>LSFO cost</t>
  </si>
  <si>
    <t>USD/t fuel</t>
  </si>
  <si>
    <t>Min cost compliance option</t>
  </si>
  <si>
    <t>Minimum between biodiesel and penalty</t>
  </si>
  <si>
    <t>ETS Costs</t>
  </si>
  <si>
    <t>Price x TtW emissions</t>
  </si>
  <si>
    <t>Costs with lower TtW emissions blending</t>
  </si>
  <si>
    <t>fuel cost + compliance cost</t>
  </si>
  <si>
    <t>2. Cost of Minimum Share SMF to Meet FuelEU Target</t>
  </si>
  <si>
    <t>Sustainable Marine Fuel Compliance Cost</t>
  </si>
  <si>
    <t>SMF cost premium</t>
  </si>
  <si>
    <t>SMF USD - LSFO USD</t>
  </si>
  <si>
    <t>SMF WtW abatement per GJ</t>
  </si>
  <si>
    <t>SMF EF - LSFO EF</t>
  </si>
  <si>
    <t>Share of SMF per GJ</t>
  </si>
  <si>
    <t>Required abatement / reduction of SMF</t>
  </si>
  <si>
    <t>Min share of SMF to meet target</t>
  </si>
  <si>
    <t>SMF abatement cost</t>
  </si>
  <si>
    <t>SMF abatement cost per tonne of LSFO</t>
  </si>
  <si>
    <t>Abatement premium x emissions per tonne of fuel</t>
  </si>
  <si>
    <t>Converted to cost per tonne of fuel</t>
  </si>
  <si>
    <t>Conventional fuel costs with min share of SMF to meet FuelEU target</t>
  </si>
  <si>
    <t>Using TtW emissions when the fuel is compliant with GFS -- same as those used for blending biodiesel</t>
  </si>
  <si>
    <t>3. Cost of using 100% SMF with Pooling Benefits</t>
  </si>
  <si>
    <t>Surplus Value</t>
  </si>
  <si>
    <t>Price per allowance (based on TtW)</t>
  </si>
  <si>
    <t>ETS Savings converted to 1 tonne WtW abatement</t>
  </si>
  <si>
    <t>ETS price x (TtW/WtW)</t>
  </si>
  <si>
    <t>USD/WtW tCO2e</t>
  </si>
  <si>
    <t>Account for the fact that the savings is only for the TtW portion of abatement</t>
  </si>
  <si>
    <t>FuelEU Market compliance cost per tonne of abatement</t>
  </si>
  <si>
    <t>Minimum: (Blend - ETS) or (Penalty)</t>
  </si>
  <si>
    <t>USD/tonne WtW abatement CO2e</t>
  </si>
  <si>
    <t>Conventional vessels will choose the cheapest between 1) additional cost to blend bio with savings on their ETS costs, or 2) the penalty</t>
  </si>
  <si>
    <t>Value of a surplus tonne of abatement</t>
  </si>
  <si>
    <t>Compliance cost x pooling premium</t>
  </si>
  <si>
    <t>USD/tonne abatement CO2e</t>
  </si>
  <si>
    <t>Applies premium from Input 1 to determine if price is at, above, or below the market cost</t>
  </si>
  <si>
    <t>SMF pooling surplus value</t>
  </si>
  <si>
    <t>SMF fuel cost</t>
  </si>
  <si>
    <t>USD/tLSFO-eq</t>
  </si>
  <si>
    <t>SMF WtW emissions factor</t>
  </si>
  <si>
    <t>94 x reduction</t>
  </si>
  <si>
    <t>gCO2e/MJ</t>
  </si>
  <si>
    <t>Note: We simplify the ETS EF to be 0 CO2e, however, it has TtW emissions from CH4 and N2O</t>
  </si>
  <si>
    <t>SMF WtW emissions factor with RFNBO Multiplier (&lt;2033)</t>
  </si>
  <si>
    <t>EF/2</t>
  </si>
  <si>
    <t>Applies to the MJ denominator</t>
  </si>
  <si>
    <t>SMF surplus intensity</t>
  </si>
  <si>
    <t>FuelEU Target - SMF EF</t>
  </si>
  <si>
    <t>Note: negative values is a deficit that must be reduced</t>
  </si>
  <si>
    <t>Convert to abatement per tonne of LSFO-eq</t>
  </si>
  <si>
    <t>SMF surplus x LSFO LCV</t>
  </si>
  <si>
    <t>tCO2e/tLSFO-eq</t>
  </si>
  <si>
    <t>The surplus CO2e per tonne of fuel (in LSFO-eq)</t>
  </si>
  <si>
    <t>Number of equal ships that can pool</t>
  </si>
  <si>
    <t>SMF fuel surplus / LSFO deficit</t>
  </si>
  <si>
    <t>Ships</t>
  </si>
  <si>
    <t>Max ships with identical consumption that can be pooled</t>
  </si>
  <si>
    <t xml:space="preserve">Surplus value </t>
  </si>
  <si>
    <t>Abatement x surplus value</t>
  </si>
  <si>
    <t>Note: or deficit in the case of negative</t>
  </si>
  <si>
    <t>Cost after pooling</t>
  </si>
  <si>
    <t>SMF fuel cost - surplus value</t>
  </si>
  <si>
    <t>If all surplus sold, the remaining fuel cost</t>
  </si>
  <si>
    <t>NZF Compliance Cost Calculator</t>
  </si>
  <si>
    <t>Results comparing strategies</t>
  </si>
  <si>
    <r>
      <rPr>
        <b/>
        <sz val="10"/>
        <color theme="0"/>
        <rFont val="Arial"/>
        <family val="2"/>
        <scheme val="minor"/>
      </rPr>
      <t>Disclaimer</t>
    </r>
    <r>
      <rPr>
        <sz val="10"/>
        <color theme="0"/>
        <rFont val="Arial"/>
        <family val="2"/>
        <scheme val="minor"/>
      </rPr>
      <t>: This calculator is meant to indicate potential costs but is not a price forecasting tool. It should not be taken as investment, financial, legal, tax, or accounting advice. Please evaluate assumptions before making decisions. This calculator is provided "as is" with no warranties, and the Fonden Mærsk Mc-Kinney Møller Center for Zero Carbon Shipping is not responsible for errors or damages arising from its use.</t>
    </r>
  </si>
  <si>
    <r>
      <rPr>
        <b/>
        <sz val="10"/>
        <color rgb="FF000000"/>
        <rFont val="Calibri"/>
        <family val="2"/>
      </rPr>
      <t>Version updates:</t>
    </r>
    <r>
      <rPr>
        <sz val="10"/>
        <color rgb="FF000000"/>
        <rFont val="Calibri"/>
        <family val="2"/>
      </rPr>
      <t xml:space="preserve"> The Calculator has been updated with the values from the Net Zero Framework (WP11) reflecting the agreement reached in April 2025 at MEPC 83. In some cases, such as the GFI reduction factors after 2035, no values have been decided. In these cases we made an assumption as to the future values and will update these as further decsions are made.</t>
    </r>
  </si>
  <si>
    <t>MMMCZCS IMO Knowledge Hub Link</t>
  </si>
  <si>
    <r>
      <rPr>
        <b/>
        <sz val="10"/>
        <color rgb="FF000000"/>
        <rFont val="Calibri"/>
        <family val="2"/>
      </rPr>
      <t>Purpose:</t>
    </r>
    <r>
      <rPr>
        <sz val="10"/>
        <color rgb="FF000000"/>
        <rFont val="Calibri"/>
        <family val="2"/>
      </rPr>
      <t xml:space="preserve"> This tool is for policymakers and the industry seeking a deeper understanding of the agreed upon Net Zero Framework and how agreed regulations translate into incentives to invest in sustainable alternatives. The tool allows users to assess the impacts of the Framework. Users can input assumptions regarding fuel costs and emissions factors, tailoring the analysis to each organization's perspectives. The definition of zero- and near-zero fuels has yet to be defined beyond GHG threshold values. Further, the rewards these fuels will receive is also undefined. Therefore, the user can use a range of assumptions on the reward value.</t>
    </r>
  </si>
  <si>
    <r>
      <rPr>
        <b/>
        <sz val="10"/>
        <color rgb="FF000000"/>
        <rFont val="Calibri"/>
        <family val="2"/>
      </rPr>
      <t xml:space="preserve">How to use the model: </t>
    </r>
    <r>
      <rPr>
        <sz val="10"/>
        <color rgb="FF000000"/>
        <rFont val="Calibri"/>
        <family val="2"/>
      </rPr>
      <t>Commercial stakeholders will have different options for how to comply with the regulations. Here we define four compliance strategies, aiming to represent different decisions that  stakeholders may make to minimize costs.The strategies are: 1) a base case using LSFO and the lowest cost between blending bio-diesel or paying the remedial unit penalty (RU), 2) LNG and the lowest cost between blending bio-methane or paying the RU, 3) LSFO and the lowest cost between ZNZ and paying the RU, and 4) using 100% ZNZ and trading the surplus compliance. The tool allows users to compare these strategies, and how they are affected by the MTMs. To evaluate the relative costs of the strategies, first set assumptions on trading and ZNZs, then set assumptions for the four compliance strategies. For many inputs, you can decide to use standard MMMCZCS assumptions or enter your own. Note that the four strategies are illustrative and not-exhaustive, furthermore, strategies can be combined by, for example, by running a dual-fuel vessel on LSFO and bio-diesel, or an LNG vessel on ZNZ e-methane.</t>
    </r>
  </si>
  <si>
    <r>
      <rPr>
        <b/>
        <sz val="10"/>
        <color rgb="FF000000"/>
        <rFont val="Calibri"/>
        <family val="2"/>
      </rPr>
      <t>Logic for trading value:</t>
    </r>
    <r>
      <rPr>
        <sz val="10"/>
        <color rgb="FF000000"/>
        <rFont val="Calibri"/>
        <family val="2"/>
      </rPr>
      <t xml:space="preserve"> The GFS includes the ability to sell surplus compliance to ships with a deficit. Here we assume that the price of the surplus compliance units will be based on the market cost of compliance, i.e., the lowest between four options a) Tier 2 remedial unit cost, b) bio-diesel blend cost, c) bio-methane blend cost, or d) ZNZ fuel cost. This method aims to mimic a market equilibrium in which the surplus unit prices are set at the the level where marginal abatement cost is equal to the marginal demand for abatement. In the case of a GFS, the demand curve is fixed at a set quantity by the GFI target. To approximate this equilibrium, the tool allows the user to decide which compliance options should be included in the calculation, based on whether there will be sufficient supply of ZNZ, bio-diesel, or bio-methane in the market to dictate the market price of surplus units. If the user chooses that biodiesel, biomethane, and ZNZs will not be available in sufficient quantities, the surplus units are priced at the Tier 2 RU.</t>
    </r>
  </si>
  <si>
    <r>
      <rPr>
        <b/>
        <sz val="10"/>
        <color theme="1"/>
        <rFont val="Arial"/>
        <family val="2"/>
        <scheme val="minor"/>
      </rPr>
      <t>Note:</t>
    </r>
    <r>
      <rPr>
        <sz val="10"/>
        <color theme="1"/>
        <rFont val="Arial"/>
        <family val="2"/>
        <scheme val="minor"/>
      </rPr>
      <t xml:space="preserve"> Costs are all shown in USD per equivalence to 1 tonne of LSFO, using an energy content (LCV) of LSFO to allow for comparison between fuels. Additional costs such as captial expenditure of vessels, and additional operating costs will factor into decision making but these will generally play a smaller role compared to fuel costs.</t>
    </r>
  </si>
  <si>
    <t>User input</t>
  </si>
  <si>
    <t>Policy assumptions setup</t>
  </si>
  <si>
    <t>Notes/sources</t>
  </si>
  <si>
    <t>Drop-downs</t>
  </si>
  <si>
    <t>Year for snapshot figures</t>
  </si>
  <si>
    <t>Year used for the four strategy figures that isolate costs in a single year</t>
  </si>
  <si>
    <t>CIA Reward Rate Base (90 to 60% of cost gap)</t>
  </si>
  <si>
    <t>CIA Reward Rate High (105% of cost gap)</t>
  </si>
  <si>
    <t>Bio-diesel</t>
  </si>
  <si>
    <t>ZNZ reward [USD/tonne CO2e]</t>
  </si>
  <si>
    <t>Example Reward High (400 to 5 USD/tCO2e)</t>
  </si>
  <si>
    <t>LNG (HP)</t>
  </si>
  <si>
    <t>Choose reward rate</t>
  </si>
  <si>
    <r>
      <t xml:space="preserve">Reward rates and mechanisms for disbursement have not been defined. Here we assume that they are allocated per tonne of CO2e below the reference value. There are four options: </t>
    </r>
    <r>
      <rPr>
        <b/>
        <sz val="9"/>
        <color theme="0"/>
        <rFont val="Arial"/>
        <family val="2"/>
        <scheme val="minor"/>
      </rPr>
      <t>'CIA Reward Rates'</t>
    </r>
    <r>
      <rPr>
        <sz val="9"/>
        <color theme="0"/>
        <rFont val="Arial"/>
        <family val="2"/>
        <scheme val="minor"/>
      </rPr>
      <t xml:space="preserve"> based on scenarios from the Comprehensive Impact Assessment (CIA) by DNV for MEPC 82 using the cost gap between bio-methane and e-ammoni. The 90 to 60% or 105% refer to the share of cost gap covered by the reward. Alternatively, </t>
    </r>
    <r>
      <rPr>
        <b/>
        <sz val="9"/>
        <color theme="0"/>
        <rFont val="Arial"/>
        <family val="2"/>
        <scheme val="minor"/>
      </rPr>
      <t>'Example Reward Rates'</t>
    </r>
    <r>
      <rPr>
        <sz val="9"/>
        <color theme="0"/>
        <rFont val="Arial"/>
        <family val="2"/>
        <scheme val="minor"/>
      </rPr>
      <t xml:space="preserve"> provide values based on internal analysis for possible rewards with a high range (starting at 400 USD/tCO2e) and low range (starting at 200 USD/tCO2e).</t>
    </r>
  </si>
  <si>
    <t>Example Reward Low (200 to 5 USD/tCO2e)</t>
  </si>
  <si>
    <t>LNG (LP)</t>
  </si>
  <si>
    <t>Bio-methane (HP)</t>
  </si>
  <si>
    <t>Will the following energy sources be available in sufficient quantities to be able to set the surplus unit price?</t>
  </si>
  <si>
    <t>MMM LSFO</t>
  </si>
  <si>
    <t>Bio-methane (LP)</t>
  </si>
  <si>
    <t>Will bio-diesel set surplus unit prices?</t>
  </si>
  <si>
    <t>We assume the cost of surplus units will be determined by the cheapest of four options 1) the RU, 2) the bio-diesel blend compliance cost, 3) bio-methane blend compliance cost, 4) the ZNZ compliance cost. Select no if you think there will be insufficient quantities of these fuels to exclude them from setting the price.</t>
  </si>
  <si>
    <t>Enter fixed price</t>
  </si>
  <si>
    <t>ZNZ</t>
  </si>
  <si>
    <t>Will bio-methane set surplus unit prices?</t>
  </si>
  <si>
    <t>MMM LNG</t>
  </si>
  <si>
    <t>Will ZNZs set surplus unit prices?</t>
  </si>
  <si>
    <t>LR/UMAS B100 - Avg Price</t>
  </si>
  <si>
    <t>Strategy 1: LSFO + bio-diesel</t>
  </si>
  <si>
    <t>Sources</t>
  </si>
  <si>
    <t>LR/UMAS B100 - Low Price</t>
  </si>
  <si>
    <t>LSFO fuel costs [USD/tonne LSFO]</t>
  </si>
  <si>
    <t>LR/UMAS B100 - High Price</t>
  </si>
  <si>
    <t>Min ZNZ Threshold</t>
  </si>
  <si>
    <t>Use a MMMCZCS forecast or enter your own</t>
  </si>
  <si>
    <t>MMM Bio-methane Cost</t>
  </si>
  <si>
    <t>Bio-diesel fuel costs [USD/tLSFOeq]</t>
  </si>
  <si>
    <t>Otto dual fuel (LP)</t>
  </si>
  <si>
    <t>Use a bio-diesel forecast from LR &amp; UMAS or enter your own (B100 = 100% bio-diesel)</t>
  </si>
  <si>
    <t>Diesel dual fuel (HP)</t>
  </si>
  <si>
    <t>MMM ZNZ - Avg Cost</t>
  </si>
  <si>
    <t>MMM ZNZ - Low Cost</t>
  </si>
  <si>
    <t>Strategy 2: LNG + bio-methane</t>
  </si>
  <si>
    <t>MMM ZNZ - High Cost</t>
  </si>
  <si>
    <t>LNG engine type and fuel costs [USD/tLSFO-eq]</t>
  </si>
  <si>
    <t>Choose LNG engine type</t>
  </si>
  <si>
    <r>
      <t xml:space="preserve">Determines the emissions factors due to variation in TTW slip onboard the vessel. We use values from  MEPC 81/16/Add.1, Annex 10. for  two engine types: Otto cycle low pressure (LP): 1.7% and Diesel high pressure (HP): 0.15%. LP is the engine of choice for LNG carriers, while the orderbook contains more HP engines, primarily used in non-LNG carriers. Where values don't exist we use values from the FuelEU Regulation. </t>
    </r>
    <r>
      <rPr>
        <b/>
        <sz val="9"/>
        <color theme="0"/>
        <rFont val="Arial"/>
        <family val="2"/>
        <scheme val="minor"/>
      </rPr>
      <t>Note:</t>
    </r>
    <r>
      <rPr>
        <sz val="9"/>
        <color theme="0"/>
        <rFont val="Arial"/>
        <family val="2"/>
        <scheme val="minor"/>
      </rPr>
      <t xml:space="preserve"> these values should be seen as a rough estimate and are subject to updates to the LCA framework.</t>
    </r>
  </si>
  <si>
    <t>Tables for figures</t>
  </si>
  <si>
    <t>Use MMMCZCS forecast for fuel costs?</t>
  </si>
  <si>
    <t xml:space="preserve">Comparing MTM Compliance Strategies [USD/tLSFOeq] </t>
  </si>
  <si>
    <t>Strategy 1: LSFO + bio-diesel (base case)</t>
  </si>
  <si>
    <t>LNG: bio-methane fuel costs [USD/tLSFOeq]</t>
  </si>
  <si>
    <t>Choose between our Fuel Cost Calculator values, with increasing costs over time (due to feedstock cost constraints) or enter your own</t>
  </si>
  <si>
    <t>Strategy 3: LSFO + ZNZ</t>
  </si>
  <si>
    <t>Strategy 4: 100% ZNZ</t>
  </si>
  <si>
    <t>Strategies 3 &amp; 4: ZNZ</t>
  </si>
  <si>
    <t>Set ZNZ marine fuel characteristics</t>
  </si>
  <si>
    <t>LSFO fuel</t>
  </si>
  <si>
    <t>LNG fuel</t>
  </si>
  <si>
    <t>ZNZ fuel</t>
  </si>
  <si>
    <t>Use minimum ZNZ Threshold</t>
  </si>
  <si>
    <t>The MEPC83/WP11 Agreement includes threshold for rewarding ZNZs of 19 gCO2e/MJ from 2028 - 2034, and 14gCO2e/MJ after</t>
  </si>
  <si>
    <t>Tier 2 (Bio or RU2)</t>
  </si>
  <si>
    <t>Tier 2 (Bio-methane or RU2)</t>
  </si>
  <si>
    <t>Tier 2 (ZNZ or RU2)</t>
  </si>
  <si>
    <t>ZNZ fuel (after rewards and surplus)</t>
  </si>
  <si>
    <t>Tier 1 (Bio or RU1)</t>
  </si>
  <si>
    <t>Tier 2 (Bio-methane or RU1)</t>
  </si>
  <si>
    <t>Tier 1 (ZNZ or RU1)</t>
  </si>
  <si>
    <t>Tier 2 RU2</t>
  </si>
  <si>
    <t>Use MMMCZCS Fuel Cost Calculator or enter your own</t>
  </si>
  <si>
    <t>Here the costs are from our Fuel Cost Calculator. Note: the costs vary over time assuming learning curves, therefore, this mimics spot prices.</t>
  </si>
  <si>
    <t>Total S1</t>
  </si>
  <si>
    <t>ZNZ Reward</t>
  </si>
  <si>
    <t>Tier 1 RU1</t>
  </si>
  <si>
    <t>Total S2</t>
  </si>
  <si>
    <t>Total S3</t>
  </si>
  <si>
    <t>Total S4</t>
  </si>
  <si>
    <t>Input 1</t>
  </si>
  <si>
    <t>Input 2</t>
  </si>
  <si>
    <t>Pure LSFO strategy</t>
  </si>
  <si>
    <t>ZNZ strategy &amp; Bio-diesel blend</t>
  </si>
  <si>
    <t>GFI Reduction Factors Tier 2 (Base)</t>
  </si>
  <si>
    <t>Fixed</t>
  </si>
  <si>
    <t>GFI reference x z-factor</t>
  </si>
  <si>
    <t>GFI Reduction Factors Tier 1 (Direct)</t>
  </si>
  <si>
    <t>Reward Rate</t>
  </si>
  <si>
    <t>Based on user input</t>
  </si>
  <si>
    <t>USD/tCO2e</t>
  </si>
  <si>
    <t>Surplus Units up to Tier 1 Compliance</t>
  </si>
  <si>
    <t>Fuel cost calculations</t>
  </si>
  <si>
    <t>Fuel Costs</t>
  </si>
  <si>
    <t>User Input / Lookups</t>
  </si>
  <si>
    <t>LSFO Emissions Factor</t>
  </si>
  <si>
    <t>LSFO Emissions Factor (Converted)</t>
  </si>
  <si>
    <t>Emission factor / 1000</t>
  </si>
  <si>
    <t>tCO2e/GJ</t>
  </si>
  <si>
    <t>LSFO Tier 2 Emissions Deficit</t>
  </si>
  <si>
    <t>Deficit with Tier 2 requirement</t>
  </si>
  <si>
    <t>tCO2e deficit/tLSFO</t>
  </si>
  <si>
    <t>LSFO Tier 1 Emissions Deficit</t>
  </si>
  <si>
    <t>Additional deficit with Tier 1 requirement</t>
  </si>
  <si>
    <t>Lower Target - LSFO actual - Deficit Tier 1</t>
  </si>
  <si>
    <t>LSFO Fuel Cost</t>
  </si>
  <si>
    <t>LSFO Tier 2 RU cost per tonne of LSFO</t>
  </si>
  <si>
    <t>USD/tLSFO</t>
  </si>
  <si>
    <t>LSFO Tier 1 RU cost per tonne of LSFO</t>
  </si>
  <si>
    <t>LNG Emissions Factor</t>
  </si>
  <si>
    <t>LNG Emissions Factor (Converted)</t>
  </si>
  <si>
    <t>LNG Tier 2 Emissions Deficit</t>
  </si>
  <si>
    <t>Target - LNG actual (converted)</t>
  </si>
  <si>
    <t>tCO2e deficit/tLSFOeq</t>
  </si>
  <si>
    <t>LNG Tier 1 Emissions Deficit</t>
  </si>
  <si>
    <t>Lower Target - LNG actual - Deficit Tier 1</t>
  </si>
  <si>
    <t>LNG Emissions Surplus</t>
  </si>
  <si>
    <t>If 2-tier, surplus is with lower requirement</t>
  </si>
  <si>
    <t>tCO2e surplus/tLSFOeq</t>
  </si>
  <si>
    <t>LNG Fuel Cost</t>
  </si>
  <si>
    <t>LNG Tier 2 RU cost per tonne of LSFOeq</t>
  </si>
  <si>
    <t>LNG Tier 1 RU cost per tonne of LSFOeq</t>
  </si>
  <si>
    <t>Bio-diesel Emissions Factor</t>
  </si>
  <si>
    <t>Bio-diesel Emissions Factor (Converted)</t>
  </si>
  <si>
    <t>Bio-diesel Emissions Deficit</t>
  </si>
  <si>
    <t>Target - Bio-diesel actual (converted)</t>
  </si>
  <si>
    <t>Bio-diesel Fuel Cost</t>
  </si>
  <si>
    <t>Bio-methane</t>
  </si>
  <si>
    <t>Bio-methane Emissions Factor</t>
  </si>
  <si>
    <t>Bio-methane Emissions Factor (Converted)</t>
  </si>
  <si>
    <t>Bio-methane Emissions Deficit</t>
  </si>
  <si>
    <t>Target - Bio-methane actual (converted)</t>
  </si>
  <si>
    <t>Bio-methane Fuel Cost</t>
  </si>
  <si>
    <t>ZNZ Emission Factor</t>
  </si>
  <si>
    <t>ZNZ Emission Factor (Converted)</t>
  </si>
  <si>
    <t>ZNZ Tier 2 Emissions Deficit</t>
  </si>
  <si>
    <t>Target - ZNZ actual (converted)</t>
  </si>
  <si>
    <t>ZNZ Tier 1 Emissions Deficit</t>
  </si>
  <si>
    <t>Lower Target - ZNZ actual - Deficit Tier 1</t>
  </si>
  <si>
    <t>ZNZ Emissions Surplus</t>
  </si>
  <si>
    <t>Surplus is with Tier 1 requirement</t>
  </si>
  <si>
    <t>ZNZ Fuel Cost</t>
  </si>
  <si>
    <t>Surplus Unit Value</t>
  </si>
  <si>
    <t>Abatement</t>
  </si>
  <si>
    <t>Abatement cost - Reward</t>
  </si>
  <si>
    <t>Bio-diesel blend</t>
  </si>
  <si>
    <t>Abatement cost</t>
  </si>
  <si>
    <t>Bio-methane blend</t>
  </si>
  <si>
    <t>Remedial Unit</t>
  </si>
  <si>
    <t>Cost to buy one remedial unit</t>
  </si>
  <si>
    <t>USD/tCO2e deficit</t>
  </si>
  <si>
    <t>Market price of surplus unit</t>
  </si>
  <si>
    <t>Minimum  abatement cost of RUs and other available compliance options</t>
  </si>
  <si>
    <t>USD/tonne of CO2e abatement</t>
  </si>
  <si>
    <t>Strategy 1: LSFO + Bio-diesel (base case)</t>
  </si>
  <si>
    <t>Bio-diesel cost premium</t>
  </si>
  <si>
    <t>Bio-diesel additional cost per GJ</t>
  </si>
  <si>
    <t>bio cost - LSFO cost</t>
  </si>
  <si>
    <t>Bio-diesel abatement per GJ</t>
  </si>
  <si>
    <t>Tier 2</t>
  </si>
  <si>
    <t>Bio-diesel blend abatement cost</t>
  </si>
  <si>
    <t>Minimum compliance cost</t>
  </si>
  <si>
    <t>Lowest cost compliance cost</t>
  </si>
  <si>
    <t>Minimum</t>
  </si>
  <si>
    <t>Minimum compliance option</t>
  </si>
  <si>
    <t>Lowest cost compliance option</t>
  </si>
  <si>
    <t>GFS Tier 2 cost</t>
  </si>
  <si>
    <t>Lowest cost option converted</t>
  </si>
  <si>
    <t>If bio, abate cost x abatement</t>
  </si>
  <si>
    <t>Tier 1</t>
  </si>
  <si>
    <t>Lower Tier Minimum compliance cost</t>
  </si>
  <si>
    <t>Lower Tier Minimum compliance option</t>
  </si>
  <si>
    <t>GFS Tier 1 cost</t>
  </si>
  <si>
    <t>Total Costs</t>
  </si>
  <si>
    <t>Cost per tonne of LSFO or equivalence</t>
  </si>
  <si>
    <t>Minimum between Bio-diesel and RU</t>
  </si>
  <si>
    <t>fuel cost + GFS compliance cost</t>
  </si>
  <si>
    <t>Strategy 2: LNG + Bio-methane</t>
  </si>
  <si>
    <t>Bio-methane cost premium</t>
  </si>
  <si>
    <t>Bio-methane additional cost per GJ</t>
  </si>
  <si>
    <t>Bio-methane abatement per GJ</t>
  </si>
  <si>
    <t>Bio-methane blend abatement cost</t>
  </si>
  <si>
    <t>Surplus</t>
  </si>
  <si>
    <t>Surplus when LNG emissions factor is lower than GFI requirement</t>
  </si>
  <si>
    <t>Alt surplus x LSFO LCV</t>
  </si>
  <si>
    <t>Surplus at the market value</t>
  </si>
  <si>
    <t>Cost per tonne of LNG or equivalence</t>
  </si>
  <si>
    <t>Minimum between Bio-methane and penalty</t>
  </si>
  <si>
    <t>ZNZ cost premium</t>
  </si>
  <si>
    <t>ZNZ additional cost per GJ</t>
  </si>
  <si>
    <t>ZNZ cost - LSFO cost</t>
  </si>
  <si>
    <t>ZNZ abatement per GJ</t>
  </si>
  <si>
    <t>ZNZ EF - LSFO EF</t>
  </si>
  <si>
    <t>ZNZ blend abatement cost</t>
  </si>
  <si>
    <t>If ZNZ, abate cost x abatement</t>
  </si>
  <si>
    <t>Emissions factor</t>
  </si>
  <si>
    <t>Reward</t>
  </si>
  <si>
    <t>ZNZ abatement</t>
  </si>
  <si>
    <t>attained EF - LSFO EF</t>
  </si>
  <si>
    <t>ZNZ reward</t>
  </si>
  <si>
    <t>Rewards are granted per tonne abatement by a ZNZ</t>
  </si>
  <si>
    <t>abatement x reward</t>
  </si>
  <si>
    <t>Minimum between ZNZ and penalty</t>
  </si>
  <si>
    <t>Tier 2 cost of Rus</t>
  </si>
  <si>
    <t>Assumes deficits comply with RUs</t>
  </si>
  <si>
    <t>Deficit x RU (Upper)</t>
  </si>
  <si>
    <t>Tier 1 cost of Rus</t>
  </si>
  <si>
    <t>RU for deficits with Lower Requirement</t>
  </si>
  <si>
    <t>Lower Target Deficit x RU</t>
  </si>
  <si>
    <t>If there is a deficit, assumed RU</t>
  </si>
  <si>
    <t>Deficit for lower tier, also RU</t>
  </si>
  <si>
    <t>Feed-in-model calculations:</t>
  </si>
  <si>
    <t>Feed-in-model calculations - ZNZ strategy:</t>
  </si>
  <si>
    <t>Feed-in-model calculations - LSFI and bio-diesel blend:</t>
  </si>
  <si>
    <t>GHG Reference values and emissions factors</t>
  </si>
  <si>
    <t>WtW</t>
  </si>
  <si>
    <t>Lower Calorific Value</t>
  </si>
  <si>
    <t>MJ/g</t>
  </si>
  <si>
    <t>MEPC 83/WP.11</t>
  </si>
  <si>
    <t>We use VLSFO values from MEPC 81/16/Add.1, Annex 10, Appendix 2 (pg 49)</t>
  </si>
  <si>
    <t>We use values from MEPC 81/16/Add.1, Annex 10, Appendix 2. Where values were missing, we used FuelEU Annex II.</t>
  </si>
  <si>
    <t>Policy Parameters</t>
  </si>
  <si>
    <t>Parameter</t>
  </si>
  <si>
    <t>units</t>
  </si>
  <si>
    <t>Tier 2 Remedial Unit Cost</t>
  </si>
  <si>
    <t>USD/Tonne CO2eq</t>
  </si>
  <si>
    <t>Tier 1 Remedial Unit Cost</t>
  </si>
  <si>
    <t>Minimum ZNZ Threshold</t>
  </si>
  <si>
    <t>CIA Fleet (DNV) Appendix C (table C-2)</t>
  </si>
  <si>
    <t>Fuel Cost Variables</t>
  </si>
  <si>
    <t>Variable</t>
  </si>
  <si>
    <t>MMMCZCS, 2024 (forthcoming version)</t>
  </si>
  <si>
    <t>Reference Value (gCO2e/MJ)</t>
  </si>
  <si>
    <t>Over-compliant</t>
  </si>
  <si>
    <t>Tier 1 Range</t>
  </si>
  <si>
    <t>Tier 2 Range</t>
  </si>
  <si>
    <t>Tier 2 (%)</t>
  </si>
  <si>
    <t>Tier 2 Reduction (%)</t>
  </si>
  <si>
    <t>Tier 1 (%)</t>
  </si>
  <si>
    <t>Tier 1 Reduction (%)</t>
  </si>
  <si>
    <t>Tier 1 (gCO2e/MJ)</t>
  </si>
  <si>
    <t>Tier 2 (gCO2e/MJ)</t>
  </si>
  <si>
    <t>Non-compliant</t>
  </si>
  <si>
    <t>Pre-NZF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</si>
</sst>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8" formatCode="#,##0.00\ &quot;kr.&quot;;[Red]\-#,##0.00\ &quot;kr.&quot;"/>
    <numFmt numFmtId="44" formatCode="_-* #,##0.00\ &quot;kr.&quot;_-;\-* #,##0.00\ &quot;kr.&quot;_-;_-* &quot;-&quot;??\ &quot;kr.&quot;_-;_-@_-"/>
    <numFmt numFmtId="43" formatCode="_-* #,##0.00_-;\-* #,##0.00_-;_-* &quot;-&quot;??_-;_-@_-"/>
    <numFmt numFmtId="164" formatCode="0.0%"/>
    <numFmt numFmtId="165" formatCode="_-* #,##0.00\ _k_r_._-;\-* #,##0.00\ _k_r_._-;_-* &quot;-&quot;??\ _k_r_._-;_-@_-"/>
    <numFmt numFmtId="166" formatCode="_-* #,##0_-;\-* #,##0_-;_-* &quot;-&quot;??_-;_-@_-"/>
    <numFmt numFmtId="167" formatCode="_-* #,##0.000_-;\-* #,##0.000_-;_-* &quot;-&quot;??_-;_-@_-"/>
    <numFmt numFmtId="168" formatCode="_-* #,##0.0_-;\-* #,##0.0_-;_-* &quot;-&quot;??_-;_-@_-"/>
    <numFmt numFmtId="169" formatCode="_(* #,##0_);_(* \(#,##0\);_(* &quot;-&quot;??_);_(@_)"/>
    <numFmt numFmtId="170" formatCode="0.000000"/>
    <numFmt numFmtId="171" formatCode="#,##0\ ;\(#,##0\);&quot;-&quot;\ "/>
    <numFmt numFmtId="172" formatCode="0.000"/>
    <numFmt numFmtId="173" formatCode="0.0000"/>
    <numFmt numFmtId="174" formatCode="#,##0%"/>
    <numFmt numFmtId="175" formatCode="#,##0.00\ ;\(#,##0.00\);&quot;-&quot;\ "/>
    <numFmt numFmtId="176" formatCode="#,##0.0\ ;\(#,##0.0\);&quot;-&quot;\ "/>
    <numFmt numFmtId="177" formatCode="0%;\(0%\);&quot;-&quot;\ "/>
    <numFmt numFmtId="178" formatCode="0.0\ ;\(0.0\);&quot;-&quot;"/>
    <numFmt numFmtId="179" formatCode="0.000%"/>
    <numFmt numFmtId="180" formatCode="0.000000000000000%"/>
    <numFmt numFmtId="181" formatCode="0.0"/>
  </numFmts>
  <fonts count="130">
    <font>
      <sz val="11"/>
      <color theme="1"/>
      <name val="Arial"/>
      <family val="2"/>
      <scheme val="minor"/>
    </font>
    <font>
      <sz val="11"/>
      <color theme="1"/>
      <name val="Arial"/>
      <family val="2"/>
      <scheme val="minor"/>
    </font>
    <font>
      <b/>
      <sz val="11"/>
      <color rgb="FF3F3F3F"/>
      <name val="Arial"/>
      <family val="2"/>
      <scheme val="minor"/>
    </font>
    <font>
      <b/>
      <sz val="11"/>
      <name val="Arial"/>
      <family val="2"/>
      <scheme val="minor"/>
    </font>
    <font>
      <sz val="11"/>
      <color rgb="FF3F3F76"/>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3"/>
      <name val="Arial"/>
      <family val="2"/>
      <scheme val="minor"/>
    </font>
    <font>
      <sz val="11"/>
      <color rgb="FFC00000"/>
      <name val="Arial"/>
      <family val="2"/>
      <scheme val="minor"/>
    </font>
    <font>
      <sz val="11"/>
      <name val="Arial"/>
      <family val="2"/>
      <scheme val="minor"/>
    </font>
    <font>
      <u/>
      <sz val="11"/>
      <color theme="6"/>
      <name val="Arial"/>
      <family val="2"/>
      <scheme val="minor"/>
    </font>
    <font>
      <b/>
      <sz val="22"/>
      <name val="Georgia"/>
      <family val="2"/>
      <scheme val="major"/>
    </font>
    <font>
      <sz val="11"/>
      <color rgb="FF0000FF"/>
      <name val="Arial"/>
      <family val="2"/>
      <scheme val="minor"/>
    </font>
    <font>
      <sz val="11"/>
      <color theme="1" tint="0.34998626667073579"/>
      <name val="Arial"/>
      <family val="2"/>
      <scheme val="minor"/>
    </font>
    <font>
      <sz val="9"/>
      <color theme="1"/>
      <name val="Arial"/>
      <family val="2"/>
    </font>
    <font>
      <b/>
      <sz val="11"/>
      <color theme="1"/>
      <name val="Arial"/>
      <family val="2"/>
      <scheme val="minor"/>
    </font>
    <font>
      <b/>
      <sz val="18"/>
      <name val="Arial"/>
      <family val="2"/>
      <scheme val="minor"/>
    </font>
    <font>
      <b/>
      <sz val="11"/>
      <color indexed="9"/>
      <name val="Arial"/>
      <family val="2"/>
      <scheme val="minor"/>
    </font>
    <font>
      <sz val="11"/>
      <color indexed="9"/>
      <name val="Arial"/>
      <family val="2"/>
      <scheme val="minor"/>
    </font>
    <font>
      <b/>
      <sz val="11"/>
      <color rgb="FF000000"/>
      <name val="Arial"/>
      <family val="2"/>
      <scheme val="minor"/>
    </font>
    <font>
      <sz val="11"/>
      <color rgb="FF000000"/>
      <name val="Arial"/>
      <family val="2"/>
      <scheme val="minor"/>
    </font>
    <font>
      <sz val="11"/>
      <color rgb="FF2251FF"/>
      <name val="Arial"/>
      <family val="2"/>
      <scheme val="minor"/>
    </font>
    <font>
      <i/>
      <sz val="11"/>
      <color theme="1"/>
      <name val="Arial"/>
      <family val="2"/>
      <scheme val="minor"/>
    </font>
    <font>
      <b/>
      <sz val="18"/>
      <color theme="1"/>
      <name val="Arial"/>
      <family val="2"/>
    </font>
    <font>
      <b/>
      <sz val="12"/>
      <color theme="1"/>
      <name val="Calibri"/>
      <family val="2"/>
    </font>
    <font>
      <sz val="12"/>
      <color theme="1"/>
      <name val="Calibri"/>
      <family val="2"/>
    </font>
    <font>
      <sz val="11"/>
      <color rgb="FFD0D0D0"/>
      <name val="Arial"/>
      <family val="2"/>
      <scheme val="minor"/>
    </font>
    <font>
      <b/>
      <sz val="10"/>
      <color theme="0"/>
      <name val="Arial"/>
      <family val="2"/>
    </font>
    <font>
      <sz val="10"/>
      <color theme="0"/>
      <name val="Arial"/>
      <family val="2"/>
    </font>
    <font>
      <i/>
      <sz val="11"/>
      <color rgb="FFD0D0D0"/>
      <name val="Arial"/>
      <family val="2"/>
      <scheme val="minor"/>
    </font>
    <font>
      <i/>
      <sz val="11"/>
      <color theme="2" tint="-0.249977111117893"/>
      <name val="Arial"/>
      <family val="2"/>
      <scheme val="minor"/>
    </font>
    <font>
      <b/>
      <i/>
      <sz val="11"/>
      <color theme="2" tint="-0.249977111117893"/>
      <name val="Arial"/>
      <family val="2"/>
      <scheme val="minor"/>
    </font>
    <font>
      <sz val="11"/>
      <color theme="6"/>
      <name val="Arial"/>
      <family val="2"/>
      <scheme val="minor"/>
    </font>
    <font>
      <sz val="11"/>
      <color theme="0"/>
      <name val="Arial"/>
      <family val="2"/>
      <scheme val="minor"/>
    </font>
    <font>
      <i/>
      <sz val="11"/>
      <name val="Arial"/>
      <family val="2"/>
      <scheme val="minor"/>
    </font>
    <font>
      <u/>
      <sz val="11"/>
      <color theme="10"/>
      <name val="Arial"/>
      <family val="2"/>
      <scheme val="minor"/>
    </font>
    <font>
      <b/>
      <u/>
      <sz val="11"/>
      <color rgb="FF000000"/>
      <name val="Arial"/>
      <family val="2"/>
      <scheme val="minor"/>
    </font>
    <font>
      <sz val="9"/>
      <color theme="1"/>
      <name val="Arial"/>
      <family val="2"/>
      <scheme val="minor"/>
    </font>
    <font>
      <b/>
      <sz val="24"/>
      <color theme="1"/>
      <name val="Arial"/>
      <family val="2"/>
      <scheme val="minor"/>
    </font>
    <font>
      <i/>
      <sz val="11"/>
      <color theme="6"/>
      <name val="Arial"/>
      <family val="2"/>
      <scheme val="minor"/>
    </font>
    <font>
      <b/>
      <sz val="11"/>
      <name val="Arial"/>
      <family val="2"/>
    </font>
    <font>
      <b/>
      <i/>
      <sz val="11"/>
      <color theme="1"/>
      <name val="Arial"/>
      <family val="2"/>
      <scheme val="minor"/>
    </font>
    <font>
      <i/>
      <sz val="11"/>
      <color rgb="FFFF0000"/>
      <name val="Arial"/>
      <family val="2"/>
      <scheme val="minor"/>
    </font>
    <font>
      <b/>
      <u/>
      <sz val="11"/>
      <color theme="1"/>
      <name val="Arial"/>
      <family val="2"/>
      <scheme val="minor"/>
    </font>
    <font>
      <i/>
      <sz val="11"/>
      <color theme="0"/>
      <name val="Arial"/>
      <family val="2"/>
      <scheme val="minor"/>
    </font>
    <font>
      <sz val="10"/>
      <name val="Calibri"/>
      <family val="2"/>
    </font>
    <font>
      <sz val="11"/>
      <color rgb="FF9C5700"/>
      <name val="Arial"/>
      <family val="2"/>
      <scheme val="minor"/>
    </font>
    <font>
      <b/>
      <sz val="16"/>
      <color theme="0"/>
      <name val="Arial"/>
      <family val="2"/>
      <scheme val="minor"/>
    </font>
    <font>
      <b/>
      <sz val="12"/>
      <color theme="1"/>
      <name val="Arial"/>
      <family val="2"/>
      <scheme val="minor"/>
    </font>
    <font>
      <sz val="8"/>
      <color theme="1"/>
      <name val="Arial"/>
      <family val="2"/>
      <scheme val="minor"/>
    </font>
    <font>
      <b/>
      <sz val="12"/>
      <color theme="0"/>
      <name val="Arial"/>
      <family val="2"/>
      <scheme val="minor"/>
    </font>
    <font>
      <i/>
      <u/>
      <sz val="10"/>
      <color theme="10"/>
      <name val="Arial"/>
      <family val="2"/>
      <scheme val="minor"/>
    </font>
    <font>
      <i/>
      <sz val="9"/>
      <color theme="1"/>
      <name val="Arial"/>
      <family val="2"/>
      <scheme val="minor"/>
    </font>
    <font>
      <b/>
      <sz val="11"/>
      <color rgb="FF6E1102"/>
      <name val="Arial"/>
      <family val="2"/>
      <scheme val="minor"/>
    </font>
    <font>
      <i/>
      <sz val="11"/>
      <color theme="1" tint="0.499984740745262"/>
      <name val="Arial"/>
      <family val="2"/>
      <scheme val="minor"/>
    </font>
    <font>
      <b/>
      <sz val="11"/>
      <color rgb="FF4C7870"/>
      <name val="Arial"/>
      <family val="2"/>
      <scheme val="minor"/>
    </font>
    <font>
      <b/>
      <i/>
      <sz val="10"/>
      <color theme="1"/>
      <name val="Arial"/>
      <family val="2"/>
      <scheme val="minor"/>
    </font>
    <font>
      <b/>
      <i/>
      <sz val="11"/>
      <color rgb="FF4C7870"/>
      <name val="Arial"/>
      <family val="2"/>
      <scheme val="minor"/>
    </font>
    <font>
      <b/>
      <sz val="10"/>
      <color theme="1"/>
      <name val="Arial"/>
      <family val="2"/>
      <scheme val="minor"/>
    </font>
    <font>
      <sz val="10"/>
      <color theme="1"/>
      <name val="Arial"/>
      <family val="2"/>
      <scheme val="minor"/>
    </font>
    <font>
      <i/>
      <u/>
      <sz val="11"/>
      <color theme="10"/>
      <name val="Arial"/>
      <family val="2"/>
      <scheme val="minor"/>
    </font>
    <font>
      <i/>
      <sz val="10"/>
      <color theme="1"/>
      <name val="Arial"/>
      <family val="2"/>
      <scheme val="minor"/>
    </font>
    <font>
      <sz val="11"/>
      <color theme="1"/>
      <name val="Aktiv Grotesk Light"/>
      <family val="2"/>
    </font>
    <font>
      <sz val="11"/>
      <color theme="0" tint="-0.249977111117893"/>
      <name val="Arial"/>
      <family val="2"/>
      <scheme val="minor"/>
    </font>
    <font>
      <b/>
      <sz val="14"/>
      <color theme="0"/>
      <name val="Arial"/>
      <family val="2"/>
      <scheme val="minor"/>
    </font>
    <font>
      <sz val="8"/>
      <color theme="0"/>
      <name val="Arial"/>
      <family val="2"/>
      <scheme val="minor"/>
    </font>
    <font>
      <b/>
      <i/>
      <sz val="10"/>
      <color theme="0"/>
      <name val="Arial"/>
      <family val="2"/>
      <scheme val="minor"/>
    </font>
    <font>
      <sz val="16"/>
      <color theme="0"/>
      <name val="Georgia"/>
      <family val="2"/>
      <scheme val="major"/>
    </font>
    <font>
      <i/>
      <u/>
      <sz val="8"/>
      <color theme="10"/>
      <name val="Arial"/>
      <family val="2"/>
      <scheme val="minor"/>
    </font>
    <font>
      <b/>
      <i/>
      <sz val="11"/>
      <color theme="0"/>
      <name val="Arial"/>
      <family val="2"/>
      <scheme val="minor"/>
    </font>
    <font>
      <sz val="9"/>
      <color theme="0"/>
      <name val="Arial"/>
      <family val="2"/>
      <scheme val="minor"/>
    </font>
    <font>
      <sz val="9"/>
      <color theme="0" tint="-0.499984740745262"/>
      <name val="Arial"/>
      <family val="2"/>
      <scheme val="minor"/>
    </font>
    <font>
      <b/>
      <sz val="11"/>
      <color rgb="FF3C5E86"/>
      <name val="Arial"/>
      <family val="2"/>
      <scheme val="minor"/>
    </font>
    <font>
      <u/>
      <sz val="9"/>
      <color theme="0" tint="-0.499984740745262"/>
      <name val="Arial"/>
      <family val="2"/>
      <scheme val="minor"/>
    </font>
    <font>
      <i/>
      <sz val="12"/>
      <color theme="0" tint="-0.499984740745262"/>
      <name val="Arial"/>
      <family val="2"/>
      <scheme val="minor"/>
    </font>
    <font>
      <sz val="12"/>
      <color rgb="FF3C5E86"/>
      <name val="Arial"/>
      <family val="2"/>
      <scheme val="minor"/>
    </font>
    <font>
      <sz val="11"/>
      <color theme="0" tint="-0.14999847407452621"/>
      <name val="Arial"/>
      <family val="2"/>
      <scheme val="minor"/>
    </font>
    <font>
      <i/>
      <sz val="11"/>
      <color theme="0" tint="-0.34998626667073579"/>
      <name val="Arial"/>
      <family val="2"/>
      <scheme val="minor"/>
    </font>
    <font>
      <i/>
      <sz val="8"/>
      <color theme="1" tint="0.499984740745262"/>
      <name val="Arial"/>
      <family val="2"/>
      <scheme val="minor"/>
    </font>
    <font>
      <sz val="12"/>
      <color theme="0"/>
      <name val="Arial"/>
      <family val="2"/>
      <scheme val="minor"/>
    </font>
    <font>
      <sz val="12"/>
      <color theme="1"/>
      <name val="Arial"/>
      <family val="2"/>
      <scheme val="minor"/>
    </font>
    <font>
      <i/>
      <sz val="9"/>
      <color theme="0" tint="-0.499984740745262"/>
      <name val="Arial"/>
      <family val="2"/>
      <scheme val="minor"/>
    </font>
    <font>
      <sz val="18"/>
      <color theme="0"/>
      <name val="Georgia"/>
      <family val="2"/>
      <scheme val="major"/>
    </font>
    <font>
      <i/>
      <sz val="12"/>
      <color theme="8" tint="-0.499984740745262"/>
      <name val="Arial"/>
      <family val="2"/>
      <scheme val="minor"/>
    </font>
    <font>
      <i/>
      <sz val="12"/>
      <color rgb="FF4C7870"/>
      <name val="Arial"/>
      <family val="2"/>
      <scheme val="minor"/>
    </font>
    <font>
      <u/>
      <sz val="11"/>
      <color rgb="FFB8E0C2"/>
      <name val="Arial"/>
      <family val="2"/>
      <scheme val="minor"/>
    </font>
    <font>
      <b/>
      <sz val="14"/>
      <color theme="1" tint="0.249977111117893"/>
      <name val="Arial"/>
      <family val="2"/>
      <scheme val="minor"/>
    </font>
    <font>
      <b/>
      <sz val="11"/>
      <color rgb="FFB8E0C2"/>
      <name val="Arial"/>
      <family val="2"/>
      <scheme val="minor"/>
    </font>
    <font>
      <sz val="11"/>
      <color theme="0" tint="-4.9989318521683403E-2"/>
      <name val="Arial"/>
      <family val="2"/>
      <scheme val="minor"/>
    </font>
    <font>
      <i/>
      <sz val="11"/>
      <color rgb="FF3C5E86"/>
      <name val="Arial"/>
      <family val="2"/>
      <scheme val="minor"/>
    </font>
    <font>
      <b/>
      <sz val="11"/>
      <color theme="0" tint="-0.34998626667073579"/>
      <name val="Arial"/>
      <family val="2"/>
      <scheme val="minor"/>
    </font>
    <font>
      <b/>
      <i/>
      <sz val="11"/>
      <color rgb="FF3C5E86"/>
      <name val="Arial"/>
      <family val="2"/>
      <scheme val="minor"/>
    </font>
    <font>
      <sz val="14"/>
      <color theme="0"/>
      <name val="Arial"/>
      <family val="2"/>
      <scheme val="minor"/>
    </font>
    <font>
      <sz val="10"/>
      <color theme="1"/>
      <name val="Aktiv Grotesk Light"/>
      <family val="2"/>
    </font>
    <font>
      <b/>
      <sz val="9"/>
      <color theme="1"/>
      <name val="Arial"/>
      <family val="2"/>
      <scheme val="minor"/>
    </font>
    <font>
      <b/>
      <sz val="18"/>
      <color theme="1"/>
      <name val="Georgia"/>
      <family val="2"/>
      <scheme val="major"/>
    </font>
    <font>
      <b/>
      <sz val="18"/>
      <color theme="0"/>
      <name val="Georgia"/>
      <family val="2"/>
      <scheme val="major"/>
    </font>
    <font>
      <b/>
      <sz val="14"/>
      <color theme="0"/>
      <name val="Aptos Narrow"/>
      <family val="2"/>
    </font>
    <font>
      <b/>
      <sz val="11"/>
      <color theme="1" tint="0.34998626667073579"/>
      <name val="Arial"/>
      <family val="2"/>
      <scheme val="minor"/>
    </font>
    <font>
      <b/>
      <sz val="20"/>
      <color theme="0"/>
      <name val="Georgia"/>
      <family val="2"/>
      <scheme val="major"/>
    </font>
    <font>
      <sz val="10"/>
      <color theme="0"/>
      <name val="Arial"/>
      <family val="2"/>
      <scheme val="minor"/>
    </font>
    <font>
      <b/>
      <sz val="10"/>
      <color theme="0"/>
      <name val="Arial"/>
      <family val="2"/>
      <scheme val="minor"/>
    </font>
    <font>
      <sz val="10"/>
      <color rgb="FF000000"/>
      <name val="Calibri"/>
      <family val="2"/>
    </font>
    <font>
      <b/>
      <sz val="10"/>
      <color rgb="FF000000"/>
      <name val="Calibri"/>
      <family val="2"/>
    </font>
    <font>
      <u/>
      <sz val="10"/>
      <color rgb="FF4C7870"/>
      <name val="Arial"/>
      <family val="2"/>
      <scheme val="minor"/>
    </font>
    <font>
      <b/>
      <sz val="11"/>
      <color theme="0" tint="-0.249977111117893"/>
      <name val="Arial"/>
      <family val="2"/>
      <scheme val="minor"/>
    </font>
    <font>
      <i/>
      <sz val="11"/>
      <color theme="0" tint="-0.249977111117893"/>
      <name val="Arial"/>
      <family val="2"/>
      <scheme val="minor"/>
    </font>
    <font>
      <b/>
      <i/>
      <sz val="11"/>
      <color rgb="FFF7BE4B"/>
      <name val="Arial"/>
      <family val="2"/>
      <scheme val="minor"/>
    </font>
    <font>
      <b/>
      <sz val="9"/>
      <color theme="0"/>
      <name val="Arial"/>
      <family val="2"/>
      <scheme val="minor"/>
    </font>
    <font>
      <u/>
      <sz val="10"/>
      <color rgb="FFB8E0C2"/>
      <name val="Arial"/>
      <family val="2"/>
      <scheme val="minor"/>
    </font>
    <font>
      <b/>
      <sz val="14"/>
      <color theme="0" tint="-0.249977111117893"/>
      <name val="Arial"/>
      <family val="2"/>
      <scheme val="minor"/>
    </font>
    <font>
      <i/>
      <sz val="10"/>
      <color rgb="FF4C7870"/>
      <name val="Arial"/>
      <family val="2"/>
      <scheme val="minor"/>
    </font>
    <font>
      <b/>
      <i/>
      <sz val="14"/>
      <color theme="0"/>
      <name val="Arial"/>
      <family val="2"/>
      <scheme val="minor"/>
    </font>
    <font>
      <i/>
      <sz val="11"/>
      <color rgb="FFF7BE4B"/>
      <name val="Arial"/>
      <family val="2"/>
      <scheme val="minor"/>
    </font>
    <font>
      <i/>
      <sz val="9"/>
      <color theme="0"/>
      <name val="Arial"/>
      <family val="2"/>
      <scheme val="minor"/>
    </font>
    <font>
      <i/>
      <u/>
      <sz val="11"/>
      <color theme="1"/>
      <name val="Arial"/>
      <family val="2"/>
      <scheme val="minor"/>
    </font>
    <font>
      <b/>
      <sz val="10"/>
      <color rgb="FF000000"/>
      <name val="Arial"/>
      <family val="2"/>
    </font>
    <font>
      <i/>
      <sz val="8"/>
      <color theme="1"/>
      <name val="Arial"/>
      <family val="2"/>
      <scheme val="minor"/>
    </font>
    <font>
      <i/>
      <u/>
      <sz val="8"/>
      <color theme="1"/>
      <name val="Arial"/>
      <family val="2"/>
      <scheme val="minor"/>
    </font>
    <font>
      <b/>
      <sz val="11"/>
      <color theme="1"/>
      <name val="Georgia"/>
      <family val="2"/>
      <scheme val="major"/>
    </font>
    <font>
      <b/>
      <sz val="11"/>
      <color theme="1"/>
      <name val="Aktiv Grotesk"/>
      <family val="2"/>
    </font>
    <font>
      <sz val="11"/>
      <color theme="8"/>
      <name val="Arial"/>
      <family val="2"/>
      <scheme val="minor"/>
    </font>
    <font>
      <sz val="11"/>
      <color theme="5" tint="-0.249977111117893"/>
      <name val="Arial"/>
      <family val="2"/>
      <scheme val="minor"/>
    </font>
    <font>
      <sz val="7"/>
      <color theme="1"/>
      <name val="Georgia"/>
      <family val="2"/>
      <scheme val="major"/>
    </font>
    <font>
      <sz val="11"/>
      <color theme="2" tint="-0.249977111117893"/>
      <name val="Arial"/>
      <family val="2"/>
      <scheme val="minor"/>
    </font>
    <font>
      <i/>
      <sz val="11"/>
      <color theme="1"/>
      <name val="Arial"/>
      <family val="2"/>
    </font>
    <font>
      <i/>
      <sz val="11"/>
      <color theme="0" tint="-4.9989318521683403E-2"/>
      <name val="Arial"/>
      <family val="2"/>
      <scheme val="minor"/>
    </font>
  </fonts>
  <fills count="58">
    <fill>
      <patternFill patternType="none"/>
    </fill>
    <fill>
      <patternFill patternType="gray125"/>
    </fill>
    <fill>
      <patternFill patternType="solid">
        <fgColor rgb="FFFFC000"/>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rgb="FFE6E6E6"/>
        <bgColor indexed="64"/>
      </patternFill>
    </fill>
    <fill>
      <patternFill patternType="solid">
        <fgColor theme="7"/>
        <bgColor indexed="64"/>
      </patternFill>
    </fill>
    <fill>
      <patternFill patternType="solid">
        <fgColor theme="7"/>
      </patternFill>
    </fill>
    <fill>
      <patternFill patternType="solid">
        <fgColor theme="9"/>
      </patternFill>
    </fill>
    <fill>
      <patternFill patternType="solid">
        <fgColor rgb="FF051C2C"/>
        <bgColor indexed="64"/>
      </patternFill>
    </fill>
    <fill>
      <patternFill patternType="solid">
        <fgColor rgb="FFE6ECFF"/>
        <bgColor indexed="64"/>
      </patternFill>
    </fill>
    <fill>
      <patternFill patternType="solid">
        <fgColor theme="0" tint="-0.14999847407452621"/>
        <bgColor indexed="64"/>
      </patternFill>
    </fill>
    <fill>
      <patternFill patternType="lightDown"/>
    </fill>
    <fill>
      <patternFill patternType="solid">
        <fgColor theme="8" tint="-0.499984740745262"/>
        <bgColor rgb="FF000000"/>
      </patternFill>
    </fill>
    <fill>
      <patternFill patternType="solid">
        <fgColor rgb="FFFFFFFF"/>
        <bgColor indexed="64"/>
      </patternFill>
    </fill>
    <fill>
      <patternFill patternType="solid">
        <fgColor rgb="FF2251FF"/>
        <bgColor indexed="64"/>
      </patternFill>
    </fill>
    <fill>
      <patternFill patternType="solid">
        <fgColor theme="0"/>
        <bgColor indexed="64"/>
      </patternFill>
    </fill>
    <fill>
      <patternFill patternType="solid">
        <fgColor rgb="FFFAD690"/>
        <bgColor indexed="64"/>
      </patternFill>
    </fill>
    <fill>
      <patternFill patternType="solid">
        <fgColor rgb="FFFFEB9C"/>
      </patternFill>
    </fill>
    <fill>
      <patternFill patternType="solid">
        <fgColor rgb="FF4C7870"/>
        <bgColor indexed="64"/>
      </patternFill>
    </fill>
    <fill>
      <patternFill patternType="solid">
        <fgColor rgb="FF3C5E86"/>
        <bgColor indexed="64"/>
      </patternFill>
    </fill>
    <fill>
      <patternFill patternType="solid">
        <fgColor rgb="FF6E1102"/>
        <bgColor indexed="64"/>
      </patternFill>
    </fill>
    <fill>
      <patternFill patternType="solid">
        <fgColor theme="0" tint="-4.9989318521683403E-2"/>
        <bgColor indexed="64"/>
      </patternFill>
    </fill>
    <fill>
      <patternFill patternType="solid">
        <fgColor rgb="FFFEBFB4"/>
        <bgColor indexed="64"/>
      </patternFill>
    </fill>
    <fill>
      <patternFill patternType="solid">
        <fgColor theme="9" tint="0.79998168889431442"/>
        <bgColor indexed="64"/>
      </patternFill>
    </fill>
    <fill>
      <patternFill patternType="solid">
        <fgColor rgb="FFE8F0EE"/>
        <bgColor indexed="64"/>
      </patternFill>
    </fill>
    <fill>
      <patternFill patternType="solid">
        <fgColor rgb="FFD7E5E2"/>
        <bgColor indexed="64"/>
      </patternFill>
    </fill>
    <fill>
      <patternFill patternType="solid">
        <fgColor theme="8" tint="0.79998168889431442"/>
        <bgColor indexed="64"/>
      </patternFill>
    </fill>
    <fill>
      <patternFill patternType="solid">
        <fgColor rgb="FFBFD7D2"/>
        <bgColor indexed="64"/>
      </patternFill>
    </fill>
    <fill>
      <patternFill patternType="solid">
        <fgColor rgb="FF5E948A"/>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5"/>
        <bgColor indexed="64"/>
      </patternFill>
    </fill>
    <fill>
      <patternFill patternType="solid">
        <fgColor theme="9"/>
        <bgColor indexed="64"/>
      </patternFill>
    </fill>
    <fill>
      <patternFill patternType="solid">
        <fgColor theme="6"/>
        <bgColor indexed="64"/>
      </patternFill>
    </fill>
    <fill>
      <patternFill patternType="solid">
        <fgColor rgb="FFE8F8FC"/>
        <bgColor indexed="64"/>
      </patternFill>
    </fill>
    <fill>
      <patternFill patternType="solid">
        <fgColor rgb="FFFAC8C2"/>
        <bgColor indexed="64"/>
      </patternFill>
    </fill>
    <fill>
      <patternFill patternType="solid">
        <fgColor theme="1" tint="0.749992370372631"/>
        <bgColor indexed="64"/>
      </patternFill>
    </fill>
    <fill>
      <patternFill patternType="solid">
        <fgColor rgb="FF99CFBE"/>
        <bgColor indexed="64"/>
      </patternFill>
    </fill>
    <fill>
      <patternFill patternType="solid">
        <fgColor rgb="FF59B296"/>
        <bgColor indexed="64"/>
      </patternFill>
    </fill>
    <fill>
      <patternFill patternType="solid">
        <fgColor rgb="FFBBDFD4"/>
        <bgColor indexed="64"/>
      </patternFill>
    </fill>
    <fill>
      <patternFill patternType="solid">
        <fgColor rgb="FF8C8C8C"/>
        <bgColor indexed="64"/>
      </patternFill>
    </fill>
    <fill>
      <patternFill patternType="solid">
        <fgColor rgb="FFBABABA"/>
        <bgColor indexed="64"/>
      </patternFill>
    </fill>
    <fill>
      <patternFill patternType="solid">
        <fgColor rgb="FFFFD961"/>
        <bgColor indexed="64"/>
      </patternFill>
    </fill>
    <fill>
      <patternFill patternType="solid">
        <fgColor rgb="FFFFF2C9"/>
        <bgColor indexed="64"/>
      </patternFill>
    </fill>
    <fill>
      <patternFill patternType="solid">
        <fgColor theme="8"/>
        <bgColor indexed="64"/>
      </patternFill>
    </fill>
    <fill>
      <patternFill patternType="solid">
        <fgColor rgb="FF24A7F8"/>
        <bgColor indexed="64"/>
      </patternFill>
    </fill>
    <fill>
      <patternFill patternType="solid">
        <fgColor rgb="FF72C6FA"/>
        <bgColor indexed="64"/>
      </patternFill>
    </fill>
    <fill>
      <patternFill patternType="solid">
        <fgColor rgb="FF0070C0"/>
        <bgColor indexed="64"/>
      </patternFill>
    </fill>
    <fill>
      <patternFill patternType="solid">
        <fgColor rgb="FF00B0F0"/>
        <bgColor indexed="64"/>
      </patternFill>
    </fill>
    <fill>
      <patternFill patternType="solid">
        <fgColor rgb="FFA7A7A7"/>
        <bgColor indexed="64"/>
      </patternFill>
    </fill>
    <fill>
      <patternFill patternType="solid">
        <fgColor rgb="FFFFFF00"/>
        <bgColor indexed="64"/>
      </patternFill>
    </fill>
    <fill>
      <patternFill patternType="solid">
        <fgColor rgb="FF033C61"/>
        <bgColor rgb="FF000000"/>
      </patternFill>
    </fill>
    <fill>
      <patternFill patternType="solid">
        <fgColor rgb="FF033C61"/>
        <bgColor indexed="64"/>
      </patternFill>
    </fill>
  </fills>
  <borders count="59">
    <border>
      <left/>
      <right/>
      <top/>
      <bottom/>
      <diagonal/>
    </border>
    <border>
      <left/>
      <right/>
      <top style="hair">
        <color rgb="FF3F3F3F"/>
      </top>
      <bottom style="hair">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7F7F7F"/>
      </bottom>
      <diagonal/>
    </border>
    <border>
      <left/>
      <right/>
      <top style="thick">
        <color rgb="FF4D4D4D"/>
      </top>
      <bottom style="thick">
        <color rgb="FF4D4D4D"/>
      </bottom>
      <diagonal/>
    </border>
    <border>
      <left/>
      <right/>
      <top/>
      <bottom style="medium">
        <color auto="1"/>
      </bottom>
      <diagonal/>
    </border>
    <border>
      <left style="thick">
        <color rgb="FFFFFFFF"/>
      </left>
      <right/>
      <top style="thick">
        <color rgb="FFFFFFFF"/>
      </top>
      <bottom/>
      <diagonal/>
    </border>
    <border>
      <left/>
      <right/>
      <top style="thin">
        <color rgb="FFDBDBDB"/>
      </top>
      <bottom style="thin">
        <color rgb="FFDBDBDB"/>
      </bottom>
      <diagonal/>
    </border>
    <border>
      <left style="thick">
        <color rgb="FFFFFFFF"/>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rgb="FFDBDBDB"/>
      </bottom>
      <diagonal/>
    </border>
    <border>
      <left/>
      <right/>
      <top style="thin">
        <color rgb="FFDBDBDB"/>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double">
        <color rgb="FF3F3F3F"/>
      </left>
      <right style="double">
        <color rgb="FF3F3F3F"/>
      </right>
      <top style="double">
        <color rgb="FF3F3F3F"/>
      </top>
      <bottom/>
      <diagonal/>
    </border>
    <border>
      <left style="medium">
        <color indexed="64"/>
      </left>
      <right style="medium">
        <color indexed="64"/>
      </right>
      <top style="medium">
        <color indexed="64"/>
      </top>
      <bottom style="medium">
        <color indexed="64"/>
      </bottom>
      <diagonal/>
    </border>
    <border>
      <left/>
      <right style="medium">
        <color theme="0"/>
      </right>
      <top/>
      <bottom style="medium">
        <color theme="0"/>
      </bottom>
      <diagonal/>
    </border>
    <border>
      <left style="medium">
        <color theme="0"/>
      </left>
      <right/>
      <top/>
      <bottom style="medium">
        <color theme="0"/>
      </bottom>
      <diagonal/>
    </border>
    <border>
      <left/>
      <right style="medium">
        <color theme="0"/>
      </right>
      <top/>
      <bottom/>
      <diagonal/>
    </border>
    <border>
      <left style="medium">
        <color theme="0"/>
      </left>
      <right/>
      <top/>
      <bottom/>
      <diagonal/>
    </border>
    <border>
      <left/>
      <right style="medium">
        <color theme="0"/>
      </right>
      <top style="medium">
        <color theme="0"/>
      </top>
      <bottom/>
      <diagonal/>
    </border>
    <border>
      <left style="medium">
        <color theme="0"/>
      </left>
      <right/>
      <top style="medium">
        <color theme="0"/>
      </top>
      <bottom/>
      <diagonal/>
    </border>
    <border>
      <left style="double">
        <color rgb="FF7F7F7F"/>
      </left>
      <right style="double">
        <color rgb="FF7F7F7F"/>
      </right>
      <top style="double">
        <color rgb="FF7F7F7F"/>
      </top>
      <bottom style="double">
        <color rgb="FF7F7F7F"/>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top style="double">
        <color rgb="FF7F7F7F"/>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double">
        <color rgb="FF7F7F7F"/>
      </left>
      <right/>
      <top style="double">
        <color rgb="FF7F7F7F"/>
      </top>
      <bottom style="double">
        <color rgb="FF7F7F7F"/>
      </bottom>
      <diagonal/>
    </border>
    <border>
      <left style="double">
        <color rgb="FF7F7F7F"/>
      </left>
      <right/>
      <top/>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32">
    <xf numFmtId="0" fontId="0" fillId="0" borderId="0"/>
    <xf numFmtId="0" fontId="10" fillId="0" borderId="0" applyNumberFormat="0" applyAlignment="0" applyProtection="0"/>
    <xf numFmtId="0" fontId="3" fillId="0" borderId="6" applyNumberFormat="0" applyAlignment="0" applyProtection="0"/>
    <xf numFmtId="0" fontId="7" fillId="8" borderId="0" applyNumberFormat="0" applyAlignment="0" applyProtection="0">
      <alignment vertical="center"/>
    </xf>
    <xf numFmtId="0" fontId="2" fillId="2" borderId="1" applyNumberFormat="0" applyProtection="0">
      <alignment vertical="center"/>
    </xf>
    <xf numFmtId="0" fontId="15" fillId="0" borderId="0" applyNumberFormat="0" applyAlignment="0" applyProtection="0">
      <alignment vertical="center"/>
    </xf>
    <xf numFmtId="0" fontId="1" fillId="10" borderId="0" applyNumberFormat="0" applyAlignment="0" applyProtection="0">
      <alignment vertical="center"/>
    </xf>
    <xf numFmtId="0" fontId="11" fillId="3" borderId="0" applyNumberFormat="0" applyBorder="0" applyAlignment="0" applyProtection="0"/>
    <xf numFmtId="0" fontId="4" fillId="4" borderId="2" applyNumberFormat="0" applyAlignment="0" applyProtection="0"/>
    <xf numFmtId="0" fontId="5" fillId="5" borderId="2" applyNumberFormat="0" applyAlignment="0" applyProtection="0"/>
    <xf numFmtId="0" fontId="6" fillId="0" borderId="3" applyNumberFormat="0" applyFill="0" applyAlignment="0" applyProtection="0"/>
    <xf numFmtId="0" fontId="7" fillId="6" borderId="4" applyNumberFormat="0" applyAlignment="0" applyProtection="0"/>
    <xf numFmtId="0" fontId="8" fillId="0" borderId="0" applyNumberFormat="0" applyFill="0" applyBorder="0" applyAlignment="0" applyProtection="0"/>
    <xf numFmtId="0" fontId="1" fillId="7" borderId="5" applyNumberFormat="0" applyFont="0" applyAlignment="0" applyProtection="0"/>
    <xf numFmtId="0" fontId="9" fillId="0" borderId="0" applyNumberFormat="0" applyFill="0" applyBorder="0" applyAlignment="0" applyProtection="0"/>
    <xf numFmtId="0" fontId="14" fillId="0" borderId="0" applyNumberFormat="0" applyAlignment="0" applyProtection="0"/>
    <xf numFmtId="0" fontId="3" fillId="9" borderId="0" applyNumberFormat="0" applyAlignment="0" applyProtection="0">
      <alignment vertical="center"/>
    </xf>
    <xf numFmtId="0" fontId="3" fillId="0" borderId="7" applyNumberFormat="0" applyAlignment="0" applyProtection="0"/>
    <xf numFmtId="0" fontId="13" fillId="0" borderId="0" applyNumberFormat="0" applyAlignment="0" applyProtection="0">
      <alignment vertical="center"/>
    </xf>
    <xf numFmtId="0" fontId="8" fillId="0" borderId="0" applyNumberFormat="0" applyAlignment="0" applyProtection="0">
      <alignment vertical="center"/>
    </xf>
    <xf numFmtId="0" fontId="16" fillId="0" borderId="0" applyNumberFormat="0" applyAlignment="0" applyProtection="0">
      <alignment vertical="center"/>
    </xf>
    <xf numFmtId="0" fontId="12" fillId="11" borderId="0" applyNumberFormat="0" applyBorder="0" applyAlignment="0" applyProtection="0"/>
    <xf numFmtId="0" fontId="12" fillId="1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 fillId="0" borderId="0"/>
    <xf numFmtId="0" fontId="38" fillId="0" borderId="0" applyNumberFormat="0" applyFill="0" applyBorder="0" applyAlignment="0" applyProtection="0"/>
    <xf numFmtId="0" fontId="49" fillId="22" borderId="0" applyNumberFormat="0" applyBorder="0" applyAlignment="0" applyProtection="0"/>
    <xf numFmtId="0" fontId="38" fillId="0" borderId="0" applyNumberFormat="0" applyFill="0" applyBorder="0" applyAlignment="0" applyProtection="0"/>
    <xf numFmtId="0" fontId="86" fillId="31" borderId="39" applyNumberFormat="0" applyAlignment="0" applyProtection="0"/>
    <xf numFmtId="0" fontId="86" fillId="31" borderId="39" applyNumberFormat="0" applyAlignment="0" applyProtection="0"/>
    <xf numFmtId="0" fontId="12" fillId="39" borderId="0" applyNumberFormat="0" applyAlignment="0" applyProtection="0"/>
  </cellStyleXfs>
  <cellXfs count="815">
    <xf numFmtId="0" fontId="0" fillId="0" borderId="0" xfId="0"/>
    <xf numFmtId="0" fontId="1" fillId="0" borderId="0" xfId="25" applyFont="1"/>
    <xf numFmtId="0" fontId="19" fillId="0" borderId="8" xfId="25" applyFont="1" applyBorder="1"/>
    <xf numFmtId="0" fontId="7" fillId="13" borderId="0" xfId="25" applyFont="1" applyFill="1" applyAlignment="1">
      <alignment horizontal="left"/>
    </xf>
    <xf numFmtId="0" fontId="20" fillId="0" borderId="0" xfId="25" applyFont="1"/>
    <xf numFmtId="0" fontId="21" fillId="0" borderId="0" xfId="25" applyFont="1"/>
    <xf numFmtId="0" fontId="12" fillId="0" borderId="0" xfId="25" applyFont="1"/>
    <xf numFmtId="0" fontId="3" fillId="0" borderId="0" xfId="25" applyFont="1" applyAlignment="1">
      <alignment horizontal="left"/>
    </xf>
    <xf numFmtId="0" fontId="3" fillId="0" borderId="0" xfId="25" applyFont="1"/>
    <xf numFmtId="0" fontId="22" fillId="9" borderId="0" xfId="25" applyFont="1" applyFill="1"/>
    <xf numFmtId="0" fontId="18" fillId="9" borderId="9" xfId="0" applyFont="1" applyFill="1" applyBorder="1" applyAlignment="1">
      <alignment horizontal="left" vertical="center" wrapText="1" indent="1"/>
    </xf>
    <xf numFmtId="0" fontId="23" fillId="0" borderId="10" xfId="25" applyFont="1" applyBorder="1" applyAlignment="1">
      <alignment horizontal="left"/>
    </xf>
    <xf numFmtId="0" fontId="18" fillId="9" borderId="11" xfId="0" applyFont="1" applyFill="1" applyBorder="1" applyAlignment="1">
      <alignment horizontal="left" vertical="center" wrapText="1" indent="1"/>
    </xf>
    <xf numFmtId="0" fontId="24" fillId="14" borderId="10" xfId="25" applyFont="1" applyFill="1" applyBorder="1"/>
    <xf numFmtId="0" fontId="12" fillId="15" borderId="10" xfId="25" applyFont="1" applyFill="1" applyBorder="1" applyAlignment="1">
      <alignment horizontal="left"/>
    </xf>
    <xf numFmtId="0" fontId="26" fillId="0" borderId="8" xfId="0" applyFont="1" applyBorder="1" applyAlignment="1">
      <alignment horizontal="left"/>
    </xf>
    <xf numFmtId="0" fontId="27" fillId="0" borderId="0" xfId="0" applyFont="1" applyAlignment="1">
      <alignment horizontal="left"/>
    </xf>
    <xf numFmtId="0" fontId="7" fillId="13" borderId="0" xfId="0" applyFont="1" applyFill="1"/>
    <xf numFmtId="0" fontId="30" fillId="17" borderId="0" xfId="0" applyFont="1" applyFill="1" applyAlignment="1">
      <alignment vertical="center"/>
    </xf>
    <xf numFmtId="0" fontId="31" fillId="17" borderId="0" xfId="0" applyFont="1" applyFill="1" applyAlignment="1">
      <alignment vertical="center"/>
    </xf>
    <xf numFmtId="0" fontId="32" fillId="0" borderId="0" xfId="0" applyFont="1"/>
    <xf numFmtId="165" fontId="0" fillId="0" borderId="0" xfId="0" applyNumberFormat="1"/>
    <xf numFmtId="0" fontId="18" fillId="0" borderId="0" xfId="0" applyFont="1"/>
    <xf numFmtId="0" fontId="33" fillId="18" borderId="0" xfId="0" applyFont="1" applyFill="1"/>
    <xf numFmtId="0" fontId="25" fillId="0" borderId="0" xfId="0" applyFont="1"/>
    <xf numFmtId="0" fontId="0" fillId="0" borderId="12" xfId="0" applyBorder="1"/>
    <xf numFmtId="0" fontId="0" fillId="0" borderId="0" xfId="0" applyAlignment="1">
      <alignment horizontal="right"/>
    </xf>
    <xf numFmtId="0" fontId="29" fillId="0" borderId="0" xfId="0" applyFont="1"/>
    <xf numFmtId="43" fontId="25" fillId="0" borderId="0" xfId="23" applyFont="1"/>
    <xf numFmtId="14" fontId="0" fillId="0" borderId="0" xfId="0" applyNumberFormat="1"/>
    <xf numFmtId="0" fontId="33" fillId="18" borderId="12" xfId="0" applyFont="1" applyFill="1" applyBorder="1"/>
    <xf numFmtId="43" fontId="0" fillId="0" borderId="0" xfId="23" applyFont="1"/>
    <xf numFmtId="166" fontId="0" fillId="0" borderId="0" xfId="23" applyNumberFormat="1" applyFont="1"/>
    <xf numFmtId="166" fontId="0" fillId="0" borderId="0" xfId="0" applyNumberFormat="1"/>
    <xf numFmtId="166" fontId="0" fillId="0" borderId="12" xfId="0" applyNumberFormat="1" applyBorder="1"/>
    <xf numFmtId="166" fontId="31" fillId="17" borderId="0" xfId="0" applyNumberFormat="1" applyFont="1" applyFill="1" applyAlignment="1">
      <alignment vertical="center"/>
    </xf>
    <xf numFmtId="0" fontId="34" fillId="18" borderId="0" xfId="0" applyFont="1" applyFill="1"/>
    <xf numFmtId="166" fontId="18" fillId="0" borderId="0" xfId="0" applyNumberFormat="1" applyFont="1"/>
    <xf numFmtId="164" fontId="18" fillId="0" borderId="0" xfId="0" applyNumberFormat="1" applyFont="1"/>
    <xf numFmtId="166" fontId="25" fillId="0" borderId="0" xfId="0" applyNumberFormat="1" applyFont="1"/>
    <xf numFmtId="0" fontId="33" fillId="0" borderId="0" xfId="0" applyFont="1"/>
    <xf numFmtId="9" fontId="0" fillId="0" borderId="0" xfId="24" applyFont="1"/>
    <xf numFmtId="0" fontId="25" fillId="0" borderId="12" xfId="0" applyFont="1" applyBorder="1"/>
    <xf numFmtId="10" fontId="0" fillId="0" borderId="0" xfId="0" applyNumberFormat="1"/>
    <xf numFmtId="167" fontId="26" fillId="0" borderId="8" xfId="23" applyNumberFormat="1" applyFont="1" applyBorder="1" applyAlignment="1">
      <alignment horizontal="left"/>
    </xf>
    <xf numFmtId="43" fontId="18" fillId="0" borderId="0" xfId="23" applyFont="1"/>
    <xf numFmtId="164" fontId="0" fillId="0" borderId="0" xfId="0" applyNumberFormat="1"/>
    <xf numFmtId="166" fontId="18" fillId="0" borderId="0" xfId="23" applyNumberFormat="1" applyFont="1"/>
    <xf numFmtId="164" fontId="18" fillId="0" borderId="0" xfId="23" applyNumberFormat="1" applyFont="1"/>
    <xf numFmtId="0" fontId="12" fillId="0" borderId="0" xfId="0" applyFont="1"/>
    <xf numFmtId="0" fontId="36" fillId="8" borderId="10" xfId="25" applyFont="1" applyFill="1" applyBorder="1" applyAlignment="1">
      <alignment horizontal="left"/>
    </xf>
    <xf numFmtId="0" fontId="7" fillId="13" borderId="0" xfId="0" applyFont="1" applyFill="1" applyAlignment="1">
      <alignment horizontal="left"/>
    </xf>
    <xf numFmtId="0" fontId="0" fillId="0" borderId="0" xfId="0" applyAlignment="1">
      <alignment horizontal="left"/>
    </xf>
    <xf numFmtId="0" fontId="28" fillId="0" borderId="0" xfId="0" applyFont="1" applyAlignment="1">
      <alignment horizontal="left"/>
    </xf>
    <xf numFmtId="0" fontId="39" fillId="9" borderId="0" xfId="25" applyFont="1" applyFill="1"/>
    <xf numFmtId="0" fontId="40" fillId="0" borderId="0" xfId="25" applyFont="1"/>
    <xf numFmtId="0" fontId="41" fillId="0" borderId="0" xfId="25" applyFont="1" applyAlignment="1">
      <alignment horizontal="center"/>
    </xf>
    <xf numFmtId="0" fontId="18" fillId="0" borderId="0" xfId="25" applyFont="1"/>
    <xf numFmtId="0" fontId="0" fillId="0" borderId="0" xfId="25" applyFont="1"/>
    <xf numFmtId="0" fontId="12" fillId="10" borderId="10" xfId="25" applyFont="1" applyFill="1" applyBorder="1" applyAlignment="1">
      <alignment horizontal="left"/>
    </xf>
    <xf numFmtId="0" fontId="18" fillId="0" borderId="0" xfId="0" applyFont="1" applyAlignment="1">
      <alignment horizontal="right"/>
    </xf>
    <xf numFmtId="9" fontId="32" fillId="0" borderId="0" xfId="0" applyNumberFormat="1" applyFont="1"/>
    <xf numFmtId="0" fontId="42" fillId="0" borderId="0" xfId="0" applyFont="1"/>
    <xf numFmtId="0" fontId="43" fillId="0" borderId="0" xfId="0" applyFont="1" applyAlignment="1">
      <alignment horizontal="right"/>
    </xf>
    <xf numFmtId="0" fontId="43" fillId="0" borderId="0" xfId="0" applyFont="1" applyAlignment="1">
      <alignment horizontal="left"/>
    </xf>
    <xf numFmtId="0" fontId="37" fillId="0" borderId="0" xfId="0" applyFont="1" applyAlignment="1">
      <alignment horizontal="left"/>
    </xf>
    <xf numFmtId="0" fontId="7" fillId="19" borderId="0" xfId="0" applyFont="1" applyFill="1"/>
    <xf numFmtId="1" fontId="0" fillId="0" borderId="0" xfId="0" applyNumberFormat="1"/>
    <xf numFmtId="0" fontId="0" fillId="0" borderId="13" xfId="0" applyBorder="1"/>
    <xf numFmtId="0" fontId="7" fillId="0" borderId="0" xfId="0" applyFont="1"/>
    <xf numFmtId="0" fontId="7" fillId="13" borderId="0" xfId="0" applyFont="1" applyFill="1" applyAlignment="1">
      <alignment horizontal="centerContinuous"/>
    </xf>
    <xf numFmtId="0" fontId="45" fillId="0" borderId="0" xfId="0" applyFont="1"/>
    <xf numFmtId="0" fontId="8" fillId="0" borderId="0" xfId="0" applyFont="1" applyAlignment="1">
      <alignment horizontal="left"/>
    </xf>
    <xf numFmtId="166" fontId="0" fillId="0" borderId="12" xfId="23" applyNumberFormat="1" applyFont="1" applyBorder="1"/>
    <xf numFmtId="165" fontId="18" fillId="0" borderId="0" xfId="0" applyNumberFormat="1" applyFont="1"/>
    <xf numFmtId="43" fontId="0" fillId="0" borderId="13" xfId="23" applyFont="1" applyBorder="1"/>
    <xf numFmtId="166" fontId="0" fillId="0" borderId="13" xfId="23" applyNumberFormat="1" applyFont="1" applyBorder="1"/>
    <xf numFmtId="0" fontId="46" fillId="0" borderId="0" xfId="0" applyFont="1"/>
    <xf numFmtId="0" fontId="12" fillId="0" borderId="0" xfId="25" applyFont="1" applyAlignment="1">
      <alignment horizontal="left" wrapText="1"/>
    </xf>
    <xf numFmtId="0" fontId="18" fillId="0" borderId="0" xfId="0" applyFont="1" applyAlignment="1">
      <alignment wrapText="1"/>
    </xf>
    <xf numFmtId="10" fontId="33" fillId="18" borderId="0" xfId="0" applyNumberFormat="1" applyFont="1" applyFill="1"/>
    <xf numFmtId="10" fontId="33" fillId="18" borderId="12" xfId="0" applyNumberFormat="1" applyFont="1" applyFill="1" applyBorder="1"/>
    <xf numFmtId="10" fontId="12" fillId="0" borderId="0" xfId="23" applyNumberFormat="1" applyFont="1" applyFill="1" applyBorder="1" applyAlignment="1">
      <alignment horizontal="right"/>
    </xf>
    <xf numFmtId="0" fontId="12" fillId="0" borderId="0" xfId="0" applyFont="1" applyAlignment="1">
      <alignment horizontal="left"/>
    </xf>
    <xf numFmtId="10" fontId="12" fillId="0" borderId="0" xfId="23" applyNumberFormat="1" applyFont="1" applyFill="1" applyBorder="1" applyAlignment="1">
      <alignment horizontal="left"/>
    </xf>
    <xf numFmtId="0" fontId="29" fillId="0" borderId="0" xfId="0" applyFont="1" applyAlignment="1">
      <alignment horizontal="left"/>
    </xf>
    <xf numFmtId="43" fontId="1" fillId="0" borderId="0" xfId="23" applyFont="1"/>
    <xf numFmtId="166" fontId="45" fillId="0" borderId="0" xfId="23" applyNumberFormat="1" applyFont="1"/>
    <xf numFmtId="166" fontId="32" fillId="0" borderId="0" xfId="23" applyNumberFormat="1" applyFont="1"/>
    <xf numFmtId="43" fontId="0" fillId="0" borderId="0" xfId="0" applyNumberFormat="1"/>
    <xf numFmtId="14" fontId="18" fillId="0" borderId="0" xfId="0" applyNumberFormat="1" applyFont="1"/>
    <xf numFmtId="0" fontId="44" fillId="0" borderId="0" xfId="0" applyFont="1"/>
    <xf numFmtId="0" fontId="18" fillId="0" borderId="12" xfId="0" applyFont="1" applyBorder="1"/>
    <xf numFmtId="9" fontId="12" fillId="0" borderId="0" xfId="0" applyNumberFormat="1" applyFont="1"/>
    <xf numFmtId="166" fontId="0" fillId="0" borderId="13" xfId="0" applyNumberFormat="1" applyBorder="1"/>
    <xf numFmtId="43" fontId="0" fillId="0" borderId="13" xfId="23" applyFont="1" applyFill="1" applyBorder="1"/>
    <xf numFmtId="8" fontId="0" fillId="0" borderId="0" xfId="0" applyNumberFormat="1"/>
    <xf numFmtId="166" fontId="0" fillId="0" borderId="0" xfId="0" applyNumberFormat="1" applyAlignment="1">
      <alignment horizontal="right"/>
    </xf>
    <xf numFmtId="164" fontId="0" fillId="0" borderId="0" xfId="0" applyNumberFormat="1" applyAlignment="1">
      <alignment horizontal="right"/>
    </xf>
    <xf numFmtId="164" fontId="0" fillId="0" borderId="0" xfId="24" applyNumberFormat="1" applyFont="1" applyAlignment="1">
      <alignment horizontal="right"/>
    </xf>
    <xf numFmtId="43" fontId="0" fillId="0" borderId="12" xfId="0" applyNumberFormat="1" applyBorder="1"/>
    <xf numFmtId="166" fontId="0" fillId="0" borderId="14" xfId="23" applyNumberFormat="1" applyFont="1" applyBorder="1"/>
    <xf numFmtId="166" fontId="0" fillId="0" borderId="0" xfId="23" applyNumberFormat="1" applyFont="1" applyBorder="1"/>
    <xf numFmtId="168" fontId="0" fillId="0" borderId="0" xfId="23" applyNumberFormat="1" applyFont="1"/>
    <xf numFmtId="166" fontId="33" fillId="18" borderId="0" xfId="0" applyNumberFormat="1" applyFont="1" applyFill="1"/>
    <xf numFmtId="43" fontId="0" fillId="0" borderId="12" xfId="23" applyFont="1" applyBorder="1"/>
    <xf numFmtId="9" fontId="0" fillId="0" borderId="0" xfId="0" applyNumberFormat="1"/>
    <xf numFmtId="43" fontId="47" fillId="0" borderId="0" xfId="0" applyNumberFormat="1" applyFont="1"/>
    <xf numFmtId="9" fontId="47" fillId="0" borderId="0" xfId="0" applyNumberFormat="1" applyFont="1"/>
    <xf numFmtId="43" fontId="12" fillId="0" borderId="0" xfId="23" applyFont="1"/>
    <xf numFmtId="166" fontId="12" fillId="0" borderId="0" xfId="23" applyNumberFormat="1" applyFont="1"/>
    <xf numFmtId="166" fontId="45" fillId="0" borderId="0" xfId="0" applyNumberFormat="1" applyFont="1"/>
    <xf numFmtId="8" fontId="18" fillId="0" borderId="0" xfId="0" applyNumberFormat="1" applyFont="1"/>
    <xf numFmtId="43" fontId="0" fillId="0" borderId="0" xfId="23" applyFont="1" applyAlignment="1">
      <alignment horizontal="left"/>
    </xf>
    <xf numFmtId="166" fontId="1" fillId="0" borderId="0" xfId="0" applyNumberFormat="1" applyFont="1"/>
    <xf numFmtId="9" fontId="24" fillId="14" borderId="0" xfId="23" applyNumberFormat="1" applyFont="1" applyFill="1" applyAlignment="1">
      <alignment horizontal="right"/>
    </xf>
    <xf numFmtId="10" fontId="0" fillId="0" borderId="13" xfId="0" applyNumberFormat="1" applyBorder="1"/>
    <xf numFmtId="0" fontId="0" fillId="0" borderId="15" xfId="0" applyBorder="1"/>
    <xf numFmtId="0" fontId="0" fillId="0" borderId="10" xfId="0" applyBorder="1"/>
    <xf numFmtId="43" fontId="0" fillId="0" borderId="0" xfId="23" applyFont="1" applyBorder="1"/>
    <xf numFmtId="0" fontId="0" fillId="0" borderId="16" xfId="0" applyBorder="1"/>
    <xf numFmtId="170" fontId="0" fillId="0" borderId="16" xfId="0" applyNumberFormat="1" applyBorder="1"/>
    <xf numFmtId="168" fontId="0" fillId="0" borderId="0" xfId="0" applyNumberFormat="1"/>
    <xf numFmtId="9" fontId="0" fillId="0" borderId="0" xfId="24" applyFont="1" applyBorder="1"/>
    <xf numFmtId="166" fontId="0" fillId="0" borderId="0" xfId="24" applyNumberFormat="1" applyFont="1" applyBorder="1"/>
    <xf numFmtId="10" fontId="0" fillId="0" borderId="10" xfId="24" applyNumberFormat="1" applyFont="1" applyBorder="1"/>
    <xf numFmtId="10" fontId="0" fillId="0" borderId="16" xfId="24" applyNumberFormat="1" applyFont="1" applyBorder="1"/>
    <xf numFmtId="0" fontId="48" fillId="0" borderId="15" xfId="0" applyFont="1" applyBorder="1" applyAlignment="1">
      <alignment horizontal="center"/>
    </xf>
    <xf numFmtId="10" fontId="48" fillId="0" borderId="15" xfId="0" applyNumberFormat="1" applyFont="1" applyBorder="1" applyAlignment="1">
      <alignment horizontal="center"/>
    </xf>
    <xf numFmtId="0" fontId="48" fillId="0" borderId="10" xfId="0" applyFont="1" applyBorder="1" applyAlignment="1">
      <alignment horizontal="center"/>
    </xf>
    <xf numFmtId="10" fontId="48" fillId="0" borderId="10" xfId="0" applyNumberFormat="1" applyFont="1" applyBorder="1" applyAlignment="1">
      <alignment horizontal="center"/>
    </xf>
    <xf numFmtId="0" fontId="48" fillId="0" borderId="16" xfId="0" applyFont="1" applyBorder="1" applyAlignment="1">
      <alignment horizontal="center"/>
    </xf>
    <xf numFmtId="10" fontId="48" fillId="0" borderId="16" xfId="0" applyNumberFormat="1" applyFont="1" applyBorder="1" applyAlignment="1">
      <alignment horizontal="center"/>
    </xf>
    <xf numFmtId="164" fontId="0" fillId="0" borderId="15" xfId="24" applyNumberFormat="1" applyFont="1" applyBorder="1"/>
    <xf numFmtId="164" fontId="0" fillId="0" borderId="0" xfId="24" applyNumberFormat="1" applyFont="1" applyBorder="1"/>
    <xf numFmtId="10" fontId="1" fillId="0" borderId="10" xfId="24" applyNumberFormat="1" applyFont="1" applyBorder="1"/>
    <xf numFmtId="1" fontId="12" fillId="0" borderId="0" xfId="23" applyNumberFormat="1" applyFont="1" applyFill="1" applyBorder="1" applyAlignment="1">
      <alignment horizontal="right"/>
    </xf>
    <xf numFmtId="43" fontId="0" fillId="0" borderId="0" xfId="23" applyFont="1" applyFill="1"/>
    <xf numFmtId="2" fontId="0" fillId="0" borderId="13" xfId="0" applyNumberFormat="1" applyBorder="1"/>
    <xf numFmtId="2" fontId="0" fillId="0" borderId="0" xfId="0" applyNumberFormat="1"/>
    <xf numFmtId="0" fontId="18" fillId="0" borderId="13" xfId="0" applyFont="1" applyBorder="1"/>
    <xf numFmtId="0" fontId="7" fillId="23" borderId="12" xfId="0" applyFont="1" applyFill="1" applyBorder="1"/>
    <xf numFmtId="0" fontId="7" fillId="23" borderId="0" xfId="0" applyFont="1" applyFill="1" applyAlignment="1">
      <alignment horizontal="center" vertical="center"/>
    </xf>
    <xf numFmtId="0" fontId="50" fillId="24" borderId="0" xfId="0" applyFont="1" applyFill="1" applyAlignment="1">
      <alignment vertical="center"/>
    </xf>
    <xf numFmtId="4" fontId="0" fillId="0" borderId="0" xfId="0" applyNumberFormat="1"/>
    <xf numFmtId="4" fontId="0" fillId="0" borderId="13" xfId="0" applyNumberFormat="1" applyBorder="1"/>
    <xf numFmtId="0" fontId="51" fillId="0" borderId="0" xfId="0" applyFont="1" applyAlignment="1">
      <alignment vertical="center"/>
    </xf>
    <xf numFmtId="0" fontId="0" fillId="0" borderId="0" xfId="0" applyAlignment="1">
      <alignment vertical="center"/>
    </xf>
    <xf numFmtId="4" fontId="0" fillId="20" borderId="17" xfId="0" applyNumberFormat="1" applyFill="1" applyBorder="1" applyAlignment="1">
      <alignment vertical="center"/>
    </xf>
    <xf numFmtId="4" fontId="0" fillId="20" borderId="18" xfId="0" applyNumberFormat="1" applyFill="1" applyBorder="1" applyAlignment="1">
      <alignment vertical="center"/>
    </xf>
    <xf numFmtId="0" fontId="52" fillId="0" borderId="18" xfId="0" applyFont="1" applyBorder="1" applyAlignment="1">
      <alignment vertical="center" wrapText="1"/>
    </xf>
    <xf numFmtId="0" fontId="0" fillId="0" borderId="19" xfId="0" applyBorder="1" applyAlignment="1">
      <alignment vertical="center" wrapText="1"/>
    </xf>
    <xf numFmtId="4" fontId="0" fillId="0" borderId="21" xfId="0" applyNumberFormat="1" applyBorder="1"/>
    <xf numFmtId="0" fontId="52" fillId="0" borderId="22" xfId="0" applyFont="1" applyBorder="1" applyAlignment="1">
      <alignment vertical="center" wrapText="1"/>
    </xf>
    <xf numFmtId="4" fontId="0" fillId="20" borderId="24" xfId="0" applyNumberFormat="1" applyFill="1" applyBorder="1" applyAlignment="1">
      <alignment vertical="center"/>
    </xf>
    <xf numFmtId="4" fontId="0" fillId="20" borderId="22" xfId="0" applyNumberFormat="1" applyFill="1" applyBorder="1" applyAlignment="1">
      <alignment vertical="center"/>
    </xf>
    <xf numFmtId="0" fontId="0" fillId="0" borderId="25" xfId="0" applyBorder="1" applyAlignment="1">
      <alignment vertical="center"/>
    </xf>
    <xf numFmtId="4" fontId="18" fillId="20" borderId="17" xfId="0" applyNumberFormat="1" applyFont="1" applyFill="1" applyBorder="1" applyAlignment="1">
      <alignment vertical="center"/>
    </xf>
    <xf numFmtId="4" fontId="18" fillId="20" borderId="18" xfId="0" applyNumberFormat="1" applyFont="1" applyFill="1" applyBorder="1" applyAlignment="1">
      <alignment vertical="center"/>
    </xf>
    <xf numFmtId="0" fontId="0" fillId="0" borderId="18" xfId="0" applyBorder="1" applyAlignment="1">
      <alignment vertical="center"/>
    </xf>
    <xf numFmtId="4" fontId="0" fillId="20" borderId="21" xfId="0" applyNumberFormat="1" applyFill="1" applyBorder="1" applyAlignment="1">
      <alignment vertical="center"/>
    </xf>
    <xf numFmtId="4" fontId="0" fillId="20" borderId="13" xfId="0" applyNumberFormat="1" applyFill="1" applyBorder="1" applyAlignment="1">
      <alignment vertical="center"/>
    </xf>
    <xf numFmtId="0" fontId="52" fillId="0" borderId="13" xfId="0" applyFont="1" applyBorder="1" applyAlignment="1">
      <alignment vertical="center" wrapText="1"/>
    </xf>
    <xf numFmtId="0" fontId="0" fillId="0" borderId="13" xfId="0" applyBorder="1" applyAlignment="1">
      <alignment vertical="center" wrapText="1"/>
    </xf>
    <xf numFmtId="3" fontId="0" fillId="0" borderId="13" xfId="0" applyNumberFormat="1" applyBorder="1" applyAlignment="1">
      <alignment vertical="center" wrapText="1"/>
    </xf>
    <xf numFmtId="0" fontId="53" fillId="24" borderId="28" xfId="0" applyFont="1" applyFill="1" applyBorder="1" applyAlignment="1">
      <alignment vertical="center" wrapText="1"/>
    </xf>
    <xf numFmtId="0" fontId="0" fillId="0" borderId="22" xfId="0" applyBorder="1" applyAlignment="1">
      <alignment vertical="center"/>
    </xf>
    <xf numFmtId="0" fontId="52" fillId="0" borderId="0" xfId="0" applyFont="1"/>
    <xf numFmtId="0" fontId="18" fillId="26" borderId="13" xfId="0" applyFont="1" applyFill="1" applyBorder="1" applyAlignment="1">
      <alignment vertical="center" wrapText="1"/>
    </xf>
    <xf numFmtId="0" fontId="53" fillId="24" borderId="29" xfId="0" applyFont="1" applyFill="1" applyBorder="1" applyAlignment="1">
      <alignment vertical="center" wrapText="1"/>
    </xf>
    <xf numFmtId="0" fontId="52" fillId="0" borderId="0" xfId="0" applyFont="1" applyAlignment="1">
      <alignment vertical="center"/>
    </xf>
    <xf numFmtId="0" fontId="54" fillId="0" borderId="13" xfId="26" applyFont="1" applyBorder="1" applyAlignment="1">
      <alignment horizontal="left" vertical="center"/>
    </xf>
    <xf numFmtId="0" fontId="44" fillId="0" borderId="0" xfId="0" applyFont="1" applyAlignment="1">
      <alignment horizontal="left" vertical="top"/>
    </xf>
    <xf numFmtId="0" fontId="44" fillId="0" borderId="0" xfId="0" applyFont="1" applyAlignment="1">
      <alignment horizontal="right" vertical="top"/>
    </xf>
    <xf numFmtId="0" fontId="55" fillId="0" borderId="0" xfId="0" applyFont="1" applyAlignment="1">
      <alignment vertical="top" wrapText="1"/>
    </xf>
    <xf numFmtId="2" fontId="0" fillId="0" borderId="13" xfId="0" quotePrefix="1" applyNumberFormat="1" applyBorder="1"/>
    <xf numFmtId="2" fontId="0" fillId="0" borderId="13" xfId="0" applyNumberFormat="1" applyBorder="1" applyAlignment="1">
      <alignment wrapText="1"/>
    </xf>
    <xf numFmtId="4" fontId="0" fillId="20" borderId="18" xfId="0" applyNumberFormat="1" applyFill="1" applyBorder="1" applyAlignment="1">
      <alignment horizontal="right" vertical="center"/>
    </xf>
    <xf numFmtId="172" fontId="0" fillId="0" borderId="13" xfId="0" applyNumberFormat="1" applyBorder="1"/>
    <xf numFmtId="0" fontId="0" fillId="0" borderId="13" xfId="0" applyBorder="1" applyAlignment="1">
      <alignment vertical="center"/>
    </xf>
    <xf numFmtId="4" fontId="0" fillId="20" borderId="21" xfId="0" applyNumberFormat="1" applyFill="1" applyBorder="1" applyAlignment="1">
      <alignment horizontal="right" vertical="center"/>
    </xf>
    <xf numFmtId="4" fontId="0" fillId="20" borderId="13" xfId="0" applyNumberFormat="1" applyFill="1" applyBorder="1" applyAlignment="1">
      <alignment horizontal="right" vertical="center"/>
    </xf>
    <xf numFmtId="4" fontId="0" fillId="0" borderId="13" xfId="0" applyNumberFormat="1" applyBorder="1" applyAlignment="1">
      <alignment horizontal="right" vertical="center"/>
    </xf>
    <xf numFmtId="0" fontId="0" fillId="0" borderId="22" xfId="0" applyBorder="1" applyAlignment="1">
      <alignment vertical="center" wrapText="1"/>
    </xf>
    <xf numFmtId="0" fontId="49" fillId="22" borderId="31" xfId="27" applyBorder="1" applyAlignment="1">
      <alignment horizontal="center" vertical="center" wrapText="1"/>
    </xf>
    <xf numFmtId="0" fontId="56" fillId="27" borderId="31" xfId="27" applyFont="1" applyFill="1" applyBorder="1" applyAlignment="1">
      <alignment horizontal="center" vertical="center" wrapText="1"/>
    </xf>
    <xf numFmtId="0" fontId="44" fillId="0" borderId="0" xfId="0" applyFont="1" applyAlignment="1">
      <alignment horizontal="right"/>
    </xf>
    <xf numFmtId="43" fontId="0" fillId="0" borderId="0" xfId="0" applyNumberFormat="1" applyAlignment="1">
      <alignment vertical="center"/>
    </xf>
    <xf numFmtId="0" fontId="0" fillId="0" borderId="0" xfId="0" applyAlignment="1">
      <alignment vertical="center" wrapText="1"/>
    </xf>
    <xf numFmtId="0" fontId="57" fillId="0" borderId="21" xfId="24" applyNumberFormat="1" applyFont="1" applyBorder="1" applyAlignment="1">
      <alignment vertical="center"/>
    </xf>
    <xf numFmtId="3" fontId="0" fillId="0" borderId="13" xfId="0" applyNumberFormat="1" applyBorder="1" applyAlignment="1">
      <alignment vertical="center"/>
    </xf>
    <xf numFmtId="1" fontId="0" fillId="0" borderId="13" xfId="0" applyNumberFormat="1" applyBorder="1"/>
    <xf numFmtId="0" fontId="58" fillId="0" borderId="13" xfId="0" applyFont="1" applyBorder="1"/>
    <xf numFmtId="0" fontId="59" fillId="26" borderId="0" xfId="0" applyFont="1" applyFill="1" applyAlignment="1">
      <alignment horizontal="left" vertical="center"/>
    </xf>
    <xf numFmtId="0" fontId="60" fillId="26" borderId="0" xfId="0" applyFont="1" applyFill="1" applyAlignment="1">
      <alignment horizontal="center"/>
    </xf>
    <xf numFmtId="0" fontId="61" fillId="26" borderId="0" xfId="0" applyFont="1" applyFill="1" applyAlignment="1">
      <alignment horizontal="left" vertical="center"/>
    </xf>
    <xf numFmtId="0" fontId="40" fillId="0" borderId="0" xfId="0" applyFont="1" applyAlignment="1">
      <alignment wrapText="1"/>
    </xf>
    <xf numFmtId="0" fontId="62" fillId="0" borderId="0" xfId="0" applyFont="1"/>
    <xf numFmtId="0" fontId="57" fillId="0" borderId="13" xfId="0" applyFont="1" applyBorder="1" applyAlignment="1">
      <alignment horizontal="center"/>
    </xf>
    <xf numFmtId="0" fontId="57" fillId="0" borderId="13" xfId="0" applyFont="1" applyBorder="1" applyAlignment="1">
      <alignment horizontal="center" wrapText="1"/>
    </xf>
    <xf numFmtId="0" fontId="0" fillId="0" borderId="0" xfId="0" applyAlignment="1">
      <alignment wrapText="1"/>
    </xf>
    <xf numFmtId="0" fontId="63" fillId="0" borderId="0" xfId="26" applyFont="1" applyAlignment="1">
      <alignment vertical="center"/>
    </xf>
    <xf numFmtId="0" fontId="50" fillId="25" borderId="0" xfId="0" applyFont="1" applyFill="1" applyAlignment="1">
      <alignment horizontal="left" vertical="center"/>
    </xf>
    <xf numFmtId="9" fontId="57" fillId="0" borderId="21" xfId="24" applyFont="1" applyBorder="1" applyAlignment="1">
      <alignment vertical="center"/>
    </xf>
    <xf numFmtId="1" fontId="0" fillId="15" borderId="0" xfId="0" applyNumberFormat="1" applyFill="1"/>
    <xf numFmtId="1" fontId="0" fillId="28" borderId="0" xfId="0" applyNumberFormat="1" applyFill="1"/>
    <xf numFmtId="1" fontId="0" fillId="28" borderId="12" xfId="0" applyNumberFormat="1" applyFill="1" applyBorder="1"/>
    <xf numFmtId="0" fontId="64" fillId="0" borderId="0" xfId="0" applyFont="1" applyAlignment="1">
      <alignment horizontal="center" vertical="center"/>
    </xf>
    <xf numFmtId="0" fontId="62" fillId="0" borderId="0" xfId="0" applyFont="1" applyAlignment="1">
      <alignment vertical="center" wrapText="1"/>
    </xf>
    <xf numFmtId="0" fontId="0" fillId="15" borderId="0" xfId="0" applyFill="1"/>
    <xf numFmtId="0" fontId="66" fillId="15" borderId="0" xfId="0" applyFont="1" applyFill="1"/>
    <xf numFmtId="0" fontId="67" fillId="24" borderId="0" xfId="0" applyFont="1" applyFill="1" applyAlignment="1">
      <alignment horizontal="center" vertical="center" textRotation="90"/>
    </xf>
    <xf numFmtId="0" fontId="0" fillId="23" borderId="0" xfId="0" applyFill="1" applyAlignment="1">
      <alignment vertical="center"/>
    </xf>
    <xf numFmtId="0" fontId="68" fillId="23" borderId="0" xfId="0" applyFont="1" applyFill="1" applyAlignment="1">
      <alignment vertical="center" wrapText="1"/>
    </xf>
    <xf numFmtId="1" fontId="18" fillId="29" borderId="0" xfId="0" applyNumberFormat="1" applyFont="1" applyFill="1" applyAlignment="1">
      <alignment vertical="center"/>
    </xf>
    <xf numFmtId="0" fontId="59" fillId="30" borderId="0" xfId="0" applyFont="1" applyFill="1" applyAlignment="1">
      <alignment vertical="center"/>
    </xf>
    <xf numFmtId="0" fontId="59" fillId="30" borderId="0" xfId="0" applyFont="1" applyFill="1" applyAlignment="1">
      <alignment horizontal="center" vertical="center"/>
    </xf>
    <xf numFmtId="0" fontId="18" fillId="30" borderId="0" xfId="0" applyFont="1" applyFill="1" applyAlignment="1">
      <alignment vertical="center"/>
    </xf>
    <xf numFmtId="0" fontId="68" fillId="23" borderId="0" xfId="0" applyFont="1" applyFill="1" applyAlignment="1">
      <alignment vertical="center"/>
    </xf>
    <xf numFmtId="1" fontId="0" fillId="29" borderId="0" xfId="0" applyNumberFormat="1" applyFill="1" applyAlignment="1">
      <alignment vertical="center"/>
    </xf>
    <xf numFmtId="0" fontId="64" fillId="30" borderId="0" xfId="0" applyFont="1" applyFill="1" applyAlignment="1">
      <alignment vertical="center"/>
    </xf>
    <xf numFmtId="0" fontId="64" fillId="30" borderId="0" xfId="0" applyFont="1" applyFill="1" applyAlignment="1">
      <alignment horizontal="center" vertical="center"/>
    </xf>
    <xf numFmtId="0" fontId="0" fillId="30" borderId="0" xfId="0" applyFill="1" applyAlignment="1">
      <alignment vertical="center"/>
    </xf>
    <xf numFmtId="2" fontId="0" fillId="29" borderId="0" xfId="0" applyNumberFormat="1" applyFill="1" applyAlignment="1">
      <alignment vertical="center"/>
    </xf>
    <xf numFmtId="2" fontId="0" fillId="29" borderId="0" xfId="24" applyNumberFormat="1" applyFont="1" applyFill="1" applyBorder="1" applyAlignment="1">
      <alignment vertical="center"/>
    </xf>
    <xf numFmtId="2" fontId="7" fillId="23" borderId="0" xfId="0" applyNumberFormat="1" applyFont="1" applyFill="1" applyAlignment="1">
      <alignment vertical="center"/>
    </xf>
    <xf numFmtId="0" fontId="69" fillId="23" borderId="0" xfId="0" applyFont="1" applyFill="1" applyAlignment="1">
      <alignment vertical="center"/>
    </xf>
    <xf numFmtId="0" fontId="69" fillId="23" borderId="0" xfId="0" applyFont="1" applyFill="1" applyAlignment="1">
      <alignment horizontal="center" vertical="center"/>
    </xf>
    <xf numFmtId="0" fontId="7" fillId="23" borderId="0" xfId="0" applyFont="1" applyFill="1" applyAlignment="1">
      <alignment vertical="center"/>
    </xf>
    <xf numFmtId="0" fontId="68" fillId="28" borderId="0" xfId="0" applyFont="1" applyFill="1" applyAlignment="1">
      <alignment vertical="center" wrapText="1"/>
    </xf>
    <xf numFmtId="1" fontId="0" fillId="28" borderId="0" xfId="0" applyNumberFormat="1" applyFill="1" applyAlignment="1">
      <alignment vertical="center"/>
    </xf>
    <xf numFmtId="0" fontId="64" fillId="28" borderId="0" xfId="0" applyFont="1" applyFill="1" applyAlignment="1">
      <alignment horizontal="left" vertical="center" wrapText="1"/>
    </xf>
    <xf numFmtId="0" fontId="64" fillId="28" borderId="0" xfId="0" applyFont="1" applyFill="1" applyAlignment="1">
      <alignment horizontal="center" vertical="center"/>
    </xf>
    <xf numFmtId="0" fontId="0" fillId="28" borderId="0" xfId="0" applyFill="1" applyAlignment="1">
      <alignment vertical="center"/>
    </xf>
    <xf numFmtId="0" fontId="64" fillId="30" borderId="0" xfId="0" applyFont="1" applyFill="1" applyAlignment="1">
      <alignment horizontal="left" vertical="center" wrapText="1"/>
    </xf>
    <xf numFmtId="0" fontId="0" fillId="30" borderId="0" xfId="0" applyFill="1" applyAlignment="1">
      <alignment vertical="center" wrapText="1"/>
    </xf>
    <xf numFmtId="0" fontId="0" fillId="30" borderId="0" xfId="0" quotePrefix="1" applyFill="1" applyAlignment="1">
      <alignment vertical="center"/>
    </xf>
    <xf numFmtId="0" fontId="70" fillId="23" borderId="0" xfId="0" applyFont="1" applyFill="1" applyAlignment="1">
      <alignment vertical="center"/>
    </xf>
    <xf numFmtId="0" fontId="64" fillId="30" borderId="0" xfId="0" applyFont="1" applyFill="1" applyAlignment="1">
      <alignment horizontal="center" vertical="center" wrapText="1"/>
    </xf>
    <xf numFmtId="9" fontId="0" fillId="29" borderId="0" xfId="24" applyFont="1" applyFill="1" applyAlignment="1">
      <alignment vertical="center"/>
    </xf>
    <xf numFmtId="172" fontId="0" fillId="29" borderId="0" xfId="0" applyNumberFormat="1" applyFill="1" applyAlignment="1">
      <alignment vertical="center"/>
    </xf>
    <xf numFmtId="2" fontId="44" fillId="29" borderId="32" xfId="0" applyNumberFormat="1" applyFont="1" applyFill="1" applyBorder="1" applyAlignment="1">
      <alignment horizontal="center" vertical="center"/>
    </xf>
    <xf numFmtId="2" fontId="0" fillId="28" borderId="0" xfId="0" applyNumberFormat="1" applyFill="1" applyAlignment="1">
      <alignment vertical="center"/>
    </xf>
    <xf numFmtId="0" fontId="64" fillId="28" borderId="0" xfId="0" applyFont="1" applyFill="1" applyAlignment="1">
      <alignment vertical="center"/>
    </xf>
    <xf numFmtId="0" fontId="64" fillId="28" borderId="0" xfId="0" applyFont="1" applyFill="1" applyAlignment="1">
      <alignment horizontal="center" vertical="center" wrapText="1"/>
    </xf>
    <xf numFmtId="2" fontId="0" fillId="29" borderId="0" xfId="0" quotePrefix="1" applyNumberFormat="1" applyFill="1" applyAlignment="1">
      <alignment vertical="center"/>
    </xf>
    <xf numFmtId="0" fontId="0" fillId="23" borderId="0" xfId="0" quotePrefix="1" applyFill="1" applyAlignment="1">
      <alignment vertical="center"/>
    </xf>
    <xf numFmtId="0" fontId="0" fillId="28" borderId="0" xfId="0" quotePrefix="1" applyFill="1" applyAlignment="1">
      <alignment vertical="center"/>
    </xf>
    <xf numFmtId="9" fontId="1" fillId="29" borderId="0" xfId="24" applyFont="1" applyFill="1" applyAlignment="1">
      <alignment vertical="center"/>
    </xf>
    <xf numFmtId="2" fontId="0" fillId="23" borderId="0" xfId="0" applyNumberFormat="1" applyFill="1" applyAlignment="1">
      <alignment vertical="center"/>
    </xf>
    <xf numFmtId="0" fontId="64" fillId="23" borderId="0" xfId="0" applyFont="1" applyFill="1" applyAlignment="1">
      <alignment vertical="center"/>
    </xf>
    <xf numFmtId="0" fontId="64" fillId="23" borderId="0" xfId="0" applyFont="1" applyFill="1" applyAlignment="1">
      <alignment horizontal="center" vertical="center"/>
    </xf>
    <xf numFmtId="0" fontId="67" fillId="23" borderId="0" xfId="0" applyFont="1" applyFill="1" applyAlignment="1">
      <alignment vertical="center"/>
    </xf>
    <xf numFmtId="0" fontId="71" fillId="30" borderId="0" xfId="28" applyFont="1" applyFill="1" applyBorder="1" applyAlignment="1">
      <alignment horizontal="center" vertical="center" wrapText="1"/>
    </xf>
    <xf numFmtId="0" fontId="72" fillId="23" borderId="0" xfId="0" applyFont="1" applyFill="1" applyAlignment="1">
      <alignment vertical="center"/>
    </xf>
    <xf numFmtId="0" fontId="72" fillId="23" borderId="0" xfId="0" applyFont="1" applyFill="1" applyAlignment="1">
      <alignment horizontal="center" vertical="center"/>
    </xf>
    <xf numFmtId="0" fontId="0" fillId="23" borderId="0" xfId="0" applyFill="1"/>
    <xf numFmtId="2" fontId="57" fillId="15" borderId="0" xfId="0" applyNumberFormat="1" applyFont="1" applyFill="1" applyAlignment="1">
      <alignment horizontal="left" vertical="center"/>
    </xf>
    <xf numFmtId="0" fontId="74" fillId="15" borderId="0" xfId="28" applyFont="1" applyFill="1" applyBorder="1" applyAlignment="1">
      <alignment horizontal="left" vertical="center"/>
    </xf>
    <xf numFmtId="2" fontId="0" fillId="15" borderId="0" xfId="0" applyNumberFormat="1" applyFill="1"/>
    <xf numFmtId="0" fontId="75" fillId="15" borderId="0" xfId="0" applyFont="1" applyFill="1" applyAlignment="1">
      <alignment horizontal="right" vertical="center"/>
    </xf>
    <xf numFmtId="0" fontId="76" fillId="15" borderId="0" xfId="28" applyFont="1" applyFill="1" applyBorder="1" applyAlignment="1">
      <alignment horizontal="center" vertical="center"/>
    </xf>
    <xf numFmtId="0" fontId="76" fillId="15" borderId="0" xfId="28" applyFont="1" applyFill="1" applyBorder="1" applyAlignment="1">
      <alignment horizontal="left" vertical="center" wrapText="1"/>
    </xf>
    <xf numFmtId="2" fontId="57" fillId="15" borderId="0" xfId="0" applyNumberFormat="1" applyFont="1" applyFill="1" applyAlignment="1">
      <alignment horizontal="left" vertical="center" wrapText="1"/>
    </xf>
    <xf numFmtId="0" fontId="76" fillId="15" borderId="0" xfId="28" applyFont="1" applyFill="1" applyBorder="1" applyAlignment="1">
      <alignment vertical="center"/>
    </xf>
    <xf numFmtId="0" fontId="77" fillId="15" borderId="0" xfId="0" applyFont="1" applyFill="1" applyAlignment="1">
      <alignment horizontal="left"/>
    </xf>
    <xf numFmtId="0" fontId="78" fillId="15" borderId="0" xfId="0" applyFont="1" applyFill="1" applyAlignment="1">
      <alignment horizontal="left" wrapText="1"/>
    </xf>
    <xf numFmtId="0" fontId="78" fillId="15" borderId="0" xfId="0" applyFont="1" applyFill="1" applyAlignment="1">
      <alignment wrapText="1"/>
    </xf>
    <xf numFmtId="0" fontId="18" fillId="15" borderId="0" xfId="0" applyFont="1" applyFill="1"/>
    <xf numFmtId="0" fontId="79" fillId="15" borderId="0" xfId="0" applyFont="1" applyFill="1"/>
    <xf numFmtId="9" fontId="80" fillId="0" borderId="0" xfId="24" applyFont="1"/>
    <xf numFmtId="0" fontId="0" fillId="15" borderId="0" xfId="0" applyFill="1" applyAlignment="1">
      <alignment vertical="center"/>
    </xf>
    <xf numFmtId="0" fontId="76" fillId="15" borderId="0" xfId="28" applyFont="1" applyFill="1" applyBorder="1" applyAlignment="1">
      <alignment horizontal="left" vertical="center"/>
    </xf>
    <xf numFmtId="2" fontId="0" fillId="15" borderId="0" xfId="0" applyNumberFormat="1" applyFill="1" applyAlignment="1">
      <alignment vertical="center"/>
    </xf>
    <xf numFmtId="172" fontId="25" fillId="15" borderId="0" xfId="0" applyNumberFormat="1" applyFont="1" applyFill="1"/>
    <xf numFmtId="172" fontId="0" fillId="15" borderId="0" xfId="0" applyNumberFormat="1" applyFill="1"/>
    <xf numFmtId="173" fontId="0" fillId="15" borderId="0" xfId="0" applyNumberFormat="1" applyFill="1"/>
    <xf numFmtId="0" fontId="75" fillId="15" borderId="0" xfId="0" applyFont="1" applyFill="1" applyAlignment="1">
      <alignment horizontal="right"/>
    </xf>
    <xf numFmtId="0" fontId="75" fillId="15" borderId="0" xfId="0" applyFont="1" applyFill="1"/>
    <xf numFmtId="0" fontId="0" fillId="23" borderId="0" xfId="0" quotePrefix="1" applyFill="1"/>
    <xf numFmtId="0" fontId="82" fillId="23" borderId="0" xfId="0" applyFont="1" applyFill="1" applyAlignment="1">
      <alignment vertical="top" wrapText="1"/>
    </xf>
    <xf numFmtId="0" fontId="83" fillId="15" borderId="0" xfId="0" applyFont="1" applyFill="1" applyAlignment="1">
      <alignment horizontal="left"/>
    </xf>
    <xf numFmtId="0" fontId="51" fillId="15" borderId="0" xfId="0" applyFont="1" applyFill="1"/>
    <xf numFmtId="0" fontId="84" fillId="15" borderId="0" xfId="0" applyFont="1" applyFill="1"/>
    <xf numFmtId="0" fontId="85" fillId="23" borderId="0" xfId="0" applyFont="1" applyFill="1"/>
    <xf numFmtId="0" fontId="74" fillId="15" borderId="0" xfId="0" applyFont="1" applyFill="1"/>
    <xf numFmtId="0" fontId="84" fillId="15" borderId="0" xfId="0" applyFont="1" applyFill="1" applyAlignment="1">
      <alignment horizontal="right"/>
    </xf>
    <xf numFmtId="0" fontId="36" fillId="23" borderId="0" xfId="0" applyFont="1" applyFill="1"/>
    <xf numFmtId="0" fontId="87" fillId="32" borderId="39" xfId="29" applyFont="1" applyFill="1" applyAlignment="1">
      <alignment horizontal="center" vertical="center"/>
    </xf>
    <xf numFmtId="0" fontId="88" fillId="23" borderId="0" xfId="26" applyFont="1" applyFill="1"/>
    <xf numFmtId="2" fontId="0" fillId="15" borderId="40" xfId="0" applyNumberFormat="1" applyFill="1" applyBorder="1"/>
    <xf numFmtId="1" fontId="0" fillId="15" borderId="41" xfId="0" applyNumberFormat="1" applyFill="1" applyBorder="1"/>
    <xf numFmtId="9" fontId="0" fillId="15" borderId="42" xfId="24" applyFont="1" applyFill="1" applyBorder="1"/>
    <xf numFmtId="2" fontId="57" fillId="15" borderId="41" xfId="0" applyNumberFormat="1" applyFont="1" applyFill="1" applyBorder="1"/>
    <xf numFmtId="2" fontId="0" fillId="15" borderId="12" xfId="0" applyNumberFormat="1" applyFill="1" applyBorder="1"/>
    <xf numFmtId="2" fontId="57" fillId="15" borderId="12" xfId="0" applyNumberFormat="1" applyFont="1" applyFill="1" applyBorder="1"/>
    <xf numFmtId="2" fontId="0" fillId="15" borderId="42" xfId="0" applyNumberFormat="1" applyFill="1" applyBorder="1"/>
    <xf numFmtId="0" fontId="7" fillId="23" borderId="0" xfId="0" applyFont="1" applyFill="1"/>
    <xf numFmtId="2" fontId="0" fillId="15" borderId="28" xfId="0" applyNumberFormat="1" applyFill="1" applyBorder="1"/>
    <xf numFmtId="1" fontId="0" fillId="15" borderId="43" xfId="0" applyNumberFormat="1" applyFill="1" applyBorder="1"/>
    <xf numFmtId="9" fontId="0" fillId="15" borderId="44" xfId="24" applyFont="1" applyFill="1" applyBorder="1"/>
    <xf numFmtId="2" fontId="57" fillId="15" borderId="43" xfId="0" applyNumberFormat="1" applyFont="1" applyFill="1" applyBorder="1"/>
    <xf numFmtId="2" fontId="57" fillId="15" borderId="0" xfId="0" applyNumberFormat="1" applyFont="1" applyFill="1"/>
    <xf numFmtId="2" fontId="0" fillId="15" borderId="44" xfId="0" applyNumberFormat="1" applyFill="1" applyBorder="1"/>
    <xf numFmtId="0" fontId="64" fillId="23" borderId="0" xfId="0" quotePrefix="1" applyFont="1" applyFill="1" applyAlignment="1">
      <alignment horizontal="center" vertical="center"/>
    </xf>
    <xf numFmtId="0" fontId="89" fillId="33" borderId="0" xfId="0" applyFont="1" applyFill="1"/>
    <xf numFmtId="0" fontId="90" fillId="33" borderId="0" xfId="0" applyFont="1" applyFill="1" applyAlignment="1">
      <alignment vertical="center"/>
    </xf>
    <xf numFmtId="0" fontId="89" fillId="33" borderId="0" xfId="0" applyFont="1" applyFill="1" applyAlignment="1">
      <alignment vertical="center"/>
    </xf>
    <xf numFmtId="0" fontId="67" fillId="33" borderId="0" xfId="0" applyFont="1" applyFill="1" applyAlignment="1">
      <alignment vertical="center"/>
    </xf>
    <xf numFmtId="0" fontId="67" fillId="23" borderId="0" xfId="0" applyFont="1" applyFill="1"/>
    <xf numFmtId="9" fontId="87" fillId="32" borderId="39" xfId="24" applyFont="1" applyFill="1" applyBorder="1" applyAlignment="1">
      <alignment horizontal="center" vertical="center"/>
    </xf>
    <xf numFmtId="0" fontId="91" fillId="23" borderId="0" xfId="0" applyFont="1" applyFill="1" applyAlignment="1">
      <alignment vertical="center" wrapText="1"/>
    </xf>
    <xf numFmtId="0" fontId="80" fillId="20" borderId="0" xfId="0" applyFont="1" applyFill="1"/>
    <xf numFmtId="0" fontId="92" fillId="15" borderId="46" xfId="0" applyFont="1" applyFill="1" applyBorder="1" applyAlignment="1">
      <alignment vertical="center"/>
    </xf>
    <xf numFmtId="0" fontId="92" fillId="15" borderId="47" xfId="0" applyFont="1" applyFill="1" applyBorder="1" applyAlignment="1">
      <alignment vertical="center"/>
    </xf>
    <xf numFmtId="0" fontId="92" fillId="15" borderId="48" xfId="0" applyFont="1" applyFill="1" applyBorder="1" applyAlignment="1">
      <alignment vertical="center"/>
    </xf>
    <xf numFmtId="0" fontId="93" fillId="20" borderId="0" xfId="0" applyFont="1" applyFill="1"/>
    <xf numFmtId="0" fontId="75" fillId="15" borderId="28" xfId="0" applyFont="1" applyFill="1" applyBorder="1" applyAlignment="1">
      <alignment wrapText="1"/>
    </xf>
    <xf numFmtId="0" fontId="75" fillId="15" borderId="43" xfId="0" applyFont="1" applyFill="1" applyBorder="1" applyAlignment="1">
      <alignment wrapText="1"/>
    </xf>
    <xf numFmtId="0" fontId="75" fillId="15" borderId="0" xfId="0" applyFont="1" applyFill="1" applyAlignment="1">
      <alignment wrapText="1"/>
    </xf>
    <xf numFmtId="0" fontId="75" fillId="15" borderId="44" xfId="0" applyFont="1" applyFill="1" applyBorder="1" applyAlignment="1">
      <alignment wrapText="1"/>
    </xf>
    <xf numFmtId="0" fontId="94" fillId="15" borderId="43" xfId="0" applyFont="1" applyFill="1" applyBorder="1" applyAlignment="1">
      <alignment wrapText="1"/>
    </xf>
    <xf numFmtId="0" fontId="94" fillId="15" borderId="0" xfId="0" applyFont="1" applyFill="1" applyAlignment="1">
      <alignment wrapText="1"/>
    </xf>
    <xf numFmtId="0" fontId="95" fillId="34" borderId="29" xfId="0" applyFont="1" applyFill="1" applyBorder="1" applyAlignment="1">
      <alignment horizontal="center" vertical="center"/>
    </xf>
    <xf numFmtId="0" fontId="83" fillId="15" borderId="0" xfId="0" applyFont="1" applyFill="1" applyAlignment="1">
      <alignment vertical="center"/>
    </xf>
    <xf numFmtId="0" fontId="96" fillId="15" borderId="0" xfId="0" applyFont="1" applyFill="1" applyAlignment="1">
      <alignment vertical="center"/>
    </xf>
    <xf numFmtId="0" fontId="98" fillId="15" borderId="0" xfId="0" applyFont="1" applyFill="1"/>
    <xf numFmtId="0" fontId="99" fillId="23" borderId="0" xfId="0" applyFont="1" applyFill="1"/>
    <xf numFmtId="0" fontId="0" fillId="26" borderId="0" xfId="0" applyFill="1"/>
    <xf numFmtId="0" fontId="64" fillId="26" borderId="0" xfId="0" applyFont="1" applyFill="1" applyAlignment="1">
      <alignment horizontal="center" vertical="center"/>
    </xf>
    <xf numFmtId="0" fontId="101" fillId="26" borderId="0" xfId="0" applyFont="1" applyFill="1" applyAlignment="1">
      <alignment vertical="center"/>
    </xf>
    <xf numFmtId="0" fontId="12" fillId="0" borderId="0" xfId="0" applyFont="1" applyAlignment="1">
      <alignment horizontal="right"/>
    </xf>
    <xf numFmtId="0" fontId="0" fillId="35" borderId="0" xfId="0" applyFill="1" applyAlignment="1" applyProtection="1">
      <alignment vertical="center"/>
      <protection locked="0"/>
    </xf>
    <xf numFmtId="0" fontId="7" fillId="35" borderId="0" xfId="0" applyFont="1" applyFill="1" applyAlignment="1" applyProtection="1">
      <alignment vertical="center"/>
      <protection locked="0"/>
    </xf>
    <xf numFmtId="0" fontId="64" fillId="35" borderId="0" xfId="0" applyFont="1" applyFill="1" applyAlignment="1" applyProtection="1">
      <alignment horizontal="center" vertical="center"/>
      <protection locked="0"/>
    </xf>
    <xf numFmtId="0" fontId="67" fillId="24" borderId="0" xfId="0" applyFont="1" applyFill="1" applyAlignment="1" applyProtection="1">
      <alignment vertical="center" textRotation="90"/>
      <protection locked="0"/>
    </xf>
    <xf numFmtId="0" fontId="0" fillId="24" borderId="0" xfId="0" applyFill="1" applyAlignment="1" applyProtection="1">
      <alignment vertical="center"/>
      <protection locked="0"/>
    </xf>
    <xf numFmtId="0" fontId="0" fillId="0" borderId="0" xfId="0" applyAlignment="1" applyProtection="1">
      <alignment vertical="center"/>
      <protection locked="0"/>
    </xf>
    <xf numFmtId="0" fontId="102" fillId="33" borderId="0" xfId="0" applyFont="1" applyFill="1" applyAlignment="1" applyProtection="1">
      <alignment vertical="center"/>
      <protection locked="0"/>
    </xf>
    <xf numFmtId="0" fontId="99" fillId="33" borderId="0" xfId="0" applyFont="1" applyFill="1" applyAlignment="1" applyProtection="1">
      <alignment vertical="center"/>
      <protection locked="0"/>
    </xf>
    <xf numFmtId="0" fontId="85" fillId="24" borderId="0" xfId="0" applyFont="1" applyFill="1" applyAlignment="1" applyProtection="1">
      <alignment vertical="center"/>
      <protection locked="0"/>
    </xf>
    <xf numFmtId="0" fontId="66" fillId="24" borderId="0" xfId="0" applyFont="1" applyFill="1" applyAlignment="1" applyProtection="1">
      <alignment vertical="center"/>
      <protection locked="0"/>
    </xf>
    <xf numFmtId="0" fontId="0" fillId="23" borderId="0" xfId="0" applyFill="1" applyAlignment="1" applyProtection="1">
      <alignment vertical="center"/>
      <protection locked="0"/>
    </xf>
    <xf numFmtId="0" fontId="82" fillId="23" borderId="0" xfId="0" applyFont="1" applyFill="1" applyAlignment="1" applyProtection="1">
      <alignment horizontal="center" vertical="center" wrapText="1"/>
      <protection locked="0"/>
    </xf>
    <xf numFmtId="0" fontId="85" fillId="23" borderId="0" xfId="0" applyFont="1" applyFill="1" applyAlignment="1" applyProtection="1">
      <alignment vertical="center"/>
      <protection locked="0"/>
    </xf>
    <xf numFmtId="0" fontId="67" fillId="33" borderId="0" xfId="0" applyFont="1" applyFill="1" applyAlignment="1" applyProtection="1">
      <alignment vertical="center"/>
      <protection locked="0"/>
    </xf>
    <xf numFmtId="0" fontId="89" fillId="33" borderId="0" xfId="0" applyFont="1" applyFill="1" applyAlignment="1" applyProtection="1">
      <alignment vertical="center"/>
      <protection locked="0"/>
    </xf>
    <xf numFmtId="0" fontId="90" fillId="33" borderId="0" xfId="0" applyFont="1" applyFill="1" applyAlignment="1" applyProtection="1">
      <alignment vertical="center"/>
      <protection locked="0"/>
    </xf>
    <xf numFmtId="0" fontId="108" fillId="24" borderId="0" xfId="0" applyFont="1" applyFill="1" applyProtection="1">
      <protection locked="0"/>
    </xf>
    <xf numFmtId="0" fontId="103" fillId="23" borderId="0" xfId="0" applyFont="1" applyFill="1" applyAlignment="1" applyProtection="1">
      <alignment vertical="center"/>
      <protection locked="0"/>
    </xf>
    <xf numFmtId="0" fontId="87" fillId="32" borderId="51" xfId="30" applyFont="1" applyFill="1" applyBorder="1" applyAlignment="1" applyProtection="1">
      <alignment horizontal="center" vertical="center"/>
      <protection locked="0"/>
    </xf>
    <xf numFmtId="0" fontId="73" fillId="23" borderId="0" xfId="0" applyFont="1" applyFill="1" applyAlignment="1" applyProtection="1">
      <alignment horizontal="left" vertical="center" wrapText="1"/>
      <protection locked="0"/>
    </xf>
    <xf numFmtId="0" fontId="67" fillId="24" borderId="0" xfId="0" applyFont="1" applyFill="1" applyAlignment="1" applyProtection="1">
      <alignment vertical="center"/>
      <protection locked="0"/>
    </xf>
    <xf numFmtId="0" fontId="109" fillId="24" borderId="0" xfId="0" applyFont="1" applyFill="1" applyAlignment="1" applyProtection="1">
      <alignment vertical="center"/>
      <protection locked="0"/>
    </xf>
    <xf numFmtId="0" fontId="62" fillId="23" borderId="0" xfId="0" applyFont="1" applyFill="1" applyAlignment="1" applyProtection="1">
      <alignment vertical="center"/>
      <protection locked="0"/>
    </xf>
    <xf numFmtId="0" fontId="36" fillId="23" borderId="0" xfId="0" applyFont="1" applyFill="1" applyAlignment="1" applyProtection="1">
      <alignment vertical="center"/>
      <protection locked="0"/>
    </xf>
    <xf numFmtId="0" fontId="104" fillId="23" borderId="0" xfId="0" applyFont="1" applyFill="1" applyAlignment="1" applyProtection="1">
      <alignment vertical="center"/>
      <protection locked="0"/>
    </xf>
    <xf numFmtId="0" fontId="110" fillId="23" borderId="0" xfId="0" applyFont="1" applyFill="1" applyAlignment="1" applyProtection="1">
      <alignment vertical="center"/>
      <protection locked="0"/>
    </xf>
    <xf numFmtId="0" fontId="103" fillId="23" borderId="0" xfId="0" applyFont="1" applyFill="1" applyAlignment="1" applyProtection="1">
      <alignment vertical="center" wrapText="1"/>
      <protection locked="0"/>
    </xf>
    <xf numFmtId="0" fontId="87" fillId="32" borderId="39" xfId="30" applyFont="1" applyFill="1" applyAlignment="1" applyProtection="1">
      <alignment horizontal="center" vertical="center"/>
      <protection locked="0"/>
    </xf>
    <xf numFmtId="0" fontId="64" fillId="23" borderId="0" xfId="0" applyFont="1" applyFill="1" applyAlignment="1" applyProtection="1">
      <alignment horizontal="center" vertical="center"/>
      <protection locked="0"/>
    </xf>
    <xf numFmtId="0" fontId="112" fillId="23" borderId="0" xfId="26" applyFont="1" applyFill="1" applyAlignment="1" applyProtection="1">
      <alignment vertical="center"/>
      <protection locked="0"/>
    </xf>
    <xf numFmtId="0" fontId="88" fillId="23" borderId="0" xfId="26" applyFont="1" applyFill="1" applyAlignment="1" applyProtection="1">
      <alignment vertical="center"/>
      <protection locked="0"/>
    </xf>
    <xf numFmtId="0" fontId="113" fillId="24" borderId="0" xfId="0" applyFont="1" applyFill="1" applyAlignment="1" applyProtection="1">
      <alignment vertical="center"/>
      <protection locked="0"/>
    </xf>
    <xf numFmtId="0" fontId="114" fillId="32" borderId="39" xfId="30" applyFont="1" applyFill="1" applyAlignment="1" applyProtection="1">
      <alignment horizontal="center" vertical="center"/>
      <protection locked="0"/>
    </xf>
    <xf numFmtId="1" fontId="87" fillId="32" borderId="39" xfId="24" applyNumberFormat="1" applyFont="1" applyFill="1" applyBorder="1" applyAlignment="1" applyProtection="1">
      <alignment horizontal="center" vertical="center"/>
      <protection locked="0"/>
    </xf>
    <xf numFmtId="0" fontId="85" fillId="24" borderId="0" xfId="0" applyFont="1" applyFill="1" applyProtection="1">
      <protection locked="0"/>
    </xf>
    <xf numFmtId="0" fontId="47" fillId="24" borderId="0" xfId="0" applyFont="1" applyFill="1" applyAlignment="1" applyProtection="1">
      <alignment vertical="center"/>
      <protection locked="0"/>
    </xf>
    <xf numFmtId="0" fontId="72" fillId="24" borderId="0" xfId="0" applyFont="1" applyFill="1" applyAlignment="1" applyProtection="1">
      <alignment vertical="center"/>
      <protection locked="0"/>
    </xf>
    <xf numFmtId="0" fontId="47" fillId="24" borderId="0" xfId="0" applyFont="1" applyFill="1" applyAlignment="1" applyProtection="1">
      <alignment horizontal="left" vertical="center"/>
      <protection locked="0"/>
    </xf>
    <xf numFmtId="1" fontId="47" fillId="24" borderId="13" xfId="0" applyNumberFormat="1" applyFont="1" applyFill="1" applyBorder="1" applyAlignment="1">
      <alignment vertical="center"/>
    </xf>
    <xf numFmtId="0" fontId="72" fillId="24" borderId="0" xfId="0" applyFont="1" applyFill="1" applyAlignment="1" applyProtection="1">
      <alignment horizontal="left" vertical="center"/>
      <protection locked="0"/>
    </xf>
    <xf numFmtId="0" fontId="115" fillId="24" borderId="0" xfId="0" applyFont="1" applyFill="1" applyAlignment="1" applyProtection="1">
      <alignment vertical="center"/>
      <protection locked="0"/>
    </xf>
    <xf numFmtId="0" fontId="116" fillId="23" borderId="0" xfId="0" applyFont="1" applyFill="1" applyAlignment="1" applyProtection="1">
      <alignment vertical="center"/>
      <protection locked="0"/>
    </xf>
    <xf numFmtId="0" fontId="47" fillId="24" borderId="0" xfId="0" applyFont="1" applyFill="1" applyAlignment="1">
      <alignment vertical="center"/>
    </xf>
    <xf numFmtId="1" fontId="47" fillId="24" borderId="53" xfId="0" applyNumberFormat="1" applyFont="1" applyFill="1" applyBorder="1" applyAlignment="1">
      <alignment vertical="center"/>
    </xf>
    <xf numFmtId="0" fontId="47" fillId="24" borderId="0" xfId="0" quotePrefix="1" applyFont="1" applyFill="1" applyAlignment="1">
      <alignment vertical="center"/>
    </xf>
    <xf numFmtId="0" fontId="117" fillId="24" borderId="0" xfId="0" applyFont="1" applyFill="1" applyAlignment="1">
      <alignment horizontal="left" vertical="center"/>
    </xf>
    <xf numFmtId="0" fontId="72" fillId="24" borderId="0" xfId="0" applyFont="1" applyFill="1" applyAlignment="1">
      <alignment vertical="center"/>
    </xf>
    <xf numFmtId="0" fontId="0" fillId="0" borderId="0" xfId="0" applyAlignment="1" applyProtection="1">
      <alignment horizontal="left" vertical="center"/>
      <protection locked="0"/>
    </xf>
    <xf numFmtId="0" fontId="115" fillId="24" borderId="0" xfId="0" applyFont="1" applyFill="1" applyAlignment="1">
      <alignment vertical="center"/>
    </xf>
    <xf numFmtId="0" fontId="65" fillId="0" borderId="0" xfId="0" applyFont="1" applyAlignment="1" applyProtection="1">
      <alignment horizontal="left" vertical="center"/>
      <protection locked="0"/>
    </xf>
    <xf numFmtId="0" fontId="64"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5" fillId="0" borderId="0" xfId="0" applyFont="1" applyAlignment="1">
      <alignment vertical="center"/>
    </xf>
    <xf numFmtId="0" fontId="25" fillId="0" borderId="0" xfId="0" applyFont="1" applyAlignment="1" applyProtection="1">
      <alignment vertical="center"/>
      <protection locked="0"/>
    </xf>
    <xf numFmtId="0" fontId="25" fillId="0" borderId="0" xfId="0" applyFont="1" applyAlignment="1" applyProtection="1">
      <alignment horizontal="left" vertical="center"/>
      <protection locked="0"/>
    </xf>
    <xf numFmtId="0" fontId="18" fillId="0" borderId="47" xfId="0" applyFont="1" applyBorder="1" applyAlignment="1" applyProtection="1">
      <alignment horizontal="left" vertical="center" wrapText="1"/>
      <protection locked="0"/>
    </xf>
    <xf numFmtId="0" fontId="44" fillId="0" borderId="14" xfId="0" applyFont="1" applyBorder="1" applyAlignment="1">
      <alignment horizontal="left" vertical="center" wrapText="1"/>
    </xf>
    <xf numFmtId="0" fontId="44" fillId="0" borderId="47" xfId="0" applyFont="1" applyBorder="1" applyAlignment="1" applyProtection="1">
      <alignment horizontal="left" vertical="center" wrapText="1"/>
      <protection locked="0"/>
    </xf>
    <xf numFmtId="0" fontId="44" fillId="0" borderId="47" xfId="0" applyFont="1" applyBorder="1" applyAlignment="1" applyProtection="1">
      <alignment horizontal="left" vertical="center"/>
      <protection locked="0"/>
    </xf>
    <xf numFmtId="0" fontId="18" fillId="0" borderId="47" xfId="0" applyFont="1" applyBorder="1" applyAlignment="1">
      <alignment horizontal="left" vertical="center" wrapText="1"/>
    </xf>
    <xf numFmtId="0" fontId="44" fillId="0" borderId="47" xfId="0" applyFont="1" applyBorder="1" applyAlignment="1">
      <alignment horizontal="left" vertical="center"/>
    </xf>
    <xf numFmtId="0" fontId="25" fillId="0" borderId="14" xfId="0" applyFont="1" applyBorder="1"/>
    <xf numFmtId="0" fontId="25" fillId="0" borderId="0" xfId="0" applyFont="1" applyAlignment="1" applyProtection="1">
      <alignment horizontal="left"/>
      <protection locked="0"/>
    </xf>
    <xf numFmtId="2" fontId="18" fillId="0" borderId="0" xfId="0" applyNumberFormat="1" applyFont="1"/>
    <xf numFmtId="2" fontId="18" fillId="0" borderId="0" xfId="0" quotePrefix="1" applyNumberFormat="1" applyFont="1"/>
    <xf numFmtId="0" fontId="25" fillId="0" borderId="40" xfId="0" applyFont="1" applyBorder="1" applyAlignment="1">
      <alignment vertical="center"/>
    </xf>
    <xf numFmtId="2" fontId="0" fillId="0" borderId="0" xfId="0" applyNumberFormat="1" applyAlignment="1">
      <alignment vertical="center"/>
    </xf>
    <xf numFmtId="0" fontId="44" fillId="0" borderId="47" xfId="0" applyFont="1" applyBorder="1" applyAlignment="1">
      <alignment horizontal="left" vertical="center" wrapText="1"/>
    </xf>
    <xf numFmtId="0" fontId="25" fillId="0" borderId="13" xfId="0" applyFont="1" applyBorder="1" applyAlignment="1">
      <alignment vertical="center"/>
    </xf>
    <xf numFmtId="0" fontId="118" fillId="0" borderId="0" xfId="28" applyFont="1" applyFill="1" applyAlignment="1" applyProtection="1">
      <alignment horizontal="left" vertical="center"/>
      <protection locked="0"/>
    </xf>
    <xf numFmtId="2" fontId="0" fillId="0" borderId="0" xfId="0" quotePrefix="1" applyNumberFormat="1" applyAlignment="1">
      <alignment vertical="center"/>
    </xf>
    <xf numFmtId="0" fontId="0" fillId="0" borderId="0" xfId="0" quotePrefix="1" applyAlignment="1" applyProtection="1">
      <alignment vertical="center"/>
      <protection locked="0"/>
    </xf>
    <xf numFmtId="0" fontId="25" fillId="0" borderId="0" xfId="0" quotePrefix="1" applyFont="1" applyAlignment="1">
      <alignment vertical="center"/>
    </xf>
    <xf numFmtId="0" fontId="0" fillId="0" borderId="12" xfId="0" quotePrefix="1" applyBorder="1" applyAlignment="1" applyProtection="1">
      <alignment vertical="center"/>
      <protection locked="0"/>
    </xf>
    <xf numFmtId="0" fontId="25" fillId="0" borderId="12" xfId="0" quotePrefix="1" applyFont="1" applyBorder="1" applyAlignment="1">
      <alignment vertical="center"/>
    </xf>
    <xf numFmtId="0" fontId="25" fillId="0" borderId="12" xfId="0" applyFont="1" applyBorder="1" applyAlignment="1" applyProtection="1">
      <alignment vertical="center"/>
      <protection locked="0"/>
    </xf>
    <xf numFmtId="0" fontId="25" fillId="0" borderId="12" xfId="0" applyFont="1" applyBorder="1" applyAlignment="1" applyProtection="1">
      <alignment horizontal="left" vertical="center"/>
      <protection locked="0"/>
    </xf>
    <xf numFmtId="2" fontId="0" fillId="0" borderId="12" xfId="0" quotePrefix="1" applyNumberFormat="1" applyBorder="1" applyAlignment="1">
      <alignment vertical="center"/>
    </xf>
    <xf numFmtId="0" fontId="0" fillId="0" borderId="12" xfId="0" applyBorder="1" applyAlignment="1" applyProtection="1">
      <alignment vertical="center"/>
      <protection locked="0"/>
    </xf>
    <xf numFmtId="0" fontId="25" fillId="0" borderId="0" xfId="0" applyFont="1" applyAlignment="1">
      <alignment horizontal="left"/>
    </xf>
    <xf numFmtId="1" fontId="25" fillId="0" borderId="0" xfId="0" applyNumberFormat="1" applyFont="1" applyAlignment="1">
      <alignment horizontal="right"/>
    </xf>
    <xf numFmtId="0" fontId="25" fillId="0" borderId="13" xfId="0" applyFont="1" applyBorder="1"/>
    <xf numFmtId="0" fontId="11" fillId="0" borderId="0" xfId="0" applyFont="1"/>
    <xf numFmtId="0" fontId="18" fillId="0" borderId="0" xfId="0" applyFont="1" applyAlignment="1" applyProtection="1">
      <alignment horizontal="right" vertical="center"/>
      <protection locked="0"/>
    </xf>
    <xf numFmtId="0" fontId="44" fillId="0" borderId="0" xfId="0" applyFont="1" applyAlignment="1" applyProtection="1">
      <alignment vertical="center"/>
      <protection locked="0"/>
    </xf>
    <xf numFmtId="0" fontId="44" fillId="0" borderId="0" xfId="0" applyFont="1" applyAlignment="1" applyProtection="1">
      <alignment horizontal="left" vertical="center"/>
      <protection locked="0"/>
    </xf>
    <xf numFmtId="1" fontId="18" fillId="0" borderId="0" xfId="0" applyNumberFormat="1" applyFont="1" applyAlignment="1">
      <alignment vertical="center"/>
    </xf>
    <xf numFmtId="0" fontId="18" fillId="31" borderId="0" xfId="0" applyFont="1" applyFill="1" applyAlignment="1" applyProtection="1">
      <alignment vertical="center"/>
      <protection locked="0"/>
    </xf>
    <xf numFmtId="0" fontId="44" fillId="31" borderId="0" xfId="0" applyFont="1" applyFill="1" applyAlignment="1" applyProtection="1">
      <alignment vertical="center"/>
      <protection locked="0"/>
    </xf>
    <xf numFmtId="0" fontId="44" fillId="31" borderId="0" xfId="0" applyFont="1" applyFill="1" applyAlignment="1" applyProtection="1">
      <alignment horizontal="left" vertical="center"/>
      <protection locked="0"/>
    </xf>
    <xf numFmtId="1" fontId="18" fillId="31" borderId="0" xfId="0" applyNumberFormat="1" applyFont="1" applyFill="1" applyAlignment="1">
      <alignment vertical="center"/>
    </xf>
    <xf numFmtId="0" fontId="18" fillId="31" borderId="54" xfId="0" applyFont="1" applyFill="1" applyBorder="1" applyAlignment="1" applyProtection="1">
      <alignment vertical="center"/>
      <protection locked="0"/>
    </xf>
    <xf numFmtId="0" fontId="44" fillId="31" borderId="54" xfId="0" applyFont="1" applyFill="1" applyBorder="1" applyAlignment="1" applyProtection="1">
      <alignment vertical="center"/>
      <protection locked="0"/>
    </xf>
    <xf numFmtId="0" fontId="44" fillId="31" borderId="54" xfId="0" applyFont="1" applyFill="1" applyBorder="1" applyAlignment="1" applyProtection="1">
      <alignment horizontal="left" vertical="center"/>
      <protection locked="0"/>
    </xf>
    <xf numFmtId="1" fontId="18" fillId="31" borderId="54" xfId="0" applyNumberFormat="1" applyFont="1" applyFill="1" applyBorder="1" applyAlignment="1">
      <alignment vertical="center"/>
    </xf>
    <xf numFmtId="0" fontId="18" fillId="0" borderId="54" xfId="0" applyFont="1" applyBorder="1" applyAlignment="1" applyProtection="1">
      <alignment vertical="center"/>
      <protection locked="0"/>
    </xf>
    <xf numFmtId="0" fontId="44" fillId="0" borderId="54" xfId="0" applyFont="1" applyBorder="1" applyAlignment="1" applyProtection="1">
      <alignment vertical="center"/>
      <protection locked="0"/>
    </xf>
    <xf numFmtId="0" fontId="44" fillId="0" borderId="54" xfId="0" applyFont="1" applyBorder="1" applyAlignment="1" applyProtection="1">
      <alignment horizontal="left" vertical="center"/>
      <protection locked="0"/>
    </xf>
    <xf numFmtId="1" fontId="18" fillId="0" borderId="54" xfId="0" applyNumberFormat="1" applyFont="1" applyBorder="1" applyAlignment="1">
      <alignment vertical="center"/>
    </xf>
    <xf numFmtId="0" fontId="18" fillId="0" borderId="0" xfId="0" quotePrefix="1" applyFont="1" applyAlignment="1" applyProtection="1">
      <alignment vertical="center"/>
      <protection locked="0"/>
    </xf>
    <xf numFmtId="2" fontId="0" fillId="0" borderId="0" xfId="0" applyNumberFormat="1" applyAlignment="1" applyProtection="1">
      <alignment vertical="center"/>
      <protection locked="0"/>
    </xf>
    <xf numFmtId="1" fontId="18" fillId="0" borderId="0" xfId="0" applyNumberFormat="1" applyFont="1"/>
    <xf numFmtId="0" fontId="25" fillId="31" borderId="0" xfId="0" applyFont="1" applyFill="1" applyAlignment="1" applyProtection="1">
      <alignment vertical="center"/>
      <protection locked="0"/>
    </xf>
    <xf numFmtId="0" fontId="25" fillId="31" borderId="0" xfId="0" applyFont="1" applyFill="1" applyAlignment="1" applyProtection="1">
      <alignment horizontal="left" vertical="center"/>
      <protection locked="0"/>
    </xf>
    <xf numFmtId="1" fontId="18" fillId="31" borderId="0" xfId="0" applyNumberFormat="1" applyFont="1" applyFill="1"/>
    <xf numFmtId="0" fontId="18" fillId="31" borderId="54" xfId="0" quotePrefix="1" applyFont="1" applyFill="1" applyBorder="1" applyAlignment="1" applyProtection="1">
      <alignment vertical="center"/>
      <protection locked="0"/>
    </xf>
    <xf numFmtId="0" fontId="44" fillId="31" borderId="54" xfId="0" quotePrefix="1" applyFont="1" applyFill="1" applyBorder="1" applyAlignment="1" applyProtection="1">
      <alignment vertical="center"/>
      <protection locked="0"/>
    </xf>
    <xf numFmtId="0" fontId="25" fillId="31" borderId="54" xfId="0" applyFont="1" applyFill="1" applyBorder="1" applyAlignment="1" applyProtection="1">
      <alignment vertical="center"/>
      <protection locked="0"/>
    </xf>
    <xf numFmtId="0" fontId="25" fillId="31" borderId="54" xfId="0" applyFont="1" applyFill="1" applyBorder="1" applyAlignment="1" applyProtection="1">
      <alignment horizontal="left" vertical="center"/>
      <protection locked="0"/>
    </xf>
    <xf numFmtId="1" fontId="18" fillId="31" borderId="54" xfId="0" applyNumberFormat="1" applyFont="1" applyFill="1" applyBorder="1"/>
    <xf numFmtId="0" fontId="18" fillId="0" borderId="47" xfId="0" applyFont="1" applyBorder="1" applyAlignment="1" applyProtection="1">
      <alignment vertical="center"/>
      <protection locked="0"/>
    </xf>
    <xf numFmtId="2" fontId="18" fillId="0" borderId="0" xfId="0" applyNumberFormat="1" applyFont="1" applyAlignment="1" applyProtection="1">
      <alignment vertical="center"/>
      <protection locked="0"/>
    </xf>
    <xf numFmtId="2" fontId="18" fillId="0" borderId="0" xfId="0" applyNumberFormat="1" applyFont="1" applyAlignment="1" applyProtection="1">
      <alignment vertical="center" wrapText="1"/>
      <protection locked="0"/>
    </xf>
    <xf numFmtId="4" fontId="119" fillId="0" borderId="0" xfId="0" applyNumberFormat="1" applyFont="1" applyAlignment="1">
      <alignment vertical="top" wrapText="1"/>
    </xf>
    <xf numFmtId="4" fontId="119" fillId="0" borderId="0" xfId="0" applyNumberFormat="1" applyFont="1" applyAlignment="1">
      <alignment vertical="top"/>
    </xf>
    <xf numFmtId="2" fontId="0" fillId="26" borderId="12" xfId="0" applyNumberFormat="1" applyFill="1" applyBorder="1" applyAlignment="1">
      <alignment vertical="center"/>
    </xf>
    <xf numFmtId="172" fontId="18" fillId="26" borderId="12" xfId="0" applyNumberFormat="1" applyFont="1" applyFill="1" applyBorder="1" applyAlignment="1">
      <alignment vertical="center"/>
    </xf>
    <xf numFmtId="0" fontId="120" fillId="0" borderId="0" xfId="0" applyFont="1" applyAlignment="1" applyProtection="1">
      <alignment horizontal="left" vertical="center"/>
      <protection locked="0"/>
    </xf>
    <xf numFmtId="0" fontId="121" fillId="0" borderId="0" xfId="28" applyFont="1" applyFill="1" applyBorder="1" applyAlignment="1" applyProtection="1">
      <alignment horizontal="left" vertical="center" wrapText="1"/>
      <protection locked="0"/>
    </xf>
    <xf numFmtId="0" fontId="120" fillId="0" borderId="0" xfId="0"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18" fillId="0" borderId="47" xfId="0" applyFont="1" applyBorder="1" applyAlignment="1">
      <alignment vertical="center"/>
    </xf>
    <xf numFmtId="2" fontId="0" fillId="26" borderId="0" xfId="0" applyNumberFormat="1" applyFill="1" applyAlignment="1">
      <alignment vertical="center"/>
    </xf>
    <xf numFmtId="0" fontId="118" fillId="26" borderId="0" xfId="28" applyFont="1" applyFill="1" applyAlignment="1" applyProtection="1">
      <alignment vertical="center"/>
      <protection locked="0"/>
    </xf>
    <xf numFmtId="0" fontId="25" fillId="26" borderId="0" xfId="0" applyFont="1" applyFill="1" applyAlignment="1" applyProtection="1">
      <alignment horizontal="left" vertical="center"/>
      <protection locked="0"/>
    </xf>
    <xf numFmtId="0" fontId="0" fillId="26" borderId="0" xfId="0" applyFill="1" applyAlignment="1" applyProtection="1">
      <alignment vertical="center"/>
      <protection locked="0"/>
    </xf>
    <xf numFmtId="0" fontId="0" fillId="0" borderId="12" xfId="0" applyBorder="1" applyAlignment="1">
      <alignment vertical="center"/>
    </xf>
    <xf numFmtId="0" fontId="118" fillId="0" borderId="12" xfId="28" applyFont="1" applyFill="1" applyBorder="1" applyAlignment="1" applyProtection="1">
      <alignment vertical="center"/>
      <protection locked="0"/>
    </xf>
    <xf numFmtId="2" fontId="0" fillId="0" borderId="12" xfId="0" applyNumberFormat="1" applyBorder="1" applyAlignment="1">
      <alignment vertical="center"/>
    </xf>
    <xf numFmtId="0" fontId="118" fillId="0" borderId="0" xfId="28" applyFont="1" applyFill="1" applyBorder="1" applyAlignment="1" applyProtection="1">
      <alignment vertical="center"/>
      <protection locked="0"/>
    </xf>
    <xf numFmtId="0" fontId="118" fillId="26" borderId="0" xfId="28" applyFont="1" applyFill="1" applyBorder="1" applyAlignment="1" applyProtection="1">
      <alignment vertical="center"/>
      <protection locked="0"/>
    </xf>
    <xf numFmtId="2" fontId="0" fillId="26" borderId="0" xfId="0" applyNumberFormat="1" applyFill="1" applyAlignment="1" applyProtection="1">
      <alignment vertical="center"/>
      <protection locked="0"/>
    </xf>
    <xf numFmtId="2" fontId="0" fillId="0" borderId="12" xfId="0" applyNumberFormat="1" applyBorder="1" applyAlignment="1" applyProtection="1">
      <alignment vertical="center"/>
      <protection locked="0"/>
    </xf>
    <xf numFmtId="0" fontId="25" fillId="0" borderId="0" xfId="0" applyFont="1" applyAlignment="1">
      <alignment horizontal="left" vertical="center"/>
    </xf>
    <xf numFmtId="0" fontId="18" fillId="0" borderId="0" xfId="0" applyFont="1" applyAlignment="1">
      <alignment horizontal="right" wrapText="1"/>
    </xf>
    <xf numFmtId="174" fontId="0" fillId="0" borderId="13" xfId="0" applyNumberFormat="1" applyBorder="1"/>
    <xf numFmtId="167" fontId="0" fillId="0" borderId="0" xfId="0" applyNumberFormat="1"/>
    <xf numFmtId="0" fontId="72" fillId="19" borderId="0" xfId="0" applyFont="1" applyFill="1"/>
    <xf numFmtId="0" fontId="72" fillId="19" borderId="0" xfId="0" applyFont="1" applyFill="1" applyAlignment="1">
      <alignment horizontal="left"/>
    </xf>
    <xf numFmtId="0" fontId="25" fillId="21" borderId="13" xfId="0" applyFont="1" applyFill="1" applyBorder="1" applyAlignment="1">
      <alignment vertical="center"/>
    </xf>
    <xf numFmtId="0" fontId="25" fillId="21" borderId="12" xfId="0" applyFont="1" applyFill="1" applyBorder="1" applyAlignment="1" applyProtection="1">
      <alignment vertical="center"/>
      <protection locked="0"/>
    </xf>
    <xf numFmtId="0" fontId="25" fillId="21" borderId="12" xfId="0" applyFont="1" applyFill="1" applyBorder="1" applyAlignment="1" applyProtection="1">
      <alignment horizontal="left" vertical="center"/>
      <protection locked="0"/>
    </xf>
    <xf numFmtId="2" fontId="0" fillId="21" borderId="12" xfId="0" quotePrefix="1" applyNumberFormat="1" applyFill="1" applyBorder="1" applyAlignment="1">
      <alignment vertical="center"/>
    </xf>
    <xf numFmtId="0" fontId="18" fillId="0" borderId="54" xfId="0" quotePrefix="1" applyFont="1" applyBorder="1" applyAlignment="1" applyProtection="1">
      <alignment vertical="center"/>
      <protection locked="0"/>
    </xf>
    <xf numFmtId="0" fontId="44" fillId="0" borderId="54" xfId="0" quotePrefix="1" applyFont="1" applyBorder="1" applyAlignment="1" applyProtection="1">
      <alignment vertical="center"/>
      <protection locked="0"/>
    </xf>
    <xf numFmtId="0" fontId="25" fillId="0" borderId="54" xfId="0" applyFont="1" applyBorder="1" applyAlignment="1" applyProtection="1">
      <alignment vertical="center"/>
      <protection locked="0"/>
    </xf>
    <xf numFmtId="0" fontId="25" fillId="0" borderId="54" xfId="0" applyFont="1" applyBorder="1" applyAlignment="1" applyProtection="1">
      <alignment horizontal="left" vertical="center"/>
      <protection locked="0"/>
    </xf>
    <xf numFmtId="1" fontId="18" fillId="0" borderId="54" xfId="0" applyNumberFormat="1" applyFont="1" applyBorder="1"/>
    <xf numFmtId="0" fontId="0" fillId="21" borderId="12" xfId="0" applyFill="1" applyBorder="1" applyAlignment="1" applyProtection="1">
      <alignment vertical="center"/>
      <protection locked="0"/>
    </xf>
    <xf numFmtId="166" fontId="36" fillId="0" borderId="0" xfId="23" applyNumberFormat="1" applyFont="1" applyFill="1" applyBorder="1" applyAlignment="1">
      <alignment horizontal="right"/>
    </xf>
    <xf numFmtId="10" fontId="36" fillId="0" borderId="0" xfId="23" applyNumberFormat="1" applyFont="1" applyFill="1" applyBorder="1" applyAlignment="1">
      <alignment horizontal="right"/>
    </xf>
    <xf numFmtId="0" fontId="47" fillId="0" borderId="0" xfId="0" applyFont="1"/>
    <xf numFmtId="0" fontId="122" fillId="15" borderId="0" xfId="0" applyFont="1" applyFill="1"/>
    <xf numFmtId="0" fontId="123" fillId="36" borderId="0" xfId="0" applyFont="1" applyFill="1"/>
    <xf numFmtId="0" fontId="122" fillId="36" borderId="0" xfId="0" applyFont="1" applyFill="1"/>
    <xf numFmtId="0" fontId="0" fillId="0" borderId="14" xfId="0" applyBorder="1"/>
    <xf numFmtId="3" fontId="124" fillId="0" borderId="14" xfId="0" applyNumberFormat="1" applyFont="1" applyBorder="1"/>
    <xf numFmtId="3" fontId="124" fillId="0" borderId="0" xfId="0" applyNumberFormat="1" applyFont="1"/>
    <xf numFmtId="3" fontId="124" fillId="0" borderId="12" xfId="0" applyNumberFormat="1" applyFont="1" applyBorder="1"/>
    <xf numFmtId="0" fontId="18" fillId="0" borderId="47" xfId="0" applyFont="1" applyBorder="1"/>
    <xf numFmtId="171" fontId="18" fillId="0" borderId="47" xfId="0" applyNumberFormat="1" applyFont="1" applyBorder="1"/>
    <xf numFmtId="3" fontId="124" fillId="0" borderId="0" xfId="24" applyNumberFormat="1" applyFont="1"/>
    <xf numFmtId="0" fontId="18" fillId="0" borderId="14" xfId="0" applyFont="1" applyBorder="1"/>
    <xf numFmtId="171" fontId="18" fillId="0" borderId="14" xfId="0" applyNumberFormat="1" applyFont="1" applyBorder="1"/>
    <xf numFmtId="171" fontId="18" fillId="0" borderId="0" xfId="0" applyNumberFormat="1" applyFont="1"/>
    <xf numFmtId="171" fontId="18" fillId="0" borderId="12" xfId="0" applyNumberFormat="1" applyFont="1" applyBorder="1"/>
    <xf numFmtId="3" fontId="1" fillId="0" borderId="0" xfId="24" applyNumberFormat="1" applyFont="1"/>
    <xf numFmtId="9" fontId="0" fillId="0" borderId="26" xfId="0" applyNumberFormat="1" applyBorder="1"/>
    <xf numFmtId="9" fontId="0" fillId="0" borderId="55" xfId="0" applyNumberFormat="1" applyBorder="1"/>
    <xf numFmtId="9" fontId="0" fillId="0" borderId="56" xfId="0" applyNumberFormat="1" applyBorder="1"/>
    <xf numFmtId="9" fontId="0" fillId="0" borderId="23" xfId="0" applyNumberFormat="1" applyBorder="1"/>
    <xf numFmtId="9" fontId="0" fillId="0" borderId="57" xfId="0" applyNumberFormat="1" applyBorder="1"/>
    <xf numFmtId="9" fontId="0" fillId="0" borderId="20" xfId="0" applyNumberFormat="1" applyBorder="1"/>
    <xf numFmtId="9" fontId="0" fillId="0" borderId="8" xfId="0" applyNumberFormat="1" applyBorder="1"/>
    <xf numFmtId="9" fontId="0" fillId="0" borderId="58" xfId="0" applyNumberFormat="1" applyBorder="1"/>
    <xf numFmtId="3" fontId="125" fillId="0" borderId="0" xfId="24" applyNumberFormat="1" applyFont="1"/>
    <xf numFmtId="4" fontId="124" fillId="0" borderId="0" xfId="24" applyNumberFormat="1" applyFont="1"/>
    <xf numFmtId="0" fontId="123" fillId="37" borderId="0" xfId="0" applyFont="1" applyFill="1"/>
    <xf numFmtId="0" fontId="122" fillId="37" borderId="0" xfId="0" applyFont="1" applyFill="1"/>
    <xf numFmtId="3" fontId="12" fillId="0" borderId="0" xfId="24" applyNumberFormat="1" applyFont="1"/>
    <xf numFmtId="0" fontId="123" fillId="10" borderId="0" xfId="0" applyFont="1" applyFill="1"/>
    <xf numFmtId="0" fontId="122" fillId="10" borderId="0" xfId="0" applyFont="1" applyFill="1"/>
    <xf numFmtId="3" fontId="124" fillId="15" borderId="14" xfId="0" applyNumberFormat="1" applyFont="1" applyFill="1" applyBorder="1"/>
    <xf numFmtId="3" fontId="124" fillId="15" borderId="0" xfId="0" applyNumberFormat="1" applyFont="1" applyFill="1"/>
    <xf numFmtId="3" fontId="124" fillId="15" borderId="12" xfId="0" applyNumberFormat="1" applyFont="1" applyFill="1" applyBorder="1"/>
    <xf numFmtId="171" fontId="18" fillId="15" borderId="47" xfId="0" applyNumberFormat="1" applyFont="1" applyFill="1" applyBorder="1"/>
    <xf numFmtId="3" fontId="124" fillId="15" borderId="0" xfId="24" applyNumberFormat="1" applyFont="1" applyFill="1"/>
    <xf numFmtId="171" fontId="18" fillId="15" borderId="14" xfId="0" applyNumberFormat="1" applyFont="1" applyFill="1" applyBorder="1"/>
    <xf numFmtId="171" fontId="18" fillId="15" borderId="0" xfId="0" applyNumberFormat="1" applyFont="1" applyFill="1"/>
    <xf numFmtId="171" fontId="18" fillId="15" borderId="12" xfId="0" applyNumberFormat="1" applyFont="1" applyFill="1" applyBorder="1"/>
    <xf numFmtId="3" fontId="1" fillId="15" borderId="0" xfId="24" applyNumberFormat="1" applyFont="1" applyFill="1"/>
    <xf numFmtId="0" fontId="123" fillId="15" borderId="0" xfId="0" applyFont="1" applyFill="1"/>
    <xf numFmtId="0" fontId="122" fillId="38" borderId="0" xfId="0" applyFont="1" applyFill="1"/>
    <xf numFmtId="171" fontId="0" fillId="39" borderId="0" xfId="0" applyNumberFormat="1" applyFill="1"/>
    <xf numFmtId="171" fontId="0" fillId="40" borderId="0" xfId="0" applyNumberFormat="1" applyFill="1"/>
    <xf numFmtId="175" fontId="0" fillId="39" borderId="0" xfId="0" applyNumberFormat="1" applyFill="1"/>
    <xf numFmtId="175" fontId="0" fillId="40" borderId="0" xfId="0" applyNumberFormat="1" applyFill="1"/>
    <xf numFmtId="171" fontId="0" fillId="41" borderId="0" xfId="0" applyNumberFormat="1" applyFill="1"/>
    <xf numFmtId="175" fontId="0" fillId="41" borderId="0" xfId="0" applyNumberFormat="1" applyFill="1"/>
    <xf numFmtId="0" fontId="122" fillId="0" borderId="0" xfId="0" applyFont="1"/>
    <xf numFmtId="171" fontId="0" fillId="0" borderId="0" xfId="0" applyNumberFormat="1"/>
    <xf numFmtId="175" fontId="0" fillId="0" borderId="0" xfId="0" applyNumberFormat="1"/>
    <xf numFmtId="43" fontId="36" fillId="0" borderId="0" xfId="23" applyFont="1" applyFill="1" applyBorder="1" applyAlignment="1">
      <alignment horizontal="right"/>
    </xf>
    <xf numFmtId="176" fontId="0" fillId="39" borderId="0" xfId="0" applyNumberFormat="1" applyFill="1"/>
    <xf numFmtId="171" fontId="12" fillId="39" borderId="0" xfId="31" applyNumberFormat="1"/>
    <xf numFmtId="177" fontId="12" fillId="39" borderId="0" xfId="31" applyNumberFormat="1"/>
    <xf numFmtId="9" fontId="0" fillId="40" borderId="0" xfId="0" applyNumberFormat="1" applyFill="1"/>
    <xf numFmtId="171" fontId="12" fillId="0" borderId="0" xfId="24" applyNumberFormat="1" applyFont="1" applyBorder="1"/>
    <xf numFmtId="171" fontId="12" fillId="40" borderId="0" xfId="31" applyNumberFormat="1" applyFill="1"/>
    <xf numFmtId="176" fontId="12" fillId="39" borderId="0" xfId="31" applyNumberFormat="1"/>
    <xf numFmtId="176" fontId="12" fillId="40" borderId="0" xfId="31" applyNumberFormat="1" applyFill="1"/>
    <xf numFmtId="176" fontId="12" fillId="0" borderId="0" xfId="31" applyNumberFormat="1" applyFill="1"/>
    <xf numFmtId="0" fontId="126" fillId="36" borderId="0" xfId="0" applyFont="1" applyFill="1"/>
    <xf numFmtId="178" fontId="12" fillId="39" borderId="0" xfId="31" applyNumberFormat="1"/>
    <xf numFmtId="2" fontId="0" fillId="0" borderId="16" xfId="0" applyNumberFormat="1" applyBorder="1"/>
    <xf numFmtId="44" fontId="7" fillId="19" borderId="0" xfId="0" applyNumberFormat="1" applyFont="1" applyFill="1" applyAlignment="1">
      <alignment horizontal="centerContinuous"/>
    </xf>
    <xf numFmtId="43" fontId="8" fillId="0" borderId="0" xfId="23" applyFont="1"/>
    <xf numFmtId="180" fontId="0" fillId="0" borderId="0" xfId="24" applyNumberFormat="1" applyFont="1"/>
    <xf numFmtId="0" fontId="36" fillId="0" borderId="0" xfId="0" applyFont="1" applyAlignment="1">
      <alignment horizontal="right"/>
    </xf>
    <xf numFmtId="14" fontId="36" fillId="0" borderId="0" xfId="23" applyNumberFormat="1" applyFont="1" applyFill="1" applyBorder="1" applyAlignment="1">
      <alignment horizontal="right"/>
    </xf>
    <xf numFmtId="0" fontId="36" fillId="0" borderId="0" xfId="0" applyFont="1" applyAlignment="1">
      <alignment horizontal="left"/>
    </xf>
    <xf numFmtId="0" fontId="36" fillId="0" borderId="0" xfId="0" applyFont="1"/>
    <xf numFmtId="165" fontId="36" fillId="0" borderId="0" xfId="0" applyNumberFormat="1" applyFont="1" applyAlignment="1">
      <alignment horizontal="right"/>
    </xf>
    <xf numFmtId="43" fontId="87" fillId="32" borderId="39" xfId="30" applyNumberFormat="1" applyFont="1" applyFill="1" applyAlignment="1" applyProtection="1">
      <alignment horizontal="center" vertical="center"/>
      <protection locked="0"/>
    </xf>
    <xf numFmtId="166" fontId="33" fillId="18" borderId="12" xfId="0" applyNumberFormat="1" applyFont="1" applyFill="1" applyBorder="1"/>
    <xf numFmtId="1" fontId="127" fillId="18" borderId="0" xfId="23" applyNumberFormat="1" applyFont="1" applyFill="1"/>
    <xf numFmtId="0" fontId="18" fillId="42" borderId="0" xfId="0" applyFont="1" applyFill="1"/>
    <xf numFmtId="0" fontId="0" fillId="42" borderId="0" xfId="0" applyFill="1"/>
    <xf numFmtId="0" fontId="0" fillId="0" borderId="47" xfId="0" applyBorder="1"/>
    <xf numFmtId="0" fontId="43" fillId="0" borderId="12" xfId="0" applyFont="1" applyBorder="1"/>
    <xf numFmtId="0" fontId="7" fillId="13" borderId="12" xfId="0" applyFont="1" applyFill="1" applyBorder="1"/>
    <xf numFmtId="0" fontId="7" fillId="13" borderId="55" xfId="0" applyFont="1" applyFill="1" applyBorder="1"/>
    <xf numFmtId="0" fontId="7" fillId="19" borderId="47" xfId="0" applyFont="1" applyFill="1" applyBorder="1"/>
    <xf numFmtId="0" fontId="18" fillId="43" borderId="0" xfId="0" applyFont="1" applyFill="1"/>
    <xf numFmtId="0" fontId="0" fillId="43" borderId="0" xfId="0" applyFill="1"/>
    <xf numFmtId="0" fontId="0" fillId="44" borderId="0" xfId="0" applyFill="1"/>
    <xf numFmtId="0" fontId="32" fillId="0" borderId="15" xfId="0" applyFont="1" applyBorder="1"/>
    <xf numFmtId="10" fontId="12" fillId="0" borderId="15" xfId="23" applyNumberFormat="1" applyFont="1" applyFill="1" applyBorder="1" applyAlignment="1">
      <alignment horizontal="left"/>
    </xf>
    <xf numFmtId="10" fontId="12" fillId="0" borderId="15" xfId="23" applyNumberFormat="1" applyFont="1" applyFill="1" applyBorder="1" applyAlignment="1">
      <alignment horizontal="right"/>
    </xf>
    <xf numFmtId="0" fontId="32" fillId="0" borderId="10" xfId="0" applyFont="1" applyBorder="1"/>
    <xf numFmtId="10" fontId="12" fillId="0" borderId="10" xfId="23" applyNumberFormat="1" applyFont="1" applyFill="1" applyBorder="1" applyAlignment="1">
      <alignment horizontal="left"/>
    </xf>
    <xf numFmtId="10" fontId="24" fillId="14" borderId="10" xfId="23" applyNumberFormat="1" applyFont="1" applyFill="1" applyBorder="1" applyAlignment="1">
      <alignment horizontal="right"/>
    </xf>
    <xf numFmtId="10" fontId="12" fillId="0" borderId="10" xfId="23" applyNumberFormat="1" applyFont="1" applyFill="1" applyBorder="1" applyAlignment="1">
      <alignment horizontal="right"/>
    </xf>
    <xf numFmtId="10" fontId="35" fillId="14" borderId="10" xfId="23" applyNumberFormat="1" applyFont="1" applyFill="1" applyBorder="1" applyAlignment="1">
      <alignment horizontal="right"/>
    </xf>
    <xf numFmtId="10" fontId="12" fillId="0" borderId="10" xfId="24" applyNumberFormat="1" applyFont="1" applyFill="1" applyBorder="1" applyAlignment="1">
      <alignment horizontal="right"/>
    </xf>
    <xf numFmtId="14" fontId="24" fillId="14" borderId="10" xfId="23" applyNumberFormat="1" applyFont="1" applyFill="1" applyBorder="1" applyAlignment="1">
      <alignment horizontal="right"/>
    </xf>
    <xf numFmtId="14" fontId="12" fillId="0" borderId="10" xfId="23" applyNumberFormat="1" applyFont="1" applyFill="1" applyBorder="1" applyAlignment="1">
      <alignment horizontal="right"/>
    </xf>
    <xf numFmtId="0" fontId="12" fillId="0" borderId="16" xfId="0" applyFont="1" applyBorder="1" applyAlignment="1">
      <alignment horizontal="left"/>
    </xf>
    <xf numFmtId="0" fontId="0" fillId="44" borderId="15" xfId="0" applyFill="1" applyBorder="1"/>
    <xf numFmtId="0" fontId="0" fillId="44" borderId="10" xfId="0" applyFill="1" applyBorder="1"/>
    <xf numFmtId="0" fontId="0" fillId="44" borderId="16" xfId="0" applyFill="1" applyBorder="1"/>
    <xf numFmtId="0" fontId="0" fillId="0" borderId="16" xfId="0" applyBorder="1" applyAlignment="1">
      <alignment horizontal="right"/>
    </xf>
    <xf numFmtId="9" fontId="35" fillId="14" borderId="15" xfId="24" applyFont="1" applyFill="1" applyBorder="1" applyAlignment="1">
      <alignment horizontal="right"/>
    </xf>
    <xf numFmtId="43" fontId="24" fillId="14" borderId="10" xfId="23" applyFont="1" applyFill="1" applyBorder="1" applyAlignment="1">
      <alignment horizontal="right"/>
    </xf>
    <xf numFmtId="0" fontId="12" fillId="0" borderId="10" xfId="0" applyFont="1" applyBorder="1" applyAlignment="1">
      <alignment horizontal="left"/>
    </xf>
    <xf numFmtId="43" fontId="12" fillId="0" borderId="10" xfId="23" applyFont="1" applyFill="1" applyBorder="1" applyAlignment="1">
      <alignment horizontal="right"/>
    </xf>
    <xf numFmtId="169" fontId="0" fillId="20" borderId="10" xfId="23" applyNumberFormat="1" applyFont="1" applyFill="1" applyBorder="1" applyProtection="1"/>
    <xf numFmtId="0" fontId="32" fillId="0" borderId="16" xfId="0" applyFont="1" applyBorder="1"/>
    <xf numFmtId="43" fontId="0" fillId="0" borderId="16" xfId="0" applyNumberFormat="1" applyBorder="1" applyAlignment="1">
      <alignment horizontal="right"/>
    </xf>
    <xf numFmtId="0" fontId="12" fillId="0" borderId="15" xfId="0" applyFont="1" applyBorder="1" applyAlignment="1">
      <alignment horizontal="left"/>
    </xf>
    <xf numFmtId="166" fontId="24" fillId="14" borderId="10" xfId="23" applyNumberFormat="1" applyFont="1" applyFill="1" applyBorder="1" applyAlignment="1">
      <alignment horizontal="right"/>
    </xf>
    <xf numFmtId="166" fontId="36" fillId="0" borderId="10" xfId="23" applyNumberFormat="1" applyFont="1" applyFill="1" applyBorder="1" applyAlignment="1">
      <alignment horizontal="right"/>
    </xf>
    <xf numFmtId="14" fontId="36" fillId="0" borderId="10" xfId="0" applyNumberFormat="1" applyFont="1" applyBorder="1"/>
    <xf numFmtId="1" fontId="24" fillId="14" borderId="10" xfId="23" applyNumberFormat="1" applyFont="1" applyFill="1" applyBorder="1" applyAlignment="1">
      <alignment horizontal="right"/>
    </xf>
    <xf numFmtId="10" fontId="12" fillId="0" borderId="16" xfId="23" applyNumberFormat="1" applyFont="1" applyFill="1" applyBorder="1" applyAlignment="1">
      <alignment horizontal="left"/>
    </xf>
    <xf numFmtId="1" fontId="12" fillId="0" borderId="16" xfId="23" applyNumberFormat="1" applyFont="1" applyFill="1" applyBorder="1" applyAlignment="1">
      <alignment horizontal="right"/>
    </xf>
    <xf numFmtId="14" fontId="0" fillId="0" borderId="10" xfId="0" applyNumberFormat="1" applyBorder="1"/>
    <xf numFmtId="0" fontId="37" fillId="0" borderId="15" xfId="0" applyFont="1" applyBorder="1" applyAlignment="1">
      <alignment horizontal="left"/>
    </xf>
    <xf numFmtId="10" fontId="36" fillId="0" borderId="10" xfId="23" applyNumberFormat="1" applyFont="1" applyFill="1" applyBorder="1" applyAlignment="1">
      <alignment horizontal="right"/>
    </xf>
    <xf numFmtId="9" fontId="32" fillId="0" borderId="10" xfId="0" applyNumberFormat="1" applyFont="1" applyBorder="1"/>
    <xf numFmtId="9" fontId="32" fillId="0" borderId="16" xfId="0" applyNumberFormat="1" applyFont="1" applyBorder="1"/>
    <xf numFmtId="0" fontId="37" fillId="0" borderId="16" xfId="0" applyFont="1" applyBorder="1" applyAlignment="1">
      <alignment horizontal="left"/>
    </xf>
    <xf numFmtId="43" fontId="12" fillId="0" borderId="16" xfId="23" applyFont="1" applyBorder="1"/>
    <xf numFmtId="43" fontId="36" fillId="0" borderId="16" xfId="23" applyFont="1" applyFill="1" applyBorder="1"/>
    <xf numFmtId="0" fontId="42" fillId="0" borderId="15" xfId="0" applyFont="1" applyBorder="1"/>
    <xf numFmtId="0" fontId="47" fillId="0" borderId="15" xfId="0" applyFont="1" applyBorder="1"/>
    <xf numFmtId="166" fontId="12" fillId="0" borderId="16" xfId="23" applyNumberFormat="1" applyFont="1" applyBorder="1"/>
    <xf numFmtId="0" fontId="45" fillId="0" borderId="15" xfId="0" applyFont="1" applyBorder="1"/>
    <xf numFmtId="166" fontId="12" fillId="0" borderId="16" xfId="23" applyNumberFormat="1" applyFont="1" applyFill="1" applyBorder="1" applyAlignment="1">
      <alignment horizontal="right"/>
    </xf>
    <xf numFmtId="166" fontId="36" fillId="0" borderId="16" xfId="23" applyNumberFormat="1" applyFont="1" applyFill="1" applyBorder="1" applyAlignment="1">
      <alignment horizontal="right"/>
    </xf>
    <xf numFmtId="166" fontId="35" fillId="14" borderId="10" xfId="23" applyNumberFormat="1" applyFont="1" applyFill="1" applyBorder="1" applyAlignment="1">
      <alignment horizontal="right"/>
    </xf>
    <xf numFmtId="166" fontId="35" fillId="14" borderId="16" xfId="23" applyNumberFormat="1" applyFont="1" applyFill="1" applyBorder="1" applyAlignment="1">
      <alignment horizontal="right"/>
    </xf>
    <xf numFmtId="0" fontId="0" fillId="0" borderId="15" xfId="0" applyBorder="1" applyAlignment="1">
      <alignment horizontal="right"/>
    </xf>
    <xf numFmtId="9" fontId="32" fillId="0" borderId="15" xfId="0" applyNumberFormat="1" applyFont="1" applyBorder="1"/>
    <xf numFmtId="0" fontId="12" fillId="0" borderId="15" xfId="0" applyFont="1" applyBorder="1"/>
    <xf numFmtId="166" fontId="0" fillId="0" borderId="16" xfId="0" applyNumberFormat="1" applyBorder="1" applyAlignment="1">
      <alignment horizontal="right"/>
    </xf>
    <xf numFmtId="166" fontId="35" fillId="14" borderId="15" xfId="23" applyNumberFormat="1" applyFont="1" applyFill="1" applyBorder="1" applyAlignment="1">
      <alignment horizontal="right"/>
    </xf>
    <xf numFmtId="166" fontId="36" fillId="0" borderId="15" xfId="23" applyNumberFormat="1" applyFont="1" applyFill="1" applyBorder="1" applyAlignment="1">
      <alignment horizontal="right"/>
    </xf>
    <xf numFmtId="9" fontId="35" fillId="14" borderId="10" xfId="24" applyFont="1" applyFill="1" applyBorder="1" applyAlignment="1">
      <alignment horizontal="right"/>
    </xf>
    <xf numFmtId="9" fontId="36" fillId="0" borderId="10" xfId="24" applyFont="1" applyFill="1" applyBorder="1" applyAlignment="1">
      <alignment horizontal="right"/>
    </xf>
    <xf numFmtId="164" fontId="12" fillId="0" borderId="10" xfId="0" applyNumberFormat="1" applyFont="1" applyBorder="1"/>
    <xf numFmtId="164" fontId="36" fillId="0" borderId="10" xfId="0" applyNumberFormat="1" applyFont="1" applyBorder="1"/>
    <xf numFmtId="164" fontId="35" fillId="14" borderId="10" xfId="24" applyNumberFormat="1" applyFont="1" applyFill="1" applyBorder="1" applyAlignment="1">
      <alignment horizontal="right"/>
    </xf>
    <xf numFmtId="164" fontId="36" fillId="0" borderId="10" xfId="24" applyNumberFormat="1" applyFont="1" applyFill="1" applyBorder="1" applyAlignment="1">
      <alignment horizontal="right"/>
    </xf>
    <xf numFmtId="1" fontId="36" fillId="0" borderId="10" xfId="23" applyNumberFormat="1" applyFont="1" applyFill="1" applyBorder="1" applyAlignment="1">
      <alignment horizontal="right"/>
    </xf>
    <xf numFmtId="43" fontId="36" fillId="0" borderId="10" xfId="23" applyFont="1" applyFill="1" applyBorder="1" applyAlignment="1">
      <alignment horizontal="right"/>
    </xf>
    <xf numFmtId="166" fontId="12" fillId="0" borderId="10" xfId="23" applyNumberFormat="1" applyFont="1" applyFill="1" applyBorder="1" applyAlignment="1">
      <alignment horizontal="right"/>
    </xf>
    <xf numFmtId="9" fontId="36" fillId="0" borderId="0" xfId="0" applyNumberFormat="1" applyFont="1"/>
    <xf numFmtId="164" fontId="35" fillId="14" borderId="15" xfId="24" applyNumberFormat="1" applyFont="1" applyFill="1" applyBorder="1" applyAlignment="1">
      <alignment horizontal="right"/>
    </xf>
    <xf numFmtId="164" fontId="35" fillId="14" borderId="10" xfId="23" applyNumberFormat="1" applyFont="1" applyFill="1" applyBorder="1" applyAlignment="1">
      <alignment horizontal="right"/>
    </xf>
    <xf numFmtId="9" fontId="35" fillId="14" borderId="10" xfId="23" applyNumberFormat="1" applyFont="1" applyFill="1" applyBorder="1" applyAlignment="1">
      <alignment horizontal="right"/>
    </xf>
    <xf numFmtId="164" fontId="12" fillId="0" borderId="10" xfId="24" applyNumberFormat="1" applyFont="1" applyFill="1" applyBorder="1" applyAlignment="1">
      <alignment horizontal="right"/>
    </xf>
    <xf numFmtId="164" fontId="12" fillId="0" borderId="16" xfId="24" applyNumberFormat="1" applyFont="1" applyFill="1" applyBorder="1" applyAlignment="1">
      <alignment horizontal="right"/>
    </xf>
    <xf numFmtId="9" fontId="24" fillId="16" borderId="16" xfId="24" applyFont="1" applyFill="1" applyBorder="1" applyAlignment="1">
      <alignment horizontal="right"/>
    </xf>
    <xf numFmtId="9" fontId="24" fillId="14" borderId="15" xfId="24" applyFont="1" applyFill="1" applyBorder="1" applyAlignment="1">
      <alignment horizontal="right"/>
    </xf>
    <xf numFmtId="9" fontId="35" fillId="14" borderId="16" xfId="24" applyFont="1" applyFill="1" applyBorder="1" applyAlignment="1">
      <alignment horizontal="right"/>
    </xf>
    <xf numFmtId="14" fontId="25" fillId="0" borderId="10" xfId="0" applyNumberFormat="1" applyFont="1" applyBorder="1"/>
    <xf numFmtId="0" fontId="8" fillId="0" borderId="15" xfId="0" applyFont="1" applyBorder="1" applyAlignment="1">
      <alignment horizontal="right"/>
    </xf>
    <xf numFmtId="0" fontId="37" fillId="0" borderId="10" xfId="0" applyFont="1" applyBorder="1" applyAlignment="1">
      <alignment horizontal="left"/>
    </xf>
    <xf numFmtId="43" fontId="35" fillId="14" borderId="10" xfId="23" applyFont="1" applyFill="1" applyBorder="1" applyAlignment="1">
      <alignment horizontal="right"/>
    </xf>
    <xf numFmtId="9" fontId="12" fillId="0" borderId="10" xfId="24" applyFont="1" applyFill="1" applyBorder="1" applyAlignment="1">
      <alignment horizontal="right"/>
    </xf>
    <xf numFmtId="168" fontId="35" fillId="14" borderId="10" xfId="23" applyNumberFormat="1" applyFont="1" applyFill="1" applyBorder="1" applyAlignment="1">
      <alignment horizontal="right"/>
    </xf>
    <xf numFmtId="0" fontId="0" fillId="0" borderId="10" xfId="0" applyBorder="1" applyAlignment="1">
      <alignment horizontal="right"/>
    </xf>
    <xf numFmtId="43" fontId="0" fillId="0" borderId="10" xfId="23" applyFont="1" applyBorder="1"/>
    <xf numFmtId="14" fontId="35" fillId="14" borderId="10" xfId="23" applyNumberFormat="1" applyFont="1" applyFill="1" applyBorder="1" applyAlignment="1">
      <alignment horizontal="right"/>
    </xf>
    <xf numFmtId="166" fontId="45" fillId="0" borderId="15" xfId="23" applyNumberFormat="1" applyFont="1" applyBorder="1"/>
    <xf numFmtId="166" fontId="32" fillId="0" borderId="15" xfId="23" applyNumberFormat="1" applyFont="1" applyBorder="1"/>
    <xf numFmtId="0" fontId="29" fillId="0" borderId="15" xfId="0" applyFont="1" applyBorder="1" applyAlignment="1">
      <alignment horizontal="left"/>
    </xf>
    <xf numFmtId="9" fontId="12" fillId="0" borderId="10" xfId="0" applyNumberFormat="1" applyFont="1" applyBorder="1"/>
    <xf numFmtId="9" fontId="12" fillId="0" borderId="15" xfId="24" applyFont="1" applyFill="1" applyBorder="1" applyAlignment="1">
      <alignment horizontal="right"/>
    </xf>
    <xf numFmtId="9" fontId="12" fillId="0" borderId="16" xfId="24" applyFont="1" applyFill="1" applyBorder="1" applyAlignment="1">
      <alignment horizontal="right"/>
    </xf>
    <xf numFmtId="0" fontId="12" fillId="0" borderId="15" xfId="0" applyFont="1" applyBorder="1" applyAlignment="1">
      <alignment horizontal="right"/>
    </xf>
    <xf numFmtId="0" fontId="12" fillId="0" borderId="10" xfId="0" applyFont="1" applyBorder="1" applyAlignment="1">
      <alignment horizontal="right"/>
    </xf>
    <xf numFmtId="0" fontId="35" fillId="14" borderId="10" xfId="23" applyNumberFormat="1" applyFont="1" applyFill="1" applyBorder="1" applyAlignment="1">
      <alignment horizontal="right"/>
    </xf>
    <xf numFmtId="10" fontId="32" fillId="0" borderId="10" xfId="0" applyNumberFormat="1" applyFont="1" applyBorder="1"/>
    <xf numFmtId="10" fontId="32" fillId="0" borderId="16" xfId="0" applyNumberFormat="1" applyFont="1" applyBorder="1"/>
    <xf numFmtId="0" fontId="12" fillId="0" borderId="16" xfId="0" applyFont="1" applyBorder="1" applyAlignment="1">
      <alignment horizontal="right"/>
    </xf>
    <xf numFmtId="168" fontId="0" fillId="0" borderId="16" xfId="0" applyNumberFormat="1" applyBorder="1" applyAlignment="1">
      <alignment horizontal="left"/>
    </xf>
    <xf numFmtId="0" fontId="12" fillId="0" borderId="10" xfId="23" applyNumberFormat="1" applyFont="1" applyFill="1" applyBorder="1" applyAlignment="1">
      <alignment horizontal="right"/>
    </xf>
    <xf numFmtId="0" fontId="29" fillId="0" borderId="16" xfId="0" applyFont="1" applyBorder="1"/>
    <xf numFmtId="0" fontId="29" fillId="0" borderId="16" xfId="0" applyFont="1" applyBorder="1" applyAlignment="1">
      <alignment horizontal="left"/>
    </xf>
    <xf numFmtId="9" fontId="35" fillId="14" borderId="16" xfId="23" applyNumberFormat="1" applyFont="1" applyFill="1" applyBorder="1" applyAlignment="1">
      <alignment horizontal="right"/>
    </xf>
    <xf numFmtId="0" fontId="18" fillId="0" borderId="15" xfId="0" applyFont="1" applyBorder="1" applyAlignment="1">
      <alignment horizontal="right"/>
    </xf>
    <xf numFmtId="9" fontId="24" fillId="14" borderId="10" xfId="24" applyFont="1" applyFill="1" applyBorder="1" applyAlignment="1">
      <alignment horizontal="right"/>
    </xf>
    <xf numFmtId="0" fontId="18" fillId="0" borderId="10" xfId="0" applyFont="1" applyBorder="1" applyAlignment="1">
      <alignment horizontal="right"/>
    </xf>
    <xf numFmtId="9" fontId="24" fillId="14" borderId="16" xfId="24" applyFont="1" applyFill="1" applyBorder="1" applyAlignment="1">
      <alignment horizontal="right"/>
    </xf>
    <xf numFmtId="164" fontId="0" fillId="0" borderId="16" xfId="24" applyNumberFormat="1" applyFont="1" applyBorder="1" applyAlignment="1">
      <alignment horizontal="right"/>
    </xf>
    <xf numFmtId="9" fontId="24" fillId="14" borderId="10" xfId="0" applyNumberFormat="1" applyFont="1" applyFill="1" applyBorder="1" applyAlignment="1">
      <alignment horizontal="right"/>
    </xf>
    <xf numFmtId="0" fontId="29" fillId="0" borderId="10" xfId="0" applyFont="1" applyBorder="1"/>
    <xf numFmtId="43" fontId="12" fillId="0" borderId="10" xfId="23" applyFont="1" applyBorder="1" applyAlignment="1">
      <alignment horizontal="left"/>
    </xf>
    <xf numFmtId="166" fontId="12" fillId="0" borderId="10" xfId="0" applyNumberFormat="1" applyFont="1" applyBorder="1" applyAlignment="1">
      <alignment horizontal="left"/>
    </xf>
    <xf numFmtId="166" fontId="12" fillId="0" borderId="16" xfId="23" applyNumberFormat="1" applyFont="1" applyBorder="1" applyAlignment="1">
      <alignment horizontal="left"/>
    </xf>
    <xf numFmtId="166" fontId="12" fillId="0" borderId="16" xfId="0" applyNumberFormat="1" applyFont="1" applyBorder="1" applyAlignment="1">
      <alignment horizontal="left"/>
    </xf>
    <xf numFmtId="168" fontId="35" fillId="14" borderId="15" xfId="23" applyNumberFormat="1" applyFont="1" applyFill="1" applyBorder="1" applyAlignment="1">
      <alignment horizontal="right"/>
    </xf>
    <xf numFmtId="168" fontId="35" fillId="14" borderId="16" xfId="23" applyNumberFormat="1" applyFont="1" applyFill="1" applyBorder="1" applyAlignment="1">
      <alignment horizontal="right"/>
    </xf>
    <xf numFmtId="0" fontId="0" fillId="0" borderId="15" xfId="0" applyBorder="1" applyAlignment="1">
      <alignment horizontal="left"/>
    </xf>
    <xf numFmtId="0" fontId="0" fillId="0" borderId="10" xfId="0" applyBorder="1" applyAlignment="1">
      <alignment horizontal="left"/>
    </xf>
    <xf numFmtId="164" fontId="0" fillId="0" borderId="16" xfId="0" applyNumberFormat="1" applyBorder="1" applyAlignment="1">
      <alignment horizontal="right"/>
    </xf>
    <xf numFmtId="166" fontId="0" fillId="0" borderId="10" xfId="23" applyNumberFormat="1" applyFont="1" applyBorder="1" applyAlignment="1">
      <alignment horizontal="right"/>
    </xf>
    <xf numFmtId="166" fontId="0" fillId="0" borderId="10" xfId="0" applyNumberFormat="1" applyBorder="1" applyAlignment="1">
      <alignment horizontal="right"/>
    </xf>
    <xf numFmtId="0" fontId="29" fillId="0" borderId="15" xfId="0" applyFont="1" applyBorder="1"/>
    <xf numFmtId="166" fontId="0" fillId="0" borderId="15" xfId="0" applyNumberFormat="1" applyBorder="1" applyAlignment="1">
      <alignment horizontal="right"/>
    </xf>
    <xf numFmtId="0" fontId="25" fillId="44" borderId="10" xfId="0" applyFont="1" applyFill="1" applyBorder="1"/>
    <xf numFmtId="0" fontId="25" fillId="44" borderId="16" xfId="0" applyFont="1" applyFill="1" applyBorder="1"/>
    <xf numFmtId="0" fontId="18" fillId="44" borderId="15" xfId="0" applyFont="1" applyFill="1" applyBorder="1"/>
    <xf numFmtId="0" fontId="18" fillId="44" borderId="0" xfId="0" applyFont="1" applyFill="1"/>
    <xf numFmtId="0" fontId="18" fillId="45" borderId="0" xfId="0" applyFont="1" applyFill="1"/>
    <xf numFmtId="0" fontId="0" fillId="45" borderId="0" xfId="0" applyFill="1"/>
    <xf numFmtId="0" fontId="0" fillId="46" borderId="15" xfId="0" applyFill="1" applyBorder="1"/>
    <xf numFmtId="0" fontId="0" fillId="46" borderId="10" xfId="0" applyFill="1" applyBorder="1"/>
    <xf numFmtId="0" fontId="18" fillId="2" borderId="0" xfId="0" applyFont="1" applyFill="1"/>
    <xf numFmtId="0" fontId="0" fillId="2" borderId="0" xfId="0" applyFill="1"/>
    <xf numFmtId="0" fontId="18" fillId="47" borderId="0" xfId="0" applyFont="1" applyFill="1"/>
    <xf numFmtId="0" fontId="0" fillId="47" borderId="0" xfId="0" applyFill="1"/>
    <xf numFmtId="0" fontId="0" fillId="48" borderId="15" xfId="0" applyFill="1" applyBorder="1"/>
    <xf numFmtId="0" fontId="0" fillId="48" borderId="10" xfId="0" applyFill="1" applyBorder="1"/>
    <xf numFmtId="0" fontId="25" fillId="48" borderId="10" xfId="0" applyFont="1" applyFill="1" applyBorder="1"/>
    <xf numFmtId="0" fontId="0" fillId="48" borderId="16" xfId="0" applyFill="1" applyBorder="1"/>
    <xf numFmtId="0" fontId="0" fillId="48" borderId="0" xfId="0" applyFill="1"/>
    <xf numFmtId="0" fontId="18" fillId="48" borderId="15" xfId="0" applyFont="1" applyFill="1" applyBorder="1"/>
    <xf numFmtId="0" fontId="18" fillId="48" borderId="0" xfId="0" applyFont="1" applyFill="1"/>
    <xf numFmtId="0" fontId="18" fillId="49" borderId="0" xfId="0" applyFont="1" applyFill="1"/>
    <xf numFmtId="0" fontId="0" fillId="49" borderId="0" xfId="0" applyFill="1"/>
    <xf numFmtId="0" fontId="18" fillId="50" borderId="0" xfId="0" applyFont="1" applyFill="1"/>
    <xf numFmtId="0" fontId="0" fillId="50" borderId="0" xfId="0" applyFill="1"/>
    <xf numFmtId="0" fontId="0" fillId="51" borderId="15" xfId="0" applyFill="1" applyBorder="1"/>
    <xf numFmtId="0" fontId="0" fillId="51" borderId="16" xfId="0" applyFill="1" applyBorder="1"/>
    <xf numFmtId="0" fontId="0" fillId="51" borderId="0" xfId="0" applyFill="1"/>
    <xf numFmtId="0" fontId="18" fillId="51" borderId="15" xfId="0" applyFont="1" applyFill="1" applyBorder="1"/>
    <xf numFmtId="0" fontId="0" fillId="51" borderId="10" xfId="0" applyFill="1" applyBorder="1"/>
    <xf numFmtId="0" fontId="25" fillId="51" borderId="10" xfId="0" applyFont="1" applyFill="1" applyBorder="1"/>
    <xf numFmtId="0" fontId="18" fillId="51" borderId="0" xfId="0" applyFont="1" applyFill="1"/>
    <xf numFmtId="0" fontId="12" fillId="44" borderId="15" xfId="0" applyFont="1" applyFill="1" applyBorder="1"/>
    <xf numFmtId="0" fontId="12" fillId="44" borderId="10" xfId="0" applyFont="1" applyFill="1" applyBorder="1"/>
    <xf numFmtId="0" fontId="12" fillId="44" borderId="16" xfId="0" applyFont="1" applyFill="1" applyBorder="1"/>
    <xf numFmtId="0" fontId="18" fillId="52" borderId="0" xfId="0" applyFont="1" applyFill="1"/>
    <xf numFmtId="0" fontId="0" fillId="52" borderId="0" xfId="0" applyFill="1"/>
    <xf numFmtId="0" fontId="18" fillId="53" borderId="0" xfId="0" applyFont="1" applyFill="1"/>
    <xf numFmtId="0" fontId="0" fillId="53" borderId="0" xfId="0" applyFill="1"/>
    <xf numFmtId="0" fontId="18" fillId="54" borderId="0" xfId="0" applyFont="1" applyFill="1"/>
    <xf numFmtId="0" fontId="0" fillId="54" borderId="0" xfId="0" applyFill="1"/>
    <xf numFmtId="0" fontId="0" fillId="46" borderId="0" xfId="0" applyFill="1"/>
    <xf numFmtId="181" fontId="0" fillId="0" borderId="0" xfId="0" applyNumberFormat="1"/>
    <xf numFmtId="181" fontId="0" fillId="0" borderId="10" xfId="0" applyNumberFormat="1" applyBorder="1"/>
    <xf numFmtId="43" fontId="36" fillId="0" borderId="15" xfId="23" applyFont="1" applyFill="1" applyBorder="1" applyAlignment="1">
      <alignment horizontal="right"/>
    </xf>
    <xf numFmtId="43" fontId="36" fillId="0" borderId="16" xfId="23" applyFont="1" applyFill="1" applyBorder="1" applyAlignment="1">
      <alignment horizontal="right"/>
    </xf>
    <xf numFmtId="166" fontId="1" fillId="0" borderId="16" xfId="0" applyNumberFormat="1" applyFont="1" applyBorder="1" applyAlignment="1">
      <alignment horizontal="right"/>
    </xf>
    <xf numFmtId="10" fontId="36" fillId="0" borderId="15" xfId="23" applyNumberFormat="1" applyFont="1" applyFill="1" applyBorder="1" applyAlignment="1">
      <alignment horizontal="right"/>
    </xf>
    <xf numFmtId="10" fontId="36" fillId="0" borderId="16" xfId="23" applyNumberFormat="1" applyFont="1" applyFill="1" applyBorder="1" applyAlignment="1">
      <alignment horizontal="right"/>
    </xf>
    <xf numFmtId="166" fontId="0" fillId="0" borderId="0" xfId="23" applyNumberFormat="1" applyFont="1" applyFill="1"/>
    <xf numFmtId="9" fontId="18" fillId="0" borderId="0" xfId="24" applyFont="1"/>
    <xf numFmtId="164" fontId="18" fillId="0" borderId="0" xfId="24" applyNumberFormat="1" applyFont="1"/>
    <xf numFmtId="1" fontId="36" fillId="0" borderId="0" xfId="0" applyNumberFormat="1" applyFont="1"/>
    <xf numFmtId="9" fontId="18" fillId="0" borderId="0" xfId="0" applyNumberFormat="1" applyFont="1"/>
    <xf numFmtId="0" fontId="12" fillId="0" borderId="0" xfId="25" applyFont="1" applyAlignment="1">
      <alignment horizontal="left" vertical="top" wrapText="1"/>
    </xf>
    <xf numFmtId="166" fontId="0" fillId="0" borderId="10" xfId="23" applyNumberFormat="1" applyFont="1" applyFill="1" applyBorder="1"/>
    <xf numFmtId="1" fontId="0" fillId="0" borderId="10" xfId="0" applyNumberFormat="1" applyBorder="1"/>
    <xf numFmtId="181" fontId="0" fillId="0" borderId="15" xfId="0" applyNumberFormat="1" applyBorder="1"/>
    <xf numFmtId="0" fontId="47" fillId="52" borderId="0" xfId="0" applyFont="1" applyFill="1" applyAlignment="1">
      <alignment wrapText="1"/>
    </xf>
    <xf numFmtId="1" fontId="3" fillId="0" borderId="0" xfId="0" applyNumberFormat="1" applyFont="1"/>
    <xf numFmtId="164" fontId="3" fillId="0" borderId="0" xfId="24" applyNumberFormat="1" applyFont="1"/>
    <xf numFmtId="0" fontId="3" fillId="0" borderId="0" xfId="0" applyFont="1"/>
    <xf numFmtId="43" fontId="3" fillId="0" borderId="0" xfId="23" applyFont="1"/>
    <xf numFmtId="179" fontId="0" fillId="0" borderId="0" xfId="24" applyNumberFormat="1" applyFont="1"/>
    <xf numFmtId="0" fontId="129" fillId="52" borderId="0" xfId="0" applyFont="1" applyFill="1" applyAlignment="1">
      <alignment wrapText="1"/>
    </xf>
    <xf numFmtId="166" fontId="35" fillId="14" borderId="0" xfId="23" applyNumberFormat="1" applyFont="1" applyFill="1" applyBorder="1" applyAlignment="1">
      <alignment horizontal="right"/>
    </xf>
    <xf numFmtId="181" fontId="0" fillId="0" borderId="0" xfId="23" applyNumberFormat="1" applyFont="1" applyFill="1"/>
    <xf numFmtId="9" fontId="35" fillId="14" borderId="15" xfId="23" applyNumberFormat="1" applyFont="1" applyFill="1" applyBorder="1" applyAlignment="1">
      <alignment horizontal="right"/>
    </xf>
    <xf numFmtId="0" fontId="29" fillId="0" borderId="10" xfId="0" applyFont="1" applyBorder="1" applyAlignment="1">
      <alignment horizontal="left"/>
    </xf>
    <xf numFmtId="181" fontId="0" fillId="55" borderId="10" xfId="0" applyNumberFormat="1" applyFill="1" applyBorder="1"/>
    <xf numFmtId="166" fontId="24" fillId="14" borderId="0" xfId="23" applyNumberFormat="1" applyFont="1" applyFill="1" applyAlignment="1">
      <alignment horizontal="right"/>
    </xf>
    <xf numFmtId="166" fontId="31" fillId="17" borderId="0" xfId="23" applyNumberFormat="1" applyFont="1" applyFill="1" applyAlignment="1">
      <alignment vertical="center"/>
    </xf>
    <xf numFmtId="166" fontId="12" fillId="0" borderId="0" xfId="23" applyNumberFormat="1" applyFont="1" applyFill="1" applyAlignment="1">
      <alignment horizontal="right"/>
    </xf>
    <xf numFmtId="166" fontId="7" fillId="19" borderId="0" xfId="23" applyNumberFormat="1" applyFont="1" applyFill="1"/>
    <xf numFmtId="166" fontId="7" fillId="13" borderId="0" xfId="23" applyNumberFormat="1" applyFont="1" applyFill="1"/>
    <xf numFmtId="0" fontId="12" fillId="44" borderId="0" xfId="0" applyFont="1" applyFill="1"/>
    <xf numFmtId="166" fontId="0" fillId="0" borderId="0" xfId="23" applyNumberFormat="1" applyFont="1" applyBorder="1" applyAlignment="1">
      <alignment horizontal="left"/>
    </xf>
    <xf numFmtId="0" fontId="18" fillId="44" borderId="10" xfId="0" applyFont="1" applyFill="1" applyBorder="1"/>
    <xf numFmtId="168" fontId="0" fillId="0" borderId="10" xfId="0" applyNumberFormat="1" applyBorder="1" applyAlignment="1">
      <alignment horizontal="left"/>
    </xf>
    <xf numFmtId="164" fontId="12" fillId="0" borderId="0" xfId="24" applyNumberFormat="1" applyFont="1" applyFill="1" applyBorder="1" applyAlignment="1">
      <alignment horizontal="right"/>
    </xf>
    <xf numFmtId="164" fontId="35" fillId="14" borderId="16" xfId="23" applyNumberFormat="1" applyFont="1" applyFill="1" applyBorder="1" applyAlignment="1">
      <alignment horizontal="right"/>
    </xf>
    <xf numFmtId="164" fontId="35" fillId="14" borderId="0" xfId="24" applyNumberFormat="1" applyFont="1" applyFill="1" applyBorder="1" applyAlignment="1">
      <alignment horizontal="right"/>
    </xf>
    <xf numFmtId="1" fontId="0" fillId="0" borderId="12" xfId="0" applyNumberFormat="1" applyBorder="1"/>
    <xf numFmtId="9" fontId="18" fillId="0" borderId="12" xfId="24" applyFont="1" applyBorder="1"/>
    <xf numFmtId="0" fontId="18" fillId="0" borderId="0" xfId="0" applyFont="1" applyAlignment="1">
      <alignment horizontal="left" vertical="center"/>
    </xf>
    <xf numFmtId="166" fontId="12" fillId="0" borderId="10" xfId="24" applyNumberFormat="1" applyFont="1" applyFill="1" applyBorder="1" applyAlignment="1">
      <alignment horizontal="right"/>
    </xf>
    <xf numFmtId="9" fontId="24" fillId="14" borderId="15" xfId="0" applyNumberFormat="1" applyFont="1" applyFill="1" applyBorder="1" applyAlignment="1">
      <alignment horizontal="right"/>
    </xf>
    <xf numFmtId="9" fontId="0" fillId="0" borderId="10" xfId="24" applyFont="1" applyBorder="1" applyAlignment="1">
      <alignment horizontal="right"/>
    </xf>
    <xf numFmtId="0" fontId="18" fillId="44" borderId="0" xfId="0" applyFont="1" applyFill="1" applyAlignment="1">
      <alignment horizontal="centerContinuous" wrapText="1"/>
    </xf>
    <xf numFmtId="0" fontId="31" fillId="0" borderId="0" xfId="0" applyFont="1" applyAlignment="1">
      <alignment vertical="center"/>
    </xf>
    <xf numFmtId="10" fontId="33" fillId="0" borderId="0" xfId="0" applyNumberFormat="1" applyFont="1"/>
    <xf numFmtId="9" fontId="0" fillId="0" borderId="0" xfId="24" applyFont="1" applyFill="1"/>
    <xf numFmtId="43" fontId="1" fillId="0" borderId="0" xfId="23" applyFont="1" applyFill="1"/>
    <xf numFmtId="166" fontId="33" fillId="0" borderId="0" xfId="0" applyNumberFormat="1" applyFont="1"/>
    <xf numFmtId="166" fontId="31" fillId="0" borderId="0" xfId="0" applyNumberFormat="1" applyFont="1" applyAlignment="1">
      <alignment vertical="center"/>
    </xf>
    <xf numFmtId="0" fontId="31" fillId="56" borderId="0" xfId="0" applyFont="1" applyFill="1" applyAlignment="1">
      <alignment vertical="center"/>
    </xf>
    <xf numFmtId="0" fontId="0" fillId="57" borderId="0" xfId="0" applyFill="1"/>
    <xf numFmtId="0" fontId="30" fillId="56" borderId="0" xfId="0" applyFont="1" applyFill="1" applyAlignment="1">
      <alignment vertical="center"/>
    </xf>
    <xf numFmtId="166" fontId="0" fillId="57" borderId="0" xfId="0" applyNumberFormat="1" applyFill="1"/>
    <xf numFmtId="0" fontId="7" fillId="25" borderId="25" xfId="0" applyFont="1" applyFill="1" applyBorder="1" applyAlignment="1">
      <alignment horizontal="center" vertical="center"/>
    </xf>
    <xf numFmtId="0" fontId="7" fillId="25" borderId="27" xfId="0" applyFont="1" applyFill="1" applyBorder="1" applyAlignment="1">
      <alignment horizontal="center" vertical="center"/>
    </xf>
    <xf numFmtId="0" fontId="7" fillId="25" borderId="30" xfId="0" applyFont="1" applyFill="1" applyBorder="1" applyAlignment="1">
      <alignment horizontal="center" vertical="center"/>
    </xf>
    <xf numFmtId="0" fontId="7" fillId="25" borderId="19" xfId="0" applyFont="1" applyFill="1" applyBorder="1" applyAlignment="1">
      <alignment horizontal="center" vertical="center"/>
    </xf>
    <xf numFmtId="0" fontId="7" fillId="25" borderId="26" xfId="0" applyFont="1" applyFill="1" applyBorder="1" applyAlignment="1">
      <alignment horizontal="center" vertical="center"/>
    </xf>
    <xf numFmtId="0" fontId="7" fillId="25" borderId="23" xfId="0" applyFont="1" applyFill="1" applyBorder="1" applyAlignment="1">
      <alignment horizontal="center" vertical="center"/>
    </xf>
    <xf numFmtId="0" fontId="7" fillId="25" borderId="20" xfId="0" applyFont="1" applyFill="1" applyBorder="1" applyAlignment="1">
      <alignment horizontal="center" vertical="center"/>
    </xf>
    <xf numFmtId="2" fontId="81" fillId="15" borderId="0" xfId="0" applyNumberFormat="1" applyFont="1" applyFill="1" applyAlignment="1">
      <alignment horizontal="left" vertical="center" wrapText="1"/>
    </xf>
    <xf numFmtId="0" fontId="73" fillId="23" borderId="38" xfId="0" applyFont="1" applyFill="1" applyBorder="1" applyAlignment="1">
      <alignment horizontal="left" vertical="top" wrapText="1"/>
    </xf>
    <xf numFmtId="0" fontId="73" fillId="23" borderId="36" xfId="0" applyFont="1" applyFill="1" applyBorder="1" applyAlignment="1">
      <alignment horizontal="left" vertical="top" wrapText="1"/>
    </xf>
    <xf numFmtId="0" fontId="73" fillId="23" borderId="34" xfId="0" applyFont="1" applyFill="1" applyBorder="1" applyAlignment="1">
      <alignment horizontal="left" vertical="top" wrapText="1"/>
    </xf>
    <xf numFmtId="0" fontId="73" fillId="23" borderId="37" xfId="0" applyFont="1" applyFill="1" applyBorder="1" applyAlignment="1">
      <alignment horizontal="left" vertical="top" wrapText="1"/>
    </xf>
    <xf numFmtId="0" fontId="73" fillId="23" borderId="35" xfId="0" applyFont="1" applyFill="1" applyBorder="1" applyAlignment="1">
      <alignment horizontal="left" vertical="top" wrapText="1"/>
    </xf>
    <xf numFmtId="0" fontId="73" fillId="23" borderId="33" xfId="0" applyFont="1" applyFill="1" applyBorder="1" applyAlignment="1">
      <alignment horizontal="left" vertical="top" wrapText="1"/>
    </xf>
    <xf numFmtId="0" fontId="67" fillId="24" borderId="0" xfId="0" applyFont="1" applyFill="1" applyAlignment="1">
      <alignment horizontal="center" vertical="center" textRotation="90"/>
    </xf>
    <xf numFmtId="0" fontId="40" fillId="15" borderId="0" xfId="0" applyFont="1" applyFill="1" applyAlignment="1">
      <alignment horizontal="left" vertical="center" wrapText="1"/>
    </xf>
    <xf numFmtId="0" fontId="82" fillId="23" borderId="0" xfId="0" applyFont="1" applyFill="1" applyAlignment="1">
      <alignment horizontal="left" vertical="center" wrapText="1"/>
    </xf>
    <xf numFmtId="0" fontId="95" fillId="34" borderId="50" xfId="0" applyFont="1" applyFill="1" applyBorder="1" applyAlignment="1">
      <alignment horizontal="center" vertical="center"/>
    </xf>
    <xf numFmtId="0" fontId="95" fillId="34" borderId="14" xfId="0" applyFont="1" applyFill="1" applyBorder="1" applyAlignment="1">
      <alignment horizontal="center" vertical="center"/>
    </xf>
    <xf numFmtId="0" fontId="95" fillId="34" borderId="49" xfId="0" applyFont="1" applyFill="1" applyBorder="1" applyAlignment="1">
      <alignment horizontal="center" vertical="center"/>
    </xf>
    <xf numFmtId="0" fontId="36" fillId="23" borderId="0" xfId="0" applyFont="1" applyFill="1" applyAlignment="1">
      <alignment horizontal="left" vertical="center" wrapText="1"/>
    </xf>
    <xf numFmtId="9" fontId="87" fillId="32" borderId="45" xfId="24" applyFont="1" applyFill="1" applyBorder="1" applyAlignment="1">
      <alignment horizontal="center" vertical="center"/>
    </xf>
    <xf numFmtId="9" fontId="87" fillId="32" borderId="0" xfId="24" applyFont="1" applyFill="1" applyBorder="1" applyAlignment="1">
      <alignment horizontal="center" vertical="center"/>
    </xf>
    <xf numFmtId="0" fontId="65" fillId="0" borderId="0" xfId="0" applyFont="1" applyAlignment="1">
      <alignment horizontal="left" vertical="center"/>
    </xf>
    <xf numFmtId="0" fontId="91" fillId="23" borderId="0" xfId="0" applyFont="1" applyFill="1" applyAlignment="1">
      <alignment horizontal="left" vertical="center" wrapText="1"/>
    </xf>
    <xf numFmtId="0" fontId="68" fillId="23" borderId="0" xfId="0" applyFont="1" applyFill="1" applyAlignment="1">
      <alignment horizontal="left" vertical="top" wrapText="1"/>
    </xf>
    <xf numFmtId="0" fontId="73" fillId="23" borderId="52" xfId="0" applyFont="1" applyFill="1" applyBorder="1" applyAlignment="1" applyProtection="1">
      <alignment horizontal="left" vertical="center" wrapText="1"/>
      <protection locked="0"/>
    </xf>
    <xf numFmtId="0" fontId="73" fillId="23" borderId="0" xfId="0" applyFont="1" applyFill="1" applyAlignment="1" applyProtection="1">
      <alignment horizontal="left" vertical="center" wrapText="1"/>
      <protection locked="0"/>
    </xf>
    <xf numFmtId="0" fontId="62" fillId="0" borderId="0" xfId="0" applyFont="1" applyAlignment="1" applyProtection="1">
      <alignment horizontal="left" vertical="center" wrapText="1"/>
      <protection locked="0"/>
    </xf>
    <xf numFmtId="0" fontId="73" fillId="23" borderId="0" xfId="0" quotePrefix="1" applyFont="1" applyFill="1" applyAlignment="1" applyProtection="1">
      <alignment horizontal="left" vertical="center" wrapText="1"/>
      <protection locked="0"/>
    </xf>
    <xf numFmtId="0" fontId="105" fillId="0" borderId="0" xfId="0" applyFont="1" applyAlignment="1" applyProtection="1">
      <alignment horizontal="left" vertical="center" wrapText="1"/>
      <protection locked="0"/>
    </xf>
    <xf numFmtId="0" fontId="103" fillId="35" borderId="0" xfId="0" applyFont="1" applyFill="1" applyAlignment="1" applyProtection="1">
      <alignment horizontal="left" vertical="center" wrapText="1"/>
      <protection locked="0"/>
    </xf>
    <xf numFmtId="0" fontId="107" fillId="0" borderId="0" xfId="26" applyFont="1" applyAlignment="1" applyProtection="1">
      <alignment horizontal="left" vertical="top" wrapText="1"/>
      <protection locked="0"/>
    </xf>
    <xf numFmtId="0" fontId="121" fillId="0" borderId="14" xfId="28" applyFont="1" applyFill="1" applyBorder="1" applyAlignment="1" applyProtection="1">
      <alignment horizontal="center" vertical="center" wrapText="1"/>
      <protection locked="0"/>
    </xf>
  </cellXfs>
  <cellStyles count="32">
    <cellStyle name="Accent4" xfId="21" builtinId="41" customBuiltin="1"/>
    <cellStyle name="Accent6" xfId="22" builtinId="49" customBuiltin="1"/>
    <cellStyle name="Bad" xfId="7" builtinId="27" customBuiltin="1"/>
    <cellStyle name="Calculation" xfId="9" hidden="1" xr:uid="{BA044971-647E-4B43-BDF3-B9F90685EA06}"/>
    <cellStyle name="Check Cell" xfId="11" builtinId="23" hidden="1"/>
    <cellStyle name="Comma" xfId="23" builtinId="3"/>
    <cellStyle name="Explanatory Text" xfId="14" builtinId="53" hidden="1"/>
    <cellStyle name="Heading 1" xfId="1" builtinId="16" customBuiltin="1"/>
    <cellStyle name="Heading 2" xfId="2" builtinId="17" customBuiltin="1"/>
    <cellStyle name="Heading 3" xfId="3" builtinId="18" customBuiltin="1"/>
    <cellStyle name="Heading 4" xfId="16" builtinId="19" customBuiltin="1"/>
    <cellStyle name="Hyperlink" xfId="26" builtinId="8"/>
    <cellStyle name="Hyperlink 2" xfId="28" xr:uid="{FD8A2F08-FB1B-4036-8211-EDCEB9F4CBCD}"/>
    <cellStyle name="Input" xfId="8" builtinId="20" hidden="1"/>
    <cellStyle name="Input" xfId="29" builtinId="20"/>
    <cellStyle name="Input 2" xfId="30" xr:uid="{49C6C0EB-9CBE-4A25-993D-5C7D836D7B92}"/>
    <cellStyle name="Input 3" xfId="31" xr:uid="{A9A60F69-4D8E-4ADF-A3A9-B46B0AA66F75}"/>
    <cellStyle name="Link" xfId="18" xr:uid="{F6F335AB-58A7-4135-B553-B7C2CE08F402}"/>
    <cellStyle name="Linked Cell" xfId="10" builtinId="24" hidden="1"/>
    <cellStyle name="Neutral" xfId="27" builtinId="28"/>
    <cellStyle name="Normal" xfId="0" builtinId="0"/>
    <cellStyle name="Normal 2" xfId="25" xr:uid="{9A7E72C0-CDC4-4B12-9AA8-9EBA80B5AD21}"/>
    <cellStyle name="Note" xfId="13" builtinId="10" hidden="1"/>
    <cellStyle name="Notes" xfId="20" xr:uid="{7BF13CA6-F5E1-45BE-8ABA-DF8882E10889}"/>
    <cellStyle name="Output" xfId="4" hidden="1" xr:uid="{DDC8B129-E4EA-4CC9-B7C4-EEF8799DAD76}"/>
    <cellStyle name="Per cent" xfId="24" builtinId="5"/>
    <cellStyle name="Raw Data" xfId="5" xr:uid="{6E154805-33DE-42D5-80BA-AF332D8E7637}"/>
    <cellStyle name="Title" xfId="15" builtinId="15" customBuiltin="1"/>
    <cellStyle name="Total" xfId="17" builtinId="25" customBuiltin="1"/>
    <cellStyle name="Variables" xfId="6" xr:uid="{F06CDAB5-849E-4246-87E8-405DA417694B}"/>
    <cellStyle name="Warning" xfId="19" xr:uid="{270F583D-5642-40BB-8274-77A9A43F50AB}"/>
    <cellStyle name="Warning Text" xfId="12" builtinId="11" hidden="1"/>
  </cellStyles>
  <dxfs count="230">
    <dxf>
      <font>
        <color rgb="FF4C7870"/>
      </font>
      <fill>
        <patternFill>
          <bgColor rgb="FF4C7870"/>
        </patternFill>
      </fill>
      <border>
        <left/>
        <right/>
        <top/>
        <bottom/>
      </border>
    </dxf>
    <dxf>
      <font>
        <color rgb="FF4C7870"/>
      </font>
      <fill>
        <patternFill>
          <bgColor rgb="FF4C7870"/>
        </patternFill>
      </fill>
      <border>
        <left/>
        <right/>
        <top/>
        <bottom/>
      </border>
    </dxf>
    <dxf>
      <font>
        <color rgb="FF4C7870"/>
      </font>
      <fill>
        <patternFill>
          <bgColor rgb="FF4C7870"/>
        </patternFill>
      </fill>
      <border>
        <left/>
        <right/>
        <top/>
        <bottom/>
      </border>
    </dxf>
    <dxf>
      <font>
        <color rgb="FF4C7870"/>
      </font>
      <fill>
        <patternFill>
          <bgColor rgb="FF4C7870"/>
        </patternFill>
      </fill>
      <border>
        <left/>
        <right/>
        <top/>
        <bottom/>
      </border>
    </dxf>
    <dxf>
      <font>
        <color rgb="FF4C7870"/>
      </font>
      <fill>
        <patternFill>
          <bgColor rgb="FF4C7870"/>
        </patternFill>
      </fill>
      <border>
        <left/>
        <right/>
        <top/>
        <bottom/>
      </border>
    </dxf>
    <dxf>
      <font>
        <color rgb="FF4C7870"/>
      </font>
      <fill>
        <patternFill>
          <bgColor rgb="FF4C7870"/>
        </patternFill>
      </fill>
      <border>
        <left/>
        <right/>
        <top/>
        <bottom/>
      </border>
    </dxf>
    <dxf>
      <font>
        <color rgb="FF4C7870"/>
      </font>
      <fill>
        <patternFill>
          <bgColor rgb="FF4C7870"/>
        </patternFill>
      </fill>
      <border>
        <left/>
        <right/>
        <top/>
        <bottom/>
      </border>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ill>
        <patternFill patternType="lightDown"/>
      </fill>
    </dxf>
    <dxf>
      <font>
        <color theme="0"/>
      </font>
      <fill>
        <patternFill patternType="solid">
          <fgColor theme="0"/>
          <bgColor theme="0"/>
        </patternFill>
      </fill>
    </dxf>
    <dxf>
      <font>
        <color theme="0"/>
      </font>
      <fill>
        <patternFill patternType="solid">
          <fgColor theme="0"/>
          <bgColor theme="0"/>
        </patternFill>
      </fill>
    </dxf>
    <dxf>
      <fill>
        <patternFill patternType="lightDown"/>
      </fill>
    </dxf>
    <dxf>
      <font>
        <color theme="0"/>
      </font>
      <fill>
        <patternFill patternType="solid">
          <fgColor theme="0"/>
          <bgColor theme="0"/>
        </patternFill>
      </fill>
    </dxf>
    <dxf>
      <fill>
        <patternFill patternType="lightDown"/>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ill>
        <patternFill patternType="lightDown"/>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ill>
        <patternFill patternType="lightDown"/>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fgColor theme="0"/>
          <bgColor theme="0"/>
        </patternFill>
      </fill>
    </dxf>
    <dxf>
      <font>
        <color theme="0"/>
      </font>
      <fill>
        <patternFill patternType="solid">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bgColor theme="0"/>
        </patternFill>
      </fill>
    </dxf>
    <dxf>
      <font>
        <color theme="0"/>
      </font>
      <fill>
        <patternFill patternType="solid">
          <fgColor theme="0"/>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auto="1"/>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darkHorizontal">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patternFill>
      </fill>
    </dxf>
    <dxf>
      <font>
        <color theme="0"/>
      </font>
      <fill>
        <patternFill patternType="solid">
          <fgColor theme="0"/>
          <bgColor theme="0"/>
        </patternFill>
      </fill>
    </dxf>
    <dxf>
      <font>
        <color theme="0"/>
      </font>
      <fill>
        <patternFill patternType="lightDown">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bgColor theme="0"/>
        </patternFill>
      </fill>
    </dxf>
    <dxf>
      <font>
        <color theme="0"/>
      </font>
      <fill>
        <patternFill patternType="solid">
          <bgColor theme="0"/>
        </patternFill>
      </fill>
    </dxf>
    <dxf>
      <font>
        <color theme="0"/>
      </font>
      <fill>
        <patternFill>
          <bgColor theme="0"/>
        </patternFill>
      </fill>
    </dxf>
    <dxf>
      <font>
        <color theme="0"/>
      </font>
      <fill>
        <patternFill patternType="solid">
          <fgColor theme="0"/>
          <bgColor theme="0"/>
        </patternFill>
      </fill>
    </dxf>
    <dxf>
      <font>
        <color theme="0"/>
      </font>
      <fill>
        <patternFill>
          <bgColor theme="0"/>
        </patternFill>
      </fill>
    </dxf>
    <dxf>
      <font>
        <color theme="0"/>
      </font>
      <fill>
        <patternFill patternType="solid">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bgColor theme="0"/>
        </patternFill>
      </fill>
    </dxf>
    <dxf>
      <font>
        <color theme="0"/>
      </font>
      <fill>
        <patternFill patternType="solid">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bgColor theme="0"/>
        </patternFill>
      </fill>
    </dxf>
    <dxf>
      <font>
        <color theme="0"/>
      </font>
      <fill>
        <patternFill>
          <fgColor theme="0"/>
          <bgColor theme="0"/>
        </patternFill>
      </fill>
    </dxf>
    <dxf>
      <font>
        <color theme="0"/>
      </font>
      <fill>
        <patternFill>
          <bgColor theme="0"/>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bgColor rgb="FFE6E6E6"/>
        </patternFill>
      </fill>
    </dxf>
    <dxf>
      <font>
        <b/>
        <i val="0"/>
      </font>
    </dxf>
    <dxf>
      <font>
        <b/>
        <i val="0"/>
        <color theme="0"/>
      </font>
      <fill>
        <patternFill>
          <bgColor theme="4"/>
        </patternFill>
      </fill>
      <border diagonalUp="0" diagonalDown="0">
        <left/>
        <right/>
        <top/>
        <bottom style="thick">
          <color auto="1"/>
        </bottom>
        <vertical/>
        <horizontal/>
      </border>
    </dxf>
    <dxf>
      <font>
        <b/>
        <i val="0"/>
      </font>
    </dxf>
    <dxf>
      <font>
        <b/>
        <i val="0"/>
        <color auto="1"/>
      </font>
      <fill>
        <patternFill>
          <bgColor rgb="FFE6E6E6"/>
        </patternFill>
      </fill>
      <border diagonalUp="0" diagonalDown="0">
        <left/>
        <right/>
        <top/>
        <bottom/>
        <vertical/>
        <horizontal/>
      </border>
    </dxf>
    <dxf>
      <border diagonalUp="0" diagonalDown="0">
        <left/>
        <right/>
        <top/>
        <bottom/>
        <vertical/>
        <horizontal style="thin">
          <color rgb="FF7F7F7F"/>
        </horizontal>
      </border>
    </dxf>
    <dxf>
      <font>
        <b/>
        <i val="0"/>
      </font>
    </dxf>
    <dxf>
      <font>
        <b/>
        <i val="0"/>
        <color auto="1"/>
      </font>
      <fill>
        <patternFill>
          <bgColor rgb="FFE6E6E6"/>
        </patternFill>
      </fill>
      <border diagonalUp="0" diagonalDown="0">
        <left/>
        <right/>
        <top/>
        <bottom/>
        <vertical/>
        <horizontal/>
      </border>
    </dxf>
    <dxf>
      <font>
        <b/>
        <i val="0"/>
      </font>
    </dxf>
    <dxf>
      <font>
        <b/>
        <i val="0"/>
        <color theme="0"/>
      </font>
      <fill>
        <patternFill>
          <bgColor theme="4"/>
        </patternFill>
      </fill>
      <border diagonalUp="0" diagonalDown="0">
        <left/>
        <right/>
        <top/>
        <bottom/>
        <vertical/>
        <horizontal/>
      </border>
    </dxf>
    <dxf>
      <border diagonalUp="0" diagonalDown="0">
        <left/>
        <right/>
        <top/>
        <bottom/>
        <vertical/>
        <horizontal style="thin">
          <color rgb="FF7F7F7F"/>
        </horizontal>
      </border>
    </dxf>
    <dxf>
      <font>
        <b/>
        <i val="0"/>
      </font>
    </dxf>
    <dxf>
      <font>
        <b/>
        <i val="0"/>
        <color theme="0"/>
      </font>
      <fill>
        <patternFill>
          <bgColor theme="4"/>
        </patternFill>
      </fill>
      <border diagonalUp="0" diagonalDown="0">
        <left/>
        <right/>
        <top/>
        <bottom/>
        <vertical/>
        <horizontal/>
      </border>
    </dxf>
    <dxf>
      <font>
        <b/>
        <i val="0"/>
      </font>
    </dxf>
    <dxf>
      <font>
        <b/>
        <i val="0"/>
      </font>
      <border diagonalUp="0" diagonalDown="0">
        <left/>
        <right/>
        <top/>
        <bottom style="thick">
          <color rgb="FF7F7F7F"/>
        </bottom>
        <vertical/>
        <horizontal/>
      </border>
    </dxf>
    <dxf>
      <font>
        <b/>
        <i val="0"/>
      </font>
    </dxf>
    <dxf>
      <font>
        <b/>
        <i val="0"/>
      </font>
      <border diagonalUp="0" diagonalDown="0">
        <left/>
        <right/>
        <top/>
        <bottom style="thick">
          <color rgb="FF7F7F7F"/>
        </bottom>
        <vertical/>
        <horizontal/>
      </border>
    </dxf>
    <dxf>
      <border diagonalUp="0" diagonalDown="0">
        <left/>
        <right/>
        <top/>
        <bottom/>
        <vertical/>
        <horizontal style="thin">
          <color rgb="FF7F7F7F"/>
        </horizontal>
      </border>
    </dxf>
  </dxfs>
  <tableStyles count="7" defaultTableStyle="Firm Table 1" defaultPivotStyle="PivotStyleLight16">
    <tableStyle name="Firm Table 1" pivot="0" count="3" xr9:uid="{EBA62709-C567-4EE8-B22C-FB062E3CEA69}">
      <tableStyleElement type="wholeTable" dxfId="229"/>
      <tableStyleElement type="headerRow" dxfId="228"/>
      <tableStyleElement type="firstColumn" dxfId="227"/>
    </tableStyle>
    <tableStyle name="Firm Table 2" pivot="0" count="2" xr9:uid="{B876A247-FB3A-4EAD-8ABF-DECA13B726A4}">
      <tableStyleElement type="headerRow" dxfId="226"/>
      <tableStyleElement type="firstColumn" dxfId="225"/>
    </tableStyle>
    <tableStyle name="Firm Table 3" pivot="0" count="2" xr9:uid="{2B6AAF42-6E59-4306-B0DA-5849423BC35A}">
      <tableStyleElement type="headerRow" dxfId="224"/>
      <tableStyleElement type="firstColumn" dxfId="223"/>
    </tableStyle>
    <tableStyle name="Firm Table 4" pivot="0" count="3" xr9:uid="{32B30501-1584-4AD4-A03A-1FBBE68503FC}">
      <tableStyleElement type="wholeTable" dxfId="222"/>
      <tableStyleElement type="headerRow" dxfId="221"/>
      <tableStyleElement type="firstColumn" dxfId="220"/>
    </tableStyle>
    <tableStyle name="Firm Table 5" pivot="0" count="2" xr9:uid="{5186B738-23FD-49C9-A79F-52302289DB42}">
      <tableStyleElement type="headerRow" dxfId="219"/>
      <tableStyleElement type="firstColumn" dxfId="218"/>
    </tableStyle>
    <tableStyle name="Firm Table 6" pivot="0" count="3" xr9:uid="{5115FDC7-826F-425C-92C7-D20F38226ADA}">
      <tableStyleElement type="wholeTable" dxfId="217"/>
      <tableStyleElement type="headerRow" dxfId="216"/>
      <tableStyleElement type="firstColumn" dxfId="215"/>
    </tableStyle>
    <tableStyle name="Firm Table 7" pivot="0" count="3" xr9:uid="{084FD9DC-CC97-454E-8CBD-B2EE3CD956D6}">
      <tableStyleElement type="headerRow" dxfId="214"/>
      <tableStyleElement type="firstColumn" dxfId="213"/>
      <tableStyleElement type="secondRowStripe" dxfId="212"/>
    </tableStyle>
  </tableStyles>
  <colors>
    <mruColors>
      <color rgb="FF033C61"/>
      <color rgb="FF72C6FA"/>
      <color rgb="FFFFF2C9"/>
      <color rgb="FFBBDFD4"/>
      <color rgb="FF59B296"/>
      <color rgb="FF99CFBE"/>
      <color rgb="FFA7A7A7"/>
      <color rgb="FFFFD961"/>
      <color rgb="FF351FA1"/>
      <color rgb="FF24A7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22/10/relationships/richValueRel" Target="richData/richValueRel.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microsoft.com/office/2017/06/relationships/rdRichValueStructure" Target="richData/rdrichvaluestructure.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Ex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Ex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Ex7.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Ex8.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IRACredits!$C$105</c:f>
          <c:strCache>
            <c:ptCount val="1"/>
            <c:pt idx="0">
              <c:v>e-ammonia</c:v>
            </c:pt>
          </c:strCache>
        </c:strRef>
      </c:tx>
      <c:layout>
        <c:manualLayout>
          <c:xMode val="edge"/>
          <c:yMode val="edge"/>
          <c:x val="0.4069790026246718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213648293963254"/>
          <c:y val="6.4814814814814811E-2"/>
          <c:w val="0.85008573928258979"/>
          <c:h val="0.8416746864975212"/>
        </c:manualLayout>
      </c:layout>
      <c:barChart>
        <c:barDir val="col"/>
        <c:grouping val="stacked"/>
        <c:varyColors val="0"/>
        <c:ser>
          <c:idx val="1"/>
          <c:order val="1"/>
          <c:tx>
            <c:strRef>
              <c:f>IRACredits!$C$102</c:f>
              <c:strCache>
                <c:ptCount val="1"/>
                <c:pt idx="0">
                  <c:v>Cost - Credit</c:v>
                </c:pt>
              </c:strCache>
            </c:strRef>
          </c:tx>
          <c:spPr>
            <a:solidFill>
              <a:srgbClr val="4C787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IRACredits!$D$105:$K$105</c:f>
              <c:numCache>
                <c:formatCode>General</c:formatCode>
                <c:ptCount val="8"/>
                <c:pt idx="0">
                  <c:v>29.395232495724091</c:v>
                </c:pt>
                <c:pt idx="1">
                  <c:v>26.622076085956291</c:v>
                </c:pt>
                <c:pt idx="2">
                  <c:v>23.800188223141514</c:v>
                </c:pt>
                <c:pt idx="3">
                  <c:v>20.93023015213031</c:v>
                </c:pt>
                <c:pt idx="4">
                  <c:v>18.012863117774362</c:v>
                </c:pt>
                <c:pt idx="5">
                  <c:v>15.04874836492289</c:v>
                </c:pt>
                <c:pt idx="6">
                  <c:v>14.670829304765125</c:v>
                </c:pt>
                <c:pt idx="7">
                  <c:v>14.218299174329832</c:v>
                </c:pt>
              </c:numCache>
            </c:numRef>
          </c:val>
          <c:extLst>
            <c:ext xmlns:c16="http://schemas.microsoft.com/office/drawing/2014/chart" uri="{C3380CC4-5D6E-409C-BE32-E72D297353CC}">
              <c16:uniqueId val="{00000000-B212-414E-8154-1EB116834F7D}"/>
            </c:ext>
          </c:extLst>
        </c:ser>
        <c:ser>
          <c:idx val="2"/>
          <c:order val="2"/>
          <c:tx>
            <c:strRef>
              <c:f>IRACredits!$C$111</c:f>
              <c:strCache>
                <c:ptCount val="1"/>
                <c:pt idx="0">
                  <c:v>45V Credit</c:v>
                </c:pt>
              </c:strCache>
            </c:strRef>
          </c:tx>
          <c:spPr>
            <a:pattFill prst="wdUpDiag">
              <a:fgClr>
                <a:srgbClr val="B8D2CE"/>
              </a:fgClr>
              <a:bgClr>
                <a:schemeClr val="bg1"/>
              </a:bgClr>
            </a:pattFill>
            <a:ln>
              <a:noFill/>
            </a:ln>
            <a:effectLst/>
          </c:spPr>
          <c:invertIfNegative val="0"/>
          <c:dLbls>
            <c:numFmt formatCode="\-#,##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4C787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IRACredits!$D$114:$K$114</c:f>
              <c:numCache>
                <c:formatCode>General</c:formatCode>
                <c:ptCount val="8"/>
                <c:pt idx="0">
                  <c:v>9.5744680851063819</c:v>
                </c:pt>
                <c:pt idx="1">
                  <c:v>9.5744680851063819</c:v>
                </c:pt>
                <c:pt idx="2">
                  <c:v>9.5744680851063819</c:v>
                </c:pt>
                <c:pt idx="3">
                  <c:v>9.5744680851063819</c:v>
                </c:pt>
                <c:pt idx="4">
                  <c:v>9.5744680851063819</c:v>
                </c:pt>
                <c:pt idx="5">
                  <c:v>9.5744680851063819</c:v>
                </c:pt>
                <c:pt idx="6">
                  <c:v>9.5744680851063819</c:v>
                </c:pt>
                <c:pt idx="7">
                  <c:v>9.5744680851063819</c:v>
                </c:pt>
              </c:numCache>
            </c:numRef>
          </c:val>
          <c:extLst>
            <c:ext xmlns:c16="http://schemas.microsoft.com/office/drawing/2014/chart" uri="{C3380CC4-5D6E-409C-BE32-E72D297353CC}">
              <c16:uniqueId val="{00000001-B212-414E-8154-1EB116834F7D}"/>
            </c:ext>
          </c:extLst>
        </c:ser>
        <c:dLbls>
          <c:showLegendKey val="0"/>
          <c:showVal val="0"/>
          <c:showCatName val="0"/>
          <c:showSerName val="0"/>
          <c:showPercent val="0"/>
          <c:showBubbleSize val="0"/>
        </c:dLbls>
        <c:gapWidth val="75"/>
        <c:overlap val="100"/>
        <c:axId val="385708384"/>
        <c:axId val="562019200"/>
      </c:barChart>
      <c:lineChart>
        <c:grouping val="standard"/>
        <c:varyColors val="0"/>
        <c:ser>
          <c:idx val="0"/>
          <c:order val="0"/>
          <c:tx>
            <c:strRef>
              <c:f>IRACredits!$C$94</c:f>
              <c:strCache>
                <c:ptCount val="1"/>
                <c:pt idx="0">
                  <c:v>LSFO</c:v>
                </c:pt>
              </c:strCache>
            </c:strRef>
          </c:tx>
          <c:spPr>
            <a:ln w="28575" cap="rnd">
              <a:solidFill>
                <a:schemeClr val="tx1"/>
              </a:solidFill>
              <a:round/>
            </a:ln>
            <a:effectLst/>
          </c:spPr>
          <c:marker>
            <c:symbol val="none"/>
          </c:marker>
          <c:cat>
            <c:multiLvlStrRef>
              <c:f>IRACredits!$D$92:$AC$93</c:f>
              <c:multiLvlStrCache>
                <c:ptCount val="26"/>
                <c:lvl>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lvl>
                <c:lvl/>
              </c:multiLvlStrCache>
            </c:multiLvlStrRef>
          </c:cat>
          <c:val>
            <c:numRef>
              <c:f>IRACredits!$D$94:$K$94</c:f>
              <c:numCache>
                <c:formatCode>General</c:formatCode>
                <c:ptCount val="8"/>
                <c:pt idx="0">
                  <c:v>14.877049180327868</c:v>
                </c:pt>
                <c:pt idx="1">
                  <c:v>14.498360655737638</c:v>
                </c:pt>
                <c:pt idx="2">
                  <c:v>14.119672131147574</c:v>
                </c:pt>
                <c:pt idx="3">
                  <c:v>13.740983606557345</c:v>
                </c:pt>
                <c:pt idx="4">
                  <c:v>13.362295081967115</c:v>
                </c:pt>
                <c:pt idx="5">
                  <c:v>12.983606557377048</c:v>
                </c:pt>
                <c:pt idx="6">
                  <c:v>12.983606557377048</c:v>
                </c:pt>
                <c:pt idx="7">
                  <c:v>12.983606557377048</c:v>
                </c:pt>
              </c:numCache>
            </c:numRef>
          </c:val>
          <c:smooth val="0"/>
          <c:extLst>
            <c:ext xmlns:c16="http://schemas.microsoft.com/office/drawing/2014/chart" uri="{C3380CC4-5D6E-409C-BE32-E72D297353CC}">
              <c16:uniqueId val="{00000002-B212-414E-8154-1EB116834F7D}"/>
            </c:ext>
          </c:extLst>
        </c:ser>
        <c:ser>
          <c:idx val="3"/>
          <c:order val="3"/>
          <c:tx>
            <c:strRef>
              <c:f>IRACredits!$C$95</c:f>
              <c:strCache>
                <c:ptCount val="1"/>
                <c:pt idx="0">
                  <c:v>LNG</c:v>
                </c:pt>
              </c:strCache>
            </c:strRef>
          </c:tx>
          <c:spPr>
            <a:ln w="28575" cap="rnd">
              <a:solidFill>
                <a:schemeClr val="bg1">
                  <a:lumMod val="50000"/>
                </a:schemeClr>
              </a:solidFill>
              <a:round/>
            </a:ln>
            <a:effectLst/>
          </c:spPr>
          <c:marker>
            <c:symbol val="none"/>
          </c:marker>
          <c:val>
            <c:numRef>
              <c:f>IRACredits!$D$95:$K$95</c:f>
              <c:numCache>
                <c:formatCode>General</c:formatCode>
                <c:ptCount val="8"/>
                <c:pt idx="0">
                  <c:v>8.9970124451701352</c:v>
                </c:pt>
                <c:pt idx="1">
                  <c:v>8.9230926837866971</c:v>
                </c:pt>
                <c:pt idx="2">
                  <c:v>8.8491729224032589</c:v>
                </c:pt>
                <c:pt idx="3">
                  <c:v>8.7752531610198208</c:v>
                </c:pt>
                <c:pt idx="4">
                  <c:v>8.701333399636388</c:v>
                </c:pt>
                <c:pt idx="5">
                  <c:v>8.6274136382529463</c:v>
                </c:pt>
                <c:pt idx="6">
                  <c:v>8.7219196990047703</c:v>
                </c:pt>
                <c:pt idx="7">
                  <c:v>8.8164257597565872</c:v>
                </c:pt>
              </c:numCache>
            </c:numRef>
          </c:val>
          <c:smooth val="0"/>
          <c:extLst>
            <c:ext xmlns:c16="http://schemas.microsoft.com/office/drawing/2014/chart" uri="{C3380CC4-5D6E-409C-BE32-E72D297353CC}">
              <c16:uniqueId val="{00000003-B212-414E-8154-1EB116834F7D}"/>
            </c:ext>
          </c:extLst>
        </c:ser>
        <c:dLbls>
          <c:showLegendKey val="0"/>
          <c:showVal val="0"/>
          <c:showCatName val="0"/>
          <c:showSerName val="0"/>
          <c:showPercent val="0"/>
          <c:showBubbleSize val="0"/>
        </c:dLbls>
        <c:marker val="1"/>
        <c:smooth val="0"/>
        <c:axId val="385708384"/>
        <c:axId val="562019200"/>
      </c:lineChart>
      <c:catAx>
        <c:axId val="38570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019200"/>
        <c:crosses val="autoZero"/>
        <c:auto val="1"/>
        <c:lblAlgn val="ctr"/>
        <c:lblOffset val="100"/>
        <c:tickLblSkip val="1"/>
        <c:noMultiLvlLbl val="0"/>
      </c:catAx>
      <c:valAx>
        <c:axId val="562019200"/>
        <c:scaling>
          <c:orientation val="minMax"/>
          <c:max val="65"/>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Cost [USD/GJ]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708384"/>
        <c:crosses val="autoZero"/>
        <c:crossBetween val="between"/>
      </c:valAx>
      <c:spPr>
        <a:noFill/>
        <a:ln>
          <a:noFill/>
        </a:ln>
        <a:effectLst/>
      </c:spPr>
    </c:plotArea>
    <c:legend>
      <c:legendPos val="r"/>
      <c:layout>
        <c:manualLayout>
          <c:xMode val="edge"/>
          <c:yMode val="edge"/>
          <c:x val="0.75895405660187432"/>
          <c:y val="2.9142242636337124E-2"/>
          <c:w val="0.22858420822397199"/>
          <c:h val="0.247687372411781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'CCC Summary (main)'!$G$42</c:f>
          <c:strCache>
            <c:ptCount val="1"/>
            <c:pt idx="0">
              <c:v>2030 - Strategy 1: LSFO + bio-diesel (base case)</c:v>
            </c:pt>
          </c:strCache>
        </c:strRef>
      </c:tx>
      <c:layout>
        <c:manualLayout>
          <c:xMode val="edge"/>
          <c:yMode val="edge"/>
          <c:x val="9.7792882217229593E-2"/>
          <c:y val="6.17594904037603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1.2585785727691257E-2"/>
          <c:y val="0.21001316461504427"/>
          <c:w val="0.9691768086000887"/>
          <c:h val="0.59467352065757861"/>
        </c:manualLayout>
      </c:layout>
      <c:barChart>
        <c:barDir val="col"/>
        <c:grouping val="stacked"/>
        <c:varyColors val="0"/>
        <c:ser>
          <c:idx val="1"/>
          <c:order val="0"/>
          <c:tx>
            <c:strRef>
              <c:f>'CCC Summary (main)'!$G$43</c:f>
              <c:strCache>
                <c:ptCount val="1"/>
                <c:pt idx="0">
                  <c:v>LSFO fuel</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(main)'!$H$43</c:f>
              <c:numCache>
                <c:formatCode>0</c:formatCode>
                <c:ptCount val="1"/>
                <c:pt idx="0">
                  <c:v>0</c:v>
                </c:pt>
              </c:numCache>
            </c:numRef>
          </c:val>
          <c:extLst>
            <c:ext xmlns:c16="http://schemas.microsoft.com/office/drawing/2014/chart" uri="{C3380CC4-5D6E-409C-BE32-E72D297353CC}">
              <c16:uniqueId val="{00000000-42ED-4DEE-99B9-4114BA117809}"/>
            </c:ext>
          </c:extLst>
        </c:ser>
        <c:ser>
          <c:idx val="2"/>
          <c:order val="1"/>
          <c:tx>
            <c:strRef>
              <c:f>'CCC Summary (main)'!$G$44</c:f>
              <c:strCache>
                <c:ptCount val="1"/>
                <c:pt idx="0">
                  <c:v>Tier 2 (Bio or RU2)</c:v>
                </c:pt>
              </c:strCache>
            </c:strRef>
          </c:tx>
          <c:spPr>
            <a:solidFill>
              <a:srgbClr val="FAC8C2"/>
            </a:solidFill>
            <a:ln>
              <a:noFill/>
            </a:ln>
            <a:effectLst/>
          </c:spPr>
          <c:invertIfNegative val="0"/>
          <c:dLbls>
            <c:spPr>
              <a:solidFill>
                <a:srgbClr val="FAC8C2"/>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(main)'!$H$44</c:f>
              <c:numCache>
                <c:formatCode>0</c:formatCode>
                <c:ptCount val="1"/>
                <c:pt idx="0">
                  <c:v>149.58427236000011</c:v>
                </c:pt>
              </c:numCache>
            </c:numRef>
          </c:val>
          <c:extLst>
            <c:ext xmlns:c16="http://schemas.microsoft.com/office/drawing/2014/chart" uri="{C3380CC4-5D6E-409C-BE32-E72D297353CC}">
              <c16:uniqueId val="{00000001-42ED-4DEE-99B9-4114BA117809}"/>
            </c:ext>
          </c:extLst>
        </c:ser>
        <c:ser>
          <c:idx val="4"/>
          <c:order val="2"/>
          <c:tx>
            <c:strRef>
              <c:f>'CCC Summary (main)'!$G$45</c:f>
              <c:strCache>
                <c:ptCount val="1"/>
                <c:pt idx="0">
                  <c:v>Tier 1 (Bio or RU1)</c:v>
                </c:pt>
              </c:strCache>
            </c:strRef>
          </c:tx>
          <c:spPr>
            <a:solidFill>
              <a:srgbClr val="F8AEA6"/>
            </a:solidFill>
            <a:ln>
              <a:noFill/>
            </a:ln>
            <a:effectLst/>
          </c:spPr>
          <c:invertIfNegative val="0"/>
          <c:dLbls>
            <c:dLbl>
              <c:idx val="0"/>
              <c:layout>
                <c:manualLayout>
                  <c:x val="0.10691183264906129"/>
                  <c:y val="-2.1679280480044138E-3"/>
                </c:manualLayout>
              </c:layout>
              <c:spPr>
                <a:solidFill>
                  <a:srgbClr val="F8AEA6"/>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ED-4DEE-99B9-4114BA117809}"/>
                </c:ext>
              </c:extLst>
            </c:dLbl>
            <c:spPr>
              <a:solidFill>
                <a:srgbClr val="F8AEA6"/>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(main)'!$H$45</c:f>
              <c:numCache>
                <c:formatCode>0</c:formatCode>
                <c:ptCount val="1"/>
                <c:pt idx="0">
                  <c:v>48.758579999999959</c:v>
                </c:pt>
              </c:numCache>
            </c:numRef>
          </c:val>
          <c:extLst>
            <c:ext xmlns:c16="http://schemas.microsoft.com/office/drawing/2014/chart" uri="{C3380CC4-5D6E-409C-BE32-E72D297353CC}">
              <c16:uniqueId val="{00000003-42ED-4DEE-99B9-4114BA117809}"/>
            </c:ext>
          </c:extLst>
        </c:ser>
        <c:dLbls>
          <c:showLegendKey val="0"/>
          <c:showVal val="0"/>
          <c:showCatName val="0"/>
          <c:showSerName val="0"/>
          <c:showPercent val="0"/>
          <c:showBubbleSize val="0"/>
        </c:dLbls>
        <c:gapWidth val="150"/>
        <c:overlap val="100"/>
        <c:axId val="1015691248"/>
        <c:axId val="1015691728"/>
      </c:barChart>
      <c:lineChart>
        <c:grouping val="standard"/>
        <c:varyColors val="0"/>
        <c:ser>
          <c:idx val="0"/>
          <c:order val="3"/>
          <c:tx>
            <c:strRef>
              <c:f>'CCC Summary (main)'!$G$46</c:f>
              <c:strCache>
                <c:ptCount val="1"/>
                <c:pt idx="0">
                  <c:v>Total S1</c:v>
                </c:pt>
              </c:strCache>
            </c:strRef>
          </c:tx>
          <c:spPr>
            <a:ln w="28575" cap="rnd">
              <a:solidFill>
                <a:schemeClr val="accent1"/>
              </a:solidFill>
              <a:round/>
            </a:ln>
            <a:effectLst/>
          </c:spPr>
          <c:marker>
            <c:symbol val="none"/>
          </c:marker>
          <c:val>
            <c:numRef>
              <c:f>'CCC Summary (main)'!$H$46</c:f>
              <c:numCache>
                <c:formatCode>0</c:formatCode>
                <c:ptCount val="1"/>
                <c:pt idx="0">
                  <c:v>198.34285236000008</c:v>
                </c:pt>
              </c:numCache>
            </c:numRef>
          </c:val>
          <c:smooth val="0"/>
          <c:extLst>
            <c:ext xmlns:c16="http://schemas.microsoft.com/office/drawing/2014/chart" uri="{C3380CC4-5D6E-409C-BE32-E72D297353CC}">
              <c16:uniqueId val="{00000004-42ED-4DEE-99B9-4114BA117809}"/>
            </c:ext>
          </c:extLst>
        </c:ser>
        <c:dLbls>
          <c:showLegendKey val="0"/>
          <c:showVal val="0"/>
          <c:showCatName val="0"/>
          <c:showSerName val="0"/>
          <c:showPercent val="0"/>
          <c:showBubbleSize val="0"/>
        </c:dLbls>
        <c:marker val="1"/>
        <c:smooth val="0"/>
        <c:axId val="1015691248"/>
        <c:axId val="1015691728"/>
      </c:lineChart>
      <c:catAx>
        <c:axId val="1015691248"/>
        <c:scaling>
          <c:orientation val="minMax"/>
        </c:scaling>
        <c:delete val="1"/>
        <c:axPos val="b"/>
        <c:numFmt formatCode="General" sourceLinked="1"/>
        <c:majorTickMark val="none"/>
        <c:minorTickMark val="none"/>
        <c:tickLblPos val="nextTo"/>
        <c:crossAx val="1015691728"/>
        <c:crosses val="autoZero"/>
        <c:auto val="1"/>
        <c:lblAlgn val="ctr"/>
        <c:lblOffset val="100"/>
        <c:noMultiLvlLbl val="0"/>
      </c:catAx>
      <c:valAx>
        <c:axId val="1015691728"/>
        <c:scaling>
          <c:orientation val="minMax"/>
          <c:max val="2700"/>
          <c:min val="-100"/>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USD/tLSFOeq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crossAx val="1015691248"/>
        <c:crosses val="autoZero"/>
        <c:crossBetween val="between"/>
      </c:valAx>
      <c:spPr>
        <a:noFill/>
        <a:ln>
          <a:noFill/>
        </a:ln>
        <a:effectLst/>
      </c:spPr>
    </c:plotArea>
    <c:legend>
      <c:legendPos val="b"/>
      <c:legendEntry>
        <c:idx val="3"/>
        <c:delete val="1"/>
      </c:legendEntry>
      <c:layout>
        <c:manualLayout>
          <c:xMode val="edge"/>
          <c:yMode val="edge"/>
          <c:x val="3.5978629518064839E-2"/>
          <c:y val="0.8329009904997865"/>
          <c:w val="0.93074549586242794"/>
          <c:h val="0.162428332158440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'CCC Summary (main)'!$J$42</c:f>
          <c:strCache>
            <c:ptCount val="1"/>
            <c:pt idx="0">
              <c:v>2030 - Strategy 2: LNG + bio-methane</c:v>
            </c:pt>
          </c:strCache>
        </c:strRef>
      </c:tx>
      <c:layout>
        <c:manualLayout>
          <c:xMode val="edge"/>
          <c:yMode val="edge"/>
          <c:x val="8.8666580505363538E-2"/>
          <c:y val="6.5299477047158133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0"/>
          <c:y val="0.21441288099273259"/>
          <c:w val="0.98804358566667572"/>
          <c:h val="0.59063348353817546"/>
        </c:manualLayout>
      </c:layout>
      <c:barChart>
        <c:barDir val="col"/>
        <c:grouping val="stacked"/>
        <c:varyColors val="0"/>
        <c:ser>
          <c:idx val="3"/>
          <c:order val="0"/>
          <c:tx>
            <c:strRef>
              <c:f>'CCC Summary (main)'!$J$46</c:f>
              <c:strCache>
                <c:ptCount val="1"/>
                <c:pt idx="0">
                  <c:v>GFS Surplus</c:v>
                </c:pt>
              </c:strCache>
            </c:strRef>
          </c:tx>
          <c:spPr>
            <a:pattFill prst="dkDnDiag">
              <a:fgClr>
                <a:schemeClr val="bg1">
                  <a:lumMod val="65000"/>
                </a:schemeClr>
              </a:fgClr>
              <a:bgClr>
                <a:schemeClr val="bg1"/>
              </a:bgClr>
            </a:pattFill>
            <a:ln>
              <a:noFill/>
            </a:ln>
            <a:effectLst/>
          </c:spPr>
          <c:invertIfNegative val="0"/>
          <c:dLbls>
            <c:dLbl>
              <c:idx val="0"/>
              <c:numFmt formatCode="\-\ #,##0" sourceLinked="0"/>
              <c:spPr>
                <a:pattFill prst="dkDnDiag">
                  <a:fgClr>
                    <a:schemeClr val="bg1">
                      <a:lumMod val="85000"/>
                    </a:schemeClr>
                  </a:fgClr>
                  <a:bgClr>
                    <a:schemeClr val="bg1"/>
                  </a:bgClr>
                </a:patt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9C2E-4E4A-AE67-8633A5FF01EA}"/>
                </c:ext>
              </c:extLst>
            </c:dLbl>
            <c:numFmt formatCode="\-\ #,##0" sourceLinked="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(main)'!$K$46</c:f>
              <c:numCache>
                <c:formatCode>0</c:formatCode>
                <c:ptCount val="1"/>
                <c:pt idx="0">
                  <c:v>0</c:v>
                </c:pt>
              </c:numCache>
            </c:numRef>
          </c:val>
          <c:extLst>
            <c:ext xmlns:c16="http://schemas.microsoft.com/office/drawing/2014/chart" uri="{C3380CC4-5D6E-409C-BE32-E72D297353CC}">
              <c16:uniqueId val="{00000001-9C2E-4E4A-AE67-8633A5FF01EA}"/>
            </c:ext>
          </c:extLst>
        </c:ser>
        <c:ser>
          <c:idx val="1"/>
          <c:order val="1"/>
          <c:tx>
            <c:strRef>
              <c:f>'CCC Summary (main)'!$J$43</c:f>
              <c:strCache>
                <c:ptCount val="1"/>
                <c:pt idx="0">
                  <c:v>LNG fuel</c:v>
                </c:pt>
              </c:strCache>
            </c:strRef>
          </c:tx>
          <c:spPr>
            <a:solidFill>
              <a:schemeClr val="tx1">
                <a:lumMod val="50000"/>
                <a:lumOff val="50000"/>
              </a:schemeClr>
            </a:solidFill>
            <a:ln>
              <a:noFill/>
            </a:ln>
            <a:effectLst/>
          </c:spPr>
          <c:invertIfNegative val="0"/>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03-9C2E-4E4A-AE67-8633A5FF01E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(main)'!$K$43</c:f>
              <c:numCache>
                <c:formatCode>0</c:formatCode>
                <c:ptCount val="1"/>
                <c:pt idx="0">
                  <c:v>100000</c:v>
                </c:pt>
              </c:numCache>
            </c:numRef>
          </c:val>
          <c:extLst>
            <c:ext xmlns:c16="http://schemas.microsoft.com/office/drawing/2014/chart" uri="{C3380CC4-5D6E-409C-BE32-E72D297353CC}">
              <c16:uniqueId val="{00000004-9C2E-4E4A-AE67-8633A5FF01EA}"/>
            </c:ext>
          </c:extLst>
        </c:ser>
        <c:ser>
          <c:idx val="2"/>
          <c:order val="2"/>
          <c:tx>
            <c:strRef>
              <c:f>'CCC Summary (main)'!$J$44</c:f>
              <c:strCache>
                <c:ptCount val="1"/>
                <c:pt idx="0">
                  <c:v>Tier 2 (Bio-methane or RU2)</c:v>
                </c:pt>
              </c:strCache>
            </c:strRef>
          </c:tx>
          <c:spPr>
            <a:solidFill>
              <a:srgbClr val="C28080"/>
            </a:solidFill>
            <a:ln>
              <a:noFill/>
            </a:ln>
            <a:effectLst/>
          </c:spPr>
          <c:invertIfNegative val="0"/>
          <c:dLbls>
            <c:spPr>
              <a:solidFill>
                <a:srgbClr val="C2808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(main)'!$K$44</c:f>
              <c:numCache>
                <c:formatCode>0</c:formatCode>
                <c:ptCount val="1"/>
                <c:pt idx="0">
                  <c:v>0</c:v>
                </c:pt>
              </c:numCache>
            </c:numRef>
          </c:val>
          <c:extLst>
            <c:ext xmlns:c16="http://schemas.microsoft.com/office/drawing/2014/chart" uri="{C3380CC4-5D6E-409C-BE32-E72D297353CC}">
              <c16:uniqueId val="{00000005-9C2E-4E4A-AE67-8633A5FF01EA}"/>
            </c:ext>
          </c:extLst>
        </c:ser>
        <c:ser>
          <c:idx val="5"/>
          <c:order val="3"/>
          <c:tx>
            <c:strRef>
              <c:f>'CCC Summary (main)'!$J$45</c:f>
              <c:strCache>
                <c:ptCount val="1"/>
                <c:pt idx="0">
                  <c:v>Tier 2 (Bio-methane or RU1)</c:v>
                </c:pt>
              </c:strCache>
            </c:strRef>
          </c:tx>
          <c:spPr>
            <a:solidFill>
              <a:srgbClr val="B15B5B"/>
            </a:solidFill>
            <a:ln>
              <a:noFill/>
            </a:ln>
            <a:effectLst/>
          </c:spPr>
          <c:invertIfNegative val="0"/>
          <c:dLbls>
            <c:dLbl>
              <c:idx val="0"/>
              <c:layout>
                <c:manualLayout>
                  <c:x val="0.11175304337305003"/>
                  <c:y val="-4.30308927927659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2E-4E4A-AE67-8633A5FF01EA}"/>
                </c:ext>
              </c:extLst>
            </c:dLbl>
            <c:spPr>
              <a:solidFill>
                <a:srgbClr val="B15B5B"/>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(main)'!$K$45</c:f>
              <c:numCache>
                <c:formatCode>0</c:formatCode>
                <c:ptCount val="1"/>
                <c:pt idx="0">
                  <c:v>13.916717399999962</c:v>
                </c:pt>
              </c:numCache>
            </c:numRef>
          </c:val>
          <c:extLst>
            <c:ext xmlns:c16="http://schemas.microsoft.com/office/drawing/2014/chart" uri="{C3380CC4-5D6E-409C-BE32-E72D297353CC}">
              <c16:uniqueId val="{00000007-9C2E-4E4A-AE67-8633A5FF01EA}"/>
            </c:ext>
          </c:extLst>
        </c:ser>
        <c:dLbls>
          <c:showLegendKey val="0"/>
          <c:showVal val="0"/>
          <c:showCatName val="0"/>
          <c:showSerName val="0"/>
          <c:showPercent val="0"/>
          <c:showBubbleSize val="0"/>
        </c:dLbls>
        <c:gapWidth val="150"/>
        <c:overlap val="100"/>
        <c:axId val="1015691248"/>
        <c:axId val="1015691728"/>
      </c:barChart>
      <c:lineChart>
        <c:grouping val="standard"/>
        <c:varyColors val="0"/>
        <c:ser>
          <c:idx val="4"/>
          <c:order val="4"/>
          <c:tx>
            <c:strRef>
              <c:f>'CCC Summary (main)'!$J$47</c:f>
              <c:strCache>
                <c:ptCount val="1"/>
                <c:pt idx="0">
                  <c:v>Total S2</c:v>
                </c:pt>
              </c:strCache>
            </c:strRef>
          </c:tx>
          <c:spPr>
            <a:ln w="28575" cap="rnd">
              <a:solidFill>
                <a:schemeClr val="accent5"/>
              </a:solidFill>
              <a:round/>
            </a:ln>
            <a:effectLst/>
          </c:spPr>
          <c:marker>
            <c:symbol val="none"/>
          </c:marker>
          <c:dLbls>
            <c:delete val="1"/>
          </c:dLbls>
          <c:val>
            <c:numRef>
              <c:f>'CCC Summary (main)'!$K$47</c:f>
              <c:numCache>
                <c:formatCode>0</c:formatCode>
                <c:ptCount val="1"/>
                <c:pt idx="0">
                  <c:v>100013.9167174</c:v>
                </c:pt>
              </c:numCache>
            </c:numRef>
          </c:val>
          <c:smooth val="0"/>
          <c:extLst>
            <c:ext xmlns:c16="http://schemas.microsoft.com/office/drawing/2014/chart" uri="{C3380CC4-5D6E-409C-BE32-E72D297353CC}">
              <c16:uniqueId val="{00000008-9C2E-4E4A-AE67-8633A5FF01EA}"/>
            </c:ext>
          </c:extLst>
        </c:ser>
        <c:dLbls>
          <c:showLegendKey val="0"/>
          <c:showVal val="1"/>
          <c:showCatName val="0"/>
          <c:showSerName val="0"/>
          <c:showPercent val="0"/>
          <c:showBubbleSize val="0"/>
        </c:dLbls>
        <c:marker val="1"/>
        <c:smooth val="0"/>
        <c:axId val="1015691248"/>
        <c:axId val="1015691728"/>
      </c:lineChart>
      <c:catAx>
        <c:axId val="1015691248"/>
        <c:scaling>
          <c:orientation val="minMax"/>
        </c:scaling>
        <c:delete val="1"/>
        <c:axPos val="b"/>
        <c:numFmt formatCode="General" sourceLinked="1"/>
        <c:majorTickMark val="none"/>
        <c:minorTickMark val="none"/>
        <c:tickLblPos val="nextTo"/>
        <c:crossAx val="1015691728"/>
        <c:crosses val="autoZero"/>
        <c:auto val="1"/>
        <c:lblAlgn val="ctr"/>
        <c:lblOffset val="100"/>
        <c:noMultiLvlLbl val="0"/>
      </c:catAx>
      <c:valAx>
        <c:axId val="1015691728"/>
        <c:scaling>
          <c:orientation val="minMax"/>
          <c:max val="2700"/>
          <c:min val="-100"/>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USD/tLSFOeq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crossAx val="1015691248"/>
        <c:crosses val="autoZero"/>
        <c:crossBetween val="between"/>
      </c:valAx>
      <c:spPr>
        <a:noFill/>
        <a:ln>
          <a:noFill/>
        </a:ln>
        <a:effectLst/>
      </c:spPr>
    </c:plotArea>
    <c:legend>
      <c:legendPos val="r"/>
      <c:legendEntry>
        <c:idx val="4"/>
        <c:delete val="1"/>
      </c:legendEntry>
      <c:layout>
        <c:manualLayout>
          <c:xMode val="edge"/>
          <c:yMode val="edge"/>
          <c:x val="4.4888770091789125E-3"/>
          <c:y val="0.81454502580543908"/>
          <c:w val="0.99551112299082112"/>
          <c:h val="0.183035952378412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'CCC Summary (main)'!$M$42</c:f>
          <c:strCache>
            <c:ptCount val="1"/>
            <c:pt idx="0">
              <c:v>2030 - Strategy 3: LSFO + ZNZ</c:v>
            </c:pt>
          </c:strCache>
        </c:strRef>
      </c:tx>
      <c:layout>
        <c:manualLayout>
          <c:xMode val="edge"/>
          <c:yMode val="edge"/>
          <c:x val="0.12297426550432018"/>
          <c:y val="6.096303311784472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6.3793610090441258E-3"/>
          <c:y val="0.21480632052051024"/>
          <c:w val="0.98804358566667572"/>
          <c:h val="0.59109023766367952"/>
        </c:manualLayout>
      </c:layout>
      <c:barChart>
        <c:barDir val="col"/>
        <c:grouping val="stacked"/>
        <c:varyColors val="0"/>
        <c:ser>
          <c:idx val="3"/>
          <c:order val="0"/>
          <c:tx>
            <c:strRef>
              <c:f>'CCC Summary (main)'!$M$46</c:f>
              <c:strCache>
                <c:ptCount val="1"/>
                <c:pt idx="0">
                  <c:v>ZNZ Reward</c:v>
                </c:pt>
              </c:strCache>
            </c:strRef>
          </c:tx>
          <c:spPr>
            <a:solidFill>
              <a:srgbClr val="A3C5BF"/>
            </a:solidFill>
            <a:ln>
              <a:noFill/>
            </a:ln>
            <a:effectLst/>
          </c:spPr>
          <c:invertIfNegative val="0"/>
          <c:dPt>
            <c:idx val="0"/>
            <c:invertIfNegative val="0"/>
            <c:bubble3D val="0"/>
            <c:spPr>
              <a:pattFill prst="dkUpDiag">
                <a:fgClr>
                  <a:srgbClr val="A3C5BF"/>
                </a:fgClr>
                <a:bgClr>
                  <a:schemeClr val="bg1"/>
                </a:bgClr>
              </a:pattFill>
              <a:ln>
                <a:noFill/>
              </a:ln>
              <a:effectLst/>
            </c:spPr>
            <c:extLst>
              <c:ext xmlns:c16="http://schemas.microsoft.com/office/drawing/2014/chart" uri="{C3380CC4-5D6E-409C-BE32-E72D297353CC}">
                <c16:uniqueId val="{00000001-5F96-4BD6-A2DA-2959D09AFCCC}"/>
              </c:ext>
            </c:extLst>
          </c:dPt>
          <c:dLbls>
            <c:dLbl>
              <c:idx val="0"/>
              <c:layout>
                <c:manualLayout>
                  <c:x val="0"/>
                  <c:y val="-1.21100284766842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6-4BD6-A2DA-2959D09AFCCC}"/>
                </c:ext>
              </c:extLst>
            </c:dLbl>
            <c:numFmt formatCode="\-\ #,##0" sourceLinked="0"/>
            <c:spPr>
              <a:solidFill>
                <a:srgbClr val="A3C5B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(main)'!$N$46</c:f>
              <c:numCache>
                <c:formatCode>0</c:formatCode>
                <c:ptCount val="1"/>
                <c:pt idx="0">
                  <c:v>0</c:v>
                </c:pt>
              </c:numCache>
            </c:numRef>
          </c:val>
          <c:extLst>
            <c:ext xmlns:c16="http://schemas.microsoft.com/office/drawing/2014/chart" uri="{C3380CC4-5D6E-409C-BE32-E72D297353CC}">
              <c16:uniqueId val="{00000002-5F96-4BD6-A2DA-2959D09AFCCC}"/>
            </c:ext>
          </c:extLst>
        </c:ser>
        <c:ser>
          <c:idx val="1"/>
          <c:order val="1"/>
          <c:tx>
            <c:strRef>
              <c:f>'CCC Summary (main)'!$M$43</c:f>
              <c:strCache>
                <c:ptCount val="1"/>
                <c:pt idx="0">
                  <c:v>LSFO fuel</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(main)'!$N$43</c:f>
              <c:numCache>
                <c:formatCode>0</c:formatCode>
                <c:ptCount val="1"/>
                <c:pt idx="0">
                  <c:v>0</c:v>
                </c:pt>
              </c:numCache>
            </c:numRef>
          </c:val>
          <c:extLst>
            <c:ext xmlns:c16="http://schemas.microsoft.com/office/drawing/2014/chart" uri="{C3380CC4-5D6E-409C-BE32-E72D297353CC}">
              <c16:uniqueId val="{00000003-5F96-4BD6-A2DA-2959D09AFCCC}"/>
            </c:ext>
          </c:extLst>
        </c:ser>
        <c:ser>
          <c:idx val="2"/>
          <c:order val="2"/>
          <c:tx>
            <c:strRef>
              <c:f>'CCC Summary (main)'!$M$44</c:f>
              <c:strCache>
                <c:ptCount val="1"/>
                <c:pt idx="0">
                  <c:v>Tier 2 (ZNZ or RU2)</c:v>
                </c:pt>
              </c:strCache>
            </c:strRef>
          </c:tx>
          <c:spPr>
            <a:solidFill>
              <a:srgbClr val="5E948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(main)'!$N$44</c:f>
              <c:numCache>
                <c:formatCode>0</c:formatCode>
                <c:ptCount val="1"/>
                <c:pt idx="0">
                  <c:v>0</c:v>
                </c:pt>
              </c:numCache>
            </c:numRef>
          </c:val>
          <c:extLst>
            <c:ext xmlns:c16="http://schemas.microsoft.com/office/drawing/2014/chart" uri="{C3380CC4-5D6E-409C-BE32-E72D297353CC}">
              <c16:uniqueId val="{00000004-5F96-4BD6-A2DA-2959D09AFCCC}"/>
            </c:ext>
          </c:extLst>
        </c:ser>
        <c:ser>
          <c:idx val="5"/>
          <c:order val="3"/>
          <c:tx>
            <c:strRef>
              <c:f>'CCC Summary (main)'!$M$45</c:f>
              <c:strCache>
                <c:ptCount val="1"/>
                <c:pt idx="0">
                  <c:v>Tier 1 (ZNZ or RU1)</c:v>
                </c:pt>
              </c:strCache>
            </c:strRef>
          </c:tx>
          <c:spPr>
            <a:solidFill>
              <a:srgbClr val="3F635C"/>
            </a:solidFill>
            <a:ln>
              <a:noFill/>
            </a:ln>
            <a:effectLst/>
          </c:spPr>
          <c:invertIfNegative val="0"/>
          <c:dLbls>
            <c:dLbl>
              <c:idx val="0"/>
              <c:layout>
                <c:manualLayout>
                  <c:x val="8.917720734904451E-2"/>
                  <c:y val="-4.32897407915989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6-4BD6-A2DA-2959D09AFCCC}"/>
                </c:ext>
              </c:extLst>
            </c:dLbl>
            <c:spPr>
              <a:solidFill>
                <a:srgbClr val="3F635C"/>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(main)'!$N$45</c:f>
              <c:numCache>
                <c:formatCode>0</c:formatCode>
                <c:ptCount val="1"/>
                <c:pt idx="0">
                  <c:v>0</c:v>
                </c:pt>
              </c:numCache>
            </c:numRef>
          </c:val>
          <c:extLst>
            <c:ext xmlns:c16="http://schemas.microsoft.com/office/drawing/2014/chart" uri="{C3380CC4-5D6E-409C-BE32-E72D297353CC}">
              <c16:uniqueId val="{00000006-5F96-4BD6-A2DA-2959D09AFCCC}"/>
            </c:ext>
          </c:extLst>
        </c:ser>
        <c:dLbls>
          <c:showLegendKey val="0"/>
          <c:showVal val="0"/>
          <c:showCatName val="0"/>
          <c:showSerName val="0"/>
          <c:showPercent val="0"/>
          <c:showBubbleSize val="0"/>
        </c:dLbls>
        <c:gapWidth val="150"/>
        <c:overlap val="100"/>
        <c:axId val="1015691248"/>
        <c:axId val="1015691728"/>
      </c:barChart>
      <c:lineChart>
        <c:grouping val="standard"/>
        <c:varyColors val="0"/>
        <c:ser>
          <c:idx val="4"/>
          <c:order val="4"/>
          <c:tx>
            <c:strRef>
              <c:f>'CCC Summary (main)'!$M$47</c:f>
              <c:strCache>
                <c:ptCount val="1"/>
                <c:pt idx="0">
                  <c:v>Total S3</c:v>
                </c:pt>
              </c:strCache>
            </c:strRef>
          </c:tx>
          <c:spPr>
            <a:ln w="28575" cap="rnd">
              <a:solidFill>
                <a:schemeClr val="accent5"/>
              </a:solidFill>
              <a:round/>
            </a:ln>
            <a:effectLst/>
          </c:spPr>
          <c:marker>
            <c:symbol val="none"/>
          </c:marker>
          <c:dLbls>
            <c:delete val="1"/>
          </c:dLbls>
          <c:val>
            <c:numRef>
              <c:f>'CCC Summary (main)'!$N$47</c:f>
              <c:numCache>
                <c:formatCode>0</c:formatCode>
                <c:ptCount val="1"/>
                <c:pt idx="0">
                  <c:v>0</c:v>
                </c:pt>
              </c:numCache>
            </c:numRef>
          </c:val>
          <c:smooth val="0"/>
          <c:extLst>
            <c:ext xmlns:c16="http://schemas.microsoft.com/office/drawing/2014/chart" uri="{C3380CC4-5D6E-409C-BE32-E72D297353CC}">
              <c16:uniqueId val="{00000007-5F96-4BD6-A2DA-2959D09AFCCC}"/>
            </c:ext>
          </c:extLst>
        </c:ser>
        <c:dLbls>
          <c:showLegendKey val="0"/>
          <c:showVal val="1"/>
          <c:showCatName val="0"/>
          <c:showSerName val="0"/>
          <c:showPercent val="0"/>
          <c:showBubbleSize val="0"/>
        </c:dLbls>
        <c:marker val="1"/>
        <c:smooth val="0"/>
        <c:axId val="1015691248"/>
        <c:axId val="1015691728"/>
      </c:lineChart>
      <c:catAx>
        <c:axId val="1015691248"/>
        <c:scaling>
          <c:orientation val="minMax"/>
        </c:scaling>
        <c:delete val="1"/>
        <c:axPos val="b"/>
        <c:numFmt formatCode="General" sourceLinked="1"/>
        <c:majorTickMark val="none"/>
        <c:minorTickMark val="none"/>
        <c:tickLblPos val="nextTo"/>
        <c:crossAx val="1015691728"/>
        <c:crosses val="autoZero"/>
        <c:auto val="1"/>
        <c:lblAlgn val="ctr"/>
        <c:lblOffset val="100"/>
        <c:noMultiLvlLbl val="0"/>
      </c:catAx>
      <c:valAx>
        <c:axId val="1015691728"/>
        <c:scaling>
          <c:orientation val="minMax"/>
          <c:max val="2700"/>
          <c:min val="-100"/>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USD/tLSFOeq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crossAx val="1015691248"/>
        <c:crosses val="autoZero"/>
        <c:crossBetween val="between"/>
      </c:valAx>
      <c:spPr>
        <a:noFill/>
        <a:ln>
          <a:noFill/>
        </a:ln>
        <a:effectLst/>
      </c:spPr>
    </c:plotArea>
    <c:legend>
      <c:legendPos val="r"/>
      <c:legendEntry>
        <c:idx val="4"/>
        <c:delete val="1"/>
      </c:legendEntry>
      <c:layout>
        <c:manualLayout>
          <c:xMode val="edge"/>
          <c:yMode val="edge"/>
          <c:x val="2.5486731346773067E-2"/>
          <c:y val="0.82920374349420989"/>
          <c:w val="0.89807255070552805"/>
          <c:h val="0.170796256505790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'CCC Summary (main)'!$P$42</c:f>
          <c:strCache>
            <c:ptCount val="1"/>
            <c:pt idx="0">
              <c:v>2030 - Strategy 4: 100% ZNZ</c:v>
            </c:pt>
          </c:strCache>
        </c:strRef>
      </c:tx>
      <c:layout>
        <c:manualLayout>
          <c:xMode val="edge"/>
          <c:yMode val="edge"/>
          <c:x val="0.11017319795182362"/>
          <c:y val="6.143213172769520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1.2802736976220594E-2"/>
          <c:y val="0.21674797551822098"/>
          <c:w val="0.96147227930445311"/>
          <c:h val="0.59055167139169773"/>
        </c:manualLayout>
      </c:layout>
      <c:barChart>
        <c:barDir val="col"/>
        <c:grouping val="stacked"/>
        <c:varyColors val="0"/>
        <c:ser>
          <c:idx val="2"/>
          <c:order val="0"/>
          <c:tx>
            <c:strRef>
              <c:f>'CCC Summary (main)'!$P$44</c:f>
              <c:strCache>
                <c:ptCount val="1"/>
                <c:pt idx="0">
                  <c:v>ZNZ fuel (after rewards and surplus)</c:v>
                </c:pt>
              </c:strCache>
            </c:strRef>
          </c:tx>
          <c:spPr>
            <a:solidFill>
              <a:srgbClr val="5E948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(main)'!$Q$44</c:f>
              <c:numCache>
                <c:formatCode>0</c:formatCode>
                <c:ptCount val="1"/>
                <c:pt idx="0">
                  <c:v>-1083.1753320000003</c:v>
                </c:pt>
              </c:numCache>
            </c:numRef>
          </c:val>
          <c:extLst>
            <c:ext xmlns:c16="http://schemas.microsoft.com/office/drawing/2014/chart" uri="{C3380CC4-5D6E-409C-BE32-E72D297353CC}">
              <c16:uniqueId val="{00000000-96FC-4F74-AA30-C3BEF39EFBF6}"/>
            </c:ext>
          </c:extLst>
        </c:ser>
        <c:ser>
          <c:idx val="3"/>
          <c:order val="1"/>
          <c:tx>
            <c:strRef>
              <c:f>'CCC Summary (main)'!$P$45</c:f>
              <c:strCache>
                <c:ptCount val="1"/>
                <c:pt idx="0">
                  <c:v>Tier 2 RU2</c:v>
                </c:pt>
              </c:strCache>
            </c:strRef>
          </c:tx>
          <c:spPr>
            <a:solidFill>
              <a:srgbClr val="B15B5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(main)'!$Q$45</c:f>
              <c:numCache>
                <c:formatCode>0</c:formatCode>
                <c:ptCount val="1"/>
                <c:pt idx="0">
                  <c:v>0</c:v>
                </c:pt>
              </c:numCache>
            </c:numRef>
          </c:val>
          <c:extLst>
            <c:ext xmlns:c16="http://schemas.microsoft.com/office/drawing/2014/chart" uri="{C3380CC4-5D6E-409C-BE32-E72D297353CC}">
              <c16:uniqueId val="{00000001-96FC-4F74-AA30-C3BEF39EFBF6}"/>
            </c:ext>
          </c:extLst>
        </c:ser>
        <c:ser>
          <c:idx val="6"/>
          <c:order val="3"/>
          <c:tx>
            <c:strRef>
              <c:f>'CCC Summary (main)'!$P$46</c:f>
              <c:strCache>
                <c:ptCount val="1"/>
                <c:pt idx="0">
                  <c:v>Tier 1 RU1</c:v>
                </c:pt>
              </c:strCache>
            </c:strRef>
          </c:tx>
          <c:spPr>
            <a:solidFill>
              <a:srgbClr val="4C7870"/>
            </a:solidFill>
            <a:ln>
              <a:noFill/>
            </a:ln>
            <a:effectLst/>
          </c:spPr>
          <c:invertIfNegative val="0"/>
          <c:val>
            <c:numRef>
              <c:f>'CCC Summary (main)'!$Q$46</c:f>
              <c:numCache>
                <c:formatCode>0</c:formatCode>
                <c:ptCount val="1"/>
                <c:pt idx="0">
                  <c:v>0</c:v>
                </c:pt>
              </c:numCache>
            </c:numRef>
          </c:val>
          <c:extLst>
            <c:ext xmlns:c16="http://schemas.microsoft.com/office/drawing/2014/chart" uri="{C3380CC4-5D6E-409C-BE32-E72D297353CC}">
              <c16:uniqueId val="{00000002-96FC-4F74-AA30-C3BEF39EFBF6}"/>
            </c:ext>
          </c:extLst>
        </c:ser>
        <c:ser>
          <c:idx val="1"/>
          <c:order val="4"/>
          <c:tx>
            <c:strRef>
              <c:f>'CCC Summary (main)'!$P$47</c:f>
              <c:strCache>
                <c:ptCount val="1"/>
                <c:pt idx="0">
                  <c:v>GFS Surplus</c:v>
                </c:pt>
              </c:strCache>
            </c:strRef>
          </c:tx>
          <c:spPr>
            <a:pattFill prst="wdDnDiag">
              <a:fgClr>
                <a:srgbClr val="5E948A"/>
              </a:fgClr>
              <a:bgClr>
                <a:schemeClr val="bg1"/>
              </a:bgClr>
            </a:pattFill>
            <a:ln>
              <a:noFill/>
            </a:ln>
            <a:effectLst/>
          </c:spPr>
          <c:invertIfNegative val="0"/>
          <c:dLbls>
            <c:numFmt formatCode="\-\ #,##0" sourceLinked="0"/>
            <c:spPr>
              <a:pattFill prst="wdDnDiag">
                <a:fgClr>
                  <a:srgbClr val="C2D8D4"/>
                </a:fgClr>
                <a:bgClr>
                  <a:schemeClr val="bg1"/>
                </a:bgClr>
              </a:patt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(main)'!$Q$47</c:f>
              <c:numCache>
                <c:formatCode>0</c:formatCode>
                <c:ptCount val="1"/>
                <c:pt idx="0">
                  <c:v>1083.1753320000003</c:v>
                </c:pt>
              </c:numCache>
            </c:numRef>
          </c:val>
          <c:extLst>
            <c:ext xmlns:c16="http://schemas.microsoft.com/office/drawing/2014/chart" uri="{C3380CC4-5D6E-409C-BE32-E72D297353CC}">
              <c16:uniqueId val="{00000003-96FC-4F74-AA30-C3BEF39EFBF6}"/>
            </c:ext>
          </c:extLst>
        </c:ser>
        <c:ser>
          <c:idx val="0"/>
          <c:order val="5"/>
          <c:tx>
            <c:strRef>
              <c:f>'CCC Summary (main)'!$P$48</c:f>
              <c:strCache>
                <c:ptCount val="1"/>
                <c:pt idx="0">
                  <c:v>ZNZ Reward</c:v>
                </c:pt>
              </c:strCache>
            </c:strRef>
          </c:tx>
          <c:spPr>
            <a:solidFill>
              <a:srgbClr val="A3C5BF"/>
            </a:solidFill>
            <a:ln>
              <a:noFill/>
            </a:ln>
            <a:effectLst/>
          </c:spPr>
          <c:invertIfNegative val="0"/>
          <c:dPt>
            <c:idx val="0"/>
            <c:invertIfNegative val="0"/>
            <c:bubble3D val="0"/>
            <c:spPr>
              <a:pattFill prst="dkUpDiag">
                <a:fgClr>
                  <a:srgbClr val="A3C5BF"/>
                </a:fgClr>
                <a:bgClr>
                  <a:schemeClr val="bg1"/>
                </a:bgClr>
              </a:pattFill>
              <a:ln>
                <a:noFill/>
              </a:ln>
              <a:effectLst/>
            </c:spPr>
            <c:extLst>
              <c:ext xmlns:c16="http://schemas.microsoft.com/office/drawing/2014/chart" uri="{C3380CC4-5D6E-409C-BE32-E72D297353CC}">
                <c16:uniqueId val="{00000005-96FC-4F74-AA30-C3BEF39EFBF6}"/>
              </c:ext>
            </c:extLst>
          </c:dPt>
          <c:dLbls>
            <c:dLbl>
              <c:idx val="0"/>
              <c:dLblPos val="inBase"/>
              <c:showLegendKey val="0"/>
              <c:showVal val="1"/>
              <c:showCatName val="0"/>
              <c:showSerName val="0"/>
              <c:showPercent val="0"/>
              <c:showBubbleSize val="0"/>
              <c:extLst>
                <c:ext xmlns:c15="http://schemas.microsoft.com/office/drawing/2012/chart" uri="{CE6537A1-D6FC-4f65-9D91-7224C49458BB}">
                  <c15:layout>
                    <c:manualLayout>
                      <c:w val="0.2222638593349788"/>
                      <c:h val="5.8865917933092898E-2"/>
                    </c:manualLayout>
                  </c15:layout>
                </c:ext>
                <c:ext xmlns:c16="http://schemas.microsoft.com/office/drawing/2014/chart" uri="{C3380CC4-5D6E-409C-BE32-E72D297353CC}">
                  <c16:uniqueId val="{00000005-96FC-4F74-AA30-C3BEF39EFBF6}"/>
                </c:ext>
              </c:extLst>
            </c:dLbl>
            <c:numFmt formatCode="\-\ #,##0" sourceLinked="0"/>
            <c:spPr>
              <a:solidFill>
                <a:srgbClr val="A3C5BF"/>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'CCC Summary (main)'!$Q$48</c:f>
              <c:numCache>
                <c:formatCode>0</c:formatCode>
                <c:ptCount val="1"/>
                <c:pt idx="0">
                  <c:v>0</c:v>
                </c:pt>
              </c:numCache>
            </c:numRef>
          </c:val>
          <c:extLst>
            <c:ext xmlns:c16="http://schemas.microsoft.com/office/drawing/2014/chart" uri="{C3380CC4-5D6E-409C-BE32-E72D297353CC}">
              <c16:uniqueId val="{00000006-96FC-4F74-AA30-C3BEF39EFBF6}"/>
            </c:ext>
          </c:extLst>
        </c:ser>
        <c:dLbls>
          <c:showLegendKey val="0"/>
          <c:showVal val="0"/>
          <c:showCatName val="0"/>
          <c:showSerName val="0"/>
          <c:showPercent val="0"/>
          <c:showBubbleSize val="0"/>
        </c:dLbls>
        <c:gapWidth val="150"/>
        <c:overlap val="100"/>
        <c:axId val="1015691248"/>
        <c:axId val="1015691728"/>
      </c:barChart>
      <c:lineChart>
        <c:grouping val="standard"/>
        <c:varyColors val="0"/>
        <c:ser>
          <c:idx val="5"/>
          <c:order val="2"/>
          <c:tx>
            <c:strRef>
              <c:f>'CCC Summary (main)'!$P$49</c:f>
              <c:strCache>
                <c:ptCount val="1"/>
                <c:pt idx="0">
                  <c:v>Total S4</c:v>
                </c:pt>
              </c:strCache>
            </c:strRef>
          </c:tx>
          <c:spPr>
            <a:ln w="28575" cap="rnd">
              <a:solidFill>
                <a:schemeClr val="accent6"/>
              </a:solidFill>
              <a:round/>
            </a:ln>
            <a:effectLst/>
          </c:spPr>
          <c:marker>
            <c:symbol val="none"/>
          </c:marker>
          <c:dPt>
            <c:idx val="0"/>
            <c:marker>
              <c:symbol val="none"/>
            </c:marker>
            <c:bubble3D val="0"/>
            <c:spPr>
              <a:ln w="28575" cap="rnd">
                <a:solidFill>
                  <a:schemeClr val="accent6"/>
                </a:solidFill>
                <a:round/>
              </a:ln>
              <a:effectLst/>
            </c:spPr>
            <c:extLst>
              <c:ext xmlns:c16="http://schemas.microsoft.com/office/drawing/2014/chart" uri="{C3380CC4-5D6E-409C-BE32-E72D297353CC}">
                <c16:uniqueId val="{00000008-96FC-4F74-AA30-C3BEF39EFBF6}"/>
              </c:ext>
            </c:extLst>
          </c:dPt>
          <c:val>
            <c:numRef>
              <c:f>'CCC Summary (main)'!$Q$49</c:f>
              <c:numCache>
                <c:formatCode>0</c:formatCode>
                <c:ptCount val="1"/>
                <c:pt idx="0">
                  <c:v>-1083.1753320000003</c:v>
                </c:pt>
              </c:numCache>
            </c:numRef>
          </c:val>
          <c:smooth val="0"/>
          <c:extLst>
            <c:ext xmlns:c16="http://schemas.microsoft.com/office/drawing/2014/chart" uri="{C3380CC4-5D6E-409C-BE32-E72D297353CC}">
              <c16:uniqueId val="{00000009-96FC-4F74-AA30-C3BEF39EFBF6}"/>
            </c:ext>
          </c:extLst>
        </c:ser>
        <c:dLbls>
          <c:showLegendKey val="0"/>
          <c:showVal val="0"/>
          <c:showCatName val="0"/>
          <c:showSerName val="0"/>
          <c:showPercent val="0"/>
          <c:showBubbleSize val="0"/>
        </c:dLbls>
        <c:marker val="1"/>
        <c:smooth val="0"/>
        <c:axId val="1015691248"/>
        <c:axId val="1015691728"/>
      </c:lineChart>
      <c:catAx>
        <c:axId val="1015691248"/>
        <c:scaling>
          <c:orientation val="minMax"/>
        </c:scaling>
        <c:delete val="1"/>
        <c:axPos val="b"/>
        <c:numFmt formatCode="General" sourceLinked="1"/>
        <c:majorTickMark val="none"/>
        <c:minorTickMark val="none"/>
        <c:tickLblPos val="nextTo"/>
        <c:crossAx val="1015691728"/>
        <c:crosses val="autoZero"/>
        <c:auto val="1"/>
        <c:lblAlgn val="ctr"/>
        <c:lblOffset val="100"/>
        <c:noMultiLvlLbl val="0"/>
      </c:catAx>
      <c:valAx>
        <c:axId val="1015691728"/>
        <c:scaling>
          <c:orientation val="minMax"/>
          <c:max val="2700"/>
          <c:min val="-100"/>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USD/tLSFOeq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crossAx val="1015691248"/>
        <c:crosses val="autoZero"/>
        <c:crossBetween val="between"/>
      </c:valAx>
      <c:spPr>
        <a:noFill/>
        <a:ln>
          <a:noFill/>
        </a:ln>
        <a:effectLst/>
      </c:spPr>
    </c:plotArea>
    <c:legend>
      <c:legendPos val="r"/>
      <c:legendEntry>
        <c:idx val="5"/>
        <c:delete val="1"/>
      </c:legendEntry>
      <c:layout>
        <c:manualLayout>
          <c:xMode val="edge"/>
          <c:yMode val="edge"/>
          <c:x val="2.5486731346773067E-2"/>
          <c:y val="0.7895801407464792"/>
          <c:w val="0.97451339310792273"/>
          <c:h val="0.210419859253520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dirty="0">
                <a:solidFill>
                  <a:sysClr val="windowText" lastClr="000000">
                    <a:lumMod val="65000"/>
                    <a:lumOff val="35000"/>
                  </a:sysClr>
                </a:solidFill>
              </a:rPr>
              <a:t>GHG Fuel Intensity (GFI) Reduction Factors (Z-Factors)</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4543647085745564E-2"/>
          <c:y val="8.1105104080246196E-2"/>
          <c:w val="0.93042646473898938"/>
          <c:h val="0.74775500397839345"/>
        </c:manualLayout>
      </c:layout>
      <c:barChart>
        <c:barDir val="col"/>
        <c:grouping val="stacked"/>
        <c:varyColors val="0"/>
        <c:ser>
          <c:idx val="0"/>
          <c:order val="0"/>
          <c:tx>
            <c:strRef>
              <c:f>'IMO GFI'!$G$4</c:f>
              <c:strCache>
                <c:ptCount val="1"/>
                <c:pt idx="0">
                  <c:v>Over-compliant</c:v>
                </c:pt>
              </c:strCache>
            </c:strRef>
          </c:tx>
          <c:spPr>
            <a:solidFill>
              <a:srgbClr val="DCF0D6"/>
            </a:solidFill>
            <a:ln>
              <a:noFill/>
            </a:ln>
            <a:effectLst/>
          </c:spPr>
          <c:invertIfNegative val="0"/>
          <c:cat>
            <c:strRef>
              <c:f>'IMO GFI'!$B$6:$B$29</c:f>
              <c:strCache>
                <c:ptCount val="24"/>
                <c:pt idx="0">
                  <c:v>Pre-NZF</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pt idx="20">
                  <c:v>2047</c:v>
                </c:pt>
                <c:pt idx="21">
                  <c:v>2048</c:v>
                </c:pt>
                <c:pt idx="22">
                  <c:v>2049</c:v>
                </c:pt>
                <c:pt idx="23">
                  <c:v>2050</c:v>
                </c:pt>
              </c:strCache>
            </c:strRef>
          </c:cat>
          <c:val>
            <c:numRef>
              <c:f>'IMO GFI'!$G$6:$G$29</c:f>
              <c:numCache>
                <c:formatCode>0.00</c:formatCode>
                <c:ptCount val="24"/>
                <c:pt idx="0">
                  <c:v>93.3</c:v>
                </c:pt>
                <c:pt idx="1">
                  <c:v>77.438999999999993</c:v>
                </c:pt>
                <c:pt idx="2">
                  <c:v>75.572999999999993</c:v>
                </c:pt>
                <c:pt idx="3">
                  <c:v>73.707000000000008</c:v>
                </c:pt>
                <c:pt idx="4">
                  <c:v>69.601799999999997</c:v>
                </c:pt>
                <c:pt idx="5">
                  <c:v>65.496600000000001</c:v>
                </c:pt>
                <c:pt idx="6">
                  <c:v>61.391400000000004</c:v>
                </c:pt>
                <c:pt idx="7">
                  <c:v>57.286199999999994</c:v>
                </c:pt>
                <c:pt idx="8">
                  <c:v>53.180999999998939</c:v>
                </c:pt>
                <c:pt idx="9">
                  <c:v>46.649999999999572</c:v>
                </c:pt>
                <c:pt idx="10">
                  <c:v>40.119000000000213</c:v>
                </c:pt>
                <c:pt idx="11">
                  <c:v>33.587999999998196</c:v>
                </c:pt>
                <c:pt idx="12">
                  <c:v>27.056999999998833</c:v>
                </c:pt>
                <c:pt idx="13">
                  <c:v>20.525999999999467</c:v>
                </c:pt>
                <c:pt idx="14">
                  <c:v>17.727000000000025</c:v>
                </c:pt>
                <c:pt idx="15">
                  <c:v>14.927999999999919</c:v>
                </c:pt>
                <c:pt idx="16">
                  <c:v>12.128999999999813</c:v>
                </c:pt>
                <c:pt idx="17">
                  <c:v>9.329999999999707</c:v>
                </c:pt>
                <c:pt idx="18">
                  <c:v>6.5310000000002644</c:v>
                </c:pt>
                <c:pt idx="19">
                  <c:v>3.7320000000001587</c:v>
                </c:pt>
                <c:pt idx="20">
                  <c:v>0.93300000000005257</c:v>
                </c:pt>
                <c:pt idx="21">
                  <c:v>0</c:v>
                </c:pt>
                <c:pt idx="22">
                  <c:v>0</c:v>
                </c:pt>
                <c:pt idx="23">
                  <c:v>0</c:v>
                </c:pt>
              </c:numCache>
            </c:numRef>
          </c:val>
          <c:extLst>
            <c:ext xmlns:c16="http://schemas.microsoft.com/office/drawing/2014/chart" uri="{C3380CC4-5D6E-409C-BE32-E72D297353CC}">
              <c16:uniqueId val="{00000000-AF78-4BAC-B92B-4B165A9DD7A4}"/>
            </c:ext>
          </c:extLst>
        </c:ser>
        <c:ser>
          <c:idx val="1"/>
          <c:order val="1"/>
          <c:tx>
            <c:strRef>
              <c:f>'IMO GFI'!$H$4</c:f>
              <c:strCache>
                <c:ptCount val="1"/>
                <c:pt idx="0">
                  <c:v>Tier 1 Range</c:v>
                </c:pt>
              </c:strCache>
            </c:strRef>
          </c:tx>
          <c:spPr>
            <a:solidFill>
              <a:srgbClr val="FCEEC8"/>
            </a:solidFill>
            <a:ln>
              <a:noFill/>
            </a:ln>
            <a:effectLst/>
          </c:spPr>
          <c:invertIfNegative val="0"/>
          <c:dLbls>
            <c:dLbl>
              <c:idx val="0"/>
              <c:layout>
                <c:manualLayout>
                  <c:x val="0"/>
                  <c:y val="7.5206717581354943E-2"/>
                </c:manualLayout>
              </c:layout>
              <c:tx>
                <c:rich>
                  <a:bodyPr/>
                  <a:lstStyle/>
                  <a:p>
                    <a:fld id="{331B9465-3442-4921-BC74-BA4224A6C38A}" type="CELLRANGE">
                      <a:rPr lang="en-US"/>
                      <a:pPr/>
                      <a:t>[]</a:t>
                    </a:fld>
                    <a:endParaRP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F78-4BAC-B92B-4B165A9DD7A4}"/>
                </c:ext>
              </c:extLst>
            </c:dLbl>
            <c:dLbl>
              <c:idx val="1"/>
              <c:tx>
                <c:rich>
                  <a:bodyPr/>
                  <a:lstStyle/>
                  <a:p>
                    <a:fld id="{57EF5A79-FFE0-4AEF-A5D5-E60BD56730A6}"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F78-4BAC-B92B-4B165A9DD7A4}"/>
                </c:ext>
              </c:extLst>
            </c:dLbl>
            <c:dLbl>
              <c:idx val="2"/>
              <c:tx>
                <c:rich>
                  <a:bodyPr/>
                  <a:lstStyle/>
                  <a:p>
                    <a:fld id="{7B51CE65-97BD-4465-A1E1-876C83FBCB29}"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F78-4BAC-B92B-4B165A9DD7A4}"/>
                </c:ext>
              </c:extLst>
            </c:dLbl>
            <c:dLbl>
              <c:idx val="3"/>
              <c:tx>
                <c:rich>
                  <a:bodyPr/>
                  <a:lstStyle/>
                  <a:p>
                    <a:fld id="{04F6AC67-CA89-4C4A-8A65-326FDAFFBE1B}"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F78-4BAC-B92B-4B165A9DD7A4}"/>
                </c:ext>
              </c:extLst>
            </c:dLbl>
            <c:dLbl>
              <c:idx val="4"/>
              <c:tx>
                <c:rich>
                  <a:bodyPr/>
                  <a:lstStyle/>
                  <a:p>
                    <a:fld id="{D14DCA0A-F594-4EE6-95E9-9866350614CF}"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F78-4BAC-B92B-4B165A9DD7A4}"/>
                </c:ext>
              </c:extLst>
            </c:dLbl>
            <c:dLbl>
              <c:idx val="5"/>
              <c:tx>
                <c:rich>
                  <a:bodyPr/>
                  <a:lstStyle/>
                  <a:p>
                    <a:fld id="{61D369BE-7CC4-4F90-B7A2-9EF2EBCF0333}"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F78-4BAC-B92B-4B165A9DD7A4}"/>
                </c:ext>
              </c:extLst>
            </c:dLbl>
            <c:dLbl>
              <c:idx val="6"/>
              <c:tx>
                <c:rich>
                  <a:bodyPr/>
                  <a:lstStyle/>
                  <a:p>
                    <a:fld id="{EDA68EA9-A05A-42E5-B735-73EB173EE090}"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F78-4BAC-B92B-4B165A9DD7A4}"/>
                </c:ext>
              </c:extLst>
            </c:dLbl>
            <c:dLbl>
              <c:idx val="7"/>
              <c:tx>
                <c:rich>
                  <a:bodyPr/>
                  <a:lstStyle/>
                  <a:p>
                    <a:fld id="{A979588D-4180-42E0-B1D2-E4E39064EAB2}"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F78-4BAC-B92B-4B165A9DD7A4}"/>
                </c:ext>
              </c:extLst>
            </c:dLbl>
            <c:dLbl>
              <c:idx val="8"/>
              <c:tx>
                <c:rich>
                  <a:bodyPr/>
                  <a:lstStyle/>
                  <a:p>
                    <a:fld id="{EE734B73-3603-4B46-AF78-23E913B54348}"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F78-4BAC-B92B-4B165A9DD7A4}"/>
                </c:ext>
              </c:extLst>
            </c:dLbl>
            <c:dLbl>
              <c:idx val="9"/>
              <c:tx>
                <c:rich>
                  <a:bodyPr/>
                  <a:lstStyle/>
                  <a:p>
                    <a:fld id="{CF25E544-E114-40F7-B7F5-2690B9F9A672}"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F78-4BAC-B92B-4B165A9DD7A4}"/>
                </c:ext>
              </c:extLst>
            </c:dLbl>
            <c:dLbl>
              <c:idx val="10"/>
              <c:tx>
                <c:rich>
                  <a:bodyPr/>
                  <a:lstStyle/>
                  <a:p>
                    <a:fld id="{6D04D5EC-511C-4248-BF5C-283BC015A183}"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F78-4BAC-B92B-4B165A9DD7A4}"/>
                </c:ext>
              </c:extLst>
            </c:dLbl>
            <c:dLbl>
              <c:idx val="11"/>
              <c:tx>
                <c:rich>
                  <a:bodyPr/>
                  <a:lstStyle/>
                  <a:p>
                    <a:fld id="{33C7DE18-D8B6-4ADD-9CBB-B7246D099C50}"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F78-4BAC-B92B-4B165A9DD7A4}"/>
                </c:ext>
              </c:extLst>
            </c:dLbl>
            <c:dLbl>
              <c:idx val="12"/>
              <c:tx>
                <c:rich>
                  <a:bodyPr/>
                  <a:lstStyle/>
                  <a:p>
                    <a:fld id="{DA893394-0A86-41D8-821C-D16F13241044}"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F78-4BAC-B92B-4B165A9DD7A4}"/>
                </c:ext>
              </c:extLst>
            </c:dLbl>
            <c:dLbl>
              <c:idx val="13"/>
              <c:tx>
                <c:rich>
                  <a:bodyPr/>
                  <a:lstStyle/>
                  <a:p>
                    <a:fld id="{7E7D70A0-9AD7-443D-A742-67746616BCD2}"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F78-4BAC-B92B-4B165A9DD7A4}"/>
                </c:ext>
              </c:extLst>
            </c:dLbl>
            <c:dLbl>
              <c:idx val="14"/>
              <c:tx>
                <c:rich>
                  <a:bodyPr/>
                  <a:lstStyle/>
                  <a:p>
                    <a:fld id="{CD670CB6-866D-4EE1-97E4-B81B03061CF3}"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F78-4BAC-B92B-4B165A9DD7A4}"/>
                </c:ext>
              </c:extLst>
            </c:dLbl>
            <c:dLbl>
              <c:idx val="15"/>
              <c:tx>
                <c:rich>
                  <a:bodyPr/>
                  <a:lstStyle/>
                  <a:p>
                    <a:fld id="{DE9F1A19-2194-4FA8-A628-F273255B9F1D}"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AF78-4BAC-B92B-4B165A9DD7A4}"/>
                </c:ext>
              </c:extLst>
            </c:dLbl>
            <c:dLbl>
              <c:idx val="16"/>
              <c:tx>
                <c:rich>
                  <a:bodyPr/>
                  <a:lstStyle/>
                  <a:p>
                    <a:fld id="{686501BD-FBCA-4096-831C-A6C1681EDD7E}"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F78-4BAC-B92B-4B165A9DD7A4}"/>
                </c:ext>
              </c:extLst>
            </c:dLbl>
            <c:dLbl>
              <c:idx val="17"/>
              <c:tx>
                <c:rich>
                  <a:bodyPr/>
                  <a:lstStyle/>
                  <a:p>
                    <a:fld id="{83B15B53-187C-428A-90ED-F0F20540736E}"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F78-4BAC-B92B-4B165A9DD7A4}"/>
                </c:ext>
              </c:extLst>
            </c:dLbl>
            <c:dLbl>
              <c:idx val="18"/>
              <c:tx>
                <c:rich>
                  <a:bodyPr/>
                  <a:lstStyle/>
                  <a:p>
                    <a:fld id="{745D6EA9-5144-434B-8458-7B4FE91891B6}"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F78-4BAC-B92B-4B165A9DD7A4}"/>
                </c:ext>
              </c:extLst>
            </c:dLbl>
            <c:dLbl>
              <c:idx val="19"/>
              <c:tx>
                <c:rich>
                  <a:bodyPr/>
                  <a:lstStyle/>
                  <a:p>
                    <a:fld id="{E530319B-3B52-4C9C-A45A-4E9C0ACFB1B0}"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F78-4BAC-B92B-4B165A9DD7A4}"/>
                </c:ext>
              </c:extLst>
            </c:dLbl>
            <c:dLbl>
              <c:idx val="20"/>
              <c:tx>
                <c:rich>
                  <a:bodyPr/>
                  <a:lstStyle/>
                  <a:p>
                    <a:fld id="{2650D849-CF9A-44F2-AB80-4E05C40627A9}"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F78-4BAC-B92B-4B165A9DD7A4}"/>
                </c:ext>
              </c:extLst>
            </c:dLbl>
            <c:dLbl>
              <c:idx val="21"/>
              <c:tx>
                <c:rich>
                  <a:bodyPr/>
                  <a:lstStyle/>
                  <a:p>
                    <a:fld id="{F47E2E2E-0A06-4452-84EF-F40BB389E70C}"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AF78-4BAC-B92B-4B165A9DD7A4}"/>
                </c:ext>
              </c:extLst>
            </c:dLbl>
            <c:dLbl>
              <c:idx val="22"/>
              <c:tx>
                <c:rich>
                  <a:bodyPr/>
                  <a:lstStyle/>
                  <a:p>
                    <a:fld id="{C187FE0A-57DA-4A45-AEB0-8E000EC250E0}"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AF78-4BAC-B92B-4B165A9DD7A4}"/>
                </c:ext>
              </c:extLst>
            </c:dLbl>
            <c:dLbl>
              <c:idx val="23"/>
              <c:tx>
                <c:rich>
                  <a:bodyPr/>
                  <a:lstStyle/>
                  <a:p>
                    <a:fld id="{B8806F72-4933-4662-8839-15EC7A4B5EC4}"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AF78-4BAC-B92B-4B165A9DD7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'IMO GFI'!$B$6:$B$29</c:f>
              <c:strCache>
                <c:ptCount val="24"/>
                <c:pt idx="0">
                  <c:v>Pre-NZF</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pt idx="20">
                  <c:v>2047</c:v>
                </c:pt>
                <c:pt idx="21">
                  <c:v>2048</c:v>
                </c:pt>
                <c:pt idx="22">
                  <c:v>2049</c:v>
                </c:pt>
                <c:pt idx="23">
                  <c:v>2050</c:v>
                </c:pt>
              </c:strCache>
            </c:strRef>
          </c:cat>
          <c:val>
            <c:numRef>
              <c:f>'IMO GFI'!$H$6:$H$29</c:f>
              <c:numCache>
                <c:formatCode>0.00</c:formatCode>
                <c:ptCount val="24"/>
                <c:pt idx="0">
                  <c:v>0</c:v>
                </c:pt>
                <c:pt idx="1">
                  <c:v>12.129000000000005</c:v>
                </c:pt>
                <c:pt idx="2">
                  <c:v>12.129000000000005</c:v>
                </c:pt>
                <c:pt idx="3">
                  <c:v>12.128999999999991</c:v>
                </c:pt>
                <c:pt idx="4">
                  <c:v>12.129000000000005</c:v>
                </c:pt>
                <c:pt idx="5">
                  <c:v>12.128999999999991</c:v>
                </c:pt>
                <c:pt idx="6">
                  <c:v>12.128999999999991</c:v>
                </c:pt>
                <c:pt idx="7">
                  <c:v>12.129000000000005</c:v>
                </c:pt>
                <c:pt idx="8">
                  <c:v>12.128999999999998</c:v>
                </c:pt>
                <c:pt idx="9">
                  <c:v>12.129000000000005</c:v>
                </c:pt>
                <c:pt idx="10">
                  <c:v>12.128999999999998</c:v>
                </c:pt>
                <c:pt idx="11">
                  <c:v>12.128999999999998</c:v>
                </c:pt>
                <c:pt idx="12">
                  <c:v>12.129000000000001</c:v>
                </c:pt>
                <c:pt idx="13">
                  <c:v>12.129000000000001</c:v>
                </c:pt>
                <c:pt idx="14">
                  <c:v>12.129000000000001</c:v>
                </c:pt>
                <c:pt idx="15">
                  <c:v>12.129000000000001</c:v>
                </c:pt>
                <c:pt idx="16">
                  <c:v>12.129000000000001</c:v>
                </c:pt>
                <c:pt idx="17">
                  <c:v>12.129000000000001</c:v>
                </c:pt>
                <c:pt idx="18">
                  <c:v>12.128999999999998</c:v>
                </c:pt>
                <c:pt idx="19">
                  <c:v>12.129</c:v>
                </c:pt>
                <c:pt idx="20">
                  <c:v>12.129</c:v>
                </c:pt>
                <c:pt idx="21">
                  <c:v>10.262999999999947</c:v>
                </c:pt>
                <c:pt idx="22">
                  <c:v>7.4639999999998405</c:v>
                </c:pt>
                <c:pt idx="23">
                  <c:v>4.6649999999997345</c:v>
                </c:pt>
              </c:numCache>
            </c:numRef>
          </c:val>
          <c:extLst>
            <c:ext xmlns:c15="http://schemas.microsoft.com/office/drawing/2012/chart" uri="{02D57815-91ED-43cb-92C2-25804820EDAC}">
              <c15:datalabelsRange>
                <c15:f>'IMO GFI'!$F$6:$F$29</c15:f>
                <c15:dlblRangeCache>
                  <c:ptCount val="24"/>
                  <c:pt idx="1">
                    <c:v>-17%</c:v>
                  </c:pt>
                  <c:pt idx="2">
                    <c:v>-19%</c:v>
                  </c:pt>
                  <c:pt idx="3">
                    <c:v>-21%</c:v>
                  </c:pt>
                  <c:pt idx="4">
                    <c:v>-25%</c:v>
                  </c:pt>
                  <c:pt idx="5">
                    <c:v>-30%</c:v>
                  </c:pt>
                  <c:pt idx="6">
                    <c:v>-34%</c:v>
                  </c:pt>
                  <c:pt idx="7">
                    <c:v>-39%</c:v>
                  </c:pt>
                  <c:pt idx="8">
                    <c:v>-43%</c:v>
                  </c:pt>
                </c15:dlblRangeCache>
              </c15:datalabelsRange>
            </c:ext>
            <c:ext xmlns:c16="http://schemas.microsoft.com/office/drawing/2014/chart" uri="{C3380CC4-5D6E-409C-BE32-E72D297353CC}">
              <c16:uniqueId val="{00000019-AF78-4BAC-B92B-4B165A9DD7A4}"/>
            </c:ext>
          </c:extLst>
        </c:ser>
        <c:ser>
          <c:idx val="2"/>
          <c:order val="2"/>
          <c:tx>
            <c:strRef>
              <c:f>'IMO GFI'!$I$4</c:f>
              <c:strCache>
                <c:ptCount val="1"/>
                <c:pt idx="0">
                  <c:v>Tier 2 Range</c:v>
                </c:pt>
              </c:strCache>
            </c:strRef>
          </c:tx>
          <c:spPr>
            <a:solidFill>
              <a:srgbClr val="FAE0DA"/>
            </a:solidFill>
            <a:ln>
              <a:noFill/>
            </a:ln>
            <a:effectLst/>
          </c:spPr>
          <c:invertIfNegative val="0"/>
          <c:dLbls>
            <c:dLbl>
              <c:idx val="0"/>
              <c:tx>
                <c:rich>
                  <a:bodyPr/>
                  <a:lstStyle/>
                  <a:p>
                    <a:fld id="{92129CE9-3CF6-4D9F-91C7-83FD3C7C51F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F78-4BAC-B92B-4B165A9DD7A4}"/>
                </c:ext>
              </c:extLst>
            </c:dLbl>
            <c:dLbl>
              <c:idx val="1"/>
              <c:tx>
                <c:rich>
                  <a:bodyPr/>
                  <a:lstStyle/>
                  <a:p>
                    <a:fld id="{C8C10305-F5DF-4B60-8C56-4581EFDD3D6D}"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F78-4BAC-B92B-4B165A9DD7A4}"/>
                </c:ext>
              </c:extLst>
            </c:dLbl>
            <c:dLbl>
              <c:idx val="2"/>
              <c:tx>
                <c:rich>
                  <a:bodyPr/>
                  <a:lstStyle/>
                  <a:p>
                    <a:fld id="{0BF089E8-9FBF-4BF1-BF57-9C8D486917A0}"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F78-4BAC-B92B-4B165A9DD7A4}"/>
                </c:ext>
              </c:extLst>
            </c:dLbl>
            <c:dLbl>
              <c:idx val="3"/>
              <c:tx>
                <c:rich>
                  <a:bodyPr/>
                  <a:lstStyle/>
                  <a:p>
                    <a:fld id="{4A6F8BE6-263E-4C7A-9320-AF5748C490ED}"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F78-4BAC-B92B-4B165A9DD7A4}"/>
                </c:ext>
              </c:extLst>
            </c:dLbl>
            <c:dLbl>
              <c:idx val="4"/>
              <c:tx>
                <c:rich>
                  <a:bodyPr/>
                  <a:lstStyle/>
                  <a:p>
                    <a:fld id="{52799310-B493-418E-AD08-3BA059D88AA0}"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F78-4BAC-B92B-4B165A9DD7A4}"/>
                </c:ext>
              </c:extLst>
            </c:dLbl>
            <c:dLbl>
              <c:idx val="5"/>
              <c:tx>
                <c:rich>
                  <a:bodyPr/>
                  <a:lstStyle/>
                  <a:p>
                    <a:fld id="{EED57580-DEF8-4550-B348-92246A71BA20}"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F78-4BAC-B92B-4B165A9DD7A4}"/>
                </c:ext>
              </c:extLst>
            </c:dLbl>
            <c:dLbl>
              <c:idx val="6"/>
              <c:tx>
                <c:rich>
                  <a:bodyPr/>
                  <a:lstStyle/>
                  <a:p>
                    <a:fld id="{00C06EEA-DE8B-4661-BFB6-2DA73F57DBAE}"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F78-4BAC-B92B-4B165A9DD7A4}"/>
                </c:ext>
              </c:extLst>
            </c:dLbl>
            <c:dLbl>
              <c:idx val="7"/>
              <c:tx>
                <c:rich>
                  <a:bodyPr/>
                  <a:lstStyle/>
                  <a:p>
                    <a:fld id="{847CF661-1B4F-4D01-AD7A-CA0D73DF8DDF}"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F78-4BAC-B92B-4B165A9DD7A4}"/>
                </c:ext>
              </c:extLst>
            </c:dLbl>
            <c:dLbl>
              <c:idx val="8"/>
              <c:tx>
                <c:rich>
                  <a:bodyPr/>
                  <a:lstStyle/>
                  <a:p>
                    <a:fld id="{2F8BF978-0E33-4039-B9C0-E3C3396479FD}"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F78-4BAC-B92B-4B165A9DD7A4}"/>
                </c:ext>
              </c:extLst>
            </c:dLbl>
            <c:dLbl>
              <c:idx val="9"/>
              <c:tx>
                <c:rich>
                  <a:bodyPr/>
                  <a:lstStyle/>
                  <a:p>
                    <a:fld id="{4F6E7890-0FD0-4E2F-9B85-CEA818A4F5D6}"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F78-4BAC-B92B-4B165A9DD7A4}"/>
                </c:ext>
              </c:extLst>
            </c:dLbl>
            <c:dLbl>
              <c:idx val="10"/>
              <c:tx>
                <c:rich>
                  <a:bodyPr/>
                  <a:lstStyle/>
                  <a:p>
                    <a:fld id="{597222C5-E326-42BD-B4A2-4EE21DB60829}"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F78-4BAC-B92B-4B165A9DD7A4}"/>
                </c:ext>
              </c:extLst>
            </c:dLbl>
            <c:dLbl>
              <c:idx val="11"/>
              <c:tx>
                <c:rich>
                  <a:bodyPr/>
                  <a:lstStyle/>
                  <a:p>
                    <a:fld id="{AA0B8CED-80A9-4339-A6B7-DE8090600F67}"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F78-4BAC-B92B-4B165A9DD7A4}"/>
                </c:ext>
              </c:extLst>
            </c:dLbl>
            <c:dLbl>
              <c:idx val="12"/>
              <c:tx>
                <c:rich>
                  <a:bodyPr/>
                  <a:lstStyle/>
                  <a:p>
                    <a:fld id="{B6C0F487-EDB9-48B5-BDCF-1C9DB2D24E88}"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AF78-4BAC-B92B-4B165A9DD7A4}"/>
                </c:ext>
              </c:extLst>
            </c:dLbl>
            <c:dLbl>
              <c:idx val="13"/>
              <c:tx>
                <c:rich>
                  <a:bodyPr/>
                  <a:lstStyle/>
                  <a:p>
                    <a:fld id="{50F89DB4-2923-49F5-B36B-004B362B4B54}" type="CELLRANGE">
                      <a:rPr lang="en-US"/>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F78-4BAC-B92B-4B165A9DD7A4}"/>
                </c:ext>
              </c:extLst>
            </c:dLbl>
            <c:dLbl>
              <c:idx val="14"/>
              <c:tx>
                <c:rich>
                  <a:bodyPr/>
                  <a:lstStyle/>
                  <a:p>
                    <a:fld id="{F59BFD0C-DDAD-4302-863E-197419757E7B}"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AF78-4BAC-B92B-4B165A9DD7A4}"/>
                </c:ext>
              </c:extLst>
            </c:dLbl>
            <c:dLbl>
              <c:idx val="15"/>
              <c:tx>
                <c:rich>
                  <a:bodyPr/>
                  <a:lstStyle/>
                  <a:p>
                    <a:fld id="{B1F88C50-1718-47D9-B647-2D4C483D8FC3}"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AF78-4BAC-B92B-4B165A9DD7A4}"/>
                </c:ext>
              </c:extLst>
            </c:dLbl>
            <c:dLbl>
              <c:idx val="16"/>
              <c:tx>
                <c:rich>
                  <a:bodyPr/>
                  <a:lstStyle/>
                  <a:p>
                    <a:fld id="{D4B6D602-6EAC-45A6-A9CF-F02742C5F5D8}"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AF78-4BAC-B92B-4B165A9DD7A4}"/>
                </c:ext>
              </c:extLst>
            </c:dLbl>
            <c:dLbl>
              <c:idx val="17"/>
              <c:tx>
                <c:rich>
                  <a:bodyPr/>
                  <a:lstStyle/>
                  <a:p>
                    <a:fld id="{4C95B246-926F-4E18-A4F1-EC70FD3B7EB8}"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AF78-4BAC-B92B-4B165A9DD7A4}"/>
                </c:ext>
              </c:extLst>
            </c:dLbl>
            <c:dLbl>
              <c:idx val="18"/>
              <c:tx>
                <c:rich>
                  <a:bodyPr/>
                  <a:lstStyle/>
                  <a:p>
                    <a:fld id="{E1CEBD0F-F454-4D93-9419-51AEC6364D70}"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AF78-4BAC-B92B-4B165A9DD7A4}"/>
                </c:ext>
              </c:extLst>
            </c:dLbl>
            <c:dLbl>
              <c:idx val="19"/>
              <c:tx>
                <c:rich>
                  <a:bodyPr/>
                  <a:lstStyle/>
                  <a:p>
                    <a:fld id="{CACBBC20-ACC3-43BB-B3B5-CA271D03D7D7}"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AF78-4BAC-B92B-4B165A9DD7A4}"/>
                </c:ext>
              </c:extLst>
            </c:dLbl>
            <c:dLbl>
              <c:idx val="20"/>
              <c:tx>
                <c:rich>
                  <a:bodyPr/>
                  <a:lstStyle/>
                  <a:p>
                    <a:fld id="{F853B119-FDF4-4D13-BA07-A7E1C1F3097C}"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AF78-4BAC-B92B-4B165A9DD7A4}"/>
                </c:ext>
              </c:extLst>
            </c:dLbl>
            <c:dLbl>
              <c:idx val="21"/>
              <c:tx>
                <c:rich>
                  <a:bodyPr/>
                  <a:lstStyle/>
                  <a:p>
                    <a:fld id="{499F4FD2-3FB4-4683-9C80-A05B780EC364}"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AF78-4BAC-B92B-4B165A9DD7A4}"/>
                </c:ext>
              </c:extLst>
            </c:dLbl>
            <c:dLbl>
              <c:idx val="22"/>
              <c:tx>
                <c:rich>
                  <a:bodyPr/>
                  <a:lstStyle/>
                  <a:p>
                    <a:fld id="{41BDC924-11D2-4A56-A6A5-C9770020849D}"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AF78-4BAC-B92B-4B165A9DD7A4}"/>
                </c:ext>
              </c:extLst>
            </c:dLbl>
            <c:dLbl>
              <c:idx val="23"/>
              <c:tx>
                <c:rich>
                  <a:bodyPr/>
                  <a:lstStyle/>
                  <a:p>
                    <a:fld id="{B545E215-D9C8-4B06-8893-18AFA262C9FD}" type="CELLRANGE">
                      <a:rPr lang="en-DK"/>
                      <a:pPr/>
                      <a:t>[]</a:t>
                    </a:fld>
                    <a:endParaRPr/>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AF78-4BAC-B92B-4B165A9DD7A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'IMO GFI'!$B$6:$B$29</c:f>
              <c:strCache>
                <c:ptCount val="24"/>
                <c:pt idx="0">
                  <c:v>Pre-NZF</c:v>
                </c:pt>
                <c:pt idx="1">
                  <c:v>2028</c:v>
                </c:pt>
                <c:pt idx="2">
                  <c:v>2029</c:v>
                </c:pt>
                <c:pt idx="3">
                  <c:v>2030</c:v>
                </c:pt>
                <c:pt idx="4">
                  <c:v>2031</c:v>
                </c:pt>
                <c:pt idx="5">
                  <c:v>2032</c:v>
                </c:pt>
                <c:pt idx="6">
                  <c:v>2033</c:v>
                </c:pt>
                <c:pt idx="7">
                  <c:v>2034</c:v>
                </c:pt>
                <c:pt idx="8">
                  <c:v>2035</c:v>
                </c:pt>
                <c:pt idx="9">
                  <c:v>2036</c:v>
                </c:pt>
                <c:pt idx="10">
                  <c:v>2037</c:v>
                </c:pt>
                <c:pt idx="11">
                  <c:v>2038</c:v>
                </c:pt>
                <c:pt idx="12">
                  <c:v>2039</c:v>
                </c:pt>
                <c:pt idx="13">
                  <c:v>2040</c:v>
                </c:pt>
                <c:pt idx="14">
                  <c:v>2041</c:v>
                </c:pt>
                <c:pt idx="15">
                  <c:v>2042</c:v>
                </c:pt>
                <c:pt idx="16">
                  <c:v>2043</c:v>
                </c:pt>
                <c:pt idx="17">
                  <c:v>2044</c:v>
                </c:pt>
                <c:pt idx="18">
                  <c:v>2045</c:v>
                </c:pt>
                <c:pt idx="19">
                  <c:v>2046</c:v>
                </c:pt>
                <c:pt idx="20">
                  <c:v>2047</c:v>
                </c:pt>
                <c:pt idx="21">
                  <c:v>2048</c:v>
                </c:pt>
                <c:pt idx="22">
                  <c:v>2049</c:v>
                </c:pt>
                <c:pt idx="23">
                  <c:v>2050</c:v>
                </c:pt>
              </c:strCache>
            </c:strRef>
          </c:cat>
          <c:val>
            <c:numRef>
              <c:f>'IMO GFI'!$I$6:$I$29</c:f>
              <c:numCache>
                <c:formatCode>0.00</c:formatCode>
                <c:ptCount val="24"/>
                <c:pt idx="0">
                  <c:v>0</c:v>
                </c:pt>
                <c:pt idx="1">
                  <c:v>3.7319999999999993</c:v>
                </c:pt>
                <c:pt idx="2">
                  <c:v>5.597999999999999</c:v>
                </c:pt>
                <c:pt idx="3">
                  <c:v>7.4639999999999986</c:v>
                </c:pt>
                <c:pt idx="4">
                  <c:v>11.569199999999995</c:v>
                </c:pt>
                <c:pt idx="5">
                  <c:v>15.674400000000006</c:v>
                </c:pt>
                <c:pt idx="6">
                  <c:v>19.779600000000002</c:v>
                </c:pt>
                <c:pt idx="7">
                  <c:v>23.884799999999998</c:v>
                </c:pt>
                <c:pt idx="8">
                  <c:v>27.990000000001061</c:v>
                </c:pt>
                <c:pt idx="9">
                  <c:v>34.52100000000042</c:v>
                </c:pt>
                <c:pt idx="10">
                  <c:v>41.051999999999786</c:v>
                </c:pt>
                <c:pt idx="11">
                  <c:v>47.583000000001803</c:v>
                </c:pt>
                <c:pt idx="12">
                  <c:v>54.114000000001155</c:v>
                </c:pt>
                <c:pt idx="13">
                  <c:v>60.645000000000522</c:v>
                </c:pt>
                <c:pt idx="14">
                  <c:v>63.443999999999974</c:v>
                </c:pt>
                <c:pt idx="15">
                  <c:v>66.243000000000066</c:v>
                </c:pt>
                <c:pt idx="16">
                  <c:v>69.042000000000186</c:v>
                </c:pt>
                <c:pt idx="17">
                  <c:v>71.841000000000278</c:v>
                </c:pt>
                <c:pt idx="18">
                  <c:v>74.639999999999731</c:v>
                </c:pt>
                <c:pt idx="19">
                  <c:v>77.438999999999837</c:v>
                </c:pt>
                <c:pt idx="20">
                  <c:v>80.237999999999943</c:v>
                </c:pt>
                <c:pt idx="21">
                  <c:v>83.037000000000049</c:v>
                </c:pt>
                <c:pt idx="22">
                  <c:v>85.836000000000155</c:v>
                </c:pt>
                <c:pt idx="23">
                  <c:v>88.635000000000261</c:v>
                </c:pt>
              </c:numCache>
            </c:numRef>
          </c:val>
          <c:extLst>
            <c:ext xmlns:c15="http://schemas.microsoft.com/office/drawing/2012/chart" uri="{02D57815-91ED-43cb-92C2-25804820EDAC}">
              <c15:datalabelsRange>
                <c15:f>'IMO GFI'!$D$6:$D$29</c15:f>
                <c15:dlblRangeCache>
                  <c:ptCount val="24"/>
                  <c:pt idx="1">
                    <c:v>-4%</c:v>
                  </c:pt>
                  <c:pt idx="2">
                    <c:v>-6%</c:v>
                  </c:pt>
                  <c:pt idx="3">
                    <c:v>-8%</c:v>
                  </c:pt>
                  <c:pt idx="4">
                    <c:v>-12%</c:v>
                  </c:pt>
                  <c:pt idx="5">
                    <c:v>-17%</c:v>
                  </c:pt>
                  <c:pt idx="6">
                    <c:v>-21%</c:v>
                  </c:pt>
                  <c:pt idx="7">
                    <c:v>-26%</c:v>
                  </c:pt>
                  <c:pt idx="8">
                    <c:v>-30%</c:v>
                  </c:pt>
                  <c:pt idx="13">
                    <c:v>-65%</c:v>
                  </c:pt>
                </c15:dlblRangeCache>
              </c15:datalabelsRange>
            </c:ext>
            <c:ext xmlns:c16="http://schemas.microsoft.com/office/drawing/2014/chart" uri="{C3380CC4-5D6E-409C-BE32-E72D297353CC}">
              <c16:uniqueId val="{00000032-AF78-4BAC-B92B-4B165A9DD7A4}"/>
            </c:ext>
          </c:extLst>
        </c:ser>
        <c:dLbls>
          <c:showLegendKey val="0"/>
          <c:showVal val="0"/>
          <c:showCatName val="0"/>
          <c:showSerName val="0"/>
          <c:showPercent val="0"/>
          <c:showBubbleSize val="0"/>
        </c:dLbls>
        <c:gapWidth val="0"/>
        <c:overlap val="100"/>
        <c:axId val="2105188815"/>
        <c:axId val="2105205615"/>
      </c:barChart>
      <c:catAx>
        <c:axId val="2105188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205615"/>
        <c:crosses val="autoZero"/>
        <c:auto val="1"/>
        <c:lblAlgn val="ctr"/>
        <c:lblOffset val="100"/>
        <c:noMultiLvlLbl val="0"/>
      </c:catAx>
      <c:valAx>
        <c:axId val="2105205615"/>
        <c:scaling>
          <c:orientation val="minMax"/>
          <c:max val="93.3"/>
          <c:min val="0"/>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18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IRACredits!$C$106</c:f>
          <c:strCache>
            <c:ptCount val="1"/>
            <c:pt idx="0">
              <c:v>e-methanol (PS)</c:v>
            </c:pt>
          </c:strCache>
        </c:strRef>
      </c:tx>
      <c:layout>
        <c:manualLayout>
          <c:xMode val="edge"/>
          <c:yMode val="edge"/>
          <c:x val="0.4069790026246718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213648293963254"/>
          <c:y val="6.4814814814814811E-2"/>
          <c:w val="0.85008573928258979"/>
          <c:h val="0.8416746864975212"/>
        </c:manualLayout>
      </c:layout>
      <c:barChart>
        <c:barDir val="col"/>
        <c:grouping val="stacked"/>
        <c:varyColors val="0"/>
        <c:ser>
          <c:idx val="1"/>
          <c:order val="1"/>
          <c:tx>
            <c:strRef>
              <c:f>IRACredits!$C$102</c:f>
              <c:strCache>
                <c:ptCount val="1"/>
                <c:pt idx="0">
                  <c:v>Cost - Credit</c:v>
                </c:pt>
              </c:strCache>
            </c:strRef>
          </c:tx>
          <c:spPr>
            <a:solidFill>
              <a:srgbClr val="B8D2CE"/>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IRACredits!$D$106:$K$106</c:f>
              <c:numCache>
                <c:formatCode>General</c:formatCode>
                <c:ptCount val="8"/>
                <c:pt idx="0">
                  <c:v>45.237309060804435</c:v>
                </c:pt>
                <c:pt idx="1">
                  <c:v>42.800818219139707</c:v>
                </c:pt>
                <c:pt idx="2">
                  <c:v>40.315606076004812</c:v>
                </c:pt>
                <c:pt idx="3">
                  <c:v>37.782327699931365</c:v>
                </c:pt>
                <c:pt idx="4">
                  <c:v>35.201638159452095</c:v>
                </c:pt>
                <c:pt idx="5">
                  <c:v>32.574192523097203</c:v>
                </c:pt>
                <c:pt idx="6">
                  <c:v>31.762172381430652</c:v>
                </c:pt>
                <c:pt idx="7">
                  <c:v>30.876238069836823</c:v>
                </c:pt>
              </c:numCache>
            </c:numRef>
          </c:val>
          <c:extLst>
            <c:ext xmlns:c16="http://schemas.microsoft.com/office/drawing/2014/chart" uri="{C3380CC4-5D6E-409C-BE32-E72D297353CC}">
              <c16:uniqueId val="{00000000-032D-4105-97F3-E992498B439A}"/>
            </c:ext>
          </c:extLst>
        </c:ser>
        <c:ser>
          <c:idx val="2"/>
          <c:order val="2"/>
          <c:tx>
            <c:strRef>
              <c:f>IRACredits!$C$111</c:f>
              <c:strCache>
                <c:ptCount val="1"/>
                <c:pt idx="0">
                  <c:v>45V Credit</c:v>
                </c:pt>
              </c:strCache>
            </c:strRef>
          </c:tx>
          <c:spPr>
            <a:pattFill prst="wdUpDiag">
              <a:fgClr>
                <a:srgbClr val="B8D2CE"/>
              </a:fgClr>
              <a:bgClr>
                <a:schemeClr val="bg1"/>
              </a:bgClr>
            </a:pattFill>
            <a:ln>
              <a:noFill/>
            </a:ln>
            <a:effectLst/>
          </c:spPr>
          <c:invertIfNegative val="0"/>
          <c:dLbls>
            <c:numFmt formatCode="\-#,##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IRACredits!$D$115:$K$115</c:f>
              <c:numCache>
                <c:formatCode>General</c:formatCode>
                <c:ptCount val="8"/>
                <c:pt idx="0">
                  <c:v>9.5477386934673341</c:v>
                </c:pt>
                <c:pt idx="1">
                  <c:v>9.5477386934673341</c:v>
                </c:pt>
                <c:pt idx="2">
                  <c:v>9.5477386934673341</c:v>
                </c:pt>
                <c:pt idx="3">
                  <c:v>9.5477386934673341</c:v>
                </c:pt>
                <c:pt idx="4">
                  <c:v>9.5477386934673341</c:v>
                </c:pt>
                <c:pt idx="5">
                  <c:v>9.5477386934673341</c:v>
                </c:pt>
                <c:pt idx="6">
                  <c:v>9.5477386934673341</c:v>
                </c:pt>
                <c:pt idx="7">
                  <c:v>9.5477386934673341</c:v>
                </c:pt>
              </c:numCache>
            </c:numRef>
          </c:val>
          <c:extLst>
            <c:ext xmlns:c16="http://schemas.microsoft.com/office/drawing/2014/chart" uri="{C3380CC4-5D6E-409C-BE32-E72D297353CC}">
              <c16:uniqueId val="{00000001-032D-4105-97F3-E992498B439A}"/>
            </c:ext>
          </c:extLst>
        </c:ser>
        <c:dLbls>
          <c:showLegendKey val="0"/>
          <c:showVal val="0"/>
          <c:showCatName val="0"/>
          <c:showSerName val="0"/>
          <c:showPercent val="0"/>
          <c:showBubbleSize val="0"/>
        </c:dLbls>
        <c:gapWidth val="75"/>
        <c:overlap val="100"/>
        <c:axId val="385708384"/>
        <c:axId val="562019200"/>
      </c:barChart>
      <c:lineChart>
        <c:grouping val="standard"/>
        <c:varyColors val="0"/>
        <c:ser>
          <c:idx val="0"/>
          <c:order val="0"/>
          <c:tx>
            <c:strRef>
              <c:f>IRACredits!$C$94</c:f>
              <c:strCache>
                <c:ptCount val="1"/>
                <c:pt idx="0">
                  <c:v>LSFO</c:v>
                </c:pt>
              </c:strCache>
            </c:strRef>
          </c:tx>
          <c:spPr>
            <a:ln w="28575" cap="rnd">
              <a:solidFill>
                <a:schemeClr val="tx1"/>
              </a:solidFill>
              <a:round/>
            </a:ln>
            <a:effectLst/>
          </c:spPr>
          <c:marker>
            <c:symbol val="none"/>
          </c:marker>
          <c:cat>
            <c:multiLvlStrRef>
              <c:f>IRACredits!$D$92:$AC$93</c:f>
              <c:multiLvlStrCache>
                <c:ptCount val="26"/>
                <c:lvl>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lvl>
                <c:lvl/>
              </c:multiLvlStrCache>
            </c:multiLvlStrRef>
          </c:cat>
          <c:val>
            <c:numRef>
              <c:f>IRACredits!$D$94:$K$94</c:f>
              <c:numCache>
                <c:formatCode>General</c:formatCode>
                <c:ptCount val="8"/>
                <c:pt idx="0">
                  <c:v>14.877049180327868</c:v>
                </c:pt>
                <c:pt idx="1">
                  <c:v>14.498360655737638</c:v>
                </c:pt>
                <c:pt idx="2">
                  <c:v>14.119672131147574</c:v>
                </c:pt>
                <c:pt idx="3">
                  <c:v>13.740983606557345</c:v>
                </c:pt>
                <c:pt idx="4">
                  <c:v>13.362295081967115</c:v>
                </c:pt>
                <c:pt idx="5">
                  <c:v>12.983606557377048</c:v>
                </c:pt>
                <c:pt idx="6">
                  <c:v>12.983606557377048</c:v>
                </c:pt>
                <c:pt idx="7">
                  <c:v>12.983606557377048</c:v>
                </c:pt>
              </c:numCache>
            </c:numRef>
          </c:val>
          <c:smooth val="0"/>
          <c:extLst>
            <c:ext xmlns:c16="http://schemas.microsoft.com/office/drawing/2014/chart" uri="{C3380CC4-5D6E-409C-BE32-E72D297353CC}">
              <c16:uniqueId val="{00000002-032D-4105-97F3-E992498B439A}"/>
            </c:ext>
          </c:extLst>
        </c:ser>
        <c:ser>
          <c:idx val="3"/>
          <c:order val="3"/>
          <c:tx>
            <c:strRef>
              <c:f>IRACredits!$C$95</c:f>
              <c:strCache>
                <c:ptCount val="1"/>
                <c:pt idx="0">
                  <c:v>LNG</c:v>
                </c:pt>
              </c:strCache>
            </c:strRef>
          </c:tx>
          <c:spPr>
            <a:ln w="28575" cap="rnd">
              <a:solidFill>
                <a:schemeClr val="bg1">
                  <a:lumMod val="50000"/>
                </a:schemeClr>
              </a:solidFill>
              <a:round/>
            </a:ln>
            <a:effectLst/>
          </c:spPr>
          <c:marker>
            <c:symbol val="none"/>
          </c:marker>
          <c:val>
            <c:numRef>
              <c:f>IRACredits!$D$95:$K$95</c:f>
              <c:numCache>
                <c:formatCode>General</c:formatCode>
                <c:ptCount val="8"/>
                <c:pt idx="0">
                  <c:v>8.9970124451701352</c:v>
                </c:pt>
                <c:pt idx="1">
                  <c:v>8.9230926837866971</c:v>
                </c:pt>
                <c:pt idx="2">
                  <c:v>8.8491729224032589</c:v>
                </c:pt>
                <c:pt idx="3">
                  <c:v>8.7752531610198208</c:v>
                </c:pt>
                <c:pt idx="4">
                  <c:v>8.701333399636388</c:v>
                </c:pt>
                <c:pt idx="5">
                  <c:v>8.6274136382529463</c:v>
                </c:pt>
                <c:pt idx="6">
                  <c:v>8.7219196990047703</c:v>
                </c:pt>
                <c:pt idx="7">
                  <c:v>8.8164257597565872</c:v>
                </c:pt>
              </c:numCache>
            </c:numRef>
          </c:val>
          <c:smooth val="0"/>
          <c:extLst>
            <c:ext xmlns:c16="http://schemas.microsoft.com/office/drawing/2014/chart" uri="{C3380CC4-5D6E-409C-BE32-E72D297353CC}">
              <c16:uniqueId val="{00000003-032D-4105-97F3-E992498B439A}"/>
            </c:ext>
          </c:extLst>
        </c:ser>
        <c:dLbls>
          <c:showLegendKey val="0"/>
          <c:showVal val="0"/>
          <c:showCatName val="0"/>
          <c:showSerName val="0"/>
          <c:showPercent val="0"/>
          <c:showBubbleSize val="0"/>
        </c:dLbls>
        <c:marker val="1"/>
        <c:smooth val="0"/>
        <c:axId val="385708384"/>
        <c:axId val="562019200"/>
      </c:lineChart>
      <c:catAx>
        <c:axId val="38570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019200"/>
        <c:crosses val="autoZero"/>
        <c:auto val="1"/>
        <c:lblAlgn val="ctr"/>
        <c:lblOffset val="100"/>
        <c:tickLblSkip val="1"/>
        <c:noMultiLvlLbl val="0"/>
      </c:catAx>
      <c:valAx>
        <c:axId val="562019200"/>
        <c:scaling>
          <c:orientation val="minMax"/>
          <c:max val="65"/>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Cost [USD/GJ]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708384"/>
        <c:crosses val="autoZero"/>
        <c:crossBetween val="between"/>
        <c:majorUnit val="10"/>
      </c:valAx>
      <c:spPr>
        <a:noFill/>
        <a:ln>
          <a:noFill/>
        </a:ln>
        <a:effectLst/>
      </c:spPr>
    </c:plotArea>
    <c:legend>
      <c:legendPos val="r"/>
      <c:layout>
        <c:manualLayout>
          <c:xMode val="edge"/>
          <c:yMode val="edge"/>
          <c:x val="0.7617332872635908"/>
          <c:y val="2.4512613006707495E-2"/>
          <c:w val="0.22858420822397199"/>
          <c:h val="0.25231700204141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IRACredits!$C$107</c:f>
          <c:strCache>
            <c:ptCount val="1"/>
            <c:pt idx="0">
              <c:v>e-methane liquefied (PS)</c:v>
            </c:pt>
          </c:strCache>
        </c:strRef>
      </c:tx>
      <c:layout>
        <c:manualLayout>
          <c:xMode val="edge"/>
          <c:yMode val="edge"/>
          <c:x val="0.29864566929133857"/>
          <c:y val="3.7037037037037035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213648293963254"/>
          <c:y val="6.4814814814814811E-2"/>
          <c:w val="0.85008573928258979"/>
          <c:h val="0.8416746864975212"/>
        </c:manualLayout>
      </c:layout>
      <c:barChart>
        <c:barDir val="col"/>
        <c:grouping val="stacked"/>
        <c:varyColors val="0"/>
        <c:ser>
          <c:idx val="1"/>
          <c:order val="1"/>
          <c:tx>
            <c:strRef>
              <c:f>IRACredits!$C$102</c:f>
              <c:strCache>
                <c:ptCount val="1"/>
                <c:pt idx="0">
                  <c:v>Cost - Credit</c:v>
                </c:pt>
              </c:strCache>
            </c:strRef>
          </c:tx>
          <c:spPr>
            <a:solidFill>
              <a:srgbClr val="7AAAA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IRACredits!$D$107:$K$107</c:f>
              <c:numCache>
                <c:formatCode>General</c:formatCode>
                <c:ptCount val="8"/>
                <c:pt idx="0">
                  <c:v>32.955309415475924</c:v>
                </c:pt>
                <c:pt idx="1">
                  <c:v>31.336658596756777</c:v>
                </c:pt>
                <c:pt idx="2">
                  <c:v>29.666641299796957</c:v>
                </c:pt>
                <c:pt idx="3">
                  <c:v>27.945948158107043</c:v>
                </c:pt>
                <c:pt idx="4">
                  <c:v>26.175269805198781</c:v>
                </c:pt>
                <c:pt idx="5">
                  <c:v>24.355296874581335</c:v>
                </c:pt>
                <c:pt idx="6">
                  <c:v>23.806076100424796</c:v>
                </c:pt>
                <c:pt idx="7">
                  <c:v>23.178928208422832</c:v>
                </c:pt>
              </c:numCache>
            </c:numRef>
          </c:val>
          <c:extLst>
            <c:ext xmlns:c16="http://schemas.microsoft.com/office/drawing/2014/chart" uri="{C3380CC4-5D6E-409C-BE32-E72D297353CC}">
              <c16:uniqueId val="{00000000-D8CB-4454-971A-ED197B835606}"/>
            </c:ext>
          </c:extLst>
        </c:ser>
        <c:ser>
          <c:idx val="2"/>
          <c:order val="2"/>
          <c:tx>
            <c:strRef>
              <c:f>IRACredits!$C$111</c:f>
              <c:strCache>
                <c:ptCount val="1"/>
                <c:pt idx="0">
                  <c:v>45V Credit</c:v>
                </c:pt>
              </c:strCache>
            </c:strRef>
          </c:tx>
          <c:spPr>
            <a:pattFill prst="wdUpDiag">
              <a:fgClr>
                <a:srgbClr val="87B3AB"/>
              </a:fgClr>
              <a:bgClr>
                <a:schemeClr val="bg1"/>
              </a:bgClr>
            </a:pattFill>
            <a:ln>
              <a:noFill/>
            </a:ln>
            <a:effectLst/>
          </c:spPr>
          <c:invertIfNegative val="0"/>
          <c:dLbls>
            <c:numFmt formatCode="\-#,##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IRACredits!$D$116:$K$116</c:f>
              <c:numCache>
                <c:formatCode>General</c:formatCode>
                <c:ptCount val="8"/>
                <c:pt idx="0">
                  <c:v>10</c:v>
                </c:pt>
                <c:pt idx="1">
                  <c:v>10</c:v>
                </c:pt>
                <c:pt idx="2">
                  <c:v>10</c:v>
                </c:pt>
                <c:pt idx="3">
                  <c:v>10</c:v>
                </c:pt>
                <c:pt idx="4">
                  <c:v>10</c:v>
                </c:pt>
                <c:pt idx="5">
                  <c:v>10</c:v>
                </c:pt>
                <c:pt idx="6">
                  <c:v>10</c:v>
                </c:pt>
                <c:pt idx="7">
                  <c:v>10</c:v>
                </c:pt>
              </c:numCache>
            </c:numRef>
          </c:val>
          <c:extLst>
            <c:ext xmlns:c16="http://schemas.microsoft.com/office/drawing/2014/chart" uri="{C3380CC4-5D6E-409C-BE32-E72D297353CC}">
              <c16:uniqueId val="{00000001-D8CB-4454-971A-ED197B835606}"/>
            </c:ext>
          </c:extLst>
        </c:ser>
        <c:dLbls>
          <c:showLegendKey val="0"/>
          <c:showVal val="0"/>
          <c:showCatName val="0"/>
          <c:showSerName val="0"/>
          <c:showPercent val="0"/>
          <c:showBubbleSize val="0"/>
        </c:dLbls>
        <c:gapWidth val="75"/>
        <c:overlap val="100"/>
        <c:axId val="385708384"/>
        <c:axId val="562019200"/>
      </c:barChart>
      <c:lineChart>
        <c:grouping val="standard"/>
        <c:varyColors val="0"/>
        <c:ser>
          <c:idx val="0"/>
          <c:order val="0"/>
          <c:tx>
            <c:strRef>
              <c:f>IRACredits!$C$94</c:f>
              <c:strCache>
                <c:ptCount val="1"/>
                <c:pt idx="0">
                  <c:v>LSFO</c:v>
                </c:pt>
              </c:strCache>
            </c:strRef>
          </c:tx>
          <c:spPr>
            <a:ln w="28575" cap="rnd">
              <a:solidFill>
                <a:schemeClr val="tx1"/>
              </a:solidFill>
              <a:round/>
            </a:ln>
            <a:effectLst/>
          </c:spPr>
          <c:marker>
            <c:symbol val="none"/>
          </c:marker>
          <c:cat>
            <c:multiLvlStrRef>
              <c:f>IRACredits!$D$92:$AC$93</c:f>
              <c:multiLvlStrCache>
                <c:ptCount val="26"/>
                <c:lvl>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lvl>
                <c:lvl/>
              </c:multiLvlStrCache>
            </c:multiLvlStrRef>
          </c:cat>
          <c:val>
            <c:numRef>
              <c:f>IRACredits!$D$94:$K$94</c:f>
              <c:numCache>
                <c:formatCode>General</c:formatCode>
                <c:ptCount val="8"/>
                <c:pt idx="0">
                  <c:v>14.877049180327868</c:v>
                </c:pt>
                <c:pt idx="1">
                  <c:v>14.498360655737638</c:v>
                </c:pt>
                <c:pt idx="2">
                  <c:v>14.119672131147574</c:v>
                </c:pt>
                <c:pt idx="3">
                  <c:v>13.740983606557345</c:v>
                </c:pt>
                <c:pt idx="4">
                  <c:v>13.362295081967115</c:v>
                </c:pt>
                <c:pt idx="5">
                  <c:v>12.983606557377048</c:v>
                </c:pt>
                <c:pt idx="6">
                  <c:v>12.983606557377048</c:v>
                </c:pt>
                <c:pt idx="7">
                  <c:v>12.983606557377048</c:v>
                </c:pt>
              </c:numCache>
            </c:numRef>
          </c:val>
          <c:smooth val="0"/>
          <c:extLst>
            <c:ext xmlns:c16="http://schemas.microsoft.com/office/drawing/2014/chart" uri="{C3380CC4-5D6E-409C-BE32-E72D297353CC}">
              <c16:uniqueId val="{00000002-D8CB-4454-971A-ED197B835606}"/>
            </c:ext>
          </c:extLst>
        </c:ser>
        <c:ser>
          <c:idx val="3"/>
          <c:order val="3"/>
          <c:tx>
            <c:strRef>
              <c:f>IRACredits!$C$95</c:f>
              <c:strCache>
                <c:ptCount val="1"/>
                <c:pt idx="0">
                  <c:v>LNG</c:v>
                </c:pt>
              </c:strCache>
            </c:strRef>
          </c:tx>
          <c:spPr>
            <a:ln w="28575" cap="rnd">
              <a:solidFill>
                <a:schemeClr val="bg1">
                  <a:lumMod val="50000"/>
                </a:schemeClr>
              </a:solidFill>
              <a:round/>
            </a:ln>
            <a:effectLst/>
          </c:spPr>
          <c:marker>
            <c:symbol val="none"/>
          </c:marker>
          <c:val>
            <c:numRef>
              <c:f>IRACredits!$D$95:$K$95</c:f>
              <c:numCache>
                <c:formatCode>General</c:formatCode>
                <c:ptCount val="8"/>
                <c:pt idx="0">
                  <c:v>8.9970124451701352</c:v>
                </c:pt>
                <c:pt idx="1">
                  <c:v>8.9230926837866971</c:v>
                </c:pt>
                <c:pt idx="2">
                  <c:v>8.8491729224032589</c:v>
                </c:pt>
                <c:pt idx="3">
                  <c:v>8.7752531610198208</c:v>
                </c:pt>
                <c:pt idx="4">
                  <c:v>8.701333399636388</c:v>
                </c:pt>
                <c:pt idx="5">
                  <c:v>8.6274136382529463</c:v>
                </c:pt>
                <c:pt idx="6">
                  <c:v>8.7219196990047703</c:v>
                </c:pt>
                <c:pt idx="7">
                  <c:v>8.8164257597565872</c:v>
                </c:pt>
              </c:numCache>
            </c:numRef>
          </c:val>
          <c:smooth val="0"/>
          <c:extLst>
            <c:ext xmlns:c16="http://schemas.microsoft.com/office/drawing/2014/chart" uri="{C3380CC4-5D6E-409C-BE32-E72D297353CC}">
              <c16:uniqueId val="{00000003-D8CB-4454-971A-ED197B835606}"/>
            </c:ext>
          </c:extLst>
        </c:ser>
        <c:dLbls>
          <c:showLegendKey val="0"/>
          <c:showVal val="0"/>
          <c:showCatName val="0"/>
          <c:showSerName val="0"/>
          <c:showPercent val="0"/>
          <c:showBubbleSize val="0"/>
        </c:dLbls>
        <c:marker val="1"/>
        <c:smooth val="0"/>
        <c:axId val="385708384"/>
        <c:axId val="562019200"/>
      </c:lineChart>
      <c:catAx>
        <c:axId val="38570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019200"/>
        <c:crosses val="autoZero"/>
        <c:auto val="1"/>
        <c:lblAlgn val="ctr"/>
        <c:lblOffset val="100"/>
        <c:tickLblSkip val="1"/>
        <c:noMultiLvlLbl val="0"/>
      </c:catAx>
      <c:valAx>
        <c:axId val="562019200"/>
        <c:scaling>
          <c:orientation val="minMax"/>
          <c:max val="65"/>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Cost [USD/GJ]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708384"/>
        <c:crosses val="autoZero"/>
        <c:crossBetween val="between"/>
      </c:valAx>
      <c:spPr>
        <a:noFill/>
        <a:ln>
          <a:noFill/>
        </a:ln>
        <a:effectLst/>
      </c:spPr>
    </c:plotArea>
    <c:legend>
      <c:legendPos val="r"/>
      <c:layout>
        <c:manualLayout>
          <c:xMode val="edge"/>
          <c:yMode val="edge"/>
          <c:x val="0.75339592864939231"/>
          <c:y val="4.7660761154855645E-2"/>
          <c:w val="0.22858420822397199"/>
          <c:h val="0.247687372411781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IRACredits!$C$108</c:f>
          <c:strCache>
            <c:ptCount val="1"/>
            <c:pt idx="0">
              <c:v>Blue ammonia (CCS)</c:v>
            </c:pt>
          </c:strCache>
        </c:strRef>
      </c:tx>
      <c:layout>
        <c:manualLayout>
          <c:xMode val="edge"/>
          <c:yMode val="edge"/>
          <c:x val="0.32921543067951631"/>
          <c:y val="3.7037037037037035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213648293963254"/>
          <c:y val="6.4814814814814811E-2"/>
          <c:w val="0.85008573928258979"/>
          <c:h val="0.8416746864975212"/>
        </c:manualLayout>
      </c:layout>
      <c:barChart>
        <c:barDir val="col"/>
        <c:grouping val="stacked"/>
        <c:varyColors val="0"/>
        <c:ser>
          <c:idx val="1"/>
          <c:order val="1"/>
          <c:tx>
            <c:strRef>
              <c:f>IRACredits!$C$102</c:f>
              <c:strCache>
                <c:ptCount val="1"/>
                <c:pt idx="0">
                  <c:v>Cost - Credit</c:v>
                </c:pt>
              </c:strCache>
            </c:strRef>
          </c:tx>
          <c:spPr>
            <a:solidFill>
              <a:srgbClr val="3C5E8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IRACredits!$D$108:$K$108</c:f>
              <c:numCache>
                <c:formatCode>General</c:formatCode>
                <c:ptCount val="8"/>
                <c:pt idx="0">
                  <c:v>20.123660838539294</c:v>
                </c:pt>
                <c:pt idx="1">
                  <c:v>19.731915740020501</c:v>
                </c:pt>
                <c:pt idx="2">
                  <c:v>19.340346612389904</c:v>
                </c:pt>
                <c:pt idx="3">
                  <c:v>18.948953455647494</c:v>
                </c:pt>
                <c:pt idx="4">
                  <c:v>18.557736269793292</c:v>
                </c:pt>
                <c:pt idx="5">
                  <c:v>18.166695054827279</c:v>
                </c:pt>
                <c:pt idx="6">
                  <c:v>18.252197957123894</c:v>
                </c:pt>
                <c:pt idx="7">
                  <c:v>18.337569366538172</c:v>
                </c:pt>
              </c:numCache>
            </c:numRef>
          </c:val>
          <c:extLst>
            <c:ext xmlns:c16="http://schemas.microsoft.com/office/drawing/2014/chart" uri="{C3380CC4-5D6E-409C-BE32-E72D297353CC}">
              <c16:uniqueId val="{00000000-A910-4C40-9CEE-3E417CBB0239}"/>
            </c:ext>
          </c:extLst>
        </c:ser>
        <c:ser>
          <c:idx val="2"/>
          <c:order val="2"/>
          <c:tx>
            <c:strRef>
              <c:f>IRACredits!$C$117</c:f>
              <c:strCache>
                <c:ptCount val="1"/>
                <c:pt idx="0">
                  <c:v>45Q Credit</c:v>
                </c:pt>
              </c:strCache>
            </c:strRef>
          </c:tx>
          <c:spPr>
            <a:pattFill prst="wdUpDiag">
              <a:fgClr>
                <a:srgbClr val="3C5E86"/>
              </a:fgClr>
              <a:bgClr>
                <a:schemeClr val="bg1"/>
              </a:bgClr>
            </a:pattFill>
            <a:ln>
              <a:noFill/>
            </a:ln>
            <a:effectLst/>
          </c:spPr>
          <c:invertIfNegative val="0"/>
          <c:dLbls>
            <c:numFmt formatCode="\-#,##0" sourceLinked="0"/>
            <c:spPr>
              <a:solidFill>
                <a:schemeClr val="bg1">
                  <a:alpha val="75000"/>
                </a:schemeClr>
              </a:solidFill>
              <a:ln>
                <a:noFill/>
              </a:ln>
              <a:effectLst/>
            </c:spPr>
            <c:txPr>
              <a:bodyPr rot="0" spcFirstLastPara="1" vertOverflow="ellipsis" vert="horz" wrap="square" lIns="18000" tIns="18000" rIns="18000" bIns="1800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IRACredits!$D$118:$K$118</c:f>
              <c:numCache>
                <c:formatCode>General</c:formatCode>
                <c:ptCount val="8"/>
                <c:pt idx="0">
                  <c:v>2.7127659574468073</c:v>
                </c:pt>
                <c:pt idx="1">
                  <c:v>2.7127659574468073</c:v>
                </c:pt>
                <c:pt idx="2">
                  <c:v>2.7127659574468073</c:v>
                </c:pt>
                <c:pt idx="3">
                  <c:v>2.7127659574468073</c:v>
                </c:pt>
                <c:pt idx="4">
                  <c:v>2.7127659574468073</c:v>
                </c:pt>
                <c:pt idx="5">
                  <c:v>2.7127659574468073</c:v>
                </c:pt>
                <c:pt idx="6">
                  <c:v>2.7127659574468073</c:v>
                </c:pt>
                <c:pt idx="7">
                  <c:v>2.7127659574468073</c:v>
                </c:pt>
              </c:numCache>
            </c:numRef>
          </c:val>
          <c:extLst>
            <c:ext xmlns:c16="http://schemas.microsoft.com/office/drawing/2014/chart" uri="{C3380CC4-5D6E-409C-BE32-E72D297353CC}">
              <c16:uniqueId val="{00000001-A910-4C40-9CEE-3E417CBB0239}"/>
            </c:ext>
          </c:extLst>
        </c:ser>
        <c:dLbls>
          <c:showLegendKey val="0"/>
          <c:showVal val="0"/>
          <c:showCatName val="0"/>
          <c:showSerName val="0"/>
          <c:showPercent val="0"/>
          <c:showBubbleSize val="0"/>
        </c:dLbls>
        <c:gapWidth val="75"/>
        <c:overlap val="100"/>
        <c:axId val="385708384"/>
        <c:axId val="562019200"/>
      </c:barChart>
      <c:lineChart>
        <c:grouping val="standard"/>
        <c:varyColors val="0"/>
        <c:ser>
          <c:idx val="0"/>
          <c:order val="0"/>
          <c:tx>
            <c:strRef>
              <c:f>IRACredits!$C$94</c:f>
              <c:strCache>
                <c:ptCount val="1"/>
                <c:pt idx="0">
                  <c:v>LSFO</c:v>
                </c:pt>
              </c:strCache>
            </c:strRef>
          </c:tx>
          <c:spPr>
            <a:ln w="28575" cap="rnd">
              <a:solidFill>
                <a:schemeClr val="tx1"/>
              </a:solidFill>
              <a:round/>
            </a:ln>
            <a:effectLst/>
          </c:spPr>
          <c:marker>
            <c:symbol val="none"/>
          </c:marker>
          <c:cat>
            <c:multiLvlStrRef>
              <c:f>IRACredits!$D$92:$AC$93</c:f>
              <c:multiLvlStrCache>
                <c:ptCount val="26"/>
                <c:lvl>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lvl>
                <c:lvl/>
              </c:multiLvlStrCache>
            </c:multiLvlStrRef>
          </c:cat>
          <c:val>
            <c:numRef>
              <c:f>IRACredits!$D$94:$K$94</c:f>
              <c:numCache>
                <c:formatCode>General</c:formatCode>
                <c:ptCount val="8"/>
                <c:pt idx="0">
                  <c:v>14.877049180327868</c:v>
                </c:pt>
                <c:pt idx="1">
                  <c:v>14.498360655737638</c:v>
                </c:pt>
                <c:pt idx="2">
                  <c:v>14.119672131147574</c:v>
                </c:pt>
                <c:pt idx="3">
                  <c:v>13.740983606557345</c:v>
                </c:pt>
                <c:pt idx="4">
                  <c:v>13.362295081967115</c:v>
                </c:pt>
                <c:pt idx="5">
                  <c:v>12.983606557377048</c:v>
                </c:pt>
                <c:pt idx="6">
                  <c:v>12.983606557377048</c:v>
                </c:pt>
                <c:pt idx="7">
                  <c:v>12.983606557377048</c:v>
                </c:pt>
              </c:numCache>
            </c:numRef>
          </c:val>
          <c:smooth val="0"/>
          <c:extLst>
            <c:ext xmlns:c16="http://schemas.microsoft.com/office/drawing/2014/chart" uri="{C3380CC4-5D6E-409C-BE32-E72D297353CC}">
              <c16:uniqueId val="{00000002-A910-4C40-9CEE-3E417CBB0239}"/>
            </c:ext>
          </c:extLst>
        </c:ser>
        <c:ser>
          <c:idx val="3"/>
          <c:order val="3"/>
          <c:tx>
            <c:strRef>
              <c:f>IRACredits!$C$95</c:f>
              <c:strCache>
                <c:ptCount val="1"/>
                <c:pt idx="0">
                  <c:v>LNG</c:v>
                </c:pt>
              </c:strCache>
            </c:strRef>
          </c:tx>
          <c:spPr>
            <a:ln w="28575" cap="rnd">
              <a:solidFill>
                <a:schemeClr val="bg1">
                  <a:lumMod val="50000"/>
                </a:schemeClr>
              </a:solidFill>
              <a:round/>
            </a:ln>
            <a:effectLst/>
          </c:spPr>
          <c:marker>
            <c:symbol val="none"/>
          </c:marker>
          <c:val>
            <c:numRef>
              <c:f>IRACredits!$D$95:$K$95</c:f>
              <c:numCache>
                <c:formatCode>General</c:formatCode>
                <c:ptCount val="8"/>
                <c:pt idx="0">
                  <c:v>8.9970124451701352</c:v>
                </c:pt>
                <c:pt idx="1">
                  <c:v>8.9230926837866971</c:v>
                </c:pt>
                <c:pt idx="2">
                  <c:v>8.8491729224032589</c:v>
                </c:pt>
                <c:pt idx="3">
                  <c:v>8.7752531610198208</c:v>
                </c:pt>
                <c:pt idx="4">
                  <c:v>8.701333399636388</c:v>
                </c:pt>
                <c:pt idx="5">
                  <c:v>8.6274136382529463</c:v>
                </c:pt>
                <c:pt idx="6">
                  <c:v>8.7219196990047703</c:v>
                </c:pt>
                <c:pt idx="7">
                  <c:v>8.8164257597565872</c:v>
                </c:pt>
              </c:numCache>
            </c:numRef>
          </c:val>
          <c:smooth val="0"/>
          <c:extLst>
            <c:ext xmlns:c16="http://schemas.microsoft.com/office/drawing/2014/chart" uri="{C3380CC4-5D6E-409C-BE32-E72D297353CC}">
              <c16:uniqueId val="{00000003-A910-4C40-9CEE-3E417CBB0239}"/>
            </c:ext>
          </c:extLst>
        </c:ser>
        <c:dLbls>
          <c:showLegendKey val="0"/>
          <c:showVal val="0"/>
          <c:showCatName val="0"/>
          <c:showSerName val="0"/>
          <c:showPercent val="0"/>
          <c:showBubbleSize val="0"/>
        </c:dLbls>
        <c:marker val="1"/>
        <c:smooth val="0"/>
        <c:axId val="385708384"/>
        <c:axId val="562019200"/>
      </c:lineChart>
      <c:catAx>
        <c:axId val="385708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019200"/>
        <c:crosses val="autoZero"/>
        <c:auto val="1"/>
        <c:lblAlgn val="ctr"/>
        <c:lblOffset val="100"/>
        <c:tickLblSkip val="1"/>
        <c:noMultiLvlLbl val="0"/>
      </c:catAx>
      <c:valAx>
        <c:axId val="562019200"/>
        <c:scaling>
          <c:orientation val="minMax"/>
          <c:max val="65"/>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Cost [USD/GJ]</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708384"/>
        <c:crosses val="autoZero"/>
        <c:crossBetween val="between"/>
      </c:valAx>
      <c:spPr>
        <a:noFill/>
        <a:ln>
          <a:noFill/>
        </a:ln>
        <a:effectLst/>
      </c:spPr>
    </c:plotArea>
    <c:legend>
      <c:legendPos val="r"/>
      <c:layout>
        <c:manualLayout>
          <c:xMode val="edge"/>
          <c:yMode val="edge"/>
          <c:x val="0.75339609351049019"/>
          <c:y val="4.3031131525226016E-2"/>
          <c:w val="0.22858420822397199"/>
          <c:h val="0.23842811315252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Impact of IRA credits on production cost of alternatives in 2030 [USD/GJ]</a:t>
            </a:r>
            <a:endParaRPr lang="en-US"/>
          </a:p>
        </c:rich>
      </c:tx>
      <c:layout>
        <c:manualLayout>
          <c:xMode val="edge"/>
          <c:yMode val="edge"/>
          <c:x val="0.15465309554752257"/>
          <c:y val="1.85830429732868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76022176022176E-2"/>
          <c:y val="0.35756435317975044"/>
          <c:w val="0.94733194733194737"/>
          <c:h val="0.48381241207958053"/>
        </c:manualLayout>
      </c:layout>
      <c:barChart>
        <c:barDir val="col"/>
        <c:grouping val="stacked"/>
        <c:varyColors val="0"/>
        <c:ser>
          <c:idx val="0"/>
          <c:order val="0"/>
          <c:tx>
            <c:strRef>
              <c:f>IRACredits!$B$123</c:f>
              <c:strCache>
                <c:ptCount val="1"/>
                <c:pt idx="0">
                  <c:v>Cost - Credit</c:v>
                </c:pt>
              </c:strCache>
            </c:strRef>
          </c:tx>
          <c:spPr>
            <a:solidFill>
              <a:srgbClr val="4C7870"/>
            </a:solidFill>
            <a:ln>
              <a:noFill/>
            </a:ln>
            <a:effectLst/>
          </c:spPr>
          <c:invertIfNegative val="0"/>
          <c:dPt>
            <c:idx val="3"/>
            <c:invertIfNegative val="0"/>
            <c:bubble3D val="0"/>
            <c:spPr>
              <a:solidFill>
                <a:srgbClr val="3C5E86"/>
              </a:solidFill>
              <a:ln>
                <a:noFill/>
              </a:ln>
              <a:effectLst/>
            </c:spPr>
            <c:extLst>
              <c:ext xmlns:c16="http://schemas.microsoft.com/office/drawing/2014/chart" uri="{C3380CC4-5D6E-409C-BE32-E72D297353CC}">
                <c16:uniqueId val="{00000001-2A4E-4529-BFE7-16C6A194FBF3}"/>
              </c:ext>
            </c:extLst>
          </c:dPt>
          <c:dLbls>
            <c:dLbl>
              <c:idx val="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4E-4529-BFE7-16C6A194FBF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IRACredits!$C$122:$F$122</c:f>
              <c:strCache>
                <c:ptCount val="4"/>
                <c:pt idx="0">
                  <c:v>e-ammonia</c:v>
                </c:pt>
                <c:pt idx="1">
                  <c:v>e-methanol (PS)</c:v>
                </c:pt>
                <c:pt idx="2">
                  <c:v>e-methane liquefied (PS)</c:v>
                </c:pt>
                <c:pt idx="3">
                  <c:v>Blue ammonia (CCS)</c:v>
                </c:pt>
              </c:strCache>
            </c:strRef>
          </c:cat>
          <c:val>
            <c:numRef>
              <c:f>IRACredits!$C$123:$F$123</c:f>
              <c:numCache>
                <c:formatCode>0</c:formatCode>
                <c:ptCount val="4"/>
                <c:pt idx="0">
                  <c:v>15.04874836492289</c:v>
                </c:pt>
                <c:pt idx="1">
                  <c:v>32.574192523097203</c:v>
                </c:pt>
                <c:pt idx="2">
                  <c:v>24.355296874581335</c:v>
                </c:pt>
                <c:pt idx="3">
                  <c:v>18.166695054827279</c:v>
                </c:pt>
              </c:numCache>
            </c:numRef>
          </c:val>
          <c:extLst>
            <c:ext xmlns:c16="http://schemas.microsoft.com/office/drawing/2014/chart" uri="{C3380CC4-5D6E-409C-BE32-E72D297353CC}">
              <c16:uniqueId val="{00000002-2A4E-4529-BFE7-16C6A194FBF3}"/>
            </c:ext>
          </c:extLst>
        </c:ser>
        <c:ser>
          <c:idx val="1"/>
          <c:order val="1"/>
          <c:tx>
            <c:strRef>
              <c:f>IRACredits!$B$124</c:f>
              <c:strCache>
                <c:ptCount val="1"/>
                <c:pt idx="0">
                  <c:v>IRA Credit</c:v>
                </c:pt>
              </c:strCache>
            </c:strRef>
          </c:tx>
          <c:spPr>
            <a:pattFill prst="wdUpDiag">
              <a:fgClr>
                <a:srgbClr val="D9E7E4"/>
              </a:fgClr>
              <a:bgClr>
                <a:schemeClr val="bg1"/>
              </a:bgClr>
            </a:pattFill>
            <a:ln>
              <a:noFill/>
            </a:ln>
            <a:effectLst/>
          </c:spPr>
          <c:invertIfNegative val="0"/>
          <c:dPt>
            <c:idx val="3"/>
            <c:invertIfNegative val="0"/>
            <c:bubble3D val="0"/>
            <c:spPr>
              <a:pattFill prst="wdUpDiag">
                <a:fgClr>
                  <a:srgbClr val="B2C5DC"/>
                </a:fgClr>
                <a:bgClr>
                  <a:schemeClr val="bg1"/>
                </a:bgClr>
              </a:pattFill>
              <a:ln>
                <a:noFill/>
              </a:ln>
              <a:effectLst/>
            </c:spPr>
            <c:extLst>
              <c:ext xmlns:c16="http://schemas.microsoft.com/office/drawing/2014/chart" uri="{C3380CC4-5D6E-409C-BE32-E72D297353CC}">
                <c16:uniqueId val="{00000004-2A4E-4529-BFE7-16C6A194FBF3}"/>
              </c:ext>
            </c:extLst>
          </c:dPt>
          <c:dLbls>
            <c:dLbl>
              <c:idx val="3"/>
              <c:numFmt formatCode="&quot;- &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3C5E86"/>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2A4E-4529-BFE7-16C6A194FBF3}"/>
                </c:ext>
              </c:extLst>
            </c:dLbl>
            <c:numFmt formatCode="&quot;- &quot;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4C787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IRACredits!$C$122:$F$122</c:f>
              <c:strCache>
                <c:ptCount val="4"/>
                <c:pt idx="0">
                  <c:v>e-ammonia</c:v>
                </c:pt>
                <c:pt idx="1">
                  <c:v>e-methanol (PS)</c:v>
                </c:pt>
                <c:pt idx="2">
                  <c:v>e-methane liquefied (PS)</c:v>
                </c:pt>
                <c:pt idx="3">
                  <c:v>Blue ammonia (CCS)</c:v>
                </c:pt>
              </c:strCache>
            </c:strRef>
          </c:cat>
          <c:val>
            <c:numRef>
              <c:f>IRACredits!$C$124:$F$124</c:f>
              <c:numCache>
                <c:formatCode>0</c:formatCode>
                <c:ptCount val="4"/>
                <c:pt idx="0">
                  <c:v>9.5744680851063819</c:v>
                </c:pt>
                <c:pt idx="1">
                  <c:v>9.5477386934673341</c:v>
                </c:pt>
                <c:pt idx="2">
                  <c:v>10</c:v>
                </c:pt>
                <c:pt idx="3">
                  <c:v>2.7127659574468073</c:v>
                </c:pt>
              </c:numCache>
            </c:numRef>
          </c:val>
          <c:extLst>
            <c:ext xmlns:c16="http://schemas.microsoft.com/office/drawing/2014/chart" uri="{C3380CC4-5D6E-409C-BE32-E72D297353CC}">
              <c16:uniqueId val="{00000005-2A4E-4529-BFE7-16C6A194FBF3}"/>
            </c:ext>
          </c:extLst>
        </c:ser>
        <c:dLbls>
          <c:showLegendKey val="0"/>
          <c:showVal val="1"/>
          <c:showCatName val="0"/>
          <c:showSerName val="0"/>
          <c:showPercent val="0"/>
          <c:showBubbleSize val="0"/>
        </c:dLbls>
        <c:gapWidth val="150"/>
        <c:overlap val="100"/>
        <c:axId val="1439934736"/>
        <c:axId val="1415513408"/>
      </c:barChart>
      <c:lineChart>
        <c:grouping val="standard"/>
        <c:varyColors val="0"/>
        <c:ser>
          <c:idx val="2"/>
          <c:order val="2"/>
          <c:tx>
            <c:strRef>
              <c:f>IRACredits!$B$125</c:f>
              <c:strCache>
                <c:ptCount val="1"/>
                <c:pt idx="0">
                  <c:v>LSFO</c:v>
                </c:pt>
              </c:strCache>
            </c:strRef>
          </c:tx>
          <c:spPr>
            <a:ln w="28575" cap="rnd">
              <a:solidFill>
                <a:schemeClr val="tx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2A4E-4529-BFE7-16C6A194FBF3}"/>
                </c:ext>
              </c:extLst>
            </c:dLbl>
            <c:dLbl>
              <c:idx val="1"/>
              <c:delete val="1"/>
              <c:extLst>
                <c:ext xmlns:c15="http://schemas.microsoft.com/office/drawing/2012/chart" uri="{CE6537A1-D6FC-4f65-9D91-7224C49458BB}"/>
                <c:ext xmlns:c16="http://schemas.microsoft.com/office/drawing/2014/chart" uri="{C3380CC4-5D6E-409C-BE32-E72D297353CC}">
                  <c16:uniqueId val="{00000007-2A4E-4529-BFE7-16C6A194FBF3}"/>
                </c:ext>
              </c:extLst>
            </c:dLbl>
            <c:dLbl>
              <c:idx val="2"/>
              <c:delete val="1"/>
              <c:extLst>
                <c:ext xmlns:c15="http://schemas.microsoft.com/office/drawing/2012/chart" uri="{CE6537A1-D6FC-4f65-9D91-7224C49458BB}"/>
                <c:ext xmlns:c16="http://schemas.microsoft.com/office/drawing/2014/chart" uri="{C3380CC4-5D6E-409C-BE32-E72D297353CC}">
                  <c16:uniqueId val="{00000008-2A4E-4529-BFE7-16C6A194FBF3}"/>
                </c:ext>
              </c:extLst>
            </c:dLbl>
            <c:dLbl>
              <c:idx val="3"/>
              <c:layout>
                <c:manualLayout>
                  <c:x val="5.82132943665244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4E-4529-BFE7-16C6A194FB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28575" cap="flat" cmpd="sng" algn="ctr">
                      <a:solidFill>
                        <a:schemeClr val="tx1"/>
                      </a:solidFill>
                      <a:round/>
                    </a:ln>
                    <a:effectLst/>
                  </c:spPr>
                </c15:leaderLines>
              </c:ext>
            </c:extLst>
          </c:dLbls>
          <c:cat>
            <c:strRef>
              <c:f>IRACredits!$C$122:$F$122</c:f>
              <c:strCache>
                <c:ptCount val="4"/>
                <c:pt idx="0">
                  <c:v>e-ammonia</c:v>
                </c:pt>
                <c:pt idx="1">
                  <c:v>e-methanol (PS)</c:v>
                </c:pt>
                <c:pt idx="2">
                  <c:v>e-methane liquefied (PS)</c:v>
                </c:pt>
                <c:pt idx="3">
                  <c:v>Blue ammonia (CCS)</c:v>
                </c:pt>
              </c:strCache>
            </c:strRef>
          </c:cat>
          <c:val>
            <c:numRef>
              <c:f>IRACredits!$C$125:$F$125</c:f>
              <c:numCache>
                <c:formatCode>0</c:formatCode>
                <c:ptCount val="4"/>
                <c:pt idx="0">
                  <c:v>12.983606557377048</c:v>
                </c:pt>
                <c:pt idx="1">
                  <c:v>12.983606557377048</c:v>
                </c:pt>
                <c:pt idx="2">
                  <c:v>12.983606557377048</c:v>
                </c:pt>
                <c:pt idx="3">
                  <c:v>12.983606557377048</c:v>
                </c:pt>
              </c:numCache>
            </c:numRef>
          </c:val>
          <c:smooth val="0"/>
          <c:extLst>
            <c:ext xmlns:c16="http://schemas.microsoft.com/office/drawing/2014/chart" uri="{C3380CC4-5D6E-409C-BE32-E72D297353CC}">
              <c16:uniqueId val="{0000000A-2A4E-4529-BFE7-16C6A194FBF3}"/>
            </c:ext>
          </c:extLst>
        </c:ser>
        <c:ser>
          <c:idx val="3"/>
          <c:order val="3"/>
          <c:tx>
            <c:strRef>
              <c:f>IRACredits!$B$126</c:f>
              <c:strCache>
                <c:ptCount val="1"/>
                <c:pt idx="0">
                  <c:v>LNG</c:v>
                </c:pt>
              </c:strCache>
            </c:strRef>
          </c:tx>
          <c:spPr>
            <a:ln w="28575" cap="rnd">
              <a:solidFill>
                <a:schemeClr val="bg1">
                  <a:lumMod val="50000"/>
                </a:schemeClr>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B-2A4E-4529-BFE7-16C6A194FBF3}"/>
                </c:ext>
              </c:extLst>
            </c:dLbl>
            <c:dLbl>
              <c:idx val="1"/>
              <c:delete val="1"/>
              <c:extLst>
                <c:ext xmlns:c15="http://schemas.microsoft.com/office/drawing/2012/chart" uri="{CE6537A1-D6FC-4f65-9D91-7224C49458BB}"/>
                <c:ext xmlns:c16="http://schemas.microsoft.com/office/drawing/2014/chart" uri="{C3380CC4-5D6E-409C-BE32-E72D297353CC}">
                  <c16:uniqueId val="{0000000C-2A4E-4529-BFE7-16C6A194FBF3}"/>
                </c:ext>
              </c:extLst>
            </c:dLbl>
            <c:dLbl>
              <c:idx val="2"/>
              <c:delete val="1"/>
              <c:extLst>
                <c:ext xmlns:c15="http://schemas.microsoft.com/office/drawing/2012/chart" uri="{CE6537A1-D6FC-4f65-9D91-7224C49458BB}"/>
                <c:ext xmlns:c16="http://schemas.microsoft.com/office/drawing/2014/chart" uri="{C3380CC4-5D6E-409C-BE32-E72D297353CC}">
                  <c16:uniqueId val="{0000000D-2A4E-4529-BFE7-16C6A194FBF3}"/>
                </c:ext>
              </c:extLst>
            </c:dLbl>
            <c:dLbl>
              <c:idx val="3"/>
              <c:layout>
                <c:manualLayout>
                  <c:x val="6.37560637560637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4E-4529-BFE7-16C6A194FB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28575" cap="flat" cmpd="sng" algn="ctr">
                      <a:solidFill>
                        <a:schemeClr val="bg1">
                          <a:lumMod val="50000"/>
                        </a:schemeClr>
                      </a:solidFill>
                      <a:round/>
                    </a:ln>
                    <a:effectLst/>
                  </c:spPr>
                </c15:leaderLines>
              </c:ext>
            </c:extLst>
          </c:dLbls>
          <c:cat>
            <c:strRef>
              <c:f>IRACredits!$C$122:$F$122</c:f>
              <c:strCache>
                <c:ptCount val="4"/>
                <c:pt idx="0">
                  <c:v>e-ammonia</c:v>
                </c:pt>
                <c:pt idx="1">
                  <c:v>e-methanol (PS)</c:v>
                </c:pt>
                <c:pt idx="2">
                  <c:v>e-methane liquefied (PS)</c:v>
                </c:pt>
                <c:pt idx="3">
                  <c:v>Blue ammonia (CCS)</c:v>
                </c:pt>
              </c:strCache>
            </c:strRef>
          </c:cat>
          <c:val>
            <c:numRef>
              <c:f>IRACredits!$C$126:$F$126</c:f>
              <c:numCache>
                <c:formatCode>0</c:formatCode>
                <c:ptCount val="4"/>
                <c:pt idx="0">
                  <c:v>8.6274136382529463</c:v>
                </c:pt>
                <c:pt idx="1">
                  <c:v>8.6274136382529463</c:v>
                </c:pt>
                <c:pt idx="2">
                  <c:v>8.6274136382529463</c:v>
                </c:pt>
                <c:pt idx="3">
                  <c:v>8.6274136382529463</c:v>
                </c:pt>
              </c:numCache>
            </c:numRef>
          </c:val>
          <c:smooth val="0"/>
          <c:extLst>
            <c:ext xmlns:c16="http://schemas.microsoft.com/office/drawing/2014/chart" uri="{C3380CC4-5D6E-409C-BE32-E72D297353CC}">
              <c16:uniqueId val="{0000000F-2A4E-4529-BFE7-16C6A194FBF3}"/>
            </c:ext>
          </c:extLst>
        </c:ser>
        <c:dLbls>
          <c:showLegendKey val="0"/>
          <c:showVal val="0"/>
          <c:showCatName val="0"/>
          <c:showSerName val="0"/>
          <c:showPercent val="0"/>
          <c:showBubbleSize val="0"/>
        </c:dLbls>
        <c:marker val="1"/>
        <c:smooth val="0"/>
        <c:axId val="1439934736"/>
        <c:axId val="1415513408"/>
      </c:lineChart>
      <c:catAx>
        <c:axId val="143993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5513408"/>
        <c:crosses val="autoZero"/>
        <c:auto val="1"/>
        <c:lblAlgn val="ctr"/>
        <c:lblOffset val="100"/>
        <c:noMultiLvlLbl val="0"/>
      </c:catAx>
      <c:valAx>
        <c:axId val="1415513408"/>
        <c:scaling>
          <c:orientation val="minMax"/>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USD/GJ</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crossAx val="1439934736"/>
        <c:crosses val="autoZero"/>
        <c:crossBetween val="between"/>
      </c:valAx>
      <c:spPr>
        <a:noFill/>
        <a:ln>
          <a:noFill/>
        </a:ln>
        <a:effectLst/>
      </c:spPr>
    </c:plotArea>
    <c:legend>
      <c:legendPos val="t"/>
      <c:layout>
        <c:manualLayout>
          <c:xMode val="edge"/>
          <c:yMode val="edge"/>
          <c:x val="4.6019199056428629E-2"/>
          <c:y val="0.24210778530732438"/>
          <c:w val="0.41434534275448581"/>
          <c:h val="0.157284607716718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3. SMF: </a:t>
            </a:r>
            <a:r>
              <a:rPr lang="en-US" sz="1200"/>
              <a:t>Fully SMF</a:t>
            </a:r>
            <a:r>
              <a:rPr lang="en-US" sz="1200" baseline="0"/>
              <a:t> with benefits from pooling surplus</a:t>
            </a:r>
            <a:endParaRPr lang="en-US" sz="1200"/>
          </a:p>
        </c:rich>
      </c:tx>
      <c:layout>
        <c:manualLayout>
          <c:xMode val="edge"/>
          <c:yMode val="edge"/>
          <c:x val="0.12906863817002137"/>
          <c:y val="1.481811224474164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6711896476321194E-2"/>
          <c:y val="0.26089581757974151"/>
          <c:w val="0.91367885181773145"/>
          <c:h val="0.5298137520238182"/>
        </c:manualLayout>
      </c:layout>
      <c:barChart>
        <c:barDir val="col"/>
        <c:grouping val="stacked"/>
        <c:varyColors val="0"/>
        <c:ser>
          <c:idx val="1"/>
          <c:order val="0"/>
          <c:tx>
            <c:strRef>
              <c:f>'FuelEU and ETS'!$B$139</c:f>
              <c:strCache>
                <c:ptCount val="1"/>
                <c:pt idx="0">
                  <c:v>Cost after pooling</c:v>
                </c:pt>
              </c:strCache>
            </c:strRef>
          </c:tx>
          <c:spPr>
            <a:solidFill>
              <a:srgbClr val="5E948A"/>
            </a:solidFill>
            <a:ln>
              <a:noFill/>
            </a:ln>
            <a:effectLst/>
          </c:spPr>
          <c:invertIfNegative val="0"/>
          <c:dLbls>
            <c:dLbl>
              <c:idx val="0"/>
              <c:layout>
                <c:manualLayout>
                  <c:x val="5.294505443804538E-4"/>
                  <c:y val="-2.7738579664624823E-3"/>
                </c:manualLayout>
              </c:layout>
              <c:tx>
                <c:rich>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fld id="{DCFDBCFD-4004-41A8-9383-51687E9FC5F1}" type="SERIESNAME">
                      <a:rPr lang="en-US" sz="1050" b="0"/>
                      <a:pPr>
                        <a:defRPr sz="1050" b="1"/>
                      </a:pPr>
                      <a:t>[]</a:t>
                    </a:fld>
                    <a:r>
                      <a:rPr lang="en-US" sz="1050" baseline="0"/>
                      <a:t> </a:t>
                    </a:r>
                    <a:fld id="{772A62A9-66D9-461D-AFFB-EDF303BC8710}" type="VALUE">
                      <a:rPr lang="en-US" sz="1050" baseline="0"/>
                      <a:pPr>
                        <a:defRPr sz="1050" b="1"/>
                      </a:pPr>
                      <a:t>[]</a:t>
                    </a:fld>
                    <a:endParaRPr lang="en-US" sz="1050" baseline="0"/>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1"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1"/>
              <c:showPercent val="0"/>
              <c:showBubbleSize val="0"/>
              <c:separator> </c:separator>
              <c:extLst>
                <c:ext xmlns:c15="http://schemas.microsoft.com/office/drawing/2012/chart" uri="{CE6537A1-D6FC-4f65-9D91-7224C49458BB}">
                  <c15:spPr xmlns:c15="http://schemas.microsoft.com/office/drawing/2012/chart">
                    <a:prstGeom prst="roundRect">
                      <a:avLst/>
                    </a:prstGeom>
                    <a:noFill/>
                    <a:ln>
                      <a:noFill/>
                    </a:ln>
                  </c15:spPr>
                  <c15:layout>
                    <c:manualLayout>
                      <c:w val="0.22166870984648046"/>
                      <c:h val="0.18187458142440394"/>
                    </c:manualLayout>
                  </c15:layout>
                  <c15:dlblFieldTable/>
                  <c15:showDataLabelsRange val="0"/>
                </c:ext>
                <c:ext xmlns:c16="http://schemas.microsoft.com/office/drawing/2014/chart" uri="{C3380CC4-5D6E-409C-BE32-E72D297353CC}">
                  <c16:uniqueId val="{00000000-84DF-452F-9FA9-9FE5B745E2B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End"/>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'FuelEU and ETS'!$E$139</c:f>
              <c:numCache>
                <c:formatCode>0</c:formatCode>
                <c:ptCount val="1"/>
                <c:pt idx="0">
                  <c:v>1868.5260011101909</c:v>
                </c:pt>
              </c:numCache>
            </c:numRef>
          </c:val>
          <c:extLst>
            <c:ext xmlns:c16="http://schemas.microsoft.com/office/drawing/2014/chart" uri="{C3380CC4-5D6E-409C-BE32-E72D297353CC}">
              <c16:uniqueId val="{00000001-84DF-452F-9FA9-9FE5B745E2B2}"/>
            </c:ext>
          </c:extLst>
        </c:ser>
        <c:ser>
          <c:idx val="0"/>
          <c:order val="1"/>
          <c:tx>
            <c:strRef>
              <c:f>'FuelEU and ETS'!$B$138</c:f>
              <c:strCache>
                <c:ptCount val="1"/>
                <c:pt idx="0">
                  <c:v>Surplus value </c:v>
                </c:pt>
              </c:strCache>
            </c:strRef>
          </c:tx>
          <c:spPr>
            <a:pattFill prst="ltUpDiag">
              <a:fgClr>
                <a:srgbClr val="4C7870"/>
              </a:fgClr>
              <a:bgClr>
                <a:schemeClr val="bg1"/>
              </a:bgClr>
            </a:patt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13188533456108242"/>
                      <c:h val="6.0119250770362918E-2"/>
                    </c:manualLayout>
                  </c15:layout>
                </c:ext>
                <c:ext xmlns:c16="http://schemas.microsoft.com/office/drawing/2014/chart" uri="{C3380CC4-5D6E-409C-BE32-E72D297353CC}">
                  <c16:uniqueId val="{00000002-84DF-452F-9FA9-9FE5B745E2B2}"/>
                </c:ext>
              </c:extLst>
            </c:dLbl>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chemeClr val="dk1">
                        <a:lumMod val="65000"/>
                        <a:lumOff val="3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'FuelEU and ETS'!$C$12</c:f>
              <c:numCache>
                <c:formatCode>General</c:formatCode>
                <c:ptCount val="1"/>
                <c:pt idx="0">
                  <c:v>2027</c:v>
                </c:pt>
              </c:numCache>
            </c:numRef>
          </c:cat>
          <c:val>
            <c:numRef>
              <c:f>'FuelEU and ETS'!$E$138</c:f>
              <c:numCache>
                <c:formatCode>0</c:formatCode>
                <c:ptCount val="1"/>
                <c:pt idx="0">
                  <c:v>411.47399888980908</c:v>
                </c:pt>
              </c:numCache>
            </c:numRef>
          </c:val>
          <c:extLst>
            <c:ext xmlns:c16="http://schemas.microsoft.com/office/drawing/2014/chart" uri="{C3380CC4-5D6E-409C-BE32-E72D297353CC}">
              <c16:uniqueId val="{00000003-84DF-452F-9FA9-9FE5B745E2B2}"/>
            </c:ext>
          </c:extLst>
        </c:ser>
        <c:dLbls>
          <c:showLegendKey val="0"/>
          <c:showVal val="0"/>
          <c:showCatName val="0"/>
          <c:showSerName val="0"/>
          <c:showPercent val="0"/>
          <c:showBubbleSize val="0"/>
        </c:dLbls>
        <c:gapWidth val="150"/>
        <c:overlap val="100"/>
        <c:axId val="1015178368"/>
        <c:axId val="1015175488"/>
      </c:barChart>
      <c:catAx>
        <c:axId val="1015178368"/>
        <c:scaling>
          <c:orientation val="minMax"/>
        </c:scaling>
        <c:delete val="1"/>
        <c:axPos val="b"/>
        <c:numFmt formatCode="General" sourceLinked="1"/>
        <c:majorTickMark val="none"/>
        <c:minorTickMark val="none"/>
        <c:tickLblPos val="nextTo"/>
        <c:crossAx val="1015175488"/>
        <c:crosses val="autoZero"/>
        <c:auto val="1"/>
        <c:lblAlgn val="ctr"/>
        <c:lblOffset val="100"/>
        <c:noMultiLvlLbl val="0"/>
      </c:catAx>
      <c:valAx>
        <c:axId val="1015175488"/>
        <c:scaling>
          <c:orientation val="minMax"/>
          <c:min val="0"/>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USD/Tonne</a:t>
                </a:r>
                <a:r>
                  <a:rPr lang="en-US" baseline="0"/>
                  <a:t> LSFO-eq</a:t>
                </a:r>
                <a:endParaRPr lang="en-US"/>
              </a:p>
            </c:rich>
          </c:tx>
          <c:layout>
            <c:manualLayout>
              <c:xMode val="edge"/>
              <c:yMode val="edge"/>
              <c:x val="1.1900696587310277E-2"/>
              <c:y val="0.3199207364111902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crossAx val="1015178368"/>
        <c:crosses val="autoZero"/>
        <c:crossBetween val="between"/>
      </c:valAx>
      <c:spPr>
        <a:noFill/>
        <a:ln>
          <a:noFill/>
        </a:ln>
        <a:effectLst/>
      </c:spPr>
    </c:plotArea>
    <c:legend>
      <c:legendPos val="t"/>
      <c:layout>
        <c:manualLayout>
          <c:xMode val="edge"/>
          <c:yMode val="edge"/>
          <c:x val="0.24771034662077249"/>
          <c:y val="0.81737905288978208"/>
          <c:w val="0.53183510868623873"/>
          <c:h val="0.151532698297491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1. BAU: </a:t>
            </a:r>
            <a:r>
              <a:rPr lang="en-US" sz="1200" b="0" i="0" u="none" strike="noStrike" kern="1200" spc="0" baseline="0">
                <a:solidFill>
                  <a:sysClr val="windowText" lastClr="000000">
                    <a:lumMod val="65000"/>
                    <a:lumOff val="35000"/>
                  </a:sysClr>
                </a:solidFill>
              </a:rPr>
              <a:t>LSFO with ETS and lowest cost FuelEU compliance</a:t>
            </a:r>
          </a:p>
        </c:rich>
      </c:tx>
      <c:layout>
        <c:manualLayout>
          <c:xMode val="edge"/>
          <c:yMode val="edge"/>
          <c:x val="0.15252145908104642"/>
          <c:y val="1.477610707364435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818029589645594E-2"/>
          <c:y val="0.27421003092123403"/>
          <c:w val="0.95373350932146073"/>
          <c:h val="0.53385232209594935"/>
        </c:manualLayout>
      </c:layout>
      <c:barChart>
        <c:barDir val="col"/>
        <c:grouping val="stacked"/>
        <c:varyColors val="0"/>
        <c:ser>
          <c:idx val="0"/>
          <c:order val="0"/>
          <c:tx>
            <c:strRef>
              <c:f>'FuelEU and ETS'!$B$102</c:f>
              <c:strCache>
                <c:ptCount val="1"/>
                <c:pt idx="0">
                  <c:v>LSFO cost</c:v>
                </c:pt>
              </c:strCache>
            </c:strRef>
          </c:tx>
          <c:spPr>
            <a:solidFill>
              <a:schemeClr val="bg1">
                <a:lumMod val="50000"/>
              </a:schemeClr>
            </a:solidFill>
            <a:ln>
              <a:noFill/>
            </a:ln>
            <a:effectLst/>
          </c:spPr>
          <c:invertIfNegative val="0"/>
          <c:dPt>
            <c:idx val="0"/>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1-236E-4B93-A6CA-1FB8822515CC}"/>
              </c:ext>
            </c:extLst>
          </c:dPt>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11957342579276742"/>
                      <c:h val="6.8949893300133056E-2"/>
                    </c:manualLayout>
                  </c15:layout>
                </c:ext>
                <c:ext xmlns:c16="http://schemas.microsoft.com/office/drawing/2014/chart" uri="{C3380CC4-5D6E-409C-BE32-E72D297353CC}">
                  <c16:uniqueId val="{00000001-236E-4B93-A6CA-1FB8822515CC}"/>
                </c:ext>
              </c:extLst>
            </c:dLbl>
            <c:spPr>
              <a:solidFill>
                <a:schemeClr val="bg1">
                  <a:lumMod val="50000"/>
                </a:scheme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numRef>
              <c:f>'FuelEU and ETS'!$C$12</c:f>
              <c:numCache>
                <c:formatCode>General</c:formatCode>
                <c:ptCount val="1"/>
                <c:pt idx="0">
                  <c:v>2027</c:v>
                </c:pt>
              </c:numCache>
            </c:numRef>
          </c:cat>
          <c:val>
            <c:numRef>
              <c:f>'FuelEU and ETS'!$E$102</c:f>
              <c:numCache>
                <c:formatCode>0</c:formatCode>
                <c:ptCount val="1"/>
                <c:pt idx="0">
                  <c:v>600</c:v>
                </c:pt>
              </c:numCache>
            </c:numRef>
          </c:val>
          <c:extLst>
            <c:ext xmlns:c16="http://schemas.microsoft.com/office/drawing/2014/chart" uri="{C3380CC4-5D6E-409C-BE32-E72D297353CC}">
              <c16:uniqueId val="{00000002-236E-4B93-A6CA-1FB8822515CC}"/>
            </c:ext>
          </c:extLst>
        </c:ser>
        <c:ser>
          <c:idx val="2"/>
          <c:order val="1"/>
          <c:tx>
            <c:strRef>
              <c:f>'FuelEU and ETS'!$B$104</c:f>
              <c:strCache>
                <c:ptCount val="1"/>
                <c:pt idx="0">
                  <c:v>ETS Costs</c:v>
                </c:pt>
              </c:strCache>
            </c:strRef>
          </c:tx>
          <c:spPr>
            <a:solidFill>
              <a:srgbClr val="68A4C2"/>
            </a:solidFill>
            <a:ln>
              <a:noFill/>
            </a:ln>
            <a:effectLst/>
          </c:spPr>
          <c:invertIfNegative val="0"/>
          <c:dLbls>
            <c:dLbl>
              <c:idx val="0"/>
              <c:spPr>
                <a:solidFill>
                  <a:srgbClr val="68A4C2"/>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15:layout>
                    <c:manualLayout>
                      <c:w val="0.11123368990629288"/>
                      <c:h val="6.8949893300133056E-2"/>
                    </c:manualLayout>
                  </c15:layout>
                </c:ext>
                <c:ext xmlns:c16="http://schemas.microsoft.com/office/drawing/2014/chart" uri="{C3380CC4-5D6E-409C-BE32-E72D297353CC}">
                  <c16:uniqueId val="{00000003-236E-4B93-A6CA-1FB8822515CC}"/>
                </c:ext>
              </c:extLst>
            </c:dLbl>
            <c:spPr>
              <a:solidFill>
                <a:srgbClr val="68A4C2"/>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'FuelEU and ETS'!$C$12</c:f>
              <c:numCache>
                <c:formatCode>General</c:formatCode>
                <c:ptCount val="1"/>
                <c:pt idx="0">
                  <c:v>2027</c:v>
                </c:pt>
              </c:numCache>
            </c:numRef>
          </c:cat>
          <c:val>
            <c:numRef>
              <c:f>'FuelEU and ETS'!$E$104</c:f>
              <c:numCache>
                <c:formatCode>0</c:formatCode>
                <c:ptCount val="1"/>
                <c:pt idx="0">
                  <c:v>408.17418887332127</c:v>
                </c:pt>
              </c:numCache>
            </c:numRef>
          </c:val>
          <c:extLst>
            <c:ext xmlns:c16="http://schemas.microsoft.com/office/drawing/2014/chart" uri="{C3380CC4-5D6E-409C-BE32-E72D297353CC}">
              <c16:uniqueId val="{00000004-236E-4B93-A6CA-1FB8822515CC}"/>
            </c:ext>
          </c:extLst>
        </c:ser>
        <c:ser>
          <c:idx val="1"/>
          <c:order val="2"/>
          <c:tx>
            <c:strRef>
              <c:f>'FuelEU and ETS'!$B$103</c:f>
              <c:strCache>
                <c:ptCount val="1"/>
                <c:pt idx="0">
                  <c:v>FuelEU - Additional cost to blend 3% biodiesel</c:v>
                </c:pt>
              </c:strCache>
            </c:strRef>
          </c:tx>
          <c:spPr>
            <a:solidFill>
              <a:srgbClr val="2C4068"/>
            </a:solidFill>
            <a:ln>
              <a:noFill/>
            </a:ln>
            <a:effectLst/>
          </c:spPr>
          <c:invertIfNegative val="0"/>
          <c:dLbls>
            <c:dLbl>
              <c:idx val="0"/>
              <c:spPr>
                <a:solidFill>
                  <a:srgbClr val="2C4068"/>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15:layout>
                    <c:manualLayout>
                      <c:w val="0.10838438959043357"/>
                      <c:h val="7.160825129254747E-2"/>
                    </c:manualLayout>
                  </c15:layout>
                </c:ext>
                <c:ext xmlns:c16="http://schemas.microsoft.com/office/drawing/2014/chart" uri="{C3380CC4-5D6E-409C-BE32-E72D297353CC}">
                  <c16:uniqueId val="{00000005-236E-4B93-A6CA-1FB8822515CC}"/>
                </c:ext>
              </c:extLst>
            </c:dLbl>
            <c:spPr>
              <a:solidFill>
                <a:srgbClr val="2C4068"/>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'FuelEU and ETS'!$C$12</c:f>
              <c:numCache>
                <c:formatCode>General</c:formatCode>
                <c:ptCount val="1"/>
                <c:pt idx="0">
                  <c:v>2027</c:v>
                </c:pt>
              </c:numCache>
            </c:numRef>
          </c:cat>
          <c:val>
            <c:numRef>
              <c:f>'FuelEU and ETS'!$E$103</c:f>
              <c:numCache>
                <c:formatCode>0</c:formatCode>
                <c:ptCount val="1"/>
                <c:pt idx="0">
                  <c:v>21.380123386028952</c:v>
                </c:pt>
              </c:numCache>
            </c:numRef>
          </c:val>
          <c:extLst>
            <c:ext xmlns:c16="http://schemas.microsoft.com/office/drawing/2014/chart" uri="{C3380CC4-5D6E-409C-BE32-E72D297353CC}">
              <c16:uniqueId val="{00000006-236E-4B93-A6CA-1FB8822515CC}"/>
            </c:ext>
          </c:extLst>
        </c:ser>
        <c:dLbls>
          <c:dLblPos val="ctr"/>
          <c:showLegendKey val="0"/>
          <c:showVal val="1"/>
          <c:showCatName val="0"/>
          <c:showSerName val="0"/>
          <c:showPercent val="0"/>
          <c:showBubbleSize val="0"/>
        </c:dLbls>
        <c:gapWidth val="150"/>
        <c:overlap val="100"/>
        <c:axId val="1015178368"/>
        <c:axId val="1015175488"/>
      </c:barChart>
      <c:lineChart>
        <c:grouping val="standard"/>
        <c:varyColors val="0"/>
        <c:ser>
          <c:idx val="3"/>
          <c:order val="3"/>
          <c:tx>
            <c:strRef>
              <c:f>'FuelEU and ETS'!$B$105</c:f>
              <c:strCache>
                <c:ptCount val="1"/>
                <c:pt idx="0">
                  <c:v>Total</c:v>
                </c:pt>
              </c:strCache>
            </c:strRef>
          </c:tx>
          <c:spPr>
            <a:ln w="28575" cap="rnd">
              <a:solidFill>
                <a:schemeClr val="accent4"/>
              </a:solidFill>
              <a:round/>
            </a:ln>
            <a:effectLst/>
          </c:spPr>
          <c:marker>
            <c:symbol val="none"/>
          </c:marker>
          <c:dLbls>
            <c:dLbl>
              <c:idx val="0"/>
              <c:layout>
                <c:manualLayout>
                  <c:x val="-9.4489207593756355E-2"/>
                  <c:y val="-0.12102534381272592"/>
                </c:manualLayout>
              </c:layout>
              <c:dLblPos val="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36E-4B93-A6CA-1FB8822515C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'FuelEU and ETS'!$E$105</c:f>
              <c:numCache>
                <c:formatCode>0</c:formatCode>
                <c:ptCount val="1"/>
                <c:pt idx="0">
                  <c:v>1029.5543122593501</c:v>
                </c:pt>
              </c:numCache>
            </c:numRef>
          </c:val>
          <c:smooth val="0"/>
          <c:extLst>
            <c:ext xmlns:c16="http://schemas.microsoft.com/office/drawing/2014/chart" uri="{C3380CC4-5D6E-409C-BE32-E72D297353CC}">
              <c16:uniqueId val="{00000008-236E-4B93-A6CA-1FB8822515CC}"/>
            </c:ext>
          </c:extLst>
        </c:ser>
        <c:dLbls>
          <c:dLblPos val="ctr"/>
          <c:showLegendKey val="0"/>
          <c:showVal val="1"/>
          <c:showCatName val="0"/>
          <c:showSerName val="0"/>
          <c:showPercent val="0"/>
          <c:showBubbleSize val="0"/>
        </c:dLbls>
        <c:marker val="1"/>
        <c:smooth val="0"/>
        <c:axId val="1015178368"/>
        <c:axId val="1015175488"/>
      </c:lineChart>
      <c:catAx>
        <c:axId val="1015178368"/>
        <c:scaling>
          <c:orientation val="minMax"/>
        </c:scaling>
        <c:delete val="1"/>
        <c:axPos val="b"/>
        <c:numFmt formatCode="General" sourceLinked="1"/>
        <c:majorTickMark val="none"/>
        <c:minorTickMark val="none"/>
        <c:tickLblPos val="nextTo"/>
        <c:crossAx val="1015175488"/>
        <c:crosses val="autoZero"/>
        <c:auto val="1"/>
        <c:lblAlgn val="ctr"/>
        <c:lblOffset val="100"/>
        <c:noMultiLvlLbl val="0"/>
      </c:catAx>
      <c:valAx>
        <c:axId val="1015175488"/>
        <c:scaling>
          <c:orientation val="minMax"/>
          <c:min val="0"/>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USD/Tonne</a:t>
                </a:r>
                <a:r>
                  <a:rPr lang="en-US" baseline="0"/>
                  <a:t> LSFO</a:t>
                </a:r>
                <a:endParaRPr lang="en-US"/>
              </a:p>
            </c:rich>
          </c:tx>
          <c:layout>
            <c:manualLayout>
              <c:xMode val="edge"/>
              <c:yMode val="edge"/>
              <c:x val="1.4853618756728719E-2"/>
              <c:y val="0.334743646584865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crossAx val="1015178368"/>
        <c:crosses val="autoZero"/>
        <c:crossBetween val="between"/>
      </c:valAx>
      <c:spPr>
        <a:noFill/>
        <a:ln>
          <a:noFill/>
        </a:ln>
        <a:effectLst/>
      </c:spPr>
    </c:plotArea>
    <c:legend>
      <c:legendPos val="t"/>
      <c:legendEntry>
        <c:idx val="3"/>
        <c:delete val="1"/>
      </c:legendEntry>
      <c:layout>
        <c:manualLayout>
          <c:xMode val="edge"/>
          <c:yMode val="edge"/>
          <c:x val="5.8128818301061799E-2"/>
          <c:y val="0.80715049955294882"/>
          <c:w val="0.89999976608474397"/>
          <c:h val="0.1766365480667309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ysClr val="windowText" lastClr="000000">
                    <a:lumMod val="65000"/>
                    <a:lumOff val="35000"/>
                  </a:sysClr>
                </a:solidFill>
              </a:rPr>
              <a:t>2. SMF: </a:t>
            </a:r>
            <a:r>
              <a:rPr lang="en-US" sz="1200" b="0" i="0" u="none" strike="noStrike" kern="1200" spc="0" baseline="0">
                <a:solidFill>
                  <a:sysClr val="windowText" lastClr="000000">
                    <a:lumMod val="65000"/>
                    <a:lumOff val="35000"/>
                  </a:sysClr>
                </a:solidFill>
              </a:rPr>
              <a:t>Blending minimum share of SMF to meet FuelEU target</a:t>
            </a:r>
          </a:p>
        </c:rich>
      </c:tx>
      <c:layout>
        <c:manualLayout>
          <c:xMode val="edge"/>
          <c:yMode val="edge"/>
          <c:x val="0.12170339311827578"/>
          <c:y val="1.477607071144895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486164762564286E-2"/>
          <c:y val="0.27421003170646413"/>
          <c:w val="0.93288409201374478"/>
          <c:h val="0.53392657956366729"/>
        </c:manualLayout>
      </c:layout>
      <c:barChart>
        <c:barDir val="col"/>
        <c:grouping val="stacked"/>
        <c:varyColors val="0"/>
        <c:ser>
          <c:idx val="0"/>
          <c:order val="0"/>
          <c:tx>
            <c:strRef>
              <c:f>'FuelEU and ETS'!$B$118</c:f>
              <c:strCache>
                <c:ptCount val="1"/>
                <c:pt idx="0">
                  <c:v>LSFO cost</c:v>
                </c:pt>
              </c:strCache>
            </c:strRef>
          </c:tx>
          <c:spPr>
            <a:solidFill>
              <a:schemeClr val="tx1">
                <a:lumMod val="50000"/>
                <a:lumOff val="50000"/>
              </a:schemeClr>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10673595332625162"/>
                      <c:h val="6.8585978526375754E-2"/>
                    </c:manualLayout>
                  </c15:layout>
                </c:ext>
                <c:ext xmlns:c16="http://schemas.microsoft.com/office/drawing/2014/chart" uri="{C3380CC4-5D6E-409C-BE32-E72D297353CC}">
                  <c16:uniqueId val="{00000000-1566-4D0E-B42F-4AC2C567BD1E}"/>
                </c:ext>
              </c:extLst>
            </c:dLbl>
            <c:spPr>
              <a:solidFill>
                <a:schemeClr val="bg1">
                  <a:lumMod val="50000"/>
                </a:scheme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numRef>
              <c:f>'FuelEU and ETS'!$C$12</c:f>
              <c:numCache>
                <c:formatCode>General</c:formatCode>
                <c:ptCount val="1"/>
                <c:pt idx="0">
                  <c:v>2027</c:v>
                </c:pt>
              </c:numCache>
            </c:numRef>
          </c:cat>
          <c:val>
            <c:numRef>
              <c:f>'FuelEU and ETS'!$E$118</c:f>
              <c:numCache>
                <c:formatCode>0</c:formatCode>
                <c:ptCount val="1"/>
                <c:pt idx="0">
                  <c:v>600</c:v>
                </c:pt>
              </c:numCache>
            </c:numRef>
          </c:val>
          <c:extLst>
            <c:ext xmlns:c16="http://schemas.microsoft.com/office/drawing/2014/chart" uri="{C3380CC4-5D6E-409C-BE32-E72D297353CC}">
              <c16:uniqueId val="{00000001-1566-4D0E-B42F-4AC2C567BD1E}"/>
            </c:ext>
          </c:extLst>
        </c:ser>
        <c:ser>
          <c:idx val="2"/>
          <c:order val="1"/>
          <c:tx>
            <c:strRef>
              <c:f>'FuelEU and ETS'!$B$120</c:f>
              <c:strCache>
                <c:ptCount val="1"/>
                <c:pt idx="0">
                  <c:v>ETS Costs</c:v>
                </c:pt>
              </c:strCache>
            </c:strRef>
          </c:tx>
          <c:spPr>
            <a:solidFill>
              <a:srgbClr val="68A4C2"/>
            </a:solidFill>
            <a:ln>
              <a:noFill/>
            </a:ln>
            <a:effectLst/>
          </c:spPr>
          <c:invertIfNegative val="0"/>
          <c:dLbls>
            <c:dLbl>
              <c:idx val="0"/>
              <c:spPr>
                <a:solidFill>
                  <a:srgbClr val="68A4C2"/>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15:layout>
                    <c:manualLayout>
                      <c:w val="0.11059263537713188"/>
                      <c:h val="6.8585978526375754E-2"/>
                    </c:manualLayout>
                  </c15:layout>
                </c:ext>
                <c:ext xmlns:c16="http://schemas.microsoft.com/office/drawing/2014/chart" uri="{C3380CC4-5D6E-409C-BE32-E72D297353CC}">
                  <c16:uniqueId val="{00000002-1566-4D0E-B42F-4AC2C567BD1E}"/>
                </c:ext>
              </c:extLst>
            </c:dLbl>
            <c:spPr>
              <a:solidFill>
                <a:srgbClr val="68A4C2"/>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'FuelEU and ETS'!$C$12</c:f>
              <c:numCache>
                <c:formatCode>General</c:formatCode>
                <c:ptCount val="1"/>
                <c:pt idx="0">
                  <c:v>2027</c:v>
                </c:pt>
              </c:numCache>
            </c:numRef>
          </c:cat>
          <c:val>
            <c:numRef>
              <c:f>'FuelEU and ETS'!$E$120</c:f>
              <c:numCache>
                <c:formatCode>0</c:formatCode>
                <c:ptCount val="1"/>
                <c:pt idx="0">
                  <c:v>408.17418887332127</c:v>
                </c:pt>
              </c:numCache>
            </c:numRef>
          </c:val>
          <c:extLst>
            <c:ext xmlns:c16="http://schemas.microsoft.com/office/drawing/2014/chart" uri="{C3380CC4-5D6E-409C-BE32-E72D297353CC}">
              <c16:uniqueId val="{00000003-1566-4D0E-B42F-4AC2C567BD1E}"/>
            </c:ext>
          </c:extLst>
        </c:ser>
        <c:ser>
          <c:idx val="1"/>
          <c:order val="2"/>
          <c:tx>
            <c:strRef>
              <c:f>'FuelEU and ETS'!$B$119</c:f>
              <c:strCache>
                <c:ptCount val="1"/>
                <c:pt idx="0">
                  <c:v>FuelEU - Additional cost to blend 3% SMF</c:v>
                </c:pt>
              </c:strCache>
            </c:strRef>
          </c:tx>
          <c:spPr>
            <a:solidFill>
              <a:srgbClr val="6EA49A"/>
            </a:solidFill>
            <a:ln>
              <a:noFill/>
            </a:ln>
            <a:effectLst/>
          </c:spPr>
          <c:invertIfNegative val="0"/>
          <c:dLbls>
            <c:dLbl>
              <c:idx val="0"/>
              <c:spPr>
                <a:solidFill>
                  <a:srgbClr val="6EA49A"/>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15:layout>
                    <c:manualLayout>
                      <c:w val="0.10605997110221543"/>
                      <c:h val="7.1230305811836592E-2"/>
                    </c:manualLayout>
                  </c15:layout>
                </c:ext>
                <c:ext xmlns:c16="http://schemas.microsoft.com/office/drawing/2014/chart" uri="{C3380CC4-5D6E-409C-BE32-E72D297353CC}">
                  <c16:uniqueId val="{00000004-1566-4D0E-B42F-4AC2C567BD1E}"/>
                </c:ext>
              </c:extLst>
            </c:dLbl>
            <c:spPr>
              <a:solidFill>
                <a:srgbClr val="6EA49A"/>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'FuelEU and ETS'!$C$12</c:f>
              <c:numCache>
                <c:formatCode>General</c:formatCode>
                <c:ptCount val="1"/>
                <c:pt idx="0">
                  <c:v>2027</c:v>
                </c:pt>
              </c:numCache>
            </c:numRef>
          </c:cat>
          <c:val>
            <c:numRef>
              <c:f>'FuelEU and ETS'!$E$119</c:f>
              <c:numCache>
                <c:formatCode>0</c:formatCode>
                <c:ptCount val="1"/>
                <c:pt idx="0">
                  <c:v>46.27971944790653</c:v>
                </c:pt>
              </c:numCache>
            </c:numRef>
          </c:val>
          <c:extLst>
            <c:ext xmlns:c16="http://schemas.microsoft.com/office/drawing/2014/chart" uri="{C3380CC4-5D6E-409C-BE32-E72D297353CC}">
              <c16:uniqueId val="{00000005-1566-4D0E-B42F-4AC2C567BD1E}"/>
            </c:ext>
          </c:extLst>
        </c:ser>
        <c:dLbls>
          <c:dLblPos val="ctr"/>
          <c:showLegendKey val="0"/>
          <c:showVal val="1"/>
          <c:showCatName val="0"/>
          <c:showSerName val="0"/>
          <c:showPercent val="0"/>
          <c:showBubbleSize val="0"/>
        </c:dLbls>
        <c:gapWidth val="150"/>
        <c:overlap val="100"/>
        <c:axId val="1015178368"/>
        <c:axId val="1015175488"/>
      </c:barChart>
      <c:lineChart>
        <c:grouping val="standard"/>
        <c:varyColors val="0"/>
        <c:ser>
          <c:idx val="3"/>
          <c:order val="3"/>
          <c:tx>
            <c:strRef>
              <c:f>'FuelEU and ETS'!$B$105</c:f>
              <c:strCache>
                <c:ptCount val="1"/>
                <c:pt idx="0">
                  <c:v>Total</c:v>
                </c:pt>
              </c:strCache>
            </c:strRef>
          </c:tx>
          <c:spPr>
            <a:ln w="28575" cap="rnd">
              <a:solidFill>
                <a:schemeClr val="accent4"/>
              </a:solidFill>
              <a:round/>
            </a:ln>
            <a:effectLst/>
          </c:spPr>
          <c:marker>
            <c:symbol val="none"/>
          </c:marker>
          <c:dLbls>
            <c:dLbl>
              <c:idx val="0"/>
              <c:layout>
                <c:manualLayout>
                  <c:x val="-0.11214871202371061"/>
                  <c:y val="-0.11213756323641805"/>
                </c:manualLayout>
              </c:layout>
              <c:tx>
                <c:rich>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fld id="{FAA78B59-8A8F-4D7E-BFDE-C761D981A62E}" type="SERIESNAME">
                      <a:rPr lang="en-US"/>
                      <a:pPr>
                        <a:defRPr sz="1200" b="1"/>
                      </a:pPr>
                      <a:t>[]</a:t>
                    </a:fld>
                    <a:r>
                      <a:rPr lang="en-US" baseline="0"/>
                      <a:t> </a:t>
                    </a:r>
                    <a:fld id="{8DE483EF-06F6-4945-A776-E590E5E4F686}" type="CELLREF">
                      <a:rPr lang="en-US" baseline="0"/>
                      <a:pPr>
                        <a:defRPr sz="1200" b="1"/>
                      </a:pPr>
                      <a:t>[]</a:t>
                    </a:fld>
                    <a:endParaRPr lang="en-US" baseline="0"/>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17421857392756099"/>
                      <c:h val="0.12701808986578486"/>
                    </c:manualLayout>
                  </c15:layout>
                  <c15:dlblFieldTable>
                    <c15:dlblFTEntry>
                      <c15:txfldGUID>{8DE483EF-06F6-4945-A776-E590E5E4F686}</c15:txfldGUID>
                      <c15:f>'FuelEU and ETS'!$E$121</c15:f>
                      <c15:dlblFieldTableCache>
                        <c:ptCount val="1"/>
                        <c:pt idx="0">
                          <c:v>1054</c:v>
                        </c:pt>
                      </c15:dlblFieldTableCache>
                    </c15:dlblFTEntry>
                  </c15:dlblFieldTable>
                  <c15:showDataLabelsRange val="0"/>
                </c:ext>
                <c:ext xmlns:c16="http://schemas.microsoft.com/office/drawing/2014/chart" uri="{C3380CC4-5D6E-409C-BE32-E72D297353CC}">
                  <c16:uniqueId val="{00000006-1566-4D0E-B42F-4AC2C567BD1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val>
            <c:numRef>
              <c:f>'FuelEU and ETS'!$E$105</c:f>
              <c:numCache>
                <c:formatCode>0</c:formatCode>
                <c:ptCount val="1"/>
                <c:pt idx="0">
                  <c:v>1029.5543122593501</c:v>
                </c:pt>
              </c:numCache>
            </c:numRef>
          </c:val>
          <c:smooth val="0"/>
          <c:extLst>
            <c:ext xmlns:c16="http://schemas.microsoft.com/office/drawing/2014/chart" uri="{C3380CC4-5D6E-409C-BE32-E72D297353CC}">
              <c16:uniqueId val="{00000007-1566-4D0E-B42F-4AC2C567BD1E}"/>
            </c:ext>
          </c:extLst>
        </c:ser>
        <c:dLbls>
          <c:dLblPos val="ctr"/>
          <c:showLegendKey val="0"/>
          <c:showVal val="1"/>
          <c:showCatName val="0"/>
          <c:showSerName val="0"/>
          <c:showPercent val="0"/>
          <c:showBubbleSize val="0"/>
        </c:dLbls>
        <c:marker val="1"/>
        <c:smooth val="0"/>
        <c:axId val="1015178368"/>
        <c:axId val="1015175488"/>
      </c:lineChart>
      <c:catAx>
        <c:axId val="1015178368"/>
        <c:scaling>
          <c:orientation val="minMax"/>
        </c:scaling>
        <c:delete val="1"/>
        <c:axPos val="b"/>
        <c:numFmt formatCode="General" sourceLinked="1"/>
        <c:majorTickMark val="none"/>
        <c:minorTickMark val="none"/>
        <c:tickLblPos val="nextTo"/>
        <c:crossAx val="1015175488"/>
        <c:crosses val="autoZero"/>
        <c:auto val="1"/>
        <c:lblAlgn val="ctr"/>
        <c:lblOffset val="100"/>
        <c:noMultiLvlLbl val="0"/>
      </c:catAx>
      <c:valAx>
        <c:axId val="1015175488"/>
        <c:scaling>
          <c:orientation val="minMax"/>
          <c:min val="0"/>
        </c:scaling>
        <c:delete val="1"/>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USD/Tonne</a:t>
                </a:r>
                <a:r>
                  <a:rPr lang="en-US" baseline="0"/>
                  <a:t> LSFO</a:t>
                </a:r>
                <a:endParaRPr lang="en-US"/>
              </a:p>
            </c:rich>
          </c:tx>
          <c:layout>
            <c:manualLayout>
              <c:xMode val="edge"/>
              <c:yMode val="edge"/>
              <c:x val="1.4853618756728719E-2"/>
              <c:y val="0.334743646584865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crossAx val="1015178368"/>
        <c:crosses val="autoZero"/>
        <c:crossBetween val="between"/>
      </c:valAx>
      <c:spPr>
        <a:noFill/>
        <a:ln>
          <a:noFill/>
        </a:ln>
        <a:effectLst/>
      </c:spPr>
    </c:plotArea>
    <c:legend>
      <c:legendPos val="t"/>
      <c:legendEntry>
        <c:idx val="3"/>
        <c:delete val="1"/>
      </c:legendEntry>
      <c:layout>
        <c:manualLayout>
          <c:xMode val="edge"/>
          <c:yMode val="edge"/>
          <c:x val="5.8128818301061799E-2"/>
          <c:y val="0.8240644272698795"/>
          <c:w val="0.89999976608474397"/>
          <c:h val="0.159722680314976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n-US"/>
              <a:t>Comparing MTM compliance strategies [USD/tLSFOeq] </a:t>
            </a:r>
          </a:p>
        </c:rich>
      </c:tx>
      <c:layout>
        <c:manualLayout>
          <c:xMode val="edge"/>
          <c:yMode val="edge"/>
          <c:x val="0.24375690229985003"/>
          <c:y val="8.4921185314884551E-4"/>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manualLayout>
          <c:layoutTarget val="inner"/>
          <c:xMode val="edge"/>
          <c:yMode val="edge"/>
          <c:x val="6.9183498242490357E-2"/>
          <c:y val="0.12030894563715504"/>
          <c:w val="0.90412248790049565"/>
          <c:h val="0.78538791372071526"/>
        </c:manualLayout>
      </c:layout>
      <c:lineChart>
        <c:grouping val="standard"/>
        <c:varyColors val="0"/>
        <c:ser>
          <c:idx val="0"/>
          <c:order val="0"/>
          <c:tx>
            <c:strRef>
              <c:f>'CCC Summary (main)'!$G$37</c:f>
              <c:strCache>
                <c:ptCount val="1"/>
                <c:pt idx="0">
                  <c:v>Strategy 1: LSFO + bio-diesel (base case)</c:v>
                </c:pt>
              </c:strCache>
            </c:strRef>
          </c:tx>
          <c:spPr>
            <a:ln w="38100" cap="rnd">
              <a:solidFill>
                <a:schemeClr val="tx1">
                  <a:lumMod val="65000"/>
                  <a:lumOff val="35000"/>
                </a:schemeClr>
              </a:solidFill>
              <a:round/>
            </a:ln>
            <a:effectLst/>
          </c:spPr>
          <c:marker>
            <c:symbol val="none"/>
          </c:marker>
          <c:cat>
            <c:numRef>
              <c:f>'CCC Summary (main)'!$H$36:$AD$36</c:f>
              <c:numCache>
                <c:formatCode>General</c:formatCode>
                <c:ptCount val="2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numCache>
            </c:numRef>
          </c:cat>
          <c:val>
            <c:numRef>
              <c:f>'CCC Summary (main)'!$H$37:$AD$37</c:f>
              <c:numCache>
                <c:formatCode>0</c:formatCode>
                <c:ptCount val="23"/>
                <c:pt idx="0">
                  <c:v>141.33282036000014</c:v>
                </c:pt>
                <c:pt idx="1">
                  <c:v>169.83783636000015</c:v>
                </c:pt>
                <c:pt idx="2">
                  <c:v>198.34285236000008</c:v>
                </c:pt>
                <c:pt idx="3">
                  <c:v>261.05388756000008</c:v>
                </c:pt>
                <c:pt idx="4">
                  <c:v>323.76492276000016</c:v>
                </c:pt>
                <c:pt idx="5">
                  <c:v>386.47595796000013</c:v>
                </c:pt>
                <c:pt idx="6">
                  <c:v>449.18699316000016</c:v>
                </c:pt>
                <c:pt idx="7">
                  <c:v>511.89802836001638</c:v>
                </c:pt>
                <c:pt idx="8">
                  <c:v>611.66558436000662</c:v>
                </c:pt>
                <c:pt idx="9">
                  <c:v>711.43314035999674</c:v>
                </c:pt>
                <c:pt idx="10">
                  <c:v>811.20069636002768</c:v>
                </c:pt>
                <c:pt idx="11">
                  <c:v>910.96825236001791</c:v>
                </c:pt>
                <c:pt idx="12">
                  <c:v>1010.7358083600083</c:v>
                </c:pt>
                <c:pt idx="13">
                  <c:v>1053.4933323599996</c:v>
                </c:pt>
                <c:pt idx="14">
                  <c:v>1096.2508563600013</c:v>
                </c:pt>
                <c:pt idx="15">
                  <c:v>1139.008380360003</c:v>
                </c:pt>
                <c:pt idx="16">
                  <c:v>1181.7659043600045</c:v>
                </c:pt>
                <c:pt idx="17">
                  <c:v>1224.5234283599959</c:v>
                </c:pt>
                <c:pt idx="18">
                  <c:v>1267.2809523599974</c:v>
                </c:pt>
                <c:pt idx="19">
                  <c:v>1310.0384763599991</c:v>
                </c:pt>
                <c:pt idx="20">
                  <c:v>1345.2946803600007</c:v>
                </c:pt>
                <c:pt idx="21">
                  <c:v>1376.8002243600019</c:v>
                </c:pt>
                <c:pt idx="22">
                  <c:v>1408.305768360003</c:v>
                </c:pt>
              </c:numCache>
            </c:numRef>
          </c:val>
          <c:smooth val="0"/>
          <c:extLst>
            <c:ext xmlns:c16="http://schemas.microsoft.com/office/drawing/2014/chart" uri="{C3380CC4-5D6E-409C-BE32-E72D297353CC}">
              <c16:uniqueId val="{00000000-0D8B-438A-9F46-702968BFFBC7}"/>
            </c:ext>
          </c:extLst>
        </c:ser>
        <c:ser>
          <c:idx val="1"/>
          <c:order val="1"/>
          <c:tx>
            <c:strRef>
              <c:f>'CCC Summary (main)'!$G$38</c:f>
              <c:strCache>
                <c:ptCount val="1"/>
                <c:pt idx="0">
                  <c:v>Strategy 2: LNG + bio-methane</c:v>
                </c:pt>
              </c:strCache>
            </c:strRef>
          </c:tx>
          <c:spPr>
            <a:ln w="38100" cap="rnd">
              <a:solidFill>
                <a:schemeClr val="bg1">
                  <a:lumMod val="65000"/>
                </a:schemeClr>
              </a:solidFill>
              <a:round/>
            </a:ln>
            <a:effectLst/>
          </c:spPr>
          <c:marker>
            <c:symbol val="none"/>
          </c:marker>
          <c:cat>
            <c:numRef>
              <c:f>'CCC Summary (main)'!$H$36:$AD$36</c:f>
              <c:numCache>
                <c:formatCode>General</c:formatCode>
                <c:ptCount val="2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numCache>
            </c:numRef>
          </c:cat>
          <c:val>
            <c:numRef>
              <c:f>'CCC Summary (main)'!$H$38:$AD$38</c:f>
              <c:numCache>
                <c:formatCode>0</c:formatCode>
                <c:ptCount val="23"/>
                <c:pt idx="0">
                  <c:v>99995.873494119995</c:v>
                </c:pt>
                <c:pt idx="1">
                  <c:v>100006.41539739999</c:v>
                </c:pt>
                <c:pt idx="2">
                  <c:v>100013.9167174</c:v>
                </c:pt>
                <c:pt idx="3">
                  <c:v>100030.4196214</c:v>
                </c:pt>
                <c:pt idx="4">
                  <c:v>100046.9225254</c:v>
                </c:pt>
                <c:pt idx="5">
                  <c:v>100104.49260771999</c:v>
                </c:pt>
                <c:pt idx="6">
                  <c:v>100167.20364291999</c:v>
                </c:pt>
                <c:pt idx="7">
                  <c:v>100229.91467812001</c:v>
                </c:pt>
                <c:pt idx="8">
                  <c:v>100329.68223412</c:v>
                </c:pt>
                <c:pt idx="9">
                  <c:v>100429.44979011999</c:v>
                </c:pt>
                <c:pt idx="10">
                  <c:v>100529.21734612001</c:v>
                </c:pt>
                <c:pt idx="11">
                  <c:v>100628.98490212001</c:v>
                </c:pt>
                <c:pt idx="12">
                  <c:v>100728.75245812</c:v>
                </c:pt>
                <c:pt idx="13">
                  <c:v>100771.50998212</c:v>
                </c:pt>
                <c:pt idx="14">
                  <c:v>100814.26750612</c:v>
                </c:pt>
                <c:pt idx="15">
                  <c:v>100857.02503012</c:v>
                </c:pt>
                <c:pt idx="16">
                  <c:v>100899.78255412</c:v>
                </c:pt>
                <c:pt idx="17">
                  <c:v>100942.54007811999</c:v>
                </c:pt>
                <c:pt idx="18">
                  <c:v>100985.29760211999</c:v>
                </c:pt>
                <c:pt idx="19">
                  <c:v>101028.05512611999</c:v>
                </c:pt>
                <c:pt idx="20">
                  <c:v>101063.31133012001</c:v>
                </c:pt>
                <c:pt idx="21">
                  <c:v>101094.81687412001</c:v>
                </c:pt>
                <c:pt idx="22">
                  <c:v>101126.32241812001</c:v>
                </c:pt>
              </c:numCache>
            </c:numRef>
          </c:val>
          <c:smooth val="0"/>
          <c:extLst>
            <c:ext xmlns:c16="http://schemas.microsoft.com/office/drawing/2014/chart" uri="{C3380CC4-5D6E-409C-BE32-E72D297353CC}">
              <c16:uniqueId val="{00000001-0D8B-438A-9F46-702968BFFBC7}"/>
            </c:ext>
          </c:extLst>
        </c:ser>
        <c:ser>
          <c:idx val="2"/>
          <c:order val="2"/>
          <c:tx>
            <c:strRef>
              <c:f>'CCC Summary (main)'!$G$39</c:f>
              <c:strCache>
                <c:ptCount val="1"/>
                <c:pt idx="0">
                  <c:v>Strategy 3: LSFO + ZNZ</c:v>
                </c:pt>
              </c:strCache>
            </c:strRef>
          </c:tx>
          <c:spPr>
            <a:ln w="38100" cap="rnd">
              <a:solidFill>
                <a:srgbClr val="5E948A"/>
              </a:solidFill>
              <a:prstDash val="sysDash"/>
              <a:round/>
            </a:ln>
            <a:effectLst/>
          </c:spPr>
          <c:marker>
            <c:symbol val="none"/>
          </c:marker>
          <c:cat>
            <c:numRef>
              <c:f>'CCC Summary (main)'!$H$36:$AD$36</c:f>
              <c:numCache>
                <c:formatCode>General</c:formatCode>
                <c:ptCount val="2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numCache>
            </c:numRef>
          </c:cat>
          <c:val>
            <c:numRef>
              <c:f>'CCC Summary (main)'!$H$39:$AD$39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0D8B-438A-9F46-702968BFFBC7}"/>
            </c:ext>
          </c:extLst>
        </c:ser>
        <c:ser>
          <c:idx val="3"/>
          <c:order val="3"/>
          <c:tx>
            <c:strRef>
              <c:f>'CCC Summary (main)'!$G$40</c:f>
              <c:strCache>
                <c:ptCount val="1"/>
                <c:pt idx="0">
                  <c:v>Strategy 4: 100% ZNZ</c:v>
                </c:pt>
              </c:strCache>
            </c:strRef>
          </c:tx>
          <c:spPr>
            <a:ln w="38100" cap="rnd">
              <a:solidFill>
                <a:srgbClr val="5E948A"/>
              </a:solidFill>
              <a:round/>
            </a:ln>
            <a:effectLst/>
          </c:spPr>
          <c:marker>
            <c:symbol val="none"/>
          </c:marker>
          <c:cat>
            <c:numRef>
              <c:f>'CCC Summary (main)'!$H$36:$AD$36</c:f>
              <c:numCache>
                <c:formatCode>General</c:formatCode>
                <c:ptCount val="23"/>
                <c:pt idx="0">
                  <c:v>2028</c:v>
                </c:pt>
                <c:pt idx="1">
                  <c:v>2029</c:v>
                </c:pt>
                <c:pt idx="2">
                  <c:v>2030</c:v>
                </c:pt>
                <c:pt idx="3">
                  <c:v>2031</c:v>
                </c:pt>
                <c:pt idx="4">
                  <c:v>2032</c:v>
                </c:pt>
                <c:pt idx="5">
                  <c:v>2033</c:v>
                </c:pt>
                <c:pt idx="6">
                  <c:v>2034</c:v>
                </c:pt>
                <c:pt idx="7">
                  <c:v>2035</c:v>
                </c:pt>
                <c:pt idx="8">
                  <c:v>2036</c:v>
                </c:pt>
                <c:pt idx="9">
                  <c:v>2037</c:v>
                </c:pt>
                <c:pt idx="10">
                  <c:v>2038</c:v>
                </c:pt>
                <c:pt idx="11">
                  <c:v>2039</c:v>
                </c:pt>
                <c:pt idx="12">
                  <c:v>2040</c:v>
                </c:pt>
                <c:pt idx="13">
                  <c:v>2041</c:v>
                </c:pt>
                <c:pt idx="14">
                  <c:v>2042</c:v>
                </c:pt>
                <c:pt idx="15">
                  <c:v>2043</c:v>
                </c:pt>
                <c:pt idx="16">
                  <c:v>2044</c:v>
                </c:pt>
                <c:pt idx="17">
                  <c:v>2045</c:v>
                </c:pt>
                <c:pt idx="18">
                  <c:v>2046</c:v>
                </c:pt>
                <c:pt idx="19">
                  <c:v>2047</c:v>
                </c:pt>
                <c:pt idx="20">
                  <c:v>2048</c:v>
                </c:pt>
                <c:pt idx="21">
                  <c:v>2049</c:v>
                </c:pt>
                <c:pt idx="22">
                  <c:v>2050</c:v>
                </c:pt>
              </c:numCache>
            </c:numRef>
          </c:cat>
          <c:val>
            <c:numRef>
              <c:f>'CCC Summary (main)'!$H$40:$AD$40</c:f>
              <c:numCache>
                <c:formatCode>0</c:formatCode>
                <c:ptCount val="23"/>
                <c:pt idx="0">
                  <c:v>-1140.1853639999999</c:v>
                </c:pt>
                <c:pt idx="1">
                  <c:v>-1111.6803479999999</c:v>
                </c:pt>
                <c:pt idx="2">
                  <c:v>-1083.1753320000003</c:v>
                </c:pt>
                <c:pt idx="3">
                  <c:v>-1020.4642968000001</c:v>
                </c:pt>
                <c:pt idx="4">
                  <c:v>-957.75326160000009</c:v>
                </c:pt>
                <c:pt idx="5">
                  <c:v>-895.04222640000012</c:v>
                </c:pt>
                <c:pt idx="6">
                  <c:v>-832.33119119999981</c:v>
                </c:pt>
                <c:pt idx="7">
                  <c:v>-769.62015599998392</c:v>
                </c:pt>
                <c:pt idx="8">
                  <c:v>-669.85259999999346</c:v>
                </c:pt>
                <c:pt idx="9">
                  <c:v>-570.08504400000334</c:v>
                </c:pt>
                <c:pt idx="10">
                  <c:v>-470.3174879999724</c:v>
                </c:pt>
                <c:pt idx="11">
                  <c:v>-370.54993199998216</c:v>
                </c:pt>
                <c:pt idx="12">
                  <c:v>-270.78237599999181</c:v>
                </c:pt>
                <c:pt idx="13">
                  <c:v>-228.02485200000038</c:v>
                </c:pt>
                <c:pt idx="14">
                  <c:v>-185.26732799999874</c:v>
                </c:pt>
                <c:pt idx="15">
                  <c:v>-142.50980399999713</c:v>
                </c:pt>
                <c:pt idx="16">
                  <c:v>-99.752279999995537</c:v>
                </c:pt>
                <c:pt idx="17">
                  <c:v>-56.994756000004045</c:v>
                </c:pt>
                <c:pt idx="18">
                  <c:v>-14.237232000002427</c:v>
                </c:pt>
                <c:pt idx="19">
                  <c:v>7.5053399999997872</c:v>
                </c:pt>
                <c:pt idx="20">
                  <c:v>11.256</c:v>
                </c:pt>
                <c:pt idx="21">
                  <c:v>11.256</c:v>
                </c:pt>
                <c:pt idx="22">
                  <c:v>11.256</c:v>
                </c:pt>
              </c:numCache>
            </c:numRef>
          </c:val>
          <c:smooth val="0"/>
          <c:extLst>
            <c:ext xmlns:c16="http://schemas.microsoft.com/office/drawing/2014/chart" uri="{C3380CC4-5D6E-409C-BE32-E72D297353CC}">
              <c16:uniqueId val="{00000003-0D8B-438A-9F46-702968BFFBC7}"/>
            </c:ext>
          </c:extLst>
        </c:ser>
        <c:dLbls>
          <c:showLegendKey val="0"/>
          <c:showVal val="0"/>
          <c:showCatName val="0"/>
          <c:showSerName val="0"/>
          <c:showPercent val="0"/>
          <c:showBubbleSize val="0"/>
        </c:dLbls>
        <c:smooth val="0"/>
        <c:axId val="1013354928"/>
        <c:axId val="1013351568"/>
      </c:lineChart>
      <c:catAx>
        <c:axId val="101335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3351568"/>
        <c:crosses val="autoZero"/>
        <c:auto val="1"/>
        <c:lblAlgn val="ctr"/>
        <c:lblOffset val="100"/>
        <c:tickLblSkip val="2"/>
        <c:tickMarkSkip val="1"/>
        <c:noMultiLvlLbl val="0"/>
      </c:catAx>
      <c:valAx>
        <c:axId val="10133515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3354928"/>
        <c:crosses val="autoZero"/>
        <c:crossBetween val="between"/>
      </c:valAx>
      <c:spPr>
        <a:noFill/>
        <a:ln>
          <a:noFill/>
        </a:ln>
        <a:effectLst/>
      </c:spPr>
    </c:plotArea>
    <c:legend>
      <c:legendPos val="b"/>
      <c:layout>
        <c:manualLayout>
          <c:xMode val="edge"/>
          <c:yMode val="edge"/>
          <c:x val="0.13069251429761633"/>
          <c:y val="0.12700529582725623"/>
          <c:w val="0.29805437724158595"/>
          <c:h val="0.18361447528285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_xlchart.v5.0</cx:f>
      </cx:strDim>
      <cx:numDim type="val">
        <cx:f>_xlchart.v5.1</cx:f>
      </cx:numDim>
    </cx:data>
  </cx:chartData>
  <cx:chart>
    <cx:title pos="t" align="ctr" overlay="0">
      <cx:tx>
        <cx:txData>
          <cx:v>Visualization of total residual cost gap, USDm</cx:v>
        </cx:txData>
      </cx:tx>
      <cx:txPr>
        <a:bodyPr spcFirstLastPara="1" vertOverflow="ellipsis" horzOverflow="overflow" wrap="square" lIns="0" tIns="0" rIns="0" bIns="0" anchor="ctr" anchorCtr="1"/>
        <a:lstStyle/>
        <a:p>
          <a:pPr algn="ctr" rtl="0">
            <a:defRPr/>
          </a:pPr>
          <a:r>
            <a:rPr lang="en-US" sz="1400" b="0" i="0" u="none" strike="noStrike" baseline="0">
              <a:solidFill>
                <a:srgbClr val="000000">
                  <a:lumMod val="65000"/>
                  <a:lumOff val="35000"/>
                </a:srgbClr>
              </a:solidFill>
              <a:latin typeface="Arial"/>
            </a:rPr>
            <a:t>Visualization of total residual cost gap, USDm</a:t>
          </a:r>
        </a:p>
      </cx:txPr>
    </cx:title>
    <cx:plotArea>
      <cx:plotAreaRegion>
        <cx:series layoutId="waterfall" uniqueId="{5209340E-85A0-40C8-91AE-C2F26ECC1756}" formatIdx="0">
          <cx:dataPt idx="0">
            <cx:spPr>
              <a:solidFill>
                <a:srgbClr val="59B296"/>
              </a:solidFill>
            </cx:spPr>
          </cx:dataPt>
          <cx:dataPt idx="1">
            <cx:spPr>
              <a:solidFill>
                <a:srgbClr val="8C8C8C"/>
              </a:solidFill>
            </cx:spPr>
          </cx:dataPt>
          <cx:dataPt idx="2">
            <cx:spPr>
              <a:solidFill>
                <a:srgbClr val="96C8E4"/>
              </a:solidFill>
            </cx:spPr>
          </cx:dataPt>
          <cx:dataPt idx="3">
            <cx:spPr>
              <a:solidFill>
                <a:srgbClr val="8C8C8C"/>
              </a:solidFill>
            </cx:spPr>
          </cx:dataPt>
          <cx:dataPt idx="4">
            <cx:spPr>
              <a:solidFill>
                <a:srgbClr val="8C8C8C"/>
              </a:solidFill>
            </cx:spPr>
          </cx:dataPt>
          <cx:dataPt idx="5">
            <cx:spPr>
              <a:solidFill>
                <a:srgbClr val="96C8E4"/>
              </a:solidFill>
            </cx:spPr>
          </cx:dataPt>
          <cx:dataPt idx="6">
            <cx:spPr>
              <a:solidFill>
                <a:srgbClr val="FAD690"/>
              </a:solidFill>
            </cx:spPr>
          </cx:dataPt>
          <cx:dataPt idx="7">
            <cx:spPr>
              <a:solidFill>
                <a:srgbClr val="3C5E86"/>
              </a:solidFill>
            </cx:spPr>
          </cx:dataPt>
          <cx:dataPt idx="8">
            <cx:spPr>
              <a:solidFill>
                <a:srgbClr val="3C5E86"/>
              </a:solidFill>
            </cx:spPr>
          </cx:dataPt>
          <cx:dataPt idx="9">
            <cx:spPr>
              <a:solidFill>
                <a:srgbClr val="3C5E86"/>
              </a:solidFill>
            </cx:spPr>
          </cx:dataPt>
          <cx:dataPt idx="10">
            <cx:spPr>
              <a:solidFill>
                <a:srgbClr val="E0A4A4"/>
              </a:solidFill>
            </cx:spPr>
          </cx:dataPt>
          <cx:dataLabels pos="outEnd">
            <cx:visibility seriesName="0" categoryName="0" value="1"/>
          </cx:dataLabels>
          <cx:dataId val="0"/>
          <cx:layoutPr>
            <cx:visibility connectorLines="1"/>
            <cx:subtotals>
              <cx:idx val="0"/>
              <cx:idx val="2"/>
              <cx:idx val="5"/>
              <cx:idx val="10"/>
            </cx:subtotals>
          </cx:layoutPr>
        </cx:series>
      </cx:plotAreaRegion>
      <cx:axis id="0">
        <cx:catScaling gapWidth="0.5"/>
        <cx:tickLabels/>
        <cx:txPr>
          <a:bodyPr spcFirstLastPara="1" vertOverflow="ellipsis" horzOverflow="overflow" wrap="square" lIns="0" tIns="0" rIns="0" bIns="0" anchor="ctr" anchorCtr="1"/>
          <a:lstStyle/>
          <a:p>
            <a:pPr algn="ctr" rtl="0">
              <a:defRPr sz="1000" baseline="0"/>
            </a:pPr>
            <a:endParaRPr lang="en-US" sz="1000" b="0" i="0" u="none" strike="noStrike" baseline="0">
              <a:solidFill>
                <a:srgbClr val="000000">
                  <a:lumMod val="65000"/>
                  <a:lumOff val="35000"/>
                </a:srgbClr>
              </a:solidFill>
              <a:latin typeface="Arial"/>
            </a:endParaRPr>
          </a:p>
        </cx:txPr>
      </cx:axis>
      <cx:axis id="1" hidden="1">
        <cx:valScaling/>
        <cx:tickLabels/>
      </cx:axis>
    </cx:plotArea>
  </cx:chart>
  <cx:fmtOvrs>
    <cx:fmtOvr idx="2">
      <cx:spPr>
        <a:solidFill>
          <a:srgbClr val="006600"/>
        </a:solidFill>
      </cx:spPr>
    </cx:fmtOvr>
    <cx:fmtOvr idx="1">
      <cx:spPr>
        <a:solidFill>
          <a:srgbClr val="2E1700"/>
        </a:solidFill>
      </cx:spPr>
    </cx:fmtOvr>
    <cx:fmtOvr idx="0">
      <cx:spPr>
        <a:solidFill>
          <a:srgbClr val="2E1700"/>
        </a:solidFill>
      </cx:spPr>
    </cx:fmtOvr>
  </cx:fmtOvrs>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_xlchart.v5.14</cx:f>
      </cx:strDim>
      <cx:numDim type="val">
        <cx:f>_xlchart.v5.15</cx:f>
      </cx:numDim>
    </cx:data>
  </cx:chartData>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rgbClr val="000000">
                    <a:lumMod val="65000"/>
                    <a:lumOff val="35000"/>
                  </a:srgbClr>
                </a:solidFill>
                <a:latin typeface="Arial"/>
              </a:rPr>
              <a:t>Visualization of total cost of green corridor</a:t>
            </a:r>
            <a:r>
              <a:rPr lang="en-US" sz="1400" b="0" i="0" u="none" strike="noStrike" baseline="0">
                <a:solidFill>
                  <a:srgbClr val="000000">
                    <a:lumMod val="65000"/>
                    <a:lumOff val="35000"/>
                  </a:srgbClr>
                </a:solidFill>
                <a:effectLst/>
                <a:latin typeface="Arial"/>
                <a:ea typeface="Calibri" panose="020F0502020204030204" pitchFamily="34" charset="0"/>
                <a:cs typeface="Calibri" panose="020F0502020204030204" pitchFamily="34" charset="0"/>
              </a:rPr>
              <a:t>, USDm</a:t>
            </a:r>
            <a:endParaRPr lang="en-US" sz="1400" b="0" i="0" u="none" strike="noStrike" baseline="0">
              <a:solidFill>
                <a:srgbClr val="000000">
                  <a:lumMod val="65000"/>
                  <a:lumOff val="35000"/>
                </a:srgbClr>
              </a:solidFill>
              <a:latin typeface="Arial"/>
            </a:endParaRPr>
          </a:p>
        </cx:rich>
      </cx:tx>
    </cx:title>
    <cx:plotArea>
      <cx:plotAreaRegion>
        <cx:series layoutId="waterfall" uniqueId="{5209340E-85A0-40C8-91AE-C2F26ECC1756}" formatIdx="0">
          <cx:spPr>
            <a:solidFill>
              <a:srgbClr val="99CFBE"/>
            </a:solidFill>
          </cx:spPr>
          <cx:dataPt idx="4">
            <cx:spPr>
              <a:solidFill>
                <a:srgbClr val="59B296"/>
              </a:solidFill>
            </cx:spPr>
          </cx:dataPt>
          <cx:dataLabels pos="outEnd">
            <cx:visibility seriesName="0" categoryName="0" value="1"/>
          </cx:dataLabels>
          <cx:dataId val="0"/>
          <cx:layoutPr>
            <cx:visibility connectorLines="1"/>
            <cx:subtotals>
              <cx:idx val="4"/>
              <cx:idx val="5"/>
            </cx:subtotals>
          </cx:layoutPr>
        </cx:series>
      </cx:plotAreaRegion>
      <cx:axis id="0">
        <cx:catScaling gapWidth="0.5"/>
        <cx:tickLabels/>
        <cx:txPr>
          <a:bodyPr spcFirstLastPara="1" vertOverflow="ellipsis" horzOverflow="overflow" wrap="square" lIns="0" tIns="0" rIns="0" bIns="0" anchor="ctr" anchorCtr="1"/>
          <a:lstStyle/>
          <a:p>
            <a:pPr algn="ctr" rtl="0">
              <a:defRPr sz="1000" baseline="0"/>
            </a:pPr>
            <a:endParaRPr lang="en-US" sz="1000" b="0" i="0" u="none" strike="noStrike" baseline="0">
              <a:solidFill>
                <a:srgbClr val="000000">
                  <a:lumMod val="65000"/>
                  <a:lumOff val="35000"/>
                </a:srgbClr>
              </a:solidFill>
              <a:latin typeface="Arial"/>
            </a:endParaRPr>
          </a:p>
        </cx:txPr>
      </cx:axis>
      <cx:axis id="1" hidden="1">
        <cx:valScaling/>
        <cx:units unit="millions"/>
        <cx:tickLabels/>
      </cx:axis>
    </cx:plotArea>
  </cx:chart>
  <cx:fmtOvrs>
    <cx:fmtOvr idx="0"/>
    <cx:fmtOvr idx="2">
      <cx:spPr>
        <a:solidFill>
          <a:srgbClr val="96C8E4"/>
        </a:solidFill>
      </cx:spPr>
    </cx:fmtOvr>
  </cx:fmtOvr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_xlchart.v5.12</cx:f>
      </cx:strDim>
      <cx:numDim type="val">
        <cx:f>_xlchart.v5.13</cx:f>
      </cx:numDim>
    </cx:data>
  </cx:chartData>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rgbClr val="000000">
                    <a:lumMod val="65000"/>
                    <a:lumOff val="35000"/>
                  </a:srgbClr>
                </a:solidFill>
                <a:latin typeface="Arial"/>
              </a:rPr>
              <a:t>Visualization of total cost of fossil corridor</a:t>
            </a:r>
            <a:r>
              <a:rPr lang="en-US" sz="1400" b="0" i="0" u="none" strike="noStrike" baseline="0">
                <a:solidFill>
                  <a:srgbClr val="000000">
                    <a:lumMod val="65000"/>
                    <a:lumOff val="35000"/>
                  </a:srgbClr>
                </a:solidFill>
                <a:effectLst/>
                <a:latin typeface="Arial"/>
                <a:ea typeface="Calibri" panose="020F0502020204030204" pitchFamily="34" charset="0"/>
                <a:cs typeface="Calibri" panose="020F0502020204030204" pitchFamily="34" charset="0"/>
              </a:rPr>
              <a:t>, USDm</a:t>
            </a:r>
            <a:endParaRPr lang="en-US" sz="1400" b="0" i="0" u="none" strike="noStrike" baseline="0">
              <a:solidFill>
                <a:srgbClr val="000000">
                  <a:lumMod val="65000"/>
                  <a:lumOff val="35000"/>
                </a:srgbClr>
              </a:solidFill>
              <a:latin typeface="Arial"/>
            </a:endParaRPr>
          </a:p>
        </cx:rich>
      </cx:tx>
    </cx:title>
    <cx:plotArea>
      <cx:plotAreaRegion>
        <cx:series layoutId="waterfall" uniqueId="{5209340E-85A0-40C8-91AE-C2F26ECC1756}" formatIdx="0">
          <cx:spPr>
            <a:solidFill>
              <a:srgbClr val="BABABA"/>
            </a:solidFill>
          </cx:spPr>
          <cx:dataPt idx="3">
            <cx:spPr>
              <a:solidFill>
                <a:srgbClr val="BABABA"/>
              </a:solidFill>
            </cx:spPr>
          </cx:dataPt>
          <cx:dataPt idx="4">
            <cx:spPr>
              <a:solidFill>
                <a:srgbClr val="8C8C8C"/>
              </a:solidFill>
            </cx:spPr>
          </cx:dataPt>
          <cx:dataLabels pos="outEnd">
            <cx:visibility seriesName="0" categoryName="0" value="1"/>
            <cx:dataLabel idx="0">
              <cx:separator>, </cx:separator>
            </cx:dataLabel>
          </cx:dataLabels>
          <cx:dataId val="0"/>
          <cx:layoutPr>
            <cx:visibility connectorLines="1"/>
            <cx:subtotals>
              <cx:idx val="3"/>
              <cx:idx val="4"/>
              <cx:idx val="5"/>
            </cx:subtotals>
          </cx:layoutPr>
        </cx:series>
      </cx:plotAreaRegion>
      <cx:axis id="0">
        <cx:catScaling gapWidth="0.5"/>
        <cx:tickLabels/>
        <cx:txPr>
          <a:bodyPr spcFirstLastPara="1" vertOverflow="ellipsis" horzOverflow="overflow" wrap="square" lIns="0" tIns="0" rIns="0" bIns="0" anchor="ctr" anchorCtr="1"/>
          <a:lstStyle/>
          <a:p>
            <a:pPr algn="ctr" rtl="0">
              <a:defRPr sz="1000" baseline="0"/>
            </a:pPr>
            <a:endParaRPr lang="en-US" sz="1000" b="0" i="0" u="none" strike="noStrike" baseline="0">
              <a:solidFill>
                <a:srgbClr val="000000">
                  <a:lumMod val="65000"/>
                  <a:lumOff val="35000"/>
                </a:srgbClr>
              </a:solidFill>
              <a:latin typeface="Arial"/>
            </a:endParaRPr>
          </a:p>
        </cx:txPr>
      </cx:axis>
      <cx:axis id="1" hidden="1">
        <cx:valScaling/>
        <cx:units unit="millions"/>
        <cx:tickLabels/>
      </cx:axis>
    </cx:plotArea>
  </cx:chart>
  <cx:fmtOvrs>
    <cx:fmtOvr idx="0"/>
    <cx:fmtOvr idx="2">
      <cx:spPr>
        <a:solidFill>
          <a:srgbClr val="8C8C8C"/>
        </a:solidFill>
      </cx:spPr>
    </cx:fmtOvr>
  </cx:fmtOvrs>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_xlchart.v5.6</cx:f>
      </cx:strDim>
      <cx:numDim type="val">
        <cx:f>_xlchart.v5.7</cx:f>
      </cx:numDim>
    </cx:data>
  </cx:chartData>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rgbClr val="000000">
                    <a:lumMod val="65000"/>
                    <a:lumOff val="35000"/>
                  </a:srgbClr>
                </a:solidFill>
                <a:latin typeface="Arial"/>
              </a:rPr>
              <a:t>Visualization of optimized financing</a:t>
            </a:r>
            <a:r>
              <a:rPr lang="en-US" sz="1400" b="0" i="0" u="none" strike="noStrike" baseline="0">
                <a:solidFill>
                  <a:srgbClr val="000000">
                    <a:lumMod val="65000"/>
                    <a:lumOff val="35000"/>
                  </a:srgbClr>
                </a:solidFill>
                <a:effectLst/>
                <a:latin typeface="Arial"/>
                <a:ea typeface="Calibri" panose="020F0502020204030204" pitchFamily="34" charset="0"/>
                <a:cs typeface="Calibri" panose="020F0502020204030204" pitchFamily="34" charset="0"/>
              </a:rPr>
              <a:t>, USDm</a:t>
            </a:r>
            <a:endParaRPr lang="en-US" sz="1400" b="0" i="0" u="none" strike="noStrike" baseline="0">
              <a:solidFill>
                <a:srgbClr val="000000">
                  <a:lumMod val="65000"/>
                  <a:lumOff val="35000"/>
                </a:srgbClr>
              </a:solidFill>
              <a:latin typeface="Arial"/>
            </a:endParaRPr>
          </a:p>
        </cx:rich>
      </cx:tx>
    </cx:title>
    <cx:plotArea>
      <cx:plotAreaRegion>
        <cx:series layoutId="waterfall" uniqueId="{5209340E-85A0-40C8-91AE-C2F26ECC1756}" formatIdx="0">
          <cx:spPr>
            <a:solidFill>
              <a:srgbClr val="BABABA"/>
            </a:solidFill>
          </cx:spPr>
          <cx:dataPt idx="4">
            <cx:spPr>
              <a:solidFill>
                <a:srgbClr val="8C8C8C"/>
              </a:solidFill>
            </cx:spPr>
          </cx:dataPt>
          <cx:dataLabels pos="outEnd">
            <cx:visibility seriesName="0" categoryName="0" value="1"/>
          </cx:dataLabels>
          <cx:dataId val="0"/>
          <cx:layoutPr>
            <cx:visibility connectorLines="1"/>
            <cx:subtotals>
              <cx:idx val="4"/>
              <cx:idx val="5"/>
            </cx:subtotals>
          </cx:layoutPr>
        </cx:series>
      </cx:plotAreaRegion>
      <cx:axis id="0">
        <cx:catScaling gapWidth="0.5"/>
        <cx:tickLabels/>
        <cx:txPr>
          <a:bodyPr spcFirstLastPara="1" vertOverflow="ellipsis" horzOverflow="overflow" wrap="square" lIns="0" tIns="0" rIns="0" bIns="0" anchor="ctr" anchorCtr="1"/>
          <a:lstStyle/>
          <a:p>
            <a:pPr algn="ctr" rtl="0">
              <a:defRPr sz="1000" baseline="0"/>
            </a:pPr>
            <a:endParaRPr lang="en-US" sz="1000" b="0" i="0" u="none" strike="noStrike" baseline="0">
              <a:solidFill>
                <a:srgbClr val="000000">
                  <a:lumMod val="65000"/>
                  <a:lumOff val="35000"/>
                </a:srgbClr>
              </a:solidFill>
              <a:latin typeface="Arial"/>
            </a:endParaRPr>
          </a:p>
        </cx:txPr>
      </cx:axis>
      <cx:axis id="1" hidden="1">
        <cx:valScaling/>
        <cx:units unit="millions"/>
        <cx:tickLabels/>
      </cx:axis>
    </cx:plotArea>
  </cx:chart>
  <cx:fmtOvrs>
    <cx:fmtOvr idx="0"/>
    <cx:fmtOvr idx="2">
      <cx:spPr>
        <a:solidFill>
          <a:srgbClr val="8C8C8C"/>
        </a:solidFill>
      </cx:spPr>
    </cx:fmtOvr>
  </cx:fmtOvrs>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_xlchart.v5.10</cx:f>
      </cx:strDim>
      <cx:numDim type="val">
        <cx:f>_xlchart.v5.11</cx:f>
      </cx:numDim>
    </cx:data>
  </cx:chartData>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rgbClr val="000000">
                    <a:lumMod val="65000"/>
                    <a:lumOff val="35000"/>
                  </a:srgbClr>
                </a:solidFill>
                <a:latin typeface="Arial"/>
              </a:rPr>
              <a:t>Visualization of CO2 tax</a:t>
            </a:r>
            <a:r>
              <a:rPr lang="en-US" sz="1400" b="0" i="0" u="none" strike="noStrike" baseline="0">
                <a:solidFill>
                  <a:srgbClr val="000000">
                    <a:lumMod val="65000"/>
                    <a:lumOff val="35000"/>
                  </a:srgbClr>
                </a:solidFill>
                <a:effectLst/>
                <a:latin typeface="Arial"/>
                <a:ea typeface="Calibri" panose="020F0502020204030204" pitchFamily="34" charset="0"/>
                <a:cs typeface="Calibri" panose="020F0502020204030204" pitchFamily="34" charset="0"/>
              </a:rPr>
              <a:t>, USDm</a:t>
            </a:r>
            <a:endParaRPr lang="en-US" sz="1400" b="0" i="0" u="none" strike="noStrike" baseline="0">
              <a:solidFill>
                <a:srgbClr val="000000">
                  <a:lumMod val="65000"/>
                  <a:lumOff val="35000"/>
                </a:srgbClr>
              </a:solidFill>
              <a:latin typeface="Arial"/>
            </a:endParaRPr>
          </a:p>
        </cx:rich>
      </cx:tx>
    </cx:title>
    <cx:plotArea>
      <cx:plotAreaRegion>
        <cx:series layoutId="waterfall" uniqueId="{5209340E-85A0-40C8-91AE-C2F26ECC1756}" formatIdx="0">
          <cx:spPr>
            <a:solidFill>
              <a:srgbClr val="BABABA"/>
            </a:solidFill>
          </cx:spPr>
          <cx:dataPt idx="2">
            <cx:spPr>
              <a:solidFill>
                <a:srgbClr val="8C8C8C"/>
              </a:solidFill>
            </cx:spPr>
          </cx:dataPt>
          <cx:dataLabels pos="outEnd">
            <cx:visibility seriesName="0" categoryName="0" value="1"/>
          </cx:dataLabels>
          <cx:dataId val="0"/>
          <cx:layoutPr>
            <cx:visibility connectorLines="1"/>
            <cx:subtotals>
              <cx:idx val="7"/>
            </cx:subtotals>
          </cx:layoutPr>
        </cx:series>
      </cx:plotAreaRegion>
      <cx:axis id="0">
        <cx:catScaling gapWidth="0.5"/>
        <cx:tickLabels/>
        <cx:txPr>
          <a:bodyPr spcFirstLastPara="1" vertOverflow="ellipsis" horzOverflow="overflow" wrap="square" lIns="0" tIns="0" rIns="0" bIns="0" anchor="ctr" anchorCtr="1"/>
          <a:lstStyle/>
          <a:p>
            <a:pPr algn="ctr" rtl="0">
              <a:defRPr sz="1000" baseline="0"/>
            </a:pPr>
            <a:endParaRPr lang="en-US" sz="1000" b="0" i="0" u="none" strike="noStrike" baseline="0">
              <a:solidFill>
                <a:srgbClr val="000000">
                  <a:lumMod val="65000"/>
                  <a:lumOff val="35000"/>
                </a:srgbClr>
              </a:solidFill>
              <a:latin typeface="Arial"/>
            </a:endParaRPr>
          </a:p>
        </cx:txPr>
      </cx:axis>
      <cx:axis id="1" hidden="1">
        <cx:valScaling/>
        <cx:units unit="millions"/>
        <cx:tickLabels/>
      </cx:axis>
    </cx:plotArea>
  </cx:chart>
  <cx:fmtOvrs>
    <cx:fmtOvr idx="2">
      <cx:spPr>
        <a:solidFill>
          <a:srgbClr val="8C8C8C"/>
        </a:solidFill>
      </cx:spPr>
    </cx:fmtOvr>
  </cx:fmtOvrs>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_xlchart.v5.8</cx:f>
      </cx:strDim>
      <cx:numDim type="val">
        <cx:f>_xlchart.v5.9</cx:f>
      </cx:numDim>
    </cx:data>
  </cx:chartData>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rgbClr val="000000">
                    <a:lumMod val="65000"/>
                    <a:lumOff val="35000"/>
                  </a:srgbClr>
                </a:solidFill>
                <a:latin typeface="Arial"/>
              </a:rPr>
              <a:t>Visualization of Consortium optimization</a:t>
            </a:r>
            <a:r>
              <a:rPr lang="en-US" sz="1400" b="0" i="0" u="none" strike="noStrike" baseline="0">
                <a:solidFill>
                  <a:srgbClr val="000000">
                    <a:lumMod val="65000"/>
                    <a:lumOff val="35000"/>
                  </a:srgbClr>
                </a:solidFill>
                <a:effectLst/>
                <a:latin typeface="Arial"/>
                <a:ea typeface="Calibri" panose="020F0502020204030204" pitchFamily="34" charset="0"/>
                <a:cs typeface="Calibri" panose="020F0502020204030204" pitchFamily="34" charset="0"/>
              </a:rPr>
              <a:t>, USDm</a:t>
            </a:r>
            <a:endParaRPr lang="en-US" sz="1400" b="0" i="0" u="none" strike="noStrike" baseline="0">
              <a:solidFill>
                <a:srgbClr val="000000">
                  <a:lumMod val="65000"/>
                  <a:lumOff val="35000"/>
                </a:srgbClr>
              </a:solidFill>
              <a:latin typeface="Arial"/>
            </a:endParaRPr>
          </a:p>
        </cx:rich>
      </cx:tx>
    </cx:title>
    <cx:plotArea>
      <cx:plotAreaRegion>
        <cx:series layoutId="waterfall" uniqueId="{5209340E-85A0-40C8-91AE-C2F26ECC1756}" formatIdx="0">
          <cx:spPr>
            <a:solidFill>
              <a:srgbClr val="7D9EC5"/>
            </a:solidFill>
          </cx:spPr>
          <cx:dataPt idx="9">
            <cx:spPr>
              <a:solidFill>
                <a:srgbClr val="3C5E86"/>
              </a:solidFill>
            </cx:spPr>
          </cx:dataPt>
          <cx:dataLabels pos="outEnd">
            <cx:numFmt formatCode="#.##0,00" sourceLinked="0"/>
            <cx:visibility seriesName="0" categoryName="0" value="1"/>
            <cx:separator>, </cx:separator>
            <cx:dataLabel idx="3">
              <cx:numFmt formatCode="#.##0,00" sourceLinked="0"/>
              <cx:separator>, </cx:separator>
            </cx:dataLabel>
          </cx:dataLabels>
          <cx:dataId val="0"/>
          <cx:layoutPr>
            <cx:visibility connectorLines="1"/>
            <cx:subtotals>
              <cx:idx val="9"/>
            </cx:subtotals>
          </cx:layoutPr>
        </cx:series>
      </cx:plotAreaRegion>
      <cx:axis id="0">
        <cx:catScaling gapWidth="0.5"/>
        <cx:tickLabels/>
        <cx:txPr>
          <a:bodyPr spcFirstLastPara="1" vertOverflow="ellipsis" horzOverflow="overflow" wrap="square" lIns="0" tIns="0" rIns="0" bIns="0" anchor="ctr" anchorCtr="1"/>
          <a:lstStyle/>
          <a:p>
            <a:pPr algn="ctr" rtl="0">
              <a:defRPr sz="1000" baseline="0"/>
            </a:pPr>
            <a:endParaRPr lang="en-US" sz="1000" b="0" i="0" u="none" strike="noStrike" baseline="0">
              <a:solidFill>
                <a:srgbClr val="000000">
                  <a:lumMod val="65000"/>
                  <a:lumOff val="35000"/>
                </a:srgbClr>
              </a:solidFill>
              <a:latin typeface="Arial"/>
            </a:endParaRPr>
          </a:p>
        </cx:txPr>
      </cx:axis>
      <cx:axis id="1" hidden="1">
        <cx:valScaling/>
        <cx:units unit="millions"/>
        <cx:tickLabels/>
      </cx:axis>
    </cx:plotArea>
  </cx:chart>
  <cx:fmtOvrs>
    <cx:fmtOvr idx="2">
      <cx:spPr>
        <a:solidFill>
          <a:srgbClr val="3C5E86"/>
        </a:solidFill>
      </cx:spPr>
    </cx:fmtOvr>
  </cx:fmtOvrs>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_xlchart.v5.2</cx:f>
      </cx:strDim>
      <cx:numDim type="val">
        <cx:f>_xlchart.v5.3</cx:f>
      </cx:numDim>
    </cx:data>
  </cx:chartData>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rgbClr val="000000">
                    <a:lumMod val="65000"/>
                    <a:lumOff val="35000"/>
                  </a:srgbClr>
                </a:solidFill>
                <a:latin typeface="Arial"/>
              </a:rPr>
              <a:t>Visualization of Cargo Green Premium</a:t>
            </a:r>
            <a:r>
              <a:rPr lang="en-US" sz="1400" b="0" i="0" u="none" strike="noStrike" baseline="0">
                <a:solidFill>
                  <a:srgbClr val="000000">
                    <a:lumMod val="65000"/>
                    <a:lumOff val="35000"/>
                  </a:srgbClr>
                </a:solidFill>
                <a:effectLst/>
                <a:latin typeface="Arial"/>
                <a:ea typeface="Calibri" panose="020F0502020204030204" pitchFamily="34" charset="0"/>
                <a:cs typeface="Calibri" panose="020F0502020204030204" pitchFamily="34" charset="0"/>
              </a:rPr>
              <a:t>, USDm</a:t>
            </a:r>
            <a:endParaRPr lang="en-US" sz="1400" b="0" i="0" u="none" strike="noStrike" baseline="0">
              <a:solidFill>
                <a:srgbClr val="000000">
                  <a:lumMod val="65000"/>
                  <a:lumOff val="35000"/>
                </a:srgbClr>
              </a:solidFill>
              <a:latin typeface="Arial"/>
            </a:endParaRPr>
          </a:p>
        </cx:rich>
      </cx:tx>
    </cx:title>
    <cx:plotArea>
      <cx:plotAreaRegion>
        <cx:series layoutId="waterfall" uniqueId="{5209340E-85A0-40C8-91AE-C2F26ECC1756}" formatIdx="0">
          <cx:dataPt idx="0">
            <cx:spPr>
              <a:solidFill>
                <a:srgbClr val="FAD690"/>
              </a:solidFill>
            </cx:spPr>
          </cx:dataPt>
          <cx:dataLabels pos="outEnd">
            <cx:visibility seriesName="0" categoryName="0" value="1"/>
          </cx:dataLabels>
          <cx:dataId val="0"/>
          <cx:layoutPr>
            <cx:visibility connectorLines="1"/>
            <cx:subtotals>
              <cx:idx val="0"/>
              <cx:idx val="3"/>
              <cx:idx val="4"/>
              <cx:idx val="5"/>
            </cx:subtotals>
          </cx:layoutPr>
        </cx:series>
      </cx:plotAreaRegion>
      <cx:axis id="0">
        <cx:catScaling gapWidth="0.5"/>
        <cx:tickLabels/>
        <cx:txPr>
          <a:bodyPr spcFirstLastPara="1" vertOverflow="ellipsis" horzOverflow="overflow" wrap="square" lIns="0" tIns="0" rIns="0" bIns="0" anchor="ctr" anchorCtr="1"/>
          <a:lstStyle/>
          <a:p>
            <a:pPr algn="ctr" rtl="0">
              <a:defRPr sz="1000" baseline="0"/>
            </a:pPr>
            <a:endParaRPr lang="en-US" sz="1000" b="0" i="0" u="none" strike="noStrike" baseline="0">
              <a:solidFill>
                <a:srgbClr val="000000">
                  <a:lumMod val="65000"/>
                  <a:lumOff val="35000"/>
                </a:srgbClr>
              </a:solidFill>
              <a:latin typeface="Arial"/>
            </a:endParaRPr>
          </a:p>
        </cx:txPr>
      </cx:axis>
      <cx:axis id="1" hidden="1">
        <cx:valScaling/>
        <cx:units unit="millions"/>
        <cx:tickLabels/>
      </cx:axis>
    </cx:plotArea>
  </cx:chart>
  <cx:fmtOvrs>
    <cx:fmtOvr idx="2">
      <cx:spPr>
        <a:solidFill>
          <a:srgbClr val="3C5E86"/>
        </a:solidFill>
      </cx:spPr>
    </cx:fmtOvr>
  </cx:fmtOvrs>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_xlchart.v5.4</cx:f>
      </cx:strDim>
      <cx:numDim type="val">
        <cx:f>_xlchart.v5.5</cx:f>
      </cx:numDim>
    </cx:data>
  </cx:chartData>
  <cx:chart>
    <cx:title pos="t" align="ctr" overlay="0">
      <cx:tx>
        <cx:rich>
          <a:bodyPr spcFirstLastPara="1" vertOverflow="ellipsis" horzOverflow="overflow" wrap="square" lIns="0" tIns="0" rIns="0" bIns="0" anchor="ctr" anchorCtr="1"/>
          <a:lstStyle/>
          <a:p>
            <a:pPr algn="ctr" rtl="0">
              <a:defRPr/>
            </a:pPr>
            <a:r>
              <a:rPr lang="en-US" sz="1400" b="0" i="0" u="none" strike="noStrike" baseline="0">
                <a:solidFill>
                  <a:srgbClr val="000000">
                    <a:lumMod val="65000"/>
                    <a:lumOff val="35000"/>
                  </a:srgbClr>
                </a:solidFill>
                <a:latin typeface="Arial"/>
              </a:rPr>
              <a:t>Visualization of total cost of gross incremental cost</a:t>
            </a:r>
            <a:r>
              <a:rPr lang="en-US" sz="1400" b="0" i="0" u="none" strike="noStrike" baseline="0">
                <a:solidFill>
                  <a:srgbClr val="000000">
                    <a:lumMod val="65000"/>
                    <a:lumOff val="35000"/>
                  </a:srgbClr>
                </a:solidFill>
                <a:effectLst/>
                <a:latin typeface="Arial"/>
                <a:ea typeface="Calibri" panose="020F0502020204030204" pitchFamily="34" charset="0"/>
                <a:cs typeface="Calibri" panose="020F0502020204030204" pitchFamily="34" charset="0"/>
              </a:rPr>
              <a:t>, USDm</a:t>
            </a:r>
            <a:endParaRPr lang="en-US" sz="1400" b="0" i="0" u="none" strike="noStrike" baseline="0">
              <a:solidFill>
                <a:srgbClr val="000000">
                  <a:lumMod val="65000"/>
                  <a:lumOff val="35000"/>
                </a:srgbClr>
              </a:solidFill>
              <a:latin typeface="Arial"/>
            </a:endParaRPr>
          </a:p>
        </cx:rich>
      </cx:tx>
    </cx:title>
    <cx:plotArea>
      <cx:plotAreaRegion>
        <cx:series layoutId="waterfall" uniqueId="{5209340E-85A0-40C8-91AE-C2F26ECC1756}" formatIdx="0">
          <cx:spPr>
            <a:solidFill>
              <a:srgbClr val="96C8E4"/>
            </a:solidFill>
          </cx:spPr>
          <cx:dataPt idx="0">
            <cx:spPr>
              <a:solidFill>
                <a:srgbClr val="8C8C8C"/>
              </a:solidFill>
            </cx:spPr>
          </cx:dataPt>
          <cx:dataPt idx="1">
            <cx:spPr>
              <a:solidFill>
                <a:srgbClr val="59B296"/>
              </a:solidFill>
            </cx:spPr>
          </cx:dataPt>
          <cx:dataLabels pos="outEnd">
            <cx:visibility seriesName="0" categoryName="0" value="1"/>
          </cx:dataLabels>
          <cx:dataId val="0"/>
          <cx:layoutPr>
            <cx:visibility connectorLines="0"/>
            <cx:subtotals>
              <cx:idx val="0"/>
              <cx:idx val="3"/>
              <cx:idx val="4"/>
              <cx:idx val="5"/>
            </cx:subtotals>
          </cx:layoutPr>
        </cx:series>
      </cx:plotAreaRegion>
      <cx:axis id="0">
        <cx:catScaling gapWidth="0.5"/>
        <cx:tickLabels/>
        <cx:txPr>
          <a:bodyPr spcFirstLastPara="1" vertOverflow="ellipsis" horzOverflow="overflow" wrap="square" lIns="0" tIns="0" rIns="0" bIns="0" anchor="ctr" anchorCtr="1"/>
          <a:lstStyle/>
          <a:p>
            <a:pPr algn="ctr" rtl="0">
              <a:defRPr sz="1000" baseline="0"/>
            </a:pPr>
            <a:endParaRPr lang="en-US" sz="1000" b="0" i="0" u="none" strike="noStrike" baseline="0">
              <a:solidFill>
                <a:srgbClr val="000000">
                  <a:lumMod val="65000"/>
                  <a:lumOff val="35000"/>
                </a:srgbClr>
              </a:solidFill>
              <a:latin typeface="Arial"/>
            </a:endParaRPr>
          </a:p>
        </cx:txPr>
      </cx:axis>
      <cx:axis id="1" hidden="1">
        <cx:valScaling/>
        <cx:units unit="millions"/>
        <cx:tickLabels/>
      </cx:axis>
    </cx:plotArea>
  </cx:chart>
  <cx:fmtOvrs>
    <cx:fmtOvr idx="0"/>
    <cx:fmtOvr idx="2">
      <cx:spPr>
        <a:solidFill>
          <a:srgbClr val="8C8C8C"/>
        </a:solidFill>
      </cx:spPr>
    </cx:fmtOvr>
  </cx:fmtOvr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8" Type="http://schemas.microsoft.com/office/2014/relationships/chartEx" Target="../charts/chartEx8.xml"/><Relationship Id="rId3" Type="http://schemas.microsoft.com/office/2014/relationships/chartEx" Target="../charts/chartEx3.xml"/><Relationship Id="rId7" Type="http://schemas.microsoft.com/office/2014/relationships/chartEx" Target="../charts/chartEx7.xml"/><Relationship Id="rId2" Type="http://schemas.microsoft.com/office/2014/relationships/chartEx" Target="../charts/chartEx2.xml"/><Relationship Id="rId1" Type="http://schemas.microsoft.com/office/2014/relationships/chartEx" Target="../charts/chartEx1.xml"/><Relationship Id="rId6" Type="http://schemas.microsoft.com/office/2014/relationships/chartEx" Target="../charts/chartEx6.xml"/><Relationship Id="rId5" Type="http://schemas.microsoft.com/office/2014/relationships/chartEx" Target="../charts/chartEx5.xml"/><Relationship Id="rId4" Type="http://schemas.microsoft.com/office/2014/relationships/chartEx" Target="../charts/chartEx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11.xml"/><Relationship Id="rId7" Type="http://schemas.openxmlformats.org/officeDocument/2006/relationships/image" Target="../media/image5.pn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4.png"/><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2</xdr:col>
      <xdr:colOff>212912</xdr:colOff>
      <xdr:row>46</xdr:row>
      <xdr:rowOff>0</xdr:rowOff>
    </xdr:from>
    <xdr:to>
      <xdr:col>2</xdr:col>
      <xdr:colOff>219262</xdr:colOff>
      <xdr:row>47</xdr:row>
      <xdr:rowOff>453</xdr:rowOff>
    </xdr:to>
    <xdr:pic>
      <xdr:nvPicPr>
        <xdr:cNvPr id="2" name="Picture 1">
          <a:extLst>
            <a:ext uri="{FF2B5EF4-FFF2-40B4-BE49-F238E27FC236}">
              <a16:creationId xmlns:a16="http://schemas.microsoft.com/office/drawing/2014/main" id="{43A845FB-B06F-4A39-822C-FB61327C2C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4612" y="9042400"/>
          <a:ext cx="0" cy="5847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212912</xdr:colOff>
      <xdr:row>47</xdr:row>
      <xdr:rowOff>0</xdr:rowOff>
    </xdr:from>
    <xdr:to>
      <xdr:col>2</xdr:col>
      <xdr:colOff>219262</xdr:colOff>
      <xdr:row>48</xdr:row>
      <xdr:rowOff>0</xdr:rowOff>
    </xdr:to>
    <xdr:pic>
      <xdr:nvPicPr>
        <xdr:cNvPr id="4" name="Picture 3">
          <a:extLst>
            <a:ext uri="{FF2B5EF4-FFF2-40B4-BE49-F238E27FC236}">
              <a16:creationId xmlns:a16="http://schemas.microsoft.com/office/drawing/2014/main" id="{69FD1FF7-36CC-4137-BF96-E4BE5E1F5C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4612" y="9220200"/>
          <a:ext cx="0" cy="5847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135106</xdr:colOff>
      <xdr:row>6</xdr:row>
      <xdr:rowOff>124509</xdr:rowOff>
    </xdr:from>
    <xdr:to>
      <xdr:col>28</xdr:col>
      <xdr:colOff>160540</xdr:colOff>
      <xdr:row>34</xdr:row>
      <xdr:rowOff>95249</xdr:rowOff>
    </xdr:to>
    <mc:AlternateContent xmlns:mc="http://schemas.openxmlformats.org/markup-compatibility/2006">
      <mc:Choice xmlns:cx4="http://schemas.microsoft.com/office/drawing/2016/5/10/chartex" xmlns="" Requires="cx4">
        <xdr:graphicFrame macro="">
          <xdr:nvGraphicFramePr>
            <xdr:cNvPr id="3" name="Chart 2">
              <a:extLst>
                <a:ext uri="{FF2B5EF4-FFF2-40B4-BE49-F238E27FC236}">
                  <a16:creationId xmlns:a16="http://schemas.microsoft.com/office/drawing/2014/main" id="{A11998CD-D14F-99C9-E4E5-59CCD9AC8FE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
              <a:extLst>
                <a:ext uri="{FF2B5EF4-FFF2-40B4-BE49-F238E27FC236}">
                  <a16:creationId xmlns:a16="http://schemas.microsoft.com/office/drawing/2014/main" id="{00000000-0008-0000-0200-000002000000}"/>
                </a:ext>
              </a:extLst>
            </xdr:cNvPr>
            <xdr:cNvSpPr>
              <a:spLocks noTextEdit="1"/>
            </xdr:cNvSpPr>
          </xdr:nvSpPr>
          <xdr:spPr>
            <a:xfrm>
              <a:off x="22109281" y="1515159"/>
              <a:ext cx="13169934" cy="5171390"/>
            </a:xfrm>
            <a:prstGeom prst="rect">
              <a:avLst/>
            </a:prstGeom>
            <a:solidFill>
              <a:prstClr val="white"/>
            </a:solidFill>
            <a:ln w="1">
              <a:solidFill>
                <a:prstClr val="green"/>
              </a:solidFill>
            </a:ln>
          </xdr:spPr>
          <xdr:txBody>
            <a:bodyPr vertOverflow="clip" horzOverflow="clip"/>
            <a:lstStyle/>
            <a:p>
              <a:r>
                <a:rPr lang="en-DK"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135106</xdr:colOff>
      <xdr:row>42</xdr:row>
      <xdr:rowOff>608</xdr:rowOff>
    </xdr:from>
    <xdr:to>
      <xdr:col>28</xdr:col>
      <xdr:colOff>160540</xdr:colOff>
      <xdr:row>52</xdr:row>
      <xdr:rowOff>61952</xdr:rowOff>
    </xdr:to>
    <mc:AlternateContent xmlns:mc="http://schemas.openxmlformats.org/markup-compatibility/2006">
      <mc:Choice xmlns:cx4="http://schemas.microsoft.com/office/drawing/2016/5/10/chartex" xmlns="" Requires="cx4">
        <xdr:graphicFrame macro="">
          <xdr:nvGraphicFramePr>
            <xdr:cNvPr id="5" name="Chart 4">
              <a:extLst>
                <a:ext uri="{FF2B5EF4-FFF2-40B4-BE49-F238E27FC236}">
                  <a16:creationId xmlns:a16="http://schemas.microsoft.com/office/drawing/2014/main" id="{EDAEC2A9-A681-C00F-E62D-410BFDB841F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
              <a:extLst>
                <a:ext uri="{FF2B5EF4-FFF2-40B4-BE49-F238E27FC236}">
                  <a16:creationId xmlns:a16="http://schemas.microsoft.com/office/drawing/2014/main" id="{00000000-0008-0000-0200-000003000000}"/>
                </a:ext>
              </a:extLst>
            </xdr:cNvPr>
            <xdr:cNvSpPr>
              <a:spLocks noTextEdit="1"/>
            </xdr:cNvSpPr>
          </xdr:nvSpPr>
          <xdr:spPr>
            <a:xfrm>
              <a:off x="22109281" y="8058758"/>
              <a:ext cx="13169934" cy="1890144"/>
            </a:xfrm>
            <a:prstGeom prst="rect">
              <a:avLst/>
            </a:prstGeom>
            <a:solidFill>
              <a:prstClr val="white"/>
            </a:solidFill>
            <a:ln w="1">
              <a:solidFill>
                <a:prstClr val="green"/>
              </a:solidFill>
            </a:ln>
          </xdr:spPr>
          <xdr:txBody>
            <a:bodyPr vertOverflow="clip" horzOverflow="clip"/>
            <a:lstStyle/>
            <a:p>
              <a:r>
                <a:rPr lang="en-DK"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135106</xdr:colOff>
      <xdr:row>57</xdr:row>
      <xdr:rowOff>73180</xdr:rowOff>
    </xdr:from>
    <xdr:to>
      <xdr:col>28</xdr:col>
      <xdr:colOff>160540</xdr:colOff>
      <xdr:row>67</xdr:row>
      <xdr:rowOff>134524</xdr:rowOff>
    </xdr:to>
    <mc:AlternateContent xmlns:mc="http://schemas.openxmlformats.org/markup-compatibility/2006">
      <mc:Choice xmlns:cx4="http://schemas.microsoft.com/office/drawing/2016/5/10/chartex" xmlns="" Requires="cx4">
        <xdr:graphicFrame macro="">
          <xdr:nvGraphicFramePr>
            <xdr:cNvPr id="2" name="Chart 1">
              <a:extLst>
                <a:ext uri="{FF2B5EF4-FFF2-40B4-BE49-F238E27FC236}">
                  <a16:creationId xmlns:a16="http://schemas.microsoft.com/office/drawing/2014/main" id="{0A20CC67-6DAD-09E8-58D6-671800BADE4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
              <a:extLst>
                <a:ext uri="{FF2B5EF4-FFF2-40B4-BE49-F238E27FC236}">
                  <a16:creationId xmlns:a16="http://schemas.microsoft.com/office/drawing/2014/main" id="{00000000-0008-0000-0200-000004000000}"/>
                </a:ext>
              </a:extLst>
            </xdr:cNvPr>
            <xdr:cNvSpPr>
              <a:spLocks noTextEdit="1"/>
            </xdr:cNvSpPr>
          </xdr:nvSpPr>
          <xdr:spPr>
            <a:xfrm>
              <a:off x="22109281" y="10865005"/>
              <a:ext cx="13169934" cy="1890144"/>
            </a:xfrm>
            <a:prstGeom prst="rect">
              <a:avLst/>
            </a:prstGeom>
            <a:solidFill>
              <a:prstClr val="white"/>
            </a:solidFill>
            <a:ln w="1">
              <a:solidFill>
                <a:prstClr val="green"/>
              </a:solidFill>
            </a:ln>
          </xdr:spPr>
          <xdr:txBody>
            <a:bodyPr vertOverflow="clip" horzOverflow="clip"/>
            <a:lstStyle/>
            <a:p>
              <a:r>
                <a:rPr lang="en-DK"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135106</xdr:colOff>
      <xdr:row>84</xdr:row>
      <xdr:rowOff>18752</xdr:rowOff>
    </xdr:from>
    <xdr:to>
      <xdr:col>28</xdr:col>
      <xdr:colOff>160540</xdr:colOff>
      <xdr:row>94</xdr:row>
      <xdr:rowOff>80096</xdr:rowOff>
    </xdr:to>
    <mc:AlternateContent xmlns:mc="http://schemas.openxmlformats.org/markup-compatibility/2006">
      <mc:Choice xmlns:cx4="http://schemas.microsoft.com/office/drawing/2016/5/10/chartex" xmlns="" Requires="cx4">
        <xdr:graphicFrame macro="">
          <xdr:nvGraphicFramePr>
            <xdr:cNvPr id="4" name="Chart 3">
              <a:extLst>
                <a:ext uri="{FF2B5EF4-FFF2-40B4-BE49-F238E27FC236}">
                  <a16:creationId xmlns:a16="http://schemas.microsoft.com/office/drawing/2014/main" id="{5A2CDE50-9C0E-0B8F-A8E1-7D9A527053C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
              <a:extLst>
                <a:ext uri="{FF2B5EF4-FFF2-40B4-BE49-F238E27FC236}">
                  <a16:creationId xmlns:a16="http://schemas.microsoft.com/office/drawing/2014/main" id="{00000000-0008-0000-0200-000005000000}"/>
                </a:ext>
              </a:extLst>
            </xdr:cNvPr>
            <xdr:cNvSpPr>
              <a:spLocks noTextEdit="1"/>
            </xdr:cNvSpPr>
          </xdr:nvSpPr>
          <xdr:spPr>
            <a:xfrm>
              <a:off x="22109281" y="15744527"/>
              <a:ext cx="13169934" cy="1880619"/>
            </a:xfrm>
            <a:prstGeom prst="rect">
              <a:avLst/>
            </a:prstGeom>
            <a:solidFill>
              <a:prstClr val="white"/>
            </a:solidFill>
            <a:ln w="1">
              <a:solidFill>
                <a:prstClr val="green"/>
              </a:solidFill>
            </a:ln>
          </xdr:spPr>
          <xdr:txBody>
            <a:bodyPr vertOverflow="clip" horzOverflow="clip"/>
            <a:lstStyle/>
            <a:p>
              <a:r>
                <a:rPr lang="en-DK"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135106</xdr:colOff>
      <xdr:row>99</xdr:row>
      <xdr:rowOff>127610</xdr:rowOff>
    </xdr:from>
    <xdr:to>
      <xdr:col>28</xdr:col>
      <xdr:colOff>160540</xdr:colOff>
      <xdr:row>109</xdr:row>
      <xdr:rowOff>7526</xdr:rowOff>
    </xdr:to>
    <mc:AlternateContent xmlns:mc="http://schemas.openxmlformats.org/markup-compatibility/2006">
      <mc:Choice xmlns:cx4="http://schemas.microsoft.com/office/drawing/2016/5/10/chartex" xmlns="" Requires="cx4">
        <xdr:graphicFrame macro="">
          <xdr:nvGraphicFramePr>
            <xdr:cNvPr id="6" name="Chart 5">
              <a:extLst>
                <a:ext uri="{FF2B5EF4-FFF2-40B4-BE49-F238E27FC236}">
                  <a16:creationId xmlns:a16="http://schemas.microsoft.com/office/drawing/2014/main" id="{BBB0F467-B267-966E-EC8A-3E5E6C0E71C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6" name="">
              <a:extLst>
                <a:ext uri="{FF2B5EF4-FFF2-40B4-BE49-F238E27FC236}">
                  <a16:creationId xmlns:a16="http://schemas.microsoft.com/office/drawing/2014/main" id="{00000000-0008-0000-0200-000006000000}"/>
                </a:ext>
              </a:extLst>
            </xdr:cNvPr>
            <xdr:cNvSpPr>
              <a:spLocks noTextEdit="1"/>
            </xdr:cNvSpPr>
          </xdr:nvSpPr>
          <xdr:spPr>
            <a:xfrm>
              <a:off x="22109281" y="18577535"/>
              <a:ext cx="13169934" cy="1708716"/>
            </a:xfrm>
            <a:prstGeom prst="rect">
              <a:avLst/>
            </a:prstGeom>
            <a:solidFill>
              <a:prstClr val="white"/>
            </a:solidFill>
            <a:ln w="1">
              <a:solidFill>
                <a:prstClr val="green"/>
              </a:solidFill>
            </a:ln>
          </xdr:spPr>
          <xdr:txBody>
            <a:bodyPr vertOverflow="clip" horzOverflow="clip"/>
            <a:lstStyle/>
            <a:p>
              <a:r>
                <a:rPr lang="en-DK"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135106</xdr:colOff>
      <xdr:row>127</xdr:row>
      <xdr:rowOff>52769</xdr:rowOff>
    </xdr:from>
    <xdr:to>
      <xdr:col>28</xdr:col>
      <xdr:colOff>160540</xdr:colOff>
      <xdr:row>138</xdr:row>
      <xdr:rowOff>114114</xdr:rowOff>
    </xdr:to>
    <mc:AlternateContent xmlns:mc="http://schemas.openxmlformats.org/markup-compatibility/2006">
      <mc:Choice xmlns:cx4="http://schemas.microsoft.com/office/drawing/2016/5/10/chartex" xmlns="" Requires="cx4">
        <xdr:graphicFrame macro="">
          <xdr:nvGraphicFramePr>
            <xdr:cNvPr id="7" name="Chart 6">
              <a:extLst>
                <a:ext uri="{FF2B5EF4-FFF2-40B4-BE49-F238E27FC236}">
                  <a16:creationId xmlns:a16="http://schemas.microsoft.com/office/drawing/2014/main" id="{926B990D-0C8A-B712-8C78-BE0286FD17A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7" name="">
              <a:extLst>
                <a:ext uri="{FF2B5EF4-FFF2-40B4-BE49-F238E27FC236}">
                  <a16:creationId xmlns:a16="http://schemas.microsoft.com/office/drawing/2014/main" id="{00000000-0008-0000-0200-000007000000}"/>
                </a:ext>
              </a:extLst>
            </xdr:cNvPr>
            <xdr:cNvSpPr>
              <a:spLocks noTextEdit="1"/>
            </xdr:cNvSpPr>
          </xdr:nvSpPr>
          <xdr:spPr>
            <a:xfrm>
              <a:off x="22109281" y="23608094"/>
              <a:ext cx="13169934" cy="1957006"/>
            </a:xfrm>
            <a:prstGeom prst="rect">
              <a:avLst/>
            </a:prstGeom>
            <a:solidFill>
              <a:prstClr val="white"/>
            </a:solidFill>
            <a:ln w="1">
              <a:solidFill>
                <a:prstClr val="green"/>
              </a:solidFill>
            </a:ln>
          </xdr:spPr>
          <xdr:txBody>
            <a:bodyPr vertOverflow="clip" horzOverflow="clip"/>
            <a:lstStyle/>
            <a:p>
              <a:r>
                <a:rPr lang="en-DK"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21714</xdr:colOff>
      <xdr:row>111</xdr:row>
      <xdr:rowOff>157090</xdr:rowOff>
    </xdr:from>
    <xdr:to>
      <xdr:col>28</xdr:col>
      <xdr:colOff>47148</xdr:colOff>
      <xdr:row>122</xdr:row>
      <xdr:rowOff>37006</xdr:rowOff>
    </xdr:to>
    <mc:AlternateContent xmlns:mc="http://schemas.openxmlformats.org/markup-compatibility/2006">
      <mc:Choice xmlns:cx4="http://schemas.microsoft.com/office/drawing/2016/5/10/chartex" xmlns="" Requires="cx4">
        <xdr:graphicFrame macro="">
          <xdr:nvGraphicFramePr>
            <xdr:cNvPr id="8" name="Chart 7">
              <a:extLst>
                <a:ext uri="{FF2B5EF4-FFF2-40B4-BE49-F238E27FC236}">
                  <a16:creationId xmlns:a16="http://schemas.microsoft.com/office/drawing/2014/main" id="{FC6FC173-89B8-0D68-6BB3-387C1833563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8" name="">
              <a:extLst>
                <a:ext uri="{FF2B5EF4-FFF2-40B4-BE49-F238E27FC236}">
                  <a16:creationId xmlns:a16="http://schemas.microsoft.com/office/drawing/2014/main" id="{00000000-0008-0000-0200-000008000000}"/>
                </a:ext>
              </a:extLst>
            </xdr:cNvPr>
            <xdr:cNvSpPr>
              <a:spLocks noTextEdit="1"/>
            </xdr:cNvSpPr>
          </xdr:nvSpPr>
          <xdr:spPr>
            <a:xfrm>
              <a:off x="21995889" y="20797765"/>
              <a:ext cx="13169934" cy="1889691"/>
            </a:xfrm>
            <a:prstGeom prst="rect">
              <a:avLst/>
            </a:prstGeom>
            <a:solidFill>
              <a:prstClr val="white"/>
            </a:solidFill>
            <a:ln w="1">
              <a:solidFill>
                <a:prstClr val="green"/>
              </a:solidFill>
            </a:ln>
          </xdr:spPr>
          <xdr:txBody>
            <a:bodyPr vertOverflow="clip" horzOverflow="clip"/>
            <a:lstStyle/>
            <a:p>
              <a:r>
                <a:rPr lang="en-DK"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78270</xdr:colOff>
      <xdr:row>70</xdr:row>
      <xdr:rowOff>49524</xdr:rowOff>
    </xdr:from>
    <xdr:to>
      <xdr:col>28</xdr:col>
      <xdr:colOff>113229</xdr:colOff>
      <xdr:row>80</xdr:row>
      <xdr:rowOff>110868</xdr:rowOff>
    </xdr:to>
    <mc:AlternateContent xmlns:mc="http://schemas.openxmlformats.org/markup-compatibility/2006">
      <mc:Choice xmlns:cx4="http://schemas.microsoft.com/office/drawing/2016/5/10/chartex" xmlns="" Requires="cx4">
        <xdr:graphicFrame macro="">
          <xdr:nvGraphicFramePr>
            <xdr:cNvPr id="11" name="Chart 10">
              <a:extLst>
                <a:ext uri="{FF2B5EF4-FFF2-40B4-BE49-F238E27FC236}">
                  <a16:creationId xmlns:a16="http://schemas.microsoft.com/office/drawing/2014/main" id="{23041E43-F75A-BEDF-6A79-CFFE1C0C98A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9" name="">
              <a:extLst>
                <a:ext uri="{FF2B5EF4-FFF2-40B4-BE49-F238E27FC236}">
                  <a16:creationId xmlns:a16="http://schemas.microsoft.com/office/drawing/2014/main" id="{00000000-0008-0000-0200-000009000000}"/>
                </a:ext>
              </a:extLst>
            </xdr:cNvPr>
            <xdr:cNvSpPr>
              <a:spLocks noTextEdit="1"/>
            </xdr:cNvSpPr>
          </xdr:nvSpPr>
          <xdr:spPr>
            <a:xfrm>
              <a:off x="22052445" y="13213074"/>
              <a:ext cx="13179459" cy="1890144"/>
            </a:xfrm>
            <a:prstGeom prst="rect">
              <a:avLst/>
            </a:prstGeom>
            <a:solidFill>
              <a:prstClr val="white"/>
            </a:solidFill>
            <a:ln w="1">
              <a:solidFill>
                <a:prstClr val="green"/>
              </a:solidFill>
            </a:ln>
          </xdr:spPr>
          <xdr:txBody>
            <a:bodyPr vertOverflow="clip" horzOverflow="clip"/>
            <a:lstStyle/>
            <a:p>
              <a:r>
                <a:rPr lang="en-DK"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299427</xdr:colOff>
      <xdr:row>128</xdr:row>
      <xdr:rowOff>122238</xdr:rowOff>
    </xdr:from>
    <xdr:to>
      <xdr:col>3</xdr:col>
      <xdr:colOff>1175727</xdr:colOff>
      <xdr:row>143</xdr:row>
      <xdr:rowOff>7938</xdr:rowOff>
    </xdr:to>
    <xdr:graphicFrame macro="">
      <xdr:nvGraphicFramePr>
        <xdr:cNvPr id="2" name="Chart 1">
          <a:extLst>
            <a:ext uri="{FF2B5EF4-FFF2-40B4-BE49-F238E27FC236}">
              <a16:creationId xmlns:a16="http://schemas.microsoft.com/office/drawing/2014/main" id="{CADD9226-2744-43F2-94C2-716B02FD9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1245577</xdr:colOff>
      <xdr:row>128</xdr:row>
      <xdr:rowOff>121383</xdr:rowOff>
    </xdr:from>
    <xdr:to>
      <xdr:col>6</xdr:col>
      <xdr:colOff>1074127</xdr:colOff>
      <xdr:row>143</xdr:row>
      <xdr:rowOff>10502</xdr:rowOff>
    </xdr:to>
    <xdr:graphicFrame macro="">
      <xdr:nvGraphicFramePr>
        <xdr:cNvPr id="3" name="Chart 2">
          <a:extLst>
            <a:ext uri="{FF2B5EF4-FFF2-40B4-BE49-F238E27FC236}">
              <a16:creationId xmlns:a16="http://schemas.microsoft.com/office/drawing/2014/main" id="{CA2D2E97-745A-4DE1-B61B-9A9DFEB85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299427</xdr:colOff>
      <xdr:row>143</xdr:row>
      <xdr:rowOff>57151</xdr:rowOff>
    </xdr:from>
    <xdr:to>
      <xdr:col>3</xdr:col>
      <xdr:colOff>1175727</xdr:colOff>
      <xdr:row>157</xdr:row>
      <xdr:rowOff>133351</xdr:rowOff>
    </xdr:to>
    <xdr:graphicFrame macro="">
      <xdr:nvGraphicFramePr>
        <xdr:cNvPr id="4" name="Chart 3">
          <a:extLst>
            <a:ext uri="{FF2B5EF4-FFF2-40B4-BE49-F238E27FC236}">
              <a16:creationId xmlns:a16="http://schemas.microsoft.com/office/drawing/2014/main" id="{838B7079-66DA-47D4-9C9C-87DF6A788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1245577</xdr:colOff>
      <xdr:row>143</xdr:row>
      <xdr:rowOff>57151</xdr:rowOff>
    </xdr:from>
    <xdr:to>
      <xdr:col>6</xdr:col>
      <xdr:colOff>1074127</xdr:colOff>
      <xdr:row>157</xdr:row>
      <xdr:rowOff>133351</xdr:rowOff>
    </xdr:to>
    <xdr:graphicFrame macro="">
      <xdr:nvGraphicFramePr>
        <xdr:cNvPr id="5" name="Chart 4">
          <a:extLst>
            <a:ext uri="{FF2B5EF4-FFF2-40B4-BE49-F238E27FC236}">
              <a16:creationId xmlns:a16="http://schemas.microsoft.com/office/drawing/2014/main" id="{4AACC48D-FEED-48E1-88C9-D0C61B730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14476</xdr:colOff>
      <xdr:row>128</xdr:row>
      <xdr:rowOff>151269</xdr:rowOff>
    </xdr:from>
    <xdr:to>
      <xdr:col>9</xdr:col>
      <xdr:colOff>1281056</xdr:colOff>
      <xdr:row>143</xdr:row>
      <xdr:rowOff>137349</xdr:rowOff>
    </xdr:to>
    <xdr:graphicFrame macro="">
      <xdr:nvGraphicFramePr>
        <xdr:cNvPr id="6" name="Chart 5">
          <a:extLst>
            <a:ext uri="{FF2B5EF4-FFF2-40B4-BE49-F238E27FC236}">
              <a16:creationId xmlns:a16="http://schemas.microsoft.com/office/drawing/2014/main" id="{30D372BA-1F09-4DFF-A510-AE8821338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62424</xdr:colOff>
      <xdr:row>37</xdr:row>
      <xdr:rowOff>293077</xdr:rowOff>
    </xdr:from>
    <xdr:to>
      <xdr:col>5</xdr:col>
      <xdr:colOff>2080486</xdr:colOff>
      <xdr:row>49</xdr:row>
      <xdr:rowOff>143998</xdr:rowOff>
    </xdr:to>
    <xdr:graphicFrame macro="">
      <xdr:nvGraphicFramePr>
        <xdr:cNvPr id="2" name="Chart 1">
          <a:extLst>
            <a:ext uri="{FF2B5EF4-FFF2-40B4-BE49-F238E27FC236}">
              <a16:creationId xmlns:a16="http://schemas.microsoft.com/office/drawing/2014/main" id="{B61642DC-6C78-493B-87B2-86AD42E38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567230</xdr:colOff>
      <xdr:row>146</xdr:row>
      <xdr:rowOff>536246</xdr:rowOff>
    </xdr:from>
    <xdr:to>
      <xdr:col>2</xdr:col>
      <xdr:colOff>1116505</xdr:colOff>
      <xdr:row>146</xdr:row>
      <xdr:rowOff>809296</xdr:rowOff>
    </xdr:to>
    <xdr:sp macro="" textlink="">
      <xdr:nvSpPr>
        <xdr:cNvPr id="3" name="Arrow: Right 2">
          <a:extLst>
            <a:ext uri="{FF2B5EF4-FFF2-40B4-BE49-F238E27FC236}">
              <a16:creationId xmlns:a16="http://schemas.microsoft.com/office/drawing/2014/main" id="{693E1AD7-9749-485F-8986-38BC5E26F97D}"/>
            </a:ext>
          </a:extLst>
        </xdr:cNvPr>
        <xdr:cNvSpPr/>
      </xdr:nvSpPr>
      <xdr:spPr>
        <a:xfrm>
          <a:off x="1783255" y="26606171"/>
          <a:ext cx="44450" cy="0"/>
        </a:xfrm>
        <a:prstGeom prst="rightArrow">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581025</xdr:colOff>
      <xdr:row>146</xdr:row>
      <xdr:rowOff>514350</xdr:rowOff>
    </xdr:from>
    <xdr:to>
      <xdr:col>4</xdr:col>
      <xdr:colOff>1130300</xdr:colOff>
      <xdr:row>146</xdr:row>
      <xdr:rowOff>787400</xdr:rowOff>
    </xdr:to>
    <xdr:sp macro="" textlink="">
      <xdr:nvSpPr>
        <xdr:cNvPr id="4" name="Arrow: Right 3">
          <a:extLst>
            <a:ext uri="{FF2B5EF4-FFF2-40B4-BE49-F238E27FC236}">
              <a16:creationId xmlns:a16="http://schemas.microsoft.com/office/drawing/2014/main" id="{8853CF6C-E52B-4C79-A9CF-BB56EE4FB36C}"/>
            </a:ext>
          </a:extLst>
        </xdr:cNvPr>
        <xdr:cNvSpPr/>
      </xdr:nvSpPr>
      <xdr:spPr>
        <a:xfrm>
          <a:off x="3016250" y="26603325"/>
          <a:ext cx="31750" cy="0"/>
        </a:xfrm>
        <a:prstGeom prst="rightArrow">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215160</xdr:colOff>
      <xdr:row>37</xdr:row>
      <xdr:rowOff>282117</xdr:rowOff>
    </xdr:from>
    <xdr:to>
      <xdr:col>1</xdr:col>
      <xdr:colOff>3260820</xdr:colOff>
      <xdr:row>49</xdr:row>
      <xdr:rowOff>128954</xdr:rowOff>
    </xdr:to>
    <xdr:graphicFrame macro="">
      <xdr:nvGraphicFramePr>
        <xdr:cNvPr id="5" name="Chart 4">
          <a:extLst>
            <a:ext uri="{FF2B5EF4-FFF2-40B4-BE49-F238E27FC236}">
              <a16:creationId xmlns:a16="http://schemas.microsoft.com/office/drawing/2014/main" id="{BF42F8BA-622E-4441-9FC0-0CA8BF52A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0</xdr:colOff>
      <xdr:row>52</xdr:row>
      <xdr:rowOff>0</xdr:rowOff>
    </xdr:from>
    <xdr:ext cx="6561892" cy="3173418"/>
    <xdr:pic>
      <xdr:nvPicPr>
        <xdr:cNvPr id="6" name="Picture 5">
          <a:extLst>
            <a:ext uri="{FF2B5EF4-FFF2-40B4-BE49-F238E27FC236}">
              <a16:creationId xmlns:a16="http://schemas.microsoft.com/office/drawing/2014/main" id="{218179D8-9FFC-40B2-B40B-17E04CFA7D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76800" y="9410700"/>
          <a:ext cx="6561892" cy="3173418"/>
        </a:xfrm>
        <a:prstGeom prst="rect">
          <a:avLst/>
        </a:prstGeom>
        <a:noFill/>
        <a:ln>
          <a:noFill/>
        </a:ln>
      </xdr:spPr>
    </xdr:pic>
    <xdr:clientData/>
  </xdr:oneCellAnchor>
  <xdr:twoCellAnchor>
    <xdr:from>
      <xdr:col>2</xdr:col>
      <xdr:colOff>112642</xdr:colOff>
      <xdr:row>37</xdr:row>
      <xdr:rowOff>293077</xdr:rowOff>
    </xdr:from>
    <xdr:to>
      <xdr:col>3</xdr:col>
      <xdr:colOff>1254372</xdr:colOff>
      <xdr:row>49</xdr:row>
      <xdr:rowOff>138137</xdr:rowOff>
    </xdr:to>
    <xdr:graphicFrame macro="">
      <xdr:nvGraphicFramePr>
        <xdr:cNvPr id="7" name="Chart 6">
          <a:extLst>
            <a:ext uri="{FF2B5EF4-FFF2-40B4-BE49-F238E27FC236}">
              <a16:creationId xmlns:a16="http://schemas.microsoft.com/office/drawing/2014/main" id="{09306861-593D-40C7-98FE-06E85F169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218899</xdr:colOff>
      <xdr:row>11</xdr:row>
      <xdr:rowOff>25752</xdr:rowOff>
    </xdr:from>
    <xdr:to>
      <xdr:col>13</xdr:col>
      <xdr:colOff>369611</xdr:colOff>
      <xdr:row>31</xdr:row>
      <xdr:rowOff>235323</xdr:rowOff>
    </xdr:to>
    <xdr:graphicFrame macro="">
      <xdr:nvGraphicFramePr>
        <xdr:cNvPr id="2" name="Chart 17">
          <a:extLst>
            <a:ext uri="{FF2B5EF4-FFF2-40B4-BE49-F238E27FC236}">
              <a16:creationId xmlns:a16="http://schemas.microsoft.com/office/drawing/2014/main" id="{CE573781-EE03-4A55-B59F-B8B6BEDDB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164052</xdr:colOff>
      <xdr:row>1</xdr:row>
      <xdr:rowOff>437030</xdr:rowOff>
    </xdr:from>
    <xdr:to>
      <xdr:col>6</xdr:col>
      <xdr:colOff>2183473</xdr:colOff>
      <xdr:row>10</xdr:row>
      <xdr:rowOff>188490</xdr:rowOff>
    </xdr:to>
    <xdr:graphicFrame macro="">
      <xdr:nvGraphicFramePr>
        <xdr:cNvPr id="3" name="Chart 2">
          <a:extLst>
            <a:ext uri="{FF2B5EF4-FFF2-40B4-BE49-F238E27FC236}">
              <a16:creationId xmlns:a16="http://schemas.microsoft.com/office/drawing/2014/main" id="{476F3E99-18BB-446E-86F9-017CD0A8B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2315414</xdr:colOff>
      <xdr:row>1</xdr:row>
      <xdr:rowOff>436674</xdr:rowOff>
    </xdr:from>
    <xdr:to>
      <xdr:col>9</xdr:col>
      <xdr:colOff>1614</xdr:colOff>
      <xdr:row>10</xdr:row>
      <xdr:rowOff>181988</xdr:rowOff>
    </xdr:to>
    <xdr:graphicFrame macro="">
      <xdr:nvGraphicFramePr>
        <xdr:cNvPr id="4" name="Chart 3">
          <a:extLst>
            <a:ext uri="{FF2B5EF4-FFF2-40B4-BE49-F238E27FC236}">
              <a16:creationId xmlns:a16="http://schemas.microsoft.com/office/drawing/2014/main" id="{482FBBC6-0912-46EE-9BCB-CFF70C594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78521</xdr:colOff>
      <xdr:row>1</xdr:row>
      <xdr:rowOff>436698</xdr:rowOff>
    </xdr:from>
    <xdr:to>
      <xdr:col>11</xdr:col>
      <xdr:colOff>189716</xdr:colOff>
      <xdr:row>10</xdr:row>
      <xdr:rowOff>182469</xdr:rowOff>
    </xdr:to>
    <xdr:graphicFrame macro="">
      <xdr:nvGraphicFramePr>
        <xdr:cNvPr id="5" name="Chart 4">
          <a:extLst>
            <a:ext uri="{FF2B5EF4-FFF2-40B4-BE49-F238E27FC236}">
              <a16:creationId xmlns:a16="http://schemas.microsoft.com/office/drawing/2014/main" id="{28FE1F4D-D2F3-4D93-861C-369E2B9FD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255958</xdr:colOff>
      <xdr:row>1</xdr:row>
      <xdr:rowOff>436211</xdr:rowOff>
    </xdr:from>
    <xdr:to>
      <xdr:col>13</xdr:col>
      <xdr:colOff>354454</xdr:colOff>
      <xdr:row>10</xdr:row>
      <xdr:rowOff>173614</xdr:rowOff>
    </xdr:to>
    <xdr:graphicFrame macro="">
      <xdr:nvGraphicFramePr>
        <xdr:cNvPr id="6" name="Chart 23">
          <a:extLst>
            <a:ext uri="{FF2B5EF4-FFF2-40B4-BE49-F238E27FC236}">
              <a16:creationId xmlns:a16="http://schemas.microsoft.com/office/drawing/2014/main" id="{F0F6ED34-9C97-4DD2-9694-836B59AC52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305585</xdr:colOff>
      <xdr:row>3</xdr:row>
      <xdr:rowOff>138761</xdr:rowOff>
    </xdr:from>
    <xdr:to>
      <xdr:col>6</xdr:col>
      <xdr:colOff>1982059</xdr:colOff>
      <xdr:row>3</xdr:row>
      <xdr:rowOff>383423</xdr:rowOff>
    </xdr:to>
    <xdr:sp macro="" textlink="$G$47">
      <xdr:nvSpPr>
        <xdr:cNvPr id="7" name="TextBox 6">
          <a:extLst>
            <a:ext uri="{FF2B5EF4-FFF2-40B4-BE49-F238E27FC236}">
              <a16:creationId xmlns:a16="http://schemas.microsoft.com/office/drawing/2014/main" id="{613AC3AA-FD4F-4304-A578-9D32AFDB4BB7}"/>
            </a:ext>
          </a:extLst>
        </xdr:cNvPr>
        <xdr:cNvSpPr txBox="1"/>
      </xdr:nvSpPr>
      <xdr:spPr>
        <a:xfrm>
          <a:off x="10821185" y="1389711"/>
          <a:ext cx="1676474" cy="2414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E368E0A-2563-4A98-93D4-744B008D6F44}" type="TxLink">
            <a:rPr lang="en-US" sz="900" b="1" i="1" u="none" strike="noStrike">
              <a:solidFill>
                <a:sysClr val="windowText" lastClr="000000"/>
              </a:solidFill>
              <a:latin typeface="Calibri"/>
              <a:ea typeface="Calibri"/>
              <a:cs typeface="Calibri"/>
            </a:rPr>
            <a:pPr algn="ctr"/>
            <a:t>Total S1 = 198 USD/tLSFOeq</a:t>
          </a:fld>
          <a:endParaRPr lang="en-US" sz="1100">
            <a:solidFill>
              <a:sysClr val="windowText" lastClr="000000"/>
            </a:solidFill>
          </a:endParaRPr>
        </a:p>
      </xdr:txBody>
    </xdr:sp>
    <xdr:clientData/>
  </xdr:twoCellAnchor>
  <xdr:twoCellAnchor>
    <xdr:from>
      <xdr:col>6</xdr:col>
      <xdr:colOff>2350434</xdr:colOff>
      <xdr:row>3</xdr:row>
      <xdr:rowOff>159156</xdr:rowOff>
    </xdr:from>
    <xdr:to>
      <xdr:col>8</xdr:col>
      <xdr:colOff>816086</xdr:colOff>
      <xdr:row>3</xdr:row>
      <xdr:rowOff>394293</xdr:rowOff>
    </xdr:to>
    <xdr:sp macro="" textlink="$J$48">
      <xdr:nvSpPr>
        <xdr:cNvPr id="8" name="TextBox 7">
          <a:extLst>
            <a:ext uri="{FF2B5EF4-FFF2-40B4-BE49-F238E27FC236}">
              <a16:creationId xmlns:a16="http://schemas.microsoft.com/office/drawing/2014/main" id="{09B5EF11-B411-4DD7-9B31-34189E01726B}"/>
            </a:ext>
          </a:extLst>
        </xdr:cNvPr>
        <xdr:cNvSpPr txBox="1"/>
      </xdr:nvSpPr>
      <xdr:spPr>
        <a:xfrm>
          <a:off x="12869209" y="1410106"/>
          <a:ext cx="1662877" cy="2287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56FEA49-7E55-4DAB-B437-8551FD1CDFEE}" type="TxLink">
            <a:rPr lang="en-US" sz="900" b="1" i="1" u="none" strike="noStrike">
              <a:solidFill>
                <a:sysClr val="windowText" lastClr="000000"/>
              </a:solidFill>
              <a:latin typeface="Calibri"/>
              <a:ea typeface="Calibri"/>
              <a:cs typeface="Calibri"/>
            </a:rPr>
            <a:pPr marL="0" indent="0" algn="ctr"/>
            <a:t>Total S2 = 100014 USD/tLSFOeq</a:t>
          </a:fld>
          <a:endParaRPr lang="en-US" sz="900" b="1" i="1" u="none" strike="noStrike">
            <a:solidFill>
              <a:sysClr val="windowText" lastClr="000000"/>
            </a:solidFill>
            <a:latin typeface="Calibri"/>
            <a:ea typeface="Calibri"/>
            <a:cs typeface="Calibri"/>
          </a:endParaRPr>
        </a:p>
      </xdr:txBody>
    </xdr:sp>
    <xdr:clientData/>
  </xdr:twoCellAnchor>
  <xdr:twoCellAnchor>
    <xdr:from>
      <xdr:col>9</xdr:col>
      <xdr:colOff>185868</xdr:colOff>
      <xdr:row>3</xdr:row>
      <xdr:rowOff>147091</xdr:rowOff>
    </xdr:from>
    <xdr:to>
      <xdr:col>10</xdr:col>
      <xdr:colOff>907713</xdr:colOff>
      <xdr:row>3</xdr:row>
      <xdr:rowOff>394293</xdr:rowOff>
    </xdr:to>
    <xdr:sp macro="" textlink="$M$48">
      <xdr:nvSpPr>
        <xdr:cNvPr id="9" name="TextBox 8">
          <a:extLst>
            <a:ext uri="{FF2B5EF4-FFF2-40B4-BE49-F238E27FC236}">
              <a16:creationId xmlns:a16="http://schemas.microsoft.com/office/drawing/2014/main" id="{1A1DF24F-C733-46B8-B3CA-57F4CAD2A4B6}"/>
            </a:ext>
          </a:extLst>
        </xdr:cNvPr>
        <xdr:cNvSpPr txBox="1"/>
      </xdr:nvSpPr>
      <xdr:spPr>
        <a:xfrm>
          <a:off x="14841668" y="1391691"/>
          <a:ext cx="1664820" cy="24720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64E5DC42-1293-4E6B-BFB5-959D1BDF4669}" type="TxLink">
            <a:rPr lang="en-US" sz="900" b="1" i="1" u="none" strike="noStrike">
              <a:solidFill>
                <a:sysClr val="windowText" lastClr="000000"/>
              </a:solidFill>
              <a:latin typeface="Calibri"/>
              <a:ea typeface="Calibri"/>
              <a:cs typeface="Calibri"/>
            </a:rPr>
            <a:pPr marL="0" indent="0" algn="ctr"/>
            <a:t>Total S3 = 0 USD/tLSFOeq</a:t>
          </a:fld>
          <a:endParaRPr lang="en-US" sz="900" b="1" i="1" u="none" strike="noStrike">
            <a:solidFill>
              <a:sysClr val="windowText" lastClr="000000"/>
            </a:solidFill>
            <a:latin typeface="Calibri"/>
            <a:ea typeface="Calibri"/>
            <a:cs typeface="Calibri"/>
          </a:endParaRPr>
        </a:p>
      </xdr:txBody>
    </xdr:sp>
    <xdr:clientData/>
  </xdr:twoCellAnchor>
  <xdr:twoCellAnchor>
    <xdr:from>
      <xdr:col>11</xdr:col>
      <xdr:colOff>383726</xdr:colOff>
      <xdr:row>3</xdr:row>
      <xdr:rowOff>138761</xdr:rowOff>
    </xdr:from>
    <xdr:to>
      <xdr:col>13</xdr:col>
      <xdr:colOff>154752</xdr:colOff>
      <xdr:row>3</xdr:row>
      <xdr:rowOff>375168</xdr:rowOff>
    </xdr:to>
    <xdr:sp macro="" textlink="$P$50">
      <xdr:nvSpPr>
        <xdr:cNvPr id="10" name="TextBox 9">
          <a:extLst>
            <a:ext uri="{FF2B5EF4-FFF2-40B4-BE49-F238E27FC236}">
              <a16:creationId xmlns:a16="http://schemas.microsoft.com/office/drawing/2014/main" id="{207A2ABA-FE13-414B-9028-9F6822A7C1F6}"/>
            </a:ext>
          </a:extLst>
        </xdr:cNvPr>
        <xdr:cNvSpPr txBox="1"/>
      </xdr:nvSpPr>
      <xdr:spPr>
        <a:xfrm>
          <a:off x="16928651" y="1389711"/>
          <a:ext cx="1656976" cy="23005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F54D0391-41DB-44C1-86AD-73354E33A6FD}" type="TxLink">
            <a:rPr lang="en-US" sz="900" b="1" i="1" u="none" strike="noStrike">
              <a:solidFill>
                <a:sysClr val="windowText" lastClr="000000"/>
              </a:solidFill>
              <a:latin typeface="Calibri"/>
              <a:ea typeface="Calibri"/>
              <a:cs typeface="Calibri"/>
            </a:rPr>
            <a:pPr marL="0" indent="0" algn="ctr"/>
            <a:t>Total S4 = -1083 USD/tLSFOeq</a:t>
          </a:fld>
          <a:endParaRPr lang="en-US" sz="900" b="1" i="1" u="none" strike="noStrike">
            <a:solidFill>
              <a:sysClr val="windowText" lastClr="000000"/>
            </a:solidFill>
            <a:latin typeface="Calibri"/>
            <a:ea typeface="Calibri"/>
            <a:cs typeface="Calibri"/>
          </a:endParaRPr>
        </a:p>
      </xdr:txBody>
    </xdr:sp>
    <xdr:clientData/>
  </xdr:twoCellAnchor>
  <xdr:twoCellAnchor editAs="oneCell">
    <xdr:from>
      <xdr:col>6</xdr:col>
      <xdr:colOff>753969</xdr:colOff>
      <xdr:row>1</xdr:row>
      <xdr:rowOff>324971</xdr:rowOff>
    </xdr:from>
    <xdr:to>
      <xdr:col>6</xdr:col>
      <xdr:colOff>1531919</xdr:colOff>
      <xdr:row>2</xdr:row>
      <xdr:rowOff>456076</xdr:rowOff>
    </xdr:to>
    <xdr:pic>
      <xdr:nvPicPr>
        <xdr:cNvPr id="11" name="Picture 10">
          <a:extLst>
            <a:ext uri="{FF2B5EF4-FFF2-40B4-BE49-F238E27FC236}">
              <a16:creationId xmlns:a16="http://schemas.microsoft.com/office/drawing/2014/main" id="{A3DCD4C7-69D9-460D-8129-FB772BCA0D94}"/>
            </a:ext>
          </a:extLst>
        </xdr:cNvPr>
        <xdr:cNvPicPr>
          <a:picLocks noChangeAspect="1"/>
        </xdr:cNvPicPr>
      </xdr:nvPicPr>
      <xdr:blipFill>
        <a:blip xmlns:r="http://schemas.openxmlformats.org/officeDocument/2006/relationships" r:embed="rId6"/>
        <a:stretch>
          <a:fillRect/>
        </a:stretch>
      </xdr:blipFill>
      <xdr:spPr>
        <a:xfrm>
          <a:off x="11266394" y="505946"/>
          <a:ext cx="781125" cy="578780"/>
        </a:xfrm>
        <a:prstGeom prst="rect">
          <a:avLst/>
        </a:prstGeom>
      </xdr:spPr>
    </xdr:pic>
    <xdr:clientData/>
  </xdr:twoCellAnchor>
  <xdr:twoCellAnchor editAs="oneCell">
    <xdr:from>
      <xdr:col>7</xdr:col>
      <xdr:colOff>412042</xdr:colOff>
      <xdr:row>1</xdr:row>
      <xdr:rowOff>324971</xdr:rowOff>
    </xdr:from>
    <xdr:to>
      <xdr:col>8</xdr:col>
      <xdr:colOff>388875</xdr:colOff>
      <xdr:row>2</xdr:row>
      <xdr:rowOff>476294</xdr:rowOff>
    </xdr:to>
    <xdr:pic>
      <xdr:nvPicPr>
        <xdr:cNvPr id="12" name="Picture 11">
          <a:extLst>
            <a:ext uri="{FF2B5EF4-FFF2-40B4-BE49-F238E27FC236}">
              <a16:creationId xmlns:a16="http://schemas.microsoft.com/office/drawing/2014/main" id="{6399F85F-597F-4886-B6A0-38DAAB43D953}"/>
            </a:ext>
          </a:extLst>
        </xdr:cNvPr>
        <xdr:cNvPicPr>
          <a:picLocks noChangeAspect="1"/>
        </xdr:cNvPicPr>
      </xdr:nvPicPr>
      <xdr:blipFill>
        <a:blip xmlns:r="http://schemas.openxmlformats.org/officeDocument/2006/relationships" r:embed="rId7"/>
        <a:stretch>
          <a:fillRect/>
        </a:stretch>
      </xdr:blipFill>
      <xdr:spPr>
        <a:xfrm>
          <a:off x="13315242" y="505946"/>
          <a:ext cx="789633" cy="598998"/>
        </a:xfrm>
        <a:prstGeom prst="rect">
          <a:avLst/>
        </a:prstGeom>
      </xdr:spPr>
    </xdr:pic>
    <xdr:clientData/>
  </xdr:twoCellAnchor>
  <xdr:twoCellAnchor editAs="oneCell">
    <xdr:from>
      <xdr:col>9</xdr:col>
      <xdr:colOff>636234</xdr:colOff>
      <xdr:row>1</xdr:row>
      <xdr:rowOff>324971</xdr:rowOff>
    </xdr:from>
    <xdr:to>
      <xdr:col>10</xdr:col>
      <xdr:colOff>469079</xdr:colOff>
      <xdr:row>2</xdr:row>
      <xdr:rowOff>418973</xdr:rowOff>
    </xdr:to>
    <xdr:pic>
      <xdr:nvPicPr>
        <xdr:cNvPr id="13" name="Picture 12">
          <a:extLst>
            <a:ext uri="{FF2B5EF4-FFF2-40B4-BE49-F238E27FC236}">
              <a16:creationId xmlns:a16="http://schemas.microsoft.com/office/drawing/2014/main" id="{E1B158DE-585E-4493-A330-79D2D75FA214}"/>
            </a:ext>
          </a:extLst>
        </xdr:cNvPr>
        <xdr:cNvPicPr>
          <a:picLocks noChangeAspect="1"/>
        </xdr:cNvPicPr>
      </xdr:nvPicPr>
      <xdr:blipFill>
        <a:blip xmlns:r="http://schemas.openxmlformats.org/officeDocument/2006/relationships" r:embed="rId8"/>
        <a:stretch>
          <a:fillRect/>
        </a:stretch>
      </xdr:blipFill>
      <xdr:spPr>
        <a:xfrm>
          <a:off x="15298384" y="505946"/>
          <a:ext cx="772645" cy="541677"/>
        </a:xfrm>
        <a:prstGeom prst="rect">
          <a:avLst/>
        </a:prstGeom>
      </xdr:spPr>
    </xdr:pic>
    <xdr:clientData/>
  </xdr:twoCellAnchor>
  <xdr:twoCellAnchor editAs="oneCell">
    <xdr:from>
      <xdr:col>11</xdr:col>
      <xdr:colOff>850041</xdr:colOff>
      <xdr:row>1</xdr:row>
      <xdr:rowOff>324971</xdr:rowOff>
    </xdr:from>
    <xdr:to>
      <xdr:col>12</xdr:col>
      <xdr:colOff>692326</xdr:colOff>
      <xdr:row>2</xdr:row>
      <xdr:rowOff>449400</xdr:rowOff>
    </xdr:to>
    <xdr:pic>
      <xdr:nvPicPr>
        <xdr:cNvPr id="14" name="Picture 13">
          <a:extLst>
            <a:ext uri="{FF2B5EF4-FFF2-40B4-BE49-F238E27FC236}">
              <a16:creationId xmlns:a16="http://schemas.microsoft.com/office/drawing/2014/main" id="{210434AB-0043-47ED-A49B-0254EFBA2BBD}"/>
            </a:ext>
          </a:extLst>
        </xdr:cNvPr>
        <xdr:cNvPicPr>
          <a:picLocks noChangeAspect="1"/>
        </xdr:cNvPicPr>
      </xdr:nvPicPr>
      <xdr:blipFill>
        <a:blip xmlns:r="http://schemas.openxmlformats.org/officeDocument/2006/relationships" r:embed="rId9"/>
        <a:stretch>
          <a:fillRect/>
        </a:stretch>
      </xdr:blipFill>
      <xdr:spPr>
        <a:xfrm>
          <a:off x="17391791" y="505946"/>
          <a:ext cx="788435" cy="572104"/>
        </a:xfrm>
        <a:prstGeom prst="rect">
          <a:avLst/>
        </a:prstGeom>
      </xdr:spPr>
    </xdr:pic>
    <xdr:clientData/>
  </xdr:twoCellAnchor>
  <xdr:twoCellAnchor editAs="oneCell">
    <xdr:from>
      <xdr:col>6</xdr:col>
      <xdr:colOff>753035</xdr:colOff>
      <xdr:row>13</xdr:row>
      <xdr:rowOff>190500</xdr:rowOff>
    </xdr:from>
    <xdr:to>
      <xdr:col>6</xdr:col>
      <xdr:colOff>1287458</xdr:colOff>
      <xdr:row>15</xdr:row>
      <xdr:rowOff>122098</xdr:rowOff>
    </xdr:to>
    <xdr:pic>
      <xdr:nvPicPr>
        <xdr:cNvPr id="15" name="Picture 14">
          <a:extLst>
            <a:ext uri="{FF2B5EF4-FFF2-40B4-BE49-F238E27FC236}">
              <a16:creationId xmlns:a16="http://schemas.microsoft.com/office/drawing/2014/main" id="{473B94FD-9C4B-431D-8779-A38CEB2A3395}"/>
            </a:ext>
          </a:extLst>
        </xdr:cNvPr>
        <xdr:cNvPicPr>
          <a:picLocks noChangeAspect="1"/>
        </xdr:cNvPicPr>
      </xdr:nvPicPr>
      <xdr:blipFill>
        <a:blip xmlns:r="http://schemas.openxmlformats.org/officeDocument/2006/relationships" r:embed="rId7"/>
        <a:stretch>
          <a:fillRect/>
        </a:stretch>
      </xdr:blipFill>
      <xdr:spPr>
        <a:xfrm>
          <a:off x="11265460" y="7067550"/>
          <a:ext cx="537598" cy="360223"/>
        </a:xfrm>
        <a:prstGeom prst="rect">
          <a:avLst/>
        </a:prstGeom>
      </xdr:spPr>
    </xdr:pic>
    <xdr:clientData/>
  </xdr:twoCellAnchor>
  <xdr:twoCellAnchor editAs="oneCell">
    <xdr:from>
      <xdr:col>6</xdr:col>
      <xdr:colOff>776718</xdr:colOff>
      <xdr:row>15</xdr:row>
      <xdr:rowOff>347381</xdr:rowOff>
    </xdr:from>
    <xdr:to>
      <xdr:col>6</xdr:col>
      <xdr:colOff>1313088</xdr:colOff>
      <xdr:row>15</xdr:row>
      <xdr:rowOff>723444</xdr:rowOff>
    </xdr:to>
    <xdr:pic>
      <xdr:nvPicPr>
        <xdr:cNvPr id="16" name="Picture 15">
          <a:extLst>
            <a:ext uri="{FF2B5EF4-FFF2-40B4-BE49-F238E27FC236}">
              <a16:creationId xmlns:a16="http://schemas.microsoft.com/office/drawing/2014/main" id="{657C51BC-5D78-4F51-953C-5AFEA9553561}"/>
            </a:ext>
          </a:extLst>
        </xdr:cNvPr>
        <xdr:cNvPicPr>
          <a:picLocks noChangeAspect="1"/>
        </xdr:cNvPicPr>
      </xdr:nvPicPr>
      <xdr:blipFill>
        <a:blip xmlns:r="http://schemas.openxmlformats.org/officeDocument/2006/relationships" r:embed="rId8"/>
        <a:stretch>
          <a:fillRect/>
        </a:stretch>
      </xdr:blipFill>
      <xdr:spPr>
        <a:xfrm>
          <a:off x="11289143" y="7656231"/>
          <a:ext cx="539545" cy="372888"/>
        </a:xfrm>
        <a:prstGeom prst="rect">
          <a:avLst/>
        </a:prstGeom>
      </xdr:spPr>
    </xdr:pic>
    <xdr:clientData/>
  </xdr:twoCellAnchor>
  <xdr:twoCellAnchor editAs="oneCell">
    <xdr:from>
      <xdr:col>6</xdr:col>
      <xdr:colOff>799205</xdr:colOff>
      <xdr:row>15</xdr:row>
      <xdr:rowOff>649941</xdr:rowOff>
    </xdr:from>
    <xdr:to>
      <xdr:col>6</xdr:col>
      <xdr:colOff>1316851</xdr:colOff>
      <xdr:row>15</xdr:row>
      <xdr:rowOff>1025844</xdr:rowOff>
    </xdr:to>
    <xdr:pic>
      <xdr:nvPicPr>
        <xdr:cNvPr id="17" name="Picture 16">
          <a:extLst>
            <a:ext uri="{FF2B5EF4-FFF2-40B4-BE49-F238E27FC236}">
              <a16:creationId xmlns:a16="http://schemas.microsoft.com/office/drawing/2014/main" id="{650CD9C1-2CC9-40EF-85D9-038DDFAB9973}"/>
            </a:ext>
          </a:extLst>
        </xdr:cNvPr>
        <xdr:cNvPicPr>
          <a:picLocks noChangeAspect="1"/>
        </xdr:cNvPicPr>
      </xdr:nvPicPr>
      <xdr:blipFill>
        <a:blip xmlns:r="http://schemas.openxmlformats.org/officeDocument/2006/relationships" r:embed="rId9"/>
        <a:stretch>
          <a:fillRect/>
        </a:stretch>
      </xdr:blipFill>
      <xdr:spPr>
        <a:xfrm>
          <a:off x="11314805" y="7955616"/>
          <a:ext cx="517646" cy="375903"/>
        </a:xfrm>
        <a:prstGeom prst="rect">
          <a:avLst/>
        </a:prstGeom>
      </xdr:spPr>
    </xdr:pic>
    <xdr:clientData/>
  </xdr:twoCellAnchor>
  <xdr:twoCellAnchor editAs="oneCell">
    <xdr:from>
      <xdr:col>6</xdr:col>
      <xdr:colOff>786578</xdr:colOff>
      <xdr:row>15</xdr:row>
      <xdr:rowOff>44823</xdr:rowOff>
    </xdr:from>
    <xdr:to>
      <xdr:col>6</xdr:col>
      <xdr:colOff>1314920</xdr:colOff>
      <xdr:row>15</xdr:row>
      <xdr:rowOff>450084</xdr:rowOff>
    </xdr:to>
    <xdr:pic>
      <xdr:nvPicPr>
        <xdr:cNvPr id="18" name="Picture 17">
          <a:extLst>
            <a:ext uri="{FF2B5EF4-FFF2-40B4-BE49-F238E27FC236}">
              <a16:creationId xmlns:a16="http://schemas.microsoft.com/office/drawing/2014/main" id="{CFC5485F-13EA-4946-A95D-DC0838BD4664}"/>
            </a:ext>
          </a:extLst>
        </xdr:cNvPr>
        <xdr:cNvPicPr>
          <a:picLocks noChangeAspect="1"/>
        </xdr:cNvPicPr>
      </xdr:nvPicPr>
      <xdr:blipFill>
        <a:blip xmlns:r="http://schemas.openxmlformats.org/officeDocument/2006/relationships" r:embed="rId6"/>
        <a:stretch>
          <a:fillRect/>
        </a:stretch>
      </xdr:blipFill>
      <xdr:spPr>
        <a:xfrm>
          <a:off x="11305353" y="7353673"/>
          <a:ext cx="525167" cy="402086"/>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0.24139</cdr:x>
      <cdr:y>0.09119</cdr:y>
    </cdr:from>
    <cdr:to>
      <cdr:x>0.74366</cdr:x>
      <cdr:y>0.17498</cdr:y>
    </cdr:to>
    <cdr:sp macro="" textlink="">
      <cdr:nvSpPr>
        <cdr:cNvPr id="2" name="TextBox 1">
          <a:extLst xmlns:a="http://schemas.openxmlformats.org/drawingml/2006/main">
            <a:ext uri="{FF2B5EF4-FFF2-40B4-BE49-F238E27FC236}">
              <a16:creationId xmlns:a16="http://schemas.microsoft.com/office/drawing/2014/main" id="{CCD37E44-25E3-6583-E456-85AFB4871C20}"/>
            </a:ext>
          </a:extLst>
        </cdr:cNvPr>
        <cdr:cNvSpPr txBox="1"/>
      </cdr:nvSpPr>
      <cdr:spPr>
        <a:xfrm xmlns:a="http://schemas.openxmlformats.org/drawingml/2006/main">
          <a:off x="486861" y="478077"/>
          <a:ext cx="1013012" cy="4392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kern="1200"/>
        </a:p>
      </cdr:txBody>
    </cdr:sp>
  </cdr:relSizeAnchor>
  <cdr:relSizeAnchor xmlns:cdr="http://schemas.openxmlformats.org/drawingml/2006/chartDrawing">
    <cdr:from>
      <cdr:x>0.21917</cdr:x>
      <cdr:y>0.09632</cdr:y>
    </cdr:from>
    <cdr:to>
      <cdr:x>0.73032</cdr:x>
      <cdr:y>0.15617</cdr:y>
    </cdr:to>
    <cdr:sp macro="" textlink="">
      <cdr:nvSpPr>
        <cdr:cNvPr id="3" name="TextBox 2">
          <a:extLst xmlns:a="http://schemas.openxmlformats.org/drawingml/2006/main">
            <a:ext uri="{FF2B5EF4-FFF2-40B4-BE49-F238E27FC236}">
              <a16:creationId xmlns:a16="http://schemas.microsoft.com/office/drawing/2014/main" id="{CCFB5738-2229-743C-76DA-FD1DAE724408}"/>
            </a:ext>
          </a:extLst>
        </cdr:cNvPr>
        <cdr:cNvSpPr txBox="1"/>
      </cdr:nvSpPr>
      <cdr:spPr>
        <a:xfrm xmlns:a="http://schemas.openxmlformats.org/drawingml/2006/main">
          <a:off x="442037" y="504971"/>
          <a:ext cx="1030941" cy="3137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kern="1200"/>
        </a:p>
      </cdr:txBody>
    </cdr:sp>
  </cdr:relSizeAnchor>
</c:userShapes>
</file>

<file path=xl/drawings/drawing7.xml><?xml version="1.0" encoding="utf-8"?>
<xdr:wsDr xmlns:xdr="http://schemas.openxmlformats.org/drawingml/2006/spreadsheetDrawing" xmlns:a="http://schemas.openxmlformats.org/drawingml/2006/main">
  <xdr:twoCellAnchor>
    <xdr:from>
      <xdr:col>5</xdr:col>
      <xdr:colOff>567230</xdr:colOff>
      <xdr:row>155</xdr:row>
      <xdr:rowOff>0</xdr:rowOff>
    </xdr:from>
    <xdr:to>
      <xdr:col>5</xdr:col>
      <xdr:colOff>1116505</xdr:colOff>
      <xdr:row>155</xdr:row>
      <xdr:rowOff>0</xdr:rowOff>
    </xdr:to>
    <xdr:sp macro="" textlink="">
      <xdr:nvSpPr>
        <xdr:cNvPr id="2" name="Arrow: Right 1">
          <a:extLst>
            <a:ext uri="{FF2B5EF4-FFF2-40B4-BE49-F238E27FC236}">
              <a16:creationId xmlns:a16="http://schemas.microsoft.com/office/drawing/2014/main" id="{E370F5FB-544E-4194-A58C-3799C00E8D64}"/>
            </a:ext>
          </a:extLst>
        </xdr:cNvPr>
        <xdr:cNvSpPr/>
      </xdr:nvSpPr>
      <xdr:spPr>
        <a:xfrm>
          <a:off x="8946055" y="26841450"/>
          <a:ext cx="549275" cy="0"/>
        </a:xfrm>
        <a:prstGeom prst="rightArrow">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567230</xdr:colOff>
      <xdr:row>150</xdr:row>
      <xdr:rowOff>0</xdr:rowOff>
    </xdr:from>
    <xdr:to>
      <xdr:col>5</xdr:col>
      <xdr:colOff>1116505</xdr:colOff>
      <xdr:row>150</xdr:row>
      <xdr:rowOff>0</xdr:rowOff>
    </xdr:to>
    <xdr:sp macro="" textlink="">
      <xdr:nvSpPr>
        <xdr:cNvPr id="3" name="Arrow: Right 2">
          <a:extLst>
            <a:ext uri="{FF2B5EF4-FFF2-40B4-BE49-F238E27FC236}">
              <a16:creationId xmlns:a16="http://schemas.microsoft.com/office/drawing/2014/main" id="{28B7E263-D7D4-4985-9879-DF228237BB17}"/>
            </a:ext>
          </a:extLst>
        </xdr:cNvPr>
        <xdr:cNvSpPr/>
      </xdr:nvSpPr>
      <xdr:spPr>
        <a:xfrm>
          <a:off x="8946055" y="25936575"/>
          <a:ext cx="549275" cy="0"/>
        </a:xfrm>
        <a:prstGeom prst="rightArrow">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567230</xdr:colOff>
      <xdr:row>196</xdr:row>
      <xdr:rowOff>0</xdr:rowOff>
    </xdr:from>
    <xdr:to>
      <xdr:col>5</xdr:col>
      <xdr:colOff>1116505</xdr:colOff>
      <xdr:row>196</xdr:row>
      <xdr:rowOff>0</xdr:rowOff>
    </xdr:to>
    <xdr:sp macro="" textlink="">
      <xdr:nvSpPr>
        <xdr:cNvPr id="4" name="Arrow: Right 3">
          <a:extLst>
            <a:ext uri="{FF2B5EF4-FFF2-40B4-BE49-F238E27FC236}">
              <a16:creationId xmlns:a16="http://schemas.microsoft.com/office/drawing/2014/main" id="{64CF9FF1-1259-4131-B8D3-5552CA4EABCD}"/>
            </a:ext>
          </a:extLst>
        </xdr:cNvPr>
        <xdr:cNvSpPr/>
      </xdr:nvSpPr>
      <xdr:spPr>
        <a:xfrm>
          <a:off x="8946055" y="34261425"/>
          <a:ext cx="549275" cy="0"/>
        </a:xfrm>
        <a:prstGeom prst="rightArrow">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567230</xdr:colOff>
      <xdr:row>117</xdr:row>
      <xdr:rowOff>19050</xdr:rowOff>
    </xdr:from>
    <xdr:to>
      <xdr:col>1</xdr:col>
      <xdr:colOff>1116505</xdr:colOff>
      <xdr:row>117</xdr:row>
      <xdr:rowOff>19050</xdr:rowOff>
    </xdr:to>
    <xdr:sp macro="" textlink="">
      <xdr:nvSpPr>
        <xdr:cNvPr id="5" name="Arrow: Right 4">
          <a:extLst>
            <a:ext uri="{FF2B5EF4-FFF2-40B4-BE49-F238E27FC236}">
              <a16:creationId xmlns:a16="http://schemas.microsoft.com/office/drawing/2014/main" id="{C42A7461-252E-4BD0-B839-D9B00BD9D966}"/>
            </a:ext>
          </a:extLst>
        </xdr:cNvPr>
        <xdr:cNvSpPr/>
      </xdr:nvSpPr>
      <xdr:spPr>
        <a:xfrm>
          <a:off x="1173655" y="19964400"/>
          <a:ext cx="53975" cy="0"/>
        </a:xfrm>
        <a:prstGeom prst="rightArrow">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567230</xdr:colOff>
      <xdr:row>117</xdr:row>
      <xdr:rowOff>19050</xdr:rowOff>
    </xdr:from>
    <xdr:to>
      <xdr:col>31</xdr:col>
      <xdr:colOff>1116505</xdr:colOff>
      <xdr:row>117</xdr:row>
      <xdr:rowOff>19050</xdr:rowOff>
    </xdr:to>
    <xdr:sp macro="" textlink="">
      <xdr:nvSpPr>
        <xdr:cNvPr id="11" name="Arrow: Right 10">
          <a:extLst>
            <a:ext uri="{FF2B5EF4-FFF2-40B4-BE49-F238E27FC236}">
              <a16:creationId xmlns:a16="http://schemas.microsoft.com/office/drawing/2014/main" id="{A96AAD86-43B2-4FA8-8DA5-0793974954D1}"/>
            </a:ext>
          </a:extLst>
        </xdr:cNvPr>
        <xdr:cNvSpPr/>
      </xdr:nvSpPr>
      <xdr:spPr>
        <a:xfrm>
          <a:off x="1221414" y="20853311"/>
          <a:ext cx="53975" cy="0"/>
        </a:xfrm>
        <a:prstGeom prst="rightArrow">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344487</xdr:colOff>
      <xdr:row>2</xdr:row>
      <xdr:rowOff>161924</xdr:rowOff>
    </xdr:from>
    <xdr:to>
      <xdr:col>24</xdr:col>
      <xdr:colOff>495300</xdr:colOff>
      <xdr:row>28</xdr:row>
      <xdr:rowOff>171450</xdr:rowOff>
    </xdr:to>
    <xdr:graphicFrame macro="">
      <xdr:nvGraphicFramePr>
        <xdr:cNvPr id="2" name="Chart 7">
          <a:extLst>
            <a:ext uri="{FF2B5EF4-FFF2-40B4-BE49-F238E27FC236}">
              <a16:creationId xmlns:a16="http://schemas.microsoft.com/office/drawing/2014/main" id="{C3AEEABE-5C9F-464C-BE14-B7F28DD15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13</v>
    <v>1</v>
  </rv>
  <rv s="1">
    <v>13</v>
    <v>3</v>
  </rv>
  <rv s="2">
    <v>0</v>
    <v>5</v>
  </rv>
</rvData>
</file>

<file path=xl/richData/rdrichvaluestructure.xml><?xml version="1.0" encoding="utf-8"?>
<rvStructures xmlns="http://schemas.microsoft.com/office/spreadsheetml/2017/richdata" count="3">
  <s t="_error">
    <k n="errorType" t="i"/>
    <k n="propagated" t="b"/>
  </s>
  <s t="_error">
    <k n="errorType" t="i"/>
    <k n="subType" t="i"/>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excel">
  <a:themeElements>
    <a:clrScheme name="Custom 24">
      <a:dk1>
        <a:srgbClr val="000000"/>
      </a:dk1>
      <a:lt1>
        <a:srgbClr val="FFFFFF"/>
      </a:lt1>
      <a:dk2>
        <a:srgbClr val="FFFFFF"/>
      </a:dk2>
      <a:lt2>
        <a:srgbClr val="FFFFFF"/>
      </a:lt2>
      <a:accent1>
        <a:srgbClr val="061F79"/>
      </a:accent1>
      <a:accent2>
        <a:srgbClr val="00A9F4"/>
      </a:accent2>
      <a:accent3>
        <a:srgbClr val="2251FF"/>
      </a:accent3>
      <a:accent4>
        <a:srgbClr val="99E6FF"/>
      </a:accent4>
      <a:accent5>
        <a:srgbClr val="0679C3"/>
      </a:accent5>
      <a:accent6>
        <a:srgbClr val="75F0E7"/>
      </a:accent6>
      <a:hlink>
        <a:srgbClr val="1F40E6"/>
      </a:hlink>
      <a:folHlink>
        <a:srgbClr val="8C5AC8"/>
      </a:folHlink>
    </a:clrScheme>
    <a:fontScheme name="Scheme White Fonts">
      <a:majorFont>
        <a:latin typeface="Georgia"/>
        <a:ea typeface=""/>
        <a:cs typeface=""/>
      </a:majorFont>
      <a:minorFont>
        <a:latin typeface="Arial"/>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solidFill>
        <a:ln w="6350" cap="sq">
          <a:noFill/>
          <a:miter lim="800000"/>
        </a:ln>
      </a:spPr>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defPPr algn="ctr">
          <a:spcBef>
            <a:spcPts val="300"/>
          </a:spcBef>
          <a:spcAft>
            <a:spcPts val="300"/>
          </a:spcAft>
          <a:defRPr sz="1600" dirty="0" err="1">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a:ln w="6350" cap="sq">
          <a:solidFill>
            <a:srgbClr val="000000"/>
          </a:solidFill>
          <a:miter lim="800000"/>
          <a:tailEnd type="none"/>
        </a:ln>
      </a:spPr>
      <a:bodyPr/>
      <a:lstStyle/>
      <a:style>
        <a:lnRef idx="1">
          <a:schemeClr val="accent1"/>
        </a:lnRef>
        <a:fillRef idx="0">
          <a:schemeClr val="accent1"/>
        </a:fillRef>
        <a:effectRef idx="0">
          <a:schemeClr val="accent1"/>
        </a:effectRef>
        <a:fontRef idx="minor">
          <a:schemeClr val="tx1"/>
        </a:fontRef>
      </a:style>
    </a:lnDef>
    <a:txDef>
      <a:spPr>
        <a:ln w="6350">
          <a:noFill/>
          <a:miter lim="800000"/>
        </a:ln>
      </a:spPr>
      <a:bodyPr vert="horz" wrap="square" lIns="0" tIns="0" rIns="0" bIns="0" rtlCol="0">
        <a:noAutofit/>
      </a:bodyPr>
      <a:lstStyle>
        <a:defPPr algn="l">
          <a:spcBef>
            <a:spcPts val="300"/>
          </a:spcBef>
          <a:spcAft>
            <a:spcPts val="300"/>
          </a:spcAft>
          <a:buNone/>
          <a:defRPr sz="1600" dirty="0" smtClean="0"/>
        </a:defPPr>
      </a:lstStyle>
    </a:txDef>
  </a:objectDefaults>
  <a:extraClrSchemeLst>
    <a:extraClrScheme>
      <a:clrScheme name="Scheme White">
        <a:dk1>
          <a:srgbClr val="000000"/>
        </a:dk1>
        <a:lt1>
          <a:srgbClr val="FFFFFF"/>
        </a:lt1>
        <a:dk2>
          <a:srgbClr val="FFFFFF"/>
        </a:dk2>
        <a:lt2>
          <a:srgbClr val="FFFFFF"/>
        </a:lt2>
        <a:accent1>
          <a:srgbClr val="061F79"/>
        </a:accent1>
        <a:accent2>
          <a:srgbClr val="00A9F4"/>
        </a:accent2>
        <a:accent3>
          <a:srgbClr val="2251FF"/>
        </a:accent3>
        <a:accent4>
          <a:srgbClr val="99E6FF"/>
        </a:accent4>
        <a:accent5>
          <a:srgbClr val="0679C3"/>
        </a:accent5>
        <a:accent6>
          <a:srgbClr val="75F0E7"/>
        </a:accent6>
        <a:hlink>
          <a:srgbClr val="1F40E6"/>
        </a:hlink>
        <a:folHlink>
          <a:srgbClr val="8C5AC8"/>
        </a:folHlink>
      </a:clrScheme>
    </a:extraClrScheme>
  </a:extraClrSchemeLst>
  <a:custClrLst>
    <a:custClr name="Electric Blue 900">
      <a:srgbClr val="061F79"/>
    </a:custClr>
    <a:custClr name="Electric Blue 700">
      <a:srgbClr val="1537BA"/>
    </a:custClr>
    <a:custClr name="Electric Blue 500">
      <a:srgbClr val="2251FF"/>
    </a:custClr>
    <a:custClr name="Electric Blue 300">
      <a:srgbClr val="5E9DFF"/>
    </a:custClr>
    <a:custClr name="Electric Blue 200">
      <a:srgbClr val="99C4FF"/>
    </a:custClr>
    <a:custClr name="Null">
      <a:srgbClr val="FEFFFF"/>
    </a:custClr>
    <a:custClr name="Null">
      <a:srgbClr val="FEFFFF"/>
    </a:custClr>
    <a:custClr name="Null">
      <a:srgbClr val="FEFFFF"/>
    </a:custClr>
    <a:custClr name="Null">
      <a:srgbClr val="FEFFFF"/>
    </a:custClr>
    <a:custClr name="Null">
      <a:srgbClr val="FEFFFF"/>
    </a:custClr>
    <a:custClr name="Deep Blue 900">
      <a:srgbClr val="051C2C"/>
    </a:custClr>
    <a:custClr name="Electric Blue 800">
      <a:srgbClr val="0E2B99"/>
    </a:custClr>
    <a:custClr name="Electric Blue 500">
      <a:srgbClr val="2251FF"/>
    </a:custClr>
    <a:custClr name="Electric Blue 200">
      <a:srgbClr val="99C4FF"/>
    </a:custClr>
    <a:custClr name="Gray 10%">
      <a:srgbClr val="E6E6E6"/>
    </a:custClr>
    <a:custClr name="Crimson Red 300">
      <a:srgbClr val="F17E7E"/>
    </a:custClr>
    <a:custClr name="Crimson Red 500">
      <a:srgbClr val="E33B3B"/>
    </a:custClr>
    <a:custClr name="Crimson Red 700">
      <a:srgbClr val="B82525"/>
    </a:custClr>
    <a:custClr name="Crimson Red 900">
      <a:srgbClr val="8E0B0B"/>
    </a:custClr>
    <a:custClr name="Null">
      <a:srgbClr val="FEFFFF"/>
    </a:custClr>
    <a:custClr name="Marine Green 900">
      <a:srgbClr val="108980"/>
    </a:custClr>
    <a:custClr name="Marine Green 700">
      <a:srgbClr val="14B8AB"/>
    </a:custClr>
    <a:custClr name="Marine Green 500">
      <a:srgbClr val="0BDACB"/>
    </a:custClr>
    <a:custClr name="Marine Green 300">
      <a:srgbClr val="75F0E7"/>
    </a:custClr>
    <a:custClr name="Sand Neutral 300">
      <a:srgbClr val="E6D7BC"/>
    </a:custClr>
    <a:custClr name="Crimson Red 300">
      <a:srgbClr val="F17E7E"/>
    </a:custClr>
    <a:custClr name="Crimson Red 500">
      <a:srgbClr val="E33B3B"/>
    </a:custClr>
    <a:custClr name="Crimson Red 700">
      <a:srgbClr val="B82525"/>
    </a:custClr>
    <a:custClr name="Crimson Red 900">
      <a:srgbClr val="8E0B0B"/>
    </a:custClr>
    <a:custClr name="Null">
      <a:srgbClr val="FEFFFF"/>
    </a:custClr>
    <a:custClr name="Gray 70%">
      <a:srgbClr val="4D4D4D"/>
    </a:custClr>
    <a:custClr name="Gray 54%">
      <a:srgbClr val="757575"/>
    </a:custClr>
    <a:custClr name="Gray 30%">
      <a:srgbClr val="B3B3B3"/>
    </a:custClr>
    <a:custClr name="Gray 20%">
      <a:srgbClr val="CCCCCC"/>
    </a:custClr>
    <a:custClr name="Gray 10%">
      <a:srgbClr val="E6E6E6"/>
    </a:custClr>
    <a:custClr name="Null">
      <a:srgbClr val="FEFFFF"/>
    </a:custClr>
    <a:custClr name="Null">
      <a:srgbClr val="FEFFFF"/>
    </a:custClr>
    <a:custClr name="Null">
      <a:srgbClr val="FEFFFF"/>
    </a:custClr>
    <a:custClr name="Null">
      <a:srgbClr val="FEFFFF"/>
    </a:custClr>
    <a:custClr name="Null">
      <a:srgbClr val="FEFFFF"/>
    </a:custClr>
    <a:custClr name="Marine Green 500">
      <a:srgbClr val="0BDACB"/>
    </a:custClr>
    <a:custClr name="Amber Yellow 500">
      <a:srgbClr val="FFA800"/>
    </a:custClr>
    <a:custClr name="Crimson Red 500">
      <a:srgbClr val="E33B3B"/>
    </a:custClr>
    <a:custClr name="Deep Blue 900">
      <a:srgbClr val="051C2C"/>
    </a:custClr>
    <a:custClr name="Null">
      <a:srgbClr val="FEFFFF"/>
    </a:custClr>
    <a:custClr name="Null">
      <a:srgbClr val="FEFFFF"/>
    </a:custClr>
    <a:custClr name="Null">
      <a:srgbClr val="FEFFFF"/>
    </a:custClr>
    <a:custClr name="Null">
      <a:srgbClr val="FEFFFF"/>
    </a:custClr>
    <a:custClr name="Null">
      <a:srgbClr val="FEFFFF"/>
    </a:custClr>
    <a:custClr name="Null">
      <a:srgbClr val="FEFFFF"/>
    </a:custClr>
  </a:custClrLst>
  <a:extLst>
    <a:ext uri="{05A4C25C-085E-4340-85A3-A5531E510DB2}">
      <thm15:themeFamily xmlns:thm15="http://schemas.microsoft.com/office/thememl/2012/main" name="mck" id="{5C06EE14-FD0C-4D84-95B7-A7A2283B4F1A}" vid="{E155375D-59B9-41EA-8544-0CDF30FD128F}"/>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6.bin"/><Relationship Id="rId1" Type="http://schemas.openxmlformats.org/officeDocument/2006/relationships/hyperlink" Target="https://www.aqua-calc.com/calculate/volume-to-weight"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hyperlink" Target="https://eur-lex.europa.eu/legal-content/EN/TXT/PDF/?uri=CELEX:32023R1805" TargetMode="External"/><Relationship Id="rId13" Type="http://schemas.openxmlformats.org/officeDocument/2006/relationships/hyperlink" Target="https://eur-lex.europa.eu/legal-content/EN/TXT/PDF/?uri=CELEX:32023R1805" TargetMode="External"/><Relationship Id="rId18" Type="http://schemas.openxmlformats.org/officeDocument/2006/relationships/printerSettings" Target="../printerSettings/printerSettings18.bin"/><Relationship Id="rId3" Type="http://schemas.openxmlformats.org/officeDocument/2006/relationships/hyperlink" Target="https://www.lr.org/en/knowledge/research-reports/techno-economic-assessment-of-zero-carbon-fuels/" TargetMode="External"/><Relationship Id="rId7" Type="http://schemas.openxmlformats.org/officeDocument/2006/relationships/hyperlink" Target="https://eur-lex.europa.eu/legal-content/EN/TXT/PDF/?uri=CELEX:32023R1805" TargetMode="External"/><Relationship Id="rId12" Type="http://schemas.openxmlformats.org/officeDocument/2006/relationships/hyperlink" Target="https://www.ecb.europa.eu/stats/policy_and_exchange_rates/euro_reference_exchange_rates/html/eurofxref-graph-usd.en.html" TargetMode="External"/><Relationship Id="rId17" Type="http://schemas.openxmlformats.org/officeDocument/2006/relationships/hyperlink" Target="https://www.zerocarbonshipping.com/cost-calculator/" TargetMode="External"/><Relationship Id="rId2" Type="http://schemas.openxmlformats.org/officeDocument/2006/relationships/hyperlink" Target="https://www.sciencedirect.com/science/article/pii/S0306261921003962?via%3Dihub" TargetMode="External"/><Relationship Id="rId16" Type="http://schemas.openxmlformats.org/officeDocument/2006/relationships/hyperlink" Target="https://www.zerocarbonshipping.com/cost-calculator/" TargetMode="External"/><Relationship Id="rId1" Type="http://schemas.openxmlformats.org/officeDocument/2006/relationships/hyperlink" Target="https://eur-lex.europa.eu/legal-content/EN/TXT/PDF/?uri=CELEX:32023R1805" TargetMode="External"/><Relationship Id="rId6" Type="http://schemas.openxmlformats.org/officeDocument/2006/relationships/hyperlink" Target="https://www.sciencedirect.com/science/article/pii/S0306261921003962?via%3Dihub" TargetMode="External"/><Relationship Id="rId11" Type="http://schemas.openxmlformats.org/officeDocument/2006/relationships/hyperlink" Target="https://eur-lex.europa.eu/legal-content/EN/TXT/PDF/?uri=CELEX:32023R1805" TargetMode="External"/><Relationship Id="rId5" Type="http://schemas.openxmlformats.org/officeDocument/2006/relationships/hyperlink" Target="https://www.lr.org/en/knowledge/research-reports/techno-economic-assessment-of-zero-carbon-fuels/" TargetMode="External"/><Relationship Id="rId15" Type="http://schemas.openxmlformats.org/officeDocument/2006/relationships/hyperlink" Target="https://www.zerocarbonshipping.com/cost-calculator/" TargetMode="External"/><Relationship Id="rId10" Type="http://schemas.openxmlformats.org/officeDocument/2006/relationships/hyperlink" Target="https://eur-lex.europa.eu/legal-content/EN/TXT/PDF/?uri=CELEX:32023R1805" TargetMode="External"/><Relationship Id="rId19" Type="http://schemas.openxmlformats.org/officeDocument/2006/relationships/drawing" Target="../drawings/drawing4.xml"/><Relationship Id="rId4" Type="http://schemas.openxmlformats.org/officeDocument/2006/relationships/hyperlink" Target="https://eur-lex.europa.eu/legal-content/EN/TXT/PDF/?uri=CELEX:32023R1805" TargetMode="External"/><Relationship Id="rId9" Type="http://schemas.openxmlformats.org/officeDocument/2006/relationships/hyperlink" Target="https://eur-lex.europa.eu/legal-content/EN/TXT/PDF/?uri=CELEX:32023R1805" TargetMode="External"/><Relationship Id="rId14" Type="http://schemas.openxmlformats.org/officeDocument/2006/relationships/hyperlink" Target="https://ec.europa.eu/info/law/better-regulation/have-your-say/initiatives/13865-Shipping-emissions-rules-on-monitoring-reporting_en"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zerocarbonshipping.com/cost-calculator/" TargetMode="External"/><Relationship Id="rId2" Type="http://schemas.openxmlformats.org/officeDocument/2006/relationships/hyperlink" Target="https://www.zerocarbonshipping.com/cost-calculator/" TargetMode="External"/><Relationship Id="rId1" Type="http://schemas.openxmlformats.org/officeDocument/2006/relationships/hyperlink" Target="https://www.lr.org/en/knowledge/research-reports/techno-economic-assessment-of-zero-carbon-fuels/" TargetMode="External"/><Relationship Id="rId6" Type="http://schemas.openxmlformats.org/officeDocument/2006/relationships/drawing" Target="../drawings/drawing5.xml"/><Relationship Id="rId5" Type="http://schemas.openxmlformats.org/officeDocument/2006/relationships/printerSettings" Target="../printerSettings/printerSettings20.bin"/><Relationship Id="rId4" Type="http://schemas.openxmlformats.org/officeDocument/2006/relationships/hyperlink" Target="https://www.zerocarbonshipping.com/guide-to-the-imo-mid-term-measure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https://www.lr.org/en/knowledge/research-reports/techno-economic-assessment-of-zero-carbon-fuels/" TargetMode="External"/><Relationship Id="rId13" Type="http://schemas.openxmlformats.org/officeDocument/2006/relationships/hyperlink" Target="https://wwwcdn.imo.org/localresources/en/OurWork/Environment/Documents/annex/MEPC%2081/Annex%2010.pdf" TargetMode="External"/><Relationship Id="rId3" Type="http://schemas.openxmlformats.org/officeDocument/2006/relationships/hyperlink" Target="https://www.zerocarbonshipping.com/cost-calculator/?s=0" TargetMode="External"/><Relationship Id="rId7" Type="http://schemas.openxmlformats.org/officeDocument/2006/relationships/hyperlink" Target="https://www.lr.org/en/knowledge/research-reports/techno-economic-assessment-of-zero-carbon-fuels/" TargetMode="External"/><Relationship Id="rId12" Type="http://schemas.openxmlformats.org/officeDocument/2006/relationships/hyperlink" Target="https://www.zerocarbonshipping.com/cost-calculator/?s=0" TargetMode="External"/><Relationship Id="rId2" Type="http://schemas.openxmlformats.org/officeDocument/2006/relationships/hyperlink" Target="https://www.zerocarbonshipping.com/cost-calculator/?s=0" TargetMode="External"/><Relationship Id="rId1" Type="http://schemas.openxmlformats.org/officeDocument/2006/relationships/hyperlink" Target="https://www.imo.org/en/OurWork/Environment/Pages/Assessment-of-impacts-on-States.aspx" TargetMode="External"/><Relationship Id="rId6" Type="http://schemas.openxmlformats.org/officeDocument/2006/relationships/hyperlink" Target="https://www.zerocarbonshipping.com/cost-calculator/" TargetMode="External"/><Relationship Id="rId11" Type="http://schemas.openxmlformats.org/officeDocument/2006/relationships/hyperlink" Target="https://wwwcdn.imo.org/localresources/en/OurWork/Environment/Documents/annex/MEPC%2081/Annex%2010.pdf" TargetMode="External"/><Relationship Id="rId5" Type="http://schemas.openxmlformats.org/officeDocument/2006/relationships/hyperlink" Target="https://www.zerocarbonshipping.com/cost-calculator/" TargetMode="External"/><Relationship Id="rId10" Type="http://schemas.openxmlformats.org/officeDocument/2006/relationships/hyperlink" Target="https://www.imo.org/en/OurWork/Environment/Pages/Assessment-of-impacts-on-States.aspx" TargetMode="External"/><Relationship Id="rId4" Type="http://schemas.openxmlformats.org/officeDocument/2006/relationships/hyperlink" Target="https://www.zerocarbonshipping.com/cost-calculator/" TargetMode="External"/><Relationship Id="rId9" Type="http://schemas.openxmlformats.org/officeDocument/2006/relationships/hyperlink" Target="https://www.lr.org/en/knowledge/research-reports/techno-economic-assessment-of-zero-carbon-fuels/" TargetMode="External"/><Relationship Id="rId1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C1506-2FCF-46F9-8192-03EC59269885}">
  <sheetPr codeName="Sheet5"/>
  <dimension ref="A2:C8"/>
  <sheetViews>
    <sheetView showGridLines="0" tabSelected="1" showOutlineSymbols="0" topLeftCell="A2" zoomScaleNormal="100" workbookViewId="0">
      <selection activeCell="A2" sqref="A2"/>
    </sheetView>
  </sheetViews>
  <sheetFormatPr defaultColWidth="0" defaultRowHeight="18" customHeight="1" zeroHeight="1"/>
  <cols>
    <col min="1" max="1" width="1.625" style="58" customWidth="1"/>
    <col min="2" max="2" width="121.875" style="58" customWidth="1"/>
    <col min="3" max="3" width="1.625" style="58" customWidth="1"/>
    <col min="4" max="16384" width="8.375" style="58" hidden="1"/>
  </cols>
  <sheetData>
    <row r="2" spans="2:3" s="55" customFormat="1" ht="30">
      <c r="B2" s="56" t="s">
        <v>0</v>
      </c>
    </row>
    <row r="3" spans="2:3" ht="18" customHeight="1"/>
    <row r="4" spans="2:3" ht="15">
      <c r="B4" s="57" t="s">
        <v>1</v>
      </c>
    </row>
    <row r="5" spans="2:3" ht="28.5">
      <c r="B5" s="78" t="s">
        <v>2</v>
      </c>
    </row>
    <row r="6" spans="2:3" ht="18" customHeight="1"/>
    <row r="7" spans="2:3" ht="15">
      <c r="B7" s="57" t="s">
        <v>3</v>
      </c>
    </row>
    <row r="8" spans="2:3" ht="214.5" customHeight="1">
      <c r="B8" s="736" t="s">
        <v>4</v>
      </c>
      <c r="C8" s="58" t="s">
        <v>5</v>
      </c>
    </row>
  </sheetData>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9F58B-99D1-4DCC-86C9-E7227ED82FE5}">
  <sheetPr codeName="Sheet11">
    <tabColor theme="0" tint="-0.249977111117893"/>
  </sheetPr>
  <dimension ref="A1"/>
  <sheetViews>
    <sheetView zoomScale="59" workbookViewId="0"/>
  </sheetViews>
  <sheetFormatPr defaultRowHeight="14.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22356-CBB4-40D4-815F-CE3F34693C42}">
  <sheetPr codeName="Sheet41">
    <tabColor theme="0" tint="-0.249977111117893"/>
  </sheetPr>
  <dimension ref="B3:DI523"/>
  <sheetViews>
    <sheetView topLeftCell="A449" zoomScale="59" workbookViewId="0"/>
  </sheetViews>
  <sheetFormatPr defaultRowHeight="14.25" outlineLevelCol="1"/>
  <cols>
    <col min="2" max="2" width="58.375" customWidth="1" outlineLevel="1"/>
    <col min="3" max="3" width="18.5" customWidth="1"/>
    <col min="4" max="4" width="38.75" customWidth="1"/>
    <col min="5" max="32" width="11.5" customWidth="1"/>
    <col min="85" max="85" width="2.375" hidden="1" customWidth="1" outlineLevel="1"/>
    <col min="86" max="86" width="2.75" hidden="1" customWidth="1" outlineLevel="1"/>
    <col min="87" max="87" width="2.5" hidden="1" customWidth="1" outlineLevel="1"/>
    <col min="88" max="88" width="2.125" hidden="1" customWidth="1" outlineLevel="1"/>
    <col min="89" max="89" width="1.125" hidden="1" customWidth="1" outlineLevel="1"/>
    <col min="90" max="112" width="11.5" hidden="1" customWidth="1" outlineLevel="1"/>
    <col min="113" max="113" width="8.625" collapsed="1"/>
  </cols>
  <sheetData>
    <row r="3" spans="2:112" ht="15">
      <c r="B3" t="s">
        <v>876</v>
      </c>
      <c r="C3" s="485" t="s">
        <v>713</v>
      </c>
      <c r="D3" s="485" t="s">
        <v>877</v>
      </c>
      <c r="E3" s="485" t="s">
        <v>111</v>
      </c>
      <c r="F3" s="486">
        <f>2023</f>
        <v>2023</v>
      </c>
      <c r="G3" s="486">
        <f t="shared" ref="G3:AL3" si="0">F3+1</f>
        <v>2024</v>
      </c>
      <c r="H3" s="486">
        <f t="shared" si="0"/>
        <v>2025</v>
      </c>
      <c r="I3" s="486">
        <f t="shared" si="0"/>
        <v>2026</v>
      </c>
      <c r="J3" s="486">
        <f t="shared" si="0"/>
        <v>2027</v>
      </c>
      <c r="K3" s="486">
        <f t="shared" si="0"/>
        <v>2028</v>
      </c>
      <c r="L3" s="486">
        <f t="shared" si="0"/>
        <v>2029</v>
      </c>
      <c r="M3" s="486">
        <f t="shared" si="0"/>
        <v>2030</v>
      </c>
      <c r="N3" s="486">
        <f t="shared" si="0"/>
        <v>2031</v>
      </c>
      <c r="O3" s="486">
        <f t="shared" si="0"/>
        <v>2032</v>
      </c>
      <c r="P3" s="486">
        <f t="shared" si="0"/>
        <v>2033</v>
      </c>
      <c r="Q3" s="486">
        <f t="shared" si="0"/>
        <v>2034</v>
      </c>
      <c r="R3" s="486">
        <f t="shared" si="0"/>
        <v>2035</v>
      </c>
      <c r="S3" s="486">
        <f t="shared" si="0"/>
        <v>2036</v>
      </c>
      <c r="T3" s="486">
        <f t="shared" si="0"/>
        <v>2037</v>
      </c>
      <c r="U3" s="486">
        <f t="shared" si="0"/>
        <v>2038</v>
      </c>
      <c r="V3" s="486">
        <f t="shared" si="0"/>
        <v>2039</v>
      </c>
      <c r="W3" s="486">
        <f t="shared" si="0"/>
        <v>2040</v>
      </c>
      <c r="X3" s="486">
        <f t="shared" si="0"/>
        <v>2041</v>
      </c>
      <c r="Y3" s="486">
        <f t="shared" si="0"/>
        <v>2042</v>
      </c>
      <c r="Z3" s="486">
        <f t="shared" si="0"/>
        <v>2043</v>
      </c>
      <c r="AA3" s="486">
        <f t="shared" si="0"/>
        <v>2044</v>
      </c>
      <c r="AB3" s="486">
        <f t="shared" si="0"/>
        <v>2045</v>
      </c>
      <c r="AC3" s="486">
        <f t="shared" si="0"/>
        <v>2046</v>
      </c>
      <c r="AD3" s="486">
        <f t="shared" si="0"/>
        <v>2047</v>
      </c>
      <c r="AE3" s="486">
        <f t="shared" si="0"/>
        <v>2048</v>
      </c>
      <c r="AF3" s="486">
        <f t="shared" si="0"/>
        <v>2049</v>
      </c>
      <c r="AG3" s="486">
        <f t="shared" si="0"/>
        <v>2050</v>
      </c>
      <c r="AH3" s="524">
        <f t="shared" si="0"/>
        <v>2051</v>
      </c>
      <c r="AI3" s="524">
        <f t="shared" si="0"/>
        <v>2052</v>
      </c>
      <c r="AJ3" s="524">
        <f t="shared" si="0"/>
        <v>2053</v>
      </c>
      <c r="AK3" s="524">
        <f t="shared" si="0"/>
        <v>2054</v>
      </c>
      <c r="AL3" s="524">
        <f t="shared" si="0"/>
        <v>2055</v>
      </c>
      <c r="AM3" s="524">
        <f t="shared" ref="AM3:BR3" si="1">AL3+1</f>
        <v>2056</v>
      </c>
      <c r="AN3" s="524">
        <f t="shared" si="1"/>
        <v>2057</v>
      </c>
      <c r="AO3" s="524">
        <f t="shared" si="1"/>
        <v>2058</v>
      </c>
      <c r="AP3" s="524">
        <f t="shared" si="1"/>
        <v>2059</v>
      </c>
      <c r="AQ3" s="524">
        <f t="shared" si="1"/>
        <v>2060</v>
      </c>
      <c r="AR3" s="524">
        <f t="shared" si="1"/>
        <v>2061</v>
      </c>
      <c r="AS3" s="524">
        <f t="shared" si="1"/>
        <v>2062</v>
      </c>
      <c r="AT3" s="524">
        <f t="shared" si="1"/>
        <v>2063</v>
      </c>
      <c r="AU3" s="524">
        <f t="shared" si="1"/>
        <v>2064</v>
      </c>
      <c r="AV3" s="524">
        <f t="shared" si="1"/>
        <v>2065</v>
      </c>
      <c r="AW3" s="524">
        <f t="shared" si="1"/>
        <v>2066</v>
      </c>
      <c r="AX3" s="524">
        <f t="shared" si="1"/>
        <v>2067</v>
      </c>
      <c r="AY3" s="524">
        <f t="shared" si="1"/>
        <v>2068</v>
      </c>
      <c r="AZ3" s="524">
        <f t="shared" si="1"/>
        <v>2069</v>
      </c>
      <c r="BA3" s="524">
        <f t="shared" si="1"/>
        <v>2070</v>
      </c>
      <c r="BB3" s="524">
        <f t="shared" si="1"/>
        <v>2071</v>
      </c>
      <c r="BC3" s="524">
        <f t="shared" si="1"/>
        <v>2072</v>
      </c>
      <c r="BD3" s="524">
        <f t="shared" si="1"/>
        <v>2073</v>
      </c>
      <c r="BE3" s="524">
        <f t="shared" si="1"/>
        <v>2074</v>
      </c>
      <c r="BF3" s="524">
        <f t="shared" si="1"/>
        <v>2075</v>
      </c>
      <c r="BG3" s="524">
        <f t="shared" si="1"/>
        <v>2076</v>
      </c>
      <c r="BH3" s="524">
        <f t="shared" si="1"/>
        <v>2077</v>
      </c>
      <c r="BI3" s="524">
        <f t="shared" si="1"/>
        <v>2078</v>
      </c>
      <c r="BJ3" s="524">
        <f t="shared" si="1"/>
        <v>2079</v>
      </c>
      <c r="BK3" s="524">
        <f t="shared" si="1"/>
        <v>2080</v>
      </c>
      <c r="BL3" s="524">
        <f t="shared" si="1"/>
        <v>2081</v>
      </c>
      <c r="BM3" s="524">
        <f t="shared" si="1"/>
        <v>2082</v>
      </c>
      <c r="BN3" s="524">
        <f t="shared" si="1"/>
        <v>2083</v>
      </c>
      <c r="BO3" s="524">
        <f t="shared" si="1"/>
        <v>2084</v>
      </c>
      <c r="BP3" s="524">
        <f t="shared" si="1"/>
        <v>2085</v>
      </c>
      <c r="BQ3" s="524">
        <f t="shared" si="1"/>
        <v>2086</v>
      </c>
      <c r="BR3" s="524">
        <f t="shared" si="1"/>
        <v>2087</v>
      </c>
      <c r="BS3" s="524">
        <f t="shared" ref="BS3:CE3" si="2">BR3+1</f>
        <v>2088</v>
      </c>
      <c r="BT3" s="524">
        <f t="shared" si="2"/>
        <v>2089</v>
      </c>
      <c r="BU3" s="524">
        <f t="shared" si="2"/>
        <v>2090</v>
      </c>
      <c r="BV3" s="524">
        <f t="shared" si="2"/>
        <v>2091</v>
      </c>
      <c r="BW3" s="524">
        <f t="shared" si="2"/>
        <v>2092</v>
      </c>
      <c r="BX3" s="524">
        <f t="shared" si="2"/>
        <v>2093</v>
      </c>
      <c r="BY3" s="524">
        <f t="shared" si="2"/>
        <v>2094</v>
      </c>
      <c r="BZ3" s="524">
        <f t="shared" si="2"/>
        <v>2095</v>
      </c>
      <c r="CA3" s="524">
        <f t="shared" si="2"/>
        <v>2096</v>
      </c>
      <c r="CB3" s="524">
        <f t="shared" si="2"/>
        <v>2097</v>
      </c>
      <c r="CC3" s="524">
        <f t="shared" si="2"/>
        <v>2098</v>
      </c>
      <c r="CD3" s="524">
        <f t="shared" si="2"/>
        <v>2099</v>
      </c>
      <c r="CE3" s="524">
        <f t="shared" si="2"/>
        <v>2100</v>
      </c>
      <c r="CG3" s="486">
        <v>2023</v>
      </c>
      <c r="CH3" s="486">
        <v>2024</v>
      </c>
      <c r="CI3" s="486">
        <v>2025</v>
      </c>
      <c r="CJ3" s="486">
        <v>2026</v>
      </c>
      <c r="CK3" s="486">
        <v>2027</v>
      </c>
      <c r="CL3" s="486">
        <v>2028</v>
      </c>
      <c r="CM3" s="486">
        <v>2029</v>
      </c>
      <c r="CN3" s="486">
        <v>2030</v>
      </c>
      <c r="CO3" s="486">
        <v>2031</v>
      </c>
      <c r="CP3" s="486">
        <v>2032</v>
      </c>
      <c r="CQ3" s="486">
        <v>2033</v>
      </c>
      <c r="CR3" s="486">
        <v>2034</v>
      </c>
      <c r="CS3" s="486">
        <v>2035</v>
      </c>
      <c r="CT3" s="486">
        <v>2036</v>
      </c>
      <c r="CU3" s="486">
        <v>2037</v>
      </c>
      <c r="CV3" s="486">
        <v>2038</v>
      </c>
      <c r="CW3" s="486">
        <v>2039</v>
      </c>
      <c r="CX3" s="486">
        <v>2040</v>
      </c>
      <c r="CY3" s="486">
        <v>2041</v>
      </c>
      <c r="CZ3" s="486">
        <v>2042</v>
      </c>
      <c r="DA3" s="486">
        <v>2043</v>
      </c>
      <c r="DB3" s="486">
        <v>2044</v>
      </c>
      <c r="DC3" s="486">
        <v>2045</v>
      </c>
      <c r="DD3" s="486">
        <v>2046</v>
      </c>
      <c r="DE3" s="486">
        <v>2047</v>
      </c>
      <c r="DF3" s="486">
        <v>2048</v>
      </c>
      <c r="DG3" s="486">
        <v>2049</v>
      </c>
      <c r="DH3" s="486">
        <v>2050</v>
      </c>
    </row>
    <row r="4" spans="2:112">
      <c r="B4" t="s">
        <v>878</v>
      </c>
      <c r="C4" t="s">
        <v>713</v>
      </c>
      <c r="D4" t="s">
        <v>879</v>
      </c>
      <c r="E4" t="s">
        <v>715</v>
      </c>
      <c r="F4" s="525">
        <v>3500</v>
      </c>
      <c r="G4" s="525">
        <v>3500</v>
      </c>
      <c r="H4" s="525">
        <v>3500</v>
      </c>
      <c r="I4" s="525">
        <v>3500</v>
      </c>
      <c r="J4" s="525">
        <v>3500</v>
      </c>
      <c r="K4" s="525">
        <v>3500</v>
      </c>
      <c r="L4" s="525">
        <v>3500</v>
      </c>
      <c r="M4" s="525">
        <v>3500</v>
      </c>
      <c r="N4" s="525">
        <v>3500</v>
      </c>
      <c r="O4" s="525">
        <v>3500</v>
      </c>
      <c r="P4" s="525">
        <v>3500</v>
      </c>
      <c r="Q4" s="525">
        <v>3500</v>
      </c>
      <c r="R4" s="525">
        <v>3500</v>
      </c>
      <c r="S4" s="525">
        <v>3500</v>
      </c>
      <c r="T4" s="525">
        <v>3500</v>
      </c>
      <c r="U4" s="525">
        <v>3500</v>
      </c>
      <c r="V4" s="525">
        <v>3500</v>
      </c>
      <c r="W4" s="525">
        <v>3500</v>
      </c>
      <c r="X4" s="525">
        <v>3500</v>
      </c>
      <c r="Y4" s="525">
        <v>3500</v>
      </c>
      <c r="Z4" s="525">
        <v>3500</v>
      </c>
      <c r="AA4" s="525">
        <v>3500</v>
      </c>
      <c r="AB4" s="525">
        <v>3500</v>
      </c>
      <c r="AC4" s="525">
        <v>3500</v>
      </c>
      <c r="AD4" s="525">
        <v>3500</v>
      </c>
      <c r="AE4" s="525">
        <v>3500</v>
      </c>
      <c r="AF4" s="525">
        <v>3500</v>
      </c>
      <c r="AG4" s="525">
        <v>3500</v>
      </c>
      <c r="AH4" s="526">
        <f t="shared" ref="AH4:BM4" si="3">AG4</f>
        <v>3500</v>
      </c>
      <c r="AI4" s="526">
        <f t="shared" si="3"/>
        <v>3500</v>
      </c>
      <c r="AJ4" s="526">
        <f t="shared" si="3"/>
        <v>3500</v>
      </c>
      <c r="AK4" s="526">
        <f t="shared" si="3"/>
        <v>3500</v>
      </c>
      <c r="AL4" s="526">
        <f t="shared" si="3"/>
        <v>3500</v>
      </c>
      <c r="AM4" s="526">
        <f t="shared" si="3"/>
        <v>3500</v>
      </c>
      <c r="AN4" s="526">
        <f t="shared" si="3"/>
        <v>3500</v>
      </c>
      <c r="AO4" s="526">
        <f t="shared" si="3"/>
        <v>3500</v>
      </c>
      <c r="AP4" s="526">
        <f t="shared" si="3"/>
        <v>3500</v>
      </c>
      <c r="AQ4" s="526">
        <f t="shared" si="3"/>
        <v>3500</v>
      </c>
      <c r="AR4" s="526">
        <f t="shared" si="3"/>
        <v>3500</v>
      </c>
      <c r="AS4" s="526">
        <f t="shared" si="3"/>
        <v>3500</v>
      </c>
      <c r="AT4" s="526">
        <f t="shared" si="3"/>
        <v>3500</v>
      </c>
      <c r="AU4" s="526">
        <f t="shared" si="3"/>
        <v>3500</v>
      </c>
      <c r="AV4" s="526">
        <f t="shared" si="3"/>
        <v>3500</v>
      </c>
      <c r="AW4" s="526">
        <f t="shared" si="3"/>
        <v>3500</v>
      </c>
      <c r="AX4" s="526">
        <f t="shared" si="3"/>
        <v>3500</v>
      </c>
      <c r="AY4" s="526">
        <f t="shared" si="3"/>
        <v>3500</v>
      </c>
      <c r="AZ4" s="526">
        <f t="shared" si="3"/>
        <v>3500</v>
      </c>
      <c r="BA4" s="526">
        <f t="shared" si="3"/>
        <v>3500</v>
      </c>
      <c r="BB4" s="526">
        <f t="shared" si="3"/>
        <v>3500</v>
      </c>
      <c r="BC4" s="526">
        <f t="shared" si="3"/>
        <v>3500</v>
      </c>
      <c r="BD4" s="526">
        <f t="shared" si="3"/>
        <v>3500</v>
      </c>
      <c r="BE4" s="526">
        <f t="shared" si="3"/>
        <v>3500</v>
      </c>
      <c r="BF4" s="526">
        <f t="shared" si="3"/>
        <v>3500</v>
      </c>
      <c r="BG4" s="526">
        <f t="shared" si="3"/>
        <v>3500</v>
      </c>
      <c r="BH4" s="526">
        <f t="shared" si="3"/>
        <v>3500</v>
      </c>
      <c r="BI4" s="526">
        <f t="shared" si="3"/>
        <v>3500</v>
      </c>
      <c r="BJ4" s="526">
        <f t="shared" si="3"/>
        <v>3500</v>
      </c>
      <c r="BK4" s="526">
        <f t="shared" si="3"/>
        <v>3500</v>
      </c>
      <c r="BL4" s="526">
        <f t="shared" si="3"/>
        <v>3500</v>
      </c>
      <c r="BM4" s="526">
        <f t="shared" si="3"/>
        <v>3500</v>
      </c>
      <c r="BN4" s="526">
        <f t="shared" ref="BN4:CE4" si="4">BM4</f>
        <v>3500</v>
      </c>
      <c r="BO4" s="526">
        <f t="shared" si="4"/>
        <v>3500</v>
      </c>
      <c r="BP4" s="526">
        <f t="shared" si="4"/>
        <v>3500</v>
      </c>
      <c r="BQ4" s="526">
        <f t="shared" si="4"/>
        <v>3500</v>
      </c>
      <c r="BR4" s="526">
        <f t="shared" si="4"/>
        <v>3500</v>
      </c>
      <c r="BS4" s="526">
        <f t="shared" si="4"/>
        <v>3500</v>
      </c>
      <c r="BT4" s="526">
        <f t="shared" si="4"/>
        <v>3500</v>
      </c>
      <c r="BU4" s="526">
        <f t="shared" si="4"/>
        <v>3500</v>
      </c>
      <c r="BV4" s="526">
        <f t="shared" si="4"/>
        <v>3500</v>
      </c>
      <c r="BW4" s="526">
        <f t="shared" si="4"/>
        <v>3500</v>
      </c>
      <c r="BX4" s="526">
        <f t="shared" si="4"/>
        <v>3500</v>
      </c>
      <c r="BY4" s="526">
        <f t="shared" si="4"/>
        <v>3500</v>
      </c>
      <c r="BZ4" s="526">
        <f t="shared" si="4"/>
        <v>3500</v>
      </c>
      <c r="CA4" s="526">
        <f t="shared" si="4"/>
        <v>3500</v>
      </c>
      <c r="CB4" s="526">
        <f t="shared" si="4"/>
        <v>3500</v>
      </c>
      <c r="CC4" s="526">
        <f t="shared" si="4"/>
        <v>3500</v>
      </c>
      <c r="CD4" s="526">
        <f t="shared" si="4"/>
        <v>3500</v>
      </c>
      <c r="CE4" s="526">
        <f t="shared" si="4"/>
        <v>3500</v>
      </c>
      <c r="CG4" s="536">
        <v>3500</v>
      </c>
      <c r="CH4" s="536">
        <v>3500</v>
      </c>
      <c r="CI4" s="536">
        <v>3500</v>
      </c>
      <c r="CJ4" s="536">
        <v>3500</v>
      </c>
      <c r="CK4" s="536">
        <v>3500</v>
      </c>
      <c r="CL4" s="536">
        <v>3500</v>
      </c>
      <c r="CM4" s="536">
        <v>3500</v>
      </c>
      <c r="CN4" s="536">
        <v>3500</v>
      </c>
      <c r="CO4" s="536">
        <v>3500</v>
      </c>
      <c r="CP4" s="536">
        <v>3500</v>
      </c>
      <c r="CQ4" s="536">
        <v>3500</v>
      </c>
      <c r="CR4" s="536">
        <v>3500</v>
      </c>
      <c r="CS4" s="536">
        <v>3500</v>
      </c>
      <c r="CT4" s="536">
        <v>3500</v>
      </c>
      <c r="CU4" s="536">
        <v>3500</v>
      </c>
      <c r="CV4" s="536">
        <v>3500</v>
      </c>
      <c r="CW4" s="536">
        <v>3500</v>
      </c>
      <c r="CX4" s="536">
        <v>3500</v>
      </c>
      <c r="CY4" s="536">
        <v>3500</v>
      </c>
      <c r="CZ4" s="536">
        <v>3500</v>
      </c>
      <c r="DA4" s="536">
        <v>3500</v>
      </c>
      <c r="DB4" s="536">
        <v>3500</v>
      </c>
      <c r="DC4" s="536">
        <v>3500</v>
      </c>
      <c r="DD4" s="536">
        <v>3500</v>
      </c>
      <c r="DE4" s="536">
        <v>3500</v>
      </c>
      <c r="DF4" s="536">
        <v>3500</v>
      </c>
      <c r="DG4" s="536">
        <v>3500</v>
      </c>
      <c r="DH4" s="536">
        <v>3500</v>
      </c>
    </row>
    <row r="5" spans="2:112">
      <c r="B5" t="s">
        <v>880</v>
      </c>
      <c r="C5" t="s">
        <v>713</v>
      </c>
      <c r="D5" t="s">
        <v>695</v>
      </c>
      <c r="E5" t="s">
        <v>881</v>
      </c>
      <c r="F5" s="525">
        <v>210</v>
      </c>
      <c r="G5" s="525">
        <v>210</v>
      </c>
      <c r="H5" s="525">
        <v>210</v>
      </c>
      <c r="I5" s="525">
        <v>210</v>
      </c>
      <c r="J5" s="525">
        <v>210</v>
      </c>
      <c r="K5" s="525">
        <v>210</v>
      </c>
      <c r="L5" s="525">
        <v>210</v>
      </c>
      <c r="M5" s="525">
        <v>210</v>
      </c>
      <c r="N5" s="525">
        <v>210</v>
      </c>
      <c r="O5" s="525">
        <v>210</v>
      </c>
      <c r="P5" s="525">
        <v>210</v>
      </c>
      <c r="Q5" s="525">
        <v>210</v>
      </c>
      <c r="R5" s="525">
        <v>210</v>
      </c>
      <c r="S5" s="525">
        <v>210</v>
      </c>
      <c r="T5" s="525">
        <v>210</v>
      </c>
      <c r="U5" s="525">
        <v>210</v>
      </c>
      <c r="V5" s="525">
        <v>210</v>
      </c>
      <c r="W5" s="525">
        <v>210</v>
      </c>
      <c r="X5" s="525">
        <v>210</v>
      </c>
      <c r="Y5" s="525">
        <v>210</v>
      </c>
      <c r="Z5" s="525">
        <v>210</v>
      </c>
      <c r="AA5" s="525">
        <v>210</v>
      </c>
      <c r="AB5" s="525">
        <v>210</v>
      </c>
      <c r="AC5" s="525">
        <v>210</v>
      </c>
      <c r="AD5" s="525">
        <v>210</v>
      </c>
      <c r="AE5" s="525">
        <v>210</v>
      </c>
      <c r="AF5" s="525">
        <v>210</v>
      </c>
      <c r="AG5" s="525">
        <v>210</v>
      </c>
      <c r="AH5" s="526">
        <f t="shared" ref="AH5:BM5" si="5">AG5</f>
        <v>210</v>
      </c>
      <c r="AI5" s="526">
        <f t="shared" si="5"/>
        <v>210</v>
      </c>
      <c r="AJ5" s="526">
        <f t="shared" si="5"/>
        <v>210</v>
      </c>
      <c r="AK5" s="526">
        <f t="shared" si="5"/>
        <v>210</v>
      </c>
      <c r="AL5" s="526">
        <f t="shared" si="5"/>
        <v>210</v>
      </c>
      <c r="AM5" s="526">
        <f t="shared" si="5"/>
        <v>210</v>
      </c>
      <c r="AN5" s="526">
        <f t="shared" si="5"/>
        <v>210</v>
      </c>
      <c r="AO5" s="526">
        <f t="shared" si="5"/>
        <v>210</v>
      </c>
      <c r="AP5" s="526">
        <f t="shared" si="5"/>
        <v>210</v>
      </c>
      <c r="AQ5" s="526">
        <f t="shared" si="5"/>
        <v>210</v>
      </c>
      <c r="AR5" s="526">
        <f t="shared" si="5"/>
        <v>210</v>
      </c>
      <c r="AS5" s="526">
        <f t="shared" si="5"/>
        <v>210</v>
      </c>
      <c r="AT5" s="526">
        <f t="shared" si="5"/>
        <v>210</v>
      </c>
      <c r="AU5" s="526">
        <f t="shared" si="5"/>
        <v>210</v>
      </c>
      <c r="AV5" s="526">
        <f t="shared" si="5"/>
        <v>210</v>
      </c>
      <c r="AW5" s="526">
        <f t="shared" si="5"/>
        <v>210</v>
      </c>
      <c r="AX5" s="526">
        <f t="shared" si="5"/>
        <v>210</v>
      </c>
      <c r="AY5" s="526">
        <f t="shared" si="5"/>
        <v>210</v>
      </c>
      <c r="AZ5" s="526">
        <f t="shared" si="5"/>
        <v>210</v>
      </c>
      <c r="BA5" s="526">
        <f t="shared" si="5"/>
        <v>210</v>
      </c>
      <c r="BB5" s="526">
        <f t="shared" si="5"/>
        <v>210</v>
      </c>
      <c r="BC5" s="526">
        <f t="shared" si="5"/>
        <v>210</v>
      </c>
      <c r="BD5" s="526">
        <f t="shared" si="5"/>
        <v>210</v>
      </c>
      <c r="BE5" s="526">
        <f t="shared" si="5"/>
        <v>210</v>
      </c>
      <c r="BF5" s="526">
        <f t="shared" si="5"/>
        <v>210</v>
      </c>
      <c r="BG5" s="526">
        <f t="shared" si="5"/>
        <v>210</v>
      </c>
      <c r="BH5" s="526">
        <f t="shared" si="5"/>
        <v>210</v>
      </c>
      <c r="BI5" s="526">
        <f t="shared" si="5"/>
        <v>210</v>
      </c>
      <c r="BJ5" s="526">
        <f t="shared" si="5"/>
        <v>210</v>
      </c>
      <c r="BK5" s="526">
        <f t="shared" si="5"/>
        <v>210</v>
      </c>
      <c r="BL5" s="526">
        <f t="shared" si="5"/>
        <v>210</v>
      </c>
      <c r="BM5" s="526">
        <f t="shared" si="5"/>
        <v>210</v>
      </c>
      <c r="BN5" s="526">
        <f t="shared" ref="BN5:CE5" si="6">BM5</f>
        <v>210</v>
      </c>
      <c r="BO5" s="526">
        <f t="shared" si="6"/>
        <v>210</v>
      </c>
      <c r="BP5" s="526">
        <f t="shared" si="6"/>
        <v>210</v>
      </c>
      <c r="BQ5" s="526">
        <f t="shared" si="6"/>
        <v>210</v>
      </c>
      <c r="BR5" s="526">
        <f t="shared" si="6"/>
        <v>210</v>
      </c>
      <c r="BS5" s="526">
        <f t="shared" si="6"/>
        <v>210</v>
      </c>
      <c r="BT5" s="526">
        <f t="shared" si="6"/>
        <v>210</v>
      </c>
      <c r="BU5" s="526">
        <f t="shared" si="6"/>
        <v>210</v>
      </c>
      <c r="BV5" s="526">
        <f t="shared" si="6"/>
        <v>210</v>
      </c>
      <c r="BW5" s="526">
        <f t="shared" si="6"/>
        <v>210</v>
      </c>
      <c r="BX5" s="526">
        <f t="shared" si="6"/>
        <v>210</v>
      </c>
      <c r="BY5" s="526">
        <f t="shared" si="6"/>
        <v>210</v>
      </c>
      <c r="BZ5" s="526">
        <f t="shared" si="6"/>
        <v>210</v>
      </c>
      <c r="CA5" s="526">
        <f t="shared" si="6"/>
        <v>210</v>
      </c>
      <c r="CB5" s="526">
        <f t="shared" si="6"/>
        <v>210</v>
      </c>
      <c r="CC5" s="526">
        <f t="shared" si="6"/>
        <v>210</v>
      </c>
      <c r="CD5" s="526">
        <f t="shared" si="6"/>
        <v>210</v>
      </c>
      <c r="CE5" s="526">
        <f t="shared" si="6"/>
        <v>210</v>
      </c>
      <c r="CG5" s="536">
        <v>210</v>
      </c>
      <c r="CH5" s="536">
        <v>210</v>
      </c>
      <c r="CI5" s="536">
        <v>210</v>
      </c>
      <c r="CJ5" s="536">
        <v>210</v>
      </c>
      <c r="CK5" s="536">
        <v>210</v>
      </c>
      <c r="CL5" s="536">
        <v>210</v>
      </c>
      <c r="CM5" s="536">
        <v>210</v>
      </c>
      <c r="CN5" s="536">
        <v>210</v>
      </c>
      <c r="CO5" s="536">
        <v>210</v>
      </c>
      <c r="CP5" s="536">
        <v>210</v>
      </c>
      <c r="CQ5" s="536">
        <v>210</v>
      </c>
      <c r="CR5" s="536">
        <v>210</v>
      </c>
      <c r="CS5" s="536">
        <v>210</v>
      </c>
      <c r="CT5" s="536">
        <v>210</v>
      </c>
      <c r="CU5" s="536">
        <v>210</v>
      </c>
      <c r="CV5" s="536">
        <v>210</v>
      </c>
      <c r="CW5" s="536">
        <v>210</v>
      </c>
      <c r="CX5" s="536">
        <v>210</v>
      </c>
      <c r="CY5" s="536">
        <v>210</v>
      </c>
      <c r="CZ5" s="536">
        <v>210</v>
      </c>
      <c r="DA5" s="536">
        <v>210</v>
      </c>
      <c r="DB5" s="536">
        <v>210</v>
      </c>
      <c r="DC5" s="536">
        <v>210</v>
      </c>
      <c r="DD5" s="536">
        <v>210</v>
      </c>
      <c r="DE5" s="536">
        <v>210</v>
      </c>
      <c r="DF5" s="536">
        <v>210</v>
      </c>
      <c r="DG5" s="536">
        <v>210</v>
      </c>
      <c r="DH5" s="536">
        <v>210</v>
      </c>
    </row>
    <row r="6" spans="2:112">
      <c r="B6" t="s">
        <v>882</v>
      </c>
      <c r="C6" t="s">
        <v>713</v>
      </c>
      <c r="D6" t="s">
        <v>883</v>
      </c>
      <c r="E6" t="s">
        <v>884</v>
      </c>
      <c r="F6" s="525">
        <v>18</v>
      </c>
      <c r="G6" s="525">
        <v>18</v>
      </c>
      <c r="H6" s="525">
        <v>18</v>
      </c>
      <c r="I6" s="525">
        <v>18</v>
      </c>
      <c r="J6" s="525">
        <v>18</v>
      </c>
      <c r="K6" s="525">
        <v>18</v>
      </c>
      <c r="L6" s="525">
        <v>18</v>
      </c>
      <c r="M6" s="525">
        <v>18</v>
      </c>
      <c r="N6" s="525">
        <v>18</v>
      </c>
      <c r="O6" s="525">
        <v>18</v>
      </c>
      <c r="P6" s="525">
        <v>18</v>
      </c>
      <c r="Q6" s="525">
        <v>18</v>
      </c>
      <c r="R6" s="525">
        <v>18</v>
      </c>
      <c r="S6" s="525">
        <v>18</v>
      </c>
      <c r="T6" s="525">
        <v>18</v>
      </c>
      <c r="U6" s="525">
        <v>18</v>
      </c>
      <c r="V6" s="525">
        <v>18</v>
      </c>
      <c r="W6" s="525">
        <v>18</v>
      </c>
      <c r="X6" s="525">
        <v>18</v>
      </c>
      <c r="Y6" s="525">
        <v>18</v>
      </c>
      <c r="Z6" s="525">
        <v>18</v>
      </c>
      <c r="AA6" s="525">
        <v>18</v>
      </c>
      <c r="AB6" s="525">
        <v>18</v>
      </c>
      <c r="AC6" s="525">
        <v>18</v>
      </c>
      <c r="AD6" s="525">
        <v>18</v>
      </c>
      <c r="AE6" s="525">
        <v>18</v>
      </c>
      <c r="AF6" s="525">
        <v>18</v>
      </c>
      <c r="AG6" s="525">
        <v>18</v>
      </c>
      <c r="AH6" s="526">
        <f t="shared" ref="AH6:BM6" si="7">AG6</f>
        <v>18</v>
      </c>
      <c r="AI6" s="526">
        <f t="shared" si="7"/>
        <v>18</v>
      </c>
      <c r="AJ6" s="526">
        <f t="shared" si="7"/>
        <v>18</v>
      </c>
      <c r="AK6" s="526">
        <f t="shared" si="7"/>
        <v>18</v>
      </c>
      <c r="AL6" s="526">
        <f t="shared" si="7"/>
        <v>18</v>
      </c>
      <c r="AM6" s="526">
        <f t="shared" si="7"/>
        <v>18</v>
      </c>
      <c r="AN6" s="526">
        <f t="shared" si="7"/>
        <v>18</v>
      </c>
      <c r="AO6" s="526">
        <f t="shared" si="7"/>
        <v>18</v>
      </c>
      <c r="AP6" s="526">
        <f t="shared" si="7"/>
        <v>18</v>
      </c>
      <c r="AQ6" s="526">
        <f t="shared" si="7"/>
        <v>18</v>
      </c>
      <c r="AR6" s="526">
        <f t="shared" si="7"/>
        <v>18</v>
      </c>
      <c r="AS6" s="526">
        <f t="shared" si="7"/>
        <v>18</v>
      </c>
      <c r="AT6" s="526">
        <f t="shared" si="7"/>
        <v>18</v>
      </c>
      <c r="AU6" s="526">
        <f t="shared" si="7"/>
        <v>18</v>
      </c>
      <c r="AV6" s="526">
        <f t="shared" si="7"/>
        <v>18</v>
      </c>
      <c r="AW6" s="526">
        <f t="shared" si="7"/>
        <v>18</v>
      </c>
      <c r="AX6" s="526">
        <f t="shared" si="7"/>
        <v>18</v>
      </c>
      <c r="AY6" s="526">
        <f t="shared" si="7"/>
        <v>18</v>
      </c>
      <c r="AZ6" s="526">
        <f t="shared" si="7"/>
        <v>18</v>
      </c>
      <c r="BA6" s="526">
        <f t="shared" si="7"/>
        <v>18</v>
      </c>
      <c r="BB6" s="526">
        <f t="shared" si="7"/>
        <v>18</v>
      </c>
      <c r="BC6" s="526">
        <f t="shared" si="7"/>
        <v>18</v>
      </c>
      <c r="BD6" s="526">
        <f t="shared" si="7"/>
        <v>18</v>
      </c>
      <c r="BE6" s="526">
        <f t="shared" si="7"/>
        <v>18</v>
      </c>
      <c r="BF6" s="526">
        <f t="shared" si="7"/>
        <v>18</v>
      </c>
      <c r="BG6" s="526">
        <f t="shared" si="7"/>
        <v>18</v>
      </c>
      <c r="BH6" s="526">
        <f t="shared" si="7"/>
        <v>18</v>
      </c>
      <c r="BI6" s="526">
        <f t="shared" si="7"/>
        <v>18</v>
      </c>
      <c r="BJ6" s="526">
        <f t="shared" si="7"/>
        <v>18</v>
      </c>
      <c r="BK6" s="526">
        <f t="shared" si="7"/>
        <v>18</v>
      </c>
      <c r="BL6" s="526">
        <f t="shared" si="7"/>
        <v>18</v>
      </c>
      <c r="BM6" s="526">
        <f t="shared" si="7"/>
        <v>18</v>
      </c>
      <c r="BN6" s="526">
        <f t="shared" ref="BN6:CE6" si="8">BM6</f>
        <v>18</v>
      </c>
      <c r="BO6" s="526">
        <f t="shared" si="8"/>
        <v>18</v>
      </c>
      <c r="BP6" s="526">
        <f t="shared" si="8"/>
        <v>18</v>
      </c>
      <c r="BQ6" s="526">
        <f t="shared" si="8"/>
        <v>18</v>
      </c>
      <c r="BR6" s="526">
        <f t="shared" si="8"/>
        <v>18</v>
      </c>
      <c r="BS6" s="526">
        <f t="shared" si="8"/>
        <v>18</v>
      </c>
      <c r="BT6" s="526">
        <f t="shared" si="8"/>
        <v>18</v>
      </c>
      <c r="BU6" s="526">
        <f t="shared" si="8"/>
        <v>18</v>
      </c>
      <c r="BV6" s="526">
        <f t="shared" si="8"/>
        <v>18</v>
      </c>
      <c r="BW6" s="526">
        <f t="shared" si="8"/>
        <v>18</v>
      </c>
      <c r="BX6" s="526">
        <f t="shared" si="8"/>
        <v>18</v>
      </c>
      <c r="BY6" s="526">
        <f t="shared" si="8"/>
        <v>18</v>
      </c>
      <c r="BZ6" s="526">
        <f t="shared" si="8"/>
        <v>18</v>
      </c>
      <c r="CA6" s="526">
        <f t="shared" si="8"/>
        <v>18</v>
      </c>
      <c r="CB6" s="526">
        <f t="shared" si="8"/>
        <v>18</v>
      </c>
      <c r="CC6" s="526">
        <f t="shared" si="8"/>
        <v>18</v>
      </c>
      <c r="CD6" s="526">
        <f t="shared" si="8"/>
        <v>18</v>
      </c>
      <c r="CE6" s="526">
        <f t="shared" si="8"/>
        <v>18</v>
      </c>
      <c r="CG6" s="536">
        <v>18</v>
      </c>
      <c r="CH6" s="536">
        <v>18</v>
      </c>
      <c r="CI6" s="536">
        <v>18</v>
      </c>
      <c r="CJ6" s="536">
        <v>18</v>
      </c>
      <c r="CK6" s="536">
        <v>18</v>
      </c>
      <c r="CL6" s="536">
        <v>18</v>
      </c>
      <c r="CM6" s="536">
        <v>18</v>
      </c>
      <c r="CN6" s="536">
        <v>18</v>
      </c>
      <c r="CO6" s="536">
        <v>18</v>
      </c>
      <c r="CP6" s="536">
        <v>18</v>
      </c>
      <c r="CQ6" s="536">
        <v>18</v>
      </c>
      <c r="CR6" s="536">
        <v>18</v>
      </c>
      <c r="CS6" s="536">
        <v>18</v>
      </c>
      <c r="CT6" s="536">
        <v>18</v>
      </c>
      <c r="CU6" s="536">
        <v>18</v>
      </c>
      <c r="CV6" s="536">
        <v>18</v>
      </c>
      <c r="CW6" s="536">
        <v>18</v>
      </c>
      <c r="CX6" s="536">
        <v>18</v>
      </c>
      <c r="CY6" s="536">
        <v>18</v>
      </c>
      <c r="CZ6" s="536">
        <v>18</v>
      </c>
      <c r="DA6" s="536">
        <v>18</v>
      </c>
      <c r="DB6" s="536">
        <v>18</v>
      </c>
      <c r="DC6" s="536">
        <v>18</v>
      </c>
      <c r="DD6" s="536">
        <v>18</v>
      </c>
      <c r="DE6" s="536">
        <v>18</v>
      </c>
      <c r="DF6" s="536">
        <v>18</v>
      </c>
      <c r="DG6" s="536">
        <v>18</v>
      </c>
      <c r="DH6" s="536">
        <v>18</v>
      </c>
    </row>
    <row r="7" spans="2:112">
      <c r="B7" t="s">
        <v>885</v>
      </c>
      <c r="C7" t="s">
        <v>713</v>
      </c>
      <c r="D7" t="s">
        <v>886</v>
      </c>
      <c r="E7" t="s">
        <v>178</v>
      </c>
      <c r="F7" s="537">
        <v>0.51</v>
      </c>
      <c r="G7" s="537">
        <v>0.51</v>
      </c>
      <c r="H7" s="537">
        <v>0.51</v>
      </c>
      <c r="I7" s="537">
        <v>0.51</v>
      </c>
      <c r="J7" s="537">
        <v>0.51</v>
      </c>
      <c r="K7" s="537">
        <v>0.51</v>
      </c>
      <c r="L7" s="537">
        <v>0.51</v>
      </c>
      <c r="M7" s="537">
        <v>0.51</v>
      </c>
      <c r="N7" s="537">
        <v>0.51</v>
      </c>
      <c r="O7" s="537">
        <v>0.51</v>
      </c>
      <c r="P7" s="537">
        <v>0.51</v>
      </c>
      <c r="Q7" s="537">
        <v>0.51</v>
      </c>
      <c r="R7" s="537">
        <v>0.51</v>
      </c>
      <c r="S7" s="537">
        <v>0.51</v>
      </c>
      <c r="T7" s="537">
        <v>0.51</v>
      </c>
      <c r="U7" s="537">
        <v>0.51</v>
      </c>
      <c r="V7" s="537">
        <v>0.51</v>
      </c>
      <c r="W7" s="537">
        <v>0.51</v>
      </c>
      <c r="X7" s="537">
        <v>0.51</v>
      </c>
      <c r="Y7" s="537">
        <v>0.51</v>
      </c>
      <c r="Z7" s="537">
        <v>0.51</v>
      </c>
      <c r="AA7" s="537">
        <v>0.51</v>
      </c>
      <c r="AB7" s="537">
        <v>0.51</v>
      </c>
      <c r="AC7" s="537">
        <v>0.51</v>
      </c>
      <c r="AD7" s="537">
        <v>0.51</v>
      </c>
      <c r="AE7" s="537">
        <v>0.51</v>
      </c>
      <c r="AF7" s="537">
        <v>0.51</v>
      </c>
      <c r="AG7" s="537">
        <v>0.51</v>
      </c>
      <c r="AH7" s="526">
        <f t="shared" ref="AH7:BM7" si="9">AG7</f>
        <v>0.51</v>
      </c>
      <c r="AI7" s="526">
        <f t="shared" si="9"/>
        <v>0.51</v>
      </c>
      <c r="AJ7" s="526">
        <f t="shared" si="9"/>
        <v>0.51</v>
      </c>
      <c r="AK7" s="526">
        <f t="shared" si="9"/>
        <v>0.51</v>
      </c>
      <c r="AL7" s="526">
        <f t="shared" si="9"/>
        <v>0.51</v>
      </c>
      <c r="AM7" s="526">
        <f t="shared" si="9"/>
        <v>0.51</v>
      </c>
      <c r="AN7" s="526">
        <f t="shared" si="9"/>
        <v>0.51</v>
      </c>
      <c r="AO7" s="526">
        <f t="shared" si="9"/>
        <v>0.51</v>
      </c>
      <c r="AP7" s="526">
        <f t="shared" si="9"/>
        <v>0.51</v>
      </c>
      <c r="AQ7" s="526">
        <f t="shared" si="9"/>
        <v>0.51</v>
      </c>
      <c r="AR7" s="526">
        <f t="shared" si="9"/>
        <v>0.51</v>
      </c>
      <c r="AS7" s="526">
        <f t="shared" si="9"/>
        <v>0.51</v>
      </c>
      <c r="AT7" s="526">
        <f t="shared" si="9"/>
        <v>0.51</v>
      </c>
      <c r="AU7" s="526">
        <f t="shared" si="9"/>
        <v>0.51</v>
      </c>
      <c r="AV7" s="526">
        <f t="shared" si="9"/>
        <v>0.51</v>
      </c>
      <c r="AW7" s="526">
        <f t="shared" si="9"/>
        <v>0.51</v>
      </c>
      <c r="AX7" s="526">
        <f t="shared" si="9"/>
        <v>0.51</v>
      </c>
      <c r="AY7" s="526">
        <f t="shared" si="9"/>
        <v>0.51</v>
      </c>
      <c r="AZ7" s="526">
        <f t="shared" si="9"/>
        <v>0.51</v>
      </c>
      <c r="BA7" s="526">
        <f t="shared" si="9"/>
        <v>0.51</v>
      </c>
      <c r="BB7" s="526">
        <f t="shared" si="9"/>
        <v>0.51</v>
      </c>
      <c r="BC7" s="526">
        <f t="shared" si="9"/>
        <v>0.51</v>
      </c>
      <c r="BD7" s="526">
        <f t="shared" si="9"/>
        <v>0.51</v>
      </c>
      <c r="BE7" s="526">
        <f t="shared" si="9"/>
        <v>0.51</v>
      </c>
      <c r="BF7" s="526">
        <f t="shared" si="9"/>
        <v>0.51</v>
      </c>
      <c r="BG7" s="526">
        <f t="shared" si="9"/>
        <v>0.51</v>
      </c>
      <c r="BH7" s="526">
        <f t="shared" si="9"/>
        <v>0.51</v>
      </c>
      <c r="BI7" s="526">
        <f t="shared" si="9"/>
        <v>0.51</v>
      </c>
      <c r="BJ7" s="526">
        <f t="shared" si="9"/>
        <v>0.51</v>
      </c>
      <c r="BK7" s="526">
        <f t="shared" si="9"/>
        <v>0.51</v>
      </c>
      <c r="BL7" s="526">
        <f t="shared" si="9"/>
        <v>0.51</v>
      </c>
      <c r="BM7" s="526">
        <f t="shared" si="9"/>
        <v>0.51</v>
      </c>
      <c r="BN7" s="526">
        <f t="shared" ref="BN7:CE7" si="10">BM7</f>
        <v>0.51</v>
      </c>
      <c r="BO7" s="526">
        <f t="shared" si="10"/>
        <v>0.51</v>
      </c>
      <c r="BP7" s="526">
        <f t="shared" si="10"/>
        <v>0.51</v>
      </c>
      <c r="BQ7" s="526">
        <f t="shared" si="10"/>
        <v>0.51</v>
      </c>
      <c r="BR7" s="526">
        <f t="shared" si="10"/>
        <v>0.51</v>
      </c>
      <c r="BS7" s="526">
        <f t="shared" si="10"/>
        <v>0.51</v>
      </c>
      <c r="BT7" s="526">
        <f t="shared" si="10"/>
        <v>0.51</v>
      </c>
      <c r="BU7" s="526">
        <f t="shared" si="10"/>
        <v>0.51</v>
      </c>
      <c r="BV7" s="526">
        <f t="shared" si="10"/>
        <v>0.51</v>
      </c>
      <c r="BW7" s="526">
        <f t="shared" si="10"/>
        <v>0.51</v>
      </c>
      <c r="BX7" s="526">
        <f t="shared" si="10"/>
        <v>0.51</v>
      </c>
      <c r="BY7" s="526">
        <f t="shared" si="10"/>
        <v>0.51</v>
      </c>
      <c r="BZ7" s="526">
        <f t="shared" si="10"/>
        <v>0.51</v>
      </c>
      <c r="CA7" s="526">
        <f t="shared" si="10"/>
        <v>0.51</v>
      </c>
      <c r="CB7" s="526">
        <f t="shared" si="10"/>
        <v>0.51</v>
      </c>
      <c r="CC7" s="526">
        <f t="shared" si="10"/>
        <v>0.51</v>
      </c>
      <c r="CD7" s="526">
        <f t="shared" si="10"/>
        <v>0.51</v>
      </c>
      <c r="CE7" s="526">
        <f t="shared" si="10"/>
        <v>0.51</v>
      </c>
      <c r="CG7" s="537">
        <v>0.51</v>
      </c>
      <c r="CH7" s="537">
        <v>0.51</v>
      </c>
      <c r="CI7" s="537">
        <v>0.51</v>
      </c>
      <c r="CJ7" s="537">
        <v>0.51</v>
      </c>
      <c r="CK7" s="537">
        <v>0.51</v>
      </c>
      <c r="CL7" s="537">
        <v>0.51</v>
      </c>
      <c r="CM7" s="537">
        <v>0.51</v>
      </c>
      <c r="CN7" s="537">
        <v>0.51</v>
      </c>
      <c r="CO7" s="537">
        <v>0.51</v>
      </c>
      <c r="CP7" s="537">
        <v>0.51</v>
      </c>
      <c r="CQ7" s="537">
        <v>0.51</v>
      </c>
      <c r="CR7" s="537">
        <v>0.51</v>
      </c>
      <c r="CS7" s="537">
        <v>0.51</v>
      </c>
      <c r="CT7" s="537">
        <v>0.51</v>
      </c>
      <c r="CU7" s="537">
        <v>0.51</v>
      </c>
      <c r="CV7" s="537">
        <v>0.51</v>
      </c>
      <c r="CW7" s="537">
        <v>0.51</v>
      </c>
      <c r="CX7" s="537">
        <v>0.51</v>
      </c>
      <c r="CY7" s="537">
        <v>0.51</v>
      </c>
      <c r="CZ7" s="537">
        <v>0.51</v>
      </c>
      <c r="DA7" s="537">
        <v>0.51</v>
      </c>
      <c r="DB7" s="537">
        <v>0.51</v>
      </c>
      <c r="DC7" s="537">
        <v>0.51</v>
      </c>
      <c r="DD7" s="537">
        <v>0.51</v>
      </c>
      <c r="DE7" s="537">
        <v>0.51</v>
      </c>
      <c r="DF7" s="537">
        <v>0.51</v>
      </c>
      <c r="DG7" s="537">
        <v>0.51</v>
      </c>
      <c r="DH7" s="537">
        <v>0.51</v>
      </c>
    </row>
    <row r="8" spans="2:112">
      <c r="B8" t="s">
        <v>887</v>
      </c>
      <c r="C8" t="s">
        <v>713</v>
      </c>
      <c r="D8" t="s">
        <v>888</v>
      </c>
      <c r="E8" t="s">
        <v>178</v>
      </c>
      <c r="F8" s="537">
        <v>0.51</v>
      </c>
      <c r="G8" s="537">
        <v>0.51</v>
      </c>
      <c r="H8" s="537">
        <v>0.51</v>
      </c>
      <c r="I8" s="537">
        <v>0.51</v>
      </c>
      <c r="J8" s="537">
        <v>0.51</v>
      </c>
      <c r="K8" s="537">
        <v>0.51</v>
      </c>
      <c r="L8" s="537">
        <v>0.51</v>
      </c>
      <c r="M8" s="537">
        <v>0.51</v>
      </c>
      <c r="N8" s="537">
        <v>0.51</v>
      </c>
      <c r="O8" s="537">
        <v>0.51</v>
      </c>
      <c r="P8" s="537">
        <v>0.51</v>
      </c>
      <c r="Q8" s="537">
        <v>0.51</v>
      </c>
      <c r="R8" s="537">
        <v>0.51</v>
      </c>
      <c r="S8" s="537">
        <v>0.51</v>
      </c>
      <c r="T8" s="537">
        <v>0.51</v>
      </c>
      <c r="U8" s="537">
        <v>0.51</v>
      </c>
      <c r="V8" s="537">
        <v>0.51</v>
      </c>
      <c r="W8" s="537">
        <v>0.51</v>
      </c>
      <c r="X8" s="537">
        <v>0.51</v>
      </c>
      <c r="Y8" s="537">
        <v>0.51</v>
      </c>
      <c r="Z8" s="537">
        <v>0.51</v>
      </c>
      <c r="AA8" s="537">
        <v>0.51</v>
      </c>
      <c r="AB8" s="537">
        <v>0.51</v>
      </c>
      <c r="AC8" s="537">
        <v>0.51</v>
      </c>
      <c r="AD8" s="537">
        <v>0.51</v>
      </c>
      <c r="AE8" s="537">
        <v>0.51</v>
      </c>
      <c r="AF8" s="537">
        <v>0.51</v>
      </c>
      <c r="AG8" s="537">
        <v>0.51</v>
      </c>
      <c r="AH8" s="526">
        <f t="shared" ref="AH8:BM8" si="11">AG8</f>
        <v>0.51</v>
      </c>
      <c r="AI8" s="526">
        <f t="shared" si="11"/>
        <v>0.51</v>
      </c>
      <c r="AJ8" s="526">
        <f t="shared" si="11"/>
        <v>0.51</v>
      </c>
      <c r="AK8" s="526">
        <f t="shared" si="11"/>
        <v>0.51</v>
      </c>
      <c r="AL8" s="526">
        <f t="shared" si="11"/>
        <v>0.51</v>
      </c>
      <c r="AM8" s="526">
        <f t="shared" si="11"/>
        <v>0.51</v>
      </c>
      <c r="AN8" s="526">
        <f t="shared" si="11"/>
        <v>0.51</v>
      </c>
      <c r="AO8" s="526">
        <f t="shared" si="11"/>
        <v>0.51</v>
      </c>
      <c r="AP8" s="526">
        <f t="shared" si="11"/>
        <v>0.51</v>
      </c>
      <c r="AQ8" s="526">
        <f t="shared" si="11"/>
        <v>0.51</v>
      </c>
      <c r="AR8" s="526">
        <f t="shared" si="11"/>
        <v>0.51</v>
      </c>
      <c r="AS8" s="526">
        <f t="shared" si="11"/>
        <v>0.51</v>
      </c>
      <c r="AT8" s="526">
        <f t="shared" si="11"/>
        <v>0.51</v>
      </c>
      <c r="AU8" s="526">
        <f t="shared" si="11"/>
        <v>0.51</v>
      </c>
      <c r="AV8" s="526">
        <f t="shared" si="11"/>
        <v>0.51</v>
      </c>
      <c r="AW8" s="526">
        <f t="shared" si="11"/>
        <v>0.51</v>
      </c>
      <c r="AX8" s="526">
        <f t="shared" si="11"/>
        <v>0.51</v>
      </c>
      <c r="AY8" s="526">
        <f t="shared" si="11"/>
        <v>0.51</v>
      </c>
      <c r="AZ8" s="526">
        <f t="shared" si="11"/>
        <v>0.51</v>
      </c>
      <c r="BA8" s="526">
        <f t="shared" si="11"/>
        <v>0.51</v>
      </c>
      <c r="BB8" s="526">
        <f t="shared" si="11"/>
        <v>0.51</v>
      </c>
      <c r="BC8" s="526">
        <f t="shared" si="11"/>
        <v>0.51</v>
      </c>
      <c r="BD8" s="526">
        <f t="shared" si="11"/>
        <v>0.51</v>
      </c>
      <c r="BE8" s="526">
        <f t="shared" si="11"/>
        <v>0.51</v>
      </c>
      <c r="BF8" s="526">
        <f t="shared" si="11"/>
        <v>0.51</v>
      </c>
      <c r="BG8" s="526">
        <f t="shared" si="11"/>
        <v>0.51</v>
      </c>
      <c r="BH8" s="526">
        <f t="shared" si="11"/>
        <v>0.51</v>
      </c>
      <c r="BI8" s="526">
        <f t="shared" si="11"/>
        <v>0.51</v>
      </c>
      <c r="BJ8" s="526">
        <f t="shared" si="11"/>
        <v>0.51</v>
      </c>
      <c r="BK8" s="526">
        <f t="shared" si="11"/>
        <v>0.51</v>
      </c>
      <c r="BL8" s="526">
        <f t="shared" si="11"/>
        <v>0.51</v>
      </c>
      <c r="BM8" s="526">
        <f t="shared" si="11"/>
        <v>0.51</v>
      </c>
      <c r="BN8" s="526">
        <f t="shared" ref="BN8:CE8" si="12">BM8</f>
        <v>0.51</v>
      </c>
      <c r="BO8" s="526">
        <f t="shared" si="12"/>
        <v>0.51</v>
      </c>
      <c r="BP8" s="526">
        <f t="shared" si="12"/>
        <v>0.51</v>
      </c>
      <c r="BQ8" s="526">
        <f t="shared" si="12"/>
        <v>0.51</v>
      </c>
      <c r="BR8" s="526">
        <f t="shared" si="12"/>
        <v>0.51</v>
      </c>
      <c r="BS8" s="526">
        <f t="shared" si="12"/>
        <v>0.51</v>
      </c>
      <c r="BT8" s="526">
        <f t="shared" si="12"/>
        <v>0.51</v>
      </c>
      <c r="BU8" s="526">
        <f t="shared" si="12"/>
        <v>0.51</v>
      </c>
      <c r="BV8" s="526">
        <f t="shared" si="12"/>
        <v>0.51</v>
      </c>
      <c r="BW8" s="526">
        <f t="shared" si="12"/>
        <v>0.51</v>
      </c>
      <c r="BX8" s="526">
        <f t="shared" si="12"/>
        <v>0.51</v>
      </c>
      <c r="BY8" s="526">
        <f t="shared" si="12"/>
        <v>0.51</v>
      </c>
      <c r="BZ8" s="526">
        <f t="shared" si="12"/>
        <v>0.51</v>
      </c>
      <c r="CA8" s="526">
        <f t="shared" si="12"/>
        <v>0.51</v>
      </c>
      <c r="CB8" s="526">
        <f t="shared" si="12"/>
        <v>0.51</v>
      </c>
      <c r="CC8" s="526">
        <f t="shared" si="12"/>
        <v>0.51</v>
      </c>
      <c r="CD8" s="526">
        <f t="shared" si="12"/>
        <v>0.51</v>
      </c>
      <c r="CE8" s="526">
        <f t="shared" si="12"/>
        <v>0.51</v>
      </c>
      <c r="CG8" s="537">
        <v>0.51</v>
      </c>
      <c r="CH8" s="537">
        <v>0.51</v>
      </c>
      <c r="CI8" s="537">
        <v>0.51</v>
      </c>
      <c r="CJ8" s="537">
        <v>0.51</v>
      </c>
      <c r="CK8" s="537">
        <v>0.51</v>
      </c>
      <c r="CL8" s="537">
        <v>0.51</v>
      </c>
      <c r="CM8" s="537">
        <v>0.51</v>
      </c>
      <c r="CN8" s="537">
        <v>0.51</v>
      </c>
      <c r="CO8" s="537">
        <v>0.51</v>
      </c>
      <c r="CP8" s="537">
        <v>0.51</v>
      </c>
      <c r="CQ8" s="537">
        <v>0.51</v>
      </c>
      <c r="CR8" s="537">
        <v>0.51</v>
      </c>
      <c r="CS8" s="537">
        <v>0.51</v>
      </c>
      <c r="CT8" s="537">
        <v>0.51</v>
      </c>
      <c r="CU8" s="537">
        <v>0.51</v>
      </c>
      <c r="CV8" s="537">
        <v>0.51</v>
      </c>
      <c r="CW8" s="537">
        <v>0.51</v>
      </c>
      <c r="CX8" s="537">
        <v>0.51</v>
      </c>
      <c r="CY8" s="537">
        <v>0.51</v>
      </c>
      <c r="CZ8" s="537">
        <v>0.51</v>
      </c>
      <c r="DA8" s="537">
        <v>0.51</v>
      </c>
      <c r="DB8" s="537">
        <v>0.51</v>
      </c>
      <c r="DC8" s="537">
        <v>0.51</v>
      </c>
      <c r="DD8" s="537">
        <v>0.51</v>
      </c>
      <c r="DE8" s="537">
        <v>0.51</v>
      </c>
      <c r="DF8" s="537">
        <v>0.51</v>
      </c>
      <c r="DG8" s="537">
        <v>0.51</v>
      </c>
      <c r="DH8" s="537">
        <v>0.51</v>
      </c>
    </row>
    <row r="9" spans="2:112">
      <c r="B9" t="s">
        <v>889</v>
      </c>
      <c r="C9" t="s">
        <v>713</v>
      </c>
      <c r="D9" t="s">
        <v>890</v>
      </c>
      <c r="E9" t="s">
        <v>178</v>
      </c>
      <c r="F9" s="537">
        <v>0.51</v>
      </c>
      <c r="G9" s="537">
        <v>0.51</v>
      </c>
      <c r="H9" s="537">
        <v>0.51</v>
      </c>
      <c r="I9" s="537">
        <v>0.51</v>
      </c>
      <c r="J9" s="537">
        <v>0.51</v>
      </c>
      <c r="K9" s="537">
        <v>0.51</v>
      </c>
      <c r="L9" s="537">
        <v>0.51</v>
      </c>
      <c r="M9" s="537">
        <v>0.51</v>
      </c>
      <c r="N9" s="537">
        <v>0.51</v>
      </c>
      <c r="O9" s="537">
        <v>0.51</v>
      </c>
      <c r="P9" s="537">
        <v>0.51</v>
      </c>
      <c r="Q9" s="537">
        <v>0.51</v>
      </c>
      <c r="R9" s="537">
        <v>0.51</v>
      </c>
      <c r="S9" s="537">
        <v>0.51</v>
      </c>
      <c r="T9" s="537">
        <v>0.51</v>
      </c>
      <c r="U9" s="537">
        <v>0.51</v>
      </c>
      <c r="V9" s="537">
        <v>0.51</v>
      </c>
      <c r="W9" s="537">
        <v>0.51</v>
      </c>
      <c r="X9" s="537">
        <v>0.51</v>
      </c>
      <c r="Y9" s="537">
        <v>0.51</v>
      </c>
      <c r="Z9" s="537">
        <v>0.51</v>
      </c>
      <c r="AA9" s="537">
        <v>0.51</v>
      </c>
      <c r="AB9" s="537">
        <v>0.51</v>
      </c>
      <c r="AC9" s="537">
        <v>0.51</v>
      </c>
      <c r="AD9" s="537">
        <v>0.51</v>
      </c>
      <c r="AE9" s="537">
        <v>0.51</v>
      </c>
      <c r="AF9" s="537">
        <v>0.51</v>
      </c>
      <c r="AG9" s="537">
        <v>0.51</v>
      </c>
      <c r="AH9" s="526">
        <f t="shared" ref="AH9:BM9" si="13">AG9</f>
        <v>0.51</v>
      </c>
      <c r="AI9" s="526">
        <f t="shared" si="13"/>
        <v>0.51</v>
      </c>
      <c r="AJ9" s="526">
        <f t="shared" si="13"/>
        <v>0.51</v>
      </c>
      <c r="AK9" s="526">
        <f t="shared" si="13"/>
        <v>0.51</v>
      </c>
      <c r="AL9" s="526">
        <f t="shared" si="13"/>
        <v>0.51</v>
      </c>
      <c r="AM9" s="526">
        <f t="shared" si="13"/>
        <v>0.51</v>
      </c>
      <c r="AN9" s="526">
        <f t="shared" si="13"/>
        <v>0.51</v>
      </c>
      <c r="AO9" s="526">
        <f t="shared" si="13"/>
        <v>0.51</v>
      </c>
      <c r="AP9" s="526">
        <f t="shared" si="13"/>
        <v>0.51</v>
      </c>
      <c r="AQ9" s="526">
        <f t="shared" si="13"/>
        <v>0.51</v>
      </c>
      <c r="AR9" s="526">
        <f t="shared" si="13"/>
        <v>0.51</v>
      </c>
      <c r="AS9" s="526">
        <f t="shared" si="13"/>
        <v>0.51</v>
      </c>
      <c r="AT9" s="526">
        <f t="shared" si="13"/>
        <v>0.51</v>
      </c>
      <c r="AU9" s="526">
        <f t="shared" si="13"/>
        <v>0.51</v>
      </c>
      <c r="AV9" s="526">
        <f t="shared" si="13"/>
        <v>0.51</v>
      </c>
      <c r="AW9" s="526">
        <f t="shared" si="13"/>
        <v>0.51</v>
      </c>
      <c r="AX9" s="526">
        <f t="shared" si="13"/>
        <v>0.51</v>
      </c>
      <c r="AY9" s="526">
        <f t="shared" si="13"/>
        <v>0.51</v>
      </c>
      <c r="AZ9" s="526">
        <f t="shared" si="13"/>
        <v>0.51</v>
      </c>
      <c r="BA9" s="526">
        <f t="shared" si="13"/>
        <v>0.51</v>
      </c>
      <c r="BB9" s="526">
        <f t="shared" si="13"/>
        <v>0.51</v>
      </c>
      <c r="BC9" s="526">
        <f t="shared" si="13"/>
        <v>0.51</v>
      </c>
      <c r="BD9" s="526">
        <f t="shared" si="13"/>
        <v>0.51</v>
      </c>
      <c r="BE9" s="526">
        <f t="shared" si="13"/>
        <v>0.51</v>
      </c>
      <c r="BF9" s="526">
        <f t="shared" si="13"/>
        <v>0.51</v>
      </c>
      <c r="BG9" s="526">
        <f t="shared" si="13"/>
        <v>0.51</v>
      </c>
      <c r="BH9" s="526">
        <f t="shared" si="13"/>
        <v>0.51</v>
      </c>
      <c r="BI9" s="526">
        <f t="shared" si="13"/>
        <v>0.51</v>
      </c>
      <c r="BJ9" s="526">
        <f t="shared" si="13"/>
        <v>0.51</v>
      </c>
      <c r="BK9" s="526">
        <f t="shared" si="13"/>
        <v>0.51</v>
      </c>
      <c r="BL9" s="526">
        <f t="shared" si="13"/>
        <v>0.51</v>
      </c>
      <c r="BM9" s="526">
        <f t="shared" si="13"/>
        <v>0.51</v>
      </c>
      <c r="BN9" s="526">
        <f t="shared" ref="BN9:CE9" si="14">BM9</f>
        <v>0.51</v>
      </c>
      <c r="BO9" s="526">
        <f t="shared" si="14"/>
        <v>0.51</v>
      </c>
      <c r="BP9" s="526">
        <f t="shared" si="14"/>
        <v>0.51</v>
      </c>
      <c r="BQ9" s="526">
        <f t="shared" si="14"/>
        <v>0.51</v>
      </c>
      <c r="BR9" s="526">
        <f t="shared" si="14"/>
        <v>0.51</v>
      </c>
      <c r="BS9" s="526">
        <f t="shared" si="14"/>
        <v>0.51</v>
      </c>
      <c r="BT9" s="526">
        <f t="shared" si="14"/>
        <v>0.51</v>
      </c>
      <c r="BU9" s="526">
        <f t="shared" si="14"/>
        <v>0.51</v>
      </c>
      <c r="BV9" s="526">
        <f t="shared" si="14"/>
        <v>0.51</v>
      </c>
      <c r="BW9" s="526">
        <f t="shared" si="14"/>
        <v>0.51</v>
      </c>
      <c r="BX9" s="526">
        <f t="shared" si="14"/>
        <v>0.51</v>
      </c>
      <c r="BY9" s="526">
        <f t="shared" si="14"/>
        <v>0.51</v>
      </c>
      <c r="BZ9" s="526">
        <f t="shared" si="14"/>
        <v>0.51</v>
      </c>
      <c r="CA9" s="526">
        <f t="shared" si="14"/>
        <v>0.51</v>
      </c>
      <c r="CB9" s="526">
        <f t="shared" si="14"/>
        <v>0.51</v>
      </c>
      <c r="CC9" s="526">
        <f t="shared" si="14"/>
        <v>0.51</v>
      </c>
      <c r="CD9" s="526">
        <f t="shared" si="14"/>
        <v>0.51</v>
      </c>
      <c r="CE9" s="526">
        <f t="shared" si="14"/>
        <v>0.51</v>
      </c>
      <c r="CG9" s="537">
        <v>0.51</v>
      </c>
      <c r="CH9" s="537">
        <v>0.51</v>
      </c>
      <c r="CI9" s="537">
        <v>0.51</v>
      </c>
      <c r="CJ9" s="537">
        <v>0.51</v>
      </c>
      <c r="CK9" s="537">
        <v>0.51</v>
      </c>
      <c r="CL9" s="537">
        <v>0.51</v>
      </c>
      <c r="CM9" s="537">
        <v>0.51</v>
      </c>
      <c r="CN9" s="537">
        <v>0.51</v>
      </c>
      <c r="CO9" s="537">
        <v>0.51</v>
      </c>
      <c r="CP9" s="537">
        <v>0.51</v>
      </c>
      <c r="CQ9" s="537">
        <v>0.51</v>
      </c>
      <c r="CR9" s="537">
        <v>0.51</v>
      </c>
      <c r="CS9" s="537">
        <v>0.51</v>
      </c>
      <c r="CT9" s="537">
        <v>0.51</v>
      </c>
      <c r="CU9" s="537">
        <v>0.51</v>
      </c>
      <c r="CV9" s="537">
        <v>0.51</v>
      </c>
      <c r="CW9" s="537">
        <v>0.51</v>
      </c>
      <c r="CX9" s="537">
        <v>0.51</v>
      </c>
      <c r="CY9" s="537">
        <v>0.51</v>
      </c>
      <c r="CZ9" s="537">
        <v>0.51</v>
      </c>
      <c r="DA9" s="537">
        <v>0.51</v>
      </c>
      <c r="DB9" s="537">
        <v>0.51</v>
      </c>
      <c r="DC9" s="537">
        <v>0.51</v>
      </c>
      <c r="DD9" s="537">
        <v>0.51</v>
      </c>
      <c r="DE9" s="537">
        <v>0.51</v>
      </c>
      <c r="DF9" s="537">
        <v>0.51</v>
      </c>
      <c r="DG9" s="537">
        <v>0.51</v>
      </c>
      <c r="DH9" s="537">
        <v>0.51</v>
      </c>
    </row>
    <row r="10" spans="2:112">
      <c r="B10" t="s">
        <v>891</v>
      </c>
      <c r="C10" t="s">
        <v>713</v>
      </c>
      <c r="D10" t="s">
        <v>892</v>
      </c>
      <c r="E10" t="s">
        <v>178</v>
      </c>
      <c r="F10" s="537">
        <v>0.51</v>
      </c>
      <c r="G10" s="537">
        <v>0.51</v>
      </c>
      <c r="H10" s="537">
        <v>0.51</v>
      </c>
      <c r="I10" s="537">
        <v>0.51</v>
      </c>
      <c r="J10" s="537">
        <v>0.51</v>
      </c>
      <c r="K10" s="537">
        <v>0.51</v>
      </c>
      <c r="L10" s="537">
        <v>0.51</v>
      </c>
      <c r="M10" s="537">
        <v>0.51</v>
      </c>
      <c r="N10" s="537">
        <v>0.51</v>
      </c>
      <c r="O10" s="537">
        <v>0.51</v>
      </c>
      <c r="P10" s="537">
        <v>0.51</v>
      </c>
      <c r="Q10" s="537">
        <v>0.51</v>
      </c>
      <c r="R10" s="537">
        <v>0.51</v>
      </c>
      <c r="S10" s="537">
        <v>0.51</v>
      </c>
      <c r="T10" s="537">
        <v>0.51</v>
      </c>
      <c r="U10" s="537">
        <v>0.51</v>
      </c>
      <c r="V10" s="537">
        <v>0.51</v>
      </c>
      <c r="W10" s="537">
        <v>0.51</v>
      </c>
      <c r="X10" s="537">
        <v>0.51</v>
      </c>
      <c r="Y10" s="537">
        <v>0.51</v>
      </c>
      <c r="Z10" s="537">
        <v>0.51</v>
      </c>
      <c r="AA10" s="537">
        <v>0.51</v>
      </c>
      <c r="AB10" s="537">
        <v>0.51</v>
      </c>
      <c r="AC10" s="537">
        <v>0.51</v>
      </c>
      <c r="AD10" s="537">
        <v>0.51</v>
      </c>
      <c r="AE10" s="537">
        <v>0.51</v>
      </c>
      <c r="AF10" s="537">
        <v>0.51</v>
      </c>
      <c r="AG10" s="537">
        <v>0.51</v>
      </c>
      <c r="AH10" s="526">
        <f t="shared" ref="AH10:BM10" si="15">AG10</f>
        <v>0.51</v>
      </c>
      <c r="AI10" s="526">
        <f t="shared" si="15"/>
        <v>0.51</v>
      </c>
      <c r="AJ10" s="526">
        <f t="shared" si="15"/>
        <v>0.51</v>
      </c>
      <c r="AK10" s="526">
        <f t="shared" si="15"/>
        <v>0.51</v>
      </c>
      <c r="AL10" s="526">
        <f t="shared" si="15"/>
        <v>0.51</v>
      </c>
      <c r="AM10" s="526">
        <f t="shared" si="15"/>
        <v>0.51</v>
      </c>
      <c r="AN10" s="526">
        <f t="shared" si="15"/>
        <v>0.51</v>
      </c>
      <c r="AO10" s="526">
        <f t="shared" si="15"/>
        <v>0.51</v>
      </c>
      <c r="AP10" s="526">
        <f t="shared" si="15"/>
        <v>0.51</v>
      </c>
      <c r="AQ10" s="526">
        <f t="shared" si="15"/>
        <v>0.51</v>
      </c>
      <c r="AR10" s="526">
        <f t="shared" si="15"/>
        <v>0.51</v>
      </c>
      <c r="AS10" s="526">
        <f t="shared" si="15"/>
        <v>0.51</v>
      </c>
      <c r="AT10" s="526">
        <f t="shared" si="15"/>
        <v>0.51</v>
      </c>
      <c r="AU10" s="526">
        <f t="shared" si="15"/>
        <v>0.51</v>
      </c>
      <c r="AV10" s="526">
        <f t="shared" si="15"/>
        <v>0.51</v>
      </c>
      <c r="AW10" s="526">
        <f t="shared" si="15"/>
        <v>0.51</v>
      </c>
      <c r="AX10" s="526">
        <f t="shared" si="15"/>
        <v>0.51</v>
      </c>
      <c r="AY10" s="526">
        <f t="shared" si="15"/>
        <v>0.51</v>
      </c>
      <c r="AZ10" s="526">
        <f t="shared" si="15"/>
        <v>0.51</v>
      </c>
      <c r="BA10" s="526">
        <f t="shared" si="15"/>
        <v>0.51</v>
      </c>
      <c r="BB10" s="526">
        <f t="shared" si="15"/>
        <v>0.51</v>
      </c>
      <c r="BC10" s="526">
        <f t="shared" si="15"/>
        <v>0.51</v>
      </c>
      <c r="BD10" s="526">
        <f t="shared" si="15"/>
        <v>0.51</v>
      </c>
      <c r="BE10" s="526">
        <f t="shared" si="15"/>
        <v>0.51</v>
      </c>
      <c r="BF10" s="526">
        <f t="shared" si="15"/>
        <v>0.51</v>
      </c>
      <c r="BG10" s="526">
        <f t="shared" si="15"/>
        <v>0.51</v>
      </c>
      <c r="BH10" s="526">
        <f t="shared" si="15"/>
        <v>0.51</v>
      </c>
      <c r="BI10" s="526">
        <f t="shared" si="15"/>
        <v>0.51</v>
      </c>
      <c r="BJ10" s="526">
        <f t="shared" si="15"/>
        <v>0.51</v>
      </c>
      <c r="BK10" s="526">
        <f t="shared" si="15"/>
        <v>0.51</v>
      </c>
      <c r="BL10" s="526">
        <f t="shared" si="15"/>
        <v>0.51</v>
      </c>
      <c r="BM10" s="526">
        <f t="shared" si="15"/>
        <v>0.51</v>
      </c>
      <c r="BN10" s="526">
        <f t="shared" ref="BN10:CE10" si="16">BM10</f>
        <v>0.51</v>
      </c>
      <c r="BO10" s="526">
        <f t="shared" si="16"/>
        <v>0.51</v>
      </c>
      <c r="BP10" s="526">
        <f t="shared" si="16"/>
        <v>0.51</v>
      </c>
      <c r="BQ10" s="526">
        <f t="shared" si="16"/>
        <v>0.51</v>
      </c>
      <c r="BR10" s="526">
        <f t="shared" si="16"/>
        <v>0.51</v>
      </c>
      <c r="BS10" s="526">
        <f t="shared" si="16"/>
        <v>0.51</v>
      </c>
      <c r="BT10" s="526">
        <f t="shared" si="16"/>
        <v>0.51</v>
      </c>
      <c r="BU10" s="526">
        <f t="shared" si="16"/>
        <v>0.51</v>
      </c>
      <c r="BV10" s="526">
        <f t="shared" si="16"/>
        <v>0.51</v>
      </c>
      <c r="BW10" s="526">
        <f t="shared" si="16"/>
        <v>0.51</v>
      </c>
      <c r="BX10" s="526">
        <f t="shared" si="16"/>
        <v>0.51</v>
      </c>
      <c r="BY10" s="526">
        <f t="shared" si="16"/>
        <v>0.51</v>
      </c>
      <c r="BZ10" s="526">
        <f t="shared" si="16"/>
        <v>0.51</v>
      </c>
      <c r="CA10" s="526">
        <f t="shared" si="16"/>
        <v>0.51</v>
      </c>
      <c r="CB10" s="526">
        <f t="shared" si="16"/>
        <v>0.51</v>
      </c>
      <c r="CC10" s="526">
        <f t="shared" si="16"/>
        <v>0.51</v>
      </c>
      <c r="CD10" s="526">
        <f t="shared" si="16"/>
        <v>0.51</v>
      </c>
      <c r="CE10" s="526">
        <f t="shared" si="16"/>
        <v>0.51</v>
      </c>
      <c r="CG10" s="537">
        <v>0.51</v>
      </c>
      <c r="CH10" s="537">
        <v>0.51</v>
      </c>
      <c r="CI10" s="537">
        <v>0.51</v>
      </c>
      <c r="CJ10" s="537">
        <v>0.51</v>
      </c>
      <c r="CK10" s="537">
        <v>0.51</v>
      </c>
      <c r="CL10" s="537">
        <v>0.51</v>
      </c>
      <c r="CM10" s="537">
        <v>0.51</v>
      </c>
      <c r="CN10" s="537">
        <v>0.51</v>
      </c>
      <c r="CO10" s="537">
        <v>0.51</v>
      </c>
      <c r="CP10" s="537">
        <v>0.51</v>
      </c>
      <c r="CQ10" s="537">
        <v>0.51</v>
      </c>
      <c r="CR10" s="537">
        <v>0.51</v>
      </c>
      <c r="CS10" s="537">
        <v>0.51</v>
      </c>
      <c r="CT10" s="537">
        <v>0.51</v>
      </c>
      <c r="CU10" s="537">
        <v>0.51</v>
      </c>
      <c r="CV10" s="537">
        <v>0.51</v>
      </c>
      <c r="CW10" s="537">
        <v>0.51</v>
      </c>
      <c r="CX10" s="537">
        <v>0.51</v>
      </c>
      <c r="CY10" s="537">
        <v>0.51</v>
      </c>
      <c r="CZ10" s="537">
        <v>0.51</v>
      </c>
      <c r="DA10" s="537">
        <v>0.51</v>
      </c>
      <c r="DB10" s="537">
        <v>0.51</v>
      </c>
      <c r="DC10" s="537">
        <v>0.51</v>
      </c>
      <c r="DD10" s="537">
        <v>0.51</v>
      </c>
      <c r="DE10" s="537">
        <v>0.51</v>
      </c>
      <c r="DF10" s="537">
        <v>0.51</v>
      </c>
      <c r="DG10" s="537">
        <v>0.51</v>
      </c>
      <c r="DH10" s="537">
        <v>0.51</v>
      </c>
    </row>
    <row r="11" spans="2:112">
      <c r="B11" t="s">
        <v>893</v>
      </c>
      <c r="C11" t="s">
        <v>713</v>
      </c>
      <c r="D11" t="s">
        <v>894</v>
      </c>
      <c r="E11" t="s">
        <v>895</v>
      </c>
      <c r="F11" s="537">
        <v>0</v>
      </c>
      <c r="G11" s="537">
        <v>0</v>
      </c>
      <c r="H11" s="537">
        <v>0</v>
      </c>
      <c r="I11" s="537">
        <v>0</v>
      </c>
      <c r="J11" s="537">
        <v>0</v>
      </c>
      <c r="K11" s="537">
        <v>0</v>
      </c>
      <c r="L11" s="537">
        <v>0</v>
      </c>
      <c r="M11" s="537">
        <v>0</v>
      </c>
      <c r="N11" s="537">
        <v>0</v>
      </c>
      <c r="O11" s="537">
        <v>0</v>
      </c>
      <c r="P11" s="537">
        <v>0</v>
      </c>
      <c r="Q11" s="537">
        <v>0</v>
      </c>
      <c r="R11" s="537">
        <v>0</v>
      </c>
      <c r="S11" s="537">
        <v>0</v>
      </c>
      <c r="T11" s="537">
        <v>0</v>
      </c>
      <c r="U11" s="537">
        <v>0</v>
      </c>
      <c r="V11" s="537">
        <v>0</v>
      </c>
      <c r="W11" s="537">
        <v>0</v>
      </c>
      <c r="X11" s="537">
        <v>0</v>
      </c>
      <c r="Y11" s="537">
        <v>0</v>
      </c>
      <c r="Z11" s="537">
        <v>0</v>
      </c>
      <c r="AA11" s="537">
        <v>0</v>
      </c>
      <c r="AB11" s="537">
        <v>0</v>
      </c>
      <c r="AC11" s="537">
        <v>0</v>
      </c>
      <c r="AD11" s="537">
        <v>0</v>
      </c>
      <c r="AE11" s="537">
        <v>0</v>
      </c>
      <c r="AF11" s="537">
        <v>0</v>
      </c>
      <c r="AG11" s="537">
        <v>0</v>
      </c>
      <c r="AH11" s="538">
        <f t="shared" ref="AH11:BM11" si="17">AG11</f>
        <v>0</v>
      </c>
      <c r="AI11" s="538">
        <f t="shared" si="17"/>
        <v>0</v>
      </c>
      <c r="AJ11" s="538">
        <f t="shared" si="17"/>
        <v>0</v>
      </c>
      <c r="AK11" s="538">
        <f t="shared" si="17"/>
        <v>0</v>
      </c>
      <c r="AL11" s="538">
        <f t="shared" si="17"/>
        <v>0</v>
      </c>
      <c r="AM11" s="538">
        <f t="shared" si="17"/>
        <v>0</v>
      </c>
      <c r="AN11" s="538">
        <f t="shared" si="17"/>
        <v>0</v>
      </c>
      <c r="AO11" s="538">
        <f t="shared" si="17"/>
        <v>0</v>
      </c>
      <c r="AP11" s="538">
        <f t="shared" si="17"/>
        <v>0</v>
      </c>
      <c r="AQ11" s="538">
        <f t="shared" si="17"/>
        <v>0</v>
      </c>
      <c r="AR11" s="538">
        <f t="shared" si="17"/>
        <v>0</v>
      </c>
      <c r="AS11" s="538">
        <f t="shared" si="17"/>
        <v>0</v>
      </c>
      <c r="AT11" s="538">
        <f t="shared" si="17"/>
        <v>0</v>
      </c>
      <c r="AU11" s="538">
        <f t="shared" si="17"/>
        <v>0</v>
      </c>
      <c r="AV11" s="538">
        <f t="shared" si="17"/>
        <v>0</v>
      </c>
      <c r="AW11" s="538">
        <f t="shared" si="17"/>
        <v>0</v>
      </c>
      <c r="AX11" s="538">
        <f t="shared" si="17"/>
        <v>0</v>
      </c>
      <c r="AY11" s="538">
        <f t="shared" si="17"/>
        <v>0</v>
      </c>
      <c r="AZ11" s="538">
        <f t="shared" si="17"/>
        <v>0</v>
      </c>
      <c r="BA11" s="538">
        <f t="shared" si="17"/>
        <v>0</v>
      </c>
      <c r="BB11" s="538">
        <f t="shared" si="17"/>
        <v>0</v>
      </c>
      <c r="BC11" s="538">
        <f t="shared" si="17"/>
        <v>0</v>
      </c>
      <c r="BD11" s="538">
        <f t="shared" si="17"/>
        <v>0</v>
      </c>
      <c r="BE11" s="538">
        <f t="shared" si="17"/>
        <v>0</v>
      </c>
      <c r="BF11" s="538">
        <f t="shared" si="17"/>
        <v>0</v>
      </c>
      <c r="BG11" s="538">
        <f t="shared" si="17"/>
        <v>0</v>
      </c>
      <c r="BH11" s="538">
        <f t="shared" si="17"/>
        <v>0</v>
      </c>
      <c r="BI11" s="538">
        <f t="shared" si="17"/>
        <v>0</v>
      </c>
      <c r="BJ11" s="538">
        <f t="shared" si="17"/>
        <v>0</v>
      </c>
      <c r="BK11" s="538">
        <f t="shared" si="17"/>
        <v>0</v>
      </c>
      <c r="BL11" s="538">
        <f t="shared" si="17"/>
        <v>0</v>
      </c>
      <c r="BM11" s="538">
        <f t="shared" si="17"/>
        <v>0</v>
      </c>
      <c r="BN11" s="538">
        <f t="shared" ref="BN11:CE11" si="18">BM11</f>
        <v>0</v>
      </c>
      <c r="BO11" s="538">
        <f t="shared" si="18"/>
        <v>0</v>
      </c>
      <c r="BP11" s="538">
        <f t="shared" si="18"/>
        <v>0</v>
      </c>
      <c r="BQ11" s="538">
        <f t="shared" si="18"/>
        <v>0</v>
      </c>
      <c r="BR11" s="538">
        <f t="shared" si="18"/>
        <v>0</v>
      </c>
      <c r="BS11" s="538">
        <f t="shared" si="18"/>
        <v>0</v>
      </c>
      <c r="BT11" s="538">
        <f t="shared" si="18"/>
        <v>0</v>
      </c>
      <c r="BU11" s="538">
        <f t="shared" si="18"/>
        <v>0</v>
      </c>
      <c r="BV11" s="538">
        <f t="shared" si="18"/>
        <v>0</v>
      </c>
      <c r="BW11" s="538">
        <f t="shared" si="18"/>
        <v>0</v>
      </c>
      <c r="BX11" s="538">
        <f t="shared" si="18"/>
        <v>0</v>
      </c>
      <c r="BY11" s="538">
        <f t="shared" si="18"/>
        <v>0</v>
      </c>
      <c r="BZ11" s="538">
        <f t="shared" si="18"/>
        <v>0</v>
      </c>
      <c r="CA11" s="538">
        <f t="shared" si="18"/>
        <v>0</v>
      </c>
      <c r="CB11" s="538">
        <f t="shared" si="18"/>
        <v>0</v>
      </c>
      <c r="CC11" s="538">
        <f t="shared" si="18"/>
        <v>0</v>
      </c>
      <c r="CD11" s="538">
        <f t="shared" si="18"/>
        <v>0</v>
      </c>
      <c r="CE11" s="538">
        <f t="shared" si="18"/>
        <v>0</v>
      </c>
      <c r="CG11" s="537">
        <v>0</v>
      </c>
      <c r="CH11" s="537">
        <v>0</v>
      </c>
      <c r="CI11" s="537">
        <v>0</v>
      </c>
      <c r="CJ11" s="537">
        <v>0</v>
      </c>
      <c r="CK11" s="537">
        <v>0</v>
      </c>
      <c r="CL11" s="537">
        <v>0</v>
      </c>
      <c r="CM11" s="537">
        <v>0</v>
      </c>
      <c r="CN11" s="537">
        <v>0</v>
      </c>
      <c r="CO11" s="537">
        <v>0</v>
      </c>
      <c r="CP11" s="537">
        <v>0</v>
      </c>
      <c r="CQ11" s="537">
        <v>0</v>
      </c>
      <c r="CR11" s="537">
        <v>0</v>
      </c>
      <c r="CS11" s="537">
        <v>0</v>
      </c>
      <c r="CT11" s="537">
        <v>0</v>
      </c>
      <c r="CU11" s="537">
        <v>0</v>
      </c>
      <c r="CV11" s="537">
        <v>0</v>
      </c>
      <c r="CW11" s="537">
        <v>0</v>
      </c>
      <c r="CX11" s="537">
        <v>0</v>
      </c>
      <c r="CY11" s="537">
        <v>0</v>
      </c>
      <c r="CZ11" s="537">
        <v>0</v>
      </c>
      <c r="DA11" s="537">
        <v>0</v>
      </c>
      <c r="DB11" s="537">
        <v>0</v>
      </c>
      <c r="DC11" s="537">
        <v>0</v>
      </c>
      <c r="DD11" s="537">
        <v>0</v>
      </c>
      <c r="DE11" s="537">
        <v>0</v>
      </c>
      <c r="DF11" s="537">
        <v>0</v>
      </c>
      <c r="DG11" s="537">
        <v>0</v>
      </c>
      <c r="DH11" s="537">
        <v>0</v>
      </c>
    </row>
    <row r="12" spans="2:112">
      <c r="B12" t="s">
        <v>896</v>
      </c>
      <c r="C12" t="s">
        <v>713</v>
      </c>
      <c r="D12" t="s">
        <v>897</v>
      </c>
      <c r="E12" t="s">
        <v>895</v>
      </c>
      <c r="F12" s="537">
        <v>0.01</v>
      </c>
      <c r="G12" s="537">
        <v>0.01</v>
      </c>
      <c r="H12" s="537">
        <v>0.01</v>
      </c>
      <c r="I12" s="537">
        <v>0.01</v>
      </c>
      <c r="J12" s="537">
        <v>0.01</v>
      </c>
      <c r="K12" s="537">
        <v>0.01</v>
      </c>
      <c r="L12" s="537">
        <v>0.01</v>
      </c>
      <c r="M12" s="537">
        <v>0.01</v>
      </c>
      <c r="N12" s="537">
        <v>0.01</v>
      </c>
      <c r="O12" s="537">
        <v>0.01</v>
      </c>
      <c r="P12" s="537">
        <v>0.01</v>
      </c>
      <c r="Q12" s="537">
        <v>0.01</v>
      </c>
      <c r="R12" s="537">
        <v>0.01</v>
      </c>
      <c r="S12" s="537">
        <v>0.01</v>
      </c>
      <c r="T12" s="537">
        <v>0.01</v>
      </c>
      <c r="U12" s="537">
        <v>0.01</v>
      </c>
      <c r="V12" s="537">
        <v>0.01</v>
      </c>
      <c r="W12" s="537">
        <v>0.01</v>
      </c>
      <c r="X12" s="537">
        <v>0.01</v>
      </c>
      <c r="Y12" s="537">
        <v>0.01</v>
      </c>
      <c r="Z12" s="537">
        <v>0.01</v>
      </c>
      <c r="AA12" s="537">
        <v>0.01</v>
      </c>
      <c r="AB12" s="537">
        <v>0.01</v>
      </c>
      <c r="AC12" s="537">
        <v>0.01</v>
      </c>
      <c r="AD12" s="537">
        <v>0.01</v>
      </c>
      <c r="AE12" s="537">
        <v>0.01</v>
      </c>
      <c r="AF12" s="537">
        <v>0.01</v>
      </c>
      <c r="AG12" s="537">
        <v>0.01</v>
      </c>
      <c r="AH12" s="538">
        <f t="shared" ref="AH12:BM12" si="19">AG12</f>
        <v>0.01</v>
      </c>
      <c r="AI12" s="538">
        <f t="shared" si="19"/>
        <v>0.01</v>
      </c>
      <c r="AJ12" s="538">
        <f t="shared" si="19"/>
        <v>0.01</v>
      </c>
      <c r="AK12" s="538">
        <f t="shared" si="19"/>
        <v>0.01</v>
      </c>
      <c r="AL12" s="538">
        <f t="shared" si="19"/>
        <v>0.01</v>
      </c>
      <c r="AM12" s="538">
        <f t="shared" si="19"/>
        <v>0.01</v>
      </c>
      <c r="AN12" s="538">
        <f t="shared" si="19"/>
        <v>0.01</v>
      </c>
      <c r="AO12" s="538">
        <f t="shared" si="19"/>
        <v>0.01</v>
      </c>
      <c r="AP12" s="538">
        <f t="shared" si="19"/>
        <v>0.01</v>
      </c>
      <c r="AQ12" s="538">
        <f t="shared" si="19"/>
        <v>0.01</v>
      </c>
      <c r="AR12" s="538">
        <f t="shared" si="19"/>
        <v>0.01</v>
      </c>
      <c r="AS12" s="538">
        <f t="shared" si="19"/>
        <v>0.01</v>
      </c>
      <c r="AT12" s="538">
        <f t="shared" si="19"/>
        <v>0.01</v>
      </c>
      <c r="AU12" s="538">
        <f t="shared" si="19"/>
        <v>0.01</v>
      </c>
      <c r="AV12" s="538">
        <f t="shared" si="19"/>
        <v>0.01</v>
      </c>
      <c r="AW12" s="538">
        <f t="shared" si="19"/>
        <v>0.01</v>
      </c>
      <c r="AX12" s="538">
        <f t="shared" si="19"/>
        <v>0.01</v>
      </c>
      <c r="AY12" s="538">
        <f t="shared" si="19"/>
        <v>0.01</v>
      </c>
      <c r="AZ12" s="538">
        <f t="shared" si="19"/>
        <v>0.01</v>
      </c>
      <c r="BA12" s="538">
        <f t="shared" si="19"/>
        <v>0.01</v>
      </c>
      <c r="BB12" s="538">
        <f t="shared" si="19"/>
        <v>0.01</v>
      </c>
      <c r="BC12" s="538">
        <f t="shared" si="19"/>
        <v>0.01</v>
      </c>
      <c r="BD12" s="538">
        <f t="shared" si="19"/>
        <v>0.01</v>
      </c>
      <c r="BE12" s="538">
        <f t="shared" si="19"/>
        <v>0.01</v>
      </c>
      <c r="BF12" s="538">
        <f t="shared" si="19"/>
        <v>0.01</v>
      </c>
      <c r="BG12" s="538">
        <f t="shared" si="19"/>
        <v>0.01</v>
      </c>
      <c r="BH12" s="538">
        <f t="shared" si="19"/>
        <v>0.01</v>
      </c>
      <c r="BI12" s="538">
        <f t="shared" si="19"/>
        <v>0.01</v>
      </c>
      <c r="BJ12" s="538">
        <f t="shared" si="19"/>
        <v>0.01</v>
      </c>
      <c r="BK12" s="538">
        <f t="shared" si="19"/>
        <v>0.01</v>
      </c>
      <c r="BL12" s="538">
        <f t="shared" si="19"/>
        <v>0.01</v>
      </c>
      <c r="BM12" s="538">
        <f t="shared" si="19"/>
        <v>0.01</v>
      </c>
      <c r="BN12" s="538">
        <f t="shared" ref="BN12:CE12" si="20">BM12</f>
        <v>0.01</v>
      </c>
      <c r="BO12" s="538">
        <f t="shared" si="20"/>
        <v>0.01</v>
      </c>
      <c r="BP12" s="538">
        <f t="shared" si="20"/>
        <v>0.01</v>
      </c>
      <c r="BQ12" s="538">
        <f t="shared" si="20"/>
        <v>0.01</v>
      </c>
      <c r="BR12" s="538">
        <f t="shared" si="20"/>
        <v>0.01</v>
      </c>
      <c r="BS12" s="538">
        <f t="shared" si="20"/>
        <v>0.01</v>
      </c>
      <c r="BT12" s="538">
        <f t="shared" si="20"/>
        <v>0.01</v>
      </c>
      <c r="BU12" s="538">
        <f t="shared" si="20"/>
        <v>0.01</v>
      </c>
      <c r="BV12" s="538">
        <f t="shared" si="20"/>
        <v>0.01</v>
      </c>
      <c r="BW12" s="538">
        <f t="shared" si="20"/>
        <v>0.01</v>
      </c>
      <c r="BX12" s="538">
        <f t="shared" si="20"/>
        <v>0.01</v>
      </c>
      <c r="BY12" s="538">
        <f t="shared" si="20"/>
        <v>0.01</v>
      </c>
      <c r="BZ12" s="538">
        <f t="shared" si="20"/>
        <v>0.01</v>
      </c>
      <c r="CA12" s="538">
        <f t="shared" si="20"/>
        <v>0.01</v>
      </c>
      <c r="CB12" s="538">
        <f t="shared" si="20"/>
        <v>0.01</v>
      </c>
      <c r="CC12" s="538">
        <f t="shared" si="20"/>
        <v>0.01</v>
      </c>
      <c r="CD12" s="538">
        <f t="shared" si="20"/>
        <v>0.01</v>
      </c>
      <c r="CE12" s="538">
        <f t="shared" si="20"/>
        <v>0.01</v>
      </c>
      <c r="CG12" s="537">
        <v>0.01</v>
      </c>
      <c r="CH12" s="537">
        <v>0.01</v>
      </c>
      <c r="CI12" s="537">
        <v>0.01</v>
      </c>
      <c r="CJ12" s="537">
        <v>0.01</v>
      </c>
      <c r="CK12" s="537">
        <v>0.01</v>
      </c>
      <c r="CL12" s="537">
        <v>0.01</v>
      </c>
      <c r="CM12" s="537">
        <v>0.01</v>
      </c>
      <c r="CN12" s="537">
        <v>0.01</v>
      </c>
      <c r="CO12" s="537">
        <v>0.01</v>
      </c>
      <c r="CP12" s="537">
        <v>0.01</v>
      </c>
      <c r="CQ12" s="537">
        <v>0.01</v>
      </c>
      <c r="CR12" s="537">
        <v>0.01</v>
      </c>
      <c r="CS12" s="537">
        <v>0.01</v>
      </c>
      <c r="CT12" s="537">
        <v>0.01</v>
      </c>
      <c r="CU12" s="537">
        <v>0.01</v>
      </c>
      <c r="CV12" s="537">
        <v>0.01</v>
      </c>
      <c r="CW12" s="537">
        <v>0.01</v>
      </c>
      <c r="CX12" s="537">
        <v>0.01</v>
      </c>
      <c r="CY12" s="537">
        <v>0.01</v>
      </c>
      <c r="CZ12" s="537">
        <v>0.01</v>
      </c>
      <c r="DA12" s="537">
        <v>0.01</v>
      </c>
      <c r="DB12" s="537">
        <v>0.01</v>
      </c>
      <c r="DC12" s="537">
        <v>0.01</v>
      </c>
      <c r="DD12" s="537">
        <v>0.01</v>
      </c>
      <c r="DE12" s="537">
        <v>0.01</v>
      </c>
      <c r="DF12" s="537">
        <v>0.01</v>
      </c>
      <c r="DG12" s="537">
        <v>0.01</v>
      </c>
      <c r="DH12" s="537">
        <v>0.01</v>
      </c>
    </row>
    <row r="13" spans="2:112">
      <c r="B13" t="s">
        <v>898</v>
      </c>
      <c r="C13" t="s">
        <v>713</v>
      </c>
      <c r="D13" t="s">
        <v>899</v>
      </c>
      <c r="E13" t="s">
        <v>895</v>
      </c>
      <c r="F13" s="537">
        <v>0.05</v>
      </c>
      <c r="G13" s="537">
        <v>0.05</v>
      </c>
      <c r="H13" s="537">
        <v>0.05</v>
      </c>
      <c r="I13" s="537">
        <v>0.05</v>
      </c>
      <c r="J13" s="537">
        <v>0.05</v>
      </c>
      <c r="K13" s="537">
        <v>0.05</v>
      </c>
      <c r="L13" s="537">
        <v>0.05</v>
      </c>
      <c r="M13" s="537">
        <v>0.05</v>
      </c>
      <c r="N13" s="537">
        <v>0.05</v>
      </c>
      <c r="O13" s="537">
        <v>0.05</v>
      </c>
      <c r="P13" s="537">
        <v>0.05</v>
      </c>
      <c r="Q13" s="537">
        <v>0.05</v>
      </c>
      <c r="R13" s="537">
        <v>0.05</v>
      </c>
      <c r="S13" s="537">
        <v>0.05</v>
      </c>
      <c r="T13" s="537">
        <v>0.05</v>
      </c>
      <c r="U13" s="537">
        <v>0.05</v>
      </c>
      <c r="V13" s="537">
        <v>0.05</v>
      </c>
      <c r="W13" s="537">
        <v>0.05</v>
      </c>
      <c r="X13" s="537">
        <v>0.05</v>
      </c>
      <c r="Y13" s="537">
        <v>0.05</v>
      </c>
      <c r="Z13" s="537">
        <v>0.05</v>
      </c>
      <c r="AA13" s="537">
        <v>0.05</v>
      </c>
      <c r="AB13" s="537">
        <v>0.05</v>
      </c>
      <c r="AC13" s="537">
        <v>0.05</v>
      </c>
      <c r="AD13" s="537">
        <v>0.05</v>
      </c>
      <c r="AE13" s="537">
        <v>0.05</v>
      </c>
      <c r="AF13" s="537">
        <v>0.05</v>
      </c>
      <c r="AG13" s="537">
        <v>0.05</v>
      </c>
      <c r="AH13" s="538">
        <f t="shared" ref="AH13:BM13" si="21">AG13</f>
        <v>0.05</v>
      </c>
      <c r="AI13" s="538">
        <f t="shared" si="21"/>
        <v>0.05</v>
      </c>
      <c r="AJ13" s="538">
        <f t="shared" si="21"/>
        <v>0.05</v>
      </c>
      <c r="AK13" s="538">
        <f t="shared" si="21"/>
        <v>0.05</v>
      </c>
      <c r="AL13" s="538">
        <f t="shared" si="21"/>
        <v>0.05</v>
      </c>
      <c r="AM13" s="538">
        <f t="shared" si="21"/>
        <v>0.05</v>
      </c>
      <c r="AN13" s="538">
        <f t="shared" si="21"/>
        <v>0.05</v>
      </c>
      <c r="AO13" s="538">
        <f t="shared" si="21"/>
        <v>0.05</v>
      </c>
      <c r="AP13" s="538">
        <f t="shared" si="21"/>
        <v>0.05</v>
      </c>
      <c r="AQ13" s="538">
        <f t="shared" si="21"/>
        <v>0.05</v>
      </c>
      <c r="AR13" s="538">
        <f t="shared" si="21"/>
        <v>0.05</v>
      </c>
      <c r="AS13" s="538">
        <f t="shared" si="21"/>
        <v>0.05</v>
      </c>
      <c r="AT13" s="538">
        <f t="shared" si="21"/>
        <v>0.05</v>
      </c>
      <c r="AU13" s="538">
        <f t="shared" si="21"/>
        <v>0.05</v>
      </c>
      <c r="AV13" s="538">
        <f t="shared" si="21"/>
        <v>0.05</v>
      </c>
      <c r="AW13" s="538">
        <f t="shared" si="21"/>
        <v>0.05</v>
      </c>
      <c r="AX13" s="538">
        <f t="shared" si="21"/>
        <v>0.05</v>
      </c>
      <c r="AY13" s="538">
        <f t="shared" si="21"/>
        <v>0.05</v>
      </c>
      <c r="AZ13" s="538">
        <f t="shared" si="21"/>
        <v>0.05</v>
      </c>
      <c r="BA13" s="538">
        <f t="shared" si="21"/>
        <v>0.05</v>
      </c>
      <c r="BB13" s="538">
        <f t="shared" si="21"/>
        <v>0.05</v>
      </c>
      <c r="BC13" s="538">
        <f t="shared" si="21"/>
        <v>0.05</v>
      </c>
      <c r="BD13" s="538">
        <f t="shared" si="21"/>
        <v>0.05</v>
      </c>
      <c r="BE13" s="538">
        <f t="shared" si="21"/>
        <v>0.05</v>
      </c>
      <c r="BF13" s="538">
        <f t="shared" si="21"/>
        <v>0.05</v>
      </c>
      <c r="BG13" s="538">
        <f t="shared" si="21"/>
        <v>0.05</v>
      </c>
      <c r="BH13" s="538">
        <f t="shared" si="21"/>
        <v>0.05</v>
      </c>
      <c r="BI13" s="538">
        <f t="shared" si="21"/>
        <v>0.05</v>
      </c>
      <c r="BJ13" s="538">
        <f t="shared" si="21"/>
        <v>0.05</v>
      </c>
      <c r="BK13" s="538">
        <f t="shared" si="21"/>
        <v>0.05</v>
      </c>
      <c r="BL13" s="538">
        <f t="shared" si="21"/>
        <v>0.05</v>
      </c>
      <c r="BM13" s="538">
        <f t="shared" si="21"/>
        <v>0.05</v>
      </c>
      <c r="BN13" s="538">
        <f t="shared" ref="BN13:CE13" si="22">BM13</f>
        <v>0.05</v>
      </c>
      <c r="BO13" s="538">
        <f t="shared" si="22"/>
        <v>0.05</v>
      </c>
      <c r="BP13" s="538">
        <f t="shared" si="22"/>
        <v>0.05</v>
      </c>
      <c r="BQ13" s="538">
        <f t="shared" si="22"/>
        <v>0.05</v>
      </c>
      <c r="BR13" s="538">
        <f t="shared" si="22"/>
        <v>0.05</v>
      </c>
      <c r="BS13" s="538">
        <f t="shared" si="22"/>
        <v>0.05</v>
      </c>
      <c r="BT13" s="538">
        <f t="shared" si="22"/>
        <v>0.05</v>
      </c>
      <c r="BU13" s="538">
        <f t="shared" si="22"/>
        <v>0.05</v>
      </c>
      <c r="BV13" s="538">
        <f t="shared" si="22"/>
        <v>0.05</v>
      </c>
      <c r="BW13" s="538">
        <f t="shared" si="22"/>
        <v>0.05</v>
      </c>
      <c r="BX13" s="538">
        <f t="shared" si="22"/>
        <v>0.05</v>
      </c>
      <c r="BY13" s="538">
        <f t="shared" si="22"/>
        <v>0.05</v>
      </c>
      <c r="BZ13" s="538">
        <f t="shared" si="22"/>
        <v>0.05</v>
      </c>
      <c r="CA13" s="538">
        <f t="shared" si="22"/>
        <v>0.05</v>
      </c>
      <c r="CB13" s="538">
        <f t="shared" si="22"/>
        <v>0.05</v>
      </c>
      <c r="CC13" s="538">
        <f t="shared" si="22"/>
        <v>0.05</v>
      </c>
      <c r="CD13" s="538">
        <f t="shared" si="22"/>
        <v>0.05</v>
      </c>
      <c r="CE13" s="538">
        <f t="shared" si="22"/>
        <v>0.05</v>
      </c>
      <c r="CG13" s="537">
        <v>0.05</v>
      </c>
      <c r="CH13" s="537">
        <v>0.05</v>
      </c>
      <c r="CI13" s="537">
        <v>0.05</v>
      </c>
      <c r="CJ13" s="537">
        <v>0.05</v>
      </c>
      <c r="CK13" s="537">
        <v>0.05</v>
      </c>
      <c r="CL13" s="537">
        <v>0.05</v>
      </c>
      <c r="CM13" s="537">
        <v>0.05</v>
      </c>
      <c r="CN13" s="537">
        <v>0.05</v>
      </c>
      <c r="CO13" s="537">
        <v>0.05</v>
      </c>
      <c r="CP13" s="537">
        <v>0.05</v>
      </c>
      <c r="CQ13" s="537">
        <v>0.05</v>
      </c>
      <c r="CR13" s="537">
        <v>0.05</v>
      </c>
      <c r="CS13" s="537">
        <v>0.05</v>
      </c>
      <c r="CT13" s="537">
        <v>0.05</v>
      </c>
      <c r="CU13" s="537">
        <v>0.05</v>
      </c>
      <c r="CV13" s="537">
        <v>0.05</v>
      </c>
      <c r="CW13" s="537">
        <v>0.05</v>
      </c>
      <c r="CX13" s="537">
        <v>0.05</v>
      </c>
      <c r="CY13" s="537">
        <v>0.05</v>
      </c>
      <c r="CZ13" s="537">
        <v>0.05</v>
      </c>
      <c r="DA13" s="537">
        <v>0.05</v>
      </c>
      <c r="DB13" s="537">
        <v>0.05</v>
      </c>
      <c r="DC13" s="537">
        <v>0.05</v>
      </c>
      <c r="DD13" s="537">
        <v>0.05</v>
      </c>
      <c r="DE13" s="537">
        <v>0.05</v>
      </c>
      <c r="DF13" s="537">
        <v>0.05</v>
      </c>
      <c r="DG13" s="537">
        <v>0.05</v>
      </c>
      <c r="DH13" s="537">
        <v>0.05</v>
      </c>
    </row>
    <row r="14" spans="2:112">
      <c r="B14" t="s">
        <v>900</v>
      </c>
      <c r="C14" t="s">
        <v>713</v>
      </c>
      <c r="D14" t="s">
        <v>901</v>
      </c>
      <c r="E14" t="s">
        <v>895</v>
      </c>
      <c r="F14" s="537">
        <v>0.05</v>
      </c>
      <c r="G14" s="537">
        <v>0.05</v>
      </c>
      <c r="H14" s="537">
        <v>0.05</v>
      </c>
      <c r="I14" s="537">
        <v>0.05</v>
      </c>
      <c r="J14" s="537">
        <v>0.05</v>
      </c>
      <c r="K14" s="537">
        <v>0.05</v>
      </c>
      <c r="L14" s="537">
        <v>0.05</v>
      </c>
      <c r="M14" s="537">
        <v>0.05</v>
      </c>
      <c r="N14" s="537">
        <v>0.05</v>
      </c>
      <c r="O14" s="537">
        <v>0.05</v>
      </c>
      <c r="P14" s="537">
        <v>0.05</v>
      </c>
      <c r="Q14" s="537">
        <v>0.05</v>
      </c>
      <c r="R14" s="537">
        <v>0.05</v>
      </c>
      <c r="S14" s="537">
        <v>0.05</v>
      </c>
      <c r="T14" s="537">
        <v>0.05</v>
      </c>
      <c r="U14" s="537">
        <v>0.05</v>
      </c>
      <c r="V14" s="537">
        <v>0.05</v>
      </c>
      <c r="W14" s="537">
        <v>0.05</v>
      </c>
      <c r="X14" s="537">
        <v>0.05</v>
      </c>
      <c r="Y14" s="537">
        <v>0.05</v>
      </c>
      <c r="Z14" s="537">
        <v>0.05</v>
      </c>
      <c r="AA14" s="537">
        <v>0.05</v>
      </c>
      <c r="AB14" s="537">
        <v>0.05</v>
      </c>
      <c r="AC14" s="537">
        <v>0.05</v>
      </c>
      <c r="AD14" s="537">
        <v>0.05</v>
      </c>
      <c r="AE14" s="537">
        <v>0.05</v>
      </c>
      <c r="AF14" s="537">
        <v>0.05</v>
      </c>
      <c r="AG14" s="537">
        <v>0.05</v>
      </c>
      <c r="AH14" s="538">
        <f t="shared" ref="AH14:AW14" si="23">AG14</f>
        <v>0.05</v>
      </c>
      <c r="AI14" s="538">
        <f t="shared" si="23"/>
        <v>0.05</v>
      </c>
      <c r="AJ14" s="538">
        <f t="shared" si="23"/>
        <v>0.05</v>
      </c>
      <c r="AK14" s="538">
        <f t="shared" si="23"/>
        <v>0.05</v>
      </c>
      <c r="AL14" s="538">
        <f t="shared" si="23"/>
        <v>0.05</v>
      </c>
      <c r="AM14" s="538">
        <f t="shared" si="23"/>
        <v>0.05</v>
      </c>
      <c r="AN14" s="538">
        <f t="shared" si="23"/>
        <v>0.05</v>
      </c>
      <c r="AO14" s="538">
        <f t="shared" si="23"/>
        <v>0.05</v>
      </c>
      <c r="AP14" s="538">
        <f t="shared" si="23"/>
        <v>0.05</v>
      </c>
      <c r="AQ14" s="538">
        <f t="shared" si="23"/>
        <v>0.05</v>
      </c>
      <c r="AR14" s="538">
        <f t="shared" si="23"/>
        <v>0.05</v>
      </c>
      <c r="AS14" s="538">
        <f t="shared" si="23"/>
        <v>0.05</v>
      </c>
      <c r="AT14" s="538">
        <f t="shared" si="23"/>
        <v>0.05</v>
      </c>
      <c r="AU14" s="538">
        <f t="shared" si="23"/>
        <v>0.05</v>
      </c>
      <c r="AV14" s="538">
        <f t="shared" si="23"/>
        <v>0.05</v>
      </c>
      <c r="AW14" s="538">
        <f t="shared" si="23"/>
        <v>0.05</v>
      </c>
      <c r="AX14" s="538">
        <f t="shared" ref="AX14:CE14" si="24">AW14</f>
        <v>0.05</v>
      </c>
      <c r="AY14" s="538">
        <f t="shared" si="24"/>
        <v>0.05</v>
      </c>
      <c r="AZ14" s="538">
        <f t="shared" si="24"/>
        <v>0.05</v>
      </c>
      <c r="BA14" s="538">
        <f t="shared" si="24"/>
        <v>0.05</v>
      </c>
      <c r="BB14" s="538">
        <f t="shared" si="24"/>
        <v>0.05</v>
      </c>
      <c r="BC14" s="538">
        <f t="shared" si="24"/>
        <v>0.05</v>
      </c>
      <c r="BD14" s="538">
        <f t="shared" si="24"/>
        <v>0.05</v>
      </c>
      <c r="BE14" s="538">
        <f t="shared" si="24"/>
        <v>0.05</v>
      </c>
      <c r="BF14" s="538">
        <f t="shared" si="24"/>
        <v>0.05</v>
      </c>
      <c r="BG14" s="538">
        <f t="shared" si="24"/>
        <v>0.05</v>
      </c>
      <c r="BH14" s="538">
        <f t="shared" si="24"/>
        <v>0.05</v>
      </c>
      <c r="BI14" s="538">
        <f t="shared" si="24"/>
        <v>0.05</v>
      </c>
      <c r="BJ14" s="538">
        <f t="shared" si="24"/>
        <v>0.05</v>
      </c>
      <c r="BK14" s="538">
        <f t="shared" si="24"/>
        <v>0.05</v>
      </c>
      <c r="BL14" s="538">
        <f t="shared" si="24"/>
        <v>0.05</v>
      </c>
      <c r="BM14" s="538">
        <f t="shared" si="24"/>
        <v>0.05</v>
      </c>
      <c r="BN14" s="538">
        <f t="shared" si="24"/>
        <v>0.05</v>
      </c>
      <c r="BO14" s="538">
        <f t="shared" si="24"/>
        <v>0.05</v>
      </c>
      <c r="BP14" s="538">
        <f t="shared" si="24"/>
        <v>0.05</v>
      </c>
      <c r="BQ14" s="538">
        <f t="shared" si="24"/>
        <v>0.05</v>
      </c>
      <c r="BR14" s="538">
        <f t="shared" si="24"/>
        <v>0.05</v>
      </c>
      <c r="BS14" s="538">
        <f t="shared" si="24"/>
        <v>0.05</v>
      </c>
      <c r="BT14" s="538">
        <f t="shared" si="24"/>
        <v>0.05</v>
      </c>
      <c r="BU14" s="538">
        <f t="shared" si="24"/>
        <v>0.05</v>
      </c>
      <c r="BV14" s="538">
        <f t="shared" si="24"/>
        <v>0.05</v>
      </c>
      <c r="BW14" s="538">
        <f t="shared" si="24"/>
        <v>0.05</v>
      </c>
      <c r="BX14" s="538">
        <f t="shared" si="24"/>
        <v>0.05</v>
      </c>
      <c r="BY14" s="538">
        <f t="shared" si="24"/>
        <v>0.05</v>
      </c>
      <c r="BZ14" s="538">
        <f t="shared" si="24"/>
        <v>0.05</v>
      </c>
      <c r="CA14" s="538">
        <f t="shared" si="24"/>
        <v>0.05</v>
      </c>
      <c r="CB14" s="538">
        <f t="shared" si="24"/>
        <v>0.05</v>
      </c>
      <c r="CC14" s="538">
        <f t="shared" si="24"/>
        <v>0.05</v>
      </c>
      <c r="CD14" s="538">
        <f t="shared" si="24"/>
        <v>0.05</v>
      </c>
      <c r="CE14" s="538">
        <f t="shared" si="24"/>
        <v>0.05</v>
      </c>
      <c r="CG14" s="537">
        <v>0.05</v>
      </c>
      <c r="CH14" s="537">
        <v>0.05</v>
      </c>
      <c r="CI14" s="537">
        <v>0.05</v>
      </c>
      <c r="CJ14" s="537">
        <v>0.05</v>
      </c>
      <c r="CK14" s="537">
        <v>0.05</v>
      </c>
      <c r="CL14" s="537">
        <v>0.05</v>
      </c>
      <c r="CM14" s="537">
        <v>0.05</v>
      </c>
      <c r="CN14" s="537">
        <v>0.05</v>
      </c>
      <c r="CO14" s="537">
        <v>0.05</v>
      </c>
      <c r="CP14" s="537">
        <v>0.05</v>
      </c>
      <c r="CQ14" s="537">
        <v>0.05</v>
      </c>
      <c r="CR14" s="537">
        <v>0.05</v>
      </c>
      <c r="CS14" s="537">
        <v>0.05</v>
      </c>
      <c r="CT14" s="537">
        <v>0.05</v>
      </c>
      <c r="CU14" s="537">
        <v>0.05</v>
      </c>
      <c r="CV14" s="537">
        <v>0.05</v>
      </c>
      <c r="CW14" s="537">
        <v>0.05</v>
      </c>
      <c r="CX14" s="537">
        <v>0.05</v>
      </c>
      <c r="CY14" s="537">
        <v>0.05</v>
      </c>
      <c r="CZ14" s="537">
        <v>0.05</v>
      </c>
      <c r="DA14" s="537">
        <v>0.05</v>
      </c>
      <c r="DB14" s="537">
        <v>0.05</v>
      </c>
      <c r="DC14" s="537">
        <v>0.05</v>
      </c>
      <c r="DD14" s="537">
        <v>0.05</v>
      </c>
      <c r="DE14" s="537">
        <v>0.05</v>
      </c>
      <c r="DF14" s="537">
        <v>0.05</v>
      </c>
      <c r="DG14" s="537">
        <v>0.05</v>
      </c>
      <c r="DH14" s="537">
        <v>0.05</v>
      </c>
    </row>
    <row r="15" spans="2:112">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row>
    <row r="16" spans="2:112">
      <c r="B16" t="s">
        <v>902</v>
      </c>
      <c r="C16" t="s">
        <v>713</v>
      </c>
      <c r="D16" t="s">
        <v>903</v>
      </c>
      <c r="E16" t="s">
        <v>557</v>
      </c>
      <c r="F16" s="536">
        <v>53550</v>
      </c>
      <c r="G16" s="536">
        <v>53550</v>
      </c>
      <c r="H16" s="536">
        <v>53550</v>
      </c>
      <c r="I16" s="536">
        <v>53550</v>
      </c>
      <c r="J16" s="536">
        <v>53550</v>
      </c>
      <c r="K16" s="536">
        <v>53550</v>
      </c>
      <c r="L16" s="536">
        <v>53550</v>
      </c>
      <c r="M16" s="536">
        <v>53550</v>
      </c>
      <c r="N16" s="536">
        <v>53550</v>
      </c>
      <c r="O16" s="536">
        <v>53550</v>
      </c>
      <c r="P16" s="536">
        <v>53550</v>
      </c>
      <c r="Q16" s="536">
        <v>53550</v>
      </c>
      <c r="R16" s="536">
        <v>53550</v>
      </c>
      <c r="S16" s="536">
        <v>53550</v>
      </c>
      <c r="T16" s="536">
        <v>53550</v>
      </c>
      <c r="U16" s="536">
        <v>53550</v>
      </c>
      <c r="V16" s="536">
        <v>53550</v>
      </c>
      <c r="W16" s="536">
        <v>53550</v>
      </c>
      <c r="X16" s="536">
        <v>53550</v>
      </c>
      <c r="Y16" s="536">
        <v>53550</v>
      </c>
      <c r="Z16" s="536">
        <v>53550</v>
      </c>
      <c r="AA16" s="536">
        <v>53550</v>
      </c>
      <c r="AB16" s="536">
        <v>53550</v>
      </c>
      <c r="AC16" s="536">
        <v>53550</v>
      </c>
      <c r="AD16" s="536">
        <v>53550</v>
      </c>
      <c r="AE16" s="536">
        <v>53550</v>
      </c>
      <c r="AF16" s="536">
        <v>53550</v>
      </c>
      <c r="AG16" s="536">
        <v>53550</v>
      </c>
      <c r="AH16" s="540">
        <f t="shared" ref="AH16:BM16" si="25">AG16</f>
        <v>53550</v>
      </c>
      <c r="AI16" s="540">
        <f t="shared" si="25"/>
        <v>53550</v>
      </c>
      <c r="AJ16" s="540">
        <f t="shared" si="25"/>
        <v>53550</v>
      </c>
      <c r="AK16" s="540">
        <f t="shared" si="25"/>
        <v>53550</v>
      </c>
      <c r="AL16" s="540">
        <f t="shared" si="25"/>
        <v>53550</v>
      </c>
      <c r="AM16" s="540">
        <f t="shared" si="25"/>
        <v>53550</v>
      </c>
      <c r="AN16" s="540">
        <f t="shared" si="25"/>
        <v>53550</v>
      </c>
      <c r="AO16" s="540">
        <f t="shared" si="25"/>
        <v>53550</v>
      </c>
      <c r="AP16" s="540">
        <f t="shared" si="25"/>
        <v>53550</v>
      </c>
      <c r="AQ16" s="540">
        <f t="shared" si="25"/>
        <v>53550</v>
      </c>
      <c r="AR16" s="540">
        <f t="shared" si="25"/>
        <v>53550</v>
      </c>
      <c r="AS16" s="540">
        <f t="shared" si="25"/>
        <v>53550</v>
      </c>
      <c r="AT16" s="540">
        <f t="shared" si="25"/>
        <v>53550</v>
      </c>
      <c r="AU16" s="540">
        <f t="shared" si="25"/>
        <v>53550</v>
      </c>
      <c r="AV16" s="540">
        <f t="shared" si="25"/>
        <v>53550</v>
      </c>
      <c r="AW16" s="540">
        <f t="shared" si="25"/>
        <v>53550</v>
      </c>
      <c r="AX16" s="540">
        <f t="shared" si="25"/>
        <v>53550</v>
      </c>
      <c r="AY16" s="540">
        <f t="shared" si="25"/>
        <v>53550</v>
      </c>
      <c r="AZ16" s="540">
        <f t="shared" si="25"/>
        <v>53550</v>
      </c>
      <c r="BA16" s="540">
        <f t="shared" si="25"/>
        <v>53550</v>
      </c>
      <c r="BB16" s="540">
        <f t="shared" si="25"/>
        <v>53550</v>
      </c>
      <c r="BC16" s="540">
        <f t="shared" si="25"/>
        <v>53550</v>
      </c>
      <c r="BD16" s="540">
        <f t="shared" si="25"/>
        <v>53550</v>
      </c>
      <c r="BE16" s="540">
        <f t="shared" si="25"/>
        <v>53550</v>
      </c>
      <c r="BF16" s="540">
        <f t="shared" si="25"/>
        <v>53550</v>
      </c>
      <c r="BG16" s="540">
        <f t="shared" si="25"/>
        <v>53550</v>
      </c>
      <c r="BH16" s="540">
        <f t="shared" si="25"/>
        <v>53550</v>
      </c>
      <c r="BI16" s="540">
        <f t="shared" si="25"/>
        <v>53550</v>
      </c>
      <c r="BJ16" s="540">
        <f t="shared" si="25"/>
        <v>53550</v>
      </c>
      <c r="BK16" s="540">
        <f t="shared" si="25"/>
        <v>53550</v>
      </c>
      <c r="BL16" s="540">
        <f t="shared" si="25"/>
        <v>53550</v>
      </c>
      <c r="BM16" s="540">
        <f t="shared" si="25"/>
        <v>53550</v>
      </c>
      <c r="BN16" s="540">
        <f t="shared" ref="BN16:CE16" si="26">BM16</f>
        <v>53550</v>
      </c>
      <c r="BO16" s="540">
        <f t="shared" si="26"/>
        <v>53550</v>
      </c>
      <c r="BP16" s="540">
        <f t="shared" si="26"/>
        <v>53550</v>
      </c>
      <c r="BQ16" s="540">
        <f t="shared" si="26"/>
        <v>53550</v>
      </c>
      <c r="BR16" s="540">
        <f t="shared" si="26"/>
        <v>53550</v>
      </c>
      <c r="BS16" s="540">
        <f t="shared" si="26"/>
        <v>53550</v>
      </c>
      <c r="BT16" s="540">
        <f t="shared" si="26"/>
        <v>53550</v>
      </c>
      <c r="BU16" s="540">
        <f t="shared" si="26"/>
        <v>53550</v>
      </c>
      <c r="BV16" s="540">
        <f t="shared" si="26"/>
        <v>53550</v>
      </c>
      <c r="BW16" s="540">
        <f t="shared" si="26"/>
        <v>53550</v>
      </c>
      <c r="BX16" s="540">
        <f t="shared" si="26"/>
        <v>53550</v>
      </c>
      <c r="BY16" s="540">
        <f t="shared" si="26"/>
        <v>53550</v>
      </c>
      <c r="BZ16" s="540">
        <f t="shared" si="26"/>
        <v>53550</v>
      </c>
      <c r="CA16" s="540">
        <f t="shared" si="26"/>
        <v>53550</v>
      </c>
      <c r="CB16" s="540">
        <f t="shared" si="26"/>
        <v>53550</v>
      </c>
      <c r="CC16" s="540">
        <f t="shared" si="26"/>
        <v>53550</v>
      </c>
      <c r="CD16" s="540">
        <f t="shared" si="26"/>
        <v>53550</v>
      </c>
      <c r="CE16" s="540">
        <f t="shared" si="26"/>
        <v>53550</v>
      </c>
      <c r="CG16" s="536">
        <v>53550</v>
      </c>
      <c r="CH16" s="536">
        <v>53550</v>
      </c>
      <c r="CI16" s="536">
        <v>53550</v>
      </c>
      <c r="CJ16" s="536">
        <v>53550</v>
      </c>
      <c r="CK16" s="536">
        <v>53550</v>
      </c>
      <c r="CL16" s="536">
        <v>53550</v>
      </c>
      <c r="CM16" s="536">
        <v>53550</v>
      </c>
      <c r="CN16" s="536">
        <v>53550</v>
      </c>
      <c r="CO16" s="536">
        <v>53550</v>
      </c>
      <c r="CP16" s="536">
        <v>53550</v>
      </c>
      <c r="CQ16" s="536">
        <v>53550</v>
      </c>
      <c r="CR16" s="536">
        <v>53550</v>
      </c>
      <c r="CS16" s="536">
        <v>53550</v>
      </c>
      <c r="CT16" s="536">
        <v>53550</v>
      </c>
      <c r="CU16" s="536">
        <v>53550</v>
      </c>
      <c r="CV16" s="536">
        <v>53550</v>
      </c>
      <c r="CW16" s="536">
        <v>53550</v>
      </c>
      <c r="CX16" s="536">
        <v>53550</v>
      </c>
      <c r="CY16" s="536">
        <v>53550</v>
      </c>
      <c r="CZ16" s="536">
        <v>53550</v>
      </c>
      <c r="DA16" s="536">
        <v>53550</v>
      </c>
      <c r="DB16" s="536">
        <v>53550</v>
      </c>
      <c r="DC16" s="536">
        <v>53550</v>
      </c>
      <c r="DD16" s="536">
        <v>53550</v>
      </c>
      <c r="DE16" s="536">
        <v>53550</v>
      </c>
      <c r="DF16" s="536">
        <v>53550</v>
      </c>
      <c r="DG16" s="536">
        <v>53550</v>
      </c>
      <c r="DH16" s="536">
        <v>53550</v>
      </c>
    </row>
    <row r="17" spans="2:112">
      <c r="B17" t="s">
        <v>904</v>
      </c>
      <c r="C17" t="s">
        <v>713</v>
      </c>
      <c r="D17" t="s">
        <v>905</v>
      </c>
      <c r="E17" t="s">
        <v>557</v>
      </c>
      <c r="F17" s="536">
        <v>22935.272727272728</v>
      </c>
      <c r="G17" s="536">
        <v>22935.272727272728</v>
      </c>
      <c r="H17" s="536">
        <v>22935.272727272728</v>
      </c>
      <c r="I17" s="536">
        <v>22935.272727272728</v>
      </c>
      <c r="J17" s="536">
        <v>22935.272727272728</v>
      </c>
      <c r="K17" s="536">
        <v>22935.272727272728</v>
      </c>
      <c r="L17" s="536">
        <v>22935.272727272728</v>
      </c>
      <c r="M17" s="536">
        <v>22935.272727272728</v>
      </c>
      <c r="N17" s="536">
        <v>22935.272727272728</v>
      </c>
      <c r="O17" s="536">
        <v>22935.272727272728</v>
      </c>
      <c r="P17" s="536">
        <v>22935.272727272728</v>
      </c>
      <c r="Q17" s="536">
        <v>22935.272727272728</v>
      </c>
      <c r="R17" s="536">
        <v>22935.272727272728</v>
      </c>
      <c r="S17" s="536">
        <v>22935.272727272728</v>
      </c>
      <c r="T17" s="536">
        <v>22935.272727272728</v>
      </c>
      <c r="U17" s="536">
        <v>22935.272727272728</v>
      </c>
      <c r="V17" s="536">
        <v>22935.272727272728</v>
      </c>
      <c r="W17" s="536">
        <v>22935.272727272728</v>
      </c>
      <c r="X17" s="536">
        <v>22935.272727272728</v>
      </c>
      <c r="Y17" s="536">
        <v>22935.272727272728</v>
      </c>
      <c r="Z17" s="536">
        <v>22935.272727272728</v>
      </c>
      <c r="AA17" s="536">
        <v>22935.272727272728</v>
      </c>
      <c r="AB17" s="536">
        <v>22935.272727272728</v>
      </c>
      <c r="AC17" s="536">
        <v>22935.272727272728</v>
      </c>
      <c r="AD17" s="536">
        <v>22935.272727272728</v>
      </c>
      <c r="AE17" s="536">
        <v>22935.272727272728</v>
      </c>
      <c r="AF17" s="536">
        <v>22935.272727272728</v>
      </c>
      <c r="AG17" s="536">
        <v>22935.272727272728</v>
      </c>
      <c r="AH17" s="540">
        <f t="shared" ref="AH17:BM17" si="27">AG17</f>
        <v>22935.272727272728</v>
      </c>
      <c r="AI17" s="540">
        <f t="shared" si="27"/>
        <v>22935.272727272728</v>
      </c>
      <c r="AJ17" s="540">
        <f t="shared" si="27"/>
        <v>22935.272727272728</v>
      </c>
      <c r="AK17" s="540">
        <f t="shared" si="27"/>
        <v>22935.272727272728</v>
      </c>
      <c r="AL17" s="540">
        <f t="shared" si="27"/>
        <v>22935.272727272728</v>
      </c>
      <c r="AM17" s="540">
        <f t="shared" si="27"/>
        <v>22935.272727272728</v>
      </c>
      <c r="AN17" s="540">
        <f t="shared" si="27"/>
        <v>22935.272727272728</v>
      </c>
      <c r="AO17" s="540">
        <f t="shared" si="27"/>
        <v>22935.272727272728</v>
      </c>
      <c r="AP17" s="540">
        <f t="shared" si="27"/>
        <v>22935.272727272728</v>
      </c>
      <c r="AQ17" s="540">
        <f t="shared" si="27"/>
        <v>22935.272727272728</v>
      </c>
      <c r="AR17" s="540">
        <f t="shared" si="27"/>
        <v>22935.272727272728</v>
      </c>
      <c r="AS17" s="540">
        <f t="shared" si="27"/>
        <v>22935.272727272728</v>
      </c>
      <c r="AT17" s="540">
        <f t="shared" si="27"/>
        <v>22935.272727272728</v>
      </c>
      <c r="AU17" s="540">
        <f t="shared" si="27"/>
        <v>22935.272727272728</v>
      </c>
      <c r="AV17" s="540">
        <f t="shared" si="27"/>
        <v>22935.272727272728</v>
      </c>
      <c r="AW17" s="540">
        <f t="shared" si="27"/>
        <v>22935.272727272728</v>
      </c>
      <c r="AX17" s="540">
        <f t="shared" si="27"/>
        <v>22935.272727272728</v>
      </c>
      <c r="AY17" s="540">
        <f t="shared" si="27"/>
        <v>22935.272727272728</v>
      </c>
      <c r="AZ17" s="540">
        <f t="shared" si="27"/>
        <v>22935.272727272728</v>
      </c>
      <c r="BA17" s="540">
        <f t="shared" si="27"/>
        <v>22935.272727272728</v>
      </c>
      <c r="BB17" s="540">
        <f t="shared" si="27"/>
        <v>22935.272727272728</v>
      </c>
      <c r="BC17" s="540">
        <f t="shared" si="27"/>
        <v>22935.272727272728</v>
      </c>
      <c r="BD17" s="540">
        <f t="shared" si="27"/>
        <v>22935.272727272728</v>
      </c>
      <c r="BE17" s="540">
        <f t="shared" si="27"/>
        <v>22935.272727272728</v>
      </c>
      <c r="BF17" s="540">
        <f t="shared" si="27"/>
        <v>22935.272727272728</v>
      </c>
      <c r="BG17" s="540">
        <f t="shared" si="27"/>
        <v>22935.272727272728</v>
      </c>
      <c r="BH17" s="540">
        <f t="shared" si="27"/>
        <v>22935.272727272728</v>
      </c>
      <c r="BI17" s="540">
        <f t="shared" si="27"/>
        <v>22935.272727272728</v>
      </c>
      <c r="BJ17" s="540">
        <f t="shared" si="27"/>
        <v>22935.272727272728</v>
      </c>
      <c r="BK17" s="540">
        <f t="shared" si="27"/>
        <v>22935.272727272728</v>
      </c>
      <c r="BL17" s="540">
        <f t="shared" si="27"/>
        <v>22935.272727272728</v>
      </c>
      <c r="BM17" s="540">
        <f t="shared" si="27"/>
        <v>22935.272727272728</v>
      </c>
      <c r="BN17" s="540">
        <f t="shared" ref="BN17:CE17" si="28">BM17</f>
        <v>22935.272727272728</v>
      </c>
      <c r="BO17" s="540">
        <f t="shared" si="28"/>
        <v>22935.272727272728</v>
      </c>
      <c r="BP17" s="540">
        <f t="shared" si="28"/>
        <v>22935.272727272728</v>
      </c>
      <c r="BQ17" s="540">
        <f t="shared" si="28"/>
        <v>22935.272727272728</v>
      </c>
      <c r="BR17" s="540">
        <f t="shared" si="28"/>
        <v>22935.272727272728</v>
      </c>
      <c r="BS17" s="540">
        <f t="shared" si="28"/>
        <v>22935.272727272728</v>
      </c>
      <c r="BT17" s="540">
        <f t="shared" si="28"/>
        <v>22935.272727272728</v>
      </c>
      <c r="BU17" s="540">
        <f t="shared" si="28"/>
        <v>22935.272727272728</v>
      </c>
      <c r="BV17" s="540">
        <f t="shared" si="28"/>
        <v>22935.272727272728</v>
      </c>
      <c r="BW17" s="540">
        <f t="shared" si="28"/>
        <v>22935.272727272728</v>
      </c>
      <c r="BX17" s="540">
        <f t="shared" si="28"/>
        <v>22935.272727272728</v>
      </c>
      <c r="BY17" s="540">
        <f t="shared" si="28"/>
        <v>22935.272727272728</v>
      </c>
      <c r="BZ17" s="540">
        <f t="shared" si="28"/>
        <v>22935.272727272728</v>
      </c>
      <c r="CA17" s="540">
        <f t="shared" si="28"/>
        <v>22935.272727272728</v>
      </c>
      <c r="CB17" s="540">
        <f t="shared" si="28"/>
        <v>22935.272727272728</v>
      </c>
      <c r="CC17" s="540">
        <f t="shared" si="28"/>
        <v>22935.272727272728</v>
      </c>
      <c r="CD17" s="540">
        <f t="shared" si="28"/>
        <v>22935.272727272728</v>
      </c>
      <c r="CE17" s="540">
        <f t="shared" si="28"/>
        <v>22935.272727272728</v>
      </c>
      <c r="CG17" s="536">
        <v>22935.272727272728</v>
      </c>
      <c r="CH17" s="536">
        <v>22935.272727272728</v>
      </c>
      <c r="CI17" s="536">
        <v>22935.272727272728</v>
      </c>
      <c r="CJ17" s="536">
        <v>22935.272727272728</v>
      </c>
      <c r="CK17" s="536">
        <v>22935.272727272728</v>
      </c>
      <c r="CL17" s="536">
        <v>22935.272727272728</v>
      </c>
      <c r="CM17" s="536">
        <v>22935.272727272728</v>
      </c>
      <c r="CN17" s="536">
        <v>22935.272727272728</v>
      </c>
      <c r="CO17" s="536">
        <v>22935.272727272728</v>
      </c>
      <c r="CP17" s="536">
        <v>22935.272727272728</v>
      </c>
      <c r="CQ17" s="536">
        <v>22935.272727272728</v>
      </c>
      <c r="CR17" s="536">
        <v>22935.272727272728</v>
      </c>
      <c r="CS17" s="536">
        <v>22935.272727272728</v>
      </c>
      <c r="CT17" s="536">
        <v>22935.272727272728</v>
      </c>
      <c r="CU17" s="536">
        <v>22935.272727272728</v>
      </c>
      <c r="CV17" s="536">
        <v>22935.272727272728</v>
      </c>
      <c r="CW17" s="536">
        <v>22935.272727272728</v>
      </c>
      <c r="CX17" s="536">
        <v>22935.272727272728</v>
      </c>
      <c r="CY17" s="536">
        <v>22935.272727272728</v>
      </c>
      <c r="CZ17" s="536">
        <v>22935.272727272728</v>
      </c>
      <c r="DA17" s="536">
        <v>22935.272727272728</v>
      </c>
      <c r="DB17" s="536">
        <v>22935.272727272728</v>
      </c>
      <c r="DC17" s="536">
        <v>22935.272727272728</v>
      </c>
      <c r="DD17" s="536">
        <v>22935.272727272728</v>
      </c>
      <c r="DE17" s="536">
        <v>22935.272727272728</v>
      </c>
      <c r="DF17" s="536">
        <v>22935.272727272728</v>
      </c>
      <c r="DG17" s="536">
        <v>22935.272727272728</v>
      </c>
      <c r="DH17" s="536">
        <v>22935.272727272728</v>
      </c>
    </row>
    <row r="18" spans="2:112">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row>
    <row r="19" spans="2:112">
      <c r="B19" t="s">
        <v>906</v>
      </c>
      <c r="C19" t="s">
        <v>713</v>
      </c>
      <c r="D19" t="s">
        <v>907</v>
      </c>
      <c r="E19" t="s">
        <v>908</v>
      </c>
      <c r="F19" s="541">
        <v>47.902500000000003</v>
      </c>
      <c r="G19" s="541">
        <v>47.902500000000003</v>
      </c>
      <c r="H19" s="541">
        <v>47.902500000000003</v>
      </c>
      <c r="I19" s="541">
        <v>47.902500000000003</v>
      </c>
      <c r="J19" s="541">
        <v>47.902500000000003</v>
      </c>
      <c r="K19" s="541">
        <v>47.902500000000003</v>
      </c>
      <c r="L19" s="541">
        <v>47.902500000000003</v>
      </c>
      <c r="M19" s="541">
        <v>47.902500000000003</v>
      </c>
      <c r="N19" s="541">
        <v>47.902500000000003</v>
      </c>
      <c r="O19" s="541">
        <v>47.902500000000003</v>
      </c>
      <c r="P19" s="541">
        <v>47.902500000000003</v>
      </c>
      <c r="Q19" s="541">
        <v>47.902500000000003</v>
      </c>
      <c r="R19" s="541">
        <v>47.902500000000003</v>
      </c>
      <c r="S19" s="541">
        <v>47.902500000000003</v>
      </c>
      <c r="T19" s="541">
        <v>47.902500000000003</v>
      </c>
      <c r="U19" s="541">
        <v>47.902500000000003</v>
      </c>
      <c r="V19" s="541">
        <v>47.902500000000003</v>
      </c>
      <c r="W19" s="541">
        <v>47.902500000000003</v>
      </c>
      <c r="X19" s="541">
        <v>47.902500000000003</v>
      </c>
      <c r="Y19" s="541">
        <v>47.902500000000003</v>
      </c>
      <c r="Z19" s="541">
        <v>47.902500000000003</v>
      </c>
      <c r="AA19" s="541">
        <v>47.902500000000003</v>
      </c>
      <c r="AB19" s="541">
        <v>47.902500000000003</v>
      </c>
      <c r="AC19" s="541">
        <v>47.902500000000003</v>
      </c>
      <c r="AD19" s="541">
        <v>47.902500000000003</v>
      </c>
      <c r="AE19" s="541">
        <v>47.902500000000003</v>
      </c>
      <c r="AF19" s="541">
        <v>47.902500000000003</v>
      </c>
      <c r="AG19" s="541">
        <v>47.902500000000003</v>
      </c>
      <c r="AH19" s="542">
        <f t="shared" ref="AH19:BM19" si="29">AG19</f>
        <v>47.902500000000003</v>
      </c>
      <c r="AI19" s="542">
        <f t="shared" si="29"/>
        <v>47.902500000000003</v>
      </c>
      <c r="AJ19" s="542">
        <f t="shared" si="29"/>
        <v>47.902500000000003</v>
      </c>
      <c r="AK19" s="542">
        <f t="shared" si="29"/>
        <v>47.902500000000003</v>
      </c>
      <c r="AL19" s="542">
        <f t="shared" si="29"/>
        <v>47.902500000000003</v>
      </c>
      <c r="AM19" s="542">
        <f t="shared" si="29"/>
        <v>47.902500000000003</v>
      </c>
      <c r="AN19" s="542">
        <f t="shared" si="29"/>
        <v>47.902500000000003</v>
      </c>
      <c r="AO19" s="542">
        <f t="shared" si="29"/>
        <v>47.902500000000003</v>
      </c>
      <c r="AP19" s="542">
        <f t="shared" si="29"/>
        <v>47.902500000000003</v>
      </c>
      <c r="AQ19" s="542">
        <f t="shared" si="29"/>
        <v>47.902500000000003</v>
      </c>
      <c r="AR19" s="542">
        <f t="shared" si="29"/>
        <v>47.902500000000003</v>
      </c>
      <c r="AS19" s="542">
        <f t="shared" si="29"/>
        <v>47.902500000000003</v>
      </c>
      <c r="AT19" s="542">
        <f t="shared" si="29"/>
        <v>47.902500000000003</v>
      </c>
      <c r="AU19" s="542">
        <f t="shared" si="29"/>
        <v>47.902500000000003</v>
      </c>
      <c r="AV19" s="542">
        <f t="shared" si="29"/>
        <v>47.902500000000003</v>
      </c>
      <c r="AW19" s="542">
        <f t="shared" si="29"/>
        <v>47.902500000000003</v>
      </c>
      <c r="AX19" s="542">
        <f t="shared" si="29"/>
        <v>47.902500000000003</v>
      </c>
      <c r="AY19" s="542">
        <f t="shared" si="29"/>
        <v>47.902500000000003</v>
      </c>
      <c r="AZ19" s="542">
        <f t="shared" si="29"/>
        <v>47.902500000000003</v>
      </c>
      <c r="BA19" s="542">
        <f t="shared" si="29"/>
        <v>47.902500000000003</v>
      </c>
      <c r="BB19" s="542">
        <f t="shared" si="29"/>
        <v>47.902500000000003</v>
      </c>
      <c r="BC19" s="542">
        <f t="shared" si="29"/>
        <v>47.902500000000003</v>
      </c>
      <c r="BD19" s="542">
        <f t="shared" si="29"/>
        <v>47.902500000000003</v>
      </c>
      <c r="BE19" s="542">
        <f t="shared" si="29"/>
        <v>47.902500000000003</v>
      </c>
      <c r="BF19" s="542">
        <f t="shared" si="29"/>
        <v>47.902500000000003</v>
      </c>
      <c r="BG19" s="542">
        <f t="shared" si="29"/>
        <v>47.902500000000003</v>
      </c>
      <c r="BH19" s="542">
        <f t="shared" si="29"/>
        <v>47.902500000000003</v>
      </c>
      <c r="BI19" s="542">
        <f t="shared" si="29"/>
        <v>47.902500000000003</v>
      </c>
      <c r="BJ19" s="542">
        <f t="shared" si="29"/>
        <v>47.902500000000003</v>
      </c>
      <c r="BK19" s="542">
        <f t="shared" si="29"/>
        <v>47.902500000000003</v>
      </c>
      <c r="BL19" s="542">
        <f t="shared" si="29"/>
        <v>47.902500000000003</v>
      </c>
      <c r="BM19" s="542">
        <f t="shared" si="29"/>
        <v>47.902500000000003</v>
      </c>
      <c r="BN19" s="542">
        <f t="shared" ref="BN19:CE19" si="30">BM19</f>
        <v>47.902500000000003</v>
      </c>
      <c r="BO19" s="542">
        <f t="shared" si="30"/>
        <v>47.902500000000003</v>
      </c>
      <c r="BP19" s="542">
        <f t="shared" si="30"/>
        <v>47.902500000000003</v>
      </c>
      <c r="BQ19" s="542">
        <f t="shared" si="30"/>
        <v>47.902500000000003</v>
      </c>
      <c r="BR19" s="542">
        <f t="shared" si="30"/>
        <v>47.902500000000003</v>
      </c>
      <c r="BS19" s="542">
        <f t="shared" si="30"/>
        <v>47.902500000000003</v>
      </c>
      <c r="BT19" s="542">
        <f t="shared" si="30"/>
        <v>47.902500000000003</v>
      </c>
      <c r="BU19" s="542">
        <f t="shared" si="30"/>
        <v>47.902500000000003</v>
      </c>
      <c r="BV19" s="542">
        <f t="shared" si="30"/>
        <v>47.902500000000003</v>
      </c>
      <c r="BW19" s="542">
        <f t="shared" si="30"/>
        <v>47.902500000000003</v>
      </c>
      <c r="BX19" s="542">
        <f t="shared" si="30"/>
        <v>47.902500000000003</v>
      </c>
      <c r="BY19" s="542">
        <f t="shared" si="30"/>
        <v>47.902500000000003</v>
      </c>
      <c r="BZ19" s="542">
        <f t="shared" si="30"/>
        <v>47.902500000000003</v>
      </c>
      <c r="CA19" s="542">
        <f t="shared" si="30"/>
        <v>47.902500000000003</v>
      </c>
      <c r="CB19" s="542">
        <f t="shared" si="30"/>
        <v>47.902500000000003</v>
      </c>
      <c r="CC19" s="542">
        <f t="shared" si="30"/>
        <v>47.902500000000003</v>
      </c>
      <c r="CD19" s="542">
        <f t="shared" si="30"/>
        <v>47.902500000000003</v>
      </c>
      <c r="CE19" s="542">
        <f t="shared" si="30"/>
        <v>47.902500000000003</v>
      </c>
      <c r="CG19" s="541">
        <v>47.902500000000003</v>
      </c>
      <c r="CH19" s="541">
        <v>47.902500000000003</v>
      </c>
      <c r="CI19" s="541">
        <v>47.902500000000003</v>
      </c>
      <c r="CJ19" s="541">
        <v>47.902500000000003</v>
      </c>
      <c r="CK19" s="541">
        <v>47.902500000000003</v>
      </c>
      <c r="CL19" s="541">
        <v>47.902500000000003</v>
      </c>
      <c r="CM19" s="541">
        <v>47.902500000000003</v>
      </c>
      <c r="CN19" s="541">
        <v>47.902500000000003</v>
      </c>
      <c r="CO19" s="541">
        <v>47.902500000000003</v>
      </c>
      <c r="CP19" s="541">
        <v>47.902500000000003</v>
      </c>
      <c r="CQ19" s="541">
        <v>47.902500000000003</v>
      </c>
      <c r="CR19" s="541">
        <v>47.902500000000003</v>
      </c>
      <c r="CS19" s="541">
        <v>47.902500000000003</v>
      </c>
      <c r="CT19" s="541">
        <v>47.902500000000003</v>
      </c>
      <c r="CU19" s="541">
        <v>47.902500000000003</v>
      </c>
      <c r="CV19" s="541">
        <v>47.902500000000003</v>
      </c>
      <c r="CW19" s="541">
        <v>47.902500000000003</v>
      </c>
      <c r="CX19" s="541">
        <v>47.902500000000003</v>
      </c>
      <c r="CY19" s="541">
        <v>47.902500000000003</v>
      </c>
      <c r="CZ19" s="541">
        <v>47.902500000000003</v>
      </c>
      <c r="DA19" s="541">
        <v>47.902500000000003</v>
      </c>
      <c r="DB19" s="541">
        <v>47.902500000000003</v>
      </c>
      <c r="DC19" s="541">
        <v>47.902500000000003</v>
      </c>
      <c r="DD19" s="541">
        <v>47.902500000000003</v>
      </c>
      <c r="DE19" s="541">
        <v>47.902500000000003</v>
      </c>
      <c r="DF19" s="541">
        <v>47.902500000000003</v>
      </c>
      <c r="DG19" s="541">
        <v>47.902500000000003</v>
      </c>
      <c r="DH19" s="541">
        <v>47.902500000000003</v>
      </c>
    </row>
    <row r="20" spans="2:112">
      <c r="B20" t="s">
        <v>909</v>
      </c>
      <c r="C20" t="s">
        <v>713</v>
      </c>
      <c r="D20" t="s">
        <v>910</v>
      </c>
      <c r="E20" t="s">
        <v>911</v>
      </c>
      <c r="F20" s="541">
        <v>2.2665854545454547</v>
      </c>
      <c r="G20" s="541">
        <v>2.2665854545454547</v>
      </c>
      <c r="H20" s="541">
        <v>2.2665854545454547</v>
      </c>
      <c r="I20" s="541">
        <v>2.2665854545454547</v>
      </c>
      <c r="J20" s="541">
        <v>2.2665854545454547</v>
      </c>
      <c r="K20" s="541">
        <v>2.2665854545454547</v>
      </c>
      <c r="L20" s="541">
        <v>2.2665854545454547</v>
      </c>
      <c r="M20" s="541">
        <v>2.2665854545454547</v>
      </c>
      <c r="N20" s="541">
        <v>2.2665854545454547</v>
      </c>
      <c r="O20" s="541">
        <v>2.2665854545454547</v>
      </c>
      <c r="P20" s="541">
        <v>2.2665854545454547</v>
      </c>
      <c r="Q20" s="541">
        <v>2.2665854545454547</v>
      </c>
      <c r="R20" s="541">
        <v>2.2665854545454547</v>
      </c>
      <c r="S20" s="541">
        <v>2.2665854545454547</v>
      </c>
      <c r="T20" s="541">
        <v>2.2665854545454547</v>
      </c>
      <c r="U20" s="541">
        <v>2.2665854545454547</v>
      </c>
      <c r="V20" s="541">
        <v>2.2665854545454547</v>
      </c>
      <c r="W20" s="541">
        <v>2.2665854545454547</v>
      </c>
      <c r="X20" s="541">
        <v>2.2665854545454547</v>
      </c>
      <c r="Y20" s="541">
        <v>2.2665854545454547</v>
      </c>
      <c r="Z20" s="541">
        <v>2.2665854545454547</v>
      </c>
      <c r="AA20" s="541">
        <v>2.2665854545454547</v>
      </c>
      <c r="AB20" s="541">
        <v>2.2665854545454547</v>
      </c>
      <c r="AC20" s="541">
        <v>2.2665854545454547</v>
      </c>
      <c r="AD20" s="541">
        <v>2.2665854545454547</v>
      </c>
      <c r="AE20" s="541">
        <v>2.2665854545454547</v>
      </c>
      <c r="AF20" s="541">
        <v>2.2665854545454547</v>
      </c>
      <c r="AG20" s="541">
        <v>2.2665854545454547</v>
      </c>
      <c r="AH20" s="542">
        <f t="shared" ref="AH20:BM20" si="31">AG20</f>
        <v>2.2665854545454547</v>
      </c>
      <c r="AI20" s="542">
        <f t="shared" si="31"/>
        <v>2.2665854545454547</v>
      </c>
      <c r="AJ20" s="542">
        <f t="shared" si="31"/>
        <v>2.2665854545454547</v>
      </c>
      <c r="AK20" s="542">
        <f t="shared" si="31"/>
        <v>2.2665854545454547</v>
      </c>
      <c r="AL20" s="542">
        <f t="shared" si="31"/>
        <v>2.2665854545454547</v>
      </c>
      <c r="AM20" s="542">
        <f t="shared" si="31"/>
        <v>2.2665854545454547</v>
      </c>
      <c r="AN20" s="542">
        <f t="shared" si="31"/>
        <v>2.2665854545454547</v>
      </c>
      <c r="AO20" s="542">
        <f t="shared" si="31"/>
        <v>2.2665854545454547</v>
      </c>
      <c r="AP20" s="542">
        <f t="shared" si="31"/>
        <v>2.2665854545454547</v>
      </c>
      <c r="AQ20" s="542">
        <f t="shared" si="31"/>
        <v>2.2665854545454547</v>
      </c>
      <c r="AR20" s="542">
        <f t="shared" si="31"/>
        <v>2.2665854545454547</v>
      </c>
      <c r="AS20" s="542">
        <f t="shared" si="31"/>
        <v>2.2665854545454547</v>
      </c>
      <c r="AT20" s="542">
        <f t="shared" si="31"/>
        <v>2.2665854545454547</v>
      </c>
      <c r="AU20" s="542">
        <f t="shared" si="31"/>
        <v>2.2665854545454547</v>
      </c>
      <c r="AV20" s="542">
        <f t="shared" si="31"/>
        <v>2.2665854545454547</v>
      </c>
      <c r="AW20" s="542">
        <f t="shared" si="31"/>
        <v>2.2665854545454547</v>
      </c>
      <c r="AX20" s="542">
        <f t="shared" si="31"/>
        <v>2.2665854545454547</v>
      </c>
      <c r="AY20" s="542">
        <f t="shared" si="31"/>
        <v>2.2665854545454547</v>
      </c>
      <c r="AZ20" s="542">
        <f t="shared" si="31"/>
        <v>2.2665854545454547</v>
      </c>
      <c r="BA20" s="542">
        <f t="shared" si="31"/>
        <v>2.2665854545454547</v>
      </c>
      <c r="BB20" s="542">
        <f t="shared" si="31"/>
        <v>2.2665854545454547</v>
      </c>
      <c r="BC20" s="542">
        <f t="shared" si="31"/>
        <v>2.2665854545454547</v>
      </c>
      <c r="BD20" s="542">
        <f t="shared" si="31"/>
        <v>2.2665854545454547</v>
      </c>
      <c r="BE20" s="542">
        <f t="shared" si="31"/>
        <v>2.2665854545454547</v>
      </c>
      <c r="BF20" s="542">
        <f t="shared" si="31"/>
        <v>2.2665854545454547</v>
      </c>
      <c r="BG20" s="542">
        <f t="shared" si="31"/>
        <v>2.2665854545454547</v>
      </c>
      <c r="BH20" s="542">
        <f t="shared" si="31"/>
        <v>2.2665854545454547</v>
      </c>
      <c r="BI20" s="542">
        <f t="shared" si="31"/>
        <v>2.2665854545454547</v>
      </c>
      <c r="BJ20" s="542">
        <f t="shared" si="31"/>
        <v>2.2665854545454547</v>
      </c>
      <c r="BK20" s="542">
        <f t="shared" si="31"/>
        <v>2.2665854545454547</v>
      </c>
      <c r="BL20" s="542">
        <f t="shared" si="31"/>
        <v>2.2665854545454547</v>
      </c>
      <c r="BM20" s="542">
        <f t="shared" si="31"/>
        <v>2.2665854545454547</v>
      </c>
      <c r="BN20" s="542">
        <f t="shared" ref="BN20:CE20" si="32">BM20</f>
        <v>2.2665854545454547</v>
      </c>
      <c r="BO20" s="542">
        <f t="shared" si="32"/>
        <v>2.2665854545454547</v>
      </c>
      <c r="BP20" s="542">
        <f t="shared" si="32"/>
        <v>2.2665854545454547</v>
      </c>
      <c r="BQ20" s="542">
        <f t="shared" si="32"/>
        <v>2.2665854545454547</v>
      </c>
      <c r="BR20" s="542">
        <f t="shared" si="32"/>
        <v>2.2665854545454547</v>
      </c>
      <c r="BS20" s="542">
        <f t="shared" si="32"/>
        <v>2.2665854545454547</v>
      </c>
      <c r="BT20" s="542">
        <f t="shared" si="32"/>
        <v>2.2665854545454547</v>
      </c>
      <c r="BU20" s="542">
        <f t="shared" si="32"/>
        <v>2.2665854545454547</v>
      </c>
      <c r="BV20" s="542">
        <f t="shared" si="32"/>
        <v>2.2665854545454547</v>
      </c>
      <c r="BW20" s="542">
        <f t="shared" si="32"/>
        <v>2.2665854545454547</v>
      </c>
      <c r="BX20" s="542">
        <f t="shared" si="32"/>
        <v>2.2665854545454547</v>
      </c>
      <c r="BY20" s="542">
        <f t="shared" si="32"/>
        <v>2.2665854545454547</v>
      </c>
      <c r="BZ20" s="542">
        <f t="shared" si="32"/>
        <v>2.2665854545454547</v>
      </c>
      <c r="CA20" s="542">
        <f t="shared" si="32"/>
        <v>2.2665854545454547</v>
      </c>
      <c r="CB20" s="542">
        <f t="shared" si="32"/>
        <v>2.2665854545454547</v>
      </c>
      <c r="CC20" s="542">
        <f t="shared" si="32"/>
        <v>2.2665854545454547</v>
      </c>
      <c r="CD20" s="542">
        <f t="shared" si="32"/>
        <v>2.2665854545454547</v>
      </c>
      <c r="CE20" s="542">
        <f t="shared" si="32"/>
        <v>2.2665854545454547</v>
      </c>
      <c r="CG20" s="541">
        <v>2.2665854545454547</v>
      </c>
      <c r="CH20" s="541">
        <v>2.2665854545454547</v>
      </c>
      <c r="CI20" s="541">
        <v>2.2665854545454547</v>
      </c>
      <c r="CJ20" s="541">
        <v>2.2665854545454547</v>
      </c>
      <c r="CK20" s="541">
        <v>2.2665854545454547</v>
      </c>
      <c r="CL20" s="541">
        <v>2.2665854545454547</v>
      </c>
      <c r="CM20" s="541">
        <v>2.2665854545454547</v>
      </c>
      <c r="CN20" s="541">
        <v>2.2665854545454547</v>
      </c>
      <c r="CO20" s="541">
        <v>2.2665854545454547</v>
      </c>
      <c r="CP20" s="541">
        <v>2.2665854545454547</v>
      </c>
      <c r="CQ20" s="541">
        <v>2.2665854545454547</v>
      </c>
      <c r="CR20" s="541">
        <v>2.2665854545454547</v>
      </c>
      <c r="CS20" s="541">
        <v>2.2665854545454547</v>
      </c>
      <c r="CT20" s="541">
        <v>2.2665854545454547</v>
      </c>
      <c r="CU20" s="541">
        <v>2.2665854545454547</v>
      </c>
      <c r="CV20" s="541">
        <v>2.2665854545454547</v>
      </c>
      <c r="CW20" s="541">
        <v>2.2665854545454547</v>
      </c>
      <c r="CX20" s="541">
        <v>2.2665854545454547</v>
      </c>
      <c r="CY20" s="541">
        <v>2.2665854545454547</v>
      </c>
      <c r="CZ20" s="541">
        <v>2.2665854545454547</v>
      </c>
      <c r="DA20" s="541">
        <v>2.2665854545454547</v>
      </c>
      <c r="DB20" s="541">
        <v>2.2665854545454547</v>
      </c>
      <c r="DC20" s="541">
        <v>2.2665854545454547</v>
      </c>
      <c r="DD20" s="541">
        <v>2.2665854545454547</v>
      </c>
      <c r="DE20" s="541">
        <v>2.2665854545454547</v>
      </c>
      <c r="DF20" s="541">
        <v>2.2665854545454547</v>
      </c>
      <c r="DG20" s="541">
        <v>2.2665854545454547</v>
      </c>
      <c r="DH20" s="541">
        <v>2.2665854545454547</v>
      </c>
    </row>
    <row r="21" spans="2:112">
      <c r="B21" t="s">
        <v>912</v>
      </c>
      <c r="C21" t="s">
        <v>713</v>
      </c>
      <c r="D21" t="s">
        <v>913</v>
      </c>
      <c r="E21" t="s">
        <v>908</v>
      </c>
      <c r="F21" s="541">
        <v>60.837499999999999</v>
      </c>
      <c r="G21" s="541">
        <v>60.837499999999999</v>
      </c>
      <c r="H21" s="541">
        <v>60.837499999999999</v>
      </c>
      <c r="I21" s="541">
        <v>60.837499999999999</v>
      </c>
      <c r="J21" s="541">
        <v>60.837499999999999</v>
      </c>
      <c r="K21" s="541">
        <v>60.837499999999999</v>
      </c>
      <c r="L21" s="541">
        <v>60.837499999999999</v>
      </c>
      <c r="M21" s="541">
        <v>60.837499999999999</v>
      </c>
      <c r="N21" s="541">
        <v>60.837499999999999</v>
      </c>
      <c r="O21" s="541">
        <v>60.837499999999999</v>
      </c>
      <c r="P21" s="541">
        <v>60.837499999999999</v>
      </c>
      <c r="Q21" s="541">
        <v>60.837499999999999</v>
      </c>
      <c r="R21" s="541">
        <v>60.837499999999999</v>
      </c>
      <c r="S21" s="541">
        <v>60.837499999999999</v>
      </c>
      <c r="T21" s="541">
        <v>60.837499999999999</v>
      </c>
      <c r="U21" s="541">
        <v>60.837499999999999</v>
      </c>
      <c r="V21" s="541">
        <v>60.837499999999999</v>
      </c>
      <c r="W21" s="541">
        <v>60.837499999999999</v>
      </c>
      <c r="X21" s="541">
        <v>60.837499999999999</v>
      </c>
      <c r="Y21" s="541">
        <v>60.837499999999999</v>
      </c>
      <c r="Z21" s="541">
        <v>60.837499999999999</v>
      </c>
      <c r="AA21" s="541">
        <v>60.837499999999999</v>
      </c>
      <c r="AB21" s="541">
        <v>60.837499999999999</v>
      </c>
      <c r="AC21" s="541">
        <v>60.837499999999999</v>
      </c>
      <c r="AD21" s="541">
        <v>60.837499999999999</v>
      </c>
      <c r="AE21" s="541">
        <v>60.837499999999999</v>
      </c>
      <c r="AF21" s="541">
        <v>60.837499999999999</v>
      </c>
      <c r="AG21" s="541">
        <v>60.837499999999999</v>
      </c>
      <c r="AH21" s="542">
        <f t="shared" ref="AH21:BM21" si="33">AG21</f>
        <v>60.837499999999999</v>
      </c>
      <c r="AI21" s="542">
        <f t="shared" si="33"/>
        <v>60.837499999999999</v>
      </c>
      <c r="AJ21" s="542">
        <f t="shared" si="33"/>
        <v>60.837499999999999</v>
      </c>
      <c r="AK21" s="542">
        <f t="shared" si="33"/>
        <v>60.837499999999999</v>
      </c>
      <c r="AL21" s="542">
        <f t="shared" si="33"/>
        <v>60.837499999999999</v>
      </c>
      <c r="AM21" s="542">
        <f t="shared" si="33"/>
        <v>60.837499999999999</v>
      </c>
      <c r="AN21" s="542">
        <f t="shared" si="33"/>
        <v>60.837499999999999</v>
      </c>
      <c r="AO21" s="542">
        <f t="shared" si="33"/>
        <v>60.837499999999999</v>
      </c>
      <c r="AP21" s="542">
        <f t="shared" si="33"/>
        <v>60.837499999999999</v>
      </c>
      <c r="AQ21" s="542">
        <f t="shared" si="33"/>
        <v>60.837499999999999</v>
      </c>
      <c r="AR21" s="542">
        <f t="shared" si="33"/>
        <v>60.837499999999999</v>
      </c>
      <c r="AS21" s="542">
        <f t="shared" si="33"/>
        <v>60.837499999999999</v>
      </c>
      <c r="AT21" s="542">
        <f t="shared" si="33"/>
        <v>60.837499999999999</v>
      </c>
      <c r="AU21" s="542">
        <f t="shared" si="33"/>
        <v>60.837499999999999</v>
      </c>
      <c r="AV21" s="542">
        <f t="shared" si="33"/>
        <v>60.837499999999999</v>
      </c>
      <c r="AW21" s="542">
        <f t="shared" si="33"/>
        <v>60.837499999999999</v>
      </c>
      <c r="AX21" s="542">
        <f t="shared" si="33"/>
        <v>60.837499999999999</v>
      </c>
      <c r="AY21" s="542">
        <f t="shared" si="33"/>
        <v>60.837499999999999</v>
      </c>
      <c r="AZ21" s="542">
        <f t="shared" si="33"/>
        <v>60.837499999999999</v>
      </c>
      <c r="BA21" s="542">
        <f t="shared" si="33"/>
        <v>60.837499999999999</v>
      </c>
      <c r="BB21" s="542">
        <f t="shared" si="33"/>
        <v>60.837499999999999</v>
      </c>
      <c r="BC21" s="542">
        <f t="shared" si="33"/>
        <v>60.837499999999999</v>
      </c>
      <c r="BD21" s="542">
        <f t="shared" si="33"/>
        <v>60.837499999999999</v>
      </c>
      <c r="BE21" s="542">
        <f t="shared" si="33"/>
        <v>60.837499999999999</v>
      </c>
      <c r="BF21" s="542">
        <f t="shared" si="33"/>
        <v>60.837499999999999</v>
      </c>
      <c r="BG21" s="542">
        <f t="shared" si="33"/>
        <v>60.837499999999999</v>
      </c>
      <c r="BH21" s="542">
        <f t="shared" si="33"/>
        <v>60.837499999999999</v>
      </c>
      <c r="BI21" s="542">
        <f t="shared" si="33"/>
        <v>60.837499999999999</v>
      </c>
      <c r="BJ21" s="542">
        <f t="shared" si="33"/>
        <v>60.837499999999999</v>
      </c>
      <c r="BK21" s="542">
        <f t="shared" si="33"/>
        <v>60.837499999999999</v>
      </c>
      <c r="BL21" s="542">
        <f t="shared" si="33"/>
        <v>60.837499999999999</v>
      </c>
      <c r="BM21" s="542">
        <f t="shared" si="33"/>
        <v>60.837499999999999</v>
      </c>
      <c r="BN21" s="542">
        <f t="shared" ref="BN21:CE21" si="34">BM21</f>
        <v>60.837499999999999</v>
      </c>
      <c r="BO21" s="542">
        <f t="shared" si="34"/>
        <v>60.837499999999999</v>
      </c>
      <c r="BP21" s="542">
        <f t="shared" si="34"/>
        <v>60.837499999999999</v>
      </c>
      <c r="BQ21" s="542">
        <f t="shared" si="34"/>
        <v>60.837499999999999</v>
      </c>
      <c r="BR21" s="542">
        <f t="shared" si="34"/>
        <v>60.837499999999999</v>
      </c>
      <c r="BS21" s="542">
        <f t="shared" si="34"/>
        <v>60.837499999999999</v>
      </c>
      <c r="BT21" s="542">
        <f t="shared" si="34"/>
        <v>60.837499999999999</v>
      </c>
      <c r="BU21" s="542">
        <f t="shared" si="34"/>
        <v>60.837499999999999</v>
      </c>
      <c r="BV21" s="542">
        <f t="shared" si="34"/>
        <v>60.837499999999999</v>
      </c>
      <c r="BW21" s="542">
        <f t="shared" si="34"/>
        <v>60.837499999999999</v>
      </c>
      <c r="BX21" s="542">
        <f t="shared" si="34"/>
        <v>60.837499999999999</v>
      </c>
      <c r="BY21" s="542">
        <f t="shared" si="34"/>
        <v>60.837499999999999</v>
      </c>
      <c r="BZ21" s="542">
        <f t="shared" si="34"/>
        <v>60.837499999999999</v>
      </c>
      <c r="CA21" s="542">
        <f t="shared" si="34"/>
        <v>60.837499999999999</v>
      </c>
      <c r="CB21" s="542">
        <f t="shared" si="34"/>
        <v>60.837499999999999</v>
      </c>
      <c r="CC21" s="542">
        <f t="shared" si="34"/>
        <v>60.837499999999999</v>
      </c>
      <c r="CD21" s="542">
        <f t="shared" si="34"/>
        <v>60.837499999999999</v>
      </c>
      <c r="CE21" s="542">
        <f t="shared" si="34"/>
        <v>60.837499999999999</v>
      </c>
      <c r="CG21" s="541">
        <v>60.837499999999999</v>
      </c>
      <c r="CH21" s="541">
        <v>60.837499999999999</v>
      </c>
      <c r="CI21" s="541">
        <v>60.837499999999999</v>
      </c>
      <c r="CJ21" s="541">
        <v>60.837499999999999</v>
      </c>
      <c r="CK21" s="541">
        <v>60.837499999999999</v>
      </c>
      <c r="CL21" s="541">
        <v>60.837499999999999</v>
      </c>
      <c r="CM21" s="541">
        <v>60.837499999999999</v>
      </c>
      <c r="CN21" s="541">
        <v>60.837499999999999</v>
      </c>
      <c r="CO21" s="541">
        <v>60.837499999999999</v>
      </c>
      <c r="CP21" s="541">
        <v>60.837499999999999</v>
      </c>
      <c r="CQ21" s="541">
        <v>60.837499999999999</v>
      </c>
      <c r="CR21" s="541">
        <v>60.837499999999999</v>
      </c>
      <c r="CS21" s="541">
        <v>60.837499999999999</v>
      </c>
      <c r="CT21" s="541">
        <v>60.837499999999999</v>
      </c>
      <c r="CU21" s="541">
        <v>60.837499999999999</v>
      </c>
      <c r="CV21" s="541">
        <v>60.837499999999999</v>
      </c>
      <c r="CW21" s="541">
        <v>60.837499999999999</v>
      </c>
      <c r="CX21" s="541">
        <v>60.837499999999999</v>
      </c>
      <c r="CY21" s="541">
        <v>60.837499999999999</v>
      </c>
      <c r="CZ21" s="541">
        <v>60.837499999999999</v>
      </c>
      <c r="DA21" s="541">
        <v>60.837499999999999</v>
      </c>
      <c r="DB21" s="541">
        <v>60.837499999999999</v>
      </c>
      <c r="DC21" s="541">
        <v>60.837499999999999</v>
      </c>
      <c r="DD21" s="541">
        <v>60.837499999999999</v>
      </c>
      <c r="DE21" s="541">
        <v>60.837499999999999</v>
      </c>
      <c r="DF21" s="541">
        <v>60.837499999999999</v>
      </c>
      <c r="DG21" s="541">
        <v>60.837499999999999</v>
      </c>
      <c r="DH21" s="541">
        <v>60.837499999999999</v>
      </c>
    </row>
    <row r="22" spans="2:112">
      <c r="B22" t="s">
        <v>914</v>
      </c>
      <c r="C22" t="s">
        <v>713</v>
      </c>
      <c r="D22" t="s">
        <v>915</v>
      </c>
      <c r="E22" t="s">
        <v>911</v>
      </c>
      <c r="F22" s="541">
        <v>2.3821354545454545</v>
      </c>
      <c r="G22" s="541">
        <v>2.3821354545454545</v>
      </c>
      <c r="H22" s="541">
        <v>2.3821354545454545</v>
      </c>
      <c r="I22" s="541">
        <v>2.3821354545454545</v>
      </c>
      <c r="J22" s="541">
        <v>2.3821354545454545</v>
      </c>
      <c r="K22" s="541">
        <v>2.3821354545454545</v>
      </c>
      <c r="L22" s="541">
        <v>2.3821354545454545</v>
      </c>
      <c r="M22" s="541">
        <v>2.3821354545454545</v>
      </c>
      <c r="N22" s="541">
        <v>2.3821354545454545</v>
      </c>
      <c r="O22" s="541">
        <v>2.3821354545454545</v>
      </c>
      <c r="P22" s="541">
        <v>2.3821354545454545</v>
      </c>
      <c r="Q22" s="541">
        <v>2.3821354545454545</v>
      </c>
      <c r="R22" s="541">
        <v>2.3821354545454545</v>
      </c>
      <c r="S22" s="541">
        <v>2.3821354545454545</v>
      </c>
      <c r="T22" s="541">
        <v>2.3821354545454545</v>
      </c>
      <c r="U22" s="541">
        <v>2.3821354545454545</v>
      </c>
      <c r="V22" s="541">
        <v>2.3821354545454545</v>
      </c>
      <c r="W22" s="541">
        <v>2.3821354545454545</v>
      </c>
      <c r="X22" s="541">
        <v>2.3821354545454545</v>
      </c>
      <c r="Y22" s="541">
        <v>2.3821354545454545</v>
      </c>
      <c r="Z22" s="541">
        <v>2.3821354545454545</v>
      </c>
      <c r="AA22" s="541">
        <v>2.3821354545454545</v>
      </c>
      <c r="AB22" s="541">
        <v>2.3821354545454545</v>
      </c>
      <c r="AC22" s="541">
        <v>2.3821354545454545</v>
      </c>
      <c r="AD22" s="541">
        <v>2.3821354545454545</v>
      </c>
      <c r="AE22" s="541">
        <v>2.3821354545454545</v>
      </c>
      <c r="AF22" s="541">
        <v>2.3821354545454545</v>
      </c>
      <c r="AG22" s="541">
        <v>2.3821354545454545</v>
      </c>
      <c r="AH22" s="542">
        <f t="shared" ref="AH22:BM22" si="35">AG22</f>
        <v>2.3821354545454545</v>
      </c>
      <c r="AI22" s="542">
        <f t="shared" si="35"/>
        <v>2.3821354545454545</v>
      </c>
      <c r="AJ22" s="542">
        <f t="shared" si="35"/>
        <v>2.3821354545454545</v>
      </c>
      <c r="AK22" s="542">
        <f t="shared" si="35"/>
        <v>2.3821354545454545</v>
      </c>
      <c r="AL22" s="542">
        <f t="shared" si="35"/>
        <v>2.3821354545454545</v>
      </c>
      <c r="AM22" s="542">
        <f t="shared" si="35"/>
        <v>2.3821354545454545</v>
      </c>
      <c r="AN22" s="542">
        <f t="shared" si="35"/>
        <v>2.3821354545454545</v>
      </c>
      <c r="AO22" s="542">
        <f t="shared" si="35"/>
        <v>2.3821354545454545</v>
      </c>
      <c r="AP22" s="542">
        <f t="shared" si="35"/>
        <v>2.3821354545454545</v>
      </c>
      <c r="AQ22" s="542">
        <f t="shared" si="35"/>
        <v>2.3821354545454545</v>
      </c>
      <c r="AR22" s="542">
        <f t="shared" si="35"/>
        <v>2.3821354545454545</v>
      </c>
      <c r="AS22" s="542">
        <f t="shared" si="35"/>
        <v>2.3821354545454545</v>
      </c>
      <c r="AT22" s="542">
        <f t="shared" si="35"/>
        <v>2.3821354545454545</v>
      </c>
      <c r="AU22" s="542">
        <f t="shared" si="35"/>
        <v>2.3821354545454545</v>
      </c>
      <c r="AV22" s="542">
        <f t="shared" si="35"/>
        <v>2.3821354545454545</v>
      </c>
      <c r="AW22" s="542">
        <f t="shared" si="35"/>
        <v>2.3821354545454545</v>
      </c>
      <c r="AX22" s="542">
        <f t="shared" si="35"/>
        <v>2.3821354545454545</v>
      </c>
      <c r="AY22" s="542">
        <f t="shared" si="35"/>
        <v>2.3821354545454545</v>
      </c>
      <c r="AZ22" s="542">
        <f t="shared" si="35"/>
        <v>2.3821354545454545</v>
      </c>
      <c r="BA22" s="542">
        <f t="shared" si="35"/>
        <v>2.3821354545454545</v>
      </c>
      <c r="BB22" s="542">
        <f t="shared" si="35"/>
        <v>2.3821354545454545</v>
      </c>
      <c r="BC22" s="542">
        <f t="shared" si="35"/>
        <v>2.3821354545454545</v>
      </c>
      <c r="BD22" s="542">
        <f t="shared" si="35"/>
        <v>2.3821354545454545</v>
      </c>
      <c r="BE22" s="542">
        <f t="shared" si="35"/>
        <v>2.3821354545454545</v>
      </c>
      <c r="BF22" s="542">
        <f t="shared" si="35"/>
        <v>2.3821354545454545</v>
      </c>
      <c r="BG22" s="542">
        <f t="shared" si="35"/>
        <v>2.3821354545454545</v>
      </c>
      <c r="BH22" s="542">
        <f t="shared" si="35"/>
        <v>2.3821354545454545</v>
      </c>
      <c r="BI22" s="542">
        <f t="shared" si="35"/>
        <v>2.3821354545454545</v>
      </c>
      <c r="BJ22" s="542">
        <f t="shared" si="35"/>
        <v>2.3821354545454545</v>
      </c>
      <c r="BK22" s="542">
        <f t="shared" si="35"/>
        <v>2.3821354545454545</v>
      </c>
      <c r="BL22" s="542">
        <f t="shared" si="35"/>
        <v>2.3821354545454545</v>
      </c>
      <c r="BM22" s="542">
        <f t="shared" si="35"/>
        <v>2.3821354545454545</v>
      </c>
      <c r="BN22" s="542">
        <f t="shared" ref="BN22:CE22" si="36">BM22</f>
        <v>2.3821354545454545</v>
      </c>
      <c r="BO22" s="542">
        <f t="shared" si="36"/>
        <v>2.3821354545454545</v>
      </c>
      <c r="BP22" s="542">
        <f t="shared" si="36"/>
        <v>2.3821354545454545</v>
      </c>
      <c r="BQ22" s="542">
        <f t="shared" si="36"/>
        <v>2.3821354545454545</v>
      </c>
      <c r="BR22" s="542">
        <f t="shared" si="36"/>
        <v>2.3821354545454545</v>
      </c>
      <c r="BS22" s="542">
        <f t="shared" si="36"/>
        <v>2.3821354545454545</v>
      </c>
      <c r="BT22" s="542">
        <f t="shared" si="36"/>
        <v>2.3821354545454545</v>
      </c>
      <c r="BU22" s="542">
        <f t="shared" si="36"/>
        <v>2.3821354545454545</v>
      </c>
      <c r="BV22" s="542">
        <f t="shared" si="36"/>
        <v>2.3821354545454545</v>
      </c>
      <c r="BW22" s="542">
        <f t="shared" si="36"/>
        <v>2.3821354545454545</v>
      </c>
      <c r="BX22" s="542">
        <f t="shared" si="36"/>
        <v>2.3821354545454545</v>
      </c>
      <c r="BY22" s="542">
        <f t="shared" si="36"/>
        <v>2.3821354545454545</v>
      </c>
      <c r="BZ22" s="542">
        <f t="shared" si="36"/>
        <v>2.3821354545454545</v>
      </c>
      <c r="CA22" s="542">
        <f t="shared" si="36"/>
        <v>2.3821354545454545</v>
      </c>
      <c r="CB22" s="542">
        <f t="shared" si="36"/>
        <v>2.3821354545454545</v>
      </c>
      <c r="CC22" s="542">
        <f t="shared" si="36"/>
        <v>2.3821354545454545</v>
      </c>
      <c r="CD22" s="542">
        <f t="shared" si="36"/>
        <v>2.3821354545454545</v>
      </c>
      <c r="CE22" s="542">
        <f t="shared" si="36"/>
        <v>2.3821354545454545</v>
      </c>
      <c r="CG22" s="541">
        <v>2.3821354545454545</v>
      </c>
      <c r="CH22" s="541">
        <v>2.3821354545454545</v>
      </c>
      <c r="CI22" s="541">
        <v>2.3821354545454545</v>
      </c>
      <c r="CJ22" s="541">
        <v>2.3821354545454545</v>
      </c>
      <c r="CK22" s="541">
        <v>2.3821354545454545</v>
      </c>
      <c r="CL22" s="541">
        <v>2.3821354545454545</v>
      </c>
      <c r="CM22" s="541">
        <v>2.3821354545454545</v>
      </c>
      <c r="CN22" s="541">
        <v>2.3821354545454545</v>
      </c>
      <c r="CO22" s="541">
        <v>2.3821354545454545</v>
      </c>
      <c r="CP22" s="541">
        <v>2.3821354545454545</v>
      </c>
      <c r="CQ22" s="541">
        <v>2.3821354545454545</v>
      </c>
      <c r="CR22" s="541">
        <v>2.3821354545454545</v>
      </c>
      <c r="CS22" s="541">
        <v>2.3821354545454545</v>
      </c>
      <c r="CT22" s="541">
        <v>2.3821354545454545</v>
      </c>
      <c r="CU22" s="541">
        <v>2.3821354545454545</v>
      </c>
      <c r="CV22" s="541">
        <v>2.3821354545454545</v>
      </c>
      <c r="CW22" s="541">
        <v>2.3821354545454545</v>
      </c>
      <c r="CX22" s="541">
        <v>2.3821354545454545</v>
      </c>
      <c r="CY22" s="541">
        <v>2.3821354545454545</v>
      </c>
      <c r="CZ22" s="541">
        <v>2.3821354545454545</v>
      </c>
      <c r="DA22" s="541">
        <v>2.3821354545454545</v>
      </c>
      <c r="DB22" s="541">
        <v>2.3821354545454545</v>
      </c>
      <c r="DC22" s="541">
        <v>2.3821354545454545</v>
      </c>
      <c r="DD22" s="541">
        <v>2.3821354545454545</v>
      </c>
      <c r="DE22" s="541">
        <v>2.3821354545454545</v>
      </c>
      <c r="DF22" s="541">
        <v>2.3821354545454545</v>
      </c>
      <c r="DG22" s="541">
        <v>2.3821354545454545</v>
      </c>
      <c r="DH22" s="541">
        <v>2.3821354545454545</v>
      </c>
    </row>
    <row r="23" spans="2:112">
      <c r="B23" t="s">
        <v>916</v>
      </c>
      <c r="C23" t="s">
        <v>713</v>
      </c>
      <c r="D23" t="s">
        <v>917</v>
      </c>
      <c r="E23" t="s">
        <v>908</v>
      </c>
      <c r="F23" s="541">
        <v>55.342500000000001</v>
      </c>
      <c r="G23" s="541">
        <v>55.342500000000001</v>
      </c>
      <c r="H23" s="541">
        <v>55.342500000000001</v>
      </c>
      <c r="I23" s="541">
        <v>55.342500000000001</v>
      </c>
      <c r="J23" s="541">
        <v>55.342500000000001</v>
      </c>
      <c r="K23" s="541">
        <v>55.342500000000001</v>
      </c>
      <c r="L23" s="541">
        <v>55.342500000000001</v>
      </c>
      <c r="M23" s="541">
        <v>55.342500000000001</v>
      </c>
      <c r="N23" s="541">
        <v>55.342500000000001</v>
      </c>
      <c r="O23" s="541">
        <v>55.342500000000001</v>
      </c>
      <c r="P23" s="541">
        <v>55.342500000000001</v>
      </c>
      <c r="Q23" s="541">
        <v>55.342500000000001</v>
      </c>
      <c r="R23" s="541">
        <v>55.342500000000001</v>
      </c>
      <c r="S23" s="541">
        <v>55.342500000000001</v>
      </c>
      <c r="T23" s="541">
        <v>55.342500000000001</v>
      </c>
      <c r="U23" s="541">
        <v>55.342500000000001</v>
      </c>
      <c r="V23" s="541">
        <v>55.342500000000001</v>
      </c>
      <c r="W23" s="541">
        <v>55.342500000000001</v>
      </c>
      <c r="X23" s="541">
        <v>55.342500000000001</v>
      </c>
      <c r="Y23" s="541">
        <v>55.342500000000001</v>
      </c>
      <c r="Z23" s="541">
        <v>55.342500000000001</v>
      </c>
      <c r="AA23" s="541">
        <v>55.342500000000001</v>
      </c>
      <c r="AB23" s="541">
        <v>55.342500000000001</v>
      </c>
      <c r="AC23" s="541">
        <v>55.342500000000001</v>
      </c>
      <c r="AD23" s="541">
        <v>55.342500000000001</v>
      </c>
      <c r="AE23" s="541">
        <v>55.342500000000001</v>
      </c>
      <c r="AF23" s="541">
        <v>55.342500000000001</v>
      </c>
      <c r="AG23" s="541">
        <v>55.342500000000001</v>
      </c>
      <c r="AH23" s="542">
        <f t="shared" ref="AH23:BM23" si="37">AG23</f>
        <v>55.342500000000001</v>
      </c>
      <c r="AI23" s="542">
        <f t="shared" si="37"/>
        <v>55.342500000000001</v>
      </c>
      <c r="AJ23" s="542">
        <f t="shared" si="37"/>
        <v>55.342500000000001</v>
      </c>
      <c r="AK23" s="542">
        <f t="shared" si="37"/>
        <v>55.342500000000001</v>
      </c>
      <c r="AL23" s="542">
        <f t="shared" si="37"/>
        <v>55.342500000000001</v>
      </c>
      <c r="AM23" s="542">
        <f t="shared" si="37"/>
        <v>55.342500000000001</v>
      </c>
      <c r="AN23" s="542">
        <f t="shared" si="37"/>
        <v>55.342500000000001</v>
      </c>
      <c r="AO23" s="542">
        <f t="shared" si="37"/>
        <v>55.342500000000001</v>
      </c>
      <c r="AP23" s="542">
        <f t="shared" si="37"/>
        <v>55.342500000000001</v>
      </c>
      <c r="AQ23" s="542">
        <f t="shared" si="37"/>
        <v>55.342500000000001</v>
      </c>
      <c r="AR23" s="542">
        <f t="shared" si="37"/>
        <v>55.342500000000001</v>
      </c>
      <c r="AS23" s="542">
        <f t="shared" si="37"/>
        <v>55.342500000000001</v>
      </c>
      <c r="AT23" s="542">
        <f t="shared" si="37"/>
        <v>55.342500000000001</v>
      </c>
      <c r="AU23" s="542">
        <f t="shared" si="37"/>
        <v>55.342500000000001</v>
      </c>
      <c r="AV23" s="542">
        <f t="shared" si="37"/>
        <v>55.342500000000001</v>
      </c>
      <c r="AW23" s="542">
        <f t="shared" si="37"/>
        <v>55.342500000000001</v>
      </c>
      <c r="AX23" s="542">
        <f t="shared" si="37"/>
        <v>55.342500000000001</v>
      </c>
      <c r="AY23" s="542">
        <f t="shared" si="37"/>
        <v>55.342500000000001</v>
      </c>
      <c r="AZ23" s="542">
        <f t="shared" si="37"/>
        <v>55.342500000000001</v>
      </c>
      <c r="BA23" s="542">
        <f t="shared" si="37"/>
        <v>55.342500000000001</v>
      </c>
      <c r="BB23" s="542">
        <f t="shared" si="37"/>
        <v>55.342500000000001</v>
      </c>
      <c r="BC23" s="542">
        <f t="shared" si="37"/>
        <v>55.342500000000001</v>
      </c>
      <c r="BD23" s="542">
        <f t="shared" si="37"/>
        <v>55.342500000000001</v>
      </c>
      <c r="BE23" s="542">
        <f t="shared" si="37"/>
        <v>55.342500000000001</v>
      </c>
      <c r="BF23" s="542">
        <f t="shared" si="37"/>
        <v>55.342500000000001</v>
      </c>
      <c r="BG23" s="542">
        <f t="shared" si="37"/>
        <v>55.342500000000001</v>
      </c>
      <c r="BH23" s="542">
        <f t="shared" si="37"/>
        <v>55.342500000000001</v>
      </c>
      <c r="BI23" s="542">
        <f t="shared" si="37"/>
        <v>55.342500000000001</v>
      </c>
      <c r="BJ23" s="542">
        <f t="shared" si="37"/>
        <v>55.342500000000001</v>
      </c>
      <c r="BK23" s="542">
        <f t="shared" si="37"/>
        <v>55.342500000000001</v>
      </c>
      <c r="BL23" s="542">
        <f t="shared" si="37"/>
        <v>55.342500000000001</v>
      </c>
      <c r="BM23" s="542">
        <f t="shared" si="37"/>
        <v>55.342500000000001</v>
      </c>
      <c r="BN23" s="542">
        <f t="shared" ref="BN23:CE23" si="38">BM23</f>
        <v>55.342500000000001</v>
      </c>
      <c r="BO23" s="542">
        <f t="shared" si="38"/>
        <v>55.342500000000001</v>
      </c>
      <c r="BP23" s="542">
        <f t="shared" si="38"/>
        <v>55.342500000000001</v>
      </c>
      <c r="BQ23" s="542">
        <f t="shared" si="38"/>
        <v>55.342500000000001</v>
      </c>
      <c r="BR23" s="542">
        <f t="shared" si="38"/>
        <v>55.342500000000001</v>
      </c>
      <c r="BS23" s="542">
        <f t="shared" si="38"/>
        <v>55.342500000000001</v>
      </c>
      <c r="BT23" s="542">
        <f t="shared" si="38"/>
        <v>55.342500000000001</v>
      </c>
      <c r="BU23" s="542">
        <f t="shared" si="38"/>
        <v>55.342500000000001</v>
      </c>
      <c r="BV23" s="542">
        <f t="shared" si="38"/>
        <v>55.342500000000001</v>
      </c>
      <c r="BW23" s="542">
        <f t="shared" si="38"/>
        <v>55.342500000000001</v>
      </c>
      <c r="BX23" s="542">
        <f t="shared" si="38"/>
        <v>55.342500000000001</v>
      </c>
      <c r="BY23" s="542">
        <f t="shared" si="38"/>
        <v>55.342500000000001</v>
      </c>
      <c r="BZ23" s="542">
        <f t="shared" si="38"/>
        <v>55.342500000000001</v>
      </c>
      <c r="CA23" s="542">
        <f t="shared" si="38"/>
        <v>55.342500000000001</v>
      </c>
      <c r="CB23" s="542">
        <f t="shared" si="38"/>
        <v>55.342500000000001</v>
      </c>
      <c r="CC23" s="542">
        <f t="shared" si="38"/>
        <v>55.342500000000001</v>
      </c>
      <c r="CD23" s="542">
        <f t="shared" si="38"/>
        <v>55.342500000000001</v>
      </c>
      <c r="CE23" s="542">
        <f t="shared" si="38"/>
        <v>55.342500000000001</v>
      </c>
      <c r="CG23" s="541">
        <v>55.342500000000001</v>
      </c>
      <c r="CH23" s="541">
        <v>55.342500000000001</v>
      </c>
      <c r="CI23" s="541">
        <v>55.342500000000001</v>
      </c>
      <c r="CJ23" s="541">
        <v>55.342500000000001</v>
      </c>
      <c r="CK23" s="541">
        <v>55.342500000000001</v>
      </c>
      <c r="CL23" s="541">
        <v>55.342500000000001</v>
      </c>
      <c r="CM23" s="541">
        <v>55.342500000000001</v>
      </c>
      <c r="CN23" s="541">
        <v>55.342500000000001</v>
      </c>
      <c r="CO23" s="541">
        <v>55.342500000000001</v>
      </c>
      <c r="CP23" s="541">
        <v>55.342500000000001</v>
      </c>
      <c r="CQ23" s="541">
        <v>55.342500000000001</v>
      </c>
      <c r="CR23" s="541">
        <v>55.342500000000001</v>
      </c>
      <c r="CS23" s="541">
        <v>55.342500000000001</v>
      </c>
      <c r="CT23" s="541">
        <v>55.342500000000001</v>
      </c>
      <c r="CU23" s="541">
        <v>55.342500000000001</v>
      </c>
      <c r="CV23" s="541">
        <v>55.342500000000001</v>
      </c>
      <c r="CW23" s="541">
        <v>55.342500000000001</v>
      </c>
      <c r="CX23" s="541">
        <v>55.342500000000001</v>
      </c>
      <c r="CY23" s="541">
        <v>55.342500000000001</v>
      </c>
      <c r="CZ23" s="541">
        <v>55.342500000000001</v>
      </c>
      <c r="DA23" s="541">
        <v>55.342500000000001</v>
      </c>
      <c r="DB23" s="541">
        <v>55.342500000000001</v>
      </c>
      <c r="DC23" s="541">
        <v>55.342500000000001</v>
      </c>
      <c r="DD23" s="541">
        <v>55.342500000000001</v>
      </c>
      <c r="DE23" s="541">
        <v>55.342500000000001</v>
      </c>
      <c r="DF23" s="541">
        <v>55.342500000000001</v>
      </c>
      <c r="DG23" s="541">
        <v>55.342500000000001</v>
      </c>
      <c r="DH23" s="541">
        <v>55.342500000000001</v>
      </c>
    </row>
    <row r="24" spans="2:112">
      <c r="B24" t="s">
        <v>918</v>
      </c>
      <c r="C24" t="s">
        <v>713</v>
      </c>
      <c r="D24" t="s">
        <v>919</v>
      </c>
      <c r="E24" t="s">
        <v>911</v>
      </c>
      <c r="F24" s="541">
        <v>2.3271854545454547</v>
      </c>
      <c r="G24" s="541">
        <v>2.3271854545454547</v>
      </c>
      <c r="H24" s="541">
        <v>2.3271854545454547</v>
      </c>
      <c r="I24" s="541">
        <v>2.3271854545454547</v>
      </c>
      <c r="J24" s="541">
        <v>2.3271854545454547</v>
      </c>
      <c r="K24" s="541">
        <v>2.3271854545454547</v>
      </c>
      <c r="L24" s="541">
        <v>2.3271854545454547</v>
      </c>
      <c r="M24" s="541">
        <v>2.3271854545454547</v>
      </c>
      <c r="N24" s="541">
        <v>2.3271854545454547</v>
      </c>
      <c r="O24" s="541">
        <v>2.3271854545454547</v>
      </c>
      <c r="P24" s="541">
        <v>2.3271854545454547</v>
      </c>
      <c r="Q24" s="541">
        <v>2.3271854545454547</v>
      </c>
      <c r="R24" s="541">
        <v>2.3271854545454547</v>
      </c>
      <c r="S24" s="541">
        <v>2.3271854545454547</v>
      </c>
      <c r="T24" s="541">
        <v>2.3271854545454547</v>
      </c>
      <c r="U24" s="541">
        <v>2.3271854545454547</v>
      </c>
      <c r="V24" s="541">
        <v>2.3271854545454547</v>
      </c>
      <c r="W24" s="541">
        <v>2.3271854545454547</v>
      </c>
      <c r="X24" s="541">
        <v>2.3271854545454547</v>
      </c>
      <c r="Y24" s="541">
        <v>2.3271854545454547</v>
      </c>
      <c r="Z24" s="541">
        <v>2.3271854545454547</v>
      </c>
      <c r="AA24" s="541">
        <v>2.3271854545454547</v>
      </c>
      <c r="AB24" s="541">
        <v>2.3271854545454547</v>
      </c>
      <c r="AC24" s="541">
        <v>2.3271854545454547</v>
      </c>
      <c r="AD24" s="541">
        <v>2.3271854545454547</v>
      </c>
      <c r="AE24" s="541">
        <v>2.3271854545454547</v>
      </c>
      <c r="AF24" s="541">
        <v>2.3271854545454547</v>
      </c>
      <c r="AG24" s="541">
        <v>2.3271854545454547</v>
      </c>
      <c r="AH24" s="542">
        <f t="shared" ref="AH24:AW24" si="39">AG24</f>
        <v>2.3271854545454547</v>
      </c>
      <c r="AI24" s="542">
        <f t="shared" si="39"/>
        <v>2.3271854545454547</v>
      </c>
      <c r="AJ24" s="542">
        <f t="shared" si="39"/>
        <v>2.3271854545454547</v>
      </c>
      <c r="AK24" s="542">
        <f t="shared" si="39"/>
        <v>2.3271854545454547</v>
      </c>
      <c r="AL24" s="542">
        <f t="shared" si="39"/>
        <v>2.3271854545454547</v>
      </c>
      <c r="AM24" s="542">
        <f t="shared" si="39"/>
        <v>2.3271854545454547</v>
      </c>
      <c r="AN24" s="542">
        <f t="shared" si="39"/>
        <v>2.3271854545454547</v>
      </c>
      <c r="AO24" s="542">
        <f t="shared" si="39"/>
        <v>2.3271854545454547</v>
      </c>
      <c r="AP24" s="542">
        <f t="shared" si="39"/>
        <v>2.3271854545454547</v>
      </c>
      <c r="AQ24" s="542">
        <f t="shared" si="39"/>
        <v>2.3271854545454547</v>
      </c>
      <c r="AR24" s="542">
        <f t="shared" si="39"/>
        <v>2.3271854545454547</v>
      </c>
      <c r="AS24" s="542">
        <f t="shared" si="39"/>
        <v>2.3271854545454547</v>
      </c>
      <c r="AT24" s="542">
        <f t="shared" si="39"/>
        <v>2.3271854545454547</v>
      </c>
      <c r="AU24" s="542">
        <f t="shared" si="39"/>
        <v>2.3271854545454547</v>
      </c>
      <c r="AV24" s="542">
        <f t="shared" si="39"/>
        <v>2.3271854545454547</v>
      </c>
      <c r="AW24" s="542">
        <f t="shared" si="39"/>
        <v>2.3271854545454547</v>
      </c>
      <c r="AX24" s="542">
        <f t="shared" ref="AX24:BM26" si="40">AW24</f>
        <v>2.3271854545454547</v>
      </c>
      <c r="AY24" s="542">
        <f t="shared" si="40"/>
        <v>2.3271854545454547</v>
      </c>
      <c r="AZ24" s="542">
        <f t="shared" si="40"/>
        <v>2.3271854545454547</v>
      </c>
      <c r="BA24" s="542">
        <f t="shared" si="40"/>
        <v>2.3271854545454547</v>
      </c>
      <c r="BB24" s="542">
        <f t="shared" si="40"/>
        <v>2.3271854545454547</v>
      </c>
      <c r="BC24" s="542">
        <f t="shared" si="40"/>
        <v>2.3271854545454547</v>
      </c>
      <c r="BD24" s="542">
        <f t="shared" si="40"/>
        <v>2.3271854545454547</v>
      </c>
      <c r="BE24" s="542">
        <f t="shared" si="40"/>
        <v>2.3271854545454547</v>
      </c>
      <c r="BF24" s="542">
        <f t="shared" si="40"/>
        <v>2.3271854545454547</v>
      </c>
      <c r="BG24" s="542">
        <f t="shared" si="40"/>
        <v>2.3271854545454547</v>
      </c>
      <c r="BH24" s="542">
        <f t="shared" si="40"/>
        <v>2.3271854545454547</v>
      </c>
      <c r="BI24" s="542">
        <f t="shared" si="40"/>
        <v>2.3271854545454547</v>
      </c>
      <c r="BJ24" s="542">
        <f t="shared" si="40"/>
        <v>2.3271854545454547</v>
      </c>
      <c r="BK24" s="542">
        <f t="shared" si="40"/>
        <v>2.3271854545454547</v>
      </c>
      <c r="BL24" s="542">
        <f t="shared" si="40"/>
        <v>2.3271854545454547</v>
      </c>
      <c r="BM24" s="542">
        <f t="shared" si="40"/>
        <v>2.3271854545454547</v>
      </c>
      <c r="BN24" s="542">
        <f t="shared" ref="BN24:CC26" si="41">BM24</f>
        <v>2.3271854545454547</v>
      </c>
      <c r="BO24" s="542">
        <f t="shared" si="41"/>
        <v>2.3271854545454547</v>
      </c>
      <c r="BP24" s="542">
        <f t="shared" si="41"/>
        <v>2.3271854545454547</v>
      </c>
      <c r="BQ24" s="542">
        <f t="shared" si="41"/>
        <v>2.3271854545454547</v>
      </c>
      <c r="BR24" s="542">
        <f t="shared" si="41"/>
        <v>2.3271854545454547</v>
      </c>
      <c r="BS24" s="542">
        <f t="shared" si="41"/>
        <v>2.3271854545454547</v>
      </c>
      <c r="BT24" s="542">
        <f t="shared" si="41"/>
        <v>2.3271854545454547</v>
      </c>
      <c r="BU24" s="542">
        <f t="shared" si="41"/>
        <v>2.3271854545454547</v>
      </c>
      <c r="BV24" s="542">
        <f t="shared" si="41"/>
        <v>2.3271854545454547</v>
      </c>
      <c r="BW24" s="542">
        <f t="shared" si="41"/>
        <v>2.3271854545454547</v>
      </c>
      <c r="BX24" s="542">
        <f t="shared" si="41"/>
        <v>2.3271854545454547</v>
      </c>
      <c r="BY24" s="542">
        <f t="shared" si="41"/>
        <v>2.3271854545454547</v>
      </c>
      <c r="BZ24" s="542">
        <f t="shared" si="41"/>
        <v>2.3271854545454547</v>
      </c>
      <c r="CA24" s="542">
        <f t="shared" si="41"/>
        <v>2.3271854545454547</v>
      </c>
      <c r="CB24" s="542">
        <f t="shared" si="41"/>
        <v>2.3271854545454547</v>
      </c>
      <c r="CC24" s="542">
        <f t="shared" si="41"/>
        <v>2.3271854545454547</v>
      </c>
      <c r="CD24" s="542">
        <f t="shared" ref="CD24:CE26" si="42">CC24</f>
        <v>2.3271854545454547</v>
      </c>
      <c r="CE24" s="542">
        <f t="shared" si="42"/>
        <v>2.3271854545454547</v>
      </c>
      <c r="CG24" s="541">
        <v>2.3271854545454547</v>
      </c>
      <c r="CH24" s="541">
        <v>2.3271854545454547</v>
      </c>
      <c r="CI24" s="541">
        <v>2.3271854545454547</v>
      </c>
      <c r="CJ24" s="541">
        <v>2.3271854545454547</v>
      </c>
      <c r="CK24" s="541">
        <v>2.3271854545454547</v>
      </c>
      <c r="CL24" s="541">
        <v>2.3271854545454547</v>
      </c>
      <c r="CM24" s="541">
        <v>2.3271854545454547</v>
      </c>
      <c r="CN24" s="541">
        <v>2.3271854545454547</v>
      </c>
      <c r="CO24" s="541">
        <v>2.3271854545454547</v>
      </c>
      <c r="CP24" s="541">
        <v>2.3271854545454547</v>
      </c>
      <c r="CQ24" s="541">
        <v>2.3271854545454547</v>
      </c>
      <c r="CR24" s="541">
        <v>2.3271854545454547</v>
      </c>
      <c r="CS24" s="541">
        <v>2.3271854545454547</v>
      </c>
      <c r="CT24" s="541">
        <v>2.3271854545454547</v>
      </c>
      <c r="CU24" s="541">
        <v>2.3271854545454547</v>
      </c>
      <c r="CV24" s="541">
        <v>2.3271854545454547</v>
      </c>
      <c r="CW24" s="541">
        <v>2.3271854545454547</v>
      </c>
      <c r="CX24" s="541">
        <v>2.3271854545454547</v>
      </c>
      <c r="CY24" s="541">
        <v>2.3271854545454547</v>
      </c>
      <c r="CZ24" s="541">
        <v>2.3271854545454547</v>
      </c>
      <c r="DA24" s="541">
        <v>2.3271854545454547</v>
      </c>
      <c r="DB24" s="541">
        <v>2.3271854545454547</v>
      </c>
      <c r="DC24" s="541">
        <v>2.3271854545454547</v>
      </c>
      <c r="DD24" s="541">
        <v>2.3271854545454547</v>
      </c>
      <c r="DE24" s="541">
        <v>2.3271854545454547</v>
      </c>
      <c r="DF24" s="541">
        <v>2.3271854545454547</v>
      </c>
      <c r="DG24" s="541">
        <v>2.3271854545454547</v>
      </c>
      <c r="DH24" s="541">
        <v>2.3271854545454547</v>
      </c>
    </row>
    <row r="25" spans="2:112">
      <c r="B25" t="s">
        <v>920</v>
      </c>
      <c r="C25" t="s">
        <v>713</v>
      </c>
      <c r="D25" t="s">
        <v>921</v>
      </c>
      <c r="E25" t="s">
        <v>908</v>
      </c>
      <c r="F25" s="541">
        <v>57.357500000000002</v>
      </c>
      <c r="G25" s="541">
        <v>57.357500000000002</v>
      </c>
      <c r="H25" s="541">
        <v>57.357500000000002</v>
      </c>
      <c r="I25" s="541">
        <v>57.357500000000002</v>
      </c>
      <c r="J25" s="541">
        <v>57.357500000000002</v>
      </c>
      <c r="K25" s="541">
        <v>57.357500000000002</v>
      </c>
      <c r="L25" s="541">
        <v>57.357500000000002</v>
      </c>
      <c r="M25" s="541">
        <v>57.357500000000002</v>
      </c>
      <c r="N25" s="541">
        <v>57.357500000000002</v>
      </c>
      <c r="O25" s="541">
        <v>57.357500000000002</v>
      </c>
      <c r="P25" s="541">
        <v>57.357500000000002</v>
      </c>
      <c r="Q25" s="541">
        <v>57.357500000000002</v>
      </c>
      <c r="R25" s="541">
        <v>57.357500000000002</v>
      </c>
      <c r="S25" s="541">
        <v>57.357500000000002</v>
      </c>
      <c r="T25" s="541">
        <v>57.357500000000002</v>
      </c>
      <c r="U25" s="541">
        <v>57.357500000000002</v>
      </c>
      <c r="V25" s="541">
        <v>57.357500000000002</v>
      </c>
      <c r="W25" s="541">
        <v>57.357500000000002</v>
      </c>
      <c r="X25" s="541">
        <v>57.357500000000002</v>
      </c>
      <c r="Y25" s="541">
        <v>57.357500000000002</v>
      </c>
      <c r="Z25" s="541">
        <v>57.357500000000002</v>
      </c>
      <c r="AA25" s="541">
        <v>57.357500000000002</v>
      </c>
      <c r="AB25" s="541">
        <v>57.357500000000002</v>
      </c>
      <c r="AC25" s="541">
        <v>57.357500000000002</v>
      </c>
      <c r="AD25" s="541">
        <v>57.357500000000002</v>
      </c>
      <c r="AE25" s="541">
        <v>57.357500000000002</v>
      </c>
      <c r="AF25" s="541">
        <v>57.357500000000002</v>
      </c>
      <c r="AG25" s="541">
        <v>57.357500000000002</v>
      </c>
      <c r="AH25" s="542">
        <f>AG25</f>
        <v>57.357500000000002</v>
      </c>
      <c r="AI25" s="542">
        <f t="shared" ref="AI25:AX26" si="43">AH25</f>
        <v>57.357500000000002</v>
      </c>
      <c r="AJ25" s="542">
        <f t="shared" si="43"/>
        <v>57.357500000000002</v>
      </c>
      <c r="AK25" s="542">
        <f t="shared" si="43"/>
        <v>57.357500000000002</v>
      </c>
      <c r="AL25" s="542">
        <f t="shared" si="43"/>
        <v>57.357500000000002</v>
      </c>
      <c r="AM25" s="542">
        <f t="shared" si="43"/>
        <v>57.357500000000002</v>
      </c>
      <c r="AN25" s="542">
        <f t="shared" si="43"/>
        <v>57.357500000000002</v>
      </c>
      <c r="AO25" s="542">
        <f t="shared" si="43"/>
        <v>57.357500000000002</v>
      </c>
      <c r="AP25" s="542">
        <f t="shared" si="43"/>
        <v>57.357500000000002</v>
      </c>
      <c r="AQ25" s="542">
        <f t="shared" si="43"/>
        <v>57.357500000000002</v>
      </c>
      <c r="AR25" s="542">
        <f t="shared" si="43"/>
        <v>57.357500000000002</v>
      </c>
      <c r="AS25" s="542">
        <f t="shared" si="43"/>
        <v>57.357500000000002</v>
      </c>
      <c r="AT25" s="542">
        <f t="shared" si="43"/>
        <v>57.357500000000002</v>
      </c>
      <c r="AU25" s="542">
        <f t="shared" si="43"/>
        <v>57.357500000000002</v>
      </c>
      <c r="AV25" s="542">
        <f t="shared" si="43"/>
        <v>57.357500000000002</v>
      </c>
      <c r="AW25" s="542">
        <f t="shared" si="43"/>
        <v>57.357500000000002</v>
      </c>
      <c r="AX25" s="542">
        <f t="shared" si="43"/>
        <v>57.357500000000002</v>
      </c>
      <c r="AY25" s="542">
        <f t="shared" si="40"/>
        <v>57.357500000000002</v>
      </c>
      <c r="AZ25" s="542">
        <f t="shared" si="40"/>
        <v>57.357500000000002</v>
      </c>
      <c r="BA25" s="542">
        <f t="shared" si="40"/>
        <v>57.357500000000002</v>
      </c>
      <c r="BB25" s="542">
        <f t="shared" si="40"/>
        <v>57.357500000000002</v>
      </c>
      <c r="BC25" s="542">
        <f t="shared" si="40"/>
        <v>57.357500000000002</v>
      </c>
      <c r="BD25" s="542">
        <f t="shared" si="40"/>
        <v>57.357500000000002</v>
      </c>
      <c r="BE25" s="542">
        <f t="shared" si="40"/>
        <v>57.357500000000002</v>
      </c>
      <c r="BF25" s="542">
        <f t="shared" si="40"/>
        <v>57.357500000000002</v>
      </c>
      <c r="BG25" s="542">
        <f t="shared" si="40"/>
        <v>57.357500000000002</v>
      </c>
      <c r="BH25" s="542">
        <f t="shared" si="40"/>
        <v>57.357500000000002</v>
      </c>
      <c r="BI25" s="542">
        <f t="shared" si="40"/>
        <v>57.357500000000002</v>
      </c>
      <c r="BJ25" s="542">
        <f t="shared" si="40"/>
        <v>57.357500000000002</v>
      </c>
      <c r="BK25" s="542">
        <f t="shared" si="40"/>
        <v>57.357500000000002</v>
      </c>
      <c r="BL25" s="542">
        <f t="shared" si="40"/>
        <v>57.357500000000002</v>
      </c>
      <c r="BM25" s="542">
        <f t="shared" si="40"/>
        <v>57.357500000000002</v>
      </c>
      <c r="BN25" s="542">
        <f t="shared" si="41"/>
        <v>57.357500000000002</v>
      </c>
      <c r="BO25" s="542">
        <f t="shared" si="41"/>
        <v>57.357500000000002</v>
      </c>
      <c r="BP25" s="542">
        <f t="shared" si="41"/>
        <v>57.357500000000002</v>
      </c>
      <c r="BQ25" s="542">
        <f t="shared" si="41"/>
        <v>57.357500000000002</v>
      </c>
      <c r="BR25" s="542">
        <f t="shared" si="41"/>
        <v>57.357500000000002</v>
      </c>
      <c r="BS25" s="542">
        <f t="shared" si="41"/>
        <v>57.357500000000002</v>
      </c>
      <c r="BT25" s="542">
        <f t="shared" si="41"/>
        <v>57.357500000000002</v>
      </c>
      <c r="BU25" s="542">
        <f t="shared" si="41"/>
        <v>57.357500000000002</v>
      </c>
      <c r="BV25" s="542">
        <f t="shared" si="41"/>
        <v>57.357500000000002</v>
      </c>
      <c r="BW25" s="542">
        <f t="shared" si="41"/>
        <v>57.357500000000002</v>
      </c>
      <c r="BX25" s="542">
        <f t="shared" si="41"/>
        <v>57.357500000000002</v>
      </c>
      <c r="BY25" s="542">
        <f t="shared" si="41"/>
        <v>57.357500000000002</v>
      </c>
      <c r="BZ25" s="542">
        <f t="shared" si="41"/>
        <v>57.357500000000002</v>
      </c>
      <c r="CA25" s="542">
        <f t="shared" si="41"/>
        <v>57.357500000000002</v>
      </c>
      <c r="CB25" s="542">
        <f t="shared" si="41"/>
        <v>57.357500000000002</v>
      </c>
      <c r="CC25" s="542">
        <f t="shared" si="41"/>
        <v>57.357500000000002</v>
      </c>
      <c r="CD25" s="542">
        <f t="shared" si="42"/>
        <v>57.357500000000002</v>
      </c>
      <c r="CE25" s="542">
        <f t="shared" si="42"/>
        <v>57.357500000000002</v>
      </c>
      <c r="CG25" s="541">
        <v>57.357500000000002</v>
      </c>
      <c r="CH25" s="541">
        <v>57.357500000000002</v>
      </c>
      <c r="CI25" s="541">
        <v>57.357500000000002</v>
      </c>
      <c r="CJ25" s="541">
        <v>57.357500000000002</v>
      </c>
      <c r="CK25" s="541">
        <v>57.357500000000002</v>
      </c>
      <c r="CL25" s="541">
        <v>57.357500000000002</v>
      </c>
      <c r="CM25" s="541">
        <v>57.357500000000002</v>
      </c>
      <c r="CN25" s="541">
        <v>57.357500000000002</v>
      </c>
      <c r="CO25" s="541">
        <v>57.357500000000002</v>
      </c>
      <c r="CP25" s="541">
        <v>57.357500000000002</v>
      </c>
      <c r="CQ25" s="541">
        <v>57.357500000000002</v>
      </c>
      <c r="CR25" s="541">
        <v>57.357500000000002</v>
      </c>
      <c r="CS25" s="541">
        <v>57.357500000000002</v>
      </c>
      <c r="CT25" s="541">
        <v>57.357500000000002</v>
      </c>
      <c r="CU25" s="541">
        <v>57.357500000000002</v>
      </c>
      <c r="CV25" s="541">
        <v>57.357500000000002</v>
      </c>
      <c r="CW25" s="541">
        <v>57.357500000000002</v>
      </c>
      <c r="CX25" s="541">
        <v>57.357500000000002</v>
      </c>
      <c r="CY25" s="541">
        <v>57.357500000000002</v>
      </c>
      <c r="CZ25" s="541">
        <v>57.357500000000002</v>
      </c>
      <c r="DA25" s="541">
        <v>57.357500000000002</v>
      </c>
      <c r="DB25" s="541">
        <v>57.357500000000002</v>
      </c>
      <c r="DC25" s="541">
        <v>57.357500000000002</v>
      </c>
      <c r="DD25" s="541">
        <v>57.357500000000002</v>
      </c>
      <c r="DE25" s="541">
        <v>57.357500000000002</v>
      </c>
      <c r="DF25" s="541">
        <v>57.357500000000002</v>
      </c>
      <c r="DG25" s="541">
        <v>57.357500000000002</v>
      </c>
      <c r="DH25" s="541">
        <v>57.357500000000002</v>
      </c>
    </row>
    <row r="26" spans="2:112">
      <c r="B26" t="s">
        <v>922</v>
      </c>
      <c r="C26" t="s">
        <v>713</v>
      </c>
      <c r="D26" t="s">
        <v>923</v>
      </c>
      <c r="E26" t="s">
        <v>911</v>
      </c>
      <c r="F26" s="541">
        <v>2.3473354545454548</v>
      </c>
      <c r="G26" s="541">
        <v>2.3473354545454548</v>
      </c>
      <c r="H26" s="541">
        <v>2.3473354545454548</v>
      </c>
      <c r="I26" s="541">
        <v>2.3473354545454548</v>
      </c>
      <c r="J26" s="541">
        <v>2.3473354545454548</v>
      </c>
      <c r="K26" s="541">
        <v>2.3473354545454548</v>
      </c>
      <c r="L26" s="541">
        <v>2.3473354545454548</v>
      </c>
      <c r="M26" s="541">
        <v>2.3473354545454548</v>
      </c>
      <c r="N26" s="541">
        <v>2.3473354545454548</v>
      </c>
      <c r="O26" s="541">
        <v>2.3473354545454548</v>
      </c>
      <c r="P26" s="541">
        <v>2.3473354545454548</v>
      </c>
      <c r="Q26" s="541">
        <v>2.3473354545454548</v>
      </c>
      <c r="R26" s="541">
        <v>2.3473354545454548</v>
      </c>
      <c r="S26" s="541">
        <v>2.3473354545454548</v>
      </c>
      <c r="T26" s="541">
        <v>2.3473354545454548</v>
      </c>
      <c r="U26" s="541">
        <v>2.3473354545454548</v>
      </c>
      <c r="V26" s="541">
        <v>2.3473354545454548</v>
      </c>
      <c r="W26" s="541">
        <v>2.3473354545454548</v>
      </c>
      <c r="X26" s="541">
        <v>2.3473354545454548</v>
      </c>
      <c r="Y26" s="541">
        <v>2.3473354545454548</v>
      </c>
      <c r="Z26" s="541">
        <v>2.3473354545454548</v>
      </c>
      <c r="AA26" s="541">
        <v>2.3473354545454548</v>
      </c>
      <c r="AB26" s="541">
        <v>2.3473354545454548</v>
      </c>
      <c r="AC26" s="541">
        <v>2.3473354545454548</v>
      </c>
      <c r="AD26" s="541">
        <v>2.3473354545454548</v>
      </c>
      <c r="AE26" s="541">
        <v>2.3473354545454548</v>
      </c>
      <c r="AF26" s="541">
        <v>2.3473354545454548</v>
      </c>
      <c r="AG26" s="541">
        <v>2.3473354545454548</v>
      </c>
      <c r="AH26" s="542">
        <f>AG26</f>
        <v>2.3473354545454548</v>
      </c>
      <c r="AI26" s="542">
        <f t="shared" si="43"/>
        <v>2.3473354545454548</v>
      </c>
      <c r="AJ26" s="542">
        <f t="shared" si="43"/>
        <v>2.3473354545454548</v>
      </c>
      <c r="AK26" s="542">
        <f t="shared" si="43"/>
        <v>2.3473354545454548</v>
      </c>
      <c r="AL26" s="542">
        <f t="shared" si="43"/>
        <v>2.3473354545454548</v>
      </c>
      <c r="AM26" s="542">
        <f t="shared" si="43"/>
        <v>2.3473354545454548</v>
      </c>
      <c r="AN26" s="542">
        <f t="shared" si="43"/>
        <v>2.3473354545454548</v>
      </c>
      <c r="AO26" s="542">
        <f t="shared" si="43"/>
        <v>2.3473354545454548</v>
      </c>
      <c r="AP26" s="542">
        <f t="shared" si="43"/>
        <v>2.3473354545454548</v>
      </c>
      <c r="AQ26" s="542">
        <f t="shared" si="43"/>
        <v>2.3473354545454548</v>
      </c>
      <c r="AR26" s="542">
        <f t="shared" si="43"/>
        <v>2.3473354545454548</v>
      </c>
      <c r="AS26" s="542">
        <f t="shared" si="43"/>
        <v>2.3473354545454548</v>
      </c>
      <c r="AT26" s="542">
        <f t="shared" si="43"/>
        <v>2.3473354545454548</v>
      </c>
      <c r="AU26" s="542">
        <f t="shared" si="43"/>
        <v>2.3473354545454548</v>
      </c>
      <c r="AV26" s="542">
        <f t="shared" si="43"/>
        <v>2.3473354545454548</v>
      </c>
      <c r="AW26" s="542">
        <f t="shared" si="43"/>
        <v>2.3473354545454548</v>
      </c>
      <c r="AX26" s="542">
        <f t="shared" si="43"/>
        <v>2.3473354545454548</v>
      </c>
      <c r="AY26" s="542">
        <f t="shared" si="40"/>
        <v>2.3473354545454548</v>
      </c>
      <c r="AZ26" s="542">
        <f t="shared" si="40"/>
        <v>2.3473354545454548</v>
      </c>
      <c r="BA26" s="542">
        <f t="shared" si="40"/>
        <v>2.3473354545454548</v>
      </c>
      <c r="BB26" s="542">
        <f t="shared" si="40"/>
        <v>2.3473354545454548</v>
      </c>
      <c r="BC26" s="542">
        <f t="shared" si="40"/>
        <v>2.3473354545454548</v>
      </c>
      <c r="BD26" s="542">
        <f t="shared" si="40"/>
        <v>2.3473354545454548</v>
      </c>
      <c r="BE26" s="542">
        <f t="shared" si="40"/>
        <v>2.3473354545454548</v>
      </c>
      <c r="BF26" s="542">
        <f t="shared" si="40"/>
        <v>2.3473354545454548</v>
      </c>
      <c r="BG26" s="542">
        <f t="shared" si="40"/>
        <v>2.3473354545454548</v>
      </c>
      <c r="BH26" s="542">
        <f t="shared" si="40"/>
        <v>2.3473354545454548</v>
      </c>
      <c r="BI26" s="542">
        <f t="shared" si="40"/>
        <v>2.3473354545454548</v>
      </c>
      <c r="BJ26" s="542">
        <f t="shared" si="40"/>
        <v>2.3473354545454548</v>
      </c>
      <c r="BK26" s="542">
        <f t="shared" si="40"/>
        <v>2.3473354545454548</v>
      </c>
      <c r="BL26" s="542">
        <f t="shared" si="40"/>
        <v>2.3473354545454548</v>
      </c>
      <c r="BM26" s="542">
        <f t="shared" si="40"/>
        <v>2.3473354545454548</v>
      </c>
      <c r="BN26" s="542">
        <f t="shared" si="41"/>
        <v>2.3473354545454548</v>
      </c>
      <c r="BO26" s="542">
        <f t="shared" si="41"/>
        <v>2.3473354545454548</v>
      </c>
      <c r="BP26" s="542">
        <f t="shared" si="41"/>
        <v>2.3473354545454548</v>
      </c>
      <c r="BQ26" s="542">
        <f t="shared" si="41"/>
        <v>2.3473354545454548</v>
      </c>
      <c r="BR26" s="542">
        <f t="shared" si="41"/>
        <v>2.3473354545454548</v>
      </c>
      <c r="BS26" s="542">
        <f t="shared" si="41"/>
        <v>2.3473354545454548</v>
      </c>
      <c r="BT26" s="542">
        <f t="shared" si="41"/>
        <v>2.3473354545454548</v>
      </c>
      <c r="BU26" s="542">
        <f t="shared" si="41"/>
        <v>2.3473354545454548</v>
      </c>
      <c r="BV26" s="542">
        <f t="shared" si="41"/>
        <v>2.3473354545454548</v>
      </c>
      <c r="BW26" s="542">
        <f t="shared" si="41"/>
        <v>2.3473354545454548</v>
      </c>
      <c r="BX26" s="542">
        <f t="shared" si="41"/>
        <v>2.3473354545454548</v>
      </c>
      <c r="BY26" s="542">
        <f t="shared" si="41"/>
        <v>2.3473354545454548</v>
      </c>
      <c r="BZ26" s="542">
        <f t="shared" si="41"/>
        <v>2.3473354545454548</v>
      </c>
      <c r="CA26" s="542">
        <f t="shared" si="41"/>
        <v>2.3473354545454548</v>
      </c>
      <c r="CB26" s="542">
        <f t="shared" si="41"/>
        <v>2.3473354545454548</v>
      </c>
      <c r="CC26" s="542">
        <f t="shared" si="41"/>
        <v>2.3473354545454548</v>
      </c>
      <c r="CD26" s="542">
        <f t="shared" si="42"/>
        <v>2.3473354545454548</v>
      </c>
      <c r="CE26" s="542">
        <f t="shared" si="42"/>
        <v>2.3473354545454548</v>
      </c>
      <c r="CG26" s="541">
        <v>2.3473354545454548</v>
      </c>
      <c r="CH26" s="541">
        <v>2.3473354545454548</v>
      </c>
      <c r="CI26" s="541">
        <v>2.3473354545454548</v>
      </c>
      <c r="CJ26" s="541">
        <v>2.3473354545454548</v>
      </c>
      <c r="CK26" s="541">
        <v>2.3473354545454548</v>
      </c>
      <c r="CL26" s="541">
        <v>2.3473354545454548</v>
      </c>
      <c r="CM26" s="541">
        <v>2.3473354545454548</v>
      </c>
      <c r="CN26" s="541">
        <v>2.3473354545454548</v>
      </c>
      <c r="CO26" s="541">
        <v>2.3473354545454548</v>
      </c>
      <c r="CP26" s="541">
        <v>2.3473354545454548</v>
      </c>
      <c r="CQ26" s="541">
        <v>2.3473354545454548</v>
      </c>
      <c r="CR26" s="541">
        <v>2.3473354545454548</v>
      </c>
      <c r="CS26" s="541">
        <v>2.3473354545454548</v>
      </c>
      <c r="CT26" s="541">
        <v>2.3473354545454548</v>
      </c>
      <c r="CU26" s="541">
        <v>2.3473354545454548</v>
      </c>
      <c r="CV26" s="541">
        <v>2.3473354545454548</v>
      </c>
      <c r="CW26" s="541">
        <v>2.3473354545454548</v>
      </c>
      <c r="CX26" s="541">
        <v>2.3473354545454548</v>
      </c>
      <c r="CY26" s="541">
        <v>2.3473354545454548</v>
      </c>
      <c r="CZ26" s="541">
        <v>2.3473354545454548</v>
      </c>
      <c r="DA26" s="541">
        <v>2.3473354545454548</v>
      </c>
      <c r="DB26" s="541">
        <v>2.3473354545454548</v>
      </c>
      <c r="DC26" s="541">
        <v>2.3473354545454548</v>
      </c>
      <c r="DD26" s="541">
        <v>2.3473354545454548</v>
      </c>
      <c r="DE26" s="541">
        <v>2.3473354545454548</v>
      </c>
      <c r="DF26" s="541">
        <v>2.3473354545454548</v>
      </c>
      <c r="DG26" s="541">
        <v>2.3473354545454548</v>
      </c>
      <c r="DH26" s="541">
        <v>2.3473354545454548</v>
      </c>
    </row>
    <row r="27" spans="2:112">
      <c r="B27" t="s">
        <v>924</v>
      </c>
    </row>
    <row r="28" spans="2:112" ht="15">
      <c r="B28" t="s">
        <v>925</v>
      </c>
      <c r="C28" s="485" t="s">
        <v>126</v>
      </c>
      <c r="D28" s="485" t="s">
        <v>877</v>
      </c>
      <c r="E28" s="485" t="s">
        <v>111</v>
      </c>
      <c r="F28" s="486">
        <f>2023</f>
        <v>2023</v>
      </c>
      <c r="G28" s="486">
        <f>F28+1</f>
        <v>2024</v>
      </c>
      <c r="H28" s="486">
        <f t="shared" ref="H28:AG28" si="44">G28+1</f>
        <v>2025</v>
      </c>
      <c r="I28" s="486">
        <f t="shared" si="44"/>
        <v>2026</v>
      </c>
      <c r="J28" s="486">
        <f t="shared" si="44"/>
        <v>2027</v>
      </c>
      <c r="K28" s="486">
        <f t="shared" si="44"/>
        <v>2028</v>
      </c>
      <c r="L28" s="486">
        <f t="shared" si="44"/>
        <v>2029</v>
      </c>
      <c r="M28" s="486">
        <f t="shared" si="44"/>
        <v>2030</v>
      </c>
      <c r="N28" s="486">
        <f t="shared" si="44"/>
        <v>2031</v>
      </c>
      <c r="O28" s="486">
        <f t="shared" si="44"/>
        <v>2032</v>
      </c>
      <c r="P28" s="486">
        <f t="shared" si="44"/>
        <v>2033</v>
      </c>
      <c r="Q28" s="486">
        <f t="shared" si="44"/>
        <v>2034</v>
      </c>
      <c r="R28" s="486">
        <f t="shared" si="44"/>
        <v>2035</v>
      </c>
      <c r="S28" s="486">
        <f t="shared" si="44"/>
        <v>2036</v>
      </c>
      <c r="T28" s="486">
        <f t="shared" si="44"/>
        <v>2037</v>
      </c>
      <c r="U28" s="486">
        <f t="shared" si="44"/>
        <v>2038</v>
      </c>
      <c r="V28" s="486">
        <f t="shared" si="44"/>
        <v>2039</v>
      </c>
      <c r="W28" s="486">
        <f t="shared" si="44"/>
        <v>2040</v>
      </c>
      <c r="X28" s="486">
        <f t="shared" si="44"/>
        <v>2041</v>
      </c>
      <c r="Y28" s="486">
        <f t="shared" si="44"/>
        <v>2042</v>
      </c>
      <c r="Z28" s="486">
        <f t="shared" si="44"/>
        <v>2043</v>
      </c>
      <c r="AA28" s="486">
        <f t="shared" si="44"/>
        <v>2044</v>
      </c>
      <c r="AB28" s="486">
        <f t="shared" si="44"/>
        <v>2045</v>
      </c>
      <c r="AC28" s="486">
        <f t="shared" si="44"/>
        <v>2046</v>
      </c>
      <c r="AD28" s="486">
        <f t="shared" si="44"/>
        <v>2047</v>
      </c>
      <c r="AE28" s="486">
        <f t="shared" si="44"/>
        <v>2048</v>
      </c>
      <c r="AF28" s="486">
        <f t="shared" si="44"/>
        <v>2049</v>
      </c>
      <c r="AG28" s="486">
        <f t="shared" si="44"/>
        <v>2050</v>
      </c>
      <c r="AH28" s="524">
        <f>AG28+1</f>
        <v>2051</v>
      </c>
      <c r="AI28" s="524">
        <f t="shared" ref="AI28:CE28" si="45">AH28+1</f>
        <v>2052</v>
      </c>
      <c r="AJ28" s="524">
        <f t="shared" si="45"/>
        <v>2053</v>
      </c>
      <c r="AK28" s="524">
        <f t="shared" si="45"/>
        <v>2054</v>
      </c>
      <c r="AL28" s="524">
        <f t="shared" si="45"/>
        <v>2055</v>
      </c>
      <c r="AM28" s="524">
        <f t="shared" si="45"/>
        <v>2056</v>
      </c>
      <c r="AN28" s="524">
        <f t="shared" si="45"/>
        <v>2057</v>
      </c>
      <c r="AO28" s="524">
        <f t="shared" si="45"/>
        <v>2058</v>
      </c>
      <c r="AP28" s="524">
        <f t="shared" si="45"/>
        <v>2059</v>
      </c>
      <c r="AQ28" s="524">
        <f t="shared" si="45"/>
        <v>2060</v>
      </c>
      <c r="AR28" s="524">
        <f t="shared" si="45"/>
        <v>2061</v>
      </c>
      <c r="AS28" s="524">
        <f t="shared" si="45"/>
        <v>2062</v>
      </c>
      <c r="AT28" s="524">
        <f t="shared" si="45"/>
        <v>2063</v>
      </c>
      <c r="AU28" s="524">
        <f t="shared" si="45"/>
        <v>2064</v>
      </c>
      <c r="AV28" s="524">
        <f t="shared" si="45"/>
        <v>2065</v>
      </c>
      <c r="AW28" s="524">
        <f t="shared" si="45"/>
        <v>2066</v>
      </c>
      <c r="AX28" s="524">
        <f t="shared" si="45"/>
        <v>2067</v>
      </c>
      <c r="AY28" s="524">
        <f t="shared" si="45"/>
        <v>2068</v>
      </c>
      <c r="AZ28" s="524">
        <f t="shared" si="45"/>
        <v>2069</v>
      </c>
      <c r="BA28" s="524">
        <f t="shared" si="45"/>
        <v>2070</v>
      </c>
      <c r="BB28" s="524">
        <f t="shared" si="45"/>
        <v>2071</v>
      </c>
      <c r="BC28" s="524">
        <f t="shared" si="45"/>
        <v>2072</v>
      </c>
      <c r="BD28" s="524">
        <f t="shared" si="45"/>
        <v>2073</v>
      </c>
      <c r="BE28" s="524">
        <f t="shared" si="45"/>
        <v>2074</v>
      </c>
      <c r="BF28" s="524">
        <f t="shared" si="45"/>
        <v>2075</v>
      </c>
      <c r="BG28" s="524">
        <f t="shared" si="45"/>
        <v>2076</v>
      </c>
      <c r="BH28" s="524">
        <f t="shared" si="45"/>
        <v>2077</v>
      </c>
      <c r="BI28" s="524">
        <f t="shared" si="45"/>
        <v>2078</v>
      </c>
      <c r="BJ28" s="524">
        <f t="shared" si="45"/>
        <v>2079</v>
      </c>
      <c r="BK28" s="524">
        <f t="shared" si="45"/>
        <v>2080</v>
      </c>
      <c r="BL28" s="524">
        <f t="shared" si="45"/>
        <v>2081</v>
      </c>
      <c r="BM28" s="524">
        <f t="shared" si="45"/>
        <v>2082</v>
      </c>
      <c r="BN28" s="524">
        <f t="shared" si="45"/>
        <v>2083</v>
      </c>
      <c r="BO28" s="524">
        <f t="shared" si="45"/>
        <v>2084</v>
      </c>
      <c r="BP28" s="524">
        <f t="shared" si="45"/>
        <v>2085</v>
      </c>
      <c r="BQ28" s="524">
        <f t="shared" si="45"/>
        <v>2086</v>
      </c>
      <c r="BR28" s="524">
        <f t="shared" si="45"/>
        <v>2087</v>
      </c>
      <c r="BS28" s="524">
        <f t="shared" si="45"/>
        <v>2088</v>
      </c>
      <c r="BT28" s="524">
        <f t="shared" si="45"/>
        <v>2089</v>
      </c>
      <c r="BU28" s="524">
        <f t="shared" si="45"/>
        <v>2090</v>
      </c>
      <c r="BV28" s="524">
        <f t="shared" si="45"/>
        <v>2091</v>
      </c>
      <c r="BW28" s="524">
        <f t="shared" si="45"/>
        <v>2092</v>
      </c>
      <c r="BX28" s="524">
        <f t="shared" si="45"/>
        <v>2093</v>
      </c>
      <c r="BY28" s="524">
        <f t="shared" si="45"/>
        <v>2094</v>
      </c>
      <c r="BZ28" s="524">
        <f t="shared" si="45"/>
        <v>2095</v>
      </c>
      <c r="CA28" s="524">
        <f t="shared" si="45"/>
        <v>2096</v>
      </c>
      <c r="CB28" s="524">
        <f t="shared" si="45"/>
        <v>2097</v>
      </c>
      <c r="CC28" s="524">
        <f t="shared" si="45"/>
        <v>2098</v>
      </c>
      <c r="CD28" s="524">
        <f t="shared" si="45"/>
        <v>2099</v>
      </c>
      <c r="CE28" s="524">
        <f t="shared" si="45"/>
        <v>2100</v>
      </c>
      <c r="CG28" s="486">
        <v>2023</v>
      </c>
      <c r="CH28" s="486">
        <v>2024</v>
      </c>
      <c r="CI28" s="486">
        <v>2025</v>
      </c>
      <c r="CJ28" s="486">
        <v>2026</v>
      </c>
      <c r="CK28" s="486">
        <v>2027</v>
      </c>
      <c r="CL28" s="486">
        <v>2028</v>
      </c>
      <c r="CM28" s="486">
        <v>2029</v>
      </c>
      <c r="CN28" s="486">
        <v>2030</v>
      </c>
      <c r="CO28" s="486">
        <v>2031</v>
      </c>
      <c r="CP28" s="486">
        <v>2032</v>
      </c>
      <c r="CQ28" s="486">
        <v>2033</v>
      </c>
      <c r="CR28" s="486">
        <v>2034</v>
      </c>
      <c r="CS28" s="486">
        <v>2035</v>
      </c>
      <c r="CT28" s="486">
        <v>2036</v>
      </c>
      <c r="CU28" s="486">
        <v>2037</v>
      </c>
      <c r="CV28" s="486">
        <v>2038</v>
      </c>
      <c r="CW28" s="486">
        <v>2039</v>
      </c>
      <c r="CX28" s="486">
        <v>2040</v>
      </c>
      <c r="CY28" s="486">
        <v>2041</v>
      </c>
      <c r="CZ28" s="486">
        <v>2042</v>
      </c>
      <c r="DA28" s="486">
        <v>2043</v>
      </c>
      <c r="DB28" s="486">
        <v>2044</v>
      </c>
      <c r="DC28" s="486">
        <v>2045</v>
      </c>
      <c r="DD28" s="486">
        <v>2046</v>
      </c>
      <c r="DE28" s="486">
        <v>2047</v>
      </c>
      <c r="DF28" s="486">
        <v>2048</v>
      </c>
      <c r="DG28" s="486">
        <v>2049</v>
      </c>
      <c r="DH28" s="486">
        <v>2050</v>
      </c>
    </row>
    <row r="29" spans="2:112">
      <c r="B29" t="s">
        <v>926</v>
      </c>
      <c r="C29" t="s">
        <v>126</v>
      </c>
      <c r="D29" t="s">
        <v>879</v>
      </c>
      <c r="E29" t="s">
        <v>715</v>
      </c>
      <c r="F29" s="536">
        <v>8000</v>
      </c>
      <c r="G29" s="536">
        <v>8000</v>
      </c>
      <c r="H29" s="536">
        <v>8000</v>
      </c>
      <c r="I29" s="536">
        <v>8000</v>
      </c>
      <c r="J29" s="536">
        <v>8000</v>
      </c>
      <c r="K29" s="536">
        <v>8000</v>
      </c>
      <c r="L29" s="536">
        <v>8000</v>
      </c>
      <c r="M29" s="536">
        <v>8000</v>
      </c>
      <c r="N29" s="536">
        <v>8000</v>
      </c>
      <c r="O29" s="536">
        <v>8000</v>
      </c>
      <c r="P29" s="536">
        <v>8000</v>
      </c>
      <c r="Q29" s="536">
        <v>8000</v>
      </c>
      <c r="R29" s="536">
        <v>8000</v>
      </c>
      <c r="S29" s="536">
        <v>8000</v>
      </c>
      <c r="T29" s="536">
        <v>8000</v>
      </c>
      <c r="U29" s="536">
        <v>8000</v>
      </c>
      <c r="V29" s="536">
        <v>8000</v>
      </c>
      <c r="W29" s="536">
        <v>8000</v>
      </c>
      <c r="X29" s="536">
        <v>8000</v>
      </c>
      <c r="Y29" s="536">
        <v>8000</v>
      </c>
      <c r="Z29" s="536">
        <v>8000</v>
      </c>
      <c r="AA29" s="536">
        <v>8000</v>
      </c>
      <c r="AB29" s="536">
        <v>8000</v>
      </c>
      <c r="AC29" s="536">
        <v>8000</v>
      </c>
      <c r="AD29" s="536">
        <v>8000</v>
      </c>
      <c r="AE29" s="536">
        <v>8000</v>
      </c>
      <c r="AF29" s="536">
        <v>8000</v>
      </c>
      <c r="AG29" s="536">
        <v>8000</v>
      </c>
      <c r="AH29" s="526">
        <f>AG29</f>
        <v>8000</v>
      </c>
      <c r="AI29" s="526">
        <f t="shared" ref="AI29:AX29" si="46">AH29</f>
        <v>8000</v>
      </c>
      <c r="AJ29" s="526">
        <f t="shared" si="46"/>
        <v>8000</v>
      </c>
      <c r="AK29" s="526">
        <f t="shared" si="46"/>
        <v>8000</v>
      </c>
      <c r="AL29" s="526">
        <f t="shared" si="46"/>
        <v>8000</v>
      </c>
      <c r="AM29" s="526">
        <f t="shared" si="46"/>
        <v>8000</v>
      </c>
      <c r="AN29" s="526">
        <f t="shared" si="46"/>
        <v>8000</v>
      </c>
      <c r="AO29" s="526">
        <f t="shared" si="46"/>
        <v>8000</v>
      </c>
      <c r="AP29" s="526">
        <f t="shared" si="46"/>
        <v>8000</v>
      </c>
      <c r="AQ29" s="526">
        <f t="shared" si="46"/>
        <v>8000</v>
      </c>
      <c r="AR29" s="526">
        <f t="shared" si="46"/>
        <v>8000</v>
      </c>
      <c r="AS29" s="526">
        <f t="shared" si="46"/>
        <v>8000</v>
      </c>
      <c r="AT29" s="526">
        <f t="shared" si="46"/>
        <v>8000</v>
      </c>
      <c r="AU29" s="526">
        <f t="shared" si="46"/>
        <v>8000</v>
      </c>
      <c r="AV29" s="526">
        <f t="shared" si="46"/>
        <v>8000</v>
      </c>
      <c r="AW29" s="526">
        <f t="shared" si="46"/>
        <v>8000</v>
      </c>
      <c r="AX29" s="526">
        <f t="shared" si="46"/>
        <v>8000</v>
      </c>
      <c r="AY29" s="526">
        <f t="shared" ref="AY29:BN29" si="47">AX29</f>
        <v>8000</v>
      </c>
      <c r="AZ29" s="526">
        <f t="shared" si="47"/>
        <v>8000</v>
      </c>
      <c r="BA29" s="526">
        <f t="shared" si="47"/>
        <v>8000</v>
      </c>
      <c r="BB29" s="526">
        <f t="shared" si="47"/>
        <v>8000</v>
      </c>
      <c r="BC29" s="526">
        <f t="shared" si="47"/>
        <v>8000</v>
      </c>
      <c r="BD29" s="526">
        <f t="shared" si="47"/>
        <v>8000</v>
      </c>
      <c r="BE29" s="526">
        <f t="shared" si="47"/>
        <v>8000</v>
      </c>
      <c r="BF29" s="526">
        <f t="shared" si="47"/>
        <v>8000</v>
      </c>
      <c r="BG29" s="526">
        <f t="shared" si="47"/>
        <v>8000</v>
      </c>
      <c r="BH29" s="526">
        <f t="shared" si="47"/>
        <v>8000</v>
      </c>
      <c r="BI29" s="526">
        <f t="shared" si="47"/>
        <v>8000</v>
      </c>
      <c r="BJ29" s="526">
        <f t="shared" si="47"/>
        <v>8000</v>
      </c>
      <c r="BK29" s="526">
        <f t="shared" si="47"/>
        <v>8000</v>
      </c>
      <c r="BL29" s="526">
        <f t="shared" si="47"/>
        <v>8000</v>
      </c>
      <c r="BM29" s="526">
        <f t="shared" si="47"/>
        <v>8000</v>
      </c>
      <c r="BN29" s="526">
        <f t="shared" si="47"/>
        <v>8000</v>
      </c>
      <c r="BO29" s="526">
        <f t="shared" ref="BO29:CD29" si="48">BN29</f>
        <v>8000</v>
      </c>
      <c r="BP29" s="526">
        <f t="shared" si="48"/>
        <v>8000</v>
      </c>
      <c r="BQ29" s="526">
        <f t="shared" si="48"/>
        <v>8000</v>
      </c>
      <c r="BR29" s="526">
        <f t="shared" si="48"/>
        <v>8000</v>
      </c>
      <c r="BS29" s="526">
        <f t="shared" si="48"/>
        <v>8000</v>
      </c>
      <c r="BT29" s="526">
        <f t="shared" si="48"/>
        <v>8000</v>
      </c>
      <c r="BU29" s="526">
        <f t="shared" si="48"/>
        <v>8000</v>
      </c>
      <c r="BV29" s="526">
        <f t="shared" si="48"/>
        <v>8000</v>
      </c>
      <c r="BW29" s="526">
        <f t="shared" si="48"/>
        <v>8000</v>
      </c>
      <c r="BX29" s="526">
        <f t="shared" si="48"/>
        <v>8000</v>
      </c>
      <c r="BY29" s="526">
        <f t="shared" si="48"/>
        <v>8000</v>
      </c>
      <c r="BZ29" s="526">
        <f t="shared" si="48"/>
        <v>8000</v>
      </c>
      <c r="CA29" s="526">
        <f t="shared" si="48"/>
        <v>8000</v>
      </c>
      <c r="CB29" s="526">
        <f t="shared" si="48"/>
        <v>8000</v>
      </c>
      <c r="CC29" s="526">
        <f t="shared" si="48"/>
        <v>8000</v>
      </c>
      <c r="CD29" s="526">
        <f t="shared" si="48"/>
        <v>8000</v>
      </c>
      <c r="CE29" s="526">
        <f t="shared" ref="AX29:CE37" si="49">CD29</f>
        <v>8000</v>
      </c>
      <c r="CG29" s="536">
        <v>8000</v>
      </c>
      <c r="CH29" s="536">
        <v>8000</v>
      </c>
      <c r="CI29" s="536">
        <v>8000</v>
      </c>
      <c r="CJ29" s="536">
        <v>8000</v>
      </c>
      <c r="CK29" s="536">
        <v>8000</v>
      </c>
      <c r="CL29" s="536">
        <v>8000</v>
      </c>
      <c r="CM29" s="536">
        <v>8000</v>
      </c>
      <c r="CN29" s="536">
        <v>8000</v>
      </c>
      <c r="CO29" s="536">
        <v>8000</v>
      </c>
      <c r="CP29" s="536">
        <v>8000</v>
      </c>
      <c r="CQ29" s="536">
        <v>8000</v>
      </c>
      <c r="CR29" s="536">
        <v>8000</v>
      </c>
      <c r="CS29" s="536">
        <v>8000</v>
      </c>
      <c r="CT29" s="536">
        <v>8000</v>
      </c>
      <c r="CU29" s="536">
        <v>8000</v>
      </c>
      <c r="CV29" s="536">
        <v>8000</v>
      </c>
      <c r="CW29" s="536">
        <v>8000</v>
      </c>
      <c r="CX29" s="536">
        <v>8000</v>
      </c>
      <c r="CY29" s="536">
        <v>8000</v>
      </c>
      <c r="CZ29" s="536">
        <v>8000</v>
      </c>
      <c r="DA29" s="536">
        <v>8000</v>
      </c>
      <c r="DB29" s="536">
        <v>8000</v>
      </c>
      <c r="DC29" s="536">
        <v>8000</v>
      </c>
      <c r="DD29" s="536">
        <v>8000</v>
      </c>
      <c r="DE29" s="536">
        <v>8000</v>
      </c>
      <c r="DF29" s="536">
        <v>8000</v>
      </c>
      <c r="DG29" s="536">
        <v>8000</v>
      </c>
      <c r="DH29" s="536">
        <v>8000</v>
      </c>
    </row>
    <row r="30" spans="2:112">
      <c r="B30" t="s">
        <v>927</v>
      </c>
      <c r="C30" t="s">
        <v>126</v>
      </c>
      <c r="D30" t="s">
        <v>695</v>
      </c>
      <c r="E30" t="s">
        <v>881</v>
      </c>
      <c r="F30" s="536">
        <v>240</v>
      </c>
      <c r="G30" s="536">
        <v>240</v>
      </c>
      <c r="H30" s="536">
        <v>240</v>
      </c>
      <c r="I30" s="536">
        <v>240</v>
      </c>
      <c r="J30" s="536">
        <v>240</v>
      </c>
      <c r="K30" s="536">
        <v>240</v>
      </c>
      <c r="L30" s="536">
        <v>240</v>
      </c>
      <c r="M30" s="536">
        <v>240</v>
      </c>
      <c r="N30" s="536">
        <v>240</v>
      </c>
      <c r="O30" s="536">
        <v>240</v>
      </c>
      <c r="P30" s="536">
        <v>240</v>
      </c>
      <c r="Q30" s="536">
        <v>240</v>
      </c>
      <c r="R30" s="536">
        <v>240</v>
      </c>
      <c r="S30" s="536">
        <v>240</v>
      </c>
      <c r="T30" s="536">
        <v>240</v>
      </c>
      <c r="U30" s="536">
        <v>240</v>
      </c>
      <c r="V30" s="536">
        <v>240</v>
      </c>
      <c r="W30" s="536">
        <v>240</v>
      </c>
      <c r="X30" s="536">
        <v>240</v>
      </c>
      <c r="Y30" s="536">
        <v>240</v>
      </c>
      <c r="Z30" s="536">
        <v>240</v>
      </c>
      <c r="AA30" s="536">
        <v>240</v>
      </c>
      <c r="AB30" s="536">
        <v>240</v>
      </c>
      <c r="AC30" s="536">
        <v>240</v>
      </c>
      <c r="AD30" s="536">
        <v>240</v>
      </c>
      <c r="AE30" s="536">
        <v>240</v>
      </c>
      <c r="AF30" s="536">
        <v>240</v>
      </c>
      <c r="AG30" s="536">
        <v>240</v>
      </c>
      <c r="AH30" s="526">
        <f t="shared" ref="AH30:AW39" si="50">AG30</f>
        <v>240</v>
      </c>
      <c r="AI30" s="526">
        <f t="shared" si="50"/>
        <v>240</v>
      </c>
      <c r="AJ30" s="526">
        <f t="shared" si="50"/>
        <v>240</v>
      </c>
      <c r="AK30" s="526">
        <f t="shared" si="50"/>
        <v>240</v>
      </c>
      <c r="AL30" s="526">
        <f t="shared" si="50"/>
        <v>240</v>
      </c>
      <c r="AM30" s="526">
        <f t="shared" si="50"/>
        <v>240</v>
      </c>
      <c r="AN30" s="526">
        <f t="shared" si="50"/>
        <v>240</v>
      </c>
      <c r="AO30" s="526">
        <f t="shared" si="50"/>
        <v>240</v>
      </c>
      <c r="AP30" s="526">
        <f t="shared" si="50"/>
        <v>240</v>
      </c>
      <c r="AQ30" s="526">
        <f t="shared" si="50"/>
        <v>240</v>
      </c>
      <c r="AR30" s="526">
        <f t="shared" si="50"/>
        <v>240</v>
      </c>
      <c r="AS30" s="526">
        <f t="shared" si="50"/>
        <v>240</v>
      </c>
      <c r="AT30" s="526">
        <f t="shared" si="50"/>
        <v>240</v>
      </c>
      <c r="AU30" s="526">
        <f t="shared" si="50"/>
        <v>240</v>
      </c>
      <c r="AV30" s="526">
        <f t="shared" si="50"/>
        <v>240</v>
      </c>
      <c r="AW30" s="526">
        <f t="shared" si="50"/>
        <v>240</v>
      </c>
      <c r="AX30" s="526">
        <f t="shared" si="49"/>
        <v>240</v>
      </c>
      <c r="AY30" s="526">
        <f t="shared" si="49"/>
        <v>240</v>
      </c>
      <c r="AZ30" s="526">
        <f t="shared" si="49"/>
        <v>240</v>
      </c>
      <c r="BA30" s="526">
        <f t="shared" si="49"/>
        <v>240</v>
      </c>
      <c r="BB30" s="526">
        <f t="shared" si="49"/>
        <v>240</v>
      </c>
      <c r="BC30" s="526">
        <f t="shared" si="49"/>
        <v>240</v>
      </c>
      <c r="BD30" s="526">
        <f t="shared" si="49"/>
        <v>240</v>
      </c>
      <c r="BE30" s="526">
        <f t="shared" si="49"/>
        <v>240</v>
      </c>
      <c r="BF30" s="526">
        <f t="shared" si="49"/>
        <v>240</v>
      </c>
      <c r="BG30" s="526">
        <f t="shared" si="49"/>
        <v>240</v>
      </c>
      <c r="BH30" s="526">
        <f t="shared" si="49"/>
        <v>240</v>
      </c>
      <c r="BI30" s="526">
        <f t="shared" si="49"/>
        <v>240</v>
      </c>
      <c r="BJ30" s="526">
        <f t="shared" si="49"/>
        <v>240</v>
      </c>
      <c r="BK30" s="526">
        <f t="shared" si="49"/>
        <v>240</v>
      </c>
      <c r="BL30" s="526">
        <f t="shared" si="49"/>
        <v>240</v>
      </c>
      <c r="BM30" s="526">
        <f t="shared" si="49"/>
        <v>240</v>
      </c>
      <c r="BN30" s="526">
        <f t="shared" si="49"/>
        <v>240</v>
      </c>
      <c r="BO30" s="526">
        <f t="shared" si="49"/>
        <v>240</v>
      </c>
      <c r="BP30" s="526">
        <f t="shared" si="49"/>
        <v>240</v>
      </c>
      <c r="BQ30" s="526">
        <f t="shared" si="49"/>
        <v>240</v>
      </c>
      <c r="BR30" s="526">
        <f t="shared" si="49"/>
        <v>240</v>
      </c>
      <c r="BS30" s="526">
        <f t="shared" si="49"/>
        <v>240</v>
      </c>
      <c r="BT30" s="526">
        <f t="shared" si="49"/>
        <v>240</v>
      </c>
      <c r="BU30" s="526">
        <f t="shared" si="49"/>
        <v>240</v>
      </c>
      <c r="BV30" s="526">
        <f t="shared" si="49"/>
        <v>240</v>
      </c>
      <c r="BW30" s="526">
        <f t="shared" si="49"/>
        <v>240</v>
      </c>
      <c r="BX30" s="526">
        <f t="shared" si="49"/>
        <v>240</v>
      </c>
      <c r="BY30" s="526">
        <f t="shared" si="49"/>
        <v>240</v>
      </c>
      <c r="BZ30" s="526">
        <f t="shared" si="49"/>
        <v>240</v>
      </c>
      <c r="CA30" s="526">
        <f t="shared" si="49"/>
        <v>240</v>
      </c>
      <c r="CB30" s="526">
        <f t="shared" si="49"/>
        <v>240</v>
      </c>
      <c r="CC30" s="526">
        <f t="shared" si="49"/>
        <v>240</v>
      </c>
      <c r="CD30" s="526">
        <f t="shared" si="49"/>
        <v>240</v>
      </c>
      <c r="CE30" s="526">
        <f t="shared" si="49"/>
        <v>240</v>
      </c>
      <c r="CG30" s="536">
        <v>240</v>
      </c>
      <c r="CH30" s="536">
        <v>240</v>
      </c>
      <c r="CI30" s="536">
        <v>240</v>
      </c>
      <c r="CJ30" s="536">
        <v>240</v>
      </c>
      <c r="CK30" s="536">
        <v>240</v>
      </c>
      <c r="CL30" s="536">
        <v>240</v>
      </c>
      <c r="CM30" s="536">
        <v>240</v>
      </c>
      <c r="CN30" s="536">
        <v>240</v>
      </c>
      <c r="CO30" s="536">
        <v>240</v>
      </c>
      <c r="CP30" s="536">
        <v>240</v>
      </c>
      <c r="CQ30" s="536">
        <v>240</v>
      </c>
      <c r="CR30" s="536">
        <v>240</v>
      </c>
      <c r="CS30" s="536">
        <v>240</v>
      </c>
      <c r="CT30" s="536">
        <v>240</v>
      </c>
      <c r="CU30" s="536">
        <v>240</v>
      </c>
      <c r="CV30" s="536">
        <v>240</v>
      </c>
      <c r="CW30" s="536">
        <v>240</v>
      </c>
      <c r="CX30" s="536">
        <v>240</v>
      </c>
      <c r="CY30" s="536">
        <v>240</v>
      </c>
      <c r="CZ30" s="536">
        <v>240</v>
      </c>
      <c r="DA30" s="536">
        <v>240</v>
      </c>
      <c r="DB30" s="536">
        <v>240</v>
      </c>
      <c r="DC30" s="536">
        <v>240</v>
      </c>
      <c r="DD30" s="536">
        <v>240</v>
      </c>
      <c r="DE30" s="536">
        <v>240</v>
      </c>
      <c r="DF30" s="536">
        <v>240</v>
      </c>
      <c r="DG30" s="536">
        <v>240</v>
      </c>
      <c r="DH30" s="536">
        <v>240</v>
      </c>
    </row>
    <row r="31" spans="2:112">
      <c r="B31" t="s">
        <v>928</v>
      </c>
      <c r="C31" t="s">
        <v>126</v>
      </c>
      <c r="D31" t="s">
        <v>883</v>
      </c>
      <c r="E31" t="s">
        <v>884</v>
      </c>
      <c r="F31" s="536">
        <v>18</v>
      </c>
      <c r="G31" s="536">
        <v>18</v>
      </c>
      <c r="H31" s="536">
        <v>18</v>
      </c>
      <c r="I31" s="536">
        <v>18</v>
      </c>
      <c r="J31" s="536">
        <v>18</v>
      </c>
      <c r="K31" s="536">
        <v>18</v>
      </c>
      <c r="L31" s="536">
        <v>18</v>
      </c>
      <c r="M31" s="536">
        <v>18</v>
      </c>
      <c r="N31" s="536">
        <v>18</v>
      </c>
      <c r="O31" s="536">
        <v>18</v>
      </c>
      <c r="P31" s="536">
        <v>18</v>
      </c>
      <c r="Q31" s="536">
        <v>18</v>
      </c>
      <c r="R31" s="536">
        <v>18</v>
      </c>
      <c r="S31" s="536">
        <v>18</v>
      </c>
      <c r="T31" s="536">
        <v>18</v>
      </c>
      <c r="U31" s="536">
        <v>18</v>
      </c>
      <c r="V31" s="536">
        <v>18</v>
      </c>
      <c r="W31" s="536">
        <v>18</v>
      </c>
      <c r="X31" s="536">
        <v>18</v>
      </c>
      <c r="Y31" s="536">
        <v>18</v>
      </c>
      <c r="Z31" s="536">
        <v>18</v>
      </c>
      <c r="AA31" s="536">
        <v>18</v>
      </c>
      <c r="AB31" s="536">
        <v>18</v>
      </c>
      <c r="AC31" s="536">
        <v>18</v>
      </c>
      <c r="AD31" s="536">
        <v>18</v>
      </c>
      <c r="AE31" s="536">
        <v>18</v>
      </c>
      <c r="AF31" s="536">
        <v>18</v>
      </c>
      <c r="AG31" s="536">
        <v>18</v>
      </c>
      <c r="AH31" s="526">
        <f t="shared" si="50"/>
        <v>18</v>
      </c>
      <c r="AI31" s="526">
        <f t="shared" si="50"/>
        <v>18</v>
      </c>
      <c r="AJ31" s="526">
        <f t="shared" si="50"/>
        <v>18</v>
      </c>
      <c r="AK31" s="526">
        <f t="shared" si="50"/>
        <v>18</v>
      </c>
      <c r="AL31" s="526">
        <f t="shared" si="50"/>
        <v>18</v>
      </c>
      <c r="AM31" s="526">
        <f t="shared" si="50"/>
        <v>18</v>
      </c>
      <c r="AN31" s="526">
        <f t="shared" si="50"/>
        <v>18</v>
      </c>
      <c r="AO31" s="526">
        <f t="shared" si="50"/>
        <v>18</v>
      </c>
      <c r="AP31" s="526">
        <f t="shared" si="50"/>
        <v>18</v>
      </c>
      <c r="AQ31" s="526">
        <f t="shared" si="50"/>
        <v>18</v>
      </c>
      <c r="AR31" s="526">
        <f t="shared" si="50"/>
        <v>18</v>
      </c>
      <c r="AS31" s="526">
        <f t="shared" si="50"/>
        <v>18</v>
      </c>
      <c r="AT31" s="526">
        <f t="shared" si="50"/>
        <v>18</v>
      </c>
      <c r="AU31" s="526">
        <f t="shared" si="50"/>
        <v>18</v>
      </c>
      <c r="AV31" s="526">
        <f t="shared" si="50"/>
        <v>18</v>
      </c>
      <c r="AW31" s="526">
        <f t="shared" si="50"/>
        <v>18</v>
      </c>
      <c r="AX31" s="526">
        <f t="shared" si="49"/>
        <v>18</v>
      </c>
      <c r="AY31" s="526">
        <f t="shared" si="49"/>
        <v>18</v>
      </c>
      <c r="AZ31" s="526">
        <f t="shared" si="49"/>
        <v>18</v>
      </c>
      <c r="BA31" s="526">
        <f t="shared" si="49"/>
        <v>18</v>
      </c>
      <c r="BB31" s="526">
        <f t="shared" si="49"/>
        <v>18</v>
      </c>
      <c r="BC31" s="526">
        <f t="shared" si="49"/>
        <v>18</v>
      </c>
      <c r="BD31" s="526">
        <f t="shared" si="49"/>
        <v>18</v>
      </c>
      <c r="BE31" s="526">
        <f t="shared" si="49"/>
        <v>18</v>
      </c>
      <c r="BF31" s="526">
        <f t="shared" si="49"/>
        <v>18</v>
      </c>
      <c r="BG31" s="526">
        <f t="shared" si="49"/>
        <v>18</v>
      </c>
      <c r="BH31" s="526">
        <f t="shared" si="49"/>
        <v>18</v>
      </c>
      <c r="BI31" s="526">
        <f t="shared" si="49"/>
        <v>18</v>
      </c>
      <c r="BJ31" s="526">
        <f t="shared" si="49"/>
        <v>18</v>
      </c>
      <c r="BK31" s="526">
        <f t="shared" si="49"/>
        <v>18</v>
      </c>
      <c r="BL31" s="526">
        <f t="shared" si="49"/>
        <v>18</v>
      </c>
      <c r="BM31" s="526">
        <f t="shared" si="49"/>
        <v>18</v>
      </c>
      <c r="BN31" s="526">
        <f t="shared" si="49"/>
        <v>18</v>
      </c>
      <c r="BO31" s="526">
        <f t="shared" si="49"/>
        <v>18</v>
      </c>
      <c r="BP31" s="526">
        <f t="shared" si="49"/>
        <v>18</v>
      </c>
      <c r="BQ31" s="526">
        <f t="shared" si="49"/>
        <v>18</v>
      </c>
      <c r="BR31" s="526">
        <f t="shared" si="49"/>
        <v>18</v>
      </c>
      <c r="BS31" s="526">
        <f t="shared" si="49"/>
        <v>18</v>
      </c>
      <c r="BT31" s="526">
        <f t="shared" si="49"/>
        <v>18</v>
      </c>
      <c r="BU31" s="526">
        <f t="shared" si="49"/>
        <v>18</v>
      </c>
      <c r="BV31" s="526">
        <f t="shared" si="49"/>
        <v>18</v>
      </c>
      <c r="BW31" s="526">
        <f t="shared" si="49"/>
        <v>18</v>
      </c>
      <c r="BX31" s="526">
        <f t="shared" si="49"/>
        <v>18</v>
      </c>
      <c r="BY31" s="526">
        <f t="shared" si="49"/>
        <v>18</v>
      </c>
      <c r="BZ31" s="526">
        <f t="shared" si="49"/>
        <v>18</v>
      </c>
      <c r="CA31" s="526">
        <f t="shared" si="49"/>
        <v>18</v>
      </c>
      <c r="CB31" s="526">
        <f t="shared" si="49"/>
        <v>18</v>
      </c>
      <c r="CC31" s="526">
        <f t="shared" si="49"/>
        <v>18</v>
      </c>
      <c r="CD31" s="526">
        <f t="shared" si="49"/>
        <v>18</v>
      </c>
      <c r="CE31" s="526">
        <f t="shared" si="49"/>
        <v>18</v>
      </c>
      <c r="CG31" s="536">
        <v>18</v>
      </c>
      <c r="CH31" s="536">
        <v>18</v>
      </c>
      <c r="CI31" s="536">
        <v>18</v>
      </c>
      <c r="CJ31" s="536">
        <v>18</v>
      </c>
      <c r="CK31" s="536">
        <v>18</v>
      </c>
      <c r="CL31" s="536">
        <v>18</v>
      </c>
      <c r="CM31" s="536">
        <v>18</v>
      </c>
      <c r="CN31" s="536">
        <v>18</v>
      </c>
      <c r="CO31" s="536">
        <v>18</v>
      </c>
      <c r="CP31" s="536">
        <v>18</v>
      </c>
      <c r="CQ31" s="536">
        <v>18</v>
      </c>
      <c r="CR31" s="536">
        <v>18</v>
      </c>
      <c r="CS31" s="536">
        <v>18</v>
      </c>
      <c r="CT31" s="536">
        <v>18</v>
      </c>
      <c r="CU31" s="536">
        <v>18</v>
      </c>
      <c r="CV31" s="536">
        <v>18</v>
      </c>
      <c r="CW31" s="536">
        <v>18</v>
      </c>
      <c r="CX31" s="536">
        <v>18</v>
      </c>
      <c r="CY31" s="536">
        <v>18</v>
      </c>
      <c r="CZ31" s="536">
        <v>18</v>
      </c>
      <c r="DA31" s="536">
        <v>18</v>
      </c>
      <c r="DB31" s="536">
        <v>18</v>
      </c>
      <c r="DC31" s="536">
        <v>18</v>
      </c>
      <c r="DD31" s="536">
        <v>18</v>
      </c>
      <c r="DE31" s="536">
        <v>18</v>
      </c>
      <c r="DF31" s="536">
        <v>18</v>
      </c>
      <c r="DG31" s="536">
        <v>18</v>
      </c>
      <c r="DH31" s="536">
        <v>18</v>
      </c>
    </row>
    <row r="32" spans="2:112">
      <c r="B32" t="s">
        <v>929</v>
      </c>
      <c r="C32" t="s">
        <v>126</v>
      </c>
      <c r="D32" t="s">
        <v>886</v>
      </c>
      <c r="E32" t="s">
        <v>178</v>
      </c>
      <c r="F32" s="537">
        <v>0.51</v>
      </c>
      <c r="G32" s="537">
        <v>0.51</v>
      </c>
      <c r="H32" s="537">
        <v>0.51</v>
      </c>
      <c r="I32" s="537">
        <v>0.51</v>
      </c>
      <c r="J32" s="537">
        <v>0.51</v>
      </c>
      <c r="K32" s="537">
        <v>0.51</v>
      </c>
      <c r="L32" s="537">
        <v>0.51</v>
      </c>
      <c r="M32" s="537">
        <v>0.51</v>
      </c>
      <c r="N32" s="537">
        <v>0.51</v>
      </c>
      <c r="O32" s="537">
        <v>0.51</v>
      </c>
      <c r="P32" s="537">
        <v>0.51</v>
      </c>
      <c r="Q32" s="537">
        <v>0.51</v>
      </c>
      <c r="R32" s="537">
        <v>0.51</v>
      </c>
      <c r="S32" s="537">
        <v>0.51</v>
      </c>
      <c r="T32" s="537">
        <v>0.51</v>
      </c>
      <c r="U32" s="537">
        <v>0.51</v>
      </c>
      <c r="V32" s="537">
        <v>0.51</v>
      </c>
      <c r="W32" s="537">
        <v>0.51</v>
      </c>
      <c r="X32" s="537">
        <v>0.51</v>
      </c>
      <c r="Y32" s="537">
        <v>0.51</v>
      </c>
      <c r="Z32" s="537">
        <v>0.51</v>
      </c>
      <c r="AA32" s="537">
        <v>0.51</v>
      </c>
      <c r="AB32" s="537">
        <v>0.51</v>
      </c>
      <c r="AC32" s="537">
        <v>0.51</v>
      </c>
      <c r="AD32" s="537">
        <v>0.51</v>
      </c>
      <c r="AE32" s="537">
        <v>0.51</v>
      </c>
      <c r="AF32" s="537">
        <v>0.51</v>
      </c>
      <c r="AG32" s="537">
        <v>0.51</v>
      </c>
      <c r="AH32" s="526">
        <f t="shared" si="50"/>
        <v>0.51</v>
      </c>
      <c r="AI32" s="526">
        <f t="shared" si="50"/>
        <v>0.51</v>
      </c>
      <c r="AJ32" s="526">
        <f t="shared" si="50"/>
        <v>0.51</v>
      </c>
      <c r="AK32" s="526">
        <f t="shared" si="50"/>
        <v>0.51</v>
      </c>
      <c r="AL32" s="526">
        <f t="shared" si="50"/>
        <v>0.51</v>
      </c>
      <c r="AM32" s="526">
        <f t="shared" si="50"/>
        <v>0.51</v>
      </c>
      <c r="AN32" s="526">
        <f t="shared" si="50"/>
        <v>0.51</v>
      </c>
      <c r="AO32" s="526">
        <f t="shared" si="50"/>
        <v>0.51</v>
      </c>
      <c r="AP32" s="526">
        <f t="shared" si="50"/>
        <v>0.51</v>
      </c>
      <c r="AQ32" s="526">
        <f t="shared" si="50"/>
        <v>0.51</v>
      </c>
      <c r="AR32" s="526">
        <f t="shared" si="50"/>
        <v>0.51</v>
      </c>
      <c r="AS32" s="526">
        <f t="shared" si="50"/>
        <v>0.51</v>
      </c>
      <c r="AT32" s="526">
        <f t="shared" si="50"/>
        <v>0.51</v>
      </c>
      <c r="AU32" s="526">
        <f t="shared" si="50"/>
        <v>0.51</v>
      </c>
      <c r="AV32" s="526">
        <f t="shared" si="50"/>
        <v>0.51</v>
      </c>
      <c r="AW32" s="526">
        <f t="shared" si="50"/>
        <v>0.51</v>
      </c>
      <c r="AX32" s="526">
        <f t="shared" si="49"/>
        <v>0.51</v>
      </c>
      <c r="AY32" s="526">
        <f t="shared" si="49"/>
        <v>0.51</v>
      </c>
      <c r="AZ32" s="526">
        <f t="shared" si="49"/>
        <v>0.51</v>
      </c>
      <c r="BA32" s="526">
        <f t="shared" si="49"/>
        <v>0.51</v>
      </c>
      <c r="BB32" s="526">
        <f t="shared" si="49"/>
        <v>0.51</v>
      </c>
      <c r="BC32" s="526">
        <f t="shared" si="49"/>
        <v>0.51</v>
      </c>
      <c r="BD32" s="526">
        <f t="shared" si="49"/>
        <v>0.51</v>
      </c>
      <c r="BE32" s="526">
        <f t="shared" si="49"/>
        <v>0.51</v>
      </c>
      <c r="BF32" s="526">
        <f t="shared" si="49"/>
        <v>0.51</v>
      </c>
      <c r="BG32" s="526">
        <f t="shared" si="49"/>
        <v>0.51</v>
      </c>
      <c r="BH32" s="526">
        <f t="shared" si="49"/>
        <v>0.51</v>
      </c>
      <c r="BI32" s="526">
        <f t="shared" si="49"/>
        <v>0.51</v>
      </c>
      <c r="BJ32" s="526">
        <f t="shared" si="49"/>
        <v>0.51</v>
      </c>
      <c r="BK32" s="526">
        <f t="shared" si="49"/>
        <v>0.51</v>
      </c>
      <c r="BL32" s="526">
        <f t="shared" si="49"/>
        <v>0.51</v>
      </c>
      <c r="BM32" s="526">
        <f t="shared" si="49"/>
        <v>0.51</v>
      </c>
      <c r="BN32" s="526">
        <f t="shared" si="49"/>
        <v>0.51</v>
      </c>
      <c r="BO32" s="526">
        <f t="shared" si="49"/>
        <v>0.51</v>
      </c>
      <c r="BP32" s="526">
        <f t="shared" si="49"/>
        <v>0.51</v>
      </c>
      <c r="BQ32" s="526">
        <f t="shared" si="49"/>
        <v>0.51</v>
      </c>
      <c r="BR32" s="526">
        <f t="shared" si="49"/>
        <v>0.51</v>
      </c>
      <c r="BS32" s="526">
        <f t="shared" si="49"/>
        <v>0.51</v>
      </c>
      <c r="BT32" s="526">
        <f t="shared" si="49"/>
        <v>0.51</v>
      </c>
      <c r="BU32" s="526">
        <f t="shared" si="49"/>
        <v>0.51</v>
      </c>
      <c r="BV32" s="526">
        <f t="shared" si="49"/>
        <v>0.51</v>
      </c>
      <c r="BW32" s="526">
        <f t="shared" si="49"/>
        <v>0.51</v>
      </c>
      <c r="BX32" s="526">
        <f t="shared" si="49"/>
        <v>0.51</v>
      </c>
      <c r="BY32" s="526">
        <f t="shared" si="49"/>
        <v>0.51</v>
      </c>
      <c r="BZ32" s="526">
        <f t="shared" si="49"/>
        <v>0.51</v>
      </c>
      <c r="CA32" s="526">
        <f t="shared" si="49"/>
        <v>0.51</v>
      </c>
      <c r="CB32" s="526">
        <f t="shared" si="49"/>
        <v>0.51</v>
      </c>
      <c r="CC32" s="526">
        <f t="shared" si="49"/>
        <v>0.51</v>
      </c>
      <c r="CD32" s="526">
        <f t="shared" si="49"/>
        <v>0.51</v>
      </c>
      <c r="CE32" s="526">
        <f t="shared" si="49"/>
        <v>0.51</v>
      </c>
      <c r="CG32" s="537">
        <v>0.51</v>
      </c>
      <c r="CH32" s="537">
        <v>0.51</v>
      </c>
      <c r="CI32" s="537">
        <v>0.51</v>
      </c>
      <c r="CJ32" s="537">
        <v>0.51</v>
      </c>
      <c r="CK32" s="537">
        <v>0.51</v>
      </c>
      <c r="CL32" s="537">
        <v>0.51</v>
      </c>
      <c r="CM32" s="537">
        <v>0.51</v>
      </c>
      <c r="CN32" s="537">
        <v>0.51</v>
      </c>
      <c r="CO32" s="537">
        <v>0.51</v>
      </c>
      <c r="CP32" s="537">
        <v>0.51</v>
      </c>
      <c r="CQ32" s="537">
        <v>0.51</v>
      </c>
      <c r="CR32" s="537">
        <v>0.51</v>
      </c>
      <c r="CS32" s="537">
        <v>0.51</v>
      </c>
      <c r="CT32" s="537">
        <v>0.51</v>
      </c>
      <c r="CU32" s="537">
        <v>0.51</v>
      </c>
      <c r="CV32" s="537">
        <v>0.51</v>
      </c>
      <c r="CW32" s="537">
        <v>0.51</v>
      </c>
      <c r="CX32" s="537">
        <v>0.51</v>
      </c>
      <c r="CY32" s="537">
        <v>0.51</v>
      </c>
      <c r="CZ32" s="537">
        <v>0.51</v>
      </c>
      <c r="DA32" s="537">
        <v>0.51</v>
      </c>
      <c r="DB32" s="537">
        <v>0.51</v>
      </c>
      <c r="DC32" s="537">
        <v>0.51</v>
      </c>
      <c r="DD32" s="537">
        <v>0.51</v>
      </c>
      <c r="DE32" s="537">
        <v>0.51</v>
      </c>
      <c r="DF32" s="537">
        <v>0.51</v>
      </c>
      <c r="DG32" s="537">
        <v>0.51</v>
      </c>
      <c r="DH32" s="537">
        <v>0.51</v>
      </c>
    </row>
    <row r="33" spans="2:112">
      <c r="B33" t="s">
        <v>930</v>
      </c>
      <c r="C33" t="s">
        <v>126</v>
      </c>
      <c r="D33" t="s">
        <v>888</v>
      </c>
      <c r="E33" t="s">
        <v>178</v>
      </c>
      <c r="F33" s="537">
        <v>0.51</v>
      </c>
      <c r="G33" s="537">
        <v>0.51</v>
      </c>
      <c r="H33" s="537">
        <v>0.51</v>
      </c>
      <c r="I33" s="537">
        <v>0.51</v>
      </c>
      <c r="J33" s="537">
        <v>0.51</v>
      </c>
      <c r="K33" s="537">
        <v>0.51</v>
      </c>
      <c r="L33" s="537">
        <v>0.51</v>
      </c>
      <c r="M33" s="537">
        <v>0.51</v>
      </c>
      <c r="N33" s="537">
        <v>0.51</v>
      </c>
      <c r="O33" s="537">
        <v>0.51</v>
      </c>
      <c r="P33" s="537">
        <v>0.51</v>
      </c>
      <c r="Q33" s="537">
        <v>0.51</v>
      </c>
      <c r="R33" s="537">
        <v>0.51</v>
      </c>
      <c r="S33" s="537">
        <v>0.51</v>
      </c>
      <c r="T33" s="537">
        <v>0.51</v>
      </c>
      <c r="U33" s="537">
        <v>0.51</v>
      </c>
      <c r="V33" s="537">
        <v>0.51</v>
      </c>
      <c r="W33" s="537">
        <v>0.51</v>
      </c>
      <c r="X33" s="537">
        <v>0.51</v>
      </c>
      <c r="Y33" s="537">
        <v>0.51</v>
      </c>
      <c r="Z33" s="537">
        <v>0.51</v>
      </c>
      <c r="AA33" s="537">
        <v>0.51</v>
      </c>
      <c r="AB33" s="537">
        <v>0.51</v>
      </c>
      <c r="AC33" s="537">
        <v>0.51</v>
      </c>
      <c r="AD33" s="537">
        <v>0.51</v>
      </c>
      <c r="AE33" s="537">
        <v>0.51</v>
      </c>
      <c r="AF33" s="537">
        <v>0.51</v>
      </c>
      <c r="AG33" s="537">
        <v>0.51</v>
      </c>
      <c r="AH33" s="526">
        <f t="shared" si="50"/>
        <v>0.51</v>
      </c>
      <c r="AI33" s="526">
        <f t="shared" si="50"/>
        <v>0.51</v>
      </c>
      <c r="AJ33" s="526">
        <f t="shared" si="50"/>
        <v>0.51</v>
      </c>
      <c r="AK33" s="526">
        <f t="shared" si="50"/>
        <v>0.51</v>
      </c>
      <c r="AL33" s="526">
        <f t="shared" si="50"/>
        <v>0.51</v>
      </c>
      <c r="AM33" s="526">
        <f t="shared" si="50"/>
        <v>0.51</v>
      </c>
      <c r="AN33" s="526">
        <f t="shared" si="50"/>
        <v>0.51</v>
      </c>
      <c r="AO33" s="526">
        <f t="shared" si="50"/>
        <v>0.51</v>
      </c>
      <c r="AP33" s="526">
        <f t="shared" si="50"/>
        <v>0.51</v>
      </c>
      <c r="AQ33" s="526">
        <f t="shared" si="50"/>
        <v>0.51</v>
      </c>
      <c r="AR33" s="526">
        <f t="shared" si="50"/>
        <v>0.51</v>
      </c>
      <c r="AS33" s="526">
        <f t="shared" si="50"/>
        <v>0.51</v>
      </c>
      <c r="AT33" s="526">
        <f t="shared" si="50"/>
        <v>0.51</v>
      </c>
      <c r="AU33" s="526">
        <f t="shared" si="50"/>
        <v>0.51</v>
      </c>
      <c r="AV33" s="526">
        <f t="shared" si="50"/>
        <v>0.51</v>
      </c>
      <c r="AW33" s="526">
        <f t="shared" si="50"/>
        <v>0.51</v>
      </c>
      <c r="AX33" s="526">
        <f t="shared" si="49"/>
        <v>0.51</v>
      </c>
      <c r="AY33" s="526">
        <f t="shared" si="49"/>
        <v>0.51</v>
      </c>
      <c r="AZ33" s="526">
        <f t="shared" si="49"/>
        <v>0.51</v>
      </c>
      <c r="BA33" s="526">
        <f t="shared" si="49"/>
        <v>0.51</v>
      </c>
      <c r="BB33" s="526">
        <f t="shared" si="49"/>
        <v>0.51</v>
      </c>
      <c r="BC33" s="526">
        <f t="shared" si="49"/>
        <v>0.51</v>
      </c>
      <c r="BD33" s="526">
        <f t="shared" si="49"/>
        <v>0.51</v>
      </c>
      <c r="BE33" s="526">
        <f t="shared" si="49"/>
        <v>0.51</v>
      </c>
      <c r="BF33" s="526">
        <f t="shared" si="49"/>
        <v>0.51</v>
      </c>
      <c r="BG33" s="526">
        <f t="shared" si="49"/>
        <v>0.51</v>
      </c>
      <c r="BH33" s="526">
        <f t="shared" si="49"/>
        <v>0.51</v>
      </c>
      <c r="BI33" s="526">
        <f t="shared" si="49"/>
        <v>0.51</v>
      </c>
      <c r="BJ33" s="526">
        <f t="shared" si="49"/>
        <v>0.51</v>
      </c>
      <c r="BK33" s="526">
        <f t="shared" si="49"/>
        <v>0.51</v>
      </c>
      <c r="BL33" s="526">
        <f t="shared" si="49"/>
        <v>0.51</v>
      </c>
      <c r="BM33" s="526">
        <f t="shared" si="49"/>
        <v>0.51</v>
      </c>
      <c r="BN33" s="526">
        <f t="shared" si="49"/>
        <v>0.51</v>
      </c>
      <c r="BO33" s="526">
        <f t="shared" si="49"/>
        <v>0.51</v>
      </c>
      <c r="BP33" s="526">
        <f t="shared" si="49"/>
        <v>0.51</v>
      </c>
      <c r="BQ33" s="526">
        <f t="shared" si="49"/>
        <v>0.51</v>
      </c>
      <c r="BR33" s="526">
        <f t="shared" si="49"/>
        <v>0.51</v>
      </c>
      <c r="BS33" s="526">
        <f t="shared" si="49"/>
        <v>0.51</v>
      </c>
      <c r="BT33" s="526">
        <f t="shared" si="49"/>
        <v>0.51</v>
      </c>
      <c r="BU33" s="526">
        <f t="shared" si="49"/>
        <v>0.51</v>
      </c>
      <c r="BV33" s="526">
        <f t="shared" si="49"/>
        <v>0.51</v>
      </c>
      <c r="BW33" s="526">
        <f t="shared" si="49"/>
        <v>0.51</v>
      </c>
      <c r="BX33" s="526">
        <f t="shared" si="49"/>
        <v>0.51</v>
      </c>
      <c r="BY33" s="526">
        <f t="shared" si="49"/>
        <v>0.51</v>
      </c>
      <c r="BZ33" s="526">
        <f t="shared" si="49"/>
        <v>0.51</v>
      </c>
      <c r="CA33" s="526">
        <f t="shared" si="49"/>
        <v>0.51</v>
      </c>
      <c r="CB33" s="526">
        <f t="shared" si="49"/>
        <v>0.51</v>
      </c>
      <c r="CC33" s="526">
        <f t="shared" si="49"/>
        <v>0.51</v>
      </c>
      <c r="CD33" s="526">
        <f t="shared" si="49"/>
        <v>0.51</v>
      </c>
      <c r="CE33" s="526">
        <f t="shared" si="49"/>
        <v>0.51</v>
      </c>
      <c r="CG33" s="537">
        <v>0.51</v>
      </c>
      <c r="CH33" s="537">
        <v>0.51</v>
      </c>
      <c r="CI33" s="537">
        <v>0.51</v>
      </c>
      <c r="CJ33" s="537">
        <v>0.51</v>
      </c>
      <c r="CK33" s="537">
        <v>0.51</v>
      </c>
      <c r="CL33" s="537">
        <v>0.51</v>
      </c>
      <c r="CM33" s="537">
        <v>0.51</v>
      </c>
      <c r="CN33" s="537">
        <v>0.51</v>
      </c>
      <c r="CO33" s="537">
        <v>0.51</v>
      </c>
      <c r="CP33" s="537">
        <v>0.51</v>
      </c>
      <c r="CQ33" s="537">
        <v>0.51</v>
      </c>
      <c r="CR33" s="537">
        <v>0.51</v>
      </c>
      <c r="CS33" s="537">
        <v>0.51</v>
      </c>
      <c r="CT33" s="537">
        <v>0.51</v>
      </c>
      <c r="CU33" s="537">
        <v>0.51</v>
      </c>
      <c r="CV33" s="537">
        <v>0.51</v>
      </c>
      <c r="CW33" s="537">
        <v>0.51</v>
      </c>
      <c r="CX33" s="537">
        <v>0.51</v>
      </c>
      <c r="CY33" s="537">
        <v>0.51</v>
      </c>
      <c r="CZ33" s="537">
        <v>0.51</v>
      </c>
      <c r="DA33" s="537">
        <v>0.51</v>
      </c>
      <c r="DB33" s="537">
        <v>0.51</v>
      </c>
      <c r="DC33" s="537">
        <v>0.51</v>
      </c>
      <c r="DD33" s="537">
        <v>0.51</v>
      </c>
      <c r="DE33" s="537">
        <v>0.51</v>
      </c>
      <c r="DF33" s="537">
        <v>0.51</v>
      </c>
      <c r="DG33" s="537">
        <v>0.51</v>
      </c>
      <c r="DH33" s="537">
        <v>0.51</v>
      </c>
    </row>
    <row r="34" spans="2:112">
      <c r="B34" t="s">
        <v>931</v>
      </c>
      <c r="C34" t="s">
        <v>126</v>
      </c>
      <c r="D34" t="s">
        <v>890</v>
      </c>
      <c r="E34" t="s">
        <v>178</v>
      </c>
      <c r="F34" s="537">
        <v>0.51</v>
      </c>
      <c r="G34" s="537">
        <v>0.51</v>
      </c>
      <c r="H34" s="537">
        <v>0.51</v>
      </c>
      <c r="I34" s="537">
        <v>0.51</v>
      </c>
      <c r="J34" s="537">
        <v>0.51</v>
      </c>
      <c r="K34" s="537">
        <v>0.51</v>
      </c>
      <c r="L34" s="537">
        <v>0.51</v>
      </c>
      <c r="M34" s="537">
        <v>0.51</v>
      </c>
      <c r="N34" s="537">
        <v>0.51</v>
      </c>
      <c r="O34" s="537">
        <v>0.51</v>
      </c>
      <c r="P34" s="537">
        <v>0.51</v>
      </c>
      <c r="Q34" s="537">
        <v>0.51</v>
      </c>
      <c r="R34" s="537">
        <v>0.51</v>
      </c>
      <c r="S34" s="537">
        <v>0.51</v>
      </c>
      <c r="T34" s="537">
        <v>0.51</v>
      </c>
      <c r="U34" s="537">
        <v>0.51</v>
      </c>
      <c r="V34" s="537">
        <v>0.51</v>
      </c>
      <c r="W34" s="537">
        <v>0.51</v>
      </c>
      <c r="X34" s="537">
        <v>0.51</v>
      </c>
      <c r="Y34" s="537">
        <v>0.51</v>
      </c>
      <c r="Z34" s="537">
        <v>0.51</v>
      </c>
      <c r="AA34" s="537">
        <v>0.51</v>
      </c>
      <c r="AB34" s="537">
        <v>0.51</v>
      </c>
      <c r="AC34" s="537">
        <v>0.51</v>
      </c>
      <c r="AD34" s="537">
        <v>0.51</v>
      </c>
      <c r="AE34" s="537">
        <v>0.51</v>
      </c>
      <c r="AF34" s="537">
        <v>0.51</v>
      </c>
      <c r="AG34" s="537">
        <v>0.51</v>
      </c>
      <c r="AH34" s="526">
        <f t="shared" si="50"/>
        <v>0.51</v>
      </c>
      <c r="AI34" s="526">
        <f t="shared" si="50"/>
        <v>0.51</v>
      </c>
      <c r="AJ34" s="526">
        <f t="shared" si="50"/>
        <v>0.51</v>
      </c>
      <c r="AK34" s="526">
        <f t="shared" si="50"/>
        <v>0.51</v>
      </c>
      <c r="AL34" s="526">
        <f t="shared" si="50"/>
        <v>0.51</v>
      </c>
      <c r="AM34" s="526">
        <f t="shared" si="50"/>
        <v>0.51</v>
      </c>
      <c r="AN34" s="526">
        <f t="shared" si="50"/>
        <v>0.51</v>
      </c>
      <c r="AO34" s="526">
        <f t="shared" si="50"/>
        <v>0.51</v>
      </c>
      <c r="AP34" s="526">
        <f t="shared" si="50"/>
        <v>0.51</v>
      </c>
      <c r="AQ34" s="526">
        <f t="shared" si="50"/>
        <v>0.51</v>
      </c>
      <c r="AR34" s="526">
        <f t="shared" si="50"/>
        <v>0.51</v>
      </c>
      <c r="AS34" s="526">
        <f t="shared" si="50"/>
        <v>0.51</v>
      </c>
      <c r="AT34" s="526">
        <f t="shared" si="50"/>
        <v>0.51</v>
      </c>
      <c r="AU34" s="526">
        <f t="shared" si="50"/>
        <v>0.51</v>
      </c>
      <c r="AV34" s="526">
        <f t="shared" si="50"/>
        <v>0.51</v>
      </c>
      <c r="AW34" s="526">
        <f t="shared" si="50"/>
        <v>0.51</v>
      </c>
      <c r="AX34" s="526">
        <f t="shared" si="49"/>
        <v>0.51</v>
      </c>
      <c r="AY34" s="526">
        <f t="shared" si="49"/>
        <v>0.51</v>
      </c>
      <c r="AZ34" s="526">
        <f t="shared" si="49"/>
        <v>0.51</v>
      </c>
      <c r="BA34" s="526">
        <f t="shared" si="49"/>
        <v>0.51</v>
      </c>
      <c r="BB34" s="526">
        <f t="shared" si="49"/>
        <v>0.51</v>
      </c>
      <c r="BC34" s="526">
        <f t="shared" si="49"/>
        <v>0.51</v>
      </c>
      <c r="BD34" s="526">
        <f t="shared" si="49"/>
        <v>0.51</v>
      </c>
      <c r="BE34" s="526">
        <f t="shared" si="49"/>
        <v>0.51</v>
      </c>
      <c r="BF34" s="526">
        <f t="shared" si="49"/>
        <v>0.51</v>
      </c>
      <c r="BG34" s="526">
        <f t="shared" si="49"/>
        <v>0.51</v>
      </c>
      <c r="BH34" s="526">
        <f t="shared" si="49"/>
        <v>0.51</v>
      </c>
      <c r="BI34" s="526">
        <f t="shared" si="49"/>
        <v>0.51</v>
      </c>
      <c r="BJ34" s="526">
        <f t="shared" si="49"/>
        <v>0.51</v>
      </c>
      <c r="BK34" s="526">
        <f t="shared" si="49"/>
        <v>0.51</v>
      </c>
      <c r="BL34" s="526">
        <f t="shared" si="49"/>
        <v>0.51</v>
      </c>
      <c r="BM34" s="526">
        <f t="shared" si="49"/>
        <v>0.51</v>
      </c>
      <c r="BN34" s="526">
        <f t="shared" si="49"/>
        <v>0.51</v>
      </c>
      <c r="BO34" s="526">
        <f t="shared" si="49"/>
        <v>0.51</v>
      </c>
      <c r="BP34" s="526">
        <f t="shared" si="49"/>
        <v>0.51</v>
      </c>
      <c r="BQ34" s="526">
        <f t="shared" si="49"/>
        <v>0.51</v>
      </c>
      <c r="BR34" s="526">
        <f t="shared" si="49"/>
        <v>0.51</v>
      </c>
      <c r="BS34" s="526">
        <f t="shared" si="49"/>
        <v>0.51</v>
      </c>
      <c r="BT34" s="526">
        <f t="shared" si="49"/>
        <v>0.51</v>
      </c>
      <c r="BU34" s="526">
        <f t="shared" si="49"/>
        <v>0.51</v>
      </c>
      <c r="BV34" s="526">
        <f t="shared" si="49"/>
        <v>0.51</v>
      </c>
      <c r="BW34" s="526">
        <f t="shared" si="49"/>
        <v>0.51</v>
      </c>
      <c r="BX34" s="526">
        <f t="shared" si="49"/>
        <v>0.51</v>
      </c>
      <c r="BY34" s="526">
        <f t="shared" si="49"/>
        <v>0.51</v>
      </c>
      <c r="BZ34" s="526">
        <f t="shared" si="49"/>
        <v>0.51</v>
      </c>
      <c r="CA34" s="526">
        <f t="shared" si="49"/>
        <v>0.51</v>
      </c>
      <c r="CB34" s="526">
        <f t="shared" si="49"/>
        <v>0.51</v>
      </c>
      <c r="CC34" s="526">
        <f t="shared" si="49"/>
        <v>0.51</v>
      </c>
      <c r="CD34" s="526">
        <f t="shared" si="49"/>
        <v>0.51</v>
      </c>
      <c r="CE34" s="526">
        <f t="shared" si="49"/>
        <v>0.51</v>
      </c>
      <c r="CG34" s="537">
        <v>0.51</v>
      </c>
      <c r="CH34" s="537">
        <v>0.51</v>
      </c>
      <c r="CI34" s="537">
        <v>0.51</v>
      </c>
      <c r="CJ34" s="537">
        <v>0.51</v>
      </c>
      <c r="CK34" s="537">
        <v>0.51</v>
      </c>
      <c r="CL34" s="537">
        <v>0.51</v>
      </c>
      <c r="CM34" s="537">
        <v>0.51</v>
      </c>
      <c r="CN34" s="537">
        <v>0.51</v>
      </c>
      <c r="CO34" s="537">
        <v>0.51</v>
      </c>
      <c r="CP34" s="537">
        <v>0.51</v>
      </c>
      <c r="CQ34" s="537">
        <v>0.51</v>
      </c>
      <c r="CR34" s="537">
        <v>0.51</v>
      </c>
      <c r="CS34" s="537">
        <v>0.51</v>
      </c>
      <c r="CT34" s="537">
        <v>0.51</v>
      </c>
      <c r="CU34" s="537">
        <v>0.51</v>
      </c>
      <c r="CV34" s="537">
        <v>0.51</v>
      </c>
      <c r="CW34" s="537">
        <v>0.51</v>
      </c>
      <c r="CX34" s="537">
        <v>0.51</v>
      </c>
      <c r="CY34" s="537">
        <v>0.51</v>
      </c>
      <c r="CZ34" s="537">
        <v>0.51</v>
      </c>
      <c r="DA34" s="537">
        <v>0.51</v>
      </c>
      <c r="DB34" s="537">
        <v>0.51</v>
      </c>
      <c r="DC34" s="537">
        <v>0.51</v>
      </c>
      <c r="DD34" s="537">
        <v>0.51</v>
      </c>
      <c r="DE34" s="537">
        <v>0.51</v>
      </c>
      <c r="DF34" s="537">
        <v>0.51</v>
      </c>
      <c r="DG34" s="537">
        <v>0.51</v>
      </c>
      <c r="DH34" s="537">
        <v>0.51</v>
      </c>
    </row>
    <row r="35" spans="2:112">
      <c r="B35" t="s">
        <v>932</v>
      </c>
      <c r="C35" t="s">
        <v>126</v>
      </c>
      <c r="D35" t="s">
        <v>892</v>
      </c>
      <c r="E35" t="s">
        <v>178</v>
      </c>
      <c r="F35" s="537">
        <v>0.51</v>
      </c>
      <c r="G35" s="537">
        <v>0.51</v>
      </c>
      <c r="H35" s="537">
        <v>0.51</v>
      </c>
      <c r="I35" s="537">
        <v>0.51</v>
      </c>
      <c r="J35" s="537">
        <v>0.51</v>
      </c>
      <c r="K35" s="537">
        <v>0.51</v>
      </c>
      <c r="L35" s="537">
        <v>0.51</v>
      </c>
      <c r="M35" s="537">
        <v>0.51</v>
      </c>
      <c r="N35" s="537">
        <v>0.51</v>
      </c>
      <c r="O35" s="537">
        <v>0.51</v>
      </c>
      <c r="P35" s="537">
        <v>0.51</v>
      </c>
      <c r="Q35" s="537">
        <v>0.51</v>
      </c>
      <c r="R35" s="537">
        <v>0.51</v>
      </c>
      <c r="S35" s="537">
        <v>0.51</v>
      </c>
      <c r="T35" s="537">
        <v>0.51</v>
      </c>
      <c r="U35" s="537">
        <v>0.51</v>
      </c>
      <c r="V35" s="537">
        <v>0.51</v>
      </c>
      <c r="W35" s="537">
        <v>0.51</v>
      </c>
      <c r="X35" s="537">
        <v>0.51</v>
      </c>
      <c r="Y35" s="537">
        <v>0.51</v>
      </c>
      <c r="Z35" s="537">
        <v>0.51</v>
      </c>
      <c r="AA35" s="537">
        <v>0.51</v>
      </c>
      <c r="AB35" s="537">
        <v>0.51</v>
      </c>
      <c r="AC35" s="537">
        <v>0.51</v>
      </c>
      <c r="AD35" s="537">
        <v>0.51</v>
      </c>
      <c r="AE35" s="537">
        <v>0.51</v>
      </c>
      <c r="AF35" s="537">
        <v>0.51</v>
      </c>
      <c r="AG35" s="537">
        <v>0.51</v>
      </c>
      <c r="AH35" s="526">
        <f t="shared" si="50"/>
        <v>0.51</v>
      </c>
      <c r="AI35" s="526">
        <f t="shared" si="50"/>
        <v>0.51</v>
      </c>
      <c r="AJ35" s="526">
        <f t="shared" si="50"/>
        <v>0.51</v>
      </c>
      <c r="AK35" s="526">
        <f t="shared" si="50"/>
        <v>0.51</v>
      </c>
      <c r="AL35" s="526">
        <f t="shared" si="50"/>
        <v>0.51</v>
      </c>
      <c r="AM35" s="526">
        <f t="shared" si="50"/>
        <v>0.51</v>
      </c>
      <c r="AN35" s="526">
        <f t="shared" si="50"/>
        <v>0.51</v>
      </c>
      <c r="AO35" s="526">
        <f t="shared" si="50"/>
        <v>0.51</v>
      </c>
      <c r="AP35" s="526">
        <f t="shared" si="50"/>
        <v>0.51</v>
      </c>
      <c r="AQ35" s="526">
        <f t="shared" si="50"/>
        <v>0.51</v>
      </c>
      <c r="AR35" s="526">
        <f t="shared" si="50"/>
        <v>0.51</v>
      </c>
      <c r="AS35" s="526">
        <f t="shared" si="50"/>
        <v>0.51</v>
      </c>
      <c r="AT35" s="526">
        <f t="shared" si="50"/>
        <v>0.51</v>
      </c>
      <c r="AU35" s="526">
        <f t="shared" si="50"/>
        <v>0.51</v>
      </c>
      <c r="AV35" s="526">
        <f t="shared" si="50"/>
        <v>0.51</v>
      </c>
      <c r="AW35" s="526">
        <f t="shared" si="50"/>
        <v>0.51</v>
      </c>
      <c r="AX35" s="526">
        <f t="shared" si="49"/>
        <v>0.51</v>
      </c>
      <c r="AY35" s="526">
        <f t="shared" si="49"/>
        <v>0.51</v>
      </c>
      <c r="AZ35" s="526">
        <f t="shared" si="49"/>
        <v>0.51</v>
      </c>
      <c r="BA35" s="526">
        <f t="shared" si="49"/>
        <v>0.51</v>
      </c>
      <c r="BB35" s="526">
        <f t="shared" si="49"/>
        <v>0.51</v>
      </c>
      <c r="BC35" s="526">
        <f t="shared" si="49"/>
        <v>0.51</v>
      </c>
      <c r="BD35" s="526">
        <f t="shared" si="49"/>
        <v>0.51</v>
      </c>
      <c r="BE35" s="526">
        <f t="shared" si="49"/>
        <v>0.51</v>
      </c>
      <c r="BF35" s="526">
        <f t="shared" si="49"/>
        <v>0.51</v>
      </c>
      <c r="BG35" s="526">
        <f t="shared" si="49"/>
        <v>0.51</v>
      </c>
      <c r="BH35" s="526">
        <f t="shared" si="49"/>
        <v>0.51</v>
      </c>
      <c r="BI35" s="526">
        <f t="shared" si="49"/>
        <v>0.51</v>
      </c>
      <c r="BJ35" s="526">
        <f t="shared" si="49"/>
        <v>0.51</v>
      </c>
      <c r="BK35" s="526">
        <f t="shared" si="49"/>
        <v>0.51</v>
      </c>
      <c r="BL35" s="526">
        <f t="shared" si="49"/>
        <v>0.51</v>
      </c>
      <c r="BM35" s="526">
        <f t="shared" si="49"/>
        <v>0.51</v>
      </c>
      <c r="BN35" s="526">
        <f t="shared" si="49"/>
        <v>0.51</v>
      </c>
      <c r="BO35" s="526">
        <f t="shared" si="49"/>
        <v>0.51</v>
      </c>
      <c r="BP35" s="526">
        <f t="shared" si="49"/>
        <v>0.51</v>
      </c>
      <c r="BQ35" s="526">
        <f t="shared" si="49"/>
        <v>0.51</v>
      </c>
      <c r="BR35" s="526">
        <f t="shared" si="49"/>
        <v>0.51</v>
      </c>
      <c r="BS35" s="526">
        <f t="shared" si="49"/>
        <v>0.51</v>
      </c>
      <c r="BT35" s="526">
        <f t="shared" si="49"/>
        <v>0.51</v>
      </c>
      <c r="BU35" s="526">
        <f t="shared" si="49"/>
        <v>0.51</v>
      </c>
      <c r="BV35" s="526">
        <f t="shared" si="49"/>
        <v>0.51</v>
      </c>
      <c r="BW35" s="526">
        <f t="shared" si="49"/>
        <v>0.51</v>
      </c>
      <c r="BX35" s="526">
        <f t="shared" si="49"/>
        <v>0.51</v>
      </c>
      <c r="BY35" s="526">
        <f t="shared" si="49"/>
        <v>0.51</v>
      </c>
      <c r="BZ35" s="526">
        <f t="shared" si="49"/>
        <v>0.51</v>
      </c>
      <c r="CA35" s="526">
        <f t="shared" si="49"/>
        <v>0.51</v>
      </c>
      <c r="CB35" s="526">
        <f t="shared" si="49"/>
        <v>0.51</v>
      </c>
      <c r="CC35" s="526">
        <f t="shared" si="49"/>
        <v>0.51</v>
      </c>
      <c r="CD35" s="526">
        <f t="shared" si="49"/>
        <v>0.51</v>
      </c>
      <c r="CE35" s="526">
        <f t="shared" si="49"/>
        <v>0.51</v>
      </c>
      <c r="CG35" s="537">
        <v>0.51</v>
      </c>
      <c r="CH35" s="537">
        <v>0.51</v>
      </c>
      <c r="CI35" s="537">
        <v>0.51</v>
      </c>
      <c r="CJ35" s="537">
        <v>0.51</v>
      </c>
      <c r="CK35" s="537">
        <v>0.51</v>
      </c>
      <c r="CL35" s="537">
        <v>0.51</v>
      </c>
      <c r="CM35" s="537">
        <v>0.51</v>
      </c>
      <c r="CN35" s="537">
        <v>0.51</v>
      </c>
      <c r="CO35" s="537">
        <v>0.51</v>
      </c>
      <c r="CP35" s="537">
        <v>0.51</v>
      </c>
      <c r="CQ35" s="537">
        <v>0.51</v>
      </c>
      <c r="CR35" s="537">
        <v>0.51</v>
      </c>
      <c r="CS35" s="537">
        <v>0.51</v>
      </c>
      <c r="CT35" s="537">
        <v>0.51</v>
      </c>
      <c r="CU35" s="537">
        <v>0.51</v>
      </c>
      <c r="CV35" s="537">
        <v>0.51</v>
      </c>
      <c r="CW35" s="537">
        <v>0.51</v>
      </c>
      <c r="CX35" s="537">
        <v>0.51</v>
      </c>
      <c r="CY35" s="537">
        <v>0.51</v>
      </c>
      <c r="CZ35" s="537">
        <v>0.51</v>
      </c>
      <c r="DA35" s="537">
        <v>0.51</v>
      </c>
      <c r="DB35" s="537">
        <v>0.51</v>
      </c>
      <c r="DC35" s="537">
        <v>0.51</v>
      </c>
      <c r="DD35" s="537">
        <v>0.51</v>
      </c>
      <c r="DE35" s="537">
        <v>0.51</v>
      </c>
      <c r="DF35" s="537">
        <v>0.51</v>
      </c>
      <c r="DG35" s="537">
        <v>0.51</v>
      </c>
      <c r="DH35" s="537">
        <v>0.51</v>
      </c>
    </row>
    <row r="36" spans="2:112">
      <c r="B36" t="s">
        <v>933</v>
      </c>
      <c r="C36" t="s">
        <v>126</v>
      </c>
      <c r="D36" t="s">
        <v>894</v>
      </c>
      <c r="E36" t="s">
        <v>895</v>
      </c>
      <c r="F36" s="537">
        <v>0</v>
      </c>
      <c r="G36" s="537">
        <v>0</v>
      </c>
      <c r="H36" s="537">
        <v>0</v>
      </c>
      <c r="I36" s="537">
        <v>0</v>
      </c>
      <c r="J36" s="537">
        <v>0</v>
      </c>
      <c r="K36" s="537">
        <v>0</v>
      </c>
      <c r="L36" s="537">
        <v>0</v>
      </c>
      <c r="M36" s="537">
        <v>0</v>
      </c>
      <c r="N36" s="537">
        <v>0</v>
      </c>
      <c r="O36" s="537">
        <v>0</v>
      </c>
      <c r="P36" s="537">
        <v>0</v>
      </c>
      <c r="Q36" s="537">
        <v>0</v>
      </c>
      <c r="R36" s="537">
        <v>0</v>
      </c>
      <c r="S36" s="537">
        <v>0</v>
      </c>
      <c r="T36" s="537">
        <v>0</v>
      </c>
      <c r="U36" s="537">
        <v>0</v>
      </c>
      <c r="V36" s="537">
        <v>0</v>
      </c>
      <c r="W36" s="537">
        <v>0</v>
      </c>
      <c r="X36" s="537">
        <v>0</v>
      </c>
      <c r="Y36" s="537">
        <v>0</v>
      </c>
      <c r="Z36" s="537">
        <v>0</v>
      </c>
      <c r="AA36" s="537">
        <v>0</v>
      </c>
      <c r="AB36" s="537">
        <v>0</v>
      </c>
      <c r="AC36" s="537">
        <v>0</v>
      </c>
      <c r="AD36" s="537">
        <v>0</v>
      </c>
      <c r="AE36" s="537">
        <v>0</v>
      </c>
      <c r="AF36" s="537">
        <v>0</v>
      </c>
      <c r="AG36" s="537">
        <v>0</v>
      </c>
      <c r="AH36" s="538">
        <f t="shared" si="50"/>
        <v>0</v>
      </c>
      <c r="AI36" s="538">
        <f t="shared" si="50"/>
        <v>0</v>
      </c>
      <c r="AJ36" s="538">
        <f t="shared" si="50"/>
        <v>0</v>
      </c>
      <c r="AK36" s="538">
        <f t="shared" si="50"/>
        <v>0</v>
      </c>
      <c r="AL36" s="538">
        <f t="shared" si="50"/>
        <v>0</v>
      </c>
      <c r="AM36" s="538">
        <f t="shared" si="50"/>
        <v>0</v>
      </c>
      <c r="AN36" s="538">
        <f t="shared" si="50"/>
        <v>0</v>
      </c>
      <c r="AO36" s="538">
        <f t="shared" si="50"/>
        <v>0</v>
      </c>
      <c r="AP36" s="538">
        <f t="shared" si="50"/>
        <v>0</v>
      </c>
      <c r="AQ36" s="538">
        <f t="shared" si="50"/>
        <v>0</v>
      </c>
      <c r="AR36" s="538">
        <f t="shared" si="50"/>
        <v>0</v>
      </c>
      <c r="AS36" s="538">
        <f t="shared" si="50"/>
        <v>0</v>
      </c>
      <c r="AT36" s="538">
        <f t="shared" si="50"/>
        <v>0</v>
      </c>
      <c r="AU36" s="538">
        <f t="shared" si="50"/>
        <v>0</v>
      </c>
      <c r="AV36" s="538">
        <f t="shared" si="50"/>
        <v>0</v>
      </c>
      <c r="AW36" s="538">
        <f t="shared" si="50"/>
        <v>0</v>
      </c>
      <c r="AX36" s="538">
        <f t="shared" si="49"/>
        <v>0</v>
      </c>
      <c r="AY36" s="538">
        <f t="shared" si="49"/>
        <v>0</v>
      </c>
      <c r="AZ36" s="538">
        <f t="shared" si="49"/>
        <v>0</v>
      </c>
      <c r="BA36" s="538">
        <f t="shared" si="49"/>
        <v>0</v>
      </c>
      <c r="BB36" s="538">
        <f t="shared" si="49"/>
        <v>0</v>
      </c>
      <c r="BC36" s="538">
        <f t="shared" si="49"/>
        <v>0</v>
      </c>
      <c r="BD36" s="538">
        <f t="shared" si="49"/>
        <v>0</v>
      </c>
      <c r="BE36" s="538">
        <f t="shared" si="49"/>
        <v>0</v>
      </c>
      <c r="BF36" s="538">
        <f t="shared" si="49"/>
        <v>0</v>
      </c>
      <c r="BG36" s="538">
        <f t="shared" si="49"/>
        <v>0</v>
      </c>
      <c r="BH36" s="538">
        <f t="shared" si="49"/>
        <v>0</v>
      </c>
      <c r="BI36" s="538">
        <f t="shared" si="49"/>
        <v>0</v>
      </c>
      <c r="BJ36" s="538">
        <f t="shared" si="49"/>
        <v>0</v>
      </c>
      <c r="BK36" s="538">
        <f t="shared" si="49"/>
        <v>0</v>
      </c>
      <c r="BL36" s="538">
        <f t="shared" si="49"/>
        <v>0</v>
      </c>
      <c r="BM36" s="538">
        <f t="shared" si="49"/>
        <v>0</v>
      </c>
      <c r="BN36" s="538">
        <f t="shared" si="49"/>
        <v>0</v>
      </c>
      <c r="BO36" s="538">
        <f t="shared" si="49"/>
        <v>0</v>
      </c>
      <c r="BP36" s="538">
        <f t="shared" si="49"/>
        <v>0</v>
      </c>
      <c r="BQ36" s="538">
        <f t="shared" si="49"/>
        <v>0</v>
      </c>
      <c r="BR36" s="538">
        <f t="shared" si="49"/>
        <v>0</v>
      </c>
      <c r="BS36" s="538">
        <f t="shared" si="49"/>
        <v>0</v>
      </c>
      <c r="BT36" s="538">
        <f t="shared" si="49"/>
        <v>0</v>
      </c>
      <c r="BU36" s="538">
        <f t="shared" si="49"/>
        <v>0</v>
      </c>
      <c r="BV36" s="538">
        <f t="shared" si="49"/>
        <v>0</v>
      </c>
      <c r="BW36" s="538">
        <f t="shared" si="49"/>
        <v>0</v>
      </c>
      <c r="BX36" s="538">
        <f t="shared" si="49"/>
        <v>0</v>
      </c>
      <c r="BY36" s="538">
        <f t="shared" si="49"/>
        <v>0</v>
      </c>
      <c r="BZ36" s="538">
        <f t="shared" si="49"/>
        <v>0</v>
      </c>
      <c r="CA36" s="538">
        <f t="shared" si="49"/>
        <v>0</v>
      </c>
      <c r="CB36" s="538">
        <f t="shared" si="49"/>
        <v>0</v>
      </c>
      <c r="CC36" s="538">
        <f t="shared" si="49"/>
        <v>0</v>
      </c>
      <c r="CD36" s="538">
        <f t="shared" si="49"/>
        <v>0</v>
      </c>
      <c r="CE36" s="538">
        <f t="shared" si="49"/>
        <v>0</v>
      </c>
      <c r="CG36" s="537">
        <v>0</v>
      </c>
      <c r="CH36" s="537">
        <v>0</v>
      </c>
      <c r="CI36" s="537">
        <v>0</v>
      </c>
      <c r="CJ36" s="537">
        <v>0</v>
      </c>
      <c r="CK36" s="537">
        <v>0</v>
      </c>
      <c r="CL36" s="537">
        <v>0</v>
      </c>
      <c r="CM36" s="537">
        <v>0</v>
      </c>
      <c r="CN36" s="537">
        <v>0</v>
      </c>
      <c r="CO36" s="537">
        <v>0</v>
      </c>
      <c r="CP36" s="537">
        <v>0</v>
      </c>
      <c r="CQ36" s="537">
        <v>0</v>
      </c>
      <c r="CR36" s="537">
        <v>0</v>
      </c>
      <c r="CS36" s="537">
        <v>0</v>
      </c>
      <c r="CT36" s="537">
        <v>0</v>
      </c>
      <c r="CU36" s="537">
        <v>0</v>
      </c>
      <c r="CV36" s="537">
        <v>0</v>
      </c>
      <c r="CW36" s="537">
        <v>0</v>
      </c>
      <c r="CX36" s="537">
        <v>0</v>
      </c>
      <c r="CY36" s="537">
        <v>0</v>
      </c>
      <c r="CZ36" s="537">
        <v>0</v>
      </c>
      <c r="DA36" s="537">
        <v>0</v>
      </c>
      <c r="DB36" s="537">
        <v>0</v>
      </c>
      <c r="DC36" s="537">
        <v>0</v>
      </c>
      <c r="DD36" s="537">
        <v>0</v>
      </c>
      <c r="DE36" s="537">
        <v>0</v>
      </c>
      <c r="DF36" s="537">
        <v>0</v>
      </c>
      <c r="DG36" s="537">
        <v>0</v>
      </c>
      <c r="DH36" s="537">
        <v>0</v>
      </c>
    </row>
    <row r="37" spans="2:112">
      <c r="B37" t="s">
        <v>934</v>
      </c>
      <c r="C37" t="s">
        <v>126</v>
      </c>
      <c r="D37" t="s">
        <v>897</v>
      </c>
      <c r="E37" t="s">
        <v>895</v>
      </c>
      <c r="F37" s="537">
        <v>0.01</v>
      </c>
      <c r="G37" s="537">
        <v>0.01</v>
      </c>
      <c r="H37" s="537">
        <v>0.01</v>
      </c>
      <c r="I37" s="537">
        <v>0.01</v>
      </c>
      <c r="J37" s="537">
        <v>0.01</v>
      </c>
      <c r="K37" s="537">
        <v>0.01</v>
      </c>
      <c r="L37" s="537">
        <v>0.01</v>
      </c>
      <c r="M37" s="537">
        <v>0.01</v>
      </c>
      <c r="N37" s="537">
        <v>0.01</v>
      </c>
      <c r="O37" s="537">
        <v>0.01</v>
      </c>
      <c r="P37" s="537">
        <v>0.01</v>
      </c>
      <c r="Q37" s="537">
        <v>0.01</v>
      </c>
      <c r="R37" s="537">
        <v>0.01</v>
      </c>
      <c r="S37" s="537">
        <v>0.01</v>
      </c>
      <c r="T37" s="537">
        <v>0.01</v>
      </c>
      <c r="U37" s="537">
        <v>0.01</v>
      </c>
      <c r="V37" s="537">
        <v>0.01</v>
      </c>
      <c r="W37" s="537">
        <v>0.01</v>
      </c>
      <c r="X37" s="537">
        <v>0.01</v>
      </c>
      <c r="Y37" s="537">
        <v>0.01</v>
      </c>
      <c r="Z37" s="537">
        <v>0.01</v>
      </c>
      <c r="AA37" s="537">
        <v>0.01</v>
      </c>
      <c r="AB37" s="537">
        <v>0.01</v>
      </c>
      <c r="AC37" s="537">
        <v>0.01</v>
      </c>
      <c r="AD37" s="537">
        <v>0.01</v>
      </c>
      <c r="AE37" s="537">
        <v>0.01</v>
      </c>
      <c r="AF37" s="537">
        <v>0.01</v>
      </c>
      <c r="AG37" s="537">
        <v>0.01</v>
      </c>
      <c r="AH37" s="538">
        <f t="shared" si="50"/>
        <v>0.01</v>
      </c>
      <c r="AI37" s="538">
        <f t="shared" si="50"/>
        <v>0.01</v>
      </c>
      <c r="AJ37" s="538">
        <f t="shared" si="50"/>
        <v>0.01</v>
      </c>
      <c r="AK37" s="538">
        <f t="shared" si="50"/>
        <v>0.01</v>
      </c>
      <c r="AL37" s="538">
        <f t="shared" si="50"/>
        <v>0.01</v>
      </c>
      <c r="AM37" s="538">
        <f t="shared" si="50"/>
        <v>0.01</v>
      </c>
      <c r="AN37" s="538">
        <f t="shared" si="50"/>
        <v>0.01</v>
      </c>
      <c r="AO37" s="538">
        <f t="shared" si="50"/>
        <v>0.01</v>
      </c>
      <c r="AP37" s="538">
        <f t="shared" si="50"/>
        <v>0.01</v>
      </c>
      <c r="AQ37" s="538">
        <f t="shared" si="50"/>
        <v>0.01</v>
      </c>
      <c r="AR37" s="538">
        <f t="shared" si="50"/>
        <v>0.01</v>
      </c>
      <c r="AS37" s="538">
        <f t="shared" si="50"/>
        <v>0.01</v>
      </c>
      <c r="AT37" s="538">
        <f t="shared" si="50"/>
        <v>0.01</v>
      </c>
      <c r="AU37" s="538">
        <f t="shared" si="50"/>
        <v>0.01</v>
      </c>
      <c r="AV37" s="538">
        <f t="shared" si="50"/>
        <v>0.01</v>
      </c>
      <c r="AW37" s="538">
        <f t="shared" si="50"/>
        <v>0.01</v>
      </c>
      <c r="AX37" s="538">
        <f t="shared" si="49"/>
        <v>0.01</v>
      </c>
      <c r="AY37" s="538">
        <f t="shared" si="49"/>
        <v>0.01</v>
      </c>
      <c r="AZ37" s="538">
        <f t="shared" si="49"/>
        <v>0.01</v>
      </c>
      <c r="BA37" s="538">
        <f t="shared" si="49"/>
        <v>0.01</v>
      </c>
      <c r="BB37" s="538">
        <f t="shared" si="49"/>
        <v>0.01</v>
      </c>
      <c r="BC37" s="538">
        <f t="shared" si="49"/>
        <v>0.01</v>
      </c>
      <c r="BD37" s="538">
        <f t="shared" si="49"/>
        <v>0.01</v>
      </c>
      <c r="BE37" s="538">
        <f t="shared" si="49"/>
        <v>0.01</v>
      </c>
      <c r="BF37" s="538">
        <f t="shared" si="49"/>
        <v>0.01</v>
      </c>
      <c r="BG37" s="538">
        <f t="shared" si="49"/>
        <v>0.01</v>
      </c>
      <c r="BH37" s="538">
        <f t="shared" si="49"/>
        <v>0.01</v>
      </c>
      <c r="BI37" s="538">
        <f t="shared" si="49"/>
        <v>0.01</v>
      </c>
      <c r="BJ37" s="538">
        <f t="shared" si="49"/>
        <v>0.01</v>
      </c>
      <c r="BK37" s="538">
        <f t="shared" si="49"/>
        <v>0.01</v>
      </c>
      <c r="BL37" s="538">
        <f t="shared" si="49"/>
        <v>0.01</v>
      </c>
      <c r="BM37" s="538">
        <f t="shared" si="49"/>
        <v>0.01</v>
      </c>
      <c r="BN37" s="538">
        <f t="shared" ref="BN37:CC39" si="51">BM37</f>
        <v>0.01</v>
      </c>
      <c r="BO37" s="538">
        <f t="shared" si="51"/>
        <v>0.01</v>
      </c>
      <c r="BP37" s="538">
        <f t="shared" si="51"/>
        <v>0.01</v>
      </c>
      <c r="BQ37" s="538">
        <f t="shared" si="51"/>
        <v>0.01</v>
      </c>
      <c r="BR37" s="538">
        <f t="shared" si="51"/>
        <v>0.01</v>
      </c>
      <c r="BS37" s="538">
        <f t="shared" si="51"/>
        <v>0.01</v>
      </c>
      <c r="BT37" s="538">
        <f t="shared" si="51"/>
        <v>0.01</v>
      </c>
      <c r="BU37" s="538">
        <f t="shared" si="51"/>
        <v>0.01</v>
      </c>
      <c r="BV37" s="538">
        <f t="shared" si="51"/>
        <v>0.01</v>
      </c>
      <c r="BW37" s="538">
        <f t="shared" si="51"/>
        <v>0.01</v>
      </c>
      <c r="BX37" s="538">
        <f t="shared" si="51"/>
        <v>0.01</v>
      </c>
      <c r="BY37" s="538">
        <f t="shared" si="51"/>
        <v>0.01</v>
      </c>
      <c r="BZ37" s="538">
        <f t="shared" si="51"/>
        <v>0.01</v>
      </c>
      <c r="CA37" s="538">
        <f t="shared" si="51"/>
        <v>0.01</v>
      </c>
      <c r="CB37" s="538">
        <f t="shared" si="51"/>
        <v>0.01</v>
      </c>
      <c r="CC37" s="538">
        <f t="shared" si="51"/>
        <v>0.01</v>
      </c>
      <c r="CD37" s="538">
        <f t="shared" ref="CD37:CE39" si="52">CC37</f>
        <v>0.01</v>
      </c>
      <c r="CE37" s="538">
        <f t="shared" si="52"/>
        <v>0.01</v>
      </c>
      <c r="CG37" s="537">
        <v>0.01</v>
      </c>
      <c r="CH37" s="537">
        <v>0.01</v>
      </c>
      <c r="CI37" s="537">
        <v>0.01</v>
      </c>
      <c r="CJ37" s="537">
        <v>0.01</v>
      </c>
      <c r="CK37" s="537">
        <v>0.01</v>
      </c>
      <c r="CL37" s="537">
        <v>0.01</v>
      </c>
      <c r="CM37" s="537">
        <v>0.01</v>
      </c>
      <c r="CN37" s="537">
        <v>0.01</v>
      </c>
      <c r="CO37" s="537">
        <v>0.01</v>
      </c>
      <c r="CP37" s="537">
        <v>0.01</v>
      </c>
      <c r="CQ37" s="537">
        <v>0.01</v>
      </c>
      <c r="CR37" s="537">
        <v>0.01</v>
      </c>
      <c r="CS37" s="537">
        <v>0.01</v>
      </c>
      <c r="CT37" s="537">
        <v>0.01</v>
      </c>
      <c r="CU37" s="537">
        <v>0.01</v>
      </c>
      <c r="CV37" s="537">
        <v>0.01</v>
      </c>
      <c r="CW37" s="537">
        <v>0.01</v>
      </c>
      <c r="CX37" s="537">
        <v>0.01</v>
      </c>
      <c r="CY37" s="537">
        <v>0.01</v>
      </c>
      <c r="CZ37" s="537">
        <v>0.01</v>
      </c>
      <c r="DA37" s="537">
        <v>0.01</v>
      </c>
      <c r="DB37" s="537">
        <v>0.01</v>
      </c>
      <c r="DC37" s="537">
        <v>0.01</v>
      </c>
      <c r="DD37" s="537">
        <v>0.01</v>
      </c>
      <c r="DE37" s="537">
        <v>0.01</v>
      </c>
      <c r="DF37" s="537">
        <v>0.01</v>
      </c>
      <c r="DG37" s="537">
        <v>0.01</v>
      </c>
      <c r="DH37" s="537">
        <v>0.01</v>
      </c>
    </row>
    <row r="38" spans="2:112">
      <c r="B38" t="s">
        <v>935</v>
      </c>
      <c r="C38" t="s">
        <v>126</v>
      </c>
      <c r="D38" t="s">
        <v>899</v>
      </c>
      <c r="E38" t="s">
        <v>895</v>
      </c>
      <c r="F38" s="537">
        <v>0.05</v>
      </c>
      <c r="G38" s="537">
        <v>0.05</v>
      </c>
      <c r="H38" s="537">
        <v>0.05</v>
      </c>
      <c r="I38" s="537">
        <v>0.05</v>
      </c>
      <c r="J38" s="537">
        <v>0.05</v>
      </c>
      <c r="K38" s="537">
        <v>0.05</v>
      </c>
      <c r="L38" s="537">
        <v>0.05</v>
      </c>
      <c r="M38" s="537">
        <v>0.05</v>
      </c>
      <c r="N38" s="537">
        <v>0.05</v>
      </c>
      <c r="O38" s="537">
        <v>0.05</v>
      </c>
      <c r="P38" s="537">
        <v>0.05</v>
      </c>
      <c r="Q38" s="537">
        <v>0.05</v>
      </c>
      <c r="R38" s="537">
        <v>0.05</v>
      </c>
      <c r="S38" s="537">
        <v>0.05</v>
      </c>
      <c r="T38" s="537">
        <v>0.05</v>
      </c>
      <c r="U38" s="537">
        <v>0.05</v>
      </c>
      <c r="V38" s="537">
        <v>0.05</v>
      </c>
      <c r="W38" s="537">
        <v>0.05</v>
      </c>
      <c r="X38" s="537">
        <v>0.05</v>
      </c>
      <c r="Y38" s="537">
        <v>0.05</v>
      </c>
      <c r="Z38" s="537">
        <v>0.05</v>
      </c>
      <c r="AA38" s="537">
        <v>0.05</v>
      </c>
      <c r="AB38" s="537">
        <v>0.05</v>
      </c>
      <c r="AC38" s="537">
        <v>0.05</v>
      </c>
      <c r="AD38" s="537">
        <v>0.05</v>
      </c>
      <c r="AE38" s="537">
        <v>0.05</v>
      </c>
      <c r="AF38" s="537">
        <v>0.05</v>
      </c>
      <c r="AG38" s="537">
        <v>0.05</v>
      </c>
      <c r="AH38" s="538">
        <f t="shared" si="50"/>
        <v>0.05</v>
      </c>
      <c r="AI38" s="538">
        <f t="shared" si="50"/>
        <v>0.05</v>
      </c>
      <c r="AJ38" s="538">
        <f t="shared" si="50"/>
        <v>0.05</v>
      </c>
      <c r="AK38" s="538">
        <f t="shared" si="50"/>
        <v>0.05</v>
      </c>
      <c r="AL38" s="538">
        <f t="shared" si="50"/>
        <v>0.05</v>
      </c>
      <c r="AM38" s="538">
        <f t="shared" si="50"/>
        <v>0.05</v>
      </c>
      <c r="AN38" s="538">
        <f t="shared" si="50"/>
        <v>0.05</v>
      </c>
      <c r="AO38" s="538">
        <f t="shared" si="50"/>
        <v>0.05</v>
      </c>
      <c r="AP38" s="538">
        <f t="shared" si="50"/>
        <v>0.05</v>
      </c>
      <c r="AQ38" s="538">
        <f t="shared" si="50"/>
        <v>0.05</v>
      </c>
      <c r="AR38" s="538">
        <f t="shared" si="50"/>
        <v>0.05</v>
      </c>
      <c r="AS38" s="538">
        <f t="shared" si="50"/>
        <v>0.05</v>
      </c>
      <c r="AT38" s="538">
        <f t="shared" si="50"/>
        <v>0.05</v>
      </c>
      <c r="AU38" s="538">
        <f t="shared" si="50"/>
        <v>0.05</v>
      </c>
      <c r="AV38" s="538">
        <f t="shared" si="50"/>
        <v>0.05</v>
      </c>
      <c r="AW38" s="538">
        <f t="shared" si="50"/>
        <v>0.05</v>
      </c>
      <c r="AX38" s="538">
        <f t="shared" ref="AX38:BM39" si="53">AW38</f>
        <v>0.05</v>
      </c>
      <c r="AY38" s="538">
        <f t="shared" si="53"/>
        <v>0.05</v>
      </c>
      <c r="AZ38" s="538">
        <f t="shared" si="53"/>
        <v>0.05</v>
      </c>
      <c r="BA38" s="538">
        <f t="shared" si="53"/>
        <v>0.05</v>
      </c>
      <c r="BB38" s="538">
        <f t="shared" si="53"/>
        <v>0.05</v>
      </c>
      <c r="BC38" s="538">
        <f t="shared" si="53"/>
        <v>0.05</v>
      </c>
      <c r="BD38" s="538">
        <f t="shared" si="53"/>
        <v>0.05</v>
      </c>
      <c r="BE38" s="538">
        <f t="shared" si="53"/>
        <v>0.05</v>
      </c>
      <c r="BF38" s="538">
        <f t="shared" si="53"/>
        <v>0.05</v>
      </c>
      <c r="BG38" s="538">
        <f t="shared" si="53"/>
        <v>0.05</v>
      </c>
      <c r="BH38" s="538">
        <f t="shared" si="53"/>
        <v>0.05</v>
      </c>
      <c r="BI38" s="538">
        <f t="shared" si="53"/>
        <v>0.05</v>
      </c>
      <c r="BJ38" s="538">
        <f t="shared" si="53"/>
        <v>0.05</v>
      </c>
      <c r="BK38" s="538">
        <f t="shared" si="53"/>
        <v>0.05</v>
      </c>
      <c r="BL38" s="538">
        <f t="shared" si="53"/>
        <v>0.05</v>
      </c>
      <c r="BM38" s="538">
        <f t="shared" si="53"/>
        <v>0.05</v>
      </c>
      <c r="BN38" s="538">
        <f t="shared" si="51"/>
        <v>0.05</v>
      </c>
      <c r="BO38" s="538">
        <f t="shared" si="51"/>
        <v>0.05</v>
      </c>
      <c r="BP38" s="538">
        <f t="shared" si="51"/>
        <v>0.05</v>
      </c>
      <c r="BQ38" s="538">
        <f t="shared" si="51"/>
        <v>0.05</v>
      </c>
      <c r="BR38" s="538">
        <f t="shared" si="51"/>
        <v>0.05</v>
      </c>
      <c r="BS38" s="538">
        <f t="shared" si="51"/>
        <v>0.05</v>
      </c>
      <c r="BT38" s="538">
        <f t="shared" si="51"/>
        <v>0.05</v>
      </c>
      <c r="BU38" s="538">
        <f t="shared" si="51"/>
        <v>0.05</v>
      </c>
      <c r="BV38" s="538">
        <f t="shared" si="51"/>
        <v>0.05</v>
      </c>
      <c r="BW38" s="538">
        <f t="shared" si="51"/>
        <v>0.05</v>
      </c>
      <c r="BX38" s="538">
        <f t="shared" si="51"/>
        <v>0.05</v>
      </c>
      <c r="BY38" s="538">
        <f t="shared" si="51"/>
        <v>0.05</v>
      </c>
      <c r="BZ38" s="538">
        <f t="shared" si="51"/>
        <v>0.05</v>
      </c>
      <c r="CA38" s="538">
        <f t="shared" si="51"/>
        <v>0.05</v>
      </c>
      <c r="CB38" s="538">
        <f t="shared" si="51"/>
        <v>0.05</v>
      </c>
      <c r="CC38" s="538">
        <f t="shared" si="51"/>
        <v>0.05</v>
      </c>
      <c r="CD38" s="538">
        <f t="shared" si="52"/>
        <v>0.05</v>
      </c>
      <c r="CE38" s="538">
        <f t="shared" si="52"/>
        <v>0.05</v>
      </c>
      <c r="CG38" s="537">
        <v>0.05</v>
      </c>
      <c r="CH38" s="537">
        <v>0.05</v>
      </c>
      <c r="CI38" s="537">
        <v>0.05</v>
      </c>
      <c r="CJ38" s="537">
        <v>0.05</v>
      </c>
      <c r="CK38" s="537">
        <v>0.05</v>
      </c>
      <c r="CL38" s="537">
        <v>0.05</v>
      </c>
      <c r="CM38" s="537">
        <v>0.05</v>
      </c>
      <c r="CN38" s="537">
        <v>0.05</v>
      </c>
      <c r="CO38" s="537">
        <v>0.05</v>
      </c>
      <c r="CP38" s="537">
        <v>0.05</v>
      </c>
      <c r="CQ38" s="537">
        <v>0.05</v>
      </c>
      <c r="CR38" s="537">
        <v>0.05</v>
      </c>
      <c r="CS38" s="537">
        <v>0.05</v>
      </c>
      <c r="CT38" s="537">
        <v>0.05</v>
      </c>
      <c r="CU38" s="537">
        <v>0.05</v>
      </c>
      <c r="CV38" s="537">
        <v>0.05</v>
      </c>
      <c r="CW38" s="537">
        <v>0.05</v>
      </c>
      <c r="CX38" s="537">
        <v>0.05</v>
      </c>
      <c r="CY38" s="537">
        <v>0.05</v>
      </c>
      <c r="CZ38" s="537">
        <v>0.05</v>
      </c>
      <c r="DA38" s="537">
        <v>0.05</v>
      </c>
      <c r="DB38" s="537">
        <v>0.05</v>
      </c>
      <c r="DC38" s="537">
        <v>0.05</v>
      </c>
      <c r="DD38" s="537">
        <v>0.05</v>
      </c>
      <c r="DE38" s="537">
        <v>0.05</v>
      </c>
      <c r="DF38" s="537">
        <v>0.05</v>
      </c>
      <c r="DG38" s="537">
        <v>0.05</v>
      </c>
      <c r="DH38" s="537">
        <v>0.05</v>
      </c>
    </row>
    <row r="39" spans="2:112">
      <c r="B39" t="s">
        <v>936</v>
      </c>
      <c r="C39" t="s">
        <v>126</v>
      </c>
      <c r="D39" t="s">
        <v>901</v>
      </c>
      <c r="E39" t="s">
        <v>895</v>
      </c>
      <c r="F39" s="537">
        <v>0.05</v>
      </c>
      <c r="G39" s="537">
        <v>0.05</v>
      </c>
      <c r="H39" s="537">
        <v>0.05</v>
      </c>
      <c r="I39" s="537">
        <v>0.05</v>
      </c>
      <c r="J39" s="537">
        <v>0.05</v>
      </c>
      <c r="K39" s="537">
        <v>0.05</v>
      </c>
      <c r="L39" s="537">
        <v>0.05</v>
      </c>
      <c r="M39" s="537">
        <v>0.05</v>
      </c>
      <c r="N39" s="537">
        <v>0.05</v>
      </c>
      <c r="O39" s="537">
        <v>0.05</v>
      </c>
      <c r="P39" s="537">
        <v>0.05</v>
      </c>
      <c r="Q39" s="537">
        <v>0.05</v>
      </c>
      <c r="R39" s="537">
        <v>0.05</v>
      </c>
      <c r="S39" s="537">
        <v>0.05</v>
      </c>
      <c r="T39" s="537">
        <v>0.05</v>
      </c>
      <c r="U39" s="537">
        <v>0.05</v>
      </c>
      <c r="V39" s="537">
        <v>0.05</v>
      </c>
      <c r="W39" s="537">
        <v>0.05</v>
      </c>
      <c r="X39" s="537">
        <v>0.05</v>
      </c>
      <c r="Y39" s="537">
        <v>0.05</v>
      </c>
      <c r="Z39" s="537">
        <v>0.05</v>
      </c>
      <c r="AA39" s="537">
        <v>0.05</v>
      </c>
      <c r="AB39" s="537">
        <v>0.05</v>
      </c>
      <c r="AC39" s="537">
        <v>0.05</v>
      </c>
      <c r="AD39" s="537">
        <v>0.05</v>
      </c>
      <c r="AE39" s="537">
        <v>0.05</v>
      </c>
      <c r="AF39" s="537">
        <v>0.05</v>
      </c>
      <c r="AG39" s="537">
        <v>0.05</v>
      </c>
      <c r="AH39" s="538">
        <f t="shared" si="50"/>
        <v>0.05</v>
      </c>
      <c r="AI39" s="538">
        <f t="shared" si="50"/>
        <v>0.05</v>
      </c>
      <c r="AJ39" s="538">
        <f t="shared" si="50"/>
        <v>0.05</v>
      </c>
      <c r="AK39" s="538">
        <f t="shared" si="50"/>
        <v>0.05</v>
      </c>
      <c r="AL39" s="538">
        <f t="shared" si="50"/>
        <v>0.05</v>
      </c>
      <c r="AM39" s="538">
        <f t="shared" si="50"/>
        <v>0.05</v>
      </c>
      <c r="AN39" s="538">
        <f t="shared" si="50"/>
        <v>0.05</v>
      </c>
      <c r="AO39" s="538">
        <f t="shared" si="50"/>
        <v>0.05</v>
      </c>
      <c r="AP39" s="538">
        <f t="shared" si="50"/>
        <v>0.05</v>
      </c>
      <c r="AQ39" s="538">
        <f t="shared" si="50"/>
        <v>0.05</v>
      </c>
      <c r="AR39" s="538">
        <f t="shared" si="50"/>
        <v>0.05</v>
      </c>
      <c r="AS39" s="538">
        <f t="shared" si="50"/>
        <v>0.05</v>
      </c>
      <c r="AT39" s="538">
        <f t="shared" si="50"/>
        <v>0.05</v>
      </c>
      <c r="AU39" s="538">
        <f t="shared" si="50"/>
        <v>0.05</v>
      </c>
      <c r="AV39" s="538">
        <f t="shared" si="50"/>
        <v>0.05</v>
      </c>
      <c r="AW39" s="538">
        <f t="shared" si="50"/>
        <v>0.05</v>
      </c>
      <c r="AX39" s="538">
        <f t="shared" si="53"/>
        <v>0.05</v>
      </c>
      <c r="AY39" s="538">
        <f t="shared" si="53"/>
        <v>0.05</v>
      </c>
      <c r="AZ39" s="538">
        <f t="shared" si="53"/>
        <v>0.05</v>
      </c>
      <c r="BA39" s="538">
        <f t="shared" si="53"/>
        <v>0.05</v>
      </c>
      <c r="BB39" s="538">
        <f t="shared" si="53"/>
        <v>0.05</v>
      </c>
      <c r="BC39" s="538">
        <f t="shared" si="53"/>
        <v>0.05</v>
      </c>
      <c r="BD39" s="538">
        <f t="shared" si="53"/>
        <v>0.05</v>
      </c>
      <c r="BE39" s="538">
        <f t="shared" si="53"/>
        <v>0.05</v>
      </c>
      <c r="BF39" s="538">
        <f t="shared" si="53"/>
        <v>0.05</v>
      </c>
      <c r="BG39" s="538">
        <f t="shared" si="53"/>
        <v>0.05</v>
      </c>
      <c r="BH39" s="538">
        <f t="shared" si="53"/>
        <v>0.05</v>
      </c>
      <c r="BI39" s="538">
        <f t="shared" si="53"/>
        <v>0.05</v>
      </c>
      <c r="BJ39" s="538">
        <f t="shared" si="53"/>
        <v>0.05</v>
      </c>
      <c r="BK39" s="538">
        <f t="shared" si="53"/>
        <v>0.05</v>
      </c>
      <c r="BL39" s="538">
        <f t="shared" si="53"/>
        <v>0.05</v>
      </c>
      <c r="BM39" s="538">
        <f t="shared" si="53"/>
        <v>0.05</v>
      </c>
      <c r="BN39" s="538">
        <f t="shared" si="51"/>
        <v>0.05</v>
      </c>
      <c r="BO39" s="538">
        <f t="shared" si="51"/>
        <v>0.05</v>
      </c>
      <c r="BP39" s="538">
        <f t="shared" si="51"/>
        <v>0.05</v>
      </c>
      <c r="BQ39" s="538">
        <f t="shared" si="51"/>
        <v>0.05</v>
      </c>
      <c r="BR39" s="538">
        <f t="shared" si="51"/>
        <v>0.05</v>
      </c>
      <c r="BS39" s="538">
        <f t="shared" si="51"/>
        <v>0.05</v>
      </c>
      <c r="BT39" s="538">
        <f t="shared" si="51"/>
        <v>0.05</v>
      </c>
      <c r="BU39" s="538">
        <f t="shared" si="51"/>
        <v>0.05</v>
      </c>
      <c r="BV39" s="538">
        <f t="shared" si="51"/>
        <v>0.05</v>
      </c>
      <c r="BW39" s="538">
        <f t="shared" si="51"/>
        <v>0.05</v>
      </c>
      <c r="BX39" s="538">
        <f t="shared" si="51"/>
        <v>0.05</v>
      </c>
      <c r="BY39" s="538">
        <f t="shared" si="51"/>
        <v>0.05</v>
      </c>
      <c r="BZ39" s="538">
        <f t="shared" si="51"/>
        <v>0.05</v>
      </c>
      <c r="CA39" s="538">
        <f t="shared" si="51"/>
        <v>0.05</v>
      </c>
      <c r="CB39" s="538">
        <f t="shared" si="51"/>
        <v>0.05</v>
      </c>
      <c r="CC39" s="538">
        <f t="shared" si="51"/>
        <v>0.05</v>
      </c>
      <c r="CD39" s="538">
        <f t="shared" si="52"/>
        <v>0.05</v>
      </c>
      <c r="CE39" s="538">
        <f t="shared" si="52"/>
        <v>0.05</v>
      </c>
      <c r="CG39" s="537">
        <v>0.05</v>
      </c>
      <c r="CH39" s="537">
        <v>0.05</v>
      </c>
      <c r="CI39" s="537">
        <v>0.05</v>
      </c>
      <c r="CJ39" s="537">
        <v>0.05</v>
      </c>
      <c r="CK39" s="537">
        <v>0.05</v>
      </c>
      <c r="CL39" s="537">
        <v>0.05</v>
      </c>
      <c r="CM39" s="537">
        <v>0.05</v>
      </c>
      <c r="CN39" s="537">
        <v>0.05</v>
      </c>
      <c r="CO39" s="537">
        <v>0.05</v>
      </c>
      <c r="CP39" s="537">
        <v>0.05</v>
      </c>
      <c r="CQ39" s="537">
        <v>0.05</v>
      </c>
      <c r="CR39" s="537">
        <v>0.05</v>
      </c>
      <c r="CS39" s="537">
        <v>0.05</v>
      </c>
      <c r="CT39" s="537">
        <v>0.05</v>
      </c>
      <c r="CU39" s="537">
        <v>0.05</v>
      </c>
      <c r="CV39" s="537">
        <v>0.05</v>
      </c>
      <c r="CW39" s="537">
        <v>0.05</v>
      </c>
      <c r="CX39" s="537">
        <v>0.05</v>
      </c>
      <c r="CY39" s="537">
        <v>0.05</v>
      </c>
      <c r="CZ39" s="537">
        <v>0.05</v>
      </c>
      <c r="DA39" s="537">
        <v>0.05</v>
      </c>
      <c r="DB39" s="537">
        <v>0.05</v>
      </c>
      <c r="DC39" s="537">
        <v>0.05</v>
      </c>
      <c r="DD39" s="537">
        <v>0.05</v>
      </c>
      <c r="DE39" s="537">
        <v>0.05</v>
      </c>
      <c r="DF39" s="537">
        <v>0.05</v>
      </c>
      <c r="DG39" s="537">
        <v>0.05</v>
      </c>
      <c r="DH39" s="537">
        <v>0.05</v>
      </c>
    </row>
    <row r="40" spans="2:112">
      <c r="F40" s="539"/>
      <c r="G40" s="539"/>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row>
    <row r="41" spans="2:112">
      <c r="B41" t="s">
        <v>937</v>
      </c>
      <c r="C41" t="s">
        <v>126</v>
      </c>
      <c r="D41" t="s">
        <v>903</v>
      </c>
      <c r="E41" t="s">
        <v>557</v>
      </c>
      <c r="F41" s="536">
        <v>122400</v>
      </c>
      <c r="G41" s="536">
        <v>122400</v>
      </c>
      <c r="H41" s="536">
        <v>122400</v>
      </c>
      <c r="I41" s="536">
        <v>122400</v>
      </c>
      <c r="J41" s="536">
        <v>122400</v>
      </c>
      <c r="K41" s="536">
        <v>122400</v>
      </c>
      <c r="L41" s="536">
        <v>122400</v>
      </c>
      <c r="M41" s="536">
        <v>122400</v>
      </c>
      <c r="N41" s="536">
        <v>122400</v>
      </c>
      <c r="O41" s="536">
        <v>122400</v>
      </c>
      <c r="P41" s="536">
        <v>122400</v>
      </c>
      <c r="Q41" s="536">
        <v>122400</v>
      </c>
      <c r="R41" s="536">
        <v>122400</v>
      </c>
      <c r="S41" s="536">
        <v>122400</v>
      </c>
      <c r="T41" s="536">
        <v>122400</v>
      </c>
      <c r="U41" s="536">
        <v>122400</v>
      </c>
      <c r="V41" s="536">
        <v>122400</v>
      </c>
      <c r="W41" s="536">
        <v>122400</v>
      </c>
      <c r="X41" s="536">
        <v>122400</v>
      </c>
      <c r="Y41" s="536">
        <v>122400</v>
      </c>
      <c r="Z41" s="536">
        <v>122400</v>
      </c>
      <c r="AA41" s="536">
        <v>122400</v>
      </c>
      <c r="AB41" s="536">
        <v>122400</v>
      </c>
      <c r="AC41" s="536">
        <v>122400</v>
      </c>
      <c r="AD41" s="536">
        <v>122400</v>
      </c>
      <c r="AE41" s="536">
        <v>122400</v>
      </c>
      <c r="AF41" s="536">
        <v>122400</v>
      </c>
      <c r="AG41" s="536">
        <v>122400</v>
      </c>
      <c r="AH41" s="540">
        <f>AG41</f>
        <v>122400</v>
      </c>
      <c r="AI41" s="540">
        <f t="shared" ref="AI41:CE42" si="54">AH41</f>
        <v>122400</v>
      </c>
      <c r="AJ41" s="540">
        <f t="shared" si="54"/>
        <v>122400</v>
      </c>
      <c r="AK41" s="540">
        <f t="shared" si="54"/>
        <v>122400</v>
      </c>
      <c r="AL41" s="540">
        <f t="shared" si="54"/>
        <v>122400</v>
      </c>
      <c r="AM41" s="540">
        <f t="shared" si="54"/>
        <v>122400</v>
      </c>
      <c r="AN41" s="540">
        <f t="shared" si="54"/>
        <v>122400</v>
      </c>
      <c r="AO41" s="540">
        <f t="shared" si="54"/>
        <v>122400</v>
      </c>
      <c r="AP41" s="540">
        <f t="shared" si="54"/>
        <v>122400</v>
      </c>
      <c r="AQ41" s="540">
        <f t="shared" si="54"/>
        <v>122400</v>
      </c>
      <c r="AR41" s="540">
        <f t="shared" si="54"/>
        <v>122400</v>
      </c>
      <c r="AS41" s="540">
        <f t="shared" si="54"/>
        <v>122400</v>
      </c>
      <c r="AT41" s="540">
        <f t="shared" si="54"/>
        <v>122400</v>
      </c>
      <c r="AU41" s="540">
        <f t="shared" si="54"/>
        <v>122400</v>
      </c>
      <c r="AV41" s="540">
        <f t="shared" si="54"/>
        <v>122400</v>
      </c>
      <c r="AW41" s="540">
        <f t="shared" si="54"/>
        <v>122400</v>
      </c>
      <c r="AX41" s="540">
        <f t="shared" si="54"/>
        <v>122400</v>
      </c>
      <c r="AY41" s="540">
        <f t="shared" si="54"/>
        <v>122400</v>
      </c>
      <c r="AZ41" s="540">
        <f t="shared" si="54"/>
        <v>122400</v>
      </c>
      <c r="BA41" s="540">
        <f t="shared" si="54"/>
        <v>122400</v>
      </c>
      <c r="BB41" s="540">
        <f t="shared" si="54"/>
        <v>122400</v>
      </c>
      <c r="BC41" s="540">
        <f t="shared" si="54"/>
        <v>122400</v>
      </c>
      <c r="BD41" s="540">
        <f t="shared" si="54"/>
        <v>122400</v>
      </c>
      <c r="BE41" s="540">
        <f t="shared" si="54"/>
        <v>122400</v>
      </c>
      <c r="BF41" s="540">
        <f t="shared" si="54"/>
        <v>122400</v>
      </c>
      <c r="BG41" s="540">
        <f t="shared" si="54"/>
        <v>122400</v>
      </c>
      <c r="BH41" s="540">
        <f t="shared" si="54"/>
        <v>122400</v>
      </c>
      <c r="BI41" s="540">
        <f t="shared" si="54"/>
        <v>122400</v>
      </c>
      <c r="BJ41" s="540">
        <f t="shared" si="54"/>
        <v>122400</v>
      </c>
      <c r="BK41" s="540">
        <f t="shared" si="54"/>
        <v>122400</v>
      </c>
      <c r="BL41" s="540">
        <f t="shared" si="54"/>
        <v>122400</v>
      </c>
      <c r="BM41" s="540">
        <f t="shared" si="54"/>
        <v>122400</v>
      </c>
      <c r="BN41" s="540">
        <f t="shared" si="54"/>
        <v>122400</v>
      </c>
      <c r="BO41" s="540">
        <f t="shared" si="54"/>
        <v>122400</v>
      </c>
      <c r="BP41" s="540">
        <f t="shared" si="54"/>
        <v>122400</v>
      </c>
      <c r="BQ41" s="540">
        <f t="shared" si="54"/>
        <v>122400</v>
      </c>
      <c r="BR41" s="540">
        <f t="shared" si="54"/>
        <v>122400</v>
      </c>
      <c r="BS41" s="540">
        <f t="shared" si="54"/>
        <v>122400</v>
      </c>
      <c r="BT41" s="540">
        <f t="shared" si="54"/>
        <v>122400</v>
      </c>
      <c r="BU41" s="540">
        <f t="shared" si="54"/>
        <v>122400</v>
      </c>
      <c r="BV41" s="540">
        <f t="shared" si="54"/>
        <v>122400</v>
      </c>
      <c r="BW41" s="540">
        <f t="shared" si="54"/>
        <v>122400</v>
      </c>
      <c r="BX41" s="540">
        <f t="shared" si="54"/>
        <v>122400</v>
      </c>
      <c r="BY41" s="540">
        <f t="shared" si="54"/>
        <v>122400</v>
      </c>
      <c r="BZ41" s="540">
        <f t="shared" si="54"/>
        <v>122400</v>
      </c>
      <c r="CA41" s="540">
        <f t="shared" si="54"/>
        <v>122400</v>
      </c>
      <c r="CB41" s="540">
        <f t="shared" si="54"/>
        <v>122400</v>
      </c>
      <c r="CC41" s="540">
        <f t="shared" si="54"/>
        <v>122400</v>
      </c>
      <c r="CD41" s="540">
        <f t="shared" si="54"/>
        <v>122400</v>
      </c>
      <c r="CE41" s="540">
        <f t="shared" si="54"/>
        <v>122400</v>
      </c>
      <c r="CG41" s="536">
        <v>122400</v>
      </c>
      <c r="CH41" s="536">
        <v>122400</v>
      </c>
      <c r="CI41" s="536">
        <v>122400</v>
      </c>
      <c r="CJ41" s="536">
        <v>122400</v>
      </c>
      <c r="CK41" s="536">
        <v>122400</v>
      </c>
      <c r="CL41" s="536">
        <v>122400</v>
      </c>
      <c r="CM41" s="536">
        <v>122400</v>
      </c>
      <c r="CN41" s="536">
        <v>122400</v>
      </c>
      <c r="CO41" s="536">
        <v>122400</v>
      </c>
      <c r="CP41" s="536">
        <v>122400</v>
      </c>
      <c r="CQ41" s="536">
        <v>122400</v>
      </c>
      <c r="CR41" s="536">
        <v>122400</v>
      </c>
      <c r="CS41" s="536">
        <v>122400</v>
      </c>
      <c r="CT41" s="536">
        <v>122400</v>
      </c>
      <c r="CU41" s="536">
        <v>122400</v>
      </c>
      <c r="CV41" s="536">
        <v>122400</v>
      </c>
      <c r="CW41" s="536">
        <v>122400</v>
      </c>
      <c r="CX41" s="536">
        <v>122400</v>
      </c>
      <c r="CY41" s="536">
        <v>122400</v>
      </c>
      <c r="CZ41" s="536">
        <v>122400</v>
      </c>
      <c r="DA41" s="536">
        <v>122400</v>
      </c>
      <c r="DB41" s="536">
        <v>122400</v>
      </c>
      <c r="DC41" s="536">
        <v>122400</v>
      </c>
      <c r="DD41" s="536">
        <v>122400</v>
      </c>
      <c r="DE41" s="536">
        <v>122400</v>
      </c>
      <c r="DF41" s="536">
        <v>122400</v>
      </c>
      <c r="DG41" s="536">
        <v>122400</v>
      </c>
      <c r="DH41" s="536">
        <v>122400</v>
      </c>
    </row>
    <row r="42" spans="2:112">
      <c r="B42" t="s">
        <v>938</v>
      </c>
      <c r="C42" t="s">
        <v>126</v>
      </c>
      <c r="D42" t="s">
        <v>905</v>
      </c>
      <c r="E42" t="s">
        <v>557</v>
      </c>
      <c r="F42" s="536">
        <v>26260.36363636364</v>
      </c>
      <c r="G42" s="536">
        <v>26260.36363636364</v>
      </c>
      <c r="H42" s="536">
        <v>26260.36363636364</v>
      </c>
      <c r="I42" s="536">
        <v>26260.36363636364</v>
      </c>
      <c r="J42" s="536">
        <v>26260.36363636364</v>
      </c>
      <c r="K42" s="536">
        <v>26260.36363636364</v>
      </c>
      <c r="L42" s="536">
        <v>26260.36363636364</v>
      </c>
      <c r="M42" s="536">
        <v>26260.36363636364</v>
      </c>
      <c r="N42" s="536">
        <v>26260.36363636364</v>
      </c>
      <c r="O42" s="536">
        <v>26260.36363636364</v>
      </c>
      <c r="P42" s="536">
        <v>26260.36363636364</v>
      </c>
      <c r="Q42" s="536">
        <v>26260.36363636364</v>
      </c>
      <c r="R42" s="536">
        <v>26260.36363636364</v>
      </c>
      <c r="S42" s="536">
        <v>26260.36363636364</v>
      </c>
      <c r="T42" s="536">
        <v>26260.36363636364</v>
      </c>
      <c r="U42" s="536">
        <v>26260.36363636364</v>
      </c>
      <c r="V42" s="536">
        <v>26260.36363636364</v>
      </c>
      <c r="W42" s="536">
        <v>26260.36363636364</v>
      </c>
      <c r="X42" s="536">
        <v>26260.36363636364</v>
      </c>
      <c r="Y42" s="536">
        <v>26260.36363636364</v>
      </c>
      <c r="Z42" s="536">
        <v>26260.36363636364</v>
      </c>
      <c r="AA42" s="536">
        <v>26260.36363636364</v>
      </c>
      <c r="AB42" s="536">
        <v>26260.36363636364</v>
      </c>
      <c r="AC42" s="536">
        <v>26260.36363636364</v>
      </c>
      <c r="AD42" s="536">
        <v>26260.36363636364</v>
      </c>
      <c r="AE42" s="536">
        <v>26260.36363636364</v>
      </c>
      <c r="AF42" s="536">
        <v>26260.36363636364</v>
      </c>
      <c r="AG42" s="536">
        <v>26260.36363636364</v>
      </c>
      <c r="AH42" s="540">
        <f>AG42</f>
        <v>26260.36363636364</v>
      </c>
      <c r="AI42" s="540">
        <f t="shared" si="54"/>
        <v>26260.36363636364</v>
      </c>
      <c r="AJ42" s="540">
        <f t="shared" si="54"/>
        <v>26260.36363636364</v>
      </c>
      <c r="AK42" s="540">
        <f t="shared" si="54"/>
        <v>26260.36363636364</v>
      </c>
      <c r="AL42" s="540">
        <f t="shared" si="54"/>
        <v>26260.36363636364</v>
      </c>
      <c r="AM42" s="540">
        <f t="shared" si="54"/>
        <v>26260.36363636364</v>
      </c>
      <c r="AN42" s="540">
        <f t="shared" si="54"/>
        <v>26260.36363636364</v>
      </c>
      <c r="AO42" s="540">
        <f t="shared" si="54"/>
        <v>26260.36363636364</v>
      </c>
      <c r="AP42" s="540">
        <f t="shared" si="54"/>
        <v>26260.36363636364</v>
      </c>
      <c r="AQ42" s="540">
        <f t="shared" si="54"/>
        <v>26260.36363636364</v>
      </c>
      <c r="AR42" s="540">
        <f t="shared" si="54"/>
        <v>26260.36363636364</v>
      </c>
      <c r="AS42" s="540">
        <f t="shared" si="54"/>
        <v>26260.36363636364</v>
      </c>
      <c r="AT42" s="540">
        <f t="shared" si="54"/>
        <v>26260.36363636364</v>
      </c>
      <c r="AU42" s="540">
        <f t="shared" si="54"/>
        <v>26260.36363636364</v>
      </c>
      <c r="AV42" s="540">
        <f t="shared" si="54"/>
        <v>26260.36363636364</v>
      </c>
      <c r="AW42" s="540">
        <f t="shared" si="54"/>
        <v>26260.36363636364</v>
      </c>
      <c r="AX42" s="540">
        <f t="shared" si="54"/>
        <v>26260.36363636364</v>
      </c>
      <c r="AY42" s="540">
        <f t="shared" si="54"/>
        <v>26260.36363636364</v>
      </c>
      <c r="AZ42" s="540">
        <f t="shared" si="54"/>
        <v>26260.36363636364</v>
      </c>
      <c r="BA42" s="540">
        <f t="shared" si="54"/>
        <v>26260.36363636364</v>
      </c>
      <c r="BB42" s="540">
        <f t="shared" si="54"/>
        <v>26260.36363636364</v>
      </c>
      <c r="BC42" s="540">
        <f t="shared" si="54"/>
        <v>26260.36363636364</v>
      </c>
      <c r="BD42" s="540">
        <f t="shared" si="54"/>
        <v>26260.36363636364</v>
      </c>
      <c r="BE42" s="540">
        <f t="shared" si="54"/>
        <v>26260.36363636364</v>
      </c>
      <c r="BF42" s="540">
        <f t="shared" si="54"/>
        <v>26260.36363636364</v>
      </c>
      <c r="BG42" s="540">
        <f t="shared" si="54"/>
        <v>26260.36363636364</v>
      </c>
      <c r="BH42" s="540">
        <f t="shared" si="54"/>
        <v>26260.36363636364</v>
      </c>
      <c r="BI42" s="540">
        <f t="shared" si="54"/>
        <v>26260.36363636364</v>
      </c>
      <c r="BJ42" s="540">
        <f t="shared" si="54"/>
        <v>26260.36363636364</v>
      </c>
      <c r="BK42" s="540">
        <f t="shared" si="54"/>
        <v>26260.36363636364</v>
      </c>
      <c r="BL42" s="540">
        <f t="shared" si="54"/>
        <v>26260.36363636364</v>
      </c>
      <c r="BM42" s="540">
        <f t="shared" si="54"/>
        <v>26260.36363636364</v>
      </c>
      <c r="BN42" s="540">
        <f t="shared" si="54"/>
        <v>26260.36363636364</v>
      </c>
      <c r="BO42" s="540">
        <f t="shared" si="54"/>
        <v>26260.36363636364</v>
      </c>
      <c r="BP42" s="540">
        <f t="shared" si="54"/>
        <v>26260.36363636364</v>
      </c>
      <c r="BQ42" s="540">
        <f t="shared" si="54"/>
        <v>26260.36363636364</v>
      </c>
      <c r="BR42" s="540">
        <f t="shared" si="54"/>
        <v>26260.36363636364</v>
      </c>
      <c r="BS42" s="540">
        <f t="shared" si="54"/>
        <v>26260.36363636364</v>
      </c>
      <c r="BT42" s="540">
        <f t="shared" si="54"/>
        <v>26260.36363636364</v>
      </c>
      <c r="BU42" s="540">
        <f t="shared" si="54"/>
        <v>26260.36363636364</v>
      </c>
      <c r="BV42" s="540">
        <f t="shared" si="54"/>
        <v>26260.36363636364</v>
      </c>
      <c r="BW42" s="540">
        <f t="shared" si="54"/>
        <v>26260.36363636364</v>
      </c>
      <c r="BX42" s="540">
        <f t="shared" si="54"/>
        <v>26260.36363636364</v>
      </c>
      <c r="BY42" s="540">
        <f t="shared" si="54"/>
        <v>26260.36363636364</v>
      </c>
      <c r="BZ42" s="540">
        <f t="shared" si="54"/>
        <v>26260.36363636364</v>
      </c>
      <c r="CA42" s="540">
        <f t="shared" si="54"/>
        <v>26260.36363636364</v>
      </c>
      <c r="CB42" s="540">
        <f t="shared" si="54"/>
        <v>26260.36363636364</v>
      </c>
      <c r="CC42" s="540">
        <f t="shared" si="54"/>
        <v>26260.36363636364</v>
      </c>
      <c r="CD42" s="540">
        <f t="shared" si="54"/>
        <v>26260.36363636364</v>
      </c>
      <c r="CE42" s="540">
        <f t="shared" si="54"/>
        <v>26260.36363636364</v>
      </c>
      <c r="CG42" s="536">
        <v>26260.36363636364</v>
      </c>
      <c r="CH42" s="536">
        <v>26260.36363636364</v>
      </c>
      <c r="CI42" s="536">
        <v>26260.36363636364</v>
      </c>
      <c r="CJ42" s="536">
        <v>26260.36363636364</v>
      </c>
      <c r="CK42" s="536">
        <v>26260.36363636364</v>
      </c>
      <c r="CL42" s="536">
        <v>26260.36363636364</v>
      </c>
      <c r="CM42" s="536">
        <v>26260.36363636364</v>
      </c>
      <c r="CN42" s="536">
        <v>26260.36363636364</v>
      </c>
      <c r="CO42" s="536">
        <v>26260.36363636364</v>
      </c>
      <c r="CP42" s="536">
        <v>26260.36363636364</v>
      </c>
      <c r="CQ42" s="536">
        <v>26260.36363636364</v>
      </c>
      <c r="CR42" s="536">
        <v>26260.36363636364</v>
      </c>
      <c r="CS42" s="536">
        <v>26260.36363636364</v>
      </c>
      <c r="CT42" s="536">
        <v>26260.36363636364</v>
      </c>
      <c r="CU42" s="536">
        <v>26260.36363636364</v>
      </c>
      <c r="CV42" s="536">
        <v>26260.36363636364</v>
      </c>
      <c r="CW42" s="536">
        <v>26260.36363636364</v>
      </c>
      <c r="CX42" s="536">
        <v>26260.36363636364</v>
      </c>
      <c r="CY42" s="536">
        <v>26260.36363636364</v>
      </c>
      <c r="CZ42" s="536">
        <v>26260.36363636364</v>
      </c>
      <c r="DA42" s="536">
        <v>26260.36363636364</v>
      </c>
      <c r="DB42" s="536">
        <v>26260.36363636364</v>
      </c>
      <c r="DC42" s="536">
        <v>26260.36363636364</v>
      </c>
      <c r="DD42" s="536">
        <v>26260.36363636364</v>
      </c>
      <c r="DE42" s="536">
        <v>26260.36363636364</v>
      </c>
      <c r="DF42" s="536">
        <v>26260.36363636364</v>
      </c>
      <c r="DG42" s="536">
        <v>26260.36363636364</v>
      </c>
      <c r="DH42" s="536">
        <v>26260.36363636364</v>
      </c>
    </row>
    <row r="43" spans="2:112">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row>
    <row r="44" spans="2:112">
      <c r="B44" t="s">
        <v>939</v>
      </c>
      <c r="C44" t="s">
        <v>126</v>
      </c>
      <c r="D44" t="s">
        <v>907</v>
      </c>
      <c r="E44" t="s">
        <v>908</v>
      </c>
      <c r="F44" s="541">
        <v>104.831</v>
      </c>
      <c r="G44" s="541">
        <v>104.831</v>
      </c>
      <c r="H44" s="541">
        <v>104.831</v>
      </c>
      <c r="I44" s="541">
        <v>104.831</v>
      </c>
      <c r="J44" s="541">
        <v>104.831</v>
      </c>
      <c r="K44" s="541">
        <v>104.831</v>
      </c>
      <c r="L44" s="541">
        <v>104.831</v>
      </c>
      <c r="M44" s="541">
        <v>104.831</v>
      </c>
      <c r="N44" s="541">
        <v>104.831</v>
      </c>
      <c r="O44" s="541">
        <v>104.831</v>
      </c>
      <c r="P44" s="541">
        <v>104.831</v>
      </c>
      <c r="Q44" s="541">
        <v>104.831</v>
      </c>
      <c r="R44" s="541">
        <v>104.831</v>
      </c>
      <c r="S44" s="541">
        <v>104.831</v>
      </c>
      <c r="T44" s="541">
        <v>104.831</v>
      </c>
      <c r="U44" s="541">
        <v>104.831</v>
      </c>
      <c r="V44" s="541">
        <v>104.831</v>
      </c>
      <c r="W44" s="541">
        <v>104.831</v>
      </c>
      <c r="X44" s="541">
        <v>104.831</v>
      </c>
      <c r="Y44" s="541">
        <v>104.831</v>
      </c>
      <c r="Z44" s="541">
        <v>104.831</v>
      </c>
      <c r="AA44" s="541">
        <v>104.831</v>
      </c>
      <c r="AB44" s="541">
        <v>104.831</v>
      </c>
      <c r="AC44" s="541">
        <v>104.831</v>
      </c>
      <c r="AD44" s="541">
        <v>104.831</v>
      </c>
      <c r="AE44" s="541">
        <v>104.831</v>
      </c>
      <c r="AF44" s="541">
        <v>104.831</v>
      </c>
      <c r="AG44" s="541">
        <v>104.831</v>
      </c>
      <c r="AH44" s="542">
        <f>AG44</f>
        <v>104.831</v>
      </c>
      <c r="AI44" s="542">
        <f t="shared" ref="AI44:AX44" si="55">AH44</f>
        <v>104.831</v>
      </c>
      <c r="AJ44" s="542">
        <f t="shared" si="55"/>
        <v>104.831</v>
      </c>
      <c r="AK44" s="542">
        <f t="shared" si="55"/>
        <v>104.831</v>
      </c>
      <c r="AL44" s="542">
        <f t="shared" si="55"/>
        <v>104.831</v>
      </c>
      <c r="AM44" s="542">
        <f t="shared" si="55"/>
        <v>104.831</v>
      </c>
      <c r="AN44" s="542">
        <f t="shared" si="55"/>
        <v>104.831</v>
      </c>
      <c r="AO44" s="542">
        <f t="shared" si="55"/>
        <v>104.831</v>
      </c>
      <c r="AP44" s="542">
        <f t="shared" si="55"/>
        <v>104.831</v>
      </c>
      <c r="AQ44" s="542">
        <f t="shared" si="55"/>
        <v>104.831</v>
      </c>
      <c r="AR44" s="542">
        <f t="shared" si="55"/>
        <v>104.831</v>
      </c>
      <c r="AS44" s="542">
        <f t="shared" si="55"/>
        <v>104.831</v>
      </c>
      <c r="AT44" s="542">
        <f t="shared" si="55"/>
        <v>104.831</v>
      </c>
      <c r="AU44" s="542">
        <f t="shared" si="55"/>
        <v>104.831</v>
      </c>
      <c r="AV44" s="542">
        <f t="shared" si="55"/>
        <v>104.831</v>
      </c>
      <c r="AW44" s="542">
        <f t="shared" si="55"/>
        <v>104.831</v>
      </c>
      <c r="AX44" s="542">
        <f t="shared" si="55"/>
        <v>104.831</v>
      </c>
      <c r="AY44" s="542">
        <f t="shared" ref="AY44:BN44" si="56">AX44</f>
        <v>104.831</v>
      </c>
      <c r="AZ44" s="542">
        <f t="shared" si="56"/>
        <v>104.831</v>
      </c>
      <c r="BA44" s="542">
        <f t="shared" si="56"/>
        <v>104.831</v>
      </c>
      <c r="BB44" s="542">
        <f t="shared" si="56"/>
        <v>104.831</v>
      </c>
      <c r="BC44" s="542">
        <f t="shared" si="56"/>
        <v>104.831</v>
      </c>
      <c r="BD44" s="542">
        <f t="shared" si="56"/>
        <v>104.831</v>
      </c>
      <c r="BE44" s="542">
        <f t="shared" si="56"/>
        <v>104.831</v>
      </c>
      <c r="BF44" s="542">
        <f t="shared" si="56"/>
        <v>104.831</v>
      </c>
      <c r="BG44" s="542">
        <f t="shared" si="56"/>
        <v>104.831</v>
      </c>
      <c r="BH44" s="542">
        <f t="shared" si="56"/>
        <v>104.831</v>
      </c>
      <c r="BI44" s="542">
        <f t="shared" si="56"/>
        <v>104.831</v>
      </c>
      <c r="BJ44" s="542">
        <f t="shared" si="56"/>
        <v>104.831</v>
      </c>
      <c r="BK44" s="542">
        <f t="shared" si="56"/>
        <v>104.831</v>
      </c>
      <c r="BL44" s="542">
        <f t="shared" si="56"/>
        <v>104.831</v>
      </c>
      <c r="BM44" s="542">
        <f t="shared" si="56"/>
        <v>104.831</v>
      </c>
      <c r="BN44" s="542">
        <f t="shared" si="56"/>
        <v>104.831</v>
      </c>
      <c r="BO44" s="542">
        <f t="shared" ref="BO44:CD44" si="57">BN44</f>
        <v>104.831</v>
      </c>
      <c r="BP44" s="542">
        <f t="shared" si="57"/>
        <v>104.831</v>
      </c>
      <c r="BQ44" s="542">
        <f t="shared" si="57"/>
        <v>104.831</v>
      </c>
      <c r="BR44" s="542">
        <f t="shared" si="57"/>
        <v>104.831</v>
      </c>
      <c r="BS44" s="542">
        <f t="shared" si="57"/>
        <v>104.831</v>
      </c>
      <c r="BT44" s="542">
        <f t="shared" si="57"/>
        <v>104.831</v>
      </c>
      <c r="BU44" s="542">
        <f t="shared" si="57"/>
        <v>104.831</v>
      </c>
      <c r="BV44" s="542">
        <f t="shared" si="57"/>
        <v>104.831</v>
      </c>
      <c r="BW44" s="542">
        <f t="shared" si="57"/>
        <v>104.831</v>
      </c>
      <c r="BX44" s="542">
        <f t="shared" si="57"/>
        <v>104.831</v>
      </c>
      <c r="BY44" s="542">
        <f t="shared" si="57"/>
        <v>104.831</v>
      </c>
      <c r="BZ44" s="542">
        <f t="shared" si="57"/>
        <v>104.831</v>
      </c>
      <c r="CA44" s="542">
        <f t="shared" si="57"/>
        <v>104.831</v>
      </c>
      <c r="CB44" s="542">
        <f t="shared" si="57"/>
        <v>104.831</v>
      </c>
      <c r="CC44" s="542">
        <f t="shared" si="57"/>
        <v>104.831</v>
      </c>
      <c r="CD44" s="542">
        <f t="shared" si="57"/>
        <v>104.831</v>
      </c>
      <c r="CE44" s="542">
        <f t="shared" ref="AX44:CE51" si="58">CD44</f>
        <v>104.831</v>
      </c>
      <c r="CG44" s="541">
        <v>104.831</v>
      </c>
      <c r="CH44" s="541">
        <v>104.831</v>
      </c>
      <c r="CI44" s="541">
        <v>104.831</v>
      </c>
      <c r="CJ44" s="541">
        <v>104.831</v>
      </c>
      <c r="CK44" s="541">
        <v>104.831</v>
      </c>
      <c r="CL44" s="541">
        <v>104.831</v>
      </c>
      <c r="CM44" s="541">
        <v>104.831</v>
      </c>
      <c r="CN44" s="541">
        <v>104.831</v>
      </c>
      <c r="CO44" s="541">
        <v>104.831</v>
      </c>
      <c r="CP44" s="541">
        <v>104.831</v>
      </c>
      <c r="CQ44" s="541">
        <v>104.831</v>
      </c>
      <c r="CR44" s="541">
        <v>104.831</v>
      </c>
      <c r="CS44" s="541">
        <v>104.831</v>
      </c>
      <c r="CT44" s="541">
        <v>104.831</v>
      </c>
      <c r="CU44" s="541">
        <v>104.831</v>
      </c>
      <c r="CV44" s="541">
        <v>104.831</v>
      </c>
      <c r="CW44" s="541">
        <v>104.831</v>
      </c>
      <c r="CX44" s="541">
        <v>104.831</v>
      </c>
      <c r="CY44" s="541">
        <v>104.831</v>
      </c>
      <c r="CZ44" s="541">
        <v>104.831</v>
      </c>
      <c r="DA44" s="541">
        <v>104.831</v>
      </c>
      <c r="DB44" s="541">
        <v>104.831</v>
      </c>
      <c r="DC44" s="541">
        <v>104.831</v>
      </c>
      <c r="DD44" s="541">
        <v>104.831</v>
      </c>
      <c r="DE44" s="541">
        <v>104.831</v>
      </c>
      <c r="DF44" s="541">
        <v>104.831</v>
      </c>
      <c r="DG44" s="541">
        <v>104.831</v>
      </c>
      <c r="DH44" s="541">
        <v>104.831</v>
      </c>
    </row>
    <row r="45" spans="2:112">
      <c r="B45" t="s">
        <v>940</v>
      </c>
      <c r="C45" t="s">
        <v>126</v>
      </c>
      <c r="D45" t="s">
        <v>910</v>
      </c>
      <c r="E45" t="s">
        <v>911</v>
      </c>
      <c r="F45" s="541">
        <v>3.1757472727272731</v>
      </c>
      <c r="G45" s="541">
        <v>3.1757472727272731</v>
      </c>
      <c r="H45" s="541">
        <v>3.1757472727272731</v>
      </c>
      <c r="I45" s="541">
        <v>3.1757472727272731</v>
      </c>
      <c r="J45" s="541">
        <v>3.1757472727272731</v>
      </c>
      <c r="K45" s="541">
        <v>3.1757472727272731</v>
      </c>
      <c r="L45" s="541">
        <v>3.1757472727272731</v>
      </c>
      <c r="M45" s="541">
        <v>3.1757472727272731</v>
      </c>
      <c r="N45" s="541">
        <v>3.1757472727272731</v>
      </c>
      <c r="O45" s="541">
        <v>3.1757472727272731</v>
      </c>
      <c r="P45" s="541">
        <v>3.1757472727272731</v>
      </c>
      <c r="Q45" s="541">
        <v>3.1757472727272731</v>
      </c>
      <c r="R45" s="541">
        <v>3.1757472727272731</v>
      </c>
      <c r="S45" s="541">
        <v>3.1757472727272731</v>
      </c>
      <c r="T45" s="541">
        <v>3.1757472727272731</v>
      </c>
      <c r="U45" s="541">
        <v>3.1757472727272731</v>
      </c>
      <c r="V45" s="541">
        <v>3.1757472727272731</v>
      </c>
      <c r="W45" s="541">
        <v>3.1757472727272731</v>
      </c>
      <c r="X45" s="541">
        <v>3.1757472727272731</v>
      </c>
      <c r="Y45" s="541">
        <v>3.1757472727272731</v>
      </c>
      <c r="Z45" s="541">
        <v>3.1757472727272731</v>
      </c>
      <c r="AA45" s="541">
        <v>3.1757472727272731</v>
      </c>
      <c r="AB45" s="541">
        <v>3.1757472727272731</v>
      </c>
      <c r="AC45" s="541">
        <v>3.1757472727272731</v>
      </c>
      <c r="AD45" s="541">
        <v>3.1757472727272731</v>
      </c>
      <c r="AE45" s="541">
        <v>3.1757472727272731</v>
      </c>
      <c r="AF45" s="541">
        <v>3.1757472727272731</v>
      </c>
      <c r="AG45" s="541">
        <v>3.1757472727272731</v>
      </c>
      <c r="AH45" s="542">
        <f t="shared" ref="AH45:AW51" si="59">AG45</f>
        <v>3.1757472727272731</v>
      </c>
      <c r="AI45" s="542">
        <f t="shared" si="59"/>
        <v>3.1757472727272731</v>
      </c>
      <c r="AJ45" s="542">
        <f t="shared" si="59"/>
        <v>3.1757472727272731</v>
      </c>
      <c r="AK45" s="542">
        <f t="shared" si="59"/>
        <v>3.1757472727272731</v>
      </c>
      <c r="AL45" s="542">
        <f t="shared" si="59"/>
        <v>3.1757472727272731</v>
      </c>
      <c r="AM45" s="542">
        <f t="shared" si="59"/>
        <v>3.1757472727272731</v>
      </c>
      <c r="AN45" s="542">
        <f t="shared" si="59"/>
        <v>3.1757472727272731</v>
      </c>
      <c r="AO45" s="542">
        <f t="shared" si="59"/>
        <v>3.1757472727272731</v>
      </c>
      <c r="AP45" s="542">
        <f t="shared" si="59"/>
        <v>3.1757472727272731</v>
      </c>
      <c r="AQ45" s="542">
        <f t="shared" si="59"/>
        <v>3.1757472727272731</v>
      </c>
      <c r="AR45" s="542">
        <f t="shared" si="59"/>
        <v>3.1757472727272731</v>
      </c>
      <c r="AS45" s="542">
        <f t="shared" si="59"/>
        <v>3.1757472727272731</v>
      </c>
      <c r="AT45" s="542">
        <f t="shared" si="59"/>
        <v>3.1757472727272731</v>
      </c>
      <c r="AU45" s="542">
        <f t="shared" si="59"/>
        <v>3.1757472727272731</v>
      </c>
      <c r="AV45" s="542">
        <f t="shared" si="59"/>
        <v>3.1757472727272731</v>
      </c>
      <c r="AW45" s="542">
        <f t="shared" si="59"/>
        <v>3.1757472727272731</v>
      </c>
      <c r="AX45" s="542">
        <f t="shared" si="58"/>
        <v>3.1757472727272731</v>
      </c>
      <c r="AY45" s="542">
        <f t="shared" si="58"/>
        <v>3.1757472727272731</v>
      </c>
      <c r="AZ45" s="542">
        <f t="shared" si="58"/>
        <v>3.1757472727272731</v>
      </c>
      <c r="BA45" s="542">
        <f t="shared" si="58"/>
        <v>3.1757472727272731</v>
      </c>
      <c r="BB45" s="542">
        <f t="shared" si="58"/>
        <v>3.1757472727272731</v>
      </c>
      <c r="BC45" s="542">
        <f t="shared" si="58"/>
        <v>3.1757472727272731</v>
      </c>
      <c r="BD45" s="542">
        <f t="shared" si="58"/>
        <v>3.1757472727272731</v>
      </c>
      <c r="BE45" s="542">
        <f t="shared" si="58"/>
        <v>3.1757472727272731</v>
      </c>
      <c r="BF45" s="542">
        <f t="shared" si="58"/>
        <v>3.1757472727272731</v>
      </c>
      <c r="BG45" s="542">
        <f t="shared" si="58"/>
        <v>3.1757472727272731</v>
      </c>
      <c r="BH45" s="542">
        <f t="shared" si="58"/>
        <v>3.1757472727272731</v>
      </c>
      <c r="BI45" s="542">
        <f t="shared" si="58"/>
        <v>3.1757472727272731</v>
      </c>
      <c r="BJ45" s="542">
        <f t="shared" si="58"/>
        <v>3.1757472727272731</v>
      </c>
      <c r="BK45" s="542">
        <f t="shared" si="58"/>
        <v>3.1757472727272731</v>
      </c>
      <c r="BL45" s="542">
        <f t="shared" si="58"/>
        <v>3.1757472727272731</v>
      </c>
      <c r="BM45" s="542">
        <f t="shared" si="58"/>
        <v>3.1757472727272731</v>
      </c>
      <c r="BN45" s="542">
        <f t="shared" si="58"/>
        <v>3.1757472727272731</v>
      </c>
      <c r="BO45" s="542">
        <f t="shared" si="58"/>
        <v>3.1757472727272731</v>
      </c>
      <c r="BP45" s="542">
        <f t="shared" si="58"/>
        <v>3.1757472727272731</v>
      </c>
      <c r="BQ45" s="542">
        <f t="shared" si="58"/>
        <v>3.1757472727272731</v>
      </c>
      <c r="BR45" s="542">
        <f t="shared" si="58"/>
        <v>3.1757472727272731</v>
      </c>
      <c r="BS45" s="542">
        <f t="shared" si="58"/>
        <v>3.1757472727272731</v>
      </c>
      <c r="BT45" s="542">
        <f t="shared" si="58"/>
        <v>3.1757472727272731</v>
      </c>
      <c r="BU45" s="542">
        <f t="shared" si="58"/>
        <v>3.1757472727272731</v>
      </c>
      <c r="BV45" s="542">
        <f t="shared" si="58"/>
        <v>3.1757472727272731</v>
      </c>
      <c r="BW45" s="542">
        <f t="shared" si="58"/>
        <v>3.1757472727272731</v>
      </c>
      <c r="BX45" s="542">
        <f t="shared" si="58"/>
        <v>3.1757472727272731</v>
      </c>
      <c r="BY45" s="542">
        <f t="shared" si="58"/>
        <v>3.1757472727272731</v>
      </c>
      <c r="BZ45" s="542">
        <f t="shared" si="58"/>
        <v>3.1757472727272731</v>
      </c>
      <c r="CA45" s="542">
        <f t="shared" si="58"/>
        <v>3.1757472727272731</v>
      </c>
      <c r="CB45" s="542">
        <f t="shared" si="58"/>
        <v>3.1757472727272731</v>
      </c>
      <c r="CC45" s="542">
        <f t="shared" si="58"/>
        <v>3.1757472727272731</v>
      </c>
      <c r="CD45" s="542">
        <f t="shared" si="58"/>
        <v>3.1757472727272731</v>
      </c>
      <c r="CE45" s="542">
        <f t="shared" si="58"/>
        <v>3.1757472727272731</v>
      </c>
      <c r="CG45" s="541">
        <v>3.1757472727272731</v>
      </c>
      <c r="CH45" s="541">
        <v>3.1757472727272731</v>
      </c>
      <c r="CI45" s="541">
        <v>3.1757472727272731</v>
      </c>
      <c r="CJ45" s="541">
        <v>3.1757472727272731</v>
      </c>
      <c r="CK45" s="541">
        <v>3.1757472727272731</v>
      </c>
      <c r="CL45" s="541">
        <v>3.1757472727272731</v>
      </c>
      <c r="CM45" s="541">
        <v>3.1757472727272731</v>
      </c>
      <c r="CN45" s="541">
        <v>3.1757472727272731</v>
      </c>
      <c r="CO45" s="541">
        <v>3.1757472727272731</v>
      </c>
      <c r="CP45" s="541">
        <v>3.1757472727272731</v>
      </c>
      <c r="CQ45" s="541">
        <v>3.1757472727272731</v>
      </c>
      <c r="CR45" s="541">
        <v>3.1757472727272731</v>
      </c>
      <c r="CS45" s="541">
        <v>3.1757472727272731</v>
      </c>
      <c r="CT45" s="541">
        <v>3.1757472727272731</v>
      </c>
      <c r="CU45" s="541">
        <v>3.1757472727272731</v>
      </c>
      <c r="CV45" s="541">
        <v>3.1757472727272731</v>
      </c>
      <c r="CW45" s="541">
        <v>3.1757472727272731</v>
      </c>
      <c r="CX45" s="541">
        <v>3.1757472727272731</v>
      </c>
      <c r="CY45" s="541">
        <v>3.1757472727272731</v>
      </c>
      <c r="CZ45" s="541">
        <v>3.1757472727272731</v>
      </c>
      <c r="DA45" s="541">
        <v>3.1757472727272731</v>
      </c>
      <c r="DB45" s="541">
        <v>3.1757472727272731</v>
      </c>
      <c r="DC45" s="541">
        <v>3.1757472727272731</v>
      </c>
      <c r="DD45" s="541">
        <v>3.1757472727272731</v>
      </c>
      <c r="DE45" s="541">
        <v>3.1757472727272731</v>
      </c>
      <c r="DF45" s="541">
        <v>3.1757472727272731</v>
      </c>
      <c r="DG45" s="541">
        <v>3.1757472727272731</v>
      </c>
      <c r="DH45" s="541">
        <v>3.1757472727272731</v>
      </c>
    </row>
    <row r="46" spans="2:112">
      <c r="B46" t="s">
        <v>941</v>
      </c>
      <c r="C46" t="s">
        <v>126</v>
      </c>
      <c r="D46" t="s">
        <v>913</v>
      </c>
      <c r="E46" t="s">
        <v>908</v>
      </c>
      <c r="F46" s="541">
        <v>136.18700000000001</v>
      </c>
      <c r="G46" s="541">
        <v>136.18700000000001</v>
      </c>
      <c r="H46" s="541">
        <v>136.18700000000001</v>
      </c>
      <c r="I46" s="541">
        <v>136.18700000000001</v>
      </c>
      <c r="J46" s="541">
        <v>136.18700000000001</v>
      </c>
      <c r="K46" s="541">
        <v>136.18700000000001</v>
      </c>
      <c r="L46" s="541">
        <v>136.18700000000001</v>
      </c>
      <c r="M46" s="541">
        <v>136.18700000000001</v>
      </c>
      <c r="N46" s="541">
        <v>136.18700000000001</v>
      </c>
      <c r="O46" s="541">
        <v>136.18700000000001</v>
      </c>
      <c r="P46" s="541">
        <v>136.18700000000001</v>
      </c>
      <c r="Q46" s="541">
        <v>136.18700000000001</v>
      </c>
      <c r="R46" s="541">
        <v>136.18700000000001</v>
      </c>
      <c r="S46" s="541">
        <v>136.18700000000001</v>
      </c>
      <c r="T46" s="541">
        <v>136.18700000000001</v>
      </c>
      <c r="U46" s="541">
        <v>136.18700000000001</v>
      </c>
      <c r="V46" s="541">
        <v>136.18700000000001</v>
      </c>
      <c r="W46" s="541">
        <v>136.18700000000001</v>
      </c>
      <c r="X46" s="541">
        <v>136.18700000000001</v>
      </c>
      <c r="Y46" s="541">
        <v>136.18700000000001</v>
      </c>
      <c r="Z46" s="541">
        <v>136.18700000000001</v>
      </c>
      <c r="AA46" s="541">
        <v>136.18700000000001</v>
      </c>
      <c r="AB46" s="541">
        <v>136.18700000000001</v>
      </c>
      <c r="AC46" s="541">
        <v>136.18700000000001</v>
      </c>
      <c r="AD46" s="541">
        <v>136.18700000000001</v>
      </c>
      <c r="AE46" s="541">
        <v>136.18700000000001</v>
      </c>
      <c r="AF46" s="541">
        <v>136.18700000000001</v>
      </c>
      <c r="AG46" s="541">
        <v>136.18700000000001</v>
      </c>
      <c r="AH46" s="542">
        <f t="shared" si="59"/>
        <v>136.18700000000001</v>
      </c>
      <c r="AI46" s="542">
        <f t="shared" si="59"/>
        <v>136.18700000000001</v>
      </c>
      <c r="AJ46" s="542">
        <f t="shared" si="59"/>
        <v>136.18700000000001</v>
      </c>
      <c r="AK46" s="542">
        <f t="shared" si="59"/>
        <v>136.18700000000001</v>
      </c>
      <c r="AL46" s="542">
        <f t="shared" si="59"/>
        <v>136.18700000000001</v>
      </c>
      <c r="AM46" s="542">
        <f t="shared" si="59"/>
        <v>136.18700000000001</v>
      </c>
      <c r="AN46" s="542">
        <f t="shared" si="59"/>
        <v>136.18700000000001</v>
      </c>
      <c r="AO46" s="542">
        <f t="shared" si="59"/>
        <v>136.18700000000001</v>
      </c>
      <c r="AP46" s="542">
        <f t="shared" si="59"/>
        <v>136.18700000000001</v>
      </c>
      <c r="AQ46" s="542">
        <f t="shared" si="59"/>
        <v>136.18700000000001</v>
      </c>
      <c r="AR46" s="542">
        <f t="shared" si="59"/>
        <v>136.18700000000001</v>
      </c>
      <c r="AS46" s="542">
        <f t="shared" si="59"/>
        <v>136.18700000000001</v>
      </c>
      <c r="AT46" s="542">
        <f t="shared" si="59"/>
        <v>136.18700000000001</v>
      </c>
      <c r="AU46" s="542">
        <f t="shared" si="59"/>
        <v>136.18700000000001</v>
      </c>
      <c r="AV46" s="542">
        <f t="shared" si="59"/>
        <v>136.18700000000001</v>
      </c>
      <c r="AW46" s="542">
        <f t="shared" si="59"/>
        <v>136.18700000000001</v>
      </c>
      <c r="AX46" s="542">
        <f t="shared" si="58"/>
        <v>136.18700000000001</v>
      </c>
      <c r="AY46" s="542">
        <f t="shared" si="58"/>
        <v>136.18700000000001</v>
      </c>
      <c r="AZ46" s="542">
        <f t="shared" si="58"/>
        <v>136.18700000000001</v>
      </c>
      <c r="BA46" s="542">
        <f t="shared" si="58"/>
        <v>136.18700000000001</v>
      </c>
      <c r="BB46" s="542">
        <f t="shared" si="58"/>
        <v>136.18700000000001</v>
      </c>
      <c r="BC46" s="542">
        <f t="shared" si="58"/>
        <v>136.18700000000001</v>
      </c>
      <c r="BD46" s="542">
        <f t="shared" si="58"/>
        <v>136.18700000000001</v>
      </c>
      <c r="BE46" s="542">
        <f t="shared" si="58"/>
        <v>136.18700000000001</v>
      </c>
      <c r="BF46" s="542">
        <f t="shared" si="58"/>
        <v>136.18700000000001</v>
      </c>
      <c r="BG46" s="542">
        <f t="shared" si="58"/>
        <v>136.18700000000001</v>
      </c>
      <c r="BH46" s="542">
        <f t="shared" si="58"/>
        <v>136.18700000000001</v>
      </c>
      <c r="BI46" s="542">
        <f t="shared" si="58"/>
        <v>136.18700000000001</v>
      </c>
      <c r="BJ46" s="542">
        <f t="shared" si="58"/>
        <v>136.18700000000001</v>
      </c>
      <c r="BK46" s="542">
        <f t="shared" si="58"/>
        <v>136.18700000000001</v>
      </c>
      <c r="BL46" s="542">
        <f t="shared" si="58"/>
        <v>136.18700000000001</v>
      </c>
      <c r="BM46" s="542">
        <f t="shared" si="58"/>
        <v>136.18700000000001</v>
      </c>
      <c r="BN46" s="542">
        <f t="shared" si="58"/>
        <v>136.18700000000001</v>
      </c>
      <c r="BO46" s="542">
        <f t="shared" si="58"/>
        <v>136.18700000000001</v>
      </c>
      <c r="BP46" s="542">
        <f t="shared" si="58"/>
        <v>136.18700000000001</v>
      </c>
      <c r="BQ46" s="542">
        <f t="shared" si="58"/>
        <v>136.18700000000001</v>
      </c>
      <c r="BR46" s="542">
        <f t="shared" si="58"/>
        <v>136.18700000000001</v>
      </c>
      <c r="BS46" s="542">
        <f t="shared" si="58"/>
        <v>136.18700000000001</v>
      </c>
      <c r="BT46" s="542">
        <f t="shared" si="58"/>
        <v>136.18700000000001</v>
      </c>
      <c r="BU46" s="542">
        <f t="shared" si="58"/>
        <v>136.18700000000001</v>
      </c>
      <c r="BV46" s="542">
        <f t="shared" si="58"/>
        <v>136.18700000000001</v>
      </c>
      <c r="BW46" s="542">
        <f t="shared" si="58"/>
        <v>136.18700000000001</v>
      </c>
      <c r="BX46" s="542">
        <f t="shared" si="58"/>
        <v>136.18700000000001</v>
      </c>
      <c r="BY46" s="542">
        <f t="shared" si="58"/>
        <v>136.18700000000001</v>
      </c>
      <c r="BZ46" s="542">
        <f t="shared" si="58"/>
        <v>136.18700000000001</v>
      </c>
      <c r="CA46" s="542">
        <f t="shared" si="58"/>
        <v>136.18700000000001</v>
      </c>
      <c r="CB46" s="542">
        <f t="shared" si="58"/>
        <v>136.18700000000001</v>
      </c>
      <c r="CC46" s="542">
        <f t="shared" si="58"/>
        <v>136.18700000000001</v>
      </c>
      <c r="CD46" s="542">
        <f t="shared" si="58"/>
        <v>136.18700000000001</v>
      </c>
      <c r="CE46" s="542">
        <f t="shared" si="58"/>
        <v>136.18700000000001</v>
      </c>
      <c r="CG46" s="541">
        <v>136.18700000000001</v>
      </c>
      <c r="CH46" s="541">
        <v>136.18700000000001</v>
      </c>
      <c r="CI46" s="541">
        <v>136.18700000000001</v>
      </c>
      <c r="CJ46" s="541">
        <v>136.18700000000001</v>
      </c>
      <c r="CK46" s="541">
        <v>136.18700000000001</v>
      </c>
      <c r="CL46" s="541">
        <v>136.18700000000001</v>
      </c>
      <c r="CM46" s="541">
        <v>136.18700000000001</v>
      </c>
      <c r="CN46" s="541">
        <v>136.18700000000001</v>
      </c>
      <c r="CO46" s="541">
        <v>136.18700000000001</v>
      </c>
      <c r="CP46" s="541">
        <v>136.18700000000001</v>
      </c>
      <c r="CQ46" s="541">
        <v>136.18700000000001</v>
      </c>
      <c r="CR46" s="541">
        <v>136.18700000000001</v>
      </c>
      <c r="CS46" s="541">
        <v>136.18700000000001</v>
      </c>
      <c r="CT46" s="541">
        <v>136.18700000000001</v>
      </c>
      <c r="CU46" s="541">
        <v>136.18700000000001</v>
      </c>
      <c r="CV46" s="541">
        <v>136.18700000000001</v>
      </c>
      <c r="CW46" s="541">
        <v>136.18700000000001</v>
      </c>
      <c r="CX46" s="541">
        <v>136.18700000000001</v>
      </c>
      <c r="CY46" s="541">
        <v>136.18700000000001</v>
      </c>
      <c r="CZ46" s="541">
        <v>136.18700000000001</v>
      </c>
      <c r="DA46" s="541">
        <v>136.18700000000001</v>
      </c>
      <c r="DB46" s="541">
        <v>136.18700000000001</v>
      </c>
      <c r="DC46" s="541">
        <v>136.18700000000001</v>
      </c>
      <c r="DD46" s="541">
        <v>136.18700000000001</v>
      </c>
      <c r="DE46" s="541">
        <v>136.18700000000001</v>
      </c>
      <c r="DF46" s="541">
        <v>136.18700000000001</v>
      </c>
      <c r="DG46" s="541">
        <v>136.18700000000001</v>
      </c>
      <c r="DH46" s="541">
        <v>136.18700000000001</v>
      </c>
    </row>
    <row r="47" spans="2:112">
      <c r="B47" t="s">
        <v>942</v>
      </c>
      <c r="C47" t="s">
        <v>126</v>
      </c>
      <c r="D47" t="s">
        <v>915</v>
      </c>
      <c r="E47" t="s">
        <v>911</v>
      </c>
      <c r="F47" s="541">
        <v>3.4543872727272729</v>
      </c>
      <c r="G47" s="541">
        <v>3.4543872727272729</v>
      </c>
      <c r="H47" s="541">
        <v>3.4543872727272729</v>
      </c>
      <c r="I47" s="541">
        <v>3.4543872727272729</v>
      </c>
      <c r="J47" s="541">
        <v>3.4543872727272729</v>
      </c>
      <c r="K47" s="541">
        <v>3.4543872727272729</v>
      </c>
      <c r="L47" s="541">
        <v>3.4543872727272729</v>
      </c>
      <c r="M47" s="541">
        <v>3.4543872727272729</v>
      </c>
      <c r="N47" s="541">
        <v>3.4543872727272729</v>
      </c>
      <c r="O47" s="541">
        <v>3.4543872727272729</v>
      </c>
      <c r="P47" s="541">
        <v>3.4543872727272729</v>
      </c>
      <c r="Q47" s="541">
        <v>3.4543872727272729</v>
      </c>
      <c r="R47" s="541">
        <v>3.4543872727272729</v>
      </c>
      <c r="S47" s="541">
        <v>3.4543872727272729</v>
      </c>
      <c r="T47" s="541">
        <v>3.4543872727272729</v>
      </c>
      <c r="U47" s="541">
        <v>3.4543872727272729</v>
      </c>
      <c r="V47" s="541">
        <v>3.4543872727272729</v>
      </c>
      <c r="W47" s="541">
        <v>3.4543872727272729</v>
      </c>
      <c r="X47" s="541">
        <v>3.4543872727272729</v>
      </c>
      <c r="Y47" s="541">
        <v>3.4543872727272729</v>
      </c>
      <c r="Z47" s="541">
        <v>3.4543872727272729</v>
      </c>
      <c r="AA47" s="541">
        <v>3.4543872727272729</v>
      </c>
      <c r="AB47" s="541">
        <v>3.4543872727272729</v>
      </c>
      <c r="AC47" s="541">
        <v>3.4543872727272729</v>
      </c>
      <c r="AD47" s="541">
        <v>3.4543872727272729</v>
      </c>
      <c r="AE47" s="541">
        <v>3.4543872727272729</v>
      </c>
      <c r="AF47" s="541">
        <v>3.4543872727272729</v>
      </c>
      <c r="AG47" s="541">
        <v>3.4543872727272729</v>
      </c>
      <c r="AH47" s="542">
        <f t="shared" si="59"/>
        <v>3.4543872727272729</v>
      </c>
      <c r="AI47" s="542">
        <f t="shared" si="59"/>
        <v>3.4543872727272729</v>
      </c>
      <c r="AJ47" s="542">
        <f t="shared" si="59"/>
        <v>3.4543872727272729</v>
      </c>
      <c r="AK47" s="542">
        <f t="shared" si="59"/>
        <v>3.4543872727272729</v>
      </c>
      <c r="AL47" s="542">
        <f t="shared" si="59"/>
        <v>3.4543872727272729</v>
      </c>
      <c r="AM47" s="542">
        <f t="shared" si="59"/>
        <v>3.4543872727272729</v>
      </c>
      <c r="AN47" s="542">
        <f t="shared" si="59"/>
        <v>3.4543872727272729</v>
      </c>
      <c r="AO47" s="542">
        <f t="shared" si="59"/>
        <v>3.4543872727272729</v>
      </c>
      <c r="AP47" s="542">
        <f t="shared" si="59"/>
        <v>3.4543872727272729</v>
      </c>
      <c r="AQ47" s="542">
        <f t="shared" si="59"/>
        <v>3.4543872727272729</v>
      </c>
      <c r="AR47" s="542">
        <f t="shared" si="59"/>
        <v>3.4543872727272729</v>
      </c>
      <c r="AS47" s="542">
        <f t="shared" si="59"/>
        <v>3.4543872727272729</v>
      </c>
      <c r="AT47" s="542">
        <f t="shared" si="59"/>
        <v>3.4543872727272729</v>
      </c>
      <c r="AU47" s="542">
        <f t="shared" si="59"/>
        <v>3.4543872727272729</v>
      </c>
      <c r="AV47" s="542">
        <f t="shared" si="59"/>
        <v>3.4543872727272729</v>
      </c>
      <c r="AW47" s="542">
        <f t="shared" si="59"/>
        <v>3.4543872727272729</v>
      </c>
      <c r="AX47" s="542">
        <f t="shared" si="58"/>
        <v>3.4543872727272729</v>
      </c>
      <c r="AY47" s="542">
        <f t="shared" si="58"/>
        <v>3.4543872727272729</v>
      </c>
      <c r="AZ47" s="542">
        <f t="shared" si="58"/>
        <v>3.4543872727272729</v>
      </c>
      <c r="BA47" s="542">
        <f t="shared" si="58"/>
        <v>3.4543872727272729</v>
      </c>
      <c r="BB47" s="542">
        <f t="shared" si="58"/>
        <v>3.4543872727272729</v>
      </c>
      <c r="BC47" s="542">
        <f t="shared" si="58"/>
        <v>3.4543872727272729</v>
      </c>
      <c r="BD47" s="542">
        <f t="shared" si="58"/>
        <v>3.4543872727272729</v>
      </c>
      <c r="BE47" s="542">
        <f t="shared" si="58"/>
        <v>3.4543872727272729</v>
      </c>
      <c r="BF47" s="542">
        <f t="shared" si="58"/>
        <v>3.4543872727272729</v>
      </c>
      <c r="BG47" s="542">
        <f t="shared" si="58"/>
        <v>3.4543872727272729</v>
      </c>
      <c r="BH47" s="542">
        <f t="shared" si="58"/>
        <v>3.4543872727272729</v>
      </c>
      <c r="BI47" s="542">
        <f t="shared" si="58"/>
        <v>3.4543872727272729</v>
      </c>
      <c r="BJ47" s="542">
        <f t="shared" si="58"/>
        <v>3.4543872727272729</v>
      </c>
      <c r="BK47" s="542">
        <f t="shared" si="58"/>
        <v>3.4543872727272729</v>
      </c>
      <c r="BL47" s="542">
        <f t="shared" si="58"/>
        <v>3.4543872727272729</v>
      </c>
      <c r="BM47" s="542">
        <f t="shared" si="58"/>
        <v>3.4543872727272729</v>
      </c>
      <c r="BN47" s="542">
        <f t="shared" si="58"/>
        <v>3.4543872727272729</v>
      </c>
      <c r="BO47" s="542">
        <f t="shared" si="58"/>
        <v>3.4543872727272729</v>
      </c>
      <c r="BP47" s="542">
        <f t="shared" si="58"/>
        <v>3.4543872727272729</v>
      </c>
      <c r="BQ47" s="542">
        <f t="shared" si="58"/>
        <v>3.4543872727272729</v>
      </c>
      <c r="BR47" s="542">
        <f t="shared" si="58"/>
        <v>3.4543872727272729</v>
      </c>
      <c r="BS47" s="542">
        <f t="shared" si="58"/>
        <v>3.4543872727272729</v>
      </c>
      <c r="BT47" s="542">
        <f t="shared" si="58"/>
        <v>3.4543872727272729</v>
      </c>
      <c r="BU47" s="542">
        <f t="shared" si="58"/>
        <v>3.4543872727272729</v>
      </c>
      <c r="BV47" s="542">
        <f t="shared" si="58"/>
        <v>3.4543872727272729</v>
      </c>
      <c r="BW47" s="542">
        <f t="shared" si="58"/>
        <v>3.4543872727272729</v>
      </c>
      <c r="BX47" s="542">
        <f t="shared" si="58"/>
        <v>3.4543872727272729</v>
      </c>
      <c r="BY47" s="542">
        <f t="shared" si="58"/>
        <v>3.4543872727272729</v>
      </c>
      <c r="BZ47" s="542">
        <f t="shared" si="58"/>
        <v>3.4543872727272729</v>
      </c>
      <c r="CA47" s="542">
        <f t="shared" si="58"/>
        <v>3.4543872727272729</v>
      </c>
      <c r="CB47" s="542">
        <f t="shared" si="58"/>
        <v>3.4543872727272729</v>
      </c>
      <c r="CC47" s="542">
        <f t="shared" si="58"/>
        <v>3.4543872727272729</v>
      </c>
      <c r="CD47" s="542">
        <f t="shared" si="58"/>
        <v>3.4543872727272729</v>
      </c>
      <c r="CE47" s="542">
        <f t="shared" si="58"/>
        <v>3.4543872727272729</v>
      </c>
      <c r="CG47" s="541">
        <v>3.4543872727272729</v>
      </c>
      <c r="CH47" s="541">
        <v>3.4543872727272729</v>
      </c>
      <c r="CI47" s="541">
        <v>3.4543872727272729</v>
      </c>
      <c r="CJ47" s="541">
        <v>3.4543872727272729</v>
      </c>
      <c r="CK47" s="541">
        <v>3.4543872727272729</v>
      </c>
      <c r="CL47" s="541">
        <v>3.4543872727272729</v>
      </c>
      <c r="CM47" s="541">
        <v>3.4543872727272729</v>
      </c>
      <c r="CN47" s="541">
        <v>3.4543872727272729</v>
      </c>
      <c r="CO47" s="541">
        <v>3.4543872727272729</v>
      </c>
      <c r="CP47" s="541">
        <v>3.4543872727272729</v>
      </c>
      <c r="CQ47" s="541">
        <v>3.4543872727272729</v>
      </c>
      <c r="CR47" s="541">
        <v>3.4543872727272729</v>
      </c>
      <c r="CS47" s="541">
        <v>3.4543872727272729</v>
      </c>
      <c r="CT47" s="541">
        <v>3.4543872727272729</v>
      </c>
      <c r="CU47" s="541">
        <v>3.4543872727272729</v>
      </c>
      <c r="CV47" s="541">
        <v>3.4543872727272729</v>
      </c>
      <c r="CW47" s="541">
        <v>3.4543872727272729</v>
      </c>
      <c r="CX47" s="541">
        <v>3.4543872727272729</v>
      </c>
      <c r="CY47" s="541">
        <v>3.4543872727272729</v>
      </c>
      <c r="CZ47" s="541">
        <v>3.4543872727272729</v>
      </c>
      <c r="DA47" s="541">
        <v>3.4543872727272729</v>
      </c>
      <c r="DB47" s="541">
        <v>3.4543872727272729</v>
      </c>
      <c r="DC47" s="541">
        <v>3.4543872727272729</v>
      </c>
      <c r="DD47" s="541">
        <v>3.4543872727272729</v>
      </c>
      <c r="DE47" s="541">
        <v>3.4543872727272729</v>
      </c>
      <c r="DF47" s="541">
        <v>3.4543872727272729</v>
      </c>
      <c r="DG47" s="541">
        <v>3.4543872727272729</v>
      </c>
      <c r="DH47" s="541">
        <v>3.4543872727272729</v>
      </c>
    </row>
    <row r="48" spans="2:112">
      <c r="B48" t="s">
        <v>943</v>
      </c>
      <c r="C48" t="s">
        <v>126</v>
      </c>
      <c r="D48" t="s">
        <v>917</v>
      </c>
      <c r="E48" t="s">
        <v>908</v>
      </c>
      <c r="F48" s="541">
        <v>122.70099999999999</v>
      </c>
      <c r="G48" s="541">
        <v>122.70099999999999</v>
      </c>
      <c r="H48" s="541">
        <v>122.70099999999999</v>
      </c>
      <c r="I48" s="541">
        <v>122.70099999999999</v>
      </c>
      <c r="J48" s="541">
        <v>122.70099999999999</v>
      </c>
      <c r="K48" s="541">
        <v>122.70099999999999</v>
      </c>
      <c r="L48" s="541">
        <v>122.70099999999999</v>
      </c>
      <c r="M48" s="541">
        <v>122.70099999999999</v>
      </c>
      <c r="N48" s="541">
        <v>122.70099999999999</v>
      </c>
      <c r="O48" s="541">
        <v>122.70099999999999</v>
      </c>
      <c r="P48" s="541">
        <v>122.70099999999999</v>
      </c>
      <c r="Q48" s="541">
        <v>122.70099999999999</v>
      </c>
      <c r="R48" s="541">
        <v>122.70099999999999</v>
      </c>
      <c r="S48" s="541">
        <v>122.70099999999999</v>
      </c>
      <c r="T48" s="541">
        <v>122.70099999999999</v>
      </c>
      <c r="U48" s="541">
        <v>122.70099999999999</v>
      </c>
      <c r="V48" s="541">
        <v>122.70099999999999</v>
      </c>
      <c r="W48" s="541">
        <v>122.70099999999999</v>
      </c>
      <c r="X48" s="541">
        <v>122.70099999999999</v>
      </c>
      <c r="Y48" s="541">
        <v>122.70099999999999</v>
      </c>
      <c r="Z48" s="541">
        <v>122.70099999999999</v>
      </c>
      <c r="AA48" s="541">
        <v>122.70099999999999</v>
      </c>
      <c r="AB48" s="541">
        <v>122.70099999999999</v>
      </c>
      <c r="AC48" s="541">
        <v>122.70099999999999</v>
      </c>
      <c r="AD48" s="541">
        <v>122.70099999999999</v>
      </c>
      <c r="AE48" s="541">
        <v>122.70099999999999</v>
      </c>
      <c r="AF48" s="541">
        <v>122.70099999999999</v>
      </c>
      <c r="AG48" s="541">
        <v>122.70099999999999</v>
      </c>
      <c r="AH48" s="542">
        <f t="shared" si="59"/>
        <v>122.70099999999999</v>
      </c>
      <c r="AI48" s="542">
        <f t="shared" si="59"/>
        <v>122.70099999999999</v>
      </c>
      <c r="AJ48" s="542">
        <f t="shared" si="59"/>
        <v>122.70099999999999</v>
      </c>
      <c r="AK48" s="542">
        <f t="shared" si="59"/>
        <v>122.70099999999999</v>
      </c>
      <c r="AL48" s="542">
        <f t="shared" si="59"/>
        <v>122.70099999999999</v>
      </c>
      <c r="AM48" s="542">
        <f t="shared" si="59"/>
        <v>122.70099999999999</v>
      </c>
      <c r="AN48" s="542">
        <f t="shared" si="59"/>
        <v>122.70099999999999</v>
      </c>
      <c r="AO48" s="542">
        <f t="shared" si="59"/>
        <v>122.70099999999999</v>
      </c>
      <c r="AP48" s="542">
        <f t="shared" si="59"/>
        <v>122.70099999999999</v>
      </c>
      <c r="AQ48" s="542">
        <f t="shared" si="59"/>
        <v>122.70099999999999</v>
      </c>
      <c r="AR48" s="542">
        <f t="shared" si="59"/>
        <v>122.70099999999999</v>
      </c>
      <c r="AS48" s="542">
        <f t="shared" si="59"/>
        <v>122.70099999999999</v>
      </c>
      <c r="AT48" s="542">
        <f t="shared" si="59"/>
        <v>122.70099999999999</v>
      </c>
      <c r="AU48" s="542">
        <f t="shared" si="59"/>
        <v>122.70099999999999</v>
      </c>
      <c r="AV48" s="542">
        <f t="shared" si="59"/>
        <v>122.70099999999999</v>
      </c>
      <c r="AW48" s="542">
        <f t="shared" si="59"/>
        <v>122.70099999999999</v>
      </c>
      <c r="AX48" s="542">
        <f t="shared" si="58"/>
        <v>122.70099999999999</v>
      </c>
      <c r="AY48" s="542">
        <f t="shared" si="58"/>
        <v>122.70099999999999</v>
      </c>
      <c r="AZ48" s="542">
        <f t="shared" si="58"/>
        <v>122.70099999999999</v>
      </c>
      <c r="BA48" s="542">
        <f t="shared" si="58"/>
        <v>122.70099999999999</v>
      </c>
      <c r="BB48" s="542">
        <f t="shared" si="58"/>
        <v>122.70099999999999</v>
      </c>
      <c r="BC48" s="542">
        <f t="shared" si="58"/>
        <v>122.70099999999999</v>
      </c>
      <c r="BD48" s="542">
        <f t="shared" si="58"/>
        <v>122.70099999999999</v>
      </c>
      <c r="BE48" s="542">
        <f t="shared" si="58"/>
        <v>122.70099999999999</v>
      </c>
      <c r="BF48" s="542">
        <f t="shared" si="58"/>
        <v>122.70099999999999</v>
      </c>
      <c r="BG48" s="542">
        <f t="shared" si="58"/>
        <v>122.70099999999999</v>
      </c>
      <c r="BH48" s="542">
        <f t="shared" si="58"/>
        <v>122.70099999999999</v>
      </c>
      <c r="BI48" s="542">
        <f t="shared" si="58"/>
        <v>122.70099999999999</v>
      </c>
      <c r="BJ48" s="542">
        <f t="shared" si="58"/>
        <v>122.70099999999999</v>
      </c>
      <c r="BK48" s="542">
        <f t="shared" si="58"/>
        <v>122.70099999999999</v>
      </c>
      <c r="BL48" s="542">
        <f t="shared" si="58"/>
        <v>122.70099999999999</v>
      </c>
      <c r="BM48" s="542">
        <f t="shared" si="58"/>
        <v>122.70099999999999</v>
      </c>
      <c r="BN48" s="542">
        <f t="shared" si="58"/>
        <v>122.70099999999999</v>
      </c>
      <c r="BO48" s="542">
        <f t="shared" si="58"/>
        <v>122.70099999999999</v>
      </c>
      <c r="BP48" s="542">
        <f t="shared" si="58"/>
        <v>122.70099999999999</v>
      </c>
      <c r="BQ48" s="542">
        <f t="shared" si="58"/>
        <v>122.70099999999999</v>
      </c>
      <c r="BR48" s="542">
        <f t="shared" si="58"/>
        <v>122.70099999999999</v>
      </c>
      <c r="BS48" s="542">
        <f t="shared" si="58"/>
        <v>122.70099999999999</v>
      </c>
      <c r="BT48" s="542">
        <f t="shared" si="58"/>
        <v>122.70099999999999</v>
      </c>
      <c r="BU48" s="542">
        <f t="shared" si="58"/>
        <v>122.70099999999999</v>
      </c>
      <c r="BV48" s="542">
        <f t="shared" si="58"/>
        <v>122.70099999999999</v>
      </c>
      <c r="BW48" s="542">
        <f t="shared" si="58"/>
        <v>122.70099999999999</v>
      </c>
      <c r="BX48" s="542">
        <f t="shared" si="58"/>
        <v>122.70099999999999</v>
      </c>
      <c r="BY48" s="542">
        <f t="shared" si="58"/>
        <v>122.70099999999999</v>
      </c>
      <c r="BZ48" s="542">
        <f t="shared" si="58"/>
        <v>122.70099999999999</v>
      </c>
      <c r="CA48" s="542">
        <f t="shared" si="58"/>
        <v>122.70099999999999</v>
      </c>
      <c r="CB48" s="542">
        <f t="shared" si="58"/>
        <v>122.70099999999999</v>
      </c>
      <c r="CC48" s="542">
        <f t="shared" si="58"/>
        <v>122.70099999999999</v>
      </c>
      <c r="CD48" s="542">
        <f t="shared" si="58"/>
        <v>122.70099999999999</v>
      </c>
      <c r="CE48" s="542">
        <f t="shared" si="58"/>
        <v>122.70099999999999</v>
      </c>
      <c r="CG48" s="541">
        <v>122.70099999999999</v>
      </c>
      <c r="CH48" s="541">
        <v>122.70099999999999</v>
      </c>
      <c r="CI48" s="541">
        <v>122.70099999999999</v>
      </c>
      <c r="CJ48" s="541">
        <v>122.70099999999999</v>
      </c>
      <c r="CK48" s="541">
        <v>122.70099999999999</v>
      </c>
      <c r="CL48" s="541">
        <v>122.70099999999999</v>
      </c>
      <c r="CM48" s="541">
        <v>122.70099999999999</v>
      </c>
      <c r="CN48" s="541">
        <v>122.70099999999999</v>
      </c>
      <c r="CO48" s="541">
        <v>122.70099999999999</v>
      </c>
      <c r="CP48" s="541">
        <v>122.70099999999999</v>
      </c>
      <c r="CQ48" s="541">
        <v>122.70099999999999</v>
      </c>
      <c r="CR48" s="541">
        <v>122.70099999999999</v>
      </c>
      <c r="CS48" s="541">
        <v>122.70099999999999</v>
      </c>
      <c r="CT48" s="541">
        <v>122.70099999999999</v>
      </c>
      <c r="CU48" s="541">
        <v>122.70099999999999</v>
      </c>
      <c r="CV48" s="541">
        <v>122.70099999999999</v>
      </c>
      <c r="CW48" s="541">
        <v>122.70099999999999</v>
      </c>
      <c r="CX48" s="541">
        <v>122.70099999999999</v>
      </c>
      <c r="CY48" s="541">
        <v>122.70099999999999</v>
      </c>
      <c r="CZ48" s="541">
        <v>122.70099999999999</v>
      </c>
      <c r="DA48" s="541">
        <v>122.70099999999999</v>
      </c>
      <c r="DB48" s="541">
        <v>122.70099999999999</v>
      </c>
      <c r="DC48" s="541">
        <v>122.70099999999999</v>
      </c>
      <c r="DD48" s="541">
        <v>122.70099999999999</v>
      </c>
      <c r="DE48" s="541">
        <v>122.70099999999999</v>
      </c>
      <c r="DF48" s="541">
        <v>122.70099999999999</v>
      </c>
      <c r="DG48" s="541">
        <v>122.70099999999999</v>
      </c>
      <c r="DH48" s="541">
        <v>122.70099999999999</v>
      </c>
    </row>
    <row r="49" spans="2:112">
      <c r="B49" t="s">
        <v>944</v>
      </c>
      <c r="C49" t="s">
        <v>126</v>
      </c>
      <c r="D49" t="s">
        <v>919</v>
      </c>
      <c r="E49" t="s">
        <v>911</v>
      </c>
      <c r="F49" s="541">
        <v>3.3195272727272731</v>
      </c>
      <c r="G49" s="541">
        <v>3.3195272727272731</v>
      </c>
      <c r="H49" s="541">
        <v>3.3195272727272731</v>
      </c>
      <c r="I49" s="541">
        <v>3.3195272727272731</v>
      </c>
      <c r="J49" s="541">
        <v>3.3195272727272731</v>
      </c>
      <c r="K49" s="541">
        <v>3.3195272727272731</v>
      </c>
      <c r="L49" s="541">
        <v>3.3195272727272731</v>
      </c>
      <c r="M49" s="541">
        <v>3.3195272727272731</v>
      </c>
      <c r="N49" s="541">
        <v>3.3195272727272731</v>
      </c>
      <c r="O49" s="541">
        <v>3.3195272727272731</v>
      </c>
      <c r="P49" s="541">
        <v>3.3195272727272731</v>
      </c>
      <c r="Q49" s="541">
        <v>3.3195272727272731</v>
      </c>
      <c r="R49" s="541">
        <v>3.3195272727272731</v>
      </c>
      <c r="S49" s="541">
        <v>3.3195272727272731</v>
      </c>
      <c r="T49" s="541">
        <v>3.3195272727272731</v>
      </c>
      <c r="U49" s="541">
        <v>3.3195272727272731</v>
      </c>
      <c r="V49" s="541">
        <v>3.3195272727272731</v>
      </c>
      <c r="W49" s="541">
        <v>3.3195272727272731</v>
      </c>
      <c r="X49" s="541">
        <v>3.3195272727272731</v>
      </c>
      <c r="Y49" s="541">
        <v>3.3195272727272731</v>
      </c>
      <c r="Z49" s="541">
        <v>3.3195272727272731</v>
      </c>
      <c r="AA49" s="541">
        <v>3.3195272727272731</v>
      </c>
      <c r="AB49" s="541">
        <v>3.3195272727272731</v>
      </c>
      <c r="AC49" s="541">
        <v>3.3195272727272731</v>
      </c>
      <c r="AD49" s="541">
        <v>3.3195272727272731</v>
      </c>
      <c r="AE49" s="541">
        <v>3.3195272727272731</v>
      </c>
      <c r="AF49" s="541">
        <v>3.3195272727272731</v>
      </c>
      <c r="AG49" s="541">
        <v>3.3195272727272731</v>
      </c>
      <c r="AH49" s="542">
        <f t="shared" si="59"/>
        <v>3.3195272727272731</v>
      </c>
      <c r="AI49" s="542">
        <f t="shared" si="59"/>
        <v>3.3195272727272731</v>
      </c>
      <c r="AJ49" s="542">
        <f t="shared" si="59"/>
        <v>3.3195272727272731</v>
      </c>
      <c r="AK49" s="542">
        <f t="shared" si="59"/>
        <v>3.3195272727272731</v>
      </c>
      <c r="AL49" s="542">
        <f t="shared" si="59"/>
        <v>3.3195272727272731</v>
      </c>
      <c r="AM49" s="542">
        <f t="shared" si="59"/>
        <v>3.3195272727272731</v>
      </c>
      <c r="AN49" s="542">
        <f t="shared" si="59"/>
        <v>3.3195272727272731</v>
      </c>
      <c r="AO49" s="542">
        <f t="shared" si="59"/>
        <v>3.3195272727272731</v>
      </c>
      <c r="AP49" s="542">
        <f t="shared" si="59"/>
        <v>3.3195272727272731</v>
      </c>
      <c r="AQ49" s="542">
        <f t="shared" si="59"/>
        <v>3.3195272727272731</v>
      </c>
      <c r="AR49" s="542">
        <f t="shared" si="59"/>
        <v>3.3195272727272731</v>
      </c>
      <c r="AS49" s="542">
        <f t="shared" si="59"/>
        <v>3.3195272727272731</v>
      </c>
      <c r="AT49" s="542">
        <f t="shared" si="59"/>
        <v>3.3195272727272731</v>
      </c>
      <c r="AU49" s="542">
        <f t="shared" si="59"/>
        <v>3.3195272727272731</v>
      </c>
      <c r="AV49" s="542">
        <f t="shared" si="59"/>
        <v>3.3195272727272731</v>
      </c>
      <c r="AW49" s="542">
        <f t="shared" si="59"/>
        <v>3.3195272727272731</v>
      </c>
      <c r="AX49" s="542">
        <f t="shared" si="58"/>
        <v>3.3195272727272731</v>
      </c>
      <c r="AY49" s="542">
        <f t="shared" si="58"/>
        <v>3.3195272727272731</v>
      </c>
      <c r="AZ49" s="542">
        <f t="shared" si="58"/>
        <v>3.3195272727272731</v>
      </c>
      <c r="BA49" s="542">
        <f t="shared" si="58"/>
        <v>3.3195272727272731</v>
      </c>
      <c r="BB49" s="542">
        <f t="shared" si="58"/>
        <v>3.3195272727272731</v>
      </c>
      <c r="BC49" s="542">
        <f t="shared" si="58"/>
        <v>3.3195272727272731</v>
      </c>
      <c r="BD49" s="542">
        <f t="shared" si="58"/>
        <v>3.3195272727272731</v>
      </c>
      <c r="BE49" s="542">
        <f t="shared" si="58"/>
        <v>3.3195272727272731</v>
      </c>
      <c r="BF49" s="542">
        <f t="shared" si="58"/>
        <v>3.3195272727272731</v>
      </c>
      <c r="BG49" s="542">
        <f t="shared" si="58"/>
        <v>3.3195272727272731</v>
      </c>
      <c r="BH49" s="542">
        <f t="shared" si="58"/>
        <v>3.3195272727272731</v>
      </c>
      <c r="BI49" s="542">
        <f t="shared" si="58"/>
        <v>3.3195272727272731</v>
      </c>
      <c r="BJ49" s="542">
        <f t="shared" si="58"/>
        <v>3.3195272727272731</v>
      </c>
      <c r="BK49" s="542">
        <f t="shared" si="58"/>
        <v>3.3195272727272731</v>
      </c>
      <c r="BL49" s="542">
        <f t="shared" si="58"/>
        <v>3.3195272727272731</v>
      </c>
      <c r="BM49" s="542">
        <f t="shared" si="58"/>
        <v>3.3195272727272731</v>
      </c>
      <c r="BN49" s="542">
        <f t="shared" si="58"/>
        <v>3.3195272727272731</v>
      </c>
      <c r="BO49" s="542">
        <f t="shared" si="58"/>
        <v>3.3195272727272731</v>
      </c>
      <c r="BP49" s="542">
        <f t="shared" si="58"/>
        <v>3.3195272727272731</v>
      </c>
      <c r="BQ49" s="542">
        <f t="shared" si="58"/>
        <v>3.3195272727272731</v>
      </c>
      <c r="BR49" s="542">
        <f t="shared" si="58"/>
        <v>3.3195272727272731</v>
      </c>
      <c r="BS49" s="542">
        <f t="shared" si="58"/>
        <v>3.3195272727272731</v>
      </c>
      <c r="BT49" s="542">
        <f t="shared" si="58"/>
        <v>3.3195272727272731</v>
      </c>
      <c r="BU49" s="542">
        <f t="shared" si="58"/>
        <v>3.3195272727272731</v>
      </c>
      <c r="BV49" s="542">
        <f t="shared" si="58"/>
        <v>3.3195272727272731</v>
      </c>
      <c r="BW49" s="542">
        <f t="shared" si="58"/>
        <v>3.3195272727272731</v>
      </c>
      <c r="BX49" s="542">
        <f t="shared" si="58"/>
        <v>3.3195272727272731</v>
      </c>
      <c r="BY49" s="542">
        <f t="shared" si="58"/>
        <v>3.3195272727272731</v>
      </c>
      <c r="BZ49" s="542">
        <f t="shared" si="58"/>
        <v>3.3195272727272731</v>
      </c>
      <c r="CA49" s="542">
        <f t="shared" si="58"/>
        <v>3.3195272727272731</v>
      </c>
      <c r="CB49" s="542">
        <f t="shared" si="58"/>
        <v>3.3195272727272731</v>
      </c>
      <c r="CC49" s="542">
        <f t="shared" si="58"/>
        <v>3.3195272727272731</v>
      </c>
      <c r="CD49" s="542">
        <f t="shared" si="58"/>
        <v>3.3195272727272731</v>
      </c>
      <c r="CE49" s="542">
        <f t="shared" si="58"/>
        <v>3.3195272727272731</v>
      </c>
      <c r="CG49" s="541">
        <v>3.3195272727272731</v>
      </c>
      <c r="CH49" s="541">
        <v>3.3195272727272731</v>
      </c>
      <c r="CI49" s="541">
        <v>3.3195272727272731</v>
      </c>
      <c r="CJ49" s="541">
        <v>3.3195272727272731</v>
      </c>
      <c r="CK49" s="541">
        <v>3.3195272727272731</v>
      </c>
      <c r="CL49" s="541">
        <v>3.3195272727272731</v>
      </c>
      <c r="CM49" s="541">
        <v>3.3195272727272731</v>
      </c>
      <c r="CN49" s="541">
        <v>3.3195272727272731</v>
      </c>
      <c r="CO49" s="541">
        <v>3.3195272727272731</v>
      </c>
      <c r="CP49" s="541">
        <v>3.3195272727272731</v>
      </c>
      <c r="CQ49" s="541">
        <v>3.3195272727272731</v>
      </c>
      <c r="CR49" s="541">
        <v>3.3195272727272731</v>
      </c>
      <c r="CS49" s="541">
        <v>3.3195272727272731</v>
      </c>
      <c r="CT49" s="541">
        <v>3.3195272727272731</v>
      </c>
      <c r="CU49" s="541">
        <v>3.3195272727272731</v>
      </c>
      <c r="CV49" s="541">
        <v>3.3195272727272731</v>
      </c>
      <c r="CW49" s="541">
        <v>3.3195272727272731</v>
      </c>
      <c r="CX49" s="541">
        <v>3.3195272727272731</v>
      </c>
      <c r="CY49" s="541">
        <v>3.3195272727272731</v>
      </c>
      <c r="CZ49" s="541">
        <v>3.3195272727272731</v>
      </c>
      <c r="DA49" s="541">
        <v>3.3195272727272731</v>
      </c>
      <c r="DB49" s="541">
        <v>3.3195272727272731</v>
      </c>
      <c r="DC49" s="541">
        <v>3.3195272727272731</v>
      </c>
      <c r="DD49" s="541">
        <v>3.3195272727272731</v>
      </c>
      <c r="DE49" s="541">
        <v>3.3195272727272731</v>
      </c>
      <c r="DF49" s="541">
        <v>3.3195272727272731</v>
      </c>
      <c r="DG49" s="541">
        <v>3.3195272727272731</v>
      </c>
      <c r="DH49" s="541">
        <v>3.3195272727272731</v>
      </c>
    </row>
    <row r="50" spans="2:112">
      <c r="B50" t="s">
        <v>945</v>
      </c>
      <c r="C50" t="s">
        <v>126</v>
      </c>
      <c r="D50" t="s">
        <v>921</v>
      </c>
      <c r="E50" t="s">
        <v>908</v>
      </c>
      <c r="F50" s="541">
        <v>127.563</v>
      </c>
      <c r="G50" s="541">
        <v>127.563</v>
      </c>
      <c r="H50" s="541">
        <v>127.563</v>
      </c>
      <c r="I50" s="541">
        <v>127.563</v>
      </c>
      <c r="J50" s="541">
        <v>127.563</v>
      </c>
      <c r="K50" s="541">
        <v>127.563</v>
      </c>
      <c r="L50" s="541">
        <v>127.563</v>
      </c>
      <c r="M50" s="541">
        <v>127.563</v>
      </c>
      <c r="N50" s="541">
        <v>127.563</v>
      </c>
      <c r="O50" s="541">
        <v>127.563</v>
      </c>
      <c r="P50" s="541">
        <v>127.563</v>
      </c>
      <c r="Q50" s="541">
        <v>127.563</v>
      </c>
      <c r="R50" s="541">
        <v>127.563</v>
      </c>
      <c r="S50" s="541">
        <v>127.563</v>
      </c>
      <c r="T50" s="541">
        <v>127.563</v>
      </c>
      <c r="U50" s="541">
        <v>127.563</v>
      </c>
      <c r="V50" s="541">
        <v>127.563</v>
      </c>
      <c r="W50" s="541">
        <v>127.563</v>
      </c>
      <c r="X50" s="541">
        <v>127.563</v>
      </c>
      <c r="Y50" s="541">
        <v>127.563</v>
      </c>
      <c r="Z50" s="541">
        <v>127.563</v>
      </c>
      <c r="AA50" s="541">
        <v>127.563</v>
      </c>
      <c r="AB50" s="541">
        <v>127.563</v>
      </c>
      <c r="AC50" s="541">
        <v>127.563</v>
      </c>
      <c r="AD50" s="541">
        <v>127.563</v>
      </c>
      <c r="AE50" s="541">
        <v>127.563</v>
      </c>
      <c r="AF50" s="541">
        <v>127.563</v>
      </c>
      <c r="AG50" s="541">
        <v>127.563</v>
      </c>
      <c r="AH50" s="542">
        <f t="shared" si="59"/>
        <v>127.563</v>
      </c>
      <c r="AI50" s="542">
        <f t="shared" si="59"/>
        <v>127.563</v>
      </c>
      <c r="AJ50" s="542">
        <f t="shared" si="59"/>
        <v>127.563</v>
      </c>
      <c r="AK50" s="542">
        <f t="shared" si="59"/>
        <v>127.563</v>
      </c>
      <c r="AL50" s="542">
        <f t="shared" si="59"/>
        <v>127.563</v>
      </c>
      <c r="AM50" s="542">
        <f t="shared" si="59"/>
        <v>127.563</v>
      </c>
      <c r="AN50" s="542">
        <f t="shared" si="59"/>
        <v>127.563</v>
      </c>
      <c r="AO50" s="542">
        <f t="shared" si="59"/>
        <v>127.563</v>
      </c>
      <c r="AP50" s="542">
        <f t="shared" si="59"/>
        <v>127.563</v>
      </c>
      <c r="AQ50" s="542">
        <f t="shared" si="59"/>
        <v>127.563</v>
      </c>
      <c r="AR50" s="542">
        <f t="shared" si="59"/>
        <v>127.563</v>
      </c>
      <c r="AS50" s="542">
        <f t="shared" si="59"/>
        <v>127.563</v>
      </c>
      <c r="AT50" s="542">
        <f t="shared" si="59"/>
        <v>127.563</v>
      </c>
      <c r="AU50" s="542">
        <f t="shared" si="59"/>
        <v>127.563</v>
      </c>
      <c r="AV50" s="542">
        <f t="shared" si="59"/>
        <v>127.563</v>
      </c>
      <c r="AW50" s="542">
        <f t="shared" si="59"/>
        <v>127.563</v>
      </c>
      <c r="AX50" s="542">
        <f t="shared" si="58"/>
        <v>127.563</v>
      </c>
      <c r="AY50" s="542">
        <f t="shared" si="58"/>
        <v>127.563</v>
      </c>
      <c r="AZ50" s="542">
        <f t="shared" si="58"/>
        <v>127.563</v>
      </c>
      <c r="BA50" s="542">
        <f t="shared" si="58"/>
        <v>127.563</v>
      </c>
      <c r="BB50" s="542">
        <f t="shared" si="58"/>
        <v>127.563</v>
      </c>
      <c r="BC50" s="542">
        <f t="shared" si="58"/>
        <v>127.563</v>
      </c>
      <c r="BD50" s="542">
        <f t="shared" si="58"/>
        <v>127.563</v>
      </c>
      <c r="BE50" s="542">
        <f t="shared" si="58"/>
        <v>127.563</v>
      </c>
      <c r="BF50" s="542">
        <f t="shared" si="58"/>
        <v>127.563</v>
      </c>
      <c r="BG50" s="542">
        <f t="shared" si="58"/>
        <v>127.563</v>
      </c>
      <c r="BH50" s="542">
        <f t="shared" si="58"/>
        <v>127.563</v>
      </c>
      <c r="BI50" s="542">
        <f t="shared" si="58"/>
        <v>127.563</v>
      </c>
      <c r="BJ50" s="542">
        <f t="shared" si="58"/>
        <v>127.563</v>
      </c>
      <c r="BK50" s="542">
        <f t="shared" si="58"/>
        <v>127.563</v>
      </c>
      <c r="BL50" s="542">
        <f t="shared" si="58"/>
        <v>127.563</v>
      </c>
      <c r="BM50" s="542">
        <f t="shared" si="58"/>
        <v>127.563</v>
      </c>
      <c r="BN50" s="542">
        <f t="shared" si="58"/>
        <v>127.563</v>
      </c>
      <c r="BO50" s="542">
        <f t="shared" si="58"/>
        <v>127.563</v>
      </c>
      <c r="BP50" s="542">
        <f t="shared" si="58"/>
        <v>127.563</v>
      </c>
      <c r="BQ50" s="542">
        <f t="shared" si="58"/>
        <v>127.563</v>
      </c>
      <c r="BR50" s="542">
        <f t="shared" si="58"/>
        <v>127.563</v>
      </c>
      <c r="BS50" s="542">
        <f t="shared" si="58"/>
        <v>127.563</v>
      </c>
      <c r="BT50" s="542">
        <f t="shared" si="58"/>
        <v>127.563</v>
      </c>
      <c r="BU50" s="542">
        <f t="shared" si="58"/>
        <v>127.563</v>
      </c>
      <c r="BV50" s="542">
        <f t="shared" si="58"/>
        <v>127.563</v>
      </c>
      <c r="BW50" s="542">
        <f t="shared" si="58"/>
        <v>127.563</v>
      </c>
      <c r="BX50" s="542">
        <f t="shared" si="58"/>
        <v>127.563</v>
      </c>
      <c r="BY50" s="542">
        <f t="shared" si="58"/>
        <v>127.563</v>
      </c>
      <c r="BZ50" s="542">
        <f t="shared" si="58"/>
        <v>127.563</v>
      </c>
      <c r="CA50" s="542">
        <f t="shared" si="58"/>
        <v>127.563</v>
      </c>
      <c r="CB50" s="542">
        <f t="shared" si="58"/>
        <v>127.563</v>
      </c>
      <c r="CC50" s="542">
        <f t="shared" si="58"/>
        <v>127.563</v>
      </c>
      <c r="CD50" s="542">
        <f t="shared" si="58"/>
        <v>127.563</v>
      </c>
      <c r="CE50" s="542">
        <f t="shared" si="58"/>
        <v>127.563</v>
      </c>
      <c r="CG50" s="541">
        <v>127.563</v>
      </c>
      <c r="CH50" s="541">
        <v>127.563</v>
      </c>
      <c r="CI50" s="541">
        <v>127.563</v>
      </c>
      <c r="CJ50" s="541">
        <v>127.563</v>
      </c>
      <c r="CK50" s="541">
        <v>127.563</v>
      </c>
      <c r="CL50" s="541">
        <v>127.563</v>
      </c>
      <c r="CM50" s="541">
        <v>127.563</v>
      </c>
      <c r="CN50" s="541">
        <v>127.563</v>
      </c>
      <c r="CO50" s="541">
        <v>127.563</v>
      </c>
      <c r="CP50" s="541">
        <v>127.563</v>
      </c>
      <c r="CQ50" s="541">
        <v>127.563</v>
      </c>
      <c r="CR50" s="541">
        <v>127.563</v>
      </c>
      <c r="CS50" s="541">
        <v>127.563</v>
      </c>
      <c r="CT50" s="541">
        <v>127.563</v>
      </c>
      <c r="CU50" s="541">
        <v>127.563</v>
      </c>
      <c r="CV50" s="541">
        <v>127.563</v>
      </c>
      <c r="CW50" s="541">
        <v>127.563</v>
      </c>
      <c r="CX50" s="541">
        <v>127.563</v>
      </c>
      <c r="CY50" s="541">
        <v>127.563</v>
      </c>
      <c r="CZ50" s="541">
        <v>127.563</v>
      </c>
      <c r="DA50" s="541">
        <v>127.563</v>
      </c>
      <c r="DB50" s="541">
        <v>127.563</v>
      </c>
      <c r="DC50" s="541">
        <v>127.563</v>
      </c>
      <c r="DD50" s="541">
        <v>127.563</v>
      </c>
      <c r="DE50" s="541">
        <v>127.563</v>
      </c>
      <c r="DF50" s="541">
        <v>127.563</v>
      </c>
      <c r="DG50" s="541">
        <v>127.563</v>
      </c>
      <c r="DH50" s="541">
        <v>127.563</v>
      </c>
    </row>
    <row r="51" spans="2:112">
      <c r="B51" t="s">
        <v>946</v>
      </c>
      <c r="C51" t="s">
        <v>126</v>
      </c>
      <c r="D51" t="s">
        <v>923</v>
      </c>
      <c r="E51" t="s">
        <v>911</v>
      </c>
      <c r="F51" s="541">
        <v>3.3681472727272728</v>
      </c>
      <c r="G51" s="541">
        <v>3.3681472727272728</v>
      </c>
      <c r="H51" s="541">
        <v>3.3681472727272728</v>
      </c>
      <c r="I51" s="541">
        <v>3.3681472727272728</v>
      </c>
      <c r="J51" s="541">
        <v>3.3681472727272728</v>
      </c>
      <c r="K51" s="541">
        <v>3.3681472727272728</v>
      </c>
      <c r="L51" s="541">
        <v>3.3681472727272728</v>
      </c>
      <c r="M51" s="541">
        <v>3.3681472727272728</v>
      </c>
      <c r="N51" s="541">
        <v>3.3681472727272728</v>
      </c>
      <c r="O51" s="541">
        <v>3.3681472727272728</v>
      </c>
      <c r="P51" s="541">
        <v>3.3681472727272728</v>
      </c>
      <c r="Q51" s="541">
        <v>3.3681472727272728</v>
      </c>
      <c r="R51" s="541">
        <v>3.3681472727272728</v>
      </c>
      <c r="S51" s="541">
        <v>3.3681472727272728</v>
      </c>
      <c r="T51" s="541">
        <v>3.3681472727272728</v>
      </c>
      <c r="U51" s="541">
        <v>3.3681472727272728</v>
      </c>
      <c r="V51" s="541">
        <v>3.3681472727272728</v>
      </c>
      <c r="W51" s="541">
        <v>3.3681472727272728</v>
      </c>
      <c r="X51" s="541">
        <v>3.3681472727272728</v>
      </c>
      <c r="Y51" s="541">
        <v>3.3681472727272728</v>
      </c>
      <c r="Z51" s="541">
        <v>3.3681472727272728</v>
      </c>
      <c r="AA51" s="541">
        <v>3.3681472727272728</v>
      </c>
      <c r="AB51" s="541">
        <v>3.3681472727272728</v>
      </c>
      <c r="AC51" s="541">
        <v>3.3681472727272728</v>
      </c>
      <c r="AD51" s="541">
        <v>3.3681472727272728</v>
      </c>
      <c r="AE51" s="541">
        <v>3.3681472727272728</v>
      </c>
      <c r="AF51" s="541">
        <v>3.3681472727272728</v>
      </c>
      <c r="AG51" s="541">
        <v>3.3681472727272728</v>
      </c>
      <c r="AH51" s="542">
        <f t="shared" si="59"/>
        <v>3.3681472727272728</v>
      </c>
      <c r="AI51" s="542">
        <f t="shared" si="59"/>
        <v>3.3681472727272728</v>
      </c>
      <c r="AJ51" s="542">
        <f t="shared" si="59"/>
        <v>3.3681472727272728</v>
      </c>
      <c r="AK51" s="542">
        <f t="shared" si="59"/>
        <v>3.3681472727272728</v>
      </c>
      <c r="AL51" s="542">
        <f t="shared" si="59"/>
        <v>3.3681472727272728</v>
      </c>
      <c r="AM51" s="542">
        <f t="shared" si="59"/>
        <v>3.3681472727272728</v>
      </c>
      <c r="AN51" s="542">
        <f t="shared" si="59"/>
        <v>3.3681472727272728</v>
      </c>
      <c r="AO51" s="542">
        <f t="shared" si="59"/>
        <v>3.3681472727272728</v>
      </c>
      <c r="AP51" s="542">
        <f t="shared" si="59"/>
        <v>3.3681472727272728</v>
      </c>
      <c r="AQ51" s="542">
        <f t="shared" si="59"/>
        <v>3.3681472727272728</v>
      </c>
      <c r="AR51" s="542">
        <f t="shared" si="59"/>
        <v>3.3681472727272728</v>
      </c>
      <c r="AS51" s="542">
        <f t="shared" si="59"/>
        <v>3.3681472727272728</v>
      </c>
      <c r="AT51" s="542">
        <f t="shared" si="59"/>
        <v>3.3681472727272728</v>
      </c>
      <c r="AU51" s="542">
        <f t="shared" si="59"/>
        <v>3.3681472727272728</v>
      </c>
      <c r="AV51" s="542">
        <f t="shared" si="59"/>
        <v>3.3681472727272728</v>
      </c>
      <c r="AW51" s="542">
        <f t="shared" si="59"/>
        <v>3.3681472727272728</v>
      </c>
      <c r="AX51" s="542">
        <f t="shared" si="58"/>
        <v>3.3681472727272728</v>
      </c>
      <c r="AY51" s="542">
        <f t="shared" si="58"/>
        <v>3.3681472727272728</v>
      </c>
      <c r="AZ51" s="542">
        <f t="shared" si="58"/>
        <v>3.3681472727272728</v>
      </c>
      <c r="BA51" s="542">
        <f t="shared" si="58"/>
        <v>3.3681472727272728</v>
      </c>
      <c r="BB51" s="542">
        <f t="shared" si="58"/>
        <v>3.3681472727272728</v>
      </c>
      <c r="BC51" s="542">
        <f t="shared" si="58"/>
        <v>3.3681472727272728</v>
      </c>
      <c r="BD51" s="542">
        <f t="shared" si="58"/>
        <v>3.3681472727272728</v>
      </c>
      <c r="BE51" s="542">
        <f t="shared" si="58"/>
        <v>3.3681472727272728</v>
      </c>
      <c r="BF51" s="542">
        <f t="shared" si="58"/>
        <v>3.3681472727272728</v>
      </c>
      <c r="BG51" s="542">
        <f t="shared" si="58"/>
        <v>3.3681472727272728</v>
      </c>
      <c r="BH51" s="542">
        <f t="shared" si="58"/>
        <v>3.3681472727272728</v>
      </c>
      <c r="BI51" s="542">
        <f t="shared" si="58"/>
        <v>3.3681472727272728</v>
      </c>
      <c r="BJ51" s="542">
        <f t="shared" si="58"/>
        <v>3.3681472727272728</v>
      </c>
      <c r="BK51" s="542">
        <f t="shared" si="58"/>
        <v>3.3681472727272728</v>
      </c>
      <c r="BL51" s="542">
        <f t="shared" si="58"/>
        <v>3.3681472727272728</v>
      </c>
      <c r="BM51" s="542">
        <f t="shared" si="58"/>
        <v>3.3681472727272728</v>
      </c>
      <c r="BN51" s="542">
        <f t="shared" si="58"/>
        <v>3.3681472727272728</v>
      </c>
      <c r="BO51" s="542">
        <f t="shared" si="58"/>
        <v>3.3681472727272728</v>
      </c>
      <c r="BP51" s="542">
        <f t="shared" si="58"/>
        <v>3.3681472727272728</v>
      </c>
      <c r="BQ51" s="542">
        <f t="shared" si="58"/>
        <v>3.3681472727272728</v>
      </c>
      <c r="BR51" s="542">
        <f t="shared" si="58"/>
        <v>3.3681472727272728</v>
      </c>
      <c r="BS51" s="542">
        <f t="shared" si="58"/>
        <v>3.3681472727272728</v>
      </c>
      <c r="BT51" s="542">
        <f t="shared" si="58"/>
        <v>3.3681472727272728</v>
      </c>
      <c r="BU51" s="542">
        <f t="shared" si="58"/>
        <v>3.3681472727272728</v>
      </c>
      <c r="BV51" s="542">
        <f t="shared" si="58"/>
        <v>3.3681472727272728</v>
      </c>
      <c r="BW51" s="542">
        <f t="shared" si="58"/>
        <v>3.3681472727272728</v>
      </c>
      <c r="BX51" s="542">
        <f t="shared" si="58"/>
        <v>3.3681472727272728</v>
      </c>
      <c r="BY51" s="542">
        <f t="shared" si="58"/>
        <v>3.3681472727272728</v>
      </c>
      <c r="BZ51" s="542">
        <f t="shared" si="58"/>
        <v>3.3681472727272728</v>
      </c>
      <c r="CA51" s="542">
        <f t="shared" si="58"/>
        <v>3.3681472727272728</v>
      </c>
      <c r="CB51" s="542">
        <f t="shared" si="58"/>
        <v>3.3681472727272728</v>
      </c>
      <c r="CC51" s="542">
        <f t="shared" si="58"/>
        <v>3.3681472727272728</v>
      </c>
      <c r="CD51" s="542">
        <f t="shared" si="58"/>
        <v>3.3681472727272728</v>
      </c>
      <c r="CE51" s="542">
        <f t="shared" si="58"/>
        <v>3.3681472727272728</v>
      </c>
      <c r="CG51" s="541">
        <v>3.3681472727272728</v>
      </c>
      <c r="CH51" s="541">
        <v>3.3681472727272728</v>
      </c>
      <c r="CI51" s="541">
        <v>3.3681472727272728</v>
      </c>
      <c r="CJ51" s="541">
        <v>3.3681472727272728</v>
      </c>
      <c r="CK51" s="541">
        <v>3.3681472727272728</v>
      </c>
      <c r="CL51" s="541">
        <v>3.3681472727272728</v>
      </c>
      <c r="CM51" s="541">
        <v>3.3681472727272728</v>
      </c>
      <c r="CN51" s="541">
        <v>3.3681472727272728</v>
      </c>
      <c r="CO51" s="541">
        <v>3.3681472727272728</v>
      </c>
      <c r="CP51" s="541">
        <v>3.3681472727272728</v>
      </c>
      <c r="CQ51" s="541">
        <v>3.3681472727272728</v>
      </c>
      <c r="CR51" s="541">
        <v>3.3681472727272728</v>
      </c>
      <c r="CS51" s="541">
        <v>3.3681472727272728</v>
      </c>
      <c r="CT51" s="541">
        <v>3.3681472727272728</v>
      </c>
      <c r="CU51" s="541">
        <v>3.3681472727272728</v>
      </c>
      <c r="CV51" s="541">
        <v>3.3681472727272728</v>
      </c>
      <c r="CW51" s="541">
        <v>3.3681472727272728</v>
      </c>
      <c r="CX51" s="541">
        <v>3.3681472727272728</v>
      </c>
      <c r="CY51" s="541">
        <v>3.3681472727272728</v>
      </c>
      <c r="CZ51" s="541">
        <v>3.3681472727272728</v>
      </c>
      <c r="DA51" s="541">
        <v>3.3681472727272728</v>
      </c>
      <c r="DB51" s="541">
        <v>3.3681472727272728</v>
      </c>
      <c r="DC51" s="541">
        <v>3.3681472727272728</v>
      </c>
      <c r="DD51" s="541">
        <v>3.3681472727272728</v>
      </c>
      <c r="DE51" s="541">
        <v>3.3681472727272728</v>
      </c>
      <c r="DF51" s="541">
        <v>3.3681472727272728</v>
      </c>
      <c r="DG51" s="541">
        <v>3.3681472727272728</v>
      </c>
      <c r="DH51" s="541">
        <v>3.3681472727272728</v>
      </c>
    </row>
    <row r="52" spans="2:112">
      <c r="B52" t="s">
        <v>924</v>
      </c>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row>
    <row r="53" spans="2:112" ht="15">
      <c r="B53" t="s">
        <v>947</v>
      </c>
      <c r="C53" s="485" t="s">
        <v>728</v>
      </c>
      <c r="D53" s="485" t="s">
        <v>877</v>
      </c>
      <c r="E53" s="485" t="s">
        <v>111</v>
      </c>
      <c r="F53" s="486">
        <f>2023</f>
        <v>2023</v>
      </c>
      <c r="G53" s="486">
        <f>F53+1</f>
        <v>2024</v>
      </c>
      <c r="H53" s="486">
        <f t="shared" ref="H53:AG53" si="60">G53+1</f>
        <v>2025</v>
      </c>
      <c r="I53" s="486">
        <f t="shared" si="60"/>
        <v>2026</v>
      </c>
      <c r="J53" s="486">
        <f t="shared" si="60"/>
        <v>2027</v>
      </c>
      <c r="K53" s="486">
        <f t="shared" si="60"/>
        <v>2028</v>
      </c>
      <c r="L53" s="486">
        <f t="shared" si="60"/>
        <v>2029</v>
      </c>
      <c r="M53" s="486">
        <f t="shared" si="60"/>
        <v>2030</v>
      </c>
      <c r="N53" s="486">
        <f t="shared" si="60"/>
        <v>2031</v>
      </c>
      <c r="O53" s="486">
        <f t="shared" si="60"/>
        <v>2032</v>
      </c>
      <c r="P53" s="486">
        <f t="shared" si="60"/>
        <v>2033</v>
      </c>
      <c r="Q53" s="486">
        <f t="shared" si="60"/>
        <v>2034</v>
      </c>
      <c r="R53" s="486">
        <f t="shared" si="60"/>
        <v>2035</v>
      </c>
      <c r="S53" s="486">
        <f t="shared" si="60"/>
        <v>2036</v>
      </c>
      <c r="T53" s="486">
        <f t="shared" si="60"/>
        <v>2037</v>
      </c>
      <c r="U53" s="486">
        <f t="shared" si="60"/>
        <v>2038</v>
      </c>
      <c r="V53" s="486">
        <f t="shared" si="60"/>
        <v>2039</v>
      </c>
      <c r="W53" s="486">
        <f t="shared" si="60"/>
        <v>2040</v>
      </c>
      <c r="X53" s="486">
        <f t="shared" si="60"/>
        <v>2041</v>
      </c>
      <c r="Y53" s="486">
        <f t="shared" si="60"/>
        <v>2042</v>
      </c>
      <c r="Z53" s="486">
        <f t="shared" si="60"/>
        <v>2043</v>
      </c>
      <c r="AA53" s="486">
        <f t="shared" si="60"/>
        <v>2044</v>
      </c>
      <c r="AB53" s="486">
        <f t="shared" si="60"/>
        <v>2045</v>
      </c>
      <c r="AC53" s="486">
        <f t="shared" si="60"/>
        <v>2046</v>
      </c>
      <c r="AD53" s="486">
        <f t="shared" si="60"/>
        <v>2047</v>
      </c>
      <c r="AE53" s="486">
        <f t="shared" si="60"/>
        <v>2048</v>
      </c>
      <c r="AF53" s="486">
        <f t="shared" si="60"/>
        <v>2049</v>
      </c>
      <c r="AG53" s="486">
        <f t="shared" si="60"/>
        <v>2050</v>
      </c>
      <c r="AH53" s="524">
        <f>AG53+1</f>
        <v>2051</v>
      </c>
      <c r="AI53" s="524">
        <f t="shared" ref="AI53:CE53" si="61">AH53+1</f>
        <v>2052</v>
      </c>
      <c r="AJ53" s="524">
        <f t="shared" si="61"/>
        <v>2053</v>
      </c>
      <c r="AK53" s="524">
        <f t="shared" si="61"/>
        <v>2054</v>
      </c>
      <c r="AL53" s="524">
        <f t="shared" si="61"/>
        <v>2055</v>
      </c>
      <c r="AM53" s="524">
        <f t="shared" si="61"/>
        <v>2056</v>
      </c>
      <c r="AN53" s="524">
        <f t="shared" si="61"/>
        <v>2057</v>
      </c>
      <c r="AO53" s="524">
        <f t="shared" si="61"/>
        <v>2058</v>
      </c>
      <c r="AP53" s="524">
        <f t="shared" si="61"/>
        <v>2059</v>
      </c>
      <c r="AQ53" s="524">
        <f t="shared" si="61"/>
        <v>2060</v>
      </c>
      <c r="AR53" s="524">
        <f t="shared" si="61"/>
        <v>2061</v>
      </c>
      <c r="AS53" s="524">
        <f t="shared" si="61"/>
        <v>2062</v>
      </c>
      <c r="AT53" s="524">
        <f t="shared" si="61"/>
        <v>2063</v>
      </c>
      <c r="AU53" s="524">
        <f t="shared" si="61"/>
        <v>2064</v>
      </c>
      <c r="AV53" s="524">
        <f t="shared" si="61"/>
        <v>2065</v>
      </c>
      <c r="AW53" s="524">
        <f t="shared" si="61"/>
        <v>2066</v>
      </c>
      <c r="AX53" s="524">
        <f t="shared" si="61"/>
        <v>2067</v>
      </c>
      <c r="AY53" s="524">
        <f t="shared" si="61"/>
        <v>2068</v>
      </c>
      <c r="AZ53" s="524">
        <f t="shared" si="61"/>
        <v>2069</v>
      </c>
      <c r="BA53" s="524">
        <f t="shared" si="61"/>
        <v>2070</v>
      </c>
      <c r="BB53" s="524">
        <f t="shared" si="61"/>
        <v>2071</v>
      </c>
      <c r="BC53" s="524">
        <f t="shared" si="61"/>
        <v>2072</v>
      </c>
      <c r="BD53" s="524">
        <f t="shared" si="61"/>
        <v>2073</v>
      </c>
      <c r="BE53" s="524">
        <f t="shared" si="61"/>
        <v>2074</v>
      </c>
      <c r="BF53" s="524">
        <f t="shared" si="61"/>
        <v>2075</v>
      </c>
      <c r="BG53" s="524">
        <f t="shared" si="61"/>
        <v>2076</v>
      </c>
      <c r="BH53" s="524">
        <f t="shared" si="61"/>
        <v>2077</v>
      </c>
      <c r="BI53" s="524">
        <f t="shared" si="61"/>
        <v>2078</v>
      </c>
      <c r="BJ53" s="524">
        <f t="shared" si="61"/>
        <v>2079</v>
      </c>
      <c r="BK53" s="524">
        <f t="shared" si="61"/>
        <v>2080</v>
      </c>
      <c r="BL53" s="524">
        <f t="shared" si="61"/>
        <v>2081</v>
      </c>
      <c r="BM53" s="524">
        <f t="shared" si="61"/>
        <v>2082</v>
      </c>
      <c r="BN53" s="524">
        <f t="shared" si="61"/>
        <v>2083</v>
      </c>
      <c r="BO53" s="524">
        <f t="shared" si="61"/>
        <v>2084</v>
      </c>
      <c r="BP53" s="524">
        <f t="shared" si="61"/>
        <v>2085</v>
      </c>
      <c r="BQ53" s="524">
        <f t="shared" si="61"/>
        <v>2086</v>
      </c>
      <c r="BR53" s="524">
        <f t="shared" si="61"/>
        <v>2087</v>
      </c>
      <c r="BS53" s="524">
        <f t="shared" si="61"/>
        <v>2088</v>
      </c>
      <c r="BT53" s="524">
        <f t="shared" si="61"/>
        <v>2089</v>
      </c>
      <c r="BU53" s="524">
        <f t="shared" si="61"/>
        <v>2090</v>
      </c>
      <c r="BV53" s="524">
        <f t="shared" si="61"/>
        <v>2091</v>
      </c>
      <c r="BW53" s="524">
        <f t="shared" si="61"/>
        <v>2092</v>
      </c>
      <c r="BX53" s="524">
        <f t="shared" si="61"/>
        <v>2093</v>
      </c>
      <c r="BY53" s="524">
        <f t="shared" si="61"/>
        <v>2094</v>
      </c>
      <c r="BZ53" s="524">
        <f t="shared" si="61"/>
        <v>2095</v>
      </c>
      <c r="CA53" s="524">
        <f t="shared" si="61"/>
        <v>2096</v>
      </c>
      <c r="CB53" s="524">
        <f t="shared" si="61"/>
        <v>2097</v>
      </c>
      <c r="CC53" s="524">
        <f t="shared" si="61"/>
        <v>2098</v>
      </c>
      <c r="CD53" s="524">
        <f t="shared" si="61"/>
        <v>2099</v>
      </c>
      <c r="CE53" s="524">
        <f t="shared" si="61"/>
        <v>2100</v>
      </c>
      <c r="CG53" s="486">
        <v>2023</v>
      </c>
      <c r="CH53" s="486">
        <v>2024</v>
      </c>
      <c r="CI53" s="486">
        <v>2025</v>
      </c>
      <c r="CJ53" s="486">
        <v>2026</v>
      </c>
      <c r="CK53" s="486">
        <v>2027</v>
      </c>
      <c r="CL53" s="486">
        <v>2028</v>
      </c>
      <c r="CM53" s="486">
        <v>2029</v>
      </c>
      <c r="CN53" s="486">
        <v>2030</v>
      </c>
      <c r="CO53" s="486">
        <v>2031</v>
      </c>
      <c r="CP53" s="486">
        <v>2032</v>
      </c>
      <c r="CQ53" s="486">
        <v>2033</v>
      </c>
      <c r="CR53" s="486">
        <v>2034</v>
      </c>
      <c r="CS53" s="486">
        <v>2035</v>
      </c>
      <c r="CT53" s="486">
        <v>2036</v>
      </c>
      <c r="CU53" s="486">
        <v>2037</v>
      </c>
      <c r="CV53" s="486">
        <v>2038</v>
      </c>
      <c r="CW53" s="486">
        <v>2039</v>
      </c>
      <c r="CX53" s="486">
        <v>2040</v>
      </c>
      <c r="CY53" s="486">
        <v>2041</v>
      </c>
      <c r="CZ53" s="486">
        <v>2042</v>
      </c>
      <c r="DA53" s="486">
        <v>2043</v>
      </c>
      <c r="DB53" s="486">
        <v>2044</v>
      </c>
      <c r="DC53" s="486">
        <v>2045</v>
      </c>
      <c r="DD53" s="486">
        <v>2046</v>
      </c>
      <c r="DE53" s="486">
        <v>2047</v>
      </c>
      <c r="DF53" s="486">
        <v>2048</v>
      </c>
      <c r="DG53" s="486">
        <v>2049</v>
      </c>
      <c r="DH53" s="486">
        <v>2050</v>
      </c>
    </row>
    <row r="54" spans="2:112">
      <c r="B54" t="s">
        <v>948</v>
      </c>
      <c r="C54" t="s">
        <v>728</v>
      </c>
      <c r="D54" t="s">
        <v>879</v>
      </c>
      <c r="E54" t="s">
        <v>715</v>
      </c>
      <c r="F54" s="525">
        <v>15000</v>
      </c>
      <c r="G54" s="525">
        <v>15000</v>
      </c>
      <c r="H54" s="525">
        <v>15000</v>
      </c>
      <c r="I54" s="525">
        <v>15000</v>
      </c>
      <c r="J54" s="525">
        <v>15000</v>
      </c>
      <c r="K54" s="525">
        <v>15000</v>
      </c>
      <c r="L54" s="525">
        <v>15000</v>
      </c>
      <c r="M54" s="525">
        <v>15000</v>
      </c>
      <c r="N54" s="525">
        <v>15000</v>
      </c>
      <c r="O54" s="525">
        <v>15000</v>
      </c>
      <c r="P54" s="525">
        <v>15000</v>
      </c>
      <c r="Q54" s="525">
        <v>15000</v>
      </c>
      <c r="R54" s="525">
        <v>15000</v>
      </c>
      <c r="S54" s="525">
        <v>15000</v>
      </c>
      <c r="T54" s="525">
        <v>15000</v>
      </c>
      <c r="U54" s="525">
        <v>15000</v>
      </c>
      <c r="V54" s="525">
        <v>15000</v>
      </c>
      <c r="W54" s="525">
        <v>15000</v>
      </c>
      <c r="X54" s="525">
        <v>15000</v>
      </c>
      <c r="Y54" s="525">
        <v>15000</v>
      </c>
      <c r="Z54" s="525">
        <v>15000</v>
      </c>
      <c r="AA54" s="525">
        <v>15000</v>
      </c>
      <c r="AB54" s="525">
        <v>15000</v>
      </c>
      <c r="AC54" s="525">
        <v>15000</v>
      </c>
      <c r="AD54" s="525">
        <v>15000</v>
      </c>
      <c r="AE54" s="525">
        <v>15000</v>
      </c>
      <c r="AF54" s="525">
        <v>15000</v>
      </c>
      <c r="AG54" s="525">
        <v>15000</v>
      </c>
      <c r="AH54" s="526">
        <f>AG54</f>
        <v>15000</v>
      </c>
      <c r="AI54" s="526">
        <f t="shared" ref="AI54:AX54" si="62">AH54</f>
        <v>15000</v>
      </c>
      <c r="AJ54" s="526">
        <f t="shared" si="62"/>
        <v>15000</v>
      </c>
      <c r="AK54" s="526">
        <f t="shared" si="62"/>
        <v>15000</v>
      </c>
      <c r="AL54" s="526">
        <f t="shared" si="62"/>
        <v>15000</v>
      </c>
      <c r="AM54" s="526">
        <f t="shared" si="62"/>
        <v>15000</v>
      </c>
      <c r="AN54" s="526">
        <f t="shared" si="62"/>
        <v>15000</v>
      </c>
      <c r="AO54" s="526">
        <f t="shared" si="62"/>
        <v>15000</v>
      </c>
      <c r="AP54" s="526">
        <f t="shared" si="62"/>
        <v>15000</v>
      </c>
      <c r="AQ54" s="526">
        <f t="shared" si="62"/>
        <v>15000</v>
      </c>
      <c r="AR54" s="526">
        <f t="shared" si="62"/>
        <v>15000</v>
      </c>
      <c r="AS54" s="526">
        <f t="shared" si="62"/>
        <v>15000</v>
      </c>
      <c r="AT54" s="526">
        <f t="shared" si="62"/>
        <v>15000</v>
      </c>
      <c r="AU54" s="526">
        <f t="shared" si="62"/>
        <v>15000</v>
      </c>
      <c r="AV54" s="526">
        <f t="shared" si="62"/>
        <v>15000</v>
      </c>
      <c r="AW54" s="526">
        <f t="shared" si="62"/>
        <v>15000</v>
      </c>
      <c r="AX54" s="526">
        <f t="shared" si="62"/>
        <v>15000</v>
      </c>
      <c r="AY54" s="526">
        <f t="shared" ref="AY54:BN54" si="63">AX54</f>
        <v>15000</v>
      </c>
      <c r="AZ54" s="526">
        <f t="shared" si="63"/>
        <v>15000</v>
      </c>
      <c r="BA54" s="526">
        <f t="shared" si="63"/>
        <v>15000</v>
      </c>
      <c r="BB54" s="526">
        <f t="shared" si="63"/>
        <v>15000</v>
      </c>
      <c r="BC54" s="526">
        <f t="shared" si="63"/>
        <v>15000</v>
      </c>
      <c r="BD54" s="526">
        <f t="shared" si="63"/>
        <v>15000</v>
      </c>
      <c r="BE54" s="526">
        <f t="shared" si="63"/>
        <v>15000</v>
      </c>
      <c r="BF54" s="526">
        <f t="shared" si="63"/>
        <v>15000</v>
      </c>
      <c r="BG54" s="526">
        <f t="shared" si="63"/>
        <v>15000</v>
      </c>
      <c r="BH54" s="526">
        <f t="shared" si="63"/>
        <v>15000</v>
      </c>
      <c r="BI54" s="526">
        <f t="shared" si="63"/>
        <v>15000</v>
      </c>
      <c r="BJ54" s="526">
        <f t="shared" si="63"/>
        <v>15000</v>
      </c>
      <c r="BK54" s="526">
        <f t="shared" si="63"/>
        <v>15000</v>
      </c>
      <c r="BL54" s="526">
        <f t="shared" si="63"/>
        <v>15000</v>
      </c>
      <c r="BM54" s="526">
        <f t="shared" si="63"/>
        <v>15000</v>
      </c>
      <c r="BN54" s="526">
        <f t="shared" si="63"/>
        <v>15000</v>
      </c>
      <c r="BO54" s="526">
        <f t="shared" ref="BO54:CD54" si="64">BN54</f>
        <v>15000</v>
      </c>
      <c r="BP54" s="526">
        <f t="shared" si="64"/>
        <v>15000</v>
      </c>
      <c r="BQ54" s="526">
        <f t="shared" si="64"/>
        <v>15000</v>
      </c>
      <c r="BR54" s="526">
        <f t="shared" si="64"/>
        <v>15000</v>
      </c>
      <c r="BS54" s="526">
        <f t="shared" si="64"/>
        <v>15000</v>
      </c>
      <c r="BT54" s="526">
        <f t="shared" si="64"/>
        <v>15000</v>
      </c>
      <c r="BU54" s="526">
        <f t="shared" si="64"/>
        <v>15000</v>
      </c>
      <c r="BV54" s="526">
        <f t="shared" si="64"/>
        <v>15000</v>
      </c>
      <c r="BW54" s="526">
        <f t="shared" si="64"/>
        <v>15000</v>
      </c>
      <c r="BX54" s="526">
        <f t="shared" si="64"/>
        <v>15000</v>
      </c>
      <c r="BY54" s="526">
        <f t="shared" si="64"/>
        <v>15000</v>
      </c>
      <c r="BZ54" s="526">
        <f t="shared" si="64"/>
        <v>15000</v>
      </c>
      <c r="CA54" s="526">
        <f t="shared" si="64"/>
        <v>15000</v>
      </c>
      <c r="CB54" s="526">
        <f t="shared" si="64"/>
        <v>15000</v>
      </c>
      <c r="CC54" s="526">
        <f t="shared" si="64"/>
        <v>15000</v>
      </c>
      <c r="CD54" s="526">
        <f t="shared" si="64"/>
        <v>15000</v>
      </c>
      <c r="CE54" s="526">
        <f t="shared" ref="AX54:CE62" si="65">CD54</f>
        <v>15000</v>
      </c>
      <c r="CG54" s="536">
        <v>15000</v>
      </c>
      <c r="CH54" s="536">
        <v>15000</v>
      </c>
      <c r="CI54" s="536">
        <v>15000</v>
      </c>
      <c r="CJ54" s="536">
        <v>15000</v>
      </c>
      <c r="CK54" s="536">
        <v>15000</v>
      </c>
      <c r="CL54" s="536">
        <v>15000</v>
      </c>
      <c r="CM54" s="536">
        <v>15000</v>
      </c>
      <c r="CN54" s="536">
        <v>15000</v>
      </c>
      <c r="CO54" s="536">
        <v>15000</v>
      </c>
      <c r="CP54" s="536">
        <v>15000</v>
      </c>
      <c r="CQ54" s="536">
        <v>15000</v>
      </c>
      <c r="CR54" s="536">
        <v>15000</v>
      </c>
      <c r="CS54" s="536">
        <v>15000</v>
      </c>
      <c r="CT54" s="536">
        <v>15000</v>
      </c>
      <c r="CU54" s="536">
        <v>15000</v>
      </c>
      <c r="CV54" s="536">
        <v>15000</v>
      </c>
      <c r="CW54" s="536">
        <v>15000</v>
      </c>
      <c r="CX54" s="536">
        <v>15000</v>
      </c>
      <c r="CY54" s="536">
        <v>15000</v>
      </c>
      <c r="CZ54" s="536">
        <v>15000</v>
      </c>
      <c r="DA54" s="536">
        <v>15000</v>
      </c>
      <c r="DB54" s="536">
        <v>15000</v>
      </c>
      <c r="DC54" s="536">
        <v>15000</v>
      </c>
      <c r="DD54" s="536">
        <v>15000</v>
      </c>
      <c r="DE54" s="536">
        <v>15000</v>
      </c>
      <c r="DF54" s="536">
        <v>15000</v>
      </c>
      <c r="DG54" s="536">
        <v>15000</v>
      </c>
      <c r="DH54" s="536">
        <v>15000</v>
      </c>
    </row>
    <row r="55" spans="2:112">
      <c r="B55" t="s">
        <v>949</v>
      </c>
      <c r="C55" t="s">
        <v>728</v>
      </c>
      <c r="D55" t="s">
        <v>695</v>
      </c>
      <c r="E55" t="s">
        <v>881</v>
      </c>
      <c r="F55" s="525">
        <v>240</v>
      </c>
      <c r="G55" s="525">
        <v>240</v>
      </c>
      <c r="H55" s="525">
        <v>240</v>
      </c>
      <c r="I55" s="525">
        <v>240</v>
      </c>
      <c r="J55" s="525">
        <v>240</v>
      </c>
      <c r="K55" s="525">
        <v>240</v>
      </c>
      <c r="L55" s="525">
        <v>240</v>
      </c>
      <c r="M55" s="525">
        <v>240</v>
      </c>
      <c r="N55" s="525">
        <v>240</v>
      </c>
      <c r="O55" s="525">
        <v>240</v>
      </c>
      <c r="P55" s="525">
        <v>240</v>
      </c>
      <c r="Q55" s="525">
        <v>240</v>
      </c>
      <c r="R55" s="525">
        <v>240</v>
      </c>
      <c r="S55" s="525">
        <v>240</v>
      </c>
      <c r="T55" s="525">
        <v>240</v>
      </c>
      <c r="U55" s="525">
        <v>240</v>
      </c>
      <c r="V55" s="525">
        <v>240</v>
      </c>
      <c r="W55" s="525">
        <v>240</v>
      </c>
      <c r="X55" s="525">
        <v>240</v>
      </c>
      <c r="Y55" s="525">
        <v>240</v>
      </c>
      <c r="Z55" s="525">
        <v>240</v>
      </c>
      <c r="AA55" s="525">
        <v>240</v>
      </c>
      <c r="AB55" s="525">
        <v>240</v>
      </c>
      <c r="AC55" s="525">
        <v>240</v>
      </c>
      <c r="AD55" s="525">
        <v>240</v>
      </c>
      <c r="AE55" s="525">
        <v>240</v>
      </c>
      <c r="AF55" s="525">
        <v>240</v>
      </c>
      <c r="AG55" s="525">
        <v>240</v>
      </c>
      <c r="AH55" s="526">
        <f t="shared" ref="AH55:AW64" si="66">AG55</f>
        <v>240</v>
      </c>
      <c r="AI55" s="526">
        <f t="shared" si="66"/>
        <v>240</v>
      </c>
      <c r="AJ55" s="526">
        <f t="shared" si="66"/>
        <v>240</v>
      </c>
      <c r="AK55" s="526">
        <f t="shared" si="66"/>
        <v>240</v>
      </c>
      <c r="AL55" s="526">
        <f t="shared" si="66"/>
        <v>240</v>
      </c>
      <c r="AM55" s="526">
        <f t="shared" si="66"/>
        <v>240</v>
      </c>
      <c r="AN55" s="526">
        <f t="shared" si="66"/>
        <v>240</v>
      </c>
      <c r="AO55" s="526">
        <f t="shared" si="66"/>
        <v>240</v>
      </c>
      <c r="AP55" s="526">
        <f t="shared" si="66"/>
        <v>240</v>
      </c>
      <c r="AQ55" s="526">
        <f t="shared" si="66"/>
        <v>240</v>
      </c>
      <c r="AR55" s="526">
        <f t="shared" si="66"/>
        <v>240</v>
      </c>
      <c r="AS55" s="526">
        <f t="shared" si="66"/>
        <v>240</v>
      </c>
      <c r="AT55" s="526">
        <f t="shared" si="66"/>
        <v>240</v>
      </c>
      <c r="AU55" s="526">
        <f t="shared" si="66"/>
        <v>240</v>
      </c>
      <c r="AV55" s="526">
        <f t="shared" si="66"/>
        <v>240</v>
      </c>
      <c r="AW55" s="526">
        <f t="shared" si="66"/>
        <v>240</v>
      </c>
      <c r="AX55" s="526">
        <f t="shared" si="65"/>
        <v>240</v>
      </c>
      <c r="AY55" s="526">
        <f t="shared" si="65"/>
        <v>240</v>
      </c>
      <c r="AZ55" s="526">
        <f t="shared" si="65"/>
        <v>240</v>
      </c>
      <c r="BA55" s="526">
        <f t="shared" si="65"/>
        <v>240</v>
      </c>
      <c r="BB55" s="526">
        <f t="shared" si="65"/>
        <v>240</v>
      </c>
      <c r="BC55" s="526">
        <f t="shared" si="65"/>
        <v>240</v>
      </c>
      <c r="BD55" s="526">
        <f t="shared" si="65"/>
        <v>240</v>
      </c>
      <c r="BE55" s="526">
        <f t="shared" si="65"/>
        <v>240</v>
      </c>
      <c r="BF55" s="526">
        <f t="shared" si="65"/>
        <v>240</v>
      </c>
      <c r="BG55" s="526">
        <f t="shared" si="65"/>
        <v>240</v>
      </c>
      <c r="BH55" s="526">
        <f t="shared" si="65"/>
        <v>240</v>
      </c>
      <c r="BI55" s="526">
        <f t="shared" si="65"/>
        <v>240</v>
      </c>
      <c r="BJ55" s="526">
        <f t="shared" si="65"/>
        <v>240</v>
      </c>
      <c r="BK55" s="526">
        <f t="shared" si="65"/>
        <v>240</v>
      </c>
      <c r="BL55" s="526">
        <f t="shared" si="65"/>
        <v>240</v>
      </c>
      <c r="BM55" s="526">
        <f t="shared" si="65"/>
        <v>240</v>
      </c>
      <c r="BN55" s="526">
        <f t="shared" si="65"/>
        <v>240</v>
      </c>
      <c r="BO55" s="526">
        <f t="shared" si="65"/>
        <v>240</v>
      </c>
      <c r="BP55" s="526">
        <f t="shared" si="65"/>
        <v>240</v>
      </c>
      <c r="BQ55" s="526">
        <f t="shared" si="65"/>
        <v>240</v>
      </c>
      <c r="BR55" s="526">
        <f t="shared" si="65"/>
        <v>240</v>
      </c>
      <c r="BS55" s="526">
        <f t="shared" si="65"/>
        <v>240</v>
      </c>
      <c r="BT55" s="526">
        <f t="shared" si="65"/>
        <v>240</v>
      </c>
      <c r="BU55" s="526">
        <f t="shared" si="65"/>
        <v>240</v>
      </c>
      <c r="BV55" s="526">
        <f t="shared" si="65"/>
        <v>240</v>
      </c>
      <c r="BW55" s="526">
        <f t="shared" si="65"/>
        <v>240</v>
      </c>
      <c r="BX55" s="526">
        <f t="shared" si="65"/>
        <v>240</v>
      </c>
      <c r="BY55" s="526">
        <f t="shared" si="65"/>
        <v>240</v>
      </c>
      <c r="BZ55" s="526">
        <f t="shared" si="65"/>
        <v>240</v>
      </c>
      <c r="CA55" s="526">
        <f t="shared" si="65"/>
        <v>240</v>
      </c>
      <c r="CB55" s="526">
        <f t="shared" si="65"/>
        <v>240</v>
      </c>
      <c r="CC55" s="526">
        <f t="shared" si="65"/>
        <v>240</v>
      </c>
      <c r="CD55" s="526">
        <f t="shared" si="65"/>
        <v>240</v>
      </c>
      <c r="CE55" s="526">
        <f t="shared" si="65"/>
        <v>240</v>
      </c>
      <c r="CG55" s="536">
        <v>240</v>
      </c>
      <c r="CH55" s="536">
        <v>240</v>
      </c>
      <c r="CI55" s="536">
        <v>240</v>
      </c>
      <c r="CJ55" s="536">
        <v>240</v>
      </c>
      <c r="CK55" s="536">
        <v>240</v>
      </c>
      <c r="CL55" s="536">
        <v>240</v>
      </c>
      <c r="CM55" s="536">
        <v>240</v>
      </c>
      <c r="CN55" s="536">
        <v>240</v>
      </c>
      <c r="CO55" s="536">
        <v>240</v>
      </c>
      <c r="CP55" s="536">
        <v>240</v>
      </c>
      <c r="CQ55" s="536">
        <v>240</v>
      </c>
      <c r="CR55" s="536">
        <v>240</v>
      </c>
      <c r="CS55" s="536">
        <v>240</v>
      </c>
      <c r="CT55" s="536">
        <v>240</v>
      </c>
      <c r="CU55" s="536">
        <v>240</v>
      </c>
      <c r="CV55" s="536">
        <v>240</v>
      </c>
      <c r="CW55" s="536">
        <v>240</v>
      </c>
      <c r="CX55" s="536">
        <v>240</v>
      </c>
      <c r="CY55" s="536">
        <v>240</v>
      </c>
      <c r="CZ55" s="536">
        <v>240</v>
      </c>
      <c r="DA55" s="536">
        <v>240</v>
      </c>
      <c r="DB55" s="536">
        <v>240</v>
      </c>
      <c r="DC55" s="536">
        <v>240</v>
      </c>
      <c r="DD55" s="536">
        <v>240</v>
      </c>
      <c r="DE55" s="536">
        <v>240</v>
      </c>
      <c r="DF55" s="536">
        <v>240</v>
      </c>
      <c r="DG55" s="536">
        <v>240</v>
      </c>
      <c r="DH55" s="536">
        <v>240</v>
      </c>
    </row>
    <row r="56" spans="2:112">
      <c r="B56" t="s">
        <v>950</v>
      </c>
      <c r="C56" t="s">
        <v>728</v>
      </c>
      <c r="D56" t="s">
        <v>883</v>
      </c>
      <c r="E56" t="s">
        <v>884</v>
      </c>
      <c r="F56" s="525">
        <v>18</v>
      </c>
      <c r="G56" s="525">
        <v>18</v>
      </c>
      <c r="H56" s="525">
        <v>18</v>
      </c>
      <c r="I56" s="525">
        <v>18</v>
      </c>
      <c r="J56" s="525">
        <v>18</v>
      </c>
      <c r="K56" s="525">
        <v>18</v>
      </c>
      <c r="L56" s="525">
        <v>18</v>
      </c>
      <c r="M56" s="525">
        <v>18</v>
      </c>
      <c r="N56" s="525">
        <v>18</v>
      </c>
      <c r="O56" s="525">
        <v>18</v>
      </c>
      <c r="P56" s="525">
        <v>18</v>
      </c>
      <c r="Q56" s="525">
        <v>18</v>
      </c>
      <c r="R56" s="525">
        <v>18</v>
      </c>
      <c r="S56" s="525">
        <v>18</v>
      </c>
      <c r="T56" s="525">
        <v>18</v>
      </c>
      <c r="U56" s="525">
        <v>18</v>
      </c>
      <c r="V56" s="525">
        <v>18</v>
      </c>
      <c r="W56" s="525">
        <v>18</v>
      </c>
      <c r="X56" s="525">
        <v>18</v>
      </c>
      <c r="Y56" s="525">
        <v>18</v>
      </c>
      <c r="Z56" s="525">
        <v>18</v>
      </c>
      <c r="AA56" s="525">
        <v>18</v>
      </c>
      <c r="AB56" s="525">
        <v>18</v>
      </c>
      <c r="AC56" s="525">
        <v>18</v>
      </c>
      <c r="AD56" s="525">
        <v>18</v>
      </c>
      <c r="AE56" s="525">
        <v>18</v>
      </c>
      <c r="AF56" s="525">
        <v>18</v>
      </c>
      <c r="AG56" s="525">
        <v>18</v>
      </c>
      <c r="AH56" s="526">
        <f t="shared" si="66"/>
        <v>18</v>
      </c>
      <c r="AI56" s="526">
        <f t="shared" si="66"/>
        <v>18</v>
      </c>
      <c r="AJ56" s="526">
        <f t="shared" si="66"/>
        <v>18</v>
      </c>
      <c r="AK56" s="526">
        <f t="shared" si="66"/>
        <v>18</v>
      </c>
      <c r="AL56" s="526">
        <f t="shared" si="66"/>
        <v>18</v>
      </c>
      <c r="AM56" s="526">
        <f t="shared" si="66"/>
        <v>18</v>
      </c>
      <c r="AN56" s="526">
        <f t="shared" si="66"/>
        <v>18</v>
      </c>
      <c r="AO56" s="526">
        <f t="shared" si="66"/>
        <v>18</v>
      </c>
      <c r="AP56" s="526">
        <f t="shared" si="66"/>
        <v>18</v>
      </c>
      <c r="AQ56" s="526">
        <f t="shared" si="66"/>
        <v>18</v>
      </c>
      <c r="AR56" s="526">
        <f t="shared" si="66"/>
        <v>18</v>
      </c>
      <c r="AS56" s="526">
        <f t="shared" si="66"/>
        <v>18</v>
      </c>
      <c r="AT56" s="526">
        <f t="shared" si="66"/>
        <v>18</v>
      </c>
      <c r="AU56" s="526">
        <f t="shared" si="66"/>
        <v>18</v>
      </c>
      <c r="AV56" s="526">
        <f t="shared" si="66"/>
        <v>18</v>
      </c>
      <c r="AW56" s="526">
        <f t="shared" si="66"/>
        <v>18</v>
      </c>
      <c r="AX56" s="526">
        <f t="shared" si="65"/>
        <v>18</v>
      </c>
      <c r="AY56" s="526">
        <f t="shared" si="65"/>
        <v>18</v>
      </c>
      <c r="AZ56" s="526">
        <f t="shared" si="65"/>
        <v>18</v>
      </c>
      <c r="BA56" s="526">
        <f t="shared" si="65"/>
        <v>18</v>
      </c>
      <c r="BB56" s="526">
        <f t="shared" si="65"/>
        <v>18</v>
      </c>
      <c r="BC56" s="526">
        <f t="shared" si="65"/>
        <v>18</v>
      </c>
      <c r="BD56" s="526">
        <f t="shared" si="65"/>
        <v>18</v>
      </c>
      <c r="BE56" s="526">
        <f t="shared" si="65"/>
        <v>18</v>
      </c>
      <c r="BF56" s="526">
        <f t="shared" si="65"/>
        <v>18</v>
      </c>
      <c r="BG56" s="526">
        <f t="shared" si="65"/>
        <v>18</v>
      </c>
      <c r="BH56" s="526">
        <f t="shared" si="65"/>
        <v>18</v>
      </c>
      <c r="BI56" s="526">
        <f t="shared" si="65"/>
        <v>18</v>
      </c>
      <c r="BJ56" s="526">
        <f t="shared" si="65"/>
        <v>18</v>
      </c>
      <c r="BK56" s="526">
        <f t="shared" si="65"/>
        <v>18</v>
      </c>
      <c r="BL56" s="526">
        <f t="shared" si="65"/>
        <v>18</v>
      </c>
      <c r="BM56" s="526">
        <f t="shared" si="65"/>
        <v>18</v>
      </c>
      <c r="BN56" s="526">
        <f t="shared" si="65"/>
        <v>18</v>
      </c>
      <c r="BO56" s="526">
        <f t="shared" si="65"/>
        <v>18</v>
      </c>
      <c r="BP56" s="526">
        <f t="shared" si="65"/>
        <v>18</v>
      </c>
      <c r="BQ56" s="526">
        <f t="shared" si="65"/>
        <v>18</v>
      </c>
      <c r="BR56" s="526">
        <f t="shared" si="65"/>
        <v>18</v>
      </c>
      <c r="BS56" s="526">
        <f t="shared" si="65"/>
        <v>18</v>
      </c>
      <c r="BT56" s="526">
        <f t="shared" si="65"/>
        <v>18</v>
      </c>
      <c r="BU56" s="526">
        <f t="shared" si="65"/>
        <v>18</v>
      </c>
      <c r="BV56" s="526">
        <f t="shared" si="65"/>
        <v>18</v>
      </c>
      <c r="BW56" s="526">
        <f t="shared" si="65"/>
        <v>18</v>
      </c>
      <c r="BX56" s="526">
        <f t="shared" si="65"/>
        <v>18</v>
      </c>
      <c r="BY56" s="526">
        <f t="shared" si="65"/>
        <v>18</v>
      </c>
      <c r="BZ56" s="526">
        <f t="shared" si="65"/>
        <v>18</v>
      </c>
      <c r="CA56" s="526">
        <f t="shared" si="65"/>
        <v>18</v>
      </c>
      <c r="CB56" s="526">
        <f t="shared" si="65"/>
        <v>18</v>
      </c>
      <c r="CC56" s="526">
        <f t="shared" si="65"/>
        <v>18</v>
      </c>
      <c r="CD56" s="526">
        <f t="shared" si="65"/>
        <v>18</v>
      </c>
      <c r="CE56" s="526">
        <f t="shared" si="65"/>
        <v>18</v>
      </c>
      <c r="CG56" s="536">
        <v>18</v>
      </c>
      <c r="CH56" s="536">
        <v>18</v>
      </c>
      <c r="CI56" s="536">
        <v>18</v>
      </c>
      <c r="CJ56" s="536">
        <v>18</v>
      </c>
      <c r="CK56" s="536">
        <v>18</v>
      </c>
      <c r="CL56" s="536">
        <v>18</v>
      </c>
      <c r="CM56" s="536">
        <v>18</v>
      </c>
      <c r="CN56" s="536">
        <v>18</v>
      </c>
      <c r="CO56" s="536">
        <v>18</v>
      </c>
      <c r="CP56" s="536">
        <v>18</v>
      </c>
      <c r="CQ56" s="536">
        <v>18</v>
      </c>
      <c r="CR56" s="536">
        <v>18</v>
      </c>
      <c r="CS56" s="536">
        <v>18</v>
      </c>
      <c r="CT56" s="536">
        <v>18</v>
      </c>
      <c r="CU56" s="536">
        <v>18</v>
      </c>
      <c r="CV56" s="536">
        <v>18</v>
      </c>
      <c r="CW56" s="536">
        <v>18</v>
      </c>
      <c r="CX56" s="536">
        <v>18</v>
      </c>
      <c r="CY56" s="536">
        <v>18</v>
      </c>
      <c r="CZ56" s="536">
        <v>18</v>
      </c>
      <c r="DA56" s="536">
        <v>18</v>
      </c>
      <c r="DB56" s="536">
        <v>18</v>
      </c>
      <c r="DC56" s="536">
        <v>18</v>
      </c>
      <c r="DD56" s="536">
        <v>18</v>
      </c>
      <c r="DE56" s="536">
        <v>18</v>
      </c>
      <c r="DF56" s="536">
        <v>18</v>
      </c>
      <c r="DG56" s="536">
        <v>18</v>
      </c>
      <c r="DH56" s="536">
        <v>18</v>
      </c>
    </row>
    <row r="57" spans="2:112">
      <c r="B57" t="s">
        <v>951</v>
      </c>
      <c r="C57" t="s">
        <v>728</v>
      </c>
      <c r="D57" t="s">
        <v>886</v>
      </c>
      <c r="E57" t="s">
        <v>178</v>
      </c>
      <c r="F57" s="537">
        <v>0.51</v>
      </c>
      <c r="G57" s="537">
        <v>0.51</v>
      </c>
      <c r="H57" s="537">
        <v>0.51</v>
      </c>
      <c r="I57" s="537">
        <v>0.51</v>
      </c>
      <c r="J57" s="537">
        <v>0.51</v>
      </c>
      <c r="K57" s="537">
        <v>0.51</v>
      </c>
      <c r="L57" s="537">
        <v>0.51</v>
      </c>
      <c r="M57" s="537">
        <v>0.51</v>
      </c>
      <c r="N57" s="537">
        <v>0.51</v>
      </c>
      <c r="O57" s="537">
        <v>0.51</v>
      </c>
      <c r="P57" s="537">
        <v>0.51</v>
      </c>
      <c r="Q57" s="537">
        <v>0.51</v>
      </c>
      <c r="R57" s="537">
        <v>0.51</v>
      </c>
      <c r="S57" s="537">
        <v>0.51</v>
      </c>
      <c r="T57" s="537">
        <v>0.51</v>
      </c>
      <c r="U57" s="537">
        <v>0.51</v>
      </c>
      <c r="V57" s="537">
        <v>0.51</v>
      </c>
      <c r="W57" s="537">
        <v>0.51</v>
      </c>
      <c r="X57" s="537">
        <v>0.51</v>
      </c>
      <c r="Y57" s="537">
        <v>0.51</v>
      </c>
      <c r="Z57" s="537">
        <v>0.51</v>
      </c>
      <c r="AA57" s="537">
        <v>0.51</v>
      </c>
      <c r="AB57" s="537">
        <v>0.51</v>
      </c>
      <c r="AC57" s="537">
        <v>0.51</v>
      </c>
      <c r="AD57" s="537">
        <v>0.51</v>
      </c>
      <c r="AE57" s="537">
        <v>0.51</v>
      </c>
      <c r="AF57" s="537">
        <v>0.51</v>
      </c>
      <c r="AG57" s="537">
        <v>0.51</v>
      </c>
      <c r="AH57" s="526">
        <f t="shared" si="66"/>
        <v>0.51</v>
      </c>
      <c r="AI57" s="526">
        <f t="shared" si="66"/>
        <v>0.51</v>
      </c>
      <c r="AJ57" s="526">
        <f t="shared" si="66"/>
        <v>0.51</v>
      </c>
      <c r="AK57" s="526">
        <f t="shared" si="66"/>
        <v>0.51</v>
      </c>
      <c r="AL57" s="526">
        <f t="shared" si="66"/>
        <v>0.51</v>
      </c>
      <c r="AM57" s="526">
        <f t="shared" si="66"/>
        <v>0.51</v>
      </c>
      <c r="AN57" s="526">
        <f t="shared" si="66"/>
        <v>0.51</v>
      </c>
      <c r="AO57" s="526">
        <f t="shared" si="66"/>
        <v>0.51</v>
      </c>
      <c r="AP57" s="526">
        <f t="shared" si="66"/>
        <v>0.51</v>
      </c>
      <c r="AQ57" s="526">
        <f t="shared" si="66"/>
        <v>0.51</v>
      </c>
      <c r="AR57" s="526">
        <f t="shared" si="66"/>
        <v>0.51</v>
      </c>
      <c r="AS57" s="526">
        <f t="shared" si="66"/>
        <v>0.51</v>
      </c>
      <c r="AT57" s="526">
        <f t="shared" si="66"/>
        <v>0.51</v>
      </c>
      <c r="AU57" s="526">
        <f t="shared" si="66"/>
        <v>0.51</v>
      </c>
      <c r="AV57" s="526">
        <f t="shared" si="66"/>
        <v>0.51</v>
      </c>
      <c r="AW57" s="526">
        <f t="shared" si="66"/>
        <v>0.51</v>
      </c>
      <c r="AX57" s="526">
        <f t="shared" si="65"/>
        <v>0.51</v>
      </c>
      <c r="AY57" s="526">
        <f t="shared" si="65"/>
        <v>0.51</v>
      </c>
      <c r="AZ57" s="526">
        <f t="shared" si="65"/>
        <v>0.51</v>
      </c>
      <c r="BA57" s="526">
        <f t="shared" si="65"/>
        <v>0.51</v>
      </c>
      <c r="BB57" s="526">
        <f t="shared" si="65"/>
        <v>0.51</v>
      </c>
      <c r="BC57" s="526">
        <f t="shared" si="65"/>
        <v>0.51</v>
      </c>
      <c r="BD57" s="526">
        <f t="shared" si="65"/>
        <v>0.51</v>
      </c>
      <c r="BE57" s="526">
        <f t="shared" si="65"/>
        <v>0.51</v>
      </c>
      <c r="BF57" s="526">
        <f t="shared" si="65"/>
        <v>0.51</v>
      </c>
      <c r="BG57" s="526">
        <f t="shared" si="65"/>
        <v>0.51</v>
      </c>
      <c r="BH57" s="526">
        <f t="shared" si="65"/>
        <v>0.51</v>
      </c>
      <c r="BI57" s="526">
        <f t="shared" si="65"/>
        <v>0.51</v>
      </c>
      <c r="BJ57" s="526">
        <f t="shared" si="65"/>
        <v>0.51</v>
      </c>
      <c r="BK57" s="526">
        <f t="shared" si="65"/>
        <v>0.51</v>
      </c>
      <c r="BL57" s="526">
        <f t="shared" si="65"/>
        <v>0.51</v>
      </c>
      <c r="BM57" s="526">
        <f t="shared" si="65"/>
        <v>0.51</v>
      </c>
      <c r="BN57" s="526">
        <f t="shared" si="65"/>
        <v>0.51</v>
      </c>
      <c r="BO57" s="526">
        <f t="shared" si="65"/>
        <v>0.51</v>
      </c>
      <c r="BP57" s="526">
        <f t="shared" si="65"/>
        <v>0.51</v>
      </c>
      <c r="BQ57" s="526">
        <f t="shared" si="65"/>
        <v>0.51</v>
      </c>
      <c r="BR57" s="526">
        <f t="shared" si="65"/>
        <v>0.51</v>
      </c>
      <c r="BS57" s="526">
        <f t="shared" si="65"/>
        <v>0.51</v>
      </c>
      <c r="BT57" s="526">
        <f t="shared" si="65"/>
        <v>0.51</v>
      </c>
      <c r="BU57" s="526">
        <f t="shared" si="65"/>
        <v>0.51</v>
      </c>
      <c r="BV57" s="526">
        <f t="shared" si="65"/>
        <v>0.51</v>
      </c>
      <c r="BW57" s="526">
        <f t="shared" si="65"/>
        <v>0.51</v>
      </c>
      <c r="BX57" s="526">
        <f t="shared" si="65"/>
        <v>0.51</v>
      </c>
      <c r="BY57" s="526">
        <f t="shared" si="65"/>
        <v>0.51</v>
      </c>
      <c r="BZ57" s="526">
        <f t="shared" si="65"/>
        <v>0.51</v>
      </c>
      <c r="CA57" s="526">
        <f t="shared" si="65"/>
        <v>0.51</v>
      </c>
      <c r="CB57" s="526">
        <f t="shared" si="65"/>
        <v>0.51</v>
      </c>
      <c r="CC57" s="526">
        <f t="shared" si="65"/>
        <v>0.51</v>
      </c>
      <c r="CD57" s="526">
        <f t="shared" si="65"/>
        <v>0.51</v>
      </c>
      <c r="CE57" s="526">
        <f t="shared" si="65"/>
        <v>0.51</v>
      </c>
      <c r="CG57" s="537">
        <v>0.51</v>
      </c>
      <c r="CH57" s="537">
        <v>0.51</v>
      </c>
      <c r="CI57" s="537">
        <v>0.51</v>
      </c>
      <c r="CJ57" s="537">
        <v>0.51</v>
      </c>
      <c r="CK57" s="537">
        <v>0.51</v>
      </c>
      <c r="CL57" s="537">
        <v>0.51</v>
      </c>
      <c r="CM57" s="537">
        <v>0.51</v>
      </c>
      <c r="CN57" s="537">
        <v>0.51</v>
      </c>
      <c r="CO57" s="537">
        <v>0.51</v>
      </c>
      <c r="CP57" s="537">
        <v>0.51</v>
      </c>
      <c r="CQ57" s="537">
        <v>0.51</v>
      </c>
      <c r="CR57" s="537">
        <v>0.51</v>
      </c>
      <c r="CS57" s="537">
        <v>0.51</v>
      </c>
      <c r="CT57" s="537">
        <v>0.51</v>
      </c>
      <c r="CU57" s="537">
        <v>0.51</v>
      </c>
      <c r="CV57" s="537">
        <v>0.51</v>
      </c>
      <c r="CW57" s="537">
        <v>0.51</v>
      </c>
      <c r="CX57" s="537">
        <v>0.51</v>
      </c>
      <c r="CY57" s="537">
        <v>0.51</v>
      </c>
      <c r="CZ57" s="537">
        <v>0.51</v>
      </c>
      <c r="DA57" s="537">
        <v>0.51</v>
      </c>
      <c r="DB57" s="537">
        <v>0.51</v>
      </c>
      <c r="DC57" s="537">
        <v>0.51</v>
      </c>
      <c r="DD57" s="537">
        <v>0.51</v>
      </c>
      <c r="DE57" s="537">
        <v>0.51</v>
      </c>
      <c r="DF57" s="537">
        <v>0.51</v>
      </c>
      <c r="DG57" s="537">
        <v>0.51</v>
      </c>
      <c r="DH57" s="537">
        <v>0.51</v>
      </c>
    </row>
    <row r="58" spans="2:112">
      <c r="B58" t="s">
        <v>952</v>
      </c>
      <c r="C58" t="s">
        <v>728</v>
      </c>
      <c r="D58" t="s">
        <v>888</v>
      </c>
      <c r="E58" t="s">
        <v>178</v>
      </c>
      <c r="F58" s="537">
        <v>0.51</v>
      </c>
      <c r="G58" s="537">
        <v>0.51</v>
      </c>
      <c r="H58" s="537">
        <v>0.51</v>
      </c>
      <c r="I58" s="537">
        <v>0.51</v>
      </c>
      <c r="J58" s="537">
        <v>0.51</v>
      </c>
      <c r="K58" s="537">
        <v>0.51</v>
      </c>
      <c r="L58" s="537">
        <v>0.51</v>
      </c>
      <c r="M58" s="537">
        <v>0.51</v>
      </c>
      <c r="N58" s="537">
        <v>0.51</v>
      </c>
      <c r="O58" s="537">
        <v>0.51</v>
      </c>
      <c r="P58" s="537">
        <v>0.51</v>
      </c>
      <c r="Q58" s="537">
        <v>0.51</v>
      </c>
      <c r="R58" s="537">
        <v>0.51</v>
      </c>
      <c r="S58" s="537">
        <v>0.51</v>
      </c>
      <c r="T58" s="537">
        <v>0.51</v>
      </c>
      <c r="U58" s="537">
        <v>0.51</v>
      </c>
      <c r="V58" s="537">
        <v>0.51</v>
      </c>
      <c r="W58" s="537">
        <v>0.51</v>
      </c>
      <c r="X58" s="537">
        <v>0.51</v>
      </c>
      <c r="Y58" s="537">
        <v>0.51</v>
      </c>
      <c r="Z58" s="537">
        <v>0.51</v>
      </c>
      <c r="AA58" s="537">
        <v>0.51</v>
      </c>
      <c r="AB58" s="537">
        <v>0.51</v>
      </c>
      <c r="AC58" s="537">
        <v>0.51</v>
      </c>
      <c r="AD58" s="537">
        <v>0.51</v>
      </c>
      <c r="AE58" s="537">
        <v>0.51</v>
      </c>
      <c r="AF58" s="537">
        <v>0.51</v>
      </c>
      <c r="AG58" s="537">
        <v>0.51</v>
      </c>
      <c r="AH58" s="526">
        <f t="shared" si="66"/>
        <v>0.51</v>
      </c>
      <c r="AI58" s="526">
        <f t="shared" si="66"/>
        <v>0.51</v>
      </c>
      <c r="AJ58" s="526">
        <f t="shared" si="66"/>
        <v>0.51</v>
      </c>
      <c r="AK58" s="526">
        <f t="shared" si="66"/>
        <v>0.51</v>
      </c>
      <c r="AL58" s="526">
        <f t="shared" si="66"/>
        <v>0.51</v>
      </c>
      <c r="AM58" s="526">
        <f t="shared" si="66"/>
        <v>0.51</v>
      </c>
      <c r="AN58" s="526">
        <f t="shared" si="66"/>
        <v>0.51</v>
      </c>
      <c r="AO58" s="526">
        <f t="shared" si="66"/>
        <v>0.51</v>
      </c>
      <c r="AP58" s="526">
        <f t="shared" si="66"/>
        <v>0.51</v>
      </c>
      <c r="AQ58" s="526">
        <f t="shared" si="66"/>
        <v>0.51</v>
      </c>
      <c r="AR58" s="526">
        <f t="shared" si="66"/>
        <v>0.51</v>
      </c>
      <c r="AS58" s="526">
        <f t="shared" si="66"/>
        <v>0.51</v>
      </c>
      <c r="AT58" s="526">
        <f t="shared" si="66"/>
        <v>0.51</v>
      </c>
      <c r="AU58" s="526">
        <f t="shared" si="66"/>
        <v>0.51</v>
      </c>
      <c r="AV58" s="526">
        <f t="shared" si="66"/>
        <v>0.51</v>
      </c>
      <c r="AW58" s="526">
        <f t="shared" si="66"/>
        <v>0.51</v>
      </c>
      <c r="AX58" s="526">
        <f t="shared" si="65"/>
        <v>0.51</v>
      </c>
      <c r="AY58" s="526">
        <f t="shared" si="65"/>
        <v>0.51</v>
      </c>
      <c r="AZ58" s="526">
        <f t="shared" si="65"/>
        <v>0.51</v>
      </c>
      <c r="BA58" s="526">
        <f t="shared" si="65"/>
        <v>0.51</v>
      </c>
      <c r="BB58" s="526">
        <f t="shared" si="65"/>
        <v>0.51</v>
      </c>
      <c r="BC58" s="526">
        <f t="shared" si="65"/>
        <v>0.51</v>
      </c>
      <c r="BD58" s="526">
        <f t="shared" si="65"/>
        <v>0.51</v>
      </c>
      <c r="BE58" s="526">
        <f t="shared" si="65"/>
        <v>0.51</v>
      </c>
      <c r="BF58" s="526">
        <f t="shared" si="65"/>
        <v>0.51</v>
      </c>
      <c r="BG58" s="526">
        <f t="shared" si="65"/>
        <v>0.51</v>
      </c>
      <c r="BH58" s="526">
        <f t="shared" si="65"/>
        <v>0.51</v>
      </c>
      <c r="BI58" s="526">
        <f t="shared" si="65"/>
        <v>0.51</v>
      </c>
      <c r="BJ58" s="526">
        <f t="shared" si="65"/>
        <v>0.51</v>
      </c>
      <c r="BK58" s="526">
        <f t="shared" si="65"/>
        <v>0.51</v>
      </c>
      <c r="BL58" s="526">
        <f t="shared" si="65"/>
        <v>0.51</v>
      </c>
      <c r="BM58" s="526">
        <f t="shared" si="65"/>
        <v>0.51</v>
      </c>
      <c r="BN58" s="526">
        <f t="shared" si="65"/>
        <v>0.51</v>
      </c>
      <c r="BO58" s="526">
        <f t="shared" si="65"/>
        <v>0.51</v>
      </c>
      <c r="BP58" s="526">
        <f t="shared" si="65"/>
        <v>0.51</v>
      </c>
      <c r="BQ58" s="526">
        <f t="shared" si="65"/>
        <v>0.51</v>
      </c>
      <c r="BR58" s="526">
        <f t="shared" si="65"/>
        <v>0.51</v>
      </c>
      <c r="BS58" s="526">
        <f t="shared" si="65"/>
        <v>0.51</v>
      </c>
      <c r="BT58" s="526">
        <f t="shared" si="65"/>
        <v>0.51</v>
      </c>
      <c r="BU58" s="526">
        <f t="shared" si="65"/>
        <v>0.51</v>
      </c>
      <c r="BV58" s="526">
        <f t="shared" si="65"/>
        <v>0.51</v>
      </c>
      <c r="BW58" s="526">
        <f t="shared" si="65"/>
        <v>0.51</v>
      </c>
      <c r="BX58" s="526">
        <f t="shared" si="65"/>
        <v>0.51</v>
      </c>
      <c r="BY58" s="526">
        <f t="shared" si="65"/>
        <v>0.51</v>
      </c>
      <c r="BZ58" s="526">
        <f t="shared" si="65"/>
        <v>0.51</v>
      </c>
      <c r="CA58" s="526">
        <f t="shared" si="65"/>
        <v>0.51</v>
      </c>
      <c r="CB58" s="526">
        <f t="shared" si="65"/>
        <v>0.51</v>
      </c>
      <c r="CC58" s="526">
        <f t="shared" si="65"/>
        <v>0.51</v>
      </c>
      <c r="CD58" s="526">
        <f t="shared" si="65"/>
        <v>0.51</v>
      </c>
      <c r="CE58" s="526">
        <f t="shared" si="65"/>
        <v>0.51</v>
      </c>
      <c r="CG58" s="537">
        <v>0.51</v>
      </c>
      <c r="CH58" s="537">
        <v>0.51</v>
      </c>
      <c r="CI58" s="537">
        <v>0.51</v>
      </c>
      <c r="CJ58" s="537">
        <v>0.51</v>
      </c>
      <c r="CK58" s="537">
        <v>0.51</v>
      </c>
      <c r="CL58" s="537">
        <v>0.51</v>
      </c>
      <c r="CM58" s="537">
        <v>0.51</v>
      </c>
      <c r="CN58" s="537">
        <v>0.51</v>
      </c>
      <c r="CO58" s="537">
        <v>0.51</v>
      </c>
      <c r="CP58" s="537">
        <v>0.51</v>
      </c>
      <c r="CQ58" s="537">
        <v>0.51</v>
      </c>
      <c r="CR58" s="537">
        <v>0.51</v>
      </c>
      <c r="CS58" s="537">
        <v>0.51</v>
      </c>
      <c r="CT58" s="537">
        <v>0.51</v>
      </c>
      <c r="CU58" s="537">
        <v>0.51</v>
      </c>
      <c r="CV58" s="537">
        <v>0.51</v>
      </c>
      <c r="CW58" s="537">
        <v>0.51</v>
      </c>
      <c r="CX58" s="537">
        <v>0.51</v>
      </c>
      <c r="CY58" s="537">
        <v>0.51</v>
      </c>
      <c r="CZ58" s="537">
        <v>0.51</v>
      </c>
      <c r="DA58" s="537">
        <v>0.51</v>
      </c>
      <c r="DB58" s="537">
        <v>0.51</v>
      </c>
      <c r="DC58" s="537">
        <v>0.51</v>
      </c>
      <c r="DD58" s="537">
        <v>0.51</v>
      </c>
      <c r="DE58" s="537">
        <v>0.51</v>
      </c>
      <c r="DF58" s="537">
        <v>0.51</v>
      </c>
      <c r="DG58" s="537">
        <v>0.51</v>
      </c>
      <c r="DH58" s="537">
        <v>0.51</v>
      </c>
    </row>
    <row r="59" spans="2:112">
      <c r="B59" t="s">
        <v>953</v>
      </c>
      <c r="C59" t="s">
        <v>728</v>
      </c>
      <c r="D59" t="s">
        <v>890</v>
      </c>
      <c r="E59" t="s">
        <v>178</v>
      </c>
      <c r="F59" s="537">
        <v>0.51</v>
      </c>
      <c r="G59" s="537">
        <v>0.51</v>
      </c>
      <c r="H59" s="537">
        <v>0.51</v>
      </c>
      <c r="I59" s="537">
        <v>0.51</v>
      </c>
      <c r="J59" s="537">
        <v>0.51</v>
      </c>
      <c r="K59" s="537">
        <v>0.51</v>
      </c>
      <c r="L59" s="537">
        <v>0.51</v>
      </c>
      <c r="M59" s="537">
        <v>0.51</v>
      </c>
      <c r="N59" s="537">
        <v>0.51</v>
      </c>
      <c r="O59" s="537">
        <v>0.51</v>
      </c>
      <c r="P59" s="537">
        <v>0.51</v>
      </c>
      <c r="Q59" s="537">
        <v>0.51</v>
      </c>
      <c r="R59" s="537">
        <v>0.51</v>
      </c>
      <c r="S59" s="537">
        <v>0.51</v>
      </c>
      <c r="T59" s="537">
        <v>0.51</v>
      </c>
      <c r="U59" s="537">
        <v>0.51</v>
      </c>
      <c r="V59" s="537">
        <v>0.51</v>
      </c>
      <c r="W59" s="537">
        <v>0.51</v>
      </c>
      <c r="X59" s="537">
        <v>0.51</v>
      </c>
      <c r="Y59" s="537">
        <v>0.51</v>
      </c>
      <c r="Z59" s="537">
        <v>0.51</v>
      </c>
      <c r="AA59" s="537">
        <v>0.51</v>
      </c>
      <c r="AB59" s="537">
        <v>0.51</v>
      </c>
      <c r="AC59" s="537">
        <v>0.51</v>
      </c>
      <c r="AD59" s="537">
        <v>0.51</v>
      </c>
      <c r="AE59" s="537">
        <v>0.51</v>
      </c>
      <c r="AF59" s="537">
        <v>0.51</v>
      </c>
      <c r="AG59" s="537">
        <v>0.51</v>
      </c>
      <c r="AH59" s="526">
        <f t="shared" si="66"/>
        <v>0.51</v>
      </c>
      <c r="AI59" s="526">
        <f t="shared" si="66"/>
        <v>0.51</v>
      </c>
      <c r="AJ59" s="526">
        <f t="shared" si="66"/>
        <v>0.51</v>
      </c>
      <c r="AK59" s="526">
        <f t="shared" si="66"/>
        <v>0.51</v>
      </c>
      <c r="AL59" s="526">
        <f t="shared" si="66"/>
        <v>0.51</v>
      </c>
      <c r="AM59" s="526">
        <f t="shared" si="66"/>
        <v>0.51</v>
      </c>
      <c r="AN59" s="526">
        <f t="shared" si="66"/>
        <v>0.51</v>
      </c>
      <c r="AO59" s="526">
        <f t="shared" si="66"/>
        <v>0.51</v>
      </c>
      <c r="AP59" s="526">
        <f t="shared" si="66"/>
        <v>0.51</v>
      </c>
      <c r="AQ59" s="526">
        <f t="shared" si="66"/>
        <v>0.51</v>
      </c>
      <c r="AR59" s="526">
        <f t="shared" si="66"/>
        <v>0.51</v>
      </c>
      <c r="AS59" s="526">
        <f t="shared" si="66"/>
        <v>0.51</v>
      </c>
      <c r="AT59" s="526">
        <f t="shared" si="66"/>
        <v>0.51</v>
      </c>
      <c r="AU59" s="526">
        <f t="shared" si="66"/>
        <v>0.51</v>
      </c>
      <c r="AV59" s="526">
        <f t="shared" si="66"/>
        <v>0.51</v>
      </c>
      <c r="AW59" s="526">
        <f t="shared" si="66"/>
        <v>0.51</v>
      </c>
      <c r="AX59" s="526">
        <f t="shared" si="65"/>
        <v>0.51</v>
      </c>
      <c r="AY59" s="526">
        <f t="shared" si="65"/>
        <v>0.51</v>
      </c>
      <c r="AZ59" s="526">
        <f t="shared" si="65"/>
        <v>0.51</v>
      </c>
      <c r="BA59" s="526">
        <f t="shared" si="65"/>
        <v>0.51</v>
      </c>
      <c r="BB59" s="526">
        <f t="shared" si="65"/>
        <v>0.51</v>
      </c>
      <c r="BC59" s="526">
        <f t="shared" si="65"/>
        <v>0.51</v>
      </c>
      <c r="BD59" s="526">
        <f t="shared" si="65"/>
        <v>0.51</v>
      </c>
      <c r="BE59" s="526">
        <f t="shared" si="65"/>
        <v>0.51</v>
      </c>
      <c r="BF59" s="526">
        <f t="shared" si="65"/>
        <v>0.51</v>
      </c>
      <c r="BG59" s="526">
        <f t="shared" si="65"/>
        <v>0.51</v>
      </c>
      <c r="BH59" s="526">
        <f t="shared" si="65"/>
        <v>0.51</v>
      </c>
      <c r="BI59" s="526">
        <f t="shared" si="65"/>
        <v>0.51</v>
      </c>
      <c r="BJ59" s="526">
        <f t="shared" si="65"/>
        <v>0.51</v>
      </c>
      <c r="BK59" s="526">
        <f t="shared" si="65"/>
        <v>0.51</v>
      </c>
      <c r="BL59" s="526">
        <f t="shared" si="65"/>
        <v>0.51</v>
      </c>
      <c r="BM59" s="526">
        <f t="shared" si="65"/>
        <v>0.51</v>
      </c>
      <c r="BN59" s="526">
        <f t="shared" si="65"/>
        <v>0.51</v>
      </c>
      <c r="BO59" s="526">
        <f t="shared" si="65"/>
        <v>0.51</v>
      </c>
      <c r="BP59" s="526">
        <f t="shared" si="65"/>
        <v>0.51</v>
      </c>
      <c r="BQ59" s="526">
        <f t="shared" si="65"/>
        <v>0.51</v>
      </c>
      <c r="BR59" s="526">
        <f t="shared" si="65"/>
        <v>0.51</v>
      </c>
      <c r="BS59" s="526">
        <f t="shared" si="65"/>
        <v>0.51</v>
      </c>
      <c r="BT59" s="526">
        <f t="shared" si="65"/>
        <v>0.51</v>
      </c>
      <c r="BU59" s="526">
        <f t="shared" si="65"/>
        <v>0.51</v>
      </c>
      <c r="BV59" s="526">
        <f t="shared" si="65"/>
        <v>0.51</v>
      </c>
      <c r="BW59" s="526">
        <f t="shared" si="65"/>
        <v>0.51</v>
      </c>
      <c r="BX59" s="526">
        <f t="shared" si="65"/>
        <v>0.51</v>
      </c>
      <c r="BY59" s="526">
        <f t="shared" si="65"/>
        <v>0.51</v>
      </c>
      <c r="BZ59" s="526">
        <f t="shared" si="65"/>
        <v>0.51</v>
      </c>
      <c r="CA59" s="526">
        <f t="shared" si="65"/>
        <v>0.51</v>
      </c>
      <c r="CB59" s="526">
        <f t="shared" si="65"/>
        <v>0.51</v>
      </c>
      <c r="CC59" s="526">
        <f t="shared" si="65"/>
        <v>0.51</v>
      </c>
      <c r="CD59" s="526">
        <f t="shared" si="65"/>
        <v>0.51</v>
      </c>
      <c r="CE59" s="526">
        <f t="shared" si="65"/>
        <v>0.51</v>
      </c>
      <c r="CG59" s="537">
        <v>0.51</v>
      </c>
      <c r="CH59" s="537">
        <v>0.51</v>
      </c>
      <c r="CI59" s="537">
        <v>0.51</v>
      </c>
      <c r="CJ59" s="537">
        <v>0.51</v>
      </c>
      <c r="CK59" s="537">
        <v>0.51</v>
      </c>
      <c r="CL59" s="537">
        <v>0.51</v>
      </c>
      <c r="CM59" s="537">
        <v>0.51</v>
      </c>
      <c r="CN59" s="537">
        <v>0.51</v>
      </c>
      <c r="CO59" s="537">
        <v>0.51</v>
      </c>
      <c r="CP59" s="537">
        <v>0.51</v>
      </c>
      <c r="CQ59" s="537">
        <v>0.51</v>
      </c>
      <c r="CR59" s="537">
        <v>0.51</v>
      </c>
      <c r="CS59" s="537">
        <v>0.51</v>
      </c>
      <c r="CT59" s="537">
        <v>0.51</v>
      </c>
      <c r="CU59" s="537">
        <v>0.51</v>
      </c>
      <c r="CV59" s="537">
        <v>0.51</v>
      </c>
      <c r="CW59" s="537">
        <v>0.51</v>
      </c>
      <c r="CX59" s="537">
        <v>0.51</v>
      </c>
      <c r="CY59" s="537">
        <v>0.51</v>
      </c>
      <c r="CZ59" s="537">
        <v>0.51</v>
      </c>
      <c r="DA59" s="537">
        <v>0.51</v>
      </c>
      <c r="DB59" s="537">
        <v>0.51</v>
      </c>
      <c r="DC59" s="537">
        <v>0.51</v>
      </c>
      <c r="DD59" s="537">
        <v>0.51</v>
      </c>
      <c r="DE59" s="537">
        <v>0.51</v>
      </c>
      <c r="DF59" s="537">
        <v>0.51</v>
      </c>
      <c r="DG59" s="537">
        <v>0.51</v>
      </c>
      <c r="DH59" s="537">
        <v>0.51</v>
      </c>
    </row>
    <row r="60" spans="2:112">
      <c r="B60" t="s">
        <v>954</v>
      </c>
      <c r="C60" t="s">
        <v>728</v>
      </c>
      <c r="D60" t="s">
        <v>892</v>
      </c>
      <c r="E60" t="s">
        <v>178</v>
      </c>
      <c r="F60" s="537">
        <v>0.51</v>
      </c>
      <c r="G60" s="537">
        <v>0.51</v>
      </c>
      <c r="H60" s="537">
        <v>0.51</v>
      </c>
      <c r="I60" s="537">
        <v>0.51</v>
      </c>
      <c r="J60" s="537">
        <v>0.51</v>
      </c>
      <c r="K60" s="537">
        <v>0.51</v>
      </c>
      <c r="L60" s="537">
        <v>0.51</v>
      </c>
      <c r="M60" s="537">
        <v>0.51</v>
      </c>
      <c r="N60" s="537">
        <v>0.51</v>
      </c>
      <c r="O60" s="537">
        <v>0.51</v>
      </c>
      <c r="P60" s="537">
        <v>0.51</v>
      </c>
      <c r="Q60" s="537">
        <v>0.51</v>
      </c>
      <c r="R60" s="537">
        <v>0.51</v>
      </c>
      <c r="S60" s="537">
        <v>0.51</v>
      </c>
      <c r="T60" s="537">
        <v>0.51</v>
      </c>
      <c r="U60" s="537">
        <v>0.51</v>
      </c>
      <c r="V60" s="537">
        <v>0.51</v>
      </c>
      <c r="W60" s="537">
        <v>0.51</v>
      </c>
      <c r="X60" s="537">
        <v>0.51</v>
      </c>
      <c r="Y60" s="537">
        <v>0.51</v>
      </c>
      <c r="Z60" s="537">
        <v>0.51</v>
      </c>
      <c r="AA60" s="537">
        <v>0.51</v>
      </c>
      <c r="AB60" s="537">
        <v>0.51</v>
      </c>
      <c r="AC60" s="537">
        <v>0.51</v>
      </c>
      <c r="AD60" s="537">
        <v>0.51</v>
      </c>
      <c r="AE60" s="537">
        <v>0.51</v>
      </c>
      <c r="AF60" s="537">
        <v>0.51</v>
      </c>
      <c r="AG60" s="537">
        <v>0.51</v>
      </c>
      <c r="AH60" s="526">
        <f t="shared" si="66"/>
        <v>0.51</v>
      </c>
      <c r="AI60" s="526">
        <f t="shared" si="66"/>
        <v>0.51</v>
      </c>
      <c r="AJ60" s="526">
        <f t="shared" si="66"/>
        <v>0.51</v>
      </c>
      <c r="AK60" s="526">
        <f t="shared" si="66"/>
        <v>0.51</v>
      </c>
      <c r="AL60" s="526">
        <f t="shared" si="66"/>
        <v>0.51</v>
      </c>
      <c r="AM60" s="526">
        <f t="shared" si="66"/>
        <v>0.51</v>
      </c>
      <c r="AN60" s="526">
        <f t="shared" si="66"/>
        <v>0.51</v>
      </c>
      <c r="AO60" s="526">
        <f t="shared" si="66"/>
        <v>0.51</v>
      </c>
      <c r="AP60" s="526">
        <f t="shared" si="66"/>
        <v>0.51</v>
      </c>
      <c r="AQ60" s="526">
        <f t="shared" si="66"/>
        <v>0.51</v>
      </c>
      <c r="AR60" s="526">
        <f t="shared" si="66"/>
        <v>0.51</v>
      </c>
      <c r="AS60" s="526">
        <f t="shared" si="66"/>
        <v>0.51</v>
      </c>
      <c r="AT60" s="526">
        <f t="shared" si="66"/>
        <v>0.51</v>
      </c>
      <c r="AU60" s="526">
        <f t="shared" si="66"/>
        <v>0.51</v>
      </c>
      <c r="AV60" s="526">
        <f t="shared" si="66"/>
        <v>0.51</v>
      </c>
      <c r="AW60" s="526">
        <f t="shared" si="66"/>
        <v>0.51</v>
      </c>
      <c r="AX60" s="526">
        <f t="shared" si="65"/>
        <v>0.51</v>
      </c>
      <c r="AY60" s="526">
        <f t="shared" si="65"/>
        <v>0.51</v>
      </c>
      <c r="AZ60" s="526">
        <f t="shared" si="65"/>
        <v>0.51</v>
      </c>
      <c r="BA60" s="526">
        <f t="shared" si="65"/>
        <v>0.51</v>
      </c>
      <c r="BB60" s="526">
        <f t="shared" si="65"/>
        <v>0.51</v>
      </c>
      <c r="BC60" s="526">
        <f t="shared" si="65"/>
        <v>0.51</v>
      </c>
      <c r="BD60" s="526">
        <f t="shared" si="65"/>
        <v>0.51</v>
      </c>
      <c r="BE60" s="526">
        <f t="shared" si="65"/>
        <v>0.51</v>
      </c>
      <c r="BF60" s="526">
        <f t="shared" si="65"/>
        <v>0.51</v>
      </c>
      <c r="BG60" s="526">
        <f t="shared" si="65"/>
        <v>0.51</v>
      </c>
      <c r="BH60" s="526">
        <f t="shared" si="65"/>
        <v>0.51</v>
      </c>
      <c r="BI60" s="526">
        <f t="shared" si="65"/>
        <v>0.51</v>
      </c>
      <c r="BJ60" s="526">
        <f t="shared" si="65"/>
        <v>0.51</v>
      </c>
      <c r="BK60" s="526">
        <f t="shared" si="65"/>
        <v>0.51</v>
      </c>
      <c r="BL60" s="526">
        <f t="shared" si="65"/>
        <v>0.51</v>
      </c>
      <c r="BM60" s="526">
        <f t="shared" si="65"/>
        <v>0.51</v>
      </c>
      <c r="BN60" s="526">
        <f t="shared" si="65"/>
        <v>0.51</v>
      </c>
      <c r="BO60" s="526">
        <f t="shared" si="65"/>
        <v>0.51</v>
      </c>
      <c r="BP60" s="526">
        <f t="shared" si="65"/>
        <v>0.51</v>
      </c>
      <c r="BQ60" s="526">
        <f t="shared" si="65"/>
        <v>0.51</v>
      </c>
      <c r="BR60" s="526">
        <f t="shared" si="65"/>
        <v>0.51</v>
      </c>
      <c r="BS60" s="526">
        <f t="shared" si="65"/>
        <v>0.51</v>
      </c>
      <c r="BT60" s="526">
        <f t="shared" si="65"/>
        <v>0.51</v>
      </c>
      <c r="BU60" s="526">
        <f t="shared" si="65"/>
        <v>0.51</v>
      </c>
      <c r="BV60" s="526">
        <f t="shared" si="65"/>
        <v>0.51</v>
      </c>
      <c r="BW60" s="526">
        <f t="shared" si="65"/>
        <v>0.51</v>
      </c>
      <c r="BX60" s="526">
        <f t="shared" si="65"/>
        <v>0.51</v>
      </c>
      <c r="BY60" s="526">
        <f t="shared" si="65"/>
        <v>0.51</v>
      </c>
      <c r="BZ60" s="526">
        <f t="shared" si="65"/>
        <v>0.51</v>
      </c>
      <c r="CA60" s="526">
        <f t="shared" si="65"/>
        <v>0.51</v>
      </c>
      <c r="CB60" s="526">
        <f t="shared" si="65"/>
        <v>0.51</v>
      </c>
      <c r="CC60" s="526">
        <f t="shared" si="65"/>
        <v>0.51</v>
      </c>
      <c r="CD60" s="526">
        <f t="shared" si="65"/>
        <v>0.51</v>
      </c>
      <c r="CE60" s="526">
        <f t="shared" si="65"/>
        <v>0.51</v>
      </c>
      <c r="CG60" s="537">
        <v>0.51</v>
      </c>
      <c r="CH60" s="537">
        <v>0.51</v>
      </c>
      <c r="CI60" s="537">
        <v>0.51</v>
      </c>
      <c r="CJ60" s="537">
        <v>0.51</v>
      </c>
      <c r="CK60" s="537">
        <v>0.51</v>
      </c>
      <c r="CL60" s="537">
        <v>0.51</v>
      </c>
      <c r="CM60" s="537">
        <v>0.51</v>
      </c>
      <c r="CN60" s="537">
        <v>0.51</v>
      </c>
      <c r="CO60" s="537">
        <v>0.51</v>
      </c>
      <c r="CP60" s="537">
        <v>0.51</v>
      </c>
      <c r="CQ60" s="537">
        <v>0.51</v>
      </c>
      <c r="CR60" s="537">
        <v>0.51</v>
      </c>
      <c r="CS60" s="537">
        <v>0.51</v>
      </c>
      <c r="CT60" s="537">
        <v>0.51</v>
      </c>
      <c r="CU60" s="537">
        <v>0.51</v>
      </c>
      <c r="CV60" s="537">
        <v>0.51</v>
      </c>
      <c r="CW60" s="537">
        <v>0.51</v>
      </c>
      <c r="CX60" s="537">
        <v>0.51</v>
      </c>
      <c r="CY60" s="537">
        <v>0.51</v>
      </c>
      <c r="CZ60" s="537">
        <v>0.51</v>
      </c>
      <c r="DA60" s="537">
        <v>0.51</v>
      </c>
      <c r="DB60" s="537">
        <v>0.51</v>
      </c>
      <c r="DC60" s="537">
        <v>0.51</v>
      </c>
      <c r="DD60" s="537">
        <v>0.51</v>
      </c>
      <c r="DE60" s="537">
        <v>0.51</v>
      </c>
      <c r="DF60" s="537">
        <v>0.51</v>
      </c>
      <c r="DG60" s="537">
        <v>0.51</v>
      </c>
      <c r="DH60" s="537">
        <v>0.51</v>
      </c>
    </row>
    <row r="61" spans="2:112">
      <c r="B61" t="s">
        <v>955</v>
      </c>
      <c r="C61" t="s">
        <v>728</v>
      </c>
      <c r="D61" t="s">
        <v>894</v>
      </c>
      <c r="E61" t="s">
        <v>895</v>
      </c>
      <c r="F61" s="537">
        <v>0</v>
      </c>
      <c r="G61" s="537">
        <v>0</v>
      </c>
      <c r="H61" s="537">
        <v>0</v>
      </c>
      <c r="I61" s="537">
        <v>0</v>
      </c>
      <c r="J61" s="537">
        <v>0</v>
      </c>
      <c r="K61" s="537">
        <v>0</v>
      </c>
      <c r="L61" s="537">
        <v>0</v>
      </c>
      <c r="M61" s="537">
        <v>0</v>
      </c>
      <c r="N61" s="537">
        <v>0</v>
      </c>
      <c r="O61" s="537">
        <v>0</v>
      </c>
      <c r="P61" s="537">
        <v>0</v>
      </c>
      <c r="Q61" s="537">
        <v>0</v>
      </c>
      <c r="R61" s="537">
        <v>0</v>
      </c>
      <c r="S61" s="537">
        <v>0</v>
      </c>
      <c r="T61" s="537">
        <v>0</v>
      </c>
      <c r="U61" s="537">
        <v>0</v>
      </c>
      <c r="V61" s="537">
        <v>0</v>
      </c>
      <c r="W61" s="537">
        <v>0</v>
      </c>
      <c r="X61" s="537">
        <v>0</v>
      </c>
      <c r="Y61" s="537">
        <v>0</v>
      </c>
      <c r="Z61" s="537">
        <v>0</v>
      </c>
      <c r="AA61" s="537">
        <v>0</v>
      </c>
      <c r="AB61" s="537">
        <v>0</v>
      </c>
      <c r="AC61" s="537">
        <v>0</v>
      </c>
      <c r="AD61" s="537">
        <v>0</v>
      </c>
      <c r="AE61" s="537">
        <v>0</v>
      </c>
      <c r="AF61" s="537">
        <v>0</v>
      </c>
      <c r="AG61" s="537">
        <v>0</v>
      </c>
      <c r="AH61" s="538">
        <f t="shared" si="66"/>
        <v>0</v>
      </c>
      <c r="AI61" s="538">
        <f t="shared" si="66"/>
        <v>0</v>
      </c>
      <c r="AJ61" s="538">
        <f t="shared" si="66"/>
        <v>0</v>
      </c>
      <c r="AK61" s="538">
        <f t="shared" si="66"/>
        <v>0</v>
      </c>
      <c r="AL61" s="538">
        <f t="shared" si="66"/>
        <v>0</v>
      </c>
      <c r="AM61" s="538">
        <f t="shared" si="66"/>
        <v>0</v>
      </c>
      <c r="AN61" s="538">
        <f t="shared" si="66"/>
        <v>0</v>
      </c>
      <c r="AO61" s="538">
        <f t="shared" si="66"/>
        <v>0</v>
      </c>
      <c r="AP61" s="538">
        <f t="shared" si="66"/>
        <v>0</v>
      </c>
      <c r="AQ61" s="538">
        <f t="shared" si="66"/>
        <v>0</v>
      </c>
      <c r="AR61" s="538">
        <f t="shared" si="66"/>
        <v>0</v>
      </c>
      <c r="AS61" s="538">
        <f t="shared" si="66"/>
        <v>0</v>
      </c>
      <c r="AT61" s="538">
        <f t="shared" si="66"/>
        <v>0</v>
      </c>
      <c r="AU61" s="538">
        <f t="shared" si="66"/>
        <v>0</v>
      </c>
      <c r="AV61" s="538">
        <f t="shared" si="66"/>
        <v>0</v>
      </c>
      <c r="AW61" s="538">
        <f t="shared" si="66"/>
        <v>0</v>
      </c>
      <c r="AX61" s="538">
        <f t="shared" si="65"/>
        <v>0</v>
      </c>
      <c r="AY61" s="538">
        <f t="shared" si="65"/>
        <v>0</v>
      </c>
      <c r="AZ61" s="538">
        <f t="shared" si="65"/>
        <v>0</v>
      </c>
      <c r="BA61" s="538">
        <f t="shared" si="65"/>
        <v>0</v>
      </c>
      <c r="BB61" s="538">
        <f t="shared" si="65"/>
        <v>0</v>
      </c>
      <c r="BC61" s="538">
        <f t="shared" si="65"/>
        <v>0</v>
      </c>
      <c r="BD61" s="538">
        <f t="shared" si="65"/>
        <v>0</v>
      </c>
      <c r="BE61" s="538">
        <f t="shared" si="65"/>
        <v>0</v>
      </c>
      <c r="BF61" s="538">
        <f t="shared" si="65"/>
        <v>0</v>
      </c>
      <c r="BG61" s="538">
        <f t="shared" si="65"/>
        <v>0</v>
      </c>
      <c r="BH61" s="538">
        <f t="shared" si="65"/>
        <v>0</v>
      </c>
      <c r="BI61" s="538">
        <f t="shared" si="65"/>
        <v>0</v>
      </c>
      <c r="BJ61" s="538">
        <f t="shared" si="65"/>
        <v>0</v>
      </c>
      <c r="BK61" s="538">
        <f t="shared" si="65"/>
        <v>0</v>
      </c>
      <c r="BL61" s="538">
        <f t="shared" si="65"/>
        <v>0</v>
      </c>
      <c r="BM61" s="538">
        <f t="shared" si="65"/>
        <v>0</v>
      </c>
      <c r="BN61" s="538">
        <f t="shared" si="65"/>
        <v>0</v>
      </c>
      <c r="BO61" s="538">
        <f t="shared" si="65"/>
        <v>0</v>
      </c>
      <c r="BP61" s="538">
        <f t="shared" si="65"/>
        <v>0</v>
      </c>
      <c r="BQ61" s="538">
        <f t="shared" si="65"/>
        <v>0</v>
      </c>
      <c r="BR61" s="538">
        <f t="shared" si="65"/>
        <v>0</v>
      </c>
      <c r="BS61" s="538">
        <f t="shared" si="65"/>
        <v>0</v>
      </c>
      <c r="BT61" s="538">
        <f t="shared" si="65"/>
        <v>0</v>
      </c>
      <c r="BU61" s="538">
        <f t="shared" si="65"/>
        <v>0</v>
      </c>
      <c r="BV61" s="538">
        <f t="shared" si="65"/>
        <v>0</v>
      </c>
      <c r="BW61" s="538">
        <f t="shared" si="65"/>
        <v>0</v>
      </c>
      <c r="BX61" s="538">
        <f t="shared" si="65"/>
        <v>0</v>
      </c>
      <c r="BY61" s="538">
        <f t="shared" si="65"/>
        <v>0</v>
      </c>
      <c r="BZ61" s="538">
        <f t="shared" si="65"/>
        <v>0</v>
      </c>
      <c r="CA61" s="538">
        <f t="shared" si="65"/>
        <v>0</v>
      </c>
      <c r="CB61" s="538">
        <f t="shared" si="65"/>
        <v>0</v>
      </c>
      <c r="CC61" s="538">
        <f t="shared" si="65"/>
        <v>0</v>
      </c>
      <c r="CD61" s="538">
        <f t="shared" si="65"/>
        <v>0</v>
      </c>
      <c r="CE61" s="538">
        <f t="shared" si="65"/>
        <v>0</v>
      </c>
      <c r="CG61" s="537">
        <v>0</v>
      </c>
      <c r="CH61" s="537">
        <v>0</v>
      </c>
      <c r="CI61" s="537">
        <v>0</v>
      </c>
      <c r="CJ61" s="537">
        <v>0</v>
      </c>
      <c r="CK61" s="537">
        <v>0</v>
      </c>
      <c r="CL61" s="537">
        <v>0</v>
      </c>
      <c r="CM61" s="537">
        <v>0</v>
      </c>
      <c r="CN61" s="537">
        <v>0</v>
      </c>
      <c r="CO61" s="537">
        <v>0</v>
      </c>
      <c r="CP61" s="537">
        <v>0</v>
      </c>
      <c r="CQ61" s="537">
        <v>0</v>
      </c>
      <c r="CR61" s="537">
        <v>0</v>
      </c>
      <c r="CS61" s="537">
        <v>0</v>
      </c>
      <c r="CT61" s="537">
        <v>0</v>
      </c>
      <c r="CU61" s="537">
        <v>0</v>
      </c>
      <c r="CV61" s="537">
        <v>0</v>
      </c>
      <c r="CW61" s="537">
        <v>0</v>
      </c>
      <c r="CX61" s="537">
        <v>0</v>
      </c>
      <c r="CY61" s="537">
        <v>0</v>
      </c>
      <c r="CZ61" s="537">
        <v>0</v>
      </c>
      <c r="DA61" s="537">
        <v>0</v>
      </c>
      <c r="DB61" s="537">
        <v>0</v>
      </c>
      <c r="DC61" s="537">
        <v>0</v>
      </c>
      <c r="DD61" s="537">
        <v>0</v>
      </c>
      <c r="DE61" s="537">
        <v>0</v>
      </c>
      <c r="DF61" s="537">
        <v>0</v>
      </c>
      <c r="DG61" s="537">
        <v>0</v>
      </c>
      <c r="DH61" s="537">
        <v>0</v>
      </c>
    </row>
    <row r="62" spans="2:112">
      <c r="B62" t="s">
        <v>956</v>
      </c>
      <c r="C62" t="s">
        <v>728</v>
      </c>
      <c r="D62" t="s">
        <v>897</v>
      </c>
      <c r="E62" t="s">
        <v>895</v>
      </c>
      <c r="F62" s="537">
        <v>0.01</v>
      </c>
      <c r="G62" s="537">
        <v>0.01</v>
      </c>
      <c r="H62" s="537">
        <v>0.01</v>
      </c>
      <c r="I62" s="537">
        <v>0.01</v>
      </c>
      <c r="J62" s="537">
        <v>0.01</v>
      </c>
      <c r="K62" s="537">
        <v>0.01</v>
      </c>
      <c r="L62" s="537">
        <v>0.01</v>
      </c>
      <c r="M62" s="537">
        <v>0.01</v>
      </c>
      <c r="N62" s="537">
        <v>0.01</v>
      </c>
      <c r="O62" s="537">
        <v>0.01</v>
      </c>
      <c r="P62" s="537">
        <v>0.01</v>
      </c>
      <c r="Q62" s="537">
        <v>0.01</v>
      </c>
      <c r="R62" s="537">
        <v>0.01</v>
      </c>
      <c r="S62" s="537">
        <v>0.01</v>
      </c>
      <c r="T62" s="537">
        <v>0.01</v>
      </c>
      <c r="U62" s="537">
        <v>0.01</v>
      </c>
      <c r="V62" s="537">
        <v>0.01</v>
      </c>
      <c r="W62" s="537">
        <v>0.01</v>
      </c>
      <c r="X62" s="537">
        <v>0.01</v>
      </c>
      <c r="Y62" s="537">
        <v>0.01</v>
      </c>
      <c r="Z62" s="537">
        <v>0.01</v>
      </c>
      <c r="AA62" s="537">
        <v>0.01</v>
      </c>
      <c r="AB62" s="537">
        <v>0.01</v>
      </c>
      <c r="AC62" s="537">
        <v>0.01</v>
      </c>
      <c r="AD62" s="537">
        <v>0.01</v>
      </c>
      <c r="AE62" s="537">
        <v>0.01</v>
      </c>
      <c r="AF62" s="537">
        <v>0.01</v>
      </c>
      <c r="AG62" s="537">
        <v>0.01</v>
      </c>
      <c r="AH62" s="538">
        <f t="shared" si="66"/>
        <v>0.01</v>
      </c>
      <c r="AI62" s="538">
        <f t="shared" si="66"/>
        <v>0.01</v>
      </c>
      <c r="AJ62" s="538">
        <f t="shared" si="66"/>
        <v>0.01</v>
      </c>
      <c r="AK62" s="538">
        <f t="shared" si="66"/>
        <v>0.01</v>
      </c>
      <c r="AL62" s="538">
        <f t="shared" si="66"/>
        <v>0.01</v>
      </c>
      <c r="AM62" s="538">
        <f t="shared" si="66"/>
        <v>0.01</v>
      </c>
      <c r="AN62" s="538">
        <f t="shared" si="66"/>
        <v>0.01</v>
      </c>
      <c r="AO62" s="538">
        <f t="shared" si="66"/>
        <v>0.01</v>
      </c>
      <c r="AP62" s="538">
        <f t="shared" si="66"/>
        <v>0.01</v>
      </c>
      <c r="AQ62" s="538">
        <f t="shared" si="66"/>
        <v>0.01</v>
      </c>
      <c r="AR62" s="538">
        <f t="shared" si="66"/>
        <v>0.01</v>
      </c>
      <c r="AS62" s="538">
        <f t="shared" si="66"/>
        <v>0.01</v>
      </c>
      <c r="AT62" s="538">
        <f t="shared" si="66"/>
        <v>0.01</v>
      </c>
      <c r="AU62" s="538">
        <f t="shared" si="66"/>
        <v>0.01</v>
      </c>
      <c r="AV62" s="538">
        <f t="shared" si="66"/>
        <v>0.01</v>
      </c>
      <c r="AW62" s="538">
        <f t="shared" si="66"/>
        <v>0.01</v>
      </c>
      <c r="AX62" s="538">
        <f t="shared" si="65"/>
        <v>0.01</v>
      </c>
      <c r="AY62" s="538">
        <f t="shared" si="65"/>
        <v>0.01</v>
      </c>
      <c r="AZ62" s="538">
        <f t="shared" si="65"/>
        <v>0.01</v>
      </c>
      <c r="BA62" s="538">
        <f t="shared" si="65"/>
        <v>0.01</v>
      </c>
      <c r="BB62" s="538">
        <f t="shared" si="65"/>
        <v>0.01</v>
      </c>
      <c r="BC62" s="538">
        <f t="shared" si="65"/>
        <v>0.01</v>
      </c>
      <c r="BD62" s="538">
        <f t="shared" si="65"/>
        <v>0.01</v>
      </c>
      <c r="BE62" s="538">
        <f t="shared" si="65"/>
        <v>0.01</v>
      </c>
      <c r="BF62" s="538">
        <f t="shared" si="65"/>
        <v>0.01</v>
      </c>
      <c r="BG62" s="538">
        <f t="shared" si="65"/>
        <v>0.01</v>
      </c>
      <c r="BH62" s="538">
        <f t="shared" si="65"/>
        <v>0.01</v>
      </c>
      <c r="BI62" s="538">
        <f t="shared" si="65"/>
        <v>0.01</v>
      </c>
      <c r="BJ62" s="538">
        <f t="shared" si="65"/>
        <v>0.01</v>
      </c>
      <c r="BK62" s="538">
        <f t="shared" si="65"/>
        <v>0.01</v>
      </c>
      <c r="BL62" s="538">
        <f t="shared" si="65"/>
        <v>0.01</v>
      </c>
      <c r="BM62" s="538">
        <f t="shared" si="65"/>
        <v>0.01</v>
      </c>
      <c r="BN62" s="538">
        <f t="shared" ref="BN62:CC64" si="67">BM62</f>
        <v>0.01</v>
      </c>
      <c r="BO62" s="538">
        <f t="shared" si="67"/>
        <v>0.01</v>
      </c>
      <c r="BP62" s="538">
        <f t="shared" si="67"/>
        <v>0.01</v>
      </c>
      <c r="BQ62" s="538">
        <f t="shared" si="67"/>
        <v>0.01</v>
      </c>
      <c r="BR62" s="538">
        <f t="shared" si="67"/>
        <v>0.01</v>
      </c>
      <c r="BS62" s="538">
        <f t="shared" si="67"/>
        <v>0.01</v>
      </c>
      <c r="BT62" s="538">
        <f t="shared" si="67"/>
        <v>0.01</v>
      </c>
      <c r="BU62" s="538">
        <f t="shared" si="67"/>
        <v>0.01</v>
      </c>
      <c r="BV62" s="538">
        <f t="shared" si="67"/>
        <v>0.01</v>
      </c>
      <c r="BW62" s="538">
        <f t="shared" si="67"/>
        <v>0.01</v>
      </c>
      <c r="BX62" s="538">
        <f t="shared" si="67"/>
        <v>0.01</v>
      </c>
      <c r="BY62" s="538">
        <f t="shared" si="67"/>
        <v>0.01</v>
      </c>
      <c r="BZ62" s="538">
        <f t="shared" si="67"/>
        <v>0.01</v>
      </c>
      <c r="CA62" s="538">
        <f t="shared" si="67"/>
        <v>0.01</v>
      </c>
      <c r="CB62" s="538">
        <f t="shared" si="67"/>
        <v>0.01</v>
      </c>
      <c r="CC62" s="538">
        <f t="shared" si="67"/>
        <v>0.01</v>
      </c>
      <c r="CD62" s="538">
        <f t="shared" ref="CD62:CE64" si="68">CC62</f>
        <v>0.01</v>
      </c>
      <c r="CE62" s="538">
        <f t="shared" si="68"/>
        <v>0.01</v>
      </c>
      <c r="CG62" s="537">
        <v>0.01</v>
      </c>
      <c r="CH62" s="537">
        <v>0.01</v>
      </c>
      <c r="CI62" s="537">
        <v>0.01</v>
      </c>
      <c r="CJ62" s="537">
        <v>0.01</v>
      </c>
      <c r="CK62" s="537">
        <v>0.01</v>
      </c>
      <c r="CL62" s="537">
        <v>0.01</v>
      </c>
      <c r="CM62" s="537">
        <v>0.01</v>
      </c>
      <c r="CN62" s="537">
        <v>0.01</v>
      </c>
      <c r="CO62" s="537">
        <v>0.01</v>
      </c>
      <c r="CP62" s="537">
        <v>0.01</v>
      </c>
      <c r="CQ62" s="537">
        <v>0.01</v>
      </c>
      <c r="CR62" s="537">
        <v>0.01</v>
      </c>
      <c r="CS62" s="537">
        <v>0.01</v>
      </c>
      <c r="CT62" s="537">
        <v>0.01</v>
      </c>
      <c r="CU62" s="537">
        <v>0.01</v>
      </c>
      <c r="CV62" s="537">
        <v>0.01</v>
      </c>
      <c r="CW62" s="537">
        <v>0.01</v>
      </c>
      <c r="CX62" s="537">
        <v>0.01</v>
      </c>
      <c r="CY62" s="537">
        <v>0.01</v>
      </c>
      <c r="CZ62" s="537">
        <v>0.01</v>
      </c>
      <c r="DA62" s="537">
        <v>0.01</v>
      </c>
      <c r="DB62" s="537">
        <v>0.01</v>
      </c>
      <c r="DC62" s="537">
        <v>0.01</v>
      </c>
      <c r="DD62" s="537">
        <v>0.01</v>
      </c>
      <c r="DE62" s="537">
        <v>0.01</v>
      </c>
      <c r="DF62" s="537">
        <v>0.01</v>
      </c>
      <c r="DG62" s="537">
        <v>0.01</v>
      </c>
      <c r="DH62" s="537">
        <v>0.01</v>
      </c>
    </row>
    <row r="63" spans="2:112">
      <c r="B63" t="s">
        <v>957</v>
      </c>
      <c r="C63" t="s">
        <v>728</v>
      </c>
      <c r="D63" t="s">
        <v>899</v>
      </c>
      <c r="E63" t="s">
        <v>895</v>
      </c>
      <c r="F63" s="537">
        <v>0.05</v>
      </c>
      <c r="G63" s="537">
        <v>0.05</v>
      </c>
      <c r="H63" s="537">
        <v>0.05</v>
      </c>
      <c r="I63" s="537">
        <v>0.05</v>
      </c>
      <c r="J63" s="537">
        <v>0.05</v>
      </c>
      <c r="K63" s="537">
        <v>0.05</v>
      </c>
      <c r="L63" s="537">
        <v>0.05</v>
      </c>
      <c r="M63" s="537">
        <v>0.05</v>
      </c>
      <c r="N63" s="537">
        <v>0.05</v>
      </c>
      <c r="O63" s="537">
        <v>0.05</v>
      </c>
      <c r="P63" s="537">
        <v>0.05</v>
      </c>
      <c r="Q63" s="537">
        <v>0.05</v>
      </c>
      <c r="R63" s="537">
        <v>0.05</v>
      </c>
      <c r="S63" s="537">
        <v>0.05</v>
      </c>
      <c r="T63" s="537">
        <v>0.05</v>
      </c>
      <c r="U63" s="537">
        <v>0.05</v>
      </c>
      <c r="V63" s="537">
        <v>0.05</v>
      </c>
      <c r="W63" s="537">
        <v>0.05</v>
      </c>
      <c r="X63" s="537">
        <v>0.05</v>
      </c>
      <c r="Y63" s="537">
        <v>0.05</v>
      </c>
      <c r="Z63" s="537">
        <v>0.05</v>
      </c>
      <c r="AA63" s="537">
        <v>0.05</v>
      </c>
      <c r="AB63" s="537">
        <v>0.05</v>
      </c>
      <c r="AC63" s="537">
        <v>0.05</v>
      </c>
      <c r="AD63" s="537">
        <v>0.05</v>
      </c>
      <c r="AE63" s="537">
        <v>0.05</v>
      </c>
      <c r="AF63" s="537">
        <v>0.05</v>
      </c>
      <c r="AG63" s="537">
        <v>0.05</v>
      </c>
      <c r="AH63" s="538">
        <f t="shared" si="66"/>
        <v>0.05</v>
      </c>
      <c r="AI63" s="538">
        <f t="shared" si="66"/>
        <v>0.05</v>
      </c>
      <c r="AJ63" s="538">
        <f t="shared" si="66"/>
        <v>0.05</v>
      </c>
      <c r="AK63" s="538">
        <f t="shared" si="66"/>
        <v>0.05</v>
      </c>
      <c r="AL63" s="538">
        <f t="shared" si="66"/>
        <v>0.05</v>
      </c>
      <c r="AM63" s="538">
        <f t="shared" si="66"/>
        <v>0.05</v>
      </c>
      <c r="AN63" s="538">
        <f t="shared" si="66"/>
        <v>0.05</v>
      </c>
      <c r="AO63" s="538">
        <f t="shared" si="66"/>
        <v>0.05</v>
      </c>
      <c r="AP63" s="538">
        <f t="shared" si="66"/>
        <v>0.05</v>
      </c>
      <c r="AQ63" s="538">
        <f t="shared" si="66"/>
        <v>0.05</v>
      </c>
      <c r="AR63" s="538">
        <f t="shared" si="66"/>
        <v>0.05</v>
      </c>
      <c r="AS63" s="538">
        <f t="shared" si="66"/>
        <v>0.05</v>
      </c>
      <c r="AT63" s="538">
        <f t="shared" si="66"/>
        <v>0.05</v>
      </c>
      <c r="AU63" s="538">
        <f t="shared" si="66"/>
        <v>0.05</v>
      </c>
      <c r="AV63" s="538">
        <f t="shared" si="66"/>
        <v>0.05</v>
      </c>
      <c r="AW63" s="538">
        <f t="shared" si="66"/>
        <v>0.05</v>
      </c>
      <c r="AX63" s="538">
        <f t="shared" ref="AX63:BM64" si="69">AW63</f>
        <v>0.05</v>
      </c>
      <c r="AY63" s="538">
        <f t="shared" si="69"/>
        <v>0.05</v>
      </c>
      <c r="AZ63" s="538">
        <f t="shared" si="69"/>
        <v>0.05</v>
      </c>
      <c r="BA63" s="538">
        <f t="shared" si="69"/>
        <v>0.05</v>
      </c>
      <c r="BB63" s="538">
        <f t="shared" si="69"/>
        <v>0.05</v>
      </c>
      <c r="BC63" s="538">
        <f t="shared" si="69"/>
        <v>0.05</v>
      </c>
      <c r="BD63" s="538">
        <f t="shared" si="69"/>
        <v>0.05</v>
      </c>
      <c r="BE63" s="538">
        <f t="shared" si="69"/>
        <v>0.05</v>
      </c>
      <c r="BF63" s="538">
        <f t="shared" si="69"/>
        <v>0.05</v>
      </c>
      <c r="BG63" s="538">
        <f t="shared" si="69"/>
        <v>0.05</v>
      </c>
      <c r="BH63" s="538">
        <f t="shared" si="69"/>
        <v>0.05</v>
      </c>
      <c r="BI63" s="538">
        <f t="shared" si="69"/>
        <v>0.05</v>
      </c>
      <c r="BJ63" s="538">
        <f t="shared" si="69"/>
        <v>0.05</v>
      </c>
      <c r="BK63" s="538">
        <f t="shared" si="69"/>
        <v>0.05</v>
      </c>
      <c r="BL63" s="538">
        <f t="shared" si="69"/>
        <v>0.05</v>
      </c>
      <c r="BM63" s="538">
        <f t="shared" si="69"/>
        <v>0.05</v>
      </c>
      <c r="BN63" s="538">
        <f t="shared" si="67"/>
        <v>0.05</v>
      </c>
      <c r="BO63" s="538">
        <f t="shared" si="67"/>
        <v>0.05</v>
      </c>
      <c r="BP63" s="538">
        <f t="shared" si="67"/>
        <v>0.05</v>
      </c>
      <c r="BQ63" s="538">
        <f t="shared" si="67"/>
        <v>0.05</v>
      </c>
      <c r="BR63" s="538">
        <f t="shared" si="67"/>
        <v>0.05</v>
      </c>
      <c r="BS63" s="538">
        <f t="shared" si="67"/>
        <v>0.05</v>
      </c>
      <c r="BT63" s="538">
        <f t="shared" si="67"/>
        <v>0.05</v>
      </c>
      <c r="BU63" s="538">
        <f t="shared" si="67"/>
        <v>0.05</v>
      </c>
      <c r="BV63" s="538">
        <f t="shared" si="67"/>
        <v>0.05</v>
      </c>
      <c r="BW63" s="538">
        <f t="shared" si="67"/>
        <v>0.05</v>
      </c>
      <c r="BX63" s="538">
        <f t="shared" si="67"/>
        <v>0.05</v>
      </c>
      <c r="BY63" s="538">
        <f t="shared" si="67"/>
        <v>0.05</v>
      </c>
      <c r="BZ63" s="538">
        <f t="shared" si="67"/>
        <v>0.05</v>
      </c>
      <c r="CA63" s="538">
        <f t="shared" si="67"/>
        <v>0.05</v>
      </c>
      <c r="CB63" s="538">
        <f t="shared" si="67"/>
        <v>0.05</v>
      </c>
      <c r="CC63" s="538">
        <f t="shared" si="67"/>
        <v>0.05</v>
      </c>
      <c r="CD63" s="538">
        <f t="shared" si="68"/>
        <v>0.05</v>
      </c>
      <c r="CE63" s="538">
        <f t="shared" si="68"/>
        <v>0.05</v>
      </c>
      <c r="CG63" s="537">
        <v>0.05</v>
      </c>
      <c r="CH63" s="537">
        <v>0.05</v>
      </c>
      <c r="CI63" s="537">
        <v>0.05</v>
      </c>
      <c r="CJ63" s="537">
        <v>0.05</v>
      </c>
      <c r="CK63" s="537">
        <v>0.05</v>
      </c>
      <c r="CL63" s="537">
        <v>0.05</v>
      </c>
      <c r="CM63" s="537">
        <v>0.05</v>
      </c>
      <c r="CN63" s="537">
        <v>0.05</v>
      </c>
      <c r="CO63" s="537">
        <v>0.05</v>
      </c>
      <c r="CP63" s="537">
        <v>0.05</v>
      </c>
      <c r="CQ63" s="537">
        <v>0.05</v>
      </c>
      <c r="CR63" s="537">
        <v>0.05</v>
      </c>
      <c r="CS63" s="537">
        <v>0.05</v>
      </c>
      <c r="CT63" s="537">
        <v>0.05</v>
      </c>
      <c r="CU63" s="537">
        <v>0.05</v>
      </c>
      <c r="CV63" s="537">
        <v>0.05</v>
      </c>
      <c r="CW63" s="537">
        <v>0.05</v>
      </c>
      <c r="CX63" s="537">
        <v>0.05</v>
      </c>
      <c r="CY63" s="537">
        <v>0.05</v>
      </c>
      <c r="CZ63" s="537">
        <v>0.05</v>
      </c>
      <c r="DA63" s="537">
        <v>0.05</v>
      </c>
      <c r="DB63" s="537">
        <v>0.05</v>
      </c>
      <c r="DC63" s="537">
        <v>0.05</v>
      </c>
      <c r="DD63" s="537">
        <v>0.05</v>
      </c>
      <c r="DE63" s="537">
        <v>0.05</v>
      </c>
      <c r="DF63" s="537">
        <v>0.05</v>
      </c>
      <c r="DG63" s="537">
        <v>0.05</v>
      </c>
      <c r="DH63" s="537">
        <v>0.05</v>
      </c>
    </row>
    <row r="64" spans="2:112">
      <c r="B64" t="s">
        <v>958</v>
      </c>
      <c r="C64" t="s">
        <v>728</v>
      </c>
      <c r="D64" t="s">
        <v>901</v>
      </c>
      <c r="E64" t="s">
        <v>895</v>
      </c>
      <c r="F64" s="537">
        <v>0.05</v>
      </c>
      <c r="G64" s="537">
        <v>0.05</v>
      </c>
      <c r="H64" s="537">
        <v>0.05</v>
      </c>
      <c r="I64" s="537">
        <v>0.05</v>
      </c>
      <c r="J64" s="537">
        <v>0.05</v>
      </c>
      <c r="K64" s="537">
        <v>0.05</v>
      </c>
      <c r="L64" s="537">
        <v>0.05</v>
      </c>
      <c r="M64" s="537">
        <v>0.05</v>
      </c>
      <c r="N64" s="537">
        <v>0.05</v>
      </c>
      <c r="O64" s="537">
        <v>0.05</v>
      </c>
      <c r="P64" s="537">
        <v>0.05</v>
      </c>
      <c r="Q64" s="537">
        <v>0.05</v>
      </c>
      <c r="R64" s="537">
        <v>0.05</v>
      </c>
      <c r="S64" s="537">
        <v>0.05</v>
      </c>
      <c r="T64" s="537">
        <v>0.05</v>
      </c>
      <c r="U64" s="537">
        <v>0.05</v>
      </c>
      <c r="V64" s="537">
        <v>0.05</v>
      </c>
      <c r="W64" s="537">
        <v>0.05</v>
      </c>
      <c r="X64" s="537">
        <v>0.05</v>
      </c>
      <c r="Y64" s="537">
        <v>0.05</v>
      </c>
      <c r="Z64" s="537">
        <v>0.05</v>
      </c>
      <c r="AA64" s="537">
        <v>0.05</v>
      </c>
      <c r="AB64" s="537">
        <v>0.05</v>
      </c>
      <c r="AC64" s="537">
        <v>0.05</v>
      </c>
      <c r="AD64" s="537">
        <v>0.05</v>
      </c>
      <c r="AE64" s="537">
        <v>0.05</v>
      </c>
      <c r="AF64" s="537">
        <v>0.05</v>
      </c>
      <c r="AG64" s="537">
        <v>0.05</v>
      </c>
      <c r="AH64" s="538">
        <f t="shared" si="66"/>
        <v>0.05</v>
      </c>
      <c r="AI64" s="538">
        <f t="shared" si="66"/>
        <v>0.05</v>
      </c>
      <c r="AJ64" s="538">
        <f t="shared" si="66"/>
        <v>0.05</v>
      </c>
      <c r="AK64" s="538">
        <f t="shared" si="66"/>
        <v>0.05</v>
      </c>
      <c r="AL64" s="538">
        <f t="shared" si="66"/>
        <v>0.05</v>
      </c>
      <c r="AM64" s="538">
        <f t="shared" si="66"/>
        <v>0.05</v>
      </c>
      <c r="AN64" s="538">
        <f t="shared" si="66"/>
        <v>0.05</v>
      </c>
      <c r="AO64" s="538">
        <f t="shared" si="66"/>
        <v>0.05</v>
      </c>
      <c r="AP64" s="538">
        <f t="shared" si="66"/>
        <v>0.05</v>
      </c>
      <c r="AQ64" s="538">
        <f t="shared" si="66"/>
        <v>0.05</v>
      </c>
      <c r="AR64" s="538">
        <f t="shared" si="66"/>
        <v>0.05</v>
      </c>
      <c r="AS64" s="538">
        <f t="shared" si="66"/>
        <v>0.05</v>
      </c>
      <c r="AT64" s="538">
        <f t="shared" si="66"/>
        <v>0.05</v>
      </c>
      <c r="AU64" s="538">
        <f t="shared" si="66"/>
        <v>0.05</v>
      </c>
      <c r="AV64" s="538">
        <f t="shared" si="66"/>
        <v>0.05</v>
      </c>
      <c r="AW64" s="538">
        <f t="shared" si="66"/>
        <v>0.05</v>
      </c>
      <c r="AX64" s="538">
        <f t="shared" si="69"/>
        <v>0.05</v>
      </c>
      <c r="AY64" s="538">
        <f t="shared" si="69"/>
        <v>0.05</v>
      </c>
      <c r="AZ64" s="538">
        <f t="shared" si="69"/>
        <v>0.05</v>
      </c>
      <c r="BA64" s="538">
        <f t="shared" si="69"/>
        <v>0.05</v>
      </c>
      <c r="BB64" s="538">
        <f t="shared" si="69"/>
        <v>0.05</v>
      </c>
      <c r="BC64" s="538">
        <f t="shared" si="69"/>
        <v>0.05</v>
      </c>
      <c r="BD64" s="538">
        <f t="shared" si="69"/>
        <v>0.05</v>
      </c>
      <c r="BE64" s="538">
        <f t="shared" si="69"/>
        <v>0.05</v>
      </c>
      <c r="BF64" s="538">
        <f t="shared" si="69"/>
        <v>0.05</v>
      </c>
      <c r="BG64" s="538">
        <f t="shared" si="69"/>
        <v>0.05</v>
      </c>
      <c r="BH64" s="538">
        <f t="shared" si="69"/>
        <v>0.05</v>
      </c>
      <c r="BI64" s="538">
        <f t="shared" si="69"/>
        <v>0.05</v>
      </c>
      <c r="BJ64" s="538">
        <f t="shared" si="69"/>
        <v>0.05</v>
      </c>
      <c r="BK64" s="538">
        <f t="shared" si="69"/>
        <v>0.05</v>
      </c>
      <c r="BL64" s="538">
        <f t="shared" si="69"/>
        <v>0.05</v>
      </c>
      <c r="BM64" s="538">
        <f t="shared" si="69"/>
        <v>0.05</v>
      </c>
      <c r="BN64" s="538">
        <f t="shared" si="67"/>
        <v>0.05</v>
      </c>
      <c r="BO64" s="538">
        <f t="shared" si="67"/>
        <v>0.05</v>
      </c>
      <c r="BP64" s="538">
        <f t="shared" si="67"/>
        <v>0.05</v>
      </c>
      <c r="BQ64" s="538">
        <f t="shared" si="67"/>
        <v>0.05</v>
      </c>
      <c r="BR64" s="538">
        <f t="shared" si="67"/>
        <v>0.05</v>
      </c>
      <c r="BS64" s="538">
        <f t="shared" si="67"/>
        <v>0.05</v>
      </c>
      <c r="BT64" s="538">
        <f t="shared" si="67"/>
        <v>0.05</v>
      </c>
      <c r="BU64" s="538">
        <f t="shared" si="67"/>
        <v>0.05</v>
      </c>
      <c r="BV64" s="538">
        <f t="shared" si="67"/>
        <v>0.05</v>
      </c>
      <c r="BW64" s="538">
        <f t="shared" si="67"/>
        <v>0.05</v>
      </c>
      <c r="BX64" s="538">
        <f t="shared" si="67"/>
        <v>0.05</v>
      </c>
      <c r="BY64" s="538">
        <f t="shared" si="67"/>
        <v>0.05</v>
      </c>
      <c r="BZ64" s="538">
        <f t="shared" si="67"/>
        <v>0.05</v>
      </c>
      <c r="CA64" s="538">
        <f t="shared" si="67"/>
        <v>0.05</v>
      </c>
      <c r="CB64" s="538">
        <f t="shared" si="67"/>
        <v>0.05</v>
      </c>
      <c r="CC64" s="538">
        <f t="shared" si="67"/>
        <v>0.05</v>
      </c>
      <c r="CD64" s="538">
        <f t="shared" si="68"/>
        <v>0.05</v>
      </c>
      <c r="CE64" s="538">
        <f t="shared" si="68"/>
        <v>0.05</v>
      </c>
      <c r="CG64" s="537">
        <v>0.05</v>
      </c>
      <c r="CH64" s="537">
        <v>0.05</v>
      </c>
      <c r="CI64" s="537">
        <v>0.05</v>
      </c>
      <c r="CJ64" s="537">
        <v>0.05</v>
      </c>
      <c r="CK64" s="537">
        <v>0.05</v>
      </c>
      <c r="CL64" s="537">
        <v>0.05</v>
      </c>
      <c r="CM64" s="537">
        <v>0.05</v>
      </c>
      <c r="CN64" s="537">
        <v>0.05</v>
      </c>
      <c r="CO64" s="537">
        <v>0.05</v>
      </c>
      <c r="CP64" s="537">
        <v>0.05</v>
      </c>
      <c r="CQ64" s="537">
        <v>0.05</v>
      </c>
      <c r="CR64" s="537">
        <v>0.05</v>
      </c>
      <c r="CS64" s="537">
        <v>0.05</v>
      </c>
      <c r="CT64" s="537">
        <v>0.05</v>
      </c>
      <c r="CU64" s="537">
        <v>0.05</v>
      </c>
      <c r="CV64" s="537">
        <v>0.05</v>
      </c>
      <c r="CW64" s="537">
        <v>0.05</v>
      </c>
      <c r="CX64" s="537">
        <v>0.05</v>
      </c>
      <c r="CY64" s="537">
        <v>0.05</v>
      </c>
      <c r="CZ64" s="537">
        <v>0.05</v>
      </c>
      <c r="DA64" s="537">
        <v>0.05</v>
      </c>
      <c r="DB64" s="537">
        <v>0.05</v>
      </c>
      <c r="DC64" s="537">
        <v>0.05</v>
      </c>
      <c r="DD64" s="537">
        <v>0.05</v>
      </c>
      <c r="DE64" s="537">
        <v>0.05</v>
      </c>
      <c r="DF64" s="537">
        <v>0.05</v>
      </c>
      <c r="DG64" s="537">
        <v>0.05</v>
      </c>
      <c r="DH64" s="537">
        <v>0.05</v>
      </c>
    </row>
    <row r="66" spans="2:112">
      <c r="B66" t="s">
        <v>959</v>
      </c>
      <c r="C66" t="s">
        <v>728</v>
      </c>
      <c r="D66" t="s">
        <v>903</v>
      </c>
      <c r="E66" t="s">
        <v>557</v>
      </c>
      <c r="F66" s="536">
        <v>89730</v>
      </c>
      <c r="G66" s="536">
        <v>89730</v>
      </c>
      <c r="H66" s="536">
        <v>89730</v>
      </c>
      <c r="I66" s="536">
        <v>89730</v>
      </c>
      <c r="J66" s="536">
        <v>89730</v>
      </c>
      <c r="K66" s="536">
        <v>89730</v>
      </c>
      <c r="L66" s="536">
        <v>89730</v>
      </c>
      <c r="M66" s="536">
        <v>89730</v>
      </c>
      <c r="N66" s="536">
        <v>89730</v>
      </c>
      <c r="O66" s="536">
        <v>89730</v>
      </c>
      <c r="P66" s="536">
        <v>89730</v>
      </c>
      <c r="Q66" s="536">
        <v>89730</v>
      </c>
      <c r="R66" s="536">
        <v>89730</v>
      </c>
      <c r="S66" s="536">
        <v>89730</v>
      </c>
      <c r="T66" s="536">
        <v>89730</v>
      </c>
      <c r="U66" s="536">
        <v>89730</v>
      </c>
      <c r="V66" s="536">
        <v>89730</v>
      </c>
      <c r="W66" s="536">
        <v>89730</v>
      </c>
      <c r="X66" s="536">
        <v>89730</v>
      </c>
      <c r="Y66" s="536">
        <v>89730</v>
      </c>
      <c r="Z66" s="536">
        <v>89730</v>
      </c>
      <c r="AA66" s="536">
        <v>89730</v>
      </c>
      <c r="AB66" s="536">
        <v>89730</v>
      </c>
      <c r="AC66" s="536">
        <v>89730</v>
      </c>
      <c r="AD66" s="536">
        <v>89730</v>
      </c>
      <c r="AE66" s="536">
        <v>89730</v>
      </c>
      <c r="AF66" s="536">
        <v>89730</v>
      </c>
      <c r="AG66" s="536">
        <v>89730</v>
      </c>
      <c r="AH66" s="540">
        <f>AG66</f>
        <v>89730</v>
      </c>
      <c r="AI66" s="540">
        <f t="shared" ref="AI66:CE67" si="70">AH66</f>
        <v>89730</v>
      </c>
      <c r="AJ66" s="540">
        <f t="shared" si="70"/>
        <v>89730</v>
      </c>
      <c r="AK66" s="540">
        <f t="shared" si="70"/>
        <v>89730</v>
      </c>
      <c r="AL66" s="540">
        <f t="shared" si="70"/>
        <v>89730</v>
      </c>
      <c r="AM66" s="540">
        <f t="shared" si="70"/>
        <v>89730</v>
      </c>
      <c r="AN66" s="540">
        <f t="shared" si="70"/>
        <v>89730</v>
      </c>
      <c r="AO66" s="540">
        <f t="shared" si="70"/>
        <v>89730</v>
      </c>
      <c r="AP66" s="540">
        <f t="shared" si="70"/>
        <v>89730</v>
      </c>
      <c r="AQ66" s="540">
        <f t="shared" si="70"/>
        <v>89730</v>
      </c>
      <c r="AR66" s="540">
        <f t="shared" si="70"/>
        <v>89730</v>
      </c>
      <c r="AS66" s="540">
        <f t="shared" si="70"/>
        <v>89730</v>
      </c>
      <c r="AT66" s="540">
        <f t="shared" si="70"/>
        <v>89730</v>
      </c>
      <c r="AU66" s="540">
        <f t="shared" si="70"/>
        <v>89730</v>
      </c>
      <c r="AV66" s="540">
        <f t="shared" si="70"/>
        <v>89730</v>
      </c>
      <c r="AW66" s="540">
        <f t="shared" si="70"/>
        <v>89730</v>
      </c>
      <c r="AX66" s="540">
        <f t="shared" si="70"/>
        <v>89730</v>
      </c>
      <c r="AY66" s="540">
        <f t="shared" si="70"/>
        <v>89730</v>
      </c>
      <c r="AZ66" s="540">
        <f t="shared" si="70"/>
        <v>89730</v>
      </c>
      <c r="BA66" s="540">
        <f t="shared" si="70"/>
        <v>89730</v>
      </c>
      <c r="BB66" s="540">
        <f t="shared" si="70"/>
        <v>89730</v>
      </c>
      <c r="BC66" s="540">
        <f t="shared" si="70"/>
        <v>89730</v>
      </c>
      <c r="BD66" s="540">
        <f t="shared" si="70"/>
        <v>89730</v>
      </c>
      <c r="BE66" s="540">
        <f t="shared" si="70"/>
        <v>89730</v>
      </c>
      <c r="BF66" s="540">
        <f t="shared" si="70"/>
        <v>89730</v>
      </c>
      <c r="BG66" s="540">
        <f t="shared" si="70"/>
        <v>89730</v>
      </c>
      <c r="BH66" s="540">
        <f t="shared" si="70"/>
        <v>89730</v>
      </c>
      <c r="BI66" s="540">
        <f t="shared" si="70"/>
        <v>89730</v>
      </c>
      <c r="BJ66" s="540">
        <f t="shared" si="70"/>
        <v>89730</v>
      </c>
      <c r="BK66" s="540">
        <f t="shared" si="70"/>
        <v>89730</v>
      </c>
      <c r="BL66" s="540">
        <f t="shared" si="70"/>
        <v>89730</v>
      </c>
      <c r="BM66" s="540">
        <f t="shared" si="70"/>
        <v>89730</v>
      </c>
      <c r="BN66" s="540">
        <f t="shared" si="70"/>
        <v>89730</v>
      </c>
      <c r="BO66" s="540">
        <f t="shared" si="70"/>
        <v>89730</v>
      </c>
      <c r="BP66" s="540">
        <f t="shared" si="70"/>
        <v>89730</v>
      </c>
      <c r="BQ66" s="540">
        <f t="shared" si="70"/>
        <v>89730</v>
      </c>
      <c r="BR66" s="540">
        <f t="shared" si="70"/>
        <v>89730</v>
      </c>
      <c r="BS66" s="540">
        <f t="shared" si="70"/>
        <v>89730</v>
      </c>
      <c r="BT66" s="540">
        <f t="shared" si="70"/>
        <v>89730</v>
      </c>
      <c r="BU66" s="540">
        <f t="shared" si="70"/>
        <v>89730</v>
      </c>
      <c r="BV66" s="540">
        <f t="shared" si="70"/>
        <v>89730</v>
      </c>
      <c r="BW66" s="540">
        <f t="shared" si="70"/>
        <v>89730</v>
      </c>
      <c r="BX66" s="540">
        <f t="shared" si="70"/>
        <v>89730</v>
      </c>
      <c r="BY66" s="540">
        <f t="shared" si="70"/>
        <v>89730</v>
      </c>
      <c r="BZ66" s="540">
        <f t="shared" si="70"/>
        <v>89730</v>
      </c>
      <c r="CA66" s="540">
        <f t="shared" si="70"/>
        <v>89730</v>
      </c>
      <c r="CB66" s="540">
        <f t="shared" si="70"/>
        <v>89730</v>
      </c>
      <c r="CC66" s="540">
        <f t="shared" si="70"/>
        <v>89730</v>
      </c>
      <c r="CD66" s="540">
        <f t="shared" si="70"/>
        <v>89730</v>
      </c>
      <c r="CE66" s="540">
        <f t="shared" si="70"/>
        <v>89730</v>
      </c>
      <c r="CG66" s="536">
        <v>89730</v>
      </c>
      <c r="CH66" s="536">
        <v>89730</v>
      </c>
      <c r="CI66" s="536">
        <v>89730</v>
      </c>
      <c r="CJ66" s="536">
        <v>89730</v>
      </c>
      <c r="CK66" s="536">
        <v>89730</v>
      </c>
      <c r="CL66" s="536">
        <v>89730</v>
      </c>
      <c r="CM66" s="536">
        <v>89730</v>
      </c>
      <c r="CN66" s="536">
        <v>89730</v>
      </c>
      <c r="CO66" s="536">
        <v>89730</v>
      </c>
      <c r="CP66" s="536">
        <v>89730</v>
      </c>
      <c r="CQ66" s="536">
        <v>89730</v>
      </c>
      <c r="CR66" s="536">
        <v>89730</v>
      </c>
      <c r="CS66" s="536">
        <v>89730</v>
      </c>
      <c r="CT66" s="536">
        <v>89730</v>
      </c>
      <c r="CU66" s="536">
        <v>89730</v>
      </c>
      <c r="CV66" s="536">
        <v>89730</v>
      </c>
      <c r="CW66" s="536">
        <v>89730</v>
      </c>
      <c r="CX66" s="536">
        <v>89730</v>
      </c>
      <c r="CY66" s="536">
        <v>89730</v>
      </c>
      <c r="CZ66" s="536">
        <v>89730</v>
      </c>
      <c r="DA66" s="536">
        <v>89730</v>
      </c>
      <c r="DB66" s="536">
        <v>89730</v>
      </c>
      <c r="DC66" s="536">
        <v>89730</v>
      </c>
      <c r="DD66" s="536">
        <v>89730</v>
      </c>
      <c r="DE66" s="536">
        <v>89730</v>
      </c>
      <c r="DF66" s="536">
        <v>89730</v>
      </c>
      <c r="DG66" s="536">
        <v>89730</v>
      </c>
      <c r="DH66" s="536">
        <v>89730</v>
      </c>
    </row>
    <row r="67" spans="2:112">
      <c r="B67" t="s">
        <v>960</v>
      </c>
      <c r="C67" t="s">
        <v>728</v>
      </c>
      <c r="D67" t="s">
        <v>905</v>
      </c>
      <c r="E67" t="s">
        <v>557</v>
      </c>
      <c r="F67" s="536">
        <v>23144.727272727272</v>
      </c>
      <c r="G67" s="536">
        <v>23144.727272727272</v>
      </c>
      <c r="H67" s="536">
        <v>23144.727272727272</v>
      </c>
      <c r="I67" s="536">
        <v>23144.727272727272</v>
      </c>
      <c r="J67" s="536">
        <v>23144.727272727272</v>
      </c>
      <c r="K67" s="536">
        <v>23144.727272727272</v>
      </c>
      <c r="L67" s="536">
        <v>23144.727272727272</v>
      </c>
      <c r="M67" s="536">
        <v>23144.727272727272</v>
      </c>
      <c r="N67" s="536">
        <v>23144.727272727272</v>
      </c>
      <c r="O67" s="536">
        <v>23144.727272727272</v>
      </c>
      <c r="P67" s="536">
        <v>23144.727272727272</v>
      </c>
      <c r="Q67" s="536">
        <v>23144.727272727272</v>
      </c>
      <c r="R67" s="536">
        <v>23144.727272727272</v>
      </c>
      <c r="S67" s="536">
        <v>23144.727272727272</v>
      </c>
      <c r="T67" s="536">
        <v>23144.727272727272</v>
      </c>
      <c r="U67" s="536">
        <v>23144.727272727272</v>
      </c>
      <c r="V67" s="536">
        <v>23144.727272727272</v>
      </c>
      <c r="W67" s="536">
        <v>23144.727272727272</v>
      </c>
      <c r="X67" s="536">
        <v>23144.727272727272</v>
      </c>
      <c r="Y67" s="536">
        <v>23144.727272727272</v>
      </c>
      <c r="Z67" s="536">
        <v>23144.727272727272</v>
      </c>
      <c r="AA67" s="536">
        <v>23144.727272727272</v>
      </c>
      <c r="AB67" s="536">
        <v>23144.727272727272</v>
      </c>
      <c r="AC67" s="536">
        <v>23144.727272727272</v>
      </c>
      <c r="AD67" s="536">
        <v>23144.727272727272</v>
      </c>
      <c r="AE67" s="536">
        <v>23144.727272727272</v>
      </c>
      <c r="AF67" s="536">
        <v>23144.727272727272</v>
      </c>
      <c r="AG67" s="536">
        <v>23144.727272727272</v>
      </c>
      <c r="AH67" s="540">
        <f>AG67</f>
        <v>23144.727272727272</v>
      </c>
      <c r="AI67" s="540">
        <f t="shared" si="70"/>
        <v>23144.727272727272</v>
      </c>
      <c r="AJ67" s="540">
        <f t="shared" si="70"/>
        <v>23144.727272727272</v>
      </c>
      <c r="AK67" s="540">
        <f t="shared" si="70"/>
        <v>23144.727272727272</v>
      </c>
      <c r="AL67" s="540">
        <f t="shared" si="70"/>
        <v>23144.727272727272</v>
      </c>
      <c r="AM67" s="540">
        <f t="shared" si="70"/>
        <v>23144.727272727272</v>
      </c>
      <c r="AN67" s="540">
        <f t="shared" si="70"/>
        <v>23144.727272727272</v>
      </c>
      <c r="AO67" s="540">
        <f t="shared" si="70"/>
        <v>23144.727272727272</v>
      </c>
      <c r="AP67" s="540">
        <f t="shared" si="70"/>
        <v>23144.727272727272</v>
      </c>
      <c r="AQ67" s="540">
        <f t="shared" si="70"/>
        <v>23144.727272727272</v>
      </c>
      <c r="AR67" s="540">
        <f t="shared" si="70"/>
        <v>23144.727272727272</v>
      </c>
      <c r="AS67" s="540">
        <f t="shared" si="70"/>
        <v>23144.727272727272</v>
      </c>
      <c r="AT67" s="540">
        <f t="shared" si="70"/>
        <v>23144.727272727272</v>
      </c>
      <c r="AU67" s="540">
        <f t="shared" si="70"/>
        <v>23144.727272727272</v>
      </c>
      <c r="AV67" s="540">
        <f t="shared" si="70"/>
        <v>23144.727272727272</v>
      </c>
      <c r="AW67" s="540">
        <f t="shared" si="70"/>
        <v>23144.727272727272</v>
      </c>
      <c r="AX67" s="540">
        <f t="shared" si="70"/>
        <v>23144.727272727272</v>
      </c>
      <c r="AY67" s="540">
        <f t="shared" si="70"/>
        <v>23144.727272727272</v>
      </c>
      <c r="AZ67" s="540">
        <f t="shared" si="70"/>
        <v>23144.727272727272</v>
      </c>
      <c r="BA67" s="540">
        <f t="shared" si="70"/>
        <v>23144.727272727272</v>
      </c>
      <c r="BB67" s="540">
        <f t="shared" si="70"/>
        <v>23144.727272727272</v>
      </c>
      <c r="BC67" s="540">
        <f t="shared" si="70"/>
        <v>23144.727272727272</v>
      </c>
      <c r="BD67" s="540">
        <f t="shared" si="70"/>
        <v>23144.727272727272</v>
      </c>
      <c r="BE67" s="540">
        <f t="shared" si="70"/>
        <v>23144.727272727272</v>
      </c>
      <c r="BF67" s="540">
        <f t="shared" si="70"/>
        <v>23144.727272727272</v>
      </c>
      <c r="BG67" s="540">
        <f t="shared" si="70"/>
        <v>23144.727272727272</v>
      </c>
      <c r="BH67" s="540">
        <f t="shared" si="70"/>
        <v>23144.727272727272</v>
      </c>
      <c r="BI67" s="540">
        <f t="shared" si="70"/>
        <v>23144.727272727272</v>
      </c>
      <c r="BJ67" s="540">
        <f t="shared" si="70"/>
        <v>23144.727272727272</v>
      </c>
      <c r="BK67" s="540">
        <f t="shared" si="70"/>
        <v>23144.727272727272</v>
      </c>
      <c r="BL67" s="540">
        <f t="shared" si="70"/>
        <v>23144.727272727272</v>
      </c>
      <c r="BM67" s="540">
        <f t="shared" si="70"/>
        <v>23144.727272727272</v>
      </c>
      <c r="BN67" s="540">
        <f t="shared" si="70"/>
        <v>23144.727272727272</v>
      </c>
      <c r="BO67" s="540">
        <f t="shared" si="70"/>
        <v>23144.727272727272</v>
      </c>
      <c r="BP67" s="540">
        <f t="shared" si="70"/>
        <v>23144.727272727272</v>
      </c>
      <c r="BQ67" s="540">
        <f t="shared" si="70"/>
        <v>23144.727272727272</v>
      </c>
      <c r="BR67" s="540">
        <f t="shared" si="70"/>
        <v>23144.727272727272</v>
      </c>
      <c r="BS67" s="540">
        <f t="shared" si="70"/>
        <v>23144.727272727272</v>
      </c>
      <c r="BT67" s="540">
        <f t="shared" si="70"/>
        <v>23144.727272727272</v>
      </c>
      <c r="BU67" s="540">
        <f t="shared" si="70"/>
        <v>23144.727272727272</v>
      </c>
      <c r="BV67" s="540">
        <f t="shared" si="70"/>
        <v>23144.727272727272</v>
      </c>
      <c r="BW67" s="540">
        <f t="shared" si="70"/>
        <v>23144.727272727272</v>
      </c>
      <c r="BX67" s="540">
        <f t="shared" si="70"/>
        <v>23144.727272727272</v>
      </c>
      <c r="BY67" s="540">
        <f t="shared" si="70"/>
        <v>23144.727272727272</v>
      </c>
      <c r="BZ67" s="540">
        <f t="shared" si="70"/>
        <v>23144.727272727272</v>
      </c>
      <c r="CA67" s="540">
        <f t="shared" si="70"/>
        <v>23144.727272727272</v>
      </c>
      <c r="CB67" s="540">
        <f t="shared" si="70"/>
        <v>23144.727272727272</v>
      </c>
      <c r="CC67" s="540">
        <f t="shared" si="70"/>
        <v>23144.727272727272</v>
      </c>
      <c r="CD67" s="540">
        <f t="shared" si="70"/>
        <v>23144.727272727272</v>
      </c>
      <c r="CE67" s="540">
        <f t="shared" si="70"/>
        <v>23144.727272727272</v>
      </c>
      <c r="CG67" s="536">
        <v>23144.727272727272</v>
      </c>
      <c r="CH67" s="536">
        <v>23144.727272727272</v>
      </c>
      <c r="CI67" s="536">
        <v>23144.727272727272</v>
      </c>
      <c r="CJ67" s="536">
        <v>23144.727272727272</v>
      </c>
      <c r="CK67" s="536">
        <v>23144.727272727272</v>
      </c>
      <c r="CL67" s="536">
        <v>23144.727272727272</v>
      </c>
      <c r="CM67" s="536">
        <v>23144.727272727272</v>
      </c>
      <c r="CN67" s="536">
        <v>23144.727272727272</v>
      </c>
      <c r="CO67" s="536">
        <v>23144.727272727272</v>
      </c>
      <c r="CP67" s="536">
        <v>23144.727272727272</v>
      </c>
      <c r="CQ67" s="536">
        <v>23144.727272727272</v>
      </c>
      <c r="CR67" s="536">
        <v>23144.727272727272</v>
      </c>
      <c r="CS67" s="536">
        <v>23144.727272727272</v>
      </c>
      <c r="CT67" s="536">
        <v>23144.727272727272</v>
      </c>
      <c r="CU67" s="536">
        <v>23144.727272727272</v>
      </c>
      <c r="CV67" s="536">
        <v>23144.727272727272</v>
      </c>
      <c r="CW67" s="536">
        <v>23144.727272727272</v>
      </c>
      <c r="CX67" s="536">
        <v>23144.727272727272</v>
      </c>
      <c r="CY67" s="536">
        <v>23144.727272727272</v>
      </c>
      <c r="CZ67" s="536">
        <v>23144.727272727272</v>
      </c>
      <c r="DA67" s="536">
        <v>23144.727272727272</v>
      </c>
      <c r="DB67" s="536">
        <v>23144.727272727272</v>
      </c>
      <c r="DC67" s="536">
        <v>23144.727272727272</v>
      </c>
      <c r="DD67" s="536">
        <v>23144.727272727272</v>
      </c>
      <c r="DE67" s="536">
        <v>23144.727272727272</v>
      </c>
      <c r="DF67" s="536">
        <v>23144.727272727272</v>
      </c>
      <c r="DG67" s="536">
        <v>23144.727272727272</v>
      </c>
      <c r="DH67" s="536">
        <v>23144.727272727272</v>
      </c>
    </row>
    <row r="68" spans="2:112">
      <c r="F68" s="539"/>
      <c r="G68" s="539"/>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row>
    <row r="69" spans="2:112">
      <c r="B69" t="s">
        <v>961</v>
      </c>
      <c r="C69" t="s">
        <v>728</v>
      </c>
      <c r="D69" t="s">
        <v>907</v>
      </c>
      <c r="E69" t="s">
        <v>908</v>
      </c>
      <c r="F69" s="541">
        <v>164.17250000000001</v>
      </c>
      <c r="G69" s="541">
        <v>164.17250000000001</v>
      </c>
      <c r="H69" s="541">
        <v>164.17250000000001</v>
      </c>
      <c r="I69" s="541">
        <v>164.17250000000001</v>
      </c>
      <c r="J69" s="541">
        <v>164.17250000000001</v>
      </c>
      <c r="K69" s="541">
        <v>164.17250000000001</v>
      </c>
      <c r="L69" s="541">
        <v>164.17250000000001</v>
      </c>
      <c r="M69" s="541">
        <v>164.17250000000001</v>
      </c>
      <c r="N69" s="541">
        <v>164.17250000000001</v>
      </c>
      <c r="O69" s="541">
        <v>164.17250000000001</v>
      </c>
      <c r="P69" s="541">
        <v>164.17250000000001</v>
      </c>
      <c r="Q69" s="541">
        <v>164.17250000000001</v>
      </c>
      <c r="R69" s="541">
        <v>164.17250000000001</v>
      </c>
      <c r="S69" s="541">
        <v>164.17250000000001</v>
      </c>
      <c r="T69" s="541">
        <v>164.17250000000001</v>
      </c>
      <c r="U69" s="541">
        <v>164.17250000000001</v>
      </c>
      <c r="V69" s="541">
        <v>164.17250000000001</v>
      </c>
      <c r="W69" s="541">
        <v>164.17250000000001</v>
      </c>
      <c r="X69" s="541">
        <v>164.17250000000001</v>
      </c>
      <c r="Y69" s="541">
        <v>164.17250000000001</v>
      </c>
      <c r="Z69" s="541">
        <v>164.17250000000001</v>
      </c>
      <c r="AA69" s="541">
        <v>164.17250000000001</v>
      </c>
      <c r="AB69" s="541">
        <v>164.17250000000001</v>
      </c>
      <c r="AC69" s="541">
        <v>164.17250000000001</v>
      </c>
      <c r="AD69" s="541">
        <v>164.17250000000001</v>
      </c>
      <c r="AE69" s="541">
        <v>164.17250000000001</v>
      </c>
      <c r="AF69" s="541">
        <v>164.17250000000001</v>
      </c>
      <c r="AG69" s="541">
        <v>164.17250000000001</v>
      </c>
      <c r="AH69" s="542">
        <f>AG69</f>
        <v>164.17250000000001</v>
      </c>
      <c r="AI69" s="542">
        <f t="shared" ref="AI69:AX69" si="71">AH69</f>
        <v>164.17250000000001</v>
      </c>
      <c r="AJ69" s="542">
        <f t="shared" si="71"/>
        <v>164.17250000000001</v>
      </c>
      <c r="AK69" s="542">
        <f t="shared" si="71"/>
        <v>164.17250000000001</v>
      </c>
      <c r="AL69" s="542">
        <f t="shared" si="71"/>
        <v>164.17250000000001</v>
      </c>
      <c r="AM69" s="542">
        <f t="shared" si="71"/>
        <v>164.17250000000001</v>
      </c>
      <c r="AN69" s="542">
        <f t="shared" si="71"/>
        <v>164.17250000000001</v>
      </c>
      <c r="AO69" s="542">
        <f t="shared" si="71"/>
        <v>164.17250000000001</v>
      </c>
      <c r="AP69" s="542">
        <f t="shared" si="71"/>
        <v>164.17250000000001</v>
      </c>
      <c r="AQ69" s="542">
        <f t="shared" si="71"/>
        <v>164.17250000000001</v>
      </c>
      <c r="AR69" s="542">
        <f t="shared" si="71"/>
        <v>164.17250000000001</v>
      </c>
      <c r="AS69" s="542">
        <f t="shared" si="71"/>
        <v>164.17250000000001</v>
      </c>
      <c r="AT69" s="542">
        <f t="shared" si="71"/>
        <v>164.17250000000001</v>
      </c>
      <c r="AU69" s="542">
        <f t="shared" si="71"/>
        <v>164.17250000000001</v>
      </c>
      <c r="AV69" s="542">
        <f t="shared" si="71"/>
        <v>164.17250000000001</v>
      </c>
      <c r="AW69" s="542">
        <f t="shared" si="71"/>
        <v>164.17250000000001</v>
      </c>
      <c r="AX69" s="542">
        <f t="shared" si="71"/>
        <v>164.17250000000001</v>
      </c>
      <c r="AY69" s="542">
        <f t="shared" ref="AY69:BN69" si="72">AX69</f>
        <v>164.17250000000001</v>
      </c>
      <c r="AZ69" s="542">
        <f t="shared" si="72"/>
        <v>164.17250000000001</v>
      </c>
      <c r="BA69" s="542">
        <f t="shared" si="72"/>
        <v>164.17250000000001</v>
      </c>
      <c r="BB69" s="542">
        <f t="shared" si="72"/>
        <v>164.17250000000001</v>
      </c>
      <c r="BC69" s="542">
        <f t="shared" si="72"/>
        <v>164.17250000000001</v>
      </c>
      <c r="BD69" s="542">
        <f t="shared" si="72"/>
        <v>164.17250000000001</v>
      </c>
      <c r="BE69" s="542">
        <f t="shared" si="72"/>
        <v>164.17250000000001</v>
      </c>
      <c r="BF69" s="542">
        <f t="shared" si="72"/>
        <v>164.17250000000001</v>
      </c>
      <c r="BG69" s="542">
        <f t="shared" si="72"/>
        <v>164.17250000000001</v>
      </c>
      <c r="BH69" s="542">
        <f t="shared" si="72"/>
        <v>164.17250000000001</v>
      </c>
      <c r="BI69" s="542">
        <f t="shared" si="72"/>
        <v>164.17250000000001</v>
      </c>
      <c r="BJ69" s="542">
        <f t="shared" si="72"/>
        <v>164.17250000000001</v>
      </c>
      <c r="BK69" s="542">
        <f t="shared" si="72"/>
        <v>164.17250000000001</v>
      </c>
      <c r="BL69" s="542">
        <f t="shared" si="72"/>
        <v>164.17250000000001</v>
      </c>
      <c r="BM69" s="542">
        <f t="shared" si="72"/>
        <v>164.17250000000001</v>
      </c>
      <c r="BN69" s="542">
        <f t="shared" si="72"/>
        <v>164.17250000000001</v>
      </c>
      <c r="BO69" s="542">
        <f t="shared" ref="BO69:CD69" si="73">BN69</f>
        <v>164.17250000000001</v>
      </c>
      <c r="BP69" s="542">
        <f t="shared" si="73"/>
        <v>164.17250000000001</v>
      </c>
      <c r="BQ69" s="542">
        <f t="shared" si="73"/>
        <v>164.17250000000001</v>
      </c>
      <c r="BR69" s="542">
        <f t="shared" si="73"/>
        <v>164.17250000000001</v>
      </c>
      <c r="BS69" s="542">
        <f t="shared" si="73"/>
        <v>164.17250000000001</v>
      </c>
      <c r="BT69" s="542">
        <f t="shared" si="73"/>
        <v>164.17250000000001</v>
      </c>
      <c r="BU69" s="542">
        <f t="shared" si="73"/>
        <v>164.17250000000001</v>
      </c>
      <c r="BV69" s="542">
        <f t="shared" si="73"/>
        <v>164.17250000000001</v>
      </c>
      <c r="BW69" s="542">
        <f t="shared" si="73"/>
        <v>164.17250000000001</v>
      </c>
      <c r="BX69" s="542">
        <f t="shared" si="73"/>
        <v>164.17250000000001</v>
      </c>
      <c r="BY69" s="542">
        <f t="shared" si="73"/>
        <v>164.17250000000001</v>
      </c>
      <c r="BZ69" s="542">
        <f t="shared" si="73"/>
        <v>164.17250000000001</v>
      </c>
      <c r="CA69" s="542">
        <f t="shared" si="73"/>
        <v>164.17250000000001</v>
      </c>
      <c r="CB69" s="542">
        <f t="shared" si="73"/>
        <v>164.17250000000001</v>
      </c>
      <c r="CC69" s="542">
        <f t="shared" si="73"/>
        <v>164.17250000000001</v>
      </c>
      <c r="CD69" s="542">
        <f t="shared" si="73"/>
        <v>164.17250000000001</v>
      </c>
      <c r="CE69" s="542">
        <f t="shared" ref="AX69:CE76" si="74">CD69</f>
        <v>164.17250000000001</v>
      </c>
      <c r="CG69" s="541">
        <v>164.17250000000001</v>
      </c>
      <c r="CH69" s="541">
        <v>164.17250000000001</v>
      </c>
      <c r="CI69" s="541">
        <v>164.17250000000001</v>
      </c>
      <c r="CJ69" s="541">
        <v>164.17250000000001</v>
      </c>
      <c r="CK69" s="541">
        <v>164.17250000000001</v>
      </c>
      <c r="CL69" s="541">
        <v>164.17250000000001</v>
      </c>
      <c r="CM69" s="541">
        <v>164.17250000000001</v>
      </c>
      <c r="CN69" s="541">
        <v>164.17250000000001</v>
      </c>
      <c r="CO69" s="541">
        <v>164.17250000000001</v>
      </c>
      <c r="CP69" s="541">
        <v>164.17250000000001</v>
      </c>
      <c r="CQ69" s="541">
        <v>164.17250000000001</v>
      </c>
      <c r="CR69" s="541">
        <v>164.17250000000001</v>
      </c>
      <c r="CS69" s="541">
        <v>164.17250000000001</v>
      </c>
      <c r="CT69" s="541">
        <v>164.17250000000001</v>
      </c>
      <c r="CU69" s="541">
        <v>164.17250000000001</v>
      </c>
      <c r="CV69" s="541">
        <v>164.17250000000001</v>
      </c>
      <c r="CW69" s="541">
        <v>164.17250000000001</v>
      </c>
      <c r="CX69" s="541">
        <v>164.17250000000001</v>
      </c>
      <c r="CY69" s="541">
        <v>164.17250000000001</v>
      </c>
      <c r="CZ69" s="541">
        <v>164.17250000000001</v>
      </c>
      <c r="DA69" s="541">
        <v>164.17250000000001</v>
      </c>
      <c r="DB69" s="541">
        <v>164.17250000000001</v>
      </c>
      <c r="DC69" s="541">
        <v>164.17250000000001</v>
      </c>
      <c r="DD69" s="541">
        <v>164.17250000000001</v>
      </c>
      <c r="DE69" s="541">
        <v>164.17250000000001</v>
      </c>
      <c r="DF69" s="541">
        <v>164.17250000000001</v>
      </c>
      <c r="DG69" s="541">
        <v>164.17250000000001</v>
      </c>
      <c r="DH69" s="541">
        <v>164.17250000000001</v>
      </c>
    </row>
    <row r="70" spans="2:112">
      <c r="B70" t="s">
        <v>962</v>
      </c>
      <c r="C70" t="s">
        <v>728</v>
      </c>
      <c r="D70" t="s">
        <v>910</v>
      </c>
      <c r="E70" t="s">
        <v>911</v>
      </c>
      <c r="F70" s="541">
        <v>3.6297715454545454</v>
      </c>
      <c r="G70" s="541">
        <v>3.6297715454545454</v>
      </c>
      <c r="H70" s="541">
        <v>3.6297715454545454</v>
      </c>
      <c r="I70" s="541">
        <v>3.6297715454545454</v>
      </c>
      <c r="J70" s="541">
        <v>3.6297715454545454</v>
      </c>
      <c r="K70" s="541">
        <v>3.6297715454545454</v>
      </c>
      <c r="L70" s="541">
        <v>3.6297715454545454</v>
      </c>
      <c r="M70" s="541">
        <v>3.6297715454545454</v>
      </c>
      <c r="N70" s="541">
        <v>3.6297715454545454</v>
      </c>
      <c r="O70" s="541">
        <v>3.6297715454545454</v>
      </c>
      <c r="P70" s="541">
        <v>3.6297715454545454</v>
      </c>
      <c r="Q70" s="541">
        <v>3.6297715454545454</v>
      </c>
      <c r="R70" s="541">
        <v>3.6297715454545454</v>
      </c>
      <c r="S70" s="541">
        <v>3.6297715454545454</v>
      </c>
      <c r="T70" s="541">
        <v>3.6297715454545454</v>
      </c>
      <c r="U70" s="541">
        <v>3.6297715454545454</v>
      </c>
      <c r="V70" s="541">
        <v>3.6297715454545454</v>
      </c>
      <c r="W70" s="541">
        <v>3.6297715454545454</v>
      </c>
      <c r="X70" s="541">
        <v>3.6297715454545454</v>
      </c>
      <c r="Y70" s="541">
        <v>3.6297715454545454</v>
      </c>
      <c r="Z70" s="541">
        <v>3.6297715454545454</v>
      </c>
      <c r="AA70" s="541">
        <v>3.6297715454545454</v>
      </c>
      <c r="AB70" s="541">
        <v>3.6297715454545454</v>
      </c>
      <c r="AC70" s="541">
        <v>3.6297715454545454</v>
      </c>
      <c r="AD70" s="541">
        <v>3.6297715454545454</v>
      </c>
      <c r="AE70" s="541">
        <v>3.6297715454545454</v>
      </c>
      <c r="AF70" s="541">
        <v>3.6297715454545454</v>
      </c>
      <c r="AG70" s="541">
        <v>3.6297715454545454</v>
      </c>
      <c r="AH70" s="542">
        <f t="shared" ref="AH70:AW76" si="75">AG70</f>
        <v>3.6297715454545454</v>
      </c>
      <c r="AI70" s="542">
        <f t="shared" si="75"/>
        <v>3.6297715454545454</v>
      </c>
      <c r="AJ70" s="542">
        <f t="shared" si="75"/>
        <v>3.6297715454545454</v>
      </c>
      <c r="AK70" s="542">
        <f t="shared" si="75"/>
        <v>3.6297715454545454</v>
      </c>
      <c r="AL70" s="542">
        <f t="shared" si="75"/>
        <v>3.6297715454545454</v>
      </c>
      <c r="AM70" s="542">
        <f t="shared" si="75"/>
        <v>3.6297715454545454</v>
      </c>
      <c r="AN70" s="542">
        <f t="shared" si="75"/>
        <v>3.6297715454545454</v>
      </c>
      <c r="AO70" s="542">
        <f t="shared" si="75"/>
        <v>3.6297715454545454</v>
      </c>
      <c r="AP70" s="542">
        <f t="shared" si="75"/>
        <v>3.6297715454545454</v>
      </c>
      <c r="AQ70" s="542">
        <f t="shared" si="75"/>
        <v>3.6297715454545454</v>
      </c>
      <c r="AR70" s="542">
        <f t="shared" si="75"/>
        <v>3.6297715454545454</v>
      </c>
      <c r="AS70" s="542">
        <f t="shared" si="75"/>
        <v>3.6297715454545454</v>
      </c>
      <c r="AT70" s="542">
        <f t="shared" si="75"/>
        <v>3.6297715454545454</v>
      </c>
      <c r="AU70" s="542">
        <f t="shared" si="75"/>
        <v>3.6297715454545454</v>
      </c>
      <c r="AV70" s="542">
        <f t="shared" si="75"/>
        <v>3.6297715454545454</v>
      </c>
      <c r="AW70" s="542">
        <f t="shared" si="75"/>
        <v>3.6297715454545454</v>
      </c>
      <c r="AX70" s="542">
        <f t="shared" si="74"/>
        <v>3.6297715454545454</v>
      </c>
      <c r="AY70" s="542">
        <f t="shared" si="74"/>
        <v>3.6297715454545454</v>
      </c>
      <c r="AZ70" s="542">
        <f t="shared" si="74"/>
        <v>3.6297715454545454</v>
      </c>
      <c r="BA70" s="542">
        <f t="shared" si="74"/>
        <v>3.6297715454545454</v>
      </c>
      <c r="BB70" s="542">
        <f t="shared" si="74"/>
        <v>3.6297715454545454</v>
      </c>
      <c r="BC70" s="542">
        <f t="shared" si="74"/>
        <v>3.6297715454545454</v>
      </c>
      <c r="BD70" s="542">
        <f t="shared" si="74"/>
        <v>3.6297715454545454</v>
      </c>
      <c r="BE70" s="542">
        <f t="shared" si="74"/>
        <v>3.6297715454545454</v>
      </c>
      <c r="BF70" s="542">
        <f t="shared" si="74"/>
        <v>3.6297715454545454</v>
      </c>
      <c r="BG70" s="542">
        <f t="shared" si="74"/>
        <v>3.6297715454545454</v>
      </c>
      <c r="BH70" s="542">
        <f t="shared" si="74"/>
        <v>3.6297715454545454</v>
      </c>
      <c r="BI70" s="542">
        <f t="shared" si="74"/>
        <v>3.6297715454545454</v>
      </c>
      <c r="BJ70" s="542">
        <f t="shared" si="74"/>
        <v>3.6297715454545454</v>
      </c>
      <c r="BK70" s="542">
        <f t="shared" si="74"/>
        <v>3.6297715454545454</v>
      </c>
      <c r="BL70" s="542">
        <f t="shared" si="74"/>
        <v>3.6297715454545454</v>
      </c>
      <c r="BM70" s="542">
        <f t="shared" si="74"/>
        <v>3.6297715454545454</v>
      </c>
      <c r="BN70" s="542">
        <f t="shared" si="74"/>
        <v>3.6297715454545454</v>
      </c>
      <c r="BO70" s="542">
        <f t="shared" si="74"/>
        <v>3.6297715454545454</v>
      </c>
      <c r="BP70" s="542">
        <f t="shared" si="74"/>
        <v>3.6297715454545454</v>
      </c>
      <c r="BQ70" s="542">
        <f t="shared" si="74"/>
        <v>3.6297715454545454</v>
      </c>
      <c r="BR70" s="542">
        <f t="shared" si="74"/>
        <v>3.6297715454545454</v>
      </c>
      <c r="BS70" s="542">
        <f t="shared" si="74"/>
        <v>3.6297715454545454</v>
      </c>
      <c r="BT70" s="542">
        <f t="shared" si="74"/>
        <v>3.6297715454545454</v>
      </c>
      <c r="BU70" s="542">
        <f t="shared" si="74"/>
        <v>3.6297715454545454</v>
      </c>
      <c r="BV70" s="542">
        <f t="shared" si="74"/>
        <v>3.6297715454545454</v>
      </c>
      <c r="BW70" s="542">
        <f t="shared" si="74"/>
        <v>3.6297715454545454</v>
      </c>
      <c r="BX70" s="542">
        <f t="shared" si="74"/>
        <v>3.6297715454545454</v>
      </c>
      <c r="BY70" s="542">
        <f t="shared" si="74"/>
        <v>3.6297715454545454</v>
      </c>
      <c r="BZ70" s="542">
        <f t="shared" si="74"/>
        <v>3.6297715454545454</v>
      </c>
      <c r="CA70" s="542">
        <f t="shared" si="74"/>
        <v>3.6297715454545454</v>
      </c>
      <c r="CB70" s="542">
        <f t="shared" si="74"/>
        <v>3.6297715454545454</v>
      </c>
      <c r="CC70" s="542">
        <f t="shared" si="74"/>
        <v>3.6297715454545454</v>
      </c>
      <c r="CD70" s="542">
        <f t="shared" si="74"/>
        <v>3.6297715454545454</v>
      </c>
      <c r="CE70" s="542">
        <f t="shared" si="74"/>
        <v>3.6297715454545454</v>
      </c>
      <c r="CG70" s="541">
        <v>3.6297715454545454</v>
      </c>
      <c r="CH70" s="541">
        <v>3.6297715454545454</v>
      </c>
      <c r="CI70" s="541">
        <v>3.6297715454545454</v>
      </c>
      <c r="CJ70" s="541">
        <v>3.6297715454545454</v>
      </c>
      <c r="CK70" s="541">
        <v>3.6297715454545454</v>
      </c>
      <c r="CL70" s="541">
        <v>3.6297715454545454</v>
      </c>
      <c r="CM70" s="541">
        <v>3.6297715454545454</v>
      </c>
      <c r="CN70" s="541">
        <v>3.6297715454545454</v>
      </c>
      <c r="CO70" s="541">
        <v>3.6297715454545454</v>
      </c>
      <c r="CP70" s="541">
        <v>3.6297715454545454</v>
      </c>
      <c r="CQ70" s="541">
        <v>3.6297715454545454</v>
      </c>
      <c r="CR70" s="541">
        <v>3.6297715454545454</v>
      </c>
      <c r="CS70" s="541">
        <v>3.6297715454545454</v>
      </c>
      <c r="CT70" s="541">
        <v>3.6297715454545454</v>
      </c>
      <c r="CU70" s="541">
        <v>3.6297715454545454</v>
      </c>
      <c r="CV70" s="541">
        <v>3.6297715454545454</v>
      </c>
      <c r="CW70" s="541">
        <v>3.6297715454545454</v>
      </c>
      <c r="CX70" s="541">
        <v>3.6297715454545454</v>
      </c>
      <c r="CY70" s="541">
        <v>3.6297715454545454</v>
      </c>
      <c r="CZ70" s="541">
        <v>3.6297715454545454</v>
      </c>
      <c r="DA70" s="541">
        <v>3.6297715454545454</v>
      </c>
      <c r="DB70" s="541">
        <v>3.6297715454545454</v>
      </c>
      <c r="DC70" s="541">
        <v>3.6297715454545454</v>
      </c>
      <c r="DD70" s="541">
        <v>3.6297715454545454</v>
      </c>
      <c r="DE70" s="541">
        <v>3.6297715454545454</v>
      </c>
      <c r="DF70" s="541">
        <v>3.6297715454545454</v>
      </c>
      <c r="DG70" s="541">
        <v>3.6297715454545454</v>
      </c>
      <c r="DH70" s="541">
        <v>3.6297715454545454</v>
      </c>
    </row>
    <row r="71" spans="2:112">
      <c r="B71" t="s">
        <v>963</v>
      </c>
      <c r="C71" t="s">
        <v>728</v>
      </c>
      <c r="D71" t="s">
        <v>913</v>
      </c>
      <c r="E71" t="s">
        <v>908</v>
      </c>
      <c r="F71" s="541">
        <v>205.43</v>
      </c>
      <c r="G71" s="541">
        <v>205.43</v>
      </c>
      <c r="H71" s="541">
        <v>205.43</v>
      </c>
      <c r="I71" s="541">
        <v>205.43</v>
      </c>
      <c r="J71" s="541">
        <v>205.43</v>
      </c>
      <c r="K71" s="541">
        <v>205.43</v>
      </c>
      <c r="L71" s="541">
        <v>205.43</v>
      </c>
      <c r="M71" s="541">
        <v>205.43</v>
      </c>
      <c r="N71" s="541">
        <v>205.43</v>
      </c>
      <c r="O71" s="541">
        <v>205.43</v>
      </c>
      <c r="P71" s="541">
        <v>205.43</v>
      </c>
      <c r="Q71" s="541">
        <v>205.43</v>
      </c>
      <c r="R71" s="541">
        <v>205.43</v>
      </c>
      <c r="S71" s="541">
        <v>205.43</v>
      </c>
      <c r="T71" s="541">
        <v>205.43</v>
      </c>
      <c r="U71" s="541">
        <v>205.43</v>
      </c>
      <c r="V71" s="541">
        <v>205.43</v>
      </c>
      <c r="W71" s="541">
        <v>205.43</v>
      </c>
      <c r="X71" s="541">
        <v>205.43</v>
      </c>
      <c r="Y71" s="541">
        <v>205.43</v>
      </c>
      <c r="Z71" s="541">
        <v>205.43</v>
      </c>
      <c r="AA71" s="541">
        <v>205.43</v>
      </c>
      <c r="AB71" s="541">
        <v>205.43</v>
      </c>
      <c r="AC71" s="541">
        <v>205.43</v>
      </c>
      <c r="AD71" s="541">
        <v>205.43</v>
      </c>
      <c r="AE71" s="541">
        <v>205.43</v>
      </c>
      <c r="AF71" s="541">
        <v>205.43</v>
      </c>
      <c r="AG71" s="541">
        <v>205.43</v>
      </c>
      <c r="AH71" s="542">
        <f t="shared" si="75"/>
        <v>205.43</v>
      </c>
      <c r="AI71" s="542">
        <f t="shared" si="75"/>
        <v>205.43</v>
      </c>
      <c r="AJ71" s="542">
        <f t="shared" si="75"/>
        <v>205.43</v>
      </c>
      <c r="AK71" s="542">
        <f t="shared" si="75"/>
        <v>205.43</v>
      </c>
      <c r="AL71" s="542">
        <f t="shared" si="75"/>
        <v>205.43</v>
      </c>
      <c r="AM71" s="542">
        <f t="shared" si="75"/>
        <v>205.43</v>
      </c>
      <c r="AN71" s="542">
        <f t="shared" si="75"/>
        <v>205.43</v>
      </c>
      <c r="AO71" s="542">
        <f t="shared" si="75"/>
        <v>205.43</v>
      </c>
      <c r="AP71" s="542">
        <f t="shared" si="75"/>
        <v>205.43</v>
      </c>
      <c r="AQ71" s="542">
        <f t="shared" si="75"/>
        <v>205.43</v>
      </c>
      <c r="AR71" s="542">
        <f t="shared" si="75"/>
        <v>205.43</v>
      </c>
      <c r="AS71" s="542">
        <f t="shared" si="75"/>
        <v>205.43</v>
      </c>
      <c r="AT71" s="542">
        <f t="shared" si="75"/>
        <v>205.43</v>
      </c>
      <c r="AU71" s="542">
        <f t="shared" si="75"/>
        <v>205.43</v>
      </c>
      <c r="AV71" s="542">
        <f t="shared" si="75"/>
        <v>205.43</v>
      </c>
      <c r="AW71" s="542">
        <f t="shared" si="75"/>
        <v>205.43</v>
      </c>
      <c r="AX71" s="542">
        <f t="shared" si="74"/>
        <v>205.43</v>
      </c>
      <c r="AY71" s="542">
        <f t="shared" si="74"/>
        <v>205.43</v>
      </c>
      <c r="AZ71" s="542">
        <f t="shared" si="74"/>
        <v>205.43</v>
      </c>
      <c r="BA71" s="542">
        <f t="shared" si="74"/>
        <v>205.43</v>
      </c>
      <c r="BB71" s="542">
        <f t="shared" si="74"/>
        <v>205.43</v>
      </c>
      <c r="BC71" s="542">
        <f t="shared" si="74"/>
        <v>205.43</v>
      </c>
      <c r="BD71" s="542">
        <f t="shared" si="74"/>
        <v>205.43</v>
      </c>
      <c r="BE71" s="542">
        <f t="shared" si="74"/>
        <v>205.43</v>
      </c>
      <c r="BF71" s="542">
        <f t="shared" si="74"/>
        <v>205.43</v>
      </c>
      <c r="BG71" s="542">
        <f t="shared" si="74"/>
        <v>205.43</v>
      </c>
      <c r="BH71" s="542">
        <f t="shared" si="74"/>
        <v>205.43</v>
      </c>
      <c r="BI71" s="542">
        <f t="shared" si="74"/>
        <v>205.43</v>
      </c>
      <c r="BJ71" s="542">
        <f t="shared" si="74"/>
        <v>205.43</v>
      </c>
      <c r="BK71" s="542">
        <f t="shared" si="74"/>
        <v>205.43</v>
      </c>
      <c r="BL71" s="542">
        <f t="shared" si="74"/>
        <v>205.43</v>
      </c>
      <c r="BM71" s="542">
        <f t="shared" si="74"/>
        <v>205.43</v>
      </c>
      <c r="BN71" s="542">
        <f t="shared" si="74"/>
        <v>205.43</v>
      </c>
      <c r="BO71" s="542">
        <f t="shared" si="74"/>
        <v>205.43</v>
      </c>
      <c r="BP71" s="542">
        <f t="shared" si="74"/>
        <v>205.43</v>
      </c>
      <c r="BQ71" s="542">
        <f t="shared" si="74"/>
        <v>205.43</v>
      </c>
      <c r="BR71" s="542">
        <f t="shared" si="74"/>
        <v>205.43</v>
      </c>
      <c r="BS71" s="542">
        <f t="shared" si="74"/>
        <v>205.43</v>
      </c>
      <c r="BT71" s="542">
        <f t="shared" si="74"/>
        <v>205.43</v>
      </c>
      <c r="BU71" s="542">
        <f t="shared" si="74"/>
        <v>205.43</v>
      </c>
      <c r="BV71" s="542">
        <f t="shared" si="74"/>
        <v>205.43</v>
      </c>
      <c r="BW71" s="542">
        <f t="shared" si="74"/>
        <v>205.43</v>
      </c>
      <c r="BX71" s="542">
        <f t="shared" si="74"/>
        <v>205.43</v>
      </c>
      <c r="BY71" s="542">
        <f t="shared" si="74"/>
        <v>205.43</v>
      </c>
      <c r="BZ71" s="542">
        <f t="shared" si="74"/>
        <v>205.43</v>
      </c>
      <c r="CA71" s="542">
        <f t="shared" si="74"/>
        <v>205.43</v>
      </c>
      <c r="CB71" s="542">
        <f t="shared" si="74"/>
        <v>205.43</v>
      </c>
      <c r="CC71" s="542">
        <f t="shared" si="74"/>
        <v>205.43</v>
      </c>
      <c r="CD71" s="542">
        <f t="shared" si="74"/>
        <v>205.43</v>
      </c>
      <c r="CE71" s="542">
        <f t="shared" si="74"/>
        <v>205.43</v>
      </c>
      <c r="CG71" s="541">
        <v>205.43</v>
      </c>
      <c r="CH71" s="541">
        <v>205.43</v>
      </c>
      <c r="CI71" s="541">
        <v>205.43</v>
      </c>
      <c r="CJ71" s="541">
        <v>205.43</v>
      </c>
      <c r="CK71" s="541">
        <v>205.43</v>
      </c>
      <c r="CL71" s="541">
        <v>205.43</v>
      </c>
      <c r="CM71" s="541">
        <v>205.43</v>
      </c>
      <c r="CN71" s="541">
        <v>205.43</v>
      </c>
      <c r="CO71" s="541">
        <v>205.43</v>
      </c>
      <c r="CP71" s="541">
        <v>205.43</v>
      </c>
      <c r="CQ71" s="541">
        <v>205.43</v>
      </c>
      <c r="CR71" s="541">
        <v>205.43</v>
      </c>
      <c r="CS71" s="541">
        <v>205.43</v>
      </c>
      <c r="CT71" s="541">
        <v>205.43</v>
      </c>
      <c r="CU71" s="541">
        <v>205.43</v>
      </c>
      <c r="CV71" s="541">
        <v>205.43</v>
      </c>
      <c r="CW71" s="541">
        <v>205.43</v>
      </c>
      <c r="CX71" s="541">
        <v>205.43</v>
      </c>
      <c r="CY71" s="541">
        <v>205.43</v>
      </c>
      <c r="CZ71" s="541">
        <v>205.43</v>
      </c>
      <c r="DA71" s="541">
        <v>205.43</v>
      </c>
      <c r="DB71" s="541">
        <v>205.43</v>
      </c>
      <c r="DC71" s="541">
        <v>205.43</v>
      </c>
      <c r="DD71" s="541">
        <v>205.43</v>
      </c>
      <c r="DE71" s="541">
        <v>205.43</v>
      </c>
      <c r="DF71" s="541">
        <v>205.43</v>
      </c>
      <c r="DG71" s="541">
        <v>205.43</v>
      </c>
      <c r="DH71" s="541">
        <v>205.43</v>
      </c>
    </row>
    <row r="72" spans="2:112">
      <c r="B72" t="s">
        <v>964</v>
      </c>
      <c r="C72" t="s">
        <v>728</v>
      </c>
      <c r="D72" t="s">
        <v>915</v>
      </c>
      <c r="E72" t="s">
        <v>911</v>
      </c>
      <c r="F72" s="541">
        <v>4.000746545454545</v>
      </c>
      <c r="G72" s="541">
        <v>4.000746545454545</v>
      </c>
      <c r="H72" s="541">
        <v>4.000746545454545</v>
      </c>
      <c r="I72" s="541">
        <v>4.000746545454545</v>
      </c>
      <c r="J72" s="541">
        <v>4.000746545454545</v>
      </c>
      <c r="K72" s="541">
        <v>4.000746545454545</v>
      </c>
      <c r="L72" s="541">
        <v>4.000746545454545</v>
      </c>
      <c r="M72" s="541">
        <v>4.000746545454545</v>
      </c>
      <c r="N72" s="541">
        <v>4.000746545454545</v>
      </c>
      <c r="O72" s="541">
        <v>4.000746545454545</v>
      </c>
      <c r="P72" s="541">
        <v>4.000746545454545</v>
      </c>
      <c r="Q72" s="541">
        <v>4.000746545454545</v>
      </c>
      <c r="R72" s="541">
        <v>4.000746545454545</v>
      </c>
      <c r="S72" s="541">
        <v>4.000746545454545</v>
      </c>
      <c r="T72" s="541">
        <v>4.000746545454545</v>
      </c>
      <c r="U72" s="541">
        <v>4.000746545454545</v>
      </c>
      <c r="V72" s="541">
        <v>4.000746545454545</v>
      </c>
      <c r="W72" s="541">
        <v>4.000746545454545</v>
      </c>
      <c r="X72" s="541">
        <v>4.000746545454545</v>
      </c>
      <c r="Y72" s="541">
        <v>4.000746545454545</v>
      </c>
      <c r="Z72" s="541">
        <v>4.000746545454545</v>
      </c>
      <c r="AA72" s="541">
        <v>4.000746545454545</v>
      </c>
      <c r="AB72" s="541">
        <v>4.000746545454545</v>
      </c>
      <c r="AC72" s="541">
        <v>4.000746545454545</v>
      </c>
      <c r="AD72" s="541">
        <v>4.000746545454545</v>
      </c>
      <c r="AE72" s="541">
        <v>4.000746545454545</v>
      </c>
      <c r="AF72" s="541">
        <v>4.000746545454545</v>
      </c>
      <c r="AG72" s="541">
        <v>4.000746545454545</v>
      </c>
      <c r="AH72" s="542">
        <f t="shared" si="75"/>
        <v>4.000746545454545</v>
      </c>
      <c r="AI72" s="542">
        <f t="shared" si="75"/>
        <v>4.000746545454545</v>
      </c>
      <c r="AJ72" s="542">
        <f t="shared" si="75"/>
        <v>4.000746545454545</v>
      </c>
      <c r="AK72" s="542">
        <f t="shared" si="75"/>
        <v>4.000746545454545</v>
      </c>
      <c r="AL72" s="542">
        <f t="shared" si="75"/>
        <v>4.000746545454545</v>
      </c>
      <c r="AM72" s="542">
        <f t="shared" si="75"/>
        <v>4.000746545454545</v>
      </c>
      <c r="AN72" s="542">
        <f t="shared" si="75"/>
        <v>4.000746545454545</v>
      </c>
      <c r="AO72" s="542">
        <f t="shared" si="75"/>
        <v>4.000746545454545</v>
      </c>
      <c r="AP72" s="542">
        <f t="shared" si="75"/>
        <v>4.000746545454545</v>
      </c>
      <c r="AQ72" s="542">
        <f t="shared" si="75"/>
        <v>4.000746545454545</v>
      </c>
      <c r="AR72" s="542">
        <f t="shared" si="75"/>
        <v>4.000746545454545</v>
      </c>
      <c r="AS72" s="542">
        <f t="shared" si="75"/>
        <v>4.000746545454545</v>
      </c>
      <c r="AT72" s="542">
        <f t="shared" si="75"/>
        <v>4.000746545454545</v>
      </c>
      <c r="AU72" s="542">
        <f t="shared" si="75"/>
        <v>4.000746545454545</v>
      </c>
      <c r="AV72" s="542">
        <f t="shared" si="75"/>
        <v>4.000746545454545</v>
      </c>
      <c r="AW72" s="542">
        <f t="shared" si="75"/>
        <v>4.000746545454545</v>
      </c>
      <c r="AX72" s="542">
        <f t="shared" si="74"/>
        <v>4.000746545454545</v>
      </c>
      <c r="AY72" s="542">
        <f t="shared" si="74"/>
        <v>4.000746545454545</v>
      </c>
      <c r="AZ72" s="542">
        <f t="shared" si="74"/>
        <v>4.000746545454545</v>
      </c>
      <c r="BA72" s="542">
        <f t="shared" si="74"/>
        <v>4.000746545454545</v>
      </c>
      <c r="BB72" s="542">
        <f t="shared" si="74"/>
        <v>4.000746545454545</v>
      </c>
      <c r="BC72" s="542">
        <f t="shared" si="74"/>
        <v>4.000746545454545</v>
      </c>
      <c r="BD72" s="542">
        <f t="shared" si="74"/>
        <v>4.000746545454545</v>
      </c>
      <c r="BE72" s="542">
        <f t="shared" si="74"/>
        <v>4.000746545454545</v>
      </c>
      <c r="BF72" s="542">
        <f t="shared" si="74"/>
        <v>4.000746545454545</v>
      </c>
      <c r="BG72" s="542">
        <f t="shared" si="74"/>
        <v>4.000746545454545</v>
      </c>
      <c r="BH72" s="542">
        <f t="shared" si="74"/>
        <v>4.000746545454545</v>
      </c>
      <c r="BI72" s="542">
        <f t="shared" si="74"/>
        <v>4.000746545454545</v>
      </c>
      <c r="BJ72" s="542">
        <f t="shared" si="74"/>
        <v>4.000746545454545</v>
      </c>
      <c r="BK72" s="542">
        <f t="shared" si="74"/>
        <v>4.000746545454545</v>
      </c>
      <c r="BL72" s="542">
        <f t="shared" si="74"/>
        <v>4.000746545454545</v>
      </c>
      <c r="BM72" s="542">
        <f t="shared" si="74"/>
        <v>4.000746545454545</v>
      </c>
      <c r="BN72" s="542">
        <f t="shared" si="74"/>
        <v>4.000746545454545</v>
      </c>
      <c r="BO72" s="542">
        <f t="shared" si="74"/>
        <v>4.000746545454545</v>
      </c>
      <c r="BP72" s="542">
        <f t="shared" si="74"/>
        <v>4.000746545454545</v>
      </c>
      <c r="BQ72" s="542">
        <f t="shared" si="74"/>
        <v>4.000746545454545</v>
      </c>
      <c r="BR72" s="542">
        <f t="shared" si="74"/>
        <v>4.000746545454545</v>
      </c>
      <c r="BS72" s="542">
        <f t="shared" si="74"/>
        <v>4.000746545454545</v>
      </c>
      <c r="BT72" s="542">
        <f t="shared" si="74"/>
        <v>4.000746545454545</v>
      </c>
      <c r="BU72" s="542">
        <f t="shared" si="74"/>
        <v>4.000746545454545</v>
      </c>
      <c r="BV72" s="542">
        <f t="shared" si="74"/>
        <v>4.000746545454545</v>
      </c>
      <c r="BW72" s="542">
        <f t="shared" si="74"/>
        <v>4.000746545454545</v>
      </c>
      <c r="BX72" s="542">
        <f t="shared" si="74"/>
        <v>4.000746545454545</v>
      </c>
      <c r="BY72" s="542">
        <f t="shared" si="74"/>
        <v>4.000746545454545</v>
      </c>
      <c r="BZ72" s="542">
        <f t="shared" si="74"/>
        <v>4.000746545454545</v>
      </c>
      <c r="CA72" s="542">
        <f t="shared" si="74"/>
        <v>4.000746545454545</v>
      </c>
      <c r="CB72" s="542">
        <f t="shared" si="74"/>
        <v>4.000746545454545</v>
      </c>
      <c r="CC72" s="542">
        <f t="shared" si="74"/>
        <v>4.000746545454545</v>
      </c>
      <c r="CD72" s="542">
        <f t="shared" si="74"/>
        <v>4.000746545454545</v>
      </c>
      <c r="CE72" s="542">
        <f t="shared" si="74"/>
        <v>4.000746545454545</v>
      </c>
      <c r="CG72" s="541">
        <v>4.000746545454545</v>
      </c>
      <c r="CH72" s="541">
        <v>4.000746545454545</v>
      </c>
      <c r="CI72" s="541">
        <v>4.000746545454545</v>
      </c>
      <c r="CJ72" s="541">
        <v>4.000746545454545</v>
      </c>
      <c r="CK72" s="541">
        <v>4.000746545454545</v>
      </c>
      <c r="CL72" s="541">
        <v>4.000746545454545</v>
      </c>
      <c r="CM72" s="541">
        <v>4.000746545454545</v>
      </c>
      <c r="CN72" s="541">
        <v>4.000746545454545</v>
      </c>
      <c r="CO72" s="541">
        <v>4.000746545454545</v>
      </c>
      <c r="CP72" s="541">
        <v>4.000746545454545</v>
      </c>
      <c r="CQ72" s="541">
        <v>4.000746545454545</v>
      </c>
      <c r="CR72" s="541">
        <v>4.000746545454545</v>
      </c>
      <c r="CS72" s="541">
        <v>4.000746545454545</v>
      </c>
      <c r="CT72" s="541">
        <v>4.000746545454545</v>
      </c>
      <c r="CU72" s="541">
        <v>4.000746545454545</v>
      </c>
      <c r="CV72" s="541">
        <v>4.000746545454545</v>
      </c>
      <c r="CW72" s="541">
        <v>4.000746545454545</v>
      </c>
      <c r="CX72" s="541">
        <v>4.000746545454545</v>
      </c>
      <c r="CY72" s="541">
        <v>4.000746545454545</v>
      </c>
      <c r="CZ72" s="541">
        <v>4.000746545454545</v>
      </c>
      <c r="DA72" s="541">
        <v>4.000746545454545</v>
      </c>
      <c r="DB72" s="541">
        <v>4.000746545454545</v>
      </c>
      <c r="DC72" s="541">
        <v>4.000746545454545</v>
      </c>
      <c r="DD72" s="541">
        <v>4.000746545454545</v>
      </c>
      <c r="DE72" s="541">
        <v>4.000746545454545</v>
      </c>
      <c r="DF72" s="541">
        <v>4.000746545454545</v>
      </c>
      <c r="DG72" s="541">
        <v>4.000746545454545</v>
      </c>
      <c r="DH72" s="541">
        <v>4.000746545454545</v>
      </c>
    </row>
    <row r="73" spans="2:112">
      <c r="B73" t="s">
        <v>965</v>
      </c>
      <c r="C73" t="s">
        <v>728</v>
      </c>
      <c r="D73" t="s">
        <v>917</v>
      </c>
      <c r="E73" t="s">
        <v>908</v>
      </c>
      <c r="F73" s="541">
        <v>185.965</v>
      </c>
      <c r="G73" s="541">
        <v>185.965</v>
      </c>
      <c r="H73" s="541">
        <v>185.965</v>
      </c>
      <c r="I73" s="541">
        <v>185.965</v>
      </c>
      <c r="J73" s="541">
        <v>185.965</v>
      </c>
      <c r="K73" s="541">
        <v>185.965</v>
      </c>
      <c r="L73" s="541">
        <v>185.965</v>
      </c>
      <c r="M73" s="541">
        <v>185.965</v>
      </c>
      <c r="N73" s="541">
        <v>185.965</v>
      </c>
      <c r="O73" s="541">
        <v>185.965</v>
      </c>
      <c r="P73" s="541">
        <v>185.965</v>
      </c>
      <c r="Q73" s="541">
        <v>185.965</v>
      </c>
      <c r="R73" s="541">
        <v>185.965</v>
      </c>
      <c r="S73" s="541">
        <v>185.965</v>
      </c>
      <c r="T73" s="541">
        <v>185.965</v>
      </c>
      <c r="U73" s="541">
        <v>185.965</v>
      </c>
      <c r="V73" s="541">
        <v>185.965</v>
      </c>
      <c r="W73" s="541">
        <v>185.965</v>
      </c>
      <c r="X73" s="541">
        <v>185.965</v>
      </c>
      <c r="Y73" s="541">
        <v>185.965</v>
      </c>
      <c r="Z73" s="541">
        <v>185.965</v>
      </c>
      <c r="AA73" s="541">
        <v>185.965</v>
      </c>
      <c r="AB73" s="541">
        <v>185.965</v>
      </c>
      <c r="AC73" s="541">
        <v>185.965</v>
      </c>
      <c r="AD73" s="541">
        <v>185.965</v>
      </c>
      <c r="AE73" s="541">
        <v>185.965</v>
      </c>
      <c r="AF73" s="541">
        <v>185.965</v>
      </c>
      <c r="AG73" s="541">
        <v>185.965</v>
      </c>
      <c r="AH73" s="542">
        <f t="shared" si="75"/>
        <v>185.965</v>
      </c>
      <c r="AI73" s="542">
        <f t="shared" si="75"/>
        <v>185.965</v>
      </c>
      <c r="AJ73" s="542">
        <f t="shared" si="75"/>
        <v>185.965</v>
      </c>
      <c r="AK73" s="542">
        <f t="shared" si="75"/>
        <v>185.965</v>
      </c>
      <c r="AL73" s="542">
        <f t="shared" si="75"/>
        <v>185.965</v>
      </c>
      <c r="AM73" s="542">
        <f t="shared" si="75"/>
        <v>185.965</v>
      </c>
      <c r="AN73" s="542">
        <f t="shared" si="75"/>
        <v>185.965</v>
      </c>
      <c r="AO73" s="542">
        <f t="shared" si="75"/>
        <v>185.965</v>
      </c>
      <c r="AP73" s="542">
        <f t="shared" si="75"/>
        <v>185.965</v>
      </c>
      <c r="AQ73" s="542">
        <f t="shared" si="75"/>
        <v>185.965</v>
      </c>
      <c r="AR73" s="542">
        <f t="shared" si="75"/>
        <v>185.965</v>
      </c>
      <c r="AS73" s="542">
        <f t="shared" si="75"/>
        <v>185.965</v>
      </c>
      <c r="AT73" s="542">
        <f t="shared" si="75"/>
        <v>185.965</v>
      </c>
      <c r="AU73" s="542">
        <f t="shared" si="75"/>
        <v>185.965</v>
      </c>
      <c r="AV73" s="542">
        <f t="shared" si="75"/>
        <v>185.965</v>
      </c>
      <c r="AW73" s="542">
        <f t="shared" si="75"/>
        <v>185.965</v>
      </c>
      <c r="AX73" s="542">
        <f t="shared" si="74"/>
        <v>185.965</v>
      </c>
      <c r="AY73" s="542">
        <f t="shared" si="74"/>
        <v>185.965</v>
      </c>
      <c r="AZ73" s="542">
        <f t="shared" si="74"/>
        <v>185.965</v>
      </c>
      <c r="BA73" s="542">
        <f t="shared" si="74"/>
        <v>185.965</v>
      </c>
      <c r="BB73" s="542">
        <f t="shared" si="74"/>
        <v>185.965</v>
      </c>
      <c r="BC73" s="542">
        <f t="shared" si="74"/>
        <v>185.965</v>
      </c>
      <c r="BD73" s="542">
        <f t="shared" si="74"/>
        <v>185.965</v>
      </c>
      <c r="BE73" s="542">
        <f t="shared" si="74"/>
        <v>185.965</v>
      </c>
      <c r="BF73" s="542">
        <f t="shared" si="74"/>
        <v>185.965</v>
      </c>
      <c r="BG73" s="542">
        <f t="shared" si="74"/>
        <v>185.965</v>
      </c>
      <c r="BH73" s="542">
        <f t="shared" si="74"/>
        <v>185.965</v>
      </c>
      <c r="BI73" s="542">
        <f t="shared" si="74"/>
        <v>185.965</v>
      </c>
      <c r="BJ73" s="542">
        <f t="shared" si="74"/>
        <v>185.965</v>
      </c>
      <c r="BK73" s="542">
        <f t="shared" si="74"/>
        <v>185.965</v>
      </c>
      <c r="BL73" s="542">
        <f t="shared" si="74"/>
        <v>185.965</v>
      </c>
      <c r="BM73" s="542">
        <f t="shared" si="74"/>
        <v>185.965</v>
      </c>
      <c r="BN73" s="542">
        <f t="shared" si="74"/>
        <v>185.965</v>
      </c>
      <c r="BO73" s="542">
        <f t="shared" si="74"/>
        <v>185.965</v>
      </c>
      <c r="BP73" s="542">
        <f t="shared" si="74"/>
        <v>185.965</v>
      </c>
      <c r="BQ73" s="542">
        <f t="shared" si="74"/>
        <v>185.965</v>
      </c>
      <c r="BR73" s="542">
        <f t="shared" si="74"/>
        <v>185.965</v>
      </c>
      <c r="BS73" s="542">
        <f t="shared" si="74"/>
        <v>185.965</v>
      </c>
      <c r="BT73" s="542">
        <f t="shared" si="74"/>
        <v>185.965</v>
      </c>
      <c r="BU73" s="542">
        <f t="shared" si="74"/>
        <v>185.965</v>
      </c>
      <c r="BV73" s="542">
        <f t="shared" si="74"/>
        <v>185.965</v>
      </c>
      <c r="BW73" s="542">
        <f t="shared" si="74"/>
        <v>185.965</v>
      </c>
      <c r="BX73" s="542">
        <f t="shared" si="74"/>
        <v>185.965</v>
      </c>
      <c r="BY73" s="542">
        <f t="shared" si="74"/>
        <v>185.965</v>
      </c>
      <c r="BZ73" s="542">
        <f t="shared" si="74"/>
        <v>185.965</v>
      </c>
      <c r="CA73" s="542">
        <f t="shared" si="74"/>
        <v>185.965</v>
      </c>
      <c r="CB73" s="542">
        <f t="shared" si="74"/>
        <v>185.965</v>
      </c>
      <c r="CC73" s="542">
        <f t="shared" si="74"/>
        <v>185.965</v>
      </c>
      <c r="CD73" s="542">
        <f t="shared" si="74"/>
        <v>185.965</v>
      </c>
      <c r="CE73" s="542">
        <f t="shared" si="74"/>
        <v>185.965</v>
      </c>
      <c r="CG73" s="541">
        <v>185.965</v>
      </c>
      <c r="CH73" s="541">
        <v>185.965</v>
      </c>
      <c r="CI73" s="541">
        <v>185.965</v>
      </c>
      <c r="CJ73" s="541">
        <v>185.965</v>
      </c>
      <c r="CK73" s="541">
        <v>185.965</v>
      </c>
      <c r="CL73" s="541">
        <v>185.965</v>
      </c>
      <c r="CM73" s="541">
        <v>185.965</v>
      </c>
      <c r="CN73" s="541">
        <v>185.965</v>
      </c>
      <c r="CO73" s="541">
        <v>185.965</v>
      </c>
      <c r="CP73" s="541">
        <v>185.965</v>
      </c>
      <c r="CQ73" s="541">
        <v>185.965</v>
      </c>
      <c r="CR73" s="541">
        <v>185.965</v>
      </c>
      <c r="CS73" s="541">
        <v>185.965</v>
      </c>
      <c r="CT73" s="541">
        <v>185.965</v>
      </c>
      <c r="CU73" s="541">
        <v>185.965</v>
      </c>
      <c r="CV73" s="541">
        <v>185.965</v>
      </c>
      <c r="CW73" s="541">
        <v>185.965</v>
      </c>
      <c r="CX73" s="541">
        <v>185.965</v>
      </c>
      <c r="CY73" s="541">
        <v>185.965</v>
      </c>
      <c r="CZ73" s="541">
        <v>185.965</v>
      </c>
      <c r="DA73" s="541">
        <v>185.965</v>
      </c>
      <c r="DB73" s="541">
        <v>185.965</v>
      </c>
      <c r="DC73" s="541">
        <v>185.965</v>
      </c>
      <c r="DD73" s="541">
        <v>185.965</v>
      </c>
      <c r="DE73" s="541">
        <v>185.965</v>
      </c>
      <c r="DF73" s="541">
        <v>185.965</v>
      </c>
      <c r="DG73" s="541">
        <v>185.965</v>
      </c>
      <c r="DH73" s="541">
        <v>185.965</v>
      </c>
    </row>
    <row r="74" spans="2:112">
      <c r="B74" t="s">
        <v>966</v>
      </c>
      <c r="C74" t="s">
        <v>728</v>
      </c>
      <c r="D74" t="s">
        <v>919</v>
      </c>
      <c r="E74" t="s">
        <v>911</v>
      </c>
      <c r="F74" s="541">
        <v>3.8060965454545452</v>
      </c>
      <c r="G74" s="541">
        <v>3.8060965454545452</v>
      </c>
      <c r="H74" s="541">
        <v>3.8060965454545452</v>
      </c>
      <c r="I74" s="541">
        <v>3.8060965454545452</v>
      </c>
      <c r="J74" s="541">
        <v>3.8060965454545452</v>
      </c>
      <c r="K74" s="541">
        <v>3.8060965454545452</v>
      </c>
      <c r="L74" s="541">
        <v>3.8060965454545452</v>
      </c>
      <c r="M74" s="541">
        <v>3.8060965454545452</v>
      </c>
      <c r="N74" s="541">
        <v>3.8060965454545452</v>
      </c>
      <c r="O74" s="541">
        <v>3.8060965454545452</v>
      </c>
      <c r="P74" s="541">
        <v>3.8060965454545452</v>
      </c>
      <c r="Q74" s="541">
        <v>3.8060965454545452</v>
      </c>
      <c r="R74" s="541">
        <v>3.8060965454545452</v>
      </c>
      <c r="S74" s="541">
        <v>3.8060965454545452</v>
      </c>
      <c r="T74" s="541">
        <v>3.8060965454545452</v>
      </c>
      <c r="U74" s="541">
        <v>3.8060965454545452</v>
      </c>
      <c r="V74" s="541">
        <v>3.8060965454545452</v>
      </c>
      <c r="W74" s="541">
        <v>3.8060965454545452</v>
      </c>
      <c r="X74" s="541">
        <v>3.8060965454545452</v>
      </c>
      <c r="Y74" s="541">
        <v>3.8060965454545452</v>
      </c>
      <c r="Z74" s="541">
        <v>3.8060965454545452</v>
      </c>
      <c r="AA74" s="541">
        <v>3.8060965454545452</v>
      </c>
      <c r="AB74" s="541">
        <v>3.8060965454545452</v>
      </c>
      <c r="AC74" s="541">
        <v>3.8060965454545452</v>
      </c>
      <c r="AD74" s="541">
        <v>3.8060965454545452</v>
      </c>
      <c r="AE74" s="541">
        <v>3.8060965454545452</v>
      </c>
      <c r="AF74" s="541">
        <v>3.8060965454545452</v>
      </c>
      <c r="AG74" s="541">
        <v>3.8060965454545452</v>
      </c>
      <c r="AH74" s="542">
        <f t="shared" si="75"/>
        <v>3.8060965454545452</v>
      </c>
      <c r="AI74" s="542">
        <f t="shared" si="75"/>
        <v>3.8060965454545452</v>
      </c>
      <c r="AJ74" s="542">
        <f t="shared" si="75"/>
        <v>3.8060965454545452</v>
      </c>
      <c r="AK74" s="542">
        <f t="shared" si="75"/>
        <v>3.8060965454545452</v>
      </c>
      <c r="AL74" s="542">
        <f t="shared" si="75"/>
        <v>3.8060965454545452</v>
      </c>
      <c r="AM74" s="542">
        <f t="shared" si="75"/>
        <v>3.8060965454545452</v>
      </c>
      <c r="AN74" s="542">
        <f t="shared" si="75"/>
        <v>3.8060965454545452</v>
      </c>
      <c r="AO74" s="542">
        <f t="shared" si="75"/>
        <v>3.8060965454545452</v>
      </c>
      <c r="AP74" s="542">
        <f t="shared" si="75"/>
        <v>3.8060965454545452</v>
      </c>
      <c r="AQ74" s="542">
        <f t="shared" si="75"/>
        <v>3.8060965454545452</v>
      </c>
      <c r="AR74" s="542">
        <f t="shared" si="75"/>
        <v>3.8060965454545452</v>
      </c>
      <c r="AS74" s="542">
        <f t="shared" si="75"/>
        <v>3.8060965454545452</v>
      </c>
      <c r="AT74" s="542">
        <f t="shared" si="75"/>
        <v>3.8060965454545452</v>
      </c>
      <c r="AU74" s="542">
        <f t="shared" si="75"/>
        <v>3.8060965454545452</v>
      </c>
      <c r="AV74" s="542">
        <f t="shared" si="75"/>
        <v>3.8060965454545452</v>
      </c>
      <c r="AW74" s="542">
        <f t="shared" si="75"/>
        <v>3.8060965454545452</v>
      </c>
      <c r="AX74" s="542">
        <f t="shared" si="74"/>
        <v>3.8060965454545452</v>
      </c>
      <c r="AY74" s="542">
        <f t="shared" si="74"/>
        <v>3.8060965454545452</v>
      </c>
      <c r="AZ74" s="542">
        <f t="shared" si="74"/>
        <v>3.8060965454545452</v>
      </c>
      <c r="BA74" s="542">
        <f t="shared" si="74"/>
        <v>3.8060965454545452</v>
      </c>
      <c r="BB74" s="542">
        <f t="shared" si="74"/>
        <v>3.8060965454545452</v>
      </c>
      <c r="BC74" s="542">
        <f t="shared" si="74"/>
        <v>3.8060965454545452</v>
      </c>
      <c r="BD74" s="542">
        <f t="shared" si="74"/>
        <v>3.8060965454545452</v>
      </c>
      <c r="BE74" s="542">
        <f t="shared" si="74"/>
        <v>3.8060965454545452</v>
      </c>
      <c r="BF74" s="542">
        <f t="shared" si="74"/>
        <v>3.8060965454545452</v>
      </c>
      <c r="BG74" s="542">
        <f t="shared" si="74"/>
        <v>3.8060965454545452</v>
      </c>
      <c r="BH74" s="542">
        <f t="shared" si="74"/>
        <v>3.8060965454545452</v>
      </c>
      <c r="BI74" s="542">
        <f t="shared" si="74"/>
        <v>3.8060965454545452</v>
      </c>
      <c r="BJ74" s="542">
        <f t="shared" si="74"/>
        <v>3.8060965454545452</v>
      </c>
      <c r="BK74" s="542">
        <f t="shared" si="74"/>
        <v>3.8060965454545452</v>
      </c>
      <c r="BL74" s="542">
        <f t="shared" si="74"/>
        <v>3.8060965454545452</v>
      </c>
      <c r="BM74" s="542">
        <f t="shared" si="74"/>
        <v>3.8060965454545452</v>
      </c>
      <c r="BN74" s="542">
        <f t="shared" si="74"/>
        <v>3.8060965454545452</v>
      </c>
      <c r="BO74" s="542">
        <f t="shared" si="74"/>
        <v>3.8060965454545452</v>
      </c>
      <c r="BP74" s="542">
        <f t="shared" si="74"/>
        <v>3.8060965454545452</v>
      </c>
      <c r="BQ74" s="542">
        <f t="shared" si="74"/>
        <v>3.8060965454545452</v>
      </c>
      <c r="BR74" s="542">
        <f t="shared" si="74"/>
        <v>3.8060965454545452</v>
      </c>
      <c r="BS74" s="542">
        <f t="shared" si="74"/>
        <v>3.8060965454545452</v>
      </c>
      <c r="BT74" s="542">
        <f t="shared" si="74"/>
        <v>3.8060965454545452</v>
      </c>
      <c r="BU74" s="542">
        <f t="shared" si="74"/>
        <v>3.8060965454545452</v>
      </c>
      <c r="BV74" s="542">
        <f t="shared" si="74"/>
        <v>3.8060965454545452</v>
      </c>
      <c r="BW74" s="542">
        <f t="shared" si="74"/>
        <v>3.8060965454545452</v>
      </c>
      <c r="BX74" s="542">
        <f t="shared" si="74"/>
        <v>3.8060965454545452</v>
      </c>
      <c r="BY74" s="542">
        <f t="shared" si="74"/>
        <v>3.8060965454545452</v>
      </c>
      <c r="BZ74" s="542">
        <f t="shared" si="74"/>
        <v>3.8060965454545452</v>
      </c>
      <c r="CA74" s="542">
        <f t="shared" si="74"/>
        <v>3.8060965454545452</v>
      </c>
      <c r="CB74" s="542">
        <f t="shared" si="74"/>
        <v>3.8060965454545452</v>
      </c>
      <c r="CC74" s="542">
        <f t="shared" si="74"/>
        <v>3.8060965454545452</v>
      </c>
      <c r="CD74" s="542">
        <f t="shared" si="74"/>
        <v>3.8060965454545452</v>
      </c>
      <c r="CE74" s="542">
        <f t="shared" si="74"/>
        <v>3.8060965454545452</v>
      </c>
      <c r="CG74" s="541">
        <v>3.8060965454545452</v>
      </c>
      <c r="CH74" s="541">
        <v>3.8060965454545452</v>
      </c>
      <c r="CI74" s="541">
        <v>3.8060965454545452</v>
      </c>
      <c r="CJ74" s="541">
        <v>3.8060965454545452</v>
      </c>
      <c r="CK74" s="541">
        <v>3.8060965454545452</v>
      </c>
      <c r="CL74" s="541">
        <v>3.8060965454545452</v>
      </c>
      <c r="CM74" s="541">
        <v>3.8060965454545452</v>
      </c>
      <c r="CN74" s="541">
        <v>3.8060965454545452</v>
      </c>
      <c r="CO74" s="541">
        <v>3.8060965454545452</v>
      </c>
      <c r="CP74" s="541">
        <v>3.8060965454545452</v>
      </c>
      <c r="CQ74" s="541">
        <v>3.8060965454545452</v>
      </c>
      <c r="CR74" s="541">
        <v>3.8060965454545452</v>
      </c>
      <c r="CS74" s="541">
        <v>3.8060965454545452</v>
      </c>
      <c r="CT74" s="541">
        <v>3.8060965454545452</v>
      </c>
      <c r="CU74" s="541">
        <v>3.8060965454545452</v>
      </c>
      <c r="CV74" s="541">
        <v>3.8060965454545452</v>
      </c>
      <c r="CW74" s="541">
        <v>3.8060965454545452</v>
      </c>
      <c r="CX74" s="541">
        <v>3.8060965454545452</v>
      </c>
      <c r="CY74" s="541">
        <v>3.8060965454545452</v>
      </c>
      <c r="CZ74" s="541">
        <v>3.8060965454545452</v>
      </c>
      <c r="DA74" s="541">
        <v>3.8060965454545452</v>
      </c>
      <c r="DB74" s="541">
        <v>3.8060965454545452</v>
      </c>
      <c r="DC74" s="541">
        <v>3.8060965454545452</v>
      </c>
      <c r="DD74" s="541">
        <v>3.8060965454545452</v>
      </c>
      <c r="DE74" s="541">
        <v>3.8060965454545452</v>
      </c>
      <c r="DF74" s="541">
        <v>3.8060965454545452</v>
      </c>
      <c r="DG74" s="541">
        <v>3.8060965454545452</v>
      </c>
      <c r="DH74" s="541">
        <v>3.8060965454545452</v>
      </c>
    </row>
    <row r="75" spans="2:112">
      <c r="B75" t="s">
        <v>967</v>
      </c>
      <c r="C75" t="s">
        <v>728</v>
      </c>
      <c r="D75" t="s">
        <v>921</v>
      </c>
      <c r="E75" t="s">
        <v>908</v>
      </c>
      <c r="F75" s="541">
        <v>193.02</v>
      </c>
      <c r="G75" s="541">
        <v>193.02</v>
      </c>
      <c r="H75" s="541">
        <v>193.02</v>
      </c>
      <c r="I75" s="541">
        <v>193.02</v>
      </c>
      <c r="J75" s="541">
        <v>193.02</v>
      </c>
      <c r="K75" s="541">
        <v>193.02</v>
      </c>
      <c r="L75" s="541">
        <v>193.02</v>
      </c>
      <c r="M75" s="541">
        <v>193.02</v>
      </c>
      <c r="N75" s="541">
        <v>193.02</v>
      </c>
      <c r="O75" s="541">
        <v>193.02</v>
      </c>
      <c r="P75" s="541">
        <v>193.02</v>
      </c>
      <c r="Q75" s="541">
        <v>193.02</v>
      </c>
      <c r="R75" s="541">
        <v>193.02</v>
      </c>
      <c r="S75" s="541">
        <v>193.02</v>
      </c>
      <c r="T75" s="541">
        <v>193.02</v>
      </c>
      <c r="U75" s="541">
        <v>193.02</v>
      </c>
      <c r="V75" s="541">
        <v>193.02</v>
      </c>
      <c r="W75" s="541">
        <v>193.02</v>
      </c>
      <c r="X75" s="541">
        <v>193.02</v>
      </c>
      <c r="Y75" s="541">
        <v>193.02</v>
      </c>
      <c r="Z75" s="541">
        <v>193.02</v>
      </c>
      <c r="AA75" s="541">
        <v>193.02</v>
      </c>
      <c r="AB75" s="541">
        <v>193.02</v>
      </c>
      <c r="AC75" s="541">
        <v>193.02</v>
      </c>
      <c r="AD75" s="541">
        <v>193.02</v>
      </c>
      <c r="AE75" s="541">
        <v>193.02</v>
      </c>
      <c r="AF75" s="541">
        <v>193.02</v>
      </c>
      <c r="AG75" s="541">
        <v>193.02</v>
      </c>
      <c r="AH75" s="542">
        <f t="shared" si="75"/>
        <v>193.02</v>
      </c>
      <c r="AI75" s="542">
        <f t="shared" si="75"/>
        <v>193.02</v>
      </c>
      <c r="AJ75" s="542">
        <f t="shared" si="75"/>
        <v>193.02</v>
      </c>
      <c r="AK75" s="542">
        <f t="shared" si="75"/>
        <v>193.02</v>
      </c>
      <c r="AL75" s="542">
        <f t="shared" si="75"/>
        <v>193.02</v>
      </c>
      <c r="AM75" s="542">
        <f t="shared" si="75"/>
        <v>193.02</v>
      </c>
      <c r="AN75" s="542">
        <f t="shared" si="75"/>
        <v>193.02</v>
      </c>
      <c r="AO75" s="542">
        <f t="shared" si="75"/>
        <v>193.02</v>
      </c>
      <c r="AP75" s="542">
        <f t="shared" si="75"/>
        <v>193.02</v>
      </c>
      <c r="AQ75" s="542">
        <f t="shared" si="75"/>
        <v>193.02</v>
      </c>
      <c r="AR75" s="542">
        <f t="shared" si="75"/>
        <v>193.02</v>
      </c>
      <c r="AS75" s="542">
        <f t="shared" si="75"/>
        <v>193.02</v>
      </c>
      <c r="AT75" s="542">
        <f t="shared" si="75"/>
        <v>193.02</v>
      </c>
      <c r="AU75" s="542">
        <f t="shared" si="75"/>
        <v>193.02</v>
      </c>
      <c r="AV75" s="542">
        <f t="shared" si="75"/>
        <v>193.02</v>
      </c>
      <c r="AW75" s="542">
        <f t="shared" si="75"/>
        <v>193.02</v>
      </c>
      <c r="AX75" s="542">
        <f t="shared" si="74"/>
        <v>193.02</v>
      </c>
      <c r="AY75" s="542">
        <f t="shared" si="74"/>
        <v>193.02</v>
      </c>
      <c r="AZ75" s="542">
        <f t="shared" si="74"/>
        <v>193.02</v>
      </c>
      <c r="BA75" s="542">
        <f t="shared" si="74"/>
        <v>193.02</v>
      </c>
      <c r="BB75" s="542">
        <f t="shared" si="74"/>
        <v>193.02</v>
      </c>
      <c r="BC75" s="542">
        <f t="shared" si="74"/>
        <v>193.02</v>
      </c>
      <c r="BD75" s="542">
        <f t="shared" si="74"/>
        <v>193.02</v>
      </c>
      <c r="BE75" s="542">
        <f t="shared" si="74"/>
        <v>193.02</v>
      </c>
      <c r="BF75" s="542">
        <f t="shared" si="74"/>
        <v>193.02</v>
      </c>
      <c r="BG75" s="542">
        <f t="shared" si="74"/>
        <v>193.02</v>
      </c>
      <c r="BH75" s="542">
        <f t="shared" si="74"/>
        <v>193.02</v>
      </c>
      <c r="BI75" s="542">
        <f t="shared" si="74"/>
        <v>193.02</v>
      </c>
      <c r="BJ75" s="542">
        <f t="shared" si="74"/>
        <v>193.02</v>
      </c>
      <c r="BK75" s="542">
        <f t="shared" si="74"/>
        <v>193.02</v>
      </c>
      <c r="BL75" s="542">
        <f t="shared" si="74"/>
        <v>193.02</v>
      </c>
      <c r="BM75" s="542">
        <f t="shared" si="74"/>
        <v>193.02</v>
      </c>
      <c r="BN75" s="542">
        <f t="shared" si="74"/>
        <v>193.02</v>
      </c>
      <c r="BO75" s="542">
        <f t="shared" si="74"/>
        <v>193.02</v>
      </c>
      <c r="BP75" s="542">
        <f t="shared" si="74"/>
        <v>193.02</v>
      </c>
      <c r="BQ75" s="542">
        <f t="shared" si="74"/>
        <v>193.02</v>
      </c>
      <c r="BR75" s="542">
        <f t="shared" si="74"/>
        <v>193.02</v>
      </c>
      <c r="BS75" s="542">
        <f t="shared" si="74"/>
        <v>193.02</v>
      </c>
      <c r="BT75" s="542">
        <f t="shared" si="74"/>
        <v>193.02</v>
      </c>
      <c r="BU75" s="542">
        <f t="shared" si="74"/>
        <v>193.02</v>
      </c>
      <c r="BV75" s="542">
        <f t="shared" si="74"/>
        <v>193.02</v>
      </c>
      <c r="BW75" s="542">
        <f t="shared" si="74"/>
        <v>193.02</v>
      </c>
      <c r="BX75" s="542">
        <f t="shared" si="74"/>
        <v>193.02</v>
      </c>
      <c r="BY75" s="542">
        <f t="shared" si="74"/>
        <v>193.02</v>
      </c>
      <c r="BZ75" s="542">
        <f t="shared" si="74"/>
        <v>193.02</v>
      </c>
      <c r="CA75" s="542">
        <f t="shared" si="74"/>
        <v>193.02</v>
      </c>
      <c r="CB75" s="542">
        <f t="shared" si="74"/>
        <v>193.02</v>
      </c>
      <c r="CC75" s="542">
        <f t="shared" si="74"/>
        <v>193.02</v>
      </c>
      <c r="CD75" s="542">
        <f t="shared" si="74"/>
        <v>193.02</v>
      </c>
      <c r="CE75" s="542">
        <f t="shared" si="74"/>
        <v>193.02</v>
      </c>
      <c r="CG75" s="541">
        <v>193.02</v>
      </c>
      <c r="CH75" s="541">
        <v>193.02</v>
      </c>
      <c r="CI75" s="541">
        <v>193.02</v>
      </c>
      <c r="CJ75" s="541">
        <v>193.02</v>
      </c>
      <c r="CK75" s="541">
        <v>193.02</v>
      </c>
      <c r="CL75" s="541">
        <v>193.02</v>
      </c>
      <c r="CM75" s="541">
        <v>193.02</v>
      </c>
      <c r="CN75" s="541">
        <v>193.02</v>
      </c>
      <c r="CO75" s="541">
        <v>193.02</v>
      </c>
      <c r="CP75" s="541">
        <v>193.02</v>
      </c>
      <c r="CQ75" s="541">
        <v>193.02</v>
      </c>
      <c r="CR75" s="541">
        <v>193.02</v>
      </c>
      <c r="CS75" s="541">
        <v>193.02</v>
      </c>
      <c r="CT75" s="541">
        <v>193.02</v>
      </c>
      <c r="CU75" s="541">
        <v>193.02</v>
      </c>
      <c r="CV75" s="541">
        <v>193.02</v>
      </c>
      <c r="CW75" s="541">
        <v>193.02</v>
      </c>
      <c r="CX75" s="541">
        <v>193.02</v>
      </c>
      <c r="CY75" s="541">
        <v>193.02</v>
      </c>
      <c r="CZ75" s="541">
        <v>193.02</v>
      </c>
      <c r="DA75" s="541">
        <v>193.02</v>
      </c>
      <c r="DB75" s="541">
        <v>193.02</v>
      </c>
      <c r="DC75" s="541">
        <v>193.02</v>
      </c>
      <c r="DD75" s="541">
        <v>193.02</v>
      </c>
      <c r="DE75" s="541">
        <v>193.02</v>
      </c>
      <c r="DF75" s="541">
        <v>193.02</v>
      </c>
      <c r="DG75" s="541">
        <v>193.02</v>
      </c>
      <c r="DH75" s="541">
        <v>193.02</v>
      </c>
    </row>
    <row r="76" spans="2:112">
      <c r="B76" t="s">
        <v>968</v>
      </c>
      <c r="C76" t="s">
        <v>728</v>
      </c>
      <c r="D76" t="s">
        <v>923</v>
      </c>
      <c r="E76" t="s">
        <v>911</v>
      </c>
      <c r="F76" s="541">
        <v>3.8766465454545456</v>
      </c>
      <c r="G76" s="541">
        <v>3.8766465454545456</v>
      </c>
      <c r="H76" s="541">
        <v>3.8766465454545456</v>
      </c>
      <c r="I76" s="541">
        <v>3.8766465454545456</v>
      </c>
      <c r="J76" s="541">
        <v>3.8766465454545456</v>
      </c>
      <c r="K76" s="541">
        <v>3.8766465454545456</v>
      </c>
      <c r="L76" s="541">
        <v>3.8766465454545456</v>
      </c>
      <c r="M76" s="541">
        <v>3.8766465454545456</v>
      </c>
      <c r="N76" s="541">
        <v>3.8766465454545456</v>
      </c>
      <c r="O76" s="541">
        <v>3.8766465454545456</v>
      </c>
      <c r="P76" s="541">
        <v>3.8766465454545456</v>
      </c>
      <c r="Q76" s="541">
        <v>3.8766465454545456</v>
      </c>
      <c r="R76" s="541">
        <v>3.8766465454545456</v>
      </c>
      <c r="S76" s="541">
        <v>3.8766465454545456</v>
      </c>
      <c r="T76" s="541">
        <v>3.8766465454545456</v>
      </c>
      <c r="U76" s="541">
        <v>3.8766465454545456</v>
      </c>
      <c r="V76" s="541">
        <v>3.8766465454545456</v>
      </c>
      <c r="W76" s="541">
        <v>3.8766465454545456</v>
      </c>
      <c r="X76" s="541">
        <v>3.8766465454545456</v>
      </c>
      <c r="Y76" s="541">
        <v>3.8766465454545456</v>
      </c>
      <c r="Z76" s="541">
        <v>3.8766465454545456</v>
      </c>
      <c r="AA76" s="541">
        <v>3.8766465454545456</v>
      </c>
      <c r="AB76" s="541">
        <v>3.8766465454545456</v>
      </c>
      <c r="AC76" s="541">
        <v>3.8766465454545456</v>
      </c>
      <c r="AD76" s="541">
        <v>3.8766465454545456</v>
      </c>
      <c r="AE76" s="541">
        <v>3.8766465454545456</v>
      </c>
      <c r="AF76" s="541">
        <v>3.8766465454545456</v>
      </c>
      <c r="AG76" s="541">
        <v>3.8766465454545456</v>
      </c>
      <c r="AH76" s="542">
        <f t="shared" si="75"/>
        <v>3.8766465454545456</v>
      </c>
      <c r="AI76" s="542">
        <f t="shared" si="75"/>
        <v>3.8766465454545456</v>
      </c>
      <c r="AJ76" s="542">
        <f t="shared" si="75"/>
        <v>3.8766465454545456</v>
      </c>
      <c r="AK76" s="542">
        <f t="shared" si="75"/>
        <v>3.8766465454545456</v>
      </c>
      <c r="AL76" s="542">
        <f t="shared" si="75"/>
        <v>3.8766465454545456</v>
      </c>
      <c r="AM76" s="542">
        <f t="shared" si="75"/>
        <v>3.8766465454545456</v>
      </c>
      <c r="AN76" s="542">
        <f t="shared" si="75"/>
        <v>3.8766465454545456</v>
      </c>
      <c r="AO76" s="542">
        <f t="shared" si="75"/>
        <v>3.8766465454545456</v>
      </c>
      <c r="AP76" s="542">
        <f t="shared" si="75"/>
        <v>3.8766465454545456</v>
      </c>
      <c r="AQ76" s="542">
        <f t="shared" si="75"/>
        <v>3.8766465454545456</v>
      </c>
      <c r="AR76" s="542">
        <f t="shared" si="75"/>
        <v>3.8766465454545456</v>
      </c>
      <c r="AS76" s="542">
        <f t="shared" si="75"/>
        <v>3.8766465454545456</v>
      </c>
      <c r="AT76" s="542">
        <f t="shared" si="75"/>
        <v>3.8766465454545456</v>
      </c>
      <c r="AU76" s="542">
        <f t="shared" si="75"/>
        <v>3.8766465454545456</v>
      </c>
      <c r="AV76" s="542">
        <f t="shared" si="75"/>
        <v>3.8766465454545456</v>
      </c>
      <c r="AW76" s="542">
        <f t="shared" si="75"/>
        <v>3.8766465454545456</v>
      </c>
      <c r="AX76" s="542">
        <f t="shared" si="74"/>
        <v>3.8766465454545456</v>
      </c>
      <c r="AY76" s="542">
        <f t="shared" si="74"/>
        <v>3.8766465454545456</v>
      </c>
      <c r="AZ76" s="542">
        <f t="shared" si="74"/>
        <v>3.8766465454545456</v>
      </c>
      <c r="BA76" s="542">
        <f t="shared" si="74"/>
        <v>3.8766465454545456</v>
      </c>
      <c r="BB76" s="542">
        <f t="shared" si="74"/>
        <v>3.8766465454545456</v>
      </c>
      <c r="BC76" s="542">
        <f t="shared" si="74"/>
        <v>3.8766465454545456</v>
      </c>
      <c r="BD76" s="542">
        <f t="shared" si="74"/>
        <v>3.8766465454545456</v>
      </c>
      <c r="BE76" s="542">
        <f t="shared" si="74"/>
        <v>3.8766465454545456</v>
      </c>
      <c r="BF76" s="542">
        <f t="shared" si="74"/>
        <v>3.8766465454545456</v>
      </c>
      <c r="BG76" s="542">
        <f t="shared" si="74"/>
        <v>3.8766465454545456</v>
      </c>
      <c r="BH76" s="542">
        <f t="shared" si="74"/>
        <v>3.8766465454545456</v>
      </c>
      <c r="BI76" s="542">
        <f t="shared" si="74"/>
        <v>3.8766465454545456</v>
      </c>
      <c r="BJ76" s="542">
        <f t="shared" si="74"/>
        <v>3.8766465454545456</v>
      </c>
      <c r="BK76" s="542">
        <f t="shared" si="74"/>
        <v>3.8766465454545456</v>
      </c>
      <c r="BL76" s="542">
        <f t="shared" si="74"/>
        <v>3.8766465454545456</v>
      </c>
      <c r="BM76" s="542">
        <f t="shared" si="74"/>
        <v>3.8766465454545456</v>
      </c>
      <c r="BN76" s="542">
        <f t="shared" si="74"/>
        <v>3.8766465454545456</v>
      </c>
      <c r="BO76" s="542">
        <f t="shared" si="74"/>
        <v>3.8766465454545456</v>
      </c>
      <c r="BP76" s="542">
        <f t="shared" si="74"/>
        <v>3.8766465454545456</v>
      </c>
      <c r="BQ76" s="542">
        <f t="shared" si="74"/>
        <v>3.8766465454545456</v>
      </c>
      <c r="BR76" s="542">
        <f t="shared" si="74"/>
        <v>3.8766465454545456</v>
      </c>
      <c r="BS76" s="542">
        <f t="shared" si="74"/>
        <v>3.8766465454545456</v>
      </c>
      <c r="BT76" s="542">
        <f t="shared" si="74"/>
        <v>3.8766465454545456</v>
      </c>
      <c r="BU76" s="542">
        <f t="shared" si="74"/>
        <v>3.8766465454545456</v>
      </c>
      <c r="BV76" s="542">
        <f t="shared" si="74"/>
        <v>3.8766465454545456</v>
      </c>
      <c r="BW76" s="542">
        <f t="shared" si="74"/>
        <v>3.8766465454545456</v>
      </c>
      <c r="BX76" s="542">
        <f t="shared" si="74"/>
        <v>3.8766465454545456</v>
      </c>
      <c r="BY76" s="542">
        <f t="shared" si="74"/>
        <v>3.8766465454545456</v>
      </c>
      <c r="BZ76" s="542">
        <f t="shared" si="74"/>
        <v>3.8766465454545456</v>
      </c>
      <c r="CA76" s="542">
        <f t="shared" si="74"/>
        <v>3.8766465454545456</v>
      </c>
      <c r="CB76" s="542">
        <f t="shared" si="74"/>
        <v>3.8766465454545456</v>
      </c>
      <c r="CC76" s="542">
        <f t="shared" si="74"/>
        <v>3.8766465454545456</v>
      </c>
      <c r="CD76" s="542">
        <f t="shared" si="74"/>
        <v>3.8766465454545456</v>
      </c>
      <c r="CE76" s="542">
        <f t="shared" si="74"/>
        <v>3.8766465454545456</v>
      </c>
      <c r="CG76" s="541">
        <v>3.8766465454545456</v>
      </c>
      <c r="CH76" s="541">
        <v>3.8766465454545456</v>
      </c>
      <c r="CI76" s="541">
        <v>3.8766465454545456</v>
      </c>
      <c r="CJ76" s="541">
        <v>3.8766465454545456</v>
      </c>
      <c r="CK76" s="541">
        <v>3.8766465454545456</v>
      </c>
      <c r="CL76" s="541">
        <v>3.8766465454545456</v>
      </c>
      <c r="CM76" s="541">
        <v>3.8766465454545456</v>
      </c>
      <c r="CN76" s="541">
        <v>3.8766465454545456</v>
      </c>
      <c r="CO76" s="541">
        <v>3.8766465454545456</v>
      </c>
      <c r="CP76" s="541">
        <v>3.8766465454545456</v>
      </c>
      <c r="CQ76" s="541">
        <v>3.8766465454545456</v>
      </c>
      <c r="CR76" s="541">
        <v>3.8766465454545456</v>
      </c>
      <c r="CS76" s="541">
        <v>3.8766465454545456</v>
      </c>
      <c r="CT76" s="541">
        <v>3.8766465454545456</v>
      </c>
      <c r="CU76" s="541">
        <v>3.8766465454545456</v>
      </c>
      <c r="CV76" s="541">
        <v>3.8766465454545456</v>
      </c>
      <c r="CW76" s="541">
        <v>3.8766465454545456</v>
      </c>
      <c r="CX76" s="541">
        <v>3.8766465454545456</v>
      </c>
      <c r="CY76" s="541">
        <v>3.8766465454545456</v>
      </c>
      <c r="CZ76" s="541">
        <v>3.8766465454545456</v>
      </c>
      <c r="DA76" s="541">
        <v>3.8766465454545456</v>
      </c>
      <c r="DB76" s="541">
        <v>3.8766465454545456</v>
      </c>
      <c r="DC76" s="541">
        <v>3.8766465454545456</v>
      </c>
      <c r="DD76" s="541">
        <v>3.8766465454545456</v>
      </c>
      <c r="DE76" s="541">
        <v>3.8766465454545456</v>
      </c>
      <c r="DF76" s="541">
        <v>3.8766465454545456</v>
      </c>
      <c r="DG76" s="541">
        <v>3.8766465454545456</v>
      </c>
      <c r="DH76" s="541">
        <v>3.8766465454545456</v>
      </c>
    </row>
    <row r="77" spans="2:112">
      <c r="B77" t="s">
        <v>924</v>
      </c>
    </row>
    <row r="78" spans="2:112" ht="15">
      <c r="B78" t="s">
        <v>969</v>
      </c>
      <c r="C78" s="485" t="s">
        <v>735</v>
      </c>
      <c r="D78" s="485" t="s">
        <v>877</v>
      </c>
      <c r="E78" s="485" t="s">
        <v>111</v>
      </c>
      <c r="F78" s="486">
        <f>2023</f>
        <v>2023</v>
      </c>
      <c r="G78" s="486">
        <f>F78+1</f>
        <v>2024</v>
      </c>
      <c r="H78" s="486">
        <f t="shared" ref="H78:AG78" si="76">G78+1</f>
        <v>2025</v>
      </c>
      <c r="I78" s="486">
        <f t="shared" si="76"/>
        <v>2026</v>
      </c>
      <c r="J78" s="486">
        <f t="shared" si="76"/>
        <v>2027</v>
      </c>
      <c r="K78" s="486">
        <f t="shared" si="76"/>
        <v>2028</v>
      </c>
      <c r="L78" s="486">
        <f t="shared" si="76"/>
        <v>2029</v>
      </c>
      <c r="M78" s="486">
        <f t="shared" si="76"/>
        <v>2030</v>
      </c>
      <c r="N78" s="486">
        <f t="shared" si="76"/>
        <v>2031</v>
      </c>
      <c r="O78" s="486">
        <f t="shared" si="76"/>
        <v>2032</v>
      </c>
      <c r="P78" s="486">
        <f t="shared" si="76"/>
        <v>2033</v>
      </c>
      <c r="Q78" s="486">
        <f t="shared" si="76"/>
        <v>2034</v>
      </c>
      <c r="R78" s="486">
        <f t="shared" si="76"/>
        <v>2035</v>
      </c>
      <c r="S78" s="486">
        <f t="shared" si="76"/>
        <v>2036</v>
      </c>
      <c r="T78" s="486">
        <f t="shared" si="76"/>
        <v>2037</v>
      </c>
      <c r="U78" s="486">
        <f t="shared" si="76"/>
        <v>2038</v>
      </c>
      <c r="V78" s="486">
        <f t="shared" si="76"/>
        <v>2039</v>
      </c>
      <c r="W78" s="486">
        <f t="shared" si="76"/>
        <v>2040</v>
      </c>
      <c r="X78" s="486">
        <f t="shared" si="76"/>
        <v>2041</v>
      </c>
      <c r="Y78" s="486">
        <f t="shared" si="76"/>
        <v>2042</v>
      </c>
      <c r="Z78" s="486">
        <f t="shared" si="76"/>
        <v>2043</v>
      </c>
      <c r="AA78" s="486">
        <f t="shared" si="76"/>
        <v>2044</v>
      </c>
      <c r="AB78" s="486">
        <f t="shared" si="76"/>
        <v>2045</v>
      </c>
      <c r="AC78" s="486">
        <f t="shared" si="76"/>
        <v>2046</v>
      </c>
      <c r="AD78" s="486">
        <f t="shared" si="76"/>
        <v>2047</v>
      </c>
      <c r="AE78" s="486">
        <f t="shared" si="76"/>
        <v>2048</v>
      </c>
      <c r="AF78" s="486">
        <f t="shared" si="76"/>
        <v>2049</v>
      </c>
      <c r="AG78" s="486">
        <f t="shared" si="76"/>
        <v>2050</v>
      </c>
      <c r="AH78" s="524">
        <f>AG78+1</f>
        <v>2051</v>
      </c>
      <c r="AI78" s="524">
        <f t="shared" ref="AI78:CE78" si="77">AH78+1</f>
        <v>2052</v>
      </c>
      <c r="AJ78" s="524">
        <f t="shared" si="77"/>
        <v>2053</v>
      </c>
      <c r="AK78" s="524">
        <f t="shared" si="77"/>
        <v>2054</v>
      </c>
      <c r="AL78" s="524">
        <f t="shared" si="77"/>
        <v>2055</v>
      </c>
      <c r="AM78" s="524">
        <f t="shared" si="77"/>
        <v>2056</v>
      </c>
      <c r="AN78" s="524">
        <f t="shared" si="77"/>
        <v>2057</v>
      </c>
      <c r="AO78" s="524">
        <f t="shared" si="77"/>
        <v>2058</v>
      </c>
      <c r="AP78" s="524">
        <f t="shared" si="77"/>
        <v>2059</v>
      </c>
      <c r="AQ78" s="524">
        <f t="shared" si="77"/>
        <v>2060</v>
      </c>
      <c r="AR78" s="524">
        <f t="shared" si="77"/>
        <v>2061</v>
      </c>
      <c r="AS78" s="524">
        <f t="shared" si="77"/>
        <v>2062</v>
      </c>
      <c r="AT78" s="524">
        <f t="shared" si="77"/>
        <v>2063</v>
      </c>
      <c r="AU78" s="524">
        <f t="shared" si="77"/>
        <v>2064</v>
      </c>
      <c r="AV78" s="524">
        <f t="shared" si="77"/>
        <v>2065</v>
      </c>
      <c r="AW78" s="524">
        <f t="shared" si="77"/>
        <v>2066</v>
      </c>
      <c r="AX78" s="524">
        <f t="shared" si="77"/>
        <v>2067</v>
      </c>
      <c r="AY78" s="524">
        <f t="shared" si="77"/>
        <v>2068</v>
      </c>
      <c r="AZ78" s="524">
        <f t="shared" si="77"/>
        <v>2069</v>
      </c>
      <c r="BA78" s="524">
        <f t="shared" si="77"/>
        <v>2070</v>
      </c>
      <c r="BB78" s="524">
        <f t="shared" si="77"/>
        <v>2071</v>
      </c>
      <c r="BC78" s="524">
        <f t="shared" si="77"/>
        <v>2072</v>
      </c>
      <c r="BD78" s="524">
        <f t="shared" si="77"/>
        <v>2073</v>
      </c>
      <c r="BE78" s="524">
        <f t="shared" si="77"/>
        <v>2074</v>
      </c>
      <c r="BF78" s="524">
        <f t="shared" si="77"/>
        <v>2075</v>
      </c>
      <c r="BG78" s="524">
        <f t="shared" si="77"/>
        <v>2076</v>
      </c>
      <c r="BH78" s="524">
        <f t="shared" si="77"/>
        <v>2077</v>
      </c>
      <c r="BI78" s="524">
        <f t="shared" si="77"/>
        <v>2078</v>
      </c>
      <c r="BJ78" s="524">
        <f t="shared" si="77"/>
        <v>2079</v>
      </c>
      <c r="BK78" s="524">
        <f t="shared" si="77"/>
        <v>2080</v>
      </c>
      <c r="BL78" s="524">
        <f t="shared" si="77"/>
        <v>2081</v>
      </c>
      <c r="BM78" s="524">
        <f t="shared" si="77"/>
        <v>2082</v>
      </c>
      <c r="BN78" s="524">
        <f t="shared" si="77"/>
        <v>2083</v>
      </c>
      <c r="BO78" s="524">
        <f t="shared" si="77"/>
        <v>2084</v>
      </c>
      <c r="BP78" s="524">
        <f t="shared" si="77"/>
        <v>2085</v>
      </c>
      <c r="BQ78" s="524">
        <f t="shared" si="77"/>
        <v>2086</v>
      </c>
      <c r="BR78" s="524">
        <f t="shared" si="77"/>
        <v>2087</v>
      </c>
      <c r="BS78" s="524">
        <f t="shared" si="77"/>
        <v>2088</v>
      </c>
      <c r="BT78" s="524">
        <f t="shared" si="77"/>
        <v>2089</v>
      </c>
      <c r="BU78" s="524">
        <f t="shared" si="77"/>
        <v>2090</v>
      </c>
      <c r="BV78" s="524">
        <f t="shared" si="77"/>
        <v>2091</v>
      </c>
      <c r="BW78" s="524">
        <f t="shared" si="77"/>
        <v>2092</v>
      </c>
      <c r="BX78" s="524">
        <f t="shared" si="77"/>
        <v>2093</v>
      </c>
      <c r="BY78" s="524">
        <f t="shared" si="77"/>
        <v>2094</v>
      </c>
      <c r="BZ78" s="524">
        <f t="shared" si="77"/>
        <v>2095</v>
      </c>
      <c r="CA78" s="524">
        <f t="shared" si="77"/>
        <v>2096</v>
      </c>
      <c r="CB78" s="524">
        <f t="shared" si="77"/>
        <v>2097</v>
      </c>
      <c r="CC78" s="524">
        <f t="shared" si="77"/>
        <v>2098</v>
      </c>
      <c r="CD78" s="524">
        <f t="shared" si="77"/>
        <v>2099</v>
      </c>
      <c r="CE78" s="524">
        <f t="shared" si="77"/>
        <v>2100</v>
      </c>
      <c r="CG78" s="486">
        <v>2023</v>
      </c>
      <c r="CH78" s="486">
        <v>2024</v>
      </c>
      <c r="CI78" s="486">
        <v>2025</v>
      </c>
      <c r="CJ78" s="486">
        <v>2026</v>
      </c>
      <c r="CK78" s="486">
        <v>2027</v>
      </c>
      <c r="CL78" s="486">
        <v>2028</v>
      </c>
      <c r="CM78" s="486">
        <v>2029</v>
      </c>
      <c r="CN78" s="486">
        <v>2030</v>
      </c>
      <c r="CO78" s="486">
        <v>2031</v>
      </c>
      <c r="CP78" s="486">
        <v>2032</v>
      </c>
      <c r="CQ78" s="486">
        <v>2033</v>
      </c>
      <c r="CR78" s="486">
        <v>2034</v>
      </c>
      <c r="CS78" s="486">
        <v>2035</v>
      </c>
      <c r="CT78" s="486">
        <v>2036</v>
      </c>
      <c r="CU78" s="486">
        <v>2037</v>
      </c>
      <c r="CV78" s="486">
        <v>2038</v>
      </c>
      <c r="CW78" s="486">
        <v>2039</v>
      </c>
      <c r="CX78" s="486">
        <v>2040</v>
      </c>
      <c r="CY78" s="486">
        <v>2041</v>
      </c>
      <c r="CZ78" s="486">
        <v>2042</v>
      </c>
      <c r="DA78" s="486">
        <v>2043</v>
      </c>
      <c r="DB78" s="486">
        <v>2044</v>
      </c>
      <c r="DC78" s="486">
        <v>2045</v>
      </c>
      <c r="DD78" s="486">
        <v>2046</v>
      </c>
      <c r="DE78" s="486">
        <v>2047</v>
      </c>
      <c r="DF78" s="486">
        <v>2048</v>
      </c>
      <c r="DG78" s="486">
        <v>2049</v>
      </c>
      <c r="DH78" s="486">
        <v>2050</v>
      </c>
    </row>
    <row r="79" spans="2:112">
      <c r="B79" t="s">
        <v>970</v>
      </c>
      <c r="C79" t="s">
        <v>735</v>
      </c>
      <c r="D79" t="s">
        <v>879</v>
      </c>
      <c r="E79" t="s">
        <v>737</v>
      </c>
      <c r="F79" s="525">
        <v>35000</v>
      </c>
      <c r="G79" s="525">
        <v>35000</v>
      </c>
      <c r="H79" s="525">
        <v>35000</v>
      </c>
      <c r="I79" s="525">
        <v>35000</v>
      </c>
      <c r="J79" s="525">
        <v>35000</v>
      </c>
      <c r="K79" s="525">
        <v>35000</v>
      </c>
      <c r="L79" s="525">
        <v>35000</v>
      </c>
      <c r="M79" s="525">
        <v>35000</v>
      </c>
      <c r="N79" s="525">
        <v>35000</v>
      </c>
      <c r="O79" s="525">
        <v>35000</v>
      </c>
      <c r="P79" s="525">
        <v>35000</v>
      </c>
      <c r="Q79" s="525">
        <v>35000</v>
      </c>
      <c r="R79" s="525">
        <v>35000</v>
      </c>
      <c r="S79" s="525">
        <v>35000</v>
      </c>
      <c r="T79" s="525">
        <v>35000</v>
      </c>
      <c r="U79" s="525">
        <v>35000</v>
      </c>
      <c r="V79" s="525">
        <v>35000</v>
      </c>
      <c r="W79" s="525">
        <v>35000</v>
      </c>
      <c r="X79" s="525">
        <v>35000</v>
      </c>
      <c r="Y79" s="525">
        <v>35000</v>
      </c>
      <c r="Z79" s="525">
        <v>35000</v>
      </c>
      <c r="AA79" s="525">
        <v>35000</v>
      </c>
      <c r="AB79" s="525">
        <v>35000</v>
      </c>
      <c r="AC79" s="525">
        <v>35000</v>
      </c>
      <c r="AD79" s="525">
        <v>35000</v>
      </c>
      <c r="AE79" s="525">
        <v>35000</v>
      </c>
      <c r="AF79" s="525">
        <v>35000</v>
      </c>
      <c r="AG79" s="525">
        <v>35000</v>
      </c>
      <c r="AH79" s="526">
        <f>AG79</f>
        <v>35000</v>
      </c>
      <c r="AI79" s="526">
        <f t="shared" ref="AI79:AX79" si="78">AH79</f>
        <v>35000</v>
      </c>
      <c r="AJ79" s="526">
        <f t="shared" si="78"/>
        <v>35000</v>
      </c>
      <c r="AK79" s="526">
        <f t="shared" si="78"/>
        <v>35000</v>
      </c>
      <c r="AL79" s="526">
        <f t="shared" si="78"/>
        <v>35000</v>
      </c>
      <c r="AM79" s="526">
        <f t="shared" si="78"/>
        <v>35000</v>
      </c>
      <c r="AN79" s="526">
        <f t="shared" si="78"/>
        <v>35000</v>
      </c>
      <c r="AO79" s="526">
        <f t="shared" si="78"/>
        <v>35000</v>
      </c>
      <c r="AP79" s="526">
        <f t="shared" si="78"/>
        <v>35000</v>
      </c>
      <c r="AQ79" s="526">
        <f t="shared" si="78"/>
        <v>35000</v>
      </c>
      <c r="AR79" s="526">
        <f t="shared" si="78"/>
        <v>35000</v>
      </c>
      <c r="AS79" s="526">
        <f t="shared" si="78"/>
        <v>35000</v>
      </c>
      <c r="AT79" s="526">
        <f t="shared" si="78"/>
        <v>35000</v>
      </c>
      <c r="AU79" s="526">
        <f t="shared" si="78"/>
        <v>35000</v>
      </c>
      <c r="AV79" s="526">
        <f t="shared" si="78"/>
        <v>35000</v>
      </c>
      <c r="AW79" s="526">
        <f t="shared" si="78"/>
        <v>35000</v>
      </c>
      <c r="AX79" s="526">
        <f t="shared" si="78"/>
        <v>35000</v>
      </c>
      <c r="AY79" s="526">
        <f t="shared" ref="AY79:BN79" si="79">AX79</f>
        <v>35000</v>
      </c>
      <c r="AZ79" s="526">
        <f t="shared" si="79"/>
        <v>35000</v>
      </c>
      <c r="BA79" s="526">
        <f t="shared" si="79"/>
        <v>35000</v>
      </c>
      <c r="BB79" s="526">
        <f t="shared" si="79"/>
        <v>35000</v>
      </c>
      <c r="BC79" s="526">
        <f t="shared" si="79"/>
        <v>35000</v>
      </c>
      <c r="BD79" s="526">
        <f t="shared" si="79"/>
        <v>35000</v>
      </c>
      <c r="BE79" s="526">
        <f t="shared" si="79"/>
        <v>35000</v>
      </c>
      <c r="BF79" s="526">
        <f t="shared" si="79"/>
        <v>35000</v>
      </c>
      <c r="BG79" s="526">
        <f t="shared" si="79"/>
        <v>35000</v>
      </c>
      <c r="BH79" s="526">
        <f t="shared" si="79"/>
        <v>35000</v>
      </c>
      <c r="BI79" s="526">
        <f t="shared" si="79"/>
        <v>35000</v>
      </c>
      <c r="BJ79" s="526">
        <f t="shared" si="79"/>
        <v>35000</v>
      </c>
      <c r="BK79" s="526">
        <f t="shared" si="79"/>
        <v>35000</v>
      </c>
      <c r="BL79" s="526">
        <f t="shared" si="79"/>
        <v>35000</v>
      </c>
      <c r="BM79" s="526">
        <f t="shared" si="79"/>
        <v>35000</v>
      </c>
      <c r="BN79" s="526">
        <f t="shared" si="79"/>
        <v>35000</v>
      </c>
      <c r="BO79" s="526">
        <f t="shared" ref="BO79:CD79" si="80">BN79</f>
        <v>35000</v>
      </c>
      <c r="BP79" s="526">
        <f t="shared" si="80"/>
        <v>35000</v>
      </c>
      <c r="BQ79" s="526">
        <f t="shared" si="80"/>
        <v>35000</v>
      </c>
      <c r="BR79" s="526">
        <f t="shared" si="80"/>
        <v>35000</v>
      </c>
      <c r="BS79" s="526">
        <f t="shared" si="80"/>
        <v>35000</v>
      </c>
      <c r="BT79" s="526">
        <f t="shared" si="80"/>
        <v>35000</v>
      </c>
      <c r="BU79" s="526">
        <f t="shared" si="80"/>
        <v>35000</v>
      </c>
      <c r="BV79" s="526">
        <f t="shared" si="80"/>
        <v>35000</v>
      </c>
      <c r="BW79" s="526">
        <f t="shared" si="80"/>
        <v>35000</v>
      </c>
      <c r="BX79" s="526">
        <f t="shared" si="80"/>
        <v>35000</v>
      </c>
      <c r="BY79" s="526">
        <f t="shared" si="80"/>
        <v>35000</v>
      </c>
      <c r="BZ79" s="526">
        <f t="shared" si="80"/>
        <v>35000</v>
      </c>
      <c r="CA79" s="526">
        <f t="shared" si="80"/>
        <v>35000</v>
      </c>
      <c r="CB79" s="526">
        <f t="shared" si="80"/>
        <v>35000</v>
      </c>
      <c r="CC79" s="526">
        <f t="shared" si="80"/>
        <v>35000</v>
      </c>
      <c r="CD79" s="526">
        <f t="shared" si="80"/>
        <v>35000</v>
      </c>
      <c r="CE79" s="526">
        <f t="shared" ref="AX79:CE87" si="81">CD79</f>
        <v>35000</v>
      </c>
      <c r="CG79" s="536">
        <v>35000</v>
      </c>
      <c r="CH79" s="536">
        <v>35000</v>
      </c>
      <c r="CI79" s="536">
        <v>35000</v>
      </c>
      <c r="CJ79" s="536">
        <v>35000</v>
      </c>
      <c r="CK79" s="536">
        <v>35000</v>
      </c>
      <c r="CL79" s="536">
        <v>35000</v>
      </c>
      <c r="CM79" s="536">
        <v>35000</v>
      </c>
      <c r="CN79" s="536">
        <v>35000</v>
      </c>
      <c r="CO79" s="536">
        <v>35000</v>
      </c>
      <c r="CP79" s="536">
        <v>35000</v>
      </c>
      <c r="CQ79" s="536">
        <v>35000</v>
      </c>
      <c r="CR79" s="536">
        <v>35000</v>
      </c>
      <c r="CS79" s="536">
        <v>35000</v>
      </c>
      <c r="CT79" s="536">
        <v>35000</v>
      </c>
      <c r="CU79" s="536">
        <v>35000</v>
      </c>
      <c r="CV79" s="536">
        <v>35000</v>
      </c>
      <c r="CW79" s="536">
        <v>35000</v>
      </c>
      <c r="CX79" s="536">
        <v>35000</v>
      </c>
      <c r="CY79" s="536">
        <v>35000</v>
      </c>
      <c r="CZ79" s="536">
        <v>35000</v>
      </c>
      <c r="DA79" s="536">
        <v>35000</v>
      </c>
      <c r="DB79" s="536">
        <v>35000</v>
      </c>
      <c r="DC79" s="536">
        <v>35000</v>
      </c>
      <c r="DD79" s="536">
        <v>35000</v>
      </c>
      <c r="DE79" s="536">
        <v>35000</v>
      </c>
      <c r="DF79" s="536">
        <v>35000</v>
      </c>
      <c r="DG79" s="536">
        <v>35000</v>
      </c>
      <c r="DH79" s="536">
        <v>35000</v>
      </c>
    </row>
    <row r="80" spans="2:112">
      <c r="B80" t="s">
        <v>971</v>
      </c>
      <c r="C80" t="s">
        <v>735</v>
      </c>
      <c r="D80" t="s">
        <v>695</v>
      </c>
      <c r="E80" t="s">
        <v>881</v>
      </c>
      <c r="F80" s="525">
        <v>210</v>
      </c>
      <c r="G80" s="525">
        <v>210</v>
      </c>
      <c r="H80" s="525">
        <v>210</v>
      </c>
      <c r="I80" s="525">
        <v>210</v>
      </c>
      <c r="J80" s="525">
        <v>210</v>
      </c>
      <c r="K80" s="525">
        <v>210</v>
      </c>
      <c r="L80" s="525">
        <v>210</v>
      </c>
      <c r="M80" s="525">
        <v>210</v>
      </c>
      <c r="N80" s="525">
        <v>210</v>
      </c>
      <c r="O80" s="525">
        <v>210</v>
      </c>
      <c r="P80" s="525">
        <v>210</v>
      </c>
      <c r="Q80" s="525">
        <v>210</v>
      </c>
      <c r="R80" s="525">
        <v>210</v>
      </c>
      <c r="S80" s="525">
        <v>210</v>
      </c>
      <c r="T80" s="525">
        <v>210</v>
      </c>
      <c r="U80" s="525">
        <v>210</v>
      </c>
      <c r="V80" s="525">
        <v>210</v>
      </c>
      <c r="W80" s="525">
        <v>210</v>
      </c>
      <c r="X80" s="525">
        <v>210</v>
      </c>
      <c r="Y80" s="525">
        <v>210</v>
      </c>
      <c r="Z80" s="525">
        <v>210</v>
      </c>
      <c r="AA80" s="525">
        <v>210</v>
      </c>
      <c r="AB80" s="525">
        <v>210</v>
      </c>
      <c r="AC80" s="525">
        <v>210</v>
      </c>
      <c r="AD80" s="525">
        <v>210</v>
      </c>
      <c r="AE80" s="525">
        <v>210</v>
      </c>
      <c r="AF80" s="525">
        <v>210</v>
      </c>
      <c r="AG80" s="525">
        <v>210</v>
      </c>
      <c r="AH80" s="526">
        <f t="shared" ref="AH80:AW89" si="82">AG80</f>
        <v>210</v>
      </c>
      <c r="AI80" s="526">
        <f t="shared" si="82"/>
        <v>210</v>
      </c>
      <c r="AJ80" s="526">
        <f t="shared" si="82"/>
        <v>210</v>
      </c>
      <c r="AK80" s="526">
        <f t="shared" si="82"/>
        <v>210</v>
      </c>
      <c r="AL80" s="526">
        <f t="shared" si="82"/>
        <v>210</v>
      </c>
      <c r="AM80" s="526">
        <f t="shared" si="82"/>
        <v>210</v>
      </c>
      <c r="AN80" s="526">
        <f t="shared" si="82"/>
        <v>210</v>
      </c>
      <c r="AO80" s="526">
        <f t="shared" si="82"/>
        <v>210</v>
      </c>
      <c r="AP80" s="526">
        <f t="shared" si="82"/>
        <v>210</v>
      </c>
      <c r="AQ80" s="526">
        <f t="shared" si="82"/>
        <v>210</v>
      </c>
      <c r="AR80" s="526">
        <f t="shared" si="82"/>
        <v>210</v>
      </c>
      <c r="AS80" s="526">
        <f t="shared" si="82"/>
        <v>210</v>
      </c>
      <c r="AT80" s="526">
        <f t="shared" si="82"/>
        <v>210</v>
      </c>
      <c r="AU80" s="526">
        <f t="shared" si="82"/>
        <v>210</v>
      </c>
      <c r="AV80" s="526">
        <f t="shared" si="82"/>
        <v>210</v>
      </c>
      <c r="AW80" s="526">
        <f t="shared" si="82"/>
        <v>210</v>
      </c>
      <c r="AX80" s="526">
        <f t="shared" si="81"/>
        <v>210</v>
      </c>
      <c r="AY80" s="526">
        <f t="shared" si="81"/>
        <v>210</v>
      </c>
      <c r="AZ80" s="526">
        <f t="shared" si="81"/>
        <v>210</v>
      </c>
      <c r="BA80" s="526">
        <f t="shared" si="81"/>
        <v>210</v>
      </c>
      <c r="BB80" s="526">
        <f t="shared" si="81"/>
        <v>210</v>
      </c>
      <c r="BC80" s="526">
        <f t="shared" si="81"/>
        <v>210</v>
      </c>
      <c r="BD80" s="526">
        <f t="shared" si="81"/>
        <v>210</v>
      </c>
      <c r="BE80" s="526">
        <f t="shared" si="81"/>
        <v>210</v>
      </c>
      <c r="BF80" s="526">
        <f t="shared" si="81"/>
        <v>210</v>
      </c>
      <c r="BG80" s="526">
        <f t="shared" si="81"/>
        <v>210</v>
      </c>
      <c r="BH80" s="526">
        <f t="shared" si="81"/>
        <v>210</v>
      </c>
      <c r="BI80" s="526">
        <f t="shared" si="81"/>
        <v>210</v>
      </c>
      <c r="BJ80" s="526">
        <f t="shared" si="81"/>
        <v>210</v>
      </c>
      <c r="BK80" s="526">
        <f t="shared" si="81"/>
        <v>210</v>
      </c>
      <c r="BL80" s="526">
        <f t="shared" si="81"/>
        <v>210</v>
      </c>
      <c r="BM80" s="526">
        <f t="shared" si="81"/>
        <v>210</v>
      </c>
      <c r="BN80" s="526">
        <f t="shared" si="81"/>
        <v>210</v>
      </c>
      <c r="BO80" s="526">
        <f t="shared" si="81"/>
        <v>210</v>
      </c>
      <c r="BP80" s="526">
        <f t="shared" si="81"/>
        <v>210</v>
      </c>
      <c r="BQ80" s="526">
        <f t="shared" si="81"/>
        <v>210</v>
      </c>
      <c r="BR80" s="526">
        <f t="shared" si="81"/>
        <v>210</v>
      </c>
      <c r="BS80" s="526">
        <f t="shared" si="81"/>
        <v>210</v>
      </c>
      <c r="BT80" s="526">
        <f t="shared" si="81"/>
        <v>210</v>
      </c>
      <c r="BU80" s="526">
        <f t="shared" si="81"/>
        <v>210</v>
      </c>
      <c r="BV80" s="526">
        <f t="shared" si="81"/>
        <v>210</v>
      </c>
      <c r="BW80" s="526">
        <f t="shared" si="81"/>
        <v>210</v>
      </c>
      <c r="BX80" s="526">
        <f t="shared" si="81"/>
        <v>210</v>
      </c>
      <c r="BY80" s="526">
        <f t="shared" si="81"/>
        <v>210</v>
      </c>
      <c r="BZ80" s="526">
        <f t="shared" si="81"/>
        <v>210</v>
      </c>
      <c r="CA80" s="526">
        <f t="shared" si="81"/>
        <v>210</v>
      </c>
      <c r="CB80" s="526">
        <f t="shared" si="81"/>
        <v>210</v>
      </c>
      <c r="CC80" s="526">
        <f t="shared" si="81"/>
        <v>210</v>
      </c>
      <c r="CD80" s="526">
        <f t="shared" si="81"/>
        <v>210</v>
      </c>
      <c r="CE80" s="526">
        <f t="shared" si="81"/>
        <v>210</v>
      </c>
      <c r="CG80" s="536">
        <v>210</v>
      </c>
      <c r="CH80" s="536">
        <v>210</v>
      </c>
      <c r="CI80" s="536">
        <v>210</v>
      </c>
      <c r="CJ80" s="536">
        <v>210</v>
      </c>
      <c r="CK80" s="536">
        <v>210</v>
      </c>
      <c r="CL80" s="536">
        <v>210</v>
      </c>
      <c r="CM80" s="536">
        <v>210</v>
      </c>
      <c r="CN80" s="536">
        <v>210</v>
      </c>
      <c r="CO80" s="536">
        <v>210</v>
      </c>
      <c r="CP80" s="536">
        <v>210</v>
      </c>
      <c r="CQ80" s="536">
        <v>210</v>
      </c>
      <c r="CR80" s="536">
        <v>210</v>
      </c>
      <c r="CS80" s="536">
        <v>210</v>
      </c>
      <c r="CT80" s="536">
        <v>210</v>
      </c>
      <c r="CU80" s="536">
        <v>210</v>
      </c>
      <c r="CV80" s="536">
        <v>210</v>
      </c>
      <c r="CW80" s="536">
        <v>210</v>
      </c>
      <c r="CX80" s="536">
        <v>210</v>
      </c>
      <c r="CY80" s="536">
        <v>210</v>
      </c>
      <c r="CZ80" s="536">
        <v>210</v>
      </c>
      <c r="DA80" s="536">
        <v>210</v>
      </c>
      <c r="DB80" s="536">
        <v>210</v>
      </c>
      <c r="DC80" s="536">
        <v>210</v>
      </c>
      <c r="DD80" s="536">
        <v>210</v>
      </c>
      <c r="DE80" s="536">
        <v>210</v>
      </c>
      <c r="DF80" s="536">
        <v>210</v>
      </c>
      <c r="DG80" s="536">
        <v>210</v>
      </c>
      <c r="DH80" s="536">
        <v>210</v>
      </c>
    </row>
    <row r="81" spans="2:112">
      <c r="B81" t="s">
        <v>972</v>
      </c>
      <c r="C81" t="s">
        <v>735</v>
      </c>
      <c r="D81" t="s">
        <v>883</v>
      </c>
      <c r="E81" t="s">
        <v>884</v>
      </c>
      <c r="F81" s="525">
        <v>11</v>
      </c>
      <c r="G81" s="525">
        <v>11</v>
      </c>
      <c r="H81" s="525">
        <v>11</v>
      </c>
      <c r="I81" s="525">
        <v>11</v>
      </c>
      <c r="J81" s="525">
        <v>11</v>
      </c>
      <c r="K81" s="525">
        <v>11</v>
      </c>
      <c r="L81" s="525">
        <v>11</v>
      </c>
      <c r="M81" s="525">
        <v>11</v>
      </c>
      <c r="N81" s="525">
        <v>11</v>
      </c>
      <c r="O81" s="525">
        <v>11</v>
      </c>
      <c r="P81" s="525">
        <v>11</v>
      </c>
      <c r="Q81" s="525">
        <v>11</v>
      </c>
      <c r="R81" s="525">
        <v>11</v>
      </c>
      <c r="S81" s="525">
        <v>11</v>
      </c>
      <c r="T81" s="525">
        <v>11</v>
      </c>
      <c r="U81" s="525">
        <v>11</v>
      </c>
      <c r="V81" s="525">
        <v>11</v>
      </c>
      <c r="W81" s="525">
        <v>11</v>
      </c>
      <c r="X81" s="525">
        <v>11</v>
      </c>
      <c r="Y81" s="525">
        <v>11</v>
      </c>
      <c r="Z81" s="525">
        <v>11</v>
      </c>
      <c r="AA81" s="525">
        <v>11</v>
      </c>
      <c r="AB81" s="525">
        <v>11</v>
      </c>
      <c r="AC81" s="525">
        <v>11</v>
      </c>
      <c r="AD81" s="525">
        <v>11</v>
      </c>
      <c r="AE81" s="525">
        <v>11</v>
      </c>
      <c r="AF81" s="525">
        <v>11</v>
      </c>
      <c r="AG81" s="525">
        <v>11</v>
      </c>
      <c r="AH81" s="526">
        <f t="shared" si="82"/>
        <v>11</v>
      </c>
      <c r="AI81" s="526">
        <f t="shared" si="82"/>
        <v>11</v>
      </c>
      <c r="AJ81" s="526">
        <f t="shared" si="82"/>
        <v>11</v>
      </c>
      <c r="AK81" s="526">
        <f t="shared" si="82"/>
        <v>11</v>
      </c>
      <c r="AL81" s="526">
        <f t="shared" si="82"/>
        <v>11</v>
      </c>
      <c r="AM81" s="526">
        <f t="shared" si="82"/>
        <v>11</v>
      </c>
      <c r="AN81" s="526">
        <f t="shared" si="82"/>
        <v>11</v>
      </c>
      <c r="AO81" s="526">
        <f t="shared" si="82"/>
        <v>11</v>
      </c>
      <c r="AP81" s="526">
        <f t="shared" si="82"/>
        <v>11</v>
      </c>
      <c r="AQ81" s="526">
        <f t="shared" si="82"/>
        <v>11</v>
      </c>
      <c r="AR81" s="526">
        <f t="shared" si="82"/>
        <v>11</v>
      </c>
      <c r="AS81" s="526">
        <f t="shared" si="82"/>
        <v>11</v>
      </c>
      <c r="AT81" s="526">
        <f t="shared" si="82"/>
        <v>11</v>
      </c>
      <c r="AU81" s="526">
        <f t="shared" si="82"/>
        <v>11</v>
      </c>
      <c r="AV81" s="526">
        <f t="shared" si="82"/>
        <v>11</v>
      </c>
      <c r="AW81" s="526">
        <f t="shared" si="82"/>
        <v>11</v>
      </c>
      <c r="AX81" s="526">
        <f t="shared" si="81"/>
        <v>11</v>
      </c>
      <c r="AY81" s="526">
        <f t="shared" si="81"/>
        <v>11</v>
      </c>
      <c r="AZ81" s="526">
        <f t="shared" si="81"/>
        <v>11</v>
      </c>
      <c r="BA81" s="526">
        <f t="shared" si="81"/>
        <v>11</v>
      </c>
      <c r="BB81" s="526">
        <f t="shared" si="81"/>
        <v>11</v>
      </c>
      <c r="BC81" s="526">
        <f t="shared" si="81"/>
        <v>11</v>
      </c>
      <c r="BD81" s="526">
        <f t="shared" si="81"/>
        <v>11</v>
      </c>
      <c r="BE81" s="526">
        <f t="shared" si="81"/>
        <v>11</v>
      </c>
      <c r="BF81" s="526">
        <f t="shared" si="81"/>
        <v>11</v>
      </c>
      <c r="BG81" s="526">
        <f t="shared" si="81"/>
        <v>11</v>
      </c>
      <c r="BH81" s="526">
        <f t="shared" si="81"/>
        <v>11</v>
      </c>
      <c r="BI81" s="526">
        <f t="shared" si="81"/>
        <v>11</v>
      </c>
      <c r="BJ81" s="526">
        <f t="shared" si="81"/>
        <v>11</v>
      </c>
      <c r="BK81" s="526">
        <f t="shared" si="81"/>
        <v>11</v>
      </c>
      <c r="BL81" s="526">
        <f t="shared" si="81"/>
        <v>11</v>
      </c>
      <c r="BM81" s="526">
        <f t="shared" si="81"/>
        <v>11</v>
      </c>
      <c r="BN81" s="526">
        <f t="shared" si="81"/>
        <v>11</v>
      </c>
      <c r="BO81" s="526">
        <f t="shared" si="81"/>
        <v>11</v>
      </c>
      <c r="BP81" s="526">
        <f t="shared" si="81"/>
        <v>11</v>
      </c>
      <c r="BQ81" s="526">
        <f t="shared" si="81"/>
        <v>11</v>
      </c>
      <c r="BR81" s="526">
        <f t="shared" si="81"/>
        <v>11</v>
      </c>
      <c r="BS81" s="526">
        <f t="shared" si="81"/>
        <v>11</v>
      </c>
      <c r="BT81" s="526">
        <f t="shared" si="81"/>
        <v>11</v>
      </c>
      <c r="BU81" s="526">
        <f t="shared" si="81"/>
        <v>11</v>
      </c>
      <c r="BV81" s="526">
        <f t="shared" si="81"/>
        <v>11</v>
      </c>
      <c r="BW81" s="526">
        <f t="shared" si="81"/>
        <v>11</v>
      </c>
      <c r="BX81" s="526">
        <f t="shared" si="81"/>
        <v>11</v>
      </c>
      <c r="BY81" s="526">
        <f t="shared" si="81"/>
        <v>11</v>
      </c>
      <c r="BZ81" s="526">
        <f t="shared" si="81"/>
        <v>11</v>
      </c>
      <c r="CA81" s="526">
        <f t="shared" si="81"/>
        <v>11</v>
      </c>
      <c r="CB81" s="526">
        <f t="shared" si="81"/>
        <v>11</v>
      </c>
      <c r="CC81" s="526">
        <f t="shared" si="81"/>
        <v>11</v>
      </c>
      <c r="CD81" s="526">
        <f t="shared" si="81"/>
        <v>11</v>
      </c>
      <c r="CE81" s="526">
        <f t="shared" si="81"/>
        <v>11</v>
      </c>
      <c r="CG81" s="536">
        <v>11</v>
      </c>
      <c r="CH81" s="536">
        <v>11</v>
      </c>
      <c r="CI81" s="536">
        <v>11</v>
      </c>
      <c r="CJ81" s="536">
        <v>11</v>
      </c>
      <c r="CK81" s="536">
        <v>11</v>
      </c>
      <c r="CL81" s="536">
        <v>11</v>
      </c>
      <c r="CM81" s="536">
        <v>11</v>
      </c>
      <c r="CN81" s="536">
        <v>11</v>
      </c>
      <c r="CO81" s="536">
        <v>11</v>
      </c>
      <c r="CP81" s="536">
        <v>11</v>
      </c>
      <c r="CQ81" s="536">
        <v>11</v>
      </c>
      <c r="CR81" s="536">
        <v>11</v>
      </c>
      <c r="CS81" s="536">
        <v>11</v>
      </c>
      <c r="CT81" s="536">
        <v>11</v>
      </c>
      <c r="CU81" s="536">
        <v>11</v>
      </c>
      <c r="CV81" s="536">
        <v>11</v>
      </c>
      <c r="CW81" s="536">
        <v>11</v>
      </c>
      <c r="CX81" s="536">
        <v>11</v>
      </c>
      <c r="CY81" s="536">
        <v>11</v>
      </c>
      <c r="CZ81" s="536">
        <v>11</v>
      </c>
      <c r="DA81" s="536">
        <v>11</v>
      </c>
      <c r="DB81" s="536">
        <v>11</v>
      </c>
      <c r="DC81" s="536">
        <v>11</v>
      </c>
      <c r="DD81" s="536">
        <v>11</v>
      </c>
      <c r="DE81" s="536">
        <v>11</v>
      </c>
      <c r="DF81" s="536">
        <v>11</v>
      </c>
      <c r="DG81" s="536">
        <v>11</v>
      </c>
      <c r="DH81" s="536">
        <v>11</v>
      </c>
    </row>
    <row r="82" spans="2:112">
      <c r="B82" t="s">
        <v>973</v>
      </c>
      <c r="C82" t="s">
        <v>735</v>
      </c>
      <c r="D82" t="s">
        <v>886</v>
      </c>
      <c r="E82" t="s">
        <v>178</v>
      </c>
      <c r="F82" s="537">
        <v>0.51</v>
      </c>
      <c r="G82" s="537">
        <v>0.51</v>
      </c>
      <c r="H82" s="537">
        <v>0.51</v>
      </c>
      <c r="I82" s="537">
        <v>0.51</v>
      </c>
      <c r="J82" s="537">
        <v>0.51</v>
      </c>
      <c r="K82" s="537">
        <v>0.51</v>
      </c>
      <c r="L82" s="537">
        <v>0.51</v>
      </c>
      <c r="M82" s="537">
        <v>0.51</v>
      </c>
      <c r="N82" s="537">
        <v>0.51</v>
      </c>
      <c r="O82" s="537">
        <v>0.51</v>
      </c>
      <c r="P82" s="537">
        <v>0.51</v>
      </c>
      <c r="Q82" s="537">
        <v>0.51</v>
      </c>
      <c r="R82" s="537">
        <v>0.51</v>
      </c>
      <c r="S82" s="537">
        <v>0.51</v>
      </c>
      <c r="T82" s="537">
        <v>0.51</v>
      </c>
      <c r="U82" s="537">
        <v>0.51</v>
      </c>
      <c r="V82" s="537">
        <v>0.51</v>
      </c>
      <c r="W82" s="537">
        <v>0.51</v>
      </c>
      <c r="X82" s="537">
        <v>0.51</v>
      </c>
      <c r="Y82" s="537">
        <v>0.51</v>
      </c>
      <c r="Z82" s="537">
        <v>0.51</v>
      </c>
      <c r="AA82" s="537">
        <v>0.51</v>
      </c>
      <c r="AB82" s="537">
        <v>0.51</v>
      </c>
      <c r="AC82" s="537">
        <v>0.51</v>
      </c>
      <c r="AD82" s="537">
        <v>0.51</v>
      </c>
      <c r="AE82" s="537">
        <v>0.51</v>
      </c>
      <c r="AF82" s="537">
        <v>0.51</v>
      </c>
      <c r="AG82" s="537">
        <v>0.51</v>
      </c>
      <c r="AH82" s="526">
        <f t="shared" si="82"/>
        <v>0.51</v>
      </c>
      <c r="AI82" s="526">
        <f t="shared" si="82"/>
        <v>0.51</v>
      </c>
      <c r="AJ82" s="526">
        <f t="shared" si="82"/>
        <v>0.51</v>
      </c>
      <c r="AK82" s="526">
        <f t="shared" si="82"/>
        <v>0.51</v>
      </c>
      <c r="AL82" s="526">
        <f t="shared" si="82"/>
        <v>0.51</v>
      </c>
      <c r="AM82" s="526">
        <f t="shared" si="82"/>
        <v>0.51</v>
      </c>
      <c r="AN82" s="526">
        <f t="shared" si="82"/>
        <v>0.51</v>
      </c>
      <c r="AO82" s="526">
        <f t="shared" si="82"/>
        <v>0.51</v>
      </c>
      <c r="AP82" s="526">
        <f t="shared" si="82"/>
        <v>0.51</v>
      </c>
      <c r="AQ82" s="526">
        <f t="shared" si="82"/>
        <v>0.51</v>
      </c>
      <c r="AR82" s="526">
        <f t="shared" si="82"/>
        <v>0.51</v>
      </c>
      <c r="AS82" s="526">
        <f t="shared" si="82"/>
        <v>0.51</v>
      </c>
      <c r="AT82" s="526">
        <f t="shared" si="82"/>
        <v>0.51</v>
      </c>
      <c r="AU82" s="526">
        <f t="shared" si="82"/>
        <v>0.51</v>
      </c>
      <c r="AV82" s="526">
        <f t="shared" si="82"/>
        <v>0.51</v>
      </c>
      <c r="AW82" s="526">
        <f t="shared" si="82"/>
        <v>0.51</v>
      </c>
      <c r="AX82" s="526">
        <f t="shared" si="81"/>
        <v>0.51</v>
      </c>
      <c r="AY82" s="526">
        <f t="shared" si="81"/>
        <v>0.51</v>
      </c>
      <c r="AZ82" s="526">
        <f t="shared" si="81"/>
        <v>0.51</v>
      </c>
      <c r="BA82" s="526">
        <f t="shared" si="81"/>
        <v>0.51</v>
      </c>
      <c r="BB82" s="526">
        <f t="shared" si="81"/>
        <v>0.51</v>
      </c>
      <c r="BC82" s="526">
        <f t="shared" si="81"/>
        <v>0.51</v>
      </c>
      <c r="BD82" s="526">
        <f t="shared" si="81"/>
        <v>0.51</v>
      </c>
      <c r="BE82" s="526">
        <f t="shared" si="81"/>
        <v>0.51</v>
      </c>
      <c r="BF82" s="526">
        <f t="shared" si="81"/>
        <v>0.51</v>
      </c>
      <c r="BG82" s="526">
        <f t="shared" si="81"/>
        <v>0.51</v>
      </c>
      <c r="BH82" s="526">
        <f t="shared" si="81"/>
        <v>0.51</v>
      </c>
      <c r="BI82" s="526">
        <f t="shared" si="81"/>
        <v>0.51</v>
      </c>
      <c r="BJ82" s="526">
        <f t="shared" si="81"/>
        <v>0.51</v>
      </c>
      <c r="BK82" s="526">
        <f t="shared" si="81"/>
        <v>0.51</v>
      </c>
      <c r="BL82" s="526">
        <f t="shared" si="81"/>
        <v>0.51</v>
      </c>
      <c r="BM82" s="526">
        <f t="shared" si="81"/>
        <v>0.51</v>
      </c>
      <c r="BN82" s="526">
        <f t="shared" si="81"/>
        <v>0.51</v>
      </c>
      <c r="BO82" s="526">
        <f t="shared" si="81"/>
        <v>0.51</v>
      </c>
      <c r="BP82" s="526">
        <f t="shared" si="81"/>
        <v>0.51</v>
      </c>
      <c r="BQ82" s="526">
        <f t="shared" si="81"/>
        <v>0.51</v>
      </c>
      <c r="BR82" s="526">
        <f t="shared" si="81"/>
        <v>0.51</v>
      </c>
      <c r="BS82" s="526">
        <f t="shared" si="81"/>
        <v>0.51</v>
      </c>
      <c r="BT82" s="526">
        <f t="shared" si="81"/>
        <v>0.51</v>
      </c>
      <c r="BU82" s="526">
        <f t="shared" si="81"/>
        <v>0.51</v>
      </c>
      <c r="BV82" s="526">
        <f t="shared" si="81"/>
        <v>0.51</v>
      </c>
      <c r="BW82" s="526">
        <f t="shared" si="81"/>
        <v>0.51</v>
      </c>
      <c r="BX82" s="526">
        <f t="shared" si="81"/>
        <v>0.51</v>
      </c>
      <c r="BY82" s="526">
        <f t="shared" si="81"/>
        <v>0.51</v>
      </c>
      <c r="BZ82" s="526">
        <f t="shared" si="81"/>
        <v>0.51</v>
      </c>
      <c r="CA82" s="526">
        <f t="shared" si="81"/>
        <v>0.51</v>
      </c>
      <c r="CB82" s="526">
        <f t="shared" si="81"/>
        <v>0.51</v>
      </c>
      <c r="CC82" s="526">
        <f t="shared" si="81"/>
        <v>0.51</v>
      </c>
      <c r="CD82" s="526">
        <f t="shared" si="81"/>
        <v>0.51</v>
      </c>
      <c r="CE82" s="526">
        <f t="shared" si="81"/>
        <v>0.51</v>
      </c>
      <c r="CG82" s="537">
        <v>0.51</v>
      </c>
      <c r="CH82" s="537">
        <v>0.51</v>
      </c>
      <c r="CI82" s="537">
        <v>0.51</v>
      </c>
      <c r="CJ82" s="537">
        <v>0.51</v>
      </c>
      <c r="CK82" s="537">
        <v>0.51</v>
      </c>
      <c r="CL82" s="537">
        <v>0.51</v>
      </c>
      <c r="CM82" s="537">
        <v>0.51</v>
      </c>
      <c r="CN82" s="537">
        <v>0.51</v>
      </c>
      <c r="CO82" s="537">
        <v>0.51</v>
      </c>
      <c r="CP82" s="537">
        <v>0.51</v>
      </c>
      <c r="CQ82" s="537">
        <v>0.51</v>
      </c>
      <c r="CR82" s="537">
        <v>0.51</v>
      </c>
      <c r="CS82" s="537">
        <v>0.51</v>
      </c>
      <c r="CT82" s="537">
        <v>0.51</v>
      </c>
      <c r="CU82" s="537">
        <v>0.51</v>
      </c>
      <c r="CV82" s="537">
        <v>0.51</v>
      </c>
      <c r="CW82" s="537">
        <v>0.51</v>
      </c>
      <c r="CX82" s="537">
        <v>0.51</v>
      </c>
      <c r="CY82" s="537">
        <v>0.51</v>
      </c>
      <c r="CZ82" s="537">
        <v>0.51</v>
      </c>
      <c r="DA82" s="537">
        <v>0.51</v>
      </c>
      <c r="DB82" s="537">
        <v>0.51</v>
      </c>
      <c r="DC82" s="537">
        <v>0.51</v>
      </c>
      <c r="DD82" s="537">
        <v>0.51</v>
      </c>
      <c r="DE82" s="537">
        <v>0.51</v>
      </c>
      <c r="DF82" s="537">
        <v>0.51</v>
      </c>
      <c r="DG82" s="537">
        <v>0.51</v>
      </c>
      <c r="DH82" s="537">
        <v>0.51</v>
      </c>
    </row>
    <row r="83" spans="2:112">
      <c r="B83" t="s">
        <v>974</v>
      </c>
      <c r="C83" t="s">
        <v>735</v>
      </c>
      <c r="D83" t="s">
        <v>888</v>
      </c>
      <c r="E83" t="s">
        <v>178</v>
      </c>
      <c r="F83" s="537">
        <v>0.51</v>
      </c>
      <c r="G83" s="537">
        <v>0.51</v>
      </c>
      <c r="H83" s="537">
        <v>0.51</v>
      </c>
      <c r="I83" s="537">
        <v>0.51</v>
      </c>
      <c r="J83" s="537">
        <v>0.51</v>
      </c>
      <c r="K83" s="537">
        <v>0.51</v>
      </c>
      <c r="L83" s="537">
        <v>0.51</v>
      </c>
      <c r="M83" s="537">
        <v>0.51</v>
      </c>
      <c r="N83" s="537">
        <v>0.51</v>
      </c>
      <c r="O83" s="537">
        <v>0.51</v>
      </c>
      <c r="P83" s="537">
        <v>0.51</v>
      </c>
      <c r="Q83" s="537">
        <v>0.51</v>
      </c>
      <c r="R83" s="537">
        <v>0.51</v>
      </c>
      <c r="S83" s="537">
        <v>0.51</v>
      </c>
      <c r="T83" s="537">
        <v>0.51</v>
      </c>
      <c r="U83" s="537">
        <v>0.51</v>
      </c>
      <c r="V83" s="537">
        <v>0.51</v>
      </c>
      <c r="W83" s="537">
        <v>0.51</v>
      </c>
      <c r="X83" s="537">
        <v>0.51</v>
      </c>
      <c r="Y83" s="537">
        <v>0.51</v>
      </c>
      <c r="Z83" s="537">
        <v>0.51</v>
      </c>
      <c r="AA83" s="537">
        <v>0.51</v>
      </c>
      <c r="AB83" s="537">
        <v>0.51</v>
      </c>
      <c r="AC83" s="537">
        <v>0.51</v>
      </c>
      <c r="AD83" s="537">
        <v>0.51</v>
      </c>
      <c r="AE83" s="537">
        <v>0.51</v>
      </c>
      <c r="AF83" s="537">
        <v>0.51</v>
      </c>
      <c r="AG83" s="537">
        <v>0.51</v>
      </c>
      <c r="AH83" s="526">
        <f t="shared" si="82"/>
        <v>0.51</v>
      </c>
      <c r="AI83" s="526">
        <f t="shared" si="82"/>
        <v>0.51</v>
      </c>
      <c r="AJ83" s="526">
        <f t="shared" si="82"/>
        <v>0.51</v>
      </c>
      <c r="AK83" s="526">
        <f t="shared" si="82"/>
        <v>0.51</v>
      </c>
      <c r="AL83" s="526">
        <f t="shared" si="82"/>
        <v>0.51</v>
      </c>
      <c r="AM83" s="526">
        <f t="shared" si="82"/>
        <v>0.51</v>
      </c>
      <c r="AN83" s="526">
        <f t="shared" si="82"/>
        <v>0.51</v>
      </c>
      <c r="AO83" s="526">
        <f t="shared" si="82"/>
        <v>0.51</v>
      </c>
      <c r="AP83" s="526">
        <f t="shared" si="82"/>
        <v>0.51</v>
      </c>
      <c r="AQ83" s="526">
        <f t="shared" si="82"/>
        <v>0.51</v>
      </c>
      <c r="AR83" s="526">
        <f t="shared" si="82"/>
        <v>0.51</v>
      </c>
      <c r="AS83" s="526">
        <f t="shared" si="82"/>
        <v>0.51</v>
      </c>
      <c r="AT83" s="526">
        <f t="shared" si="82"/>
        <v>0.51</v>
      </c>
      <c r="AU83" s="526">
        <f t="shared" si="82"/>
        <v>0.51</v>
      </c>
      <c r="AV83" s="526">
        <f t="shared" si="82"/>
        <v>0.51</v>
      </c>
      <c r="AW83" s="526">
        <f t="shared" si="82"/>
        <v>0.51</v>
      </c>
      <c r="AX83" s="526">
        <f t="shared" si="81"/>
        <v>0.51</v>
      </c>
      <c r="AY83" s="526">
        <f t="shared" si="81"/>
        <v>0.51</v>
      </c>
      <c r="AZ83" s="526">
        <f t="shared" si="81"/>
        <v>0.51</v>
      </c>
      <c r="BA83" s="526">
        <f t="shared" si="81"/>
        <v>0.51</v>
      </c>
      <c r="BB83" s="526">
        <f t="shared" si="81"/>
        <v>0.51</v>
      </c>
      <c r="BC83" s="526">
        <f t="shared" si="81"/>
        <v>0.51</v>
      </c>
      <c r="BD83" s="526">
        <f t="shared" si="81"/>
        <v>0.51</v>
      </c>
      <c r="BE83" s="526">
        <f t="shared" si="81"/>
        <v>0.51</v>
      </c>
      <c r="BF83" s="526">
        <f t="shared" si="81"/>
        <v>0.51</v>
      </c>
      <c r="BG83" s="526">
        <f t="shared" si="81"/>
        <v>0.51</v>
      </c>
      <c r="BH83" s="526">
        <f t="shared" si="81"/>
        <v>0.51</v>
      </c>
      <c r="BI83" s="526">
        <f t="shared" si="81"/>
        <v>0.51</v>
      </c>
      <c r="BJ83" s="526">
        <f t="shared" si="81"/>
        <v>0.51</v>
      </c>
      <c r="BK83" s="526">
        <f t="shared" si="81"/>
        <v>0.51</v>
      </c>
      <c r="BL83" s="526">
        <f t="shared" si="81"/>
        <v>0.51</v>
      </c>
      <c r="BM83" s="526">
        <f t="shared" si="81"/>
        <v>0.51</v>
      </c>
      <c r="BN83" s="526">
        <f t="shared" si="81"/>
        <v>0.51</v>
      </c>
      <c r="BO83" s="526">
        <f t="shared" si="81"/>
        <v>0.51</v>
      </c>
      <c r="BP83" s="526">
        <f t="shared" si="81"/>
        <v>0.51</v>
      </c>
      <c r="BQ83" s="526">
        <f t="shared" si="81"/>
        <v>0.51</v>
      </c>
      <c r="BR83" s="526">
        <f t="shared" si="81"/>
        <v>0.51</v>
      </c>
      <c r="BS83" s="526">
        <f t="shared" si="81"/>
        <v>0.51</v>
      </c>
      <c r="BT83" s="526">
        <f t="shared" si="81"/>
        <v>0.51</v>
      </c>
      <c r="BU83" s="526">
        <f t="shared" si="81"/>
        <v>0.51</v>
      </c>
      <c r="BV83" s="526">
        <f t="shared" si="81"/>
        <v>0.51</v>
      </c>
      <c r="BW83" s="526">
        <f t="shared" si="81"/>
        <v>0.51</v>
      </c>
      <c r="BX83" s="526">
        <f t="shared" si="81"/>
        <v>0.51</v>
      </c>
      <c r="BY83" s="526">
        <f t="shared" si="81"/>
        <v>0.51</v>
      </c>
      <c r="BZ83" s="526">
        <f t="shared" si="81"/>
        <v>0.51</v>
      </c>
      <c r="CA83" s="526">
        <f t="shared" si="81"/>
        <v>0.51</v>
      </c>
      <c r="CB83" s="526">
        <f t="shared" si="81"/>
        <v>0.51</v>
      </c>
      <c r="CC83" s="526">
        <f t="shared" si="81"/>
        <v>0.51</v>
      </c>
      <c r="CD83" s="526">
        <f t="shared" si="81"/>
        <v>0.51</v>
      </c>
      <c r="CE83" s="526">
        <f t="shared" si="81"/>
        <v>0.51</v>
      </c>
      <c r="CG83" s="537">
        <v>0.51</v>
      </c>
      <c r="CH83" s="537">
        <v>0.51</v>
      </c>
      <c r="CI83" s="537">
        <v>0.51</v>
      </c>
      <c r="CJ83" s="537">
        <v>0.51</v>
      </c>
      <c r="CK83" s="537">
        <v>0.51</v>
      </c>
      <c r="CL83" s="537">
        <v>0.51</v>
      </c>
      <c r="CM83" s="537">
        <v>0.51</v>
      </c>
      <c r="CN83" s="537">
        <v>0.51</v>
      </c>
      <c r="CO83" s="537">
        <v>0.51</v>
      </c>
      <c r="CP83" s="537">
        <v>0.51</v>
      </c>
      <c r="CQ83" s="537">
        <v>0.51</v>
      </c>
      <c r="CR83" s="537">
        <v>0.51</v>
      </c>
      <c r="CS83" s="537">
        <v>0.51</v>
      </c>
      <c r="CT83" s="537">
        <v>0.51</v>
      </c>
      <c r="CU83" s="537">
        <v>0.51</v>
      </c>
      <c r="CV83" s="537">
        <v>0.51</v>
      </c>
      <c r="CW83" s="537">
        <v>0.51</v>
      </c>
      <c r="CX83" s="537">
        <v>0.51</v>
      </c>
      <c r="CY83" s="537">
        <v>0.51</v>
      </c>
      <c r="CZ83" s="537">
        <v>0.51</v>
      </c>
      <c r="DA83" s="537">
        <v>0.51</v>
      </c>
      <c r="DB83" s="537">
        <v>0.51</v>
      </c>
      <c r="DC83" s="537">
        <v>0.51</v>
      </c>
      <c r="DD83" s="537">
        <v>0.51</v>
      </c>
      <c r="DE83" s="537">
        <v>0.51</v>
      </c>
      <c r="DF83" s="537">
        <v>0.51</v>
      </c>
      <c r="DG83" s="537">
        <v>0.51</v>
      </c>
      <c r="DH83" s="537">
        <v>0.51</v>
      </c>
    </row>
    <row r="84" spans="2:112">
      <c r="B84" t="s">
        <v>975</v>
      </c>
      <c r="C84" t="s">
        <v>735</v>
      </c>
      <c r="D84" t="s">
        <v>890</v>
      </c>
      <c r="E84" t="s">
        <v>178</v>
      </c>
      <c r="F84" s="537">
        <v>0.51</v>
      </c>
      <c r="G84" s="537">
        <v>0.51</v>
      </c>
      <c r="H84" s="537">
        <v>0.51</v>
      </c>
      <c r="I84" s="537">
        <v>0.51</v>
      </c>
      <c r="J84" s="537">
        <v>0.51</v>
      </c>
      <c r="K84" s="537">
        <v>0.51</v>
      </c>
      <c r="L84" s="537">
        <v>0.51</v>
      </c>
      <c r="M84" s="537">
        <v>0.51</v>
      </c>
      <c r="N84" s="537">
        <v>0.51</v>
      </c>
      <c r="O84" s="537">
        <v>0.51</v>
      </c>
      <c r="P84" s="537">
        <v>0.51</v>
      </c>
      <c r="Q84" s="537">
        <v>0.51</v>
      </c>
      <c r="R84" s="537">
        <v>0.51</v>
      </c>
      <c r="S84" s="537">
        <v>0.51</v>
      </c>
      <c r="T84" s="537">
        <v>0.51</v>
      </c>
      <c r="U84" s="537">
        <v>0.51</v>
      </c>
      <c r="V84" s="537">
        <v>0.51</v>
      </c>
      <c r="W84" s="537">
        <v>0.51</v>
      </c>
      <c r="X84" s="537">
        <v>0.51</v>
      </c>
      <c r="Y84" s="537">
        <v>0.51</v>
      </c>
      <c r="Z84" s="537">
        <v>0.51</v>
      </c>
      <c r="AA84" s="537">
        <v>0.51</v>
      </c>
      <c r="AB84" s="537">
        <v>0.51</v>
      </c>
      <c r="AC84" s="537">
        <v>0.51</v>
      </c>
      <c r="AD84" s="537">
        <v>0.51</v>
      </c>
      <c r="AE84" s="537">
        <v>0.51</v>
      </c>
      <c r="AF84" s="537">
        <v>0.51</v>
      </c>
      <c r="AG84" s="537">
        <v>0.51</v>
      </c>
      <c r="AH84" s="526">
        <f t="shared" si="82"/>
        <v>0.51</v>
      </c>
      <c r="AI84" s="526">
        <f t="shared" si="82"/>
        <v>0.51</v>
      </c>
      <c r="AJ84" s="526">
        <f t="shared" si="82"/>
        <v>0.51</v>
      </c>
      <c r="AK84" s="526">
        <f t="shared" si="82"/>
        <v>0.51</v>
      </c>
      <c r="AL84" s="526">
        <f t="shared" si="82"/>
        <v>0.51</v>
      </c>
      <c r="AM84" s="526">
        <f t="shared" si="82"/>
        <v>0.51</v>
      </c>
      <c r="AN84" s="526">
        <f t="shared" si="82"/>
        <v>0.51</v>
      </c>
      <c r="AO84" s="526">
        <f t="shared" si="82"/>
        <v>0.51</v>
      </c>
      <c r="AP84" s="526">
        <f t="shared" si="82"/>
        <v>0.51</v>
      </c>
      <c r="AQ84" s="526">
        <f t="shared" si="82"/>
        <v>0.51</v>
      </c>
      <c r="AR84" s="526">
        <f t="shared" si="82"/>
        <v>0.51</v>
      </c>
      <c r="AS84" s="526">
        <f t="shared" si="82"/>
        <v>0.51</v>
      </c>
      <c r="AT84" s="526">
        <f t="shared" si="82"/>
        <v>0.51</v>
      </c>
      <c r="AU84" s="526">
        <f t="shared" si="82"/>
        <v>0.51</v>
      </c>
      <c r="AV84" s="526">
        <f t="shared" si="82"/>
        <v>0.51</v>
      </c>
      <c r="AW84" s="526">
        <f t="shared" si="82"/>
        <v>0.51</v>
      </c>
      <c r="AX84" s="526">
        <f t="shared" si="81"/>
        <v>0.51</v>
      </c>
      <c r="AY84" s="526">
        <f t="shared" si="81"/>
        <v>0.51</v>
      </c>
      <c r="AZ84" s="526">
        <f t="shared" si="81"/>
        <v>0.51</v>
      </c>
      <c r="BA84" s="526">
        <f t="shared" si="81"/>
        <v>0.51</v>
      </c>
      <c r="BB84" s="526">
        <f t="shared" si="81"/>
        <v>0.51</v>
      </c>
      <c r="BC84" s="526">
        <f t="shared" si="81"/>
        <v>0.51</v>
      </c>
      <c r="BD84" s="526">
        <f t="shared" si="81"/>
        <v>0.51</v>
      </c>
      <c r="BE84" s="526">
        <f t="shared" si="81"/>
        <v>0.51</v>
      </c>
      <c r="BF84" s="526">
        <f t="shared" si="81"/>
        <v>0.51</v>
      </c>
      <c r="BG84" s="526">
        <f t="shared" si="81"/>
        <v>0.51</v>
      </c>
      <c r="BH84" s="526">
        <f t="shared" si="81"/>
        <v>0.51</v>
      </c>
      <c r="BI84" s="526">
        <f t="shared" si="81"/>
        <v>0.51</v>
      </c>
      <c r="BJ84" s="526">
        <f t="shared" si="81"/>
        <v>0.51</v>
      </c>
      <c r="BK84" s="526">
        <f t="shared" si="81"/>
        <v>0.51</v>
      </c>
      <c r="BL84" s="526">
        <f t="shared" si="81"/>
        <v>0.51</v>
      </c>
      <c r="BM84" s="526">
        <f t="shared" si="81"/>
        <v>0.51</v>
      </c>
      <c r="BN84" s="526">
        <f t="shared" si="81"/>
        <v>0.51</v>
      </c>
      <c r="BO84" s="526">
        <f t="shared" si="81"/>
        <v>0.51</v>
      </c>
      <c r="BP84" s="526">
        <f t="shared" si="81"/>
        <v>0.51</v>
      </c>
      <c r="BQ84" s="526">
        <f t="shared" si="81"/>
        <v>0.51</v>
      </c>
      <c r="BR84" s="526">
        <f t="shared" si="81"/>
        <v>0.51</v>
      </c>
      <c r="BS84" s="526">
        <f t="shared" si="81"/>
        <v>0.51</v>
      </c>
      <c r="BT84" s="526">
        <f t="shared" si="81"/>
        <v>0.51</v>
      </c>
      <c r="BU84" s="526">
        <f t="shared" si="81"/>
        <v>0.51</v>
      </c>
      <c r="BV84" s="526">
        <f t="shared" si="81"/>
        <v>0.51</v>
      </c>
      <c r="BW84" s="526">
        <f t="shared" si="81"/>
        <v>0.51</v>
      </c>
      <c r="BX84" s="526">
        <f t="shared" si="81"/>
        <v>0.51</v>
      </c>
      <c r="BY84" s="526">
        <f t="shared" si="81"/>
        <v>0.51</v>
      </c>
      <c r="BZ84" s="526">
        <f t="shared" si="81"/>
        <v>0.51</v>
      </c>
      <c r="CA84" s="526">
        <f t="shared" si="81"/>
        <v>0.51</v>
      </c>
      <c r="CB84" s="526">
        <f t="shared" si="81"/>
        <v>0.51</v>
      </c>
      <c r="CC84" s="526">
        <f t="shared" si="81"/>
        <v>0.51</v>
      </c>
      <c r="CD84" s="526">
        <f t="shared" si="81"/>
        <v>0.51</v>
      </c>
      <c r="CE84" s="526">
        <f t="shared" si="81"/>
        <v>0.51</v>
      </c>
      <c r="CG84" s="537">
        <v>0.51</v>
      </c>
      <c r="CH84" s="537">
        <v>0.51</v>
      </c>
      <c r="CI84" s="537">
        <v>0.51</v>
      </c>
      <c r="CJ84" s="537">
        <v>0.51</v>
      </c>
      <c r="CK84" s="537">
        <v>0.51</v>
      </c>
      <c r="CL84" s="537">
        <v>0.51</v>
      </c>
      <c r="CM84" s="537">
        <v>0.51</v>
      </c>
      <c r="CN84" s="537">
        <v>0.51</v>
      </c>
      <c r="CO84" s="537">
        <v>0.51</v>
      </c>
      <c r="CP84" s="537">
        <v>0.51</v>
      </c>
      <c r="CQ84" s="537">
        <v>0.51</v>
      </c>
      <c r="CR84" s="537">
        <v>0.51</v>
      </c>
      <c r="CS84" s="537">
        <v>0.51</v>
      </c>
      <c r="CT84" s="537">
        <v>0.51</v>
      </c>
      <c r="CU84" s="537">
        <v>0.51</v>
      </c>
      <c r="CV84" s="537">
        <v>0.51</v>
      </c>
      <c r="CW84" s="537">
        <v>0.51</v>
      </c>
      <c r="CX84" s="537">
        <v>0.51</v>
      </c>
      <c r="CY84" s="537">
        <v>0.51</v>
      </c>
      <c r="CZ84" s="537">
        <v>0.51</v>
      </c>
      <c r="DA84" s="537">
        <v>0.51</v>
      </c>
      <c r="DB84" s="537">
        <v>0.51</v>
      </c>
      <c r="DC84" s="537">
        <v>0.51</v>
      </c>
      <c r="DD84" s="537">
        <v>0.51</v>
      </c>
      <c r="DE84" s="537">
        <v>0.51</v>
      </c>
      <c r="DF84" s="537">
        <v>0.51</v>
      </c>
      <c r="DG84" s="537">
        <v>0.51</v>
      </c>
      <c r="DH84" s="537">
        <v>0.51</v>
      </c>
    </row>
    <row r="85" spans="2:112">
      <c r="B85" t="s">
        <v>976</v>
      </c>
      <c r="C85" t="s">
        <v>735</v>
      </c>
      <c r="D85" t="s">
        <v>892</v>
      </c>
      <c r="E85" t="s">
        <v>178</v>
      </c>
      <c r="F85" s="537">
        <v>0.51</v>
      </c>
      <c r="G85" s="537">
        <v>0.51</v>
      </c>
      <c r="H85" s="537">
        <v>0.51</v>
      </c>
      <c r="I85" s="537">
        <v>0.51</v>
      </c>
      <c r="J85" s="537">
        <v>0.51</v>
      </c>
      <c r="K85" s="537">
        <v>0.51</v>
      </c>
      <c r="L85" s="537">
        <v>0.51</v>
      </c>
      <c r="M85" s="537">
        <v>0.51</v>
      </c>
      <c r="N85" s="537">
        <v>0.51</v>
      </c>
      <c r="O85" s="537">
        <v>0.51</v>
      </c>
      <c r="P85" s="537">
        <v>0.51</v>
      </c>
      <c r="Q85" s="537">
        <v>0.51</v>
      </c>
      <c r="R85" s="537">
        <v>0.51</v>
      </c>
      <c r="S85" s="537">
        <v>0.51</v>
      </c>
      <c r="T85" s="537">
        <v>0.51</v>
      </c>
      <c r="U85" s="537">
        <v>0.51</v>
      </c>
      <c r="V85" s="537">
        <v>0.51</v>
      </c>
      <c r="W85" s="537">
        <v>0.51</v>
      </c>
      <c r="X85" s="537">
        <v>0.51</v>
      </c>
      <c r="Y85" s="537">
        <v>0.51</v>
      </c>
      <c r="Z85" s="537">
        <v>0.51</v>
      </c>
      <c r="AA85" s="537">
        <v>0.51</v>
      </c>
      <c r="AB85" s="537">
        <v>0.51</v>
      </c>
      <c r="AC85" s="537">
        <v>0.51</v>
      </c>
      <c r="AD85" s="537">
        <v>0.51</v>
      </c>
      <c r="AE85" s="537">
        <v>0.51</v>
      </c>
      <c r="AF85" s="537">
        <v>0.51</v>
      </c>
      <c r="AG85" s="537">
        <v>0.51</v>
      </c>
      <c r="AH85" s="526">
        <f t="shared" si="82"/>
        <v>0.51</v>
      </c>
      <c r="AI85" s="526">
        <f t="shared" si="82"/>
        <v>0.51</v>
      </c>
      <c r="AJ85" s="526">
        <f t="shared" si="82"/>
        <v>0.51</v>
      </c>
      <c r="AK85" s="526">
        <f t="shared" si="82"/>
        <v>0.51</v>
      </c>
      <c r="AL85" s="526">
        <f t="shared" si="82"/>
        <v>0.51</v>
      </c>
      <c r="AM85" s="526">
        <f t="shared" si="82"/>
        <v>0.51</v>
      </c>
      <c r="AN85" s="526">
        <f t="shared" si="82"/>
        <v>0.51</v>
      </c>
      <c r="AO85" s="526">
        <f t="shared" si="82"/>
        <v>0.51</v>
      </c>
      <c r="AP85" s="526">
        <f t="shared" si="82"/>
        <v>0.51</v>
      </c>
      <c r="AQ85" s="526">
        <f t="shared" si="82"/>
        <v>0.51</v>
      </c>
      <c r="AR85" s="526">
        <f t="shared" si="82"/>
        <v>0.51</v>
      </c>
      <c r="AS85" s="526">
        <f t="shared" si="82"/>
        <v>0.51</v>
      </c>
      <c r="AT85" s="526">
        <f t="shared" si="82"/>
        <v>0.51</v>
      </c>
      <c r="AU85" s="526">
        <f t="shared" si="82"/>
        <v>0.51</v>
      </c>
      <c r="AV85" s="526">
        <f t="shared" si="82"/>
        <v>0.51</v>
      </c>
      <c r="AW85" s="526">
        <f t="shared" si="82"/>
        <v>0.51</v>
      </c>
      <c r="AX85" s="526">
        <f t="shared" si="81"/>
        <v>0.51</v>
      </c>
      <c r="AY85" s="526">
        <f t="shared" si="81"/>
        <v>0.51</v>
      </c>
      <c r="AZ85" s="526">
        <f t="shared" si="81"/>
        <v>0.51</v>
      </c>
      <c r="BA85" s="526">
        <f t="shared" si="81"/>
        <v>0.51</v>
      </c>
      <c r="BB85" s="526">
        <f t="shared" si="81"/>
        <v>0.51</v>
      </c>
      <c r="BC85" s="526">
        <f t="shared" si="81"/>
        <v>0.51</v>
      </c>
      <c r="BD85" s="526">
        <f t="shared" si="81"/>
        <v>0.51</v>
      </c>
      <c r="BE85" s="526">
        <f t="shared" si="81"/>
        <v>0.51</v>
      </c>
      <c r="BF85" s="526">
        <f t="shared" si="81"/>
        <v>0.51</v>
      </c>
      <c r="BG85" s="526">
        <f t="shared" si="81"/>
        <v>0.51</v>
      </c>
      <c r="BH85" s="526">
        <f t="shared" si="81"/>
        <v>0.51</v>
      </c>
      <c r="BI85" s="526">
        <f t="shared" si="81"/>
        <v>0.51</v>
      </c>
      <c r="BJ85" s="526">
        <f t="shared" si="81"/>
        <v>0.51</v>
      </c>
      <c r="BK85" s="526">
        <f t="shared" si="81"/>
        <v>0.51</v>
      </c>
      <c r="BL85" s="526">
        <f t="shared" si="81"/>
        <v>0.51</v>
      </c>
      <c r="BM85" s="526">
        <f t="shared" si="81"/>
        <v>0.51</v>
      </c>
      <c r="BN85" s="526">
        <f t="shared" si="81"/>
        <v>0.51</v>
      </c>
      <c r="BO85" s="526">
        <f t="shared" si="81"/>
        <v>0.51</v>
      </c>
      <c r="BP85" s="526">
        <f t="shared" si="81"/>
        <v>0.51</v>
      </c>
      <c r="BQ85" s="526">
        <f t="shared" si="81"/>
        <v>0.51</v>
      </c>
      <c r="BR85" s="526">
        <f t="shared" si="81"/>
        <v>0.51</v>
      </c>
      <c r="BS85" s="526">
        <f t="shared" si="81"/>
        <v>0.51</v>
      </c>
      <c r="BT85" s="526">
        <f t="shared" si="81"/>
        <v>0.51</v>
      </c>
      <c r="BU85" s="526">
        <f t="shared" si="81"/>
        <v>0.51</v>
      </c>
      <c r="BV85" s="526">
        <f t="shared" si="81"/>
        <v>0.51</v>
      </c>
      <c r="BW85" s="526">
        <f t="shared" si="81"/>
        <v>0.51</v>
      </c>
      <c r="BX85" s="526">
        <f t="shared" si="81"/>
        <v>0.51</v>
      </c>
      <c r="BY85" s="526">
        <f t="shared" si="81"/>
        <v>0.51</v>
      </c>
      <c r="BZ85" s="526">
        <f t="shared" si="81"/>
        <v>0.51</v>
      </c>
      <c r="CA85" s="526">
        <f t="shared" si="81"/>
        <v>0.51</v>
      </c>
      <c r="CB85" s="526">
        <f t="shared" si="81"/>
        <v>0.51</v>
      </c>
      <c r="CC85" s="526">
        <f t="shared" si="81"/>
        <v>0.51</v>
      </c>
      <c r="CD85" s="526">
        <f t="shared" si="81"/>
        <v>0.51</v>
      </c>
      <c r="CE85" s="526">
        <f t="shared" si="81"/>
        <v>0.51</v>
      </c>
      <c r="CG85" s="537">
        <v>0.51</v>
      </c>
      <c r="CH85" s="537">
        <v>0.51</v>
      </c>
      <c r="CI85" s="537">
        <v>0.51</v>
      </c>
      <c r="CJ85" s="537">
        <v>0.51</v>
      </c>
      <c r="CK85" s="537">
        <v>0.51</v>
      </c>
      <c r="CL85" s="537">
        <v>0.51</v>
      </c>
      <c r="CM85" s="537">
        <v>0.51</v>
      </c>
      <c r="CN85" s="537">
        <v>0.51</v>
      </c>
      <c r="CO85" s="537">
        <v>0.51</v>
      </c>
      <c r="CP85" s="537">
        <v>0.51</v>
      </c>
      <c r="CQ85" s="537">
        <v>0.51</v>
      </c>
      <c r="CR85" s="537">
        <v>0.51</v>
      </c>
      <c r="CS85" s="537">
        <v>0.51</v>
      </c>
      <c r="CT85" s="537">
        <v>0.51</v>
      </c>
      <c r="CU85" s="537">
        <v>0.51</v>
      </c>
      <c r="CV85" s="537">
        <v>0.51</v>
      </c>
      <c r="CW85" s="537">
        <v>0.51</v>
      </c>
      <c r="CX85" s="537">
        <v>0.51</v>
      </c>
      <c r="CY85" s="537">
        <v>0.51</v>
      </c>
      <c r="CZ85" s="537">
        <v>0.51</v>
      </c>
      <c r="DA85" s="537">
        <v>0.51</v>
      </c>
      <c r="DB85" s="537">
        <v>0.51</v>
      </c>
      <c r="DC85" s="537">
        <v>0.51</v>
      </c>
      <c r="DD85" s="537">
        <v>0.51</v>
      </c>
      <c r="DE85" s="537">
        <v>0.51</v>
      </c>
      <c r="DF85" s="537">
        <v>0.51</v>
      </c>
      <c r="DG85" s="537">
        <v>0.51</v>
      </c>
      <c r="DH85" s="537">
        <v>0.51</v>
      </c>
    </row>
    <row r="86" spans="2:112">
      <c r="B86" t="s">
        <v>977</v>
      </c>
      <c r="C86" t="s">
        <v>735</v>
      </c>
      <c r="D86" t="s">
        <v>894</v>
      </c>
      <c r="E86" t="s">
        <v>895</v>
      </c>
      <c r="F86" s="537">
        <v>0</v>
      </c>
      <c r="G86" s="537">
        <v>0</v>
      </c>
      <c r="H86" s="537">
        <v>0</v>
      </c>
      <c r="I86" s="537">
        <v>0</v>
      </c>
      <c r="J86" s="537">
        <v>0</v>
      </c>
      <c r="K86" s="537">
        <v>0</v>
      </c>
      <c r="L86" s="537">
        <v>0</v>
      </c>
      <c r="M86" s="537">
        <v>0</v>
      </c>
      <c r="N86" s="537">
        <v>0</v>
      </c>
      <c r="O86" s="537">
        <v>0</v>
      </c>
      <c r="P86" s="537">
        <v>0</v>
      </c>
      <c r="Q86" s="537">
        <v>0</v>
      </c>
      <c r="R86" s="537">
        <v>0</v>
      </c>
      <c r="S86" s="537">
        <v>0</v>
      </c>
      <c r="T86" s="537">
        <v>0</v>
      </c>
      <c r="U86" s="537">
        <v>0</v>
      </c>
      <c r="V86" s="537">
        <v>0</v>
      </c>
      <c r="W86" s="537">
        <v>0</v>
      </c>
      <c r="X86" s="537">
        <v>0</v>
      </c>
      <c r="Y86" s="537">
        <v>0</v>
      </c>
      <c r="Z86" s="537">
        <v>0</v>
      </c>
      <c r="AA86" s="537">
        <v>0</v>
      </c>
      <c r="AB86" s="537">
        <v>0</v>
      </c>
      <c r="AC86" s="537">
        <v>0</v>
      </c>
      <c r="AD86" s="537">
        <v>0</v>
      </c>
      <c r="AE86" s="537">
        <v>0</v>
      </c>
      <c r="AF86" s="537">
        <v>0</v>
      </c>
      <c r="AG86" s="537">
        <v>0</v>
      </c>
      <c r="AH86" s="538">
        <f t="shared" si="82"/>
        <v>0</v>
      </c>
      <c r="AI86" s="538">
        <f t="shared" si="82"/>
        <v>0</v>
      </c>
      <c r="AJ86" s="538">
        <f t="shared" si="82"/>
        <v>0</v>
      </c>
      <c r="AK86" s="538">
        <f t="shared" si="82"/>
        <v>0</v>
      </c>
      <c r="AL86" s="538">
        <f t="shared" si="82"/>
        <v>0</v>
      </c>
      <c r="AM86" s="538">
        <f t="shared" si="82"/>
        <v>0</v>
      </c>
      <c r="AN86" s="538">
        <f t="shared" si="82"/>
        <v>0</v>
      </c>
      <c r="AO86" s="538">
        <f t="shared" si="82"/>
        <v>0</v>
      </c>
      <c r="AP86" s="538">
        <f t="shared" si="82"/>
        <v>0</v>
      </c>
      <c r="AQ86" s="538">
        <f t="shared" si="82"/>
        <v>0</v>
      </c>
      <c r="AR86" s="538">
        <f t="shared" si="82"/>
        <v>0</v>
      </c>
      <c r="AS86" s="538">
        <f t="shared" si="82"/>
        <v>0</v>
      </c>
      <c r="AT86" s="538">
        <f t="shared" si="82"/>
        <v>0</v>
      </c>
      <c r="AU86" s="538">
        <f t="shared" si="82"/>
        <v>0</v>
      </c>
      <c r="AV86" s="538">
        <f t="shared" si="82"/>
        <v>0</v>
      </c>
      <c r="AW86" s="538">
        <f t="shared" si="82"/>
        <v>0</v>
      </c>
      <c r="AX86" s="538">
        <f t="shared" si="81"/>
        <v>0</v>
      </c>
      <c r="AY86" s="538">
        <f t="shared" si="81"/>
        <v>0</v>
      </c>
      <c r="AZ86" s="538">
        <f t="shared" si="81"/>
        <v>0</v>
      </c>
      <c r="BA86" s="538">
        <f t="shared" si="81"/>
        <v>0</v>
      </c>
      <c r="BB86" s="538">
        <f t="shared" si="81"/>
        <v>0</v>
      </c>
      <c r="BC86" s="538">
        <f t="shared" si="81"/>
        <v>0</v>
      </c>
      <c r="BD86" s="538">
        <f t="shared" si="81"/>
        <v>0</v>
      </c>
      <c r="BE86" s="538">
        <f t="shared" si="81"/>
        <v>0</v>
      </c>
      <c r="BF86" s="538">
        <f t="shared" si="81"/>
        <v>0</v>
      </c>
      <c r="BG86" s="538">
        <f t="shared" si="81"/>
        <v>0</v>
      </c>
      <c r="BH86" s="538">
        <f t="shared" si="81"/>
        <v>0</v>
      </c>
      <c r="BI86" s="538">
        <f t="shared" si="81"/>
        <v>0</v>
      </c>
      <c r="BJ86" s="538">
        <f t="shared" si="81"/>
        <v>0</v>
      </c>
      <c r="BK86" s="538">
        <f t="shared" si="81"/>
        <v>0</v>
      </c>
      <c r="BL86" s="538">
        <f t="shared" si="81"/>
        <v>0</v>
      </c>
      <c r="BM86" s="538">
        <f t="shared" si="81"/>
        <v>0</v>
      </c>
      <c r="BN86" s="538">
        <f t="shared" si="81"/>
        <v>0</v>
      </c>
      <c r="BO86" s="538">
        <f t="shared" si="81"/>
        <v>0</v>
      </c>
      <c r="BP86" s="538">
        <f t="shared" si="81"/>
        <v>0</v>
      </c>
      <c r="BQ86" s="538">
        <f t="shared" si="81"/>
        <v>0</v>
      </c>
      <c r="BR86" s="538">
        <f t="shared" si="81"/>
        <v>0</v>
      </c>
      <c r="BS86" s="538">
        <f t="shared" si="81"/>
        <v>0</v>
      </c>
      <c r="BT86" s="538">
        <f t="shared" si="81"/>
        <v>0</v>
      </c>
      <c r="BU86" s="538">
        <f t="shared" si="81"/>
        <v>0</v>
      </c>
      <c r="BV86" s="538">
        <f t="shared" si="81"/>
        <v>0</v>
      </c>
      <c r="BW86" s="538">
        <f t="shared" si="81"/>
        <v>0</v>
      </c>
      <c r="BX86" s="538">
        <f t="shared" si="81"/>
        <v>0</v>
      </c>
      <c r="BY86" s="538">
        <f t="shared" si="81"/>
        <v>0</v>
      </c>
      <c r="BZ86" s="538">
        <f t="shared" si="81"/>
        <v>0</v>
      </c>
      <c r="CA86" s="538">
        <f t="shared" si="81"/>
        <v>0</v>
      </c>
      <c r="CB86" s="538">
        <f t="shared" si="81"/>
        <v>0</v>
      </c>
      <c r="CC86" s="538">
        <f t="shared" si="81"/>
        <v>0</v>
      </c>
      <c r="CD86" s="538">
        <f t="shared" si="81"/>
        <v>0</v>
      </c>
      <c r="CE86" s="538">
        <f t="shared" si="81"/>
        <v>0</v>
      </c>
      <c r="CG86" s="537">
        <v>0</v>
      </c>
      <c r="CH86" s="537">
        <v>0</v>
      </c>
      <c r="CI86" s="537">
        <v>0</v>
      </c>
      <c r="CJ86" s="537">
        <v>0</v>
      </c>
      <c r="CK86" s="537">
        <v>0</v>
      </c>
      <c r="CL86" s="537">
        <v>0</v>
      </c>
      <c r="CM86" s="537">
        <v>0</v>
      </c>
      <c r="CN86" s="537">
        <v>0</v>
      </c>
      <c r="CO86" s="537">
        <v>0</v>
      </c>
      <c r="CP86" s="537">
        <v>0</v>
      </c>
      <c r="CQ86" s="537">
        <v>0</v>
      </c>
      <c r="CR86" s="537">
        <v>0</v>
      </c>
      <c r="CS86" s="537">
        <v>0</v>
      </c>
      <c r="CT86" s="537">
        <v>0</v>
      </c>
      <c r="CU86" s="537">
        <v>0</v>
      </c>
      <c r="CV86" s="537">
        <v>0</v>
      </c>
      <c r="CW86" s="537">
        <v>0</v>
      </c>
      <c r="CX86" s="537">
        <v>0</v>
      </c>
      <c r="CY86" s="537">
        <v>0</v>
      </c>
      <c r="CZ86" s="537">
        <v>0</v>
      </c>
      <c r="DA86" s="537">
        <v>0</v>
      </c>
      <c r="DB86" s="537">
        <v>0</v>
      </c>
      <c r="DC86" s="537">
        <v>0</v>
      </c>
      <c r="DD86" s="537">
        <v>0</v>
      </c>
      <c r="DE86" s="537">
        <v>0</v>
      </c>
      <c r="DF86" s="537">
        <v>0</v>
      </c>
      <c r="DG86" s="537">
        <v>0</v>
      </c>
      <c r="DH86" s="537">
        <v>0</v>
      </c>
    </row>
    <row r="87" spans="2:112">
      <c r="B87" t="s">
        <v>978</v>
      </c>
      <c r="C87" t="s">
        <v>735</v>
      </c>
      <c r="D87" t="s">
        <v>897</v>
      </c>
      <c r="E87" t="s">
        <v>895</v>
      </c>
      <c r="F87" s="537">
        <v>0.01</v>
      </c>
      <c r="G87" s="537">
        <v>0.01</v>
      </c>
      <c r="H87" s="537">
        <v>0.01</v>
      </c>
      <c r="I87" s="537">
        <v>0.01</v>
      </c>
      <c r="J87" s="537">
        <v>0.01</v>
      </c>
      <c r="K87" s="537">
        <v>0.01</v>
      </c>
      <c r="L87" s="537">
        <v>0.01</v>
      </c>
      <c r="M87" s="537">
        <v>0.01</v>
      </c>
      <c r="N87" s="537">
        <v>0.01</v>
      </c>
      <c r="O87" s="537">
        <v>0.01</v>
      </c>
      <c r="P87" s="537">
        <v>0.01</v>
      </c>
      <c r="Q87" s="537">
        <v>0.01</v>
      </c>
      <c r="R87" s="537">
        <v>0.01</v>
      </c>
      <c r="S87" s="537">
        <v>0.01</v>
      </c>
      <c r="T87" s="537">
        <v>0.01</v>
      </c>
      <c r="U87" s="537">
        <v>0.01</v>
      </c>
      <c r="V87" s="537">
        <v>0.01</v>
      </c>
      <c r="W87" s="537">
        <v>0.01</v>
      </c>
      <c r="X87" s="537">
        <v>0.01</v>
      </c>
      <c r="Y87" s="537">
        <v>0.01</v>
      </c>
      <c r="Z87" s="537">
        <v>0.01</v>
      </c>
      <c r="AA87" s="537">
        <v>0.01</v>
      </c>
      <c r="AB87" s="537">
        <v>0.01</v>
      </c>
      <c r="AC87" s="537">
        <v>0.01</v>
      </c>
      <c r="AD87" s="537">
        <v>0.01</v>
      </c>
      <c r="AE87" s="537">
        <v>0.01</v>
      </c>
      <c r="AF87" s="537">
        <v>0.01</v>
      </c>
      <c r="AG87" s="537">
        <v>0.01</v>
      </c>
      <c r="AH87" s="538">
        <f t="shared" si="82"/>
        <v>0.01</v>
      </c>
      <c r="AI87" s="538">
        <f t="shared" si="82"/>
        <v>0.01</v>
      </c>
      <c r="AJ87" s="538">
        <f t="shared" si="82"/>
        <v>0.01</v>
      </c>
      <c r="AK87" s="538">
        <f t="shared" si="82"/>
        <v>0.01</v>
      </c>
      <c r="AL87" s="538">
        <f t="shared" si="82"/>
        <v>0.01</v>
      </c>
      <c r="AM87" s="538">
        <f t="shared" si="82"/>
        <v>0.01</v>
      </c>
      <c r="AN87" s="538">
        <f t="shared" si="82"/>
        <v>0.01</v>
      </c>
      <c r="AO87" s="538">
        <f t="shared" si="82"/>
        <v>0.01</v>
      </c>
      <c r="AP87" s="538">
        <f t="shared" si="82"/>
        <v>0.01</v>
      </c>
      <c r="AQ87" s="538">
        <f t="shared" si="82"/>
        <v>0.01</v>
      </c>
      <c r="AR87" s="538">
        <f t="shared" si="82"/>
        <v>0.01</v>
      </c>
      <c r="AS87" s="538">
        <f t="shared" si="82"/>
        <v>0.01</v>
      </c>
      <c r="AT87" s="538">
        <f t="shared" si="82"/>
        <v>0.01</v>
      </c>
      <c r="AU87" s="538">
        <f t="shared" si="82"/>
        <v>0.01</v>
      </c>
      <c r="AV87" s="538">
        <f t="shared" si="82"/>
        <v>0.01</v>
      </c>
      <c r="AW87" s="538">
        <f t="shared" si="82"/>
        <v>0.01</v>
      </c>
      <c r="AX87" s="538">
        <f t="shared" si="81"/>
        <v>0.01</v>
      </c>
      <c r="AY87" s="538">
        <f t="shared" si="81"/>
        <v>0.01</v>
      </c>
      <c r="AZ87" s="538">
        <f t="shared" si="81"/>
        <v>0.01</v>
      </c>
      <c r="BA87" s="538">
        <f t="shared" si="81"/>
        <v>0.01</v>
      </c>
      <c r="BB87" s="538">
        <f t="shared" si="81"/>
        <v>0.01</v>
      </c>
      <c r="BC87" s="538">
        <f t="shared" si="81"/>
        <v>0.01</v>
      </c>
      <c r="BD87" s="538">
        <f t="shared" si="81"/>
        <v>0.01</v>
      </c>
      <c r="BE87" s="538">
        <f t="shared" si="81"/>
        <v>0.01</v>
      </c>
      <c r="BF87" s="538">
        <f t="shared" si="81"/>
        <v>0.01</v>
      </c>
      <c r="BG87" s="538">
        <f t="shared" si="81"/>
        <v>0.01</v>
      </c>
      <c r="BH87" s="538">
        <f t="shared" si="81"/>
        <v>0.01</v>
      </c>
      <c r="BI87" s="538">
        <f t="shared" si="81"/>
        <v>0.01</v>
      </c>
      <c r="BJ87" s="538">
        <f t="shared" si="81"/>
        <v>0.01</v>
      </c>
      <c r="BK87" s="538">
        <f t="shared" si="81"/>
        <v>0.01</v>
      </c>
      <c r="BL87" s="538">
        <f t="shared" si="81"/>
        <v>0.01</v>
      </c>
      <c r="BM87" s="538">
        <f t="shared" si="81"/>
        <v>0.01</v>
      </c>
      <c r="BN87" s="538">
        <f t="shared" ref="BN87:CC89" si="83">BM87</f>
        <v>0.01</v>
      </c>
      <c r="BO87" s="538">
        <f t="shared" si="83"/>
        <v>0.01</v>
      </c>
      <c r="BP87" s="538">
        <f t="shared" si="83"/>
        <v>0.01</v>
      </c>
      <c r="BQ87" s="538">
        <f t="shared" si="83"/>
        <v>0.01</v>
      </c>
      <c r="BR87" s="538">
        <f t="shared" si="83"/>
        <v>0.01</v>
      </c>
      <c r="BS87" s="538">
        <f t="shared" si="83"/>
        <v>0.01</v>
      </c>
      <c r="BT87" s="538">
        <f t="shared" si="83"/>
        <v>0.01</v>
      </c>
      <c r="BU87" s="538">
        <f t="shared" si="83"/>
        <v>0.01</v>
      </c>
      <c r="BV87" s="538">
        <f t="shared" si="83"/>
        <v>0.01</v>
      </c>
      <c r="BW87" s="538">
        <f t="shared" si="83"/>
        <v>0.01</v>
      </c>
      <c r="BX87" s="538">
        <f t="shared" si="83"/>
        <v>0.01</v>
      </c>
      <c r="BY87" s="538">
        <f t="shared" si="83"/>
        <v>0.01</v>
      </c>
      <c r="BZ87" s="538">
        <f t="shared" si="83"/>
        <v>0.01</v>
      </c>
      <c r="CA87" s="538">
        <f t="shared" si="83"/>
        <v>0.01</v>
      </c>
      <c r="CB87" s="538">
        <f t="shared" si="83"/>
        <v>0.01</v>
      </c>
      <c r="CC87" s="538">
        <f t="shared" si="83"/>
        <v>0.01</v>
      </c>
      <c r="CD87" s="538">
        <f t="shared" ref="CD87:CE89" si="84">CC87</f>
        <v>0.01</v>
      </c>
      <c r="CE87" s="538">
        <f t="shared" si="84"/>
        <v>0.01</v>
      </c>
      <c r="CG87" s="537">
        <v>0.01</v>
      </c>
      <c r="CH87" s="537">
        <v>0.01</v>
      </c>
      <c r="CI87" s="537">
        <v>0.01</v>
      </c>
      <c r="CJ87" s="537">
        <v>0.01</v>
      </c>
      <c r="CK87" s="537">
        <v>0.01</v>
      </c>
      <c r="CL87" s="537">
        <v>0.01</v>
      </c>
      <c r="CM87" s="537">
        <v>0.01</v>
      </c>
      <c r="CN87" s="537">
        <v>0.01</v>
      </c>
      <c r="CO87" s="537">
        <v>0.01</v>
      </c>
      <c r="CP87" s="537">
        <v>0.01</v>
      </c>
      <c r="CQ87" s="537">
        <v>0.01</v>
      </c>
      <c r="CR87" s="537">
        <v>0.01</v>
      </c>
      <c r="CS87" s="537">
        <v>0.01</v>
      </c>
      <c r="CT87" s="537">
        <v>0.01</v>
      </c>
      <c r="CU87" s="537">
        <v>0.01</v>
      </c>
      <c r="CV87" s="537">
        <v>0.01</v>
      </c>
      <c r="CW87" s="537">
        <v>0.01</v>
      </c>
      <c r="CX87" s="537">
        <v>0.01</v>
      </c>
      <c r="CY87" s="537">
        <v>0.01</v>
      </c>
      <c r="CZ87" s="537">
        <v>0.01</v>
      </c>
      <c r="DA87" s="537">
        <v>0.01</v>
      </c>
      <c r="DB87" s="537">
        <v>0.01</v>
      </c>
      <c r="DC87" s="537">
        <v>0.01</v>
      </c>
      <c r="DD87" s="537">
        <v>0.01</v>
      </c>
      <c r="DE87" s="537">
        <v>0.01</v>
      </c>
      <c r="DF87" s="537">
        <v>0.01</v>
      </c>
      <c r="DG87" s="537">
        <v>0.01</v>
      </c>
      <c r="DH87" s="537">
        <v>0.01</v>
      </c>
    </row>
    <row r="88" spans="2:112">
      <c r="B88" t="s">
        <v>979</v>
      </c>
      <c r="C88" t="s">
        <v>735</v>
      </c>
      <c r="D88" t="s">
        <v>899</v>
      </c>
      <c r="E88" t="s">
        <v>895</v>
      </c>
      <c r="F88" s="537">
        <v>0.05</v>
      </c>
      <c r="G88" s="537">
        <v>0.05</v>
      </c>
      <c r="H88" s="537">
        <v>0.05</v>
      </c>
      <c r="I88" s="537">
        <v>0.05</v>
      </c>
      <c r="J88" s="537">
        <v>0.05</v>
      </c>
      <c r="K88" s="537">
        <v>0.05</v>
      </c>
      <c r="L88" s="537">
        <v>0.05</v>
      </c>
      <c r="M88" s="537">
        <v>0.05</v>
      </c>
      <c r="N88" s="537">
        <v>0.05</v>
      </c>
      <c r="O88" s="537">
        <v>0.05</v>
      </c>
      <c r="P88" s="537">
        <v>0.05</v>
      </c>
      <c r="Q88" s="537">
        <v>0.05</v>
      </c>
      <c r="R88" s="537">
        <v>0.05</v>
      </c>
      <c r="S88" s="537">
        <v>0.05</v>
      </c>
      <c r="T88" s="537">
        <v>0.05</v>
      </c>
      <c r="U88" s="537">
        <v>0.05</v>
      </c>
      <c r="V88" s="537">
        <v>0.05</v>
      </c>
      <c r="W88" s="537">
        <v>0.05</v>
      </c>
      <c r="X88" s="537">
        <v>0.05</v>
      </c>
      <c r="Y88" s="537">
        <v>0.05</v>
      </c>
      <c r="Z88" s="537">
        <v>0.05</v>
      </c>
      <c r="AA88" s="537">
        <v>0.05</v>
      </c>
      <c r="AB88" s="537">
        <v>0.05</v>
      </c>
      <c r="AC88" s="537">
        <v>0.05</v>
      </c>
      <c r="AD88" s="537">
        <v>0.05</v>
      </c>
      <c r="AE88" s="537">
        <v>0.05</v>
      </c>
      <c r="AF88" s="537">
        <v>0.05</v>
      </c>
      <c r="AG88" s="537">
        <v>0.05</v>
      </c>
      <c r="AH88" s="538">
        <f t="shared" si="82"/>
        <v>0.05</v>
      </c>
      <c r="AI88" s="538">
        <f t="shared" si="82"/>
        <v>0.05</v>
      </c>
      <c r="AJ88" s="538">
        <f t="shared" si="82"/>
        <v>0.05</v>
      </c>
      <c r="AK88" s="538">
        <f t="shared" si="82"/>
        <v>0.05</v>
      </c>
      <c r="AL88" s="538">
        <f t="shared" si="82"/>
        <v>0.05</v>
      </c>
      <c r="AM88" s="538">
        <f t="shared" si="82"/>
        <v>0.05</v>
      </c>
      <c r="AN88" s="538">
        <f t="shared" si="82"/>
        <v>0.05</v>
      </c>
      <c r="AO88" s="538">
        <f t="shared" si="82"/>
        <v>0.05</v>
      </c>
      <c r="AP88" s="538">
        <f t="shared" si="82"/>
        <v>0.05</v>
      </c>
      <c r="AQ88" s="538">
        <f t="shared" si="82"/>
        <v>0.05</v>
      </c>
      <c r="AR88" s="538">
        <f t="shared" si="82"/>
        <v>0.05</v>
      </c>
      <c r="AS88" s="538">
        <f t="shared" si="82"/>
        <v>0.05</v>
      </c>
      <c r="AT88" s="538">
        <f t="shared" si="82"/>
        <v>0.05</v>
      </c>
      <c r="AU88" s="538">
        <f t="shared" si="82"/>
        <v>0.05</v>
      </c>
      <c r="AV88" s="538">
        <f t="shared" si="82"/>
        <v>0.05</v>
      </c>
      <c r="AW88" s="538">
        <f t="shared" si="82"/>
        <v>0.05</v>
      </c>
      <c r="AX88" s="538">
        <f t="shared" ref="AX88:BM89" si="85">AW88</f>
        <v>0.05</v>
      </c>
      <c r="AY88" s="538">
        <f t="shared" si="85"/>
        <v>0.05</v>
      </c>
      <c r="AZ88" s="538">
        <f t="shared" si="85"/>
        <v>0.05</v>
      </c>
      <c r="BA88" s="538">
        <f t="shared" si="85"/>
        <v>0.05</v>
      </c>
      <c r="BB88" s="538">
        <f t="shared" si="85"/>
        <v>0.05</v>
      </c>
      <c r="BC88" s="538">
        <f t="shared" si="85"/>
        <v>0.05</v>
      </c>
      <c r="BD88" s="538">
        <f t="shared" si="85"/>
        <v>0.05</v>
      </c>
      <c r="BE88" s="538">
        <f t="shared" si="85"/>
        <v>0.05</v>
      </c>
      <c r="BF88" s="538">
        <f t="shared" si="85"/>
        <v>0.05</v>
      </c>
      <c r="BG88" s="538">
        <f t="shared" si="85"/>
        <v>0.05</v>
      </c>
      <c r="BH88" s="538">
        <f t="shared" si="85"/>
        <v>0.05</v>
      </c>
      <c r="BI88" s="538">
        <f t="shared" si="85"/>
        <v>0.05</v>
      </c>
      <c r="BJ88" s="538">
        <f t="shared" si="85"/>
        <v>0.05</v>
      </c>
      <c r="BK88" s="538">
        <f t="shared" si="85"/>
        <v>0.05</v>
      </c>
      <c r="BL88" s="538">
        <f t="shared" si="85"/>
        <v>0.05</v>
      </c>
      <c r="BM88" s="538">
        <f t="shared" si="85"/>
        <v>0.05</v>
      </c>
      <c r="BN88" s="538">
        <f t="shared" si="83"/>
        <v>0.05</v>
      </c>
      <c r="BO88" s="538">
        <f t="shared" si="83"/>
        <v>0.05</v>
      </c>
      <c r="BP88" s="538">
        <f t="shared" si="83"/>
        <v>0.05</v>
      </c>
      <c r="BQ88" s="538">
        <f t="shared" si="83"/>
        <v>0.05</v>
      </c>
      <c r="BR88" s="538">
        <f t="shared" si="83"/>
        <v>0.05</v>
      </c>
      <c r="BS88" s="538">
        <f t="shared" si="83"/>
        <v>0.05</v>
      </c>
      <c r="BT88" s="538">
        <f t="shared" si="83"/>
        <v>0.05</v>
      </c>
      <c r="BU88" s="538">
        <f t="shared" si="83"/>
        <v>0.05</v>
      </c>
      <c r="BV88" s="538">
        <f t="shared" si="83"/>
        <v>0.05</v>
      </c>
      <c r="BW88" s="538">
        <f t="shared" si="83"/>
        <v>0.05</v>
      </c>
      <c r="BX88" s="538">
        <f t="shared" si="83"/>
        <v>0.05</v>
      </c>
      <c r="BY88" s="538">
        <f t="shared" si="83"/>
        <v>0.05</v>
      </c>
      <c r="BZ88" s="538">
        <f t="shared" si="83"/>
        <v>0.05</v>
      </c>
      <c r="CA88" s="538">
        <f t="shared" si="83"/>
        <v>0.05</v>
      </c>
      <c r="CB88" s="538">
        <f t="shared" si="83"/>
        <v>0.05</v>
      </c>
      <c r="CC88" s="538">
        <f t="shared" si="83"/>
        <v>0.05</v>
      </c>
      <c r="CD88" s="538">
        <f t="shared" si="84"/>
        <v>0.05</v>
      </c>
      <c r="CE88" s="538">
        <f t="shared" si="84"/>
        <v>0.05</v>
      </c>
      <c r="CG88" s="537">
        <v>0.05</v>
      </c>
      <c r="CH88" s="537">
        <v>0.05</v>
      </c>
      <c r="CI88" s="537">
        <v>0.05</v>
      </c>
      <c r="CJ88" s="537">
        <v>0.05</v>
      </c>
      <c r="CK88" s="537">
        <v>0.05</v>
      </c>
      <c r="CL88" s="537">
        <v>0.05</v>
      </c>
      <c r="CM88" s="537">
        <v>0.05</v>
      </c>
      <c r="CN88" s="537">
        <v>0.05</v>
      </c>
      <c r="CO88" s="537">
        <v>0.05</v>
      </c>
      <c r="CP88" s="537">
        <v>0.05</v>
      </c>
      <c r="CQ88" s="537">
        <v>0.05</v>
      </c>
      <c r="CR88" s="537">
        <v>0.05</v>
      </c>
      <c r="CS88" s="537">
        <v>0.05</v>
      </c>
      <c r="CT88" s="537">
        <v>0.05</v>
      </c>
      <c r="CU88" s="537">
        <v>0.05</v>
      </c>
      <c r="CV88" s="537">
        <v>0.05</v>
      </c>
      <c r="CW88" s="537">
        <v>0.05</v>
      </c>
      <c r="CX88" s="537">
        <v>0.05</v>
      </c>
      <c r="CY88" s="537">
        <v>0.05</v>
      </c>
      <c r="CZ88" s="537">
        <v>0.05</v>
      </c>
      <c r="DA88" s="537">
        <v>0.05</v>
      </c>
      <c r="DB88" s="537">
        <v>0.05</v>
      </c>
      <c r="DC88" s="537">
        <v>0.05</v>
      </c>
      <c r="DD88" s="537">
        <v>0.05</v>
      </c>
      <c r="DE88" s="537">
        <v>0.05</v>
      </c>
      <c r="DF88" s="537">
        <v>0.05</v>
      </c>
      <c r="DG88" s="537">
        <v>0.05</v>
      </c>
      <c r="DH88" s="537">
        <v>0.05</v>
      </c>
    </row>
    <row r="89" spans="2:112">
      <c r="B89" t="s">
        <v>980</v>
      </c>
      <c r="C89" t="s">
        <v>735</v>
      </c>
      <c r="D89" t="s">
        <v>901</v>
      </c>
      <c r="E89" t="s">
        <v>895</v>
      </c>
      <c r="F89" s="537">
        <v>0.05</v>
      </c>
      <c r="G89" s="537">
        <v>0.05</v>
      </c>
      <c r="H89" s="537">
        <v>0.05</v>
      </c>
      <c r="I89" s="537">
        <v>0.05</v>
      </c>
      <c r="J89" s="537">
        <v>0.05</v>
      </c>
      <c r="K89" s="537">
        <v>0.05</v>
      </c>
      <c r="L89" s="537">
        <v>0.05</v>
      </c>
      <c r="M89" s="537">
        <v>0.05</v>
      </c>
      <c r="N89" s="537">
        <v>0.05</v>
      </c>
      <c r="O89" s="537">
        <v>0.05</v>
      </c>
      <c r="P89" s="537">
        <v>0.05</v>
      </c>
      <c r="Q89" s="537">
        <v>0.05</v>
      </c>
      <c r="R89" s="537">
        <v>0.05</v>
      </c>
      <c r="S89" s="537">
        <v>0.05</v>
      </c>
      <c r="T89" s="537">
        <v>0.05</v>
      </c>
      <c r="U89" s="537">
        <v>0.05</v>
      </c>
      <c r="V89" s="537">
        <v>0.05</v>
      </c>
      <c r="W89" s="537">
        <v>0.05</v>
      </c>
      <c r="X89" s="537">
        <v>0.05</v>
      </c>
      <c r="Y89" s="537">
        <v>0.05</v>
      </c>
      <c r="Z89" s="537">
        <v>0.05</v>
      </c>
      <c r="AA89" s="537">
        <v>0.05</v>
      </c>
      <c r="AB89" s="537">
        <v>0.05</v>
      </c>
      <c r="AC89" s="537">
        <v>0.05</v>
      </c>
      <c r="AD89" s="537">
        <v>0.05</v>
      </c>
      <c r="AE89" s="537">
        <v>0.05</v>
      </c>
      <c r="AF89" s="537">
        <v>0.05</v>
      </c>
      <c r="AG89" s="537">
        <v>0.05</v>
      </c>
      <c r="AH89" s="538">
        <f t="shared" si="82"/>
        <v>0.05</v>
      </c>
      <c r="AI89" s="538">
        <f t="shared" si="82"/>
        <v>0.05</v>
      </c>
      <c r="AJ89" s="538">
        <f t="shared" si="82"/>
        <v>0.05</v>
      </c>
      <c r="AK89" s="538">
        <f t="shared" si="82"/>
        <v>0.05</v>
      </c>
      <c r="AL89" s="538">
        <f t="shared" si="82"/>
        <v>0.05</v>
      </c>
      <c r="AM89" s="538">
        <f t="shared" si="82"/>
        <v>0.05</v>
      </c>
      <c r="AN89" s="538">
        <f t="shared" si="82"/>
        <v>0.05</v>
      </c>
      <c r="AO89" s="538">
        <f t="shared" si="82"/>
        <v>0.05</v>
      </c>
      <c r="AP89" s="538">
        <f t="shared" si="82"/>
        <v>0.05</v>
      </c>
      <c r="AQ89" s="538">
        <f t="shared" si="82"/>
        <v>0.05</v>
      </c>
      <c r="AR89" s="538">
        <f t="shared" si="82"/>
        <v>0.05</v>
      </c>
      <c r="AS89" s="538">
        <f t="shared" si="82"/>
        <v>0.05</v>
      </c>
      <c r="AT89" s="538">
        <f t="shared" si="82"/>
        <v>0.05</v>
      </c>
      <c r="AU89" s="538">
        <f t="shared" si="82"/>
        <v>0.05</v>
      </c>
      <c r="AV89" s="538">
        <f t="shared" si="82"/>
        <v>0.05</v>
      </c>
      <c r="AW89" s="538">
        <f t="shared" si="82"/>
        <v>0.05</v>
      </c>
      <c r="AX89" s="538">
        <f t="shared" si="85"/>
        <v>0.05</v>
      </c>
      <c r="AY89" s="538">
        <f t="shared" si="85"/>
        <v>0.05</v>
      </c>
      <c r="AZ89" s="538">
        <f t="shared" si="85"/>
        <v>0.05</v>
      </c>
      <c r="BA89" s="538">
        <f t="shared" si="85"/>
        <v>0.05</v>
      </c>
      <c r="BB89" s="538">
        <f t="shared" si="85"/>
        <v>0.05</v>
      </c>
      <c r="BC89" s="538">
        <f t="shared" si="85"/>
        <v>0.05</v>
      </c>
      <c r="BD89" s="538">
        <f t="shared" si="85"/>
        <v>0.05</v>
      </c>
      <c r="BE89" s="538">
        <f t="shared" si="85"/>
        <v>0.05</v>
      </c>
      <c r="BF89" s="538">
        <f t="shared" si="85"/>
        <v>0.05</v>
      </c>
      <c r="BG89" s="538">
        <f t="shared" si="85"/>
        <v>0.05</v>
      </c>
      <c r="BH89" s="538">
        <f t="shared" si="85"/>
        <v>0.05</v>
      </c>
      <c r="BI89" s="538">
        <f t="shared" si="85"/>
        <v>0.05</v>
      </c>
      <c r="BJ89" s="538">
        <f t="shared" si="85"/>
        <v>0.05</v>
      </c>
      <c r="BK89" s="538">
        <f t="shared" si="85"/>
        <v>0.05</v>
      </c>
      <c r="BL89" s="538">
        <f t="shared" si="85"/>
        <v>0.05</v>
      </c>
      <c r="BM89" s="538">
        <f t="shared" si="85"/>
        <v>0.05</v>
      </c>
      <c r="BN89" s="538">
        <f t="shared" si="83"/>
        <v>0.05</v>
      </c>
      <c r="BO89" s="538">
        <f t="shared" si="83"/>
        <v>0.05</v>
      </c>
      <c r="BP89" s="538">
        <f t="shared" si="83"/>
        <v>0.05</v>
      </c>
      <c r="BQ89" s="538">
        <f t="shared" si="83"/>
        <v>0.05</v>
      </c>
      <c r="BR89" s="538">
        <f t="shared" si="83"/>
        <v>0.05</v>
      </c>
      <c r="BS89" s="538">
        <f t="shared" si="83"/>
        <v>0.05</v>
      </c>
      <c r="BT89" s="538">
        <f t="shared" si="83"/>
        <v>0.05</v>
      </c>
      <c r="BU89" s="538">
        <f t="shared" si="83"/>
        <v>0.05</v>
      </c>
      <c r="BV89" s="538">
        <f t="shared" si="83"/>
        <v>0.05</v>
      </c>
      <c r="BW89" s="538">
        <f t="shared" si="83"/>
        <v>0.05</v>
      </c>
      <c r="BX89" s="538">
        <f t="shared" si="83"/>
        <v>0.05</v>
      </c>
      <c r="BY89" s="538">
        <f t="shared" si="83"/>
        <v>0.05</v>
      </c>
      <c r="BZ89" s="538">
        <f t="shared" si="83"/>
        <v>0.05</v>
      </c>
      <c r="CA89" s="538">
        <f t="shared" si="83"/>
        <v>0.05</v>
      </c>
      <c r="CB89" s="538">
        <f t="shared" si="83"/>
        <v>0.05</v>
      </c>
      <c r="CC89" s="538">
        <f t="shared" si="83"/>
        <v>0.05</v>
      </c>
      <c r="CD89" s="538">
        <f t="shared" si="84"/>
        <v>0.05</v>
      </c>
      <c r="CE89" s="538">
        <f t="shared" si="84"/>
        <v>0.05</v>
      </c>
      <c r="CG89" s="537">
        <v>0.05</v>
      </c>
      <c r="CH89" s="537">
        <v>0.05</v>
      </c>
      <c r="CI89" s="537">
        <v>0.05</v>
      </c>
      <c r="CJ89" s="537">
        <v>0.05</v>
      </c>
      <c r="CK89" s="537">
        <v>0.05</v>
      </c>
      <c r="CL89" s="537">
        <v>0.05</v>
      </c>
      <c r="CM89" s="537">
        <v>0.05</v>
      </c>
      <c r="CN89" s="537">
        <v>0.05</v>
      </c>
      <c r="CO89" s="537">
        <v>0.05</v>
      </c>
      <c r="CP89" s="537">
        <v>0.05</v>
      </c>
      <c r="CQ89" s="537">
        <v>0.05</v>
      </c>
      <c r="CR89" s="537">
        <v>0.05</v>
      </c>
      <c r="CS89" s="537">
        <v>0.05</v>
      </c>
      <c r="CT89" s="537">
        <v>0.05</v>
      </c>
      <c r="CU89" s="537">
        <v>0.05</v>
      </c>
      <c r="CV89" s="537">
        <v>0.05</v>
      </c>
      <c r="CW89" s="537">
        <v>0.05</v>
      </c>
      <c r="CX89" s="537">
        <v>0.05</v>
      </c>
      <c r="CY89" s="537">
        <v>0.05</v>
      </c>
      <c r="CZ89" s="537">
        <v>0.05</v>
      </c>
      <c r="DA89" s="537">
        <v>0.05</v>
      </c>
      <c r="DB89" s="537">
        <v>0.05</v>
      </c>
      <c r="DC89" s="537">
        <v>0.05</v>
      </c>
      <c r="DD89" s="537">
        <v>0.05</v>
      </c>
      <c r="DE89" s="537">
        <v>0.05</v>
      </c>
      <c r="DF89" s="537">
        <v>0.05</v>
      </c>
      <c r="DG89" s="537">
        <v>0.05</v>
      </c>
      <c r="DH89" s="537">
        <v>0.05</v>
      </c>
    </row>
    <row r="90" spans="2:112">
      <c r="F90" s="539"/>
      <c r="G90" s="539"/>
      <c r="H90" s="539"/>
      <c r="I90" s="539"/>
      <c r="J90" s="539"/>
      <c r="K90" s="539"/>
      <c r="L90" s="539"/>
      <c r="M90" s="539"/>
      <c r="N90" s="539"/>
      <c r="O90" s="539"/>
      <c r="P90" s="539"/>
      <c r="Q90" s="539"/>
      <c r="R90" s="539"/>
      <c r="S90" s="539"/>
      <c r="T90" s="539"/>
      <c r="U90" s="539"/>
      <c r="V90" s="539"/>
      <c r="W90" s="539"/>
      <c r="X90" s="539"/>
      <c r="Y90" s="539"/>
      <c r="Z90" s="539"/>
      <c r="AA90" s="539"/>
      <c r="AB90" s="539"/>
      <c r="AC90" s="539"/>
      <c r="AD90" s="539"/>
      <c r="AE90" s="539"/>
      <c r="AF90" s="539"/>
      <c r="AG90" s="539"/>
      <c r="AH90" s="539"/>
      <c r="AI90" s="539"/>
      <c r="AJ90" s="539"/>
      <c r="AK90" s="539"/>
      <c r="AL90" s="539"/>
      <c r="AM90" s="539"/>
      <c r="AN90" s="539"/>
      <c r="AO90" s="539"/>
      <c r="AP90" s="539"/>
      <c r="AQ90" s="539"/>
      <c r="AR90" s="539"/>
      <c r="AS90" s="539"/>
      <c r="AT90" s="539"/>
      <c r="AU90" s="539"/>
      <c r="AV90" s="539"/>
      <c r="AW90" s="539"/>
      <c r="AX90" s="539"/>
      <c r="AY90" s="539"/>
      <c r="AZ90" s="539"/>
      <c r="BA90" s="539"/>
      <c r="BB90" s="539"/>
      <c r="BC90" s="539"/>
      <c r="BD90" s="539"/>
      <c r="BE90" s="539"/>
      <c r="BF90" s="539"/>
      <c r="BG90" s="539"/>
      <c r="BH90" s="539"/>
      <c r="BI90" s="539"/>
      <c r="BJ90" s="539"/>
      <c r="BK90" s="539"/>
      <c r="BL90" s="539"/>
      <c r="BM90" s="539"/>
      <c r="BN90" s="539"/>
      <c r="BO90" s="539"/>
      <c r="BP90" s="539"/>
      <c r="BQ90" s="539"/>
      <c r="BR90" s="539"/>
      <c r="BS90" s="539"/>
      <c r="BT90" s="539"/>
      <c r="BU90" s="539"/>
      <c r="BV90" s="539"/>
      <c r="BW90" s="539"/>
      <c r="BX90" s="539"/>
      <c r="BY90" s="539"/>
      <c r="BZ90" s="539"/>
      <c r="CA90" s="539"/>
      <c r="CB90" s="539"/>
      <c r="CC90" s="539"/>
      <c r="CD90" s="539"/>
      <c r="CE90" s="539"/>
      <c r="CG90" s="539"/>
      <c r="CH90" s="539"/>
      <c r="CI90" s="539"/>
      <c r="CJ90" s="539"/>
      <c r="CK90" s="539"/>
      <c r="CL90" s="539"/>
      <c r="CM90" s="539"/>
      <c r="CN90" s="539"/>
      <c r="CO90" s="539"/>
      <c r="CP90" s="539"/>
      <c r="CQ90" s="539"/>
      <c r="CR90" s="539"/>
      <c r="CS90" s="539"/>
      <c r="CT90" s="539"/>
      <c r="CU90" s="539"/>
      <c r="CV90" s="539"/>
      <c r="CW90" s="539"/>
      <c r="CX90" s="539"/>
      <c r="CY90" s="539"/>
      <c r="CZ90" s="539"/>
      <c r="DA90" s="539"/>
      <c r="DB90" s="539"/>
      <c r="DC90" s="539"/>
      <c r="DD90" s="539"/>
      <c r="DE90" s="539"/>
      <c r="DF90" s="539"/>
      <c r="DG90" s="539"/>
      <c r="DH90" s="539"/>
    </row>
    <row r="91" spans="2:112">
      <c r="B91" t="s">
        <v>981</v>
      </c>
      <c r="C91" t="s">
        <v>735</v>
      </c>
      <c r="D91" t="s">
        <v>903</v>
      </c>
      <c r="E91" t="s">
        <v>557</v>
      </c>
      <c r="F91" s="536">
        <v>25290</v>
      </c>
      <c r="G91" s="536">
        <v>25290</v>
      </c>
      <c r="H91" s="536">
        <v>25290</v>
      </c>
      <c r="I91" s="536">
        <v>25290</v>
      </c>
      <c r="J91" s="536">
        <v>25290</v>
      </c>
      <c r="K91" s="536">
        <v>25290</v>
      </c>
      <c r="L91" s="536">
        <v>25290</v>
      </c>
      <c r="M91" s="536">
        <v>25290</v>
      </c>
      <c r="N91" s="536">
        <v>25290</v>
      </c>
      <c r="O91" s="536">
        <v>25290</v>
      </c>
      <c r="P91" s="536">
        <v>25290</v>
      </c>
      <c r="Q91" s="536">
        <v>25290</v>
      </c>
      <c r="R91" s="536">
        <v>25290</v>
      </c>
      <c r="S91" s="536">
        <v>25290</v>
      </c>
      <c r="T91" s="536">
        <v>25290</v>
      </c>
      <c r="U91" s="536">
        <v>25290</v>
      </c>
      <c r="V91" s="536">
        <v>25290</v>
      </c>
      <c r="W91" s="536">
        <v>25290</v>
      </c>
      <c r="X91" s="536">
        <v>25290</v>
      </c>
      <c r="Y91" s="536">
        <v>25290</v>
      </c>
      <c r="Z91" s="536">
        <v>25290</v>
      </c>
      <c r="AA91" s="536">
        <v>25290</v>
      </c>
      <c r="AB91" s="536">
        <v>25290</v>
      </c>
      <c r="AC91" s="536">
        <v>25290</v>
      </c>
      <c r="AD91" s="536">
        <v>25290</v>
      </c>
      <c r="AE91" s="536">
        <v>25290</v>
      </c>
      <c r="AF91" s="536">
        <v>25290</v>
      </c>
      <c r="AG91" s="536">
        <v>25290</v>
      </c>
      <c r="AH91" s="540">
        <f>AG91</f>
        <v>25290</v>
      </c>
      <c r="AI91" s="540">
        <f t="shared" ref="AI91:CE92" si="86">AH91</f>
        <v>25290</v>
      </c>
      <c r="AJ91" s="540">
        <f t="shared" si="86"/>
        <v>25290</v>
      </c>
      <c r="AK91" s="540">
        <f t="shared" si="86"/>
        <v>25290</v>
      </c>
      <c r="AL91" s="540">
        <f t="shared" si="86"/>
        <v>25290</v>
      </c>
      <c r="AM91" s="540">
        <f t="shared" si="86"/>
        <v>25290</v>
      </c>
      <c r="AN91" s="540">
        <f t="shared" si="86"/>
        <v>25290</v>
      </c>
      <c r="AO91" s="540">
        <f t="shared" si="86"/>
        <v>25290</v>
      </c>
      <c r="AP91" s="540">
        <f t="shared" si="86"/>
        <v>25290</v>
      </c>
      <c r="AQ91" s="540">
        <f t="shared" si="86"/>
        <v>25290</v>
      </c>
      <c r="AR91" s="540">
        <f t="shared" si="86"/>
        <v>25290</v>
      </c>
      <c r="AS91" s="540">
        <f t="shared" si="86"/>
        <v>25290</v>
      </c>
      <c r="AT91" s="540">
        <f t="shared" si="86"/>
        <v>25290</v>
      </c>
      <c r="AU91" s="540">
        <f t="shared" si="86"/>
        <v>25290</v>
      </c>
      <c r="AV91" s="540">
        <f t="shared" si="86"/>
        <v>25290</v>
      </c>
      <c r="AW91" s="540">
        <f t="shared" si="86"/>
        <v>25290</v>
      </c>
      <c r="AX91" s="540">
        <f t="shared" si="86"/>
        <v>25290</v>
      </c>
      <c r="AY91" s="540">
        <f t="shared" si="86"/>
        <v>25290</v>
      </c>
      <c r="AZ91" s="540">
        <f t="shared" si="86"/>
        <v>25290</v>
      </c>
      <c r="BA91" s="540">
        <f t="shared" si="86"/>
        <v>25290</v>
      </c>
      <c r="BB91" s="540">
        <f t="shared" si="86"/>
        <v>25290</v>
      </c>
      <c r="BC91" s="540">
        <f t="shared" si="86"/>
        <v>25290</v>
      </c>
      <c r="BD91" s="540">
        <f t="shared" si="86"/>
        <v>25290</v>
      </c>
      <c r="BE91" s="540">
        <f t="shared" si="86"/>
        <v>25290</v>
      </c>
      <c r="BF91" s="540">
        <f t="shared" si="86"/>
        <v>25290</v>
      </c>
      <c r="BG91" s="540">
        <f t="shared" si="86"/>
        <v>25290</v>
      </c>
      <c r="BH91" s="540">
        <f t="shared" si="86"/>
        <v>25290</v>
      </c>
      <c r="BI91" s="540">
        <f t="shared" si="86"/>
        <v>25290</v>
      </c>
      <c r="BJ91" s="540">
        <f t="shared" si="86"/>
        <v>25290</v>
      </c>
      <c r="BK91" s="540">
        <f t="shared" si="86"/>
        <v>25290</v>
      </c>
      <c r="BL91" s="540">
        <f t="shared" si="86"/>
        <v>25290</v>
      </c>
      <c r="BM91" s="540">
        <f t="shared" si="86"/>
        <v>25290</v>
      </c>
      <c r="BN91" s="540">
        <f t="shared" si="86"/>
        <v>25290</v>
      </c>
      <c r="BO91" s="540">
        <f t="shared" si="86"/>
        <v>25290</v>
      </c>
      <c r="BP91" s="540">
        <f t="shared" si="86"/>
        <v>25290</v>
      </c>
      <c r="BQ91" s="540">
        <f t="shared" si="86"/>
        <v>25290</v>
      </c>
      <c r="BR91" s="540">
        <f t="shared" si="86"/>
        <v>25290</v>
      </c>
      <c r="BS91" s="540">
        <f t="shared" si="86"/>
        <v>25290</v>
      </c>
      <c r="BT91" s="540">
        <f t="shared" si="86"/>
        <v>25290</v>
      </c>
      <c r="BU91" s="540">
        <f t="shared" si="86"/>
        <v>25290</v>
      </c>
      <c r="BV91" s="540">
        <f t="shared" si="86"/>
        <v>25290</v>
      </c>
      <c r="BW91" s="540">
        <f t="shared" si="86"/>
        <v>25290</v>
      </c>
      <c r="BX91" s="540">
        <f t="shared" si="86"/>
        <v>25290</v>
      </c>
      <c r="BY91" s="540">
        <f t="shared" si="86"/>
        <v>25290</v>
      </c>
      <c r="BZ91" s="540">
        <f t="shared" si="86"/>
        <v>25290</v>
      </c>
      <c r="CA91" s="540">
        <f t="shared" si="86"/>
        <v>25290</v>
      </c>
      <c r="CB91" s="540">
        <f t="shared" si="86"/>
        <v>25290</v>
      </c>
      <c r="CC91" s="540">
        <f t="shared" si="86"/>
        <v>25290</v>
      </c>
      <c r="CD91" s="540">
        <f t="shared" si="86"/>
        <v>25290</v>
      </c>
      <c r="CE91" s="540">
        <f t="shared" si="86"/>
        <v>25290</v>
      </c>
      <c r="CG91" s="536">
        <v>25290</v>
      </c>
      <c r="CH91" s="536">
        <v>25290</v>
      </c>
      <c r="CI91" s="536">
        <v>25290</v>
      </c>
      <c r="CJ91" s="536">
        <v>25290</v>
      </c>
      <c r="CK91" s="536">
        <v>25290</v>
      </c>
      <c r="CL91" s="536">
        <v>25290</v>
      </c>
      <c r="CM91" s="536">
        <v>25290</v>
      </c>
      <c r="CN91" s="536">
        <v>25290</v>
      </c>
      <c r="CO91" s="536">
        <v>25290</v>
      </c>
      <c r="CP91" s="536">
        <v>25290</v>
      </c>
      <c r="CQ91" s="536">
        <v>25290</v>
      </c>
      <c r="CR91" s="536">
        <v>25290</v>
      </c>
      <c r="CS91" s="536">
        <v>25290</v>
      </c>
      <c r="CT91" s="536">
        <v>25290</v>
      </c>
      <c r="CU91" s="536">
        <v>25290</v>
      </c>
      <c r="CV91" s="536">
        <v>25290</v>
      </c>
      <c r="CW91" s="536">
        <v>25290</v>
      </c>
      <c r="CX91" s="536">
        <v>25290</v>
      </c>
      <c r="CY91" s="536">
        <v>25290</v>
      </c>
      <c r="CZ91" s="536">
        <v>25290</v>
      </c>
      <c r="DA91" s="536">
        <v>25290</v>
      </c>
      <c r="DB91" s="536">
        <v>25290</v>
      </c>
      <c r="DC91" s="536">
        <v>25290</v>
      </c>
      <c r="DD91" s="536">
        <v>25290</v>
      </c>
      <c r="DE91" s="536">
        <v>25290</v>
      </c>
      <c r="DF91" s="536">
        <v>25290</v>
      </c>
      <c r="DG91" s="536">
        <v>25290</v>
      </c>
      <c r="DH91" s="536">
        <v>25290</v>
      </c>
    </row>
    <row r="92" spans="2:112">
      <c r="B92" t="s">
        <v>982</v>
      </c>
      <c r="C92" t="s">
        <v>735</v>
      </c>
      <c r="D92" t="s">
        <v>905</v>
      </c>
      <c r="E92" t="s">
        <v>557</v>
      </c>
      <c r="F92" s="536">
        <v>13452.218181818182</v>
      </c>
      <c r="G92" s="536">
        <v>13452.218181818182</v>
      </c>
      <c r="H92" s="536">
        <v>13452.218181818182</v>
      </c>
      <c r="I92" s="536">
        <v>13452.218181818182</v>
      </c>
      <c r="J92" s="536">
        <v>13452.218181818182</v>
      </c>
      <c r="K92" s="536">
        <v>13452.218181818182</v>
      </c>
      <c r="L92" s="536">
        <v>13452.218181818182</v>
      </c>
      <c r="M92" s="536">
        <v>13452.218181818182</v>
      </c>
      <c r="N92" s="536">
        <v>13452.218181818182</v>
      </c>
      <c r="O92" s="536">
        <v>13452.218181818182</v>
      </c>
      <c r="P92" s="536">
        <v>13452.218181818182</v>
      </c>
      <c r="Q92" s="536">
        <v>13452.218181818182</v>
      </c>
      <c r="R92" s="536">
        <v>13452.218181818182</v>
      </c>
      <c r="S92" s="536">
        <v>13452.218181818182</v>
      </c>
      <c r="T92" s="536">
        <v>13452.218181818182</v>
      </c>
      <c r="U92" s="536">
        <v>13452.218181818182</v>
      </c>
      <c r="V92" s="536">
        <v>13452.218181818182</v>
      </c>
      <c r="W92" s="536">
        <v>13452.218181818182</v>
      </c>
      <c r="X92" s="536">
        <v>13452.218181818182</v>
      </c>
      <c r="Y92" s="536">
        <v>13452.218181818182</v>
      </c>
      <c r="Z92" s="536">
        <v>13452.218181818182</v>
      </c>
      <c r="AA92" s="536">
        <v>13452.218181818182</v>
      </c>
      <c r="AB92" s="536">
        <v>13452.218181818182</v>
      </c>
      <c r="AC92" s="536">
        <v>13452.218181818182</v>
      </c>
      <c r="AD92" s="536">
        <v>13452.218181818182</v>
      </c>
      <c r="AE92" s="536">
        <v>13452.218181818182</v>
      </c>
      <c r="AF92" s="536">
        <v>13452.218181818182</v>
      </c>
      <c r="AG92" s="536">
        <v>13452.218181818182</v>
      </c>
      <c r="AH92" s="540">
        <f>AG92</f>
        <v>13452.218181818182</v>
      </c>
      <c r="AI92" s="540">
        <f t="shared" si="86"/>
        <v>13452.218181818182</v>
      </c>
      <c r="AJ92" s="540">
        <f t="shared" si="86"/>
        <v>13452.218181818182</v>
      </c>
      <c r="AK92" s="540">
        <f t="shared" si="86"/>
        <v>13452.218181818182</v>
      </c>
      <c r="AL92" s="540">
        <f t="shared" si="86"/>
        <v>13452.218181818182</v>
      </c>
      <c r="AM92" s="540">
        <f t="shared" si="86"/>
        <v>13452.218181818182</v>
      </c>
      <c r="AN92" s="540">
        <f t="shared" si="86"/>
        <v>13452.218181818182</v>
      </c>
      <c r="AO92" s="540">
        <f t="shared" si="86"/>
        <v>13452.218181818182</v>
      </c>
      <c r="AP92" s="540">
        <f t="shared" si="86"/>
        <v>13452.218181818182</v>
      </c>
      <c r="AQ92" s="540">
        <f t="shared" si="86"/>
        <v>13452.218181818182</v>
      </c>
      <c r="AR92" s="540">
        <f t="shared" si="86"/>
        <v>13452.218181818182</v>
      </c>
      <c r="AS92" s="540">
        <f t="shared" si="86"/>
        <v>13452.218181818182</v>
      </c>
      <c r="AT92" s="540">
        <f t="shared" si="86"/>
        <v>13452.218181818182</v>
      </c>
      <c r="AU92" s="540">
        <f t="shared" si="86"/>
        <v>13452.218181818182</v>
      </c>
      <c r="AV92" s="540">
        <f t="shared" si="86"/>
        <v>13452.218181818182</v>
      </c>
      <c r="AW92" s="540">
        <f t="shared" si="86"/>
        <v>13452.218181818182</v>
      </c>
      <c r="AX92" s="540">
        <f t="shared" si="86"/>
        <v>13452.218181818182</v>
      </c>
      <c r="AY92" s="540">
        <f t="shared" si="86"/>
        <v>13452.218181818182</v>
      </c>
      <c r="AZ92" s="540">
        <f t="shared" si="86"/>
        <v>13452.218181818182</v>
      </c>
      <c r="BA92" s="540">
        <f t="shared" si="86"/>
        <v>13452.218181818182</v>
      </c>
      <c r="BB92" s="540">
        <f t="shared" si="86"/>
        <v>13452.218181818182</v>
      </c>
      <c r="BC92" s="540">
        <f t="shared" si="86"/>
        <v>13452.218181818182</v>
      </c>
      <c r="BD92" s="540">
        <f t="shared" si="86"/>
        <v>13452.218181818182</v>
      </c>
      <c r="BE92" s="540">
        <f t="shared" si="86"/>
        <v>13452.218181818182</v>
      </c>
      <c r="BF92" s="540">
        <f t="shared" si="86"/>
        <v>13452.218181818182</v>
      </c>
      <c r="BG92" s="540">
        <f t="shared" si="86"/>
        <v>13452.218181818182</v>
      </c>
      <c r="BH92" s="540">
        <f t="shared" si="86"/>
        <v>13452.218181818182</v>
      </c>
      <c r="BI92" s="540">
        <f t="shared" si="86"/>
        <v>13452.218181818182</v>
      </c>
      <c r="BJ92" s="540">
        <f t="shared" si="86"/>
        <v>13452.218181818182</v>
      </c>
      <c r="BK92" s="540">
        <f t="shared" si="86"/>
        <v>13452.218181818182</v>
      </c>
      <c r="BL92" s="540">
        <f t="shared" si="86"/>
        <v>13452.218181818182</v>
      </c>
      <c r="BM92" s="540">
        <f t="shared" si="86"/>
        <v>13452.218181818182</v>
      </c>
      <c r="BN92" s="540">
        <f t="shared" si="86"/>
        <v>13452.218181818182</v>
      </c>
      <c r="BO92" s="540">
        <f t="shared" si="86"/>
        <v>13452.218181818182</v>
      </c>
      <c r="BP92" s="540">
        <f t="shared" si="86"/>
        <v>13452.218181818182</v>
      </c>
      <c r="BQ92" s="540">
        <f t="shared" si="86"/>
        <v>13452.218181818182</v>
      </c>
      <c r="BR92" s="540">
        <f t="shared" si="86"/>
        <v>13452.218181818182</v>
      </c>
      <c r="BS92" s="540">
        <f t="shared" si="86"/>
        <v>13452.218181818182</v>
      </c>
      <c r="BT92" s="540">
        <f t="shared" si="86"/>
        <v>13452.218181818182</v>
      </c>
      <c r="BU92" s="540">
        <f t="shared" si="86"/>
        <v>13452.218181818182</v>
      </c>
      <c r="BV92" s="540">
        <f t="shared" si="86"/>
        <v>13452.218181818182</v>
      </c>
      <c r="BW92" s="540">
        <f t="shared" si="86"/>
        <v>13452.218181818182</v>
      </c>
      <c r="BX92" s="540">
        <f t="shared" si="86"/>
        <v>13452.218181818182</v>
      </c>
      <c r="BY92" s="540">
        <f t="shared" si="86"/>
        <v>13452.218181818182</v>
      </c>
      <c r="BZ92" s="540">
        <f t="shared" si="86"/>
        <v>13452.218181818182</v>
      </c>
      <c r="CA92" s="540">
        <f t="shared" si="86"/>
        <v>13452.218181818182</v>
      </c>
      <c r="CB92" s="540">
        <f t="shared" si="86"/>
        <v>13452.218181818182</v>
      </c>
      <c r="CC92" s="540">
        <f t="shared" si="86"/>
        <v>13452.218181818182</v>
      </c>
      <c r="CD92" s="540">
        <f t="shared" si="86"/>
        <v>13452.218181818182</v>
      </c>
      <c r="CE92" s="540">
        <f t="shared" si="86"/>
        <v>13452.218181818182</v>
      </c>
      <c r="CG92" s="536">
        <v>13452.218181818182</v>
      </c>
      <c r="CH92" s="536">
        <v>13452.218181818182</v>
      </c>
      <c r="CI92" s="536">
        <v>13452.218181818182</v>
      </c>
      <c r="CJ92" s="536">
        <v>13452.218181818182</v>
      </c>
      <c r="CK92" s="536">
        <v>13452.218181818182</v>
      </c>
      <c r="CL92" s="536">
        <v>13452.218181818182</v>
      </c>
      <c r="CM92" s="536">
        <v>13452.218181818182</v>
      </c>
      <c r="CN92" s="536">
        <v>13452.218181818182</v>
      </c>
      <c r="CO92" s="536">
        <v>13452.218181818182</v>
      </c>
      <c r="CP92" s="536">
        <v>13452.218181818182</v>
      </c>
      <c r="CQ92" s="536">
        <v>13452.218181818182</v>
      </c>
      <c r="CR92" s="536">
        <v>13452.218181818182</v>
      </c>
      <c r="CS92" s="536">
        <v>13452.218181818182</v>
      </c>
      <c r="CT92" s="536">
        <v>13452.218181818182</v>
      </c>
      <c r="CU92" s="536">
        <v>13452.218181818182</v>
      </c>
      <c r="CV92" s="536">
        <v>13452.218181818182</v>
      </c>
      <c r="CW92" s="536">
        <v>13452.218181818182</v>
      </c>
      <c r="CX92" s="536">
        <v>13452.218181818182</v>
      </c>
      <c r="CY92" s="536">
        <v>13452.218181818182</v>
      </c>
      <c r="CZ92" s="536">
        <v>13452.218181818182</v>
      </c>
      <c r="DA92" s="536">
        <v>13452.218181818182</v>
      </c>
      <c r="DB92" s="536">
        <v>13452.218181818182</v>
      </c>
      <c r="DC92" s="536">
        <v>13452.218181818182</v>
      </c>
      <c r="DD92" s="536">
        <v>13452.218181818182</v>
      </c>
      <c r="DE92" s="536">
        <v>13452.218181818182</v>
      </c>
      <c r="DF92" s="536">
        <v>13452.218181818182</v>
      </c>
      <c r="DG92" s="536">
        <v>13452.218181818182</v>
      </c>
      <c r="DH92" s="536">
        <v>13452.218181818182</v>
      </c>
    </row>
    <row r="93" spans="2:112">
      <c r="F93" s="539"/>
      <c r="G93" s="539"/>
      <c r="H93" s="539"/>
      <c r="I93" s="539"/>
      <c r="J93" s="539"/>
      <c r="K93" s="539"/>
      <c r="L93" s="539"/>
      <c r="M93" s="539"/>
      <c r="N93" s="539"/>
      <c r="O93" s="539"/>
      <c r="P93" s="539"/>
      <c r="Q93" s="539"/>
      <c r="R93" s="539"/>
      <c r="S93" s="539"/>
      <c r="T93" s="539"/>
      <c r="U93" s="539"/>
      <c r="V93" s="539"/>
      <c r="W93" s="539"/>
      <c r="X93" s="539"/>
      <c r="Y93" s="539"/>
      <c r="Z93" s="539"/>
      <c r="AA93" s="539"/>
      <c r="AB93" s="539"/>
      <c r="AC93" s="539"/>
      <c r="AD93" s="539"/>
      <c r="AE93" s="539"/>
      <c r="AF93" s="539"/>
      <c r="AG93" s="539"/>
      <c r="AH93" s="539"/>
      <c r="AI93" s="539"/>
      <c r="AJ93" s="539"/>
      <c r="AK93" s="539"/>
      <c r="AL93" s="539"/>
      <c r="AM93" s="539"/>
      <c r="AN93" s="539"/>
      <c r="AO93" s="539"/>
      <c r="AP93" s="539"/>
      <c r="AQ93" s="539"/>
      <c r="AR93" s="539"/>
      <c r="AS93" s="539"/>
      <c r="AT93" s="539"/>
      <c r="AU93" s="539"/>
      <c r="AV93" s="539"/>
      <c r="AW93" s="539"/>
      <c r="AX93" s="539"/>
      <c r="AY93" s="539"/>
      <c r="AZ93" s="539"/>
      <c r="BA93" s="539"/>
      <c r="BB93" s="539"/>
      <c r="BC93" s="539"/>
      <c r="BD93" s="539"/>
      <c r="BE93" s="539"/>
      <c r="BF93" s="539"/>
      <c r="BG93" s="539"/>
      <c r="BH93" s="539"/>
      <c r="BI93" s="539"/>
      <c r="BJ93" s="539"/>
      <c r="BK93" s="539"/>
      <c r="BL93" s="539"/>
      <c r="BM93" s="539"/>
      <c r="BN93" s="539"/>
      <c r="BO93" s="539"/>
      <c r="BP93" s="539"/>
      <c r="BQ93" s="539"/>
      <c r="BR93" s="539"/>
      <c r="BS93" s="539"/>
      <c r="BT93" s="539"/>
      <c r="BU93" s="539"/>
      <c r="BV93" s="539"/>
      <c r="BW93" s="539"/>
      <c r="BX93" s="539"/>
      <c r="BY93" s="539"/>
      <c r="BZ93" s="539"/>
      <c r="CA93" s="539"/>
      <c r="CB93" s="539"/>
      <c r="CC93" s="539"/>
      <c r="CD93" s="539"/>
      <c r="CE93" s="539"/>
      <c r="CG93" s="539"/>
      <c r="CH93" s="539"/>
      <c r="CI93" s="539"/>
      <c r="CJ93" s="539"/>
      <c r="CK93" s="539"/>
      <c r="CL93" s="539"/>
      <c r="CM93" s="539"/>
      <c r="CN93" s="539"/>
      <c r="CO93" s="539"/>
      <c r="CP93" s="539"/>
      <c r="CQ93" s="539"/>
      <c r="CR93" s="539"/>
      <c r="CS93" s="539"/>
      <c r="CT93" s="539"/>
      <c r="CU93" s="539"/>
      <c r="CV93" s="539"/>
      <c r="CW93" s="539"/>
      <c r="CX93" s="539"/>
      <c r="CY93" s="539"/>
      <c r="CZ93" s="539"/>
      <c r="DA93" s="539"/>
      <c r="DB93" s="539"/>
      <c r="DC93" s="539"/>
      <c r="DD93" s="539"/>
      <c r="DE93" s="539"/>
      <c r="DF93" s="539"/>
      <c r="DG93" s="539"/>
      <c r="DH93" s="539"/>
    </row>
    <row r="94" spans="2:112">
      <c r="B94" t="s">
        <v>983</v>
      </c>
      <c r="C94" t="s">
        <v>735</v>
      </c>
      <c r="D94" t="s">
        <v>907</v>
      </c>
      <c r="E94" t="s">
        <v>908</v>
      </c>
      <c r="F94" s="541">
        <v>25.864999999999998</v>
      </c>
      <c r="G94" s="541">
        <v>25.864999999999998</v>
      </c>
      <c r="H94" s="541">
        <v>25.864999999999998</v>
      </c>
      <c r="I94" s="541">
        <v>25.864999999999998</v>
      </c>
      <c r="J94" s="541">
        <v>25.864999999999998</v>
      </c>
      <c r="K94" s="541">
        <v>25.864999999999998</v>
      </c>
      <c r="L94" s="541">
        <v>25.864999999999998</v>
      </c>
      <c r="M94" s="541">
        <v>25.864999999999998</v>
      </c>
      <c r="N94" s="541">
        <v>25.864999999999998</v>
      </c>
      <c r="O94" s="541">
        <v>25.864999999999998</v>
      </c>
      <c r="P94" s="541">
        <v>25.864999999999998</v>
      </c>
      <c r="Q94" s="541">
        <v>25.864999999999998</v>
      </c>
      <c r="R94" s="541">
        <v>25.864999999999998</v>
      </c>
      <c r="S94" s="541">
        <v>25.864999999999998</v>
      </c>
      <c r="T94" s="541">
        <v>25.864999999999998</v>
      </c>
      <c r="U94" s="541">
        <v>25.864999999999998</v>
      </c>
      <c r="V94" s="541">
        <v>25.864999999999998</v>
      </c>
      <c r="W94" s="541">
        <v>25.864999999999998</v>
      </c>
      <c r="X94" s="541">
        <v>25.864999999999998</v>
      </c>
      <c r="Y94" s="541">
        <v>25.864999999999998</v>
      </c>
      <c r="Z94" s="541">
        <v>25.864999999999998</v>
      </c>
      <c r="AA94" s="541">
        <v>25.864999999999998</v>
      </c>
      <c r="AB94" s="541">
        <v>25.864999999999998</v>
      </c>
      <c r="AC94" s="541">
        <v>25.864999999999998</v>
      </c>
      <c r="AD94" s="541">
        <v>25.864999999999998</v>
      </c>
      <c r="AE94" s="541">
        <v>25.864999999999998</v>
      </c>
      <c r="AF94" s="541">
        <v>25.864999999999998</v>
      </c>
      <c r="AG94" s="541">
        <v>25.864999999999998</v>
      </c>
      <c r="AH94" s="542">
        <f>AG94</f>
        <v>25.864999999999998</v>
      </c>
      <c r="AI94" s="542">
        <f t="shared" ref="AI94:AX94" si="87">AH94</f>
        <v>25.864999999999998</v>
      </c>
      <c r="AJ94" s="542">
        <f t="shared" si="87"/>
        <v>25.864999999999998</v>
      </c>
      <c r="AK94" s="542">
        <f t="shared" si="87"/>
        <v>25.864999999999998</v>
      </c>
      <c r="AL94" s="542">
        <f t="shared" si="87"/>
        <v>25.864999999999998</v>
      </c>
      <c r="AM94" s="542">
        <f t="shared" si="87"/>
        <v>25.864999999999998</v>
      </c>
      <c r="AN94" s="542">
        <f t="shared" si="87"/>
        <v>25.864999999999998</v>
      </c>
      <c r="AO94" s="542">
        <f t="shared" si="87"/>
        <v>25.864999999999998</v>
      </c>
      <c r="AP94" s="542">
        <f t="shared" si="87"/>
        <v>25.864999999999998</v>
      </c>
      <c r="AQ94" s="542">
        <f t="shared" si="87"/>
        <v>25.864999999999998</v>
      </c>
      <c r="AR94" s="542">
        <f t="shared" si="87"/>
        <v>25.864999999999998</v>
      </c>
      <c r="AS94" s="542">
        <f t="shared" si="87"/>
        <v>25.864999999999998</v>
      </c>
      <c r="AT94" s="542">
        <f t="shared" si="87"/>
        <v>25.864999999999998</v>
      </c>
      <c r="AU94" s="542">
        <f t="shared" si="87"/>
        <v>25.864999999999998</v>
      </c>
      <c r="AV94" s="542">
        <f t="shared" si="87"/>
        <v>25.864999999999998</v>
      </c>
      <c r="AW94" s="542">
        <f t="shared" si="87"/>
        <v>25.864999999999998</v>
      </c>
      <c r="AX94" s="542">
        <f t="shared" si="87"/>
        <v>25.864999999999998</v>
      </c>
      <c r="AY94" s="542">
        <f t="shared" ref="AY94:BN94" si="88">AX94</f>
        <v>25.864999999999998</v>
      </c>
      <c r="AZ94" s="542">
        <f t="shared" si="88"/>
        <v>25.864999999999998</v>
      </c>
      <c r="BA94" s="542">
        <f t="shared" si="88"/>
        <v>25.864999999999998</v>
      </c>
      <c r="BB94" s="542">
        <f t="shared" si="88"/>
        <v>25.864999999999998</v>
      </c>
      <c r="BC94" s="542">
        <f t="shared" si="88"/>
        <v>25.864999999999998</v>
      </c>
      <c r="BD94" s="542">
        <f t="shared" si="88"/>
        <v>25.864999999999998</v>
      </c>
      <c r="BE94" s="542">
        <f t="shared" si="88"/>
        <v>25.864999999999998</v>
      </c>
      <c r="BF94" s="542">
        <f t="shared" si="88"/>
        <v>25.864999999999998</v>
      </c>
      <c r="BG94" s="542">
        <f t="shared" si="88"/>
        <v>25.864999999999998</v>
      </c>
      <c r="BH94" s="542">
        <f t="shared" si="88"/>
        <v>25.864999999999998</v>
      </c>
      <c r="BI94" s="542">
        <f t="shared" si="88"/>
        <v>25.864999999999998</v>
      </c>
      <c r="BJ94" s="542">
        <f t="shared" si="88"/>
        <v>25.864999999999998</v>
      </c>
      <c r="BK94" s="542">
        <f t="shared" si="88"/>
        <v>25.864999999999998</v>
      </c>
      <c r="BL94" s="542">
        <f t="shared" si="88"/>
        <v>25.864999999999998</v>
      </c>
      <c r="BM94" s="542">
        <f t="shared" si="88"/>
        <v>25.864999999999998</v>
      </c>
      <c r="BN94" s="542">
        <f t="shared" si="88"/>
        <v>25.864999999999998</v>
      </c>
      <c r="BO94" s="542">
        <f t="shared" ref="BO94:CD94" si="89">BN94</f>
        <v>25.864999999999998</v>
      </c>
      <c r="BP94" s="542">
        <f t="shared" si="89"/>
        <v>25.864999999999998</v>
      </c>
      <c r="BQ94" s="542">
        <f t="shared" si="89"/>
        <v>25.864999999999998</v>
      </c>
      <c r="BR94" s="542">
        <f t="shared" si="89"/>
        <v>25.864999999999998</v>
      </c>
      <c r="BS94" s="542">
        <f t="shared" si="89"/>
        <v>25.864999999999998</v>
      </c>
      <c r="BT94" s="542">
        <f t="shared" si="89"/>
        <v>25.864999999999998</v>
      </c>
      <c r="BU94" s="542">
        <f t="shared" si="89"/>
        <v>25.864999999999998</v>
      </c>
      <c r="BV94" s="542">
        <f t="shared" si="89"/>
        <v>25.864999999999998</v>
      </c>
      <c r="BW94" s="542">
        <f t="shared" si="89"/>
        <v>25.864999999999998</v>
      </c>
      <c r="BX94" s="542">
        <f t="shared" si="89"/>
        <v>25.864999999999998</v>
      </c>
      <c r="BY94" s="542">
        <f t="shared" si="89"/>
        <v>25.864999999999998</v>
      </c>
      <c r="BZ94" s="542">
        <f t="shared" si="89"/>
        <v>25.864999999999998</v>
      </c>
      <c r="CA94" s="542">
        <f t="shared" si="89"/>
        <v>25.864999999999998</v>
      </c>
      <c r="CB94" s="542">
        <f t="shared" si="89"/>
        <v>25.864999999999998</v>
      </c>
      <c r="CC94" s="542">
        <f t="shared" si="89"/>
        <v>25.864999999999998</v>
      </c>
      <c r="CD94" s="542">
        <f t="shared" si="89"/>
        <v>25.864999999999998</v>
      </c>
      <c r="CE94" s="542">
        <f t="shared" ref="AX94:CE101" si="90">CD94</f>
        <v>25.864999999999998</v>
      </c>
      <c r="CG94" s="541">
        <v>25.864999999999998</v>
      </c>
      <c r="CH94" s="541">
        <v>25.864999999999998</v>
      </c>
      <c r="CI94" s="541">
        <v>25.864999999999998</v>
      </c>
      <c r="CJ94" s="541">
        <v>25.864999999999998</v>
      </c>
      <c r="CK94" s="541">
        <v>25.864999999999998</v>
      </c>
      <c r="CL94" s="541">
        <v>25.864999999999998</v>
      </c>
      <c r="CM94" s="541">
        <v>25.864999999999998</v>
      </c>
      <c r="CN94" s="541">
        <v>25.864999999999998</v>
      </c>
      <c r="CO94" s="541">
        <v>25.864999999999998</v>
      </c>
      <c r="CP94" s="541">
        <v>25.864999999999998</v>
      </c>
      <c r="CQ94" s="541">
        <v>25.864999999999998</v>
      </c>
      <c r="CR94" s="541">
        <v>25.864999999999998</v>
      </c>
      <c r="CS94" s="541">
        <v>25.864999999999998</v>
      </c>
      <c r="CT94" s="541">
        <v>25.864999999999998</v>
      </c>
      <c r="CU94" s="541">
        <v>25.864999999999998</v>
      </c>
      <c r="CV94" s="541">
        <v>25.864999999999998</v>
      </c>
      <c r="CW94" s="541">
        <v>25.864999999999998</v>
      </c>
      <c r="CX94" s="541">
        <v>25.864999999999998</v>
      </c>
      <c r="CY94" s="541">
        <v>25.864999999999998</v>
      </c>
      <c r="CZ94" s="541">
        <v>25.864999999999998</v>
      </c>
      <c r="DA94" s="541">
        <v>25.864999999999998</v>
      </c>
      <c r="DB94" s="541">
        <v>25.864999999999998</v>
      </c>
      <c r="DC94" s="541">
        <v>25.864999999999998</v>
      </c>
      <c r="DD94" s="541">
        <v>25.864999999999998</v>
      </c>
      <c r="DE94" s="541">
        <v>25.864999999999998</v>
      </c>
      <c r="DF94" s="541">
        <v>25.864999999999998</v>
      </c>
      <c r="DG94" s="541">
        <v>25.864999999999998</v>
      </c>
      <c r="DH94" s="541">
        <v>25.864999999999998</v>
      </c>
    </row>
    <row r="95" spans="2:112">
      <c r="B95" t="s">
        <v>984</v>
      </c>
      <c r="C95" t="s">
        <v>735</v>
      </c>
      <c r="D95" t="s">
        <v>910</v>
      </c>
      <c r="E95" t="s">
        <v>911</v>
      </c>
      <c r="F95" s="541">
        <v>1.6367403636363635</v>
      </c>
      <c r="G95" s="541">
        <v>1.6367403636363635</v>
      </c>
      <c r="H95" s="541">
        <v>1.6367403636363635</v>
      </c>
      <c r="I95" s="541">
        <v>1.6367403636363635</v>
      </c>
      <c r="J95" s="541">
        <v>1.6367403636363635</v>
      </c>
      <c r="K95" s="541">
        <v>1.6367403636363635</v>
      </c>
      <c r="L95" s="541">
        <v>1.6367403636363635</v>
      </c>
      <c r="M95" s="541">
        <v>1.6367403636363635</v>
      </c>
      <c r="N95" s="541">
        <v>1.6367403636363635</v>
      </c>
      <c r="O95" s="541">
        <v>1.6367403636363635</v>
      </c>
      <c r="P95" s="541">
        <v>1.6367403636363635</v>
      </c>
      <c r="Q95" s="541">
        <v>1.6367403636363635</v>
      </c>
      <c r="R95" s="541">
        <v>1.6367403636363635</v>
      </c>
      <c r="S95" s="541">
        <v>1.6367403636363635</v>
      </c>
      <c r="T95" s="541">
        <v>1.6367403636363635</v>
      </c>
      <c r="U95" s="541">
        <v>1.6367403636363635</v>
      </c>
      <c r="V95" s="541">
        <v>1.6367403636363635</v>
      </c>
      <c r="W95" s="541">
        <v>1.6367403636363635</v>
      </c>
      <c r="X95" s="541">
        <v>1.6367403636363635</v>
      </c>
      <c r="Y95" s="541">
        <v>1.6367403636363635</v>
      </c>
      <c r="Z95" s="541">
        <v>1.6367403636363635</v>
      </c>
      <c r="AA95" s="541">
        <v>1.6367403636363635</v>
      </c>
      <c r="AB95" s="541">
        <v>1.6367403636363635</v>
      </c>
      <c r="AC95" s="541">
        <v>1.6367403636363635</v>
      </c>
      <c r="AD95" s="541">
        <v>1.6367403636363635</v>
      </c>
      <c r="AE95" s="541">
        <v>1.6367403636363635</v>
      </c>
      <c r="AF95" s="541">
        <v>1.6367403636363635</v>
      </c>
      <c r="AG95" s="541">
        <v>1.6367403636363635</v>
      </c>
      <c r="AH95" s="542">
        <f t="shared" ref="AH95:AW101" si="91">AG95</f>
        <v>1.6367403636363635</v>
      </c>
      <c r="AI95" s="542">
        <f t="shared" si="91"/>
        <v>1.6367403636363635</v>
      </c>
      <c r="AJ95" s="542">
        <f t="shared" si="91"/>
        <v>1.6367403636363635</v>
      </c>
      <c r="AK95" s="542">
        <f t="shared" si="91"/>
        <v>1.6367403636363635</v>
      </c>
      <c r="AL95" s="542">
        <f t="shared" si="91"/>
        <v>1.6367403636363635</v>
      </c>
      <c r="AM95" s="542">
        <f t="shared" si="91"/>
        <v>1.6367403636363635</v>
      </c>
      <c r="AN95" s="542">
        <f t="shared" si="91"/>
        <v>1.6367403636363635</v>
      </c>
      <c r="AO95" s="542">
        <f t="shared" si="91"/>
        <v>1.6367403636363635</v>
      </c>
      <c r="AP95" s="542">
        <f t="shared" si="91"/>
        <v>1.6367403636363635</v>
      </c>
      <c r="AQ95" s="542">
        <f t="shared" si="91"/>
        <v>1.6367403636363635</v>
      </c>
      <c r="AR95" s="542">
        <f t="shared" si="91"/>
        <v>1.6367403636363635</v>
      </c>
      <c r="AS95" s="542">
        <f t="shared" si="91"/>
        <v>1.6367403636363635</v>
      </c>
      <c r="AT95" s="542">
        <f t="shared" si="91"/>
        <v>1.6367403636363635</v>
      </c>
      <c r="AU95" s="542">
        <f t="shared" si="91"/>
        <v>1.6367403636363635</v>
      </c>
      <c r="AV95" s="542">
        <f t="shared" si="91"/>
        <v>1.6367403636363635</v>
      </c>
      <c r="AW95" s="542">
        <f t="shared" si="91"/>
        <v>1.6367403636363635</v>
      </c>
      <c r="AX95" s="542">
        <f t="shared" si="90"/>
        <v>1.6367403636363635</v>
      </c>
      <c r="AY95" s="542">
        <f t="shared" si="90"/>
        <v>1.6367403636363635</v>
      </c>
      <c r="AZ95" s="542">
        <f t="shared" si="90"/>
        <v>1.6367403636363635</v>
      </c>
      <c r="BA95" s="542">
        <f t="shared" si="90"/>
        <v>1.6367403636363635</v>
      </c>
      <c r="BB95" s="542">
        <f t="shared" si="90"/>
        <v>1.6367403636363635</v>
      </c>
      <c r="BC95" s="542">
        <f t="shared" si="90"/>
        <v>1.6367403636363635</v>
      </c>
      <c r="BD95" s="542">
        <f t="shared" si="90"/>
        <v>1.6367403636363635</v>
      </c>
      <c r="BE95" s="542">
        <f t="shared" si="90"/>
        <v>1.6367403636363635</v>
      </c>
      <c r="BF95" s="542">
        <f t="shared" si="90"/>
        <v>1.6367403636363635</v>
      </c>
      <c r="BG95" s="542">
        <f t="shared" si="90"/>
        <v>1.6367403636363635</v>
      </c>
      <c r="BH95" s="542">
        <f t="shared" si="90"/>
        <v>1.6367403636363635</v>
      </c>
      <c r="BI95" s="542">
        <f t="shared" si="90"/>
        <v>1.6367403636363635</v>
      </c>
      <c r="BJ95" s="542">
        <f t="shared" si="90"/>
        <v>1.6367403636363635</v>
      </c>
      <c r="BK95" s="542">
        <f t="shared" si="90"/>
        <v>1.6367403636363635</v>
      </c>
      <c r="BL95" s="542">
        <f t="shared" si="90"/>
        <v>1.6367403636363635</v>
      </c>
      <c r="BM95" s="542">
        <f t="shared" si="90"/>
        <v>1.6367403636363635</v>
      </c>
      <c r="BN95" s="542">
        <f t="shared" si="90"/>
        <v>1.6367403636363635</v>
      </c>
      <c r="BO95" s="542">
        <f t="shared" si="90"/>
        <v>1.6367403636363635</v>
      </c>
      <c r="BP95" s="542">
        <f t="shared" si="90"/>
        <v>1.6367403636363635</v>
      </c>
      <c r="BQ95" s="542">
        <f t="shared" si="90"/>
        <v>1.6367403636363635</v>
      </c>
      <c r="BR95" s="542">
        <f t="shared" si="90"/>
        <v>1.6367403636363635</v>
      </c>
      <c r="BS95" s="542">
        <f t="shared" si="90"/>
        <v>1.6367403636363635</v>
      </c>
      <c r="BT95" s="542">
        <f t="shared" si="90"/>
        <v>1.6367403636363635</v>
      </c>
      <c r="BU95" s="542">
        <f t="shared" si="90"/>
        <v>1.6367403636363635</v>
      </c>
      <c r="BV95" s="542">
        <f t="shared" si="90"/>
        <v>1.6367403636363635</v>
      </c>
      <c r="BW95" s="542">
        <f t="shared" si="90"/>
        <v>1.6367403636363635</v>
      </c>
      <c r="BX95" s="542">
        <f t="shared" si="90"/>
        <v>1.6367403636363635</v>
      </c>
      <c r="BY95" s="542">
        <f t="shared" si="90"/>
        <v>1.6367403636363635</v>
      </c>
      <c r="BZ95" s="542">
        <f t="shared" si="90"/>
        <v>1.6367403636363635</v>
      </c>
      <c r="CA95" s="542">
        <f t="shared" si="90"/>
        <v>1.6367403636363635</v>
      </c>
      <c r="CB95" s="542">
        <f t="shared" si="90"/>
        <v>1.6367403636363635</v>
      </c>
      <c r="CC95" s="542">
        <f t="shared" si="90"/>
        <v>1.6367403636363635</v>
      </c>
      <c r="CD95" s="542">
        <f t="shared" si="90"/>
        <v>1.6367403636363635</v>
      </c>
      <c r="CE95" s="542">
        <f t="shared" si="90"/>
        <v>1.6367403636363635</v>
      </c>
      <c r="CG95" s="541">
        <v>1.6367403636363635</v>
      </c>
      <c r="CH95" s="541">
        <v>1.6367403636363635</v>
      </c>
      <c r="CI95" s="541">
        <v>1.6367403636363635</v>
      </c>
      <c r="CJ95" s="541">
        <v>1.6367403636363635</v>
      </c>
      <c r="CK95" s="541">
        <v>1.6367403636363635</v>
      </c>
      <c r="CL95" s="541">
        <v>1.6367403636363635</v>
      </c>
      <c r="CM95" s="541">
        <v>1.6367403636363635</v>
      </c>
      <c r="CN95" s="541">
        <v>1.6367403636363635</v>
      </c>
      <c r="CO95" s="541">
        <v>1.6367403636363635</v>
      </c>
      <c r="CP95" s="541">
        <v>1.6367403636363635</v>
      </c>
      <c r="CQ95" s="541">
        <v>1.6367403636363635</v>
      </c>
      <c r="CR95" s="541">
        <v>1.6367403636363635</v>
      </c>
      <c r="CS95" s="541">
        <v>1.6367403636363635</v>
      </c>
      <c r="CT95" s="541">
        <v>1.6367403636363635</v>
      </c>
      <c r="CU95" s="541">
        <v>1.6367403636363635</v>
      </c>
      <c r="CV95" s="541">
        <v>1.6367403636363635</v>
      </c>
      <c r="CW95" s="541">
        <v>1.6367403636363635</v>
      </c>
      <c r="CX95" s="541">
        <v>1.6367403636363635</v>
      </c>
      <c r="CY95" s="541">
        <v>1.6367403636363635</v>
      </c>
      <c r="CZ95" s="541">
        <v>1.6367403636363635</v>
      </c>
      <c r="DA95" s="541">
        <v>1.6367403636363635</v>
      </c>
      <c r="DB95" s="541">
        <v>1.6367403636363635</v>
      </c>
      <c r="DC95" s="541">
        <v>1.6367403636363635</v>
      </c>
      <c r="DD95" s="541">
        <v>1.6367403636363635</v>
      </c>
      <c r="DE95" s="541">
        <v>1.6367403636363635</v>
      </c>
      <c r="DF95" s="541">
        <v>1.6367403636363635</v>
      </c>
      <c r="DG95" s="541">
        <v>1.6367403636363635</v>
      </c>
      <c r="DH95" s="541">
        <v>1.6367403636363635</v>
      </c>
    </row>
    <row r="96" spans="2:112">
      <c r="B96" t="s">
        <v>985</v>
      </c>
      <c r="C96" t="s">
        <v>735</v>
      </c>
      <c r="D96" t="s">
        <v>913</v>
      </c>
      <c r="E96" t="s">
        <v>908</v>
      </c>
      <c r="F96" s="541">
        <v>32.078499999999998</v>
      </c>
      <c r="G96" s="541">
        <v>32.078499999999998</v>
      </c>
      <c r="H96" s="541">
        <v>32.078499999999998</v>
      </c>
      <c r="I96" s="541">
        <v>32.078499999999998</v>
      </c>
      <c r="J96" s="541">
        <v>32.078499999999998</v>
      </c>
      <c r="K96" s="541">
        <v>32.078499999999998</v>
      </c>
      <c r="L96" s="541">
        <v>32.078499999999998</v>
      </c>
      <c r="M96" s="541">
        <v>32.078499999999998</v>
      </c>
      <c r="N96" s="541">
        <v>32.078499999999998</v>
      </c>
      <c r="O96" s="541">
        <v>32.078499999999998</v>
      </c>
      <c r="P96" s="541">
        <v>32.078499999999998</v>
      </c>
      <c r="Q96" s="541">
        <v>32.078499999999998</v>
      </c>
      <c r="R96" s="541">
        <v>32.078499999999998</v>
      </c>
      <c r="S96" s="541">
        <v>32.078499999999998</v>
      </c>
      <c r="T96" s="541">
        <v>32.078499999999998</v>
      </c>
      <c r="U96" s="541">
        <v>32.078499999999998</v>
      </c>
      <c r="V96" s="541">
        <v>32.078499999999998</v>
      </c>
      <c r="W96" s="541">
        <v>32.078499999999998</v>
      </c>
      <c r="X96" s="541">
        <v>32.078499999999998</v>
      </c>
      <c r="Y96" s="541">
        <v>32.078499999999998</v>
      </c>
      <c r="Z96" s="541">
        <v>32.078499999999998</v>
      </c>
      <c r="AA96" s="541">
        <v>32.078499999999998</v>
      </c>
      <c r="AB96" s="541">
        <v>32.078499999999998</v>
      </c>
      <c r="AC96" s="541">
        <v>32.078499999999998</v>
      </c>
      <c r="AD96" s="541">
        <v>32.078499999999998</v>
      </c>
      <c r="AE96" s="541">
        <v>32.078499999999998</v>
      </c>
      <c r="AF96" s="541">
        <v>32.078499999999998</v>
      </c>
      <c r="AG96" s="541">
        <v>32.078499999999998</v>
      </c>
      <c r="AH96" s="542">
        <f t="shared" si="91"/>
        <v>32.078499999999998</v>
      </c>
      <c r="AI96" s="542">
        <f t="shared" si="91"/>
        <v>32.078499999999998</v>
      </c>
      <c r="AJ96" s="542">
        <f t="shared" si="91"/>
        <v>32.078499999999998</v>
      </c>
      <c r="AK96" s="542">
        <f t="shared" si="91"/>
        <v>32.078499999999998</v>
      </c>
      <c r="AL96" s="542">
        <f t="shared" si="91"/>
        <v>32.078499999999998</v>
      </c>
      <c r="AM96" s="542">
        <f t="shared" si="91"/>
        <v>32.078499999999998</v>
      </c>
      <c r="AN96" s="542">
        <f t="shared" si="91"/>
        <v>32.078499999999998</v>
      </c>
      <c r="AO96" s="542">
        <f t="shared" si="91"/>
        <v>32.078499999999998</v>
      </c>
      <c r="AP96" s="542">
        <f t="shared" si="91"/>
        <v>32.078499999999998</v>
      </c>
      <c r="AQ96" s="542">
        <f t="shared" si="91"/>
        <v>32.078499999999998</v>
      </c>
      <c r="AR96" s="542">
        <f t="shared" si="91"/>
        <v>32.078499999999998</v>
      </c>
      <c r="AS96" s="542">
        <f t="shared" si="91"/>
        <v>32.078499999999998</v>
      </c>
      <c r="AT96" s="542">
        <f t="shared" si="91"/>
        <v>32.078499999999998</v>
      </c>
      <c r="AU96" s="542">
        <f t="shared" si="91"/>
        <v>32.078499999999998</v>
      </c>
      <c r="AV96" s="542">
        <f t="shared" si="91"/>
        <v>32.078499999999998</v>
      </c>
      <c r="AW96" s="542">
        <f t="shared" si="91"/>
        <v>32.078499999999998</v>
      </c>
      <c r="AX96" s="542">
        <f t="shared" si="90"/>
        <v>32.078499999999998</v>
      </c>
      <c r="AY96" s="542">
        <f t="shared" si="90"/>
        <v>32.078499999999998</v>
      </c>
      <c r="AZ96" s="542">
        <f t="shared" si="90"/>
        <v>32.078499999999998</v>
      </c>
      <c r="BA96" s="542">
        <f t="shared" si="90"/>
        <v>32.078499999999998</v>
      </c>
      <c r="BB96" s="542">
        <f t="shared" si="90"/>
        <v>32.078499999999998</v>
      </c>
      <c r="BC96" s="542">
        <f t="shared" si="90"/>
        <v>32.078499999999998</v>
      </c>
      <c r="BD96" s="542">
        <f t="shared" si="90"/>
        <v>32.078499999999998</v>
      </c>
      <c r="BE96" s="542">
        <f t="shared" si="90"/>
        <v>32.078499999999998</v>
      </c>
      <c r="BF96" s="542">
        <f t="shared" si="90"/>
        <v>32.078499999999998</v>
      </c>
      <c r="BG96" s="542">
        <f t="shared" si="90"/>
        <v>32.078499999999998</v>
      </c>
      <c r="BH96" s="542">
        <f t="shared" si="90"/>
        <v>32.078499999999998</v>
      </c>
      <c r="BI96" s="542">
        <f t="shared" si="90"/>
        <v>32.078499999999998</v>
      </c>
      <c r="BJ96" s="542">
        <f t="shared" si="90"/>
        <v>32.078499999999998</v>
      </c>
      <c r="BK96" s="542">
        <f t="shared" si="90"/>
        <v>32.078499999999998</v>
      </c>
      <c r="BL96" s="542">
        <f t="shared" si="90"/>
        <v>32.078499999999998</v>
      </c>
      <c r="BM96" s="542">
        <f t="shared" si="90"/>
        <v>32.078499999999998</v>
      </c>
      <c r="BN96" s="542">
        <f t="shared" si="90"/>
        <v>32.078499999999998</v>
      </c>
      <c r="BO96" s="542">
        <f t="shared" si="90"/>
        <v>32.078499999999998</v>
      </c>
      <c r="BP96" s="542">
        <f t="shared" si="90"/>
        <v>32.078499999999998</v>
      </c>
      <c r="BQ96" s="542">
        <f t="shared" si="90"/>
        <v>32.078499999999998</v>
      </c>
      <c r="BR96" s="542">
        <f t="shared" si="90"/>
        <v>32.078499999999998</v>
      </c>
      <c r="BS96" s="542">
        <f t="shared" si="90"/>
        <v>32.078499999999998</v>
      </c>
      <c r="BT96" s="542">
        <f t="shared" si="90"/>
        <v>32.078499999999998</v>
      </c>
      <c r="BU96" s="542">
        <f t="shared" si="90"/>
        <v>32.078499999999998</v>
      </c>
      <c r="BV96" s="542">
        <f t="shared" si="90"/>
        <v>32.078499999999998</v>
      </c>
      <c r="BW96" s="542">
        <f t="shared" si="90"/>
        <v>32.078499999999998</v>
      </c>
      <c r="BX96" s="542">
        <f t="shared" si="90"/>
        <v>32.078499999999998</v>
      </c>
      <c r="BY96" s="542">
        <f t="shared" si="90"/>
        <v>32.078499999999998</v>
      </c>
      <c r="BZ96" s="542">
        <f t="shared" si="90"/>
        <v>32.078499999999998</v>
      </c>
      <c r="CA96" s="542">
        <f t="shared" si="90"/>
        <v>32.078499999999998</v>
      </c>
      <c r="CB96" s="542">
        <f t="shared" si="90"/>
        <v>32.078499999999998</v>
      </c>
      <c r="CC96" s="542">
        <f t="shared" si="90"/>
        <v>32.078499999999998</v>
      </c>
      <c r="CD96" s="542">
        <f t="shared" si="90"/>
        <v>32.078499999999998</v>
      </c>
      <c r="CE96" s="542">
        <f t="shared" si="90"/>
        <v>32.078499999999998</v>
      </c>
      <c r="CG96" s="541">
        <v>32.078499999999998</v>
      </c>
      <c r="CH96" s="541">
        <v>32.078499999999998</v>
      </c>
      <c r="CI96" s="541">
        <v>32.078499999999998</v>
      </c>
      <c r="CJ96" s="541">
        <v>32.078499999999998</v>
      </c>
      <c r="CK96" s="541">
        <v>32.078499999999998</v>
      </c>
      <c r="CL96" s="541">
        <v>32.078499999999998</v>
      </c>
      <c r="CM96" s="541">
        <v>32.078499999999998</v>
      </c>
      <c r="CN96" s="541">
        <v>32.078499999999998</v>
      </c>
      <c r="CO96" s="541">
        <v>32.078499999999998</v>
      </c>
      <c r="CP96" s="541">
        <v>32.078499999999998</v>
      </c>
      <c r="CQ96" s="541">
        <v>32.078499999999998</v>
      </c>
      <c r="CR96" s="541">
        <v>32.078499999999998</v>
      </c>
      <c r="CS96" s="541">
        <v>32.078499999999998</v>
      </c>
      <c r="CT96" s="541">
        <v>32.078499999999998</v>
      </c>
      <c r="CU96" s="541">
        <v>32.078499999999998</v>
      </c>
      <c r="CV96" s="541">
        <v>32.078499999999998</v>
      </c>
      <c r="CW96" s="541">
        <v>32.078499999999998</v>
      </c>
      <c r="CX96" s="541">
        <v>32.078499999999998</v>
      </c>
      <c r="CY96" s="541">
        <v>32.078499999999998</v>
      </c>
      <c r="CZ96" s="541">
        <v>32.078499999999998</v>
      </c>
      <c r="DA96" s="541">
        <v>32.078499999999998</v>
      </c>
      <c r="DB96" s="541">
        <v>32.078499999999998</v>
      </c>
      <c r="DC96" s="541">
        <v>32.078499999999998</v>
      </c>
      <c r="DD96" s="541">
        <v>32.078499999999998</v>
      </c>
      <c r="DE96" s="541">
        <v>32.078499999999998</v>
      </c>
      <c r="DF96" s="541">
        <v>32.078499999999998</v>
      </c>
      <c r="DG96" s="541">
        <v>32.078499999999998</v>
      </c>
      <c r="DH96" s="541">
        <v>32.078499999999998</v>
      </c>
    </row>
    <row r="97" spans="2:112">
      <c r="B97" t="s">
        <v>986</v>
      </c>
      <c r="C97" t="s">
        <v>735</v>
      </c>
      <c r="D97" t="s">
        <v>915</v>
      </c>
      <c r="E97" t="s">
        <v>911</v>
      </c>
      <c r="F97" s="541">
        <v>1.6943653636363636</v>
      </c>
      <c r="G97" s="541">
        <v>1.6943653636363636</v>
      </c>
      <c r="H97" s="541">
        <v>1.6943653636363636</v>
      </c>
      <c r="I97" s="541">
        <v>1.6943653636363636</v>
      </c>
      <c r="J97" s="541">
        <v>1.6943653636363636</v>
      </c>
      <c r="K97" s="541">
        <v>1.6943653636363636</v>
      </c>
      <c r="L97" s="541">
        <v>1.6943653636363636</v>
      </c>
      <c r="M97" s="541">
        <v>1.6943653636363636</v>
      </c>
      <c r="N97" s="541">
        <v>1.6943653636363636</v>
      </c>
      <c r="O97" s="541">
        <v>1.6943653636363636</v>
      </c>
      <c r="P97" s="541">
        <v>1.6943653636363636</v>
      </c>
      <c r="Q97" s="541">
        <v>1.6943653636363636</v>
      </c>
      <c r="R97" s="541">
        <v>1.6943653636363636</v>
      </c>
      <c r="S97" s="541">
        <v>1.6943653636363636</v>
      </c>
      <c r="T97" s="541">
        <v>1.6943653636363636</v>
      </c>
      <c r="U97" s="541">
        <v>1.6943653636363636</v>
      </c>
      <c r="V97" s="541">
        <v>1.6943653636363636</v>
      </c>
      <c r="W97" s="541">
        <v>1.6943653636363636</v>
      </c>
      <c r="X97" s="541">
        <v>1.6943653636363636</v>
      </c>
      <c r="Y97" s="541">
        <v>1.6943653636363636</v>
      </c>
      <c r="Z97" s="541">
        <v>1.6943653636363636</v>
      </c>
      <c r="AA97" s="541">
        <v>1.6943653636363636</v>
      </c>
      <c r="AB97" s="541">
        <v>1.6943653636363636</v>
      </c>
      <c r="AC97" s="541">
        <v>1.6943653636363636</v>
      </c>
      <c r="AD97" s="541">
        <v>1.6943653636363636</v>
      </c>
      <c r="AE97" s="541">
        <v>1.6943653636363636</v>
      </c>
      <c r="AF97" s="541">
        <v>1.6943653636363636</v>
      </c>
      <c r="AG97" s="541">
        <v>1.6943653636363636</v>
      </c>
      <c r="AH97" s="542">
        <f t="shared" si="91"/>
        <v>1.6943653636363636</v>
      </c>
      <c r="AI97" s="542">
        <f t="shared" si="91"/>
        <v>1.6943653636363636</v>
      </c>
      <c r="AJ97" s="542">
        <f t="shared" si="91"/>
        <v>1.6943653636363636</v>
      </c>
      <c r="AK97" s="542">
        <f t="shared" si="91"/>
        <v>1.6943653636363636</v>
      </c>
      <c r="AL97" s="542">
        <f t="shared" si="91"/>
        <v>1.6943653636363636</v>
      </c>
      <c r="AM97" s="542">
        <f t="shared" si="91"/>
        <v>1.6943653636363636</v>
      </c>
      <c r="AN97" s="542">
        <f t="shared" si="91"/>
        <v>1.6943653636363636</v>
      </c>
      <c r="AO97" s="542">
        <f t="shared" si="91"/>
        <v>1.6943653636363636</v>
      </c>
      <c r="AP97" s="542">
        <f t="shared" si="91"/>
        <v>1.6943653636363636</v>
      </c>
      <c r="AQ97" s="542">
        <f t="shared" si="91"/>
        <v>1.6943653636363636</v>
      </c>
      <c r="AR97" s="542">
        <f t="shared" si="91"/>
        <v>1.6943653636363636</v>
      </c>
      <c r="AS97" s="542">
        <f t="shared" si="91"/>
        <v>1.6943653636363636</v>
      </c>
      <c r="AT97" s="542">
        <f t="shared" si="91"/>
        <v>1.6943653636363636</v>
      </c>
      <c r="AU97" s="542">
        <f t="shared" si="91"/>
        <v>1.6943653636363636</v>
      </c>
      <c r="AV97" s="542">
        <f t="shared" si="91"/>
        <v>1.6943653636363636</v>
      </c>
      <c r="AW97" s="542">
        <f t="shared" si="91"/>
        <v>1.6943653636363636</v>
      </c>
      <c r="AX97" s="542">
        <f t="shared" si="90"/>
        <v>1.6943653636363636</v>
      </c>
      <c r="AY97" s="542">
        <f t="shared" si="90"/>
        <v>1.6943653636363636</v>
      </c>
      <c r="AZ97" s="542">
        <f t="shared" si="90"/>
        <v>1.6943653636363636</v>
      </c>
      <c r="BA97" s="542">
        <f t="shared" si="90"/>
        <v>1.6943653636363636</v>
      </c>
      <c r="BB97" s="542">
        <f t="shared" si="90"/>
        <v>1.6943653636363636</v>
      </c>
      <c r="BC97" s="542">
        <f t="shared" si="90"/>
        <v>1.6943653636363636</v>
      </c>
      <c r="BD97" s="542">
        <f t="shared" si="90"/>
        <v>1.6943653636363636</v>
      </c>
      <c r="BE97" s="542">
        <f t="shared" si="90"/>
        <v>1.6943653636363636</v>
      </c>
      <c r="BF97" s="542">
        <f t="shared" si="90"/>
        <v>1.6943653636363636</v>
      </c>
      <c r="BG97" s="542">
        <f t="shared" si="90"/>
        <v>1.6943653636363636</v>
      </c>
      <c r="BH97" s="542">
        <f t="shared" si="90"/>
        <v>1.6943653636363636</v>
      </c>
      <c r="BI97" s="542">
        <f t="shared" si="90"/>
        <v>1.6943653636363636</v>
      </c>
      <c r="BJ97" s="542">
        <f t="shared" si="90"/>
        <v>1.6943653636363636</v>
      </c>
      <c r="BK97" s="542">
        <f t="shared" si="90"/>
        <v>1.6943653636363636</v>
      </c>
      <c r="BL97" s="542">
        <f t="shared" si="90"/>
        <v>1.6943653636363636</v>
      </c>
      <c r="BM97" s="542">
        <f t="shared" si="90"/>
        <v>1.6943653636363636</v>
      </c>
      <c r="BN97" s="542">
        <f t="shared" si="90"/>
        <v>1.6943653636363636</v>
      </c>
      <c r="BO97" s="542">
        <f t="shared" si="90"/>
        <v>1.6943653636363636</v>
      </c>
      <c r="BP97" s="542">
        <f t="shared" si="90"/>
        <v>1.6943653636363636</v>
      </c>
      <c r="BQ97" s="542">
        <f t="shared" si="90"/>
        <v>1.6943653636363636</v>
      </c>
      <c r="BR97" s="542">
        <f t="shared" si="90"/>
        <v>1.6943653636363636</v>
      </c>
      <c r="BS97" s="542">
        <f t="shared" si="90"/>
        <v>1.6943653636363636</v>
      </c>
      <c r="BT97" s="542">
        <f t="shared" si="90"/>
        <v>1.6943653636363636</v>
      </c>
      <c r="BU97" s="542">
        <f t="shared" si="90"/>
        <v>1.6943653636363636</v>
      </c>
      <c r="BV97" s="542">
        <f t="shared" si="90"/>
        <v>1.6943653636363636</v>
      </c>
      <c r="BW97" s="542">
        <f t="shared" si="90"/>
        <v>1.6943653636363636</v>
      </c>
      <c r="BX97" s="542">
        <f t="shared" si="90"/>
        <v>1.6943653636363636</v>
      </c>
      <c r="BY97" s="542">
        <f t="shared" si="90"/>
        <v>1.6943653636363636</v>
      </c>
      <c r="BZ97" s="542">
        <f t="shared" si="90"/>
        <v>1.6943653636363636</v>
      </c>
      <c r="CA97" s="542">
        <f t="shared" si="90"/>
        <v>1.6943653636363636</v>
      </c>
      <c r="CB97" s="542">
        <f t="shared" si="90"/>
        <v>1.6943653636363636</v>
      </c>
      <c r="CC97" s="542">
        <f t="shared" si="90"/>
        <v>1.6943653636363636</v>
      </c>
      <c r="CD97" s="542">
        <f t="shared" si="90"/>
        <v>1.6943653636363636</v>
      </c>
      <c r="CE97" s="542">
        <f t="shared" si="90"/>
        <v>1.6943653636363636</v>
      </c>
      <c r="CG97" s="541">
        <v>1.6943653636363636</v>
      </c>
      <c r="CH97" s="541">
        <v>1.6943653636363636</v>
      </c>
      <c r="CI97" s="541">
        <v>1.6943653636363636</v>
      </c>
      <c r="CJ97" s="541">
        <v>1.6943653636363636</v>
      </c>
      <c r="CK97" s="541">
        <v>1.6943653636363636</v>
      </c>
      <c r="CL97" s="541">
        <v>1.6943653636363636</v>
      </c>
      <c r="CM97" s="541">
        <v>1.6943653636363636</v>
      </c>
      <c r="CN97" s="541">
        <v>1.6943653636363636</v>
      </c>
      <c r="CO97" s="541">
        <v>1.6943653636363636</v>
      </c>
      <c r="CP97" s="541">
        <v>1.6943653636363636</v>
      </c>
      <c r="CQ97" s="541">
        <v>1.6943653636363636</v>
      </c>
      <c r="CR97" s="541">
        <v>1.6943653636363636</v>
      </c>
      <c r="CS97" s="541">
        <v>1.6943653636363636</v>
      </c>
      <c r="CT97" s="541">
        <v>1.6943653636363636</v>
      </c>
      <c r="CU97" s="541">
        <v>1.6943653636363636</v>
      </c>
      <c r="CV97" s="541">
        <v>1.6943653636363636</v>
      </c>
      <c r="CW97" s="541">
        <v>1.6943653636363636</v>
      </c>
      <c r="CX97" s="541">
        <v>1.6943653636363636</v>
      </c>
      <c r="CY97" s="541">
        <v>1.6943653636363636</v>
      </c>
      <c r="CZ97" s="541">
        <v>1.6943653636363636</v>
      </c>
      <c r="DA97" s="541">
        <v>1.6943653636363636</v>
      </c>
      <c r="DB97" s="541">
        <v>1.6943653636363636</v>
      </c>
      <c r="DC97" s="541">
        <v>1.6943653636363636</v>
      </c>
      <c r="DD97" s="541">
        <v>1.6943653636363636</v>
      </c>
      <c r="DE97" s="541">
        <v>1.6943653636363636</v>
      </c>
      <c r="DF97" s="541">
        <v>1.6943653636363636</v>
      </c>
      <c r="DG97" s="541">
        <v>1.6943653636363636</v>
      </c>
      <c r="DH97" s="541">
        <v>1.6943653636363636</v>
      </c>
    </row>
    <row r="98" spans="2:112">
      <c r="B98" t="s">
        <v>987</v>
      </c>
      <c r="C98" t="s">
        <v>735</v>
      </c>
      <c r="D98" t="s">
        <v>917</v>
      </c>
      <c r="E98" t="s">
        <v>908</v>
      </c>
      <c r="F98" s="541">
        <v>29.1785</v>
      </c>
      <c r="G98" s="541">
        <v>29.1785</v>
      </c>
      <c r="H98" s="541">
        <v>29.1785</v>
      </c>
      <c r="I98" s="541">
        <v>29.1785</v>
      </c>
      <c r="J98" s="541">
        <v>29.1785</v>
      </c>
      <c r="K98" s="541">
        <v>29.1785</v>
      </c>
      <c r="L98" s="541">
        <v>29.1785</v>
      </c>
      <c r="M98" s="541">
        <v>29.1785</v>
      </c>
      <c r="N98" s="541">
        <v>29.1785</v>
      </c>
      <c r="O98" s="541">
        <v>29.1785</v>
      </c>
      <c r="P98" s="541">
        <v>29.1785</v>
      </c>
      <c r="Q98" s="541">
        <v>29.1785</v>
      </c>
      <c r="R98" s="541">
        <v>29.1785</v>
      </c>
      <c r="S98" s="541">
        <v>29.1785</v>
      </c>
      <c r="T98" s="541">
        <v>29.1785</v>
      </c>
      <c r="U98" s="541">
        <v>29.1785</v>
      </c>
      <c r="V98" s="541">
        <v>29.1785</v>
      </c>
      <c r="W98" s="541">
        <v>29.1785</v>
      </c>
      <c r="X98" s="541">
        <v>29.1785</v>
      </c>
      <c r="Y98" s="541">
        <v>29.1785</v>
      </c>
      <c r="Z98" s="541">
        <v>29.1785</v>
      </c>
      <c r="AA98" s="541">
        <v>29.1785</v>
      </c>
      <c r="AB98" s="541">
        <v>29.1785</v>
      </c>
      <c r="AC98" s="541">
        <v>29.1785</v>
      </c>
      <c r="AD98" s="541">
        <v>29.1785</v>
      </c>
      <c r="AE98" s="541">
        <v>29.1785</v>
      </c>
      <c r="AF98" s="541">
        <v>29.1785</v>
      </c>
      <c r="AG98" s="541">
        <v>29.1785</v>
      </c>
      <c r="AH98" s="542">
        <f t="shared" si="91"/>
        <v>29.1785</v>
      </c>
      <c r="AI98" s="542">
        <f t="shared" si="91"/>
        <v>29.1785</v>
      </c>
      <c r="AJ98" s="542">
        <f t="shared" si="91"/>
        <v>29.1785</v>
      </c>
      <c r="AK98" s="542">
        <f t="shared" si="91"/>
        <v>29.1785</v>
      </c>
      <c r="AL98" s="542">
        <f t="shared" si="91"/>
        <v>29.1785</v>
      </c>
      <c r="AM98" s="542">
        <f t="shared" si="91"/>
        <v>29.1785</v>
      </c>
      <c r="AN98" s="542">
        <f t="shared" si="91"/>
        <v>29.1785</v>
      </c>
      <c r="AO98" s="542">
        <f t="shared" si="91"/>
        <v>29.1785</v>
      </c>
      <c r="AP98" s="542">
        <f t="shared" si="91"/>
        <v>29.1785</v>
      </c>
      <c r="AQ98" s="542">
        <f t="shared" si="91"/>
        <v>29.1785</v>
      </c>
      <c r="AR98" s="542">
        <f t="shared" si="91"/>
        <v>29.1785</v>
      </c>
      <c r="AS98" s="542">
        <f t="shared" si="91"/>
        <v>29.1785</v>
      </c>
      <c r="AT98" s="542">
        <f t="shared" si="91"/>
        <v>29.1785</v>
      </c>
      <c r="AU98" s="542">
        <f t="shared" si="91"/>
        <v>29.1785</v>
      </c>
      <c r="AV98" s="542">
        <f t="shared" si="91"/>
        <v>29.1785</v>
      </c>
      <c r="AW98" s="542">
        <f t="shared" si="91"/>
        <v>29.1785</v>
      </c>
      <c r="AX98" s="542">
        <f t="shared" si="90"/>
        <v>29.1785</v>
      </c>
      <c r="AY98" s="542">
        <f t="shared" si="90"/>
        <v>29.1785</v>
      </c>
      <c r="AZ98" s="542">
        <f t="shared" si="90"/>
        <v>29.1785</v>
      </c>
      <c r="BA98" s="542">
        <f t="shared" si="90"/>
        <v>29.1785</v>
      </c>
      <c r="BB98" s="542">
        <f t="shared" si="90"/>
        <v>29.1785</v>
      </c>
      <c r="BC98" s="542">
        <f t="shared" si="90"/>
        <v>29.1785</v>
      </c>
      <c r="BD98" s="542">
        <f t="shared" si="90"/>
        <v>29.1785</v>
      </c>
      <c r="BE98" s="542">
        <f t="shared" si="90"/>
        <v>29.1785</v>
      </c>
      <c r="BF98" s="542">
        <f t="shared" si="90"/>
        <v>29.1785</v>
      </c>
      <c r="BG98" s="542">
        <f t="shared" si="90"/>
        <v>29.1785</v>
      </c>
      <c r="BH98" s="542">
        <f t="shared" si="90"/>
        <v>29.1785</v>
      </c>
      <c r="BI98" s="542">
        <f t="shared" si="90"/>
        <v>29.1785</v>
      </c>
      <c r="BJ98" s="542">
        <f t="shared" si="90"/>
        <v>29.1785</v>
      </c>
      <c r="BK98" s="542">
        <f t="shared" si="90"/>
        <v>29.1785</v>
      </c>
      <c r="BL98" s="542">
        <f t="shared" si="90"/>
        <v>29.1785</v>
      </c>
      <c r="BM98" s="542">
        <f t="shared" si="90"/>
        <v>29.1785</v>
      </c>
      <c r="BN98" s="542">
        <f t="shared" si="90"/>
        <v>29.1785</v>
      </c>
      <c r="BO98" s="542">
        <f t="shared" si="90"/>
        <v>29.1785</v>
      </c>
      <c r="BP98" s="542">
        <f t="shared" si="90"/>
        <v>29.1785</v>
      </c>
      <c r="BQ98" s="542">
        <f t="shared" si="90"/>
        <v>29.1785</v>
      </c>
      <c r="BR98" s="542">
        <f t="shared" si="90"/>
        <v>29.1785</v>
      </c>
      <c r="BS98" s="542">
        <f t="shared" si="90"/>
        <v>29.1785</v>
      </c>
      <c r="BT98" s="542">
        <f t="shared" si="90"/>
        <v>29.1785</v>
      </c>
      <c r="BU98" s="542">
        <f t="shared" si="90"/>
        <v>29.1785</v>
      </c>
      <c r="BV98" s="542">
        <f t="shared" si="90"/>
        <v>29.1785</v>
      </c>
      <c r="BW98" s="542">
        <f t="shared" si="90"/>
        <v>29.1785</v>
      </c>
      <c r="BX98" s="542">
        <f t="shared" si="90"/>
        <v>29.1785</v>
      </c>
      <c r="BY98" s="542">
        <f t="shared" si="90"/>
        <v>29.1785</v>
      </c>
      <c r="BZ98" s="542">
        <f t="shared" si="90"/>
        <v>29.1785</v>
      </c>
      <c r="CA98" s="542">
        <f t="shared" si="90"/>
        <v>29.1785</v>
      </c>
      <c r="CB98" s="542">
        <f t="shared" si="90"/>
        <v>29.1785</v>
      </c>
      <c r="CC98" s="542">
        <f t="shared" si="90"/>
        <v>29.1785</v>
      </c>
      <c r="CD98" s="542">
        <f t="shared" si="90"/>
        <v>29.1785</v>
      </c>
      <c r="CE98" s="542">
        <f t="shared" si="90"/>
        <v>29.1785</v>
      </c>
      <c r="CG98" s="541">
        <v>29.1785</v>
      </c>
      <c r="CH98" s="541">
        <v>29.1785</v>
      </c>
      <c r="CI98" s="541">
        <v>29.1785</v>
      </c>
      <c r="CJ98" s="541">
        <v>29.1785</v>
      </c>
      <c r="CK98" s="541">
        <v>29.1785</v>
      </c>
      <c r="CL98" s="541">
        <v>29.1785</v>
      </c>
      <c r="CM98" s="541">
        <v>29.1785</v>
      </c>
      <c r="CN98" s="541">
        <v>29.1785</v>
      </c>
      <c r="CO98" s="541">
        <v>29.1785</v>
      </c>
      <c r="CP98" s="541">
        <v>29.1785</v>
      </c>
      <c r="CQ98" s="541">
        <v>29.1785</v>
      </c>
      <c r="CR98" s="541">
        <v>29.1785</v>
      </c>
      <c r="CS98" s="541">
        <v>29.1785</v>
      </c>
      <c r="CT98" s="541">
        <v>29.1785</v>
      </c>
      <c r="CU98" s="541">
        <v>29.1785</v>
      </c>
      <c r="CV98" s="541">
        <v>29.1785</v>
      </c>
      <c r="CW98" s="541">
        <v>29.1785</v>
      </c>
      <c r="CX98" s="541">
        <v>29.1785</v>
      </c>
      <c r="CY98" s="541">
        <v>29.1785</v>
      </c>
      <c r="CZ98" s="541">
        <v>29.1785</v>
      </c>
      <c r="DA98" s="541">
        <v>29.1785</v>
      </c>
      <c r="DB98" s="541">
        <v>29.1785</v>
      </c>
      <c r="DC98" s="541">
        <v>29.1785</v>
      </c>
      <c r="DD98" s="541">
        <v>29.1785</v>
      </c>
      <c r="DE98" s="541">
        <v>29.1785</v>
      </c>
      <c r="DF98" s="541">
        <v>29.1785</v>
      </c>
      <c r="DG98" s="541">
        <v>29.1785</v>
      </c>
      <c r="DH98" s="541">
        <v>29.1785</v>
      </c>
    </row>
    <row r="99" spans="2:112">
      <c r="B99" t="s">
        <v>988</v>
      </c>
      <c r="C99" t="s">
        <v>735</v>
      </c>
      <c r="D99" t="s">
        <v>919</v>
      </c>
      <c r="E99" t="s">
        <v>911</v>
      </c>
      <c r="F99" s="541">
        <v>1.6653653636363634</v>
      </c>
      <c r="G99" s="541">
        <v>1.6653653636363634</v>
      </c>
      <c r="H99" s="541">
        <v>1.6653653636363634</v>
      </c>
      <c r="I99" s="541">
        <v>1.6653653636363634</v>
      </c>
      <c r="J99" s="541">
        <v>1.6653653636363634</v>
      </c>
      <c r="K99" s="541">
        <v>1.6653653636363634</v>
      </c>
      <c r="L99" s="541">
        <v>1.6653653636363634</v>
      </c>
      <c r="M99" s="541">
        <v>1.6653653636363634</v>
      </c>
      <c r="N99" s="541">
        <v>1.6653653636363634</v>
      </c>
      <c r="O99" s="541">
        <v>1.6653653636363634</v>
      </c>
      <c r="P99" s="541">
        <v>1.6653653636363634</v>
      </c>
      <c r="Q99" s="541">
        <v>1.6653653636363634</v>
      </c>
      <c r="R99" s="541">
        <v>1.6653653636363634</v>
      </c>
      <c r="S99" s="541">
        <v>1.6653653636363634</v>
      </c>
      <c r="T99" s="541">
        <v>1.6653653636363634</v>
      </c>
      <c r="U99" s="541">
        <v>1.6653653636363634</v>
      </c>
      <c r="V99" s="541">
        <v>1.6653653636363634</v>
      </c>
      <c r="W99" s="541">
        <v>1.6653653636363634</v>
      </c>
      <c r="X99" s="541">
        <v>1.6653653636363634</v>
      </c>
      <c r="Y99" s="541">
        <v>1.6653653636363634</v>
      </c>
      <c r="Z99" s="541">
        <v>1.6653653636363634</v>
      </c>
      <c r="AA99" s="541">
        <v>1.6653653636363634</v>
      </c>
      <c r="AB99" s="541">
        <v>1.6653653636363634</v>
      </c>
      <c r="AC99" s="541">
        <v>1.6653653636363634</v>
      </c>
      <c r="AD99" s="541">
        <v>1.6653653636363634</v>
      </c>
      <c r="AE99" s="541">
        <v>1.6653653636363634</v>
      </c>
      <c r="AF99" s="541">
        <v>1.6653653636363634</v>
      </c>
      <c r="AG99" s="541">
        <v>1.6653653636363634</v>
      </c>
      <c r="AH99" s="542">
        <f t="shared" si="91"/>
        <v>1.6653653636363634</v>
      </c>
      <c r="AI99" s="542">
        <f t="shared" si="91"/>
        <v>1.6653653636363634</v>
      </c>
      <c r="AJ99" s="542">
        <f t="shared" si="91"/>
        <v>1.6653653636363634</v>
      </c>
      <c r="AK99" s="542">
        <f t="shared" si="91"/>
        <v>1.6653653636363634</v>
      </c>
      <c r="AL99" s="542">
        <f t="shared" si="91"/>
        <v>1.6653653636363634</v>
      </c>
      <c r="AM99" s="542">
        <f t="shared" si="91"/>
        <v>1.6653653636363634</v>
      </c>
      <c r="AN99" s="542">
        <f t="shared" si="91"/>
        <v>1.6653653636363634</v>
      </c>
      <c r="AO99" s="542">
        <f t="shared" si="91"/>
        <v>1.6653653636363634</v>
      </c>
      <c r="AP99" s="542">
        <f t="shared" si="91"/>
        <v>1.6653653636363634</v>
      </c>
      <c r="AQ99" s="542">
        <f t="shared" si="91"/>
        <v>1.6653653636363634</v>
      </c>
      <c r="AR99" s="542">
        <f t="shared" si="91"/>
        <v>1.6653653636363634</v>
      </c>
      <c r="AS99" s="542">
        <f t="shared" si="91"/>
        <v>1.6653653636363634</v>
      </c>
      <c r="AT99" s="542">
        <f t="shared" si="91"/>
        <v>1.6653653636363634</v>
      </c>
      <c r="AU99" s="542">
        <f t="shared" si="91"/>
        <v>1.6653653636363634</v>
      </c>
      <c r="AV99" s="542">
        <f t="shared" si="91"/>
        <v>1.6653653636363634</v>
      </c>
      <c r="AW99" s="542">
        <f t="shared" si="91"/>
        <v>1.6653653636363634</v>
      </c>
      <c r="AX99" s="542">
        <f t="shared" si="90"/>
        <v>1.6653653636363634</v>
      </c>
      <c r="AY99" s="542">
        <f t="shared" si="90"/>
        <v>1.6653653636363634</v>
      </c>
      <c r="AZ99" s="542">
        <f t="shared" si="90"/>
        <v>1.6653653636363634</v>
      </c>
      <c r="BA99" s="542">
        <f t="shared" si="90"/>
        <v>1.6653653636363634</v>
      </c>
      <c r="BB99" s="542">
        <f t="shared" si="90"/>
        <v>1.6653653636363634</v>
      </c>
      <c r="BC99" s="542">
        <f t="shared" si="90"/>
        <v>1.6653653636363634</v>
      </c>
      <c r="BD99" s="542">
        <f t="shared" si="90"/>
        <v>1.6653653636363634</v>
      </c>
      <c r="BE99" s="542">
        <f t="shared" si="90"/>
        <v>1.6653653636363634</v>
      </c>
      <c r="BF99" s="542">
        <f t="shared" si="90"/>
        <v>1.6653653636363634</v>
      </c>
      <c r="BG99" s="542">
        <f t="shared" si="90"/>
        <v>1.6653653636363634</v>
      </c>
      <c r="BH99" s="542">
        <f t="shared" si="90"/>
        <v>1.6653653636363634</v>
      </c>
      <c r="BI99" s="542">
        <f t="shared" si="90"/>
        <v>1.6653653636363634</v>
      </c>
      <c r="BJ99" s="542">
        <f t="shared" si="90"/>
        <v>1.6653653636363634</v>
      </c>
      <c r="BK99" s="542">
        <f t="shared" si="90"/>
        <v>1.6653653636363634</v>
      </c>
      <c r="BL99" s="542">
        <f t="shared" si="90"/>
        <v>1.6653653636363634</v>
      </c>
      <c r="BM99" s="542">
        <f t="shared" si="90"/>
        <v>1.6653653636363634</v>
      </c>
      <c r="BN99" s="542">
        <f t="shared" si="90"/>
        <v>1.6653653636363634</v>
      </c>
      <c r="BO99" s="542">
        <f t="shared" si="90"/>
        <v>1.6653653636363634</v>
      </c>
      <c r="BP99" s="542">
        <f t="shared" si="90"/>
        <v>1.6653653636363634</v>
      </c>
      <c r="BQ99" s="542">
        <f t="shared" si="90"/>
        <v>1.6653653636363634</v>
      </c>
      <c r="BR99" s="542">
        <f t="shared" si="90"/>
        <v>1.6653653636363634</v>
      </c>
      <c r="BS99" s="542">
        <f t="shared" si="90"/>
        <v>1.6653653636363634</v>
      </c>
      <c r="BT99" s="542">
        <f t="shared" si="90"/>
        <v>1.6653653636363634</v>
      </c>
      <c r="BU99" s="542">
        <f t="shared" si="90"/>
        <v>1.6653653636363634</v>
      </c>
      <c r="BV99" s="542">
        <f t="shared" si="90"/>
        <v>1.6653653636363634</v>
      </c>
      <c r="BW99" s="542">
        <f t="shared" si="90"/>
        <v>1.6653653636363634</v>
      </c>
      <c r="BX99" s="542">
        <f t="shared" si="90"/>
        <v>1.6653653636363634</v>
      </c>
      <c r="BY99" s="542">
        <f t="shared" si="90"/>
        <v>1.6653653636363634</v>
      </c>
      <c r="BZ99" s="542">
        <f t="shared" si="90"/>
        <v>1.6653653636363634</v>
      </c>
      <c r="CA99" s="542">
        <f t="shared" si="90"/>
        <v>1.6653653636363634</v>
      </c>
      <c r="CB99" s="542">
        <f t="shared" si="90"/>
        <v>1.6653653636363634</v>
      </c>
      <c r="CC99" s="542">
        <f t="shared" si="90"/>
        <v>1.6653653636363634</v>
      </c>
      <c r="CD99" s="542">
        <f t="shared" si="90"/>
        <v>1.6653653636363634</v>
      </c>
      <c r="CE99" s="542">
        <f t="shared" si="90"/>
        <v>1.6653653636363634</v>
      </c>
      <c r="CG99" s="541">
        <v>1.6653653636363634</v>
      </c>
      <c r="CH99" s="541">
        <v>1.6653653636363634</v>
      </c>
      <c r="CI99" s="541">
        <v>1.6653653636363634</v>
      </c>
      <c r="CJ99" s="541">
        <v>1.6653653636363634</v>
      </c>
      <c r="CK99" s="541">
        <v>1.6653653636363634</v>
      </c>
      <c r="CL99" s="541">
        <v>1.6653653636363634</v>
      </c>
      <c r="CM99" s="541">
        <v>1.6653653636363634</v>
      </c>
      <c r="CN99" s="541">
        <v>1.6653653636363634</v>
      </c>
      <c r="CO99" s="541">
        <v>1.6653653636363634</v>
      </c>
      <c r="CP99" s="541">
        <v>1.6653653636363634</v>
      </c>
      <c r="CQ99" s="541">
        <v>1.6653653636363634</v>
      </c>
      <c r="CR99" s="541">
        <v>1.6653653636363634</v>
      </c>
      <c r="CS99" s="541">
        <v>1.6653653636363634</v>
      </c>
      <c r="CT99" s="541">
        <v>1.6653653636363634</v>
      </c>
      <c r="CU99" s="541">
        <v>1.6653653636363634</v>
      </c>
      <c r="CV99" s="541">
        <v>1.6653653636363634</v>
      </c>
      <c r="CW99" s="541">
        <v>1.6653653636363634</v>
      </c>
      <c r="CX99" s="541">
        <v>1.6653653636363634</v>
      </c>
      <c r="CY99" s="541">
        <v>1.6653653636363634</v>
      </c>
      <c r="CZ99" s="541">
        <v>1.6653653636363634</v>
      </c>
      <c r="DA99" s="541">
        <v>1.6653653636363634</v>
      </c>
      <c r="DB99" s="541">
        <v>1.6653653636363634</v>
      </c>
      <c r="DC99" s="541">
        <v>1.6653653636363634</v>
      </c>
      <c r="DD99" s="541">
        <v>1.6653653636363634</v>
      </c>
      <c r="DE99" s="541">
        <v>1.6653653636363634</v>
      </c>
      <c r="DF99" s="541">
        <v>1.6653653636363634</v>
      </c>
      <c r="DG99" s="541">
        <v>1.6653653636363634</v>
      </c>
      <c r="DH99" s="541">
        <v>1.6653653636363634</v>
      </c>
    </row>
    <row r="100" spans="2:112">
      <c r="B100" t="s">
        <v>989</v>
      </c>
      <c r="C100" t="s">
        <v>735</v>
      </c>
      <c r="D100" t="s">
        <v>921</v>
      </c>
      <c r="E100" t="s">
        <v>908</v>
      </c>
      <c r="F100" s="541">
        <v>30.278500000000001</v>
      </c>
      <c r="G100" s="541">
        <v>30.278500000000001</v>
      </c>
      <c r="H100" s="541">
        <v>30.278500000000001</v>
      </c>
      <c r="I100" s="541">
        <v>30.278500000000001</v>
      </c>
      <c r="J100" s="541">
        <v>30.278500000000001</v>
      </c>
      <c r="K100" s="541">
        <v>30.278500000000001</v>
      </c>
      <c r="L100" s="541">
        <v>30.278500000000001</v>
      </c>
      <c r="M100" s="541">
        <v>30.278500000000001</v>
      </c>
      <c r="N100" s="541">
        <v>30.278500000000001</v>
      </c>
      <c r="O100" s="541">
        <v>30.278500000000001</v>
      </c>
      <c r="P100" s="541">
        <v>30.278500000000001</v>
      </c>
      <c r="Q100" s="541">
        <v>30.278500000000001</v>
      </c>
      <c r="R100" s="541">
        <v>30.278500000000001</v>
      </c>
      <c r="S100" s="541">
        <v>30.278500000000001</v>
      </c>
      <c r="T100" s="541">
        <v>30.278500000000001</v>
      </c>
      <c r="U100" s="541">
        <v>30.278500000000001</v>
      </c>
      <c r="V100" s="541">
        <v>30.278500000000001</v>
      </c>
      <c r="W100" s="541">
        <v>30.278500000000001</v>
      </c>
      <c r="X100" s="541">
        <v>30.278500000000001</v>
      </c>
      <c r="Y100" s="541">
        <v>30.278500000000001</v>
      </c>
      <c r="Z100" s="541">
        <v>30.278500000000001</v>
      </c>
      <c r="AA100" s="541">
        <v>30.278500000000001</v>
      </c>
      <c r="AB100" s="541">
        <v>30.278500000000001</v>
      </c>
      <c r="AC100" s="541">
        <v>30.278500000000001</v>
      </c>
      <c r="AD100" s="541">
        <v>30.278500000000001</v>
      </c>
      <c r="AE100" s="541">
        <v>30.278500000000001</v>
      </c>
      <c r="AF100" s="541">
        <v>30.278500000000001</v>
      </c>
      <c r="AG100" s="541">
        <v>30.278500000000001</v>
      </c>
      <c r="AH100" s="542">
        <f t="shared" si="91"/>
        <v>30.278500000000001</v>
      </c>
      <c r="AI100" s="542">
        <f t="shared" si="91"/>
        <v>30.278500000000001</v>
      </c>
      <c r="AJ100" s="542">
        <f t="shared" si="91"/>
        <v>30.278500000000001</v>
      </c>
      <c r="AK100" s="542">
        <f t="shared" si="91"/>
        <v>30.278500000000001</v>
      </c>
      <c r="AL100" s="542">
        <f t="shared" si="91"/>
        <v>30.278500000000001</v>
      </c>
      <c r="AM100" s="542">
        <f t="shared" si="91"/>
        <v>30.278500000000001</v>
      </c>
      <c r="AN100" s="542">
        <f t="shared" si="91"/>
        <v>30.278500000000001</v>
      </c>
      <c r="AO100" s="542">
        <f t="shared" si="91"/>
        <v>30.278500000000001</v>
      </c>
      <c r="AP100" s="542">
        <f t="shared" si="91"/>
        <v>30.278500000000001</v>
      </c>
      <c r="AQ100" s="542">
        <f t="shared" si="91"/>
        <v>30.278500000000001</v>
      </c>
      <c r="AR100" s="542">
        <f t="shared" si="91"/>
        <v>30.278500000000001</v>
      </c>
      <c r="AS100" s="542">
        <f t="shared" si="91"/>
        <v>30.278500000000001</v>
      </c>
      <c r="AT100" s="542">
        <f t="shared" si="91"/>
        <v>30.278500000000001</v>
      </c>
      <c r="AU100" s="542">
        <f t="shared" si="91"/>
        <v>30.278500000000001</v>
      </c>
      <c r="AV100" s="542">
        <f t="shared" si="91"/>
        <v>30.278500000000001</v>
      </c>
      <c r="AW100" s="542">
        <f t="shared" si="91"/>
        <v>30.278500000000001</v>
      </c>
      <c r="AX100" s="542">
        <f t="shared" si="90"/>
        <v>30.278500000000001</v>
      </c>
      <c r="AY100" s="542">
        <f t="shared" si="90"/>
        <v>30.278500000000001</v>
      </c>
      <c r="AZ100" s="542">
        <f t="shared" si="90"/>
        <v>30.278500000000001</v>
      </c>
      <c r="BA100" s="542">
        <f t="shared" si="90"/>
        <v>30.278500000000001</v>
      </c>
      <c r="BB100" s="542">
        <f t="shared" si="90"/>
        <v>30.278500000000001</v>
      </c>
      <c r="BC100" s="542">
        <f t="shared" si="90"/>
        <v>30.278500000000001</v>
      </c>
      <c r="BD100" s="542">
        <f t="shared" si="90"/>
        <v>30.278500000000001</v>
      </c>
      <c r="BE100" s="542">
        <f t="shared" si="90"/>
        <v>30.278500000000001</v>
      </c>
      <c r="BF100" s="542">
        <f t="shared" si="90"/>
        <v>30.278500000000001</v>
      </c>
      <c r="BG100" s="542">
        <f t="shared" si="90"/>
        <v>30.278500000000001</v>
      </c>
      <c r="BH100" s="542">
        <f t="shared" si="90"/>
        <v>30.278500000000001</v>
      </c>
      <c r="BI100" s="542">
        <f t="shared" si="90"/>
        <v>30.278500000000001</v>
      </c>
      <c r="BJ100" s="542">
        <f t="shared" si="90"/>
        <v>30.278500000000001</v>
      </c>
      <c r="BK100" s="542">
        <f t="shared" si="90"/>
        <v>30.278500000000001</v>
      </c>
      <c r="BL100" s="542">
        <f t="shared" si="90"/>
        <v>30.278500000000001</v>
      </c>
      <c r="BM100" s="542">
        <f t="shared" si="90"/>
        <v>30.278500000000001</v>
      </c>
      <c r="BN100" s="542">
        <f t="shared" si="90"/>
        <v>30.278500000000001</v>
      </c>
      <c r="BO100" s="542">
        <f t="shared" si="90"/>
        <v>30.278500000000001</v>
      </c>
      <c r="BP100" s="542">
        <f t="shared" si="90"/>
        <v>30.278500000000001</v>
      </c>
      <c r="BQ100" s="542">
        <f t="shared" si="90"/>
        <v>30.278500000000001</v>
      </c>
      <c r="BR100" s="542">
        <f t="shared" si="90"/>
        <v>30.278500000000001</v>
      </c>
      <c r="BS100" s="542">
        <f t="shared" si="90"/>
        <v>30.278500000000001</v>
      </c>
      <c r="BT100" s="542">
        <f t="shared" si="90"/>
        <v>30.278500000000001</v>
      </c>
      <c r="BU100" s="542">
        <f t="shared" si="90"/>
        <v>30.278500000000001</v>
      </c>
      <c r="BV100" s="542">
        <f t="shared" si="90"/>
        <v>30.278500000000001</v>
      </c>
      <c r="BW100" s="542">
        <f t="shared" si="90"/>
        <v>30.278500000000001</v>
      </c>
      <c r="BX100" s="542">
        <f t="shared" si="90"/>
        <v>30.278500000000001</v>
      </c>
      <c r="BY100" s="542">
        <f t="shared" si="90"/>
        <v>30.278500000000001</v>
      </c>
      <c r="BZ100" s="542">
        <f t="shared" si="90"/>
        <v>30.278500000000001</v>
      </c>
      <c r="CA100" s="542">
        <f t="shared" si="90"/>
        <v>30.278500000000001</v>
      </c>
      <c r="CB100" s="542">
        <f t="shared" si="90"/>
        <v>30.278500000000001</v>
      </c>
      <c r="CC100" s="542">
        <f t="shared" si="90"/>
        <v>30.278500000000001</v>
      </c>
      <c r="CD100" s="542">
        <f t="shared" si="90"/>
        <v>30.278500000000001</v>
      </c>
      <c r="CE100" s="542">
        <f t="shared" si="90"/>
        <v>30.278500000000001</v>
      </c>
      <c r="CG100" s="541">
        <v>30.278500000000001</v>
      </c>
      <c r="CH100" s="541">
        <v>30.278500000000001</v>
      </c>
      <c r="CI100" s="541">
        <v>30.278500000000001</v>
      </c>
      <c r="CJ100" s="541">
        <v>30.278500000000001</v>
      </c>
      <c r="CK100" s="541">
        <v>30.278500000000001</v>
      </c>
      <c r="CL100" s="541">
        <v>30.278500000000001</v>
      </c>
      <c r="CM100" s="541">
        <v>30.278500000000001</v>
      </c>
      <c r="CN100" s="541">
        <v>30.278500000000001</v>
      </c>
      <c r="CO100" s="541">
        <v>30.278500000000001</v>
      </c>
      <c r="CP100" s="541">
        <v>30.278500000000001</v>
      </c>
      <c r="CQ100" s="541">
        <v>30.278500000000001</v>
      </c>
      <c r="CR100" s="541">
        <v>30.278500000000001</v>
      </c>
      <c r="CS100" s="541">
        <v>30.278500000000001</v>
      </c>
      <c r="CT100" s="541">
        <v>30.278500000000001</v>
      </c>
      <c r="CU100" s="541">
        <v>30.278500000000001</v>
      </c>
      <c r="CV100" s="541">
        <v>30.278500000000001</v>
      </c>
      <c r="CW100" s="541">
        <v>30.278500000000001</v>
      </c>
      <c r="CX100" s="541">
        <v>30.278500000000001</v>
      </c>
      <c r="CY100" s="541">
        <v>30.278500000000001</v>
      </c>
      <c r="CZ100" s="541">
        <v>30.278500000000001</v>
      </c>
      <c r="DA100" s="541">
        <v>30.278500000000001</v>
      </c>
      <c r="DB100" s="541">
        <v>30.278500000000001</v>
      </c>
      <c r="DC100" s="541">
        <v>30.278500000000001</v>
      </c>
      <c r="DD100" s="541">
        <v>30.278500000000001</v>
      </c>
      <c r="DE100" s="541">
        <v>30.278500000000001</v>
      </c>
      <c r="DF100" s="541">
        <v>30.278500000000001</v>
      </c>
      <c r="DG100" s="541">
        <v>30.278500000000001</v>
      </c>
      <c r="DH100" s="541">
        <v>30.278500000000001</v>
      </c>
    </row>
    <row r="101" spans="2:112">
      <c r="B101" t="s">
        <v>990</v>
      </c>
      <c r="C101" t="s">
        <v>735</v>
      </c>
      <c r="D101" t="s">
        <v>923</v>
      </c>
      <c r="E101" t="s">
        <v>911</v>
      </c>
      <c r="F101" s="541">
        <v>1.6763653636363636</v>
      </c>
      <c r="G101" s="541">
        <v>1.6763653636363636</v>
      </c>
      <c r="H101" s="541">
        <v>1.6763653636363636</v>
      </c>
      <c r="I101" s="541">
        <v>1.6763653636363636</v>
      </c>
      <c r="J101" s="541">
        <v>1.6763653636363636</v>
      </c>
      <c r="K101" s="541">
        <v>1.6763653636363636</v>
      </c>
      <c r="L101" s="541">
        <v>1.6763653636363636</v>
      </c>
      <c r="M101" s="541">
        <v>1.6763653636363636</v>
      </c>
      <c r="N101" s="541">
        <v>1.6763653636363636</v>
      </c>
      <c r="O101" s="541">
        <v>1.6763653636363636</v>
      </c>
      <c r="P101" s="541">
        <v>1.6763653636363636</v>
      </c>
      <c r="Q101" s="541">
        <v>1.6763653636363636</v>
      </c>
      <c r="R101" s="541">
        <v>1.6763653636363636</v>
      </c>
      <c r="S101" s="541">
        <v>1.6763653636363636</v>
      </c>
      <c r="T101" s="541">
        <v>1.6763653636363636</v>
      </c>
      <c r="U101" s="541">
        <v>1.6763653636363636</v>
      </c>
      <c r="V101" s="541">
        <v>1.6763653636363636</v>
      </c>
      <c r="W101" s="541">
        <v>1.6763653636363636</v>
      </c>
      <c r="X101" s="541">
        <v>1.6763653636363636</v>
      </c>
      <c r="Y101" s="541">
        <v>1.6763653636363636</v>
      </c>
      <c r="Z101" s="541">
        <v>1.6763653636363636</v>
      </c>
      <c r="AA101" s="541">
        <v>1.6763653636363636</v>
      </c>
      <c r="AB101" s="541">
        <v>1.6763653636363636</v>
      </c>
      <c r="AC101" s="541">
        <v>1.6763653636363636</v>
      </c>
      <c r="AD101" s="541">
        <v>1.6763653636363636</v>
      </c>
      <c r="AE101" s="541">
        <v>1.6763653636363636</v>
      </c>
      <c r="AF101" s="541">
        <v>1.6763653636363636</v>
      </c>
      <c r="AG101" s="541">
        <v>1.6763653636363636</v>
      </c>
      <c r="AH101" s="542">
        <f t="shared" si="91"/>
        <v>1.6763653636363636</v>
      </c>
      <c r="AI101" s="542">
        <f t="shared" si="91"/>
        <v>1.6763653636363636</v>
      </c>
      <c r="AJ101" s="542">
        <f t="shared" si="91"/>
        <v>1.6763653636363636</v>
      </c>
      <c r="AK101" s="542">
        <f t="shared" si="91"/>
        <v>1.6763653636363636</v>
      </c>
      <c r="AL101" s="542">
        <f t="shared" si="91"/>
        <v>1.6763653636363636</v>
      </c>
      <c r="AM101" s="542">
        <f t="shared" si="91"/>
        <v>1.6763653636363636</v>
      </c>
      <c r="AN101" s="542">
        <f t="shared" si="91"/>
        <v>1.6763653636363636</v>
      </c>
      <c r="AO101" s="542">
        <f t="shared" si="91"/>
        <v>1.6763653636363636</v>
      </c>
      <c r="AP101" s="542">
        <f t="shared" si="91"/>
        <v>1.6763653636363636</v>
      </c>
      <c r="AQ101" s="542">
        <f t="shared" si="91"/>
        <v>1.6763653636363636</v>
      </c>
      <c r="AR101" s="542">
        <f t="shared" si="91"/>
        <v>1.6763653636363636</v>
      </c>
      <c r="AS101" s="542">
        <f t="shared" si="91"/>
        <v>1.6763653636363636</v>
      </c>
      <c r="AT101" s="542">
        <f t="shared" si="91"/>
        <v>1.6763653636363636</v>
      </c>
      <c r="AU101" s="542">
        <f t="shared" si="91"/>
        <v>1.6763653636363636</v>
      </c>
      <c r="AV101" s="542">
        <f t="shared" si="91"/>
        <v>1.6763653636363636</v>
      </c>
      <c r="AW101" s="542">
        <f t="shared" si="91"/>
        <v>1.6763653636363636</v>
      </c>
      <c r="AX101" s="542">
        <f t="shared" si="90"/>
        <v>1.6763653636363636</v>
      </c>
      <c r="AY101" s="542">
        <f t="shared" si="90"/>
        <v>1.6763653636363636</v>
      </c>
      <c r="AZ101" s="542">
        <f t="shared" si="90"/>
        <v>1.6763653636363636</v>
      </c>
      <c r="BA101" s="542">
        <f t="shared" si="90"/>
        <v>1.6763653636363636</v>
      </c>
      <c r="BB101" s="542">
        <f t="shared" si="90"/>
        <v>1.6763653636363636</v>
      </c>
      <c r="BC101" s="542">
        <f t="shared" si="90"/>
        <v>1.6763653636363636</v>
      </c>
      <c r="BD101" s="542">
        <f t="shared" si="90"/>
        <v>1.6763653636363636</v>
      </c>
      <c r="BE101" s="542">
        <f t="shared" si="90"/>
        <v>1.6763653636363636</v>
      </c>
      <c r="BF101" s="542">
        <f t="shared" si="90"/>
        <v>1.6763653636363636</v>
      </c>
      <c r="BG101" s="542">
        <f t="shared" si="90"/>
        <v>1.6763653636363636</v>
      </c>
      <c r="BH101" s="542">
        <f t="shared" si="90"/>
        <v>1.6763653636363636</v>
      </c>
      <c r="BI101" s="542">
        <f t="shared" si="90"/>
        <v>1.6763653636363636</v>
      </c>
      <c r="BJ101" s="542">
        <f t="shared" si="90"/>
        <v>1.6763653636363636</v>
      </c>
      <c r="BK101" s="542">
        <f t="shared" si="90"/>
        <v>1.6763653636363636</v>
      </c>
      <c r="BL101" s="542">
        <f t="shared" si="90"/>
        <v>1.6763653636363636</v>
      </c>
      <c r="BM101" s="542">
        <f t="shared" si="90"/>
        <v>1.6763653636363636</v>
      </c>
      <c r="BN101" s="542">
        <f t="shared" si="90"/>
        <v>1.6763653636363636</v>
      </c>
      <c r="BO101" s="542">
        <f t="shared" si="90"/>
        <v>1.6763653636363636</v>
      </c>
      <c r="BP101" s="542">
        <f t="shared" si="90"/>
        <v>1.6763653636363636</v>
      </c>
      <c r="BQ101" s="542">
        <f t="shared" si="90"/>
        <v>1.6763653636363636</v>
      </c>
      <c r="BR101" s="542">
        <f t="shared" si="90"/>
        <v>1.6763653636363636</v>
      </c>
      <c r="BS101" s="542">
        <f t="shared" si="90"/>
        <v>1.6763653636363636</v>
      </c>
      <c r="BT101" s="542">
        <f t="shared" si="90"/>
        <v>1.6763653636363636</v>
      </c>
      <c r="BU101" s="542">
        <f t="shared" si="90"/>
        <v>1.6763653636363636</v>
      </c>
      <c r="BV101" s="542">
        <f t="shared" si="90"/>
        <v>1.6763653636363636</v>
      </c>
      <c r="BW101" s="542">
        <f t="shared" si="90"/>
        <v>1.6763653636363636</v>
      </c>
      <c r="BX101" s="542">
        <f t="shared" si="90"/>
        <v>1.6763653636363636</v>
      </c>
      <c r="BY101" s="542">
        <f t="shared" si="90"/>
        <v>1.6763653636363636</v>
      </c>
      <c r="BZ101" s="542">
        <f t="shared" si="90"/>
        <v>1.6763653636363636</v>
      </c>
      <c r="CA101" s="542">
        <f t="shared" si="90"/>
        <v>1.6763653636363636</v>
      </c>
      <c r="CB101" s="542">
        <f t="shared" si="90"/>
        <v>1.6763653636363636</v>
      </c>
      <c r="CC101" s="542">
        <f t="shared" si="90"/>
        <v>1.6763653636363636</v>
      </c>
      <c r="CD101" s="542">
        <f t="shared" si="90"/>
        <v>1.6763653636363636</v>
      </c>
      <c r="CE101" s="542">
        <f t="shared" si="90"/>
        <v>1.6763653636363636</v>
      </c>
      <c r="CG101" s="541">
        <v>1.6763653636363636</v>
      </c>
      <c r="CH101" s="541">
        <v>1.6763653636363636</v>
      </c>
      <c r="CI101" s="541">
        <v>1.6763653636363636</v>
      </c>
      <c r="CJ101" s="541">
        <v>1.6763653636363636</v>
      </c>
      <c r="CK101" s="541">
        <v>1.6763653636363636</v>
      </c>
      <c r="CL101" s="541">
        <v>1.6763653636363636</v>
      </c>
      <c r="CM101" s="541">
        <v>1.6763653636363636</v>
      </c>
      <c r="CN101" s="541">
        <v>1.6763653636363636</v>
      </c>
      <c r="CO101" s="541">
        <v>1.6763653636363636</v>
      </c>
      <c r="CP101" s="541">
        <v>1.6763653636363636</v>
      </c>
      <c r="CQ101" s="541">
        <v>1.6763653636363636</v>
      </c>
      <c r="CR101" s="541">
        <v>1.6763653636363636</v>
      </c>
      <c r="CS101" s="541">
        <v>1.6763653636363636</v>
      </c>
      <c r="CT101" s="541">
        <v>1.6763653636363636</v>
      </c>
      <c r="CU101" s="541">
        <v>1.6763653636363636</v>
      </c>
      <c r="CV101" s="541">
        <v>1.6763653636363636</v>
      </c>
      <c r="CW101" s="541">
        <v>1.6763653636363636</v>
      </c>
      <c r="CX101" s="541">
        <v>1.6763653636363636</v>
      </c>
      <c r="CY101" s="541">
        <v>1.6763653636363636</v>
      </c>
      <c r="CZ101" s="541">
        <v>1.6763653636363636</v>
      </c>
      <c r="DA101" s="541">
        <v>1.6763653636363636</v>
      </c>
      <c r="DB101" s="541">
        <v>1.6763653636363636</v>
      </c>
      <c r="DC101" s="541">
        <v>1.6763653636363636</v>
      </c>
      <c r="DD101" s="541">
        <v>1.6763653636363636</v>
      </c>
      <c r="DE101" s="541">
        <v>1.6763653636363636</v>
      </c>
      <c r="DF101" s="541">
        <v>1.6763653636363636</v>
      </c>
      <c r="DG101" s="541">
        <v>1.6763653636363636</v>
      </c>
      <c r="DH101" s="541">
        <v>1.6763653636363636</v>
      </c>
    </row>
    <row r="102" spans="2:112">
      <c r="B102" t="s">
        <v>924</v>
      </c>
    </row>
    <row r="103" spans="2:112" ht="15">
      <c r="B103" t="s">
        <v>991</v>
      </c>
      <c r="C103" s="485" t="s">
        <v>272</v>
      </c>
      <c r="D103" s="485" t="s">
        <v>877</v>
      </c>
      <c r="E103" s="485" t="s">
        <v>111</v>
      </c>
      <c r="F103" s="486">
        <f>2023</f>
        <v>2023</v>
      </c>
      <c r="G103" s="486">
        <f>F103+1</f>
        <v>2024</v>
      </c>
      <c r="H103" s="486">
        <f t="shared" ref="H103:AG103" si="92">G103+1</f>
        <v>2025</v>
      </c>
      <c r="I103" s="486">
        <f t="shared" si="92"/>
        <v>2026</v>
      </c>
      <c r="J103" s="486">
        <f t="shared" si="92"/>
        <v>2027</v>
      </c>
      <c r="K103" s="486">
        <f t="shared" si="92"/>
        <v>2028</v>
      </c>
      <c r="L103" s="486">
        <f t="shared" si="92"/>
        <v>2029</v>
      </c>
      <c r="M103" s="486">
        <f t="shared" si="92"/>
        <v>2030</v>
      </c>
      <c r="N103" s="486">
        <f t="shared" si="92"/>
        <v>2031</v>
      </c>
      <c r="O103" s="486">
        <f t="shared" si="92"/>
        <v>2032</v>
      </c>
      <c r="P103" s="486">
        <f t="shared" si="92"/>
        <v>2033</v>
      </c>
      <c r="Q103" s="486">
        <f t="shared" si="92"/>
        <v>2034</v>
      </c>
      <c r="R103" s="486">
        <f t="shared" si="92"/>
        <v>2035</v>
      </c>
      <c r="S103" s="486">
        <f t="shared" si="92"/>
        <v>2036</v>
      </c>
      <c r="T103" s="486">
        <f t="shared" si="92"/>
        <v>2037</v>
      </c>
      <c r="U103" s="486">
        <f t="shared" si="92"/>
        <v>2038</v>
      </c>
      <c r="V103" s="486">
        <f t="shared" si="92"/>
        <v>2039</v>
      </c>
      <c r="W103" s="486">
        <f t="shared" si="92"/>
        <v>2040</v>
      </c>
      <c r="X103" s="486">
        <f t="shared" si="92"/>
        <v>2041</v>
      </c>
      <c r="Y103" s="486">
        <f t="shared" si="92"/>
        <v>2042</v>
      </c>
      <c r="Z103" s="486">
        <f t="shared" si="92"/>
        <v>2043</v>
      </c>
      <c r="AA103" s="486">
        <f t="shared" si="92"/>
        <v>2044</v>
      </c>
      <c r="AB103" s="486">
        <f t="shared" si="92"/>
        <v>2045</v>
      </c>
      <c r="AC103" s="486">
        <f t="shared" si="92"/>
        <v>2046</v>
      </c>
      <c r="AD103" s="486">
        <f t="shared" si="92"/>
        <v>2047</v>
      </c>
      <c r="AE103" s="486">
        <f t="shared" si="92"/>
        <v>2048</v>
      </c>
      <c r="AF103" s="486">
        <f t="shared" si="92"/>
        <v>2049</v>
      </c>
      <c r="AG103" s="486">
        <f t="shared" si="92"/>
        <v>2050</v>
      </c>
      <c r="AH103" s="524">
        <f>AG103+1</f>
        <v>2051</v>
      </c>
      <c r="AI103" s="524">
        <f t="shared" ref="AI103:CE103" si="93">AH103+1</f>
        <v>2052</v>
      </c>
      <c r="AJ103" s="524">
        <f t="shared" si="93"/>
        <v>2053</v>
      </c>
      <c r="AK103" s="524">
        <f t="shared" si="93"/>
        <v>2054</v>
      </c>
      <c r="AL103" s="524">
        <f t="shared" si="93"/>
        <v>2055</v>
      </c>
      <c r="AM103" s="524">
        <f t="shared" si="93"/>
        <v>2056</v>
      </c>
      <c r="AN103" s="524">
        <f t="shared" si="93"/>
        <v>2057</v>
      </c>
      <c r="AO103" s="524">
        <f t="shared" si="93"/>
        <v>2058</v>
      </c>
      <c r="AP103" s="524">
        <f t="shared" si="93"/>
        <v>2059</v>
      </c>
      <c r="AQ103" s="524">
        <f t="shared" si="93"/>
        <v>2060</v>
      </c>
      <c r="AR103" s="524">
        <f t="shared" si="93"/>
        <v>2061</v>
      </c>
      <c r="AS103" s="524">
        <f t="shared" si="93"/>
        <v>2062</v>
      </c>
      <c r="AT103" s="524">
        <f t="shared" si="93"/>
        <v>2063</v>
      </c>
      <c r="AU103" s="524">
        <f t="shared" si="93"/>
        <v>2064</v>
      </c>
      <c r="AV103" s="524">
        <f t="shared" si="93"/>
        <v>2065</v>
      </c>
      <c r="AW103" s="524">
        <f t="shared" si="93"/>
        <v>2066</v>
      </c>
      <c r="AX103" s="524">
        <f t="shared" si="93"/>
        <v>2067</v>
      </c>
      <c r="AY103" s="524">
        <f t="shared" si="93"/>
        <v>2068</v>
      </c>
      <c r="AZ103" s="524">
        <f t="shared" si="93"/>
        <v>2069</v>
      </c>
      <c r="BA103" s="524">
        <f t="shared" si="93"/>
        <v>2070</v>
      </c>
      <c r="BB103" s="524">
        <f t="shared" si="93"/>
        <v>2071</v>
      </c>
      <c r="BC103" s="524">
        <f t="shared" si="93"/>
        <v>2072</v>
      </c>
      <c r="BD103" s="524">
        <f t="shared" si="93"/>
        <v>2073</v>
      </c>
      <c r="BE103" s="524">
        <f t="shared" si="93"/>
        <v>2074</v>
      </c>
      <c r="BF103" s="524">
        <f t="shared" si="93"/>
        <v>2075</v>
      </c>
      <c r="BG103" s="524">
        <f t="shared" si="93"/>
        <v>2076</v>
      </c>
      <c r="BH103" s="524">
        <f t="shared" si="93"/>
        <v>2077</v>
      </c>
      <c r="BI103" s="524">
        <f t="shared" si="93"/>
        <v>2078</v>
      </c>
      <c r="BJ103" s="524">
        <f t="shared" si="93"/>
        <v>2079</v>
      </c>
      <c r="BK103" s="524">
        <f t="shared" si="93"/>
        <v>2080</v>
      </c>
      <c r="BL103" s="524">
        <f t="shared" si="93"/>
        <v>2081</v>
      </c>
      <c r="BM103" s="524">
        <f t="shared" si="93"/>
        <v>2082</v>
      </c>
      <c r="BN103" s="524">
        <f t="shared" si="93"/>
        <v>2083</v>
      </c>
      <c r="BO103" s="524">
        <f t="shared" si="93"/>
        <v>2084</v>
      </c>
      <c r="BP103" s="524">
        <f t="shared" si="93"/>
        <v>2085</v>
      </c>
      <c r="BQ103" s="524">
        <f t="shared" si="93"/>
        <v>2086</v>
      </c>
      <c r="BR103" s="524">
        <f t="shared" si="93"/>
        <v>2087</v>
      </c>
      <c r="BS103" s="524">
        <f t="shared" si="93"/>
        <v>2088</v>
      </c>
      <c r="BT103" s="524">
        <f t="shared" si="93"/>
        <v>2089</v>
      </c>
      <c r="BU103" s="524">
        <f t="shared" si="93"/>
        <v>2090</v>
      </c>
      <c r="BV103" s="524">
        <f t="shared" si="93"/>
        <v>2091</v>
      </c>
      <c r="BW103" s="524">
        <f t="shared" si="93"/>
        <v>2092</v>
      </c>
      <c r="BX103" s="524">
        <f t="shared" si="93"/>
        <v>2093</v>
      </c>
      <c r="BY103" s="524">
        <f t="shared" si="93"/>
        <v>2094</v>
      </c>
      <c r="BZ103" s="524">
        <f t="shared" si="93"/>
        <v>2095</v>
      </c>
      <c r="CA103" s="524">
        <f t="shared" si="93"/>
        <v>2096</v>
      </c>
      <c r="CB103" s="524">
        <f t="shared" si="93"/>
        <v>2097</v>
      </c>
      <c r="CC103" s="524">
        <f t="shared" si="93"/>
        <v>2098</v>
      </c>
      <c r="CD103" s="524">
        <f t="shared" si="93"/>
        <v>2099</v>
      </c>
      <c r="CE103" s="524">
        <f t="shared" si="93"/>
        <v>2100</v>
      </c>
      <c r="CG103" s="486">
        <v>2023</v>
      </c>
      <c r="CH103" s="486">
        <v>2024</v>
      </c>
      <c r="CI103" s="486">
        <v>2025</v>
      </c>
      <c r="CJ103" s="486">
        <v>2026</v>
      </c>
      <c r="CK103" s="486">
        <v>2027</v>
      </c>
      <c r="CL103" s="486">
        <v>2028</v>
      </c>
      <c r="CM103" s="486">
        <v>2029</v>
      </c>
      <c r="CN103" s="486">
        <v>2030</v>
      </c>
      <c r="CO103" s="486">
        <v>2031</v>
      </c>
      <c r="CP103" s="486">
        <v>2032</v>
      </c>
      <c r="CQ103" s="486">
        <v>2033</v>
      </c>
      <c r="CR103" s="486">
        <v>2034</v>
      </c>
      <c r="CS103" s="486">
        <v>2035</v>
      </c>
      <c r="CT103" s="486">
        <v>2036</v>
      </c>
      <c r="CU103" s="486">
        <v>2037</v>
      </c>
      <c r="CV103" s="486">
        <v>2038</v>
      </c>
      <c r="CW103" s="486">
        <v>2039</v>
      </c>
      <c r="CX103" s="486">
        <v>2040</v>
      </c>
      <c r="CY103" s="486">
        <v>2041</v>
      </c>
      <c r="CZ103" s="486">
        <v>2042</v>
      </c>
      <c r="DA103" s="486">
        <v>2043</v>
      </c>
      <c r="DB103" s="486">
        <v>2044</v>
      </c>
      <c r="DC103" s="486">
        <v>2045</v>
      </c>
      <c r="DD103" s="486">
        <v>2046</v>
      </c>
      <c r="DE103" s="486">
        <v>2047</v>
      </c>
      <c r="DF103" s="486">
        <v>2048</v>
      </c>
      <c r="DG103" s="486">
        <v>2049</v>
      </c>
      <c r="DH103" s="486">
        <v>2050</v>
      </c>
    </row>
    <row r="104" spans="2:112">
      <c r="B104" t="s">
        <v>992</v>
      </c>
      <c r="C104" t="s">
        <v>272</v>
      </c>
      <c r="D104" t="s">
        <v>879</v>
      </c>
      <c r="E104" t="s">
        <v>737</v>
      </c>
      <c r="F104" s="536">
        <v>75000</v>
      </c>
      <c r="G104" s="536">
        <v>75000</v>
      </c>
      <c r="H104" s="536">
        <v>75000</v>
      </c>
      <c r="I104" s="536">
        <v>75000</v>
      </c>
      <c r="J104" s="536">
        <v>75000</v>
      </c>
      <c r="K104" s="536">
        <v>75000</v>
      </c>
      <c r="L104" s="536">
        <v>75000</v>
      </c>
      <c r="M104" s="536">
        <v>75000</v>
      </c>
      <c r="N104" s="536">
        <v>75000</v>
      </c>
      <c r="O104" s="536">
        <v>75000</v>
      </c>
      <c r="P104" s="536">
        <v>75000</v>
      </c>
      <c r="Q104" s="536">
        <v>75000</v>
      </c>
      <c r="R104" s="536">
        <v>75000</v>
      </c>
      <c r="S104" s="536">
        <v>75000</v>
      </c>
      <c r="T104" s="536">
        <v>75000</v>
      </c>
      <c r="U104" s="536">
        <v>75000</v>
      </c>
      <c r="V104" s="536">
        <v>75000</v>
      </c>
      <c r="W104" s="536">
        <v>75000</v>
      </c>
      <c r="X104" s="536">
        <v>75000</v>
      </c>
      <c r="Y104" s="536">
        <v>75000</v>
      </c>
      <c r="Z104" s="536">
        <v>75000</v>
      </c>
      <c r="AA104" s="536">
        <v>75000</v>
      </c>
      <c r="AB104" s="536">
        <v>75000</v>
      </c>
      <c r="AC104" s="536">
        <v>75000</v>
      </c>
      <c r="AD104" s="536">
        <v>75000</v>
      </c>
      <c r="AE104" s="536">
        <v>75000</v>
      </c>
      <c r="AF104" s="536">
        <v>75000</v>
      </c>
      <c r="AG104" s="536">
        <v>75000</v>
      </c>
      <c r="AH104" s="526">
        <f>AG104</f>
        <v>75000</v>
      </c>
      <c r="AI104" s="526">
        <f t="shared" ref="AI104:AX104" si="94">AH104</f>
        <v>75000</v>
      </c>
      <c r="AJ104" s="526">
        <f t="shared" si="94"/>
        <v>75000</v>
      </c>
      <c r="AK104" s="526">
        <f t="shared" si="94"/>
        <v>75000</v>
      </c>
      <c r="AL104" s="526">
        <f t="shared" si="94"/>
        <v>75000</v>
      </c>
      <c r="AM104" s="526">
        <f t="shared" si="94"/>
        <v>75000</v>
      </c>
      <c r="AN104" s="526">
        <f t="shared" si="94"/>
        <v>75000</v>
      </c>
      <c r="AO104" s="526">
        <f t="shared" si="94"/>
        <v>75000</v>
      </c>
      <c r="AP104" s="526">
        <f t="shared" si="94"/>
        <v>75000</v>
      </c>
      <c r="AQ104" s="526">
        <f t="shared" si="94"/>
        <v>75000</v>
      </c>
      <c r="AR104" s="526">
        <f t="shared" si="94"/>
        <v>75000</v>
      </c>
      <c r="AS104" s="526">
        <f t="shared" si="94"/>
        <v>75000</v>
      </c>
      <c r="AT104" s="526">
        <f t="shared" si="94"/>
        <v>75000</v>
      </c>
      <c r="AU104" s="526">
        <f t="shared" si="94"/>
        <v>75000</v>
      </c>
      <c r="AV104" s="526">
        <f t="shared" si="94"/>
        <v>75000</v>
      </c>
      <c r="AW104" s="526">
        <f t="shared" si="94"/>
        <v>75000</v>
      </c>
      <c r="AX104" s="526">
        <f t="shared" si="94"/>
        <v>75000</v>
      </c>
      <c r="AY104" s="526">
        <f t="shared" ref="AY104:BN104" si="95">AX104</f>
        <v>75000</v>
      </c>
      <c r="AZ104" s="526">
        <f t="shared" si="95"/>
        <v>75000</v>
      </c>
      <c r="BA104" s="526">
        <f t="shared" si="95"/>
        <v>75000</v>
      </c>
      <c r="BB104" s="526">
        <f t="shared" si="95"/>
        <v>75000</v>
      </c>
      <c r="BC104" s="526">
        <f t="shared" si="95"/>
        <v>75000</v>
      </c>
      <c r="BD104" s="526">
        <f t="shared" si="95"/>
        <v>75000</v>
      </c>
      <c r="BE104" s="526">
        <f t="shared" si="95"/>
        <v>75000</v>
      </c>
      <c r="BF104" s="526">
        <f t="shared" si="95"/>
        <v>75000</v>
      </c>
      <c r="BG104" s="526">
        <f t="shared" si="95"/>
        <v>75000</v>
      </c>
      <c r="BH104" s="526">
        <f t="shared" si="95"/>
        <v>75000</v>
      </c>
      <c r="BI104" s="526">
        <f t="shared" si="95"/>
        <v>75000</v>
      </c>
      <c r="BJ104" s="526">
        <f t="shared" si="95"/>
        <v>75000</v>
      </c>
      <c r="BK104" s="526">
        <f t="shared" si="95"/>
        <v>75000</v>
      </c>
      <c r="BL104" s="526">
        <f t="shared" si="95"/>
        <v>75000</v>
      </c>
      <c r="BM104" s="526">
        <f t="shared" si="95"/>
        <v>75000</v>
      </c>
      <c r="BN104" s="526">
        <f t="shared" si="95"/>
        <v>75000</v>
      </c>
      <c r="BO104" s="526">
        <f t="shared" ref="BO104:CD104" si="96">BN104</f>
        <v>75000</v>
      </c>
      <c r="BP104" s="526">
        <f t="shared" si="96"/>
        <v>75000</v>
      </c>
      <c r="BQ104" s="526">
        <f t="shared" si="96"/>
        <v>75000</v>
      </c>
      <c r="BR104" s="526">
        <f t="shared" si="96"/>
        <v>75000</v>
      </c>
      <c r="BS104" s="526">
        <f t="shared" si="96"/>
        <v>75000</v>
      </c>
      <c r="BT104" s="526">
        <f t="shared" si="96"/>
        <v>75000</v>
      </c>
      <c r="BU104" s="526">
        <f t="shared" si="96"/>
        <v>75000</v>
      </c>
      <c r="BV104" s="526">
        <f t="shared" si="96"/>
        <v>75000</v>
      </c>
      <c r="BW104" s="526">
        <f t="shared" si="96"/>
        <v>75000</v>
      </c>
      <c r="BX104" s="526">
        <f t="shared" si="96"/>
        <v>75000</v>
      </c>
      <c r="BY104" s="526">
        <f t="shared" si="96"/>
        <v>75000</v>
      </c>
      <c r="BZ104" s="526">
        <f t="shared" si="96"/>
        <v>75000</v>
      </c>
      <c r="CA104" s="526">
        <f t="shared" si="96"/>
        <v>75000</v>
      </c>
      <c r="CB104" s="526">
        <f t="shared" si="96"/>
        <v>75000</v>
      </c>
      <c r="CC104" s="526">
        <f t="shared" si="96"/>
        <v>75000</v>
      </c>
      <c r="CD104" s="526">
        <f t="shared" si="96"/>
        <v>75000</v>
      </c>
      <c r="CE104" s="526">
        <f t="shared" ref="AX104:CE112" si="97">CD104</f>
        <v>75000</v>
      </c>
      <c r="CG104" s="536">
        <v>75000</v>
      </c>
      <c r="CH104" s="536">
        <v>75000</v>
      </c>
      <c r="CI104" s="536">
        <v>75000</v>
      </c>
      <c r="CJ104" s="536">
        <v>75000</v>
      </c>
      <c r="CK104" s="536">
        <v>75000</v>
      </c>
      <c r="CL104" s="536">
        <v>75000</v>
      </c>
      <c r="CM104" s="536">
        <v>75000</v>
      </c>
      <c r="CN104" s="536">
        <v>75000</v>
      </c>
      <c r="CO104" s="536">
        <v>75000</v>
      </c>
      <c r="CP104" s="536">
        <v>75000</v>
      </c>
      <c r="CQ104" s="536">
        <v>75000</v>
      </c>
      <c r="CR104" s="536">
        <v>75000</v>
      </c>
      <c r="CS104" s="536">
        <v>75000</v>
      </c>
      <c r="CT104" s="536">
        <v>75000</v>
      </c>
      <c r="CU104" s="536">
        <v>75000</v>
      </c>
      <c r="CV104" s="536">
        <v>75000</v>
      </c>
      <c r="CW104" s="536">
        <v>75000</v>
      </c>
      <c r="CX104" s="536">
        <v>75000</v>
      </c>
      <c r="CY104" s="536">
        <v>75000</v>
      </c>
      <c r="CZ104" s="536">
        <v>75000</v>
      </c>
      <c r="DA104" s="536">
        <v>75000</v>
      </c>
      <c r="DB104" s="536">
        <v>75000</v>
      </c>
      <c r="DC104" s="536">
        <v>75000</v>
      </c>
      <c r="DD104" s="536">
        <v>75000</v>
      </c>
      <c r="DE104" s="536">
        <v>75000</v>
      </c>
      <c r="DF104" s="536">
        <v>75000</v>
      </c>
      <c r="DG104" s="536">
        <v>75000</v>
      </c>
      <c r="DH104" s="536">
        <v>75000</v>
      </c>
    </row>
    <row r="105" spans="2:112">
      <c r="B105" t="s">
        <v>993</v>
      </c>
      <c r="C105" t="s">
        <v>272</v>
      </c>
      <c r="D105" t="s">
        <v>695</v>
      </c>
      <c r="E105" t="s">
        <v>881</v>
      </c>
      <c r="F105" s="536">
        <v>240</v>
      </c>
      <c r="G105" s="536">
        <v>240</v>
      </c>
      <c r="H105" s="536">
        <v>240</v>
      </c>
      <c r="I105" s="536">
        <v>240</v>
      </c>
      <c r="J105" s="536">
        <v>240</v>
      </c>
      <c r="K105" s="536">
        <v>240</v>
      </c>
      <c r="L105" s="536">
        <v>240</v>
      </c>
      <c r="M105" s="536">
        <v>240</v>
      </c>
      <c r="N105" s="536">
        <v>240</v>
      </c>
      <c r="O105" s="536">
        <v>240</v>
      </c>
      <c r="P105" s="536">
        <v>240</v>
      </c>
      <c r="Q105" s="536">
        <v>240</v>
      </c>
      <c r="R105" s="536">
        <v>240</v>
      </c>
      <c r="S105" s="536">
        <v>240</v>
      </c>
      <c r="T105" s="536">
        <v>240</v>
      </c>
      <c r="U105" s="536">
        <v>240</v>
      </c>
      <c r="V105" s="536">
        <v>240</v>
      </c>
      <c r="W105" s="536">
        <v>240</v>
      </c>
      <c r="X105" s="536">
        <v>240</v>
      </c>
      <c r="Y105" s="536">
        <v>240</v>
      </c>
      <c r="Z105" s="536">
        <v>240</v>
      </c>
      <c r="AA105" s="536">
        <v>240</v>
      </c>
      <c r="AB105" s="536">
        <v>240</v>
      </c>
      <c r="AC105" s="536">
        <v>240</v>
      </c>
      <c r="AD105" s="536">
        <v>240</v>
      </c>
      <c r="AE105" s="536">
        <v>240</v>
      </c>
      <c r="AF105" s="536">
        <v>240</v>
      </c>
      <c r="AG105" s="536">
        <v>240</v>
      </c>
      <c r="AH105" s="526">
        <f t="shared" ref="AH105:AW114" si="98">AG105</f>
        <v>240</v>
      </c>
      <c r="AI105" s="526">
        <f t="shared" si="98"/>
        <v>240</v>
      </c>
      <c r="AJ105" s="526">
        <f t="shared" si="98"/>
        <v>240</v>
      </c>
      <c r="AK105" s="526">
        <f t="shared" si="98"/>
        <v>240</v>
      </c>
      <c r="AL105" s="526">
        <f t="shared" si="98"/>
        <v>240</v>
      </c>
      <c r="AM105" s="526">
        <f t="shared" si="98"/>
        <v>240</v>
      </c>
      <c r="AN105" s="526">
        <f t="shared" si="98"/>
        <v>240</v>
      </c>
      <c r="AO105" s="526">
        <f t="shared" si="98"/>
        <v>240</v>
      </c>
      <c r="AP105" s="526">
        <f t="shared" si="98"/>
        <v>240</v>
      </c>
      <c r="AQ105" s="526">
        <f t="shared" si="98"/>
        <v>240</v>
      </c>
      <c r="AR105" s="526">
        <f t="shared" si="98"/>
        <v>240</v>
      </c>
      <c r="AS105" s="526">
        <f t="shared" si="98"/>
        <v>240</v>
      </c>
      <c r="AT105" s="526">
        <f t="shared" si="98"/>
        <v>240</v>
      </c>
      <c r="AU105" s="526">
        <f t="shared" si="98"/>
        <v>240</v>
      </c>
      <c r="AV105" s="526">
        <f t="shared" si="98"/>
        <v>240</v>
      </c>
      <c r="AW105" s="526">
        <f t="shared" si="98"/>
        <v>240</v>
      </c>
      <c r="AX105" s="526">
        <f t="shared" si="97"/>
        <v>240</v>
      </c>
      <c r="AY105" s="526">
        <f t="shared" si="97"/>
        <v>240</v>
      </c>
      <c r="AZ105" s="526">
        <f t="shared" si="97"/>
        <v>240</v>
      </c>
      <c r="BA105" s="526">
        <f t="shared" si="97"/>
        <v>240</v>
      </c>
      <c r="BB105" s="526">
        <f t="shared" si="97"/>
        <v>240</v>
      </c>
      <c r="BC105" s="526">
        <f t="shared" si="97"/>
        <v>240</v>
      </c>
      <c r="BD105" s="526">
        <f t="shared" si="97"/>
        <v>240</v>
      </c>
      <c r="BE105" s="526">
        <f t="shared" si="97"/>
        <v>240</v>
      </c>
      <c r="BF105" s="526">
        <f t="shared" si="97"/>
        <v>240</v>
      </c>
      <c r="BG105" s="526">
        <f t="shared" si="97"/>
        <v>240</v>
      </c>
      <c r="BH105" s="526">
        <f t="shared" si="97"/>
        <v>240</v>
      </c>
      <c r="BI105" s="526">
        <f t="shared" si="97"/>
        <v>240</v>
      </c>
      <c r="BJ105" s="526">
        <f t="shared" si="97"/>
        <v>240</v>
      </c>
      <c r="BK105" s="526">
        <f t="shared" si="97"/>
        <v>240</v>
      </c>
      <c r="BL105" s="526">
        <f t="shared" si="97"/>
        <v>240</v>
      </c>
      <c r="BM105" s="526">
        <f t="shared" si="97"/>
        <v>240</v>
      </c>
      <c r="BN105" s="526">
        <f t="shared" si="97"/>
        <v>240</v>
      </c>
      <c r="BO105" s="526">
        <f t="shared" si="97"/>
        <v>240</v>
      </c>
      <c r="BP105" s="526">
        <f t="shared" si="97"/>
        <v>240</v>
      </c>
      <c r="BQ105" s="526">
        <f t="shared" si="97"/>
        <v>240</v>
      </c>
      <c r="BR105" s="526">
        <f t="shared" si="97"/>
        <v>240</v>
      </c>
      <c r="BS105" s="526">
        <f t="shared" si="97"/>
        <v>240</v>
      </c>
      <c r="BT105" s="526">
        <f t="shared" si="97"/>
        <v>240</v>
      </c>
      <c r="BU105" s="526">
        <f t="shared" si="97"/>
        <v>240</v>
      </c>
      <c r="BV105" s="526">
        <f t="shared" si="97"/>
        <v>240</v>
      </c>
      <c r="BW105" s="526">
        <f t="shared" si="97"/>
        <v>240</v>
      </c>
      <c r="BX105" s="526">
        <f t="shared" si="97"/>
        <v>240</v>
      </c>
      <c r="BY105" s="526">
        <f t="shared" si="97"/>
        <v>240</v>
      </c>
      <c r="BZ105" s="526">
        <f t="shared" si="97"/>
        <v>240</v>
      </c>
      <c r="CA105" s="526">
        <f t="shared" si="97"/>
        <v>240</v>
      </c>
      <c r="CB105" s="526">
        <f t="shared" si="97"/>
        <v>240</v>
      </c>
      <c r="CC105" s="526">
        <f t="shared" si="97"/>
        <v>240</v>
      </c>
      <c r="CD105" s="526">
        <f t="shared" si="97"/>
        <v>240</v>
      </c>
      <c r="CE105" s="526">
        <f t="shared" si="97"/>
        <v>240</v>
      </c>
      <c r="CG105" s="536">
        <v>240</v>
      </c>
      <c r="CH105" s="536">
        <v>240</v>
      </c>
      <c r="CI105" s="536">
        <v>240</v>
      </c>
      <c r="CJ105" s="536">
        <v>240</v>
      </c>
      <c r="CK105" s="536">
        <v>240</v>
      </c>
      <c r="CL105" s="536">
        <v>240</v>
      </c>
      <c r="CM105" s="536">
        <v>240</v>
      </c>
      <c r="CN105" s="536">
        <v>240</v>
      </c>
      <c r="CO105" s="536">
        <v>240</v>
      </c>
      <c r="CP105" s="536">
        <v>240</v>
      </c>
      <c r="CQ105" s="536">
        <v>240</v>
      </c>
      <c r="CR105" s="536">
        <v>240</v>
      </c>
      <c r="CS105" s="536">
        <v>240</v>
      </c>
      <c r="CT105" s="536">
        <v>240</v>
      </c>
      <c r="CU105" s="536">
        <v>240</v>
      </c>
      <c r="CV105" s="536">
        <v>240</v>
      </c>
      <c r="CW105" s="536">
        <v>240</v>
      </c>
      <c r="CX105" s="536">
        <v>240</v>
      </c>
      <c r="CY105" s="536">
        <v>240</v>
      </c>
      <c r="CZ105" s="536">
        <v>240</v>
      </c>
      <c r="DA105" s="536">
        <v>240</v>
      </c>
      <c r="DB105" s="536">
        <v>240</v>
      </c>
      <c r="DC105" s="536">
        <v>240</v>
      </c>
      <c r="DD105" s="536">
        <v>240</v>
      </c>
      <c r="DE105" s="536">
        <v>240</v>
      </c>
      <c r="DF105" s="536">
        <v>240</v>
      </c>
      <c r="DG105" s="536">
        <v>240</v>
      </c>
      <c r="DH105" s="536">
        <v>240</v>
      </c>
    </row>
    <row r="106" spans="2:112">
      <c r="B106" t="s">
        <v>994</v>
      </c>
      <c r="C106" t="s">
        <v>272</v>
      </c>
      <c r="D106" t="s">
        <v>883</v>
      </c>
      <c r="E106" t="s">
        <v>884</v>
      </c>
      <c r="F106" s="536">
        <v>12</v>
      </c>
      <c r="G106" s="536">
        <v>12</v>
      </c>
      <c r="H106" s="536">
        <v>12</v>
      </c>
      <c r="I106" s="536">
        <v>12</v>
      </c>
      <c r="J106" s="536">
        <v>12</v>
      </c>
      <c r="K106" s="536">
        <v>12</v>
      </c>
      <c r="L106" s="536">
        <v>12</v>
      </c>
      <c r="M106" s="536">
        <v>12</v>
      </c>
      <c r="N106" s="536">
        <v>12</v>
      </c>
      <c r="O106" s="536">
        <v>12</v>
      </c>
      <c r="P106" s="536">
        <v>12</v>
      </c>
      <c r="Q106" s="536">
        <v>12</v>
      </c>
      <c r="R106" s="536">
        <v>12</v>
      </c>
      <c r="S106" s="536">
        <v>12</v>
      </c>
      <c r="T106" s="536">
        <v>12</v>
      </c>
      <c r="U106" s="536">
        <v>12</v>
      </c>
      <c r="V106" s="536">
        <v>12</v>
      </c>
      <c r="W106" s="536">
        <v>12</v>
      </c>
      <c r="X106" s="536">
        <v>12</v>
      </c>
      <c r="Y106" s="536">
        <v>12</v>
      </c>
      <c r="Z106" s="536">
        <v>12</v>
      </c>
      <c r="AA106" s="536">
        <v>12</v>
      </c>
      <c r="AB106" s="536">
        <v>12</v>
      </c>
      <c r="AC106" s="536">
        <v>12</v>
      </c>
      <c r="AD106" s="536">
        <v>12</v>
      </c>
      <c r="AE106" s="536">
        <v>12</v>
      </c>
      <c r="AF106" s="536">
        <v>12</v>
      </c>
      <c r="AG106" s="536">
        <v>12</v>
      </c>
      <c r="AH106" s="526">
        <f t="shared" si="98"/>
        <v>12</v>
      </c>
      <c r="AI106" s="526">
        <f t="shared" si="98"/>
        <v>12</v>
      </c>
      <c r="AJ106" s="526">
        <f t="shared" si="98"/>
        <v>12</v>
      </c>
      <c r="AK106" s="526">
        <f t="shared" si="98"/>
        <v>12</v>
      </c>
      <c r="AL106" s="526">
        <f t="shared" si="98"/>
        <v>12</v>
      </c>
      <c r="AM106" s="526">
        <f t="shared" si="98"/>
        <v>12</v>
      </c>
      <c r="AN106" s="526">
        <f t="shared" si="98"/>
        <v>12</v>
      </c>
      <c r="AO106" s="526">
        <f t="shared" si="98"/>
        <v>12</v>
      </c>
      <c r="AP106" s="526">
        <f t="shared" si="98"/>
        <v>12</v>
      </c>
      <c r="AQ106" s="526">
        <f t="shared" si="98"/>
        <v>12</v>
      </c>
      <c r="AR106" s="526">
        <f t="shared" si="98"/>
        <v>12</v>
      </c>
      <c r="AS106" s="526">
        <f t="shared" si="98"/>
        <v>12</v>
      </c>
      <c r="AT106" s="526">
        <f t="shared" si="98"/>
        <v>12</v>
      </c>
      <c r="AU106" s="526">
        <f t="shared" si="98"/>
        <v>12</v>
      </c>
      <c r="AV106" s="526">
        <f t="shared" si="98"/>
        <v>12</v>
      </c>
      <c r="AW106" s="526">
        <f t="shared" si="98"/>
        <v>12</v>
      </c>
      <c r="AX106" s="526">
        <f t="shared" si="97"/>
        <v>12</v>
      </c>
      <c r="AY106" s="526">
        <f t="shared" si="97"/>
        <v>12</v>
      </c>
      <c r="AZ106" s="526">
        <f t="shared" si="97"/>
        <v>12</v>
      </c>
      <c r="BA106" s="526">
        <f t="shared" si="97"/>
        <v>12</v>
      </c>
      <c r="BB106" s="526">
        <f t="shared" si="97"/>
        <v>12</v>
      </c>
      <c r="BC106" s="526">
        <f t="shared" si="97"/>
        <v>12</v>
      </c>
      <c r="BD106" s="526">
        <f t="shared" si="97"/>
        <v>12</v>
      </c>
      <c r="BE106" s="526">
        <f t="shared" si="97"/>
        <v>12</v>
      </c>
      <c r="BF106" s="526">
        <f t="shared" si="97"/>
        <v>12</v>
      </c>
      <c r="BG106" s="526">
        <f t="shared" si="97"/>
        <v>12</v>
      </c>
      <c r="BH106" s="526">
        <f t="shared" si="97"/>
        <v>12</v>
      </c>
      <c r="BI106" s="526">
        <f t="shared" si="97"/>
        <v>12</v>
      </c>
      <c r="BJ106" s="526">
        <f t="shared" si="97"/>
        <v>12</v>
      </c>
      <c r="BK106" s="526">
        <f t="shared" si="97"/>
        <v>12</v>
      </c>
      <c r="BL106" s="526">
        <f t="shared" si="97"/>
        <v>12</v>
      </c>
      <c r="BM106" s="526">
        <f t="shared" si="97"/>
        <v>12</v>
      </c>
      <c r="BN106" s="526">
        <f t="shared" si="97"/>
        <v>12</v>
      </c>
      <c r="BO106" s="526">
        <f t="shared" si="97"/>
        <v>12</v>
      </c>
      <c r="BP106" s="526">
        <f t="shared" si="97"/>
        <v>12</v>
      </c>
      <c r="BQ106" s="526">
        <f t="shared" si="97"/>
        <v>12</v>
      </c>
      <c r="BR106" s="526">
        <f t="shared" si="97"/>
        <v>12</v>
      </c>
      <c r="BS106" s="526">
        <f t="shared" si="97"/>
        <v>12</v>
      </c>
      <c r="BT106" s="526">
        <f t="shared" si="97"/>
        <v>12</v>
      </c>
      <c r="BU106" s="526">
        <f t="shared" si="97"/>
        <v>12</v>
      </c>
      <c r="BV106" s="526">
        <f t="shared" si="97"/>
        <v>12</v>
      </c>
      <c r="BW106" s="526">
        <f t="shared" si="97"/>
        <v>12</v>
      </c>
      <c r="BX106" s="526">
        <f t="shared" si="97"/>
        <v>12</v>
      </c>
      <c r="BY106" s="526">
        <f t="shared" si="97"/>
        <v>12</v>
      </c>
      <c r="BZ106" s="526">
        <f t="shared" si="97"/>
        <v>12</v>
      </c>
      <c r="CA106" s="526">
        <f t="shared" si="97"/>
        <v>12</v>
      </c>
      <c r="CB106" s="526">
        <f t="shared" si="97"/>
        <v>12</v>
      </c>
      <c r="CC106" s="526">
        <f t="shared" si="97"/>
        <v>12</v>
      </c>
      <c r="CD106" s="526">
        <f t="shared" si="97"/>
        <v>12</v>
      </c>
      <c r="CE106" s="526">
        <f t="shared" si="97"/>
        <v>12</v>
      </c>
      <c r="CG106" s="536">
        <v>12</v>
      </c>
      <c r="CH106" s="536">
        <v>12</v>
      </c>
      <c r="CI106" s="536">
        <v>12</v>
      </c>
      <c r="CJ106" s="536">
        <v>12</v>
      </c>
      <c r="CK106" s="536">
        <v>12</v>
      </c>
      <c r="CL106" s="536">
        <v>12</v>
      </c>
      <c r="CM106" s="536">
        <v>12</v>
      </c>
      <c r="CN106" s="536">
        <v>12</v>
      </c>
      <c r="CO106" s="536">
        <v>12</v>
      </c>
      <c r="CP106" s="536">
        <v>12</v>
      </c>
      <c r="CQ106" s="536">
        <v>12</v>
      </c>
      <c r="CR106" s="536">
        <v>12</v>
      </c>
      <c r="CS106" s="536">
        <v>12</v>
      </c>
      <c r="CT106" s="536">
        <v>12</v>
      </c>
      <c r="CU106" s="536">
        <v>12</v>
      </c>
      <c r="CV106" s="536">
        <v>12</v>
      </c>
      <c r="CW106" s="536">
        <v>12</v>
      </c>
      <c r="CX106" s="536">
        <v>12</v>
      </c>
      <c r="CY106" s="536">
        <v>12</v>
      </c>
      <c r="CZ106" s="536">
        <v>12</v>
      </c>
      <c r="DA106" s="536">
        <v>12</v>
      </c>
      <c r="DB106" s="536">
        <v>12</v>
      </c>
      <c r="DC106" s="536">
        <v>12</v>
      </c>
      <c r="DD106" s="536">
        <v>12</v>
      </c>
      <c r="DE106" s="536">
        <v>12</v>
      </c>
      <c r="DF106" s="536">
        <v>12</v>
      </c>
      <c r="DG106" s="536">
        <v>12</v>
      </c>
      <c r="DH106" s="536">
        <v>12</v>
      </c>
    </row>
    <row r="107" spans="2:112">
      <c r="B107" t="s">
        <v>995</v>
      </c>
      <c r="C107" t="s">
        <v>272</v>
      </c>
      <c r="D107" t="s">
        <v>886</v>
      </c>
      <c r="E107" t="s">
        <v>178</v>
      </c>
      <c r="F107" s="537">
        <v>0.51</v>
      </c>
      <c r="G107" s="537">
        <v>0.51</v>
      </c>
      <c r="H107" s="537">
        <v>0.51</v>
      </c>
      <c r="I107" s="537">
        <v>0.51</v>
      </c>
      <c r="J107" s="537">
        <v>0.51</v>
      </c>
      <c r="K107" s="537">
        <v>0.51</v>
      </c>
      <c r="L107" s="537">
        <v>0.51</v>
      </c>
      <c r="M107" s="537">
        <v>0.51</v>
      </c>
      <c r="N107" s="537">
        <v>0.51</v>
      </c>
      <c r="O107" s="537">
        <v>0.51</v>
      </c>
      <c r="P107" s="537">
        <v>0.51</v>
      </c>
      <c r="Q107" s="537">
        <v>0.51</v>
      </c>
      <c r="R107" s="537">
        <v>0.51</v>
      </c>
      <c r="S107" s="537">
        <v>0.51</v>
      </c>
      <c r="T107" s="537">
        <v>0.51</v>
      </c>
      <c r="U107" s="537">
        <v>0.51</v>
      </c>
      <c r="V107" s="537">
        <v>0.51</v>
      </c>
      <c r="W107" s="537">
        <v>0.51</v>
      </c>
      <c r="X107" s="537">
        <v>0.51</v>
      </c>
      <c r="Y107" s="537">
        <v>0.51</v>
      </c>
      <c r="Z107" s="537">
        <v>0.51</v>
      </c>
      <c r="AA107" s="537">
        <v>0.51</v>
      </c>
      <c r="AB107" s="537">
        <v>0.51</v>
      </c>
      <c r="AC107" s="537">
        <v>0.51</v>
      </c>
      <c r="AD107" s="537">
        <v>0.51</v>
      </c>
      <c r="AE107" s="537">
        <v>0.51</v>
      </c>
      <c r="AF107" s="537">
        <v>0.51</v>
      </c>
      <c r="AG107" s="537">
        <v>0.51</v>
      </c>
      <c r="AH107" s="526">
        <f t="shared" si="98"/>
        <v>0.51</v>
      </c>
      <c r="AI107" s="526">
        <f t="shared" si="98"/>
        <v>0.51</v>
      </c>
      <c r="AJ107" s="526">
        <f t="shared" si="98"/>
        <v>0.51</v>
      </c>
      <c r="AK107" s="526">
        <f t="shared" si="98"/>
        <v>0.51</v>
      </c>
      <c r="AL107" s="526">
        <f t="shared" si="98"/>
        <v>0.51</v>
      </c>
      <c r="AM107" s="526">
        <f t="shared" si="98"/>
        <v>0.51</v>
      </c>
      <c r="AN107" s="526">
        <f t="shared" si="98"/>
        <v>0.51</v>
      </c>
      <c r="AO107" s="526">
        <f t="shared" si="98"/>
        <v>0.51</v>
      </c>
      <c r="AP107" s="526">
        <f t="shared" si="98"/>
        <v>0.51</v>
      </c>
      <c r="AQ107" s="526">
        <f t="shared" si="98"/>
        <v>0.51</v>
      </c>
      <c r="AR107" s="526">
        <f t="shared" si="98"/>
        <v>0.51</v>
      </c>
      <c r="AS107" s="526">
        <f t="shared" si="98"/>
        <v>0.51</v>
      </c>
      <c r="AT107" s="526">
        <f t="shared" si="98"/>
        <v>0.51</v>
      </c>
      <c r="AU107" s="526">
        <f t="shared" si="98"/>
        <v>0.51</v>
      </c>
      <c r="AV107" s="526">
        <f t="shared" si="98"/>
        <v>0.51</v>
      </c>
      <c r="AW107" s="526">
        <f t="shared" si="98"/>
        <v>0.51</v>
      </c>
      <c r="AX107" s="526">
        <f t="shared" si="97"/>
        <v>0.51</v>
      </c>
      <c r="AY107" s="526">
        <f t="shared" si="97"/>
        <v>0.51</v>
      </c>
      <c r="AZ107" s="526">
        <f t="shared" si="97"/>
        <v>0.51</v>
      </c>
      <c r="BA107" s="526">
        <f t="shared" si="97"/>
        <v>0.51</v>
      </c>
      <c r="BB107" s="526">
        <f t="shared" si="97"/>
        <v>0.51</v>
      </c>
      <c r="BC107" s="526">
        <f t="shared" si="97"/>
        <v>0.51</v>
      </c>
      <c r="BD107" s="526">
        <f t="shared" si="97"/>
        <v>0.51</v>
      </c>
      <c r="BE107" s="526">
        <f t="shared" si="97"/>
        <v>0.51</v>
      </c>
      <c r="BF107" s="526">
        <f t="shared" si="97"/>
        <v>0.51</v>
      </c>
      <c r="BG107" s="526">
        <f t="shared" si="97"/>
        <v>0.51</v>
      </c>
      <c r="BH107" s="526">
        <f t="shared" si="97"/>
        <v>0.51</v>
      </c>
      <c r="BI107" s="526">
        <f t="shared" si="97"/>
        <v>0.51</v>
      </c>
      <c r="BJ107" s="526">
        <f t="shared" si="97"/>
        <v>0.51</v>
      </c>
      <c r="BK107" s="526">
        <f t="shared" si="97"/>
        <v>0.51</v>
      </c>
      <c r="BL107" s="526">
        <f t="shared" si="97"/>
        <v>0.51</v>
      </c>
      <c r="BM107" s="526">
        <f t="shared" si="97"/>
        <v>0.51</v>
      </c>
      <c r="BN107" s="526">
        <f t="shared" si="97"/>
        <v>0.51</v>
      </c>
      <c r="BO107" s="526">
        <f t="shared" si="97"/>
        <v>0.51</v>
      </c>
      <c r="BP107" s="526">
        <f t="shared" si="97"/>
        <v>0.51</v>
      </c>
      <c r="BQ107" s="526">
        <f t="shared" si="97"/>
        <v>0.51</v>
      </c>
      <c r="BR107" s="526">
        <f t="shared" si="97"/>
        <v>0.51</v>
      </c>
      <c r="BS107" s="526">
        <f t="shared" si="97"/>
        <v>0.51</v>
      </c>
      <c r="BT107" s="526">
        <f t="shared" si="97"/>
        <v>0.51</v>
      </c>
      <c r="BU107" s="526">
        <f t="shared" si="97"/>
        <v>0.51</v>
      </c>
      <c r="BV107" s="526">
        <f t="shared" si="97"/>
        <v>0.51</v>
      </c>
      <c r="BW107" s="526">
        <f t="shared" si="97"/>
        <v>0.51</v>
      </c>
      <c r="BX107" s="526">
        <f t="shared" si="97"/>
        <v>0.51</v>
      </c>
      <c r="BY107" s="526">
        <f t="shared" si="97"/>
        <v>0.51</v>
      </c>
      <c r="BZ107" s="526">
        <f t="shared" si="97"/>
        <v>0.51</v>
      </c>
      <c r="CA107" s="526">
        <f t="shared" si="97"/>
        <v>0.51</v>
      </c>
      <c r="CB107" s="526">
        <f t="shared" si="97"/>
        <v>0.51</v>
      </c>
      <c r="CC107" s="526">
        <f t="shared" si="97"/>
        <v>0.51</v>
      </c>
      <c r="CD107" s="526">
        <f t="shared" si="97"/>
        <v>0.51</v>
      </c>
      <c r="CE107" s="526">
        <f t="shared" si="97"/>
        <v>0.51</v>
      </c>
      <c r="CG107" s="537">
        <v>0.51</v>
      </c>
      <c r="CH107" s="537">
        <v>0.51</v>
      </c>
      <c r="CI107" s="537">
        <v>0.51</v>
      </c>
      <c r="CJ107" s="537">
        <v>0.51</v>
      </c>
      <c r="CK107" s="537">
        <v>0.51</v>
      </c>
      <c r="CL107" s="537">
        <v>0.51</v>
      </c>
      <c r="CM107" s="537">
        <v>0.51</v>
      </c>
      <c r="CN107" s="537">
        <v>0.51</v>
      </c>
      <c r="CO107" s="537">
        <v>0.51</v>
      </c>
      <c r="CP107" s="537">
        <v>0.51</v>
      </c>
      <c r="CQ107" s="537">
        <v>0.51</v>
      </c>
      <c r="CR107" s="537">
        <v>0.51</v>
      </c>
      <c r="CS107" s="537">
        <v>0.51</v>
      </c>
      <c r="CT107" s="537">
        <v>0.51</v>
      </c>
      <c r="CU107" s="537">
        <v>0.51</v>
      </c>
      <c r="CV107" s="537">
        <v>0.51</v>
      </c>
      <c r="CW107" s="537">
        <v>0.51</v>
      </c>
      <c r="CX107" s="537">
        <v>0.51</v>
      </c>
      <c r="CY107" s="537">
        <v>0.51</v>
      </c>
      <c r="CZ107" s="537">
        <v>0.51</v>
      </c>
      <c r="DA107" s="537">
        <v>0.51</v>
      </c>
      <c r="DB107" s="537">
        <v>0.51</v>
      </c>
      <c r="DC107" s="537">
        <v>0.51</v>
      </c>
      <c r="DD107" s="537">
        <v>0.51</v>
      </c>
      <c r="DE107" s="537">
        <v>0.51</v>
      </c>
      <c r="DF107" s="537">
        <v>0.51</v>
      </c>
      <c r="DG107" s="537">
        <v>0.51</v>
      </c>
      <c r="DH107" s="537">
        <v>0.51</v>
      </c>
    </row>
    <row r="108" spans="2:112">
      <c r="B108" t="s">
        <v>996</v>
      </c>
      <c r="C108" t="s">
        <v>272</v>
      </c>
      <c r="D108" t="s">
        <v>888</v>
      </c>
      <c r="E108" t="s">
        <v>178</v>
      </c>
      <c r="F108" s="537">
        <v>0.51</v>
      </c>
      <c r="G108" s="537">
        <v>0.51</v>
      </c>
      <c r="H108" s="537">
        <v>0.51</v>
      </c>
      <c r="I108" s="537">
        <v>0.51</v>
      </c>
      <c r="J108" s="537">
        <v>0.51</v>
      </c>
      <c r="K108" s="537">
        <v>0.51</v>
      </c>
      <c r="L108" s="537">
        <v>0.51</v>
      </c>
      <c r="M108" s="537">
        <v>0.51</v>
      </c>
      <c r="N108" s="537">
        <v>0.51</v>
      </c>
      <c r="O108" s="537">
        <v>0.51</v>
      </c>
      <c r="P108" s="537">
        <v>0.51</v>
      </c>
      <c r="Q108" s="537">
        <v>0.51</v>
      </c>
      <c r="R108" s="537">
        <v>0.51</v>
      </c>
      <c r="S108" s="537">
        <v>0.51</v>
      </c>
      <c r="T108" s="537">
        <v>0.51</v>
      </c>
      <c r="U108" s="537">
        <v>0.51</v>
      </c>
      <c r="V108" s="537">
        <v>0.51</v>
      </c>
      <c r="W108" s="537">
        <v>0.51</v>
      </c>
      <c r="X108" s="537">
        <v>0.51</v>
      </c>
      <c r="Y108" s="537">
        <v>0.51</v>
      </c>
      <c r="Z108" s="537">
        <v>0.51</v>
      </c>
      <c r="AA108" s="537">
        <v>0.51</v>
      </c>
      <c r="AB108" s="537">
        <v>0.51</v>
      </c>
      <c r="AC108" s="537">
        <v>0.51</v>
      </c>
      <c r="AD108" s="537">
        <v>0.51</v>
      </c>
      <c r="AE108" s="537">
        <v>0.51</v>
      </c>
      <c r="AF108" s="537">
        <v>0.51</v>
      </c>
      <c r="AG108" s="537">
        <v>0.51</v>
      </c>
      <c r="AH108" s="526">
        <f t="shared" si="98"/>
        <v>0.51</v>
      </c>
      <c r="AI108" s="526">
        <f t="shared" si="98"/>
        <v>0.51</v>
      </c>
      <c r="AJ108" s="526">
        <f t="shared" si="98"/>
        <v>0.51</v>
      </c>
      <c r="AK108" s="526">
        <f t="shared" si="98"/>
        <v>0.51</v>
      </c>
      <c r="AL108" s="526">
        <f t="shared" si="98"/>
        <v>0.51</v>
      </c>
      <c r="AM108" s="526">
        <f t="shared" si="98"/>
        <v>0.51</v>
      </c>
      <c r="AN108" s="526">
        <f t="shared" si="98"/>
        <v>0.51</v>
      </c>
      <c r="AO108" s="526">
        <f t="shared" si="98"/>
        <v>0.51</v>
      </c>
      <c r="AP108" s="526">
        <f t="shared" si="98"/>
        <v>0.51</v>
      </c>
      <c r="AQ108" s="526">
        <f t="shared" si="98"/>
        <v>0.51</v>
      </c>
      <c r="AR108" s="526">
        <f t="shared" si="98"/>
        <v>0.51</v>
      </c>
      <c r="AS108" s="526">
        <f t="shared" si="98"/>
        <v>0.51</v>
      </c>
      <c r="AT108" s="526">
        <f t="shared" si="98"/>
        <v>0.51</v>
      </c>
      <c r="AU108" s="526">
        <f t="shared" si="98"/>
        <v>0.51</v>
      </c>
      <c r="AV108" s="526">
        <f t="shared" si="98"/>
        <v>0.51</v>
      </c>
      <c r="AW108" s="526">
        <f t="shared" si="98"/>
        <v>0.51</v>
      </c>
      <c r="AX108" s="526">
        <f t="shared" si="97"/>
        <v>0.51</v>
      </c>
      <c r="AY108" s="526">
        <f t="shared" si="97"/>
        <v>0.51</v>
      </c>
      <c r="AZ108" s="526">
        <f t="shared" si="97"/>
        <v>0.51</v>
      </c>
      <c r="BA108" s="526">
        <f t="shared" si="97"/>
        <v>0.51</v>
      </c>
      <c r="BB108" s="526">
        <f t="shared" si="97"/>
        <v>0.51</v>
      </c>
      <c r="BC108" s="526">
        <f t="shared" si="97"/>
        <v>0.51</v>
      </c>
      <c r="BD108" s="526">
        <f t="shared" si="97"/>
        <v>0.51</v>
      </c>
      <c r="BE108" s="526">
        <f t="shared" si="97"/>
        <v>0.51</v>
      </c>
      <c r="BF108" s="526">
        <f t="shared" si="97"/>
        <v>0.51</v>
      </c>
      <c r="BG108" s="526">
        <f t="shared" si="97"/>
        <v>0.51</v>
      </c>
      <c r="BH108" s="526">
        <f t="shared" si="97"/>
        <v>0.51</v>
      </c>
      <c r="BI108" s="526">
        <f t="shared" si="97"/>
        <v>0.51</v>
      </c>
      <c r="BJ108" s="526">
        <f t="shared" si="97"/>
        <v>0.51</v>
      </c>
      <c r="BK108" s="526">
        <f t="shared" si="97"/>
        <v>0.51</v>
      </c>
      <c r="BL108" s="526">
        <f t="shared" si="97"/>
        <v>0.51</v>
      </c>
      <c r="BM108" s="526">
        <f t="shared" si="97"/>
        <v>0.51</v>
      </c>
      <c r="BN108" s="526">
        <f t="shared" si="97"/>
        <v>0.51</v>
      </c>
      <c r="BO108" s="526">
        <f t="shared" si="97"/>
        <v>0.51</v>
      </c>
      <c r="BP108" s="526">
        <f t="shared" si="97"/>
        <v>0.51</v>
      </c>
      <c r="BQ108" s="526">
        <f t="shared" si="97"/>
        <v>0.51</v>
      </c>
      <c r="BR108" s="526">
        <f t="shared" si="97"/>
        <v>0.51</v>
      </c>
      <c r="BS108" s="526">
        <f t="shared" si="97"/>
        <v>0.51</v>
      </c>
      <c r="BT108" s="526">
        <f t="shared" si="97"/>
        <v>0.51</v>
      </c>
      <c r="BU108" s="526">
        <f t="shared" si="97"/>
        <v>0.51</v>
      </c>
      <c r="BV108" s="526">
        <f t="shared" si="97"/>
        <v>0.51</v>
      </c>
      <c r="BW108" s="526">
        <f t="shared" si="97"/>
        <v>0.51</v>
      </c>
      <c r="BX108" s="526">
        <f t="shared" si="97"/>
        <v>0.51</v>
      </c>
      <c r="BY108" s="526">
        <f t="shared" si="97"/>
        <v>0.51</v>
      </c>
      <c r="BZ108" s="526">
        <f t="shared" si="97"/>
        <v>0.51</v>
      </c>
      <c r="CA108" s="526">
        <f t="shared" si="97"/>
        <v>0.51</v>
      </c>
      <c r="CB108" s="526">
        <f t="shared" si="97"/>
        <v>0.51</v>
      </c>
      <c r="CC108" s="526">
        <f t="shared" si="97"/>
        <v>0.51</v>
      </c>
      <c r="CD108" s="526">
        <f t="shared" si="97"/>
        <v>0.51</v>
      </c>
      <c r="CE108" s="526">
        <f t="shared" si="97"/>
        <v>0.51</v>
      </c>
      <c r="CG108" s="537">
        <v>0.51</v>
      </c>
      <c r="CH108" s="537">
        <v>0.51</v>
      </c>
      <c r="CI108" s="537">
        <v>0.51</v>
      </c>
      <c r="CJ108" s="537">
        <v>0.51</v>
      </c>
      <c r="CK108" s="537">
        <v>0.51</v>
      </c>
      <c r="CL108" s="537">
        <v>0.51</v>
      </c>
      <c r="CM108" s="537">
        <v>0.51</v>
      </c>
      <c r="CN108" s="537">
        <v>0.51</v>
      </c>
      <c r="CO108" s="537">
        <v>0.51</v>
      </c>
      <c r="CP108" s="537">
        <v>0.51</v>
      </c>
      <c r="CQ108" s="537">
        <v>0.51</v>
      </c>
      <c r="CR108" s="537">
        <v>0.51</v>
      </c>
      <c r="CS108" s="537">
        <v>0.51</v>
      </c>
      <c r="CT108" s="537">
        <v>0.51</v>
      </c>
      <c r="CU108" s="537">
        <v>0.51</v>
      </c>
      <c r="CV108" s="537">
        <v>0.51</v>
      </c>
      <c r="CW108" s="537">
        <v>0.51</v>
      </c>
      <c r="CX108" s="537">
        <v>0.51</v>
      </c>
      <c r="CY108" s="537">
        <v>0.51</v>
      </c>
      <c r="CZ108" s="537">
        <v>0.51</v>
      </c>
      <c r="DA108" s="537">
        <v>0.51</v>
      </c>
      <c r="DB108" s="537">
        <v>0.51</v>
      </c>
      <c r="DC108" s="537">
        <v>0.51</v>
      </c>
      <c r="DD108" s="537">
        <v>0.51</v>
      </c>
      <c r="DE108" s="537">
        <v>0.51</v>
      </c>
      <c r="DF108" s="537">
        <v>0.51</v>
      </c>
      <c r="DG108" s="537">
        <v>0.51</v>
      </c>
      <c r="DH108" s="537">
        <v>0.51</v>
      </c>
    </row>
    <row r="109" spans="2:112">
      <c r="B109" t="s">
        <v>997</v>
      </c>
      <c r="C109" t="s">
        <v>272</v>
      </c>
      <c r="D109" t="s">
        <v>890</v>
      </c>
      <c r="E109" t="s">
        <v>178</v>
      </c>
      <c r="F109" s="537">
        <v>0.51</v>
      </c>
      <c r="G109" s="537">
        <v>0.51</v>
      </c>
      <c r="H109" s="537">
        <v>0.51</v>
      </c>
      <c r="I109" s="537">
        <v>0.51</v>
      </c>
      <c r="J109" s="537">
        <v>0.51</v>
      </c>
      <c r="K109" s="537">
        <v>0.51</v>
      </c>
      <c r="L109" s="537">
        <v>0.51</v>
      </c>
      <c r="M109" s="537">
        <v>0.51</v>
      </c>
      <c r="N109" s="537">
        <v>0.51</v>
      </c>
      <c r="O109" s="537">
        <v>0.51</v>
      </c>
      <c r="P109" s="537">
        <v>0.51</v>
      </c>
      <c r="Q109" s="537">
        <v>0.51</v>
      </c>
      <c r="R109" s="537">
        <v>0.51</v>
      </c>
      <c r="S109" s="537">
        <v>0.51</v>
      </c>
      <c r="T109" s="537">
        <v>0.51</v>
      </c>
      <c r="U109" s="537">
        <v>0.51</v>
      </c>
      <c r="V109" s="537">
        <v>0.51</v>
      </c>
      <c r="W109" s="537">
        <v>0.51</v>
      </c>
      <c r="X109" s="537">
        <v>0.51</v>
      </c>
      <c r="Y109" s="537">
        <v>0.51</v>
      </c>
      <c r="Z109" s="537">
        <v>0.51</v>
      </c>
      <c r="AA109" s="537">
        <v>0.51</v>
      </c>
      <c r="AB109" s="537">
        <v>0.51</v>
      </c>
      <c r="AC109" s="537">
        <v>0.51</v>
      </c>
      <c r="AD109" s="537">
        <v>0.51</v>
      </c>
      <c r="AE109" s="537">
        <v>0.51</v>
      </c>
      <c r="AF109" s="537">
        <v>0.51</v>
      </c>
      <c r="AG109" s="537">
        <v>0.51</v>
      </c>
      <c r="AH109" s="526">
        <f t="shared" si="98"/>
        <v>0.51</v>
      </c>
      <c r="AI109" s="526">
        <f t="shared" si="98"/>
        <v>0.51</v>
      </c>
      <c r="AJ109" s="526">
        <f t="shared" si="98"/>
        <v>0.51</v>
      </c>
      <c r="AK109" s="526">
        <f t="shared" si="98"/>
        <v>0.51</v>
      </c>
      <c r="AL109" s="526">
        <f t="shared" si="98"/>
        <v>0.51</v>
      </c>
      <c r="AM109" s="526">
        <f t="shared" si="98"/>
        <v>0.51</v>
      </c>
      <c r="AN109" s="526">
        <f t="shared" si="98"/>
        <v>0.51</v>
      </c>
      <c r="AO109" s="526">
        <f t="shared" si="98"/>
        <v>0.51</v>
      </c>
      <c r="AP109" s="526">
        <f t="shared" si="98"/>
        <v>0.51</v>
      </c>
      <c r="AQ109" s="526">
        <f t="shared" si="98"/>
        <v>0.51</v>
      </c>
      <c r="AR109" s="526">
        <f t="shared" si="98"/>
        <v>0.51</v>
      </c>
      <c r="AS109" s="526">
        <f t="shared" si="98"/>
        <v>0.51</v>
      </c>
      <c r="AT109" s="526">
        <f t="shared" si="98"/>
        <v>0.51</v>
      </c>
      <c r="AU109" s="526">
        <f t="shared" si="98"/>
        <v>0.51</v>
      </c>
      <c r="AV109" s="526">
        <f t="shared" si="98"/>
        <v>0.51</v>
      </c>
      <c r="AW109" s="526">
        <f t="shared" si="98"/>
        <v>0.51</v>
      </c>
      <c r="AX109" s="526">
        <f t="shared" si="97"/>
        <v>0.51</v>
      </c>
      <c r="AY109" s="526">
        <f t="shared" si="97"/>
        <v>0.51</v>
      </c>
      <c r="AZ109" s="526">
        <f t="shared" si="97"/>
        <v>0.51</v>
      </c>
      <c r="BA109" s="526">
        <f t="shared" si="97"/>
        <v>0.51</v>
      </c>
      <c r="BB109" s="526">
        <f t="shared" si="97"/>
        <v>0.51</v>
      </c>
      <c r="BC109" s="526">
        <f t="shared" si="97"/>
        <v>0.51</v>
      </c>
      <c r="BD109" s="526">
        <f t="shared" si="97"/>
        <v>0.51</v>
      </c>
      <c r="BE109" s="526">
        <f t="shared" si="97"/>
        <v>0.51</v>
      </c>
      <c r="BF109" s="526">
        <f t="shared" si="97"/>
        <v>0.51</v>
      </c>
      <c r="BG109" s="526">
        <f t="shared" si="97"/>
        <v>0.51</v>
      </c>
      <c r="BH109" s="526">
        <f t="shared" si="97"/>
        <v>0.51</v>
      </c>
      <c r="BI109" s="526">
        <f t="shared" si="97"/>
        <v>0.51</v>
      </c>
      <c r="BJ109" s="526">
        <f t="shared" si="97"/>
        <v>0.51</v>
      </c>
      <c r="BK109" s="526">
        <f t="shared" si="97"/>
        <v>0.51</v>
      </c>
      <c r="BL109" s="526">
        <f t="shared" si="97"/>
        <v>0.51</v>
      </c>
      <c r="BM109" s="526">
        <f t="shared" si="97"/>
        <v>0.51</v>
      </c>
      <c r="BN109" s="526">
        <f t="shared" si="97"/>
        <v>0.51</v>
      </c>
      <c r="BO109" s="526">
        <f t="shared" si="97"/>
        <v>0.51</v>
      </c>
      <c r="BP109" s="526">
        <f t="shared" si="97"/>
        <v>0.51</v>
      </c>
      <c r="BQ109" s="526">
        <f t="shared" si="97"/>
        <v>0.51</v>
      </c>
      <c r="BR109" s="526">
        <f t="shared" si="97"/>
        <v>0.51</v>
      </c>
      <c r="BS109" s="526">
        <f t="shared" si="97"/>
        <v>0.51</v>
      </c>
      <c r="BT109" s="526">
        <f t="shared" si="97"/>
        <v>0.51</v>
      </c>
      <c r="BU109" s="526">
        <f t="shared" si="97"/>
        <v>0.51</v>
      </c>
      <c r="BV109" s="526">
        <f t="shared" si="97"/>
        <v>0.51</v>
      </c>
      <c r="BW109" s="526">
        <f t="shared" si="97"/>
        <v>0.51</v>
      </c>
      <c r="BX109" s="526">
        <f t="shared" si="97"/>
        <v>0.51</v>
      </c>
      <c r="BY109" s="526">
        <f t="shared" si="97"/>
        <v>0.51</v>
      </c>
      <c r="BZ109" s="526">
        <f t="shared" si="97"/>
        <v>0.51</v>
      </c>
      <c r="CA109" s="526">
        <f t="shared" si="97"/>
        <v>0.51</v>
      </c>
      <c r="CB109" s="526">
        <f t="shared" si="97"/>
        <v>0.51</v>
      </c>
      <c r="CC109" s="526">
        <f t="shared" si="97"/>
        <v>0.51</v>
      </c>
      <c r="CD109" s="526">
        <f t="shared" si="97"/>
        <v>0.51</v>
      </c>
      <c r="CE109" s="526">
        <f t="shared" si="97"/>
        <v>0.51</v>
      </c>
      <c r="CG109" s="537">
        <v>0.51</v>
      </c>
      <c r="CH109" s="537">
        <v>0.51</v>
      </c>
      <c r="CI109" s="537">
        <v>0.51</v>
      </c>
      <c r="CJ109" s="537">
        <v>0.51</v>
      </c>
      <c r="CK109" s="537">
        <v>0.51</v>
      </c>
      <c r="CL109" s="537">
        <v>0.51</v>
      </c>
      <c r="CM109" s="537">
        <v>0.51</v>
      </c>
      <c r="CN109" s="537">
        <v>0.51</v>
      </c>
      <c r="CO109" s="537">
        <v>0.51</v>
      </c>
      <c r="CP109" s="537">
        <v>0.51</v>
      </c>
      <c r="CQ109" s="537">
        <v>0.51</v>
      </c>
      <c r="CR109" s="537">
        <v>0.51</v>
      </c>
      <c r="CS109" s="537">
        <v>0.51</v>
      </c>
      <c r="CT109" s="537">
        <v>0.51</v>
      </c>
      <c r="CU109" s="537">
        <v>0.51</v>
      </c>
      <c r="CV109" s="537">
        <v>0.51</v>
      </c>
      <c r="CW109" s="537">
        <v>0.51</v>
      </c>
      <c r="CX109" s="537">
        <v>0.51</v>
      </c>
      <c r="CY109" s="537">
        <v>0.51</v>
      </c>
      <c r="CZ109" s="537">
        <v>0.51</v>
      </c>
      <c r="DA109" s="537">
        <v>0.51</v>
      </c>
      <c r="DB109" s="537">
        <v>0.51</v>
      </c>
      <c r="DC109" s="537">
        <v>0.51</v>
      </c>
      <c r="DD109" s="537">
        <v>0.51</v>
      </c>
      <c r="DE109" s="537">
        <v>0.51</v>
      </c>
      <c r="DF109" s="537">
        <v>0.51</v>
      </c>
      <c r="DG109" s="537">
        <v>0.51</v>
      </c>
      <c r="DH109" s="537">
        <v>0.51</v>
      </c>
    </row>
    <row r="110" spans="2:112">
      <c r="B110" t="s">
        <v>998</v>
      </c>
      <c r="C110" t="s">
        <v>272</v>
      </c>
      <c r="D110" t="s">
        <v>892</v>
      </c>
      <c r="E110" t="s">
        <v>178</v>
      </c>
      <c r="F110" s="537">
        <v>0.51</v>
      </c>
      <c r="G110" s="537">
        <v>0.51</v>
      </c>
      <c r="H110" s="537">
        <v>0.51</v>
      </c>
      <c r="I110" s="537">
        <v>0.51</v>
      </c>
      <c r="J110" s="537">
        <v>0.51</v>
      </c>
      <c r="K110" s="537">
        <v>0.51</v>
      </c>
      <c r="L110" s="537">
        <v>0.51</v>
      </c>
      <c r="M110" s="537">
        <v>0.51</v>
      </c>
      <c r="N110" s="537">
        <v>0.51</v>
      </c>
      <c r="O110" s="537">
        <v>0.51</v>
      </c>
      <c r="P110" s="537">
        <v>0.51</v>
      </c>
      <c r="Q110" s="537">
        <v>0.51</v>
      </c>
      <c r="R110" s="537">
        <v>0.51</v>
      </c>
      <c r="S110" s="537">
        <v>0.51</v>
      </c>
      <c r="T110" s="537">
        <v>0.51</v>
      </c>
      <c r="U110" s="537">
        <v>0.51</v>
      </c>
      <c r="V110" s="537">
        <v>0.51</v>
      </c>
      <c r="W110" s="537">
        <v>0.51</v>
      </c>
      <c r="X110" s="537">
        <v>0.51</v>
      </c>
      <c r="Y110" s="537">
        <v>0.51</v>
      </c>
      <c r="Z110" s="537">
        <v>0.51</v>
      </c>
      <c r="AA110" s="537">
        <v>0.51</v>
      </c>
      <c r="AB110" s="537">
        <v>0.51</v>
      </c>
      <c r="AC110" s="537">
        <v>0.51</v>
      </c>
      <c r="AD110" s="537">
        <v>0.51</v>
      </c>
      <c r="AE110" s="537">
        <v>0.51</v>
      </c>
      <c r="AF110" s="537">
        <v>0.51</v>
      </c>
      <c r="AG110" s="537">
        <v>0.51</v>
      </c>
      <c r="AH110" s="526">
        <f t="shared" si="98"/>
        <v>0.51</v>
      </c>
      <c r="AI110" s="526">
        <f t="shared" si="98"/>
        <v>0.51</v>
      </c>
      <c r="AJ110" s="526">
        <f t="shared" si="98"/>
        <v>0.51</v>
      </c>
      <c r="AK110" s="526">
        <f t="shared" si="98"/>
        <v>0.51</v>
      </c>
      <c r="AL110" s="526">
        <f t="shared" si="98"/>
        <v>0.51</v>
      </c>
      <c r="AM110" s="526">
        <f t="shared" si="98"/>
        <v>0.51</v>
      </c>
      <c r="AN110" s="526">
        <f t="shared" si="98"/>
        <v>0.51</v>
      </c>
      <c r="AO110" s="526">
        <f t="shared" si="98"/>
        <v>0.51</v>
      </c>
      <c r="AP110" s="526">
        <f t="shared" si="98"/>
        <v>0.51</v>
      </c>
      <c r="AQ110" s="526">
        <f t="shared" si="98"/>
        <v>0.51</v>
      </c>
      <c r="AR110" s="526">
        <f t="shared" si="98"/>
        <v>0.51</v>
      </c>
      <c r="AS110" s="526">
        <f t="shared" si="98"/>
        <v>0.51</v>
      </c>
      <c r="AT110" s="526">
        <f t="shared" si="98"/>
        <v>0.51</v>
      </c>
      <c r="AU110" s="526">
        <f t="shared" si="98"/>
        <v>0.51</v>
      </c>
      <c r="AV110" s="526">
        <f t="shared" si="98"/>
        <v>0.51</v>
      </c>
      <c r="AW110" s="526">
        <f t="shared" si="98"/>
        <v>0.51</v>
      </c>
      <c r="AX110" s="526">
        <f t="shared" si="97"/>
        <v>0.51</v>
      </c>
      <c r="AY110" s="526">
        <f t="shared" si="97"/>
        <v>0.51</v>
      </c>
      <c r="AZ110" s="526">
        <f t="shared" si="97"/>
        <v>0.51</v>
      </c>
      <c r="BA110" s="526">
        <f t="shared" si="97"/>
        <v>0.51</v>
      </c>
      <c r="BB110" s="526">
        <f t="shared" si="97"/>
        <v>0.51</v>
      </c>
      <c r="BC110" s="526">
        <f t="shared" si="97"/>
        <v>0.51</v>
      </c>
      <c r="BD110" s="526">
        <f t="shared" si="97"/>
        <v>0.51</v>
      </c>
      <c r="BE110" s="526">
        <f t="shared" si="97"/>
        <v>0.51</v>
      </c>
      <c r="BF110" s="526">
        <f t="shared" si="97"/>
        <v>0.51</v>
      </c>
      <c r="BG110" s="526">
        <f t="shared" si="97"/>
        <v>0.51</v>
      </c>
      <c r="BH110" s="526">
        <f t="shared" si="97"/>
        <v>0.51</v>
      </c>
      <c r="BI110" s="526">
        <f t="shared" si="97"/>
        <v>0.51</v>
      </c>
      <c r="BJ110" s="526">
        <f t="shared" si="97"/>
        <v>0.51</v>
      </c>
      <c r="BK110" s="526">
        <f t="shared" si="97"/>
        <v>0.51</v>
      </c>
      <c r="BL110" s="526">
        <f t="shared" si="97"/>
        <v>0.51</v>
      </c>
      <c r="BM110" s="526">
        <f t="shared" si="97"/>
        <v>0.51</v>
      </c>
      <c r="BN110" s="526">
        <f t="shared" si="97"/>
        <v>0.51</v>
      </c>
      <c r="BO110" s="526">
        <f t="shared" si="97"/>
        <v>0.51</v>
      </c>
      <c r="BP110" s="526">
        <f t="shared" si="97"/>
        <v>0.51</v>
      </c>
      <c r="BQ110" s="526">
        <f t="shared" si="97"/>
        <v>0.51</v>
      </c>
      <c r="BR110" s="526">
        <f t="shared" si="97"/>
        <v>0.51</v>
      </c>
      <c r="BS110" s="526">
        <f t="shared" si="97"/>
        <v>0.51</v>
      </c>
      <c r="BT110" s="526">
        <f t="shared" si="97"/>
        <v>0.51</v>
      </c>
      <c r="BU110" s="526">
        <f t="shared" si="97"/>
        <v>0.51</v>
      </c>
      <c r="BV110" s="526">
        <f t="shared" si="97"/>
        <v>0.51</v>
      </c>
      <c r="BW110" s="526">
        <f t="shared" si="97"/>
        <v>0.51</v>
      </c>
      <c r="BX110" s="526">
        <f t="shared" si="97"/>
        <v>0.51</v>
      </c>
      <c r="BY110" s="526">
        <f t="shared" si="97"/>
        <v>0.51</v>
      </c>
      <c r="BZ110" s="526">
        <f t="shared" si="97"/>
        <v>0.51</v>
      </c>
      <c r="CA110" s="526">
        <f t="shared" si="97"/>
        <v>0.51</v>
      </c>
      <c r="CB110" s="526">
        <f t="shared" si="97"/>
        <v>0.51</v>
      </c>
      <c r="CC110" s="526">
        <f t="shared" si="97"/>
        <v>0.51</v>
      </c>
      <c r="CD110" s="526">
        <f t="shared" si="97"/>
        <v>0.51</v>
      </c>
      <c r="CE110" s="526">
        <f t="shared" si="97"/>
        <v>0.51</v>
      </c>
      <c r="CG110" s="537">
        <v>0.51</v>
      </c>
      <c r="CH110" s="537">
        <v>0.51</v>
      </c>
      <c r="CI110" s="537">
        <v>0.51</v>
      </c>
      <c r="CJ110" s="537">
        <v>0.51</v>
      </c>
      <c r="CK110" s="537">
        <v>0.51</v>
      </c>
      <c r="CL110" s="537">
        <v>0.51</v>
      </c>
      <c r="CM110" s="537">
        <v>0.51</v>
      </c>
      <c r="CN110" s="537">
        <v>0.51</v>
      </c>
      <c r="CO110" s="537">
        <v>0.51</v>
      </c>
      <c r="CP110" s="537">
        <v>0.51</v>
      </c>
      <c r="CQ110" s="537">
        <v>0.51</v>
      </c>
      <c r="CR110" s="537">
        <v>0.51</v>
      </c>
      <c r="CS110" s="537">
        <v>0.51</v>
      </c>
      <c r="CT110" s="537">
        <v>0.51</v>
      </c>
      <c r="CU110" s="537">
        <v>0.51</v>
      </c>
      <c r="CV110" s="537">
        <v>0.51</v>
      </c>
      <c r="CW110" s="537">
        <v>0.51</v>
      </c>
      <c r="CX110" s="537">
        <v>0.51</v>
      </c>
      <c r="CY110" s="537">
        <v>0.51</v>
      </c>
      <c r="CZ110" s="537">
        <v>0.51</v>
      </c>
      <c r="DA110" s="537">
        <v>0.51</v>
      </c>
      <c r="DB110" s="537">
        <v>0.51</v>
      </c>
      <c r="DC110" s="537">
        <v>0.51</v>
      </c>
      <c r="DD110" s="537">
        <v>0.51</v>
      </c>
      <c r="DE110" s="537">
        <v>0.51</v>
      </c>
      <c r="DF110" s="537">
        <v>0.51</v>
      </c>
      <c r="DG110" s="537">
        <v>0.51</v>
      </c>
      <c r="DH110" s="537">
        <v>0.51</v>
      </c>
    </row>
    <row r="111" spans="2:112">
      <c r="B111" t="s">
        <v>999</v>
      </c>
      <c r="C111" t="s">
        <v>272</v>
      </c>
      <c r="D111" t="s">
        <v>894</v>
      </c>
      <c r="E111" t="s">
        <v>895</v>
      </c>
      <c r="F111" s="537">
        <v>0</v>
      </c>
      <c r="G111" s="537">
        <v>0</v>
      </c>
      <c r="H111" s="537">
        <v>0</v>
      </c>
      <c r="I111" s="537">
        <v>0</v>
      </c>
      <c r="J111" s="537">
        <v>0</v>
      </c>
      <c r="K111" s="537">
        <v>0</v>
      </c>
      <c r="L111" s="537">
        <v>0</v>
      </c>
      <c r="M111" s="537">
        <v>0</v>
      </c>
      <c r="N111" s="537">
        <v>0</v>
      </c>
      <c r="O111" s="537">
        <v>0</v>
      </c>
      <c r="P111" s="537">
        <v>0</v>
      </c>
      <c r="Q111" s="537">
        <v>0</v>
      </c>
      <c r="R111" s="537">
        <v>0</v>
      </c>
      <c r="S111" s="537">
        <v>0</v>
      </c>
      <c r="T111" s="537">
        <v>0</v>
      </c>
      <c r="U111" s="537">
        <v>0</v>
      </c>
      <c r="V111" s="537">
        <v>0</v>
      </c>
      <c r="W111" s="537">
        <v>0</v>
      </c>
      <c r="X111" s="537">
        <v>0</v>
      </c>
      <c r="Y111" s="537">
        <v>0</v>
      </c>
      <c r="Z111" s="537">
        <v>0</v>
      </c>
      <c r="AA111" s="537">
        <v>0</v>
      </c>
      <c r="AB111" s="537">
        <v>0</v>
      </c>
      <c r="AC111" s="537">
        <v>0</v>
      </c>
      <c r="AD111" s="537">
        <v>0</v>
      </c>
      <c r="AE111" s="537">
        <v>0</v>
      </c>
      <c r="AF111" s="537">
        <v>0</v>
      </c>
      <c r="AG111" s="537">
        <v>0</v>
      </c>
      <c r="AH111" s="538">
        <f t="shared" si="98"/>
        <v>0</v>
      </c>
      <c r="AI111" s="538">
        <f t="shared" si="98"/>
        <v>0</v>
      </c>
      <c r="AJ111" s="538">
        <f t="shared" si="98"/>
        <v>0</v>
      </c>
      <c r="AK111" s="538">
        <f t="shared" si="98"/>
        <v>0</v>
      </c>
      <c r="AL111" s="538">
        <f t="shared" si="98"/>
        <v>0</v>
      </c>
      <c r="AM111" s="538">
        <f t="shared" si="98"/>
        <v>0</v>
      </c>
      <c r="AN111" s="538">
        <f t="shared" si="98"/>
        <v>0</v>
      </c>
      <c r="AO111" s="538">
        <f t="shared" si="98"/>
        <v>0</v>
      </c>
      <c r="AP111" s="538">
        <f t="shared" si="98"/>
        <v>0</v>
      </c>
      <c r="AQ111" s="538">
        <f t="shared" si="98"/>
        <v>0</v>
      </c>
      <c r="AR111" s="538">
        <f t="shared" si="98"/>
        <v>0</v>
      </c>
      <c r="AS111" s="538">
        <f t="shared" si="98"/>
        <v>0</v>
      </c>
      <c r="AT111" s="538">
        <f t="shared" si="98"/>
        <v>0</v>
      </c>
      <c r="AU111" s="538">
        <f t="shared" si="98"/>
        <v>0</v>
      </c>
      <c r="AV111" s="538">
        <f t="shared" si="98"/>
        <v>0</v>
      </c>
      <c r="AW111" s="538">
        <f t="shared" si="98"/>
        <v>0</v>
      </c>
      <c r="AX111" s="538">
        <f t="shared" si="97"/>
        <v>0</v>
      </c>
      <c r="AY111" s="538">
        <f t="shared" si="97"/>
        <v>0</v>
      </c>
      <c r="AZ111" s="538">
        <f t="shared" si="97"/>
        <v>0</v>
      </c>
      <c r="BA111" s="538">
        <f t="shared" si="97"/>
        <v>0</v>
      </c>
      <c r="BB111" s="538">
        <f t="shared" si="97"/>
        <v>0</v>
      </c>
      <c r="BC111" s="538">
        <f t="shared" si="97"/>
        <v>0</v>
      </c>
      <c r="BD111" s="538">
        <f t="shared" si="97"/>
        <v>0</v>
      </c>
      <c r="BE111" s="538">
        <f t="shared" si="97"/>
        <v>0</v>
      </c>
      <c r="BF111" s="538">
        <f t="shared" si="97"/>
        <v>0</v>
      </c>
      <c r="BG111" s="538">
        <f t="shared" si="97"/>
        <v>0</v>
      </c>
      <c r="BH111" s="538">
        <f t="shared" si="97"/>
        <v>0</v>
      </c>
      <c r="BI111" s="538">
        <f t="shared" si="97"/>
        <v>0</v>
      </c>
      <c r="BJ111" s="538">
        <f t="shared" si="97"/>
        <v>0</v>
      </c>
      <c r="BK111" s="538">
        <f t="shared" si="97"/>
        <v>0</v>
      </c>
      <c r="BL111" s="538">
        <f t="shared" si="97"/>
        <v>0</v>
      </c>
      <c r="BM111" s="538">
        <f t="shared" si="97"/>
        <v>0</v>
      </c>
      <c r="BN111" s="538">
        <f t="shared" si="97"/>
        <v>0</v>
      </c>
      <c r="BO111" s="538">
        <f t="shared" si="97"/>
        <v>0</v>
      </c>
      <c r="BP111" s="538">
        <f t="shared" si="97"/>
        <v>0</v>
      </c>
      <c r="BQ111" s="538">
        <f t="shared" si="97"/>
        <v>0</v>
      </c>
      <c r="BR111" s="538">
        <f t="shared" si="97"/>
        <v>0</v>
      </c>
      <c r="BS111" s="538">
        <f t="shared" si="97"/>
        <v>0</v>
      </c>
      <c r="BT111" s="538">
        <f t="shared" si="97"/>
        <v>0</v>
      </c>
      <c r="BU111" s="538">
        <f t="shared" si="97"/>
        <v>0</v>
      </c>
      <c r="BV111" s="538">
        <f t="shared" si="97"/>
        <v>0</v>
      </c>
      <c r="BW111" s="538">
        <f t="shared" si="97"/>
        <v>0</v>
      </c>
      <c r="BX111" s="538">
        <f t="shared" si="97"/>
        <v>0</v>
      </c>
      <c r="BY111" s="538">
        <f t="shared" si="97"/>
        <v>0</v>
      </c>
      <c r="BZ111" s="538">
        <f t="shared" si="97"/>
        <v>0</v>
      </c>
      <c r="CA111" s="538">
        <f t="shared" si="97"/>
        <v>0</v>
      </c>
      <c r="CB111" s="538">
        <f t="shared" si="97"/>
        <v>0</v>
      </c>
      <c r="CC111" s="538">
        <f t="shared" si="97"/>
        <v>0</v>
      </c>
      <c r="CD111" s="538">
        <f t="shared" si="97"/>
        <v>0</v>
      </c>
      <c r="CE111" s="538">
        <f t="shared" si="97"/>
        <v>0</v>
      </c>
      <c r="CG111" s="537">
        <v>0</v>
      </c>
      <c r="CH111" s="537">
        <v>0</v>
      </c>
      <c r="CI111" s="537">
        <v>0</v>
      </c>
      <c r="CJ111" s="537">
        <v>0</v>
      </c>
      <c r="CK111" s="537">
        <v>0</v>
      </c>
      <c r="CL111" s="537">
        <v>0</v>
      </c>
      <c r="CM111" s="537">
        <v>0</v>
      </c>
      <c r="CN111" s="537">
        <v>0</v>
      </c>
      <c r="CO111" s="537">
        <v>0</v>
      </c>
      <c r="CP111" s="537">
        <v>0</v>
      </c>
      <c r="CQ111" s="537">
        <v>0</v>
      </c>
      <c r="CR111" s="537">
        <v>0</v>
      </c>
      <c r="CS111" s="537">
        <v>0</v>
      </c>
      <c r="CT111" s="537">
        <v>0</v>
      </c>
      <c r="CU111" s="537">
        <v>0</v>
      </c>
      <c r="CV111" s="537">
        <v>0</v>
      </c>
      <c r="CW111" s="537">
        <v>0</v>
      </c>
      <c r="CX111" s="537">
        <v>0</v>
      </c>
      <c r="CY111" s="537">
        <v>0</v>
      </c>
      <c r="CZ111" s="537">
        <v>0</v>
      </c>
      <c r="DA111" s="537">
        <v>0</v>
      </c>
      <c r="DB111" s="537">
        <v>0</v>
      </c>
      <c r="DC111" s="537">
        <v>0</v>
      </c>
      <c r="DD111" s="537">
        <v>0</v>
      </c>
      <c r="DE111" s="537">
        <v>0</v>
      </c>
      <c r="DF111" s="537">
        <v>0</v>
      </c>
      <c r="DG111" s="537">
        <v>0</v>
      </c>
      <c r="DH111" s="537">
        <v>0</v>
      </c>
    </row>
    <row r="112" spans="2:112">
      <c r="B112" t="s">
        <v>1000</v>
      </c>
      <c r="C112" t="s">
        <v>272</v>
      </c>
      <c r="D112" t="s">
        <v>897</v>
      </c>
      <c r="E112" t="s">
        <v>895</v>
      </c>
      <c r="F112" s="537">
        <v>0.01</v>
      </c>
      <c r="G112" s="537">
        <v>0.01</v>
      </c>
      <c r="H112" s="537">
        <v>0.01</v>
      </c>
      <c r="I112" s="537">
        <v>0.01</v>
      </c>
      <c r="J112" s="537">
        <v>0.01</v>
      </c>
      <c r="K112" s="537">
        <v>0.01</v>
      </c>
      <c r="L112" s="537">
        <v>0.01</v>
      </c>
      <c r="M112" s="537">
        <v>0.01</v>
      </c>
      <c r="N112" s="537">
        <v>0.01</v>
      </c>
      <c r="O112" s="537">
        <v>0.01</v>
      </c>
      <c r="P112" s="537">
        <v>0.01</v>
      </c>
      <c r="Q112" s="537">
        <v>0.01</v>
      </c>
      <c r="R112" s="537">
        <v>0.01</v>
      </c>
      <c r="S112" s="537">
        <v>0.01</v>
      </c>
      <c r="T112" s="537">
        <v>0.01</v>
      </c>
      <c r="U112" s="537">
        <v>0.01</v>
      </c>
      <c r="V112" s="537">
        <v>0.01</v>
      </c>
      <c r="W112" s="537">
        <v>0.01</v>
      </c>
      <c r="X112" s="537">
        <v>0.01</v>
      </c>
      <c r="Y112" s="537">
        <v>0.01</v>
      </c>
      <c r="Z112" s="537">
        <v>0.01</v>
      </c>
      <c r="AA112" s="537">
        <v>0.01</v>
      </c>
      <c r="AB112" s="537">
        <v>0.01</v>
      </c>
      <c r="AC112" s="537">
        <v>0.01</v>
      </c>
      <c r="AD112" s="537">
        <v>0.01</v>
      </c>
      <c r="AE112" s="537">
        <v>0.01</v>
      </c>
      <c r="AF112" s="537">
        <v>0.01</v>
      </c>
      <c r="AG112" s="537">
        <v>0.01</v>
      </c>
      <c r="AH112" s="538">
        <f t="shared" si="98"/>
        <v>0.01</v>
      </c>
      <c r="AI112" s="538">
        <f t="shared" si="98"/>
        <v>0.01</v>
      </c>
      <c r="AJ112" s="538">
        <f t="shared" si="98"/>
        <v>0.01</v>
      </c>
      <c r="AK112" s="538">
        <f t="shared" si="98"/>
        <v>0.01</v>
      </c>
      <c r="AL112" s="538">
        <f t="shared" si="98"/>
        <v>0.01</v>
      </c>
      <c r="AM112" s="538">
        <f t="shared" si="98"/>
        <v>0.01</v>
      </c>
      <c r="AN112" s="538">
        <f t="shared" si="98"/>
        <v>0.01</v>
      </c>
      <c r="AO112" s="538">
        <f t="shared" si="98"/>
        <v>0.01</v>
      </c>
      <c r="AP112" s="538">
        <f t="shared" si="98"/>
        <v>0.01</v>
      </c>
      <c r="AQ112" s="538">
        <f t="shared" si="98"/>
        <v>0.01</v>
      </c>
      <c r="AR112" s="538">
        <f t="shared" si="98"/>
        <v>0.01</v>
      </c>
      <c r="AS112" s="538">
        <f t="shared" si="98"/>
        <v>0.01</v>
      </c>
      <c r="AT112" s="538">
        <f t="shared" si="98"/>
        <v>0.01</v>
      </c>
      <c r="AU112" s="538">
        <f t="shared" si="98"/>
        <v>0.01</v>
      </c>
      <c r="AV112" s="538">
        <f t="shared" si="98"/>
        <v>0.01</v>
      </c>
      <c r="AW112" s="538">
        <f t="shared" si="98"/>
        <v>0.01</v>
      </c>
      <c r="AX112" s="538">
        <f t="shared" si="97"/>
        <v>0.01</v>
      </c>
      <c r="AY112" s="538">
        <f t="shared" si="97"/>
        <v>0.01</v>
      </c>
      <c r="AZ112" s="538">
        <f t="shared" si="97"/>
        <v>0.01</v>
      </c>
      <c r="BA112" s="538">
        <f t="shared" si="97"/>
        <v>0.01</v>
      </c>
      <c r="BB112" s="538">
        <f t="shared" si="97"/>
        <v>0.01</v>
      </c>
      <c r="BC112" s="538">
        <f t="shared" si="97"/>
        <v>0.01</v>
      </c>
      <c r="BD112" s="538">
        <f t="shared" si="97"/>
        <v>0.01</v>
      </c>
      <c r="BE112" s="538">
        <f t="shared" si="97"/>
        <v>0.01</v>
      </c>
      <c r="BF112" s="538">
        <f t="shared" si="97"/>
        <v>0.01</v>
      </c>
      <c r="BG112" s="538">
        <f t="shared" si="97"/>
        <v>0.01</v>
      </c>
      <c r="BH112" s="538">
        <f t="shared" si="97"/>
        <v>0.01</v>
      </c>
      <c r="BI112" s="538">
        <f t="shared" si="97"/>
        <v>0.01</v>
      </c>
      <c r="BJ112" s="538">
        <f t="shared" si="97"/>
        <v>0.01</v>
      </c>
      <c r="BK112" s="538">
        <f t="shared" si="97"/>
        <v>0.01</v>
      </c>
      <c r="BL112" s="538">
        <f t="shared" si="97"/>
        <v>0.01</v>
      </c>
      <c r="BM112" s="538">
        <f t="shared" si="97"/>
        <v>0.01</v>
      </c>
      <c r="BN112" s="538">
        <f t="shared" ref="BN112:CC114" si="99">BM112</f>
        <v>0.01</v>
      </c>
      <c r="BO112" s="538">
        <f t="shared" si="99"/>
        <v>0.01</v>
      </c>
      <c r="BP112" s="538">
        <f t="shared" si="99"/>
        <v>0.01</v>
      </c>
      <c r="BQ112" s="538">
        <f t="shared" si="99"/>
        <v>0.01</v>
      </c>
      <c r="BR112" s="538">
        <f t="shared" si="99"/>
        <v>0.01</v>
      </c>
      <c r="BS112" s="538">
        <f t="shared" si="99"/>
        <v>0.01</v>
      </c>
      <c r="BT112" s="538">
        <f t="shared" si="99"/>
        <v>0.01</v>
      </c>
      <c r="BU112" s="538">
        <f t="shared" si="99"/>
        <v>0.01</v>
      </c>
      <c r="BV112" s="538">
        <f t="shared" si="99"/>
        <v>0.01</v>
      </c>
      <c r="BW112" s="538">
        <f t="shared" si="99"/>
        <v>0.01</v>
      </c>
      <c r="BX112" s="538">
        <f t="shared" si="99"/>
        <v>0.01</v>
      </c>
      <c r="BY112" s="538">
        <f t="shared" si="99"/>
        <v>0.01</v>
      </c>
      <c r="BZ112" s="538">
        <f t="shared" si="99"/>
        <v>0.01</v>
      </c>
      <c r="CA112" s="538">
        <f t="shared" si="99"/>
        <v>0.01</v>
      </c>
      <c r="CB112" s="538">
        <f t="shared" si="99"/>
        <v>0.01</v>
      </c>
      <c r="CC112" s="538">
        <f t="shared" si="99"/>
        <v>0.01</v>
      </c>
      <c r="CD112" s="538">
        <f t="shared" ref="CD112:CE114" si="100">CC112</f>
        <v>0.01</v>
      </c>
      <c r="CE112" s="538">
        <f t="shared" si="100"/>
        <v>0.01</v>
      </c>
      <c r="CG112" s="537">
        <v>0.01</v>
      </c>
      <c r="CH112" s="537">
        <v>0.01</v>
      </c>
      <c r="CI112" s="537">
        <v>0.01</v>
      </c>
      <c r="CJ112" s="537">
        <v>0.01</v>
      </c>
      <c r="CK112" s="537">
        <v>0.01</v>
      </c>
      <c r="CL112" s="537">
        <v>0.01</v>
      </c>
      <c r="CM112" s="537">
        <v>0.01</v>
      </c>
      <c r="CN112" s="537">
        <v>0.01</v>
      </c>
      <c r="CO112" s="537">
        <v>0.01</v>
      </c>
      <c r="CP112" s="537">
        <v>0.01</v>
      </c>
      <c r="CQ112" s="537">
        <v>0.01</v>
      </c>
      <c r="CR112" s="537">
        <v>0.01</v>
      </c>
      <c r="CS112" s="537">
        <v>0.01</v>
      </c>
      <c r="CT112" s="537">
        <v>0.01</v>
      </c>
      <c r="CU112" s="537">
        <v>0.01</v>
      </c>
      <c r="CV112" s="537">
        <v>0.01</v>
      </c>
      <c r="CW112" s="537">
        <v>0.01</v>
      </c>
      <c r="CX112" s="537">
        <v>0.01</v>
      </c>
      <c r="CY112" s="537">
        <v>0.01</v>
      </c>
      <c r="CZ112" s="537">
        <v>0.01</v>
      </c>
      <c r="DA112" s="537">
        <v>0.01</v>
      </c>
      <c r="DB112" s="537">
        <v>0.01</v>
      </c>
      <c r="DC112" s="537">
        <v>0.01</v>
      </c>
      <c r="DD112" s="537">
        <v>0.01</v>
      </c>
      <c r="DE112" s="537">
        <v>0.01</v>
      </c>
      <c r="DF112" s="537">
        <v>0.01</v>
      </c>
      <c r="DG112" s="537">
        <v>0.01</v>
      </c>
      <c r="DH112" s="537">
        <v>0.01</v>
      </c>
    </row>
    <row r="113" spans="2:112">
      <c r="B113" t="s">
        <v>1001</v>
      </c>
      <c r="C113" t="s">
        <v>272</v>
      </c>
      <c r="D113" t="s">
        <v>899</v>
      </c>
      <c r="E113" t="s">
        <v>895</v>
      </c>
      <c r="F113" s="537">
        <v>0.05</v>
      </c>
      <c r="G113" s="537">
        <v>0.05</v>
      </c>
      <c r="H113" s="537">
        <v>0.05</v>
      </c>
      <c r="I113" s="537">
        <v>0.05</v>
      </c>
      <c r="J113" s="537">
        <v>0.05</v>
      </c>
      <c r="K113" s="537">
        <v>0.05</v>
      </c>
      <c r="L113" s="537">
        <v>0.05</v>
      </c>
      <c r="M113" s="537">
        <v>0.05</v>
      </c>
      <c r="N113" s="537">
        <v>0.05</v>
      </c>
      <c r="O113" s="537">
        <v>0.05</v>
      </c>
      <c r="P113" s="537">
        <v>0.05</v>
      </c>
      <c r="Q113" s="537">
        <v>0.05</v>
      </c>
      <c r="R113" s="537">
        <v>0.05</v>
      </c>
      <c r="S113" s="537">
        <v>0.05</v>
      </c>
      <c r="T113" s="537">
        <v>0.05</v>
      </c>
      <c r="U113" s="537">
        <v>0.05</v>
      </c>
      <c r="V113" s="537">
        <v>0.05</v>
      </c>
      <c r="W113" s="537">
        <v>0.05</v>
      </c>
      <c r="X113" s="537">
        <v>0.05</v>
      </c>
      <c r="Y113" s="537">
        <v>0.05</v>
      </c>
      <c r="Z113" s="537">
        <v>0.05</v>
      </c>
      <c r="AA113" s="537">
        <v>0.05</v>
      </c>
      <c r="AB113" s="537">
        <v>0.05</v>
      </c>
      <c r="AC113" s="537">
        <v>0.05</v>
      </c>
      <c r="AD113" s="537">
        <v>0.05</v>
      </c>
      <c r="AE113" s="537">
        <v>0.05</v>
      </c>
      <c r="AF113" s="537">
        <v>0.05</v>
      </c>
      <c r="AG113" s="537">
        <v>0.05</v>
      </c>
      <c r="AH113" s="538">
        <f t="shared" si="98"/>
        <v>0.05</v>
      </c>
      <c r="AI113" s="538">
        <f t="shared" si="98"/>
        <v>0.05</v>
      </c>
      <c r="AJ113" s="538">
        <f t="shared" si="98"/>
        <v>0.05</v>
      </c>
      <c r="AK113" s="538">
        <f t="shared" si="98"/>
        <v>0.05</v>
      </c>
      <c r="AL113" s="538">
        <f t="shared" si="98"/>
        <v>0.05</v>
      </c>
      <c r="AM113" s="538">
        <f t="shared" si="98"/>
        <v>0.05</v>
      </c>
      <c r="AN113" s="538">
        <f t="shared" si="98"/>
        <v>0.05</v>
      </c>
      <c r="AO113" s="538">
        <f t="shared" si="98"/>
        <v>0.05</v>
      </c>
      <c r="AP113" s="538">
        <f t="shared" si="98"/>
        <v>0.05</v>
      </c>
      <c r="AQ113" s="538">
        <f t="shared" si="98"/>
        <v>0.05</v>
      </c>
      <c r="AR113" s="538">
        <f t="shared" si="98"/>
        <v>0.05</v>
      </c>
      <c r="AS113" s="538">
        <f t="shared" si="98"/>
        <v>0.05</v>
      </c>
      <c r="AT113" s="538">
        <f t="shared" si="98"/>
        <v>0.05</v>
      </c>
      <c r="AU113" s="538">
        <f t="shared" si="98"/>
        <v>0.05</v>
      </c>
      <c r="AV113" s="538">
        <f t="shared" si="98"/>
        <v>0.05</v>
      </c>
      <c r="AW113" s="538">
        <f t="shared" si="98"/>
        <v>0.05</v>
      </c>
      <c r="AX113" s="538">
        <f t="shared" ref="AX113:BM114" si="101">AW113</f>
        <v>0.05</v>
      </c>
      <c r="AY113" s="538">
        <f t="shared" si="101"/>
        <v>0.05</v>
      </c>
      <c r="AZ113" s="538">
        <f t="shared" si="101"/>
        <v>0.05</v>
      </c>
      <c r="BA113" s="538">
        <f t="shared" si="101"/>
        <v>0.05</v>
      </c>
      <c r="BB113" s="538">
        <f t="shared" si="101"/>
        <v>0.05</v>
      </c>
      <c r="BC113" s="538">
        <f t="shared" si="101"/>
        <v>0.05</v>
      </c>
      <c r="BD113" s="538">
        <f t="shared" si="101"/>
        <v>0.05</v>
      </c>
      <c r="BE113" s="538">
        <f t="shared" si="101"/>
        <v>0.05</v>
      </c>
      <c r="BF113" s="538">
        <f t="shared" si="101"/>
        <v>0.05</v>
      </c>
      <c r="BG113" s="538">
        <f t="shared" si="101"/>
        <v>0.05</v>
      </c>
      <c r="BH113" s="538">
        <f t="shared" si="101"/>
        <v>0.05</v>
      </c>
      <c r="BI113" s="538">
        <f t="shared" si="101"/>
        <v>0.05</v>
      </c>
      <c r="BJ113" s="538">
        <f t="shared" si="101"/>
        <v>0.05</v>
      </c>
      <c r="BK113" s="538">
        <f t="shared" si="101"/>
        <v>0.05</v>
      </c>
      <c r="BL113" s="538">
        <f t="shared" si="101"/>
        <v>0.05</v>
      </c>
      <c r="BM113" s="538">
        <f t="shared" si="101"/>
        <v>0.05</v>
      </c>
      <c r="BN113" s="538">
        <f t="shared" si="99"/>
        <v>0.05</v>
      </c>
      <c r="BO113" s="538">
        <f t="shared" si="99"/>
        <v>0.05</v>
      </c>
      <c r="BP113" s="538">
        <f t="shared" si="99"/>
        <v>0.05</v>
      </c>
      <c r="BQ113" s="538">
        <f t="shared" si="99"/>
        <v>0.05</v>
      </c>
      <c r="BR113" s="538">
        <f t="shared" si="99"/>
        <v>0.05</v>
      </c>
      <c r="BS113" s="538">
        <f t="shared" si="99"/>
        <v>0.05</v>
      </c>
      <c r="BT113" s="538">
        <f t="shared" si="99"/>
        <v>0.05</v>
      </c>
      <c r="BU113" s="538">
        <f t="shared" si="99"/>
        <v>0.05</v>
      </c>
      <c r="BV113" s="538">
        <f t="shared" si="99"/>
        <v>0.05</v>
      </c>
      <c r="BW113" s="538">
        <f t="shared" si="99"/>
        <v>0.05</v>
      </c>
      <c r="BX113" s="538">
        <f t="shared" si="99"/>
        <v>0.05</v>
      </c>
      <c r="BY113" s="538">
        <f t="shared" si="99"/>
        <v>0.05</v>
      </c>
      <c r="BZ113" s="538">
        <f t="shared" si="99"/>
        <v>0.05</v>
      </c>
      <c r="CA113" s="538">
        <f t="shared" si="99"/>
        <v>0.05</v>
      </c>
      <c r="CB113" s="538">
        <f t="shared" si="99"/>
        <v>0.05</v>
      </c>
      <c r="CC113" s="538">
        <f t="shared" si="99"/>
        <v>0.05</v>
      </c>
      <c r="CD113" s="538">
        <f t="shared" si="100"/>
        <v>0.05</v>
      </c>
      <c r="CE113" s="538">
        <f t="shared" si="100"/>
        <v>0.05</v>
      </c>
      <c r="CG113" s="537">
        <v>0.05</v>
      </c>
      <c r="CH113" s="537">
        <v>0.05</v>
      </c>
      <c r="CI113" s="537">
        <v>0.05</v>
      </c>
      <c r="CJ113" s="537">
        <v>0.05</v>
      </c>
      <c r="CK113" s="537">
        <v>0.05</v>
      </c>
      <c r="CL113" s="537">
        <v>0.05</v>
      </c>
      <c r="CM113" s="537">
        <v>0.05</v>
      </c>
      <c r="CN113" s="537">
        <v>0.05</v>
      </c>
      <c r="CO113" s="537">
        <v>0.05</v>
      </c>
      <c r="CP113" s="537">
        <v>0.05</v>
      </c>
      <c r="CQ113" s="537">
        <v>0.05</v>
      </c>
      <c r="CR113" s="537">
        <v>0.05</v>
      </c>
      <c r="CS113" s="537">
        <v>0.05</v>
      </c>
      <c r="CT113" s="537">
        <v>0.05</v>
      </c>
      <c r="CU113" s="537">
        <v>0.05</v>
      </c>
      <c r="CV113" s="537">
        <v>0.05</v>
      </c>
      <c r="CW113" s="537">
        <v>0.05</v>
      </c>
      <c r="CX113" s="537">
        <v>0.05</v>
      </c>
      <c r="CY113" s="537">
        <v>0.05</v>
      </c>
      <c r="CZ113" s="537">
        <v>0.05</v>
      </c>
      <c r="DA113" s="537">
        <v>0.05</v>
      </c>
      <c r="DB113" s="537">
        <v>0.05</v>
      </c>
      <c r="DC113" s="537">
        <v>0.05</v>
      </c>
      <c r="DD113" s="537">
        <v>0.05</v>
      </c>
      <c r="DE113" s="537">
        <v>0.05</v>
      </c>
      <c r="DF113" s="537">
        <v>0.05</v>
      </c>
      <c r="DG113" s="537">
        <v>0.05</v>
      </c>
      <c r="DH113" s="537">
        <v>0.05</v>
      </c>
    </row>
    <row r="114" spans="2:112">
      <c r="B114" t="s">
        <v>1002</v>
      </c>
      <c r="C114" t="s">
        <v>272</v>
      </c>
      <c r="D114" t="s">
        <v>901</v>
      </c>
      <c r="E114" t="s">
        <v>895</v>
      </c>
      <c r="F114" s="537">
        <v>0.05</v>
      </c>
      <c r="G114" s="537">
        <v>0.05</v>
      </c>
      <c r="H114" s="537">
        <v>0.05</v>
      </c>
      <c r="I114" s="537">
        <v>0.05</v>
      </c>
      <c r="J114" s="537">
        <v>0.05</v>
      </c>
      <c r="K114" s="537">
        <v>0.05</v>
      </c>
      <c r="L114" s="537">
        <v>0.05</v>
      </c>
      <c r="M114" s="537">
        <v>0.05</v>
      </c>
      <c r="N114" s="537">
        <v>0.05</v>
      </c>
      <c r="O114" s="537">
        <v>0.05</v>
      </c>
      <c r="P114" s="537">
        <v>0.05</v>
      </c>
      <c r="Q114" s="537">
        <v>0.05</v>
      </c>
      <c r="R114" s="537">
        <v>0.05</v>
      </c>
      <c r="S114" s="537">
        <v>0.05</v>
      </c>
      <c r="T114" s="537">
        <v>0.05</v>
      </c>
      <c r="U114" s="537">
        <v>0.05</v>
      </c>
      <c r="V114" s="537">
        <v>0.05</v>
      </c>
      <c r="W114" s="537">
        <v>0.05</v>
      </c>
      <c r="X114" s="537">
        <v>0.05</v>
      </c>
      <c r="Y114" s="537">
        <v>0.05</v>
      </c>
      <c r="Z114" s="537">
        <v>0.05</v>
      </c>
      <c r="AA114" s="537">
        <v>0.05</v>
      </c>
      <c r="AB114" s="537">
        <v>0.05</v>
      </c>
      <c r="AC114" s="537">
        <v>0.05</v>
      </c>
      <c r="AD114" s="537">
        <v>0.05</v>
      </c>
      <c r="AE114" s="537">
        <v>0.05</v>
      </c>
      <c r="AF114" s="537">
        <v>0.05</v>
      </c>
      <c r="AG114" s="537">
        <v>0.05</v>
      </c>
      <c r="AH114" s="538">
        <f t="shared" si="98"/>
        <v>0.05</v>
      </c>
      <c r="AI114" s="538">
        <f t="shared" si="98"/>
        <v>0.05</v>
      </c>
      <c r="AJ114" s="538">
        <f t="shared" si="98"/>
        <v>0.05</v>
      </c>
      <c r="AK114" s="538">
        <f t="shared" si="98"/>
        <v>0.05</v>
      </c>
      <c r="AL114" s="538">
        <f t="shared" si="98"/>
        <v>0.05</v>
      </c>
      <c r="AM114" s="538">
        <f t="shared" si="98"/>
        <v>0.05</v>
      </c>
      <c r="AN114" s="538">
        <f t="shared" si="98"/>
        <v>0.05</v>
      </c>
      <c r="AO114" s="538">
        <f t="shared" si="98"/>
        <v>0.05</v>
      </c>
      <c r="AP114" s="538">
        <f t="shared" si="98"/>
        <v>0.05</v>
      </c>
      <c r="AQ114" s="538">
        <f t="shared" si="98"/>
        <v>0.05</v>
      </c>
      <c r="AR114" s="538">
        <f t="shared" si="98"/>
        <v>0.05</v>
      </c>
      <c r="AS114" s="538">
        <f t="shared" si="98"/>
        <v>0.05</v>
      </c>
      <c r="AT114" s="538">
        <f t="shared" si="98"/>
        <v>0.05</v>
      </c>
      <c r="AU114" s="538">
        <f t="shared" si="98"/>
        <v>0.05</v>
      </c>
      <c r="AV114" s="538">
        <f t="shared" si="98"/>
        <v>0.05</v>
      </c>
      <c r="AW114" s="538">
        <f t="shared" si="98"/>
        <v>0.05</v>
      </c>
      <c r="AX114" s="538">
        <f t="shared" si="101"/>
        <v>0.05</v>
      </c>
      <c r="AY114" s="538">
        <f t="shared" si="101"/>
        <v>0.05</v>
      </c>
      <c r="AZ114" s="538">
        <f t="shared" si="101"/>
        <v>0.05</v>
      </c>
      <c r="BA114" s="538">
        <f t="shared" si="101"/>
        <v>0.05</v>
      </c>
      <c r="BB114" s="538">
        <f t="shared" si="101"/>
        <v>0.05</v>
      </c>
      <c r="BC114" s="538">
        <f t="shared" si="101"/>
        <v>0.05</v>
      </c>
      <c r="BD114" s="538">
        <f t="shared" si="101"/>
        <v>0.05</v>
      </c>
      <c r="BE114" s="538">
        <f t="shared" si="101"/>
        <v>0.05</v>
      </c>
      <c r="BF114" s="538">
        <f t="shared" si="101"/>
        <v>0.05</v>
      </c>
      <c r="BG114" s="538">
        <f t="shared" si="101"/>
        <v>0.05</v>
      </c>
      <c r="BH114" s="538">
        <f t="shared" si="101"/>
        <v>0.05</v>
      </c>
      <c r="BI114" s="538">
        <f t="shared" si="101"/>
        <v>0.05</v>
      </c>
      <c r="BJ114" s="538">
        <f t="shared" si="101"/>
        <v>0.05</v>
      </c>
      <c r="BK114" s="538">
        <f t="shared" si="101"/>
        <v>0.05</v>
      </c>
      <c r="BL114" s="538">
        <f t="shared" si="101"/>
        <v>0.05</v>
      </c>
      <c r="BM114" s="538">
        <f t="shared" si="101"/>
        <v>0.05</v>
      </c>
      <c r="BN114" s="538">
        <f t="shared" si="99"/>
        <v>0.05</v>
      </c>
      <c r="BO114" s="538">
        <f t="shared" si="99"/>
        <v>0.05</v>
      </c>
      <c r="BP114" s="538">
        <f t="shared" si="99"/>
        <v>0.05</v>
      </c>
      <c r="BQ114" s="538">
        <f t="shared" si="99"/>
        <v>0.05</v>
      </c>
      <c r="BR114" s="538">
        <f t="shared" si="99"/>
        <v>0.05</v>
      </c>
      <c r="BS114" s="538">
        <f t="shared" si="99"/>
        <v>0.05</v>
      </c>
      <c r="BT114" s="538">
        <f t="shared" si="99"/>
        <v>0.05</v>
      </c>
      <c r="BU114" s="538">
        <f t="shared" si="99"/>
        <v>0.05</v>
      </c>
      <c r="BV114" s="538">
        <f t="shared" si="99"/>
        <v>0.05</v>
      </c>
      <c r="BW114" s="538">
        <f t="shared" si="99"/>
        <v>0.05</v>
      </c>
      <c r="BX114" s="538">
        <f t="shared" si="99"/>
        <v>0.05</v>
      </c>
      <c r="BY114" s="538">
        <f t="shared" si="99"/>
        <v>0.05</v>
      </c>
      <c r="BZ114" s="538">
        <f t="shared" si="99"/>
        <v>0.05</v>
      </c>
      <c r="CA114" s="538">
        <f t="shared" si="99"/>
        <v>0.05</v>
      </c>
      <c r="CB114" s="538">
        <f t="shared" si="99"/>
        <v>0.05</v>
      </c>
      <c r="CC114" s="538">
        <f t="shared" si="99"/>
        <v>0.05</v>
      </c>
      <c r="CD114" s="538">
        <f t="shared" si="100"/>
        <v>0.05</v>
      </c>
      <c r="CE114" s="538">
        <f t="shared" si="100"/>
        <v>0.05</v>
      </c>
      <c r="CG114" s="537">
        <v>0.05</v>
      </c>
      <c r="CH114" s="537">
        <v>0.05</v>
      </c>
      <c r="CI114" s="537">
        <v>0.05</v>
      </c>
      <c r="CJ114" s="537">
        <v>0.05</v>
      </c>
      <c r="CK114" s="537">
        <v>0.05</v>
      </c>
      <c r="CL114" s="537">
        <v>0.05</v>
      </c>
      <c r="CM114" s="537">
        <v>0.05</v>
      </c>
      <c r="CN114" s="537">
        <v>0.05</v>
      </c>
      <c r="CO114" s="537">
        <v>0.05</v>
      </c>
      <c r="CP114" s="537">
        <v>0.05</v>
      </c>
      <c r="CQ114" s="537">
        <v>0.05</v>
      </c>
      <c r="CR114" s="537">
        <v>0.05</v>
      </c>
      <c r="CS114" s="537">
        <v>0.05</v>
      </c>
      <c r="CT114" s="537">
        <v>0.05</v>
      </c>
      <c r="CU114" s="537">
        <v>0.05</v>
      </c>
      <c r="CV114" s="537">
        <v>0.05</v>
      </c>
      <c r="CW114" s="537">
        <v>0.05</v>
      </c>
      <c r="CX114" s="537">
        <v>0.05</v>
      </c>
      <c r="CY114" s="537">
        <v>0.05</v>
      </c>
      <c r="CZ114" s="537">
        <v>0.05</v>
      </c>
      <c r="DA114" s="537">
        <v>0.05</v>
      </c>
      <c r="DB114" s="537">
        <v>0.05</v>
      </c>
      <c r="DC114" s="537">
        <v>0.05</v>
      </c>
      <c r="DD114" s="537">
        <v>0.05</v>
      </c>
      <c r="DE114" s="537">
        <v>0.05</v>
      </c>
      <c r="DF114" s="537">
        <v>0.05</v>
      </c>
      <c r="DG114" s="537">
        <v>0.05</v>
      </c>
      <c r="DH114" s="537">
        <v>0.05</v>
      </c>
    </row>
    <row r="115" spans="2:112">
      <c r="F115" s="539"/>
      <c r="G115" s="539"/>
      <c r="H115" s="539"/>
      <c r="I115" s="539"/>
      <c r="J115" s="539"/>
      <c r="K115" s="539"/>
      <c r="L115" s="539"/>
      <c r="M115" s="539"/>
      <c r="N115" s="539"/>
      <c r="O115" s="539"/>
      <c r="P115" s="539"/>
      <c r="Q115" s="539"/>
      <c r="R115" s="539"/>
      <c r="S115" s="539"/>
      <c r="T115" s="539"/>
      <c r="U115" s="539"/>
      <c r="V115" s="539"/>
      <c r="W115" s="539"/>
      <c r="X115" s="539"/>
      <c r="Y115" s="539"/>
      <c r="Z115" s="539"/>
      <c r="AA115" s="539"/>
      <c r="AB115" s="539"/>
      <c r="AC115" s="539"/>
      <c r="AD115" s="539"/>
      <c r="AE115" s="539"/>
      <c r="AF115" s="539"/>
      <c r="AG115" s="539"/>
      <c r="AH115" s="539"/>
      <c r="AI115" s="539"/>
      <c r="AJ115" s="539"/>
      <c r="AK115" s="539"/>
      <c r="AL115" s="539"/>
      <c r="AM115" s="539"/>
      <c r="AN115" s="539"/>
      <c r="AO115" s="539"/>
      <c r="AP115" s="539"/>
      <c r="AQ115" s="539"/>
      <c r="AR115" s="539"/>
      <c r="AS115" s="539"/>
      <c r="AT115" s="539"/>
      <c r="AU115" s="539"/>
      <c r="AV115" s="539"/>
      <c r="AW115" s="539"/>
      <c r="AX115" s="539"/>
      <c r="AY115" s="539"/>
      <c r="AZ115" s="539"/>
      <c r="BA115" s="539"/>
      <c r="BB115" s="539"/>
      <c r="BC115" s="539"/>
      <c r="BD115" s="539"/>
      <c r="BE115" s="539"/>
      <c r="BF115" s="539"/>
      <c r="BG115" s="539"/>
      <c r="BH115" s="539"/>
      <c r="BI115" s="539"/>
      <c r="BJ115" s="539"/>
      <c r="BK115" s="539"/>
      <c r="BL115" s="539"/>
      <c r="BM115" s="539"/>
      <c r="BN115" s="539"/>
      <c r="BO115" s="539"/>
      <c r="BP115" s="539"/>
      <c r="BQ115" s="539"/>
      <c r="BR115" s="539"/>
      <c r="BS115" s="539"/>
      <c r="BT115" s="539"/>
      <c r="BU115" s="539"/>
      <c r="BV115" s="539"/>
      <c r="BW115" s="539"/>
      <c r="BX115" s="539"/>
      <c r="BY115" s="539"/>
      <c r="BZ115" s="539"/>
      <c r="CA115" s="539"/>
      <c r="CB115" s="539"/>
      <c r="CC115" s="539"/>
      <c r="CD115" s="539"/>
      <c r="CE115" s="539"/>
      <c r="CG115" s="539"/>
      <c r="CH115" s="539"/>
      <c r="CI115" s="539"/>
      <c r="CJ115" s="539"/>
      <c r="CK115" s="539"/>
      <c r="CL115" s="539"/>
      <c r="CM115" s="539"/>
      <c r="CN115" s="539"/>
      <c r="CO115" s="539"/>
      <c r="CP115" s="539"/>
      <c r="CQ115" s="539"/>
      <c r="CR115" s="539"/>
      <c r="CS115" s="539"/>
      <c r="CT115" s="539"/>
      <c r="CU115" s="539"/>
      <c r="CV115" s="539"/>
      <c r="CW115" s="539"/>
      <c r="CX115" s="539"/>
      <c r="CY115" s="539"/>
      <c r="CZ115" s="539"/>
      <c r="DA115" s="539"/>
      <c r="DB115" s="539"/>
      <c r="DC115" s="539"/>
      <c r="DD115" s="539"/>
      <c r="DE115" s="539"/>
      <c r="DF115" s="539"/>
      <c r="DG115" s="539"/>
      <c r="DH115" s="539"/>
    </row>
    <row r="116" spans="2:112">
      <c r="B116" t="s">
        <v>1003</v>
      </c>
      <c r="C116" t="s">
        <v>272</v>
      </c>
      <c r="D116" t="s">
        <v>903</v>
      </c>
      <c r="E116" t="s">
        <v>557</v>
      </c>
      <c r="F116" s="536">
        <v>21438</v>
      </c>
      <c r="G116" s="536">
        <v>21438</v>
      </c>
      <c r="H116" s="536">
        <v>21438</v>
      </c>
      <c r="I116" s="536">
        <v>21438</v>
      </c>
      <c r="J116" s="536">
        <v>21438</v>
      </c>
      <c r="K116" s="536">
        <v>21438</v>
      </c>
      <c r="L116" s="536">
        <v>21438</v>
      </c>
      <c r="M116" s="536">
        <v>21438</v>
      </c>
      <c r="N116" s="536">
        <v>21438</v>
      </c>
      <c r="O116" s="536">
        <v>21438</v>
      </c>
      <c r="P116" s="536">
        <v>21438</v>
      </c>
      <c r="Q116" s="536">
        <v>21438</v>
      </c>
      <c r="R116" s="536">
        <v>21438</v>
      </c>
      <c r="S116" s="536">
        <v>21438</v>
      </c>
      <c r="T116" s="536">
        <v>21438</v>
      </c>
      <c r="U116" s="536">
        <v>21438</v>
      </c>
      <c r="V116" s="536">
        <v>21438</v>
      </c>
      <c r="W116" s="536">
        <v>21438</v>
      </c>
      <c r="X116" s="536">
        <v>21438</v>
      </c>
      <c r="Y116" s="536">
        <v>21438</v>
      </c>
      <c r="Z116" s="536">
        <v>21438</v>
      </c>
      <c r="AA116" s="536">
        <v>21438</v>
      </c>
      <c r="AB116" s="536">
        <v>21438</v>
      </c>
      <c r="AC116" s="536">
        <v>21438</v>
      </c>
      <c r="AD116" s="536">
        <v>21438</v>
      </c>
      <c r="AE116" s="536">
        <v>21438</v>
      </c>
      <c r="AF116" s="536">
        <v>21438</v>
      </c>
      <c r="AG116" s="536">
        <v>21438</v>
      </c>
      <c r="AH116" s="540">
        <f>AG116</f>
        <v>21438</v>
      </c>
      <c r="AI116" s="540">
        <f t="shared" ref="AI116:CE117" si="102">AH116</f>
        <v>21438</v>
      </c>
      <c r="AJ116" s="540">
        <f t="shared" si="102"/>
        <v>21438</v>
      </c>
      <c r="AK116" s="540">
        <f t="shared" si="102"/>
        <v>21438</v>
      </c>
      <c r="AL116" s="540">
        <f t="shared" si="102"/>
        <v>21438</v>
      </c>
      <c r="AM116" s="540">
        <f t="shared" si="102"/>
        <v>21438</v>
      </c>
      <c r="AN116" s="540">
        <f t="shared" si="102"/>
        <v>21438</v>
      </c>
      <c r="AO116" s="540">
        <f t="shared" si="102"/>
        <v>21438</v>
      </c>
      <c r="AP116" s="540">
        <f t="shared" si="102"/>
        <v>21438</v>
      </c>
      <c r="AQ116" s="540">
        <f t="shared" si="102"/>
        <v>21438</v>
      </c>
      <c r="AR116" s="540">
        <f t="shared" si="102"/>
        <v>21438</v>
      </c>
      <c r="AS116" s="540">
        <f t="shared" si="102"/>
        <v>21438</v>
      </c>
      <c r="AT116" s="540">
        <f t="shared" si="102"/>
        <v>21438</v>
      </c>
      <c r="AU116" s="540">
        <f t="shared" si="102"/>
        <v>21438</v>
      </c>
      <c r="AV116" s="540">
        <f t="shared" si="102"/>
        <v>21438</v>
      </c>
      <c r="AW116" s="540">
        <f t="shared" si="102"/>
        <v>21438</v>
      </c>
      <c r="AX116" s="540">
        <f t="shared" si="102"/>
        <v>21438</v>
      </c>
      <c r="AY116" s="540">
        <f t="shared" si="102"/>
        <v>21438</v>
      </c>
      <c r="AZ116" s="540">
        <f t="shared" si="102"/>
        <v>21438</v>
      </c>
      <c r="BA116" s="540">
        <f t="shared" si="102"/>
        <v>21438</v>
      </c>
      <c r="BB116" s="540">
        <f t="shared" si="102"/>
        <v>21438</v>
      </c>
      <c r="BC116" s="540">
        <f t="shared" si="102"/>
        <v>21438</v>
      </c>
      <c r="BD116" s="540">
        <f t="shared" si="102"/>
        <v>21438</v>
      </c>
      <c r="BE116" s="540">
        <f t="shared" si="102"/>
        <v>21438</v>
      </c>
      <c r="BF116" s="540">
        <f t="shared" si="102"/>
        <v>21438</v>
      </c>
      <c r="BG116" s="540">
        <f t="shared" si="102"/>
        <v>21438</v>
      </c>
      <c r="BH116" s="540">
        <f t="shared" si="102"/>
        <v>21438</v>
      </c>
      <c r="BI116" s="540">
        <f t="shared" si="102"/>
        <v>21438</v>
      </c>
      <c r="BJ116" s="540">
        <f t="shared" si="102"/>
        <v>21438</v>
      </c>
      <c r="BK116" s="540">
        <f t="shared" si="102"/>
        <v>21438</v>
      </c>
      <c r="BL116" s="540">
        <f t="shared" si="102"/>
        <v>21438</v>
      </c>
      <c r="BM116" s="540">
        <f t="shared" si="102"/>
        <v>21438</v>
      </c>
      <c r="BN116" s="540">
        <f t="shared" si="102"/>
        <v>21438</v>
      </c>
      <c r="BO116" s="540">
        <f t="shared" si="102"/>
        <v>21438</v>
      </c>
      <c r="BP116" s="540">
        <f t="shared" si="102"/>
        <v>21438</v>
      </c>
      <c r="BQ116" s="540">
        <f t="shared" si="102"/>
        <v>21438</v>
      </c>
      <c r="BR116" s="540">
        <f t="shared" si="102"/>
        <v>21438</v>
      </c>
      <c r="BS116" s="540">
        <f t="shared" si="102"/>
        <v>21438</v>
      </c>
      <c r="BT116" s="540">
        <f t="shared" si="102"/>
        <v>21438</v>
      </c>
      <c r="BU116" s="540">
        <f t="shared" si="102"/>
        <v>21438</v>
      </c>
      <c r="BV116" s="540">
        <f t="shared" si="102"/>
        <v>21438</v>
      </c>
      <c r="BW116" s="540">
        <f t="shared" si="102"/>
        <v>21438</v>
      </c>
      <c r="BX116" s="540">
        <f t="shared" si="102"/>
        <v>21438</v>
      </c>
      <c r="BY116" s="540">
        <f t="shared" si="102"/>
        <v>21438</v>
      </c>
      <c r="BZ116" s="540">
        <f t="shared" si="102"/>
        <v>21438</v>
      </c>
      <c r="CA116" s="540">
        <f t="shared" si="102"/>
        <v>21438</v>
      </c>
      <c r="CB116" s="540">
        <f t="shared" si="102"/>
        <v>21438</v>
      </c>
      <c r="CC116" s="540">
        <f t="shared" si="102"/>
        <v>21438</v>
      </c>
      <c r="CD116" s="540">
        <f t="shared" si="102"/>
        <v>21438</v>
      </c>
      <c r="CE116" s="540">
        <f t="shared" si="102"/>
        <v>21438</v>
      </c>
      <c r="CG116" s="536">
        <v>21438</v>
      </c>
      <c r="CH116" s="536">
        <v>21438</v>
      </c>
      <c r="CI116" s="536">
        <v>21438</v>
      </c>
      <c r="CJ116" s="536">
        <v>21438</v>
      </c>
      <c r="CK116" s="536">
        <v>21438</v>
      </c>
      <c r="CL116" s="536">
        <v>21438</v>
      </c>
      <c r="CM116" s="536">
        <v>21438</v>
      </c>
      <c r="CN116" s="536">
        <v>21438</v>
      </c>
      <c r="CO116" s="536">
        <v>21438</v>
      </c>
      <c r="CP116" s="536">
        <v>21438</v>
      </c>
      <c r="CQ116" s="536">
        <v>21438</v>
      </c>
      <c r="CR116" s="536">
        <v>21438</v>
      </c>
      <c r="CS116" s="536">
        <v>21438</v>
      </c>
      <c r="CT116" s="536">
        <v>21438</v>
      </c>
      <c r="CU116" s="536">
        <v>21438</v>
      </c>
      <c r="CV116" s="536">
        <v>21438</v>
      </c>
      <c r="CW116" s="536">
        <v>21438</v>
      </c>
      <c r="CX116" s="536">
        <v>21438</v>
      </c>
      <c r="CY116" s="536">
        <v>21438</v>
      </c>
      <c r="CZ116" s="536">
        <v>21438</v>
      </c>
      <c r="DA116" s="536">
        <v>21438</v>
      </c>
      <c r="DB116" s="536">
        <v>21438</v>
      </c>
      <c r="DC116" s="536">
        <v>21438</v>
      </c>
      <c r="DD116" s="536">
        <v>21438</v>
      </c>
      <c r="DE116" s="536">
        <v>21438</v>
      </c>
      <c r="DF116" s="536">
        <v>21438</v>
      </c>
      <c r="DG116" s="536">
        <v>21438</v>
      </c>
      <c r="DH116" s="536">
        <v>21438</v>
      </c>
    </row>
    <row r="117" spans="2:112">
      <c r="B117" t="s">
        <v>1004</v>
      </c>
      <c r="C117" t="s">
        <v>272</v>
      </c>
      <c r="D117" t="s">
        <v>905</v>
      </c>
      <c r="E117" t="s">
        <v>557</v>
      </c>
      <c r="F117" s="536">
        <v>5760</v>
      </c>
      <c r="G117" s="536">
        <v>5760</v>
      </c>
      <c r="H117" s="536">
        <v>5760</v>
      </c>
      <c r="I117" s="536">
        <v>5760</v>
      </c>
      <c r="J117" s="536">
        <v>5760</v>
      </c>
      <c r="K117" s="536">
        <v>5760</v>
      </c>
      <c r="L117" s="536">
        <v>5760</v>
      </c>
      <c r="M117" s="536">
        <v>5760</v>
      </c>
      <c r="N117" s="536">
        <v>5760</v>
      </c>
      <c r="O117" s="536">
        <v>5760</v>
      </c>
      <c r="P117" s="536">
        <v>5760</v>
      </c>
      <c r="Q117" s="536">
        <v>5760</v>
      </c>
      <c r="R117" s="536">
        <v>5760</v>
      </c>
      <c r="S117" s="536">
        <v>5760</v>
      </c>
      <c r="T117" s="536">
        <v>5760</v>
      </c>
      <c r="U117" s="536">
        <v>5760</v>
      </c>
      <c r="V117" s="536">
        <v>5760</v>
      </c>
      <c r="W117" s="536">
        <v>5760</v>
      </c>
      <c r="X117" s="536">
        <v>5760</v>
      </c>
      <c r="Y117" s="536">
        <v>5760</v>
      </c>
      <c r="Z117" s="536">
        <v>5760</v>
      </c>
      <c r="AA117" s="536">
        <v>5760</v>
      </c>
      <c r="AB117" s="536">
        <v>5760</v>
      </c>
      <c r="AC117" s="536">
        <v>5760</v>
      </c>
      <c r="AD117" s="536">
        <v>5760</v>
      </c>
      <c r="AE117" s="536">
        <v>5760</v>
      </c>
      <c r="AF117" s="536">
        <v>5760</v>
      </c>
      <c r="AG117" s="536">
        <v>5760</v>
      </c>
      <c r="AH117" s="540">
        <f>AG117</f>
        <v>5760</v>
      </c>
      <c r="AI117" s="540">
        <f t="shared" si="102"/>
        <v>5760</v>
      </c>
      <c r="AJ117" s="540">
        <f t="shared" si="102"/>
        <v>5760</v>
      </c>
      <c r="AK117" s="540">
        <f t="shared" si="102"/>
        <v>5760</v>
      </c>
      <c r="AL117" s="540">
        <f t="shared" si="102"/>
        <v>5760</v>
      </c>
      <c r="AM117" s="540">
        <f t="shared" si="102"/>
        <v>5760</v>
      </c>
      <c r="AN117" s="540">
        <f t="shared" si="102"/>
        <v>5760</v>
      </c>
      <c r="AO117" s="540">
        <f t="shared" si="102"/>
        <v>5760</v>
      </c>
      <c r="AP117" s="540">
        <f t="shared" si="102"/>
        <v>5760</v>
      </c>
      <c r="AQ117" s="540">
        <f t="shared" si="102"/>
        <v>5760</v>
      </c>
      <c r="AR117" s="540">
        <f t="shared" si="102"/>
        <v>5760</v>
      </c>
      <c r="AS117" s="540">
        <f t="shared" si="102"/>
        <v>5760</v>
      </c>
      <c r="AT117" s="540">
        <f t="shared" si="102"/>
        <v>5760</v>
      </c>
      <c r="AU117" s="540">
        <f t="shared" si="102"/>
        <v>5760</v>
      </c>
      <c r="AV117" s="540">
        <f t="shared" si="102"/>
        <v>5760</v>
      </c>
      <c r="AW117" s="540">
        <f t="shared" si="102"/>
        <v>5760</v>
      </c>
      <c r="AX117" s="540">
        <f t="shared" si="102"/>
        <v>5760</v>
      </c>
      <c r="AY117" s="540">
        <f t="shared" si="102"/>
        <v>5760</v>
      </c>
      <c r="AZ117" s="540">
        <f t="shared" si="102"/>
        <v>5760</v>
      </c>
      <c r="BA117" s="540">
        <f t="shared" si="102"/>
        <v>5760</v>
      </c>
      <c r="BB117" s="540">
        <f t="shared" si="102"/>
        <v>5760</v>
      </c>
      <c r="BC117" s="540">
        <f t="shared" si="102"/>
        <v>5760</v>
      </c>
      <c r="BD117" s="540">
        <f t="shared" si="102"/>
        <v>5760</v>
      </c>
      <c r="BE117" s="540">
        <f t="shared" si="102"/>
        <v>5760</v>
      </c>
      <c r="BF117" s="540">
        <f t="shared" si="102"/>
        <v>5760</v>
      </c>
      <c r="BG117" s="540">
        <f t="shared" si="102"/>
        <v>5760</v>
      </c>
      <c r="BH117" s="540">
        <f t="shared" si="102"/>
        <v>5760</v>
      </c>
      <c r="BI117" s="540">
        <f t="shared" si="102"/>
        <v>5760</v>
      </c>
      <c r="BJ117" s="540">
        <f t="shared" si="102"/>
        <v>5760</v>
      </c>
      <c r="BK117" s="540">
        <f t="shared" si="102"/>
        <v>5760</v>
      </c>
      <c r="BL117" s="540">
        <f t="shared" si="102"/>
        <v>5760</v>
      </c>
      <c r="BM117" s="540">
        <f t="shared" si="102"/>
        <v>5760</v>
      </c>
      <c r="BN117" s="540">
        <f t="shared" si="102"/>
        <v>5760</v>
      </c>
      <c r="BO117" s="540">
        <f t="shared" si="102"/>
        <v>5760</v>
      </c>
      <c r="BP117" s="540">
        <f t="shared" si="102"/>
        <v>5760</v>
      </c>
      <c r="BQ117" s="540">
        <f t="shared" si="102"/>
        <v>5760</v>
      </c>
      <c r="BR117" s="540">
        <f t="shared" si="102"/>
        <v>5760</v>
      </c>
      <c r="BS117" s="540">
        <f t="shared" si="102"/>
        <v>5760</v>
      </c>
      <c r="BT117" s="540">
        <f t="shared" si="102"/>
        <v>5760</v>
      </c>
      <c r="BU117" s="540">
        <f t="shared" si="102"/>
        <v>5760</v>
      </c>
      <c r="BV117" s="540">
        <f t="shared" si="102"/>
        <v>5760</v>
      </c>
      <c r="BW117" s="540">
        <f t="shared" si="102"/>
        <v>5760</v>
      </c>
      <c r="BX117" s="540">
        <f t="shared" si="102"/>
        <v>5760</v>
      </c>
      <c r="BY117" s="540">
        <f t="shared" si="102"/>
        <v>5760</v>
      </c>
      <c r="BZ117" s="540">
        <f t="shared" si="102"/>
        <v>5760</v>
      </c>
      <c r="CA117" s="540">
        <f t="shared" si="102"/>
        <v>5760</v>
      </c>
      <c r="CB117" s="540">
        <f t="shared" si="102"/>
        <v>5760</v>
      </c>
      <c r="CC117" s="540">
        <f t="shared" si="102"/>
        <v>5760</v>
      </c>
      <c r="CD117" s="540">
        <f t="shared" si="102"/>
        <v>5760</v>
      </c>
      <c r="CE117" s="540">
        <f t="shared" si="102"/>
        <v>5760</v>
      </c>
      <c r="CG117" s="536">
        <v>5760</v>
      </c>
      <c r="CH117" s="536">
        <v>5760</v>
      </c>
      <c r="CI117" s="536">
        <v>5760</v>
      </c>
      <c r="CJ117" s="536">
        <v>5760</v>
      </c>
      <c r="CK117" s="536">
        <v>5760</v>
      </c>
      <c r="CL117" s="536">
        <v>5760</v>
      </c>
      <c r="CM117" s="536">
        <v>5760</v>
      </c>
      <c r="CN117" s="536">
        <v>5760</v>
      </c>
      <c r="CO117" s="536">
        <v>5760</v>
      </c>
      <c r="CP117" s="536">
        <v>5760</v>
      </c>
      <c r="CQ117" s="536">
        <v>5760</v>
      </c>
      <c r="CR117" s="536">
        <v>5760</v>
      </c>
      <c r="CS117" s="536">
        <v>5760</v>
      </c>
      <c r="CT117" s="536">
        <v>5760</v>
      </c>
      <c r="CU117" s="536">
        <v>5760</v>
      </c>
      <c r="CV117" s="536">
        <v>5760</v>
      </c>
      <c r="CW117" s="536">
        <v>5760</v>
      </c>
      <c r="CX117" s="536">
        <v>5760</v>
      </c>
      <c r="CY117" s="536">
        <v>5760</v>
      </c>
      <c r="CZ117" s="536">
        <v>5760</v>
      </c>
      <c r="DA117" s="536">
        <v>5760</v>
      </c>
      <c r="DB117" s="536">
        <v>5760</v>
      </c>
      <c r="DC117" s="536">
        <v>5760</v>
      </c>
      <c r="DD117" s="536">
        <v>5760</v>
      </c>
      <c r="DE117" s="536">
        <v>5760</v>
      </c>
      <c r="DF117" s="536">
        <v>5760</v>
      </c>
      <c r="DG117" s="536">
        <v>5760</v>
      </c>
      <c r="DH117" s="536">
        <v>5760</v>
      </c>
    </row>
    <row r="118" spans="2:112">
      <c r="F118" s="539"/>
      <c r="G118" s="539"/>
      <c r="H118" s="539"/>
      <c r="I118" s="539"/>
      <c r="J118" s="539"/>
      <c r="K118" s="539"/>
      <c r="L118" s="539"/>
      <c r="M118" s="539"/>
      <c r="N118" s="539"/>
      <c r="O118" s="539"/>
      <c r="P118" s="539"/>
      <c r="Q118" s="539"/>
      <c r="R118" s="539"/>
      <c r="S118" s="539"/>
      <c r="T118" s="539"/>
      <c r="U118" s="539"/>
      <c r="V118" s="539"/>
      <c r="W118" s="539"/>
      <c r="X118" s="539"/>
      <c r="Y118" s="539"/>
      <c r="Z118" s="539"/>
      <c r="AA118" s="539"/>
      <c r="AB118" s="539"/>
      <c r="AC118" s="539"/>
      <c r="AD118" s="539"/>
      <c r="AE118" s="539"/>
      <c r="AF118" s="539"/>
      <c r="AG118" s="539"/>
      <c r="AH118" s="539"/>
      <c r="AI118" s="539"/>
      <c r="AJ118" s="539"/>
      <c r="AK118" s="539"/>
      <c r="AL118" s="539"/>
      <c r="AM118" s="539"/>
      <c r="AN118" s="539"/>
      <c r="AO118" s="539"/>
      <c r="AP118" s="539"/>
      <c r="AQ118" s="539"/>
      <c r="AR118" s="539"/>
      <c r="AS118" s="539"/>
      <c r="AT118" s="539"/>
      <c r="AU118" s="539"/>
      <c r="AV118" s="539"/>
      <c r="AW118" s="539"/>
      <c r="AX118" s="539"/>
      <c r="AY118" s="539"/>
      <c r="AZ118" s="539"/>
      <c r="BA118" s="539"/>
      <c r="BB118" s="539"/>
      <c r="BC118" s="539"/>
      <c r="BD118" s="539"/>
      <c r="BE118" s="539"/>
      <c r="BF118" s="539"/>
      <c r="BG118" s="539"/>
      <c r="BH118" s="539"/>
      <c r="BI118" s="539"/>
      <c r="BJ118" s="539"/>
      <c r="BK118" s="539"/>
      <c r="BL118" s="539"/>
      <c r="BM118" s="539"/>
      <c r="BN118" s="539"/>
      <c r="BO118" s="539"/>
      <c r="BP118" s="539"/>
      <c r="BQ118" s="539"/>
      <c r="BR118" s="539"/>
      <c r="BS118" s="539"/>
      <c r="BT118" s="539"/>
      <c r="BU118" s="539"/>
      <c r="BV118" s="539"/>
      <c r="BW118" s="539"/>
      <c r="BX118" s="539"/>
      <c r="BY118" s="539"/>
      <c r="BZ118" s="539"/>
      <c r="CA118" s="539"/>
      <c r="CB118" s="539"/>
      <c r="CC118" s="539"/>
      <c r="CD118" s="539"/>
      <c r="CE118" s="539"/>
      <c r="CG118" s="539"/>
      <c r="CH118" s="539"/>
      <c r="CI118" s="539"/>
      <c r="CJ118" s="539"/>
      <c r="CK118" s="539"/>
      <c r="CL118" s="539"/>
      <c r="CM118" s="539"/>
      <c r="CN118" s="539"/>
      <c r="CO118" s="539"/>
      <c r="CP118" s="539"/>
      <c r="CQ118" s="539"/>
      <c r="CR118" s="539"/>
      <c r="CS118" s="539"/>
      <c r="CT118" s="539"/>
      <c r="CU118" s="539"/>
      <c r="CV118" s="539"/>
      <c r="CW118" s="539"/>
      <c r="CX118" s="539"/>
      <c r="CY118" s="539"/>
      <c r="CZ118" s="539"/>
      <c r="DA118" s="539"/>
      <c r="DB118" s="539"/>
      <c r="DC118" s="539"/>
      <c r="DD118" s="539"/>
      <c r="DE118" s="539"/>
      <c r="DF118" s="539"/>
      <c r="DG118" s="539"/>
      <c r="DH118" s="539"/>
    </row>
    <row r="119" spans="2:112">
      <c r="B119" t="s">
        <v>1005</v>
      </c>
      <c r="C119" t="s">
        <v>272</v>
      </c>
      <c r="D119" t="s">
        <v>907</v>
      </c>
      <c r="E119" t="s">
        <v>908</v>
      </c>
      <c r="F119" s="541">
        <v>33.618000000000002</v>
      </c>
      <c r="G119" s="541">
        <v>33.618000000000002</v>
      </c>
      <c r="H119" s="541">
        <v>33.618000000000002</v>
      </c>
      <c r="I119" s="541">
        <v>33.618000000000002</v>
      </c>
      <c r="J119" s="541">
        <v>33.618000000000002</v>
      </c>
      <c r="K119" s="541">
        <v>33.618000000000002</v>
      </c>
      <c r="L119" s="541">
        <v>33.618000000000002</v>
      </c>
      <c r="M119" s="541">
        <v>33.618000000000002</v>
      </c>
      <c r="N119" s="541">
        <v>33.618000000000002</v>
      </c>
      <c r="O119" s="541">
        <v>33.618000000000002</v>
      </c>
      <c r="P119" s="541">
        <v>33.618000000000002</v>
      </c>
      <c r="Q119" s="541">
        <v>33.618000000000002</v>
      </c>
      <c r="R119" s="541">
        <v>33.618000000000002</v>
      </c>
      <c r="S119" s="541">
        <v>33.618000000000002</v>
      </c>
      <c r="T119" s="541">
        <v>33.618000000000002</v>
      </c>
      <c r="U119" s="541">
        <v>33.618000000000002</v>
      </c>
      <c r="V119" s="541">
        <v>33.618000000000002</v>
      </c>
      <c r="W119" s="541">
        <v>33.618000000000002</v>
      </c>
      <c r="X119" s="541">
        <v>33.618000000000002</v>
      </c>
      <c r="Y119" s="541">
        <v>33.618000000000002</v>
      </c>
      <c r="Z119" s="541">
        <v>33.618000000000002</v>
      </c>
      <c r="AA119" s="541">
        <v>33.618000000000002</v>
      </c>
      <c r="AB119" s="541">
        <v>33.618000000000002</v>
      </c>
      <c r="AC119" s="541">
        <v>33.618000000000002</v>
      </c>
      <c r="AD119" s="541">
        <v>33.618000000000002</v>
      </c>
      <c r="AE119" s="541">
        <v>33.618000000000002</v>
      </c>
      <c r="AF119" s="541">
        <v>33.618000000000002</v>
      </c>
      <c r="AG119" s="541">
        <v>33.618000000000002</v>
      </c>
      <c r="AH119" s="542">
        <f>AG119</f>
        <v>33.618000000000002</v>
      </c>
      <c r="AI119" s="542">
        <f t="shared" ref="AI119:AX119" si="103">AH119</f>
        <v>33.618000000000002</v>
      </c>
      <c r="AJ119" s="542">
        <f t="shared" si="103"/>
        <v>33.618000000000002</v>
      </c>
      <c r="AK119" s="542">
        <f t="shared" si="103"/>
        <v>33.618000000000002</v>
      </c>
      <c r="AL119" s="542">
        <f t="shared" si="103"/>
        <v>33.618000000000002</v>
      </c>
      <c r="AM119" s="542">
        <f t="shared" si="103"/>
        <v>33.618000000000002</v>
      </c>
      <c r="AN119" s="542">
        <f t="shared" si="103"/>
        <v>33.618000000000002</v>
      </c>
      <c r="AO119" s="542">
        <f t="shared" si="103"/>
        <v>33.618000000000002</v>
      </c>
      <c r="AP119" s="542">
        <f t="shared" si="103"/>
        <v>33.618000000000002</v>
      </c>
      <c r="AQ119" s="542">
        <f t="shared" si="103"/>
        <v>33.618000000000002</v>
      </c>
      <c r="AR119" s="542">
        <f t="shared" si="103"/>
        <v>33.618000000000002</v>
      </c>
      <c r="AS119" s="542">
        <f t="shared" si="103"/>
        <v>33.618000000000002</v>
      </c>
      <c r="AT119" s="542">
        <f t="shared" si="103"/>
        <v>33.618000000000002</v>
      </c>
      <c r="AU119" s="542">
        <f t="shared" si="103"/>
        <v>33.618000000000002</v>
      </c>
      <c r="AV119" s="542">
        <f t="shared" si="103"/>
        <v>33.618000000000002</v>
      </c>
      <c r="AW119" s="542">
        <f t="shared" si="103"/>
        <v>33.618000000000002</v>
      </c>
      <c r="AX119" s="542">
        <f t="shared" si="103"/>
        <v>33.618000000000002</v>
      </c>
      <c r="AY119" s="542">
        <f t="shared" ref="AY119:BN119" si="104">AX119</f>
        <v>33.618000000000002</v>
      </c>
      <c r="AZ119" s="542">
        <f t="shared" si="104"/>
        <v>33.618000000000002</v>
      </c>
      <c r="BA119" s="542">
        <f t="shared" si="104"/>
        <v>33.618000000000002</v>
      </c>
      <c r="BB119" s="542">
        <f t="shared" si="104"/>
        <v>33.618000000000002</v>
      </c>
      <c r="BC119" s="542">
        <f t="shared" si="104"/>
        <v>33.618000000000002</v>
      </c>
      <c r="BD119" s="542">
        <f t="shared" si="104"/>
        <v>33.618000000000002</v>
      </c>
      <c r="BE119" s="542">
        <f t="shared" si="104"/>
        <v>33.618000000000002</v>
      </c>
      <c r="BF119" s="542">
        <f t="shared" si="104"/>
        <v>33.618000000000002</v>
      </c>
      <c r="BG119" s="542">
        <f t="shared" si="104"/>
        <v>33.618000000000002</v>
      </c>
      <c r="BH119" s="542">
        <f t="shared" si="104"/>
        <v>33.618000000000002</v>
      </c>
      <c r="BI119" s="542">
        <f t="shared" si="104"/>
        <v>33.618000000000002</v>
      </c>
      <c r="BJ119" s="542">
        <f t="shared" si="104"/>
        <v>33.618000000000002</v>
      </c>
      <c r="BK119" s="542">
        <f t="shared" si="104"/>
        <v>33.618000000000002</v>
      </c>
      <c r="BL119" s="542">
        <f t="shared" si="104"/>
        <v>33.618000000000002</v>
      </c>
      <c r="BM119" s="542">
        <f t="shared" si="104"/>
        <v>33.618000000000002</v>
      </c>
      <c r="BN119" s="542">
        <f t="shared" si="104"/>
        <v>33.618000000000002</v>
      </c>
      <c r="BO119" s="542">
        <f t="shared" ref="BO119:CD119" si="105">BN119</f>
        <v>33.618000000000002</v>
      </c>
      <c r="BP119" s="542">
        <f t="shared" si="105"/>
        <v>33.618000000000002</v>
      </c>
      <c r="BQ119" s="542">
        <f t="shared" si="105"/>
        <v>33.618000000000002</v>
      </c>
      <c r="BR119" s="542">
        <f t="shared" si="105"/>
        <v>33.618000000000002</v>
      </c>
      <c r="BS119" s="542">
        <f t="shared" si="105"/>
        <v>33.618000000000002</v>
      </c>
      <c r="BT119" s="542">
        <f t="shared" si="105"/>
        <v>33.618000000000002</v>
      </c>
      <c r="BU119" s="542">
        <f t="shared" si="105"/>
        <v>33.618000000000002</v>
      </c>
      <c r="BV119" s="542">
        <f t="shared" si="105"/>
        <v>33.618000000000002</v>
      </c>
      <c r="BW119" s="542">
        <f t="shared" si="105"/>
        <v>33.618000000000002</v>
      </c>
      <c r="BX119" s="542">
        <f t="shared" si="105"/>
        <v>33.618000000000002</v>
      </c>
      <c r="BY119" s="542">
        <f t="shared" si="105"/>
        <v>33.618000000000002</v>
      </c>
      <c r="BZ119" s="542">
        <f t="shared" si="105"/>
        <v>33.618000000000002</v>
      </c>
      <c r="CA119" s="542">
        <f t="shared" si="105"/>
        <v>33.618000000000002</v>
      </c>
      <c r="CB119" s="542">
        <f t="shared" si="105"/>
        <v>33.618000000000002</v>
      </c>
      <c r="CC119" s="542">
        <f t="shared" si="105"/>
        <v>33.618000000000002</v>
      </c>
      <c r="CD119" s="542">
        <f t="shared" si="105"/>
        <v>33.618000000000002</v>
      </c>
      <c r="CE119" s="542">
        <f t="shared" ref="AX119:CE126" si="106">CD119</f>
        <v>33.618000000000002</v>
      </c>
      <c r="CG119" s="541">
        <v>33.618000000000002</v>
      </c>
      <c r="CH119" s="541">
        <v>33.618000000000002</v>
      </c>
      <c r="CI119" s="541">
        <v>33.618000000000002</v>
      </c>
      <c r="CJ119" s="541">
        <v>33.618000000000002</v>
      </c>
      <c r="CK119" s="541">
        <v>33.618000000000002</v>
      </c>
      <c r="CL119" s="541">
        <v>33.618000000000002</v>
      </c>
      <c r="CM119" s="541">
        <v>33.618000000000002</v>
      </c>
      <c r="CN119" s="541">
        <v>33.618000000000002</v>
      </c>
      <c r="CO119" s="541">
        <v>33.618000000000002</v>
      </c>
      <c r="CP119" s="541">
        <v>33.618000000000002</v>
      </c>
      <c r="CQ119" s="541">
        <v>33.618000000000002</v>
      </c>
      <c r="CR119" s="541">
        <v>33.618000000000002</v>
      </c>
      <c r="CS119" s="541">
        <v>33.618000000000002</v>
      </c>
      <c r="CT119" s="541">
        <v>33.618000000000002</v>
      </c>
      <c r="CU119" s="541">
        <v>33.618000000000002</v>
      </c>
      <c r="CV119" s="541">
        <v>33.618000000000002</v>
      </c>
      <c r="CW119" s="541">
        <v>33.618000000000002</v>
      </c>
      <c r="CX119" s="541">
        <v>33.618000000000002</v>
      </c>
      <c r="CY119" s="541">
        <v>33.618000000000002</v>
      </c>
      <c r="CZ119" s="541">
        <v>33.618000000000002</v>
      </c>
      <c r="DA119" s="541">
        <v>33.618000000000002</v>
      </c>
      <c r="DB119" s="541">
        <v>33.618000000000002</v>
      </c>
      <c r="DC119" s="541">
        <v>33.618000000000002</v>
      </c>
      <c r="DD119" s="541">
        <v>33.618000000000002</v>
      </c>
      <c r="DE119" s="541">
        <v>33.618000000000002</v>
      </c>
      <c r="DF119" s="541">
        <v>33.618000000000002</v>
      </c>
      <c r="DG119" s="541">
        <v>33.618000000000002</v>
      </c>
      <c r="DH119" s="541">
        <v>33.618000000000002</v>
      </c>
    </row>
    <row r="120" spans="2:112">
      <c r="B120" t="s">
        <v>1006</v>
      </c>
      <c r="C120" t="s">
        <v>272</v>
      </c>
      <c r="D120" t="s">
        <v>910</v>
      </c>
      <c r="E120" t="s">
        <v>911</v>
      </c>
      <c r="F120" s="541">
        <v>1.991644</v>
      </c>
      <c r="G120" s="541">
        <v>1.991644</v>
      </c>
      <c r="H120" s="541">
        <v>1.991644</v>
      </c>
      <c r="I120" s="541">
        <v>1.991644</v>
      </c>
      <c r="J120" s="541">
        <v>1.991644</v>
      </c>
      <c r="K120" s="541">
        <v>1.991644</v>
      </c>
      <c r="L120" s="541">
        <v>1.991644</v>
      </c>
      <c r="M120" s="541">
        <v>1.991644</v>
      </c>
      <c r="N120" s="541">
        <v>1.991644</v>
      </c>
      <c r="O120" s="541">
        <v>1.991644</v>
      </c>
      <c r="P120" s="541">
        <v>1.991644</v>
      </c>
      <c r="Q120" s="541">
        <v>1.991644</v>
      </c>
      <c r="R120" s="541">
        <v>1.991644</v>
      </c>
      <c r="S120" s="541">
        <v>1.991644</v>
      </c>
      <c r="T120" s="541">
        <v>1.991644</v>
      </c>
      <c r="U120" s="541">
        <v>1.991644</v>
      </c>
      <c r="V120" s="541">
        <v>1.991644</v>
      </c>
      <c r="W120" s="541">
        <v>1.991644</v>
      </c>
      <c r="X120" s="541">
        <v>1.991644</v>
      </c>
      <c r="Y120" s="541">
        <v>1.991644</v>
      </c>
      <c r="Z120" s="541">
        <v>1.991644</v>
      </c>
      <c r="AA120" s="541">
        <v>1.991644</v>
      </c>
      <c r="AB120" s="541">
        <v>1.991644</v>
      </c>
      <c r="AC120" s="541">
        <v>1.991644</v>
      </c>
      <c r="AD120" s="541">
        <v>1.991644</v>
      </c>
      <c r="AE120" s="541">
        <v>1.991644</v>
      </c>
      <c r="AF120" s="541">
        <v>1.991644</v>
      </c>
      <c r="AG120" s="541">
        <v>1.991644</v>
      </c>
      <c r="AH120" s="542">
        <f t="shared" ref="AH120:AW126" si="107">AG120</f>
        <v>1.991644</v>
      </c>
      <c r="AI120" s="542">
        <f t="shared" si="107"/>
        <v>1.991644</v>
      </c>
      <c r="AJ120" s="542">
        <f t="shared" si="107"/>
        <v>1.991644</v>
      </c>
      <c r="AK120" s="542">
        <f t="shared" si="107"/>
        <v>1.991644</v>
      </c>
      <c r="AL120" s="542">
        <f t="shared" si="107"/>
        <v>1.991644</v>
      </c>
      <c r="AM120" s="542">
        <f t="shared" si="107"/>
        <v>1.991644</v>
      </c>
      <c r="AN120" s="542">
        <f t="shared" si="107"/>
        <v>1.991644</v>
      </c>
      <c r="AO120" s="542">
        <f t="shared" si="107"/>
        <v>1.991644</v>
      </c>
      <c r="AP120" s="542">
        <f t="shared" si="107"/>
        <v>1.991644</v>
      </c>
      <c r="AQ120" s="542">
        <f t="shared" si="107"/>
        <v>1.991644</v>
      </c>
      <c r="AR120" s="542">
        <f t="shared" si="107"/>
        <v>1.991644</v>
      </c>
      <c r="AS120" s="542">
        <f t="shared" si="107"/>
        <v>1.991644</v>
      </c>
      <c r="AT120" s="542">
        <f t="shared" si="107"/>
        <v>1.991644</v>
      </c>
      <c r="AU120" s="542">
        <f t="shared" si="107"/>
        <v>1.991644</v>
      </c>
      <c r="AV120" s="542">
        <f t="shared" si="107"/>
        <v>1.991644</v>
      </c>
      <c r="AW120" s="542">
        <f t="shared" si="107"/>
        <v>1.991644</v>
      </c>
      <c r="AX120" s="542">
        <f t="shared" si="106"/>
        <v>1.991644</v>
      </c>
      <c r="AY120" s="542">
        <f t="shared" si="106"/>
        <v>1.991644</v>
      </c>
      <c r="AZ120" s="542">
        <f t="shared" si="106"/>
        <v>1.991644</v>
      </c>
      <c r="BA120" s="542">
        <f t="shared" si="106"/>
        <v>1.991644</v>
      </c>
      <c r="BB120" s="542">
        <f t="shared" si="106"/>
        <v>1.991644</v>
      </c>
      <c r="BC120" s="542">
        <f t="shared" si="106"/>
        <v>1.991644</v>
      </c>
      <c r="BD120" s="542">
        <f t="shared" si="106"/>
        <v>1.991644</v>
      </c>
      <c r="BE120" s="542">
        <f t="shared" si="106"/>
        <v>1.991644</v>
      </c>
      <c r="BF120" s="542">
        <f t="shared" si="106"/>
        <v>1.991644</v>
      </c>
      <c r="BG120" s="542">
        <f t="shared" si="106"/>
        <v>1.991644</v>
      </c>
      <c r="BH120" s="542">
        <f t="shared" si="106"/>
        <v>1.991644</v>
      </c>
      <c r="BI120" s="542">
        <f t="shared" si="106"/>
        <v>1.991644</v>
      </c>
      <c r="BJ120" s="542">
        <f t="shared" si="106"/>
        <v>1.991644</v>
      </c>
      <c r="BK120" s="542">
        <f t="shared" si="106"/>
        <v>1.991644</v>
      </c>
      <c r="BL120" s="542">
        <f t="shared" si="106"/>
        <v>1.991644</v>
      </c>
      <c r="BM120" s="542">
        <f t="shared" si="106"/>
        <v>1.991644</v>
      </c>
      <c r="BN120" s="542">
        <f t="shared" si="106"/>
        <v>1.991644</v>
      </c>
      <c r="BO120" s="542">
        <f t="shared" si="106"/>
        <v>1.991644</v>
      </c>
      <c r="BP120" s="542">
        <f t="shared" si="106"/>
        <v>1.991644</v>
      </c>
      <c r="BQ120" s="542">
        <f t="shared" si="106"/>
        <v>1.991644</v>
      </c>
      <c r="BR120" s="542">
        <f t="shared" si="106"/>
        <v>1.991644</v>
      </c>
      <c r="BS120" s="542">
        <f t="shared" si="106"/>
        <v>1.991644</v>
      </c>
      <c r="BT120" s="542">
        <f t="shared" si="106"/>
        <v>1.991644</v>
      </c>
      <c r="BU120" s="542">
        <f t="shared" si="106"/>
        <v>1.991644</v>
      </c>
      <c r="BV120" s="542">
        <f t="shared" si="106"/>
        <v>1.991644</v>
      </c>
      <c r="BW120" s="542">
        <f t="shared" si="106"/>
        <v>1.991644</v>
      </c>
      <c r="BX120" s="542">
        <f t="shared" si="106"/>
        <v>1.991644</v>
      </c>
      <c r="BY120" s="542">
        <f t="shared" si="106"/>
        <v>1.991644</v>
      </c>
      <c r="BZ120" s="542">
        <f t="shared" si="106"/>
        <v>1.991644</v>
      </c>
      <c r="CA120" s="542">
        <f t="shared" si="106"/>
        <v>1.991644</v>
      </c>
      <c r="CB120" s="542">
        <f t="shared" si="106"/>
        <v>1.991644</v>
      </c>
      <c r="CC120" s="542">
        <f t="shared" si="106"/>
        <v>1.991644</v>
      </c>
      <c r="CD120" s="542">
        <f t="shared" si="106"/>
        <v>1.991644</v>
      </c>
      <c r="CE120" s="542">
        <f t="shared" si="106"/>
        <v>1.991644</v>
      </c>
      <c r="CG120" s="541">
        <v>1.991644</v>
      </c>
      <c r="CH120" s="541">
        <v>1.991644</v>
      </c>
      <c r="CI120" s="541">
        <v>1.991644</v>
      </c>
      <c r="CJ120" s="541">
        <v>1.991644</v>
      </c>
      <c r="CK120" s="541">
        <v>1.991644</v>
      </c>
      <c r="CL120" s="541">
        <v>1.991644</v>
      </c>
      <c r="CM120" s="541">
        <v>1.991644</v>
      </c>
      <c r="CN120" s="541">
        <v>1.991644</v>
      </c>
      <c r="CO120" s="541">
        <v>1.991644</v>
      </c>
      <c r="CP120" s="541">
        <v>1.991644</v>
      </c>
      <c r="CQ120" s="541">
        <v>1.991644</v>
      </c>
      <c r="CR120" s="541">
        <v>1.991644</v>
      </c>
      <c r="CS120" s="541">
        <v>1.991644</v>
      </c>
      <c r="CT120" s="541">
        <v>1.991644</v>
      </c>
      <c r="CU120" s="541">
        <v>1.991644</v>
      </c>
      <c r="CV120" s="541">
        <v>1.991644</v>
      </c>
      <c r="CW120" s="541">
        <v>1.991644</v>
      </c>
      <c r="CX120" s="541">
        <v>1.991644</v>
      </c>
      <c r="CY120" s="541">
        <v>1.991644</v>
      </c>
      <c r="CZ120" s="541">
        <v>1.991644</v>
      </c>
      <c r="DA120" s="541">
        <v>1.991644</v>
      </c>
      <c r="DB120" s="541">
        <v>1.991644</v>
      </c>
      <c r="DC120" s="541">
        <v>1.991644</v>
      </c>
      <c r="DD120" s="541">
        <v>1.991644</v>
      </c>
      <c r="DE120" s="541">
        <v>1.991644</v>
      </c>
      <c r="DF120" s="541">
        <v>1.991644</v>
      </c>
      <c r="DG120" s="541">
        <v>1.991644</v>
      </c>
      <c r="DH120" s="541">
        <v>1.991644</v>
      </c>
    </row>
    <row r="121" spans="2:112">
      <c r="B121" t="s">
        <v>1007</v>
      </c>
      <c r="C121" t="s">
        <v>272</v>
      </c>
      <c r="D121" t="s">
        <v>913</v>
      </c>
      <c r="E121" t="s">
        <v>908</v>
      </c>
      <c r="F121" s="541">
        <v>41.452500000000001</v>
      </c>
      <c r="G121" s="541">
        <v>41.452500000000001</v>
      </c>
      <c r="H121" s="541">
        <v>41.452500000000001</v>
      </c>
      <c r="I121" s="541">
        <v>41.452500000000001</v>
      </c>
      <c r="J121" s="541">
        <v>41.452500000000001</v>
      </c>
      <c r="K121" s="541">
        <v>41.452500000000001</v>
      </c>
      <c r="L121" s="541">
        <v>41.452500000000001</v>
      </c>
      <c r="M121" s="541">
        <v>41.452500000000001</v>
      </c>
      <c r="N121" s="541">
        <v>41.452500000000001</v>
      </c>
      <c r="O121" s="541">
        <v>41.452500000000001</v>
      </c>
      <c r="P121" s="541">
        <v>41.452500000000001</v>
      </c>
      <c r="Q121" s="541">
        <v>41.452500000000001</v>
      </c>
      <c r="R121" s="541">
        <v>41.452500000000001</v>
      </c>
      <c r="S121" s="541">
        <v>41.452500000000001</v>
      </c>
      <c r="T121" s="541">
        <v>41.452500000000001</v>
      </c>
      <c r="U121" s="541">
        <v>41.452500000000001</v>
      </c>
      <c r="V121" s="541">
        <v>41.452500000000001</v>
      </c>
      <c r="W121" s="541">
        <v>41.452500000000001</v>
      </c>
      <c r="X121" s="541">
        <v>41.452500000000001</v>
      </c>
      <c r="Y121" s="541">
        <v>41.452500000000001</v>
      </c>
      <c r="Z121" s="541">
        <v>41.452500000000001</v>
      </c>
      <c r="AA121" s="541">
        <v>41.452500000000001</v>
      </c>
      <c r="AB121" s="541">
        <v>41.452500000000001</v>
      </c>
      <c r="AC121" s="541">
        <v>41.452500000000001</v>
      </c>
      <c r="AD121" s="541">
        <v>41.452500000000001</v>
      </c>
      <c r="AE121" s="541">
        <v>41.452500000000001</v>
      </c>
      <c r="AF121" s="541">
        <v>41.452500000000001</v>
      </c>
      <c r="AG121" s="541">
        <v>41.452500000000001</v>
      </c>
      <c r="AH121" s="542">
        <f t="shared" si="107"/>
        <v>41.452500000000001</v>
      </c>
      <c r="AI121" s="542">
        <f t="shared" si="107"/>
        <v>41.452500000000001</v>
      </c>
      <c r="AJ121" s="542">
        <f t="shared" si="107"/>
        <v>41.452500000000001</v>
      </c>
      <c r="AK121" s="542">
        <f t="shared" si="107"/>
        <v>41.452500000000001</v>
      </c>
      <c r="AL121" s="542">
        <f t="shared" si="107"/>
        <v>41.452500000000001</v>
      </c>
      <c r="AM121" s="542">
        <f t="shared" si="107"/>
        <v>41.452500000000001</v>
      </c>
      <c r="AN121" s="542">
        <f t="shared" si="107"/>
        <v>41.452500000000001</v>
      </c>
      <c r="AO121" s="542">
        <f t="shared" si="107"/>
        <v>41.452500000000001</v>
      </c>
      <c r="AP121" s="542">
        <f t="shared" si="107"/>
        <v>41.452500000000001</v>
      </c>
      <c r="AQ121" s="542">
        <f t="shared" si="107"/>
        <v>41.452500000000001</v>
      </c>
      <c r="AR121" s="542">
        <f t="shared" si="107"/>
        <v>41.452500000000001</v>
      </c>
      <c r="AS121" s="542">
        <f t="shared" si="107"/>
        <v>41.452500000000001</v>
      </c>
      <c r="AT121" s="542">
        <f t="shared" si="107"/>
        <v>41.452500000000001</v>
      </c>
      <c r="AU121" s="542">
        <f t="shared" si="107"/>
        <v>41.452500000000001</v>
      </c>
      <c r="AV121" s="542">
        <f t="shared" si="107"/>
        <v>41.452500000000001</v>
      </c>
      <c r="AW121" s="542">
        <f t="shared" si="107"/>
        <v>41.452500000000001</v>
      </c>
      <c r="AX121" s="542">
        <f t="shared" si="106"/>
        <v>41.452500000000001</v>
      </c>
      <c r="AY121" s="542">
        <f t="shared" si="106"/>
        <v>41.452500000000001</v>
      </c>
      <c r="AZ121" s="542">
        <f t="shared" si="106"/>
        <v>41.452500000000001</v>
      </c>
      <c r="BA121" s="542">
        <f t="shared" si="106"/>
        <v>41.452500000000001</v>
      </c>
      <c r="BB121" s="542">
        <f t="shared" si="106"/>
        <v>41.452500000000001</v>
      </c>
      <c r="BC121" s="542">
        <f t="shared" si="106"/>
        <v>41.452500000000001</v>
      </c>
      <c r="BD121" s="542">
        <f t="shared" si="106"/>
        <v>41.452500000000001</v>
      </c>
      <c r="BE121" s="542">
        <f t="shared" si="106"/>
        <v>41.452500000000001</v>
      </c>
      <c r="BF121" s="542">
        <f t="shared" si="106"/>
        <v>41.452500000000001</v>
      </c>
      <c r="BG121" s="542">
        <f t="shared" si="106"/>
        <v>41.452500000000001</v>
      </c>
      <c r="BH121" s="542">
        <f t="shared" si="106"/>
        <v>41.452500000000001</v>
      </c>
      <c r="BI121" s="542">
        <f t="shared" si="106"/>
        <v>41.452500000000001</v>
      </c>
      <c r="BJ121" s="542">
        <f t="shared" si="106"/>
        <v>41.452500000000001</v>
      </c>
      <c r="BK121" s="542">
        <f t="shared" si="106"/>
        <v>41.452500000000001</v>
      </c>
      <c r="BL121" s="542">
        <f t="shared" si="106"/>
        <v>41.452500000000001</v>
      </c>
      <c r="BM121" s="542">
        <f t="shared" si="106"/>
        <v>41.452500000000001</v>
      </c>
      <c r="BN121" s="542">
        <f t="shared" si="106"/>
        <v>41.452500000000001</v>
      </c>
      <c r="BO121" s="542">
        <f t="shared" si="106"/>
        <v>41.452500000000001</v>
      </c>
      <c r="BP121" s="542">
        <f t="shared" si="106"/>
        <v>41.452500000000001</v>
      </c>
      <c r="BQ121" s="542">
        <f t="shared" si="106"/>
        <v>41.452500000000001</v>
      </c>
      <c r="BR121" s="542">
        <f t="shared" si="106"/>
        <v>41.452500000000001</v>
      </c>
      <c r="BS121" s="542">
        <f t="shared" si="106"/>
        <v>41.452500000000001</v>
      </c>
      <c r="BT121" s="542">
        <f t="shared" si="106"/>
        <v>41.452500000000001</v>
      </c>
      <c r="BU121" s="542">
        <f t="shared" si="106"/>
        <v>41.452500000000001</v>
      </c>
      <c r="BV121" s="542">
        <f t="shared" si="106"/>
        <v>41.452500000000001</v>
      </c>
      <c r="BW121" s="542">
        <f t="shared" si="106"/>
        <v>41.452500000000001</v>
      </c>
      <c r="BX121" s="542">
        <f t="shared" si="106"/>
        <v>41.452500000000001</v>
      </c>
      <c r="BY121" s="542">
        <f t="shared" si="106"/>
        <v>41.452500000000001</v>
      </c>
      <c r="BZ121" s="542">
        <f t="shared" si="106"/>
        <v>41.452500000000001</v>
      </c>
      <c r="CA121" s="542">
        <f t="shared" si="106"/>
        <v>41.452500000000001</v>
      </c>
      <c r="CB121" s="542">
        <f t="shared" si="106"/>
        <v>41.452500000000001</v>
      </c>
      <c r="CC121" s="542">
        <f t="shared" si="106"/>
        <v>41.452500000000001</v>
      </c>
      <c r="CD121" s="542">
        <f t="shared" si="106"/>
        <v>41.452500000000001</v>
      </c>
      <c r="CE121" s="542">
        <f t="shared" si="106"/>
        <v>41.452500000000001</v>
      </c>
      <c r="CG121" s="541">
        <v>41.452500000000001</v>
      </c>
      <c r="CH121" s="541">
        <v>41.452500000000001</v>
      </c>
      <c r="CI121" s="541">
        <v>41.452500000000001</v>
      </c>
      <c r="CJ121" s="541">
        <v>41.452500000000001</v>
      </c>
      <c r="CK121" s="541">
        <v>41.452500000000001</v>
      </c>
      <c r="CL121" s="541">
        <v>41.452500000000001</v>
      </c>
      <c r="CM121" s="541">
        <v>41.452500000000001</v>
      </c>
      <c r="CN121" s="541">
        <v>41.452500000000001</v>
      </c>
      <c r="CO121" s="541">
        <v>41.452500000000001</v>
      </c>
      <c r="CP121" s="541">
        <v>41.452500000000001</v>
      </c>
      <c r="CQ121" s="541">
        <v>41.452500000000001</v>
      </c>
      <c r="CR121" s="541">
        <v>41.452500000000001</v>
      </c>
      <c r="CS121" s="541">
        <v>41.452500000000001</v>
      </c>
      <c r="CT121" s="541">
        <v>41.452500000000001</v>
      </c>
      <c r="CU121" s="541">
        <v>41.452500000000001</v>
      </c>
      <c r="CV121" s="541">
        <v>41.452500000000001</v>
      </c>
      <c r="CW121" s="541">
        <v>41.452500000000001</v>
      </c>
      <c r="CX121" s="541">
        <v>41.452500000000001</v>
      </c>
      <c r="CY121" s="541">
        <v>41.452500000000001</v>
      </c>
      <c r="CZ121" s="541">
        <v>41.452500000000001</v>
      </c>
      <c r="DA121" s="541">
        <v>41.452500000000001</v>
      </c>
      <c r="DB121" s="541">
        <v>41.452500000000001</v>
      </c>
      <c r="DC121" s="541">
        <v>41.452500000000001</v>
      </c>
      <c r="DD121" s="541">
        <v>41.452500000000001</v>
      </c>
      <c r="DE121" s="541">
        <v>41.452500000000001</v>
      </c>
      <c r="DF121" s="541">
        <v>41.452500000000001</v>
      </c>
      <c r="DG121" s="541">
        <v>41.452500000000001</v>
      </c>
      <c r="DH121" s="541">
        <v>41.452500000000001</v>
      </c>
    </row>
    <row r="122" spans="2:112">
      <c r="B122" t="s">
        <v>1008</v>
      </c>
      <c r="C122" t="s">
        <v>272</v>
      </c>
      <c r="D122" t="s">
        <v>915</v>
      </c>
      <c r="E122" t="s">
        <v>911</v>
      </c>
      <c r="F122" s="541">
        <v>2.064289</v>
      </c>
      <c r="G122" s="541">
        <v>2.064289</v>
      </c>
      <c r="H122" s="541">
        <v>2.064289</v>
      </c>
      <c r="I122" s="541">
        <v>2.064289</v>
      </c>
      <c r="J122" s="541">
        <v>2.064289</v>
      </c>
      <c r="K122" s="541">
        <v>2.064289</v>
      </c>
      <c r="L122" s="541">
        <v>2.064289</v>
      </c>
      <c r="M122" s="541">
        <v>2.064289</v>
      </c>
      <c r="N122" s="541">
        <v>2.064289</v>
      </c>
      <c r="O122" s="541">
        <v>2.064289</v>
      </c>
      <c r="P122" s="541">
        <v>2.064289</v>
      </c>
      <c r="Q122" s="541">
        <v>2.064289</v>
      </c>
      <c r="R122" s="541">
        <v>2.064289</v>
      </c>
      <c r="S122" s="541">
        <v>2.064289</v>
      </c>
      <c r="T122" s="541">
        <v>2.064289</v>
      </c>
      <c r="U122" s="541">
        <v>2.064289</v>
      </c>
      <c r="V122" s="541">
        <v>2.064289</v>
      </c>
      <c r="W122" s="541">
        <v>2.064289</v>
      </c>
      <c r="X122" s="541">
        <v>2.064289</v>
      </c>
      <c r="Y122" s="541">
        <v>2.064289</v>
      </c>
      <c r="Z122" s="541">
        <v>2.064289</v>
      </c>
      <c r="AA122" s="541">
        <v>2.064289</v>
      </c>
      <c r="AB122" s="541">
        <v>2.064289</v>
      </c>
      <c r="AC122" s="541">
        <v>2.064289</v>
      </c>
      <c r="AD122" s="541">
        <v>2.064289</v>
      </c>
      <c r="AE122" s="541">
        <v>2.064289</v>
      </c>
      <c r="AF122" s="541">
        <v>2.064289</v>
      </c>
      <c r="AG122" s="541">
        <v>2.064289</v>
      </c>
      <c r="AH122" s="542">
        <f t="shared" si="107"/>
        <v>2.064289</v>
      </c>
      <c r="AI122" s="542">
        <f t="shared" si="107"/>
        <v>2.064289</v>
      </c>
      <c r="AJ122" s="542">
        <f t="shared" si="107"/>
        <v>2.064289</v>
      </c>
      <c r="AK122" s="542">
        <f t="shared" si="107"/>
        <v>2.064289</v>
      </c>
      <c r="AL122" s="542">
        <f t="shared" si="107"/>
        <v>2.064289</v>
      </c>
      <c r="AM122" s="542">
        <f t="shared" si="107"/>
        <v>2.064289</v>
      </c>
      <c r="AN122" s="542">
        <f t="shared" si="107"/>
        <v>2.064289</v>
      </c>
      <c r="AO122" s="542">
        <f t="shared" si="107"/>
        <v>2.064289</v>
      </c>
      <c r="AP122" s="542">
        <f t="shared" si="107"/>
        <v>2.064289</v>
      </c>
      <c r="AQ122" s="542">
        <f t="shared" si="107"/>
        <v>2.064289</v>
      </c>
      <c r="AR122" s="542">
        <f t="shared" si="107"/>
        <v>2.064289</v>
      </c>
      <c r="AS122" s="542">
        <f t="shared" si="107"/>
        <v>2.064289</v>
      </c>
      <c r="AT122" s="542">
        <f t="shared" si="107"/>
        <v>2.064289</v>
      </c>
      <c r="AU122" s="542">
        <f t="shared" si="107"/>
        <v>2.064289</v>
      </c>
      <c r="AV122" s="542">
        <f t="shared" si="107"/>
        <v>2.064289</v>
      </c>
      <c r="AW122" s="542">
        <f t="shared" si="107"/>
        <v>2.064289</v>
      </c>
      <c r="AX122" s="542">
        <f t="shared" si="106"/>
        <v>2.064289</v>
      </c>
      <c r="AY122" s="542">
        <f t="shared" si="106"/>
        <v>2.064289</v>
      </c>
      <c r="AZ122" s="542">
        <f t="shared" si="106"/>
        <v>2.064289</v>
      </c>
      <c r="BA122" s="542">
        <f t="shared" si="106"/>
        <v>2.064289</v>
      </c>
      <c r="BB122" s="542">
        <f t="shared" si="106"/>
        <v>2.064289</v>
      </c>
      <c r="BC122" s="542">
        <f t="shared" si="106"/>
        <v>2.064289</v>
      </c>
      <c r="BD122" s="542">
        <f t="shared" si="106"/>
        <v>2.064289</v>
      </c>
      <c r="BE122" s="542">
        <f t="shared" si="106"/>
        <v>2.064289</v>
      </c>
      <c r="BF122" s="542">
        <f t="shared" si="106"/>
        <v>2.064289</v>
      </c>
      <c r="BG122" s="542">
        <f t="shared" si="106"/>
        <v>2.064289</v>
      </c>
      <c r="BH122" s="542">
        <f t="shared" si="106"/>
        <v>2.064289</v>
      </c>
      <c r="BI122" s="542">
        <f t="shared" si="106"/>
        <v>2.064289</v>
      </c>
      <c r="BJ122" s="542">
        <f t="shared" si="106"/>
        <v>2.064289</v>
      </c>
      <c r="BK122" s="542">
        <f t="shared" si="106"/>
        <v>2.064289</v>
      </c>
      <c r="BL122" s="542">
        <f t="shared" si="106"/>
        <v>2.064289</v>
      </c>
      <c r="BM122" s="542">
        <f t="shared" si="106"/>
        <v>2.064289</v>
      </c>
      <c r="BN122" s="542">
        <f t="shared" si="106"/>
        <v>2.064289</v>
      </c>
      <c r="BO122" s="542">
        <f t="shared" si="106"/>
        <v>2.064289</v>
      </c>
      <c r="BP122" s="542">
        <f t="shared" si="106"/>
        <v>2.064289</v>
      </c>
      <c r="BQ122" s="542">
        <f t="shared" si="106"/>
        <v>2.064289</v>
      </c>
      <c r="BR122" s="542">
        <f t="shared" si="106"/>
        <v>2.064289</v>
      </c>
      <c r="BS122" s="542">
        <f t="shared" si="106"/>
        <v>2.064289</v>
      </c>
      <c r="BT122" s="542">
        <f t="shared" si="106"/>
        <v>2.064289</v>
      </c>
      <c r="BU122" s="542">
        <f t="shared" si="106"/>
        <v>2.064289</v>
      </c>
      <c r="BV122" s="542">
        <f t="shared" si="106"/>
        <v>2.064289</v>
      </c>
      <c r="BW122" s="542">
        <f t="shared" si="106"/>
        <v>2.064289</v>
      </c>
      <c r="BX122" s="542">
        <f t="shared" si="106"/>
        <v>2.064289</v>
      </c>
      <c r="BY122" s="542">
        <f t="shared" si="106"/>
        <v>2.064289</v>
      </c>
      <c r="BZ122" s="542">
        <f t="shared" si="106"/>
        <v>2.064289</v>
      </c>
      <c r="CA122" s="542">
        <f t="shared" si="106"/>
        <v>2.064289</v>
      </c>
      <c r="CB122" s="542">
        <f t="shared" si="106"/>
        <v>2.064289</v>
      </c>
      <c r="CC122" s="542">
        <f t="shared" si="106"/>
        <v>2.064289</v>
      </c>
      <c r="CD122" s="542">
        <f t="shared" si="106"/>
        <v>2.064289</v>
      </c>
      <c r="CE122" s="542">
        <f t="shared" si="106"/>
        <v>2.064289</v>
      </c>
      <c r="CG122" s="541">
        <v>2.064289</v>
      </c>
      <c r="CH122" s="541">
        <v>2.064289</v>
      </c>
      <c r="CI122" s="541">
        <v>2.064289</v>
      </c>
      <c r="CJ122" s="541">
        <v>2.064289</v>
      </c>
      <c r="CK122" s="541">
        <v>2.064289</v>
      </c>
      <c r="CL122" s="541">
        <v>2.064289</v>
      </c>
      <c r="CM122" s="541">
        <v>2.064289</v>
      </c>
      <c r="CN122" s="541">
        <v>2.064289</v>
      </c>
      <c r="CO122" s="541">
        <v>2.064289</v>
      </c>
      <c r="CP122" s="541">
        <v>2.064289</v>
      </c>
      <c r="CQ122" s="541">
        <v>2.064289</v>
      </c>
      <c r="CR122" s="541">
        <v>2.064289</v>
      </c>
      <c r="CS122" s="541">
        <v>2.064289</v>
      </c>
      <c r="CT122" s="541">
        <v>2.064289</v>
      </c>
      <c r="CU122" s="541">
        <v>2.064289</v>
      </c>
      <c r="CV122" s="541">
        <v>2.064289</v>
      </c>
      <c r="CW122" s="541">
        <v>2.064289</v>
      </c>
      <c r="CX122" s="541">
        <v>2.064289</v>
      </c>
      <c r="CY122" s="541">
        <v>2.064289</v>
      </c>
      <c r="CZ122" s="541">
        <v>2.064289</v>
      </c>
      <c r="DA122" s="541">
        <v>2.064289</v>
      </c>
      <c r="DB122" s="541">
        <v>2.064289</v>
      </c>
      <c r="DC122" s="541">
        <v>2.064289</v>
      </c>
      <c r="DD122" s="541">
        <v>2.064289</v>
      </c>
      <c r="DE122" s="541">
        <v>2.064289</v>
      </c>
      <c r="DF122" s="541">
        <v>2.064289</v>
      </c>
      <c r="DG122" s="541">
        <v>2.064289</v>
      </c>
      <c r="DH122" s="541">
        <v>2.064289</v>
      </c>
    </row>
    <row r="123" spans="2:112">
      <c r="B123" t="s">
        <v>1009</v>
      </c>
      <c r="C123" t="s">
        <v>272</v>
      </c>
      <c r="D123" t="s">
        <v>917</v>
      </c>
      <c r="E123" t="s">
        <v>908</v>
      </c>
      <c r="F123" s="541">
        <v>37.554499999999997</v>
      </c>
      <c r="G123" s="541">
        <v>37.554499999999997</v>
      </c>
      <c r="H123" s="541">
        <v>37.554499999999997</v>
      </c>
      <c r="I123" s="541">
        <v>37.554499999999997</v>
      </c>
      <c r="J123" s="541">
        <v>37.554499999999997</v>
      </c>
      <c r="K123" s="541">
        <v>37.554499999999997</v>
      </c>
      <c r="L123" s="541">
        <v>37.554499999999997</v>
      </c>
      <c r="M123" s="541">
        <v>37.554499999999997</v>
      </c>
      <c r="N123" s="541">
        <v>37.554499999999997</v>
      </c>
      <c r="O123" s="541">
        <v>37.554499999999997</v>
      </c>
      <c r="P123" s="541">
        <v>37.554499999999997</v>
      </c>
      <c r="Q123" s="541">
        <v>37.554499999999997</v>
      </c>
      <c r="R123" s="541">
        <v>37.554499999999997</v>
      </c>
      <c r="S123" s="541">
        <v>37.554499999999997</v>
      </c>
      <c r="T123" s="541">
        <v>37.554499999999997</v>
      </c>
      <c r="U123" s="541">
        <v>37.554499999999997</v>
      </c>
      <c r="V123" s="541">
        <v>37.554499999999997</v>
      </c>
      <c r="W123" s="541">
        <v>37.554499999999997</v>
      </c>
      <c r="X123" s="541">
        <v>37.554499999999997</v>
      </c>
      <c r="Y123" s="541">
        <v>37.554499999999997</v>
      </c>
      <c r="Z123" s="541">
        <v>37.554499999999997</v>
      </c>
      <c r="AA123" s="541">
        <v>37.554499999999997</v>
      </c>
      <c r="AB123" s="541">
        <v>37.554499999999997</v>
      </c>
      <c r="AC123" s="541">
        <v>37.554499999999997</v>
      </c>
      <c r="AD123" s="541">
        <v>37.554499999999997</v>
      </c>
      <c r="AE123" s="541">
        <v>37.554499999999997</v>
      </c>
      <c r="AF123" s="541">
        <v>37.554499999999997</v>
      </c>
      <c r="AG123" s="541">
        <v>37.554499999999997</v>
      </c>
      <c r="AH123" s="542">
        <f t="shared" si="107"/>
        <v>37.554499999999997</v>
      </c>
      <c r="AI123" s="542">
        <f t="shared" si="107"/>
        <v>37.554499999999997</v>
      </c>
      <c r="AJ123" s="542">
        <f t="shared" si="107"/>
        <v>37.554499999999997</v>
      </c>
      <c r="AK123" s="542">
        <f t="shared" si="107"/>
        <v>37.554499999999997</v>
      </c>
      <c r="AL123" s="542">
        <f t="shared" si="107"/>
        <v>37.554499999999997</v>
      </c>
      <c r="AM123" s="542">
        <f t="shared" si="107"/>
        <v>37.554499999999997</v>
      </c>
      <c r="AN123" s="542">
        <f t="shared" si="107"/>
        <v>37.554499999999997</v>
      </c>
      <c r="AO123" s="542">
        <f t="shared" si="107"/>
        <v>37.554499999999997</v>
      </c>
      <c r="AP123" s="542">
        <f t="shared" si="107"/>
        <v>37.554499999999997</v>
      </c>
      <c r="AQ123" s="542">
        <f t="shared" si="107"/>
        <v>37.554499999999997</v>
      </c>
      <c r="AR123" s="542">
        <f t="shared" si="107"/>
        <v>37.554499999999997</v>
      </c>
      <c r="AS123" s="542">
        <f t="shared" si="107"/>
        <v>37.554499999999997</v>
      </c>
      <c r="AT123" s="542">
        <f t="shared" si="107"/>
        <v>37.554499999999997</v>
      </c>
      <c r="AU123" s="542">
        <f t="shared" si="107"/>
        <v>37.554499999999997</v>
      </c>
      <c r="AV123" s="542">
        <f t="shared" si="107"/>
        <v>37.554499999999997</v>
      </c>
      <c r="AW123" s="542">
        <f t="shared" si="107"/>
        <v>37.554499999999997</v>
      </c>
      <c r="AX123" s="542">
        <f t="shared" si="106"/>
        <v>37.554499999999997</v>
      </c>
      <c r="AY123" s="542">
        <f t="shared" si="106"/>
        <v>37.554499999999997</v>
      </c>
      <c r="AZ123" s="542">
        <f t="shared" si="106"/>
        <v>37.554499999999997</v>
      </c>
      <c r="BA123" s="542">
        <f t="shared" si="106"/>
        <v>37.554499999999997</v>
      </c>
      <c r="BB123" s="542">
        <f t="shared" si="106"/>
        <v>37.554499999999997</v>
      </c>
      <c r="BC123" s="542">
        <f t="shared" si="106"/>
        <v>37.554499999999997</v>
      </c>
      <c r="BD123" s="542">
        <f t="shared" si="106"/>
        <v>37.554499999999997</v>
      </c>
      <c r="BE123" s="542">
        <f t="shared" si="106"/>
        <v>37.554499999999997</v>
      </c>
      <c r="BF123" s="542">
        <f t="shared" si="106"/>
        <v>37.554499999999997</v>
      </c>
      <c r="BG123" s="542">
        <f t="shared" si="106"/>
        <v>37.554499999999997</v>
      </c>
      <c r="BH123" s="542">
        <f t="shared" si="106"/>
        <v>37.554499999999997</v>
      </c>
      <c r="BI123" s="542">
        <f t="shared" si="106"/>
        <v>37.554499999999997</v>
      </c>
      <c r="BJ123" s="542">
        <f t="shared" si="106"/>
        <v>37.554499999999997</v>
      </c>
      <c r="BK123" s="542">
        <f t="shared" si="106"/>
        <v>37.554499999999997</v>
      </c>
      <c r="BL123" s="542">
        <f t="shared" si="106"/>
        <v>37.554499999999997</v>
      </c>
      <c r="BM123" s="542">
        <f t="shared" si="106"/>
        <v>37.554499999999997</v>
      </c>
      <c r="BN123" s="542">
        <f t="shared" si="106"/>
        <v>37.554499999999997</v>
      </c>
      <c r="BO123" s="542">
        <f t="shared" si="106"/>
        <v>37.554499999999997</v>
      </c>
      <c r="BP123" s="542">
        <f t="shared" si="106"/>
        <v>37.554499999999997</v>
      </c>
      <c r="BQ123" s="542">
        <f t="shared" si="106"/>
        <v>37.554499999999997</v>
      </c>
      <c r="BR123" s="542">
        <f t="shared" si="106"/>
        <v>37.554499999999997</v>
      </c>
      <c r="BS123" s="542">
        <f t="shared" si="106"/>
        <v>37.554499999999997</v>
      </c>
      <c r="BT123" s="542">
        <f t="shared" si="106"/>
        <v>37.554499999999997</v>
      </c>
      <c r="BU123" s="542">
        <f t="shared" si="106"/>
        <v>37.554499999999997</v>
      </c>
      <c r="BV123" s="542">
        <f t="shared" si="106"/>
        <v>37.554499999999997</v>
      </c>
      <c r="BW123" s="542">
        <f t="shared" si="106"/>
        <v>37.554499999999997</v>
      </c>
      <c r="BX123" s="542">
        <f t="shared" si="106"/>
        <v>37.554499999999997</v>
      </c>
      <c r="BY123" s="542">
        <f t="shared" si="106"/>
        <v>37.554499999999997</v>
      </c>
      <c r="BZ123" s="542">
        <f t="shared" si="106"/>
        <v>37.554499999999997</v>
      </c>
      <c r="CA123" s="542">
        <f t="shared" si="106"/>
        <v>37.554499999999997</v>
      </c>
      <c r="CB123" s="542">
        <f t="shared" si="106"/>
        <v>37.554499999999997</v>
      </c>
      <c r="CC123" s="542">
        <f t="shared" si="106"/>
        <v>37.554499999999997</v>
      </c>
      <c r="CD123" s="542">
        <f t="shared" si="106"/>
        <v>37.554499999999997</v>
      </c>
      <c r="CE123" s="542">
        <f t="shared" si="106"/>
        <v>37.554499999999997</v>
      </c>
      <c r="CG123" s="541">
        <v>37.554499999999997</v>
      </c>
      <c r="CH123" s="541">
        <v>37.554499999999997</v>
      </c>
      <c r="CI123" s="541">
        <v>37.554499999999997</v>
      </c>
      <c r="CJ123" s="541">
        <v>37.554499999999997</v>
      </c>
      <c r="CK123" s="541">
        <v>37.554499999999997</v>
      </c>
      <c r="CL123" s="541">
        <v>37.554499999999997</v>
      </c>
      <c r="CM123" s="541">
        <v>37.554499999999997</v>
      </c>
      <c r="CN123" s="541">
        <v>37.554499999999997</v>
      </c>
      <c r="CO123" s="541">
        <v>37.554499999999997</v>
      </c>
      <c r="CP123" s="541">
        <v>37.554499999999997</v>
      </c>
      <c r="CQ123" s="541">
        <v>37.554499999999997</v>
      </c>
      <c r="CR123" s="541">
        <v>37.554499999999997</v>
      </c>
      <c r="CS123" s="541">
        <v>37.554499999999997</v>
      </c>
      <c r="CT123" s="541">
        <v>37.554499999999997</v>
      </c>
      <c r="CU123" s="541">
        <v>37.554499999999997</v>
      </c>
      <c r="CV123" s="541">
        <v>37.554499999999997</v>
      </c>
      <c r="CW123" s="541">
        <v>37.554499999999997</v>
      </c>
      <c r="CX123" s="541">
        <v>37.554499999999997</v>
      </c>
      <c r="CY123" s="541">
        <v>37.554499999999997</v>
      </c>
      <c r="CZ123" s="541">
        <v>37.554499999999997</v>
      </c>
      <c r="DA123" s="541">
        <v>37.554499999999997</v>
      </c>
      <c r="DB123" s="541">
        <v>37.554499999999997</v>
      </c>
      <c r="DC123" s="541">
        <v>37.554499999999997</v>
      </c>
      <c r="DD123" s="541">
        <v>37.554499999999997</v>
      </c>
      <c r="DE123" s="541">
        <v>37.554499999999997</v>
      </c>
      <c r="DF123" s="541">
        <v>37.554499999999997</v>
      </c>
      <c r="DG123" s="541">
        <v>37.554499999999997</v>
      </c>
      <c r="DH123" s="541">
        <v>37.554499999999997</v>
      </c>
    </row>
    <row r="124" spans="2:112">
      <c r="B124" t="s">
        <v>1010</v>
      </c>
      <c r="C124" t="s">
        <v>272</v>
      </c>
      <c r="D124" t="s">
        <v>919</v>
      </c>
      <c r="E124" t="s">
        <v>911</v>
      </c>
      <c r="F124" s="541">
        <v>2.025309</v>
      </c>
      <c r="G124" s="541">
        <v>2.025309</v>
      </c>
      <c r="H124" s="541">
        <v>2.025309</v>
      </c>
      <c r="I124" s="541">
        <v>2.025309</v>
      </c>
      <c r="J124" s="541">
        <v>2.025309</v>
      </c>
      <c r="K124" s="541">
        <v>2.025309</v>
      </c>
      <c r="L124" s="541">
        <v>2.025309</v>
      </c>
      <c r="M124" s="541">
        <v>2.025309</v>
      </c>
      <c r="N124" s="541">
        <v>2.025309</v>
      </c>
      <c r="O124" s="541">
        <v>2.025309</v>
      </c>
      <c r="P124" s="541">
        <v>2.025309</v>
      </c>
      <c r="Q124" s="541">
        <v>2.025309</v>
      </c>
      <c r="R124" s="541">
        <v>2.025309</v>
      </c>
      <c r="S124" s="541">
        <v>2.025309</v>
      </c>
      <c r="T124" s="541">
        <v>2.025309</v>
      </c>
      <c r="U124" s="541">
        <v>2.025309</v>
      </c>
      <c r="V124" s="541">
        <v>2.025309</v>
      </c>
      <c r="W124" s="541">
        <v>2.025309</v>
      </c>
      <c r="X124" s="541">
        <v>2.025309</v>
      </c>
      <c r="Y124" s="541">
        <v>2.025309</v>
      </c>
      <c r="Z124" s="541">
        <v>2.025309</v>
      </c>
      <c r="AA124" s="541">
        <v>2.025309</v>
      </c>
      <c r="AB124" s="541">
        <v>2.025309</v>
      </c>
      <c r="AC124" s="541">
        <v>2.025309</v>
      </c>
      <c r="AD124" s="541">
        <v>2.025309</v>
      </c>
      <c r="AE124" s="541">
        <v>2.025309</v>
      </c>
      <c r="AF124" s="541">
        <v>2.025309</v>
      </c>
      <c r="AG124" s="541">
        <v>2.025309</v>
      </c>
      <c r="AH124" s="542">
        <f t="shared" si="107"/>
        <v>2.025309</v>
      </c>
      <c r="AI124" s="542">
        <f t="shared" si="107"/>
        <v>2.025309</v>
      </c>
      <c r="AJ124" s="542">
        <f t="shared" si="107"/>
        <v>2.025309</v>
      </c>
      <c r="AK124" s="542">
        <f t="shared" si="107"/>
        <v>2.025309</v>
      </c>
      <c r="AL124" s="542">
        <f t="shared" si="107"/>
        <v>2.025309</v>
      </c>
      <c r="AM124" s="542">
        <f t="shared" si="107"/>
        <v>2.025309</v>
      </c>
      <c r="AN124" s="542">
        <f t="shared" si="107"/>
        <v>2.025309</v>
      </c>
      <c r="AO124" s="542">
        <f t="shared" si="107"/>
        <v>2.025309</v>
      </c>
      <c r="AP124" s="542">
        <f t="shared" si="107"/>
        <v>2.025309</v>
      </c>
      <c r="AQ124" s="542">
        <f t="shared" si="107"/>
        <v>2.025309</v>
      </c>
      <c r="AR124" s="542">
        <f t="shared" si="107"/>
        <v>2.025309</v>
      </c>
      <c r="AS124" s="542">
        <f t="shared" si="107"/>
        <v>2.025309</v>
      </c>
      <c r="AT124" s="542">
        <f t="shared" si="107"/>
        <v>2.025309</v>
      </c>
      <c r="AU124" s="542">
        <f t="shared" si="107"/>
        <v>2.025309</v>
      </c>
      <c r="AV124" s="542">
        <f t="shared" si="107"/>
        <v>2.025309</v>
      </c>
      <c r="AW124" s="542">
        <f t="shared" si="107"/>
        <v>2.025309</v>
      </c>
      <c r="AX124" s="542">
        <f t="shared" si="106"/>
        <v>2.025309</v>
      </c>
      <c r="AY124" s="542">
        <f t="shared" si="106"/>
        <v>2.025309</v>
      </c>
      <c r="AZ124" s="542">
        <f t="shared" si="106"/>
        <v>2.025309</v>
      </c>
      <c r="BA124" s="542">
        <f t="shared" si="106"/>
        <v>2.025309</v>
      </c>
      <c r="BB124" s="542">
        <f t="shared" si="106"/>
        <v>2.025309</v>
      </c>
      <c r="BC124" s="542">
        <f t="shared" si="106"/>
        <v>2.025309</v>
      </c>
      <c r="BD124" s="542">
        <f t="shared" si="106"/>
        <v>2.025309</v>
      </c>
      <c r="BE124" s="542">
        <f t="shared" si="106"/>
        <v>2.025309</v>
      </c>
      <c r="BF124" s="542">
        <f t="shared" si="106"/>
        <v>2.025309</v>
      </c>
      <c r="BG124" s="542">
        <f t="shared" si="106"/>
        <v>2.025309</v>
      </c>
      <c r="BH124" s="542">
        <f t="shared" si="106"/>
        <v>2.025309</v>
      </c>
      <c r="BI124" s="542">
        <f t="shared" si="106"/>
        <v>2.025309</v>
      </c>
      <c r="BJ124" s="542">
        <f t="shared" si="106"/>
        <v>2.025309</v>
      </c>
      <c r="BK124" s="542">
        <f t="shared" si="106"/>
        <v>2.025309</v>
      </c>
      <c r="BL124" s="542">
        <f t="shared" si="106"/>
        <v>2.025309</v>
      </c>
      <c r="BM124" s="542">
        <f t="shared" si="106"/>
        <v>2.025309</v>
      </c>
      <c r="BN124" s="542">
        <f t="shared" si="106"/>
        <v>2.025309</v>
      </c>
      <c r="BO124" s="542">
        <f t="shared" si="106"/>
        <v>2.025309</v>
      </c>
      <c r="BP124" s="542">
        <f t="shared" si="106"/>
        <v>2.025309</v>
      </c>
      <c r="BQ124" s="542">
        <f t="shared" si="106"/>
        <v>2.025309</v>
      </c>
      <c r="BR124" s="542">
        <f t="shared" si="106"/>
        <v>2.025309</v>
      </c>
      <c r="BS124" s="542">
        <f t="shared" si="106"/>
        <v>2.025309</v>
      </c>
      <c r="BT124" s="542">
        <f t="shared" si="106"/>
        <v>2.025309</v>
      </c>
      <c r="BU124" s="542">
        <f t="shared" si="106"/>
        <v>2.025309</v>
      </c>
      <c r="BV124" s="542">
        <f t="shared" si="106"/>
        <v>2.025309</v>
      </c>
      <c r="BW124" s="542">
        <f t="shared" si="106"/>
        <v>2.025309</v>
      </c>
      <c r="BX124" s="542">
        <f t="shared" si="106"/>
        <v>2.025309</v>
      </c>
      <c r="BY124" s="542">
        <f t="shared" si="106"/>
        <v>2.025309</v>
      </c>
      <c r="BZ124" s="542">
        <f t="shared" si="106"/>
        <v>2.025309</v>
      </c>
      <c r="CA124" s="542">
        <f t="shared" si="106"/>
        <v>2.025309</v>
      </c>
      <c r="CB124" s="542">
        <f t="shared" si="106"/>
        <v>2.025309</v>
      </c>
      <c r="CC124" s="542">
        <f t="shared" si="106"/>
        <v>2.025309</v>
      </c>
      <c r="CD124" s="542">
        <f t="shared" si="106"/>
        <v>2.025309</v>
      </c>
      <c r="CE124" s="542">
        <f t="shared" si="106"/>
        <v>2.025309</v>
      </c>
      <c r="CG124" s="541">
        <v>2.025309</v>
      </c>
      <c r="CH124" s="541">
        <v>2.025309</v>
      </c>
      <c r="CI124" s="541">
        <v>2.025309</v>
      </c>
      <c r="CJ124" s="541">
        <v>2.025309</v>
      </c>
      <c r="CK124" s="541">
        <v>2.025309</v>
      </c>
      <c r="CL124" s="541">
        <v>2.025309</v>
      </c>
      <c r="CM124" s="541">
        <v>2.025309</v>
      </c>
      <c r="CN124" s="541">
        <v>2.025309</v>
      </c>
      <c r="CO124" s="541">
        <v>2.025309</v>
      </c>
      <c r="CP124" s="541">
        <v>2.025309</v>
      </c>
      <c r="CQ124" s="541">
        <v>2.025309</v>
      </c>
      <c r="CR124" s="541">
        <v>2.025309</v>
      </c>
      <c r="CS124" s="541">
        <v>2.025309</v>
      </c>
      <c r="CT124" s="541">
        <v>2.025309</v>
      </c>
      <c r="CU124" s="541">
        <v>2.025309</v>
      </c>
      <c r="CV124" s="541">
        <v>2.025309</v>
      </c>
      <c r="CW124" s="541">
        <v>2.025309</v>
      </c>
      <c r="CX124" s="541">
        <v>2.025309</v>
      </c>
      <c r="CY124" s="541">
        <v>2.025309</v>
      </c>
      <c r="CZ124" s="541">
        <v>2.025309</v>
      </c>
      <c r="DA124" s="541">
        <v>2.025309</v>
      </c>
      <c r="DB124" s="541">
        <v>2.025309</v>
      </c>
      <c r="DC124" s="541">
        <v>2.025309</v>
      </c>
      <c r="DD124" s="541">
        <v>2.025309</v>
      </c>
      <c r="DE124" s="541">
        <v>2.025309</v>
      </c>
      <c r="DF124" s="541">
        <v>2.025309</v>
      </c>
      <c r="DG124" s="541">
        <v>2.025309</v>
      </c>
      <c r="DH124" s="541">
        <v>2.025309</v>
      </c>
    </row>
    <row r="125" spans="2:112">
      <c r="B125" t="s">
        <v>1011</v>
      </c>
      <c r="C125" t="s">
        <v>272</v>
      </c>
      <c r="D125" t="s">
        <v>921</v>
      </c>
      <c r="E125" t="s">
        <v>908</v>
      </c>
      <c r="F125" s="541">
        <v>39.020499999999998</v>
      </c>
      <c r="G125" s="541">
        <v>39.020499999999998</v>
      </c>
      <c r="H125" s="541">
        <v>39.020499999999998</v>
      </c>
      <c r="I125" s="541">
        <v>39.020499999999998</v>
      </c>
      <c r="J125" s="541">
        <v>39.020499999999998</v>
      </c>
      <c r="K125" s="541">
        <v>39.020499999999998</v>
      </c>
      <c r="L125" s="541">
        <v>39.020499999999998</v>
      </c>
      <c r="M125" s="541">
        <v>39.020499999999998</v>
      </c>
      <c r="N125" s="541">
        <v>39.020499999999998</v>
      </c>
      <c r="O125" s="541">
        <v>39.020499999999998</v>
      </c>
      <c r="P125" s="541">
        <v>39.020499999999998</v>
      </c>
      <c r="Q125" s="541">
        <v>39.020499999999998</v>
      </c>
      <c r="R125" s="541">
        <v>39.020499999999998</v>
      </c>
      <c r="S125" s="541">
        <v>39.020499999999998</v>
      </c>
      <c r="T125" s="541">
        <v>39.020499999999998</v>
      </c>
      <c r="U125" s="541">
        <v>39.020499999999998</v>
      </c>
      <c r="V125" s="541">
        <v>39.020499999999998</v>
      </c>
      <c r="W125" s="541">
        <v>39.020499999999998</v>
      </c>
      <c r="X125" s="541">
        <v>39.020499999999998</v>
      </c>
      <c r="Y125" s="541">
        <v>39.020499999999998</v>
      </c>
      <c r="Z125" s="541">
        <v>39.020499999999998</v>
      </c>
      <c r="AA125" s="541">
        <v>39.020499999999998</v>
      </c>
      <c r="AB125" s="541">
        <v>39.020499999999998</v>
      </c>
      <c r="AC125" s="541">
        <v>39.020499999999998</v>
      </c>
      <c r="AD125" s="541">
        <v>39.020499999999998</v>
      </c>
      <c r="AE125" s="541">
        <v>39.020499999999998</v>
      </c>
      <c r="AF125" s="541">
        <v>39.020499999999998</v>
      </c>
      <c r="AG125" s="541">
        <v>39.020499999999998</v>
      </c>
      <c r="AH125" s="542">
        <f t="shared" si="107"/>
        <v>39.020499999999998</v>
      </c>
      <c r="AI125" s="542">
        <f t="shared" si="107"/>
        <v>39.020499999999998</v>
      </c>
      <c r="AJ125" s="542">
        <f t="shared" si="107"/>
        <v>39.020499999999998</v>
      </c>
      <c r="AK125" s="542">
        <f t="shared" si="107"/>
        <v>39.020499999999998</v>
      </c>
      <c r="AL125" s="542">
        <f t="shared" si="107"/>
        <v>39.020499999999998</v>
      </c>
      <c r="AM125" s="542">
        <f t="shared" si="107"/>
        <v>39.020499999999998</v>
      </c>
      <c r="AN125" s="542">
        <f t="shared" si="107"/>
        <v>39.020499999999998</v>
      </c>
      <c r="AO125" s="542">
        <f t="shared" si="107"/>
        <v>39.020499999999998</v>
      </c>
      <c r="AP125" s="542">
        <f t="shared" si="107"/>
        <v>39.020499999999998</v>
      </c>
      <c r="AQ125" s="542">
        <f t="shared" si="107"/>
        <v>39.020499999999998</v>
      </c>
      <c r="AR125" s="542">
        <f t="shared" si="107"/>
        <v>39.020499999999998</v>
      </c>
      <c r="AS125" s="542">
        <f t="shared" si="107"/>
        <v>39.020499999999998</v>
      </c>
      <c r="AT125" s="542">
        <f t="shared" si="107"/>
        <v>39.020499999999998</v>
      </c>
      <c r="AU125" s="542">
        <f t="shared" si="107"/>
        <v>39.020499999999998</v>
      </c>
      <c r="AV125" s="542">
        <f t="shared" si="107"/>
        <v>39.020499999999998</v>
      </c>
      <c r="AW125" s="542">
        <f t="shared" si="107"/>
        <v>39.020499999999998</v>
      </c>
      <c r="AX125" s="542">
        <f t="shared" si="106"/>
        <v>39.020499999999998</v>
      </c>
      <c r="AY125" s="542">
        <f t="shared" si="106"/>
        <v>39.020499999999998</v>
      </c>
      <c r="AZ125" s="542">
        <f t="shared" si="106"/>
        <v>39.020499999999998</v>
      </c>
      <c r="BA125" s="542">
        <f t="shared" si="106"/>
        <v>39.020499999999998</v>
      </c>
      <c r="BB125" s="542">
        <f t="shared" si="106"/>
        <v>39.020499999999998</v>
      </c>
      <c r="BC125" s="542">
        <f t="shared" si="106"/>
        <v>39.020499999999998</v>
      </c>
      <c r="BD125" s="542">
        <f t="shared" si="106"/>
        <v>39.020499999999998</v>
      </c>
      <c r="BE125" s="542">
        <f t="shared" si="106"/>
        <v>39.020499999999998</v>
      </c>
      <c r="BF125" s="542">
        <f t="shared" si="106"/>
        <v>39.020499999999998</v>
      </c>
      <c r="BG125" s="542">
        <f t="shared" si="106"/>
        <v>39.020499999999998</v>
      </c>
      <c r="BH125" s="542">
        <f t="shared" si="106"/>
        <v>39.020499999999998</v>
      </c>
      <c r="BI125" s="542">
        <f t="shared" si="106"/>
        <v>39.020499999999998</v>
      </c>
      <c r="BJ125" s="542">
        <f t="shared" si="106"/>
        <v>39.020499999999998</v>
      </c>
      <c r="BK125" s="542">
        <f t="shared" si="106"/>
        <v>39.020499999999998</v>
      </c>
      <c r="BL125" s="542">
        <f t="shared" si="106"/>
        <v>39.020499999999998</v>
      </c>
      <c r="BM125" s="542">
        <f t="shared" si="106"/>
        <v>39.020499999999998</v>
      </c>
      <c r="BN125" s="542">
        <f t="shared" si="106"/>
        <v>39.020499999999998</v>
      </c>
      <c r="BO125" s="542">
        <f t="shared" si="106"/>
        <v>39.020499999999998</v>
      </c>
      <c r="BP125" s="542">
        <f t="shared" si="106"/>
        <v>39.020499999999998</v>
      </c>
      <c r="BQ125" s="542">
        <f t="shared" si="106"/>
        <v>39.020499999999998</v>
      </c>
      <c r="BR125" s="542">
        <f t="shared" si="106"/>
        <v>39.020499999999998</v>
      </c>
      <c r="BS125" s="542">
        <f t="shared" si="106"/>
        <v>39.020499999999998</v>
      </c>
      <c r="BT125" s="542">
        <f t="shared" si="106"/>
        <v>39.020499999999998</v>
      </c>
      <c r="BU125" s="542">
        <f t="shared" si="106"/>
        <v>39.020499999999998</v>
      </c>
      <c r="BV125" s="542">
        <f t="shared" si="106"/>
        <v>39.020499999999998</v>
      </c>
      <c r="BW125" s="542">
        <f t="shared" si="106"/>
        <v>39.020499999999998</v>
      </c>
      <c r="BX125" s="542">
        <f t="shared" si="106"/>
        <v>39.020499999999998</v>
      </c>
      <c r="BY125" s="542">
        <f t="shared" si="106"/>
        <v>39.020499999999998</v>
      </c>
      <c r="BZ125" s="542">
        <f t="shared" si="106"/>
        <v>39.020499999999998</v>
      </c>
      <c r="CA125" s="542">
        <f t="shared" si="106"/>
        <v>39.020499999999998</v>
      </c>
      <c r="CB125" s="542">
        <f t="shared" si="106"/>
        <v>39.020499999999998</v>
      </c>
      <c r="CC125" s="542">
        <f t="shared" si="106"/>
        <v>39.020499999999998</v>
      </c>
      <c r="CD125" s="542">
        <f t="shared" si="106"/>
        <v>39.020499999999998</v>
      </c>
      <c r="CE125" s="542">
        <f t="shared" si="106"/>
        <v>39.020499999999998</v>
      </c>
      <c r="CG125" s="541">
        <v>39.020499999999998</v>
      </c>
      <c r="CH125" s="541">
        <v>39.020499999999998</v>
      </c>
      <c r="CI125" s="541">
        <v>39.020499999999998</v>
      </c>
      <c r="CJ125" s="541">
        <v>39.020499999999998</v>
      </c>
      <c r="CK125" s="541">
        <v>39.020499999999998</v>
      </c>
      <c r="CL125" s="541">
        <v>39.020499999999998</v>
      </c>
      <c r="CM125" s="541">
        <v>39.020499999999998</v>
      </c>
      <c r="CN125" s="541">
        <v>39.020499999999998</v>
      </c>
      <c r="CO125" s="541">
        <v>39.020499999999998</v>
      </c>
      <c r="CP125" s="541">
        <v>39.020499999999998</v>
      </c>
      <c r="CQ125" s="541">
        <v>39.020499999999998</v>
      </c>
      <c r="CR125" s="541">
        <v>39.020499999999998</v>
      </c>
      <c r="CS125" s="541">
        <v>39.020499999999998</v>
      </c>
      <c r="CT125" s="541">
        <v>39.020499999999998</v>
      </c>
      <c r="CU125" s="541">
        <v>39.020499999999998</v>
      </c>
      <c r="CV125" s="541">
        <v>39.020499999999998</v>
      </c>
      <c r="CW125" s="541">
        <v>39.020499999999998</v>
      </c>
      <c r="CX125" s="541">
        <v>39.020499999999998</v>
      </c>
      <c r="CY125" s="541">
        <v>39.020499999999998</v>
      </c>
      <c r="CZ125" s="541">
        <v>39.020499999999998</v>
      </c>
      <c r="DA125" s="541">
        <v>39.020499999999998</v>
      </c>
      <c r="DB125" s="541">
        <v>39.020499999999998</v>
      </c>
      <c r="DC125" s="541">
        <v>39.020499999999998</v>
      </c>
      <c r="DD125" s="541">
        <v>39.020499999999998</v>
      </c>
      <c r="DE125" s="541">
        <v>39.020499999999998</v>
      </c>
      <c r="DF125" s="541">
        <v>39.020499999999998</v>
      </c>
      <c r="DG125" s="541">
        <v>39.020499999999998</v>
      </c>
      <c r="DH125" s="541">
        <v>39.020499999999998</v>
      </c>
    </row>
    <row r="126" spans="2:112">
      <c r="B126" t="s">
        <v>1012</v>
      </c>
      <c r="C126" t="s">
        <v>272</v>
      </c>
      <c r="D126" t="s">
        <v>923</v>
      </c>
      <c r="E126" t="s">
        <v>911</v>
      </c>
      <c r="F126" s="541">
        <v>2.0399690000000001</v>
      </c>
      <c r="G126" s="541">
        <v>2.0399690000000001</v>
      </c>
      <c r="H126" s="541">
        <v>2.0399690000000001</v>
      </c>
      <c r="I126" s="541">
        <v>2.0399690000000001</v>
      </c>
      <c r="J126" s="541">
        <v>2.0399690000000001</v>
      </c>
      <c r="K126" s="541">
        <v>2.0399690000000001</v>
      </c>
      <c r="L126" s="541">
        <v>2.0399690000000001</v>
      </c>
      <c r="M126" s="541">
        <v>2.0399690000000001</v>
      </c>
      <c r="N126" s="541">
        <v>2.0399690000000001</v>
      </c>
      <c r="O126" s="541">
        <v>2.0399690000000001</v>
      </c>
      <c r="P126" s="541">
        <v>2.0399690000000001</v>
      </c>
      <c r="Q126" s="541">
        <v>2.0399690000000001</v>
      </c>
      <c r="R126" s="541">
        <v>2.0399690000000001</v>
      </c>
      <c r="S126" s="541">
        <v>2.0399690000000001</v>
      </c>
      <c r="T126" s="541">
        <v>2.0399690000000001</v>
      </c>
      <c r="U126" s="541">
        <v>2.0399690000000001</v>
      </c>
      <c r="V126" s="541">
        <v>2.0399690000000001</v>
      </c>
      <c r="W126" s="541">
        <v>2.0399690000000001</v>
      </c>
      <c r="X126" s="541">
        <v>2.0399690000000001</v>
      </c>
      <c r="Y126" s="541">
        <v>2.0399690000000001</v>
      </c>
      <c r="Z126" s="541">
        <v>2.0399690000000001</v>
      </c>
      <c r="AA126" s="541">
        <v>2.0399690000000001</v>
      </c>
      <c r="AB126" s="541">
        <v>2.0399690000000001</v>
      </c>
      <c r="AC126" s="541">
        <v>2.0399690000000001</v>
      </c>
      <c r="AD126" s="541">
        <v>2.0399690000000001</v>
      </c>
      <c r="AE126" s="541">
        <v>2.0399690000000001</v>
      </c>
      <c r="AF126" s="541">
        <v>2.0399690000000001</v>
      </c>
      <c r="AG126" s="541">
        <v>2.0399690000000001</v>
      </c>
      <c r="AH126" s="542">
        <f t="shared" si="107"/>
        <v>2.0399690000000001</v>
      </c>
      <c r="AI126" s="542">
        <f t="shared" si="107"/>
        <v>2.0399690000000001</v>
      </c>
      <c r="AJ126" s="542">
        <f t="shared" si="107"/>
        <v>2.0399690000000001</v>
      </c>
      <c r="AK126" s="542">
        <f t="shared" si="107"/>
        <v>2.0399690000000001</v>
      </c>
      <c r="AL126" s="542">
        <f t="shared" si="107"/>
        <v>2.0399690000000001</v>
      </c>
      <c r="AM126" s="542">
        <f t="shared" si="107"/>
        <v>2.0399690000000001</v>
      </c>
      <c r="AN126" s="542">
        <f t="shared" si="107"/>
        <v>2.0399690000000001</v>
      </c>
      <c r="AO126" s="542">
        <f t="shared" si="107"/>
        <v>2.0399690000000001</v>
      </c>
      <c r="AP126" s="542">
        <f t="shared" si="107"/>
        <v>2.0399690000000001</v>
      </c>
      <c r="AQ126" s="542">
        <f t="shared" si="107"/>
        <v>2.0399690000000001</v>
      </c>
      <c r="AR126" s="542">
        <f t="shared" si="107"/>
        <v>2.0399690000000001</v>
      </c>
      <c r="AS126" s="542">
        <f t="shared" si="107"/>
        <v>2.0399690000000001</v>
      </c>
      <c r="AT126" s="542">
        <f t="shared" si="107"/>
        <v>2.0399690000000001</v>
      </c>
      <c r="AU126" s="542">
        <f t="shared" si="107"/>
        <v>2.0399690000000001</v>
      </c>
      <c r="AV126" s="542">
        <f t="shared" si="107"/>
        <v>2.0399690000000001</v>
      </c>
      <c r="AW126" s="542">
        <f t="shared" si="107"/>
        <v>2.0399690000000001</v>
      </c>
      <c r="AX126" s="542">
        <f t="shared" si="106"/>
        <v>2.0399690000000001</v>
      </c>
      <c r="AY126" s="542">
        <f t="shared" si="106"/>
        <v>2.0399690000000001</v>
      </c>
      <c r="AZ126" s="542">
        <f t="shared" si="106"/>
        <v>2.0399690000000001</v>
      </c>
      <c r="BA126" s="542">
        <f t="shared" si="106"/>
        <v>2.0399690000000001</v>
      </c>
      <c r="BB126" s="542">
        <f t="shared" si="106"/>
        <v>2.0399690000000001</v>
      </c>
      <c r="BC126" s="542">
        <f t="shared" si="106"/>
        <v>2.0399690000000001</v>
      </c>
      <c r="BD126" s="542">
        <f t="shared" si="106"/>
        <v>2.0399690000000001</v>
      </c>
      <c r="BE126" s="542">
        <f t="shared" si="106"/>
        <v>2.0399690000000001</v>
      </c>
      <c r="BF126" s="542">
        <f t="shared" si="106"/>
        <v>2.0399690000000001</v>
      </c>
      <c r="BG126" s="542">
        <f t="shared" si="106"/>
        <v>2.0399690000000001</v>
      </c>
      <c r="BH126" s="542">
        <f t="shared" si="106"/>
        <v>2.0399690000000001</v>
      </c>
      <c r="BI126" s="542">
        <f t="shared" si="106"/>
        <v>2.0399690000000001</v>
      </c>
      <c r="BJ126" s="542">
        <f t="shared" si="106"/>
        <v>2.0399690000000001</v>
      </c>
      <c r="BK126" s="542">
        <f t="shared" si="106"/>
        <v>2.0399690000000001</v>
      </c>
      <c r="BL126" s="542">
        <f t="shared" si="106"/>
        <v>2.0399690000000001</v>
      </c>
      <c r="BM126" s="542">
        <f t="shared" si="106"/>
        <v>2.0399690000000001</v>
      </c>
      <c r="BN126" s="542">
        <f t="shared" si="106"/>
        <v>2.0399690000000001</v>
      </c>
      <c r="BO126" s="542">
        <f t="shared" si="106"/>
        <v>2.0399690000000001</v>
      </c>
      <c r="BP126" s="542">
        <f t="shared" si="106"/>
        <v>2.0399690000000001</v>
      </c>
      <c r="BQ126" s="542">
        <f t="shared" si="106"/>
        <v>2.0399690000000001</v>
      </c>
      <c r="BR126" s="542">
        <f t="shared" si="106"/>
        <v>2.0399690000000001</v>
      </c>
      <c r="BS126" s="542">
        <f t="shared" si="106"/>
        <v>2.0399690000000001</v>
      </c>
      <c r="BT126" s="542">
        <f t="shared" si="106"/>
        <v>2.0399690000000001</v>
      </c>
      <c r="BU126" s="542">
        <f t="shared" si="106"/>
        <v>2.0399690000000001</v>
      </c>
      <c r="BV126" s="542">
        <f t="shared" si="106"/>
        <v>2.0399690000000001</v>
      </c>
      <c r="BW126" s="542">
        <f t="shared" si="106"/>
        <v>2.0399690000000001</v>
      </c>
      <c r="BX126" s="542">
        <f t="shared" si="106"/>
        <v>2.0399690000000001</v>
      </c>
      <c r="BY126" s="542">
        <f t="shared" si="106"/>
        <v>2.0399690000000001</v>
      </c>
      <c r="BZ126" s="542">
        <f t="shared" si="106"/>
        <v>2.0399690000000001</v>
      </c>
      <c r="CA126" s="542">
        <f t="shared" si="106"/>
        <v>2.0399690000000001</v>
      </c>
      <c r="CB126" s="542">
        <f t="shared" si="106"/>
        <v>2.0399690000000001</v>
      </c>
      <c r="CC126" s="542">
        <f t="shared" si="106"/>
        <v>2.0399690000000001</v>
      </c>
      <c r="CD126" s="542">
        <f t="shared" si="106"/>
        <v>2.0399690000000001</v>
      </c>
      <c r="CE126" s="542">
        <f t="shared" si="106"/>
        <v>2.0399690000000001</v>
      </c>
      <c r="CG126" s="541">
        <v>2.0399690000000001</v>
      </c>
      <c r="CH126" s="541">
        <v>2.0399690000000001</v>
      </c>
      <c r="CI126" s="541">
        <v>2.0399690000000001</v>
      </c>
      <c r="CJ126" s="541">
        <v>2.0399690000000001</v>
      </c>
      <c r="CK126" s="541">
        <v>2.0399690000000001</v>
      </c>
      <c r="CL126" s="541">
        <v>2.0399690000000001</v>
      </c>
      <c r="CM126" s="541">
        <v>2.0399690000000001</v>
      </c>
      <c r="CN126" s="541">
        <v>2.0399690000000001</v>
      </c>
      <c r="CO126" s="541">
        <v>2.0399690000000001</v>
      </c>
      <c r="CP126" s="541">
        <v>2.0399690000000001</v>
      </c>
      <c r="CQ126" s="541">
        <v>2.0399690000000001</v>
      </c>
      <c r="CR126" s="541">
        <v>2.0399690000000001</v>
      </c>
      <c r="CS126" s="541">
        <v>2.0399690000000001</v>
      </c>
      <c r="CT126" s="541">
        <v>2.0399690000000001</v>
      </c>
      <c r="CU126" s="541">
        <v>2.0399690000000001</v>
      </c>
      <c r="CV126" s="541">
        <v>2.0399690000000001</v>
      </c>
      <c r="CW126" s="541">
        <v>2.0399690000000001</v>
      </c>
      <c r="CX126" s="541">
        <v>2.0399690000000001</v>
      </c>
      <c r="CY126" s="541">
        <v>2.0399690000000001</v>
      </c>
      <c r="CZ126" s="541">
        <v>2.0399690000000001</v>
      </c>
      <c r="DA126" s="541">
        <v>2.0399690000000001</v>
      </c>
      <c r="DB126" s="541">
        <v>2.0399690000000001</v>
      </c>
      <c r="DC126" s="541">
        <v>2.0399690000000001</v>
      </c>
      <c r="DD126" s="541">
        <v>2.0399690000000001</v>
      </c>
      <c r="DE126" s="541">
        <v>2.0399690000000001</v>
      </c>
      <c r="DF126" s="541">
        <v>2.0399690000000001</v>
      </c>
      <c r="DG126" s="541">
        <v>2.0399690000000001</v>
      </c>
      <c r="DH126" s="541">
        <v>2.0399690000000001</v>
      </c>
    </row>
    <row r="127" spans="2:112">
      <c r="B127" t="s">
        <v>924</v>
      </c>
      <c r="F127" s="543"/>
      <c r="G127" s="543"/>
      <c r="H127" s="543"/>
      <c r="I127" s="543"/>
      <c r="J127" s="543"/>
      <c r="K127" s="543"/>
      <c r="L127" s="543"/>
      <c r="M127" s="543"/>
      <c r="N127" s="543"/>
      <c r="O127" s="543"/>
      <c r="P127" s="543"/>
      <c r="Q127" s="543"/>
      <c r="R127" s="543"/>
      <c r="S127" s="543"/>
      <c r="T127" s="543"/>
      <c r="U127" s="543"/>
      <c r="V127" s="543"/>
      <c r="W127" s="543"/>
      <c r="X127" s="543"/>
      <c r="Y127" s="543"/>
      <c r="Z127" s="543"/>
      <c r="AA127" s="543"/>
      <c r="AB127" s="543"/>
      <c r="AC127" s="543"/>
      <c r="AD127" s="543"/>
      <c r="AE127" s="543"/>
      <c r="AF127" s="543"/>
      <c r="AG127" s="543"/>
      <c r="AH127" s="543"/>
      <c r="AI127" s="543"/>
      <c r="AJ127" s="543"/>
      <c r="AK127" s="543"/>
      <c r="AL127" s="543"/>
      <c r="AM127" s="543"/>
      <c r="AN127" s="543"/>
      <c r="AO127" s="543"/>
      <c r="AP127" s="543"/>
      <c r="AQ127" s="543"/>
      <c r="AR127" s="543"/>
      <c r="AS127" s="543"/>
      <c r="AT127" s="543"/>
      <c r="AU127" s="543"/>
      <c r="AV127" s="543"/>
      <c r="AW127" s="543"/>
      <c r="AX127" s="543"/>
      <c r="AY127" s="543"/>
      <c r="AZ127" s="543"/>
      <c r="BA127" s="543"/>
      <c r="BB127" s="543"/>
      <c r="BC127" s="543"/>
      <c r="BD127" s="543"/>
      <c r="BE127" s="543"/>
      <c r="BF127" s="543"/>
      <c r="BG127" s="543"/>
      <c r="BH127" s="543"/>
      <c r="BI127" s="543"/>
      <c r="BJ127" s="543"/>
      <c r="BK127" s="543"/>
      <c r="BL127" s="543"/>
      <c r="BM127" s="543"/>
      <c r="BN127" s="543"/>
      <c r="BO127" s="543"/>
      <c r="BP127" s="543"/>
      <c r="BQ127" s="543"/>
      <c r="BR127" s="543"/>
      <c r="BS127" s="543"/>
      <c r="BT127" s="543"/>
      <c r="BU127" s="543"/>
      <c r="BV127" s="543"/>
      <c r="BW127" s="543"/>
      <c r="BX127" s="543"/>
      <c r="BY127" s="543"/>
      <c r="BZ127" s="543"/>
      <c r="CA127" s="543"/>
      <c r="CB127" s="543"/>
      <c r="CC127" s="543"/>
      <c r="CD127" s="543"/>
      <c r="CE127" s="543"/>
    </row>
    <row r="128" spans="2:112" ht="15">
      <c r="B128" t="s">
        <v>1013</v>
      </c>
      <c r="C128" s="485" t="s">
        <v>747</v>
      </c>
      <c r="D128" s="485" t="s">
        <v>877</v>
      </c>
      <c r="E128" s="485" t="s">
        <v>111</v>
      </c>
      <c r="F128" s="486">
        <f>2023</f>
        <v>2023</v>
      </c>
      <c r="G128" s="486">
        <f>F128+1</f>
        <v>2024</v>
      </c>
      <c r="H128" s="486">
        <f t="shared" ref="H128:AG128" si="108">G128+1</f>
        <v>2025</v>
      </c>
      <c r="I128" s="486">
        <f t="shared" si="108"/>
        <v>2026</v>
      </c>
      <c r="J128" s="486">
        <f t="shared" si="108"/>
        <v>2027</v>
      </c>
      <c r="K128" s="486">
        <f t="shared" si="108"/>
        <v>2028</v>
      </c>
      <c r="L128" s="486">
        <f t="shared" si="108"/>
        <v>2029</v>
      </c>
      <c r="M128" s="486">
        <f t="shared" si="108"/>
        <v>2030</v>
      </c>
      <c r="N128" s="486">
        <f t="shared" si="108"/>
        <v>2031</v>
      </c>
      <c r="O128" s="486">
        <f t="shared" si="108"/>
        <v>2032</v>
      </c>
      <c r="P128" s="486">
        <f t="shared" si="108"/>
        <v>2033</v>
      </c>
      <c r="Q128" s="486">
        <f t="shared" si="108"/>
        <v>2034</v>
      </c>
      <c r="R128" s="486">
        <f t="shared" si="108"/>
        <v>2035</v>
      </c>
      <c r="S128" s="486">
        <f t="shared" si="108"/>
        <v>2036</v>
      </c>
      <c r="T128" s="486">
        <f t="shared" si="108"/>
        <v>2037</v>
      </c>
      <c r="U128" s="486">
        <f t="shared" si="108"/>
        <v>2038</v>
      </c>
      <c r="V128" s="486">
        <f t="shared" si="108"/>
        <v>2039</v>
      </c>
      <c r="W128" s="486">
        <f t="shared" si="108"/>
        <v>2040</v>
      </c>
      <c r="X128" s="486">
        <f t="shared" si="108"/>
        <v>2041</v>
      </c>
      <c r="Y128" s="486">
        <f t="shared" si="108"/>
        <v>2042</v>
      </c>
      <c r="Z128" s="486">
        <f t="shared" si="108"/>
        <v>2043</v>
      </c>
      <c r="AA128" s="486">
        <f t="shared" si="108"/>
        <v>2044</v>
      </c>
      <c r="AB128" s="486">
        <f t="shared" si="108"/>
        <v>2045</v>
      </c>
      <c r="AC128" s="486">
        <f t="shared" si="108"/>
        <v>2046</v>
      </c>
      <c r="AD128" s="486">
        <f t="shared" si="108"/>
        <v>2047</v>
      </c>
      <c r="AE128" s="486">
        <f t="shared" si="108"/>
        <v>2048</v>
      </c>
      <c r="AF128" s="486">
        <f t="shared" si="108"/>
        <v>2049</v>
      </c>
      <c r="AG128" s="486">
        <f t="shared" si="108"/>
        <v>2050</v>
      </c>
      <c r="AH128" s="524">
        <f>AG128+1</f>
        <v>2051</v>
      </c>
      <c r="AI128" s="524">
        <f t="shared" ref="AI128:CE128" si="109">AH128+1</f>
        <v>2052</v>
      </c>
      <c r="AJ128" s="524">
        <f t="shared" si="109"/>
        <v>2053</v>
      </c>
      <c r="AK128" s="524">
        <f t="shared" si="109"/>
        <v>2054</v>
      </c>
      <c r="AL128" s="524">
        <f t="shared" si="109"/>
        <v>2055</v>
      </c>
      <c r="AM128" s="524">
        <f t="shared" si="109"/>
        <v>2056</v>
      </c>
      <c r="AN128" s="524">
        <f t="shared" si="109"/>
        <v>2057</v>
      </c>
      <c r="AO128" s="524">
        <f t="shared" si="109"/>
        <v>2058</v>
      </c>
      <c r="AP128" s="524">
        <f t="shared" si="109"/>
        <v>2059</v>
      </c>
      <c r="AQ128" s="524">
        <f t="shared" si="109"/>
        <v>2060</v>
      </c>
      <c r="AR128" s="524">
        <f t="shared" si="109"/>
        <v>2061</v>
      </c>
      <c r="AS128" s="524">
        <f t="shared" si="109"/>
        <v>2062</v>
      </c>
      <c r="AT128" s="524">
        <f t="shared" si="109"/>
        <v>2063</v>
      </c>
      <c r="AU128" s="524">
        <f t="shared" si="109"/>
        <v>2064</v>
      </c>
      <c r="AV128" s="524">
        <f t="shared" si="109"/>
        <v>2065</v>
      </c>
      <c r="AW128" s="524">
        <f t="shared" si="109"/>
        <v>2066</v>
      </c>
      <c r="AX128" s="524">
        <f t="shared" si="109"/>
        <v>2067</v>
      </c>
      <c r="AY128" s="524">
        <f t="shared" si="109"/>
        <v>2068</v>
      </c>
      <c r="AZ128" s="524">
        <f t="shared" si="109"/>
        <v>2069</v>
      </c>
      <c r="BA128" s="524">
        <f t="shared" si="109"/>
        <v>2070</v>
      </c>
      <c r="BB128" s="524">
        <f t="shared" si="109"/>
        <v>2071</v>
      </c>
      <c r="BC128" s="524">
        <f t="shared" si="109"/>
        <v>2072</v>
      </c>
      <c r="BD128" s="524">
        <f t="shared" si="109"/>
        <v>2073</v>
      </c>
      <c r="BE128" s="524">
        <f t="shared" si="109"/>
        <v>2074</v>
      </c>
      <c r="BF128" s="524">
        <f t="shared" si="109"/>
        <v>2075</v>
      </c>
      <c r="BG128" s="524">
        <f t="shared" si="109"/>
        <v>2076</v>
      </c>
      <c r="BH128" s="524">
        <f t="shared" si="109"/>
        <v>2077</v>
      </c>
      <c r="BI128" s="524">
        <f t="shared" si="109"/>
        <v>2078</v>
      </c>
      <c r="BJ128" s="524">
        <f t="shared" si="109"/>
        <v>2079</v>
      </c>
      <c r="BK128" s="524">
        <f t="shared" si="109"/>
        <v>2080</v>
      </c>
      <c r="BL128" s="524">
        <f t="shared" si="109"/>
        <v>2081</v>
      </c>
      <c r="BM128" s="524">
        <f t="shared" si="109"/>
        <v>2082</v>
      </c>
      <c r="BN128" s="524">
        <f t="shared" si="109"/>
        <v>2083</v>
      </c>
      <c r="BO128" s="524">
        <f t="shared" si="109"/>
        <v>2084</v>
      </c>
      <c r="BP128" s="524">
        <f t="shared" si="109"/>
        <v>2085</v>
      </c>
      <c r="BQ128" s="524">
        <f t="shared" si="109"/>
        <v>2086</v>
      </c>
      <c r="BR128" s="524">
        <f t="shared" si="109"/>
        <v>2087</v>
      </c>
      <c r="BS128" s="524">
        <f t="shared" si="109"/>
        <v>2088</v>
      </c>
      <c r="BT128" s="524">
        <f t="shared" si="109"/>
        <v>2089</v>
      </c>
      <c r="BU128" s="524">
        <f t="shared" si="109"/>
        <v>2090</v>
      </c>
      <c r="BV128" s="524">
        <f t="shared" si="109"/>
        <v>2091</v>
      </c>
      <c r="BW128" s="524">
        <f t="shared" si="109"/>
        <v>2092</v>
      </c>
      <c r="BX128" s="524">
        <f t="shared" si="109"/>
        <v>2093</v>
      </c>
      <c r="BY128" s="524">
        <f t="shared" si="109"/>
        <v>2094</v>
      </c>
      <c r="BZ128" s="524">
        <f t="shared" si="109"/>
        <v>2095</v>
      </c>
      <c r="CA128" s="524">
        <f t="shared" si="109"/>
        <v>2096</v>
      </c>
      <c r="CB128" s="524">
        <f t="shared" si="109"/>
        <v>2097</v>
      </c>
      <c r="CC128" s="524">
        <f t="shared" si="109"/>
        <v>2098</v>
      </c>
      <c r="CD128" s="524">
        <f t="shared" si="109"/>
        <v>2099</v>
      </c>
      <c r="CE128" s="524">
        <f t="shared" si="109"/>
        <v>2100</v>
      </c>
      <c r="CG128" s="486">
        <v>2023</v>
      </c>
      <c r="CH128" s="486">
        <v>2024</v>
      </c>
      <c r="CI128" s="486">
        <v>2025</v>
      </c>
      <c r="CJ128" s="486">
        <v>2026</v>
      </c>
      <c r="CK128" s="486">
        <v>2027</v>
      </c>
      <c r="CL128" s="486">
        <v>2028</v>
      </c>
      <c r="CM128" s="486">
        <v>2029</v>
      </c>
      <c r="CN128" s="486">
        <v>2030</v>
      </c>
      <c r="CO128" s="486">
        <v>2031</v>
      </c>
      <c r="CP128" s="486">
        <v>2032</v>
      </c>
      <c r="CQ128" s="486">
        <v>2033</v>
      </c>
      <c r="CR128" s="486">
        <v>2034</v>
      </c>
      <c r="CS128" s="486">
        <v>2035</v>
      </c>
      <c r="CT128" s="486">
        <v>2036</v>
      </c>
      <c r="CU128" s="486">
        <v>2037</v>
      </c>
      <c r="CV128" s="486">
        <v>2038</v>
      </c>
      <c r="CW128" s="486">
        <v>2039</v>
      </c>
      <c r="CX128" s="486">
        <v>2040</v>
      </c>
      <c r="CY128" s="486">
        <v>2041</v>
      </c>
      <c r="CZ128" s="486">
        <v>2042</v>
      </c>
      <c r="DA128" s="486">
        <v>2043</v>
      </c>
      <c r="DB128" s="486">
        <v>2044</v>
      </c>
      <c r="DC128" s="486">
        <v>2045</v>
      </c>
      <c r="DD128" s="486">
        <v>2046</v>
      </c>
      <c r="DE128" s="486">
        <v>2047</v>
      </c>
      <c r="DF128" s="486">
        <v>2048</v>
      </c>
      <c r="DG128" s="486">
        <v>2049</v>
      </c>
      <c r="DH128" s="486">
        <v>2050</v>
      </c>
    </row>
    <row r="129" spans="2:112">
      <c r="B129" t="s">
        <v>1014</v>
      </c>
      <c r="C129" t="s">
        <v>747</v>
      </c>
      <c r="D129" t="s">
        <v>879</v>
      </c>
      <c r="E129" t="s">
        <v>737</v>
      </c>
      <c r="F129" s="525">
        <v>200000</v>
      </c>
      <c r="G129" s="525">
        <v>200000</v>
      </c>
      <c r="H129" s="525">
        <v>200000</v>
      </c>
      <c r="I129" s="525">
        <v>200000</v>
      </c>
      <c r="J129" s="525">
        <v>200000</v>
      </c>
      <c r="K129" s="525">
        <v>200000</v>
      </c>
      <c r="L129" s="525">
        <v>200000</v>
      </c>
      <c r="M129" s="525">
        <v>200000</v>
      </c>
      <c r="N129" s="525">
        <v>200000</v>
      </c>
      <c r="O129" s="525">
        <v>200000</v>
      </c>
      <c r="P129" s="525">
        <v>200000</v>
      </c>
      <c r="Q129" s="525">
        <v>200000</v>
      </c>
      <c r="R129" s="525">
        <v>200000</v>
      </c>
      <c r="S129" s="525">
        <v>200000</v>
      </c>
      <c r="T129" s="525">
        <v>200000</v>
      </c>
      <c r="U129" s="525">
        <v>200000</v>
      </c>
      <c r="V129" s="525">
        <v>200000</v>
      </c>
      <c r="W129" s="525">
        <v>200000</v>
      </c>
      <c r="X129" s="525">
        <v>200000</v>
      </c>
      <c r="Y129" s="525">
        <v>200000</v>
      </c>
      <c r="Z129" s="525">
        <v>200000</v>
      </c>
      <c r="AA129" s="525">
        <v>200000</v>
      </c>
      <c r="AB129" s="525">
        <v>200000</v>
      </c>
      <c r="AC129" s="525">
        <v>200000</v>
      </c>
      <c r="AD129" s="525">
        <v>200000</v>
      </c>
      <c r="AE129" s="525">
        <v>200000</v>
      </c>
      <c r="AF129" s="525">
        <v>200000</v>
      </c>
      <c r="AG129" s="525">
        <v>200000</v>
      </c>
      <c r="AH129" s="526">
        <f>AG129</f>
        <v>200000</v>
      </c>
      <c r="AI129" s="526">
        <f t="shared" ref="AI129:AX129" si="110">AH129</f>
        <v>200000</v>
      </c>
      <c r="AJ129" s="526">
        <f t="shared" si="110"/>
        <v>200000</v>
      </c>
      <c r="AK129" s="526">
        <f t="shared" si="110"/>
        <v>200000</v>
      </c>
      <c r="AL129" s="526">
        <f t="shared" si="110"/>
        <v>200000</v>
      </c>
      <c r="AM129" s="526">
        <f t="shared" si="110"/>
        <v>200000</v>
      </c>
      <c r="AN129" s="526">
        <f t="shared" si="110"/>
        <v>200000</v>
      </c>
      <c r="AO129" s="526">
        <f t="shared" si="110"/>
        <v>200000</v>
      </c>
      <c r="AP129" s="526">
        <f t="shared" si="110"/>
        <v>200000</v>
      </c>
      <c r="AQ129" s="526">
        <f t="shared" si="110"/>
        <v>200000</v>
      </c>
      <c r="AR129" s="526">
        <f t="shared" si="110"/>
        <v>200000</v>
      </c>
      <c r="AS129" s="526">
        <f t="shared" si="110"/>
        <v>200000</v>
      </c>
      <c r="AT129" s="526">
        <f t="shared" si="110"/>
        <v>200000</v>
      </c>
      <c r="AU129" s="526">
        <f t="shared" si="110"/>
        <v>200000</v>
      </c>
      <c r="AV129" s="526">
        <f t="shared" si="110"/>
        <v>200000</v>
      </c>
      <c r="AW129" s="526">
        <f t="shared" si="110"/>
        <v>200000</v>
      </c>
      <c r="AX129" s="526">
        <f t="shared" si="110"/>
        <v>200000</v>
      </c>
      <c r="AY129" s="526">
        <f t="shared" ref="AY129:BN129" si="111">AX129</f>
        <v>200000</v>
      </c>
      <c r="AZ129" s="526">
        <f t="shared" si="111"/>
        <v>200000</v>
      </c>
      <c r="BA129" s="526">
        <f t="shared" si="111"/>
        <v>200000</v>
      </c>
      <c r="BB129" s="526">
        <f t="shared" si="111"/>
        <v>200000</v>
      </c>
      <c r="BC129" s="526">
        <f t="shared" si="111"/>
        <v>200000</v>
      </c>
      <c r="BD129" s="526">
        <f t="shared" si="111"/>
        <v>200000</v>
      </c>
      <c r="BE129" s="526">
        <f t="shared" si="111"/>
        <v>200000</v>
      </c>
      <c r="BF129" s="526">
        <f t="shared" si="111"/>
        <v>200000</v>
      </c>
      <c r="BG129" s="526">
        <f t="shared" si="111"/>
        <v>200000</v>
      </c>
      <c r="BH129" s="526">
        <f t="shared" si="111"/>
        <v>200000</v>
      </c>
      <c r="BI129" s="526">
        <f t="shared" si="111"/>
        <v>200000</v>
      </c>
      <c r="BJ129" s="526">
        <f t="shared" si="111"/>
        <v>200000</v>
      </c>
      <c r="BK129" s="526">
        <f t="shared" si="111"/>
        <v>200000</v>
      </c>
      <c r="BL129" s="526">
        <f t="shared" si="111"/>
        <v>200000</v>
      </c>
      <c r="BM129" s="526">
        <f t="shared" si="111"/>
        <v>200000</v>
      </c>
      <c r="BN129" s="526">
        <f t="shared" si="111"/>
        <v>200000</v>
      </c>
      <c r="BO129" s="526">
        <f t="shared" ref="BO129:CD129" si="112">BN129</f>
        <v>200000</v>
      </c>
      <c r="BP129" s="526">
        <f t="shared" si="112"/>
        <v>200000</v>
      </c>
      <c r="BQ129" s="526">
        <f t="shared" si="112"/>
        <v>200000</v>
      </c>
      <c r="BR129" s="526">
        <f t="shared" si="112"/>
        <v>200000</v>
      </c>
      <c r="BS129" s="526">
        <f t="shared" si="112"/>
        <v>200000</v>
      </c>
      <c r="BT129" s="526">
        <f t="shared" si="112"/>
        <v>200000</v>
      </c>
      <c r="BU129" s="526">
        <f t="shared" si="112"/>
        <v>200000</v>
      </c>
      <c r="BV129" s="526">
        <f t="shared" si="112"/>
        <v>200000</v>
      </c>
      <c r="BW129" s="526">
        <f t="shared" si="112"/>
        <v>200000</v>
      </c>
      <c r="BX129" s="526">
        <f t="shared" si="112"/>
        <v>200000</v>
      </c>
      <c r="BY129" s="526">
        <f t="shared" si="112"/>
        <v>200000</v>
      </c>
      <c r="BZ129" s="526">
        <f t="shared" si="112"/>
        <v>200000</v>
      </c>
      <c r="CA129" s="526">
        <f t="shared" si="112"/>
        <v>200000</v>
      </c>
      <c r="CB129" s="526">
        <f t="shared" si="112"/>
        <v>200000</v>
      </c>
      <c r="CC129" s="526">
        <f t="shared" si="112"/>
        <v>200000</v>
      </c>
      <c r="CD129" s="526">
        <f t="shared" si="112"/>
        <v>200000</v>
      </c>
      <c r="CE129" s="526">
        <f t="shared" ref="AX129:CE137" si="113">CD129</f>
        <v>200000</v>
      </c>
      <c r="CG129" s="536">
        <v>200000</v>
      </c>
      <c r="CH129" s="536">
        <v>200000</v>
      </c>
      <c r="CI129" s="536">
        <v>200000</v>
      </c>
      <c r="CJ129" s="536">
        <v>200000</v>
      </c>
      <c r="CK129" s="536">
        <v>200000</v>
      </c>
      <c r="CL129" s="536">
        <v>200000</v>
      </c>
      <c r="CM129" s="536">
        <v>200000</v>
      </c>
      <c r="CN129" s="536">
        <v>200000</v>
      </c>
      <c r="CO129" s="536">
        <v>200000</v>
      </c>
      <c r="CP129" s="536">
        <v>200000</v>
      </c>
      <c r="CQ129" s="536">
        <v>200000</v>
      </c>
      <c r="CR129" s="536">
        <v>200000</v>
      </c>
      <c r="CS129" s="536">
        <v>200000</v>
      </c>
      <c r="CT129" s="536">
        <v>200000</v>
      </c>
      <c r="CU129" s="536">
        <v>200000</v>
      </c>
      <c r="CV129" s="536">
        <v>200000</v>
      </c>
      <c r="CW129" s="536">
        <v>200000</v>
      </c>
      <c r="CX129" s="536">
        <v>200000</v>
      </c>
      <c r="CY129" s="536">
        <v>200000</v>
      </c>
      <c r="CZ129" s="536">
        <v>200000</v>
      </c>
      <c r="DA129" s="536">
        <v>200000</v>
      </c>
      <c r="DB129" s="536">
        <v>200000</v>
      </c>
      <c r="DC129" s="536">
        <v>200000</v>
      </c>
      <c r="DD129" s="536">
        <v>200000</v>
      </c>
      <c r="DE129" s="536">
        <v>200000</v>
      </c>
      <c r="DF129" s="536">
        <v>200000</v>
      </c>
      <c r="DG129" s="536">
        <v>200000</v>
      </c>
      <c r="DH129" s="536">
        <v>200000</v>
      </c>
    </row>
    <row r="130" spans="2:112">
      <c r="B130" t="s">
        <v>1015</v>
      </c>
      <c r="C130" t="s">
        <v>747</v>
      </c>
      <c r="D130" t="s">
        <v>695</v>
      </c>
      <c r="E130" t="s">
        <v>881</v>
      </c>
      <c r="F130" s="525">
        <v>255</v>
      </c>
      <c r="G130" s="525">
        <v>255</v>
      </c>
      <c r="H130" s="525">
        <v>255</v>
      </c>
      <c r="I130" s="525">
        <v>255</v>
      </c>
      <c r="J130" s="525">
        <v>255</v>
      </c>
      <c r="K130" s="525">
        <v>255</v>
      </c>
      <c r="L130" s="525">
        <v>255</v>
      </c>
      <c r="M130" s="525">
        <v>255</v>
      </c>
      <c r="N130" s="525">
        <v>255</v>
      </c>
      <c r="O130" s="525">
        <v>255</v>
      </c>
      <c r="P130" s="525">
        <v>255</v>
      </c>
      <c r="Q130" s="525">
        <v>255</v>
      </c>
      <c r="R130" s="525">
        <v>255</v>
      </c>
      <c r="S130" s="525">
        <v>255</v>
      </c>
      <c r="T130" s="525">
        <v>255</v>
      </c>
      <c r="U130" s="525">
        <v>255</v>
      </c>
      <c r="V130" s="525">
        <v>255</v>
      </c>
      <c r="W130" s="525">
        <v>255</v>
      </c>
      <c r="X130" s="525">
        <v>255</v>
      </c>
      <c r="Y130" s="525">
        <v>255</v>
      </c>
      <c r="Z130" s="525">
        <v>255</v>
      </c>
      <c r="AA130" s="525">
        <v>255</v>
      </c>
      <c r="AB130" s="525">
        <v>255</v>
      </c>
      <c r="AC130" s="525">
        <v>255</v>
      </c>
      <c r="AD130" s="525">
        <v>255</v>
      </c>
      <c r="AE130" s="525">
        <v>255</v>
      </c>
      <c r="AF130" s="525">
        <v>255</v>
      </c>
      <c r="AG130" s="525">
        <v>255</v>
      </c>
      <c r="AH130" s="526">
        <f t="shared" ref="AH130:AW139" si="114">AG130</f>
        <v>255</v>
      </c>
      <c r="AI130" s="526">
        <f t="shared" si="114"/>
        <v>255</v>
      </c>
      <c r="AJ130" s="526">
        <f t="shared" si="114"/>
        <v>255</v>
      </c>
      <c r="AK130" s="526">
        <f t="shared" si="114"/>
        <v>255</v>
      </c>
      <c r="AL130" s="526">
        <f t="shared" si="114"/>
        <v>255</v>
      </c>
      <c r="AM130" s="526">
        <f t="shared" si="114"/>
        <v>255</v>
      </c>
      <c r="AN130" s="526">
        <f t="shared" si="114"/>
        <v>255</v>
      </c>
      <c r="AO130" s="526">
        <f t="shared" si="114"/>
        <v>255</v>
      </c>
      <c r="AP130" s="526">
        <f t="shared" si="114"/>
        <v>255</v>
      </c>
      <c r="AQ130" s="526">
        <f t="shared" si="114"/>
        <v>255</v>
      </c>
      <c r="AR130" s="526">
        <f t="shared" si="114"/>
        <v>255</v>
      </c>
      <c r="AS130" s="526">
        <f t="shared" si="114"/>
        <v>255</v>
      </c>
      <c r="AT130" s="526">
        <f t="shared" si="114"/>
        <v>255</v>
      </c>
      <c r="AU130" s="526">
        <f t="shared" si="114"/>
        <v>255</v>
      </c>
      <c r="AV130" s="526">
        <f t="shared" si="114"/>
        <v>255</v>
      </c>
      <c r="AW130" s="526">
        <f t="shared" si="114"/>
        <v>255</v>
      </c>
      <c r="AX130" s="526">
        <f t="shared" si="113"/>
        <v>255</v>
      </c>
      <c r="AY130" s="526">
        <f t="shared" si="113"/>
        <v>255</v>
      </c>
      <c r="AZ130" s="526">
        <f t="shared" si="113"/>
        <v>255</v>
      </c>
      <c r="BA130" s="526">
        <f t="shared" si="113"/>
        <v>255</v>
      </c>
      <c r="BB130" s="526">
        <f t="shared" si="113"/>
        <v>255</v>
      </c>
      <c r="BC130" s="526">
        <f t="shared" si="113"/>
        <v>255</v>
      </c>
      <c r="BD130" s="526">
        <f t="shared" si="113"/>
        <v>255</v>
      </c>
      <c r="BE130" s="526">
        <f t="shared" si="113"/>
        <v>255</v>
      </c>
      <c r="BF130" s="526">
        <f t="shared" si="113"/>
        <v>255</v>
      </c>
      <c r="BG130" s="526">
        <f t="shared" si="113"/>
        <v>255</v>
      </c>
      <c r="BH130" s="526">
        <f t="shared" si="113"/>
        <v>255</v>
      </c>
      <c r="BI130" s="526">
        <f t="shared" si="113"/>
        <v>255</v>
      </c>
      <c r="BJ130" s="526">
        <f t="shared" si="113"/>
        <v>255</v>
      </c>
      <c r="BK130" s="526">
        <f t="shared" si="113"/>
        <v>255</v>
      </c>
      <c r="BL130" s="526">
        <f t="shared" si="113"/>
        <v>255</v>
      </c>
      <c r="BM130" s="526">
        <f t="shared" si="113"/>
        <v>255</v>
      </c>
      <c r="BN130" s="526">
        <f t="shared" si="113"/>
        <v>255</v>
      </c>
      <c r="BO130" s="526">
        <f t="shared" si="113"/>
        <v>255</v>
      </c>
      <c r="BP130" s="526">
        <f t="shared" si="113"/>
        <v>255</v>
      </c>
      <c r="BQ130" s="526">
        <f t="shared" si="113"/>
        <v>255</v>
      </c>
      <c r="BR130" s="526">
        <f t="shared" si="113"/>
        <v>255</v>
      </c>
      <c r="BS130" s="526">
        <f t="shared" si="113"/>
        <v>255</v>
      </c>
      <c r="BT130" s="526">
        <f t="shared" si="113"/>
        <v>255</v>
      </c>
      <c r="BU130" s="526">
        <f t="shared" si="113"/>
        <v>255</v>
      </c>
      <c r="BV130" s="526">
        <f t="shared" si="113"/>
        <v>255</v>
      </c>
      <c r="BW130" s="526">
        <f t="shared" si="113"/>
        <v>255</v>
      </c>
      <c r="BX130" s="526">
        <f t="shared" si="113"/>
        <v>255</v>
      </c>
      <c r="BY130" s="526">
        <f t="shared" si="113"/>
        <v>255</v>
      </c>
      <c r="BZ130" s="526">
        <f t="shared" si="113"/>
        <v>255</v>
      </c>
      <c r="CA130" s="526">
        <f t="shared" si="113"/>
        <v>255</v>
      </c>
      <c r="CB130" s="526">
        <f t="shared" si="113"/>
        <v>255</v>
      </c>
      <c r="CC130" s="526">
        <f t="shared" si="113"/>
        <v>255</v>
      </c>
      <c r="CD130" s="526">
        <f t="shared" si="113"/>
        <v>255</v>
      </c>
      <c r="CE130" s="526">
        <f t="shared" si="113"/>
        <v>255</v>
      </c>
      <c r="CG130" s="536">
        <v>255</v>
      </c>
      <c r="CH130" s="536">
        <v>255</v>
      </c>
      <c r="CI130" s="536">
        <v>255</v>
      </c>
      <c r="CJ130" s="536">
        <v>255</v>
      </c>
      <c r="CK130" s="536">
        <v>255</v>
      </c>
      <c r="CL130" s="536">
        <v>255</v>
      </c>
      <c r="CM130" s="536">
        <v>255</v>
      </c>
      <c r="CN130" s="536">
        <v>255</v>
      </c>
      <c r="CO130" s="536">
        <v>255</v>
      </c>
      <c r="CP130" s="536">
        <v>255</v>
      </c>
      <c r="CQ130" s="536">
        <v>255</v>
      </c>
      <c r="CR130" s="536">
        <v>255</v>
      </c>
      <c r="CS130" s="536">
        <v>255</v>
      </c>
      <c r="CT130" s="536">
        <v>255</v>
      </c>
      <c r="CU130" s="536">
        <v>255</v>
      </c>
      <c r="CV130" s="536">
        <v>255</v>
      </c>
      <c r="CW130" s="536">
        <v>255</v>
      </c>
      <c r="CX130" s="536">
        <v>255</v>
      </c>
      <c r="CY130" s="536">
        <v>255</v>
      </c>
      <c r="CZ130" s="536">
        <v>255</v>
      </c>
      <c r="DA130" s="536">
        <v>255</v>
      </c>
      <c r="DB130" s="536">
        <v>255</v>
      </c>
      <c r="DC130" s="536">
        <v>255</v>
      </c>
      <c r="DD130" s="536">
        <v>255</v>
      </c>
      <c r="DE130" s="536">
        <v>255</v>
      </c>
      <c r="DF130" s="536">
        <v>255</v>
      </c>
      <c r="DG130" s="536">
        <v>255</v>
      </c>
      <c r="DH130" s="536">
        <v>255</v>
      </c>
    </row>
    <row r="131" spans="2:112">
      <c r="B131" t="s">
        <v>1016</v>
      </c>
      <c r="C131" t="s">
        <v>747</v>
      </c>
      <c r="D131" t="s">
        <v>883</v>
      </c>
      <c r="E131" t="s">
        <v>884</v>
      </c>
      <c r="F131" s="525">
        <v>12</v>
      </c>
      <c r="G131" s="525">
        <v>12</v>
      </c>
      <c r="H131" s="525">
        <v>12</v>
      </c>
      <c r="I131" s="525">
        <v>12</v>
      </c>
      <c r="J131" s="525">
        <v>12</v>
      </c>
      <c r="K131" s="525">
        <v>12</v>
      </c>
      <c r="L131" s="525">
        <v>12</v>
      </c>
      <c r="M131" s="525">
        <v>12</v>
      </c>
      <c r="N131" s="525">
        <v>12</v>
      </c>
      <c r="O131" s="525">
        <v>12</v>
      </c>
      <c r="P131" s="525">
        <v>12</v>
      </c>
      <c r="Q131" s="525">
        <v>12</v>
      </c>
      <c r="R131" s="525">
        <v>12</v>
      </c>
      <c r="S131" s="525">
        <v>12</v>
      </c>
      <c r="T131" s="525">
        <v>12</v>
      </c>
      <c r="U131" s="525">
        <v>12</v>
      </c>
      <c r="V131" s="525">
        <v>12</v>
      </c>
      <c r="W131" s="525">
        <v>12</v>
      </c>
      <c r="X131" s="525">
        <v>12</v>
      </c>
      <c r="Y131" s="525">
        <v>12</v>
      </c>
      <c r="Z131" s="525">
        <v>12</v>
      </c>
      <c r="AA131" s="525">
        <v>12</v>
      </c>
      <c r="AB131" s="525">
        <v>12</v>
      </c>
      <c r="AC131" s="525">
        <v>12</v>
      </c>
      <c r="AD131" s="525">
        <v>12</v>
      </c>
      <c r="AE131" s="525">
        <v>12</v>
      </c>
      <c r="AF131" s="525">
        <v>12</v>
      </c>
      <c r="AG131" s="525">
        <v>12</v>
      </c>
      <c r="AH131" s="526">
        <f t="shared" si="114"/>
        <v>12</v>
      </c>
      <c r="AI131" s="526">
        <f t="shared" si="114"/>
        <v>12</v>
      </c>
      <c r="AJ131" s="526">
        <f t="shared" si="114"/>
        <v>12</v>
      </c>
      <c r="AK131" s="526">
        <f t="shared" si="114"/>
        <v>12</v>
      </c>
      <c r="AL131" s="526">
        <f t="shared" si="114"/>
        <v>12</v>
      </c>
      <c r="AM131" s="526">
        <f t="shared" si="114"/>
        <v>12</v>
      </c>
      <c r="AN131" s="526">
        <f t="shared" si="114"/>
        <v>12</v>
      </c>
      <c r="AO131" s="526">
        <f t="shared" si="114"/>
        <v>12</v>
      </c>
      <c r="AP131" s="526">
        <f t="shared" si="114"/>
        <v>12</v>
      </c>
      <c r="AQ131" s="526">
        <f t="shared" si="114"/>
        <v>12</v>
      </c>
      <c r="AR131" s="526">
        <f t="shared" si="114"/>
        <v>12</v>
      </c>
      <c r="AS131" s="526">
        <f t="shared" si="114"/>
        <v>12</v>
      </c>
      <c r="AT131" s="526">
        <f t="shared" si="114"/>
        <v>12</v>
      </c>
      <c r="AU131" s="526">
        <f t="shared" si="114"/>
        <v>12</v>
      </c>
      <c r="AV131" s="526">
        <f t="shared" si="114"/>
        <v>12</v>
      </c>
      <c r="AW131" s="526">
        <f t="shared" si="114"/>
        <v>12</v>
      </c>
      <c r="AX131" s="526">
        <f t="shared" si="113"/>
        <v>12</v>
      </c>
      <c r="AY131" s="526">
        <f t="shared" si="113"/>
        <v>12</v>
      </c>
      <c r="AZ131" s="526">
        <f t="shared" si="113"/>
        <v>12</v>
      </c>
      <c r="BA131" s="526">
        <f t="shared" si="113"/>
        <v>12</v>
      </c>
      <c r="BB131" s="526">
        <f t="shared" si="113"/>
        <v>12</v>
      </c>
      <c r="BC131" s="526">
        <f t="shared" si="113"/>
        <v>12</v>
      </c>
      <c r="BD131" s="526">
        <f t="shared" si="113"/>
        <v>12</v>
      </c>
      <c r="BE131" s="526">
        <f t="shared" si="113"/>
        <v>12</v>
      </c>
      <c r="BF131" s="526">
        <f t="shared" si="113"/>
        <v>12</v>
      </c>
      <c r="BG131" s="526">
        <f t="shared" si="113"/>
        <v>12</v>
      </c>
      <c r="BH131" s="526">
        <f t="shared" si="113"/>
        <v>12</v>
      </c>
      <c r="BI131" s="526">
        <f t="shared" si="113"/>
        <v>12</v>
      </c>
      <c r="BJ131" s="526">
        <f t="shared" si="113"/>
        <v>12</v>
      </c>
      <c r="BK131" s="526">
        <f t="shared" si="113"/>
        <v>12</v>
      </c>
      <c r="BL131" s="526">
        <f t="shared" si="113"/>
        <v>12</v>
      </c>
      <c r="BM131" s="526">
        <f t="shared" si="113"/>
        <v>12</v>
      </c>
      <c r="BN131" s="526">
        <f t="shared" si="113"/>
        <v>12</v>
      </c>
      <c r="BO131" s="526">
        <f t="shared" si="113"/>
        <v>12</v>
      </c>
      <c r="BP131" s="526">
        <f t="shared" si="113"/>
        <v>12</v>
      </c>
      <c r="BQ131" s="526">
        <f t="shared" si="113"/>
        <v>12</v>
      </c>
      <c r="BR131" s="526">
        <f t="shared" si="113"/>
        <v>12</v>
      </c>
      <c r="BS131" s="526">
        <f t="shared" si="113"/>
        <v>12</v>
      </c>
      <c r="BT131" s="526">
        <f t="shared" si="113"/>
        <v>12</v>
      </c>
      <c r="BU131" s="526">
        <f t="shared" si="113"/>
        <v>12</v>
      </c>
      <c r="BV131" s="526">
        <f t="shared" si="113"/>
        <v>12</v>
      </c>
      <c r="BW131" s="526">
        <f t="shared" si="113"/>
        <v>12</v>
      </c>
      <c r="BX131" s="526">
        <f t="shared" si="113"/>
        <v>12</v>
      </c>
      <c r="BY131" s="526">
        <f t="shared" si="113"/>
        <v>12</v>
      </c>
      <c r="BZ131" s="526">
        <f t="shared" si="113"/>
        <v>12</v>
      </c>
      <c r="CA131" s="526">
        <f t="shared" si="113"/>
        <v>12</v>
      </c>
      <c r="CB131" s="526">
        <f t="shared" si="113"/>
        <v>12</v>
      </c>
      <c r="CC131" s="526">
        <f t="shared" si="113"/>
        <v>12</v>
      </c>
      <c r="CD131" s="526">
        <f t="shared" si="113"/>
        <v>12</v>
      </c>
      <c r="CE131" s="526">
        <f t="shared" si="113"/>
        <v>12</v>
      </c>
      <c r="CG131" s="536">
        <v>12</v>
      </c>
      <c r="CH131" s="536">
        <v>12</v>
      </c>
      <c r="CI131" s="536">
        <v>12</v>
      </c>
      <c r="CJ131" s="536">
        <v>12</v>
      </c>
      <c r="CK131" s="536">
        <v>12</v>
      </c>
      <c r="CL131" s="536">
        <v>12</v>
      </c>
      <c r="CM131" s="536">
        <v>12</v>
      </c>
      <c r="CN131" s="536">
        <v>12</v>
      </c>
      <c r="CO131" s="536">
        <v>12</v>
      </c>
      <c r="CP131" s="536">
        <v>12</v>
      </c>
      <c r="CQ131" s="536">
        <v>12</v>
      </c>
      <c r="CR131" s="536">
        <v>12</v>
      </c>
      <c r="CS131" s="536">
        <v>12</v>
      </c>
      <c r="CT131" s="536">
        <v>12</v>
      </c>
      <c r="CU131" s="536">
        <v>12</v>
      </c>
      <c r="CV131" s="536">
        <v>12</v>
      </c>
      <c r="CW131" s="536">
        <v>12</v>
      </c>
      <c r="CX131" s="536">
        <v>12</v>
      </c>
      <c r="CY131" s="536">
        <v>12</v>
      </c>
      <c r="CZ131" s="536">
        <v>12</v>
      </c>
      <c r="DA131" s="536">
        <v>12</v>
      </c>
      <c r="DB131" s="536">
        <v>12</v>
      </c>
      <c r="DC131" s="536">
        <v>12</v>
      </c>
      <c r="DD131" s="536">
        <v>12</v>
      </c>
      <c r="DE131" s="536">
        <v>12</v>
      </c>
      <c r="DF131" s="536">
        <v>12</v>
      </c>
      <c r="DG131" s="536">
        <v>12</v>
      </c>
      <c r="DH131" s="536">
        <v>12</v>
      </c>
    </row>
    <row r="132" spans="2:112">
      <c r="B132" t="s">
        <v>1017</v>
      </c>
      <c r="C132" t="s">
        <v>747</v>
      </c>
      <c r="D132" t="s">
        <v>886</v>
      </c>
      <c r="E132" t="s">
        <v>178</v>
      </c>
      <c r="F132" s="537">
        <v>0.51</v>
      </c>
      <c r="G132" s="537">
        <v>0.51</v>
      </c>
      <c r="H132" s="537">
        <v>0.51</v>
      </c>
      <c r="I132" s="537">
        <v>0.51</v>
      </c>
      <c r="J132" s="537">
        <v>0.51</v>
      </c>
      <c r="K132" s="537">
        <v>0.51</v>
      </c>
      <c r="L132" s="537">
        <v>0.51</v>
      </c>
      <c r="M132" s="537">
        <v>0.51</v>
      </c>
      <c r="N132" s="537">
        <v>0.51</v>
      </c>
      <c r="O132" s="537">
        <v>0.51</v>
      </c>
      <c r="P132" s="537">
        <v>0.51</v>
      </c>
      <c r="Q132" s="537">
        <v>0.51</v>
      </c>
      <c r="R132" s="537">
        <v>0.51</v>
      </c>
      <c r="S132" s="537">
        <v>0.51</v>
      </c>
      <c r="T132" s="537">
        <v>0.51</v>
      </c>
      <c r="U132" s="537">
        <v>0.51</v>
      </c>
      <c r="V132" s="537">
        <v>0.51</v>
      </c>
      <c r="W132" s="537">
        <v>0.51</v>
      </c>
      <c r="X132" s="537">
        <v>0.51</v>
      </c>
      <c r="Y132" s="537">
        <v>0.51</v>
      </c>
      <c r="Z132" s="537">
        <v>0.51</v>
      </c>
      <c r="AA132" s="537">
        <v>0.51</v>
      </c>
      <c r="AB132" s="537">
        <v>0.51</v>
      </c>
      <c r="AC132" s="537">
        <v>0.51</v>
      </c>
      <c r="AD132" s="537">
        <v>0.51</v>
      </c>
      <c r="AE132" s="537">
        <v>0.51</v>
      </c>
      <c r="AF132" s="537">
        <v>0.51</v>
      </c>
      <c r="AG132" s="537">
        <v>0.51</v>
      </c>
      <c r="AH132" s="526">
        <f t="shared" si="114"/>
        <v>0.51</v>
      </c>
      <c r="AI132" s="526">
        <f t="shared" si="114"/>
        <v>0.51</v>
      </c>
      <c r="AJ132" s="526">
        <f t="shared" si="114"/>
        <v>0.51</v>
      </c>
      <c r="AK132" s="526">
        <f t="shared" si="114"/>
        <v>0.51</v>
      </c>
      <c r="AL132" s="526">
        <f t="shared" si="114"/>
        <v>0.51</v>
      </c>
      <c r="AM132" s="526">
        <f t="shared" si="114"/>
        <v>0.51</v>
      </c>
      <c r="AN132" s="526">
        <f t="shared" si="114"/>
        <v>0.51</v>
      </c>
      <c r="AO132" s="526">
        <f t="shared" si="114"/>
        <v>0.51</v>
      </c>
      <c r="AP132" s="526">
        <f t="shared" si="114"/>
        <v>0.51</v>
      </c>
      <c r="AQ132" s="526">
        <f t="shared" si="114"/>
        <v>0.51</v>
      </c>
      <c r="AR132" s="526">
        <f t="shared" si="114"/>
        <v>0.51</v>
      </c>
      <c r="AS132" s="526">
        <f t="shared" si="114"/>
        <v>0.51</v>
      </c>
      <c r="AT132" s="526">
        <f t="shared" si="114"/>
        <v>0.51</v>
      </c>
      <c r="AU132" s="526">
        <f t="shared" si="114"/>
        <v>0.51</v>
      </c>
      <c r="AV132" s="526">
        <f t="shared" si="114"/>
        <v>0.51</v>
      </c>
      <c r="AW132" s="526">
        <f t="shared" si="114"/>
        <v>0.51</v>
      </c>
      <c r="AX132" s="526">
        <f t="shared" si="113"/>
        <v>0.51</v>
      </c>
      <c r="AY132" s="526">
        <f t="shared" si="113"/>
        <v>0.51</v>
      </c>
      <c r="AZ132" s="526">
        <f t="shared" si="113"/>
        <v>0.51</v>
      </c>
      <c r="BA132" s="526">
        <f t="shared" si="113"/>
        <v>0.51</v>
      </c>
      <c r="BB132" s="526">
        <f t="shared" si="113"/>
        <v>0.51</v>
      </c>
      <c r="BC132" s="526">
        <f t="shared" si="113"/>
        <v>0.51</v>
      </c>
      <c r="BD132" s="526">
        <f t="shared" si="113"/>
        <v>0.51</v>
      </c>
      <c r="BE132" s="526">
        <f t="shared" si="113"/>
        <v>0.51</v>
      </c>
      <c r="BF132" s="526">
        <f t="shared" si="113"/>
        <v>0.51</v>
      </c>
      <c r="BG132" s="526">
        <f t="shared" si="113"/>
        <v>0.51</v>
      </c>
      <c r="BH132" s="526">
        <f t="shared" si="113"/>
        <v>0.51</v>
      </c>
      <c r="BI132" s="526">
        <f t="shared" si="113"/>
        <v>0.51</v>
      </c>
      <c r="BJ132" s="526">
        <f t="shared" si="113"/>
        <v>0.51</v>
      </c>
      <c r="BK132" s="526">
        <f t="shared" si="113"/>
        <v>0.51</v>
      </c>
      <c r="BL132" s="526">
        <f t="shared" si="113"/>
        <v>0.51</v>
      </c>
      <c r="BM132" s="526">
        <f t="shared" si="113"/>
        <v>0.51</v>
      </c>
      <c r="BN132" s="526">
        <f t="shared" si="113"/>
        <v>0.51</v>
      </c>
      <c r="BO132" s="526">
        <f t="shared" si="113"/>
        <v>0.51</v>
      </c>
      <c r="BP132" s="526">
        <f t="shared" si="113"/>
        <v>0.51</v>
      </c>
      <c r="BQ132" s="526">
        <f t="shared" si="113"/>
        <v>0.51</v>
      </c>
      <c r="BR132" s="526">
        <f t="shared" si="113"/>
        <v>0.51</v>
      </c>
      <c r="BS132" s="526">
        <f t="shared" si="113"/>
        <v>0.51</v>
      </c>
      <c r="BT132" s="526">
        <f t="shared" si="113"/>
        <v>0.51</v>
      </c>
      <c r="BU132" s="526">
        <f t="shared" si="113"/>
        <v>0.51</v>
      </c>
      <c r="BV132" s="526">
        <f t="shared" si="113"/>
        <v>0.51</v>
      </c>
      <c r="BW132" s="526">
        <f t="shared" si="113"/>
        <v>0.51</v>
      </c>
      <c r="BX132" s="526">
        <f t="shared" si="113"/>
        <v>0.51</v>
      </c>
      <c r="BY132" s="526">
        <f t="shared" si="113"/>
        <v>0.51</v>
      </c>
      <c r="BZ132" s="526">
        <f t="shared" si="113"/>
        <v>0.51</v>
      </c>
      <c r="CA132" s="526">
        <f t="shared" si="113"/>
        <v>0.51</v>
      </c>
      <c r="CB132" s="526">
        <f t="shared" si="113"/>
        <v>0.51</v>
      </c>
      <c r="CC132" s="526">
        <f t="shared" si="113"/>
        <v>0.51</v>
      </c>
      <c r="CD132" s="526">
        <f t="shared" si="113"/>
        <v>0.51</v>
      </c>
      <c r="CE132" s="526">
        <f t="shared" si="113"/>
        <v>0.51</v>
      </c>
      <c r="CG132" s="537">
        <v>0.51</v>
      </c>
      <c r="CH132" s="537">
        <v>0.51</v>
      </c>
      <c r="CI132" s="537">
        <v>0.51</v>
      </c>
      <c r="CJ132" s="537">
        <v>0.51</v>
      </c>
      <c r="CK132" s="537">
        <v>0.51</v>
      </c>
      <c r="CL132" s="537">
        <v>0.51</v>
      </c>
      <c r="CM132" s="537">
        <v>0.51</v>
      </c>
      <c r="CN132" s="537">
        <v>0.51</v>
      </c>
      <c r="CO132" s="537">
        <v>0.51</v>
      </c>
      <c r="CP132" s="537">
        <v>0.51</v>
      </c>
      <c r="CQ132" s="537">
        <v>0.51</v>
      </c>
      <c r="CR132" s="537">
        <v>0.51</v>
      </c>
      <c r="CS132" s="537">
        <v>0.51</v>
      </c>
      <c r="CT132" s="537">
        <v>0.51</v>
      </c>
      <c r="CU132" s="537">
        <v>0.51</v>
      </c>
      <c r="CV132" s="537">
        <v>0.51</v>
      </c>
      <c r="CW132" s="537">
        <v>0.51</v>
      </c>
      <c r="CX132" s="537">
        <v>0.51</v>
      </c>
      <c r="CY132" s="537">
        <v>0.51</v>
      </c>
      <c r="CZ132" s="537">
        <v>0.51</v>
      </c>
      <c r="DA132" s="537">
        <v>0.51</v>
      </c>
      <c r="DB132" s="537">
        <v>0.51</v>
      </c>
      <c r="DC132" s="537">
        <v>0.51</v>
      </c>
      <c r="DD132" s="537">
        <v>0.51</v>
      </c>
      <c r="DE132" s="537">
        <v>0.51</v>
      </c>
      <c r="DF132" s="537">
        <v>0.51</v>
      </c>
      <c r="DG132" s="537">
        <v>0.51</v>
      </c>
      <c r="DH132" s="537">
        <v>0.51</v>
      </c>
    </row>
    <row r="133" spans="2:112">
      <c r="B133" t="s">
        <v>1018</v>
      </c>
      <c r="C133" t="s">
        <v>747</v>
      </c>
      <c r="D133" t="s">
        <v>888</v>
      </c>
      <c r="E133" t="s">
        <v>178</v>
      </c>
      <c r="F133" s="537">
        <v>0.51</v>
      </c>
      <c r="G133" s="537">
        <v>0.51</v>
      </c>
      <c r="H133" s="537">
        <v>0.51</v>
      </c>
      <c r="I133" s="537">
        <v>0.51</v>
      </c>
      <c r="J133" s="537">
        <v>0.51</v>
      </c>
      <c r="K133" s="537">
        <v>0.51</v>
      </c>
      <c r="L133" s="537">
        <v>0.51</v>
      </c>
      <c r="M133" s="537">
        <v>0.51</v>
      </c>
      <c r="N133" s="537">
        <v>0.51</v>
      </c>
      <c r="O133" s="537">
        <v>0.51</v>
      </c>
      <c r="P133" s="537">
        <v>0.51</v>
      </c>
      <c r="Q133" s="537">
        <v>0.51</v>
      </c>
      <c r="R133" s="537">
        <v>0.51</v>
      </c>
      <c r="S133" s="537">
        <v>0.51</v>
      </c>
      <c r="T133" s="537">
        <v>0.51</v>
      </c>
      <c r="U133" s="537">
        <v>0.51</v>
      </c>
      <c r="V133" s="537">
        <v>0.51</v>
      </c>
      <c r="W133" s="537">
        <v>0.51</v>
      </c>
      <c r="X133" s="537">
        <v>0.51</v>
      </c>
      <c r="Y133" s="537">
        <v>0.51</v>
      </c>
      <c r="Z133" s="537">
        <v>0.51</v>
      </c>
      <c r="AA133" s="537">
        <v>0.51</v>
      </c>
      <c r="AB133" s="537">
        <v>0.51</v>
      </c>
      <c r="AC133" s="537">
        <v>0.51</v>
      </c>
      <c r="AD133" s="537">
        <v>0.51</v>
      </c>
      <c r="AE133" s="537">
        <v>0.51</v>
      </c>
      <c r="AF133" s="537">
        <v>0.51</v>
      </c>
      <c r="AG133" s="537">
        <v>0.51</v>
      </c>
      <c r="AH133" s="526">
        <f t="shared" si="114"/>
        <v>0.51</v>
      </c>
      <c r="AI133" s="526">
        <f t="shared" si="114"/>
        <v>0.51</v>
      </c>
      <c r="AJ133" s="526">
        <f t="shared" si="114"/>
        <v>0.51</v>
      </c>
      <c r="AK133" s="526">
        <f t="shared" si="114"/>
        <v>0.51</v>
      </c>
      <c r="AL133" s="526">
        <f t="shared" si="114"/>
        <v>0.51</v>
      </c>
      <c r="AM133" s="526">
        <f t="shared" si="114"/>
        <v>0.51</v>
      </c>
      <c r="AN133" s="526">
        <f t="shared" si="114"/>
        <v>0.51</v>
      </c>
      <c r="AO133" s="526">
        <f t="shared" si="114"/>
        <v>0.51</v>
      </c>
      <c r="AP133" s="526">
        <f t="shared" si="114"/>
        <v>0.51</v>
      </c>
      <c r="AQ133" s="526">
        <f t="shared" si="114"/>
        <v>0.51</v>
      </c>
      <c r="AR133" s="526">
        <f t="shared" si="114"/>
        <v>0.51</v>
      </c>
      <c r="AS133" s="526">
        <f t="shared" si="114"/>
        <v>0.51</v>
      </c>
      <c r="AT133" s="526">
        <f t="shared" si="114"/>
        <v>0.51</v>
      </c>
      <c r="AU133" s="526">
        <f t="shared" si="114"/>
        <v>0.51</v>
      </c>
      <c r="AV133" s="526">
        <f t="shared" si="114"/>
        <v>0.51</v>
      </c>
      <c r="AW133" s="526">
        <f t="shared" si="114"/>
        <v>0.51</v>
      </c>
      <c r="AX133" s="526">
        <f t="shared" si="113"/>
        <v>0.51</v>
      </c>
      <c r="AY133" s="526">
        <f t="shared" si="113"/>
        <v>0.51</v>
      </c>
      <c r="AZ133" s="526">
        <f t="shared" si="113"/>
        <v>0.51</v>
      </c>
      <c r="BA133" s="526">
        <f t="shared" si="113"/>
        <v>0.51</v>
      </c>
      <c r="BB133" s="526">
        <f t="shared" si="113"/>
        <v>0.51</v>
      </c>
      <c r="BC133" s="526">
        <f t="shared" si="113"/>
        <v>0.51</v>
      </c>
      <c r="BD133" s="526">
        <f t="shared" si="113"/>
        <v>0.51</v>
      </c>
      <c r="BE133" s="526">
        <f t="shared" si="113"/>
        <v>0.51</v>
      </c>
      <c r="BF133" s="526">
        <f t="shared" si="113"/>
        <v>0.51</v>
      </c>
      <c r="BG133" s="526">
        <f t="shared" si="113"/>
        <v>0.51</v>
      </c>
      <c r="BH133" s="526">
        <f t="shared" si="113"/>
        <v>0.51</v>
      </c>
      <c r="BI133" s="526">
        <f t="shared" si="113"/>
        <v>0.51</v>
      </c>
      <c r="BJ133" s="526">
        <f t="shared" si="113"/>
        <v>0.51</v>
      </c>
      <c r="BK133" s="526">
        <f t="shared" si="113"/>
        <v>0.51</v>
      </c>
      <c r="BL133" s="526">
        <f t="shared" si="113"/>
        <v>0.51</v>
      </c>
      <c r="BM133" s="526">
        <f t="shared" si="113"/>
        <v>0.51</v>
      </c>
      <c r="BN133" s="526">
        <f t="shared" si="113"/>
        <v>0.51</v>
      </c>
      <c r="BO133" s="526">
        <f t="shared" si="113"/>
        <v>0.51</v>
      </c>
      <c r="BP133" s="526">
        <f t="shared" si="113"/>
        <v>0.51</v>
      </c>
      <c r="BQ133" s="526">
        <f t="shared" si="113"/>
        <v>0.51</v>
      </c>
      <c r="BR133" s="526">
        <f t="shared" si="113"/>
        <v>0.51</v>
      </c>
      <c r="BS133" s="526">
        <f t="shared" si="113"/>
        <v>0.51</v>
      </c>
      <c r="BT133" s="526">
        <f t="shared" si="113"/>
        <v>0.51</v>
      </c>
      <c r="BU133" s="526">
        <f t="shared" si="113"/>
        <v>0.51</v>
      </c>
      <c r="BV133" s="526">
        <f t="shared" si="113"/>
        <v>0.51</v>
      </c>
      <c r="BW133" s="526">
        <f t="shared" si="113"/>
        <v>0.51</v>
      </c>
      <c r="BX133" s="526">
        <f t="shared" si="113"/>
        <v>0.51</v>
      </c>
      <c r="BY133" s="526">
        <f t="shared" si="113"/>
        <v>0.51</v>
      </c>
      <c r="BZ133" s="526">
        <f t="shared" si="113"/>
        <v>0.51</v>
      </c>
      <c r="CA133" s="526">
        <f t="shared" si="113"/>
        <v>0.51</v>
      </c>
      <c r="CB133" s="526">
        <f t="shared" si="113"/>
        <v>0.51</v>
      </c>
      <c r="CC133" s="526">
        <f t="shared" si="113"/>
        <v>0.51</v>
      </c>
      <c r="CD133" s="526">
        <f t="shared" si="113"/>
        <v>0.51</v>
      </c>
      <c r="CE133" s="526">
        <f t="shared" si="113"/>
        <v>0.51</v>
      </c>
      <c r="CG133" s="537">
        <v>0.51</v>
      </c>
      <c r="CH133" s="537">
        <v>0.51</v>
      </c>
      <c r="CI133" s="537">
        <v>0.51</v>
      </c>
      <c r="CJ133" s="537">
        <v>0.51</v>
      </c>
      <c r="CK133" s="537">
        <v>0.51</v>
      </c>
      <c r="CL133" s="537">
        <v>0.51</v>
      </c>
      <c r="CM133" s="537">
        <v>0.51</v>
      </c>
      <c r="CN133" s="537">
        <v>0.51</v>
      </c>
      <c r="CO133" s="537">
        <v>0.51</v>
      </c>
      <c r="CP133" s="537">
        <v>0.51</v>
      </c>
      <c r="CQ133" s="537">
        <v>0.51</v>
      </c>
      <c r="CR133" s="537">
        <v>0.51</v>
      </c>
      <c r="CS133" s="537">
        <v>0.51</v>
      </c>
      <c r="CT133" s="537">
        <v>0.51</v>
      </c>
      <c r="CU133" s="537">
        <v>0.51</v>
      </c>
      <c r="CV133" s="537">
        <v>0.51</v>
      </c>
      <c r="CW133" s="537">
        <v>0.51</v>
      </c>
      <c r="CX133" s="537">
        <v>0.51</v>
      </c>
      <c r="CY133" s="537">
        <v>0.51</v>
      </c>
      <c r="CZ133" s="537">
        <v>0.51</v>
      </c>
      <c r="DA133" s="537">
        <v>0.51</v>
      </c>
      <c r="DB133" s="537">
        <v>0.51</v>
      </c>
      <c r="DC133" s="537">
        <v>0.51</v>
      </c>
      <c r="DD133" s="537">
        <v>0.51</v>
      </c>
      <c r="DE133" s="537">
        <v>0.51</v>
      </c>
      <c r="DF133" s="537">
        <v>0.51</v>
      </c>
      <c r="DG133" s="537">
        <v>0.51</v>
      </c>
      <c r="DH133" s="537">
        <v>0.51</v>
      </c>
    </row>
    <row r="134" spans="2:112">
      <c r="B134" t="s">
        <v>1019</v>
      </c>
      <c r="C134" t="s">
        <v>747</v>
      </c>
      <c r="D134" t="s">
        <v>890</v>
      </c>
      <c r="E134" t="s">
        <v>178</v>
      </c>
      <c r="F134" s="537">
        <v>0.51</v>
      </c>
      <c r="G134" s="537">
        <v>0.51</v>
      </c>
      <c r="H134" s="537">
        <v>0.51</v>
      </c>
      <c r="I134" s="537">
        <v>0.51</v>
      </c>
      <c r="J134" s="537">
        <v>0.51</v>
      </c>
      <c r="K134" s="537">
        <v>0.51</v>
      </c>
      <c r="L134" s="537">
        <v>0.51</v>
      </c>
      <c r="M134" s="537">
        <v>0.51</v>
      </c>
      <c r="N134" s="537">
        <v>0.51</v>
      </c>
      <c r="O134" s="537">
        <v>0.51</v>
      </c>
      <c r="P134" s="537">
        <v>0.51</v>
      </c>
      <c r="Q134" s="537">
        <v>0.51</v>
      </c>
      <c r="R134" s="537">
        <v>0.51</v>
      </c>
      <c r="S134" s="537">
        <v>0.51</v>
      </c>
      <c r="T134" s="537">
        <v>0.51</v>
      </c>
      <c r="U134" s="537">
        <v>0.51</v>
      </c>
      <c r="V134" s="537">
        <v>0.51</v>
      </c>
      <c r="W134" s="537">
        <v>0.51</v>
      </c>
      <c r="X134" s="537">
        <v>0.51</v>
      </c>
      <c r="Y134" s="537">
        <v>0.51</v>
      </c>
      <c r="Z134" s="537">
        <v>0.51</v>
      </c>
      <c r="AA134" s="537">
        <v>0.51</v>
      </c>
      <c r="AB134" s="537">
        <v>0.51</v>
      </c>
      <c r="AC134" s="537">
        <v>0.51</v>
      </c>
      <c r="AD134" s="537">
        <v>0.51</v>
      </c>
      <c r="AE134" s="537">
        <v>0.51</v>
      </c>
      <c r="AF134" s="537">
        <v>0.51</v>
      </c>
      <c r="AG134" s="537">
        <v>0.51</v>
      </c>
      <c r="AH134" s="526">
        <f t="shared" si="114"/>
        <v>0.51</v>
      </c>
      <c r="AI134" s="526">
        <f t="shared" si="114"/>
        <v>0.51</v>
      </c>
      <c r="AJ134" s="526">
        <f t="shared" si="114"/>
        <v>0.51</v>
      </c>
      <c r="AK134" s="526">
        <f t="shared" si="114"/>
        <v>0.51</v>
      </c>
      <c r="AL134" s="526">
        <f t="shared" si="114"/>
        <v>0.51</v>
      </c>
      <c r="AM134" s="526">
        <f t="shared" si="114"/>
        <v>0.51</v>
      </c>
      <c r="AN134" s="526">
        <f t="shared" si="114"/>
        <v>0.51</v>
      </c>
      <c r="AO134" s="526">
        <f t="shared" si="114"/>
        <v>0.51</v>
      </c>
      <c r="AP134" s="526">
        <f t="shared" si="114"/>
        <v>0.51</v>
      </c>
      <c r="AQ134" s="526">
        <f t="shared" si="114"/>
        <v>0.51</v>
      </c>
      <c r="AR134" s="526">
        <f t="shared" si="114"/>
        <v>0.51</v>
      </c>
      <c r="AS134" s="526">
        <f t="shared" si="114"/>
        <v>0.51</v>
      </c>
      <c r="AT134" s="526">
        <f t="shared" si="114"/>
        <v>0.51</v>
      </c>
      <c r="AU134" s="526">
        <f t="shared" si="114"/>
        <v>0.51</v>
      </c>
      <c r="AV134" s="526">
        <f t="shared" si="114"/>
        <v>0.51</v>
      </c>
      <c r="AW134" s="526">
        <f t="shared" si="114"/>
        <v>0.51</v>
      </c>
      <c r="AX134" s="526">
        <f t="shared" si="113"/>
        <v>0.51</v>
      </c>
      <c r="AY134" s="526">
        <f t="shared" si="113"/>
        <v>0.51</v>
      </c>
      <c r="AZ134" s="526">
        <f t="shared" si="113"/>
        <v>0.51</v>
      </c>
      <c r="BA134" s="526">
        <f t="shared" si="113"/>
        <v>0.51</v>
      </c>
      <c r="BB134" s="526">
        <f t="shared" si="113"/>
        <v>0.51</v>
      </c>
      <c r="BC134" s="526">
        <f t="shared" si="113"/>
        <v>0.51</v>
      </c>
      <c r="BD134" s="526">
        <f t="shared" si="113"/>
        <v>0.51</v>
      </c>
      <c r="BE134" s="526">
        <f t="shared" si="113"/>
        <v>0.51</v>
      </c>
      <c r="BF134" s="526">
        <f t="shared" si="113"/>
        <v>0.51</v>
      </c>
      <c r="BG134" s="526">
        <f t="shared" si="113"/>
        <v>0.51</v>
      </c>
      <c r="BH134" s="526">
        <f t="shared" si="113"/>
        <v>0.51</v>
      </c>
      <c r="BI134" s="526">
        <f t="shared" si="113"/>
        <v>0.51</v>
      </c>
      <c r="BJ134" s="526">
        <f t="shared" si="113"/>
        <v>0.51</v>
      </c>
      <c r="BK134" s="526">
        <f t="shared" si="113"/>
        <v>0.51</v>
      </c>
      <c r="BL134" s="526">
        <f t="shared" si="113"/>
        <v>0.51</v>
      </c>
      <c r="BM134" s="526">
        <f t="shared" si="113"/>
        <v>0.51</v>
      </c>
      <c r="BN134" s="526">
        <f t="shared" si="113"/>
        <v>0.51</v>
      </c>
      <c r="BO134" s="526">
        <f t="shared" si="113"/>
        <v>0.51</v>
      </c>
      <c r="BP134" s="526">
        <f t="shared" si="113"/>
        <v>0.51</v>
      </c>
      <c r="BQ134" s="526">
        <f t="shared" si="113"/>
        <v>0.51</v>
      </c>
      <c r="BR134" s="526">
        <f t="shared" si="113"/>
        <v>0.51</v>
      </c>
      <c r="BS134" s="526">
        <f t="shared" si="113"/>
        <v>0.51</v>
      </c>
      <c r="BT134" s="526">
        <f t="shared" si="113"/>
        <v>0.51</v>
      </c>
      <c r="BU134" s="526">
        <f t="shared" si="113"/>
        <v>0.51</v>
      </c>
      <c r="BV134" s="526">
        <f t="shared" si="113"/>
        <v>0.51</v>
      </c>
      <c r="BW134" s="526">
        <f t="shared" si="113"/>
        <v>0.51</v>
      </c>
      <c r="BX134" s="526">
        <f t="shared" si="113"/>
        <v>0.51</v>
      </c>
      <c r="BY134" s="526">
        <f t="shared" si="113"/>
        <v>0.51</v>
      </c>
      <c r="BZ134" s="526">
        <f t="shared" si="113"/>
        <v>0.51</v>
      </c>
      <c r="CA134" s="526">
        <f t="shared" si="113"/>
        <v>0.51</v>
      </c>
      <c r="CB134" s="526">
        <f t="shared" si="113"/>
        <v>0.51</v>
      </c>
      <c r="CC134" s="526">
        <f t="shared" si="113"/>
        <v>0.51</v>
      </c>
      <c r="CD134" s="526">
        <f t="shared" si="113"/>
        <v>0.51</v>
      </c>
      <c r="CE134" s="526">
        <f t="shared" si="113"/>
        <v>0.51</v>
      </c>
      <c r="CG134" s="537">
        <v>0.51</v>
      </c>
      <c r="CH134" s="537">
        <v>0.51</v>
      </c>
      <c r="CI134" s="537">
        <v>0.51</v>
      </c>
      <c r="CJ134" s="537">
        <v>0.51</v>
      </c>
      <c r="CK134" s="537">
        <v>0.51</v>
      </c>
      <c r="CL134" s="537">
        <v>0.51</v>
      </c>
      <c r="CM134" s="537">
        <v>0.51</v>
      </c>
      <c r="CN134" s="537">
        <v>0.51</v>
      </c>
      <c r="CO134" s="537">
        <v>0.51</v>
      </c>
      <c r="CP134" s="537">
        <v>0.51</v>
      </c>
      <c r="CQ134" s="537">
        <v>0.51</v>
      </c>
      <c r="CR134" s="537">
        <v>0.51</v>
      </c>
      <c r="CS134" s="537">
        <v>0.51</v>
      </c>
      <c r="CT134" s="537">
        <v>0.51</v>
      </c>
      <c r="CU134" s="537">
        <v>0.51</v>
      </c>
      <c r="CV134" s="537">
        <v>0.51</v>
      </c>
      <c r="CW134" s="537">
        <v>0.51</v>
      </c>
      <c r="CX134" s="537">
        <v>0.51</v>
      </c>
      <c r="CY134" s="537">
        <v>0.51</v>
      </c>
      <c r="CZ134" s="537">
        <v>0.51</v>
      </c>
      <c r="DA134" s="537">
        <v>0.51</v>
      </c>
      <c r="DB134" s="537">
        <v>0.51</v>
      </c>
      <c r="DC134" s="537">
        <v>0.51</v>
      </c>
      <c r="DD134" s="537">
        <v>0.51</v>
      </c>
      <c r="DE134" s="537">
        <v>0.51</v>
      </c>
      <c r="DF134" s="537">
        <v>0.51</v>
      </c>
      <c r="DG134" s="537">
        <v>0.51</v>
      </c>
      <c r="DH134" s="537">
        <v>0.51</v>
      </c>
    </row>
    <row r="135" spans="2:112">
      <c r="B135" t="s">
        <v>1020</v>
      </c>
      <c r="C135" t="s">
        <v>747</v>
      </c>
      <c r="D135" t="s">
        <v>892</v>
      </c>
      <c r="E135" t="s">
        <v>178</v>
      </c>
      <c r="F135" s="537">
        <v>0.51</v>
      </c>
      <c r="G135" s="537">
        <v>0.51</v>
      </c>
      <c r="H135" s="537">
        <v>0.51</v>
      </c>
      <c r="I135" s="537">
        <v>0.51</v>
      </c>
      <c r="J135" s="537">
        <v>0.51</v>
      </c>
      <c r="K135" s="537">
        <v>0.51</v>
      </c>
      <c r="L135" s="537">
        <v>0.51</v>
      </c>
      <c r="M135" s="537">
        <v>0.51</v>
      </c>
      <c r="N135" s="537">
        <v>0.51</v>
      </c>
      <c r="O135" s="537">
        <v>0.51</v>
      </c>
      <c r="P135" s="537">
        <v>0.51</v>
      </c>
      <c r="Q135" s="537">
        <v>0.51</v>
      </c>
      <c r="R135" s="537">
        <v>0.51</v>
      </c>
      <c r="S135" s="537">
        <v>0.51</v>
      </c>
      <c r="T135" s="537">
        <v>0.51</v>
      </c>
      <c r="U135" s="537">
        <v>0.51</v>
      </c>
      <c r="V135" s="537">
        <v>0.51</v>
      </c>
      <c r="W135" s="537">
        <v>0.51</v>
      </c>
      <c r="X135" s="537">
        <v>0.51</v>
      </c>
      <c r="Y135" s="537">
        <v>0.51</v>
      </c>
      <c r="Z135" s="537">
        <v>0.51</v>
      </c>
      <c r="AA135" s="537">
        <v>0.51</v>
      </c>
      <c r="AB135" s="537">
        <v>0.51</v>
      </c>
      <c r="AC135" s="537">
        <v>0.51</v>
      </c>
      <c r="AD135" s="537">
        <v>0.51</v>
      </c>
      <c r="AE135" s="537">
        <v>0.51</v>
      </c>
      <c r="AF135" s="537">
        <v>0.51</v>
      </c>
      <c r="AG135" s="537">
        <v>0.51</v>
      </c>
      <c r="AH135" s="526">
        <f t="shared" si="114"/>
        <v>0.51</v>
      </c>
      <c r="AI135" s="526">
        <f t="shared" si="114"/>
        <v>0.51</v>
      </c>
      <c r="AJ135" s="526">
        <f t="shared" si="114"/>
        <v>0.51</v>
      </c>
      <c r="AK135" s="526">
        <f t="shared" si="114"/>
        <v>0.51</v>
      </c>
      <c r="AL135" s="526">
        <f t="shared" si="114"/>
        <v>0.51</v>
      </c>
      <c r="AM135" s="526">
        <f t="shared" si="114"/>
        <v>0.51</v>
      </c>
      <c r="AN135" s="526">
        <f t="shared" si="114"/>
        <v>0.51</v>
      </c>
      <c r="AO135" s="526">
        <f t="shared" si="114"/>
        <v>0.51</v>
      </c>
      <c r="AP135" s="526">
        <f t="shared" si="114"/>
        <v>0.51</v>
      </c>
      <c r="AQ135" s="526">
        <f t="shared" si="114"/>
        <v>0.51</v>
      </c>
      <c r="AR135" s="526">
        <f t="shared" si="114"/>
        <v>0.51</v>
      </c>
      <c r="AS135" s="526">
        <f t="shared" si="114"/>
        <v>0.51</v>
      </c>
      <c r="AT135" s="526">
        <f t="shared" si="114"/>
        <v>0.51</v>
      </c>
      <c r="AU135" s="526">
        <f t="shared" si="114"/>
        <v>0.51</v>
      </c>
      <c r="AV135" s="526">
        <f t="shared" si="114"/>
        <v>0.51</v>
      </c>
      <c r="AW135" s="526">
        <f t="shared" si="114"/>
        <v>0.51</v>
      </c>
      <c r="AX135" s="526">
        <f t="shared" si="113"/>
        <v>0.51</v>
      </c>
      <c r="AY135" s="526">
        <f t="shared" si="113"/>
        <v>0.51</v>
      </c>
      <c r="AZ135" s="526">
        <f t="shared" si="113"/>
        <v>0.51</v>
      </c>
      <c r="BA135" s="526">
        <f t="shared" si="113"/>
        <v>0.51</v>
      </c>
      <c r="BB135" s="526">
        <f t="shared" si="113"/>
        <v>0.51</v>
      </c>
      <c r="BC135" s="526">
        <f t="shared" si="113"/>
        <v>0.51</v>
      </c>
      <c r="BD135" s="526">
        <f t="shared" si="113"/>
        <v>0.51</v>
      </c>
      <c r="BE135" s="526">
        <f t="shared" si="113"/>
        <v>0.51</v>
      </c>
      <c r="BF135" s="526">
        <f t="shared" si="113"/>
        <v>0.51</v>
      </c>
      <c r="BG135" s="526">
        <f t="shared" si="113"/>
        <v>0.51</v>
      </c>
      <c r="BH135" s="526">
        <f t="shared" si="113"/>
        <v>0.51</v>
      </c>
      <c r="BI135" s="526">
        <f t="shared" si="113"/>
        <v>0.51</v>
      </c>
      <c r="BJ135" s="526">
        <f t="shared" si="113"/>
        <v>0.51</v>
      </c>
      <c r="BK135" s="526">
        <f t="shared" si="113"/>
        <v>0.51</v>
      </c>
      <c r="BL135" s="526">
        <f t="shared" si="113"/>
        <v>0.51</v>
      </c>
      <c r="BM135" s="526">
        <f t="shared" si="113"/>
        <v>0.51</v>
      </c>
      <c r="BN135" s="526">
        <f t="shared" si="113"/>
        <v>0.51</v>
      </c>
      <c r="BO135" s="526">
        <f t="shared" si="113"/>
        <v>0.51</v>
      </c>
      <c r="BP135" s="526">
        <f t="shared" si="113"/>
        <v>0.51</v>
      </c>
      <c r="BQ135" s="526">
        <f t="shared" si="113"/>
        <v>0.51</v>
      </c>
      <c r="BR135" s="526">
        <f t="shared" si="113"/>
        <v>0.51</v>
      </c>
      <c r="BS135" s="526">
        <f t="shared" si="113"/>
        <v>0.51</v>
      </c>
      <c r="BT135" s="526">
        <f t="shared" si="113"/>
        <v>0.51</v>
      </c>
      <c r="BU135" s="526">
        <f t="shared" si="113"/>
        <v>0.51</v>
      </c>
      <c r="BV135" s="526">
        <f t="shared" si="113"/>
        <v>0.51</v>
      </c>
      <c r="BW135" s="526">
        <f t="shared" si="113"/>
        <v>0.51</v>
      </c>
      <c r="BX135" s="526">
        <f t="shared" si="113"/>
        <v>0.51</v>
      </c>
      <c r="BY135" s="526">
        <f t="shared" si="113"/>
        <v>0.51</v>
      </c>
      <c r="BZ135" s="526">
        <f t="shared" si="113"/>
        <v>0.51</v>
      </c>
      <c r="CA135" s="526">
        <f t="shared" si="113"/>
        <v>0.51</v>
      </c>
      <c r="CB135" s="526">
        <f t="shared" si="113"/>
        <v>0.51</v>
      </c>
      <c r="CC135" s="526">
        <f t="shared" si="113"/>
        <v>0.51</v>
      </c>
      <c r="CD135" s="526">
        <f t="shared" si="113"/>
        <v>0.51</v>
      </c>
      <c r="CE135" s="526">
        <f t="shared" si="113"/>
        <v>0.51</v>
      </c>
      <c r="CG135" s="537">
        <v>0.51</v>
      </c>
      <c r="CH135" s="537">
        <v>0.51</v>
      </c>
      <c r="CI135" s="537">
        <v>0.51</v>
      </c>
      <c r="CJ135" s="537">
        <v>0.51</v>
      </c>
      <c r="CK135" s="537">
        <v>0.51</v>
      </c>
      <c r="CL135" s="537">
        <v>0.51</v>
      </c>
      <c r="CM135" s="537">
        <v>0.51</v>
      </c>
      <c r="CN135" s="537">
        <v>0.51</v>
      </c>
      <c r="CO135" s="537">
        <v>0.51</v>
      </c>
      <c r="CP135" s="537">
        <v>0.51</v>
      </c>
      <c r="CQ135" s="537">
        <v>0.51</v>
      </c>
      <c r="CR135" s="537">
        <v>0.51</v>
      </c>
      <c r="CS135" s="537">
        <v>0.51</v>
      </c>
      <c r="CT135" s="537">
        <v>0.51</v>
      </c>
      <c r="CU135" s="537">
        <v>0.51</v>
      </c>
      <c r="CV135" s="537">
        <v>0.51</v>
      </c>
      <c r="CW135" s="537">
        <v>0.51</v>
      </c>
      <c r="CX135" s="537">
        <v>0.51</v>
      </c>
      <c r="CY135" s="537">
        <v>0.51</v>
      </c>
      <c r="CZ135" s="537">
        <v>0.51</v>
      </c>
      <c r="DA135" s="537">
        <v>0.51</v>
      </c>
      <c r="DB135" s="537">
        <v>0.51</v>
      </c>
      <c r="DC135" s="537">
        <v>0.51</v>
      </c>
      <c r="DD135" s="537">
        <v>0.51</v>
      </c>
      <c r="DE135" s="537">
        <v>0.51</v>
      </c>
      <c r="DF135" s="537">
        <v>0.51</v>
      </c>
      <c r="DG135" s="537">
        <v>0.51</v>
      </c>
      <c r="DH135" s="537">
        <v>0.51</v>
      </c>
    </row>
    <row r="136" spans="2:112">
      <c r="B136" t="s">
        <v>1021</v>
      </c>
      <c r="C136" t="s">
        <v>747</v>
      </c>
      <c r="D136" t="s">
        <v>894</v>
      </c>
      <c r="E136" t="s">
        <v>895</v>
      </c>
      <c r="F136" s="537">
        <v>0</v>
      </c>
      <c r="G136" s="537">
        <v>0</v>
      </c>
      <c r="H136" s="537">
        <v>0</v>
      </c>
      <c r="I136" s="537">
        <v>0</v>
      </c>
      <c r="J136" s="537">
        <v>0</v>
      </c>
      <c r="K136" s="537">
        <v>0</v>
      </c>
      <c r="L136" s="537">
        <v>0</v>
      </c>
      <c r="M136" s="537">
        <v>0</v>
      </c>
      <c r="N136" s="537">
        <v>0</v>
      </c>
      <c r="O136" s="537">
        <v>0</v>
      </c>
      <c r="P136" s="537">
        <v>0</v>
      </c>
      <c r="Q136" s="537">
        <v>0</v>
      </c>
      <c r="R136" s="537">
        <v>0</v>
      </c>
      <c r="S136" s="537">
        <v>0</v>
      </c>
      <c r="T136" s="537">
        <v>0</v>
      </c>
      <c r="U136" s="537">
        <v>0</v>
      </c>
      <c r="V136" s="537">
        <v>0</v>
      </c>
      <c r="W136" s="537">
        <v>0</v>
      </c>
      <c r="X136" s="537">
        <v>0</v>
      </c>
      <c r="Y136" s="537">
        <v>0</v>
      </c>
      <c r="Z136" s="537">
        <v>0</v>
      </c>
      <c r="AA136" s="537">
        <v>0</v>
      </c>
      <c r="AB136" s="537">
        <v>0</v>
      </c>
      <c r="AC136" s="537">
        <v>0</v>
      </c>
      <c r="AD136" s="537">
        <v>0</v>
      </c>
      <c r="AE136" s="537">
        <v>0</v>
      </c>
      <c r="AF136" s="537">
        <v>0</v>
      </c>
      <c r="AG136" s="537">
        <v>0</v>
      </c>
      <c r="AH136" s="538">
        <f t="shared" si="114"/>
        <v>0</v>
      </c>
      <c r="AI136" s="538">
        <f t="shared" si="114"/>
        <v>0</v>
      </c>
      <c r="AJ136" s="538">
        <f t="shared" si="114"/>
        <v>0</v>
      </c>
      <c r="AK136" s="538">
        <f t="shared" si="114"/>
        <v>0</v>
      </c>
      <c r="AL136" s="538">
        <f t="shared" si="114"/>
        <v>0</v>
      </c>
      <c r="AM136" s="538">
        <f t="shared" si="114"/>
        <v>0</v>
      </c>
      <c r="AN136" s="538">
        <f t="shared" si="114"/>
        <v>0</v>
      </c>
      <c r="AO136" s="538">
        <f t="shared" si="114"/>
        <v>0</v>
      </c>
      <c r="AP136" s="538">
        <f t="shared" si="114"/>
        <v>0</v>
      </c>
      <c r="AQ136" s="538">
        <f t="shared" si="114"/>
        <v>0</v>
      </c>
      <c r="AR136" s="538">
        <f t="shared" si="114"/>
        <v>0</v>
      </c>
      <c r="AS136" s="538">
        <f t="shared" si="114"/>
        <v>0</v>
      </c>
      <c r="AT136" s="538">
        <f t="shared" si="114"/>
        <v>0</v>
      </c>
      <c r="AU136" s="538">
        <f t="shared" si="114"/>
        <v>0</v>
      </c>
      <c r="AV136" s="538">
        <f t="shared" si="114"/>
        <v>0</v>
      </c>
      <c r="AW136" s="538">
        <f t="shared" si="114"/>
        <v>0</v>
      </c>
      <c r="AX136" s="538">
        <f t="shared" si="113"/>
        <v>0</v>
      </c>
      <c r="AY136" s="538">
        <f t="shared" si="113"/>
        <v>0</v>
      </c>
      <c r="AZ136" s="538">
        <f t="shared" si="113"/>
        <v>0</v>
      </c>
      <c r="BA136" s="538">
        <f t="shared" si="113"/>
        <v>0</v>
      </c>
      <c r="BB136" s="538">
        <f t="shared" si="113"/>
        <v>0</v>
      </c>
      <c r="BC136" s="538">
        <f t="shared" si="113"/>
        <v>0</v>
      </c>
      <c r="BD136" s="538">
        <f t="shared" si="113"/>
        <v>0</v>
      </c>
      <c r="BE136" s="538">
        <f t="shared" si="113"/>
        <v>0</v>
      </c>
      <c r="BF136" s="538">
        <f t="shared" si="113"/>
        <v>0</v>
      </c>
      <c r="BG136" s="538">
        <f t="shared" si="113"/>
        <v>0</v>
      </c>
      <c r="BH136" s="538">
        <f t="shared" si="113"/>
        <v>0</v>
      </c>
      <c r="BI136" s="538">
        <f t="shared" si="113"/>
        <v>0</v>
      </c>
      <c r="BJ136" s="538">
        <f t="shared" si="113"/>
        <v>0</v>
      </c>
      <c r="BK136" s="538">
        <f t="shared" si="113"/>
        <v>0</v>
      </c>
      <c r="BL136" s="538">
        <f t="shared" si="113"/>
        <v>0</v>
      </c>
      <c r="BM136" s="538">
        <f t="shared" si="113"/>
        <v>0</v>
      </c>
      <c r="BN136" s="538">
        <f t="shared" si="113"/>
        <v>0</v>
      </c>
      <c r="BO136" s="538">
        <f t="shared" si="113"/>
        <v>0</v>
      </c>
      <c r="BP136" s="538">
        <f t="shared" si="113"/>
        <v>0</v>
      </c>
      <c r="BQ136" s="538">
        <f t="shared" si="113"/>
        <v>0</v>
      </c>
      <c r="BR136" s="538">
        <f t="shared" si="113"/>
        <v>0</v>
      </c>
      <c r="BS136" s="538">
        <f t="shared" si="113"/>
        <v>0</v>
      </c>
      <c r="BT136" s="538">
        <f t="shared" si="113"/>
        <v>0</v>
      </c>
      <c r="BU136" s="538">
        <f t="shared" si="113"/>
        <v>0</v>
      </c>
      <c r="BV136" s="538">
        <f t="shared" si="113"/>
        <v>0</v>
      </c>
      <c r="BW136" s="538">
        <f t="shared" si="113"/>
        <v>0</v>
      </c>
      <c r="BX136" s="538">
        <f t="shared" si="113"/>
        <v>0</v>
      </c>
      <c r="BY136" s="538">
        <f t="shared" si="113"/>
        <v>0</v>
      </c>
      <c r="BZ136" s="538">
        <f t="shared" si="113"/>
        <v>0</v>
      </c>
      <c r="CA136" s="538">
        <f t="shared" si="113"/>
        <v>0</v>
      </c>
      <c r="CB136" s="538">
        <f t="shared" si="113"/>
        <v>0</v>
      </c>
      <c r="CC136" s="538">
        <f t="shared" si="113"/>
        <v>0</v>
      </c>
      <c r="CD136" s="538">
        <f t="shared" si="113"/>
        <v>0</v>
      </c>
      <c r="CE136" s="538">
        <f t="shared" si="113"/>
        <v>0</v>
      </c>
      <c r="CG136" s="537">
        <v>0</v>
      </c>
      <c r="CH136" s="537">
        <v>0</v>
      </c>
      <c r="CI136" s="537">
        <v>0</v>
      </c>
      <c r="CJ136" s="537">
        <v>0</v>
      </c>
      <c r="CK136" s="537">
        <v>0</v>
      </c>
      <c r="CL136" s="537">
        <v>0</v>
      </c>
      <c r="CM136" s="537">
        <v>0</v>
      </c>
      <c r="CN136" s="537">
        <v>0</v>
      </c>
      <c r="CO136" s="537">
        <v>0</v>
      </c>
      <c r="CP136" s="537">
        <v>0</v>
      </c>
      <c r="CQ136" s="537">
        <v>0</v>
      </c>
      <c r="CR136" s="537">
        <v>0</v>
      </c>
      <c r="CS136" s="537">
        <v>0</v>
      </c>
      <c r="CT136" s="537">
        <v>0</v>
      </c>
      <c r="CU136" s="537">
        <v>0</v>
      </c>
      <c r="CV136" s="537">
        <v>0</v>
      </c>
      <c r="CW136" s="537">
        <v>0</v>
      </c>
      <c r="CX136" s="537">
        <v>0</v>
      </c>
      <c r="CY136" s="537">
        <v>0</v>
      </c>
      <c r="CZ136" s="537">
        <v>0</v>
      </c>
      <c r="DA136" s="537">
        <v>0</v>
      </c>
      <c r="DB136" s="537">
        <v>0</v>
      </c>
      <c r="DC136" s="537">
        <v>0</v>
      </c>
      <c r="DD136" s="537">
        <v>0</v>
      </c>
      <c r="DE136" s="537">
        <v>0</v>
      </c>
      <c r="DF136" s="537">
        <v>0</v>
      </c>
      <c r="DG136" s="537">
        <v>0</v>
      </c>
      <c r="DH136" s="537">
        <v>0</v>
      </c>
    </row>
    <row r="137" spans="2:112">
      <c r="B137" t="s">
        <v>1022</v>
      </c>
      <c r="C137" t="s">
        <v>747</v>
      </c>
      <c r="D137" t="s">
        <v>897</v>
      </c>
      <c r="E137" t="s">
        <v>895</v>
      </c>
      <c r="F137" s="537">
        <v>0.01</v>
      </c>
      <c r="G137" s="537">
        <v>0.01</v>
      </c>
      <c r="H137" s="537">
        <v>0.01</v>
      </c>
      <c r="I137" s="537">
        <v>0.01</v>
      </c>
      <c r="J137" s="537">
        <v>0.01</v>
      </c>
      <c r="K137" s="537">
        <v>0.01</v>
      </c>
      <c r="L137" s="537">
        <v>0.01</v>
      </c>
      <c r="M137" s="537">
        <v>0.01</v>
      </c>
      <c r="N137" s="537">
        <v>0.01</v>
      </c>
      <c r="O137" s="537">
        <v>0.01</v>
      </c>
      <c r="P137" s="537">
        <v>0.01</v>
      </c>
      <c r="Q137" s="537">
        <v>0.01</v>
      </c>
      <c r="R137" s="537">
        <v>0.01</v>
      </c>
      <c r="S137" s="537">
        <v>0.01</v>
      </c>
      <c r="T137" s="537">
        <v>0.01</v>
      </c>
      <c r="U137" s="537">
        <v>0.01</v>
      </c>
      <c r="V137" s="537">
        <v>0.01</v>
      </c>
      <c r="W137" s="537">
        <v>0.01</v>
      </c>
      <c r="X137" s="537">
        <v>0.01</v>
      </c>
      <c r="Y137" s="537">
        <v>0.01</v>
      </c>
      <c r="Z137" s="537">
        <v>0.01</v>
      </c>
      <c r="AA137" s="537">
        <v>0.01</v>
      </c>
      <c r="AB137" s="537">
        <v>0.01</v>
      </c>
      <c r="AC137" s="537">
        <v>0.01</v>
      </c>
      <c r="AD137" s="537">
        <v>0.01</v>
      </c>
      <c r="AE137" s="537">
        <v>0.01</v>
      </c>
      <c r="AF137" s="537">
        <v>0.01</v>
      </c>
      <c r="AG137" s="537">
        <v>0.01</v>
      </c>
      <c r="AH137" s="538">
        <f t="shared" si="114"/>
        <v>0.01</v>
      </c>
      <c r="AI137" s="538">
        <f t="shared" si="114"/>
        <v>0.01</v>
      </c>
      <c r="AJ137" s="538">
        <f t="shared" si="114"/>
        <v>0.01</v>
      </c>
      <c r="AK137" s="538">
        <f t="shared" si="114"/>
        <v>0.01</v>
      </c>
      <c r="AL137" s="538">
        <f t="shared" si="114"/>
        <v>0.01</v>
      </c>
      <c r="AM137" s="538">
        <f t="shared" si="114"/>
        <v>0.01</v>
      </c>
      <c r="AN137" s="538">
        <f t="shared" si="114"/>
        <v>0.01</v>
      </c>
      <c r="AO137" s="538">
        <f t="shared" si="114"/>
        <v>0.01</v>
      </c>
      <c r="AP137" s="538">
        <f t="shared" si="114"/>
        <v>0.01</v>
      </c>
      <c r="AQ137" s="538">
        <f t="shared" si="114"/>
        <v>0.01</v>
      </c>
      <c r="AR137" s="538">
        <f t="shared" si="114"/>
        <v>0.01</v>
      </c>
      <c r="AS137" s="538">
        <f t="shared" si="114"/>
        <v>0.01</v>
      </c>
      <c r="AT137" s="538">
        <f t="shared" si="114"/>
        <v>0.01</v>
      </c>
      <c r="AU137" s="538">
        <f t="shared" si="114"/>
        <v>0.01</v>
      </c>
      <c r="AV137" s="538">
        <f t="shared" si="114"/>
        <v>0.01</v>
      </c>
      <c r="AW137" s="538">
        <f t="shared" si="114"/>
        <v>0.01</v>
      </c>
      <c r="AX137" s="538">
        <f t="shared" si="113"/>
        <v>0.01</v>
      </c>
      <c r="AY137" s="538">
        <f t="shared" si="113"/>
        <v>0.01</v>
      </c>
      <c r="AZ137" s="538">
        <f t="shared" si="113"/>
        <v>0.01</v>
      </c>
      <c r="BA137" s="538">
        <f t="shared" si="113"/>
        <v>0.01</v>
      </c>
      <c r="BB137" s="538">
        <f t="shared" si="113"/>
        <v>0.01</v>
      </c>
      <c r="BC137" s="538">
        <f t="shared" si="113"/>
        <v>0.01</v>
      </c>
      <c r="BD137" s="538">
        <f t="shared" si="113"/>
        <v>0.01</v>
      </c>
      <c r="BE137" s="538">
        <f t="shared" si="113"/>
        <v>0.01</v>
      </c>
      <c r="BF137" s="538">
        <f t="shared" si="113"/>
        <v>0.01</v>
      </c>
      <c r="BG137" s="538">
        <f t="shared" si="113"/>
        <v>0.01</v>
      </c>
      <c r="BH137" s="538">
        <f t="shared" si="113"/>
        <v>0.01</v>
      </c>
      <c r="BI137" s="538">
        <f t="shared" si="113"/>
        <v>0.01</v>
      </c>
      <c r="BJ137" s="538">
        <f t="shared" si="113"/>
        <v>0.01</v>
      </c>
      <c r="BK137" s="538">
        <f t="shared" si="113"/>
        <v>0.01</v>
      </c>
      <c r="BL137" s="538">
        <f t="shared" si="113"/>
        <v>0.01</v>
      </c>
      <c r="BM137" s="538">
        <f t="shared" si="113"/>
        <v>0.01</v>
      </c>
      <c r="BN137" s="538">
        <f t="shared" ref="BN137:CC139" si="115">BM137</f>
        <v>0.01</v>
      </c>
      <c r="BO137" s="538">
        <f t="shared" si="115"/>
        <v>0.01</v>
      </c>
      <c r="BP137" s="538">
        <f t="shared" si="115"/>
        <v>0.01</v>
      </c>
      <c r="BQ137" s="538">
        <f t="shared" si="115"/>
        <v>0.01</v>
      </c>
      <c r="BR137" s="538">
        <f t="shared" si="115"/>
        <v>0.01</v>
      </c>
      <c r="BS137" s="538">
        <f t="shared" si="115"/>
        <v>0.01</v>
      </c>
      <c r="BT137" s="538">
        <f t="shared" si="115"/>
        <v>0.01</v>
      </c>
      <c r="BU137" s="538">
        <f t="shared" si="115"/>
        <v>0.01</v>
      </c>
      <c r="BV137" s="538">
        <f t="shared" si="115"/>
        <v>0.01</v>
      </c>
      <c r="BW137" s="538">
        <f t="shared" si="115"/>
        <v>0.01</v>
      </c>
      <c r="BX137" s="538">
        <f t="shared" si="115"/>
        <v>0.01</v>
      </c>
      <c r="BY137" s="538">
        <f t="shared" si="115"/>
        <v>0.01</v>
      </c>
      <c r="BZ137" s="538">
        <f t="shared" si="115"/>
        <v>0.01</v>
      </c>
      <c r="CA137" s="538">
        <f t="shared" si="115"/>
        <v>0.01</v>
      </c>
      <c r="CB137" s="538">
        <f t="shared" si="115"/>
        <v>0.01</v>
      </c>
      <c r="CC137" s="538">
        <f t="shared" si="115"/>
        <v>0.01</v>
      </c>
      <c r="CD137" s="538">
        <f t="shared" ref="CD137:CE139" si="116">CC137</f>
        <v>0.01</v>
      </c>
      <c r="CE137" s="538">
        <f t="shared" si="116"/>
        <v>0.01</v>
      </c>
      <c r="CG137" s="537">
        <v>0.01</v>
      </c>
      <c r="CH137" s="537">
        <v>0.01</v>
      </c>
      <c r="CI137" s="537">
        <v>0.01</v>
      </c>
      <c r="CJ137" s="537">
        <v>0.01</v>
      </c>
      <c r="CK137" s="537">
        <v>0.01</v>
      </c>
      <c r="CL137" s="537">
        <v>0.01</v>
      </c>
      <c r="CM137" s="537">
        <v>0.01</v>
      </c>
      <c r="CN137" s="537">
        <v>0.01</v>
      </c>
      <c r="CO137" s="537">
        <v>0.01</v>
      </c>
      <c r="CP137" s="537">
        <v>0.01</v>
      </c>
      <c r="CQ137" s="537">
        <v>0.01</v>
      </c>
      <c r="CR137" s="537">
        <v>0.01</v>
      </c>
      <c r="CS137" s="537">
        <v>0.01</v>
      </c>
      <c r="CT137" s="537">
        <v>0.01</v>
      </c>
      <c r="CU137" s="537">
        <v>0.01</v>
      </c>
      <c r="CV137" s="537">
        <v>0.01</v>
      </c>
      <c r="CW137" s="537">
        <v>0.01</v>
      </c>
      <c r="CX137" s="537">
        <v>0.01</v>
      </c>
      <c r="CY137" s="537">
        <v>0.01</v>
      </c>
      <c r="CZ137" s="537">
        <v>0.01</v>
      </c>
      <c r="DA137" s="537">
        <v>0.01</v>
      </c>
      <c r="DB137" s="537">
        <v>0.01</v>
      </c>
      <c r="DC137" s="537">
        <v>0.01</v>
      </c>
      <c r="DD137" s="537">
        <v>0.01</v>
      </c>
      <c r="DE137" s="537">
        <v>0.01</v>
      </c>
      <c r="DF137" s="537">
        <v>0.01</v>
      </c>
      <c r="DG137" s="537">
        <v>0.01</v>
      </c>
      <c r="DH137" s="537">
        <v>0.01</v>
      </c>
    </row>
    <row r="138" spans="2:112">
      <c r="B138" t="s">
        <v>1023</v>
      </c>
      <c r="C138" t="s">
        <v>747</v>
      </c>
      <c r="D138" t="s">
        <v>899</v>
      </c>
      <c r="E138" t="s">
        <v>895</v>
      </c>
      <c r="F138" s="537">
        <v>0.05</v>
      </c>
      <c r="G138" s="537">
        <v>0.05</v>
      </c>
      <c r="H138" s="537">
        <v>0.05</v>
      </c>
      <c r="I138" s="537">
        <v>0.05</v>
      </c>
      <c r="J138" s="537">
        <v>0.05</v>
      </c>
      <c r="K138" s="537">
        <v>0.05</v>
      </c>
      <c r="L138" s="537">
        <v>0.05</v>
      </c>
      <c r="M138" s="537">
        <v>0.05</v>
      </c>
      <c r="N138" s="537">
        <v>0.05</v>
      </c>
      <c r="O138" s="537">
        <v>0.05</v>
      </c>
      <c r="P138" s="537">
        <v>0.05</v>
      </c>
      <c r="Q138" s="537">
        <v>0.05</v>
      </c>
      <c r="R138" s="537">
        <v>0.05</v>
      </c>
      <c r="S138" s="537">
        <v>0.05</v>
      </c>
      <c r="T138" s="537">
        <v>0.05</v>
      </c>
      <c r="U138" s="537">
        <v>0.05</v>
      </c>
      <c r="V138" s="537">
        <v>0.05</v>
      </c>
      <c r="W138" s="537">
        <v>0.05</v>
      </c>
      <c r="X138" s="537">
        <v>0.05</v>
      </c>
      <c r="Y138" s="537">
        <v>0.05</v>
      </c>
      <c r="Z138" s="537">
        <v>0.05</v>
      </c>
      <c r="AA138" s="537">
        <v>0.05</v>
      </c>
      <c r="AB138" s="537">
        <v>0.05</v>
      </c>
      <c r="AC138" s="537">
        <v>0.05</v>
      </c>
      <c r="AD138" s="537">
        <v>0.05</v>
      </c>
      <c r="AE138" s="537">
        <v>0.05</v>
      </c>
      <c r="AF138" s="537">
        <v>0.05</v>
      </c>
      <c r="AG138" s="537">
        <v>0.05</v>
      </c>
      <c r="AH138" s="538">
        <f t="shared" si="114"/>
        <v>0.05</v>
      </c>
      <c r="AI138" s="538">
        <f t="shared" si="114"/>
        <v>0.05</v>
      </c>
      <c r="AJ138" s="538">
        <f t="shared" si="114"/>
        <v>0.05</v>
      </c>
      <c r="AK138" s="538">
        <f t="shared" si="114"/>
        <v>0.05</v>
      </c>
      <c r="AL138" s="538">
        <f t="shared" si="114"/>
        <v>0.05</v>
      </c>
      <c r="AM138" s="538">
        <f t="shared" si="114"/>
        <v>0.05</v>
      </c>
      <c r="AN138" s="538">
        <f t="shared" si="114"/>
        <v>0.05</v>
      </c>
      <c r="AO138" s="538">
        <f t="shared" si="114"/>
        <v>0.05</v>
      </c>
      <c r="AP138" s="538">
        <f t="shared" si="114"/>
        <v>0.05</v>
      </c>
      <c r="AQ138" s="538">
        <f t="shared" si="114"/>
        <v>0.05</v>
      </c>
      <c r="AR138" s="538">
        <f t="shared" si="114"/>
        <v>0.05</v>
      </c>
      <c r="AS138" s="538">
        <f t="shared" si="114"/>
        <v>0.05</v>
      </c>
      <c r="AT138" s="538">
        <f t="shared" si="114"/>
        <v>0.05</v>
      </c>
      <c r="AU138" s="538">
        <f t="shared" si="114"/>
        <v>0.05</v>
      </c>
      <c r="AV138" s="538">
        <f t="shared" si="114"/>
        <v>0.05</v>
      </c>
      <c r="AW138" s="538">
        <f t="shared" si="114"/>
        <v>0.05</v>
      </c>
      <c r="AX138" s="538">
        <f t="shared" ref="AX138:BM139" si="117">AW138</f>
        <v>0.05</v>
      </c>
      <c r="AY138" s="538">
        <f t="shared" si="117"/>
        <v>0.05</v>
      </c>
      <c r="AZ138" s="538">
        <f t="shared" si="117"/>
        <v>0.05</v>
      </c>
      <c r="BA138" s="538">
        <f t="shared" si="117"/>
        <v>0.05</v>
      </c>
      <c r="BB138" s="538">
        <f t="shared" si="117"/>
        <v>0.05</v>
      </c>
      <c r="BC138" s="538">
        <f t="shared" si="117"/>
        <v>0.05</v>
      </c>
      <c r="BD138" s="538">
        <f t="shared" si="117"/>
        <v>0.05</v>
      </c>
      <c r="BE138" s="538">
        <f t="shared" si="117"/>
        <v>0.05</v>
      </c>
      <c r="BF138" s="538">
        <f t="shared" si="117"/>
        <v>0.05</v>
      </c>
      <c r="BG138" s="538">
        <f t="shared" si="117"/>
        <v>0.05</v>
      </c>
      <c r="BH138" s="538">
        <f t="shared" si="117"/>
        <v>0.05</v>
      </c>
      <c r="BI138" s="538">
        <f t="shared" si="117"/>
        <v>0.05</v>
      </c>
      <c r="BJ138" s="538">
        <f t="shared" si="117"/>
        <v>0.05</v>
      </c>
      <c r="BK138" s="538">
        <f t="shared" si="117"/>
        <v>0.05</v>
      </c>
      <c r="BL138" s="538">
        <f t="shared" si="117"/>
        <v>0.05</v>
      </c>
      <c r="BM138" s="538">
        <f t="shared" si="117"/>
        <v>0.05</v>
      </c>
      <c r="BN138" s="538">
        <f t="shared" si="115"/>
        <v>0.05</v>
      </c>
      <c r="BO138" s="538">
        <f t="shared" si="115"/>
        <v>0.05</v>
      </c>
      <c r="BP138" s="538">
        <f t="shared" si="115"/>
        <v>0.05</v>
      </c>
      <c r="BQ138" s="538">
        <f t="shared" si="115"/>
        <v>0.05</v>
      </c>
      <c r="BR138" s="538">
        <f t="shared" si="115"/>
        <v>0.05</v>
      </c>
      <c r="BS138" s="538">
        <f t="shared" si="115"/>
        <v>0.05</v>
      </c>
      <c r="BT138" s="538">
        <f t="shared" si="115"/>
        <v>0.05</v>
      </c>
      <c r="BU138" s="538">
        <f t="shared" si="115"/>
        <v>0.05</v>
      </c>
      <c r="BV138" s="538">
        <f t="shared" si="115"/>
        <v>0.05</v>
      </c>
      <c r="BW138" s="538">
        <f t="shared" si="115"/>
        <v>0.05</v>
      </c>
      <c r="BX138" s="538">
        <f t="shared" si="115"/>
        <v>0.05</v>
      </c>
      <c r="BY138" s="538">
        <f t="shared" si="115"/>
        <v>0.05</v>
      </c>
      <c r="BZ138" s="538">
        <f t="shared" si="115"/>
        <v>0.05</v>
      </c>
      <c r="CA138" s="538">
        <f t="shared" si="115"/>
        <v>0.05</v>
      </c>
      <c r="CB138" s="538">
        <f t="shared" si="115"/>
        <v>0.05</v>
      </c>
      <c r="CC138" s="538">
        <f t="shared" si="115"/>
        <v>0.05</v>
      </c>
      <c r="CD138" s="538">
        <f t="shared" si="116"/>
        <v>0.05</v>
      </c>
      <c r="CE138" s="538">
        <f t="shared" si="116"/>
        <v>0.05</v>
      </c>
      <c r="CG138" s="537">
        <v>0.05</v>
      </c>
      <c r="CH138" s="537">
        <v>0.05</v>
      </c>
      <c r="CI138" s="537">
        <v>0.05</v>
      </c>
      <c r="CJ138" s="537">
        <v>0.05</v>
      </c>
      <c r="CK138" s="537">
        <v>0.05</v>
      </c>
      <c r="CL138" s="537">
        <v>0.05</v>
      </c>
      <c r="CM138" s="537">
        <v>0.05</v>
      </c>
      <c r="CN138" s="537">
        <v>0.05</v>
      </c>
      <c r="CO138" s="537">
        <v>0.05</v>
      </c>
      <c r="CP138" s="537">
        <v>0.05</v>
      </c>
      <c r="CQ138" s="537">
        <v>0.05</v>
      </c>
      <c r="CR138" s="537">
        <v>0.05</v>
      </c>
      <c r="CS138" s="537">
        <v>0.05</v>
      </c>
      <c r="CT138" s="537">
        <v>0.05</v>
      </c>
      <c r="CU138" s="537">
        <v>0.05</v>
      </c>
      <c r="CV138" s="537">
        <v>0.05</v>
      </c>
      <c r="CW138" s="537">
        <v>0.05</v>
      </c>
      <c r="CX138" s="537">
        <v>0.05</v>
      </c>
      <c r="CY138" s="537">
        <v>0.05</v>
      </c>
      <c r="CZ138" s="537">
        <v>0.05</v>
      </c>
      <c r="DA138" s="537">
        <v>0.05</v>
      </c>
      <c r="DB138" s="537">
        <v>0.05</v>
      </c>
      <c r="DC138" s="537">
        <v>0.05</v>
      </c>
      <c r="DD138" s="537">
        <v>0.05</v>
      </c>
      <c r="DE138" s="537">
        <v>0.05</v>
      </c>
      <c r="DF138" s="537">
        <v>0.05</v>
      </c>
      <c r="DG138" s="537">
        <v>0.05</v>
      </c>
      <c r="DH138" s="537">
        <v>0.05</v>
      </c>
    </row>
    <row r="139" spans="2:112">
      <c r="B139" t="s">
        <v>1024</v>
      </c>
      <c r="C139" t="s">
        <v>747</v>
      </c>
      <c r="D139" t="s">
        <v>901</v>
      </c>
      <c r="E139" t="s">
        <v>895</v>
      </c>
      <c r="F139" s="537">
        <v>0.05</v>
      </c>
      <c r="G139" s="537">
        <v>0.05</v>
      </c>
      <c r="H139" s="537">
        <v>0.05</v>
      </c>
      <c r="I139" s="537">
        <v>0.05</v>
      </c>
      <c r="J139" s="537">
        <v>0.05</v>
      </c>
      <c r="K139" s="537">
        <v>0.05</v>
      </c>
      <c r="L139" s="537">
        <v>0.05</v>
      </c>
      <c r="M139" s="537">
        <v>0.05</v>
      </c>
      <c r="N139" s="537">
        <v>0.05</v>
      </c>
      <c r="O139" s="537">
        <v>0.05</v>
      </c>
      <c r="P139" s="537">
        <v>0.05</v>
      </c>
      <c r="Q139" s="537">
        <v>0.05</v>
      </c>
      <c r="R139" s="537">
        <v>0.05</v>
      </c>
      <c r="S139" s="537">
        <v>0.05</v>
      </c>
      <c r="T139" s="537">
        <v>0.05</v>
      </c>
      <c r="U139" s="537">
        <v>0.05</v>
      </c>
      <c r="V139" s="537">
        <v>0.05</v>
      </c>
      <c r="W139" s="537">
        <v>0.05</v>
      </c>
      <c r="X139" s="537">
        <v>0.05</v>
      </c>
      <c r="Y139" s="537">
        <v>0.05</v>
      </c>
      <c r="Z139" s="537">
        <v>0.05</v>
      </c>
      <c r="AA139" s="537">
        <v>0.05</v>
      </c>
      <c r="AB139" s="537">
        <v>0.05</v>
      </c>
      <c r="AC139" s="537">
        <v>0.05</v>
      </c>
      <c r="AD139" s="537">
        <v>0.05</v>
      </c>
      <c r="AE139" s="537">
        <v>0.05</v>
      </c>
      <c r="AF139" s="537">
        <v>0.05</v>
      </c>
      <c r="AG139" s="537">
        <v>0.05</v>
      </c>
      <c r="AH139" s="538">
        <f t="shared" si="114"/>
        <v>0.05</v>
      </c>
      <c r="AI139" s="538">
        <f t="shared" si="114"/>
        <v>0.05</v>
      </c>
      <c r="AJ139" s="538">
        <f t="shared" si="114"/>
        <v>0.05</v>
      </c>
      <c r="AK139" s="538">
        <f t="shared" si="114"/>
        <v>0.05</v>
      </c>
      <c r="AL139" s="538">
        <f t="shared" si="114"/>
        <v>0.05</v>
      </c>
      <c r="AM139" s="538">
        <f t="shared" si="114"/>
        <v>0.05</v>
      </c>
      <c r="AN139" s="538">
        <f t="shared" si="114"/>
        <v>0.05</v>
      </c>
      <c r="AO139" s="538">
        <f t="shared" si="114"/>
        <v>0.05</v>
      </c>
      <c r="AP139" s="538">
        <f t="shared" si="114"/>
        <v>0.05</v>
      </c>
      <c r="AQ139" s="538">
        <f t="shared" si="114"/>
        <v>0.05</v>
      </c>
      <c r="AR139" s="538">
        <f t="shared" si="114"/>
        <v>0.05</v>
      </c>
      <c r="AS139" s="538">
        <f t="shared" si="114"/>
        <v>0.05</v>
      </c>
      <c r="AT139" s="538">
        <f t="shared" si="114"/>
        <v>0.05</v>
      </c>
      <c r="AU139" s="538">
        <f t="shared" si="114"/>
        <v>0.05</v>
      </c>
      <c r="AV139" s="538">
        <f t="shared" si="114"/>
        <v>0.05</v>
      </c>
      <c r="AW139" s="538">
        <f t="shared" si="114"/>
        <v>0.05</v>
      </c>
      <c r="AX139" s="538">
        <f t="shared" si="117"/>
        <v>0.05</v>
      </c>
      <c r="AY139" s="538">
        <f t="shared" si="117"/>
        <v>0.05</v>
      </c>
      <c r="AZ139" s="538">
        <f t="shared" si="117"/>
        <v>0.05</v>
      </c>
      <c r="BA139" s="538">
        <f t="shared" si="117"/>
        <v>0.05</v>
      </c>
      <c r="BB139" s="538">
        <f t="shared" si="117"/>
        <v>0.05</v>
      </c>
      <c r="BC139" s="538">
        <f t="shared" si="117"/>
        <v>0.05</v>
      </c>
      <c r="BD139" s="538">
        <f t="shared" si="117"/>
        <v>0.05</v>
      </c>
      <c r="BE139" s="538">
        <f t="shared" si="117"/>
        <v>0.05</v>
      </c>
      <c r="BF139" s="538">
        <f t="shared" si="117"/>
        <v>0.05</v>
      </c>
      <c r="BG139" s="538">
        <f t="shared" si="117"/>
        <v>0.05</v>
      </c>
      <c r="BH139" s="538">
        <f t="shared" si="117"/>
        <v>0.05</v>
      </c>
      <c r="BI139" s="538">
        <f t="shared" si="117"/>
        <v>0.05</v>
      </c>
      <c r="BJ139" s="538">
        <f t="shared" si="117"/>
        <v>0.05</v>
      </c>
      <c r="BK139" s="538">
        <f t="shared" si="117"/>
        <v>0.05</v>
      </c>
      <c r="BL139" s="538">
        <f t="shared" si="117"/>
        <v>0.05</v>
      </c>
      <c r="BM139" s="538">
        <f t="shared" si="117"/>
        <v>0.05</v>
      </c>
      <c r="BN139" s="538">
        <f t="shared" si="115"/>
        <v>0.05</v>
      </c>
      <c r="BO139" s="538">
        <f t="shared" si="115"/>
        <v>0.05</v>
      </c>
      <c r="BP139" s="538">
        <f t="shared" si="115"/>
        <v>0.05</v>
      </c>
      <c r="BQ139" s="538">
        <f t="shared" si="115"/>
        <v>0.05</v>
      </c>
      <c r="BR139" s="538">
        <f t="shared" si="115"/>
        <v>0.05</v>
      </c>
      <c r="BS139" s="538">
        <f t="shared" si="115"/>
        <v>0.05</v>
      </c>
      <c r="BT139" s="538">
        <f t="shared" si="115"/>
        <v>0.05</v>
      </c>
      <c r="BU139" s="538">
        <f t="shared" si="115"/>
        <v>0.05</v>
      </c>
      <c r="BV139" s="538">
        <f t="shared" si="115"/>
        <v>0.05</v>
      </c>
      <c r="BW139" s="538">
        <f t="shared" si="115"/>
        <v>0.05</v>
      </c>
      <c r="BX139" s="538">
        <f t="shared" si="115"/>
        <v>0.05</v>
      </c>
      <c r="BY139" s="538">
        <f t="shared" si="115"/>
        <v>0.05</v>
      </c>
      <c r="BZ139" s="538">
        <f t="shared" si="115"/>
        <v>0.05</v>
      </c>
      <c r="CA139" s="538">
        <f t="shared" si="115"/>
        <v>0.05</v>
      </c>
      <c r="CB139" s="538">
        <f t="shared" si="115"/>
        <v>0.05</v>
      </c>
      <c r="CC139" s="538">
        <f t="shared" si="115"/>
        <v>0.05</v>
      </c>
      <c r="CD139" s="538">
        <f t="shared" si="116"/>
        <v>0.05</v>
      </c>
      <c r="CE139" s="538">
        <f t="shared" si="116"/>
        <v>0.05</v>
      </c>
      <c r="CG139" s="537">
        <v>0.05</v>
      </c>
      <c r="CH139" s="537">
        <v>0.05</v>
      </c>
      <c r="CI139" s="537">
        <v>0.05</v>
      </c>
      <c r="CJ139" s="537">
        <v>0.05</v>
      </c>
      <c r="CK139" s="537">
        <v>0.05</v>
      </c>
      <c r="CL139" s="537">
        <v>0.05</v>
      </c>
      <c r="CM139" s="537">
        <v>0.05</v>
      </c>
      <c r="CN139" s="537">
        <v>0.05</v>
      </c>
      <c r="CO139" s="537">
        <v>0.05</v>
      </c>
      <c r="CP139" s="537">
        <v>0.05</v>
      </c>
      <c r="CQ139" s="537">
        <v>0.05</v>
      </c>
      <c r="CR139" s="537">
        <v>0.05</v>
      </c>
      <c r="CS139" s="537">
        <v>0.05</v>
      </c>
      <c r="CT139" s="537">
        <v>0.05</v>
      </c>
      <c r="CU139" s="537">
        <v>0.05</v>
      </c>
      <c r="CV139" s="537">
        <v>0.05</v>
      </c>
      <c r="CW139" s="537">
        <v>0.05</v>
      </c>
      <c r="CX139" s="537">
        <v>0.05</v>
      </c>
      <c r="CY139" s="537">
        <v>0.05</v>
      </c>
      <c r="CZ139" s="537">
        <v>0.05</v>
      </c>
      <c r="DA139" s="537">
        <v>0.05</v>
      </c>
      <c r="DB139" s="537">
        <v>0.05</v>
      </c>
      <c r="DC139" s="537">
        <v>0.05</v>
      </c>
      <c r="DD139" s="537">
        <v>0.05</v>
      </c>
      <c r="DE139" s="537">
        <v>0.05</v>
      </c>
      <c r="DF139" s="537">
        <v>0.05</v>
      </c>
      <c r="DG139" s="537">
        <v>0.05</v>
      </c>
      <c r="DH139" s="537">
        <v>0.05</v>
      </c>
    </row>
    <row r="140" spans="2:112">
      <c r="F140" s="539"/>
      <c r="G140" s="539"/>
      <c r="H140" s="539"/>
      <c r="I140" s="539"/>
      <c r="J140" s="539"/>
      <c r="K140" s="539"/>
      <c r="L140" s="539"/>
      <c r="M140" s="539"/>
      <c r="N140" s="539"/>
      <c r="O140" s="539"/>
      <c r="P140" s="539"/>
      <c r="Q140" s="539"/>
      <c r="R140" s="539"/>
      <c r="S140" s="539"/>
      <c r="T140" s="539"/>
      <c r="U140" s="539"/>
      <c r="V140" s="539"/>
      <c r="W140" s="539"/>
      <c r="X140" s="539"/>
      <c r="Y140" s="539"/>
      <c r="Z140" s="539"/>
      <c r="AA140" s="539"/>
      <c r="AB140" s="539"/>
      <c r="AC140" s="539"/>
      <c r="AD140" s="539"/>
      <c r="AE140" s="539"/>
      <c r="AF140" s="539"/>
      <c r="AG140" s="539"/>
      <c r="AH140" s="539"/>
      <c r="AI140" s="539"/>
      <c r="AJ140" s="539"/>
      <c r="AK140" s="539"/>
      <c r="AL140" s="539"/>
      <c r="AM140" s="539"/>
      <c r="AN140" s="539"/>
      <c r="AO140" s="539"/>
      <c r="AP140" s="539"/>
      <c r="AQ140" s="539"/>
      <c r="AR140" s="539"/>
      <c r="AS140" s="539"/>
      <c r="AT140" s="539"/>
      <c r="AU140" s="539"/>
      <c r="AV140" s="539"/>
      <c r="AW140" s="539"/>
      <c r="AX140" s="539"/>
      <c r="AY140" s="539"/>
      <c r="AZ140" s="539"/>
      <c r="BA140" s="539"/>
      <c r="BB140" s="539"/>
      <c r="BC140" s="539"/>
      <c r="BD140" s="539"/>
      <c r="BE140" s="539"/>
      <c r="BF140" s="539"/>
      <c r="BG140" s="539"/>
      <c r="BH140" s="539"/>
      <c r="BI140" s="539"/>
      <c r="BJ140" s="539"/>
      <c r="BK140" s="539"/>
      <c r="BL140" s="539"/>
      <c r="BM140" s="539"/>
      <c r="BN140" s="539"/>
      <c r="BO140" s="539"/>
      <c r="BP140" s="539"/>
      <c r="BQ140" s="539"/>
      <c r="BR140" s="539"/>
      <c r="BS140" s="539"/>
      <c r="BT140" s="539"/>
      <c r="BU140" s="539"/>
      <c r="BV140" s="539"/>
      <c r="BW140" s="539"/>
      <c r="BX140" s="539"/>
      <c r="BY140" s="539"/>
      <c r="BZ140" s="539"/>
      <c r="CA140" s="539"/>
      <c r="CB140" s="539"/>
      <c r="CC140" s="539"/>
      <c r="CD140" s="539"/>
      <c r="CE140" s="539"/>
      <c r="CG140" s="539"/>
      <c r="CH140" s="539"/>
      <c r="CI140" s="539"/>
      <c r="CJ140" s="539"/>
      <c r="CK140" s="539"/>
      <c r="CL140" s="539"/>
      <c r="CM140" s="539"/>
      <c r="CN140" s="539"/>
      <c r="CO140" s="539"/>
      <c r="CP140" s="539"/>
      <c r="CQ140" s="539"/>
      <c r="CR140" s="539"/>
      <c r="CS140" s="539"/>
      <c r="CT140" s="539"/>
      <c r="CU140" s="539"/>
      <c r="CV140" s="539"/>
      <c r="CW140" s="539"/>
      <c r="CX140" s="539"/>
      <c r="CY140" s="539"/>
      <c r="CZ140" s="539"/>
      <c r="DA140" s="539"/>
      <c r="DB140" s="539"/>
      <c r="DC140" s="539"/>
      <c r="DD140" s="539"/>
      <c r="DE140" s="539"/>
      <c r="DF140" s="539"/>
      <c r="DG140" s="539"/>
      <c r="DH140" s="539"/>
    </row>
    <row r="141" spans="2:112">
      <c r="B141" t="s">
        <v>1025</v>
      </c>
      <c r="C141" t="s">
        <v>747</v>
      </c>
      <c r="D141" t="s">
        <v>903</v>
      </c>
      <c r="E141" t="s">
        <v>557</v>
      </c>
      <c r="F141" s="536">
        <v>45990</v>
      </c>
      <c r="G141" s="536">
        <v>45990</v>
      </c>
      <c r="H141" s="536">
        <v>45990</v>
      </c>
      <c r="I141" s="536">
        <v>45990</v>
      </c>
      <c r="J141" s="536">
        <v>45990</v>
      </c>
      <c r="K141" s="536">
        <v>45990</v>
      </c>
      <c r="L141" s="536">
        <v>45990</v>
      </c>
      <c r="M141" s="536">
        <v>45990</v>
      </c>
      <c r="N141" s="536">
        <v>45990</v>
      </c>
      <c r="O141" s="536">
        <v>45990</v>
      </c>
      <c r="P141" s="536">
        <v>45990</v>
      </c>
      <c r="Q141" s="536">
        <v>45990</v>
      </c>
      <c r="R141" s="536">
        <v>45990</v>
      </c>
      <c r="S141" s="536">
        <v>45990</v>
      </c>
      <c r="T141" s="536">
        <v>45990</v>
      </c>
      <c r="U141" s="536">
        <v>45990</v>
      </c>
      <c r="V141" s="536">
        <v>45990</v>
      </c>
      <c r="W141" s="536">
        <v>45990</v>
      </c>
      <c r="X141" s="536">
        <v>45990</v>
      </c>
      <c r="Y141" s="536">
        <v>45990</v>
      </c>
      <c r="Z141" s="536">
        <v>45990</v>
      </c>
      <c r="AA141" s="536">
        <v>45990</v>
      </c>
      <c r="AB141" s="536">
        <v>45990</v>
      </c>
      <c r="AC141" s="536">
        <v>45990</v>
      </c>
      <c r="AD141" s="536">
        <v>45990</v>
      </c>
      <c r="AE141" s="536">
        <v>45990</v>
      </c>
      <c r="AF141" s="536">
        <v>45990</v>
      </c>
      <c r="AG141" s="536">
        <v>45990</v>
      </c>
      <c r="AH141" s="540">
        <f>AG141</f>
        <v>45990</v>
      </c>
      <c r="AI141" s="540">
        <f t="shared" ref="AI141:CE142" si="118">AH141</f>
        <v>45990</v>
      </c>
      <c r="AJ141" s="540">
        <f t="shared" si="118"/>
        <v>45990</v>
      </c>
      <c r="AK141" s="540">
        <f t="shared" si="118"/>
        <v>45990</v>
      </c>
      <c r="AL141" s="540">
        <f t="shared" si="118"/>
        <v>45990</v>
      </c>
      <c r="AM141" s="540">
        <f t="shared" si="118"/>
        <v>45990</v>
      </c>
      <c r="AN141" s="540">
        <f t="shared" si="118"/>
        <v>45990</v>
      </c>
      <c r="AO141" s="540">
        <f t="shared" si="118"/>
        <v>45990</v>
      </c>
      <c r="AP141" s="540">
        <f t="shared" si="118"/>
        <v>45990</v>
      </c>
      <c r="AQ141" s="540">
        <f t="shared" si="118"/>
        <v>45990</v>
      </c>
      <c r="AR141" s="540">
        <f t="shared" si="118"/>
        <v>45990</v>
      </c>
      <c r="AS141" s="540">
        <f t="shared" si="118"/>
        <v>45990</v>
      </c>
      <c r="AT141" s="540">
        <f t="shared" si="118"/>
        <v>45990</v>
      </c>
      <c r="AU141" s="540">
        <f t="shared" si="118"/>
        <v>45990</v>
      </c>
      <c r="AV141" s="540">
        <f t="shared" si="118"/>
        <v>45990</v>
      </c>
      <c r="AW141" s="540">
        <f t="shared" si="118"/>
        <v>45990</v>
      </c>
      <c r="AX141" s="540">
        <f t="shared" si="118"/>
        <v>45990</v>
      </c>
      <c r="AY141" s="540">
        <f t="shared" si="118"/>
        <v>45990</v>
      </c>
      <c r="AZ141" s="540">
        <f t="shared" si="118"/>
        <v>45990</v>
      </c>
      <c r="BA141" s="540">
        <f t="shared" si="118"/>
        <v>45990</v>
      </c>
      <c r="BB141" s="540">
        <f t="shared" si="118"/>
        <v>45990</v>
      </c>
      <c r="BC141" s="540">
        <f t="shared" si="118"/>
        <v>45990</v>
      </c>
      <c r="BD141" s="540">
        <f t="shared" si="118"/>
        <v>45990</v>
      </c>
      <c r="BE141" s="540">
        <f t="shared" si="118"/>
        <v>45990</v>
      </c>
      <c r="BF141" s="540">
        <f t="shared" si="118"/>
        <v>45990</v>
      </c>
      <c r="BG141" s="540">
        <f t="shared" si="118"/>
        <v>45990</v>
      </c>
      <c r="BH141" s="540">
        <f t="shared" si="118"/>
        <v>45990</v>
      </c>
      <c r="BI141" s="540">
        <f t="shared" si="118"/>
        <v>45990</v>
      </c>
      <c r="BJ141" s="540">
        <f t="shared" si="118"/>
        <v>45990</v>
      </c>
      <c r="BK141" s="540">
        <f t="shared" si="118"/>
        <v>45990</v>
      </c>
      <c r="BL141" s="540">
        <f t="shared" si="118"/>
        <v>45990</v>
      </c>
      <c r="BM141" s="540">
        <f t="shared" si="118"/>
        <v>45990</v>
      </c>
      <c r="BN141" s="540">
        <f t="shared" si="118"/>
        <v>45990</v>
      </c>
      <c r="BO141" s="540">
        <f t="shared" si="118"/>
        <v>45990</v>
      </c>
      <c r="BP141" s="540">
        <f t="shared" si="118"/>
        <v>45990</v>
      </c>
      <c r="BQ141" s="540">
        <f t="shared" si="118"/>
        <v>45990</v>
      </c>
      <c r="BR141" s="540">
        <f t="shared" si="118"/>
        <v>45990</v>
      </c>
      <c r="BS141" s="540">
        <f t="shared" si="118"/>
        <v>45990</v>
      </c>
      <c r="BT141" s="540">
        <f t="shared" si="118"/>
        <v>45990</v>
      </c>
      <c r="BU141" s="540">
        <f t="shared" si="118"/>
        <v>45990</v>
      </c>
      <c r="BV141" s="540">
        <f t="shared" si="118"/>
        <v>45990</v>
      </c>
      <c r="BW141" s="540">
        <f t="shared" si="118"/>
        <v>45990</v>
      </c>
      <c r="BX141" s="540">
        <f t="shared" si="118"/>
        <v>45990</v>
      </c>
      <c r="BY141" s="540">
        <f t="shared" si="118"/>
        <v>45990</v>
      </c>
      <c r="BZ141" s="540">
        <f t="shared" si="118"/>
        <v>45990</v>
      </c>
      <c r="CA141" s="540">
        <f t="shared" si="118"/>
        <v>45990</v>
      </c>
      <c r="CB141" s="540">
        <f t="shared" si="118"/>
        <v>45990</v>
      </c>
      <c r="CC141" s="540">
        <f t="shared" si="118"/>
        <v>45990</v>
      </c>
      <c r="CD141" s="540">
        <f t="shared" si="118"/>
        <v>45990</v>
      </c>
      <c r="CE141" s="540">
        <f t="shared" si="118"/>
        <v>45990</v>
      </c>
      <c r="CG141" s="536">
        <v>45990</v>
      </c>
      <c r="CH141" s="536">
        <v>45990</v>
      </c>
      <c r="CI141" s="536">
        <v>45990</v>
      </c>
      <c r="CJ141" s="536">
        <v>45990</v>
      </c>
      <c r="CK141" s="536">
        <v>45990</v>
      </c>
      <c r="CL141" s="536">
        <v>45990</v>
      </c>
      <c r="CM141" s="536">
        <v>45990</v>
      </c>
      <c r="CN141" s="536">
        <v>45990</v>
      </c>
      <c r="CO141" s="536">
        <v>45990</v>
      </c>
      <c r="CP141" s="536">
        <v>45990</v>
      </c>
      <c r="CQ141" s="536">
        <v>45990</v>
      </c>
      <c r="CR141" s="536">
        <v>45990</v>
      </c>
      <c r="CS141" s="536">
        <v>45990</v>
      </c>
      <c r="CT141" s="536">
        <v>45990</v>
      </c>
      <c r="CU141" s="536">
        <v>45990</v>
      </c>
      <c r="CV141" s="536">
        <v>45990</v>
      </c>
      <c r="CW141" s="536">
        <v>45990</v>
      </c>
      <c r="CX141" s="536">
        <v>45990</v>
      </c>
      <c r="CY141" s="536">
        <v>45990</v>
      </c>
      <c r="CZ141" s="536">
        <v>45990</v>
      </c>
      <c r="DA141" s="536">
        <v>45990</v>
      </c>
      <c r="DB141" s="536">
        <v>45990</v>
      </c>
      <c r="DC141" s="536">
        <v>45990</v>
      </c>
      <c r="DD141" s="536">
        <v>45990</v>
      </c>
      <c r="DE141" s="536">
        <v>45990</v>
      </c>
      <c r="DF141" s="536">
        <v>45990</v>
      </c>
      <c r="DG141" s="536">
        <v>45990</v>
      </c>
      <c r="DH141" s="536">
        <v>45990</v>
      </c>
    </row>
    <row r="142" spans="2:112">
      <c r="B142" t="s">
        <v>1026</v>
      </c>
      <c r="C142" t="s">
        <v>747</v>
      </c>
      <c r="D142" t="s">
        <v>905</v>
      </c>
      <c r="E142" t="s">
        <v>557</v>
      </c>
      <c r="F142" s="536">
        <v>10368</v>
      </c>
      <c r="G142" s="536">
        <v>10368</v>
      </c>
      <c r="H142" s="536">
        <v>10368</v>
      </c>
      <c r="I142" s="536">
        <v>10368</v>
      </c>
      <c r="J142" s="536">
        <v>10368</v>
      </c>
      <c r="K142" s="536">
        <v>10368</v>
      </c>
      <c r="L142" s="536">
        <v>10368</v>
      </c>
      <c r="M142" s="536">
        <v>10368</v>
      </c>
      <c r="N142" s="536">
        <v>10368</v>
      </c>
      <c r="O142" s="536">
        <v>10368</v>
      </c>
      <c r="P142" s="536">
        <v>10368</v>
      </c>
      <c r="Q142" s="536">
        <v>10368</v>
      </c>
      <c r="R142" s="536">
        <v>10368</v>
      </c>
      <c r="S142" s="536">
        <v>10368</v>
      </c>
      <c r="T142" s="536">
        <v>10368</v>
      </c>
      <c r="U142" s="536">
        <v>10368</v>
      </c>
      <c r="V142" s="536">
        <v>10368</v>
      </c>
      <c r="W142" s="536">
        <v>10368</v>
      </c>
      <c r="X142" s="536">
        <v>10368</v>
      </c>
      <c r="Y142" s="536">
        <v>10368</v>
      </c>
      <c r="Z142" s="536">
        <v>10368</v>
      </c>
      <c r="AA142" s="536">
        <v>10368</v>
      </c>
      <c r="AB142" s="536">
        <v>10368</v>
      </c>
      <c r="AC142" s="536">
        <v>10368</v>
      </c>
      <c r="AD142" s="536">
        <v>10368</v>
      </c>
      <c r="AE142" s="536">
        <v>10368</v>
      </c>
      <c r="AF142" s="536">
        <v>10368</v>
      </c>
      <c r="AG142" s="536">
        <v>10368</v>
      </c>
      <c r="AH142" s="540">
        <f>AG142</f>
        <v>10368</v>
      </c>
      <c r="AI142" s="540">
        <f t="shared" si="118"/>
        <v>10368</v>
      </c>
      <c r="AJ142" s="540">
        <f t="shared" si="118"/>
        <v>10368</v>
      </c>
      <c r="AK142" s="540">
        <f t="shared" si="118"/>
        <v>10368</v>
      </c>
      <c r="AL142" s="540">
        <f t="shared" si="118"/>
        <v>10368</v>
      </c>
      <c r="AM142" s="540">
        <f t="shared" si="118"/>
        <v>10368</v>
      </c>
      <c r="AN142" s="540">
        <f t="shared" si="118"/>
        <v>10368</v>
      </c>
      <c r="AO142" s="540">
        <f t="shared" si="118"/>
        <v>10368</v>
      </c>
      <c r="AP142" s="540">
        <f t="shared" si="118"/>
        <v>10368</v>
      </c>
      <c r="AQ142" s="540">
        <f t="shared" si="118"/>
        <v>10368</v>
      </c>
      <c r="AR142" s="540">
        <f t="shared" si="118"/>
        <v>10368</v>
      </c>
      <c r="AS142" s="540">
        <f t="shared" si="118"/>
        <v>10368</v>
      </c>
      <c r="AT142" s="540">
        <f t="shared" si="118"/>
        <v>10368</v>
      </c>
      <c r="AU142" s="540">
        <f t="shared" si="118"/>
        <v>10368</v>
      </c>
      <c r="AV142" s="540">
        <f t="shared" si="118"/>
        <v>10368</v>
      </c>
      <c r="AW142" s="540">
        <f t="shared" si="118"/>
        <v>10368</v>
      </c>
      <c r="AX142" s="540">
        <f t="shared" si="118"/>
        <v>10368</v>
      </c>
      <c r="AY142" s="540">
        <f t="shared" si="118"/>
        <v>10368</v>
      </c>
      <c r="AZ142" s="540">
        <f t="shared" si="118"/>
        <v>10368</v>
      </c>
      <c r="BA142" s="540">
        <f t="shared" si="118"/>
        <v>10368</v>
      </c>
      <c r="BB142" s="540">
        <f t="shared" si="118"/>
        <v>10368</v>
      </c>
      <c r="BC142" s="540">
        <f t="shared" si="118"/>
        <v>10368</v>
      </c>
      <c r="BD142" s="540">
        <f t="shared" si="118"/>
        <v>10368</v>
      </c>
      <c r="BE142" s="540">
        <f t="shared" si="118"/>
        <v>10368</v>
      </c>
      <c r="BF142" s="540">
        <f t="shared" si="118"/>
        <v>10368</v>
      </c>
      <c r="BG142" s="540">
        <f t="shared" si="118"/>
        <v>10368</v>
      </c>
      <c r="BH142" s="540">
        <f t="shared" si="118"/>
        <v>10368</v>
      </c>
      <c r="BI142" s="540">
        <f t="shared" si="118"/>
        <v>10368</v>
      </c>
      <c r="BJ142" s="540">
        <f t="shared" si="118"/>
        <v>10368</v>
      </c>
      <c r="BK142" s="540">
        <f t="shared" si="118"/>
        <v>10368</v>
      </c>
      <c r="BL142" s="540">
        <f t="shared" si="118"/>
        <v>10368</v>
      </c>
      <c r="BM142" s="540">
        <f t="shared" si="118"/>
        <v>10368</v>
      </c>
      <c r="BN142" s="540">
        <f t="shared" si="118"/>
        <v>10368</v>
      </c>
      <c r="BO142" s="540">
        <f t="shared" si="118"/>
        <v>10368</v>
      </c>
      <c r="BP142" s="540">
        <f t="shared" si="118"/>
        <v>10368</v>
      </c>
      <c r="BQ142" s="540">
        <f t="shared" si="118"/>
        <v>10368</v>
      </c>
      <c r="BR142" s="540">
        <f t="shared" si="118"/>
        <v>10368</v>
      </c>
      <c r="BS142" s="540">
        <f t="shared" si="118"/>
        <v>10368</v>
      </c>
      <c r="BT142" s="540">
        <f t="shared" si="118"/>
        <v>10368</v>
      </c>
      <c r="BU142" s="540">
        <f t="shared" si="118"/>
        <v>10368</v>
      </c>
      <c r="BV142" s="540">
        <f t="shared" si="118"/>
        <v>10368</v>
      </c>
      <c r="BW142" s="540">
        <f t="shared" si="118"/>
        <v>10368</v>
      </c>
      <c r="BX142" s="540">
        <f t="shared" si="118"/>
        <v>10368</v>
      </c>
      <c r="BY142" s="540">
        <f t="shared" si="118"/>
        <v>10368</v>
      </c>
      <c r="BZ142" s="540">
        <f t="shared" si="118"/>
        <v>10368</v>
      </c>
      <c r="CA142" s="540">
        <f t="shared" si="118"/>
        <v>10368</v>
      </c>
      <c r="CB142" s="540">
        <f t="shared" si="118"/>
        <v>10368</v>
      </c>
      <c r="CC142" s="540">
        <f t="shared" si="118"/>
        <v>10368</v>
      </c>
      <c r="CD142" s="540">
        <f t="shared" si="118"/>
        <v>10368</v>
      </c>
      <c r="CE142" s="540">
        <f t="shared" si="118"/>
        <v>10368</v>
      </c>
      <c r="CG142" s="536">
        <v>10368</v>
      </c>
      <c r="CH142" s="536">
        <v>10368</v>
      </c>
      <c r="CI142" s="536">
        <v>10368</v>
      </c>
      <c r="CJ142" s="536">
        <v>10368</v>
      </c>
      <c r="CK142" s="536">
        <v>10368</v>
      </c>
      <c r="CL142" s="536">
        <v>10368</v>
      </c>
      <c r="CM142" s="536">
        <v>10368</v>
      </c>
      <c r="CN142" s="536">
        <v>10368</v>
      </c>
      <c r="CO142" s="536">
        <v>10368</v>
      </c>
      <c r="CP142" s="536">
        <v>10368</v>
      </c>
      <c r="CQ142" s="536">
        <v>10368</v>
      </c>
      <c r="CR142" s="536">
        <v>10368</v>
      </c>
      <c r="CS142" s="536">
        <v>10368</v>
      </c>
      <c r="CT142" s="536">
        <v>10368</v>
      </c>
      <c r="CU142" s="536">
        <v>10368</v>
      </c>
      <c r="CV142" s="536">
        <v>10368</v>
      </c>
      <c r="CW142" s="536">
        <v>10368</v>
      </c>
      <c r="CX142" s="536">
        <v>10368</v>
      </c>
      <c r="CY142" s="536">
        <v>10368</v>
      </c>
      <c r="CZ142" s="536">
        <v>10368</v>
      </c>
      <c r="DA142" s="536">
        <v>10368</v>
      </c>
      <c r="DB142" s="536">
        <v>10368</v>
      </c>
      <c r="DC142" s="536">
        <v>10368</v>
      </c>
      <c r="DD142" s="536">
        <v>10368</v>
      </c>
      <c r="DE142" s="536">
        <v>10368</v>
      </c>
      <c r="DF142" s="536">
        <v>10368</v>
      </c>
      <c r="DG142" s="536">
        <v>10368</v>
      </c>
      <c r="DH142" s="536">
        <v>10368</v>
      </c>
    </row>
    <row r="143" spans="2:112">
      <c r="F143" s="539"/>
      <c r="G143" s="539"/>
      <c r="H143" s="539"/>
      <c r="I143" s="539"/>
      <c r="J143" s="539"/>
      <c r="K143" s="539"/>
      <c r="L143" s="539"/>
      <c r="M143" s="539"/>
      <c r="N143" s="539"/>
      <c r="O143" s="539"/>
      <c r="P143" s="539"/>
      <c r="Q143" s="539"/>
      <c r="R143" s="539"/>
      <c r="S143" s="539"/>
      <c r="T143" s="539"/>
      <c r="U143" s="539"/>
      <c r="V143" s="539"/>
      <c r="W143" s="539"/>
      <c r="X143" s="539"/>
      <c r="Y143" s="539"/>
      <c r="Z143" s="539"/>
      <c r="AA143" s="539"/>
      <c r="AB143" s="539"/>
      <c r="AC143" s="539"/>
      <c r="AD143" s="539"/>
      <c r="AE143" s="539"/>
      <c r="AF143" s="539"/>
      <c r="AG143" s="539"/>
      <c r="AH143" s="539"/>
      <c r="AI143" s="539"/>
      <c r="AJ143" s="539"/>
      <c r="AK143" s="539"/>
      <c r="AL143" s="539"/>
      <c r="AM143" s="539"/>
      <c r="AN143" s="539"/>
      <c r="AO143" s="539"/>
      <c r="AP143" s="539"/>
      <c r="AQ143" s="539"/>
      <c r="AR143" s="539"/>
      <c r="AS143" s="539"/>
      <c r="AT143" s="539"/>
      <c r="AU143" s="539"/>
      <c r="AV143" s="539"/>
      <c r="AW143" s="539"/>
      <c r="AX143" s="539"/>
      <c r="AY143" s="539"/>
      <c r="AZ143" s="539"/>
      <c r="BA143" s="539"/>
      <c r="BB143" s="539"/>
      <c r="BC143" s="539"/>
      <c r="BD143" s="539"/>
      <c r="BE143" s="539"/>
      <c r="BF143" s="539"/>
      <c r="BG143" s="539"/>
      <c r="BH143" s="539"/>
      <c r="BI143" s="539"/>
      <c r="BJ143" s="539"/>
      <c r="BK143" s="539"/>
      <c r="BL143" s="539"/>
      <c r="BM143" s="539"/>
      <c r="BN143" s="539"/>
      <c r="BO143" s="539"/>
      <c r="BP143" s="539"/>
      <c r="BQ143" s="539"/>
      <c r="BR143" s="539"/>
      <c r="BS143" s="539"/>
      <c r="BT143" s="539"/>
      <c r="BU143" s="539"/>
      <c r="BV143" s="539"/>
      <c r="BW143" s="539"/>
      <c r="BX143" s="539"/>
      <c r="BY143" s="539"/>
      <c r="BZ143" s="539"/>
      <c r="CA143" s="539"/>
      <c r="CB143" s="539"/>
      <c r="CC143" s="539"/>
      <c r="CD143" s="539"/>
      <c r="CE143" s="539"/>
      <c r="CG143" s="539"/>
      <c r="CH143" s="539"/>
      <c r="CI143" s="539"/>
      <c r="CJ143" s="539"/>
      <c r="CK143" s="539"/>
      <c r="CL143" s="539"/>
      <c r="CM143" s="539"/>
      <c r="CN143" s="539"/>
      <c r="CO143" s="539"/>
      <c r="CP143" s="539"/>
      <c r="CQ143" s="539"/>
      <c r="CR143" s="539"/>
      <c r="CS143" s="539"/>
      <c r="CT143" s="539"/>
      <c r="CU143" s="539"/>
      <c r="CV143" s="539"/>
      <c r="CW143" s="539"/>
      <c r="CX143" s="539"/>
      <c r="CY143" s="539"/>
      <c r="CZ143" s="539"/>
      <c r="DA143" s="539"/>
      <c r="DB143" s="539"/>
      <c r="DC143" s="539"/>
      <c r="DD143" s="539"/>
      <c r="DE143" s="539"/>
      <c r="DF143" s="539"/>
      <c r="DG143" s="539"/>
      <c r="DH143" s="539"/>
    </row>
    <row r="144" spans="2:112">
      <c r="B144" t="s">
        <v>1027</v>
      </c>
      <c r="C144" t="s">
        <v>747</v>
      </c>
      <c r="D144" t="s">
        <v>907</v>
      </c>
      <c r="E144" t="s">
        <v>908</v>
      </c>
      <c r="F144" s="541">
        <v>56.2</v>
      </c>
      <c r="G144" s="541">
        <v>56.2</v>
      </c>
      <c r="H144" s="541">
        <v>56.2</v>
      </c>
      <c r="I144" s="541">
        <v>56.2</v>
      </c>
      <c r="J144" s="541">
        <v>56.2</v>
      </c>
      <c r="K144" s="541">
        <v>56.2</v>
      </c>
      <c r="L144" s="541">
        <v>56.2</v>
      </c>
      <c r="M144" s="541">
        <v>56.2</v>
      </c>
      <c r="N144" s="541">
        <v>56.2</v>
      </c>
      <c r="O144" s="541">
        <v>56.2</v>
      </c>
      <c r="P144" s="541">
        <v>56.2</v>
      </c>
      <c r="Q144" s="541">
        <v>56.2</v>
      </c>
      <c r="R144" s="541">
        <v>56.2</v>
      </c>
      <c r="S144" s="541">
        <v>56.2</v>
      </c>
      <c r="T144" s="541">
        <v>56.2</v>
      </c>
      <c r="U144" s="541">
        <v>56.2</v>
      </c>
      <c r="V144" s="541">
        <v>56.2</v>
      </c>
      <c r="W144" s="541">
        <v>56.2</v>
      </c>
      <c r="X144" s="541">
        <v>56.2</v>
      </c>
      <c r="Y144" s="541">
        <v>56.2</v>
      </c>
      <c r="Z144" s="541">
        <v>56.2</v>
      </c>
      <c r="AA144" s="541">
        <v>56.2</v>
      </c>
      <c r="AB144" s="541">
        <v>56.2</v>
      </c>
      <c r="AC144" s="541">
        <v>56.2</v>
      </c>
      <c r="AD144" s="541">
        <v>56.2</v>
      </c>
      <c r="AE144" s="541">
        <v>56.2</v>
      </c>
      <c r="AF144" s="541">
        <v>56.2</v>
      </c>
      <c r="AG144" s="541">
        <v>56.2</v>
      </c>
      <c r="AH144" s="542">
        <f>AG144</f>
        <v>56.2</v>
      </c>
      <c r="AI144" s="542">
        <f t="shared" ref="AI144:AX144" si="119">AH144</f>
        <v>56.2</v>
      </c>
      <c r="AJ144" s="542">
        <f t="shared" si="119"/>
        <v>56.2</v>
      </c>
      <c r="AK144" s="542">
        <f t="shared" si="119"/>
        <v>56.2</v>
      </c>
      <c r="AL144" s="542">
        <f t="shared" si="119"/>
        <v>56.2</v>
      </c>
      <c r="AM144" s="542">
        <f t="shared" si="119"/>
        <v>56.2</v>
      </c>
      <c r="AN144" s="542">
        <f t="shared" si="119"/>
        <v>56.2</v>
      </c>
      <c r="AO144" s="542">
        <f t="shared" si="119"/>
        <v>56.2</v>
      </c>
      <c r="AP144" s="542">
        <f t="shared" si="119"/>
        <v>56.2</v>
      </c>
      <c r="AQ144" s="542">
        <f t="shared" si="119"/>
        <v>56.2</v>
      </c>
      <c r="AR144" s="542">
        <f t="shared" si="119"/>
        <v>56.2</v>
      </c>
      <c r="AS144" s="542">
        <f t="shared" si="119"/>
        <v>56.2</v>
      </c>
      <c r="AT144" s="542">
        <f t="shared" si="119"/>
        <v>56.2</v>
      </c>
      <c r="AU144" s="542">
        <f t="shared" si="119"/>
        <v>56.2</v>
      </c>
      <c r="AV144" s="542">
        <f t="shared" si="119"/>
        <v>56.2</v>
      </c>
      <c r="AW144" s="542">
        <f t="shared" si="119"/>
        <v>56.2</v>
      </c>
      <c r="AX144" s="542">
        <f t="shared" si="119"/>
        <v>56.2</v>
      </c>
      <c r="AY144" s="542">
        <f t="shared" ref="AY144:BN144" si="120">AX144</f>
        <v>56.2</v>
      </c>
      <c r="AZ144" s="542">
        <f t="shared" si="120"/>
        <v>56.2</v>
      </c>
      <c r="BA144" s="542">
        <f t="shared" si="120"/>
        <v>56.2</v>
      </c>
      <c r="BB144" s="542">
        <f t="shared" si="120"/>
        <v>56.2</v>
      </c>
      <c r="BC144" s="542">
        <f t="shared" si="120"/>
        <v>56.2</v>
      </c>
      <c r="BD144" s="542">
        <f t="shared" si="120"/>
        <v>56.2</v>
      </c>
      <c r="BE144" s="542">
        <f t="shared" si="120"/>
        <v>56.2</v>
      </c>
      <c r="BF144" s="542">
        <f t="shared" si="120"/>
        <v>56.2</v>
      </c>
      <c r="BG144" s="542">
        <f t="shared" si="120"/>
        <v>56.2</v>
      </c>
      <c r="BH144" s="542">
        <f t="shared" si="120"/>
        <v>56.2</v>
      </c>
      <c r="BI144" s="542">
        <f t="shared" si="120"/>
        <v>56.2</v>
      </c>
      <c r="BJ144" s="542">
        <f t="shared" si="120"/>
        <v>56.2</v>
      </c>
      <c r="BK144" s="542">
        <f t="shared" si="120"/>
        <v>56.2</v>
      </c>
      <c r="BL144" s="542">
        <f t="shared" si="120"/>
        <v>56.2</v>
      </c>
      <c r="BM144" s="542">
        <f t="shared" si="120"/>
        <v>56.2</v>
      </c>
      <c r="BN144" s="542">
        <f t="shared" si="120"/>
        <v>56.2</v>
      </c>
      <c r="BO144" s="542">
        <f t="shared" ref="BO144:CD144" si="121">BN144</f>
        <v>56.2</v>
      </c>
      <c r="BP144" s="542">
        <f t="shared" si="121"/>
        <v>56.2</v>
      </c>
      <c r="BQ144" s="542">
        <f t="shared" si="121"/>
        <v>56.2</v>
      </c>
      <c r="BR144" s="542">
        <f t="shared" si="121"/>
        <v>56.2</v>
      </c>
      <c r="BS144" s="542">
        <f t="shared" si="121"/>
        <v>56.2</v>
      </c>
      <c r="BT144" s="542">
        <f t="shared" si="121"/>
        <v>56.2</v>
      </c>
      <c r="BU144" s="542">
        <f t="shared" si="121"/>
        <v>56.2</v>
      </c>
      <c r="BV144" s="542">
        <f t="shared" si="121"/>
        <v>56.2</v>
      </c>
      <c r="BW144" s="542">
        <f t="shared" si="121"/>
        <v>56.2</v>
      </c>
      <c r="BX144" s="542">
        <f t="shared" si="121"/>
        <v>56.2</v>
      </c>
      <c r="BY144" s="542">
        <f t="shared" si="121"/>
        <v>56.2</v>
      </c>
      <c r="BZ144" s="542">
        <f t="shared" si="121"/>
        <v>56.2</v>
      </c>
      <c r="CA144" s="542">
        <f t="shared" si="121"/>
        <v>56.2</v>
      </c>
      <c r="CB144" s="542">
        <f t="shared" si="121"/>
        <v>56.2</v>
      </c>
      <c r="CC144" s="542">
        <f t="shared" si="121"/>
        <v>56.2</v>
      </c>
      <c r="CD144" s="542">
        <f t="shared" si="121"/>
        <v>56.2</v>
      </c>
      <c r="CE144" s="542">
        <f t="shared" ref="AX144:CE151" si="122">CD144</f>
        <v>56.2</v>
      </c>
      <c r="CG144" s="541">
        <v>56.2</v>
      </c>
      <c r="CH144" s="541">
        <v>56.2</v>
      </c>
      <c r="CI144" s="541">
        <v>56.2</v>
      </c>
      <c r="CJ144" s="541">
        <v>56.2</v>
      </c>
      <c r="CK144" s="541">
        <v>56.2</v>
      </c>
      <c r="CL144" s="541">
        <v>56.2</v>
      </c>
      <c r="CM144" s="541">
        <v>56.2</v>
      </c>
      <c r="CN144" s="541">
        <v>56.2</v>
      </c>
      <c r="CO144" s="541">
        <v>56.2</v>
      </c>
      <c r="CP144" s="541">
        <v>56.2</v>
      </c>
      <c r="CQ144" s="541">
        <v>56.2</v>
      </c>
      <c r="CR144" s="541">
        <v>56.2</v>
      </c>
      <c r="CS144" s="541">
        <v>56.2</v>
      </c>
      <c r="CT144" s="541">
        <v>56.2</v>
      </c>
      <c r="CU144" s="541">
        <v>56.2</v>
      </c>
      <c r="CV144" s="541">
        <v>56.2</v>
      </c>
      <c r="CW144" s="541">
        <v>56.2</v>
      </c>
      <c r="CX144" s="541">
        <v>56.2</v>
      </c>
      <c r="CY144" s="541">
        <v>56.2</v>
      </c>
      <c r="CZ144" s="541">
        <v>56.2</v>
      </c>
      <c r="DA144" s="541">
        <v>56.2</v>
      </c>
      <c r="DB144" s="541">
        <v>56.2</v>
      </c>
      <c r="DC144" s="541">
        <v>56.2</v>
      </c>
      <c r="DD144" s="541">
        <v>56.2</v>
      </c>
      <c r="DE144" s="541">
        <v>56.2</v>
      </c>
      <c r="DF144" s="541">
        <v>56.2</v>
      </c>
      <c r="DG144" s="541">
        <v>56.2</v>
      </c>
      <c r="DH144" s="541">
        <v>56.2</v>
      </c>
    </row>
    <row r="145" spans="2:112">
      <c r="B145" t="s">
        <v>1028</v>
      </c>
      <c r="C145" t="s">
        <v>747</v>
      </c>
      <c r="D145" t="s">
        <v>910</v>
      </c>
      <c r="E145" t="s">
        <v>911</v>
      </c>
      <c r="F145" s="541">
        <v>2.8158080000000001</v>
      </c>
      <c r="G145" s="541">
        <v>2.8158080000000001</v>
      </c>
      <c r="H145" s="541">
        <v>2.8158080000000001</v>
      </c>
      <c r="I145" s="541">
        <v>2.8158080000000001</v>
      </c>
      <c r="J145" s="541">
        <v>2.8158080000000001</v>
      </c>
      <c r="K145" s="541">
        <v>2.8158080000000001</v>
      </c>
      <c r="L145" s="541">
        <v>2.8158080000000001</v>
      </c>
      <c r="M145" s="541">
        <v>2.8158080000000001</v>
      </c>
      <c r="N145" s="541">
        <v>2.8158080000000001</v>
      </c>
      <c r="O145" s="541">
        <v>2.8158080000000001</v>
      </c>
      <c r="P145" s="541">
        <v>2.8158080000000001</v>
      </c>
      <c r="Q145" s="541">
        <v>2.8158080000000001</v>
      </c>
      <c r="R145" s="541">
        <v>2.8158080000000001</v>
      </c>
      <c r="S145" s="541">
        <v>2.8158080000000001</v>
      </c>
      <c r="T145" s="541">
        <v>2.8158080000000001</v>
      </c>
      <c r="U145" s="541">
        <v>2.8158080000000001</v>
      </c>
      <c r="V145" s="541">
        <v>2.8158080000000001</v>
      </c>
      <c r="W145" s="541">
        <v>2.8158080000000001</v>
      </c>
      <c r="X145" s="541">
        <v>2.8158080000000001</v>
      </c>
      <c r="Y145" s="541">
        <v>2.8158080000000001</v>
      </c>
      <c r="Z145" s="541">
        <v>2.8158080000000001</v>
      </c>
      <c r="AA145" s="541">
        <v>2.8158080000000001</v>
      </c>
      <c r="AB145" s="541">
        <v>2.8158080000000001</v>
      </c>
      <c r="AC145" s="541">
        <v>2.8158080000000001</v>
      </c>
      <c r="AD145" s="541">
        <v>2.8158080000000001</v>
      </c>
      <c r="AE145" s="541">
        <v>2.8158080000000001</v>
      </c>
      <c r="AF145" s="541">
        <v>2.8158080000000001</v>
      </c>
      <c r="AG145" s="541">
        <v>2.8158080000000001</v>
      </c>
      <c r="AH145" s="542">
        <f t="shared" ref="AH145:AW151" si="123">AG145</f>
        <v>2.8158080000000001</v>
      </c>
      <c r="AI145" s="542">
        <f t="shared" si="123"/>
        <v>2.8158080000000001</v>
      </c>
      <c r="AJ145" s="542">
        <f t="shared" si="123"/>
        <v>2.8158080000000001</v>
      </c>
      <c r="AK145" s="542">
        <f t="shared" si="123"/>
        <v>2.8158080000000001</v>
      </c>
      <c r="AL145" s="542">
        <f t="shared" si="123"/>
        <v>2.8158080000000001</v>
      </c>
      <c r="AM145" s="542">
        <f t="shared" si="123"/>
        <v>2.8158080000000001</v>
      </c>
      <c r="AN145" s="542">
        <f t="shared" si="123"/>
        <v>2.8158080000000001</v>
      </c>
      <c r="AO145" s="542">
        <f t="shared" si="123"/>
        <v>2.8158080000000001</v>
      </c>
      <c r="AP145" s="542">
        <f t="shared" si="123"/>
        <v>2.8158080000000001</v>
      </c>
      <c r="AQ145" s="542">
        <f t="shared" si="123"/>
        <v>2.8158080000000001</v>
      </c>
      <c r="AR145" s="542">
        <f t="shared" si="123"/>
        <v>2.8158080000000001</v>
      </c>
      <c r="AS145" s="542">
        <f t="shared" si="123"/>
        <v>2.8158080000000001</v>
      </c>
      <c r="AT145" s="542">
        <f t="shared" si="123"/>
        <v>2.8158080000000001</v>
      </c>
      <c r="AU145" s="542">
        <f t="shared" si="123"/>
        <v>2.8158080000000001</v>
      </c>
      <c r="AV145" s="542">
        <f t="shared" si="123"/>
        <v>2.8158080000000001</v>
      </c>
      <c r="AW145" s="542">
        <f t="shared" si="123"/>
        <v>2.8158080000000001</v>
      </c>
      <c r="AX145" s="542">
        <f t="shared" si="122"/>
        <v>2.8158080000000001</v>
      </c>
      <c r="AY145" s="542">
        <f t="shared" si="122"/>
        <v>2.8158080000000001</v>
      </c>
      <c r="AZ145" s="542">
        <f t="shared" si="122"/>
        <v>2.8158080000000001</v>
      </c>
      <c r="BA145" s="542">
        <f t="shared" si="122"/>
        <v>2.8158080000000001</v>
      </c>
      <c r="BB145" s="542">
        <f t="shared" si="122"/>
        <v>2.8158080000000001</v>
      </c>
      <c r="BC145" s="542">
        <f t="shared" si="122"/>
        <v>2.8158080000000001</v>
      </c>
      <c r="BD145" s="542">
        <f t="shared" si="122"/>
        <v>2.8158080000000001</v>
      </c>
      <c r="BE145" s="542">
        <f t="shared" si="122"/>
        <v>2.8158080000000001</v>
      </c>
      <c r="BF145" s="542">
        <f t="shared" si="122"/>
        <v>2.8158080000000001</v>
      </c>
      <c r="BG145" s="542">
        <f t="shared" si="122"/>
        <v>2.8158080000000001</v>
      </c>
      <c r="BH145" s="542">
        <f t="shared" si="122"/>
        <v>2.8158080000000001</v>
      </c>
      <c r="BI145" s="542">
        <f t="shared" si="122"/>
        <v>2.8158080000000001</v>
      </c>
      <c r="BJ145" s="542">
        <f t="shared" si="122"/>
        <v>2.8158080000000001</v>
      </c>
      <c r="BK145" s="542">
        <f t="shared" si="122"/>
        <v>2.8158080000000001</v>
      </c>
      <c r="BL145" s="542">
        <f t="shared" si="122"/>
        <v>2.8158080000000001</v>
      </c>
      <c r="BM145" s="542">
        <f t="shared" si="122"/>
        <v>2.8158080000000001</v>
      </c>
      <c r="BN145" s="542">
        <f t="shared" si="122"/>
        <v>2.8158080000000001</v>
      </c>
      <c r="BO145" s="542">
        <f t="shared" si="122"/>
        <v>2.8158080000000001</v>
      </c>
      <c r="BP145" s="542">
        <f t="shared" si="122"/>
        <v>2.8158080000000001</v>
      </c>
      <c r="BQ145" s="542">
        <f t="shared" si="122"/>
        <v>2.8158080000000001</v>
      </c>
      <c r="BR145" s="542">
        <f t="shared" si="122"/>
        <v>2.8158080000000001</v>
      </c>
      <c r="BS145" s="542">
        <f t="shared" si="122"/>
        <v>2.8158080000000001</v>
      </c>
      <c r="BT145" s="542">
        <f t="shared" si="122"/>
        <v>2.8158080000000001</v>
      </c>
      <c r="BU145" s="542">
        <f t="shared" si="122"/>
        <v>2.8158080000000001</v>
      </c>
      <c r="BV145" s="542">
        <f t="shared" si="122"/>
        <v>2.8158080000000001</v>
      </c>
      <c r="BW145" s="542">
        <f t="shared" si="122"/>
        <v>2.8158080000000001</v>
      </c>
      <c r="BX145" s="542">
        <f t="shared" si="122"/>
        <v>2.8158080000000001</v>
      </c>
      <c r="BY145" s="542">
        <f t="shared" si="122"/>
        <v>2.8158080000000001</v>
      </c>
      <c r="BZ145" s="542">
        <f t="shared" si="122"/>
        <v>2.8158080000000001</v>
      </c>
      <c r="CA145" s="542">
        <f t="shared" si="122"/>
        <v>2.8158080000000001</v>
      </c>
      <c r="CB145" s="542">
        <f t="shared" si="122"/>
        <v>2.8158080000000001</v>
      </c>
      <c r="CC145" s="542">
        <f t="shared" si="122"/>
        <v>2.8158080000000001</v>
      </c>
      <c r="CD145" s="542">
        <f t="shared" si="122"/>
        <v>2.8158080000000001</v>
      </c>
      <c r="CE145" s="542">
        <f t="shared" si="122"/>
        <v>2.8158080000000001</v>
      </c>
      <c r="CG145" s="541">
        <v>2.8158080000000001</v>
      </c>
      <c r="CH145" s="541">
        <v>2.8158080000000001</v>
      </c>
      <c r="CI145" s="541">
        <v>2.8158080000000001</v>
      </c>
      <c r="CJ145" s="541">
        <v>2.8158080000000001</v>
      </c>
      <c r="CK145" s="541">
        <v>2.8158080000000001</v>
      </c>
      <c r="CL145" s="541">
        <v>2.8158080000000001</v>
      </c>
      <c r="CM145" s="541">
        <v>2.8158080000000001</v>
      </c>
      <c r="CN145" s="541">
        <v>2.8158080000000001</v>
      </c>
      <c r="CO145" s="541">
        <v>2.8158080000000001</v>
      </c>
      <c r="CP145" s="541">
        <v>2.8158080000000001</v>
      </c>
      <c r="CQ145" s="541">
        <v>2.8158080000000001</v>
      </c>
      <c r="CR145" s="541">
        <v>2.8158080000000001</v>
      </c>
      <c r="CS145" s="541">
        <v>2.8158080000000001</v>
      </c>
      <c r="CT145" s="541">
        <v>2.8158080000000001</v>
      </c>
      <c r="CU145" s="541">
        <v>2.8158080000000001</v>
      </c>
      <c r="CV145" s="541">
        <v>2.8158080000000001</v>
      </c>
      <c r="CW145" s="541">
        <v>2.8158080000000001</v>
      </c>
      <c r="CX145" s="541">
        <v>2.8158080000000001</v>
      </c>
      <c r="CY145" s="541">
        <v>2.8158080000000001</v>
      </c>
      <c r="CZ145" s="541">
        <v>2.8158080000000001</v>
      </c>
      <c r="DA145" s="541">
        <v>2.8158080000000001</v>
      </c>
      <c r="DB145" s="541">
        <v>2.8158080000000001</v>
      </c>
      <c r="DC145" s="541">
        <v>2.8158080000000001</v>
      </c>
      <c r="DD145" s="541">
        <v>2.8158080000000001</v>
      </c>
      <c r="DE145" s="541">
        <v>2.8158080000000001</v>
      </c>
      <c r="DF145" s="541">
        <v>2.8158080000000001</v>
      </c>
      <c r="DG145" s="541">
        <v>2.8158080000000001</v>
      </c>
      <c r="DH145" s="541">
        <v>2.8158080000000001</v>
      </c>
    </row>
    <row r="146" spans="2:112">
      <c r="B146" t="s">
        <v>1029</v>
      </c>
      <c r="C146" t="s">
        <v>747</v>
      </c>
      <c r="D146" t="s">
        <v>913</v>
      </c>
      <c r="E146" t="s">
        <v>908</v>
      </c>
      <c r="F146" s="541">
        <v>68.732500000000002</v>
      </c>
      <c r="G146" s="541">
        <v>68.732500000000002</v>
      </c>
      <c r="H146" s="541">
        <v>68.732500000000002</v>
      </c>
      <c r="I146" s="541">
        <v>68.732500000000002</v>
      </c>
      <c r="J146" s="541">
        <v>68.732500000000002</v>
      </c>
      <c r="K146" s="541">
        <v>68.732500000000002</v>
      </c>
      <c r="L146" s="541">
        <v>68.732500000000002</v>
      </c>
      <c r="M146" s="541">
        <v>68.732500000000002</v>
      </c>
      <c r="N146" s="541">
        <v>68.732500000000002</v>
      </c>
      <c r="O146" s="541">
        <v>68.732500000000002</v>
      </c>
      <c r="P146" s="541">
        <v>68.732500000000002</v>
      </c>
      <c r="Q146" s="541">
        <v>68.732500000000002</v>
      </c>
      <c r="R146" s="541">
        <v>68.732500000000002</v>
      </c>
      <c r="S146" s="541">
        <v>68.732500000000002</v>
      </c>
      <c r="T146" s="541">
        <v>68.732500000000002</v>
      </c>
      <c r="U146" s="541">
        <v>68.732500000000002</v>
      </c>
      <c r="V146" s="541">
        <v>68.732500000000002</v>
      </c>
      <c r="W146" s="541">
        <v>68.732500000000002</v>
      </c>
      <c r="X146" s="541">
        <v>68.732500000000002</v>
      </c>
      <c r="Y146" s="541">
        <v>68.732500000000002</v>
      </c>
      <c r="Z146" s="541">
        <v>68.732500000000002</v>
      </c>
      <c r="AA146" s="541">
        <v>68.732500000000002</v>
      </c>
      <c r="AB146" s="541">
        <v>68.732500000000002</v>
      </c>
      <c r="AC146" s="541">
        <v>68.732500000000002</v>
      </c>
      <c r="AD146" s="541">
        <v>68.732500000000002</v>
      </c>
      <c r="AE146" s="541">
        <v>68.732500000000002</v>
      </c>
      <c r="AF146" s="541">
        <v>68.732500000000002</v>
      </c>
      <c r="AG146" s="541">
        <v>68.732500000000002</v>
      </c>
      <c r="AH146" s="542">
        <f t="shared" si="123"/>
        <v>68.732500000000002</v>
      </c>
      <c r="AI146" s="542">
        <f t="shared" si="123"/>
        <v>68.732500000000002</v>
      </c>
      <c r="AJ146" s="542">
        <f t="shared" si="123"/>
        <v>68.732500000000002</v>
      </c>
      <c r="AK146" s="542">
        <f t="shared" si="123"/>
        <v>68.732500000000002</v>
      </c>
      <c r="AL146" s="542">
        <f t="shared" si="123"/>
        <v>68.732500000000002</v>
      </c>
      <c r="AM146" s="542">
        <f t="shared" si="123"/>
        <v>68.732500000000002</v>
      </c>
      <c r="AN146" s="542">
        <f t="shared" si="123"/>
        <v>68.732500000000002</v>
      </c>
      <c r="AO146" s="542">
        <f t="shared" si="123"/>
        <v>68.732500000000002</v>
      </c>
      <c r="AP146" s="542">
        <f t="shared" si="123"/>
        <v>68.732500000000002</v>
      </c>
      <c r="AQ146" s="542">
        <f t="shared" si="123"/>
        <v>68.732500000000002</v>
      </c>
      <c r="AR146" s="542">
        <f t="shared" si="123"/>
        <v>68.732500000000002</v>
      </c>
      <c r="AS146" s="542">
        <f t="shared" si="123"/>
        <v>68.732500000000002</v>
      </c>
      <c r="AT146" s="542">
        <f t="shared" si="123"/>
        <v>68.732500000000002</v>
      </c>
      <c r="AU146" s="542">
        <f t="shared" si="123"/>
        <v>68.732500000000002</v>
      </c>
      <c r="AV146" s="542">
        <f t="shared" si="123"/>
        <v>68.732500000000002</v>
      </c>
      <c r="AW146" s="542">
        <f t="shared" si="123"/>
        <v>68.732500000000002</v>
      </c>
      <c r="AX146" s="542">
        <f t="shared" si="122"/>
        <v>68.732500000000002</v>
      </c>
      <c r="AY146" s="542">
        <f t="shared" si="122"/>
        <v>68.732500000000002</v>
      </c>
      <c r="AZ146" s="542">
        <f t="shared" si="122"/>
        <v>68.732500000000002</v>
      </c>
      <c r="BA146" s="542">
        <f t="shared" si="122"/>
        <v>68.732500000000002</v>
      </c>
      <c r="BB146" s="542">
        <f t="shared" si="122"/>
        <v>68.732500000000002</v>
      </c>
      <c r="BC146" s="542">
        <f t="shared" si="122"/>
        <v>68.732500000000002</v>
      </c>
      <c r="BD146" s="542">
        <f t="shared" si="122"/>
        <v>68.732500000000002</v>
      </c>
      <c r="BE146" s="542">
        <f t="shared" si="122"/>
        <v>68.732500000000002</v>
      </c>
      <c r="BF146" s="542">
        <f t="shared" si="122"/>
        <v>68.732500000000002</v>
      </c>
      <c r="BG146" s="542">
        <f t="shared" si="122"/>
        <v>68.732500000000002</v>
      </c>
      <c r="BH146" s="542">
        <f t="shared" si="122"/>
        <v>68.732500000000002</v>
      </c>
      <c r="BI146" s="542">
        <f t="shared" si="122"/>
        <v>68.732500000000002</v>
      </c>
      <c r="BJ146" s="542">
        <f t="shared" si="122"/>
        <v>68.732500000000002</v>
      </c>
      <c r="BK146" s="542">
        <f t="shared" si="122"/>
        <v>68.732500000000002</v>
      </c>
      <c r="BL146" s="542">
        <f t="shared" si="122"/>
        <v>68.732500000000002</v>
      </c>
      <c r="BM146" s="542">
        <f t="shared" si="122"/>
        <v>68.732500000000002</v>
      </c>
      <c r="BN146" s="542">
        <f t="shared" si="122"/>
        <v>68.732500000000002</v>
      </c>
      <c r="BO146" s="542">
        <f t="shared" si="122"/>
        <v>68.732500000000002</v>
      </c>
      <c r="BP146" s="542">
        <f t="shared" si="122"/>
        <v>68.732500000000002</v>
      </c>
      <c r="BQ146" s="542">
        <f t="shared" si="122"/>
        <v>68.732500000000002</v>
      </c>
      <c r="BR146" s="542">
        <f t="shared" si="122"/>
        <v>68.732500000000002</v>
      </c>
      <c r="BS146" s="542">
        <f t="shared" si="122"/>
        <v>68.732500000000002</v>
      </c>
      <c r="BT146" s="542">
        <f t="shared" si="122"/>
        <v>68.732500000000002</v>
      </c>
      <c r="BU146" s="542">
        <f t="shared" si="122"/>
        <v>68.732500000000002</v>
      </c>
      <c r="BV146" s="542">
        <f t="shared" si="122"/>
        <v>68.732500000000002</v>
      </c>
      <c r="BW146" s="542">
        <f t="shared" si="122"/>
        <v>68.732500000000002</v>
      </c>
      <c r="BX146" s="542">
        <f t="shared" si="122"/>
        <v>68.732500000000002</v>
      </c>
      <c r="BY146" s="542">
        <f t="shared" si="122"/>
        <v>68.732500000000002</v>
      </c>
      <c r="BZ146" s="542">
        <f t="shared" si="122"/>
        <v>68.732500000000002</v>
      </c>
      <c r="CA146" s="542">
        <f t="shared" si="122"/>
        <v>68.732500000000002</v>
      </c>
      <c r="CB146" s="542">
        <f t="shared" si="122"/>
        <v>68.732500000000002</v>
      </c>
      <c r="CC146" s="542">
        <f t="shared" si="122"/>
        <v>68.732500000000002</v>
      </c>
      <c r="CD146" s="542">
        <f t="shared" si="122"/>
        <v>68.732500000000002</v>
      </c>
      <c r="CE146" s="542">
        <f t="shared" si="122"/>
        <v>68.732500000000002</v>
      </c>
      <c r="CG146" s="541">
        <v>68.732500000000002</v>
      </c>
      <c r="CH146" s="541">
        <v>68.732500000000002</v>
      </c>
      <c r="CI146" s="541">
        <v>68.732500000000002</v>
      </c>
      <c r="CJ146" s="541">
        <v>68.732500000000002</v>
      </c>
      <c r="CK146" s="541">
        <v>68.732500000000002</v>
      </c>
      <c r="CL146" s="541">
        <v>68.732500000000002</v>
      </c>
      <c r="CM146" s="541">
        <v>68.732500000000002</v>
      </c>
      <c r="CN146" s="541">
        <v>68.732500000000002</v>
      </c>
      <c r="CO146" s="541">
        <v>68.732500000000002</v>
      </c>
      <c r="CP146" s="541">
        <v>68.732500000000002</v>
      </c>
      <c r="CQ146" s="541">
        <v>68.732500000000002</v>
      </c>
      <c r="CR146" s="541">
        <v>68.732500000000002</v>
      </c>
      <c r="CS146" s="541">
        <v>68.732500000000002</v>
      </c>
      <c r="CT146" s="541">
        <v>68.732500000000002</v>
      </c>
      <c r="CU146" s="541">
        <v>68.732500000000002</v>
      </c>
      <c r="CV146" s="541">
        <v>68.732500000000002</v>
      </c>
      <c r="CW146" s="541">
        <v>68.732500000000002</v>
      </c>
      <c r="CX146" s="541">
        <v>68.732500000000002</v>
      </c>
      <c r="CY146" s="541">
        <v>68.732500000000002</v>
      </c>
      <c r="CZ146" s="541">
        <v>68.732500000000002</v>
      </c>
      <c r="DA146" s="541">
        <v>68.732500000000002</v>
      </c>
      <c r="DB146" s="541">
        <v>68.732500000000002</v>
      </c>
      <c r="DC146" s="541">
        <v>68.732500000000002</v>
      </c>
      <c r="DD146" s="541">
        <v>68.732500000000002</v>
      </c>
      <c r="DE146" s="541">
        <v>68.732500000000002</v>
      </c>
      <c r="DF146" s="541">
        <v>68.732500000000002</v>
      </c>
      <c r="DG146" s="541">
        <v>68.732500000000002</v>
      </c>
      <c r="DH146" s="541">
        <v>68.732500000000002</v>
      </c>
    </row>
    <row r="147" spans="2:112">
      <c r="B147" t="s">
        <v>1030</v>
      </c>
      <c r="C147" t="s">
        <v>747</v>
      </c>
      <c r="D147" t="s">
        <v>915</v>
      </c>
      <c r="E147" t="s">
        <v>911</v>
      </c>
      <c r="F147" s="541">
        <v>2.9310330000000002</v>
      </c>
      <c r="G147" s="541">
        <v>2.9310330000000002</v>
      </c>
      <c r="H147" s="541">
        <v>2.9310330000000002</v>
      </c>
      <c r="I147" s="541">
        <v>2.9310330000000002</v>
      </c>
      <c r="J147" s="541">
        <v>2.9310330000000002</v>
      </c>
      <c r="K147" s="541">
        <v>2.9310330000000002</v>
      </c>
      <c r="L147" s="541">
        <v>2.9310330000000002</v>
      </c>
      <c r="M147" s="541">
        <v>2.9310330000000002</v>
      </c>
      <c r="N147" s="541">
        <v>2.9310330000000002</v>
      </c>
      <c r="O147" s="541">
        <v>2.9310330000000002</v>
      </c>
      <c r="P147" s="541">
        <v>2.9310330000000002</v>
      </c>
      <c r="Q147" s="541">
        <v>2.9310330000000002</v>
      </c>
      <c r="R147" s="541">
        <v>2.9310330000000002</v>
      </c>
      <c r="S147" s="541">
        <v>2.9310330000000002</v>
      </c>
      <c r="T147" s="541">
        <v>2.9310330000000002</v>
      </c>
      <c r="U147" s="541">
        <v>2.9310330000000002</v>
      </c>
      <c r="V147" s="541">
        <v>2.9310330000000002</v>
      </c>
      <c r="W147" s="541">
        <v>2.9310330000000002</v>
      </c>
      <c r="X147" s="541">
        <v>2.9310330000000002</v>
      </c>
      <c r="Y147" s="541">
        <v>2.9310330000000002</v>
      </c>
      <c r="Z147" s="541">
        <v>2.9310330000000002</v>
      </c>
      <c r="AA147" s="541">
        <v>2.9310330000000002</v>
      </c>
      <c r="AB147" s="541">
        <v>2.9310330000000002</v>
      </c>
      <c r="AC147" s="541">
        <v>2.9310330000000002</v>
      </c>
      <c r="AD147" s="541">
        <v>2.9310330000000002</v>
      </c>
      <c r="AE147" s="541">
        <v>2.9310330000000002</v>
      </c>
      <c r="AF147" s="541">
        <v>2.9310330000000002</v>
      </c>
      <c r="AG147" s="541">
        <v>2.9310330000000002</v>
      </c>
      <c r="AH147" s="542">
        <f t="shared" si="123"/>
        <v>2.9310330000000002</v>
      </c>
      <c r="AI147" s="542">
        <f t="shared" si="123"/>
        <v>2.9310330000000002</v>
      </c>
      <c r="AJ147" s="542">
        <f t="shared" si="123"/>
        <v>2.9310330000000002</v>
      </c>
      <c r="AK147" s="542">
        <f t="shared" si="123"/>
        <v>2.9310330000000002</v>
      </c>
      <c r="AL147" s="542">
        <f t="shared" si="123"/>
        <v>2.9310330000000002</v>
      </c>
      <c r="AM147" s="542">
        <f t="shared" si="123"/>
        <v>2.9310330000000002</v>
      </c>
      <c r="AN147" s="542">
        <f t="shared" si="123"/>
        <v>2.9310330000000002</v>
      </c>
      <c r="AO147" s="542">
        <f t="shared" si="123"/>
        <v>2.9310330000000002</v>
      </c>
      <c r="AP147" s="542">
        <f t="shared" si="123"/>
        <v>2.9310330000000002</v>
      </c>
      <c r="AQ147" s="542">
        <f t="shared" si="123"/>
        <v>2.9310330000000002</v>
      </c>
      <c r="AR147" s="542">
        <f t="shared" si="123"/>
        <v>2.9310330000000002</v>
      </c>
      <c r="AS147" s="542">
        <f t="shared" si="123"/>
        <v>2.9310330000000002</v>
      </c>
      <c r="AT147" s="542">
        <f t="shared" si="123"/>
        <v>2.9310330000000002</v>
      </c>
      <c r="AU147" s="542">
        <f t="shared" si="123"/>
        <v>2.9310330000000002</v>
      </c>
      <c r="AV147" s="542">
        <f t="shared" si="123"/>
        <v>2.9310330000000002</v>
      </c>
      <c r="AW147" s="542">
        <f t="shared" si="123"/>
        <v>2.9310330000000002</v>
      </c>
      <c r="AX147" s="542">
        <f t="shared" si="122"/>
        <v>2.9310330000000002</v>
      </c>
      <c r="AY147" s="542">
        <f t="shared" si="122"/>
        <v>2.9310330000000002</v>
      </c>
      <c r="AZ147" s="542">
        <f t="shared" si="122"/>
        <v>2.9310330000000002</v>
      </c>
      <c r="BA147" s="542">
        <f t="shared" si="122"/>
        <v>2.9310330000000002</v>
      </c>
      <c r="BB147" s="542">
        <f t="shared" si="122"/>
        <v>2.9310330000000002</v>
      </c>
      <c r="BC147" s="542">
        <f t="shared" si="122"/>
        <v>2.9310330000000002</v>
      </c>
      <c r="BD147" s="542">
        <f t="shared" si="122"/>
        <v>2.9310330000000002</v>
      </c>
      <c r="BE147" s="542">
        <f t="shared" si="122"/>
        <v>2.9310330000000002</v>
      </c>
      <c r="BF147" s="542">
        <f t="shared" si="122"/>
        <v>2.9310330000000002</v>
      </c>
      <c r="BG147" s="542">
        <f t="shared" si="122"/>
        <v>2.9310330000000002</v>
      </c>
      <c r="BH147" s="542">
        <f t="shared" si="122"/>
        <v>2.9310330000000002</v>
      </c>
      <c r="BI147" s="542">
        <f t="shared" si="122"/>
        <v>2.9310330000000002</v>
      </c>
      <c r="BJ147" s="542">
        <f t="shared" si="122"/>
        <v>2.9310330000000002</v>
      </c>
      <c r="BK147" s="542">
        <f t="shared" si="122"/>
        <v>2.9310330000000002</v>
      </c>
      <c r="BL147" s="542">
        <f t="shared" si="122"/>
        <v>2.9310330000000002</v>
      </c>
      <c r="BM147" s="542">
        <f t="shared" si="122"/>
        <v>2.9310330000000002</v>
      </c>
      <c r="BN147" s="542">
        <f t="shared" si="122"/>
        <v>2.9310330000000002</v>
      </c>
      <c r="BO147" s="542">
        <f t="shared" si="122"/>
        <v>2.9310330000000002</v>
      </c>
      <c r="BP147" s="542">
        <f t="shared" si="122"/>
        <v>2.9310330000000002</v>
      </c>
      <c r="BQ147" s="542">
        <f t="shared" si="122"/>
        <v>2.9310330000000002</v>
      </c>
      <c r="BR147" s="542">
        <f t="shared" si="122"/>
        <v>2.9310330000000002</v>
      </c>
      <c r="BS147" s="542">
        <f t="shared" si="122"/>
        <v>2.9310330000000002</v>
      </c>
      <c r="BT147" s="542">
        <f t="shared" si="122"/>
        <v>2.9310330000000002</v>
      </c>
      <c r="BU147" s="542">
        <f t="shared" si="122"/>
        <v>2.9310330000000002</v>
      </c>
      <c r="BV147" s="542">
        <f t="shared" si="122"/>
        <v>2.9310330000000002</v>
      </c>
      <c r="BW147" s="542">
        <f t="shared" si="122"/>
        <v>2.9310330000000002</v>
      </c>
      <c r="BX147" s="542">
        <f t="shared" si="122"/>
        <v>2.9310330000000002</v>
      </c>
      <c r="BY147" s="542">
        <f t="shared" si="122"/>
        <v>2.9310330000000002</v>
      </c>
      <c r="BZ147" s="542">
        <f t="shared" si="122"/>
        <v>2.9310330000000002</v>
      </c>
      <c r="CA147" s="542">
        <f t="shared" si="122"/>
        <v>2.9310330000000002</v>
      </c>
      <c r="CB147" s="542">
        <f t="shared" si="122"/>
        <v>2.9310330000000002</v>
      </c>
      <c r="CC147" s="542">
        <f t="shared" si="122"/>
        <v>2.9310330000000002</v>
      </c>
      <c r="CD147" s="542">
        <f t="shared" si="122"/>
        <v>2.9310330000000002</v>
      </c>
      <c r="CE147" s="542">
        <f t="shared" si="122"/>
        <v>2.9310330000000002</v>
      </c>
      <c r="CG147" s="541">
        <v>2.9310330000000002</v>
      </c>
      <c r="CH147" s="541">
        <v>2.9310330000000002</v>
      </c>
      <c r="CI147" s="541">
        <v>2.9310330000000002</v>
      </c>
      <c r="CJ147" s="541">
        <v>2.9310330000000002</v>
      </c>
      <c r="CK147" s="541">
        <v>2.9310330000000002</v>
      </c>
      <c r="CL147" s="541">
        <v>2.9310330000000002</v>
      </c>
      <c r="CM147" s="541">
        <v>2.9310330000000002</v>
      </c>
      <c r="CN147" s="541">
        <v>2.9310330000000002</v>
      </c>
      <c r="CO147" s="541">
        <v>2.9310330000000002</v>
      </c>
      <c r="CP147" s="541">
        <v>2.9310330000000002</v>
      </c>
      <c r="CQ147" s="541">
        <v>2.9310330000000002</v>
      </c>
      <c r="CR147" s="541">
        <v>2.9310330000000002</v>
      </c>
      <c r="CS147" s="541">
        <v>2.9310330000000002</v>
      </c>
      <c r="CT147" s="541">
        <v>2.9310330000000002</v>
      </c>
      <c r="CU147" s="541">
        <v>2.9310330000000002</v>
      </c>
      <c r="CV147" s="541">
        <v>2.9310330000000002</v>
      </c>
      <c r="CW147" s="541">
        <v>2.9310330000000002</v>
      </c>
      <c r="CX147" s="541">
        <v>2.9310330000000002</v>
      </c>
      <c r="CY147" s="541">
        <v>2.9310330000000002</v>
      </c>
      <c r="CZ147" s="541">
        <v>2.9310330000000002</v>
      </c>
      <c r="DA147" s="541">
        <v>2.9310330000000002</v>
      </c>
      <c r="DB147" s="541">
        <v>2.9310330000000002</v>
      </c>
      <c r="DC147" s="541">
        <v>2.9310330000000002</v>
      </c>
      <c r="DD147" s="541">
        <v>2.9310330000000002</v>
      </c>
      <c r="DE147" s="541">
        <v>2.9310330000000002</v>
      </c>
      <c r="DF147" s="541">
        <v>2.9310330000000002</v>
      </c>
      <c r="DG147" s="541">
        <v>2.9310330000000002</v>
      </c>
      <c r="DH147" s="541">
        <v>2.9310330000000002</v>
      </c>
    </row>
    <row r="148" spans="2:112">
      <c r="B148" t="s">
        <v>1031</v>
      </c>
      <c r="C148" t="s">
        <v>747</v>
      </c>
      <c r="D148" t="s">
        <v>917</v>
      </c>
      <c r="E148" t="s">
        <v>908</v>
      </c>
      <c r="F148" s="541">
        <v>62.442500000000003</v>
      </c>
      <c r="G148" s="541">
        <v>62.442500000000003</v>
      </c>
      <c r="H148" s="541">
        <v>62.442500000000003</v>
      </c>
      <c r="I148" s="541">
        <v>62.442500000000003</v>
      </c>
      <c r="J148" s="541">
        <v>62.442500000000003</v>
      </c>
      <c r="K148" s="541">
        <v>62.442500000000003</v>
      </c>
      <c r="L148" s="541">
        <v>62.442500000000003</v>
      </c>
      <c r="M148" s="541">
        <v>62.442500000000003</v>
      </c>
      <c r="N148" s="541">
        <v>62.442500000000003</v>
      </c>
      <c r="O148" s="541">
        <v>62.442500000000003</v>
      </c>
      <c r="P148" s="541">
        <v>62.442500000000003</v>
      </c>
      <c r="Q148" s="541">
        <v>62.442500000000003</v>
      </c>
      <c r="R148" s="541">
        <v>62.442500000000003</v>
      </c>
      <c r="S148" s="541">
        <v>62.442500000000003</v>
      </c>
      <c r="T148" s="541">
        <v>62.442500000000003</v>
      </c>
      <c r="U148" s="541">
        <v>62.442500000000003</v>
      </c>
      <c r="V148" s="541">
        <v>62.442500000000003</v>
      </c>
      <c r="W148" s="541">
        <v>62.442500000000003</v>
      </c>
      <c r="X148" s="541">
        <v>62.442500000000003</v>
      </c>
      <c r="Y148" s="541">
        <v>62.442500000000003</v>
      </c>
      <c r="Z148" s="541">
        <v>62.442500000000003</v>
      </c>
      <c r="AA148" s="541">
        <v>62.442500000000003</v>
      </c>
      <c r="AB148" s="541">
        <v>62.442500000000003</v>
      </c>
      <c r="AC148" s="541">
        <v>62.442500000000003</v>
      </c>
      <c r="AD148" s="541">
        <v>62.442500000000003</v>
      </c>
      <c r="AE148" s="541">
        <v>62.442500000000003</v>
      </c>
      <c r="AF148" s="541">
        <v>62.442500000000003</v>
      </c>
      <c r="AG148" s="541">
        <v>62.442500000000003</v>
      </c>
      <c r="AH148" s="542">
        <f t="shared" si="123"/>
        <v>62.442500000000003</v>
      </c>
      <c r="AI148" s="542">
        <f t="shared" si="123"/>
        <v>62.442500000000003</v>
      </c>
      <c r="AJ148" s="542">
        <f t="shared" si="123"/>
        <v>62.442500000000003</v>
      </c>
      <c r="AK148" s="542">
        <f t="shared" si="123"/>
        <v>62.442500000000003</v>
      </c>
      <c r="AL148" s="542">
        <f t="shared" si="123"/>
        <v>62.442500000000003</v>
      </c>
      <c r="AM148" s="542">
        <f t="shared" si="123"/>
        <v>62.442500000000003</v>
      </c>
      <c r="AN148" s="542">
        <f t="shared" si="123"/>
        <v>62.442500000000003</v>
      </c>
      <c r="AO148" s="542">
        <f t="shared" si="123"/>
        <v>62.442500000000003</v>
      </c>
      <c r="AP148" s="542">
        <f t="shared" si="123"/>
        <v>62.442500000000003</v>
      </c>
      <c r="AQ148" s="542">
        <f t="shared" si="123"/>
        <v>62.442500000000003</v>
      </c>
      <c r="AR148" s="542">
        <f t="shared" si="123"/>
        <v>62.442500000000003</v>
      </c>
      <c r="AS148" s="542">
        <f t="shared" si="123"/>
        <v>62.442500000000003</v>
      </c>
      <c r="AT148" s="542">
        <f t="shared" si="123"/>
        <v>62.442500000000003</v>
      </c>
      <c r="AU148" s="542">
        <f t="shared" si="123"/>
        <v>62.442500000000003</v>
      </c>
      <c r="AV148" s="542">
        <f t="shared" si="123"/>
        <v>62.442500000000003</v>
      </c>
      <c r="AW148" s="542">
        <f t="shared" si="123"/>
        <v>62.442500000000003</v>
      </c>
      <c r="AX148" s="542">
        <f t="shared" si="122"/>
        <v>62.442500000000003</v>
      </c>
      <c r="AY148" s="542">
        <f t="shared" si="122"/>
        <v>62.442500000000003</v>
      </c>
      <c r="AZ148" s="542">
        <f t="shared" si="122"/>
        <v>62.442500000000003</v>
      </c>
      <c r="BA148" s="542">
        <f t="shared" si="122"/>
        <v>62.442500000000003</v>
      </c>
      <c r="BB148" s="542">
        <f t="shared" si="122"/>
        <v>62.442500000000003</v>
      </c>
      <c r="BC148" s="542">
        <f t="shared" si="122"/>
        <v>62.442500000000003</v>
      </c>
      <c r="BD148" s="542">
        <f t="shared" si="122"/>
        <v>62.442500000000003</v>
      </c>
      <c r="BE148" s="542">
        <f t="shared" si="122"/>
        <v>62.442500000000003</v>
      </c>
      <c r="BF148" s="542">
        <f t="shared" si="122"/>
        <v>62.442500000000003</v>
      </c>
      <c r="BG148" s="542">
        <f t="shared" si="122"/>
        <v>62.442500000000003</v>
      </c>
      <c r="BH148" s="542">
        <f t="shared" si="122"/>
        <v>62.442500000000003</v>
      </c>
      <c r="BI148" s="542">
        <f t="shared" si="122"/>
        <v>62.442500000000003</v>
      </c>
      <c r="BJ148" s="542">
        <f t="shared" si="122"/>
        <v>62.442500000000003</v>
      </c>
      <c r="BK148" s="542">
        <f t="shared" si="122"/>
        <v>62.442500000000003</v>
      </c>
      <c r="BL148" s="542">
        <f t="shared" si="122"/>
        <v>62.442500000000003</v>
      </c>
      <c r="BM148" s="542">
        <f t="shared" si="122"/>
        <v>62.442500000000003</v>
      </c>
      <c r="BN148" s="542">
        <f t="shared" si="122"/>
        <v>62.442500000000003</v>
      </c>
      <c r="BO148" s="542">
        <f t="shared" si="122"/>
        <v>62.442500000000003</v>
      </c>
      <c r="BP148" s="542">
        <f t="shared" si="122"/>
        <v>62.442500000000003</v>
      </c>
      <c r="BQ148" s="542">
        <f t="shared" si="122"/>
        <v>62.442500000000003</v>
      </c>
      <c r="BR148" s="542">
        <f t="shared" si="122"/>
        <v>62.442500000000003</v>
      </c>
      <c r="BS148" s="542">
        <f t="shared" si="122"/>
        <v>62.442500000000003</v>
      </c>
      <c r="BT148" s="542">
        <f t="shared" si="122"/>
        <v>62.442500000000003</v>
      </c>
      <c r="BU148" s="542">
        <f t="shared" si="122"/>
        <v>62.442500000000003</v>
      </c>
      <c r="BV148" s="542">
        <f t="shared" si="122"/>
        <v>62.442500000000003</v>
      </c>
      <c r="BW148" s="542">
        <f t="shared" si="122"/>
        <v>62.442500000000003</v>
      </c>
      <c r="BX148" s="542">
        <f t="shared" si="122"/>
        <v>62.442500000000003</v>
      </c>
      <c r="BY148" s="542">
        <f t="shared" si="122"/>
        <v>62.442500000000003</v>
      </c>
      <c r="BZ148" s="542">
        <f t="shared" si="122"/>
        <v>62.442500000000003</v>
      </c>
      <c r="CA148" s="542">
        <f t="shared" si="122"/>
        <v>62.442500000000003</v>
      </c>
      <c r="CB148" s="542">
        <f t="shared" si="122"/>
        <v>62.442500000000003</v>
      </c>
      <c r="CC148" s="542">
        <f t="shared" si="122"/>
        <v>62.442500000000003</v>
      </c>
      <c r="CD148" s="542">
        <f t="shared" si="122"/>
        <v>62.442500000000003</v>
      </c>
      <c r="CE148" s="542">
        <f t="shared" si="122"/>
        <v>62.442500000000003</v>
      </c>
      <c r="CG148" s="541">
        <v>62.442500000000003</v>
      </c>
      <c r="CH148" s="541">
        <v>62.442500000000003</v>
      </c>
      <c r="CI148" s="541">
        <v>62.442500000000003</v>
      </c>
      <c r="CJ148" s="541">
        <v>62.442500000000003</v>
      </c>
      <c r="CK148" s="541">
        <v>62.442500000000003</v>
      </c>
      <c r="CL148" s="541">
        <v>62.442500000000003</v>
      </c>
      <c r="CM148" s="541">
        <v>62.442500000000003</v>
      </c>
      <c r="CN148" s="541">
        <v>62.442500000000003</v>
      </c>
      <c r="CO148" s="541">
        <v>62.442500000000003</v>
      </c>
      <c r="CP148" s="541">
        <v>62.442500000000003</v>
      </c>
      <c r="CQ148" s="541">
        <v>62.442500000000003</v>
      </c>
      <c r="CR148" s="541">
        <v>62.442500000000003</v>
      </c>
      <c r="CS148" s="541">
        <v>62.442500000000003</v>
      </c>
      <c r="CT148" s="541">
        <v>62.442500000000003</v>
      </c>
      <c r="CU148" s="541">
        <v>62.442500000000003</v>
      </c>
      <c r="CV148" s="541">
        <v>62.442500000000003</v>
      </c>
      <c r="CW148" s="541">
        <v>62.442500000000003</v>
      </c>
      <c r="CX148" s="541">
        <v>62.442500000000003</v>
      </c>
      <c r="CY148" s="541">
        <v>62.442500000000003</v>
      </c>
      <c r="CZ148" s="541">
        <v>62.442500000000003</v>
      </c>
      <c r="DA148" s="541">
        <v>62.442500000000003</v>
      </c>
      <c r="DB148" s="541">
        <v>62.442500000000003</v>
      </c>
      <c r="DC148" s="541">
        <v>62.442500000000003</v>
      </c>
      <c r="DD148" s="541">
        <v>62.442500000000003</v>
      </c>
      <c r="DE148" s="541">
        <v>62.442500000000003</v>
      </c>
      <c r="DF148" s="541">
        <v>62.442500000000003</v>
      </c>
      <c r="DG148" s="541">
        <v>62.442500000000003</v>
      </c>
      <c r="DH148" s="541">
        <v>62.442500000000003</v>
      </c>
    </row>
    <row r="149" spans="2:112">
      <c r="B149" t="s">
        <v>1032</v>
      </c>
      <c r="C149" t="s">
        <v>747</v>
      </c>
      <c r="D149" t="s">
        <v>919</v>
      </c>
      <c r="E149" t="s">
        <v>911</v>
      </c>
      <c r="F149" s="541">
        <v>2.8681329999999998</v>
      </c>
      <c r="G149" s="541">
        <v>2.8681329999999998</v>
      </c>
      <c r="H149" s="541">
        <v>2.8681329999999998</v>
      </c>
      <c r="I149" s="541">
        <v>2.8681329999999998</v>
      </c>
      <c r="J149" s="541">
        <v>2.8681329999999998</v>
      </c>
      <c r="K149" s="541">
        <v>2.8681329999999998</v>
      </c>
      <c r="L149" s="541">
        <v>2.8681329999999998</v>
      </c>
      <c r="M149" s="541">
        <v>2.8681329999999998</v>
      </c>
      <c r="N149" s="541">
        <v>2.8681329999999998</v>
      </c>
      <c r="O149" s="541">
        <v>2.8681329999999998</v>
      </c>
      <c r="P149" s="541">
        <v>2.8681329999999998</v>
      </c>
      <c r="Q149" s="541">
        <v>2.8681329999999998</v>
      </c>
      <c r="R149" s="541">
        <v>2.8681329999999998</v>
      </c>
      <c r="S149" s="541">
        <v>2.8681329999999998</v>
      </c>
      <c r="T149" s="541">
        <v>2.8681329999999998</v>
      </c>
      <c r="U149" s="541">
        <v>2.8681329999999998</v>
      </c>
      <c r="V149" s="541">
        <v>2.8681329999999998</v>
      </c>
      <c r="W149" s="541">
        <v>2.8681329999999998</v>
      </c>
      <c r="X149" s="541">
        <v>2.8681329999999998</v>
      </c>
      <c r="Y149" s="541">
        <v>2.8681329999999998</v>
      </c>
      <c r="Z149" s="541">
        <v>2.8681329999999998</v>
      </c>
      <c r="AA149" s="541">
        <v>2.8681329999999998</v>
      </c>
      <c r="AB149" s="541">
        <v>2.8681329999999998</v>
      </c>
      <c r="AC149" s="541">
        <v>2.8681329999999998</v>
      </c>
      <c r="AD149" s="541">
        <v>2.8681329999999998</v>
      </c>
      <c r="AE149" s="541">
        <v>2.8681329999999998</v>
      </c>
      <c r="AF149" s="541">
        <v>2.8681329999999998</v>
      </c>
      <c r="AG149" s="541">
        <v>2.8681329999999998</v>
      </c>
      <c r="AH149" s="542">
        <f t="shared" si="123"/>
        <v>2.8681329999999998</v>
      </c>
      <c r="AI149" s="542">
        <f t="shared" si="123"/>
        <v>2.8681329999999998</v>
      </c>
      <c r="AJ149" s="542">
        <f t="shared" si="123"/>
        <v>2.8681329999999998</v>
      </c>
      <c r="AK149" s="542">
        <f t="shared" si="123"/>
        <v>2.8681329999999998</v>
      </c>
      <c r="AL149" s="542">
        <f t="shared" si="123"/>
        <v>2.8681329999999998</v>
      </c>
      <c r="AM149" s="542">
        <f t="shared" si="123"/>
        <v>2.8681329999999998</v>
      </c>
      <c r="AN149" s="542">
        <f t="shared" si="123"/>
        <v>2.8681329999999998</v>
      </c>
      <c r="AO149" s="542">
        <f t="shared" si="123"/>
        <v>2.8681329999999998</v>
      </c>
      <c r="AP149" s="542">
        <f t="shared" si="123"/>
        <v>2.8681329999999998</v>
      </c>
      <c r="AQ149" s="542">
        <f t="shared" si="123"/>
        <v>2.8681329999999998</v>
      </c>
      <c r="AR149" s="542">
        <f t="shared" si="123"/>
        <v>2.8681329999999998</v>
      </c>
      <c r="AS149" s="542">
        <f t="shared" si="123"/>
        <v>2.8681329999999998</v>
      </c>
      <c r="AT149" s="542">
        <f t="shared" si="123"/>
        <v>2.8681329999999998</v>
      </c>
      <c r="AU149" s="542">
        <f t="shared" si="123"/>
        <v>2.8681329999999998</v>
      </c>
      <c r="AV149" s="542">
        <f t="shared" si="123"/>
        <v>2.8681329999999998</v>
      </c>
      <c r="AW149" s="542">
        <f t="shared" si="123"/>
        <v>2.8681329999999998</v>
      </c>
      <c r="AX149" s="542">
        <f t="shared" si="122"/>
        <v>2.8681329999999998</v>
      </c>
      <c r="AY149" s="542">
        <f t="shared" si="122"/>
        <v>2.8681329999999998</v>
      </c>
      <c r="AZ149" s="542">
        <f t="shared" si="122"/>
        <v>2.8681329999999998</v>
      </c>
      <c r="BA149" s="542">
        <f t="shared" si="122"/>
        <v>2.8681329999999998</v>
      </c>
      <c r="BB149" s="542">
        <f t="shared" si="122"/>
        <v>2.8681329999999998</v>
      </c>
      <c r="BC149" s="542">
        <f t="shared" si="122"/>
        <v>2.8681329999999998</v>
      </c>
      <c r="BD149" s="542">
        <f t="shared" si="122"/>
        <v>2.8681329999999998</v>
      </c>
      <c r="BE149" s="542">
        <f t="shared" si="122"/>
        <v>2.8681329999999998</v>
      </c>
      <c r="BF149" s="542">
        <f t="shared" si="122"/>
        <v>2.8681329999999998</v>
      </c>
      <c r="BG149" s="542">
        <f t="shared" si="122"/>
        <v>2.8681329999999998</v>
      </c>
      <c r="BH149" s="542">
        <f t="shared" si="122"/>
        <v>2.8681329999999998</v>
      </c>
      <c r="BI149" s="542">
        <f t="shared" si="122"/>
        <v>2.8681329999999998</v>
      </c>
      <c r="BJ149" s="542">
        <f t="shared" si="122"/>
        <v>2.8681329999999998</v>
      </c>
      <c r="BK149" s="542">
        <f t="shared" si="122"/>
        <v>2.8681329999999998</v>
      </c>
      <c r="BL149" s="542">
        <f t="shared" si="122"/>
        <v>2.8681329999999998</v>
      </c>
      <c r="BM149" s="542">
        <f t="shared" si="122"/>
        <v>2.8681329999999998</v>
      </c>
      <c r="BN149" s="542">
        <f t="shared" si="122"/>
        <v>2.8681329999999998</v>
      </c>
      <c r="BO149" s="542">
        <f t="shared" si="122"/>
        <v>2.8681329999999998</v>
      </c>
      <c r="BP149" s="542">
        <f t="shared" si="122"/>
        <v>2.8681329999999998</v>
      </c>
      <c r="BQ149" s="542">
        <f t="shared" si="122"/>
        <v>2.8681329999999998</v>
      </c>
      <c r="BR149" s="542">
        <f t="shared" si="122"/>
        <v>2.8681329999999998</v>
      </c>
      <c r="BS149" s="542">
        <f t="shared" si="122"/>
        <v>2.8681329999999998</v>
      </c>
      <c r="BT149" s="542">
        <f t="shared" si="122"/>
        <v>2.8681329999999998</v>
      </c>
      <c r="BU149" s="542">
        <f t="shared" si="122"/>
        <v>2.8681329999999998</v>
      </c>
      <c r="BV149" s="542">
        <f t="shared" si="122"/>
        <v>2.8681329999999998</v>
      </c>
      <c r="BW149" s="542">
        <f t="shared" si="122"/>
        <v>2.8681329999999998</v>
      </c>
      <c r="BX149" s="542">
        <f t="shared" si="122"/>
        <v>2.8681329999999998</v>
      </c>
      <c r="BY149" s="542">
        <f t="shared" si="122"/>
        <v>2.8681329999999998</v>
      </c>
      <c r="BZ149" s="542">
        <f t="shared" si="122"/>
        <v>2.8681329999999998</v>
      </c>
      <c r="CA149" s="542">
        <f t="shared" si="122"/>
        <v>2.8681329999999998</v>
      </c>
      <c r="CB149" s="542">
        <f t="shared" si="122"/>
        <v>2.8681329999999998</v>
      </c>
      <c r="CC149" s="542">
        <f t="shared" si="122"/>
        <v>2.8681329999999998</v>
      </c>
      <c r="CD149" s="542">
        <f t="shared" si="122"/>
        <v>2.8681329999999998</v>
      </c>
      <c r="CE149" s="542">
        <f t="shared" si="122"/>
        <v>2.8681329999999998</v>
      </c>
      <c r="CG149" s="541">
        <v>2.8681329999999998</v>
      </c>
      <c r="CH149" s="541">
        <v>2.8681329999999998</v>
      </c>
      <c r="CI149" s="541">
        <v>2.8681329999999998</v>
      </c>
      <c r="CJ149" s="541">
        <v>2.8681329999999998</v>
      </c>
      <c r="CK149" s="541">
        <v>2.8681329999999998</v>
      </c>
      <c r="CL149" s="541">
        <v>2.8681329999999998</v>
      </c>
      <c r="CM149" s="541">
        <v>2.8681329999999998</v>
      </c>
      <c r="CN149" s="541">
        <v>2.8681329999999998</v>
      </c>
      <c r="CO149" s="541">
        <v>2.8681329999999998</v>
      </c>
      <c r="CP149" s="541">
        <v>2.8681329999999998</v>
      </c>
      <c r="CQ149" s="541">
        <v>2.8681329999999998</v>
      </c>
      <c r="CR149" s="541">
        <v>2.8681329999999998</v>
      </c>
      <c r="CS149" s="541">
        <v>2.8681329999999998</v>
      </c>
      <c r="CT149" s="541">
        <v>2.8681329999999998</v>
      </c>
      <c r="CU149" s="541">
        <v>2.8681329999999998</v>
      </c>
      <c r="CV149" s="541">
        <v>2.8681329999999998</v>
      </c>
      <c r="CW149" s="541">
        <v>2.8681329999999998</v>
      </c>
      <c r="CX149" s="541">
        <v>2.8681329999999998</v>
      </c>
      <c r="CY149" s="541">
        <v>2.8681329999999998</v>
      </c>
      <c r="CZ149" s="541">
        <v>2.8681329999999998</v>
      </c>
      <c r="DA149" s="541">
        <v>2.8681329999999998</v>
      </c>
      <c r="DB149" s="541">
        <v>2.8681329999999998</v>
      </c>
      <c r="DC149" s="541">
        <v>2.8681329999999998</v>
      </c>
      <c r="DD149" s="541">
        <v>2.8681329999999998</v>
      </c>
      <c r="DE149" s="541">
        <v>2.8681329999999998</v>
      </c>
      <c r="DF149" s="541">
        <v>2.8681329999999998</v>
      </c>
      <c r="DG149" s="541">
        <v>2.8681329999999998</v>
      </c>
      <c r="DH149" s="541">
        <v>2.8681329999999998</v>
      </c>
    </row>
    <row r="150" spans="2:112">
      <c r="B150" t="s">
        <v>1033</v>
      </c>
      <c r="C150" t="s">
        <v>747</v>
      </c>
      <c r="D150" t="s">
        <v>921</v>
      </c>
      <c r="E150" t="s">
        <v>908</v>
      </c>
      <c r="F150" s="541">
        <v>64.772499999999994</v>
      </c>
      <c r="G150" s="541">
        <v>64.772499999999994</v>
      </c>
      <c r="H150" s="541">
        <v>64.772499999999994</v>
      </c>
      <c r="I150" s="541">
        <v>64.772499999999994</v>
      </c>
      <c r="J150" s="541">
        <v>64.772499999999994</v>
      </c>
      <c r="K150" s="541">
        <v>64.772499999999994</v>
      </c>
      <c r="L150" s="541">
        <v>64.772499999999994</v>
      </c>
      <c r="M150" s="541">
        <v>64.772499999999994</v>
      </c>
      <c r="N150" s="541">
        <v>64.772499999999994</v>
      </c>
      <c r="O150" s="541">
        <v>64.772499999999994</v>
      </c>
      <c r="P150" s="541">
        <v>64.772499999999994</v>
      </c>
      <c r="Q150" s="541">
        <v>64.772499999999994</v>
      </c>
      <c r="R150" s="541">
        <v>64.772499999999994</v>
      </c>
      <c r="S150" s="541">
        <v>64.772499999999994</v>
      </c>
      <c r="T150" s="541">
        <v>64.772499999999994</v>
      </c>
      <c r="U150" s="541">
        <v>64.772499999999994</v>
      </c>
      <c r="V150" s="541">
        <v>64.772499999999994</v>
      </c>
      <c r="W150" s="541">
        <v>64.772499999999994</v>
      </c>
      <c r="X150" s="541">
        <v>64.772499999999994</v>
      </c>
      <c r="Y150" s="541">
        <v>64.772499999999994</v>
      </c>
      <c r="Z150" s="541">
        <v>64.772499999999994</v>
      </c>
      <c r="AA150" s="541">
        <v>64.772499999999994</v>
      </c>
      <c r="AB150" s="541">
        <v>64.772499999999994</v>
      </c>
      <c r="AC150" s="541">
        <v>64.772499999999994</v>
      </c>
      <c r="AD150" s="541">
        <v>64.772499999999994</v>
      </c>
      <c r="AE150" s="541">
        <v>64.772499999999994</v>
      </c>
      <c r="AF150" s="541">
        <v>64.772499999999994</v>
      </c>
      <c r="AG150" s="541">
        <v>64.772499999999994</v>
      </c>
      <c r="AH150" s="542">
        <f t="shared" si="123"/>
        <v>64.772499999999994</v>
      </c>
      <c r="AI150" s="542">
        <f t="shared" si="123"/>
        <v>64.772499999999994</v>
      </c>
      <c r="AJ150" s="542">
        <f t="shared" si="123"/>
        <v>64.772499999999994</v>
      </c>
      <c r="AK150" s="542">
        <f t="shared" si="123"/>
        <v>64.772499999999994</v>
      </c>
      <c r="AL150" s="542">
        <f t="shared" si="123"/>
        <v>64.772499999999994</v>
      </c>
      <c r="AM150" s="542">
        <f t="shared" si="123"/>
        <v>64.772499999999994</v>
      </c>
      <c r="AN150" s="542">
        <f t="shared" si="123"/>
        <v>64.772499999999994</v>
      </c>
      <c r="AO150" s="542">
        <f t="shared" si="123"/>
        <v>64.772499999999994</v>
      </c>
      <c r="AP150" s="542">
        <f t="shared" si="123"/>
        <v>64.772499999999994</v>
      </c>
      <c r="AQ150" s="542">
        <f t="shared" si="123"/>
        <v>64.772499999999994</v>
      </c>
      <c r="AR150" s="542">
        <f t="shared" si="123"/>
        <v>64.772499999999994</v>
      </c>
      <c r="AS150" s="542">
        <f t="shared" si="123"/>
        <v>64.772499999999994</v>
      </c>
      <c r="AT150" s="542">
        <f t="shared" si="123"/>
        <v>64.772499999999994</v>
      </c>
      <c r="AU150" s="542">
        <f t="shared" si="123"/>
        <v>64.772499999999994</v>
      </c>
      <c r="AV150" s="542">
        <f t="shared" si="123"/>
        <v>64.772499999999994</v>
      </c>
      <c r="AW150" s="542">
        <f t="shared" si="123"/>
        <v>64.772499999999994</v>
      </c>
      <c r="AX150" s="542">
        <f t="shared" si="122"/>
        <v>64.772499999999994</v>
      </c>
      <c r="AY150" s="542">
        <f t="shared" si="122"/>
        <v>64.772499999999994</v>
      </c>
      <c r="AZ150" s="542">
        <f t="shared" si="122"/>
        <v>64.772499999999994</v>
      </c>
      <c r="BA150" s="542">
        <f t="shared" si="122"/>
        <v>64.772499999999994</v>
      </c>
      <c r="BB150" s="542">
        <f t="shared" si="122"/>
        <v>64.772499999999994</v>
      </c>
      <c r="BC150" s="542">
        <f t="shared" si="122"/>
        <v>64.772499999999994</v>
      </c>
      <c r="BD150" s="542">
        <f t="shared" si="122"/>
        <v>64.772499999999994</v>
      </c>
      <c r="BE150" s="542">
        <f t="shared" si="122"/>
        <v>64.772499999999994</v>
      </c>
      <c r="BF150" s="542">
        <f t="shared" si="122"/>
        <v>64.772499999999994</v>
      </c>
      <c r="BG150" s="542">
        <f t="shared" si="122"/>
        <v>64.772499999999994</v>
      </c>
      <c r="BH150" s="542">
        <f t="shared" si="122"/>
        <v>64.772499999999994</v>
      </c>
      <c r="BI150" s="542">
        <f t="shared" si="122"/>
        <v>64.772499999999994</v>
      </c>
      <c r="BJ150" s="542">
        <f t="shared" si="122"/>
        <v>64.772499999999994</v>
      </c>
      <c r="BK150" s="542">
        <f t="shared" si="122"/>
        <v>64.772499999999994</v>
      </c>
      <c r="BL150" s="542">
        <f t="shared" si="122"/>
        <v>64.772499999999994</v>
      </c>
      <c r="BM150" s="542">
        <f t="shared" si="122"/>
        <v>64.772499999999994</v>
      </c>
      <c r="BN150" s="542">
        <f t="shared" si="122"/>
        <v>64.772499999999994</v>
      </c>
      <c r="BO150" s="542">
        <f t="shared" si="122"/>
        <v>64.772499999999994</v>
      </c>
      <c r="BP150" s="542">
        <f t="shared" si="122"/>
        <v>64.772499999999994</v>
      </c>
      <c r="BQ150" s="542">
        <f t="shared" si="122"/>
        <v>64.772499999999994</v>
      </c>
      <c r="BR150" s="542">
        <f t="shared" si="122"/>
        <v>64.772499999999994</v>
      </c>
      <c r="BS150" s="542">
        <f t="shared" si="122"/>
        <v>64.772499999999994</v>
      </c>
      <c r="BT150" s="542">
        <f t="shared" si="122"/>
        <v>64.772499999999994</v>
      </c>
      <c r="BU150" s="542">
        <f t="shared" si="122"/>
        <v>64.772499999999994</v>
      </c>
      <c r="BV150" s="542">
        <f t="shared" si="122"/>
        <v>64.772499999999994</v>
      </c>
      <c r="BW150" s="542">
        <f t="shared" si="122"/>
        <v>64.772499999999994</v>
      </c>
      <c r="BX150" s="542">
        <f t="shared" si="122"/>
        <v>64.772499999999994</v>
      </c>
      <c r="BY150" s="542">
        <f t="shared" si="122"/>
        <v>64.772499999999994</v>
      </c>
      <c r="BZ150" s="542">
        <f t="shared" si="122"/>
        <v>64.772499999999994</v>
      </c>
      <c r="CA150" s="542">
        <f t="shared" si="122"/>
        <v>64.772499999999994</v>
      </c>
      <c r="CB150" s="542">
        <f t="shared" si="122"/>
        <v>64.772499999999994</v>
      </c>
      <c r="CC150" s="542">
        <f t="shared" si="122"/>
        <v>64.772499999999994</v>
      </c>
      <c r="CD150" s="542">
        <f t="shared" si="122"/>
        <v>64.772499999999994</v>
      </c>
      <c r="CE150" s="542">
        <f t="shared" si="122"/>
        <v>64.772499999999994</v>
      </c>
      <c r="CG150" s="541">
        <v>64.772499999999994</v>
      </c>
      <c r="CH150" s="541">
        <v>64.772499999999994</v>
      </c>
      <c r="CI150" s="541">
        <v>64.772499999999994</v>
      </c>
      <c r="CJ150" s="541">
        <v>64.772499999999994</v>
      </c>
      <c r="CK150" s="541">
        <v>64.772499999999994</v>
      </c>
      <c r="CL150" s="541">
        <v>64.772499999999994</v>
      </c>
      <c r="CM150" s="541">
        <v>64.772499999999994</v>
      </c>
      <c r="CN150" s="541">
        <v>64.772499999999994</v>
      </c>
      <c r="CO150" s="541">
        <v>64.772499999999994</v>
      </c>
      <c r="CP150" s="541">
        <v>64.772499999999994</v>
      </c>
      <c r="CQ150" s="541">
        <v>64.772499999999994</v>
      </c>
      <c r="CR150" s="541">
        <v>64.772499999999994</v>
      </c>
      <c r="CS150" s="541">
        <v>64.772499999999994</v>
      </c>
      <c r="CT150" s="541">
        <v>64.772499999999994</v>
      </c>
      <c r="CU150" s="541">
        <v>64.772499999999994</v>
      </c>
      <c r="CV150" s="541">
        <v>64.772499999999994</v>
      </c>
      <c r="CW150" s="541">
        <v>64.772499999999994</v>
      </c>
      <c r="CX150" s="541">
        <v>64.772499999999994</v>
      </c>
      <c r="CY150" s="541">
        <v>64.772499999999994</v>
      </c>
      <c r="CZ150" s="541">
        <v>64.772499999999994</v>
      </c>
      <c r="DA150" s="541">
        <v>64.772499999999994</v>
      </c>
      <c r="DB150" s="541">
        <v>64.772499999999994</v>
      </c>
      <c r="DC150" s="541">
        <v>64.772499999999994</v>
      </c>
      <c r="DD150" s="541">
        <v>64.772499999999994</v>
      </c>
      <c r="DE150" s="541">
        <v>64.772499999999994</v>
      </c>
      <c r="DF150" s="541">
        <v>64.772499999999994</v>
      </c>
      <c r="DG150" s="541">
        <v>64.772499999999994</v>
      </c>
      <c r="DH150" s="541">
        <v>64.772499999999994</v>
      </c>
    </row>
    <row r="151" spans="2:112">
      <c r="B151" t="s">
        <v>1034</v>
      </c>
      <c r="C151" t="s">
        <v>747</v>
      </c>
      <c r="D151" t="s">
        <v>923</v>
      </c>
      <c r="E151" t="s">
        <v>911</v>
      </c>
      <c r="F151" s="541">
        <v>2.8914330000000001</v>
      </c>
      <c r="G151" s="541">
        <v>2.8914330000000001</v>
      </c>
      <c r="H151" s="541">
        <v>2.8914330000000001</v>
      </c>
      <c r="I151" s="541">
        <v>2.8914330000000001</v>
      </c>
      <c r="J151" s="541">
        <v>2.8914330000000001</v>
      </c>
      <c r="K151" s="541">
        <v>2.8914330000000001</v>
      </c>
      <c r="L151" s="541">
        <v>2.8914330000000001</v>
      </c>
      <c r="M151" s="541">
        <v>2.8914330000000001</v>
      </c>
      <c r="N151" s="541">
        <v>2.8914330000000001</v>
      </c>
      <c r="O151" s="541">
        <v>2.8914330000000001</v>
      </c>
      <c r="P151" s="541">
        <v>2.8914330000000001</v>
      </c>
      <c r="Q151" s="541">
        <v>2.8914330000000001</v>
      </c>
      <c r="R151" s="541">
        <v>2.8914330000000001</v>
      </c>
      <c r="S151" s="541">
        <v>2.8914330000000001</v>
      </c>
      <c r="T151" s="541">
        <v>2.8914330000000001</v>
      </c>
      <c r="U151" s="541">
        <v>2.8914330000000001</v>
      </c>
      <c r="V151" s="541">
        <v>2.8914330000000001</v>
      </c>
      <c r="W151" s="541">
        <v>2.8914330000000001</v>
      </c>
      <c r="X151" s="541">
        <v>2.8914330000000001</v>
      </c>
      <c r="Y151" s="541">
        <v>2.8914330000000001</v>
      </c>
      <c r="Z151" s="541">
        <v>2.8914330000000001</v>
      </c>
      <c r="AA151" s="541">
        <v>2.8914330000000001</v>
      </c>
      <c r="AB151" s="541">
        <v>2.8914330000000001</v>
      </c>
      <c r="AC151" s="541">
        <v>2.8914330000000001</v>
      </c>
      <c r="AD151" s="541">
        <v>2.8914330000000001</v>
      </c>
      <c r="AE151" s="541">
        <v>2.8914330000000001</v>
      </c>
      <c r="AF151" s="541">
        <v>2.8914330000000001</v>
      </c>
      <c r="AG151" s="541">
        <v>2.8914330000000001</v>
      </c>
      <c r="AH151" s="542">
        <f t="shared" si="123"/>
        <v>2.8914330000000001</v>
      </c>
      <c r="AI151" s="542">
        <f t="shared" si="123"/>
        <v>2.8914330000000001</v>
      </c>
      <c r="AJ151" s="542">
        <f t="shared" si="123"/>
        <v>2.8914330000000001</v>
      </c>
      <c r="AK151" s="542">
        <f t="shared" si="123"/>
        <v>2.8914330000000001</v>
      </c>
      <c r="AL151" s="542">
        <f t="shared" si="123"/>
        <v>2.8914330000000001</v>
      </c>
      <c r="AM151" s="542">
        <f t="shared" si="123"/>
        <v>2.8914330000000001</v>
      </c>
      <c r="AN151" s="542">
        <f t="shared" si="123"/>
        <v>2.8914330000000001</v>
      </c>
      <c r="AO151" s="542">
        <f t="shared" si="123"/>
        <v>2.8914330000000001</v>
      </c>
      <c r="AP151" s="542">
        <f t="shared" si="123"/>
        <v>2.8914330000000001</v>
      </c>
      <c r="AQ151" s="542">
        <f t="shared" si="123"/>
        <v>2.8914330000000001</v>
      </c>
      <c r="AR151" s="542">
        <f t="shared" si="123"/>
        <v>2.8914330000000001</v>
      </c>
      <c r="AS151" s="542">
        <f t="shared" si="123"/>
        <v>2.8914330000000001</v>
      </c>
      <c r="AT151" s="542">
        <f t="shared" si="123"/>
        <v>2.8914330000000001</v>
      </c>
      <c r="AU151" s="542">
        <f t="shared" si="123"/>
        <v>2.8914330000000001</v>
      </c>
      <c r="AV151" s="542">
        <f t="shared" si="123"/>
        <v>2.8914330000000001</v>
      </c>
      <c r="AW151" s="542">
        <f t="shared" si="123"/>
        <v>2.8914330000000001</v>
      </c>
      <c r="AX151" s="542">
        <f t="shared" si="122"/>
        <v>2.8914330000000001</v>
      </c>
      <c r="AY151" s="542">
        <f t="shared" si="122"/>
        <v>2.8914330000000001</v>
      </c>
      <c r="AZ151" s="542">
        <f t="shared" si="122"/>
        <v>2.8914330000000001</v>
      </c>
      <c r="BA151" s="542">
        <f t="shared" si="122"/>
        <v>2.8914330000000001</v>
      </c>
      <c r="BB151" s="542">
        <f t="shared" si="122"/>
        <v>2.8914330000000001</v>
      </c>
      <c r="BC151" s="542">
        <f t="shared" si="122"/>
        <v>2.8914330000000001</v>
      </c>
      <c r="BD151" s="542">
        <f t="shared" si="122"/>
        <v>2.8914330000000001</v>
      </c>
      <c r="BE151" s="542">
        <f t="shared" si="122"/>
        <v>2.8914330000000001</v>
      </c>
      <c r="BF151" s="542">
        <f t="shared" si="122"/>
        <v>2.8914330000000001</v>
      </c>
      <c r="BG151" s="542">
        <f t="shared" si="122"/>
        <v>2.8914330000000001</v>
      </c>
      <c r="BH151" s="542">
        <f t="shared" si="122"/>
        <v>2.8914330000000001</v>
      </c>
      <c r="BI151" s="542">
        <f t="shared" si="122"/>
        <v>2.8914330000000001</v>
      </c>
      <c r="BJ151" s="542">
        <f t="shared" si="122"/>
        <v>2.8914330000000001</v>
      </c>
      <c r="BK151" s="542">
        <f t="shared" si="122"/>
        <v>2.8914330000000001</v>
      </c>
      <c r="BL151" s="542">
        <f t="shared" si="122"/>
        <v>2.8914330000000001</v>
      </c>
      <c r="BM151" s="542">
        <f t="shared" si="122"/>
        <v>2.8914330000000001</v>
      </c>
      <c r="BN151" s="542">
        <f t="shared" si="122"/>
        <v>2.8914330000000001</v>
      </c>
      <c r="BO151" s="542">
        <f t="shared" si="122"/>
        <v>2.8914330000000001</v>
      </c>
      <c r="BP151" s="542">
        <f t="shared" si="122"/>
        <v>2.8914330000000001</v>
      </c>
      <c r="BQ151" s="542">
        <f t="shared" si="122"/>
        <v>2.8914330000000001</v>
      </c>
      <c r="BR151" s="542">
        <f t="shared" si="122"/>
        <v>2.8914330000000001</v>
      </c>
      <c r="BS151" s="542">
        <f t="shared" si="122"/>
        <v>2.8914330000000001</v>
      </c>
      <c r="BT151" s="542">
        <f t="shared" si="122"/>
        <v>2.8914330000000001</v>
      </c>
      <c r="BU151" s="542">
        <f t="shared" si="122"/>
        <v>2.8914330000000001</v>
      </c>
      <c r="BV151" s="542">
        <f t="shared" si="122"/>
        <v>2.8914330000000001</v>
      </c>
      <c r="BW151" s="542">
        <f t="shared" si="122"/>
        <v>2.8914330000000001</v>
      </c>
      <c r="BX151" s="542">
        <f t="shared" si="122"/>
        <v>2.8914330000000001</v>
      </c>
      <c r="BY151" s="542">
        <f t="shared" si="122"/>
        <v>2.8914330000000001</v>
      </c>
      <c r="BZ151" s="542">
        <f t="shared" si="122"/>
        <v>2.8914330000000001</v>
      </c>
      <c r="CA151" s="542">
        <f t="shared" si="122"/>
        <v>2.8914330000000001</v>
      </c>
      <c r="CB151" s="542">
        <f t="shared" si="122"/>
        <v>2.8914330000000001</v>
      </c>
      <c r="CC151" s="542">
        <f t="shared" si="122"/>
        <v>2.8914330000000001</v>
      </c>
      <c r="CD151" s="542">
        <f t="shared" si="122"/>
        <v>2.8914330000000001</v>
      </c>
      <c r="CE151" s="542">
        <f t="shared" si="122"/>
        <v>2.8914330000000001</v>
      </c>
      <c r="CG151" s="541">
        <v>2.8914330000000001</v>
      </c>
      <c r="CH151" s="541">
        <v>2.8914330000000001</v>
      </c>
      <c r="CI151" s="541">
        <v>2.8914330000000001</v>
      </c>
      <c r="CJ151" s="541">
        <v>2.8914330000000001</v>
      </c>
      <c r="CK151" s="541">
        <v>2.8914330000000001</v>
      </c>
      <c r="CL151" s="541">
        <v>2.8914330000000001</v>
      </c>
      <c r="CM151" s="541">
        <v>2.8914330000000001</v>
      </c>
      <c r="CN151" s="541">
        <v>2.8914330000000001</v>
      </c>
      <c r="CO151" s="541">
        <v>2.8914330000000001</v>
      </c>
      <c r="CP151" s="541">
        <v>2.8914330000000001</v>
      </c>
      <c r="CQ151" s="541">
        <v>2.8914330000000001</v>
      </c>
      <c r="CR151" s="541">
        <v>2.8914330000000001</v>
      </c>
      <c r="CS151" s="541">
        <v>2.8914330000000001</v>
      </c>
      <c r="CT151" s="541">
        <v>2.8914330000000001</v>
      </c>
      <c r="CU151" s="541">
        <v>2.8914330000000001</v>
      </c>
      <c r="CV151" s="541">
        <v>2.8914330000000001</v>
      </c>
      <c r="CW151" s="541">
        <v>2.8914330000000001</v>
      </c>
      <c r="CX151" s="541">
        <v>2.8914330000000001</v>
      </c>
      <c r="CY151" s="541">
        <v>2.8914330000000001</v>
      </c>
      <c r="CZ151" s="541">
        <v>2.8914330000000001</v>
      </c>
      <c r="DA151" s="541">
        <v>2.8914330000000001</v>
      </c>
      <c r="DB151" s="541">
        <v>2.8914330000000001</v>
      </c>
      <c r="DC151" s="541">
        <v>2.8914330000000001</v>
      </c>
      <c r="DD151" s="541">
        <v>2.8914330000000001</v>
      </c>
      <c r="DE151" s="541">
        <v>2.8914330000000001</v>
      </c>
      <c r="DF151" s="541">
        <v>2.8914330000000001</v>
      </c>
      <c r="DG151" s="541">
        <v>2.8914330000000001</v>
      </c>
      <c r="DH151" s="541">
        <v>2.8914330000000001</v>
      </c>
    </row>
    <row r="152" spans="2:112">
      <c r="B152" t="s">
        <v>924</v>
      </c>
    </row>
    <row r="153" spans="2:112" ht="15">
      <c r="B153" t="s">
        <v>1035</v>
      </c>
      <c r="C153" s="485" t="s">
        <v>753</v>
      </c>
      <c r="D153" s="485" t="s">
        <v>877</v>
      </c>
      <c r="E153" s="485" t="s">
        <v>111</v>
      </c>
      <c r="F153" s="486">
        <f>2023</f>
        <v>2023</v>
      </c>
      <c r="G153" s="486">
        <f>F153+1</f>
        <v>2024</v>
      </c>
      <c r="H153" s="486">
        <f t="shared" ref="H153:AG153" si="124">G153+1</f>
        <v>2025</v>
      </c>
      <c r="I153" s="486">
        <f t="shared" si="124"/>
        <v>2026</v>
      </c>
      <c r="J153" s="486">
        <f t="shared" si="124"/>
        <v>2027</v>
      </c>
      <c r="K153" s="486">
        <f t="shared" si="124"/>
        <v>2028</v>
      </c>
      <c r="L153" s="486">
        <f t="shared" si="124"/>
        <v>2029</v>
      </c>
      <c r="M153" s="486">
        <f t="shared" si="124"/>
        <v>2030</v>
      </c>
      <c r="N153" s="486">
        <f t="shared" si="124"/>
        <v>2031</v>
      </c>
      <c r="O153" s="486">
        <f t="shared" si="124"/>
        <v>2032</v>
      </c>
      <c r="P153" s="486">
        <f t="shared" si="124"/>
        <v>2033</v>
      </c>
      <c r="Q153" s="486">
        <f t="shared" si="124"/>
        <v>2034</v>
      </c>
      <c r="R153" s="486">
        <f t="shared" si="124"/>
        <v>2035</v>
      </c>
      <c r="S153" s="486">
        <f t="shared" si="124"/>
        <v>2036</v>
      </c>
      <c r="T153" s="486">
        <f t="shared" si="124"/>
        <v>2037</v>
      </c>
      <c r="U153" s="486">
        <f t="shared" si="124"/>
        <v>2038</v>
      </c>
      <c r="V153" s="486">
        <f t="shared" si="124"/>
        <v>2039</v>
      </c>
      <c r="W153" s="486">
        <f t="shared" si="124"/>
        <v>2040</v>
      </c>
      <c r="X153" s="486">
        <f t="shared" si="124"/>
        <v>2041</v>
      </c>
      <c r="Y153" s="486">
        <f t="shared" si="124"/>
        <v>2042</v>
      </c>
      <c r="Z153" s="486">
        <f t="shared" si="124"/>
        <v>2043</v>
      </c>
      <c r="AA153" s="486">
        <f t="shared" si="124"/>
        <v>2044</v>
      </c>
      <c r="AB153" s="486">
        <f t="shared" si="124"/>
        <v>2045</v>
      </c>
      <c r="AC153" s="486">
        <f t="shared" si="124"/>
        <v>2046</v>
      </c>
      <c r="AD153" s="486">
        <f t="shared" si="124"/>
        <v>2047</v>
      </c>
      <c r="AE153" s="486">
        <f t="shared" si="124"/>
        <v>2048</v>
      </c>
      <c r="AF153" s="486">
        <f t="shared" si="124"/>
        <v>2049</v>
      </c>
      <c r="AG153" s="486">
        <f t="shared" si="124"/>
        <v>2050</v>
      </c>
      <c r="AH153" s="524">
        <f>AG153+1</f>
        <v>2051</v>
      </c>
      <c r="AI153" s="524">
        <f t="shared" ref="AI153:CE153" si="125">AH153+1</f>
        <v>2052</v>
      </c>
      <c r="AJ153" s="524">
        <f t="shared" si="125"/>
        <v>2053</v>
      </c>
      <c r="AK153" s="524">
        <f t="shared" si="125"/>
        <v>2054</v>
      </c>
      <c r="AL153" s="524">
        <f t="shared" si="125"/>
        <v>2055</v>
      </c>
      <c r="AM153" s="524">
        <f t="shared" si="125"/>
        <v>2056</v>
      </c>
      <c r="AN153" s="524">
        <f t="shared" si="125"/>
        <v>2057</v>
      </c>
      <c r="AO153" s="524">
        <f t="shared" si="125"/>
        <v>2058</v>
      </c>
      <c r="AP153" s="524">
        <f t="shared" si="125"/>
        <v>2059</v>
      </c>
      <c r="AQ153" s="524">
        <f t="shared" si="125"/>
        <v>2060</v>
      </c>
      <c r="AR153" s="524">
        <f t="shared" si="125"/>
        <v>2061</v>
      </c>
      <c r="AS153" s="524">
        <f t="shared" si="125"/>
        <v>2062</v>
      </c>
      <c r="AT153" s="524">
        <f t="shared" si="125"/>
        <v>2063</v>
      </c>
      <c r="AU153" s="524">
        <f t="shared" si="125"/>
        <v>2064</v>
      </c>
      <c r="AV153" s="524">
        <f t="shared" si="125"/>
        <v>2065</v>
      </c>
      <c r="AW153" s="524">
        <f t="shared" si="125"/>
        <v>2066</v>
      </c>
      <c r="AX153" s="524">
        <f t="shared" si="125"/>
        <v>2067</v>
      </c>
      <c r="AY153" s="524">
        <f t="shared" si="125"/>
        <v>2068</v>
      </c>
      <c r="AZ153" s="524">
        <f t="shared" si="125"/>
        <v>2069</v>
      </c>
      <c r="BA153" s="524">
        <f t="shared" si="125"/>
        <v>2070</v>
      </c>
      <c r="BB153" s="524">
        <f t="shared" si="125"/>
        <v>2071</v>
      </c>
      <c r="BC153" s="524">
        <f t="shared" si="125"/>
        <v>2072</v>
      </c>
      <c r="BD153" s="524">
        <f t="shared" si="125"/>
        <v>2073</v>
      </c>
      <c r="BE153" s="524">
        <f t="shared" si="125"/>
        <v>2074</v>
      </c>
      <c r="BF153" s="524">
        <f t="shared" si="125"/>
        <v>2075</v>
      </c>
      <c r="BG153" s="524">
        <f t="shared" si="125"/>
        <v>2076</v>
      </c>
      <c r="BH153" s="524">
        <f t="shared" si="125"/>
        <v>2077</v>
      </c>
      <c r="BI153" s="524">
        <f t="shared" si="125"/>
        <v>2078</v>
      </c>
      <c r="BJ153" s="524">
        <f t="shared" si="125"/>
        <v>2079</v>
      </c>
      <c r="BK153" s="524">
        <f t="shared" si="125"/>
        <v>2080</v>
      </c>
      <c r="BL153" s="524">
        <f t="shared" si="125"/>
        <v>2081</v>
      </c>
      <c r="BM153" s="524">
        <f t="shared" si="125"/>
        <v>2082</v>
      </c>
      <c r="BN153" s="524">
        <f t="shared" si="125"/>
        <v>2083</v>
      </c>
      <c r="BO153" s="524">
        <f t="shared" si="125"/>
        <v>2084</v>
      </c>
      <c r="BP153" s="524">
        <f t="shared" si="125"/>
        <v>2085</v>
      </c>
      <c r="BQ153" s="524">
        <f t="shared" si="125"/>
        <v>2086</v>
      </c>
      <c r="BR153" s="524">
        <f t="shared" si="125"/>
        <v>2087</v>
      </c>
      <c r="BS153" s="524">
        <f t="shared" si="125"/>
        <v>2088</v>
      </c>
      <c r="BT153" s="524">
        <f t="shared" si="125"/>
        <v>2089</v>
      </c>
      <c r="BU153" s="524">
        <f t="shared" si="125"/>
        <v>2090</v>
      </c>
      <c r="BV153" s="524">
        <f t="shared" si="125"/>
        <v>2091</v>
      </c>
      <c r="BW153" s="524">
        <f t="shared" si="125"/>
        <v>2092</v>
      </c>
      <c r="BX153" s="524">
        <f t="shared" si="125"/>
        <v>2093</v>
      </c>
      <c r="BY153" s="524">
        <f t="shared" si="125"/>
        <v>2094</v>
      </c>
      <c r="BZ153" s="524">
        <f t="shared" si="125"/>
        <v>2095</v>
      </c>
      <c r="CA153" s="524">
        <f t="shared" si="125"/>
        <v>2096</v>
      </c>
      <c r="CB153" s="524">
        <f t="shared" si="125"/>
        <v>2097</v>
      </c>
      <c r="CC153" s="524">
        <f t="shared" si="125"/>
        <v>2098</v>
      </c>
      <c r="CD153" s="524">
        <f t="shared" si="125"/>
        <v>2099</v>
      </c>
      <c r="CE153" s="524">
        <f t="shared" si="125"/>
        <v>2100</v>
      </c>
      <c r="CG153" s="486">
        <v>2023</v>
      </c>
      <c r="CH153" s="486">
        <v>2024</v>
      </c>
      <c r="CI153" s="486">
        <v>2025</v>
      </c>
      <c r="CJ153" s="486">
        <v>2026</v>
      </c>
      <c r="CK153" s="486">
        <v>2027</v>
      </c>
      <c r="CL153" s="486">
        <v>2028</v>
      </c>
      <c r="CM153" s="486">
        <v>2029</v>
      </c>
      <c r="CN153" s="486">
        <v>2030</v>
      </c>
      <c r="CO153" s="486">
        <v>2031</v>
      </c>
      <c r="CP153" s="486">
        <v>2032</v>
      </c>
      <c r="CQ153" s="486">
        <v>2033</v>
      </c>
      <c r="CR153" s="486">
        <v>2034</v>
      </c>
      <c r="CS153" s="486">
        <v>2035</v>
      </c>
      <c r="CT153" s="486">
        <v>2036</v>
      </c>
      <c r="CU153" s="486">
        <v>2037</v>
      </c>
      <c r="CV153" s="486">
        <v>2038</v>
      </c>
      <c r="CW153" s="486">
        <v>2039</v>
      </c>
      <c r="CX153" s="486">
        <v>2040</v>
      </c>
      <c r="CY153" s="486">
        <v>2041</v>
      </c>
      <c r="CZ153" s="486">
        <v>2042</v>
      </c>
      <c r="DA153" s="486">
        <v>2043</v>
      </c>
      <c r="DB153" s="486">
        <v>2044</v>
      </c>
      <c r="DC153" s="486">
        <v>2045</v>
      </c>
      <c r="DD153" s="486">
        <v>2046</v>
      </c>
      <c r="DE153" s="486">
        <v>2047</v>
      </c>
      <c r="DF153" s="486">
        <v>2048</v>
      </c>
      <c r="DG153" s="486">
        <v>2049</v>
      </c>
      <c r="DH153" s="486">
        <v>2050</v>
      </c>
    </row>
    <row r="154" spans="2:112">
      <c r="B154" t="s">
        <v>1036</v>
      </c>
      <c r="C154" t="s">
        <v>753</v>
      </c>
      <c r="D154" t="s">
        <v>879</v>
      </c>
      <c r="E154" t="s">
        <v>737</v>
      </c>
      <c r="F154" s="525">
        <v>35000</v>
      </c>
      <c r="G154" s="525">
        <v>35000</v>
      </c>
      <c r="H154" s="525">
        <v>35000</v>
      </c>
      <c r="I154" s="525">
        <v>35000</v>
      </c>
      <c r="J154" s="525">
        <v>35000</v>
      </c>
      <c r="K154" s="525">
        <v>35000</v>
      </c>
      <c r="L154" s="525">
        <v>35000</v>
      </c>
      <c r="M154" s="525">
        <v>35000</v>
      </c>
      <c r="N154" s="525">
        <v>35000</v>
      </c>
      <c r="O154" s="525">
        <v>35000</v>
      </c>
      <c r="P154" s="525">
        <v>35000</v>
      </c>
      <c r="Q154" s="525">
        <v>35000</v>
      </c>
      <c r="R154" s="525">
        <v>35000</v>
      </c>
      <c r="S154" s="525">
        <v>35000</v>
      </c>
      <c r="T154" s="525">
        <v>35000</v>
      </c>
      <c r="U154" s="525">
        <v>35000</v>
      </c>
      <c r="V154" s="525">
        <v>35000</v>
      </c>
      <c r="W154" s="525">
        <v>35000</v>
      </c>
      <c r="X154" s="525">
        <v>35000</v>
      </c>
      <c r="Y154" s="525">
        <v>35000</v>
      </c>
      <c r="Z154" s="525">
        <v>35000</v>
      </c>
      <c r="AA154" s="525">
        <v>35000</v>
      </c>
      <c r="AB154" s="525">
        <v>35000</v>
      </c>
      <c r="AC154" s="525">
        <v>35000</v>
      </c>
      <c r="AD154" s="525">
        <v>35000</v>
      </c>
      <c r="AE154" s="525">
        <v>35000</v>
      </c>
      <c r="AF154" s="525">
        <v>35000</v>
      </c>
      <c r="AG154" s="525">
        <v>35000</v>
      </c>
      <c r="AH154" s="526">
        <f>AG154</f>
        <v>35000</v>
      </c>
      <c r="AI154" s="526">
        <f t="shared" ref="AI154:AX154" si="126">AH154</f>
        <v>35000</v>
      </c>
      <c r="AJ154" s="526">
        <f t="shared" si="126"/>
        <v>35000</v>
      </c>
      <c r="AK154" s="526">
        <f t="shared" si="126"/>
        <v>35000</v>
      </c>
      <c r="AL154" s="526">
        <f t="shared" si="126"/>
        <v>35000</v>
      </c>
      <c r="AM154" s="526">
        <f t="shared" si="126"/>
        <v>35000</v>
      </c>
      <c r="AN154" s="526">
        <f t="shared" si="126"/>
        <v>35000</v>
      </c>
      <c r="AO154" s="526">
        <f t="shared" si="126"/>
        <v>35000</v>
      </c>
      <c r="AP154" s="526">
        <f t="shared" si="126"/>
        <v>35000</v>
      </c>
      <c r="AQ154" s="526">
        <f t="shared" si="126"/>
        <v>35000</v>
      </c>
      <c r="AR154" s="526">
        <f t="shared" si="126"/>
        <v>35000</v>
      </c>
      <c r="AS154" s="526">
        <f t="shared" si="126"/>
        <v>35000</v>
      </c>
      <c r="AT154" s="526">
        <f t="shared" si="126"/>
        <v>35000</v>
      </c>
      <c r="AU154" s="526">
        <f t="shared" si="126"/>
        <v>35000</v>
      </c>
      <c r="AV154" s="526">
        <f t="shared" si="126"/>
        <v>35000</v>
      </c>
      <c r="AW154" s="526">
        <f t="shared" si="126"/>
        <v>35000</v>
      </c>
      <c r="AX154" s="526">
        <f t="shared" si="126"/>
        <v>35000</v>
      </c>
      <c r="AY154" s="526">
        <f t="shared" ref="AY154:BN154" si="127">AX154</f>
        <v>35000</v>
      </c>
      <c r="AZ154" s="526">
        <f t="shared" si="127"/>
        <v>35000</v>
      </c>
      <c r="BA154" s="526">
        <f t="shared" si="127"/>
        <v>35000</v>
      </c>
      <c r="BB154" s="526">
        <f t="shared" si="127"/>
        <v>35000</v>
      </c>
      <c r="BC154" s="526">
        <f t="shared" si="127"/>
        <v>35000</v>
      </c>
      <c r="BD154" s="526">
        <f t="shared" si="127"/>
        <v>35000</v>
      </c>
      <c r="BE154" s="526">
        <f t="shared" si="127"/>
        <v>35000</v>
      </c>
      <c r="BF154" s="526">
        <f t="shared" si="127"/>
        <v>35000</v>
      </c>
      <c r="BG154" s="526">
        <f t="shared" si="127"/>
        <v>35000</v>
      </c>
      <c r="BH154" s="526">
        <f t="shared" si="127"/>
        <v>35000</v>
      </c>
      <c r="BI154" s="526">
        <f t="shared" si="127"/>
        <v>35000</v>
      </c>
      <c r="BJ154" s="526">
        <f t="shared" si="127"/>
        <v>35000</v>
      </c>
      <c r="BK154" s="526">
        <f t="shared" si="127"/>
        <v>35000</v>
      </c>
      <c r="BL154" s="526">
        <f t="shared" si="127"/>
        <v>35000</v>
      </c>
      <c r="BM154" s="526">
        <f t="shared" si="127"/>
        <v>35000</v>
      </c>
      <c r="BN154" s="526">
        <f t="shared" si="127"/>
        <v>35000</v>
      </c>
      <c r="BO154" s="526">
        <f t="shared" ref="BO154:CD154" si="128">BN154</f>
        <v>35000</v>
      </c>
      <c r="BP154" s="526">
        <f t="shared" si="128"/>
        <v>35000</v>
      </c>
      <c r="BQ154" s="526">
        <f t="shared" si="128"/>
        <v>35000</v>
      </c>
      <c r="BR154" s="526">
        <f t="shared" si="128"/>
        <v>35000</v>
      </c>
      <c r="BS154" s="526">
        <f t="shared" si="128"/>
        <v>35000</v>
      </c>
      <c r="BT154" s="526">
        <f t="shared" si="128"/>
        <v>35000</v>
      </c>
      <c r="BU154" s="526">
        <f t="shared" si="128"/>
        <v>35000</v>
      </c>
      <c r="BV154" s="526">
        <f t="shared" si="128"/>
        <v>35000</v>
      </c>
      <c r="BW154" s="526">
        <f t="shared" si="128"/>
        <v>35000</v>
      </c>
      <c r="BX154" s="526">
        <f t="shared" si="128"/>
        <v>35000</v>
      </c>
      <c r="BY154" s="526">
        <f t="shared" si="128"/>
        <v>35000</v>
      </c>
      <c r="BZ154" s="526">
        <f t="shared" si="128"/>
        <v>35000</v>
      </c>
      <c r="CA154" s="526">
        <f t="shared" si="128"/>
        <v>35000</v>
      </c>
      <c r="CB154" s="526">
        <f t="shared" si="128"/>
        <v>35000</v>
      </c>
      <c r="CC154" s="526">
        <f t="shared" si="128"/>
        <v>35000</v>
      </c>
      <c r="CD154" s="526">
        <f t="shared" si="128"/>
        <v>35000</v>
      </c>
      <c r="CE154" s="526">
        <f t="shared" ref="AX154:CE162" si="129">CD154</f>
        <v>35000</v>
      </c>
      <c r="CG154" s="536">
        <v>35000</v>
      </c>
      <c r="CH154" s="536">
        <v>35000</v>
      </c>
      <c r="CI154" s="536">
        <v>35000</v>
      </c>
      <c r="CJ154" s="536">
        <v>35000</v>
      </c>
      <c r="CK154" s="536">
        <v>35000</v>
      </c>
      <c r="CL154" s="536">
        <v>35000</v>
      </c>
      <c r="CM154" s="536">
        <v>35000</v>
      </c>
      <c r="CN154" s="536">
        <v>35000</v>
      </c>
      <c r="CO154" s="536">
        <v>35000</v>
      </c>
      <c r="CP154" s="536">
        <v>35000</v>
      </c>
      <c r="CQ154" s="536">
        <v>35000</v>
      </c>
      <c r="CR154" s="536">
        <v>35000</v>
      </c>
      <c r="CS154" s="536">
        <v>35000</v>
      </c>
      <c r="CT154" s="536">
        <v>35000</v>
      </c>
      <c r="CU154" s="536">
        <v>35000</v>
      </c>
      <c r="CV154" s="536">
        <v>35000</v>
      </c>
      <c r="CW154" s="536">
        <v>35000</v>
      </c>
      <c r="CX154" s="536">
        <v>35000</v>
      </c>
      <c r="CY154" s="536">
        <v>35000</v>
      </c>
      <c r="CZ154" s="536">
        <v>35000</v>
      </c>
      <c r="DA154" s="536">
        <v>35000</v>
      </c>
      <c r="DB154" s="536">
        <v>35000</v>
      </c>
      <c r="DC154" s="536">
        <v>35000</v>
      </c>
      <c r="DD154" s="536">
        <v>35000</v>
      </c>
      <c r="DE154" s="536">
        <v>35000</v>
      </c>
      <c r="DF154" s="536">
        <v>35000</v>
      </c>
      <c r="DG154" s="536">
        <v>35000</v>
      </c>
      <c r="DH154" s="536">
        <v>35000</v>
      </c>
    </row>
    <row r="155" spans="2:112">
      <c r="B155" t="s">
        <v>1037</v>
      </c>
      <c r="C155" t="s">
        <v>753</v>
      </c>
      <c r="D155" t="s">
        <v>695</v>
      </c>
      <c r="E155" t="s">
        <v>881</v>
      </c>
      <c r="F155" s="525">
        <v>182.5</v>
      </c>
      <c r="G155" s="525">
        <v>182.5</v>
      </c>
      <c r="H155" s="525">
        <v>182.5</v>
      </c>
      <c r="I155" s="525">
        <v>182.5</v>
      </c>
      <c r="J155" s="525">
        <v>182.5</v>
      </c>
      <c r="K155" s="525">
        <v>182.5</v>
      </c>
      <c r="L155" s="525">
        <v>182.5</v>
      </c>
      <c r="M155" s="525">
        <v>182.5</v>
      </c>
      <c r="N155" s="525">
        <v>182.5</v>
      </c>
      <c r="O155" s="525">
        <v>182.5</v>
      </c>
      <c r="P155" s="525">
        <v>182.5</v>
      </c>
      <c r="Q155" s="525">
        <v>182.5</v>
      </c>
      <c r="R155" s="525">
        <v>182.5</v>
      </c>
      <c r="S155" s="525">
        <v>182.5</v>
      </c>
      <c r="T155" s="525">
        <v>182.5</v>
      </c>
      <c r="U155" s="525">
        <v>182.5</v>
      </c>
      <c r="V155" s="525">
        <v>182.5</v>
      </c>
      <c r="W155" s="525">
        <v>182.5</v>
      </c>
      <c r="X155" s="525">
        <v>182.5</v>
      </c>
      <c r="Y155" s="525">
        <v>182.5</v>
      </c>
      <c r="Z155" s="525">
        <v>182.5</v>
      </c>
      <c r="AA155" s="525">
        <v>182.5</v>
      </c>
      <c r="AB155" s="525">
        <v>182.5</v>
      </c>
      <c r="AC155" s="525">
        <v>182.5</v>
      </c>
      <c r="AD155" s="525">
        <v>182.5</v>
      </c>
      <c r="AE155" s="525">
        <v>182.5</v>
      </c>
      <c r="AF155" s="525">
        <v>182.5</v>
      </c>
      <c r="AG155" s="525">
        <v>182.5</v>
      </c>
      <c r="AH155" s="526">
        <f t="shared" ref="AH155:AW164" si="130">AG155</f>
        <v>182.5</v>
      </c>
      <c r="AI155" s="526">
        <f t="shared" si="130"/>
        <v>182.5</v>
      </c>
      <c r="AJ155" s="526">
        <f t="shared" si="130"/>
        <v>182.5</v>
      </c>
      <c r="AK155" s="526">
        <f t="shared" si="130"/>
        <v>182.5</v>
      </c>
      <c r="AL155" s="526">
        <f t="shared" si="130"/>
        <v>182.5</v>
      </c>
      <c r="AM155" s="526">
        <f t="shared" si="130"/>
        <v>182.5</v>
      </c>
      <c r="AN155" s="526">
        <f t="shared" si="130"/>
        <v>182.5</v>
      </c>
      <c r="AO155" s="526">
        <f t="shared" si="130"/>
        <v>182.5</v>
      </c>
      <c r="AP155" s="526">
        <f t="shared" si="130"/>
        <v>182.5</v>
      </c>
      <c r="AQ155" s="526">
        <f t="shared" si="130"/>
        <v>182.5</v>
      </c>
      <c r="AR155" s="526">
        <f t="shared" si="130"/>
        <v>182.5</v>
      </c>
      <c r="AS155" s="526">
        <f t="shared" si="130"/>
        <v>182.5</v>
      </c>
      <c r="AT155" s="526">
        <f t="shared" si="130"/>
        <v>182.5</v>
      </c>
      <c r="AU155" s="526">
        <f t="shared" si="130"/>
        <v>182.5</v>
      </c>
      <c r="AV155" s="526">
        <f t="shared" si="130"/>
        <v>182.5</v>
      </c>
      <c r="AW155" s="526">
        <f t="shared" si="130"/>
        <v>182.5</v>
      </c>
      <c r="AX155" s="526">
        <f t="shared" si="129"/>
        <v>182.5</v>
      </c>
      <c r="AY155" s="526">
        <f t="shared" si="129"/>
        <v>182.5</v>
      </c>
      <c r="AZ155" s="526">
        <f t="shared" si="129"/>
        <v>182.5</v>
      </c>
      <c r="BA155" s="526">
        <f t="shared" si="129"/>
        <v>182.5</v>
      </c>
      <c r="BB155" s="526">
        <f t="shared" si="129"/>
        <v>182.5</v>
      </c>
      <c r="BC155" s="526">
        <f t="shared" si="129"/>
        <v>182.5</v>
      </c>
      <c r="BD155" s="526">
        <f t="shared" si="129"/>
        <v>182.5</v>
      </c>
      <c r="BE155" s="526">
        <f t="shared" si="129"/>
        <v>182.5</v>
      </c>
      <c r="BF155" s="526">
        <f t="shared" si="129"/>
        <v>182.5</v>
      </c>
      <c r="BG155" s="526">
        <f t="shared" si="129"/>
        <v>182.5</v>
      </c>
      <c r="BH155" s="526">
        <f t="shared" si="129"/>
        <v>182.5</v>
      </c>
      <c r="BI155" s="526">
        <f t="shared" si="129"/>
        <v>182.5</v>
      </c>
      <c r="BJ155" s="526">
        <f t="shared" si="129"/>
        <v>182.5</v>
      </c>
      <c r="BK155" s="526">
        <f t="shared" si="129"/>
        <v>182.5</v>
      </c>
      <c r="BL155" s="526">
        <f t="shared" si="129"/>
        <v>182.5</v>
      </c>
      <c r="BM155" s="526">
        <f t="shared" si="129"/>
        <v>182.5</v>
      </c>
      <c r="BN155" s="526">
        <f t="shared" si="129"/>
        <v>182.5</v>
      </c>
      <c r="BO155" s="526">
        <f t="shared" si="129"/>
        <v>182.5</v>
      </c>
      <c r="BP155" s="526">
        <f t="shared" si="129"/>
        <v>182.5</v>
      </c>
      <c r="BQ155" s="526">
        <f t="shared" si="129"/>
        <v>182.5</v>
      </c>
      <c r="BR155" s="526">
        <f t="shared" si="129"/>
        <v>182.5</v>
      </c>
      <c r="BS155" s="526">
        <f t="shared" si="129"/>
        <v>182.5</v>
      </c>
      <c r="BT155" s="526">
        <f t="shared" si="129"/>
        <v>182.5</v>
      </c>
      <c r="BU155" s="526">
        <f t="shared" si="129"/>
        <v>182.5</v>
      </c>
      <c r="BV155" s="526">
        <f t="shared" si="129"/>
        <v>182.5</v>
      </c>
      <c r="BW155" s="526">
        <f t="shared" si="129"/>
        <v>182.5</v>
      </c>
      <c r="BX155" s="526">
        <f t="shared" si="129"/>
        <v>182.5</v>
      </c>
      <c r="BY155" s="526">
        <f t="shared" si="129"/>
        <v>182.5</v>
      </c>
      <c r="BZ155" s="526">
        <f t="shared" si="129"/>
        <v>182.5</v>
      </c>
      <c r="CA155" s="526">
        <f t="shared" si="129"/>
        <v>182.5</v>
      </c>
      <c r="CB155" s="526">
        <f t="shared" si="129"/>
        <v>182.5</v>
      </c>
      <c r="CC155" s="526">
        <f t="shared" si="129"/>
        <v>182.5</v>
      </c>
      <c r="CD155" s="526">
        <f t="shared" si="129"/>
        <v>182.5</v>
      </c>
      <c r="CE155" s="526">
        <f t="shared" si="129"/>
        <v>182.5</v>
      </c>
      <c r="CG155" s="536">
        <v>182.5</v>
      </c>
      <c r="CH155" s="536">
        <v>182.5</v>
      </c>
      <c r="CI155" s="536">
        <v>182.5</v>
      </c>
      <c r="CJ155" s="536">
        <v>182.5</v>
      </c>
      <c r="CK155" s="536">
        <v>182.5</v>
      </c>
      <c r="CL155" s="536">
        <v>182.5</v>
      </c>
      <c r="CM155" s="536">
        <v>182.5</v>
      </c>
      <c r="CN155" s="536">
        <v>182.5</v>
      </c>
      <c r="CO155" s="536">
        <v>182.5</v>
      </c>
      <c r="CP155" s="536">
        <v>182.5</v>
      </c>
      <c r="CQ155" s="536">
        <v>182.5</v>
      </c>
      <c r="CR155" s="536">
        <v>182.5</v>
      </c>
      <c r="CS155" s="536">
        <v>182.5</v>
      </c>
      <c r="CT155" s="536">
        <v>182.5</v>
      </c>
      <c r="CU155" s="536">
        <v>182.5</v>
      </c>
      <c r="CV155" s="536">
        <v>182.5</v>
      </c>
      <c r="CW155" s="536">
        <v>182.5</v>
      </c>
      <c r="CX155" s="536">
        <v>182.5</v>
      </c>
      <c r="CY155" s="536">
        <v>182.5</v>
      </c>
      <c r="CZ155" s="536">
        <v>182.5</v>
      </c>
      <c r="DA155" s="536">
        <v>182.5</v>
      </c>
      <c r="DB155" s="536">
        <v>182.5</v>
      </c>
      <c r="DC155" s="536">
        <v>182.5</v>
      </c>
      <c r="DD155" s="536">
        <v>182.5</v>
      </c>
      <c r="DE155" s="536">
        <v>182.5</v>
      </c>
      <c r="DF155" s="536">
        <v>182.5</v>
      </c>
      <c r="DG155" s="536">
        <v>182.5</v>
      </c>
      <c r="DH155" s="536">
        <v>182.5</v>
      </c>
    </row>
    <row r="156" spans="2:112">
      <c r="B156" t="s">
        <v>1038</v>
      </c>
      <c r="C156" t="s">
        <v>753</v>
      </c>
      <c r="D156" t="s">
        <v>883</v>
      </c>
      <c r="E156" t="s">
        <v>884</v>
      </c>
      <c r="F156" s="525">
        <v>10</v>
      </c>
      <c r="G156" s="525">
        <v>10</v>
      </c>
      <c r="H156" s="525">
        <v>10</v>
      </c>
      <c r="I156" s="525">
        <v>10</v>
      </c>
      <c r="J156" s="525">
        <v>10</v>
      </c>
      <c r="K156" s="525">
        <v>10</v>
      </c>
      <c r="L156" s="525">
        <v>10</v>
      </c>
      <c r="M156" s="525">
        <v>10</v>
      </c>
      <c r="N156" s="525">
        <v>10</v>
      </c>
      <c r="O156" s="525">
        <v>10</v>
      </c>
      <c r="P156" s="525">
        <v>10</v>
      </c>
      <c r="Q156" s="525">
        <v>10</v>
      </c>
      <c r="R156" s="525">
        <v>10</v>
      </c>
      <c r="S156" s="525">
        <v>10</v>
      </c>
      <c r="T156" s="525">
        <v>10</v>
      </c>
      <c r="U156" s="525">
        <v>10</v>
      </c>
      <c r="V156" s="525">
        <v>10</v>
      </c>
      <c r="W156" s="525">
        <v>10</v>
      </c>
      <c r="X156" s="525">
        <v>10</v>
      </c>
      <c r="Y156" s="525">
        <v>10</v>
      </c>
      <c r="Z156" s="525">
        <v>10</v>
      </c>
      <c r="AA156" s="525">
        <v>10</v>
      </c>
      <c r="AB156" s="525">
        <v>10</v>
      </c>
      <c r="AC156" s="525">
        <v>10</v>
      </c>
      <c r="AD156" s="525">
        <v>10</v>
      </c>
      <c r="AE156" s="525">
        <v>10</v>
      </c>
      <c r="AF156" s="525">
        <v>10</v>
      </c>
      <c r="AG156" s="525">
        <v>10</v>
      </c>
      <c r="AH156" s="526">
        <f t="shared" si="130"/>
        <v>10</v>
      </c>
      <c r="AI156" s="526">
        <f t="shared" si="130"/>
        <v>10</v>
      </c>
      <c r="AJ156" s="526">
        <f t="shared" si="130"/>
        <v>10</v>
      </c>
      <c r="AK156" s="526">
        <f t="shared" si="130"/>
        <v>10</v>
      </c>
      <c r="AL156" s="526">
        <f t="shared" si="130"/>
        <v>10</v>
      </c>
      <c r="AM156" s="526">
        <f t="shared" si="130"/>
        <v>10</v>
      </c>
      <c r="AN156" s="526">
        <f t="shared" si="130"/>
        <v>10</v>
      </c>
      <c r="AO156" s="526">
        <f t="shared" si="130"/>
        <v>10</v>
      </c>
      <c r="AP156" s="526">
        <f t="shared" si="130"/>
        <v>10</v>
      </c>
      <c r="AQ156" s="526">
        <f t="shared" si="130"/>
        <v>10</v>
      </c>
      <c r="AR156" s="526">
        <f t="shared" si="130"/>
        <v>10</v>
      </c>
      <c r="AS156" s="526">
        <f t="shared" si="130"/>
        <v>10</v>
      </c>
      <c r="AT156" s="526">
        <f t="shared" si="130"/>
        <v>10</v>
      </c>
      <c r="AU156" s="526">
        <f t="shared" si="130"/>
        <v>10</v>
      </c>
      <c r="AV156" s="526">
        <f t="shared" si="130"/>
        <v>10</v>
      </c>
      <c r="AW156" s="526">
        <f t="shared" si="130"/>
        <v>10</v>
      </c>
      <c r="AX156" s="526">
        <f t="shared" si="129"/>
        <v>10</v>
      </c>
      <c r="AY156" s="526">
        <f t="shared" si="129"/>
        <v>10</v>
      </c>
      <c r="AZ156" s="526">
        <f t="shared" si="129"/>
        <v>10</v>
      </c>
      <c r="BA156" s="526">
        <f t="shared" si="129"/>
        <v>10</v>
      </c>
      <c r="BB156" s="526">
        <f t="shared" si="129"/>
        <v>10</v>
      </c>
      <c r="BC156" s="526">
        <f t="shared" si="129"/>
        <v>10</v>
      </c>
      <c r="BD156" s="526">
        <f t="shared" si="129"/>
        <v>10</v>
      </c>
      <c r="BE156" s="526">
        <f t="shared" si="129"/>
        <v>10</v>
      </c>
      <c r="BF156" s="526">
        <f t="shared" si="129"/>
        <v>10</v>
      </c>
      <c r="BG156" s="526">
        <f t="shared" si="129"/>
        <v>10</v>
      </c>
      <c r="BH156" s="526">
        <f t="shared" si="129"/>
        <v>10</v>
      </c>
      <c r="BI156" s="526">
        <f t="shared" si="129"/>
        <v>10</v>
      </c>
      <c r="BJ156" s="526">
        <f t="shared" si="129"/>
        <v>10</v>
      </c>
      <c r="BK156" s="526">
        <f t="shared" si="129"/>
        <v>10</v>
      </c>
      <c r="BL156" s="526">
        <f t="shared" si="129"/>
        <v>10</v>
      </c>
      <c r="BM156" s="526">
        <f t="shared" si="129"/>
        <v>10</v>
      </c>
      <c r="BN156" s="526">
        <f t="shared" si="129"/>
        <v>10</v>
      </c>
      <c r="BO156" s="526">
        <f t="shared" si="129"/>
        <v>10</v>
      </c>
      <c r="BP156" s="526">
        <f t="shared" si="129"/>
        <v>10</v>
      </c>
      <c r="BQ156" s="526">
        <f t="shared" si="129"/>
        <v>10</v>
      </c>
      <c r="BR156" s="526">
        <f t="shared" si="129"/>
        <v>10</v>
      </c>
      <c r="BS156" s="526">
        <f t="shared" si="129"/>
        <v>10</v>
      </c>
      <c r="BT156" s="526">
        <f t="shared" si="129"/>
        <v>10</v>
      </c>
      <c r="BU156" s="526">
        <f t="shared" si="129"/>
        <v>10</v>
      </c>
      <c r="BV156" s="526">
        <f t="shared" si="129"/>
        <v>10</v>
      </c>
      <c r="BW156" s="526">
        <f t="shared" si="129"/>
        <v>10</v>
      </c>
      <c r="BX156" s="526">
        <f t="shared" si="129"/>
        <v>10</v>
      </c>
      <c r="BY156" s="526">
        <f t="shared" si="129"/>
        <v>10</v>
      </c>
      <c r="BZ156" s="526">
        <f t="shared" si="129"/>
        <v>10</v>
      </c>
      <c r="CA156" s="526">
        <f t="shared" si="129"/>
        <v>10</v>
      </c>
      <c r="CB156" s="526">
        <f t="shared" si="129"/>
        <v>10</v>
      </c>
      <c r="CC156" s="526">
        <f t="shared" si="129"/>
        <v>10</v>
      </c>
      <c r="CD156" s="526">
        <f t="shared" si="129"/>
        <v>10</v>
      </c>
      <c r="CE156" s="526">
        <f t="shared" si="129"/>
        <v>10</v>
      </c>
      <c r="CG156" s="536">
        <v>10</v>
      </c>
      <c r="CH156" s="536">
        <v>10</v>
      </c>
      <c r="CI156" s="536">
        <v>10</v>
      </c>
      <c r="CJ156" s="536">
        <v>10</v>
      </c>
      <c r="CK156" s="536">
        <v>10</v>
      </c>
      <c r="CL156" s="536">
        <v>10</v>
      </c>
      <c r="CM156" s="536">
        <v>10</v>
      </c>
      <c r="CN156" s="536">
        <v>10</v>
      </c>
      <c r="CO156" s="536">
        <v>10</v>
      </c>
      <c r="CP156" s="536">
        <v>10</v>
      </c>
      <c r="CQ156" s="536">
        <v>10</v>
      </c>
      <c r="CR156" s="536">
        <v>10</v>
      </c>
      <c r="CS156" s="536">
        <v>10</v>
      </c>
      <c r="CT156" s="536">
        <v>10</v>
      </c>
      <c r="CU156" s="536">
        <v>10</v>
      </c>
      <c r="CV156" s="536">
        <v>10</v>
      </c>
      <c r="CW156" s="536">
        <v>10</v>
      </c>
      <c r="CX156" s="536">
        <v>10</v>
      </c>
      <c r="CY156" s="536">
        <v>10</v>
      </c>
      <c r="CZ156" s="536">
        <v>10</v>
      </c>
      <c r="DA156" s="536">
        <v>10</v>
      </c>
      <c r="DB156" s="536">
        <v>10</v>
      </c>
      <c r="DC156" s="536">
        <v>10</v>
      </c>
      <c r="DD156" s="536">
        <v>10</v>
      </c>
      <c r="DE156" s="536">
        <v>10</v>
      </c>
      <c r="DF156" s="536">
        <v>10</v>
      </c>
      <c r="DG156" s="536">
        <v>10</v>
      </c>
      <c r="DH156" s="536">
        <v>10</v>
      </c>
    </row>
    <row r="157" spans="2:112">
      <c r="B157" t="s">
        <v>1039</v>
      </c>
      <c r="C157" t="s">
        <v>753</v>
      </c>
      <c r="D157" t="s">
        <v>886</v>
      </c>
      <c r="E157" t="s">
        <v>178</v>
      </c>
      <c r="F157" s="537">
        <v>0.51</v>
      </c>
      <c r="G157" s="537">
        <v>0.51</v>
      </c>
      <c r="H157" s="537">
        <v>0.51</v>
      </c>
      <c r="I157" s="537">
        <v>0.51</v>
      </c>
      <c r="J157" s="537">
        <v>0.51</v>
      </c>
      <c r="K157" s="537">
        <v>0.51</v>
      </c>
      <c r="L157" s="537">
        <v>0.51</v>
      </c>
      <c r="M157" s="537">
        <v>0.51</v>
      </c>
      <c r="N157" s="537">
        <v>0.51</v>
      </c>
      <c r="O157" s="537">
        <v>0.51</v>
      </c>
      <c r="P157" s="537">
        <v>0.51</v>
      </c>
      <c r="Q157" s="537">
        <v>0.51</v>
      </c>
      <c r="R157" s="537">
        <v>0.51</v>
      </c>
      <c r="S157" s="537">
        <v>0.51</v>
      </c>
      <c r="T157" s="537">
        <v>0.51</v>
      </c>
      <c r="U157" s="537">
        <v>0.51</v>
      </c>
      <c r="V157" s="537">
        <v>0.51</v>
      </c>
      <c r="W157" s="537">
        <v>0.51</v>
      </c>
      <c r="X157" s="537">
        <v>0.51</v>
      </c>
      <c r="Y157" s="537">
        <v>0.51</v>
      </c>
      <c r="Z157" s="537">
        <v>0.51</v>
      </c>
      <c r="AA157" s="537">
        <v>0.51</v>
      </c>
      <c r="AB157" s="537">
        <v>0.51</v>
      </c>
      <c r="AC157" s="537">
        <v>0.51</v>
      </c>
      <c r="AD157" s="537">
        <v>0.51</v>
      </c>
      <c r="AE157" s="537">
        <v>0.51</v>
      </c>
      <c r="AF157" s="537">
        <v>0.51</v>
      </c>
      <c r="AG157" s="537">
        <v>0.51</v>
      </c>
      <c r="AH157" s="526">
        <f t="shared" si="130"/>
        <v>0.51</v>
      </c>
      <c r="AI157" s="526">
        <f t="shared" si="130"/>
        <v>0.51</v>
      </c>
      <c r="AJ157" s="526">
        <f t="shared" si="130"/>
        <v>0.51</v>
      </c>
      <c r="AK157" s="526">
        <f t="shared" si="130"/>
        <v>0.51</v>
      </c>
      <c r="AL157" s="526">
        <f t="shared" si="130"/>
        <v>0.51</v>
      </c>
      <c r="AM157" s="526">
        <f t="shared" si="130"/>
        <v>0.51</v>
      </c>
      <c r="AN157" s="526">
        <f t="shared" si="130"/>
        <v>0.51</v>
      </c>
      <c r="AO157" s="526">
        <f t="shared" si="130"/>
        <v>0.51</v>
      </c>
      <c r="AP157" s="526">
        <f t="shared" si="130"/>
        <v>0.51</v>
      </c>
      <c r="AQ157" s="526">
        <f t="shared" si="130"/>
        <v>0.51</v>
      </c>
      <c r="AR157" s="526">
        <f t="shared" si="130"/>
        <v>0.51</v>
      </c>
      <c r="AS157" s="526">
        <f t="shared" si="130"/>
        <v>0.51</v>
      </c>
      <c r="AT157" s="526">
        <f t="shared" si="130"/>
        <v>0.51</v>
      </c>
      <c r="AU157" s="526">
        <f t="shared" si="130"/>
        <v>0.51</v>
      </c>
      <c r="AV157" s="526">
        <f t="shared" si="130"/>
        <v>0.51</v>
      </c>
      <c r="AW157" s="526">
        <f t="shared" si="130"/>
        <v>0.51</v>
      </c>
      <c r="AX157" s="526">
        <f t="shared" si="129"/>
        <v>0.51</v>
      </c>
      <c r="AY157" s="526">
        <f t="shared" si="129"/>
        <v>0.51</v>
      </c>
      <c r="AZ157" s="526">
        <f t="shared" si="129"/>
        <v>0.51</v>
      </c>
      <c r="BA157" s="526">
        <f t="shared" si="129"/>
        <v>0.51</v>
      </c>
      <c r="BB157" s="526">
        <f t="shared" si="129"/>
        <v>0.51</v>
      </c>
      <c r="BC157" s="526">
        <f t="shared" si="129"/>
        <v>0.51</v>
      </c>
      <c r="BD157" s="526">
        <f t="shared" si="129"/>
        <v>0.51</v>
      </c>
      <c r="BE157" s="526">
        <f t="shared" si="129"/>
        <v>0.51</v>
      </c>
      <c r="BF157" s="526">
        <f t="shared" si="129"/>
        <v>0.51</v>
      </c>
      <c r="BG157" s="526">
        <f t="shared" si="129"/>
        <v>0.51</v>
      </c>
      <c r="BH157" s="526">
        <f t="shared" si="129"/>
        <v>0.51</v>
      </c>
      <c r="BI157" s="526">
        <f t="shared" si="129"/>
        <v>0.51</v>
      </c>
      <c r="BJ157" s="526">
        <f t="shared" si="129"/>
        <v>0.51</v>
      </c>
      <c r="BK157" s="526">
        <f t="shared" si="129"/>
        <v>0.51</v>
      </c>
      <c r="BL157" s="526">
        <f t="shared" si="129"/>
        <v>0.51</v>
      </c>
      <c r="BM157" s="526">
        <f t="shared" si="129"/>
        <v>0.51</v>
      </c>
      <c r="BN157" s="526">
        <f t="shared" si="129"/>
        <v>0.51</v>
      </c>
      <c r="BO157" s="526">
        <f t="shared" si="129"/>
        <v>0.51</v>
      </c>
      <c r="BP157" s="526">
        <f t="shared" si="129"/>
        <v>0.51</v>
      </c>
      <c r="BQ157" s="526">
        <f t="shared" si="129"/>
        <v>0.51</v>
      </c>
      <c r="BR157" s="526">
        <f t="shared" si="129"/>
        <v>0.51</v>
      </c>
      <c r="BS157" s="526">
        <f t="shared" si="129"/>
        <v>0.51</v>
      </c>
      <c r="BT157" s="526">
        <f t="shared" si="129"/>
        <v>0.51</v>
      </c>
      <c r="BU157" s="526">
        <f t="shared" si="129"/>
        <v>0.51</v>
      </c>
      <c r="BV157" s="526">
        <f t="shared" si="129"/>
        <v>0.51</v>
      </c>
      <c r="BW157" s="526">
        <f t="shared" si="129"/>
        <v>0.51</v>
      </c>
      <c r="BX157" s="526">
        <f t="shared" si="129"/>
        <v>0.51</v>
      </c>
      <c r="BY157" s="526">
        <f t="shared" si="129"/>
        <v>0.51</v>
      </c>
      <c r="BZ157" s="526">
        <f t="shared" si="129"/>
        <v>0.51</v>
      </c>
      <c r="CA157" s="526">
        <f t="shared" si="129"/>
        <v>0.51</v>
      </c>
      <c r="CB157" s="526">
        <f t="shared" si="129"/>
        <v>0.51</v>
      </c>
      <c r="CC157" s="526">
        <f t="shared" si="129"/>
        <v>0.51</v>
      </c>
      <c r="CD157" s="526">
        <f t="shared" si="129"/>
        <v>0.51</v>
      </c>
      <c r="CE157" s="526">
        <f t="shared" si="129"/>
        <v>0.51</v>
      </c>
      <c r="CG157" s="537">
        <v>0.51</v>
      </c>
      <c r="CH157" s="537">
        <v>0.51</v>
      </c>
      <c r="CI157" s="537">
        <v>0.51</v>
      </c>
      <c r="CJ157" s="537">
        <v>0.51</v>
      </c>
      <c r="CK157" s="537">
        <v>0.51</v>
      </c>
      <c r="CL157" s="537">
        <v>0.51</v>
      </c>
      <c r="CM157" s="537">
        <v>0.51</v>
      </c>
      <c r="CN157" s="537">
        <v>0.51</v>
      </c>
      <c r="CO157" s="537">
        <v>0.51</v>
      </c>
      <c r="CP157" s="537">
        <v>0.51</v>
      </c>
      <c r="CQ157" s="537">
        <v>0.51</v>
      </c>
      <c r="CR157" s="537">
        <v>0.51</v>
      </c>
      <c r="CS157" s="537">
        <v>0.51</v>
      </c>
      <c r="CT157" s="537">
        <v>0.51</v>
      </c>
      <c r="CU157" s="537">
        <v>0.51</v>
      </c>
      <c r="CV157" s="537">
        <v>0.51</v>
      </c>
      <c r="CW157" s="537">
        <v>0.51</v>
      </c>
      <c r="CX157" s="537">
        <v>0.51</v>
      </c>
      <c r="CY157" s="537">
        <v>0.51</v>
      </c>
      <c r="CZ157" s="537">
        <v>0.51</v>
      </c>
      <c r="DA157" s="537">
        <v>0.51</v>
      </c>
      <c r="DB157" s="537">
        <v>0.51</v>
      </c>
      <c r="DC157" s="537">
        <v>0.51</v>
      </c>
      <c r="DD157" s="537">
        <v>0.51</v>
      </c>
      <c r="DE157" s="537">
        <v>0.51</v>
      </c>
      <c r="DF157" s="537">
        <v>0.51</v>
      </c>
      <c r="DG157" s="537">
        <v>0.51</v>
      </c>
      <c r="DH157" s="537">
        <v>0.51</v>
      </c>
    </row>
    <row r="158" spans="2:112">
      <c r="B158" t="s">
        <v>1040</v>
      </c>
      <c r="C158" t="s">
        <v>753</v>
      </c>
      <c r="D158" t="s">
        <v>888</v>
      </c>
      <c r="E158" t="s">
        <v>178</v>
      </c>
      <c r="F158" s="537">
        <v>0.51</v>
      </c>
      <c r="G158" s="537">
        <v>0.51</v>
      </c>
      <c r="H158" s="537">
        <v>0.51</v>
      </c>
      <c r="I158" s="537">
        <v>0.51</v>
      </c>
      <c r="J158" s="537">
        <v>0.51</v>
      </c>
      <c r="K158" s="537">
        <v>0.51</v>
      </c>
      <c r="L158" s="537">
        <v>0.51</v>
      </c>
      <c r="M158" s="537">
        <v>0.51</v>
      </c>
      <c r="N158" s="537">
        <v>0.51</v>
      </c>
      <c r="O158" s="537">
        <v>0.51</v>
      </c>
      <c r="P158" s="537">
        <v>0.51</v>
      </c>
      <c r="Q158" s="537">
        <v>0.51</v>
      </c>
      <c r="R158" s="537">
        <v>0.51</v>
      </c>
      <c r="S158" s="537">
        <v>0.51</v>
      </c>
      <c r="T158" s="537">
        <v>0.51</v>
      </c>
      <c r="U158" s="537">
        <v>0.51</v>
      </c>
      <c r="V158" s="537">
        <v>0.51</v>
      </c>
      <c r="W158" s="537">
        <v>0.51</v>
      </c>
      <c r="X158" s="537">
        <v>0.51</v>
      </c>
      <c r="Y158" s="537">
        <v>0.51</v>
      </c>
      <c r="Z158" s="537">
        <v>0.51</v>
      </c>
      <c r="AA158" s="537">
        <v>0.51</v>
      </c>
      <c r="AB158" s="537">
        <v>0.51</v>
      </c>
      <c r="AC158" s="537">
        <v>0.51</v>
      </c>
      <c r="AD158" s="537">
        <v>0.51</v>
      </c>
      <c r="AE158" s="537">
        <v>0.51</v>
      </c>
      <c r="AF158" s="537">
        <v>0.51</v>
      </c>
      <c r="AG158" s="537">
        <v>0.51</v>
      </c>
      <c r="AH158" s="526">
        <f t="shared" si="130"/>
        <v>0.51</v>
      </c>
      <c r="AI158" s="526">
        <f t="shared" si="130"/>
        <v>0.51</v>
      </c>
      <c r="AJ158" s="526">
        <f t="shared" si="130"/>
        <v>0.51</v>
      </c>
      <c r="AK158" s="526">
        <f t="shared" si="130"/>
        <v>0.51</v>
      </c>
      <c r="AL158" s="526">
        <f t="shared" si="130"/>
        <v>0.51</v>
      </c>
      <c r="AM158" s="526">
        <f t="shared" si="130"/>
        <v>0.51</v>
      </c>
      <c r="AN158" s="526">
        <f t="shared" si="130"/>
        <v>0.51</v>
      </c>
      <c r="AO158" s="526">
        <f t="shared" si="130"/>
        <v>0.51</v>
      </c>
      <c r="AP158" s="526">
        <f t="shared" si="130"/>
        <v>0.51</v>
      </c>
      <c r="AQ158" s="526">
        <f t="shared" si="130"/>
        <v>0.51</v>
      </c>
      <c r="AR158" s="526">
        <f t="shared" si="130"/>
        <v>0.51</v>
      </c>
      <c r="AS158" s="526">
        <f t="shared" si="130"/>
        <v>0.51</v>
      </c>
      <c r="AT158" s="526">
        <f t="shared" si="130"/>
        <v>0.51</v>
      </c>
      <c r="AU158" s="526">
        <f t="shared" si="130"/>
        <v>0.51</v>
      </c>
      <c r="AV158" s="526">
        <f t="shared" si="130"/>
        <v>0.51</v>
      </c>
      <c r="AW158" s="526">
        <f t="shared" si="130"/>
        <v>0.51</v>
      </c>
      <c r="AX158" s="526">
        <f t="shared" si="129"/>
        <v>0.51</v>
      </c>
      <c r="AY158" s="526">
        <f t="shared" si="129"/>
        <v>0.51</v>
      </c>
      <c r="AZ158" s="526">
        <f t="shared" si="129"/>
        <v>0.51</v>
      </c>
      <c r="BA158" s="526">
        <f t="shared" si="129"/>
        <v>0.51</v>
      </c>
      <c r="BB158" s="526">
        <f t="shared" si="129"/>
        <v>0.51</v>
      </c>
      <c r="BC158" s="526">
        <f t="shared" si="129"/>
        <v>0.51</v>
      </c>
      <c r="BD158" s="526">
        <f t="shared" si="129"/>
        <v>0.51</v>
      </c>
      <c r="BE158" s="526">
        <f t="shared" si="129"/>
        <v>0.51</v>
      </c>
      <c r="BF158" s="526">
        <f t="shared" si="129"/>
        <v>0.51</v>
      </c>
      <c r="BG158" s="526">
        <f t="shared" si="129"/>
        <v>0.51</v>
      </c>
      <c r="BH158" s="526">
        <f t="shared" si="129"/>
        <v>0.51</v>
      </c>
      <c r="BI158" s="526">
        <f t="shared" si="129"/>
        <v>0.51</v>
      </c>
      <c r="BJ158" s="526">
        <f t="shared" si="129"/>
        <v>0.51</v>
      </c>
      <c r="BK158" s="526">
        <f t="shared" si="129"/>
        <v>0.51</v>
      </c>
      <c r="BL158" s="526">
        <f t="shared" si="129"/>
        <v>0.51</v>
      </c>
      <c r="BM158" s="526">
        <f t="shared" si="129"/>
        <v>0.51</v>
      </c>
      <c r="BN158" s="526">
        <f t="shared" si="129"/>
        <v>0.51</v>
      </c>
      <c r="BO158" s="526">
        <f t="shared" si="129"/>
        <v>0.51</v>
      </c>
      <c r="BP158" s="526">
        <f t="shared" si="129"/>
        <v>0.51</v>
      </c>
      <c r="BQ158" s="526">
        <f t="shared" si="129"/>
        <v>0.51</v>
      </c>
      <c r="BR158" s="526">
        <f t="shared" si="129"/>
        <v>0.51</v>
      </c>
      <c r="BS158" s="526">
        <f t="shared" si="129"/>
        <v>0.51</v>
      </c>
      <c r="BT158" s="526">
        <f t="shared" si="129"/>
        <v>0.51</v>
      </c>
      <c r="BU158" s="526">
        <f t="shared" si="129"/>
        <v>0.51</v>
      </c>
      <c r="BV158" s="526">
        <f t="shared" si="129"/>
        <v>0.51</v>
      </c>
      <c r="BW158" s="526">
        <f t="shared" si="129"/>
        <v>0.51</v>
      </c>
      <c r="BX158" s="526">
        <f t="shared" si="129"/>
        <v>0.51</v>
      </c>
      <c r="BY158" s="526">
        <f t="shared" si="129"/>
        <v>0.51</v>
      </c>
      <c r="BZ158" s="526">
        <f t="shared" si="129"/>
        <v>0.51</v>
      </c>
      <c r="CA158" s="526">
        <f t="shared" si="129"/>
        <v>0.51</v>
      </c>
      <c r="CB158" s="526">
        <f t="shared" si="129"/>
        <v>0.51</v>
      </c>
      <c r="CC158" s="526">
        <f t="shared" si="129"/>
        <v>0.51</v>
      </c>
      <c r="CD158" s="526">
        <f t="shared" si="129"/>
        <v>0.51</v>
      </c>
      <c r="CE158" s="526">
        <f t="shared" si="129"/>
        <v>0.51</v>
      </c>
      <c r="CG158" s="537">
        <v>0.51</v>
      </c>
      <c r="CH158" s="537">
        <v>0.51</v>
      </c>
      <c r="CI158" s="537">
        <v>0.51</v>
      </c>
      <c r="CJ158" s="537">
        <v>0.51</v>
      </c>
      <c r="CK158" s="537">
        <v>0.51</v>
      </c>
      <c r="CL158" s="537">
        <v>0.51</v>
      </c>
      <c r="CM158" s="537">
        <v>0.51</v>
      </c>
      <c r="CN158" s="537">
        <v>0.51</v>
      </c>
      <c r="CO158" s="537">
        <v>0.51</v>
      </c>
      <c r="CP158" s="537">
        <v>0.51</v>
      </c>
      <c r="CQ158" s="537">
        <v>0.51</v>
      </c>
      <c r="CR158" s="537">
        <v>0.51</v>
      </c>
      <c r="CS158" s="537">
        <v>0.51</v>
      </c>
      <c r="CT158" s="537">
        <v>0.51</v>
      </c>
      <c r="CU158" s="537">
        <v>0.51</v>
      </c>
      <c r="CV158" s="537">
        <v>0.51</v>
      </c>
      <c r="CW158" s="537">
        <v>0.51</v>
      </c>
      <c r="CX158" s="537">
        <v>0.51</v>
      </c>
      <c r="CY158" s="537">
        <v>0.51</v>
      </c>
      <c r="CZ158" s="537">
        <v>0.51</v>
      </c>
      <c r="DA158" s="537">
        <v>0.51</v>
      </c>
      <c r="DB158" s="537">
        <v>0.51</v>
      </c>
      <c r="DC158" s="537">
        <v>0.51</v>
      </c>
      <c r="DD158" s="537">
        <v>0.51</v>
      </c>
      <c r="DE158" s="537">
        <v>0.51</v>
      </c>
      <c r="DF158" s="537">
        <v>0.51</v>
      </c>
      <c r="DG158" s="537">
        <v>0.51</v>
      </c>
      <c r="DH158" s="537">
        <v>0.51</v>
      </c>
    </row>
    <row r="159" spans="2:112">
      <c r="B159" t="s">
        <v>1041</v>
      </c>
      <c r="C159" t="s">
        <v>753</v>
      </c>
      <c r="D159" t="s">
        <v>890</v>
      </c>
      <c r="E159" t="s">
        <v>178</v>
      </c>
      <c r="F159" s="537">
        <v>0.51</v>
      </c>
      <c r="G159" s="537">
        <v>0.51</v>
      </c>
      <c r="H159" s="537">
        <v>0.51</v>
      </c>
      <c r="I159" s="537">
        <v>0.51</v>
      </c>
      <c r="J159" s="537">
        <v>0.51</v>
      </c>
      <c r="K159" s="537">
        <v>0.51</v>
      </c>
      <c r="L159" s="537">
        <v>0.51</v>
      </c>
      <c r="M159" s="537">
        <v>0.51</v>
      </c>
      <c r="N159" s="537">
        <v>0.51</v>
      </c>
      <c r="O159" s="537">
        <v>0.51</v>
      </c>
      <c r="P159" s="537">
        <v>0.51</v>
      </c>
      <c r="Q159" s="537">
        <v>0.51</v>
      </c>
      <c r="R159" s="537">
        <v>0.51</v>
      </c>
      <c r="S159" s="537">
        <v>0.51</v>
      </c>
      <c r="T159" s="537">
        <v>0.51</v>
      </c>
      <c r="U159" s="537">
        <v>0.51</v>
      </c>
      <c r="V159" s="537">
        <v>0.51</v>
      </c>
      <c r="W159" s="537">
        <v>0.51</v>
      </c>
      <c r="X159" s="537">
        <v>0.51</v>
      </c>
      <c r="Y159" s="537">
        <v>0.51</v>
      </c>
      <c r="Z159" s="537">
        <v>0.51</v>
      </c>
      <c r="AA159" s="537">
        <v>0.51</v>
      </c>
      <c r="AB159" s="537">
        <v>0.51</v>
      </c>
      <c r="AC159" s="537">
        <v>0.51</v>
      </c>
      <c r="AD159" s="537">
        <v>0.51</v>
      </c>
      <c r="AE159" s="537">
        <v>0.51</v>
      </c>
      <c r="AF159" s="537">
        <v>0.51</v>
      </c>
      <c r="AG159" s="537">
        <v>0.51</v>
      </c>
      <c r="AH159" s="526">
        <f t="shared" si="130"/>
        <v>0.51</v>
      </c>
      <c r="AI159" s="526">
        <f t="shared" si="130"/>
        <v>0.51</v>
      </c>
      <c r="AJ159" s="526">
        <f t="shared" si="130"/>
        <v>0.51</v>
      </c>
      <c r="AK159" s="526">
        <f t="shared" si="130"/>
        <v>0.51</v>
      </c>
      <c r="AL159" s="526">
        <f t="shared" si="130"/>
        <v>0.51</v>
      </c>
      <c r="AM159" s="526">
        <f t="shared" si="130"/>
        <v>0.51</v>
      </c>
      <c r="AN159" s="526">
        <f t="shared" si="130"/>
        <v>0.51</v>
      </c>
      <c r="AO159" s="526">
        <f t="shared" si="130"/>
        <v>0.51</v>
      </c>
      <c r="AP159" s="526">
        <f t="shared" si="130"/>
        <v>0.51</v>
      </c>
      <c r="AQ159" s="526">
        <f t="shared" si="130"/>
        <v>0.51</v>
      </c>
      <c r="AR159" s="526">
        <f t="shared" si="130"/>
        <v>0.51</v>
      </c>
      <c r="AS159" s="526">
        <f t="shared" si="130"/>
        <v>0.51</v>
      </c>
      <c r="AT159" s="526">
        <f t="shared" si="130"/>
        <v>0.51</v>
      </c>
      <c r="AU159" s="526">
        <f t="shared" si="130"/>
        <v>0.51</v>
      </c>
      <c r="AV159" s="526">
        <f t="shared" si="130"/>
        <v>0.51</v>
      </c>
      <c r="AW159" s="526">
        <f t="shared" si="130"/>
        <v>0.51</v>
      </c>
      <c r="AX159" s="526">
        <f t="shared" si="129"/>
        <v>0.51</v>
      </c>
      <c r="AY159" s="526">
        <f t="shared" si="129"/>
        <v>0.51</v>
      </c>
      <c r="AZ159" s="526">
        <f t="shared" si="129"/>
        <v>0.51</v>
      </c>
      <c r="BA159" s="526">
        <f t="shared" si="129"/>
        <v>0.51</v>
      </c>
      <c r="BB159" s="526">
        <f t="shared" si="129"/>
        <v>0.51</v>
      </c>
      <c r="BC159" s="526">
        <f t="shared" si="129"/>
        <v>0.51</v>
      </c>
      <c r="BD159" s="526">
        <f t="shared" si="129"/>
        <v>0.51</v>
      </c>
      <c r="BE159" s="526">
        <f t="shared" si="129"/>
        <v>0.51</v>
      </c>
      <c r="BF159" s="526">
        <f t="shared" si="129"/>
        <v>0.51</v>
      </c>
      <c r="BG159" s="526">
        <f t="shared" si="129"/>
        <v>0.51</v>
      </c>
      <c r="BH159" s="526">
        <f t="shared" si="129"/>
        <v>0.51</v>
      </c>
      <c r="BI159" s="526">
        <f t="shared" si="129"/>
        <v>0.51</v>
      </c>
      <c r="BJ159" s="526">
        <f t="shared" si="129"/>
        <v>0.51</v>
      </c>
      <c r="BK159" s="526">
        <f t="shared" si="129"/>
        <v>0.51</v>
      </c>
      <c r="BL159" s="526">
        <f t="shared" si="129"/>
        <v>0.51</v>
      </c>
      <c r="BM159" s="526">
        <f t="shared" si="129"/>
        <v>0.51</v>
      </c>
      <c r="BN159" s="526">
        <f t="shared" si="129"/>
        <v>0.51</v>
      </c>
      <c r="BO159" s="526">
        <f t="shared" si="129"/>
        <v>0.51</v>
      </c>
      <c r="BP159" s="526">
        <f t="shared" si="129"/>
        <v>0.51</v>
      </c>
      <c r="BQ159" s="526">
        <f t="shared" si="129"/>
        <v>0.51</v>
      </c>
      <c r="BR159" s="526">
        <f t="shared" si="129"/>
        <v>0.51</v>
      </c>
      <c r="BS159" s="526">
        <f t="shared" si="129"/>
        <v>0.51</v>
      </c>
      <c r="BT159" s="526">
        <f t="shared" si="129"/>
        <v>0.51</v>
      </c>
      <c r="BU159" s="526">
        <f t="shared" si="129"/>
        <v>0.51</v>
      </c>
      <c r="BV159" s="526">
        <f t="shared" si="129"/>
        <v>0.51</v>
      </c>
      <c r="BW159" s="526">
        <f t="shared" si="129"/>
        <v>0.51</v>
      </c>
      <c r="BX159" s="526">
        <f t="shared" si="129"/>
        <v>0.51</v>
      </c>
      <c r="BY159" s="526">
        <f t="shared" si="129"/>
        <v>0.51</v>
      </c>
      <c r="BZ159" s="526">
        <f t="shared" si="129"/>
        <v>0.51</v>
      </c>
      <c r="CA159" s="526">
        <f t="shared" si="129"/>
        <v>0.51</v>
      </c>
      <c r="CB159" s="526">
        <f t="shared" si="129"/>
        <v>0.51</v>
      </c>
      <c r="CC159" s="526">
        <f t="shared" si="129"/>
        <v>0.51</v>
      </c>
      <c r="CD159" s="526">
        <f t="shared" si="129"/>
        <v>0.51</v>
      </c>
      <c r="CE159" s="526">
        <f t="shared" si="129"/>
        <v>0.51</v>
      </c>
      <c r="CG159" s="537">
        <v>0.51</v>
      </c>
      <c r="CH159" s="537">
        <v>0.51</v>
      </c>
      <c r="CI159" s="537">
        <v>0.51</v>
      </c>
      <c r="CJ159" s="537">
        <v>0.51</v>
      </c>
      <c r="CK159" s="537">
        <v>0.51</v>
      </c>
      <c r="CL159" s="537">
        <v>0.51</v>
      </c>
      <c r="CM159" s="537">
        <v>0.51</v>
      </c>
      <c r="CN159" s="537">
        <v>0.51</v>
      </c>
      <c r="CO159" s="537">
        <v>0.51</v>
      </c>
      <c r="CP159" s="537">
        <v>0.51</v>
      </c>
      <c r="CQ159" s="537">
        <v>0.51</v>
      </c>
      <c r="CR159" s="537">
        <v>0.51</v>
      </c>
      <c r="CS159" s="537">
        <v>0.51</v>
      </c>
      <c r="CT159" s="537">
        <v>0.51</v>
      </c>
      <c r="CU159" s="537">
        <v>0.51</v>
      </c>
      <c r="CV159" s="537">
        <v>0.51</v>
      </c>
      <c r="CW159" s="537">
        <v>0.51</v>
      </c>
      <c r="CX159" s="537">
        <v>0.51</v>
      </c>
      <c r="CY159" s="537">
        <v>0.51</v>
      </c>
      <c r="CZ159" s="537">
        <v>0.51</v>
      </c>
      <c r="DA159" s="537">
        <v>0.51</v>
      </c>
      <c r="DB159" s="537">
        <v>0.51</v>
      </c>
      <c r="DC159" s="537">
        <v>0.51</v>
      </c>
      <c r="DD159" s="537">
        <v>0.51</v>
      </c>
      <c r="DE159" s="537">
        <v>0.51</v>
      </c>
      <c r="DF159" s="537">
        <v>0.51</v>
      </c>
      <c r="DG159" s="537">
        <v>0.51</v>
      </c>
      <c r="DH159" s="537">
        <v>0.51</v>
      </c>
    </row>
    <row r="160" spans="2:112">
      <c r="B160" t="s">
        <v>1042</v>
      </c>
      <c r="C160" t="s">
        <v>753</v>
      </c>
      <c r="D160" t="s">
        <v>892</v>
      </c>
      <c r="E160" t="s">
        <v>178</v>
      </c>
      <c r="F160" s="537">
        <v>0.51</v>
      </c>
      <c r="G160" s="537">
        <v>0.51</v>
      </c>
      <c r="H160" s="537">
        <v>0.51</v>
      </c>
      <c r="I160" s="537">
        <v>0.51</v>
      </c>
      <c r="J160" s="537">
        <v>0.51</v>
      </c>
      <c r="K160" s="537">
        <v>0.51</v>
      </c>
      <c r="L160" s="537">
        <v>0.51</v>
      </c>
      <c r="M160" s="537">
        <v>0.51</v>
      </c>
      <c r="N160" s="537">
        <v>0.51</v>
      </c>
      <c r="O160" s="537">
        <v>0.51</v>
      </c>
      <c r="P160" s="537">
        <v>0.51</v>
      </c>
      <c r="Q160" s="537">
        <v>0.51</v>
      </c>
      <c r="R160" s="537">
        <v>0.51</v>
      </c>
      <c r="S160" s="537">
        <v>0.51</v>
      </c>
      <c r="T160" s="537">
        <v>0.51</v>
      </c>
      <c r="U160" s="537">
        <v>0.51</v>
      </c>
      <c r="V160" s="537">
        <v>0.51</v>
      </c>
      <c r="W160" s="537">
        <v>0.51</v>
      </c>
      <c r="X160" s="537">
        <v>0.51</v>
      </c>
      <c r="Y160" s="537">
        <v>0.51</v>
      </c>
      <c r="Z160" s="537">
        <v>0.51</v>
      </c>
      <c r="AA160" s="537">
        <v>0.51</v>
      </c>
      <c r="AB160" s="537">
        <v>0.51</v>
      </c>
      <c r="AC160" s="537">
        <v>0.51</v>
      </c>
      <c r="AD160" s="537">
        <v>0.51</v>
      </c>
      <c r="AE160" s="537">
        <v>0.51</v>
      </c>
      <c r="AF160" s="537">
        <v>0.51</v>
      </c>
      <c r="AG160" s="537">
        <v>0.51</v>
      </c>
      <c r="AH160" s="526">
        <f t="shared" si="130"/>
        <v>0.51</v>
      </c>
      <c r="AI160" s="526">
        <f t="shared" si="130"/>
        <v>0.51</v>
      </c>
      <c r="AJ160" s="526">
        <f t="shared" si="130"/>
        <v>0.51</v>
      </c>
      <c r="AK160" s="526">
        <f t="shared" si="130"/>
        <v>0.51</v>
      </c>
      <c r="AL160" s="526">
        <f t="shared" si="130"/>
        <v>0.51</v>
      </c>
      <c r="AM160" s="526">
        <f t="shared" si="130"/>
        <v>0.51</v>
      </c>
      <c r="AN160" s="526">
        <f t="shared" si="130"/>
        <v>0.51</v>
      </c>
      <c r="AO160" s="526">
        <f t="shared" si="130"/>
        <v>0.51</v>
      </c>
      <c r="AP160" s="526">
        <f t="shared" si="130"/>
        <v>0.51</v>
      </c>
      <c r="AQ160" s="526">
        <f t="shared" si="130"/>
        <v>0.51</v>
      </c>
      <c r="AR160" s="526">
        <f t="shared" si="130"/>
        <v>0.51</v>
      </c>
      <c r="AS160" s="526">
        <f t="shared" si="130"/>
        <v>0.51</v>
      </c>
      <c r="AT160" s="526">
        <f t="shared" si="130"/>
        <v>0.51</v>
      </c>
      <c r="AU160" s="526">
        <f t="shared" si="130"/>
        <v>0.51</v>
      </c>
      <c r="AV160" s="526">
        <f t="shared" si="130"/>
        <v>0.51</v>
      </c>
      <c r="AW160" s="526">
        <f t="shared" si="130"/>
        <v>0.51</v>
      </c>
      <c r="AX160" s="526">
        <f t="shared" si="129"/>
        <v>0.51</v>
      </c>
      <c r="AY160" s="526">
        <f t="shared" si="129"/>
        <v>0.51</v>
      </c>
      <c r="AZ160" s="526">
        <f t="shared" si="129"/>
        <v>0.51</v>
      </c>
      <c r="BA160" s="526">
        <f t="shared" si="129"/>
        <v>0.51</v>
      </c>
      <c r="BB160" s="526">
        <f t="shared" si="129"/>
        <v>0.51</v>
      </c>
      <c r="BC160" s="526">
        <f t="shared" si="129"/>
        <v>0.51</v>
      </c>
      <c r="BD160" s="526">
        <f t="shared" si="129"/>
        <v>0.51</v>
      </c>
      <c r="BE160" s="526">
        <f t="shared" si="129"/>
        <v>0.51</v>
      </c>
      <c r="BF160" s="526">
        <f t="shared" si="129"/>
        <v>0.51</v>
      </c>
      <c r="BG160" s="526">
        <f t="shared" si="129"/>
        <v>0.51</v>
      </c>
      <c r="BH160" s="526">
        <f t="shared" si="129"/>
        <v>0.51</v>
      </c>
      <c r="BI160" s="526">
        <f t="shared" si="129"/>
        <v>0.51</v>
      </c>
      <c r="BJ160" s="526">
        <f t="shared" si="129"/>
        <v>0.51</v>
      </c>
      <c r="BK160" s="526">
        <f t="shared" si="129"/>
        <v>0.51</v>
      </c>
      <c r="BL160" s="526">
        <f t="shared" si="129"/>
        <v>0.51</v>
      </c>
      <c r="BM160" s="526">
        <f t="shared" si="129"/>
        <v>0.51</v>
      </c>
      <c r="BN160" s="526">
        <f t="shared" si="129"/>
        <v>0.51</v>
      </c>
      <c r="BO160" s="526">
        <f t="shared" si="129"/>
        <v>0.51</v>
      </c>
      <c r="BP160" s="526">
        <f t="shared" si="129"/>
        <v>0.51</v>
      </c>
      <c r="BQ160" s="526">
        <f t="shared" si="129"/>
        <v>0.51</v>
      </c>
      <c r="BR160" s="526">
        <f t="shared" si="129"/>
        <v>0.51</v>
      </c>
      <c r="BS160" s="526">
        <f t="shared" si="129"/>
        <v>0.51</v>
      </c>
      <c r="BT160" s="526">
        <f t="shared" si="129"/>
        <v>0.51</v>
      </c>
      <c r="BU160" s="526">
        <f t="shared" si="129"/>
        <v>0.51</v>
      </c>
      <c r="BV160" s="526">
        <f t="shared" si="129"/>
        <v>0.51</v>
      </c>
      <c r="BW160" s="526">
        <f t="shared" si="129"/>
        <v>0.51</v>
      </c>
      <c r="BX160" s="526">
        <f t="shared" si="129"/>
        <v>0.51</v>
      </c>
      <c r="BY160" s="526">
        <f t="shared" si="129"/>
        <v>0.51</v>
      </c>
      <c r="BZ160" s="526">
        <f t="shared" si="129"/>
        <v>0.51</v>
      </c>
      <c r="CA160" s="526">
        <f t="shared" si="129"/>
        <v>0.51</v>
      </c>
      <c r="CB160" s="526">
        <f t="shared" si="129"/>
        <v>0.51</v>
      </c>
      <c r="CC160" s="526">
        <f t="shared" si="129"/>
        <v>0.51</v>
      </c>
      <c r="CD160" s="526">
        <f t="shared" si="129"/>
        <v>0.51</v>
      </c>
      <c r="CE160" s="526">
        <f t="shared" si="129"/>
        <v>0.51</v>
      </c>
      <c r="CG160" s="537">
        <v>0.51</v>
      </c>
      <c r="CH160" s="537">
        <v>0.51</v>
      </c>
      <c r="CI160" s="537">
        <v>0.51</v>
      </c>
      <c r="CJ160" s="537">
        <v>0.51</v>
      </c>
      <c r="CK160" s="537">
        <v>0.51</v>
      </c>
      <c r="CL160" s="537">
        <v>0.51</v>
      </c>
      <c r="CM160" s="537">
        <v>0.51</v>
      </c>
      <c r="CN160" s="537">
        <v>0.51</v>
      </c>
      <c r="CO160" s="537">
        <v>0.51</v>
      </c>
      <c r="CP160" s="537">
        <v>0.51</v>
      </c>
      <c r="CQ160" s="537">
        <v>0.51</v>
      </c>
      <c r="CR160" s="537">
        <v>0.51</v>
      </c>
      <c r="CS160" s="537">
        <v>0.51</v>
      </c>
      <c r="CT160" s="537">
        <v>0.51</v>
      </c>
      <c r="CU160" s="537">
        <v>0.51</v>
      </c>
      <c r="CV160" s="537">
        <v>0.51</v>
      </c>
      <c r="CW160" s="537">
        <v>0.51</v>
      </c>
      <c r="CX160" s="537">
        <v>0.51</v>
      </c>
      <c r="CY160" s="537">
        <v>0.51</v>
      </c>
      <c r="CZ160" s="537">
        <v>0.51</v>
      </c>
      <c r="DA160" s="537">
        <v>0.51</v>
      </c>
      <c r="DB160" s="537">
        <v>0.51</v>
      </c>
      <c r="DC160" s="537">
        <v>0.51</v>
      </c>
      <c r="DD160" s="537">
        <v>0.51</v>
      </c>
      <c r="DE160" s="537">
        <v>0.51</v>
      </c>
      <c r="DF160" s="537">
        <v>0.51</v>
      </c>
      <c r="DG160" s="537">
        <v>0.51</v>
      </c>
      <c r="DH160" s="537">
        <v>0.51</v>
      </c>
    </row>
    <row r="161" spans="2:112">
      <c r="B161" t="s">
        <v>1043</v>
      </c>
      <c r="C161" t="s">
        <v>753</v>
      </c>
      <c r="D161" t="s">
        <v>894</v>
      </c>
      <c r="E161" t="s">
        <v>895</v>
      </c>
      <c r="F161" s="537">
        <v>0</v>
      </c>
      <c r="G161" s="537">
        <v>0</v>
      </c>
      <c r="H161" s="537">
        <v>0</v>
      </c>
      <c r="I161" s="537">
        <v>0</v>
      </c>
      <c r="J161" s="537">
        <v>0</v>
      </c>
      <c r="K161" s="537">
        <v>0</v>
      </c>
      <c r="L161" s="537">
        <v>0</v>
      </c>
      <c r="M161" s="537">
        <v>0</v>
      </c>
      <c r="N161" s="537">
        <v>0</v>
      </c>
      <c r="O161" s="537">
        <v>0</v>
      </c>
      <c r="P161" s="537">
        <v>0</v>
      </c>
      <c r="Q161" s="537">
        <v>0</v>
      </c>
      <c r="R161" s="537">
        <v>0</v>
      </c>
      <c r="S161" s="537">
        <v>0</v>
      </c>
      <c r="T161" s="537">
        <v>0</v>
      </c>
      <c r="U161" s="537">
        <v>0</v>
      </c>
      <c r="V161" s="537">
        <v>0</v>
      </c>
      <c r="W161" s="537">
        <v>0</v>
      </c>
      <c r="X161" s="537">
        <v>0</v>
      </c>
      <c r="Y161" s="537">
        <v>0</v>
      </c>
      <c r="Z161" s="537">
        <v>0</v>
      </c>
      <c r="AA161" s="537">
        <v>0</v>
      </c>
      <c r="AB161" s="537">
        <v>0</v>
      </c>
      <c r="AC161" s="537">
        <v>0</v>
      </c>
      <c r="AD161" s="537">
        <v>0</v>
      </c>
      <c r="AE161" s="537">
        <v>0</v>
      </c>
      <c r="AF161" s="537">
        <v>0</v>
      </c>
      <c r="AG161" s="537">
        <v>0</v>
      </c>
      <c r="AH161" s="538">
        <f t="shared" si="130"/>
        <v>0</v>
      </c>
      <c r="AI161" s="538">
        <f t="shared" si="130"/>
        <v>0</v>
      </c>
      <c r="AJ161" s="538">
        <f t="shared" si="130"/>
        <v>0</v>
      </c>
      <c r="AK161" s="538">
        <f t="shared" si="130"/>
        <v>0</v>
      </c>
      <c r="AL161" s="538">
        <f t="shared" si="130"/>
        <v>0</v>
      </c>
      <c r="AM161" s="538">
        <f t="shared" si="130"/>
        <v>0</v>
      </c>
      <c r="AN161" s="538">
        <f t="shared" si="130"/>
        <v>0</v>
      </c>
      <c r="AO161" s="538">
        <f t="shared" si="130"/>
        <v>0</v>
      </c>
      <c r="AP161" s="538">
        <f t="shared" si="130"/>
        <v>0</v>
      </c>
      <c r="AQ161" s="538">
        <f t="shared" si="130"/>
        <v>0</v>
      </c>
      <c r="AR161" s="538">
        <f t="shared" si="130"/>
        <v>0</v>
      </c>
      <c r="AS161" s="538">
        <f t="shared" si="130"/>
        <v>0</v>
      </c>
      <c r="AT161" s="538">
        <f t="shared" si="130"/>
        <v>0</v>
      </c>
      <c r="AU161" s="538">
        <f t="shared" si="130"/>
        <v>0</v>
      </c>
      <c r="AV161" s="538">
        <f t="shared" si="130"/>
        <v>0</v>
      </c>
      <c r="AW161" s="538">
        <f t="shared" si="130"/>
        <v>0</v>
      </c>
      <c r="AX161" s="538">
        <f t="shared" si="129"/>
        <v>0</v>
      </c>
      <c r="AY161" s="538">
        <f t="shared" si="129"/>
        <v>0</v>
      </c>
      <c r="AZ161" s="538">
        <f t="shared" si="129"/>
        <v>0</v>
      </c>
      <c r="BA161" s="538">
        <f t="shared" si="129"/>
        <v>0</v>
      </c>
      <c r="BB161" s="538">
        <f t="shared" si="129"/>
        <v>0</v>
      </c>
      <c r="BC161" s="538">
        <f t="shared" si="129"/>
        <v>0</v>
      </c>
      <c r="BD161" s="538">
        <f t="shared" si="129"/>
        <v>0</v>
      </c>
      <c r="BE161" s="538">
        <f t="shared" si="129"/>
        <v>0</v>
      </c>
      <c r="BF161" s="538">
        <f t="shared" si="129"/>
        <v>0</v>
      </c>
      <c r="BG161" s="538">
        <f t="shared" si="129"/>
        <v>0</v>
      </c>
      <c r="BH161" s="538">
        <f t="shared" si="129"/>
        <v>0</v>
      </c>
      <c r="BI161" s="538">
        <f t="shared" si="129"/>
        <v>0</v>
      </c>
      <c r="BJ161" s="538">
        <f t="shared" si="129"/>
        <v>0</v>
      </c>
      <c r="BK161" s="538">
        <f t="shared" si="129"/>
        <v>0</v>
      </c>
      <c r="BL161" s="538">
        <f t="shared" si="129"/>
        <v>0</v>
      </c>
      <c r="BM161" s="538">
        <f t="shared" si="129"/>
        <v>0</v>
      </c>
      <c r="BN161" s="538">
        <f t="shared" si="129"/>
        <v>0</v>
      </c>
      <c r="BO161" s="538">
        <f t="shared" si="129"/>
        <v>0</v>
      </c>
      <c r="BP161" s="538">
        <f t="shared" si="129"/>
        <v>0</v>
      </c>
      <c r="BQ161" s="538">
        <f t="shared" si="129"/>
        <v>0</v>
      </c>
      <c r="BR161" s="538">
        <f t="shared" si="129"/>
        <v>0</v>
      </c>
      <c r="BS161" s="538">
        <f t="shared" si="129"/>
        <v>0</v>
      </c>
      <c r="BT161" s="538">
        <f t="shared" si="129"/>
        <v>0</v>
      </c>
      <c r="BU161" s="538">
        <f t="shared" si="129"/>
        <v>0</v>
      </c>
      <c r="BV161" s="538">
        <f t="shared" si="129"/>
        <v>0</v>
      </c>
      <c r="BW161" s="538">
        <f t="shared" si="129"/>
        <v>0</v>
      </c>
      <c r="BX161" s="538">
        <f t="shared" si="129"/>
        <v>0</v>
      </c>
      <c r="BY161" s="538">
        <f t="shared" si="129"/>
        <v>0</v>
      </c>
      <c r="BZ161" s="538">
        <f t="shared" si="129"/>
        <v>0</v>
      </c>
      <c r="CA161" s="538">
        <f t="shared" si="129"/>
        <v>0</v>
      </c>
      <c r="CB161" s="538">
        <f t="shared" si="129"/>
        <v>0</v>
      </c>
      <c r="CC161" s="538">
        <f t="shared" si="129"/>
        <v>0</v>
      </c>
      <c r="CD161" s="538">
        <f t="shared" si="129"/>
        <v>0</v>
      </c>
      <c r="CE161" s="538">
        <f t="shared" si="129"/>
        <v>0</v>
      </c>
      <c r="CG161" s="537">
        <v>0</v>
      </c>
      <c r="CH161" s="537">
        <v>0</v>
      </c>
      <c r="CI161" s="537">
        <v>0</v>
      </c>
      <c r="CJ161" s="537">
        <v>0</v>
      </c>
      <c r="CK161" s="537">
        <v>0</v>
      </c>
      <c r="CL161" s="537">
        <v>0</v>
      </c>
      <c r="CM161" s="537">
        <v>0</v>
      </c>
      <c r="CN161" s="537">
        <v>0</v>
      </c>
      <c r="CO161" s="537">
        <v>0</v>
      </c>
      <c r="CP161" s="537">
        <v>0</v>
      </c>
      <c r="CQ161" s="537">
        <v>0</v>
      </c>
      <c r="CR161" s="537">
        <v>0</v>
      </c>
      <c r="CS161" s="537">
        <v>0</v>
      </c>
      <c r="CT161" s="537">
        <v>0</v>
      </c>
      <c r="CU161" s="537">
        <v>0</v>
      </c>
      <c r="CV161" s="537">
        <v>0</v>
      </c>
      <c r="CW161" s="537">
        <v>0</v>
      </c>
      <c r="CX161" s="537">
        <v>0</v>
      </c>
      <c r="CY161" s="537">
        <v>0</v>
      </c>
      <c r="CZ161" s="537">
        <v>0</v>
      </c>
      <c r="DA161" s="537">
        <v>0</v>
      </c>
      <c r="DB161" s="537">
        <v>0</v>
      </c>
      <c r="DC161" s="537">
        <v>0</v>
      </c>
      <c r="DD161" s="537">
        <v>0</v>
      </c>
      <c r="DE161" s="537">
        <v>0</v>
      </c>
      <c r="DF161" s="537">
        <v>0</v>
      </c>
      <c r="DG161" s="537">
        <v>0</v>
      </c>
      <c r="DH161" s="537">
        <v>0</v>
      </c>
    </row>
    <row r="162" spans="2:112">
      <c r="B162" t="s">
        <v>1044</v>
      </c>
      <c r="C162" t="s">
        <v>753</v>
      </c>
      <c r="D162" t="s">
        <v>897</v>
      </c>
      <c r="E162" t="s">
        <v>895</v>
      </c>
      <c r="F162" s="537">
        <v>0.01</v>
      </c>
      <c r="G162" s="537">
        <v>0.01</v>
      </c>
      <c r="H162" s="537">
        <v>0.01</v>
      </c>
      <c r="I162" s="537">
        <v>0.01</v>
      </c>
      <c r="J162" s="537">
        <v>0.01</v>
      </c>
      <c r="K162" s="537">
        <v>0.01</v>
      </c>
      <c r="L162" s="537">
        <v>0.01</v>
      </c>
      <c r="M162" s="537">
        <v>0.01</v>
      </c>
      <c r="N162" s="537">
        <v>0.01</v>
      </c>
      <c r="O162" s="537">
        <v>0.01</v>
      </c>
      <c r="P162" s="537">
        <v>0.01</v>
      </c>
      <c r="Q162" s="537">
        <v>0.01</v>
      </c>
      <c r="R162" s="537">
        <v>0.01</v>
      </c>
      <c r="S162" s="537">
        <v>0.01</v>
      </c>
      <c r="T162" s="537">
        <v>0.01</v>
      </c>
      <c r="U162" s="537">
        <v>0.01</v>
      </c>
      <c r="V162" s="537">
        <v>0.01</v>
      </c>
      <c r="W162" s="537">
        <v>0.01</v>
      </c>
      <c r="X162" s="537">
        <v>0.01</v>
      </c>
      <c r="Y162" s="537">
        <v>0.01</v>
      </c>
      <c r="Z162" s="537">
        <v>0.01</v>
      </c>
      <c r="AA162" s="537">
        <v>0.01</v>
      </c>
      <c r="AB162" s="537">
        <v>0.01</v>
      </c>
      <c r="AC162" s="537">
        <v>0.01</v>
      </c>
      <c r="AD162" s="537">
        <v>0.01</v>
      </c>
      <c r="AE162" s="537">
        <v>0.01</v>
      </c>
      <c r="AF162" s="537">
        <v>0.01</v>
      </c>
      <c r="AG162" s="537">
        <v>0.01</v>
      </c>
      <c r="AH162" s="538">
        <f t="shared" si="130"/>
        <v>0.01</v>
      </c>
      <c r="AI162" s="538">
        <f t="shared" si="130"/>
        <v>0.01</v>
      </c>
      <c r="AJ162" s="538">
        <f t="shared" si="130"/>
        <v>0.01</v>
      </c>
      <c r="AK162" s="538">
        <f t="shared" si="130"/>
        <v>0.01</v>
      </c>
      <c r="AL162" s="538">
        <f t="shared" si="130"/>
        <v>0.01</v>
      </c>
      <c r="AM162" s="538">
        <f t="shared" si="130"/>
        <v>0.01</v>
      </c>
      <c r="AN162" s="538">
        <f t="shared" si="130"/>
        <v>0.01</v>
      </c>
      <c r="AO162" s="538">
        <f t="shared" si="130"/>
        <v>0.01</v>
      </c>
      <c r="AP162" s="538">
        <f t="shared" si="130"/>
        <v>0.01</v>
      </c>
      <c r="AQ162" s="538">
        <f t="shared" si="130"/>
        <v>0.01</v>
      </c>
      <c r="AR162" s="538">
        <f t="shared" si="130"/>
        <v>0.01</v>
      </c>
      <c r="AS162" s="538">
        <f t="shared" si="130"/>
        <v>0.01</v>
      </c>
      <c r="AT162" s="538">
        <f t="shared" si="130"/>
        <v>0.01</v>
      </c>
      <c r="AU162" s="538">
        <f t="shared" si="130"/>
        <v>0.01</v>
      </c>
      <c r="AV162" s="538">
        <f t="shared" si="130"/>
        <v>0.01</v>
      </c>
      <c r="AW162" s="538">
        <f t="shared" si="130"/>
        <v>0.01</v>
      </c>
      <c r="AX162" s="538">
        <f t="shared" si="129"/>
        <v>0.01</v>
      </c>
      <c r="AY162" s="538">
        <f t="shared" si="129"/>
        <v>0.01</v>
      </c>
      <c r="AZ162" s="538">
        <f t="shared" si="129"/>
        <v>0.01</v>
      </c>
      <c r="BA162" s="538">
        <f t="shared" si="129"/>
        <v>0.01</v>
      </c>
      <c r="BB162" s="538">
        <f t="shared" si="129"/>
        <v>0.01</v>
      </c>
      <c r="BC162" s="538">
        <f t="shared" si="129"/>
        <v>0.01</v>
      </c>
      <c r="BD162" s="538">
        <f t="shared" si="129"/>
        <v>0.01</v>
      </c>
      <c r="BE162" s="538">
        <f t="shared" si="129"/>
        <v>0.01</v>
      </c>
      <c r="BF162" s="538">
        <f t="shared" si="129"/>
        <v>0.01</v>
      </c>
      <c r="BG162" s="538">
        <f t="shared" si="129"/>
        <v>0.01</v>
      </c>
      <c r="BH162" s="538">
        <f t="shared" si="129"/>
        <v>0.01</v>
      </c>
      <c r="BI162" s="538">
        <f t="shared" si="129"/>
        <v>0.01</v>
      </c>
      <c r="BJ162" s="538">
        <f t="shared" si="129"/>
        <v>0.01</v>
      </c>
      <c r="BK162" s="538">
        <f t="shared" si="129"/>
        <v>0.01</v>
      </c>
      <c r="BL162" s="538">
        <f t="shared" si="129"/>
        <v>0.01</v>
      </c>
      <c r="BM162" s="538">
        <f t="shared" si="129"/>
        <v>0.01</v>
      </c>
      <c r="BN162" s="538">
        <f t="shared" ref="BN162:CC164" si="131">BM162</f>
        <v>0.01</v>
      </c>
      <c r="BO162" s="538">
        <f t="shared" si="131"/>
        <v>0.01</v>
      </c>
      <c r="BP162" s="538">
        <f t="shared" si="131"/>
        <v>0.01</v>
      </c>
      <c r="BQ162" s="538">
        <f t="shared" si="131"/>
        <v>0.01</v>
      </c>
      <c r="BR162" s="538">
        <f t="shared" si="131"/>
        <v>0.01</v>
      </c>
      <c r="BS162" s="538">
        <f t="shared" si="131"/>
        <v>0.01</v>
      </c>
      <c r="BT162" s="538">
        <f t="shared" si="131"/>
        <v>0.01</v>
      </c>
      <c r="BU162" s="538">
        <f t="shared" si="131"/>
        <v>0.01</v>
      </c>
      <c r="BV162" s="538">
        <f t="shared" si="131"/>
        <v>0.01</v>
      </c>
      <c r="BW162" s="538">
        <f t="shared" si="131"/>
        <v>0.01</v>
      </c>
      <c r="BX162" s="538">
        <f t="shared" si="131"/>
        <v>0.01</v>
      </c>
      <c r="BY162" s="538">
        <f t="shared" si="131"/>
        <v>0.01</v>
      </c>
      <c r="BZ162" s="538">
        <f t="shared" si="131"/>
        <v>0.01</v>
      </c>
      <c r="CA162" s="538">
        <f t="shared" si="131"/>
        <v>0.01</v>
      </c>
      <c r="CB162" s="538">
        <f t="shared" si="131"/>
        <v>0.01</v>
      </c>
      <c r="CC162" s="538">
        <f t="shared" si="131"/>
        <v>0.01</v>
      </c>
      <c r="CD162" s="538">
        <f t="shared" ref="CD162:CE164" si="132">CC162</f>
        <v>0.01</v>
      </c>
      <c r="CE162" s="538">
        <f t="shared" si="132"/>
        <v>0.01</v>
      </c>
      <c r="CG162" s="537">
        <v>0.01</v>
      </c>
      <c r="CH162" s="537">
        <v>0.01</v>
      </c>
      <c r="CI162" s="537">
        <v>0.01</v>
      </c>
      <c r="CJ162" s="537">
        <v>0.01</v>
      </c>
      <c r="CK162" s="537">
        <v>0.01</v>
      </c>
      <c r="CL162" s="537">
        <v>0.01</v>
      </c>
      <c r="CM162" s="537">
        <v>0.01</v>
      </c>
      <c r="CN162" s="537">
        <v>0.01</v>
      </c>
      <c r="CO162" s="537">
        <v>0.01</v>
      </c>
      <c r="CP162" s="537">
        <v>0.01</v>
      </c>
      <c r="CQ162" s="537">
        <v>0.01</v>
      </c>
      <c r="CR162" s="537">
        <v>0.01</v>
      </c>
      <c r="CS162" s="537">
        <v>0.01</v>
      </c>
      <c r="CT162" s="537">
        <v>0.01</v>
      </c>
      <c r="CU162" s="537">
        <v>0.01</v>
      </c>
      <c r="CV162" s="537">
        <v>0.01</v>
      </c>
      <c r="CW162" s="537">
        <v>0.01</v>
      </c>
      <c r="CX162" s="537">
        <v>0.01</v>
      </c>
      <c r="CY162" s="537">
        <v>0.01</v>
      </c>
      <c r="CZ162" s="537">
        <v>0.01</v>
      </c>
      <c r="DA162" s="537">
        <v>0.01</v>
      </c>
      <c r="DB162" s="537">
        <v>0.01</v>
      </c>
      <c r="DC162" s="537">
        <v>0.01</v>
      </c>
      <c r="DD162" s="537">
        <v>0.01</v>
      </c>
      <c r="DE162" s="537">
        <v>0.01</v>
      </c>
      <c r="DF162" s="537">
        <v>0.01</v>
      </c>
      <c r="DG162" s="537">
        <v>0.01</v>
      </c>
      <c r="DH162" s="537">
        <v>0.01</v>
      </c>
    </row>
    <row r="163" spans="2:112">
      <c r="B163" t="s">
        <v>1045</v>
      </c>
      <c r="C163" t="s">
        <v>753</v>
      </c>
      <c r="D163" t="s">
        <v>899</v>
      </c>
      <c r="E163" t="s">
        <v>895</v>
      </c>
      <c r="F163" s="537">
        <v>0.05</v>
      </c>
      <c r="G163" s="537">
        <v>0.05</v>
      </c>
      <c r="H163" s="537">
        <v>0.05</v>
      </c>
      <c r="I163" s="537">
        <v>0.05</v>
      </c>
      <c r="J163" s="537">
        <v>0.05</v>
      </c>
      <c r="K163" s="537">
        <v>0.05</v>
      </c>
      <c r="L163" s="537">
        <v>0.05</v>
      </c>
      <c r="M163" s="537">
        <v>0.05</v>
      </c>
      <c r="N163" s="537">
        <v>0.05</v>
      </c>
      <c r="O163" s="537">
        <v>0.05</v>
      </c>
      <c r="P163" s="537">
        <v>0.05</v>
      </c>
      <c r="Q163" s="537">
        <v>0.05</v>
      </c>
      <c r="R163" s="537">
        <v>0.05</v>
      </c>
      <c r="S163" s="537">
        <v>0.05</v>
      </c>
      <c r="T163" s="537">
        <v>0.05</v>
      </c>
      <c r="U163" s="537">
        <v>0.05</v>
      </c>
      <c r="V163" s="537">
        <v>0.05</v>
      </c>
      <c r="W163" s="537">
        <v>0.05</v>
      </c>
      <c r="X163" s="537">
        <v>0.05</v>
      </c>
      <c r="Y163" s="537">
        <v>0.05</v>
      </c>
      <c r="Z163" s="537">
        <v>0.05</v>
      </c>
      <c r="AA163" s="537">
        <v>0.05</v>
      </c>
      <c r="AB163" s="537">
        <v>0.05</v>
      </c>
      <c r="AC163" s="537">
        <v>0.05</v>
      </c>
      <c r="AD163" s="537">
        <v>0.05</v>
      </c>
      <c r="AE163" s="537">
        <v>0.05</v>
      </c>
      <c r="AF163" s="537">
        <v>0.05</v>
      </c>
      <c r="AG163" s="537">
        <v>0.05</v>
      </c>
      <c r="AH163" s="538">
        <f t="shared" si="130"/>
        <v>0.05</v>
      </c>
      <c r="AI163" s="538">
        <f t="shared" si="130"/>
        <v>0.05</v>
      </c>
      <c r="AJ163" s="538">
        <f t="shared" si="130"/>
        <v>0.05</v>
      </c>
      <c r="AK163" s="538">
        <f t="shared" si="130"/>
        <v>0.05</v>
      </c>
      <c r="AL163" s="538">
        <f t="shared" si="130"/>
        <v>0.05</v>
      </c>
      <c r="AM163" s="538">
        <f t="shared" si="130"/>
        <v>0.05</v>
      </c>
      <c r="AN163" s="538">
        <f t="shared" si="130"/>
        <v>0.05</v>
      </c>
      <c r="AO163" s="538">
        <f t="shared" si="130"/>
        <v>0.05</v>
      </c>
      <c r="AP163" s="538">
        <f t="shared" si="130"/>
        <v>0.05</v>
      </c>
      <c r="AQ163" s="538">
        <f t="shared" si="130"/>
        <v>0.05</v>
      </c>
      <c r="AR163" s="538">
        <f t="shared" si="130"/>
        <v>0.05</v>
      </c>
      <c r="AS163" s="538">
        <f t="shared" si="130"/>
        <v>0.05</v>
      </c>
      <c r="AT163" s="538">
        <f t="shared" si="130"/>
        <v>0.05</v>
      </c>
      <c r="AU163" s="538">
        <f t="shared" si="130"/>
        <v>0.05</v>
      </c>
      <c r="AV163" s="538">
        <f t="shared" si="130"/>
        <v>0.05</v>
      </c>
      <c r="AW163" s="538">
        <f t="shared" si="130"/>
        <v>0.05</v>
      </c>
      <c r="AX163" s="538">
        <f t="shared" ref="AX163:BM164" si="133">AW163</f>
        <v>0.05</v>
      </c>
      <c r="AY163" s="538">
        <f t="shared" si="133"/>
        <v>0.05</v>
      </c>
      <c r="AZ163" s="538">
        <f t="shared" si="133"/>
        <v>0.05</v>
      </c>
      <c r="BA163" s="538">
        <f t="shared" si="133"/>
        <v>0.05</v>
      </c>
      <c r="BB163" s="538">
        <f t="shared" si="133"/>
        <v>0.05</v>
      </c>
      <c r="BC163" s="538">
        <f t="shared" si="133"/>
        <v>0.05</v>
      </c>
      <c r="BD163" s="538">
        <f t="shared" si="133"/>
        <v>0.05</v>
      </c>
      <c r="BE163" s="538">
        <f t="shared" si="133"/>
        <v>0.05</v>
      </c>
      <c r="BF163" s="538">
        <f t="shared" si="133"/>
        <v>0.05</v>
      </c>
      <c r="BG163" s="538">
        <f t="shared" si="133"/>
        <v>0.05</v>
      </c>
      <c r="BH163" s="538">
        <f t="shared" si="133"/>
        <v>0.05</v>
      </c>
      <c r="BI163" s="538">
        <f t="shared" si="133"/>
        <v>0.05</v>
      </c>
      <c r="BJ163" s="538">
        <f t="shared" si="133"/>
        <v>0.05</v>
      </c>
      <c r="BK163" s="538">
        <f t="shared" si="133"/>
        <v>0.05</v>
      </c>
      <c r="BL163" s="538">
        <f t="shared" si="133"/>
        <v>0.05</v>
      </c>
      <c r="BM163" s="538">
        <f t="shared" si="133"/>
        <v>0.05</v>
      </c>
      <c r="BN163" s="538">
        <f t="shared" si="131"/>
        <v>0.05</v>
      </c>
      <c r="BO163" s="538">
        <f t="shared" si="131"/>
        <v>0.05</v>
      </c>
      <c r="BP163" s="538">
        <f t="shared" si="131"/>
        <v>0.05</v>
      </c>
      <c r="BQ163" s="538">
        <f t="shared" si="131"/>
        <v>0.05</v>
      </c>
      <c r="BR163" s="538">
        <f t="shared" si="131"/>
        <v>0.05</v>
      </c>
      <c r="BS163" s="538">
        <f t="shared" si="131"/>
        <v>0.05</v>
      </c>
      <c r="BT163" s="538">
        <f t="shared" si="131"/>
        <v>0.05</v>
      </c>
      <c r="BU163" s="538">
        <f t="shared" si="131"/>
        <v>0.05</v>
      </c>
      <c r="BV163" s="538">
        <f t="shared" si="131"/>
        <v>0.05</v>
      </c>
      <c r="BW163" s="538">
        <f t="shared" si="131"/>
        <v>0.05</v>
      </c>
      <c r="BX163" s="538">
        <f t="shared" si="131"/>
        <v>0.05</v>
      </c>
      <c r="BY163" s="538">
        <f t="shared" si="131"/>
        <v>0.05</v>
      </c>
      <c r="BZ163" s="538">
        <f t="shared" si="131"/>
        <v>0.05</v>
      </c>
      <c r="CA163" s="538">
        <f t="shared" si="131"/>
        <v>0.05</v>
      </c>
      <c r="CB163" s="538">
        <f t="shared" si="131"/>
        <v>0.05</v>
      </c>
      <c r="CC163" s="538">
        <f t="shared" si="131"/>
        <v>0.05</v>
      </c>
      <c r="CD163" s="538">
        <f t="shared" si="132"/>
        <v>0.05</v>
      </c>
      <c r="CE163" s="538">
        <f t="shared" si="132"/>
        <v>0.05</v>
      </c>
      <c r="CG163" s="537">
        <v>0.05</v>
      </c>
      <c r="CH163" s="537">
        <v>0.05</v>
      </c>
      <c r="CI163" s="537">
        <v>0.05</v>
      </c>
      <c r="CJ163" s="537">
        <v>0.05</v>
      </c>
      <c r="CK163" s="537">
        <v>0.05</v>
      </c>
      <c r="CL163" s="537">
        <v>0.05</v>
      </c>
      <c r="CM163" s="537">
        <v>0.05</v>
      </c>
      <c r="CN163" s="537">
        <v>0.05</v>
      </c>
      <c r="CO163" s="537">
        <v>0.05</v>
      </c>
      <c r="CP163" s="537">
        <v>0.05</v>
      </c>
      <c r="CQ163" s="537">
        <v>0.05</v>
      </c>
      <c r="CR163" s="537">
        <v>0.05</v>
      </c>
      <c r="CS163" s="537">
        <v>0.05</v>
      </c>
      <c r="CT163" s="537">
        <v>0.05</v>
      </c>
      <c r="CU163" s="537">
        <v>0.05</v>
      </c>
      <c r="CV163" s="537">
        <v>0.05</v>
      </c>
      <c r="CW163" s="537">
        <v>0.05</v>
      </c>
      <c r="CX163" s="537">
        <v>0.05</v>
      </c>
      <c r="CY163" s="537">
        <v>0.05</v>
      </c>
      <c r="CZ163" s="537">
        <v>0.05</v>
      </c>
      <c r="DA163" s="537">
        <v>0.05</v>
      </c>
      <c r="DB163" s="537">
        <v>0.05</v>
      </c>
      <c r="DC163" s="537">
        <v>0.05</v>
      </c>
      <c r="DD163" s="537">
        <v>0.05</v>
      </c>
      <c r="DE163" s="537">
        <v>0.05</v>
      </c>
      <c r="DF163" s="537">
        <v>0.05</v>
      </c>
      <c r="DG163" s="537">
        <v>0.05</v>
      </c>
      <c r="DH163" s="537">
        <v>0.05</v>
      </c>
    </row>
    <row r="164" spans="2:112">
      <c r="B164" t="s">
        <v>1046</v>
      </c>
      <c r="C164" t="s">
        <v>753</v>
      </c>
      <c r="D164" t="s">
        <v>901</v>
      </c>
      <c r="E164" t="s">
        <v>895</v>
      </c>
      <c r="F164" s="537">
        <v>0.05</v>
      </c>
      <c r="G164" s="537">
        <v>0.05</v>
      </c>
      <c r="H164" s="537">
        <v>0.05</v>
      </c>
      <c r="I164" s="537">
        <v>0.05</v>
      </c>
      <c r="J164" s="537">
        <v>0.05</v>
      </c>
      <c r="K164" s="537">
        <v>0.05</v>
      </c>
      <c r="L164" s="537">
        <v>0.05</v>
      </c>
      <c r="M164" s="537">
        <v>0.05</v>
      </c>
      <c r="N164" s="537">
        <v>0.05</v>
      </c>
      <c r="O164" s="537">
        <v>0.05</v>
      </c>
      <c r="P164" s="537">
        <v>0.05</v>
      </c>
      <c r="Q164" s="537">
        <v>0.05</v>
      </c>
      <c r="R164" s="537">
        <v>0.05</v>
      </c>
      <c r="S164" s="537">
        <v>0.05</v>
      </c>
      <c r="T164" s="537">
        <v>0.05</v>
      </c>
      <c r="U164" s="537">
        <v>0.05</v>
      </c>
      <c r="V164" s="537">
        <v>0.05</v>
      </c>
      <c r="W164" s="537">
        <v>0.05</v>
      </c>
      <c r="X164" s="537">
        <v>0.05</v>
      </c>
      <c r="Y164" s="537">
        <v>0.05</v>
      </c>
      <c r="Z164" s="537">
        <v>0.05</v>
      </c>
      <c r="AA164" s="537">
        <v>0.05</v>
      </c>
      <c r="AB164" s="537">
        <v>0.05</v>
      </c>
      <c r="AC164" s="537">
        <v>0.05</v>
      </c>
      <c r="AD164" s="537">
        <v>0.05</v>
      </c>
      <c r="AE164" s="537">
        <v>0.05</v>
      </c>
      <c r="AF164" s="537">
        <v>0.05</v>
      </c>
      <c r="AG164" s="537">
        <v>0.05</v>
      </c>
      <c r="AH164" s="538">
        <f t="shared" si="130"/>
        <v>0.05</v>
      </c>
      <c r="AI164" s="538">
        <f t="shared" si="130"/>
        <v>0.05</v>
      </c>
      <c r="AJ164" s="538">
        <f t="shared" si="130"/>
        <v>0.05</v>
      </c>
      <c r="AK164" s="538">
        <f t="shared" si="130"/>
        <v>0.05</v>
      </c>
      <c r="AL164" s="538">
        <f t="shared" si="130"/>
        <v>0.05</v>
      </c>
      <c r="AM164" s="538">
        <f t="shared" si="130"/>
        <v>0.05</v>
      </c>
      <c r="AN164" s="538">
        <f t="shared" si="130"/>
        <v>0.05</v>
      </c>
      <c r="AO164" s="538">
        <f t="shared" si="130"/>
        <v>0.05</v>
      </c>
      <c r="AP164" s="538">
        <f t="shared" si="130"/>
        <v>0.05</v>
      </c>
      <c r="AQ164" s="538">
        <f t="shared" si="130"/>
        <v>0.05</v>
      </c>
      <c r="AR164" s="538">
        <f t="shared" si="130"/>
        <v>0.05</v>
      </c>
      <c r="AS164" s="538">
        <f t="shared" si="130"/>
        <v>0.05</v>
      </c>
      <c r="AT164" s="538">
        <f t="shared" si="130"/>
        <v>0.05</v>
      </c>
      <c r="AU164" s="538">
        <f t="shared" si="130"/>
        <v>0.05</v>
      </c>
      <c r="AV164" s="538">
        <f t="shared" si="130"/>
        <v>0.05</v>
      </c>
      <c r="AW164" s="538">
        <f t="shared" si="130"/>
        <v>0.05</v>
      </c>
      <c r="AX164" s="538">
        <f t="shared" si="133"/>
        <v>0.05</v>
      </c>
      <c r="AY164" s="538">
        <f t="shared" si="133"/>
        <v>0.05</v>
      </c>
      <c r="AZ164" s="538">
        <f t="shared" si="133"/>
        <v>0.05</v>
      </c>
      <c r="BA164" s="538">
        <f t="shared" si="133"/>
        <v>0.05</v>
      </c>
      <c r="BB164" s="538">
        <f t="shared" si="133"/>
        <v>0.05</v>
      </c>
      <c r="BC164" s="538">
        <f t="shared" si="133"/>
        <v>0.05</v>
      </c>
      <c r="BD164" s="538">
        <f t="shared" si="133"/>
        <v>0.05</v>
      </c>
      <c r="BE164" s="538">
        <f t="shared" si="133"/>
        <v>0.05</v>
      </c>
      <c r="BF164" s="538">
        <f t="shared" si="133"/>
        <v>0.05</v>
      </c>
      <c r="BG164" s="538">
        <f t="shared" si="133"/>
        <v>0.05</v>
      </c>
      <c r="BH164" s="538">
        <f t="shared" si="133"/>
        <v>0.05</v>
      </c>
      <c r="BI164" s="538">
        <f t="shared" si="133"/>
        <v>0.05</v>
      </c>
      <c r="BJ164" s="538">
        <f t="shared" si="133"/>
        <v>0.05</v>
      </c>
      <c r="BK164" s="538">
        <f t="shared" si="133"/>
        <v>0.05</v>
      </c>
      <c r="BL164" s="538">
        <f t="shared" si="133"/>
        <v>0.05</v>
      </c>
      <c r="BM164" s="538">
        <f t="shared" si="133"/>
        <v>0.05</v>
      </c>
      <c r="BN164" s="538">
        <f t="shared" si="131"/>
        <v>0.05</v>
      </c>
      <c r="BO164" s="538">
        <f t="shared" si="131"/>
        <v>0.05</v>
      </c>
      <c r="BP164" s="538">
        <f t="shared" si="131"/>
        <v>0.05</v>
      </c>
      <c r="BQ164" s="538">
        <f t="shared" si="131"/>
        <v>0.05</v>
      </c>
      <c r="BR164" s="538">
        <f t="shared" si="131"/>
        <v>0.05</v>
      </c>
      <c r="BS164" s="538">
        <f t="shared" si="131"/>
        <v>0.05</v>
      </c>
      <c r="BT164" s="538">
        <f t="shared" si="131"/>
        <v>0.05</v>
      </c>
      <c r="BU164" s="538">
        <f t="shared" si="131"/>
        <v>0.05</v>
      </c>
      <c r="BV164" s="538">
        <f t="shared" si="131"/>
        <v>0.05</v>
      </c>
      <c r="BW164" s="538">
        <f t="shared" si="131"/>
        <v>0.05</v>
      </c>
      <c r="BX164" s="538">
        <f t="shared" si="131"/>
        <v>0.05</v>
      </c>
      <c r="BY164" s="538">
        <f t="shared" si="131"/>
        <v>0.05</v>
      </c>
      <c r="BZ164" s="538">
        <f t="shared" si="131"/>
        <v>0.05</v>
      </c>
      <c r="CA164" s="538">
        <f t="shared" si="131"/>
        <v>0.05</v>
      </c>
      <c r="CB164" s="538">
        <f t="shared" si="131"/>
        <v>0.05</v>
      </c>
      <c r="CC164" s="538">
        <f t="shared" si="131"/>
        <v>0.05</v>
      </c>
      <c r="CD164" s="538">
        <f t="shared" si="132"/>
        <v>0.05</v>
      </c>
      <c r="CE164" s="538">
        <f t="shared" si="132"/>
        <v>0.05</v>
      </c>
      <c r="CG164" s="537">
        <v>0.05</v>
      </c>
      <c r="CH164" s="537">
        <v>0.05</v>
      </c>
      <c r="CI164" s="537">
        <v>0.05</v>
      </c>
      <c r="CJ164" s="537">
        <v>0.05</v>
      </c>
      <c r="CK164" s="537">
        <v>0.05</v>
      </c>
      <c r="CL164" s="537">
        <v>0.05</v>
      </c>
      <c r="CM164" s="537">
        <v>0.05</v>
      </c>
      <c r="CN164" s="537">
        <v>0.05</v>
      </c>
      <c r="CO164" s="537">
        <v>0.05</v>
      </c>
      <c r="CP164" s="537">
        <v>0.05</v>
      </c>
      <c r="CQ164" s="537">
        <v>0.05</v>
      </c>
      <c r="CR164" s="537">
        <v>0.05</v>
      </c>
      <c r="CS164" s="537">
        <v>0.05</v>
      </c>
      <c r="CT164" s="537">
        <v>0.05</v>
      </c>
      <c r="CU164" s="537">
        <v>0.05</v>
      </c>
      <c r="CV164" s="537">
        <v>0.05</v>
      </c>
      <c r="CW164" s="537">
        <v>0.05</v>
      </c>
      <c r="CX164" s="537">
        <v>0.05</v>
      </c>
      <c r="CY164" s="537">
        <v>0.05</v>
      </c>
      <c r="CZ164" s="537">
        <v>0.05</v>
      </c>
      <c r="DA164" s="537">
        <v>0.05</v>
      </c>
      <c r="DB164" s="537">
        <v>0.05</v>
      </c>
      <c r="DC164" s="537">
        <v>0.05</v>
      </c>
      <c r="DD164" s="537">
        <v>0.05</v>
      </c>
      <c r="DE164" s="537">
        <v>0.05</v>
      </c>
      <c r="DF164" s="537">
        <v>0.05</v>
      </c>
      <c r="DG164" s="537">
        <v>0.05</v>
      </c>
      <c r="DH164" s="537">
        <v>0.05</v>
      </c>
    </row>
    <row r="165" spans="2:112">
      <c r="F165" s="539"/>
      <c r="G165" s="539"/>
      <c r="H165" s="539"/>
      <c r="I165" s="539"/>
      <c r="J165" s="539"/>
      <c r="K165" s="539"/>
      <c r="L165" s="539"/>
      <c r="M165" s="539"/>
      <c r="N165" s="539"/>
      <c r="O165" s="539"/>
      <c r="P165" s="539"/>
      <c r="Q165" s="539"/>
      <c r="R165" s="539"/>
      <c r="S165" s="539"/>
      <c r="T165" s="539"/>
      <c r="U165" s="539"/>
      <c r="V165" s="539"/>
      <c r="W165" s="539"/>
      <c r="X165" s="539"/>
      <c r="Y165" s="539"/>
      <c r="Z165" s="539"/>
      <c r="AA165" s="539"/>
      <c r="AB165" s="539"/>
      <c r="AC165" s="539"/>
      <c r="AD165" s="539"/>
      <c r="AE165" s="539"/>
      <c r="AF165" s="539"/>
      <c r="AG165" s="539"/>
      <c r="AH165" s="539"/>
      <c r="AI165" s="539"/>
      <c r="AJ165" s="539"/>
      <c r="AK165" s="539"/>
      <c r="AL165" s="539"/>
      <c r="AM165" s="539"/>
      <c r="AN165" s="539"/>
      <c r="AO165" s="539"/>
      <c r="AP165" s="539"/>
      <c r="AQ165" s="539"/>
      <c r="AR165" s="539"/>
      <c r="AS165" s="539"/>
      <c r="AT165" s="539"/>
      <c r="AU165" s="539"/>
      <c r="AV165" s="539"/>
      <c r="AW165" s="539"/>
      <c r="AX165" s="539"/>
      <c r="AY165" s="539"/>
      <c r="AZ165" s="539"/>
      <c r="BA165" s="539"/>
      <c r="BB165" s="539"/>
      <c r="BC165" s="539"/>
      <c r="BD165" s="539"/>
      <c r="BE165" s="539"/>
      <c r="BF165" s="539"/>
      <c r="BG165" s="539"/>
      <c r="BH165" s="539"/>
      <c r="BI165" s="539"/>
      <c r="BJ165" s="539"/>
      <c r="BK165" s="539"/>
      <c r="BL165" s="539"/>
      <c r="BM165" s="539"/>
      <c r="BN165" s="539"/>
      <c r="BO165" s="539"/>
      <c r="BP165" s="539"/>
      <c r="BQ165" s="539"/>
      <c r="BR165" s="539"/>
      <c r="BS165" s="539"/>
      <c r="BT165" s="539"/>
      <c r="BU165" s="539"/>
      <c r="BV165" s="539"/>
      <c r="BW165" s="539"/>
      <c r="BX165" s="539"/>
      <c r="BY165" s="539"/>
      <c r="BZ165" s="539"/>
      <c r="CA165" s="539"/>
      <c r="CB165" s="539"/>
      <c r="CC165" s="539"/>
      <c r="CD165" s="539"/>
      <c r="CE165" s="539"/>
      <c r="CG165" s="539"/>
      <c r="CH165" s="539"/>
      <c r="CI165" s="539"/>
      <c r="CJ165" s="539"/>
      <c r="CK165" s="539"/>
      <c r="CL165" s="539"/>
      <c r="CM165" s="539"/>
      <c r="CN165" s="539"/>
      <c r="CO165" s="539"/>
      <c r="CP165" s="539"/>
      <c r="CQ165" s="539"/>
      <c r="CR165" s="539"/>
      <c r="CS165" s="539"/>
      <c r="CT165" s="539"/>
      <c r="CU165" s="539"/>
      <c r="CV165" s="539"/>
      <c r="CW165" s="539"/>
      <c r="CX165" s="539"/>
      <c r="CY165" s="539"/>
      <c r="CZ165" s="539"/>
      <c r="DA165" s="539"/>
      <c r="DB165" s="539"/>
      <c r="DC165" s="539"/>
      <c r="DD165" s="539"/>
      <c r="DE165" s="539"/>
      <c r="DF165" s="539"/>
      <c r="DG165" s="539"/>
      <c r="DH165" s="539"/>
    </row>
    <row r="166" spans="2:112">
      <c r="B166" t="s">
        <v>1047</v>
      </c>
      <c r="C166" t="s">
        <v>753</v>
      </c>
      <c r="D166" t="s">
        <v>903</v>
      </c>
      <c r="E166" t="s">
        <v>557</v>
      </c>
      <c r="F166" s="536">
        <v>59130</v>
      </c>
      <c r="G166" s="536">
        <v>59130</v>
      </c>
      <c r="H166" s="536">
        <v>59130</v>
      </c>
      <c r="I166" s="536">
        <v>59130</v>
      </c>
      <c r="J166" s="536">
        <v>59130</v>
      </c>
      <c r="K166" s="536">
        <v>59130</v>
      </c>
      <c r="L166" s="536">
        <v>59130</v>
      </c>
      <c r="M166" s="536">
        <v>59130</v>
      </c>
      <c r="N166" s="536">
        <v>59130</v>
      </c>
      <c r="O166" s="536">
        <v>59130</v>
      </c>
      <c r="P166" s="536">
        <v>59130</v>
      </c>
      <c r="Q166" s="536">
        <v>59130</v>
      </c>
      <c r="R166" s="536">
        <v>59130</v>
      </c>
      <c r="S166" s="536">
        <v>59130</v>
      </c>
      <c r="T166" s="536">
        <v>59130</v>
      </c>
      <c r="U166" s="536">
        <v>59130</v>
      </c>
      <c r="V166" s="536">
        <v>59130</v>
      </c>
      <c r="W166" s="536">
        <v>59130</v>
      </c>
      <c r="X166" s="536">
        <v>59130</v>
      </c>
      <c r="Y166" s="536">
        <v>59130</v>
      </c>
      <c r="Z166" s="536">
        <v>59130</v>
      </c>
      <c r="AA166" s="536">
        <v>59130</v>
      </c>
      <c r="AB166" s="536">
        <v>59130</v>
      </c>
      <c r="AC166" s="536">
        <v>59130</v>
      </c>
      <c r="AD166" s="536">
        <v>59130</v>
      </c>
      <c r="AE166" s="536">
        <v>59130</v>
      </c>
      <c r="AF166" s="536">
        <v>59130</v>
      </c>
      <c r="AG166" s="536">
        <v>59130</v>
      </c>
      <c r="AH166" s="540">
        <f>AG166</f>
        <v>59130</v>
      </c>
      <c r="AI166" s="540">
        <f t="shared" ref="AI166:CE167" si="134">AH166</f>
        <v>59130</v>
      </c>
      <c r="AJ166" s="540">
        <f t="shared" si="134"/>
        <v>59130</v>
      </c>
      <c r="AK166" s="540">
        <f t="shared" si="134"/>
        <v>59130</v>
      </c>
      <c r="AL166" s="540">
        <f t="shared" si="134"/>
        <v>59130</v>
      </c>
      <c r="AM166" s="540">
        <f t="shared" si="134"/>
        <v>59130</v>
      </c>
      <c r="AN166" s="540">
        <f t="shared" si="134"/>
        <v>59130</v>
      </c>
      <c r="AO166" s="540">
        <f t="shared" si="134"/>
        <v>59130</v>
      </c>
      <c r="AP166" s="540">
        <f t="shared" si="134"/>
        <v>59130</v>
      </c>
      <c r="AQ166" s="540">
        <f t="shared" si="134"/>
        <v>59130</v>
      </c>
      <c r="AR166" s="540">
        <f t="shared" si="134"/>
        <v>59130</v>
      </c>
      <c r="AS166" s="540">
        <f t="shared" si="134"/>
        <v>59130</v>
      </c>
      <c r="AT166" s="540">
        <f t="shared" si="134"/>
        <v>59130</v>
      </c>
      <c r="AU166" s="540">
        <f t="shared" si="134"/>
        <v>59130</v>
      </c>
      <c r="AV166" s="540">
        <f t="shared" si="134"/>
        <v>59130</v>
      </c>
      <c r="AW166" s="540">
        <f t="shared" si="134"/>
        <v>59130</v>
      </c>
      <c r="AX166" s="540">
        <f t="shared" si="134"/>
        <v>59130</v>
      </c>
      <c r="AY166" s="540">
        <f t="shared" si="134"/>
        <v>59130</v>
      </c>
      <c r="AZ166" s="540">
        <f t="shared" si="134"/>
        <v>59130</v>
      </c>
      <c r="BA166" s="540">
        <f t="shared" si="134"/>
        <v>59130</v>
      </c>
      <c r="BB166" s="540">
        <f t="shared" si="134"/>
        <v>59130</v>
      </c>
      <c r="BC166" s="540">
        <f t="shared" si="134"/>
        <v>59130</v>
      </c>
      <c r="BD166" s="540">
        <f t="shared" si="134"/>
        <v>59130</v>
      </c>
      <c r="BE166" s="540">
        <f t="shared" si="134"/>
        <v>59130</v>
      </c>
      <c r="BF166" s="540">
        <f t="shared" si="134"/>
        <v>59130</v>
      </c>
      <c r="BG166" s="540">
        <f t="shared" si="134"/>
        <v>59130</v>
      </c>
      <c r="BH166" s="540">
        <f t="shared" si="134"/>
        <v>59130</v>
      </c>
      <c r="BI166" s="540">
        <f t="shared" si="134"/>
        <v>59130</v>
      </c>
      <c r="BJ166" s="540">
        <f t="shared" si="134"/>
        <v>59130</v>
      </c>
      <c r="BK166" s="540">
        <f t="shared" si="134"/>
        <v>59130</v>
      </c>
      <c r="BL166" s="540">
        <f t="shared" si="134"/>
        <v>59130</v>
      </c>
      <c r="BM166" s="540">
        <f t="shared" si="134"/>
        <v>59130</v>
      </c>
      <c r="BN166" s="540">
        <f t="shared" si="134"/>
        <v>59130</v>
      </c>
      <c r="BO166" s="540">
        <f t="shared" si="134"/>
        <v>59130</v>
      </c>
      <c r="BP166" s="540">
        <f t="shared" si="134"/>
        <v>59130</v>
      </c>
      <c r="BQ166" s="540">
        <f t="shared" si="134"/>
        <v>59130</v>
      </c>
      <c r="BR166" s="540">
        <f t="shared" si="134"/>
        <v>59130</v>
      </c>
      <c r="BS166" s="540">
        <f t="shared" si="134"/>
        <v>59130</v>
      </c>
      <c r="BT166" s="540">
        <f t="shared" si="134"/>
        <v>59130</v>
      </c>
      <c r="BU166" s="540">
        <f t="shared" si="134"/>
        <v>59130</v>
      </c>
      <c r="BV166" s="540">
        <f t="shared" si="134"/>
        <v>59130</v>
      </c>
      <c r="BW166" s="540">
        <f t="shared" si="134"/>
        <v>59130</v>
      </c>
      <c r="BX166" s="540">
        <f t="shared" si="134"/>
        <v>59130</v>
      </c>
      <c r="BY166" s="540">
        <f t="shared" si="134"/>
        <v>59130</v>
      </c>
      <c r="BZ166" s="540">
        <f t="shared" si="134"/>
        <v>59130</v>
      </c>
      <c r="CA166" s="540">
        <f t="shared" si="134"/>
        <v>59130</v>
      </c>
      <c r="CB166" s="540">
        <f t="shared" si="134"/>
        <v>59130</v>
      </c>
      <c r="CC166" s="540">
        <f t="shared" si="134"/>
        <v>59130</v>
      </c>
      <c r="CD166" s="540">
        <f t="shared" si="134"/>
        <v>59130</v>
      </c>
      <c r="CE166" s="540">
        <f t="shared" si="134"/>
        <v>59130</v>
      </c>
      <c r="CG166" s="536">
        <v>59130</v>
      </c>
      <c r="CH166" s="536">
        <v>59130</v>
      </c>
      <c r="CI166" s="536">
        <v>59130</v>
      </c>
      <c r="CJ166" s="536">
        <v>59130</v>
      </c>
      <c r="CK166" s="536">
        <v>59130</v>
      </c>
      <c r="CL166" s="536">
        <v>59130</v>
      </c>
      <c r="CM166" s="536">
        <v>59130</v>
      </c>
      <c r="CN166" s="536">
        <v>59130</v>
      </c>
      <c r="CO166" s="536">
        <v>59130</v>
      </c>
      <c r="CP166" s="536">
        <v>59130</v>
      </c>
      <c r="CQ166" s="536">
        <v>59130</v>
      </c>
      <c r="CR166" s="536">
        <v>59130</v>
      </c>
      <c r="CS166" s="536">
        <v>59130</v>
      </c>
      <c r="CT166" s="536">
        <v>59130</v>
      </c>
      <c r="CU166" s="536">
        <v>59130</v>
      </c>
      <c r="CV166" s="536">
        <v>59130</v>
      </c>
      <c r="CW166" s="536">
        <v>59130</v>
      </c>
      <c r="CX166" s="536">
        <v>59130</v>
      </c>
      <c r="CY166" s="536">
        <v>59130</v>
      </c>
      <c r="CZ166" s="536">
        <v>59130</v>
      </c>
      <c r="DA166" s="536">
        <v>59130</v>
      </c>
      <c r="DB166" s="536">
        <v>59130</v>
      </c>
      <c r="DC166" s="536">
        <v>59130</v>
      </c>
      <c r="DD166" s="536">
        <v>59130</v>
      </c>
      <c r="DE166" s="536">
        <v>59130</v>
      </c>
      <c r="DF166" s="536">
        <v>59130</v>
      </c>
      <c r="DG166" s="536">
        <v>59130</v>
      </c>
      <c r="DH166" s="536">
        <v>59130</v>
      </c>
    </row>
    <row r="167" spans="2:112">
      <c r="B167" t="s">
        <v>1048</v>
      </c>
      <c r="C167" t="s">
        <v>753</v>
      </c>
      <c r="D167" t="s">
        <v>905</v>
      </c>
      <c r="E167" t="s">
        <v>557</v>
      </c>
      <c r="F167" s="536">
        <v>22935.272727272728</v>
      </c>
      <c r="G167" s="536">
        <v>22935.272727272728</v>
      </c>
      <c r="H167" s="536">
        <v>22935.272727272728</v>
      </c>
      <c r="I167" s="536">
        <v>22935.272727272728</v>
      </c>
      <c r="J167" s="536">
        <v>22935.272727272728</v>
      </c>
      <c r="K167" s="536">
        <v>22935.272727272728</v>
      </c>
      <c r="L167" s="536">
        <v>22935.272727272728</v>
      </c>
      <c r="M167" s="536">
        <v>22935.272727272728</v>
      </c>
      <c r="N167" s="536">
        <v>22935.272727272728</v>
      </c>
      <c r="O167" s="536">
        <v>22935.272727272728</v>
      </c>
      <c r="P167" s="536">
        <v>22935.272727272728</v>
      </c>
      <c r="Q167" s="536">
        <v>22935.272727272728</v>
      </c>
      <c r="R167" s="536">
        <v>22935.272727272728</v>
      </c>
      <c r="S167" s="536">
        <v>22935.272727272728</v>
      </c>
      <c r="T167" s="536">
        <v>22935.272727272728</v>
      </c>
      <c r="U167" s="536">
        <v>22935.272727272728</v>
      </c>
      <c r="V167" s="536">
        <v>22935.272727272728</v>
      </c>
      <c r="W167" s="536">
        <v>22935.272727272728</v>
      </c>
      <c r="X167" s="536">
        <v>22935.272727272728</v>
      </c>
      <c r="Y167" s="536">
        <v>22935.272727272728</v>
      </c>
      <c r="Z167" s="536">
        <v>22935.272727272728</v>
      </c>
      <c r="AA167" s="536">
        <v>22935.272727272728</v>
      </c>
      <c r="AB167" s="536">
        <v>22935.272727272728</v>
      </c>
      <c r="AC167" s="536">
        <v>22935.272727272728</v>
      </c>
      <c r="AD167" s="536">
        <v>22935.272727272728</v>
      </c>
      <c r="AE167" s="536">
        <v>22935.272727272728</v>
      </c>
      <c r="AF167" s="536">
        <v>22935.272727272728</v>
      </c>
      <c r="AG167" s="536">
        <v>22935.272727272728</v>
      </c>
      <c r="AH167" s="540">
        <f>AG167</f>
        <v>22935.272727272728</v>
      </c>
      <c r="AI167" s="540">
        <f t="shared" si="134"/>
        <v>22935.272727272728</v>
      </c>
      <c r="AJ167" s="540">
        <f t="shared" si="134"/>
        <v>22935.272727272728</v>
      </c>
      <c r="AK167" s="540">
        <f t="shared" si="134"/>
        <v>22935.272727272728</v>
      </c>
      <c r="AL167" s="540">
        <f t="shared" si="134"/>
        <v>22935.272727272728</v>
      </c>
      <c r="AM167" s="540">
        <f t="shared" si="134"/>
        <v>22935.272727272728</v>
      </c>
      <c r="AN167" s="540">
        <f t="shared" si="134"/>
        <v>22935.272727272728</v>
      </c>
      <c r="AO167" s="540">
        <f t="shared" si="134"/>
        <v>22935.272727272728</v>
      </c>
      <c r="AP167" s="540">
        <f t="shared" si="134"/>
        <v>22935.272727272728</v>
      </c>
      <c r="AQ167" s="540">
        <f t="shared" si="134"/>
        <v>22935.272727272728</v>
      </c>
      <c r="AR167" s="540">
        <f t="shared" si="134"/>
        <v>22935.272727272728</v>
      </c>
      <c r="AS167" s="540">
        <f t="shared" si="134"/>
        <v>22935.272727272728</v>
      </c>
      <c r="AT167" s="540">
        <f t="shared" si="134"/>
        <v>22935.272727272728</v>
      </c>
      <c r="AU167" s="540">
        <f t="shared" si="134"/>
        <v>22935.272727272728</v>
      </c>
      <c r="AV167" s="540">
        <f t="shared" si="134"/>
        <v>22935.272727272728</v>
      </c>
      <c r="AW167" s="540">
        <f t="shared" si="134"/>
        <v>22935.272727272728</v>
      </c>
      <c r="AX167" s="540">
        <f t="shared" si="134"/>
        <v>22935.272727272728</v>
      </c>
      <c r="AY167" s="540">
        <f t="shared" si="134"/>
        <v>22935.272727272728</v>
      </c>
      <c r="AZ167" s="540">
        <f t="shared" si="134"/>
        <v>22935.272727272728</v>
      </c>
      <c r="BA167" s="540">
        <f t="shared" si="134"/>
        <v>22935.272727272728</v>
      </c>
      <c r="BB167" s="540">
        <f t="shared" si="134"/>
        <v>22935.272727272728</v>
      </c>
      <c r="BC167" s="540">
        <f t="shared" si="134"/>
        <v>22935.272727272728</v>
      </c>
      <c r="BD167" s="540">
        <f t="shared" si="134"/>
        <v>22935.272727272728</v>
      </c>
      <c r="BE167" s="540">
        <f t="shared" si="134"/>
        <v>22935.272727272728</v>
      </c>
      <c r="BF167" s="540">
        <f t="shared" si="134"/>
        <v>22935.272727272728</v>
      </c>
      <c r="BG167" s="540">
        <f t="shared" si="134"/>
        <v>22935.272727272728</v>
      </c>
      <c r="BH167" s="540">
        <f t="shared" si="134"/>
        <v>22935.272727272728</v>
      </c>
      <c r="BI167" s="540">
        <f t="shared" si="134"/>
        <v>22935.272727272728</v>
      </c>
      <c r="BJ167" s="540">
        <f t="shared" si="134"/>
        <v>22935.272727272728</v>
      </c>
      <c r="BK167" s="540">
        <f t="shared" si="134"/>
        <v>22935.272727272728</v>
      </c>
      <c r="BL167" s="540">
        <f t="shared" si="134"/>
        <v>22935.272727272728</v>
      </c>
      <c r="BM167" s="540">
        <f t="shared" si="134"/>
        <v>22935.272727272728</v>
      </c>
      <c r="BN167" s="540">
        <f t="shared" si="134"/>
        <v>22935.272727272728</v>
      </c>
      <c r="BO167" s="540">
        <f t="shared" si="134"/>
        <v>22935.272727272728</v>
      </c>
      <c r="BP167" s="540">
        <f t="shared" si="134"/>
        <v>22935.272727272728</v>
      </c>
      <c r="BQ167" s="540">
        <f t="shared" si="134"/>
        <v>22935.272727272728</v>
      </c>
      <c r="BR167" s="540">
        <f t="shared" si="134"/>
        <v>22935.272727272728</v>
      </c>
      <c r="BS167" s="540">
        <f t="shared" si="134"/>
        <v>22935.272727272728</v>
      </c>
      <c r="BT167" s="540">
        <f t="shared" si="134"/>
        <v>22935.272727272728</v>
      </c>
      <c r="BU167" s="540">
        <f t="shared" si="134"/>
        <v>22935.272727272728</v>
      </c>
      <c r="BV167" s="540">
        <f t="shared" si="134"/>
        <v>22935.272727272728</v>
      </c>
      <c r="BW167" s="540">
        <f t="shared" si="134"/>
        <v>22935.272727272728</v>
      </c>
      <c r="BX167" s="540">
        <f t="shared" si="134"/>
        <v>22935.272727272728</v>
      </c>
      <c r="BY167" s="540">
        <f t="shared" si="134"/>
        <v>22935.272727272728</v>
      </c>
      <c r="BZ167" s="540">
        <f t="shared" si="134"/>
        <v>22935.272727272728</v>
      </c>
      <c r="CA167" s="540">
        <f t="shared" si="134"/>
        <v>22935.272727272728</v>
      </c>
      <c r="CB167" s="540">
        <f t="shared" si="134"/>
        <v>22935.272727272728</v>
      </c>
      <c r="CC167" s="540">
        <f t="shared" si="134"/>
        <v>22935.272727272728</v>
      </c>
      <c r="CD167" s="540">
        <f t="shared" si="134"/>
        <v>22935.272727272728</v>
      </c>
      <c r="CE167" s="540">
        <f t="shared" si="134"/>
        <v>22935.272727272728</v>
      </c>
      <c r="CG167" s="536">
        <v>22935.272727272728</v>
      </c>
      <c r="CH167" s="536">
        <v>22935.272727272728</v>
      </c>
      <c r="CI167" s="536">
        <v>22935.272727272728</v>
      </c>
      <c r="CJ167" s="536">
        <v>22935.272727272728</v>
      </c>
      <c r="CK167" s="536">
        <v>22935.272727272728</v>
      </c>
      <c r="CL167" s="536">
        <v>22935.272727272728</v>
      </c>
      <c r="CM167" s="536">
        <v>22935.272727272728</v>
      </c>
      <c r="CN167" s="536">
        <v>22935.272727272728</v>
      </c>
      <c r="CO167" s="536">
        <v>22935.272727272728</v>
      </c>
      <c r="CP167" s="536">
        <v>22935.272727272728</v>
      </c>
      <c r="CQ167" s="536">
        <v>22935.272727272728</v>
      </c>
      <c r="CR167" s="536">
        <v>22935.272727272728</v>
      </c>
      <c r="CS167" s="536">
        <v>22935.272727272728</v>
      </c>
      <c r="CT167" s="536">
        <v>22935.272727272728</v>
      </c>
      <c r="CU167" s="536">
        <v>22935.272727272728</v>
      </c>
      <c r="CV167" s="536">
        <v>22935.272727272728</v>
      </c>
      <c r="CW167" s="536">
        <v>22935.272727272728</v>
      </c>
      <c r="CX167" s="536">
        <v>22935.272727272728</v>
      </c>
      <c r="CY167" s="536">
        <v>22935.272727272728</v>
      </c>
      <c r="CZ167" s="536">
        <v>22935.272727272728</v>
      </c>
      <c r="DA167" s="536">
        <v>22935.272727272728</v>
      </c>
      <c r="DB167" s="536">
        <v>22935.272727272728</v>
      </c>
      <c r="DC167" s="536">
        <v>22935.272727272728</v>
      </c>
      <c r="DD167" s="536">
        <v>22935.272727272728</v>
      </c>
      <c r="DE167" s="536">
        <v>22935.272727272728</v>
      </c>
      <c r="DF167" s="536">
        <v>22935.272727272728</v>
      </c>
      <c r="DG167" s="536">
        <v>22935.272727272728</v>
      </c>
      <c r="DH167" s="536">
        <v>22935.272727272728</v>
      </c>
    </row>
    <row r="168" spans="2:112">
      <c r="F168" s="539"/>
      <c r="G168" s="539"/>
      <c r="H168" s="539"/>
      <c r="I168" s="539"/>
      <c r="J168" s="539"/>
      <c r="K168" s="539"/>
      <c r="L168" s="539"/>
      <c r="M168" s="539"/>
      <c r="N168" s="539"/>
      <c r="O168" s="539"/>
      <c r="P168" s="539"/>
      <c r="Q168" s="539"/>
      <c r="R168" s="539"/>
      <c r="S168" s="539"/>
      <c r="T168" s="539"/>
      <c r="U168" s="539"/>
      <c r="V168" s="539"/>
      <c r="W168" s="539"/>
      <c r="X168" s="539"/>
      <c r="Y168" s="539"/>
      <c r="Z168" s="539"/>
      <c r="AA168" s="539"/>
      <c r="AB168" s="539"/>
      <c r="AC168" s="539"/>
      <c r="AD168" s="539"/>
      <c r="AE168" s="539"/>
      <c r="AF168" s="539"/>
      <c r="AG168" s="539"/>
      <c r="AH168" s="539"/>
      <c r="AI168" s="539"/>
      <c r="AJ168" s="539"/>
      <c r="AK168" s="539"/>
      <c r="AL168" s="539"/>
      <c r="AM168" s="539"/>
      <c r="AN168" s="539"/>
      <c r="AO168" s="539"/>
      <c r="AP168" s="539"/>
      <c r="AQ168" s="539"/>
      <c r="AR168" s="539"/>
      <c r="AS168" s="539"/>
      <c r="AT168" s="539"/>
      <c r="AU168" s="539"/>
      <c r="AV168" s="539"/>
      <c r="AW168" s="539"/>
      <c r="AX168" s="539"/>
      <c r="AY168" s="539"/>
      <c r="AZ168" s="539"/>
      <c r="BA168" s="539"/>
      <c r="BB168" s="539"/>
      <c r="BC168" s="539"/>
      <c r="BD168" s="539"/>
      <c r="BE168" s="539"/>
      <c r="BF168" s="539"/>
      <c r="BG168" s="539"/>
      <c r="BH168" s="539"/>
      <c r="BI168" s="539"/>
      <c r="BJ168" s="539"/>
      <c r="BK168" s="539"/>
      <c r="BL168" s="539"/>
      <c r="BM168" s="539"/>
      <c r="BN168" s="539"/>
      <c r="BO168" s="539"/>
      <c r="BP168" s="539"/>
      <c r="BQ168" s="539"/>
      <c r="BR168" s="539"/>
      <c r="BS168" s="539"/>
      <c r="BT168" s="539"/>
      <c r="BU168" s="539"/>
      <c r="BV168" s="539"/>
      <c r="BW168" s="539"/>
      <c r="BX168" s="539"/>
      <c r="BY168" s="539"/>
      <c r="BZ168" s="539"/>
      <c r="CA168" s="539"/>
      <c r="CB168" s="539"/>
      <c r="CC168" s="539"/>
      <c r="CD168" s="539"/>
      <c r="CE168" s="539"/>
      <c r="CG168" s="539"/>
      <c r="CH168" s="539"/>
      <c r="CI168" s="539"/>
      <c r="CJ168" s="539"/>
      <c r="CK168" s="539"/>
      <c r="CL168" s="539"/>
      <c r="CM168" s="539"/>
      <c r="CN168" s="539"/>
      <c r="CO168" s="539"/>
      <c r="CP168" s="539"/>
      <c r="CQ168" s="539"/>
      <c r="CR168" s="539"/>
      <c r="CS168" s="539"/>
      <c r="CT168" s="539"/>
      <c r="CU168" s="539"/>
      <c r="CV168" s="539"/>
      <c r="CW168" s="539"/>
      <c r="CX168" s="539"/>
      <c r="CY168" s="539"/>
      <c r="CZ168" s="539"/>
      <c r="DA168" s="539"/>
      <c r="DB168" s="539"/>
      <c r="DC168" s="539"/>
      <c r="DD168" s="539"/>
      <c r="DE168" s="539"/>
      <c r="DF168" s="539"/>
      <c r="DG168" s="539"/>
      <c r="DH168" s="539"/>
    </row>
    <row r="169" spans="2:112">
      <c r="B169" t="s">
        <v>1049</v>
      </c>
      <c r="C169" t="s">
        <v>753</v>
      </c>
      <c r="D169" t="s">
        <v>907</v>
      </c>
      <c r="E169" t="s">
        <v>908</v>
      </c>
      <c r="F169" s="541">
        <v>33.854999999999997</v>
      </c>
      <c r="G169" s="541">
        <v>33.854999999999997</v>
      </c>
      <c r="H169" s="541">
        <v>33.854999999999997</v>
      </c>
      <c r="I169" s="541">
        <v>33.854999999999997</v>
      </c>
      <c r="J169" s="541">
        <v>33.854999999999997</v>
      </c>
      <c r="K169" s="541">
        <v>33.854999999999997</v>
      </c>
      <c r="L169" s="541">
        <v>33.854999999999997</v>
      </c>
      <c r="M169" s="541">
        <v>33.854999999999997</v>
      </c>
      <c r="N169" s="541">
        <v>33.854999999999997</v>
      </c>
      <c r="O169" s="541">
        <v>33.854999999999997</v>
      </c>
      <c r="P169" s="541">
        <v>33.854999999999997</v>
      </c>
      <c r="Q169" s="541">
        <v>33.854999999999997</v>
      </c>
      <c r="R169" s="541">
        <v>33.854999999999997</v>
      </c>
      <c r="S169" s="541">
        <v>33.854999999999997</v>
      </c>
      <c r="T169" s="541">
        <v>33.854999999999997</v>
      </c>
      <c r="U169" s="541">
        <v>33.854999999999997</v>
      </c>
      <c r="V169" s="541">
        <v>33.854999999999997</v>
      </c>
      <c r="W169" s="541">
        <v>33.854999999999997</v>
      </c>
      <c r="X169" s="541">
        <v>33.854999999999997</v>
      </c>
      <c r="Y169" s="541">
        <v>33.854999999999997</v>
      </c>
      <c r="Z169" s="541">
        <v>33.854999999999997</v>
      </c>
      <c r="AA169" s="541">
        <v>33.854999999999997</v>
      </c>
      <c r="AB169" s="541">
        <v>33.854999999999997</v>
      </c>
      <c r="AC169" s="541">
        <v>33.854999999999997</v>
      </c>
      <c r="AD169" s="541">
        <v>33.854999999999997</v>
      </c>
      <c r="AE169" s="541">
        <v>33.854999999999997</v>
      </c>
      <c r="AF169" s="541">
        <v>33.854999999999997</v>
      </c>
      <c r="AG169" s="541">
        <v>33.854999999999997</v>
      </c>
      <c r="AH169" s="542">
        <f>AG169</f>
        <v>33.854999999999997</v>
      </c>
      <c r="AI169" s="542">
        <f t="shared" ref="AI169:AX169" si="135">AH169</f>
        <v>33.854999999999997</v>
      </c>
      <c r="AJ169" s="542">
        <f t="shared" si="135"/>
        <v>33.854999999999997</v>
      </c>
      <c r="AK169" s="542">
        <f t="shared" si="135"/>
        <v>33.854999999999997</v>
      </c>
      <c r="AL169" s="542">
        <f t="shared" si="135"/>
        <v>33.854999999999997</v>
      </c>
      <c r="AM169" s="542">
        <f t="shared" si="135"/>
        <v>33.854999999999997</v>
      </c>
      <c r="AN169" s="542">
        <f t="shared" si="135"/>
        <v>33.854999999999997</v>
      </c>
      <c r="AO169" s="542">
        <f t="shared" si="135"/>
        <v>33.854999999999997</v>
      </c>
      <c r="AP169" s="542">
        <f t="shared" si="135"/>
        <v>33.854999999999997</v>
      </c>
      <c r="AQ169" s="542">
        <f t="shared" si="135"/>
        <v>33.854999999999997</v>
      </c>
      <c r="AR169" s="542">
        <f t="shared" si="135"/>
        <v>33.854999999999997</v>
      </c>
      <c r="AS169" s="542">
        <f t="shared" si="135"/>
        <v>33.854999999999997</v>
      </c>
      <c r="AT169" s="542">
        <f t="shared" si="135"/>
        <v>33.854999999999997</v>
      </c>
      <c r="AU169" s="542">
        <f t="shared" si="135"/>
        <v>33.854999999999997</v>
      </c>
      <c r="AV169" s="542">
        <f t="shared" si="135"/>
        <v>33.854999999999997</v>
      </c>
      <c r="AW169" s="542">
        <f t="shared" si="135"/>
        <v>33.854999999999997</v>
      </c>
      <c r="AX169" s="542">
        <f t="shared" si="135"/>
        <v>33.854999999999997</v>
      </c>
      <c r="AY169" s="542">
        <f t="shared" ref="AY169:BN169" si="136">AX169</f>
        <v>33.854999999999997</v>
      </c>
      <c r="AZ169" s="542">
        <f t="shared" si="136"/>
        <v>33.854999999999997</v>
      </c>
      <c r="BA169" s="542">
        <f t="shared" si="136"/>
        <v>33.854999999999997</v>
      </c>
      <c r="BB169" s="542">
        <f t="shared" si="136"/>
        <v>33.854999999999997</v>
      </c>
      <c r="BC169" s="542">
        <f t="shared" si="136"/>
        <v>33.854999999999997</v>
      </c>
      <c r="BD169" s="542">
        <f t="shared" si="136"/>
        <v>33.854999999999997</v>
      </c>
      <c r="BE169" s="542">
        <f t="shared" si="136"/>
        <v>33.854999999999997</v>
      </c>
      <c r="BF169" s="542">
        <f t="shared" si="136"/>
        <v>33.854999999999997</v>
      </c>
      <c r="BG169" s="542">
        <f t="shared" si="136"/>
        <v>33.854999999999997</v>
      </c>
      <c r="BH169" s="542">
        <f t="shared" si="136"/>
        <v>33.854999999999997</v>
      </c>
      <c r="BI169" s="542">
        <f t="shared" si="136"/>
        <v>33.854999999999997</v>
      </c>
      <c r="BJ169" s="542">
        <f t="shared" si="136"/>
        <v>33.854999999999997</v>
      </c>
      <c r="BK169" s="542">
        <f t="shared" si="136"/>
        <v>33.854999999999997</v>
      </c>
      <c r="BL169" s="542">
        <f t="shared" si="136"/>
        <v>33.854999999999997</v>
      </c>
      <c r="BM169" s="542">
        <f t="shared" si="136"/>
        <v>33.854999999999997</v>
      </c>
      <c r="BN169" s="542">
        <f t="shared" si="136"/>
        <v>33.854999999999997</v>
      </c>
      <c r="BO169" s="542">
        <f t="shared" ref="BO169:CD169" si="137">BN169</f>
        <v>33.854999999999997</v>
      </c>
      <c r="BP169" s="542">
        <f t="shared" si="137"/>
        <v>33.854999999999997</v>
      </c>
      <c r="BQ169" s="542">
        <f t="shared" si="137"/>
        <v>33.854999999999997</v>
      </c>
      <c r="BR169" s="542">
        <f t="shared" si="137"/>
        <v>33.854999999999997</v>
      </c>
      <c r="BS169" s="542">
        <f t="shared" si="137"/>
        <v>33.854999999999997</v>
      </c>
      <c r="BT169" s="542">
        <f t="shared" si="137"/>
        <v>33.854999999999997</v>
      </c>
      <c r="BU169" s="542">
        <f t="shared" si="137"/>
        <v>33.854999999999997</v>
      </c>
      <c r="BV169" s="542">
        <f t="shared" si="137"/>
        <v>33.854999999999997</v>
      </c>
      <c r="BW169" s="542">
        <f t="shared" si="137"/>
        <v>33.854999999999997</v>
      </c>
      <c r="BX169" s="542">
        <f t="shared" si="137"/>
        <v>33.854999999999997</v>
      </c>
      <c r="BY169" s="542">
        <f t="shared" si="137"/>
        <v>33.854999999999997</v>
      </c>
      <c r="BZ169" s="542">
        <f t="shared" si="137"/>
        <v>33.854999999999997</v>
      </c>
      <c r="CA169" s="542">
        <f t="shared" si="137"/>
        <v>33.854999999999997</v>
      </c>
      <c r="CB169" s="542">
        <f t="shared" si="137"/>
        <v>33.854999999999997</v>
      </c>
      <c r="CC169" s="542">
        <f t="shared" si="137"/>
        <v>33.854999999999997</v>
      </c>
      <c r="CD169" s="542">
        <f t="shared" si="137"/>
        <v>33.854999999999997</v>
      </c>
      <c r="CE169" s="542">
        <f t="shared" ref="AX169:CE176" si="138">CD169</f>
        <v>33.854999999999997</v>
      </c>
      <c r="CG169" s="541">
        <v>33.854999999999997</v>
      </c>
      <c r="CH169" s="541">
        <v>33.854999999999997</v>
      </c>
      <c r="CI169" s="541">
        <v>33.854999999999997</v>
      </c>
      <c r="CJ169" s="541">
        <v>33.854999999999997</v>
      </c>
      <c r="CK169" s="541">
        <v>33.854999999999997</v>
      </c>
      <c r="CL169" s="541">
        <v>33.854999999999997</v>
      </c>
      <c r="CM169" s="541">
        <v>33.854999999999997</v>
      </c>
      <c r="CN169" s="541">
        <v>33.854999999999997</v>
      </c>
      <c r="CO169" s="541">
        <v>33.854999999999997</v>
      </c>
      <c r="CP169" s="541">
        <v>33.854999999999997</v>
      </c>
      <c r="CQ169" s="541">
        <v>33.854999999999997</v>
      </c>
      <c r="CR169" s="541">
        <v>33.854999999999997</v>
      </c>
      <c r="CS169" s="541">
        <v>33.854999999999997</v>
      </c>
      <c r="CT169" s="541">
        <v>33.854999999999997</v>
      </c>
      <c r="CU169" s="541">
        <v>33.854999999999997</v>
      </c>
      <c r="CV169" s="541">
        <v>33.854999999999997</v>
      </c>
      <c r="CW169" s="541">
        <v>33.854999999999997</v>
      </c>
      <c r="CX169" s="541">
        <v>33.854999999999997</v>
      </c>
      <c r="CY169" s="541">
        <v>33.854999999999997</v>
      </c>
      <c r="CZ169" s="541">
        <v>33.854999999999997</v>
      </c>
      <c r="DA169" s="541">
        <v>33.854999999999997</v>
      </c>
      <c r="DB169" s="541">
        <v>33.854999999999997</v>
      </c>
      <c r="DC169" s="541">
        <v>33.854999999999997</v>
      </c>
      <c r="DD169" s="541">
        <v>33.854999999999997</v>
      </c>
      <c r="DE169" s="541">
        <v>33.854999999999997</v>
      </c>
      <c r="DF169" s="541">
        <v>33.854999999999997</v>
      </c>
      <c r="DG169" s="541">
        <v>33.854999999999997</v>
      </c>
      <c r="DH169" s="541">
        <v>33.854999999999997</v>
      </c>
    </row>
    <row r="170" spans="2:112">
      <c r="B170" t="s">
        <v>1050</v>
      </c>
      <c r="C170" t="s">
        <v>753</v>
      </c>
      <c r="D170" t="s">
        <v>910</v>
      </c>
      <c r="E170" t="s">
        <v>911</v>
      </c>
      <c r="F170" s="541">
        <v>2.4763894545454548</v>
      </c>
      <c r="G170" s="541">
        <v>2.4763894545454548</v>
      </c>
      <c r="H170" s="541">
        <v>2.4763894545454548</v>
      </c>
      <c r="I170" s="541">
        <v>2.4763894545454548</v>
      </c>
      <c r="J170" s="541">
        <v>2.4763894545454548</v>
      </c>
      <c r="K170" s="541">
        <v>2.4763894545454548</v>
      </c>
      <c r="L170" s="541">
        <v>2.4763894545454548</v>
      </c>
      <c r="M170" s="541">
        <v>2.4763894545454548</v>
      </c>
      <c r="N170" s="541">
        <v>2.4763894545454548</v>
      </c>
      <c r="O170" s="541">
        <v>2.4763894545454548</v>
      </c>
      <c r="P170" s="541">
        <v>2.4763894545454548</v>
      </c>
      <c r="Q170" s="541">
        <v>2.4763894545454548</v>
      </c>
      <c r="R170" s="541">
        <v>2.4763894545454548</v>
      </c>
      <c r="S170" s="541">
        <v>2.4763894545454548</v>
      </c>
      <c r="T170" s="541">
        <v>2.4763894545454548</v>
      </c>
      <c r="U170" s="541">
        <v>2.4763894545454548</v>
      </c>
      <c r="V170" s="541">
        <v>2.4763894545454548</v>
      </c>
      <c r="W170" s="541">
        <v>2.4763894545454548</v>
      </c>
      <c r="X170" s="541">
        <v>2.4763894545454548</v>
      </c>
      <c r="Y170" s="541">
        <v>2.4763894545454548</v>
      </c>
      <c r="Z170" s="541">
        <v>2.4763894545454548</v>
      </c>
      <c r="AA170" s="541">
        <v>2.4763894545454548</v>
      </c>
      <c r="AB170" s="541">
        <v>2.4763894545454548</v>
      </c>
      <c r="AC170" s="541">
        <v>2.4763894545454548</v>
      </c>
      <c r="AD170" s="541">
        <v>2.4763894545454548</v>
      </c>
      <c r="AE170" s="541">
        <v>2.4763894545454548</v>
      </c>
      <c r="AF170" s="541">
        <v>2.4763894545454548</v>
      </c>
      <c r="AG170" s="541">
        <v>2.4763894545454548</v>
      </c>
      <c r="AH170" s="542">
        <f t="shared" ref="AH170:AW176" si="139">AG170</f>
        <v>2.4763894545454548</v>
      </c>
      <c r="AI170" s="542">
        <f t="shared" si="139"/>
        <v>2.4763894545454548</v>
      </c>
      <c r="AJ170" s="542">
        <f t="shared" si="139"/>
        <v>2.4763894545454548</v>
      </c>
      <c r="AK170" s="542">
        <f t="shared" si="139"/>
        <v>2.4763894545454548</v>
      </c>
      <c r="AL170" s="542">
        <f t="shared" si="139"/>
        <v>2.4763894545454548</v>
      </c>
      <c r="AM170" s="542">
        <f t="shared" si="139"/>
        <v>2.4763894545454548</v>
      </c>
      <c r="AN170" s="542">
        <f t="shared" si="139"/>
        <v>2.4763894545454548</v>
      </c>
      <c r="AO170" s="542">
        <f t="shared" si="139"/>
        <v>2.4763894545454548</v>
      </c>
      <c r="AP170" s="542">
        <f t="shared" si="139"/>
        <v>2.4763894545454548</v>
      </c>
      <c r="AQ170" s="542">
        <f t="shared" si="139"/>
        <v>2.4763894545454548</v>
      </c>
      <c r="AR170" s="542">
        <f t="shared" si="139"/>
        <v>2.4763894545454548</v>
      </c>
      <c r="AS170" s="542">
        <f t="shared" si="139"/>
        <v>2.4763894545454548</v>
      </c>
      <c r="AT170" s="542">
        <f t="shared" si="139"/>
        <v>2.4763894545454548</v>
      </c>
      <c r="AU170" s="542">
        <f t="shared" si="139"/>
        <v>2.4763894545454548</v>
      </c>
      <c r="AV170" s="542">
        <f t="shared" si="139"/>
        <v>2.4763894545454548</v>
      </c>
      <c r="AW170" s="542">
        <f t="shared" si="139"/>
        <v>2.4763894545454548</v>
      </c>
      <c r="AX170" s="542">
        <f t="shared" si="138"/>
        <v>2.4763894545454548</v>
      </c>
      <c r="AY170" s="542">
        <f t="shared" si="138"/>
        <v>2.4763894545454548</v>
      </c>
      <c r="AZ170" s="542">
        <f t="shared" si="138"/>
        <v>2.4763894545454548</v>
      </c>
      <c r="BA170" s="542">
        <f t="shared" si="138"/>
        <v>2.4763894545454548</v>
      </c>
      <c r="BB170" s="542">
        <f t="shared" si="138"/>
        <v>2.4763894545454548</v>
      </c>
      <c r="BC170" s="542">
        <f t="shared" si="138"/>
        <v>2.4763894545454548</v>
      </c>
      <c r="BD170" s="542">
        <f t="shared" si="138"/>
        <v>2.4763894545454548</v>
      </c>
      <c r="BE170" s="542">
        <f t="shared" si="138"/>
        <v>2.4763894545454548</v>
      </c>
      <c r="BF170" s="542">
        <f t="shared" si="138"/>
        <v>2.4763894545454548</v>
      </c>
      <c r="BG170" s="542">
        <f t="shared" si="138"/>
        <v>2.4763894545454548</v>
      </c>
      <c r="BH170" s="542">
        <f t="shared" si="138"/>
        <v>2.4763894545454548</v>
      </c>
      <c r="BI170" s="542">
        <f t="shared" si="138"/>
        <v>2.4763894545454548</v>
      </c>
      <c r="BJ170" s="542">
        <f t="shared" si="138"/>
        <v>2.4763894545454548</v>
      </c>
      <c r="BK170" s="542">
        <f t="shared" si="138"/>
        <v>2.4763894545454548</v>
      </c>
      <c r="BL170" s="542">
        <f t="shared" si="138"/>
        <v>2.4763894545454548</v>
      </c>
      <c r="BM170" s="542">
        <f t="shared" si="138"/>
        <v>2.4763894545454548</v>
      </c>
      <c r="BN170" s="542">
        <f t="shared" si="138"/>
        <v>2.4763894545454548</v>
      </c>
      <c r="BO170" s="542">
        <f t="shared" si="138"/>
        <v>2.4763894545454548</v>
      </c>
      <c r="BP170" s="542">
        <f t="shared" si="138"/>
        <v>2.4763894545454548</v>
      </c>
      <c r="BQ170" s="542">
        <f t="shared" si="138"/>
        <v>2.4763894545454548</v>
      </c>
      <c r="BR170" s="542">
        <f t="shared" si="138"/>
        <v>2.4763894545454548</v>
      </c>
      <c r="BS170" s="542">
        <f t="shared" si="138"/>
        <v>2.4763894545454548</v>
      </c>
      <c r="BT170" s="542">
        <f t="shared" si="138"/>
        <v>2.4763894545454548</v>
      </c>
      <c r="BU170" s="542">
        <f t="shared" si="138"/>
        <v>2.4763894545454548</v>
      </c>
      <c r="BV170" s="542">
        <f t="shared" si="138"/>
        <v>2.4763894545454548</v>
      </c>
      <c r="BW170" s="542">
        <f t="shared" si="138"/>
        <v>2.4763894545454548</v>
      </c>
      <c r="BX170" s="542">
        <f t="shared" si="138"/>
        <v>2.4763894545454548</v>
      </c>
      <c r="BY170" s="542">
        <f t="shared" si="138"/>
        <v>2.4763894545454548</v>
      </c>
      <c r="BZ170" s="542">
        <f t="shared" si="138"/>
        <v>2.4763894545454548</v>
      </c>
      <c r="CA170" s="542">
        <f t="shared" si="138"/>
        <v>2.4763894545454548</v>
      </c>
      <c r="CB170" s="542">
        <f t="shared" si="138"/>
        <v>2.4763894545454548</v>
      </c>
      <c r="CC170" s="542">
        <f t="shared" si="138"/>
        <v>2.4763894545454548</v>
      </c>
      <c r="CD170" s="542">
        <f t="shared" si="138"/>
        <v>2.4763894545454548</v>
      </c>
      <c r="CE170" s="542">
        <f t="shared" si="138"/>
        <v>2.4763894545454548</v>
      </c>
      <c r="CG170" s="541">
        <v>2.4763894545454548</v>
      </c>
      <c r="CH170" s="541">
        <v>2.4763894545454548</v>
      </c>
      <c r="CI170" s="541">
        <v>2.4763894545454548</v>
      </c>
      <c r="CJ170" s="541">
        <v>2.4763894545454548</v>
      </c>
      <c r="CK170" s="541">
        <v>2.4763894545454548</v>
      </c>
      <c r="CL170" s="541">
        <v>2.4763894545454548</v>
      </c>
      <c r="CM170" s="541">
        <v>2.4763894545454548</v>
      </c>
      <c r="CN170" s="541">
        <v>2.4763894545454548</v>
      </c>
      <c r="CO170" s="541">
        <v>2.4763894545454548</v>
      </c>
      <c r="CP170" s="541">
        <v>2.4763894545454548</v>
      </c>
      <c r="CQ170" s="541">
        <v>2.4763894545454548</v>
      </c>
      <c r="CR170" s="541">
        <v>2.4763894545454548</v>
      </c>
      <c r="CS170" s="541">
        <v>2.4763894545454548</v>
      </c>
      <c r="CT170" s="541">
        <v>2.4763894545454548</v>
      </c>
      <c r="CU170" s="541">
        <v>2.4763894545454548</v>
      </c>
      <c r="CV170" s="541">
        <v>2.4763894545454548</v>
      </c>
      <c r="CW170" s="541">
        <v>2.4763894545454548</v>
      </c>
      <c r="CX170" s="541">
        <v>2.4763894545454548</v>
      </c>
      <c r="CY170" s="541">
        <v>2.4763894545454548</v>
      </c>
      <c r="CZ170" s="541">
        <v>2.4763894545454548</v>
      </c>
      <c r="DA170" s="541">
        <v>2.4763894545454548</v>
      </c>
      <c r="DB170" s="541">
        <v>2.4763894545454548</v>
      </c>
      <c r="DC170" s="541">
        <v>2.4763894545454548</v>
      </c>
      <c r="DD170" s="541">
        <v>2.4763894545454548</v>
      </c>
      <c r="DE170" s="541">
        <v>2.4763894545454548</v>
      </c>
      <c r="DF170" s="541">
        <v>2.4763894545454548</v>
      </c>
      <c r="DG170" s="541">
        <v>2.4763894545454548</v>
      </c>
      <c r="DH170" s="541">
        <v>2.4763894545454548</v>
      </c>
    </row>
    <row r="171" spans="2:112">
      <c r="B171" t="s">
        <v>1051</v>
      </c>
      <c r="C171" t="s">
        <v>753</v>
      </c>
      <c r="D171" t="s">
        <v>913</v>
      </c>
      <c r="E171" t="s">
        <v>908</v>
      </c>
      <c r="F171" s="541">
        <v>41.112499999999997</v>
      </c>
      <c r="G171" s="541">
        <v>41.112499999999997</v>
      </c>
      <c r="H171" s="541">
        <v>41.112499999999997</v>
      </c>
      <c r="I171" s="541">
        <v>41.112499999999997</v>
      </c>
      <c r="J171" s="541">
        <v>41.112499999999997</v>
      </c>
      <c r="K171" s="541">
        <v>41.112499999999997</v>
      </c>
      <c r="L171" s="541">
        <v>41.112499999999997</v>
      </c>
      <c r="M171" s="541">
        <v>41.112499999999997</v>
      </c>
      <c r="N171" s="541">
        <v>41.112499999999997</v>
      </c>
      <c r="O171" s="541">
        <v>41.112499999999997</v>
      </c>
      <c r="P171" s="541">
        <v>41.112499999999997</v>
      </c>
      <c r="Q171" s="541">
        <v>41.112499999999997</v>
      </c>
      <c r="R171" s="541">
        <v>41.112499999999997</v>
      </c>
      <c r="S171" s="541">
        <v>41.112499999999997</v>
      </c>
      <c r="T171" s="541">
        <v>41.112499999999997</v>
      </c>
      <c r="U171" s="541">
        <v>41.112499999999997</v>
      </c>
      <c r="V171" s="541">
        <v>41.112499999999997</v>
      </c>
      <c r="W171" s="541">
        <v>41.112499999999997</v>
      </c>
      <c r="X171" s="541">
        <v>41.112499999999997</v>
      </c>
      <c r="Y171" s="541">
        <v>41.112499999999997</v>
      </c>
      <c r="Z171" s="541">
        <v>41.112499999999997</v>
      </c>
      <c r="AA171" s="541">
        <v>41.112499999999997</v>
      </c>
      <c r="AB171" s="541">
        <v>41.112499999999997</v>
      </c>
      <c r="AC171" s="541">
        <v>41.112499999999997</v>
      </c>
      <c r="AD171" s="541">
        <v>41.112499999999997</v>
      </c>
      <c r="AE171" s="541">
        <v>41.112499999999997</v>
      </c>
      <c r="AF171" s="541">
        <v>41.112499999999997</v>
      </c>
      <c r="AG171" s="541">
        <v>41.112499999999997</v>
      </c>
      <c r="AH171" s="542">
        <f t="shared" si="139"/>
        <v>41.112499999999997</v>
      </c>
      <c r="AI171" s="542">
        <f t="shared" si="139"/>
        <v>41.112499999999997</v>
      </c>
      <c r="AJ171" s="542">
        <f t="shared" si="139"/>
        <v>41.112499999999997</v>
      </c>
      <c r="AK171" s="542">
        <f t="shared" si="139"/>
        <v>41.112499999999997</v>
      </c>
      <c r="AL171" s="542">
        <f t="shared" si="139"/>
        <v>41.112499999999997</v>
      </c>
      <c r="AM171" s="542">
        <f t="shared" si="139"/>
        <v>41.112499999999997</v>
      </c>
      <c r="AN171" s="542">
        <f t="shared" si="139"/>
        <v>41.112499999999997</v>
      </c>
      <c r="AO171" s="542">
        <f t="shared" si="139"/>
        <v>41.112499999999997</v>
      </c>
      <c r="AP171" s="542">
        <f t="shared" si="139"/>
        <v>41.112499999999997</v>
      </c>
      <c r="AQ171" s="542">
        <f t="shared" si="139"/>
        <v>41.112499999999997</v>
      </c>
      <c r="AR171" s="542">
        <f t="shared" si="139"/>
        <v>41.112499999999997</v>
      </c>
      <c r="AS171" s="542">
        <f t="shared" si="139"/>
        <v>41.112499999999997</v>
      </c>
      <c r="AT171" s="542">
        <f t="shared" si="139"/>
        <v>41.112499999999997</v>
      </c>
      <c r="AU171" s="542">
        <f t="shared" si="139"/>
        <v>41.112499999999997</v>
      </c>
      <c r="AV171" s="542">
        <f t="shared" si="139"/>
        <v>41.112499999999997</v>
      </c>
      <c r="AW171" s="542">
        <f t="shared" si="139"/>
        <v>41.112499999999997</v>
      </c>
      <c r="AX171" s="542">
        <f t="shared" si="138"/>
        <v>41.112499999999997</v>
      </c>
      <c r="AY171" s="542">
        <f t="shared" si="138"/>
        <v>41.112499999999997</v>
      </c>
      <c r="AZ171" s="542">
        <f t="shared" si="138"/>
        <v>41.112499999999997</v>
      </c>
      <c r="BA171" s="542">
        <f t="shared" si="138"/>
        <v>41.112499999999997</v>
      </c>
      <c r="BB171" s="542">
        <f t="shared" si="138"/>
        <v>41.112499999999997</v>
      </c>
      <c r="BC171" s="542">
        <f t="shared" si="138"/>
        <v>41.112499999999997</v>
      </c>
      <c r="BD171" s="542">
        <f t="shared" si="138"/>
        <v>41.112499999999997</v>
      </c>
      <c r="BE171" s="542">
        <f t="shared" si="138"/>
        <v>41.112499999999997</v>
      </c>
      <c r="BF171" s="542">
        <f t="shared" si="138"/>
        <v>41.112499999999997</v>
      </c>
      <c r="BG171" s="542">
        <f t="shared" si="138"/>
        <v>41.112499999999997</v>
      </c>
      <c r="BH171" s="542">
        <f t="shared" si="138"/>
        <v>41.112499999999997</v>
      </c>
      <c r="BI171" s="542">
        <f t="shared" si="138"/>
        <v>41.112499999999997</v>
      </c>
      <c r="BJ171" s="542">
        <f t="shared" si="138"/>
        <v>41.112499999999997</v>
      </c>
      <c r="BK171" s="542">
        <f t="shared" si="138"/>
        <v>41.112499999999997</v>
      </c>
      <c r="BL171" s="542">
        <f t="shared" si="138"/>
        <v>41.112499999999997</v>
      </c>
      <c r="BM171" s="542">
        <f t="shared" si="138"/>
        <v>41.112499999999997</v>
      </c>
      <c r="BN171" s="542">
        <f t="shared" si="138"/>
        <v>41.112499999999997</v>
      </c>
      <c r="BO171" s="542">
        <f t="shared" si="138"/>
        <v>41.112499999999997</v>
      </c>
      <c r="BP171" s="542">
        <f t="shared" si="138"/>
        <v>41.112499999999997</v>
      </c>
      <c r="BQ171" s="542">
        <f t="shared" si="138"/>
        <v>41.112499999999997</v>
      </c>
      <c r="BR171" s="542">
        <f t="shared" si="138"/>
        <v>41.112499999999997</v>
      </c>
      <c r="BS171" s="542">
        <f t="shared" si="138"/>
        <v>41.112499999999997</v>
      </c>
      <c r="BT171" s="542">
        <f t="shared" si="138"/>
        <v>41.112499999999997</v>
      </c>
      <c r="BU171" s="542">
        <f t="shared" si="138"/>
        <v>41.112499999999997</v>
      </c>
      <c r="BV171" s="542">
        <f t="shared" si="138"/>
        <v>41.112499999999997</v>
      </c>
      <c r="BW171" s="542">
        <f t="shared" si="138"/>
        <v>41.112499999999997</v>
      </c>
      <c r="BX171" s="542">
        <f t="shared" si="138"/>
        <v>41.112499999999997</v>
      </c>
      <c r="BY171" s="542">
        <f t="shared" si="138"/>
        <v>41.112499999999997</v>
      </c>
      <c r="BZ171" s="542">
        <f t="shared" si="138"/>
        <v>41.112499999999997</v>
      </c>
      <c r="CA171" s="542">
        <f t="shared" si="138"/>
        <v>41.112499999999997</v>
      </c>
      <c r="CB171" s="542">
        <f t="shared" si="138"/>
        <v>41.112499999999997</v>
      </c>
      <c r="CC171" s="542">
        <f t="shared" si="138"/>
        <v>41.112499999999997</v>
      </c>
      <c r="CD171" s="542">
        <f t="shared" si="138"/>
        <v>41.112499999999997</v>
      </c>
      <c r="CE171" s="542">
        <f t="shared" si="138"/>
        <v>41.112499999999997</v>
      </c>
      <c r="CG171" s="541">
        <v>41.112499999999997</v>
      </c>
      <c r="CH171" s="541">
        <v>41.112499999999997</v>
      </c>
      <c r="CI171" s="541">
        <v>41.112499999999997</v>
      </c>
      <c r="CJ171" s="541">
        <v>41.112499999999997</v>
      </c>
      <c r="CK171" s="541">
        <v>41.112499999999997</v>
      </c>
      <c r="CL171" s="541">
        <v>41.112499999999997</v>
      </c>
      <c r="CM171" s="541">
        <v>41.112499999999997</v>
      </c>
      <c r="CN171" s="541">
        <v>41.112499999999997</v>
      </c>
      <c r="CO171" s="541">
        <v>41.112499999999997</v>
      </c>
      <c r="CP171" s="541">
        <v>41.112499999999997</v>
      </c>
      <c r="CQ171" s="541">
        <v>41.112499999999997</v>
      </c>
      <c r="CR171" s="541">
        <v>41.112499999999997</v>
      </c>
      <c r="CS171" s="541">
        <v>41.112499999999997</v>
      </c>
      <c r="CT171" s="541">
        <v>41.112499999999997</v>
      </c>
      <c r="CU171" s="541">
        <v>41.112499999999997</v>
      </c>
      <c r="CV171" s="541">
        <v>41.112499999999997</v>
      </c>
      <c r="CW171" s="541">
        <v>41.112499999999997</v>
      </c>
      <c r="CX171" s="541">
        <v>41.112499999999997</v>
      </c>
      <c r="CY171" s="541">
        <v>41.112499999999997</v>
      </c>
      <c r="CZ171" s="541">
        <v>41.112499999999997</v>
      </c>
      <c r="DA171" s="541">
        <v>41.112499999999997</v>
      </c>
      <c r="DB171" s="541">
        <v>41.112499999999997</v>
      </c>
      <c r="DC171" s="541">
        <v>41.112499999999997</v>
      </c>
      <c r="DD171" s="541">
        <v>41.112499999999997</v>
      </c>
      <c r="DE171" s="541">
        <v>41.112499999999997</v>
      </c>
      <c r="DF171" s="541">
        <v>41.112499999999997</v>
      </c>
      <c r="DG171" s="541">
        <v>41.112499999999997</v>
      </c>
      <c r="DH171" s="541">
        <v>41.112499999999997</v>
      </c>
    </row>
    <row r="172" spans="2:112">
      <c r="B172" t="s">
        <v>1052</v>
      </c>
      <c r="C172" t="s">
        <v>753</v>
      </c>
      <c r="D172" t="s">
        <v>915</v>
      </c>
      <c r="E172" t="s">
        <v>911</v>
      </c>
      <c r="F172" s="541">
        <v>2.5425644545454547</v>
      </c>
      <c r="G172" s="541">
        <v>2.5425644545454547</v>
      </c>
      <c r="H172" s="541">
        <v>2.5425644545454547</v>
      </c>
      <c r="I172" s="541">
        <v>2.5425644545454547</v>
      </c>
      <c r="J172" s="541">
        <v>2.5425644545454547</v>
      </c>
      <c r="K172" s="541">
        <v>2.5425644545454547</v>
      </c>
      <c r="L172" s="541">
        <v>2.5425644545454547</v>
      </c>
      <c r="M172" s="541">
        <v>2.5425644545454547</v>
      </c>
      <c r="N172" s="541">
        <v>2.5425644545454547</v>
      </c>
      <c r="O172" s="541">
        <v>2.5425644545454547</v>
      </c>
      <c r="P172" s="541">
        <v>2.5425644545454547</v>
      </c>
      <c r="Q172" s="541">
        <v>2.5425644545454547</v>
      </c>
      <c r="R172" s="541">
        <v>2.5425644545454547</v>
      </c>
      <c r="S172" s="541">
        <v>2.5425644545454547</v>
      </c>
      <c r="T172" s="541">
        <v>2.5425644545454547</v>
      </c>
      <c r="U172" s="541">
        <v>2.5425644545454547</v>
      </c>
      <c r="V172" s="541">
        <v>2.5425644545454547</v>
      </c>
      <c r="W172" s="541">
        <v>2.5425644545454547</v>
      </c>
      <c r="X172" s="541">
        <v>2.5425644545454547</v>
      </c>
      <c r="Y172" s="541">
        <v>2.5425644545454547</v>
      </c>
      <c r="Z172" s="541">
        <v>2.5425644545454547</v>
      </c>
      <c r="AA172" s="541">
        <v>2.5425644545454547</v>
      </c>
      <c r="AB172" s="541">
        <v>2.5425644545454547</v>
      </c>
      <c r="AC172" s="541">
        <v>2.5425644545454547</v>
      </c>
      <c r="AD172" s="541">
        <v>2.5425644545454547</v>
      </c>
      <c r="AE172" s="541">
        <v>2.5425644545454547</v>
      </c>
      <c r="AF172" s="541">
        <v>2.5425644545454547</v>
      </c>
      <c r="AG172" s="541">
        <v>2.5425644545454547</v>
      </c>
      <c r="AH172" s="542">
        <f t="shared" si="139"/>
        <v>2.5425644545454547</v>
      </c>
      <c r="AI172" s="542">
        <f t="shared" si="139"/>
        <v>2.5425644545454547</v>
      </c>
      <c r="AJ172" s="542">
        <f t="shared" si="139"/>
        <v>2.5425644545454547</v>
      </c>
      <c r="AK172" s="542">
        <f t="shared" si="139"/>
        <v>2.5425644545454547</v>
      </c>
      <c r="AL172" s="542">
        <f t="shared" si="139"/>
        <v>2.5425644545454547</v>
      </c>
      <c r="AM172" s="542">
        <f t="shared" si="139"/>
        <v>2.5425644545454547</v>
      </c>
      <c r="AN172" s="542">
        <f t="shared" si="139"/>
        <v>2.5425644545454547</v>
      </c>
      <c r="AO172" s="542">
        <f t="shared" si="139"/>
        <v>2.5425644545454547</v>
      </c>
      <c r="AP172" s="542">
        <f t="shared" si="139"/>
        <v>2.5425644545454547</v>
      </c>
      <c r="AQ172" s="542">
        <f t="shared" si="139"/>
        <v>2.5425644545454547</v>
      </c>
      <c r="AR172" s="542">
        <f t="shared" si="139"/>
        <v>2.5425644545454547</v>
      </c>
      <c r="AS172" s="542">
        <f t="shared" si="139"/>
        <v>2.5425644545454547</v>
      </c>
      <c r="AT172" s="542">
        <f t="shared" si="139"/>
        <v>2.5425644545454547</v>
      </c>
      <c r="AU172" s="542">
        <f t="shared" si="139"/>
        <v>2.5425644545454547</v>
      </c>
      <c r="AV172" s="542">
        <f t="shared" si="139"/>
        <v>2.5425644545454547</v>
      </c>
      <c r="AW172" s="542">
        <f t="shared" si="139"/>
        <v>2.5425644545454547</v>
      </c>
      <c r="AX172" s="542">
        <f t="shared" si="138"/>
        <v>2.5425644545454547</v>
      </c>
      <c r="AY172" s="542">
        <f t="shared" si="138"/>
        <v>2.5425644545454547</v>
      </c>
      <c r="AZ172" s="542">
        <f t="shared" si="138"/>
        <v>2.5425644545454547</v>
      </c>
      <c r="BA172" s="542">
        <f t="shared" si="138"/>
        <v>2.5425644545454547</v>
      </c>
      <c r="BB172" s="542">
        <f t="shared" si="138"/>
        <v>2.5425644545454547</v>
      </c>
      <c r="BC172" s="542">
        <f t="shared" si="138"/>
        <v>2.5425644545454547</v>
      </c>
      <c r="BD172" s="542">
        <f t="shared" si="138"/>
        <v>2.5425644545454547</v>
      </c>
      <c r="BE172" s="542">
        <f t="shared" si="138"/>
        <v>2.5425644545454547</v>
      </c>
      <c r="BF172" s="542">
        <f t="shared" si="138"/>
        <v>2.5425644545454547</v>
      </c>
      <c r="BG172" s="542">
        <f t="shared" si="138"/>
        <v>2.5425644545454547</v>
      </c>
      <c r="BH172" s="542">
        <f t="shared" si="138"/>
        <v>2.5425644545454547</v>
      </c>
      <c r="BI172" s="542">
        <f t="shared" si="138"/>
        <v>2.5425644545454547</v>
      </c>
      <c r="BJ172" s="542">
        <f t="shared" si="138"/>
        <v>2.5425644545454547</v>
      </c>
      <c r="BK172" s="542">
        <f t="shared" si="138"/>
        <v>2.5425644545454547</v>
      </c>
      <c r="BL172" s="542">
        <f t="shared" si="138"/>
        <v>2.5425644545454547</v>
      </c>
      <c r="BM172" s="542">
        <f t="shared" si="138"/>
        <v>2.5425644545454547</v>
      </c>
      <c r="BN172" s="542">
        <f t="shared" si="138"/>
        <v>2.5425644545454547</v>
      </c>
      <c r="BO172" s="542">
        <f t="shared" si="138"/>
        <v>2.5425644545454547</v>
      </c>
      <c r="BP172" s="542">
        <f t="shared" si="138"/>
        <v>2.5425644545454547</v>
      </c>
      <c r="BQ172" s="542">
        <f t="shared" si="138"/>
        <v>2.5425644545454547</v>
      </c>
      <c r="BR172" s="542">
        <f t="shared" si="138"/>
        <v>2.5425644545454547</v>
      </c>
      <c r="BS172" s="542">
        <f t="shared" si="138"/>
        <v>2.5425644545454547</v>
      </c>
      <c r="BT172" s="542">
        <f t="shared" si="138"/>
        <v>2.5425644545454547</v>
      </c>
      <c r="BU172" s="542">
        <f t="shared" si="138"/>
        <v>2.5425644545454547</v>
      </c>
      <c r="BV172" s="542">
        <f t="shared" si="138"/>
        <v>2.5425644545454547</v>
      </c>
      <c r="BW172" s="542">
        <f t="shared" si="138"/>
        <v>2.5425644545454547</v>
      </c>
      <c r="BX172" s="542">
        <f t="shared" si="138"/>
        <v>2.5425644545454547</v>
      </c>
      <c r="BY172" s="542">
        <f t="shared" si="138"/>
        <v>2.5425644545454547</v>
      </c>
      <c r="BZ172" s="542">
        <f t="shared" si="138"/>
        <v>2.5425644545454547</v>
      </c>
      <c r="CA172" s="542">
        <f t="shared" si="138"/>
        <v>2.5425644545454547</v>
      </c>
      <c r="CB172" s="542">
        <f t="shared" si="138"/>
        <v>2.5425644545454547</v>
      </c>
      <c r="CC172" s="542">
        <f t="shared" si="138"/>
        <v>2.5425644545454547</v>
      </c>
      <c r="CD172" s="542">
        <f t="shared" si="138"/>
        <v>2.5425644545454547</v>
      </c>
      <c r="CE172" s="542">
        <f t="shared" si="138"/>
        <v>2.5425644545454547</v>
      </c>
      <c r="CG172" s="541">
        <v>2.5425644545454547</v>
      </c>
      <c r="CH172" s="541">
        <v>2.5425644545454547</v>
      </c>
      <c r="CI172" s="541">
        <v>2.5425644545454547</v>
      </c>
      <c r="CJ172" s="541">
        <v>2.5425644545454547</v>
      </c>
      <c r="CK172" s="541">
        <v>2.5425644545454547</v>
      </c>
      <c r="CL172" s="541">
        <v>2.5425644545454547</v>
      </c>
      <c r="CM172" s="541">
        <v>2.5425644545454547</v>
      </c>
      <c r="CN172" s="541">
        <v>2.5425644545454547</v>
      </c>
      <c r="CO172" s="541">
        <v>2.5425644545454547</v>
      </c>
      <c r="CP172" s="541">
        <v>2.5425644545454547</v>
      </c>
      <c r="CQ172" s="541">
        <v>2.5425644545454547</v>
      </c>
      <c r="CR172" s="541">
        <v>2.5425644545454547</v>
      </c>
      <c r="CS172" s="541">
        <v>2.5425644545454547</v>
      </c>
      <c r="CT172" s="541">
        <v>2.5425644545454547</v>
      </c>
      <c r="CU172" s="541">
        <v>2.5425644545454547</v>
      </c>
      <c r="CV172" s="541">
        <v>2.5425644545454547</v>
      </c>
      <c r="CW172" s="541">
        <v>2.5425644545454547</v>
      </c>
      <c r="CX172" s="541">
        <v>2.5425644545454547</v>
      </c>
      <c r="CY172" s="541">
        <v>2.5425644545454547</v>
      </c>
      <c r="CZ172" s="541">
        <v>2.5425644545454547</v>
      </c>
      <c r="DA172" s="541">
        <v>2.5425644545454547</v>
      </c>
      <c r="DB172" s="541">
        <v>2.5425644545454547</v>
      </c>
      <c r="DC172" s="541">
        <v>2.5425644545454547</v>
      </c>
      <c r="DD172" s="541">
        <v>2.5425644545454547</v>
      </c>
      <c r="DE172" s="541">
        <v>2.5425644545454547</v>
      </c>
      <c r="DF172" s="541">
        <v>2.5425644545454547</v>
      </c>
      <c r="DG172" s="541">
        <v>2.5425644545454547</v>
      </c>
      <c r="DH172" s="541">
        <v>2.5425644545454547</v>
      </c>
    </row>
    <row r="173" spans="2:112">
      <c r="B173" t="s">
        <v>1053</v>
      </c>
      <c r="C173" t="s">
        <v>753</v>
      </c>
      <c r="D173" t="s">
        <v>917</v>
      </c>
      <c r="E173" t="s">
        <v>908</v>
      </c>
      <c r="F173" s="541">
        <v>37.942500000000003</v>
      </c>
      <c r="G173" s="541">
        <v>37.942500000000003</v>
      </c>
      <c r="H173" s="541">
        <v>37.942500000000003</v>
      </c>
      <c r="I173" s="541">
        <v>37.942500000000003</v>
      </c>
      <c r="J173" s="541">
        <v>37.942500000000003</v>
      </c>
      <c r="K173" s="541">
        <v>37.942500000000003</v>
      </c>
      <c r="L173" s="541">
        <v>37.942500000000003</v>
      </c>
      <c r="M173" s="541">
        <v>37.942500000000003</v>
      </c>
      <c r="N173" s="541">
        <v>37.942500000000003</v>
      </c>
      <c r="O173" s="541">
        <v>37.942500000000003</v>
      </c>
      <c r="P173" s="541">
        <v>37.942500000000003</v>
      </c>
      <c r="Q173" s="541">
        <v>37.942500000000003</v>
      </c>
      <c r="R173" s="541">
        <v>37.942500000000003</v>
      </c>
      <c r="S173" s="541">
        <v>37.942500000000003</v>
      </c>
      <c r="T173" s="541">
        <v>37.942500000000003</v>
      </c>
      <c r="U173" s="541">
        <v>37.942500000000003</v>
      </c>
      <c r="V173" s="541">
        <v>37.942500000000003</v>
      </c>
      <c r="W173" s="541">
        <v>37.942500000000003</v>
      </c>
      <c r="X173" s="541">
        <v>37.942500000000003</v>
      </c>
      <c r="Y173" s="541">
        <v>37.942500000000003</v>
      </c>
      <c r="Z173" s="541">
        <v>37.942500000000003</v>
      </c>
      <c r="AA173" s="541">
        <v>37.942500000000003</v>
      </c>
      <c r="AB173" s="541">
        <v>37.942500000000003</v>
      </c>
      <c r="AC173" s="541">
        <v>37.942500000000003</v>
      </c>
      <c r="AD173" s="541">
        <v>37.942500000000003</v>
      </c>
      <c r="AE173" s="541">
        <v>37.942500000000003</v>
      </c>
      <c r="AF173" s="541">
        <v>37.942500000000003</v>
      </c>
      <c r="AG173" s="541">
        <v>37.942500000000003</v>
      </c>
      <c r="AH173" s="542">
        <f t="shared" si="139"/>
        <v>37.942500000000003</v>
      </c>
      <c r="AI173" s="542">
        <f t="shared" si="139"/>
        <v>37.942500000000003</v>
      </c>
      <c r="AJ173" s="542">
        <f t="shared" si="139"/>
        <v>37.942500000000003</v>
      </c>
      <c r="AK173" s="542">
        <f t="shared" si="139"/>
        <v>37.942500000000003</v>
      </c>
      <c r="AL173" s="542">
        <f t="shared" si="139"/>
        <v>37.942500000000003</v>
      </c>
      <c r="AM173" s="542">
        <f t="shared" si="139"/>
        <v>37.942500000000003</v>
      </c>
      <c r="AN173" s="542">
        <f t="shared" si="139"/>
        <v>37.942500000000003</v>
      </c>
      <c r="AO173" s="542">
        <f t="shared" si="139"/>
        <v>37.942500000000003</v>
      </c>
      <c r="AP173" s="542">
        <f t="shared" si="139"/>
        <v>37.942500000000003</v>
      </c>
      <c r="AQ173" s="542">
        <f t="shared" si="139"/>
        <v>37.942500000000003</v>
      </c>
      <c r="AR173" s="542">
        <f t="shared" si="139"/>
        <v>37.942500000000003</v>
      </c>
      <c r="AS173" s="542">
        <f t="shared" si="139"/>
        <v>37.942500000000003</v>
      </c>
      <c r="AT173" s="542">
        <f t="shared" si="139"/>
        <v>37.942500000000003</v>
      </c>
      <c r="AU173" s="542">
        <f t="shared" si="139"/>
        <v>37.942500000000003</v>
      </c>
      <c r="AV173" s="542">
        <f t="shared" si="139"/>
        <v>37.942500000000003</v>
      </c>
      <c r="AW173" s="542">
        <f t="shared" si="139"/>
        <v>37.942500000000003</v>
      </c>
      <c r="AX173" s="542">
        <f t="shared" si="138"/>
        <v>37.942500000000003</v>
      </c>
      <c r="AY173" s="542">
        <f t="shared" si="138"/>
        <v>37.942500000000003</v>
      </c>
      <c r="AZ173" s="542">
        <f t="shared" si="138"/>
        <v>37.942500000000003</v>
      </c>
      <c r="BA173" s="542">
        <f t="shared" si="138"/>
        <v>37.942500000000003</v>
      </c>
      <c r="BB173" s="542">
        <f t="shared" si="138"/>
        <v>37.942500000000003</v>
      </c>
      <c r="BC173" s="542">
        <f t="shared" si="138"/>
        <v>37.942500000000003</v>
      </c>
      <c r="BD173" s="542">
        <f t="shared" si="138"/>
        <v>37.942500000000003</v>
      </c>
      <c r="BE173" s="542">
        <f t="shared" si="138"/>
        <v>37.942500000000003</v>
      </c>
      <c r="BF173" s="542">
        <f t="shared" si="138"/>
        <v>37.942500000000003</v>
      </c>
      <c r="BG173" s="542">
        <f t="shared" si="138"/>
        <v>37.942500000000003</v>
      </c>
      <c r="BH173" s="542">
        <f t="shared" si="138"/>
        <v>37.942500000000003</v>
      </c>
      <c r="BI173" s="542">
        <f t="shared" si="138"/>
        <v>37.942500000000003</v>
      </c>
      <c r="BJ173" s="542">
        <f t="shared" si="138"/>
        <v>37.942500000000003</v>
      </c>
      <c r="BK173" s="542">
        <f t="shared" si="138"/>
        <v>37.942500000000003</v>
      </c>
      <c r="BL173" s="542">
        <f t="shared" si="138"/>
        <v>37.942500000000003</v>
      </c>
      <c r="BM173" s="542">
        <f t="shared" si="138"/>
        <v>37.942500000000003</v>
      </c>
      <c r="BN173" s="542">
        <f t="shared" si="138"/>
        <v>37.942500000000003</v>
      </c>
      <c r="BO173" s="542">
        <f t="shared" si="138"/>
        <v>37.942500000000003</v>
      </c>
      <c r="BP173" s="542">
        <f t="shared" si="138"/>
        <v>37.942500000000003</v>
      </c>
      <c r="BQ173" s="542">
        <f t="shared" si="138"/>
        <v>37.942500000000003</v>
      </c>
      <c r="BR173" s="542">
        <f t="shared" si="138"/>
        <v>37.942500000000003</v>
      </c>
      <c r="BS173" s="542">
        <f t="shared" si="138"/>
        <v>37.942500000000003</v>
      </c>
      <c r="BT173" s="542">
        <f t="shared" si="138"/>
        <v>37.942500000000003</v>
      </c>
      <c r="BU173" s="542">
        <f t="shared" si="138"/>
        <v>37.942500000000003</v>
      </c>
      <c r="BV173" s="542">
        <f t="shared" si="138"/>
        <v>37.942500000000003</v>
      </c>
      <c r="BW173" s="542">
        <f t="shared" si="138"/>
        <v>37.942500000000003</v>
      </c>
      <c r="BX173" s="542">
        <f t="shared" si="138"/>
        <v>37.942500000000003</v>
      </c>
      <c r="BY173" s="542">
        <f t="shared" si="138"/>
        <v>37.942500000000003</v>
      </c>
      <c r="BZ173" s="542">
        <f t="shared" si="138"/>
        <v>37.942500000000003</v>
      </c>
      <c r="CA173" s="542">
        <f t="shared" si="138"/>
        <v>37.942500000000003</v>
      </c>
      <c r="CB173" s="542">
        <f t="shared" si="138"/>
        <v>37.942500000000003</v>
      </c>
      <c r="CC173" s="542">
        <f t="shared" si="138"/>
        <v>37.942500000000003</v>
      </c>
      <c r="CD173" s="542">
        <f t="shared" si="138"/>
        <v>37.942500000000003</v>
      </c>
      <c r="CE173" s="542">
        <f t="shared" si="138"/>
        <v>37.942500000000003</v>
      </c>
      <c r="CG173" s="541">
        <v>37.942500000000003</v>
      </c>
      <c r="CH173" s="541">
        <v>37.942500000000003</v>
      </c>
      <c r="CI173" s="541">
        <v>37.942500000000003</v>
      </c>
      <c r="CJ173" s="541">
        <v>37.942500000000003</v>
      </c>
      <c r="CK173" s="541">
        <v>37.942500000000003</v>
      </c>
      <c r="CL173" s="541">
        <v>37.942500000000003</v>
      </c>
      <c r="CM173" s="541">
        <v>37.942500000000003</v>
      </c>
      <c r="CN173" s="541">
        <v>37.942500000000003</v>
      </c>
      <c r="CO173" s="541">
        <v>37.942500000000003</v>
      </c>
      <c r="CP173" s="541">
        <v>37.942500000000003</v>
      </c>
      <c r="CQ173" s="541">
        <v>37.942500000000003</v>
      </c>
      <c r="CR173" s="541">
        <v>37.942500000000003</v>
      </c>
      <c r="CS173" s="541">
        <v>37.942500000000003</v>
      </c>
      <c r="CT173" s="541">
        <v>37.942500000000003</v>
      </c>
      <c r="CU173" s="541">
        <v>37.942500000000003</v>
      </c>
      <c r="CV173" s="541">
        <v>37.942500000000003</v>
      </c>
      <c r="CW173" s="541">
        <v>37.942500000000003</v>
      </c>
      <c r="CX173" s="541">
        <v>37.942500000000003</v>
      </c>
      <c r="CY173" s="541">
        <v>37.942500000000003</v>
      </c>
      <c r="CZ173" s="541">
        <v>37.942500000000003</v>
      </c>
      <c r="DA173" s="541">
        <v>37.942500000000003</v>
      </c>
      <c r="DB173" s="541">
        <v>37.942500000000003</v>
      </c>
      <c r="DC173" s="541">
        <v>37.942500000000003</v>
      </c>
      <c r="DD173" s="541">
        <v>37.942500000000003</v>
      </c>
      <c r="DE173" s="541">
        <v>37.942500000000003</v>
      </c>
      <c r="DF173" s="541">
        <v>37.942500000000003</v>
      </c>
      <c r="DG173" s="541">
        <v>37.942500000000003</v>
      </c>
      <c r="DH173" s="541">
        <v>37.942500000000003</v>
      </c>
    </row>
    <row r="174" spans="2:112">
      <c r="B174" t="s">
        <v>1054</v>
      </c>
      <c r="C174" t="s">
        <v>753</v>
      </c>
      <c r="D174" t="s">
        <v>919</v>
      </c>
      <c r="E174" t="s">
        <v>911</v>
      </c>
      <c r="F174" s="541">
        <v>2.5108644545454544</v>
      </c>
      <c r="G174" s="541">
        <v>2.5108644545454544</v>
      </c>
      <c r="H174" s="541">
        <v>2.5108644545454544</v>
      </c>
      <c r="I174" s="541">
        <v>2.5108644545454544</v>
      </c>
      <c r="J174" s="541">
        <v>2.5108644545454544</v>
      </c>
      <c r="K174" s="541">
        <v>2.5108644545454544</v>
      </c>
      <c r="L174" s="541">
        <v>2.5108644545454544</v>
      </c>
      <c r="M174" s="541">
        <v>2.5108644545454544</v>
      </c>
      <c r="N174" s="541">
        <v>2.5108644545454544</v>
      </c>
      <c r="O174" s="541">
        <v>2.5108644545454544</v>
      </c>
      <c r="P174" s="541">
        <v>2.5108644545454544</v>
      </c>
      <c r="Q174" s="541">
        <v>2.5108644545454544</v>
      </c>
      <c r="R174" s="541">
        <v>2.5108644545454544</v>
      </c>
      <c r="S174" s="541">
        <v>2.5108644545454544</v>
      </c>
      <c r="T174" s="541">
        <v>2.5108644545454544</v>
      </c>
      <c r="U174" s="541">
        <v>2.5108644545454544</v>
      </c>
      <c r="V174" s="541">
        <v>2.5108644545454544</v>
      </c>
      <c r="W174" s="541">
        <v>2.5108644545454544</v>
      </c>
      <c r="X174" s="541">
        <v>2.5108644545454544</v>
      </c>
      <c r="Y174" s="541">
        <v>2.5108644545454544</v>
      </c>
      <c r="Z174" s="541">
        <v>2.5108644545454544</v>
      </c>
      <c r="AA174" s="541">
        <v>2.5108644545454544</v>
      </c>
      <c r="AB174" s="541">
        <v>2.5108644545454544</v>
      </c>
      <c r="AC174" s="541">
        <v>2.5108644545454544</v>
      </c>
      <c r="AD174" s="541">
        <v>2.5108644545454544</v>
      </c>
      <c r="AE174" s="541">
        <v>2.5108644545454544</v>
      </c>
      <c r="AF174" s="541">
        <v>2.5108644545454544</v>
      </c>
      <c r="AG174" s="541">
        <v>2.5108644545454544</v>
      </c>
      <c r="AH174" s="542">
        <f t="shared" si="139"/>
        <v>2.5108644545454544</v>
      </c>
      <c r="AI174" s="542">
        <f t="shared" si="139"/>
        <v>2.5108644545454544</v>
      </c>
      <c r="AJ174" s="542">
        <f t="shared" si="139"/>
        <v>2.5108644545454544</v>
      </c>
      <c r="AK174" s="542">
        <f t="shared" si="139"/>
        <v>2.5108644545454544</v>
      </c>
      <c r="AL174" s="542">
        <f t="shared" si="139"/>
        <v>2.5108644545454544</v>
      </c>
      <c r="AM174" s="542">
        <f t="shared" si="139"/>
        <v>2.5108644545454544</v>
      </c>
      <c r="AN174" s="542">
        <f t="shared" si="139"/>
        <v>2.5108644545454544</v>
      </c>
      <c r="AO174" s="542">
        <f t="shared" si="139"/>
        <v>2.5108644545454544</v>
      </c>
      <c r="AP174" s="542">
        <f t="shared" si="139"/>
        <v>2.5108644545454544</v>
      </c>
      <c r="AQ174" s="542">
        <f t="shared" si="139"/>
        <v>2.5108644545454544</v>
      </c>
      <c r="AR174" s="542">
        <f t="shared" si="139"/>
        <v>2.5108644545454544</v>
      </c>
      <c r="AS174" s="542">
        <f t="shared" si="139"/>
        <v>2.5108644545454544</v>
      </c>
      <c r="AT174" s="542">
        <f t="shared" si="139"/>
        <v>2.5108644545454544</v>
      </c>
      <c r="AU174" s="542">
        <f t="shared" si="139"/>
        <v>2.5108644545454544</v>
      </c>
      <c r="AV174" s="542">
        <f t="shared" si="139"/>
        <v>2.5108644545454544</v>
      </c>
      <c r="AW174" s="542">
        <f t="shared" si="139"/>
        <v>2.5108644545454544</v>
      </c>
      <c r="AX174" s="542">
        <f t="shared" si="138"/>
        <v>2.5108644545454544</v>
      </c>
      <c r="AY174" s="542">
        <f t="shared" si="138"/>
        <v>2.5108644545454544</v>
      </c>
      <c r="AZ174" s="542">
        <f t="shared" si="138"/>
        <v>2.5108644545454544</v>
      </c>
      <c r="BA174" s="542">
        <f t="shared" si="138"/>
        <v>2.5108644545454544</v>
      </c>
      <c r="BB174" s="542">
        <f t="shared" si="138"/>
        <v>2.5108644545454544</v>
      </c>
      <c r="BC174" s="542">
        <f t="shared" si="138"/>
        <v>2.5108644545454544</v>
      </c>
      <c r="BD174" s="542">
        <f t="shared" si="138"/>
        <v>2.5108644545454544</v>
      </c>
      <c r="BE174" s="542">
        <f t="shared" si="138"/>
        <v>2.5108644545454544</v>
      </c>
      <c r="BF174" s="542">
        <f t="shared" si="138"/>
        <v>2.5108644545454544</v>
      </c>
      <c r="BG174" s="542">
        <f t="shared" si="138"/>
        <v>2.5108644545454544</v>
      </c>
      <c r="BH174" s="542">
        <f t="shared" si="138"/>
        <v>2.5108644545454544</v>
      </c>
      <c r="BI174" s="542">
        <f t="shared" si="138"/>
        <v>2.5108644545454544</v>
      </c>
      <c r="BJ174" s="542">
        <f t="shared" si="138"/>
        <v>2.5108644545454544</v>
      </c>
      <c r="BK174" s="542">
        <f t="shared" si="138"/>
        <v>2.5108644545454544</v>
      </c>
      <c r="BL174" s="542">
        <f t="shared" si="138"/>
        <v>2.5108644545454544</v>
      </c>
      <c r="BM174" s="542">
        <f t="shared" si="138"/>
        <v>2.5108644545454544</v>
      </c>
      <c r="BN174" s="542">
        <f t="shared" si="138"/>
        <v>2.5108644545454544</v>
      </c>
      <c r="BO174" s="542">
        <f t="shared" si="138"/>
        <v>2.5108644545454544</v>
      </c>
      <c r="BP174" s="542">
        <f t="shared" si="138"/>
        <v>2.5108644545454544</v>
      </c>
      <c r="BQ174" s="542">
        <f t="shared" si="138"/>
        <v>2.5108644545454544</v>
      </c>
      <c r="BR174" s="542">
        <f t="shared" si="138"/>
        <v>2.5108644545454544</v>
      </c>
      <c r="BS174" s="542">
        <f t="shared" si="138"/>
        <v>2.5108644545454544</v>
      </c>
      <c r="BT174" s="542">
        <f t="shared" si="138"/>
        <v>2.5108644545454544</v>
      </c>
      <c r="BU174" s="542">
        <f t="shared" si="138"/>
        <v>2.5108644545454544</v>
      </c>
      <c r="BV174" s="542">
        <f t="shared" si="138"/>
        <v>2.5108644545454544</v>
      </c>
      <c r="BW174" s="542">
        <f t="shared" si="138"/>
        <v>2.5108644545454544</v>
      </c>
      <c r="BX174" s="542">
        <f t="shared" si="138"/>
        <v>2.5108644545454544</v>
      </c>
      <c r="BY174" s="542">
        <f t="shared" si="138"/>
        <v>2.5108644545454544</v>
      </c>
      <c r="BZ174" s="542">
        <f t="shared" si="138"/>
        <v>2.5108644545454544</v>
      </c>
      <c r="CA174" s="542">
        <f t="shared" si="138"/>
        <v>2.5108644545454544</v>
      </c>
      <c r="CB174" s="542">
        <f t="shared" si="138"/>
        <v>2.5108644545454544</v>
      </c>
      <c r="CC174" s="542">
        <f t="shared" si="138"/>
        <v>2.5108644545454544</v>
      </c>
      <c r="CD174" s="542">
        <f t="shared" si="138"/>
        <v>2.5108644545454544</v>
      </c>
      <c r="CE174" s="542">
        <f t="shared" si="138"/>
        <v>2.5108644545454544</v>
      </c>
      <c r="CG174" s="541">
        <v>2.5108644545454544</v>
      </c>
      <c r="CH174" s="541">
        <v>2.5108644545454544</v>
      </c>
      <c r="CI174" s="541">
        <v>2.5108644545454544</v>
      </c>
      <c r="CJ174" s="541">
        <v>2.5108644545454544</v>
      </c>
      <c r="CK174" s="541">
        <v>2.5108644545454544</v>
      </c>
      <c r="CL174" s="541">
        <v>2.5108644545454544</v>
      </c>
      <c r="CM174" s="541">
        <v>2.5108644545454544</v>
      </c>
      <c r="CN174" s="541">
        <v>2.5108644545454544</v>
      </c>
      <c r="CO174" s="541">
        <v>2.5108644545454544</v>
      </c>
      <c r="CP174" s="541">
        <v>2.5108644545454544</v>
      </c>
      <c r="CQ174" s="541">
        <v>2.5108644545454544</v>
      </c>
      <c r="CR174" s="541">
        <v>2.5108644545454544</v>
      </c>
      <c r="CS174" s="541">
        <v>2.5108644545454544</v>
      </c>
      <c r="CT174" s="541">
        <v>2.5108644545454544</v>
      </c>
      <c r="CU174" s="541">
        <v>2.5108644545454544</v>
      </c>
      <c r="CV174" s="541">
        <v>2.5108644545454544</v>
      </c>
      <c r="CW174" s="541">
        <v>2.5108644545454544</v>
      </c>
      <c r="CX174" s="541">
        <v>2.5108644545454544</v>
      </c>
      <c r="CY174" s="541">
        <v>2.5108644545454544</v>
      </c>
      <c r="CZ174" s="541">
        <v>2.5108644545454544</v>
      </c>
      <c r="DA174" s="541">
        <v>2.5108644545454544</v>
      </c>
      <c r="DB174" s="541">
        <v>2.5108644545454544</v>
      </c>
      <c r="DC174" s="541">
        <v>2.5108644545454544</v>
      </c>
      <c r="DD174" s="541">
        <v>2.5108644545454544</v>
      </c>
      <c r="DE174" s="541">
        <v>2.5108644545454544</v>
      </c>
      <c r="DF174" s="541">
        <v>2.5108644545454544</v>
      </c>
      <c r="DG174" s="541">
        <v>2.5108644545454544</v>
      </c>
      <c r="DH174" s="541">
        <v>2.5108644545454544</v>
      </c>
    </row>
    <row r="175" spans="2:112">
      <c r="B175" t="s">
        <v>1055</v>
      </c>
      <c r="C175" t="s">
        <v>753</v>
      </c>
      <c r="D175" t="s">
        <v>921</v>
      </c>
      <c r="E175" t="s">
        <v>908</v>
      </c>
      <c r="F175" s="541">
        <v>39.1325</v>
      </c>
      <c r="G175" s="541">
        <v>39.1325</v>
      </c>
      <c r="H175" s="541">
        <v>39.1325</v>
      </c>
      <c r="I175" s="541">
        <v>39.1325</v>
      </c>
      <c r="J175" s="541">
        <v>39.1325</v>
      </c>
      <c r="K175" s="541">
        <v>39.1325</v>
      </c>
      <c r="L175" s="541">
        <v>39.1325</v>
      </c>
      <c r="M175" s="541">
        <v>39.1325</v>
      </c>
      <c r="N175" s="541">
        <v>39.1325</v>
      </c>
      <c r="O175" s="541">
        <v>39.1325</v>
      </c>
      <c r="P175" s="541">
        <v>39.1325</v>
      </c>
      <c r="Q175" s="541">
        <v>39.1325</v>
      </c>
      <c r="R175" s="541">
        <v>39.1325</v>
      </c>
      <c r="S175" s="541">
        <v>39.1325</v>
      </c>
      <c r="T175" s="541">
        <v>39.1325</v>
      </c>
      <c r="U175" s="541">
        <v>39.1325</v>
      </c>
      <c r="V175" s="541">
        <v>39.1325</v>
      </c>
      <c r="W175" s="541">
        <v>39.1325</v>
      </c>
      <c r="X175" s="541">
        <v>39.1325</v>
      </c>
      <c r="Y175" s="541">
        <v>39.1325</v>
      </c>
      <c r="Z175" s="541">
        <v>39.1325</v>
      </c>
      <c r="AA175" s="541">
        <v>39.1325</v>
      </c>
      <c r="AB175" s="541">
        <v>39.1325</v>
      </c>
      <c r="AC175" s="541">
        <v>39.1325</v>
      </c>
      <c r="AD175" s="541">
        <v>39.1325</v>
      </c>
      <c r="AE175" s="541">
        <v>39.1325</v>
      </c>
      <c r="AF175" s="541">
        <v>39.1325</v>
      </c>
      <c r="AG175" s="541">
        <v>39.1325</v>
      </c>
      <c r="AH175" s="542">
        <f t="shared" si="139"/>
        <v>39.1325</v>
      </c>
      <c r="AI175" s="542">
        <f t="shared" si="139"/>
        <v>39.1325</v>
      </c>
      <c r="AJ175" s="542">
        <f t="shared" si="139"/>
        <v>39.1325</v>
      </c>
      <c r="AK175" s="542">
        <f t="shared" si="139"/>
        <v>39.1325</v>
      </c>
      <c r="AL175" s="542">
        <f t="shared" si="139"/>
        <v>39.1325</v>
      </c>
      <c r="AM175" s="542">
        <f t="shared" si="139"/>
        <v>39.1325</v>
      </c>
      <c r="AN175" s="542">
        <f t="shared" si="139"/>
        <v>39.1325</v>
      </c>
      <c r="AO175" s="542">
        <f t="shared" si="139"/>
        <v>39.1325</v>
      </c>
      <c r="AP175" s="542">
        <f t="shared" si="139"/>
        <v>39.1325</v>
      </c>
      <c r="AQ175" s="542">
        <f t="shared" si="139"/>
        <v>39.1325</v>
      </c>
      <c r="AR175" s="542">
        <f t="shared" si="139"/>
        <v>39.1325</v>
      </c>
      <c r="AS175" s="542">
        <f t="shared" si="139"/>
        <v>39.1325</v>
      </c>
      <c r="AT175" s="542">
        <f t="shared" si="139"/>
        <v>39.1325</v>
      </c>
      <c r="AU175" s="542">
        <f t="shared" si="139"/>
        <v>39.1325</v>
      </c>
      <c r="AV175" s="542">
        <f t="shared" si="139"/>
        <v>39.1325</v>
      </c>
      <c r="AW175" s="542">
        <f t="shared" si="139"/>
        <v>39.1325</v>
      </c>
      <c r="AX175" s="542">
        <f t="shared" si="138"/>
        <v>39.1325</v>
      </c>
      <c r="AY175" s="542">
        <f t="shared" si="138"/>
        <v>39.1325</v>
      </c>
      <c r="AZ175" s="542">
        <f t="shared" si="138"/>
        <v>39.1325</v>
      </c>
      <c r="BA175" s="542">
        <f t="shared" si="138"/>
        <v>39.1325</v>
      </c>
      <c r="BB175" s="542">
        <f t="shared" si="138"/>
        <v>39.1325</v>
      </c>
      <c r="BC175" s="542">
        <f t="shared" si="138"/>
        <v>39.1325</v>
      </c>
      <c r="BD175" s="542">
        <f t="shared" si="138"/>
        <v>39.1325</v>
      </c>
      <c r="BE175" s="542">
        <f t="shared" si="138"/>
        <v>39.1325</v>
      </c>
      <c r="BF175" s="542">
        <f t="shared" si="138"/>
        <v>39.1325</v>
      </c>
      <c r="BG175" s="542">
        <f t="shared" si="138"/>
        <v>39.1325</v>
      </c>
      <c r="BH175" s="542">
        <f t="shared" si="138"/>
        <v>39.1325</v>
      </c>
      <c r="BI175" s="542">
        <f t="shared" si="138"/>
        <v>39.1325</v>
      </c>
      <c r="BJ175" s="542">
        <f t="shared" si="138"/>
        <v>39.1325</v>
      </c>
      <c r="BK175" s="542">
        <f t="shared" si="138"/>
        <v>39.1325</v>
      </c>
      <c r="BL175" s="542">
        <f t="shared" si="138"/>
        <v>39.1325</v>
      </c>
      <c r="BM175" s="542">
        <f t="shared" si="138"/>
        <v>39.1325</v>
      </c>
      <c r="BN175" s="542">
        <f t="shared" si="138"/>
        <v>39.1325</v>
      </c>
      <c r="BO175" s="542">
        <f t="shared" si="138"/>
        <v>39.1325</v>
      </c>
      <c r="BP175" s="542">
        <f t="shared" si="138"/>
        <v>39.1325</v>
      </c>
      <c r="BQ175" s="542">
        <f t="shared" si="138"/>
        <v>39.1325</v>
      </c>
      <c r="BR175" s="542">
        <f t="shared" si="138"/>
        <v>39.1325</v>
      </c>
      <c r="BS175" s="542">
        <f t="shared" si="138"/>
        <v>39.1325</v>
      </c>
      <c r="BT175" s="542">
        <f t="shared" si="138"/>
        <v>39.1325</v>
      </c>
      <c r="BU175" s="542">
        <f t="shared" si="138"/>
        <v>39.1325</v>
      </c>
      <c r="BV175" s="542">
        <f t="shared" si="138"/>
        <v>39.1325</v>
      </c>
      <c r="BW175" s="542">
        <f t="shared" si="138"/>
        <v>39.1325</v>
      </c>
      <c r="BX175" s="542">
        <f t="shared" si="138"/>
        <v>39.1325</v>
      </c>
      <c r="BY175" s="542">
        <f t="shared" si="138"/>
        <v>39.1325</v>
      </c>
      <c r="BZ175" s="542">
        <f t="shared" si="138"/>
        <v>39.1325</v>
      </c>
      <c r="CA175" s="542">
        <f t="shared" si="138"/>
        <v>39.1325</v>
      </c>
      <c r="CB175" s="542">
        <f t="shared" si="138"/>
        <v>39.1325</v>
      </c>
      <c r="CC175" s="542">
        <f t="shared" si="138"/>
        <v>39.1325</v>
      </c>
      <c r="CD175" s="542">
        <f t="shared" si="138"/>
        <v>39.1325</v>
      </c>
      <c r="CE175" s="542">
        <f t="shared" si="138"/>
        <v>39.1325</v>
      </c>
      <c r="CG175" s="541">
        <v>39.1325</v>
      </c>
      <c r="CH175" s="541">
        <v>39.1325</v>
      </c>
      <c r="CI175" s="541">
        <v>39.1325</v>
      </c>
      <c r="CJ175" s="541">
        <v>39.1325</v>
      </c>
      <c r="CK175" s="541">
        <v>39.1325</v>
      </c>
      <c r="CL175" s="541">
        <v>39.1325</v>
      </c>
      <c r="CM175" s="541">
        <v>39.1325</v>
      </c>
      <c r="CN175" s="541">
        <v>39.1325</v>
      </c>
      <c r="CO175" s="541">
        <v>39.1325</v>
      </c>
      <c r="CP175" s="541">
        <v>39.1325</v>
      </c>
      <c r="CQ175" s="541">
        <v>39.1325</v>
      </c>
      <c r="CR175" s="541">
        <v>39.1325</v>
      </c>
      <c r="CS175" s="541">
        <v>39.1325</v>
      </c>
      <c r="CT175" s="541">
        <v>39.1325</v>
      </c>
      <c r="CU175" s="541">
        <v>39.1325</v>
      </c>
      <c r="CV175" s="541">
        <v>39.1325</v>
      </c>
      <c r="CW175" s="541">
        <v>39.1325</v>
      </c>
      <c r="CX175" s="541">
        <v>39.1325</v>
      </c>
      <c r="CY175" s="541">
        <v>39.1325</v>
      </c>
      <c r="CZ175" s="541">
        <v>39.1325</v>
      </c>
      <c r="DA175" s="541">
        <v>39.1325</v>
      </c>
      <c r="DB175" s="541">
        <v>39.1325</v>
      </c>
      <c r="DC175" s="541">
        <v>39.1325</v>
      </c>
      <c r="DD175" s="541">
        <v>39.1325</v>
      </c>
      <c r="DE175" s="541">
        <v>39.1325</v>
      </c>
      <c r="DF175" s="541">
        <v>39.1325</v>
      </c>
      <c r="DG175" s="541">
        <v>39.1325</v>
      </c>
      <c r="DH175" s="541">
        <v>39.1325</v>
      </c>
    </row>
    <row r="176" spans="2:112">
      <c r="B176" t="s">
        <v>1056</v>
      </c>
      <c r="C176" t="s">
        <v>753</v>
      </c>
      <c r="D176" t="s">
        <v>923</v>
      </c>
      <c r="E176" t="s">
        <v>911</v>
      </c>
      <c r="F176" s="541">
        <v>2.5227644545454546</v>
      </c>
      <c r="G176" s="541">
        <v>2.5227644545454546</v>
      </c>
      <c r="H176" s="541">
        <v>2.5227644545454546</v>
      </c>
      <c r="I176" s="541">
        <v>2.5227644545454546</v>
      </c>
      <c r="J176" s="541">
        <v>2.5227644545454546</v>
      </c>
      <c r="K176" s="541">
        <v>2.5227644545454546</v>
      </c>
      <c r="L176" s="541">
        <v>2.5227644545454546</v>
      </c>
      <c r="M176" s="541">
        <v>2.5227644545454546</v>
      </c>
      <c r="N176" s="541">
        <v>2.5227644545454546</v>
      </c>
      <c r="O176" s="541">
        <v>2.5227644545454546</v>
      </c>
      <c r="P176" s="541">
        <v>2.5227644545454546</v>
      </c>
      <c r="Q176" s="541">
        <v>2.5227644545454546</v>
      </c>
      <c r="R176" s="541">
        <v>2.5227644545454546</v>
      </c>
      <c r="S176" s="541">
        <v>2.5227644545454546</v>
      </c>
      <c r="T176" s="541">
        <v>2.5227644545454546</v>
      </c>
      <c r="U176" s="541">
        <v>2.5227644545454546</v>
      </c>
      <c r="V176" s="541">
        <v>2.5227644545454546</v>
      </c>
      <c r="W176" s="541">
        <v>2.5227644545454546</v>
      </c>
      <c r="X176" s="541">
        <v>2.5227644545454546</v>
      </c>
      <c r="Y176" s="541">
        <v>2.5227644545454546</v>
      </c>
      <c r="Z176" s="541">
        <v>2.5227644545454546</v>
      </c>
      <c r="AA176" s="541">
        <v>2.5227644545454546</v>
      </c>
      <c r="AB176" s="541">
        <v>2.5227644545454546</v>
      </c>
      <c r="AC176" s="541">
        <v>2.5227644545454546</v>
      </c>
      <c r="AD176" s="541">
        <v>2.5227644545454546</v>
      </c>
      <c r="AE176" s="541">
        <v>2.5227644545454546</v>
      </c>
      <c r="AF176" s="541">
        <v>2.5227644545454546</v>
      </c>
      <c r="AG176" s="541">
        <v>2.5227644545454546</v>
      </c>
      <c r="AH176" s="542">
        <f t="shared" si="139"/>
        <v>2.5227644545454546</v>
      </c>
      <c r="AI176" s="542">
        <f t="shared" si="139"/>
        <v>2.5227644545454546</v>
      </c>
      <c r="AJ176" s="542">
        <f t="shared" si="139"/>
        <v>2.5227644545454546</v>
      </c>
      <c r="AK176" s="542">
        <f t="shared" si="139"/>
        <v>2.5227644545454546</v>
      </c>
      <c r="AL176" s="542">
        <f t="shared" si="139"/>
        <v>2.5227644545454546</v>
      </c>
      <c r="AM176" s="542">
        <f t="shared" si="139"/>
        <v>2.5227644545454546</v>
      </c>
      <c r="AN176" s="542">
        <f t="shared" si="139"/>
        <v>2.5227644545454546</v>
      </c>
      <c r="AO176" s="542">
        <f t="shared" si="139"/>
        <v>2.5227644545454546</v>
      </c>
      <c r="AP176" s="542">
        <f t="shared" si="139"/>
        <v>2.5227644545454546</v>
      </c>
      <c r="AQ176" s="542">
        <f t="shared" si="139"/>
        <v>2.5227644545454546</v>
      </c>
      <c r="AR176" s="542">
        <f t="shared" si="139"/>
        <v>2.5227644545454546</v>
      </c>
      <c r="AS176" s="542">
        <f t="shared" si="139"/>
        <v>2.5227644545454546</v>
      </c>
      <c r="AT176" s="542">
        <f t="shared" si="139"/>
        <v>2.5227644545454546</v>
      </c>
      <c r="AU176" s="542">
        <f t="shared" si="139"/>
        <v>2.5227644545454546</v>
      </c>
      <c r="AV176" s="542">
        <f t="shared" si="139"/>
        <v>2.5227644545454546</v>
      </c>
      <c r="AW176" s="542">
        <f t="shared" si="139"/>
        <v>2.5227644545454546</v>
      </c>
      <c r="AX176" s="542">
        <f t="shared" si="138"/>
        <v>2.5227644545454546</v>
      </c>
      <c r="AY176" s="542">
        <f t="shared" si="138"/>
        <v>2.5227644545454546</v>
      </c>
      <c r="AZ176" s="542">
        <f t="shared" si="138"/>
        <v>2.5227644545454546</v>
      </c>
      <c r="BA176" s="542">
        <f t="shared" si="138"/>
        <v>2.5227644545454546</v>
      </c>
      <c r="BB176" s="542">
        <f t="shared" si="138"/>
        <v>2.5227644545454546</v>
      </c>
      <c r="BC176" s="542">
        <f t="shared" si="138"/>
        <v>2.5227644545454546</v>
      </c>
      <c r="BD176" s="542">
        <f t="shared" si="138"/>
        <v>2.5227644545454546</v>
      </c>
      <c r="BE176" s="542">
        <f t="shared" si="138"/>
        <v>2.5227644545454546</v>
      </c>
      <c r="BF176" s="542">
        <f t="shared" si="138"/>
        <v>2.5227644545454546</v>
      </c>
      <c r="BG176" s="542">
        <f t="shared" si="138"/>
        <v>2.5227644545454546</v>
      </c>
      <c r="BH176" s="542">
        <f t="shared" si="138"/>
        <v>2.5227644545454546</v>
      </c>
      <c r="BI176" s="542">
        <f t="shared" si="138"/>
        <v>2.5227644545454546</v>
      </c>
      <c r="BJ176" s="542">
        <f t="shared" si="138"/>
        <v>2.5227644545454546</v>
      </c>
      <c r="BK176" s="542">
        <f t="shared" si="138"/>
        <v>2.5227644545454546</v>
      </c>
      <c r="BL176" s="542">
        <f t="shared" si="138"/>
        <v>2.5227644545454546</v>
      </c>
      <c r="BM176" s="542">
        <f t="shared" si="138"/>
        <v>2.5227644545454546</v>
      </c>
      <c r="BN176" s="542">
        <f t="shared" si="138"/>
        <v>2.5227644545454546</v>
      </c>
      <c r="BO176" s="542">
        <f t="shared" si="138"/>
        <v>2.5227644545454546</v>
      </c>
      <c r="BP176" s="542">
        <f t="shared" si="138"/>
        <v>2.5227644545454546</v>
      </c>
      <c r="BQ176" s="542">
        <f t="shared" si="138"/>
        <v>2.5227644545454546</v>
      </c>
      <c r="BR176" s="542">
        <f t="shared" si="138"/>
        <v>2.5227644545454546</v>
      </c>
      <c r="BS176" s="542">
        <f t="shared" si="138"/>
        <v>2.5227644545454546</v>
      </c>
      <c r="BT176" s="542">
        <f t="shared" si="138"/>
        <v>2.5227644545454546</v>
      </c>
      <c r="BU176" s="542">
        <f t="shared" si="138"/>
        <v>2.5227644545454546</v>
      </c>
      <c r="BV176" s="542">
        <f t="shared" si="138"/>
        <v>2.5227644545454546</v>
      </c>
      <c r="BW176" s="542">
        <f t="shared" si="138"/>
        <v>2.5227644545454546</v>
      </c>
      <c r="BX176" s="542">
        <f t="shared" si="138"/>
        <v>2.5227644545454546</v>
      </c>
      <c r="BY176" s="542">
        <f t="shared" si="138"/>
        <v>2.5227644545454546</v>
      </c>
      <c r="BZ176" s="542">
        <f t="shared" si="138"/>
        <v>2.5227644545454546</v>
      </c>
      <c r="CA176" s="542">
        <f t="shared" si="138"/>
        <v>2.5227644545454546</v>
      </c>
      <c r="CB176" s="542">
        <f t="shared" si="138"/>
        <v>2.5227644545454546</v>
      </c>
      <c r="CC176" s="542">
        <f t="shared" si="138"/>
        <v>2.5227644545454546</v>
      </c>
      <c r="CD176" s="542">
        <f t="shared" si="138"/>
        <v>2.5227644545454546</v>
      </c>
      <c r="CE176" s="542">
        <f t="shared" si="138"/>
        <v>2.5227644545454546</v>
      </c>
      <c r="CG176" s="541">
        <v>2.5227644545454546</v>
      </c>
      <c r="CH176" s="541">
        <v>2.5227644545454546</v>
      </c>
      <c r="CI176" s="541">
        <v>2.5227644545454546</v>
      </c>
      <c r="CJ176" s="541">
        <v>2.5227644545454546</v>
      </c>
      <c r="CK176" s="541">
        <v>2.5227644545454546</v>
      </c>
      <c r="CL176" s="541">
        <v>2.5227644545454546</v>
      </c>
      <c r="CM176" s="541">
        <v>2.5227644545454546</v>
      </c>
      <c r="CN176" s="541">
        <v>2.5227644545454546</v>
      </c>
      <c r="CO176" s="541">
        <v>2.5227644545454546</v>
      </c>
      <c r="CP176" s="541">
        <v>2.5227644545454546</v>
      </c>
      <c r="CQ176" s="541">
        <v>2.5227644545454546</v>
      </c>
      <c r="CR176" s="541">
        <v>2.5227644545454546</v>
      </c>
      <c r="CS176" s="541">
        <v>2.5227644545454546</v>
      </c>
      <c r="CT176" s="541">
        <v>2.5227644545454546</v>
      </c>
      <c r="CU176" s="541">
        <v>2.5227644545454546</v>
      </c>
      <c r="CV176" s="541">
        <v>2.5227644545454546</v>
      </c>
      <c r="CW176" s="541">
        <v>2.5227644545454546</v>
      </c>
      <c r="CX176" s="541">
        <v>2.5227644545454546</v>
      </c>
      <c r="CY176" s="541">
        <v>2.5227644545454546</v>
      </c>
      <c r="CZ176" s="541">
        <v>2.5227644545454546</v>
      </c>
      <c r="DA176" s="541">
        <v>2.5227644545454546</v>
      </c>
      <c r="DB176" s="541">
        <v>2.5227644545454546</v>
      </c>
      <c r="DC176" s="541">
        <v>2.5227644545454546</v>
      </c>
      <c r="DD176" s="541">
        <v>2.5227644545454546</v>
      </c>
      <c r="DE176" s="541">
        <v>2.5227644545454546</v>
      </c>
      <c r="DF176" s="541">
        <v>2.5227644545454546</v>
      </c>
      <c r="DG176" s="541">
        <v>2.5227644545454546</v>
      </c>
      <c r="DH176" s="541">
        <v>2.5227644545454546</v>
      </c>
    </row>
    <row r="177" spans="2:112">
      <c r="B177" t="s">
        <v>924</v>
      </c>
    </row>
    <row r="178" spans="2:112" ht="15">
      <c r="B178" t="s">
        <v>1057</v>
      </c>
      <c r="C178" s="485" t="s">
        <v>758</v>
      </c>
      <c r="D178" s="485" t="s">
        <v>877</v>
      </c>
      <c r="E178" s="485" t="s">
        <v>111</v>
      </c>
      <c r="F178" s="486">
        <f>2023</f>
        <v>2023</v>
      </c>
      <c r="G178" s="486">
        <f>F178+1</f>
        <v>2024</v>
      </c>
      <c r="H178" s="486">
        <f t="shared" ref="H178:AG178" si="140">G178+1</f>
        <v>2025</v>
      </c>
      <c r="I178" s="486">
        <f t="shared" si="140"/>
        <v>2026</v>
      </c>
      <c r="J178" s="486">
        <f t="shared" si="140"/>
        <v>2027</v>
      </c>
      <c r="K178" s="486">
        <f t="shared" si="140"/>
        <v>2028</v>
      </c>
      <c r="L178" s="486">
        <f t="shared" si="140"/>
        <v>2029</v>
      </c>
      <c r="M178" s="486">
        <f t="shared" si="140"/>
        <v>2030</v>
      </c>
      <c r="N178" s="486">
        <f t="shared" si="140"/>
        <v>2031</v>
      </c>
      <c r="O178" s="486">
        <f t="shared" si="140"/>
        <v>2032</v>
      </c>
      <c r="P178" s="486">
        <f t="shared" si="140"/>
        <v>2033</v>
      </c>
      <c r="Q178" s="486">
        <f t="shared" si="140"/>
        <v>2034</v>
      </c>
      <c r="R178" s="486">
        <f t="shared" si="140"/>
        <v>2035</v>
      </c>
      <c r="S178" s="486">
        <f t="shared" si="140"/>
        <v>2036</v>
      </c>
      <c r="T178" s="486">
        <f t="shared" si="140"/>
        <v>2037</v>
      </c>
      <c r="U178" s="486">
        <f t="shared" si="140"/>
        <v>2038</v>
      </c>
      <c r="V178" s="486">
        <f t="shared" si="140"/>
        <v>2039</v>
      </c>
      <c r="W178" s="486">
        <f t="shared" si="140"/>
        <v>2040</v>
      </c>
      <c r="X178" s="486">
        <f t="shared" si="140"/>
        <v>2041</v>
      </c>
      <c r="Y178" s="486">
        <f t="shared" si="140"/>
        <v>2042</v>
      </c>
      <c r="Z178" s="486">
        <f t="shared" si="140"/>
        <v>2043</v>
      </c>
      <c r="AA178" s="486">
        <f t="shared" si="140"/>
        <v>2044</v>
      </c>
      <c r="AB178" s="486">
        <f t="shared" si="140"/>
        <v>2045</v>
      </c>
      <c r="AC178" s="486">
        <f t="shared" si="140"/>
        <v>2046</v>
      </c>
      <c r="AD178" s="486">
        <f t="shared" si="140"/>
        <v>2047</v>
      </c>
      <c r="AE178" s="486">
        <f t="shared" si="140"/>
        <v>2048</v>
      </c>
      <c r="AF178" s="486">
        <f t="shared" si="140"/>
        <v>2049</v>
      </c>
      <c r="AG178" s="486">
        <f t="shared" si="140"/>
        <v>2050</v>
      </c>
      <c r="AH178" s="524">
        <f>AG178+1</f>
        <v>2051</v>
      </c>
      <c r="AI178" s="524">
        <f t="shared" ref="AI178:CE178" si="141">AH178+1</f>
        <v>2052</v>
      </c>
      <c r="AJ178" s="524">
        <f t="shared" si="141"/>
        <v>2053</v>
      </c>
      <c r="AK178" s="524">
        <f t="shared" si="141"/>
        <v>2054</v>
      </c>
      <c r="AL178" s="524">
        <f t="shared" si="141"/>
        <v>2055</v>
      </c>
      <c r="AM178" s="524">
        <f t="shared" si="141"/>
        <v>2056</v>
      </c>
      <c r="AN178" s="524">
        <f t="shared" si="141"/>
        <v>2057</v>
      </c>
      <c r="AO178" s="524">
        <f t="shared" si="141"/>
        <v>2058</v>
      </c>
      <c r="AP178" s="524">
        <f t="shared" si="141"/>
        <v>2059</v>
      </c>
      <c r="AQ178" s="524">
        <f t="shared" si="141"/>
        <v>2060</v>
      </c>
      <c r="AR178" s="524">
        <f t="shared" si="141"/>
        <v>2061</v>
      </c>
      <c r="AS178" s="524">
        <f t="shared" si="141"/>
        <v>2062</v>
      </c>
      <c r="AT178" s="524">
        <f t="shared" si="141"/>
        <v>2063</v>
      </c>
      <c r="AU178" s="524">
        <f t="shared" si="141"/>
        <v>2064</v>
      </c>
      <c r="AV178" s="524">
        <f t="shared" si="141"/>
        <v>2065</v>
      </c>
      <c r="AW178" s="524">
        <f t="shared" si="141"/>
        <v>2066</v>
      </c>
      <c r="AX178" s="524">
        <f t="shared" si="141"/>
        <v>2067</v>
      </c>
      <c r="AY178" s="524">
        <f t="shared" si="141"/>
        <v>2068</v>
      </c>
      <c r="AZ178" s="524">
        <f t="shared" si="141"/>
        <v>2069</v>
      </c>
      <c r="BA178" s="524">
        <f t="shared" si="141"/>
        <v>2070</v>
      </c>
      <c r="BB178" s="524">
        <f t="shared" si="141"/>
        <v>2071</v>
      </c>
      <c r="BC178" s="524">
        <f t="shared" si="141"/>
        <v>2072</v>
      </c>
      <c r="BD178" s="524">
        <f t="shared" si="141"/>
        <v>2073</v>
      </c>
      <c r="BE178" s="524">
        <f t="shared" si="141"/>
        <v>2074</v>
      </c>
      <c r="BF178" s="524">
        <f t="shared" si="141"/>
        <v>2075</v>
      </c>
      <c r="BG178" s="524">
        <f t="shared" si="141"/>
        <v>2076</v>
      </c>
      <c r="BH178" s="524">
        <f t="shared" si="141"/>
        <v>2077</v>
      </c>
      <c r="BI178" s="524">
        <f t="shared" si="141"/>
        <v>2078</v>
      </c>
      <c r="BJ178" s="524">
        <f t="shared" si="141"/>
        <v>2079</v>
      </c>
      <c r="BK178" s="524">
        <f t="shared" si="141"/>
        <v>2080</v>
      </c>
      <c r="BL178" s="524">
        <f t="shared" si="141"/>
        <v>2081</v>
      </c>
      <c r="BM178" s="524">
        <f t="shared" si="141"/>
        <v>2082</v>
      </c>
      <c r="BN178" s="524">
        <f t="shared" si="141"/>
        <v>2083</v>
      </c>
      <c r="BO178" s="524">
        <f t="shared" si="141"/>
        <v>2084</v>
      </c>
      <c r="BP178" s="524">
        <f t="shared" si="141"/>
        <v>2085</v>
      </c>
      <c r="BQ178" s="524">
        <f t="shared" si="141"/>
        <v>2086</v>
      </c>
      <c r="BR178" s="524">
        <f t="shared" si="141"/>
        <v>2087</v>
      </c>
      <c r="BS178" s="524">
        <f t="shared" si="141"/>
        <v>2088</v>
      </c>
      <c r="BT178" s="524">
        <f t="shared" si="141"/>
        <v>2089</v>
      </c>
      <c r="BU178" s="524">
        <f t="shared" si="141"/>
        <v>2090</v>
      </c>
      <c r="BV178" s="524">
        <f t="shared" si="141"/>
        <v>2091</v>
      </c>
      <c r="BW178" s="524">
        <f t="shared" si="141"/>
        <v>2092</v>
      </c>
      <c r="BX178" s="524">
        <f t="shared" si="141"/>
        <v>2093</v>
      </c>
      <c r="BY178" s="524">
        <f t="shared" si="141"/>
        <v>2094</v>
      </c>
      <c r="BZ178" s="524">
        <f t="shared" si="141"/>
        <v>2095</v>
      </c>
      <c r="CA178" s="524">
        <f t="shared" si="141"/>
        <v>2096</v>
      </c>
      <c r="CB178" s="524">
        <f t="shared" si="141"/>
        <v>2097</v>
      </c>
      <c r="CC178" s="524">
        <f t="shared" si="141"/>
        <v>2098</v>
      </c>
      <c r="CD178" s="524">
        <f t="shared" si="141"/>
        <v>2099</v>
      </c>
      <c r="CE178" s="524">
        <f t="shared" si="141"/>
        <v>2100</v>
      </c>
      <c r="CG178" s="486">
        <v>2023</v>
      </c>
      <c r="CH178" s="486">
        <v>2024</v>
      </c>
      <c r="CI178" s="486">
        <v>2025</v>
      </c>
      <c r="CJ178" s="486">
        <v>2026</v>
      </c>
      <c r="CK178" s="486">
        <v>2027</v>
      </c>
      <c r="CL178" s="486">
        <v>2028</v>
      </c>
      <c r="CM178" s="486">
        <v>2029</v>
      </c>
      <c r="CN178" s="486">
        <v>2030</v>
      </c>
      <c r="CO178" s="486">
        <v>2031</v>
      </c>
      <c r="CP178" s="486">
        <v>2032</v>
      </c>
      <c r="CQ178" s="486">
        <v>2033</v>
      </c>
      <c r="CR178" s="486">
        <v>2034</v>
      </c>
      <c r="CS178" s="486">
        <v>2035</v>
      </c>
      <c r="CT178" s="486">
        <v>2036</v>
      </c>
      <c r="CU178" s="486">
        <v>2037</v>
      </c>
      <c r="CV178" s="486">
        <v>2038</v>
      </c>
      <c r="CW178" s="486">
        <v>2039</v>
      </c>
      <c r="CX178" s="486">
        <v>2040</v>
      </c>
      <c r="CY178" s="486">
        <v>2041</v>
      </c>
      <c r="CZ178" s="486">
        <v>2042</v>
      </c>
      <c r="DA178" s="486">
        <v>2043</v>
      </c>
      <c r="DB178" s="486">
        <v>2044</v>
      </c>
      <c r="DC178" s="486">
        <v>2045</v>
      </c>
      <c r="DD178" s="486">
        <v>2046</v>
      </c>
      <c r="DE178" s="486">
        <v>2047</v>
      </c>
      <c r="DF178" s="486">
        <v>2048</v>
      </c>
      <c r="DG178" s="486">
        <v>2049</v>
      </c>
      <c r="DH178" s="486">
        <v>2050</v>
      </c>
    </row>
    <row r="179" spans="2:112">
      <c r="B179" t="s">
        <v>1058</v>
      </c>
      <c r="C179" t="s">
        <v>758</v>
      </c>
      <c r="D179" t="s">
        <v>879</v>
      </c>
      <c r="E179" t="s">
        <v>737</v>
      </c>
      <c r="F179" s="536">
        <v>100000</v>
      </c>
      <c r="G179" s="536">
        <v>100000</v>
      </c>
      <c r="H179" s="536">
        <v>100000</v>
      </c>
      <c r="I179" s="536">
        <v>100000</v>
      </c>
      <c r="J179" s="536">
        <v>100000</v>
      </c>
      <c r="K179" s="536">
        <v>100000</v>
      </c>
      <c r="L179" s="536">
        <v>100000</v>
      </c>
      <c r="M179" s="536">
        <v>100000</v>
      </c>
      <c r="N179" s="536">
        <v>100000</v>
      </c>
      <c r="O179" s="536">
        <v>100000</v>
      </c>
      <c r="P179" s="536">
        <v>100000</v>
      </c>
      <c r="Q179" s="536">
        <v>100000</v>
      </c>
      <c r="R179" s="536">
        <v>100000</v>
      </c>
      <c r="S179" s="536">
        <v>100000</v>
      </c>
      <c r="T179" s="536">
        <v>100000</v>
      </c>
      <c r="U179" s="536">
        <v>100000</v>
      </c>
      <c r="V179" s="536">
        <v>100000</v>
      </c>
      <c r="W179" s="536">
        <v>100000</v>
      </c>
      <c r="X179" s="536">
        <v>100000</v>
      </c>
      <c r="Y179" s="536">
        <v>100000</v>
      </c>
      <c r="Z179" s="536">
        <v>100000</v>
      </c>
      <c r="AA179" s="536">
        <v>100000</v>
      </c>
      <c r="AB179" s="536">
        <v>100000</v>
      </c>
      <c r="AC179" s="536">
        <v>100000</v>
      </c>
      <c r="AD179" s="536">
        <v>100000</v>
      </c>
      <c r="AE179" s="536">
        <v>100000</v>
      </c>
      <c r="AF179" s="536">
        <v>100000</v>
      </c>
      <c r="AG179" s="536">
        <v>100000</v>
      </c>
      <c r="AH179" s="526">
        <f>AG179</f>
        <v>100000</v>
      </c>
      <c r="AI179" s="526">
        <f t="shared" ref="AI179:AX179" si="142">AH179</f>
        <v>100000</v>
      </c>
      <c r="AJ179" s="526">
        <f t="shared" si="142"/>
        <v>100000</v>
      </c>
      <c r="AK179" s="526">
        <f t="shared" si="142"/>
        <v>100000</v>
      </c>
      <c r="AL179" s="526">
        <f t="shared" si="142"/>
        <v>100000</v>
      </c>
      <c r="AM179" s="526">
        <f t="shared" si="142"/>
        <v>100000</v>
      </c>
      <c r="AN179" s="526">
        <f t="shared" si="142"/>
        <v>100000</v>
      </c>
      <c r="AO179" s="526">
        <f t="shared" si="142"/>
        <v>100000</v>
      </c>
      <c r="AP179" s="526">
        <f t="shared" si="142"/>
        <v>100000</v>
      </c>
      <c r="AQ179" s="526">
        <f t="shared" si="142"/>
        <v>100000</v>
      </c>
      <c r="AR179" s="526">
        <f t="shared" si="142"/>
        <v>100000</v>
      </c>
      <c r="AS179" s="526">
        <f t="shared" si="142"/>
        <v>100000</v>
      </c>
      <c r="AT179" s="526">
        <f t="shared" si="142"/>
        <v>100000</v>
      </c>
      <c r="AU179" s="526">
        <f t="shared" si="142"/>
        <v>100000</v>
      </c>
      <c r="AV179" s="526">
        <f t="shared" si="142"/>
        <v>100000</v>
      </c>
      <c r="AW179" s="526">
        <f t="shared" si="142"/>
        <v>100000</v>
      </c>
      <c r="AX179" s="526">
        <f t="shared" si="142"/>
        <v>100000</v>
      </c>
      <c r="AY179" s="526">
        <f t="shared" ref="AY179:BN179" si="143">AX179</f>
        <v>100000</v>
      </c>
      <c r="AZ179" s="526">
        <f t="shared" si="143"/>
        <v>100000</v>
      </c>
      <c r="BA179" s="526">
        <f t="shared" si="143"/>
        <v>100000</v>
      </c>
      <c r="BB179" s="526">
        <f t="shared" si="143"/>
        <v>100000</v>
      </c>
      <c r="BC179" s="526">
        <f t="shared" si="143"/>
        <v>100000</v>
      </c>
      <c r="BD179" s="526">
        <f t="shared" si="143"/>
        <v>100000</v>
      </c>
      <c r="BE179" s="526">
        <f t="shared" si="143"/>
        <v>100000</v>
      </c>
      <c r="BF179" s="526">
        <f t="shared" si="143"/>
        <v>100000</v>
      </c>
      <c r="BG179" s="526">
        <f t="shared" si="143"/>
        <v>100000</v>
      </c>
      <c r="BH179" s="526">
        <f t="shared" si="143"/>
        <v>100000</v>
      </c>
      <c r="BI179" s="526">
        <f t="shared" si="143"/>
        <v>100000</v>
      </c>
      <c r="BJ179" s="526">
        <f t="shared" si="143"/>
        <v>100000</v>
      </c>
      <c r="BK179" s="526">
        <f t="shared" si="143"/>
        <v>100000</v>
      </c>
      <c r="BL179" s="526">
        <f t="shared" si="143"/>
        <v>100000</v>
      </c>
      <c r="BM179" s="526">
        <f t="shared" si="143"/>
        <v>100000</v>
      </c>
      <c r="BN179" s="526">
        <f t="shared" si="143"/>
        <v>100000</v>
      </c>
      <c r="BO179" s="526">
        <f t="shared" ref="BO179:CD179" si="144">BN179</f>
        <v>100000</v>
      </c>
      <c r="BP179" s="526">
        <f t="shared" si="144"/>
        <v>100000</v>
      </c>
      <c r="BQ179" s="526">
        <f t="shared" si="144"/>
        <v>100000</v>
      </c>
      <c r="BR179" s="526">
        <f t="shared" si="144"/>
        <v>100000</v>
      </c>
      <c r="BS179" s="526">
        <f t="shared" si="144"/>
        <v>100000</v>
      </c>
      <c r="BT179" s="526">
        <f t="shared" si="144"/>
        <v>100000</v>
      </c>
      <c r="BU179" s="526">
        <f t="shared" si="144"/>
        <v>100000</v>
      </c>
      <c r="BV179" s="526">
        <f t="shared" si="144"/>
        <v>100000</v>
      </c>
      <c r="BW179" s="526">
        <f t="shared" si="144"/>
        <v>100000</v>
      </c>
      <c r="BX179" s="526">
        <f t="shared" si="144"/>
        <v>100000</v>
      </c>
      <c r="BY179" s="526">
        <f t="shared" si="144"/>
        <v>100000</v>
      </c>
      <c r="BZ179" s="526">
        <f t="shared" si="144"/>
        <v>100000</v>
      </c>
      <c r="CA179" s="526">
        <f t="shared" si="144"/>
        <v>100000</v>
      </c>
      <c r="CB179" s="526">
        <f t="shared" si="144"/>
        <v>100000</v>
      </c>
      <c r="CC179" s="526">
        <f t="shared" si="144"/>
        <v>100000</v>
      </c>
      <c r="CD179" s="526">
        <f t="shared" si="144"/>
        <v>100000</v>
      </c>
      <c r="CE179" s="526">
        <f t="shared" ref="AX179:CE187" si="145">CD179</f>
        <v>100000</v>
      </c>
      <c r="CG179" s="536">
        <v>100000</v>
      </c>
      <c r="CH179" s="536">
        <v>100000</v>
      </c>
      <c r="CI179" s="536">
        <v>100000</v>
      </c>
      <c r="CJ179" s="536">
        <v>100000</v>
      </c>
      <c r="CK179" s="536">
        <v>100000</v>
      </c>
      <c r="CL179" s="536">
        <v>100000</v>
      </c>
      <c r="CM179" s="536">
        <v>100000</v>
      </c>
      <c r="CN179" s="536">
        <v>100000</v>
      </c>
      <c r="CO179" s="536">
        <v>100000</v>
      </c>
      <c r="CP179" s="536">
        <v>100000</v>
      </c>
      <c r="CQ179" s="536">
        <v>100000</v>
      </c>
      <c r="CR179" s="536">
        <v>100000</v>
      </c>
      <c r="CS179" s="536">
        <v>100000</v>
      </c>
      <c r="CT179" s="536">
        <v>100000</v>
      </c>
      <c r="CU179" s="536">
        <v>100000</v>
      </c>
      <c r="CV179" s="536">
        <v>100000</v>
      </c>
      <c r="CW179" s="536">
        <v>100000</v>
      </c>
      <c r="CX179" s="536">
        <v>100000</v>
      </c>
      <c r="CY179" s="536">
        <v>100000</v>
      </c>
      <c r="CZ179" s="536">
        <v>100000</v>
      </c>
      <c r="DA179" s="536">
        <v>100000</v>
      </c>
      <c r="DB179" s="536">
        <v>100000</v>
      </c>
      <c r="DC179" s="536">
        <v>100000</v>
      </c>
      <c r="DD179" s="536">
        <v>100000</v>
      </c>
      <c r="DE179" s="536">
        <v>100000</v>
      </c>
      <c r="DF179" s="536">
        <v>100000</v>
      </c>
      <c r="DG179" s="536">
        <v>100000</v>
      </c>
      <c r="DH179" s="536">
        <v>100000</v>
      </c>
    </row>
    <row r="180" spans="2:112">
      <c r="B180" t="s">
        <v>1059</v>
      </c>
      <c r="C180" t="s">
        <v>758</v>
      </c>
      <c r="D180" t="s">
        <v>695</v>
      </c>
      <c r="E180" t="s">
        <v>881</v>
      </c>
      <c r="F180" s="536">
        <v>225</v>
      </c>
      <c r="G180" s="536">
        <v>225</v>
      </c>
      <c r="H180" s="536">
        <v>225</v>
      </c>
      <c r="I180" s="536">
        <v>225</v>
      </c>
      <c r="J180" s="536">
        <v>225</v>
      </c>
      <c r="K180" s="536">
        <v>225</v>
      </c>
      <c r="L180" s="536">
        <v>225</v>
      </c>
      <c r="M180" s="536">
        <v>225</v>
      </c>
      <c r="N180" s="536">
        <v>225</v>
      </c>
      <c r="O180" s="536">
        <v>225</v>
      </c>
      <c r="P180" s="536">
        <v>225</v>
      </c>
      <c r="Q180" s="536">
        <v>225</v>
      </c>
      <c r="R180" s="536">
        <v>225</v>
      </c>
      <c r="S180" s="536">
        <v>225</v>
      </c>
      <c r="T180" s="536">
        <v>225</v>
      </c>
      <c r="U180" s="536">
        <v>225</v>
      </c>
      <c r="V180" s="536">
        <v>225</v>
      </c>
      <c r="W180" s="536">
        <v>225</v>
      </c>
      <c r="X180" s="536">
        <v>225</v>
      </c>
      <c r="Y180" s="536">
        <v>225</v>
      </c>
      <c r="Z180" s="536">
        <v>225</v>
      </c>
      <c r="AA180" s="536">
        <v>225</v>
      </c>
      <c r="AB180" s="536">
        <v>225</v>
      </c>
      <c r="AC180" s="536">
        <v>225</v>
      </c>
      <c r="AD180" s="536">
        <v>225</v>
      </c>
      <c r="AE180" s="536">
        <v>225</v>
      </c>
      <c r="AF180" s="536">
        <v>225</v>
      </c>
      <c r="AG180" s="536">
        <v>225</v>
      </c>
      <c r="AH180" s="526">
        <f t="shared" ref="AH180:AW189" si="146">AG180</f>
        <v>225</v>
      </c>
      <c r="AI180" s="526">
        <f t="shared" si="146"/>
        <v>225</v>
      </c>
      <c r="AJ180" s="526">
        <f t="shared" si="146"/>
        <v>225</v>
      </c>
      <c r="AK180" s="526">
        <f t="shared" si="146"/>
        <v>225</v>
      </c>
      <c r="AL180" s="526">
        <f t="shared" si="146"/>
        <v>225</v>
      </c>
      <c r="AM180" s="526">
        <f t="shared" si="146"/>
        <v>225</v>
      </c>
      <c r="AN180" s="526">
        <f t="shared" si="146"/>
        <v>225</v>
      </c>
      <c r="AO180" s="526">
        <f t="shared" si="146"/>
        <v>225</v>
      </c>
      <c r="AP180" s="526">
        <f t="shared" si="146"/>
        <v>225</v>
      </c>
      <c r="AQ180" s="526">
        <f t="shared" si="146"/>
        <v>225</v>
      </c>
      <c r="AR180" s="526">
        <f t="shared" si="146"/>
        <v>225</v>
      </c>
      <c r="AS180" s="526">
        <f t="shared" si="146"/>
        <v>225</v>
      </c>
      <c r="AT180" s="526">
        <f t="shared" si="146"/>
        <v>225</v>
      </c>
      <c r="AU180" s="526">
        <f t="shared" si="146"/>
        <v>225</v>
      </c>
      <c r="AV180" s="526">
        <f t="shared" si="146"/>
        <v>225</v>
      </c>
      <c r="AW180" s="526">
        <f t="shared" si="146"/>
        <v>225</v>
      </c>
      <c r="AX180" s="526">
        <f t="shared" si="145"/>
        <v>225</v>
      </c>
      <c r="AY180" s="526">
        <f t="shared" si="145"/>
        <v>225</v>
      </c>
      <c r="AZ180" s="526">
        <f t="shared" si="145"/>
        <v>225</v>
      </c>
      <c r="BA180" s="526">
        <f t="shared" si="145"/>
        <v>225</v>
      </c>
      <c r="BB180" s="526">
        <f t="shared" si="145"/>
        <v>225</v>
      </c>
      <c r="BC180" s="526">
        <f t="shared" si="145"/>
        <v>225</v>
      </c>
      <c r="BD180" s="526">
        <f t="shared" si="145"/>
        <v>225</v>
      </c>
      <c r="BE180" s="526">
        <f t="shared" si="145"/>
        <v>225</v>
      </c>
      <c r="BF180" s="526">
        <f t="shared" si="145"/>
        <v>225</v>
      </c>
      <c r="BG180" s="526">
        <f t="shared" si="145"/>
        <v>225</v>
      </c>
      <c r="BH180" s="526">
        <f t="shared" si="145"/>
        <v>225</v>
      </c>
      <c r="BI180" s="526">
        <f t="shared" si="145"/>
        <v>225</v>
      </c>
      <c r="BJ180" s="526">
        <f t="shared" si="145"/>
        <v>225</v>
      </c>
      <c r="BK180" s="526">
        <f t="shared" si="145"/>
        <v>225</v>
      </c>
      <c r="BL180" s="526">
        <f t="shared" si="145"/>
        <v>225</v>
      </c>
      <c r="BM180" s="526">
        <f t="shared" si="145"/>
        <v>225</v>
      </c>
      <c r="BN180" s="526">
        <f t="shared" si="145"/>
        <v>225</v>
      </c>
      <c r="BO180" s="526">
        <f t="shared" si="145"/>
        <v>225</v>
      </c>
      <c r="BP180" s="526">
        <f t="shared" si="145"/>
        <v>225</v>
      </c>
      <c r="BQ180" s="526">
        <f t="shared" si="145"/>
        <v>225</v>
      </c>
      <c r="BR180" s="526">
        <f t="shared" si="145"/>
        <v>225</v>
      </c>
      <c r="BS180" s="526">
        <f t="shared" si="145"/>
        <v>225</v>
      </c>
      <c r="BT180" s="526">
        <f t="shared" si="145"/>
        <v>225</v>
      </c>
      <c r="BU180" s="526">
        <f t="shared" si="145"/>
        <v>225</v>
      </c>
      <c r="BV180" s="526">
        <f t="shared" si="145"/>
        <v>225</v>
      </c>
      <c r="BW180" s="526">
        <f t="shared" si="145"/>
        <v>225</v>
      </c>
      <c r="BX180" s="526">
        <f t="shared" si="145"/>
        <v>225</v>
      </c>
      <c r="BY180" s="526">
        <f t="shared" si="145"/>
        <v>225</v>
      </c>
      <c r="BZ180" s="526">
        <f t="shared" si="145"/>
        <v>225</v>
      </c>
      <c r="CA180" s="526">
        <f t="shared" si="145"/>
        <v>225</v>
      </c>
      <c r="CB180" s="526">
        <f t="shared" si="145"/>
        <v>225</v>
      </c>
      <c r="CC180" s="526">
        <f t="shared" si="145"/>
        <v>225</v>
      </c>
      <c r="CD180" s="526">
        <f t="shared" si="145"/>
        <v>225</v>
      </c>
      <c r="CE180" s="526">
        <f t="shared" si="145"/>
        <v>225</v>
      </c>
      <c r="CG180" s="536">
        <v>225</v>
      </c>
      <c r="CH180" s="536">
        <v>225</v>
      </c>
      <c r="CI180" s="536">
        <v>225</v>
      </c>
      <c r="CJ180" s="536">
        <v>225</v>
      </c>
      <c r="CK180" s="536">
        <v>225</v>
      </c>
      <c r="CL180" s="536">
        <v>225</v>
      </c>
      <c r="CM180" s="536">
        <v>225</v>
      </c>
      <c r="CN180" s="536">
        <v>225</v>
      </c>
      <c r="CO180" s="536">
        <v>225</v>
      </c>
      <c r="CP180" s="536">
        <v>225</v>
      </c>
      <c r="CQ180" s="536">
        <v>225</v>
      </c>
      <c r="CR180" s="536">
        <v>225</v>
      </c>
      <c r="CS180" s="536">
        <v>225</v>
      </c>
      <c r="CT180" s="536">
        <v>225</v>
      </c>
      <c r="CU180" s="536">
        <v>225</v>
      </c>
      <c r="CV180" s="536">
        <v>225</v>
      </c>
      <c r="CW180" s="536">
        <v>225</v>
      </c>
      <c r="CX180" s="536">
        <v>225</v>
      </c>
      <c r="CY180" s="536">
        <v>225</v>
      </c>
      <c r="CZ180" s="536">
        <v>225</v>
      </c>
      <c r="DA180" s="536">
        <v>225</v>
      </c>
      <c r="DB180" s="536">
        <v>225</v>
      </c>
      <c r="DC180" s="536">
        <v>225</v>
      </c>
      <c r="DD180" s="536">
        <v>225</v>
      </c>
      <c r="DE180" s="536">
        <v>225</v>
      </c>
      <c r="DF180" s="536">
        <v>225</v>
      </c>
      <c r="DG180" s="536">
        <v>225</v>
      </c>
      <c r="DH180" s="536">
        <v>225</v>
      </c>
    </row>
    <row r="181" spans="2:112">
      <c r="B181" t="s">
        <v>1060</v>
      </c>
      <c r="C181" t="s">
        <v>758</v>
      </c>
      <c r="D181" t="s">
        <v>883</v>
      </c>
      <c r="E181" t="s">
        <v>884</v>
      </c>
      <c r="F181" s="536">
        <v>13</v>
      </c>
      <c r="G181" s="536">
        <v>13</v>
      </c>
      <c r="H181" s="536">
        <v>13</v>
      </c>
      <c r="I181" s="536">
        <v>13</v>
      </c>
      <c r="J181" s="536">
        <v>13</v>
      </c>
      <c r="K181" s="536">
        <v>13</v>
      </c>
      <c r="L181" s="536">
        <v>13</v>
      </c>
      <c r="M181" s="536">
        <v>13</v>
      </c>
      <c r="N181" s="536">
        <v>13</v>
      </c>
      <c r="O181" s="536">
        <v>13</v>
      </c>
      <c r="P181" s="536">
        <v>13</v>
      </c>
      <c r="Q181" s="536">
        <v>13</v>
      </c>
      <c r="R181" s="536">
        <v>13</v>
      </c>
      <c r="S181" s="536">
        <v>13</v>
      </c>
      <c r="T181" s="536">
        <v>13</v>
      </c>
      <c r="U181" s="536">
        <v>13</v>
      </c>
      <c r="V181" s="536">
        <v>13</v>
      </c>
      <c r="W181" s="536">
        <v>13</v>
      </c>
      <c r="X181" s="536">
        <v>13</v>
      </c>
      <c r="Y181" s="536">
        <v>13</v>
      </c>
      <c r="Z181" s="536">
        <v>13</v>
      </c>
      <c r="AA181" s="536">
        <v>13</v>
      </c>
      <c r="AB181" s="536">
        <v>13</v>
      </c>
      <c r="AC181" s="536">
        <v>13</v>
      </c>
      <c r="AD181" s="536">
        <v>13</v>
      </c>
      <c r="AE181" s="536">
        <v>13</v>
      </c>
      <c r="AF181" s="536">
        <v>13</v>
      </c>
      <c r="AG181" s="536">
        <v>13</v>
      </c>
      <c r="AH181" s="526">
        <f t="shared" si="146"/>
        <v>13</v>
      </c>
      <c r="AI181" s="526">
        <f t="shared" si="146"/>
        <v>13</v>
      </c>
      <c r="AJ181" s="526">
        <f t="shared" si="146"/>
        <v>13</v>
      </c>
      <c r="AK181" s="526">
        <f t="shared" si="146"/>
        <v>13</v>
      </c>
      <c r="AL181" s="526">
        <f t="shared" si="146"/>
        <v>13</v>
      </c>
      <c r="AM181" s="526">
        <f t="shared" si="146"/>
        <v>13</v>
      </c>
      <c r="AN181" s="526">
        <f t="shared" si="146"/>
        <v>13</v>
      </c>
      <c r="AO181" s="526">
        <f t="shared" si="146"/>
        <v>13</v>
      </c>
      <c r="AP181" s="526">
        <f t="shared" si="146"/>
        <v>13</v>
      </c>
      <c r="AQ181" s="526">
        <f t="shared" si="146"/>
        <v>13</v>
      </c>
      <c r="AR181" s="526">
        <f t="shared" si="146"/>
        <v>13</v>
      </c>
      <c r="AS181" s="526">
        <f t="shared" si="146"/>
        <v>13</v>
      </c>
      <c r="AT181" s="526">
        <f t="shared" si="146"/>
        <v>13</v>
      </c>
      <c r="AU181" s="526">
        <f t="shared" si="146"/>
        <v>13</v>
      </c>
      <c r="AV181" s="526">
        <f t="shared" si="146"/>
        <v>13</v>
      </c>
      <c r="AW181" s="526">
        <f t="shared" si="146"/>
        <v>13</v>
      </c>
      <c r="AX181" s="526">
        <f t="shared" si="145"/>
        <v>13</v>
      </c>
      <c r="AY181" s="526">
        <f t="shared" si="145"/>
        <v>13</v>
      </c>
      <c r="AZ181" s="526">
        <f t="shared" si="145"/>
        <v>13</v>
      </c>
      <c r="BA181" s="526">
        <f t="shared" si="145"/>
        <v>13</v>
      </c>
      <c r="BB181" s="526">
        <f t="shared" si="145"/>
        <v>13</v>
      </c>
      <c r="BC181" s="526">
        <f t="shared" si="145"/>
        <v>13</v>
      </c>
      <c r="BD181" s="526">
        <f t="shared" si="145"/>
        <v>13</v>
      </c>
      <c r="BE181" s="526">
        <f t="shared" si="145"/>
        <v>13</v>
      </c>
      <c r="BF181" s="526">
        <f t="shared" si="145"/>
        <v>13</v>
      </c>
      <c r="BG181" s="526">
        <f t="shared" si="145"/>
        <v>13</v>
      </c>
      <c r="BH181" s="526">
        <f t="shared" si="145"/>
        <v>13</v>
      </c>
      <c r="BI181" s="526">
        <f t="shared" si="145"/>
        <v>13</v>
      </c>
      <c r="BJ181" s="526">
        <f t="shared" si="145"/>
        <v>13</v>
      </c>
      <c r="BK181" s="526">
        <f t="shared" si="145"/>
        <v>13</v>
      </c>
      <c r="BL181" s="526">
        <f t="shared" si="145"/>
        <v>13</v>
      </c>
      <c r="BM181" s="526">
        <f t="shared" si="145"/>
        <v>13</v>
      </c>
      <c r="BN181" s="526">
        <f t="shared" si="145"/>
        <v>13</v>
      </c>
      <c r="BO181" s="526">
        <f t="shared" si="145"/>
        <v>13</v>
      </c>
      <c r="BP181" s="526">
        <f t="shared" si="145"/>
        <v>13</v>
      </c>
      <c r="BQ181" s="526">
        <f t="shared" si="145"/>
        <v>13</v>
      </c>
      <c r="BR181" s="526">
        <f t="shared" si="145"/>
        <v>13</v>
      </c>
      <c r="BS181" s="526">
        <f t="shared" si="145"/>
        <v>13</v>
      </c>
      <c r="BT181" s="526">
        <f t="shared" si="145"/>
        <v>13</v>
      </c>
      <c r="BU181" s="526">
        <f t="shared" si="145"/>
        <v>13</v>
      </c>
      <c r="BV181" s="526">
        <f t="shared" si="145"/>
        <v>13</v>
      </c>
      <c r="BW181" s="526">
        <f t="shared" si="145"/>
        <v>13</v>
      </c>
      <c r="BX181" s="526">
        <f t="shared" si="145"/>
        <v>13</v>
      </c>
      <c r="BY181" s="526">
        <f t="shared" si="145"/>
        <v>13</v>
      </c>
      <c r="BZ181" s="526">
        <f t="shared" si="145"/>
        <v>13</v>
      </c>
      <c r="CA181" s="526">
        <f t="shared" si="145"/>
        <v>13</v>
      </c>
      <c r="CB181" s="526">
        <f t="shared" si="145"/>
        <v>13</v>
      </c>
      <c r="CC181" s="526">
        <f t="shared" si="145"/>
        <v>13</v>
      </c>
      <c r="CD181" s="526">
        <f t="shared" si="145"/>
        <v>13</v>
      </c>
      <c r="CE181" s="526">
        <f t="shared" si="145"/>
        <v>13</v>
      </c>
      <c r="CG181" s="536">
        <v>13</v>
      </c>
      <c r="CH181" s="536">
        <v>13</v>
      </c>
      <c r="CI181" s="536">
        <v>13</v>
      </c>
      <c r="CJ181" s="536">
        <v>13</v>
      </c>
      <c r="CK181" s="536">
        <v>13</v>
      </c>
      <c r="CL181" s="536">
        <v>13</v>
      </c>
      <c r="CM181" s="536">
        <v>13</v>
      </c>
      <c r="CN181" s="536">
        <v>13</v>
      </c>
      <c r="CO181" s="536">
        <v>13</v>
      </c>
      <c r="CP181" s="536">
        <v>13</v>
      </c>
      <c r="CQ181" s="536">
        <v>13</v>
      </c>
      <c r="CR181" s="536">
        <v>13</v>
      </c>
      <c r="CS181" s="536">
        <v>13</v>
      </c>
      <c r="CT181" s="536">
        <v>13</v>
      </c>
      <c r="CU181" s="536">
        <v>13</v>
      </c>
      <c r="CV181" s="536">
        <v>13</v>
      </c>
      <c r="CW181" s="536">
        <v>13</v>
      </c>
      <c r="CX181" s="536">
        <v>13</v>
      </c>
      <c r="CY181" s="536">
        <v>13</v>
      </c>
      <c r="CZ181" s="536">
        <v>13</v>
      </c>
      <c r="DA181" s="536">
        <v>13</v>
      </c>
      <c r="DB181" s="536">
        <v>13</v>
      </c>
      <c r="DC181" s="536">
        <v>13</v>
      </c>
      <c r="DD181" s="536">
        <v>13</v>
      </c>
      <c r="DE181" s="536">
        <v>13</v>
      </c>
      <c r="DF181" s="536">
        <v>13</v>
      </c>
      <c r="DG181" s="536">
        <v>13</v>
      </c>
      <c r="DH181" s="536">
        <v>13</v>
      </c>
    </row>
    <row r="182" spans="2:112">
      <c r="B182" t="s">
        <v>1061</v>
      </c>
      <c r="C182" t="s">
        <v>758</v>
      </c>
      <c r="D182" t="s">
        <v>886</v>
      </c>
      <c r="E182" t="s">
        <v>178</v>
      </c>
      <c r="F182" s="537">
        <v>0.51</v>
      </c>
      <c r="G182" s="537">
        <v>0.51</v>
      </c>
      <c r="H182" s="537">
        <v>0.51</v>
      </c>
      <c r="I182" s="537">
        <v>0.51</v>
      </c>
      <c r="J182" s="537">
        <v>0.51</v>
      </c>
      <c r="K182" s="537">
        <v>0.51</v>
      </c>
      <c r="L182" s="537">
        <v>0.51</v>
      </c>
      <c r="M182" s="537">
        <v>0.51</v>
      </c>
      <c r="N182" s="537">
        <v>0.51</v>
      </c>
      <c r="O182" s="537">
        <v>0.51</v>
      </c>
      <c r="P182" s="537">
        <v>0.51</v>
      </c>
      <c r="Q182" s="537">
        <v>0.51</v>
      </c>
      <c r="R182" s="537">
        <v>0.51</v>
      </c>
      <c r="S182" s="537">
        <v>0.51</v>
      </c>
      <c r="T182" s="537">
        <v>0.51</v>
      </c>
      <c r="U182" s="537">
        <v>0.51</v>
      </c>
      <c r="V182" s="537">
        <v>0.51</v>
      </c>
      <c r="W182" s="537">
        <v>0.51</v>
      </c>
      <c r="X182" s="537">
        <v>0.51</v>
      </c>
      <c r="Y182" s="537">
        <v>0.51</v>
      </c>
      <c r="Z182" s="537">
        <v>0.51</v>
      </c>
      <c r="AA182" s="537">
        <v>0.51</v>
      </c>
      <c r="AB182" s="537">
        <v>0.51</v>
      </c>
      <c r="AC182" s="537">
        <v>0.51</v>
      </c>
      <c r="AD182" s="537">
        <v>0.51</v>
      </c>
      <c r="AE182" s="537">
        <v>0.51</v>
      </c>
      <c r="AF182" s="537">
        <v>0.51</v>
      </c>
      <c r="AG182" s="537">
        <v>0.51</v>
      </c>
      <c r="AH182" s="526">
        <f t="shared" si="146"/>
        <v>0.51</v>
      </c>
      <c r="AI182" s="526">
        <f t="shared" si="146"/>
        <v>0.51</v>
      </c>
      <c r="AJ182" s="526">
        <f t="shared" si="146"/>
        <v>0.51</v>
      </c>
      <c r="AK182" s="526">
        <f t="shared" si="146"/>
        <v>0.51</v>
      </c>
      <c r="AL182" s="526">
        <f t="shared" si="146"/>
        <v>0.51</v>
      </c>
      <c r="AM182" s="526">
        <f t="shared" si="146"/>
        <v>0.51</v>
      </c>
      <c r="AN182" s="526">
        <f t="shared" si="146"/>
        <v>0.51</v>
      </c>
      <c r="AO182" s="526">
        <f t="shared" si="146"/>
        <v>0.51</v>
      </c>
      <c r="AP182" s="526">
        <f t="shared" si="146"/>
        <v>0.51</v>
      </c>
      <c r="AQ182" s="526">
        <f t="shared" si="146"/>
        <v>0.51</v>
      </c>
      <c r="AR182" s="526">
        <f t="shared" si="146"/>
        <v>0.51</v>
      </c>
      <c r="AS182" s="526">
        <f t="shared" si="146"/>
        <v>0.51</v>
      </c>
      <c r="AT182" s="526">
        <f t="shared" si="146"/>
        <v>0.51</v>
      </c>
      <c r="AU182" s="526">
        <f t="shared" si="146"/>
        <v>0.51</v>
      </c>
      <c r="AV182" s="526">
        <f t="shared" si="146"/>
        <v>0.51</v>
      </c>
      <c r="AW182" s="526">
        <f t="shared" si="146"/>
        <v>0.51</v>
      </c>
      <c r="AX182" s="526">
        <f t="shared" si="145"/>
        <v>0.51</v>
      </c>
      <c r="AY182" s="526">
        <f t="shared" si="145"/>
        <v>0.51</v>
      </c>
      <c r="AZ182" s="526">
        <f t="shared" si="145"/>
        <v>0.51</v>
      </c>
      <c r="BA182" s="526">
        <f t="shared" si="145"/>
        <v>0.51</v>
      </c>
      <c r="BB182" s="526">
        <f t="shared" si="145"/>
        <v>0.51</v>
      </c>
      <c r="BC182" s="526">
        <f t="shared" si="145"/>
        <v>0.51</v>
      </c>
      <c r="BD182" s="526">
        <f t="shared" si="145"/>
        <v>0.51</v>
      </c>
      <c r="BE182" s="526">
        <f t="shared" si="145"/>
        <v>0.51</v>
      </c>
      <c r="BF182" s="526">
        <f t="shared" si="145"/>
        <v>0.51</v>
      </c>
      <c r="BG182" s="526">
        <f t="shared" si="145"/>
        <v>0.51</v>
      </c>
      <c r="BH182" s="526">
        <f t="shared" si="145"/>
        <v>0.51</v>
      </c>
      <c r="BI182" s="526">
        <f t="shared" si="145"/>
        <v>0.51</v>
      </c>
      <c r="BJ182" s="526">
        <f t="shared" si="145"/>
        <v>0.51</v>
      </c>
      <c r="BK182" s="526">
        <f t="shared" si="145"/>
        <v>0.51</v>
      </c>
      <c r="BL182" s="526">
        <f t="shared" si="145"/>
        <v>0.51</v>
      </c>
      <c r="BM182" s="526">
        <f t="shared" si="145"/>
        <v>0.51</v>
      </c>
      <c r="BN182" s="526">
        <f t="shared" si="145"/>
        <v>0.51</v>
      </c>
      <c r="BO182" s="526">
        <f t="shared" si="145"/>
        <v>0.51</v>
      </c>
      <c r="BP182" s="526">
        <f t="shared" si="145"/>
        <v>0.51</v>
      </c>
      <c r="BQ182" s="526">
        <f t="shared" si="145"/>
        <v>0.51</v>
      </c>
      <c r="BR182" s="526">
        <f t="shared" si="145"/>
        <v>0.51</v>
      </c>
      <c r="BS182" s="526">
        <f t="shared" si="145"/>
        <v>0.51</v>
      </c>
      <c r="BT182" s="526">
        <f t="shared" si="145"/>
        <v>0.51</v>
      </c>
      <c r="BU182" s="526">
        <f t="shared" si="145"/>
        <v>0.51</v>
      </c>
      <c r="BV182" s="526">
        <f t="shared" si="145"/>
        <v>0.51</v>
      </c>
      <c r="BW182" s="526">
        <f t="shared" si="145"/>
        <v>0.51</v>
      </c>
      <c r="BX182" s="526">
        <f t="shared" si="145"/>
        <v>0.51</v>
      </c>
      <c r="BY182" s="526">
        <f t="shared" si="145"/>
        <v>0.51</v>
      </c>
      <c r="BZ182" s="526">
        <f t="shared" si="145"/>
        <v>0.51</v>
      </c>
      <c r="CA182" s="526">
        <f t="shared" si="145"/>
        <v>0.51</v>
      </c>
      <c r="CB182" s="526">
        <f t="shared" si="145"/>
        <v>0.51</v>
      </c>
      <c r="CC182" s="526">
        <f t="shared" si="145"/>
        <v>0.51</v>
      </c>
      <c r="CD182" s="526">
        <f t="shared" si="145"/>
        <v>0.51</v>
      </c>
      <c r="CE182" s="526">
        <f t="shared" si="145"/>
        <v>0.51</v>
      </c>
      <c r="CG182" s="537">
        <v>0.51</v>
      </c>
      <c r="CH182" s="537">
        <v>0.51</v>
      </c>
      <c r="CI182" s="537">
        <v>0.51</v>
      </c>
      <c r="CJ182" s="537">
        <v>0.51</v>
      </c>
      <c r="CK182" s="537">
        <v>0.51</v>
      </c>
      <c r="CL182" s="537">
        <v>0.51</v>
      </c>
      <c r="CM182" s="537">
        <v>0.51</v>
      </c>
      <c r="CN182" s="537">
        <v>0.51</v>
      </c>
      <c r="CO182" s="537">
        <v>0.51</v>
      </c>
      <c r="CP182" s="537">
        <v>0.51</v>
      </c>
      <c r="CQ182" s="537">
        <v>0.51</v>
      </c>
      <c r="CR182" s="537">
        <v>0.51</v>
      </c>
      <c r="CS182" s="537">
        <v>0.51</v>
      </c>
      <c r="CT182" s="537">
        <v>0.51</v>
      </c>
      <c r="CU182" s="537">
        <v>0.51</v>
      </c>
      <c r="CV182" s="537">
        <v>0.51</v>
      </c>
      <c r="CW182" s="537">
        <v>0.51</v>
      </c>
      <c r="CX182" s="537">
        <v>0.51</v>
      </c>
      <c r="CY182" s="537">
        <v>0.51</v>
      </c>
      <c r="CZ182" s="537">
        <v>0.51</v>
      </c>
      <c r="DA182" s="537">
        <v>0.51</v>
      </c>
      <c r="DB182" s="537">
        <v>0.51</v>
      </c>
      <c r="DC182" s="537">
        <v>0.51</v>
      </c>
      <c r="DD182" s="537">
        <v>0.51</v>
      </c>
      <c r="DE182" s="537">
        <v>0.51</v>
      </c>
      <c r="DF182" s="537">
        <v>0.51</v>
      </c>
      <c r="DG182" s="537">
        <v>0.51</v>
      </c>
      <c r="DH182" s="537">
        <v>0.51</v>
      </c>
    </row>
    <row r="183" spans="2:112">
      <c r="B183" t="s">
        <v>1062</v>
      </c>
      <c r="C183" t="s">
        <v>758</v>
      </c>
      <c r="D183" t="s">
        <v>888</v>
      </c>
      <c r="E183" t="s">
        <v>178</v>
      </c>
      <c r="F183" s="537">
        <v>0.51</v>
      </c>
      <c r="G183" s="537">
        <v>0.51</v>
      </c>
      <c r="H183" s="537">
        <v>0.51</v>
      </c>
      <c r="I183" s="537">
        <v>0.51</v>
      </c>
      <c r="J183" s="537">
        <v>0.51</v>
      </c>
      <c r="K183" s="537">
        <v>0.51</v>
      </c>
      <c r="L183" s="537">
        <v>0.51</v>
      </c>
      <c r="M183" s="537">
        <v>0.51</v>
      </c>
      <c r="N183" s="537">
        <v>0.51</v>
      </c>
      <c r="O183" s="537">
        <v>0.51</v>
      </c>
      <c r="P183" s="537">
        <v>0.51</v>
      </c>
      <c r="Q183" s="537">
        <v>0.51</v>
      </c>
      <c r="R183" s="537">
        <v>0.51</v>
      </c>
      <c r="S183" s="537">
        <v>0.51</v>
      </c>
      <c r="T183" s="537">
        <v>0.51</v>
      </c>
      <c r="U183" s="537">
        <v>0.51</v>
      </c>
      <c r="V183" s="537">
        <v>0.51</v>
      </c>
      <c r="W183" s="537">
        <v>0.51</v>
      </c>
      <c r="X183" s="537">
        <v>0.51</v>
      </c>
      <c r="Y183" s="537">
        <v>0.51</v>
      </c>
      <c r="Z183" s="537">
        <v>0.51</v>
      </c>
      <c r="AA183" s="537">
        <v>0.51</v>
      </c>
      <c r="AB183" s="537">
        <v>0.51</v>
      </c>
      <c r="AC183" s="537">
        <v>0.51</v>
      </c>
      <c r="AD183" s="537">
        <v>0.51</v>
      </c>
      <c r="AE183" s="537">
        <v>0.51</v>
      </c>
      <c r="AF183" s="537">
        <v>0.51</v>
      </c>
      <c r="AG183" s="537">
        <v>0.51</v>
      </c>
      <c r="AH183" s="526">
        <f t="shared" si="146"/>
        <v>0.51</v>
      </c>
      <c r="AI183" s="526">
        <f t="shared" si="146"/>
        <v>0.51</v>
      </c>
      <c r="AJ183" s="526">
        <f t="shared" si="146"/>
        <v>0.51</v>
      </c>
      <c r="AK183" s="526">
        <f t="shared" si="146"/>
        <v>0.51</v>
      </c>
      <c r="AL183" s="526">
        <f t="shared" si="146"/>
        <v>0.51</v>
      </c>
      <c r="AM183" s="526">
        <f t="shared" si="146"/>
        <v>0.51</v>
      </c>
      <c r="AN183" s="526">
        <f t="shared" si="146"/>
        <v>0.51</v>
      </c>
      <c r="AO183" s="526">
        <f t="shared" si="146"/>
        <v>0.51</v>
      </c>
      <c r="AP183" s="526">
        <f t="shared" si="146"/>
        <v>0.51</v>
      </c>
      <c r="AQ183" s="526">
        <f t="shared" si="146"/>
        <v>0.51</v>
      </c>
      <c r="AR183" s="526">
        <f t="shared" si="146"/>
        <v>0.51</v>
      </c>
      <c r="AS183" s="526">
        <f t="shared" si="146"/>
        <v>0.51</v>
      </c>
      <c r="AT183" s="526">
        <f t="shared" si="146"/>
        <v>0.51</v>
      </c>
      <c r="AU183" s="526">
        <f t="shared" si="146"/>
        <v>0.51</v>
      </c>
      <c r="AV183" s="526">
        <f t="shared" si="146"/>
        <v>0.51</v>
      </c>
      <c r="AW183" s="526">
        <f t="shared" si="146"/>
        <v>0.51</v>
      </c>
      <c r="AX183" s="526">
        <f t="shared" si="145"/>
        <v>0.51</v>
      </c>
      <c r="AY183" s="526">
        <f t="shared" si="145"/>
        <v>0.51</v>
      </c>
      <c r="AZ183" s="526">
        <f t="shared" si="145"/>
        <v>0.51</v>
      </c>
      <c r="BA183" s="526">
        <f t="shared" si="145"/>
        <v>0.51</v>
      </c>
      <c r="BB183" s="526">
        <f t="shared" si="145"/>
        <v>0.51</v>
      </c>
      <c r="BC183" s="526">
        <f t="shared" si="145"/>
        <v>0.51</v>
      </c>
      <c r="BD183" s="526">
        <f t="shared" si="145"/>
        <v>0.51</v>
      </c>
      <c r="BE183" s="526">
        <f t="shared" si="145"/>
        <v>0.51</v>
      </c>
      <c r="BF183" s="526">
        <f t="shared" si="145"/>
        <v>0.51</v>
      </c>
      <c r="BG183" s="526">
        <f t="shared" si="145"/>
        <v>0.51</v>
      </c>
      <c r="BH183" s="526">
        <f t="shared" si="145"/>
        <v>0.51</v>
      </c>
      <c r="BI183" s="526">
        <f t="shared" si="145"/>
        <v>0.51</v>
      </c>
      <c r="BJ183" s="526">
        <f t="shared" si="145"/>
        <v>0.51</v>
      </c>
      <c r="BK183" s="526">
        <f t="shared" si="145"/>
        <v>0.51</v>
      </c>
      <c r="BL183" s="526">
        <f t="shared" si="145"/>
        <v>0.51</v>
      </c>
      <c r="BM183" s="526">
        <f t="shared" si="145"/>
        <v>0.51</v>
      </c>
      <c r="BN183" s="526">
        <f t="shared" si="145"/>
        <v>0.51</v>
      </c>
      <c r="BO183" s="526">
        <f t="shared" si="145"/>
        <v>0.51</v>
      </c>
      <c r="BP183" s="526">
        <f t="shared" si="145"/>
        <v>0.51</v>
      </c>
      <c r="BQ183" s="526">
        <f t="shared" si="145"/>
        <v>0.51</v>
      </c>
      <c r="BR183" s="526">
        <f t="shared" si="145"/>
        <v>0.51</v>
      </c>
      <c r="BS183" s="526">
        <f t="shared" si="145"/>
        <v>0.51</v>
      </c>
      <c r="BT183" s="526">
        <f t="shared" si="145"/>
        <v>0.51</v>
      </c>
      <c r="BU183" s="526">
        <f t="shared" si="145"/>
        <v>0.51</v>
      </c>
      <c r="BV183" s="526">
        <f t="shared" si="145"/>
        <v>0.51</v>
      </c>
      <c r="BW183" s="526">
        <f t="shared" si="145"/>
        <v>0.51</v>
      </c>
      <c r="BX183" s="526">
        <f t="shared" si="145"/>
        <v>0.51</v>
      </c>
      <c r="BY183" s="526">
        <f t="shared" si="145"/>
        <v>0.51</v>
      </c>
      <c r="BZ183" s="526">
        <f t="shared" si="145"/>
        <v>0.51</v>
      </c>
      <c r="CA183" s="526">
        <f t="shared" si="145"/>
        <v>0.51</v>
      </c>
      <c r="CB183" s="526">
        <f t="shared" si="145"/>
        <v>0.51</v>
      </c>
      <c r="CC183" s="526">
        <f t="shared" si="145"/>
        <v>0.51</v>
      </c>
      <c r="CD183" s="526">
        <f t="shared" si="145"/>
        <v>0.51</v>
      </c>
      <c r="CE183" s="526">
        <f t="shared" si="145"/>
        <v>0.51</v>
      </c>
      <c r="CG183" s="537">
        <v>0.51</v>
      </c>
      <c r="CH183" s="537">
        <v>0.51</v>
      </c>
      <c r="CI183" s="537">
        <v>0.51</v>
      </c>
      <c r="CJ183" s="537">
        <v>0.51</v>
      </c>
      <c r="CK183" s="537">
        <v>0.51</v>
      </c>
      <c r="CL183" s="537">
        <v>0.51</v>
      </c>
      <c r="CM183" s="537">
        <v>0.51</v>
      </c>
      <c r="CN183" s="537">
        <v>0.51</v>
      </c>
      <c r="CO183" s="537">
        <v>0.51</v>
      </c>
      <c r="CP183" s="537">
        <v>0.51</v>
      </c>
      <c r="CQ183" s="537">
        <v>0.51</v>
      </c>
      <c r="CR183" s="537">
        <v>0.51</v>
      </c>
      <c r="CS183" s="537">
        <v>0.51</v>
      </c>
      <c r="CT183" s="537">
        <v>0.51</v>
      </c>
      <c r="CU183" s="537">
        <v>0.51</v>
      </c>
      <c r="CV183" s="537">
        <v>0.51</v>
      </c>
      <c r="CW183" s="537">
        <v>0.51</v>
      </c>
      <c r="CX183" s="537">
        <v>0.51</v>
      </c>
      <c r="CY183" s="537">
        <v>0.51</v>
      </c>
      <c r="CZ183" s="537">
        <v>0.51</v>
      </c>
      <c r="DA183" s="537">
        <v>0.51</v>
      </c>
      <c r="DB183" s="537">
        <v>0.51</v>
      </c>
      <c r="DC183" s="537">
        <v>0.51</v>
      </c>
      <c r="DD183" s="537">
        <v>0.51</v>
      </c>
      <c r="DE183" s="537">
        <v>0.51</v>
      </c>
      <c r="DF183" s="537">
        <v>0.51</v>
      </c>
      <c r="DG183" s="537">
        <v>0.51</v>
      </c>
      <c r="DH183" s="537">
        <v>0.51</v>
      </c>
    </row>
    <row r="184" spans="2:112">
      <c r="B184" t="s">
        <v>1063</v>
      </c>
      <c r="C184" t="s">
        <v>758</v>
      </c>
      <c r="D184" t="s">
        <v>890</v>
      </c>
      <c r="E184" t="s">
        <v>178</v>
      </c>
      <c r="F184" s="537">
        <v>0.51</v>
      </c>
      <c r="G184" s="537">
        <v>0.51</v>
      </c>
      <c r="H184" s="537">
        <v>0.51</v>
      </c>
      <c r="I184" s="537">
        <v>0.51</v>
      </c>
      <c r="J184" s="537">
        <v>0.51</v>
      </c>
      <c r="K184" s="537">
        <v>0.51</v>
      </c>
      <c r="L184" s="537">
        <v>0.51</v>
      </c>
      <c r="M184" s="537">
        <v>0.51</v>
      </c>
      <c r="N184" s="537">
        <v>0.51</v>
      </c>
      <c r="O184" s="537">
        <v>0.51</v>
      </c>
      <c r="P184" s="537">
        <v>0.51</v>
      </c>
      <c r="Q184" s="537">
        <v>0.51</v>
      </c>
      <c r="R184" s="537">
        <v>0.51</v>
      </c>
      <c r="S184" s="537">
        <v>0.51</v>
      </c>
      <c r="T184" s="537">
        <v>0.51</v>
      </c>
      <c r="U184" s="537">
        <v>0.51</v>
      </c>
      <c r="V184" s="537">
        <v>0.51</v>
      </c>
      <c r="W184" s="537">
        <v>0.51</v>
      </c>
      <c r="X184" s="537">
        <v>0.51</v>
      </c>
      <c r="Y184" s="537">
        <v>0.51</v>
      </c>
      <c r="Z184" s="537">
        <v>0.51</v>
      </c>
      <c r="AA184" s="537">
        <v>0.51</v>
      </c>
      <c r="AB184" s="537">
        <v>0.51</v>
      </c>
      <c r="AC184" s="537">
        <v>0.51</v>
      </c>
      <c r="AD184" s="537">
        <v>0.51</v>
      </c>
      <c r="AE184" s="537">
        <v>0.51</v>
      </c>
      <c r="AF184" s="537">
        <v>0.51</v>
      </c>
      <c r="AG184" s="537">
        <v>0.51</v>
      </c>
      <c r="AH184" s="526">
        <f t="shared" si="146"/>
        <v>0.51</v>
      </c>
      <c r="AI184" s="526">
        <f t="shared" si="146"/>
        <v>0.51</v>
      </c>
      <c r="AJ184" s="526">
        <f t="shared" si="146"/>
        <v>0.51</v>
      </c>
      <c r="AK184" s="526">
        <f t="shared" si="146"/>
        <v>0.51</v>
      </c>
      <c r="AL184" s="526">
        <f t="shared" si="146"/>
        <v>0.51</v>
      </c>
      <c r="AM184" s="526">
        <f t="shared" si="146"/>
        <v>0.51</v>
      </c>
      <c r="AN184" s="526">
        <f t="shared" si="146"/>
        <v>0.51</v>
      </c>
      <c r="AO184" s="526">
        <f t="shared" si="146"/>
        <v>0.51</v>
      </c>
      <c r="AP184" s="526">
        <f t="shared" si="146"/>
        <v>0.51</v>
      </c>
      <c r="AQ184" s="526">
        <f t="shared" si="146"/>
        <v>0.51</v>
      </c>
      <c r="AR184" s="526">
        <f t="shared" si="146"/>
        <v>0.51</v>
      </c>
      <c r="AS184" s="526">
        <f t="shared" si="146"/>
        <v>0.51</v>
      </c>
      <c r="AT184" s="526">
        <f t="shared" si="146"/>
        <v>0.51</v>
      </c>
      <c r="AU184" s="526">
        <f t="shared" si="146"/>
        <v>0.51</v>
      </c>
      <c r="AV184" s="526">
        <f t="shared" si="146"/>
        <v>0.51</v>
      </c>
      <c r="AW184" s="526">
        <f t="shared" si="146"/>
        <v>0.51</v>
      </c>
      <c r="AX184" s="526">
        <f t="shared" si="145"/>
        <v>0.51</v>
      </c>
      <c r="AY184" s="526">
        <f t="shared" si="145"/>
        <v>0.51</v>
      </c>
      <c r="AZ184" s="526">
        <f t="shared" si="145"/>
        <v>0.51</v>
      </c>
      <c r="BA184" s="526">
        <f t="shared" si="145"/>
        <v>0.51</v>
      </c>
      <c r="BB184" s="526">
        <f t="shared" si="145"/>
        <v>0.51</v>
      </c>
      <c r="BC184" s="526">
        <f t="shared" si="145"/>
        <v>0.51</v>
      </c>
      <c r="BD184" s="526">
        <f t="shared" si="145"/>
        <v>0.51</v>
      </c>
      <c r="BE184" s="526">
        <f t="shared" si="145"/>
        <v>0.51</v>
      </c>
      <c r="BF184" s="526">
        <f t="shared" si="145"/>
        <v>0.51</v>
      </c>
      <c r="BG184" s="526">
        <f t="shared" si="145"/>
        <v>0.51</v>
      </c>
      <c r="BH184" s="526">
        <f t="shared" si="145"/>
        <v>0.51</v>
      </c>
      <c r="BI184" s="526">
        <f t="shared" si="145"/>
        <v>0.51</v>
      </c>
      <c r="BJ184" s="526">
        <f t="shared" si="145"/>
        <v>0.51</v>
      </c>
      <c r="BK184" s="526">
        <f t="shared" si="145"/>
        <v>0.51</v>
      </c>
      <c r="BL184" s="526">
        <f t="shared" si="145"/>
        <v>0.51</v>
      </c>
      <c r="BM184" s="526">
        <f t="shared" si="145"/>
        <v>0.51</v>
      </c>
      <c r="BN184" s="526">
        <f t="shared" si="145"/>
        <v>0.51</v>
      </c>
      <c r="BO184" s="526">
        <f t="shared" si="145"/>
        <v>0.51</v>
      </c>
      <c r="BP184" s="526">
        <f t="shared" si="145"/>
        <v>0.51</v>
      </c>
      <c r="BQ184" s="526">
        <f t="shared" si="145"/>
        <v>0.51</v>
      </c>
      <c r="BR184" s="526">
        <f t="shared" si="145"/>
        <v>0.51</v>
      </c>
      <c r="BS184" s="526">
        <f t="shared" si="145"/>
        <v>0.51</v>
      </c>
      <c r="BT184" s="526">
        <f t="shared" si="145"/>
        <v>0.51</v>
      </c>
      <c r="BU184" s="526">
        <f t="shared" si="145"/>
        <v>0.51</v>
      </c>
      <c r="BV184" s="526">
        <f t="shared" si="145"/>
        <v>0.51</v>
      </c>
      <c r="BW184" s="526">
        <f t="shared" si="145"/>
        <v>0.51</v>
      </c>
      <c r="BX184" s="526">
        <f t="shared" si="145"/>
        <v>0.51</v>
      </c>
      <c r="BY184" s="526">
        <f t="shared" si="145"/>
        <v>0.51</v>
      </c>
      <c r="BZ184" s="526">
        <f t="shared" si="145"/>
        <v>0.51</v>
      </c>
      <c r="CA184" s="526">
        <f t="shared" si="145"/>
        <v>0.51</v>
      </c>
      <c r="CB184" s="526">
        <f t="shared" si="145"/>
        <v>0.51</v>
      </c>
      <c r="CC184" s="526">
        <f t="shared" si="145"/>
        <v>0.51</v>
      </c>
      <c r="CD184" s="526">
        <f t="shared" si="145"/>
        <v>0.51</v>
      </c>
      <c r="CE184" s="526">
        <f t="shared" si="145"/>
        <v>0.51</v>
      </c>
      <c r="CG184" s="537">
        <v>0.51</v>
      </c>
      <c r="CH184" s="537">
        <v>0.51</v>
      </c>
      <c r="CI184" s="537">
        <v>0.51</v>
      </c>
      <c r="CJ184" s="537">
        <v>0.51</v>
      </c>
      <c r="CK184" s="537">
        <v>0.51</v>
      </c>
      <c r="CL184" s="537">
        <v>0.51</v>
      </c>
      <c r="CM184" s="537">
        <v>0.51</v>
      </c>
      <c r="CN184" s="537">
        <v>0.51</v>
      </c>
      <c r="CO184" s="537">
        <v>0.51</v>
      </c>
      <c r="CP184" s="537">
        <v>0.51</v>
      </c>
      <c r="CQ184" s="537">
        <v>0.51</v>
      </c>
      <c r="CR184" s="537">
        <v>0.51</v>
      </c>
      <c r="CS184" s="537">
        <v>0.51</v>
      </c>
      <c r="CT184" s="537">
        <v>0.51</v>
      </c>
      <c r="CU184" s="537">
        <v>0.51</v>
      </c>
      <c r="CV184" s="537">
        <v>0.51</v>
      </c>
      <c r="CW184" s="537">
        <v>0.51</v>
      </c>
      <c r="CX184" s="537">
        <v>0.51</v>
      </c>
      <c r="CY184" s="537">
        <v>0.51</v>
      </c>
      <c r="CZ184" s="537">
        <v>0.51</v>
      </c>
      <c r="DA184" s="537">
        <v>0.51</v>
      </c>
      <c r="DB184" s="537">
        <v>0.51</v>
      </c>
      <c r="DC184" s="537">
        <v>0.51</v>
      </c>
      <c r="DD184" s="537">
        <v>0.51</v>
      </c>
      <c r="DE184" s="537">
        <v>0.51</v>
      </c>
      <c r="DF184" s="537">
        <v>0.51</v>
      </c>
      <c r="DG184" s="537">
        <v>0.51</v>
      </c>
      <c r="DH184" s="537">
        <v>0.51</v>
      </c>
    </row>
    <row r="185" spans="2:112">
      <c r="B185" t="s">
        <v>1064</v>
      </c>
      <c r="C185" t="s">
        <v>758</v>
      </c>
      <c r="D185" t="s">
        <v>892</v>
      </c>
      <c r="E185" t="s">
        <v>178</v>
      </c>
      <c r="F185" s="537">
        <v>0.51</v>
      </c>
      <c r="G185" s="537">
        <v>0.51</v>
      </c>
      <c r="H185" s="537">
        <v>0.51</v>
      </c>
      <c r="I185" s="537">
        <v>0.51</v>
      </c>
      <c r="J185" s="537">
        <v>0.51</v>
      </c>
      <c r="K185" s="537">
        <v>0.51</v>
      </c>
      <c r="L185" s="537">
        <v>0.51</v>
      </c>
      <c r="M185" s="537">
        <v>0.51</v>
      </c>
      <c r="N185" s="537">
        <v>0.51</v>
      </c>
      <c r="O185" s="537">
        <v>0.51</v>
      </c>
      <c r="P185" s="537">
        <v>0.51</v>
      </c>
      <c r="Q185" s="537">
        <v>0.51</v>
      </c>
      <c r="R185" s="537">
        <v>0.51</v>
      </c>
      <c r="S185" s="537">
        <v>0.51</v>
      </c>
      <c r="T185" s="537">
        <v>0.51</v>
      </c>
      <c r="U185" s="537">
        <v>0.51</v>
      </c>
      <c r="V185" s="537">
        <v>0.51</v>
      </c>
      <c r="W185" s="537">
        <v>0.51</v>
      </c>
      <c r="X185" s="537">
        <v>0.51</v>
      </c>
      <c r="Y185" s="537">
        <v>0.51</v>
      </c>
      <c r="Z185" s="537">
        <v>0.51</v>
      </c>
      <c r="AA185" s="537">
        <v>0.51</v>
      </c>
      <c r="AB185" s="537">
        <v>0.51</v>
      </c>
      <c r="AC185" s="537">
        <v>0.51</v>
      </c>
      <c r="AD185" s="537">
        <v>0.51</v>
      </c>
      <c r="AE185" s="537">
        <v>0.51</v>
      </c>
      <c r="AF185" s="537">
        <v>0.51</v>
      </c>
      <c r="AG185" s="537">
        <v>0.51</v>
      </c>
      <c r="AH185" s="526">
        <f t="shared" si="146"/>
        <v>0.51</v>
      </c>
      <c r="AI185" s="526">
        <f t="shared" si="146"/>
        <v>0.51</v>
      </c>
      <c r="AJ185" s="526">
        <f t="shared" si="146"/>
        <v>0.51</v>
      </c>
      <c r="AK185" s="526">
        <f t="shared" si="146"/>
        <v>0.51</v>
      </c>
      <c r="AL185" s="526">
        <f t="shared" si="146"/>
        <v>0.51</v>
      </c>
      <c r="AM185" s="526">
        <f t="shared" si="146"/>
        <v>0.51</v>
      </c>
      <c r="AN185" s="526">
        <f t="shared" si="146"/>
        <v>0.51</v>
      </c>
      <c r="AO185" s="526">
        <f t="shared" si="146"/>
        <v>0.51</v>
      </c>
      <c r="AP185" s="526">
        <f t="shared" si="146"/>
        <v>0.51</v>
      </c>
      <c r="AQ185" s="526">
        <f t="shared" si="146"/>
        <v>0.51</v>
      </c>
      <c r="AR185" s="526">
        <f t="shared" si="146"/>
        <v>0.51</v>
      </c>
      <c r="AS185" s="526">
        <f t="shared" si="146"/>
        <v>0.51</v>
      </c>
      <c r="AT185" s="526">
        <f t="shared" si="146"/>
        <v>0.51</v>
      </c>
      <c r="AU185" s="526">
        <f t="shared" si="146"/>
        <v>0.51</v>
      </c>
      <c r="AV185" s="526">
        <f t="shared" si="146"/>
        <v>0.51</v>
      </c>
      <c r="AW185" s="526">
        <f t="shared" si="146"/>
        <v>0.51</v>
      </c>
      <c r="AX185" s="526">
        <f t="shared" si="145"/>
        <v>0.51</v>
      </c>
      <c r="AY185" s="526">
        <f t="shared" si="145"/>
        <v>0.51</v>
      </c>
      <c r="AZ185" s="526">
        <f t="shared" si="145"/>
        <v>0.51</v>
      </c>
      <c r="BA185" s="526">
        <f t="shared" si="145"/>
        <v>0.51</v>
      </c>
      <c r="BB185" s="526">
        <f t="shared" si="145"/>
        <v>0.51</v>
      </c>
      <c r="BC185" s="526">
        <f t="shared" si="145"/>
        <v>0.51</v>
      </c>
      <c r="BD185" s="526">
        <f t="shared" si="145"/>
        <v>0.51</v>
      </c>
      <c r="BE185" s="526">
        <f t="shared" si="145"/>
        <v>0.51</v>
      </c>
      <c r="BF185" s="526">
        <f t="shared" si="145"/>
        <v>0.51</v>
      </c>
      <c r="BG185" s="526">
        <f t="shared" si="145"/>
        <v>0.51</v>
      </c>
      <c r="BH185" s="526">
        <f t="shared" si="145"/>
        <v>0.51</v>
      </c>
      <c r="BI185" s="526">
        <f t="shared" si="145"/>
        <v>0.51</v>
      </c>
      <c r="BJ185" s="526">
        <f t="shared" si="145"/>
        <v>0.51</v>
      </c>
      <c r="BK185" s="526">
        <f t="shared" si="145"/>
        <v>0.51</v>
      </c>
      <c r="BL185" s="526">
        <f t="shared" si="145"/>
        <v>0.51</v>
      </c>
      <c r="BM185" s="526">
        <f t="shared" si="145"/>
        <v>0.51</v>
      </c>
      <c r="BN185" s="526">
        <f t="shared" si="145"/>
        <v>0.51</v>
      </c>
      <c r="BO185" s="526">
        <f t="shared" si="145"/>
        <v>0.51</v>
      </c>
      <c r="BP185" s="526">
        <f t="shared" si="145"/>
        <v>0.51</v>
      </c>
      <c r="BQ185" s="526">
        <f t="shared" si="145"/>
        <v>0.51</v>
      </c>
      <c r="BR185" s="526">
        <f t="shared" si="145"/>
        <v>0.51</v>
      </c>
      <c r="BS185" s="526">
        <f t="shared" si="145"/>
        <v>0.51</v>
      </c>
      <c r="BT185" s="526">
        <f t="shared" si="145"/>
        <v>0.51</v>
      </c>
      <c r="BU185" s="526">
        <f t="shared" si="145"/>
        <v>0.51</v>
      </c>
      <c r="BV185" s="526">
        <f t="shared" si="145"/>
        <v>0.51</v>
      </c>
      <c r="BW185" s="526">
        <f t="shared" si="145"/>
        <v>0.51</v>
      </c>
      <c r="BX185" s="526">
        <f t="shared" si="145"/>
        <v>0.51</v>
      </c>
      <c r="BY185" s="526">
        <f t="shared" si="145"/>
        <v>0.51</v>
      </c>
      <c r="BZ185" s="526">
        <f t="shared" si="145"/>
        <v>0.51</v>
      </c>
      <c r="CA185" s="526">
        <f t="shared" si="145"/>
        <v>0.51</v>
      </c>
      <c r="CB185" s="526">
        <f t="shared" si="145"/>
        <v>0.51</v>
      </c>
      <c r="CC185" s="526">
        <f t="shared" si="145"/>
        <v>0.51</v>
      </c>
      <c r="CD185" s="526">
        <f t="shared" si="145"/>
        <v>0.51</v>
      </c>
      <c r="CE185" s="526">
        <f t="shared" si="145"/>
        <v>0.51</v>
      </c>
      <c r="CG185" s="537">
        <v>0.51</v>
      </c>
      <c r="CH185" s="537">
        <v>0.51</v>
      </c>
      <c r="CI185" s="537">
        <v>0.51</v>
      </c>
      <c r="CJ185" s="537">
        <v>0.51</v>
      </c>
      <c r="CK185" s="537">
        <v>0.51</v>
      </c>
      <c r="CL185" s="537">
        <v>0.51</v>
      </c>
      <c r="CM185" s="537">
        <v>0.51</v>
      </c>
      <c r="CN185" s="537">
        <v>0.51</v>
      </c>
      <c r="CO185" s="537">
        <v>0.51</v>
      </c>
      <c r="CP185" s="537">
        <v>0.51</v>
      </c>
      <c r="CQ185" s="537">
        <v>0.51</v>
      </c>
      <c r="CR185" s="537">
        <v>0.51</v>
      </c>
      <c r="CS185" s="537">
        <v>0.51</v>
      </c>
      <c r="CT185" s="537">
        <v>0.51</v>
      </c>
      <c r="CU185" s="537">
        <v>0.51</v>
      </c>
      <c r="CV185" s="537">
        <v>0.51</v>
      </c>
      <c r="CW185" s="537">
        <v>0.51</v>
      </c>
      <c r="CX185" s="537">
        <v>0.51</v>
      </c>
      <c r="CY185" s="537">
        <v>0.51</v>
      </c>
      <c r="CZ185" s="537">
        <v>0.51</v>
      </c>
      <c r="DA185" s="537">
        <v>0.51</v>
      </c>
      <c r="DB185" s="537">
        <v>0.51</v>
      </c>
      <c r="DC185" s="537">
        <v>0.51</v>
      </c>
      <c r="DD185" s="537">
        <v>0.51</v>
      </c>
      <c r="DE185" s="537">
        <v>0.51</v>
      </c>
      <c r="DF185" s="537">
        <v>0.51</v>
      </c>
      <c r="DG185" s="537">
        <v>0.51</v>
      </c>
      <c r="DH185" s="537">
        <v>0.51</v>
      </c>
    </row>
    <row r="186" spans="2:112">
      <c r="B186" t="s">
        <v>1065</v>
      </c>
      <c r="C186" t="s">
        <v>758</v>
      </c>
      <c r="D186" t="s">
        <v>894</v>
      </c>
      <c r="E186" t="s">
        <v>895</v>
      </c>
      <c r="F186" s="537">
        <v>0</v>
      </c>
      <c r="G186" s="537">
        <v>0</v>
      </c>
      <c r="H186" s="537">
        <v>0</v>
      </c>
      <c r="I186" s="537">
        <v>0</v>
      </c>
      <c r="J186" s="537">
        <v>0</v>
      </c>
      <c r="K186" s="537">
        <v>0</v>
      </c>
      <c r="L186" s="537">
        <v>0</v>
      </c>
      <c r="M186" s="537">
        <v>0</v>
      </c>
      <c r="N186" s="537">
        <v>0</v>
      </c>
      <c r="O186" s="537">
        <v>0</v>
      </c>
      <c r="P186" s="537">
        <v>0</v>
      </c>
      <c r="Q186" s="537">
        <v>0</v>
      </c>
      <c r="R186" s="537">
        <v>0</v>
      </c>
      <c r="S186" s="537">
        <v>0</v>
      </c>
      <c r="T186" s="537">
        <v>0</v>
      </c>
      <c r="U186" s="537">
        <v>0</v>
      </c>
      <c r="V186" s="537">
        <v>0</v>
      </c>
      <c r="W186" s="537">
        <v>0</v>
      </c>
      <c r="X186" s="537">
        <v>0</v>
      </c>
      <c r="Y186" s="537">
        <v>0</v>
      </c>
      <c r="Z186" s="537">
        <v>0</v>
      </c>
      <c r="AA186" s="537">
        <v>0</v>
      </c>
      <c r="AB186" s="537">
        <v>0</v>
      </c>
      <c r="AC186" s="537">
        <v>0</v>
      </c>
      <c r="AD186" s="537">
        <v>0</v>
      </c>
      <c r="AE186" s="537">
        <v>0</v>
      </c>
      <c r="AF186" s="537">
        <v>0</v>
      </c>
      <c r="AG186" s="537">
        <v>0</v>
      </c>
      <c r="AH186" s="538">
        <f t="shared" si="146"/>
        <v>0</v>
      </c>
      <c r="AI186" s="538">
        <f t="shared" si="146"/>
        <v>0</v>
      </c>
      <c r="AJ186" s="538">
        <f t="shared" si="146"/>
        <v>0</v>
      </c>
      <c r="AK186" s="538">
        <f t="shared" si="146"/>
        <v>0</v>
      </c>
      <c r="AL186" s="538">
        <f t="shared" si="146"/>
        <v>0</v>
      </c>
      <c r="AM186" s="538">
        <f t="shared" si="146"/>
        <v>0</v>
      </c>
      <c r="AN186" s="538">
        <f t="shared" si="146"/>
        <v>0</v>
      </c>
      <c r="AO186" s="538">
        <f t="shared" si="146"/>
        <v>0</v>
      </c>
      <c r="AP186" s="538">
        <f t="shared" si="146"/>
        <v>0</v>
      </c>
      <c r="AQ186" s="538">
        <f t="shared" si="146"/>
        <v>0</v>
      </c>
      <c r="AR186" s="538">
        <f t="shared" si="146"/>
        <v>0</v>
      </c>
      <c r="AS186" s="538">
        <f t="shared" si="146"/>
        <v>0</v>
      </c>
      <c r="AT186" s="538">
        <f t="shared" si="146"/>
        <v>0</v>
      </c>
      <c r="AU186" s="538">
        <f t="shared" si="146"/>
        <v>0</v>
      </c>
      <c r="AV186" s="538">
        <f t="shared" si="146"/>
        <v>0</v>
      </c>
      <c r="AW186" s="538">
        <f t="shared" si="146"/>
        <v>0</v>
      </c>
      <c r="AX186" s="538">
        <f t="shared" si="145"/>
        <v>0</v>
      </c>
      <c r="AY186" s="538">
        <f t="shared" si="145"/>
        <v>0</v>
      </c>
      <c r="AZ186" s="538">
        <f t="shared" si="145"/>
        <v>0</v>
      </c>
      <c r="BA186" s="538">
        <f t="shared" si="145"/>
        <v>0</v>
      </c>
      <c r="BB186" s="538">
        <f t="shared" si="145"/>
        <v>0</v>
      </c>
      <c r="BC186" s="538">
        <f t="shared" si="145"/>
        <v>0</v>
      </c>
      <c r="BD186" s="538">
        <f t="shared" si="145"/>
        <v>0</v>
      </c>
      <c r="BE186" s="538">
        <f t="shared" si="145"/>
        <v>0</v>
      </c>
      <c r="BF186" s="538">
        <f t="shared" si="145"/>
        <v>0</v>
      </c>
      <c r="BG186" s="538">
        <f t="shared" si="145"/>
        <v>0</v>
      </c>
      <c r="BH186" s="538">
        <f t="shared" si="145"/>
        <v>0</v>
      </c>
      <c r="BI186" s="538">
        <f t="shared" si="145"/>
        <v>0</v>
      </c>
      <c r="BJ186" s="538">
        <f t="shared" si="145"/>
        <v>0</v>
      </c>
      <c r="BK186" s="538">
        <f t="shared" si="145"/>
        <v>0</v>
      </c>
      <c r="BL186" s="538">
        <f t="shared" si="145"/>
        <v>0</v>
      </c>
      <c r="BM186" s="538">
        <f t="shared" si="145"/>
        <v>0</v>
      </c>
      <c r="BN186" s="538">
        <f t="shared" si="145"/>
        <v>0</v>
      </c>
      <c r="BO186" s="538">
        <f t="shared" si="145"/>
        <v>0</v>
      </c>
      <c r="BP186" s="538">
        <f t="shared" si="145"/>
        <v>0</v>
      </c>
      <c r="BQ186" s="538">
        <f t="shared" si="145"/>
        <v>0</v>
      </c>
      <c r="BR186" s="538">
        <f t="shared" si="145"/>
        <v>0</v>
      </c>
      <c r="BS186" s="538">
        <f t="shared" si="145"/>
        <v>0</v>
      </c>
      <c r="BT186" s="538">
        <f t="shared" si="145"/>
        <v>0</v>
      </c>
      <c r="BU186" s="538">
        <f t="shared" si="145"/>
        <v>0</v>
      </c>
      <c r="BV186" s="538">
        <f t="shared" si="145"/>
        <v>0</v>
      </c>
      <c r="BW186" s="538">
        <f t="shared" si="145"/>
        <v>0</v>
      </c>
      <c r="BX186" s="538">
        <f t="shared" si="145"/>
        <v>0</v>
      </c>
      <c r="BY186" s="538">
        <f t="shared" si="145"/>
        <v>0</v>
      </c>
      <c r="BZ186" s="538">
        <f t="shared" si="145"/>
        <v>0</v>
      </c>
      <c r="CA186" s="538">
        <f t="shared" si="145"/>
        <v>0</v>
      </c>
      <c r="CB186" s="538">
        <f t="shared" si="145"/>
        <v>0</v>
      </c>
      <c r="CC186" s="538">
        <f t="shared" si="145"/>
        <v>0</v>
      </c>
      <c r="CD186" s="538">
        <f t="shared" si="145"/>
        <v>0</v>
      </c>
      <c r="CE186" s="538">
        <f t="shared" si="145"/>
        <v>0</v>
      </c>
      <c r="CG186" s="537">
        <v>0</v>
      </c>
      <c r="CH186" s="537">
        <v>0</v>
      </c>
      <c r="CI186" s="537">
        <v>0</v>
      </c>
      <c r="CJ186" s="537">
        <v>0</v>
      </c>
      <c r="CK186" s="537">
        <v>0</v>
      </c>
      <c r="CL186" s="537">
        <v>0</v>
      </c>
      <c r="CM186" s="537">
        <v>0</v>
      </c>
      <c r="CN186" s="537">
        <v>0</v>
      </c>
      <c r="CO186" s="537">
        <v>0</v>
      </c>
      <c r="CP186" s="537">
        <v>0</v>
      </c>
      <c r="CQ186" s="537">
        <v>0</v>
      </c>
      <c r="CR186" s="537">
        <v>0</v>
      </c>
      <c r="CS186" s="537">
        <v>0</v>
      </c>
      <c r="CT186" s="537">
        <v>0</v>
      </c>
      <c r="CU186" s="537">
        <v>0</v>
      </c>
      <c r="CV186" s="537">
        <v>0</v>
      </c>
      <c r="CW186" s="537">
        <v>0</v>
      </c>
      <c r="CX186" s="537">
        <v>0</v>
      </c>
      <c r="CY186" s="537">
        <v>0</v>
      </c>
      <c r="CZ186" s="537">
        <v>0</v>
      </c>
      <c r="DA186" s="537">
        <v>0</v>
      </c>
      <c r="DB186" s="537">
        <v>0</v>
      </c>
      <c r="DC186" s="537">
        <v>0</v>
      </c>
      <c r="DD186" s="537">
        <v>0</v>
      </c>
      <c r="DE186" s="537">
        <v>0</v>
      </c>
      <c r="DF186" s="537">
        <v>0</v>
      </c>
      <c r="DG186" s="537">
        <v>0</v>
      </c>
      <c r="DH186" s="537">
        <v>0</v>
      </c>
    </row>
    <row r="187" spans="2:112">
      <c r="B187" t="s">
        <v>1066</v>
      </c>
      <c r="C187" t="s">
        <v>758</v>
      </c>
      <c r="D187" t="s">
        <v>897</v>
      </c>
      <c r="E187" t="s">
        <v>895</v>
      </c>
      <c r="F187" s="537">
        <v>0.01</v>
      </c>
      <c r="G187" s="537">
        <v>0.01</v>
      </c>
      <c r="H187" s="537">
        <v>0.01</v>
      </c>
      <c r="I187" s="537">
        <v>0.01</v>
      </c>
      <c r="J187" s="537">
        <v>0.01</v>
      </c>
      <c r="K187" s="537">
        <v>0.01</v>
      </c>
      <c r="L187" s="537">
        <v>0.01</v>
      </c>
      <c r="M187" s="537">
        <v>0.01</v>
      </c>
      <c r="N187" s="537">
        <v>0.01</v>
      </c>
      <c r="O187" s="537">
        <v>0.01</v>
      </c>
      <c r="P187" s="537">
        <v>0.01</v>
      </c>
      <c r="Q187" s="537">
        <v>0.01</v>
      </c>
      <c r="R187" s="537">
        <v>0.01</v>
      </c>
      <c r="S187" s="537">
        <v>0.01</v>
      </c>
      <c r="T187" s="537">
        <v>0.01</v>
      </c>
      <c r="U187" s="537">
        <v>0.01</v>
      </c>
      <c r="V187" s="537">
        <v>0.01</v>
      </c>
      <c r="W187" s="537">
        <v>0.01</v>
      </c>
      <c r="X187" s="537">
        <v>0.01</v>
      </c>
      <c r="Y187" s="537">
        <v>0.01</v>
      </c>
      <c r="Z187" s="537">
        <v>0.01</v>
      </c>
      <c r="AA187" s="537">
        <v>0.01</v>
      </c>
      <c r="AB187" s="537">
        <v>0.01</v>
      </c>
      <c r="AC187" s="537">
        <v>0.01</v>
      </c>
      <c r="AD187" s="537">
        <v>0.01</v>
      </c>
      <c r="AE187" s="537">
        <v>0.01</v>
      </c>
      <c r="AF187" s="537">
        <v>0.01</v>
      </c>
      <c r="AG187" s="537">
        <v>0.01</v>
      </c>
      <c r="AH187" s="538">
        <f t="shared" si="146"/>
        <v>0.01</v>
      </c>
      <c r="AI187" s="538">
        <f t="shared" si="146"/>
        <v>0.01</v>
      </c>
      <c r="AJ187" s="538">
        <f t="shared" si="146"/>
        <v>0.01</v>
      </c>
      <c r="AK187" s="538">
        <f t="shared" si="146"/>
        <v>0.01</v>
      </c>
      <c r="AL187" s="538">
        <f t="shared" si="146"/>
        <v>0.01</v>
      </c>
      <c r="AM187" s="538">
        <f t="shared" si="146"/>
        <v>0.01</v>
      </c>
      <c r="AN187" s="538">
        <f t="shared" si="146"/>
        <v>0.01</v>
      </c>
      <c r="AO187" s="538">
        <f t="shared" si="146"/>
        <v>0.01</v>
      </c>
      <c r="AP187" s="538">
        <f t="shared" si="146"/>
        <v>0.01</v>
      </c>
      <c r="AQ187" s="538">
        <f t="shared" si="146"/>
        <v>0.01</v>
      </c>
      <c r="AR187" s="538">
        <f t="shared" si="146"/>
        <v>0.01</v>
      </c>
      <c r="AS187" s="538">
        <f t="shared" si="146"/>
        <v>0.01</v>
      </c>
      <c r="AT187" s="538">
        <f t="shared" si="146"/>
        <v>0.01</v>
      </c>
      <c r="AU187" s="538">
        <f t="shared" si="146"/>
        <v>0.01</v>
      </c>
      <c r="AV187" s="538">
        <f t="shared" si="146"/>
        <v>0.01</v>
      </c>
      <c r="AW187" s="538">
        <f t="shared" si="146"/>
        <v>0.01</v>
      </c>
      <c r="AX187" s="538">
        <f t="shared" si="145"/>
        <v>0.01</v>
      </c>
      <c r="AY187" s="538">
        <f t="shared" si="145"/>
        <v>0.01</v>
      </c>
      <c r="AZ187" s="538">
        <f t="shared" si="145"/>
        <v>0.01</v>
      </c>
      <c r="BA187" s="538">
        <f t="shared" si="145"/>
        <v>0.01</v>
      </c>
      <c r="BB187" s="538">
        <f t="shared" si="145"/>
        <v>0.01</v>
      </c>
      <c r="BC187" s="538">
        <f t="shared" si="145"/>
        <v>0.01</v>
      </c>
      <c r="BD187" s="538">
        <f t="shared" si="145"/>
        <v>0.01</v>
      </c>
      <c r="BE187" s="538">
        <f t="shared" si="145"/>
        <v>0.01</v>
      </c>
      <c r="BF187" s="538">
        <f t="shared" si="145"/>
        <v>0.01</v>
      </c>
      <c r="BG187" s="538">
        <f t="shared" si="145"/>
        <v>0.01</v>
      </c>
      <c r="BH187" s="538">
        <f t="shared" si="145"/>
        <v>0.01</v>
      </c>
      <c r="BI187" s="538">
        <f t="shared" si="145"/>
        <v>0.01</v>
      </c>
      <c r="BJ187" s="538">
        <f t="shared" si="145"/>
        <v>0.01</v>
      </c>
      <c r="BK187" s="538">
        <f t="shared" si="145"/>
        <v>0.01</v>
      </c>
      <c r="BL187" s="538">
        <f t="shared" si="145"/>
        <v>0.01</v>
      </c>
      <c r="BM187" s="538">
        <f t="shared" si="145"/>
        <v>0.01</v>
      </c>
      <c r="BN187" s="538">
        <f t="shared" ref="BN187:CC189" si="147">BM187</f>
        <v>0.01</v>
      </c>
      <c r="BO187" s="538">
        <f t="shared" si="147"/>
        <v>0.01</v>
      </c>
      <c r="BP187" s="538">
        <f t="shared" si="147"/>
        <v>0.01</v>
      </c>
      <c r="BQ187" s="538">
        <f t="shared" si="147"/>
        <v>0.01</v>
      </c>
      <c r="BR187" s="538">
        <f t="shared" si="147"/>
        <v>0.01</v>
      </c>
      <c r="BS187" s="538">
        <f t="shared" si="147"/>
        <v>0.01</v>
      </c>
      <c r="BT187" s="538">
        <f t="shared" si="147"/>
        <v>0.01</v>
      </c>
      <c r="BU187" s="538">
        <f t="shared" si="147"/>
        <v>0.01</v>
      </c>
      <c r="BV187" s="538">
        <f t="shared" si="147"/>
        <v>0.01</v>
      </c>
      <c r="BW187" s="538">
        <f t="shared" si="147"/>
        <v>0.01</v>
      </c>
      <c r="BX187" s="538">
        <f t="shared" si="147"/>
        <v>0.01</v>
      </c>
      <c r="BY187" s="538">
        <f t="shared" si="147"/>
        <v>0.01</v>
      </c>
      <c r="BZ187" s="538">
        <f t="shared" si="147"/>
        <v>0.01</v>
      </c>
      <c r="CA187" s="538">
        <f t="shared" si="147"/>
        <v>0.01</v>
      </c>
      <c r="CB187" s="538">
        <f t="shared" si="147"/>
        <v>0.01</v>
      </c>
      <c r="CC187" s="538">
        <f t="shared" si="147"/>
        <v>0.01</v>
      </c>
      <c r="CD187" s="538">
        <f t="shared" ref="CD187:CE189" si="148">CC187</f>
        <v>0.01</v>
      </c>
      <c r="CE187" s="538">
        <f t="shared" si="148"/>
        <v>0.01</v>
      </c>
      <c r="CG187" s="537">
        <v>0.01</v>
      </c>
      <c r="CH187" s="537">
        <v>0.01</v>
      </c>
      <c r="CI187" s="537">
        <v>0.01</v>
      </c>
      <c r="CJ187" s="537">
        <v>0.01</v>
      </c>
      <c r="CK187" s="537">
        <v>0.01</v>
      </c>
      <c r="CL187" s="537">
        <v>0.01</v>
      </c>
      <c r="CM187" s="537">
        <v>0.01</v>
      </c>
      <c r="CN187" s="537">
        <v>0.01</v>
      </c>
      <c r="CO187" s="537">
        <v>0.01</v>
      </c>
      <c r="CP187" s="537">
        <v>0.01</v>
      </c>
      <c r="CQ187" s="537">
        <v>0.01</v>
      </c>
      <c r="CR187" s="537">
        <v>0.01</v>
      </c>
      <c r="CS187" s="537">
        <v>0.01</v>
      </c>
      <c r="CT187" s="537">
        <v>0.01</v>
      </c>
      <c r="CU187" s="537">
        <v>0.01</v>
      </c>
      <c r="CV187" s="537">
        <v>0.01</v>
      </c>
      <c r="CW187" s="537">
        <v>0.01</v>
      </c>
      <c r="CX187" s="537">
        <v>0.01</v>
      </c>
      <c r="CY187" s="537">
        <v>0.01</v>
      </c>
      <c r="CZ187" s="537">
        <v>0.01</v>
      </c>
      <c r="DA187" s="537">
        <v>0.01</v>
      </c>
      <c r="DB187" s="537">
        <v>0.01</v>
      </c>
      <c r="DC187" s="537">
        <v>0.01</v>
      </c>
      <c r="DD187" s="537">
        <v>0.01</v>
      </c>
      <c r="DE187" s="537">
        <v>0.01</v>
      </c>
      <c r="DF187" s="537">
        <v>0.01</v>
      </c>
      <c r="DG187" s="537">
        <v>0.01</v>
      </c>
      <c r="DH187" s="537">
        <v>0.01</v>
      </c>
    </row>
    <row r="188" spans="2:112">
      <c r="B188" t="s">
        <v>1067</v>
      </c>
      <c r="C188" t="s">
        <v>758</v>
      </c>
      <c r="D188" t="s">
        <v>899</v>
      </c>
      <c r="E188" t="s">
        <v>895</v>
      </c>
      <c r="F188" s="537">
        <v>0.05</v>
      </c>
      <c r="G188" s="537">
        <v>0.05</v>
      </c>
      <c r="H188" s="537">
        <v>0.05</v>
      </c>
      <c r="I188" s="537">
        <v>0.05</v>
      </c>
      <c r="J188" s="537">
        <v>0.05</v>
      </c>
      <c r="K188" s="537">
        <v>0.05</v>
      </c>
      <c r="L188" s="537">
        <v>0.05</v>
      </c>
      <c r="M188" s="537">
        <v>0.05</v>
      </c>
      <c r="N188" s="537">
        <v>0.05</v>
      </c>
      <c r="O188" s="537">
        <v>0.05</v>
      </c>
      <c r="P188" s="537">
        <v>0.05</v>
      </c>
      <c r="Q188" s="537">
        <v>0.05</v>
      </c>
      <c r="R188" s="537">
        <v>0.05</v>
      </c>
      <c r="S188" s="537">
        <v>0.05</v>
      </c>
      <c r="T188" s="537">
        <v>0.05</v>
      </c>
      <c r="U188" s="537">
        <v>0.05</v>
      </c>
      <c r="V188" s="537">
        <v>0.05</v>
      </c>
      <c r="W188" s="537">
        <v>0.05</v>
      </c>
      <c r="X188" s="537">
        <v>0.05</v>
      </c>
      <c r="Y188" s="537">
        <v>0.05</v>
      </c>
      <c r="Z188" s="537">
        <v>0.05</v>
      </c>
      <c r="AA188" s="537">
        <v>0.05</v>
      </c>
      <c r="AB188" s="537">
        <v>0.05</v>
      </c>
      <c r="AC188" s="537">
        <v>0.05</v>
      </c>
      <c r="AD188" s="537">
        <v>0.05</v>
      </c>
      <c r="AE188" s="537">
        <v>0.05</v>
      </c>
      <c r="AF188" s="537">
        <v>0.05</v>
      </c>
      <c r="AG188" s="537">
        <v>0.05</v>
      </c>
      <c r="AH188" s="538">
        <f t="shared" si="146"/>
        <v>0.05</v>
      </c>
      <c r="AI188" s="538">
        <f t="shared" si="146"/>
        <v>0.05</v>
      </c>
      <c r="AJ188" s="538">
        <f t="shared" si="146"/>
        <v>0.05</v>
      </c>
      <c r="AK188" s="538">
        <f t="shared" si="146"/>
        <v>0.05</v>
      </c>
      <c r="AL188" s="538">
        <f t="shared" si="146"/>
        <v>0.05</v>
      </c>
      <c r="AM188" s="538">
        <f t="shared" si="146"/>
        <v>0.05</v>
      </c>
      <c r="AN188" s="538">
        <f t="shared" si="146"/>
        <v>0.05</v>
      </c>
      <c r="AO188" s="538">
        <f t="shared" si="146"/>
        <v>0.05</v>
      </c>
      <c r="AP188" s="538">
        <f t="shared" si="146"/>
        <v>0.05</v>
      </c>
      <c r="AQ188" s="538">
        <f t="shared" si="146"/>
        <v>0.05</v>
      </c>
      <c r="AR188" s="538">
        <f t="shared" si="146"/>
        <v>0.05</v>
      </c>
      <c r="AS188" s="538">
        <f t="shared" si="146"/>
        <v>0.05</v>
      </c>
      <c r="AT188" s="538">
        <f t="shared" si="146"/>
        <v>0.05</v>
      </c>
      <c r="AU188" s="538">
        <f t="shared" si="146"/>
        <v>0.05</v>
      </c>
      <c r="AV188" s="538">
        <f t="shared" si="146"/>
        <v>0.05</v>
      </c>
      <c r="AW188" s="538">
        <f t="shared" si="146"/>
        <v>0.05</v>
      </c>
      <c r="AX188" s="538">
        <f t="shared" ref="AX188:BM189" si="149">AW188</f>
        <v>0.05</v>
      </c>
      <c r="AY188" s="538">
        <f t="shared" si="149"/>
        <v>0.05</v>
      </c>
      <c r="AZ188" s="538">
        <f t="shared" si="149"/>
        <v>0.05</v>
      </c>
      <c r="BA188" s="538">
        <f t="shared" si="149"/>
        <v>0.05</v>
      </c>
      <c r="BB188" s="538">
        <f t="shared" si="149"/>
        <v>0.05</v>
      </c>
      <c r="BC188" s="538">
        <f t="shared" si="149"/>
        <v>0.05</v>
      </c>
      <c r="BD188" s="538">
        <f t="shared" si="149"/>
        <v>0.05</v>
      </c>
      <c r="BE188" s="538">
        <f t="shared" si="149"/>
        <v>0.05</v>
      </c>
      <c r="BF188" s="538">
        <f t="shared" si="149"/>
        <v>0.05</v>
      </c>
      <c r="BG188" s="538">
        <f t="shared" si="149"/>
        <v>0.05</v>
      </c>
      <c r="BH188" s="538">
        <f t="shared" si="149"/>
        <v>0.05</v>
      </c>
      <c r="BI188" s="538">
        <f t="shared" si="149"/>
        <v>0.05</v>
      </c>
      <c r="BJ188" s="538">
        <f t="shared" si="149"/>
        <v>0.05</v>
      </c>
      <c r="BK188" s="538">
        <f t="shared" si="149"/>
        <v>0.05</v>
      </c>
      <c r="BL188" s="538">
        <f t="shared" si="149"/>
        <v>0.05</v>
      </c>
      <c r="BM188" s="538">
        <f t="shared" si="149"/>
        <v>0.05</v>
      </c>
      <c r="BN188" s="538">
        <f t="shared" si="147"/>
        <v>0.05</v>
      </c>
      <c r="BO188" s="538">
        <f t="shared" si="147"/>
        <v>0.05</v>
      </c>
      <c r="BP188" s="538">
        <f t="shared" si="147"/>
        <v>0.05</v>
      </c>
      <c r="BQ188" s="538">
        <f t="shared" si="147"/>
        <v>0.05</v>
      </c>
      <c r="BR188" s="538">
        <f t="shared" si="147"/>
        <v>0.05</v>
      </c>
      <c r="BS188" s="538">
        <f t="shared" si="147"/>
        <v>0.05</v>
      </c>
      <c r="BT188" s="538">
        <f t="shared" si="147"/>
        <v>0.05</v>
      </c>
      <c r="BU188" s="538">
        <f t="shared" si="147"/>
        <v>0.05</v>
      </c>
      <c r="BV188" s="538">
        <f t="shared" si="147"/>
        <v>0.05</v>
      </c>
      <c r="BW188" s="538">
        <f t="shared" si="147"/>
        <v>0.05</v>
      </c>
      <c r="BX188" s="538">
        <f t="shared" si="147"/>
        <v>0.05</v>
      </c>
      <c r="BY188" s="538">
        <f t="shared" si="147"/>
        <v>0.05</v>
      </c>
      <c r="BZ188" s="538">
        <f t="shared" si="147"/>
        <v>0.05</v>
      </c>
      <c r="CA188" s="538">
        <f t="shared" si="147"/>
        <v>0.05</v>
      </c>
      <c r="CB188" s="538">
        <f t="shared" si="147"/>
        <v>0.05</v>
      </c>
      <c r="CC188" s="538">
        <f t="shared" si="147"/>
        <v>0.05</v>
      </c>
      <c r="CD188" s="538">
        <f t="shared" si="148"/>
        <v>0.05</v>
      </c>
      <c r="CE188" s="538">
        <f t="shared" si="148"/>
        <v>0.05</v>
      </c>
      <c r="CG188" s="537">
        <v>0.05</v>
      </c>
      <c r="CH188" s="537">
        <v>0.05</v>
      </c>
      <c r="CI188" s="537">
        <v>0.05</v>
      </c>
      <c r="CJ188" s="537">
        <v>0.05</v>
      </c>
      <c r="CK188" s="537">
        <v>0.05</v>
      </c>
      <c r="CL188" s="537">
        <v>0.05</v>
      </c>
      <c r="CM188" s="537">
        <v>0.05</v>
      </c>
      <c r="CN188" s="537">
        <v>0.05</v>
      </c>
      <c r="CO188" s="537">
        <v>0.05</v>
      </c>
      <c r="CP188" s="537">
        <v>0.05</v>
      </c>
      <c r="CQ188" s="537">
        <v>0.05</v>
      </c>
      <c r="CR188" s="537">
        <v>0.05</v>
      </c>
      <c r="CS188" s="537">
        <v>0.05</v>
      </c>
      <c r="CT188" s="537">
        <v>0.05</v>
      </c>
      <c r="CU188" s="537">
        <v>0.05</v>
      </c>
      <c r="CV188" s="537">
        <v>0.05</v>
      </c>
      <c r="CW188" s="537">
        <v>0.05</v>
      </c>
      <c r="CX188" s="537">
        <v>0.05</v>
      </c>
      <c r="CY188" s="537">
        <v>0.05</v>
      </c>
      <c r="CZ188" s="537">
        <v>0.05</v>
      </c>
      <c r="DA188" s="537">
        <v>0.05</v>
      </c>
      <c r="DB188" s="537">
        <v>0.05</v>
      </c>
      <c r="DC188" s="537">
        <v>0.05</v>
      </c>
      <c r="DD188" s="537">
        <v>0.05</v>
      </c>
      <c r="DE188" s="537">
        <v>0.05</v>
      </c>
      <c r="DF188" s="537">
        <v>0.05</v>
      </c>
      <c r="DG188" s="537">
        <v>0.05</v>
      </c>
      <c r="DH188" s="537">
        <v>0.05</v>
      </c>
    </row>
    <row r="189" spans="2:112">
      <c r="B189" t="s">
        <v>1068</v>
      </c>
      <c r="C189" t="s">
        <v>758</v>
      </c>
      <c r="D189" t="s">
        <v>901</v>
      </c>
      <c r="E189" t="s">
        <v>895</v>
      </c>
      <c r="F189" s="537">
        <v>0.05</v>
      </c>
      <c r="G189" s="537">
        <v>0.05</v>
      </c>
      <c r="H189" s="537">
        <v>0.05</v>
      </c>
      <c r="I189" s="537">
        <v>0.05</v>
      </c>
      <c r="J189" s="537">
        <v>0.05</v>
      </c>
      <c r="K189" s="537">
        <v>0.05</v>
      </c>
      <c r="L189" s="537">
        <v>0.05</v>
      </c>
      <c r="M189" s="537">
        <v>0.05</v>
      </c>
      <c r="N189" s="537">
        <v>0.05</v>
      </c>
      <c r="O189" s="537">
        <v>0.05</v>
      </c>
      <c r="P189" s="537">
        <v>0.05</v>
      </c>
      <c r="Q189" s="537">
        <v>0.05</v>
      </c>
      <c r="R189" s="537">
        <v>0.05</v>
      </c>
      <c r="S189" s="537">
        <v>0.05</v>
      </c>
      <c r="T189" s="537">
        <v>0.05</v>
      </c>
      <c r="U189" s="537">
        <v>0.05</v>
      </c>
      <c r="V189" s="537">
        <v>0.05</v>
      </c>
      <c r="W189" s="537">
        <v>0.05</v>
      </c>
      <c r="X189" s="537">
        <v>0.05</v>
      </c>
      <c r="Y189" s="537">
        <v>0.05</v>
      </c>
      <c r="Z189" s="537">
        <v>0.05</v>
      </c>
      <c r="AA189" s="537">
        <v>0.05</v>
      </c>
      <c r="AB189" s="537">
        <v>0.05</v>
      </c>
      <c r="AC189" s="537">
        <v>0.05</v>
      </c>
      <c r="AD189" s="537">
        <v>0.05</v>
      </c>
      <c r="AE189" s="537">
        <v>0.05</v>
      </c>
      <c r="AF189" s="537">
        <v>0.05</v>
      </c>
      <c r="AG189" s="537">
        <v>0.05</v>
      </c>
      <c r="AH189" s="538">
        <f t="shared" si="146"/>
        <v>0.05</v>
      </c>
      <c r="AI189" s="538">
        <f t="shared" si="146"/>
        <v>0.05</v>
      </c>
      <c r="AJ189" s="538">
        <f t="shared" si="146"/>
        <v>0.05</v>
      </c>
      <c r="AK189" s="538">
        <f t="shared" si="146"/>
        <v>0.05</v>
      </c>
      <c r="AL189" s="538">
        <f t="shared" si="146"/>
        <v>0.05</v>
      </c>
      <c r="AM189" s="538">
        <f t="shared" si="146"/>
        <v>0.05</v>
      </c>
      <c r="AN189" s="538">
        <f t="shared" si="146"/>
        <v>0.05</v>
      </c>
      <c r="AO189" s="538">
        <f t="shared" si="146"/>
        <v>0.05</v>
      </c>
      <c r="AP189" s="538">
        <f t="shared" si="146"/>
        <v>0.05</v>
      </c>
      <c r="AQ189" s="538">
        <f t="shared" si="146"/>
        <v>0.05</v>
      </c>
      <c r="AR189" s="538">
        <f t="shared" si="146"/>
        <v>0.05</v>
      </c>
      <c r="AS189" s="538">
        <f t="shared" si="146"/>
        <v>0.05</v>
      </c>
      <c r="AT189" s="538">
        <f t="shared" si="146"/>
        <v>0.05</v>
      </c>
      <c r="AU189" s="538">
        <f t="shared" si="146"/>
        <v>0.05</v>
      </c>
      <c r="AV189" s="538">
        <f t="shared" si="146"/>
        <v>0.05</v>
      </c>
      <c r="AW189" s="538">
        <f t="shared" si="146"/>
        <v>0.05</v>
      </c>
      <c r="AX189" s="538">
        <f t="shared" si="149"/>
        <v>0.05</v>
      </c>
      <c r="AY189" s="538">
        <f t="shared" si="149"/>
        <v>0.05</v>
      </c>
      <c r="AZ189" s="538">
        <f t="shared" si="149"/>
        <v>0.05</v>
      </c>
      <c r="BA189" s="538">
        <f t="shared" si="149"/>
        <v>0.05</v>
      </c>
      <c r="BB189" s="538">
        <f t="shared" si="149"/>
        <v>0.05</v>
      </c>
      <c r="BC189" s="538">
        <f t="shared" si="149"/>
        <v>0.05</v>
      </c>
      <c r="BD189" s="538">
        <f t="shared" si="149"/>
        <v>0.05</v>
      </c>
      <c r="BE189" s="538">
        <f t="shared" si="149"/>
        <v>0.05</v>
      </c>
      <c r="BF189" s="538">
        <f t="shared" si="149"/>
        <v>0.05</v>
      </c>
      <c r="BG189" s="538">
        <f t="shared" si="149"/>
        <v>0.05</v>
      </c>
      <c r="BH189" s="538">
        <f t="shared" si="149"/>
        <v>0.05</v>
      </c>
      <c r="BI189" s="538">
        <f t="shared" si="149"/>
        <v>0.05</v>
      </c>
      <c r="BJ189" s="538">
        <f t="shared" si="149"/>
        <v>0.05</v>
      </c>
      <c r="BK189" s="538">
        <f t="shared" si="149"/>
        <v>0.05</v>
      </c>
      <c r="BL189" s="538">
        <f t="shared" si="149"/>
        <v>0.05</v>
      </c>
      <c r="BM189" s="538">
        <f t="shared" si="149"/>
        <v>0.05</v>
      </c>
      <c r="BN189" s="538">
        <f t="shared" si="147"/>
        <v>0.05</v>
      </c>
      <c r="BO189" s="538">
        <f t="shared" si="147"/>
        <v>0.05</v>
      </c>
      <c r="BP189" s="538">
        <f t="shared" si="147"/>
        <v>0.05</v>
      </c>
      <c r="BQ189" s="538">
        <f t="shared" si="147"/>
        <v>0.05</v>
      </c>
      <c r="BR189" s="538">
        <f t="shared" si="147"/>
        <v>0.05</v>
      </c>
      <c r="BS189" s="538">
        <f t="shared" si="147"/>
        <v>0.05</v>
      </c>
      <c r="BT189" s="538">
        <f t="shared" si="147"/>
        <v>0.05</v>
      </c>
      <c r="BU189" s="538">
        <f t="shared" si="147"/>
        <v>0.05</v>
      </c>
      <c r="BV189" s="538">
        <f t="shared" si="147"/>
        <v>0.05</v>
      </c>
      <c r="BW189" s="538">
        <f t="shared" si="147"/>
        <v>0.05</v>
      </c>
      <c r="BX189" s="538">
        <f t="shared" si="147"/>
        <v>0.05</v>
      </c>
      <c r="BY189" s="538">
        <f t="shared" si="147"/>
        <v>0.05</v>
      </c>
      <c r="BZ189" s="538">
        <f t="shared" si="147"/>
        <v>0.05</v>
      </c>
      <c r="CA189" s="538">
        <f t="shared" si="147"/>
        <v>0.05</v>
      </c>
      <c r="CB189" s="538">
        <f t="shared" si="147"/>
        <v>0.05</v>
      </c>
      <c r="CC189" s="538">
        <f t="shared" si="147"/>
        <v>0.05</v>
      </c>
      <c r="CD189" s="538">
        <f t="shared" si="148"/>
        <v>0.05</v>
      </c>
      <c r="CE189" s="538">
        <f t="shared" si="148"/>
        <v>0.05</v>
      </c>
      <c r="CG189" s="537">
        <v>0.05</v>
      </c>
      <c r="CH189" s="537">
        <v>0.05</v>
      </c>
      <c r="CI189" s="537">
        <v>0.05</v>
      </c>
      <c r="CJ189" s="537">
        <v>0.05</v>
      </c>
      <c r="CK189" s="537">
        <v>0.05</v>
      </c>
      <c r="CL189" s="537">
        <v>0.05</v>
      </c>
      <c r="CM189" s="537">
        <v>0.05</v>
      </c>
      <c r="CN189" s="537">
        <v>0.05</v>
      </c>
      <c r="CO189" s="537">
        <v>0.05</v>
      </c>
      <c r="CP189" s="537">
        <v>0.05</v>
      </c>
      <c r="CQ189" s="537">
        <v>0.05</v>
      </c>
      <c r="CR189" s="537">
        <v>0.05</v>
      </c>
      <c r="CS189" s="537">
        <v>0.05</v>
      </c>
      <c r="CT189" s="537">
        <v>0.05</v>
      </c>
      <c r="CU189" s="537">
        <v>0.05</v>
      </c>
      <c r="CV189" s="537">
        <v>0.05</v>
      </c>
      <c r="CW189" s="537">
        <v>0.05</v>
      </c>
      <c r="CX189" s="537">
        <v>0.05</v>
      </c>
      <c r="CY189" s="537">
        <v>0.05</v>
      </c>
      <c r="CZ189" s="537">
        <v>0.05</v>
      </c>
      <c r="DA189" s="537">
        <v>0.05</v>
      </c>
      <c r="DB189" s="537">
        <v>0.05</v>
      </c>
      <c r="DC189" s="537">
        <v>0.05</v>
      </c>
      <c r="DD189" s="537">
        <v>0.05</v>
      </c>
      <c r="DE189" s="537">
        <v>0.05</v>
      </c>
      <c r="DF189" s="537">
        <v>0.05</v>
      </c>
      <c r="DG189" s="537">
        <v>0.05</v>
      </c>
      <c r="DH189" s="537">
        <v>0.05</v>
      </c>
    </row>
    <row r="190" spans="2:112">
      <c r="F190" s="539"/>
      <c r="G190" s="539"/>
      <c r="H190" s="539"/>
      <c r="I190" s="539"/>
      <c r="J190" s="539"/>
      <c r="K190" s="539"/>
      <c r="L190" s="539"/>
      <c r="M190" s="539"/>
      <c r="N190" s="539"/>
      <c r="O190" s="539"/>
      <c r="P190" s="539"/>
      <c r="Q190" s="539"/>
      <c r="R190" s="539"/>
      <c r="S190" s="539"/>
      <c r="T190" s="539"/>
      <c r="U190" s="539"/>
      <c r="V190" s="539"/>
      <c r="W190" s="539"/>
      <c r="X190" s="539"/>
      <c r="Y190" s="539"/>
      <c r="Z190" s="539"/>
      <c r="AA190" s="539"/>
      <c r="AB190" s="539"/>
      <c r="AC190" s="539"/>
      <c r="AD190" s="539"/>
      <c r="AE190" s="539"/>
      <c r="AF190" s="539"/>
      <c r="AG190" s="539"/>
      <c r="AH190" s="539"/>
      <c r="AI190" s="539"/>
      <c r="AJ190" s="539"/>
      <c r="AK190" s="539"/>
      <c r="AL190" s="539"/>
      <c r="AM190" s="539"/>
      <c r="AN190" s="539"/>
      <c r="AO190" s="539"/>
      <c r="AP190" s="539"/>
      <c r="AQ190" s="539"/>
      <c r="AR190" s="539"/>
      <c r="AS190" s="539"/>
      <c r="AT190" s="539"/>
      <c r="AU190" s="539"/>
      <c r="AV190" s="539"/>
      <c r="AW190" s="539"/>
      <c r="AX190" s="539"/>
      <c r="AY190" s="539"/>
      <c r="AZ190" s="539"/>
      <c r="BA190" s="539"/>
      <c r="BB190" s="539"/>
      <c r="BC190" s="539"/>
      <c r="BD190" s="539"/>
      <c r="BE190" s="539"/>
      <c r="BF190" s="539"/>
      <c r="BG190" s="539"/>
      <c r="BH190" s="539"/>
      <c r="BI190" s="539"/>
      <c r="BJ190" s="539"/>
      <c r="BK190" s="539"/>
      <c r="BL190" s="539"/>
      <c r="BM190" s="539"/>
      <c r="BN190" s="539"/>
      <c r="BO190" s="539"/>
      <c r="BP190" s="539"/>
      <c r="BQ190" s="539"/>
      <c r="BR190" s="539"/>
      <c r="BS190" s="539"/>
      <c r="BT190" s="539"/>
      <c r="BU190" s="539"/>
      <c r="BV190" s="539"/>
      <c r="BW190" s="539"/>
      <c r="BX190" s="539"/>
      <c r="BY190" s="539"/>
      <c r="BZ190" s="539"/>
      <c r="CA190" s="539"/>
      <c r="CB190" s="539"/>
      <c r="CC190" s="539"/>
      <c r="CD190" s="539"/>
      <c r="CE190" s="539"/>
      <c r="CG190" s="539"/>
      <c r="CH190" s="539"/>
      <c r="CI190" s="539"/>
      <c r="CJ190" s="539"/>
      <c r="CK190" s="539"/>
      <c r="CL190" s="539"/>
      <c r="CM190" s="539"/>
      <c r="CN190" s="539"/>
      <c r="CO190" s="539"/>
      <c r="CP190" s="539"/>
      <c r="CQ190" s="539"/>
      <c r="CR190" s="539"/>
      <c r="CS190" s="539"/>
      <c r="CT190" s="539"/>
      <c r="CU190" s="539"/>
      <c r="CV190" s="539"/>
      <c r="CW190" s="539"/>
      <c r="CX190" s="539"/>
      <c r="CY190" s="539"/>
      <c r="CZ190" s="539"/>
      <c r="DA190" s="539"/>
      <c r="DB190" s="539"/>
      <c r="DC190" s="539"/>
      <c r="DD190" s="539"/>
      <c r="DE190" s="539"/>
      <c r="DF190" s="539"/>
      <c r="DG190" s="539"/>
      <c r="DH190" s="539"/>
    </row>
    <row r="191" spans="2:112">
      <c r="B191" t="s">
        <v>1069</v>
      </c>
      <c r="C191" t="s">
        <v>758</v>
      </c>
      <c r="D191" t="s">
        <v>903</v>
      </c>
      <c r="E191" t="s">
        <v>557</v>
      </c>
      <c r="F191" s="536">
        <v>60615</v>
      </c>
      <c r="G191" s="536">
        <v>60615</v>
      </c>
      <c r="H191" s="536">
        <v>60615</v>
      </c>
      <c r="I191" s="536">
        <v>60615</v>
      </c>
      <c r="J191" s="536">
        <v>60615</v>
      </c>
      <c r="K191" s="536">
        <v>60615</v>
      </c>
      <c r="L191" s="536">
        <v>60615</v>
      </c>
      <c r="M191" s="536">
        <v>60615</v>
      </c>
      <c r="N191" s="536">
        <v>60615</v>
      </c>
      <c r="O191" s="536">
        <v>60615</v>
      </c>
      <c r="P191" s="536">
        <v>60615</v>
      </c>
      <c r="Q191" s="536">
        <v>60615</v>
      </c>
      <c r="R191" s="536">
        <v>60615</v>
      </c>
      <c r="S191" s="536">
        <v>60615</v>
      </c>
      <c r="T191" s="536">
        <v>60615</v>
      </c>
      <c r="U191" s="536">
        <v>60615</v>
      </c>
      <c r="V191" s="536">
        <v>60615</v>
      </c>
      <c r="W191" s="536">
        <v>60615</v>
      </c>
      <c r="X191" s="536">
        <v>60615</v>
      </c>
      <c r="Y191" s="536">
        <v>60615</v>
      </c>
      <c r="Z191" s="536">
        <v>60615</v>
      </c>
      <c r="AA191" s="536">
        <v>60615</v>
      </c>
      <c r="AB191" s="536">
        <v>60615</v>
      </c>
      <c r="AC191" s="536">
        <v>60615</v>
      </c>
      <c r="AD191" s="536">
        <v>60615</v>
      </c>
      <c r="AE191" s="536">
        <v>60615</v>
      </c>
      <c r="AF191" s="536">
        <v>60615</v>
      </c>
      <c r="AG191" s="536">
        <v>60615</v>
      </c>
      <c r="AH191" s="540">
        <f>AG191</f>
        <v>60615</v>
      </c>
      <c r="AI191" s="540">
        <f t="shared" ref="AI191:CE192" si="150">AH191</f>
        <v>60615</v>
      </c>
      <c r="AJ191" s="540">
        <f t="shared" si="150"/>
        <v>60615</v>
      </c>
      <c r="AK191" s="540">
        <f t="shared" si="150"/>
        <v>60615</v>
      </c>
      <c r="AL191" s="540">
        <f t="shared" si="150"/>
        <v>60615</v>
      </c>
      <c r="AM191" s="540">
        <f t="shared" si="150"/>
        <v>60615</v>
      </c>
      <c r="AN191" s="540">
        <f t="shared" si="150"/>
        <v>60615</v>
      </c>
      <c r="AO191" s="540">
        <f t="shared" si="150"/>
        <v>60615</v>
      </c>
      <c r="AP191" s="540">
        <f t="shared" si="150"/>
        <v>60615</v>
      </c>
      <c r="AQ191" s="540">
        <f t="shared" si="150"/>
        <v>60615</v>
      </c>
      <c r="AR191" s="540">
        <f t="shared" si="150"/>
        <v>60615</v>
      </c>
      <c r="AS191" s="540">
        <f t="shared" si="150"/>
        <v>60615</v>
      </c>
      <c r="AT191" s="540">
        <f t="shared" si="150"/>
        <v>60615</v>
      </c>
      <c r="AU191" s="540">
        <f t="shared" si="150"/>
        <v>60615</v>
      </c>
      <c r="AV191" s="540">
        <f t="shared" si="150"/>
        <v>60615</v>
      </c>
      <c r="AW191" s="540">
        <f t="shared" si="150"/>
        <v>60615</v>
      </c>
      <c r="AX191" s="540">
        <f t="shared" si="150"/>
        <v>60615</v>
      </c>
      <c r="AY191" s="540">
        <f t="shared" si="150"/>
        <v>60615</v>
      </c>
      <c r="AZ191" s="540">
        <f t="shared" si="150"/>
        <v>60615</v>
      </c>
      <c r="BA191" s="540">
        <f t="shared" si="150"/>
        <v>60615</v>
      </c>
      <c r="BB191" s="540">
        <f t="shared" si="150"/>
        <v>60615</v>
      </c>
      <c r="BC191" s="540">
        <f t="shared" si="150"/>
        <v>60615</v>
      </c>
      <c r="BD191" s="540">
        <f t="shared" si="150"/>
        <v>60615</v>
      </c>
      <c r="BE191" s="540">
        <f t="shared" si="150"/>
        <v>60615</v>
      </c>
      <c r="BF191" s="540">
        <f t="shared" si="150"/>
        <v>60615</v>
      </c>
      <c r="BG191" s="540">
        <f t="shared" si="150"/>
        <v>60615</v>
      </c>
      <c r="BH191" s="540">
        <f t="shared" si="150"/>
        <v>60615</v>
      </c>
      <c r="BI191" s="540">
        <f t="shared" si="150"/>
        <v>60615</v>
      </c>
      <c r="BJ191" s="540">
        <f t="shared" si="150"/>
        <v>60615</v>
      </c>
      <c r="BK191" s="540">
        <f t="shared" si="150"/>
        <v>60615</v>
      </c>
      <c r="BL191" s="540">
        <f t="shared" si="150"/>
        <v>60615</v>
      </c>
      <c r="BM191" s="540">
        <f t="shared" si="150"/>
        <v>60615</v>
      </c>
      <c r="BN191" s="540">
        <f t="shared" si="150"/>
        <v>60615</v>
      </c>
      <c r="BO191" s="540">
        <f t="shared" si="150"/>
        <v>60615</v>
      </c>
      <c r="BP191" s="540">
        <f t="shared" si="150"/>
        <v>60615</v>
      </c>
      <c r="BQ191" s="540">
        <f t="shared" si="150"/>
        <v>60615</v>
      </c>
      <c r="BR191" s="540">
        <f t="shared" si="150"/>
        <v>60615</v>
      </c>
      <c r="BS191" s="540">
        <f t="shared" si="150"/>
        <v>60615</v>
      </c>
      <c r="BT191" s="540">
        <f t="shared" si="150"/>
        <v>60615</v>
      </c>
      <c r="BU191" s="540">
        <f t="shared" si="150"/>
        <v>60615</v>
      </c>
      <c r="BV191" s="540">
        <f t="shared" si="150"/>
        <v>60615</v>
      </c>
      <c r="BW191" s="540">
        <f t="shared" si="150"/>
        <v>60615</v>
      </c>
      <c r="BX191" s="540">
        <f t="shared" si="150"/>
        <v>60615</v>
      </c>
      <c r="BY191" s="540">
        <f t="shared" si="150"/>
        <v>60615</v>
      </c>
      <c r="BZ191" s="540">
        <f t="shared" si="150"/>
        <v>60615</v>
      </c>
      <c r="CA191" s="540">
        <f t="shared" si="150"/>
        <v>60615</v>
      </c>
      <c r="CB191" s="540">
        <f t="shared" si="150"/>
        <v>60615</v>
      </c>
      <c r="CC191" s="540">
        <f t="shared" si="150"/>
        <v>60615</v>
      </c>
      <c r="CD191" s="540">
        <f t="shared" si="150"/>
        <v>60615</v>
      </c>
      <c r="CE191" s="540">
        <f t="shared" si="150"/>
        <v>60615</v>
      </c>
      <c r="CG191" s="536">
        <v>60615</v>
      </c>
      <c r="CH191" s="536">
        <v>60615</v>
      </c>
      <c r="CI191" s="536">
        <v>60615</v>
      </c>
      <c r="CJ191" s="536">
        <v>60615</v>
      </c>
      <c r="CK191" s="536">
        <v>60615</v>
      </c>
      <c r="CL191" s="536">
        <v>60615</v>
      </c>
      <c r="CM191" s="536">
        <v>60615</v>
      </c>
      <c r="CN191" s="536">
        <v>60615</v>
      </c>
      <c r="CO191" s="536">
        <v>60615</v>
      </c>
      <c r="CP191" s="536">
        <v>60615</v>
      </c>
      <c r="CQ191" s="536">
        <v>60615</v>
      </c>
      <c r="CR191" s="536">
        <v>60615</v>
      </c>
      <c r="CS191" s="536">
        <v>60615</v>
      </c>
      <c r="CT191" s="536">
        <v>60615</v>
      </c>
      <c r="CU191" s="536">
        <v>60615</v>
      </c>
      <c r="CV191" s="536">
        <v>60615</v>
      </c>
      <c r="CW191" s="536">
        <v>60615</v>
      </c>
      <c r="CX191" s="536">
        <v>60615</v>
      </c>
      <c r="CY191" s="536">
        <v>60615</v>
      </c>
      <c r="CZ191" s="536">
        <v>60615</v>
      </c>
      <c r="DA191" s="536">
        <v>60615</v>
      </c>
      <c r="DB191" s="536">
        <v>60615</v>
      </c>
      <c r="DC191" s="536">
        <v>60615</v>
      </c>
      <c r="DD191" s="536">
        <v>60615</v>
      </c>
      <c r="DE191" s="536">
        <v>60615</v>
      </c>
      <c r="DF191" s="536">
        <v>60615</v>
      </c>
      <c r="DG191" s="536">
        <v>60615</v>
      </c>
      <c r="DH191" s="536">
        <v>60615</v>
      </c>
    </row>
    <row r="192" spans="2:112">
      <c r="B192" t="s">
        <v>1070</v>
      </c>
      <c r="C192" t="s">
        <v>758</v>
      </c>
      <c r="D192" t="s">
        <v>905</v>
      </c>
      <c r="E192" t="s">
        <v>557</v>
      </c>
      <c r="F192" s="536">
        <v>62307.490909090928</v>
      </c>
      <c r="G192" s="536">
        <v>62307.490909090928</v>
      </c>
      <c r="H192" s="536">
        <v>62307.490909090928</v>
      </c>
      <c r="I192" s="536">
        <v>62307.490909090928</v>
      </c>
      <c r="J192" s="536">
        <v>62307.490909090928</v>
      </c>
      <c r="K192" s="536">
        <v>62307.490909090928</v>
      </c>
      <c r="L192" s="536">
        <v>62307.490909090928</v>
      </c>
      <c r="M192" s="536">
        <v>62307.490909090928</v>
      </c>
      <c r="N192" s="536">
        <v>62307.490909090928</v>
      </c>
      <c r="O192" s="536">
        <v>62307.490909090928</v>
      </c>
      <c r="P192" s="536">
        <v>62307.490909090928</v>
      </c>
      <c r="Q192" s="536">
        <v>62307.490909090928</v>
      </c>
      <c r="R192" s="536">
        <v>62307.490909090928</v>
      </c>
      <c r="S192" s="536">
        <v>62307.490909090928</v>
      </c>
      <c r="T192" s="536">
        <v>62307.490909090928</v>
      </c>
      <c r="U192" s="536">
        <v>62307.490909090928</v>
      </c>
      <c r="V192" s="536">
        <v>62307.490909090928</v>
      </c>
      <c r="W192" s="536">
        <v>62307.490909090928</v>
      </c>
      <c r="X192" s="536">
        <v>62307.490909090928</v>
      </c>
      <c r="Y192" s="536">
        <v>62307.490909090928</v>
      </c>
      <c r="Z192" s="536">
        <v>62307.490909090928</v>
      </c>
      <c r="AA192" s="536">
        <v>62307.490909090928</v>
      </c>
      <c r="AB192" s="536">
        <v>62307.490909090928</v>
      </c>
      <c r="AC192" s="536">
        <v>62307.490909090928</v>
      </c>
      <c r="AD192" s="536">
        <v>62307.490909090928</v>
      </c>
      <c r="AE192" s="536">
        <v>62307.490909090928</v>
      </c>
      <c r="AF192" s="536">
        <v>62307.490909090928</v>
      </c>
      <c r="AG192" s="536">
        <v>62307.490909090928</v>
      </c>
      <c r="AH192" s="540">
        <f>AG192</f>
        <v>62307.490909090928</v>
      </c>
      <c r="AI192" s="540">
        <f t="shared" si="150"/>
        <v>62307.490909090928</v>
      </c>
      <c r="AJ192" s="540">
        <f t="shared" si="150"/>
        <v>62307.490909090928</v>
      </c>
      <c r="AK192" s="540">
        <f t="shared" si="150"/>
        <v>62307.490909090928</v>
      </c>
      <c r="AL192" s="540">
        <f t="shared" si="150"/>
        <v>62307.490909090928</v>
      </c>
      <c r="AM192" s="540">
        <f t="shared" si="150"/>
        <v>62307.490909090928</v>
      </c>
      <c r="AN192" s="540">
        <f t="shared" si="150"/>
        <v>62307.490909090928</v>
      </c>
      <c r="AO192" s="540">
        <f t="shared" si="150"/>
        <v>62307.490909090928</v>
      </c>
      <c r="AP192" s="540">
        <f t="shared" si="150"/>
        <v>62307.490909090928</v>
      </c>
      <c r="AQ192" s="540">
        <f t="shared" si="150"/>
        <v>62307.490909090928</v>
      </c>
      <c r="AR192" s="540">
        <f t="shared" si="150"/>
        <v>62307.490909090928</v>
      </c>
      <c r="AS192" s="540">
        <f t="shared" si="150"/>
        <v>62307.490909090928</v>
      </c>
      <c r="AT192" s="540">
        <f t="shared" si="150"/>
        <v>62307.490909090928</v>
      </c>
      <c r="AU192" s="540">
        <f t="shared" si="150"/>
        <v>62307.490909090928</v>
      </c>
      <c r="AV192" s="540">
        <f t="shared" si="150"/>
        <v>62307.490909090928</v>
      </c>
      <c r="AW192" s="540">
        <f t="shared" si="150"/>
        <v>62307.490909090928</v>
      </c>
      <c r="AX192" s="540">
        <f t="shared" si="150"/>
        <v>62307.490909090928</v>
      </c>
      <c r="AY192" s="540">
        <f t="shared" si="150"/>
        <v>62307.490909090928</v>
      </c>
      <c r="AZ192" s="540">
        <f t="shared" si="150"/>
        <v>62307.490909090928</v>
      </c>
      <c r="BA192" s="540">
        <f t="shared" si="150"/>
        <v>62307.490909090928</v>
      </c>
      <c r="BB192" s="540">
        <f t="shared" si="150"/>
        <v>62307.490909090928</v>
      </c>
      <c r="BC192" s="540">
        <f t="shared" si="150"/>
        <v>62307.490909090928</v>
      </c>
      <c r="BD192" s="540">
        <f t="shared" si="150"/>
        <v>62307.490909090928</v>
      </c>
      <c r="BE192" s="540">
        <f t="shared" si="150"/>
        <v>62307.490909090928</v>
      </c>
      <c r="BF192" s="540">
        <f t="shared" si="150"/>
        <v>62307.490909090928</v>
      </c>
      <c r="BG192" s="540">
        <f t="shared" si="150"/>
        <v>62307.490909090928</v>
      </c>
      <c r="BH192" s="540">
        <f t="shared" si="150"/>
        <v>62307.490909090928</v>
      </c>
      <c r="BI192" s="540">
        <f t="shared" si="150"/>
        <v>62307.490909090928</v>
      </c>
      <c r="BJ192" s="540">
        <f t="shared" si="150"/>
        <v>62307.490909090928</v>
      </c>
      <c r="BK192" s="540">
        <f t="shared" si="150"/>
        <v>62307.490909090928</v>
      </c>
      <c r="BL192" s="540">
        <f t="shared" si="150"/>
        <v>62307.490909090928</v>
      </c>
      <c r="BM192" s="540">
        <f t="shared" si="150"/>
        <v>62307.490909090928</v>
      </c>
      <c r="BN192" s="540">
        <f t="shared" si="150"/>
        <v>62307.490909090928</v>
      </c>
      <c r="BO192" s="540">
        <f t="shared" si="150"/>
        <v>62307.490909090928</v>
      </c>
      <c r="BP192" s="540">
        <f t="shared" si="150"/>
        <v>62307.490909090928</v>
      </c>
      <c r="BQ192" s="540">
        <f t="shared" si="150"/>
        <v>62307.490909090928</v>
      </c>
      <c r="BR192" s="540">
        <f t="shared" si="150"/>
        <v>62307.490909090928</v>
      </c>
      <c r="BS192" s="540">
        <f t="shared" si="150"/>
        <v>62307.490909090928</v>
      </c>
      <c r="BT192" s="540">
        <f t="shared" si="150"/>
        <v>62307.490909090928</v>
      </c>
      <c r="BU192" s="540">
        <f t="shared" si="150"/>
        <v>62307.490909090928</v>
      </c>
      <c r="BV192" s="540">
        <f t="shared" si="150"/>
        <v>62307.490909090928</v>
      </c>
      <c r="BW192" s="540">
        <f t="shared" si="150"/>
        <v>62307.490909090928</v>
      </c>
      <c r="BX192" s="540">
        <f t="shared" si="150"/>
        <v>62307.490909090928</v>
      </c>
      <c r="BY192" s="540">
        <f t="shared" si="150"/>
        <v>62307.490909090928</v>
      </c>
      <c r="BZ192" s="540">
        <f t="shared" si="150"/>
        <v>62307.490909090928</v>
      </c>
      <c r="CA192" s="540">
        <f t="shared" si="150"/>
        <v>62307.490909090928</v>
      </c>
      <c r="CB192" s="540">
        <f t="shared" si="150"/>
        <v>62307.490909090928</v>
      </c>
      <c r="CC192" s="540">
        <f t="shared" si="150"/>
        <v>62307.490909090928</v>
      </c>
      <c r="CD192" s="540">
        <f t="shared" si="150"/>
        <v>62307.490909090928</v>
      </c>
      <c r="CE192" s="540">
        <f t="shared" si="150"/>
        <v>62307.490909090928</v>
      </c>
      <c r="CG192" s="536">
        <v>62307.490909090928</v>
      </c>
      <c r="CH192" s="536">
        <v>62307.490909090928</v>
      </c>
      <c r="CI192" s="536">
        <v>62307.490909090928</v>
      </c>
      <c r="CJ192" s="536">
        <v>62307.490909090928</v>
      </c>
      <c r="CK192" s="536">
        <v>62307.490909090928</v>
      </c>
      <c r="CL192" s="536">
        <v>62307.490909090928</v>
      </c>
      <c r="CM192" s="536">
        <v>62307.490909090928</v>
      </c>
      <c r="CN192" s="536">
        <v>62307.490909090928</v>
      </c>
      <c r="CO192" s="536">
        <v>62307.490909090928</v>
      </c>
      <c r="CP192" s="536">
        <v>62307.490909090928</v>
      </c>
      <c r="CQ192" s="536">
        <v>62307.490909090928</v>
      </c>
      <c r="CR192" s="536">
        <v>62307.490909090928</v>
      </c>
      <c r="CS192" s="536">
        <v>62307.490909090928</v>
      </c>
      <c r="CT192" s="536">
        <v>62307.490909090928</v>
      </c>
      <c r="CU192" s="536">
        <v>62307.490909090928</v>
      </c>
      <c r="CV192" s="536">
        <v>62307.490909090928</v>
      </c>
      <c r="CW192" s="536">
        <v>62307.490909090928</v>
      </c>
      <c r="CX192" s="536">
        <v>62307.490909090928</v>
      </c>
      <c r="CY192" s="536">
        <v>62307.490909090928</v>
      </c>
      <c r="CZ192" s="536">
        <v>62307.490909090928</v>
      </c>
      <c r="DA192" s="536">
        <v>62307.490909090928</v>
      </c>
      <c r="DB192" s="536">
        <v>62307.490909090928</v>
      </c>
      <c r="DC192" s="536">
        <v>62307.490909090928</v>
      </c>
      <c r="DD192" s="536">
        <v>62307.490909090928</v>
      </c>
      <c r="DE192" s="536">
        <v>62307.490909090928</v>
      </c>
      <c r="DF192" s="536">
        <v>62307.490909090928</v>
      </c>
      <c r="DG192" s="536">
        <v>62307.490909090928</v>
      </c>
      <c r="DH192" s="536">
        <v>62307.490909090928</v>
      </c>
    </row>
    <row r="194" spans="2:112">
      <c r="B194" t="s">
        <v>1071</v>
      </c>
      <c r="C194" t="s">
        <v>758</v>
      </c>
      <c r="D194" t="s">
        <v>907</v>
      </c>
      <c r="E194" t="s">
        <v>908</v>
      </c>
      <c r="F194" s="541">
        <v>55.04</v>
      </c>
      <c r="G194" s="541">
        <v>55.04</v>
      </c>
      <c r="H194" s="541">
        <v>55.04</v>
      </c>
      <c r="I194" s="541">
        <v>55.04</v>
      </c>
      <c r="J194" s="541">
        <v>55.04</v>
      </c>
      <c r="K194" s="541">
        <v>55.04</v>
      </c>
      <c r="L194" s="541">
        <v>55.04</v>
      </c>
      <c r="M194" s="541">
        <v>55.04</v>
      </c>
      <c r="N194" s="541">
        <v>55.04</v>
      </c>
      <c r="O194" s="541">
        <v>55.04</v>
      </c>
      <c r="P194" s="541">
        <v>55.04</v>
      </c>
      <c r="Q194" s="541">
        <v>55.04</v>
      </c>
      <c r="R194" s="541">
        <v>55.04</v>
      </c>
      <c r="S194" s="541">
        <v>55.04</v>
      </c>
      <c r="T194" s="541">
        <v>55.04</v>
      </c>
      <c r="U194" s="541">
        <v>55.04</v>
      </c>
      <c r="V194" s="541">
        <v>55.04</v>
      </c>
      <c r="W194" s="541">
        <v>55.04</v>
      </c>
      <c r="X194" s="541">
        <v>55.04</v>
      </c>
      <c r="Y194" s="541">
        <v>55.04</v>
      </c>
      <c r="Z194" s="541">
        <v>55.04</v>
      </c>
      <c r="AA194" s="541">
        <v>55.04</v>
      </c>
      <c r="AB194" s="541">
        <v>55.04</v>
      </c>
      <c r="AC194" s="541">
        <v>55.04</v>
      </c>
      <c r="AD194" s="541">
        <v>55.04</v>
      </c>
      <c r="AE194" s="541">
        <v>55.04</v>
      </c>
      <c r="AF194" s="541">
        <v>55.04</v>
      </c>
      <c r="AG194" s="541">
        <v>55.04</v>
      </c>
      <c r="AH194" s="542">
        <f>AG194</f>
        <v>55.04</v>
      </c>
      <c r="AI194" s="542">
        <f t="shared" ref="AI194:AX194" si="151">AH194</f>
        <v>55.04</v>
      </c>
      <c r="AJ194" s="542">
        <f t="shared" si="151"/>
        <v>55.04</v>
      </c>
      <c r="AK194" s="542">
        <f t="shared" si="151"/>
        <v>55.04</v>
      </c>
      <c r="AL194" s="542">
        <f t="shared" si="151"/>
        <v>55.04</v>
      </c>
      <c r="AM194" s="542">
        <f t="shared" si="151"/>
        <v>55.04</v>
      </c>
      <c r="AN194" s="542">
        <f t="shared" si="151"/>
        <v>55.04</v>
      </c>
      <c r="AO194" s="542">
        <f t="shared" si="151"/>
        <v>55.04</v>
      </c>
      <c r="AP194" s="542">
        <f t="shared" si="151"/>
        <v>55.04</v>
      </c>
      <c r="AQ194" s="542">
        <f t="shared" si="151"/>
        <v>55.04</v>
      </c>
      <c r="AR194" s="542">
        <f t="shared" si="151"/>
        <v>55.04</v>
      </c>
      <c r="AS194" s="542">
        <f t="shared" si="151"/>
        <v>55.04</v>
      </c>
      <c r="AT194" s="542">
        <f t="shared" si="151"/>
        <v>55.04</v>
      </c>
      <c r="AU194" s="542">
        <f t="shared" si="151"/>
        <v>55.04</v>
      </c>
      <c r="AV194" s="542">
        <f t="shared" si="151"/>
        <v>55.04</v>
      </c>
      <c r="AW194" s="542">
        <f t="shared" si="151"/>
        <v>55.04</v>
      </c>
      <c r="AX194" s="542">
        <f t="shared" si="151"/>
        <v>55.04</v>
      </c>
      <c r="AY194" s="542">
        <f t="shared" ref="AY194:BN194" si="152">AX194</f>
        <v>55.04</v>
      </c>
      <c r="AZ194" s="542">
        <f t="shared" si="152"/>
        <v>55.04</v>
      </c>
      <c r="BA194" s="542">
        <f t="shared" si="152"/>
        <v>55.04</v>
      </c>
      <c r="BB194" s="542">
        <f t="shared" si="152"/>
        <v>55.04</v>
      </c>
      <c r="BC194" s="542">
        <f t="shared" si="152"/>
        <v>55.04</v>
      </c>
      <c r="BD194" s="542">
        <f t="shared" si="152"/>
        <v>55.04</v>
      </c>
      <c r="BE194" s="542">
        <f t="shared" si="152"/>
        <v>55.04</v>
      </c>
      <c r="BF194" s="542">
        <f t="shared" si="152"/>
        <v>55.04</v>
      </c>
      <c r="BG194" s="542">
        <f t="shared" si="152"/>
        <v>55.04</v>
      </c>
      <c r="BH194" s="542">
        <f t="shared" si="152"/>
        <v>55.04</v>
      </c>
      <c r="BI194" s="542">
        <f t="shared" si="152"/>
        <v>55.04</v>
      </c>
      <c r="BJ194" s="542">
        <f t="shared" si="152"/>
        <v>55.04</v>
      </c>
      <c r="BK194" s="542">
        <f t="shared" si="152"/>
        <v>55.04</v>
      </c>
      <c r="BL194" s="542">
        <f t="shared" si="152"/>
        <v>55.04</v>
      </c>
      <c r="BM194" s="542">
        <f t="shared" si="152"/>
        <v>55.04</v>
      </c>
      <c r="BN194" s="542">
        <f t="shared" si="152"/>
        <v>55.04</v>
      </c>
      <c r="BO194" s="542">
        <f t="shared" ref="BO194:CD194" si="153">BN194</f>
        <v>55.04</v>
      </c>
      <c r="BP194" s="542">
        <f t="shared" si="153"/>
        <v>55.04</v>
      </c>
      <c r="BQ194" s="542">
        <f t="shared" si="153"/>
        <v>55.04</v>
      </c>
      <c r="BR194" s="542">
        <f t="shared" si="153"/>
        <v>55.04</v>
      </c>
      <c r="BS194" s="542">
        <f t="shared" si="153"/>
        <v>55.04</v>
      </c>
      <c r="BT194" s="542">
        <f t="shared" si="153"/>
        <v>55.04</v>
      </c>
      <c r="BU194" s="542">
        <f t="shared" si="153"/>
        <v>55.04</v>
      </c>
      <c r="BV194" s="542">
        <f t="shared" si="153"/>
        <v>55.04</v>
      </c>
      <c r="BW194" s="542">
        <f t="shared" si="153"/>
        <v>55.04</v>
      </c>
      <c r="BX194" s="542">
        <f t="shared" si="153"/>
        <v>55.04</v>
      </c>
      <c r="BY194" s="542">
        <f t="shared" si="153"/>
        <v>55.04</v>
      </c>
      <c r="BZ194" s="542">
        <f t="shared" si="153"/>
        <v>55.04</v>
      </c>
      <c r="CA194" s="542">
        <f t="shared" si="153"/>
        <v>55.04</v>
      </c>
      <c r="CB194" s="542">
        <f t="shared" si="153"/>
        <v>55.04</v>
      </c>
      <c r="CC194" s="542">
        <f t="shared" si="153"/>
        <v>55.04</v>
      </c>
      <c r="CD194" s="542">
        <f t="shared" si="153"/>
        <v>55.04</v>
      </c>
      <c r="CE194" s="542">
        <f t="shared" ref="AX194:CE201" si="154">CD194</f>
        <v>55.04</v>
      </c>
      <c r="CG194" s="541">
        <v>55.04</v>
      </c>
      <c r="CH194" s="541">
        <v>55.04</v>
      </c>
      <c r="CI194" s="541">
        <v>55.04</v>
      </c>
      <c r="CJ194" s="541">
        <v>55.04</v>
      </c>
      <c r="CK194" s="541">
        <v>55.04</v>
      </c>
      <c r="CL194" s="541">
        <v>55.04</v>
      </c>
      <c r="CM194" s="541">
        <v>55.04</v>
      </c>
      <c r="CN194" s="541">
        <v>55.04</v>
      </c>
      <c r="CO194" s="541">
        <v>55.04</v>
      </c>
      <c r="CP194" s="541">
        <v>55.04</v>
      </c>
      <c r="CQ194" s="541">
        <v>55.04</v>
      </c>
      <c r="CR194" s="541">
        <v>55.04</v>
      </c>
      <c r="CS194" s="541">
        <v>55.04</v>
      </c>
      <c r="CT194" s="541">
        <v>55.04</v>
      </c>
      <c r="CU194" s="541">
        <v>55.04</v>
      </c>
      <c r="CV194" s="541">
        <v>55.04</v>
      </c>
      <c r="CW194" s="541">
        <v>55.04</v>
      </c>
      <c r="CX194" s="541">
        <v>55.04</v>
      </c>
      <c r="CY194" s="541">
        <v>55.04</v>
      </c>
      <c r="CZ194" s="541">
        <v>55.04</v>
      </c>
      <c r="DA194" s="541">
        <v>55.04</v>
      </c>
      <c r="DB194" s="541">
        <v>55.04</v>
      </c>
      <c r="DC194" s="541">
        <v>55.04</v>
      </c>
      <c r="DD194" s="541">
        <v>55.04</v>
      </c>
      <c r="DE194" s="541">
        <v>55.04</v>
      </c>
      <c r="DF194" s="541">
        <v>55.04</v>
      </c>
      <c r="DG194" s="541">
        <v>55.04</v>
      </c>
      <c r="DH194" s="541">
        <v>55.04</v>
      </c>
    </row>
    <row r="195" spans="2:112">
      <c r="B195" t="s">
        <v>1072</v>
      </c>
      <c r="C195" t="s">
        <v>758</v>
      </c>
      <c r="D195" t="s">
        <v>910</v>
      </c>
      <c r="E195" t="s">
        <v>911</v>
      </c>
      <c r="F195" s="541">
        <v>2.9090458181818182</v>
      </c>
      <c r="G195" s="541">
        <v>2.9090458181818182</v>
      </c>
      <c r="H195" s="541">
        <v>2.9090458181818182</v>
      </c>
      <c r="I195" s="541">
        <v>2.9090458181818182</v>
      </c>
      <c r="J195" s="541">
        <v>2.9090458181818182</v>
      </c>
      <c r="K195" s="541">
        <v>2.9090458181818182</v>
      </c>
      <c r="L195" s="541">
        <v>2.9090458181818182</v>
      </c>
      <c r="M195" s="541">
        <v>2.9090458181818182</v>
      </c>
      <c r="N195" s="541">
        <v>2.9090458181818182</v>
      </c>
      <c r="O195" s="541">
        <v>2.9090458181818182</v>
      </c>
      <c r="P195" s="541">
        <v>2.9090458181818182</v>
      </c>
      <c r="Q195" s="541">
        <v>2.9090458181818182</v>
      </c>
      <c r="R195" s="541">
        <v>2.9090458181818182</v>
      </c>
      <c r="S195" s="541">
        <v>2.9090458181818182</v>
      </c>
      <c r="T195" s="541">
        <v>2.9090458181818182</v>
      </c>
      <c r="U195" s="541">
        <v>2.9090458181818182</v>
      </c>
      <c r="V195" s="541">
        <v>2.9090458181818182</v>
      </c>
      <c r="W195" s="541">
        <v>2.9090458181818182</v>
      </c>
      <c r="X195" s="541">
        <v>2.9090458181818182</v>
      </c>
      <c r="Y195" s="541">
        <v>2.9090458181818182</v>
      </c>
      <c r="Z195" s="541">
        <v>2.9090458181818182</v>
      </c>
      <c r="AA195" s="541">
        <v>2.9090458181818182</v>
      </c>
      <c r="AB195" s="541">
        <v>2.9090458181818182</v>
      </c>
      <c r="AC195" s="541">
        <v>2.9090458181818182</v>
      </c>
      <c r="AD195" s="541">
        <v>2.9090458181818182</v>
      </c>
      <c r="AE195" s="541">
        <v>2.9090458181818182</v>
      </c>
      <c r="AF195" s="541">
        <v>2.9090458181818182</v>
      </c>
      <c r="AG195" s="541">
        <v>2.9090458181818182</v>
      </c>
      <c r="AH195" s="542">
        <f t="shared" ref="AH195:AW201" si="155">AG195</f>
        <v>2.9090458181818182</v>
      </c>
      <c r="AI195" s="542">
        <f t="shared" si="155"/>
        <v>2.9090458181818182</v>
      </c>
      <c r="AJ195" s="542">
        <f t="shared" si="155"/>
        <v>2.9090458181818182</v>
      </c>
      <c r="AK195" s="542">
        <f t="shared" si="155"/>
        <v>2.9090458181818182</v>
      </c>
      <c r="AL195" s="542">
        <f t="shared" si="155"/>
        <v>2.9090458181818182</v>
      </c>
      <c r="AM195" s="542">
        <f t="shared" si="155"/>
        <v>2.9090458181818182</v>
      </c>
      <c r="AN195" s="542">
        <f t="shared" si="155"/>
        <v>2.9090458181818182</v>
      </c>
      <c r="AO195" s="542">
        <f t="shared" si="155"/>
        <v>2.9090458181818182</v>
      </c>
      <c r="AP195" s="542">
        <f t="shared" si="155"/>
        <v>2.9090458181818182</v>
      </c>
      <c r="AQ195" s="542">
        <f t="shared" si="155"/>
        <v>2.9090458181818182</v>
      </c>
      <c r="AR195" s="542">
        <f t="shared" si="155"/>
        <v>2.9090458181818182</v>
      </c>
      <c r="AS195" s="542">
        <f t="shared" si="155"/>
        <v>2.9090458181818182</v>
      </c>
      <c r="AT195" s="542">
        <f t="shared" si="155"/>
        <v>2.9090458181818182</v>
      </c>
      <c r="AU195" s="542">
        <f t="shared" si="155"/>
        <v>2.9090458181818182</v>
      </c>
      <c r="AV195" s="542">
        <f t="shared" si="155"/>
        <v>2.9090458181818182</v>
      </c>
      <c r="AW195" s="542">
        <f t="shared" si="155"/>
        <v>2.9090458181818182</v>
      </c>
      <c r="AX195" s="542">
        <f t="shared" si="154"/>
        <v>2.9090458181818182</v>
      </c>
      <c r="AY195" s="542">
        <f t="shared" si="154"/>
        <v>2.9090458181818182</v>
      </c>
      <c r="AZ195" s="542">
        <f t="shared" si="154"/>
        <v>2.9090458181818182</v>
      </c>
      <c r="BA195" s="542">
        <f t="shared" si="154"/>
        <v>2.9090458181818182</v>
      </c>
      <c r="BB195" s="542">
        <f t="shared" si="154"/>
        <v>2.9090458181818182</v>
      </c>
      <c r="BC195" s="542">
        <f t="shared" si="154"/>
        <v>2.9090458181818182</v>
      </c>
      <c r="BD195" s="542">
        <f t="shared" si="154"/>
        <v>2.9090458181818182</v>
      </c>
      <c r="BE195" s="542">
        <f t="shared" si="154"/>
        <v>2.9090458181818182</v>
      </c>
      <c r="BF195" s="542">
        <f t="shared" si="154"/>
        <v>2.9090458181818182</v>
      </c>
      <c r="BG195" s="542">
        <f t="shared" si="154"/>
        <v>2.9090458181818182</v>
      </c>
      <c r="BH195" s="542">
        <f t="shared" si="154"/>
        <v>2.9090458181818182</v>
      </c>
      <c r="BI195" s="542">
        <f t="shared" si="154"/>
        <v>2.9090458181818182</v>
      </c>
      <c r="BJ195" s="542">
        <f t="shared" si="154"/>
        <v>2.9090458181818182</v>
      </c>
      <c r="BK195" s="542">
        <f t="shared" si="154"/>
        <v>2.9090458181818182</v>
      </c>
      <c r="BL195" s="542">
        <f t="shared" si="154"/>
        <v>2.9090458181818182</v>
      </c>
      <c r="BM195" s="542">
        <f t="shared" si="154"/>
        <v>2.9090458181818182</v>
      </c>
      <c r="BN195" s="542">
        <f t="shared" si="154"/>
        <v>2.9090458181818182</v>
      </c>
      <c r="BO195" s="542">
        <f t="shared" si="154"/>
        <v>2.9090458181818182</v>
      </c>
      <c r="BP195" s="542">
        <f t="shared" si="154"/>
        <v>2.9090458181818182</v>
      </c>
      <c r="BQ195" s="542">
        <f t="shared" si="154"/>
        <v>2.9090458181818182</v>
      </c>
      <c r="BR195" s="542">
        <f t="shared" si="154"/>
        <v>2.9090458181818182</v>
      </c>
      <c r="BS195" s="542">
        <f t="shared" si="154"/>
        <v>2.9090458181818182</v>
      </c>
      <c r="BT195" s="542">
        <f t="shared" si="154"/>
        <v>2.9090458181818182</v>
      </c>
      <c r="BU195" s="542">
        <f t="shared" si="154"/>
        <v>2.9090458181818182</v>
      </c>
      <c r="BV195" s="542">
        <f t="shared" si="154"/>
        <v>2.9090458181818182</v>
      </c>
      <c r="BW195" s="542">
        <f t="shared" si="154"/>
        <v>2.9090458181818182</v>
      </c>
      <c r="BX195" s="542">
        <f t="shared" si="154"/>
        <v>2.9090458181818182</v>
      </c>
      <c r="BY195" s="542">
        <f t="shared" si="154"/>
        <v>2.9090458181818182</v>
      </c>
      <c r="BZ195" s="542">
        <f t="shared" si="154"/>
        <v>2.9090458181818182</v>
      </c>
      <c r="CA195" s="542">
        <f t="shared" si="154"/>
        <v>2.9090458181818182</v>
      </c>
      <c r="CB195" s="542">
        <f t="shared" si="154"/>
        <v>2.9090458181818182</v>
      </c>
      <c r="CC195" s="542">
        <f t="shared" si="154"/>
        <v>2.9090458181818182</v>
      </c>
      <c r="CD195" s="542">
        <f t="shared" si="154"/>
        <v>2.9090458181818182</v>
      </c>
      <c r="CE195" s="542">
        <f t="shared" si="154"/>
        <v>2.9090458181818182</v>
      </c>
      <c r="CG195" s="541">
        <v>2.9090458181818182</v>
      </c>
      <c r="CH195" s="541">
        <v>2.9090458181818182</v>
      </c>
      <c r="CI195" s="541">
        <v>2.9090458181818182</v>
      </c>
      <c r="CJ195" s="541">
        <v>2.9090458181818182</v>
      </c>
      <c r="CK195" s="541">
        <v>2.9090458181818182</v>
      </c>
      <c r="CL195" s="541">
        <v>2.9090458181818182</v>
      </c>
      <c r="CM195" s="541">
        <v>2.9090458181818182</v>
      </c>
      <c r="CN195" s="541">
        <v>2.9090458181818182</v>
      </c>
      <c r="CO195" s="541">
        <v>2.9090458181818182</v>
      </c>
      <c r="CP195" s="541">
        <v>2.9090458181818182</v>
      </c>
      <c r="CQ195" s="541">
        <v>2.9090458181818182</v>
      </c>
      <c r="CR195" s="541">
        <v>2.9090458181818182</v>
      </c>
      <c r="CS195" s="541">
        <v>2.9090458181818182</v>
      </c>
      <c r="CT195" s="541">
        <v>2.9090458181818182</v>
      </c>
      <c r="CU195" s="541">
        <v>2.9090458181818182</v>
      </c>
      <c r="CV195" s="541">
        <v>2.9090458181818182</v>
      </c>
      <c r="CW195" s="541">
        <v>2.9090458181818182</v>
      </c>
      <c r="CX195" s="541">
        <v>2.9090458181818182</v>
      </c>
      <c r="CY195" s="541">
        <v>2.9090458181818182</v>
      </c>
      <c r="CZ195" s="541">
        <v>2.9090458181818182</v>
      </c>
      <c r="DA195" s="541">
        <v>2.9090458181818182</v>
      </c>
      <c r="DB195" s="541">
        <v>2.9090458181818182</v>
      </c>
      <c r="DC195" s="541">
        <v>2.9090458181818182</v>
      </c>
      <c r="DD195" s="541">
        <v>2.9090458181818182</v>
      </c>
      <c r="DE195" s="541">
        <v>2.9090458181818182</v>
      </c>
      <c r="DF195" s="541">
        <v>2.9090458181818182</v>
      </c>
      <c r="DG195" s="541">
        <v>2.9090458181818182</v>
      </c>
      <c r="DH195" s="541">
        <v>2.9090458181818182</v>
      </c>
    </row>
    <row r="196" spans="2:112">
      <c r="B196" t="s">
        <v>1073</v>
      </c>
      <c r="C196" t="s">
        <v>758</v>
      </c>
      <c r="D196" t="s">
        <v>913</v>
      </c>
      <c r="E196" t="s">
        <v>908</v>
      </c>
      <c r="F196" s="541">
        <v>64.512500000000003</v>
      </c>
      <c r="G196" s="541">
        <v>64.512500000000003</v>
      </c>
      <c r="H196" s="541">
        <v>64.512500000000003</v>
      </c>
      <c r="I196" s="541">
        <v>64.512500000000003</v>
      </c>
      <c r="J196" s="541">
        <v>64.512500000000003</v>
      </c>
      <c r="K196" s="541">
        <v>64.512500000000003</v>
      </c>
      <c r="L196" s="541">
        <v>64.512500000000003</v>
      </c>
      <c r="M196" s="541">
        <v>64.512500000000003</v>
      </c>
      <c r="N196" s="541">
        <v>64.512500000000003</v>
      </c>
      <c r="O196" s="541">
        <v>64.512500000000003</v>
      </c>
      <c r="P196" s="541">
        <v>64.512500000000003</v>
      </c>
      <c r="Q196" s="541">
        <v>64.512500000000003</v>
      </c>
      <c r="R196" s="541">
        <v>64.512500000000003</v>
      </c>
      <c r="S196" s="541">
        <v>64.512500000000003</v>
      </c>
      <c r="T196" s="541">
        <v>64.512500000000003</v>
      </c>
      <c r="U196" s="541">
        <v>64.512500000000003</v>
      </c>
      <c r="V196" s="541">
        <v>64.512500000000003</v>
      </c>
      <c r="W196" s="541">
        <v>64.512500000000003</v>
      </c>
      <c r="X196" s="541">
        <v>64.512500000000003</v>
      </c>
      <c r="Y196" s="541">
        <v>64.512500000000003</v>
      </c>
      <c r="Z196" s="541">
        <v>64.512500000000003</v>
      </c>
      <c r="AA196" s="541">
        <v>64.512500000000003</v>
      </c>
      <c r="AB196" s="541">
        <v>64.512500000000003</v>
      </c>
      <c r="AC196" s="541">
        <v>64.512500000000003</v>
      </c>
      <c r="AD196" s="541">
        <v>64.512500000000003</v>
      </c>
      <c r="AE196" s="541">
        <v>64.512500000000003</v>
      </c>
      <c r="AF196" s="541">
        <v>64.512500000000003</v>
      </c>
      <c r="AG196" s="541">
        <v>64.512500000000003</v>
      </c>
      <c r="AH196" s="542">
        <f t="shared" si="155"/>
        <v>64.512500000000003</v>
      </c>
      <c r="AI196" s="542">
        <f t="shared" si="155"/>
        <v>64.512500000000003</v>
      </c>
      <c r="AJ196" s="542">
        <f t="shared" si="155"/>
        <v>64.512500000000003</v>
      </c>
      <c r="AK196" s="542">
        <f t="shared" si="155"/>
        <v>64.512500000000003</v>
      </c>
      <c r="AL196" s="542">
        <f t="shared" si="155"/>
        <v>64.512500000000003</v>
      </c>
      <c r="AM196" s="542">
        <f t="shared" si="155"/>
        <v>64.512500000000003</v>
      </c>
      <c r="AN196" s="542">
        <f t="shared" si="155"/>
        <v>64.512500000000003</v>
      </c>
      <c r="AO196" s="542">
        <f t="shared" si="155"/>
        <v>64.512500000000003</v>
      </c>
      <c r="AP196" s="542">
        <f t="shared" si="155"/>
        <v>64.512500000000003</v>
      </c>
      <c r="AQ196" s="542">
        <f t="shared" si="155"/>
        <v>64.512500000000003</v>
      </c>
      <c r="AR196" s="542">
        <f t="shared" si="155"/>
        <v>64.512500000000003</v>
      </c>
      <c r="AS196" s="542">
        <f t="shared" si="155"/>
        <v>64.512500000000003</v>
      </c>
      <c r="AT196" s="542">
        <f t="shared" si="155"/>
        <v>64.512500000000003</v>
      </c>
      <c r="AU196" s="542">
        <f t="shared" si="155"/>
        <v>64.512500000000003</v>
      </c>
      <c r="AV196" s="542">
        <f t="shared" si="155"/>
        <v>64.512500000000003</v>
      </c>
      <c r="AW196" s="542">
        <f t="shared" si="155"/>
        <v>64.512500000000003</v>
      </c>
      <c r="AX196" s="542">
        <f t="shared" si="154"/>
        <v>64.512500000000003</v>
      </c>
      <c r="AY196" s="542">
        <f t="shared" si="154"/>
        <v>64.512500000000003</v>
      </c>
      <c r="AZ196" s="542">
        <f t="shared" si="154"/>
        <v>64.512500000000003</v>
      </c>
      <c r="BA196" s="542">
        <f t="shared" si="154"/>
        <v>64.512500000000003</v>
      </c>
      <c r="BB196" s="542">
        <f t="shared" si="154"/>
        <v>64.512500000000003</v>
      </c>
      <c r="BC196" s="542">
        <f t="shared" si="154"/>
        <v>64.512500000000003</v>
      </c>
      <c r="BD196" s="542">
        <f t="shared" si="154"/>
        <v>64.512500000000003</v>
      </c>
      <c r="BE196" s="542">
        <f t="shared" si="154"/>
        <v>64.512500000000003</v>
      </c>
      <c r="BF196" s="542">
        <f t="shared" si="154"/>
        <v>64.512500000000003</v>
      </c>
      <c r="BG196" s="542">
        <f t="shared" si="154"/>
        <v>64.512500000000003</v>
      </c>
      <c r="BH196" s="542">
        <f t="shared" si="154"/>
        <v>64.512500000000003</v>
      </c>
      <c r="BI196" s="542">
        <f t="shared" si="154"/>
        <v>64.512500000000003</v>
      </c>
      <c r="BJ196" s="542">
        <f t="shared" si="154"/>
        <v>64.512500000000003</v>
      </c>
      <c r="BK196" s="542">
        <f t="shared" si="154"/>
        <v>64.512500000000003</v>
      </c>
      <c r="BL196" s="542">
        <f t="shared" si="154"/>
        <v>64.512500000000003</v>
      </c>
      <c r="BM196" s="542">
        <f t="shared" si="154"/>
        <v>64.512500000000003</v>
      </c>
      <c r="BN196" s="542">
        <f t="shared" si="154"/>
        <v>64.512500000000003</v>
      </c>
      <c r="BO196" s="542">
        <f t="shared" si="154"/>
        <v>64.512500000000003</v>
      </c>
      <c r="BP196" s="542">
        <f t="shared" si="154"/>
        <v>64.512500000000003</v>
      </c>
      <c r="BQ196" s="542">
        <f t="shared" si="154"/>
        <v>64.512500000000003</v>
      </c>
      <c r="BR196" s="542">
        <f t="shared" si="154"/>
        <v>64.512500000000003</v>
      </c>
      <c r="BS196" s="542">
        <f t="shared" si="154"/>
        <v>64.512500000000003</v>
      </c>
      <c r="BT196" s="542">
        <f t="shared" si="154"/>
        <v>64.512500000000003</v>
      </c>
      <c r="BU196" s="542">
        <f t="shared" si="154"/>
        <v>64.512500000000003</v>
      </c>
      <c r="BV196" s="542">
        <f t="shared" si="154"/>
        <v>64.512500000000003</v>
      </c>
      <c r="BW196" s="542">
        <f t="shared" si="154"/>
        <v>64.512500000000003</v>
      </c>
      <c r="BX196" s="542">
        <f t="shared" si="154"/>
        <v>64.512500000000003</v>
      </c>
      <c r="BY196" s="542">
        <f t="shared" si="154"/>
        <v>64.512500000000003</v>
      </c>
      <c r="BZ196" s="542">
        <f t="shared" si="154"/>
        <v>64.512500000000003</v>
      </c>
      <c r="CA196" s="542">
        <f t="shared" si="154"/>
        <v>64.512500000000003</v>
      </c>
      <c r="CB196" s="542">
        <f t="shared" si="154"/>
        <v>64.512500000000003</v>
      </c>
      <c r="CC196" s="542">
        <f t="shared" si="154"/>
        <v>64.512500000000003</v>
      </c>
      <c r="CD196" s="542">
        <f t="shared" si="154"/>
        <v>64.512500000000003</v>
      </c>
      <c r="CE196" s="542">
        <f t="shared" si="154"/>
        <v>64.512500000000003</v>
      </c>
      <c r="CG196" s="541">
        <v>64.512500000000003</v>
      </c>
      <c r="CH196" s="541">
        <v>64.512500000000003</v>
      </c>
      <c r="CI196" s="541">
        <v>64.512500000000003</v>
      </c>
      <c r="CJ196" s="541">
        <v>64.512500000000003</v>
      </c>
      <c r="CK196" s="541">
        <v>64.512500000000003</v>
      </c>
      <c r="CL196" s="541">
        <v>64.512500000000003</v>
      </c>
      <c r="CM196" s="541">
        <v>64.512500000000003</v>
      </c>
      <c r="CN196" s="541">
        <v>64.512500000000003</v>
      </c>
      <c r="CO196" s="541">
        <v>64.512500000000003</v>
      </c>
      <c r="CP196" s="541">
        <v>64.512500000000003</v>
      </c>
      <c r="CQ196" s="541">
        <v>64.512500000000003</v>
      </c>
      <c r="CR196" s="541">
        <v>64.512500000000003</v>
      </c>
      <c r="CS196" s="541">
        <v>64.512500000000003</v>
      </c>
      <c r="CT196" s="541">
        <v>64.512500000000003</v>
      </c>
      <c r="CU196" s="541">
        <v>64.512500000000003</v>
      </c>
      <c r="CV196" s="541">
        <v>64.512500000000003</v>
      </c>
      <c r="CW196" s="541">
        <v>64.512500000000003</v>
      </c>
      <c r="CX196" s="541">
        <v>64.512500000000003</v>
      </c>
      <c r="CY196" s="541">
        <v>64.512500000000003</v>
      </c>
      <c r="CZ196" s="541">
        <v>64.512500000000003</v>
      </c>
      <c r="DA196" s="541">
        <v>64.512500000000003</v>
      </c>
      <c r="DB196" s="541">
        <v>64.512500000000003</v>
      </c>
      <c r="DC196" s="541">
        <v>64.512500000000003</v>
      </c>
      <c r="DD196" s="541">
        <v>64.512500000000003</v>
      </c>
      <c r="DE196" s="541">
        <v>64.512500000000003</v>
      </c>
      <c r="DF196" s="541">
        <v>64.512500000000003</v>
      </c>
      <c r="DG196" s="541">
        <v>64.512500000000003</v>
      </c>
      <c r="DH196" s="541">
        <v>64.512500000000003</v>
      </c>
    </row>
    <row r="197" spans="2:112">
      <c r="B197" t="s">
        <v>1074</v>
      </c>
      <c r="C197" t="s">
        <v>758</v>
      </c>
      <c r="D197" t="s">
        <v>915</v>
      </c>
      <c r="E197" t="s">
        <v>911</v>
      </c>
      <c r="F197" s="541">
        <v>2.9953708181818182</v>
      </c>
      <c r="G197" s="541">
        <v>2.9953708181818182</v>
      </c>
      <c r="H197" s="541">
        <v>2.9953708181818182</v>
      </c>
      <c r="I197" s="541">
        <v>2.9953708181818182</v>
      </c>
      <c r="J197" s="541">
        <v>2.9953708181818182</v>
      </c>
      <c r="K197" s="541">
        <v>2.9953708181818182</v>
      </c>
      <c r="L197" s="541">
        <v>2.9953708181818182</v>
      </c>
      <c r="M197" s="541">
        <v>2.9953708181818182</v>
      </c>
      <c r="N197" s="541">
        <v>2.9953708181818182</v>
      </c>
      <c r="O197" s="541">
        <v>2.9953708181818182</v>
      </c>
      <c r="P197" s="541">
        <v>2.9953708181818182</v>
      </c>
      <c r="Q197" s="541">
        <v>2.9953708181818182</v>
      </c>
      <c r="R197" s="541">
        <v>2.9953708181818182</v>
      </c>
      <c r="S197" s="541">
        <v>2.9953708181818182</v>
      </c>
      <c r="T197" s="541">
        <v>2.9953708181818182</v>
      </c>
      <c r="U197" s="541">
        <v>2.9953708181818182</v>
      </c>
      <c r="V197" s="541">
        <v>2.9953708181818182</v>
      </c>
      <c r="W197" s="541">
        <v>2.9953708181818182</v>
      </c>
      <c r="X197" s="541">
        <v>2.9953708181818182</v>
      </c>
      <c r="Y197" s="541">
        <v>2.9953708181818182</v>
      </c>
      <c r="Z197" s="541">
        <v>2.9953708181818182</v>
      </c>
      <c r="AA197" s="541">
        <v>2.9953708181818182</v>
      </c>
      <c r="AB197" s="541">
        <v>2.9953708181818182</v>
      </c>
      <c r="AC197" s="541">
        <v>2.9953708181818182</v>
      </c>
      <c r="AD197" s="541">
        <v>2.9953708181818182</v>
      </c>
      <c r="AE197" s="541">
        <v>2.9953708181818182</v>
      </c>
      <c r="AF197" s="541">
        <v>2.9953708181818182</v>
      </c>
      <c r="AG197" s="541">
        <v>2.9953708181818182</v>
      </c>
      <c r="AH197" s="542">
        <f t="shared" si="155"/>
        <v>2.9953708181818182</v>
      </c>
      <c r="AI197" s="542">
        <f t="shared" si="155"/>
        <v>2.9953708181818182</v>
      </c>
      <c r="AJ197" s="542">
        <f t="shared" si="155"/>
        <v>2.9953708181818182</v>
      </c>
      <c r="AK197" s="542">
        <f t="shared" si="155"/>
        <v>2.9953708181818182</v>
      </c>
      <c r="AL197" s="542">
        <f t="shared" si="155"/>
        <v>2.9953708181818182</v>
      </c>
      <c r="AM197" s="542">
        <f t="shared" si="155"/>
        <v>2.9953708181818182</v>
      </c>
      <c r="AN197" s="542">
        <f t="shared" si="155"/>
        <v>2.9953708181818182</v>
      </c>
      <c r="AO197" s="542">
        <f t="shared" si="155"/>
        <v>2.9953708181818182</v>
      </c>
      <c r="AP197" s="542">
        <f t="shared" si="155"/>
        <v>2.9953708181818182</v>
      </c>
      <c r="AQ197" s="542">
        <f t="shared" si="155"/>
        <v>2.9953708181818182</v>
      </c>
      <c r="AR197" s="542">
        <f t="shared" si="155"/>
        <v>2.9953708181818182</v>
      </c>
      <c r="AS197" s="542">
        <f t="shared" si="155"/>
        <v>2.9953708181818182</v>
      </c>
      <c r="AT197" s="542">
        <f t="shared" si="155"/>
        <v>2.9953708181818182</v>
      </c>
      <c r="AU197" s="542">
        <f t="shared" si="155"/>
        <v>2.9953708181818182</v>
      </c>
      <c r="AV197" s="542">
        <f t="shared" si="155"/>
        <v>2.9953708181818182</v>
      </c>
      <c r="AW197" s="542">
        <f t="shared" si="155"/>
        <v>2.9953708181818182</v>
      </c>
      <c r="AX197" s="542">
        <f t="shared" si="154"/>
        <v>2.9953708181818182</v>
      </c>
      <c r="AY197" s="542">
        <f t="shared" si="154"/>
        <v>2.9953708181818182</v>
      </c>
      <c r="AZ197" s="542">
        <f t="shared" si="154"/>
        <v>2.9953708181818182</v>
      </c>
      <c r="BA197" s="542">
        <f t="shared" si="154"/>
        <v>2.9953708181818182</v>
      </c>
      <c r="BB197" s="542">
        <f t="shared" si="154"/>
        <v>2.9953708181818182</v>
      </c>
      <c r="BC197" s="542">
        <f t="shared" si="154"/>
        <v>2.9953708181818182</v>
      </c>
      <c r="BD197" s="542">
        <f t="shared" si="154"/>
        <v>2.9953708181818182</v>
      </c>
      <c r="BE197" s="542">
        <f t="shared" si="154"/>
        <v>2.9953708181818182</v>
      </c>
      <c r="BF197" s="542">
        <f t="shared" si="154"/>
        <v>2.9953708181818182</v>
      </c>
      <c r="BG197" s="542">
        <f t="shared" si="154"/>
        <v>2.9953708181818182</v>
      </c>
      <c r="BH197" s="542">
        <f t="shared" si="154"/>
        <v>2.9953708181818182</v>
      </c>
      <c r="BI197" s="542">
        <f t="shared" si="154"/>
        <v>2.9953708181818182</v>
      </c>
      <c r="BJ197" s="542">
        <f t="shared" si="154"/>
        <v>2.9953708181818182</v>
      </c>
      <c r="BK197" s="542">
        <f t="shared" si="154"/>
        <v>2.9953708181818182</v>
      </c>
      <c r="BL197" s="542">
        <f t="shared" si="154"/>
        <v>2.9953708181818182</v>
      </c>
      <c r="BM197" s="542">
        <f t="shared" si="154"/>
        <v>2.9953708181818182</v>
      </c>
      <c r="BN197" s="542">
        <f t="shared" si="154"/>
        <v>2.9953708181818182</v>
      </c>
      <c r="BO197" s="542">
        <f t="shared" si="154"/>
        <v>2.9953708181818182</v>
      </c>
      <c r="BP197" s="542">
        <f t="shared" si="154"/>
        <v>2.9953708181818182</v>
      </c>
      <c r="BQ197" s="542">
        <f t="shared" si="154"/>
        <v>2.9953708181818182</v>
      </c>
      <c r="BR197" s="542">
        <f t="shared" si="154"/>
        <v>2.9953708181818182</v>
      </c>
      <c r="BS197" s="542">
        <f t="shared" si="154"/>
        <v>2.9953708181818182</v>
      </c>
      <c r="BT197" s="542">
        <f t="shared" si="154"/>
        <v>2.9953708181818182</v>
      </c>
      <c r="BU197" s="542">
        <f t="shared" si="154"/>
        <v>2.9953708181818182</v>
      </c>
      <c r="BV197" s="542">
        <f t="shared" si="154"/>
        <v>2.9953708181818182</v>
      </c>
      <c r="BW197" s="542">
        <f t="shared" si="154"/>
        <v>2.9953708181818182</v>
      </c>
      <c r="BX197" s="542">
        <f t="shared" si="154"/>
        <v>2.9953708181818182</v>
      </c>
      <c r="BY197" s="542">
        <f t="shared" si="154"/>
        <v>2.9953708181818182</v>
      </c>
      <c r="BZ197" s="542">
        <f t="shared" si="154"/>
        <v>2.9953708181818182</v>
      </c>
      <c r="CA197" s="542">
        <f t="shared" si="154"/>
        <v>2.9953708181818182</v>
      </c>
      <c r="CB197" s="542">
        <f t="shared" si="154"/>
        <v>2.9953708181818182</v>
      </c>
      <c r="CC197" s="542">
        <f t="shared" si="154"/>
        <v>2.9953708181818182</v>
      </c>
      <c r="CD197" s="542">
        <f t="shared" si="154"/>
        <v>2.9953708181818182</v>
      </c>
      <c r="CE197" s="542">
        <f t="shared" si="154"/>
        <v>2.9953708181818182</v>
      </c>
      <c r="CG197" s="541">
        <v>2.9953708181818182</v>
      </c>
      <c r="CH197" s="541">
        <v>2.9953708181818182</v>
      </c>
      <c r="CI197" s="541">
        <v>2.9953708181818182</v>
      </c>
      <c r="CJ197" s="541">
        <v>2.9953708181818182</v>
      </c>
      <c r="CK197" s="541">
        <v>2.9953708181818182</v>
      </c>
      <c r="CL197" s="541">
        <v>2.9953708181818182</v>
      </c>
      <c r="CM197" s="541">
        <v>2.9953708181818182</v>
      </c>
      <c r="CN197" s="541">
        <v>2.9953708181818182</v>
      </c>
      <c r="CO197" s="541">
        <v>2.9953708181818182</v>
      </c>
      <c r="CP197" s="541">
        <v>2.9953708181818182</v>
      </c>
      <c r="CQ197" s="541">
        <v>2.9953708181818182</v>
      </c>
      <c r="CR197" s="541">
        <v>2.9953708181818182</v>
      </c>
      <c r="CS197" s="541">
        <v>2.9953708181818182</v>
      </c>
      <c r="CT197" s="541">
        <v>2.9953708181818182</v>
      </c>
      <c r="CU197" s="541">
        <v>2.9953708181818182</v>
      </c>
      <c r="CV197" s="541">
        <v>2.9953708181818182</v>
      </c>
      <c r="CW197" s="541">
        <v>2.9953708181818182</v>
      </c>
      <c r="CX197" s="541">
        <v>2.9953708181818182</v>
      </c>
      <c r="CY197" s="541">
        <v>2.9953708181818182</v>
      </c>
      <c r="CZ197" s="541">
        <v>2.9953708181818182</v>
      </c>
      <c r="DA197" s="541">
        <v>2.9953708181818182</v>
      </c>
      <c r="DB197" s="541">
        <v>2.9953708181818182</v>
      </c>
      <c r="DC197" s="541">
        <v>2.9953708181818182</v>
      </c>
      <c r="DD197" s="541">
        <v>2.9953708181818182</v>
      </c>
      <c r="DE197" s="541">
        <v>2.9953708181818182</v>
      </c>
      <c r="DF197" s="541">
        <v>2.9953708181818182</v>
      </c>
      <c r="DG197" s="541">
        <v>2.9953708181818182</v>
      </c>
      <c r="DH197" s="541">
        <v>2.9953708181818182</v>
      </c>
    </row>
    <row r="198" spans="2:112">
      <c r="B198" t="s">
        <v>1075</v>
      </c>
      <c r="C198" t="s">
        <v>758</v>
      </c>
      <c r="D198" t="s">
        <v>917</v>
      </c>
      <c r="E198" t="s">
        <v>908</v>
      </c>
      <c r="F198" s="541">
        <v>60.182499999999997</v>
      </c>
      <c r="G198" s="541">
        <v>60.182499999999997</v>
      </c>
      <c r="H198" s="541">
        <v>60.182499999999997</v>
      </c>
      <c r="I198" s="541">
        <v>60.182499999999997</v>
      </c>
      <c r="J198" s="541">
        <v>60.182499999999997</v>
      </c>
      <c r="K198" s="541">
        <v>60.182499999999997</v>
      </c>
      <c r="L198" s="541">
        <v>60.182499999999997</v>
      </c>
      <c r="M198" s="541">
        <v>60.182499999999997</v>
      </c>
      <c r="N198" s="541">
        <v>60.182499999999997</v>
      </c>
      <c r="O198" s="541">
        <v>60.182499999999997</v>
      </c>
      <c r="P198" s="541">
        <v>60.182499999999997</v>
      </c>
      <c r="Q198" s="541">
        <v>60.182499999999997</v>
      </c>
      <c r="R198" s="541">
        <v>60.182499999999997</v>
      </c>
      <c r="S198" s="541">
        <v>60.182499999999997</v>
      </c>
      <c r="T198" s="541">
        <v>60.182499999999997</v>
      </c>
      <c r="U198" s="541">
        <v>60.182499999999997</v>
      </c>
      <c r="V198" s="541">
        <v>60.182499999999997</v>
      </c>
      <c r="W198" s="541">
        <v>60.182499999999997</v>
      </c>
      <c r="X198" s="541">
        <v>60.182499999999997</v>
      </c>
      <c r="Y198" s="541">
        <v>60.182499999999997</v>
      </c>
      <c r="Z198" s="541">
        <v>60.182499999999997</v>
      </c>
      <c r="AA198" s="541">
        <v>60.182499999999997</v>
      </c>
      <c r="AB198" s="541">
        <v>60.182499999999997</v>
      </c>
      <c r="AC198" s="541">
        <v>60.182499999999997</v>
      </c>
      <c r="AD198" s="541">
        <v>60.182499999999997</v>
      </c>
      <c r="AE198" s="541">
        <v>60.182499999999997</v>
      </c>
      <c r="AF198" s="541">
        <v>60.182499999999997</v>
      </c>
      <c r="AG198" s="541">
        <v>60.182499999999997</v>
      </c>
      <c r="AH198" s="542">
        <f t="shared" si="155"/>
        <v>60.182499999999997</v>
      </c>
      <c r="AI198" s="542">
        <f t="shared" si="155"/>
        <v>60.182499999999997</v>
      </c>
      <c r="AJ198" s="542">
        <f t="shared" si="155"/>
        <v>60.182499999999997</v>
      </c>
      <c r="AK198" s="542">
        <f t="shared" si="155"/>
        <v>60.182499999999997</v>
      </c>
      <c r="AL198" s="542">
        <f t="shared" si="155"/>
        <v>60.182499999999997</v>
      </c>
      <c r="AM198" s="542">
        <f t="shared" si="155"/>
        <v>60.182499999999997</v>
      </c>
      <c r="AN198" s="542">
        <f t="shared" si="155"/>
        <v>60.182499999999997</v>
      </c>
      <c r="AO198" s="542">
        <f t="shared" si="155"/>
        <v>60.182499999999997</v>
      </c>
      <c r="AP198" s="542">
        <f t="shared" si="155"/>
        <v>60.182499999999997</v>
      </c>
      <c r="AQ198" s="542">
        <f t="shared" si="155"/>
        <v>60.182499999999997</v>
      </c>
      <c r="AR198" s="542">
        <f t="shared" si="155"/>
        <v>60.182499999999997</v>
      </c>
      <c r="AS198" s="542">
        <f t="shared" si="155"/>
        <v>60.182499999999997</v>
      </c>
      <c r="AT198" s="542">
        <f t="shared" si="155"/>
        <v>60.182499999999997</v>
      </c>
      <c r="AU198" s="542">
        <f t="shared" si="155"/>
        <v>60.182499999999997</v>
      </c>
      <c r="AV198" s="542">
        <f t="shared" si="155"/>
        <v>60.182499999999997</v>
      </c>
      <c r="AW198" s="542">
        <f t="shared" si="155"/>
        <v>60.182499999999997</v>
      </c>
      <c r="AX198" s="542">
        <f t="shared" si="154"/>
        <v>60.182499999999997</v>
      </c>
      <c r="AY198" s="542">
        <f t="shared" si="154"/>
        <v>60.182499999999997</v>
      </c>
      <c r="AZ198" s="542">
        <f t="shared" si="154"/>
        <v>60.182499999999997</v>
      </c>
      <c r="BA198" s="542">
        <f t="shared" si="154"/>
        <v>60.182499999999997</v>
      </c>
      <c r="BB198" s="542">
        <f t="shared" si="154"/>
        <v>60.182499999999997</v>
      </c>
      <c r="BC198" s="542">
        <f t="shared" si="154"/>
        <v>60.182499999999997</v>
      </c>
      <c r="BD198" s="542">
        <f t="shared" si="154"/>
        <v>60.182499999999997</v>
      </c>
      <c r="BE198" s="542">
        <f t="shared" si="154"/>
        <v>60.182499999999997</v>
      </c>
      <c r="BF198" s="542">
        <f t="shared" si="154"/>
        <v>60.182499999999997</v>
      </c>
      <c r="BG198" s="542">
        <f t="shared" si="154"/>
        <v>60.182499999999997</v>
      </c>
      <c r="BH198" s="542">
        <f t="shared" si="154"/>
        <v>60.182499999999997</v>
      </c>
      <c r="BI198" s="542">
        <f t="shared" si="154"/>
        <v>60.182499999999997</v>
      </c>
      <c r="BJ198" s="542">
        <f t="shared" si="154"/>
        <v>60.182499999999997</v>
      </c>
      <c r="BK198" s="542">
        <f t="shared" si="154"/>
        <v>60.182499999999997</v>
      </c>
      <c r="BL198" s="542">
        <f t="shared" si="154"/>
        <v>60.182499999999997</v>
      </c>
      <c r="BM198" s="542">
        <f t="shared" si="154"/>
        <v>60.182499999999997</v>
      </c>
      <c r="BN198" s="542">
        <f t="shared" si="154"/>
        <v>60.182499999999997</v>
      </c>
      <c r="BO198" s="542">
        <f t="shared" si="154"/>
        <v>60.182499999999997</v>
      </c>
      <c r="BP198" s="542">
        <f t="shared" si="154"/>
        <v>60.182499999999997</v>
      </c>
      <c r="BQ198" s="542">
        <f t="shared" si="154"/>
        <v>60.182499999999997</v>
      </c>
      <c r="BR198" s="542">
        <f t="shared" si="154"/>
        <v>60.182499999999997</v>
      </c>
      <c r="BS198" s="542">
        <f t="shared" si="154"/>
        <v>60.182499999999997</v>
      </c>
      <c r="BT198" s="542">
        <f t="shared" si="154"/>
        <v>60.182499999999997</v>
      </c>
      <c r="BU198" s="542">
        <f t="shared" si="154"/>
        <v>60.182499999999997</v>
      </c>
      <c r="BV198" s="542">
        <f t="shared" si="154"/>
        <v>60.182499999999997</v>
      </c>
      <c r="BW198" s="542">
        <f t="shared" si="154"/>
        <v>60.182499999999997</v>
      </c>
      <c r="BX198" s="542">
        <f t="shared" si="154"/>
        <v>60.182499999999997</v>
      </c>
      <c r="BY198" s="542">
        <f t="shared" si="154"/>
        <v>60.182499999999997</v>
      </c>
      <c r="BZ198" s="542">
        <f t="shared" si="154"/>
        <v>60.182499999999997</v>
      </c>
      <c r="CA198" s="542">
        <f t="shared" si="154"/>
        <v>60.182499999999997</v>
      </c>
      <c r="CB198" s="542">
        <f t="shared" si="154"/>
        <v>60.182499999999997</v>
      </c>
      <c r="CC198" s="542">
        <f t="shared" si="154"/>
        <v>60.182499999999997</v>
      </c>
      <c r="CD198" s="542">
        <f t="shared" si="154"/>
        <v>60.182499999999997</v>
      </c>
      <c r="CE198" s="542">
        <f t="shared" si="154"/>
        <v>60.182499999999997</v>
      </c>
      <c r="CG198" s="541">
        <v>60.182499999999997</v>
      </c>
      <c r="CH198" s="541">
        <v>60.182499999999997</v>
      </c>
      <c r="CI198" s="541">
        <v>60.182499999999997</v>
      </c>
      <c r="CJ198" s="541">
        <v>60.182499999999997</v>
      </c>
      <c r="CK198" s="541">
        <v>60.182499999999997</v>
      </c>
      <c r="CL198" s="541">
        <v>60.182499999999997</v>
      </c>
      <c r="CM198" s="541">
        <v>60.182499999999997</v>
      </c>
      <c r="CN198" s="541">
        <v>60.182499999999997</v>
      </c>
      <c r="CO198" s="541">
        <v>60.182499999999997</v>
      </c>
      <c r="CP198" s="541">
        <v>60.182499999999997</v>
      </c>
      <c r="CQ198" s="541">
        <v>60.182499999999997</v>
      </c>
      <c r="CR198" s="541">
        <v>60.182499999999997</v>
      </c>
      <c r="CS198" s="541">
        <v>60.182499999999997</v>
      </c>
      <c r="CT198" s="541">
        <v>60.182499999999997</v>
      </c>
      <c r="CU198" s="541">
        <v>60.182499999999997</v>
      </c>
      <c r="CV198" s="541">
        <v>60.182499999999997</v>
      </c>
      <c r="CW198" s="541">
        <v>60.182499999999997</v>
      </c>
      <c r="CX198" s="541">
        <v>60.182499999999997</v>
      </c>
      <c r="CY198" s="541">
        <v>60.182499999999997</v>
      </c>
      <c r="CZ198" s="541">
        <v>60.182499999999997</v>
      </c>
      <c r="DA198" s="541">
        <v>60.182499999999997</v>
      </c>
      <c r="DB198" s="541">
        <v>60.182499999999997</v>
      </c>
      <c r="DC198" s="541">
        <v>60.182499999999997</v>
      </c>
      <c r="DD198" s="541">
        <v>60.182499999999997</v>
      </c>
      <c r="DE198" s="541">
        <v>60.182499999999997</v>
      </c>
      <c r="DF198" s="541">
        <v>60.182499999999997</v>
      </c>
      <c r="DG198" s="541">
        <v>60.182499999999997</v>
      </c>
      <c r="DH198" s="541">
        <v>60.182499999999997</v>
      </c>
    </row>
    <row r="199" spans="2:112">
      <c r="B199" t="s">
        <v>1076</v>
      </c>
      <c r="C199" t="s">
        <v>758</v>
      </c>
      <c r="D199" t="s">
        <v>919</v>
      </c>
      <c r="E199" t="s">
        <v>911</v>
      </c>
      <c r="F199" s="541">
        <v>2.9520708181818183</v>
      </c>
      <c r="G199" s="541">
        <v>2.9520708181818183</v>
      </c>
      <c r="H199" s="541">
        <v>2.9520708181818183</v>
      </c>
      <c r="I199" s="541">
        <v>2.9520708181818183</v>
      </c>
      <c r="J199" s="541">
        <v>2.9520708181818183</v>
      </c>
      <c r="K199" s="541">
        <v>2.9520708181818183</v>
      </c>
      <c r="L199" s="541">
        <v>2.9520708181818183</v>
      </c>
      <c r="M199" s="541">
        <v>2.9520708181818183</v>
      </c>
      <c r="N199" s="541">
        <v>2.9520708181818183</v>
      </c>
      <c r="O199" s="541">
        <v>2.9520708181818183</v>
      </c>
      <c r="P199" s="541">
        <v>2.9520708181818183</v>
      </c>
      <c r="Q199" s="541">
        <v>2.9520708181818183</v>
      </c>
      <c r="R199" s="541">
        <v>2.9520708181818183</v>
      </c>
      <c r="S199" s="541">
        <v>2.9520708181818183</v>
      </c>
      <c r="T199" s="541">
        <v>2.9520708181818183</v>
      </c>
      <c r="U199" s="541">
        <v>2.9520708181818183</v>
      </c>
      <c r="V199" s="541">
        <v>2.9520708181818183</v>
      </c>
      <c r="W199" s="541">
        <v>2.9520708181818183</v>
      </c>
      <c r="X199" s="541">
        <v>2.9520708181818183</v>
      </c>
      <c r="Y199" s="541">
        <v>2.9520708181818183</v>
      </c>
      <c r="Z199" s="541">
        <v>2.9520708181818183</v>
      </c>
      <c r="AA199" s="541">
        <v>2.9520708181818183</v>
      </c>
      <c r="AB199" s="541">
        <v>2.9520708181818183</v>
      </c>
      <c r="AC199" s="541">
        <v>2.9520708181818183</v>
      </c>
      <c r="AD199" s="541">
        <v>2.9520708181818183</v>
      </c>
      <c r="AE199" s="541">
        <v>2.9520708181818183</v>
      </c>
      <c r="AF199" s="541">
        <v>2.9520708181818183</v>
      </c>
      <c r="AG199" s="541">
        <v>2.9520708181818183</v>
      </c>
      <c r="AH199" s="542">
        <f t="shared" si="155"/>
        <v>2.9520708181818183</v>
      </c>
      <c r="AI199" s="542">
        <f t="shared" si="155"/>
        <v>2.9520708181818183</v>
      </c>
      <c r="AJ199" s="542">
        <f t="shared" si="155"/>
        <v>2.9520708181818183</v>
      </c>
      <c r="AK199" s="542">
        <f t="shared" si="155"/>
        <v>2.9520708181818183</v>
      </c>
      <c r="AL199" s="542">
        <f t="shared" si="155"/>
        <v>2.9520708181818183</v>
      </c>
      <c r="AM199" s="542">
        <f t="shared" si="155"/>
        <v>2.9520708181818183</v>
      </c>
      <c r="AN199" s="542">
        <f t="shared" si="155"/>
        <v>2.9520708181818183</v>
      </c>
      <c r="AO199" s="542">
        <f t="shared" si="155"/>
        <v>2.9520708181818183</v>
      </c>
      <c r="AP199" s="542">
        <f t="shared" si="155"/>
        <v>2.9520708181818183</v>
      </c>
      <c r="AQ199" s="542">
        <f t="shared" si="155"/>
        <v>2.9520708181818183</v>
      </c>
      <c r="AR199" s="542">
        <f t="shared" si="155"/>
        <v>2.9520708181818183</v>
      </c>
      <c r="AS199" s="542">
        <f t="shared" si="155"/>
        <v>2.9520708181818183</v>
      </c>
      <c r="AT199" s="542">
        <f t="shared" si="155"/>
        <v>2.9520708181818183</v>
      </c>
      <c r="AU199" s="542">
        <f t="shared" si="155"/>
        <v>2.9520708181818183</v>
      </c>
      <c r="AV199" s="542">
        <f t="shared" si="155"/>
        <v>2.9520708181818183</v>
      </c>
      <c r="AW199" s="542">
        <f t="shared" si="155"/>
        <v>2.9520708181818183</v>
      </c>
      <c r="AX199" s="542">
        <f t="shared" si="154"/>
        <v>2.9520708181818183</v>
      </c>
      <c r="AY199" s="542">
        <f t="shared" si="154"/>
        <v>2.9520708181818183</v>
      </c>
      <c r="AZ199" s="542">
        <f t="shared" si="154"/>
        <v>2.9520708181818183</v>
      </c>
      <c r="BA199" s="542">
        <f t="shared" si="154"/>
        <v>2.9520708181818183</v>
      </c>
      <c r="BB199" s="542">
        <f t="shared" si="154"/>
        <v>2.9520708181818183</v>
      </c>
      <c r="BC199" s="542">
        <f t="shared" si="154"/>
        <v>2.9520708181818183</v>
      </c>
      <c r="BD199" s="542">
        <f t="shared" si="154"/>
        <v>2.9520708181818183</v>
      </c>
      <c r="BE199" s="542">
        <f t="shared" si="154"/>
        <v>2.9520708181818183</v>
      </c>
      <c r="BF199" s="542">
        <f t="shared" si="154"/>
        <v>2.9520708181818183</v>
      </c>
      <c r="BG199" s="542">
        <f t="shared" si="154"/>
        <v>2.9520708181818183</v>
      </c>
      <c r="BH199" s="542">
        <f t="shared" si="154"/>
        <v>2.9520708181818183</v>
      </c>
      <c r="BI199" s="542">
        <f t="shared" si="154"/>
        <v>2.9520708181818183</v>
      </c>
      <c r="BJ199" s="542">
        <f t="shared" si="154"/>
        <v>2.9520708181818183</v>
      </c>
      <c r="BK199" s="542">
        <f t="shared" si="154"/>
        <v>2.9520708181818183</v>
      </c>
      <c r="BL199" s="542">
        <f t="shared" si="154"/>
        <v>2.9520708181818183</v>
      </c>
      <c r="BM199" s="542">
        <f t="shared" si="154"/>
        <v>2.9520708181818183</v>
      </c>
      <c r="BN199" s="542">
        <f t="shared" si="154"/>
        <v>2.9520708181818183</v>
      </c>
      <c r="BO199" s="542">
        <f t="shared" si="154"/>
        <v>2.9520708181818183</v>
      </c>
      <c r="BP199" s="542">
        <f t="shared" si="154"/>
        <v>2.9520708181818183</v>
      </c>
      <c r="BQ199" s="542">
        <f t="shared" si="154"/>
        <v>2.9520708181818183</v>
      </c>
      <c r="BR199" s="542">
        <f t="shared" si="154"/>
        <v>2.9520708181818183</v>
      </c>
      <c r="BS199" s="542">
        <f t="shared" si="154"/>
        <v>2.9520708181818183</v>
      </c>
      <c r="BT199" s="542">
        <f t="shared" si="154"/>
        <v>2.9520708181818183</v>
      </c>
      <c r="BU199" s="542">
        <f t="shared" si="154"/>
        <v>2.9520708181818183</v>
      </c>
      <c r="BV199" s="542">
        <f t="shared" si="154"/>
        <v>2.9520708181818183</v>
      </c>
      <c r="BW199" s="542">
        <f t="shared" si="154"/>
        <v>2.9520708181818183</v>
      </c>
      <c r="BX199" s="542">
        <f t="shared" si="154"/>
        <v>2.9520708181818183</v>
      </c>
      <c r="BY199" s="542">
        <f t="shared" si="154"/>
        <v>2.9520708181818183</v>
      </c>
      <c r="BZ199" s="542">
        <f t="shared" si="154"/>
        <v>2.9520708181818183</v>
      </c>
      <c r="CA199" s="542">
        <f t="shared" si="154"/>
        <v>2.9520708181818183</v>
      </c>
      <c r="CB199" s="542">
        <f t="shared" si="154"/>
        <v>2.9520708181818183</v>
      </c>
      <c r="CC199" s="542">
        <f t="shared" si="154"/>
        <v>2.9520708181818183</v>
      </c>
      <c r="CD199" s="542">
        <f t="shared" si="154"/>
        <v>2.9520708181818183</v>
      </c>
      <c r="CE199" s="542">
        <f t="shared" si="154"/>
        <v>2.9520708181818183</v>
      </c>
      <c r="CG199" s="541">
        <v>2.9520708181818183</v>
      </c>
      <c r="CH199" s="541">
        <v>2.9520708181818183</v>
      </c>
      <c r="CI199" s="541">
        <v>2.9520708181818183</v>
      </c>
      <c r="CJ199" s="541">
        <v>2.9520708181818183</v>
      </c>
      <c r="CK199" s="541">
        <v>2.9520708181818183</v>
      </c>
      <c r="CL199" s="541">
        <v>2.9520708181818183</v>
      </c>
      <c r="CM199" s="541">
        <v>2.9520708181818183</v>
      </c>
      <c r="CN199" s="541">
        <v>2.9520708181818183</v>
      </c>
      <c r="CO199" s="541">
        <v>2.9520708181818183</v>
      </c>
      <c r="CP199" s="541">
        <v>2.9520708181818183</v>
      </c>
      <c r="CQ199" s="541">
        <v>2.9520708181818183</v>
      </c>
      <c r="CR199" s="541">
        <v>2.9520708181818183</v>
      </c>
      <c r="CS199" s="541">
        <v>2.9520708181818183</v>
      </c>
      <c r="CT199" s="541">
        <v>2.9520708181818183</v>
      </c>
      <c r="CU199" s="541">
        <v>2.9520708181818183</v>
      </c>
      <c r="CV199" s="541">
        <v>2.9520708181818183</v>
      </c>
      <c r="CW199" s="541">
        <v>2.9520708181818183</v>
      </c>
      <c r="CX199" s="541">
        <v>2.9520708181818183</v>
      </c>
      <c r="CY199" s="541">
        <v>2.9520708181818183</v>
      </c>
      <c r="CZ199" s="541">
        <v>2.9520708181818183</v>
      </c>
      <c r="DA199" s="541">
        <v>2.9520708181818183</v>
      </c>
      <c r="DB199" s="541">
        <v>2.9520708181818183</v>
      </c>
      <c r="DC199" s="541">
        <v>2.9520708181818183</v>
      </c>
      <c r="DD199" s="541">
        <v>2.9520708181818183</v>
      </c>
      <c r="DE199" s="541">
        <v>2.9520708181818183</v>
      </c>
      <c r="DF199" s="541">
        <v>2.9520708181818183</v>
      </c>
      <c r="DG199" s="541">
        <v>2.9520708181818183</v>
      </c>
      <c r="DH199" s="541">
        <v>2.9520708181818183</v>
      </c>
    </row>
    <row r="200" spans="2:112">
      <c r="B200" t="s">
        <v>1077</v>
      </c>
      <c r="C200" t="s">
        <v>758</v>
      </c>
      <c r="D200" t="s">
        <v>921</v>
      </c>
      <c r="E200" t="s">
        <v>908</v>
      </c>
      <c r="F200" s="541">
        <v>61.792499999999997</v>
      </c>
      <c r="G200" s="541">
        <v>61.792499999999997</v>
      </c>
      <c r="H200" s="541">
        <v>61.792499999999997</v>
      </c>
      <c r="I200" s="541">
        <v>61.792499999999997</v>
      </c>
      <c r="J200" s="541">
        <v>61.792499999999997</v>
      </c>
      <c r="K200" s="541">
        <v>61.792499999999997</v>
      </c>
      <c r="L200" s="541">
        <v>61.792499999999997</v>
      </c>
      <c r="M200" s="541">
        <v>61.792499999999997</v>
      </c>
      <c r="N200" s="541">
        <v>61.792499999999997</v>
      </c>
      <c r="O200" s="541">
        <v>61.792499999999997</v>
      </c>
      <c r="P200" s="541">
        <v>61.792499999999997</v>
      </c>
      <c r="Q200" s="541">
        <v>61.792499999999997</v>
      </c>
      <c r="R200" s="541">
        <v>61.792499999999997</v>
      </c>
      <c r="S200" s="541">
        <v>61.792499999999997</v>
      </c>
      <c r="T200" s="541">
        <v>61.792499999999997</v>
      </c>
      <c r="U200" s="541">
        <v>61.792499999999997</v>
      </c>
      <c r="V200" s="541">
        <v>61.792499999999997</v>
      </c>
      <c r="W200" s="541">
        <v>61.792499999999997</v>
      </c>
      <c r="X200" s="541">
        <v>61.792499999999997</v>
      </c>
      <c r="Y200" s="541">
        <v>61.792499999999997</v>
      </c>
      <c r="Z200" s="541">
        <v>61.792499999999997</v>
      </c>
      <c r="AA200" s="541">
        <v>61.792499999999997</v>
      </c>
      <c r="AB200" s="541">
        <v>61.792499999999997</v>
      </c>
      <c r="AC200" s="541">
        <v>61.792499999999997</v>
      </c>
      <c r="AD200" s="541">
        <v>61.792499999999997</v>
      </c>
      <c r="AE200" s="541">
        <v>61.792499999999997</v>
      </c>
      <c r="AF200" s="541">
        <v>61.792499999999997</v>
      </c>
      <c r="AG200" s="541">
        <v>61.792499999999997</v>
      </c>
      <c r="AH200" s="542">
        <f t="shared" si="155"/>
        <v>61.792499999999997</v>
      </c>
      <c r="AI200" s="542">
        <f t="shared" si="155"/>
        <v>61.792499999999997</v>
      </c>
      <c r="AJ200" s="542">
        <f t="shared" si="155"/>
        <v>61.792499999999997</v>
      </c>
      <c r="AK200" s="542">
        <f t="shared" si="155"/>
        <v>61.792499999999997</v>
      </c>
      <c r="AL200" s="542">
        <f t="shared" si="155"/>
        <v>61.792499999999997</v>
      </c>
      <c r="AM200" s="542">
        <f t="shared" si="155"/>
        <v>61.792499999999997</v>
      </c>
      <c r="AN200" s="542">
        <f t="shared" si="155"/>
        <v>61.792499999999997</v>
      </c>
      <c r="AO200" s="542">
        <f t="shared" si="155"/>
        <v>61.792499999999997</v>
      </c>
      <c r="AP200" s="542">
        <f t="shared" si="155"/>
        <v>61.792499999999997</v>
      </c>
      <c r="AQ200" s="542">
        <f t="shared" si="155"/>
        <v>61.792499999999997</v>
      </c>
      <c r="AR200" s="542">
        <f t="shared" si="155"/>
        <v>61.792499999999997</v>
      </c>
      <c r="AS200" s="542">
        <f t="shared" si="155"/>
        <v>61.792499999999997</v>
      </c>
      <c r="AT200" s="542">
        <f t="shared" si="155"/>
        <v>61.792499999999997</v>
      </c>
      <c r="AU200" s="542">
        <f t="shared" si="155"/>
        <v>61.792499999999997</v>
      </c>
      <c r="AV200" s="542">
        <f t="shared" si="155"/>
        <v>61.792499999999997</v>
      </c>
      <c r="AW200" s="542">
        <f t="shared" si="155"/>
        <v>61.792499999999997</v>
      </c>
      <c r="AX200" s="542">
        <f t="shared" si="154"/>
        <v>61.792499999999997</v>
      </c>
      <c r="AY200" s="542">
        <f t="shared" si="154"/>
        <v>61.792499999999997</v>
      </c>
      <c r="AZ200" s="542">
        <f t="shared" si="154"/>
        <v>61.792499999999997</v>
      </c>
      <c r="BA200" s="542">
        <f t="shared" si="154"/>
        <v>61.792499999999997</v>
      </c>
      <c r="BB200" s="542">
        <f t="shared" si="154"/>
        <v>61.792499999999997</v>
      </c>
      <c r="BC200" s="542">
        <f t="shared" si="154"/>
        <v>61.792499999999997</v>
      </c>
      <c r="BD200" s="542">
        <f t="shared" si="154"/>
        <v>61.792499999999997</v>
      </c>
      <c r="BE200" s="542">
        <f t="shared" si="154"/>
        <v>61.792499999999997</v>
      </c>
      <c r="BF200" s="542">
        <f t="shared" si="154"/>
        <v>61.792499999999997</v>
      </c>
      <c r="BG200" s="542">
        <f t="shared" si="154"/>
        <v>61.792499999999997</v>
      </c>
      <c r="BH200" s="542">
        <f t="shared" si="154"/>
        <v>61.792499999999997</v>
      </c>
      <c r="BI200" s="542">
        <f t="shared" si="154"/>
        <v>61.792499999999997</v>
      </c>
      <c r="BJ200" s="542">
        <f t="shared" si="154"/>
        <v>61.792499999999997</v>
      </c>
      <c r="BK200" s="542">
        <f t="shared" si="154"/>
        <v>61.792499999999997</v>
      </c>
      <c r="BL200" s="542">
        <f t="shared" si="154"/>
        <v>61.792499999999997</v>
      </c>
      <c r="BM200" s="542">
        <f t="shared" si="154"/>
        <v>61.792499999999997</v>
      </c>
      <c r="BN200" s="542">
        <f t="shared" si="154"/>
        <v>61.792499999999997</v>
      </c>
      <c r="BO200" s="542">
        <f t="shared" si="154"/>
        <v>61.792499999999997</v>
      </c>
      <c r="BP200" s="542">
        <f t="shared" si="154"/>
        <v>61.792499999999997</v>
      </c>
      <c r="BQ200" s="542">
        <f t="shared" si="154"/>
        <v>61.792499999999997</v>
      </c>
      <c r="BR200" s="542">
        <f t="shared" si="154"/>
        <v>61.792499999999997</v>
      </c>
      <c r="BS200" s="542">
        <f t="shared" si="154"/>
        <v>61.792499999999997</v>
      </c>
      <c r="BT200" s="542">
        <f t="shared" si="154"/>
        <v>61.792499999999997</v>
      </c>
      <c r="BU200" s="542">
        <f t="shared" si="154"/>
        <v>61.792499999999997</v>
      </c>
      <c r="BV200" s="542">
        <f t="shared" si="154"/>
        <v>61.792499999999997</v>
      </c>
      <c r="BW200" s="542">
        <f t="shared" si="154"/>
        <v>61.792499999999997</v>
      </c>
      <c r="BX200" s="542">
        <f t="shared" si="154"/>
        <v>61.792499999999997</v>
      </c>
      <c r="BY200" s="542">
        <f t="shared" si="154"/>
        <v>61.792499999999997</v>
      </c>
      <c r="BZ200" s="542">
        <f t="shared" si="154"/>
        <v>61.792499999999997</v>
      </c>
      <c r="CA200" s="542">
        <f t="shared" si="154"/>
        <v>61.792499999999997</v>
      </c>
      <c r="CB200" s="542">
        <f t="shared" si="154"/>
        <v>61.792499999999997</v>
      </c>
      <c r="CC200" s="542">
        <f t="shared" si="154"/>
        <v>61.792499999999997</v>
      </c>
      <c r="CD200" s="542">
        <f t="shared" si="154"/>
        <v>61.792499999999997</v>
      </c>
      <c r="CE200" s="542">
        <f t="shared" si="154"/>
        <v>61.792499999999997</v>
      </c>
      <c r="CG200" s="541">
        <v>61.792499999999997</v>
      </c>
      <c r="CH200" s="541">
        <v>61.792499999999997</v>
      </c>
      <c r="CI200" s="541">
        <v>61.792499999999997</v>
      </c>
      <c r="CJ200" s="541">
        <v>61.792499999999997</v>
      </c>
      <c r="CK200" s="541">
        <v>61.792499999999997</v>
      </c>
      <c r="CL200" s="541">
        <v>61.792499999999997</v>
      </c>
      <c r="CM200" s="541">
        <v>61.792499999999997</v>
      </c>
      <c r="CN200" s="541">
        <v>61.792499999999997</v>
      </c>
      <c r="CO200" s="541">
        <v>61.792499999999997</v>
      </c>
      <c r="CP200" s="541">
        <v>61.792499999999997</v>
      </c>
      <c r="CQ200" s="541">
        <v>61.792499999999997</v>
      </c>
      <c r="CR200" s="541">
        <v>61.792499999999997</v>
      </c>
      <c r="CS200" s="541">
        <v>61.792499999999997</v>
      </c>
      <c r="CT200" s="541">
        <v>61.792499999999997</v>
      </c>
      <c r="CU200" s="541">
        <v>61.792499999999997</v>
      </c>
      <c r="CV200" s="541">
        <v>61.792499999999997</v>
      </c>
      <c r="CW200" s="541">
        <v>61.792499999999997</v>
      </c>
      <c r="CX200" s="541">
        <v>61.792499999999997</v>
      </c>
      <c r="CY200" s="541">
        <v>61.792499999999997</v>
      </c>
      <c r="CZ200" s="541">
        <v>61.792499999999997</v>
      </c>
      <c r="DA200" s="541">
        <v>61.792499999999997</v>
      </c>
      <c r="DB200" s="541">
        <v>61.792499999999997</v>
      </c>
      <c r="DC200" s="541">
        <v>61.792499999999997</v>
      </c>
      <c r="DD200" s="541">
        <v>61.792499999999997</v>
      </c>
      <c r="DE200" s="541">
        <v>61.792499999999997</v>
      </c>
      <c r="DF200" s="541">
        <v>61.792499999999997</v>
      </c>
      <c r="DG200" s="541">
        <v>61.792499999999997</v>
      </c>
      <c r="DH200" s="541">
        <v>61.792499999999997</v>
      </c>
    </row>
    <row r="201" spans="2:112">
      <c r="B201" t="s">
        <v>1078</v>
      </c>
      <c r="C201" t="s">
        <v>758</v>
      </c>
      <c r="D201" t="s">
        <v>923</v>
      </c>
      <c r="E201" t="s">
        <v>911</v>
      </c>
      <c r="F201" s="541">
        <v>2.9681708181818185</v>
      </c>
      <c r="G201" s="541">
        <v>2.9681708181818185</v>
      </c>
      <c r="H201" s="541">
        <v>2.9681708181818185</v>
      </c>
      <c r="I201" s="541">
        <v>2.9681708181818185</v>
      </c>
      <c r="J201" s="541">
        <v>2.9681708181818185</v>
      </c>
      <c r="K201" s="541">
        <v>2.9681708181818185</v>
      </c>
      <c r="L201" s="541">
        <v>2.9681708181818185</v>
      </c>
      <c r="M201" s="541">
        <v>2.9681708181818185</v>
      </c>
      <c r="N201" s="541">
        <v>2.9681708181818185</v>
      </c>
      <c r="O201" s="541">
        <v>2.9681708181818185</v>
      </c>
      <c r="P201" s="541">
        <v>2.9681708181818185</v>
      </c>
      <c r="Q201" s="541">
        <v>2.9681708181818185</v>
      </c>
      <c r="R201" s="541">
        <v>2.9681708181818185</v>
      </c>
      <c r="S201" s="541">
        <v>2.9681708181818185</v>
      </c>
      <c r="T201" s="541">
        <v>2.9681708181818185</v>
      </c>
      <c r="U201" s="541">
        <v>2.9681708181818185</v>
      </c>
      <c r="V201" s="541">
        <v>2.9681708181818185</v>
      </c>
      <c r="W201" s="541">
        <v>2.9681708181818185</v>
      </c>
      <c r="X201" s="541">
        <v>2.9681708181818185</v>
      </c>
      <c r="Y201" s="541">
        <v>2.9681708181818185</v>
      </c>
      <c r="Z201" s="541">
        <v>2.9681708181818185</v>
      </c>
      <c r="AA201" s="541">
        <v>2.9681708181818185</v>
      </c>
      <c r="AB201" s="541">
        <v>2.9681708181818185</v>
      </c>
      <c r="AC201" s="541">
        <v>2.9681708181818185</v>
      </c>
      <c r="AD201" s="541">
        <v>2.9681708181818185</v>
      </c>
      <c r="AE201" s="541">
        <v>2.9681708181818185</v>
      </c>
      <c r="AF201" s="541">
        <v>2.9681708181818185</v>
      </c>
      <c r="AG201" s="541">
        <v>2.9681708181818185</v>
      </c>
      <c r="AH201" s="542">
        <f t="shared" si="155"/>
        <v>2.9681708181818185</v>
      </c>
      <c r="AI201" s="542">
        <f t="shared" si="155"/>
        <v>2.9681708181818185</v>
      </c>
      <c r="AJ201" s="542">
        <f t="shared" si="155"/>
        <v>2.9681708181818185</v>
      </c>
      <c r="AK201" s="542">
        <f t="shared" si="155"/>
        <v>2.9681708181818185</v>
      </c>
      <c r="AL201" s="542">
        <f t="shared" si="155"/>
        <v>2.9681708181818185</v>
      </c>
      <c r="AM201" s="542">
        <f t="shared" si="155"/>
        <v>2.9681708181818185</v>
      </c>
      <c r="AN201" s="542">
        <f t="shared" si="155"/>
        <v>2.9681708181818185</v>
      </c>
      <c r="AO201" s="542">
        <f t="shared" si="155"/>
        <v>2.9681708181818185</v>
      </c>
      <c r="AP201" s="542">
        <f t="shared" si="155"/>
        <v>2.9681708181818185</v>
      </c>
      <c r="AQ201" s="542">
        <f t="shared" si="155"/>
        <v>2.9681708181818185</v>
      </c>
      <c r="AR201" s="542">
        <f t="shared" si="155"/>
        <v>2.9681708181818185</v>
      </c>
      <c r="AS201" s="542">
        <f t="shared" si="155"/>
        <v>2.9681708181818185</v>
      </c>
      <c r="AT201" s="542">
        <f t="shared" si="155"/>
        <v>2.9681708181818185</v>
      </c>
      <c r="AU201" s="542">
        <f t="shared" si="155"/>
        <v>2.9681708181818185</v>
      </c>
      <c r="AV201" s="542">
        <f t="shared" si="155"/>
        <v>2.9681708181818185</v>
      </c>
      <c r="AW201" s="542">
        <f t="shared" si="155"/>
        <v>2.9681708181818185</v>
      </c>
      <c r="AX201" s="542">
        <f t="shared" si="154"/>
        <v>2.9681708181818185</v>
      </c>
      <c r="AY201" s="542">
        <f t="shared" si="154"/>
        <v>2.9681708181818185</v>
      </c>
      <c r="AZ201" s="542">
        <f t="shared" si="154"/>
        <v>2.9681708181818185</v>
      </c>
      <c r="BA201" s="542">
        <f t="shared" si="154"/>
        <v>2.9681708181818185</v>
      </c>
      <c r="BB201" s="542">
        <f t="shared" si="154"/>
        <v>2.9681708181818185</v>
      </c>
      <c r="BC201" s="542">
        <f t="shared" si="154"/>
        <v>2.9681708181818185</v>
      </c>
      <c r="BD201" s="542">
        <f t="shared" si="154"/>
        <v>2.9681708181818185</v>
      </c>
      <c r="BE201" s="542">
        <f t="shared" si="154"/>
        <v>2.9681708181818185</v>
      </c>
      <c r="BF201" s="542">
        <f t="shared" si="154"/>
        <v>2.9681708181818185</v>
      </c>
      <c r="BG201" s="542">
        <f t="shared" si="154"/>
        <v>2.9681708181818185</v>
      </c>
      <c r="BH201" s="542">
        <f t="shared" si="154"/>
        <v>2.9681708181818185</v>
      </c>
      <c r="BI201" s="542">
        <f t="shared" si="154"/>
        <v>2.9681708181818185</v>
      </c>
      <c r="BJ201" s="542">
        <f t="shared" si="154"/>
        <v>2.9681708181818185</v>
      </c>
      <c r="BK201" s="542">
        <f t="shared" si="154"/>
        <v>2.9681708181818185</v>
      </c>
      <c r="BL201" s="542">
        <f t="shared" si="154"/>
        <v>2.9681708181818185</v>
      </c>
      <c r="BM201" s="542">
        <f t="shared" si="154"/>
        <v>2.9681708181818185</v>
      </c>
      <c r="BN201" s="542">
        <f t="shared" si="154"/>
        <v>2.9681708181818185</v>
      </c>
      <c r="BO201" s="542">
        <f t="shared" si="154"/>
        <v>2.9681708181818185</v>
      </c>
      <c r="BP201" s="542">
        <f t="shared" si="154"/>
        <v>2.9681708181818185</v>
      </c>
      <c r="BQ201" s="542">
        <f t="shared" si="154"/>
        <v>2.9681708181818185</v>
      </c>
      <c r="BR201" s="542">
        <f t="shared" si="154"/>
        <v>2.9681708181818185</v>
      </c>
      <c r="BS201" s="542">
        <f t="shared" si="154"/>
        <v>2.9681708181818185</v>
      </c>
      <c r="BT201" s="542">
        <f t="shared" si="154"/>
        <v>2.9681708181818185</v>
      </c>
      <c r="BU201" s="542">
        <f t="shared" si="154"/>
        <v>2.9681708181818185</v>
      </c>
      <c r="BV201" s="542">
        <f t="shared" si="154"/>
        <v>2.9681708181818185</v>
      </c>
      <c r="BW201" s="542">
        <f t="shared" si="154"/>
        <v>2.9681708181818185</v>
      </c>
      <c r="BX201" s="542">
        <f t="shared" si="154"/>
        <v>2.9681708181818185</v>
      </c>
      <c r="BY201" s="542">
        <f t="shared" si="154"/>
        <v>2.9681708181818185</v>
      </c>
      <c r="BZ201" s="542">
        <f t="shared" si="154"/>
        <v>2.9681708181818185</v>
      </c>
      <c r="CA201" s="542">
        <f t="shared" si="154"/>
        <v>2.9681708181818185</v>
      </c>
      <c r="CB201" s="542">
        <f t="shared" si="154"/>
        <v>2.9681708181818185</v>
      </c>
      <c r="CC201" s="542">
        <f t="shared" si="154"/>
        <v>2.9681708181818185</v>
      </c>
      <c r="CD201" s="542">
        <f t="shared" si="154"/>
        <v>2.9681708181818185</v>
      </c>
      <c r="CE201" s="542">
        <f t="shared" si="154"/>
        <v>2.9681708181818185</v>
      </c>
      <c r="CG201" s="541">
        <v>2.9681708181818185</v>
      </c>
      <c r="CH201" s="541">
        <v>2.9681708181818185</v>
      </c>
      <c r="CI201" s="541">
        <v>2.9681708181818185</v>
      </c>
      <c r="CJ201" s="541">
        <v>2.9681708181818185</v>
      </c>
      <c r="CK201" s="541">
        <v>2.9681708181818185</v>
      </c>
      <c r="CL201" s="541">
        <v>2.9681708181818185</v>
      </c>
      <c r="CM201" s="541">
        <v>2.9681708181818185</v>
      </c>
      <c r="CN201" s="541">
        <v>2.9681708181818185</v>
      </c>
      <c r="CO201" s="541">
        <v>2.9681708181818185</v>
      </c>
      <c r="CP201" s="541">
        <v>2.9681708181818185</v>
      </c>
      <c r="CQ201" s="541">
        <v>2.9681708181818185</v>
      </c>
      <c r="CR201" s="541">
        <v>2.9681708181818185</v>
      </c>
      <c r="CS201" s="541">
        <v>2.9681708181818185</v>
      </c>
      <c r="CT201" s="541">
        <v>2.9681708181818185</v>
      </c>
      <c r="CU201" s="541">
        <v>2.9681708181818185</v>
      </c>
      <c r="CV201" s="541">
        <v>2.9681708181818185</v>
      </c>
      <c r="CW201" s="541">
        <v>2.9681708181818185</v>
      </c>
      <c r="CX201" s="541">
        <v>2.9681708181818185</v>
      </c>
      <c r="CY201" s="541">
        <v>2.9681708181818185</v>
      </c>
      <c r="CZ201" s="541">
        <v>2.9681708181818185</v>
      </c>
      <c r="DA201" s="541">
        <v>2.9681708181818185</v>
      </c>
      <c r="DB201" s="541">
        <v>2.9681708181818185</v>
      </c>
      <c r="DC201" s="541">
        <v>2.9681708181818185</v>
      </c>
      <c r="DD201" s="541">
        <v>2.9681708181818185</v>
      </c>
      <c r="DE201" s="541">
        <v>2.9681708181818185</v>
      </c>
      <c r="DF201" s="541">
        <v>2.9681708181818185</v>
      </c>
      <c r="DG201" s="541">
        <v>2.9681708181818185</v>
      </c>
      <c r="DH201" s="541">
        <v>2.9681708181818185</v>
      </c>
    </row>
    <row r="202" spans="2:112">
      <c r="B202" t="s">
        <v>924</v>
      </c>
      <c r="F202" s="543"/>
      <c r="G202" s="543"/>
      <c r="H202" s="543"/>
      <c r="I202" s="543"/>
      <c r="J202" s="543"/>
      <c r="K202" s="543"/>
      <c r="L202" s="543"/>
      <c r="M202" s="543"/>
      <c r="N202" s="543"/>
      <c r="O202" s="543"/>
      <c r="P202" s="543"/>
      <c r="Q202" s="543"/>
      <c r="R202" s="543"/>
      <c r="S202" s="543"/>
      <c r="T202" s="543"/>
      <c r="U202" s="543"/>
      <c r="V202" s="543"/>
      <c r="W202" s="543"/>
      <c r="X202" s="543"/>
      <c r="Y202" s="543"/>
      <c r="Z202" s="543"/>
      <c r="AA202" s="543"/>
      <c r="AB202" s="543"/>
      <c r="AC202" s="543"/>
      <c r="AD202" s="543"/>
      <c r="AE202" s="543"/>
      <c r="AF202" s="543"/>
      <c r="AG202" s="543"/>
      <c r="AH202" s="543"/>
      <c r="AI202" s="543"/>
      <c r="AJ202" s="543"/>
      <c r="AK202" s="543"/>
      <c r="AL202" s="543"/>
      <c r="AM202" s="543"/>
      <c r="AN202" s="543"/>
      <c r="AO202" s="543"/>
      <c r="AP202" s="543"/>
      <c r="AQ202" s="543"/>
      <c r="AR202" s="543"/>
      <c r="AS202" s="543"/>
      <c r="AT202" s="543"/>
      <c r="AU202" s="543"/>
      <c r="AV202" s="543"/>
      <c r="AW202" s="543"/>
      <c r="AX202" s="543"/>
      <c r="AY202" s="543"/>
      <c r="AZ202" s="543"/>
      <c r="BA202" s="543"/>
      <c r="BB202" s="543"/>
      <c r="BC202" s="543"/>
      <c r="BD202" s="543"/>
      <c r="BE202" s="543"/>
      <c r="BF202" s="543"/>
      <c r="BG202" s="543"/>
      <c r="BH202" s="543"/>
      <c r="BI202" s="543"/>
      <c r="BJ202" s="543"/>
      <c r="BK202" s="543"/>
      <c r="BL202" s="543"/>
      <c r="BM202" s="543"/>
      <c r="BN202" s="543"/>
      <c r="BO202" s="543"/>
      <c r="BP202" s="543"/>
      <c r="BQ202" s="543"/>
      <c r="BR202" s="543"/>
      <c r="BS202" s="543"/>
      <c r="BT202" s="543"/>
      <c r="BU202" s="543"/>
      <c r="BV202" s="543"/>
      <c r="BW202" s="543"/>
      <c r="BX202" s="543"/>
      <c r="BY202" s="543"/>
      <c r="BZ202" s="543"/>
      <c r="CA202" s="543"/>
      <c r="CB202" s="543"/>
      <c r="CC202" s="543"/>
      <c r="CD202" s="543"/>
      <c r="CE202" s="543"/>
    </row>
    <row r="203" spans="2:112" ht="15">
      <c r="B203" t="s">
        <v>1079</v>
      </c>
      <c r="C203" s="485" t="s">
        <v>764</v>
      </c>
      <c r="D203" s="485" t="s">
        <v>877</v>
      </c>
      <c r="E203" s="485" t="s">
        <v>111</v>
      </c>
      <c r="F203" s="486">
        <f>2023</f>
        <v>2023</v>
      </c>
      <c r="G203" s="486">
        <f>F203+1</f>
        <v>2024</v>
      </c>
      <c r="H203" s="486">
        <f t="shared" ref="H203:AG203" si="156">G203+1</f>
        <v>2025</v>
      </c>
      <c r="I203" s="486">
        <f t="shared" si="156"/>
        <v>2026</v>
      </c>
      <c r="J203" s="486">
        <f t="shared" si="156"/>
        <v>2027</v>
      </c>
      <c r="K203" s="486">
        <f t="shared" si="156"/>
        <v>2028</v>
      </c>
      <c r="L203" s="486">
        <f t="shared" si="156"/>
        <v>2029</v>
      </c>
      <c r="M203" s="486">
        <f t="shared" si="156"/>
        <v>2030</v>
      </c>
      <c r="N203" s="486">
        <f t="shared" si="156"/>
        <v>2031</v>
      </c>
      <c r="O203" s="486">
        <f t="shared" si="156"/>
        <v>2032</v>
      </c>
      <c r="P203" s="486">
        <f t="shared" si="156"/>
        <v>2033</v>
      </c>
      <c r="Q203" s="486">
        <f t="shared" si="156"/>
        <v>2034</v>
      </c>
      <c r="R203" s="486">
        <f t="shared" si="156"/>
        <v>2035</v>
      </c>
      <c r="S203" s="486">
        <f t="shared" si="156"/>
        <v>2036</v>
      </c>
      <c r="T203" s="486">
        <f t="shared" si="156"/>
        <v>2037</v>
      </c>
      <c r="U203" s="486">
        <f t="shared" si="156"/>
        <v>2038</v>
      </c>
      <c r="V203" s="486">
        <f t="shared" si="156"/>
        <v>2039</v>
      </c>
      <c r="W203" s="486">
        <f t="shared" si="156"/>
        <v>2040</v>
      </c>
      <c r="X203" s="486">
        <f t="shared" si="156"/>
        <v>2041</v>
      </c>
      <c r="Y203" s="486">
        <f t="shared" si="156"/>
        <v>2042</v>
      </c>
      <c r="Z203" s="486">
        <f t="shared" si="156"/>
        <v>2043</v>
      </c>
      <c r="AA203" s="486">
        <f t="shared" si="156"/>
        <v>2044</v>
      </c>
      <c r="AB203" s="486">
        <f t="shared" si="156"/>
        <v>2045</v>
      </c>
      <c r="AC203" s="486">
        <f t="shared" si="156"/>
        <v>2046</v>
      </c>
      <c r="AD203" s="486">
        <f t="shared" si="156"/>
        <v>2047</v>
      </c>
      <c r="AE203" s="486">
        <f t="shared" si="156"/>
        <v>2048</v>
      </c>
      <c r="AF203" s="486">
        <f t="shared" si="156"/>
        <v>2049</v>
      </c>
      <c r="AG203" s="486">
        <f t="shared" si="156"/>
        <v>2050</v>
      </c>
      <c r="AH203" s="524">
        <f>AG203+1</f>
        <v>2051</v>
      </c>
      <c r="AI203" s="524">
        <f t="shared" ref="AI203:CE203" si="157">AH203+1</f>
        <v>2052</v>
      </c>
      <c r="AJ203" s="524">
        <f t="shared" si="157"/>
        <v>2053</v>
      </c>
      <c r="AK203" s="524">
        <f t="shared" si="157"/>
        <v>2054</v>
      </c>
      <c r="AL203" s="524">
        <f t="shared" si="157"/>
        <v>2055</v>
      </c>
      <c r="AM203" s="524">
        <f t="shared" si="157"/>
        <v>2056</v>
      </c>
      <c r="AN203" s="524">
        <f t="shared" si="157"/>
        <v>2057</v>
      </c>
      <c r="AO203" s="524">
        <f t="shared" si="157"/>
        <v>2058</v>
      </c>
      <c r="AP203" s="524">
        <f t="shared" si="157"/>
        <v>2059</v>
      </c>
      <c r="AQ203" s="524">
        <f t="shared" si="157"/>
        <v>2060</v>
      </c>
      <c r="AR203" s="524">
        <f t="shared" si="157"/>
        <v>2061</v>
      </c>
      <c r="AS203" s="524">
        <f t="shared" si="157"/>
        <v>2062</v>
      </c>
      <c r="AT203" s="524">
        <f t="shared" si="157"/>
        <v>2063</v>
      </c>
      <c r="AU203" s="524">
        <f t="shared" si="157"/>
        <v>2064</v>
      </c>
      <c r="AV203" s="524">
        <f t="shared" si="157"/>
        <v>2065</v>
      </c>
      <c r="AW203" s="524">
        <f t="shared" si="157"/>
        <v>2066</v>
      </c>
      <c r="AX203" s="524">
        <f t="shared" si="157"/>
        <v>2067</v>
      </c>
      <c r="AY203" s="524">
        <f t="shared" si="157"/>
        <v>2068</v>
      </c>
      <c r="AZ203" s="524">
        <f t="shared" si="157"/>
        <v>2069</v>
      </c>
      <c r="BA203" s="524">
        <f t="shared" si="157"/>
        <v>2070</v>
      </c>
      <c r="BB203" s="524">
        <f t="shared" si="157"/>
        <v>2071</v>
      </c>
      <c r="BC203" s="524">
        <f t="shared" si="157"/>
        <v>2072</v>
      </c>
      <c r="BD203" s="524">
        <f t="shared" si="157"/>
        <v>2073</v>
      </c>
      <c r="BE203" s="524">
        <f t="shared" si="157"/>
        <v>2074</v>
      </c>
      <c r="BF203" s="524">
        <f t="shared" si="157"/>
        <v>2075</v>
      </c>
      <c r="BG203" s="524">
        <f t="shared" si="157"/>
        <v>2076</v>
      </c>
      <c r="BH203" s="524">
        <f t="shared" si="157"/>
        <v>2077</v>
      </c>
      <c r="BI203" s="524">
        <f t="shared" si="157"/>
        <v>2078</v>
      </c>
      <c r="BJ203" s="524">
        <f t="shared" si="157"/>
        <v>2079</v>
      </c>
      <c r="BK203" s="524">
        <f t="shared" si="157"/>
        <v>2080</v>
      </c>
      <c r="BL203" s="524">
        <f t="shared" si="157"/>
        <v>2081</v>
      </c>
      <c r="BM203" s="524">
        <f t="shared" si="157"/>
        <v>2082</v>
      </c>
      <c r="BN203" s="524">
        <f t="shared" si="157"/>
        <v>2083</v>
      </c>
      <c r="BO203" s="524">
        <f t="shared" si="157"/>
        <v>2084</v>
      </c>
      <c r="BP203" s="524">
        <f t="shared" si="157"/>
        <v>2085</v>
      </c>
      <c r="BQ203" s="524">
        <f t="shared" si="157"/>
        <v>2086</v>
      </c>
      <c r="BR203" s="524">
        <f t="shared" si="157"/>
        <v>2087</v>
      </c>
      <c r="BS203" s="524">
        <f t="shared" si="157"/>
        <v>2088</v>
      </c>
      <c r="BT203" s="524">
        <f t="shared" si="157"/>
        <v>2089</v>
      </c>
      <c r="BU203" s="524">
        <f t="shared" si="157"/>
        <v>2090</v>
      </c>
      <c r="BV203" s="524">
        <f t="shared" si="157"/>
        <v>2091</v>
      </c>
      <c r="BW203" s="524">
        <f t="shared" si="157"/>
        <v>2092</v>
      </c>
      <c r="BX203" s="524">
        <f t="shared" si="157"/>
        <v>2093</v>
      </c>
      <c r="BY203" s="524">
        <f t="shared" si="157"/>
        <v>2094</v>
      </c>
      <c r="BZ203" s="524">
        <f t="shared" si="157"/>
        <v>2095</v>
      </c>
      <c r="CA203" s="524">
        <f t="shared" si="157"/>
        <v>2096</v>
      </c>
      <c r="CB203" s="524">
        <f t="shared" si="157"/>
        <v>2097</v>
      </c>
      <c r="CC203" s="524">
        <f t="shared" si="157"/>
        <v>2098</v>
      </c>
      <c r="CD203" s="524">
        <f t="shared" si="157"/>
        <v>2099</v>
      </c>
      <c r="CE203" s="524">
        <f t="shared" si="157"/>
        <v>2100</v>
      </c>
      <c r="CG203" s="486">
        <v>2023</v>
      </c>
      <c r="CH203" s="486">
        <v>2024</v>
      </c>
      <c r="CI203" s="486">
        <v>2025</v>
      </c>
      <c r="CJ203" s="486">
        <v>2026</v>
      </c>
      <c r="CK203" s="486">
        <v>2027</v>
      </c>
      <c r="CL203" s="486">
        <v>2028</v>
      </c>
      <c r="CM203" s="486">
        <v>2029</v>
      </c>
      <c r="CN203" s="486">
        <v>2030</v>
      </c>
      <c r="CO203" s="486">
        <v>2031</v>
      </c>
      <c r="CP203" s="486">
        <v>2032</v>
      </c>
      <c r="CQ203" s="486">
        <v>2033</v>
      </c>
      <c r="CR203" s="486">
        <v>2034</v>
      </c>
      <c r="CS203" s="486">
        <v>2035</v>
      </c>
      <c r="CT203" s="486">
        <v>2036</v>
      </c>
      <c r="CU203" s="486">
        <v>2037</v>
      </c>
      <c r="CV203" s="486">
        <v>2038</v>
      </c>
      <c r="CW203" s="486">
        <v>2039</v>
      </c>
      <c r="CX203" s="486">
        <v>2040</v>
      </c>
      <c r="CY203" s="486">
        <v>2041</v>
      </c>
      <c r="CZ203" s="486">
        <v>2042</v>
      </c>
      <c r="DA203" s="486">
        <v>2043</v>
      </c>
      <c r="DB203" s="486">
        <v>2044</v>
      </c>
      <c r="DC203" s="486">
        <v>2045</v>
      </c>
      <c r="DD203" s="486">
        <v>2046</v>
      </c>
      <c r="DE203" s="486">
        <v>2047</v>
      </c>
      <c r="DF203" s="486">
        <v>2048</v>
      </c>
      <c r="DG203" s="486">
        <v>2049</v>
      </c>
      <c r="DH203" s="486">
        <v>2050</v>
      </c>
    </row>
    <row r="204" spans="2:112">
      <c r="B204" t="s">
        <v>1080</v>
      </c>
      <c r="C204" t="s">
        <v>764</v>
      </c>
      <c r="D204" t="s">
        <v>879</v>
      </c>
      <c r="E204" t="s">
        <v>737</v>
      </c>
      <c r="F204" s="525">
        <v>300000</v>
      </c>
      <c r="G204" s="525">
        <v>300000</v>
      </c>
      <c r="H204" s="525">
        <v>300000</v>
      </c>
      <c r="I204" s="525">
        <v>300000</v>
      </c>
      <c r="J204" s="525">
        <v>300000</v>
      </c>
      <c r="K204" s="525">
        <v>300000</v>
      </c>
      <c r="L204" s="525">
        <v>300000</v>
      </c>
      <c r="M204" s="525">
        <v>300000</v>
      </c>
      <c r="N204" s="525">
        <v>300000</v>
      </c>
      <c r="O204" s="525">
        <v>300000</v>
      </c>
      <c r="P204" s="525">
        <v>300000</v>
      </c>
      <c r="Q204" s="525">
        <v>300000</v>
      </c>
      <c r="R204" s="525">
        <v>300000</v>
      </c>
      <c r="S204" s="525">
        <v>300000</v>
      </c>
      <c r="T204" s="525">
        <v>300000</v>
      </c>
      <c r="U204" s="525">
        <v>300000</v>
      </c>
      <c r="V204" s="525">
        <v>300000</v>
      </c>
      <c r="W204" s="525">
        <v>300000</v>
      </c>
      <c r="X204" s="525">
        <v>300000</v>
      </c>
      <c r="Y204" s="525">
        <v>300000</v>
      </c>
      <c r="Z204" s="525">
        <v>300000</v>
      </c>
      <c r="AA204" s="525">
        <v>300000</v>
      </c>
      <c r="AB204" s="525">
        <v>300000</v>
      </c>
      <c r="AC204" s="525">
        <v>300000</v>
      </c>
      <c r="AD204" s="525">
        <v>300000</v>
      </c>
      <c r="AE204" s="525">
        <v>300000</v>
      </c>
      <c r="AF204" s="525">
        <v>300000</v>
      </c>
      <c r="AG204" s="525">
        <v>300000</v>
      </c>
      <c r="AH204" s="526">
        <f>AG204</f>
        <v>300000</v>
      </c>
      <c r="AI204" s="526">
        <f t="shared" ref="AI204:AX204" si="158">AH204</f>
        <v>300000</v>
      </c>
      <c r="AJ204" s="526">
        <f t="shared" si="158"/>
        <v>300000</v>
      </c>
      <c r="AK204" s="526">
        <f t="shared" si="158"/>
        <v>300000</v>
      </c>
      <c r="AL204" s="526">
        <f t="shared" si="158"/>
        <v>300000</v>
      </c>
      <c r="AM204" s="526">
        <f t="shared" si="158"/>
        <v>300000</v>
      </c>
      <c r="AN204" s="526">
        <f t="shared" si="158"/>
        <v>300000</v>
      </c>
      <c r="AO204" s="526">
        <f t="shared" si="158"/>
        <v>300000</v>
      </c>
      <c r="AP204" s="526">
        <f t="shared" si="158"/>
        <v>300000</v>
      </c>
      <c r="AQ204" s="526">
        <f t="shared" si="158"/>
        <v>300000</v>
      </c>
      <c r="AR204" s="526">
        <f t="shared" si="158"/>
        <v>300000</v>
      </c>
      <c r="AS204" s="526">
        <f t="shared" si="158"/>
        <v>300000</v>
      </c>
      <c r="AT204" s="526">
        <f t="shared" si="158"/>
        <v>300000</v>
      </c>
      <c r="AU204" s="526">
        <f t="shared" si="158"/>
        <v>300000</v>
      </c>
      <c r="AV204" s="526">
        <f t="shared" si="158"/>
        <v>300000</v>
      </c>
      <c r="AW204" s="526">
        <f t="shared" si="158"/>
        <v>300000</v>
      </c>
      <c r="AX204" s="526">
        <f t="shared" si="158"/>
        <v>300000</v>
      </c>
      <c r="AY204" s="526">
        <f t="shared" ref="AY204:BN204" si="159">AX204</f>
        <v>300000</v>
      </c>
      <c r="AZ204" s="526">
        <f t="shared" si="159"/>
        <v>300000</v>
      </c>
      <c r="BA204" s="526">
        <f t="shared" si="159"/>
        <v>300000</v>
      </c>
      <c r="BB204" s="526">
        <f t="shared" si="159"/>
        <v>300000</v>
      </c>
      <c r="BC204" s="526">
        <f t="shared" si="159"/>
        <v>300000</v>
      </c>
      <c r="BD204" s="526">
        <f t="shared" si="159"/>
        <v>300000</v>
      </c>
      <c r="BE204" s="526">
        <f t="shared" si="159"/>
        <v>300000</v>
      </c>
      <c r="BF204" s="526">
        <f t="shared" si="159"/>
        <v>300000</v>
      </c>
      <c r="BG204" s="526">
        <f t="shared" si="159"/>
        <v>300000</v>
      </c>
      <c r="BH204" s="526">
        <f t="shared" si="159"/>
        <v>300000</v>
      </c>
      <c r="BI204" s="526">
        <f t="shared" si="159"/>
        <v>300000</v>
      </c>
      <c r="BJ204" s="526">
        <f t="shared" si="159"/>
        <v>300000</v>
      </c>
      <c r="BK204" s="526">
        <f t="shared" si="159"/>
        <v>300000</v>
      </c>
      <c r="BL204" s="526">
        <f t="shared" si="159"/>
        <v>300000</v>
      </c>
      <c r="BM204" s="526">
        <f t="shared" si="159"/>
        <v>300000</v>
      </c>
      <c r="BN204" s="526">
        <f t="shared" si="159"/>
        <v>300000</v>
      </c>
      <c r="BO204" s="526">
        <f t="shared" ref="BO204:CD204" si="160">BN204</f>
        <v>300000</v>
      </c>
      <c r="BP204" s="526">
        <f t="shared" si="160"/>
        <v>300000</v>
      </c>
      <c r="BQ204" s="526">
        <f t="shared" si="160"/>
        <v>300000</v>
      </c>
      <c r="BR204" s="526">
        <f t="shared" si="160"/>
        <v>300000</v>
      </c>
      <c r="BS204" s="526">
        <f t="shared" si="160"/>
        <v>300000</v>
      </c>
      <c r="BT204" s="526">
        <f t="shared" si="160"/>
        <v>300000</v>
      </c>
      <c r="BU204" s="526">
        <f t="shared" si="160"/>
        <v>300000</v>
      </c>
      <c r="BV204" s="526">
        <f t="shared" si="160"/>
        <v>300000</v>
      </c>
      <c r="BW204" s="526">
        <f t="shared" si="160"/>
        <v>300000</v>
      </c>
      <c r="BX204" s="526">
        <f t="shared" si="160"/>
        <v>300000</v>
      </c>
      <c r="BY204" s="526">
        <f t="shared" si="160"/>
        <v>300000</v>
      </c>
      <c r="BZ204" s="526">
        <f t="shared" si="160"/>
        <v>300000</v>
      </c>
      <c r="CA204" s="526">
        <f t="shared" si="160"/>
        <v>300000</v>
      </c>
      <c r="CB204" s="526">
        <f t="shared" si="160"/>
        <v>300000</v>
      </c>
      <c r="CC204" s="526">
        <f t="shared" si="160"/>
        <v>300000</v>
      </c>
      <c r="CD204" s="526">
        <f t="shared" si="160"/>
        <v>300000</v>
      </c>
      <c r="CE204" s="526">
        <f t="shared" ref="AX204:CE212" si="161">CD204</f>
        <v>300000</v>
      </c>
      <c r="CG204" s="536">
        <v>300000</v>
      </c>
      <c r="CH204" s="536">
        <v>300000</v>
      </c>
      <c r="CI204" s="536">
        <v>300000</v>
      </c>
      <c r="CJ204" s="536">
        <v>300000</v>
      </c>
      <c r="CK204" s="536">
        <v>300000</v>
      </c>
      <c r="CL204" s="536">
        <v>300000</v>
      </c>
      <c r="CM204" s="536">
        <v>300000</v>
      </c>
      <c r="CN204" s="536">
        <v>300000</v>
      </c>
      <c r="CO204" s="536">
        <v>300000</v>
      </c>
      <c r="CP204" s="536">
        <v>300000</v>
      </c>
      <c r="CQ204" s="536">
        <v>300000</v>
      </c>
      <c r="CR204" s="536">
        <v>300000</v>
      </c>
      <c r="CS204" s="536">
        <v>300000</v>
      </c>
      <c r="CT204" s="536">
        <v>300000</v>
      </c>
      <c r="CU204" s="536">
        <v>300000</v>
      </c>
      <c r="CV204" s="536">
        <v>300000</v>
      </c>
      <c r="CW204" s="536">
        <v>300000</v>
      </c>
      <c r="CX204" s="536">
        <v>300000</v>
      </c>
      <c r="CY204" s="536">
        <v>300000</v>
      </c>
      <c r="CZ204" s="536">
        <v>300000</v>
      </c>
      <c r="DA204" s="536">
        <v>300000</v>
      </c>
      <c r="DB204" s="536">
        <v>300000</v>
      </c>
      <c r="DC204" s="536">
        <v>300000</v>
      </c>
      <c r="DD204" s="536">
        <v>300000</v>
      </c>
      <c r="DE204" s="536">
        <v>300000</v>
      </c>
      <c r="DF204" s="536">
        <v>300000</v>
      </c>
      <c r="DG204" s="536">
        <v>300000</v>
      </c>
      <c r="DH204" s="536">
        <v>300000</v>
      </c>
    </row>
    <row r="205" spans="2:112">
      <c r="B205" t="s">
        <v>1081</v>
      </c>
      <c r="C205" t="s">
        <v>764</v>
      </c>
      <c r="D205" t="s">
        <v>695</v>
      </c>
      <c r="E205" t="s">
        <v>881</v>
      </c>
      <c r="F205" s="525">
        <v>300</v>
      </c>
      <c r="G205" s="525">
        <v>300</v>
      </c>
      <c r="H205" s="525">
        <v>300</v>
      </c>
      <c r="I205" s="525">
        <v>300</v>
      </c>
      <c r="J205" s="525">
        <v>300</v>
      </c>
      <c r="K205" s="525">
        <v>300</v>
      </c>
      <c r="L205" s="525">
        <v>300</v>
      </c>
      <c r="M205" s="525">
        <v>300</v>
      </c>
      <c r="N205" s="525">
        <v>300</v>
      </c>
      <c r="O205" s="525">
        <v>300</v>
      </c>
      <c r="P205" s="525">
        <v>300</v>
      </c>
      <c r="Q205" s="525">
        <v>300</v>
      </c>
      <c r="R205" s="525">
        <v>300</v>
      </c>
      <c r="S205" s="525">
        <v>300</v>
      </c>
      <c r="T205" s="525">
        <v>300</v>
      </c>
      <c r="U205" s="525">
        <v>300</v>
      </c>
      <c r="V205" s="525">
        <v>300</v>
      </c>
      <c r="W205" s="525">
        <v>300</v>
      </c>
      <c r="X205" s="525">
        <v>300</v>
      </c>
      <c r="Y205" s="525">
        <v>300</v>
      </c>
      <c r="Z205" s="525">
        <v>300</v>
      </c>
      <c r="AA205" s="525">
        <v>300</v>
      </c>
      <c r="AB205" s="525">
        <v>300</v>
      </c>
      <c r="AC205" s="525">
        <v>300</v>
      </c>
      <c r="AD205" s="525">
        <v>300</v>
      </c>
      <c r="AE205" s="525">
        <v>300</v>
      </c>
      <c r="AF205" s="525">
        <v>300</v>
      </c>
      <c r="AG205" s="525">
        <v>300</v>
      </c>
      <c r="AH205" s="526">
        <f t="shared" ref="AH205:AW214" si="162">AG205</f>
        <v>300</v>
      </c>
      <c r="AI205" s="526">
        <f t="shared" si="162"/>
        <v>300</v>
      </c>
      <c r="AJ205" s="526">
        <f t="shared" si="162"/>
        <v>300</v>
      </c>
      <c r="AK205" s="526">
        <f t="shared" si="162"/>
        <v>300</v>
      </c>
      <c r="AL205" s="526">
        <f t="shared" si="162"/>
        <v>300</v>
      </c>
      <c r="AM205" s="526">
        <f t="shared" si="162"/>
        <v>300</v>
      </c>
      <c r="AN205" s="526">
        <f t="shared" si="162"/>
        <v>300</v>
      </c>
      <c r="AO205" s="526">
        <f t="shared" si="162"/>
        <v>300</v>
      </c>
      <c r="AP205" s="526">
        <f t="shared" si="162"/>
        <v>300</v>
      </c>
      <c r="AQ205" s="526">
        <f t="shared" si="162"/>
        <v>300</v>
      </c>
      <c r="AR205" s="526">
        <f t="shared" si="162"/>
        <v>300</v>
      </c>
      <c r="AS205" s="526">
        <f t="shared" si="162"/>
        <v>300</v>
      </c>
      <c r="AT205" s="526">
        <f t="shared" si="162"/>
        <v>300</v>
      </c>
      <c r="AU205" s="526">
        <f t="shared" si="162"/>
        <v>300</v>
      </c>
      <c r="AV205" s="526">
        <f t="shared" si="162"/>
        <v>300</v>
      </c>
      <c r="AW205" s="526">
        <f t="shared" si="162"/>
        <v>300</v>
      </c>
      <c r="AX205" s="526">
        <f t="shared" si="161"/>
        <v>300</v>
      </c>
      <c r="AY205" s="526">
        <f t="shared" si="161"/>
        <v>300</v>
      </c>
      <c r="AZ205" s="526">
        <f t="shared" si="161"/>
        <v>300</v>
      </c>
      <c r="BA205" s="526">
        <f t="shared" si="161"/>
        <v>300</v>
      </c>
      <c r="BB205" s="526">
        <f t="shared" si="161"/>
        <v>300</v>
      </c>
      <c r="BC205" s="526">
        <f t="shared" si="161"/>
        <v>300</v>
      </c>
      <c r="BD205" s="526">
        <f t="shared" si="161"/>
        <v>300</v>
      </c>
      <c r="BE205" s="526">
        <f t="shared" si="161"/>
        <v>300</v>
      </c>
      <c r="BF205" s="526">
        <f t="shared" si="161"/>
        <v>300</v>
      </c>
      <c r="BG205" s="526">
        <f t="shared" si="161"/>
        <v>300</v>
      </c>
      <c r="BH205" s="526">
        <f t="shared" si="161"/>
        <v>300</v>
      </c>
      <c r="BI205" s="526">
        <f t="shared" si="161"/>
        <v>300</v>
      </c>
      <c r="BJ205" s="526">
        <f t="shared" si="161"/>
        <v>300</v>
      </c>
      <c r="BK205" s="526">
        <f t="shared" si="161"/>
        <v>300</v>
      </c>
      <c r="BL205" s="526">
        <f t="shared" si="161"/>
        <v>300</v>
      </c>
      <c r="BM205" s="526">
        <f t="shared" si="161"/>
        <v>300</v>
      </c>
      <c r="BN205" s="526">
        <f t="shared" si="161"/>
        <v>300</v>
      </c>
      <c r="BO205" s="526">
        <f t="shared" si="161"/>
        <v>300</v>
      </c>
      <c r="BP205" s="526">
        <f t="shared" si="161"/>
        <v>300</v>
      </c>
      <c r="BQ205" s="526">
        <f t="shared" si="161"/>
        <v>300</v>
      </c>
      <c r="BR205" s="526">
        <f t="shared" si="161"/>
        <v>300</v>
      </c>
      <c r="BS205" s="526">
        <f t="shared" si="161"/>
        <v>300</v>
      </c>
      <c r="BT205" s="526">
        <f t="shared" si="161"/>
        <v>300</v>
      </c>
      <c r="BU205" s="526">
        <f t="shared" si="161"/>
        <v>300</v>
      </c>
      <c r="BV205" s="526">
        <f t="shared" si="161"/>
        <v>300</v>
      </c>
      <c r="BW205" s="526">
        <f t="shared" si="161"/>
        <v>300</v>
      </c>
      <c r="BX205" s="526">
        <f t="shared" si="161"/>
        <v>300</v>
      </c>
      <c r="BY205" s="526">
        <f t="shared" si="161"/>
        <v>300</v>
      </c>
      <c r="BZ205" s="526">
        <f t="shared" si="161"/>
        <v>300</v>
      </c>
      <c r="CA205" s="526">
        <f t="shared" si="161"/>
        <v>300</v>
      </c>
      <c r="CB205" s="526">
        <f t="shared" si="161"/>
        <v>300</v>
      </c>
      <c r="CC205" s="526">
        <f t="shared" si="161"/>
        <v>300</v>
      </c>
      <c r="CD205" s="526">
        <f t="shared" si="161"/>
        <v>300</v>
      </c>
      <c r="CE205" s="526">
        <f t="shared" si="161"/>
        <v>300</v>
      </c>
      <c r="CG205" s="536">
        <v>300</v>
      </c>
      <c r="CH205" s="536">
        <v>300</v>
      </c>
      <c r="CI205" s="536">
        <v>300</v>
      </c>
      <c r="CJ205" s="536">
        <v>300</v>
      </c>
      <c r="CK205" s="536">
        <v>300</v>
      </c>
      <c r="CL205" s="536">
        <v>300</v>
      </c>
      <c r="CM205" s="536">
        <v>300</v>
      </c>
      <c r="CN205" s="536">
        <v>300</v>
      </c>
      <c r="CO205" s="536">
        <v>300</v>
      </c>
      <c r="CP205" s="536">
        <v>300</v>
      </c>
      <c r="CQ205" s="536">
        <v>300</v>
      </c>
      <c r="CR205" s="536">
        <v>300</v>
      </c>
      <c r="CS205" s="536">
        <v>300</v>
      </c>
      <c r="CT205" s="536">
        <v>300</v>
      </c>
      <c r="CU205" s="536">
        <v>300</v>
      </c>
      <c r="CV205" s="536">
        <v>300</v>
      </c>
      <c r="CW205" s="536">
        <v>300</v>
      </c>
      <c r="CX205" s="536">
        <v>300</v>
      </c>
      <c r="CY205" s="536">
        <v>300</v>
      </c>
      <c r="CZ205" s="536">
        <v>300</v>
      </c>
      <c r="DA205" s="536">
        <v>300</v>
      </c>
      <c r="DB205" s="536">
        <v>300</v>
      </c>
      <c r="DC205" s="536">
        <v>300</v>
      </c>
      <c r="DD205" s="536">
        <v>300</v>
      </c>
      <c r="DE205" s="536">
        <v>300</v>
      </c>
      <c r="DF205" s="536">
        <v>300</v>
      </c>
      <c r="DG205" s="536">
        <v>300</v>
      </c>
      <c r="DH205" s="536">
        <v>300</v>
      </c>
    </row>
    <row r="206" spans="2:112">
      <c r="B206" t="s">
        <v>1082</v>
      </c>
      <c r="C206" t="s">
        <v>764</v>
      </c>
      <c r="D206" t="s">
        <v>883</v>
      </c>
      <c r="E206" t="s">
        <v>884</v>
      </c>
      <c r="F206" s="525">
        <v>13</v>
      </c>
      <c r="G206" s="525">
        <v>13</v>
      </c>
      <c r="H206" s="525">
        <v>13</v>
      </c>
      <c r="I206" s="525">
        <v>13</v>
      </c>
      <c r="J206" s="525">
        <v>13</v>
      </c>
      <c r="K206" s="525">
        <v>13</v>
      </c>
      <c r="L206" s="525">
        <v>13</v>
      </c>
      <c r="M206" s="525">
        <v>13</v>
      </c>
      <c r="N206" s="525">
        <v>13</v>
      </c>
      <c r="O206" s="525">
        <v>13</v>
      </c>
      <c r="P206" s="525">
        <v>13</v>
      </c>
      <c r="Q206" s="525">
        <v>13</v>
      </c>
      <c r="R206" s="525">
        <v>13</v>
      </c>
      <c r="S206" s="525">
        <v>13</v>
      </c>
      <c r="T206" s="525">
        <v>13</v>
      </c>
      <c r="U206" s="525">
        <v>13</v>
      </c>
      <c r="V206" s="525">
        <v>13</v>
      </c>
      <c r="W206" s="525">
        <v>13</v>
      </c>
      <c r="X206" s="525">
        <v>13</v>
      </c>
      <c r="Y206" s="525">
        <v>13</v>
      </c>
      <c r="Z206" s="525">
        <v>13</v>
      </c>
      <c r="AA206" s="525">
        <v>13</v>
      </c>
      <c r="AB206" s="525">
        <v>13</v>
      </c>
      <c r="AC206" s="525">
        <v>13</v>
      </c>
      <c r="AD206" s="525">
        <v>13</v>
      </c>
      <c r="AE206" s="525">
        <v>13</v>
      </c>
      <c r="AF206" s="525">
        <v>13</v>
      </c>
      <c r="AG206" s="525">
        <v>13</v>
      </c>
      <c r="AH206" s="526">
        <f t="shared" si="162"/>
        <v>13</v>
      </c>
      <c r="AI206" s="526">
        <f t="shared" si="162"/>
        <v>13</v>
      </c>
      <c r="AJ206" s="526">
        <f t="shared" si="162"/>
        <v>13</v>
      </c>
      <c r="AK206" s="526">
        <f t="shared" si="162"/>
        <v>13</v>
      </c>
      <c r="AL206" s="526">
        <f t="shared" si="162"/>
        <v>13</v>
      </c>
      <c r="AM206" s="526">
        <f t="shared" si="162"/>
        <v>13</v>
      </c>
      <c r="AN206" s="526">
        <f t="shared" si="162"/>
        <v>13</v>
      </c>
      <c r="AO206" s="526">
        <f t="shared" si="162"/>
        <v>13</v>
      </c>
      <c r="AP206" s="526">
        <f t="shared" si="162"/>
        <v>13</v>
      </c>
      <c r="AQ206" s="526">
        <f t="shared" si="162"/>
        <v>13</v>
      </c>
      <c r="AR206" s="526">
        <f t="shared" si="162"/>
        <v>13</v>
      </c>
      <c r="AS206" s="526">
        <f t="shared" si="162"/>
        <v>13</v>
      </c>
      <c r="AT206" s="526">
        <f t="shared" si="162"/>
        <v>13</v>
      </c>
      <c r="AU206" s="526">
        <f t="shared" si="162"/>
        <v>13</v>
      </c>
      <c r="AV206" s="526">
        <f t="shared" si="162"/>
        <v>13</v>
      </c>
      <c r="AW206" s="526">
        <f t="shared" si="162"/>
        <v>13</v>
      </c>
      <c r="AX206" s="526">
        <f t="shared" si="161"/>
        <v>13</v>
      </c>
      <c r="AY206" s="526">
        <f t="shared" si="161"/>
        <v>13</v>
      </c>
      <c r="AZ206" s="526">
        <f t="shared" si="161"/>
        <v>13</v>
      </c>
      <c r="BA206" s="526">
        <f t="shared" si="161"/>
        <v>13</v>
      </c>
      <c r="BB206" s="526">
        <f t="shared" si="161"/>
        <v>13</v>
      </c>
      <c r="BC206" s="526">
        <f t="shared" si="161"/>
        <v>13</v>
      </c>
      <c r="BD206" s="526">
        <f t="shared" si="161"/>
        <v>13</v>
      </c>
      <c r="BE206" s="526">
        <f t="shared" si="161"/>
        <v>13</v>
      </c>
      <c r="BF206" s="526">
        <f t="shared" si="161"/>
        <v>13</v>
      </c>
      <c r="BG206" s="526">
        <f t="shared" si="161"/>
        <v>13</v>
      </c>
      <c r="BH206" s="526">
        <f t="shared" si="161"/>
        <v>13</v>
      </c>
      <c r="BI206" s="526">
        <f t="shared" si="161"/>
        <v>13</v>
      </c>
      <c r="BJ206" s="526">
        <f t="shared" si="161"/>
        <v>13</v>
      </c>
      <c r="BK206" s="526">
        <f t="shared" si="161"/>
        <v>13</v>
      </c>
      <c r="BL206" s="526">
        <f t="shared" si="161"/>
        <v>13</v>
      </c>
      <c r="BM206" s="526">
        <f t="shared" si="161"/>
        <v>13</v>
      </c>
      <c r="BN206" s="526">
        <f t="shared" si="161"/>
        <v>13</v>
      </c>
      <c r="BO206" s="526">
        <f t="shared" si="161"/>
        <v>13</v>
      </c>
      <c r="BP206" s="526">
        <f t="shared" si="161"/>
        <v>13</v>
      </c>
      <c r="BQ206" s="526">
        <f t="shared" si="161"/>
        <v>13</v>
      </c>
      <c r="BR206" s="526">
        <f t="shared" si="161"/>
        <v>13</v>
      </c>
      <c r="BS206" s="526">
        <f t="shared" si="161"/>
        <v>13</v>
      </c>
      <c r="BT206" s="526">
        <f t="shared" si="161"/>
        <v>13</v>
      </c>
      <c r="BU206" s="526">
        <f t="shared" si="161"/>
        <v>13</v>
      </c>
      <c r="BV206" s="526">
        <f t="shared" si="161"/>
        <v>13</v>
      </c>
      <c r="BW206" s="526">
        <f t="shared" si="161"/>
        <v>13</v>
      </c>
      <c r="BX206" s="526">
        <f t="shared" si="161"/>
        <v>13</v>
      </c>
      <c r="BY206" s="526">
        <f t="shared" si="161"/>
        <v>13</v>
      </c>
      <c r="BZ206" s="526">
        <f t="shared" si="161"/>
        <v>13</v>
      </c>
      <c r="CA206" s="526">
        <f t="shared" si="161"/>
        <v>13</v>
      </c>
      <c r="CB206" s="526">
        <f t="shared" si="161"/>
        <v>13</v>
      </c>
      <c r="CC206" s="526">
        <f t="shared" si="161"/>
        <v>13</v>
      </c>
      <c r="CD206" s="526">
        <f t="shared" si="161"/>
        <v>13</v>
      </c>
      <c r="CE206" s="526">
        <f t="shared" si="161"/>
        <v>13</v>
      </c>
      <c r="CG206" s="536">
        <v>13</v>
      </c>
      <c r="CH206" s="536">
        <v>13</v>
      </c>
      <c r="CI206" s="536">
        <v>13</v>
      </c>
      <c r="CJ206" s="536">
        <v>13</v>
      </c>
      <c r="CK206" s="536">
        <v>13</v>
      </c>
      <c r="CL206" s="536">
        <v>13</v>
      </c>
      <c r="CM206" s="536">
        <v>13</v>
      </c>
      <c r="CN206" s="536">
        <v>13</v>
      </c>
      <c r="CO206" s="536">
        <v>13</v>
      </c>
      <c r="CP206" s="536">
        <v>13</v>
      </c>
      <c r="CQ206" s="536">
        <v>13</v>
      </c>
      <c r="CR206" s="536">
        <v>13</v>
      </c>
      <c r="CS206" s="536">
        <v>13</v>
      </c>
      <c r="CT206" s="536">
        <v>13</v>
      </c>
      <c r="CU206" s="536">
        <v>13</v>
      </c>
      <c r="CV206" s="536">
        <v>13</v>
      </c>
      <c r="CW206" s="536">
        <v>13</v>
      </c>
      <c r="CX206" s="536">
        <v>13</v>
      </c>
      <c r="CY206" s="536">
        <v>13</v>
      </c>
      <c r="CZ206" s="536">
        <v>13</v>
      </c>
      <c r="DA206" s="536">
        <v>13</v>
      </c>
      <c r="DB206" s="536">
        <v>13</v>
      </c>
      <c r="DC206" s="536">
        <v>13</v>
      </c>
      <c r="DD206" s="536">
        <v>13</v>
      </c>
      <c r="DE206" s="536">
        <v>13</v>
      </c>
      <c r="DF206" s="536">
        <v>13</v>
      </c>
      <c r="DG206" s="536">
        <v>13</v>
      </c>
      <c r="DH206" s="536">
        <v>13</v>
      </c>
    </row>
    <row r="207" spans="2:112">
      <c r="B207" t="s">
        <v>1083</v>
      </c>
      <c r="C207" t="s">
        <v>764</v>
      </c>
      <c r="D207" t="s">
        <v>886</v>
      </c>
      <c r="E207" t="s">
        <v>178</v>
      </c>
      <c r="F207" s="537">
        <v>0.51</v>
      </c>
      <c r="G207" s="537">
        <v>0.51</v>
      </c>
      <c r="H207" s="537">
        <v>0.51</v>
      </c>
      <c r="I207" s="537">
        <v>0.51</v>
      </c>
      <c r="J207" s="537">
        <v>0.51</v>
      </c>
      <c r="K207" s="537">
        <v>0.51</v>
      </c>
      <c r="L207" s="537">
        <v>0.51</v>
      </c>
      <c r="M207" s="537">
        <v>0.51</v>
      </c>
      <c r="N207" s="537">
        <v>0.51</v>
      </c>
      <c r="O207" s="537">
        <v>0.51</v>
      </c>
      <c r="P207" s="537">
        <v>0.51</v>
      </c>
      <c r="Q207" s="537">
        <v>0.51</v>
      </c>
      <c r="R207" s="537">
        <v>0.51</v>
      </c>
      <c r="S207" s="537">
        <v>0.51</v>
      </c>
      <c r="T207" s="537">
        <v>0.51</v>
      </c>
      <c r="U207" s="537">
        <v>0.51</v>
      </c>
      <c r="V207" s="537">
        <v>0.51</v>
      </c>
      <c r="W207" s="537">
        <v>0.51</v>
      </c>
      <c r="X207" s="537">
        <v>0.51</v>
      </c>
      <c r="Y207" s="537">
        <v>0.51</v>
      </c>
      <c r="Z207" s="537">
        <v>0.51</v>
      </c>
      <c r="AA207" s="537">
        <v>0.51</v>
      </c>
      <c r="AB207" s="537">
        <v>0.51</v>
      </c>
      <c r="AC207" s="537">
        <v>0.51</v>
      </c>
      <c r="AD207" s="537">
        <v>0.51</v>
      </c>
      <c r="AE207" s="537">
        <v>0.51</v>
      </c>
      <c r="AF207" s="537">
        <v>0.51</v>
      </c>
      <c r="AG207" s="537">
        <v>0.51</v>
      </c>
      <c r="AH207" s="526">
        <f t="shared" si="162"/>
        <v>0.51</v>
      </c>
      <c r="AI207" s="526">
        <f t="shared" si="162"/>
        <v>0.51</v>
      </c>
      <c r="AJ207" s="526">
        <f t="shared" si="162"/>
        <v>0.51</v>
      </c>
      <c r="AK207" s="526">
        <f t="shared" si="162"/>
        <v>0.51</v>
      </c>
      <c r="AL207" s="526">
        <f t="shared" si="162"/>
        <v>0.51</v>
      </c>
      <c r="AM207" s="526">
        <f t="shared" si="162"/>
        <v>0.51</v>
      </c>
      <c r="AN207" s="526">
        <f t="shared" si="162"/>
        <v>0.51</v>
      </c>
      <c r="AO207" s="526">
        <f t="shared" si="162"/>
        <v>0.51</v>
      </c>
      <c r="AP207" s="526">
        <f t="shared" si="162"/>
        <v>0.51</v>
      </c>
      <c r="AQ207" s="526">
        <f t="shared" si="162"/>
        <v>0.51</v>
      </c>
      <c r="AR207" s="526">
        <f t="shared" si="162"/>
        <v>0.51</v>
      </c>
      <c r="AS207" s="526">
        <f t="shared" si="162"/>
        <v>0.51</v>
      </c>
      <c r="AT207" s="526">
        <f t="shared" si="162"/>
        <v>0.51</v>
      </c>
      <c r="AU207" s="526">
        <f t="shared" si="162"/>
        <v>0.51</v>
      </c>
      <c r="AV207" s="526">
        <f t="shared" si="162"/>
        <v>0.51</v>
      </c>
      <c r="AW207" s="526">
        <f t="shared" si="162"/>
        <v>0.51</v>
      </c>
      <c r="AX207" s="526">
        <f t="shared" si="161"/>
        <v>0.51</v>
      </c>
      <c r="AY207" s="526">
        <f t="shared" si="161"/>
        <v>0.51</v>
      </c>
      <c r="AZ207" s="526">
        <f t="shared" si="161"/>
        <v>0.51</v>
      </c>
      <c r="BA207" s="526">
        <f t="shared" si="161"/>
        <v>0.51</v>
      </c>
      <c r="BB207" s="526">
        <f t="shared" si="161"/>
        <v>0.51</v>
      </c>
      <c r="BC207" s="526">
        <f t="shared" si="161"/>
        <v>0.51</v>
      </c>
      <c r="BD207" s="526">
        <f t="shared" si="161"/>
        <v>0.51</v>
      </c>
      <c r="BE207" s="526">
        <f t="shared" si="161"/>
        <v>0.51</v>
      </c>
      <c r="BF207" s="526">
        <f t="shared" si="161"/>
        <v>0.51</v>
      </c>
      <c r="BG207" s="526">
        <f t="shared" si="161"/>
        <v>0.51</v>
      </c>
      <c r="BH207" s="526">
        <f t="shared" si="161"/>
        <v>0.51</v>
      </c>
      <c r="BI207" s="526">
        <f t="shared" si="161"/>
        <v>0.51</v>
      </c>
      <c r="BJ207" s="526">
        <f t="shared" si="161"/>
        <v>0.51</v>
      </c>
      <c r="BK207" s="526">
        <f t="shared" si="161"/>
        <v>0.51</v>
      </c>
      <c r="BL207" s="526">
        <f t="shared" si="161"/>
        <v>0.51</v>
      </c>
      <c r="BM207" s="526">
        <f t="shared" si="161"/>
        <v>0.51</v>
      </c>
      <c r="BN207" s="526">
        <f t="shared" si="161"/>
        <v>0.51</v>
      </c>
      <c r="BO207" s="526">
        <f t="shared" si="161"/>
        <v>0.51</v>
      </c>
      <c r="BP207" s="526">
        <f t="shared" si="161"/>
        <v>0.51</v>
      </c>
      <c r="BQ207" s="526">
        <f t="shared" si="161"/>
        <v>0.51</v>
      </c>
      <c r="BR207" s="526">
        <f t="shared" si="161"/>
        <v>0.51</v>
      </c>
      <c r="BS207" s="526">
        <f t="shared" si="161"/>
        <v>0.51</v>
      </c>
      <c r="BT207" s="526">
        <f t="shared" si="161"/>
        <v>0.51</v>
      </c>
      <c r="BU207" s="526">
        <f t="shared" si="161"/>
        <v>0.51</v>
      </c>
      <c r="BV207" s="526">
        <f t="shared" si="161"/>
        <v>0.51</v>
      </c>
      <c r="BW207" s="526">
        <f t="shared" si="161"/>
        <v>0.51</v>
      </c>
      <c r="BX207" s="526">
        <f t="shared" si="161"/>
        <v>0.51</v>
      </c>
      <c r="BY207" s="526">
        <f t="shared" si="161"/>
        <v>0.51</v>
      </c>
      <c r="BZ207" s="526">
        <f t="shared" si="161"/>
        <v>0.51</v>
      </c>
      <c r="CA207" s="526">
        <f t="shared" si="161"/>
        <v>0.51</v>
      </c>
      <c r="CB207" s="526">
        <f t="shared" si="161"/>
        <v>0.51</v>
      </c>
      <c r="CC207" s="526">
        <f t="shared" si="161"/>
        <v>0.51</v>
      </c>
      <c r="CD207" s="526">
        <f t="shared" si="161"/>
        <v>0.51</v>
      </c>
      <c r="CE207" s="526">
        <f t="shared" si="161"/>
        <v>0.51</v>
      </c>
      <c r="CG207" s="537">
        <v>0.51</v>
      </c>
      <c r="CH207" s="537">
        <v>0.51</v>
      </c>
      <c r="CI207" s="537">
        <v>0.51</v>
      </c>
      <c r="CJ207" s="537">
        <v>0.51</v>
      </c>
      <c r="CK207" s="537">
        <v>0.51</v>
      </c>
      <c r="CL207" s="537">
        <v>0.51</v>
      </c>
      <c r="CM207" s="537">
        <v>0.51</v>
      </c>
      <c r="CN207" s="537">
        <v>0.51</v>
      </c>
      <c r="CO207" s="537">
        <v>0.51</v>
      </c>
      <c r="CP207" s="537">
        <v>0.51</v>
      </c>
      <c r="CQ207" s="537">
        <v>0.51</v>
      </c>
      <c r="CR207" s="537">
        <v>0.51</v>
      </c>
      <c r="CS207" s="537">
        <v>0.51</v>
      </c>
      <c r="CT207" s="537">
        <v>0.51</v>
      </c>
      <c r="CU207" s="537">
        <v>0.51</v>
      </c>
      <c r="CV207" s="537">
        <v>0.51</v>
      </c>
      <c r="CW207" s="537">
        <v>0.51</v>
      </c>
      <c r="CX207" s="537">
        <v>0.51</v>
      </c>
      <c r="CY207" s="537">
        <v>0.51</v>
      </c>
      <c r="CZ207" s="537">
        <v>0.51</v>
      </c>
      <c r="DA207" s="537">
        <v>0.51</v>
      </c>
      <c r="DB207" s="537">
        <v>0.51</v>
      </c>
      <c r="DC207" s="537">
        <v>0.51</v>
      </c>
      <c r="DD207" s="537">
        <v>0.51</v>
      </c>
      <c r="DE207" s="537">
        <v>0.51</v>
      </c>
      <c r="DF207" s="537">
        <v>0.51</v>
      </c>
      <c r="DG207" s="537">
        <v>0.51</v>
      </c>
      <c r="DH207" s="537">
        <v>0.51</v>
      </c>
    </row>
    <row r="208" spans="2:112">
      <c r="B208" t="s">
        <v>1084</v>
      </c>
      <c r="C208" t="s">
        <v>764</v>
      </c>
      <c r="D208" t="s">
        <v>888</v>
      </c>
      <c r="E208" t="s">
        <v>178</v>
      </c>
      <c r="F208" s="537">
        <v>0.51</v>
      </c>
      <c r="G208" s="537">
        <v>0.51</v>
      </c>
      <c r="H208" s="537">
        <v>0.51</v>
      </c>
      <c r="I208" s="537">
        <v>0.51</v>
      </c>
      <c r="J208" s="537">
        <v>0.51</v>
      </c>
      <c r="K208" s="537">
        <v>0.51</v>
      </c>
      <c r="L208" s="537">
        <v>0.51</v>
      </c>
      <c r="M208" s="537">
        <v>0.51</v>
      </c>
      <c r="N208" s="537">
        <v>0.51</v>
      </c>
      <c r="O208" s="537">
        <v>0.51</v>
      </c>
      <c r="P208" s="537">
        <v>0.51</v>
      </c>
      <c r="Q208" s="537">
        <v>0.51</v>
      </c>
      <c r="R208" s="537">
        <v>0.51</v>
      </c>
      <c r="S208" s="537">
        <v>0.51</v>
      </c>
      <c r="T208" s="537">
        <v>0.51</v>
      </c>
      <c r="U208" s="537">
        <v>0.51</v>
      </c>
      <c r="V208" s="537">
        <v>0.51</v>
      </c>
      <c r="W208" s="537">
        <v>0.51</v>
      </c>
      <c r="X208" s="537">
        <v>0.51</v>
      </c>
      <c r="Y208" s="537">
        <v>0.51</v>
      </c>
      <c r="Z208" s="537">
        <v>0.51</v>
      </c>
      <c r="AA208" s="537">
        <v>0.51</v>
      </c>
      <c r="AB208" s="537">
        <v>0.51</v>
      </c>
      <c r="AC208" s="537">
        <v>0.51</v>
      </c>
      <c r="AD208" s="537">
        <v>0.51</v>
      </c>
      <c r="AE208" s="537">
        <v>0.51</v>
      </c>
      <c r="AF208" s="537">
        <v>0.51</v>
      </c>
      <c r="AG208" s="537">
        <v>0.51</v>
      </c>
      <c r="AH208" s="526">
        <f t="shared" si="162"/>
        <v>0.51</v>
      </c>
      <c r="AI208" s="526">
        <f t="shared" si="162"/>
        <v>0.51</v>
      </c>
      <c r="AJ208" s="526">
        <f t="shared" si="162"/>
        <v>0.51</v>
      </c>
      <c r="AK208" s="526">
        <f t="shared" si="162"/>
        <v>0.51</v>
      </c>
      <c r="AL208" s="526">
        <f t="shared" si="162"/>
        <v>0.51</v>
      </c>
      <c r="AM208" s="526">
        <f t="shared" si="162"/>
        <v>0.51</v>
      </c>
      <c r="AN208" s="526">
        <f t="shared" si="162"/>
        <v>0.51</v>
      </c>
      <c r="AO208" s="526">
        <f t="shared" si="162"/>
        <v>0.51</v>
      </c>
      <c r="AP208" s="526">
        <f t="shared" si="162"/>
        <v>0.51</v>
      </c>
      <c r="AQ208" s="526">
        <f t="shared" si="162"/>
        <v>0.51</v>
      </c>
      <c r="AR208" s="526">
        <f t="shared" si="162"/>
        <v>0.51</v>
      </c>
      <c r="AS208" s="526">
        <f t="shared" si="162"/>
        <v>0.51</v>
      </c>
      <c r="AT208" s="526">
        <f t="shared" si="162"/>
        <v>0.51</v>
      </c>
      <c r="AU208" s="526">
        <f t="shared" si="162"/>
        <v>0.51</v>
      </c>
      <c r="AV208" s="526">
        <f t="shared" si="162"/>
        <v>0.51</v>
      </c>
      <c r="AW208" s="526">
        <f t="shared" si="162"/>
        <v>0.51</v>
      </c>
      <c r="AX208" s="526">
        <f t="shared" si="161"/>
        <v>0.51</v>
      </c>
      <c r="AY208" s="526">
        <f t="shared" si="161"/>
        <v>0.51</v>
      </c>
      <c r="AZ208" s="526">
        <f t="shared" si="161"/>
        <v>0.51</v>
      </c>
      <c r="BA208" s="526">
        <f t="shared" si="161"/>
        <v>0.51</v>
      </c>
      <c r="BB208" s="526">
        <f t="shared" si="161"/>
        <v>0.51</v>
      </c>
      <c r="BC208" s="526">
        <f t="shared" si="161"/>
        <v>0.51</v>
      </c>
      <c r="BD208" s="526">
        <f t="shared" si="161"/>
        <v>0.51</v>
      </c>
      <c r="BE208" s="526">
        <f t="shared" si="161"/>
        <v>0.51</v>
      </c>
      <c r="BF208" s="526">
        <f t="shared" si="161"/>
        <v>0.51</v>
      </c>
      <c r="BG208" s="526">
        <f t="shared" si="161"/>
        <v>0.51</v>
      </c>
      <c r="BH208" s="526">
        <f t="shared" si="161"/>
        <v>0.51</v>
      </c>
      <c r="BI208" s="526">
        <f t="shared" si="161"/>
        <v>0.51</v>
      </c>
      <c r="BJ208" s="526">
        <f t="shared" si="161"/>
        <v>0.51</v>
      </c>
      <c r="BK208" s="526">
        <f t="shared" si="161"/>
        <v>0.51</v>
      </c>
      <c r="BL208" s="526">
        <f t="shared" si="161"/>
        <v>0.51</v>
      </c>
      <c r="BM208" s="526">
        <f t="shared" si="161"/>
        <v>0.51</v>
      </c>
      <c r="BN208" s="526">
        <f t="shared" si="161"/>
        <v>0.51</v>
      </c>
      <c r="BO208" s="526">
        <f t="shared" si="161"/>
        <v>0.51</v>
      </c>
      <c r="BP208" s="526">
        <f t="shared" si="161"/>
        <v>0.51</v>
      </c>
      <c r="BQ208" s="526">
        <f t="shared" si="161"/>
        <v>0.51</v>
      </c>
      <c r="BR208" s="526">
        <f t="shared" si="161"/>
        <v>0.51</v>
      </c>
      <c r="BS208" s="526">
        <f t="shared" si="161"/>
        <v>0.51</v>
      </c>
      <c r="BT208" s="526">
        <f t="shared" si="161"/>
        <v>0.51</v>
      </c>
      <c r="BU208" s="526">
        <f t="shared" si="161"/>
        <v>0.51</v>
      </c>
      <c r="BV208" s="526">
        <f t="shared" si="161"/>
        <v>0.51</v>
      </c>
      <c r="BW208" s="526">
        <f t="shared" si="161"/>
        <v>0.51</v>
      </c>
      <c r="BX208" s="526">
        <f t="shared" si="161"/>
        <v>0.51</v>
      </c>
      <c r="BY208" s="526">
        <f t="shared" si="161"/>
        <v>0.51</v>
      </c>
      <c r="BZ208" s="526">
        <f t="shared" si="161"/>
        <v>0.51</v>
      </c>
      <c r="CA208" s="526">
        <f t="shared" si="161"/>
        <v>0.51</v>
      </c>
      <c r="CB208" s="526">
        <f t="shared" si="161"/>
        <v>0.51</v>
      </c>
      <c r="CC208" s="526">
        <f t="shared" si="161"/>
        <v>0.51</v>
      </c>
      <c r="CD208" s="526">
        <f t="shared" si="161"/>
        <v>0.51</v>
      </c>
      <c r="CE208" s="526">
        <f t="shared" si="161"/>
        <v>0.51</v>
      </c>
      <c r="CG208" s="537">
        <v>0.51</v>
      </c>
      <c r="CH208" s="537">
        <v>0.51</v>
      </c>
      <c r="CI208" s="537">
        <v>0.51</v>
      </c>
      <c r="CJ208" s="537">
        <v>0.51</v>
      </c>
      <c r="CK208" s="537">
        <v>0.51</v>
      </c>
      <c r="CL208" s="537">
        <v>0.51</v>
      </c>
      <c r="CM208" s="537">
        <v>0.51</v>
      </c>
      <c r="CN208" s="537">
        <v>0.51</v>
      </c>
      <c r="CO208" s="537">
        <v>0.51</v>
      </c>
      <c r="CP208" s="537">
        <v>0.51</v>
      </c>
      <c r="CQ208" s="537">
        <v>0.51</v>
      </c>
      <c r="CR208" s="537">
        <v>0.51</v>
      </c>
      <c r="CS208" s="537">
        <v>0.51</v>
      </c>
      <c r="CT208" s="537">
        <v>0.51</v>
      </c>
      <c r="CU208" s="537">
        <v>0.51</v>
      </c>
      <c r="CV208" s="537">
        <v>0.51</v>
      </c>
      <c r="CW208" s="537">
        <v>0.51</v>
      </c>
      <c r="CX208" s="537">
        <v>0.51</v>
      </c>
      <c r="CY208" s="537">
        <v>0.51</v>
      </c>
      <c r="CZ208" s="537">
        <v>0.51</v>
      </c>
      <c r="DA208" s="537">
        <v>0.51</v>
      </c>
      <c r="DB208" s="537">
        <v>0.51</v>
      </c>
      <c r="DC208" s="537">
        <v>0.51</v>
      </c>
      <c r="DD208" s="537">
        <v>0.51</v>
      </c>
      <c r="DE208" s="537">
        <v>0.51</v>
      </c>
      <c r="DF208" s="537">
        <v>0.51</v>
      </c>
      <c r="DG208" s="537">
        <v>0.51</v>
      </c>
      <c r="DH208" s="537">
        <v>0.51</v>
      </c>
    </row>
    <row r="209" spans="2:112">
      <c r="B209" t="s">
        <v>1085</v>
      </c>
      <c r="C209" t="s">
        <v>764</v>
      </c>
      <c r="D209" t="s">
        <v>890</v>
      </c>
      <c r="E209" t="s">
        <v>178</v>
      </c>
      <c r="F209" s="537">
        <v>0.51</v>
      </c>
      <c r="G209" s="537">
        <v>0.51</v>
      </c>
      <c r="H209" s="537">
        <v>0.51</v>
      </c>
      <c r="I209" s="537">
        <v>0.51</v>
      </c>
      <c r="J209" s="537">
        <v>0.51</v>
      </c>
      <c r="K209" s="537">
        <v>0.51</v>
      </c>
      <c r="L209" s="537">
        <v>0.51</v>
      </c>
      <c r="M209" s="537">
        <v>0.51</v>
      </c>
      <c r="N209" s="537">
        <v>0.51</v>
      </c>
      <c r="O209" s="537">
        <v>0.51</v>
      </c>
      <c r="P209" s="537">
        <v>0.51</v>
      </c>
      <c r="Q209" s="537">
        <v>0.51</v>
      </c>
      <c r="R209" s="537">
        <v>0.51</v>
      </c>
      <c r="S209" s="537">
        <v>0.51</v>
      </c>
      <c r="T209" s="537">
        <v>0.51</v>
      </c>
      <c r="U209" s="537">
        <v>0.51</v>
      </c>
      <c r="V209" s="537">
        <v>0.51</v>
      </c>
      <c r="W209" s="537">
        <v>0.51</v>
      </c>
      <c r="X209" s="537">
        <v>0.51</v>
      </c>
      <c r="Y209" s="537">
        <v>0.51</v>
      </c>
      <c r="Z209" s="537">
        <v>0.51</v>
      </c>
      <c r="AA209" s="537">
        <v>0.51</v>
      </c>
      <c r="AB209" s="537">
        <v>0.51</v>
      </c>
      <c r="AC209" s="537">
        <v>0.51</v>
      </c>
      <c r="AD209" s="537">
        <v>0.51</v>
      </c>
      <c r="AE209" s="537">
        <v>0.51</v>
      </c>
      <c r="AF209" s="537">
        <v>0.51</v>
      </c>
      <c r="AG209" s="537">
        <v>0.51</v>
      </c>
      <c r="AH209" s="526">
        <f t="shared" si="162"/>
        <v>0.51</v>
      </c>
      <c r="AI209" s="526">
        <f t="shared" si="162"/>
        <v>0.51</v>
      </c>
      <c r="AJ209" s="526">
        <f t="shared" si="162"/>
        <v>0.51</v>
      </c>
      <c r="AK209" s="526">
        <f t="shared" si="162"/>
        <v>0.51</v>
      </c>
      <c r="AL209" s="526">
        <f t="shared" si="162"/>
        <v>0.51</v>
      </c>
      <c r="AM209" s="526">
        <f t="shared" si="162"/>
        <v>0.51</v>
      </c>
      <c r="AN209" s="526">
        <f t="shared" si="162"/>
        <v>0.51</v>
      </c>
      <c r="AO209" s="526">
        <f t="shared" si="162"/>
        <v>0.51</v>
      </c>
      <c r="AP209" s="526">
        <f t="shared" si="162"/>
        <v>0.51</v>
      </c>
      <c r="AQ209" s="526">
        <f t="shared" si="162"/>
        <v>0.51</v>
      </c>
      <c r="AR209" s="526">
        <f t="shared" si="162"/>
        <v>0.51</v>
      </c>
      <c r="AS209" s="526">
        <f t="shared" si="162"/>
        <v>0.51</v>
      </c>
      <c r="AT209" s="526">
        <f t="shared" si="162"/>
        <v>0.51</v>
      </c>
      <c r="AU209" s="526">
        <f t="shared" si="162"/>
        <v>0.51</v>
      </c>
      <c r="AV209" s="526">
        <f t="shared" si="162"/>
        <v>0.51</v>
      </c>
      <c r="AW209" s="526">
        <f t="shared" si="162"/>
        <v>0.51</v>
      </c>
      <c r="AX209" s="526">
        <f t="shared" si="161"/>
        <v>0.51</v>
      </c>
      <c r="AY209" s="526">
        <f t="shared" si="161"/>
        <v>0.51</v>
      </c>
      <c r="AZ209" s="526">
        <f t="shared" si="161"/>
        <v>0.51</v>
      </c>
      <c r="BA209" s="526">
        <f t="shared" si="161"/>
        <v>0.51</v>
      </c>
      <c r="BB209" s="526">
        <f t="shared" si="161"/>
        <v>0.51</v>
      </c>
      <c r="BC209" s="526">
        <f t="shared" si="161"/>
        <v>0.51</v>
      </c>
      <c r="BD209" s="526">
        <f t="shared" si="161"/>
        <v>0.51</v>
      </c>
      <c r="BE209" s="526">
        <f t="shared" si="161"/>
        <v>0.51</v>
      </c>
      <c r="BF209" s="526">
        <f t="shared" si="161"/>
        <v>0.51</v>
      </c>
      <c r="BG209" s="526">
        <f t="shared" si="161"/>
        <v>0.51</v>
      </c>
      <c r="BH209" s="526">
        <f t="shared" si="161"/>
        <v>0.51</v>
      </c>
      <c r="BI209" s="526">
        <f t="shared" si="161"/>
        <v>0.51</v>
      </c>
      <c r="BJ209" s="526">
        <f t="shared" si="161"/>
        <v>0.51</v>
      </c>
      <c r="BK209" s="526">
        <f t="shared" si="161"/>
        <v>0.51</v>
      </c>
      <c r="BL209" s="526">
        <f t="shared" si="161"/>
        <v>0.51</v>
      </c>
      <c r="BM209" s="526">
        <f t="shared" si="161"/>
        <v>0.51</v>
      </c>
      <c r="BN209" s="526">
        <f t="shared" si="161"/>
        <v>0.51</v>
      </c>
      <c r="BO209" s="526">
        <f t="shared" si="161"/>
        <v>0.51</v>
      </c>
      <c r="BP209" s="526">
        <f t="shared" si="161"/>
        <v>0.51</v>
      </c>
      <c r="BQ209" s="526">
        <f t="shared" si="161"/>
        <v>0.51</v>
      </c>
      <c r="BR209" s="526">
        <f t="shared" si="161"/>
        <v>0.51</v>
      </c>
      <c r="BS209" s="526">
        <f t="shared" si="161"/>
        <v>0.51</v>
      </c>
      <c r="BT209" s="526">
        <f t="shared" si="161"/>
        <v>0.51</v>
      </c>
      <c r="BU209" s="526">
        <f t="shared" si="161"/>
        <v>0.51</v>
      </c>
      <c r="BV209" s="526">
        <f t="shared" si="161"/>
        <v>0.51</v>
      </c>
      <c r="BW209" s="526">
        <f t="shared" si="161"/>
        <v>0.51</v>
      </c>
      <c r="BX209" s="526">
        <f t="shared" si="161"/>
        <v>0.51</v>
      </c>
      <c r="BY209" s="526">
        <f t="shared" si="161"/>
        <v>0.51</v>
      </c>
      <c r="BZ209" s="526">
        <f t="shared" si="161"/>
        <v>0.51</v>
      </c>
      <c r="CA209" s="526">
        <f t="shared" si="161"/>
        <v>0.51</v>
      </c>
      <c r="CB209" s="526">
        <f t="shared" si="161"/>
        <v>0.51</v>
      </c>
      <c r="CC209" s="526">
        <f t="shared" si="161"/>
        <v>0.51</v>
      </c>
      <c r="CD209" s="526">
        <f t="shared" si="161"/>
        <v>0.51</v>
      </c>
      <c r="CE209" s="526">
        <f t="shared" si="161"/>
        <v>0.51</v>
      </c>
      <c r="CG209" s="537">
        <v>0.51</v>
      </c>
      <c r="CH209" s="537">
        <v>0.51</v>
      </c>
      <c r="CI209" s="537">
        <v>0.51</v>
      </c>
      <c r="CJ209" s="537">
        <v>0.51</v>
      </c>
      <c r="CK209" s="537">
        <v>0.51</v>
      </c>
      <c r="CL209" s="537">
        <v>0.51</v>
      </c>
      <c r="CM209" s="537">
        <v>0.51</v>
      </c>
      <c r="CN209" s="537">
        <v>0.51</v>
      </c>
      <c r="CO209" s="537">
        <v>0.51</v>
      </c>
      <c r="CP209" s="537">
        <v>0.51</v>
      </c>
      <c r="CQ209" s="537">
        <v>0.51</v>
      </c>
      <c r="CR209" s="537">
        <v>0.51</v>
      </c>
      <c r="CS209" s="537">
        <v>0.51</v>
      </c>
      <c r="CT209" s="537">
        <v>0.51</v>
      </c>
      <c r="CU209" s="537">
        <v>0.51</v>
      </c>
      <c r="CV209" s="537">
        <v>0.51</v>
      </c>
      <c r="CW209" s="537">
        <v>0.51</v>
      </c>
      <c r="CX209" s="537">
        <v>0.51</v>
      </c>
      <c r="CY209" s="537">
        <v>0.51</v>
      </c>
      <c r="CZ209" s="537">
        <v>0.51</v>
      </c>
      <c r="DA209" s="537">
        <v>0.51</v>
      </c>
      <c r="DB209" s="537">
        <v>0.51</v>
      </c>
      <c r="DC209" s="537">
        <v>0.51</v>
      </c>
      <c r="DD209" s="537">
        <v>0.51</v>
      </c>
      <c r="DE209" s="537">
        <v>0.51</v>
      </c>
      <c r="DF209" s="537">
        <v>0.51</v>
      </c>
      <c r="DG209" s="537">
        <v>0.51</v>
      </c>
      <c r="DH209" s="537">
        <v>0.51</v>
      </c>
    </row>
    <row r="210" spans="2:112">
      <c r="B210" t="s">
        <v>1086</v>
      </c>
      <c r="C210" t="s">
        <v>764</v>
      </c>
      <c r="D210" t="s">
        <v>892</v>
      </c>
      <c r="E210" t="s">
        <v>178</v>
      </c>
      <c r="F210" s="537">
        <v>0.51</v>
      </c>
      <c r="G210" s="537">
        <v>0.51</v>
      </c>
      <c r="H210" s="537">
        <v>0.51</v>
      </c>
      <c r="I210" s="537">
        <v>0.51</v>
      </c>
      <c r="J210" s="537">
        <v>0.51</v>
      </c>
      <c r="K210" s="537">
        <v>0.51</v>
      </c>
      <c r="L210" s="537">
        <v>0.51</v>
      </c>
      <c r="M210" s="537">
        <v>0.51</v>
      </c>
      <c r="N210" s="537">
        <v>0.51</v>
      </c>
      <c r="O210" s="537">
        <v>0.51</v>
      </c>
      <c r="P210" s="537">
        <v>0.51</v>
      </c>
      <c r="Q210" s="537">
        <v>0.51</v>
      </c>
      <c r="R210" s="537">
        <v>0.51</v>
      </c>
      <c r="S210" s="537">
        <v>0.51</v>
      </c>
      <c r="T210" s="537">
        <v>0.51</v>
      </c>
      <c r="U210" s="537">
        <v>0.51</v>
      </c>
      <c r="V210" s="537">
        <v>0.51</v>
      </c>
      <c r="W210" s="537">
        <v>0.51</v>
      </c>
      <c r="X210" s="537">
        <v>0.51</v>
      </c>
      <c r="Y210" s="537">
        <v>0.51</v>
      </c>
      <c r="Z210" s="537">
        <v>0.51</v>
      </c>
      <c r="AA210" s="537">
        <v>0.51</v>
      </c>
      <c r="AB210" s="537">
        <v>0.51</v>
      </c>
      <c r="AC210" s="537">
        <v>0.51</v>
      </c>
      <c r="AD210" s="537">
        <v>0.51</v>
      </c>
      <c r="AE210" s="537">
        <v>0.51</v>
      </c>
      <c r="AF210" s="537">
        <v>0.51</v>
      </c>
      <c r="AG210" s="537">
        <v>0.51</v>
      </c>
      <c r="AH210" s="526">
        <f t="shared" si="162"/>
        <v>0.51</v>
      </c>
      <c r="AI210" s="526">
        <f t="shared" si="162"/>
        <v>0.51</v>
      </c>
      <c r="AJ210" s="526">
        <f t="shared" si="162"/>
        <v>0.51</v>
      </c>
      <c r="AK210" s="526">
        <f t="shared" si="162"/>
        <v>0.51</v>
      </c>
      <c r="AL210" s="526">
        <f t="shared" si="162"/>
        <v>0.51</v>
      </c>
      <c r="AM210" s="526">
        <f t="shared" si="162"/>
        <v>0.51</v>
      </c>
      <c r="AN210" s="526">
        <f t="shared" si="162"/>
        <v>0.51</v>
      </c>
      <c r="AO210" s="526">
        <f t="shared" si="162"/>
        <v>0.51</v>
      </c>
      <c r="AP210" s="526">
        <f t="shared" si="162"/>
        <v>0.51</v>
      </c>
      <c r="AQ210" s="526">
        <f t="shared" si="162"/>
        <v>0.51</v>
      </c>
      <c r="AR210" s="526">
        <f t="shared" si="162"/>
        <v>0.51</v>
      </c>
      <c r="AS210" s="526">
        <f t="shared" si="162"/>
        <v>0.51</v>
      </c>
      <c r="AT210" s="526">
        <f t="shared" si="162"/>
        <v>0.51</v>
      </c>
      <c r="AU210" s="526">
        <f t="shared" si="162"/>
        <v>0.51</v>
      </c>
      <c r="AV210" s="526">
        <f t="shared" si="162"/>
        <v>0.51</v>
      </c>
      <c r="AW210" s="526">
        <f t="shared" si="162"/>
        <v>0.51</v>
      </c>
      <c r="AX210" s="526">
        <f t="shared" si="161"/>
        <v>0.51</v>
      </c>
      <c r="AY210" s="526">
        <f t="shared" si="161"/>
        <v>0.51</v>
      </c>
      <c r="AZ210" s="526">
        <f t="shared" si="161"/>
        <v>0.51</v>
      </c>
      <c r="BA210" s="526">
        <f t="shared" si="161"/>
        <v>0.51</v>
      </c>
      <c r="BB210" s="526">
        <f t="shared" si="161"/>
        <v>0.51</v>
      </c>
      <c r="BC210" s="526">
        <f t="shared" si="161"/>
        <v>0.51</v>
      </c>
      <c r="BD210" s="526">
        <f t="shared" si="161"/>
        <v>0.51</v>
      </c>
      <c r="BE210" s="526">
        <f t="shared" si="161"/>
        <v>0.51</v>
      </c>
      <c r="BF210" s="526">
        <f t="shared" si="161"/>
        <v>0.51</v>
      </c>
      <c r="BG210" s="526">
        <f t="shared" si="161"/>
        <v>0.51</v>
      </c>
      <c r="BH210" s="526">
        <f t="shared" si="161"/>
        <v>0.51</v>
      </c>
      <c r="BI210" s="526">
        <f t="shared" si="161"/>
        <v>0.51</v>
      </c>
      <c r="BJ210" s="526">
        <f t="shared" si="161"/>
        <v>0.51</v>
      </c>
      <c r="BK210" s="526">
        <f t="shared" si="161"/>
        <v>0.51</v>
      </c>
      <c r="BL210" s="526">
        <f t="shared" si="161"/>
        <v>0.51</v>
      </c>
      <c r="BM210" s="526">
        <f t="shared" si="161"/>
        <v>0.51</v>
      </c>
      <c r="BN210" s="526">
        <f t="shared" si="161"/>
        <v>0.51</v>
      </c>
      <c r="BO210" s="526">
        <f t="shared" si="161"/>
        <v>0.51</v>
      </c>
      <c r="BP210" s="526">
        <f t="shared" si="161"/>
        <v>0.51</v>
      </c>
      <c r="BQ210" s="526">
        <f t="shared" si="161"/>
        <v>0.51</v>
      </c>
      <c r="BR210" s="526">
        <f t="shared" si="161"/>
        <v>0.51</v>
      </c>
      <c r="BS210" s="526">
        <f t="shared" si="161"/>
        <v>0.51</v>
      </c>
      <c r="BT210" s="526">
        <f t="shared" si="161"/>
        <v>0.51</v>
      </c>
      <c r="BU210" s="526">
        <f t="shared" si="161"/>
        <v>0.51</v>
      </c>
      <c r="BV210" s="526">
        <f t="shared" si="161"/>
        <v>0.51</v>
      </c>
      <c r="BW210" s="526">
        <f t="shared" si="161"/>
        <v>0.51</v>
      </c>
      <c r="BX210" s="526">
        <f t="shared" si="161"/>
        <v>0.51</v>
      </c>
      <c r="BY210" s="526">
        <f t="shared" si="161"/>
        <v>0.51</v>
      </c>
      <c r="BZ210" s="526">
        <f t="shared" si="161"/>
        <v>0.51</v>
      </c>
      <c r="CA210" s="526">
        <f t="shared" si="161"/>
        <v>0.51</v>
      </c>
      <c r="CB210" s="526">
        <f t="shared" si="161"/>
        <v>0.51</v>
      </c>
      <c r="CC210" s="526">
        <f t="shared" si="161"/>
        <v>0.51</v>
      </c>
      <c r="CD210" s="526">
        <f t="shared" si="161"/>
        <v>0.51</v>
      </c>
      <c r="CE210" s="526">
        <f t="shared" si="161"/>
        <v>0.51</v>
      </c>
      <c r="CG210" s="537">
        <v>0.51</v>
      </c>
      <c r="CH210" s="537">
        <v>0.51</v>
      </c>
      <c r="CI210" s="537">
        <v>0.51</v>
      </c>
      <c r="CJ210" s="537">
        <v>0.51</v>
      </c>
      <c r="CK210" s="537">
        <v>0.51</v>
      </c>
      <c r="CL210" s="537">
        <v>0.51</v>
      </c>
      <c r="CM210" s="537">
        <v>0.51</v>
      </c>
      <c r="CN210" s="537">
        <v>0.51</v>
      </c>
      <c r="CO210" s="537">
        <v>0.51</v>
      </c>
      <c r="CP210" s="537">
        <v>0.51</v>
      </c>
      <c r="CQ210" s="537">
        <v>0.51</v>
      </c>
      <c r="CR210" s="537">
        <v>0.51</v>
      </c>
      <c r="CS210" s="537">
        <v>0.51</v>
      </c>
      <c r="CT210" s="537">
        <v>0.51</v>
      </c>
      <c r="CU210" s="537">
        <v>0.51</v>
      </c>
      <c r="CV210" s="537">
        <v>0.51</v>
      </c>
      <c r="CW210" s="537">
        <v>0.51</v>
      </c>
      <c r="CX210" s="537">
        <v>0.51</v>
      </c>
      <c r="CY210" s="537">
        <v>0.51</v>
      </c>
      <c r="CZ210" s="537">
        <v>0.51</v>
      </c>
      <c r="DA210" s="537">
        <v>0.51</v>
      </c>
      <c r="DB210" s="537">
        <v>0.51</v>
      </c>
      <c r="DC210" s="537">
        <v>0.51</v>
      </c>
      <c r="DD210" s="537">
        <v>0.51</v>
      </c>
      <c r="DE210" s="537">
        <v>0.51</v>
      </c>
      <c r="DF210" s="537">
        <v>0.51</v>
      </c>
      <c r="DG210" s="537">
        <v>0.51</v>
      </c>
      <c r="DH210" s="537">
        <v>0.51</v>
      </c>
    </row>
    <row r="211" spans="2:112">
      <c r="B211" t="s">
        <v>1087</v>
      </c>
      <c r="C211" t="s">
        <v>764</v>
      </c>
      <c r="D211" t="s">
        <v>894</v>
      </c>
      <c r="E211" t="s">
        <v>895</v>
      </c>
      <c r="F211" s="537">
        <v>0</v>
      </c>
      <c r="G211" s="537">
        <v>0</v>
      </c>
      <c r="H211" s="537">
        <v>0</v>
      </c>
      <c r="I211" s="537">
        <v>0</v>
      </c>
      <c r="J211" s="537">
        <v>0</v>
      </c>
      <c r="K211" s="537">
        <v>0</v>
      </c>
      <c r="L211" s="537">
        <v>0</v>
      </c>
      <c r="M211" s="537">
        <v>0</v>
      </c>
      <c r="N211" s="537">
        <v>0</v>
      </c>
      <c r="O211" s="537">
        <v>0</v>
      </c>
      <c r="P211" s="537">
        <v>0</v>
      </c>
      <c r="Q211" s="537">
        <v>0</v>
      </c>
      <c r="R211" s="537">
        <v>0</v>
      </c>
      <c r="S211" s="537">
        <v>0</v>
      </c>
      <c r="T211" s="537">
        <v>0</v>
      </c>
      <c r="U211" s="537">
        <v>0</v>
      </c>
      <c r="V211" s="537">
        <v>0</v>
      </c>
      <c r="W211" s="537">
        <v>0</v>
      </c>
      <c r="X211" s="537">
        <v>0</v>
      </c>
      <c r="Y211" s="537">
        <v>0</v>
      </c>
      <c r="Z211" s="537">
        <v>0</v>
      </c>
      <c r="AA211" s="537">
        <v>0</v>
      </c>
      <c r="AB211" s="537">
        <v>0</v>
      </c>
      <c r="AC211" s="537">
        <v>0</v>
      </c>
      <c r="AD211" s="537">
        <v>0</v>
      </c>
      <c r="AE211" s="537">
        <v>0</v>
      </c>
      <c r="AF211" s="537">
        <v>0</v>
      </c>
      <c r="AG211" s="537">
        <v>0</v>
      </c>
      <c r="AH211" s="538">
        <f t="shared" si="162"/>
        <v>0</v>
      </c>
      <c r="AI211" s="538">
        <f t="shared" si="162"/>
        <v>0</v>
      </c>
      <c r="AJ211" s="538">
        <f t="shared" si="162"/>
        <v>0</v>
      </c>
      <c r="AK211" s="538">
        <f t="shared" si="162"/>
        <v>0</v>
      </c>
      <c r="AL211" s="538">
        <f t="shared" si="162"/>
        <v>0</v>
      </c>
      <c r="AM211" s="538">
        <f t="shared" si="162"/>
        <v>0</v>
      </c>
      <c r="AN211" s="538">
        <f t="shared" si="162"/>
        <v>0</v>
      </c>
      <c r="AO211" s="538">
        <f t="shared" si="162"/>
        <v>0</v>
      </c>
      <c r="AP211" s="538">
        <f t="shared" si="162"/>
        <v>0</v>
      </c>
      <c r="AQ211" s="538">
        <f t="shared" si="162"/>
        <v>0</v>
      </c>
      <c r="AR211" s="538">
        <f t="shared" si="162"/>
        <v>0</v>
      </c>
      <c r="AS211" s="538">
        <f t="shared" si="162"/>
        <v>0</v>
      </c>
      <c r="AT211" s="538">
        <f t="shared" si="162"/>
        <v>0</v>
      </c>
      <c r="AU211" s="538">
        <f t="shared" si="162"/>
        <v>0</v>
      </c>
      <c r="AV211" s="538">
        <f t="shared" si="162"/>
        <v>0</v>
      </c>
      <c r="AW211" s="538">
        <f t="shared" si="162"/>
        <v>0</v>
      </c>
      <c r="AX211" s="538">
        <f t="shared" si="161"/>
        <v>0</v>
      </c>
      <c r="AY211" s="538">
        <f t="shared" si="161"/>
        <v>0</v>
      </c>
      <c r="AZ211" s="538">
        <f t="shared" si="161"/>
        <v>0</v>
      </c>
      <c r="BA211" s="538">
        <f t="shared" si="161"/>
        <v>0</v>
      </c>
      <c r="BB211" s="538">
        <f t="shared" si="161"/>
        <v>0</v>
      </c>
      <c r="BC211" s="538">
        <f t="shared" si="161"/>
        <v>0</v>
      </c>
      <c r="BD211" s="538">
        <f t="shared" si="161"/>
        <v>0</v>
      </c>
      <c r="BE211" s="538">
        <f t="shared" si="161"/>
        <v>0</v>
      </c>
      <c r="BF211" s="538">
        <f t="shared" si="161"/>
        <v>0</v>
      </c>
      <c r="BG211" s="538">
        <f t="shared" si="161"/>
        <v>0</v>
      </c>
      <c r="BH211" s="538">
        <f t="shared" si="161"/>
        <v>0</v>
      </c>
      <c r="BI211" s="538">
        <f t="shared" si="161"/>
        <v>0</v>
      </c>
      <c r="BJ211" s="538">
        <f t="shared" si="161"/>
        <v>0</v>
      </c>
      <c r="BK211" s="538">
        <f t="shared" si="161"/>
        <v>0</v>
      </c>
      <c r="BL211" s="538">
        <f t="shared" si="161"/>
        <v>0</v>
      </c>
      <c r="BM211" s="538">
        <f t="shared" si="161"/>
        <v>0</v>
      </c>
      <c r="BN211" s="538">
        <f t="shared" si="161"/>
        <v>0</v>
      </c>
      <c r="BO211" s="538">
        <f t="shared" si="161"/>
        <v>0</v>
      </c>
      <c r="BP211" s="538">
        <f t="shared" si="161"/>
        <v>0</v>
      </c>
      <c r="BQ211" s="538">
        <f t="shared" si="161"/>
        <v>0</v>
      </c>
      <c r="BR211" s="538">
        <f t="shared" si="161"/>
        <v>0</v>
      </c>
      <c r="BS211" s="538">
        <f t="shared" si="161"/>
        <v>0</v>
      </c>
      <c r="BT211" s="538">
        <f t="shared" si="161"/>
        <v>0</v>
      </c>
      <c r="BU211" s="538">
        <f t="shared" si="161"/>
        <v>0</v>
      </c>
      <c r="BV211" s="538">
        <f t="shared" si="161"/>
        <v>0</v>
      </c>
      <c r="BW211" s="538">
        <f t="shared" si="161"/>
        <v>0</v>
      </c>
      <c r="BX211" s="538">
        <f t="shared" si="161"/>
        <v>0</v>
      </c>
      <c r="BY211" s="538">
        <f t="shared" si="161"/>
        <v>0</v>
      </c>
      <c r="BZ211" s="538">
        <f t="shared" si="161"/>
        <v>0</v>
      </c>
      <c r="CA211" s="538">
        <f t="shared" si="161"/>
        <v>0</v>
      </c>
      <c r="CB211" s="538">
        <f t="shared" si="161"/>
        <v>0</v>
      </c>
      <c r="CC211" s="538">
        <f t="shared" si="161"/>
        <v>0</v>
      </c>
      <c r="CD211" s="538">
        <f t="shared" si="161"/>
        <v>0</v>
      </c>
      <c r="CE211" s="538">
        <f t="shared" si="161"/>
        <v>0</v>
      </c>
      <c r="CG211" s="537">
        <v>0</v>
      </c>
      <c r="CH211" s="537">
        <v>0</v>
      </c>
      <c r="CI211" s="537">
        <v>0</v>
      </c>
      <c r="CJ211" s="537">
        <v>0</v>
      </c>
      <c r="CK211" s="537">
        <v>0</v>
      </c>
      <c r="CL211" s="537">
        <v>0</v>
      </c>
      <c r="CM211" s="537">
        <v>0</v>
      </c>
      <c r="CN211" s="537">
        <v>0</v>
      </c>
      <c r="CO211" s="537">
        <v>0</v>
      </c>
      <c r="CP211" s="537">
        <v>0</v>
      </c>
      <c r="CQ211" s="537">
        <v>0</v>
      </c>
      <c r="CR211" s="537">
        <v>0</v>
      </c>
      <c r="CS211" s="537">
        <v>0</v>
      </c>
      <c r="CT211" s="537">
        <v>0</v>
      </c>
      <c r="CU211" s="537">
        <v>0</v>
      </c>
      <c r="CV211" s="537">
        <v>0</v>
      </c>
      <c r="CW211" s="537">
        <v>0</v>
      </c>
      <c r="CX211" s="537">
        <v>0</v>
      </c>
      <c r="CY211" s="537">
        <v>0</v>
      </c>
      <c r="CZ211" s="537">
        <v>0</v>
      </c>
      <c r="DA211" s="537">
        <v>0</v>
      </c>
      <c r="DB211" s="537">
        <v>0</v>
      </c>
      <c r="DC211" s="537">
        <v>0</v>
      </c>
      <c r="DD211" s="537">
        <v>0</v>
      </c>
      <c r="DE211" s="537">
        <v>0</v>
      </c>
      <c r="DF211" s="537">
        <v>0</v>
      </c>
      <c r="DG211" s="537">
        <v>0</v>
      </c>
      <c r="DH211" s="537">
        <v>0</v>
      </c>
    </row>
    <row r="212" spans="2:112">
      <c r="B212" t="s">
        <v>1088</v>
      </c>
      <c r="C212" t="s">
        <v>764</v>
      </c>
      <c r="D212" t="s">
        <v>897</v>
      </c>
      <c r="E212" t="s">
        <v>895</v>
      </c>
      <c r="F212" s="537">
        <v>0.01</v>
      </c>
      <c r="G212" s="537">
        <v>0.01</v>
      </c>
      <c r="H212" s="537">
        <v>0.01</v>
      </c>
      <c r="I212" s="537">
        <v>0.01</v>
      </c>
      <c r="J212" s="537">
        <v>0.01</v>
      </c>
      <c r="K212" s="537">
        <v>0.01</v>
      </c>
      <c r="L212" s="537">
        <v>0.01</v>
      </c>
      <c r="M212" s="537">
        <v>0.01</v>
      </c>
      <c r="N212" s="537">
        <v>0.01</v>
      </c>
      <c r="O212" s="537">
        <v>0.01</v>
      </c>
      <c r="P212" s="537">
        <v>0.01</v>
      </c>
      <c r="Q212" s="537">
        <v>0.01</v>
      </c>
      <c r="R212" s="537">
        <v>0.01</v>
      </c>
      <c r="S212" s="537">
        <v>0.01</v>
      </c>
      <c r="T212" s="537">
        <v>0.01</v>
      </c>
      <c r="U212" s="537">
        <v>0.01</v>
      </c>
      <c r="V212" s="537">
        <v>0.01</v>
      </c>
      <c r="W212" s="537">
        <v>0.01</v>
      </c>
      <c r="X212" s="537">
        <v>0.01</v>
      </c>
      <c r="Y212" s="537">
        <v>0.01</v>
      </c>
      <c r="Z212" s="537">
        <v>0.01</v>
      </c>
      <c r="AA212" s="537">
        <v>0.01</v>
      </c>
      <c r="AB212" s="537">
        <v>0.01</v>
      </c>
      <c r="AC212" s="537">
        <v>0.01</v>
      </c>
      <c r="AD212" s="537">
        <v>0.01</v>
      </c>
      <c r="AE212" s="537">
        <v>0.01</v>
      </c>
      <c r="AF212" s="537">
        <v>0.01</v>
      </c>
      <c r="AG212" s="537">
        <v>0.01</v>
      </c>
      <c r="AH212" s="538">
        <f t="shared" si="162"/>
        <v>0.01</v>
      </c>
      <c r="AI212" s="538">
        <f t="shared" si="162"/>
        <v>0.01</v>
      </c>
      <c r="AJ212" s="538">
        <f t="shared" si="162"/>
        <v>0.01</v>
      </c>
      <c r="AK212" s="538">
        <f t="shared" si="162"/>
        <v>0.01</v>
      </c>
      <c r="AL212" s="538">
        <f t="shared" si="162"/>
        <v>0.01</v>
      </c>
      <c r="AM212" s="538">
        <f t="shared" si="162"/>
        <v>0.01</v>
      </c>
      <c r="AN212" s="538">
        <f t="shared" si="162"/>
        <v>0.01</v>
      </c>
      <c r="AO212" s="538">
        <f t="shared" si="162"/>
        <v>0.01</v>
      </c>
      <c r="AP212" s="538">
        <f t="shared" si="162"/>
        <v>0.01</v>
      </c>
      <c r="AQ212" s="538">
        <f t="shared" si="162"/>
        <v>0.01</v>
      </c>
      <c r="AR212" s="538">
        <f t="shared" si="162"/>
        <v>0.01</v>
      </c>
      <c r="AS212" s="538">
        <f t="shared" si="162"/>
        <v>0.01</v>
      </c>
      <c r="AT212" s="538">
        <f t="shared" si="162"/>
        <v>0.01</v>
      </c>
      <c r="AU212" s="538">
        <f t="shared" si="162"/>
        <v>0.01</v>
      </c>
      <c r="AV212" s="538">
        <f t="shared" si="162"/>
        <v>0.01</v>
      </c>
      <c r="AW212" s="538">
        <f t="shared" si="162"/>
        <v>0.01</v>
      </c>
      <c r="AX212" s="538">
        <f t="shared" si="161"/>
        <v>0.01</v>
      </c>
      <c r="AY212" s="538">
        <f t="shared" si="161"/>
        <v>0.01</v>
      </c>
      <c r="AZ212" s="538">
        <f t="shared" si="161"/>
        <v>0.01</v>
      </c>
      <c r="BA212" s="538">
        <f t="shared" si="161"/>
        <v>0.01</v>
      </c>
      <c r="BB212" s="538">
        <f t="shared" si="161"/>
        <v>0.01</v>
      </c>
      <c r="BC212" s="538">
        <f t="shared" si="161"/>
        <v>0.01</v>
      </c>
      <c r="BD212" s="538">
        <f t="shared" si="161"/>
        <v>0.01</v>
      </c>
      <c r="BE212" s="538">
        <f t="shared" si="161"/>
        <v>0.01</v>
      </c>
      <c r="BF212" s="538">
        <f t="shared" si="161"/>
        <v>0.01</v>
      </c>
      <c r="BG212" s="538">
        <f t="shared" si="161"/>
        <v>0.01</v>
      </c>
      <c r="BH212" s="538">
        <f t="shared" si="161"/>
        <v>0.01</v>
      </c>
      <c r="BI212" s="538">
        <f t="shared" si="161"/>
        <v>0.01</v>
      </c>
      <c r="BJ212" s="538">
        <f t="shared" si="161"/>
        <v>0.01</v>
      </c>
      <c r="BK212" s="538">
        <f t="shared" si="161"/>
        <v>0.01</v>
      </c>
      <c r="BL212" s="538">
        <f t="shared" si="161"/>
        <v>0.01</v>
      </c>
      <c r="BM212" s="538">
        <f t="shared" si="161"/>
        <v>0.01</v>
      </c>
      <c r="BN212" s="538">
        <f t="shared" ref="BN212:CC214" si="163">BM212</f>
        <v>0.01</v>
      </c>
      <c r="BO212" s="538">
        <f t="shared" si="163"/>
        <v>0.01</v>
      </c>
      <c r="BP212" s="538">
        <f t="shared" si="163"/>
        <v>0.01</v>
      </c>
      <c r="BQ212" s="538">
        <f t="shared" si="163"/>
        <v>0.01</v>
      </c>
      <c r="BR212" s="538">
        <f t="shared" si="163"/>
        <v>0.01</v>
      </c>
      <c r="BS212" s="538">
        <f t="shared" si="163"/>
        <v>0.01</v>
      </c>
      <c r="BT212" s="538">
        <f t="shared" si="163"/>
        <v>0.01</v>
      </c>
      <c r="BU212" s="538">
        <f t="shared" si="163"/>
        <v>0.01</v>
      </c>
      <c r="BV212" s="538">
        <f t="shared" si="163"/>
        <v>0.01</v>
      </c>
      <c r="BW212" s="538">
        <f t="shared" si="163"/>
        <v>0.01</v>
      </c>
      <c r="BX212" s="538">
        <f t="shared" si="163"/>
        <v>0.01</v>
      </c>
      <c r="BY212" s="538">
        <f t="shared" si="163"/>
        <v>0.01</v>
      </c>
      <c r="BZ212" s="538">
        <f t="shared" si="163"/>
        <v>0.01</v>
      </c>
      <c r="CA212" s="538">
        <f t="shared" si="163"/>
        <v>0.01</v>
      </c>
      <c r="CB212" s="538">
        <f t="shared" si="163"/>
        <v>0.01</v>
      </c>
      <c r="CC212" s="538">
        <f t="shared" si="163"/>
        <v>0.01</v>
      </c>
      <c r="CD212" s="538">
        <f t="shared" ref="CD212:CE214" si="164">CC212</f>
        <v>0.01</v>
      </c>
      <c r="CE212" s="538">
        <f t="shared" si="164"/>
        <v>0.01</v>
      </c>
      <c r="CG212" s="537">
        <v>0.01</v>
      </c>
      <c r="CH212" s="537">
        <v>0.01</v>
      </c>
      <c r="CI212" s="537">
        <v>0.01</v>
      </c>
      <c r="CJ212" s="537">
        <v>0.01</v>
      </c>
      <c r="CK212" s="537">
        <v>0.01</v>
      </c>
      <c r="CL212" s="537">
        <v>0.01</v>
      </c>
      <c r="CM212" s="537">
        <v>0.01</v>
      </c>
      <c r="CN212" s="537">
        <v>0.01</v>
      </c>
      <c r="CO212" s="537">
        <v>0.01</v>
      </c>
      <c r="CP212" s="537">
        <v>0.01</v>
      </c>
      <c r="CQ212" s="537">
        <v>0.01</v>
      </c>
      <c r="CR212" s="537">
        <v>0.01</v>
      </c>
      <c r="CS212" s="537">
        <v>0.01</v>
      </c>
      <c r="CT212" s="537">
        <v>0.01</v>
      </c>
      <c r="CU212" s="537">
        <v>0.01</v>
      </c>
      <c r="CV212" s="537">
        <v>0.01</v>
      </c>
      <c r="CW212" s="537">
        <v>0.01</v>
      </c>
      <c r="CX212" s="537">
        <v>0.01</v>
      </c>
      <c r="CY212" s="537">
        <v>0.01</v>
      </c>
      <c r="CZ212" s="537">
        <v>0.01</v>
      </c>
      <c r="DA212" s="537">
        <v>0.01</v>
      </c>
      <c r="DB212" s="537">
        <v>0.01</v>
      </c>
      <c r="DC212" s="537">
        <v>0.01</v>
      </c>
      <c r="DD212" s="537">
        <v>0.01</v>
      </c>
      <c r="DE212" s="537">
        <v>0.01</v>
      </c>
      <c r="DF212" s="537">
        <v>0.01</v>
      </c>
      <c r="DG212" s="537">
        <v>0.01</v>
      </c>
      <c r="DH212" s="537">
        <v>0.01</v>
      </c>
    </row>
    <row r="213" spans="2:112">
      <c r="B213" t="s">
        <v>1089</v>
      </c>
      <c r="C213" t="s">
        <v>764</v>
      </c>
      <c r="D213" t="s">
        <v>899</v>
      </c>
      <c r="E213" t="s">
        <v>895</v>
      </c>
      <c r="F213" s="537">
        <v>0.05</v>
      </c>
      <c r="G213" s="537">
        <v>0.05</v>
      </c>
      <c r="H213" s="537">
        <v>0.05</v>
      </c>
      <c r="I213" s="537">
        <v>0.05</v>
      </c>
      <c r="J213" s="537">
        <v>0.05</v>
      </c>
      <c r="K213" s="537">
        <v>0.05</v>
      </c>
      <c r="L213" s="537">
        <v>0.05</v>
      </c>
      <c r="M213" s="537">
        <v>0.05</v>
      </c>
      <c r="N213" s="537">
        <v>0.05</v>
      </c>
      <c r="O213" s="537">
        <v>0.05</v>
      </c>
      <c r="P213" s="537">
        <v>0.05</v>
      </c>
      <c r="Q213" s="537">
        <v>0.05</v>
      </c>
      <c r="R213" s="537">
        <v>0.05</v>
      </c>
      <c r="S213" s="537">
        <v>0.05</v>
      </c>
      <c r="T213" s="537">
        <v>0.05</v>
      </c>
      <c r="U213" s="537">
        <v>0.05</v>
      </c>
      <c r="V213" s="537">
        <v>0.05</v>
      </c>
      <c r="W213" s="537">
        <v>0.05</v>
      </c>
      <c r="X213" s="537">
        <v>0.05</v>
      </c>
      <c r="Y213" s="537">
        <v>0.05</v>
      </c>
      <c r="Z213" s="537">
        <v>0.05</v>
      </c>
      <c r="AA213" s="537">
        <v>0.05</v>
      </c>
      <c r="AB213" s="537">
        <v>0.05</v>
      </c>
      <c r="AC213" s="537">
        <v>0.05</v>
      </c>
      <c r="AD213" s="537">
        <v>0.05</v>
      </c>
      <c r="AE213" s="537">
        <v>0.05</v>
      </c>
      <c r="AF213" s="537">
        <v>0.05</v>
      </c>
      <c r="AG213" s="537">
        <v>0.05</v>
      </c>
      <c r="AH213" s="538">
        <f t="shared" si="162"/>
        <v>0.05</v>
      </c>
      <c r="AI213" s="538">
        <f t="shared" si="162"/>
        <v>0.05</v>
      </c>
      <c r="AJ213" s="538">
        <f t="shared" si="162"/>
        <v>0.05</v>
      </c>
      <c r="AK213" s="538">
        <f t="shared" si="162"/>
        <v>0.05</v>
      </c>
      <c r="AL213" s="538">
        <f t="shared" si="162"/>
        <v>0.05</v>
      </c>
      <c r="AM213" s="538">
        <f t="shared" si="162"/>
        <v>0.05</v>
      </c>
      <c r="AN213" s="538">
        <f t="shared" si="162"/>
        <v>0.05</v>
      </c>
      <c r="AO213" s="538">
        <f t="shared" si="162"/>
        <v>0.05</v>
      </c>
      <c r="AP213" s="538">
        <f t="shared" si="162"/>
        <v>0.05</v>
      </c>
      <c r="AQ213" s="538">
        <f t="shared" si="162"/>
        <v>0.05</v>
      </c>
      <c r="AR213" s="538">
        <f t="shared" si="162"/>
        <v>0.05</v>
      </c>
      <c r="AS213" s="538">
        <f t="shared" si="162"/>
        <v>0.05</v>
      </c>
      <c r="AT213" s="538">
        <f t="shared" si="162"/>
        <v>0.05</v>
      </c>
      <c r="AU213" s="538">
        <f t="shared" si="162"/>
        <v>0.05</v>
      </c>
      <c r="AV213" s="538">
        <f t="shared" si="162"/>
        <v>0.05</v>
      </c>
      <c r="AW213" s="538">
        <f t="shared" si="162"/>
        <v>0.05</v>
      </c>
      <c r="AX213" s="538">
        <f t="shared" ref="AX213:BM214" si="165">AW213</f>
        <v>0.05</v>
      </c>
      <c r="AY213" s="538">
        <f t="shared" si="165"/>
        <v>0.05</v>
      </c>
      <c r="AZ213" s="538">
        <f t="shared" si="165"/>
        <v>0.05</v>
      </c>
      <c r="BA213" s="538">
        <f t="shared" si="165"/>
        <v>0.05</v>
      </c>
      <c r="BB213" s="538">
        <f t="shared" si="165"/>
        <v>0.05</v>
      </c>
      <c r="BC213" s="538">
        <f t="shared" si="165"/>
        <v>0.05</v>
      </c>
      <c r="BD213" s="538">
        <f t="shared" si="165"/>
        <v>0.05</v>
      </c>
      <c r="BE213" s="538">
        <f t="shared" si="165"/>
        <v>0.05</v>
      </c>
      <c r="BF213" s="538">
        <f t="shared" si="165"/>
        <v>0.05</v>
      </c>
      <c r="BG213" s="538">
        <f t="shared" si="165"/>
        <v>0.05</v>
      </c>
      <c r="BH213" s="538">
        <f t="shared" si="165"/>
        <v>0.05</v>
      </c>
      <c r="BI213" s="538">
        <f t="shared" si="165"/>
        <v>0.05</v>
      </c>
      <c r="BJ213" s="538">
        <f t="shared" si="165"/>
        <v>0.05</v>
      </c>
      <c r="BK213" s="538">
        <f t="shared" si="165"/>
        <v>0.05</v>
      </c>
      <c r="BL213" s="538">
        <f t="shared" si="165"/>
        <v>0.05</v>
      </c>
      <c r="BM213" s="538">
        <f t="shared" si="165"/>
        <v>0.05</v>
      </c>
      <c r="BN213" s="538">
        <f t="shared" si="163"/>
        <v>0.05</v>
      </c>
      <c r="BO213" s="538">
        <f t="shared" si="163"/>
        <v>0.05</v>
      </c>
      <c r="BP213" s="538">
        <f t="shared" si="163"/>
        <v>0.05</v>
      </c>
      <c r="BQ213" s="538">
        <f t="shared" si="163"/>
        <v>0.05</v>
      </c>
      <c r="BR213" s="538">
        <f t="shared" si="163"/>
        <v>0.05</v>
      </c>
      <c r="BS213" s="538">
        <f t="shared" si="163"/>
        <v>0.05</v>
      </c>
      <c r="BT213" s="538">
        <f t="shared" si="163"/>
        <v>0.05</v>
      </c>
      <c r="BU213" s="538">
        <f t="shared" si="163"/>
        <v>0.05</v>
      </c>
      <c r="BV213" s="538">
        <f t="shared" si="163"/>
        <v>0.05</v>
      </c>
      <c r="BW213" s="538">
        <f t="shared" si="163"/>
        <v>0.05</v>
      </c>
      <c r="BX213" s="538">
        <f t="shared" si="163"/>
        <v>0.05</v>
      </c>
      <c r="BY213" s="538">
        <f t="shared" si="163"/>
        <v>0.05</v>
      </c>
      <c r="BZ213" s="538">
        <f t="shared" si="163"/>
        <v>0.05</v>
      </c>
      <c r="CA213" s="538">
        <f t="shared" si="163"/>
        <v>0.05</v>
      </c>
      <c r="CB213" s="538">
        <f t="shared" si="163"/>
        <v>0.05</v>
      </c>
      <c r="CC213" s="538">
        <f t="shared" si="163"/>
        <v>0.05</v>
      </c>
      <c r="CD213" s="538">
        <f t="shared" si="164"/>
        <v>0.05</v>
      </c>
      <c r="CE213" s="538">
        <f t="shared" si="164"/>
        <v>0.05</v>
      </c>
      <c r="CG213" s="537">
        <v>0.05</v>
      </c>
      <c r="CH213" s="537">
        <v>0.05</v>
      </c>
      <c r="CI213" s="537">
        <v>0.05</v>
      </c>
      <c r="CJ213" s="537">
        <v>0.05</v>
      </c>
      <c r="CK213" s="537">
        <v>0.05</v>
      </c>
      <c r="CL213" s="537">
        <v>0.05</v>
      </c>
      <c r="CM213" s="537">
        <v>0.05</v>
      </c>
      <c r="CN213" s="537">
        <v>0.05</v>
      </c>
      <c r="CO213" s="537">
        <v>0.05</v>
      </c>
      <c r="CP213" s="537">
        <v>0.05</v>
      </c>
      <c r="CQ213" s="537">
        <v>0.05</v>
      </c>
      <c r="CR213" s="537">
        <v>0.05</v>
      </c>
      <c r="CS213" s="537">
        <v>0.05</v>
      </c>
      <c r="CT213" s="537">
        <v>0.05</v>
      </c>
      <c r="CU213" s="537">
        <v>0.05</v>
      </c>
      <c r="CV213" s="537">
        <v>0.05</v>
      </c>
      <c r="CW213" s="537">
        <v>0.05</v>
      </c>
      <c r="CX213" s="537">
        <v>0.05</v>
      </c>
      <c r="CY213" s="537">
        <v>0.05</v>
      </c>
      <c r="CZ213" s="537">
        <v>0.05</v>
      </c>
      <c r="DA213" s="537">
        <v>0.05</v>
      </c>
      <c r="DB213" s="537">
        <v>0.05</v>
      </c>
      <c r="DC213" s="537">
        <v>0.05</v>
      </c>
      <c r="DD213" s="537">
        <v>0.05</v>
      </c>
      <c r="DE213" s="537">
        <v>0.05</v>
      </c>
      <c r="DF213" s="537">
        <v>0.05</v>
      </c>
      <c r="DG213" s="537">
        <v>0.05</v>
      </c>
      <c r="DH213" s="537">
        <v>0.05</v>
      </c>
    </row>
    <row r="214" spans="2:112">
      <c r="B214" t="s">
        <v>1090</v>
      </c>
      <c r="C214" t="s">
        <v>764</v>
      </c>
      <c r="D214" t="s">
        <v>901</v>
      </c>
      <c r="E214" t="s">
        <v>895</v>
      </c>
      <c r="F214" s="537">
        <v>0.05</v>
      </c>
      <c r="G214" s="537">
        <v>0.05</v>
      </c>
      <c r="H214" s="537">
        <v>0.05</v>
      </c>
      <c r="I214" s="537">
        <v>0.05</v>
      </c>
      <c r="J214" s="537">
        <v>0.05</v>
      </c>
      <c r="K214" s="537">
        <v>0.05</v>
      </c>
      <c r="L214" s="537">
        <v>0.05</v>
      </c>
      <c r="M214" s="537">
        <v>0.05</v>
      </c>
      <c r="N214" s="537">
        <v>0.05</v>
      </c>
      <c r="O214" s="537">
        <v>0.05</v>
      </c>
      <c r="P214" s="537">
        <v>0.05</v>
      </c>
      <c r="Q214" s="537">
        <v>0.05</v>
      </c>
      <c r="R214" s="537">
        <v>0.05</v>
      </c>
      <c r="S214" s="537">
        <v>0.05</v>
      </c>
      <c r="T214" s="537">
        <v>0.05</v>
      </c>
      <c r="U214" s="537">
        <v>0.05</v>
      </c>
      <c r="V214" s="537">
        <v>0.05</v>
      </c>
      <c r="W214" s="537">
        <v>0.05</v>
      </c>
      <c r="X214" s="537">
        <v>0.05</v>
      </c>
      <c r="Y214" s="537">
        <v>0.05</v>
      </c>
      <c r="Z214" s="537">
        <v>0.05</v>
      </c>
      <c r="AA214" s="537">
        <v>0.05</v>
      </c>
      <c r="AB214" s="537">
        <v>0.05</v>
      </c>
      <c r="AC214" s="537">
        <v>0.05</v>
      </c>
      <c r="AD214" s="537">
        <v>0.05</v>
      </c>
      <c r="AE214" s="537">
        <v>0.05</v>
      </c>
      <c r="AF214" s="537">
        <v>0.05</v>
      </c>
      <c r="AG214" s="537">
        <v>0.05</v>
      </c>
      <c r="AH214" s="538">
        <f t="shared" si="162"/>
        <v>0.05</v>
      </c>
      <c r="AI214" s="538">
        <f t="shared" si="162"/>
        <v>0.05</v>
      </c>
      <c r="AJ214" s="538">
        <f t="shared" si="162"/>
        <v>0.05</v>
      </c>
      <c r="AK214" s="538">
        <f t="shared" si="162"/>
        <v>0.05</v>
      </c>
      <c r="AL214" s="538">
        <f t="shared" si="162"/>
        <v>0.05</v>
      </c>
      <c r="AM214" s="538">
        <f t="shared" si="162"/>
        <v>0.05</v>
      </c>
      <c r="AN214" s="538">
        <f t="shared" si="162"/>
        <v>0.05</v>
      </c>
      <c r="AO214" s="538">
        <f t="shared" si="162"/>
        <v>0.05</v>
      </c>
      <c r="AP214" s="538">
        <f t="shared" si="162"/>
        <v>0.05</v>
      </c>
      <c r="AQ214" s="538">
        <f t="shared" si="162"/>
        <v>0.05</v>
      </c>
      <c r="AR214" s="538">
        <f t="shared" si="162"/>
        <v>0.05</v>
      </c>
      <c r="AS214" s="538">
        <f t="shared" si="162"/>
        <v>0.05</v>
      </c>
      <c r="AT214" s="538">
        <f t="shared" si="162"/>
        <v>0.05</v>
      </c>
      <c r="AU214" s="538">
        <f t="shared" si="162"/>
        <v>0.05</v>
      </c>
      <c r="AV214" s="538">
        <f t="shared" si="162"/>
        <v>0.05</v>
      </c>
      <c r="AW214" s="538">
        <f t="shared" si="162"/>
        <v>0.05</v>
      </c>
      <c r="AX214" s="538">
        <f t="shared" si="165"/>
        <v>0.05</v>
      </c>
      <c r="AY214" s="538">
        <f t="shared" si="165"/>
        <v>0.05</v>
      </c>
      <c r="AZ214" s="538">
        <f t="shared" si="165"/>
        <v>0.05</v>
      </c>
      <c r="BA214" s="538">
        <f t="shared" si="165"/>
        <v>0.05</v>
      </c>
      <c r="BB214" s="538">
        <f t="shared" si="165"/>
        <v>0.05</v>
      </c>
      <c r="BC214" s="538">
        <f t="shared" si="165"/>
        <v>0.05</v>
      </c>
      <c r="BD214" s="538">
        <f t="shared" si="165"/>
        <v>0.05</v>
      </c>
      <c r="BE214" s="538">
        <f t="shared" si="165"/>
        <v>0.05</v>
      </c>
      <c r="BF214" s="538">
        <f t="shared" si="165"/>
        <v>0.05</v>
      </c>
      <c r="BG214" s="538">
        <f t="shared" si="165"/>
        <v>0.05</v>
      </c>
      <c r="BH214" s="538">
        <f t="shared" si="165"/>
        <v>0.05</v>
      </c>
      <c r="BI214" s="538">
        <f t="shared" si="165"/>
        <v>0.05</v>
      </c>
      <c r="BJ214" s="538">
        <f t="shared" si="165"/>
        <v>0.05</v>
      </c>
      <c r="BK214" s="538">
        <f t="shared" si="165"/>
        <v>0.05</v>
      </c>
      <c r="BL214" s="538">
        <f t="shared" si="165"/>
        <v>0.05</v>
      </c>
      <c r="BM214" s="538">
        <f t="shared" si="165"/>
        <v>0.05</v>
      </c>
      <c r="BN214" s="538">
        <f t="shared" si="163"/>
        <v>0.05</v>
      </c>
      <c r="BO214" s="538">
        <f t="shared" si="163"/>
        <v>0.05</v>
      </c>
      <c r="BP214" s="538">
        <f t="shared" si="163"/>
        <v>0.05</v>
      </c>
      <c r="BQ214" s="538">
        <f t="shared" si="163"/>
        <v>0.05</v>
      </c>
      <c r="BR214" s="538">
        <f t="shared" si="163"/>
        <v>0.05</v>
      </c>
      <c r="BS214" s="538">
        <f t="shared" si="163"/>
        <v>0.05</v>
      </c>
      <c r="BT214" s="538">
        <f t="shared" si="163"/>
        <v>0.05</v>
      </c>
      <c r="BU214" s="538">
        <f t="shared" si="163"/>
        <v>0.05</v>
      </c>
      <c r="BV214" s="538">
        <f t="shared" si="163"/>
        <v>0.05</v>
      </c>
      <c r="BW214" s="538">
        <f t="shared" si="163"/>
        <v>0.05</v>
      </c>
      <c r="BX214" s="538">
        <f t="shared" si="163"/>
        <v>0.05</v>
      </c>
      <c r="BY214" s="538">
        <f t="shared" si="163"/>
        <v>0.05</v>
      </c>
      <c r="BZ214" s="538">
        <f t="shared" si="163"/>
        <v>0.05</v>
      </c>
      <c r="CA214" s="538">
        <f t="shared" si="163"/>
        <v>0.05</v>
      </c>
      <c r="CB214" s="538">
        <f t="shared" si="163"/>
        <v>0.05</v>
      </c>
      <c r="CC214" s="538">
        <f t="shared" si="163"/>
        <v>0.05</v>
      </c>
      <c r="CD214" s="538">
        <f t="shared" si="164"/>
        <v>0.05</v>
      </c>
      <c r="CE214" s="538">
        <f t="shared" si="164"/>
        <v>0.05</v>
      </c>
      <c r="CG214" s="537">
        <v>0.05</v>
      </c>
      <c r="CH214" s="537">
        <v>0.05</v>
      </c>
      <c r="CI214" s="537">
        <v>0.05</v>
      </c>
      <c r="CJ214" s="537">
        <v>0.05</v>
      </c>
      <c r="CK214" s="537">
        <v>0.05</v>
      </c>
      <c r="CL214" s="537">
        <v>0.05</v>
      </c>
      <c r="CM214" s="537">
        <v>0.05</v>
      </c>
      <c r="CN214" s="537">
        <v>0.05</v>
      </c>
      <c r="CO214" s="537">
        <v>0.05</v>
      </c>
      <c r="CP214" s="537">
        <v>0.05</v>
      </c>
      <c r="CQ214" s="537">
        <v>0.05</v>
      </c>
      <c r="CR214" s="537">
        <v>0.05</v>
      </c>
      <c r="CS214" s="537">
        <v>0.05</v>
      </c>
      <c r="CT214" s="537">
        <v>0.05</v>
      </c>
      <c r="CU214" s="537">
        <v>0.05</v>
      </c>
      <c r="CV214" s="537">
        <v>0.05</v>
      </c>
      <c r="CW214" s="537">
        <v>0.05</v>
      </c>
      <c r="CX214" s="537">
        <v>0.05</v>
      </c>
      <c r="CY214" s="537">
        <v>0.05</v>
      </c>
      <c r="CZ214" s="537">
        <v>0.05</v>
      </c>
      <c r="DA214" s="537">
        <v>0.05</v>
      </c>
      <c r="DB214" s="537">
        <v>0.05</v>
      </c>
      <c r="DC214" s="537">
        <v>0.05</v>
      </c>
      <c r="DD214" s="537">
        <v>0.05</v>
      </c>
      <c r="DE214" s="537">
        <v>0.05</v>
      </c>
      <c r="DF214" s="537">
        <v>0.05</v>
      </c>
      <c r="DG214" s="537">
        <v>0.05</v>
      </c>
      <c r="DH214" s="537">
        <v>0.05</v>
      </c>
    </row>
    <row r="215" spans="2:112">
      <c r="F215" s="539"/>
      <c r="G215" s="539"/>
      <c r="H215" s="539"/>
      <c r="I215" s="539"/>
      <c r="J215" s="539"/>
      <c r="K215" s="539"/>
      <c r="L215" s="539"/>
      <c r="M215" s="539"/>
      <c r="N215" s="539"/>
      <c r="O215" s="539"/>
      <c r="P215" s="539"/>
      <c r="Q215" s="539"/>
      <c r="R215" s="539"/>
      <c r="S215" s="539"/>
      <c r="T215" s="539"/>
      <c r="U215" s="539"/>
      <c r="V215" s="539"/>
      <c r="W215" s="539"/>
      <c r="X215" s="539"/>
      <c r="Y215" s="539"/>
      <c r="Z215" s="539"/>
      <c r="AA215" s="539"/>
      <c r="AB215" s="539"/>
      <c r="AC215" s="539"/>
      <c r="AD215" s="539"/>
      <c r="AE215" s="539"/>
      <c r="AF215" s="539"/>
      <c r="AG215" s="539"/>
      <c r="AH215" s="539"/>
      <c r="AI215" s="539"/>
      <c r="AJ215" s="539"/>
      <c r="AK215" s="539"/>
      <c r="AL215" s="539"/>
      <c r="AM215" s="539"/>
      <c r="AN215" s="539"/>
      <c r="AO215" s="539"/>
      <c r="AP215" s="539"/>
      <c r="AQ215" s="539"/>
      <c r="AR215" s="539"/>
      <c r="AS215" s="539"/>
      <c r="AT215" s="539"/>
      <c r="AU215" s="539"/>
      <c r="AV215" s="539"/>
      <c r="AW215" s="539"/>
      <c r="AX215" s="539"/>
      <c r="AY215" s="539"/>
      <c r="AZ215" s="539"/>
      <c r="BA215" s="539"/>
      <c r="BB215" s="539"/>
      <c r="BC215" s="539"/>
      <c r="BD215" s="539"/>
      <c r="BE215" s="539"/>
      <c r="BF215" s="539"/>
      <c r="BG215" s="539"/>
      <c r="BH215" s="539"/>
      <c r="BI215" s="539"/>
      <c r="BJ215" s="539"/>
      <c r="BK215" s="539"/>
      <c r="BL215" s="539"/>
      <c r="BM215" s="539"/>
      <c r="BN215" s="539"/>
      <c r="BO215" s="539"/>
      <c r="BP215" s="539"/>
      <c r="BQ215" s="539"/>
      <c r="BR215" s="539"/>
      <c r="BS215" s="539"/>
      <c r="BT215" s="539"/>
      <c r="BU215" s="539"/>
      <c r="BV215" s="539"/>
      <c r="BW215" s="539"/>
      <c r="BX215" s="539"/>
      <c r="BY215" s="539"/>
      <c r="BZ215" s="539"/>
      <c r="CA215" s="539"/>
      <c r="CB215" s="539"/>
      <c r="CC215" s="539"/>
      <c r="CD215" s="539"/>
      <c r="CE215" s="539"/>
      <c r="CG215" s="539"/>
      <c r="CH215" s="539"/>
      <c r="CI215" s="539"/>
      <c r="CJ215" s="539"/>
      <c r="CK215" s="539"/>
      <c r="CL215" s="539"/>
      <c r="CM215" s="539"/>
      <c r="CN215" s="539"/>
      <c r="CO215" s="539"/>
      <c r="CP215" s="539"/>
      <c r="CQ215" s="539"/>
      <c r="CR215" s="539"/>
      <c r="CS215" s="539"/>
      <c r="CT215" s="539"/>
      <c r="CU215" s="539"/>
      <c r="CV215" s="539"/>
      <c r="CW215" s="539"/>
      <c r="CX215" s="539"/>
      <c r="CY215" s="539"/>
      <c r="CZ215" s="539"/>
      <c r="DA215" s="539"/>
      <c r="DB215" s="539"/>
      <c r="DC215" s="539"/>
      <c r="DD215" s="539"/>
      <c r="DE215" s="539"/>
      <c r="DF215" s="539"/>
      <c r="DG215" s="539"/>
      <c r="DH215" s="539"/>
    </row>
    <row r="216" spans="2:112">
      <c r="B216" t="s">
        <v>1091</v>
      </c>
      <c r="C216" t="s">
        <v>764</v>
      </c>
      <c r="D216" t="s">
        <v>903</v>
      </c>
      <c r="E216" t="s">
        <v>557</v>
      </c>
      <c r="F216" s="536">
        <v>68040</v>
      </c>
      <c r="G216" s="536">
        <v>68040</v>
      </c>
      <c r="H216" s="536">
        <v>68040</v>
      </c>
      <c r="I216" s="536">
        <v>68040</v>
      </c>
      <c r="J216" s="536">
        <v>68040</v>
      </c>
      <c r="K216" s="536">
        <v>68040</v>
      </c>
      <c r="L216" s="536">
        <v>68040</v>
      </c>
      <c r="M216" s="536">
        <v>68040</v>
      </c>
      <c r="N216" s="536">
        <v>68040</v>
      </c>
      <c r="O216" s="536">
        <v>68040</v>
      </c>
      <c r="P216" s="536">
        <v>68040</v>
      </c>
      <c r="Q216" s="536">
        <v>68040</v>
      </c>
      <c r="R216" s="536">
        <v>68040</v>
      </c>
      <c r="S216" s="536">
        <v>68040</v>
      </c>
      <c r="T216" s="536">
        <v>68040</v>
      </c>
      <c r="U216" s="536">
        <v>68040</v>
      </c>
      <c r="V216" s="536">
        <v>68040</v>
      </c>
      <c r="W216" s="536">
        <v>68040</v>
      </c>
      <c r="X216" s="536">
        <v>68040</v>
      </c>
      <c r="Y216" s="536">
        <v>68040</v>
      </c>
      <c r="Z216" s="536">
        <v>68040</v>
      </c>
      <c r="AA216" s="536">
        <v>68040</v>
      </c>
      <c r="AB216" s="536">
        <v>68040</v>
      </c>
      <c r="AC216" s="536">
        <v>68040</v>
      </c>
      <c r="AD216" s="536">
        <v>68040</v>
      </c>
      <c r="AE216" s="536">
        <v>68040</v>
      </c>
      <c r="AF216" s="536">
        <v>68040</v>
      </c>
      <c r="AG216" s="536">
        <v>68040</v>
      </c>
      <c r="AH216" s="540">
        <f>AG216</f>
        <v>68040</v>
      </c>
      <c r="AI216" s="540">
        <f t="shared" ref="AI216:CE217" si="166">AH216</f>
        <v>68040</v>
      </c>
      <c r="AJ216" s="540">
        <f t="shared" si="166"/>
        <v>68040</v>
      </c>
      <c r="AK216" s="540">
        <f t="shared" si="166"/>
        <v>68040</v>
      </c>
      <c r="AL216" s="540">
        <f t="shared" si="166"/>
        <v>68040</v>
      </c>
      <c r="AM216" s="540">
        <f t="shared" si="166"/>
        <v>68040</v>
      </c>
      <c r="AN216" s="540">
        <f t="shared" si="166"/>
        <v>68040</v>
      </c>
      <c r="AO216" s="540">
        <f t="shared" si="166"/>
        <v>68040</v>
      </c>
      <c r="AP216" s="540">
        <f t="shared" si="166"/>
        <v>68040</v>
      </c>
      <c r="AQ216" s="540">
        <f t="shared" si="166"/>
        <v>68040</v>
      </c>
      <c r="AR216" s="540">
        <f t="shared" si="166"/>
        <v>68040</v>
      </c>
      <c r="AS216" s="540">
        <f t="shared" si="166"/>
        <v>68040</v>
      </c>
      <c r="AT216" s="540">
        <f t="shared" si="166"/>
        <v>68040</v>
      </c>
      <c r="AU216" s="540">
        <f t="shared" si="166"/>
        <v>68040</v>
      </c>
      <c r="AV216" s="540">
        <f t="shared" si="166"/>
        <v>68040</v>
      </c>
      <c r="AW216" s="540">
        <f t="shared" si="166"/>
        <v>68040</v>
      </c>
      <c r="AX216" s="540">
        <f t="shared" si="166"/>
        <v>68040</v>
      </c>
      <c r="AY216" s="540">
        <f t="shared" si="166"/>
        <v>68040</v>
      </c>
      <c r="AZ216" s="540">
        <f t="shared" si="166"/>
        <v>68040</v>
      </c>
      <c r="BA216" s="540">
        <f t="shared" si="166"/>
        <v>68040</v>
      </c>
      <c r="BB216" s="540">
        <f t="shared" si="166"/>
        <v>68040</v>
      </c>
      <c r="BC216" s="540">
        <f t="shared" si="166"/>
        <v>68040</v>
      </c>
      <c r="BD216" s="540">
        <f t="shared" si="166"/>
        <v>68040</v>
      </c>
      <c r="BE216" s="540">
        <f t="shared" si="166"/>
        <v>68040</v>
      </c>
      <c r="BF216" s="540">
        <f t="shared" si="166"/>
        <v>68040</v>
      </c>
      <c r="BG216" s="540">
        <f t="shared" si="166"/>
        <v>68040</v>
      </c>
      <c r="BH216" s="540">
        <f t="shared" si="166"/>
        <v>68040</v>
      </c>
      <c r="BI216" s="540">
        <f t="shared" si="166"/>
        <v>68040</v>
      </c>
      <c r="BJ216" s="540">
        <f t="shared" si="166"/>
        <v>68040</v>
      </c>
      <c r="BK216" s="540">
        <f t="shared" si="166"/>
        <v>68040</v>
      </c>
      <c r="BL216" s="540">
        <f t="shared" si="166"/>
        <v>68040</v>
      </c>
      <c r="BM216" s="540">
        <f t="shared" si="166"/>
        <v>68040</v>
      </c>
      <c r="BN216" s="540">
        <f t="shared" si="166"/>
        <v>68040</v>
      </c>
      <c r="BO216" s="540">
        <f t="shared" si="166"/>
        <v>68040</v>
      </c>
      <c r="BP216" s="540">
        <f t="shared" si="166"/>
        <v>68040</v>
      </c>
      <c r="BQ216" s="540">
        <f t="shared" si="166"/>
        <v>68040</v>
      </c>
      <c r="BR216" s="540">
        <f t="shared" si="166"/>
        <v>68040</v>
      </c>
      <c r="BS216" s="540">
        <f t="shared" si="166"/>
        <v>68040</v>
      </c>
      <c r="BT216" s="540">
        <f t="shared" si="166"/>
        <v>68040</v>
      </c>
      <c r="BU216" s="540">
        <f t="shared" si="166"/>
        <v>68040</v>
      </c>
      <c r="BV216" s="540">
        <f t="shared" si="166"/>
        <v>68040</v>
      </c>
      <c r="BW216" s="540">
        <f t="shared" si="166"/>
        <v>68040</v>
      </c>
      <c r="BX216" s="540">
        <f t="shared" si="166"/>
        <v>68040</v>
      </c>
      <c r="BY216" s="540">
        <f t="shared" si="166"/>
        <v>68040</v>
      </c>
      <c r="BZ216" s="540">
        <f t="shared" si="166"/>
        <v>68040</v>
      </c>
      <c r="CA216" s="540">
        <f t="shared" si="166"/>
        <v>68040</v>
      </c>
      <c r="CB216" s="540">
        <f t="shared" si="166"/>
        <v>68040</v>
      </c>
      <c r="CC216" s="540">
        <f t="shared" si="166"/>
        <v>68040</v>
      </c>
      <c r="CD216" s="540">
        <f t="shared" si="166"/>
        <v>68040</v>
      </c>
      <c r="CE216" s="540">
        <f t="shared" si="166"/>
        <v>68040</v>
      </c>
      <c r="CG216" s="536">
        <v>68040</v>
      </c>
      <c r="CH216" s="536">
        <v>68040</v>
      </c>
      <c r="CI216" s="536">
        <v>68040</v>
      </c>
      <c r="CJ216" s="536">
        <v>68040</v>
      </c>
      <c r="CK216" s="536">
        <v>68040</v>
      </c>
      <c r="CL216" s="536">
        <v>68040</v>
      </c>
      <c r="CM216" s="536">
        <v>68040</v>
      </c>
      <c r="CN216" s="536">
        <v>68040</v>
      </c>
      <c r="CO216" s="536">
        <v>68040</v>
      </c>
      <c r="CP216" s="536">
        <v>68040</v>
      </c>
      <c r="CQ216" s="536">
        <v>68040</v>
      </c>
      <c r="CR216" s="536">
        <v>68040</v>
      </c>
      <c r="CS216" s="536">
        <v>68040</v>
      </c>
      <c r="CT216" s="536">
        <v>68040</v>
      </c>
      <c r="CU216" s="536">
        <v>68040</v>
      </c>
      <c r="CV216" s="536">
        <v>68040</v>
      </c>
      <c r="CW216" s="536">
        <v>68040</v>
      </c>
      <c r="CX216" s="536">
        <v>68040</v>
      </c>
      <c r="CY216" s="536">
        <v>68040</v>
      </c>
      <c r="CZ216" s="536">
        <v>68040</v>
      </c>
      <c r="DA216" s="536">
        <v>68040</v>
      </c>
      <c r="DB216" s="536">
        <v>68040</v>
      </c>
      <c r="DC216" s="536">
        <v>68040</v>
      </c>
      <c r="DD216" s="536">
        <v>68040</v>
      </c>
      <c r="DE216" s="536">
        <v>68040</v>
      </c>
      <c r="DF216" s="536">
        <v>68040</v>
      </c>
      <c r="DG216" s="536">
        <v>68040</v>
      </c>
      <c r="DH216" s="536">
        <v>68040</v>
      </c>
    </row>
    <row r="217" spans="2:112">
      <c r="B217" t="s">
        <v>1092</v>
      </c>
      <c r="C217" t="s">
        <v>764</v>
      </c>
      <c r="D217" t="s">
        <v>905</v>
      </c>
      <c r="E217" t="s">
        <v>557</v>
      </c>
      <c r="F217" s="536">
        <v>22935.272727272728</v>
      </c>
      <c r="G217" s="536">
        <v>22935.272727272728</v>
      </c>
      <c r="H217" s="536">
        <v>22935.272727272728</v>
      </c>
      <c r="I217" s="536">
        <v>22935.272727272728</v>
      </c>
      <c r="J217" s="536">
        <v>22935.272727272728</v>
      </c>
      <c r="K217" s="536">
        <v>22935.272727272728</v>
      </c>
      <c r="L217" s="536">
        <v>22935.272727272728</v>
      </c>
      <c r="M217" s="536">
        <v>22935.272727272728</v>
      </c>
      <c r="N217" s="536">
        <v>22935.272727272728</v>
      </c>
      <c r="O217" s="536">
        <v>22935.272727272728</v>
      </c>
      <c r="P217" s="536">
        <v>22935.272727272728</v>
      </c>
      <c r="Q217" s="536">
        <v>22935.272727272728</v>
      </c>
      <c r="R217" s="536">
        <v>22935.272727272728</v>
      </c>
      <c r="S217" s="536">
        <v>22935.272727272728</v>
      </c>
      <c r="T217" s="536">
        <v>22935.272727272728</v>
      </c>
      <c r="U217" s="536">
        <v>22935.272727272728</v>
      </c>
      <c r="V217" s="536">
        <v>22935.272727272728</v>
      </c>
      <c r="W217" s="536">
        <v>22935.272727272728</v>
      </c>
      <c r="X217" s="536">
        <v>22935.272727272728</v>
      </c>
      <c r="Y217" s="536">
        <v>22935.272727272728</v>
      </c>
      <c r="Z217" s="536">
        <v>22935.272727272728</v>
      </c>
      <c r="AA217" s="536">
        <v>22935.272727272728</v>
      </c>
      <c r="AB217" s="536">
        <v>22935.272727272728</v>
      </c>
      <c r="AC217" s="536">
        <v>22935.272727272728</v>
      </c>
      <c r="AD217" s="536">
        <v>22935.272727272728</v>
      </c>
      <c r="AE217" s="536">
        <v>22935.272727272728</v>
      </c>
      <c r="AF217" s="536">
        <v>22935.272727272728</v>
      </c>
      <c r="AG217" s="536">
        <v>22935.272727272728</v>
      </c>
      <c r="AH217" s="540">
        <f>AG217</f>
        <v>22935.272727272728</v>
      </c>
      <c r="AI217" s="540">
        <f t="shared" si="166"/>
        <v>22935.272727272728</v>
      </c>
      <c r="AJ217" s="540">
        <f t="shared" si="166"/>
        <v>22935.272727272728</v>
      </c>
      <c r="AK217" s="540">
        <f t="shared" si="166"/>
        <v>22935.272727272728</v>
      </c>
      <c r="AL217" s="540">
        <f t="shared" si="166"/>
        <v>22935.272727272728</v>
      </c>
      <c r="AM217" s="540">
        <f t="shared" si="166"/>
        <v>22935.272727272728</v>
      </c>
      <c r="AN217" s="540">
        <f t="shared" si="166"/>
        <v>22935.272727272728</v>
      </c>
      <c r="AO217" s="540">
        <f t="shared" si="166"/>
        <v>22935.272727272728</v>
      </c>
      <c r="AP217" s="540">
        <f t="shared" si="166"/>
        <v>22935.272727272728</v>
      </c>
      <c r="AQ217" s="540">
        <f t="shared" si="166"/>
        <v>22935.272727272728</v>
      </c>
      <c r="AR217" s="540">
        <f t="shared" si="166"/>
        <v>22935.272727272728</v>
      </c>
      <c r="AS217" s="540">
        <f t="shared" si="166"/>
        <v>22935.272727272728</v>
      </c>
      <c r="AT217" s="540">
        <f t="shared" si="166"/>
        <v>22935.272727272728</v>
      </c>
      <c r="AU217" s="540">
        <f t="shared" si="166"/>
        <v>22935.272727272728</v>
      </c>
      <c r="AV217" s="540">
        <f t="shared" si="166"/>
        <v>22935.272727272728</v>
      </c>
      <c r="AW217" s="540">
        <f t="shared" si="166"/>
        <v>22935.272727272728</v>
      </c>
      <c r="AX217" s="540">
        <f t="shared" si="166"/>
        <v>22935.272727272728</v>
      </c>
      <c r="AY217" s="540">
        <f t="shared" si="166"/>
        <v>22935.272727272728</v>
      </c>
      <c r="AZ217" s="540">
        <f t="shared" si="166"/>
        <v>22935.272727272728</v>
      </c>
      <c r="BA217" s="540">
        <f t="shared" si="166"/>
        <v>22935.272727272728</v>
      </c>
      <c r="BB217" s="540">
        <f t="shared" si="166"/>
        <v>22935.272727272728</v>
      </c>
      <c r="BC217" s="540">
        <f t="shared" si="166"/>
        <v>22935.272727272728</v>
      </c>
      <c r="BD217" s="540">
        <f t="shared" si="166"/>
        <v>22935.272727272728</v>
      </c>
      <c r="BE217" s="540">
        <f t="shared" si="166"/>
        <v>22935.272727272728</v>
      </c>
      <c r="BF217" s="540">
        <f t="shared" si="166"/>
        <v>22935.272727272728</v>
      </c>
      <c r="BG217" s="540">
        <f t="shared" si="166"/>
        <v>22935.272727272728</v>
      </c>
      <c r="BH217" s="540">
        <f t="shared" si="166"/>
        <v>22935.272727272728</v>
      </c>
      <c r="BI217" s="540">
        <f t="shared" si="166"/>
        <v>22935.272727272728</v>
      </c>
      <c r="BJ217" s="540">
        <f t="shared" si="166"/>
        <v>22935.272727272728</v>
      </c>
      <c r="BK217" s="540">
        <f t="shared" si="166"/>
        <v>22935.272727272728</v>
      </c>
      <c r="BL217" s="540">
        <f t="shared" si="166"/>
        <v>22935.272727272728</v>
      </c>
      <c r="BM217" s="540">
        <f t="shared" si="166"/>
        <v>22935.272727272728</v>
      </c>
      <c r="BN217" s="540">
        <f t="shared" si="166"/>
        <v>22935.272727272728</v>
      </c>
      <c r="BO217" s="540">
        <f t="shared" si="166"/>
        <v>22935.272727272728</v>
      </c>
      <c r="BP217" s="540">
        <f t="shared" si="166"/>
        <v>22935.272727272728</v>
      </c>
      <c r="BQ217" s="540">
        <f t="shared" si="166"/>
        <v>22935.272727272728</v>
      </c>
      <c r="BR217" s="540">
        <f t="shared" si="166"/>
        <v>22935.272727272728</v>
      </c>
      <c r="BS217" s="540">
        <f t="shared" si="166"/>
        <v>22935.272727272728</v>
      </c>
      <c r="BT217" s="540">
        <f t="shared" si="166"/>
        <v>22935.272727272728</v>
      </c>
      <c r="BU217" s="540">
        <f t="shared" si="166"/>
        <v>22935.272727272728</v>
      </c>
      <c r="BV217" s="540">
        <f t="shared" si="166"/>
        <v>22935.272727272728</v>
      </c>
      <c r="BW217" s="540">
        <f t="shared" si="166"/>
        <v>22935.272727272728</v>
      </c>
      <c r="BX217" s="540">
        <f t="shared" si="166"/>
        <v>22935.272727272728</v>
      </c>
      <c r="BY217" s="540">
        <f t="shared" si="166"/>
        <v>22935.272727272728</v>
      </c>
      <c r="BZ217" s="540">
        <f t="shared" si="166"/>
        <v>22935.272727272728</v>
      </c>
      <c r="CA217" s="540">
        <f t="shared" si="166"/>
        <v>22935.272727272728</v>
      </c>
      <c r="CB217" s="540">
        <f t="shared" si="166"/>
        <v>22935.272727272728</v>
      </c>
      <c r="CC217" s="540">
        <f t="shared" si="166"/>
        <v>22935.272727272728</v>
      </c>
      <c r="CD217" s="540">
        <f t="shared" si="166"/>
        <v>22935.272727272728</v>
      </c>
      <c r="CE217" s="540">
        <f t="shared" si="166"/>
        <v>22935.272727272728</v>
      </c>
      <c r="CG217" s="536">
        <v>22935.272727272728</v>
      </c>
      <c r="CH217" s="536">
        <v>22935.272727272728</v>
      </c>
      <c r="CI217" s="536">
        <v>22935.272727272728</v>
      </c>
      <c r="CJ217" s="536">
        <v>22935.272727272728</v>
      </c>
      <c r="CK217" s="536">
        <v>22935.272727272728</v>
      </c>
      <c r="CL217" s="536">
        <v>22935.272727272728</v>
      </c>
      <c r="CM217" s="536">
        <v>22935.272727272728</v>
      </c>
      <c r="CN217" s="536">
        <v>22935.272727272728</v>
      </c>
      <c r="CO217" s="536">
        <v>22935.272727272728</v>
      </c>
      <c r="CP217" s="536">
        <v>22935.272727272728</v>
      </c>
      <c r="CQ217" s="536">
        <v>22935.272727272728</v>
      </c>
      <c r="CR217" s="536">
        <v>22935.272727272728</v>
      </c>
      <c r="CS217" s="536">
        <v>22935.272727272728</v>
      </c>
      <c r="CT217" s="536">
        <v>22935.272727272728</v>
      </c>
      <c r="CU217" s="536">
        <v>22935.272727272728</v>
      </c>
      <c r="CV217" s="536">
        <v>22935.272727272728</v>
      </c>
      <c r="CW217" s="536">
        <v>22935.272727272728</v>
      </c>
      <c r="CX217" s="536">
        <v>22935.272727272728</v>
      </c>
      <c r="CY217" s="536">
        <v>22935.272727272728</v>
      </c>
      <c r="CZ217" s="536">
        <v>22935.272727272728</v>
      </c>
      <c r="DA217" s="536">
        <v>22935.272727272728</v>
      </c>
      <c r="DB217" s="536">
        <v>22935.272727272728</v>
      </c>
      <c r="DC217" s="536">
        <v>22935.272727272728</v>
      </c>
      <c r="DD217" s="536">
        <v>22935.272727272728</v>
      </c>
      <c r="DE217" s="536">
        <v>22935.272727272728</v>
      </c>
      <c r="DF217" s="536">
        <v>22935.272727272728</v>
      </c>
      <c r="DG217" s="536">
        <v>22935.272727272728</v>
      </c>
      <c r="DH217" s="536">
        <v>22935.272727272728</v>
      </c>
    </row>
    <row r="218" spans="2:112">
      <c r="F218" s="539"/>
      <c r="G218" s="539"/>
      <c r="H218" s="539"/>
      <c r="I218" s="539"/>
      <c r="J218" s="539"/>
      <c r="K218" s="539"/>
      <c r="L218" s="539"/>
      <c r="M218" s="539"/>
      <c r="N218" s="539"/>
      <c r="O218" s="539"/>
      <c r="P218" s="539"/>
      <c r="Q218" s="539"/>
      <c r="R218" s="539"/>
      <c r="S218" s="539"/>
      <c r="T218" s="539"/>
      <c r="U218" s="539"/>
      <c r="V218" s="539"/>
      <c r="W218" s="539"/>
      <c r="X218" s="539"/>
      <c r="Y218" s="539"/>
      <c r="Z218" s="539"/>
      <c r="AA218" s="539"/>
      <c r="AB218" s="539"/>
      <c r="AC218" s="539"/>
      <c r="AD218" s="539"/>
      <c r="AE218" s="539"/>
      <c r="AF218" s="539"/>
      <c r="AG218" s="539"/>
      <c r="AH218" s="539"/>
      <c r="AI218" s="539"/>
      <c r="AJ218" s="539"/>
      <c r="AK218" s="539"/>
      <c r="AL218" s="539"/>
      <c r="AM218" s="539"/>
      <c r="AN218" s="539"/>
      <c r="AO218" s="539"/>
      <c r="AP218" s="539"/>
      <c r="AQ218" s="539"/>
      <c r="AR218" s="539"/>
      <c r="AS218" s="539"/>
      <c r="AT218" s="539"/>
      <c r="AU218" s="539"/>
      <c r="AV218" s="539"/>
      <c r="AW218" s="539"/>
      <c r="AX218" s="539"/>
      <c r="AY218" s="539"/>
      <c r="AZ218" s="539"/>
      <c r="BA218" s="539"/>
      <c r="BB218" s="539"/>
      <c r="BC218" s="539"/>
      <c r="BD218" s="539"/>
      <c r="BE218" s="539"/>
      <c r="BF218" s="539"/>
      <c r="BG218" s="539"/>
      <c r="BH218" s="539"/>
      <c r="BI218" s="539"/>
      <c r="BJ218" s="539"/>
      <c r="BK218" s="539"/>
      <c r="BL218" s="539"/>
      <c r="BM218" s="539"/>
      <c r="BN218" s="539"/>
      <c r="BO218" s="539"/>
      <c r="BP218" s="539"/>
      <c r="BQ218" s="539"/>
      <c r="BR218" s="539"/>
      <c r="BS218" s="539"/>
      <c r="BT218" s="539"/>
      <c r="BU218" s="539"/>
      <c r="BV218" s="539"/>
      <c r="BW218" s="539"/>
      <c r="BX218" s="539"/>
      <c r="BY218" s="539"/>
      <c r="BZ218" s="539"/>
      <c r="CA218" s="539"/>
      <c r="CB218" s="539"/>
      <c r="CC218" s="539"/>
      <c r="CD218" s="539"/>
      <c r="CE218" s="539"/>
      <c r="CG218" s="539"/>
      <c r="CH218" s="539"/>
      <c r="CI218" s="539"/>
      <c r="CJ218" s="539"/>
      <c r="CK218" s="539"/>
      <c r="CL218" s="539"/>
      <c r="CM218" s="539"/>
      <c r="CN218" s="539"/>
      <c r="CO218" s="539"/>
      <c r="CP218" s="539"/>
      <c r="CQ218" s="539"/>
      <c r="CR218" s="539"/>
      <c r="CS218" s="539"/>
      <c r="CT218" s="539"/>
      <c r="CU218" s="539"/>
      <c r="CV218" s="539"/>
      <c r="CW218" s="539"/>
      <c r="CX218" s="539"/>
      <c r="CY218" s="539"/>
      <c r="CZ218" s="539"/>
      <c r="DA218" s="539"/>
      <c r="DB218" s="539"/>
      <c r="DC218" s="539"/>
      <c r="DD218" s="539"/>
      <c r="DE218" s="539"/>
      <c r="DF218" s="539"/>
      <c r="DG218" s="539"/>
      <c r="DH218" s="539"/>
    </row>
    <row r="219" spans="2:112">
      <c r="B219" t="s">
        <v>1093</v>
      </c>
      <c r="C219" t="s">
        <v>764</v>
      </c>
      <c r="D219" t="s">
        <v>907</v>
      </c>
      <c r="E219" t="s">
        <v>908</v>
      </c>
      <c r="F219" s="541">
        <v>99.525000000000006</v>
      </c>
      <c r="G219" s="541">
        <v>99.525000000000006</v>
      </c>
      <c r="H219" s="541">
        <v>99.525000000000006</v>
      </c>
      <c r="I219" s="541">
        <v>99.525000000000006</v>
      </c>
      <c r="J219" s="541">
        <v>99.525000000000006</v>
      </c>
      <c r="K219" s="541">
        <v>99.525000000000006</v>
      </c>
      <c r="L219" s="541">
        <v>99.525000000000006</v>
      </c>
      <c r="M219" s="541">
        <v>99.525000000000006</v>
      </c>
      <c r="N219" s="541">
        <v>99.525000000000006</v>
      </c>
      <c r="O219" s="541">
        <v>99.525000000000006</v>
      </c>
      <c r="P219" s="541">
        <v>99.525000000000006</v>
      </c>
      <c r="Q219" s="541">
        <v>99.525000000000006</v>
      </c>
      <c r="R219" s="541">
        <v>99.525000000000006</v>
      </c>
      <c r="S219" s="541">
        <v>99.525000000000006</v>
      </c>
      <c r="T219" s="541">
        <v>99.525000000000006</v>
      </c>
      <c r="U219" s="541">
        <v>99.525000000000006</v>
      </c>
      <c r="V219" s="541">
        <v>99.525000000000006</v>
      </c>
      <c r="W219" s="541">
        <v>99.525000000000006</v>
      </c>
      <c r="X219" s="541">
        <v>99.525000000000006</v>
      </c>
      <c r="Y219" s="541">
        <v>99.525000000000006</v>
      </c>
      <c r="Z219" s="541">
        <v>99.525000000000006</v>
      </c>
      <c r="AA219" s="541">
        <v>99.525000000000006</v>
      </c>
      <c r="AB219" s="541">
        <v>99.525000000000006</v>
      </c>
      <c r="AC219" s="541">
        <v>99.525000000000006</v>
      </c>
      <c r="AD219" s="541">
        <v>99.525000000000006</v>
      </c>
      <c r="AE219" s="541">
        <v>99.525000000000006</v>
      </c>
      <c r="AF219" s="541">
        <v>99.525000000000006</v>
      </c>
      <c r="AG219" s="541">
        <v>99.525000000000006</v>
      </c>
      <c r="AH219" s="542">
        <f>AG219</f>
        <v>99.525000000000006</v>
      </c>
      <c r="AI219" s="542">
        <f t="shared" ref="AI219:AX219" si="167">AH219</f>
        <v>99.525000000000006</v>
      </c>
      <c r="AJ219" s="542">
        <f t="shared" si="167"/>
        <v>99.525000000000006</v>
      </c>
      <c r="AK219" s="542">
        <f t="shared" si="167"/>
        <v>99.525000000000006</v>
      </c>
      <c r="AL219" s="542">
        <f t="shared" si="167"/>
        <v>99.525000000000006</v>
      </c>
      <c r="AM219" s="542">
        <f t="shared" si="167"/>
        <v>99.525000000000006</v>
      </c>
      <c r="AN219" s="542">
        <f t="shared" si="167"/>
        <v>99.525000000000006</v>
      </c>
      <c r="AO219" s="542">
        <f t="shared" si="167"/>
        <v>99.525000000000006</v>
      </c>
      <c r="AP219" s="542">
        <f t="shared" si="167"/>
        <v>99.525000000000006</v>
      </c>
      <c r="AQ219" s="542">
        <f t="shared" si="167"/>
        <v>99.525000000000006</v>
      </c>
      <c r="AR219" s="542">
        <f t="shared" si="167"/>
        <v>99.525000000000006</v>
      </c>
      <c r="AS219" s="542">
        <f t="shared" si="167"/>
        <v>99.525000000000006</v>
      </c>
      <c r="AT219" s="542">
        <f t="shared" si="167"/>
        <v>99.525000000000006</v>
      </c>
      <c r="AU219" s="542">
        <f t="shared" si="167"/>
        <v>99.525000000000006</v>
      </c>
      <c r="AV219" s="542">
        <f t="shared" si="167"/>
        <v>99.525000000000006</v>
      </c>
      <c r="AW219" s="542">
        <f t="shared" si="167"/>
        <v>99.525000000000006</v>
      </c>
      <c r="AX219" s="542">
        <f t="shared" si="167"/>
        <v>99.525000000000006</v>
      </c>
      <c r="AY219" s="542">
        <f t="shared" ref="AY219:BN219" si="168">AX219</f>
        <v>99.525000000000006</v>
      </c>
      <c r="AZ219" s="542">
        <f t="shared" si="168"/>
        <v>99.525000000000006</v>
      </c>
      <c r="BA219" s="542">
        <f t="shared" si="168"/>
        <v>99.525000000000006</v>
      </c>
      <c r="BB219" s="542">
        <f t="shared" si="168"/>
        <v>99.525000000000006</v>
      </c>
      <c r="BC219" s="542">
        <f t="shared" si="168"/>
        <v>99.525000000000006</v>
      </c>
      <c r="BD219" s="542">
        <f t="shared" si="168"/>
        <v>99.525000000000006</v>
      </c>
      <c r="BE219" s="542">
        <f t="shared" si="168"/>
        <v>99.525000000000006</v>
      </c>
      <c r="BF219" s="542">
        <f t="shared" si="168"/>
        <v>99.525000000000006</v>
      </c>
      <c r="BG219" s="542">
        <f t="shared" si="168"/>
        <v>99.525000000000006</v>
      </c>
      <c r="BH219" s="542">
        <f t="shared" si="168"/>
        <v>99.525000000000006</v>
      </c>
      <c r="BI219" s="542">
        <f t="shared" si="168"/>
        <v>99.525000000000006</v>
      </c>
      <c r="BJ219" s="542">
        <f t="shared" si="168"/>
        <v>99.525000000000006</v>
      </c>
      <c r="BK219" s="542">
        <f t="shared" si="168"/>
        <v>99.525000000000006</v>
      </c>
      <c r="BL219" s="542">
        <f t="shared" si="168"/>
        <v>99.525000000000006</v>
      </c>
      <c r="BM219" s="542">
        <f t="shared" si="168"/>
        <v>99.525000000000006</v>
      </c>
      <c r="BN219" s="542">
        <f t="shared" si="168"/>
        <v>99.525000000000006</v>
      </c>
      <c r="BO219" s="542">
        <f t="shared" ref="BO219:CD219" si="169">BN219</f>
        <v>99.525000000000006</v>
      </c>
      <c r="BP219" s="542">
        <f t="shared" si="169"/>
        <v>99.525000000000006</v>
      </c>
      <c r="BQ219" s="542">
        <f t="shared" si="169"/>
        <v>99.525000000000006</v>
      </c>
      <c r="BR219" s="542">
        <f t="shared" si="169"/>
        <v>99.525000000000006</v>
      </c>
      <c r="BS219" s="542">
        <f t="shared" si="169"/>
        <v>99.525000000000006</v>
      </c>
      <c r="BT219" s="542">
        <f t="shared" si="169"/>
        <v>99.525000000000006</v>
      </c>
      <c r="BU219" s="542">
        <f t="shared" si="169"/>
        <v>99.525000000000006</v>
      </c>
      <c r="BV219" s="542">
        <f t="shared" si="169"/>
        <v>99.525000000000006</v>
      </c>
      <c r="BW219" s="542">
        <f t="shared" si="169"/>
        <v>99.525000000000006</v>
      </c>
      <c r="BX219" s="542">
        <f t="shared" si="169"/>
        <v>99.525000000000006</v>
      </c>
      <c r="BY219" s="542">
        <f t="shared" si="169"/>
        <v>99.525000000000006</v>
      </c>
      <c r="BZ219" s="542">
        <f t="shared" si="169"/>
        <v>99.525000000000006</v>
      </c>
      <c r="CA219" s="542">
        <f t="shared" si="169"/>
        <v>99.525000000000006</v>
      </c>
      <c r="CB219" s="542">
        <f t="shared" si="169"/>
        <v>99.525000000000006</v>
      </c>
      <c r="CC219" s="542">
        <f t="shared" si="169"/>
        <v>99.525000000000006</v>
      </c>
      <c r="CD219" s="542">
        <f t="shared" si="169"/>
        <v>99.525000000000006</v>
      </c>
      <c r="CE219" s="542">
        <f t="shared" ref="AX219:CE226" si="170">CD219</f>
        <v>99.525000000000006</v>
      </c>
      <c r="CG219" s="541">
        <v>99.525000000000006</v>
      </c>
      <c r="CH219" s="541">
        <v>99.525000000000006</v>
      </c>
      <c r="CI219" s="541">
        <v>99.525000000000006</v>
      </c>
      <c r="CJ219" s="541">
        <v>99.525000000000006</v>
      </c>
      <c r="CK219" s="541">
        <v>99.525000000000006</v>
      </c>
      <c r="CL219" s="541">
        <v>99.525000000000006</v>
      </c>
      <c r="CM219" s="541">
        <v>99.525000000000006</v>
      </c>
      <c r="CN219" s="541">
        <v>99.525000000000006</v>
      </c>
      <c r="CO219" s="541">
        <v>99.525000000000006</v>
      </c>
      <c r="CP219" s="541">
        <v>99.525000000000006</v>
      </c>
      <c r="CQ219" s="541">
        <v>99.525000000000006</v>
      </c>
      <c r="CR219" s="541">
        <v>99.525000000000006</v>
      </c>
      <c r="CS219" s="541">
        <v>99.525000000000006</v>
      </c>
      <c r="CT219" s="541">
        <v>99.525000000000006</v>
      </c>
      <c r="CU219" s="541">
        <v>99.525000000000006</v>
      </c>
      <c r="CV219" s="541">
        <v>99.525000000000006</v>
      </c>
      <c r="CW219" s="541">
        <v>99.525000000000006</v>
      </c>
      <c r="CX219" s="541">
        <v>99.525000000000006</v>
      </c>
      <c r="CY219" s="541">
        <v>99.525000000000006</v>
      </c>
      <c r="CZ219" s="541">
        <v>99.525000000000006</v>
      </c>
      <c r="DA219" s="541">
        <v>99.525000000000006</v>
      </c>
      <c r="DB219" s="541">
        <v>99.525000000000006</v>
      </c>
      <c r="DC219" s="541">
        <v>99.525000000000006</v>
      </c>
      <c r="DD219" s="541">
        <v>99.525000000000006</v>
      </c>
      <c r="DE219" s="541">
        <v>99.525000000000006</v>
      </c>
      <c r="DF219" s="541">
        <v>99.525000000000006</v>
      </c>
      <c r="DG219" s="541">
        <v>99.525000000000006</v>
      </c>
      <c r="DH219" s="541">
        <v>99.525000000000006</v>
      </c>
    </row>
    <row r="220" spans="2:112">
      <c r="B220" t="s">
        <v>1094</v>
      </c>
      <c r="C220" t="s">
        <v>764</v>
      </c>
      <c r="D220" t="s">
        <v>910</v>
      </c>
      <c r="E220" t="s">
        <v>911</v>
      </c>
      <c r="F220" s="541">
        <v>3.5673154545454544</v>
      </c>
      <c r="G220" s="541">
        <v>3.5673154545454544</v>
      </c>
      <c r="H220" s="541">
        <v>3.5673154545454544</v>
      </c>
      <c r="I220" s="541">
        <v>3.5673154545454544</v>
      </c>
      <c r="J220" s="541">
        <v>3.5673154545454544</v>
      </c>
      <c r="K220" s="541">
        <v>3.5673154545454544</v>
      </c>
      <c r="L220" s="541">
        <v>3.5673154545454544</v>
      </c>
      <c r="M220" s="541">
        <v>3.5673154545454544</v>
      </c>
      <c r="N220" s="541">
        <v>3.5673154545454544</v>
      </c>
      <c r="O220" s="541">
        <v>3.5673154545454544</v>
      </c>
      <c r="P220" s="541">
        <v>3.5673154545454544</v>
      </c>
      <c r="Q220" s="541">
        <v>3.5673154545454544</v>
      </c>
      <c r="R220" s="541">
        <v>3.5673154545454544</v>
      </c>
      <c r="S220" s="541">
        <v>3.5673154545454544</v>
      </c>
      <c r="T220" s="541">
        <v>3.5673154545454544</v>
      </c>
      <c r="U220" s="541">
        <v>3.5673154545454544</v>
      </c>
      <c r="V220" s="541">
        <v>3.5673154545454544</v>
      </c>
      <c r="W220" s="541">
        <v>3.5673154545454544</v>
      </c>
      <c r="X220" s="541">
        <v>3.5673154545454544</v>
      </c>
      <c r="Y220" s="541">
        <v>3.5673154545454544</v>
      </c>
      <c r="Z220" s="541">
        <v>3.5673154545454544</v>
      </c>
      <c r="AA220" s="541">
        <v>3.5673154545454544</v>
      </c>
      <c r="AB220" s="541">
        <v>3.5673154545454544</v>
      </c>
      <c r="AC220" s="541">
        <v>3.5673154545454544</v>
      </c>
      <c r="AD220" s="541">
        <v>3.5673154545454544</v>
      </c>
      <c r="AE220" s="541">
        <v>3.5673154545454544</v>
      </c>
      <c r="AF220" s="541">
        <v>3.5673154545454544</v>
      </c>
      <c r="AG220" s="541">
        <v>3.5673154545454544</v>
      </c>
      <c r="AH220" s="542">
        <f t="shared" ref="AH220:AW226" si="171">AG220</f>
        <v>3.5673154545454544</v>
      </c>
      <c r="AI220" s="542">
        <f t="shared" si="171"/>
        <v>3.5673154545454544</v>
      </c>
      <c r="AJ220" s="542">
        <f t="shared" si="171"/>
        <v>3.5673154545454544</v>
      </c>
      <c r="AK220" s="542">
        <f t="shared" si="171"/>
        <v>3.5673154545454544</v>
      </c>
      <c r="AL220" s="542">
        <f t="shared" si="171"/>
        <v>3.5673154545454544</v>
      </c>
      <c r="AM220" s="542">
        <f t="shared" si="171"/>
        <v>3.5673154545454544</v>
      </c>
      <c r="AN220" s="542">
        <f t="shared" si="171"/>
        <v>3.5673154545454544</v>
      </c>
      <c r="AO220" s="542">
        <f t="shared" si="171"/>
        <v>3.5673154545454544</v>
      </c>
      <c r="AP220" s="542">
        <f t="shared" si="171"/>
        <v>3.5673154545454544</v>
      </c>
      <c r="AQ220" s="542">
        <f t="shared" si="171"/>
        <v>3.5673154545454544</v>
      </c>
      <c r="AR220" s="542">
        <f t="shared" si="171"/>
        <v>3.5673154545454544</v>
      </c>
      <c r="AS220" s="542">
        <f t="shared" si="171"/>
        <v>3.5673154545454544</v>
      </c>
      <c r="AT220" s="542">
        <f t="shared" si="171"/>
        <v>3.5673154545454544</v>
      </c>
      <c r="AU220" s="542">
        <f t="shared" si="171"/>
        <v>3.5673154545454544</v>
      </c>
      <c r="AV220" s="542">
        <f t="shared" si="171"/>
        <v>3.5673154545454544</v>
      </c>
      <c r="AW220" s="542">
        <f t="shared" si="171"/>
        <v>3.5673154545454544</v>
      </c>
      <c r="AX220" s="542">
        <f t="shared" si="170"/>
        <v>3.5673154545454544</v>
      </c>
      <c r="AY220" s="542">
        <f t="shared" si="170"/>
        <v>3.5673154545454544</v>
      </c>
      <c r="AZ220" s="542">
        <f t="shared" si="170"/>
        <v>3.5673154545454544</v>
      </c>
      <c r="BA220" s="542">
        <f t="shared" si="170"/>
        <v>3.5673154545454544</v>
      </c>
      <c r="BB220" s="542">
        <f t="shared" si="170"/>
        <v>3.5673154545454544</v>
      </c>
      <c r="BC220" s="542">
        <f t="shared" si="170"/>
        <v>3.5673154545454544</v>
      </c>
      <c r="BD220" s="542">
        <f t="shared" si="170"/>
        <v>3.5673154545454544</v>
      </c>
      <c r="BE220" s="542">
        <f t="shared" si="170"/>
        <v>3.5673154545454544</v>
      </c>
      <c r="BF220" s="542">
        <f t="shared" si="170"/>
        <v>3.5673154545454544</v>
      </c>
      <c r="BG220" s="542">
        <f t="shared" si="170"/>
        <v>3.5673154545454544</v>
      </c>
      <c r="BH220" s="542">
        <f t="shared" si="170"/>
        <v>3.5673154545454544</v>
      </c>
      <c r="BI220" s="542">
        <f t="shared" si="170"/>
        <v>3.5673154545454544</v>
      </c>
      <c r="BJ220" s="542">
        <f t="shared" si="170"/>
        <v>3.5673154545454544</v>
      </c>
      <c r="BK220" s="542">
        <f t="shared" si="170"/>
        <v>3.5673154545454544</v>
      </c>
      <c r="BL220" s="542">
        <f t="shared" si="170"/>
        <v>3.5673154545454544</v>
      </c>
      <c r="BM220" s="542">
        <f t="shared" si="170"/>
        <v>3.5673154545454544</v>
      </c>
      <c r="BN220" s="542">
        <f t="shared" si="170"/>
        <v>3.5673154545454544</v>
      </c>
      <c r="BO220" s="542">
        <f t="shared" si="170"/>
        <v>3.5673154545454544</v>
      </c>
      <c r="BP220" s="542">
        <f t="shared" si="170"/>
        <v>3.5673154545454544</v>
      </c>
      <c r="BQ220" s="542">
        <f t="shared" si="170"/>
        <v>3.5673154545454544</v>
      </c>
      <c r="BR220" s="542">
        <f t="shared" si="170"/>
        <v>3.5673154545454544</v>
      </c>
      <c r="BS220" s="542">
        <f t="shared" si="170"/>
        <v>3.5673154545454544</v>
      </c>
      <c r="BT220" s="542">
        <f t="shared" si="170"/>
        <v>3.5673154545454544</v>
      </c>
      <c r="BU220" s="542">
        <f t="shared" si="170"/>
        <v>3.5673154545454544</v>
      </c>
      <c r="BV220" s="542">
        <f t="shared" si="170"/>
        <v>3.5673154545454544</v>
      </c>
      <c r="BW220" s="542">
        <f t="shared" si="170"/>
        <v>3.5673154545454544</v>
      </c>
      <c r="BX220" s="542">
        <f t="shared" si="170"/>
        <v>3.5673154545454544</v>
      </c>
      <c r="BY220" s="542">
        <f t="shared" si="170"/>
        <v>3.5673154545454544</v>
      </c>
      <c r="BZ220" s="542">
        <f t="shared" si="170"/>
        <v>3.5673154545454544</v>
      </c>
      <c r="CA220" s="542">
        <f t="shared" si="170"/>
        <v>3.5673154545454544</v>
      </c>
      <c r="CB220" s="542">
        <f t="shared" si="170"/>
        <v>3.5673154545454544</v>
      </c>
      <c r="CC220" s="542">
        <f t="shared" si="170"/>
        <v>3.5673154545454544</v>
      </c>
      <c r="CD220" s="542">
        <f t="shared" si="170"/>
        <v>3.5673154545454544</v>
      </c>
      <c r="CE220" s="542">
        <f t="shared" si="170"/>
        <v>3.5673154545454544</v>
      </c>
      <c r="CG220" s="541">
        <v>3.5673154545454544</v>
      </c>
      <c r="CH220" s="541">
        <v>3.5673154545454544</v>
      </c>
      <c r="CI220" s="541">
        <v>3.5673154545454544</v>
      </c>
      <c r="CJ220" s="541">
        <v>3.5673154545454544</v>
      </c>
      <c r="CK220" s="541">
        <v>3.5673154545454544</v>
      </c>
      <c r="CL220" s="541">
        <v>3.5673154545454544</v>
      </c>
      <c r="CM220" s="541">
        <v>3.5673154545454544</v>
      </c>
      <c r="CN220" s="541">
        <v>3.5673154545454544</v>
      </c>
      <c r="CO220" s="541">
        <v>3.5673154545454544</v>
      </c>
      <c r="CP220" s="541">
        <v>3.5673154545454544</v>
      </c>
      <c r="CQ220" s="541">
        <v>3.5673154545454544</v>
      </c>
      <c r="CR220" s="541">
        <v>3.5673154545454544</v>
      </c>
      <c r="CS220" s="541">
        <v>3.5673154545454544</v>
      </c>
      <c r="CT220" s="541">
        <v>3.5673154545454544</v>
      </c>
      <c r="CU220" s="541">
        <v>3.5673154545454544</v>
      </c>
      <c r="CV220" s="541">
        <v>3.5673154545454544</v>
      </c>
      <c r="CW220" s="541">
        <v>3.5673154545454544</v>
      </c>
      <c r="CX220" s="541">
        <v>3.5673154545454544</v>
      </c>
      <c r="CY220" s="541">
        <v>3.5673154545454544</v>
      </c>
      <c r="CZ220" s="541">
        <v>3.5673154545454544</v>
      </c>
      <c r="DA220" s="541">
        <v>3.5673154545454544</v>
      </c>
      <c r="DB220" s="541">
        <v>3.5673154545454544</v>
      </c>
      <c r="DC220" s="541">
        <v>3.5673154545454544</v>
      </c>
      <c r="DD220" s="541">
        <v>3.5673154545454544</v>
      </c>
      <c r="DE220" s="541">
        <v>3.5673154545454544</v>
      </c>
      <c r="DF220" s="541">
        <v>3.5673154545454544</v>
      </c>
      <c r="DG220" s="541">
        <v>3.5673154545454544</v>
      </c>
      <c r="DH220" s="541">
        <v>3.5673154545454544</v>
      </c>
    </row>
    <row r="221" spans="2:112">
      <c r="B221" t="s">
        <v>1095</v>
      </c>
      <c r="C221" t="s">
        <v>764</v>
      </c>
      <c r="D221" t="s">
        <v>913</v>
      </c>
      <c r="E221" t="s">
        <v>908</v>
      </c>
      <c r="F221" s="541">
        <v>118.2175</v>
      </c>
      <c r="G221" s="541">
        <v>118.2175</v>
      </c>
      <c r="H221" s="541">
        <v>118.2175</v>
      </c>
      <c r="I221" s="541">
        <v>118.2175</v>
      </c>
      <c r="J221" s="541">
        <v>118.2175</v>
      </c>
      <c r="K221" s="541">
        <v>118.2175</v>
      </c>
      <c r="L221" s="541">
        <v>118.2175</v>
      </c>
      <c r="M221" s="541">
        <v>118.2175</v>
      </c>
      <c r="N221" s="541">
        <v>118.2175</v>
      </c>
      <c r="O221" s="541">
        <v>118.2175</v>
      </c>
      <c r="P221" s="541">
        <v>118.2175</v>
      </c>
      <c r="Q221" s="541">
        <v>118.2175</v>
      </c>
      <c r="R221" s="541">
        <v>118.2175</v>
      </c>
      <c r="S221" s="541">
        <v>118.2175</v>
      </c>
      <c r="T221" s="541">
        <v>118.2175</v>
      </c>
      <c r="U221" s="541">
        <v>118.2175</v>
      </c>
      <c r="V221" s="541">
        <v>118.2175</v>
      </c>
      <c r="W221" s="541">
        <v>118.2175</v>
      </c>
      <c r="X221" s="541">
        <v>118.2175</v>
      </c>
      <c r="Y221" s="541">
        <v>118.2175</v>
      </c>
      <c r="Z221" s="541">
        <v>118.2175</v>
      </c>
      <c r="AA221" s="541">
        <v>118.2175</v>
      </c>
      <c r="AB221" s="541">
        <v>118.2175</v>
      </c>
      <c r="AC221" s="541">
        <v>118.2175</v>
      </c>
      <c r="AD221" s="541">
        <v>118.2175</v>
      </c>
      <c r="AE221" s="541">
        <v>118.2175</v>
      </c>
      <c r="AF221" s="541">
        <v>118.2175</v>
      </c>
      <c r="AG221" s="541">
        <v>118.2175</v>
      </c>
      <c r="AH221" s="542">
        <f t="shared" si="171"/>
        <v>118.2175</v>
      </c>
      <c r="AI221" s="542">
        <f t="shared" si="171"/>
        <v>118.2175</v>
      </c>
      <c r="AJ221" s="542">
        <f t="shared" si="171"/>
        <v>118.2175</v>
      </c>
      <c r="AK221" s="542">
        <f t="shared" si="171"/>
        <v>118.2175</v>
      </c>
      <c r="AL221" s="542">
        <f t="shared" si="171"/>
        <v>118.2175</v>
      </c>
      <c r="AM221" s="542">
        <f t="shared" si="171"/>
        <v>118.2175</v>
      </c>
      <c r="AN221" s="542">
        <f t="shared" si="171"/>
        <v>118.2175</v>
      </c>
      <c r="AO221" s="542">
        <f t="shared" si="171"/>
        <v>118.2175</v>
      </c>
      <c r="AP221" s="542">
        <f t="shared" si="171"/>
        <v>118.2175</v>
      </c>
      <c r="AQ221" s="542">
        <f t="shared" si="171"/>
        <v>118.2175</v>
      </c>
      <c r="AR221" s="542">
        <f t="shared" si="171"/>
        <v>118.2175</v>
      </c>
      <c r="AS221" s="542">
        <f t="shared" si="171"/>
        <v>118.2175</v>
      </c>
      <c r="AT221" s="542">
        <f t="shared" si="171"/>
        <v>118.2175</v>
      </c>
      <c r="AU221" s="542">
        <f t="shared" si="171"/>
        <v>118.2175</v>
      </c>
      <c r="AV221" s="542">
        <f t="shared" si="171"/>
        <v>118.2175</v>
      </c>
      <c r="AW221" s="542">
        <f t="shared" si="171"/>
        <v>118.2175</v>
      </c>
      <c r="AX221" s="542">
        <f t="shared" si="170"/>
        <v>118.2175</v>
      </c>
      <c r="AY221" s="542">
        <f t="shared" si="170"/>
        <v>118.2175</v>
      </c>
      <c r="AZ221" s="542">
        <f t="shared" si="170"/>
        <v>118.2175</v>
      </c>
      <c r="BA221" s="542">
        <f t="shared" si="170"/>
        <v>118.2175</v>
      </c>
      <c r="BB221" s="542">
        <f t="shared" si="170"/>
        <v>118.2175</v>
      </c>
      <c r="BC221" s="542">
        <f t="shared" si="170"/>
        <v>118.2175</v>
      </c>
      <c r="BD221" s="542">
        <f t="shared" si="170"/>
        <v>118.2175</v>
      </c>
      <c r="BE221" s="542">
        <f t="shared" si="170"/>
        <v>118.2175</v>
      </c>
      <c r="BF221" s="542">
        <f t="shared" si="170"/>
        <v>118.2175</v>
      </c>
      <c r="BG221" s="542">
        <f t="shared" si="170"/>
        <v>118.2175</v>
      </c>
      <c r="BH221" s="542">
        <f t="shared" si="170"/>
        <v>118.2175</v>
      </c>
      <c r="BI221" s="542">
        <f t="shared" si="170"/>
        <v>118.2175</v>
      </c>
      <c r="BJ221" s="542">
        <f t="shared" si="170"/>
        <v>118.2175</v>
      </c>
      <c r="BK221" s="542">
        <f t="shared" si="170"/>
        <v>118.2175</v>
      </c>
      <c r="BL221" s="542">
        <f t="shared" si="170"/>
        <v>118.2175</v>
      </c>
      <c r="BM221" s="542">
        <f t="shared" si="170"/>
        <v>118.2175</v>
      </c>
      <c r="BN221" s="542">
        <f t="shared" si="170"/>
        <v>118.2175</v>
      </c>
      <c r="BO221" s="542">
        <f t="shared" si="170"/>
        <v>118.2175</v>
      </c>
      <c r="BP221" s="542">
        <f t="shared" si="170"/>
        <v>118.2175</v>
      </c>
      <c r="BQ221" s="542">
        <f t="shared" si="170"/>
        <v>118.2175</v>
      </c>
      <c r="BR221" s="542">
        <f t="shared" si="170"/>
        <v>118.2175</v>
      </c>
      <c r="BS221" s="542">
        <f t="shared" si="170"/>
        <v>118.2175</v>
      </c>
      <c r="BT221" s="542">
        <f t="shared" si="170"/>
        <v>118.2175</v>
      </c>
      <c r="BU221" s="542">
        <f t="shared" si="170"/>
        <v>118.2175</v>
      </c>
      <c r="BV221" s="542">
        <f t="shared" si="170"/>
        <v>118.2175</v>
      </c>
      <c r="BW221" s="542">
        <f t="shared" si="170"/>
        <v>118.2175</v>
      </c>
      <c r="BX221" s="542">
        <f t="shared" si="170"/>
        <v>118.2175</v>
      </c>
      <c r="BY221" s="542">
        <f t="shared" si="170"/>
        <v>118.2175</v>
      </c>
      <c r="BZ221" s="542">
        <f t="shared" si="170"/>
        <v>118.2175</v>
      </c>
      <c r="CA221" s="542">
        <f t="shared" si="170"/>
        <v>118.2175</v>
      </c>
      <c r="CB221" s="542">
        <f t="shared" si="170"/>
        <v>118.2175</v>
      </c>
      <c r="CC221" s="542">
        <f t="shared" si="170"/>
        <v>118.2175</v>
      </c>
      <c r="CD221" s="542">
        <f t="shared" si="170"/>
        <v>118.2175</v>
      </c>
      <c r="CE221" s="542">
        <f t="shared" si="170"/>
        <v>118.2175</v>
      </c>
      <c r="CG221" s="541">
        <v>118.2175</v>
      </c>
      <c r="CH221" s="541">
        <v>118.2175</v>
      </c>
      <c r="CI221" s="541">
        <v>118.2175</v>
      </c>
      <c r="CJ221" s="541">
        <v>118.2175</v>
      </c>
      <c r="CK221" s="541">
        <v>118.2175</v>
      </c>
      <c r="CL221" s="541">
        <v>118.2175</v>
      </c>
      <c r="CM221" s="541">
        <v>118.2175</v>
      </c>
      <c r="CN221" s="541">
        <v>118.2175</v>
      </c>
      <c r="CO221" s="541">
        <v>118.2175</v>
      </c>
      <c r="CP221" s="541">
        <v>118.2175</v>
      </c>
      <c r="CQ221" s="541">
        <v>118.2175</v>
      </c>
      <c r="CR221" s="541">
        <v>118.2175</v>
      </c>
      <c r="CS221" s="541">
        <v>118.2175</v>
      </c>
      <c r="CT221" s="541">
        <v>118.2175</v>
      </c>
      <c r="CU221" s="541">
        <v>118.2175</v>
      </c>
      <c r="CV221" s="541">
        <v>118.2175</v>
      </c>
      <c r="CW221" s="541">
        <v>118.2175</v>
      </c>
      <c r="CX221" s="541">
        <v>118.2175</v>
      </c>
      <c r="CY221" s="541">
        <v>118.2175</v>
      </c>
      <c r="CZ221" s="541">
        <v>118.2175</v>
      </c>
      <c r="DA221" s="541">
        <v>118.2175</v>
      </c>
      <c r="DB221" s="541">
        <v>118.2175</v>
      </c>
      <c r="DC221" s="541">
        <v>118.2175</v>
      </c>
      <c r="DD221" s="541">
        <v>118.2175</v>
      </c>
      <c r="DE221" s="541">
        <v>118.2175</v>
      </c>
      <c r="DF221" s="541">
        <v>118.2175</v>
      </c>
      <c r="DG221" s="541">
        <v>118.2175</v>
      </c>
      <c r="DH221" s="541">
        <v>118.2175</v>
      </c>
    </row>
    <row r="222" spans="2:112">
      <c r="B222" t="s">
        <v>1096</v>
      </c>
      <c r="C222" t="s">
        <v>764</v>
      </c>
      <c r="D222" t="s">
        <v>915</v>
      </c>
      <c r="E222" t="s">
        <v>911</v>
      </c>
      <c r="F222" s="541">
        <v>3.7385404545454546</v>
      </c>
      <c r="G222" s="541">
        <v>3.7385404545454546</v>
      </c>
      <c r="H222" s="541">
        <v>3.7385404545454546</v>
      </c>
      <c r="I222" s="541">
        <v>3.7385404545454546</v>
      </c>
      <c r="J222" s="541">
        <v>3.7385404545454546</v>
      </c>
      <c r="K222" s="541">
        <v>3.7385404545454546</v>
      </c>
      <c r="L222" s="541">
        <v>3.7385404545454546</v>
      </c>
      <c r="M222" s="541">
        <v>3.7385404545454546</v>
      </c>
      <c r="N222" s="541">
        <v>3.7385404545454546</v>
      </c>
      <c r="O222" s="541">
        <v>3.7385404545454546</v>
      </c>
      <c r="P222" s="541">
        <v>3.7385404545454546</v>
      </c>
      <c r="Q222" s="541">
        <v>3.7385404545454546</v>
      </c>
      <c r="R222" s="541">
        <v>3.7385404545454546</v>
      </c>
      <c r="S222" s="541">
        <v>3.7385404545454546</v>
      </c>
      <c r="T222" s="541">
        <v>3.7385404545454546</v>
      </c>
      <c r="U222" s="541">
        <v>3.7385404545454546</v>
      </c>
      <c r="V222" s="541">
        <v>3.7385404545454546</v>
      </c>
      <c r="W222" s="541">
        <v>3.7385404545454546</v>
      </c>
      <c r="X222" s="541">
        <v>3.7385404545454546</v>
      </c>
      <c r="Y222" s="541">
        <v>3.7385404545454546</v>
      </c>
      <c r="Z222" s="541">
        <v>3.7385404545454546</v>
      </c>
      <c r="AA222" s="541">
        <v>3.7385404545454546</v>
      </c>
      <c r="AB222" s="541">
        <v>3.7385404545454546</v>
      </c>
      <c r="AC222" s="541">
        <v>3.7385404545454546</v>
      </c>
      <c r="AD222" s="541">
        <v>3.7385404545454546</v>
      </c>
      <c r="AE222" s="541">
        <v>3.7385404545454546</v>
      </c>
      <c r="AF222" s="541">
        <v>3.7385404545454546</v>
      </c>
      <c r="AG222" s="541">
        <v>3.7385404545454546</v>
      </c>
      <c r="AH222" s="542">
        <f t="shared" si="171"/>
        <v>3.7385404545454546</v>
      </c>
      <c r="AI222" s="542">
        <f t="shared" si="171"/>
        <v>3.7385404545454546</v>
      </c>
      <c r="AJ222" s="542">
        <f t="shared" si="171"/>
        <v>3.7385404545454546</v>
      </c>
      <c r="AK222" s="542">
        <f t="shared" si="171"/>
        <v>3.7385404545454546</v>
      </c>
      <c r="AL222" s="542">
        <f t="shared" si="171"/>
        <v>3.7385404545454546</v>
      </c>
      <c r="AM222" s="542">
        <f t="shared" si="171"/>
        <v>3.7385404545454546</v>
      </c>
      <c r="AN222" s="542">
        <f t="shared" si="171"/>
        <v>3.7385404545454546</v>
      </c>
      <c r="AO222" s="542">
        <f t="shared" si="171"/>
        <v>3.7385404545454546</v>
      </c>
      <c r="AP222" s="542">
        <f t="shared" si="171"/>
        <v>3.7385404545454546</v>
      </c>
      <c r="AQ222" s="542">
        <f t="shared" si="171"/>
        <v>3.7385404545454546</v>
      </c>
      <c r="AR222" s="542">
        <f t="shared" si="171"/>
        <v>3.7385404545454546</v>
      </c>
      <c r="AS222" s="542">
        <f t="shared" si="171"/>
        <v>3.7385404545454546</v>
      </c>
      <c r="AT222" s="542">
        <f t="shared" si="171"/>
        <v>3.7385404545454546</v>
      </c>
      <c r="AU222" s="542">
        <f t="shared" si="171"/>
        <v>3.7385404545454546</v>
      </c>
      <c r="AV222" s="542">
        <f t="shared" si="171"/>
        <v>3.7385404545454546</v>
      </c>
      <c r="AW222" s="542">
        <f t="shared" si="171"/>
        <v>3.7385404545454546</v>
      </c>
      <c r="AX222" s="542">
        <f t="shared" si="170"/>
        <v>3.7385404545454546</v>
      </c>
      <c r="AY222" s="542">
        <f t="shared" si="170"/>
        <v>3.7385404545454546</v>
      </c>
      <c r="AZ222" s="542">
        <f t="shared" si="170"/>
        <v>3.7385404545454546</v>
      </c>
      <c r="BA222" s="542">
        <f t="shared" si="170"/>
        <v>3.7385404545454546</v>
      </c>
      <c r="BB222" s="542">
        <f t="shared" si="170"/>
        <v>3.7385404545454546</v>
      </c>
      <c r="BC222" s="542">
        <f t="shared" si="170"/>
        <v>3.7385404545454546</v>
      </c>
      <c r="BD222" s="542">
        <f t="shared" si="170"/>
        <v>3.7385404545454546</v>
      </c>
      <c r="BE222" s="542">
        <f t="shared" si="170"/>
        <v>3.7385404545454546</v>
      </c>
      <c r="BF222" s="542">
        <f t="shared" si="170"/>
        <v>3.7385404545454546</v>
      </c>
      <c r="BG222" s="542">
        <f t="shared" si="170"/>
        <v>3.7385404545454546</v>
      </c>
      <c r="BH222" s="542">
        <f t="shared" si="170"/>
        <v>3.7385404545454546</v>
      </c>
      <c r="BI222" s="542">
        <f t="shared" si="170"/>
        <v>3.7385404545454546</v>
      </c>
      <c r="BJ222" s="542">
        <f t="shared" si="170"/>
        <v>3.7385404545454546</v>
      </c>
      <c r="BK222" s="542">
        <f t="shared" si="170"/>
        <v>3.7385404545454546</v>
      </c>
      <c r="BL222" s="542">
        <f t="shared" si="170"/>
        <v>3.7385404545454546</v>
      </c>
      <c r="BM222" s="542">
        <f t="shared" si="170"/>
        <v>3.7385404545454546</v>
      </c>
      <c r="BN222" s="542">
        <f t="shared" si="170"/>
        <v>3.7385404545454546</v>
      </c>
      <c r="BO222" s="542">
        <f t="shared" si="170"/>
        <v>3.7385404545454546</v>
      </c>
      <c r="BP222" s="542">
        <f t="shared" si="170"/>
        <v>3.7385404545454546</v>
      </c>
      <c r="BQ222" s="542">
        <f t="shared" si="170"/>
        <v>3.7385404545454546</v>
      </c>
      <c r="BR222" s="542">
        <f t="shared" si="170"/>
        <v>3.7385404545454546</v>
      </c>
      <c r="BS222" s="542">
        <f t="shared" si="170"/>
        <v>3.7385404545454546</v>
      </c>
      <c r="BT222" s="542">
        <f t="shared" si="170"/>
        <v>3.7385404545454546</v>
      </c>
      <c r="BU222" s="542">
        <f t="shared" si="170"/>
        <v>3.7385404545454546</v>
      </c>
      <c r="BV222" s="542">
        <f t="shared" si="170"/>
        <v>3.7385404545454546</v>
      </c>
      <c r="BW222" s="542">
        <f t="shared" si="170"/>
        <v>3.7385404545454546</v>
      </c>
      <c r="BX222" s="542">
        <f t="shared" si="170"/>
        <v>3.7385404545454546</v>
      </c>
      <c r="BY222" s="542">
        <f t="shared" si="170"/>
        <v>3.7385404545454546</v>
      </c>
      <c r="BZ222" s="542">
        <f t="shared" si="170"/>
        <v>3.7385404545454546</v>
      </c>
      <c r="CA222" s="542">
        <f t="shared" si="170"/>
        <v>3.7385404545454546</v>
      </c>
      <c r="CB222" s="542">
        <f t="shared" si="170"/>
        <v>3.7385404545454546</v>
      </c>
      <c r="CC222" s="542">
        <f t="shared" si="170"/>
        <v>3.7385404545454546</v>
      </c>
      <c r="CD222" s="542">
        <f t="shared" si="170"/>
        <v>3.7385404545454546</v>
      </c>
      <c r="CE222" s="542">
        <f t="shared" si="170"/>
        <v>3.7385404545454546</v>
      </c>
      <c r="CG222" s="541">
        <v>3.7385404545454546</v>
      </c>
      <c r="CH222" s="541">
        <v>3.7385404545454546</v>
      </c>
      <c r="CI222" s="541">
        <v>3.7385404545454546</v>
      </c>
      <c r="CJ222" s="541">
        <v>3.7385404545454546</v>
      </c>
      <c r="CK222" s="541">
        <v>3.7385404545454546</v>
      </c>
      <c r="CL222" s="541">
        <v>3.7385404545454546</v>
      </c>
      <c r="CM222" s="541">
        <v>3.7385404545454546</v>
      </c>
      <c r="CN222" s="541">
        <v>3.7385404545454546</v>
      </c>
      <c r="CO222" s="541">
        <v>3.7385404545454546</v>
      </c>
      <c r="CP222" s="541">
        <v>3.7385404545454546</v>
      </c>
      <c r="CQ222" s="541">
        <v>3.7385404545454546</v>
      </c>
      <c r="CR222" s="541">
        <v>3.7385404545454546</v>
      </c>
      <c r="CS222" s="541">
        <v>3.7385404545454546</v>
      </c>
      <c r="CT222" s="541">
        <v>3.7385404545454546</v>
      </c>
      <c r="CU222" s="541">
        <v>3.7385404545454546</v>
      </c>
      <c r="CV222" s="541">
        <v>3.7385404545454546</v>
      </c>
      <c r="CW222" s="541">
        <v>3.7385404545454546</v>
      </c>
      <c r="CX222" s="541">
        <v>3.7385404545454546</v>
      </c>
      <c r="CY222" s="541">
        <v>3.7385404545454546</v>
      </c>
      <c r="CZ222" s="541">
        <v>3.7385404545454546</v>
      </c>
      <c r="DA222" s="541">
        <v>3.7385404545454546</v>
      </c>
      <c r="DB222" s="541">
        <v>3.7385404545454546</v>
      </c>
      <c r="DC222" s="541">
        <v>3.7385404545454546</v>
      </c>
      <c r="DD222" s="541">
        <v>3.7385404545454546</v>
      </c>
      <c r="DE222" s="541">
        <v>3.7385404545454546</v>
      </c>
      <c r="DF222" s="541">
        <v>3.7385404545454546</v>
      </c>
      <c r="DG222" s="541">
        <v>3.7385404545454546</v>
      </c>
      <c r="DH222" s="541">
        <v>3.7385404545454546</v>
      </c>
    </row>
    <row r="223" spans="2:112">
      <c r="B223" t="s">
        <v>1097</v>
      </c>
      <c r="C223" t="s">
        <v>764</v>
      </c>
      <c r="D223" t="s">
        <v>917</v>
      </c>
      <c r="E223" t="s">
        <v>908</v>
      </c>
      <c r="F223" s="541">
        <v>108.6275</v>
      </c>
      <c r="G223" s="541">
        <v>108.6275</v>
      </c>
      <c r="H223" s="541">
        <v>108.6275</v>
      </c>
      <c r="I223" s="541">
        <v>108.6275</v>
      </c>
      <c r="J223" s="541">
        <v>108.6275</v>
      </c>
      <c r="K223" s="541">
        <v>108.6275</v>
      </c>
      <c r="L223" s="541">
        <v>108.6275</v>
      </c>
      <c r="M223" s="541">
        <v>108.6275</v>
      </c>
      <c r="N223" s="541">
        <v>108.6275</v>
      </c>
      <c r="O223" s="541">
        <v>108.6275</v>
      </c>
      <c r="P223" s="541">
        <v>108.6275</v>
      </c>
      <c r="Q223" s="541">
        <v>108.6275</v>
      </c>
      <c r="R223" s="541">
        <v>108.6275</v>
      </c>
      <c r="S223" s="541">
        <v>108.6275</v>
      </c>
      <c r="T223" s="541">
        <v>108.6275</v>
      </c>
      <c r="U223" s="541">
        <v>108.6275</v>
      </c>
      <c r="V223" s="541">
        <v>108.6275</v>
      </c>
      <c r="W223" s="541">
        <v>108.6275</v>
      </c>
      <c r="X223" s="541">
        <v>108.6275</v>
      </c>
      <c r="Y223" s="541">
        <v>108.6275</v>
      </c>
      <c r="Z223" s="541">
        <v>108.6275</v>
      </c>
      <c r="AA223" s="541">
        <v>108.6275</v>
      </c>
      <c r="AB223" s="541">
        <v>108.6275</v>
      </c>
      <c r="AC223" s="541">
        <v>108.6275</v>
      </c>
      <c r="AD223" s="541">
        <v>108.6275</v>
      </c>
      <c r="AE223" s="541">
        <v>108.6275</v>
      </c>
      <c r="AF223" s="541">
        <v>108.6275</v>
      </c>
      <c r="AG223" s="541">
        <v>108.6275</v>
      </c>
      <c r="AH223" s="542">
        <f t="shared" si="171"/>
        <v>108.6275</v>
      </c>
      <c r="AI223" s="542">
        <f t="shared" si="171"/>
        <v>108.6275</v>
      </c>
      <c r="AJ223" s="542">
        <f t="shared" si="171"/>
        <v>108.6275</v>
      </c>
      <c r="AK223" s="542">
        <f t="shared" si="171"/>
        <v>108.6275</v>
      </c>
      <c r="AL223" s="542">
        <f t="shared" si="171"/>
        <v>108.6275</v>
      </c>
      <c r="AM223" s="542">
        <f t="shared" si="171"/>
        <v>108.6275</v>
      </c>
      <c r="AN223" s="542">
        <f t="shared" si="171"/>
        <v>108.6275</v>
      </c>
      <c r="AO223" s="542">
        <f t="shared" si="171"/>
        <v>108.6275</v>
      </c>
      <c r="AP223" s="542">
        <f t="shared" si="171"/>
        <v>108.6275</v>
      </c>
      <c r="AQ223" s="542">
        <f t="shared" si="171"/>
        <v>108.6275</v>
      </c>
      <c r="AR223" s="542">
        <f t="shared" si="171"/>
        <v>108.6275</v>
      </c>
      <c r="AS223" s="542">
        <f t="shared" si="171"/>
        <v>108.6275</v>
      </c>
      <c r="AT223" s="542">
        <f t="shared" si="171"/>
        <v>108.6275</v>
      </c>
      <c r="AU223" s="542">
        <f t="shared" si="171"/>
        <v>108.6275</v>
      </c>
      <c r="AV223" s="542">
        <f t="shared" si="171"/>
        <v>108.6275</v>
      </c>
      <c r="AW223" s="542">
        <f t="shared" si="171"/>
        <v>108.6275</v>
      </c>
      <c r="AX223" s="542">
        <f t="shared" si="170"/>
        <v>108.6275</v>
      </c>
      <c r="AY223" s="542">
        <f t="shared" si="170"/>
        <v>108.6275</v>
      </c>
      <c r="AZ223" s="542">
        <f t="shared" si="170"/>
        <v>108.6275</v>
      </c>
      <c r="BA223" s="542">
        <f t="shared" si="170"/>
        <v>108.6275</v>
      </c>
      <c r="BB223" s="542">
        <f t="shared" si="170"/>
        <v>108.6275</v>
      </c>
      <c r="BC223" s="542">
        <f t="shared" si="170"/>
        <v>108.6275</v>
      </c>
      <c r="BD223" s="542">
        <f t="shared" si="170"/>
        <v>108.6275</v>
      </c>
      <c r="BE223" s="542">
        <f t="shared" si="170"/>
        <v>108.6275</v>
      </c>
      <c r="BF223" s="542">
        <f t="shared" si="170"/>
        <v>108.6275</v>
      </c>
      <c r="BG223" s="542">
        <f t="shared" si="170"/>
        <v>108.6275</v>
      </c>
      <c r="BH223" s="542">
        <f t="shared" si="170"/>
        <v>108.6275</v>
      </c>
      <c r="BI223" s="542">
        <f t="shared" si="170"/>
        <v>108.6275</v>
      </c>
      <c r="BJ223" s="542">
        <f t="shared" si="170"/>
        <v>108.6275</v>
      </c>
      <c r="BK223" s="542">
        <f t="shared" si="170"/>
        <v>108.6275</v>
      </c>
      <c r="BL223" s="542">
        <f t="shared" si="170"/>
        <v>108.6275</v>
      </c>
      <c r="BM223" s="542">
        <f t="shared" si="170"/>
        <v>108.6275</v>
      </c>
      <c r="BN223" s="542">
        <f t="shared" si="170"/>
        <v>108.6275</v>
      </c>
      <c r="BO223" s="542">
        <f t="shared" si="170"/>
        <v>108.6275</v>
      </c>
      <c r="BP223" s="542">
        <f t="shared" si="170"/>
        <v>108.6275</v>
      </c>
      <c r="BQ223" s="542">
        <f t="shared" si="170"/>
        <v>108.6275</v>
      </c>
      <c r="BR223" s="542">
        <f t="shared" si="170"/>
        <v>108.6275</v>
      </c>
      <c r="BS223" s="542">
        <f t="shared" si="170"/>
        <v>108.6275</v>
      </c>
      <c r="BT223" s="542">
        <f t="shared" si="170"/>
        <v>108.6275</v>
      </c>
      <c r="BU223" s="542">
        <f t="shared" si="170"/>
        <v>108.6275</v>
      </c>
      <c r="BV223" s="542">
        <f t="shared" si="170"/>
        <v>108.6275</v>
      </c>
      <c r="BW223" s="542">
        <f t="shared" si="170"/>
        <v>108.6275</v>
      </c>
      <c r="BX223" s="542">
        <f t="shared" si="170"/>
        <v>108.6275</v>
      </c>
      <c r="BY223" s="542">
        <f t="shared" si="170"/>
        <v>108.6275</v>
      </c>
      <c r="BZ223" s="542">
        <f t="shared" si="170"/>
        <v>108.6275</v>
      </c>
      <c r="CA223" s="542">
        <f t="shared" si="170"/>
        <v>108.6275</v>
      </c>
      <c r="CB223" s="542">
        <f t="shared" si="170"/>
        <v>108.6275</v>
      </c>
      <c r="CC223" s="542">
        <f t="shared" si="170"/>
        <v>108.6275</v>
      </c>
      <c r="CD223" s="542">
        <f t="shared" si="170"/>
        <v>108.6275</v>
      </c>
      <c r="CE223" s="542">
        <f t="shared" si="170"/>
        <v>108.6275</v>
      </c>
      <c r="CG223" s="541">
        <v>108.6275</v>
      </c>
      <c r="CH223" s="541">
        <v>108.6275</v>
      </c>
      <c r="CI223" s="541">
        <v>108.6275</v>
      </c>
      <c r="CJ223" s="541">
        <v>108.6275</v>
      </c>
      <c r="CK223" s="541">
        <v>108.6275</v>
      </c>
      <c r="CL223" s="541">
        <v>108.6275</v>
      </c>
      <c r="CM223" s="541">
        <v>108.6275</v>
      </c>
      <c r="CN223" s="541">
        <v>108.6275</v>
      </c>
      <c r="CO223" s="541">
        <v>108.6275</v>
      </c>
      <c r="CP223" s="541">
        <v>108.6275</v>
      </c>
      <c r="CQ223" s="541">
        <v>108.6275</v>
      </c>
      <c r="CR223" s="541">
        <v>108.6275</v>
      </c>
      <c r="CS223" s="541">
        <v>108.6275</v>
      </c>
      <c r="CT223" s="541">
        <v>108.6275</v>
      </c>
      <c r="CU223" s="541">
        <v>108.6275</v>
      </c>
      <c r="CV223" s="541">
        <v>108.6275</v>
      </c>
      <c r="CW223" s="541">
        <v>108.6275</v>
      </c>
      <c r="CX223" s="541">
        <v>108.6275</v>
      </c>
      <c r="CY223" s="541">
        <v>108.6275</v>
      </c>
      <c r="CZ223" s="541">
        <v>108.6275</v>
      </c>
      <c r="DA223" s="541">
        <v>108.6275</v>
      </c>
      <c r="DB223" s="541">
        <v>108.6275</v>
      </c>
      <c r="DC223" s="541">
        <v>108.6275</v>
      </c>
      <c r="DD223" s="541">
        <v>108.6275</v>
      </c>
      <c r="DE223" s="541">
        <v>108.6275</v>
      </c>
      <c r="DF223" s="541">
        <v>108.6275</v>
      </c>
      <c r="DG223" s="541">
        <v>108.6275</v>
      </c>
      <c r="DH223" s="541">
        <v>108.6275</v>
      </c>
    </row>
    <row r="224" spans="2:112">
      <c r="B224" t="s">
        <v>1098</v>
      </c>
      <c r="C224" t="s">
        <v>764</v>
      </c>
      <c r="D224" t="s">
        <v>919</v>
      </c>
      <c r="E224" t="s">
        <v>911</v>
      </c>
      <c r="F224" s="541">
        <v>3.6426404545454547</v>
      </c>
      <c r="G224" s="541">
        <v>3.6426404545454547</v>
      </c>
      <c r="H224" s="541">
        <v>3.6426404545454547</v>
      </c>
      <c r="I224" s="541">
        <v>3.6426404545454547</v>
      </c>
      <c r="J224" s="541">
        <v>3.6426404545454547</v>
      </c>
      <c r="K224" s="541">
        <v>3.6426404545454547</v>
      </c>
      <c r="L224" s="541">
        <v>3.6426404545454547</v>
      </c>
      <c r="M224" s="541">
        <v>3.6426404545454547</v>
      </c>
      <c r="N224" s="541">
        <v>3.6426404545454547</v>
      </c>
      <c r="O224" s="541">
        <v>3.6426404545454547</v>
      </c>
      <c r="P224" s="541">
        <v>3.6426404545454547</v>
      </c>
      <c r="Q224" s="541">
        <v>3.6426404545454547</v>
      </c>
      <c r="R224" s="541">
        <v>3.6426404545454547</v>
      </c>
      <c r="S224" s="541">
        <v>3.6426404545454547</v>
      </c>
      <c r="T224" s="541">
        <v>3.6426404545454547</v>
      </c>
      <c r="U224" s="541">
        <v>3.6426404545454547</v>
      </c>
      <c r="V224" s="541">
        <v>3.6426404545454547</v>
      </c>
      <c r="W224" s="541">
        <v>3.6426404545454547</v>
      </c>
      <c r="X224" s="541">
        <v>3.6426404545454547</v>
      </c>
      <c r="Y224" s="541">
        <v>3.6426404545454547</v>
      </c>
      <c r="Z224" s="541">
        <v>3.6426404545454547</v>
      </c>
      <c r="AA224" s="541">
        <v>3.6426404545454547</v>
      </c>
      <c r="AB224" s="541">
        <v>3.6426404545454547</v>
      </c>
      <c r="AC224" s="541">
        <v>3.6426404545454547</v>
      </c>
      <c r="AD224" s="541">
        <v>3.6426404545454547</v>
      </c>
      <c r="AE224" s="541">
        <v>3.6426404545454547</v>
      </c>
      <c r="AF224" s="541">
        <v>3.6426404545454547</v>
      </c>
      <c r="AG224" s="541">
        <v>3.6426404545454547</v>
      </c>
      <c r="AH224" s="542">
        <f t="shared" si="171"/>
        <v>3.6426404545454547</v>
      </c>
      <c r="AI224" s="542">
        <f t="shared" si="171"/>
        <v>3.6426404545454547</v>
      </c>
      <c r="AJ224" s="542">
        <f t="shared" si="171"/>
        <v>3.6426404545454547</v>
      </c>
      <c r="AK224" s="542">
        <f t="shared" si="171"/>
        <v>3.6426404545454547</v>
      </c>
      <c r="AL224" s="542">
        <f t="shared" si="171"/>
        <v>3.6426404545454547</v>
      </c>
      <c r="AM224" s="542">
        <f t="shared" si="171"/>
        <v>3.6426404545454547</v>
      </c>
      <c r="AN224" s="542">
        <f t="shared" si="171"/>
        <v>3.6426404545454547</v>
      </c>
      <c r="AO224" s="542">
        <f t="shared" si="171"/>
        <v>3.6426404545454547</v>
      </c>
      <c r="AP224" s="542">
        <f t="shared" si="171"/>
        <v>3.6426404545454547</v>
      </c>
      <c r="AQ224" s="542">
        <f t="shared" si="171"/>
        <v>3.6426404545454547</v>
      </c>
      <c r="AR224" s="542">
        <f t="shared" si="171"/>
        <v>3.6426404545454547</v>
      </c>
      <c r="AS224" s="542">
        <f t="shared" si="171"/>
        <v>3.6426404545454547</v>
      </c>
      <c r="AT224" s="542">
        <f t="shared" si="171"/>
        <v>3.6426404545454547</v>
      </c>
      <c r="AU224" s="542">
        <f t="shared" si="171"/>
        <v>3.6426404545454547</v>
      </c>
      <c r="AV224" s="542">
        <f t="shared" si="171"/>
        <v>3.6426404545454547</v>
      </c>
      <c r="AW224" s="542">
        <f t="shared" si="171"/>
        <v>3.6426404545454547</v>
      </c>
      <c r="AX224" s="542">
        <f t="shared" si="170"/>
        <v>3.6426404545454547</v>
      </c>
      <c r="AY224" s="542">
        <f t="shared" si="170"/>
        <v>3.6426404545454547</v>
      </c>
      <c r="AZ224" s="542">
        <f t="shared" si="170"/>
        <v>3.6426404545454547</v>
      </c>
      <c r="BA224" s="542">
        <f t="shared" si="170"/>
        <v>3.6426404545454547</v>
      </c>
      <c r="BB224" s="542">
        <f t="shared" si="170"/>
        <v>3.6426404545454547</v>
      </c>
      <c r="BC224" s="542">
        <f t="shared" si="170"/>
        <v>3.6426404545454547</v>
      </c>
      <c r="BD224" s="542">
        <f t="shared" si="170"/>
        <v>3.6426404545454547</v>
      </c>
      <c r="BE224" s="542">
        <f t="shared" si="170"/>
        <v>3.6426404545454547</v>
      </c>
      <c r="BF224" s="542">
        <f t="shared" si="170"/>
        <v>3.6426404545454547</v>
      </c>
      <c r="BG224" s="542">
        <f t="shared" si="170"/>
        <v>3.6426404545454547</v>
      </c>
      <c r="BH224" s="542">
        <f t="shared" si="170"/>
        <v>3.6426404545454547</v>
      </c>
      <c r="BI224" s="542">
        <f t="shared" si="170"/>
        <v>3.6426404545454547</v>
      </c>
      <c r="BJ224" s="542">
        <f t="shared" si="170"/>
        <v>3.6426404545454547</v>
      </c>
      <c r="BK224" s="542">
        <f t="shared" si="170"/>
        <v>3.6426404545454547</v>
      </c>
      <c r="BL224" s="542">
        <f t="shared" si="170"/>
        <v>3.6426404545454547</v>
      </c>
      <c r="BM224" s="542">
        <f t="shared" si="170"/>
        <v>3.6426404545454547</v>
      </c>
      <c r="BN224" s="542">
        <f t="shared" si="170"/>
        <v>3.6426404545454547</v>
      </c>
      <c r="BO224" s="542">
        <f t="shared" si="170"/>
        <v>3.6426404545454547</v>
      </c>
      <c r="BP224" s="542">
        <f t="shared" si="170"/>
        <v>3.6426404545454547</v>
      </c>
      <c r="BQ224" s="542">
        <f t="shared" si="170"/>
        <v>3.6426404545454547</v>
      </c>
      <c r="BR224" s="542">
        <f t="shared" si="170"/>
        <v>3.6426404545454547</v>
      </c>
      <c r="BS224" s="542">
        <f t="shared" si="170"/>
        <v>3.6426404545454547</v>
      </c>
      <c r="BT224" s="542">
        <f t="shared" si="170"/>
        <v>3.6426404545454547</v>
      </c>
      <c r="BU224" s="542">
        <f t="shared" si="170"/>
        <v>3.6426404545454547</v>
      </c>
      <c r="BV224" s="542">
        <f t="shared" si="170"/>
        <v>3.6426404545454547</v>
      </c>
      <c r="BW224" s="542">
        <f t="shared" si="170"/>
        <v>3.6426404545454547</v>
      </c>
      <c r="BX224" s="542">
        <f t="shared" si="170"/>
        <v>3.6426404545454547</v>
      </c>
      <c r="BY224" s="542">
        <f t="shared" si="170"/>
        <v>3.6426404545454547</v>
      </c>
      <c r="BZ224" s="542">
        <f t="shared" si="170"/>
        <v>3.6426404545454547</v>
      </c>
      <c r="CA224" s="542">
        <f t="shared" si="170"/>
        <v>3.6426404545454547</v>
      </c>
      <c r="CB224" s="542">
        <f t="shared" si="170"/>
        <v>3.6426404545454547</v>
      </c>
      <c r="CC224" s="542">
        <f t="shared" si="170"/>
        <v>3.6426404545454547</v>
      </c>
      <c r="CD224" s="542">
        <f t="shared" si="170"/>
        <v>3.6426404545454547</v>
      </c>
      <c r="CE224" s="542">
        <f t="shared" si="170"/>
        <v>3.6426404545454547</v>
      </c>
      <c r="CG224" s="541">
        <v>3.6426404545454547</v>
      </c>
      <c r="CH224" s="541">
        <v>3.6426404545454547</v>
      </c>
      <c r="CI224" s="541">
        <v>3.6426404545454547</v>
      </c>
      <c r="CJ224" s="541">
        <v>3.6426404545454547</v>
      </c>
      <c r="CK224" s="541">
        <v>3.6426404545454547</v>
      </c>
      <c r="CL224" s="541">
        <v>3.6426404545454547</v>
      </c>
      <c r="CM224" s="541">
        <v>3.6426404545454547</v>
      </c>
      <c r="CN224" s="541">
        <v>3.6426404545454547</v>
      </c>
      <c r="CO224" s="541">
        <v>3.6426404545454547</v>
      </c>
      <c r="CP224" s="541">
        <v>3.6426404545454547</v>
      </c>
      <c r="CQ224" s="541">
        <v>3.6426404545454547</v>
      </c>
      <c r="CR224" s="541">
        <v>3.6426404545454547</v>
      </c>
      <c r="CS224" s="541">
        <v>3.6426404545454547</v>
      </c>
      <c r="CT224" s="541">
        <v>3.6426404545454547</v>
      </c>
      <c r="CU224" s="541">
        <v>3.6426404545454547</v>
      </c>
      <c r="CV224" s="541">
        <v>3.6426404545454547</v>
      </c>
      <c r="CW224" s="541">
        <v>3.6426404545454547</v>
      </c>
      <c r="CX224" s="541">
        <v>3.6426404545454547</v>
      </c>
      <c r="CY224" s="541">
        <v>3.6426404545454547</v>
      </c>
      <c r="CZ224" s="541">
        <v>3.6426404545454547</v>
      </c>
      <c r="DA224" s="541">
        <v>3.6426404545454547</v>
      </c>
      <c r="DB224" s="541">
        <v>3.6426404545454547</v>
      </c>
      <c r="DC224" s="541">
        <v>3.6426404545454547</v>
      </c>
      <c r="DD224" s="541">
        <v>3.6426404545454547</v>
      </c>
      <c r="DE224" s="541">
        <v>3.6426404545454547</v>
      </c>
      <c r="DF224" s="541">
        <v>3.6426404545454547</v>
      </c>
      <c r="DG224" s="541">
        <v>3.6426404545454547</v>
      </c>
      <c r="DH224" s="541">
        <v>3.6426404545454547</v>
      </c>
    </row>
    <row r="225" spans="2:112">
      <c r="B225" t="s">
        <v>1099</v>
      </c>
      <c r="C225" t="s">
        <v>764</v>
      </c>
      <c r="D225" t="s">
        <v>921</v>
      </c>
      <c r="E225" t="s">
        <v>908</v>
      </c>
      <c r="F225" s="541">
        <v>112.1575</v>
      </c>
      <c r="G225" s="541">
        <v>112.1575</v>
      </c>
      <c r="H225" s="541">
        <v>112.1575</v>
      </c>
      <c r="I225" s="541">
        <v>112.1575</v>
      </c>
      <c r="J225" s="541">
        <v>112.1575</v>
      </c>
      <c r="K225" s="541">
        <v>112.1575</v>
      </c>
      <c r="L225" s="541">
        <v>112.1575</v>
      </c>
      <c r="M225" s="541">
        <v>112.1575</v>
      </c>
      <c r="N225" s="541">
        <v>112.1575</v>
      </c>
      <c r="O225" s="541">
        <v>112.1575</v>
      </c>
      <c r="P225" s="541">
        <v>112.1575</v>
      </c>
      <c r="Q225" s="541">
        <v>112.1575</v>
      </c>
      <c r="R225" s="541">
        <v>112.1575</v>
      </c>
      <c r="S225" s="541">
        <v>112.1575</v>
      </c>
      <c r="T225" s="541">
        <v>112.1575</v>
      </c>
      <c r="U225" s="541">
        <v>112.1575</v>
      </c>
      <c r="V225" s="541">
        <v>112.1575</v>
      </c>
      <c r="W225" s="541">
        <v>112.1575</v>
      </c>
      <c r="X225" s="541">
        <v>112.1575</v>
      </c>
      <c r="Y225" s="541">
        <v>112.1575</v>
      </c>
      <c r="Z225" s="541">
        <v>112.1575</v>
      </c>
      <c r="AA225" s="541">
        <v>112.1575</v>
      </c>
      <c r="AB225" s="541">
        <v>112.1575</v>
      </c>
      <c r="AC225" s="541">
        <v>112.1575</v>
      </c>
      <c r="AD225" s="541">
        <v>112.1575</v>
      </c>
      <c r="AE225" s="541">
        <v>112.1575</v>
      </c>
      <c r="AF225" s="541">
        <v>112.1575</v>
      </c>
      <c r="AG225" s="541">
        <v>112.1575</v>
      </c>
      <c r="AH225" s="542">
        <f t="shared" si="171"/>
        <v>112.1575</v>
      </c>
      <c r="AI225" s="542">
        <f t="shared" si="171"/>
        <v>112.1575</v>
      </c>
      <c r="AJ225" s="542">
        <f t="shared" si="171"/>
        <v>112.1575</v>
      </c>
      <c r="AK225" s="542">
        <f t="shared" si="171"/>
        <v>112.1575</v>
      </c>
      <c r="AL225" s="542">
        <f t="shared" si="171"/>
        <v>112.1575</v>
      </c>
      <c r="AM225" s="542">
        <f t="shared" si="171"/>
        <v>112.1575</v>
      </c>
      <c r="AN225" s="542">
        <f t="shared" si="171"/>
        <v>112.1575</v>
      </c>
      <c r="AO225" s="542">
        <f t="shared" si="171"/>
        <v>112.1575</v>
      </c>
      <c r="AP225" s="542">
        <f t="shared" si="171"/>
        <v>112.1575</v>
      </c>
      <c r="AQ225" s="542">
        <f t="shared" si="171"/>
        <v>112.1575</v>
      </c>
      <c r="AR225" s="542">
        <f t="shared" si="171"/>
        <v>112.1575</v>
      </c>
      <c r="AS225" s="542">
        <f t="shared" si="171"/>
        <v>112.1575</v>
      </c>
      <c r="AT225" s="542">
        <f t="shared" si="171"/>
        <v>112.1575</v>
      </c>
      <c r="AU225" s="542">
        <f t="shared" si="171"/>
        <v>112.1575</v>
      </c>
      <c r="AV225" s="542">
        <f t="shared" si="171"/>
        <v>112.1575</v>
      </c>
      <c r="AW225" s="542">
        <f t="shared" si="171"/>
        <v>112.1575</v>
      </c>
      <c r="AX225" s="542">
        <f t="shared" si="170"/>
        <v>112.1575</v>
      </c>
      <c r="AY225" s="542">
        <f t="shared" si="170"/>
        <v>112.1575</v>
      </c>
      <c r="AZ225" s="542">
        <f t="shared" si="170"/>
        <v>112.1575</v>
      </c>
      <c r="BA225" s="542">
        <f t="shared" si="170"/>
        <v>112.1575</v>
      </c>
      <c r="BB225" s="542">
        <f t="shared" si="170"/>
        <v>112.1575</v>
      </c>
      <c r="BC225" s="542">
        <f t="shared" si="170"/>
        <v>112.1575</v>
      </c>
      <c r="BD225" s="542">
        <f t="shared" si="170"/>
        <v>112.1575</v>
      </c>
      <c r="BE225" s="542">
        <f t="shared" si="170"/>
        <v>112.1575</v>
      </c>
      <c r="BF225" s="542">
        <f t="shared" si="170"/>
        <v>112.1575</v>
      </c>
      <c r="BG225" s="542">
        <f t="shared" si="170"/>
        <v>112.1575</v>
      </c>
      <c r="BH225" s="542">
        <f t="shared" si="170"/>
        <v>112.1575</v>
      </c>
      <c r="BI225" s="542">
        <f t="shared" si="170"/>
        <v>112.1575</v>
      </c>
      <c r="BJ225" s="542">
        <f t="shared" si="170"/>
        <v>112.1575</v>
      </c>
      <c r="BK225" s="542">
        <f t="shared" si="170"/>
        <v>112.1575</v>
      </c>
      <c r="BL225" s="542">
        <f t="shared" si="170"/>
        <v>112.1575</v>
      </c>
      <c r="BM225" s="542">
        <f t="shared" si="170"/>
        <v>112.1575</v>
      </c>
      <c r="BN225" s="542">
        <f t="shared" si="170"/>
        <v>112.1575</v>
      </c>
      <c r="BO225" s="542">
        <f t="shared" si="170"/>
        <v>112.1575</v>
      </c>
      <c r="BP225" s="542">
        <f t="shared" si="170"/>
        <v>112.1575</v>
      </c>
      <c r="BQ225" s="542">
        <f t="shared" si="170"/>
        <v>112.1575</v>
      </c>
      <c r="BR225" s="542">
        <f t="shared" si="170"/>
        <v>112.1575</v>
      </c>
      <c r="BS225" s="542">
        <f t="shared" si="170"/>
        <v>112.1575</v>
      </c>
      <c r="BT225" s="542">
        <f t="shared" si="170"/>
        <v>112.1575</v>
      </c>
      <c r="BU225" s="542">
        <f t="shared" si="170"/>
        <v>112.1575</v>
      </c>
      <c r="BV225" s="542">
        <f t="shared" si="170"/>
        <v>112.1575</v>
      </c>
      <c r="BW225" s="542">
        <f t="shared" si="170"/>
        <v>112.1575</v>
      </c>
      <c r="BX225" s="542">
        <f t="shared" si="170"/>
        <v>112.1575</v>
      </c>
      <c r="BY225" s="542">
        <f t="shared" si="170"/>
        <v>112.1575</v>
      </c>
      <c r="BZ225" s="542">
        <f t="shared" si="170"/>
        <v>112.1575</v>
      </c>
      <c r="CA225" s="542">
        <f t="shared" si="170"/>
        <v>112.1575</v>
      </c>
      <c r="CB225" s="542">
        <f t="shared" si="170"/>
        <v>112.1575</v>
      </c>
      <c r="CC225" s="542">
        <f t="shared" si="170"/>
        <v>112.1575</v>
      </c>
      <c r="CD225" s="542">
        <f t="shared" si="170"/>
        <v>112.1575</v>
      </c>
      <c r="CE225" s="542">
        <f t="shared" si="170"/>
        <v>112.1575</v>
      </c>
      <c r="CG225" s="541">
        <v>112.1575</v>
      </c>
      <c r="CH225" s="541">
        <v>112.1575</v>
      </c>
      <c r="CI225" s="541">
        <v>112.1575</v>
      </c>
      <c r="CJ225" s="541">
        <v>112.1575</v>
      </c>
      <c r="CK225" s="541">
        <v>112.1575</v>
      </c>
      <c r="CL225" s="541">
        <v>112.1575</v>
      </c>
      <c r="CM225" s="541">
        <v>112.1575</v>
      </c>
      <c r="CN225" s="541">
        <v>112.1575</v>
      </c>
      <c r="CO225" s="541">
        <v>112.1575</v>
      </c>
      <c r="CP225" s="541">
        <v>112.1575</v>
      </c>
      <c r="CQ225" s="541">
        <v>112.1575</v>
      </c>
      <c r="CR225" s="541">
        <v>112.1575</v>
      </c>
      <c r="CS225" s="541">
        <v>112.1575</v>
      </c>
      <c r="CT225" s="541">
        <v>112.1575</v>
      </c>
      <c r="CU225" s="541">
        <v>112.1575</v>
      </c>
      <c r="CV225" s="541">
        <v>112.1575</v>
      </c>
      <c r="CW225" s="541">
        <v>112.1575</v>
      </c>
      <c r="CX225" s="541">
        <v>112.1575</v>
      </c>
      <c r="CY225" s="541">
        <v>112.1575</v>
      </c>
      <c r="CZ225" s="541">
        <v>112.1575</v>
      </c>
      <c r="DA225" s="541">
        <v>112.1575</v>
      </c>
      <c r="DB225" s="541">
        <v>112.1575</v>
      </c>
      <c r="DC225" s="541">
        <v>112.1575</v>
      </c>
      <c r="DD225" s="541">
        <v>112.1575</v>
      </c>
      <c r="DE225" s="541">
        <v>112.1575</v>
      </c>
      <c r="DF225" s="541">
        <v>112.1575</v>
      </c>
      <c r="DG225" s="541">
        <v>112.1575</v>
      </c>
      <c r="DH225" s="541">
        <v>112.1575</v>
      </c>
    </row>
    <row r="226" spans="2:112">
      <c r="B226" t="s">
        <v>1100</v>
      </c>
      <c r="C226" t="s">
        <v>764</v>
      </c>
      <c r="D226" t="s">
        <v>923</v>
      </c>
      <c r="E226" t="s">
        <v>911</v>
      </c>
      <c r="F226" s="541">
        <v>3.6779404545454546</v>
      </c>
      <c r="G226" s="541">
        <v>3.6779404545454546</v>
      </c>
      <c r="H226" s="541">
        <v>3.6779404545454546</v>
      </c>
      <c r="I226" s="541">
        <v>3.6779404545454546</v>
      </c>
      <c r="J226" s="541">
        <v>3.6779404545454546</v>
      </c>
      <c r="K226" s="541">
        <v>3.6779404545454546</v>
      </c>
      <c r="L226" s="541">
        <v>3.6779404545454546</v>
      </c>
      <c r="M226" s="541">
        <v>3.6779404545454546</v>
      </c>
      <c r="N226" s="541">
        <v>3.6779404545454546</v>
      </c>
      <c r="O226" s="541">
        <v>3.6779404545454546</v>
      </c>
      <c r="P226" s="541">
        <v>3.6779404545454546</v>
      </c>
      <c r="Q226" s="541">
        <v>3.6779404545454546</v>
      </c>
      <c r="R226" s="541">
        <v>3.6779404545454546</v>
      </c>
      <c r="S226" s="541">
        <v>3.6779404545454546</v>
      </c>
      <c r="T226" s="541">
        <v>3.6779404545454546</v>
      </c>
      <c r="U226" s="541">
        <v>3.6779404545454546</v>
      </c>
      <c r="V226" s="541">
        <v>3.6779404545454546</v>
      </c>
      <c r="W226" s="541">
        <v>3.6779404545454546</v>
      </c>
      <c r="X226" s="541">
        <v>3.6779404545454546</v>
      </c>
      <c r="Y226" s="541">
        <v>3.6779404545454546</v>
      </c>
      <c r="Z226" s="541">
        <v>3.6779404545454546</v>
      </c>
      <c r="AA226" s="541">
        <v>3.6779404545454546</v>
      </c>
      <c r="AB226" s="541">
        <v>3.6779404545454546</v>
      </c>
      <c r="AC226" s="541">
        <v>3.6779404545454546</v>
      </c>
      <c r="AD226" s="541">
        <v>3.6779404545454546</v>
      </c>
      <c r="AE226" s="541">
        <v>3.6779404545454546</v>
      </c>
      <c r="AF226" s="541">
        <v>3.6779404545454546</v>
      </c>
      <c r="AG226" s="541">
        <v>3.6779404545454546</v>
      </c>
      <c r="AH226" s="542">
        <f t="shared" si="171"/>
        <v>3.6779404545454546</v>
      </c>
      <c r="AI226" s="542">
        <f t="shared" si="171"/>
        <v>3.6779404545454546</v>
      </c>
      <c r="AJ226" s="542">
        <f t="shared" si="171"/>
        <v>3.6779404545454546</v>
      </c>
      <c r="AK226" s="542">
        <f t="shared" si="171"/>
        <v>3.6779404545454546</v>
      </c>
      <c r="AL226" s="542">
        <f t="shared" si="171"/>
        <v>3.6779404545454546</v>
      </c>
      <c r="AM226" s="542">
        <f t="shared" si="171"/>
        <v>3.6779404545454546</v>
      </c>
      <c r="AN226" s="542">
        <f t="shared" si="171"/>
        <v>3.6779404545454546</v>
      </c>
      <c r="AO226" s="542">
        <f t="shared" si="171"/>
        <v>3.6779404545454546</v>
      </c>
      <c r="AP226" s="542">
        <f t="shared" si="171"/>
        <v>3.6779404545454546</v>
      </c>
      <c r="AQ226" s="542">
        <f t="shared" si="171"/>
        <v>3.6779404545454546</v>
      </c>
      <c r="AR226" s="542">
        <f t="shared" si="171"/>
        <v>3.6779404545454546</v>
      </c>
      <c r="AS226" s="542">
        <f t="shared" si="171"/>
        <v>3.6779404545454546</v>
      </c>
      <c r="AT226" s="542">
        <f t="shared" si="171"/>
        <v>3.6779404545454546</v>
      </c>
      <c r="AU226" s="542">
        <f t="shared" si="171"/>
        <v>3.6779404545454546</v>
      </c>
      <c r="AV226" s="542">
        <f t="shared" si="171"/>
        <v>3.6779404545454546</v>
      </c>
      <c r="AW226" s="542">
        <f t="shared" si="171"/>
        <v>3.6779404545454546</v>
      </c>
      <c r="AX226" s="542">
        <f t="shared" si="170"/>
        <v>3.6779404545454546</v>
      </c>
      <c r="AY226" s="542">
        <f t="shared" si="170"/>
        <v>3.6779404545454546</v>
      </c>
      <c r="AZ226" s="542">
        <f t="shared" si="170"/>
        <v>3.6779404545454546</v>
      </c>
      <c r="BA226" s="542">
        <f t="shared" si="170"/>
        <v>3.6779404545454546</v>
      </c>
      <c r="BB226" s="542">
        <f t="shared" si="170"/>
        <v>3.6779404545454546</v>
      </c>
      <c r="BC226" s="542">
        <f t="shared" si="170"/>
        <v>3.6779404545454546</v>
      </c>
      <c r="BD226" s="542">
        <f t="shared" si="170"/>
        <v>3.6779404545454546</v>
      </c>
      <c r="BE226" s="542">
        <f t="shared" si="170"/>
        <v>3.6779404545454546</v>
      </c>
      <c r="BF226" s="542">
        <f t="shared" si="170"/>
        <v>3.6779404545454546</v>
      </c>
      <c r="BG226" s="542">
        <f t="shared" si="170"/>
        <v>3.6779404545454546</v>
      </c>
      <c r="BH226" s="542">
        <f t="shared" si="170"/>
        <v>3.6779404545454546</v>
      </c>
      <c r="BI226" s="542">
        <f t="shared" si="170"/>
        <v>3.6779404545454546</v>
      </c>
      <c r="BJ226" s="542">
        <f t="shared" si="170"/>
        <v>3.6779404545454546</v>
      </c>
      <c r="BK226" s="542">
        <f t="shared" si="170"/>
        <v>3.6779404545454546</v>
      </c>
      <c r="BL226" s="542">
        <f t="shared" si="170"/>
        <v>3.6779404545454546</v>
      </c>
      <c r="BM226" s="542">
        <f t="shared" si="170"/>
        <v>3.6779404545454546</v>
      </c>
      <c r="BN226" s="542">
        <f t="shared" si="170"/>
        <v>3.6779404545454546</v>
      </c>
      <c r="BO226" s="542">
        <f t="shared" si="170"/>
        <v>3.6779404545454546</v>
      </c>
      <c r="BP226" s="542">
        <f t="shared" si="170"/>
        <v>3.6779404545454546</v>
      </c>
      <c r="BQ226" s="542">
        <f t="shared" si="170"/>
        <v>3.6779404545454546</v>
      </c>
      <c r="BR226" s="542">
        <f t="shared" si="170"/>
        <v>3.6779404545454546</v>
      </c>
      <c r="BS226" s="542">
        <f t="shared" si="170"/>
        <v>3.6779404545454546</v>
      </c>
      <c r="BT226" s="542">
        <f t="shared" si="170"/>
        <v>3.6779404545454546</v>
      </c>
      <c r="BU226" s="542">
        <f t="shared" si="170"/>
        <v>3.6779404545454546</v>
      </c>
      <c r="BV226" s="542">
        <f t="shared" si="170"/>
        <v>3.6779404545454546</v>
      </c>
      <c r="BW226" s="542">
        <f t="shared" si="170"/>
        <v>3.6779404545454546</v>
      </c>
      <c r="BX226" s="542">
        <f t="shared" si="170"/>
        <v>3.6779404545454546</v>
      </c>
      <c r="BY226" s="542">
        <f t="shared" si="170"/>
        <v>3.6779404545454546</v>
      </c>
      <c r="BZ226" s="542">
        <f t="shared" si="170"/>
        <v>3.6779404545454546</v>
      </c>
      <c r="CA226" s="542">
        <f t="shared" si="170"/>
        <v>3.6779404545454546</v>
      </c>
      <c r="CB226" s="542">
        <f t="shared" si="170"/>
        <v>3.6779404545454546</v>
      </c>
      <c r="CC226" s="542">
        <f t="shared" si="170"/>
        <v>3.6779404545454546</v>
      </c>
      <c r="CD226" s="542">
        <f t="shared" si="170"/>
        <v>3.6779404545454546</v>
      </c>
      <c r="CE226" s="542">
        <f t="shared" si="170"/>
        <v>3.6779404545454546</v>
      </c>
      <c r="CG226" s="541">
        <v>3.6779404545454546</v>
      </c>
      <c r="CH226" s="541">
        <v>3.6779404545454546</v>
      </c>
      <c r="CI226" s="541">
        <v>3.6779404545454546</v>
      </c>
      <c r="CJ226" s="541">
        <v>3.6779404545454546</v>
      </c>
      <c r="CK226" s="541">
        <v>3.6779404545454546</v>
      </c>
      <c r="CL226" s="541">
        <v>3.6779404545454546</v>
      </c>
      <c r="CM226" s="541">
        <v>3.6779404545454546</v>
      </c>
      <c r="CN226" s="541">
        <v>3.6779404545454546</v>
      </c>
      <c r="CO226" s="541">
        <v>3.6779404545454546</v>
      </c>
      <c r="CP226" s="541">
        <v>3.6779404545454546</v>
      </c>
      <c r="CQ226" s="541">
        <v>3.6779404545454546</v>
      </c>
      <c r="CR226" s="541">
        <v>3.6779404545454546</v>
      </c>
      <c r="CS226" s="541">
        <v>3.6779404545454546</v>
      </c>
      <c r="CT226" s="541">
        <v>3.6779404545454546</v>
      </c>
      <c r="CU226" s="541">
        <v>3.6779404545454546</v>
      </c>
      <c r="CV226" s="541">
        <v>3.6779404545454546</v>
      </c>
      <c r="CW226" s="541">
        <v>3.6779404545454546</v>
      </c>
      <c r="CX226" s="541">
        <v>3.6779404545454546</v>
      </c>
      <c r="CY226" s="541">
        <v>3.6779404545454546</v>
      </c>
      <c r="CZ226" s="541">
        <v>3.6779404545454546</v>
      </c>
      <c r="DA226" s="541">
        <v>3.6779404545454546</v>
      </c>
      <c r="DB226" s="541">
        <v>3.6779404545454546</v>
      </c>
      <c r="DC226" s="541">
        <v>3.6779404545454546</v>
      </c>
      <c r="DD226" s="541">
        <v>3.6779404545454546</v>
      </c>
      <c r="DE226" s="541">
        <v>3.6779404545454546</v>
      </c>
      <c r="DF226" s="541">
        <v>3.6779404545454546</v>
      </c>
      <c r="DG226" s="541">
        <v>3.6779404545454546</v>
      </c>
      <c r="DH226" s="541">
        <v>3.6779404545454546</v>
      </c>
    </row>
    <row r="227" spans="2:112">
      <c r="B227" t="s">
        <v>924</v>
      </c>
    </row>
    <row r="228" spans="2:112" ht="15">
      <c r="B228" t="s">
        <v>1101</v>
      </c>
      <c r="C228" s="485" t="s">
        <v>771</v>
      </c>
      <c r="D228" s="485" t="s">
        <v>877</v>
      </c>
      <c r="E228" s="485" t="s">
        <v>111</v>
      </c>
      <c r="F228" s="486">
        <f>2023</f>
        <v>2023</v>
      </c>
      <c r="G228" s="486">
        <f>F228+1</f>
        <v>2024</v>
      </c>
      <c r="H228" s="486">
        <f t="shared" ref="H228:AG228" si="172">G228+1</f>
        <v>2025</v>
      </c>
      <c r="I228" s="486">
        <f t="shared" si="172"/>
        <v>2026</v>
      </c>
      <c r="J228" s="486">
        <f t="shared" si="172"/>
        <v>2027</v>
      </c>
      <c r="K228" s="486">
        <f t="shared" si="172"/>
        <v>2028</v>
      </c>
      <c r="L228" s="486">
        <f t="shared" si="172"/>
        <v>2029</v>
      </c>
      <c r="M228" s="486">
        <f t="shared" si="172"/>
        <v>2030</v>
      </c>
      <c r="N228" s="486">
        <f t="shared" si="172"/>
        <v>2031</v>
      </c>
      <c r="O228" s="486">
        <f t="shared" si="172"/>
        <v>2032</v>
      </c>
      <c r="P228" s="486">
        <f t="shared" si="172"/>
        <v>2033</v>
      </c>
      <c r="Q228" s="486">
        <f t="shared" si="172"/>
        <v>2034</v>
      </c>
      <c r="R228" s="486">
        <f t="shared" si="172"/>
        <v>2035</v>
      </c>
      <c r="S228" s="486">
        <f t="shared" si="172"/>
        <v>2036</v>
      </c>
      <c r="T228" s="486">
        <f t="shared" si="172"/>
        <v>2037</v>
      </c>
      <c r="U228" s="486">
        <f t="shared" si="172"/>
        <v>2038</v>
      </c>
      <c r="V228" s="486">
        <f t="shared" si="172"/>
        <v>2039</v>
      </c>
      <c r="W228" s="486">
        <f t="shared" si="172"/>
        <v>2040</v>
      </c>
      <c r="X228" s="486">
        <f t="shared" si="172"/>
        <v>2041</v>
      </c>
      <c r="Y228" s="486">
        <f t="shared" si="172"/>
        <v>2042</v>
      </c>
      <c r="Z228" s="486">
        <f t="shared" si="172"/>
        <v>2043</v>
      </c>
      <c r="AA228" s="486">
        <f t="shared" si="172"/>
        <v>2044</v>
      </c>
      <c r="AB228" s="486">
        <f t="shared" si="172"/>
        <v>2045</v>
      </c>
      <c r="AC228" s="486">
        <f t="shared" si="172"/>
        <v>2046</v>
      </c>
      <c r="AD228" s="486">
        <f t="shared" si="172"/>
        <v>2047</v>
      </c>
      <c r="AE228" s="486">
        <f t="shared" si="172"/>
        <v>2048</v>
      </c>
      <c r="AF228" s="486">
        <f t="shared" si="172"/>
        <v>2049</v>
      </c>
      <c r="AG228" s="486">
        <f t="shared" si="172"/>
        <v>2050</v>
      </c>
      <c r="AH228" s="524">
        <f>AG228+1</f>
        <v>2051</v>
      </c>
      <c r="AI228" s="524">
        <f t="shared" ref="AI228:CE228" si="173">AH228+1</f>
        <v>2052</v>
      </c>
      <c r="AJ228" s="524">
        <f t="shared" si="173"/>
        <v>2053</v>
      </c>
      <c r="AK228" s="524">
        <f t="shared" si="173"/>
        <v>2054</v>
      </c>
      <c r="AL228" s="524">
        <f t="shared" si="173"/>
        <v>2055</v>
      </c>
      <c r="AM228" s="524">
        <f t="shared" si="173"/>
        <v>2056</v>
      </c>
      <c r="AN228" s="524">
        <f t="shared" si="173"/>
        <v>2057</v>
      </c>
      <c r="AO228" s="524">
        <f t="shared" si="173"/>
        <v>2058</v>
      </c>
      <c r="AP228" s="524">
        <f t="shared" si="173"/>
        <v>2059</v>
      </c>
      <c r="AQ228" s="524">
        <f t="shared" si="173"/>
        <v>2060</v>
      </c>
      <c r="AR228" s="524">
        <f t="shared" si="173"/>
        <v>2061</v>
      </c>
      <c r="AS228" s="524">
        <f t="shared" si="173"/>
        <v>2062</v>
      </c>
      <c r="AT228" s="524">
        <f t="shared" si="173"/>
        <v>2063</v>
      </c>
      <c r="AU228" s="524">
        <f t="shared" si="173"/>
        <v>2064</v>
      </c>
      <c r="AV228" s="524">
        <f t="shared" si="173"/>
        <v>2065</v>
      </c>
      <c r="AW228" s="524">
        <f t="shared" si="173"/>
        <v>2066</v>
      </c>
      <c r="AX228" s="524">
        <f t="shared" si="173"/>
        <v>2067</v>
      </c>
      <c r="AY228" s="524">
        <f t="shared" si="173"/>
        <v>2068</v>
      </c>
      <c r="AZ228" s="524">
        <f t="shared" si="173"/>
        <v>2069</v>
      </c>
      <c r="BA228" s="524">
        <f t="shared" si="173"/>
        <v>2070</v>
      </c>
      <c r="BB228" s="524">
        <f t="shared" si="173"/>
        <v>2071</v>
      </c>
      <c r="BC228" s="524">
        <f t="shared" si="173"/>
        <v>2072</v>
      </c>
      <c r="BD228" s="524">
        <f t="shared" si="173"/>
        <v>2073</v>
      </c>
      <c r="BE228" s="524">
        <f t="shared" si="173"/>
        <v>2074</v>
      </c>
      <c r="BF228" s="524">
        <f t="shared" si="173"/>
        <v>2075</v>
      </c>
      <c r="BG228" s="524">
        <f t="shared" si="173"/>
        <v>2076</v>
      </c>
      <c r="BH228" s="524">
        <f t="shared" si="173"/>
        <v>2077</v>
      </c>
      <c r="BI228" s="524">
        <f t="shared" si="173"/>
        <v>2078</v>
      </c>
      <c r="BJ228" s="524">
        <f t="shared" si="173"/>
        <v>2079</v>
      </c>
      <c r="BK228" s="524">
        <f t="shared" si="173"/>
        <v>2080</v>
      </c>
      <c r="BL228" s="524">
        <f t="shared" si="173"/>
        <v>2081</v>
      </c>
      <c r="BM228" s="524">
        <f t="shared" si="173"/>
        <v>2082</v>
      </c>
      <c r="BN228" s="524">
        <f t="shared" si="173"/>
        <v>2083</v>
      </c>
      <c r="BO228" s="524">
        <f t="shared" si="173"/>
        <v>2084</v>
      </c>
      <c r="BP228" s="524">
        <f t="shared" si="173"/>
        <v>2085</v>
      </c>
      <c r="BQ228" s="524">
        <f t="shared" si="173"/>
        <v>2086</v>
      </c>
      <c r="BR228" s="524">
        <f t="shared" si="173"/>
        <v>2087</v>
      </c>
      <c r="BS228" s="524">
        <f t="shared" si="173"/>
        <v>2088</v>
      </c>
      <c r="BT228" s="524">
        <f t="shared" si="173"/>
        <v>2089</v>
      </c>
      <c r="BU228" s="524">
        <f t="shared" si="173"/>
        <v>2090</v>
      </c>
      <c r="BV228" s="524">
        <f t="shared" si="173"/>
        <v>2091</v>
      </c>
      <c r="BW228" s="524">
        <f t="shared" si="173"/>
        <v>2092</v>
      </c>
      <c r="BX228" s="524">
        <f t="shared" si="173"/>
        <v>2093</v>
      </c>
      <c r="BY228" s="524">
        <f t="shared" si="173"/>
        <v>2094</v>
      </c>
      <c r="BZ228" s="524">
        <f t="shared" si="173"/>
        <v>2095</v>
      </c>
      <c r="CA228" s="524">
        <f t="shared" si="173"/>
        <v>2096</v>
      </c>
      <c r="CB228" s="524">
        <f t="shared" si="173"/>
        <v>2097</v>
      </c>
      <c r="CC228" s="524">
        <f t="shared" si="173"/>
        <v>2098</v>
      </c>
      <c r="CD228" s="524">
        <f t="shared" si="173"/>
        <v>2099</v>
      </c>
      <c r="CE228" s="524">
        <f t="shared" si="173"/>
        <v>2100</v>
      </c>
      <c r="CG228" s="486">
        <v>2023</v>
      </c>
      <c r="CH228" s="486">
        <v>2024</v>
      </c>
      <c r="CI228" s="486">
        <v>2025</v>
      </c>
      <c r="CJ228" s="486">
        <v>2026</v>
      </c>
      <c r="CK228" s="486">
        <v>2027</v>
      </c>
      <c r="CL228" s="486">
        <v>2028</v>
      </c>
      <c r="CM228" s="486">
        <v>2029</v>
      </c>
      <c r="CN228" s="486">
        <v>2030</v>
      </c>
      <c r="CO228" s="486">
        <v>2031</v>
      </c>
      <c r="CP228" s="486">
        <v>2032</v>
      </c>
      <c r="CQ228" s="486">
        <v>2033</v>
      </c>
      <c r="CR228" s="486">
        <v>2034</v>
      </c>
      <c r="CS228" s="486">
        <v>2035</v>
      </c>
      <c r="CT228" s="486">
        <v>2036</v>
      </c>
      <c r="CU228" s="486">
        <v>2037</v>
      </c>
      <c r="CV228" s="486">
        <v>2038</v>
      </c>
      <c r="CW228" s="486">
        <v>2039</v>
      </c>
      <c r="CX228" s="486">
        <v>2040</v>
      </c>
      <c r="CY228" s="486">
        <v>2041</v>
      </c>
      <c r="CZ228" s="486">
        <v>2042</v>
      </c>
      <c r="DA228" s="486">
        <v>2043</v>
      </c>
      <c r="DB228" s="486">
        <v>2044</v>
      </c>
      <c r="DC228" s="486">
        <v>2045</v>
      </c>
      <c r="DD228" s="486">
        <v>2046</v>
      </c>
      <c r="DE228" s="486">
        <v>2047</v>
      </c>
      <c r="DF228" s="486">
        <v>2048</v>
      </c>
      <c r="DG228" s="486">
        <v>2049</v>
      </c>
      <c r="DH228" s="486">
        <v>2050</v>
      </c>
    </row>
    <row r="229" spans="2:112">
      <c r="B229" t="s">
        <v>1102</v>
      </c>
      <c r="C229" t="s">
        <v>771</v>
      </c>
      <c r="D229" t="s">
        <v>879</v>
      </c>
      <c r="E229" t="s">
        <v>773</v>
      </c>
      <c r="F229" s="525">
        <v>4000</v>
      </c>
      <c r="G229" s="525">
        <v>4000</v>
      </c>
      <c r="H229" s="525">
        <v>4000</v>
      </c>
      <c r="I229" s="525">
        <v>4000</v>
      </c>
      <c r="J229" s="525">
        <v>4000</v>
      </c>
      <c r="K229" s="525">
        <v>4000</v>
      </c>
      <c r="L229" s="525">
        <v>4000</v>
      </c>
      <c r="M229" s="525">
        <v>4000</v>
      </c>
      <c r="N229" s="525">
        <v>4000</v>
      </c>
      <c r="O229" s="525">
        <v>4000</v>
      </c>
      <c r="P229" s="525">
        <v>4000</v>
      </c>
      <c r="Q229" s="525">
        <v>4000</v>
      </c>
      <c r="R229" s="525">
        <v>4000</v>
      </c>
      <c r="S229" s="525">
        <v>4000</v>
      </c>
      <c r="T229" s="525">
        <v>4000</v>
      </c>
      <c r="U229" s="525">
        <v>4000</v>
      </c>
      <c r="V229" s="525">
        <v>4000</v>
      </c>
      <c r="W229" s="525">
        <v>4000</v>
      </c>
      <c r="X229" s="525">
        <v>4000</v>
      </c>
      <c r="Y229" s="525">
        <v>4000</v>
      </c>
      <c r="Z229" s="525">
        <v>4000</v>
      </c>
      <c r="AA229" s="525">
        <v>4000</v>
      </c>
      <c r="AB229" s="525">
        <v>4000</v>
      </c>
      <c r="AC229" s="525">
        <v>4000</v>
      </c>
      <c r="AD229" s="525">
        <v>4000</v>
      </c>
      <c r="AE229" s="525">
        <v>4000</v>
      </c>
      <c r="AF229" s="525">
        <v>4000</v>
      </c>
      <c r="AG229" s="525">
        <v>4000</v>
      </c>
      <c r="AH229" s="526">
        <f>AG229</f>
        <v>4000</v>
      </c>
      <c r="AI229" s="526">
        <f t="shared" ref="AI229:AX229" si="174">AH229</f>
        <v>4000</v>
      </c>
      <c r="AJ229" s="526">
        <f t="shared" si="174"/>
        <v>4000</v>
      </c>
      <c r="AK229" s="526">
        <f t="shared" si="174"/>
        <v>4000</v>
      </c>
      <c r="AL229" s="526">
        <f t="shared" si="174"/>
        <v>4000</v>
      </c>
      <c r="AM229" s="526">
        <f t="shared" si="174"/>
        <v>4000</v>
      </c>
      <c r="AN229" s="526">
        <f t="shared" si="174"/>
        <v>4000</v>
      </c>
      <c r="AO229" s="526">
        <f t="shared" si="174"/>
        <v>4000</v>
      </c>
      <c r="AP229" s="526">
        <f t="shared" si="174"/>
        <v>4000</v>
      </c>
      <c r="AQ229" s="526">
        <f t="shared" si="174"/>
        <v>4000</v>
      </c>
      <c r="AR229" s="526">
        <f t="shared" si="174"/>
        <v>4000</v>
      </c>
      <c r="AS229" s="526">
        <f t="shared" si="174"/>
        <v>4000</v>
      </c>
      <c r="AT229" s="526">
        <f t="shared" si="174"/>
        <v>4000</v>
      </c>
      <c r="AU229" s="526">
        <f t="shared" si="174"/>
        <v>4000</v>
      </c>
      <c r="AV229" s="526">
        <f t="shared" si="174"/>
        <v>4000</v>
      </c>
      <c r="AW229" s="526">
        <f t="shared" si="174"/>
        <v>4000</v>
      </c>
      <c r="AX229" s="526">
        <f t="shared" si="174"/>
        <v>4000</v>
      </c>
      <c r="AY229" s="526">
        <f t="shared" ref="AY229:BN229" si="175">AX229</f>
        <v>4000</v>
      </c>
      <c r="AZ229" s="526">
        <f t="shared" si="175"/>
        <v>4000</v>
      </c>
      <c r="BA229" s="526">
        <f t="shared" si="175"/>
        <v>4000</v>
      </c>
      <c r="BB229" s="526">
        <f t="shared" si="175"/>
        <v>4000</v>
      </c>
      <c r="BC229" s="526">
        <f t="shared" si="175"/>
        <v>4000</v>
      </c>
      <c r="BD229" s="526">
        <f t="shared" si="175"/>
        <v>4000</v>
      </c>
      <c r="BE229" s="526">
        <f t="shared" si="175"/>
        <v>4000</v>
      </c>
      <c r="BF229" s="526">
        <f t="shared" si="175"/>
        <v>4000</v>
      </c>
      <c r="BG229" s="526">
        <f t="shared" si="175"/>
        <v>4000</v>
      </c>
      <c r="BH229" s="526">
        <f t="shared" si="175"/>
        <v>4000</v>
      </c>
      <c r="BI229" s="526">
        <f t="shared" si="175"/>
        <v>4000</v>
      </c>
      <c r="BJ229" s="526">
        <f t="shared" si="175"/>
        <v>4000</v>
      </c>
      <c r="BK229" s="526">
        <f t="shared" si="175"/>
        <v>4000</v>
      </c>
      <c r="BL229" s="526">
        <f t="shared" si="175"/>
        <v>4000</v>
      </c>
      <c r="BM229" s="526">
        <f t="shared" si="175"/>
        <v>4000</v>
      </c>
      <c r="BN229" s="526">
        <f t="shared" si="175"/>
        <v>4000</v>
      </c>
      <c r="BO229" s="526">
        <f t="shared" ref="BO229:CD229" si="176">BN229</f>
        <v>4000</v>
      </c>
      <c r="BP229" s="526">
        <f t="shared" si="176"/>
        <v>4000</v>
      </c>
      <c r="BQ229" s="526">
        <f t="shared" si="176"/>
        <v>4000</v>
      </c>
      <c r="BR229" s="526">
        <f t="shared" si="176"/>
        <v>4000</v>
      </c>
      <c r="BS229" s="526">
        <f t="shared" si="176"/>
        <v>4000</v>
      </c>
      <c r="BT229" s="526">
        <f t="shared" si="176"/>
        <v>4000</v>
      </c>
      <c r="BU229" s="526">
        <f t="shared" si="176"/>
        <v>4000</v>
      </c>
      <c r="BV229" s="526">
        <f t="shared" si="176"/>
        <v>4000</v>
      </c>
      <c r="BW229" s="526">
        <f t="shared" si="176"/>
        <v>4000</v>
      </c>
      <c r="BX229" s="526">
        <f t="shared" si="176"/>
        <v>4000</v>
      </c>
      <c r="BY229" s="526">
        <f t="shared" si="176"/>
        <v>4000</v>
      </c>
      <c r="BZ229" s="526">
        <f t="shared" si="176"/>
        <v>4000</v>
      </c>
      <c r="CA229" s="526">
        <f t="shared" si="176"/>
        <v>4000</v>
      </c>
      <c r="CB229" s="526">
        <f t="shared" si="176"/>
        <v>4000</v>
      </c>
      <c r="CC229" s="526">
        <f t="shared" si="176"/>
        <v>4000</v>
      </c>
      <c r="CD229" s="526">
        <f t="shared" si="176"/>
        <v>4000</v>
      </c>
      <c r="CE229" s="526">
        <f t="shared" ref="AX229:CE237" si="177">CD229</f>
        <v>4000</v>
      </c>
      <c r="CG229" s="536">
        <v>4000</v>
      </c>
      <c r="CH229" s="536">
        <v>4000</v>
      </c>
      <c r="CI229" s="536">
        <v>4000</v>
      </c>
      <c r="CJ229" s="536">
        <v>4000</v>
      </c>
      <c r="CK229" s="536">
        <v>4000</v>
      </c>
      <c r="CL229" s="536">
        <v>4000</v>
      </c>
      <c r="CM229" s="536">
        <v>4000</v>
      </c>
      <c r="CN229" s="536">
        <v>4000</v>
      </c>
      <c r="CO229" s="536">
        <v>4000</v>
      </c>
      <c r="CP229" s="536">
        <v>4000</v>
      </c>
      <c r="CQ229" s="536">
        <v>4000</v>
      </c>
      <c r="CR229" s="536">
        <v>4000</v>
      </c>
      <c r="CS229" s="536">
        <v>4000</v>
      </c>
      <c r="CT229" s="536">
        <v>4000</v>
      </c>
      <c r="CU229" s="536">
        <v>4000</v>
      </c>
      <c r="CV229" s="536">
        <v>4000</v>
      </c>
      <c r="CW229" s="536">
        <v>4000</v>
      </c>
      <c r="CX229" s="536">
        <v>4000</v>
      </c>
      <c r="CY229" s="536">
        <v>4000</v>
      </c>
      <c r="CZ229" s="536">
        <v>4000</v>
      </c>
      <c r="DA229" s="536">
        <v>4000</v>
      </c>
      <c r="DB229" s="536">
        <v>4000</v>
      </c>
      <c r="DC229" s="536">
        <v>4000</v>
      </c>
      <c r="DD229" s="536">
        <v>4000</v>
      </c>
      <c r="DE229" s="536">
        <v>4000</v>
      </c>
      <c r="DF229" s="536">
        <v>4000</v>
      </c>
      <c r="DG229" s="536">
        <v>4000</v>
      </c>
      <c r="DH229" s="536">
        <v>4000</v>
      </c>
    </row>
    <row r="230" spans="2:112">
      <c r="B230" t="s">
        <v>1103</v>
      </c>
      <c r="C230" t="s">
        <v>771</v>
      </c>
      <c r="D230" t="s">
        <v>695</v>
      </c>
      <c r="E230" t="s">
        <v>881</v>
      </c>
      <c r="F230" s="525">
        <v>225</v>
      </c>
      <c r="G230" s="525">
        <v>225</v>
      </c>
      <c r="H230" s="525">
        <v>225</v>
      </c>
      <c r="I230" s="525">
        <v>225</v>
      </c>
      <c r="J230" s="525">
        <v>225</v>
      </c>
      <c r="K230" s="525">
        <v>225</v>
      </c>
      <c r="L230" s="525">
        <v>225</v>
      </c>
      <c r="M230" s="525">
        <v>225</v>
      </c>
      <c r="N230" s="525">
        <v>225</v>
      </c>
      <c r="O230" s="525">
        <v>225</v>
      </c>
      <c r="P230" s="525">
        <v>225</v>
      </c>
      <c r="Q230" s="525">
        <v>225</v>
      </c>
      <c r="R230" s="525">
        <v>225</v>
      </c>
      <c r="S230" s="525">
        <v>225</v>
      </c>
      <c r="T230" s="525">
        <v>225</v>
      </c>
      <c r="U230" s="525">
        <v>225</v>
      </c>
      <c r="V230" s="525">
        <v>225</v>
      </c>
      <c r="W230" s="525">
        <v>225</v>
      </c>
      <c r="X230" s="525">
        <v>225</v>
      </c>
      <c r="Y230" s="525">
        <v>225</v>
      </c>
      <c r="Z230" s="525">
        <v>225</v>
      </c>
      <c r="AA230" s="525">
        <v>225</v>
      </c>
      <c r="AB230" s="525">
        <v>225</v>
      </c>
      <c r="AC230" s="525">
        <v>225</v>
      </c>
      <c r="AD230" s="525">
        <v>225</v>
      </c>
      <c r="AE230" s="525">
        <v>225</v>
      </c>
      <c r="AF230" s="525">
        <v>225</v>
      </c>
      <c r="AG230" s="525">
        <v>225</v>
      </c>
      <c r="AH230" s="526">
        <f t="shared" ref="AH230:AW239" si="178">AG230</f>
        <v>225</v>
      </c>
      <c r="AI230" s="526">
        <f t="shared" si="178"/>
        <v>225</v>
      </c>
      <c r="AJ230" s="526">
        <f t="shared" si="178"/>
        <v>225</v>
      </c>
      <c r="AK230" s="526">
        <f t="shared" si="178"/>
        <v>225</v>
      </c>
      <c r="AL230" s="526">
        <f t="shared" si="178"/>
        <v>225</v>
      </c>
      <c r="AM230" s="526">
        <f t="shared" si="178"/>
        <v>225</v>
      </c>
      <c r="AN230" s="526">
        <f t="shared" si="178"/>
        <v>225</v>
      </c>
      <c r="AO230" s="526">
        <f t="shared" si="178"/>
        <v>225</v>
      </c>
      <c r="AP230" s="526">
        <f t="shared" si="178"/>
        <v>225</v>
      </c>
      <c r="AQ230" s="526">
        <f t="shared" si="178"/>
        <v>225</v>
      </c>
      <c r="AR230" s="526">
        <f t="shared" si="178"/>
        <v>225</v>
      </c>
      <c r="AS230" s="526">
        <f t="shared" si="178"/>
        <v>225</v>
      </c>
      <c r="AT230" s="526">
        <f t="shared" si="178"/>
        <v>225</v>
      </c>
      <c r="AU230" s="526">
        <f t="shared" si="178"/>
        <v>225</v>
      </c>
      <c r="AV230" s="526">
        <f t="shared" si="178"/>
        <v>225</v>
      </c>
      <c r="AW230" s="526">
        <f t="shared" si="178"/>
        <v>225</v>
      </c>
      <c r="AX230" s="526">
        <f t="shared" si="177"/>
        <v>225</v>
      </c>
      <c r="AY230" s="526">
        <f t="shared" si="177"/>
        <v>225</v>
      </c>
      <c r="AZ230" s="526">
        <f t="shared" si="177"/>
        <v>225</v>
      </c>
      <c r="BA230" s="526">
        <f t="shared" si="177"/>
        <v>225</v>
      </c>
      <c r="BB230" s="526">
        <f t="shared" si="177"/>
        <v>225</v>
      </c>
      <c r="BC230" s="526">
        <f t="shared" si="177"/>
        <v>225</v>
      </c>
      <c r="BD230" s="526">
        <f t="shared" si="177"/>
        <v>225</v>
      </c>
      <c r="BE230" s="526">
        <f t="shared" si="177"/>
        <v>225</v>
      </c>
      <c r="BF230" s="526">
        <f t="shared" si="177"/>
        <v>225</v>
      </c>
      <c r="BG230" s="526">
        <f t="shared" si="177"/>
        <v>225</v>
      </c>
      <c r="BH230" s="526">
        <f t="shared" si="177"/>
        <v>225</v>
      </c>
      <c r="BI230" s="526">
        <f t="shared" si="177"/>
        <v>225</v>
      </c>
      <c r="BJ230" s="526">
        <f t="shared" si="177"/>
        <v>225</v>
      </c>
      <c r="BK230" s="526">
        <f t="shared" si="177"/>
        <v>225</v>
      </c>
      <c r="BL230" s="526">
        <f t="shared" si="177"/>
        <v>225</v>
      </c>
      <c r="BM230" s="526">
        <f t="shared" si="177"/>
        <v>225</v>
      </c>
      <c r="BN230" s="526">
        <f t="shared" si="177"/>
        <v>225</v>
      </c>
      <c r="BO230" s="526">
        <f t="shared" si="177"/>
        <v>225</v>
      </c>
      <c r="BP230" s="526">
        <f t="shared" si="177"/>
        <v>225</v>
      </c>
      <c r="BQ230" s="526">
        <f t="shared" si="177"/>
        <v>225</v>
      </c>
      <c r="BR230" s="526">
        <f t="shared" si="177"/>
        <v>225</v>
      </c>
      <c r="BS230" s="526">
        <f t="shared" si="177"/>
        <v>225</v>
      </c>
      <c r="BT230" s="526">
        <f t="shared" si="177"/>
        <v>225</v>
      </c>
      <c r="BU230" s="526">
        <f t="shared" si="177"/>
        <v>225</v>
      </c>
      <c r="BV230" s="526">
        <f t="shared" si="177"/>
        <v>225</v>
      </c>
      <c r="BW230" s="526">
        <f t="shared" si="177"/>
        <v>225</v>
      </c>
      <c r="BX230" s="526">
        <f t="shared" si="177"/>
        <v>225</v>
      </c>
      <c r="BY230" s="526">
        <f t="shared" si="177"/>
        <v>225</v>
      </c>
      <c r="BZ230" s="526">
        <f t="shared" si="177"/>
        <v>225</v>
      </c>
      <c r="CA230" s="526">
        <f t="shared" si="177"/>
        <v>225</v>
      </c>
      <c r="CB230" s="526">
        <f t="shared" si="177"/>
        <v>225</v>
      </c>
      <c r="CC230" s="526">
        <f t="shared" si="177"/>
        <v>225</v>
      </c>
      <c r="CD230" s="526">
        <f t="shared" si="177"/>
        <v>225</v>
      </c>
      <c r="CE230" s="526">
        <f t="shared" si="177"/>
        <v>225</v>
      </c>
      <c r="CG230" s="536">
        <v>225</v>
      </c>
      <c r="CH230" s="536">
        <v>225</v>
      </c>
      <c r="CI230" s="536">
        <v>225</v>
      </c>
      <c r="CJ230" s="536">
        <v>225</v>
      </c>
      <c r="CK230" s="536">
        <v>225</v>
      </c>
      <c r="CL230" s="536">
        <v>225</v>
      </c>
      <c r="CM230" s="536">
        <v>225</v>
      </c>
      <c r="CN230" s="536">
        <v>225</v>
      </c>
      <c r="CO230" s="536">
        <v>225</v>
      </c>
      <c r="CP230" s="536">
        <v>225</v>
      </c>
      <c r="CQ230" s="536">
        <v>225</v>
      </c>
      <c r="CR230" s="536">
        <v>225</v>
      </c>
      <c r="CS230" s="536">
        <v>225</v>
      </c>
      <c r="CT230" s="536">
        <v>225</v>
      </c>
      <c r="CU230" s="536">
        <v>225</v>
      </c>
      <c r="CV230" s="536">
        <v>225</v>
      </c>
      <c r="CW230" s="536">
        <v>225</v>
      </c>
      <c r="CX230" s="536">
        <v>225</v>
      </c>
      <c r="CY230" s="536">
        <v>225</v>
      </c>
      <c r="CZ230" s="536">
        <v>225</v>
      </c>
      <c r="DA230" s="536">
        <v>225</v>
      </c>
      <c r="DB230" s="536">
        <v>225</v>
      </c>
      <c r="DC230" s="536">
        <v>225</v>
      </c>
      <c r="DD230" s="536">
        <v>225</v>
      </c>
      <c r="DE230" s="536">
        <v>225</v>
      </c>
      <c r="DF230" s="536">
        <v>225</v>
      </c>
      <c r="DG230" s="536">
        <v>225</v>
      </c>
      <c r="DH230" s="536">
        <v>225</v>
      </c>
    </row>
    <row r="231" spans="2:112">
      <c r="B231" t="s">
        <v>1104</v>
      </c>
      <c r="C231" t="s">
        <v>771</v>
      </c>
      <c r="D231" t="s">
        <v>883</v>
      </c>
      <c r="E231" t="s">
        <v>884</v>
      </c>
      <c r="F231" s="525">
        <v>16</v>
      </c>
      <c r="G231" s="525">
        <v>16</v>
      </c>
      <c r="H231" s="525">
        <v>16</v>
      </c>
      <c r="I231" s="525">
        <v>16</v>
      </c>
      <c r="J231" s="525">
        <v>16</v>
      </c>
      <c r="K231" s="525">
        <v>16</v>
      </c>
      <c r="L231" s="525">
        <v>16</v>
      </c>
      <c r="M231" s="525">
        <v>16</v>
      </c>
      <c r="N231" s="525">
        <v>16</v>
      </c>
      <c r="O231" s="525">
        <v>16</v>
      </c>
      <c r="P231" s="525">
        <v>16</v>
      </c>
      <c r="Q231" s="525">
        <v>16</v>
      </c>
      <c r="R231" s="525">
        <v>16</v>
      </c>
      <c r="S231" s="525">
        <v>16</v>
      </c>
      <c r="T231" s="525">
        <v>16</v>
      </c>
      <c r="U231" s="525">
        <v>16</v>
      </c>
      <c r="V231" s="525">
        <v>16</v>
      </c>
      <c r="W231" s="525">
        <v>16</v>
      </c>
      <c r="X231" s="525">
        <v>16</v>
      </c>
      <c r="Y231" s="525">
        <v>16</v>
      </c>
      <c r="Z231" s="525">
        <v>16</v>
      </c>
      <c r="AA231" s="525">
        <v>16</v>
      </c>
      <c r="AB231" s="525">
        <v>16</v>
      </c>
      <c r="AC231" s="525">
        <v>16</v>
      </c>
      <c r="AD231" s="525">
        <v>16</v>
      </c>
      <c r="AE231" s="525">
        <v>16</v>
      </c>
      <c r="AF231" s="525">
        <v>16</v>
      </c>
      <c r="AG231" s="525">
        <v>16</v>
      </c>
      <c r="AH231" s="526">
        <f t="shared" si="178"/>
        <v>16</v>
      </c>
      <c r="AI231" s="526">
        <f t="shared" si="178"/>
        <v>16</v>
      </c>
      <c r="AJ231" s="526">
        <f t="shared" si="178"/>
        <v>16</v>
      </c>
      <c r="AK231" s="526">
        <f t="shared" si="178"/>
        <v>16</v>
      </c>
      <c r="AL231" s="526">
        <f t="shared" si="178"/>
        <v>16</v>
      </c>
      <c r="AM231" s="526">
        <f t="shared" si="178"/>
        <v>16</v>
      </c>
      <c r="AN231" s="526">
        <f t="shared" si="178"/>
        <v>16</v>
      </c>
      <c r="AO231" s="526">
        <f t="shared" si="178"/>
        <v>16</v>
      </c>
      <c r="AP231" s="526">
        <f t="shared" si="178"/>
        <v>16</v>
      </c>
      <c r="AQ231" s="526">
        <f t="shared" si="178"/>
        <v>16</v>
      </c>
      <c r="AR231" s="526">
        <f t="shared" si="178"/>
        <v>16</v>
      </c>
      <c r="AS231" s="526">
        <f t="shared" si="178"/>
        <v>16</v>
      </c>
      <c r="AT231" s="526">
        <f t="shared" si="178"/>
        <v>16</v>
      </c>
      <c r="AU231" s="526">
        <f t="shared" si="178"/>
        <v>16</v>
      </c>
      <c r="AV231" s="526">
        <f t="shared" si="178"/>
        <v>16</v>
      </c>
      <c r="AW231" s="526">
        <f t="shared" si="178"/>
        <v>16</v>
      </c>
      <c r="AX231" s="526">
        <f t="shared" si="177"/>
        <v>16</v>
      </c>
      <c r="AY231" s="526">
        <f t="shared" si="177"/>
        <v>16</v>
      </c>
      <c r="AZ231" s="526">
        <f t="shared" si="177"/>
        <v>16</v>
      </c>
      <c r="BA231" s="526">
        <f t="shared" si="177"/>
        <v>16</v>
      </c>
      <c r="BB231" s="526">
        <f t="shared" si="177"/>
        <v>16</v>
      </c>
      <c r="BC231" s="526">
        <f t="shared" si="177"/>
        <v>16</v>
      </c>
      <c r="BD231" s="526">
        <f t="shared" si="177"/>
        <v>16</v>
      </c>
      <c r="BE231" s="526">
        <f t="shared" si="177"/>
        <v>16</v>
      </c>
      <c r="BF231" s="526">
        <f t="shared" si="177"/>
        <v>16</v>
      </c>
      <c r="BG231" s="526">
        <f t="shared" si="177"/>
        <v>16</v>
      </c>
      <c r="BH231" s="526">
        <f t="shared" si="177"/>
        <v>16</v>
      </c>
      <c r="BI231" s="526">
        <f t="shared" si="177"/>
        <v>16</v>
      </c>
      <c r="BJ231" s="526">
        <f t="shared" si="177"/>
        <v>16</v>
      </c>
      <c r="BK231" s="526">
        <f t="shared" si="177"/>
        <v>16</v>
      </c>
      <c r="BL231" s="526">
        <f t="shared" si="177"/>
        <v>16</v>
      </c>
      <c r="BM231" s="526">
        <f t="shared" si="177"/>
        <v>16</v>
      </c>
      <c r="BN231" s="526">
        <f t="shared" si="177"/>
        <v>16</v>
      </c>
      <c r="BO231" s="526">
        <f t="shared" si="177"/>
        <v>16</v>
      </c>
      <c r="BP231" s="526">
        <f t="shared" si="177"/>
        <v>16</v>
      </c>
      <c r="BQ231" s="526">
        <f t="shared" si="177"/>
        <v>16</v>
      </c>
      <c r="BR231" s="526">
        <f t="shared" si="177"/>
        <v>16</v>
      </c>
      <c r="BS231" s="526">
        <f t="shared" si="177"/>
        <v>16</v>
      </c>
      <c r="BT231" s="526">
        <f t="shared" si="177"/>
        <v>16</v>
      </c>
      <c r="BU231" s="526">
        <f t="shared" si="177"/>
        <v>16</v>
      </c>
      <c r="BV231" s="526">
        <f t="shared" si="177"/>
        <v>16</v>
      </c>
      <c r="BW231" s="526">
        <f t="shared" si="177"/>
        <v>16</v>
      </c>
      <c r="BX231" s="526">
        <f t="shared" si="177"/>
        <v>16</v>
      </c>
      <c r="BY231" s="526">
        <f t="shared" si="177"/>
        <v>16</v>
      </c>
      <c r="BZ231" s="526">
        <f t="shared" si="177"/>
        <v>16</v>
      </c>
      <c r="CA231" s="526">
        <f t="shared" si="177"/>
        <v>16</v>
      </c>
      <c r="CB231" s="526">
        <f t="shared" si="177"/>
        <v>16</v>
      </c>
      <c r="CC231" s="526">
        <f t="shared" si="177"/>
        <v>16</v>
      </c>
      <c r="CD231" s="526">
        <f t="shared" si="177"/>
        <v>16</v>
      </c>
      <c r="CE231" s="526">
        <f t="shared" si="177"/>
        <v>16</v>
      </c>
      <c r="CG231" s="536">
        <v>16</v>
      </c>
      <c r="CH231" s="536">
        <v>16</v>
      </c>
      <c r="CI231" s="536">
        <v>16</v>
      </c>
      <c r="CJ231" s="536">
        <v>16</v>
      </c>
      <c r="CK231" s="536">
        <v>16</v>
      </c>
      <c r="CL231" s="536">
        <v>16</v>
      </c>
      <c r="CM231" s="536">
        <v>16</v>
      </c>
      <c r="CN231" s="536">
        <v>16</v>
      </c>
      <c r="CO231" s="536">
        <v>16</v>
      </c>
      <c r="CP231" s="536">
        <v>16</v>
      </c>
      <c r="CQ231" s="536">
        <v>16</v>
      </c>
      <c r="CR231" s="536">
        <v>16</v>
      </c>
      <c r="CS231" s="536">
        <v>16</v>
      </c>
      <c r="CT231" s="536">
        <v>16</v>
      </c>
      <c r="CU231" s="536">
        <v>16</v>
      </c>
      <c r="CV231" s="536">
        <v>16</v>
      </c>
      <c r="CW231" s="536">
        <v>16</v>
      </c>
      <c r="CX231" s="536">
        <v>16</v>
      </c>
      <c r="CY231" s="536">
        <v>16</v>
      </c>
      <c r="CZ231" s="536">
        <v>16</v>
      </c>
      <c r="DA231" s="536">
        <v>16</v>
      </c>
      <c r="DB231" s="536">
        <v>16</v>
      </c>
      <c r="DC231" s="536">
        <v>16</v>
      </c>
      <c r="DD231" s="536">
        <v>16</v>
      </c>
      <c r="DE231" s="536">
        <v>16</v>
      </c>
      <c r="DF231" s="536">
        <v>16</v>
      </c>
      <c r="DG231" s="536">
        <v>16</v>
      </c>
      <c r="DH231" s="536">
        <v>16</v>
      </c>
    </row>
    <row r="232" spans="2:112">
      <c r="B232" t="s">
        <v>1105</v>
      </c>
      <c r="C232" t="s">
        <v>771</v>
      </c>
      <c r="D232" t="s">
        <v>886</v>
      </c>
      <c r="E232" t="s">
        <v>178</v>
      </c>
      <c r="F232" s="537">
        <v>0.51</v>
      </c>
      <c r="G232" s="537">
        <v>0.51</v>
      </c>
      <c r="H232" s="537">
        <v>0.51</v>
      </c>
      <c r="I232" s="537">
        <v>0.51</v>
      </c>
      <c r="J232" s="537">
        <v>0.51</v>
      </c>
      <c r="K232" s="537">
        <v>0.51</v>
      </c>
      <c r="L232" s="537">
        <v>0.51</v>
      </c>
      <c r="M232" s="537">
        <v>0.51</v>
      </c>
      <c r="N232" s="537">
        <v>0.51</v>
      </c>
      <c r="O232" s="537">
        <v>0.51</v>
      </c>
      <c r="P232" s="537">
        <v>0.51</v>
      </c>
      <c r="Q232" s="537">
        <v>0.51</v>
      </c>
      <c r="R232" s="537">
        <v>0.51</v>
      </c>
      <c r="S232" s="537">
        <v>0.51</v>
      </c>
      <c r="T232" s="537">
        <v>0.51</v>
      </c>
      <c r="U232" s="537">
        <v>0.51</v>
      </c>
      <c r="V232" s="537">
        <v>0.51</v>
      </c>
      <c r="W232" s="537">
        <v>0.51</v>
      </c>
      <c r="X232" s="537">
        <v>0.51</v>
      </c>
      <c r="Y232" s="537">
        <v>0.51</v>
      </c>
      <c r="Z232" s="537">
        <v>0.51</v>
      </c>
      <c r="AA232" s="537">
        <v>0.51</v>
      </c>
      <c r="AB232" s="537">
        <v>0.51</v>
      </c>
      <c r="AC232" s="537">
        <v>0.51</v>
      </c>
      <c r="AD232" s="537">
        <v>0.51</v>
      </c>
      <c r="AE232" s="537">
        <v>0.51</v>
      </c>
      <c r="AF232" s="537">
        <v>0.51</v>
      </c>
      <c r="AG232" s="537">
        <v>0.51</v>
      </c>
      <c r="AH232" s="526">
        <f t="shared" si="178"/>
        <v>0.51</v>
      </c>
      <c r="AI232" s="526">
        <f t="shared" si="178"/>
        <v>0.51</v>
      </c>
      <c r="AJ232" s="526">
        <f t="shared" si="178"/>
        <v>0.51</v>
      </c>
      <c r="AK232" s="526">
        <f t="shared" si="178"/>
        <v>0.51</v>
      </c>
      <c r="AL232" s="526">
        <f t="shared" si="178"/>
        <v>0.51</v>
      </c>
      <c r="AM232" s="526">
        <f t="shared" si="178"/>
        <v>0.51</v>
      </c>
      <c r="AN232" s="526">
        <f t="shared" si="178"/>
        <v>0.51</v>
      </c>
      <c r="AO232" s="526">
        <f t="shared" si="178"/>
        <v>0.51</v>
      </c>
      <c r="AP232" s="526">
        <f t="shared" si="178"/>
        <v>0.51</v>
      </c>
      <c r="AQ232" s="526">
        <f t="shared" si="178"/>
        <v>0.51</v>
      </c>
      <c r="AR232" s="526">
        <f t="shared" si="178"/>
        <v>0.51</v>
      </c>
      <c r="AS232" s="526">
        <f t="shared" si="178"/>
        <v>0.51</v>
      </c>
      <c r="AT232" s="526">
        <f t="shared" si="178"/>
        <v>0.51</v>
      </c>
      <c r="AU232" s="526">
        <f t="shared" si="178"/>
        <v>0.51</v>
      </c>
      <c r="AV232" s="526">
        <f t="shared" si="178"/>
        <v>0.51</v>
      </c>
      <c r="AW232" s="526">
        <f t="shared" si="178"/>
        <v>0.51</v>
      </c>
      <c r="AX232" s="526">
        <f t="shared" si="177"/>
        <v>0.51</v>
      </c>
      <c r="AY232" s="526">
        <f t="shared" si="177"/>
        <v>0.51</v>
      </c>
      <c r="AZ232" s="526">
        <f t="shared" si="177"/>
        <v>0.51</v>
      </c>
      <c r="BA232" s="526">
        <f t="shared" si="177"/>
        <v>0.51</v>
      </c>
      <c r="BB232" s="526">
        <f t="shared" si="177"/>
        <v>0.51</v>
      </c>
      <c r="BC232" s="526">
        <f t="shared" si="177"/>
        <v>0.51</v>
      </c>
      <c r="BD232" s="526">
        <f t="shared" si="177"/>
        <v>0.51</v>
      </c>
      <c r="BE232" s="526">
        <f t="shared" si="177"/>
        <v>0.51</v>
      </c>
      <c r="BF232" s="526">
        <f t="shared" si="177"/>
        <v>0.51</v>
      </c>
      <c r="BG232" s="526">
        <f t="shared" si="177"/>
        <v>0.51</v>
      </c>
      <c r="BH232" s="526">
        <f t="shared" si="177"/>
        <v>0.51</v>
      </c>
      <c r="BI232" s="526">
        <f t="shared" si="177"/>
        <v>0.51</v>
      </c>
      <c r="BJ232" s="526">
        <f t="shared" si="177"/>
        <v>0.51</v>
      </c>
      <c r="BK232" s="526">
        <f t="shared" si="177"/>
        <v>0.51</v>
      </c>
      <c r="BL232" s="526">
        <f t="shared" si="177"/>
        <v>0.51</v>
      </c>
      <c r="BM232" s="526">
        <f t="shared" si="177"/>
        <v>0.51</v>
      </c>
      <c r="BN232" s="526">
        <f t="shared" si="177"/>
        <v>0.51</v>
      </c>
      <c r="BO232" s="526">
        <f t="shared" si="177"/>
        <v>0.51</v>
      </c>
      <c r="BP232" s="526">
        <f t="shared" si="177"/>
        <v>0.51</v>
      </c>
      <c r="BQ232" s="526">
        <f t="shared" si="177"/>
        <v>0.51</v>
      </c>
      <c r="BR232" s="526">
        <f t="shared" si="177"/>
        <v>0.51</v>
      </c>
      <c r="BS232" s="526">
        <f t="shared" si="177"/>
        <v>0.51</v>
      </c>
      <c r="BT232" s="526">
        <f t="shared" si="177"/>
        <v>0.51</v>
      </c>
      <c r="BU232" s="526">
        <f t="shared" si="177"/>
        <v>0.51</v>
      </c>
      <c r="BV232" s="526">
        <f t="shared" si="177"/>
        <v>0.51</v>
      </c>
      <c r="BW232" s="526">
        <f t="shared" si="177"/>
        <v>0.51</v>
      </c>
      <c r="BX232" s="526">
        <f t="shared" si="177"/>
        <v>0.51</v>
      </c>
      <c r="BY232" s="526">
        <f t="shared" si="177"/>
        <v>0.51</v>
      </c>
      <c r="BZ232" s="526">
        <f t="shared" si="177"/>
        <v>0.51</v>
      </c>
      <c r="CA232" s="526">
        <f t="shared" si="177"/>
        <v>0.51</v>
      </c>
      <c r="CB232" s="526">
        <f t="shared" si="177"/>
        <v>0.51</v>
      </c>
      <c r="CC232" s="526">
        <f t="shared" si="177"/>
        <v>0.51</v>
      </c>
      <c r="CD232" s="526">
        <f t="shared" si="177"/>
        <v>0.51</v>
      </c>
      <c r="CE232" s="526">
        <f t="shared" si="177"/>
        <v>0.51</v>
      </c>
      <c r="CG232" s="537">
        <v>0.51</v>
      </c>
      <c r="CH232" s="537">
        <v>0.51</v>
      </c>
      <c r="CI232" s="537">
        <v>0.51</v>
      </c>
      <c r="CJ232" s="537">
        <v>0.51</v>
      </c>
      <c r="CK232" s="537">
        <v>0.51</v>
      </c>
      <c r="CL232" s="537">
        <v>0.51</v>
      </c>
      <c r="CM232" s="537">
        <v>0.51</v>
      </c>
      <c r="CN232" s="537">
        <v>0.51</v>
      </c>
      <c r="CO232" s="537">
        <v>0.51</v>
      </c>
      <c r="CP232" s="537">
        <v>0.51</v>
      </c>
      <c r="CQ232" s="537">
        <v>0.51</v>
      </c>
      <c r="CR232" s="537">
        <v>0.51</v>
      </c>
      <c r="CS232" s="537">
        <v>0.51</v>
      </c>
      <c r="CT232" s="537">
        <v>0.51</v>
      </c>
      <c r="CU232" s="537">
        <v>0.51</v>
      </c>
      <c r="CV232" s="537">
        <v>0.51</v>
      </c>
      <c r="CW232" s="537">
        <v>0.51</v>
      </c>
      <c r="CX232" s="537">
        <v>0.51</v>
      </c>
      <c r="CY232" s="537">
        <v>0.51</v>
      </c>
      <c r="CZ232" s="537">
        <v>0.51</v>
      </c>
      <c r="DA232" s="537">
        <v>0.51</v>
      </c>
      <c r="DB232" s="537">
        <v>0.51</v>
      </c>
      <c r="DC232" s="537">
        <v>0.51</v>
      </c>
      <c r="DD232" s="537">
        <v>0.51</v>
      </c>
      <c r="DE232" s="537">
        <v>0.51</v>
      </c>
      <c r="DF232" s="537">
        <v>0.51</v>
      </c>
      <c r="DG232" s="537">
        <v>0.51</v>
      </c>
      <c r="DH232" s="537">
        <v>0.51</v>
      </c>
    </row>
    <row r="233" spans="2:112">
      <c r="B233" t="s">
        <v>1106</v>
      </c>
      <c r="C233" t="s">
        <v>771</v>
      </c>
      <c r="D233" t="s">
        <v>888</v>
      </c>
      <c r="E233" t="s">
        <v>178</v>
      </c>
      <c r="F233" s="537">
        <v>0.51</v>
      </c>
      <c r="G233" s="537">
        <v>0.51</v>
      </c>
      <c r="H233" s="537">
        <v>0.51</v>
      </c>
      <c r="I233" s="537">
        <v>0.51</v>
      </c>
      <c r="J233" s="537">
        <v>0.51</v>
      </c>
      <c r="K233" s="537">
        <v>0.51</v>
      </c>
      <c r="L233" s="537">
        <v>0.51</v>
      </c>
      <c r="M233" s="537">
        <v>0.51</v>
      </c>
      <c r="N233" s="537">
        <v>0.51</v>
      </c>
      <c r="O233" s="537">
        <v>0.51</v>
      </c>
      <c r="P233" s="537">
        <v>0.51</v>
      </c>
      <c r="Q233" s="537">
        <v>0.51</v>
      </c>
      <c r="R233" s="537">
        <v>0.51</v>
      </c>
      <c r="S233" s="537">
        <v>0.51</v>
      </c>
      <c r="T233" s="537">
        <v>0.51</v>
      </c>
      <c r="U233" s="537">
        <v>0.51</v>
      </c>
      <c r="V233" s="537">
        <v>0.51</v>
      </c>
      <c r="W233" s="537">
        <v>0.51</v>
      </c>
      <c r="X233" s="537">
        <v>0.51</v>
      </c>
      <c r="Y233" s="537">
        <v>0.51</v>
      </c>
      <c r="Z233" s="537">
        <v>0.51</v>
      </c>
      <c r="AA233" s="537">
        <v>0.51</v>
      </c>
      <c r="AB233" s="537">
        <v>0.51</v>
      </c>
      <c r="AC233" s="537">
        <v>0.51</v>
      </c>
      <c r="AD233" s="537">
        <v>0.51</v>
      </c>
      <c r="AE233" s="537">
        <v>0.51</v>
      </c>
      <c r="AF233" s="537">
        <v>0.51</v>
      </c>
      <c r="AG233" s="537">
        <v>0.51</v>
      </c>
      <c r="AH233" s="526">
        <f t="shared" si="178"/>
        <v>0.51</v>
      </c>
      <c r="AI233" s="526">
        <f t="shared" si="178"/>
        <v>0.51</v>
      </c>
      <c r="AJ233" s="526">
        <f t="shared" si="178"/>
        <v>0.51</v>
      </c>
      <c r="AK233" s="526">
        <f t="shared" si="178"/>
        <v>0.51</v>
      </c>
      <c r="AL233" s="526">
        <f t="shared" si="178"/>
        <v>0.51</v>
      </c>
      <c r="AM233" s="526">
        <f t="shared" si="178"/>
        <v>0.51</v>
      </c>
      <c r="AN233" s="526">
        <f t="shared" si="178"/>
        <v>0.51</v>
      </c>
      <c r="AO233" s="526">
        <f t="shared" si="178"/>
        <v>0.51</v>
      </c>
      <c r="AP233" s="526">
        <f t="shared" si="178"/>
        <v>0.51</v>
      </c>
      <c r="AQ233" s="526">
        <f t="shared" si="178"/>
        <v>0.51</v>
      </c>
      <c r="AR233" s="526">
        <f t="shared" si="178"/>
        <v>0.51</v>
      </c>
      <c r="AS233" s="526">
        <f t="shared" si="178"/>
        <v>0.51</v>
      </c>
      <c r="AT233" s="526">
        <f t="shared" si="178"/>
        <v>0.51</v>
      </c>
      <c r="AU233" s="526">
        <f t="shared" si="178"/>
        <v>0.51</v>
      </c>
      <c r="AV233" s="526">
        <f t="shared" si="178"/>
        <v>0.51</v>
      </c>
      <c r="AW233" s="526">
        <f t="shared" si="178"/>
        <v>0.51</v>
      </c>
      <c r="AX233" s="526">
        <f t="shared" si="177"/>
        <v>0.51</v>
      </c>
      <c r="AY233" s="526">
        <f t="shared" si="177"/>
        <v>0.51</v>
      </c>
      <c r="AZ233" s="526">
        <f t="shared" si="177"/>
        <v>0.51</v>
      </c>
      <c r="BA233" s="526">
        <f t="shared" si="177"/>
        <v>0.51</v>
      </c>
      <c r="BB233" s="526">
        <f t="shared" si="177"/>
        <v>0.51</v>
      </c>
      <c r="BC233" s="526">
        <f t="shared" si="177"/>
        <v>0.51</v>
      </c>
      <c r="BD233" s="526">
        <f t="shared" si="177"/>
        <v>0.51</v>
      </c>
      <c r="BE233" s="526">
        <f t="shared" si="177"/>
        <v>0.51</v>
      </c>
      <c r="BF233" s="526">
        <f t="shared" si="177"/>
        <v>0.51</v>
      </c>
      <c r="BG233" s="526">
        <f t="shared" si="177"/>
        <v>0.51</v>
      </c>
      <c r="BH233" s="526">
        <f t="shared" si="177"/>
        <v>0.51</v>
      </c>
      <c r="BI233" s="526">
        <f t="shared" si="177"/>
        <v>0.51</v>
      </c>
      <c r="BJ233" s="526">
        <f t="shared" si="177"/>
        <v>0.51</v>
      </c>
      <c r="BK233" s="526">
        <f t="shared" si="177"/>
        <v>0.51</v>
      </c>
      <c r="BL233" s="526">
        <f t="shared" si="177"/>
        <v>0.51</v>
      </c>
      <c r="BM233" s="526">
        <f t="shared" si="177"/>
        <v>0.51</v>
      </c>
      <c r="BN233" s="526">
        <f t="shared" si="177"/>
        <v>0.51</v>
      </c>
      <c r="BO233" s="526">
        <f t="shared" si="177"/>
        <v>0.51</v>
      </c>
      <c r="BP233" s="526">
        <f t="shared" si="177"/>
        <v>0.51</v>
      </c>
      <c r="BQ233" s="526">
        <f t="shared" si="177"/>
        <v>0.51</v>
      </c>
      <c r="BR233" s="526">
        <f t="shared" si="177"/>
        <v>0.51</v>
      </c>
      <c r="BS233" s="526">
        <f t="shared" si="177"/>
        <v>0.51</v>
      </c>
      <c r="BT233" s="526">
        <f t="shared" si="177"/>
        <v>0.51</v>
      </c>
      <c r="BU233" s="526">
        <f t="shared" si="177"/>
        <v>0.51</v>
      </c>
      <c r="BV233" s="526">
        <f t="shared" si="177"/>
        <v>0.51</v>
      </c>
      <c r="BW233" s="526">
        <f t="shared" si="177"/>
        <v>0.51</v>
      </c>
      <c r="BX233" s="526">
        <f t="shared" si="177"/>
        <v>0.51</v>
      </c>
      <c r="BY233" s="526">
        <f t="shared" si="177"/>
        <v>0.51</v>
      </c>
      <c r="BZ233" s="526">
        <f t="shared" si="177"/>
        <v>0.51</v>
      </c>
      <c r="CA233" s="526">
        <f t="shared" si="177"/>
        <v>0.51</v>
      </c>
      <c r="CB233" s="526">
        <f t="shared" si="177"/>
        <v>0.51</v>
      </c>
      <c r="CC233" s="526">
        <f t="shared" si="177"/>
        <v>0.51</v>
      </c>
      <c r="CD233" s="526">
        <f t="shared" si="177"/>
        <v>0.51</v>
      </c>
      <c r="CE233" s="526">
        <f t="shared" si="177"/>
        <v>0.51</v>
      </c>
      <c r="CG233" s="537">
        <v>0.51</v>
      </c>
      <c r="CH233" s="537">
        <v>0.51</v>
      </c>
      <c r="CI233" s="537">
        <v>0.51</v>
      </c>
      <c r="CJ233" s="537">
        <v>0.51</v>
      </c>
      <c r="CK233" s="537">
        <v>0.51</v>
      </c>
      <c r="CL233" s="537">
        <v>0.51</v>
      </c>
      <c r="CM233" s="537">
        <v>0.51</v>
      </c>
      <c r="CN233" s="537">
        <v>0.51</v>
      </c>
      <c r="CO233" s="537">
        <v>0.51</v>
      </c>
      <c r="CP233" s="537">
        <v>0.51</v>
      </c>
      <c r="CQ233" s="537">
        <v>0.51</v>
      </c>
      <c r="CR233" s="537">
        <v>0.51</v>
      </c>
      <c r="CS233" s="537">
        <v>0.51</v>
      </c>
      <c r="CT233" s="537">
        <v>0.51</v>
      </c>
      <c r="CU233" s="537">
        <v>0.51</v>
      </c>
      <c r="CV233" s="537">
        <v>0.51</v>
      </c>
      <c r="CW233" s="537">
        <v>0.51</v>
      </c>
      <c r="CX233" s="537">
        <v>0.51</v>
      </c>
      <c r="CY233" s="537">
        <v>0.51</v>
      </c>
      <c r="CZ233" s="537">
        <v>0.51</v>
      </c>
      <c r="DA233" s="537">
        <v>0.51</v>
      </c>
      <c r="DB233" s="537">
        <v>0.51</v>
      </c>
      <c r="DC233" s="537">
        <v>0.51</v>
      </c>
      <c r="DD233" s="537">
        <v>0.51</v>
      </c>
      <c r="DE233" s="537">
        <v>0.51</v>
      </c>
      <c r="DF233" s="537">
        <v>0.51</v>
      </c>
      <c r="DG233" s="537">
        <v>0.51</v>
      </c>
      <c r="DH233" s="537">
        <v>0.51</v>
      </c>
    </row>
    <row r="234" spans="2:112">
      <c r="B234" t="s">
        <v>1107</v>
      </c>
      <c r="C234" t="s">
        <v>771</v>
      </c>
      <c r="D234" t="s">
        <v>890</v>
      </c>
      <c r="E234" t="s">
        <v>178</v>
      </c>
      <c r="F234" s="537">
        <v>0.51</v>
      </c>
      <c r="G234" s="537">
        <v>0.51</v>
      </c>
      <c r="H234" s="537">
        <v>0.51</v>
      </c>
      <c r="I234" s="537">
        <v>0.51</v>
      </c>
      <c r="J234" s="537">
        <v>0.51</v>
      </c>
      <c r="K234" s="537">
        <v>0.51</v>
      </c>
      <c r="L234" s="537">
        <v>0.51</v>
      </c>
      <c r="M234" s="537">
        <v>0.51</v>
      </c>
      <c r="N234" s="537">
        <v>0.51</v>
      </c>
      <c r="O234" s="537">
        <v>0.51</v>
      </c>
      <c r="P234" s="537">
        <v>0.51</v>
      </c>
      <c r="Q234" s="537">
        <v>0.51</v>
      </c>
      <c r="R234" s="537">
        <v>0.51</v>
      </c>
      <c r="S234" s="537">
        <v>0.51</v>
      </c>
      <c r="T234" s="537">
        <v>0.51</v>
      </c>
      <c r="U234" s="537">
        <v>0.51</v>
      </c>
      <c r="V234" s="537">
        <v>0.51</v>
      </c>
      <c r="W234" s="537">
        <v>0.51</v>
      </c>
      <c r="X234" s="537">
        <v>0.51</v>
      </c>
      <c r="Y234" s="537">
        <v>0.51</v>
      </c>
      <c r="Z234" s="537">
        <v>0.51</v>
      </c>
      <c r="AA234" s="537">
        <v>0.51</v>
      </c>
      <c r="AB234" s="537">
        <v>0.51</v>
      </c>
      <c r="AC234" s="537">
        <v>0.51</v>
      </c>
      <c r="AD234" s="537">
        <v>0.51</v>
      </c>
      <c r="AE234" s="537">
        <v>0.51</v>
      </c>
      <c r="AF234" s="537">
        <v>0.51</v>
      </c>
      <c r="AG234" s="537">
        <v>0.51</v>
      </c>
      <c r="AH234" s="526">
        <f t="shared" si="178"/>
        <v>0.51</v>
      </c>
      <c r="AI234" s="526">
        <f t="shared" si="178"/>
        <v>0.51</v>
      </c>
      <c r="AJ234" s="526">
        <f t="shared" si="178"/>
        <v>0.51</v>
      </c>
      <c r="AK234" s="526">
        <f t="shared" si="178"/>
        <v>0.51</v>
      </c>
      <c r="AL234" s="526">
        <f t="shared" si="178"/>
        <v>0.51</v>
      </c>
      <c r="AM234" s="526">
        <f t="shared" si="178"/>
        <v>0.51</v>
      </c>
      <c r="AN234" s="526">
        <f t="shared" si="178"/>
        <v>0.51</v>
      </c>
      <c r="AO234" s="526">
        <f t="shared" si="178"/>
        <v>0.51</v>
      </c>
      <c r="AP234" s="526">
        <f t="shared" si="178"/>
        <v>0.51</v>
      </c>
      <c r="AQ234" s="526">
        <f t="shared" si="178"/>
        <v>0.51</v>
      </c>
      <c r="AR234" s="526">
        <f t="shared" si="178"/>
        <v>0.51</v>
      </c>
      <c r="AS234" s="526">
        <f t="shared" si="178"/>
        <v>0.51</v>
      </c>
      <c r="AT234" s="526">
        <f t="shared" si="178"/>
        <v>0.51</v>
      </c>
      <c r="AU234" s="526">
        <f t="shared" si="178"/>
        <v>0.51</v>
      </c>
      <c r="AV234" s="526">
        <f t="shared" si="178"/>
        <v>0.51</v>
      </c>
      <c r="AW234" s="526">
        <f t="shared" si="178"/>
        <v>0.51</v>
      </c>
      <c r="AX234" s="526">
        <f t="shared" si="177"/>
        <v>0.51</v>
      </c>
      <c r="AY234" s="526">
        <f t="shared" si="177"/>
        <v>0.51</v>
      </c>
      <c r="AZ234" s="526">
        <f t="shared" si="177"/>
        <v>0.51</v>
      </c>
      <c r="BA234" s="526">
        <f t="shared" si="177"/>
        <v>0.51</v>
      </c>
      <c r="BB234" s="526">
        <f t="shared" si="177"/>
        <v>0.51</v>
      </c>
      <c r="BC234" s="526">
        <f t="shared" si="177"/>
        <v>0.51</v>
      </c>
      <c r="BD234" s="526">
        <f t="shared" si="177"/>
        <v>0.51</v>
      </c>
      <c r="BE234" s="526">
        <f t="shared" si="177"/>
        <v>0.51</v>
      </c>
      <c r="BF234" s="526">
        <f t="shared" si="177"/>
        <v>0.51</v>
      </c>
      <c r="BG234" s="526">
        <f t="shared" si="177"/>
        <v>0.51</v>
      </c>
      <c r="BH234" s="526">
        <f t="shared" si="177"/>
        <v>0.51</v>
      </c>
      <c r="BI234" s="526">
        <f t="shared" si="177"/>
        <v>0.51</v>
      </c>
      <c r="BJ234" s="526">
        <f t="shared" si="177"/>
        <v>0.51</v>
      </c>
      <c r="BK234" s="526">
        <f t="shared" si="177"/>
        <v>0.51</v>
      </c>
      <c r="BL234" s="526">
        <f t="shared" si="177"/>
        <v>0.51</v>
      </c>
      <c r="BM234" s="526">
        <f t="shared" si="177"/>
        <v>0.51</v>
      </c>
      <c r="BN234" s="526">
        <f t="shared" si="177"/>
        <v>0.51</v>
      </c>
      <c r="BO234" s="526">
        <f t="shared" si="177"/>
        <v>0.51</v>
      </c>
      <c r="BP234" s="526">
        <f t="shared" si="177"/>
        <v>0.51</v>
      </c>
      <c r="BQ234" s="526">
        <f t="shared" si="177"/>
        <v>0.51</v>
      </c>
      <c r="BR234" s="526">
        <f t="shared" si="177"/>
        <v>0.51</v>
      </c>
      <c r="BS234" s="526">
        <f t="shared" si="177"/>
        <v>0.51</v>
      </c>
      <c r="BT234" s="526">
        <f t="shared" si="177"/>
        <v>0.51</v>
      </c>
      <c r="BU234" s="526">
        <f t="shared" si="177"/>
        <v>0.51</v>
      </c>
      <c r="BV234" s="526">
        <f t="shared" si="177"/>
        <v>0.51</v>
      </c>
      <c r="BW234" s="526">
        <f t="shared" si="177"/>
        <v>0.51</v>
      </c>
      <c r="BX234" s="526">
        <f t="shared" si="177"/>
        <v>0.51</v>
      </c>
      <c r="BY234" s="526">
        <f t="shared" si="177"/>
        <v>0.51</v>
      </c>
      <c r="BZ234" s="526">
        <f t="shared" si="177"/>
        <v>0.51</v>
      </c>
      <c r="CA234" s="526">
        <f t="shared" si="177"/>
        <v>0.51</v>
      </c>
      <c r="CB234" s="526">
        <f t="shared" si="177"/>
        <v>0.51</v>
      </c>
      <c r="CC234" s="526">
        <f t="shared" si="177"/>
        <v>0.51</v>
      </c>
      <c r="CD234" s="526">
        <f t="shared" si="177"/>
        <v>0.51</v>
      </c>
      <c r="CE234" s="526">
        <f t="shared" si="177"/>
        <v>0.51</v>
      </c>
      <c r="CG234" s="537">
        <v>0.51</v>
      </c>
      <c r="CH234" s="537">
        <v>0.51</v>
      </c>
      <c r="CI234" s="537">
        <v>0.51</v>
      </c>
      <c r="CJ234" s="537">
        <v>0.51</v>
      </c>
      <c r="CK234" s="537">
        <v>0.51</v>
      </c>
      <c r="CL234" s="537">
        <v>0.51</v>
      </c>
      <c r="CM234" s="537">
        <v>0.51</v>
      </c>
      <c r="CN234" s="537">
        <v>0.51</v>
      </c>
      <c r="CO234" s="537">
        <v>0.51</v>
      </c>
      <c r="CP234" s="537">
        <v>0.51</v>
      </c>
      <c r="CQ234" s="537">
        <v>0.51</v>
      </c>
      <c r="CR234" s="537">
        <v>0.51</v>
      </c>
      <c r="CS234" s="537">
        <v>0.51</v>
      </c>
      <c r="CT234" s="537">
        <v>0.51</v>
      </c>
      <c r="CU234" s="537">
        <v>0.51</v>
      </c>
      <c r="CV234" s="537">
        <v>0.51</v>
      </c>
      <c r="CW234" s="537">
        <v>0.51</v>
      </c>
      <c r="CX234" s="537">
        <v>0.51</v>
      </c>
      <c r="CY234" s="537">
        <v>0.51</v>
      </c>
      <c r="CZ234" s="537">
        <v>0.51</v>
      </c>
      <c r="DA234" s="537">
        <v>0.51</v>
      </c>
      <c r="DB234" s="537">
        <v>0.51</v>
      </c>
      <c r="DC234" s="537">
        <v>0.51</v>
      </c>
      <c r="DD234" s="537">
        <v>0.51</v>
      </c>
      <c r="DE234" s="537">
        <v>0.51</v>
      </c>
      <c r="DF234" s="537">
        <v>0.51</v>
      </c>
      <c r="DG234" s="537">
        <v>0.51</v>
      </c>
      <c r="DH234" s="537">
        <v>0.51</v>
      </c>
    </row>
    <row r="235" spans="2:112">
      <c r="B235" t="s">
        <v>1108</v>
      </c>
      <c r="C235" t="s">
        <v>771</v>
      </c>
      <c r="D235" t="s">
        <v>892</v>
      </c>
      <c r="E235" t="s">
        <v>178</v>
      </c>
      <c r="F235" s="537">
        <v>0.51</v>
      </c>
      <c r="G235" s="537">
        <v>0.51</v>
      </c>
      <c r="H235" s="537">
        <v>0.51</v>
      </c>
      <c r="I235" s="537">
        <v>0.51</v>
      </c>
      <c r="J235" s="537">
        <v>0.51</v>
      </c>
      <c r="K235" s="537">
        <v>0.51</v>
      </c>
      <c r="L235" s="537">
        <v>0.51</v>
      </c>
      <c r="M235" s="537">
        <v>0.51</v>
      </c>
      <c r="N235" s="537">
        <v>0.51</v>
      </c>
      <c r="O235" s="537">
        <v>0.51</v>
      </c>
      <c r="P235" s="537">
        <v>0.51</v>
      </c>
      <c r="Q235" s="537">
        <v>0.51</v>
      </c>
      <c r="R235" s="537">
        <v>0.51</v>
      </c>
      <c r="S235" s="537">
        <v>0.51</v>
      </c>
      <c r="T235" s="537">
        <v>0.51</v>
      </c>
      <c r="U235" s="537">
        <v>0.51</v>
      </c>
      <c r="V235" s="537">
        <v>0.51</v>
      </c>
      <c r="W235" s="537">
        <v>0.51</v>
      </c>
      <c r="X235" s="537">
        <v>0.51</v>
      </c>
      <c r="Y235" s="537">
        <v>0.51</v>
      </c>
      <c r="Z235" s="537">
        <v>0.51</v>
      </c>
      <c r="AA235" s="537">
        <v>0.51</v>
      </c>
      <c r="AB235" s="537">
        <v>0.51</v>
      </c>
      <c r="AC235" s="537">
        <v>0.51</v>
      </c>
      <c r="AD235" s="537">
        <v>0.51</v>
      </c>
      <c r="AE235" s="537">
        <v>0.51</v>
      </c>
      <c r="AF235" s="537">
        <v>0.51</v>
      </c>
      <c r="AG235" s="537">
        <v>0.51</v>
      </c>
      <c r="AH235" s="526">
        <f t="shared" si="178"/>
        <v>0.51</v>
      </c>
      <c r="AI235" s="526">
        <f t="shared" si="178"/>
        <v>0.51</v>
      </c>
      <c r="AJ235" s="526">
        <f t="shared" si="178"/>
        <v>0.51</v>
      </c>
      <c r="AK235" s="526">
        <f t="shared" si="178"/>
        <v>0.51</v>
      </c>
      <c r="AL235" s="526">
        <f t="shared" si="178"/>
        <v>0.51</v>
      </c>
      <c r="AM235" s="526">
        <f t="shared" si="178"/>
        <v>0.51</v>
      </c>
      <c r="AN235" s="526">
        <f t="shared" si="178"/>
        <v>0.51</v>
      </c>
      <c r="AO235" s="526">
        <f t="shared" si="178"/>
        <v>0.51</v>
      </c>
      <c r="AP235" s="526">
        <f t="shared" si="178"/>
        <v>0.51</v>
      </c>
      <c r="AQ235" s="526">
        <f t="shared" si="178"/>
        <v>0.51</v>
      </c>
      <c r="AR235" s="526">
        <f t="shared" si="178"/>
        <v>0.51</v>
      </c>
      <c r="AS235" s="526">
        <f t="shared" si="178"/>
        <v>0.51</v>
      </c>
      <c r="AT235" s="526">
        <f t="shared" si="178"/>
        <v>0.51</v>
      </c>
      <c r="AU235" s="526">
        <f t="shared" si="178"/>
        <v>0.51</v>
      </c>
      <c r="AV235" s="526">
        <f t="shared" si="178"/>
        <v>0.51</v>
      </c>
      <c r="AW235" s="526">
        <f t="shared" si="178"/>
        <v>0.51</v>
      </c>
      <c r="AX235" s="526">
        <f t="shared" si="177"/>
        <v>0.51</v>
      </c>
      <c r="AY235" s="526">
        <f t="shared" si="177"/>
        <v>0.51</v>
      </c>
      <c r="AZ235" s="526">
        <f t="shared" si="177"/>
        <v>0.51</v>
      </c>
      <c r="BA235" s="526">
        <f t="shared" si="177"/>
        <v>0.51</v>
      </c>
      <c r="BB235" s="526">
        <f t="shared" si="177"/>
        <v>0.51</v>
      </c>
      <c r="BC235" s="526">
        <f t="shared" si="177"/>
        <v>0.51</v>
      </c>
      <c r="BD235" s="526">
        <f t="shared" si="177"/>
        <v>0.51</v>
      </c>
      <c r="BE235" s="526">
        <f t="shared" si="177"/>
        <v>0.51</v>
      </c>
      <c r="BF235" s="526">
        <f t="shared" si="177"/>
        <v>0.51</v>
      </c>
      <c r="BG235" s="526">
        <f t="shared" si="177"/>
        <v>0.51</v>
      </c>
      <c r="BH235" s="526">
        <f t="shared" si="177"/>
        <v>0.51</v>
      </c>
      <c r="BI235" s="526">
        <f t="shared" si="177"/>
        <v>0.51</v>
      </c>
      <c r="BJ235" s="526">
        <f t="shared" si="177"/>
        <v>0.51</v>
      </c>
      <c r="BK235" s="526">
        <f t="shared" si="177"/>
        <v>0.51</v>
      </c>
      <c r="BL235" s="526">
        <f t="shared" si="177"/>
        <v>0.51</v>
      </c>
      <c r="BM235" s="526">
        <f t="shared" si="177"/>
        <v>0.51</v>
      </c>
      <c r="BN235" s="526">
        <f t="shared" si="177"/>
        <v>0.51</v>
      </c>
      <c r="BO235" s="526">
        <f t="shared" si="177"/>
        <v>0.51</v>
      </c>
      <c r="BP235" s="526">
        <f t="shared" si="177"/>
        <v>0.51</v>
      </c>
      <c r="BQ235" s="526">
        <f t="shared" si="177"/>
        <v>0.51</v>
      </c>
      <c r="BR235" s="526">
        <f t="shared" si="177"/>
        <v>0.51</v>
      </c>
      <c r="BS235" s="526">
        <f t="shared" si="177"/>
        <v>0.51</v>
      </c>
      <c r="BT235" s="526">
        <f t="shared" si="177"/>
        <v>0.51</v>
      </c>
      <c r="BU235" s="526">
        <f t="shared" si="177"/>
        <v>0.51</v>
      </c>
      <c r="BV235" s="526">
        <f t="shared" si="177"/>
        <v>0.51</v>
      </c>
      <c r="BW235" s="526">
        <f t="shared" si="177"/>
        <v>0.51</v>
      </c>
      <c r="BX235" s="526">
        <f t="shared" si="177"/>
        <v>0.51</v>
      </c>
      <c r="BY235" s="526">
        <f t="shared" si="177"/>
        <v>0.51</v>
      </c>
      <c r="BZ235" s="526">
        <f t="shared" si="177"/>
        <v>0.51</v>
      </c>
      <c r="CA235" s="526">
        <f t="shared" si="177"/>
        <v>0.51</v>
      </c>
      <c r="CB235" s="526">
        <f t="shared" si="177"/>
        <v>0.51</v>
      </c>
      <c r="CC235" s="526">
        <f t="shared" si="177"/>
        <v>0.51</v>
      </c>
      <c r="CD235" s="526">
        <f t="shared" si="177"/>
        <v>0.51</v>
      </c>
      <c r="CE235" s="526">
        <f t="shared" si="177"/>
        <v>0.51</v>
      </c>
      <c r="CG235" s="537">
        <v>0.51</v>
      </c>
      <c r="CH235" s="537">
        <v>0.51</v>
      </c>
      <c r="CI235" s="537">
        <v>0.51</v>
      </c>
      <c r="CJ235" s="537">
        <v>0.51</v>
      </c>
      <c r="CK235" s="537">
        <v>0.51</v>
      </c>
      <c r="CL235" s="537">
        <v>0.51</v>
      </c>
      <c r="CM235" s="537">
        <v>0.51</v>
      </c>
      <c r="CN235" s="537">
        <v>0.51</v>
      </c>
      <c r="CO235" s="537">
        <v>0.51</v>
      </c>
      <c r="CP235" s="537">
        <v>0.51</v>
      </c>
      <c r="CQ235" s="537">
        <v>0.51</v>
      </c>
      <c r="CR235" s="537">
        <v>0.51</v>
      </c>
      <c r="CS235" s="537">
        <v>0.51</v>
      </c>
      <c r="CT235" s="537">
        <v>0.51</v>
      </c>
      <c r="CU235" s="537">
        <v>0.51</v>
      </c>
      <c r="CV235" s="537">
        <v>0.51</v>
      </c>
      <c r="CW235" s="537">
        <v>0.51</v>
      </c>
      <c r="CX235" s="537">
        <v>0.51</v>
      </c>
      <c r="CY235" s="537">
        <v>0.51</v>
      </c>
      <c r="CZ235" s="537">
        <v>0.51</v>
      </c>
      <c r="DA235" s="537">
        <v>0.51</v>
      </c>
      <c r="DB235" s="537">
        <v>0.51</v>
      </c>
      <c r="DC235" s="537">
        <v>0.51</v>
      </c>
      <c r="DD235" s="537">
        <v>0.51</v>
      </c>
      <c r="DE235" s="537">
        <v>0.51</v>
      </c>
      <c r="DF235" s="537">
        <v>0.51</v>
      </c>
      <c r="DG235" s="537">
        <v>0.51</v>
      </c>
      <c r="DH235" s="537">
        <v>0.51</v>
      </c>
    </row>
    <row r="236" spans="2:112">
      <c r="B236" t="s">
        <v>1109</v>
      </c>
      <c r="C236" t="s">
        <v>771</v>
      </c>
      <c r="D236" t="s">
        <v>894</v>
      </c>
      <c r="E236" t="s">
        <v>895</v>
      </c>
      <c r="F236" s="537">
        <v>0</v>
      </c>
      <c r="G236" s="537">
        <v>0</v>
      </c>
      <c r="H236" s="537">
        <v>0</v>
      </c>
      <c r="I236" s="537">
        <v>0</v>
      </c>
      <c r="J236" s="537">
        <v>0</v>
      </c>
      <c r="K236" s="537">
        <v>0</v>
      </c>
      <c r="L236" s="537">
        <v>0</v>
      </c>
      <c r="M236" s="537">
        <v>0</v>
      </c>
      <c r="N236" s="537">
        <v>0</v>
      </c>
      <c r="O236" s="537">
        <v>0</v>
      </c>
      <c r="P236" s="537">
        <v>0</v>
      </c>
      <c r="Q236" s="537">
        <v>0</v>
      </c>
      <c r="R236" s="537">
        <v>0</v>
      </c>
      <c r="S236" s="537">
        <v>0</v>
      </c>
      <c r="T236" s="537">
        <v>0</v>
      </c>
      <c r="U236" s="537">
        <v>0</v>
      </c>
      <c r="V236" s="537">
        <v>0</v>
      </c>
      <c r="W236" s="537">
        <v>0</v>
      </c>
      <c r="X236" s="537">
        <v>0</v>
      </c>
      <c r="Y236" s="537">
        <v>0</v>
      </c>
      <c r="Z236" s="537">
        <v>0</v>
      </c>
      <c r="AA236" s="537">
        <v>0</v>
      </c>
      <c r="AB236" s="537">
        <v>0</v>
      </c>
      <c r="AC236" s="537">
        <v>0</v>
      </c>
      <c r="AD236" s="537">
        <v>0</v>
      </c>
      <c r="AE236" s="537">
        <v>0</v>
      </c>
      <c r="AF236" s="537">
        <v>0</v>
      </c>
      <c r="AG236" s="537">
        <v>0</v>
      </c>
      <c r="AH236" s="538">
        <f t="shared" si="178"/>
        <v>0</v>
      </c>
      <c r="AI236" s="538">
        <f t="shared" si="178"/>
        <v>0</v>
      </c>
      <c r="AJ236" s="538">
        <f t="shared" si="178"/>
        <v>0</v>
      </c>
      <c r="AK236" s="538">
        <f t="shared" si="178"/>
        <v>0</v>
      </c>
      <c r="AL236" s="538">
        <f t="shared" si="178"/>
        <v>0</v>
      </c>
      <c r="AM236" s="538">
        <f t="shared" si="178"/>
        <v>0</v>
      </c>
      <c r="AN236" s="538">
        <f t="shared" si="178"/>
        <v>0</v>
      </c>
      <c r="AO236" s="538">
        <f t="shared" si="178"/>
        <v>0</v>
      </c>
      <c r="AP236" s="538">
        <f t="shared" si="178"/>
        <v>0</v>
      </c>
      <c r="AQ236" s="538">
        <f t="shared" si="178"/>
        <v>0</v>
      </c>
      <c r="AR236" s="538">
        <f t="shared" si="178"/>
        <v>0</v>
      </c>
      <c r="AS236" s="538">
        <f t="shared" si="178"/>
        <v>0</v>
      </c>
      <c r="AT236" s="538">
        <f t="shared" si="178"/>
        <v>0</v>
      </c>
      <c r="AU236" s="538">
        <f t="shared" si="178"/>
        <v>0</v>
      </c>
      <c r="AV236" s="538">
        <f t="shared" si="178"/>
        <v>0</v>
      </c>
      <c r="AW236" s="538">
        <f t="shared" si="178"/>
        <v>0</v>
      </c>
      <c r="AX236" s="538">
        <f t="shared" si="177"/>
        <v>0</v>
      </c>
      <c r="AY236" s="538">
        <f t="shared" si="177"/>
        <v>0</v>
      </c>
      <c r="AZ236" s="538">
        <f t="shared" si="177"/>
        <v>0</v>
      </c>
      <c r="BA236" s="538">
        <f t="shared" si="177"/>
        <v>0</v>
      </c>
      <c r="BB236" s="538">
        <f t="shared" si="177"/>
        <v>0</v>
      </c>
      <c r="BC236" s="538">
        <f t="shared" si="177"/>
        <v>0</v>
      </c>
      <c r="BD236" s="538">
        <f t="shared" si="177"/>
        <v>0</v>
      </c>
      <c r="BE236" s="538">
        <f t="shared" si="177"/>
        <v>0</v>
      </c>
      <c r="BF236" s="538">
        <f t="shared" si="177"/>
        <v>0</v>
      </c>
      <c r="BG236" s="538">
        <f t="shared" si="177"/>
        <v>0</v>
      </c>
      <c r="BH236" s="538">
        <f t="shared" si="177"/>
        <v>0</v>
      </c>
      <c r="BI236" s="538">
        <f t="shared" si="177"/>
        <v>0</v>
      </c>
      <c r="BJ236" s="538">
        <f t="shared" si="177"/>
        <v>0</v>
      </c>
      <c r="BK236" s="538">
        <f t="shared" si="177"/>
        <v>0</v>
      </c>
      <c r="BL236" s="538">
        <f t="shared" si="177"/>
        <v>0</v>
      </c>
      <c r="BM236" s="538">
        <f t="shared" si="177"/>
        <v>0</v>
      </c>
      <c r="BN236" s="538">
        <f t="shared" si="177"/>
        <v>0</v>
      </c>
      <c r="BO236" s="538">
        <f t="shared" si="177"/>
        <v>0</v>
      </c>
      <c r="BP236" s="538">
        <f t="shared" si="177"/>
        <v>0</v>
      </c>
      <c r="BQ236" s="538">
        <f t="shared" si="177"/>
        <v>0</v>
      </c>
      <c r="BR236" s="538">
        <f t="shared" si="177"/>
        <v>0</v>
      </c>
      <c r="BS236" s="538">
        <f t="shared" si="177"/>
        <v>0</v>
      </c>
      <c r="BT236" s="538">
        <f t="shared" si="177"/>
        <v>0</v>
      </c>
      <c r="BU236" s="538">
        <f t="shared" si="177"/>
        <v>0</v>
      </c>
      <c r="BV236" s="538">
        <f t="shared" si="177"/>
        <v>0</v>
      </c>
      <c r="BW236" s="538">
        <f t="shared" si="177"/>
        <v>0</v>
      </c>
      <c r="BX236" s="538">
        <f t="shared" si="177"/>
        <v>0</v>
      </c>
      <c r="BY236" s="538">
        <f t="shared" si="177"/>
        <v>0</v>
      </c>
      <c r="BZ236" s="538">
        <f t="shared" si="177"/>
        <v>0</v>
      </c>
      <c r="CA236" s="538">
        <f t="shared" si="177"/>
        <v>0</v>
      </c>
      <c r="CB236" s="538">
        <f t="shared" si="177"/>
        <v>0</v>
      </c>
      <c r="CC236" s="538">
        <f t="shared" si="177"/>
        <v>0</v>
      </c>
      <c r="CD236" s="538">
        <f t="shared" si="177"/>
        <v>0</v>
      </c>
      <c r="CE236" s="538">
        <f t="shared" si="177"/>
        <v>0</v>
      </c>
      <c r="CG236" s="537">
        <v>0</v>
      </c>
      <c r="CH236" s="537">
        <v>0</v>
      </c>
      <c r="CI236" s="537">
        <v>0</v>
      </c>
      <c r="CJ236" s="537">
        <v>0</v>
      </c>
      <c r="CK236" s="537">
        <v>0</v>
      </c>
      <c r="CL236" s="537">
        <v>0</v>
      </c>
      <c r="CM236" s="537">
        <v>0</v>
      </c>
      <c r="CN236" s="537">
        <v>0</v>
      </c>
      <c r="CO236" s="537">
        <v>0</v>
      </c>
      <c r="CP236" s="537">
        <v>0</v>
      </c>
      <c r="CQ236" s="537">
        <v>0</v>
      </c>
      <c r="CR236" s="537">
        <v>0</v>
      </c>
      <c r="CS236" s="537">
        <v>0</v>
      </c>
      <c r="CT236" s="537">
        <v>0</v>
      </c>
      <c r="CU236" s="537">
        <v>0</v>
      </c>
      <c r="CV236" s="537">
        <v>0</v>
      </c>
      <c r="CW236" s="537">
        <v>0</v>
      </c>
      <c r="CX236" s="537">
        <v>0</v>
      </c>
      <c r="CY236" s="537">
        <v>0</v>
      </c>
      <c r="CZ236" s="537">
        <v>0</v>
      </c>
      <c r="DA236" s="537">
        <v>0</v>
      </c>
      <c r="DB236" s="537">
        <v>0</v>
      </c>
      <c r="DC236" s="537">
        <v>0</v>
      </c>
      <c r="DD236" s="537">
        <v>0</v>
      </c>
      <c r="DE236" s="537">
        <v>0</v>
      </c>
      <c r="DF236" s="537">
        <v>0</v>
      </c>
      <c r="DG236" s="537">
        <v>0</v>
      </c>
      <c r="DH236" s="537">
        <v>0</v>
      </c>
    </row>
    <row r="237" spans="2:112">
      <c r="B237" t="s">
        <v>1110</v>
      </c>
      <c r="C237" t="s">
        <v>771</v>
      </c>
      <c r="D237" t="s">
        <v>897</v>
      </c>
      <c r="E237" t="s">
        <v>895</v>
      </c>
      <c r="F237" s="537">
        <v>0.01</v>
      </c>
      <c r="G237" s="537">
        <v>0.01</v>
      </c>
      <c r="H237" s="537">
        <v>0.01</v>
      </c>
      <c r="I237" s="537">
        <v>0.01</v>
      </c>
      <c r="J237" s="537">
        <v>0.01</v>
      </c>
      <c r="K237" s="537">
        <v>0.01</v>
      </c>
      <c r="L237" s="537">
        <v>0.01</v>
      </c>
      <c r="M237" s="537">
        <v>0.01</v>
      </c>
      <c r="N237" s="537">
        <v>0.01</v>
      </c>
      <c r="O237" s="537">
        <v>0.01</v>
      </c>
      <c r="P237" s="537">
        <v>0.01</v>
      </c>
      <c r="Q237" s="537">
        <v>0.01</v>
      </c>
      <c r="R237" s="537">
        <v>0.01</v>
      </c>
      <c r="S237" s="537">
        <v>0.01</v>
      </c>
      <c r="T237" s="537">
        <v>0.01</v>
      </c>
      <c r="U237" s="537">
        <v>0.01</v>
      </c>
      <c r="V237" s="537">
        <v>0.01</v>
      </c>
      <c r="W237" s="537">
        <v>0.01</v>
      </c>
      <c r="X237" s="537">
        <v>0.01</v>
      </c>
      <c r="Y237" s="537">
        <v>0.01</v>
      </c>
      <c r="Z237" s="537">
        <v>0.01</v>
      </c>
      <c r="AA237" s="537">
        <v>0.01</v>
      </c>
      <c r="AB237" s="537">
        <v>0.01</v>
      </c>
      <c r="AC237" s="537">
        <v>0.01</v>
      </c>
      <c r="AD237" s="537">
        <v>0.01</v>
      </c>
      <c r="AE237" s="537">
        <v>0.01</v>
      </c>
      <c r="AF237" s="537">
        <v>0.01</v>
      </c>
      <c r="AG237" s="537">
        <v>0.01</v>
      </c>
      <c r="AH237" s="538">
        <f t="shared" si="178"/>
        <v>0.01</v>
      </c>
      <c r="AI237" s="538">
        <f t="shared" si="178"/>
        <v>0.01</v>
      </c>
      <c r="AJ237" s="538">
        <f t="shared" si="178"/>
        <v>0.01</v>
      </c>
      <c r="AK237" s="538">
        <f t="shared" si="178"/>
        <v>0.01</v>
      </c>
      <c r="AL237" s="538">
        <f t="shared" si="178"/>
        <v>0.01</v>
      </c>
      <c r="AM237" s="538">
        <f t="shared" si="178"/>
        <v>0.01</v>
      </c>
      <c r="AN237" s="538">
        <f t="shared" si="178"/>
        <v>0.01</v>
      </c>
      <c r="AO237" s="538">
        <f t="shared" si="178"/>
        <v>0.01</v>
      </c>
      <c r="AP237" s="538">
        <f t="shared" si="178"/>
        <v>0.01</v>
      </c>
      <c r="AQ237" s="538">
        <f t="shared" si="178"/>
        <v>0.01</v>
      </c>
      <c r="AR237" s="538">
        <f t="shared" si="178"/>
        <v>0.01</v>
      </c>
      <c r="AS237" s="538">
        <f t="shared" si="178"/>
        <v>0.01</v>
      </c>
      <c r="AT237" s="538">
        <f t="shared" si="178"/>
        <v>0.01</v>
      </c>
      <c r="AU237" s="538">
        <f t="shared" si="178"/>
        <v>0.01</v>
      </c>
      <c r="AV237" s="538">
        <f t="shared" si="178"/>
        <v>0.01</v>
      </c>
      <c r="AW237" s="538">
        <f t="shared" si="178"/>
        <v>0.01</v>
      </c>
      <c r="AX237" s="538">
        <f t="shared" si="177"/>
        <v>0.01</v>
      </c>
      <c r="AY237" s="538">
        <f t="shared" si="177"/>
        <v>0.01</v>
      </c>
      <c r="AZ237" s="538">
        <f t="shared" si="177"/>
        <v>0.01</v>
      </c>
      <c r="BA237" s="538">
        <f t="shared" si="177"/>
        <v>0.01</v>
      </c>
      <c r="BB237" s="538">
        <f t="shared" si="177"/>
        <v>0.01</v>
      </c>
      <c r="BC237" s="538">
        <f t="shared" si="177"/>
        <v>0.01</v>
      </c>
      <c r="BD237" s="538">
        <f t="shared" si="177"/>
        <v>0.01</v>
      </c>
      <c r="BE237" s="538">
        <f t="shared" si="177"/>
        <v>0.01</v>
      </c>
      <c r="BF237" s="538">
        <f t="shared" si="177"/>
        <v>0.01</v>
      </c>
      <c r="BG237" s="538">
        <f t="shared" si="177"/>
        <v>0.01</v>
      </c>
      <c r="BH237" s="538">
        <f t="shared" si="177"/>
        <v>0.01</v>
      </c>
      <c r="BI237" s="538">
        <f t="shared" si="177"/>
        <v>0.01</v>
      </c>
      <c r="BJ237" s="538">
        <f t="shared" si="177"/>
        <v>0.01</v>
      </c>
      <c r="BK237" s="538">
        <f t="shared" si="177"/>
        <v>0.01</v>
      </c>
      <c r="BL237" s="538">
        <f t="shared" si="177"/>
        <v>0.01</v>
      </c>
      <c r="BM237" s="538">
        <f t="shared" si="177"/>
        <v>0.01</v>
      </c>
      <c r="BN237" s="538">
        <f t="shared" ref="BN237:CC239" si="179">BM237</f>
        <v>0.01</v>
      </c>
      <c r="BO237" s="538">
        <f t="shared" si="179"/>
        <v>0.01</v>
      </c>
      <c r="BP237" s="538">
        <f t="shared" si="179"/>
        <v>0.01</v>
      </c>
      <c r="BQ237" s="538">
        <f t="shared" si="179"/>
        <v>0.01</v>
      </c>
      <c r="BR237" s="538">
        <f t="shared" si="179"/>
        <v>0.01</v>
      </c>
      <c r="BS237" s="538">
        <f t="shared" si="179"/>
        <v>0.01</v>
      </c>
      <c r="BT237" s="538">
        <f t="shared" si="179"/>
        <v>0.01</v>
      </c>
      <c r="BU237" s="538">
        <f t="shared" si="179"/>
        <v>0.01</v>
      </c>
      <c r="BV237" s="538">
        <f t="shared" si="179"/>
        <v>0.01</v>
      </c>
      <c r="BW237" s="538">
        <f t="shared" si="179"/>
        <v>0.01</v>
      </c>
      <c r="BX237" s="538">
        <f t="shared" si="179"/>
        <v>0.01</v>
      </c>
      <c r="BY237" s="538">
        <f t="shared" si="179"/>
        <v>0.01</v>
      </c>
      <c r="BZ237" s="538">
        <f t="shared" si="179"/>
        <v>0.01</v>
      </c>
      <c r="CA237" s="538">
        <f t="shared" si="179"/>
        <v>0.01</v>
      </c>
      <c r="CB237" s="538">
        <f t="shared" si="179"/>
        <v>0.01</v>
      </c>
      <c r="CC237" s="538">
        <f t="shared" si="179"/>
        <v>0.01</v>
      </c>
      <c r="CD237" s="538">
        <f t="shared" ref="CD237:CE239" si="180">CC237</f>
        <v>0.01</v>
      </c>
      <c r="CE237" s="538">
        <f t="shared" si="180"/>
        <v>0.01</v>
      </c>
      <c r="CG237" s="537">
        <v>0.01</v>
      </c>
      <c r="CH237" s="537">
        <v>0.01</v>
      </c>
      <c r="CI237" s="537">
        <v>0.01</v>
      </c>
      <c r="CJ237" s="537">
        <v>0.01</v>
      </c>
      <c r="CK237" s="537">
        <v>0.01</v>
      </c>
      <c r="CL237" s="537">
        <v>0.01</v>
      </c>
      <c r="CM237" s="537">
        <v>0.01</v>
      </c>
      <c r="CN237" s="537">
        <v>0.01</v>
      </c>
      <c r="CO237" s="537">
        <v>0.01</v>
      </c>
      <c r="CP237" s="537">
        <v>0.01</v>
      </c>
      <c r="CQ237" s="537">
        <v>0.01</v>
      </c>
      <c r="CR237" s="537">
        <v>0.01</v>
      </c>
      <c r="CS237" s="537">
        <v>0.01</v>
      </c>
      <c r="CT237" s="537">
        <v>0.01</v>
      </c>
      <c r="CU237" s="537">
        <v>0.01</v>
      </c>
      <c r="CV237" s="537">
        <v>0.01</v>
      </c>
      <c r="CW237" s="537">
        <v>0.01</v>
      </c>
      <c r="CX237" s="537">
        <v>0.01</v>
      </c>
      <c r="CY237" s="537">
        <v>0.01</v>
      </c>
      <c r="CZ237" s="537">
        <v>0.01</v>
      </c>
      <c r="DA237" s="537">
        <v>0.01</v>
      </c>
      <c r="DB237" s="537">
        <v>0.01</v>
      </c>
      <c r="DC237" s="537">
        <v>0.01</v>
      </c>
      <c r="DD237" s="537">
        <v>0.01</v>
      </c>
      <c r="DE237" s="537">
        <v>0.01</v>
      </c>
      <c r="DF237" s="537">
        <v>0.01</v>
      </c>
      <c r="DG237" s="537">
        <v>0.01</v>
      </c>
      <c r="DH237" s="537">
        <v>0.01</v>
      </c>
    </row>
    <row r="238" spans="2:112">
      <c r="B238" t="s">
        <v>1111</v>
      </c>
      <c r="C238" t="s">
        <v>771</v>
      </c>
      <c r="D238" t="s">
        <v>899</v>
      </c>
      <c r="E238" t="s">
        <v>895</v>
      </c>
      <c r="F238" s="537">
        <v>0.05</v>
      </c>
      <c r="G238" s="537">
        <v>0.05</v>
      </c>
      <c r="H238" s="537">
        <v>0.05</v>
      </c>
      <c r="I238" s="537">
        <v>0.05</v>
      </c>
      <c r="J238" s="537">
        <v>0.05</v>
      </c>
      <c r="K238" s="537">
        <v>0.05</v>
      </c>
      <c r="L238" s="537">
        <v>0.05</v>
      </c>
      <c r="M238" s="537">
        <v>0.05</v>
      </c>
      <c r="N238" s="537">
        <v>0.05</v>
      </c>
      <c r="O238" s="537">
        <v>0.05</v>
      </c>
      <c r="P238" s="537">
        <v>0.05</v>
      </c>
      <c r="Q238" s="537">
        <v>0.05</v>
      </c>
      <c r="R238" s="537">
        <v>0.05</v>
      </c>
      <c r="S238" s="537">
        <v>0.05</v>
      </c>
      <c r="T238" s="537">
        <v>0.05</v>
      </c>
      <c r="U238" s="537">
        <v>0.05</v>
      </c>
      <c r="V238" s="537">
        <v>0.05</v>
      </c>
      <c r="W238" s="537">
        <v>0.05</v>
      </c>
      <c r="X238" s="537">
        <v>0.05</v>
      </c>
      <c r="Y238" s="537">
        <v>0.05</v>
      </c>
      <c r="Z238" s="537">
        <v>0.05</v>
      </c>
      <c r="AA238" s="537">
        <v>0.05</v>
      </c>
      <c r="AB238" s="537">
        <v>0.05</v>
      </c>
      <c r="AC238" s="537">
        <v>0.05</v>
      </c>
      <c r="AD238" s="537">
        <v>0.05</v>
      </c>
      <c r="AE238" s="537">
        <v>0.05</v>
      </c>
      <c r="AF238" s="537">
        <v>0.05</v>
      </c>
      <c r="AG238" s="537">
        <v>0.05</v>
      </c>
      <c r="AH238" s="538">
        <f t="shared" si="178"/>
        <v>0.05</v>
      </c>
      <c r="AI238" s="538">
        <f t="shared" si="178"/>
        <v>0.05</v>
      </c>
      <c r="AJ238" s="538">
        <f t="shared" si="178"/>
        <v>0.05</v>
      </c>
      <c r="AK238" s="538">
        <f t="shared" si="178"/>
        <v>0.05</v>
      </c>
      <c r="AL238" s="538">
        <f t="shared" si="178"/>
        <v>0.05</v>
      </c>
      <c r="AM238" s="538">
        <f t="shared" si="178"/>
        <v>0.05</v>
      </c>
      <c r="AN238" s="538">
        <f t="shared" si="178"/>
        <v>0.05</v>
      </c>
      <c r="AO238" s="538">
        <f t="shared" si="178"/>
        <v>0.05</v>
      </c>
      <c r="AP238" s="538">
        <f t="shared" si="178"/>
        <v>0.05</v>
      </c>
      <c r="AQ238" s="538">
        <f t="shared" si="178"/>
        <v>0.05</v>
      </c>
      <c r="AR238" s="538">
        <f t="shared" si="178"/>
        <v>0.05</v>
      </c>
      <c r="AS238" s="538">
        <f t="shared" si="178"/>
        <v>0.05</v>
      </c>
      <c r="AT238" s="538">
        <f t="shared" si="178"/>
        <v>0.05</v>
      </c>
      <c r="AU238" s="538">
        <f t="shared" si="178"/>
        <v>0.05</v>
      </c>
      <c r="AV238" s="538">
        <f t="shared" si="178"/>
        <v>0.05</v>
      </c>
      <c r="AW238" s="538">
        <f t="shared" si="178"/>
        <v>0.05</v>
      </c>
      <c r="AX238" s="538">
        <f t="shared" ref="AX238:BM239" si="181">AW238</f>
        <v>0.05</v>
      </c>
      <c r="AY238" s="538">
        <f t="shared" si="181"/>
        <v>0.05</v>
      </c>
      <c r="AZ238" s="538">
        <f t="shared" si="181"/>
        <v>0.05</v>
      </c>
      <c r="BA238" s="538">
        <f t="shared" si="181"/>
        <v>0.05</v>
      </c>
      <c r="BB238" s="538">
        <f t="shared" si="181"/>
        <v>0.05</v>
      </c>
      <c r="BC238" s="538">
        <f t="shared" si="181"/>
        <v>0.05</v>
      </c>
      <c r="BD238" s="538">
        <f t="shared" si="181"/>
        <v>0.05</v>
      </c>
      <c r="BE238" s="538">
        <f t="shared" si="181"/>
        <v>0.05</v>
      </c>
      <c r="BF238" s="538">
        <f t="shared" si="181"/>
        <v>0.05</v>
      </c>
      <c r="BG238" s="538">
        <f t="shared" si="181"/>
        <v>0.05</v>
      </c>
      <c r="BH238" s="538">
        <f t="shared" si="181"/>
        <v>0.05</v>
      </c>
      <c r="BI238" s="538">
        <f t="shared" si="181"/>
        <v>0.05</v>
      </c>
      <c r="BJ238" s="538">
        <f t="shared" si="181"/>
        <v>0.05</v>
      </c>
      <c r="BK238" s="538">
        <f t="shared" si="181"/>
        <v>0.05</v>
      </c>
      <c r="BL238" s="538">
        <f t="shared" si="181"/>
        <v>0.05</v>
      </c>
      <c r="BM238" s="538">
        <f t="shared" si="181"/>
        <v>0.05</v>
      </c>
      <c r="BN238" s="538">
        <f t="shared" si="179"/>
        <v>0.05</v>
      </c>
      <c r="BO238" s="538">
        <f t="shared" si="179"/>
        <v>0.05</v>
      </c>
      <c r="BP238" s="538">
        <f t="shared" si="179"/>
        <v>0.05</v>
      </c>
      <c r="BQ238" s="538">
        <f t="shared" si="179"/>
        <v>0.05</v>
      </c>
      <c r="BR238" s="538">
        <f t="shared" si="179"/>
        <v>0.05</v>
      </c>
      <c r="BS238" s="538">
        <f t="shared" si="179"/>
        <v>0.05</v>
      </c>
      <c r="BT238" s="538">
        <f t="shared" si="179"/>
        <v>0.05</v>
      </c>
      <c r="BU238" s="538">
        <f t="shared" si="179"/>
        <v>0.05</v>
      </c>
      <c r="BV238" s="538">
        <f t="shared" si="179"/>
        <v>0.05</v>
      </c>
      <c r="BW238" s="538">
        <f t="shared" si="179"/>
        <v>0.05</v>
      </c>
      <c r="BX238" s="538">
        <f t="shared" si="179"/>
        <v>0.05</v>
      </c>
      <c r="BY238" s="538">
        <f t="shared" si="179"/>
        <v>0.05</v>
      </c>
      <c r="BZ238" s="538">
        <f t="shared" si="179"/>
        <v>0.05</v>
      </c>
      <c r="CA238" s="538">
        <f t="shared" si="179"/>
        <v>0.05</v>
      </c>
      <c r="CB238" s="538">
        <f t="shared" si="179"/>
        <v>0.05</v>
      </c>
      <c r="CC238" s="538">
        <f t="shared" si="179"/>
        <v>0.05</v>
      </c>
      <c r="CD238" s="538">
        <f t="shared" si="180"/>
        <v>0.05</v>
      </c>
      <c r="CE238" s="538">
        <f t="shared" si="180"/>
        <v>0.05</v>
      </c>
      <c r="CG238" s="537">
        <v>0.05</v>
      </c>
      <c r="CH238" s="537">
        <v>0.05</v>
      </c>
      <c r="CI238" s="537">
        <v>0.05</v>
      </c>
      <c r="CJ238" s="537">
        <v>0.05</v>
      </c>
      <c r="CK238" s="537">
        <v>0.05</v>
      </c>
      <c r="CL238" s="537">
        <v>0.05</v>
      </c>
      <c r="CM238" s="537">
        <v>0.05</v>
      </c>
      <c r="CN238" s="537">
        <v>0.05</v>
      </c>
      <c r="CO238" s="537">
        <v>0.05</v>
      </c>
      <c r="CP238" s="537">
        <v>0.05</v>
      </c>
      <c r="CQ238" s="537">
        <v>0.05</v>
      </c>
      <c r="CR238" s="537">
        <v>0.05</v>
      </c>
      <c r="CS238" s="537">
        <v>0.05</v>
      </c>
      <c r="CT238" s="537">
        <v>0.05</v>
      </c>
      <c r="CU238" s="537">
        <v>0.05</v>
      </c>
      <c r="CV238" s="537">
        <v>0.05</v>
      </c>
      <c r="CW238" s="537">
        <v>0.05</v>
      </c>
      <c r="CX238" s="537">
        <v>0.05</v>
      </c>
      <c r="CY238" s="537">
        <v>0.05</v>
      </c>
      <c r="CZ238" s="537">
        <v>0.05</v>
      </c>
      <c r="DA238" s="537">
        <v>0.05</v>
      </c>
      <c r="DB238" s="537">
        <v>0.05</v>
      </c>
      <c r="DC238" s="537">
        <v>0.05</v>
      </c>
      <c r="DD238" s="537">
        <v>0.05</v>
      </c>
      <c r="DE238" s="537">
        <v>0.05</v>
      </c>
      <c r="DF238" s="537">
        <v>0.05</v>
      </c>
      <c r="DG238" s="537">
        <v>0.05</v>
      </c>
      <c r="DH238" s="537">
        <v>0.05</v>
      </c>
    </row>
    <row r="239" spans="2:112">
      <c r="B239" t="s">
        <v>1112</v>
      </c>
      <c r="C239" t="s">
        <v>771</v>
      </c>
      <c r="D239" t="s">
        <v>901</v>
      </c>
      <c r="E239" t="s">
        <v>895</v>
      </c>
      <c r="F239" s="537">
        <v>0.05</v>
      </c>
      <c r="G239" s="537">
        <v>0.05</v>
      </c>
      <c r="H239" s="537">
        <v>0.05</v>
      </c>
      <c r="I239" s="537">
        <v>0.05</v>
      </c>
      <c r="J239" s="537">
        <v>0.05</v>
      </c>
      <c r="K239" s="537">
        <v>0.05</v>
      </c>
      <c r="L239" s="537">
        <v>0.05</v>
      </c>
      <c r="M239" s="537">
        <v>0.05</v>
      </c>
      <c r="N239" s="537">
        <v>0.05</v>
      </c>
      <c r="O239" s="537">
        <v>0.05</v>
      </c>
      <c r="P239" s="537">
        <v>0.05</v>
      </c>
      <c r="Q239" s="537">
        <v>0.05</v>
      </c>
      <c r="R239" s="537">
        <v>0.05</v>
      </c>
      <c r="S239" s="537">
        <v>0.05</v>
      </c>
      <c r="T239" s="537">
        <v>0.05</v>
      </c>
      <c r="U239" s="537">
        <v>0.05</v>
      </c>
      <c r="V239" s="537">
        <v>0.05</v>
      </c>
      <c r="W239" s="537">
        <v>0.05</v>
      </c>
      <c r="X239" s="537">
        <v>0.05</v>
      </c>
      <c r="Y239" s="537">
        <v>0.05</v>
      </c>
      <c r="Z239" s="537">
        <v>0.05</v>
      </c>
      <c r="AA239" s="537">
        <v>0.05</v>
      </c>
      <c r="AB239" s="537">
        <v>0.05</v>
      </c>
      <c r="AC239" s="537">
        <v>0.05</v>
      </c>
      <c r="AD239" s="537">
        <v>0.05</v>
      </c>
      <c r="AE239" s="537">
        <v>0.05</v>
      </c>
      <c r="AF239" s="537">
        <v>0.05</v>
      </c>
      <c r="AG239" s="537">
        <v>0.05</v>
      </c>
      <c r="AH239" s="538">
        <f t="shared" si="178"/>
        <v>0.05</v>
      </c>
      <c r="AI239" s="538">
        <f t="shared" si="178"/>
        <v>0.05</v>
      </c>
      <c r="AJ239" s="538">
        <f t="shared" si="178"/>
        <v>0.05</v>
      </c>
      <c r="AK239" s="538">
        <f t="shared" si="178"/>
        <v>0.05</v>
      </c>
      <c r="AL239" s="538">
        <f t="shared" si="178"/>
        <v>0.05</v>
      </c>
      <c r="AM239" s="538">
        <f t="shared" si="178"/>
        <v>0.05</v>
      </c>
      <c r="AN239" s="538">
        <f t="shared" si="178"/>
        <v>0.05</v>
      </c>
      <c r="AO239" s="538">
        <f t="shared" si="178"/>
        <v>0.05</v>
      </c>
      <c r="AP239" s="538">
        <f t="shared" si="178"/>
        <v>0.05</v>
      </c>
      <c r="AQ239" s="538">
        <f t="shared" si="178"/>
        <v>0.05</v>
      </c>
      <c r="AR239" s="538">
        <f t="shared" si="178"/>
        <v>0.05</v>
      </c>
      <c r="AS239" s="538">
        <f t="shared" si="178"/>
        <v>0.05</v>
      </c>
      <c r="AT239" s="538">
        <f t="shared" si="178"/>
        <v>0.05</v>
      </c>
      <c r="AU239" s="538">
        <f t="shared" si="178"/>
        <v>0.05</v>
      </c>
      <c r="AV239" s="538">
        <f t="shared" si="178"/>
        <v>0.05</v>
      </c>
      <c r="AW239" s="538">
        <f t="shared" si="178"/>
        <v>0.05</v>
      </c>
      <c r="AX239" s="538">
        <f t="shared" si="181"/>
        <v>0.05</v>
      </c>
      <c r="AY239" s="538">
        <f t="shared" si="181"/>
        <v>0.05</v>
      </c>
      <c r="AZ239" s="538">
        <f t="shared" si="181"/>
        <v>0.05</v>
      </c>
      <c r="BA239" s="538">
        <f t="shared" si="181"/>
        <v>0.05</v>
      </c>
      <c r="BB239" s="538">
        <f t="shared" si="181"/>
        <v>0.05</v>
      </c>
      <c r="BC239" s="538">
        <f t="shared" si="181"/>
        <v>0.05</v>
      </c>
      <c r="BD239" s="538">
        <f t="shared" si="181"/>
        <v>0.05</v>
      </c>
      <c r="BE239" s="538">
        <f t="shared" si="181"/>
        <v>0.05</v>
      </c>
      <c r="BF239" s="538">
        <f t="shared" si="181"/>
        <v>0.05</v>
      </c>
      <c r="BG239" s="538">
        <f t="shared" si="181"/>
        <v>0.05</v>
      </c>
      <c r="BH239" s="538">
        <f t="shared" si="181"/>
        <v>0.05</v>
      </c>
      <c r="BI239" s="538">
        <f t="shared" si="181"/>
        <v>0.05</v>
      </c>
      <c r="BJ239" s="538">
        <f t="shared" si="181"/>
        <v>0.05</v>
      </c>
      <c r="BK239" s="538">
        <f t="shared" si="181"/>
        <v>0.05</v>
      </c>
      <c r="BL239" s="538">
        <f t="shared" si="181"/>
        <v>0.05</v>
      </c>
      <c r="BM239" s="538">
        <f t="shared" si="181"/>
        <v>0.05</v>
      </c>
      <c r="BN239" s="538">
        <f t="shared" si="179"/>
        <v>0.05</v>
      </c>
      <c r="BO239" s="538">
        <f t="shared" si="179"/>
        <v>0.05</v>
      </c>
      <c r="BP239" s="538">
        <f t="shared" si="179"/>
        <v>0.05</v>
      </c>
      <c r="BQ239" s="538">
        <f t="shared" si="179"/>
        <v>0.05</v>
      </c>
      <c r="BR239" s="538">
        <f t="shared" si="179"/>
        <v>0.05</v>
      </c>
      <c r="BS239" s="538">
        <f t="shared" si="179"/>
        <v>0.05</v>
      </c>
      <c r="BT239" s="538">
        <f t="shared" si="179"/>
        <v>0.05</v>
      </c>
      <c r="BU239" s="538">
        <f t="shared" si="179"/>
        <v>0.05</v>
      </c>
      <c r="BV239" s="538">
        <f t="shared" si="179"/>
        <v>0.05</v>
      </c>
      <c r="BW239" s="538">
        <f t="shared" si="179"/>
        <v>0.05</v>
      </c>
      <c r="BX239" s="538">
        <f t="shared" si="179"/>
        <v>0.05</v>
      </c>
      <c r="BY239" s="538">
        <f t="shared" si="179"/>
        <v>0.05</v>
      </c>
      <c r="BZ239" s="538">
        <f t="shared" si="179"/>
        <v>0.05</v>
      </c>
      <c r="CA239" s="538">
        <f t="shared" si="179"/>
        <v>0.05</v>
      </c>
      <c r="CB239" s="538">
        <f t="shared" si="179"/>
        <v>0.05</v>
      </c>
      <c r="CC239" s="538">
        <f t="shared" si="179"/>
        <v>0.05</v>
      </c>
      <c r="CD239" s="538">
        <f t="shared" si="180"/>
        <v>0.05</v>
      </c>
      <c r="CE239" s="538">
        <f t="shared" si="180"/>
        <v>0.05</v>
      </c>
      <c r="CG239" s="537">
        <v>0.05</v>
      </c>
      <c r="CH239" s="537">
        <v>0.05</v>
      </c>
      <c r="CI239" s="537">
        <v>0.05</v>
      </c>
      <c r="CJ239" s="537">
        <v>0.05</v>
      </c>
      <c r="CK239" s="537">
        <v>0.05</v>
      </c>
      <c r="CL239" s="537">
        <v>0.05</v>
      </c>
      <c r="CM239" s="537">
        <v>0.05</v>
      </c>
      <c r="CN239" s="537">
        <v>0.05</v>
      </c>
      <c r="CO239" s="537">
        <v>0.05</v>
      </c>
      <c r="CP239" s="537">
        <v>0.05</v>
      </c>
      <c r="CQ239" s="537">
        <v>0.05</v>
      </c>
      <c r="CR239" s="537">
        <v>0.05</v>
      </c>
      <c r="CS239" s="537">
        <v>0.05</v>
      </c>
      <c r="CT239" s="537">
        <v>0.05</v>
      </c>
      <c r="CU239" s="537">
        <v>0.05</v>
      </c>
      <c r="CV239" s="537">
        <v>0.05</v>
      </c>
      <c r="CW239" s="537">
        <v>0.05</v>
      </c>
      <c r="CX239" s="537">
        <v>0.05</v>
      </c>
      <c r="CY239" s="537">
        <v>0.05</v>
      </c>
      <c r="CZ239" s="537">
        <v>0.05</v>
      </c>
      <c r="DA239" s="537">
        <v>0.05</v>
      </c>
      <c r="DB239" s="537">
        <v>0.05</v>
      </c>
      <c r="DC239" s="537">
        <v>0.05</v>
      </c>
      <c r="DD239" s="537">
        <v>0.05</v>
      </c>
      <c r="DE239" s="537">
        <v>0.05</v>
      </c>
      <c r="DF239" s="537">
        <v>0.05</v>
      </c>
      <c r="DG239" s="537">
        <v>0.05</v>
      </c>
      <c r="DH239" s="537">
        <v>0.05</v>
      </c>
    </row>
    <row r="241" spans="2:112">
      <c r="B241" t="s">
        <v>1113</v>
      </c>
      <c r="C241" t="s">
        <v>771</v>
      </c>
      <c r="D241" t="s">
        <v>903</v>
      </c>
      <c r="E241" t="s">
        <v>557</v>
      </c>
      <c r="F241" s="536">
        <v>49500</v>
      </c>
      <c r="G241" s="536">
        <v>49500</v>
      </c>
      <c r="H241" s="536">
        <v>49500</v>
      </c>
      <c r="I241" s="536">
        <v>49500</v>
      </c>
      <c r="J241" s="536">
        <v>49500</v>
      </c>
      <c r="K241" s="536">
        <v>49500</v>
      </c>
      <c r="L241" s="536">
        <v>49500</v>
      </c>
      <c r="M241" s="536">
        <v>49500</v>
      </c>
      <c r="N241" s="536">
        <v>49500</v>
      </c>
      <c r="O241" s="536">
        <v>49500</v>
      </c>
      <c r="P241" s="536">
        <v>49500</v>
      </c>
      <c r="Q241" s="536">
        <v>49500</v>
      </c>
      <c r="R241" s="536">
        <v>49500</v>
      </c>
      <c r="S241" s="536">
        <v>49500</v>
      </c>
      <c r="T241" s="536">
        <v>49500</v>
      </c>
      <c r="U241" s="536">
        <v>49500</v>
      </c>
      <c r="V241" s="536">
        <v>49500</v>
      </c>
      <c r="W241" s="536">
        <v>49500</v>
      </c>
      <c r="X241" s="536">
        <v>49500</v>
      </c>
      <c r="Y241" s="536">
        <v>49500</v>
      </c>
      <c r="Z241" s="536">
        <v>49500</v>
      </c>
      <c r="AA241" s="536">
        <v>49500</v>
      </c>
      <c r="AB241" s="536">
        <v>49500</v>
      </c>
      <c r="AC241" s="536">
        <v>49500</v>
      </c>
      <c r="AD241" s="536">
        <v>49500</v>
      </c>
      <c r="AE241" s="536">
        <v>49500</v>
      </c>
      <c r="AF241" s="536">
        <v>49500</v>
      </c>
      <c r="AG241" s="536">
        <v>49500</v>
      </c>
      <c r="AH241" s="540">
        <f>AG241</f>
        <v>49500</v>
      </c>
      <c r="AI241" s="540">
        <f t="shared" ref="AI241:CE242" si="182">AH241</f>
        <v>49500</v>
      </c>
      <c r="AJ241" s="540">
        <f t="shared" si="182"/>
        <v>49500</v>
      </c>
      <c r="AK241" s="540">
        <f t="shared" si="182"/>
        <v>49500</v>
      </c>
      <c r="AL241" s="540">
        <f t="shared" si="182"/>
        <v>49500</v>
      </c>
      <c r="AM241" s="540">
        <f t="shared" si="182"/>
        <v>49500</v>
      </c>
      <c r="AN241" s="540">
        <f t="shared" si="182"/>
        <v>49500</v>
      </c>
      <c r="AO241" s="540">
        <f t="shared" si="182"/>
        <v>49500</v>
      </c>
      <c r="AP241" s="540">
        <f t="shared" si="182"/>
        <v>49500</v>
      </c>
      <c r="AQ241" s="540">
        <f t="shared" si="182"/>
        <v>49500</v>
      </c>
      <c r="AR241" s="540">
        <f t="shared" si="182"/>
        <v>49500</v>
      </c>
      <c r="AS241" s="540">
        <f t="shared" si="182"/>
        <v>49500</v>
      </c>
      <c r="AT241" s="540">
        <f t="shared" si="182"/>
        <v>49500</v>
      </c>
      <c r="AU241" s="540">
        <f t="shared" si="182"/>
        <v>49500</v>
      </c>
      <c r="AV241" s="540">
        <f t="shared" si="182"/>
        <v>49500</v>
      </c>
      <c r="AW241" s="540">
        <f t="shared" si="182"/>
        <v>49500</v>
      </c>
      <c r="AX241" s="540">
        <f t="shared" si="182"/>
        <v>49500</v>
      </c>
      <c r="AY241" s="540">
        <f t="shared" si="182"/>
        <v>49500</v>
      </c>
      <c r="AZ241" s="540">
        <f t="shared" si="182"/>
        <v>49500</v>
      </c>
      <c r="BA241" s="540">
        <f t="shared" si="182"/>
        <v>49500</v>
      </c>
      <c r="BB241" s="540">
        <f t="shared" si="182"/>
        <v>49500</v>
      </c>
      <c r="BC241" s="540">
        <f t="shared" si="182"/>
        <v>49500</v>
      </c>
      <c r="BD241" s="540">
        <f t="shared" si="182"/>
        <v>49500</v>
      </c>
      <c r="BE241" s="540">
        <f t="shared" si="182"/>
        <v>49500</v>
      </c>
      <c r="BF241" s="540">
        <f t="shared" si="182"/>
        <v>49500</v>
      </c>
      <c r="BG241" s="540">
        <f t="shared" si="182"/>
        <v>49500</v>
      </c>
      <c r="BH241" s="540">
        <f t="shared" si="182"/>
        <v>49500</v>
      </c>
      <c r="BI241" s="540">
        <f t="shared" si="182"/>
        <v>49500</v>
      </c>
      <c r="BJ241" s="540">
        <f t="shared" si="182"/>
        <v>49500</v>
      </c>
      <c r="BK241" s="540">
        <f t="shared" si="182"/>
        <v>49500</v>
      </c>
      <c r="BL241" s="540">
        <f t="shared" si="182"/>
        <v>49500</v>
      </c>
      <c r="BM241" s="540">
        <f t="shared" si="182"/>
        <v>49500</v>
      </c>
      <c r="BN241" s="540">
        <f t="shared" si="182"/>
        <v>49500</v>
      </c>
      <c r="BO241" s="540">
        <f t="shared" si="182"/>
        <v>49500</v>
      </c>
      <c r="BP241" s="540">
        <f t="shared" si="182"/>
        <v>49500</v>
      </c>
      <c r="BQ241" s="540">
        <f t="shared" si="182"/>
        <v>49500</v>
      </c>
      <c r="BR241" s="540">
        <f t="shared" si="182"/>
        <v>49500</v>
      </c>
      <c r="BS241" s="540">
        <f t="shared" si="182"/>
        <v>49500</v>
      </c>
      <c r="BT241" s="540">
        <f t="shared" si="182"/>
        <v>49500</v>
      </c>
      <c r="BU241" s="540">
        <f t="shared" si="182"/>
        <v>49500</v>
      </c>
      <c r="BV241" s="540">
        <f t="shared" si="182"/>
        <v>49500</v>
      </c>
      <c r="BW241" s="540">
        <f t="shared" si="182"/>
        <v>49500</v>
      </c>
      <c r="BX241" s="540">
        <f t="shared" si="182"/>
        <v>49500</v>
      </c>
      <c r="BY241" s="540">
        <f t="shared" si="182"/>
        <v>49500</v>
      </c>
      <c r="BZ241" s="540">
        <f t="shared" si="182"/>
        <v>49500</v>
      </c>
      <c r="CA241" s="540">
        <f t="shared" si="182"/>
        <v>49500</v>
      </c>
      <c r="CB241" s="540">
        <f t="shared" si="182"/>
        <v>49500</v>
      </c>
      <c r="CC241" s="540">
        <f t="shared" si="182"/>
        <v>49500</v>
      </c>
      <c r="CD241" s="540">
        <f t="shared" si="182"/>
        <v>49500</v>
      </c>
      <c r="CE241" s="540">
        <f t="shared" si="182"/>
        <v>49500</v>
      </c>
      <c r="CG241" s="536">
        <v>49500</v>
      </c>
      <c r="CH241" s="536">
        <v>49500</v>
      </c>
      <c r="CI241" s="536">
        <v>49500</v>
      </c>
      <c r="CJ241" s="536">
        <v>49500</v>
      </c>
      <c r="CK241" s="536">
        <v>49500</v>
      </c>
      <c r="CL241" s="536">
        <v>49500</v>
      </c>
      <c r="CM241" s="536">
        <v>49500</v>
      </c>
      <c r="CN241" s="536">
        <v>49500</v>
      </c>
      <c r="CO241" s="536">
        <v>49500</v>
      </c>
      <c r="CP241" s="536">
        <v>49500</v>
      </c>
      <c r="CQ241" s="536">
        <v>49500</v>
      </c>
      <c r="CR241" s="536">
        <v>49500</v>
      </c>
      <c r="CS241" s="536">
        <v>49500</v>
      </c>
      <c r="CT241" s="536">
        <v>49500</v>
      </c>
      <c r="CU241" s="536">
        <v>49500</v>
      </c>
      <c r="CV241" s="536">
        <v>49500</v>
      </c>
      <c r="CW241" s="536">
        <v>49500</v>
      </c>
      <c r="CX241" s="536">
        <v>49500</v>
      </c>
      <c r="CY241" s="536">
        <v>49500</v>
      </c>
      <c r="CZ241" s="536">
        <v>49500</v>
      </c>
      <c r="DA241" s="536">
        <v>49500</v>
      </c>
      <c r="DB241" s="536">
        <v>49500</v>
      </c>
      <c r="DC241" s="536">
        <v>49500</v>
      </c>
      <c r="DD241" s="536">
        <v>49500</v>
      </c>
      <c r="DE241" s="536">
        <v>49500</v>
      </c>
      <c r="DF241" s="536">
        <v>49500</v>
      </c>
      <c r="DG241" s="536">
        <v>49500</v>
      </c>
      <c r="DH241" s="536">
        <v>49500</v>
      </c>
    </row>
    <row r="242" spans="2:112">
      <c r="B242" t="s">
        <v>1114</v>
      </c>
      <c r="C242" t="s">
        <v>771</v>
      </c>
      <c r="D242" t="s">
        <v>905</v>
      </c>
      <c r="E242" t="s">
        <v>557</v>
      </c>
      <c r="F242" s="536">
        <v>22935.272727272728</v>
      </c>
      <c r="G242" s="536">
        <v>22935.272727272728</v>
      </c>
      <c r="H242" s="536">
        <v>22935.272727272728</v>
      </c>
      <c r="I242" s="536">
        <v>22935.272727272728</v>
      </c>
      <c r="J242" s="536">
        <v>22935.272727272728</v>
      </c>
      <c r="K242" s="536">
        <v>22935.272727272728</v>
      </c>
      <c r="L242" s="536">
        <v>22935.272727272728</v>
      </c>
      <c r="M242" s="536">
        <v>22935.272727272728</v>
      </c>
      <c r="N242" s="536">
        <v>22935.272727272728</v>
      </c>
      <c r="O242" s="536">
        <v>22935.272727272728</v>
      </c>
      <c r="P242" s="536">
        <v>22935.272727272728</v>
      </c>
      <c r="Q242" s="536">
        <v>22935.272727272728</v>
      </c>
      <c r="R242" s="536">
        <v>22935.272727272728</v>
      </c>
      <c r="S242" s="536">
        <v>22935.272727272728</v>
      </c>
      <c r="T242" s="536">
        <v>22935.272727272728</v>
      </c>
      <c r="U242" s="536">
        <v>22935.272727272728</v>
      </c>
      <c r="V242" s="536">
        <v>22935.272727272728</v>
      </c>
      <c r="W242" s="536">
        <v>22935.272727272728</v>
      </c>
      <c r="X242" s="536">
        <v>22935.272727272728</v>
      </c>
      <c r="Y242" s="536">
        <v>22935.272727272728</v>
      </c>
      <c r="Z242" s="536">
        <v>22935.272727272728</v>
      </c>
      <c r="AA242" s="536">
        <v>22935.272727272728</v>
      </c>
      <c r="AB242" s="536">
        <v>22935.272727272728</v>
      </c>
      <c r="AC242" s="536">
        <v>22935.272727272728</v>
      </c>
      <c r="AD242" s="536">
        <v>22935.272727272728</v>
      </c>
      <c r="AE242" s="536">
        <v>22935.272727272728</v>
      </c>
      <c r="AF242" s="536">
        <v>22935.272727272728</v>
      </c>
      <c r="AG242" s="536">
        <v>22935.272727272728</v>
      </c>
      <c r="AH242" s="540">
        <f>AG242</f>
        <v>22935.272727272728</v>
      </c>
      <c r="AI242" s="540">
        <f t="shared" si="182"/>
        <v>22935.272727272728</v>
      </c>
      <c r="AJ242" s="540">
        <f t="shared" si="182"/>
        <v>22935.272727272728</v>
      </c>
      <c r="AK242" s="540">
        <f t="shared" si="182"/>
        <v>22935.272727272728</v>
      </c>
      <c r="AL242" s="540">
        <f t="shared" si="182"/>
        <v>22935.272727272728</v>
      </c>
      <c r="AM242" s="540">
        <f t="shared" si="182"/>
        <v>22935.272727272728</v>
      </c>
      <c r="AN242" s="540">
        <f t="shared" si="182"/>
        <v>22935.272727272728</v>
      </c>
      <c r="AO242" s="540">
        <f t="shared" si="182"/>
        <v>22935.272727272728</v>
      </c>
      <c r="AP242" s="540">
        <f t="shared" si="182"/>
        <v>22935.272727272728</v>
      </c>
      <c r="AQ242" s="540">
        <f t="shared" si="182"/>
        <v>22935.272727272728</v>
      </c>
      <c r="AR242" s="540">
        <f t="shared" si="182"/>
        <v>22935.272727272728</v>
      </c>
      <c r="AS242" s="540">
        <f t="shared" si="182"/>
        <v>22935.272727272728</v>
      </c>
      <c r="AT242" s="540">
        <f t="shared" si="182"/>
        <v>22935.272727272728</v>
      </c>
      <c r="AU242" s="540">
        <f t="shared" si="182"/>
        <v>22935.272727272728</v>
      </c>
      <c r="AV242" s="540">
        <f t="shared" si="182"/>
        <v>22935.272727272728</v>
      </c>
      <c r="AW242" s="540">
        <f t="shared" si="182"/>
        <v>22935.272727272728</v>
      </c>
      <c r="AX242" s="540">
        <f t="shared" si="182"/>
        <v>22935.272727272728</v>
      </c>
      <c r="AY242" s="540">
        <f t="shared" si="182"/>
        <v>22935.272727272728</v>
      </c>
      <c r="AZ242" s="540">
        <f t="shared" si="182"/>
        <v>22935.272727272728</v>
      </c>
      <c r="BA242" s="540">
        <f t="shared" si="182"/>
        <v>22935.272727272728</v>
      </c>
      <c r="BB242" s="540">
        <f t="shared" si="182"/>
        <v>22935.272727272728</v>
      </c>
      <c r="BC242" s="540">
        <f t="shared" si="182"/>
        <v>22935.272727272728</v>
      </c>
      <c r="BD242" s="540">
        <f t="shared" si="182"/>
        <v>22935.272727272728</v>
      </c>
      <c r="BE242" s="540">
        <f t="shared" si="182"/>
        <v>22935.272727272728</v>
      </c>
      <c r="BF242" s="540">
        <f t="shared" si="182"/>
        <v>22935.272727272728</v>
      </c>
      <c r="BG242" s="540">
        <f t="shared" si="182"/>
        <v>22935.272727272728</v>
      </c>
      <c r="BH242" s="540">
        <f t="shared" si="182"/>
        <v>22935.272727272728</v>
      </c>
      <c r="BI242" s="540">
        <f t="shared" si="182"/>
        <v>22935.272727272728</v>
      </c>
      <c r="BJ242" s="540">
        <f t="shared" si="182"/>
        <v>22935.272727272728</v>
      </c>
      <c r="BK242" s="540">
        <f t="shared" si="182"/>
        <v>22935.272727272728</v>
      </c>
      <c r="BL242" s="540">
        <f t="shared" si="182"/>
        <v>22935.272727272728</v>
      </c>
      <c r="BM242" s="540">
        <f t="shared" si="182"/>
        <v>22935.272727272728</v>
      </c>
      <c r="BN242" s="540">
        <f t="shared" si="182"/>
        <v>22935.272727272728</v>
      </c>
      <c r="BO242" s="540">
        <f t="shared" si="182"/>
        <v>22935.272727272728</v>
      </c>
      <c r="BP242" s="540">
        <f t="shared" si="182"/>
        <v>22935.272727272728</v>
      </c>
      <c r="BQ242" s="540">
        <f t="shared" si="182"/>
        <v>22935.272727272728</v>
      </c>
      <c r="BR242" s="540">
        <f t="shared" si="182"/>
        <v>22935.272727272728</v>
      </c>
      <c r="BS242" s="540">
        <f t="shared" si="182"/>
        <v>22935.272727272728</v>
      </c>
      <c r="BT242" s="540">
        <f t="shared" si="182"/>
        <v>22935.272727272728</v>
      </c>
      <c r="BU242" s="540">
        <f t="shared" si="182"/>
        <v>22935.272727272728</v>
      </c>
      <c r="BV242" s="540">
        <f t="shared" si="182"/>
        <v>22935.272727272728</v>
      </c>
      <c r="BW242" s="540">
        <f t="shared" si="182"/>
        <v>22935.272727272728</v>
      </c>
      <c r="BX242" s="540">
        <f t="shared" si="182"/>
        <v>22935.272727272728</v>
      </c>
      <c r="BY242" s="540">
        <f t="shared" si="182"/>
        <v>22935.272727272728</v>
      </c>
      <c r="BZ242" s="540">
        <f t="shared" si="182"/>
        <v>22935.272727272728</v>
      </c>
      <c r="CA242" s="540">
        <f t="shared" si="182"/>
        <v>22935.272727272728</v>
      </c>
      <c r="CB242" s="540">
        <f t="shared" si="182"/>
        <v>22935.272727272728</v>
      </c>
      <c r="CC242" s="540">
        <f t="shared" si="182"/>
        <v>22935.272727272728</v>
      </c>
      <c r="CD242" s="540">
        <f t="shared" si="182"/>
        <v>22935.272727272728</v>
      </c>
      <c r="CE242" s="540">
        <f t="shared" si="182"/>
        <v>22935.272727272728</v>
      </c>
      <c r="CG242" s="536">
        <v>22935.272727272728</v>
      </c>
      <c r="CH242" s="536">
        <v>22935.272727272728</v>
      </c>
      <c r="CI242" s="536">
        <v>22935.272727272728</v>
      </c>
      <c r="CJ242" s="536">
        <v>22935.272727272728</v>
      </c>
      <c r="CK242" s="536">
        <v>22935.272727272728</v>
      </c>
      <c r="CL242" s="536">
        <v>22935.272727272728</v>
      </c>
      <c r="CM242" s="536">
        <v>22935.272727272728</v>
      </c>
      <c r="CN242" s="536">
        <v>22935.272727272728</v>
      </c>
      <c r="CO242" s="536">
        <v>22935.272727272728</v>
      </c>
      <c r="CP242" s="536">
        <v>22935.272727272728</v>
      </c>
      <c r="CQ242" s="536">
        <v>22935.272727272728</v>
      </c>
      <c r="CR242" s="536">
        <v>22935.272727272728</v>
      </c>
      <c r="CS242" s="536">
        <v>22935.272727272728</v>
      </c>
      <c r="CT242" s="536">
        <v>22935.272727272728</v>
      </c>
      <c r="CU242" s="536">
        <v>22935.272727272728</v>
      </c>
      <c r="CV242" s="536">
        <v>22935.272727272728</v>
      </c>
      <c r="CW242" s="536">
        <v>22935.272727272728</v>
      </c>
      <c r="CX242" s="536">
        <v>22935.272727272728</v>
      </c>
      <c r="CY242" s="536">
        <v>22935.272727272728</v>
      </c>
      <c r="CZ242" s="536">
        <v>22935.272727272728</v>
      </c>
      <c r="DA242" s="536">
        <v>22935.272727272728</v>
      </c>
      <c r="DB242" s="536">
        <v>22935.272727272728</v>
      </c>
      <c r="DC242" s="536">
        <v>22935.272727272728</v>
      </c>
      <c r="DD242" s="536">
        <v>22935.272727272728</v>
      </c>
      <c r="DE242" s="536">
        <v>22935.272727272728</v>
      </c>
      <c r="DF242" s="536">
        <v>22935.272727272728</v>
      </c>
      <c r="DG242" s="536">
        <v>22935.272727272728</v>
      </c>
      <c r="DH242" s="536">
        <v>22935.272727272728</v>
      </c>
    </row>
    <row r="243" spans="2:112">
      <c r="F243" s="539"/>
      <c r="G243" s="539"/>
      <c r="H243" s="539"/>
      <c r="I243" s="539"/>
      <c r="J243" s="539"/>
      <c r="K243" s="539"/>
      <c r="L243" s="539"/>
      <c r="M243" s="539"/>
      <c r="N243" s="539"/>
      <c r="O243" s="539"/>
      <c r="P243" s="539"/>
      <c r="Q243" s="539"/>
      <c r="R243" s="539"/>
      <c r="S243" s="539"/>
      <c r="T243" s="539"/>
      <c r="U243" s="539"/>
      <c r="V243" s="539"/>
      <c r="W243" s="539"/>
      <c r="X243" s="539"/>
      <c r="Y243" s="539"/>
      <c r="Z243" s="539"/>
      <c r="AA243" s="539"/>
      <c r="AB243" s="539"/>
      <c r="AC243" s="539"/>
      <c r="AD243" s="539"/>
      <c r="AE243" s="539"/>
      <c r="AF243" s="539"/>
      <c r="AG243" s="539"/>
      <c r="AH243" s="539"/>
      <c r="AI243" s="539"/>
      <c r="AJ243" s="539"/>
      <c r="AK243" s="539"/>
      <c r="AL243" s="539"/>
      <c r="AM243" s="539"/>
      <c r="AN243" s="539"/>
      <c r="AO243" s="539"/>
      <c r="AP243" s="539"/>
      <c r="AQ243" s="539"/>
      <c r="AR243" s="539"/>
      <c r="AS243" s="539"/>
      <c r="AT243" s="539"/>
      <c r="AU243" s="539"/>
      <c r="AV243" s="539"/>
      <c r="AW243" s="539"/>
      <c r="AX243" s="539"/>
      <c r="AY243" s="539"/>
      <c r="AZ243" s="539"/>
      <c r="BA243" s="539"/>
      <c r="BB243" s="539"/>
      <c r="BC243" s="539"/>
      <c r="BD243" s="539"/>
      <c r="BE243" s="539"/>
      <c r="BF243" s="539"/>
      <c r="BG243" s="539"/>
      <c r="BH243" s="539"/>
      <c r="BI243" s="539"/>
      <c r="BJ243" s="539"/>
      <c r="BK243" s="539"/>
      <c r="BL243" s="539"/>
      <c r="BM243" s="539"/>
      <c r="BN243" s="539"/>
      <c r="BO243" s="539"/>
      <c r="BP243" s="539"/>
      <c r="BQ243" s="539"/>
      <c r="BR243" s="539"/>
      <c r="BS243" s="539"/>
      <c r="BT243" s="539"/>
      <c r="BU243" s="539"/>
      <c r="BV243" s="539"/>
      <c r="BW243" s="539"/>
      <c r="BX243" s="539"/>
      <c r="BY243" s="539"/>
      <c r="BZ243" s="539"/>
      <c r="CA243" s="539"/>
      <c r="CB243" s="539"/>
      <c r="CC243" s="539"/>
      <c r="CD243" s="539"/>
      <c r="CE243" s="539"/>
      <c r="CG243" s="539"/>
      <c r="CH243" s="539"/>
      <c r="CI243" s="539"/>
      <c r="CJ243" s="539"/>
      <c r="CK243" s="539"/>
      <c r="CL243" s="539"/>
      <c r="CM243" s="539"/>
      <c r="CN243" s="539"/>
      <c r="CO243" s="539"/>
      <c r="CP243" s="539"/>
      <c r="CQ243" s="539"/>
      <c r="CR243" s="539"/>
      <c r="CS243" s="539"/>
      <c r="CT243" s="539"/>
      <c r="CU243" s="539"/>
      <c r="CV243" s="539"/>
      <c r="CW243" s="539"/>
      <c r="CX243" s="539"/>
      <c r="CY243" s="539"/>
      <c r="CZ243" s="539"/>
      <c r="DA243" s="539"/>
      <c r="DB243" s="539"/>
      <c r="DC243" s="539"/>
      <c r="DD243" s="539"/>
      <c r="DE243" s="539"/>
      <c r="DF243" s="539"/>
      <c r="DG243" s="539"/>
      <c r="DH243" s="539"/>
    </row>
    <row r="244" spans="2:112">
      <c r="B244" t="s">
        <v>1115</v>
      </c>
      <c r="C244" t="s">
        <v>771</v>
      </c>
      <c r="D244" t="s">
        <v>907</v>
      </c>
      <c r="E244" t="s">
        <v>908</v>
      </c>
      <c r="F244" s="541">
        <v>54.779499999999999</v>
      </c>
      <c r="G244" s="541">
        <v>54.779499999999999</v>
      </c>
      <c r="H244" s="541">
        <v>54.779499999999999</v>
      </c>
      <c r="I244" s="541">
        <v>54.779499999999999</v>
      </c>
      <c r="J244" s="541">
        <v>54.779499999999999</v>
      </c>
      <c r="K244" s="541">
        <v>54.779499999999999</v>
      </c>
      <c r="L244" s="541">
        <v>54.779499999999999</v>
      </c>
      <c r="M244" s="541">
        <v>54.779499999999999</v>
      </c>
      <c r="N244" s="541">
        <v>54.779499999999999</v>
      </c>
      <c r="O244" s="541">
        <v>54.779499999999999</v>
      </c>
      <c r="P244" s="541">
        <v>54.779499999999999</v>
      </c>
      <c r="Q244" s="541">
        <v>54.779499999999999</v>
      </c>
      <c r="R244" s="541">
        <v>54.779499999999999</v>
      </c>
      <c r="S244" s="541">
        <v>54.779499999999999</v>
      </c>
      <c r="T244" s="541">
        <v>54.779499999999999</v>
      </c>
      <c r="U244" s="541">
        <v>54.779499999999999</v>
      </c>
      <c r="V244" s="541">
        <v>54.779499999999999</v>
      </c>
      <c r="W244" s="541">
        <v>54.779499999999999</v>
      </c>
      <c r="X244" s="541">
        <v>54.779499999999999</v>
      </c>
      <c r="Y244" s="541">
        <v>54.779499999999999</v>
      </c>
      <c r="Z244" s="541">
        <v>54.779499999999999</v>
      </c>
      <c r="AA244" s="541">
        <v>54.779499999999999</v>
      </c>
      <c r="AB244" s="541">
        <v>54.779499999999999</v>
      </c>
      <c r="AC244" s="541">
        <v>54.779499999999999</v>
      </c>
      <c r="AD244" s="541">
        <v>54.779499999999999</v>
      </c>
      <c r="AE244" s="541">
        <v>54.779499999999999</v>
      </c>
      <c r="AF244" s="541">
        <v>54.779499999999999</v>
      </c>
      <c r="AG244" s="541">
        <v>54.779499999999999</v>
      </c>
      <c r="AH244" s="542">
        <f>AG244</f>
        <v>54.779499999999999</v>
      </c>
      <c r="AI244" s="542">
        <f t="shared" ref="AI244:AX244" si="183">AH244</f>
        <v>54.779499999999999</v>
      </c>
      <c r="AJ244" s="542">
        <f t="shared" si="183"/>
        <v>54.779499999999999</v>
      </c>
      <c r="AK244" s="542">
        <f t="shared" si="183"/>
        <v>54.779499999999999</v>
      </c>
      <c r="AL244" s="542">
        <f t="shared" si="183"/>
        <v>54.779499999999999</v>
      </c>
      <c r="AM244" s="542">
        <f t="shared" si="183"/>
        <v>54.779499999999999</v>
      </c>
      <c r="AN244" s="542">
        <f t="shared" si="183"/>
        <v>54.779499999999999</v>
      </c>
      <c r="AO244" s="542">
        <f t="shared" si="183"/>
        <v>54.779499999999999</v>
      </c>
      <c r="AP244" s="542">
        <f t="shared" si="183"/>
        <v>54.779499999999999</v>
      </c>
      <c r="AQ244" s="542">
        <f t="shared" si="183"/>
        <v>54.779499999999999</v>
      </c>
      <c r="AR244" s="542">
        <f t="shared" si="183"/>
        <v>54.779499999999999</v>
      </c>
      <c r="AS244" s="542">
        <f t="shared" si="183"/>
        <v>54.779499999999999</v>
      </c>
      <c r="AT244" s="542">
        <f t="shared" si="183"/>
        <v>54.779499999999999</v>
      </c>
      <c r="AU244" s="542">
        <f t="shared" si="183"/>
        <v>54.779499999999999</v>
      </c>
      <c r="AV244" s="542">
        <f t="shared" si="183"/>
        <v>54.779499999999999</v>
      </c>
      <c r="AW244" s="542">
        <f t="shared" si="183"/>
        <v>54.779499999999999</v>
      </c>
      <c r="AX244" s="542">
        <f t="shared" si="183"/>
        <v>54.779499999999999</v>
      </c>
      <c r="AY244" s="542">
        <f t="shared" ref="AY244:BN244" si="184">AX244</f>
        <v>54.779499999999999</v>
      </c>
      <c r="AZ244" s="542">
        <f t="shared" si="184"/>
        <v>54.779499999999999</v>
      </c>
      <c r="BA244" s="542">
        <f t="shared" si="184"/>
        <v>54.779499999999999</v>
      </c>
      <c r="BB244" s="542">
        <f t="shared" si="184"/>
        <v>54.779499999999999</v>
      </c>
      <c r="BC244" s="542">
        <f t="shared" si="184"/>
        <v>54.779499999999999</v>
      </c>
      <c r="BD244" s="542">
        <f t="shared" si="184"/>
        <v>54.779499999999999</v>
      </c>
      <c r="BE244" s="542">
        <f t="shared" si="184"/>
        <v>54.779499999999999</v>
      </c>
      <c r="BF244" s="542">
        <f t="shared" si="184"/>
        <v>54.779499999999999</v>
      </c>
      <c r="BG244" s="542">
        <f t="shared" si="184"/>
        <v>54.779499999999999</v>
      </c>
      <c r="BH244" s="542">
        <f t="shared" si="184"/>
        <v>54.779499999999999</v>
      </c>
      <c r="BI244" s="542">
        <f t="shared" si="184"/>
        <v>54.779499999999999</v>
      </c>
      <c r="BJ244" s="542">
        <f t="shared" si="184"/>
        <v>54.779499999999999</v>
      </c>
      <c r="BK244" s="542">
        <f t="shared" si="184"/>
        <v>54.779499999999999</v>
      </c>
      <c r="BL244" s="542">
        <f t="shared" si="184"/>
        <v>54.779499999999999</v>
      </c>
      <c r="BM244" s="542">
        <f t="shared" si="184"/>
        <v>54.779499999999999</v>
      </c>
      <c r="BN244" s="542">
        <f t="shared" si="184"/>
        <v>54.779499999999999</v>
      </c>
      <c r="BO244" s="542">
        <f t="shared" ref="BO244:CD244" si="185">BN244</f>
        <v>54.779499999999999</v>
      </c>
      <c r="BP244" s="542">
        <f t="shared" si="185"/>
        <v>54.779499999999999</v>
      </c>
      <c r="BQ244" s="542">
        <f t="shared" si="185"/>
        <v>54.779499999999999</v>
      </c>
      <c r="BR244" s="542">
        <f t="shared" si="185"/>
        <v>54.779499999999999</v>
      </c>
      <c r="BS244" s="542">
        <f t="shared" si="185"/>
        <v>54.779499999999999</v>
      </c>
      <c r="BT244" s="542">
        <f t="shared" si="185"/>
        <v>54.779499999999999</v>
      </c>
      <c r="BU244" s="542">
        <f t="shared" si="185"/>
        <v>54.779499999999999</v>
      </c>
      <c r="BV244" s="542">
        <f t="shared" si="185"/>
        <v>54.779499999999999</v>
      </c>
      <c r="BW244" s="542">
        <f t="shared" si="185"/>
        <v>54.779499999999999</v>
      </c>
      <c r="BX244" s="542">
        <f t="shared" si="185"/>
        <v>54.779499999999999</v>
      </c>
      <c r="BY244" s="542">
        <f t="shared" si="185"/>
        <v>54.779499999999999</v>
      </c>
      <c r="BZ244" s="542">
        <f t="shared" si="185"/>
        <v>54.779499999999999</v>
      </c>
      <c r="CA244" s="542">
        <f t="shared" si="185"/>
        <v>54.779499999999999</v>
      </c>
      <c r="CB244" s="542">
        <f t="shared" si="185"/>
        <v>54.779499999999999</v>
      </c>
      <c r="CC244" s="542">
        <f t="shared" si="185"/>
        <v>54.779499999999999</v>
      </c>
      <c r="CD244" s="542">
        <f t="shared" si="185"/>
        <v>54.779499999999999</v>
      </c>
      <c r="CE244" s="542">
        <f t="shared" ref="AX244:CE251" si="186">CD244</f>
        <v>54.779499999999999</v>
      </c>
      <c r="CG244" s="541">
        <v>54.779499999999999</v>
      </c>
      <c r="CH244" s="541">
        <v>54.779499999999999</v>
      </c>
      <c r="CI244" s="541">
        <v>54.779499999999999</v>
      </c>
      <c r="CJ244" s="541">
        <v>54.779499999999999</v>
      </c>
      <c r="CK244" s="541">
        <v>54.779499999999999</v>
      </c>
      <c r="CL244" s="541">
        <v>54.779499999999999</v>
      </c>
      <c r="CM244" s="541">
        <v>54.779499999999999</v>
      </c>
      <c r="CN244" s="541">
        <v>54.779499999999999</v>
      </c>
      <c r="CO244" s="541">
        <v>54.779499999999999</v>
      </c>
      <c r="CP244" s="541">
        <v>54.779499999999999</v>
      </c>
      <c r="CQ244" s="541">
        <v>54.779499999999999</v>
      </c>
      <c r="CR244" s="541">
        <v>54.779499999999999</v>
      </c>
      <c r="CS244" s="541">
        <v>54.779499999999999</v>
      </c>
      <c r="CT244" s="541">
        <v>54.779499999999999</v>
      </c>
      <c r="CU244" s="541">
        <v>54.779499999999999</v>
      </c>
      <c r="CV244" s="541">
        <v>54.779499999999999</v>
      </c>
      <c r="CW244" s="541">
        <v>54.779499999999999</v>
      </c>
      <c r="CX244" s="541">
        <v>54.779499999999999</v>
      </c>
      <c r="CY244" s="541">
        <v>54.779499999999999</v>
      </c>
      <c r="CZ244" s="541">
        <v>54.779499999999999</v>
      </c>
      <c r="DA244" s="541">
        <v>54.779499999999999</v>
      </c>
      <c r="DB244" s="541">
        <v>54.779499999999999</v>
      </c>
      <c r="DC244" s="541">
        <v>54.779499999999999</v>
      </c>
      <c r="DD244" s="541">
        <v>54.779499999999999</v>
      </c>
      <c r="DE244" s="541">
        <v>54.779499999999999</v>
      </c>
      <c r="DF244" s="541">
        <v>54.779499999999999</v>
      </c>
      <c r="DG244" s="541">
        <v>54.779499999999999</v>
      </c>
      <c r="DH244" s="541">
        <v>54.779499999999999</v>
      </c>
    </row>
    <row r="245" spans="2:112">
      <c r="B245" t="s">
        <v>1116</v>
      </c>
      <c r="C245" t="s">
        <v>771</v>
      </c>
      <c r="D245" t="s">
        <v>910</v>
      </c>
      <c r="E245" t="s">
        <v>911</v>
      </c>
      <c r="F245" s="541">
        <v>2.0273104545454546</v>
      </c>
      <c r="G245" s="541">
        <v>2.0273104545454546</v>
      </c>
      <c r="H245" s="541">
        <v>2.0273104545454546</v>
      </c>
      <c r="I245" s="541">
        <v>2.0273104545454546</v>
      </c>
      <c r="J245" s="541">
        <v>2.0273104545454546</v>
      </c>
      <c r="K245" s="541">
        <v>2.0273104545454546</v>
      </c>
      <c r="L245" s="541">
        <v>2.0273104545454546</v>
      </c>
      <c r="M245" s="541">
        <v>2.0273104545454546</v>
      </c>
      <c r="N245" s="541">
        <v>2.0273104545454546</v>
      </c>
      <c r="O245" s="541">
        <v>2.0273104545454546</v>
      </c>
      <c r="P245" s="541">
        <v>2.0273104545454546</v>
      </c>
      <c r="Q245" s="541">
        <v>2.0273104545454546</v>
      </c>
      <c r="R245" s="541">
        <v>2.0273104545454546</v>
      </c>
      <c r="S245" s="541">
        <v>2.0273104545454546</v>
      </c>
      <c r="T245" s="541">
        <v>2.0273104545454546</v>
      </c>
      <c r="U245" s="541">
        <v>2.0273104545454546</v>
      </c>
      <c r="V245" s="541">
        <v>2.0273104545454546</v>
      </c>
      <c r="W245" s="541">
        <v>2.0273104545454546</v>
      </c>
      <c r="X245" s="541">
        <v>2.0273104545454546</v>
      </c>
      <c r="Y245" s="541">
        <v>2.0273104545454546</v>
      </c>
      <c r="Z245" s="541">
        <v>2.0273104545454546</v>
      </c>
      <c r="AA245" s="541">
        <v>2.0273104545454546</v>
      </c>
      <c r="AB245" s="541">
        <v>2.0273104545454546</v>
      </c>
      <c r="AC245" s="541">
        <v>2.0273104545454546</v>
      </c>
      <c r="AD245" s="541">
        <v>2.0273104545454546</v>
      </c>
      <c r="AE245" s="541">
        <v>2.0273104545454546</v>
      </c>
      <c r="AF245" s="541">
        <v>2.0273104545454546</v>
      </c>
      <c r="AG245" s="541">
        <v>2.0273104545454546</v>
      </c>
      <c r="AH245" s="542">
        <f t="shared" ref="AH245:AW251" si="187">AG245</f>
        <v>2.0273104545454546</v>
      </c>
      <c r="AI245" s="542">
        <f t="shared" si="187"/>
        <v>2.0273104545454546</v>
      </c>
      <c r="AJ245" s="542">
        <f t="shared" si="187"/>
        <v>2.0273104545454546</v>
      </c>
      <c r="AK245" s="542">
        <f t="shared" si="187"/>
        <v>2.0273104545454546</v>
      </c>
      <c r="AL245" s="542">
        <f t="shared" si="187"/>
        <v>2.0273104545454546</v>
      </c>
      <c r="AM245" s="542">
        <f t="shared" si="187"/>
        <v>2.0273104545454546</v>
      </c>
      <c r="AN245" s="542">
        <f t="shared" si="187"/>
        <v>2.0273104545454546</v>
      </c>
      <c r="AO245" s="542">
        <f t="shared" si="187"/>
        <v>2.0273104545454546</v>
      </c>
      <c r="AP245" s="542">
        <f t="shared" si="187"/>
        <v>2.0273104545454546</v>
      </c>
      <c r="AQ245" s="542">
        <f t="shared" si="187"/>
        <v>2.0273104545454546</v>
      </c>
      <c r="AR245" s="542">
        <f t="shared" si="187"/>
        <v>2.0273104545454546</v>
      </c>
      <c r="AS245" s="542">
        <f t="shared" si="187"/>
        <v>2.0273104545454546</v>
      </c>
      <c r="AT245" s="542">
        <f t="shared" si="187"/>
        <v>2.0273104545454546</v>
      </c>
      <c r="AU245" s="542">
        <f t="shared" si="187"/>
        <v>2.0273104545454546</v>
      </c>
      <c r="AV245" s="542">
        <f t="shared" si="187"/>
        <v>2.0273104545454546</v>
      </c>
      <c r="AW245" s="542">
        <f t="shared" si="187"/>
        <v>2.0273104545454546</v>
      </c>
      <c r="AX245" s="542">
        <f t="shared" si="186"/>
        <v>2.0273104545454546</v>
      </c>
      <c r="AY245" s="542">
        <f t="shared" si="186"/>
        <v>2.0273104545454546</v>
      </c>
      <c r="AZ245" s="542">
        <f t="shared" si="186"/>
        <v>2.0273104545454546</v>
      </c>
      <c r="BA245" s="542">
        <f t="shared" si="186"/>
        <v>2.0273104545454546</v>
      </c>
      <c r="BB245" s="542">
        <f t="shared" si="186"/>
        <v>2.0273104545454546</v>
      </c>
      <c r="BC245" s="542">
        <f t="shared" si="186"/>
        <v>2.0273104545454546</v>
      </c>
      <c r="BD245" s="542">
        <f t="shared" si="186"/>
        <v>2.0273104545454546</v>
      </c>
      <c r="BE245" s="542">
        <f t="shared" si="186"/>
        <v>2.0273104545454546</v>
      </c>
      <c r="BF245" s="542">
        <f t="shared" si="186"/>
        <v>2.0273104545454546</v>
      </c>
      <c r="BG245" s="542">
        <f t="shared" si="186"/>
        <v>2.0273104545454546</v>
      </c>
      <c r="BH245" s="542">
        <f t="shared" si="186"/>
        <v>2.0273104545454546</v>
      </c>
      <c r="BI245" s="542">
        <f t="shared" si="186"/>
        <v>2.0273104545454546</v>
      </c>
      <c r="BJ245" s="542">
        <f t="shared" si="186"/>
        <v>2.0273104545454546</v>
      </c>
      <c r="BK245" s="542">
        <f t="shared" si="186"/>
        <v>2.0273104545454546</v>
      </c>
      <c r="BL245" s="542">
        <f t="shared" si="186"/>
        <v>2.0273104545454546</v>
      </c>
      <c r="BM245" s="542">
        <f t="shared" si="186"/>
        <v>2.0273104545454546</v>
      </c>
      <c r="BN245" s="542">
        <f t="shared" si="186"/>
        <v>2.0273104545454546</v>
      </c>
      <c r="BO245" s="542">
        <f t="shared" si="186"/>
        <v>2.0273104545454546</v>
      </c>
      <c r="BP245" s="542">
        <f t="shared" si="186"/>
        <v>2.0273104545454546</v>
      </c>
      <c r="BQ245" s="542">
        <f t="shared" si="186"/>
        <v>2.0273104545454546</v>
      </c>
      <c r="BR245" s="542">
        <f t="shared" si="186"/>
        <v>2.0273104545454546</v>
      </c>
      <c r="BS245" s="542">
        <f t="shared" si="186"/>
        <v>2.0273104545454546</v>
      </c>
      <c r="BT245" s="542">
        <f t="shared" si="186"/>
        <v>2.0273104545454546</v>
      </c>
      <c r="BU245" s="542">
        <f t="shared" si="186"/>
        <v>2.0273104545454546</v>
      </c>
      <c r="BV245" s="542">
        <f t="shared" si="186"/>
        <v>2.0273104545454546</v>
      </c>
      <c r="BW245" s="542">
        <f t="shared" si="186"/>
        <v>2.0273104545454546</v>
      </c>
      <c r="BX245" s="542">
        <f t="shared" si="186"/>
        <v>2.0273104545454546</v>
      </c>
      <c r="BY245" s="542">
        <f t="shared" si="186"/>
        <v>2.0273104545454546</v>
      </c>
      <c r="BZ245" s="542">
        <f t="shared" si="186"/>
        <v>2.0273104545454546</v>
      </c>
      <c r="CA245" s="542">
        <f t="shared" si="186"/>
        <v>2.0273104545454546</v>
      </c>
      <c r="CB245" s="542">
        <f t="shared" si="186"/>
        <v>2.0273104545454546</v>
      </c>
      <c r="CC245" s="542">
        <f t="shared" si="186"/>
        <v>2.0273104545454546</v>
      </c>
      <c r="CD245" s="542">
        <f t="shared" si="186"/>
        <v>2.0273104545454546</v>
      </c>
      <c r="CE245" s="542">
        <f t="shared" si="186"/>
        <v>2.0273104545454546</v>
      </c>
      <c r="CG245" s="541">
        <v>2.0273104545454546</v>
      </c>
      <c r="CH245" s="541">
        <v>2.0273104545454546</v>
      </c>
      <c r="CI245" s="541">
        <v>2.0273104545454546</v>
      </c>
      <c r="CJ245" s="541">
        <v>2.0273104545454546</v>
      </c>
      <c r="CK245" s="541">
        <v>2.0273104545454546</v>
      </c>
      <c r="CL245" s="541">
        <v>2.0273104545454546</v>
      </c>
      <c r="CM245" s="541">
        <v>2.0273104545454546</v>
      </c>
      <c r="CN245" s="541">
        <v>2.0273104545454546</v>
      </c>
      <c r="CO245" s="541">
        <v>2.0273104545454546</v>
      </c>
      <c r="CP245" s="541">
        <v>2.0273104545454546</v>
      </c>
      <c r="CQ245" s="541">
        <v>2.0273104545454546</v>
      </c>
      <c r="CR245" s="541">
        <v>2.0273104545454546</v>
      </c>
      <c r="CS245" s="541">
        <v>2.0273104545454546</v>
      </c>
      <c r="CT245" s="541">
        <v>2.0273104545454546</v>
      </c>
      <c r="CU245" s="541">
        <v>2.0273104545454546</v>
      </c>
      <c r="CV245" s="541">
        <v>2.0273104545454546</v>
      </c>
      <c r="CW245" s="541">
        <v>2.0273104545454546</v>
      </c>
      <c r="CX245" s="541">
        <v>2.0273104545454546</v>
      </c>
      <c r="CY245" s="541">
        <v>2.0273104545454546</v>
      </c>
      <c r="CZ245" s="541">
        <v>2.0273104545454546</v>
      </c>
      <c r="DA245" s="541">
        <v>2.0273104545454546</v>
      </c>
      <c r="DB245" s="541">
        <v>2.0273104545454546</v>
      </c>
      <c r="DC245" s="541">
        <v>2.0273104545454546</v>
      </c>
      <c r="DD245" s="541">
        <v>2.0273104545454546</v>
      </c>
      <c r="DE245" s="541">
        <v>2.0273104545454546</v>
      </c>
      <c r="DF245" s="541">
        <v>2.0273104545454546</v>
      </c>
      <c r="DG245" s="541">
        <v>2.0273104545454546</v>
      </c>
      <c r="DH245" s="541">
        <v>2.0273104545454546</v>
      </c>
    </row>
    <row r="246" spans="2:112">
      <c r="B246" t="s">
        <v>1117</v>
      </c>
      <c r="C246" t="s">
        <v>771</v>
      </c>
      <c r="D246" t="s">
        <v>913</v>
      </c>
      <c r="E246" t="s">
        <v>908</v>
      </c>
      <c r="F246" s="541">
        <v>63.4925</v>
      </c>
      <c r="G246" s="541">
        <v>63.4925</v>
      </c>
      <c r="H246" s="541">
        <v>63.4925</v>
      </c>
      <c r="I246" s="541">
        <v>63.4925</v>
      </c>
      <c r="J246" s="541">
        <v>63.4925</v>
      </c>
      <c r="K246" s="541">
        <v>63.4925</v>
      </c>
      <c r="L246" s="541">
        <v>63.4925</v>
      </c>
      <c r="M246" s="541">
        <v>63.4925</v>
      </c>
      <c r="N246" s="541">
        <v>63.4925</v>
      </c>
      <c r="O246" s="541">
        <v>63.4925</v>
      </c>
      <c r="P246" s="541">
        <v>63.4925</v>
      </c>
      <c r="Q246" s="541">
        <v>63.4925</v>
      </c>
      <c r="R246" s="541">
        <v>63.4925</v>
      </c>
      <c r="S246" s="541">
        <v>63.4925</v>
      </c>
      <c r="T246" s="541">
        <v>63.4925</v>
      </c>
      <c r="U246" s="541">
        <v>63.4925</v>
      </c>
      <c r="V246" s="541">
        <v>63.4925</v>
      </c>
      <c r="W246" s="541">
        <v>63.4925</v>
      </c>
      <c r="X246" s="541">
        <v>63.4925</v>
      </c>
      <c r="Y246" s="541">
        <v>63.4925</v>
      </c>
      <c r="Z246" s="541">
        <v>63.4925</v>
      </c>
      <c r="AA246" s="541">
        <v>63.4925</v>
      </c>
      <c r="AB246" s="541">
        <v>63.4925</v>
      </c>
      <c r="AC246" s="541">
        <v>63.4925</v>
      </c>
      <c r="AD246" s="541">
        <v>63.4925</v>
      </c>
      <c r="AE246" s="541">
        <v>63.4925</v>
      </c>
      <c r="AF246" s="541">
        <v>63.4925</v>
      </c>
      <c r="AG246" s="541">
        <v>63.4925</v>
      </c>
      <c r="AH246" s="542">
        <f t="shared" si="187"/>
        <v>63.4925</v>
      </c>
      <c r="AI246" s="542">
        <f t="shared" si="187"/>
        <v>63.4925</v>
      </c>
      <c r="AJ246" s="542">
        <f t="shared" si="187"/>
        <v>63.4925</v>
      </c>
      <c r="AK246" s="542">
        <f t="shared" si="187"/>
        <v>63.4925</v>
      </c>
      <c r="AL246" s="542">
        <f t="shared" si="187"/>
        <v>63.4925</v>
      </c>
      <c r="AM246" s="542">
        <f t="shared" si="187"/>
        <v>63.4925</v>
      </c>
      <c r="AN246" s="542">
        <f t="shared" si="187"/>
        <v>63.4925</v>
      </c>
      <c r="AO246" s="542">
        <f t="shared" si="187"/>
        <v>63.4925</v>
      </c>
      <c r="AP246" s="542">
        <f t="shared" si="187"/>
        <v>63.4925</v>
      </c>
      <c r="AQ246" s="542">
        <f t="shared" si="187"/>
        <v>63.4925</v>
      </c>
      <c r="AR246" s="542">
        <f t="shared" si="187"/>
        <v>63.4925</v>
      </c>
      <c r="AS246" s="542">
        <f t="shared" si="187"/>
        <v>63.4925</v>
      </c>
      <c r="AT246" s="542">
        <f t="shared" si="187"/>
        <v>63.4925</v>
      </c>
      <c r="AU246" s="542">
        <f t="shared" si="187"/>
        <v>63.4925</v>
      </c>
      <c r="AV246" s="542">
        <f t="shared" si="187"/>
        <v>63.4925</v>
      </c>
      <c r="AW246" s="542">
        <f t="shared" si="187"/>
        <v>63.4925</v>
      </c>
      <c r="AX246" s="542">
        <f t="shared" si="186"/>
        <v>63.4925</v>
      </c>
      <c r="AY246" s="542">
        <f t="shared" si="186"/>
        <v>63.4925</v>
      </c>
      <c r="AZ246" s="542">
        <f t="shared" si="186"/>
        <v>63.4925</v>
      </c>
      <c r="BA246" s="542">
        <f t="shared" si="186"/>
        <v>63.4925</v>
      </c>
      <c r="BB246" s="542">
        <f t="shared" si="186"/>
        <v>63.4925</v>
      </c>
      <c r="BC246" s="542">
        <f t="shared" si="186"/>
        <v>63.4925</v>
      </c>
      <c r="BD246" s="542">
        <f t="shared" si="186"/>
        <v>63.4925</v>
      </c>
      <c r="BE246" s="542">
        <f t="shared" si="186"/>
        <v>63.4925</v>
      </c>
      <c r="BF246" s="542">
        <f t="shared" si="186"/>
        <v>63.4925</v>
      </c>
      <c r="BG246" s="542">
        <f t="shared" si="186"/>
        <v>63.4925</v>
      </c>
      <c r="BH246" s="542">
        <f t="shared" si="186"/>
        <v>63.4925</v>
      </c>
      <c r="BI246" s="542">
        <f t="shared" si="186"/>
        <v>63.4925</v>
      </c>
      <c r="BJ246" s="542">
        <f t="shared" si="186"/>
        <v>63.4925</v>
      </c>
      <c r="BK246" s="542">
        <f t="shared" si="186"/>
        <v>63.4925</v>
      </c>
      <c r="BL246" s="542">
        <f t="shared" si="186"/>
        <v>63.4925</v>
      </c>
      <c r="BM246" s="542">
        <f t="shared" si="186"/>
        <v>63.4925</v>
      </c>
      <c r="BN246" s="542">
        <f t="shared" si="186"/>
        <v>63.4925</v>
      </c>
      <c r="BO246" s="542">
        <f t="shared" si="186"/>
        <v>63.4925</v>
      </c>
      <c r="BP246" s="542">
        <f t="shared" si="186"/>
        <v>63.4925</v>
      </c>
      <c r="BQ246" s="542">
        <f t="shared" si="186"/>
        <v>63.4925</v>
      </c>
      <c r="BR246" s="542">
        <f t="shared" si="186"/>
        <v>63.4925</v>
      </c>
      <c r="BS246" s="542">
        <f t="shared" si="186"/>
        <v>63.4925</v>
      </c>
      <c r="BT246" s="542">
        <f t="shared" si="186"/>
        <v>63.4925</v>
      </c>
      <c r="BU246" s="542">
        <f t="shared" si="186"/>
        <v>63.4925</v>
      </c>
      <c r="BV246" s="542">
        <f t="shared" si="186"/>
        <v>63.4925</v>
      </c>
      <c r="BW246" s="542">
        <f t="shared" si="186"/>
        <v>63.4925</v>
      </c>
      <c r="BX246" s="542">
        <f t="shared" si="186"/>
        <v>63.4925</v>
      </c>
      <c r="BY246" s="542">
        <f t="shared" si="186"/>
        <v>63.4925</v>
      </c>
      <c r="BZ246" s="542">
        <f t="shared" si="186"/>
        <v>63.4925</v>
      </c>
      <c r="CA246" s="542">
        <f t="shared" si="186"/>
        <v>63.4925</v>
      </c>
      <c r="CB246" s="542">
        <f t="shared" si="186"/>
        <v>63.4925</v>
      </c>
      <c r="CC246" s="542">
        <f t="shared" si="186"/>
        <v>63.4925</v>
      </c>
      <c r="CD246" s="542">
        <f t="shared" si="186"/>
        <v>63.4925</v>
      </c>
      <c r="CE246" s="542">
        <f t="shared" si="186"/>
        <v>63.4925</v>
      </c>
      <c r="CG246" s="541">
        <v>63.4925</v>
      </c>
      <c r="CH246" s="541">
        <v>63.4925</v>
      </c>
      <c r="CI246" s="541">
        <v>63.4925</v>
      </c>
      <c r="CJ246" s="541">
        <v>63.4925</v>
      </c>
      <c r="CK246" s="541">
        <v>63.4925</v>
      </c>
      <c r="CL246" s="541">
        <v>63.4925</v>
      </c>
      <c r="CM246" s="541">
        <v>63.4925</v>
      </c>
      <c r="CN246" s="541">
        <v>63.4925</v>
      </c>
      <c r="CO246" s="541">
        <v>63.4925</v>
      </c>
      <c r="CP246" s="541">
        <v>63.4925</v>
      </c>
      <c r="CQ246" s="541">
        <v>63.4925</v>
      </c>
      <c r="CR246" s="541">
        <v>63.4925</v>
      </c>
      <c r="CS246" s="541">
        <v>63.4925</v>
      </c>
      <c r="CT246" s="541">
        <v>63.4925</v>
      </c>
      <c r="CU246" s="541">
        <v>63.4925</v>
      </c>
      <c r="CV246" s="541">
        <v>63.4925</v>
      </c>
      <c r="CW246" s="541">
        <v>63.4925</v>
      </c>
      <c r="CX246" s="541">
        <v>63.4925</v>
      </c>
      <c r="CY246" s="541">
        <v>63.4925</v>
      </c>
      <c r="CZ246" s="541">
        <v>63.4925</v>
      </c>
      <c r="DA246" s="541">
        <v>63.4925</v>
      </c>
      <c r="DB246" s="541">
        <v>63.4925</v>
      </c>
      <c r="DC246" s="541">
        <v>63.4925</v>
      </c>
      <c r="DD246" s="541">
        <v>63.4925</v>
      </c>
      <c r="DE246" s="541">
        <v>63.4925</v>
      </c>
      <c r="DF246" s="541">
        <v>63.4925</v>
      </c>
      <c r="DG246" s="541">
        <v>63.4925</v>
      </c>
      <c r="DH246" s="541">
        <v>63.4925</v>
      </c>
    </row>
    <row r="247" spans="2:112">
      <c r="B247" t="s">
        <v>1118</v>
      </c>
      <c r="C247" t="s">
        <v>771</v>
      </c>
      <c r="D247" t="s">
        <v>915</v>
      </c>
      <c r="E247" t="s">
        <v>911</v>
      </c>
      <c r="F247" s="541">
        <v>2.1063904545454544</v>
      </c>
      <c r="G247" s="541">
        <v>2.1063904545454544</v>
      </c>
      <c r="H247" s="541">
        <v>2.1063904545454544</v>
      </c>
      <c r="I247" s="541">
        <v>2.1063904545454544</v>
      </c>
      <c r="J247" s="541">
        <v>2.1063904545454544</v>
      </c>
      <c r="K247" s="541">
        <v>2.1063904545454544</v>
      </c>
      <c r="L247" s="541">
        <v>2.1063904545454544</v>
      </c>
      <c r="M247" s="541">
        <v>2.1063904545454544</v>
      </c>
      <c r="N247" s="541">
        <v>2.1063904545454544</v>
      </c>
      <c r="O247" s="541">
        <v>2.1063904545454544</v>
      </c>
      <c r="P247" s="541">
        <v>2.1063904545454544</v>
      </c>
      <c r="Q247" s="541">
        <v>2.1063904545454544</v>
      </c>
      <c r="R247" s="541">
        <v>2.1063904545454544</v>
      </c>
      <c r="S247" s="541">
        <v>2.1063904545454544</v>
      </c>
      <c r="T247" s="541">
        <v>2.1063904545454544</v>
      </c>
      <c r="U247" s="541">
        <v>2.1063904545454544</v>
      </c>
      <c r="V247" s="541">
        <v>2.1063904545454544</v>
      </c>
      <c r="W247" s="541">
        <v>2.1063904545454544</v>
      </c>
      <c r="X247" s="541">
        <v>2.1063904545454544</v>
      </c>
      <c r="Y247" s="541">
        <v>2.1063904545454544</v>
      </c>
      <c r="Z247" s="541">
        <v>2.1063904545454544</v>
      </c>
      <c r="AA247" s="541">
        <v>2.1063904545454544</v>
      </c>
      <c r="AB247" s="541">
        <v>2.1063904545454544</v>
      </c>
      <c r="AC247" s="541">
        <v>2.1063904545454544</v>
      </c>
      <c r="AD247" s="541">
        <v>2.1063904545454544</v>
      </c>
      <c r="AE247" s="541">
        <v>2.1063904545454544</v>
      </c>
      <c r="AF247" s="541">
        <v>2.1063904545454544</v>
      </c>
      <c r="AG247" s="541">
        <v>2.1063904545454544</v>
      </c>
      <c r="AH247" s="542">
        <f t="shared" si="187"/>
        <v>2.1063904545454544</v>
      </c>
      <c r="AI247" s="542">
        <f t="shared" si="187"/>
        <v>2.1063904545454544</v>
      </c>
      <c r="AJ247" s="542">
        <f t="shared" si="187"/>
        <v>2.1063904545454544</v>
      </c>
      <c r="AK247" s="542">
        <f t="shared" si="187"/>
        <v>2.1063904545454544</v>
      </c>
      <c r="AL247" s="542">
        <f t="shared" si="187"/>
        <v>2.1063904545454544</v>
      </c>
      <c r="AM247" s="542">
        <f t="shared" si="187"/>
        <v>2.1063904545454544</v>
      </c>
      <c r="AN247" s="542">
        <f t="shared" si="187"/>
        <v>2.1063904545454544</v>
      </c>
      <c r="AO247" s="542">
        <f t="shared" si="187"/>
        <v>2.1063904545454544</v>
      </c>
      <c r="AP247" s="542">
        <f t="shared" si="187"/>
        <v>2.1063904545454544</v>
      </c>
      <c r="AQ247" s="542">
        <f t="shared" si="187"/>
        <v>2.1063904545454544</v>
      </c>
      <c r="AR247" s="542">
        <f t="shared" si="187"/>
        <v>2.1063904545454544</v>
      </c>
      <c r="AS247" s="542">
        <f t="shared" si="187"/>
        <v>2.1063904545454544</v>
      </c>
      <c r="AT247" s="542">
        <f t="shared" si="187"/>
        <v>2.1063904545454544</v>
      </c>
      <c r="AU247" s="542">
        <f t="shared" si="187"/>
        <v>2.1063904545454544</v>
      </c>
      <c r="AV247" s="542">
        <f t="shared" si="187"/>
        <v>2.1063904545454544</v>
      </c>
      <c r="AW247" s="542">
        <f t="shared" si="187"/>
        <v>2.1063904545454544</v>
      </c>
      <c r="AX247" s="542">
        <f t="shared" si="186"/>
        <v>2.1063904545454544</v>
      </c>
      <c r="AY247" s="542">
        <f t="shared" si="186"/>
        <v>2.1063904545454544</v>
      </c>
      <c r="AZ247" s="542">
        <f t="shared" si="186"/>
        <v>2.1063904545454544</v>
      </c>
      <c r="BA247" s="542">
        <f t="shared" si="186"/>
        <v>2.1063904545454544</v>
      </c>
      <c r="BB247" s="542">
        <f t="shared" si="186"/>
        <v>2.1063904545454544</v>
      </c>
      <c r="BC247" s="542">
        <f t="shared" si="186"/>
        <v>2.1063904545454544</v>
      </c>
      <c r="BD247" s="542">
        <f t="shared" si="186"/>
        <v>2.1063904545454544</v>
      </c>
      <c r="BE247" s="542">
        <f t="shared" si="186"/>
        <v>2.1063904545454544</v>
      </c>
      <c r="BF247" s="542">
        <f t="shared" si="186"/>
        <v>2.1063904545454544</v>
      </c>
      <c r="BG247" s="542">
        <f t="shared" si="186"/>
        <v>2.1063904545454544</v>
      </c>
      <c r="BH247" s="542">
        <f t="shared" si="186"/>
        <v>2.1063904545454544</v>
      </c>
      <c r="BI247" s="542">
        <f t="shared" si="186"/>
        <v>2.1063904545454544</v>
      </c>
      <c r="BJ247" s="542">
        <f t="shared" si="186"/>
        <v>2.1063904545454544</v>
      </c>
      <c r="BK247" s="542">
        <f t="shared" si="186"/>
        <v>2.1063904545454544</v>
      </c>
      <c r="BL247" s="542">
        <f t="shared" si="186"/>
        <v>2.1063904545454544</v>
      </c>
      <c r="BM247" s="542">
        <f t="shared" si="186"/>
        <v>2.1063904545454544</v>
      </c>
      <c r="BN247" s="542">
        <f t="shared" si="186"/>
        <v>2.1063904545454544</v>
      </c>
      <c r="BO247" s="542">
        <f t="shared" si="186"/>
        <v>2.1063904545454544</v>
      </c>
      <c r="BP247" s="542">
        <f t="shared" si="186"/>
        <v>2.1063904545454544</v>
      </c>
      <c r="BQ247" s="542">
        <f t="shared" si="186"/>
        <v>2.1063904545454544</v>
      </c>
      <c r="BR247" s="542">
        <f t="shared" si="186"/>
        <v>2.1063904545454544</v>
      </c>
      <c r="BS247" s="542">
        <f t="shared" si="186"/>
        <v>2.1063904545454544</v>
      </c>
      <c r="BT247" s="542">
        <f t="shared" si="186"/>
        <v>2.1063904545454544</v>
      </c>
      <c r="BU247" s="542">
        <f t="shared" si="186"/>
        <v>2.1063904545454544</v>
      </c>
      <c r="BV247" s="542">
        <f t="shared" si="186"/>
        <v>2.1063904545454544</v>
      </c>
      <c r="BW247" s="542">
        <f t="shared" si="186"/>
        <v>2.1063904545454544</v>
      </c>
      <c r="BX247" s="542">
        <f t="shared" si="186"/>
        <v>2.1063904545454544</v>
      </c>
      <c r="BY247" s="542">
        <f t="shared" si="186"/>
        <v>2.1063904545454544</v>
      </c>
      <c r="BZ247" s="542">
        <f t="shared" si="186"/>
        <v>2.1063904545454544</v>
      </c>
      <c r="CA247" s="542">
        <f t="shared" si="186"/>
        <v>2.1063904545454544</v>
      </c>
      <c r="CB247" s="542">
        <f t="shared" si="186"/>
        <v>2.1063904545454544</v>
      </c>
      <c r="CC247" s="542">
        <f t="shared" si="186"/>
        <v>2.1063904545454544</v>
      </c>
      <c r="CD247" s="542">
        <f t="shared" si="186"/>
        <v>2.1063904545454544</v>
      </c>
      <c r="CE247" s="542">
        <f t="shared" si="186"/>
        <v>2.1063904545454544</v>
      </c>
      <c r="CG247" s="541">
        <v>2.1063904545454544</v>
      </c>
      <c r="CH247" s="541">
        <v>2.1063904545454544</v>
      </c>
      <c r="CI247" s="541">
        <v>2.1063904545454544</v>
      </c>
      <c r="CJ247" s="541">
        <v>2.1063904545454544</v>
      </c>
      <c r="CK247" s="541">
        <v>2.1063904545454544</v>
      </c>
      <c r="CL247" s="541">
        <v>2.1063904545454544</v>
      </c>
      <c r="CM247" s="541">
        <v>2.1063904545454544</v>
      </c>
      <c r="CN247" s="541">
        <v>2.1063904545454544</v>
      </c>
      <c r="CO247" s="541">
        <v>2.1063904545454544</v>
      </c>
      <c r="CP247" s="541">
        <v>2.1063904545454544</v>
      </c>
      <c r="CQ247" s="541">
        <v>2.1063904545454544</v>
      </c>
      <c r="CR247" s="541">
        <v>2.1063904545454544</v>
      </c>
      <c r="CS247" s="541">
        <v>2.1063904545454544</v>
      </c>
      <c r="CT247" s="541">
        <v>2.1063904545454544</v>
      </c>
      <c r="CU247" s="541">
        <v>2.1063904545454544</v>
      </c>
      <c r="CV247" s="541">
        <v>2.1063904545454544</v>
      </c>
      <c r="CW247" s="541">
        <v>2.1063904545454544</v>
      </c>
      <c r="CX247" s="541">
        <v>2.1063904545454544</v>
      </c>
      <c r="CY247" s="541">
        <v>2.1063904545454544</v>
      </c>
      <c r="CZ247" s="541">
        <v>2.1063904545454544</v>
      </c>
      <c r="DA247" s="541">
        <v>2.1063904545454544</v>
      </c>
      <c r="DB247" s="541">
        <v>2.1063904545454544</v>
      </c>
      <c r="DC247" s="541">
        <v>2.1063904545454544</v>
      </c>
      <c r="DD247" s="541">
        <v>2.1063904545454544</v>
      </c>
      <c r="DE247" s="541">
        <v>2.1063904545454544</v>
      </c>
      <c r="DF247" s="541">
        <v>2.1063904545454544</v>
      </c>
      <c r="DG247" s="541">
        <v>2.1063904545454544</v>
      </c>
      <c r="DH247" s="541">
        <v>2.1063904545454544</v>
      </c>
    </row>
    <row r="248" spans="2:112">
      <c r="B248" t="s">
        <v>1119</v>
      </c>
      <c r="C248" t="s">
        <v>771</v>
      </c>
      <c r="D248" t="s">
        <v>917</v>
      </c>
      <c r="E248" t="s">
        <v>908</v>
      </c>
      <c r="F248" s="541">
        <v>59.705500000000001</v>
      </c>
      <c r="G248" s="541">
        <v>59.705500000000001</v>
      </c>
      <c r="H248" s="541">
        <v>59.705500000000001</v>
      </c>
      <c r="I248" s="541">
        <v>59.705500000000001</v>
      </c>
      <c r="J248" s="541">
        <v>59.705500000000001</v>
      </c>
      <c r="K248" s="541">
        <v>59.705500000000001</v>
      </c>
      <c r="L248" s="541">
        <v>59.705500000000001</v>
      </c>
      <c r="M248" s="541">
        <v>59.705500000000001</v>
      </c>
      <c r="N248" s="541">
        <v>59.705500000000001</v>
      </c>
      <c r="O248" s="541">
        <v>59.705500000000001</v>
      </c>
      <c r="P248" s="541">
        <v>59.705500000000001</v>
      </c>
      <c r="Q248" s="541">
        <v>59.705500000000001</v>
      </c>
      <c r="R248" s="541">
        <v>59.705500000000001</v>
      </c>
      <c r="S248" s="541">
        <v>59.705500000000001</v>
      </c>
      <c r="T248" s="541">
        <v>59.705500000000001</v>
      </c>
      <c r="U248" s="541">
        <v>59.705500000000001</v>
      </c>
      <c r="V248" s="541">
        <v>59.705500000000001</v>
      </c>
      <c r="W248" s="541">
        <v>59.705500000000001</v>
      </c>
      <c r="X248" s="541">
        <v>59.705500000000001</v>
      </c>
      <c r="Y248" s="541">
        <v>59.705500000000001</v>
      </c>
      <c r="Z248" s="541">
        <v>59.705500000000001</v>
      </c>
      <c r="AA248" s="541">
        <v>59.705500000000001</v>
      </c>
      <c r="AB248" s="541">
        <v>59.705500000000001</v>
      </c>
      <c r="AC248" s="541">
        <v>59.705500000000001</v>
      </c>
      <c r="AD248" s="541">
        <v>59.705500000000001</v>
      </c>
      <c r="AE248" s="541">
        <v>59.705500000000001</v>
      </c>
      <c r="AF248" s="541">
        <v>59.705500000000001</v>
      </c>
      <c r="AG248" s="541">
        <v>59.705500000000001</v>
      </c>
      <c r="AH248" s="542">
        <f t="shared" si="187"/>
        <v>59.705500000000001</v>
      </c>
      <c r="AI248" s="542">
        <f t="shared" si="187"/>
        <v>59.705500000000001</v>
      </c>
      <c r="AJ248" s="542">
        <f t="shared" si="187"/>
        <v>59.705500000000001</v>
      </c>
      <c r="AK248" s="542">
        <f t="shared" si="187"/>
        <v>59.705500000000001</v>
      </c>
      <c r="AL248" s="542">
        <f t="shared" si="187"/>
        <v>59.705500000000001</v>
      </c>
      <c r="AM248" s="542">
        <f t="shared" si="187"/>
        <v>59.705500000000001</v>
      </c>
      <c r="AN248" s="542">
        <f t="shared" si="187"/>
        <v>59.705500000000001</v>
      </c>
      <c r="AO248" s="542">
        <f t="shared" si="187"/>
        <v>59.705500000000001</v>
      </c>
      <c r="AP248" s="542">
        <f t="shared" si="187"/>
        <v>59.705500000000001</v>
      </c>
      <c r="AQ248" s="542">
        <f t="shared" si="187"/>
        <v>59.705500000000001</v>
      </c>
      <c r="AR248" s="542">
        <f t="shared" si="187"/>
        <v>59.705500000000001</v>
      </c>
      <c r="AS248" s="542">
        <f t="shared" si="187"/>
        <v>59.705500000000001</v>
      </c>
      <c r="AT248" s="542">
        <f t="shared" si="187"/>
        <v>59.705500000000001</v>
      </c>
      <c r="AU248" s="542">
        <f t="shared" si="187"/>
        <v>59.705500000000001</v>
      </c>
      <c r="AV248" s="542">
        <f t="shared" si="187"/>
        <v>59.705500000000001</v>
      </c>
      <c r="AW248" s="542">
        <f t="shared" si="187"/>
        <v>59.705500000000001</v>
      </c>
      <c r="AX248" s="542">
        <f t="shared" si="186"/>
        <v>59.705500000000001</v>
      </c>
      <c r="AY248" s="542">
        <f t="shared" si="186"/>
        <v>59.705500000000001</v>
      </c>
      <c r="AZ248" s="542">
        <f t="shared" si="186"/>
        <v>59.705500000000001</v>
      </c>
      <c r="BA248" s="542">
        <f t="shared" si="186"/>
        <v>59.705500000000001</v>
      </c>
      <c r="BB248" s="542">
        <f t="shared" si="186"/>
        <v>59.705500000000001</v>
      </c>
      <c r="BC248" s="542">
        <f t="shared" si="186"/>
        <v>59.705500000000001</v>
      </c>
      <c r="BD248" s="542">
        <f t="shared" si="186"/>
        <v>59.705500000000001</v>
      </c>
      <c r="BE248" s="542">
        <f t="shared" si="186"/>
        <v>59.705500000000001</v>
      </c>
      <c r="BF248" s="542">
        <f t="shared" si="186"/>
        <v>59.705500000000001</v>
      </c>
      <c r="BG248" s="542">
        <f t="shared" si="186"/>
        <v>59.705500000000001</v>
      </c>
      <c r="BH248" s="542">
        <f t="shared" si="186"/>
        <v>59.705500000000001</v>
      </c>
      <c r="BI248" s="542">
        <f t="shared" si="186"/>
        <v>59.705500000000001</v>
      </c>
      <c r="BJ248" s="542">
        <f t="shared" si="186"/>
        <v>59.705500000000001</v>
      </c>
      <c r="BK248" s="542">
        <f t="shared" si="186"/>
        <v>59.705500000000001</v>
      </c>
      <c r="BL248" s="542">
        <f t="shared" si="186"/>
        <v>59.705500000000001</v>
      </c>
      <c r="BM248" s="542">
        <f t="shared" si="186"/>
        <v>59.705500000000001</v>
      </c>
      <c r="BN248" s="542">
        <f t="shared" si="186"/>
        <v>59.705500000000001</v>
      </c>
      <c r="BO248" s="542">
        <f t="shared" si="186"/>
        <v>59.705500000000001</v>
      </c>
      <c r="BP248" s="542">
        <f t="shared" si="186"/>
        <v>59.705500000000001</v>
      </c>
      <c r="BQ248" s="542">
        <f t="shared" si="186"/>
        <v>59.705500000000001</v>
      </c>
      <c r="BR248" s="542">
        <f t="shared" si="186"/>
        <v>59.705500000000001</v>
      </c>
      <c r="BS248" s="542">
        <f t="shared" si="186"/>
        <v>59.705500000000001</v>
      </c>
      <c r="BT248" s="542">
        <f t="shared" si="186"/>
        <v>59.705500000000001</v>
      </c>
      <c r="BU248" s="542">
        <f t="shared" si="186"/>
        <v>59.705500000000001</v>
      </c>
      <c r="BV248" s="542">
        <f t="shared" si="186"/>
        <v>59.705500000000001</v>
      </c>
      <c r="BW248" s="542">
        <f t="shared" si="186"/>
        <v>59.705500000000001</v>
      </c>
      <c r="BX248" s="542">
        <f t="shared" si="186"/>
        <v>59.705500000000001</v>
      </c>
      <c r="BY248" s="542">
        <f t="shared" si="186"/>
        <v>59.705500000000001</v>
      </c>
      <c r="BZ248" s="542">
        <f t="shared" si="186"/>
        <v>59.705500000000001</v>
      </c>
      <c r="CA248" s="542">
        <f t="shared" si="186"/>
        <v>59.705500000000001</v>
      </c>
      <c r="CB248" s="542">
        <f t="shared" si="186"/>
        <v>59.705500000000001</v>
      </c>
      <c r="CC248" s="542">
        <f t="shared" si="186"/>
        <v>59.705500000000001</v>
      </c>
      <c r="CD248" s="542">
        <f t="shared" si="186"/>
        <v>59.705500000000001</v>
      </c>
      <c r="CE248" s="542">
        <f t="shared" si="186"/>
        <v>59.705500000000001</v>
      </c>
      <c r="CG248" s="541">
        <v>59.705500000000001</v>
      </c>
      <c r="CH248" s="541">
        <v>59.705500000000001</v>
      </c>
      <c r="CI248" s="541">
        <v>59.705500000000001</v>
      </c>
      <c r="CJ248" s="541">
        <v>59.705500000000001</v>
      </c>
      <c r="CK248" s="541">
        <v>59.705500000000001</v>
      </c>
      <c r="CL248" s="541">
        <v>59.705500000000001</v>
      </c>
      <c r="CM248" s="541">
        <v>59.705500000000001</v>
      </c>
      <c r="CN248" s="541">
        <v>59.705500000000001</v>
      </c>
      <c r="CO248" s="541">
        <v>59.705500000000001</v>
      </c>
      <c r="CP248" s="541">
        <v>59.705500000000001</v>
      </c>
      <c r="CQ248" s="541">
        <v>59.705500000000001</v>
      </c>
      <c r="CR248" s="541">
        <v>59.705500000000001</v>
      </c>
      <c r="CS248" s="541">
        <v>59.705500000000001</v>
      </c>
      <c r="CT248" s="541">
        <v>59.705500000000001</v>
      </c>
      <c r="CU248" s="541">
        <v>59.705500000000001</v>
      </c>
      <c r="CV248" s="541">
        <v>59.705500000000001</v>
      </c>
      <c r="CW248" s="541">
        <v>59.705500000000001</v>
      </c>
      <c r="CX248" s="541">
        <v>59.705500000000001</v>
      </c>
      <c r="CY248" s="541">
        <v>59.705500000000001</v>
      </c>
      <c r="CZ248" s="541">
        <v>59.705500000000001</v>
      </c>
      <c r="DA248" s="541">
        <v>59.705500000000001</v>
      </c>
      <c r="DB248" s="541">
        <v>59.705500000000001</v>
      </c>
      <c r="DC248" s="541">
        <v>59.705500000000001</v>
      </c>
      <c r="DD248" s="541">
        <v>59.705500000000001</v>
      </c>
      <c r="DE248" s="541">
        <v>59.705500000000001</v>
      </c>
      <c r="DF248" s="541">
        <v>59.705500000000001</v>
      </c>
      <c r="DG248" s="541">
        <v>59.705500000000001</v>
      </c>
      <c r="DH248" s="541">
        <v>59.705500000000001</v>
      </c>
    </row>
    <row r="249" spans="2:112">
      <c r="B249" t="s">
        <v>1120</v>
      </c>
      <c r="C249" t="s">
        <v>771</v>
      </c>
      <c r="D249" t="s">
        <v>919</v>
      </c>
      <c r="E249" t="s">
        <v>911</v>
      </c>
      <c r="F249" s="541">
        <v>2.0685204545454545</v>
      </c>
      <c r="G249" s="541">
        <v>2.0685204545454545</v>
      </c>
      <c r="H249" s="541">
        <v>2.0685204545454545</v>
      </c>
      <c r="I249" s="541">
        <v>2.0685204545454545</v>
      </c>
      <c r="J249" s="541">
        <v>2.0685204545454545</v>
      </c>
      <c r="K249" s="541">
        <v>2.0685204545454545</v>
      </c>
      <c r="L249" s="541">
        <v>2.0685204545454545</v>
      </c>
      <c r="M249" s="541">
        <v>2.0685204545454545</v>
      </c>
      <c r="N249" s="541">
        <v>2.0685204545454545</v>
      </c>
      <c r="O249" s="541">
        <v>2.0685204545454545</v>
      </c>
      <c r="P249" s="541">
        <v>2.0685204545454545</v>
      </c>
      <c r="Q249" s="541">
        <v>2.0685204545454545</v>
      </c>
      <c r="R249" s="541">
        <v>2.0685204545454545</v>
      </c>
      <c r="S249" s="541">
        <v>2.0685204545454545</v>
      </c>
      <c r="T249" s="541">
        <v>2.0685204545454545</v>
      </c>
      <c r="U249" s="541">
        <v>2.0685204545454545</v>
      </c>
      <c r="V249" s="541">
        <v>2.0685204545454545</v>
      </c>
      <c r="W249" s="541">
        <v>2.0685204545454545</v>
      </c>
      <c r="X249" s="541">
        <v>2.0685204545454545</v>
      </c>
      <c r="Y249" s="541">
        <v>2.0685204545454545</v>
      </c>
      <c r="Z249" s="541">
        <v>2.0685204545454545</v>
      </c>
      <c r="AA249" s="541">
        <v>2.0685204545454545</v>
      </c>
      <c r="AB249" s="541">
        <v>2.0685204545454545</v>
      </c>
      <c r="AC249" s="541">
        <v>2.0685204545454545</v>
      </c>
      <c r="AD249" s="541">
        <v>2.0685204545454545</v>
      </c>
      <c r="AE249" s="541">
        <v>2.0685204545454545</v>
      </c>
      <c r="AF249" s="541">
        <v>2.0685204545454545</v>
      </c>
      <c r="AG249" s="541">
        <v>2.0685204545454545</v>
      </c>
      <c r="AH249" s="542">
        <f t="shared" si="187"/>
        <v>2.0685204545454545</v>
      </c>
      <c r="AI249" s="542">
        <f t="shared" si="187"/>
        <v>2.0685204545454545</v>
      </c>
      <c r="AJ249" s="542">
        <f t="shared" si="187"/>
        <v>2.0685204545454545</v>
      </c>
      <c r="AK249" s="542">
        <f t="shared" si="187"/>
        <v>2.0685204545454545</v>
      </c>
      <c r="AL249" s="542">
        <f t="shared" si="187"/>
        <v>2.0685204545454545</v>
      </c>
      <c r="AM249" s="542">
        <f t="shared" si="187"/>
        <v>2.0685204545454545</v>
      </c>
      <c r="AN249" s="542">
        <f t="shared" si="187"/>
        <v>2.0685204545454545</v>
      </c>
      <c r="AO249" s="542">
        <f t="shared" si="187"/>
        <v>2.0685204545454545</v>
      </c>
      <c r="AP249" s="542">
        <f t="shared" si="187"/>
        <v>2.0685204545454545</v>
      </c>
      <c r="AQ249" s="542">
        <f t="shared" si="187"/>
        <v>2.0685204545454545</v>
      </c>
      <c r="AR249" s="542">
        <f t="shared" si="187"/>
        <v>2.0685204545454545</v>
      </c>
      <c r="AS249" s="542">
        <f t="shared" si="187"/>
        <v>2.0685204545454545</v>
      </c>
      <c r="AT249" s="542">
        <f t="shared" si="187"/>
        <v>2.0685204545454545</v>
      </c>
      <c r="AU249" s="542">
        <f t="shared" si="187"/>
        <v>2.0685204545454545</v>
      </c>
      <c r="AV249" s="542">
        <f t="shared" si="187"/>
        <v>2.0685204545454545</v>
      </c>
      <c r="AW249" s="542">
        <f t="shared" si="187"/>
        <v>2.0685204545454545</v>
      </c>
      <c r="AX249" s="542">
        <f t="shared" si="186"/>
        <v>2.0685204545454545</v>
      </c>
      <c r="AY249" s="542">
        <f t="shared" si="186"/>
        <v>2.0685204545454545</v>
      </c>
      <c r="AZ249" s="542">
        <f t="shared" si="186"/>
        <v>2.0685204545454545</v>
      </c>
      <c r="BA249" s="542">
        <f t="shared" si="186"/>
        <v>2.0685204545454545</v>
      </c>
      <c r="BB249" s="542">
        <f t="shared" si="186"/>
        <v>2.0685204545454545</v>
      </c>
      <c r="BC249" s="542">
        <f t="shared" si="186"/>
        <v>2.0685204545454545</v>
      </c>
      <c r="BD249" s="542">
        <f t="shared" si="186"/>
        <v>2.0685204545454545</v>
      </c>
      <c r="BE249" s="542">
        <f t="shared" si="186"/>
        <v>2.0685204545454545</v>
      </c>
      <c r="BF249" s="542">
        <f t="shared" si="186"/>
        <v>2.0685204545454545</v>
      </c>
      <c r="BG249" s="542">
        <f t="shared" si="186"/>
        <v>2.0685204545454545</v>
      </c>
      <c r="BH249" s="542">
        <f t="shared" si="186"/>
        <v>2.0685204545454545</v>
      </c>
      <c r="BI249" s="542">
        <f t="shared" si="186"/>
        <v>2.0685204545454545</v>
      </c>
      <c r="BJ249" s="542">
        <f t="shared" si="186"/>
        <v>2.0685204545454545</v>
      </c>
      <c r="BK249" s="542">
        <f t="shared" si="186"/>
        <v>2.0685204545454545</v>
      </c>
      <c r="BL249" s="542">
        <f t="shared" si="186"/>
        <v>2.0685204545454545</v>
      </c>
      <c r="BM249" s="542">
        <f t="shared" si="186"/>
        <v>2.0685204545454545</v>
      </c>
      <c r="BN249" s="542">
        <f t="shared" si="186"/>
        <v>2.0685204545454545</v>
      </c>
      <c r="BO249" s="542">
        <f t="shared" si="186"/>
        <v>2.0685204545454545</v>
      </c>
      <c r="BP249" s="542">
        <f t="shared" si="186"/>
        <v>2.0685204545454545</v>
      </c>
      <c r="BQ249" s="542">
        <f t="shared" si="186"/>
        <v>2.0685204545454545</v>
      </c>
      <c r="BR249" s="542">
        <f t="shared" si="186"/>
        <v>2.0685204545454545</v>
      </c>
      <c r="BS249" s="542">
        <f t="shared" si="186"/>
        <v>2.0685204545454545</v>
      </c>
      <c r="BT249" s="542">
        <f t="shared" si="186"/>
        <v>2.0685204545454545</v>
      </c>
      <c r="BU249" s="542">
        <f t="shared" si="186"/>
        <v>2.0685204545454545</v>
      </c>
      <c r="BV249" s="542">
        <f t="shared" si="186"/>
        <v>2.0685204545454545</v>
      </c>
      <c r="BW249" s="542">
        <f t="shared" si="186"/>
        <v>2.0685204545454545</v>
      </c>
      <c r="BX249" s="542">
        <f t="shared" si="186"/>
        <v>2.0685204545454545</v>
      </c>
      <c r="BY249" s="542">
        <f t="shared" si="186"/>
        <v>2.0685204545454545</v>
      </c>
      <c r="BZ249" s="542">
        <f t="shared" si="186"/>
        <v>2.0685204545454545</v>
      </c>
      <c r="CA249" s="542">
        <f t="shared" si="186"/>
        <v>2.0685204545454545</v>
      </c>
      <c r="CB249" s="542">
        <f t="shared" si="186"/>
        <v>2.0685204545454545</v>
      </c>
      <c r="CC249" s="542">
        <f t="shared" si="186"/>
        <v>2.0685204545454545</v>
      </c>
      <c r="CD249" s="542">
        <f t="shared" si="186"/>
        <v>2.0685204545454545</v>
      </c>
      <c r="CE249" s="542">
        <f t="shared" si="186"/>
        <v>2.0685204545454545</v>
      </c>
      <c r="CG249" s="541">
        <v>2.0685204545454545</v>
      </c>
      <c r="CH249" s="541">
        <v>2.0685204545454545</v>
      </c>
      <c r="CI249" s="541">
        <v>2.0685204545454545</v>
      </c>
      <c r="CJ249" s="541">
        <v>2.0685204545454545</v>
      </c>
      <c r="CK249" s="541">
        <v>2.0685204545454545</v>
      </c>
      <c r="CL249" s="541">
        <v>2.0685204545454545</v>
      </c>
      <c r="CM249" s="541">
        <v>2.0685204545454545</v>
      </c>
      <c r="CN249" s="541">
        <v>2.0685204545454545</v>
      </c>
      <c r="CO249" s="541">
        <v>2.0685204545454545</v>
      </c>
      <c r="CP249" s="541">
        <v>2.0685204545454545</v>
      </c>
      <c r="CQ249" s="541">
        <v>2.0685204545454545</v>
      </c>
      <c r="CR249" s="541">
        <v>2.0685204545454545</v>
      </c>
      <c r="CS249" s="541">
        <v>2.0685204545454545</v>
      </c>
      <c r="CT249" s="541">
        <v>2.0685204545454545</v>
      </c>
      <c r="CU249" s="541">
        <v>2.0685204545454545</v>
      </c>
      <c r="CV249" s="541">
        <v>2.0685204545454545</v>
      </c>
      <c r="CW249" s="541">
        <v>2.0685204545454545</v>
      </c>
      <c r="CX249" s="541">
        <v>2.0685204545454545</v>
      </c>
      <c r="CY249" s="541">
        <v>2.0685204545454545</v>
      </c>
      <c r="CZ249" s="541">
        <v>2.0685204545454545</v>
      </c>
      <c r="DA249" s="541">
        <v>2.0685204545454545</v>
      </c>
      <c r="DB249" s="541">
        <v>2.0685204545454545</v>
      </c>
      <c r="DC249" s="541">
        <v>2.0685204545454545</v>
      </c>
      <c r="DD249" s="541">
        <v>2.0685204545454545</v>
      </c>
      <c r="DE249" s="541">
        <v>2.0685204545454545</v>
      </c>
      <c r="DF249" s="541">
        <v>2.0685204545454545</v>
      </c>
      <c r="DG249" s="541">
        <v>2.0685204545454545</v>
      </c>
      <c r="DH249" s="541">
        <v>2.0685204545454545</v>
      </c>
    </row>
    <row r="250" spans="2:112">
      <c r="B250" t="s">
        <v>1121</v>
      </c>
      <c r="C250" t="s">
        <v>771</v>
      </c>
      <c r="D250" t="s">
        <v>921</v>
      </c>
      <c r="E250" t="s">
        <v>908</v>
      </c>
      <c r="F250" s="541">
        <v>61.1145</v>
      </c>
      <c r="G250" s="541">
        <v>61.1145</v>
      </c>
      <c r="H250" s="541">
        <v>61.1145</v>
      </c>
      <c r="I250" s="541">
        <v>61.1145</v>
      </c>
      <c r="J250" s="541">
        <v>61.1145</v>
      </c>
      <c r="K250" s="541">
        <v>61.1145</v>
      </c>
      <c r="L250" s="541">
        <v>61.1145</v>
      </c>
      <c r="M250" s="541">
        <v>61.1145</v>
      </c>
      <c r="N250" s="541">
        <v>61.1145</v>
      </c>
      <c r="O250" s="541">
        <v>61.1145</v>
      </c>
      <c r="P250" s="541">
        <v>61.1145</v>
      </c>
      <c r="Q250" s="541">
        <v>61.1145</v>
      </c>
      <c r="R250" s="541">
        <v>61.1145</v>
      </c>
      <c r="S250" s="541">
        <v>61.1145</v>
      </c>
      <c r="T250" s="541">
        <v>61.1145</v>
      </c>
      <c r="U250" s="541">
        <v>61.1145</v>
      </c>
      <c r="V250" s="541">
        <v>61.1145</v>
      </c>
      <c r="W250" s="541">
        <v>61.1145</v>
      </c>
      <c r="X250" s="541">
        <v>61.1145</v>
      </c>
      <c r="Y250" s="541">
        <v>61.1145</v>
      </c>
      <c r="Z250" s="541">
        <v>61.1145</v>
      </c>
      <c r="AA250" s="541">
        <v>61.1145</v>
      </c>
      <c r="AB250" s="541">
        <v>61.1145</v>
      </c>
      <c r="AC250" s="541">
        <v>61.1145</v>
      </c>
      <c r="AD250" s="541">
        <v>61.1145</v>
      </c>
      <c r="AE250" s="541">
        <v>61.1145</v>
      </c>
      <c r="AF250" s="541">
        <v>61.1145</v>
      </c>
      <c r="AG250" s="541">
        <v>61.1145</v>
      </c>
      <c r="AH250" s="542">
        <f t="shared" si="187"/>
        <v>61.1145</v>
      </c>
      <c r="AI250" s="542">
        <f t="shared" si="187"/>
        <v>61.1145</v>
      </c>
      <c r="AJ250" s="542">
        <f t="shared" si="187"/>
        <v>61.1145</v>
      </c>
      <c r="AK250" s="542">
        <f t="shared" si="187"/>
        <v>61.1145</v>
      </c>
      <c r="AL250" s="542">
        <f t="shared" si="187"/>
        <v>61.1145</v>
      </c>
      <c r="AM250" s="542">
        <f t="shared" si="187"/>
        <v>61.1145</v>
      </c>
      <c r="AN250" s="542">
        <f t="shared" si="187"/>
        <v>61.1145</v>
      </c>
      <c r="AO250" s="542">
        <f t="shared" si="187"/>
        <v>61.1145</v>
      </c>
      <c r="AP250" s="542">
        <f t="shared" si="187"/>
        <v>61.1145</v>
      </c>
      <c r="AQ250" s="542">
        <f t="shared" si="187"/>
        <v>61.1145</v>
      </c>
      <c r="AR250" s="542">
        <f t="shared" si="187"/>
        <v>61.1145</v>
      </c>
      <c r="AS250" s="542">
        <f t="shared" si="187"/>
        <v>61.1145</v>
      </c>
      <c r="AT250" s="542">
        <f t="shared" si="187"/>
        <v>61.1145</v>
      </c>
      <c r="AU250" s="542">
        <f t="shared" si="187"/>
        <v>61.1145</v>
      </c>
      <c r="AV250" s="542">
        <f t="shared" si="187"/>
        <v>61.1145</v>
      </c>
      <c r="AW250" s="542">
        <f t="shared" si="187"/>
        <v>61.1145</v>
      </c>
      <c r="AX250" s="542">
        <f t="shared" si="186"/>
        <v>61.1145</v>
      </c>
      <c r="AY250" s="542">
        <f t="shared" si="186"/>
        <v>61.1145</v>
      </c>
      <c r="AZ250" s="542">
        <f t="shared" si="186"/>
        <v>61.1145</v>
      </c>
      <c r="BA250" s="542">
        <f t="shared" si="186"/>
        <v>61.1145</v>
      </c>
      <c r="BB250" s="542">
        <f t="shared" si="186"/>
        <v>61.1145</v>
      </c>
      <c r="BC250" s="542">
        <f t="shared" si="186"/>
        <v>61.1145</v>
      </c>
      <c r="BD250" s="542">
        <f t="shared" si="186"/>
        <v>61.1145</v>
      </c>
      <c r="BE250" s="542">
        <f t="shared" si="186"/>
        <v>61.1145</v>
      </c>
      <c r="BF250" s="542">
        <f t="shared" si="186"/>
        <v>61.1145</v>
      </c>
      <c r="BG250" s="542">
        <f t="shared" si="186"/>
        <v>61.1145</v>
      </c>
      <c r="BH250" s="542">
        <f t="shared" si="186"/>
        <v>61.1145</v>
      </c>
      <c r="BI250" s="542">
        <f t="shared" si="186"/>
        <v>61.1145</v>
      </c>
      <c r="BJ250" s="542">
        <f t="shared" si="186"/>
        <v>61.1145</v>
      </c>
      <c r="BK250" s="542">
        <f t="shared" si="186"/>
        <v>61.1145</v>
      </c>
      <c r="BL250" s="542">
        <f t="shared" si="186"/>
        <v>61.1145</v>
      </c>
      <c r="BM250" s="542">
        <f t="shared" si="186"/>
        <v>61.1145</v>
      </c>
      <c r="BN250" s="542">
        <f t="shared" si="186"/>
        <v>61.1145</v>
      </c>
      <c r="BO250" s="542">
        <f t="shared" si="186"/>
        <v>61.1145</v>
      </c>
      <c r="BP250" s="542">
        <f t="shared" si="186"/>
        <v>61.1145</v>
      </c>
      <c r="BQ250" s="542">
        <f t="shared" si="186"/>
        <v>61.1145</v>
      </c>
      <c r="BR250" s="542">
        <f t="shared" si="186"/>
        <v>61.1145</v>
      </c>
      <c r="BS250" s="542">
        <f t="shared" si="186"/>
        <v>61.1145</v>
      </c>
      <c r="BT250" s="542">
        <f t="shared" si="186"/>
        <v>61.1145</v>
      </c>
      <c r="BU250" s="542">
        <f t="shared" si="186"/>
        <v>61.1145</v>
      </c>
      <c r="BV250" s="542">
        <f t="shared" si="186"/>
        <v>61.1145</v>
      </c>
      <c r="BW250" s="542">
        <f t="shared" si="186"/>
        <v>61.1145</v>
      </c>
      <c r="BX250" s="542">
        <f t="shared" si="186"/>
        <v>61.1145</v>
      </c>
      <c r="BY250" s="542">
        <f t="shared" si="186"/>
        <v>61.1145</v>
      </c>
      <c r="BZ250" s="542">
        <f t="shared" si="186"/>
        <v>61.1145</v>
      </c>
      <c r="CA250" s="542">
        <f t="shared" si="186"/>
        <v>61.1145</v>
      </c>
      <c r="CB250" s="542">
        <f t="shared" si="186"/>
        <v>61.1145</v>
      </c>
      <c r="CC250" s="542">
        <f t="shared" si="186"/>
        <v>61.1145</v>
      </c>
      <c r="CD250" s="542">
        <f t="shared" si="186"/>
        <v>61.1145</v>
      </c>
      <c r="CE250" s="542">
        <f t="shared" si="186"/>
        <v>61.1145</v>
      </c>
      <c r="CG250" s="541">
        <v>61.1145</v>
      </c>
      <c r="CH250" s="541">
        <v>61.1145</v>
      </c>
      <c r="CI250" s="541">
        <v>61.1145</v>
      </c>
      <c r="CJ250" s="541">
        <v>61.1145</v>
      </c>
      <c r="CK250" s="541">
        <v>61.1145</v>
      </c>
      <c r="CL250" s="541">
        <v>61.1145</v>
      </c>
      <c r="CM250" s="541">
        <v>61.1145</v>
      </c>
      <c r="CN250" s="541">
        <v>61.1145</v>
      </c>
      <c r="CO250" s="541">
        <v>61.1145</v>
      </c>
      <c r="CP250" s="541">
        <v>61.1145</v>
      </c>
      <c r="CQ250" s="541">
        <v>61.1145</v>
      </c>
      <c r="CR250" s="541">
        <v>61.1145</v>
      </c>
      <c r="CS250" s="541">
        <v>61.1145</v>
      </c>
      <c r="CT250" s="541">
        <v>61.1145</v>
      </c>
      <c r="CU250" s="541">
        <v>61.1145</v>
      </c>
      <c r="CV250" s="541">
        <v>61.1145</v>
      </c>
      <c r="CW250" s="541">
        <v>61.1145</v>
      </c>
      <c r="CX250" s="541">
        <v>61.1145</v>
      </c>
      <c r="CY250" s="541">
        <v>61.1145</v>
      </c>
      <c r="CZ250" s="541">
        <v>61.1145</v>
      </c>
      <c r="DA250" s="541">
        <v>61.1145</v>
      </c>
      <c r="DB250" s="541">
        <v>61.1145</v>
      </c>
      <c r="DC250" s="541">
        <v>61.1145</v>
      </c>
      <c r="DD250" s="541">
        <v>61.1145</v>
      </c>
      <c r="DE250" s="541">
        <v>61.1145</v>
      </c>
      <c r="DF250" s="541">
        <v>61.1145</v>
      </c>
      <c r="DG250" s="541">
        <v>61.1145</v>
      </c>
      <c r="DH250" s="541">
        <v>61.1145</v>
      </c>
    </row>
    <row r="251" spans="2:112">
      <c r="B251" t="s">
        <v>1122</v>
      </c>
      <c r="C251" t="s">
        <v>771</v>
      </c>
      <c r="D251" t="s">
        <v>923</v>
      </c>
      <c r="E251" t="s">
        <v>911</v>
      </c>
      <c r="F251" s="541">
        <v>2.0826104545454545</v>
      </c>
      <c r="G251" s="541">
        <v>2.0826104545454545</v>
      </c>
      <c r="H251" s="541">
        <v>2.0826104545454545</v>
      </c>
      <c r="I251" s="541">
        <v>2.0826104545454545</v>
      </c>
      <c r="J251" s="541">
        <v>2.0826104545454545</v>
      </c>
      <c r="K251" s="541">
        <v>2.0826104545454545</v>
      </c>
      <c r="L251" s="541">
        <v>2.0826104545454545</v>
      </c>
      <c r="M251" s="541">
        <v>2.0826104545454545</v>
      </c>
      <c r="N251" s="541">
        <v>2.0826104545454545</v>
      </c>
      <c r="O251" s="541">
        <v>2.0826104545454545</v>
      </c>
      <c r="P251" s="541">
        <v>2.0826104545454545</v>
      </c>
      <c r="Q251" s="541">
        <v>2.0826104545454545</v>
      </c>
      <c r="R251" s="541">
        <v>2.0826104545454545</v>
      </c>
      <c r="S251" s="541">
        <v>2.0826104545454545</v>
      </c>
      <c r="T251" s="541">
        <v>2.0826104545454545</v>
      </c>
      <c r="U251" s="541">
        <v>2.0826104545454545</v>
      </c>
      <c r="V251" s="541">
        <v>2.0826104545454545</v>
      </c>
      <c r="W251" s="541">
        <v>2.0826104545454545</v>
      </c>
      <c r="X251" s="541">
        <v>2.0826104545454545</v>
      </c>
      <c r="Y251" s="541">
        <v>2.0826104545454545</v>
      </c>
      <c r="Z251" s="541">
        <v>2.0826104545454545</v>
      </c>
      <c r="AA251" s="541">
        <v>2.0826104545454545</v>
      </c>
      <c r="AB251" s="541">
        <v>2.0826104545454545</v>
      </c>
      <c r="AC251" s="541">
        <v>2.0826104545454545</v>
      </c>
      <c r="AD251" s="541">
        <v>2.0826104545454545</v>
      </c>
      <c r="AE251" s="541">
        <v>2.0826104545454545</v>
      </c>
      <c r="AF251" s="541">
        <v>2.0826104545454545</v>
      </c>
      <c r="AG251" s="541">
        <v>2.0826104545454545</v>
      </c>
      <c r="AH251" s="542">
        <f t="shared" si="187"/>
        <v>2.0826104545454545</v>
      </c>
      <c r="AI251" s="542">
        <f t="shared" si="187"/>
        <v>2.0826104545454545</v>
      </c>
      <c r="AJ251" s="542">
        <f t="shared" si="187"/>
        <v>2.0826104545454545</v>
      </c>
      <c r="AK251" s="542">
        <f t="shared" si="187"/>
        <v>2.0826104545454545</v>
      </c>
      <c r="AL251" s="542">
        <f t="shared" si="187"/>
        <v>2.0826104545454545</v>
      </c>
      <c r="AM251" s="542">
        <f t="shared" si="187"/>
        <v>2.0826104545454545</v>
      </c>
      <c r="AN251" s="542">
        <f t="shared" si="187"/>
        <v>2.0826104545454545</v>
      </c>
      <c r="AO251" s="542">
        <f t="shared" si="187"/>
        <v>2.0826104545454545</v>
      </c>
      <c r="AP251" s="542">
        <f t="shared" si="187"/>
        <v>2.0826104545454545</v>
      </c>
      <c r="AQ251" s="542">
        <f t="shared" si="187"/>
        <v>2.0826104545454545</v>
      </c>
      <c r="AR251" s="542">
        <f t="shared" si="187"/>
        <v>2.0826104545454545</v>
      </c>
      <c r="AS251" s="542">
        <f t="shared" si="187"/>
        <v>2.0826104545454545</v>
      </c>
      <c r="AT251" s="542">
        <f t="shared" si="187"/>
        <v>2.0826104545454545</v>
      </c>
      <c r="AU251" s="542">
        <f t="shared" si="187"/>
        <v>2.0826104545454545</v>
      </c>
      <c r="AV251" s="542">
        <f t="shared" si="187"/>
        <v>2.0826104545454545</v>
      </c>
      <c r="AW251" s="542">
        <f t="shared" si="187"/>
        <v>2.0826104545454545</v>
      </c>
      <c r="AX251" s="542">
        <f t="shared" si="186"/>
        <v>2.0826104545454545</v>
      </c>
      <c r="AY251" s="542">
        <f t="shared" si="186"/>
        <v>2.0826104545454545</v>
      </c>
      <c r="AZ251" s="542">
        <f t="shared" si="186"/>
        <v>2.0826104545454545</v>
      </c>
      <c r="BA251" s="542">
        <f t="shared" si="186"/>
        <v>2.0826104545454545</v>
      </c>
      <c r="BB251" s="542">
        <f t="shared" si="186"/>
        <v>2.0826104545454545</v>
      </c>
      <c r="BC251" s="542">
        <f t="shared" si="186"/>
        <v>2.0826104545454545</v>
      </c>
      <c r="BD251" s="542">
        <f t="shared" si="186"/>
        <v>2.0826104545454545</v>
      </c>
      <c r="BE251" s="542">
        <f t="shared" si="186"/>
        <v>2.0826104545454545</v>
      </c>
      <c r="BF251" s="542">
        <f t="shared" si="186"/>
        <v>2.0826104545454545</v>
      </c>
      <c r="BG251" s="542">
        <f t="shared" si="186"/>
        <v>2.0826104545454545</v>
      </c>
      <c r="BH251" s="542">
        <f t="shared" si="186"/>
        <v>2.0826104545454545</v>
      </c>
      <c r="BI251" s="542">
        <f t="shared" si="186"/>
        <v>2.0826104545454545</v>
      </c>
      <c r="BJ251" s="542">
        <f t="shared" si="186"/>
        <v>2.0826104545454545</v>
      </c>
      <c r="BK251" s="542">
        <f t="shared" si="186"/>
        <v>2.0826104545454545</v>
      </c>
      <c r="BL251" s="542">
        <f t="shared" si="186"/>
        <v>2.0826104545454545</v>
      </c>
      <c r="BM251" s="542">
        <f t="shared" si="186"/>
        <v>2.0826104545454545</v>
      </c>
      <c r="BN251" s="542">
        <f t="shared" si="186"/>
        <v>2.0826104545454545</v>
      </c>
      <c r="BO251" s="542">
        <f t="shared" si="186"/>
        <v>2.0826104545454545</v>
      </c>
      <c r="BP251" s="542">
        <f t="shared" si="186"/>
        <v>2.0826104545454545</v>
      </c>
      <c r="BQ251" s="542">
        <f t="shared" si="186"/>
        <v>2.0826104545454545</v>
      </c>
      <c r="BR251" s="542">
        <f t="shared" si="186"/>
        <v>2.0826104545454545</v>
      </c>
      <c r="BS251" s="542">
        <f t="shared" si="186"/>
        <v>2.0826104545454545</v>
      </c>
      <c r="BT251" s="542">
        <f t="shared" si="186"/>
        <v>2.0826104545454545</v>
      </c>
      <c r="BU251" s="542">
        <f t="shared" si="186"/>
        <v>2.0826104545454545</v>
      </c>
      <c r="BV251" s="542">
        <f t="shared" si="186"/>
        <v>2.0826104545454545</v>
      </c>
      <c r="BW251" s="542">
        <f t="shared" si="186"/>
        <v>2.0826104545454545</v>
      </c>
      <c r="BX251" s="542">
        <f t="shared" si="186"/>
        <v>2.0826104545454545</v>
      </c>
      <c r="BY251" s="542">
        <f t="shared" si="186"/>
        <v>2.0826104545454545</v>
      </c>
      <c r="BZ251" s="542">
        <f t="shared" si="186"/>
        <v>2.0826104545454545</v>
      </c>
      <c r="CA251" s="542">
        <f t="shared" si="186"/>
        <v>2.0826104545454545</v>
      </c>
      <c r="CB251" s="542">
        <f t="shared" si="186"/>
        <v>2.0826104545454545</v>
      </c>
      <c r="CC251" s="542">
        <f t="shared" si="186"/>
        <v>2.0826104545454545</v>
      </c>
      <c r="CD251" s="542">
        <f t="shared" si="186"/>
        <v>2.0826104545454545</v>
      </c>
      <c r="CE251" s="542">
        <f t="shared" si="186"/>
        <v>2.0826104545454545</v>
      </c>
      <c r="CG251" s="541">
        <v>2.0826104545454545</v>
      </c>
      <c r="CH251" s="541">
        <v>2.0826104545454545</v>
      </c>
      <c r="CI251" s="541">
        <v>2.0826104545454545</v>
      </c>
      <c r="CJ251" s="541">
        <v>2.0826104545454545</v>
      </c>
      <c r="CK251" s="541">
        <v>2.0826104545454545</v>
      </c>
      <c r="CL251" s="541">
        <v>2.0826104545454545</v>
      </c>
      <c r="CM251" s="541">
        <v>2.0826104545454545</v>
      </c>
      <c r="CN251" s="541">
        <v>2.0826104545454545</v>
      </c>
      <c r="CO251" s="541">
        <v>2.0826104545454545</v>
      </c>
      <c r="CP251" s="541">
        <v>2.0826104545454545</v>
      </c>
      <c r="CQ251" s="541">
        <v>2.0826104545454545</v>
      </c>
      <c r="CR251" s="541">
        <v>2.0826104545454545</v>
      </c>
      <c r="CS251" s="541">
        <v>2.0826104545454545</v>
      </c>
      <c r="CT251" s="541">
        <v>2.0826104545454545</v>
      </c>
      <c r="CU251" s="541">
        <v>2.0826104545454545</v>
      </c>
      <c r="CV251" s="541">
        <v>2.0826104545454545</v>
      </c>
      <c r="CW251" s="541">
        <v>2.0826104545454545</v>
      </c>
      <c r="CX251" s="541">
        <v>2.0826104545454545</v>
      </c>
      <c r="CY251" s="541">
        <v>2.0826104545454545</v>
      </c>
      <c r="CZ251" s="541">
        <v>2.0826104545454545</v>
      </c>
      <c r="DA251" s="541">
        <v>2.0826104545454545</v>
      </c>
      <c r="DB251" s="541">
        <v>2.0826104545454545</v>
      </c>
      <c r="DC251" s="541">
        <v>2.0826104545454545</v>
      </c>
      <c r="DD251" s="541">
        <v>2.0826104545454545</v>
      </c>
      <c r="DE251" s="541">
        <v>2.0826104545454545</v>
      </c>
      <c r="DF251" s="541">
        <v>2.0826104545454545</v>
      </c>
      <c r="DG251" s="541">
        <v>2.0826104545454545</v>
      </c>
      <c r="DH251" s="541">
        <v>2.0826104545454545</v>
      </c>
    </row>
    <row r="252" spans="2:112">
      <c r="B252" t="s">
        <v>924</v>
      </c>
    </row>
    <row r="253" spans="2:112" ht="15">
      <c r="B253" t="s">
        <v>1123</v>
      </c>
      <c r="C253" s="485" t="s">
        <v>779</v>
      </c>
      <c r="D253" s="485" t="s">
        <v>877</v>
      </c>
      <c r="E253" s="485" t="s">
        <v>111</v>
      </c>
      <c r="F253" s="486">
        <f>2023</f>
        <v>2023</v>
      </c>
      <c r="G253" s="486">
        <f>F253+1</f>
        <v>2024</v>
      </c>
      <c r="H253" s="486">
        <f t="shared" ref="H253:AG253" si="188">G253+1</f>
        <v>2025</v>
      </c>
      <c r="I253" s="486">
        <f t="shared" si="188"/>
        <v>2026</v>
      </c>
      <c r="J253" s="486">
        <f t="shared" si="188"/>
        <v>2027</v>
      </c>
      <c r="K253" s="486">
        <f t="shared" si="188"/>
        <v>2028</v>
      </c>
      <c r="L253" s="486">
        <f t="shared" si="188"/>
        <v>2029</v>
      </c>
      <c r="M253" s="486">
        <f t="shared" si="188"/>
        <v>2030</v>
      </c>
      <c r="N253" s="486">
        <f t="shared" si="188"/>
        <v>2031</v>
      </c>
      <c r="O253" s="486">
        <f t="shared" si="188"/>
        <v>2032</v>
      </c>
      <c r="P253" s="486">
        <f t="shared" si="188"/>
        <v>2033</v>
      </c>
      <c r="Q253" s="486">
        <f t="shared" si="188"/>
        <v>2034</v>
      </c>
      <c r="R253" s="486">
        <f t="shared" si="188"/>
        <v>2035</v>
      </c>
      <c r="S253" s="486">
        <f t="shared" si="188"/>
        <v>2036</v>
      </c>
      <c r="T253" s="486">
        <f t="shared" si="188"/>
        <v>2037</v>
      </c>
      <c r="U253" s="486">
        <f t="shared" si="188"/>
        <v>2038</v>
      </c>
      <c r="V253" s="486">
        <f t="shared" si="188"/>
        <v>2039</v>
      </c>
      <c r="W253" s="486">
        <f t="shared" si="188"/>
        <v>2040</v>
      </c>
      <c r="X253" s="486">
        <f t="shared" si="188"/>
        <v>2041</v>
      </c>
      <c r="Y253" s="486">
        <f t="shared" si="188"/>
        <v>2042</v>
      </c>
      <c r="Z253" s="486">
        <f t="shared" si="188"/>
        <v>2043</v>
      </c>
      <c r="AA253" s="486">
        <f t="shared" si="188"/>
        <v>2044</v>
      </c>
      <c r="AB253" s="486">
        <f t="shared" si="188"/>
        <v>2045</v>
      </c>
      <c r="AC253" s="486">
        <f t="shared" si="188"/>
        <v>2046</v>
      </c>
      <c r="AD253" s="486">
        <f t="shared" si="188"/>
        <v>2047</v>
      </c>
      <c r="AE253" s="486">
        <f t="shared" si="188"/>
        <v>2048</v>
      </c>
      <c r="AF253" s="486">
        <f t="shared" si="188"/>
        <v>2049</v>
      </c>
      <c r="AG253" s="486">
        <f t="shared" si="188"/>
        <v>2050</v>
      </c>
      <c r="AH253" s="524">
        <f>AG253+1</f>
        <v>2051</v>
      </c>
      <c r="AI253" s="524">
        <f t="shared" ref="AI253:CE253" si="189">AH253+1</f>
        <v>2052</v>
      </c>
      <c r="AJ253" s="524">
        <f t="shared" si="189"/>
        <v>2053</v>
      </c>
      <c r="AK253" s="524">
        <f t="shared" si="189"/>
        <v>2054</v>
      </c>
      <c r="AL253" s="524">
        <f t="shared" si="189"/>
        <v>2055</v>
      </c>
      <c r="AM253" s="524">
        <f t="shared" si="189"/>
        <v>2056</v>
      </c>
      <c r="AN253" s="524">
        <f t="shared" si="189"/>
        <v>2057</v>
      </c>
      <c r="AO253" s="524">
        <f t="shared" si="189"/>
        <v>2058</v>
      </c>
      <c r="AP253" s="524">
        <f t="shared" si="189"/>
        <v>2059</v>
      </c>
      <c r="AQ253" s="524">
        <f t="shared" si="189"/>
        <v>2060</v>
      </c>
      <c r="AR253" s="524">
        <f t="shared" si="189"/>
        <v>2061</v>
      </c>
      <c r="AS253" s="524">
        <f t="shared" si="189"/>
        <v>2062</v>
      </c>
      <c r="AT253" s="524">
        <f t="shared" si="189"/>
        <v>2063</v>
      </c>
      <c r="AU253" s="524">
        <f t="shared" si="189"/>
        <v>2064</v>
      </c>
      <c r="AV253" s="524">
        <f t="shared" si="189"/>
        <v>2065</v>
      </c>
      <c r="AW253" s="524">
        <f t="shared" si="189"/>
        <v>2066</v>
      </c>
      <c r="AX253" s="524">
        <f t="shared" si="189"/>
        <v>2067</v>
      </c>
      <c r="AY253" s="524">
        <f t="shared" si="189"/>
        <v>2068</v>
      </c>
      <c r="AZ253" s="524">
        <f t="shared" si="189"/>
        <v>2069</v>
      </c>
      <c r="BA253" s="524">
        <f t="shared" si="189"/>
        <v>2070</v>
      </c>
      <c r="BB253" s="524">
        <f t="shared" si="189"/>
        <v>2071</v>
      </c>
      <c r="BC253" s="524">
        <f t="shared" si="189"/>
        <v>2072</v>
      </c>
      <c r="BD253" s="524">
        <f t="shared" si="189"/>
        <v>2073</v>
      </c>
      <c r="BE253" s="524">
        <f t="shared" si="189"/>
        <v>2074</v>
      </c>
      <c r="BF253" s="524">
        <f t="shared" si="189"/>
        <v>2075</v>
      </c>
      <c r="BG253" s="524">
        <f t="shared" si="189"/>
        <v>2076</v>
      </c>
      <c r="BH253" s="524">
        <f t="shared" si="189"/>
        <v>2077</v>
      </c>
      <c r="BI253" s="524">
        <f t="shared" si="189"/>
        <v>2078</v>
      </c>
      <c r="BJ253" s="524">
        <f t="shared" si="189"/>
        <v>2079</v>
      </c>
      <c r="BK253" s="524">
        <f t="shared" si="189"/>
        <v>2080</v>
      </c>
      <c r="BL253" s="524">
        <f t="shared" si="189"/>
        <v>2081</v>
      </c>
      <c r="BM253" s="524">
        <f t="shared" si="189"/>
        <v>2082</v>
      </c>
      <c r="BN253" s="524">
        <f t="shared" si="189"/>
        <v>2083</v>
      </c>
      <c r="BO253" s="524">
        <f t="shared" si="189"/>
        <v>2084</v>
      </c>
      <c r="BP253" s="524">
        <f t="shared" si="189"/>
        <v>2085</v>
      </c>
      <c r="BQ253" s="524">
        <f t="shared" si="189"/>
        <v>2086</v>
      </c>
      <c r="BR253" s="524">
        <f t="shared" si="189"/>
        <v>2087</v>
      </c>
      <c r="BS253" s="524">
        <f t="shared" si="189"/>
        <v>2088</v>
      </c>
      <c r="BT253" s="524">
        <f t="shared" si="189"/>
        <v>2089</v>
      </c>
      <c r="BU253" s="524">
        <f t="shared" si="189"/>
        <v>2090</v>
      </c>
      <c r="BV253" s="524">
        <f t="shared" si="189"/>
        <v>2091</v>
      </c>
      <c r="BW253" s="524">
        <f t="shared" si="189"/>
        <v>2092</v>
      </c>
      <c r="BX253" s="524">
        <f t="shared" si="189"/>
        <v>2093</v>
      </c>
      <c r="BY253" s="524">
        <f t="shared" si="189"/>
        <v>2094</v>
      </c>
      <c r="BZ253" s="524">
        <f t="shared" si="189"/>
        <v>2095</v>
      </c>
      <c r="CA253" s="524">
        <f t="shared" si="189"/>
        <v>2096</v>
      </c>
      <c r="CB253" s="524">
        <f t="shared" si="189"/>
        <v>2097</v>
      </c>
      <c r="CC253" s="524">
        <f t="shared" si="189"/>
        <v>2098</v>
      </c>
      <c r="CD253" s="524">
        <f t="shared" si="189"/>
        <v>2099</v>
      </c>
      <c r="CE253" s="524">
        <f t="shared" si="189"/>
        <v>2100</v>
      </c>
      <c r="CG253" s="486">
        <v>2023</v>
      </c>
      <c r="CH253" s="486">
        <v>2024</v>
      </c>
      <c r="CI253" s="486">
        <v>2025</v>
      </c>
      <c r="CJ253" s="486">
        <v>2026</v>
      </c>
      <c r="CK253" s="486">
        <v>2027</v>
      </c>
      <c r="CL253" s="486">
        <v>2028</v>
      </c>
      <c r="CM253" s="486">
        <v>2029</v>
      </c>
      <c r="CN253" s="486">
        <v>2030</v>
      </c>
      <c r="CO253" s="486">
        <v>2031</v>
      </c>
      <c r="CP253" s="486">
        <v>2032</v>
      </c>
      <c r="CQ253" s="486">
        <v>2033</v>
      </c>
      <c r="CR253" s="486">
        <v>2034</v>
      </c>
      <c r="CS253" s="486">
        <v>2035</v>
      </c>
      <c r="CT253" s="486">
        <v>2036</v>
      </c>
      <c r="CU253" s="486">
        <v>2037</v>
      </c>
      <c r="CV253" s="486">
        <v>2038</v>
      </c>
      <c r="CW253" s="486">
        <v>2039</v>
      </c>
      <c r="CX253" s="486">
        <v>2040</v>
      </c>
      <c r="CY253" s="486">
        <v>2041</v>
      </c>
      <c r="CZ253" s="486">
        <v>2042</v>
      </c>
      <c r="DA253" s="486">
        <v>2043</v>
      </c>
      <c r="DB253" s="486">
        <v>2044</v>
      </c>
      <c r="DC253" s="486">
        <v>2045</v>
      </c>
      <c r="DD253" s="486">
        <v>2046</v>
      </c>
      <c r="DE253" s="486">
        <v>2047</v>
      </c>
      <c r="DF253" s="486">
        <v>2048</v>
      </c>
      <c r="DG253" s="486">
        <v>2049</v>
      </c>
      <c r="DH253" s="486">
        <v>2050</v>
      </c>
    </row>
    <row r="254" spans="2:112">
      <c r="B254" t="s">
        <v>1124</v>
      </c>
      <c r="C254" t="s">
        <v>779</v>
      </c>
      <c r="D254" t="s">
        <v>879</v>
      </c>
      <c r="E254" t="s">
        <v>773</v>
      </c>
      <c r="F254" s="525">
        <v>7000</v>
      </c>
      <c r="G254" s="525">
        <v>7000</v>
      </c>
      <c r="H254" s="525">
        <v>7000</v>
      </c>
      <c r="I254" s="525">
        <v>7000</v>
      </c>
      <c r="J254" s="525">
        <v>7000</v>
      </c>
      <c r="K254" s="525">
        <v>7000</v>
      </c>
      <c r="L254" s="525">
        <v>7000</v>
      </c>
      <c r="M254" s="525">
        <v>7000</v>
      </c>
      <c r="N254" s="525">
        <v>7000</v>
      </c>
      <c r="O254" s="525">
        <v>7000</v>
      </c>
      <c r="P254" s="525">
        <v>7000</v>
      </c>
      <c r="Q254" s="525">
        <v>7000</v>
      </c>
      <c r="R254" s="525">
        <v>7000</v>
      </c>
      <c r="S254" s="525">
        <v>7000</v>
      </c>
      <c r="T254" s="525">
        <v>7000</v>
      </c>
      <c r="U254" s="525">
        <v>7000</v>
      </c>
      <c r="V254" s="525">
        <v>7000</v>
      </c>
      <c r="W254" s="525">
        <v>7000</v>
      </c>
      <c r="X254" s="525">
        <v>7000</v>
      </c>
      <c r="Y254" s="525">
        <v>7000</v>
      </c>
      <c r="Z254" s="525">
        <v>7000</v>
      </c>
      <c r="AA254" s="525">
        <v>7000</v>
      </c>
      <c r="AB254" s="525">
        <v>7000</v>
      </c>
      <c r="AC254" s="525">
        <v>7000</v>
      </c>
      <c r="AD254" s="525">
        <v>7000</v>
      </c>
      <c r="AE254" s="525">
        <v>7000</v>
      </c>
      <c r="AF254" s="525">
        <v>7000</v>
      </c>
      <c r="AG254" s="525">
        <v>7000</v>
      </c>
      <c r="AH254" s="526">
        <f>AG254</f>
        <v>7000</v>
      </c>
      <c r="AI254" s="526">
        <f t="shared" ref="AI254:AX254" si="190">AH254</f>
        <v>7000</v>
      </c>
      <c r="AJ254" s="526">
        <f t="shared" si="190"/>
        <v>7000</v>
      </c>
      <c r="AK254" s="526">
        <f t="shared" si="190"/>
        <v>7000</v>
      </c>
      <c r="AL254" s="526">
        <f t="shared" si="190"/>
        <v>7000</v>
      </c>
      <c r="AM254" s="526">
        <f t="shared" si="190"/>
        <v>7000</v>
      </c>
      <c r="AN254" s="526">
        <f t="shared" si="190"/>
        <v>7000</v>
      </c>
      <c r="AO254" s="526">
        <f t="shared" si="190"/>
        <v>7000</v>
      </c>
      <c r="AP254" s="526">
        <f t="shared" si="190"/>
        <v>7000</v>
      </c>
      <c r="AQ254" s="526">
        <f t="shared" si="190"/>
        <v>7000</v>
      </c>
      <c r="AR254" s="526">
        <f t="shared" si="190"/>
        <v>7000</v>
      </c>
      <c r="AS254" s="526">
        <f t="shared" si="190"/>
        <v>7000</v>
      </c>
      <c r="AT254" s="526">
        <f t="shared" si="190"/>
        <v>7000</v>
      </c>
      <c r="AU254" s="526">
        <f t="shared" si="190"/>
        <v>7000</v>
      </c>
      <c r="AV254" s="526">
        <f t="shared" si="190"/>
        <v>7000</v>
      </c>
      <c r="AW254" s="526">
        <f t="shared" si="190"/>
        <v>7000</v>
      </c>
      <c r="AX254" s="526">
        <f t="shared" si="190"/>
        <v>7000</v>
      </c>
      <c r="AY254" s="526">
        <f t="shared" ref="AY254:BN254" si="191">AX254</f>
        <v>7000</v>
      </c>
      <c r="AZ254" s="526">
        <f t="shared" si="191"/>
        <v>7000</v>
      </c>
      <c r="BA254" s="526">
        <f t="shared" si="191"/>
        <v>7000</v>
      </c>
      <c r="BB254" s="526">
        <f t="shared" si="191"/>
        <v>7000</v>
      </c>
      <c r="BC254" s="526">
        <f t="shared" si="191"/>
        <v>7000</v>
      </c>
      <c r="BD254" s="526">
        <f t="shared" si="191"/>
        <v>7000</v>
      </c>
      <c r="BE254" s="526">
        <f t="shared" si="191"/>
        <v>7000</v>
      </c>
      <c r="BF254" s="526">
        <f t="shared" si="191"/>
        <v>7000</v>
      </c>
      <c r="BG254" s="526">
        <f t="shared" si="191"/>
        <v>7000</v>
      </c>
      <c r="BH254" s="526">
        <f t="shared" si="191"/>
        <v>7000</v>
      </c>
      <c r="BI254" s="526">
        <f t="shared" si="191"/>
        <v>7000</v>
      </c>
      <c r="BJ254" s="526">
        <f t="shared" si="191"/>
        <v>7000</v>
      </c>
      <c r="BK254" s="526">
        <f t="shared" si="191"/>
        <v>7000</v>
      </c>
      <c r="BL254" s="526">
        <f t="shared" si="191"/>
        <v>7000</v>
      </c>
      <c r="BM254" s="526">
        <f t="shared" si="191"/>
        <v>7000</v>
      </c>
      <c r="BN254" s="526">
        <f t="shared" si="191"/>
        <v>7000</v>
      </c>
      <c r="BO254" s="526">
        <f t="shared" ref="BO254:CD254" si="192">BN254</f>
        <v>7000</v>
      </c>
      <c r="BP254" s="526">
        <f t="shared" si="192"/>
        <v>7000</v>
      </c>
      <c r="BQ254" s="526">
        <f t="shared" si="192"/>
        <v>7000</v>
      </c>
      <c r="BR254" s="526">
        <f t="shared" si="192"/>
        <v>7000</v>
      </c>
      <c r="BS254" s="526">
        <f t="shared" si="192"/>
        <v>7000</v>
      </c>
      <c r="BT254" s="526">
        <f t="shared" si="192"/>
        <v>7000</v>
      </c>
      <c r="BU254" s="526">
        <f t="shared" si="192"/>
        <v>7000</v>
      </c>
      <c r="BV254" s="526">
        <f t="shared" si="192"/>
        <v>7000</v>
      </c>
      <c r="BW254" s="526">
        <f t="shared" si="192"/>
        <v>7000</v>
      </c>
      <c r="BX254" s="526">
        <f t="shared" si="192"/>
        <v>7000</v>
      </c>
      <c r="BY254" s="526">
        <f t="shared" si="192"/>
        <v>7000</v>
      </c>
      <c r="BZ254" s="526">
        <f t="shared" si="192"/>
        <v>7000</v>
      </c>
      <c r="CA254" s="526">
        <f t="shared" si="192"/>
        <v>7000</v>
      </c>
      <c r="CB254" s="526">
        <f t="shared" si="192"/>
        <v>7000</v>
      </c>
      <c r="CC254" s="526">
        <f t="shared" si="192"/>
        <v>7000</v>
      </c>
      <c r="CD254" s="526">
        <f t="shared" si="192"/>
        <v>7000</v>
      </c>
      <c r="CE254" s="526">
        <f t="shared" ref="AX254:CE262" si="193">CD254</f>
        <v>7000</v>
      </c>
      <c r="CG254" s="536">
        <v>7000</v>
      </c>
      <c r="CH254" s="536">
        <v>7000</v>
      </c>
      <c r="CI254" s="536">
        <v>7000</v>
      </c>
      <c r="CJ254" s="536">
        <v>7000</v>
      </c>
      <c r="CK254" s="536">
        <v>7000</v>
      </c>
      <c r="CL254" s="536">
        <v>7000</v>
      </c>
      <c r="CM254" s="536">
        <v>7000</v>
      </c>
      <c r="CN254" s="536">
        <v>7000</v>
      </c>
      <c r="CO254" s="536">
        <v>7000</v>
      </c>
      <c r="CP254" s="536">
        <v>7000</v>
      </c>
      <c r="CQ254" s="536">
        <v>7000</v>
      </c>
      <c r="CR254" s="536">
        <v>7000</v>
      </c>
      <c r="CS254" s="536">
        <v>7000</v>
      </c>
      <c r="CT254" s="536">
        <v>7000</v>
      </c>
      <c r="CU254" s="536">
        <v>7000</v>
      </c>
      <c r="CV254" s="536">
        <v>7000</v>
      </c>
      <c r="CW254" s="536">
        <v>7000</v>
      </c>
      <c r="CX254" s="536">
        <v>7000</v>
      </c>
      <c r="CY254" s="536">
        <v>7000</v>
      </c>
      <c r="CZ254" s="536">
        <v>7000</v>
      </c>
      <c r="DA254" s="536">
        <v>7000</v>
      </c>
      <c r="DB254" s="536">
        <v>7000</v>
      </c>
      <c r="DC254" s="536">
        <v>7000</v>
      </c>
      <c r="DD254" s="536">
        <v>7000</v>
      </c>
      <c r="DE254" s="536">
        <v>7000</v>
      </c>
      <c r="DF254" s="536">
        <v>7000</v>
      </c>
      <c r="DG254" s="536">
        <v>7000</v>
      </c>
      <c r="DH254" s="536">
        <v>7000</v>
      </c>
    </row>
    <row r="255" spans="2:112">
      <c r="B255" t="s">
        <v>1125</v>
      </c>
      <c r="C255" t="s">
        <v>779</v>
      </c>
      <c r="D255" t="s">
        <v>695</v>
      </c>
      <c r="E255" t="s">
        <v>881</v>
      </c>
      <c r="F255" s="525">
        <v>320</v>
      </c>
      <c r="G255" s="525">
        <v>320</v>
      </c>
      <c r="H255" s="525">
        <v>320</v>
      </c>
      <c r="I255" s="525">
        <v>320</v>
      </c>
      <c r="J255" s="525">
        <v>320</v>
      </c>
      <c r="K255" s="525">
        <v>320</v>
      </c>
      <c r="L255" s="525">
        <v>320</v>
      </c>
      <c r="M255" s="525">
        <v>320</v>
      </c>
      <c r="N255" s="525">
        <v>320</v>
      </c>
      <c r="O255" s="525">
        <v>320</v>
      </c>
      <c r="P255" s="525">
        <v>320</v>
      </c>
      <c r="Q255" s="525">
        <v>320</v>
      </c>
      <c r="R255" s="525">
        <v>320</v>
      </c>
      <c r="S255" s="525">
        <v>320</v>
      </c>
      <c r="T255" s="525">
        <v>320</v>
      </c>
      <c r="U255" s="525">
        <v>320</v>
      </c>
      <c r="V255" s="525">
        <v>320</v>
      </c>
      <c r="W255" s="525">
        <v>320</v>
      </c>
      <c r="X255" s="525">
        <v>320</v>
      </c>
      <c r="Y255" s="525">
        <v>320</v>
      </c>
      <c r="Z255" s="525">
        <v>320</v>
      </c>
      <c r="AA255" s="525">
        <v>320</v>
      </c>
      <c r="AB255" s="525">
        <v>320</v>
      </c>
      <c r="AC255" s="525">
        <v>320</v>
      </c>
      <c r="AD255" s="525">
        <v>320</v>
      </c>
      <c r="AE255" s="525">
        <v>320</v>
      </c>
      <c r="AF255" s="525">
        <v>320</v>
      </c>
      <c r="AG255" s="525">
        <v>320</v>
      </c>
      <c r="AH255" s="526">
        <f t="shared" ref="AH255:AW264" si="194">AG255</f>
        <v>320</v>
      </c>
      <c r="AI255" s="526">
        <f t="shared" si="194"/>
        <v>320</v>
      </c>
      <c r="AJ255" s="526">
        <f t="shared" si="194"/>
        <v>320</v>
      </c>
      <c r="AK255" s="526">
        <f t="shared" si="194"/>
        <v>320</v>
      </c>
      <c r="AL255" s="526">
        <f t="shared" si="194"/>
        <v>320</v>
      </c>
      <c r="AM255" s="526">
        <f t="shared" si="194"/>
        <v>320</v>
      </c>
      <c r="AN255" s="526">
        <f t="shared" si="194"/>
        <v>320</v>
      </c>
      <c r="AO255" s="526">
        <f t="shared" si="194"/>
        <v>320</v>
      </c>
      <c r="AP255" s="526">
        <f t="shared" si="194"/>
        <v>320</v>
      </c>
      <c r="AQ255" s="526">
        <f t="shared" si="194"/>
        <v>320</v>
      </c>
      <c r="AR255" s="526">
        <f t="shared" si="194"/>
        <v>320</v>
      </c>
      <c r="AS255" s="526">
        <f t="shared" si="194"/>
        <v>320</v>
      </c>
      <c r="AT255" s="526">
        <f t="shared" si="194"/>
        <v>320</v>
      </c>
      <c r="AU255" s="526">
        <f t="shared" si="194"/>
        <v>320</v>
      </c>
      <c r="AV255" s="526">
        <f t="shared" si="194"/>
        <v>320</v>
      </c>
      <c r="AW255" s="526">
        <f t="shared" si="194"/>
        <v>320</v>
      </c>
      <c r="AX255" s="526">
        <f t="shared" si="193"/>
        <v>320</v>
      </c>
      <c r="AY255" s="526">
        <f t="shared" si="193"/>
        <v>320</v>
      </c>
      <c r="AZ255" s="526">
        <f t="shared" si="193"/>
        <v>320</v>
      </c>
      <c r="BA255" s="526">
        <f t="shared" si="193"/>
        <v>320</v>
      </c>
      <c r="BB255" s="526">
        <f t="shared" si="193"/>
        <v>320</v>
      </c>
      <c r="BC255" s="526">
        <f t="shared" si="193"/>
        <v>320</v>
      </c>
      <c r="BD255" s="526">
        <f t="shared" si="193"/>
        <v>320</v>
      </c>
      <c r="BE255" s="526">
        <f t="shared" si="193"/>
        <v>320</v>
      </c>
      <c r="BF255" s="526">
        <f t="shared" si="193"/>
        <v>320</v>
      </c>
      <c r="BG255" s="526">
        <f t="shared" si="193"/>
        <v>320</v>
      </c>
      <c r="BH255" s="526">
        <f t="shared" si="193"/>
        <v>320</v>
      </c>
      <c r="BI255" s="526">
        <f t="shared" si="193"/>
        <v>320</v>
      </c>
      <c r="BJ255" s="526">
        <f t="shared" si="193"/>
        <v>320</v>
      </c>
      <c r="BK255" s="526">
        <f t="shared" si="193"/>
        <v>320</v>
      </c>
      <c r="BL255" s="526">
        <f t="shared" si="193"/>
        <v>320</v>
      </c>
      <c r="BM255" s="526">
        <f t="shared" si="193"/>
        <v>320</v>
      </c>
      <c r="BN255" s="526">
        <f t="shared" si="193"/>
        <v>320</v>
      </c>
      <c r="BO255" s="526">
        <f t="shared" si="193"/>
        <v>320</v>
      </c>
      <c r="BP255" s="526">
        <f t="shared" si="193"/>
        <v>320</v>
      </c>
      <c r="BQ255" s="526">
        <f t="shared" si="193"/>
        <v>320</v>
      </c>
      <c r="BR255" s="526">
        <f t="shared" si="193"/>
        <v>320</v>
      </c>
      <c r="BS255" s="526">
        <f t="shared" si="193"/>
        <v>320</v>
      </c>
      <c r="BT255" s="526">
        <f t="shared" si="193"/>
        <v>320</v>
      </c>
      <c r="BU255" s="526">
        <f t="shared" si="193"/>
        <v>320</v>
      </c>
      <c r="BV255" s="526">
        <f t="shared" si="193"/>
        <v>320</v>
      </c>
      <c r="BW255" s="526">
        <f t="shared" si="193"/>
        <v>320</v>
      </c>
      <c r="BX255" s="526">
        <f t="shared" si="193"/>
        <v>320</v>
      </c>
      <c r="BY255" s="526">
        <f t="shared" si="193"/>
        <v>320</v>
      </c>
      <c r="BZ255" s="526">
        <f t="shared" si="193"/>
        <v>320</v>
      </c>
      <c r="CA255" s="526">
        <f t="shared" si="193"/>
        <v>320</v>
      </c>
      <c r="CB255" s="526">
        <f t="shared" si="193"/>
        <v>320</v>
      </c>
      <c r="CC255" s="526">
        <f t="shared" si="193"/>
        <v>320</v>
      </c>
      <c r="CD255" s="526">
        <f t="shared" si="193"/>
        <v>320</v>
      </c>
      <c r="CE255" s="526">
        <f t="shared" si="193"/>
        <v>320</v>
      </c>
      <c r="CG255" s="536">
        <v>320</v>
      </c>
      <c r="CH255" s="536">
        <v>320</v>
      </c>
      <c r="CI255" s="536">
        <v>320</v>
      </c>
      <c r="CJ255" s="536">
        <v>320</v>
      </c>
      <c r="CK255" s="536">
        <v>320</v>
      </c>
      <c r="CL255" s="536">
        <v>320</v>
      </c>
      <c r="CM255" s="536">
        <v>320</v>
      </c>
      <c r="CN255" s="536">
        <v>320</v>
      </c>
      <c r="CO255" s="536">
        <v>320</v>
      </c>
      <c r="CP255" s="536">
        <v>320</v>
      </c>
      <c r="CQ255" s="536">
        <v>320</v>
      </c>
      <c r="CR255" s="536">
        <v>320</v>
      </c>
      <c r="CS255" s="536">
        <v>320</v>
      </c>
      <c r="CT255" s="536">
        <v>320</v>
      </c>
      <c r="CU255" s="536">
        <v>320</v>
      </c>
      <c r="CV255" s="536">
        <v>320</v>
      </c>
      <c r="CW255" s="536">
        <v>320</v>
      </c>
      <c r="CX255" s="536">
        <v>320</v>
      </c>
      <c r="CY255" s="536">
        <v>320</v>
      </c>
      <c r="CZ255" s="536">
        <v>320</v>
      </c>
      <c r="DA255" s="536">
        <v>320</v>
      </c>
      <c r="DB255" s="536">
        <v>320</v>
      </c>
      <c r="DC255" s="536">
        <v>320</v>
      </c>
      <c r="DD255" s="536">
        <v>320</v>
      </c>
      <c r="DE255" s="536">
        <v>320</v>
      </c>
      <c r="DF255" s="536">
        <v>320</v>
      </c>
      <c r="DG255" s="536">
        <v>320</v>
      </c>
      <c r="DH255" s="536">
        <v>320</v>
      </c>
    </row>
    <row r="256" spans="2:112">
      <c r="B256" t="s">
        <v>1126</v>
      </c>
      <c r="C256" t="s">
        <v>779</v>
      </c>
      <c r="D256" t="s">
        <v>883</v>
      </c>
      <c r="E256" t="s">
        <v>884</v>
      </c>
      <c r="F256" s="525">
        <v>16</v>
      </c>
      <c r="G256" s="525">
        <v>16</v>
      </c>
      <c r="H256" s="525">
        <v>16</v>
      </c>
      <c r="I256" s="525">
        <v>16</v>
      </c>
      <c r="J256" s="525">
        <v>16</v>
      </c>
      <c r="K256" s="525">
        <v>16</v>
      </c>
      <c r="L256" s="525">
        <v>16</v>
      </c>
      <c r="M256" s="525">
        <v>16</v>
      </c>
      <c r="N256" s="525">
        <v>16</v>
      </c>
      <c r="O256" s="525">
        <v>16</v>
      </c>
      <c r="P256" s="525">
        <v>16</v>
      </c>
      <c r="Q256" s="525">
        <v>16</v>
      </c>
      <c r="R256" s="525">
        <v>16</v>
      </c>
      <c r="S256" s="525">
        <v>16</v>
      </c>
      <c r="T256" s="525">
        <v>16</v>
      </c>
      <c r="U256" s="525">
        <v>16</v>
      </c>
      <c r="V256" s="525">
        <v>16</v>
      </c>
      <c r="W256" s="525">
        <v>16</v>
      </c>
      <c r="X256" s="525">
        <v>16</v>
      </c>
      <c r="Y256" s="525">
        <v>16</v>
      </c>
      <c r="Z256" s="525">
        <v>16</v>
      </c>
      <c r="AA256" s="525">
        <v>16</v>
      </c>
      <c r="AB256" s="525">
        <v>16</v>
      </c>
      <c r="AC256" s="525">
        <v>16</v>
      </c>
      <c r="AD256" s="525">
        <v>16</v>
      </c>
      <c r="AE256" s="525">
        <v>16</v>
      </c>
      <c r="AF256" s="525">
        <v>16</v>
      </c>
      <c r="AG256" s="525">
        <v>16</v>
      </c>
      <c r="AH256" s="526">
        <f t="shared" si="194"/>
        <v>16</v>
      </c>
      <c r="AI256" s="526">
        <f t="shared" si="194"/>
        <v>16</v>
      </c>
      <c r="AJ256" s="526">
        <f t="shared" si="194"/>
        <v>16</v>
      </c>
      <c r="AK256" s="526">
        <f t="shared" si="194"/>
        <v>16</v>
      </c>
      <c r="AL256" s="526">
        <f t="shared" si="194"/>
        <v>16</v>
      </c>
      <c r="AM256" s="526">
        <f t="shared" si="194"/>
        <v>16</v>
      </c>
      <c r="AN256" s="526">
        <f t="shared" si="194"/>
        <v>16</v>
      </c>
      <c r="AO256" s="526">
        <f t="shared" si="194"/>
        <v>16</v>
      </c>
      <c r="AP256" s="526">
        <f t="shared" si="194"/>
        <v>16</v>
      </c>
      <c r="AQ256" s="526">
        <f t="shared" si="194"/>
        <v>16</v>
      </c>
      <c r="AR256" s="526">
        <f t="shared" si="194"/>
        <v>16</v>
      </c>
      <c r="AS256" s="526">
        <f t="shared" si="194"/>
        <v>16</v>
      </c>
      <c r="AT256" s="526">
        <f t="shared" si="194"/>
        <v>16</v>
      </c>
      <c r="AU256" s="526">
        <f t="shared" si="194"/>
        <v>16</v>
      </c>
      <c r="AV256" s="526">
        <f t="shared" si="194"/>
        <v>16</v>
      </c>
      <c r="AW256" s="526">
        <f t="shared" si="194"/>
        <v>16</v>
      </c>
      <c r="AX256" s="526">
        <f t="shared" si="193"/>
        <v>16</v>
      </c>
      <c r="AY256" s="526">
        <f t="shared" si="193"/>
        <v>16</v>
      </c>
      <c r="AZ256" s="526">
        <f t="shared" si="193"/>
        <v>16</v>
      </c>
      <c r="BA256" s="526">
        <f t="shared" si="193"/>
        <v>16</v>
      </c>
      <c r="BB256" s="526">
        <f t="shared" si="193"/>
        <v>16</v>
      </c>
      <c r="BC256" s="526">
        <f t="shared" si="193"/>
        <v>16</v>
      </c>
      <c r="BD256" s="526">
        <f t="shared" si="193"/>
        <v>16</v>
      </c>
      <c r="BE256" s="526">
        <f t="shared" si="193"/>
        <v>16</v>
      </c>
      <c r="BF256" s="526">
        <f t="shared" si="193"/>
        <v>16</v>
      </c>
      <c r="BG256" s="526">
        <f t="shared" si="193"/>
        <v>16</v>
      </c>
      <c r="BH256" s="526">
        <f t="shared" si="193"/>
        <v>16</v>
      </c>
      <c r="BI256" s="526">
        <f t="shared" si="193"/>
        <v>16</v>
      </c>
      <c r="BJ256" s="526">
        <f t="shared" si="193"/>
        <v>16</v>
      </c>
      <c r="BK256" s="526">
        <f t="shared" si="193"/>
        <v>16</v>
      </c>
      <c r="BL256" s="526">
        <f t="shared" si="193"/>
        <v>16</v>
      </c>
      <c r="BM256" s="526">
        <f t="shared" si="193"/>
        <v>16</v>
      </c>
      <c r="BN256" s="526">
        <f t="shared" si="193"/>
        <v>16</v>
      </c>
      <c r="BO256" s="526">
        <f t="shared" si="193"/>
        <v>16</v>
      </c>
      <c r="BP256" s="526">
        <f t="shared" si="193"/>
        <v>16</v>
      </c>
      <c r="BQ256" s="526">
        <f t="shared" si="193"/>
        <v>16</v>
      </c>
      <c r="BR256" s="526">
        <f t="shared" si="193"/>
        <v>16</v>
      </c>
      <c r="BS256" s="526">
        <f t="shared" si="193"/>
        <v>16</v>
      </c>
      <c r="BT256" s="526">
        <f t="shared" si="193"/>
        <v>16</v>
      </c>
      <c r="BU256" s="526">
        <f t="shared" si="193"/>
        <v>16</v>
      </c>
      <c r="BV256" s="526">
        <f t="shared" si="193"/>
        <v>16</v>
      </c>
      <c r="BW256" s="526">
        <f t="shared" si="193"/>
        <v>16</v>
      </c>
      <c r="BX256" s="526">
        <f t="shared" si="193"/>
        <v>16</v>
      </c>
      <c r="BY256" s="526">
        <f t="shared" si="193"/>
        <v>16</v>
      </c>
      <c r="BZ256" s="526">
        <f t="shared" si="193"/>
        <v>16</v>
      </c>
      <c r="CA256" s="526">
        <f t="shared" si="193"/>
        <v>16</v>
      </c>
      <c r="CB256" s="526">
        <f t="shared" si="193"/>
        <v>16</v>
      </c>
      <c r="CC256" s="526">
        <f t="shared" si="193"/>
        <v>16</v>
      </c>
      <c r="CD256" s="526">
        <f t="shared" si="193"/>
        <v>16</v>
      </c>
      <c r="CE256" s="526">
        <f t="shared" si="193"/>
        <v>16</v>
      </c>
      <c r="CG256" s="536">
        <v>16</v>
      </c>
      <c r="CH256" s="536">
        <v>16</v>
      </c>
      <c r="CI256" s="536">
        <v>16</v>
      </c>
      <c r="CJ256" s="536">
        <v>16</v>
      </c>
      <c r="CK256" s="536">
        <v>16</v>
      </c>
      <c r="CL256" s="536">
        <v>16</v>
      </c>
      <c r="CM256" s="536">
        <v>16</v>
      </c>
      <c r="CN256" s="536">
        <v>16</v>
      </c>
      <c r="CO256" s="536">
        <v>16</v>
      </c>
      <c r="CP256" s="536">
        <v>16</v>
      </c>
      <c r="CQ256" s="536">
        <v>16</v>
      </c>
      <c r="CR256" s="536">
        <v>16</v>
      </c>
      <c r="CS256" s="536">
        <v>16</v>
      </c>
      <c r="CT256" s="536">
        <v>16</v>
      </c>
      <c r="CU256" s="536">
        <v>16</v>
      </c>
      <c r="CV256" s="536">
        <v>16</v>
      </c>
      <c r="CW256" s="536">
        <v>16</v>
      </c>
      <c r="CX256" s="536">
        <v>16</v>
      </c>
      <c r="CY256" s="536">
        <v>16</v>
      </c>
      <c r="CZ256" s="536">
        <v>16</v>
      </c>
      <c r="DA256" s="536">
        <v>16</v>
      </c>
      <c r="DB256" s="536">
        <v>16</v>
      </c>
      <c r="DC256" s="536">
        <v>16</v>
      </c>
      <c r="DD256" s="536">
        <v>16</v>
      </c>
      <c r="DE256" s="536">
        <v>16</v>
      </c>
      <c r="DF256" s="536">
        <v>16</v>
      </c>
      <c r="DG256" s="536">
        <v>16</v>
      </c>
      <c r="DH256" s="536">
        <v>16</v>
      </c>
    </row>
    <row r="257" spans="2:112">
      <c r="B257" t="s">
        <v>1127</v>
      </c>
      <c r="C257" t="s">
        <v>779</v>
      </c>
      <c r="D257" t="s">
        <v>886</v>
      </c>
      <c r="E257" t="s">
        <v>178</v>
      </c>
      <c r="F257" s="537">
        <v>0.51</v>
      </c>
      <c r="G257" s="537">
        <v>0.51</v>
      </c>
      <c r="H257" s="537">
        <v>0.51</v>
      </c>
      <c r="I257" s="537">
        <v>0.51</v>
      </c>
      <c r="J257" s="537">
        <v>0.51</v>
      </c>
      <c r="K257" s="537">
        <v>0.51</v>
      </c>
      <c r="L257" s="537">
        <v>0.51</v>
      </c>
      <c r="M257" s="537">
        <v>0.51</v>
      </c>
      <c r="N257" s="537">
        <v>0.51</v>
      </c>
      <c r="O257" s="537">
        <v>0.51</v>
      </c>
      <c r="P257" s="537">
        <v>0.51</v>
      </c>
      <c r="Q257" s="537">
        <v>0.51</v>
      </c>
      <c r="R257" s="537">
        <v>0.51</v>
      </c>
      <c r="S257" s="537">
        <v>0.51</v>
      </c>
      <c r="T257" s="537">
        <v>0.51</v>
      </c>
      <c r="U257" s="537">
        <v>0.51</v>
      </c>
      <c r="V257" s="537">
        <v>0.51</v>
      </c>
      <c r="W257" s="537">
        <v>0.51</v>
      </c>
      <c r="X257" s="537">
        <v>0.51</v>
      </c>
      <c r="Y257" s="537">
        <v>0.51</v>
      </c>
      <c r="Z257" s="537">
        <v>0.51</v>
      </c>
      <c r="AA257" s="537">
        <v>0.51</v>
      </c>
      <c r="AB257" s="537">
        <v>0.51</v>
      </c>
      <c r="AC257" s="537">
        <v>0.51</v>
      </c>
      <c r="AD257" s="537">
        <v>0.51</v>
      </c>
      <c r="AE257" s="537">
        <v>0.51</v>
      </c>
      <c r="AF257" s="537">
        <v>0.51</v>
      </c>
      <c r="AG257" s="537">
        <v>0.51</v>
      </c>
      <c r="AH257" s="526">
        <f t="shared" si="194"/>
        <v>0.51</v>
      </c>
      <c r="AI257" s="526">
        <f t="shared" si="194"/>
        <v>0.51</v>
      </c>
      <c r="AJ257" s="526">
        <f t="shared" si="194"/>
        <v>0.51</v>
      </c>
      <c r="AK257" s="526">
        <f t="shared" si="194"/>
        <v>0.51</v>
      </c>
      <c r="AL257" s="526">
        <f t="shared" si="194"/>
        <v>0.51</v>
      </c>
      <c r="AM257" s="526">
        <f t="shared" si="194"/>
        <v>0.51</v>
      </c>
      <c r="AN257" s="526">
        <f t="shared" si="194"/>
        <v>0.51</v>
      </c>
      <c r="AO257" s="526">
        <f t="shared" si="194"/>
        <v>0.51</v>
      </c>
      <c r="AP257" s="526">
        <f t="shared" si="194"/>
        <v>0.51</v>
      </c>
      <c r="AQ257" s="526">
        <f t="shared" si="194"/>
        <v>0.51</v>
      </c>
      <c r="AR257" s="526">
        <f t="shared" si="194"/>
        <v>0.51</v>
      </c>
      <c r="AS257" s="526">
        <f t="shared" si="194"/>
        <v>0.51</v>
      </c>
      <c r="AT257" s="526">
        <f t="shared" si="194"/>
        <v>0.51</v>
      </c>
      <c r="AU257" s="526">
        <f t="shared" si="194"/>
        <v>0.51</v>
      </c>
      <c r="AV257" s="526">
        <f t="shared" si="194"/>
        <v>0.51</v>
      </c>
      <c r="AW257" s="526">
        <f t="shared" si="194"/>
        <v>0.51</v>
      </c>
      <c r="AX257" s="526">
        <f t="shared" si="193"/>
        <v>0.51</v>
      </c>
      <c r="AY257" s="526">
        <f t="shared" si="193"/>
        <v>0.51</v>
      </c>
      <c r="AZ257" s="526">
        <f t="shared" si="193"/>
        <v>0.51</v>
      </c>
      <c r="BA257" s="526">
        <f t="shared" si="193"/>
        <v>0.51</v>
      </c>
      <c r="BB257" s="526">
        <f t="shared" si="193"/>
        <v>0.51</v>
      </c>
      <c r="BC257" s="526">
        <f t="shared" si="193"/>
        <v>0.51</v>
      </c>
      <c r="BD257" s="526">
        <f t="shared" si="193"/>
        <v>0.51</v>
      </c>
      <c r="BE257" s="526">
        <f t="shared" si="193"/>
        <v>0.51</v>
      </c>
      <c r="BF257" s="526">
        <f t="shared" si="193"/>
        <v>0.51</v>
      </c>
      <c r="BG257" s="526">
        <f t="shared" si="193"/>
        <v>0.51</v>
      </c>
      <c r="BH257" s="526">
        <f t="shared" si="193"/>
        <v>0.51</v>
      </c>
      <c r="BI257" s="526">
        <f t="shared" si="193"/>
        <v>0.51</v>
      </c>
      <c r="BJ257" s="526">
        <f t="shared" si="193"/>
        <v>0.51</v>
      </c>
      <c r="BK257" s="526">
        <f t="shared" si="193"/>
        <v>0.51</v>
      </c>
      <c r="BL257" s="526">
        <f t="shared" si="193"/>
        <v>0.51</v>
      </c>
      <c r="BM257" s="526">
        <f t="shared" si="193"/>
        <v>0.51</v>
      </c>
      <c r="BN257" s="526">
        <f t="shared" si="193"/>
        <v>0.51</v>
      </c>
      <c r="BO257" s="526">
        <f t="shared" si="193"/>
        <v>0.51</v>
      </c>
      <c r="BP257" s="526">
        <f t="shared" si="193"/>
        <v>0.51</v>
      </c>
      <c r="BQ257" s="526">
        <f t="shared" si="193"/>
        <v>0.51</v>
      </c>
      <c r="BR257" s="526">
        <f t="shared" si="193"/>
        <v>0.51</v>
      </c>
      <c r="BS257" s="526">
        <f t="shared" si="193"/>
        <v>0.51</v>
      </c>
      <c r="BT257" s="526">
        <f t="shared" si="193"/>
        <v>0.51</v>
      </c>
      <c r="BU257" s="526">
        <f t="shared" si="193"/>
        <v>0.51</v>
      </c>
      <c r="BV257" s="526">
        <f t="shared" si="193"/>
        <v>0.51</v>
      </c>
      <c r="BW257" s="526">
        <f t="shared" si="193"/>
        <v>0.51</v>
      </c>
      <c r="BX257" s="526">
        <f t="shared" si="193"/>
        <v>0.51</v>
      </c>
      <c r="BY257" s="526">
        <f t="shared" si="193"/>
        <v>0.51</v>
      </c>
      <c r="BZ257" s="526">
        <f t="shared" si="193"/>
        <v>0.51</v>
      </c>
      <c r="CA257" s="526">
        <f t="shared" si="193"/>
        <v>0.51</v>
      </c>
      <c r="CB257" s="526">
        <f t="shared" si="193"/>
        <v>0.51</v>
      </c>
      <c r="CC257" s="526">
        <f t="shared" si="193"/>
        <v>0.51</v>
      </c>
      <c r="CD257" s="526">
        <f t="shared" si="193"/>
        <v>0.51</v>
      </c>
      <c r="CE257" s="526">
        <f t="shared" si="193"/>
        <v>0.51</v>
      </c>
      <c r="CG257" s="537">
        <v>0.51</v>
      </c>
      <c r="CH257" s="537">
        <v>0.51</v>
      </c>
      <c r="CI257" s="537">
        <v>0.51</v>
      </c>
      <c r="CJ257" s="537">
        <v>0.51</v>
      </c>
      <c r="CK257" s="537">
        <v>0.51</v>
      </c>
      <c r="CL257" s="537">
        <v>0.51</v>
      </c>
      <c r="CM257" s="537">
        <v>0.51</v>
      </c>
      <c r="CN257" s="537">
        <v>0.51</v>
      </c>
      <c r="CO257" s="537">
        <v>0.51</v>
      </c>
      <c r="CP257" s="537">
        <v>0.51</v>
      </c>
      <c r="CQ257" s="537">
        <v>0.51</v>
      </c>
      <c r="CR257" s="537">
        <v>0.51</v>
      </c>
      <c r="CS257" s="537">
        <v>0.51</v>
      </c>
      <c r="CT257" s="537">
        <v>0.51</v>
      </c>
      <c r="CU257" s="537">
        <v>0.51</v>
      </c>
      <c r="CV257" s="537">
        <v>0.51</v>
      </c>
      <c r="CW257" s="537">
        <v>0.51</v>
      </c>
      <c r="CX257" s="537">
        <v>0.51</v>
      </c>
      <c r="CY257" s="537">
        <v>0.51</v>
      </c>
      <c r="CZ257" s="537">
        <v>0.51</v>
      </c>
      <c r="DA257" s="537">
        <v>0.51</v>
      </c>
      <c r="DB257" s="537">
        <v>0.51</v>
      </c>
      <c r="DC257" s="537">
        <v>0.51</v>
      </c>
      <c r="DD257" s="537">
        <v>0.51</v>
      </c>
      <c r="DE257" s="537">
        <v>0.51</v>
      </c>
      <c r="DF257" s="537">
        <v>0.51</v>
      </c>
      <c r="DG257" s="537">
        <v>0.51</v>
      </c>
      <c r="DH257" s="537">
        <v>0.51</v>
      </c>
    </row>
    <row r="258" spans="2:112">
      <c r="B258" t="s">
        <v>1128</v>
      </c>
      <c r="C258" t="s">
        <v>779</v>
      </c>
      <c r="D258" t="s">
        <v>888</v>
      </c>
      <c r="E258" t="s">
        <v>178</v>
      </c>
      <c r="F258" s="537">
        <v>0.51</v>
      </c>
      <c r="G258" s="537">
        <v>0.51</v>
      </c>
      <c r="H258" s="537">
        <v>0.51</v>
      </c>
      <c r="I258" s="537">
        <v>0.51</v>
      </c>
      <c r="J258" s="537">
        <v>0.51</v>
      </c>
      <c r="K258" s="537">
        <v>0.51</v>
      </c>
      <c r="L258" s="537">
        <v>0.51</v>
      </c>
      <c r="M258" s="537">
        <v>0.51</v>
      </c>
      <c r="N258" s="537">
        <v>0.51</v>
      </c>
      <c r="O258" s="537">
        <v>0.51</v>
      </c>
      <c r="P258" s="537">
        <v>0.51</v>
      </c>
      <c r="Q258" s="537">
        <v>0.51</v>
      </c>
      <c r="R258" s="537">
        <v>0.51</v>
      </c>
      <c r="S258" s="537">
        <v>0.51</v>
      </c>
      <c r="T258" s="537">
        <v>0.51</v>
      </c>
      <c r="U258" s="537">
        <v>0.51</v>
      </c>
      <c r="V258" s="537">
        <v>0.51</v>
      </c>
      <c r="W258" s="537">
        <v>0.51</v>
      </c>
      <c r="X258" s="537">
        <v>0.51</v>
      </c>
      <c r="Y258" s="537">
        <v>0.51</v>
      </c>
      <c r="Z258" s="537">
        <v>0.51</v>
      </c>
      <c r="AA258" s="537">
        <v>0.51</v>
      </c>
      <c r="AB258" s="537">
        <v>0.51</v>
      </c>
      <c r="AC258" s="537">
        <v>0.51</v>
      </c>
      <c r="AD258" s="537">
        <v>0.51</v>
      </c>
      <c r="AE258" s="537">
        <v>0.51</v>
      </c>
      <c r="AF258" s="537">
        <v>0.51</v>
      </c>
      <c r="AG258" s="537">
        <v>0.51</v>
      </c>
      <c r="AH258" s="526">
        <f t="shared" si="194"/>
        <v>0.51</v>
      </c>
      <c r="AI258" s="526">
        <f t="shared" si="194"/>
        <v>0.51</v>
      </c>
      <c r="AJ258" s="526">
        <f t="shared" si="194"/>
        <v>0.51</v>
      </c>
      <c r="AK258" s="526">
        <f t="shared" si="194"/>
        <v>0.51</v>
      </c>
      <c r="AL258" s="526">
        <f t="shared" si="194"/>
        <v>0.51</v>
      </c>
      <c r="AM258" s="526">
        <f t="shared" si="194"/>
        <v>0.51</v>
      </c>
      <c r="AN258" s="526">
        <f t="shared" si="194"/>
        <v>0.51</v>
      </c>
      <c r="AO258" s="526">
        <f t="shared" si="194"/>
        <v>0.51</v>
      </c>
      <c r="AP258" s="526">
        <f t="shared" si="194"/>
        <v>0.51</v>
      </c>
      <c r="AQ258" s="526">
        <f t="shared" si="194"/>
        <v>0.51</v>
      </c>
      <c r="AR258" s="526">
        <f t="shared" si="194"/>
        <v>0.51</v>
      </c>
      <c r="AS258" s="526">
        <f t="shared" si="194"/>
        <v>0.51</v>
      </c>
      <c r="AT258" s="526">
        <f t="shared" si="194"/>
        <v>0.51</v>
      </c>
      <c r="AU258" s="526">
        <f t="shared" si="194"/>
        <v>0.51</v>
      </c>
      <c r="AV258" s="526">
        <f t="shared" si="194"/>
        <v>0.51</v>
      </c>
      <c r="AW258" s="526">
        <f t="shared" si="194"/>
        <v>0.51</v>
      </c>
      <c r="AX258" s="526">
        <f t="shared" si="193"/>
        <v>0.51</v>
      </c>
      <c r="AY258" s="526">
        <f t="shared" si="193"/>
        <v>0.51</v>
      </c>
      <c r="AZ258" s="526">
        <f t="shared" si="193"/>
        <v>0.51</v>
      </c>
      <c r="BA258" s="526">
        <f t="shared" si="193"/>
        <v>0.51</v>
      </c>
      <c r="BB258" s="526">
        <f t="shared" si="193"/>
        <v>0.51</v>
      </c>
      <c r="BC258" s="526">
        <f t="shared" si="193"/>
        <v>0.51</v>
      </c>
      <c r="BD258" s="526">
        <f t="shared" si="193"/>
        <v>0.51</v>
      </c>
      <c r="BE258" s="526">
        <f t="shared" si="193"/>
        <v>0.51</v>
      </c>
      <c r="BF258" s="526">
        <f t="shared" si="193"/>
        <v>0.51</v>
      </c>
      <c r="BG258" s="526">
        <f t="shared" si="193"/>
        <v>0.51</v>
      </c>
      <c r="BH258" s="526">
        <f t="shared" si="193"/>
        <v>0.51</v>
      </c>
      <c r="BI258" s="526">
        <f t="shared" si="193"/>
        <v>0.51</v>
      </c>
      <c r="BJ258" s="526">
        <f t="shared" si="193"/>
        <v>0.51</v>
      </c>
      <c r="BK258" s="526">
        <f t="shared" si="193"/>
        <v>0.51</v>
      </c>
      <c r="BL258" s="526">
        <f t="shared" si="193"/>
        <v>0.51</v>
      </c>
      <c r="BM258" s="526">
        <f t="shared" si="193"/>
        <v>0.51</v>
      </c>
      <c r="BN258" s="526">
        <f t="shared" si="193"/>
        <v>0.51</v>
      </c>
      <c r="BO258" s="526">
        <f t="shared" si="193"/>
        <v>0.51</v>
      </c>
      <c r="BP258" s="526">
        <f t="shared" si="193"/>
        <v>0.51</v>
      </c>
      <c r="BQ258" s="526">
        <f t="shared" si="193"/>
        <v>0.51</v>
      </c>
      <c r="BR258" s="526">
        <f t="shared" si="193"/>
        <v>0.51</v>
      </c>
      <c r="BS258" s="526">
        <f t="shared" si="193"/>
        <v>0.51</v>
      </c>
      <c r="BT258" s="526">
        <f t="shared" si="193"/>
        <v>0.51</v>
      </c>
      <c r="BU258" s="526">
        <f t="shared" si="193"/>
        <v>0.51</v>
      </c>
      <c r="BV258" s="526">
        <f t="shared" si="193"/>
        <v>0.51</v>
      </c>
      <c r="BW258" s="526">
        <f t="shared" si="193"/>
        <v>0.51</v>
      </c>
      <c r="BX258" s="526">
        <f t="shared" si="193"/>
        <v>0.51</v>
      </c>
      <c r="BY258" s="526">
        <f t="shared" si="193"/>
        <v>0.51</v>
      </c>
      <c r="BZ258" s="526">
        <f t="shared" si="193"/>
        <v>0.51</v>
      </c>
      <c r="CA258" s="526">
        <f t="shared" si="193"/>
        <v>0.51</v>
      </c>
      <c r="CB258" s="526">
        <f t="shared" si="193"/>
        <v>0.51</v>
      </c>
      <c r="CC258" s="526">
        <f t="shared" si="193"/>
        <v>0.51</v>
      </c>
      <c r="CD258" s="526">
        <f t="shared" si="193"/>
        <v>0.51</v>
      </c>
      <c r="CE258" s="526">
        <f t="shared" si="193"/>
        <v>0.51</v>
      </c>
      <c r="CG258" s="537">
        <v>0.51</v>
      </c>
      <c r="CH258" s="537">
        <v>0.51</v>
      </c>
      <c r="CI258" s="537">
        <v>0.51</v>
      </c>
      <c r="CJ258" s="537">
        <v>0.51</v>
      </c>
      <c r="CK258" s="537">
        <v>0.51</v>
      </c>
      <c r="CL258" s="537">
        <v>0.51</v>
      </c>
      <c r="CM258" s="537">
        <v>0.51</v>
      </c>
      <c r="CN258" s="537">
        <v>0.51</v>
      </c>
      <c r="CO258" s="537">
        <v>0.51</v>
      </c>
      <c r="CP258" s="537">
        <v>0.51</v>
      </c>
      <c r="CQ258" s="537">
        <v>0.51</v>
      </c>
      <c r="CR258" s="537">
        <v>0.51</v>
      </c>
      <c r="CS258" s="537">
        <v>0.51</v>
      </c>
      <c r="CT258" s="537">
        <v>0.51</v>
      </c>
      <c r="CU258" s="537">
        <v>0.51</v>
      </c>
      <c r="CV258" s="537">
        <v>0.51</v>
      </c>
      <c r="CW258" s="537">
        <v>0.51</v>
      </c>
      <c r="CX258" s="537">
        <v>0.51</v>
      </c>
      <c r="CY258" s="537">
        <v>0.51</v>
      </c>
      <c r="CZ258" s="537">
        <v>0.51</v>
      </c>
      <c r="DA258" s="537">
        <v>0.51</v>
      </c>
      <c r="DB258" s="537">
        <v>0.51</v>
      </c>
      <c r="DC258" s="537">
        <v>0.51</v>
      </c>
      <c r="DD258" s="537">
        <v>0.51</v>
      </c>
      <c r="DE258" s="537">
        <v>0.51</v>
      </c>
      <c r="DF258" s="537">
        <v>0.51</v>
      </c>
      <c r="DG258" s="537">
        <v>0.51</v>
      </c>
      <c r="DH258" s="537">
        <v>0.51</v>
      </c>
    </row>
    <row r="259" spans="2:112">
      <c r="B259" t="s">
        <v>1129</v>
      </c>
      <c r="C259" t="s">
        <v>779</v>
      </c>
      <c r="D259" t="s">
        <v>890</v>
      </c>
      <c r="E259" t="s">
        <v>178</v>
      </c>
      <c r="F259" s="537">
        <v>0.51</v>
      </c>
      <c r="G259" s="537">
        <v>0.51</v>
      </c>
      <c r="H259" s="537">
        <v>0.51</v>
      </c>
      <c r="I259" s="537">
        <v>0.51</v>
      </c>
      <c r="J259" s="537">
        <v>0.51</v>
      </c>
      <c r="K259" s="537">
        <v>0.51</v>
      </c>
      <c r="L259" s="537">
        <v>0.51</v>
      </c>
      <c r="M259" s="537">
        <v>0.51</v>
      </c>
      <c r="N259" s="537">
        <v>0.51</v>
      </c>
      <c r="O259" s="537">
        <v>0.51</v>
      </c>
      <c r="P259" s="537">
        <v>0.51</v>
      </c>
      <c r="Q259" s="537">
        <v>0.51</v>
      </c>
      <c r="R259" s="537">
        <v>0.51</v>
      </c>
      <c r="S259" s="537">
        <v>0.51</v>
      </c>
      <c r="T259" s="537">
        <v>0.51</v>
      </c>
      <c r="U259" s="537">
        <v>0.51</v>
      </c>
      <c r="V259" s="537">
        <v>0.51</v>
      </c>
      <c r="W259" s="537">
        <v>0.51</v>
      </c>
      <c r="X259" s="537">
        <v>0.51</v>
      </c>
      <c r="Y259" s="537">
        <v>0.51</v>
      </c>
      <c r="Z259" s="537">
        <v>0.51</v>
      </c>
      <c r="AA259" s="537">
        <v>0.51</v>
      </c>
      <c r="AB259" s="537">
        <v>0.51</v>
      </c>
      <c r="AC259" s="537">
        <v>0.51</v>
      </c>
      <c r="AD259" s="537">
        <v>0.51</v>
      </c>
      <c r="AE259" s="537">
        <v>0.51</v>
      </c>
      <c r="AF259" s="537">
        <v>0.51</v>
      </c>
      <c r="AG259" s="537">
        <v>0.51</v>
      </c>
      <c r="AH259" s="526">
        <f t="shared" si="194"/>
        <v>0.51</v>
      </c>
      <c r="AI259" s="526">
        <f t="shared" si="194"/>
        <v>0.51</v>
      </c>
      <c r="AJ259" s="526">
        <f t="shared" si="194"/>
        <v>0.51</v>
      </c>
      <c r="AK259" s="526">
        <f t="shared" si="194"/>
        <v>0.51</v>
      </c>
      <c r="AL259" s="526">
        <f t="shared" si="194"/>
        <v>0.51</v>
      </c>
      <c r="AM259" s="526">
        <f t="shared" si="194"/>
        <v>0.51</v>
      </c>
      <c r="AN259" s="526">
        <f t="shared" si="194"/>
        <v>0.51</v>
      </c>
      <c r="AO259" s="526">
        <f t="shared" si="194"/>
        <v>0.51</v>
      </c>
      <c r="AP259" s="526">
        <f t="shared" si="194"/>
        <v>0.51</v>
      </c>
      <c r="AQ259" s="526">
        <f t="shared" si="194"/>
        <v>0.51</v>
      </c>
      <c r="AR259" s="526">
        <f t="shared" si="194"/>
        <v>0.51</v>
      </c>
      <c r="AS259" s="526">
        <f t="shared" si="194"/>
        <v>0.51</v>
      </c>
      <c r="AT259" s="526">
        <f t="shared" si="194"/>
        <v>0.51</v>
      </c>
      <c r="AU259" s="526">
        <f t="shared" si="194"/>
        <v>0.51</v>
      </c>
      <c r="AV259" s="526">
        <f t="shared" si="194"/>
        <v>0.51</v>
      </c>
      <c r="AW259" s="526">
        <f t="shared" si="194"/>
        <v>0.51</v>
      </c>
      <c r="AX259" s="526">
        <f t="shared" si="193"/>
        <v>0.51</v>
      </c>
      <c r="AY259" s="526">
        <f t="shared" si="193"/>
        <v>0.51</v>
      </c>
      <c r="AZ259" s="526">
        <f t="shared" si="193"/>
        <v>0.51</v>
      </c>
      <c r="BA259" s="526">
        <f t="shared" si="193"/>
        <v>0.51</v>
      </c>
      <c r="BB259" s="526">
        <f t="shared" si="193"/>
        <v>0.51</v>
      </c>
      <c r="BC259" s="526">
        <f t="shared" si="193"/>
        <v>0.51</v>
      </c>
      <c r="BD259" s="526">
        <f t="shared" si="193"/>
        <v>0.51</v>
      </c>
      <c r="BE259" s="526">
        <f t="shared" si="193"/>
        <v>0.51</v>
      </c>
      <c r="BF259" s="526">
        <f t="shared" si="193"/>
        <v>0.51</v>
      </c>
      <c r="BG259" s="526">
        <f t="shared" si="193"/>
        <v>0.51</v>
      </c>
      <c r="BH259" s="526">
        <f t="shared" si="193"/>
        <v>0.51</v>
      </c>
      <c r="BI259" s="526">
        <f t="shared" si="193"/>
        <v>0.51</v>
      </c>
      <c r="BJ259" s="526">
        <f t="shared" si="193"/>
        <v>0.51</v>
      </c>
      <c r="BK259" s="526">
        <f t="shared" si="193"/>
        <v>0.51</v>
      </c>
      <c r="BL259" s="526">
        <f t="shared" si="193"/>
        <v>0.51</v>
      </c>
      <c r="BM259" s="526">
        <f t="shared" si="193"/>
        <v>0.51</v>
      </c>
      <c r="BN259" s="526">
        <f t="shared" si="193"/>
        <v>0.51</v>
      </c>
      <c r="BO259" s="526">
        <f t="shared" si="193"/>
        <v>0.51</v>
      </c>
      <c r="BP259" s="526">
        <f t="shared" si="193"/>
        <v>0.51</v>
      </c>
      <c r="BQ259" s="526">
        <f t="shared" si="193"/>
        <v>0.51</v>
      </c>
      <c r="BR259" s="526">
        <f t="shared" si="193"/>
        <v>0.51</v>
      </c>
      <c r="BS259" s="526">
        <f t="shared" si="193"/>
        <v>0.51</v>
      </c>
      <c r="BT259" s="526">
        <f t="shared" si="193"/>
        <v>0.51</v>
      </c>
      <c r="BU259" s="526">
        <f t="shared" si="193"/>
        <v>0.51</v>
      </c>
      <c r="BV259" s="526">
        <f t="shared" si="193"/>
        <v>0.51</v>
      </c>
      <c r="BW259" s="526">
        <f t="shared" si="193"/>
        <v>0.51</v>
      </c>
      <c r="BX259" s="526">
        <f t="shared" si="193"/>
        <v>0.51</v>
      </c>
      <c r="BY259" s="526">
        <f t="shared" si="193"/>
        <v>0.51</v>
      </c>
      <c r="BZ259" s="526">
        <f t="shared" si="193"/>
        <v>0.51</v>
      </c>
      <c r="CA259" s="526">
        <f t="shared" si="193"/>
        <v>0.51</v>
      </c>
      <c r="CB259" s="526">
        <f t="shared" si="193"/>
        <v>0.51</v>
      </c>
      <c r="CC259" s="526">
        <f t="shared" si="193"/>
        <v>0.51</v>
      </c>
      <c r="CD259" s="526">
        <f t="shared" si="193"/>
        <v>0.51</v>
      </c>
      <c r="CE259" s="526">
        <f t="shared" si="193"/>
        <v>0.51</v>
      </c>
      <c r="CG259" s="537">
        <v>0.51</v>
      </c>
      <c r="CH259" s="537">
        <v>0.51</v>
      </c>
      <c r="CI259" s="537">
        <v>0.51</v>
      </c>
      <c r="CJ259" s="537">
        <v>0.51</v>
      </c>
      <c r="CK259" s="537">
        <v>0.51</v>
      </c>
      <c r="CL259" s="537">
        <v>0.51</v>
      </c>
      <c r="CM259" s="537">
        <v>0.51</v>
      </c>
      <c r="CN259" s="537">
        <v>0.51</v>
      </c>
      <c r="CO259" s="537">
        <v>0.51</v>
      </c>
      <c r="CP259" s="537">
        <v>0.51</v>
      </c>
      <c r="CQ259" s="537">
        <v>0.51</v>
      </c>
      <c r="CR259" s="537">
        <v>0.51</v>
      </c>
      <c r="CS259" s="537">
        <v>0.51</v>
      </c>
      <c r="CT259" s="537">
        <v>0.51</v>
      </c>
      <c r="CU259" s="537">
        <v>0.51</v>
      </c>
      <c r="CV259" s="537">
        <v>0.51</v>
      </c>
      <c r="CW259" s="537">
        <v>0.51</v>
      </c>
      <c r="CX259" s="537">
        <v>0.51</v>
      </c>
      <c r="CY259" s="537">
        <v>0.51</v>
      </c>
      <c r="CZ259" s="537">
        <v>0.51</v>
      </c>
      <c r="DA259" s="537">
        <v>0.51</v>
      </c>
      <c r="DB259" s="537">
        <v>0.51</v>
      </c>
      <c r="DC259" s="537">
        <v>0.51</v>
      </c>
      <c r="DD259" s="537">
        <v>0.51</v>
      </c>
      <c r="DE259" s="537">
        <v>0.51</v>
      </c>
      <c r="DF259" s="537">
        <v>0.51</v>
      </c>
      <c r="DG259" s="537">
        <v>0.51</v>
      </c>
      <c r="DH259" s="537">
        <v>0.51</v>
      </c>
    </row>
    <row r="260" spans="2:112">
      <c r="B260" t="s">
        <v>1130</v>
      </c>
      <c r="C260" t="s">
        <v>779</v>
      </c>
      <c r="D260" t="s">
        <v>892</v>
      </c>
      <c r="E260" t="s">
        <v>178</v>
      </c>
      <c r="F260" s="537">
        <v>0.51</v>
      </c>
      <c r="G260" s="537">
        <v>0.51</v>
      </c>
      <c r="H260" s="537">
        <v>0.51</v>
      </c>
      <c r="I260" s="537">
        <v>0.51</v>
      </c>
      <c r="J260" s="537">
        <v>0.51</v>
      </c>
      <c r="K260" s="537">
        <v>0.51</v>
      </c>
      <c r="L260" s="537">
        <v>0.51</v>
      </c>
      <c r="M260" s="537">
        <v>0.51</v>
      </c>
      <c r="N260" s="537">
        <v>0.51</v>
      </c>
      <c r="O260" s="537">
        <v>0.51</v>
      </c>
      <c r="P260" s="537">
        <v>0.51</v>
      </c>
      <c r="Q260" s="537">
        <v>0.51</v>
      </c>
      <c r="R260" s="537">
        <v>0.51</v>
      </c>
      <c r="S260" s="537">
        <v>0.51</v>
      </c>
      <c r="T260" s="537">
        <v>0.51</v>
      </c>
      <c r="U260" s="537">
        <v>0.51</v>
      </c>
      <c r="V260" s="537">
        <v>0.51</v>
      </c>
      <c r="W260" s="537">
        <v>0.51</v>
      </c>
      <c r="X260" s="537">
        <v>0.51</v>
      </c>
      <c r="Y260" s="537">
        <v>0.51</v>
      </c>
      <c r="Z260" s="537">
        <v>0.51</v>
      </c>
      <c r="AA260" s="537">
        <v>0.51</v>
      </c>
      <c r="AB260" s="537">
        <v>0.51</v>
      </c>
      <c r="AC260" s="537">
        <v>0.51</v>
      </c>
      <c r="AD260" s="537">
        <v>0.51</v>
      </c>
      <c r="AE260" s="537">
        <v>0.51</v>
      </c>
      <c r="AF260" s="537">
        <v>0.51</v>
      </c>
      <c r="AG260" s="537">
        <v>0.51</v>
      </c>
      <c r="AH260" s="526">
        <f t="shared" si="194"/>
        <v>0.51</v>
      </c>
      <c r="AI260" s="526">
        <f t="shared" si="194"/>
        <v>0.51</v>
      </c>
      <c r="AJ260" s="526">
        <f t="shared" si="194"/>
        <v>0.51</v>
      </c>
      <c r="AK260" s="526">
        <f t="shared" si="194"/>
        <v>0.51</v>
      </c>
      <c r="AL260" s="526">
        <f t="shared" si="194"/>
        <v>0.51</v>
      </c>
      <c r="AM260" s="526">
        <f t="shared" si="194"/>
        <v>0.51</v>
      </c>
      <c r="AN260" s="526">
        <f t="shared" si="194"/>
        <v>0.51</v>
      </c>
      <c r="AO260" s="526">
        <f t="shared" si="194"/>
        <v>0.51</v>
      </c>
      <c r="AP260" s="526">
        <f t="shared" si="194"/>
        <v>0.51</v>
      </c>
      <c r="AQ260" s="526">
        <f t="shared" si="194"/>
        <v>0.51</v>
      </c>
      <c r="AR260" s="526">
        <f t="shared" si="194"/>
        <v>0.51</v>
      </c>
      <c r="AS260" s="526">
        <f t="shared" si="194"/>
        <v>0.51</v>
      </c>
      <c r="AT260" s="526">
        <f t="shared" si="194"/>
        <v>0.51</v>
      </c>
      <c r="AU260" s="526">
        <f t="shared" si="194"/>
        <v>0.51</v>
      </c>
      <c r="AV260" s="526">
        <f t="shared" si="194"/>
        <v>0.51</v>
      </c>
      <c r="AW260" s="526">
        <f t="shared" si="194"/>
        <v>0.51</v>
      </c>
      <c r="AX260" s="526">
        <f t="shared" si="193"/>
        <v>0.51</v>
      </c>
      <c r="AY260" s="526">
        <f t="shared" si="193"/>
        <v>0.51</v>
      </c>
      <c r="AZ260" s="526">
        <f t="shared" si="193"/>
        <v>0.51</v>
      </c>
      <c r="BA260" s="526">
        <f t="shared" si="193"/>
        <v>0.51</v>
      </c>
      <c r="BB260" s="526">
        <f t="shared" si="193"/>
        <v>0.51</v>
      </c>
      <c r="BC260" s="526">
        <f t="shared" si="193"/>
        <v>0.51</v>
      </c>
      <c r="BD260" s="526">
        <f t="shared" si="193"/>
        <v>0.51</v>
      </c>
      <c r="BE260" s="526">
        <f t="shared" si="193"/>
        <v>0.51</v>
      </c>
      <c r="BF260" s="526">
        <f t="shared" si="193"/>
        <v>0.51</v>
      </c>
      <c r="BG260" s="526">
        <f t="shared" si="193"/>
        <v>0.51</v>
      </c>
      <c r="BH260" s="526">
        <f t="shared" si="193"/>
        <v>0.51</v>
      </c>
      <c r="BI260" s="526">
        <f t="shared" si="193"/>
        <v>0.51</v>
      </c>
      <c r="BJ260" s="526">
        <f t="shared" si="193"/>
        <v>0.51</v>
      </c>
      <c r="BK260" s="526">
        <f t="shared" si="193"/>
        <v>0.51</v>
      </c>
      <c r="BL260" s="526">
        <f t="shared" si="193"/>
        <v>0.51</v>
      </c>
      <c r="BM260" s="526">
        <f t="shared" si="193"/>
        <v>0.51</v>
      </c>
      <c r="BN260" s="526">
        <f t="shared" si="193"/>
        <v>0.51</v>
      </c>
      <c r="BO260" s="526">
        <f t="shared" si="193"/>
        <v>0.51</v>
      </c>
      <c r="BP260" s="526">
        <f t="shared" si="193"/>
        <v>0.51</v>
      </c>
      <c r="BQ260" s="526">
        <f t="shared" si="193"/>
        <v>0.51</v>
      </c>
      <c r="BR260" s="526">
        <f t="shared" si="193"/>
        <v>0.51</v>
      </c>
      <c r="BS260" s="526">
        <f t="shared" si="193"/>
        <v>0.51</v>
      </c>
      <c r="BT260" s="526">
        <f t="shared" si="193"/>
        <v>0.51</v>
      </c>
      <c r="BU260" s="526">
        <f t="shared" si="193"/>
        <v>0.51</v>
      </c>
      <c r="BV260" s="526">
        <f t="shared" si="193"/>
        <v>0.51</v>
      </c>
      <c r="BW260" s="526">
        <f t="shared" si="193"/>
        <v>0.51</v>
      </c>
      <c r="BX260" s="526">
        <f t="shared" si="193"/>
        <v>0.51</v>
      </c>
      <c r="BY260" s="526">
        <f t="shared" si="193"/>
        <v>0.51</v>
      </c>
      <c r="BZ260" s="526">
        <f t="shared" si="193"/>
        <v>0.51</v>
      </c>
      <c r="CA260" s="526">
        <f t="shared" si="193"/>
        <v>0.51</v>
      </c>
      <c r="CB260" s="526">
        <f t="shared" si="193"/>
        <v>0.51</v>
      </c>
      <c r="CC260" s="526">
        <f t="shared" si="193"/>
        <v>0.51</v>
      </c>
      <c r="CD260" s="526">
        <f t="shared" si="193"/>
        <v>0.51</v>
      </c>
      <c r="CE260" s="526">
        <f t="shared" si="193"/>
        <v>0.51</v>
      </c>
      <c r="CG260" s="537">
        <v>0.51</v>
      </c>
      <c r="CH260" s="537">
        <v>0.51</v>
      </c>
      <c r="CI260" s="537">
        <v>0.51</v>
      </c>
      <c r="CJ260" s="537">
        <v>0.51</v>
      </c>
      <c r="CK260" s="537">
        <v>0.51</v>
      </c>
      <c r="CL260" s="537">
        <v>0.51</v>
      </c>
      <c r="CM260" s="537">
        <v>0.51</v>
      </c>
      <c r="CN260" s="537">
        <v>0.51</v>
      </c>
      <c r="CO260" s="537">
        <v>0.51</v>
      </c>
      <c r="CP260" s="537">
        <v>0.51</v>
      </c>
      <c r="CQ260" s="537">
        <v>0.51</v>
      </c>
      <c r="CR260" s="537">
        <v>0.51</v>
      </c>
      <c r="CS260" s="537">
        <v>0.51</v>
      </c>
      <c r="CT260" s="537">
        <v>0.51</v>
      </c>
      <c r="CU260" s="537">
        <v>0.51</v>
      </c>
      <c r="CV260" s="537">
        <v>0.51</v>
      </c>
      <c r="CW260" s="537">
        <v>0.51</v>
      </c>
      <c r="CX260" s="537">
        <v>0.51</v>
      </c>
      <c r="CY260" s="537">
        <v>0.51</v>
      </c>
      <c r="CZ260" s="537">
        <v>0.51</v>
      </c>
      <c r="DA260" s="537">
        <v>0.51</v>
      </c>
      <c r="DB260" s="537">
        <v>0.51</v>
      </c>
      <c r="DC260" s="537">
        <v>0.51</v>
      </c>
      <c r="DD260" s="537">
        <v>0.51</v>
      </c>
      <c r="DE260" s="537">
        <v>0.51</v>
      </c>
      <c r="DF260" s="537">
        <v>0.51</v>
      </c>
      <c r="DG260" s="537">
        <v>0.51</v>
      </c>
      <c r="DH260" s="537">
        <v>0.51</v>
      </c>
    </row>
    <row r="261" spans="2:112">
      <c r="B261" t="s">
        <v>1131</v>
      </c>
      <c r="C261" t="s">
        <v>779</v>
      </c>
      <c r="D261" t="s">
        <v>894</v>
      </c>
      <c r="E261" t="s">
        <v>895</v>
      </c>
      <c r="F261" s="537">
        <v>0</v>
      </c>
      <c r="G261" s="537">
        <v>0</v>
      </c>
      <c r="H261" s="537">
        <v>0</v>
      </c>
      <c r="I261" s="537">
        <v>0</v>
      </c>
      <c r="J261" s="537">
        <v>0</v>
      </c>
      <c r="K261" s="537">
        <v>0</v>
      </c>
      <c r="L261" s="537">
        <v>0</v>
      </c>
      <c r="M261" s="537">
        <v>0</v>
      </c>
      <c r="N261" s="537">
        <v>0</v>
      </c>
      <c r="O261" s="537">
        <v>0</v>
      </c>
      <c r="P261" s="537">
        <v>0</v>
      </c>
      <c r="Q261" s="537">
        <v>0</v>
      </c>
      <c r="R261" s="537">
        <v>0</v>
      </c>
      <c r="S261" s="537">
        <v>0</v>
      </c>
      <c r="T261" s="537">
        <v>0</v>
      </c>
      <c r="U261" s="537">
        <v>0</v>
      </c>
      <c r="V261" s="537">
        <v>0</v>
      </c>
      <c r="W261" s="537">
        <v>0</v>
      </c>
      <c r="X261" s="537">
        <v>0</v>
      </c>
      <c r="Y261" s="537">
        <v>0</v>
      </c>
      <c r="Z261" s="537">
        <v>0</v>
      </c>
      <c r="AA261" s="537">
        <v>0</v>
      </c>
      <c r="AB261" s="537">
        <v>0</v>
      </c>
      <c r="AC261" s="537">
        <v>0</v>
      </c>
      <c r="AD261" s="537">
        <v>0</v>
      </c>
      <c r="AE261" s="537">
        <v>0</v>
      </c>
      <c r="AF261" s="537">
        <v>0</v>
      </c>
      <c r="AG261" s="537">
        <v>0</v>
      </c>
      <c r="AH261" s="538">
        <f t="shared" si="194"/>
        <v>0</v>
      </c>
      <c r="AI261" s="538">
        <f t="shared" si="194"/>
        <v>0</v>
      </c>
      <c r="AJ261" s="538">
        <f t="shared" si="194"/>
        <v>0</v>
      </c>
      <c r="AK261" s="538">
        <f t="shared" si="194"/>
        <v>0</v>
      </c>
      <c r="AL261" s="538">
        <f t="shared" si="194"/>
        <v>0</v>
      </c>
      <c r="AM261" s="538">
        <f t="shared" si="194"/>
        <v>0</v>
      </c>
      <c r="AN261" s="538">
        <f t="shared" si="194"/>
        <v>0</v>
      </c>
      <c r="AO261" s="538">
        <f t="shared" si="194"/>
        <v>0</v>
      </c>
      <c r="AP261" s="538">
        <f t="shared" si="194"/>
        <v>0</v>
      </c>
      <c r="AQ261" s="538">
        <f t="shared" si="194"/>
        <v>0</v>
      </c>
      <c r="AR261" s="538">
        <f t="shared" si="194"/>
        <v>0</v>
      </c>
      <c r="AS261" s="538">
        <f t="shared" si="194"/>
        <v>0</v>
      </c>
      <c r="AT261" s="538">
        <f t="shared" si="194"/>
        <v>0</v>
      </c>
      <c r="AU261" s="538">
        <f t="shared" si="194"/>
        <v>0</v>
      </c>
      <c r="AV261" s="538">
        <f t="shared" si="194"/>
        <v>0</v>
      </c>
      <c r="AW261" s="538">
        <f t="shared" si="194"/>
        <v>0</v>
      </c>
      <c r="AX261" s="538">
        <f t="shared" si="193"/>
        <v>0</v>
      </c>
      <c r="AY261" s="538">
        <f t="shared" si="193"/>
        <v>0</v>
      </c>
      <c r="AZ261" s="538">
        <f t="shared" si="193"/>
        <v>0</v>
      </c>
      <c r="BA261" s="538">
        <f t="shared" si="193"/>
        <v>0</v>
      </c>
      <c r="BB261" s="538">
        <f t="shared" si="193"/>
        <v>0</v>
      </c>
      <c r="BC261" s="538">
        <f t="shared" si="193"/>
        <v>0</v>
      </c>
      <c r="BD261" s="538">
        <f t="shared" si="193"/>
        <v>0</v>
      </c>
      <c r="BE261" s="538">
        <f t="shared" si="193"/>
        <v>0</v>
      </c>
      <c r="BF261" s="538">
        <f t="shared" si="193"/>
        <v>0</v>
      </c>
      <c r="BG261" s="538">
        <f t="shared" si="193"/>
        <v>0</v>
      </c>
      <c r="BH261" s="538">
        <f t="shared" si="193"/>
        <v>0</v>
      </c>
      <c r="BI261" s="538">
        <f t="shared" si="193"/>
        <v>0</v>
      </c>
      <c r="BJ261" s="538">
        <f t="shared" si="193"/>
        <v>0</v>
      </c>
      <c r="BK261" s="538">
        <f t="shared" si="193"/>
        <v>0</v>
      </c>
      <c r="BL261" s="538">
        <f t="shared" si="193"/>
        <v>0</v>
      </c>
      <c r="BM261" s="538">
        <f t="shared" si="193"/>
        <v>0</v>
      </c>
      <c r="BN261" s="538">
        <f t="shared" si="193"/>
        <v>0</v>
      </c>
      <c r="BO261" s="538">
        <f t="shared" si="193"/>
        <v>0</v>
      </c>
      <c r="BP261" s="538">
        <f t="shared" si="193"/>
        <v>0</v>
      </c>
      <c r="BQ261" s="538">
        <f t="shared" si="193"/>
        <v>0</v>
      </c>
      <c r="BR261" s="538">
        <f t="shared" si="193"/>
        <v>0</v>
      </c>
      <c r="BS261" s="538">
        <f t="shared" si="193"/>
        <v>0</v>
      </c>
      <c r="BT261" s="538">
        <f t="shared" si="193"/>
        <v>0</v>
      </c>
      <c r="BU261" s="538">
        <f t="shared" si="193"/>
        <v>0</v>
      </c>
      <c r="BV261" s="538">
        <f t="shared" si="193"/>
        <v>0</v>
      </c>
      <c r="BW261" s="538">
        <f t="shared" si="193"/>
        <v>0</v>
      </c>
      <c r="BX261" s="538">
        <f t="shared" si="193"/>
        <v>0</v>
      </c>
      <c r="BY261" s="538">
        <f t="shared" si="193"/>
        <v>0</v>
      </c>
      <c r="BZ261" s="538">
        <f t="shared" si="193"/>
        <v>0</v>
      </c>
      <c r="CA261" s="538">
        <f t="shared" si="193"/>
        <v>0</v>
      </c>
      <c r="CB261" s="538">
        <f t="shared" si="193"/>
        <v>0</v>
      </c>
      <c r="CC261" s="538">
        <f t="shared" si="193"/>
        <v>0</v>
      </c>
      <c r="CD261" s="538">
        <f t="shared" si="193"/>
        <v>0</v>
      </c>
      <c r="CE261" s="538">
        <f t="shared" si="193"/>
        <v>0</v>
      </c>
      <c r="CG261" s="537">
        <v>0</v>
      </c>
      <c r="CH261" s="537">
        <v>0</v>
      </c>
      <c r="CI261" s="537">
        <v>0</v>
      </c>
      <c r="CJ261" s="537">
        <v>0</v>
      </c>
      <c r="CK261" s="537">
        <v>0</v>
      </c>
      <c r="CL261" s="537">
        <v>0</v>
      </c>
      <c r="CM261" s="537">
        <v>0</v>
      </c>
      <c r="CN261" s="537">
        <v>0</v>
      </c>
      <c r="CO261" s="537">
        <v>0</v>
      </c>
      <c r="CP261" s="537">
        <v>0</v>
      </c>
      <c r="CQ261" s="537">
        <v>0</v>
      </c>
      <c r="CR261" s="537">
        <v>0</v>
      </c>
      <c r="CS261" s="537">
        <v>0</v>
      </c>
      <c r="CT261" s="537">
        <v>0</v>
      </c>
      <c r="CU261" s="537">
        <v>0</v>
      </c>
      <c r="CV261" s="537">
        <v>0</v>
      </c>
      <c r="CW261" s="537">
        <v>0</v>
      </c>
      <c r="CX261" s="537">
        <v>0</v>
      </c>
      <c r="CY261" s="537">
        <v>0</v>
      </c>
      <c r="CZ261" s="537">
        <v>0</v>
      </c>
      <c r="DA261" s="537">
        <v>0</v>
      </c>
      <c r="DB261" s="537">
        <v>0</v>
      </c>
      <c r="DC261" s="537">
        <v>0</v>
      </c>
      <c r="DD261" s="537">
        <v>0</v>
      </c>
      <c r="DE261" s="537">
        <v>0</v>
      </c>
      <c r="DF261" s="537">
        <v>0</v>
      </c>
      <c r="DG261" s="537">
        <v>0</v>
      </c>
      <c r="DH261" s="537">
        <v>0</v>
      </c>
    </row>
    <row r="262" spans="2:112">
      <c r="B262" t="s">
        <v>1132</v>
      </c>
      <c r="C262" t="s">
        <v>779</v>
      </c>
      <c r="D262" t="s">
        <v>897</v>
      </c>
      <c r="E262" t="s">
        <v>895</v>
      </c>
      <c r="F262" s="537">
        <v>0.01</v>
      </c>
      <c r="G262" s="537">
        <v>0.01</v>
      </c>
      <c r="H262" s="537">
        <v>0.01</v>
      </c>
      <c r="I262" s="537">
        <v>0.01</v>
      </c>
      <c r="J262" s="537">
        <v>0.01</v>
      </c>
      <c r="K262" s="537">
        <v>0.01</v>
      </c>
      <c r="L262" s="537">
        <v>0.01</v>
      </c>
      <c r="M262" s="537">
        <v>0.01</v>
      </c>
      <c r="N262" s="537">
        <v>0.01</v>
      </c>
      <c r="O262" s="537">
        <v>0.01</v>
      </c>
      <c r="P262" s="537">
        <v>0.01</v>
      </c>
      <c r="Q262" s="537">
        <v>0.01</v>
      </c>
      <c r="R262" s="537">
        <v>0.01</v>
      </c>
      <c r="S262" s="537">
        <v>0.01</v>
      </c>
      <c r="T262" s="537">
        <v>0.01</v>
      </c>
      <c r="U262" s="537">
        <v>0.01</v>
      </c>
      <c r="V262" s="537">
        <v>0.01</v>
      </c>
      <c r="W262" s="537">
        <v>0.01</v>
      </c>
      <c r="X262" s="537">
        <v>0.01</v>
      </c>
      <c r="Y262" s="537">
        <v>0.01</v>
      </c>
      <c r="Z262" s="537">
        <v>0.01</v>
      </c>
      <c r="AA262" s="537">
        <v>0.01</v>
      </c>
      <c r="AB262" s="537">
        <v>0.01</v>
      </c>
      <c r="AC262" s="537">
        <v>0.01</v>
      </c>
      <c r="AD262" s="537">
        <v>0.01</v>
      </c>
      <c r="AE262" s="537">
        <v>0.01</v>
      </c>
      <c r="AF262" s="537">
        <v>0.01</v>
      </c>
      <c r="AG262" s="537">
        <v>0.01</v>
      </c>
      <c r="AH262" s="538">
        <f t="shared" si="194"/>
        <v>0.01</v>
      </c>
      <c r="AI262" s="538">
        <f t="shared" si="194"/>
        <v>0.01</v>
      </c>
      <c r="AJ262" s="538">
        <f t="shared" si="194"/>
        <v>0.01</v>
      </c>
      <c r="AK262" s="538">
        <f t="shared" si="194"/>
        <v>0.01</v>
      </c>
      <c r="AL262" s="538">
        <f t="shared" si="194"/>
        <v>0.01</v>
      </c>
      <c r="AM262" s="538">
        <f t="shared" si="194"/>
        <v>0.01</v>
      </c>
      <c r="AN262" s="538">
        <f t="shared" si="194"/>
        <v>0.01</v>
      </c>
      <c r="AO262" s="538">
        <f t="shared" si="194"/>
        <v>0.01</v>
      </c>
      <c r="AP262" s="538">
        <f t="shared" si="194"/>
        <v>0.01</v>
      </c>
      <c r="AQ262" s="538">
        <f t="shared" si="194"/>
        <v>0.01</v>
      </c>
      <c r="AR262" s="538">
        <f t="shared" si="194"/>
        <v>0.01</v>
      </c>
      <c r="AS262" s="538">
        <f t="shared" si="194"/>
        <v>0.01</v>
      </c>
      <c r="AT262" s="538">
        <f t="shared" si="194"/>
        <v>0.01</v>
      </c>
      <c r="AU262" s="538">
        <f t="shared" si="194"/>
        <v>0.01</v>
      </c>
      <c r="AV262" s="538">
        <f t="shared" si="194"/>
        <v>0.01</v>
      </c>
      <c r="AW262" s="538">
        <f t="shared" si="194"/>
        <v>0.01</v>
      </c>
      <c r="AX262" s="538">
        <f t="shared" si="193"/>
        <v>0.01</v>
      </c>
      <c r="AY262" s="538">
        <f t="shared" si="193"/>
        <v>0.01</v>
      </c>
      <c r="AZ262" s="538">
        <f t="shared" si="193"/>
        <v>0.01</v>
      </c>
      <c r="BA262" s="538">
        <f t="shared" si="193"/>
        <v>0.01</v>
      </c>
      <c r="BB262" s="538">
        <f t="shared" si="193"/>
        <v>0.01</v>
      </c>
      <c r="BC262" s="538">
        <f t="shared" si="193"/>
        <v>0.01</v>
      </c>
      <c r="BD262" s="538">
        <f t="shared" si="193"/>
        <v>0.01</v>
      </c>
      <c r="BE262" s="538">
        <f t="shared" si="193"/>
        <v>0.01</v>
      </c>
      <c r="BF262" s="538">
        <f t="shared" si="193"/>
        <v>0.01</v>
      </c>
      <c r="BG262" s="538">
        <f t="shared" si="193"/>
        <v>0.01</v>
      </c>
      <c r="BH262" s="538">
        <f t="shared" si="193"/>
        <v>0.01</v>
      </c>
      <c r="BI262" s="538">
        <f t="shared" si="193"/>
        <v>0.01</v>
      </c>
      <c r="BJ262" s="538">
        <f t="shared" si="193"/>
        <v>0.01</v>
      </c>
      <c r="BK262" s="538">
        <f t="shared" si="193"/>
        <v>0.01</v>
      </c>
      <c r="BL262" s="538">
        <f t="shared" si="193"/>
        <v>0.01</v>
      </c>
      <c r="BM262" s="538">
        <f t="shared" si="193"/>
        <v>0.01</v>
      </c>
      <c r="BN262" s="538">
        <f t="shared" ref="BN262:CC264" si="195">BM262</f>
        <v>0.01</v>
      </c>
      <c r="BO262" s="538">
        <f t="shared" si="195"/>
        <v>0.01</v>
      </c>
      <c r="BP262" s="538">
        <f t="shared" si="195"/>
        <v>0.01</v>
      </c>
      <c r="BQ262" s="538">
        <f t="shared" si="195"/>
        <v>0.01</v>
      </c>
      <c r="BR262" s="538">
        <f t="shared" si="195"/>
        <v>0.01</v>
      </c>
      <c r="BS262" s="538">
        <f t="shared" si="195"/>
        <v>0.01</v>
      </c>
      <c r="BT262" s="538">
        <f t="shared" si="195"/>
        <v>0.01</v>
      </c>
      <c r="BU262" s="538">
        <f t="shared" si="195"/>
        <v>0.01</v>
      </c>
      <c r="BV262" s="538">
        <f t="shared" si="195"/>
        <v>0.01</v>
      </c>
      <c r="BW262" s="538">
        <f t="shared" si="195"/>
        <v>0.01</v>
      </c>
      <c r="BX262" s="538">
        <f t="shared" si="195"/>
        <v>0.01</v>
      </c>
      <c r="BY262" s="538">
        <f t="shared" si="195"/>
        <v>0.01</v>
      </c>
      <c r="BZ262" s="538">
        <f t="shared" si="195"/>
        <v>0.01</v>
      </c>
      <c r="CA262" s="538">
        <f t="shared" si="195"/>
        <v>0.01</v>
      </c>
      <c r="CB262" s="538">
        <f t="shared" si="195"/>
        <v>0.01</v>
      </c>
      <c r="CC262" s="538">
        <f t="shared" si="195"/>
        <v>0.01</v>
      </c>
      <c r="CD262" s="538">
        <f t="shared" ref="CD262:CE264" si="196">CC262</f>
        <v>0.01</v>
      </c>
      <c r="CE262" s="538">
        <f t="shared" si="196"/>
        <v>0.01</v>
      </c>
      <c r="CG262" s="537">
        <v>0.01</v>
      </c>
      <c r="CH262" s="537">
        <v>0.01</v>
      </c>
      <c r="CI262" s="537">
        <v>0.01</v>
      </c>
      <c r="CJ262" s="537">
        <v>0.01</v>
      </c>
      <c r="CK262" s="537">
        <v>0.01</v>
      </c>
      <c r="CL262" s="537">
        <v>0.01</v>
      </c>
      <c r="CM262" s="537">
        <v>0.01</v>
      </c>
      <c r="CN262" s="537">
        <v>0.01</v>
      </c>
      <c r="CO262" s="537">
        <v>0.01</v>
      </c>
      <c r="CP262" s="537">
        <v>0.01</v>
      </c>
      <c r="CQ262" s="537">
        <v>0.01</v>
      </c>
      <c r="CR262" s="537">
        <v>0.01</v>
      </c>
      <c r="CS262" s="537">
        <v>0.01</v>
      </c>
      <c r="CT262" s="537">
        <v>0.01</v>
      </c>
      <c r="CU262" s="537">
        <v>0.01</v>
      </c>
      <c r="CV262" s="537">
        <v>0.01</v>
      </c>
      <c r="CW262" s="537">
        <v>0.01</v>
      </c>
      <c r="CX262" s="537">
        <v>0.01</v>
      </c>
      <c r="CY262" s="537">
        <v>0.01</v>
      </c>
      <c r="CZ262" s="537">
        <v>0.01</v>
      </c>
      <c r="DA262" s="537">
        <v>0.01</v>
      </c>
      <c r="DB262" s="537">
        <v>0.01</v>
      </c>
      <c r="DC262" s="537">
        <v>0.01</v>
      </c>
      <c r="DD262" s="537">
        <v>0.01</v>
      </c>
      <c r="DE262" s="537">
        <v>0.01</v>
      </c>
      <c r="DF262" s="537">
        <v>0.01</v>
      </c>
      <c r="DG262" s="537">
        <v>0.01</v>
      </c>
      <c r="DH262" s="537">
        <v>0.01</v>
      </c>
    </row>
    <row r="263" spans="2:112">
      <c r="B263" t="s">
        <v>1133</v>
      </c>
      <c r="C263" t="s">
        <v>779</v>
      </c>
      <c r="D263" t="s">
        <v>899</v>
      </c>
      <c r="E263" t="s">
        <v>895</v>
      </c>
      <c r="F263" s="537">
        <v>0.05</v>
      </c>
      <c r="G263" s="537">
        <v>0.05</v>
      </c>
      <c r="H263" s="537">
        <v>0.05</v>
      </c>
      <c r="I263" s="537">
        <v>0.05</v>
      </c>
      <c r="J263" s="537">
        <v>0.05</v>
      </c>
      <c r="K263" s="537">
        <v>0.05</v>
      </c>
      <c r="L263" s="537">
        <v>0.05</v>
      </c>
      <c r="M263" s="537">
        <v>0.05</v>
      </c>
      <c r="N263" s="537">
        <v>0.05</v>
      </c>
      <c r="O263" s="537">
        <v>0.05</v>
      </c>
      <c r="P263" s="537">
        <v>0.05</v>
      </c>
      <c r="Q263" s="537">
        <v>0.05</v>
      </c>
      <c r="R263" s="537">
        <v>0.05</v>
      </c>
      <c r="S263" s="537">
        <v>0.05</v>
      </c>
      <c r="T263" s="537">
        <v>0.05</v>
      </c>
      <c r="U263" s="537">
        <v>0.05</v>
      </c>
      <c r="V263" s="537">
        <v>0.05</v>
      </c>
      <c r="W263" s="537">
        <v>0.05</v>
      </c>
      <c r="X263" s="537">
        <v>0.05</v>
      </c>
      <c r="Y263" s="537">
        <v>0.05</v>
      </c>
      <c r="Z263" s="537">
        <v>0.05</v>
      </c>
      <c r="AA263" s="537">
        <v>0.05</v>
      </c>
      <c r="AB263" s="537">
        <v>0.05</v>
      </c>
      <c r="AC263" s="537">
        <v>0.05</v>
      </c>
      <c r="AD263" s="537">
        <v>0.05</v>
      </c>
      <c r="AE263" s="537">
        <v>0.05</v>
      </c>
      <c r="AF263" s="537">
        <v>0.05</v>
      </c>
      <c r="AG263" s="537">
        <v>0.05</v>
      </c>
      <c r="AH263" s="538">
        <f t="shared" si="194"/>
        <v>0.05</v>
      </c>
      <c r="AI263" s="538">
        <f t="shared" si="194"/>
        <v>0.05</v>
      </c>
      <c r="AJ263" s="538">
        <f t="shared" si="194"/>
        <v>0.05</v>
      </c>
      <c r="AK263" s="538">
        <f t="shared" si="194"/>
        <v>0.05</v>
      </c>
      <c r="AL263" s="538">
        <f t="shared" si="194"/>
        <v>0.05</v>
      </c>
      <c r="AM263" s="538">
        <f t="shared" si="194"/>
        <v>0.05</v>
      </c>
      <c r="AN263" s="538">
        <f t="shared" si="194"/>
        <v>0.05</v>
      </c>
      <c r="AO263" s="538">
        <f t="shared" si="194"/>
        <v>0.05</v>
      </c>
      <c r="AP263" s="538">
        <f t="shared" si="194"/>
        <v>0.05</v>
      </c>
      <c r="AQ263" s="538">
        <f t="shared" si="194"/>
        <v>0.05</v>
      </c>
      <c r="AR263" s="538">
        <f t="shared" si="194"/>
        <v>0.05</v>
      </c>
      <c r="AS263" s="538">
        <f t="shared" si="194"/>
        <v>0.05</v>
      </c>
      <c r="AT263" s="538">
        <f t="shared" si="194"/>
        <v>0.05</v>
      </c>
      <c r="AU263" s="538">
        <f t="shared" si="194"/>
        <v>0.05</v>
      </c>
      <c r="AV263" s="538">
        <f t="shared" si="194"/>
        <v>0.05</v>
      </c>
      <c r="AW263" s="538">
        <f t="shared" si="194"/>
        <v>0.05</v>
      </c>
      <c r="AX263" s="538">
        <f t="shared" ref="AX263:BM264" si="197">AW263</f>
        <v>0.05</v>
      </c>
      <c r="AY263" s="538">
        <f t="shared" si="197"/>
        <v>0.05</v>
      </c>
      <c r="AZ263" s="538">
        <f t="shared" si="197"/>
        <v>0.05</v>
      </c>
      <c r="BA263" s="538">
        <f t="shared" si="197"/>
        <v>0.05</v>
      </c>
      <c r="BB263" s="538">
        <f t="shared" si="197"/>
        <v>0.05</v>
      </c>
      <c r="BC263" s="538">
        <f t="shared" si="197"/>
        <v>0.05</v>
      </c>
      <c r="BD263" s="538">
        <f t="shared" si="197"/>
        <v>0.05</v>
      </c>
      <c r="BE263" s="538">
        <f t="shared" si="197"/>
        <v>0.05</v>
      </c>
      <c r="BF263" s="538">
        <f t="shared" si="197"/>
        <v>0.05</v>
      </c>
      <c r="BG263" s="538">
        <f t="shared" si="197"/>
        <v>0.05</v>
      </c>
      <c r="BH263" s="538">
        <f t="shared" si="197"/>
        <v>0.05</v>
      </c>
      <c r="BI263" s="538">
        <f t="shared" si="197"/>
        <v>0.05</v>
      </c>
      <c r="BJ263" s="538">
        <f t="shared" si="197"/>
        <v>0.05</v>
      </c>
      <c r="BK263" s="538">
        <f t="shared" si="197"/>
        <v>0.05</v>
      </c>
      <c r="BL263" s="538">
        <f t="shared" si="197"/>
        <v>0.05</v>
      </c>
      <c r="BM263" s="538">
        <f t="shared" si="197"/>
        <v>0.05</v>
      </c>
      <c r="BN263" s="538">
        <f t="shared" si="195"/>
        <v>0.05</v>
      </c>
      <c r="BO263" s="538">
        <f t="shared" si="195"/>
        <v>0.05</v>
      </c>
      <c r="BP263" s="538">
        <f t="shared" si="195"/>
        <v>0.05</v>
      </c>
      <c r="BQ263" s="538">
        <f t="shared" si="195"/>
        <v>0.05</v>
      </c>
      <c r="BR263" s="538">
        <f t="shared" si="195"/>
        <v>0.05</v>
      </c>
      <c r="BS263" s="538">
        <f t="shared" si="195"/>
        <v>0.05</v>
      </c>
      <c r="BT263" s="538">
        <f t="shared" si="195"/>
        <v>0.05</v>
      </c>
      <c r="BU263" s="538">
        <f t="shared" si="195"/>
        <v>0.05</v>
      </c>
      <c r="BV263" s="538">
        <f t="shared" si="195"/>
        <v>0.05</v>
      </c>
      <c r="BW263" s="538">
        <f t="shared" si="195"/>
        <v>0.05</v>
      </c>
      <c r="BX263" s="538">
        <f t="shared" si="195"/>
        <v>0.05</v>
      </c>
      <c r="BY263" s="538">
        <f t="shared" si="195"/>
        <v>0.05</v>
      </c>
      <c r="BZ263" s="538">
        <f t="shared" si="195"/>
        <v>0.05</v>
      </c>
      <c r="CA263" s="538">
        <f t="shared" si="195"/>
        <v>0.05</v>
      </c>
      <c r="CB263" s="538">
        <f t="shared" si="195"/>
        <v>0.05</v>
      </c>
      <c r="CC263" s="538">
        <f t="shared" si="195"/>
        <v>0.05</v>
      </c>
      <c r="CD263" s="538">
        <f t="shared" si="196"/>
        <v>0.05</v>
      </c>
      <c r="CE263" s="538">
        <f t="shared" si="196"/>
        <v>0.05</v>
      </c>
      <c r="CG263" s="537">
        <v>0.05</v>
      </c>
      <c r="CH263" s="537">
        <v>0.05</v>
      </c>
      <c r="CI263" s="537">
        <v>0.05</v>
      </c>
      <c r="CJ263" s="537">
        <v>0.05</v>
      </c>
      <c r="CK263" s="537">
        <v>0.05</v>
      </c>
      <c r="CL263" s="537">
        <v>0.05</v>
      </c>
      <c r="CM263" s="537">
        <v>0.05</v>
      </c>
      <c r="CN263" s="537">
        <v>0.05</v>
      </c>
      <c r="CO263" s="537">
        <v>0.05</v>
      </c>
      <c r="CP263" s="537">
        <v>0.05</v>
      </c>
      <c r="CQ263" s="537">
        <v>0.05</v>
      </c>
      <c r="CR263" s="537">
        <v>0.05</v>
      </c>
      <c r="CS263" s="537">
        <v>0.05</v>
      </c>
      <c r="CT263" s="537">
        <v>0.05</v>
      </c>
      <c r="CU263" s="537">
        <v>0.05</v>
      </c>
      <c r="CV263" s="537">
        <v>0.05</v>
      </c>
      <c r="CW263" s="537">
        <v>0.05</v>
      </c>
      <c r="CX263" s="537">
        <v>0.05</v>
      </c>
      <c r="CY263" s="537">
        <v>0.05</v>
      </c>
      <c r="CZ263" s="537">
        <v>0.05</v>
      </c>
      <c r="DA263" s="537">
        <v>0.05</v>
      </c>
      <c r="DB263" s="537">
        <v>0.05</v>
      </c>
      <c r="DC263" s="537">
        <v>0.05</v>
      </c>
      <c r="DD263" s="537">
        <v>0.05</v>
      </c>
      <c r="DE263" s="537">
        <v>0.05</v>
      </c>
      <c r="DF263" s="537">
        <v>0.05</v>
      </c>
      <c r="DG263" s="537">
        <v>0.05</v>
      </c>
      <c r="DH263" s="537">
        <v>0.05</v>
      </c>
    </row>
    <row r="264" spans="2:112">
      <c r="B264" t="s">
        <v>1134</v>
      </c>
      <c r="C264" t="s">
        <v>779</v>
      </c>
      <c r="D264" t="s">
        <v>901</v>
      </c>
      <c r="E264" t="s">
        <v>895</v>
      </c>
      <c r="F264" s="537">
        <v>0.05</v>
      </c>
      <c r="G264" s="537">
        <v>0.05</v>
      </c>
      <c r="H264" s="537">
        <v>0.05</v>
      </c>
      <c r="I264" s="537">
        <v>0.05</v>
      </c>
      <c r="J264" s="537">
        <v>0.05</v>
      </c>
      <c r="K264" s="537">
        <v>0.05</v>
      </c>
      <c r="L264" s="537">
        <v>0.05</v>
      </c>
      <c r="M264" s="537">
        <v>0.05</v>
      </c>
      <c r="N264" s="537">
        <v>0.05</v>
      </c>
      <c r="O264" s="537">
        <v>0.05</v>
      </c>
      <c r="P264" s="537">
        <v>0.05</v>
      </c>
      <c r="Q264" s="537">
        <v>0.05</v>
      </c>
      <c r="R264" s="537">
        <v>0.05</v>
      </c>
      <c r="S264" s="537">
        <v>0.05</v>
      </c>
      <c r="T264" s="537">
        <v>0.05</v>
      </c>
      <c r="U264" s="537">
        <v>0.05</v>
      </c>
      <c r="V264" s="537">
        <v>0.05</v>
      </c>
      <c r="W264" s="537">
        <v>0.05</v>
      </c>
      <c r="X264" s="537">
        <v>0.05</v>
      </c>
      <c r="Y264" s="537">
        <v>0.05</v>
      </c>
      <c r="Z264" s="537">
        <v>0.05</v>
      </c>
      <c r="AA264" s="537">
        <v>0.05</v>
      </c>
      <c r="AB264" s="537">
        <v>0.05</v>
      </c>
      <c r="AC264" s="537">
        <v>0.05</v>
      </c>
      <c r="AD264" s="537">
        <v>0.05</v>
      </c>
      <c r="AE264" s="537">
        <v>0.05</v>
      </c>
      <c r="AF264" s="537">
        <v>0.05</v>
      </c>
      <c r="AG264" s="537">
        <v>0.05</v>
      </c>
      <c r="AH264" s="538">
        <f t="shared" si="194"/>
        <v>0.05</v>
      </c>
      <c r="AI264" s="538">
        <f t="shared" si="194"/>
        <v>0.05</v>
      </c>
      <c r="AJ264" s="538">
        <f t="shared" si="194"/>
        <v>0.05</v>
      </c>
      <c r="AK264" s="538">
        <f t="shared" si="194"/>
        <v>0.05</v>
      </c>
      <c r="AL264" s="538">
        <f t="shared" si="194"/>
        <v>0.05</v>
      </c>
      <c r="AM264" s="538">
        <f t="shared" si="194"/>
        <v>0.05</v>
      </c>
      <c r="AN264" s="538">
        <f t="shared" si="194"/>
        <v>0.05</v>
      </c>
      <c r="AO264" s="538">
        <f t="shared" si="194"/>
        <v>0.05</v>
      </c>
      <c r="AP264" s="538">
        <f t="shared" si="194"/>
        <v>0.05</v>
      </c>
      <c r="AQ264" s="538">
        <f t="shared" si="194"/>
        <v>0.05</v>
      </c>
      <c r="AR264" s="538">
        <f t="shared" si="194"/>
        <v>0.05</v>
      </c>
      <c r="AS264" s="538">
        <f t="shared" si="194"/>
        <v>0.05</v>
      </c>
      <c r="AT264" s="538">
        <f t="shared" si="194"/>
        <v>0.05</v>
      </c>
      <c r="AU264" s="538">
        <f t="shared" si="194"/>
        <v>0.05</v>
      </c>
      <c r="AV264" s="538">
        <f t="shared" si="194"/>
        <v>0.05</v>
      </c>
      <c r="AW264" s="538">
        <f t="shared" si="194"/>
        <v>0.05</v>
      </c>
      <c r="AX264" s="538">
        <f t="shared" si="197"/>
        <v>0.05</v>
      </c>
      <c r="AY264" s="538">
        <f t="shared" si="197"/>
        <v>0.05</v>
      </c>
      <c r="AZ264" s="538">
        <f t="shared" si="197"/>
        <v>0.05</v>
      </c>
      <c r="BA264" s="538">
        <f t="shared" si="197"/>
        <v>0.05</v>
      </c>
      <c r="BB264" s="538">
        <f t="shared" si="197"/>
        <v>0.05</v>
      </c>
      <c r="BC264" s="538">
        <f t="shared" si="197"/>
        <v>0.05</v>
      </c>
      <c r="BD264" s="538">
        <f t="shared" si="197"/>
        <v>0.05</v>
      </c>
      <c r="BE264" s="538">
        <f t="shared" si="197"/>
        <v>0.05</v>
      </c>
      <c r="BF264" s="538">
        <f t="shared" si="197"/>
        <v>0.05</v>
      </c>
      <c r="BG264" s="538">
        <f t="shared" si="197"/>
        <v>0.05</v>
      </c>
      <c r="BH264" s="538">
        <f t="shared" si="197"/>
        <v>0.05</v>
      </c>
      <c r="BI264" s="538">
        <f t="shared" si="197"/>
        <v>0.05</v>
      </c>
      <c r="BJ264" s="538">
        <f t="shared" si="197"/>
        <v>0.05</v>
      </c>
      <c r="BK264" s="538">
        <f t="shared" si="197"/>
        <v>0.05</v>
      </c>
      <c r="BL264" s="538">
        <f t="shared" si="197"/>
        <v>0.05</v>
      </c>
      <c r="BM264" s="538">
        <f t="shared" si="197"/>
        <v>0.05</v>
      </c>
      <c r="BN264" s="538">
        <f t="shared" si="195"/>
        <v>0.05</v>
      </c>
      <c r="BO264" s="538">
        <f t="shared" si="195"/>
        <v>0.05</v>
      </c>
      <c r="BP264" s="538">
        <f t="shared" si="195"/>
        <v>0.05</v>
      </c>
      <c r="BQ264" s="538">
        <f t="shared" si="195"/>
        <v>0.05</v>
      </c>
      <c r="BR264" s="538">
        <f t="shared" si="195"/>
        <v>0.05</v>
      </c>
      <c r="BS264" s="538">
        <f t="shared" si="195"/>
        <v>0.05</v>
      </c>
      <c r="BT264" s="538">
        <f t="shared" si="195"/>
        <v>0.05</v>
      </c>
      <c r="BU264" s="538">
        <f t="shared" si="195"/>
        <v>0.05</v>
      </c>
      <c r="BV264" s="538">
        <f t="shared" si="195"/>
        <v>0.05</v>
      </c>
      <c r="BW264" s="538">
        <f t="shared" si="195"/>
        <v>0.05</v>
      </c>
      <c r="BX264" s="538">
        <f t="shared" si="195"/>
        <v>0.05</v>
      </c>
      <c r="BY264" s="538">
        <f t="shared" si="195"/>
        <v>0.05</v>
      </c>
      <c r="BZ264" s="538">
        <f t="shared" si="195"/>
        <v>0.05</v>
      </c>
      <c r="CA264" s="538">
        <f t="shared" si="195"/>
        <v>0.05</v>
      </c>
      <c r="CB264" s="538">
        <f t="shared" si="195"/>
        <v>0.05</v>
      </c>
      <c r="CC264" s="538">
        <f t="shared" si="195"/>
        <v>0.05</v>
      </c>
      <c r="CD264" s="538">
        <f t="shared" si="196"/>
        <v>0.05</v>
      </c>
      <c r="CE264" s="538">
        <f t="shared" si="196"/>
        <v>0.05</v>
      </c>
      <c r="CG264" s="537">
        <v>0.05</v>
      </c>
      <c r="CH264" s="537">
        <v>0.05</v>
      </c>
      <c r="CI264" s="537">
        <v>0.05</v>
      </c>
      <c r="CJ264" s="537">
        <v>0.05</v>
      </c>
      <c r="CK264" s="537">
        <v>0.05</v>
      </c>
      <c r="CL264" s="537">
        <v>0.05</v>
      </c>
      <c r="CM264" s="537">
        <v>0.05</v>
      </c>
      <c r="CN264" s="537">
        <v>0.05</v>
      </c>
      <c r="CO264" s="537">
        <v>0.05</v>
      </c>
      <c r="CP264" s="537">
        <v>0.05</v>
      </c>
      <c r="CQ264" s="537">
        <v>0.05</v>
      </c>
      <c r="CR264" s="537">
        <v>0.05</v>
      </c>
      <c r="CS264" s="537">
        <v>0.05</v>
      </c>
      <c r="CT264" s="537">
        <v>0.05</v>
      </c>
      <c r="CU264" s="537">
        <v>0.05</v>
      </c>
      <c r="CV264" s="537">
        <v>0.05</v>
      </c>
      <c r="CW264" s="537">
        <v>0.05</v>
      </c>
      <c r="CX264" s="537">
        <v>0.05</v>
      </c>
      <c r="CY264" s="537">
        <v>0.05</v>
      </c>
      <c r="CZ264" s="537">
        <v>0.05</v>
      </c>
      <c r="DA264" s="537">
        <v>0.05</v>
      </c>
      <c r="DB264" s="537">
        <v>0.05</v>
      </c>
      <c r="DC264" s="537">
        <v>0.05</v>
      </c>
      <c r="DD264" s="537">
        <v>0.05</v>
      </c>
      <c r="DE264" s="537">
        <v>0.05</v>
      </c>
      <c r="DF264" s="537">
        <v>0.05</v>
      </c>
      <c r="DG264" s="537">
        <v>0.05</v>
      </c>
      <c r="DH264" s="537">
        <v>0.05</v>
      </c>
    </row>
    <row r="265" spans="2:112">
      <c r="F265" s="539"/>
      <c r="G265" s="539"/>
      <c r="H265" s="539"/>
      <c r="I265" s="539"/>
      <c r="J265" s="539"/>
      <c r="K265" s="539"/>
      <c r="L265" s="539"/>
      <c r="M265" s="539"/>
      <c r="N265" s="539"/>
      <c r="O265" s="539"/>
      <c r="P265" s="539"/>
      <c r="Q265" s="539"/>
      <c r="R265" s="539"/>
      <c r="S265" s="539"/>
      <c r="T265" s="539"/>
      <c r="U265" s="539"/>
      <c r="V265" s="539"/>
      <c r="W265" s="539"/>
      <c r="X265" s="539"/>
      <c r="Y265" s="539"/>
      <c r="Z265" s="539"/>
      <c r="AA265" s="539"/>
      <c r="AB265" s="539"/>
      <c r="AC265" s="539"/>
      <c r="AD265" s="539"/>
      <c r="AE265" s="539"/>
      <c r="AF265" s="539"/>
      <c r="AG265" s="539"/>
      <c r="AH265" s="539"/>
      <c r="AI265" s="539"/>
      <c r="AJ265" s="539"/>
      <c r="AK265" s="539"/>
      <c r="AL265" s="539"/>
      <c r="AM265" s="539"/>
      <c r="AN265" s="539"/>
      <c r="AO265" s="539"/>
      <c r="AP265" s="539"/>
      <c r="AQ265" s="539"/>
      <c r="AR265" s="539"/>
      <c r="AS265" s="539"/>
      <c r="AT265" s="539"/>
      <c r="AU265" s="539"/>
      <c r="AV265" s="539"/>
      <c r="AW265" s="539"/>
      <c r="AX265" s="539"/>
      <c r="AY265" s="539"/>
      <c r="AZ265" s="539"/>
      <c r="BA265" s="539"/>
      <c r="BB265" s="539"/>
      <c r="BC265" s="539"/>
      <c r="BD265" s="539"/>
      <c r="BE265" s="539"/>
      <c r="BF265" s="539"/>
      <c r="BG265" s="539"/>
      <c r="BH265" s="539"/>
      <c r="BI265" s="539"/>
      <c r="BJ265" s="539"/>
      <c r="BK265" s="539"/>
      <c r="BL265" s="539"/>
      <c r="BM265" s="539"/>
      <c r="BN265" s="539"/>
      <c r="BO265" s="539"/>
      <c r="BP265" s="539"/>
      <c r="BQ265" s="539"/>
      <c r="BR265" s="539"/>
      <c r="BS265" s="539"/>
      <c r="BT265" s="539"/>
      <c r="BU265" s="539"/>
      <c r="BV265" s="539"/>
      <c r="BW265" s="539"/>
      <c r="BX265" s="539"/>
      <c r="BY265" s="539"/>
      <c r="BZ265" s="539"/>
      <c r="CA265" s="539"/>
      <c r="CB265" s="539"/>
      <c r="CC265" s="539"/>
      <c r="CD265" s="539"/>
      <c r="CE265" s="539"/>
      <c r="CG265" s="539"/>
      <c r="CH265" s="539"/>
      <c r="CI265" s="539"/>
      <c r="CJ265" s="539"/>
      <c r="CK265" s="539"/>
      <c r="CL265" s="539"/>
      <c r="CM265" s="539"/>
      <c r="CN265" s="539"/>
      <c r="CO265" s="539"/>
      <c r="CP265" s="539"/>
      <c r="CQ265" s="539"/>
      <c r="CR265" s="539"/>
      <c r="CS265" s="539"/>
      <c r="CT265" s="539"/>
      <c r="CU265" s="539"/>
      <c r="CV265" s="539"/>
      <c r="CW265" s="539"/>
      <c r="CX265" s="539"/>
      <c r="CY265" s="539"/>
      <c r="CZ265" s="539"/>
      <c r="DA265" s="539"/>
      <c r="DB265" s="539"/>
      <c r="DC265" s="539"/>
      <c r="DD265" s="539"/>
      <c r="DE265" s="539"/>
      <c r="DF265" s="539"/>
      <c r="DG265" s="539"/>
      <c r="DH265" s="539"/>
    </row>
    <row r="266" spans="2:112">
      <c r="B266" t="s">
        <v>1135</v>
      </c>
      <c r="C266" t="s">
        <v>779</v>
      </c>
      <c r="D266" t="s">
        <v>903</v>
      </c>
      <c r="E266" t="s">
        <v>557</v>
      </c>
      <c r="F266" s="536">
        <v>39420</v>
      </c>
      <c r="G266" s="536">
        <v>39420</v>
      </c>
      <c r="H266" s="536">
        <v>39420</v>
      </c>
      <c r="I266" s="536">
        <v>39420</v>
      </c>
      <c r="J266" s="536">
        <v>39420</v>
      </c>
      <c r="K266" s="536">
        <v>39420</v>
      </c>
      <c r="L266" s="536">
        <v>39420</v>
      </c>
      <c r="M266" s="536">
        <v>39420</v>
      </c>
      <c r="N266" s="536">
        <v>39420</v>
      </c>
      <c r="O266" s="536">
        <v>39420</v>
      </c>
      <c r="P266" s="536">
        <v>39420</v>
      </c>
      <c r="Q266" s="536">
        <v>39420</v>
      </c>
      <c r="R266" s="536">
        <v>39420</v>
      </c>
      <c r="S266" s="536">
        <v>39420</v>
      </c>
      <c r="T266" s="536">
        <v>39420</v>
      </c>
      <c r="U266" s="536">
        <v>39420</v>
      </c>
      <c r="V266" s="536">
        <v>39420</v>
      </c>
      <c r="W266" s="536">
        <v>39420</v>
      </c>
      <c r="X266" s="536">
        <v>39420</v>
      </c>
      <c r="Y266" s="536">
        <v>39420</v>
      </c>
      <c r="Z266" s="536">
        <v>39420</v>
      </c>
      <c r="AA266" s="536">
        <v>39420</v>
      </c>
      <c r="AB266" s="536">
        <v>39420</v>
      </c>
      <c r="AC266" s="536">
        <v>39420</v>
      </c>
      <c r="AD266" s="536">
        <v>39420</v>
      </c>
      <c r="AE266" s="536">
        <v>39420</v>
      </c>
      <c r="AF266" s="536">
        <v>39420</v>
      </c>
      <c r="AG266" s="536">
        <v>39420</v>
      </c>
      <c r="AH266" s="540">
        <f>AG266</f>
        <v>39420</v>
      </c>
      <c r="AI266" s="540">
        <f t="shared" ref="AI266:CE267" si="198">AH266</f>
        <v>39420</v>
      </c>
      <c r="AJ266" s="540">
        <f t="shared" si="198"/>
        <v>39420</v>
      </c>
      <c r="AK266" s="540">
        <f t="shared" si="198"/>
        <v>39420</v>
      </c>
      <c r="AL266" s="540">
        <f t="shared" si="198"/>
        <v>39420</v>
      </c>
      <c r="AM266" s="540">
        <f t="shared" si="198"/>
        <v>39420</v>
      </c>
      <c r="AN266" s="540">
        <f t="shared" si="198"/>
        <v>39420</v>
      </c>
      <c r="AO266" s="540">
        <f t="shared" si="198"/>
        <v>39420</v>
      </c>
      <c r="AP266" s="540">
        <f t="shared" si="198"/>
        <v>39420</v>
      </c>
      <c r="AQ266" s="540">
        <f t="shared" si="198"/>
        <v>39420</v>
      </c>
      <c r="AR266" s="540">
        <f t="shared" si="198"/>
        <v>39420</v>
      </c>
      <c r="AS266" s="540">
        <f t="shared" si="198"/>
        <v>39420</v>
      </c>
      <c r="AT266" s="540">
        <f t="shared" si="198"/>
        <v>39420</v>
      </c>
      <c r="AU266" s="540">
        <f t="shared" si="198"/>
        <v>39420</v>
      </c>
      <c r="AV266" s="540">
        <f t="shared" si="198"/>
        <v>39420</v>
      </c>
      <c r="AW266" s="540">
        <f t="shared" si="198"/>
        <v>39420</v>
      </c>
      <c r="AX266" s="540">
        <f t="shared" si="198"/>
        <v>39420</v>
      </c>
      <c r="AY266" s="540">
        <f t="shared" si="198"/>
        <v>39420</v>
      </c>
      <c r="AZ266" s="540">
        <f t="shared" si="198"/>
        <v>39420</v>
      </c>
      <c r="BA266" s="540">
        <f t="shared" si="198"/>
        <v>39420</v>
      </c>
      <c r="BB266" s="540">
        <f t="shared" si="198"/>
        <v>39420</v>
      </c>
      <c r="BC266" s="540">
        <f t="shared" si="198"/>
        <v>39420</v>
      </c>
      <c r="BD266" s="540">
        <f t="shared" si="198"/>
        <v>39420</v>
      </c>
      <c r="BE266" s="540">
        <f t="shared" si="198"/>
        <v>39420</v>
      </c>
      <c r="BF266" s="540">
        <f t="shared" si="198"/>
        <v>39420</v>
      </c>
      <c r="BG266" s="540">
        <f t="shared" si="198"/>
        <v>39420</v>
      </c>
      <c r="BH266" s="540">
        <f t="shared" si="198"/>
        <v>39420</v>
      </c>
      <c r="BI266" s="540">
        <f t="shared" si="198"/>
        <v>39420</v>
      </c>
      <c r="BJ266" s="540">
        <f t="shared" si="198"/>
        <v>39420</v>
      </c>
      <c r="BK266" s="540">
        <f t="shared" si="198"/>
        <v>39420</v>
      </c>
      <c r="BL266" s="540">
        <f t="shared" si="198"/>
        <v>39420</v>
      </c>
      <c r="BM266" s="540">
        <f t="shared" si="198"/>
        <v>39420</v>
      </c>
      <c r="BN266" s="540">
        <f t="shared" si="198"/>
        <v>39420</v>
      </c>
      <c r="BO266" s="540">
        <f t="shared" si="198"/>
        <v>39420</v>
      </c>
      <c r="BP266" s="540">
        <f t="shared" si="198"/>
        <v>39420</v>
      </c>
      <c r="BQ266" s="540">
        <f t="shared" si="198"/>
        <v>39420</v>
      </c>
      <c r="BR266" s="540">
        <f t="shared" si="198"/>
        <v>39420</v>
      </c>
      <c r="BS266" s="540">
        <f t="shared" si="198"/>
        <v>39420</v>
      </c>
      <c r="BT266" s="540">
        <f t="shared" si="198"/>
        <v>39420</v>
      </c>
      <c r="BU266" s="540">
        <f t="shared" si="198"/>
        <v>39420</v>
      </c>
      <c r="BV266" s="540">
        <f t="shared" si="198"/>
        <v>39420</v>
      </c>
      <c r="BW266" s="540">
        <f t="shared" si="198"/>
        <v>39420</v>
      </c>
      <c r="BX266" s="540">
        <f t="shared" si="198"/>
        <v>39420</v>
      </c>
      <c r="BY266" s="540">
        <f t="shared" si="198"/>
        <v>39420</v>
      </c>
      <c r="BZ266" s="540">
        <f t="shared" si="198"/>
        <v>39420</v>
      </c>
      <c r="CA266" s="540">
        <f t="shared" si="198"/>
        <v>39420</v>
      </c>
      <c r="CB266" s="540">
        <f t="shared" si="198"/>
        <v>39420</v>
      </c>
      <c r="CC266" s="540">
        <f t="shared" si="198"/>
        <v>39420</v>
      </c>
      <c r="CD266" s="540">
        <f t="shared" si="198"/>
        <v>39420</v>
      </c>
      <c r="CE266" s="540">
        <f t="shared" si="198"/>
        <v>39420</v>
      </c>
      <c r="CG266" s="536">
        <v>39420</v>
      </c>
      <c r="CH266" s="536">
        <v>39420</v>
      </c>
      <c r="CI266" s="536">
        <v>39420</v>
      </c>
      <c r="CJ266" s="536">
        <v>39420</v>
      </c>
      <c r="CK266" s="536">
        <v>39420</v>
      </c>
      <c r="CL266" s="536">
        <v>39420</v>
      </c>
      <c r="CM266" s="536">
        <v>39420</v>
      </c>
      <c r="CN266" s="536">
        <v>39420</v>
      </c>
      <c r="CO266" s="536">
        <v>39420</v>
      </c>
      <c r="CP266" s="536">
        <v>39420</v>
      </c>
      <c r="CQ266" s="536">
        <v>39420</v>
      </c>
      <c r="CR266" s="536">
        <v>39420</v>
      </c>
      <c r="CS266" s="536">
        <v>39420</v>
      </c>
      <c r="CT266" s="536">
        <v>39420</v>
      </c>
      <c r="CU266" s="536">
        <v>39420</v>
      </c>
      <c r="CV266" s="536">
        <v>39420</v>
      </c>
      <c r="CW266" s="536">
        <v>39420</v>
      </c>
      <c r="CX266" s="536">
        <v>39420</v>
      </c>
      <c r="CY266" s="536">
        <v>39420</v>
      </c>
      <c r="CZ266" s="536">
        <v>39420</v>
      </c>
      <c r="DA266" s="536">
        <v>39420</v>
      </c>
      <c r="DB266" s="536">
        <v>39420</v>
      </c>
      <c r="DC266" s="536">
        <v>39420</v>
      </c>
      <c r="DD266" s="536">
        <v>39420</v>
      </c>
      <c r="DE266" s="536">
        <v>39420</v>
      </c>
      <c r="DF266" s="536">
        <v>39420</v>
      </c>
      <c r="DG266" s="536">
        <v>39420</v>
      </c>
      <c r="DH266" s="536">
        <v>39420</v>
      </c>
    </row>
    <row r="267" spans="2:112">
      <c r="B267" t="s">
        <v>1136</v>
      </c>
      <c r="C267" t="s">
        <v>779</v>
      </c>
      <c r="D267" t="s">
        <v>905</v>
      </c>
      <c r="E267" t="s">
        <v>557</v>
      </c>
      <c r="F267" s="536">
        <v>11415.272727272728</v>
      </c>
      <c r="G267" s="536">
        <v>11415.272727272728</v>
      </c>
      <c r="H267" s="536">
        <v>11415.272727272728</v>
      </c>
      <c r="I267" s="536">
        <v>11415.272727272728</v>
      </c>
      <c r="J267" s="536">
        <v>11415.272727272728</v>
      </c>
      <c r="K267" s="536">
        <v>11415.272727272728</v>
      </c>
      <c r="L267" s="536">
        <v>11415.272727272728</v>
      </c>
      <c r="M267" s="536">
        <v>11415.272727272728</v>
      </c>
      <c r="N267" s="536">
        <v>11415.272727272728</v>
      </c>
      <c r="O267" s="536">
        <v>11415.272727272728</v>
      </c>
      <c r="P267" s="536">
        <v>11415.272727272728</v>
      </c>
      <c r="Q267" s="536">
        <v>11415.272727272728</v>
      </c>
      <c r="R267" s="536">
        <v>11415.272727272728</v>
      </c>
      <c r="S267" s="536">
        <v>11415.272727272728</v>
      </c>
      <c r="T267" s="536">
        <v>11415.272727272728</v>
      </c>
      <c r="U267" s="536">
        <v>11415.272727272728</v>
      </c>
      <c r="V267" s="536">
        <v>11415.272727272728</v>
      </c>
      <c r="W267" s="536">
        <v>11415.272727272728</v>
      </c>
      <c r="X267" s="536">
        <v>11415.272727272728</v>
      </c>
      <c r="Y267" s="536">
        <v>11415.272727272728</v>
      </c>
      <c r="Z267" s="536">
        <v>11415.272727272728</v>
      </c>
      <c r="AA267" s="536">
        <v>11415.272727272728</v>
      </c>
      <c r="AB267" s="536">
        <v>11415.272727272728</v>
      </c>
      <c r="AC267" s="536">
        <v>11415.272727272728</v>
      </c>
      <c r="AD267" s="536">
        <v>11415.272727272728</v>
      </c>
      <c r="AE267" s="536">
        <v>11415.272727272728</v>
      </c>
      <c r="AF267" s="536">
        <v>11415.272727272728</v>
      </c>
      <c r="AG267" s="536">
        <v>11415.272727272728</v>
      </c>
      <c r="AH267" s="540">
        <f>AG267</f>
        <v>11415.272727272728</v>
      </c>
      <c r="AI267" s="540">
        <f t="shared" si="198"/>
        <v>11415.272727272728</v>
      </c>
      <c r="AJ267" s="540">
        <f t="shared" si="198"/>
        <v>11415.272727272728</v>
      </c>
      <c r="AK267" s="540">
        <f t="shared" si="198"/>
        <v>11415.272727272728</v>
      </c>
      <c r="AL267" s="540">
        <f t="shared" si="198"/>
        <v>11415.272727272728</v>
      </c>
      <c r="AM267" s="540">
        <f t="shared" si="198"/>
        <v>11415.272727272728</v>
      </c>
      <c r="AN267" s="540">
        <f t="shared" si="198"/>
        <v>11415.272727272728</v>
      </c>
      <c r="AO267" s="540">
        <f t="shared" si="198"/>
        <v>11415.272727272728</v>
      </c>
      <c r="AP267" s="540">
        <f t="shared" si="198"/>
        <v>11415.272727272728</v>
      </c>
      <c r="AQ267" s="540">
        <f t="shared" si="198"/>
        <v>11415.272727272728</v>
      </c>
      <c r="AR267" s="540">
        <f t="shared" si="198"/>
        <v>11415.272727272728</v>
      </c>
      <c r="AS267" s="540">
        <f t="shared" si="198"/>
        <v>11415.272727272728</v>
      </c>
      <c r="AT267" s="540">
        <f t="shared" si="198"/>
        <v>11415.272727272728</v>
      </c>
      <c r="AU267" s="540">
        <f t="shared" si="198"/>
        <v>11415.272727272728</v>
      </c>
      <c r="AV267" s="540">
        <f t="shared" si="198"/>
        <v>11415.272727272728</v>
      </c>
      <c r="AW267" s="540">
        <f t="shared" si="198"/>
        <v>11415.272727272728</v>
      </c>
      <c r="AX267" s="540">
        <f t="shared" si="198"/>
        <v>11415.272727272728</v>
      </c>
      <c r="AY267" s="540">
        <f t="shared" si="198"/>
        <v>11415.272727272728</v>
      </c>
      <c r="AZ267" s="540">
        <f t="shared" si="198"/>
        <v>11415.272727272728</v>
      </c>
      <c r="BA267" s="540">
        <f t="shared" si="198"/>
        <v>11415.272727272728</v>
      </c>
      <c r="BB267" s="540">
        <f t="shared" si="198"/>
        <v>11415.272727272728</v>
      </c>
      <c r="BC267" s="540">
        <f t="shared" si="198"/>
        <v>11415.272727272728</v>
      </c>
      <c r="BD267" s="540">
        <f t="shared" si="198"/>
        <v>11415.272727272728</v>
      </c>
      <c r="BE267" s="540">
        <f t="shared" si="198"/>
        <v>11415.272727272728</v>
      </c>
      <c r="BF267" s="540">
        <f t="shared" si="198"/>
        <v>11415.272727272728</v>
      </c>
      <c r="BG267" s="540">
        <f t="shared" si="198"/>
        <v>11415.272727272728</v>
      </c>
      <c r="BH267" s="540">
        <f t="shared" si="198"/>
        <v>11415.272727272728</v>
      </c>
      <c r="BI267" s="540">
        <f t="shared" si="198"/>
        <v>11415.272727272728</v>
      </c>
      <c r="BJ267" s="540">
        <f t="shared" si="198"/>
        <v>11415.272727272728</v>
      </c>
      <c r="BK267" s="540">
        <f t="shared" si="198"/>
        <v>11415.272727272728</v>
      </c>
      <c r="BL267" s="540">
        <f t="shared" si="198"/>
        <v>11415.272727272728</v>
      </c>
      <c r="BM267" s="540">
        <f t="shared" si="198"/>
        <v>11415.272727272728</v>
      </c>
      <c r="BN267" s="540">
        <f t="shared" si="198"/>
        <v>11415.272727272728</v>
      </c>
      <c r="BO267" s="540">
        <f t="shared" si="198"/>
        <v>11415.272727272728</v>
      </c>
      <c r="BP267" s="540">
        <f t="shared" si="198"/>
        <v>11415.272727272728</v>
      </c>
      <c r="BQ267" s="540">
        <f t="shared" si="198"/>
        <v>11415.272727272728</v>
      </c>
      <c r="BR267" s="540">
        <f t="shared" si="198"/>
        <v>11415.272727272728</v>
      </c>
      <c r="BS267" s="540">
        <f t="shared" si="198"/>
        <v>11415.272727272728</v>
      </c>
      <c r="BT267" s="540">
        <f t="shared" si="198"/>
        <v>11415.272727272728</v>
      </c>
      <c r="BU267" s="540">
        <f t="shared" si="198"/>
        <v>11415.272727272728</v>
      </c>
      <c r="BV267" s="540">
        <f t="shared" si="198"/>
        <v>11415.272727272728</v>
      </c>
      <c r="BW267" s="540">
        <f t="shared" si="198"/>
        <v>11415.272727272728</v>
      </c>
      <c r="BX267" s="540">
        <f t="shared" si="198"/>
        <v>11415.272727272728</v>
      </c>
      <c r="BY267" s="540">
        <f t="shared" si="198"/>
        <v>11415.272727272728</v>
      </c>
      <c r="BZ267" s="540">
        <f t="shared" si="198"/>
        <v>11415.272727272728</v>
      </c>
      <c r="CA267" s="540">
        <f t="shared" si="198"/>
        <v>11415.272727272728</v>
      </c>
      <c r="CB267" s="540">
        <f t="shared" si="198"/>
        <v>11415.272727272728</v>
      </c>
      <c r="CC267" s="540">
        <f t="shared" si="198"/>
        <v>11415.272727272728</v>
      </c>
      <c r="CD267" s="540">
        <f t="shared" si="198"/>
        <v>11415.272727272728</v>
      </c>
      <c r="CE267" s="540">
        <f t="shared" si="198"/>
        <v>11415.272727272728</v>
      </c>
      <c r="CG267" s="536">
        <v>11415.272727272728</v>
      </c>
      <c r="CH267" s="536">
        <v>11415.272727272728</v>
      </c>
      <c r="CI267" s="536">
        <v>11415.272727272728</v>
      </c>
      <c r="CJ267" s="536">
        <v>11415.272727272728</v>
      </c>
      <c r="CK267" s="536">
        <v>11415.272727272728</v>
      </c>
      <c r="CL267" s="536">
        <v>11415.272727272728</v>
      </c>
      <c r="CM267" s="536">
        <v>11415.272727272728</v>
      </c>
      <c r="CN267" s="536">
        <v>11415.272727272728</v>
      </c>
      <c r="CO267" s="536">
        <v>11415.272727272728</v>
      </c>
      <c r="CP267" s="536">
        <v>11415.272727272728</v>
      </c>
      <c r="CQ267" s="536">
        <v>11415.272727272728</v>
      </c>
      <c r="CR267" s="536">
        <v>11415.272727272728</v>
      </c>
      <c r="CS267" s="536">
        <v>11415.272727272728</v>
      </c>
      <c r="CT267" s="536">
        <v>11415.272727272728</v>
      </c>
      <c r="CU267" s="536">
        <v>11415.272727272728</v>
      </c>
      <c r="CV267" s="536">
        <v>11415.272727272728</v>
      </c>
      <c r="CW267" s="536">
        <v>11415.272727272728</v>
      </c>
      <c r="CX267" s="536">
        <v>11415.272727272728</v>
      </c>
      <c r="CY267" s="536">
        <v>11415.272727272728</v>
      </c>
      <c r="CZ267" s="536">
        <v>11415.272727272728</v>
      </c>
      <c r="DA267" s="536">
        <v>11415.272727272728</v>
      </c>
      <c r="DB267" s="536">
        <v>11415.272727272728</v>
      </c>
      <c r="DC267" s="536">
        <v>11415.272727272728</v>
      </c>
      <c r="DD267" s="536">
        <v>11415.272727272728</v>
      </c>
      <c r="DE267" s="536">
        <v>11415.272727272728</v>
      </c>
      <c r="DF267" s="536">
        <v>11415.272727272728</v>
      </c>
      <c r="DG267" s="536">
        <v>11415.272727272728</v>
      </c>
      <c r="DH267" s="536">
        <v>11415.272727272728</v>
      </c>
    </row>
    <row r="268" spans="2:112">
      <c r="F268" s="539"/>
      <c r="G268" s="539"/>
      <c r="H268" s="539"/>
      <c r="I268" s="539"/>
      <c r="J268" s="539"/>
      <c r="K268" s="539"/>
      <c r="L268" s="539"/>
      <c r="M268" s="539"/>
      <c r="N268" s="539"/>
      <c r="O268" s="539"/>
      <c r="P268" s="539"/>
      <c r="Q268" s="539"/>
      <c r="R268" s="539"/>
      <c r="S268" s="539"/>
      <c r="T268" s="539"/>
      <c r="U268" s="539"/>
      <c r="V268" s="539"/>
      <c r="W268" s="539"/>
      <c r="X268" s="539"/>
      <c r="Y268" s="539"/>
      <c r="Z268" s="539"/>
      <c r="AA268" s="539"/>
      <c r="AB268" s="539"/>
      <c r="AC268" s="539"/>
      <c r="AD268" s="539"/>
      <c r="AE268" s="539"/>
      <c r="AF268" s="539"/>
      <c r="AG268" s="539"/>
      <c r="AH268" s="539"/>
      <c r="AI268" s="539"/>
      <c r="AJ268" s="539"/>
      <c r="AK268" s="539"/>
      <c r="AL268" s="539"/>
      <c r="AM268" s="539"/>
      <c r="AN268" s="539"/>
      <c r="AO268" s="539"/>
      <c r="AP268" s="539"/>
      <c r="AQ268" s="539"/>
      <c r="AR268" s="539"/>
      <c r="AS268" s="539"/>
      <c r="AT268" s="539"/>
      <c r="AU268" s="539"/>
      <c r="AV268" s="539"/>
      <c r="AW268" s="539"/>
      <c r="AX268" s="539"/>
      <c r="AY268" s="539"/>
      <c r="AZ268" s="539"/>
      <c r="BA268" s="539"/>
      <c r="BB268" s="539"/>
      <c r="BC268" s="539"/>
      <c r="BD268" s="539"/>
      <c r="BE268" s="539"/>
      <c r="BF268" s="539"/>
      <c r="BG268" s="539"/>
      <c r="BH268" s="539"/>
      <c r="BI268" s="539"/>
      <c r="BJ268" s="539"/>
      <c r="BK268" s="539"/>
      <c r="BL268" s="539"/>
      <c r="BM268" s="539"/>
      <c r="BN268" s="539"/>
      <c r="BO268" s="539"/>
      <c r="BP268" s="539"/>
      <c r="BQ268" s="539"/>
      <c r="BR268" s="539"/>
      <c r="BS268" s="539"/>
      <c r="BT268" s="539"/>
      <c r="BU268" s="539"/>
      <c r="BV268" s="539"/>
      <c r="BW268" s="539"/>
      <c r="BX268" s="539"/>
      <c r="BY268" s="539"/>
      <c r="BZ268" s="539"/>
      <c r="CA268" s="539"/>
      <c r="CB268" s="539"/>
      <c r="CC268" s="539"/>
      <c r="CD268" s="539"/>
      <c r="CE268" s="539"/>
      <c r="CG268" s="539"/>
      <c r="CH268" s="539"/>
      <c r="CI268" s="539"/>
      <c r="CJ268" s="539"/>
      <c r="CK268" s="539"/>
      <c r="CL268" s="539"/>
      <c r="CM268" s="539"/>
      <c r="CN268" s="539"/>
      <c r="CO268" s="539"/>
      <c r="CP268" s="539"/>
      <c r="CQ268" s="539"/>
      <c r="CR268" s="539"/>
      <c r="CS268" s="539"/>
      <c r="CT268" s="539"/>
      <c r="CU268" s="539"/>
      <c r="CV268" s="539"/>
      <c r="CW268" s="539"/>
      <c r="CX268" s="539"/>
      <c r="CY268" s="539"/>
      <c r="CZ268" s="539"/>
      <c r="DA268" s="539"/>
      <c r="DB268" s="539"/>
      <c r="DC268" s="539"/>
      <c r="DD268" s="539"/>
      <c r="DE268" s="539"/>
      <c r="DF268" s="539"/>
      <c r="DG268" s="539"/>
      <c r="DH268" s="539"/>
    </row>
    <row r="269" spans="2:112">
      <c r="B269" t="s">
        <v>1137</v>
      </c>
      <c r="C269" t="s">
        <v>779</v>
      </c>
      <c r="D269" t="s">
        <v>907</v>
      </c>
      <c r="E269" t="s">
        <v>908</v>
      </c>
      <c r="F269" s="541">
        <v>75.856999999999999</v>
      </c>
      <c r="G269" s="541">
        <v>75.856999999999999</v>
      </c>
      <c r="H269" s="541">
        <v>75.856999999999999</v>
      </c>
      <c r="I269" s="541">
        <v>75.856999999999999</v>
      </c>
      <c r="J269" s="541">
        <v>75.856999999999999</v>
      </c>
      <c r="K269" s="541">
        <v>75.856999999999999</v>
      </c>
      <c r="L269" s="541">
        <v>75.856999999999999</v>
      </c>
      <c r="M269" s="541">
        <v>75.856999999999999</v>
      </c>
      <c r="N269" s="541">
        <v>75.856999999999999</v>
      </c>
      <c r="O269" s="541">
        <v>75.856999999999999</v>
      </c>
      <c r="P269" s="541">
        <v>75.856999999999999</v>
      </c>
      <c r="Q269" s="541">
        <v>75.856999999999999</v>
      </c>
      <c r="R269" s="541">
        <v>75.856999999999999</v>
      </c>
      <c r="S269" s="541">
        <v>75.856999999999999</v>
      </c>
      <c r="T269" s="541">
        <v>75.856999999999999</v>
      </c>
      <c r="U269" s="541">
        <v>75.856999999999999</v>
      </c>
      <c r="V269" s="541">
        <v>75.856999999999999</v>
      </c>
      <c r="W269" s="541">
        <v>75.856999999999999</v>
      </c>
      <c r="X269" s="541">
        <v>75.856999999999999</v>
      </c>
      <c r="Y269" s="541">
        <v>75.856999999999999</v>
      </c>
      <c r="Z269" s="541">
        <v>75.856999999999999</v>
      </c>
      <c r="AA269" s="541">
        <v>75.856999999999999</v>
      </c>
      <c r="AB269" s="541">
        <v>75.856999999999999</v>
      </c>
      <c r="AC269" s="541">
        <v>75.856999999999999</v>
      </c>
      <c r="AD269" s="541">
        <v>75.856999999999999</v>
      </c>
      <c r="AE269" s="541">
        <v>75.856999999999999</v>
      </c>
      <c r="AF269" s="541">
        <v>75.856999999999999</v>
      </c>
      <c r="AG269" s="541">
        <v>75.856999999999999</v>
      </c>
      <c r="AH269" s="542">
        <f>AG269</f>
        <v>75.856999999999999</v>
      </c>
      <c r="AI269" s="542">
        <f t="shared" ref="AI269:AX269" si="199">AH269</f>
        <v>75.856999999999999</v>
      </c>
      <c r="AJ269" s="542">
        <f t="shared" si="199"/>
        <v>75.856999999999999</v>
      </c>
      <c r="AK269" s="542">
        <f t="shared" si="199"/>
        <v>75.856999999999999</v>
      </c>
      <c r="AL269" s="542">
        <f t="shared" si="199"/>
        <v>75.856999999999999</v>
      </c>
      <c r="AM269" s="542">
        <f t="shared" si="199"/>
        <v>75.856999999999999</v>
      </c>
      <c r="AN269" s="542">
        <f t="shared" si="199"/>
        <v>75.856999999999999</v>
      </c>
      <c r="AO269" s="542">
        <f t="shared" si="199"/>
        <v>75.856999999999999</v>
      </c>
      <c r="AP269" s="542">
        <f t="shared" si="199"/>
        <v>75.856999999999999</v>
      </c>
      <c r="AQ269" s="542">
        <f t="shared" si="199"/>
        <v>75.856999999999999</v>
      </c>
      <c r="AR269" s="542">
        <f t="shared" si="199"/>
        <v>75.856999999999999</v>
      </c>
      <c r="AS269" s="542">
        <f t="shared" si="199"/>
        <v>75.856999999999999</v>
      </c>
      <c r="AT269" s="542">
        <f t="shared" si="199"/>
        <v>75.856999999999999</v>
      </c>
      <c r="AU269" s="542">
        <f t="shared" si="199"/>
        <v>75.856999999999999</v>
      </c>
      <c r="AV269" s="542">
        <f t="shared" si="199"/>
        <v>75.856999999999999</v>
      </c>
      <c r="AW269" s="542">
        <f t="shared" si="199"/>
        <v>75.856999999999999</v>
      </c>
      <c r="AX269" s="542">
        <f t="shared" si="199"/>
        <v>75.856999999999999</v>
      </c>
      <c r="AY269" s="542">
        <f t="shared" ref="AY269:BN269" si="200">AX269</f>
        <v>75.856999999999999</v>
      </c>
      <c r="AZ269" s="542">
        <f t="shared" si="200"/>
        <v>75.856999999999999</v>
      </c>
      <c r="BA269" s="542">
        <f t="shared" si="200"/>
        <v>75.856999999999999</v>
      </c>
      <c r="BB269" s="542">
        <f t="shared" si="200"/>
        <v>75.856999999999999</v>
      </c>
      <c r="BC269" s="542">
        <f t="shared" si="200"/>
        <v>75.856999999999999</v>
      </c>
      <c r="BD269" s="542">
        <f t="shared" si="200"/>
        <v>75.856999999999999</v>
      </c>
      <c r="BE269" s="542">
        <f t="shared" si="200"/>
        <v>75.856999999999999</v>
      </c>
      <c r="BF269" s="542">
        <f t="shared" si="200"/>
        <v>75.856999999999999</v>
      </c>
      <c r="BG269" s="542">
        <f t="shared" si="200"/>
        <v>75.856999999999999</v>
      </c>
      <c r="BH269" s="542">
        <f t="shared" si="200"/>
        <v>75.856999999999999</v>
      </c>
      <c r="BI269" s="542">
        <f t="shared" si="200"/>
        <v>75.856999999999999</v>
      </c>
      <c r="BJ269" s="542">
        <f t="shared" si="200"/>
        <v>75.856999999999999</v>
      </c>
      <c r="BK269" s="542">
        <f t="shared" si="200"/>
        <v>75.856999999999999</v>
      </c>
      <c r="BL269" s="542">
        <f t="shared" si="200"/>
        <v>75.856999999999999</v>
      </c>
      <c r="BM269" s="542">
        <f t="shared" si="200"/>
        <v>75.856999999999999</v>
      </c>
      <c r="BN269" s="542">
        <f t="shared" si="200"/>
        <v>75.856999999999999</v>
      </c>
      <c r="BO269" s="542">
        <f t="shared" ref="BO269:CD269" si="201">BN269</f>
        <v>75.856999999999999</v>
      </c>
      <c r="BP269" s="542">
        <f t="shared" si="201"/>
        <v>75.856999999999999</v>
      </c>
      <c r="BQ269" s="542">
        <f t="shared" si="201"/>
        <v>75.856999999999999</v>
      </c>
      <c r="BR269" s="542">
        <f t="shared" si="201"/>
        <v>75.856999999999999</v>
      </c>
      <c r="BS269" s="542">
        <f t="shared" si="201"/>
        <v>75.856999999999999</v>
      </c>
      <c r="BT269" s="542">
        <f t="shared" si="201"/>
        <v>75.856999999999999</v>
      </c>
      <c r="BU269" s="542">
        <f t="shared" si="201"/>
        <v>75.856999999999999</v>
      </c>
      <c r="BV269" s="542">
        <f t="shared" si="201"/>
        <v>75.856999999999999</v>
      </c>
      <c r="BW269" s="542">
        <f t="shared" si="201"/>
        <v>75.856999999999999</v>
      </c>
      <c r="BX269" s="542">
        <f t="shared" si="201"/>
        <v>75.856999999999999</v>
      </c>
      <c r="BY269" s="542">
        <f t="shared" si="201"/>
        <v>75.856999999999999</v>
      </c>
      <c r="BZ269" s="542">
        <f t="shared" si="201"/>
        <v>75.856999999999999</v>
      </c>
      <c r="CA269" s="542">
        <f t="shared" si="201"/>
        <v>75.856999999999999</v>
      </c>
      <c r="CB269" s="542">
        <f t="shared" si="201"/>
        <v>75.856999999999999</v>
      </c>
      <c r="CC269" s="542">
        <f t="shared" si="201"/>
        <v>75.856999999999999</v>
      </c>
      <c r="CD269" s="542">
        <f t="shared" si="201"/>
        <v>75.856999999999999</v>
      </c>
      <c r="CE269" s="542">
        <f t="shared" ref="AX269:CE276" si="202">CD269</f>
        <v>75.856999999999999</v>
      </c>
      <c r="CG269" s="541">
        <v>75.856999999999999</v>
      </c>
      <c r="CH269" s="541">
        <v>75.856999999999999</v>
      </c>
      <c r="CI269" s="541">
        <v>75.856999999999999</v>
      </c>
      <c r="CJ269" s="541">
        <v>75.856999999999999</v>
      </c>
      <c r="CK269" s="541">
        <v>75.856999999999999</v>
      </c>
      <c r="CL269" s="541">
        <v>75.856999999999999</v>
      </c>
      <c r="CM269" s="541">
        <v>75.856999999999999</v>
      </c>
      <c r="CN269" s="541">
        <v>75.856999999999999</v>
      </c>
      <c r="CO269" s="541">
        <v>75.856999999999999</v>
      </c>
      <c r="CP269" s="541">
        <v>75.856999999999999</v>
      </c>
      <c r="CQ269" s="541">
        <v>75.856999999999999</v>
      </c>
      <c r="CR269" s="541">
        <v>75.856999999999999</v>
      </c>
      <c r="CS269" s="541">
        <v>75.856999999999999</v>
      </c>
      <c r="CT269" s="541">
        <v>75.856999999999999</v>
      </c>
      <c r="CU269" s="541">
        <v>75.856999999999999</v>
      </c>
      <c r="CV269" s="541">
        <v>75.856999999999999</v>
      </c>
      <c r="CW269" s="541">
        <v>75.856999999999999</v>
      </c>
      <c r="CX269" s="541">
        <v>75.856999999999999</v>
      </c>
      <c r="CY269" s="541">
        <v>75.856999999999999</v>
      </c>
      <c r="CZ269" s="541">
        <v>75.856999999999999</v>
      </c>
      <c r="DA269" s="541">
        <v>75.856999999999999</v>
      </c>
      <c r="DB269" s="541">
        <v>75.856999999999999</v>
      </c>
      <c r="DC269" s="541">
        <v>75.856999999999999</v>
      </c>
      <c r="DD269" s="541">
        <v>75.856999999999999</v>
      </c>
      <c r="DE269" s="541">
        <v>75.856999999999999</v>
      </c>
      <c r="DF269" s="541">
        <v>75.856999999999999</v>
      </c>
      <c r="DG269" s="541">
        <v>75.856999999999999</v>
      </c>
      <c r="DH269" s="541">
        <v>75.856999999999999</v>
      </c>
    </row>
    <row r="270" spans="2:112">
      <c r="B270" t="s">
        <v>1138</v>
      </c>
      <c r="C270" t="s">
        <v>779</v>
      </c>
      <c r="D270" t="s">
        <v>910</v>
      </c>
      <c r="E270" t="s">
        <v>911</v>
      </c>
      <c r="F270" s="541">
        <v>2.5525534545454547</v>
      </c>
      <c r="G270" s="541">
        <v>2.5525534545454547</v>
      </c>
      <c r="H270" s="541">
        <v>2.5525534545454547</v>
      </c>
      <c r="I270" s="541">
        <v>2.5525534545454547</v>
      </c>
      <c r="J270" s="541">
        <v>2.5525534545454547</v>
      </c>
      <c r="K270" s="541">
        <v>2.5525534545454547</v>
      </c>
      <c r="L270" s="541">
        <v>2.5525534545454547</v>
      </c>
      <c r="M270" s="541">
        <v>2.5525534545454547</v>
      </c>
      <c r="N270" s="541">
        <v>2.5525534545454547</v>
      </c>
      <c r="O270" s="541">
        <v>2.5525534545454547</v>
      </c>
      <c r="P270" s="541">
        <v>2.5525534545454547</v>
      </c>
      <c r="Q270" s="541">
        <v>2.5525534545454547</v>
      </c>
      <c r="R270" s="541">
        <v>2.5525534545454547</v>
      </c>
      <c r="S270" s="541">
        <v>2.5525534545454547</v>
      </c>
      <c r="T270" s="541">
        <v>2.5525534545454547</v>
      </c>
      <c r="U270" s="541">
        <v>2.5525534545454547</v>
      </c>
      <c r="V270" s="541">
        <v>2.5525534545454547</v>
      </c>
      <c r="W270" s="541">
        <v>2.5525534545454547</v>
      </c>
      <c r="X270" s="541">
        <v>2.5525534545454547</v>
      </c>
      <c r="Y270" s="541">
        <v>2.5525534545454547</v>
      </c>
      <c r="Z270" s="541">
        <v>2.5525534545454547</v>
      </c>
      <c r="AA270" s="541">
        <v>2.5525534545454547</v>
      </c>
      <c r="AB270" s="541">
        <v>2.5525534545454547</v>
      </c>
      <c r="AC270" s="541">
        <v>2.5525534545454547</v>
      </c>
      <c r="AD270" s="541">
        <v>2.5525534545454547</v>
      </c>
      <c r="AE270" s="541">
        <v>2.5525534545454547</v>
      </c>
      <c r="AF270" s="541">
        <v>2.5525534545454547</v>
      </c>
      <c r="AG270" s="541">
        <v>2.5525534545454547</v>
      </c>
      <c r="AH270" s="542">
        <f t="shared" ref="AH270:AW276" si="203">AG270</f>
        <v>2.5525534545454547</v>
      </c>
      <c r="AI270" s="542">
        <f t="shared" si="203"/>
        <v>2.5525534545454547</v>
      </c>
      <c r="AJ270" s="542">
        <f t="shared" si="203"/>
        <v>2.5525534545454547</v>
      </c>
      <c r="AK270" s="542">
        <f t="shared" si="203"/>
        <v>2.5525534545454547</v>
      </c>
      <c r="AL270" s="542">
        <f t="shared" si="203"/>
        <v>2.5525534545454547</v>
      </c>
      <c r="AM270" s="542">
        <f t="shared" si="203"/>
        <v>2.5525534545454547</v>
      </c>
      <c r="AN270" s="542">
        <f t="shared" si="203"/>
        <v>2.5525534545454547</v>
      </c>
      <c r="AO270" s="542">
        <f t="shared" si="203"/>
        <v>2.5525534545454547</v>
      </c>
      <c r="AP270" s="542">
        <f t="shared" si="203"/>
        <v>2.5525534545454547</v>
      </c>
      <c r="AQ270" s="542">
        <f t="shared" si="203"/>
        <v>2.5525534545454547</v>
      </c>
      <c r="AR270" s="542">
        <f t="shared" si="203"/>
        <v>2.5525534545454547</v>
      </c>
      <c r="AS270" s="542">
        <f t="shared" si="203"/>
        <v>2.5525534545454547</v>
      </c>
      <c r="AT270" s="542">
        <f t="shared" si="203"/>
        <v>2.5525534545454547</v>
      </c>
      <c r="AU270" s="542">
        <f t="shared" si="203"/>
        <v>2.5525534545454547</v>
      </c>
      <c r="AV270" s="542">
        <f t="shared" si="203"/>
        <v>2.5525534545454547</v>
      </c>
      <c r="AW270" s="542">
        <f t="shared" si="203"/>
        <v>2.5525534545454547</v>
      </c>
      <c r="AX270" s="542">
        <f t="shared" si="202"/>
        <v>2.5525534545454547</v>
      </c>
      <c r="AY270" s="542">
        <f t="shared" si="202"/>
        <v>2.5525534545454547</v>
      </c>
      <c r="AZ270" s="542">
        <f t="shared" si="202"/>
        <v>2.5525534545454547</v>
      </c>
      <c r="BA270" s="542">
        <f t="shared" si="202"/>
        <v>2.5525534545454547</v>
      </c>
      <c r="BB270" s="542">
        <f t="shared" si="202"/>
        <v>2.5525534545454547</v>
      </c>
      <c r="BC270" s="542">
        <f t="shared" si="202"/>
        <v>2.5525534545454547</v>
      </c>
      <c r="BD270" s="542">
        <f t="shared" si="202"/>
        <v>2.5525534545454547</v>
      </c>
      <c r="BE270" s="542">
        <f t="shared" si="202"/>
        <v>2.5525534545454547</v>
      </c>
      <c r="BF270" s="542">
        <f t="shared" si="202"/>
        <v>2.5525534545454547</v>
      </c>
      <c r="BG270" s="542">
        <f t="shared" si="202"/>
        <v>2.5525534545454547</v>
      </c>
      <c r="BH270" s="542">
        <f t="shared" si="202"/>
        <v>2.5525534545454547</v>
      </c>
      <c r="BI270" s="542">
        <f t="shared" si="202"/>
        <v>2.5525534545454547</v>
      </c>
      <c r="BJ270" s="542">
        <f t="shared" si="202"/>
        <v>2.5525534545454547</v>
      </c>
      <c r="BK270" s="542">
        <f t="shared" si="202"/>
        <v>2.5525534545454547</v>
      </c>
      <c r="BL270" s="542">
        <f t="shared" si="202"/>
        <v>2.5525534545454547</v>
      </c>
      <c r="BM270" s="542">
        <f t="shared" si="202"/>
        <v>2.5525534545454547</v>
      </c>
      <c r="BN270" s="542">
        <f t="shared" si="202"/>
        <v>2.5525534545454547</v>
      </c>
      <c r="BO270" s="542">
        <f t="shared" si="202"/>
        <v>2.5525534545454547</v>
      </c>
      <c r="BP270" s="542">
        <f t="shared" si="202"/>
        <v>2.5525534545454547</v>
      </c>
      <c r="BQ270" s="542">
        <f t="shared" si="202"/>
        <v>2.5525534545454547</v>
      </c>
      <c r="BR270" s="542">
        <f t="shared" si="202"/>
        <v>2.5525534545454547</v>
      </c>
      <c r="BS270" s="542">
        <f t="shared" si="202"/>
        <v>2.5525534545454547</v>
      </c>
      <c r="BT270" s="542">
        <f t="shared" si="202"/>
        <v>2.5525534545454547</v>
      </c>
      <c r="BU270" s="542">
        <f t="shared" si="202"/>
        <v>2.5525534545454547</v>
      </c>
      <c r="BV270" s="542">
        <f t="shared" si="202"/>
        <v>2.5525534545454547</v>
      </c>
      <c r="BW270" s="542">
        <f t="shared" si="202"/>
        <v>2.5525534545454547</v>
      </c>
      <c r="BX270" s="542">
        <f t="shared" si="202"/>
        <v>2.5525534545454547</v>
      </c>
      <c r="BY270" s="542">
        <f t="shared" si="202"/>
        <v>2.5525534545454547</v>
      </c>
      <c r="BZ270" s="542">
        <f t="shared" si="202"/>
        <v>2.5525534545454547</v>
      </c>
      <c r="CA270" s="542">
        <f t="shared" si="202"/>
        <v>2.5525534545454547</v>
      </c>
      <c r="CB270" s="542">
        <f t="shared" si="202"/>
        <v>2.5525534545454547</v>
      </c>
      <c r="CC270" s="542">
        <f t="shared" si="202"/>
        <v>2.5525534545454547</v>
      </c>
      <c r="CD270" s="542">
        <f t="shared" si="202"/>
        <v>2.5525534545454547</v>
      </c>
      <c r="CE270" s="542">
        <f t="shared" si="202"/>
        <v>2.5525534545454547</v>
      </c>
      <c r="CG270" s="541">
        <v>2.5525534545454547</v>
      </c>
      <c r="CH270" s="541">
        <v>2.5525534545454547</v>
      </c>
      <c r="CI270" s="541">
        <v>2.5525534545454547</v>
      </c>
      <c r="CJ270" s="541">
        <v>2.5525534545454547</v>
      </c>
      <c r="CK270" s="541">
        <v>2.5525534545454547</v>
      </c>
      <c r="CL270" s="541">
        <v>2.5525534545454547</v>
      </c>
      <c r="CM270" s="541">
        <v>2.5525534545454547</v>
      </c>
      <c r="CN270" s="541">
        <v>2.5525534545454547</v>
      </c>
      <c r="CO270" s="541">
        <v>2.5525534545454547</v>
      </c>
      <c r="CP270" s="541">
        <v>2.5525534545454547</v>
      </c>
      <c r="CQ270" s="541">
        <v>2.5525534545454547</v>
      </c>
      <c r="CR270" s="541">
        <v>2.5525534545454547</v>
      </c>
      <c r="CS270" s="541">
        <v>2.5525534545454547</v>
      </c>
      <c r="CT270" s="541">
        <v>2.5525534545454547</v>
      </c>
      <c r="CU270" s="541">
        <v>2.5525534545454547</v>
      </c>
      <c r="CV270" s="541">
        <v>2.5525534545454547</v>
      </c>
      <c r="CW270" s="541">
        <v>2.5525534545454547</v>
      </c>
      <c r="CX270" s="541">
        <v>2.5525534545454547</v>
      </c>
      <c r="CY270" s="541">
        <v>2.5525534545454547</v>
      </c>
      <c r="CZ270" s="541">
        <v>2.5525534545454547</v>
      </c>
      <c r="DA270" s="541">
        <v>2.5525534545454547</v>
      </c>
      <c r="DB270" s="541">
        <v>2.5525534545454547</v>
      </c>
      <c r="DC270" s="541">
        <v>2.5525534545454547</v>
      </c>
      <c r="DD270" s="541">
        <v>2.5525534545454547</v>
      </c>
      <c r="DE270" s="541">
        <v>2.5525534545454547</v>
      </c>
      <c r="DF270" s="541">
        <v>2.5525534545454547</v>
      </c>
      <c r="DG270" s="541">
        <v>2.5525534545454547</v>
      </c>
      <c r="DH270" s="541">
        <v>2.5525534545454547</v>
      </c>
    </row>
    <row r="271" spans="2:112">
      <c r="B271" t="s">
        <v>1139</v>
      </c>
      <c r="C271" t="s">
        <v>779</v>
      </c>
      <c r="D271" t="s">
        <v>913</v>
      </c>
      <c r="E271" t="s">
        <v>908</v>
      </c>
      <c r="F271" s="541">
        <v>86.282499999999999</v>
      </c>
      <c r="G271" s="541">
        <v>86.282499999999999</v>
      </c>
      <c r="H271" s="541">
        <v>86.282499999999999</v>
      </c>
      <c r="I271" s="541">
        <v>86.282499999999999</v>
      </c>
      <c r="J271" s="541">
        <v>86.282499999999999</v>
      </c>
      <c r="K271" s="541">
        <v>86.282499999999999</v>
      </c>
      <c r="L271" s="541">
        <v>86.282499999999999</v>
      </c>
      <c r="M271" s="541">
        <v>86.282499999999999</v>
      </c>
      <c r="N271" s="541">
        <v>86.282499999999999</v>
      </c>
      <c r="O271" s="541">
        <v>86.282499999999999</v>
      </c>
      <c r="P271" s="541">
        <v>86.282499999999999</v>
      </c>
      <c r="Q271" s="541">
        <v>86.282499999999999</v>
      </c>
      <c r="R271" s="541">
        <v>86.282499999999999</v>
      </c>
      <c r="S271" s="541">
        <v>86.282499999999999</v>
      </c>
      <c r="T271" s="541">
        <v>86.282499999999999</v>
      </c>
      <c r="U271" s="541">
        <v>86.282499999999999</v>
      </c>
      <c r="V271" s="541">
        <v>86.282499999999999</v>
      </c>
      <c r="W271" s="541">
        <v>86.282499999999999</v>
      </c>
      <c r="X271" s="541">
        <v>86.282499999999999</v>
      </c>
      <c r="Y271" s="541">
        <v>86.282499999999999</v>
      </c>
      <c r="Z271" s="541">
        <v>86.282499999999999</v>
      </c>
      <c r="AA271" s="541">
        <v>86.282499999999999</v>
      </c>
      <c r="AB271" s="541">
        <v>86.282499999999999</v>
      </c>
      <c r="AC271" s="541">
        <v>86.282499999999999</v>
      </c>
      <c r="AD271" s="541">
        <v>86.282499999999999</v>
      </c>
      <c r="AE271" s="541">
        <v>86.282499999999999</v>
      </c>
      <c r="AF271" s="541">
        <v>86.282499999999999</v>
      </c>
      <c r="AG271" s="541">
        <v>86.282499999999999</v>
      </c>
      <c r="AH271" s="542">
        <f t="shared" si="203"/>
        <v>86.282499999999999</v>
      </c>
      <c r="AI271" s="542">
        <f t="shared" si="203"/>
        <v>86.282499999999999</v>
      </c>
      <c r="AJ271" s="542">
        <f t="shared" si="203"/>
        <v>86.282499999999999</v>
      </c>
      <c r="AK271" s="542">
        <f t="shared" si="203"/>
        <v>86.282499999999999</v>
      </c>
      <c r="AL271" s="542">
        <f t="shared" si="203"/>
        <v>86.282499999999999</v>
      </c>
      <c r="AM271" s="542">
        <f t="shared" si="203"/>
        <v>86.282499999999999</v>
      </c>
      <c r="AN271" s="542">
        <f t="shared" si="203"/>
        <v>86.282499999999999</v>
      </c>
      <c r="AO271" s="542">
        <f t="shared" si="203"/>
        <v>86.282499999999999</v>
      </c>
      <c r="AP271" s="542">
        <f t="shared" si="203"/>
        <v>86.282499999999999</v>
      </c>
      <c r="AQ271" s="542">
        <f t="shared" si="203"/>
        <v>86.282499999999999</v>
      </c>
      <c r="AR271" s="542">
        <f t="shared" si="203"/>
        <v>86.282499999999999</v>
      </c>
      <c r="AS271" s="542">
        <f t="shared" si="203"/>
        <v>86.282499999999999</v>
      </c>
      <c r="AT271" s="542">
        <f t="shared" si="203"/>
        <v>86.282499999999999</v>
      </c>
      <c r="AU271" s="542">
        <f t="shared" si="203"/>
        <v>86.282499999999999</v>
      </c>
      <c r="AV271" s="542">
        <f t="shared" si="203"/>
        <v>86.282499999999999</v>
      </c>
      <c r="AW271" s="542">
        <f t="shared" si="203"/>
        <v>86.282499999999999</v>
      </c>
      <c r="AX271" s="542">
        <f t="shared" si="202"/>
        <v>86.282499999999999</v>
      </c>
      <c r="AY271" s="542">
        <f t="shared" si="202"/>
        <v>86.282499999999999</v>
      </c>
      <c r="AZ271" s="542">
        <f t="shared" si="202"/>
        <v>86.282499999999999</v>
      </c>
      <c r="BA271" s="542">
        <f t="shared" si="202"/>
        <v>86.282499999999999</v>
      </c>
      <c r="BB271" s="542">
        <f t="shared" si="202"/>
        <v>86.282499999999999</v>
      </c>
      <c r="BC271" s="542">
        <f t="shared" si="202"/>
        <v>86.282499999999999</v>
      </c>
      <c r="BD271" s="542">
        <f t="shared" si="202"/>
        <v>86.282499999999999</v>
      </c>
      <c r="BE271" s="542">
        <f t="shared" si="202"/>
        <v>86.282499999999999</v>
      </c>
      <c r="BF271" s="542">
        <f t="shared" si="202"/>
        <v>86.282499999999999</v>
      </c>
      <c r="BG271" s="542">
        <f t="shared" si="202"/>
        <v>86.282499999999999</v>
      </c>
      <c r="BH271" s="542">
        <f t="shared" si="202"/>
        <v>86.282499999999999</v>
      </c>
      <c r="BI271" s="542">
        <f t="shared" si="202"/>
        <v>86.282499999999999</v>
      </c>
      <c r="BJ271" s="542">
        <f t="shared" si="202"/>
        <v>86.282499999999999</v>
      </c>
      <c r="BK271" s="542">
        <f t="shared" si="202"/>
        <v>86.282499999999999</v>
      </c>
      <c r="BL271" s="542">
        <f t="shared" si="202"/>
        <v>86.282499999999999</v>
      </c>
      <c r="BM271" s="542">
        <f t="shared" si="202"/>
        <v>86.282499999999999</v>
      </c>
      <c r="BN271" s="542">
        <f t="shared" si="202"/>
        <v>86.282499999999999</v>
      </c>
      <c r="BO271" s="542">
        <f t="shared" si="202"/>
        <v>86.282499999999999</v>
      </c>
      <c r="BP271" s="542">
        <f t="shared" si="202"/>
        <v>86.282499999999999</v>
      </c>
      <c r="BQ271" s="542">
        <f t="shared" si="202"/>
        <v>86.282499999999999</v>
      </c>
      <c r="BR271" s="542">
        <f t="shared" si="202"/>
        <v>86.282499999999999</v>
      </c>
      <c r="BS271" s="542">
        <f t="shared" si="202"/>
        <v>86.282499999999999</v>
      </c>
      <c r="BT271" s="542">
        <f t="shared" si="202"/>
        <v>86.282499999999999</v>
      </c>
      <c r="BU271" s="542">
        <f t="shared" si="202"/>
        <v>86.282499999999999</v>
      </c>
      <c r="BV271" s="542">
        <f t="shared" si="202"/>
        <v>86.282499999999999</v>
      </c>
      <c r="BW271" s="542">
        <f t="shared" si="202"/>
        <v>86.282499999999999</v>
      </c>
      <c r="BX271" s="542">
        <f t="shared" si="202"/>
        <v>86.282499999999999</v>
      </c>
      <c r="BY271" s="542">
        <f t="shared" si="202"/>
        <v>86.282499999999999</v>
      </c>
      <c r="BZ271" s="542">
        <f t="shared" si="202"/>
        <v>86.282499999999999</v>
      </c>
      <c r="CA271" s="542">
        <f t="shared" si="202"/>
        <v>86.282499999999999</v>
      </c>
      <c r="CB271" s="542">
        <f t="shared" si="202"/>
        <v>86.282499999999999</v>
      </c>
      <c r="CC271" s="542">
        <f t="shared" si="202"/>
        <v>86.282499999999999</v>
      </c>
      <c r="CD271" s="542">
        <f t="shared" si="202"/>
        <v>86.282499999999999</v>
      </c>
      <c r="CE271" s="542">
        <f t="shared" si="202"/>
        <v>86.282499999999999</v>
      </c>
      <c r="CG271" s="541">
        <v>86.282499999999999</v>
      </c>
      <c r="CH271" s="541">
        <v>86.282499999999999</v>
      </c>
      <c r="CI271" s="541">
        <v>86.282499999999999</v>
      </c>
      <c r="CJ271" s="541">
        <v>86.282499999999999</v>
      </c>
      <c r="CK271" s="541">
        <v>86.282499999999999</v>
      </c>
      <c r="CL271" s="541">
        <v>86.282499999999999</v>
      </c>
      <c r="CM271" s="541">
        <v>86.282499999999999</v>
      </c>
      <c r="CN271" s="541">
        <v>86.282499999999999</v>
      </c>
      <c r="CO271" s="541">
        <v>86.282499999999999</v>
      </c>
      <c r="CP271" s="541">
        <v>86.282499999999999</v>
      </c>
      <c r="CQ271" s="541">
        <v>86.282499999999999</v>
      </c>
      <c r="CR271" s="541">
        <v>86.282499999999999</v>
      </c>
      <c r="CS271" s="541">
        <v>86.282499999999999</v>
      </c>
      <c r="CT271" s="541">
        <v>86.282499999999999</v>
      </c>
      <c r="CU271" s="541">
        <v>86.282499999999999</v>
      </c>
      <c r="CV271" s="541">
        <v>86.282499999999999</v>
      </c>
      <c r="CW271" s="541">
        <v>86.282499999999999</v>
      </c>
      <c r="CX271" s="541">
        <v>86.282499999999999</v>
      </c>
      <c r="CY271" s="541">
        <v>86.282499999999999</v>
      </c>
      <c r="CZ271" s="541">
        <v>86.282499999999999</v>
      </c>
      <c r="DA271" s="541">
        <v>86.282499999999999</v>
      </c>
      <c r="DB271" s="541">
        <v>86.282499999999999</v>
      </c>
      <c r="DC271" s="541">
        <v>86.282499999999999</v>
      </c>
      <c r="DD271" s="541">
        <v>86.282499999999999</v>
      </c>
      <c r="DE271" s="541">
        <v>86.282499999999999</v>
      </c>
      <c r="DF271" s="541">
        <v>86.282499999999999</v>
      </c>
      <c r="DG271" s="541">
        <v>86.282499999999999</v>
      </c>
      <c r="DH271" s="541">
        <v>86.282499999999999</v>
      </c>
    </row>
    <row r="272" spans="2:112">
      <c r="B272" t="s">
        <v>1140</v>
      </c>
      <c r="C272" t="s">
        <v>779</v>
      </c>
      <c r="D272" t="s">
        <v>915</v>
      </c>
      <c r="E272" t="s">
        <v>911</v>
      </c>
      <c r="F272" s="541">
        <v>2.6468584545454545</v>
      </c>
      <c r="G272" s="541">
        <v>2.6468584545454545</v>
      </c>
      <c r="H272" s="541">
        <v>2.6468584545454545</v>
      </c>
      <c r="I272" s="541">
        <v>2.6468584545454545</v>
      </c>
      <c r="J272" s="541">
        <v>2.6468584545454545</v>
      </c>
      <c r="K272" s="541">
        <v>2.6468584545454545</v>
      </c>
      <c r="L272" s="541">
        <v>2.6468584545454545</v>
      </c>
      <c r="M272" s="541">
        <v>2.6468584545454545</v>
      </c>
      <c r="N272" s="541">
        <v>2.6468584545454545</v>
      </c>
      <c r="O272" s="541">
        <v>2.6468584545454545</v>
      </c>
      <c r="P272" s="541">
        <v>2.6468584545454545</v>
      </c>
      <c r="Q272" s="541">
        <v>2.6468584545454545</v>
      </c>
      <c r="R272" s="541">
        <v>2.6468584545454545</v>
      </c>
      <c r="S272" s="541">
        <v>2.6468584545454545</v>
      </c>
      <c r="T272" s="541">
        <v>2.6468584545454545</v>
      </c>
      <c r="U272" s="541">
        <v>2.6468584545454545</v>
      </c>
      <c r="V272" s="541">
        <v>2.6468584545454545</v>
      </c>
      <c r="W272" s="541">
        <v>2.6468584545454545</v>
      </c>
      <c r="X272" s="541">
        <v>2.6468584545454545</v>
      </c>
      <c r="Y272" s="541">
        <v>2.6468584545454545</v>
      </c>
      <c r="Z272" s="541">
        <v>2.6468584545454545</v>
      </c>
      <c r="AA272" s="541">
        <v>2.6468584545454545</v>
      </c>
      <c r="AB272" s="541">
        <v>2.6468584545454545</v>
      </c>
      <c r="AC272" s="541">
        <v>2.6468584545454545</v>
      </c>
      <c r="AD272" s="541">
        <v>2.6468584545454545</v>
      </c>
      <c r="AE272" s="541">
        <v>2.6468584545454545</v>
      </c>
      <c r="AF272" s="541">
        <v>2.6468584545454545</v>
      </c>
      <c r="AG272" s="541">
        <v>2.6468584545454545</v>
      </c>
      <c r="AH272" s="542">
        <f t="shared" si="203"/>
        <v>2.6468584545454545</v>
      </c>
      <c r="AI272" s="542">
        <f t="shared" si="203"/>
        <v>2.6468584545454545</v>
      </c>
      <c r="AJ272" s="542">
        <f t="shared" si="203"/>
        <v>2.6468584545454545</v>
      </c>
      <c r="AK272" s="542">
        <f t="shared" si="203"/>
        <v>2.6468584545454545</v>
      </c>
      <c r="AL272" s="542">
        <f t="shared" si="203"/>
        <v>2.6468584545454545</v>
      </c>
      <c r="AM272" s="542">
        <f t="shared" si="203"/>
        <v>2.6468584545454545</v>
      </c>
      <c r="AN272" s="542">
        <f t="shared" si="203"/>
        <v>2.6468584545454545</v>
      </c>
      <c r="AO272" s="542">
        <f t="shared" si="203"/>
        <v>2.6468584545454545</v>
      </c>
      <c r="AP272" s="542">
        <f t="shared" si="203"/>
        <v>2.6468584545454545</v>
      </c>
      <c r="AQ272" s="542">
        <f t="shared" si="203"/>
        <v>2.6468584545454545</v>
      </c>
      <c r="AR272" s="542">
        <f t="shared" si="203"/>
        <v>2.6468584545454545</v>
      </c>
      <c r="AS272" s="542">
        <f t="shared" si="203"/>
        <v>2.6468584545454545</v>
      </c>
      <c r="AT272" s="542">
        <f t="shared" si="203"/>
        <v>2.6468584545454545</v>
      </c>
      <c r="AU272" s="542">
        <f t="shared" si="203"/>
        <v>2.6468584545454545</v>
      </c>
      <c r="AV272" s="542">
        <f t="shared" si="203"/>
        <v>2.6468584545454545</v>
      </c>
      <c r="AW272" s="542">
        <f t="shared" si="203"/>
        <v>2.6468584545454545</v>
      </c>
      <c r="AX272" s="542">
        <f t="shared" si="202"/>
        <v>2.6468584545454545</v>
      </c>
      <c r="AY272" s="542">
        <f t="shared" si="202"/>
        <v>2.6468584545454545</v>
      </c>
      <c r="AZ272" s="542">
        <f t="shared" si="202"/>
        <v>2.6468584545454545</v>
      </c>
      <c r="BA272" s="542">
        <f t="shared" si="202"/>
        <v>2.6468584545454545</v>
      </c>
      <c r="BB272" s="542">
        <f t="shared" si="202"/>
        <v>2.6468584545454545</v>
      </c>
      <c r="BC272" s="542">
        <f t="shared" si="202"/>
        <v>2.6468584545454545</v>
      </c>
      <c r="BD272" s="542">
        <f t="shared" si="202"/>
        <v>2.6468584545454545</v>
      </c>
      <c r="BE272" s="542">
        <f t="shared" si="202"/>
        <v>2.6468584545454545</v>
      </c>
      <c r="BF272" s="542">
        <f t="shared" si="202"/>
        <v>2.6468584545454545</v>
      </c>
      <c r="BG272" s="542">
        <f t="shared" si="202"/>
        <v>2.6468584545454545</v>
      </c>
      <c r="BH272" s="542">
        <f t="shared" si="202"/>
        <v>2.6468584545454545</v>
      </c>
      <c r="BI272" s="542">
        <f t="shared" si="202"/>
        <v>2.6468584545454545</v>
      </c>
      <c r="BJ272" s="542">
        <f t="shared" si="202"/>
        <v>2.6468584545454545</v>
      </c>
      <c r="BK272" s="542">
        <f t="shared" si="202"/>
        <v>2.6468584545454545</v>
      </c>
      <c r="BL272" s="542">
        <f t="shared" si="202"/>
        <v>2.6468584545454545</v>
      </c>
      <c r="BM272" s="542">
        <f t="shared" si="202"/>
        <v>2.6468584545454545</v>
      </c>
      <c r="BN272" s="542">
        <f t="shared" si="202"/>
        <v>2.6468584545454545</v>
      </c>
      <c r="BO272" s="542">
        <f t="shared" si="202"/>
        <v>2.6468584545454545</v>
      </c>
      <c r="BP272" s="542">
        <f t="shared" si="202"/>
        <v>2.6468584545454545</v>
      </c>
      <c r="BQ272" s="542">
        <f t="shared" si="202"/>
        <v>2.6468584545454545</v>
      </c>
      <c r="BR272" s="542">
        <f t="shared" si="202"/>
        <v>2.6468584545454545</v>
      </c>
      <c r="BS272" s="542">
        <f t="shared" si="202"/>
        <v>2.6468584545454545</v>
      </c>
      <c r="BT272" s="542">
        <f t="shared" si="202"/>
        <v>2.6468584545454545</v>
      </c>
      <c r="BU272" s="542">
        <f t="shared" si="202"/>
        <v>2.6468584545454545</v>
      </c>
      <c r="BV272" s="542">
        <f t="shared" si="202"/>
        <v>2.6468584545454545</v>
      </c>
      <c r="BW272" s="542">
        <f t="shared" si="202"/>
        <v>2.6468584545454545</v>
      </c>
      <c r="BX272" s="542">
        <f t="shared" si="202"/>
        <v>2.6468584545454545</v>
      </c>
      <c r="BY272" s="542">
        <f t="shared" si="202"/>
        <v>2.6468584545454545</v>
      </c>
      <c r="BZ272" s="542">
        <f t="shared" si="202"/>
        <v>2.6468584545454545</v>
      </c>
      <c r="CA272" s="542">
        <f t="shared" si="202"/>
        <v>2.6468584545454545</v>
      </c>
      <c r="CB272" s="542">
        <f t="shared" si="202"/>
        <v>2.6468584545454545</v>
      </c>
      <c r="CC272" s="542">
        <f t="shared" si="202"/>
        <v>2.6468584545454545</v>
      </c>
      <c r="CD272" s="542">
        <f t="shared" si="202"/>
        <v>2.6468584545454545</v>
      </c>
      <c r="CE272" s="542">
        <f t="shared" si="202"/>
        <v>2.6468584545454545</v>
      </c>
      <c r="CG272" s="541">
        <v>2.6468584545454545</v>
      </c>
      <c r="CH272" s="541">
        <v>2.6468584545454545</v>
      </c>
      <c r="CI272" s="541">
        <v>2.6468584545454545</v>
      </c>
      <c r="CJ272" s="541">
        <v>2.6468584545454545</v>
      </c>
      <c r="CK272" s="541">
        <v>2.6468584545454545</v>
      </c>
      <c r="CL272" s="541">
        <v>2.6468584545454545</v>
      </c>
      <c r="CM272" s="541">
        <v>2.6468584545454545</v>
      </c>
      <c r="CN272" s="541">
        <v>2.6468584545454545</v>
      </c>
      <c r="CO272" s="541">
        <v>2.6468584545454545</v>
      </c>
      <c r="CP272" s="541">
        <v>2.6468584545454545</v>
      </c>
      <c r="CQ272" s="541">
        <v>2.6468584545454545</v>
      </c>
      <c r="CR272" s="541">
        <v>2.6468584545454545</v>
      </c>
      <c r="CS272" s="541">
        <v>2.6468584545454545</v>
      </c>
      <c r="CT272" s="541">
        <v>2.6468584545454545</v>
      </c>
      <c r="CU272" s="541">
        <v>2.6468584545454545</v>
      </c>
      <c r="CV272" s="541">
        <v>2.6468584545454545</v>
      </c>
      <c r="CW272" s="541">
        <v>2.6468584545454545</v>
      </c>
      <c r="CX272" s="541">
        <v>2.6468584545454545</v>
      </c>
      <c r="CY272" s="541">
        <v>2.6468584545454545</v>
      </c>
      <c r="CZ272" s="541">
        <v>2.6468584545454545</v>
      </c>
      <c r="DA272" s="541">
        <v>2.6468584545454545</v>
      </c>
      <c r="DB272" s="541">
        <v>2.6468584545454545</v>
      </c>
      <c r="DC272" s="541">
        <v>2.6468584545454545</v>
      </c>
      <c r="DD272" s="541">
        <v>2.6468584545454545</v>
      </c>
      <c r="DE272" s="541">
        <v>2.6468584545454545</v>
      </c>
      <c r="DF272" s="541">
        <v>2.6468584545454545</v>
      </c>
      <c r="DG272" s="541">
        <v>2.6468584545454545</v>
      </c>
      <c r="DH272" s="541">
        <v>2.6468584545454545</v>
      </c>
    </row>
    <row r="273" spans="2:112">
      <c r="B273" t="s">
        <v>1141</v>
      </c>
      <c r="C273" t="s">
        <v>779</v>
      </c>
      <c r="D273" t="s">
        <v>917</v>
      </c>
      <c r="E273" t="s">
        <v>908</v>
      </c>
      <c r="F273" s="541">
        <v>81.700500000000005</v>
      </c>
      <c r="G273" s="541">
        <v>81.700500000000005</v>
      </c>
      <c r="H273" s="541">
        <v>81.700500000000005</v>
      </c>
      <c r="I273" s="541">
        <v>81.700500000000005</v>
      </c>
      <c r="J273" s="541">
        <v>81.700500000000005</v>
      </c>
      <c r="K273" s="541">
        <v>81.700500000000005</v>
      </c>
      <c r="L273" s="541">
        <v>81.700500000000005</v>
      </c>
      <c r="M273" s="541">
        <v>81.700500000000005</v>
      </c>
      <c r="N273" s="541">
        <v>81.700500000000005</v>
      </c>
      <c r="O273" s="541">
        <v>81.700500000000005</v>
      </c>
      <c r="P273" s="541">
        <v>81.700500000000005</v>
      </c>
      <c r="Q273" s="541">
        <v>81.700500000000005</v>
      </c>
      <c r="R273" s="541">
        <v>81.700500000000005</v>
      </c>
      <c r="S273" s="541">
        <v>81.700500000000005</v>
      </c>
      <c r="T273" s="541">
        <v>81.700500000000005</v>
      </c>
      <c r="U273" s="541">
        <v>81.700500000000005</v>
      </c>
      <c r="V273" s="541">
        <v>81.700500000000005</v>
      </c>
      <c r="W273" s="541">
        <v>81.700500000000005</v>
      </c>
      <c r="X273" s="541">
        <v>81.700500000000005</v>
      </c>
      <c r="Y273" s="541">
        <v>81.700500000000005</v>
      </c>
      <c r="Z273" s="541">
        <v>81.700500000000005</v>
      </c>
      <c r="AA273" s="541">
        <v>81.700500000000005</v>
      </c>
      <c r="AB273" s="541">
        <v>81.700500000000005</v>
      </c>
      <c r="AC273" s="541">
        <v>81.700500000000005</v>
      </c>
      <c r="AD273" s="541">
        <v>81.700500000000005</v>
      </c>
      <c r="AE273" s="541">
        <v>81.700500000000005</v>
      </c>
      <c r="AF273" s="541">
        <v>81.700500000000005</v>
      </c>
      <c r="AG273" s="541">
        <v>81.700500000000005</v>
      </c>
      <c r="AH273" s="542">
        <f t="shared" si="203"/>
        <v>81.700500000000005</v>
      </c>
      <c r="AI273" s="542">
        <f t="shared" si="203"/>
        <v>81.700500000000005</v>
      </c>
      <c r="AJ273" s="542">
        <f t="shared" si="203"/>
        <v>81.700500000000005</v>
      </c>
      <c r="AK273" s="542">
        <f t="shared" si="203"/>
        <v>81.700500000000005</v>
      </c>
      <c r="AL273" s="542">
        <f t="shared" si="203"/>
        <v>81.700500000000005</v>
      </c>
      <c r="AM273" s="542">
        <f t="shared" si="203"/>
        <v>81.700500000000005</v>
      </c>
      <c r="AN273" s="542">
        <f t="shared" si="203"/>
        <v>81.700500000000005</v>
      </c>
      <c r="AO273" s="542">
        <f t="shared" si="203"/>
        <v>81.700500000000005</v>
      </c>
      <c r="AP273" s="542">
        <f t="shared" si="203"/>
        <v>81.700500000000005</v>
      </c>
      <c r="AQ273" s="542">
        <f t="shared" si="203"/>
        <v>81.700500000000005</v>
      </c>
      <c r="AR273" s="542">
        <f t="shared" si="203"/>
        <v>81.700500000000005</v>
      </c>
      <c r="AS273" s="542">
        <f t="shared" si="203"/>
        <v>81.700500000000005</v>
      </c>
      <c r="AT273" s="542">
        <f t="shared" si="203"/>
        <v>81.700500000000005</v>
      </c>
      <c r="AU273" s="542">
        <f t="shared" si="203"/>
        <v>81.700500000000005</v>
      </c>
      <c r="AV273" s="542">
        <f t="shared" si="203"/>
        <v>81.700500000000005</v>
      </c>
      <c r="AW273" s="542">
        <f t="shared" si="203"/>
        <v>81.700500000000005</v>
      </c>
      <c r="AX273" s="542">
        <f t="shared" si="202"/>
        <v>81.700500000000005</v>
      </c>
      <c r="AY273" s="542">
        <f t="shared" si="202"/>
        <v>81.700500000000005</v>
      </c>
      <c r="AZ273" s="542">
        <f t="shared" si="202"/>
        <v>81.700500000000005</v>
      </c>
      <c r="BA273" s="542">
        <f t="shared" si="202"/>
        <v>81.700500000000005</v>
      </c>
      <c r="BB273" s="542">
        <f t="shared" si="202"/>
        <v>81.700500000000005</v>
      </c>
      <c r="BC273" s="542">
        <f t="shared" si="202"/>
        <v>81.700500000000005</v>
      </c>
      <c r="BD273" s="542">
        <f t="shared" si="202"/>
        <v>81.700500000000005</v>
      </c>
      <c r="BE273" s="542">
        <f t="shared" si="202"/>
        <v>81.700500000000005</v>
      </c>
      <c r="BF273" s="542">
        <f t="shared" si="202"/>
        <v>81.700500000000005</v>
      </c>
      <c r="BG273" s="542">
        <f t="shared" si="202"/>
        <v>81.700500000000005</v>
      </c>
      <c r="BH273" s="542">
        <f t="shared" si="202"/>
        <v>81.700500000000005</v>
      </c>
      <c r="BI273" s="542">
        <f t="shared" si="202"/>
        <v>81.700500000000005</v>
      </c>
      <c r="BJ273" s="542">
        <f t="shared" si="202"/>
        <v>81.700500000000005</v>
      </c>
      <c r="BK273" s="542">
        <f t="shared" si="202"/>
        <v>81.700500000000005</v>
      </c>
      <c r="BL273" s="542">
        <f t="shared" si="202"/>
        <v>81.700500000000005</v>
      </c>
      <c r="BM273" s="542">
        <f t="shared" si="202"/>
        <v>81.700500000000005</v>
      </c>
      <c r="BN273" s="542">
        <f t="shared" si="202"/>
        <v>81.700500000000005</v>
      </c>
      <c r="BO273" s="542">
        <f t="shared" si="202"/>
        <v>81.700500000000005</v>
      </c>
      <c r="BP273" s="542">
        <f t="shared" si="202"/>
        <v>81.700500000000005</v>
      </c>
      <c r="BQ273" s="542">
        <f t="shared" si="202"/>
        <v>81.700500000000005</v>
      </c>
      <c r="BR273" s="542">
        <f t="shared" si="202"/>
        <v>81.700500000000005</v>
      </c>
      <c r="BS273" s="542">
        <f t="shared" si="202"/>
        <v>81.700500000000005</v>
      </c>
      <c r="BT273" s="542">
        <f t="shared" si="202"/>
        <v>81.700500000000005</v>
      </c>
      <c r="BU273" s="542">
        <f t="shared" si="202"/>
        <v>81.700500000000005</v>
      </c>
      <c r="BV273" s="542">
        <f t="shared" si="202"/>
        <v>81.700500000000005</v>
      </c>
      <c r="BW273" s="542">
        <f t="shared" si="202"/>
        <v>81.700500000000005</v>
      </c>
      <c r="BX273" s="542">
        <f t="shared" si="202"/>
        <v>81.700500000000005</v>
      </c>
      <c r="BY273" s="542">
        <f t="shared" si="202"/>
        <v>81.700500000000005</v>
      </c>
      <c r="BZ273" s="542">
        <f t="shared" si="202"/>
        <v>81.700500000000005</v>
      </c>
      <c r="CA273" s="542">
        <f t="shared" si="202"/>
        <v>81.700500000000005</v>
      </c>
      <c r="CB273" s="542">
        <f t="shared" si="202"/>
        <v>81.700500000000005</v>
      </c>
      <c r="CC273" s="542">
        <f t="shared" si="202"/>
        <v>81.700500000000005</v>
      </c>
      <c r="CD273" s="542">
        <f t="shared" si="202"/>
        <v>81.700500000000005</v>
      </c>
      <c r="CE273" s="542">
        <f t="shared" si="202"/>
        <v>81.700500000000005</v>
      </c>
      <c r="CG273" s="541">
        <v>81.700500000000005</v>
      </c>
      <c r="CH273" s="541">
        <v>81.700500000000005</v>
      </c>
      <c r="CI273" s="541">
        <v>81.700500000000005</v>
      </c>
      <c r="CJ273" s="541">
        <v>81.700500000000005</v>
      </c>
      <c r="CK273" s="541">
        <v>81.700500000000005</v>
      </c>
      <c r="CL273" s="541">
        <v>81.700500000000005</v>
      </c>
      <c r="CM273" s="541">
        <v>81.700500000000005</v>
      </c>
      <c r="CN273" s="541">
        <v>81.700500000000005</v>
      </c>
      <c r="CO273" s="541">
        <v>81.700500000000005</v>
      </c>
      <c r="CP273" s="541">
        <v>81.700500000000005</v>
      </c>
      <c r="CQ273" s="541">
        <v>81.700500000000005</v>
      </c>
      <c r="CR273" s="541">
        <v>81.700500000000005</v>
      </c>
      <c r="CS273" s="541">
        <v>81.700500000000005</v>
      </c>
      <c r="CT273" s="541">
        <v>81.700500000000005</v>
      </c>
      <c r="CU273" s="541">
        <v>81.700500000000005</v>
      </c>
      <c r="CV273" s="541">
        <v>81.700500000000005</v>
      </c>
      <c r="CW273" s="541">
        <v>81.700500000000005</v>
      </c>
      <c r="CX273" s="541">
        <v>81.700500000000005</v>
      </c>
      <c r="CY273" s="541">
        <v>81.700500000000005</v>
      </c>
      <c r="CZ273" s="541">
        <v>81.700500000000005</v>
      </c>
      <c r="DA273" s="541">
        <v>81.700500000000005</v>
      </c>
      <c r="DB273" s="541">
        <v>81.700500000000005</v>
      </c>
      <c r="DC273" s="541">
        <v>81.700500000000005</v>
      </c>
      <c r="DD273" s="541">
        <v>81.700500000000005</v>
      </c>
      <c r="DE273" s="541">
        <v>81.700500000000005</v>
      </c>
      <c r="DF273" s="541">
        <v>81.700500000000005</v>
      </c>
      <c r="DG273" s="541">
        <v>81.700500000000005</v>
      </c>
      <c r="DH273" s="541">
        <v>81.700500000000005</v>
      </c>
    </row>
    <row r="274" spans="2:112">
      <c r="B274" t="s">
        <v>1142</v>
      </c>
      <c r="C274" t="s">
        <v>779</v>
      </c>
      <c r="D274" t="s">
        <v>919</v>
      </c>
      <c r="E274" t="s">
        <v>911</v>
      </c>
      <c r="F274" s="541">
        <v>2.6010384545454546</v>
      </c>
      <c r="G274" s="541">
        <v>2.6010384545454546</v>
      </c>
      <c r="H274" s="541">
        <v>2.6010384545454546</v>
      </c>
      <c r="I274" s="541">
        <v>2.6010384545454546</v>
      </c>
      <c r="J274" s="541">
        <v>2.6010384545454546</v>
      </c>
      <c r="K274" s="541">
        <v>2.6010384545454546</v>
      </c>
      <c r="L274" s="541">
        <v>2.6010384545454546</v>
      </c>
      <c r="M274" s="541">
        <v>2.6010384545454546</v>
      </c>
      <c r="N274" s="541">
        <v>2.6010384545454546</v>
      </c>
      <c r="O274" s="541">
        <v>2.6010384545454546</v>
      </c>
      <c r="P274" s="541">
        <v>2.6010384545454546</v>
      </c>
      <c r="Q274" s="541">
        <v>2.6010384545454546</v>
      </c>
      <c r="R274" s="541">
        <v>2.6010384545454546</v>
      </c>
      <c r="S274" s="541">
        <v>2.6010384545454546</v>
      </c>
      <c r="T274" s="541">
        <v>2.6010384545454546</v>
      </c>
      <c r="U274" s="541">
        <v>2.6010384545454546</v>
      </c>
      <c r="V274" s="541">
        <v>2.6010384545454546</v>
      </c>
      <c r="W274" s="541">
        <v>2.6010384545454546</v>
      </c>
      <c r="X274" s="541">
        <v>2.6010384545454546</v>
      </c>
      <c r="Y274" s="541">
        <v>2.6010384545454546</v>
      </c>
      <c r="Z274" s="541">
        <v>2.6010384545454546</v>
      </c>
      <c r="AA274" s="541">
        <v>2.6010384545454546</v>
      </c>
      <c r="AB274" s="541">
        <v>2.6010384545454546</v>
      </c>
      <c r="AC274" s="541">
        <v>2.6010384545454546</v>
      </c>
      <c r="AD274" s="541">
        <v>2.6010384545454546</v>
      </c>
      <c r="AE274" s="541">
        <v>2.6010384545454546</v>
      </c>
      <c r="AF274" s="541">
        <v>2.6010384545454546</v>
      </c>
      <c r="AG274" s="541">
        <v>2.6010384545454546</v>
      </c>
      <c r="AH274" s="542">
        <f t="shared" si="203"/>
        <v>2.6010384545454546</v>
      </c>
      <c r="AI274" s="542">
        <f t="shared" si="203"/>
        <v>2.6010384545454546</v>
      </c>
      <c r="AJ274" s="542">
        <f t="shared" si="203"/>
        <v>2.6010384545454546</v>
      </c>
      <c r="AK274" s="542">
        <f t="shared" si="203"/>
        <v>2.6010384545454546</v>
      </c>
      <c r="AL274" s="542">
        <f t="shared" si="203"/>
        <v>2.6010384545454546</v>
      </c>
      <c r="AM274" s="542">
        <f t="shared" si="203"/>
        <v>2.6010384545454546</v>
      </c>
      <c r="AN274" s="542">
        <f t="shared" si="203"/>
        <v>2.6010384545454546</v>
      </c>
      <c r="AO274" s="542">
        <f t="shared" si="203"/>
        <v>2.6010384545454546</v>
      </c>
      <c r="AP274" s="542">
        <f t="shared" si="203"/>
        <v>2.6010384545454546</v>
      </c>
      <c r="AQ274" s="542">
        <f t="shared" si="203"/>
        <v>2.6010384545454546</v>
      </c>
      <c r="AR274" s="542">
        <f t="shared" si="203"/>
        <v>2.6010384545454546</v>
      </c>
      <c r="AS274" s="542">
        <f t="shared" si="203"/>
        <v>2.6010384545454546</v>
      </c>
      <c r="AT274" s="542">
        <f t="shared" si="203"/>
        <v>2.6010384545454546</v>
      </c>
      <c r="AU274" s="542">
        <f t="shared" si="203"/>
        <v>2.6010384545454546</v>
      </c>
      <c r="AV274" s="542">
        <f t="shared" si="203"/>
        <v>2.6010384545454546</v>
      </c>
      <c r="AW274" s="542">
        <f t="shared" si="203"/>
        <v>2.6010384545454546</v>
      </c>
      <c r="AX274" s="542">
        <f t="shared" si="202"/>
        <v>2.6010384545454546</v>
      </c>
      <c r="AY274" s="542">
        <f t="shared" si="202"/>
        <v>2.6010384545454546</v>
      </c>
      <c r="AZ274" s="542">
        <f t="shared" si="202"/>
        <v>2.6010384545454546</v>
      </c>
      <c r="BA274" s="542">
        <f t="shared" si="202"/>
        <v>2.6010384545454546</v>
      </c>
      <c r="BB274" s="542">
        <f t="shared" si="202"/>
        <v>2.6010384545454546</v>
      </c>
      <c r="BC274" s="542">
        <f t="shared" si="202"/>
        <v>2.6010384545454546</v>
      </c>
      <c r="BD274" s="542">
        <f t="shared" si="202"/>
        <v>2.6010384545454546</v>
      </c>
      <c r="BE274" s="542">
        <f t="shared" si="202"/>
        <v>2.6010384545454546</v>
      </c>
      <c r="BF274" s="542">
        <f t="shared" si="202"/>
        <v>2.6010384545454546</v>
      </c>
      <c r="BG274" s="542">
        <f t="shared" si="202"/>
        <v>2.6010384545454546</v>
      </c>
      <c r="BH274" s="542">
        <f t="shared" si="202"/>
        <v>2.6010384545454546</v>
      </c>
      <c r="BI274" s="542">
        <f t="shared" si="202"/>
        <v>2.6010384545454546</v>
      </c>
      <c r="BJ274" s="542">
        <f t="shared" si="202"/>
        <v>2.6010384545454546</v>
      </c>
      <c r="BK274" s="542">
        <f t="shared" si="202"/>
        <v>2.6010384545454546</v>
      </c>
      <c r="BL274" s="542">
        <f t="shared" si="202"/>
        <v>2.6010384545454546</v>
      </c>
      <c r="BM274" s="542">
        <f t="shared" si="202"/>
        <v>2.6010384545454546</v>
      </c>
      <c r="BN274" s="542">
        <f t="shared" si="202"/>
        <v>2.6010384545454546</v>
      </c>
      <c r="BO274" s="542">
        <f t="shared" si="202"/>
        <v>2.6010384545454546</v>
      </c>
      <c r="BP274" s="542">
        <f t="shared" si="202"/>
        <v>2.6010384545454546</v>
      </c>
      <c r="BQ274" s="542">
        <f t="shared" si="202"/>
        <v>2.6010384545454546</v>
      </c>
      <c r="BR274" s="542">
        <f t="shared" si="202"/>
        <v>2.6010384545454546</v>
      </c>
      <c r="BS274" s="542">
        <f t="shared" si="202"/>
        <v>2.6010384545454546</v>
      </c>
      <c r="BT274" s="542">
        <f t="shared" si="202"/>
        <v>2.6010384545454546</v>
      </c>
      <c r="BU274" s="542">
        <f t="shared" si="202"/>
        <v>2.6010384545454546</v>
      </c>
      <c r="BV274" s="542">
        <f t="shared" si="202"/>
        <v>2.6010384545454546</v>
      </c>
      <c r="BW274" s="542">
        <f t="shared" si="202"/>
        <v>2.6010384545454546</v>
      </c>
      <c r="BX274" s="542">
        <f t="shared" si="202"/>
        <v>2.6010384545454546</v>
      </c>
      <c r="BY274" s="542">
        <f t="shared" si="202"/>
        <v>2.6010384545454546</v>
      </c>
      <c r="BZ274" s="542">
        <f t="shared" si="202"/>
        <v>2.6010384545454546</v>
      </c>
      <c r="CA274" s="542">
        <f t="shared" si="202"/>
        <v>2.6010384545454546</v>
      </c>
      <c r="CB274" s="542">
        <f t="shared" si="202"/>
        <v>2.6010384545454546</v>
      </c>
      <c r="CC274" s="542">
        <f t="shared" si="202"/>
        <v>2.6010384545454546</v>
      </c>
      <c r="CD274" s="542">
        <f t="shared" si="202"/>
        <v>2.6010384545454546</v>
      </c>
      <c r="CE274" s="542">
        <f t="shared" si="202"/>
        <v>2.6010384545454546</v>
      </c>
      <c r="CG274" s="541">
        <v>2.6010384545454546</v>
      </c>
      <c r="CH274" s="541">
        <v>2.6010384545454546</v>
      </c>
      <c r="CI274" s="541">
        <v>2.6010384545454546</v>
      </c>
      <c r="CJ274" s="541">
        <v>2.6010384545454546</v>
      </c>
      <c r="CK274" s="541">
        <v>2.6010384545454546</v>
      </c>
      <c r="CL274" s="541">
        <v>2.6010384545454546</v>
      </c>
      <c r="CM274" s="541">
        <v>2.6010384545454546</v>
      </c>
      <c r="CN274" s="541">
        <v>2.6010384545454546</v>
      </c>
      <c r="CO274" s="541">
        <v>2.6010384545454546</v>
      </c>
      <c r="CP274" s="541">
        <v>2.6010384545454546</v>
      </c>
      <c r="CQ274" s="541">
        <v>2.6010384545454546</v>
      </c>
      <c r="CR274" s="541">
        <v>2.6010384545454546</v>
      </c>
      <c r="CS274" s="541">
        <v>2.6010384545454546</v>
      </c>
      <c r="CT274" s="541">
        <v>2.6010384545454546</v>
      </c>
      <c r="CU274" s="541">
        <v>2.6010384545454546</v>
      </c>
      <c r="CV274" s="541">
        <v>2.6010384545454546</v>
      </c>
      <c r="CW274" s="541">
        <v>2.6010384545454546</v>
      </c>
      <c r="CX274" s="541">
        <v>2.6010384545454546</v>
      </c>
      <c r="CY274" s="541">
        <v>2.6010384545454546</v>
      </c>
      <c r="CZ274" s="541">
        <v>2.6010384545454546</v>
      </c>
      <c r="DA274" s="541">
        <v>2.6010384545454546</v>
      </c>
      <c r="DB274" s="541">
        <v>2.6010384545454546</v>
      </c>
      <c r="DC274" s="541">
        <v>2.6010384545454546</v>
      </c>
      <c r="DD274" s="541">
        <v>2.6010384545454546</v>
      </c>
      <c r="DE274" s="541">
        <v>2.6010384545454546</v>
      </c>
      <c r="DF274" s="541">
        <v>2.6010384545454546</v>
      </c>
      <c r="DG274" s="541">
        <v>2.6010384545454546</v>
      </c>
      <c r="DH274" s="541">
        <v>2.6010384545454546</v>
      </c>
    </row>
    <row r="275" spans="2:112">
      <c r="B275" t="s">
        <v>1143</v>
      </c>
      <c r="C275" t="s">
        <v>779</v>
      </c>
      <c r="D275" t="s">
        <v>921</v>
      </c>
      <c r="E275" t="s">
        <v>908</v>
      </c>
      <c r="F275" s="541">
        <v>83.394499999999994</v>
      </c>
      <c r="G275" s="541">
        <v>83.394499999999994</v>
      </c>
      <c r="H275" s="541">
        <v>83.394499999999994</v>
      </c>
      <c r="I275" s="541">
        <v>83.394499999999994</v>
      </c>
      <c r="J275" s="541">
        <v>83.394499999999994</v>
      </c>
      <c r="K275" s="541">
        <v>83.394499999999994</v>
      </c>
      <c r="L275" s="541">
        <v>83.394499999999994</v>
      </c>
      <c r="M275" s="541">
        <v>83.394499999999994</v>
      </c>
      <c r="N275" s="541">
        <v>83.394499999999994</v>
      </c>
      <c r="O275" s="541">
        <v>83.394499999999994</v>
      </c>
      <c r="P275" s="541">
        <v>83.394499999999994</v>
      </c>
      <c r="Q275" s="541">
        <v>83.394499999999994</v>
      </c>
      <c r="R275" s="541">
        <v>83.394499999999994</v>
      </c>
      <c r="S275" s="541">
        <v>83.394499999999994</v>
      </c>
      <c r="T275" s="541">
        <v>83.394499999999994</v>
      </c>
      <c r="U275" s="541">
        <v>83.394499999999994</v>
      </c>
      <c r="V275" s="541">
        <v>83.394499999999994</v>
      </c>
      <c r="W275" s="541">
        <v>83.394499999999994</v>
      </c>
      <c r="X275" s="541">
        <v>83.394499999999994</v>
      </c>
      <c r="Y275" s="541">
        <v>83.394499999999994</v>
      </c>
      <c r="Z275" s="541">
        <v>83.394499999999994</v>
      </c>
      <c r="AA275" s="541">
        <v>83.394499999999994</v>
      </c>
      <c r="AB275" s="541">
        <v>83.394499999999994</v>
      </c>
      <c r="AC275" s="541">
        <v>83.394499999999994</v>
      </c>
      <c r="AD275" s="541">
        <v>83.394499999999994</v>
      </c>
      <c r="AE275" s="541">
        <v>83.394499999999994</v>
      </c>
      <c r="AF275" s="541">
        <v>83.394499999999994</v>
      </c>
      <c r="AG275" s="541">
        <v>83.394499999999994</v>
      </c>
      <c r="AH275" s="542">
        <f t="shared" si="203"/>
        <v>83.394499999999994</v>
      </c>
      <c r="AI275" s="542">
        <f t="shared" si="203"/>
        <v>83.394499999999994</v>
      </c>
      <c r="AJ275" s="542">
        <f t="shared" si="203"/>
        <v>83.394499999999994</v>
      </c>
      <c r="AK275" s="542">
        <f t="shared" si="203"/>
        <v>83.394499999999994</v>
      </c>
      <c r="AL275" s="542">
        <f t="shared" si="203"/>
        <v>83.394499999999994</v>
      </c>
      <c r="AM275" s="542">
        <f t="shared" si="203"/>
        <v>83.394499999999994</v>
      </c>
      <c r="AN275" s="542">
        <f t="shared" si="203"/>
        <v>83.394499999999994</v>
      </c>
      <c r="AO275" s="542">
        <f t="shared" si="203"/>
        <v>83.394499999999994</v>
      </c>
      <c r="AP275" s="542">
        <f t="shared" si="203"/>
        <v>83.394499999999994</v>
      </c>
      <c r="AQ275" s="542">
        <f t="shared" si="203"/>
        <v>83.394499999999994</v>
      </c>
      <c r="AR275" s="542">
        <f t="shared" si="203"/>
        <v>83.394499999999994</v>
      </c>
      <c r="AS275" s="542">
        <f t="shared" si="203"/>
        <v>83.394499999999994</v>
      </c>
      <c r="AT275" s="542">
        <f t="shared" si="203"/>
        <v>83.394499999999994</v>
      </c>
      <c r="AU275" s="542">
        <f t="shared" si="203"/>
        <v>83.394499999999994</v>
      </c>
      <c r="AV275" s="542">
        <f t="shared" si="203"/>
        <v>83.394499999999994</v>
      </c>
      <c r="AW275" s="542">
        <f t="shared" si="203"/>
        <v>83.394499999999994</v>
      </c>
      <c r="AX275" s="542">
        <f t="shared" si="202"/>
        <v>83.394499999999994</v>
      </c>
      <c r="AY275" s="542">
        <f t="shared" si="202"/>
        <v>83.394499999999994</v>
      </c>
      <c r="AZ275" s="542">
        <f t="shared" si="202"/>
        <v>83.394499999999994</v>
      </c>
      <c r="BA275" s="542">
        <f t="shared" si="202"/>
        <v>83.394499999999994</v>
      </c>
      <c r="BB275" s="542">
        <f t="shared" si="202"/>
        <v>83.394499999999994</v>
      </c>
      <c r="BC275" s="542">
        <f t="shared" si="202"/>
        <v>83.394499999999994</v>
      </c>
      <c r="BD275" s="542">
        <f t="shared" si="202"/>
        <v>83.394499999999994</v>
      </c>
      <c r="BE275" s="542">
        <f t="shared" si="202"/>
        <v>83.394499999999994</v>
      </c>
      <c r="BF275" s="542">
        <f t="shared" si="202"/>
        <v>83.394499999999994</v>
      </c>
      <c r="BG275" s="542">
        <f t="shared" si="202"/>
        <v>83.394499999999994</v>
      </c>
      <c r="BH275" s="542">
        <f t="shared" si="202"/>
        <v>83.394499999999994</v>
      </c>
      <c r="BI275" s="542">
        <f t="shared" si="202"/>
        <v>83.394499999999994</v>
      </c>
      <c r="BJ275" s="542">
        <f t="shared" si="202"/>
        <v>83.394499999999994</v>
      </c>
      <c r="BK275" s="542">
        <f t="shared" si="202"/>
        <v>83.394499999999994</v>
      </c>
      <c r="BL275" s="542">
        <f t="shared" si="202"/>
        <v>83.394499999999994</v>
      </c>
      <c r="BM275" s="542">
        <f t="shared" si="202"/>
        <v>83.394499999999994</v>
      </c>
      <c r="BN275" s="542">
        <f t="shared" si="202"/>
        <v>83.394499999999994</v>
      </c>
      <c r="BO275" s="542">
        <f t="shared" si="202"/>
        <v>83.394499999999994</v>
      </c>
      <c r="BP275" s="542">
        <f t="shared" si="202"/>
        <v>83.394499999999994</v>
      </c>
      <c r="BQ275" s="542">
        <f t="shared" si="202"/>
        <v>83.394499999999994</v>
      </c>
      <c r="BR275" s="542">
        <f t="shared" si="202"/>
        <v>83.394499999999994</v>
      </c>
      <c r="BS275" s="542">
        <f t="shared" si="202"/>
        <v>83.394499999999994</v>
      </c>
      <c r="BT275" s="542">
        <f t="shared" si="202"/>
        <v>83.394499999999994</v>
      </c>
      <c r="BU275" s="542">
        <f t="shared" si="202"/>
        <v>83.394499999999994</v>
      </c>
      <c r="BV275" s="542">
        <f t="shared" si="202"/>
        <v>83.394499999999994</v>
      </c>
      <c r="BW275" s="542">
        <f t="shared" si="202"/>
        <v>83.394499999999994</v>
      </c>
      <c r="BX275" s="542">
        <f t="shared" si="202"/>
        <v>83.394499999999994</v>
      </c>
      <c r="BY275" s="542">
        <f t="shared" si="202"/>
        <v>83.394499999999994</v>
      </c>
      <c r="BZ275" s="542">
        <f t="shared" si="202"/>
        <v>83.394499999999994</v>
      </c>
      <c r="CA275" s="542">
        <f t="shared" si="202"/>
        <v>83.394499999999994</v>
      </c>
      <c r="CB275" s="542">
        <f t="shared" si="202"/>
        <v>83.394499999999994</v>
      </c>
      <c r="CC275" s="542">
        <f t="shared" si="202"/>
        <v>83.394499999999994</v>
      </c>
      <c r="CD275" s="542">
        <f t="shared" si="202"/>
        <v>83.394499999999994</v>
      </c>
      <c r="CE275" s="542">
        <f t="shared" si="202"/>
        <v>83.394499999999994</v>
      </c>
      <c r="CG275" s="541">
        <v>83.394499999999994</v>
      </c>
      <c r="CH275" s="541">
        <v>83.394499999999994</v>
      </c>
      <c r="CI275" s="541">
        <v>83.394499999999994</v>
      </c>
      <c r="CJ275" s="541">
        <v>83.394499999999994</v>
      </c>
      <c r="CK275" s="541">
        <v>83.394499999999994</v>
      </c>
      <c r="CL275" s="541">
        <v>83.394499999999994</v>
      </c>
      <c r="CM275" s="541">
        <v>83.394499999999994</v>
      </c>
      <c r="CN275" s="541">
        <v>83.394499999999994</v>
      </c>
      <c r="CO275" s="541">
        <v>83.394499999999994</v>
      </c>
      <c r="CP275" s="541">
        <v>83.394499999999994</v>
      </c>
      <c r="CQ275" s="541">
        <v>83.394499999999994</v>
      </c>
      <c r="CR275" s="541">
        <v>83.394499999999994</v>
      </c>
      <c r="CS275" s="541">
        <v>83.394499999999994</v>
      </c>
      <c r="CT275" s="541">
        <v>83.394499999999994</v>
      </c>
      <c r="CU275" s="541">
        <v>83.394499999999994</v>
      </c>
      <c r="CV275" s="541">
        <v>83.394499999999994</v>
      </c>
      <c r="CW275" s="541">
        <v>83.394499999999994</v>
      </c>
      <c r="CX275" s="541">
        <v>83.394499999999994</v>
      </c>
      <c r="CY275" s="541">
        <v>83.394499999999994</v>
      </c>
      <c r="CZ275" s="541">
        <v>83.394499999999994</v>
      </c>
      <c r="DA275" s="541">
        <v>83.394499999999994</v>
      </c>
      <c r="DB275" s="541">
        <v>83.394499999999994</v>
      </c>
      <c r="DC275" s="541">
        <v>83.394499999999994</v>
      </c>
      <c r="DD275" s="541">
        <v>83.394499999999994</v>
      </c>
      <c r="DE275" s="541">
        <v>83.394499999999994</v>
      </c>
      <c r="DF275" s="541">
        <v>83.394499999999994</v>
      </c>
      <c r="DG275" s="541">
        <v>83.394499999999994</v>
      </c>
      <c r="DH275" s="541">
        <v>83.394499999999994</v>
      </c>
    </row>
    <row r="276" spans="2:112">
      <c r="B276" t="s">
        <v>1144</v>
      </c>
      <c r="C276" t="s">
        <v>779</v>
      </c>
      <c r="D276" t="s">
        <v>923</v>
      </c>
      <c r="E276" t="s">
        <v>911</v>
      </c>
      <c r="F276" s="541">
        <v>2.6179784545454545</v>
      </c>
      <c r="G276" s="541">
        <v>2.6179784545454545</v>
      </c>
      <c r="H276" s="541">
        <v>2.6179784545454545</v>
      </c>
      <c r="I276" s="541">
        <v>2.6179784545454545</v>
      </c>
      <c r="J276" s="541">
        <v>2.6179784545454545</v>
      </c>
      <c r="K276" s="541">
        <v>2.6179784545454545</v>
      </c>
      <c r="L276" s="541">
        <v>2.6179784545454545</v>
      </c>
      <c r="M276" s="541">
        <v>2.6179784545454545</v>
      </c>
      <c r="N276" s="541">
        <v>2.6179784545454545</v>
      </c>
      <c r="O276" s="541">
        <v>2.6179784545454545</v>
      </c>
      <c r="P276" s="541">
        <v>2.6179784545454545</v>
      </c>
      <c r="Q276" s="541">
        <v>2.6179784545454545</v>
      </c>
      <c r="R276" s="541">
        <v>2.6179784545454545</v>
      </c>
      <c r="S276" s="541">
        <v>2.6179784545454545</v>
      </c>
      <c r="T276" s="541">
        <v>2.6179784545454545</v>
      </c>
      <c r="U276" s="541">
        <v>2.6179784545454545</v>
      </c>
      <c r="V276" s="541">
        <v>2.6179784545454545</v>
      </c>
      <c r="W276" s="541">
        <v>2.6179784545454545</v>
      </c>
      <c r="X276" s="541">
        <v>2.6179784545454545</v>
      </c>
      <c r="Y276" s="541">
        <v>2.6179784545454545</v>
      </c>
      <c r="Z276" s="541">
        <v>2.6179784545454545</v>
      </c>
      <c r="AA276" s="541">
        <v>2.6179784545454545</v>
      </c>
      <c r="AB276" s="541">
        <v>2.6179784545454545</v>
      </c>
      <c r="AC276" s="541">
        <v>2.6179784545454545</v>
      </c>
      <c r="AD276" s="541">
        <v>2.6179784545454545</v>
      </c>
      <c r="AE276" s="541">
        <v>2.6179784545454545</v>
      </c>
      <c r="AF276" s="541">
        <v>2.6179784545454545</v>
      </c>
      <c r="AG276" s="541">
        <v>2.6179784545454545</v>
      </c>
      <c r="AH276" s="542">
        <f t="shared" si="203"/>
        <v>2.6179784545454545</v>
      </c>
      <c r="AI276" s="542">
        <f t="shared" si="203"/>
        <v>2.6179784545454545</v>
      </c>
      <c r="AJ276" s="542">
        <f t="shared" si="203"/>
        <v>2.6179784545454545</v>
      </c>
      <c r="AK276" s="542">
        <f t="shared" si="203"/>
        <v>2.6179784545454545</v>
      </c>
      <c r="AL276" s="542">
        <f t="shared" si="203"/>
        <v>2.6179784545454545</v>
      </c>
      <c r="AM276" s="542">
        <f t="shared" si="203"/>
        <v>2.6179784545454545</v>
      </c>
      <c r="AN276" s="542">
        <f t="shared" si="203"/>
        <v>2.6179784545454545</v>
      </c>
      <c r="AO276" s="542">
        <f t="shared" si="203"/>
        <v>2.6179784545454545</v>
      </c>
      <c r="AP276" s="542">
        <f t="shared" si="203"/>
        <v>2.6179784545454545</v>
      </c>
      <c r="AQ276" s="542">
        <f t="shared" si="203"/>
        <v>2.6179784545454545</v>
      </c>
      <c r="AR276" s="542">
        <f t="shared" si="203"/>
        <v>2.6179784545454545</v>
      </c>
      <c r="AS276" s="542">
        <f t="shared" si="203"/>
        <v>2.6179784545454545</v>
      </c>
      <c r="AT276" s="542">
        <f t="shared" si="203"/>
        <v>2.6179784545454545</v>
      </c>
      <c r="AU276" s="542">
        <f t="shared" si="203"/>
        <v>2.6179784545454545</v>
      </c>
      <c r="AV276" s="542">
        <f t="shared" si="203"/>
        <v>2.6179784545454545</v>
      </c>
      <c r="AW276" s="542">
        <f t="shared" si="203"/>
        <v>2.6179784545454545</v>
      </c>
      <c r="AX276" s="542">
        <f t="shared" si="202"/>
        <v>2.6179784545454545</v>
      </c>
      <c r="AY276" s="542">
        <f t="shared" si="202"/>
        <v>2.6179784545454545</v>
      </c>
      <c r="AZ276" s="542">
        <f t="shared" si="202"/>
        <v>2.6179784545454545</v>
      </c>
      <c r="BA276" s="542">
        <f t="shared" si="202"/>
        <v>2.6179784545454545</v>
      </c>
      <c r="BB276" s="542">
        <f t="shared" si="202"/>
        <v>2.6179784545454545</v>
      </c>
      <c r="BC276" s="542">
        <f t="shared" si="202"/>
        <v>2.6179784545454545</v>
      </c>
      <c r="BD276" s="542">
        <f t="shared" si="202"/>
        <v>2.6179784545454545</v>
      </c>
      <c r="BE276" s="542">
        <f t="shared" si="202"/>
        <v>2.6179784545454545</v>
      </c>
      <c r="BF276" s="542">
        <f t="shared" si="202"/>
        <v>2.6179784545454545</v>
      </c>
      <c r="BG276" s="542">
        <f t="shared" si="202"/>
        <v>2.6179784545454545</v>
      </c>
      <c r="BH276" s="542">
        <f t="shared" si="202"/>
        <v>2.6179784545454545</v>
      </c>
      <c r="BI276" s="542">
        <f t="shared" si="202"/>
        <v>2.6179784545454545</v>
      </c>
      <c r="BJ276" s="542">
        <f t="shared" si="202"/>
        <v>2.6179784545454545</v>
      </c>
      <c r="BK276" s="542">
        <f t="shared" si="202"/>
        <v>2.6179784545454545</v>
      </c>
      <c r="BL276" s="542">
        <f t="shared" si="202"/>
        <v>2.6179784545454545</v>
      </c>
      <c r="BM276" s="542">
        <f t="shared" si="202"/>
        <v>2.6179784545454545</v>
      </c>
      <c r="BN276" s="542">
        <f t="shared" si="202"/>
        <v>2.6179784545454545</v>
      </c>
      <c r="BO276" s="542">
        <f t="shared" si="202"/>
        <v>2.6179784545454545</v>
      </c>
      <c r="BP276" s="542">
        <f t="shared" si="202"/>
        <v>2.6179784545454545</v>
      </c>
      <c r="BQ276" s="542">
        <f t="shared" si="202"/>
        <v>2.6179784545454545</v>
      </c>
      <c r="BR276" s="542">
        <f t="shared" si="202"/>
        <v>2.6179784545454545</v>
      </c>
      <c r="BS276" s="542">
        <f t="shared" si="202"/>
        <v>2.6179784545454545</v>
      </c>
      <c r="BT276" s="542">
        <f t="shared" si="202"/>
        <v>2.6179784545454545</v>
      </c>
      <c r="BU276" s="542">
        <f t="shared" si="202"/>
        <v>2.6179784545454545</v>
      </c>
      <c r="BV276" s="542">
        <f t="shared" si="202"/>
        <v>2.6179784545454545</v>
      </c>
      <c r="BW276" s="542">
        <f t="shared" si="202"/>
        <v>2.6179784545454545</v>
      </c>
      <c r="BX276" s="542">
        <f t="shared" si="202"/>
        <v>2.6179784545454545</v>
      </c>
      <c r="BY276" s="542">
        <f t="shared" si="202"/>
        <v>2.6179784545454545</v>
      </c>
      <c r="BZ276" s="542">
        <f t="shared" si="202"/>
        <v>2.6179784545454545</v>
      </c>
      <c r="CA276" s="542">
        <f t="shared" si="202"/>
        <v>2.6179784545454545</v>
      </c>
      <c r="CB276" s="542">
        <f t="shared" si="202"/>
        <v>2.6179784545454545</v>
      </c>
      <c r="CC276" s="542">
        <f t="shared" si="202"/>
        <v>2.6179784545454545</v>
      </c>
      <c r="CD276" s="542">
        <f t="shared" si="202"/>
        <v>2.6179784545454545</v>
      </c>
      <c r="CE276" s="542">
        <f t="shared" si="202"/>
        <v>2.6179784545454545</v>
      </c>
      <c r="CG276" s="541">
        <v>2.6179784545454545</v>
      </c>
      <c r="CH276" s="541">
        <v>2.6179784545454545</v>
      </c>
      <c r="CI276" s="541">
        <v>2.6179784545454545</v>
      </c>
      <c r="CJ276" s="541">
        <v>2.6179784545454545</v>
      </c>
      <c r="CK276" s="541">
        <v>2.6179784545454545</v>
      </c>
      <c r="CL276" s="541">
        <v>2.6179784545454545</v>
      </c>
      <c r="CM276" s="541">
        <v>2.6179784545454545</v>
      </c>
      <c r="CN276" s="541">
        <v>2.6179784545454545</v>
      </c>
      <c r="CO276" s="541">
        <v>2.6179784545454545</v>
      </c>
      <c r="CP276" s="541">
        <v>2.6179784545454545</v>
      </c>
      <c r="CQ276" s="541">
        <v>2.6179784545454545</v>
      </c>
      <c r="CR276" s="541">
        <v>2.6179784545454545</v>
      </c>
      <c r="CS276" s="541">
        <v>2.6179784545454545</v>
      </c>
      <c r="CT276" s="541">
        <v>2.6179784545454545</v>
      </c>
      <c r="CU276" s="541">
        <v>2.6179784545454545</v>
      </c>
      <c r="CV276" s="541">
        <v>2.6179784545454545</v>
      </c>
      <c r="CW276" s="541">
        <v>2.6179784545454545</v>
      </c>
      <c r="CX276" s="541">
        <v>2.6179784545454545</v>
      </c>
      <c r="CY276" s="541">
        <v>2.6179784545454545</v>
      </c>
      <c r="CZ276" s="541">
        <v>2.6179784545454545</v>
      </c>
      <c r="DA276" s="541">
        <v>2.6179784545454545</v>
      </c>
      <c r="DB276" s="541">
        <v>2.6179784545454545</v>
      </c>
      <c r="DC276" s="541">
        <v>2.6179784545454545</v>
      </c>
      <c r="DD276" s="541">
        <v>2.6179784545454545</v>
      </c>
      <c r="DE276" s="541">
        <v>2.6179784545454545</v>
      </c>
      <c r="DF276" s="541">
        <v>2.6179784545454545</v>
      </c>
      <c r="DG276" s="541">
        <v>2.6179784545454545</v>
      </c>
      <c r="DH276" s="541">
        <v>2.6179784545454545</v>
      </c>
    </row>
    <row r="277" spans="2:112">
      <c r="B277" t="s">
        <v>924</v>
      </c>
    </row>
    <row r="278" spans="2:112" ht="15">
      <c r="B278" t="s">
        <v>1145</v>
      </c>
      <c r="C278" s="485" t="s">
        <v>1146</v>
      </c>
      <c r="D278" s="485" t="s">
        <v>877</v>
      </c>
      <c r="E278" s="485" t="s">
        <v>111</v>
      </c>
      <c r="F278" s="486">
        <f>2023</f>
        <v>2023</v>
      </c>
      <c r="G278" s="486">
        <f>F278+1</f>
        <v>2024</v>
      </c>
      <c r="H278" s="486">
        <f t="shared" ref="H278:AG278" si="204">G278+1</f>
        <v>2025</v>
      </c>
      <c r="I278" s="486">
        <f t="shared" si="204"/>
        <v>2026</v>
      </c>
      <c r="J278" s="486">
        <f t="shared" si="204"/>
        <v>2027</v>
      </c>
      <c r="K278" s="486">
        <f t="shared" si="204"/>
        <v>2028</v>
      </c>
      <c r="L278" s="486">
        <f t="shared" si="204"/>
        <v>2029</v>
      </c>
      <c r="M278" s="486">
        <f t="shared" si="204"/>
        <v>2030</v>
      </c>
      <c r="N278" s="486">
        <f t="shared" si="204"/>
        <v>2031</v>
      </c>
      <c r="O278" s="486">
        <f t="shared" si="204"/>
        <v>2032</v>
      </c>
      <c r="P278" s="486">
        <f t="shared" si="204"/>
        <v>2033</v>
      </c>
      <c r="Q278" s="486">
        <f t="shared" si="204"/>
        <v>2034</v>
      </c>
      <c r="R278" s="486">
        <f t="shared" si="204"/>
        <v>2035</v>
      </c>
      <c r="S278" s="486">
        <f t="shared" si="204"/>
        <v>2036</v>
      </c>
      <c r="T278" s="486">
        <f t="shared" si="204"/>
        <v>2037</v>
      </c>
      <c r="U278" s="486">
        <f t="shared" si="204"/>
        <v>2038</v>
      </c>
      <c r="V278" s="486">
        <f t="shared" si="204"/>
        <v>2039</v>
      </c>
      <c r="W278" s="486">
        <f t="shared" si="204"/>
        <v>2040</v>
      </c>
      <c r="X278" s="486">
        <f t="shared" si="204"/>
        <v>2041</v>
      </c>
      <c r="Y278" s="486">
        <f t="shared" si="204"/>
        <v>2042</v>
      </c>
      <c r="Z278" s="486">
        <f t="shared" si="204"/>
        <v>2043</v>
      </c>
      <c r="AA278" s="486">
        <f t="shared" si="204"/>
        <v>2044</v>
      </c>
      <c r="AB278" s="486">
        <f t="shared" si="204"/>
        <v>2045</v>
      </c>
      <c r="AC278" s="486">
        <f t="shared" si="204"/>
        <v>2046</v>
      </c>
      <c r="AD278" s="486">
        <f t="shared" si="204"/>
        <v>2047</v>
      </c>
      <c r="AE278" s="486">
        <f t="shared" si="204"/>
        <v>2048</v>
      </c>
      <c r="AF278" s="486">
        <f t="shared" si="204"/>
        <v>2049</v>
      </c>
      <c r="AG278" s="486">
        <f t="shared" si="204"/>
        <v>2050</v>
      </c>
      <c r="AH278" s="524">
        <f>AG278+1</f>
        <v>2051</v>
      </c>
      <c r="AI278" s="524">
        <f t="shared" ref="AI278:CE278" si="205">AH278+1</f>
        <v>2052</v>
      </c>
      <c r="AJ278" s="524">
        <f t="shared" si="205"/>
        <v>2053</v>
      </c>
      <c r="AK278" s="524">
        <f t="shared" si="205"/>
        <v>2054</v>
      </c>
      <c r="AL278" s="524">
        <f t="shared" si="205"/>
        <v>2055</v>
      </c>
      <c r="AM278" s="524">
        <f t="shared" si="205"/>
        <v>2056</v>
      </c>
      <c r="AN278" s="524">
        <f t="shared" si="205"/>
        <v>2057</v>
      </c>
      <c r="AO278" s="524">
        <f t="shared" si="205"/>
        <v>2058</v>
      </c>
      <c r="AP278" s="524">
        <f t="shared" si="205"/>
        <v>2059</v>
      </c>
      <c r="AQ278" s="524">
        <f t="shared" si="205"/>
        <v>2060</v>
      </c>
      <c r="AR278" s="524">
        <f t="shared" si="205"/>
        <v>2061</v>
      </c>
      <c r="AS278" s="524">
        <f t="shared" si="205"/>
        <v>2062</v>
      </c>
      <c r="AT278" s="524">
        <f t="shared" si="205"/>
        <v>2063</v>
      </c>
      <c r="AU278" s="524">
        <f t="shared" si="205"/>
        <v>2064</v>
      </c>
      <c r="AV278" s="524">
        <f t="shared" si="205"/>
        <v>2065</v>
      </c>
      <c r="AW278" s="524">
        <f t="shared" si="205"/>
        <v>2066</v>
      </c>
      <c r="AX278" s="524">
        <f t="shared" si="205"/>
        <v>2067</v>
      </c>
      <c r="AY278" s="524">
        <f t="shared" si="205"/>
        <v>2068</v>
      </c>
      <c r="AZ278" s="524">
        <f t="shared" si="205"/>
        <v>2069</v>
      </c>
      <c r="BA278" s="524">
        <f t="shared" si="205"/>
        <v>2070</v>
      </c>
      <c r="BB278" s="524">
        <f t="shared" si="205"/>
        <v>2071</v>
      </c>
      <c r="BC278" s="524">
        <f t="shared" si="205"/>
        <v>2072</v>
      </c>
      <c r="BD278" s="524">
        <f t="shared" si="205"/>
        <v>2073</v>
      </c>
      <c r="BE278" s="524">
        <f t="shared" si="205"/>
        <v>2074</v>
      </c>
      <c r="BF278" s="524">
        <f t="shared" si="205"/>
        <v>2075</v>
      </c>
      <c r="BG278" s="524">
        <f t="shared" si="205"/>
        <v>2076</v>
      </c>
      <c r="BH278" s="524">
        <f t="shared" si="205"/>
        <v>2077</v>
      </c>
      <c r="BI278" s="524">
        <f t="shared" si="205"/>
        <v>2078</v>
      </c>
      <c r="BJ278" s="524">
        <f t="shared" si="205"/>
        <v>2079</v>
      </c>
      <c r="BK278" s="524">
        <f t="shared" si="205"/>
        <v>2080</v>
      </c>
      <c r="BL278" s="524">
        <f t="shared" si="205"/>
        <v>2081</v>
      </c>
      <c r="BM278" s="524">
        <f t="shared" si="205"/>
        <v>2082</v>
      </c>
      <c r="BN278" s="524">
        <f t="shared" si="205"/>
        <v>2083</v>
      </c>
      <c r="BO278" s="524">
        <f t="shared" si="205"/>
        <v>2084</v>
      </c>
      <c r="BP278" s="524">
        <f t="shared" si="205"/>
        <v>2085</v>
      </c>
      <c r="BQ278" s="524">
        <f t="shared" si="205"/>
        <v>2086</v>
      </c>
      <c r="BR278" s="524">
        <f t="shared" si="205"/>
        <v>2087</v>
      </c>
      <c r="BS278" s="524">
        <f t="shared" si="205"/>
        <v>2088</v>
      </c>
      <c r="BT278" s="524">
        <f t="shared" si="205"/>
        <v>2089</v>
      </c>
      <c r="BU278" s="524">
        <f t="shared" si="205"/>
        <v>2090</v>
      </c>
      <c r="BV278" s="524">
        <f t="shared" si="205"/>
        <v>2091</v>
      </c>
      <c r="BW278" s="524">
        <f t="shared" si="205"/>
        <v>2092</v>
      </c>
      <c r="BX278" s="524">
        <f t="shared" si="205"/>
        <v>2093</v>
      </c>
      <c r="BY278" s="524">
        <f t="shared" si="205"/>
        <v>2094</v>
      </c>
      <c r="BZ278" s="524">
        <f t="shared" si="205"/>
        <v>2095</v>
      </c>
      <c r="CA278" s="524">
        <f t="shared" si="205"/>
        <v>2096</v>
      </c>
      <c r="CB278" s="524">
        <f t="shared" si="205"/>
        <v>2097</v>
      </c>
      <c r="CC278" s="524">
        <f t="shared" si="205"/>
        <v>2098</v>
      </c>
      <c r="CD278" s="524">
        <f t="shared" si="205"/>
        <v>2099</v>
      </c>
      <c r="CE278" s="524">
        <f t="shared" si="205"/>
        <v>2100</v>
      </c>
      <c r="CG278" s="486">
        <v>2023</v>
      </c>
      <c r="CH278" s="486">
        <v>2024</v>
      </c>
      <c r="CI278" s="486">
        <v>2025</v>
      </c>
      <c r="CJ278" s="486">
        <v>2026</v>
      </c>
      <c r="CK278" s="486">
        <v>2027</v>
      </c>
      <c r="CL278" s="486">
        <v>2028</v>
      </c>
      <c r="CM278" s="486">
        <v>2029</v>
      </c>
      <c r="CN278" s="486">
        <v>2030</v>
      </c>
      <c r="CO278" s="486">
        <v>2031</v>
      </c>
      <c r="CP278" s="486">
        <v>2032</v>
      </c>
      <c r="CQ278" s="486">
        <v>2033</v>
      </c>
      <c r="CR278" s="486">
        <v>2034</v>
      </c>
      <c r="CS278" s="486">
        <v>2035</v>
      </c>
      <c r="CT278" s="486">
        <v>2036</v>
      </c>
      <c r="CU278" s="486">
        <v>2037</v>
      </c>
      <c r="CV278" s="486">
        <v>2038</v>
      </c>
      <c r="CW278" s="486">
        <v>2039</v>
      </c>
      <c r="CX278" s="486">
        <v>2040</v>
      </c>
      <c r="CY278" s="486">
        <v>2041</v>
      </c>
      <c r="CZ278" s="486">
        <v>2042</v>
      </c>
      <c r="DA278" s="486">
        <v>2043</v>
      </c>
      <c r="DB278" s="486">
        <v>2044</v>
      </c>
      <c r="DC278" s="486">
        <v>2045</v>
      </c>
      <c r="DD278" s="486">
        <v>2046</v>
      </c>
      <c r="DE278" s="486">
        <v>2047</v>
      </c>
      <c r="DF278" s="486">
        <v>2048</v>
      </c>
      <c r="DG278" s="486">
        <v>2049</v>
      </c>
      <c r="DH278" s="486">
        <v>2050</v>
      </c>
    </row>
    <row r="279" spans="2:112">
      <c r="B279" t="s">
        <v>1147</v>
      </c>
      <c r="C279" t="s">
        <v>1146</v>
      </c>
      <c r="D279" t="s">
        <v>879</v>
      </c>
      <c r="E279" t="s">
        <v>787</v>
      </c>
      <c r="F279" s="525">
        <v>100000</v>
      </c>
      <c r="G279" s="525">
        <v>100000</v>
      </c>
      <c r="H279" s="525">
        <v>100000</v>
      </c>
      <c r="I279" s="525">
        <v>100000</v>
      </c>
      <c r="J279" s="525">
        <v>100000</v>
      </c>
      <c r="K279" s="525">
        <v>100000</v>
      </c>
      <c r="L279" s="525">
        <v>100000</v>
      </c>
      <c r="M279" s="525">
        <v>100000</v>
      </c>
      <c r="N279" s="525">
        <v>100000</v>
      </c>
      <c r="O279" s="525">
        <v>100000</v>
      </c>
      <c r="P279" s="525">
        <v>100000</v>
      </c>
      <c r="Q279" s="525">
        <v>100000</v>
      </c>
      <c r="R279" s="525">
        <v>100000</v>
      </c>
      <c r="S279" s="525">
        <v>100000</v>
      </c>
      <c r="T279" s="525">
        <v>100000</v>
      </c>
      <c r="U279" s="525">
        <v>100000</v>
      </c>
      <c r="V279" s="525">
        <v>100000</v>
      </c>
      <c r="W279" s="525">
        <v>100000</v>
      </c>
      <c r="X279" s="525">
        <v>100000</v>
      </c>
      <c r="Y279" s="525">
        <v>100000</v>
      </c>
      <c r="Z279" s="525">
        <v>100000</v>
      </c>
      <c r="AA279" s="525">
        <v>100000</v>
      </c>
      <c r="AB279" s="525">
        <v>100000</v>
      </c>
      <c r="AC279" s="525">
        <v>100000</v>
      </c>
      <c r="AD279" s="525">
        <v>100000</v>
      </c>
      <c r="AE279" s="525">
        <v>100000</v>
      </c>
      <c r="AF279" s="525">
        <v>100000</v>
      </c>
      <c r="AG279" s="525">
        <v>100000</v>
      </c>
      <c r="AH279" s="526">
        <f>AG279</f>
        <v>100000</v>
      </c>
      <c r="AI279" s="526">
        <f t="shared" ref="AI279:AX279" si="206">AH279</f>
        <v>100000</v>
      </c>
      <c r="AJ279" s="526">
        <f t="shared" si="206"/>
        <v>100000</v>
      </c>
      <c r="AK279" s="526">
        <f t="shared" si="206"/>
        <v>100000</v>
      </c>
      <c r="AL279" s="526">
        <f t="shared" si="206"/>
        <v>100000</v>
      </c>
      <c r="AM279" s="526">
        <f t="shared" si="206"/>
        <v>100000</v>
      </c>
      <c r="AN279" s="526">
        <f t="shared" si="206"/>
        <v>100000</v>
      </c>
      <c r="AO279" s="526">
        <f t="shared" si="206"/>
        <v>100000</v>
      </c>
      <c r="AP279" s="526">
        <f t="shared" si="206"/>
        <v>100000</v>
      </c>
      <c r="AQ279" s="526">
        <f t="shared" si="206"/>
        <v>100000</v>
      </c>
      <c r="AR279" s="526">
        <f t="shared" si="206"/>
        <v>100000</v>
      </c>
      <c r="AS279" s="526">
        <f t="shared" si="206"/>
        <v>100000</v>
      </c>
      <c r="AT279" s="526">
        <f t="shared" si="206"/>
        <v>100000</v>
      </c>
      <c r="AU279" s="526">
        <f t="shared" si="206"/>
        <v>100000</v>
      </c>
      <c r="AV279" s="526">
        <f t="shared" si="206"/>
        <v>100000</v>
      </c>
      <c r="AW279" s="526">
        <f t="shared" si="206"/>
        <v>100000</v>
      </c>
      <c r="AX279" s="526">
        <f t="shared" si="206"/>
        <v>100000</v>
      </c>
      <c r="AY279" s="526">
        <f t="shared" ref="AY279:BN279" si="207">AX279</f>
        <v>100000</v>
      </c>
      <c r="AZ279" s="526">
        <f t="shared" si="207"/>
        <v>100000</v>
      </c>
      <c r="BA279" s="526">
        <f t="shared" si="207"/>
        <v>100000</v>
      </c>
      <c r="BB279" s="526">
        <f t="shared" si="207"/>
        <v>100000</v>
      </c>
      <c r="BC279" s="526">
        <f t="shared" si="207"/>
        <v>100000</v>
      </c>
      <c r="BD279" s="526">
        <f t="shared" si="207"/>
        <v>100000</v>
      </c>
      <c r="BE279" s="526">
        <f t="shared" si="207"/>
        <v>100000</v>
      </c>
      <c r="BF279" s="526">
        <f t="shared" si="207"/>
        <v>100000</v>
      </c>
      <c r="BG279" s="526">
        <f t="shared" si="207"/>
        <v>100000</v>
      </c>
      <c r="BH279" s="526">
        <f t="shared" si="207"/>
        <v>100000</v>
      </c>
      <c r="BI279" s="526">
        <f t="shared" si="207"/>
        <v>100000</v>
      </c>
      <c r="BJ279" s="526">
        <f t="shared" si="207"/>
        <v>100000</v>
      </c>
      <c r="BK279" s="526">
        <f t="shared" si="207"/>
        <v>100000</v>
      </c>
      <c r="BL279" s="526">
        <f t="shared" si="207"/>
        <v>100000</v>
      </c>
      <c r="BM279" s="526">
        <f t="shared" si="207"/>
        <v>100000</v>
      </c>
      <c r="BN279" s="526">
        <f t="shared" si="207"/>
        <v>100000</v>
      </c>
      <c r="BO279" s="526">
        <f t="shared" ref="BO279:CD279" si="208">BN279</f>
        <v>100000</v>
      </c>
      <c r="BP279" s="526">
        <f t="shared" si="208"/>
        <v>100000</v>
      </c>
      <c r="BQ279" s="526">
        <f t="shared" si="208"/>
        <v>100000</v>
      </c>
      <c r="BR279" s="526">
        <f t="shared" si="208"/>
        <v>100000</v>
      </c>
      <c r="BS279" s="526">
        <f t="shared" si="208"/>
        <v>100000</v>
      </c>
      <c r="BT279" s="526">
        <f t="shared" si="208"/>
        <v>100000</v>
      </c>
      <c r="BU279" s="526">
        <f t="shared" si="208"/>
        <v>100000</v>
      </c>
      <c r="BV279" s="526">
        <f t="shared" si="208"/>
        <v>100000</v>
      </c>
      <c r="BW279" s="526">
        <f t="shared" si="208"/>
        <v>100000</v>
      </c>
      <c r="BX279" s="526">
        <f t="shared" si="208"/>
        <v>100000</v>
      </c>
      <c r="BY279" s="526">
        <f t="shared" si="208"/>
        <v>100000</v>
      </c>
      <c r="BZ279" s="526">
        <f t="shared" si="208"/>
        <v>100000</v>
      </c>
      <c r="CA279" s="526">
        <f t="shared" si="208"/>
        <v>100000</v>
      </c>
      <c r="CB279" s="526">
        <f t="shared" si="208"/>
        <v>100000</v>
      </c>
      <c r="CC279" s="526">
        <f t="shared" si="208"/>
        <v>100000</v>
      </c>
      <c r="CD279" s="526">
        <f t="shared" si="208"/>
        <v>100000</v>
      </c>
      <c r="CE279" s="526">
        <f t="shared" ref="AX279:CE287" si="209">CD279</f>
        <v>100000</v>
      </c>
      <c r="CG279" s="536">
        <v>100000</v>
      </c>
      <c r="CH279" s="536">
        <v>100000</v>
      </c>
      <c r="CI279" s="536">
        <v>100000</v>
      </c>
      <c r="CJ279" s="536">
        <v>100000</v>
      </c>
      <c r="CK279" s="536">
        <v>100000</v>
      </c>
      <c r="CL279" s="536">
        <v>100000</v>
      </c>
      <c r="CM279" s="536">
        <v>100000</v>
      </c>
      <c r="CN279" s="536">
        <v>100000</v>
      </c>
      <c r="CO279" s="536">
        <v>100000</v>
      </c>
      <c r="CP279" s="536">
        <v>100000</v>
      </c>
      <c r="CQ279" s="536">
        <v>100000</v>
      </c>
      <c r="CR279" s="536">
        <v>100000</v>
      </c>
      <c r="CS279" s="536">
        <v>100000</v>
      </c>
      <c r="CT279" s="536">
        <v>100000</v>
      </c>
      <c r="CU279" s="536">
        <v>100000</v>
      </c>
      <c r="CV279" s="536">
        <v>100000</v>
      </c>
      <c r="CW279" s="536">
        <v>100000</v>
      </c>
      <c r="CX279" s="536">
        <v>100000</v>
      </c>
      <c r="CY279" s="536">
        <v>100000</v>
      </c>
      <c r="CZ279" s="536">
        <v>100000</v>
      </c>
      <c r="DA279" s="536">
        <v>100000</v>
      </c>
      <c r="DB279" s="536">
        <v>100000</v>
      </c>
      <c r="DC279" s="536">
        <v>100000</v>
      </c>
      <c r="DD279" s="536">
        <v>100000</v>
      </c>
      <c r="DE279" s="536">
        <v>100000</v>
      </c>
      <c r="DF279" s="536">
        <v>100000</v>
      </c>
      <c r="DG279" s="536">
        <v>100000</v>
      </c>
      <c r="DH279" s="536">
        <v>100000</v>
      </c>
    </row>
    <row r="280" spans="2:112">
      <c r="B280" t="s">
        <v>1148</v>
      </c>
      <c r="C280" t="s">
        <v>1146</v>
      </c>
      <c r="D280" t="s">
        <v>695</v>
      </c>
      <c r="E280" t="s">
        <v>881</v>
      </c>
      <c r="F280" s="525">
        <v>250</v>
      </c>
      <c r="G280" s="525">
        <v>250</v>
      </c>
      <c r="H280" s="525">
        <v>250</v>
      </c>
      <c r="I280" s="525">
        <v>250</v>
      </c>
      <c r="J280" s="525">
        <v>250</v>
      </c>
      <c r="K280" s="525">
        <v>250</v>
      </c>
      <c r="L280" s="525">
        <v>250</v>
      </c>
      <c r="M280" s="525">
        <v>250</v>
      </c>
      <c r="N280" s="525">
        <v>250</v>
      </c>
      <c r="O280" s="525">
        <v>250</v>
      </c>
      <c r="P280" s="525">
        <v>250</v>
      </c>
      <c r="Q280" s="525">
        <v>250</v>
      </c>
      <c r="R280" s="525">
        <v>250</v>
      </c>
      <c r="S280" s="525">
        <v>250</v>
      </c>
      <c r="T280" s="525">
        <v>250</v>
      </c>
      <c r="U280" s="525">
        <v>250</v>
      </c>
      <c r="V280" s="525">
        <v>250</v>
      </c>
      <c r="W280" s="525">
        <v>250</v>
      </c>
      <c r="X280" s="525">
        <v>250</v>
      </c>
      <c r="Y280" s="525">
        <v>250</v>
      </c>
      <c r="Z280" s="525">
        <v>250</v>
      </c>
      <c r="AA280" s="525">
        <v>250</v>
      </c>
      <c r="AB280" s="525">
        <v>250</v>
      </c>
      <c r="AC280" s="525">
        <v>250</v>
      </c>
      <c r="AD280" s="525">
        <v>250</v>
      </c>
      <c r="AE280" s="525">
        <v>250</v>
      </c>
      <c r="AF280" s="525">
        <v>250</v>
      </c>
      <c r="AG280" s="525">
        <v>250</v>
      </c>
      <c r="AH280" s="526">
        <f t="shared" ref="AH280:AW289" si="210">AG280</f>
        <v>250</v>
      </c>
      <c r="AI280" s="526">
        <f t="shared" si="210"/>
        <v>250</v>
      </c>
      <c r="AJ280" s="526">
        <f t="shared" si="210"/>
        <v>250</v>
      </c>
      <c r="AK280" s="526">
        <f t="shared" si="210"/>
        <v>250</v>
      </c>
      <c r="AL280" s="526">
        <f t="shared" si="210"/>
        <v>250</v>
      </c>
      <c r="AM280" s="526">
        <f t="shared" si="210"/>
        <v>250</v>
      </c>
      <c r="AN280" s="526">
        <f t="shared" si="210"/>
        <v>250</v>
      </c>
      <c r="AO280" s="526">
        <f t="shared" si="210"/>
        <v>250</v>
      </c>
      <c r="AP280" s="526">
        <f t="shared" si="210"/>
        <v>250</v>
      </c>
      <c r="AQ280" s="526">
        <f t="shared" si="210"/>
        <v>250</v>
      </c>
      <c r="AR280" s="526">
        <f t="shared" si="210"/>
        <v>250</v>
      </c>
      <c r="AS280" s="526">
        <f t="shared" si="210"/>
        <v>250</v>
      </c>
      <c r="AT280" s="526">
        <f t="shared" si="210"/>
        <v>250</v>
      </c>
      <c r="AU280" s="526">
        <f t="shared" si="210"/>
        <v>250</v>
      </c>
      <c r="AV280" s="526">
        <f t="shared" si="210"/>
        <v>250</v>
      </c>
      <c r="AW280" s="526">
        <f t="shared" si="210"/>
        <v>250</v>
      </c>
      <c r="AX280" s="526">
        <f t="shared" si="209"/>
        <v>250</v>
      </c>
      <c r="AY280" s="526">
        <f t="shared" si="209"/>
        <v>250</v>
      </c>
      <c r="AZ280" s="526">
        <f t="shared" si="209"/>
        <v>250</v>
      </c>
      <c r="BA280" s="526">
        <f t="shared" si="209"/>
        <v>250</v>
      </c>
      <c r="BB280" s="526">
        <f t="shared" si="209"/>
        <v>250</v>
      </c>
      <c r="BC280" s="526">
        <f t="shared" si="209"/>
        <v>250</v>
      </c>
      <c r="BD280" s="526">
        <f t="shared" si="209"/>
        <v>250</v>
      </c>
      <c r="BE280" s="526">
        <f t="shared" si="209"/>
        <v>250</v>
      </c>
      <c r="BF280" s="526">
        <f t="shared" si="209"/>
        <v>250</v>
      </c>
      <c r="BG280" s="526">
        <f t="shared" si="209"/>
        <v>250</v>
      </c>
      <c r="BH280" s="526">
        <f t="shared" si="209"/>
        <v>250</v>
      </c>
      <c r="BI280" s="526">
        <f t="shared" si="209"/>
        <v>250</v>
      </c>
      <c r="BJ280" s="526">
        <f t="shared" si="209"/>
        <v>250</v>
      </c>
      <c r="BK280" s="526">
        <f t="shared" si="209"/>
        <v>250</v>
      </c>
      <c r="BL280" s="526">
        <f t="shared" si="209"/>
        <v>250</v>
      </c>
      <c r="BM280" s="526">
        <f t="shared" si="209"/>
        <v>250</v>
      </c>
      <c r="BN280" s="526">
        <f t="shared" si="209"/>
        <v>250</v>
      </c>
      <c r="BO280" s="526">
        <f t="shared" si="209"/>
        <v>250</v>
      </c>
      <c r="BP280" s="526">
        <f t="shared" si="209"/>
        <v>250</v>
      </c>
      <c r="BQ280" s="526">
        <f t="shared" si="209"/>
        <v>250</v>
      </c>
      <c r="BR280" s="526">
        <f t="shared" si="209"/>
        <v>250</v>
      </c>
      <c r="BS280" s="526">
        <f t="shared" si="209"/>
        <v>250</v>
      </c>
      <c r="BT280" s="526">
        <f t="shared" si="209"/>
        <v>250</v>
      </c>
      <c r="BU280" s="526">
        <f t="shared" si="209"/>
        <v>250</v>
      </c>
      <c r="BV280" s="526">
        <f t="shared" si="209"/>
        <v>250</v>
      </c>
      <c r="BW280" s="526">
        <f t="shared" si="209"/>
        <v>250</v>
      </c>
      <c r="BX280" s="526">
        <f t="shared" si="209"/>
        <v>250</v>
      </c>
      <c r="BY280" s="526">
        <f t="shared" si="209"/>
        <v>250</v>
      </c>
      <c r="BZ280" s="526">
        <f t="shared" si="209"/>
        <v>250</v>
      </c>
      <c r="CA280" s="526">
        <f t="shared" si="209"/>
        <v>250</v>
      </c>
      <c r="CB280" s="526">
        <f t="shared" si="209"/>
        <v>250</v>
      </c>
      <c r="CC280" s="526">
        <f t="shared" si="209"/>
        <v>250</v>
      </c>
      <c r="CD280" s="526">
        <f t="shared" si="209"/>
        <v>250</v>
      </c>
      <c r="CE280" s="526">
        <f t="shared" si="209"/>
        <v>250</v>
      </c>
      <c r="CG280" s="536">
        <v>250</v>
      </c>
      <c r="CH280" s="536">
        <v>250</v>
      </c>
      <c r="CI280" s="536">
        <v>250</v>
      </c>
      <c r="CJ280" s="536">
        <v>250</v>
      </c>
      <c r="CK280" s="536">
        <v>250</v>
      </c>
      <c r="CL280" s="536">
        <v>250</v>
      </c>
      <c r="CM280" s="536">
        <v>250</v>
      </c>
      <c r="CN280" s="536">
        <v>250</v>
      </c>
      <c r="CO280" s="536">
        <v>250</v>
      </c>
      <c r="CP280" s="536">
        <v>250</v>
      </c>
      <c r="CQ280" s="536">
        <v>250</v>
      </c>
      <c r="CR280" s="536">
        <v>250</v>
      </c>
      <c r="CS280" s="536">
        <v>250</v>
      </c>
      <c r="CT280" s="536">
        <v>250</v>
      </c>
      <c r="CU280" s="536">
        <v>250</v>
      </c>
      <c r="CV280" s="536">
        <v>250</v>
      </c>
      <c r="CW280" s="536">
        <v>250</v>
      </c>
      <c r="CX280" s="536">
        <v>250</v>
      </c>
      <c r="CY280" s="536">
        <v>250</v>
      </c>
      <c r="CZ280" s="536">
        <v>250</v>
      </c>
      <c r="DA280" s="536">
        <v>250</v>
      </c>
      <c r="DB280" s="536">
        <v>250</v>
      </c>
      <c r="DC280" s="536">
        <v>250</v>
      </c>
      <c r="DD280" s="536">
        <v>250</v>
      </c>
      <c r="DE280" s="536">
        <v>250</v>
      </c>
      <c r="DF280" s="536">
        <v>250</v>
      </c>
      <c r="DG280" s="536">
        <v>250</v>
      </c>
      <c r="DH280" s="536">
        <v>250</v>
      </c>
    </row>
    <row r="281" spans="2:112">
      <c r="B281" t="s">
        <v>1149</v>
      </c>
      <c r="C281" t="s">
        <v>1146</v>
      </c>
      <c r="D281" t="s">
        <v>883</v>
      </c>
      <c r="E281" t="s">
        <v>884</v>
      </c>
      <c r="F281" s="525">
        <v>17</v>
      </c>
      <c r="G281" s="525">
        <v>17</v>
      </c>
      <c r="H281" s="525">
        <v>17</v>
      </c>
      <c r="I281" s="525">
        <v>17</v>
      </c>
      <c r="J281" s="525">
        <v>17</v>
      </c>
      <c r="K281" s="525">
        <v>17</v>
      </c>
      <c r="L281" s="525">
        <v>17</v>
      </c>
      <c r="M281" s="525">
        <v>17</v>
      </c>
      <c r="N281" s="525">
        <v>17</v>
      </c>
      <c r="O281" s="525">
        <v>17</v>
      </c>
      <c r="P281" s="525">
        <v>17</v>
      </c>
      <c r="Q281" s="525">
        <v>17</v>
      </c>
      <c r="R281" s="525">
        <v>17</v>
      </c>
      <c r="S281" s="525">
        <v>17</v>
      </c>
      <c r="T281" s="525">
        <v>17</v>
      </c>
      <c r="U281" s="525">
        <v>17</v>
      </c>
      <c r="V281" s="525">
        <v>17</v>
      </c>
      <c r="W281" s="525">
        <v>17</v>
      </c>
      <c r="X281" s="525">
        <v>17</v>
      </c>
      <c r="Y281" s="525">
        <v>17</v>
      </c>
      <c r="Z281" s="525">
        <v>17</v>
      </c>
      <c r="AA281" s="525">
        <v>17</v>
      </c>
      <c r="AB281" s="525">
        <v>17</v>
      </c>
      <c r="AC281" s="525">
        <v>17</v>
      </c>
      <c r="AD281" s="525">
        <v>17</v>
      </c>
      <c r="AE281" s="525">
        <v>17</v>
      </c>
      <c r="AF281" s="525">
        <v>17</v>
      </c>
      <c r="AG281" s="525">
        <v>17</v>
      </c>
      <c r="AH281" s="526">
        <f t="shared" si="210"/>
        <v>17</v>
      </c>
      <c r="AI281" s="526">
        <f t="shared" si="210"/>
        <v>17</v>
      </c>
      <c r="AJ281" s="526">
        <f t="shared" si="210"/>
        <v>17</v>
      </c>
      <c r="AK281" s="526">
        <f t="shared" si="210"/>
        <v>17</v>
      </c>
      <c r="AL281" s="526">
        <f t="shared" si="210"/>
        <v>17</v>
      </c>
      <c r="AM281" s="526">
        <f t="shared" si="210"/>
        <v>17</v>
      </c>
      <c r="AN281" s="526">
        <f t="shared" si="210"/>
        <v>17</v>
      </c>
      <c r="AO281" s="526">
        <f t="shared" si="210"/>
        <v>17</v>
      </c>
      <c r="AP281" s="526">
        <f t="shared" si="210"/>
        <v>17</v>
      </c>
      <c r="AQ281" s="526">
        <f t="shared" si="210"/>
        <v>17</v>
      </c>
      <c r="AR281" s="526">
        <f t="shared" si="210"/>
        <v>17</v>
      </c>
      <c r="AS281" s="526">
        <f t="shared" si="210"/>
        <v>17</v>
      </c>
      <c r="AT281" s="526">
        <f t="shared" si="210"/>
        <v>17</v>
      </c>
      <c r="AU281" s="526">
        <f t="shared" si="210"/>
        <v>17</v>
      </c>
      <c r="AV281" s="526">
        <f t="shared" si="210"/>
        <v>17</v>
      </c>
      <c r="AW281" s="526">
        <f t="shared" si="210"/>
        <v>17</v>
      </c>
      <c r="AX281" s="526">
        <f t="shared" si="209"/>
        <v>17</v>
      </c>
      <c r="AY281" s="526">
        <f t="shared" si="209"/>
        <v>17</v>
      </c>
      <c r="AZ281" s="526">
        <f t="shared" si="209"/>
        <v>17</v>
      </c>
      <c r="BA281" s="526">
        <f t="shared" si="209"/>
        <v>17</v>
      </c>
      <c r="BB281" s="526">
        <f t="shared" si="209"/>
        <v>17</v>
      </c>
      <c r="BC281" s="526">
        <f t="shared" si="209"/>
        <v>17</v>
      </c>
      <c r="BD281" s="526">
        <f t="shared" si="209"/>
        <v>17</v>
      </c>
      <c r="BE281" s="526">
        <f t="shared" si="209"/>
        <v>17</v>
      </c>
      <c r="BF281" s="526">
        <f t="shared" si="209"/>
        <v>17</v>
      </c>
      <c r="BG281" s="526">
        <f t="shared" si="209"/>
        <v>17</v>
      </c>
      <c r="BH281" s="526">
        <f t="shared" si="209"/>
        <v>17</v>
      </c>
      <c r="BI281" s="526">
        <f t="shared" si="209"/>
        <v>17</v>
      </c>
      <c r="BJ281" s="526">
        <f t="shared" si="209"/>
        <v>17</v>
      </c>
      <c r="BK281" s="526">
        <f t="shared" si="209"/>
        <v>17</v>
      </c>
      <c r="BL281" s="526">
        <f t="shared" si="209"/>
        <v>17</v>
      </c>
      <c r="BM281" s="526">
        <f t="shared" si="209"/>
        <v>17</v>
      </c>
      <c r="BN281" s="526">
        <f t="shared" si="209"/>
        <v>17</v>
      </c>
      <c r="BO281" s="526">
        <f t="shared" si="209"/>
        <v>17</v>
      </c>
      <c r="BP281" s="526">
        <f t="shared" si="209"/>
        <v>17</v>
      </c>
      <c r="BQ281" s="526">
        <f t="shared" si="209"/>
        <v>17</v>
      </c>
      <c r="BR281" s="526">
        <f t="shared" si="209"/>
        <v>17</v>
      </c>
      <c r="BS281" s="526">
        <f t="shared" si="209"/>
        <v>17</v>
      </c>
      <c r="BT281" s="526">
        <f t="shared" si="209"/>
        <v>17</v>
      </c>
      <c r="BU281" s="526">
        <f t="shared" si="209"/>
        <v>17</v>
      </c>
      <c r="BV281" s="526">
        <f t="shared" si="209"/>
        <v>17</v>
      </c>
      <c r="BW281" s="526">
        <f t="shared" si="209"/>
        <v>17</v>
      </c>
      <c r="BX281" s="526">
        <f t="shared" si="209"/>
        <v>17</v>
      </c>
      <c r="BY281" s="526">
        <f t="shared" si="209"/>
        <v>17</v>
      </c>
      <c r="BZ281" s="526">
        <f t="shared" si="209"/>
        <v>17</v>
      </c>
      <c r="CA281" s="526">
        <f t="shared" si="209"/>
        <v>17</v>
      </c>
      <c r="CB281" s="526">
        <f t="shared" si="209"/>
        <v>17</v>
      </c>
      <c r="CC281" s="526">
        <f t="shared" si="209"/>
        <v>17</v>
      </c>
      <c r="CD281" s="526">
        <f t="shared" si="209"/>
        <v>17</v>
      </c>
      <c r="CE281" s="526">
        <f t="shared" si="209"/>
        <v>17</v>
      </c>
      <c r="CG281" s="536">
        <v>17</v>
      </c>
      <c r="CH281" s="536">
        <v>17</v>
      </c>
      <c r="CI281" s="536">
        <v>17</v>
      </c>
      <c r="CJ281" s="536">
        <v>17</v>
      </c>
      <c r="CK281" s="536">
        <v>17</v>
      </c>
      <c r="CL281" s="536">
        <v>17</v>
      </c>
      <c r="CM281" s="536">
        <v>17</v>
      </c>
      <c r="CN281" s="536">
        <v>17</v>
      </c>
      <c r="CO281" s="536">
        <v>17</v>
      </c>
      <c r="CP281" s="536">
        <v>17</v>
      </c>
      <c r="CQ281" s="536">
        <v>17</v>
      </c>
      <c r="CR281" s="536">
        <v>17</v>
      </c>
      <c r="CS281" s="536">
        <v>17</v>
      </c>
      <c r="CT281" s="536">
        <v>17</v>
      </c>
      <c r="CU281" s="536">
        <v>17</v>
      </c>
      <c r="CV281" s="536">
        <v>17</v>
      </c>
      <c r="CW281" s="536">
        <v>17</v>
      </c>
      <c r="CX281" s="536">
        <v>17</v>
      </c>
      <c r="CY281" s="536">
        <v>17</v>
      </c>
      <c r="CZ281" s="536">
        <v>17</v>
      </c>
      <c r="DA281" s="536">
        <v>17</v>
      </c>
      <c r="DB281" s="536">
        <v>17</v>
      </c>
      <c r="DC281" s="536">
        <v>17</v>
      </c>
      <c r="DD281" s="536">
        <v>17</v>
      </c>
      <c r="DE281" s="536">
        <v>17</v>
      </c>
      <c r="DF281" s="536">
        <v>17</v>
      </c>
      <c r="DG281" s="536">
        <v>17</v>
      </c>
      <c r="DH281" s="536">
        <v>17</v>
      </c>
    </row>
    <row r="282" spans="2:112">
      <c r="B282" t="s">
        <v>1150</v>
      </c>
      <c r="C282" t="s">
        <v>1146</v>
      </c>
      <c r="D282" t="s">
        <v>886</v>
      </c>
      <c r="E282" t="s">
        <v>178</v>
      </c>
      <c r="F282" s="537">
        <v>0.51</v>
      </c>
      <c r="G282" s="537">
        <v>0.51</v>
      </c>
      <c r="H282" s="537">
        <v>0.51</v>
      </c>
      <c r="I282" s="537">
        <v>0.51</v>
      </c>
      <c r="J282" s="537">
        <v>0.51</v>
      </c>
      <c r="K282" s="537">
        <v>0.51</v>
      </c>
      <c r="L282" s="537">
        <v>0.51</v>
      </c>
      <c r="M282" s="537">
        <v>0.51</v>
      </c>
      <c r="N282" s="537">
        <v>0.51</v>
      </c>
      <c r="O282" s="537">
        <v>0.51</v>
      </c>
      <c r="P282" s="537">
        <v>0.51</v>
      </c>
      <c r="Q282" s="537">
        <v>0.51</v>
      </c>
      <c r="R282" s="537">
        <v>0.51</v>
      </c>
      <c r="S282" s="537">
        <v>0.51</v>
      </c>
      <c r="T282" s="537">
        <v>0.51</v>
      </c>
      <c r="U282" s="537">
        <v>0.51</v>
      </c>
      <c r="V282" s="537">
        <v>0.51</v>
      </c>
      <c r="W282" s="537">
        <v>0.51</v>
      </c>
      <c r="X282" s="537">
        <v>0.51</v>
      </c>
      <c r="Y282" s="537">
        <v>0.51</v>
      </c>
      <c r="Z282" s="537">
        <v>0.51</v>
      </c>
      <c r="AA282" s="537">
        <v>0.51</v>
      </c>
      <c r="AB282" s="537">
        <v>0.51</v>
      </c>
      <c r="AC282" s="537">
        <v>0.51</v>
      </c>
      <c r="AD282" s="537">
        <v>0.51</v>
      </c>
      <c r="AE282" s="537">
        <v>0.51</v>
      </c>
      <c r="AF282" s="537">
        <v>0.51</v>
      </c>
      <c r="AG282" s="537">
        <v>0.51</v>
      </c>
      <c r="AH282" s="526">
        <f t="shared" si="210"/>
        <v>0.51</v>
      </c>
      <c r="AI282" s="526">
        <f t="shared" si="210"/>
        <v>0.51</v>
      </c>
      <c r="AJ282" s="526">
        <f t="shared" si="210"/>
        <v>0.51</v>
      </c>
      <c r="AK282" s="526">
        <f t="shared" si="210"/>
        <v>0.51</v>
      </c>
      <c r="AL282" s="526">
        <f t="shared" si="210"/>
        <v>0.51</v>
      </c>
      <c r="AM282" s="526">
        <f t="shared" si="210"/>
        <v>0.51</v>
      </c>
      <c r="AN282" s="526">
        <f t="shared" si="210"/>
        <v>0.51</v>
      </c>
      <c r="AO282" s="526">
        <f t="shared" si="210"/>
        <v>0.51</v>
      </c>
      <c r="AP282" s="526">
        <f t="shared" si="210"/>
        <v>0.51</v>
      </c>
      <c r="AQ282" s="526">
        <f t="shared" si="210"/>
        <v>0.51</v>
      </c>
      <c r="AR282" s="526">
        <f t="shared" si="210"/>
        <v>0.51</v>
      </c>
      <c r="AS282" s="526">
        <f t="shared" si="210"/>
        <v>0.51</v>
      </c>
      <c r="AT282" s="526">
        <f t="shared" si="210"/>
        <v>0.51</v>
      </c>
      <c r="AU282" s="526">
        <f t="shared" si="210"/>
        <v>0.51</v>
      </c>
      <c r="AV282" s="526">
        <f t="shared" si="210"/>
        <v>0.51</v>
      </c>
      <c r="AW282" s="526">
        <f t="shared" si="210"/>
        <v>0.51</v>
      </c>
      <c r="AX282" s="526">
        <f t="shared" si="209"/>
        <v>0.51</v>
      </c>
      <c r="AY282" s="526">
        <f t="shared" si="209"/>
        <v>0.51</v>
      </c>
      <c r="AZ282" s="526">
        <f t="shared" si="209"/>
        <v>0.51</v>
      </c>
      <c r="BA282" s="526">
        <f t="shared" si="209"/>
        <v>0.51</v>
      </c>
      <c r="BB282" s="526">
        <f t="shared" si="209"/>
        <v>0.51</v>
      </c>
      <c r="BC282" s="526">
        <f t="shared" si="209"/>
        <v>0.51</v>
      </c>
      <c r="BD282" s="526">
        <f t="shared" si="209"/>
        <v>0.51</v>
      </c>
      <c r="BE282" s="526">
        <f t="shared" si="209"/>
        <v>0.51</v>
      </c>
      <c r="BF282" s="526">
        <f t="shared" si="209"/>
        <v>0.51</v>
      </c>
      <c r="BG282" s="526">
        <f t="shared" si="209"/>
        <v>0.51</v>
      </c>
      <c r="BH282" s="526">
        <f t="shared" si="209"/>
        <v>0.51</v>
      </c>
      <c r="BI282" s="526">
        <f t="shared" si="209"/>
        <v>0.51</v>
      </c>
      <c r="BJ282" s="526">
        <f t="shared" si="209"/>
        <v>0.51</v>
      </c>
      <c r="BK282" s="526">
        <f t="shared" si="209"/>
        <v>0.51</v>
      </c>
      <c r="BL282" s="526">
        <f t="shared" si="209"/>
        <v>0.51</v>
      </c>
      <c r="BM282" s="526">
        <f t="shared" si="209"/>
        <v>0.51</v>
      </c>
      <c r="BN282" s="526">
        <f t="shared" si="209"/>
        <v>0.51</v>
      </c>
      <c r="BO282" s="526">
        <f t="shared" si="209"/>
        <v>0.51</v>
      </c>
      <c r="BP282" s="526">
        <f t="shared" si="209"/>
        <v>0.51</v>
      </c>
      <c r="BQ282" s="526">
        <f t="shared" si="209"/>
        <v>0.51</v>
      </c>
      <c r="BR282" s="526">
        <f t="shared" si="209"/>
        <v>0.51</v>
      </c>
      <c r="BS282" s="526">
        <f t="shared" si="209"/>
        <v>0.51</v>
      </c>
      <c r="BT282" s="526">
        <f t="shared" si="209"/>
        <v>0.51</v>
      </c>
      <c r="BU282" s="526">
        <f t="shared" si="209"/>
        <v>0.51</v>
      </c>
      <c r="BV282" s="526">
        <f t="shared" si="209"/>
        <v>0.51</v>
      </c>
      <c r="BW282" s="526">
        <f t="shared" si="209"/>
        <v>0.51</v>
      </c>
      <c r="BX282" s="526">
        <f t="shared" si="209"/>
        <v>0.51</v>
      </c>
      <c r="BY282" s="526">
        <f t="shared" si="209"/>
        <v>0.51</v>
      </c>
      <c r="BZ282" s="526">
        <f t="shared" si="209"/>
        <v>0.51</v>
      </c>
      <c r="CA282" s="526">
        <f t="shared" si="209"/>
        <v>0.51</v>
      </c>
      <c r="CB282" s="526">
        <f t="shared" si="209"/>
        <v>0.51</v>
      </c>
      <c r="CC282" s="526">
        <f t="shared" si="209"/>
        <v>0.51</v>
      </c>
      <c r="CD282" s="526">
        <f t="shared" si="209"/>
        <v>0.51</v>
      </c>
      <c r="CE282" s="526">
        <f t="shared" si="209"/>
        <v>0.51</v>
      </c>
      <c r="CG282" s="537">
        <v>0.51</v>
      </c>
      <c r="CH282" s="537">
        <v>0.51</v>
      </c>
      <c r="CI282" s="537">
        <v>0.51</v>
      </c>
      <c r="CJ282" s="537">
        <v>0.51</v>
      </c>
      <c r="CK282" s="537">
        <v>0.51</v>
      </c>
      <c r="CL282" s="537">
        <v>0.51</v>
      </c>
      <c r="CM282" s="537">
        <v>0.51</v>
      </c>
      <c r="CN282" s="537">
        <v>0.51</v>
      </c>
      <c r="CO282" s="537">
        <v>0.51</v>
      </c>
      <c r="CP282" s="537">
        <v>0.51</v>
      </c>
      <c r="CQ282" s="537">
        <v>0.51</v>
      </c>
      <c r="CR282" s="537">
        <v>0.51</v>
      </c>
      <c r="CS282" s="537">
        <v>0.51</v>
      </c>
      <c r="CT282" s="537">
        <v>0.51</v>
      </c>
      <c r="CU282" s="537">
        <v>0.51</v>
      </c>
      <c r="CV282" s="537">
        <v>0.51</v>
      </c>
      <c r="CW282" s="537">
        <v>0.51</v>
      </c>
      <c r="CX282" s="537">
        <v>0.51</v>
      </c>
      <c r="CY282" s="537">
        <v>0.51</v>
      </c>
      <c r="CZ282" s="537">
        <v>0.51</v>
      </c>
      <c r="DA282" s="537">
        <v>0.51</v>
      </c>
      <c r="DB282" s="537">
        <v>0.51</v>
      </c>
      <c r="DC282" s="537">
        <v>0.51</v>
      </c>
      <c r="DD282" s="537">
        <v>0.51</v>
      </c>
      <c r="DE282" s="537">
        <v>0.51</v>
      </c>
      <c r="DF282" s="537">
        <v>0.51</v>
      </c>
      <c r="DG282" s="537">
        <v>0.51</v>
      </c>
      <c r="DH282" s="537">
        <v>0.51</v>
      </c>
    </row>
    <row r="283" spans="2:112">
      <c r="B283" t="s">
        <v>1151</v>
      </c>
      <c r="C283" t="s">
        <v>1146</v>
      </c>
      <c r="D283" t="s">
        <v>888</v>
      </c>
      <c r="E283" t="s">
        <v>178</v>
      </c>
      <c r="F283" s="537">
        <v>0.51</v>
      </c>
      <c r="G283" s="537">
        <v>0.51</v>
      </c>
      <c r="H283" s="537">
        <v>0.51</v>
      </c>
      <c r="I283" s="537">
        <v>0.51</v>
      </c>
      <c r="J283" s="537">
        <v>0.51</v>
      </c>
      <c r="K283" s="537">
        <v>0.51</v>
      </c>
      <c r="L283" s="537">
        <v>0.51</v>
      </c>
      <c r="M283" s="537">
        <v>0.51</v>
      </c>
      <c r="N283" s="537">
        <v>0.51</v>
      </c>
      <c r="O283" s="537">
        <v>0.51</v>
      </c>
      <c r="P283" s="537">
        <v>0.51</v>
      </c>
      <c r="Q283" s="537">
        <v>0.51</v>
      </c>
      <c r="R283" s="537">
        <v>0.51</v>
      </c>
      <c r="S283" s="537">
        <v>0.51</v>
      </c>
      <c r="T283" s="537">
        <v>0.51</v>
      </c>
      <c r="U283" s="537">
        <v>0.51</v>
      </c>
      <c r="V283" s="537">
        <v>0.51</v>
      </c>
      <c r="W283" s="537">
        <v>0.51</v>
      </c>
      <c r="X283" s="537">
        <v>0.51</v>
      </c>
      <c r="Y283" s="537">
        <v>0.51</v>
      </c>
      <c r="Z283" s="537">
        <v>0.51</v>
      </c>
      <c r="AA283" s="537">
        <v>0.51</v>
      </c>
      <c r="AB283" s="537">
        <v>0.51</v>
      </c>
      <c r="AC283" s="537">
        <v>0.51</v>
      </c>
      <c r="AD283" s="537">
        <v>0.51</v>
      </c>
      <c r="AE283" s="537">
        <v>0.51</v>
      </c>
      <c r="AF283" s="537">
        <v>0.51</v>
      </c>
      <c r="AG283" s="537">
        <v>0.51</v>
      </c>
      <c r="AH283" s="526">
        <f t="shared" si="210"/>
        <v>0.51</v>
      </c>
      <c r="AI283" s="526">
        <f t="shared" si="210"/>
        <v>0.51</v>
      </c>
      <c r="AJ283" s="526">
        <f t="shared" si="210"/>
        <v>0.51</v>
      </c>
      <c r="AK283" s="526">
        <f t="shared" si="210"/>
        <v>0.51</v>
      </c>
      <c r="AL283" s="526">
        <f t="shared" si="210"/>
        <v>0.51</v>
      </c>
      <c r="AM283" s="526">
        <f t="shared" si="210"/>
        <v>0.51</v>
      </c>
      <c r="AN283" s="526">
        <f t="shared" si="210"/>
        <v>0.51</v>
      </c>
      <c r="AO283" s="526">
        <f t="shared" si="210"/>
        <v>0.51</v>
      </c>
      <c r="AP283" s="526">
        <f t="shared" si="210"/>
        <v>0.51</v>
      </c>
      <c r="AQ283" s="526">
        <f t="shared" si="210"/>
        <v>0.51</v>
      </c>
      <c r="AR283" s="526">
        <f t="shared" si="210"/>
        <v>0.51</v>
      </c>
      <c r="AS283" s="526">
        <f t="shared" si="210"/>
        <v>0.51</v>
      </c>
      <c r="AT283" s="526">
        <f t="shared" si="210"/>
        <v>0.51</v>
      </c>
      <c r="AU283" s="526">
        <f t="shared" si="210"/>
        <v>0.51</v>
      </c>
      <c r="AV283" s="526">
        <f t="shared" si="210"/>
        <v>0.51</v>
      </c>
      <c r="AW283" s="526">
        <f t="shared" si="210"/>
        <v>0.51</v>
      </c>
      <c r="AX283" s="526">
        <f t="shared" si="209"/>
        <v>0.51</v>
      </c>
      <c r="AY283" s="526">
        <f t="shared" si="209"/>
        <v>0.51</v>
      </c>
      <c r="AZ283" s="526">
        <f t="shared" si="209"/>
        <v>0.51</v>
      </c>
      <c r="BA283" s="526">
        <f t="shared" si="209"/>
        <v>0.51</v>
      </c>
      <c r="BB283" s="526">
        <f t="shared" si="209"/>
        <v>0.51</v>
      </c>
      <c r="BC283" s="526">
        <f t="shared" si="209"/>
        <v>0.51</v>
      </c>
      <c r="BD283" s="526">
        <f t="shared" si="209"/>
        <v>0.51</v>
      </c>
      <c r="BE283" s="526">
        <f t="shared" si="209"/>
        <v>0.51</v>
      </c>
      <c r="BF283" s="526">
        <f t="shared" si="209"/>
        <v>0.51</v>
      </c>
      <c r="BG283" s="526">
        <f t="shared" si="209"/>
        <v>0.51</v>
      </c>
      <c r="BH283" s="526">
        <f t="shared" si="209"/>
        <v>0.51</v>
      </c>
      <c r="BI283" s="526">
        <f t="shared" si="209"/>
        <v>0.51</v>
      </c>
      <c r="BJ283" s="526">
        <f t="shared" si="209"/>
        <v>0.51</v>
      </c>
      <c r="BK283" s="526">
        <f t="shared" si="209"/>
        <v>0.51</v>
      </c>
      <c r="BL283" s="526">
        <f t="shared" si="209"/>
        <v>0.51</v>
      </c>
      <c r="BM283" s="526">
        <f t="shared" si="209"/>
        <v>0.51</v>
      </c>
      <c r="BN283" s="526">
        <f t="shared" si="209"/>
        <v>0.51</v>
      </c>
      <c r="BO283" s="526">
        <f t="shared" si="209"/>
        <v>0.51</v>
      </c>
      <c r="BP283" s="526">
        <f t="shared" si="209"/>
        <v>0.51</v>
      </c>
      <c r="BQ283" s="526">
        <f t="shared" si="209"/>
        <v>0.51</v>
      </c>
      <c r="BR283" s="526">
        <f t="shared" si="209"/>
        <v>0.51</v>
      </c>
      <c r="BS283" s="526">
        <f t="shared" si="209"/>
        <v>0.51</v>
      </c>
      <c r="BT283" s="526">
        <f t="shared" si="209"/>
        <v>0.51</v>
      </c>
      <c r="BU283" s="526">
        <f t="shared" si="209"/>
        <v>0.51</v>
      </c>
      <c r="BV283" s="526">
        <f t="shared" si="209"/>
        <v>0.51</v>
      </c>
      <c r="BW283" s="526">
        <f t="shared" si="209"/>
        <v>0.51</v>
      </c>
      <c r="BX283" s="526">
        <f t="shared" si="209"/>
        <v>0.51</v>
      </c>
      <c r="BY283" s="526">
        <f t="shared" si="209"/>
        <v>0.51</v>
      </c>
      <c r="BZ283" s="526">
        <f t="shared" si="209"/>
        <v>0.51</v>
      </c>
      <c r="CA283" s="526">
        <f t="shared" si="209"/>
        <v>0.51</v>
      </c>
      <c r="CB283" s="526">
        <f t="shared" si="209"/>
        <v>0.51</v>
      </c>
      <c r="CC283" s="526">
        <f t="shared" si="209"/>
        <v>0.51</v>
      </c>
      <c r="CD283" s="526">
        <f t="shared" si="209"/>
        <v>0.51</v>
      </c>
      <c r="CE283" s="526">
        <f t="shared" si="209"/>
        <v>0.51</v>
      </c>
      <c r="CG283" s="537">
        <v>0.51</v>
      </c>
      <c r="CH283" s="537">
        <v>0.51</v>
      </c>
      <c r="CI283" s="537">
        <v>0.51</v>
      </c>
      <c r="CJ283" s="537">
        <v>0.51</v>
      </c>
      <c r="CK283" s="537">
        <v>0.51</v>
      </c>
      <c r="CL283" s="537">
        <v>0.51</v>
      </c>
      <c r="CM283" s="537">
        <v>0.51</v>
      </c>
      <c r="CN283" s="537">
        <v>0.51</v>
      </c>
      <c r="CO283" s="537">
        <v>0.51</v>
      </c>
      <c r="CP283" s="537">
        <v>0.51</v>
      </c>
      <c r="CQ283" s="537">
        <v>0.51</v>
      </c>
      <c r="CR283" s="537">
        <v>0.51</v>
      </c>
      <c r="CS283" s="537">
        <v>0.51</v>
      </c>
      <c r="CT283" s="537">
        <v>0.51</v>
      </c>
      <c r="CU283" s="537">
        <v>0.51</v>
      </c>
      <c r="CV283" s="537">
        <v>0.51</v>
      </c>
      <c r="CW283" s="537">
        <v>0.51</v>
      </c>
      <c r="CX283" s="537">
        <v>0.51</v>
      </c>
      <c r="CY283" s="537">
        <v>0.51</v>
      </c>
      <c r="CZ283" s="537">
        <v>0.51</v>
      </c>
      <c r="DA283" s="537">
        <v>0.51</v>
      </c>
      <c r="DB283" s="537">
        <v>0.51</v>
      </c>
      <c r="DC283" s="537">
        <v>0.51</v>
      </c>
      <c r="DD283" s="537">
        <v>0.51</v>
      </c>
      <c r="DE283" s="537">
        <v>0.51</v>
      </c>
      <c r="DF283" s="537">
        <v>0.51</v>
      </c>
      <c r="DG283" s="537">
        <v>0.51</v>
      </c>
      <c r="DH283" s="537">
        <v>0.51</v>
      </c>
    </row>
    <row r="284" spans="2:112">
      <c r="B284" t="s">
        <v>1152</v>
      </c>
      <c r="C284" t="s">
        <v>1146</v>
      </c>
      <c r="D284" t="s">
        <v>890</v>
      </c>
      <c r="E284" t="s">
        <v>178</v>
      </c>
      <c r="F284" s="537">
        <v>0.51</v>
      </c>
      <c r="G284" s="537">
        <v>0.51</v>
      </c>
      <c r="H284" s="537">
        <v>0.51</v>
      </c>
      <c r="I284" s="537">
        <v>0.51</v>
      </c>
      <c r="J284" s="537">
        <v>0.51</v>
      </c>
      <c r="K284" s="537">
        <v>0.51</v>
      </c>
      <c r="L284" s="537">
        <v>0.51</v>
      </c>
      <c r="M284" s="537">
        <v>0.51</v>
      </c>
      <c r="N284" s="537">
        <v>0.51</v>
      </c>
      <c r="O284" s="537">
        <v>0.51</v>
      </c>
      <c r="P284" s="537">
        <v>0.51</v>
      </c>
      <c r="Q284" s="537">
        <v>0.51</v>
      </c>
      <c r="R284" s="537">
        <v>0.51</v>
      </c>
      <c r="S284" s="537">
        <v>0.51</v>
      </c>
      <c r="T284" s="537">
        <v>0.51</v>
      </c>
      <c r="U284" s="537">
        <v>0.51</v>
      </c>
      <c r="V284" s="537">
        <v>0.51</v>
      </c>
      <c r="W284" s="537">
        <v>0.51</v>
      </c>
      <c r="X284" s="537">
        <v>0.51</v>
      </c>
      <c r="Y284" s="537">
        <v>0.51</v>
      </c>
      <c r="Z284" s="537">
        <v>0.51</v>
      </c>
      <c r="AA284" s="537">
        <v>0.51</v>
      </c>
      <c r="AB284" s="537">
        <v>0.51</v>
      </c>
      <c r="AC284" s="537">
        <v>0.51</v>
      </c>
      <c r="AD284" s="537">
        <v>0.51</v>
      </c>
      <c r="AE284" s="537">
        <v>0.51</v>
      </c>
      <c r="AF284" s="537">
        <v>0.51</v>
      </c>
      <c r="AG284" s="537">
        <v>0.51</v>
      </c>
      <c r="AH284" s="526">
        <f t="shared" si="210"/>
        <v>0.51</v>
      </c>
      <c r="AI284" s="526">
        <f t="shared" si="210"/>
        <v>0.51</v>
      </c>
      <c r="AJ284" s="526">
        <f t="shared" si="210"/>
        <v>0.51</v>
      </c>
      <c r="AK284" s="526">
        <f t="shared" si="210"/>
        <v>0.51</v>
      </c>
      <c r="AL284" s="526">
        <f t="shared" si="210"/>
        <v>0.51</v>
      </c>
      <c r="AM284" s="526">
        <f t="shared" si="210"/>
        <v>0.51</v>
      </c>
      <c r="AN284" s="526">
        <f t="shared" si="210"/>
        <v>0.51</v>
      </c>
      <c r="AO284" s="526">
        <f t="shared" si="210"/>
        <v>0.51</v>
      </c>
      <c r="AP284" s="526">
        <f t="shared" si="210"/>
        <v>0.51</v>
      </c>
      <c r="AQ284" s="526">
        <f t="shared" si="210"/>
        <v>0.51</v>
      </c>
      <c r="AR284" s="526">
        <f t="shared" si="210"/>
        <v>0.51</v>
      </c>
      <c r="AS284" s="526">
        <f t="shared" si="210"/>
        <v>0.51</v>
      </c>
      <c r="AT284" s="526">
        <f t="shared" si="210"/>
        <v>0.51</v>
      </c>
      <c r="AU284" s="526">
        <f t="shared" si="210"/>
        <v>0.51</v>
      </c>
      <c r="AV284" s="526">
        <f t="shared" si="210"/>
        <v>0.51</v>
      </c>
      <c r="AW284" s="526">
        <f t="shared" si="210"/>
        <v>0.51</v>
      </c>
      <c r="AX284" s="526">
        <f t="shared" si="209"/>
        <v>0.51</v>
      </c>
      <c r="AY284" s="526">
        <f t="shared" si="209"/>
        <v>0.51</v>
      </c>
      <c r="AZ284" s="526">
        <f t="shared" si="209"/>
        <v>0.51</v>
      </c>
      <c r="BA284" s="526">
        <f t="shared" si="209"/>
        <v>0.51</v>
      </c>
      <c r="BB284" s="526">
        <f t="shared" si="209"/>
        <v>0.51</v>
      </c>
      <c r="BC284" s="526">
        <f t="shared" si="209"/>
        <v>0.51</v>
      </c>
      <c r="BD284" s="526">
        <f t="shared" si="209"/>
        <v>0.51</v>
      </c>
      <c r="BE284" s="526">
        <f t="shared" si="209"/>
        <v>0.51</v>
      </c>
      <c r="BF284" s="526">
        <f t="shared" si="209"/>
        <v>0.51</v>
      </c>
      <c r="BG284" s="526">
        <f t="shared" si="209"/>
        <v>0.51</v>
      </c>
      <c r="BH284" s="526">
        <f t="shared" si="209"/>
        <v>0.51</v>
      </c>
      <c r="BI284" s="526">
        <f t="shared" si="209"/>
        <v>0.51</v>
      </c>
      <c r="BJ284" s="526">
        <f t="shared" si="209"/>
        <v>0.51</v>
      </c>
      <c r="BK284" s="526">
        <f t="shared" si="209"/>
        <v>0.51</v>
      </c>
      <c r="BL284" s="526">
        <f t="shared" si="209"/>
        <v>0.51</v>
      </c>
      <c r="BM284" s="526">
        <f t="shared" si="209"/>
        <v>0.51</v>
      </c>
      <c r="BN284" s="526">
        <f t="shared" si="209"/>
        <v>0.51</v>
      </c>
      <c r="BO284" s="526">
        <f t="shared" si="209"/>
        <v>0.51</v>
      </c>
      <c r="BP284" s="526">
        <f t="shared" si="209"/>
        <v>0.51</v>
      </c>
      <c r="BQ284" s="526">
        <f t="shared" si="209"/>
        <v>0.51</v>
      </c>
      <c r="BR284" s="526">
        <f t="shared" si="209"/>
        <v>0.51</v>
      </c>
      <c r="BS284" s="526">
        <f t="shared" si="209"/>
        <v>0.51</v>
      </c>
      <c r="BT284" s="526">
        <f t="shared" si="209"/>
        <v>0.51</v>
      </c>
      <c r="BU284" s="526">
        <f t="shared" si="209"/>
        <v>0.51</v>
      </c>
      <c r="BV284" s="526">
        <f t="shared" si="209"/>
        <v>0.51</v>
      </c>
      <c r="BW284" s="526">
        <f t="shared" si="209"/>
        <v>0.51</v>
      </c>
      <c r="BX284" s="526">
        <f t="shared" si="209"/>
        <v>0.51</v>
      </c>
      <c r="BY284" s="526">
        <f t="shared" si="209"/>
        <v>0.51</v>
      </c>
      <c r="BZ284" s="526">
        <f t="shared" si="209"/>
        <v>0.51</v>
      </c>
      <c r="CA284" s="526">
        <f t="shared" si="209"/>
        <v>0.51</v>
      </c>
      <c r="CB284" s="526">
        <f t="shared" si="209"/>
        <v>0.51</v>
      </c>
      <c r="CC284" s="526">
        <f t="shared" si="209"/>
        <v>0.51</v>
      </c>
      <c r="CD284" s="526">
        <f t="shared" si="209"/>
        <v>0.51</v>
      </c>
      <c r="CE284" s="526">
        <f t="shared" si="209"/>
        <v>0.51</v>
      </c>
      <c r="CG284" s="537">
        <v>0.51</v>
      </c>
      <c r="CH284" s="537">
        <v>0.51</v>
      </c>
      <c r="CI284" s="537">
        <v>0.51</v>
      </c>
      <c r="CJ284" s="537">
        <v>0.51</v>
      </c>
      <c r="CK284" s="537">
        <v>0.51</v>
      </c>
      <c r="CL284" s="537">
        <v>0.51</v>
      </c>
      <c r="CM284" s="537">
        <v>0.51</v>
      </c>
      <c r="CN284" s="537">
        <v>0.51</v>
      </c>
      <c r="CO284" s="537">
        <v>0.51</v>
      </c>
      <c r="CP284" s="537">
        <v>0.51</v>
      </c>
      <c r="CQ284" s="537">
        <v>0.51</v>
      </c>
      <c r="CR284" s="537">
        <v>0.51</v>
      </c>
      <c r="CS284" s="537">
        <v>0.51</v>
      </c>
      <c r="CT284" s="537">
        <v>0.51</v>
      </c>
      <c r="CU284" s="537">
        <v>0.51</v>
      </c>
      <c r="CV284" s="537">
        <v>0.51</v>
      </c>
      <c r="CW284" s="537">
        <v>0.51</v>
      </c>
      <c r="CX284" s="537">
        <v>0.51</v>
      </c>
      <c r="CY284" s="537">
        <v>0.51</v>
      </c>
      <c r="CZ284" s="537">
        <v>0.51</v>
      </c>
      <c r="DA284" s="537">
        <v>0.51</v>
      </c>
      <c r="DB284" s="537">
        <v>0.51</v>
      </c>
      <c r="DC284" s="537">
        <v>0.51</v>
      </c>
      <c r="DD284" s="537">
        <v>0.51</v>
      </c>
      <c r="DE284" s="537">
        <v>0.51</v>
      </c>
      <c r="DF284" s="537">
        <v>0.51</v>
      </c>
      <c r="DG284" s="537">
        <v>0.51</v>
      </c>
      <c r="DH284" s="537">
        <v>0.51</v>
      </c>
    </row>
    <row r="285" spans="2:112">
      <c r="B285" t="s">
        <v>1153</v>
      </c>
      <c r="C285" t="s">
        <v>1146</v>
      </c>
      <c r="D285" t="s">
        <v>892</v>
      </c>
      <c r="E285" t="s">
        <v>178</v>
      </c>
      <c r="F285" s="537">
        <v>0.51</v>
      </c>
      <c r="G285" s="537">
        <v>0.51</v>
      </c>
      <c r="H285" s="537">
        <v>0.51</v>
      </c>
      <c r="I285" s="537">
        <v>0.51</v>
      </c>
      <c r="J285" s="537">
        <v>0.51</v>
      </c>
      <c r="K285" s="537">
        <v>0.51</v>
      </c>
      <c r="L285" s="537">
        <v>0.51</v>
      </c>
      <c r="M285" s="537">
        <v>0.51</v>
      </c>
      <c r="N285" s="537">
        <v>0.51</v>
      </c>
      <c r="O285" s="537">
        <v>0.51</v>
      </c>
      <c r="P285" s="537">
        <v>0.51</v>
      </c>
      <c r="Q285" s="537">
        <v>0.51</v>
      </c>
      <c r="R285" s="537">
        <v>0.51</v>
      </c>
      <c r="S285" s="537">
        <v>0.51</v>
      </c>
      <c r="T285" s="537">
        <v>0.51</v>
      </c>
      <c r="U285" s="537">
        <v>0.51</v>
      </c>
      <c r="V285" s="537">
        <v>0.51</v>
      </c>
      <c r="W285" s="537">
        <v>0.51</v>
      </c>
      <c r="X285" s="537">
        <v>0.51</v>
      </c>
      <c r="Y285" s="537">
        <v>0.51</v>
      </c>
      <c r="Z285" s="537">
        <v>0.51</v>
      </c>
      <c r="AA285" s="537">
        <v>0.51</v>
      </c>
      <c r="AB285" s="537">
        <v>0.51</v>
      </c>
      <c r="AC285" s="537">
        <v>0.51</v>
      </c>
      <c r="AD285" s="537">
        <v>0.51</v>
      </c>
      <c r="AE285" s="537">
        <v>0.51</v>
      </c>
      <c r="AF285" s="537">
        <v>0.51</v>
      </c>
      <c r="AG285" s="537">
        <v>0.51</v>
      </c>
      <c r="AH285" s="526">
        <f t="shared" si="210"/>
        <v>0.51</v>
      </c>
      <c r="AI285" s="526">
        <f t="shared" si="210"/>
        <v>0.51</v>
      </c>
      <c r="AJ285" s="526">
        <f t="shared" si="210"/>
        <v>0.51</v>
      </c>
      <c r="AK285" s="526">
        <f t="shared" si="210"/>
        <v>0.51</v>
      </c>
      <c r="AL285" s="526">
        <f t="shared" si="210"/>
        <v>0.51</v>
      </c>
      <c r="AM285" s="526">
        <f t="shared" si="210"/>
        <v>0.51</v>
      </c>
      <c r="AN285" s="526">
        <f t="shared" si="210"/>
        <v>0.51</v>
      </c>
      <c r="AO285" s="526">
        <f t="shared" si="210"/>
        <v>0.51</v>
      </c>
      <c r="AP285" s="526">
        <f t="shared" si="210"/>
        <v>0.51</v>
      </c>
      <c r="AQ285" s="526">
        <f t="shared" si="210"/>
        <v>0.51</v>
      </c>
      <c r="AR285" s="526">
        <f t="shared" si="210"/>
        <v>0.51</v>
      </c>
      <c r="AS285" s="526">
        <f t="shared" si="210"/>
        <v>0.51</v>
      </c>
      <c r="AT285" s="526">
        <f t="shared" si="210"/>
        <v>0.51</v>
      </c>
      <c r="AU285" s="526">
        <f t="shared" si="210"/>
        <v>0.51</v>
      </c>
      <c r="AV285" s="526">
        <f t="shared" si="210"/>
        <v>0.51</v>
      </c>
      <c r="AW285" s="526">
        <f t="shared" si="210"/>
        <v>0.51</v>
      </c>
      <c r="AX285" s="526">
        <f t="shared" si="209"/>
        <v>0.51</v>
      </c>
      <c r="AY285" s="526">
        <f t="shared" si="209"/>
        <v>0.51</v>
      </c>
      <c r="AZ285" s="526">
        <f t="shared" si="209"/>
        <v>0.51</v>
      </c>
      <c r="BA285" s="526">
        <f t="shared" si="209"/>
        <v>0.51</v>
      </c>
      <c r="BB285" s="526">
        <f t="shared" si="209"/>
        <v>0.51</v>
      </c>
      <c r="BC285" s="526">
        <f t="shared" si="209"/>
        <v>0.51</v>
      </c>
      <c r="BD285" s="526">
        <f t="shared" si="209"/>
        <v>0.51</v>
      </c>
      <c r="BE285" s="526">
        <f t="shared" si="209"/>
        <v>0.51</v>
      </c>
      <c r="BF285" s="526">
        <f t="shared" si="209"/>
        <v>0.51</v>
      </c>
      <c r="BG285" s="526">
        <f t="shared" si="209"/>
        <v>0.51</v>
      </c>
      <c r="BH285" s="526">
        <f t="shared" si="209"/>
        <v>0.51</v>
      </c>
      <c r="BI285" s="526">
        <f t="shared" si="209"/>
        <v>0.51</v>
      </c>
      <c r="BJ285" s="526">
        <f t="shared" si="209"/>
        <v>0.51</v>
      </c>
      <c r="BK285" s="526">
        <f t="shared" si="209"/>
        <v>0.51</v>
      </c>
      <c r="BL285" s="526">
        <f t="shared" si="209"/>
        <v>0.51</v>
      </c>
      <c r="BM285" s="526">
        <f t="shared" si="209"/>
        <v>0.51</v>
      </c>
      <c r="BN285" s="526">
        <f t="shared" si="209"/>
        <v>0.51</v>
      </c>
      <c r="BO285" s="526">
        <f t="shared" si="209"/>
        <v>0.51</v>
      </c>
      <c r="BP285" s="526">
        <f t="shared" si="209"/>
        <v>0.51</v>
      </c>
      <c r="BQ285" s="526">
        <f t="shared" si="209"/>
        <v>0.51</v>
      </c>
      <c r="BR285" s="526">
        <f t="shared" si="209"/>
        <v>0.51</v>
      </c>
      <c r="BS285" s="526">
        <f t="shared" si="209"/>
        <v>0.51</v>
      </c>
      <c r="BT285" s="526">
        <f t="shared" si="209"/>
        <v>0.51</v>
      </c>
      <c r="BU285" s="526">
        <f t="shared" si="209"/>
        <v>0.51</v>
      </c>
      <c r="BV285" s="526">
        <f t="shared" si="209"/>
        <v>0.51</v>
      </c>
      <c r="BW285" s="526">
        <f t="shared" si="209"/>
        <v>0.51</v>
      </c>
      <c r="BX285" s="526">
        <f t="shared" si="209"/>
        <v>0.51</v>
      </c>
      <c r="BY285" s="526">
        <f t="shared" si="209"/>
        <v>0.51</v>
      </c>
      <c r="BZ285" s="526">
        <f t="shared" si="209"/>
        <v>0.51</v>
      </c>
      <c r="CA285" s="526">
        <f t="shared" si="209"/>
        <v>0.51</v>
      </c>
      <c r="CB285" s="526">
        <f t="shared" si="209"/>
        <v>0.51</v>
      </c>
      <c r="CC285" s="526">
        <f t="shared" si="209"/>
        <v>0.51</v>
      </c>
      <c r="CD285" s="526">
        <f t="shared" si="209"/>
        <v>0.51</v>
      </c>
      <c r="CE285" s="526">
        <f t="shared" si="209"/>
        <v>0.51</v>
      </c>
      <c r="CG285" s="537">
        <v>0.51</v>
      </c>
      <c r="CH285" s="537">
        <v>0.51</v>
      </c>
      <c r="CI285" s="537">
        <v>0.51</v>
      </c>
      <c r="CJ285" s="537">
        <v>0.51</v>
      </c>
      <c r="CK285" s="537">
        <v>0.51</v>
      </c>
      <c r="CL285" s="537">
        <v>0.51</v>
      </c>
      <c r="CM285" s="537">
        <v>0.51</v>
      </c>
      <c r="CN285" s="537">
        <v>0.51</v>
      </c>
      <c r="CO285" s="537">
        <v>0.51</v>
      </c>
      <c r="CP285" s="537">
        <v>0.51</v>
      </c>
      <c r="CQ285" s="537">
        <v>0.51</v>
      </c>
      <c r="CR285" s="537">
        <v>0.51</v>
      </c>
      <c r="CS285" s="537">
        <v>0.51</v>
      </c>
      <c r="CT285" s="537">
        <v>0.51</v>
      </c>
      <c r="CU285" s="537">
        <v>0.51</v>
      </c>
      <c r="CV285" s="537">
        <v>0.51</v>
      </c>
      <c r="CW285" s="537">
        <v>0.51</v>
      </c>
      <c r="CX285" s="537">
        <v>0.51</v>
      </c>
      <c r="CY285" s="537">
        <v>0.51</v>
      </c>
      <c r="CZ285" s="537">
        <v>0.51</v>
      </c>
      <c r="DA285" s="537">
        <v>0.51</v>
      </c>
      <c r="DB285" s="537">
        <v>0.51</v>
      </c>
      <c r="DC285" s="537">
        <v>0.51</v>
      </c>
      <c r="DD285" s="537">
        <v>0.51</v>
      </c>
      <c r="DE285" s="537">
        <v>0.51</v>
      </c>
      <c r="DF285" s="537">
        <v>0.51</v>
      </c>
      <c r="DG285" s="537">
        <v>0.51</v>
      </c>
      <c r="DH285" s="537">
        <v>0.51</v>
      </c>
    </row>
    <row r="286" spans="2:112">
      <c r="B286" t="s">
        <v>1154</v>
      </c>
      <c r="C286" t="s">
        <v>1146</v>
      </c>
      <c r="D286" t="s">
        <v>894</v>
      </c>
      <c r="E286" t="s">
        <v>895</v>
      </c>
      <c r="F286" s="537">
        <v>0</v>
      </c>
      <c r="G286" s="537">
        <v>0</v>
      </c>
      <c r="H286" s="537">
        <v>0</v>
      </c>
      <c r="I286" s="537">
        <v>0</v>
      </c>
      <c r="J286" s="537">
        <v>0</v>
      </c>
      <c r="K286" s="537">
        <v>0</v>
      </c>
      <c r="L286" s="537">
        <v>0</v>
      </c>
      <c r="M286" s="537">
        <v>0</v>
      </c>
      <c r="N286" s="537">
        <v>0</v>
      </c>
      <c r="O286" s="537">
        <v>0</v>
      </c>
      <c r="P286" s="537">
        <v>0</v>
      </c>
      <c r="Q286" s="537">
        <v>0</v>
      </c>
      <c r="R286" s="537">
        <v>0</v>
      </c>
      <c r="S286" s="537">
        <v>0</v>
      </c>
      <c r="T286" s="537">
        <v>0</v>
      </c>
      <c r="U286" s="537">
        <v>0</v>
      </c>
      <c r="V286" s="537">
        <v>0</v>
      </c>
      <c r="W286" s="537">
        <v>0</v>
      </c>
      <c r="X286" s="537">
        <v>0</v>
      </c>
      <c r="Y286" s="537">
        <v>0</v>
      </c>
      <c r="Z286" s="537">
        <v>0</v>
      </c>
      <c r="AA286" s="537">
        <v>0</v>
      </c>
      <c r="AB286" s="537">
        <v>0</v>
      </c>
      <c r="AC286" s="537">
        <v>0</v>
      </c>
      <c r="AD286" s="537">
        <v>0</v>
      </c>
      <c r="AE286" s="537">
        <v>0</v>
      </c>
      <c r="AF286" s="537">
        <v>0</v>
      </c>
      <c r="AG286" s="537">
        <v>0</v>
      </c>
      <c r="AH286" s="538">
        <f t="shared" si="210"/>
        <v>0</v>
      </c>
      <c r="AI286" s="538">
        <f t="shared" si="210"/>
        <v>0</v>
      </c>
      <c r="AJ286" s="538">
        <f t="shared" si="210"/>
        <v>0</v>
      </c>
      <c r="AK286" s="538">
        <f t="shared" si="210"/>
        <v>0</v>
      </c>
      <c r="AL286" s="538">
        <f t="shared" si="210"/>
        <v>0</v>
      </c>
      <c r="AM286" s="538">
        <f t="shared" si="210"/>
        <v>0</v>
      </c>
      <c r="AN286" s="538">
        <f t="shared" si="210"/>
        <v>0</v>
      </c>
      <c r="AO286" s="538">
        <f t="shared" si="210"/>
        <v>0</v>
      </c>
      <c r="AP286" s="538">
        <f t="shared" si="210"/>
        <v>0</v>
      </c>
      <c r="AQ286" s="538">
        <f t="shared" si="210"/>
        <v>0</v>
      </c>
      <c r="AR286" s="538">
        <f t="shared" si="210"/>
        <v>0</v>
      </c>
      <c r="AS286" s="538">
        <f t="shared" si="210"/>
        <v>0</v>
      </c>
      <c r="AT286" s="538">
        <f t="shared" si="210"/>
        <v>0</v>
      </c>
      <c r="AU286" s="538">
        <f t="shared" si="210"/>
        <v>0</v>
      </c>
      <c r="AV286" s="538">
        <f t="shared" si="210"/>
        <v>0</v>
      </c>
      <c r="AW286" s="538">
        <f t="shared" si="210"/>
        <v>0</v>
      </c>
      <c r="AX286" s="538">
        <f t="shared" si="209"/>
        <v>0</v>
      </c>
      <c r="AY286" s="538">
        <f t="shared" si="209"/>
        <v>0</v>
      </c>
      <c r="AZ286" s="538">
        <f t="shared" si="209"/>
        <v>0</v>
      </c>
      <c r="BA286" s="538">
        <f t="shared" si="209"/>
        <v>0</v>
      </c>
      <c r="BB286" s="538">
        <f t="shared" si="209"/>
        <v>0</v>
      </c>
      <c r="BC286" s="538">
        <f t="shared" si="209"/>
        <v>0</v>
      </c>
      <c r="BD286" s="538">
        <f t="shared" si="209"/>
        <v>0</v>
      </c>
      <c r="BE286" s="538">
        <f t="shared" si="209"/>
        <v>0</v>
      </c>
      <c r="BF286" s="538">
        <f t="shared" si="209"/>
        <v>0</v>
      </c>
      <c r="BG286" s="538">
        <f t="shared" si="209"/>
        <v>0</v>
      </c>
      <c r="BH286" s="538">
        <f t="shared" si="209"/>
        <v>0</v>
      </c>
      <c r="BI286" s="538">
        <f t="shared" si="209"/>
        <v>0</v>
      </c>
      <c r="BJ286" s="538">
        <f t="shared" si="209"/>
        <v>0</v>
      </c>
      <c r="BK286" s="538">
        <f t="shared" si="209"/>
        <v>0</v>
      </c>
      <c r="BL286" s="538">
        <f t="shared" si="209"/>
        <v>0</v>
      </c>
      <c r="BM286" s="538">
        <f t="shared" si="209"/>
        <v>0</v>
      </c>
      <c r="BN286" s="538">
        <f t="shared" si="209"/>
        <v>0</v>
      </c>
      <c r="BO286" s="538">
        <f t="shared" si="209"/>
        <v>0</v>
      </c>
      <c r="BP286" s="538">
        <f t="shared" si="209"/>
        <v>0</v>
      </c>
      <c r="BQ286" s="538">
        <f t="shared" si="209"/>
        <v>0</v>
      </c>
      <c r="BR286" s="538">
        <f t="shared" si="209"/>
        <v>0</v>
      </c>
      <c r="BS286" s="538">
        <f t="shared" si="209"/>
        <v>0</v>
      </c>
      <c r="BT286" s="538">
        <f t="shared" si="209"/>
        <v>0</v>
      </c>
      <c r="BU286" s="538">
        <f t="shared" si="209"/>
        <v>0</v>
      </c>
      <c r="BV286" s="538">
        <f t="shared" si="209"/>
        <v>0</v>
      </c>
      <c r="BW286" s="538">
        <f t="shared" si="209"/>
        <v>0</v>
      </c>
      <c r="BX286" s="538">
        <f t="shared" si="209"/>
        <v>0</v>
      </c>
      <c r="BY286" s="538">
        <f t="shared" si="209"/>
        <v>0</v>
      </c>
      <c r="BZ286" s="538">
        <f t="shared" si="209"/>
        <v>0</v>
      </c>
      <c r="CA286" s="538">
        <f t="shared" si="209"/>
        <v>0</v>
      </c>
      <c r="CB286" s="538">
        <f t="shared" si="209"/>
        <v>0</v>
      </c>
      <c r="CC286" s="538">
        <f t="shared" si="209"/>
        <v>0</v>
      </c>
      <c r="CD286" s="538">
        <f t="shared" si="209"/>
        <v>0</v>
      </c>
      <c r="CE286" s="538">
        <f t="shared" si="209"/>
        <v>0</v>
      </c>
      <c r="CG286" s="537">
        <v>0</v>
      </c>
      <c r="CH286" s="537">
        <v>0</v>
      </c>
      <c r="CI286" s="537">
        <v>0</v>
      </c>
      <c r="CJ286" s="537">
        <v>0</v>
      </c>
      <c r="CK286" s="537">
        <v>0</v>
      </c>
      <c r="CL286" s="537">
        <v>0</v>
      </c>
      <c r="CM286" s="537">
        <v>0</v>
      </c>
      <c r="CN286" s="537">
        <v>0</v>
      </c>
      <c r="CO286" s="537">
        <v>0</v>
      </c>
      <c r="CP286" s="537">
        <v>0</v>
      </c>
      <c r="CQ286" s="537">
        <v>0</v>
      </c>
      <c r="CR286" s="537">
        <v>0</v>
      </c>
      <c r="CS286" s="537">
        <v>0</v>
      </c>
      <c r="CT286" s="537">
        <v>0</v>
      </c>
      <c r="CU286" s="537">
        <v>0</v>
      </c>
      <c r="CV286" s="537">
        <v>0</v>
      </c>
      <c r="CW286" s="537">
        <v>0</v>
      </c>
      <c r="CX286" s="537">
        <v>0</v>
      </c>
      <c r="CY286" s="537">
        <v>0</v>
      </c>
      <c r="CZ286" s="537">
        <v>0</v>
      </c>
      <c r="DA286" s="537">
        <v>0</v>
      </c>
      <c r="DB286" s="537">
        <v>0</v>
      </c>
      <c r="DC286" s="537">
        <v>0</v>
      </c>
      <c r="DD286" s="537">
        <v>0</v>
      </c>
      <c r="DE286" s="537">
        <v>0</v>
      </c>
      <c r="DF286" s="537">
        <v>0</v>
      </c>
      <c r="DG286" s="537">
        <v>0</v>
      </c>
      <c r="DH286" s="537">
        <v>0</v>
      </c>
    </row>
    <row r="287" spans="2:112">
      <c r="B287" t="s">
        <v>1155</v>
      </c>
      <c r="C287" t="s">
        <v>1146</v>
      </c>
      <c r="D287" t="s">
        <v>897</v>
      </c>
      <c r="E287" t="s">
        <v>895</v>
      </c>
      <c r="F287" s="537">
        <v>0.01</v>
      </c>
      <c r="G287" s="537">
        <v>0.01</v>
      </c>
      <c r="H287" s="537">
        <v>0.01</v>
      </c>
      <c r="I287" s="537">
        <v>0.01</v>
      </c>
      <c r="J287" s="537">
        <v>0.01</v>
      </c>
      <c r="K287" s="537">
        <v>0.01</v>
      </c>
      <c r="L287" s="537">
        <v>0.01</v>
      </c>
      <c r="M287" s="537">
        <v>0.01</v>
      </c>
      <c r="N287" s="537">
        <v>0.01</v>
      </c>
      <c r="O287" s="537">
        <v>0.01</v>
      </c>
      <c r="P287" s="537">
        <v>0.01</v>
      </c>
      <c r="Q287" s="537">
        <v>0.01</v>
      </c>
      <c r="R287" s="537">
        <v>0.01</v>
      </c>
      <c r="S287" s="537">
        <v>0.01</v>
      </c>
      <c r="T287" s="537">
        <v>0.01</v>
      </c>
      <c r="U287" s="537">
        <v>0.01</v>
      </c>
      <c r="V287" s="537">
        <v>0.01</v>
      </c>
      <c r="W287" s="537">
        <v>0.01</v>
      </c>
      <c r="X287" s="537">
        <v>0.01</v>
      </c>
      <c r="Y287" s="537">
        <v>0.01</v>
      </c>
      <c r="Z287" s="537">
        <v>0.01</v>
      </c>
      <c r="AA287" s="537">
        <v>0.01</v>
      </c>
      <c r="AB287" s="537">
        <v>0.01</v>
      </c>
      <c r="AC287" s="537">
        <v>0.01</v>
      </c>
      <c r="AD287" s="537">
        <v>0.01</v>
      </c>
      <c r="AE287" s="537">
        <v>0.01</v>
      </c>
      <c r="AF287" s="537">
        <v>0.01</v>
      </c>
      <c r="AG287" s="537">
        <v>0.01</v>
      </c>
      <c r="AH287" s="538">
        <f t="shared" si="210"/>
        <v>0.01</v>
      </c>
      <c r="AI287" s="538">
        <f t="shared" si="210"/>
        <v>0.01</v>
      </c>
      <c r="AJ287" s="538">
        <f t="shared" si="210"/>
        <v>0.01</v>
      </c>
      <c r="AK287" s="538">
        <f t="shared" si="210"/>
        <v>0.01</v>
      </c>
      <c r="AL287" s="538">
        <f t="shared" si="210"/>
        <v>0.01</v>
      </c>
      <c r="AM287" s="538">
        <f t="shared" si="210"/>
        <v>0.01</v>
      </c>
      <c r="AN287" s="538">
        <f t="shared" si="210"/>
        <v>0.01</v>
      </c>
      <c r="AO287" s="538">
        <f t="shared" si="210"/>
        <v>0.01</v>
      </c>
      <c r="AP287" s="538">
        <f t="shared" si="210"/>
        <v>0.01</v>
      </c>
      <c r="AQ287" s="538">
        <f t="shared" si="210"/>
        <v>0.01</v>
      </c>
      <c r="AR287" s="538">
        <f t="shared" si="210"/>
        <v>0.01</v>
      </c>
      <c r="AS287" s="538">
        <f t="shared" si="210"/>
        <v>0.01</v>
      </c>
      <c r="AT287" s="538">
        <f t="shared" si="210"/>
        <v>0.01</v>
      </c>
      <c r="AU287" s="538">
        <f t="shared" si="210"/>
        <v>0.01</v>
      </c>
      <c r="AV287" s="538">
        <f t="shared" si="210"/>
        <v>0.01</v>
      </c>
      <c r="AW287" s="538">
        <f t="shared" si="210"/>
        <v>0.01</v>
      </c>
      <c r="AX287" s="538">
        <f t="shared" si="209"/>
        <v>0.01</v>
      </c>
      <c r="AY287" s="538">
        <f t="shared" si="209"/>
        <v>0.01</v>
      </c>
      <c r="AZ287" s="538">
        <f t="shared" si="209"/>
        <v>0.01</v>
      </c>
      <c r="BA287" s="538">
        <f t="shared" si="209"/>
        <v>0.01</v>
      </c>
      <c r="BB287" s="538">
        <f t="shared" si="209"/>
        <v>0.01</v>
      </c>
      <c r="BC287" s="538">
        <f t="shared" si="209"/>
        <v>0.01</v>
      </c>
      <c r="BD287" s="538">
        <f t="shared" si="209"/>
        <v>0.01</v>
      </c>
      <c r="BE287" s="538">
        <f t="shared" si="209"/>
        <v>0.01</v>
      </c>
      <c r="BF287" s="538">
        <f t="shared" si="209"/>
        <v>0.01</v>
      </c>
      <c r="BG287" s="538">
        <f t="shared" si="209"/>
        <v>0.01</v>
      </c>
      <c r="BH287" s="538">
        <f t="shared" si="209"/>
        <v>0.01</v>
      </c>
      <c r="BI287" s="538">
        <f t="shared" si="209"/>
        <v>0.01</v>
      </c>
      <c r="BJ287" s="538">
        <f t="shared" si="209"/>
        <v>0.01</v>
      </c>
      <c r="BK287" s="538">
        <f t="shared" si="209"/>
        <v>0.01</v>
      </c>
      <c r="BL287" s="538">
        <f t="shared" si="209"/>
        <v>0.01</v>
      </c>
      <c r="BM287" s="538">
        <f t="shared" si="209"/>
        <v>0.01</v>
      </c>
      <c r="BN287" s="538">
        <f t="shared" ref="BN287:CC289" si="211">BM287</f>
        <v>0.01</v>
      </c>
      <c r="BO287" s="538">
        <f t="shared" si="211"/>
        <v>0.01</v>
      </c>
      <c r="BP287" s="538">
        <f t="shared" si="211"/>
        <v>0.01</v>
      </c>
      <c r="BQ287" s="538">
        <f t="shared" si="211"/>
        <v>0.01</v>
      </c>
      <c r="BR287" s="538">
        <f t="shared" si="211"/>
        <v>0.01</v>
      </c>
      <c r="BS287" s="538">
        <f t="shared" si="211"/>
        <v>0.01</v>
      </c>
      <c r="BT287" s="538">
        <f t="shared" si="211"/>
        <v>0.01</v>
      </c>
      <c r="BU287" s="538">
        <f t="shared" si="211"/>
        <v>0.01</v>
      </c>
      <c r="BV287" s="538">
        <f t="shared" si="211"/>
        <v>0.01</v>
      </c>
      <c r="BW287" s="538">
        <f t="shared" si="211"/>
        <v>0.01</v>
      </c>
      <c r="BX287" s="538">
        <f t="shared" si="211"/>
        <v>0.01</v>
      </c>
      <c r="BY287" s="538">
        <f t="shared" si="211"/>
        <v>0.01</v>
      </c>
      <c r="BZ287" s="538">
        <f t="shared" si="211"/>
        <v>0.01</v>
      </c>
      <c r="CA287" s="538">
        <f t="shared" si="211"/>
        <v>0.01</v>
      </c>
      <c r="CB287" s="538">
        <f t="shared" si="211"/>
        <v>0.01</v>
      </c>
      <c r="CC287" s="538">
        <f t="shared" si="211"/>
        <v>0.01</v>
      </c>
      <c r="CD287" s="538">
        <f t="shared" ref="CD287:CE289" si="212">CC287</f>
        <v>0.01</v>
      </c>
      <c r="CE287" s="538">
        <f t="shared" si="212"/>
        <v>0.01</v>
      </c>
      <c r="CG287" s="537">
        <v>0.01</v>
      </c>
      <c r="CH287" s="537">
        <v>0.01</v>
      </c>
      <c r="CI287" s="537">
        <v>0.01</v>
      </c>
      <c r="CJ287" s="537">
        <v>0.01</v>
      </c>
      <c r="CK287" s="537">
        <v>0.01</v>
      </c>
      <c r="CL287" s="537">
        <v>0.01</v>
      </c>
      <c r="CM287" s="537">
        <v>0.01</v>
      </c>
      <c r="CN287" s="537">
        <v>0.01</v>
      </c>
      <c r="CO287" s="537">
        <v>0.01</v>
      </c>
      <c r="CP287" s="537">
        <v>0.01</v>
      </c>
      <c r="CQ287" s="537">
        <v>0.01</v>
      </c>
      <c r="CR287" s="537">
        <v>0.01</v>
      </c>
      <c r="CS287" s="537">
        <v>0.01</v>
      </c>
      <c r="CT287" s="537">
        <v>0.01</v>
      </c>
      <c r="CU287" s="537">
        <v>0.01</v>
      </c>
      <c r="CV287" s="537">
        <v>0.01</v>
      </c>
      <c r="CW287" s="537">
        <v>0.01</v>
      </c>
      <c r="CX287" s="537">
        <v>0.01</v>
      </c>
      <c r="CY287" s="537">
        <v>0.01</v>
      </c>
      <c r="CZ287" s="537">
        <v>0.01</v>
      </c>
      <c r="DA287" s="537">
        <v>0.01</v>
      </c>
      <c r="DB287" s="537">
        <v>0.01</v>
      </c>
      <c r="DC287" s="537">
        <v>0.01</v>
      </c>
      <c r="DD287" s="537">
        <v>0.01</v>
      </c>
      <c r="DE287" s="537">
        <v>0.01</v>
      </c>
      <c r="DF287" s="537">
        <v>0.01</v>
      </c>
      <c r="DG287" s="537">
        <v>0.01</v>
      </c>
      <c r="DH287" s="537">
        <v>0.01</v>
      </c>
    </row>
    <row r="288" spans="2:112">
      <c r="B288" t="s">
        <v>1156</v>
      </c>
      <c r="C288" t="s">
        <v>1146</v>
      </c>
      <c r="D288" t="s">
        <v>899</v>
      </c>
      <c r="E288" t="s">
        <v>895</v>
      </c>
      <c r="F288" s="537">
        <v>0.05</v>
      </c>
      <c r="G288" s="537">
        <v>0.05</v>
      </c>
      <c r="H288" s="537">
        <v>0.05</v>
      </c>
      <c r="I288" s="537">
        <v>0.05</v>
      </c>
      <c r="J288" s="537">
        <v>0.05</v>
      </c>
      <c r="K288" s="537">
        <v>0.05</v>
      </c>
      <c r="L288" s="537">
        <v>0.05</v>
      </c>
      <c r="M288" s="537">
        <v>0.05</v>
      </c>
      <c r="N288" s="537">
        <v>0.05</v>
      </c>
      <c r="O288" s="537">
        <v>0.05</v>
      </c>
      <c r="P288" s="537">
        <v>0.05</v>
      </c>
      <c r="Q288" s="537">
        <v>0.05</v>
      </c>
      <c r="R288" s="537">
        <v>0.05</v>
      </c>
      <c r="S288" s="537">
        <v>0.05</v>
      </c>
      <c r="T288" s="537">
        <v>0.05</v>
      </c>
      <c r="U288" s="537">
        <v>0.05</v>
      </c>
      <c r="V288" s="537">
        <v>0.05</v>
      </c>
      <c r="W288" s="537">
        <v>0.05</v>
      </c>
      <c r="X288" s="537">
        <v>0.05</v>
      </c>
      <c r="Y288" s="537">
        <v>0.05</v>
      </c>
      <c r="Z288" s="537">
        <v>0.05</v>
      </c>
      <c r="AA288" s="537">
        <v>0.05</v>
      </c>
      <c r="AB288" s="537">
        <v>0.05</v>
      </c>
      <c r="AC288" s="537">
        <v>0.05</v>
      </c>
      <c r="AD288" s="537">
        <v>0.05</v>
      </c>
      <c r="AE288" s="537">
        <v>0.05</v>
      </c>
      <c r="AF288" s="537">
        <v>0.05</v>
      </c>
      <c r="AG288" s="537">
        <v>0.05</v>
      </c>
      <c r="AH288" s="538">
        <f t="shared" si="210"/>
        <v>0.05</v>
      </c>
      <c r="AI288" s="538">
        <f t="shared" si="210"/>
        <v>0.05</v>
      </c>
      <c r="AJ288" s="538">
        <f t="shared" si="210"/>
        <v>0.05</v>
      </c>
      <c r="AK288" s="538">
        <f t="shared" si="210"/>
        <v>0.05</v>
      </c>
      <c r="AL288" s="538">
        <f t="shared" si="210"/>
        <v>0.05</v>
      </c>
      <c r="AM288" s="538">
        <f t="shared" si="210"/>
        <v>0.05</v>
      </c>
      <c r="AN288" s="538">
        <f t="shared" si="210"/>
        <v>0.05</v>
      </c>
      <c r="AO288" s="538">
        <f t="shared" si="210"/>
        <v>0.05</v>
      </c>
      <c r="AP288" s="538">
        <f t="shared" si="210"/>
        <v>0.05</v>
      </c>
      <c r="AQ288" s="538">
        <f t="shared" si="210"/>
        <v>0.05</v>
      </c>
      <c r="AR288" s="538">
        <f t="shared" si="210"/>
        <v>0.05</v>
      </c>
      <c r="AS288" s="538">
        <f t="shared" si="210"/>
        <v>0.05</v>
      </c>
      <c r="AT288" s="538">
        <f t="shared" si="210"/>
        <v>0.05</v>
      </c>
      <c r="AU288" s="538">
        <f t="shared" si="210"/>
        <v>0.05</v>
      </c>
      <c r="AV288" s="538">
        <f t="shared" si="210"/>
        <v>0.05</v>
      </c>
      <c r="AW288" s="538">
        <f t="shared" si="210"/>
        <v>0.05</v>
      </c>
      <c r="AX288" s="538">
        <f t="shared" ref="AX288:BM289" si="213">AW288</f>
        <v>0.05</v>
      </c>
      <c r="AY288" s="538">
        <f t="shared" si="213"/>
        <v>0.05</v>
      </c>
      <c r="AZ288" s="538">
        <f t="shared" si="213"/>
        <v>0.05</v>
      </c>
      <c r="BA288" s="538">
        <f t="shared" si="213"/>
        <v>0.05</v>
      </c>
      <c r="BB288" s="538">
        <f t="shared" si="213"/>
        <v>0.05</v>
      </c>
      <c r="BC288" s="538">
        <f t="shared" si="213"/>
        <v>0.05</v>
      </c>
      <c r="BD288" s="538">
        <f t="shared" si="213"/>
        <v>0.05</v>
      </c>
      <c r="BE288" s="538">
        <f t="shared" si="213"/>
        <v>0.05</v>
      </c>
      <c r="BF288" s="538">
        <f t="shared" si="213"/>
        <v>0.05</v>
      </c>
      <c r="BG288" s="538">
        <f t="shared" si="213"/>
        <v>0.05</v>
      </c>
      <c r="BH288" s="538">
        <f t="shared" si="213"/>
        <v>0.05</v>
      </c>
      <c r="BI288" s="538">
        <f t="shared" si="213"/>
        <v>0.05</v>
      </c>
      <c r="BJ288" s="538">
        <f t="shared" si="213"/>
        <v>0.05</v>
      </c>
      <c r="BK288" s="538">
        <f t="shared" si="213"/>
        <v>0.05</v>
      </c>
      <c r="BL288" s="538">
        <f t="shared" si="213"/>
        <v>0.05</v>
      </c>
      <c r="BM288" s="538">
        <f t="shared" si="213"/>
        <v>0.05</v>
      </c>
      <c r="BN288" s="538">
        <f t="shared" si="211"/>
        <v>0.05</v>
      </c>
      <c r="BO288" s="538">
        <f t="shared" si="211"/>
        <v>0.05</v>
      </c>
      <c r="BP288" s="538">
        <f t="shared" si="211"/>
        <v>0.05</v>
      </c>
      <c r="BQ288" s="538">
        <f t="shared" si="211"/>
        <v>0.05</v>
      </c>
      <c r="BR288" s="538">
        <f t="shared" si="211"/>
        <v>0.05</v>
      </c>
      <c r="BS288" s="538">
        <f t="shared" si="211"/>
        <v>0.05</v>
      </c>
      <c r="BT288" s="538">
        <f t="shared" si="211"/>
        <v>0.05</v>
      </c>
      <c r="BU288" s="538">
        <f t="shared" si="211"/>
        <v>0.05</v>
      </c>
      <c r="BV288" s="538">
        <f t="shared" si="211"/>
        <v>0.05</v>
      </c>
      <c r="BW288" s="538">
        <f t="shared" si="211"/>
        <v>0.05</v>
      </c>
      <c r="BX288" s="538">
        <f t="shared" si="211"/>
        <v>0.05</v>
      </c>
      <c r="BY288" s="538">
        <f t="shared" si="211"/>
        <v>0.05</v>
      </c>
      <c r="BZ288" s="538">
        <f t="shared" si="211"/>
        <v>0.05</v>
      </c>
      <c r="CA288" s="538">
        <f t="shared" si="211"/>
        <v>0.05</v>
      </c>
      <c r="CB288" s="538">
        <f t="shared" si="211"/>
        <v>0.05</v>
      </c>
      <c r="CC288" s="538">
        <f t="shared" si="211"/>
        <v>0.05</v>
      </c>
      <c r="CD288" s="538">
        <f t="shared" si="212"/>
        <v>0.05</v>
      </c>
      <c r="CE288" s="538">
        <f t="shared" si="212"/>
        <v>0.05</v>
      </c>
      <c r="CG288" s="537">
        <v>0.05</v>
      </c>
      <c r="CH288" s="537">
        <v>0.05</v>
      </c>
      <c r="CI288" s="537">
        <v>0.05</v>
      </c>
      <c r="CJ288" s="537">
        <v>0.05</v>
      </c>
      <c r="CK288" s="537">
        <v>0.05</v>
      </c>
      <c r="CL288" s="537">
        <v>0.05</v>
      </c>
      <c r="CM288" s="537">
        <v>0.05</v>
      </c>
      <c r="CN288" s="537">
        <v>0.05</v>
      </c>
      <c r="CO288" s="537">
        <v>0.05</v>
      </c>
      <c r="CP288" s="537">
        <v>0.05</v>
      </c>
      <c r="CQ288" s="537">
        <v>0.05</v>
      </c>
      <c r="CR288" s="537">
        <v>0.05</v>
      </c>
      <c r="CS288" s="537">
        <v>0.05</v>
      </c>
      <c r="CT288" s="537">
        <v>0.05</v>
      </c>
      <c r="CU288" s="537">
        <v>0.05</v>
      </c>
      <c r="CV288" s="537">
        <v>0.05</v>
      </c>
      <c r="CW288" s="537">
        <v>0.05</v>
      </c>
      <c r="CX288" s="537">
        <v>0.05</v>
      </c>
      <c r="CY288" s="537">
        <v>0.05</v>
      </c>
      <c r="CZ288" s="537">
        <v>0.05</v>
      </c>
      <c r="DA288" s="537">
        <v>0.05</v>
      </c>
      <c r="DB288" s="537">
        <v>0.05</v>
      </c>
      <c r="DC288" s="537">
        <v>0.05</v>
      </c>
      <c r="DD288" s="537">
        <v>0.05</v>
      </c>
      <c r="DE288" s="537">
        <v>0.05</v>
      </c>
      <c r="DF288" s="537">
        <v>0.05</v>
      </c>
      <c r="DG288" s="537">
        <v>0.05</v>
      </c>
      <c r="DH288" s="537">
        <v>0.05</v>
      </c>
    </row>
    <row r="289" spans="2:112">
      <c r="B289" t="s">
        <v>1157</v>
      </c>
      <c r="C289" t="s">
        <v>1146</v>
      </c>
      <c r="D289" t="s">
        <v>901</v>
      </c>
      <c r="E289" t="s">
        <v>895</v>
      </c>
      <c r="F289" s="537">
        <v>0.05</v>
      </c>
      <c r="G289" s="537">
        <v>0.05</v>
      </c>
      <c r="H289" s="537">
        <v>0.05</v>
      </c>
      <c r="I289" s="537">
        <v>0.05</v>
      </c>
      <c r="J289" s="537">
        <v>0.05</v>
      </c>
      <c r="K289" s="537">
        <v>0.05</v>
      </c>
      <c r="L289" s="537">
        <v>0.05</v>
      </c>
      <c r="M289" s="537">
        <v>0.05</v>
      </c>
      <c r="N289" s="537">
        <v>0.05</v>
      </c>
      <c r="O289" s="537">
        <v>0.05</v>
      </c>
      <c r="P289" s="537">
        <v>0.05</v>
      </c>
      <c r="Q289" s="537">
        <v>0.05</v>
      </c>
      <c r="R289" s="537">
        <v>0.05</v>
      </c>
      <c r="S289" s="537">
        <v>0.05</v>
      </c>
      <c r="T289" s="537">
        <v>0.05</v>
      </c>
      <c r="U289" s="537">
        <v>0.05</v>
      </c>
      <c r="V289" s="537">
        <v>0.05</v>
      </c>
      <c r="W289" s="537">
        <v>0.05</v>
      </c>
      <c r="X289" s="537">
        <v>0.05</v>
      </c>
      <c r="Y289" s="537">
        <v>0.05</v>
      </c>
      <c r="Z289" s="537">
        <v>0.05</v>
      </c>
      <c r="AA289" s="537">
        <v>0.05</v>
      </c>
      <c r="AB289" s="537">
        <v>0.05</v>
      </c>
      <c r="AC289" s="537">
        <v>0.05</v>
      </c>
      <c r="AD289" s="537">
        <v>0.05</v>
      </c>
      <c r="AE289" s="537">
        <v>0.05</v>
      </c>
      <c r="AF289" s="537">
        <v>0.05</v>
      </c>
      <c r="AG289" s="537">
        <v>0.05</v>
      </c>
      <c r="AH289" s="538">
        <f t="shared" si="210"/>
        <v>0.05</v>
      </c>
      <c r="AI289" s="538">
        <f t="shared" si="210"/>
        <v>0.05</v>
      </c>
      <c r="AJ289" s="538">
        <f t="shared" si="210"/>
        <v>0.05</v>
      </c>
      <c r="AK289" s="538">
        <f t="shared" si="210"/>
        <v>0.05</v>
      </c>
      <c r="AL289" s="538">
        <f t="shared" si="210"/>
        <v>0.05</v>
      </c>
      <c r="AM289" s="538">
        <f t="shared" si="210"/>
        <v>0.05</v>
      </c>
      <c r="AN289" s="538">
        <f t="shared" si="210"/>
        <v>0.05</v>
      </c>
      <c r="AO289" s="538">
        <f t="shared" si="210"/>
        <v>0.05</v>
      </c>
      <c r="AP289" s="538">
        <f t="shared" si="210"/>
        <v>0.05</v>
      </c>
      <c r="AQ289" s="538">
        <f t="shared" si="210"/>
        <v>0.05</v>
      </c>
      <c r="AR289" s="538">
        <f t="shared" si="210"/>
        <v>0.05</v>
      </c>
      <c r="AS289" s="538">
        <f t="shared" si="210"/>
        <v>0.05</v>
      </c>
      <c r="AT289" s="538">
        <f t="shared" si="210"/>
        <v>0.05</v>
      </c>
      <c r="AU289" s="538">
        <f t="shared" si="210"/>
        <v>0.05</v>
      </c>
      <c r="AV289" s="538">
        <f t="shared" si="210"/>
        <v>0.05</v>
      </c>
      <c r="AW289" s="538">
        <f t="shared" si="210"/>
        <v>0.05</v>
      </c>
      <c r="AX289" s="538">
        <f t="shared" si="213"/>
        <v>0.05</v>
      </c>
      <c r="AY289" s="538">
        <f t="shared" si="213"/>
        <v>0.05</v>
      </c>
      <c r="AZ289" s="538">
        <f t="shared" si="213"/>
        <v>0.05</v>
      </c>
      <c r="BA289" s="538">
        <f t="shared" si="213"/>
        <v>0.05</v>
      </c>
      <c r="BB289" s="538">
        <f t="shared" si="213"/>
        <v>0.05</v>
      </c>
      <c r="BC289" s="538">
        <f t="shared" si="213"/>
        <v>0.05</v>
      </c>
      <c r="BD289" s="538">
        <f t="shared" si="213"/>
        <v>0.05</v>
      </c>
      <c r="BE289" s="538">
        <f t="shared" si="213"/>
        <v>0.05</v>
      </c>
      <c r="BF289" s="538">
        <f t="shared" si="213"/>
        <v>0.05</v>
      </c>
      <c r="BG289" s="538">
        <f t="shared" si="213"/>
        <v>0.05</v>
      </c>
      <c r="BH289" s="538">
        <f t="shared" si="213"/>
        <v>0.05</v>
      </c>
      <c r="BI289" s="538">
        <f t="shared" si="213"/>
        <v>0.05</v>
      </c>
      <c r="BJ289" s="538">
        <f t="shared" si="213"/>
        <v>0.05</v>
      </c>
      <c r="BK289" s="538">
        <f t="shared" si="213"/>
        <v>0.05</v>
      </c>
      <c r="BL289" s="538">
        <f t="shared" si="213"/>
        <v>0.05</v>
      </c>
      <c r="BM289" s="538">
        <f t="shared" si="213"/>
        <v>0.05</v>
      </c>
      <c r="BN289" s="538">
        <f t="shared" si="211"/>
        <v>0.05</v>
      </c>
      <c r="BO289" s="538">
        <f t="shared" si="211"/>
        <v>0.05</v>
      </c>
      <c r="BP289" s="538">
        <f t="shared" si="211"/>
        <v>0.05</v>
      </c>
      <c r="BQ289" s="538">
        <f t="shared" si="211"/>
        <v>0.05</v>
      </c>
      <c r="BR289" s="538">
        <f t="shared" si="211"/>
        <v>0.05</v>
      </c>
      <c r="BS289" s="538">
        <f t="shared" si="211"/>
        <v>0.05</v>
      </c>
      <c r="BT289" s="538">
        <f t="shared" si="211"/>
        <v>0.05</v>
      </c>
      <c r="BU289" s="538">
        <f t="shared" si="211"/>
        <v>0.05</v>
      </c>
      <c r="BV289" s="538">
        <f t="shared" si="211"/>
        <v>0.05</v>
      </c>
      <c r="BW289" s="538">
        <f t="shared" si="211"/>
        <v>0.05</v>
      </c>
      <c r="BX289" s="538">
        <f t="shared" si="211"/>
        <v>0.05</v>
      </c>
      <c r="BY289" s="538">
        <f t="shared" si="211"/>
        <v>0.05</v>
      </c>
      <c r="BZ289" s="538">
        <f t="shared" si="211"/>
        <v>0.05</v>
      </c>
      <c r="CA289" s="538">
        <f t="shared" si="211"/>
        <v>0.05</v>
      </c>
      <c r="CB289" s="538">
        <f t="shared" si="211"/>
        <v>0.05</v>
      </c>
      <c r="CC289" s="538">
        <f t="shared" si="211"/>
        <v>0.05</v>
      </c>
      <c r="CD289" s="538">
        <f t="shared" si="212"/>
        <v>0.05</v>
      </c>
      <c r="CE289" s="538">
        <f t="shared" si="212"/>
        <v>0.05</v>
      </c>
      <c r="CG289" s="537">
        <v>0.05</v>
      </c>
      <c r="CH289" s="537">
        <v>0.05</v>
      </c>
      <c r="CI289" s="537">
        <v>0.05</v>
      </c>
      <c r="CJ289" s="537">
        <v>0.05</v>
      </c>
      <c r="CK289" s="537">
        <v>0.05</v>
      </c>
      <c r="CL289" s="537">
        <v>0.05</v>
      </c>
      <c r="CM289" s="537">
        <v>0.05</v>
      </c>
      <c r="CN289" s="537">
        <v>0.05</v>
      </c>
      <c r="CO289" s="537">
        <v>0.05</v>
      </c>
      <c r="CP289" s="537">
        <v>0.05</v>
      </c>
      <c r="CQ289" s="537">
        <v>0.05</v>
      </c>
      <c r="CR289" s="537">
        <v>0.05</v>
      </c>
      <c r="CS289" s="537">
        <v>0.05</v>
      </c>
      <c r="CT289" s="537">
        <v>0.05</v>
      </c>
      <c r="CU289" s="537">
        <v>0.05</v>
      </c>
      <c r="CV289" s="537">
        <v>0.05</v>
      </c>
      <c r="CW289" s="537">
        <v>0.05</v>
      </c>
      <c r="CX289" s="537">
        <v>0.05</v>
      </c>
      <c r="CY289" s="537">
        <v>0.05</v>
      </c>
      <c r="CZ289" s="537">
        <v>0.05</v>
      </c>
      <c r="DA289" s="537">
        <v>0.05</v>
      </c>
      <c r="DB289" s="537">
        <v>0.05</v>
      </c>
      <c r="DC289" s="537">
        <v>0.05</v>
      </c>
      <c r="DD289" s="537">
        <v>0.05</v>
      </c>
      <c r="DE289" s="537">
        <v>0.05</v>
      </c>
      <c r="DF289" s="537">
        <v>0.05</v>
      </c>
      <c r="DG289" s="537">
        <v>0.05</v>
      </c>
      <c r="DH289" s="537">
        <v>0.05</v>
      </c>
    </row>
    <row r="290" spans="2:112">
      <c r="F290" s="539"/>
      <c r="G290" s="539"/>
      <c r="H290" s="539"/>
      <c r="I290" s="539"/>
      <c r="J290" s="539"/>
      <c r="K290" s="539"/>
      <c r="L290" s="539"/>
      <c r="M290" s="539"/>
      <c r="N290" s="539"/>
      <c r="O290" s="539"/>
      <c r="P290" s="539"/>
      <c r="Q290" s="539"/>
      <c r="R290" s="539"/>
      <c r="S290" s="539"/>
      <c r="T290" s="539"/>
      <c r="U290" s="539"/>
      <c r="V290" s="539"/>
      <c r="W290" s="539"/>
      <c r="X290" s="539"/>
      <c r="Y290" s="539"/>
      <c r="Z290" s="539"/>
      <c r="AA290" s="539"/>
      <c r="AB290" s="539"/>
      <c r="AC290" s="539"/>
      <c r="AD290" s="539"/>
      <c r="AE290" s="539"/>
      <c r="AF290" s="539"/>
      <c r="AG290" s="539"/>
      <c r="AH290" s="539"/>
      <c r="AI290" s="539"/>
      <c r="AJ290" s="539"/>
      <c r="AK290" s="539"/>
      <c r="AL290" s="539"/>
      <c r="AM290" s="539"/>
      <c r="AN290" s="539"/>
      <c r="AO290" s="539"/>
      <c r="AP290" s="539"/>
      <c r="AQ290" s="539"/>
      <c r="AR290" s="539"/>
      <c r="AS290" s="539"/>
      <c r="AT290" s="539"/>
      <c r="AU290" s="539"/>
      <c r="AV290" s="539"/>
      <c r="AW290" s="539"/>
      <c r="AX290" s="539"/>
      <c r="AY290" s="539"/>
      <c r="AZ290" s="539"/>
      <c r="BA290" s="539"/>
      <c r="BB290" s="539"/>
      <c r="BC290" s="539"/>
      <c r="BD290" s="539"/>
      <c r="BE290" s="539"/>
      <c r="BF290" s="539"/>
      <c r="BG290" s="539"/>
      <c r="BH290" s="539"/>
      <c r="BI290" s="539"/>
      <c r="BJ290" s="539"/>
      <c r="BK290" s="539"/>
      <c r="BL290" s="539"/>
      <c r="BM290" s="539"/>
      <c r="BN290" s="539"/>
      <c r="BO290" s="539"/>
      <c r="BP290" s="539"/>
      <c r="BQ290" s="539"/>
      <c r="BR290" s="539"/>
      <c r="BS290" s="539"/>
      <c r="BT290" s="539"/>
      <c r="BU290" s="539"/>
      <c r="BV290" s="539"/>
      <c r="BW290" s="539"/>
      <c r="BX290" s="539"/>
      <c r="BY290" s="539"/>
      <c r="BZ290" s="539"/>
      <c r="CA290" s="539"/>
      <c r="CB290" s="539"/>
      <c r="CC290" s="539"/>
      <c r="CD290" s="539"/>
      <c r="CE290" s="539"/>
      <c r="CG290" s="539"/>
      <c r="CH290" s="539"/>
      <c r="CI290" s="539"/>
      <c r="CJ290" s="539"/>
      <c r="CK290" s="539"/>
      <c r="CL290" s="539"/>
      <c r="CM290" s="539"/>
      <c r="CN290" s="539"/>
      <c r="CO290" s="539"/>
      <c r="CP290" s="539"/>
      <c r="CQ290" s="539"/>
      <c r="CR290" s="539"/>
      <c r="CS290" s="539"/>
      <c r="CT290" s="539"/>
      <c r="CU290" s="539"/>
      <c r="CV290" s="539"/>
      <c r="CW290" s="539"/>
      <c r="CX290" s="539"/>
      <c r="CY290" s="539"/>
      <c r="CZ290" s="539"/>
      <c r="DA290" s="539"/>
      <c r="DB290" s="539"/>
      <c r="DC290" s="539"/>
      <c r="DD290" s="539"/>
      <c r="DE290" s="539"/>
      <c r="DF290" s="539"/>
      <c r="DG290" s="539"/>
      <c r="DH290" s="539"/>
    </row>
    <row r="291" spans="2:112">
      <c r="B291" t="s">
        <v>1158</v>
      </c>
      <c r="C291" t="s">
        <v>1146</v>
      </c>
      <c r="D291" t="s">
        <v>903</v>
      </c>
      <c r="E291" t="s">
        <v>557</v>
      </c>
      <c r="F291" s="536">
        <v>76680</v>
      </c>
      <c r="G291" s="536">
        <v>76680</v>
      </c>
      <c r="H291" s="536">
        <v>76680</v>
      </c>
      <c r="I291" s="536">
        <v>76680</v>
      </c>
      <c r="J291" s="536">
        <v>76680</v>
      </c>
      <c r="K291" s="536">
        <v>76680</v>
      </c>
      <c r="L291" s="536">
        <v>76680</v>
      </c>
      <c r="M291" s="536">
        <v>76680</v>
      </c>
      <c r="N291" s="536">
        <v>76680</v>
      </c>
      <c r="O291" s="536">
        <v>76680</v>
      </c>
      <c r="P291" s="536">
        <v>76680</v>
      </c>
      <c r="Q291" s="536">
        <v>76680</v>
      </c>
      <c r="R291" s="536">
        <v>76680</v>
      </c>
      <c r="S291" s="536">
        <v>76680</v>
      </c>
      <c r="T291" s="536">
        <v>76680</v>
      </c>
      <c r="U291" s="536">
        <v>76680</v>
      </c>
      <c r="V291" s="536">
        <v>76680</v>
      </c>
      <c r="W291" s="536">
        <v>76680</v>
      </c>
      <c r="X291" s="536">
        <v>76680</v>
      </c>
      <c r="Y291" s="536">
        <v>76680</v>
      </c>
      <c r="Z291" s="536">
        <v>76680</v>
      </c>
      <c r="AA291" s="536">
        <v>76680</v>
      </c>
      <c r="AB291" s="536">
        <v>76680</v>
      </c>
      <c r="AC291" s="536">
        <v>76680</v>
      </c>
      <c r="AD291" s="536">
        <v>76680</v>
      </c>
      <c r="AE291" s="536">
        <v>76680</v>
      </c>
      <c r="AF291" s="536">
        <v>76680</v>
      </c>
      <c r="AG291" s="536">
        <v>76680</v>
      </c>
      <c r="AH291" s="540">
        <f>AG291</f>
        <v>76680</v>
      </c>
      <c r="AI291" s="540">
        <f t="shared" ref="AI291:CE292" si="214">AH291</f>
        <v>76680</v>
      </c>
      <c r="AJ291" s="540">
        <f t="shared" si="214"/>
        <v>76680</v>
      </c>
      <c r="AK291" s="540">
        <f t="shared" si="214"/>
        <v>76680</v>
      </c>
      <c r="AL291" s="540">
        <f t="shared" si="214"/>
        <v>76680</v>
      </c>
      <c r="AM291" s="540">
        <f t="shared" si="214"/>
        <v>76680</v>
      </c>
      <c r="AN291" s="540">
        <f t="shared" si="214"/>
        <v>76680</v>
      </c>
      <c r="AO291" s="540">
        <f t="shared" si="214"/>
        <v>76680</v>
      </c>
      <c r="AP291" s="540">
        <f t="shared" si="214"/>
        <v>76680</v>
      </c>
      <c r="AQ291" s="540">
        <f t="shared" si="214"/>
        <v>76680</v>
      </c>
      <c r="AR291" s="540">
        <f t="shared" si="214"/>
        <v>76680</v>
      </c>
      <c r="AS291" s="540">
        <f t="shared" si="214"/>
        <v>76680</v>
      </c>
      <c r="AT291" s="540">
        <f t="shared" si="214"/>
        <v>76680</v>
      </c>
      <c r="AU291" s="540">
        <f t="shared" si="214"/>
        <v>76680</v>
      </c>
      <c r="AV291" s="540">
        <f t="shared" si="214"/>
        <v>76680</v>
      </c>
      <c r="AW291" s="540">
        <f t="shared" si="214"/>
        <v>76680</v>
      </c>
      <c r="AX291" s="540">
        <f t="shared" si="214"/>
        <v>76680</v>
      </c>
      <c r="AY291" s="540">
        <f t="shared" si="214"/>
        <v>76680</v>
      </c>
      <c r="AZ291" s="540">
        <f t="shared" si="214"/>
        <v>76680</v>
      </c>
      <c r="BA291" s="540">
        <f t="shared" si="214"/>
        <v>76680</v>
      </c>
      <c r="BB291" s="540">
        <f t="shared" si="214"/>
        <v>76680</v>
      </c>
      <c r="BC291" s="540">
        <f t="shared" si="214"/>
        <v>76680</v>
      </c>
      <c r="BD291" s="540">
        <f t="shared" si="214"/>
        <v>76680</v>
      </c>
      <c r="BE291" s="540">
        <f t="shared" si="214"/>
        <v>76680</v>
      </c>
      <c r="BF291" s="540">
        <f t="shared" si="214"/>
        <v>76680</v>
      </c>
      <c r="BG291" s="540">
        <f t="shared" si="214"/>
        <v>76680</v>
      </c>
      <c r="BH291" s="540">
        <f t="shared" si="214"/>
        <v>76680</v>
      </c>
      <c r="BI291" s="540">
        <f t="shared" si="214"/>
        <v>76680</v>
      </c>
      <c r="BJ291" s="540">
        <f t="shared" si="214"/>
        <v>76680</v>
      </c>
      <c r="BK291" s="540">
        <f t="shared" si="214"/>
        <v>76680</v>
      </c>
      <c r="BL291" s="540">
        <f t="shared" si="214"/>
        <v>76680</v>
      </c>
      <c r="BM291" s="540">
        <f t="shared" si="214"/>
        <v>76680</v>
      </c>
      <c r="BN291" s="540">
        <f t="shared" si="214"/>
        <v>76680</v>
      </c>
      <c r="BO291" s="540">
        <f t="shared" si="214"/>
        <v>76680</v>
      </c>
      <c r="BP291" s="540">
        <f t="shared" si="214"/>
        <v>76680</v>
      </c>
      <c r="BQ291" s="540">
        <f t="shared" si="214"/>
        <v>76680</v>
      </c>
      <c r="BR291" s="540">
        <f t="shared" si="214"/>
        <v>76680</v>
      </c>
      <c r="BS291" s="540">
        <f t="shared" si="214"/>
        <v>76680</v>
      </c>
      <c r="BT291" s="540">
        <f t="shared" si="214"/>
        <v>76680</v>
      </c>
      <c r="BU291" s="540">
        <f t="shared" si="214"/>
        <v>76680</v>
      </c>
      <c r="BV291" s="540">
        <f t="shared" si="214"/>
        <v>76680</v>
      </c>
      <c r="BW291" s="540">
        <f t="shared" si="214"/>
        <v>76680</v>
      </c>
      <c r="BX291" s="540">
        <f t="shared" si="214"/>
        <v>76680</v>
      </c>
      <c r="BY291" s="540">
        <f t="shared" si="214"/>
        <v>76680</v>
      </c>
      <c r="BZ291" s="540">
        <f t="shared" si="214"/>
        <v>76680</v>
      </c>
      <c r="CA291" s="540">
        <f t="shared" si="214"/>
        <v>76680</v>
      </c>
      <c r="CB291" s="540">
        <f t="shared" si="214"/>
        <v>76680</v>
      </c>
      <c r="CC291" s="540">
        <f t="shared" si="214"/>
        <v>76680</v>
      </c>
      <c r="CD291" s="540">
        <f t="shared" si="214"/>
        <v>76680</v>
      </c>
      <c r="CE291" s="540">
        <f t="shared" si="214"/>
        <v>76680</v>
      </c>
      <c r="CG291" s="536">
        <v>76680</v>
      </c>
      <c r="CH291" s="536">
        <v>76680</v>
      </c>
      <c r="CI291" s="536">
        <v>76680</v>
      </c>
      <c r="CJ291" s="536">
        <v>76680</v>
      </c>
      <c r="CK291" s="536">
        <v>76680</v>
      </c>
      <c r="CL291" s="536">
        <v>76680</v>
      </c>
      <c r="CM291" s="536">
        <v>76680</v>
      </c>
      <c r="CN291" s="536">
        <v>76680</v>
      </c>
      <c r="CO291" s="536">
        <v>76680</v>
      </c>
      <c r="CP291" s="536">
        <v>76680</v>
      </c>
      <c r="CQ291" s="536">
        <v>76680</v>
      </c>
      <c r="CR291" s="536">
        <v>76680</v>
      </c>
      <c r="CS291" s="536">
        <v>76680</v>
      </c>
      <c r="CT291" s="536">
        <v>76680</v>
      </c>
      <c r="CU291" s="536">
        <v>76680</v>
      </c>
      <c r="CV291" s="536">
        <v>76680</v>
      </c>
      <c r="CW291" s="536">
        <v>76680</v>
      </c>
      <c r="CX291" s="536">
        <v>76680</v>
      </c>
      <c r="CY291" s="536">
        <v>76680</v>
      </c>
      <c r="CZ291" s="536">
        <v>76680</v>
      </c>
      <c r="DA291" s="536">
        <v>76680</v>
      </c>
      <c r="DB291" s="536">
        <v>76680</v>
      </c>
      <c r="DC291" s="536">
        <v>76680</v>
      </c>
      <c r="DD291" s="536">
        <v>76680</v>
      </c>
      <c r="DE291" s="536">
        <v>76680</v>
      </c>
      <c r="DF291" s="536">
        <v>76680</v>
      </c>
      <c r="DG291" s="536">
        <v>76680</v>
      </c>
      <c r="DH291" s="536">
        <v>76680</v>
      </c>
    </row>
    <row r="292" spans="2:112">
      <c r="B292" t="s">
        <v>1159</v>
      </c>
      <c r="C292" t="s">
        <v>1146</v>
      </c>
      <c r="D292" t="s">
        <v>905</v>
      </c>
      <c r="E292" t="s">
        <v>557</v>
      </c>
      <c r="F292" s="536">
        <v>22935.272727272728</v>
      </c>
      <c r="G292" s="536">
        <v>22935.272727272728</v>
      </c>
      <c r="H292" s="536">
        <v>22935.272727272728</v>
      </c>
      <c r="I292" s="536">
        <v>22935.272727272728</v>
      </c>
      <c r="J292" s="536">
        <v>22935.272727272728</v>
      </c>
      <c r="K292" s="536">
        <v>22935.272727272728</v>
      </c>
      <c r="L292" s="536">
        <v>22935.272727272728</v>
      </c>
      <c r="M292" s="536">
        <v>22935.272727272728</v>
      </c>
      <c r="N292" s="536">
        <v>22935.272727272728</v>
      </c>
      <c r="O292" s="536">
        <v>22935.272727272728</v>
      </c>
      <c r="P292" s="536">
        <v>22935.272727272728</v>
      </c>
      <c r="Q292" s="536">
        <v>22935.272727272728</v>
      </c>
      <c r="R292" s="536">
        <v>22935.272727272728</v>
      </c>
      <c r="S292" s="536">
        <v>22935.272727272728</v>
      </c>
      <c r="T292" s="536">
        <v>22935.272727272728</v>
      </c>
      <c r="U292" s="536">
        <v>22935.272727272728</v>
      </c>
      <c r="V292" s="536">
        <v>22935.272727272728</v>
      </c>
      <c r="W292" s="536">
        <v>22935.272727272728</v>
      </c>
      <c r="X292" s="536">
        <v>22935.272727272728</v>
      </c>
      <c r="Y292" s="536">
        <v>22935.272727272728</v>
      </c>
      <c r="Z292" s="536">
        <v>22935.272727272728</v>
      </c>
      <c r="AA292" s="536">
        <v>22935.272727272728</v>
      </c>
      <c r="AB292" s="536">
        <v>22935.272727272728</v>
      </c>
      <c r="AC292" s="536">
        <v>22935.272727272728</v>
      </c>
      <c r="AD292" s="536">
        <v>22935.272727272728</v>
      </c>
      <c r="AE292" s="536">
        <v>22935.272727272728</v>
      </c>
      <c r="AF292" s="536">
        <v>22935.272727272728</v>
      </c>
      <c r="AG292" s="536">
        <v>22935.272727272728</v>
      </c>
      <c r="AH292" s="540">
        <f>AG292</f>
        <v>22935.272727272728</v>
      </c>
      <c r="AI292" s="540">
        <f t="shared" si="214"/>
        <v>22935.272727272728</v>
      </c>
      <c r="AJ292" s="540">
        <f t="shared" si="214"/>
        <v>22935.272727272728</v>
      </c>
      <c r="AK292" s="540">
        <f t="shared" si="214"/>
        <v>22935.272727272728</v>
      </c>
      <c r="AL292" s="540">
        <f t="shared" si="214"/>
        <v>22935.272727272728</v>
      </c>
      <c r="AM292" s="540">
        <f t="shared" si="214"/>
        <v>22935.272727272728</v>
      </c>
      <c r="AN292" s="540">
        <f t="shared" si="214"/>
        <v>22935.272727272728</v>
      </c>
      <c r="AO292" s="540">
        <f t="shared" si="214"/>
        <v>22935.272727272728</v>
      </c>
      <c r="AP292" s="540">
        <f t="shared" si="214"/>
        <v>22935.272727272728</v>
      </c>
      <c r="AQ292" s="540">
        <f t="shared" si="214"/>
        <v>22935.272727272728</v>
      </c>
      <c r="AR292" s="540">
        <f t="shared" si="214"/>
        <v>22935.272727272728</v>
      </c>
      <c r="AS292" s="540">
        <f t="shared" si="214"/>
        <v>22935.272727272728</v>
      </c>
      <c r="AT292" s="540">
        <f t="shared" si="214"/>
        <v>22935.272727272728</v>
      </c>
      <c r="AU292" s="540">
        <f t="shared" si="214"/>
        <v>22935.272727272728</v>
      </c>
      <c r="AV292" s="540">
        <f t="shared" si="214"/>
        <v>22935.272727272728</v>
      </c>
      <c r="AW292" s="540">
        <f t="shared" si="214"/>
        <v>22935.272727272728</v>
      </c>
      <c r="AX292" s="540">
        <f t="shared" si="214"/>
        <v>22935.272727272728</v>
      </c>
      <c r="AY292" s="540">
        <f t="shared" si="214"/>
        <v>22935.272727272728</v>
      </c>
      <c r="AZ292" s="540">
        <f t="shared" si="214"/>
        <v>22935.272727272728</v>
      </c>
      <c r="BA292" s="540">
        <f t="shared" si="214"/>
        <v>22935.272727272728</v>
      </c>
      <c r="BB292" s="540">
        <f t="shared" si="214"/>
        <v>22935.272727272728</v>
      </c>
      <c r="BC292" s="540">
        <f t="shared" si="214"/>
        <v>22935.272727272728</v>
      </c>
      <c r="BD292" s="540">
        <f t="shared" si="214"/>
        <v>22935.272727272728</v>
      </c>
      <c r="BE292" s="540">
        <f t="shared" si="214"/>
        <v>22935.272727272728</v>
      </c>
      <c r="BF292" s="540">
        <f t="shared" si="214"/>
        <v>22935.272727272728</v>
      </c>
      <c r="BG292" s="540">
        <f t="shared" si="214"/>
        <v>22935.272727272728</v>
      </c>
      <c r="BH292" s="540">
        <f t="shared" si="214"/>
        <v>22935.272727272728</v>
      </c>
      <c r="BI292" s="540">
        <f t="shared" si="214"/>
        <v>22935.272727272728</v>
      </c>
      <c r="BJ292" s="540">
        <f t="shared" si="214"/>
        <v>22935.272727272728</v>
      </c>
      <c r="BK292" s="540">
        <f t="shared" si="214"/>
        <v>22935.272727272728</v>
      </c>
      <c r="BL292" s="540">
        <f t="shared" si="214"/>
        <v>22935.272727272728</v>
      </c>
      <c r="BM292" s="540">
        <f t="shared" si="214"/>
        <v>22935.272727272728</v>
      </c>
      <c r="BN292" s="540">
        <f t="shared" si="214"/>
        <v>22935.272727272728</v>
      </c>
      <c r="BO292" s="540">
        <f t="shared" si="214"/>
        <v>22935.272727272728</v>
      </c>
      <c r="BP292" s="540">
        <f t="shared" si="214"/>
        <v>22935.272727272728</v>
      </c>
      <c r="BQ292" s="540">
        <f t="shared" si="214"/>
        <v>22935.272727272728</v>
      </c>
      <c r="BR292" s="540">
        <f t="shared" si="214"/>
        <v>22935.272727272728</v>
      </c>
      <c r="BS292" s="540">
        <f t="shared" si="214"/>
        <v>22935.272727272728</v>
      </c>
      <c r="BT292" s="540">
        <f t="shared" si="214"/>
        <v>22935.272727272728</v>
      </c>
      <c r="BU292" s="540">
        <f t="shared" si="214"/>
        <v>22935.272727272728</v>
      </c>
      <c r="BV292" s="540">
        <f t="shared" si="214"/>
        <v>22935.272727272728</v>
      </c>
      <c r="BW292" s="540">
        <f t="shared" si="214"/>
        <v>22935.272727272728</v>
      </c>
      <c r="BX292" s="540">
        <f t="shared" si="214"/>
        <v>22935.272727272728</v>
      </c>
      <c r="BY292" s="540">
        <f t="shared" si="214"/>
        <v>22935.272727272728</v>
      </c>
      <c r="BZ292" s="540">
        <f t="shared" si="214"/>
        <v>22935.272727272728</v>
      </c>
      <c r="CA292" s="540">
        <f t="shared" si="214"/>
        <v>22935.272727272728</v>
      </c>
      <c r="CB292" s="540">
        <f t="shared" si="214"/>
        <v>22935.272727272728</v>
      </c>
      <c r="CC292" s="540">
        <f t="shared" si="214"/>
        <v>22935.272727272728</v>
      </c>
      <c r="CD292" s="540">
        <f t="shared" si="214"/>
        <v>22935.272727272728</v>
      </c>
      <c r="CE292" s="540">
        <f t="shared" si="214"/>
        <v>22935.272727272728</v>
      </c>
      <c r="CG292" s="536">
        <v>22935.272727272728</v>
      </c>
      <c r="CH292" s="536">
        <v>22935.272727272728</v>
      </c>
      <c r="CI292" s="536">
        <v>22935.272727272728</v>
      </c>
      <c r="CJ292" s="536">
        <v>22935.272727272728</v>
      </c>
      <c r="CK292" s="536">
        <v>22935.272727272728</v>
      </c>
      <c r="CL292" s="536">
        <v>22935.272727272728</v>
      </c>
      <c r="CM292" s="536">
        <v>22935.272727272728</v>
      </c>
      <c r="CN292" s="536">
        <v>22935.272727272728</v>
      </c>
      <c r="CO292" s="536">
        <v>22935.272727272728</v>
      </c>
      <c r="CP292" s="536">
        <v>22935.272727272728</v>
      </c>
      <c r="CQ292" s="536">
        <v>22935.272727272728</v>
      </c>
      <c r="CR292" s="536">
        <v>22935.272727272728</v>
      </c>
      <c r="CS292" s="536">
        <v>22935.272727272728</v>
      </c>
      <c r="CT292" s="536">
        <v>22935.272727272728</v>
      </c>
      <c r="CU292" s="536">
        <v>22935.272727272728</v>
      </c>
      <c r="CV292" s="536">
        <v>22935.272727272728</v>
      </c>
      <c r="CW292" s="536">
        <v>22935.272727272728</v>
      </c>
      <c r="CX292" s="536">
        <v>22935.272727272728</v>
      </c>
      <c r="CY292" s="536">
        <v>22935.272727272728</v>
      </c>
      <c r="CZ292" s="536">
        <v>22935.272727272728</v>
      </c>
      <c r="DA292" s="536">
        <v>22935.272727272728</v>
      </c>
      <c r="DB292" s="536">
        <v>22935.272727272728</v>
      </c>
      <c r="DC292" s="536">
        <v>22935.272727272728</v>
      </c>
      <c r="DD292" s="536">
        <v>22935.272727272728</v>
      </c>
      <c r="DE292" s="536">
        <v>22935.272727272728</v>
      </c>
      <c r="DF292" s="536">
        <v>22935.272727272728</v>
      </c>
      <c r="DG292" s="536">
        <v>22935.272727272728</v>
      </c>
      <c r="DH292" s="536">
        <v>22935.272727272728</v>
      </c>
    </row>
    <row r="293" spans="2:112">
      <c r="F293" s="539"/>
      <c r="G293" s="539"/>
      <c r="H293" s="539"/>
      <c r="I293" s="539"/>
      <c r="J293" s="539"/>
      <c r="K293" s="539"/>
      <c r="L293" s="539"/>
      <c r="M293" s="539"/>
      <c r="N293" s="539"/>
      <c r="O293" s="539"/>
      <c r="P293" s="539"/>
      <c r="Q293" s="539"/>
      <c r="R293" s="539"/>
      <c r="S293" s="539"/>
      <c r="T293" s="539"/>
      <c r="U293" s="539"/>
      <c r="V293" s="539"/>
      <c r="W293" s="539"/>
      <c r="X293" s="539"/>
      <c r="Y293" s="539"/>
      <c r="Z293" s="539"/>
      <c r="AA293" s="539"/>
      <c r="AB293" s="539"/>
      <c r="AC293" s="539"/>
      <c r="AD293" s="539"/>
      <c r="AE293" s="539"/>
      <c r="AF293" s="539"/>
      <c r="AG293" s="539"/>
      <c r="AH293" s="539"/>
      <c r="AI293" s="539"/>
      <c r="AJ293" s="539"/>
      <c r="AK293" s="539"/>
      <c r="AL293" s="539"/>
      <c r="AM293" s="539"/>
      <c r="AN293" s="539"/>
      <c r="AO293" s="539"/>
      <c r="AP293" s="539"/>
      <c r="AQ293" s="539"/>
      <c r="AR293" s="539"/>
      <c r="AS293" s="539"/>
      <c r="AT293" s="539"/>
      <c r="AU293" s="539"/>
      <c r="AV293" s="539"/>
      <c r="AW293" s="539"/>
      <c r="AX293" s="539"/>
      <c r="AY293" s="539"/>
      <c r="AZ293" s="539"/>
      <c r="BA293" s="539"/>
      <c r="BB293" s="539"/>
      <c r="BC293" s="539"/>
      <c r="BD293" s="539"/>
      <c r="BE293" s="539"/>
      <c r="BF293" s="539"/>
      <c r="BG293" s="539"/>
      <c r="BH293" s="539"/>
      <c r="BI293" s="539"/>
      <c r="BJ293" s="539"/>
      <c r="BK293" s="539"/>
      <c r="BL293" s="539"/>
      <c r="BM293" s="539"/>
      <c r="BN293" s="539"/>
      <c r="BO293" s="539"/>
      <c r="BP293" s="539"/>
      <c r="BQ293" s="539"/>
      <c r="BR293" s="539"/>
      <c r="BS293" s="539"/>
      <c r="BT293" s="539"/>
      <c r="BU293" s="539"/>
      <c r="BV293" s="539"/>
      <c r="BW293" s="539"/>
      <c r="BX293" s="539"/>
      <c r="BY293" s="539"/>
      <c r="BZ293" s="539"/>
      <c r="CA293" s="539"/>
      <c r="CB293" s="539"/>
      <c r="CC293" s="539"/>
      <c r="CD293" s="539"/>
      <c r="CE293" s="539"/>
      <c r="CG293" s="539"/>
      <c r="CH293" s="539"/>
      <c r="CI293" s="539"/>
      <c r="CJ293" s="539"/>
      <c r="CK293" s="539"/>
      <c r="CL293" s="539"/>
      <c r="CM293" s="539"/>
      <c r="CN293" s="539"/>
      <c r="CO293" s="539"/>
      <c r="CP293" s="539"/>
      <c r="CQ293" s="539"/>
      <c r="CR293" s="539"/>
      <c r="CS293" s="539"/>
      <c r="CT293" s="539"/>
      <c r="CU293" s="539"/>
      <c r="CV293" s="539"/>
      <c r="CW293" s="539"/>
      <c r="CX293" s="539"/>
      <c r="CY293" s="539"/>
      <c r="CZ293" s="539"/>
      <c r="DA293" s="539"/>
      <c r="DB293" s="539"/>
      <c r="DC293" s="539"/>
      <c r="DD293" s="539"/>
      <c r="DE293" s="539"/>
      <c r="DF293" s="539"/>
      <c r="DG293" s="539"/>
      <c r="DH293" s="539"/>
    </row>
    <row r="294" spans="2:112">
      <c r="B294" t="s">
        <v>1160</v>
      </c>
      <c r="C294" t="s">
        <v>1146</v>
      </c>
      <c r="D294" t="s">
        <v>907</v>
      </c>
      <c r="E294" t="s">
        <v>908</v>
      </c>
      <c r="F294" s="541">
        <v>133.91499999999999</v>
      </c>
      <c r="G294" s="541">
        <v>133.91499999999999</v>
      </c>
      <c r="H294" s="541">
        <v>133.91499999999999</v>
      </c>
      <c r="I294" s="541">
        <v>133.91499999999999</v>
      </c>
      <c r="J294" s="541">
        <v>133.91499999999999</v>
      </c>
      <c r="K294" s="541">
        <v>133.91499999999999</v>
      </c>
      <c r="L294" s="541">
        <v>133.91499999999999</v>
      </c>
      <c r="M294" s="541">
        <v>133.91499999999999</v>
      </c>
      <c r="N294" s="541">
        <v>133.91499999999999</v>
      </c>
      <c r="O294" s="541">
        <v>133.91499999999999</v>
      </c>
      <c r="P294" s="541">
        <v>133.91499999999999</v>
      </c>
      <c r="Q294" s="541">
        <v>133.91499999999999</v>
      </c>
      <c r="R294" s="541">
        <v>133.91499999999999</v>
      </c>
      <c r="S294" s="541">
        <v>133.91499999999999</v>
      </c>
      <c r="T294" s="541">
        <v>133.91499999999999</v>
      </c>
      <c r="U294" s="541">
        <v>133.91499999999999</v>
      </c>
      <c r="V294" s="541">
        <v>133.91499999999999</v>
      </c>
      <c r="W294" s="541">
        <v>133.91499999999999</v>
      </c>
      <c r="X294" s="541">
        <v>133.91499999999999</v>
      </c>
      <c r="Y294" s="541">
        <v>133.91499999999999</v>
      </c>
      <c r="Z294" s="541">
        <v>133.91499999999999</v>
      </c>
      <c r="AA294" s="541">
        <v>133.91499999999999</v>
      </c>
      <c r="AB294" s="541">
        <v>133.91499999999999</v>
      </c>
      <c r="AC294" s="541">
        <v>133.91499999999999</v>
      </c>
      <c r="AD294" s="541">
        <v>133.91499999999999</v>
      </c>
      <c r="AE294" s="541">
        <v>133.91499999999999</v>
      </c>
      <c r="AF294" s="541">
        <v>133.91499999999999</v>
      </c>
      <c r="AG294" s="541">
        <v>133.91499999999999</v>
      </c>
      <c r="AH294" s="542">
        <f>AG294</f>
        <v>133.91499999999999</v>
      </c>
      <c r="AI294" s="542">
        <f t="shared" ref="AI294:AX294" si="215">AH294</f>
        <v>133.91499999999999</v>
      </c>
      <c r="AJ294" s="542">
        <f t="shared" si="215"/>
        <v>133.91499999999999</v>
      </c>
      <c r="AK294" s="542">
        <f t="shared" si="215"/>
        <v>133.91499999999999</v>
      </c>
      <c r="AL294" s="542">
        <f t="shared" si="215"/>
        <v>133.91499999999999</v>
      </c>
      <c r="AM294" s="542">
        <f t="shared" si="215"/>
        <v>133.91499999999999</v>
      </c>
      <c r="AN294" s="542">
        <f t="shared" si="215"/>
        <v>133.91499999999999</v>
      </c>
      <c r="AO294" s="542">
        <f t="shared" si="215"/>
        <v>133.91499999999999</v>
      </c>
      <c r="AP294" s="542">
        <f t="shared" si="215"/>
        <v>133.91499999999999</v>
      </c>
      <c r="AQ294" s="542">
        <f t="shared" si="215"/>
        <v>133.91499999999999</v>
      </c>
      <c r="AR294" s="542">
        <f t="shared" si="215"/>
        <v>133.91499999999999</v>
      </c>
      <c r="AS294" s="542">
        <f t="shared" si="215"/>
        <v>133.91499999999999</v>
      </c>
      <c r="AT294" s="542">
        <f t="shared" si="215"/>
        <v>133.91499999999999</v>
      </c>
      <c r="AU294" s="542">
        <f t="shared" si="215"/>
        <v>133.91499999999999</v>
      </c>
      <c r="AV294" s="542">
        <f t="shared" si="215"/>
        <v>133.91499999999999</v>
      </c>
      <c r="AW294" s="542">
        <f t="shared" si="215"/>
        <v>133.91499999999999</v>
      </c>
      <c r="AX294" s="542">
        <f t="shared" si="215"/>
        <v>133.91499999999999</v>
      </c>
      <c r="AY294" s="542">
        <f t="shared" ref="AY294:BN294" si="216">AX294</f>
        <v>133.91499999999999</v>
      </c>
      <c r="AZ294" s="542">
        <f t="shared" si="216"/>
        <v>133.91499999999999</v>
      </c>
      <c r="BA294" s="542">
        <f t="shared" si="216"/>
        <v>133.91499999999999</v>
      </c>
      <c r="BB294" s="542">
        <f t="shared" si="216"/>
        <v>133.91499999999999</v>
      </c>
      <c r="BC294" s="542">
        <f t="shared" si="216"/>
        <v>133.91499999999999</v>
      </c>
      <c r="BD294" s="542">
        <f t="shared" si="216"/>
        <v>133.91499999999999</v>
      </c>
      <c r="BE294" s="542">
        <f t="shared" si="216"/>
        <v>133.91499999999999</v>
      </c>
      <c r="BF294" s="542">
        <f t="shared" si="216"/>
        <v>133.91499999999999</v>
      </c>
      <c r="BG294" s="542">
        <f t="shared" si="216"/>
        <v>133.91499999999999</v>
      </c>
      <c r="BH294" s="542">
        <f t="shared" si="216"/>
        <v>133.91499999999999</v>
      </c>
      <c r="BI294" s="542">
        <f t="shared" si="216"/>
        <v>133.91499999999999</v>
      </c>
      <c r="BJ294" s="542">
        <f t="shared" si="216"/>
        <v>133.91499999999999</v>
      </c>
      <c r="BK294" s="542">
        <f t="shared" si="216"/>
        <v>133.91499999999999</v>
      </c>
      <c r="BL294" s="542">
        <f t="shared" si="216"/>
        <v>133.91499999999999</v>
      </c>
      <c r="BM294" s="542">
        <f t="shared" si="216"/>
        <v>133.91499999999999</v>
      </c>
      <c r="BN294" s="542">
        <f t="shared" si="216"/>
        <v>133.91499999999999</v>
      </c>
      <c r="BO294" s="542">
        <f t="shared" ref="BO294:CD294" si="217">BN294</f>
        <v>133.91499999999999</v>
      </c>
      <c r="BP294" s="542">
        <f t="shared" si="217"/>
        <v>133.91499999999999</v>
      </c>
      <c r="BQ294" s="542">
        <f t="shared" si="217"/>
        <v>133.91499999999999</v>
      </c>
      <c r="BR294" s="542">
        <f t="shared" si="217"/>
        <v>133.91499999999999</v>
      </c>
      <c r="BS294" s="542">
        <f t="shared" si="217"/>
        <v>133.91499999999999</v>
      </c>
      <c r="BT294" s="542">
        <f t="shared" si="217"/>
        <v>133.91499999999999</v>
      </c>
      <c r="BU294" s="542">
        <f t="shared" si="217"/>
        <v>133.91499999999999</v>
      </c>
      <c r="BV294" s="542">
        <f t="shared" si="217"/>
        <v>133.91499999999999</v>
      </c>
      <c r="BW294" s="542">
        <f t="shared" si="217"/>
        <v>133.91499999999999</v>
      </c>
      <c r="BX294" s="542">
        <f t="shared" si="217"/>
        <v>133.91499999999999</v>
      </c>
      <c r="BY294" s="542">
        <f t="shared" si="217"/>
        <v>133.91499999999999</v>
      </c>
      <c r="BZ294" s="542">
        <f t="shared" si="217"/>
        <v>133.91499999999999</v>
      </c>
      <c r="CA294" s="542">
        <f t="shared" si="217"/>
        <v>133.91499999999999</v>
      </c>
      <c r="CB294" s="542">
        <f t="shared" si="217"/>
        <v>133.91499999999999</v>
      </c>
      <c r="CC294" s="542">
        <f t="shared" si="217"/>
        <v>133.91499999999999</v>
      </c>
      <c r="CD294" s="542">
        <f t="shared" si="217"/>
        <v>133.91499999999999</v>
      </c>
      <c r="CE294" s="542">
        <f t="shared" ref="AX294:CE301" si="218">CD294</f>
        <v>133.91499999999999</v>
      </c>
      <c r="CG294" s="541">
        <v>133.91499999999999</v>
      </c>
      <c r="CH294" s="541">
        <v>133.91499999999999</v>
      </c>
      <c r="CI294" s="541">
        <v>133.91499999999999</v>
      </c>
      <c r="CJ294" s="541">
        <v>133.91499999999999</v>
      </c>
      <c r="CK294" s="541">
        <v>133.91499999999999</v>
      </c>
      <c r="CL294" s="541">
        <v>133.91499999999999</v>
      </c>
      <c r="CM294" s="541">
        <v>133.91499999999999</v>
      </c>
      <c r="CN294" s="541">
        <v>133.91499999999999</v>
      </c>
      <c r="CO294" s="541">
        <v>133.91499999999999</v>
      </c>
      <c r="CP294" s="541">
        <v>133.91499999999999</v>
      </c>
      <c r="CQ294" s="541">
        <v>133.91499999999999</v>
      </c>
      <c r="CR294" s="541">
        <v>133.91499999999999</v>
      </c>
      <c r="CS294" s="541">
        <v>133.91499999999999</v>
      </c>
      <c r="CT294" s="541">
        <v>133.91499999999999</v>
      </c>
      <c r="CU294" s="541">
        <v>133.91499999999999</v>
      </c>
      <c r="CV294" s="541">
        <v>133.91499999999999</v>
      </c>
      <c r="CW294" s="541">
        <v>133.91499999999999</v>
      </c>
      <c r="CX294" s="541">
        <v>133.91499999999999</v>
      </c>
      <c r="CY294" s="541">
        <v>133.91499999999999</v>
      </c>
      <c r="CZ294" s="541">
        <v>133.91499999999999</v>
      </c>
      <c r="DA294" s="541">
        <v>133.91499999999999</v>
      </c>
      <c r="DB294" s="541">
        <v>133.91499999999999</v>
      </c>
      <c r="DC294" s="541">
        <v>133.91499999999999</v>
      </c>
      <c r="DD294" s="541">
        <v>133.91499999999999</v>
      </c>
      <c r="DE294" s="541">
        <v>133.91499999999999</v>
      </c>
      <c r="DF294" s="541">
        <v>133.91499999999999</v>
      </c>
      <c r="DG294" s="541">
        <v>133.91499999999999</v>
      </c>
      <c r="DH294" s="541">
        <v>133.91499999999999</v>
      </c>
    </row>
    <row r="295" spans="2:112">
      <c r="B295" t="s">
        <v>1161</v>
      </c>
      <c r="C295" t="s">
        <v>1146</v>
      </c>
      <c r="D295" t="s">
        <v>910</v>
      </c>
      <c r="E295" t="s">
        <v>911</v>
      </c>
      <c r="F295" s="541">
        <v>3.4137154545454544</v>
      </c>
      <c r="G295" s="541">
        <v>3.4137154545454544</v>
      </c>
      <c r="H295" s="541">
        <v>3.4137154545454544</v>
      </c>
      <c r="I295" s="541">
        <v>3.4137154545454544</v>
      </c>
      <c r="J295" s="541">
        <v>3.4137154545454544</v>
      </c>
      <c r="K295" s="541">
        <v>3.4137154545454544</v>
      </c>
      <c r="L295" s="541">
        <v>3.4137154545454544</v>
      </c>
      <c r="M295" s="541">
        <v>3.4137154545454544</v>
      </c>
      <c r="N295" s="541">
        <v>3.4137154545454544</v>
      </c>
      <c r="O295" s="541">
        <v>3.4137154545454544</v>
      </c>
      <c r="P295" s="541">
        <v>3.4137154545454544</v>
      </c>
      <c r="Q295" s="541">
        <v>3.4137154545454544</v>
      </c>
      <c r="R295" s="541">
        <v>3.4137154545454544</v>
      </c>
      <c r="S295" s="541">
        <v>3.4137154545454544</v>
      </c>
      <c r="T295" s="541">
        <v>3.4137154545454544</v>
      </c>
      <c r="U295" s="541">
        <v>3.4137154545454544</v>
      </c>
      <c r="V295" s="541">
        <v>3.4137154545454544</v>
      </c>
      <c r="W295" s="541">
        <v>3.4137154545454544</v>
      </c>
      <c r="X295" s="541">
        <v>3.4137154545454544</v>
      </c>
      <c r="Y295" s="541">
        <v>3.4137154545454544</v>
      </c>
      <c r="Z295" s="541">
        <v>3.4137154545454544</v>
      </c>
      <c r="AA295" s="541">
        <v>3.4137154545454544</v>
      </c>
      <c r="AB295" s="541">
        <v>3.4137154545454544</v>
      </c>
      <c r="AC295" s="541">
        <v>3.4137154545454544</v>
      </c>
      <c r="AD295" s="541">
        <v>3.4137154545454544</v>
      </c>
      <c r="AE295" s="541">
        <v>3.4137154545454544</v>
      </c>
      <c r="AF295" s="541">
        <v>3.4137154545454544</v>
      </c>
      <c r="AG295" s="541">
        <v>3.4137154545454544</v>
      </c>
      <c r="AH295" s="542">
        <f t="shared" ref="AH295:AW301" si="219">AG295</f>
        <v>3.4137154545454544</v>
      </c>
      <c r="AI295" s="542">
        <f t="shared" si="219"/>
        <v>3.4137154545454544</v>
      </c>
      <c r="AJ295" s="542">
        <f t="shared" si="219"/>
        <v>3.4137154545454544</v>
      </c>
      <c r="AK295" s="542">
        <f t="shared" si="219"/>
        <v>3.4137154545454544</v>
      </c>
      <c r="AL295" s="542">
        <f t="shared" si="219"/>
        <v>3.4137154545454544</v>
      </c>
      <c r="AM295" s="542">
        <f t="shared" si="219"/>
        <v>3.4137154545454544</v>
      </c>
      <c r="AN295" s="542">
        <f t="shared" si="219"/>
        <v>3.4137154545454544</v>
      </c>
      <c r="AO295" s="542">
        <f t="shared" si="219"/>
        <v>3.4137154545454544</v>
      </c>
      <c r="AP295" s="542">
        <f t="shared" si="219"/>
        <v>3.4137154545454544</v>
      </c>
      <c r="AQ295" s="542">
        <f t="shared" si="219"/>
        <v>3.4137154545454544</v>
      </c>
      <c r="AR295" s="542">
        <f t="shared" si="219"/>
        <v>3.4137154545454544</v>
      </c>
      <c r="AS295" s="542">
        <f t="shared" si="219"/>
        <v>3.4137154545454544</v>
      </c>
      <c r="AT295" s="542">
        <f t="shared" si="219"/>
        <v>3.4137154545454544</v>
      </c>
      <c r="AU295" s="542">
        <f t="shared" si="219"/>
        <v>3.4137154545454544</v>
      </c>
      <c r="AV295" s="542">
        <f t="shared" si="219"/>
        <v>3.4137154545454544</v>
      </c>
      <c r="AW295" s="542">
        <f t="shared" si="219"/>
        <v>3.4137154545454544</v>
      </c>
      <c r="AX295" s="542">
        <f t="shared" si="218"/>
        <v>3.4137154545454544</v>
      </c>
      <c r="AY295" s="542">
        <f t="shared" si="218"/>
        <v>3.4137154545454544</v>
      </c>
      <c r="AZ295" s="542">
        <f t="shared" si="218"/>
        <v>3.4137154545454544</v>
      </c>
      <c r="BA295" s="542">
        <f t="shared" si="218"/>
        <v>3.4137154545454544</v>
      </c>
      <c r="BB295" s="542">
        <f t="shared" si="218"/>
        <v>3.4137154545454544</v>
      </c>
      <c r="BC295" s="542">
        <f t="shared" si="218"/>
        <v>3.4137154545454544</v>
      </c>
      <c r="BD295" s="542">
        <f t="shared" si="218"/>
        <v>3.4137154545454544</v>
      </c>
      <c r="BE295" s="542">
        <f t="shared" si="218"/>
        <v>3.4137154545454544</v>
      </c>
      <c r="BF295" s="542">
        <f t="shared" si="218"/>
        <v>3.4137154545454544</v>
      </c>
      <c r="BG295" s="542">
        <f t="shared" si="218"/>
        <v>3.4137154545454544</v>
      </c>
      <c r="BH295" s="542">
        <f t="shared" si="218"/>
        <v>3.4137154545454544</v>
      </c>
      <c r="BI295" s="542">
        <f t="shared" si="218"/>
        <v>3.4137154545454544</v>
      </c>
      <c r="BJ295" s="542">
        <f t="shared" si="218"/>
        <v>3.4137154545454544</v>
      </c>
      <c r="BK295" s="542">
        <f t="shared" si="218"/>
        <v>3.4137154545454544</v>
      </c>
      <c r="BL295" s="542">
        <f t="shared" si="218"/>
        <v>3.4137154545454544</v>
      </c>
      <c r="BM295" s="542">
        <f t="shared" si="218"/>
        <v>3.4137154545454544</v>
      </c>
      <c r="BN295" s="542">
        <f t="shared" si="218"/>
        <v>3.4137154545454544</v>
      </c>
      <c r="BO295" s="542">
        <f t="shared" si="218"/>
        <v>3.4137154545454544</v>
      </c>
      <c r="BP295" s="542">
        <f t="shared" si="218"/>
        <v>3.4137154545454544</v>
      </c>
      <c r="BQ295" s="542">
        <f t="shared" si="218"/>
        <v>3.4137154545454544</v>
      </c>
      <c r="BR295" s="542">
        <f t="shared" si="218"/>
        <v>3.4137154545454544</v>
      </c>
      <c r="BS295" s="542">
        <f t="shared" si="218"/>
        <v>3.4137154545454544</v>
      </c>
      <c r="BT295" s="542">
        <f t="shared" si="218"/>
        <v>3.4137154545454544</v>
      </c>
      <c r="BU295" s="542">
        <f t="shared" si="218"/>
        <v>3.4137154545454544</v>
      </c>
      <c r="BV295" s="542">
        <f t="shared" si="218"/>
        <v>3.4137154545454544</v>
      </c>
      <c r="BW295" s="542">
        <f t="shared" si="218"/>
        <v>3.4137154545454544</v>
      </c>
      <c r="BX295" s="542">
        <f t="shared" si="218"/>
        <v>3.4137154545454544</v>
      </c>
      <c r="BY295" s="542">
        <f t="shared" si="218"/>
        <v>3.4137154545454544</v>
      </c>
      <c r="BZ295" s="542">
        <f t="shared" si="218"/>
        <v>3.4137154545454544</v>
      </c>
      <c r="CA295" s="542">
        <f t="shared" si="218"/>
        <v>3.4137154545454544</v>
      </c>
      <c r="CB295" s="542">
        <f t="shared" si="218"/>
        <v>3.4137154545454544</v>
      </c>
      <c r="CC295" s="542">
        <f t="shared" si="218"/>
        <v>3.4137154545454544</v>
      </c>
      <c r="CD295" s="542">
        <f t="shared" si="218"/>
        <v>3.4137154545454544</v>
      </c>
      <c r="CE295" s="542">
        <f t="shared" si="218"/>
        <v>3.4137154545454544</v>
      </c>
      <c r="CG295" s="541">
        <v>3.4137154545454544</v>
      </c>
      <c r="CH295" s="541">
        <v>3.4137154545454544</v>
      </c>
      <c r="CI295" s="541">
        <v>3.4137154545454544</v>
      </c>
      <c r="CJ295" s="541">
        <v>3.4137154545454544</v>
      </c>
      <c r="CK295" s="541">
        <v>3.4137154545454544</v>
      </c>
      <c r="CL295" s="541">
        <v>3.4137154545454544</v>
      </c>
      <c r="CM295" s="541">
        <v>3.4137154545454544</v>
      </c>
      <c r="CN295" s="541">
        <v>3.4137154545454544</v>
      </c>
      <c r="CO295" s="541">
        <v>3.4137154545454544</v>
      </c>
      <c r="CP295" s="541">
        <v>3.4137154545454544</v>
      </c>
      <c r="CQ295" s="541">
        <v>3.4137154545454544</v>
      </c>
      <c r="CR295" s="541">
        <v>3.4137154545454544</v>
      </c>
      <c r="CS295" s="541">
        <v>3.4137154545454544</v>
      </c>
      <c r="CT295" s="541">
        <v>3.4137154545454544</v>
      </c>
      <c r="CU295" s="541">
        <v>3.4137154545454544</v>
      </c>
      <c r="CV295" s="541">
        <v>3.4137154545454544</v>
      </c>
      <c r="CW295" s="541">
        <v>3.4137154545454544</v>
      </c>
      <c r="CX295" s="541">
        <v>3.4137154545454544</v>
      </c>
      <c r="CY295" s="541">
        <v>3.4137154545454544</v>
      </c>
      <c r="CZ295" s="541">
        <v>3.4137154545454544</v>
      </c>
      <c r="DA295" s="541">
        <v>3.4137154545454544</v>
      </c>
      <c r="DB295" s="541">
        <v>3.4137154545454544</v>
      </c>
      <c r="DC295" s="541">
        <v>3.4137154545454544</v>
      </c>
      <c r="DD295" s="541">
        <v>3.4137154545454544</v>
      </c>
      <c r="DE295" s="541">
        <v>3.4137154545454544</v>
      </c>
      <c r="DF295" s="541">
        <v>3.4137154545454544</v>
      </c>
      <c r="DG295" s="541">
        <v>3.4137154545454544</v>
      </c>
      <c r="DH295" s="541">
        <v>3.4137154545454544</v>
      </c>
    </row>
    <row r="296" spans="2:112">
      <c r="B296" t="s">
        <v>1162</v>
      </c>
      <c r="C296" t="s">
        <v>1146</v>
      </c>
      <c r="D296" t="s">
        <v>913</v>
      </c>
      <c r="E296" t="s">
        <v>908</v>
      </c>
      <c r="F296" s="541">
        <v>142.51249999999999</v>
      </c>
      <c r="G296" s="541">
        <v>142.51249999999999</v>
      </c>
      <c r="H296" s="541">
        <v>142.51249999999999</v>
      </c>
      <c r="I296" s="541">
        <v>142.51249999999999</v>
      </c>
      <c r="J296" s="541">
        <v>142.51249999999999</v>
      </c>
      <c r="K296" s="541">
        <v>142.51249999999999</v>
      </c>
      <c r="L296" s="541">
        <v>142.51249999999999</v>
      </c>
      <c r="M296" s="541">
        <v>142.51249999999999</v>
      </c>
      <c r="N296" s="541">
        <v>142.51249999999999</v>
      </c>
      <c r="O296" s="541">
        <v>142.51249999999999</v>
      </c>
      <c r="P296" s="541">
        <v>142.51249999999999</v>
      </c>
      <c r="Q296" s="541">
        <v>142.51249999999999</v>
      </c>
      <c r="R296" s="541">
        <v>142.51249999999999</v>
      </c>
      <c r="S296" s="541">
        <v>142.51249999999999</v>
      </c>
      <c r="T296" s="541">
        <v>142.51249999999999</v>
      </c>
      <c r="U296" s="541">
        <v>142.51249999999999</v>
      </c>
      <c r="V296" s="541">
        <v>142.51249999999999</v>
      </c>
      <c r="W296" s="541">
        <v>142.51249999999999</v>
      </c>
      <c r="X296" s="541">
        <v>142.51249999999999</v>
      </c>
      <c r="Y296" s="541">
        <v>142.51249999999999</v>
      </c>
      <c r="Z296" s="541">
        <v>142.51249999999999</v>
      </c>
      <c r="AA296" s="541">
        <v>142.51249999999999</v>
      </c>
      <c r="AB296" s="541">
        <v>142.51249999999999</v>
      </c>
      <c r="AC296" s="541">
        <v>142.51249999999999</v>
      </c>
      <c r="AD296" s="541">
        <v>142.51249999999999</v>
      </c>
      <c r="AE296" s="541">
        <v>142.51249999999999</v>
      </c>
      <c r="AF296" s="541">
        <v>142.51249999999999</v>
      </c>
      <c r="AG296" s="541">
        <v>142.51249999999999</v>
      </c>
      <c r="AH296" s="542">
        <f t="shared" si="219"/>
        <v>142.51249999999999</v>
      </c>
      <c r="AI296" s="542">
        <f t="shared" si="219"/>
        <v>142.51249999999999</v>
      </c>
      <c r="AJ296" s="542">
        <f t="shared" si="219"/>
        <v>142.51249999999999</v>
      </c>
      <c r="AK296" s="542">
        <f t="shared" si="219"/>
        <v>142.51249999999999</v>
      </c>
      <c r="AL296" s="542">
        <f t="shared" si="219"/>
        <v>142.51249999999999</v>
      </c>
      <c r="AM296" s="542">
        <f t="shared" si="219"/>
        <v>142.51249999999999</v>
      </c>
      <c r="AN296" s="542">
        <f t="shared" si="219"/>
        <v>142.51249999999999</v>
      </c>
      <c r="AO296" s="542">
        <f t="shared" si="219"/>
        <v>142.51249999999999</v>
      </c>
      <c r="AP296" s="542">
        <f t="shared" si="219"/>
        <v>142.51249999999999</v>
      </c>
      <c r="AQ296" s="542">
        <f t="shared" si="219"/>
        <v>142.51249999999999</v>
      </c>
      <c r="AR296" s="542">
        <f t="shared" si="219"/>
        <v>142.51249999999999</v>
      </c>
      <c r="AS296" s="542">
        <f t="shared" si="219"/>
        <v>142.51249999999999</v>
      </c>
      <c r="AT296" s="542">
        <f t="shared" si="219"/>
        <v>142.51249999999999</v>
      </c>
      <c r="AU296" s="542">
        <f t="shared" si="219"/>
        <v>142.51249999999999</v>
      </c>
      <c r="AV296" s="542">
        <f t="shared" si="219"/>
        <v>142.51249999999999</v>
      </c>
      <c r="AW296" s="542">
        <f t="shared" si="219"/>
        <v>142.51249999999999</v>
      </c>
      <c r="AX296" s="542">
        <f t="shared" si="218"/>
        <v>142.51249999999999</v>
      </c>
      <c r="AY296" s="542">
        <f t="shared" si="218"/>
        <v>142.51249999999999</v>
      </c>
      <c r="AZ296" s="542">
        <f t="shared" si="218"/>
        <v>142.51249999999999</v>
      </c>
      <c r="BA296" s="542">
        <f t="shared" si="218"/>
        <v>142.51249999999999</v>
      </c>
      <c r="BB296" s="542">
        <f t="shared" si="218"/>
        <v>142.51249999999999</v>
      </c>
      <c r="BC296" s="542">
        <f t="shared" si="218"/>
        <v>142.51249999999999</v>
      </c>
      <c r="BD296" s="542">
        <f t="shared" si="218"/>
        <v>142.51249999999999</v>
      </c>
      <c r="BE296" s="542">
        <f t="shared" si="218"/>
        <v>142.51249999999999</v>
      </c>
      <c r="BF296" s="542">
        <f t="shared" si="218"/>
        <v>142.51249999999999</v>
      </c>
      <c r="BG296" s="542">
        <f t="shared" si="218"/>
        <v>142.51249999999999</v>
      </c>
      <c r="BH296" s="542">
        <f t="shared" si="218"/>
        <v>142.51249999999999</v>
      </c>
      <c r="BI296" s="542">
        <f t="shared" si="218"/>
        <v>142.51249999999999</v>
      </c>
      <c r="BJ296" s="542">
        <f t="shared" si="218"/>
        <v>142.51249999999999</v>
      </c>
      <c r="BK296" s="542">
        <f t="shared" si="218"/>
        <v>142.51249999999999</v>
      </c>
      <c r="BL296" s="542">
        <f t="shared" si="218"/>
        <v>142.51249999999999</v>
      </c>
      <c r="BM296" s="542">
        <f t="shared" si="218"/>
        <v>142.51249999999999</v>
      </c>
      <c r="BN296" s="542">
        <f t="shared" si="218"/>
        <v>142.51249999999999</v>
      </c>
      <c r="BO296" s="542">
        <f t="shared" si="218"/>
        <v>142.51249999999999</v>
      </c>
      <c r="BP296" s="542">
        <f t="shared" si="218"/>
        <v>142.51249999999999</v>
      </c>
      <c r="BQ296" s="542">
        <f t="shared" si="218"/>
        <v>142.51249999999999</v>
      </c>
      <c r="BR296" s="542">
        <f t="shared" si="218"/>
        <v>142.51249999999999</v>
      </c>
      <c r="BS296" s="542">
        <f t="shared" si="218"/>
        <v>142.51249999999999</v>
      </c>
      <c r="BT296" s="542">
        <f t="shared" si="218"/>
        <v>142.51249999999999</v>
      </c>
      <c r="BU296" s="542">
        <f t="shared" si="218"/>
        <v>142.51249999999999</v>
      </c>
      <c r="BV296" s="542">
        <f t="shared" si="218"/>
        <v>142.51249999999999</v>
      </c>
      <c r="BW296" s="542">
        <f t="shared" si="218"/>
        <v>142.51249999999999</v>
      </c>
      <c r="BX296" s="542">
        <f t="shared" si="218"/>
        <v>142.51249999999999</v>
      </c>
      <c r="BY296" s="542">
        <f t="shared" si="218"/>
        <v>142.51249999999999</v>
      </c>
      <c r="BZ296" s="542">
        <f t="shared" si="218"/>
        <v>142.51249999999999</v>
      </c>
      <c r="CA296" s="542">
        <f t="shared" si="218"/>
        <v>142.51249999999999</v>
      </c>
      <c r="CB296" s="542">
        <f t="shared" si="218"/>
        <v>142.51249999999999</v>
      </c>
      <c r="CC296" s="542">
        <f t="shared" si="218"/>
        <v>142.51249999999999</v>
      </c>
      <c r="CD296" s="542">
        <f t="shared" si="218"/>
        <v>142.51249999999999</v>
      </c>
      <c r="CE296" s="542">
        <f t="shared" si="218"/>
        <v>142.51249999999999</v>
      </c>
      <c r="CG296" s="541">
        <v>142.51249999999999</v>
      </c>
      <c r="CH296" s="541">
        <v>142.51249999999999</v>
      </c>
      <c r="CI296" s="541">
        <v>142.51249999999999</v>
      </c>
      <c r="CJ296" s="541">
        <v>142.51249999999999</v>
      </c>
      <c r="CK296" s="541">
        <v>142.51249999999999</v>
      </c>
      <c r="CL296" s="541">
        <v>142.51249999999999</v>
      </c>
      <c r="CM296" s="541">
        <v>142.51249999999999</v>
      </c>
      <c r="CN296" s="541">
        <v>142.51249999999999</v>
      </c>
      <c r="CO296" s="541">
        <v>142.51249999999999</v>
      </c>
      <c r="CP296" s="541">
        <v>142.51249999999999</v>
      </c>
      <c r="CQ296" s="541">
        <v>142.51249999999999</v>
      </c>
      <c r="CR296" s="541">
        <v>142.51249999999999</v>
      </c>
      <c r="CS296" s="541">
        <v>142.51249999999999</v>
      </c>
      <c r="CT296" s="541">
        <v>142.51249999999999</v>
      </c>
      <c r="CU296" s="541">
        <v>142.51249999999999</v>
      </c>
      <c r="CV296" s="541">
        <v>142.51249999999999</v>
      </c>
      <c r="CW296" s="541">
        <v>142.51249999999999</v>
      </c>
      <c r="CX296" s="541">
        <v>142.51249999999999</v>
      </c>
      <c r="CY296" s="541">
        <v>142.51249999999999</v>
      </c>
      <c r="CZ296" s="541">
        <v>142.51249999999999</v>
      </c>
      <c r="DA296" s="541">
        <v>142.51249999999999</v>
      </c>
      <c r="DB296" s="541">
        <v>142.51249999999999</v>
      </c>
      <c r="DC296" s="541">
        <v>142.51249999999999</v>
      </c>
      <c r="DD296" s="541">
        <v>142.51249999999999</v>
      </c>
      <c r="DE296" s="541">
        <v>142.51249999999999</v>
      </c>
      <c r="DF296" s="541">
        <v>142.51249999999999</v>
      </c>
      <c r="DG296" s="541">
        <v>142.51249999999999</v>
      </c>
      <c r="DH296" s="541">
        <v>142.51249999999999</v>
      </c>
    </row>
    <row r="297" spans="2:112">
      <c r="B297" t="s">
        <v>1163</v>
      </c>
      <c r="C297" t="s">
        <v>1146</v>
      </c>
      <c r="D297" t="s">
        <v>915</v>
      </c>
      <c r="E297" t="s">
        <v>911</v>
      </c>
      <c r="F297" s="541">
        <v>3.4912904545454544</v>
      </c>
      <c r="G297" s="541">
        <v>3.4912904545454544</v>
      </c>
      <c r="H297" s="541">
        <v>3.4912904545454544</v>
      </c>
      <c r="I297" s="541">
        <v>3.4912904545454544</v>
      </c>
      <c r="J297" s="541">
        <v>3.4912904545454544</v>
      </c>
      <c r="K297" s="541">
        <v>3.4912904545454544</v>
      </c>
      <c r="L297" s="541">
        <v>3.4912904545454544</v>
      </c>
      <c r="M297" s="541">
        <v>3.4912904545454544</v>
      </c>
      <c r="N297" s="541">
        <v>3.4912904545454544</v>
      </c>
      <c r="O297" s="541">
        <v>3.4912904545454544</v>
      </c>
      <c r="P297" s="541">
        <v>3.4912904545454544</v>
      </c>
      <c r="Q297" s="541">
        <v>3.4912904545454544</v>
      </c>
      <c r="R297" s="541">
        <v>3.4912904545454544</v>
      </c>
      <c r="S297" s="541">
        <v>3.4912904545454544</v>
      </c>
      <c r="T297" s="541">
        <v>3.4912904545454544</v>
      </c>
      <c r="U297" s="541">
        <v>3.4912904545454544</v>
      </c>
      <c r="V297" s="541">
        <v>3.4912904545454544</v>
      </c>
      <c r="W297" s="541">
        <v>3.4912904545454544</v>
      </c>
      <c r="X297" s="541">
        <v>3.4912904545454544</v>
      </c>
      <c r="Y297" s="541">
        <v>3.4912904545454544</v>
      </c>
      <c r="Z297" s="541">
        <v>3.4912904545454544</v>
      </c>
      <c r="AA297" s="541">
        <v>3.4912904545454544</v>
      </c>
      <c r="AB297" s="541">
        <v>3.4912904545454544</v>
      </c>
      <c r="AC297" s="541">
        <v>3.4912904545454544</v>
      </c>
      <c r="AD297" s="541">
        <v>3.4912904545454544</v>
      </c>
      <c r="AE297" s="541">
        <v>3.4912904545454544</v>
      </c>
      <c r="AF297" s="541">
        <v>3.4912904545454544</v>
      </c>
      <c r="AG297" s="541">
        <v>3.4912904545454544</v>
      </c>
      <c r="AH297" s="542">
        <f t="shared" si="219"/>
        <v>3.4912904545454544</v>
      </c>
      <c r="AI297" s="542">
        <f t="shared" si="219"/>
        <v>3.4912904545454544</v>
      </c>
      <c r="AJ297" s="542">
        <f t="shared" si="219"/>
        <v>3.4912904545454544</v>
      </c>
      <c r="AK297" s="542">
        <f t="shared" si="219"/>
        <v>3.4912904545454544</v>
      </c>
      <c r="AL297" s="542">
        <f t="shared" si="219"/>
        <v>3.4912904545454544</v>
      </c>
      <c r="AM297" s="542">
        <f t="shared" si="219"/>
        <v>3.4912904545454544</v>
      </c>
      <c r="AN297" s="542">
        <f t="shared" si="219"/>
        <v>3.4912904545454544</v>
      </c>
      <c r="AO297" s="542">
        <f t="shared" si="219"/>
        <v>3.4912904545454544</v>
      </c>
      <c r="AP297" s="542">
        <f t="shared" si="219"/>
        <v>3.4912904545454544</v>
      </c>
      <c r="AQ297" s="542">
        <f t="shared" si="219"/>
        <v>3.4912904545454544</v>
      </c>
      <c r="AR297" s="542">
        <f t="shared" si="219"/>
        <v>3.4912904545454544</v>
      </c>
      <c r="AS297" s="542">
        <f t="shared" si="219"/>
        <v>3.4912904545454544</v>
      </c>
      <c r="AT297" s="542">
        <f t="shared" si="219"/>
        <v>3.4912904545454544</v>
      </c>
      <c r="AU297" s="542">
        <f t="shared" si="219"/>
        <v>3.4912904545454544</v>
      </c>
      <c r="AV297" s="542">
        <f t="shared" si="219"/>
        <v>3.4912904545454544</v>
      </c>
      <c r="AW297" s="542">
        <f t="shared" si="219"/>
        <v>3.4912904545454544</v>
      </c>
      <c r="AX297" s="542">
        <f t="shared" si="218"/>
        <v>3.4912904545454544</v>
      </c>
      <c r="AY297" s="542">
        <f t="shared" si="218"/>
        <v>3.4912904545454544</v>
      </c>
      <c r="AZ297" s="542">
        <f t="shared" si="218"/>
        <v>3.4912904545454544</v>
      </c>
      <c r="BA297" s="542">
        <f t="shared" si="218"/>
        <v>3.4912904545454544</v>
      </c>
      <c r="BB297" s="542">
        <f t="shared" si="218"/>
        <v>3.4912904545454544</v>
      </c>
      <c r="BC297" s="542">
        <f t="shared" si="218"/>
        <v>3.4912904545454544</v>
      </c>
      <c r="BD297" s="542">
        <f t="shared" si="218"/>
        <v>3.4912904545454544</v>
      </c>
      <c r="BE297" s="542">
        <f t="shared" si="218"/>
        <v>3.4912904545454544</v>
      </c>
      <c r="BF297" s="542">
        <f t="shared" si="218"/>
        <v>3.4912904545454544</v>
      </c>
      <c r="BG297" s="542">
        <f t="shared" si="218"/>
        <v>3.4912904545454544</v>
      </c>
      <c r="BH297" s="542">
        <f t="shared" si="218"/>
        <v>3.4912904545454544</v>
      </c>
      <c r="BI297" s="542">
        <f t="shared" si="218"/>
        <v>3.4912904545454544</v>
      </c>
      <c r="BJ297" s="542">
        <f t="shared" si="218"/>
        <v>3.4912904545454544</v>
      </c>
      <c r="BK297" s="542">
        <f t="shared" si="218"/>
        <v>3.4912904545454544</v>
      </c>
      <c r="BL297" s="542">
        <f t="shared" si="218"/>
        <v>3.4912904545454544</v>
      </c>
      <c r="BM297" s="542">
        <f t="shared" si="218"/>
        <v>3.4912904545454544</v>
      </c>
      <c r="BN297" s="542">
        <f t="shared" si="218"/>
        <v>3.4912904545454544</v>
      </c>
      <c r="BO297" s="542">
        <f t="shared" si="218"/>
        <v>3.4912904545454544</v>
      </c>
      <c r="BP297" s="542">
        <f t="shared" si="218"/>
        <v>3.4912904545454544</v>
      </c>
      <c r="BQ297" s="542">
        <f t="shared" si="218"/>
        <v>3.4912904545454544</v>
      </c>
      <c r="BR297" s="542">
        <f t="shared" si="218"/>
        <v>3.4912904545454544</v>
      </c>
      <c r="BS297" s="542">
        <f t="shared" si="218"/>
        <v>3.4912904545454544</v>
      </c>
      <c r="BT297" s="542">
        <f t="shared" si="218"/>
        <v>3.4912904545454544</v>
      </c>
      <c r="BU297" s="542">
        <f t="shared" si="218"/>
        <v>3.4912904545454544</v>
      </c>
      <c r="BV297" s="542">
        <f t="shared" si="218"/>
        <v>3.4912904545454544</v>
      </c>
      <c r="BW297" s="542">
        <f t="shared" si="218"/>
        <v>3.4912904545454544</v>
      </c>
      <c r="BX297" s="542">
        <f t="shared" si="218"/>
        <v>3.4912904545454544</v>
      </c>
      <c r="BY297" s="542">
        <f t="shared" si="218"/>
        <v>3.4912904545454544</v>
      </c>
      <c r="BZ297" s="542">
        <f t="shared" si="218"/>
        <v>3.4912904545454544</v>
      </c>
      <c r="CA297" s="542">
        <f t="shared" si="218"/>
        <v>3.4912904545454544</v>
      </c>
      <c r="CB297" s="542">
        <f t="shared" si="218"/>
        <v>3.4912904545454544</v>
      </c>
      <c r="CC297" s="542">
        <f t="shared" si="218"/>
        <v>3.4912904545454544</v>
      </c>
      <c r="CD297" s="542">
        <f t="shared" si="218"/>
        <v>3.4912904545454544</v>
      </c>
      <c r="CE297" s="542">
        <f t="shared" si="218"/>
        <v>3.4912904545454544</v>
      </c>
      <c r="CG297" s="541">
        <v>3.4912904545454544</v>
      </c>
      <c r="CH297" s="541">
        <v>3.4912904545454544</v>
      </c>
      <c r="CI297" s="541">
        <v>3.4912904545454544</v>
      </c>
      <c r="CJ297" s="541">
        <v>3.4912904545454544</v>
      </c>
      <c r="CK297" s="541">
        <v>3.4912904545454544</v>
      </c>
      <c r="CL297" s="541">
        <v>3.4912904545454544</v>
      </c>
      <c r="CM297" s="541">
        <v>3.4912904545454544</v>
      </c>
      <c r="CN297" s="541">
        <v>3.4912904545454544</v>
      </c>
      <c r="CO297" s="541">
        <v>3.4912904545454544</v>
      </c>
      <c r="CP297" s="541">
        <v>3.4912904545454544</v>
      </c>
      <c r="CQ297" s="541">
        <v>3.4912904545454544</v>
      </c>
      <c r="CR297" s="541">
        <v>3.4912904545454544</v>
      </c>
      <c r="CS297" s="541">
        <v>3.4912904545454544</v>
      </c>
      <c r="CT297" s="541">
        <v>3.4912904545454544</v>
      </c>
      <c r="CU297" s="541">
        <v>3.4912904545454544</v>
      </c>
      <c r="CV297" s="541">
        <v>3.4912904545454544</v>
      </c>
      <c r="CW297" s="541">
        <v>3.4912904545454544</v>
      </c>
      <c r="CX297" s="541">
        <v>3.4912904545454544</v>
      </c>
      <c r="CY297" s="541">
        <v>3.4912904545454544</v>
      </c>
      <c r="CZ297" s="541">
        <v>3.4912904545454544</v>
      </c>
      <c r="DA297" s="541">
        <v>3.4912904545454544</v>
      </c>
      <c r="DB297" s="541">
        <v>3.4912904545454544</v>
      </c>
      <c r="DC297" s="541">
        <v>3.4912904545454544</v>
      </c>
      <c r="DD297" s="541">
        <v>3.4912904545454544</v>
      </c>
      <c r="DE297" s="541">
        <v>3.4912904545454544</v>
      </c>
      <c r="DF297" s="541">
        <v>3.4912904545454544</v>
      </c>
      <c r="DG297" s="541">
        <v>3.4912904545454544</v>
      </c>
      <c r="DH297" s="541">
        <v>3.4912904545454544</v>
      </c>
    </row>
    <row r="298" spans="2:112">
      <c r="B298" t="s">
        <v>1164</v>
      </c>
      <c r="C298" t="s">
        <v>1146</v>
      </c>
      <c r="D298" t="s">
        <v>917</v>
      </c>
      <c r="E298" t="s">
        <v>908</v>
      </c>
      <c r="F298" s="541">
        <v>138.98249999999999</v>
      </c>
      <c r="G298" s="541">
        <v>138.98249999999999</v>
      </c>
      <c r="H298" s="541">
        <v>138.98249999999999</v>
      </c>
      <c r="I298" s="541">
        <v>138.98249999999999</v>
      </c>
      <c r="J298" s="541">
        <v>138.98249999999999</v>
      </c>
      <c r="K298" s="541">
        <v>138.98249999999999</v>
      </c>
      <c r="L298" s="541">
        <v>138.98249999999999</v>
      </c>
      <c r="M298" s="541">
        <v>138.98249999999999</v>
      </c>
      <c r="N298" s="541">
        <v>138.98249999999999</v>
      </c>
      <c r="O298" s="541">
        <v>138.98249999999999</v>
      </c>
      <c r="P298" s="541">
        <v>138.98249999999999</v>
      </c>
      <c r="Q298" s="541">
        <v>138.98249999999999</v>
      </c>
      <c r="R298" s="541">
        <v>138.98249999999999</v>
      </c>
      <c r="S298" s="541">
        <v>138.98249999999999</v>
      </c>
      <c r="T298" s="541">
        <v>138.98249999999999</v>
      </c>
      <c r="U298" s="541">
        <v>138.98249999999999</v>
      </c>
      <c r="V298" s="541">
        <v>138.98249999999999</v>
      </c>
      <c r="W298" s="541">
        <v>138.98249999999999</v>
      </c>
      <c r="X298" s="541">
        <v>138.98249999999999</v>
      </c>
      <c r="Y298" s="541">
        <v>138.98249999999999</v>
      </c>
      <c r="Z298" s="541">
        <v>138.98249999999999</v>
      </c>
      <c r="AA298" s="541">
        <v>138.98249999999999</v>
      </c>
      <c r="AB298" s="541">
        <v>138.98249999999999</v>
      </c>
      <c r="AC298" s="541">
        <v>138.98249999999999</v>
      </c>
      <c r="AD298" s="541">
        <v>138.98249999999999</v>
      </c>
      <c r="AE298" s="541">
        <v>138.98249999999999</v>
      </c>
      <c r="AF298" s="541">
        <v>138.98249999999999</v>
      </c>
      <c r="AG298" s="541">
        <v>138.98249999999999</v>
      </c>
      <c r="AH298" s="542">
        <f t="shared" si="219"/>
        <v>138.98249999999999</v>
      </c>
      <c r="AI298" s="542">
        <f t="shared" si="219"/>
        <v>138.98249999999999</v>
      </c>
      <c r="AJ298" s="542">
        <f t="shared" si="219"/>
        <v>138.98249999999999</v>
      </c>
      <c r="AK298" s="542">
        <f t="shared" si="219"/>
        <v>138.98249999999999</v>
      </c>
      <c r="AL298" s="542">
        <f t="shared" si="219"/>
        <v>138.98249999999999</v>
      </c>
      <c r="AM298" s="542">
        <f t="shared" si="219"/>
        <v>138.98249999999999</v>
      </c>
      <c r="AN298" s="542">
        <f t="shared" si="219"/>
        <v>138.98249999999999</v>
      </c>
      <c r="AO298" s="542">
        <f t="shared" si="219"/>
        <v>138.98249999999999</v>
      </c>
      <c r="AP298" s="542">
        <f t="shared" si="219"/>
        <v>138.98249999999999</v>
      </c>
      <c r="AQ298" s="542">
        <f t="shared" si="219"/>
        <v>138.98249999999999</v>
      </c>
      <c r="AR298" s="542">
        <f t="shared" si="219"/>
        <v>138.98249999999999</v>
      </c>
      <c r="AS298" s="542">
        <f t="shared" si="219"/>
        <v>138.98249999999999</v>
      </c>
      <c r="AT298" s="542">
        <f t="shared" si="219"/>
        <v>138.98249999999999</v>
      </c>
      <c r="AU298" s="542">
        <f t="shared" si="219"/>
        <v>138.98249999999999</v>
      </c>
      <c r="AV298" s="542">
        <f t="shared" si="219"/>
        <v>138.98249999999999</v>
      </c>
      <c r="AW298" s="542">
        <f t="shared" si="219"/>
        <v>138.98249999999999</v>
      </c>
      <c r="AX298" s="542">
        <f t="shared" si="218"/>
        <v>138.98249999999999</v>
      </c>
      <c r="AY298" s="542">
        <f t="shared" si="218"/>
        <v>138.98249999999999</v>
      </c>
      <c r="AZ298" s="542">
        <f t="shared" si="218"/>
        <v>138.98249999999999</v>
      </c>
      <c r="BA298" s="542">
        <f t="shared" si="218"/>
        <v>138.98249999999999</v>
      </c>
      <c r="BB298" s="542">
        <f t="shared" si="218"/>
        <v>138.98249999999999</v>
      </c>
      <c r="BC298" s="542">
        <f t="shared" si="218"/>
        <v>138.98249999999999</v>
      </c>
      <c r="BD298" s="542">
        <f t="shared" si="218"/>
        <v>138.98249999999999</v>
      </c>
      <c r="BE298" s="542">
        <f t="shared" si="218"/>
        <v>138.98249999999999</v>
      </c>
      <c r="BF298" s="542">
        <f t="shared" si="218"/>
        <v>138.98249999999999</v>
      </c>
      <c r="BG298" s="542">
        <f t="shared" si="218"/>
        <v>138.98249999999999</v>
      </c>
      <c r="BH298" s="542">
        <f t="shared" si="218"/>
        <v>138.98249999999999</v>
      </c>
      <c r="BI298" s="542">
        <f t="shared" si="218"/>
        <v>138.98249999999999</v>
      </c>
      <c r="BJ298" s="542">
        <f t="shared" si="218"/>
        <v>138.98249999999999</v>
      </c>
      <c r="BK298" s="542">
        <f t="shared" si="218"/>
        <v>138.98249999999999</v>
      </c>
      <c r="BL298" s="542">
        <f t="shared" si="218"/>
        <v>138.98249999999999</v>
      </c>
      <c r="BM298" s="542">
        <f t="shared" si="218"/>
        <v>138.98249999999999</v>
      </c>
      <c r="BN298" s="542">
        <f t="shared" si="218"/>
        <v>138.98249999999999</v>
      </c>
      <c r="BO298" s="542">
        <f t="shared" si="218"/>
        <v>138.98249999999999</v>
      </c>
      <c r="BP298" s="542">
        <f t="shared" si="218"/>
        <v>138.98249999999999</v>
      </c>
      <c r="BQ298" s="542">
        <f t="shared" si="218"/>
        <v>138.98249999999999</v>
      </c>
      <c r="BR298" s="542">
        <f t="shared" si="218"/>
        <v>138.98249999999999</v>
      </c>
      <c r="BS298" s="542">
        <f t="shared" si="218"/>
        <v>138.98249999999999</v>
      </c>
      <c r="BT298" s="542">
        <f t="shared" si="218"/>
        <v>138.98249999999999</v>
      </c>
      <c r="BU298" s="542">
        <f t="shared" si="218"/>
        <v>138.98249999999999</v>
      </c>
      <c r="BV298" s="542">
        <f t="shared" si="218"/>
        <v>138.98249999999999</v>
      </c>
      <c r="BW298" s="542">
        <f t="shared" si="218"/>
        <v>138.98249999999999</v>
      </c>
      <c r="BX298" s="542">
        <f t="shared" si="218"/>
        <v>138.98249999999999</v>
      </c>
      <c r="BY298" s="542">
        <f t="shared" si="218"/>
        <v>138.98249999999999</v>
      </c>
      <c r="BZ298" s="542">
        <f t="shared" si="218"/>
        <v>138.98249999999999</v>
      </c>
      <c r="CA298" s="542">
        <f t="shared" si="218"/>
        <v>138.98249999999999</v>
      </c>
      <c r="CB298" s="542">
        <f t="shared" si="218"/>
        <v>138.98249999999999</v>
      </c>
      <c r="CC298" s="542">
        <f t="shared" si="218"/>
        <v>138.98249999999999</v>
      </c>
      <c r="CD298" s="542">
        <f t="shared" si="218"/>
        <v>138.98249999999999</v>
      </c>
      <c r="CE298" s="542">
        <f t="shared" si="218"/>
        <v>138.98249999999999</v>
      </c>
      <c r="CG298" s="541">
        <v>138.98249999999999</v>
      </c>
      <c r="CH298" s="541">
        <v>138.98249999999999</v>
      </c>
      <c r="CI298" s="541">
        <v>138.98249999999999</v>
      </c>
      <c r="CJ298" s="541">
        <v>138.98249999999999</v>
      </c>
      <c r="CK298" s="541">
        <v>138.98249999999999</v>
      </c>
      <c r="CL298" s="541">
        <v>138.98249999999999</v>
      </c>
      <c r="CM298" s="541">
        <v>138.98249999999999</v>
      </c>
      <c r="CN298" s="541">
        <v>138.98249999999999</v>
      </c>
      <c r="CO298" s="541">
        <v>138.98249999999999</v>
      </c>
      <c r="CP298" s="541">
        <v>138.98249999999999</v>
      </c>
      <c r="CQ298" s="541">
        <v>138.98249999999999</v>
      </c>
      <c r="CR298" s="541">
        <v>138.98249999999999</v>
      </c>
      <c r="CS298" s="541">
        <v>138.98249999999999</v>
      </c>
      <c r="CT298" s="541">
        <v>138.98249999999999</v>
      </c>
      <c r="CU298" s="541">
        <v>138.98249999999999</v>
      </c>
      <c r="CV298" s="541">
        <v>138.98249999999999</v>
      </c>
      <c r="CW298" s="541">
        <v>138.98249999999999</v>
      </c>
      <c r="CX298" s="541">
        <v>138.98249999999999</v>
      </c>
      <c r="CY298" s="541">
        <v>138.98249999999999</v>
      </c>
      <c r="CZ298" s="541">
        <v>138.98249999999999</v>
      </c>
      <c r="DA298" s="541">
        <v>138.98249999999999</v>
      </c>
      <c r="DB298" s="541">
        <v>138.98249999999999</v>
      </c>
      <c r="DC298" s="541">
        <v>138.98249999999999</v>
      </c>
      <c r="DD298" s="541">
        <v>138.98249999999999</v>
      </c>
      <c r="DE298" s="541">
        <v>138.98249999999999</v>
      </c>
      <c r="DF298" s="541">
        <v>138.98249999999999</v>
      </c>
      <c r="DG298" s="541">
        <v>138.98249999999999</v>
      </c>
      <c r="DH298" s="541">
        <v>138.98249999999999</v>
      </c>
    </row>
    <row r="299" spans="2:112">
      <c r="B299" t="s">
        <v>1165</v>
      </c>
      <c r="C299" t="s">
        <v>1146</v>
      </c>
      <c r="D299" t="s">
        <v>919</v>
      </c>
      <c r="E299" t="s">
        <v>911</v>
      </c>
      <c r="F299" s="541">
        <v>3.4559904545454545</v>
      </c>
      <c r="G299" s="541">
        <v>3.4559904545454545</v>
      </c>
      <c r="H299" s="541">
        <v>3.4559904545454545</v>
      </c>
      <c r="I299" s="541">
        <v>3.4559904545454545</v>
      </c>
      <c r="J299" s="541">
        <v>3.4559904545454545</v>
      </c>
      <c r="K299" s="541">
        <v>3.4559904545454545</v>
      </c>
      <c r="L299" s="541">
        <v>3.4559904545454545</v>
      </c>
      <c r="M299" s="541">
        <v>3.4559904545454545</v>
      </c>
      <c r="N299" s="541">
        <v>3.4559904545454545</v>
      </c>
      <c r="O299" s="541">
        <v>3.4559904545454545</v>
      </c>
      <c r="P299" s="541">
        <v>3.4559904545454545</v>
      </c>
      <c r="Q299" s="541">
        <v>3.4559904545454545</v>
      </c>
      <c r="R299" s="541">
        <v>3.4559904545454545</v>
      </c>
      <c r="S299" s="541">
        <v>3.4559904545454545</v>
      </c>
      <c r="T299" s="541">
        <v>3.4559904545454545</v>
      </c>
      <c r="U299" s="541">
        <v>3.4559904545454545</v>
      </c>
      <c r="V299" s="541">
        <v>3.4559904545454545</v>
      </c>
      <c r="W299" s="541">
        <v>3.4559904545454545</v>
      </c>
      <c r="X299" s="541">
        <v>3.4559904545454545</v>
      </c>
      <c r="Y299" s="541">
        <v>3.4559904545454545</v>
      </c>
      <c r="Z299" s="541">
        <v>3.4559904545454545</v>
      </c>
      <c r="AA299" s="541">
        <v>3.4559904545454545</v>
      </c>
      <c r="AB299" s="541">
        <v>3.4559904545454545</v>
      </c>
      <c r="AC299" s="541">
        <v>3.4559904545454545</v>
      </c>
      <c r="AD299" s="541">
        <v>3.4559904545454545</v>
      </c>
      <c r="AE299" s="541">
        <v>3.4559904545454545</v>
      </c>
      <c r="AF299" s="541">
        <v>3.4559904545454545</v>
      </c>
      <c r="AG299" s="541">
        <v>3.4559904545454545</v>
      </c>
      <c r="AH299" s="542">
        <f t="shared" si="219"/>
        <v>3.4559904545454545</v>
      </c>
      <c r="AI299" s="542">
        <f t="shared" si="219"/>
        <v>3.4559904545454545</v>
      </c>
      <c r="AJ299" s="542">
        <f t="shared" si="219"/>
        <v>3.4559904545454545</v>
      </c>
      <c r="AK299" s="542">
        <f t="shared" si="219"/>
        <v>3.4559904545454545</v>
      </c>
      <c r="AL299" s="542">
        <f t="shared" si="219"/>
        <v>3.4559904545454545</v>
      </c>
      <c r="AM299" s="542">
        <f t="shared" si="219"/>
        <v>3.4559904545454545</v>
      </c>
      <c r="AN299" s="542">
        <f t="shared" si="219"/>
        <v>3.4559904545454545</v>
      </c>
      <c r="AO299" s="542">
        <f t="shared" si="219"/>
        <v>3.4559904545454545</v>
      </c>
      <c r="AP299" s="542">
        <f t="shared" si="219"/>
        <v>3.4559904545454545</v>
      </c>
      <c r="AQ299" s="542">
        <f t="shared" si="219"/>
        <v>3.4559904545454545</v>
      </c>
      <c r="AR299" s="542">
        <f t="shared" si="219"/>
        <v>3.4559904545454545</v>
      </c>
      <c r="AS299" s="542">
        <f t="shared" si="219"/>
        <v>3.4559904545454545</v>
      </c>
      <c r="AT299" s="542">
        <f t="shared" si="219"/>
        <v>3.4559904545454545</v>
      </c>
      <c r="AU299" s="542">
        <f t="shared" si="219"/>
        <v>3.4559904545454545</v>
      </c>
      <c r="AV299" s="542">
        <f t="shared" si="219"/>
        <v>3.4559904545454545</v>
      </c>
      <c r="AW299" s="542">
        <f t="shared" si="219"/>
        <v>3.4559904545454545</v>
      </c>
      <c r="AX299" s="542">
        <f t="shared" si="218"/>
        <v>3.4559904545454545</v>
      </c>
      <c r="AY299" s="542">
        <f t="shared" si="218"/>
        <v>3.4559904545454545</v>
      </c>
      <c r="AZ299" s="542">
        <f t="shared" si="218"/>
        <v>3.4559904545454545</v>
      </c>
      <c r="BA299" s="542">
        <f t="shared" si="218"/>
        <v>3.4559904545454545</v>
      </c>
      <c r="BB299" s="542">
        <f t="shared" si="218"/>
        <v>3.4559904545454545</v>
      </c>
      <c r="BC299" s="542">
        <f t="shared" si="218"/>
        <v>3.4559904545454545</v>
      </c>
      <c r="BD299" s="542">
        <f t="shared" si="218"/>
        <v>3.4559904545454545</v>
      </c>
      <c r="BE299" s="542">
        <f t="shared" si="218"/>
        <v>3.4559904545454545</v>
      </c>
      <c r="BF299" s="542">
        <f t="shared" si="218"/>
        <v>3.4559904545454545</v>
      </c>
      <c r="BG299" s="542">
        <f t="shared" si="218"/>
        <v>3.4559904545454545</v>
      </c>
      <c r="BH299" s="542">
        <f t="shared" si="218"/>
        <v>3.4559904545454545</v>
      </c>
      <c r="BI299" s="542">
        <f t="shared" si="218"/>
        <v>3.4559904545454545</v>
      </c>
      <c r="BJ299" s="542">
        <f t="shared" si="218"/>
        <v>3.4559904545454545</v>
      </c>
      <c r="BK299" s="542">
        <f t="shared" si="218"/>
        <v>3.4559904545454545</v>
      </c>
      <c r="BL299" s="542">
        <f t="shared" si="218"/>
        <v>3.4559904545454545</v>
      </c>
      <c r="BM299" s="542">
        <f t="shared" si="218"/>
        <v>3.4559904545454545</v>
      </c>
      <c r="BN299" s="542">
        <f t="shared" si="218"/>
        <v>3.4559904545454545</v>
      </c>
      <c r="BO299" s="542">
        <f t="shared" si="218"/>
        <v>3.4559904545454545</v>
      </c>
      <c r="BP299" s="542">
        <f t="shared" si="218"/>
        <v>3.4559904545454545</v>
      </c>
      <c r="BQ299" s="542">
        <f t="shared" si="218"/>
        <v>3.4559904545454545</v>
      </c>
      <c r="BR299" s="542">
        <f t="shared" si="218"/>
        <v>3.4559904545454545</v>
      </c>
      <c r="BS299" s="542">
        <f t="shared" si="218"/>
        <v>3.4559904545454545</v>
      </c>
      <c r="BT299" s="542">
        <f t="shared" si="218"/>
        <v>3.4559904545454545</v>
      </c>
      <c r="BU299" s="542">
        <f t="shared" si="218"/>
        <v>3.4559904545454545</v>
      </c>
      <c r="BV299" s="542">
        <f t="shared" si="218"/>
        <v>3.4559904545454545</v>
      </c>
      <c r="BW299" s="542">
        <f t="shared" si="218"/>
        <v>3.4559904545454545</v>
      </c>
      <c r="BX299" s="542">
        <f t="shared" si="218"/>
        <v>3.4559904545454545</v>
      </c>
      <c r="BY299" s="542">
        <f t="shared" si="218"/>
        <v>3.4559904545454545</v>
      </c>
      <c r="BZ299" s="542">
        <f t="shared" si="218"/>
        <v>3.4559904545454545</v>
      </c>
      <c r="CA299" s="542">
        <f t="shared" si="218"/>
        <v>3.4559904545454545</v>
      </c>
      <c r="CB299" s="542">
        <f t="shared" si="218"/>
        <v>3.4559904545454545</v>
      </c>
      <c r="CC299" s="542">
        <f t="shared" si="218"/>
        <v>3.4559904545454545</v>
      </c>
      <c r="CD299" s="542">
        <f t="shared" si="218"/>
        <v>3.4559904545454545</v>
      </c>
      <c r="CE299" s="542">
        <f t="shared" si="218"/>
        <v>3.4559904545454545</v>
      </c>
      <c r="CG299" s="541">
        <v>3.4559904545454545</v>
      </c>
      <c r="CH299" s="541">
        <v>3.4559904545454545</v>
      </c>
      <c r="CI299" s="541">
        <v>3.4559904545454545</v>
      </c>
      <c r="CJ299" s="541">
        <v>3.4559904545454545</v>
      </c>
      <c r="CK299" s="541">
        <v>3.4559904545454545</v>
      </c>
      <c r="CL299" s="541">
        <v>3.4559904545454545</v>
      </c>
      <c r="CM299" s="541">
        <v>3.4559904545454545</v>
      </c>
      <c r="CN299" s="541">
        <v>3.4559904545454545</v>
      </c>
      <c r="CO299" s="541">
        <v>3.4559904545454545</v>
      </c>
      <c r="CP299" s="541">
        <v>3.4559904545454545</v>
      </c>
      <c r="CQ299" s="541">
        <v>3.4559904545454545</v>
      </c>
      <c r="CR299" s="541">
        <v>3.4559904545454545</v>
      </c>
      <c r="CS299" s="541">
        <v>3.4559904545454545</v>
      </c>
      <c r="CT299" s="541">
        <v>3.4559904545454545</v>
      </c>
      <c r="CU299" s="541">
        <v>3.4559904545454545</v>
      </c>
      <c r="CV299" s="541">
        <v>3.4559904545454545</v>
      </c>
      <c r="CW299" s="541">
        <v>3.4559904545454545</v>
      </c>
      <c r="CX299" s="541">
        <v>3.4559904545454545</v>
      </c>
      <c r="CY299" s="541">
        <v>3.4559904545454545</v>
      </c>
      <c r="CZ299" s="541">
        <v>3.4559904545454545</v>
      </c>
      <c r="DA299" s="541">
        <v>3.4559904545454545</v>
      </c>
      <c r="DB299" s="541">
        <v>3.4559904545454545</v>
      </c>
      <c r="DC299" s="541">
        <v>3.4559904545454545</v>
      </c>
      <c r="DD299" s="541">
        <v>3.4559904545454545</v>
      </c>
      <c r="DE299" s="541">
        <v>3.4559904545454545</v>
      </c>
      <c r="DF299" s="541">
        <v>3.4559904545454545</v>
      </c>
      <c r="DG299" s="541">
        <v>3.4559904545454545</v>
      </c>
      <c r="DH299" s="541">
        <v>3.4559904545454545</v>
      </c>
    </row>
    <row r="300" spans="2:112">
      <c r="B300" t="s">
        <v>1166</v>
      </c>
      <c r="C300" t="s">
        <v>1146</v>
      </c>
      <c r="D300" t="s">
        <v>921</v>
      </c>
      <c r="E300" t="s">
        <v>908</v>
      </c>
      <c r="F300" s="541">
        <v>140.29249999999999</v>
      </c>
      <c r="G300" s="541">
        <v>140.29249999999999</v>
      </c>
      <c r="H300" s="541">
        <v>140.29249999999999</v>
      </c>
      <c r="I300" s="541">
        <v>140.29249999999999</v>
      </c>
      <c r="J300" s="541">
        <v>140.29249999999999</v>
      </c>
      <c r="K300" s="541">
        <v>140.29249999999999</v>
      </c>
      <c r="L300" s="541">
        <v>140.29249999999999</v>
      </c>
      <c r="M300" s="541">
        <v>140.29249999999999</v>
      </c>
      <c r="N300" s="541">
        <v>140.29249999999999</v>
      </c>
      <c r="O300" s="541">
        <v>140.29249999999999</v>
      </c>
      <c r="P300" s="541">
        <v>140.29249999999999</v>
      </c>
      <c r="Q300" s="541">
        <v>140.29249999999999</v>
      </c>
      <c r="R300" s="541">
        <v>140.29249999999999</v>
      </c>
      <c r="S300" s="541">
        <v>140.29249999999999</v>
      </c>
      <c r="T300" s="541">
        <v>140.29249999999999</v>
      </c>
      <c r="U300" s="541">
        <v>140.29249999999999</v>
      </c>
      <c r="V300" s="541">
        <v>140.29249999999999</v>
      </c>
      <c r="W300" s="541">
        <v>140.29249999999999</v>
      </c>
      <c r="X300" s="541">
        <v>140.29249999999999</v>
      </c>
      <c r="Y300" s="541">
        <v>140.29249999999999</v>
      </c>
      <c r="Z300" s="541">
        <v>140.29249999999999</v>
      </c>
      <c r="AA300" s="541">
        <v>140.29249999999999</v>
      </c>
      <c r="AB300" s="541">
        <v>140.29249999999999</v>
      </c>
      <c r="AC300" s="541">
        <v>140.29249999999999</v>
      </c>
      <c r="AD300" s="541">
        <v>140.29249999999999</v>
      </c>
      <c r="AE300" s="541">
        <v>140.29249999999999</v>
      </c>
      <c r="AF300" s="541">
        <v>140.29249999999999</v>
      </c>
      <c r="AG300" s="541">
        <v>140.29249999999999</v>
      </c>
      <c r="AH300" s="542">
        <f t="shared" si="219"/>
        <v>140.29249999999999</v>
      </c>
      <c r="AI300" s="542">
        <f t="shared" si="219"/>
        <v>140.29249999999999</v>
      </c>
      <c r="AJ300" s="542">
        <f t="shared" si="219"/>
        <v>140.29249999999999</v>
      </c>
      <c r="AK300" s="542">
        <f t="shared" si="219"/>
        <v>140.29249999999999</v>
      </c>
      <c r="AL300" s="542">
        <f t="shared" si="219"/>
        <v>140.29249999999999</v>
      </c>
      <c r="AM300" s="542">
        <f t="shared" si="219"/>
        <v>140.29249999999999</v>
      </c>
      <c r="AN300" s="542">
        <f t="shared" si="219"/>
        <v>140.29249999999999</v>
      </c>
      <c r="AO300" s="542">
        <f t="shared" si="219"/>
        <v>140.29249999999999</v>
      </c>
      <c r="AP300" s="542">
        <f t="shared" si="219"/>
        <v>140.29249999999999</v>
      </c>
      <c r="AQ300" s="542">
        <f t="shared" si="219"/>
        <v>140.29249999999999</v>
      </c>
      <c r="AR300" s="542">
        <f t="shared" si="219"/>
        <v>140.29249999999999</v>
      </c>
      <c r="AS300" s="542">
        <f t="shared" si="219"/>
        <v>140.29249999999999</v>
      </c>
      <c r="AT300" s="542">
        <f t="shared" si="219"/>
        <v>140.29249999999999</v>
      </c>
      <c r="AU300" s="542">
        <f t="shared" si="219"/>
        <v>140.29249999999999</v>
      </c>
      <c r="AV300" s="542">
        <f t="shared" si="219"/>
        <v>140.29249999999999</v>
      </c>
      <c r="AW300" s="542">
        <f t="shared" si="219"/>
        <v>140.29249999999999</v>
      </c>
      <c r="AX300" s="542">
        <f t="shared" si="218"/>
        <v>140.29249999999999</v>
      </c>
      <c r="AY300" s="542">
        <f t="shared" si="218"/>
        <v>140.29249999999999</v>
      </c>
      <c r="AZ300" s="542">
        <f t="shared" si="218"/>
        <v>140.29249999999999</v>
      </c>
      <c r="BA300" s="542">
        <f t="shared" si="218"/>
        <v>140.29249999999999</v>
      </c>
      <c r="BB300" s="542">
        <f t="shared" si="218"/>
        <v>140.29249999999999</v>
      </c>
      <c r="BC300" s="542">
        <f t="shared" si="218"/>
        <v>140.29249999999999</v>
      </c>
      <c r="BD300" s="542">
        <f t="shared" si="218"/>
        <v>140.29249999999999</v>
      </c>
      <c r="BE300" s="542">
        <f t="shared" si="218"/>
        <v>140.29249999999999</v>
      </c>
      <c r="BF300" s="542">
        <f t="shared" si="218"/>
        <v>140.29249999999999</v>
      </c>
      <c r="BG300" s="542">
        <f t="shared" si="218"/>
        <v>140.29249999999999</v>
      </c>
      <c r="BH300" s="542">
        <f t="shared" si="218"/>
        <v>140.29249999999999</v>
      </c>
      <c r="BI300" s="542">
        <f t="shared" si="218"/>
        <v>140.29249999999999</v>
      </c>
      <c r="BJ300" s="542">
        <f t="shared" si="218"/>
        <v>140.29249999999999</v>
      </c>
      <c r="BK300" s="542">
        <f t="shared" si="218"/>
        <v>140.29249999999999</v>
      </c>
      <c r="BL300" s="542">
        <f t="shared" si="218"/>
        <v>140.29249999999999</v>
      </c>
      <c r="BM300" s="542">
        <f t="shared" si="218"/>
        <v>140.29249999999999</v>
      </c>
      <c r="BN300" s="542">
        <f t="shared" si="218"/>
        <v>140.29249999999999</v>
      </c>
      <c r="BO300" s="542">
        <f t="shared" si="218"/>
        <v>140.29249999999999</v>
      </c>
      <c r="BP300" s="542">
        <f t="shared" si="218"/>
        <v>140.29249999999999</v>
      </c>
      <c r="BQ300" s="542">
        <f t="shared" si="218"/>
        <v>140.29249999999999</v>
      </c>
      <c r="BR300" s="542">
        <f t="shared" si="218"/>
        <v>140.29249999999999</v>
      </c>
      <c r="BS300" s="542">
        <f t="shared" si="218"/>
        <v>140.29249999999999</v>
      </c>
      <c r="BT300" s="542">
        <f t="shared" si="218"/>
        <v>140.29249999999999</v>
      </c>
      <c r="BU300" s="542">
        <f t="shared" si="218"/>
        <v>140.29249999999999</v>
      </c>
      <c r="BV300" s="542">
        <f t="shared" si="218"/>
        <v>140.29249999999999</v>
      </c>
      <c r="BW300" s="542">
        <f t="shared" si="218"/>
        <v>140.29249999999999</v>
      </c>
      <c r="BX300" s="542">
        <f t="shared" si="218"/>
        <v>140.29249999999999</v>
      </c>
      <c r="BY300" s="542">
        <f t="shared" si="218"/>
        <v>140.29249999999999</v>
      </c>
      <c r="BZ300" s="542">
        <f t="shared" si="218"/>
        <v>140.29249999999999</v>
      </c>
      <c r="CA300" s="542">
        <f t="shared" si="218"/>
        <v>140.29249999999999</v>
      </c>
      <c r="CB300" s="542">
        <f t="shared" si="218"/>
        <v>140.29249999999999</v>
      </c>
      <c r="CC300" s="542">
        <f t="shared" si="218"/>
        <v>140.29249999999999</v>
      </c>
      <c r="CD300" s="542">
        <f t="shared" si="218"/>
        <v>140.29249999999999</v>
      </c>
      <c r="CE300" s="542">
        <f t="shared" si="218"/>
        <v>140.29249999999999</v>
      </c>
      <c r="CG300" s="541">
        <v>140.29249999999999</v>
      </c>
      <c r="CH300" s="541">
        <v>140.29249999999999</v>
      </c>
      <c r="CI300" s="541">
        <v>140.29249999999999</v>
      </c>
      <c r="CJ300" s="541">
        <v>140.29249999999999</v>
      </c>
      <c r="CK300" s="541">
        <v>140.29249999999999</v>
      </c>
      <c r="CL300" s="541">
        <v>140.29249999999999</v>
      </c>
      <c r="CM300" s="541">
        <v>140.29249999999999</v>
      </c>
      <c r="CN300" s="541">
        <v>140.29249999999999</v>
      </c>
      <c r="CO300" s="541">
        <v>140.29249999999999</v>
      </c>
      <c r="CP300" s="541">
        <v>140.29249999999999</v>
      </c>
      <c r="CQ300" s="541">
        <v>140.29249999999999</v>
      </c>
      <c r="CR300" s="541">
        <v>140.29249999999999</v>
      </c>
      <c r="CS300" s="541">
        <v>140.29249999999999</v>
      </c>
      <c r="CT300" s="541">
        <v>140.29249999999999</v>
      </c>
      <c r="CU300" s="541">
        <v>140.29249999999999</v>
      </c>
      <c r="CV300" s="541">
        <v>140.29249999999999</v>
      </c>
      <c r="CW300" s="541">
        <v>140.29249999999999</v>
      </c>
      <c r="CX300" s="541">
        <v>140.29249999999999</v>
      </c>
      <c r="CY300" s="541">
        <v>140.29249999999999</v>
      </c>
      <c r="CZ300" s="541">
        <v>140.29249999999999</v>
      </c>
      <c r="DA300" s="541">
        <v>140.29249999999999</v>
      </c>
      <c r="DB300" s="541">
        <v>140.29249999999999</v>
      </c>
      <c r="DC300" s="541">
        <v>140.29249999999999</v>
      </c>
      <c r="DD300" s="541">
        <v>140.29249999999999</v>
      </c>
      <c r="DE300" s="541">
        <v>140.29249999999999</v>
      </c>
      <c r="DF300" s="541">
        <v>140.29249999999999</v>
      </c>
      <c r="DG300" s="541">
        <v>140.29249999999999</v>
      </c>
      <c r="DH300" s="541">
        <v>140.29249999999999</v>
      </c>
    </row>
    <row r="301" spans="2:112">
      <c r="B301" t="s">
        <v>1167</v>
      </c>
      <c r="C301" t="s">
        <v>1146</v>
      </c>
      <c r="D301" t="s">
        <v>923</v>
      </c>
      <c r="E301" t="s">
        <v>911</v>
      </c>
      <c r="F301" s="541">
        <v>3.4690904545454546</v>
      </c>
      <c r="G301" s="541">
        <v>3.4690904545454546</v>
      </c>
      <c r="H301" s="541">
        <v>3.4690904545454546</v>
      </c>
      <c r="I301" s="541">
        <v>3.4690904545454546</v>
      </c>
      <c r="J301" s="541">
        <v>3.4690904545454546</v>
      </c>
      <c r="K301" s="541">
        <v>3.4690904545454546</v>
      </c>
      <c r="L301" s="541">
        <v>3.4690904545454546</v>
      </c>
      <c r="M301" s="541">
        <v>3.4690904545454546</v>
      </c>
      <c r="N301" s="541">
        <v>3.4690904545454546</v>
      </c>
      <c r="O301" s="541">
        <v>3.4690904545454546</v>
      </c>
      <c r="P301" s="541">
        <v>3.4690904545454546</v>
      </c>
      <c r="Q301" s="541">
        <v>3.4690904545454546</v>
      </c>
      <c r="R301" s="541">
        <v>3.4690904545454546</v>
      </c>
      <c r="S301" s="541">
        <v>3.4690904545454546</v>
      </c>
      <c r="T301" s="541">
        <v>3.4690904545454546</v>
      </c>
      <c r="U301" s="541">
        <v>3.4690904545454546</v>
      </c>
      <c r="V301" s="541">
        <v>3.4690904545454546</v>
      </c>
      <c r="W301" s="541">
        <v>3.4690904545454546</v>
      </c>
      <c r="X301" s="541">
        <v>3.4690904545454546</v>
      </c>
      <c r="Y301" s="541">
        <v>3.4690904545454546</v>
      </c>
      <c r="Z301" s="541">
        <v>3.4690904545454546</v>
      </c>
      <c r="AA301" s="541">
        <v>3.4690904545454546</v>
      </c>
      <c r="AB301" s="541">
        <v>3.4690904545454546</v>
      </c>
      <c r="AC301" s="541">
        <v>3.4690904545454546</v>
      </c>
      <c r="AD301" s="541">
        <v>3.4690904545454546</v>
      </c>
      <c r="AE301" s="541">
        <v>3.4690904545454546</v>
      </c>
      <c r="AF301" s="541">
        <v>3.4690904545454546</v>
      </c>
      <c r="AG301" s="541">
        <v>3.4690904545454546</v>
      </c>
      <c r="AH301" s="542">
        <f t="shared" si="219"/>
        <v>3.4690904545454546</v>
      </c>
      <c r="AI301" s="542">
        <f t="shared" si="219"/>
        <v>3.4690904545454546</v>
      </c>
      <c r="AJ301" s="542">
        <f t="shared" si="219"/>
        <v>3.4690904545454546</v>
      </c>
      <c r="AK301" s="542">
        <f t="shared" si="219"/>
        <v>3.4690904545454546</v>
      </c>
      <c r="AL301" s="542">
        <f t="shared" si="219"/>
        <v>3.4690904545454546</v>
      </c>
      <c r="AM301" s="542">
        <f t="shared" si="219"/>
        <v>3.4690904545454546</v>
      </c>
      <c r="AN301" s="542">
        <f t="shared" si="219"/>
        <v>3.4690904545454546</v>
      </c>
      <c r="AO301" s="542">
        <f t="shared" si="219"/>
        <v>3.4690904545454546</v>
      </c>
      <c r="AP301" s="542">
        <f t="shared" si="219"/>
        <v>3.4690904545454546</v>
      </c>
      <c r="AQ301" s="542">
        <f t="shared" si="219"/>
        <v>3.4690904545454546</v>
      </c>
      <c r="AR301" s="542">
        <f t="shared" si="219"/>
        <v>3.4690904545454546</v>
      </c>
      <c r="AS301" s="542">
        <f t="shared" si="219"/>
        <v>3.4690904545454546</v>
      </c>
      <c r="AT301" s="542">
        <f t="shared" si="219"/>
        <v>3.4690904545454546</v>
      </c>
      <c r="AU301" s="542">
        <f t="shared" si="219"/>
        <v>3.4690904545454546</v>
      </c>
      <c r="AV301" s="542">
        <f t="shared" si="219"/>
        <v>3.4690904545454546</v>
      </c>
      <c r="AW301" s="542">
        <f t="shared" si="219"/>
        <v>3.4690904545454546</v>
      </c>
      <c r="AX301" s="542">
        <f t="shared" si="218"/>
        <v>3.4690904545454546</v>
      </c>
      <c r="AY301" s="542">
        <f t="shared" si="218"/>
        <v>3.4690904545454546</v>
      </c>
      <c r="AZ301" s="542">
        <f t="shared" si="218"/>
        <v>3.4690904545454546</v>
      </c>
      <c r="BA301" s="542">
        <f t="shared" si="218"/>
        <v>3.4690904545454546</v>
      </c>
      <c r="BB301" s="542">
        <f t="shared" si="218"/>
        <v>3.4690904545454546</v>
      </c>
      <c r="BC301" s="542">
        <f t="shared" si="218"/>
        <v>3.4690904545454546</v>
      </c>
      <c r="BD301" s="542">
        <f t="shared" si="218"/>
        <v>3.4690904545454546</v>
      </c>
      <c r="BE301" s="542">
        <f t="shared" si="218"/>
        <v>3.4690904545454546</v>
      </c>
      <c r="BF301" s="542">
        <f t="shared" si="218"/>
        <v>3.4690904545454546</v>
      </c>
      <c r="BG301" s="542">
        <f t="shared" si="218"/>
        <v>3.4690904545454546</v>
      </c>
      <c r="BH301" s="542">
        <f t="shared" si="218"/>
        <v>3.4690904545454546</v>
      </c>
      <c r="BI301" s="542">
        <f t="shared" si="218"/>
        <v>3.4690904545454546</v>
      </c>
      <c r="BJ301" s="542">
        <f t="shared" si="218"/>
        <v>3.4690904545454546</v>
      </c>
      <c r="BK301" s="542">
        <f t="shared" si="218"/>
        <v>3.4690904545454546</v>
      </c>
      <c r="BL301" s="542">
        <f t="shared" si="218"/>
        <v>3.4690904545454546</v>
      </c>
      <c r="BM301" s="542">
        <f t="shared" si="218"/>
        <v>3.4690904545454546</v>
      </c>
      <c r="BN301" s="542">
        <f t="shared" si="218"/>
        <v>3.4690904545454546</v>
      </c>
      <c r="BO301" s="542">
        <f t="shared" si="218"/>
        <v>3.4690904545454546</v>
      </c>
      <c r="BP301" s="542">
        <f t="shared" si="218"/>
        <v>3.4690904545454546</v>
      </c>
      <c r="BQ301" s="542">
        <f t="shared" si="218"/>
        <v>3.4690904545454546</v>
      </c>
      <c r="BR301" s="542">
        <f t="shared" si="218"/>
        <v>3.4690904545454546</v>
      </c>
      <c r="BS301" s="542">
        <f t="shared" si="218"/>
        <v>3.4690904545454546</v>
      </c>
      <c r="BT301" s="542">
        <f t="shared" si="218"/>
        <v>3.4690904545454546</v>
      </c>
      <c r="BU301" s="542">
        <f t="shared" si="218"/>
        <v>3.4690904545454546</v>
      </c>
      <c r="BV301" s="542">
        <f t="shared" si="218"/>
        <v>3.4690904545454546</v>
      </c>
      <c r="BW301" s="542">
        <f t="shared" si="218"/>
        <v>3.4690904545454546</v>
      </c>
      <c r="BX301" s="542">
        <f t="shared" si="218"/>
        <v>3.4690904545454546</v>
      </c>
      <c r="BY301" s="542">
        <f t="shared" si="218"/>
        <v>3.4690904545454546</v>
      </c>
      <c r="BZ301" s="542">
        <f t="shared" si="218"/>
        <v>3.4690904545454546</v>
      </c>
      <c r="CA301" s="542">
        <f t="shared" si="218"/>
        <v>3.4690904545454546</v>
      </c>
      <c r="CB301" s="542">
        <f t="shared" si="218"/>
        <v>3.4690904545454546</v>
      </c>
      <c r="CC301" s="542">
        <f t="shared" si="218"/>
        <v>3.4690904545454546</v>
      </c>
      <c r="CD301" s="542">
        <f t="shared" si="218"/>
        <v>3.4690904545454546</v>
      </c>
      <c r="CE301" s="542">
        <f t="shared" si="218"/>
        <v>3.4690904545454546</v>
      </c>
      <c r="CG301" s="541">
        <v>3.4690904545454546</v>
      </c>
      <c r="CH301" s="541">
        <v>3.4690904545454546</v>
      </c>
      <c r="CI301" s="541">
        <v>3.4690904545454546</v>
      </c>
      <c r="CJ301" s="541">
        <v>3.4690904545454546</v>
      </c>
      <c r="CK301" s="541">
        <v>3.4690904545454546</v>
      </c>
      <c r="CL301" s="541">
        <v>3.4690904545454546</v>
      </c>
      <c r="CM301" s="541">
        <v>3.4690904545454546</v>
      </c>
      <c r="CN301" s="541">
        <v>3.4690904545454546</v>
      </c>
      <c r="CO301" s="541">
        <v>3.4690904545454546</v>
      </c>
      <c r="CP301" s="541">
        <v>3.4690904545454546</v>
      </c>
      <c r="CQ301" s="541">
        <v>3.4690904545454546</v>
      </c>
      <c r="CR301" s="541">
        <v>3.4690904545454546</v>
      </c>
      <c r="CS301" s="541">
        <v>3.4690904545454546</v>
      </c>
      <c r="CT301" s="541">
        <v>3.4690904545454546</v>
      </c>
      <c r="CU301" s="541">
        <v>3.4690904545454546</v>
      </c>
      <c r="CV301" s="541">
        <v>3.4690904545454546</v>
      </c>
      <c r="CW301" s="541">
        <v>3.4690904545454546</v>
      </c>
      <c r="CX301" s="541">
        <v>3.4690904545454546</v>
      </c>
      <c r="CY301" s="541">
        <v>3.4690904545454546</v>
      </c>
      <c r="CZ301" s="541">
        <v>3.4690904545454546</v>
      </c>
      <c r="DA301" s="541">
        <v>3.4690904545454546</v>
      </c>
      <c r="DB301" s="541">
        <v>3.4690904545454546</v>
      </c>
      <c r="DC301" s="541">
        <v>3.4690904545454546</v>
      </c>
      <c r="DD301" s="541">
        <v>3.4690904545454546</v>
      </c>
      <c r="DE301" s="541">
        <v>3.4690904545454546</v>
      </c>
      <c r="DF301" s="541">
        <v>3.4690904545454546</v>
      </c>
      <c r="DG301" s="541">
        <v>3.4690904545454546</v>
      </c>
      <c r="DH301" s="541">
        <v>3.4690904545454546</v>
      </c>
    </row>
    <row r="302" spans="2:112">
      <c r="B302" t="s">
        <v>924</v>
      </c>
    </row>
    <row r="303" spans="2:112" ht="15">
      <c r="B303" t="s">
        <v>1168</v>
      </c>
      <c r="C303" s="485" t="s">
        <v>793</v>
      </c>
      <c r="D303" s="485" t="s">
        <v>877</v>
      </c>
      <c r="E303" s="485" t="s">
        <v>111</v>
      </c>
      <c r="F303" s="486">
        <f>2023</f>
        <v>2023</v>
      </c>
      <c r="G303" s="486">
        <f>F303+1</f>
        <v>2024</v>
      </c>
      <c r="H303" s="486">
        <f t="shared" ref="H303:AG303" si="220">G303+1</f>
        <v>2025</v>
      </c>
      <c r="I303" s="486">
        <f t="shared" si="220"/>
        <v>2026</v>
      </c>
      <c r="J303" s="486">
        <f t="shared" si="220"/>
        <v>2027</v>
      </c>
      <c r="K303" s="486">
        <f t="shared" si="220"/>
        <v>2028</v>
      </c>
      <c r="L303" s="486">
        <f t="shared" si="220"/>
        <v>2029</v>
      </c>
      <c r="M303" s="486">
        <f t="shared" si="220"/>
        <v>2030</v>
      </c>
      <c r="N303" s="486">
        <f t="shared" si="220"/>
        <v>2031</v>
      </c>
      <c r="O303" s="486">
        <f t="shared" si="220"/>
        <v>2032</v>
      </c>
      <c r="P303" s="486">
        <f t="shared" si="220"/>
        <v>2033</v>
      </c>
      <c r="Q303" s="486">
        <f t="shared" si="220"/>
        <v>2034</v>
      </c>
      <c r="R303" s="486">
        <f t="shared" si="220"/>
        <v>2035</v>
      </c>
      <c r="S303" s="486">
        <f t="shared" si="220"/>
        <v>2036</v>
      </c>
      <c r="T303" s="486">
        <f t="shared" si="220"/>
        <v>2037</v>
      </c>
      <c r="U303" s="486">
        <f t="shared" si="220"/>
        <v>2038</v>
      </c>
      <c r="V303" s="486">
        <f t="shared" si="220"/>
        <v>2039</v>
      </c>
      <c r="W303" s="486">
        <f t="shared" si="220"/>
        <v>2040</v>
      </c>
      <c r="X303" s="486">
        <f t="shared" si="220"/>
        <v>2041</v>
      </c>
      <c r="Y303" s="486">
        <f t="shared" si="220"/>
        <v>2042</v>
      </c>
      <c r="Z303" s="486">
        <f t="shared" si="220"/>
        <v>2043</v>
      </c>
      <c r="AA303" s="486">
        <f t="shared" si="220"/>
        <v>2044</v>
      </c>
      <c r="AB303" s="486">
        <f t="shared" si="220"/>
        <v>2045</v>
      </c>
      <c r="AC303" s="486">
        <f t="shared" si="220"/>
        <v>2046</v>
      </c>
      <c r="AD303" s="486">
        <f t="shared" si="220"/>
        <v>2047</v>
      </c>
      <c r="AE303" s="486">
        <f t="shared" si="220"/>
        <v>2048</v>
      </c>
      <c r="AF303" s="486">
        <f t="shared" si="220"/>
        <v>2049</v>
      </c>
      <c r="AG303" s="486">
        <f t="shared" si="220"/>
        <v>2050</v>
      </c>
      <c r="AH303" s="524">
        <f>AG303+1</f>
        <v>2051</v>
      </c>
      <c r="AI303" s="524">
        <f t="shared" ref="AI303:CE303" si="221">AH303+1</f>
        <v>2052</v>
      </c>
      <c r="AJ303" s="524">
        <f t="shared" si="221"/>
        <v>2053</v>
      </c>
      <c r="AK303" s="524">
        <f t="shared" si="221"/>
        <v>2054</v>
      </c>
      <c r="AL303" s="524">
        <f t="shared" si="221"/>
        <v>2055</v>
      </c>
      <c r="AM303" s="524">
        <f t="shared" si="221"/>
        <v>2056</v>
      </c>
      <c r="AN303" s="524">
        <f t="shared" si="221"/>
        <v>2057</v>
      </c>
      <c r="AO303" s="524">
        <f t="shared" si="221"/>
        <v>2058</v>
      </c>
      <c r="AP303" s="524">
        <f t="shared" si="221"/>
        <v>2059</v>
      </c>
      <c r="AQ303" s="524">
        <f t="shared" si="221"/>
        <v>2060</v>
      </c>
      <c r="AR303" s="524">
        <f t="shared" si="221"/>
        <v>2061</v>
      </c>
      <c r="AS303" s="524">
        <f t="shared" si="221"/>
        <v>2062</v>
      </c>
      <c r="AT303" s="524">
        <f t="shared" si="221"/>
        <v>2063</v>
      </c>
      <c r="AU303" s="524">
        <f t="shared" si="221"/>
        <v>2064</v>
      </c>
      <c r="AV303" s="524">
        <f t="shared" si="221"/>
        <v>2065</v>
      </c>
      <c r="AW303" s="524">
        <f t="shared" si="221"/>
        <v>2066</v>
      </c>
      <c r="AX303" s="524">
        <f t="shared" si="221"/>
        <v>2067</v>
      </c>
      <c r="AY303" s="524">
        <f t="shared" si="221"/>
        <v>2068</v>
      </c>
      <c r="AZ303" s="524">
        <f t="shared" si="221"/>
        <v>2069</v>
      </c>
      <c r="BA303" s="524">
        <f t="shared" si="221"/>
        <v>2070</v>
      </c>
      <c r="BB303" s="524">
        <f t="shared" si="221"/>
        <v>2071</v>
      </c>
      <c r="BC303" s="524">
        <f t="shared" si="221"/>
        <v>2072</v>
      </c>
      <c r="BD303" s="524">
        <f t="shared" si="221"/>
        <v>2073</v>
      </c>
      <c r="BE303" s="524">
        <f t="shared" si="221"/>
        <v>2074</v>
      </c>
      <c r="BF303" s="524">
        <f t="shared" si="221"/>
        <v>2075</v>
      </c>
      <c r="BG303" s="524">
        <f t="shared" si="221"/>
        <v>2076</v>
      </c>
      <c r="BH303" s="524">
        <f t="shared" si="221"/>
        <v>2077</v>
      </c>
      <c r="BI303" s="524">
        <f t="shared" si="221"/>
        <v>2078</v>
      </c>
      <c r="BJ303" s="524">
        <f t="shared" si="221"/>
        <v>2079</v>
      </c>
      <c r="BK303" s="524">
        <f t="shared" si="221"/>
        <v>2080</v>
      </c>
      <c r="BL303" s="524">
        <f t="shared" si="221"/>
        <v>2081</v>
      </c>
      <c r="BM303" s="524">
        <f t="shared" si="221"/>
        <v>2082</v>
      </c>
      <c r="BN303" s="524">
        <f t="shared" si="221"/>
        <v>2083</v>
      </c>
      <c r="BO303" s="524">
        <f t="shared" si="221"/>
        <v>2084</v>
      </c>
      <c r="BP303" s="524">
        <f t="shared" si="221"/>
        <v>2085</v>
      </c>
      <c r="BQ303" s="524">
        <f t="shared" si="221"/>
        <v>2086</v>
      </c>
      <c r="BR303" s="524">
        <f t="shared" si="221"/>
        <v>2087</v>
      </c>
      <c r="BS303" s="524">
        <f t="shared" si="221"/>
        <v>2088</v>
      </c>
      <c r="BT303" s="524">
        <f t="shared" si="221"/>
        <v>2089</v>
      </c>
      <c r="BU303" s="524">
        <f t="shared" si="221"/>
        <v>2090</v>
      </c>
      <c r="BV303" s="524">
        <f t="shared" si="221"/>
        <v>2091</v>
      </c>
      <c r="BW303" s="524">
        <f t="shared" si="221"/>
        <v>2092</v>
      </c>
      <c r="BX303" s="524">
        <f t="shared" si="221"/>
        <v>2093</v>
      </c>
      <c r="BY303" s="524">
        <f t="shared" si="221"/>
        <v>2094</v>
      </c>
      <c r="BZ303" s="524">
        <f t="shared" si="221"/>
        <v>2095</v>
      </c>
      <c r="CA303" s="524">
        <f t="shared" si="221"/>
        <v>2096</v>
      </c>
      <c r="CB303" s="524">
        <f t="shared" si="221"/>
        <v>2097</v>
      </c>
      <c r="CC303" s="524">
        <f t="shared" si="221"/>
        <v>2098</v>
      </c>
      <c r="CD303" s="524">
        <f t="shared" si="221"/>
        <v>2099</v>
      </c>
      <c r="CE303" s="524">
        <f t="shared" si="221"/>
        <v>2100</v>
      </c>
      <c r="CG303" s="486">
        <v>2023</v>
      </c>
      <c r="CH303" s="486">
        <v>2024</v>
      </c>
      <c r="CI303" s="486">
        <v>2025</v>
      </c>
      <c r="CJ303" s="486">
        <v>2026</v>
      </c>
      <c r="CK303" s="486">
        <v>2027</v>
      </c>
      <c r="CL303" s="486">
        <v>2028</v>
      </c>
      <c r="CM303" s="486">
        <v>2029</v>
      </c>
      <c r="CN303" s="486">
        <v>2030</v>
      </c>
      <c r="CO303" s="486">
        <v>2031</v>
      </c>
      <c r="CP303" s="486">
        <v>2032</v>
      </c>
      <c r="CQ303" s="486">
        <v>2033</v>
      </c>
      <c r="CR303" s="486">
        <v>2034</v>
      </c>
      <c r="CS303" s="486">
        <v>2035</v>
      </c>
      <c r="CT303" s="486">
        <v>2036</v>
      </c>
      <c r="CU303" s="486">
        <v>2037</v>
      </c>
      <c r="CV303" s="486">
        <v>2038</v>
      </c>
      <c r="CW303" s="486">
        <v>2039</v>
      </c>
      <c r="CX303" s="486">
        <v>2040</v>
      </c>
      <c r="CY303" s="486">
        <v>2041</v>
      </c>
      <c r="CZ303" s="486">
        <v>2042</v>
      </c>
      <c r="DA303" s="486">
        <v>2043</v>
      </c>
      <c r="DB303" s="486">
        <v>2044</v>
      </c>
      <c r="DC303" s="486">
        <v>2045</v>
      </c>
      <c r="DD303" s="486">
        <v>2046</v>
      </c>
      <c r="DE303" s="486">
        <v>2047</v>
      </c>
      <c r="DF303" s="486">
        <v>2048</v>
      </c>
      <c r="DG303" s="486">
        <v>2049</v>
      </c>
      <c r="DH303" s="486">
        <v>2050</v>
      </c>
    </row>
    <row r="304" spans="2:112">
      <c r="B304" t="s">
        <v>1169</v>
      </c>
      <c r="C304" t="s">
        <v>793</v>
      </c>
      <c r="D304" t="s">
        <v>879</v>
      </c>
      <c r="E304" t="s">
        <v>813</v>
      </c>
      <c r="F304" s="525">
        <v>25000</v>
      </c>
      <c r="G304" s="525">
        <v>25000</v>
      </c>
      <c r="H304" s="525">
        <v>25000</v>
      </c>
      <c r="I304" s="525">
        <v>25000</v>
      </c>
      <c r="J304" s="525">
        <v>25000</v>
      </c>
      <c r="K304" s="525">
        <v>25000</v>
      </c>
      <c r="L304" s="525">
        <v>25000</v>
      </c>
      <c r="M304" s="525">
        <v>25000</v>
      </c>
      <c r="N304" s="525">
        <v>25000</v>
      </c>
      <c r="O304" s="525">
        <v>25000</v>
      </c>
      <c r="P304" s="525">
        <v>25000</v>
      </c>
      <c r="Q304" s="525">
        <v>25000</v>
      </c>
      <c r="R304" s="525">
        <v>25000</v>
      </c>
      <c r="S304" s="525">
        <v>25000</v>
      </c>
      <c r="T304" s="525">
        <v>25000</v>
      </c>
      <c r="U304" s="525">
        <v>25000</v>
      </c>
      <c r="V304" s="525">
        <v>25000</v>
      </c>
      <c r="W304" s="525">
        <v>25000</v>
      </c>
      <c r="X304" s="525">
        <v>25000</v>
      </c>
      <c r="Y304" s="525">
        <v>25000</v>
      </c>
      <c r="Z304" s="525">
        <v>25000</v>
      </c>
      <c r="AA304" s="525">
        <v>25000</v>
      </c>
      <c r="AB304" s="525">
        <v>25000</v>
      </c>
      <c r="AC304" s="525">
        <v>25000</v>
      </c>
      <c r="AD304" s="525">
        <v>25000</v>
      </c>
      <c r="AE304" s="525">
        <v>25000</v>
      </c>
      <c r="AF304" s="525">
        <v>25000</v>
      </c>
      <c r="AG304" s="525">
        <v>25000</v>
      </c>
      <c r="AH304" s="526">
        <f>AG304</f>
        <v>25000</v>
      </c>
      <c r="AI304" s="526">
        <f t="shared" ref="AI304:AX304" si="222">AH304</f>
        <v>25000</v>
      </c>
      <c r="AJ304" s="526">
        <f t="shared" si="222"/>
        <v>25000</v>
      </c>
      <c r="AK304" s="526">
        <f t="shared" si="222"/>
        <v>25000</v>
      </c>
      <c r="AL304" s="526">
        <f t="shared" si="222"/>
        <v>25000</v>
      </c>
      <c r="AM304" s="526">
        <f t="shared" si="222"/>
        <v>25000</v>
      </c>
      <c r="AN304" s="526">
        <f t="shared" si="222"/>
        <v>25000</v>
      </c>
      <c r="AO304" s="526">
        <f t="shared" si="222"/>
        <v>25000</v>
      </c>
      <c r="AP304" s="526">
        <f t="shared" si="222"/>
        <v>25000</v>
      </c>
      <c r="AQ304" s="526">
        <f t="shared" si="222"/>
        <v>25000</v>
      </c>
      <c r="AR304" s="526">
        <f t="shared" si="222"/>
        <v>25000</v>
      </c>
      <c r="AS304" s="526">
        <f t="shared" si="222"/>
        <v>25000</v>
      </c>
      <c r="AT304" s="526">
        <f t="shared" si="222"/>
        <v>25000</v>
      </c>
      <c r="AU304" s="526">
        <f t="shared" si="222"/>
        <v>25000</v>
      </c>
      <c r="AV304" s="526">
        <f t="shared" si="222"/>
        <v>25000</v>
      </c>
      <c r="AW304" s="526">
        <f t="shared" si="222"/>
        <v>25000</v>
      </c>
      <c r="AX304" s="526">
        <f t="shared" si="222"/>
        <v>25000</v>
      </c>
      <c r="AY304" s="526">
        <f t="shared" ref="AY304:BN304" si="223">AX304</f>
        <v>25000</v>
      </c>
      <c r="AZ304" s="526">
        <f t="shared" si="223"/>
        <v>25000</v>
      </c>
      <c r="BA304" s="526">
        <f t="shared" si="223"/>
        <v>25000</v>
      </c>
      <c r="BB304" s="526">
        <f t="shared" si="223"/>
        <v>25000</v>
      </c>
      <c r="BC304" s="526">
        <f t="shared" si="223"/>
        <v>25000</v>
      </c>
      <c r="BD304" s="526">
        <f t="shared" si="223"/>
        <v>25000</v>
      </c>
      <c r="BE304" s="526">
        <f t="shared" si="223"/>
        <v>25000</v>
      </c>
      <c r="BF304" s="526">
        <f t="shared" si="223"/>
        <v>25000</v>
      </c>
      <c r="BG304" s="526">
        <f t="shared" si="223"/>
        <v>25000</v>
      </c>
      <c r="BH304" s="526">
        <f t="shared" si="223"/>
        <v>25000</v>
      </c>
      <c r="BI304" s="526">
        <f t="shared" si="223"/>
        <v>25000</v>
      </c>
      <c r="BJ304" s="526">
        <f t="shared" si="223"/>
        <v>25000</v>
      </c>
      <c r="BK304" s="526">
        <f t="shared" si="223"/>
        <v>25000</v>
      </c>
      <c r="BL304" s="526">
        <f t="shared" si="223"/>
        <v>25000</v>
      </c>
      <c r="BM304" s="526">
        <f t="shared" si="223"/>
        <v>25000</v>
      </c>
      <c r="BN304" s="526">
        <f t="shared" si="223"/>
        <v>25000</v>
      </c>
      <c r="BO304" s="526">
        <f t="shared" ref="BO304:CD304" si="224">BN304</f>
        <v>25000</v>
      </c>
      <c r="BP304" s="526">
        <f t="shared" si="224"/>
        <v>25000</v>
      </c>
      <c r="BQ304" s="526">
        <f t="shared" si="224"/>
        <v>25000</v>
      </c>
      <c r="BR304" s="526">
        <f t="shared" si="224"/>
        <v>25000</v>
      </c>
      <c r="BS304" s="526">
        <f t="shared" si="224"/>
        <v>25000</v>
      </c>
      <c r="BT304" s="526">
        <f t="shared" si="224"/>
        <v>25000</v>
      </c>
      <c r="BU304" s="526">
        <f t="shared" si="224"/>
        <v>25000</v>
      </c>
      <c r="BV304" s="526">
        <f t="shared" si="224"/>
        <v>25000</v>
      </c>
      <c r="BW304" s="526">
        <f t="shared" si="224"/>
        <v>25000</v>
      </c>
      <c r="BX304" s="526">
        <f t="shared" si="224"/>
        <v>25000</v>
      </c>
      <c r="BY304" s="526">
        <f t="shared" si="224"/>
        <v>25000</v>
      </c>
      <c r="BZ304" s="526">
        <f t="shared" si="224"/>
        <v>25000</v>
      </c>
      <c r="CA304" s="526">
        <f t="shared" si="224"/>
        <v>25000</v>
      </c>
      <c r="CB304" s="526">
        <f t="shared" si="224"/>
        <v>25000</v>
      </c>
      <c r="CC304" s="526">
        <f t="shared" si="224"/>
        <v>25000</v>
      </c>
      <c r="CD304" s="526">
        <f t="shared" si="224"/>
        <v>25000</v>
      </c>
      <c r="CE304" s="526">
        <f t="shared" ref="AX304:CE312" si="225">CD304</f>
        <v>25000</v>
      </c>
      <c r="CG304" s="536">
        <v>25000</v>
      </c>
      <c r="CH304" s="536">
        <v>25000</v>
      </c>
      <c r="CI304" s="536">
        <v>25000</v>
      </c>
      <c r="CJ304" s="536">
        <v>25000</v>
      </c>
      <c r="CK304" s="536">
        <v>25000</v>
      </c>
      <c r="CL304" s="536">
        <v>25000</v>
      </c>
      <c r="CM304" s="536">
        <v>25000</v>
      </c>
      <c r="CN304" s="536">
        <v>25000</v>
      </c>
      <c r="CO304" s="536">
        <v>25000</v>
      </c>
      <c r="CP304" s="536">
        <v>25000</v>
      </c>
      <c r="CQ304" s="536">
        <v>25000</v>
      </c>
      <c r="CR304" s="536">
        <v>25000</v>
      </c>
      <c r="CS304" s="536">
        <v>25000</v>
      </c>
      <c r="CT304" s="536">
        <v>25000</v>
      </c>
      <c r="CU304" s="536">
        <v>25000</v>
      </c>
      <c r="CV304" s="536">
        <v>25000</v>
      </c>
      <c r="CW304" s="536">
        <v>25000</v>
      </c>
      <c r="CX304" s="536">
        <v>25000</v>
      </c>
      <c r="CY304" s="536">
        <v>25000</v>
      </c>
      <c r="CZ304" s="536">
        <v>25000</v>
      </c>
      <c r="DA304" s="536">
        <v>25000</v>
      </c>
      <c r="DB304" s="536">
        <v>25000</v>
      </c>
      <c r="DC304" s="536">
        <v>25000</v>
      </c>
      <c r="DD304" s="536">
        <v>25000</v>
      </c>
      <c r="DE304" s="536">
        <v>25000</v>
      </c>
      <c r="DF304" s="536">
        <v>25000</v>
      </c>
      <c r="DG304" s="536">
        <v>25000</v>
      </c>
      <c r="DH304" s="536">
        <v>25000</v>
      </c>
    </row>
    <row r="305" spans="2:112">
      <c r="B305" t="s">
        <v>1170</v>
      </c>
      <c r="C305" t="s">
        <v>793</v>
      </c>
      <c r="D305" t="s">
        <v>695</v>
      </c>
      <c r="E305" t="s">
        <v>881</v>
      </c>
      <c r="F305" s="525">
        <v>220</v>
      </c>
      <c r="G305" s="525">
        <v>220</v>
      </c>
      <c r="H305" s="525">
        <v>220</v>
      </c>
      <c r="I305" s="525">
        <v>220</v>
      </c>
      <c r="J305" s="525">
        <v>220</v>
      </c>
      <c r="K305" s="525">
        <v>220</v>
      </c>
      <c r="L305" s="525">
        <v>220</v>
      </c>
      <c r="M305" s="525">
        <v>220</v>
      </c>
      <c r="N305" s="525">
        <v>220</v>
      </c>
      <c r="O305" s="525">
        <v>220</v>
      </c>
      <c r="P305" s="525">
        <v>220</v>
      </c>
      <c r="Q305" s="525">
        <v>220</v>
      </c>
      <c r="R305" s="525">
        <v>220</v>
      </c>
      <c r="S305" s="525">
        <v>220</v>
      </c>
      <c r="T305" s="525">
        <v>220</v>
      </c>
      <c r="U305" s="525">
        <v>220</v>
      </c>
      <c r="V305" s="525">
        <v>220</v>
      </c>
      <c r="W305" s="525">
        <v>220</v>
      </c>
      <c r="X305" s="525">
        <v>220</v>
      </c>
      <c r="Y305" s="525">
        <v>220</v>
      </c>
      <c r="Z305" s="525">
        <v>220</v>
      </c>
      <c r="AA305" s="525">
        <v>220</v>
      </c>
      <c r="AB305" s="525">
        <v>220</v>
      </c>
      <c r="AC305" s="525">
        <v>220</v>
      </c>
      <c r="AD305" s="525">
        <v>220</v>
      </c>
      <c r="AE305" s="525">
        <v>220</v>
      </c>
      <c r="AF305" s="525">
        <v>220</v>
      </c>
      <c r="AG305" s="525">
        <v>220</v>
      </c>
      <c r="AH305" s="526">
        <f t="shared" ref="AH305:AW314" si="226">AG305</f>
        <v>220</v>
      </c>
      <c r="AI305" s="526">
        <f t="shared" si="226"/>
        <v>220</v>
      </c>
      <c r="AJ305" s="526">
        <f t="shared" si="226"/>
        <v>220</v>
      </c>
      <c r="AK305" s="526">
        <f t="shared" si="226"/>
        <v>220</v>
      </c>
      <c r="AL305" s="526">
        <f t="shared" si="226"/>
        <v>220</v>
      </c>
      <c r="AM305" s="526">
        <f t="shared" si="226"/>
        <v>220</v>
      </c>
      <c r="AN305" s="526">
        <f t="shared" si="226"/>
        <v>220</v>
      </c>
      <c r="AO305" s="526">
        <f t="shared" si="226"/>
        <v>220</v>
      </c>
      <c r="AP305" s="526">
        <f t="shared" si="226"/>
        <v>220</v>
      </c>
      <c r="AQ305" s="526">
        <f t="shared" si="226"/>
        <v>220</v>
      </c>
      <c r="AR305" s="526">
        <f t="shared" si="226"/>
        <v>220</v>
      </c>
      <c r="AS305" s="526">
        <f t="shared" si="226"/>
        <v>220</v>
      </c>
      <c r="AT305" s="526">
        <f t="shared" si="226"/>
        <v>220</v>
      </c>
      <c r="AU305" s="526">
        <f t="shared" si="226"/>
        <v>220</v>
      </c>
      <c r="AV305" s="526">
        <f t="shared" si="226"/>
        <v>220</v>
      </c>
      <c r="AW305" s="526">
        <f t="shared" si="226"/>
        <v>220</v>
      </c>
      <c r="AX305" s="526">
        <f t="shared" si="225"/>
        <v>220</v>
      </c>
      <c r="AY305" s="526">
        <f t="shared" si="225"/>
        <v>220</v>
      </c>
      <c r="AZ305" s="526">
        <f t="shared" si="225"/>
        <v>220</v>
      </c>
      <c r="BA305" s="526">
        <f t="shared" si="225"/>
        <v>220</v>
      </c>
      <c r="BB305" s="526">
        <f t="shared" si="225"/>
        <v>220</v>
      </c>
      <c r="BC305" s="526">
        <f t="shared" si="225"/>
        <v>220</v>
      </c>
      <c r="BD305" s="526">
        <f t="shared" si="225"/>
        <v>220</v>
      </c>
      <c r="BE305" s="526">
        <f t="shared" si="225"/>
        <v>220</v>
      </c>
      <c r="BF305" s="526">
        <f t="shared" si="225"/>
        <v>220</v>
      </c>
      <c r="BG305" s="526">
        <f t="shared" si="225"/>
        <v>220</v>
      </c>
      <c r="BH305" s="526">
        <f t="shared" si="225"/>
        <v>220</v>
      </c>
      <c r="BI305" s="526">
        <f t="shared" si="225"/>
        <v>220</v>
      </c>
      <c r="BJ305" s="526">
        <f t="shared" si="225"/>
        <v>220</v>
      </c>
      <c r="BK305" s="526">
        <f t="shared" si="225"/>
        <v>220</v>
      </c>
      <c r="BL305" s="526">
        <f t="shared" si="225"/>
        <v>220</v>
      </c>
      <c r="BM305" s="526">
        <f t="shared" si="225"/>
        <v>220</v>
      </c>
      <c r="BN305" s="526">
        <f t="shared" si="225"/>
        <v>220</v>
      </c>
      <c r="BO305" s="526">
        <f t="shared" si="225"/>
        <v>220</v>
      </c>
      <c r="BP305" s="526">
        <f t="shared" si="225"/>
        <v>220</v>
      </c>
      <c r="BQ305" s="526">
        <f t="shared" si="225"/>
        <v>220</v>
      </c>
      <c r="BR305" s="526">
        <f t="shared" si="225"/>
        <v>220</v>
      </c>
      <c r="BS305" s="526">
        <f t="shared" si="225"/>
        <v>220</v>
      </c>
      <c r="BT305" s="526">
        <f t="shared" si="225"/>
        <v>220</v>
      </c>
      <c r="BU305" s="526">
        <f t="shared" si="225"/>
        <v>220</v>
      </c>
      <c r="BV305" s="526">
        <f t="shared" si="225"/>
        <v>220</v>
      </c>
      <c r="BW305" s="526">
        <f t="shared" si="225"/>
        <v>220</v>
      </c>
      <c r="BX305" s="526">
        <f t="shared" si="225"/>
        <v>220</v>
      </c>
      <c r="BY305" s="526">
        <f t="shared" si="225"/>
        <v>220</v>
      </c>
      <c r="BZ305" s="526">
        <f t="shared" si="225"/>
        <v>220</v>
      </c>
      <c r="CA305" s="526">
        <f t="shared" si="225"/>
        <v>220</v>
      </c>
      <c r="CB305" s="526">
        <f t="shared" si="225"/>
        <v>220</v>
      </c>
      <c r="CC305" s="526">
        <f t="shared" si="225"/>
        <v>220</v>
      </c>
      <c r="CD305" s="526">
        <f t="shared" si="225"/>
        <v>220</v>
      </c>
      <c r="CE305" s="526">
        <f t="shared" si="225"/>
        <v>220</v>
      </c>
      <c r="CG305" s="536">
        <v>220</v>
      </c>
      <c r="CH305" s="536">
        <v>220</v>
      </c>
      <c r="CI305" s="536">
        <v>220</v>
      </c>
      <c r="CJ305" s="536">
        <v>220</v>
      </c>
      <c r="CK305" s="536">
        <v>220</v>
      </c>
      <c r="CL305" s="536">
        <v>220</v>
      </c>
      <c r="CM305" s="536">
        <v>220</v>
      </c>
      <c r="CN305" s="536">
        <v>220</v>
      </c>
      <c r="CO305" s="536">
        <v>220</v>
      </c>
      <c r="CP305" s="536">
        <v>220</v>
      </c>
      <c r="CQ305" s="536">
        <v>220</v>
      </c>
      <c r="CR305" s="536">
        <v>220</v>
      </c>
      <c r="CS305" s="536">
        <v>220</v>
      </c>
      <c r="CT305" s="536">
        <v>220</v>
      </c>
      <c r="CU305" s="536">
        <v>220</v>
      </c>
      <c r="CV305" s="536">
        <v>220</v>
      </c>
      <c r="CW305" s="536">
        <v>220</v>
      </c>
      <c r="CX305" s="536">
        <v>220</v>
      </c>
      <c r="CY305" s="536">
        <v>220</v>
      </c>
      <c r="CZ305" s="536">
        <v>220</v>
      </c>
      <c r="DA305" s="536">
        <v>220</v>
      </c>
      <c r="DB305" s="536">
        <v>220</v>
      </c>
      <c r="DC305" s="536">
        <v>220</v>
      </c>
      <c r="DD305" s="536">
        <v>220</v>
      </c>
      <c r="DE305" s="536">
        <v>220</v>
      </c>
      <c r="DF305" s="536">
        <v>220</v>
      </c>
      <c r="DG305" s="536">
        <v>220</v>
      </c>
      <c r="DH305" s="536">
        <v>220</v>
      </c>
    </row>
    <row r="306" spans="2:112">
      <c r="B306" t="s">
        <v>1171</v>
      </c>
      <c r="C306" t="s">
        <v>793</v>
      </c>
      <c r="D306" t="s">
        <v>883</v>
      </c>
      <c r="E306" t="s">
        <v>884</v>
      </c>
      <c r="F306" s="525">
        <v>16</v>
      </c>
      <c r="G306" s="525">
        <v>16</v>
      </c>
      <c r="H306" s="525">
        <v>16</v>
      </c>
      <c r="I306" s="525">
        <v>16</v>
      </c>
      <c r="J306" s="525">
        <v>16</v>
      </c>
      <c r="K306" s="525">
        <v>16</v>
      </c>
      <c r="L306" s="525">
        <v>16</v>
      </c>
      <c r="M306" s="525">
        <v>16</v>
      </c>
      <c r="N306" s="525">
        <v>16</v>
      </c>
      <c r="O306" s="525">
        <v>16</v>
      </c>
      <c r="P306" s="525">
        <v>16</v>
      </c>
      <c r="Q306" s="525">
        <v>16</v>
      </c>
      <c r="R306" s="525">
        <v>16</v>
      </c>
      <c r="S306" s="525">
        <v>16</v>
      </c>
      <c r="T306" s="525">
        <v>16</v>
      </c>
      <c r="U306" s="525">
        <v>16</v>
      </c>
      <c r="V306" s="525">
        <v>16</v>
      </c>
      <c r="W306" s="525">
        <v>16</v>
      </c>
      <c r="X306" s="525">
        <v>16</v>
      </c>
      <c r="Y306" s="525">
        <v>16</v>
      </c>
      <c r="Z306" s="525">
        <v>16</v>
      </c>
      <c r="AA306" s="525">
        <v>16</v>
      </c>
      <c r="AB306" s="525">
        <v>16</v>
      </c>
      <c r="AC306" s="525">
        <v>16</v>
      </c>
      <c r="AD306" s="525">
        <v>16</v>
      </c>
      <c r="AE306" s="525">
        <v>16</v>
      </c>
      <c r="AF306" s="525">
        <v>16</v>
      </c>
      <c r="AG306" s="525">
        <v>16</v>
      </c>
      <c r="AH306" s="526">
        <f t="shared" si="226"/>
        <v>16</v>
      </c>
      <c r="AI306" s="526">
        <f t="shared" si="226"/>
        <v>16</v>
      </c>
      <c r="AJ306" s="526">
        <f t="shared" si="226"/>
        <v>16</v>
      </c>
      <c r="AK306" s="526">
        <f t="shared" si="226"/>
        <v>16</v>
      </c>
      <c r="AL306" s="526">
        <f t="shared" si="226"/>
        <v>16</v>
      </c>
      <c r="AM306" s="526">
        <f t="shared" si="226"/>
        <v>16</v>
      </c>
      <c r="AN306" s="526">
        <f t="shared" si="226"/>
        <v>16</v>
      </c>
      <c r="AO306" s="526">
        <f t="shared" si="226"/>
        <v>16</v>
      </c>
      <c r="AP306" s="526">
        <f t="shared" si="226"/>
        <v>16</v>
      </c>
      <c r="AQ306" s="526">
        <f t="shared" si="226"/>
        <v>16</v>
      </c>
      <c r="AR306" s="526">
        <f t="shared" si="226"/>
        <v>16</v>
      </c>
      <c r="AS306" s="526">
        <f t="shared" si="226"/>
        <v>16</v>
      </c>
      <c r="AT306" s="526">
        <f t="shared" si="226"/>
        <v>16</v>
      </c>
      <c r="AU306" s="526">
        <f t="shared" si="226"/>
        <v>16</v>
      </c>
      <c r="AV306" s="526">
        <f t="shared" si="226"/>
        <v>16</v>
      </c>
      <c r="AW306" s="526">
        <f t="shared" si="226"/>
        <v>16</v>
      </c>
      <c r="AX306" s="526">
        <f t="shared" si="225"/>
        <v>16</v>
      </c>
      <c r="AY306" s="526">
        <f t="shared" si="225"/>
        <v>16</v>
      </c>
      <c r="AZ306" s="526">
        <f t="shared" si="225"/>
        <v>16</v>
      </c>
      <c r="BA306" s="526">
        <f t="shared" si="225"/>
        <v>16</v>
      </c>
      <c r="BB306" s="526">
        <f t="shared" si="225"/>
        <v>16</v>
      </c>
      <c r="BC306" s="526">
        <f t="shared" si="225"/>
        <v>16</v>
      </c>
      <c r="BD306" s="526">
        <f t="shared" si="225"/>
        <v>16</v>
      </c>
      <c r="BE306" s="526">
        <f t="shared" si="225"/>
        <v>16</v>
      </c>
      <c r="BF306" s="526">
        <f t="shared" si="225"/>
        <v>16</v>
      </c>
      <c r="BG306" s="526">
        <f t="shared" si="225"/>
        <v>16</v>
      </c>
      <c r="BH306" s="526">
        <f t="shared" si="225"/>
        <v>16</v>
      </c>
      <c r="BI306" s="526">
        <f t="shared" si="225"/>
        <v>16</v>
      </c>
      <c r="BJ306" s="526">
        <f t="shared" si="225"/>
        <v>16</v>
      </c>
      <c r="BK306" s="526">
        <f t="shared" si="225"/>
        <v>16</v>
      </c>
      <c r="BL306" s="526">
        <f t="shared" si="225"/>
        <v>16</v>
      </c>
      <c r="BM306" s="526">
        <f t="shared" si="225"/>
        <v>16</v>
      </c>
      <c r="BN306" s="526">
        <f t="shared" si="225"/>
        <v>16</v>
      </c>
      <c r="BO306" s="526">
        <f t="shared" si="225"/>
        <v>16</v>
      </c>
      <c r="BP306" s="526">
        <f t="shared" si="225"/>
        <v>16</v>
      </c>
      <c r="BQ306" s="526">
        <f t="shared" si="225"/>
        <v>16</v>
      </c>
      <c r="BR306" s="526">
        <f t="shared" si="225"/>
        <v>16</v>
      </c>
      <c r="BS306" s="526">
        <f t="shared" si="225"/>
        <v>16</v>
      </c>
      <c r="BT306" s="526">
        <f t="shared" si="225"/>
        <v>16</v>
      </c>
      <c r="BU306" s="526">
        <f t="shared" si="225"/>
        <v>16</v>
      </c>
      <c r="BV306" s="526">
        <f t="shared" si="225"/>
        <v>16</v>
      </c>
      <c r="BW306" s="526">
        <f t="shared" si="225"/>
        <v>16</v>
      </c>
      <c r="BX306" s="526">
        <f t="shared" si="225"/>
        <v>16</v>
      </c>
      <c r="BY306" s="526">
        <f t="shared" si="225"/>
        <v>16</v>
      </c>
      <c r="BZ306" s="526">
        <f t="shared" si="225"/>
        <v>16</v>
      </c>
      <c r="CA306" s="526">
        <f t="shared" si="225"/>
        <v>16</v>
      </c>
      <c r="CB306" s="526">
        <f t="shared" si="225"/>
        <v>16</v>
      </c>
      <c r="CC306" s="526">
        <f t="shared" si="225"/>
        <v>16</v>
      </c>
      <c r="CD306" s="526">
        <f t="shared" si="225"/>
        <v>16</v>
      </c>
      <c r="CE306" s="526">
        <f t="shared" si="225"/>
        <v>16</v>
      </c>
      <c r="CG306" s="536">
        <v>16</v>
      </c>
      <c r="CH306" s="536">
        <v>16</v>
      </c>
      <c r="CI306" s="536">
        <v>16</v>
      </c>
      <c r="CJ306" s="536">
        <v>16</v>
      </c>
      <c r="CK306" s="536">
        <v>16</v>
      </c>
      <c r="CL306" s="536">
        <v>16</v>
      </c>
      <c r="CM306" s="536">
        <v>16</v>
      </c>
      <c r="CN306" s="536">
        <v>16</v>
      </c>
      <c r="CO306" s="536">
        <v>16</v>
      </c>
      <c r="CP306" s="536">
        <v>16</v>
      </c>
      <c r="CQ306" s="536">
        <v>16</v>
      </c>
      <c r="CR306" s="536">
        <v>16</v>
      </c>
      <c r="CS306" s="536">
        <v>16</v>
      </c>
      <c r="CT306" s="536">
        <v>16</v>
      </c>
      <c r="CU306" s="536">
        <v>16</v>
      </c>
      <c r="CV306" s="536">
        <v>16</v>
      </c>
      <c r="CW306" s="536">
        <v>16</v>
      </c>
      <c r="CX306" s="536">
        <v>16</v>
      </c>
      <c r="CY306" s="536">
        <v>16</v>
      </c>
      <c r="CZ306" s="536">
        <v>16</v>
      </c>
      <c r="DA306" s="536">
        <v>16</v>
      </c>
      <c r="DB306" s="536">
        <v>16</v>
      </c>
      <c r="DC306" s="536">
        <v>16</v>
      </c>
      <c r="DD306" s="536">
        <v>16</v>
      </c>
      <c r="DE306" s="536">
        <v>16</v>
      </c>
      <c r="DF306" s="536">
        <v>16</v>
      </c>
      <c r="DG306" s="536">
        <v>16</v>
      </c>
      <c r="DH306" s="536">
        <v>16</v>
      </c>
    </row>
    <row r="307" spans="2:112">
      <c r="B307" t="s">
        <v>1172</v>
      </c>
      <c r="C307" t="s">
        <v>793</v>
      </c>
      <c r="D307" t="s">
        <v>886</v>
      </c>
      <c r="E307" t="s">
        <v>178</v>
      </c>
      <c r="F307" s="537">
        <v>0.51</v>
      </c>
      <c r="G307" s="537">
        <v>0.51</v>
      </c>
      <c r="H307" s="537">
        <v>0.51</v>
      </c>
      <c r="I307" s="537">
        <v>0.51</v>
      </c>
      <c r="J307" s="537">
        <v>0.51</v>
      </c>
      <c r="K307" s="537">
        <v>0.51</v>
      </c>
      <c r="L307" s="537">
        <v>0.51</v>
      </c>
      <c r="M307" s="537">
        <v>0.51</v>
      </c>
      <c r="N307" s="537">
        <v>0.51</v>
      </c>
      <c r="O307" s="537">
        <v>0.51</v>
      </c>
      <c r="P307" s="537">
        <v>0.51</v>
      </c>
      <c r="Q307" s="537">
        <v>0.51</v>
      </c>
      <c r="R307" s="537">
        <v>0.51</v>
      </c>
      <c r="S307" s="537">
        <v>0.51</v>
      </c>
      <c r="T307" s="537">
        <v>0.51</v>
      </c>
      <c r="U307" s="537">
        <v>0.51</v>
      </c>
      <c r="V307" s="537">
        <v>0.51</v>
      </c>
      <c r="W307" s="537">
        <v>0.51</v>
      </c>
      <c r="X307" s="537">
        <v>0.51</v>
      </c>
      <c r="Y307" s="537">
        <v>0.51</v>
      </c>
      <c r="Z307" s="537">
        <v>0.51</v>
      </c>
      <c r="AA307" s="537">
        <v>0.51</v>
      </c>
      <c r="AB307" s="537">
        <v>0.51</v>
      </c>
      <c r="AC307" s="537">
        <v>0.51</v>
      </c>
      <c r="AD307" s="537">
        <v>0.51</v>
      </c>
      <c r="AE307" s="537">
        <v>0.51</v>
      </c>
      <c r="AF307" s="537">
        <v>0.51</v>
      </c>
      <c r="AG307" s="537">
        <v>0.51</v>
      </c>
      <c r="AH307" s="526">
        <f t="shared" si="226"/>
        <v>0.51</v>
      </c>
      <c r="AI307" s="526">
        <f t="shared" si="226"/>
        <v>0.51</v>
      </c>
      <c r="AJ307" s="526">
        <f t="shared" si="226"/>
        <v>0.51</v>
      </c>
      <c r="AK307" s="526">
        <f t="shared" si="226"/>
        <v>0.51</v>
      </c>
      <c r="AL307" s="526">
        <f t="shared" si="226"/>
        <v>0.51</v>
      </c>
      <c r="AM307" s="526">
        <f t="shared" si="226"/>
        <v>0.51</v>
      </c>
      <c r="AN307" s="526">
        <f t="shared" si="226"/>
        <v>0.51</v>
      </c>
      <c r="AO307" s="526">
        <f t="shared" si="226"/>
        <v>0.51</v>
      </c>
      <c r="AP307" s="526">
        <f t="shared" si="226"/>
        <v>0.51</v>
      </c>
      <c r="AQ307" s="526">
        <f t="shared" si="226"/>
        <v>0.51</v>
      </c>
      <c r="AR307" s="526">
        <f t="shared" si="226"/>
        <v>0.51</v>
      </c>
      <c r="AS307" s="526">
        <f t="shared" si="226"/>
        <v>0.51</v>
      </c>
      <c r="AT307" s="526">
        <f t="shared" si="226"/>
        <v>0.51</v>
      </c>
      <c r="AU307" s="526">
        <f t="shared" si="226"/>
        <v>0.51</v>
      </c>
      <c r="AV307" s="526">
        <f t="shared" si="226"/>
        <v>0.51</v>
      </c>
      <c r="AW307" s="526">
        <f t="shared" si="226"/>
        <v>0.51</v>
      </c>
      <c r="AX307" s="526">
        <f t="shared" si="225"/>
        <v>0.51</v>
      </c>
      <c r="AY307" s="526">
        <f t="shared" si="225"/>
        <v>0.51</v>
      </c>
      <c r="AZ307" s="526">
        <f t="shared" si="225"/>
        <v>0.51</v>
      </c>
      <c r="BA307" s="526">
        <f t="shared" si="225"/>
        <v>0.51</v>
      </c>
      <c r="BB307" s="526">
        <f t="shared" si="225"/>
        <v>0.51</v>
      </c>
      <c r="BC307" s="526">
        <f t="shared" si="225"/>
        <v>0.51</v>
      </c>
      <c r="BD307" s="526">
        <f t="shared" si="225"/>
        <v>0.51</v>
      </c>
      <c r="BE307" s="526">
        <f t="shared" si="225"/>
        <v>0.51</v>
      </c>
      <c r="BF307" s="526">
        <f t="shared" si="225"/>
        <v>0.51</v>
      </c>
      <c r="BG307" s="526">
        <f t="shared" si="225"/>
        <v>0.51</v>
      </c>
      <c r="BH307" s="526">
        <f t="shared" si="225"/>
        <v>0.51</v>
      </c>
      <c r="BI307" s="526">
        <f t="shared" si="225"/>
        <v>0.51</v>
      </c>
      <c r="BJ307" s="526">
        <f t="shared" si="225"/>
        <v>0.51</v>
      </c>
      <c r="BK307" s="526">
        <f t="shared" si="225"/>
        <v>0.51</v>
      </c>
      <c r="BL307" s="526">
        <f t="shared" si="225"/>
        <v>0.51</v>
      </c>
      <c r="BM307" s="526">
        <f t="shared" si="225"/>
        <v>0.51</v>
      </c>
      <c r="BN307" s="526">
        <f t="shared" si="225"/>
        <v>0.51</v>
      </c>
      <c r="BO307" s="526">
        <f t="shared" si="225"/>
        <v>0.51</v>
      </c>
      <c r="BP307" s="526">
        <f t="shared" si="225"/>
        <v>0.51</v>
      </c>
      <c r="BQ307" s="526">
        <f t="shared" si="225"/>
        <v>0.51</v>
      </c>
      <c r="BR307" s="526">
        <f t="shared" si="225"/>
        <v>0.51</v>
      </c>
      <c r="BS307" s="526">
        <f t="shared" si="225"/>
        <v>0.51</v>
      </c>
      <c r="BT307" s="526">
        <f t="shared" si="225"/>
        <v>0.51</v>
      </c>
      <c r="BU307" s="526">
        <f t="shared" si="225"/>
        <v>0.51</v>
      </c>
      <c r="BV307" s="526">
        <f t="shared" si="225"/>
        <v>0.51</v>
      </c>
      <c r="BW307" s="526">
        <f t="shared" si="225"/>
        <v>0.51</v>
      </c>
      <c r="BX307" s="526">
        <f t="shared" si="225"/>
        <v>0.51</v>
      </c>
      <c r="BY307" s="526">
        <f t="shared" si="225"/>
        <v>0.51</v>
      </c>
      <c r="BZ307" s="526">
        <f t="shared" si="225"/>
        <v>0.51</v>
      </c>
      <c r="CA307" s="526">
        <f t="shared" si="225"/>
        <v>0.51</v>
      </c>
      <c r="CB307" s="526">
        <f t="shared" si="225"/>
        <v>0.51</v>
      </c>
      <c r="CC307" s="526">
        <f t="shared" si="225"/>
        <v>0.51</v>
      </c>
      <c r="CD307" s="526">
        <f t="shared" si="225"/>
        <v>0.51</v>
      </c>
      <c r="CE307" s="526">
        <f t="shared" si="225"/>
        <v>0.51</v>
      </c>
      <c r="CG307" s="537">
        <v>0.51</v>
      </c>
      <c r="CH307" s="537">
        <v>0.51</v>
      </c>
      <c r="CI307" s="537">
        <v>0.51</v>
      </c>
      <c r="CJ307" s="537">
        <v>0.51</v>
      </c>
      <c r="CK307" s="537">
        <v>0.51</v>
      </c>
      <c r="CL307" s="537">
        <v>0.51</v>
      </c>
      <c r="CM307" s="537">
        <v>0.51</v>
      </c>
      <c r="CN307" s="537">
        <v>0.51</v>
      </c>
      <c r="CO307" s="537">
        <v>0.51</v>
      </c>
      <c r="CP307" s="537">
        <v>0.51</v>
      </c>
      <c r="CQ307" s="537">
        <v>0.51</v>
      </c>
      <c r="CR307" s="537">
        <v>0.51</v>
      </c>
      <c r="CS307" s="537">
        <v>0.51</v>
      </c>
      <c r="CT307" s="537">
        <v>0.51</v>
      </c>
      <c r="CU307" s="537">
        <v>0.51</v>
      </c>
      <c r="CV307" s="537">
        <v>0.51</v>
      </c>
      <c r="CW307" s="537">
        <v>0.51</v>
      </c>
      <c r="CX307" s="537">
        <v>0.51</v>
      </c>
      <c r="CY307" s="537">
        <v>0.51</v>
      </c>
      <c r="CZ307" s="537">
        <v>0.51</v>
      </c>
      <c r="DA307" s="537">
        <v>0.51</v>
      </c>
      <c r="DB307" s="537">
        <v>0.51</v>
      </c>
      <c r="DC307" s="537">
        <v>0.51</v>
      </c>
      <c r="DD307" s="537">
        <v>0.51</v>
      </c>
      <c r="DE307" s="537">
        <v>0.51</v>
      </c>
      <c r="DF307" s="537">
        <v>0.51</v>
      </c>
      <c r="DG307" s="537">
        <v>0.51</v>
      </c>
      <c r="DH307" s="537">
        <v>0.51</v>
      </c>
    </row>
    <row r="308" spans="2:112">
      <c r="B308" t="s">
        <v>1173</v>
      </c>
      <c r="C308" t="s">
        <v>793</v>
      </c>
      <c r="D308" t="s">
        <v>888</v>
      </c>
      <c r="E308" t="s">
        <v>178</v>
      </c>
      <c r="F308" s="537">
        <v>0.51</v>
      </c>
      <c r="G308" s="537">
        <v>0.51</v>
      </c>
      <c r="H308" s="537">
        <v>0.51</v>
      </c>
      <c r="I308" s="537">
        <v>0.51</v>
      </c>
      <c r="J308" s="537">
        <v>0.51</v>
      </c>
      <c r="K308" s="537">
        <v>0.51</v>
      </c>
      <c r="L308" s="537">
        <v>0.51</v>
      </c>
      <c r="M308" s="537">
        <v>0.51</v>
      </c>
      <c r="N308" s="537">
        <v>0.51</v>
      </c>
      <c r="O308" s="537">
        <v>0.51</v>
      </c>
      <c r="P308" s="537">
        <v>0.51</v>
      </c>
      <c r="Q308" s="537">
        <v>0.51</v>
      </c>
      <c r="R308" s="537">
        <v>0.51</v>
      </c>
      <c r="S308" s="537">
        <v>0.51</v>
      </c>
      <c r="T308" s="537">
        <v>0.51</v>
      </c>
      <c r="U308" s="537">
        <v>0.51</v>
      </c>
      <c r="V308" s="537">
        <v>0.51</v>
      </c>
      <c r="W308" s="537">
        <v>0.51</v>
      </c>
      <c r="X308" s="537">
        <v>0.51</v>
      </c>
      <c r="Y308" s="537">
        <v>0.51</v>
      </c>
      <c r="Z308" s="537">
        <v>0.51</v>
      </c>
      <c r="AA308" s="537">
        <v>0.51</v>
      </c>
      <c r="AB308" s="537">
        <v>0.51</v>
      </c>
      <c r="AC308" s="537">
        <v>0.51</v>
      </c>
      <c r="AD308" s="537">
        <v>0.51</v>
      </c>
      <c r="AE308" s="537">
        <v>0.51</v>
      </c>
      <c r="AF308" s="537">
        <v>0.51</v>
      </c>
      <c r="AG308" s="537">
        <v>0.51</v>
      </c>
      <c r="AH308" s="526">
        <f t="shared" si="226"/>
        <v>0.51</v>
      </c>
      <c r="AI308" s="526">
        <f t="shared" si="226"/>
        <v>0.51</v>
      </c>
      <c r="AJ308" s="526">
        <f t="shared" si="226"/>
        <v>0.51</v>
      </c>
      <c r="AK308" s="526">
        <f t="shared" si="226"/>
        <v>0.51</v>
      </c>
      <c r="AL308" s="526">
        <f t="shared" si="226"/>
        <v>0.51</v>
      </c>
      <c r="AM308" s="526">
        <f t="shared" si="226"/>
        <v>0.51</v>
      </c>
      <c r="AN308" s="526">
        <f t="shared" si="226"/>
        <v>0.51</v>
      </c>
      <c r="AO308" s="526">
        <f t="shared" si="226"/>
        <v>0.51</v>
      </c>
      <c r="AP308" s="526">
        <f t="shared" si="226"/>
        <v>0.51</v>
      </c>
      <c r="AQ308" s="526">
        <f t="shared" si="226"/>
        <v>0.51</v>
      </c>
      <c r="AR308" s="526">
        <f t="shared" si="226"/>
        <v>0.51</v>
      </c>
      <c r="AS308" s="526">
        <f t="shared" si="226"/>
        <v>0.51</v>
      </c>
      <c r="AT308" s="526">
        <f t="shared" si="226"/>
        <v>0.51</v>
      </c>
      <c r="AU308" s="526">
        <f t="shared" si="226"/>
        <v>0.51</v>
      </c>
      <c r="AV308" s="526">
        <f t="shared" si="226"/>
        <v>0.51</v>
      </c>
      <c r="AW308" s="526">
        <f t="shared" si="226"/>
        <v>0.51</v>
      </c>
      <c r="AX308" s="526">
        <f t="shared" si="225"/>
        <v>0.51</v>
      </c>
      <c r="AY308" s="526">
        <f t="shared" si="225"/>
        <v>0.51</v>
      </c>
      <c r="AZ308" s="526">
        <f t="shared" si="225"/>
        <v>0.51</v>
      </c>
      <c r="BA308" s="526">
        <f t="shared" si="225"/>
        <v>0.51</v>
      </c>
      <c r="BB308" s="526">
        <f t="shared" si="225"/>
        <v>0.51</v>
      </c>
      <c r="BC308" s="526">
        <f t="shared" si="225"/>
        <v>0.51</v>
      </c>
      <c r="BD308" s="526">
        <f t="shared" si="225"/>
        <v>0.51</v>
      </c>
      <c r="BE308" s="526">
        <f t="shared" si="225"/>
        <v>0.51</v>
      </c>
      <c r="BF308" s="526">
        <f t="shared" si="225"/>
        <v>0.51</v>
      </c>
      <c r="BG308" s="526">
        <f t="shared" si="225"/>
        <v>0.51</v>
      </c>
      <c r="BH308" s="526">
        <f t="shared" si="225"/>
        <v>0.51</v>
      </c>
      <c r="BI308" s="526">
        <f t="shared" si="225"/>
        <v>0.51</v>
      </c>
      <c r="BJ308" s="526">
        <f t="shared" si="225"/>
        <v>0.51</v>
      </c>
      <c r="BK308" s="526">
        <f t="shared" si="225"/>
        <v>0.51</v>
      </c>
      <c r="BL308" s="526">
        <f t="shared" si="225"/>
        <v>0.51</v>
      </c>
      <c r="BM308" s="526">
        <f t="shared" si="225"/>
        <v>0.51</v>
      </c>
      <c r="BN308" s="526">
        <f t="shared" si="225"/>
        <v>0.51</v>
      </c>
      <c r="BO308" s="526">
        <f t="shared" si="225"/>
        <v>0.51</v>
      </c>
      <c r="BP308" s="526">
        <f t="shared" si="225"/>
        <v>0.51</v>
      </c>
      <c r="BQ308" s="526">
        <f t="shared" si="225"/>
        <v>0.51</v>
      </c>
      <c r="BR308" s="526">
        <f t="shared" si="225"/>
        <v>0.51</v>
      </c>
      <c r="BS308" s="526">
        <f t="shared" si="225"/>
        <v>0.51</v>
      </c>
      <c r="BT308" s="526">
        <f t="shared" si="225"/>
        <v>0.51</v>
      </c>
      <c r="BU308" s="526">
        <f t="shared" si="225"/>
        <v>0.51</v>
      </c>
      <c r="BV308" s="526">
        <f t="shared" si="225"/>
        <v>0.51</v>
      </c>
      <c r="BW308" s="526">
        <f t="shared" si="225"/>
        <v>0.51</v>
      </c>
      <c r="BX308" s="526">
        <f t="shared" si="225"/>
        <v>0.51</v>
      </c>
      <c r="BY308" s="526">
        <f t="shared" si="225"/>
        <v>0.51</v>
      </c>
      <c r="BZ308" s="526">
        <f t="shared" si="225"/>
        <v>0.51</v>
      </c>
      <c r="CA308" s="526">
        <f t="shared" si="225"/>
        <v>0.51</v>
      </c>
      <c r="CB308" s="526">
        <f t="shared" si="225"/>
        <v>0.51</v>
      </c>
      <c r="CC308" s="526">
        <f t="shared" si="225"/>
        <v>0.51</v>
      </c>
      <c r="CD308" s="526">
        <f t="shared" si="225"/>
        <v>0.51</v>
      </c>
      <c r="CE308" s="526">
        <f t="shared" si="225"/>
        <v>0.51</v>
      </c>
      <c r="CG308" s="537">
        <v>0.51</v>
      </c>
      <c r="CH308" s="537">
        <v>0.51</v>
      </c>
      <c r="CI308" s="537">
        <v>0.51</v>
      </c>
      <c r="CJ308" s="537">
        <v>0.51</v>
      </c>
      <c r="CK308" s="537">
        <v>0.51</v>
      </c>
      <c r="CL308" s="537">
        <v>0.51</v>
      </c>
      <c r="CM308" s="537">
        <v>0.51</v>
      </c>
      <c r="CN308" s="537">
        <v>0.51</v>
      </c>
      <c r="CO308" s="537">
        <v>0.51</v>
      </c>
      <c r="CP308" s="537">
        <v>0.51</v>
      </c>
      <c r="CQ308" s="537">
        <v>0.51</v>
      </c>
      <c r="CR308" s="537">
        <v>0.51</v>
      </c>
      <c r="CS308" s="537">
        <v>0.51</v>
      </c>
      <c r="CT308" s="537">
        <v>0.51</v>
      </c>
      <c r="CU308" s="537">
        <v>0.51</v>
      </c>
      <c r="CV308" s="537">
        <v>0.51</v>
      </c>
      <c r="CW308" s="537">
        <v>0.51</v>
      </c>
      <c r="CX308" s="537">
        <v>0.51</v>
      </c>
      <c r="CY308" s="537">
        <v>0.51</v>
      </c>
      <c r="CZ308" s="537">
        <v>0.51</v>
      </c>
      <c r="DA308" s="537">
        <v>0.51</v>
      </c>
      <c r="DB308" s="537">
        <v>0.51</v>
      </c>
      <c r="DC308" s="537">
        <v>0.51</v>
      </c>
      <c r="DD308" s="537">
        <v>0.51</v>
      </c>
      <c r="DE308" s="537">
        <v>0.51</v>
      </c>
      <c r="DF308" s="537">
        <v>0.51</v>
      </c>
      <c r="DG308" s="537">
        <v>0.51</v>
      </c>
      <c r="DH308" s="537">
        <v>0.51</v>
      </c>
    </row>
    <row r="309" spans="2:112">
      <c r="B309" t="s">
        <v>1174</v>
      </c>
      <c r="C309" t="s">
        <v>793</v>
      </c>
      <c r="D309" t="s">
        <v>890</v>
      </c>
      <c r="E309" t="s">
        <v>178</v>
      </c>
      <c r="F309" s="537">
        <v>0.51</v>
      </c>
      <c r="G309" s="537">
        <v>0.51</v>
      </c>
      <c r="H309" s="537">
        <v>0.51</v>
      </c>
      <c r="I309" s="537">
        <v>0.51</v>
      </c>
      <c r="J309" s="537">
        <v>0.51</v>
      </c>
      <c r="K309" s="537">
        <v>0.51</v>
      </c>
      <c r="L309" s="537">
        <v>0.51</v>
      </c>
      <c r="M309" s="537">
        <v>0.51</v>
      </c>
      <c r="N309" s="537">
        <v>0.51</v>
      </c>
      <c r="O309" s="537">
        <v>0.51</v>
      </c>
      <c r="P309" s="537">
        <v>0.51</v>
      </c>
      <c r="Q309" s="537">
        <v>0.51</v>
      </c>
      <c r="R309" s="537">
        <v>0.51</v>
      </c>
      <c r="S309" s="537">
        <v>0.51</v>
      </c>
      <c r="T309" s="537">
        <v>0.51</v>
      </c>
      <c r="U309" s="537">
        <v>0.51</v>
      </c>
      <c r="V309" s="537">
        <v>0.51</v>
      </c>
      <c r="W309" s="537">
        <v>0.51</v>
      </c>
      <c r="X309" s="537">
        <v>0.51</v>
      </c>
      <c r="Y309" s="537">
        <v>0.51</v>
      </c>
      <c r="Z309" s="537">
        <v>0.51</v>
      </c>
      <c r="AA309" s="537">
        <v>0.51</v>
      </c>
      <c r="AB309" s="537">
        <v>0.51</v>
      </c>
      <c r="AC309" s="537">
        <v>0.51</v>
      </c>
      <c r="AD309" s="537">
        <v>0.51</v>
      </c>
      <c r="AE309" s="537">
        <v>0.51</v>
      </c>
      <c r="AF309" s="537">
        <v>0.51</v>
      </c>
      <c r="AG309" s="537">
        <v>0.51</v>
      </c>
      <c r="AH309" s="526">
        <f t="shared" si="226"/>
        <v>0.51</v>
      </c>
      <c r="AI309" s="526">
        <f t="shared" si="226"/>
        <v>0.51</v>
      </c>
      <c r="AJ309" s="526">
        <f t="shared" si="226"/>
        <v>0.51</v>
      </c>
      <c r="AK309" s="526">
        <f t="shared" si="226"/>
        <v>0.51</v>
      </c>
      <c r="AL309" s="526">
        <f t="shared" si="226"/>
        <v>0.51</v>
      </c>
      <c r="AM309" s="526">
        <f t="shared" si="226"/>
        <v>0.51</v>
      </c>
      <c r="AN309" s="526">
        <f t="shared" si="226"/>
        <v>0.51</v>
      </c>
      <c r="AO309" s="526">
        <f t="shared" si="226"/>
        <v>0.51</v>
      </c>
      <c r="AP309" s="526">
        <f t="shared" si="226"/>
        <v>0.51</v>
      </c>
      <c r="AQ309" s="526">
        <f t="shared" si="226"/>
        <v>0.51</v>
      </c>
      <c r="AR309" s="526">
        <f t="shared" si="226"/>
        <v>0.51</v>
      </c>
      <c r="AS309" s="526">
        <f t="shared" si="226"/>
        <v>0.51</v>
      </c>
      <c r="AT309" s="526">
        <f t="shared" si="226"/>
        <v>0.51</v>
      </c>
      <c r="AU309" s="526">
        <f t="shared" si="226"/>
        <v>0.51</v>
      </c>
      <c r="AV309" s="526">
        <f t="shared" si="226"/>
        <v>0.51</v>
      </c>
      <c r="AW309" s="526">
        <f t="shared" si="226"/>
        <v>0.51</v>
      </c>
      <c r="AX309" s="526">
        <f t="shared" si="225"/>
        <v>0.51</v>
      </c>
      <c r="AY309" s="526">
        <f t="shared" si="225"/>
        <v>0.51</v>
      </c>
      <c r="AZ309" s="526">
        <f t="shared" si="225"/>
        <v>0.51</v>
      </c>
      <c r="BA309" s="526">
        <f t="shared" si="225"/>
        <v>0.51</v>
      </c>
      <c r="BB309" s="526">
        <f t="shared" si="225"/>
        <v>0.51</v>
      </c>
      <c r="BC309" s="526">
        <f t="shared" si="225"/>
        <v>0.51</v>
      </c>
      <c r="BD309" s="526">
        <f t="shared" si="225"/>
        <v>0.51</v>
      </c>
      <c r="BE309" s="526">
        <f t="shared" si="225"/>
        <v>0.51</v>
      </c>
      <c r="BF309" s="526">
        <f t="shared" si="225"/>
        <v>0.51</v>
      </c>
      <c r="BG309" s="526">
        <f t="shared" si="225"/>
        <v>0.51</v>
      </c>
      <c r="BH309" s="526">
        <f t="shared" si="225"/>
        <v>0.51</v>
      </c>
      <c r="BI309" s="526">
        <f t="shared" si="225"/>
        <v>0.51</v>
      </c>
      <c r="BJ309" s="526">
        <f t="shared" si="225"/>
        <v>0.51</v>
      </c>
      <c r="BK309" s="526">
        <f t="shared" si="225"/>
        <v>0.51</v>
      </c>
      <c r="BL309" s="526">
        <f t="shared" si="225"/>
        <v>0.51</v>
      </c>
      <c r="BM309" s="526">
        <f t="shared" si="225"/>
        <v>0.51</v>
      </c>
      <c r="BN309" s="526">
        <f t="shared" si="225"/>
        <v>0.51</v>
      </c>
      <c r="BO309" s="526">
        <f t="shared" si="225"/>
        <v>0.51</v>
      </c>
      <c r="BP309" s="526">
        <f t="shared" si="225"/>
        <v>0.51</v>
      </c>
      <c r="BQ309" s="526">
        <f t="shared" si="225"/>
        <v>0.51</v>
      </c>
      <c r="BR309" s="526">
        <f t="shared" si="225"/>
        <v>0.51</v>
      </c>
      <c r="BS309" s="526">
        <f t="shared" si="225"/>
        <v>0.51</v>
      </c>
      <c r="BT309" s="526">
        <f t="shared" si="225"/>
        <v>0.51</v>
      </c>
      <c r="BU309" s="526">
        <f t="shared" si="225"/>
        <v>0.51</v>
      </c>
      <c r="BV309" s="526">
        <f t="shared" si="225"/>
        <v>0.51</v>
      </c>
      <c r="BW309" s="526">
        <f t="shared" si="225"/>
        <v>0.51</v>
      </c>
      <c r="BX309" s="526">
        <f t="shared" si="225"/>
        <v>0.51</v>
      </c>
      <c r="BY309" s="526">
        <f t="shared" si="225"/>
        <v>0.51</v>
      </c>
      <c r="BZ309" s="526">
        <f t="shared" si="225"/>
        <v>0.51</v>
      </c>
      <c r="CA309" s="526">
        <f t="shared" si="225"/>
        <v>0.51</v>
      </c>
      <c r="CB309" s="526">
        <f t="shared" si="225"/>
        <v>0.51</v>
      </c>
      <c r="CC309" s="526">
        <f t="shared" si="225"/>
        <v>0.51</v>
      </c>
      <c r="CD309" s="526">
        <f t="shared" si="225"/>
        <v>0.51</v>
      </c>
      <c r="CE309" s="526">
        <f t="shared" si="225"/>
        <v>0.51</v>
      </c>
      <c r="CG309" s="537">
        <v>0.51</v>
      </c>
      <c r="CH309" s="537">
        <v>0.51</v>
      </c>
      <c r="CI309" s="537">
        <v>0.51</v>
      </c>
      <c r="CJ309" s="537">
        <v>0.51</v>
      </c>
      <c r="CK309" s="537">
        <v>0.51</v>
      </c>
      <c r="CL309" s="537">
        <v>0.51</v>
      </c>
      <c r="CM309" s="537">
        <v>0.51</v>
      </c>
      <c r="CN309" s="537">
        <v>0.51</v>
      </c>
      <c r="CO309" s="537">
        <v>0.51</v>
      </c>
      <c r="CP309" s="537">
        <v>0.51</v>
      </c>
      <c r="CQ309" s="537">
        <v>0.51</v>
      </c>
      <c r="CR309" s="537">
        <v>0.51</v>
      </c>
      <c r="CS309" s="537">
        <v>0.51</v>
      </c>
      <c r="CT309" s="537">
        <v>0.51</v>
      </c>
      <c r="CU309" s="537">
        <v>0.51</v>
      </c>
      <c r="CV309" s="537">
        <v>0.51</v>
      </c>
      <c r="CW309" s="537">
        <v>0.51</v>
      </c>
      <c r="CX309" s="537">
        <v>0.51</v>
      </c>
      <c r="CY309" s="537">
        <v>0.51</v>
      </c>
      <c r="CZ309" s="537">
        <v>0.51</v>
      </c>
      <c r="DA309" s="537">
        <v>0.51</v>
      </c>
      <c r="DB309" s="537">
        <v>0.51</v>
      </c>
      <c r="DC309" s="537">
        <v>0.51</v>
      </c>
      <c r="DD309" s="537">
        <v>0.51</v>
      </c>
      <c r="DE309" s="537">
        <v>0.51</v>
      </c>
      <c r="DF309" s="537">
        <v>0.51</v>
      </c>
      <c r="DG309" s="537">
        <v>0.51</v>
      </c>
      <c r="DH309" s="537">
        <v>0.51</v>
      </c>
    </row>
    <row r="310" spans="2:112">
      <c r="B310" t="s">
        <v>1175</v>
      </c>
      <c r="C310" t="s">
        <v>793</v>
      </c>
      <c r="D310" t="s">
        <v>892</v>
      </c>
      <c r="E310" t="s">
        <v>178</v>
      </c>
      <c r="F310" s="537">
        <v>0.51</v>
      </c>
      <c r="G310" s="537">
        <v>0.51</v>
      </c>
      <c r="H310" s="537">
        <v>0.51</v>
      </c>
      <c r="I310" s="537">
        <v>0.51</v>
      </c>
      <c r="J310" s="537">
        <v>0.51</v>
      </c>
      <c r="K310" s="537">
        <v>0.51</v>
      </c>
      <c r="L310" s="537">
        <v>0.51</v>
      </c>
      <c r="M310" s="537">
        <v>0.51</v>
      </c>
      <c r="N310" s="537">
        <v>0.51</v>
      </c>
      <c r="O310" s="537">
        <v>0.51</v>
      </c>
      <c r="P310" s="537">
        <v>0.51</v>
      </c>
      <c r="Q310" s="537">
        <v>0.51</v>
      </c>
      <c r="R310" s="537">
        <v>0.51</v>
      </c>
      <c r="S310" s="537">
        <v>0.51</v>
      </c>
      <c r="T310" s="537">
        <v>0.51</v>
      </c>
      <c r="U310" s="537">
        <v>0.51</v>
      </c>
      <c r="V310" s="537">
        <v>0.51</v>
      </c>
      <c r="W310" s="537">
        <v>0.51</v>
      </c>
      <c r="X310" s="537">
        <v>0.51</v>
      </c>
      <c r="Y310" s="537">
        <v>0.51</v>
      </c>
      <c r="Z310" s="537">
        <v>0.51</v>
      </c>
      <c r="AA310" s="537">
        <v>0.51</v>
      </c>
      <c r="AB310" s="537">
        <v>0.51</v>
      </c>
      <c r="AC310" s="537">
        <v>0.51</v>
      </c>
      <c r="AD310" s="537">
        <v>0.51</v>
      </c>
      <c r="AE310" s="537">
        <v>0.51</v>
      </c>
      <c r="AF310" s="537">
        <v>0.51</v>
      </c>
      <c r="AG310" s="537">
        <v>0.51</v>
      </c>
      <c r="AH310" s="526">
        <f t="shared" si="226"/>
        <v>0.51</v>
      </c>
      <c r="AI310" s="526">
        <f t="shared" si="226"/>
        <v>0.51</v>
      </c>
      <c r="AJ310" s="526">
        <f t="shared" si="226"/>
        <v>0.51</v>
      </c>
      <c r="AK310" s="526">
        <f t="shared" si="226"/>
        <v>0.51</v>
      </c>
      <c r="AL310" s="526">
        <f t="shared" si="226"/>
        <v>0.51</v>
      </c>
      <c r="AM310" s="526">
        <f t="shared" si="226"/>
        <v>0.51</v>
      </c>
      <c r="AN310" s="526">
        <f t="shared" si="226"/>
        <v>0.51</v>
      </c>
      <c r="AO310" s="526">
        <f t="shared" si="226"/>
        <v>0.51</v>
      </c>
      <c r="AP310" s="526">
        <f t="shared" si="226"/>
        <v>0.51</v>
      </c>
      <c r="AQ310" s="526">
        <f t="shared" si="226"/>
        <v>0.51</v>
      </c>
      <c r="AR310" s="526">
        <f t="shared" si="226"/>
        <v>0.51</v>
      </c>
      <c r="AS310" s="526">
        <f t="shared" si="226"/>
        <v>0.51</v>
      </c>
      <c r="AT310" s="526">
        <f t="shared" si="226"/>
        <v>0.51</v>
      </c>
      <c r="AU310" s="526">
        <f t="shared" si="226"/>
        <v>0.51</v>
      </c>
      <c r="AV310" s="526">
        <f t="shared" si="226"/>
        <v>0.51</v>
      </c>
      <c r="AW310" s="526">
        <f t="shared" si="226"/>
        <v>0.51</v>
      </c>
      <c r="AX310" s="526">
        <f t="shared" si="225"/>
        <v>0.51</v>
      </c>
      <c r="AY310" s="526">
        <f t="shared" si="225"/>
        <v>0.51</v>
      </c>
      <c r="AZ310" s="526">
        <f t="shared" si="225"/>
        <v>0.51</v>
      </c>
      <c r="BA310" s="526">
        <f t="shared" si="225"/>
        <v>0.51</v>
      </c>
      <c r="BB310" s="526">
        <f t="shared" si="225"/>
        <v>0.51</v>
      </c>
      <c r="BC310" s="526">
        <f t="shared" si="225"/>
        <v>0.51</v>
      </c>
      <c r="BD310" s="526">
        <f t="shared" si="225"/>
        <v>0.51</v>
      </c>
      <c r="BE310" s="526">
        <f t="shared" si="225"/>
        <v>0.51</v>
      </c>
      <c r="BF310" s="526">
        <f t="shared" si="225"/>
        <v>0.51</v>
      </c>
      <c r="BG310" s="526">
        <f t="shared" si="225"/>
        <v>0.51</v>
      </c>
      <c r="BH310" s="526">
        <f t="shared" si="225"/>
        <v>0.51</v>
      </c>
      <c r="BI310" s="526">
        <f t="shared" si="225"/>
        <v>0.51</v>
      </c>
      <c r="BJ310" s="526">
        <f t="shared" si="225"/>
        <v>0.51</v>
      </c>
      <c r="BK310" s="526">
        <f t="shared" si="225"/>
        <v>0.51</v>
      </c>
      <c r="BL310" s="526">
        <f t="shared" si="225"/>
        <v>0.51</v>
      </c>
      <c r="BM310" s="526">
        <f t="shared" si="225"/>
        <v>0.51</v>
      </c>
      <c r="BN310" s="526">
        <f t="shared" si="225"/>
        <v>0.51</v>
      </c>
      <c r="BO310" s="526">
        <f t="shared" si="225"/>
        <v>0.51</v>
      </c>
      <c r="BP310" s="526">
        <f t="shared" si="225"/>
        <v>0.51</v>
      </c>
      <c r="BQ310" s="526">
        <f t="shared" si="225"/>
        <v>0.51</v>
      </c>
      <c r="BR310" s="526">
        <f t="shared" si="225"/>
        <v>0.51</v>
      </c>
      <c r="BS310" s="526">
        <f t="shared" si="225"/>
        <v>0.51</v>
      </c>
      <c r="BT310" s="526">
        <f t="shared" si="225"/>
        <v>0.51</v>
      </c>
      <c r="BU310" s="526">
        <f t="shared" si="225"/>
        <v>0.51</v>
      </c>
      <c r="BV310" s="526">
        <f t="shared" si="225"/>
        <v>0.51</v>
      </c>
      <c r="BW310" s="526">
        <f t="shared" si="225"/>
        <v>0.51</v>
      </c>
      <c r="BX310" s="526">
        <f t="shared" si="225"/>
        <v>0.51</v>
      </c>
      <c r="BY310" s="526">
        <f t="shared" si="225"/>
        <v>0.51</v>
      </c>
      <c r="BZ310" s="526">
        <f t="shared" si="225"/>
        <v>0.51</v>
      </c>
      <c r="CA310" s="526">
        <f t="shared" si="225"/>
        <v>0.51</v>
      </c>
      <c r="CB310" s="526">
        <f t="shared" si="225"/>
        <v>0.51</v>
      </c>
      <c r="CC310" s="526">
        <f t="shared" si="225"/>
        <v>0.51</v>
      </c>
      <c r="CD310" s="526">
        <f t="shared" si="225"/>
        <v>0.51</v>
      </c>
      <c r="CE310" s="526">
        <f t="shared" si="225"/>
        <v>0.51</v>
      </c>
      <c r="CG310" s="537">
        <v>0.51</v>
      </c>
      <c r="CH310" s="537">
        <v>0.51</v>
      </c>
      <c r="CI310" s="537">
        <v>0.51</v>
      </c>
      <c r="CJ310" s="537">
        <v>0.51</v>
      </c>
      <c r="CK310" s="537">
        <v>0.51</v>
      </c>
      <c r="CL310" s="537">
        <v>0.51</v>
      </c>
      <c r="CM310" s="537">
        <v>0.51</v>
      </c>
      <c r="CN310" s="537">
        <v>0.51</v>
      </c>
      <c r="CO310" s="537">
        <v>0.51</v>
      </c>
      <c r="CP310" s="537">
        <v>0.51</v>
      </c>
      <c r="CQ310" s="537">
        <v>0.51</v>
      </c>
      <c r="CR310" s="537">
        <v>0.51</v>
      </c>
      <c r="CS310" s="537">
        <v>0.51</v>
      </c>
      <c r="CT310" s="537">
        <v>0.51</v>
      </c>
      <c r="CU310" s="537">
        <v>0.51</v>
      </c>
      <c r="CV310" s="537">
        <v>0.51</v>
      </c>
      <c r="CW310" s="537">
        <v>0.51</v>
      </c>
      <c r="CX310" s="537">
        <v>0.51</v>
      </c>
      <c r="CY310" s="537">
        <v>0.51</v>
      </c>
      <c r="CZ310" s="537">
        <v>0.51</v>
      </c>
      <c r="DA310" s="537">
        <v>0.51</v>
      </c>
      <c r="DB310" s="537">
        <v>0.51</v>
      </c>
      <c r="DC310" s="537">
        <v>0.51</v>
      </c>
      <c r="DD310" s="537">
        <v>0.51</v>
      </c>
      <c r="DE310" s="537">
        <v>0.51</v>
      </c>
      <c r="DF310" s="537">
        <v>0.51</v>
      </c>
      <c r="DG310" s="537">
        <v>0.51</v>
      </c>
      <c r="DH310" s="537">
        <v>0.51</v>
      </c>
    </row>
    <row r="311" spans="2:112">
      <c r="B311" t="s">
        <v>1176</v>
      </c>
      <c r="C311" t="s">
        <v>793</v>
      </c>
      <c r="D311" t="s">
        <v>894</v>
      </c>
      <c r="E311" t="s">
        <v>895</v>
      </c>
      <c r="F311" s="537">
        <v>0</v>
      </c>
      <c r="G311" s="537">
        <v>0</v>
      </c>
      <c r="H311" s="537">
        <v>0</v>
      </c>
      <c r="I311" s="537">
        <v>0</v>
      </c>
      <c r="J311" s="537">
        <v>0</v>
      </c>
      <c r="K311" s="537">
        <v>0</v>
      </c>
      <c r="L311" s="537">
        <v>0</v>
      </c>
      <c r="M311" s="537">
        <v>0</v>
      </c>
      <c r="N311" s="537">
        <v>0</v>
      </c>
      <c r="O311" s="537">
        <v>0</v>
      </c>
      <c r="P311" s="537">
        <v>0</v>
      </c>
      <c r="Q311" s="537">
        <v>0</v>
      </c>
      <c r="R311" s="537">
        <v>0</v>
      </c>
      <c r="S311" s="537">
        <v>0</v>
      </c>
      <c r="T311" s="537">
        <v>0</v>
      </c>
      <c r="U311" s="537">
        <v>0</v>
      </c>
      <c r="V311" s="537">
        <v>0</v>
      </c>
      <c r="W311" s="537">
        <v>0</v>
      </c>
      <c r="X311" s="537">
        <v>0</v>
      </c>
      <c r="Y311" s="537">
        <v>0</v>
      </c>
      <c r="Z311" s="537">
        <v>0</v>
      </c>
      <c r="AA311" s="537">
        <v>0</v>
      </c>
      <c r="AB311" s="537">
        <v>0</v>
      </c>
      <c r="AC311" s="537">
        <v>0</v>
      </c>
      <c r="AD311" s="537">
        <v>0</v>
      </c>
      <c r="AE311" s="537">
        <v>0</v>
      </c>
      <c r="AF311" s="537">
        <v>0</v>
      </c>
      <c r="AG311" s="537">
        <v>0</v>
      </c>
      <c r="AH311" s="538">
        <f t="shared" si="226"/>
        <v>0</v>
      </c>
      <c r="AI311" s="538">
        <f t="shared" si="226"/>
        <v>0</v>
      </c>
      <c r="AJ311" s="538">
        <f t="shared" si="226"/>
        <v>0</v>
      </c>
      <c r="AK311" s="538">
        <f t="shared" si="226"/>
        <v>0</v>
      </c>
      <c r="AL311" s="538">
        <f t="shared" si="226"/>
        <v>0</v>
      </c>
      <c r="AM311" s="538">
        <f t="shared" si="226"/>
        <v>0</v>
      </c>
      <c r="AN311" s="538">
        <f t="shared" si="226"/>
        <v>0</v>
      </c>
      <c r="AO311" s="538">
        <f t="shared" si="226"/>
        <v>0</v>
      </c>
      <c r="AP311" s="538">
        <f t="shared" si="226"/>
        <v>0</v>
      </c>
      <c r="AQ311" s="538">
        <f t="shared" si="226"/>
        <v>0</v>
      </c>
      <c r="AR311" s="538">
        <f t="shared" si="226"/>
        <v>0</v>
      </c>
      <c r="AS311" s="538">
        <f t="shared" si="226"/>
        <v>0</v>
      </c>
      <c r="AT311" s="538">
        <f t="shared" si="226"/>
        <v>0</v>
      </c>
      <c r="AU311" s="538">
        <f t="shared" si="226"/>
        <v>0</v>
      </c>
      <c r="AV311" s="538">
        <f t="shared" si="226"/>
        <v>0</v>
      </c>
      <c r="AW311" s="538">
        <f t="shared" si="226"/>
        <v>0</v>
      </c>
      <c r="AX311" s="538">
        <f t="shared" si="225"/>
        <v>0</v>
      </c>
      <c r="AY311" s="538">
        <f t="shared" si="225"/>
        <v>0</v>
      </c>
      <c r="AZ311" s="538">
        <f t="shared" si="225"/>
        <v>0</v>
      </c>
      <c r="BA311" s="538">
        <f t="shared" si="225"/>
        <v>0</v>
      </c>
      <c r="BB311" s="538">
        <f t="shared" si="225"/>
        <v>0</v>
      </c>
      <c r="BC311" s="538">
        <f t="shared" si="225"/>
        <v>0</v>
      </c>
      <c r="BD311" s="538">
        <f t="shared" si="225"/>
        <v>0</v>
      </c>
      <c r="BE311" s="538">
        <f t="shared" si="225"/>
        <v>0</v>
      </c>
      <c r="BF311" s="538">
        <f t="shared" si="225"/>
        <v>0</v>
      </c>
      <c r="BG311" s="538">
        <f t="shared" si="225"/>
        <v>0</v>
      </c>
      <c r="BH311" s="538">
        <f t="shared" si="225"/>
        <v>0</v>
      </c>
      <c r="BI311" s="538">
        <f t="shared" si="225"/>
        <v>0</v>
      </c>
      <c r="BJ311" s="538">
        <f t="shared" si="225"/>
        <v>0</v>
      </c>
      <c r="BK311" s="538">
        <f t="shared" si="225"/>
        <v>0</v>
      </c>
      <c r="BL311" s="538">
        <f t="shared" si="225"/>
        <v>0</v>
      </c>
      <c r="BM311" s="538">
        <f t="shared" si="225"/>
        <v>0</v>
      </c>
      <c r="BN311" s="538">
        <f t="shared" si="225"/>
        <v>0</v>
      </c>
      <c r="BO311" s="538">
        <f t="shared" si="225"/>
        <v>0</v>
      </c>
      <c r="BP311" s="538">
        <f t="shared" si="225"/>
        <v>0</v>
      </c>
      <c r="BQ311" s="538">
        <f t="shared" si="225"/>
        <v>0</v>
      </c>
      <c r="BR311" s="538">
        <f t="shared" si="225"/>
        <v>0</v>
      </c>
      <c r="BS311" s="538">
        <f t="shared" si="225"/>
        <v>0</v>
      </c>
      <c r="BT311" s="538">
        <f t="shared" si="225"/>
        <v>0</v>
      </c>
      <c r="BU311" s="538">
        <f t="shared" si="225"/>
        <v>0</v>
      </c>
      <c r="BV311" s="538">
        <f t="shared" si="225"/>
        <v>0</v>
      </c>
      <c r="BW311" s="538">
        <f t="shared" si="225"/>
        <v>0</v>
      </c>
      <c r="BX311" s="538">
        <f t="shared" si="225"/>
        <v>0</v>
      </c>
      <c r="BY311" s="538">
        <f t="shared" si="225"/>
        <v>0</v>
      </c>
      <c r="BZ311" s="538">
        <f t="shared" si="225"/>
        <v>0</v>
      </c>
      <c r="CA311" s="538">
        <f t="shared" si="225"/>
        <v>0</v>
      </c>
      <c r="CB311" s="538">
        <f t="shared" si="225"/>
        <v>0</v>
      </c>
      <c r="CC311" s="538">
        <f t="shared" si="225"/>
        <v>0</v>
      </c>
      <c r="CD311" s="538">
        <f t="shared" si="225"/>
        <v>0</v>
      </c>
      <c r="CE311" s="538">
        <f t="shared" si="225"/>
        <v>0</v>
      </c>
      <c r="CG311" s="537">
        <v>0</v>
      </c>
      <c r="CH311" s="537">
        <v>0</v>
      </c>
      <c r="CI311" s="537">
        <v>0</v>
      </c>
      <c r="CJ311" s="537">
        <v>0</v>
      </c>
      <c r="CK311" s="537">
        <v>0</v>
      </c>
      <c r="CL311" s="537">
        <v>0</v>
      </c>
      <c r="CM311" s="537">
        <v>0</v>
      </c>
      <c r="CN311" s="537">
        <v>0</v>
      </c>
      <c r="CO311" s="537">
        <v>0</v>
      </c>
      <c r="CP311" s="537">
        <v>0</v>
      </c>
      <c r="CQ311" s="537">
        <v>0</v>
      </c>
      <c r="CR311" s="537">
        <v>0</v>
      </c>
      <c r="CS311" s="537">
        <v>0</v>
      </c>
      <c r="CT311" s="537">
        <v>0</v>
      </c>
      <c r="CU311" s="537">
        <v>0</v>
      </c>
      <c r="CV311" s="537">
        <v>0</v>
      </c>
      <c r="CW311" s="537">
        <v>0</v>
      </c>
      <c r="CX311" s="537">
        <v>0</v>
      </c>
      <c r="CY311" s="537">
        <v>0</v>
      </c>
      <c r="CZ311" s="537">
        <v>0</v>
      </c>
      <c r="DA311" s="537">
        <v>0</v>
      </c>
      <c r="DB311" s="537">
        <v>0</v>
      </c>
      <c r="DC311" s="537">
        <v>0</v>
      </c>
      <c r="DD311" s="537">
        <v>0</v>
      </c>
      <c r="DE311" s="537">
        <v>0</v>
      </c>
      <c r="DF311" s="537">
        <v>0</v>
      </c>
      <c r="DG311" s="537">
        <v>0</v>
      </c>
      <c r="DH311" s="537">
        <v>0</v>
      </c>
    </row>
    <row r="312" spans="2:112">
      <c r="B312" t="s">
        <v>1177</v>
      </c>
      <c r="C312" t="s">
        <v>793</v>
      </c>
      <c r="D312" t="s">
        <v>897</v>
      </c>
      <c r="E312" t="s">
        <v>895</v>
      </c>
      <c r="F312" s="537">
        <v>0.01</v>
      </c>
      <c r="G312" s="537">
        <v>0.01</v>
      </c>
      <c r="H312" s="537">
        <v>0.01</v>
      </c>
      <c r="I312" s="537">
        <v>0.01</v>
      </c>
      <c r="J312" s="537">
        <v>0.01</v>
      </c>
      <c r="K312" s="537">
        <v>0.01</v>
      </c>
      <c r="L312" s="537">
        <v>0.01</v>
      </c>
      <c r="M312" s="537">
        <v>0.01</v>
      </c>
      <c r="N312" s="537">
        <v>0.01</v>
      </c>
      <c r="O312" s="537">
        <v>0.01</v>
      </c>
      <c r="P312" s="537">
        <v>0.01</v>
      </c>
      <c r="Q312" s="537">
        <v>0.01</v>
      </c>
      <c r="R312" s="537">
        <v>0.01</v>
      </c>
      <c r="S312" s="537">
        <v>0.01</v>
      </c>
      <c r="T312" s="537">
        <v>0.01</v>
      </c>
      <c r="U312" s="537">
        <v>0.01</v>
      </c>
      <c r="V312" s="537">
        <v>0.01</v>
      </c>
      <c r="W312" s="537">
        <v>0.01</v>
      </c>
      <c r="X312" s="537">
        <v>0.01</v>
      </c>
      <c r="Y312" s="537">
        <v>0.01</v>
      </c>
      <c r="Z312" s="537">
        <v>0.01</v>
      </c>
      <c r="AA312" s="537">
        <v>0.01</v>
      </c>
      <c r="AB312" s="537">
        <v>0.01</v>
      </c>
      <c r="AC312" s="537">
        <v>0.01</v>
      </c>
      <c r="AD312" s="537">
        <v>0.01</v>
      </c>
      <c r="AE312" s="537">
        <v>0.01</v>
      </c>
      <c r="AF312" s="537">
        <v>0.01</v>
      </c>
      <c r="AG312" s="537">
        <v>0.01</v>
      </c>
      <c r="AH312" s="538">
        <f t="shared" si="226"/>
        <v>0.01</v>
      </c>
      <c r="AI312" s="538">
        <f t="shared" si="226"/>
        <v>0.01</v>
      </c>
      <c r="AJ312" s="538">
        <f t="shared" si="226"/>
        <v>0.01</v>
      </c>
      <c r="AK312" s="538">
        <f t="shared" si="226"/>
        <v>0.01</v>
      </c>
      <c r="AL312" s="538">
        <f t="shared" si="226"/>
        <v>0.01</v>
      </c>
      <c r="AM312" s="538">
        <f t="shared" si="226"/>
        <v>0.01</v>
      </c>
      <c r="AN312" s="538">
        <f t="shared" si="226"/>
        <v>0.01</v>
      </c>
      <c r="AO312" s="538">
        <f t="shared" si="226"/>
        <v>0.01</v>
      </c>
      <c r="AP312" s="538">
        <f t="shared" si="226"/>
        <v>0.01</v>
      </c>
      <c r="AQ312" s="538">
        <f t="shared" si="226"/>
        <v>0.01</v>
      </c>
      <c r="AR312" s="538">
        <f t="shared" si="226"/>
        <v>0.01</v>
      </c>
      <c r="AS312" s="538">
        <f t="shared" si="226"/>
        <v>0.01</v>
      </c>
      <c r="AT312" s="538">
        <f t="shared" si="226"/>
        <v>0.01</v>
      </c>
      <c r="AU312" s="538">
        <f t="shared" si="226"/>
        <v>0.01</v>
      </c>
      <c r="AV312" s="538">
        <f t="shared" si="226"/>
        <v>0.01</v>
      </c>
      <c r="AW312" s="538">
        <f t="shared" si="226"/>
        <v>0.01</v>
      </c>
      <c r="AX312" s="538">
        <f t="shared" si="225"/>
        <v>0.01</v>
      </c>
      <c r="AY312" s="538">
        <f t="shared" si="225"/>
        <v>0.01</v>
      </c>
      <c r="AZ312" s="538">
        <f t="shared" si="225"/>
        <v>0.01</v>
      </c>
      <c r="BA312" s="538">
        <f t="shared" si="225"/>
        <v>0.01</v>
      </c>
      <c r="BB312" s="538">
        <f t="shared" si="225"/>
        <v>0.01</v>
      </c>
      <c r="BC312" s="538">
        <f t="shared" si="225"/>
        <v>0.01</v>
      </c>
      <c r="BD312" s="538">
        <f t="shared" si="225"/>
        <v>0.01</v>
      </c>
      <c r="BE312" s="538">
        <f t="shared" si="225"/>
        <v>0.01</v>
      </c>
      <c r="BF312" s="538">
        <f t="shared" si="225"/>
        <v>0.01</v>
      </c>
      <c r="BG312" s="538">
        <f t="shared" si="225"/>
        <v>0.01</v>
      </c>
      <c r="BH312" s="538">
        <f t="shared" si="225"/>
        <v>0.01</v>
      </c>
      <c r="BI312" s="538">
        <f t="shared" si="225"/>
        <v>0.01</v>
      </c>
      <c r="BJ312" s="538">
        <f t="shared" si="225"/>
        <v>0.01</v>
      </c>
      <c r="BK312" s="538">
        <f t="shared" si="225"/>
        <v>0.01</v>
      </c>
      <c r="BL312" s="538">
        <f t="shared" si="225"/>
        <v>0.01</v>
      </c>
      <c r="BM312" s="538">
        <f t="shared" si="225"/>
        <v>0.01</v>
      </c>
      <c r="BN312" s="538">
        <f t="shared" ref="BN312:CC314" si="227">BM312</f>
        <v>0.01</v>
      </c>
      <c r="BO312" s="538">
        <f t="shared" si="227"/>
        <v>0.01</v>
      </c>
      <c r="BP312" s="538">
        <f t="shared" si="227"/>
        <v>0.01</v>
      </c>
      <c r="BQ312" s="538">
        <f t="shared" si="227"/>
        <v>0.01</v>
      </c>
      <c r="BR312" s="538">
        <f t="shared" si="227"/>
        <v>0.01</v>
      </c>
      <c r="BS312" s="538">
        <f t="shared" si="227"/>
        <v>0.01</v>
      </c>
      <c r="BT312" s="538">
        <f t="shared" si="227"/>
        <v>0.01</v>
      </c>
      <c r="BU312" s="538">
        <f t="shared" si="227"/>
        <v>0.01</v>
      </c>
      <c r="BV312" s="538">
        <f t="shared" si="227"/>
        <v>0.01</v>
      </c>
      <c r="BW312" s="538">
        <f t="shared" si="227"/>
        <v>0.01</v>
      </c>
      <c r="BX312" s="538">
        <f t="shared" si="227"/>
        <v>0.01</v>
      </c>
      <c r="BY312" s="538">
        <f t="shared" si="227"/>
        <v>0.01</v>
      </c>
      <c r="BZ312" s="538">
        <f t="shared" si="227"/>
        <v>0.01</v>
      </c>
      <c r="CA312" s="538">
        <f t="shared" si="227"/>
        <v>0.01</v>
      </c>
      <c r="CB312" s="538">
        <f t="shared" si="227"/>
        <v>0.01</v>
      </c>
      <c r="CC312" s="538">
        <f t="shared" si="227"/>
        <v>0.01</v>
      </c>
      <c r="CD312" s="538">
        <f t="shared" ref="CD312:CE314" si="228">CC312</f>
        <v>0.01</v>
      </c>
      <c r="CE312" s="538">
        <f t="shared" si="228"/>
        <v>0.01</v>
      </c>
      <c r="CG312" s="537">
        <v>0.01</v>
      </c>
      <c r="CH312" s="537">
        <v>0.01</v>
      </c>
      <c r="CI312" s="537">
        <v>0.01</v>
      </c>
      <c r="CJ312" s="537">
        <v>0.01</v>
      </c>
      <c r="CK312" s="537">
        <v>0.01</v>
      </c>
      <c r="CL312" s="537">
        <v>0.01</v>
      </c>
      <c r="CM312" s="537">
        <v>0.01</v>
      </c>
      <c r="CN312" s="537">
        <v>0.01</v>
      </c>
      <c r="CO312" s="537">
        <v>0.01</v>
      </c>
      <c r="CP312" s="537">
        <v>0.01</v>
      </c>
      <c r="CQ312" s="537">
        <v>0.01</v>
      </c>
      <c r="CR312" s="537">
        <v>0.01</v>
      </c>
      <c r="CS312" s="537">
        <v>0.01</v>
      </c>
      <c r="CT312" s="537">
        <v>0.01</v>
      </c>
      <c r="CU312" s="537">
        <v>0.01</v>
      </c>
      <c r="CV312" s="537">
        <v>0.01</v>
      </c>
      <c r="CW312" s="537">
        <v>0.01</v>
      </c>
      <c r="CX312" s="537">
        <v>0.01</v>
      </c>
      <c r="CY312" s="537">
        <v>0.01</v>
      </c>
      <c r="CZ312" s="537">
        <v>0.01</v>
      </c>
      <c r="DA312" s="537">
        <v>0.01</v>
      </c>
      <c r="DB312" s="537">
        <v>0.01</v>
      </c>
      <c r="DC312" s="537">
        <v>0.01</v>
      </c>
      <c r="DD312" s="537">
        <v>0.01</v>
      </c>
      <c r="DE312" s="537">
        <v>0.01</v>
      </c>
      <c r="DF312" s="537">
        <v>0.01</v>
      </c>
      <c r="DG312" s="537">
        <v>0.01</v>
      </c>
      <c r="DH312" s="537">
        <v>0.01</v>
      </c>
    </row>
    <row r="313" spans="2:112">
      <c r="B313" t="s">
        <v>1178</v>
      </c>
      <c r="C313" t="s">
        <v>793</v>
      </c>
      <c r="D313" t="s">
        <v>899</v>
      </c>
      <c r="E313" t="s">
        <v>895</v>
      </c>
      <c r="F313" s="537">
        <v>0.05</v>
      </c>
      <c r="G313" s="537">
        <v>0.05</v>
      </c>
      <c r="H313" s="537">
        <v>0.05</v>
      </c>
      <c r="I313" s="537">
        <v>0.05</v>
      </c>
      <c r="J313" s="537">
        <v>0.05</v>
      </c>
      <c r="K313" s="537">
        <v>0.05</v>
      </c>
      <c r="L313" s="537">
        <v>0.05</v>
      </c>
      <c r="M313" s="537">
        <v>0.05</v>
      </c>
      <c r="N313" s="537">
        <v>0.05</v>
      </c>
      <c r="O313" s="537">
        <v>0.05</v>
      </c>
      <c r="P313" s="537">
        <v>0.05</v>
      </c>
      <c r="Q313" s="537">
        <v>0.05</v>
      </c>
      <c r="R313" s="537">
        <v>0.05</v>
      </c>
      <c r="S313" s="537">
        <v>0.05</v>
      </c>
      <c r="T313" s="537">
        <v>0.05</v>
      </c>
      <c r="U313" s="537">
        <v>0.05</v>
      </c>
      <c r="V313" s="537">
        <v>0.05</v>
      </c>
      <c r="W313" s="537">
        <v>0.05</v>
      </c>
      <c r="X313" s="537">
        <v>0.05</v>
      </c>
      <c r="Y313" s="537">
        <v>0.05</v>
      </c>
      <c r="Z313" s="537">
        <v>0.05</v>
      </c>
      <c r="AA313" s="537">
        <v>0.05</v>
      </c>
      <c r="AB313" s="537">
        <v>0.05</v>
      </c>
      <c r="AC313" s="537">
        <v>0.05</v>
      </c>
      <c r="AD313" s="537">
        <v>0.05</v>
      </c>
      <c r="AE313" s="537">
        <v>0.05</v>
      </c>
      <c r="AF313" s="537">
        <v>0.05</v>
      </c>
      <c r="AG313" s="537">
        <v>0.05</v>
      </c>
      <c r="AH313" s="538">
        <f t="shared" si="226"/>
        <v>0.05</v>
      </c>
      <c r="AI313" s="538">
        <f t="shared" si="226"/>
        <v>0.05</v>
      </c>
      <c r="AJ313" s="538">
        <f t="shared" si="226"/>
        <v>0.05</v>
      </c>
      <c r="AK313" s="538">
        <f t="shared" si="226"/>
        <v>0.05</v>
      </c>
      <c r="AL313" s="538">
        <f t="shared" si="226"/>
        <v>0.05</v>
      </c>
      <c r="AM313" s="538">
        <f t="shared" si="226"/>
        <v>0.05</v>
      </c>
      <c r="AN313" s="538">
        <f t="shared" si="226"/>
        <v>0.05</v>
      </c>
      <c r="AO313" s="538">
        <f t="shared" si="226"/>
        <v>0.05</v>
      </c>
      <c r="AP313" s="538">
        <f t="shared" si="226"/>
        <v>0.05</v>
      </c>
      <c r="AQ313" s="538">
        <f t="shared" si="226"/>
        <v>0.05</v>
      </c>
      <c r="AR313" s="538">
        <f t="shared" si="226"/>
        <v>0.05</v>
      </c>
      <c r="AS313" s="538">
        <f t="shared" si="226"/>
        <v>0.05</v>
      </c>
      <c r="AT313" s="538">
        <f t="shared" si="226"/>
        <v>0.05</v>
      </c>
      <c r="AU313" s="538">
        <f t="shared" si="226"/>
        <v>0.05</v>
      </c>
      <c r="AV313" s="538">
        <f t="shared" si="226"/>
        <v>0.05</v>
      </c>
      <c r="AW313" s="538">
        <f t="shared" si="226"/>
        <v>0.05</v>
      </c>
      <c r="AX313" s="538">
        <f t="shared" ref="AX313:BM314" si="229">AW313</f>
        <v>0.05</v>
      </c>
      <c r="AY313" s="538">
        <f t="shared" si="229"/>
        <v>0.05</v>
      </c>
      <c r="AZ313" s="538">
        <f t="shared" si="229"/>
        <v>0.05</v>
      </c>
      <c r="BA313" s="538">
        <f t="shared" si="229"/>
        <v>0.05</v>
      </c>
      <c r="BB313" s="538">
        <f t="shared" si="229"/>
        <v>0.05</v>
      </c>
      <c r="BC313" s="538">
        <f t="shared" si="229"/>
        <v>0.05</v>
      </c>
      <c r="BD313" s="538">
        <f t="shared" si="229"/>
        <v>0.05</v>
      </c>
      <c r="BE313" s="538">
        <f t="shared" si="229"/>
        <v>0.05</v>
      </c>
      <c r="BF313" s="538">
        <f t="shared" si="229"/>
        <v>0.05</v>
      </c>
      <c r="BG313" s="538">
        <f t="shared" si="229"/>
        <v>0.05</v>
      </c>
      <c r="BH313" s="538">
        <f t="shared" si="229"/>
        <v>0.05</v>
      </c>
      <c r="BI313" s="538">
        <f t="shared" si="229"/>
        <v>0.05</v>
      </c>
      <c r="BJ313" s="538">
        <f t="shared" si="229"/>
        <v>0.05</v>
      </c>
      <c r="BK313" s="538">
        <f t="shared" si="229"/>
        <v>0.05</v>
      </c>
      <c r="BL313" s="538">
        <f t="shared" si="229"/>
        <v>0.05</v>
      </c>
      <c r="BM313" s="538">
        <f t="shared" si="229"/>
        <v>0.05</v>
      </c>
      <c r="BN313" s="538">
        <f t="shared" si="227"/>
        <v>0.05</v>
      </c>
      <c r="BO313" s="538">
        <f t="shared" si="227"/>
        <v>0.05</v>
      </c>
      <c r="BP313" s="538">
        <f t="shared" si="227"/>
        <v>0.05</v>
      </c>
      <c r="BQ313" s="538">
        <f t="shared" si="227"/>
        <v>0.05</v>
      </c>
      <c r="BR313" s="538">
        <f t="shared" si="227"/>
        <v>0.05</v>
      </c>
      <c r="BS313" s="538">
        <f t="shared" si="227"/>
        <v>0.05</v>
      </c>
      <c r="BT313" s="538">
        <f t="shared" si="227"/>
        <v>0.05</v>
      </c>
      <c r="BU313" s="538">
        <f t="shared" si="227"/>
        <v>0.05</v>
      </c>
      <c r="BV313" s="538">
        <f t="shared" si="227"/>
        <v>0.05</v>
      </c>
      <c r="BW313" s="538">
        <f t="shared" si="227"/>
        <v>0.05</v>
      </c>
      <c r="BX313" s="538">
        <f t="shared" si="227"/>
        <v>0.05</v>
      </c>
      <c r="BY313" s="538">
        <f t="shared" si="227"/>
        <v>0.05</v>
      </c>
      <c r="BZ313" s="538">
        <f t="shared" si="227"/>
        <v>0.05</v>
      </c>
      <c r="CA313" s="538">
        <f t="shared" si="227"/>
        <v>0.05</v>
      </c>
      <c r="CB313" s="538">
        <f t="shared" si="227"/>
        <v>0.05</v>
      </c>
      <c r="CC313" s="538">
        <f t="shared" si="227"/>
        <v>0.05</v>
      </c>
      <c r="CD313" s="538">
        <f t="shared" si="228"/>
        <v>0.05</v>
      </c>
      <c r="CE313" s="538">
        <f t="shared" si="228"/>
        <v>0.05</v>
      </c>
      <c r="CG313" s="537">
        <v>0.05</v>
      </c>
      <c r="CH313" s="537">
        <v>0.05</v>
      </c>
      <c r="CI313" s="537">
        <v>0.05</v>
      </c>
      <c r="CJ313" s="537">
        <v>0.05</v>
      </c>
      <c r="CK313" s="537">
        <v>0.05</v>
      </c>
      <c r="CL313" s="537">
        <v>0.05</v>
      </c>
      <c r="CM313" s="537">
        <v>0.05</v>
      </c>
      <c r="CN313" s="537">
        <v>0.05</v>
      </c>
      <c r="CO313" s="537">
        <v>0.05</v>
      </c>
      <c r="CP313" s="537">
        <v>0.05</v>
      </c>
      <c r="CQ313" s="537">
        <v>0.05</v>
      </c>
      <c r="CR313" s="537">
        <v>0.05</v>
      </c>
      <c r="CS313" s="537">
        <v>0.05</v>
      </c>
      <c r="CT313" s="537">
        <v>0.05</v>
      </c>
      <c r="CU313" s="537">
        <v>0.05</v>
      </c>
      <c r="CV313" s="537">
        <v>0.05</v>
      </c>
      <c r="CW313" s="537">
        <v>0.05</v>
      </c>
      <c r="CX313" s="537">
        <v>0.05</v>
      </c>
      <c r="CY313" s="537">
        <v>0.05</v>
      </c>
      <c r="CZ313" s="537">
        <v>0.05</v>
      </c>
      <c r="DA313" s="537">
        <v>0.05</v>
      </c>
      <c r="DB313" s="537">
        <v>0.05</v>
      </c>
      <c r="DC313" s="537">
        <v>0.05</v>
      </c>
      <c r="DD313" s="537">
        <v>0.05</v>
      </c>
      <c r="DE313" s="537">
        <v>0.05</v>
      </c>
      <c r="DF313" s="537">
        <v>0.05</v>
      </c>
      <c r="DG313" s="537">
        <v>0.05</v>
      </c>
      <c r="DH313" s="537">
        <v>0.05</v>
      </c>
    </row>
    <row r="314" spans="2:112">
      <c r="B314" t="s">
        <v>1179</v>
      </c>
      <c r="C314" t="s">
        <v>793</v>
      </c>
      <c r="D314" t="s">
        <v>901</v>
      </c>
      <c r="E314" t="s">
        <v>895</v>
      </c>
      <c r="F314" s="537">
        <v>0.05</v>
      </c>
      <c r="G314" s="537">
        <v>0.05</v>
      </c>
      <c r="H314" s="537">
        <v>0.05</v>
      </c>
      <c r="I314" s="537">
        <v>0.05</v>
      </c>
      <c r="J314" s="537">
        <v>0.05</v>
      </c>
      <c r="K314" s="537">
        <v>0.05</v>
      </c>
      <c r="L314" s="537">
        <v>0.05</v>
      </c>
      <c r="M314" s="537">
        <v>0.05</v>
      </c>
      <c r="N314" s="537">
        <v>0.05</v>
      </c>
      <c r="O314" s="537">
        <v>0.05</v>
      </c>
      <c r="P314" s="537">
        <v>0.05</v>
      </c>
      <c r="Q314" s="537">
        <v>0.05</v>
      </c>
      <c r="R314" s="537">
        <v>0.05</v>
      </c>
      <c r="S314" s="537">
        <v>0.05</v>
      </c>
      <c r="T314" s="537">
        <v>0.05</v>
      </c>
      <c r="U314" s="537">
        <v>0.05</v>
      </c>
      <c r="V314" s="537">
        <v>0.05</v>
      </c>
      <c r="W314" s="537">
        <v>0.05</v>
      </c>
      <c r="X314" s="537">
        <v>0.05</v>
      </c>
      <c r="Y314" s="537">
        <v>0.05</v>
      </c>
      <c r="Z314" s="537">
        <v>0.05</v>
      </c>
      <c r="AA314" s="537">
        <v>0.05</v>
      </c>
      <c r="AB314" s="537">
        <v>0.05</v>
      </c>
      <c r="AC314" s="537">
        <v>0.05</v>
      </c>
      <c r="AD314" s="537">
        <v>0.05</v>
      </c>
      <c r="AE314" s="537">
        <v>0.05</v>
      </c>
      <c r="AF314" s="537">
        <v>0.05</v>
      </c>
      <c r="AG314" s="537">
        <v>0.05</v>
      </c>
      <c r="AH314" s="538">
        <f t="shared" si="226"/>
        <v>0.05</v>
      </c>
      <c r="AI314" s="538">
        <f t="shared" si="226"/>
        <v>0.05</v>
      </c>
      <c r="AJ314" s="538">
        <f t="shared" si="226"/>
        <v>0.05</v>
      </c>
      <c r="AK314" s="538">
        <f t="shared" si="226"/>
        <v>0.05</v>
      </c>
      <c r="AL314" s="538">
        <f t="shared" si="226"/>
        <v>0.05</v>
      </c>
      <c r="AM314" s="538">
        <f t="shared" si="226"/>
        <v>0.05</v>
      </c>
      <c r="AN314" s="538">
        <f t="shared" si="226"/>
        <v>0.05</v>
      </c>
      <c r="AO314" s="538">
        <f t="shared" si="226"/>
        <v>0.05</v>
      </c>
      <c r="AP314" s="538">
        <f t="shared" si="226"/>
        <v>0.05</v>
      </c>
      <c r="AQ314" s="538">
        <f t="shared" si="226"/>
        <v>0.05</v>
      </c>
      <c r="AR314" s="538">
        <f t="shared" si="226"/>
        <v>0.05</v>
      </c>
      <c r="AS314" s="538">
        <f t="shared" si="226"/>
        <v>0.05</v>
      </c>
      <c r="AT314" s="538">
        <f t="shared" si="226"/>
        <v>0.05</v>
      </c>
      <c r="AU314" s="538">
        <f t="shared" si="226"/>
        <v>0.05</v>
      </c>
      <c r="AV314" s="538">
        <f t="shared" si="226"/>
        <v>0.05</v>
      </c>
      <c r="AW314" s="538">
        <f t="shared" si="226"/>
        <v>0.05</v>
      </c>
      <c r="AX314" s="538">
        <f t="shared" si="229"/>
        <v>0.05</v>
      </c>
      <c r="AY314" s="538">
        <f t="shared" si="229"/>
        <v>0.05</v>
      </c>
      <c r="AZ314" s="538">
        <f t="shared" si="229"/>
        <v>0.05</v>
      </c>
      <c r="BA314" s="538">
        <f t="shared" si="229"/>
        <v>0.05</v>
      </c>
      <c r="BB314" s="538">
        <f t="shared" si="229"/>
        <v>0.05</v>
      </c>
      <c r="BC314" s="538">
        <f t="shared" si="229"/>
        <v>0.05</v>
      </c>
      <c r="BD314" s="538">
        <f t="shared" si="229"/>
        <v>0.05</v>
      </c>
      <c r="BE314" s="538">
        <f t="shared" si="229"/>
        <v>0.05</v>
      </c>
      <c r="BF314" s="538">
        <f t="shared" si="229"/>
        <v>0.05</v>
      </c>
      <c r="BG314" s="538">
        <f t="shared" si="229"/>
        <v>0.05</v>
      </c>
      <c r="BH314" s="538">
        <f t="shared" si="229"/>
        <v>0.05</v>
      </c>
      <c r="BI314" s="538">
        <f t="shared" si="229"/>
        <v>0.05</v>
      </c>
      <c r="BJ314" s="538">
        <f t="shared" si="229"/>
        <v>0.05</v>
      </c>
      <c r="BK314" s="538">
        <f t="shared" si="229"/>
        <v>0.05</v>
      </c>
      <c r="BL314" s="538">
        <f t="shared" si="229"/>
        <v>0.05</v>
      </c>
      <c r="BM314" s="538">
        <f t="shared" si="229"/>
        <v>0.05</v>
      </c>
      <c r="BN314" s="538">
        <f t="shared" si="227"/>
        <v>0.05</v>
      </c>
      <c r="BO314" s="538">
        <f t="shared" si="227"/>
        <v>0.05</v>
      </c>
      <c r="BP314" s="538">
        <f t="shared" si="227"/>
        <v>0.05</v>
      </c>
      <c r="BQ314" s="538">
        <f t="shared" si="227"/>
        <v>0.05</v>
      </c>
      <c r="BR314" s="538">
        <f t="shared" si="227"/>
        <v>0.05</v>
      </c>
      <c r="BS314" s="538">
        <f t="shared" si="227"/>
        <v>0.05</v>
      </c>
      <c r="BT314" s="538">
        <f t="shared" si="227"/>
        <v>0.05</v>
      </c>
      <c r="BU314" s="538">
        <f t="shared" si="227"/>
        <v>0.05</v>
      </c>
      <c r="BV314" s="538">
        <f t="shared" si="227"/>
        <v>0.05</v>
      </c>
      <c r="BW314" s="538">
        <f t="shared" si="227"/>
        <v>0.05</v>
      </c>
      <c r="BX314" s="538">
        <f t="shared" si="227"/>
        <v>0.05</v>
      </c>
      <c r="BY314" s="538">
        <f t="shared" si="227"/>
        <v>0.05</v>
      </c>
      <c r="BZ314" s="538">
        <f t="shared" si="227"/>
        <v>0.05</v>
      </c>
      <c r="CA314" s="538">
        <f t="shared" si="227"/>
        <v>0.05</v>
      </c>
      <c r="CB314" s="538">
        <f t="shared" si="227"/>
        <v>0.05</v>
      </c>
      <c r="CC314" s="538">
        <f t="shared" si="227"/>
        <v>0.05</v>
      </c>
      <c r="CD314" s="538">
        <f t="shared" si="228"/>
        <v>0.05</v>
      </c>
      <c r="CE314" s="538">
        <f t="shared" si="228"/>
        <v>0.05</v>
      </c>
      <c r="CG314" s="537">
        <v>0.05</v>
      </c>
      <c r="CH314" s="537">
        <v>0.05</v>
      </c>
      <c r="CI314" s="537">
        <v>0.05</v>
      </c>
      <c r="CJ314" s="537">
        <v>0.05</v>
      </c>
      <c r="CK314" s="537">
        <v>0.05</v>
      </c>
      <c r="CL314" s="537">
        <v>0.05</v>
      </c>
      <c r="CM314" s="537">
        <v>0.05</v>
      </c>
      <c r="CN314" s="537">
        <v>0.05</v>
      </c>
      <c r="CO314" s="537">
        <v>0.05</v>
      </c>
      <c r="CP314" s="537">
        <v>0.05</v>
      </c>
      <c r="CQ314" s="537">
        <v>0.05</v>
      </c>
      <c r="CR314" s="537">
        <v>0.05</v>
      </c>
      <c r="CS314" s="537">
        <v>0.05</v>
      </c>
      <c r="CT314" s="537">
        <v>0.05</v>
      </c>
      <c r="CU314" s="537">
        <v>0.05</v>
      </c>
      <c r="CV314" s="537">
        <v>0.05</v>
      </c>
      <c r="CW314" s="537">
        <v>0.05</v>
      </c>
      <c r="CX314" s="537">
        <v>0.05</v>
      </c>
      <c r="CY314" s="537">
        <v>0.05</v>
      </c>
      <c r="CZ314" s="537">
        <v>0.05</v>
      </c>
      <c r="DA314" s="537">
        <v>0.05</v>
      </c>
      <c r="DB314" s="537">
        <v>0.05</v>
      </c>
      <c r="DC314" s="537">
        <v>0.05</v>
      </c>
      <c r="DD314" s="537">
        <v>0.05</v>
      </c>
      <c r="DE314" s="537">
        <v>0.05</v>
      </c>
      <c r="DF314" s="537">
        <v>0.05</v>
      </c>
      <c r="DG314" s="537">
        <v>0.05</v>
      </c>
      <c r="DH314" s="537">
        <v>0.05</v>
      </c>
    </row>
    <row r="315" spans="2:112">
      <c r="F315" s="539"/>
      <c r="G315" s="539"/>
      <c r="H315" s="539"/>
      <c r="I315" s="539"/>
      <c r="J315" s="539"/>
      <c r="K315" s="539"/>
      <c r="L315" s="539"/>
      <c r="M315" s="539"/>
      <c r="N315" s="539"/>
      <c r="O315" s="539"/>
      <c r="P315" s="539"/>
      <c r="Q315" s="539"/>
      <c r="R315" s="539"/>
      <c r="S315" s="539"/>
      <c r="T315" s="539"/>
      <c r="U315" s="539"/>
      <c r="V315" s="539"/>
      <c r="W315" s="539"/>
      <c r="X315" s="539"/>
      <c r="Y315" s="539"/>
      <c r="Z315" s="539"/>
      <c r="AA315" s="539"/>
      <c r="AB315" s="539"/>
      <c r="AC315" s="539"/>
      <c r="AD315" s="539"/>
      <c r="AE315" s="539"/>
      <c r="AF315" s="539"/>
      <c r="AG315" s="539"/>
      <c r="AH315" s="539"/>
      <c r="AI315" s="539"/>
      <c r="AJ315" s="539"/>
      <c r="AK315" s="539"/>
      <c r="AL315" s="539"/>
      <c r="AM315" s="539"/>
      <c r="AN315" s="539"/>
      <c r="AO315" s="539"/>
      <c r="AP315" s="539"/>
      <c r="AQ315" s="539"/>
      <c r="AR315" s="539"/>
      <c r="AS315" s="539"/>
      <c r="AT315" s="539"/>
      <c r="AU315" s="539"/>
      <c r="AV315" s="539"/>
      <c r="AW315" s="539"/>
      <c r="AX315" s="539"/>
      <c r="AY315" s="539"/>
      <c r="AZ315" s="539"/>
      <c r="BA315" s="539"/>
      <c r="BB315" s="539"/>
      <c r="BC315" s="539"/>
      <c r="BD315" s="539"/>
      <c r="BE315" s="539"/>
      <c r="BF315" s="539"/>
      <c r="BG315" s="539"/>
      <c r="BH315" s="539"/>
      <c r="BI315" s="539"/>
      <c r="BJ315" s="539"/>
      <c r="BK315" s="539"/>
      <c r="BL315" s="539"/>
      <c r="BM315" s="539"/>
      <c r="BN315" s="539"/>
      <c r="BO315" s="539"/>
      <c r="BP315" s="539"/>
      <c r="BQ315" s="539"/>
      <c r="BR315" s="539"/>
      <c r="BS315" s="539"/>
      <c r="BT315" s="539"/>
      <c r="BU315" s="539"/>
      <c r="BV315" s="539"/>
      <c r="BW315" s="539"/>
      <c r="BX315" s="539"/>
      <c r="BY315" s="539"/>
      <c r="BZ315" s="539"/>
      <c r="CA315" s="539"/>
      <c r="CB315" s="539"/>
      <c r="CC315" s="539"/>
      <c r="CD315" s="539"/>
      <c r="CE315" s="539"/>
      <c r="CG315" s="539"/>
      <c r="CH315" s="539"/>
      <c r="CI315" s="539"/>
      <c r="CJ315" s="539"/>
      <c r="CK315" s="539"/>
      <c r="CL315" s="539"/>
      <c r="CM315" s="539"/>
      <c r="CN315" s="539"/>
      <c r="CO315" s="539"/>
      <c r="CP315" s="539"/>
      <c r="CQ315" s="539"/>
      <c r="CR315" s="539"/>
      <c r="CS315" s="539"/>
      <c r="CT315" s="539"/>
      <c r="CU315" s="539"/>
      <c r="CV315" s="539"/>
      <c r="CW315" s="539"/>
      <c r="CX315" s="539"/>
      <c r="CY315" s="539"/>
      <c r="CZ315" s="539"/>
      <c r="DA315" s="539"/>
      <c r="DB315" s="539"/>
      <c r="DC315" s="539"/>
      <c r="DD315" s="539"/>
      <c r="DE315" s="539"/>
      <c r="DF315" s="539"/>
      <c r="DG315" s="539"/>
      <c r="DH315" s="539"/>
    </row>
    <row r="316" spans="2:112">
      <c r="B316" t="s">
        <v>1180</v>
      </c>
      <c r="C316" t="s">
        <v>793</v>
      </c>
      <c r="D316" t="s">
        <v>903</v>
      </c>
      <c r="E316" t="s">
        <v>557</v>
      </c>
      <c r="F316" s="536">
        <v>65700</v>
      </c>
      <c r="G316" s="536">
        <v>65700</v>
      </c>
      <c r="H316" s="536">
        <v>65700</v>
      </c>
      <c r="I316" s="536">
        <v>65700</v>
      </c>
      <c r="J316" s="536">
        <v>65700</v>
      </c>
      <c r="K316" s="536">
        <v>65700</v>
      </c>
      <c r="L316" s="536">
        <v>65700</v>
      </c>
      <c r="M316" s="536">
        <v>65700</v>
      </c>
      <c r="N316" s="536">
        <v>65700</v>
      </c>
      <c r="O316" s="536">
        <v>65700</v>
      </c>
      <c r="P316" s="536">
        <v>65700</v>
      </c>
      <c r="Q316" s="536">
        <v>65700</v>
      </c>
      <c r="R316" s="536">
        <v>65700</v>
      </c>
      <c r="S316" s="536">
        <v>65700</v>
      </c>
      <c r="T316" s="536">
        <v>65700</v>
      </c>
      <c r="U316" s="536">
        <v>65700</v>
      </c>
      <c r="V316" s="536">
        <v>65700</v>
      </c>
      <c r="W316" s="536">
        <v>65700</v>
      </c>
      <c r="X316" s="536">
        <v>65700</v>
      </c>
      <c r="Y316" s="536">
        <v>65700</v>
      </c>
      <c r="Z316" s="536">
        <v>65700</v>
      </c>
      <c r="AA316" s="536">
        <v>65700</v>
      </c>
      <c r="AB316" s="536">
        <v>65700</v>
      </c>
      <c r="AC316" s="536">
        <v>65700</v>
      </c>
      <c r="AD316" s="536">
        <v>65700</v>
      </c>
      <c r="AE316" s="536">
        <v>65700</v>
      </c>
      <c r="AF316" s="536">
        <v>65700</v>
      </c>
      <c r="AG316" s="536">
        <v>65700</v>
      </c>
      <c r="AH316" s="540">
        <f>AG316</f>
        <v>65700</v>
      </c>
      <c r="AI316" s="540">
        <f t="shared" ref="AI316:CE317" si="230">AH316</f>
        <v>65700</v>
      </c>
      <c r="AJ316" s="540">
        <f t="shared" si="230"/>
        <v>65700</v>
      </c>
      <c r="AK316" s="540">
        <f t="shared" si="230"/>
        <v>65700</v>
      </c>
      <c r="AL316" s="540">
        <f t="shared" si="230"/>
        <v>65700</v>
      </c>
      <c r="AM316" s="540">
        <f t="shared" si="230"/>
        <v>65700</v>
      </c>
      <c r="AN316" s="540">
        <f t="shared" si="230"/>
        <v>65700</v>
      </c>
      <c r="AO316" s="540">
        <f t="shared" si="230"/>
        <v>65700</v>
      </c>
      <c r="AP316" s="540">
        <f t="shared" si="230"/>
        <v>65700</v>
      </c>
      <c r="AQ316" s="540">
        <f t="shared" si="230"/>
        <v>65700</v>
      </c>
      <c r="AR316" s="540">
        <f t="shared" si="230"/>
        <v>65700</v>
      </c>
      <c r="AS316" s="540">
        <f t="shared" si="230"/>
        <v>65700</v>
      </c>
      <c r="AT316" s="540">
        <f t="shared" si="230"/>
        <v>65700</v>
      </c>
      <c r="AU316" s="540">
        <f t="shared" si="230"/>
        <v>65700</v>
      </c>
      <c r="AV316" s="540">
        <f t="shared" si="230"/>
        <v>65700</v>
      </c>
      <c r="AW316" s="540">
        <f t="shared" si="230"/>
        <v>65700</v>
      </c>
      <c r="AX316" s="540">
        <f t="shared" si="230"/>
        <v>65700</v>
      </c>
      <c r="AY316" s="540">
        <f t="shared" si="230"/>
        <v>65700</v>
      </c>
      <c r="AZ316" s="540">
        <f t="shared" si="230"/>
        <v>65700</v>
      </c>
      <c r="BA316" s="540">
        <f t="shared" si="230"/>
        <v>65700</v>
      </c>
      <c r="BB316" s="540">
        <f t="shared" si="230"/>
        <v>65700</v>
      </c>
      <c r="BC316" s="540">
        <f t="shared" si="230"/>
        <v>65700</v>
      </c>
      <c r="BD316" s="540">
        <f t="shared" si="230"/>
        <v>65700</v>
      </c>
      <c r="BE316" s="540">
        <f t="shared" si="230"/>
        <v>65700</v>
      </c>
      <c r="BF316" s="540">
        <f t="shared" si="230"/>
        <v>65700</v>
      </c>
      <c r="BG316" s="540">
        <f t="shared" si="230"/>
        <v>65700</v>
      </c>
      <c r="BH316" s="540">
        <f t="shared" si="230"/>
        <v>65700</v>
      </c>
      <c r="BI316" s="540">
        <f t="shared" si="230"/>
        <v>65700</v>
      </c>
      <c r="BJ316" s="540">
        <f t="shared" si="230"/>
        <v>65700</v>
      </c>
      <c r="BK316" s="540">
        <f t="shared" si="230"/>
        <v>65700</v>
      </c>
      <c r="BL316" s="540">
        <f t="shared" si="230"/>
        <v>65700</v>
      </c>
      <c r="BM316" s="540">
        <f t="shared" si="230"/>
        <v>65700</v>
      </c>
      <c r="BN316" s="540">
        <f t="shared" si="230"/>
        <v>65700</v>
      </c>
      <c r="BO316" s="540">
        <f t="shared" si="230"/>
        <v>65700</v>
      </c>
      <c r="BP316" s="540">
        <f t="shared" si="230"/>
        <v>65700</v>
      </c>
      <c r="BQ316" s="540">
        <f t="shared" si="230"/>
        <v>65700</v>
      </c>
      <c r="BR316" s="540">
        <f t="shared" si="230"/>
        <v>65700</v>
      </c>
      <c r="BS316" s="540">
        <f t="shared" si="230"/>
        <v>65700</v>
      </c>
      <c r="BT316" s="540">
        <f t="shared" si="230"/>
        <v>65700</v>
      </c>
      <c r="BU316" s="540">
        <f t="shared" si="230"/>
        <v>65700</v>
      </c>
      <c r="BV316" s="540">
        <f t="shared" si="230"/>
        <v>65700</v>
      </c>
      <c r="BW316" s="540">
        <f t="shared" si="230"/>
        <v>65700</v>
      </c>
      <c r="BX316" s="540">
        <f t="shared" si="230"/>
        <v>65700</v>
      </c>
      <c r="BY316" s="540">
        <f t="shared" si="230"/>
        <v>65700</v>
      </c>
      <c r="BZ316" s="540">
        <f t="shared" si="230"/>
        <v>65700</v>
      </c>
      <c r="CA316" s="540">
        <f t="shared" si="230"/>
        <v>65700</v>
      </c>
      <c r="CB316" s="540">
        <f t="shared" si="230"/>
        <v>65700</v>
      </c>
      <c r="CC316" s="540">
        <f t="shared" si="230"/>
        <v>65700</v>
      </c>
      <c r="CD316" s="540">
        <f t="shared" si="230"/>
        <v>65700</v>
      </c>
      <c r="CE316" s="540">
        <f t="shared" si="230"/>
        <v>65700</v>
      </c>
      <c r="CG316" s="536">
        <v>65700</v>
      </c>
      <c r="CH316" s="536">
        <v>65700</v>
      </c>
      <c r="CI316" s="536">
        <v>65700</v>
      </c>
      <c r="CJ316" s="536">
        <v>65700</v>
      </c>
      <c r="CK316" s="536">
        <v>65700</v>
      </c>
      <c r="CL316" s="536">
        <v>65700</v>
      </c>
      <c r="CM316" s="536">
        <v>65700</v>
      </c>
      <c r="CN316" s="536">
        <v>65700</v>
      </c>
      <c r="CO316" s="536">
        <v>65700</v>
      </c>
      <c r="CP316" s="536">
        <v>65700</v>
      </c>
      <c r="CQ316" s="536">
        <v>65700</v>
      </c>
      <c r="CR316" s="536">
        <v>65700</v>
      </c>
      <c r="CS316" s="536">
        <v>65700</v>
      </c>
      <c r="CT316" s="536">
        <v>65700</v>
      </c>
      <c r="CU316" s="536">
        <v>65700</v>
      </c>
      <c r="CV316" s="536">
        <v>65700</v>
      </c>
      <c r="CW316" s="536">
        <v>65700</v>
      </c>
      <c r="CX316" s="536">
        <v>65700</v>
      </c>
      <c r="CY316" s="536">
        <v>65700</v>
      </c>
      <c r="CZ316" s="536">
        <v>65700</v>
      </c>
      <c r="DA316" s="536">
        <v>65700</v>
      </c>
      <c r="DB316" s="536">
        <v>65700</v>
      </c>
      <c r="DC316" s="536">
        <v>65700</v>
      </c>
      <c r="DD316" s="536">
        <v>65700</v>
      </c>
      <c r="DE316" s="536">
        <v>65700</v>
      </c>
      <c r="DF316" s="536">
        <v>65700</v>
      </c>
      <c r="DG316" s="536">
        <v>65700</v>
      </c>
      <c r="DH316" s="536">
        <v>65700</v>
      </c>
    </row>
    <row r="317" spans="2:112">
      <c r="B317" t="s">
        <v>1181</v>
      </c>
      <c r="C317" t="s">
        <v>793</v>
      </c>
      <c r="D317" t="s">
        <v>905</v>
      </c>
      <c r="E317" t="s">
        <v>557</v>
      </c>
      <c r="F317" s="536">
        <v>22935.272727272728</v>
      </c>
      <c r="G317" s="536">
        <v>22935.272727272728</v>
      </c>
      <c r="H317" s="536">
        <v>22935.272727272728</v>
      </c>
      <c r="I317" s="536">
        <v>22935.272727272728</v>
      </c>
      <c r="J317" s="536">
        <v>22935.272727272728</v>
      </c>
      <c r="K317" s="536">
        <v>22935.272727272728</v>
      </c>
      <c r="L317" s="536">
        <v>22935.272727272728</v>
      </c>
      <c r="M317" s="536">
        <v>22935.272727272728</v>
      </c>
      <c r="N317" s="536">
        <v>22935.272727272728</v>
      </c>
      <c r="O317" s="536">
        <v>22935.272727272728</v>
      </c>
      <c r="P317" s="536">
        <v>22935.272727272728</v>
      </c>
      <c r="Q317" s="536">
        <v>22935.272727272728</v>
      </c>
      <c r="R317" s="536">
        <v>22935.272727272728</v>
      </c>
      <c r="S317" s="536">
        <v>22935.272727272728</v>
      </c>
      <c r="T317" s="536">
        <v>22935.272727272728</v>
      </c>
      <c r="U317" s="536">
        <v>22935.272727272728</v>
      </c>
      <c r="V317" s="536">
        <v>22935.272727272728</v>
      </c>
      <c r="W317" s="536">
        <v>22935.272727272728</v>
      </c>
      <c r="X317" s="536">
        <v>22935.272727272728</v>
      </c>
      <c r="Y317" s="536">
        <v>22935.272727272728</v>
      </c>
      <c r="Z317" s="536">
        <v>22935.272727272728</v>
      </c>
      <c r="AA317" s="536">
        <v>22935.272727272728</v>
      </c>
      <c r="AB317" s="536">
        <v>22935.272727272728</v>
      </c>
      <c r="AC317" s="536">
        <v>22935.272727272728</v>
      </c>
      <c r="AD317" s="536">
        <v>22935.272727272728</v>
      </c>
      <c r="AE317" s="536">
        <v>22935.272727272728</v>
      </c>
      <c r="AF317" s="536">
        <v>22935.272727272728</v>
      </c>
      <c r="AG317" s="536">
        <v>22935.272727272728</v>
      </c>
      <c r="AH317" s="540">
        <f>AG317</f>
        <v>22935.272727272728</v>
      </c>
      <c r="AI317" s="540">
        <f t="shared" si="230"/>
        <v>22935.272727272728</v>
      </c>
      <c r="AJ317" s="540">
        <f t="shared" si="230"/>
        <v>22935.272727272728</v>
      </c>
      <c r="AK317" s="540">
        <f t="shared" si="230"/>
        <v>22935.272727272728</v>
      </c>
      <c r="AL317" s="540">
        <f t="shared" si="230"/>
        <v>22935.272727272728</v>
      </c>
      <c r="AM317" s="540">
        <f t="shared" si="230"/>
        <v>22935.272727272728</v>
      </c>
      <c r="AN317" s="540">
        <f t="shared" si="230"/>
        <v>22935.272727272728</v>
      </c>
      <c r="AO317" s="540">
        <f t="shared" si="230"/>
        <v>22935.272727272728</v>
      </c>
      <c r="AP317" s="540">
        <f t="shared" si="230"/>
        <v>22935.272727272728</v>
      </c>
      <c r="AQ317" s="540">
        <f t="shared" si="230"/>
        <v>22935.272727272728</v>
      </c>
      <c r="AR317" s="540">
        <f t="shared" si="230"/>
        <v>22935.272727272728</v>
      </c>
      <c r="AS317" s="540">
        <f t="shared" si="230"/>
        <v>22935.272727272728</v>
      </c>
      <c r="AT317" s="540">
        <f t="shared" si="230"/>
        <v>22935.272727272728</v>
      </c>
      <c r="AU317" s="540">
        <f t="shared" si="230"/>
        <v>22935.272727272728</v>
      </c>
      <c r="AV317" s="540">
        <f t="shared" si="230"/>
        <v>22935.272727272728</v>
      </c>
      <c r="AW317" s="540">
        <f t="shared" si="230"/>
        <v>22935.272727272728</v>
      </c>
      <c r="AX317" s="540">
        <f t="shared" si="230"/>
        <v>22935.272727272728</v>
      </c>
      <c r="AY317" s="540">
        <f t="shared" si="230"/>
        <v>22935.272727272728</v>
      </c>
      <c r="AZ317" s="540">
        <f t="shared" si="230"/>
        <v>22935.272727272728</v>
      </c>
      <c r="BA317" s="540">
        <f t="shared" si="230"/>
        <v>22935.272727272728</v>
      </c>
      <c r="BB317" s="540">
        <f t="shared" si="230"/>
        <v>22935.272727272728</v>
      </c>
      <c r="BC317" s="540">
        <f t="shared" si="230"/>
        <v>22935.272727272728</v>
      </c>
      <c r="BD317" s="540">
        <f t="shared" si="230"/>
        <v>22935.272727272728</v>
      </c>
      <c r="BE317" s="540">
        <f t="shared" si="230"/>
        <v>22935.272727272728</v>
      </c>
      <c r="BF317" s="540">
        <f t="shared" si="230"/>
        <v>22935.272727272728</v>
      </c>
      <c r="BG317" s="540">
        <f t="shared" si="230"/>
        <v>22935.272727272728</v>
      </c>
      <c r="BH317" s="540">
        <f t="shared" si="230"/>
        <v>22935.272727272728</v>
      </c>
      <c r="BI317" s="540">
        <f t="shared" si="230"/>
        <v>22935.272727272728</v>
      </c>
      <c r="BJ317" s="540">
        <f t="shared" si="230"/>
        <v>22935.272727272728</v>
      </c>
      <c r="BK317" s="540">
        <f t="shared" si="230"/>
        <v>22935.272727272728</v>
      </c>
      <c r="BL317" s="540">
        <f t="shared" si="230"/>
        <v>22935.272727272728</v>
      </c>
      <c r="BM317" s="540">
        <f t="shared" si="230"/>
        <v>22935.272727272728</v>
      </c>
      <c r="BN317" s="540">
        <f t="shared" si="230"/>
        <v>22935.272727272728</v>
      </c>
      <c r="BO317" s="540">
        <f t="shared" si="230"/>
        <v>22935.272727272728</v>
      </c>
      <c r="BP317" s="540">
        <f t="shared" si="230"/>
        <v>22935.272727272728</v>
      </c>
      <c r="BQ317" s="540">
        <f t="shared" si="230"/>
        <v>22935.272727272728</v>
      </c>
      <c r="BR317" s="540">
        <f t="shared" si="230"/>
        <v>22935.272727272728</v>
      </c>
      <c r="BS317" s="540">
        <f t="shared" si="230"/>
        <v>22935.272727272728</v>
      </c>
      <c r="BT317" s="540">
        <f t="shared" si="230"/>
        <v>22935.272727272728</v>
      </c>
      <c r="BU317" s="540">
        <f t="shared" si="230"/>
        <v>22935.272727272728</v>
      </c>
      <c r="BV317" s="540">
        <f t="shared" si="230"/>
        <v>22935.272727272728</v>
      </c>
      <c r="BW317" s="540">
        <f t="shared" si="230"/>
        <v>22935.272727272728</v>
      </c>
      <c r="BX317" s="540">
        <f t="shared" si="230"/>
        <v>22935.272727272728</v>
      </c>
      <c r="BY317" s="540">
        <f t="shared" si="230"/>
        <v>22935.272727272728</v>
      </c>
      <c r="BZ317" s="540">
        <f t="shared" si="230"/>
        <v>22935.272727272728</v>
      </c>
      <c r="CA317" s="540">
        <f t="shared" si="230"/>
        <v>22935.272727272728</v>
      </c>
      <c r="CB317" s="540">
        <f t="shared" si="230"/>
        <v>22935.272727272728</v>
      </c>
      <c r="CC317" s="540">
        <f t="shared" si="230"/>
        <v>22935.272727272728</v>
      </c>
      <c r="CD317" s="540">
        <f t="shared" si="230"/>
        <v>22935.272727272728</v>
      </c>
      <c r="CE317" s="540">
        <f t="shared" si="230"/>
        <v>22935.272727272728</v>
      </c>
      <c r="CG317" s="536">
        <v>22935.272727272728</v>
      </c>
      <c r="CH317" s="536">
        <v>22935.272727272728</v>
      </c>
      <c r="CI317" s="536">
        <v>22935.272727272728</v>
      </c>
      <c r="CJ317" s="536">
        <v>22935.272727272728</v>
      </c>
      <c r="CK317" s="536">
        <v>22935.272727272728</v>
      </c>
      <c r="CL317" s="536">
        <v>22935.272727272728</v>
      </c>
      <c r="CM317" s="536">
        <v>22935.272727272728</v>
      </c>
      <c r="CN317" s="536">
        <v>22935.272727272728</v>
      </c>
      <c r="CO317" s="536">
        <v>22935.272727272728</v>
      </c>
      <c r="CP317" s="536">
        <v>22935.272727272728</v>
      </c>
      <c r="CQ317" s="536">
        <v>22935.272727272728</v>
      </c>
      <c r="CR317" s="536">
        <v>22935.272727272728</v>
      </c>
      <c r="CS317" s="536">
        <v>22935.272727272728</v>
      </c>
      <c r="CT317" s="536">
        <v>22935.272727272728</v>
      </c>
      <c r="CU317" s="536">
        <v>22935.272727272728</v>
      </c>
      <c r="CV317" s="536">
        <v>22935.272727272728</v>
      </c>
      <c r="CW317" s="536">
        <v>22935.272727272728</v>
      </c>
      <c r="CX317" s="536">
        <v>22935.272727272728</v>
      </c>
      <c r="CY317" s="536">
        <v>22935.272727272728</v>
      </c>
      <c r="CZ317" s="536">
        <v>22935.272727272728</v>
      </c>
      <c r="DA317" s="536">
        <v>22935.272727272728</v>
      </c>
      <c r="DB317" s="536">
        <v>22935.272727272728</v>
      </c>
      <c r="DC317" s="536">
        <v>22935.272727272728</v>
      </c>
      <c r="DD317" s="536">
        <v>22935.272727272728</v>
      </c>
      <c r="DE317" s="536">
        <v>22935.272727272728</v>
      </c>
      <c r="DF317" s="536">
        <v>22935.272727272728</v>
      </c>
      <c r="DG317" s="536">
        <v>22935.272727272728</v>
      </c>
      <c r="DH317" s="536">
        <v>22935.272727272728</v>
      </c>
    </row>
    <row r="318" spans="2:112">
      <c r="F318" s="539"/>
      <c r="G318" s="539"/>
      <c r="H318" s="539"/>
      <c r="I318" s="539"/>
      <c r="J318" s="539"/>
      <c r="K318" s="539"/>
      <c r="L318" s="539"/>
      <c r="M318" s="539"/>
      <c r="N318" s="539"/>
      <c r="O318" s="539"/>
      <c r="P318" s="539"/>
      <c r="Q318" s="539"/>
      <c r="R318" s="539"/>
      <c r="S318" s="539"/>
      <c r="T318" s="539"/>
      <c r="U318" s="539"/>
      <c r="V318" s="539"/>
      <c r="W318" s="539"/>
      <c r="X318" s="539"/>
      <c r="Y318" s="539"/>
      <c r="Z318" s="539"/>
      <c r="AA318" s="539"/>
      <c r="AB318" s="539"/>
      <c r="AC318" s="539"/>
      <c r="AD318" s="539"/>
      <c r="AE318" s="539"/>
      <c r="AF318" s="539"/>
      <c r="AG318" s="539"/>
      <c r="AH318" s="539"/>
      <c r="AI318" s="539"/>
      <c r="AJ318" s="539"/>
      <c r="AK318" s="539"/>
      <c r="AL318" s="539"/>
      <c r="AM318" s="539"/>
      <c r="AN318" s="539"/>
      <c r="AO318" s="539"/>
      <c r="AP318" s="539"/>
      <c r="AQ318" s="539"/>
      <c r="AR318" s="539"/>
      <c r="AS318" s="539"/>
      <c r="AT318" s="539"/>
      <c r="AU318" s="539"/>
      <c r="AV318" s="539"/>
      <c r="AW318" s="539"/>
      <c r="AX318" s="539"/>
      <c r="AY318" s="539"/>
      <c r="AZ318" s="539"/>
      <c r="BA318" s="539"/>
      <c r="BB318" s="539"/>
      <c r="BC318" s="539"/>
      <c r="BD318" s="539"/>
      <c r="BE318" s="539"/>
      <c r="BF318" s="539"/>
      <c r="BG318" s="539"/>
      <c r="BH318" s="539"/>
      <c r="BI318" s="539"/>
      <c r="BJ318" s="539"/>
      <c r="BK318" s="539"/>
      <c r="BL318" s="539"/>
      <c r="BM318" s="539"/>
      <c r="BN318" s="539"/>
      <c r="BO318" s="539"/>
      <c r="BP318" s="539"/>
      <c r="BQ318" s="539"/>
      <c r="BR318" s="539"/>
      <c r="BS318" s="539"/>
      <c r="BT318" s="539"/>
      <c r="BU318" s="539"/>
      <c r="BV318" s="539"/>
      <c r="BW318" s="539"/>
      <c r="BX318" s="539"/>
      <c r="BY318" s="539"/>
      <c r="BZ318" s="539"/>
      <c r="CA318" s="539"/>
      <c r="CB318" s="539"/>
      <c r="CC318" s="539"/>
      <c r="CD318" s="539"/>
      <c r="CE318" s="539"/>
      <c r="CG318" s="539"/>
      <c r="CH318" s="539"/>
      <c r="CI318" s="539"/>
      <c r="CJ318" s="539"/>
      <c r="CK318" s="539"/>
      <c r="CL318" s="539"/>
      <c r="CM318" s="539"/>
      <c r="CN318" s="539"/>
      <c r="CO318" s="539"/>
      <c r="CP318" s="539"/>
      <c r="CQ318" s="539"/>
      <c r="CR318" s="539"/>
      <c r="CS318" s="539"/>
      <c r="CT318" s="539"/>
      <c r="CU318" s="539"/>
      <c r="CV318" s="539"/>
      <c r="CW318" s="539"/>
      <c r="CX318" s="539"/>
      <c r="CY318" s="539"/>
      <c r="CZ318" s="539"/>
      <c r="DA318" s="539"/>
      <c r="DB318" s="539"/>
      <c r="DC318" s="539"/>
      <c r="DD318" s="539"/>
      <c r="DE318" s="539"/>
      <c r="DF318" s="539"/>
      <c r="DG318" s="539"/>
      <c r="DH318" s="539"/>
    </row>
    <row r="319" spans="2:112">
      <c r="B319" t="s">
        <v>1182</v>
      </c>
      <c r="C319" t="s">
        <v>793</v>
      </c>
      <c r="D319" t="s">
        <v>907</v>
      </c>
      <c r="E319" t="s">
        <v>908</v>
      </c>
      <c r="F319" s="541">
        <v>257.49650000000003</v>
      </c>
      <c r="G319" s="541">
        <v>257.49650000000003</v>
      </c>
      <c r="H319" s="541">
        <v>257.49650000000003</v>
      </c>
      <c r="I319" s="541">
        <v>257.49650000000003</v>
      </c>
      <c r="J319" s="541">
        <v>257.49650000000003</v>
      </c>
      <c r="K319" s="541">
        <v>257.49650000000003</v>
      </c>
      <c r="L319" s="541">
        <v>257.49650000000003</v>
      </c>
      <c r="M319" s="541">
        <v>257.49650000000003</v>
      </c>
      <c r="N319" s="541">
        <v>257.49650000000003</v>
      </c>
      <c r="O319" s="541">
        <v>257.49650000000003</v>
      </c>
      <c r="P319" s="541">
        <v>257.49650000000003</v>
      </c>
      <c r="Q319" s="541">
        <v>257.49650000000003</v>
      </c>
      <c r="R319" s="541">
        <v>257.49650000000003</v>
      </c>
      <c r="S319" s="541">
        <v>257.49650000000003</v>
      </c>
      <c r="T319" s="541">
        <v>257.49650000000003</v>
      </c>
      <c r="U319" s="541">
        <v>257.49650000000003</v>
      </c>
      <c r="V319" s="541">
        <v>257.49650000000003</v>
      </c>
      <c r="W319" s="541">
        <v>257.49650000000003</v>
      </c>
      <c r="X319" s="541">
        <v>257.49650000000003</v>
      </c>
      <c r="Y319" s="541">
        <v>257.49650000000003</v>
      </c>
      <c r="Z319" s="541">
        <v>257.49650000000003</v>
      </c>
      <c r="AA319" s="541">
        <v>257.49650000000003</v>
      </c>
      <c r="AB319" s="541">
        <v>257.49650000000003</v>
      </c>
      <c r="AC319" s="541">
        <v>257.49650000000003</v>
      </c>
      <c r="AD319" s="541">
        <v>257.49650000000003</v>
      </c>
      <c r="AE319" s="541">
        <v>257.49650000000003</v>
      </c>
      <c r="AF319" s="541">
        <v>257.49650000000003</v>
      </c>
      <c r="AG319" s="541">
        <v>257.49650000000003</v>
      </c>
      <c r="AH319" s="542">
        <f>AG319</f>
        <v>257.49650000000003</v>
      </c>
      <c r="AI319" s="542">
        <f t="shared" ref="AI319:AX319" si="231">AH319</f>
        <v>257.49650000000003</v>
      </c>
      <c r="AJ319" s="542">
        <f t="shared" si="231"/>
        <v>257.49650000000003</v>
      </c>
      <c r="AK319" s="542">
        <f t="shared" si="231"/>
        <v>257.49650000000003</v>
      </c>
      <c r="AL319" s="542">
        <f t="shared" si="231"/>
        <v>257.49650000000003</v>
      </c>
      <c r="AM319" s="542">
        <f t="shared" si="231"/>
        <v>257.49650000000003</v>
      </c>
      <c r="AN319" s="542">
        <f t="shared" si="231"/>
        <v>257.49650000000003</v>
      </c>
      <c r="AO319" s="542">
        <f t="shared" si="231"/>
        <v>257.49650000000003</v>
      </c>
      <c r="AP319" s="542">
        <f t="shared" si="231"/>
        <v>257.49650000000003</v>
      </c>
      <c r="AQ319" s="542">
        <f t="shared" si="231"/>
        <v>257.49650000000003</v>
      </c>
      <c r="AR319" s="542">
        <f t="shared" si="231"/>
        <v>257.49650000000003</v>
      </c>
      <c r="AS319" s="542">
        <f t="shared" si="231"/>
        <v>257.49650000000003</v>
      </c>
      <c r="AT319" s="542">
        <f t="shared" si="231"/>
        <v>257.49650000000003</v>
      </c>
      <c r="AU319" s="542">
        <f t="shared" si="231"/>
        <v>257.49650000000003</v>
      </c>
      <c r="AV319" s="542">
        <f t="shared" si="231"/>
        <v>257.49650000000003</v>
      </c>
      <c r="AW319" s="542">
        <f t="shared" si="231"/>
        <v>257.49650000000003</v>
      </c>
      <c r="AX319" s="542">
        <f t="shared" si="231"/>
        <v>257.49650000000003</v>
      </c>
      <c r="AY319" s="542">
        <f t="shared" ref="AY319:BN319" si="232">AX319</f>
        <v>257.49650000000003</v>
      </c>
      <c r="AZ319" s="542">
        <f t="shared" si="232"/>
        <v>257.49650000000003</v>
      </c>
      <c r="BA319" s="542">
        <f t="shared" si="232"/>
        <v>257.49650000000003</v>
      </c>
      <c r="BB319" s="542">
        <f t="shared" si="232"/>
        <v>257.49650000000003</v>
      </c>
      <c r="BC319" s="542">
        <f t="shared" si="232"/>
        <v>257.49650000000003</v>
      </c>
      <c r="BD319" s="542">
        <f t="shared" si="232"/>
        <v>257.49650000000003</v>
      </c>
      <c r="BE319" s="542">
        <f t="shared" si="232"/>
        <v>257.49650000000003</v>
      </c>
      <c r="BF319" s="542">
        <f t="shared" si="232"/>
        <v>257.49650000000003</v>
      </c>
      <c r="BG319" s="542">
        <f t="shared" si="232"/>
        <v>257.49650000000003</v>
      </c>
      <c r="BH319" s="542">
        <f t="shared" si="232"/>
        <v>257.49650000000003</v>
      </c>
      <c r="BI319" s="542">
        <f t="shared" si="232"/>
        <v>257.49650000000003</v>
      </c>
      <c r="BJ319" s="542">
        <f t="shared" si="232"/>
        <v>257.49650000000003</v>
      </c>
      <c r="BK319" s="542">
        <f t="shared" si="232"/>
        <v>257.49650000000003</v>
      </c>
      <c r="BL319" s="542">
        <f t="shared" si="232"/>
        <v>257.49650000000003</v>
      </c>
      <c r="BM319" s="542">
        <f t="shared" si="232"/>
        <v>257.49650000000003</v>
      </c>
      <c r="BN319" s="542">
        <f t="shared" si="232"/>
        <v>257.49650000000003</v>
      </c>
      <c r="BO319" s="542">
        <f t="shared" ref="BO319:CD319" si="233">BN319</f>
        <v>257.49650000000003</v>
      </c>
      <c r="BP319" s="542">
        <f t="shared" si="233"/>
        <v>257.49650000000003</v>
      </c>
      <c r="BQ319" s="542">
        <f t="shared" si="233"/>
        <v>257.49650000000003</v>
      </c>
      <c r="BR319" s="542">
        <f t="shared" si="233"/>
        <v>257.49650000000003</v>
      </c>
      <c r="BS319" s="542">
        <f t="shared" si="233"/>
        <v>257.49650000000003</v>
      </c>
      <c r="BT319" s="542">
        <f t="shared" si="233"/>
        <v>257.49650000000003</v>
      </c>
      <c r="BU319" s="542">
        <f t="shared" si="233"/>
        <v>257.49650000000003</v>
      </c>
      <c r="BV319" s="542">
        <f t="shared" si="233"/>
        <v>257.49650000000003</v>
      </c>
      <c r="BW319" s="542">
        <f t="shared" si="233"/>
        <v>257.49650000000003</v>
      </c>
      <c r="BX319" s="542">
        <f t="shared" si="233"/>
        <v>257.49650000000003</v>
      </c>
      <c r="BY319" s="542">
        <f t="shared" si="233"/>
        <v>257.49650000000003</v>
      </c>
      <c r="BZ319" s="542">
        <f t="shared" si="233"/>
        <v>257.49650000000003</v>
      </c>
      <c r="CA319" s="542">
        <f t="shared" si="233"/>
        <v>257.49650000000003</v>
      </c>
      <c r="CB319" s="542">
        <f t="shared" si="233"/>
        <v>257.49650000000003</v>
      </c>
      <c r="CC319" s="542">
        <f t="shared" si="233"/>
        <v>257.49650000000003</v>
      </c>
      <c r="CD319" s="542">
        <f t="shared" si="233"/>
        <v>257.49650000000003</v>
      </c>
      <c r="CE319" s="542">
        <f t="shared" ref="AX319:CE326" si="234">CD319</f>
        <v>257.49650000000003</v>
      </c>
      <c r="CG319" s="541">
        <v>257.49650000000003</v>
      </c>
      <c r="CH319" s="541">
        <v>257.49650000000003</v>
      </c>
      <c r="CI319" s="541">
        <v>257.49650000000003</v>
      </c>
      <c r="CJ319" s="541">
        <v>257.49650000000003</v>
      </c>
      <c r="CK319" s="541">
        <v>257.49650000000003</v>
      </c>
      <c r="CL319" s="541">
        <v>257.49650000000003</v>
      </c>
      <c r="CM319" s="541">
        <v>257.49650000000003</v>
      </c>
      <c r="CN319" s="541">
        <v>257.49650000000003</v>
      </c>
      <c r="CO319" s="541">
        <v>257.49650000000003</v>
      </c>
      <c r="CP319" s="541">
        <v>257.49650000000003</v>
      </c>
      <c r="CQ319" s="541">
        <v>257.49650000000003</v>
      </c>
      <c r="CR319" s="541">
        <v>257.49650000000003</v>
      </c>
      <c r="CS319" s="541">
        <v>257.49650000000003</v>
      </c>
      <c r="CT319" s="541">
        <v>257.49650000000003</v>
      </c>
      <c r="CU319" s="541">
        <v>257.49650000000003</v>
      </c>
      <c r="CV319" s="541">
        <v>257.49650000000003</v>
      </c>
      <c r="CW319" s="541">
        <v>257.49650000000003</v>
      </c>
      <c r="CX319" s="541">
        <v>257.49650000000003</v>
      </c>
      <c r="CY319" s="541">
        <v>257.49650000000003</v>
      </c>
      <c r="CZ319" s="541">
        <v>257.49650000000003</v>
      </c>
      <c r="DA319" s="541">
        <v>257.49650000000003</v>
      </c>
      <c r="DB319" s="541">
        <v>257.49650000000003</v>
      </c>
      <c r="DC319" s="541">
        <v>257.49650000000003</v>
      </c>
      <c r="DD319" s="541">
        <v>257.49650000000003</v>
      </c>
      <c r="DE319" s="541">
        <v>257.49650000000003</v>
      </c>
      <c r="DF319" s="541">
        <v>257.49650000000003</v>
      </c>
      <c r="DG319" s="541">
        <v>257.49650000000003</v>
      </c>
      <c r="DH319" s="541">
        <v>257.49650000000003</v>
      </c>
    </row>
    <row r="320" spans="2:112">
      <c r="B320" t="s">
        <v>1183</v>
      </c>
      <c r="C320" t="s">
        <v>793</v>
      </c>
      <c r="D320" t="s">
        <v>910</v>
      </c>
      <c r="E320" t="s">
        <v>911</v>
      </c>
      <c r="F320" s="541">
        <v>50.26076125454545</v>
      </c>
      <c r="G320" s="541">
        <v>50.26076125454545</v>
      </c>
      <c r="H320" s="541">
        <v>50.26076125454545</v>
      </c>
      <c r="I320" s="541">
        <v>50.26076125454545</v>
      </c>
      <c r="J320" s="541">
        <v>50.26076125454545</v>
      </c>
      <c r="K320" s="541">
        <v>50.26076125454545</v>
      </c>
      <c r="L320" s="541">
        <v>50.26076125454545</v>
      </c>
      <c r="M320" s="541">
        <v>50.26076125454545</v>
      </c>
      <c r="N320" s="541">
        <v>50.26076125454545</v>
      </c>
      <c r="O320" s="541">
        <v>50.26076125454545</v>
      </c>
      <c r="P320" s="541">
        <v>50.26076125454545</v>
      </c>
      <c r="Q320" s="541">
        <v>50.26076125454545</v>
      </c>
      <c r="R320" s="541">
        <v>50.26076125454545</v>
      </c>
      <c r="S320" s="541">
        <v>50.26076125454545</v>
      </c>
      <c r="T320" s="541">
        <v>50.26076125454545</v>
      </c>
      <c r="U320" s="541">
        <v>50.26076125454545</v>
      </c>
      <c r="V320" s="541">
        <v>50.26076125454545</v>
      </c>
      <c r="W320" s="541">
        <v>50.26076125454545</v>
      </c>
      <c r="X320" s="541">
        <v>50.26076125454545</v>
      </c>
      <c r="Y320" s="541">
        <v>50.26076125454545</v>
      </c>
      <c r="Z320" s="541">
        <v>50.26076125454545</v>
      </c>
      <c r="AA320" s="541">
        <v>50.26076125454545</v>
      </c>
      <c r="AB320" s="541">
        <v>50.26076125454545</v>
      </c>
      <c r="AC320" s="541">
        <v>50.26076125454545</v>
      </c>
      <c r="AD320" s="541">
        <v>50.26076125454545</v>
      </c>
      <c r="AE320" s="541">
        <v>50.26076125454545</v>
      </c>
      <c r="AF320" s="541">
        <v>50.26076125454545</v>
      </c>
      <c r="AG320" s="541">
        <v>50.26076125454545</v>
      </c>
      <c r="AH320" s="542">
        <f t="shared" ref="AH320:AW326" si="235">AG320</f>
        <v>50.26076125454545</v>
      </c>
      <c r="AI320" s="542">
        <f t="shared" si="235"/>
        <v>50.26076125454545</v>
      </c>
      <c r="AJ320" s="542">
        <f t="shared" si="235"/>
        <v>50.26076125454545</v>
      </c>
      <c r="AK320" s="542">
        <f t="shared" si="235"/>
        <v>50.26076125454545</v>
      </c>
      <c r="AL320" s="542">
        <f t="shared" si="235"/>
        <v>50.26076125454545</v>
      </c>
      <c r="AM320" s="542">
        <f t="shared" si="235"/>
        <v>50.26076125454545</v>
      </c>
      <c r="AN320" s="542">
        <f t="shared" si="235"/>
        <v>50.26076125454545</v>
      </c>
      <c r="AO320" s="542">
        <f t="shared" si="235"/>
        <v>50.26076125454545</v>
      </c>
      <c r="AP320" s="542">
        <f t="shared" si="235"/>
        <v>50.26076125454545</v>
      </c>
      <c r="AQ320" s="542">
        <f t="shared" si="235"/>
        <v>50.26076125454545</v>
      </c>
      <c r="AR320" s="542">
        <f t="shared" si="235"/>
        <v>50.26076125454545</v>
      </c>
      <c r="AS320" s="542">
        <f t="shared" si="235"/>
        <v>50.26076125454545</v>
      </c>
      <c r="AT320" s="542">
        <f t="shared" si="235"/>
        <v>50.26076125454545</v>
      </c>
      <c r="AU320" s="542">
        <f t="shared" si="235"/>
        <v>50.26076125454545</v>
      </c>
      <c r="AV320" s="542">
        <f t="shared" si="235"/>
        <v>50.26076125454545</v>
      </c>
      <c r="AW320" s="542">
        <f t="shared" si="235"/>
        <v>50.26076125454545</v>
      </c>
      <c r="AX320" s="542">
        <f t="shared" si="234"/>
        <v>50.26076125454545</v>
      </c>
      <c r="AY320" s="542">
        <f t="shared" si="234"/>
        <v>50.26076125454545</v>
      </c>
      <c r="AZ320" s="542">
        <f t="shared" si="234"/>
        <v>50.26076125454545</v>
      </c>
      <c r="BA320" s="542">
        <f t="shared" si="234"/>
        <v>50.26076125454545</v>
      </c>
      <c r="BB320" s="542">
        <f t="shared" si="234"/>
        <v>50.26076125454545</v>
      </c>
      <c r="BC320" s="542">
        <f t="shared" si="234"/>
        <v>50.26076125454545</v>
      </c>
      <c r="BD320" s="542">
        <f t="shared" si="234"/>
        <v>50.26076125454545</v>
      </c>
      <c r="BE320" s="542">
        <f t="shared" si="234"/>
        <v>50.26076125454545</v>
      </c>
      <c r="BF320" s="542">
        <f t="shared" si="234"/>
        <v>50.26076125454545</v>
      </c>
      <c r="BG320" s="542">
        <f t="shared" si="234"/>
        <v>50.26076125454545</v>
      </c>
      <c r="BH320" s="542">
        <f t="shared" si="234"/>
        <v>50.26076125454545</v>
      </c>
      <c r="BI320" s="542">
        <f t="shared" si="234"/>
        <v>50.26076125454545</v>
      </c>
      <c r="BJ320" s="542">
        <f t="shared" si="234"/>
        <v>50.26076125454545</v>
      </c>
      <c r="BK320" s="542">
        <f t="shared" si="234"/>
        <v>50.26076125454545</v>
      </c>
      <c r="BL320" s="542">
        <f t="shared" si="234"/>
        <v>50.26076125454545</v>
      </c>
      <c r="BM320" s="542">
        <f t="shared" si="234"/>
        <v>50.26076125454545</v>
      </c>
      <c r="BN320" s="542">
        <f t="shared" si="234"/>
        <v>50.26076125454545</v>
      </c>
      <c r="BO320" s="542">
        <f t="shared" si="234"/>
        <v>50.26076125454545</v>
      </c>
      <c r="BP320" s="542">
        <f t="shared" si="234"/>
        <v>50.26076125454545</v>
      </c>
      <c r="BQ320" s="542">
        <f t="shared" si="234"/>
        <v>50.26076125454545</v>
      </c>
      <c r="BR320" s="542">
        <f t="shared" si="234"/>
        <v>50.26076125454545</v>
      </c>
      <c r="BS320" s="542">
        <f t="shared" si="234"/>
        <v>50.26076125454545</v>
      </c>
      <c r="BT320" s="542">
        <f t="shared" si="234"/>
        <v>50.26076125454545</v>
      </c>
      <c r="BU320" s="542">
        <f t="shared" si="234"/>
        <v>50.26076125454545</v>
      </c>
      <c r="BV320" s="542">
        <f t="shared" si="234"/>
        <v>50.26076125454545</v>
      </c>
      <c r="BW320" s="542">
        <f t="shared" si="234"/>
        <v>50.26076125454545</v>
      </c>
      <c r="BX320" s="542">
        <f t="shared" si="234"/>
        <v>50.26076125454545</v>
      </c>
      <c r="BY320" s="542">
        <f t="shared" si="234"/>
        <v>50.26076125454545</v>
      </c>
      <c r="BZ320" s="542">
        <f t="shared" si="234"/>
        <v>50.26076125454545</v>
      </c>
      <c r="CA320" s="542">
        <f t="shared" si="234"/>
        <v>50.26076125454545</v>
      </c>
      <c r="CB320" s="542">
        <f t="shared" si="234"/>
        <v>50.26076125454545</v>
      </c>
      <c r="CC320" s="542">
        <f t="shared" si="234"/>
        <v>50.26076125454545</v>
      </c>
      <c r="CD320" s="542">
        <f t="shared" si="234"/>
        <v>50.26076125454545</v>
      </c>
      <c r="CE320" s="542">
        <f t="shared" si="234"/>
        <v>50.26076125454545</v>
      </c>
      <c r="CG320" s="541">
        <v>50.26076125454545</v>
      </c>
      <c r="CH320" s="541">
        <v>50.26076125454545</v>
      </c>
      <c r="CI320" s="541">
        <v>50.26076125454545</v>
      </c>
      <c r="CJ320" s="541">
        <v>50.26076125454545</v>
      </c>
      <c r="CK320" s="541">
        <v>50.26076125454545</v>
      </c>
      <c r="CL320" s="541">
        <v>50.26076125454545</v>
      </c>
      <c r="CM320" s="541">
        <v>50.26076125454545</v>
      </c>
      <c r="CN320" s="541">
        <v>50.26076125454545</v>
      </c>
      <c r="CO320" s="541">
        <v>50.26076125454545</v>
      </c>
      <c r="CP320" s="541">
        <v>50.26076125454545</v>
      </c>
      <c r="CQ320" s="541">
        <v>50.26076125454545</v>
      </c>
      <c r="CR320" s="541">
        <v>50.26076125454545</v>
      </c>
      <c r="CS320" s="541">
        <v>50.26076125454545</v>
      </c>
      <c r="CT320" s="541">
        <v>50.26076125454545</v>
      </c>
      <c r="CU320" s="541">
        <v>50.26076125454545</v>
      </c>
      <c r="CV320" s="541">
        <v>50.26076125454545</v>
      </c>
      <c r="CW320" s="541">
        <v>50.26076125454545</v>
      </c>
      <c r="CX320" s="541">
        <v>50.26076125454545</v>
      </c>
      <c r="CY320" s="541">
        <v>50.26076125454545</v>
      </c>
      <c r="CZ320" s="541">
        <v>50.26076125454545</v>
      </c>
      <c r="DA320" s="541">
        <v>50.26076125454545</v>
      </c>
      <c r="DB320" s="541">
        <v>50.26076125454545</v>
      </c>
      <c r="DC320" s="541">
        <v>50.26076125454545</v>
      </c>
      <c r="DD320" s="541">
        <v>50.26076125454545</v>
      </c>
      <c r="DE320" s="541">
        <v>50.26076125454545</v>
      </c>
      <c r="DF320" s="541">
        <v>50.26076125454545</v>
      </c>
      <c r="DG320" s="541">
        <v>50.26076125454545</v>
      </c>
      <c r="DH320" s="541">
        <v>50.26076125454545</v>
      </c>
    </row>
    <row r="321" spans="2:112">
      <c r="B321" t="s">
        <v>1184</v>
      </c>
      <c r="C321" t="s">
        <v>793</v>
      </c>
      <c r="D321" t="s">
        <v>913</v>
      </c>
      <c r="E321" t="s">
        <v>908</v>
      </c>
      <c r="F321" s="541">
        <v>268.5865</v>
      </c>
      <c r="G321" s="541">
        <v>268.5865</v>
      </c>
      <c r="H321" s="541">
        <v>268.5865</v>
      </c>
      <c r="I321" s="541">
        <v>268.5865</v>
      </c>
      <c r="J321" s="541">
        <v>268.5865</v>
      </c>
      <c r="K321" s="541">
        <v>268.5865</v>
      </c>
      <c r="L321" s="541">
        <v>268.5865</v>
      </c>
      <c r="M321" s="541">
        <v>268.5865</v>
      </c>
      <c r="N321" s="541">
        <v>268.5865</v>
      </c>
      <c r="O321" s="541">
        <v>268.5865</v>
      </c>
      <c r="P321" s="541">
        <v>268.5865</v>
      </c>
      <c r="Q321" s="541">
        <v>268.5865</v>
      </c>
      <c r="R321" s="541">
        <v>268.5865</v>
      </c>
      <c r="S321" s="541">
        <v>268.5865</v>
      </c>
      <c r="T321" s="541">
        <v>268.5865</v>
      </c>
      <c r="U321" s="541">
        <v>268.5865</v>
      </c>
      <c r="V321" s="541">
        <v>268.5865</v>
      </c>
      <c r="W321" s="541">
        <v>268.5865</v>
      </c>
      <c r="X321" s="541">
        <v>268.5865</v>
      </c>
      <c r="Y321" s="541">
        <v>268.5865</v>
      </c>
      <c r="Z321" s="541">
        <v>268.5865</v>
      </c>
      <c r="AA321" s="541">
        <v>268.5865</v>
      </c>
      <c r="AB321" s="541">
        <v>268.5865</v>
      </c>
      <c r="AC321" s="541">
        <v>268.5865</v>
      </c>
      <c r="AD321" s="541">
        <v>268.5865</v>
      </c>
      <c r="AE321" s="541">
        <v>268.5865</v>
      </c>
      <c r="AF321" s="541">
        <v>268.5865</v>
      </c>
      <c r="AG321" s="541">
        <v>268.5865</v>
      </c>
      <c r="AH321" s="542">
        <f t="shared" si="235"/>
        <v>268.5865</v>
      </c>
      <c r="AI321" s="542">
        <f t="shared" si="235"/>
        <v>268.5865</v>
      </c>
      <c r="AJ321" s="542">
        <f t="shared" si="235"/>
        <v>268.5865</v>
      </c>
      <c r="AK321" s="542">
        <f t="shared" si="235"/>
        <v>268.5865</v>
      </c>
      <c r="AL321" s="542">
        <f t="shared" si="235"/>
        <v>268.5865</v>
      </c>
      <c r="AM321" s="542">
        <f t="shared" si="235"/>
        <v>268.5865</v>
      </c>
      <c r="AN321" s="542">
        <f t="shared" si="235"/>
        <v>268.5865</v>
      </c>
      <c r="AO321" s="542">
        <f t="shared" si="235"/>
        <v>268.5865</v>
      </c>
      <c r="AP321" s="542">
        <f t="shared" si="235"/>
        <v>268.5865</v>
      </c>
      <c r="AQ321" s="542">
        <f t="shared" si="235"/>
        <v>268.5865</v>
      </c>
      <c r="AR321" s="542">
        <f t="shared" si="235"/>
        <v>268.5865</v>
      </c>
      <c r="AS321" s="542">
        <f t="shared" si="235"/>
        <v>268.5865</v>
      </c>
      <c r="AT321" s="542">
        <f t="shared" si="235"/>
        <v>268.5865</v>
      </c>
      <c r="AU321" s="542">
        <f t="shared" si="235"/>
        <v>268.5865</v>
      </c>
      <c r="AV321" s="542">
        <f t="shared" si="235"/>
        <v>268.5865</v>
      </c>
      <c r="AW321" s="542">
        <f t="shared" si="235"/>
        <v>268.5865</v>
      </c>
      <c r="AX321" s="542">
        <f t="shared" si="234"/>
        <v>268.5865</v>
      </c>
      <c r="AY321" s="542">
        <f t="shared" si="234"/>
        <v>268.5865</v>
      </c>
      <c r="AZ321" s="542">
        <f t="shared" si="234"/>
        <v>268.5865</v>
      </c>
      <c r="BA321" s="542">
        <f t="shared" si="234"/>
        <v>268.5865</v>
      </c>
      <c r="BB321" s="542">
        <f t="shared" si="234"/>
        <v>268.5865</v>
      </c>
      <c r="BC321" s="542">
        <f t="shared" si="234"/>
        <v>268.5865</v>
      </c>
      <c r="BD321" s="542">
        <f t="shared" si="234"/>
        <v>268.5865</v>
      </c>
      <c r="BE321" s="542">
        <f t="shared" si="234"/>
        <v>268.5865</v>
      </c>
      <c r="BF321" s="542">
        <f t="shared" si="234"/>
        <v>268.5865</v>
      </c>
      <c r="BG321" s="542">
        <f t="shared" si="234"/>
        <v>268.5865</v>
      </c>
      <c r="BH321" s="542">
        <f t="shared" si="234"/>
        <v>268.5865</v>
      </c>
      <c r="BI321" s="542">
        <f t="shared" si="234"/>
        <v>268.5865</v>
      </c>
      <c r="BJ321" s="542">
        <f t="shared" si="234"/>
        <v>268.5865</v>
      </c>
      <c r="BK321" s="542">
        <f t="shared" si="234"/>
        <v>268.5865</v>
      </c>
      <c r="BL321" s="542">
        <f t="shared" si="234"/>
        <v>268.5865</v>
      </c>
      <c r="BM321" s="542">
        <f t="shared" si="234"/>
        <v>268.5865</v>
      </c>
      <c r="BN321" s="542">
        <f t="shared" si="234"/>
        <v>268.5865</v>
      </c>
      <c r="BO321" s="542">
        <f t="shared" si="234"/>
        <v>268.5865</v>
      </c>
      <c r="BP321" s="542">
        <f t="shared" si="234"/>
        <v>268.5865</v>
      </c>
      <c r="BQ321" s="542">
        <f t="shared" si="234"/>
        <v>268.5865</v>
      </c>
      <c r="BR321" s="542">
        <f t="shared" si="234"/>
        <v>268.5865</v>
      </c>
      <c r="BS321" s="542">
        <f t="shared" si="234"/>
        <v>268.5865</v>
      </c>
      <c r="BT321" s="542">
        <f t="shared" si="234"/>
        <v>268.5865</v>
      </c>
      <c r="BU321" s="542">
        <f t="shared" si="234"/>
        <v>268.5865</v>
      </c>
      <c r="BV321" s="542">
        <f t="shared" si="234"/>
        <v>268.5865</v>
      </c>
      <c r="BW321" s="542">
        <f t="shared" si="234"/>
        <v>268.5865</v>
      </c>
      <c r="BX321" s="542">
        <f t="shared" si="234"/>
        <v>268.5865</v>
      </c>
      <c r="BY321" s="542">
        <f t="shared" si="234"/>
        <v>268.5865</v>
      </c>
      <c r="BZ321" s="542">
        <f t="shared" si="234"/>
        <v>268.5865</v>
      </c>
      <c r="CA321" s="542">
        <f t="shared" si="234"/>
        <v>268.5865</v>
      </c>
      <c r="CB321" s="542">
        <f t="shared" si="234"/>
        <v>268.5865</v>
      </c>
      <c r="CC321" s="542">
        <f t="shared" si="234"/>
        <v>268.5865</v>
      </c>
      <c r="CD321" s="542">
        <f t="shared" si="234"/>
        <v>268.5865</v>
      </c>
      <c r="CE321" s="542">
        <f t="shared" si="234"/>
        <v>268.5865</v>
      </c>
      <c r="CG321" s="541">
        <v>268.5865</v>
      </c>
      <c r="CH321" s="541">
        <v>268.5865</v>
      </c>
      <c r="CI321" s="541">
        <v>268.5865</v>
      </c>
      <c r="CJ321" s="541">
        <v>268.5865</v>
      </c>
      <c r="CK321" s="541">
        <v>268.5865</v>
      </c>
      <c r="CL321" s="541">
        <v>268.5865</v>
      </c>
      <c r="CM321" s="541">
        <v>268.5865</v>
      </c>
      <c r="CN321" s="541">
        <v>268.5865</v>
      </c>
      <c r="CO321" s="541">
        <v>268.5865</v>
      </c>
      <c r="CP321" s="541">
        <v>268.5865</v>
      </c>
      <c r="CQ321" s="541">
        <v>268.5865</v>
      </c>
      <c r="CR321" s="541">
        <v>268.5865</v>
      </c>
      <c r="CS321" s="541">
        <v>268.5865</v>
      </c>
      <c r="CT321" s="541">
        <v>268.5865</v>
      </c>
      <c r="CU321" s="541">
        <v>268.5865</v>
      </c>
      <c r="CV321" s="541">
        <v>268.5865</v>
      </c>
      <c r="CW321" s="541">
        <v>268.5865</v>
      </c>
      <c r="CX321" s="541">
        <v>268.5865</v>
      </c>
      <c r="CY321" s="541">
        <v>268.5865</v>
      </c>
      <c r="CZ321" s="541">
        <v>268.5865</v>
      </c>
      <c r="DA321" s="541">
        <v>268.5865</v>
      </c>
      <c r="DB321" s="541">
        <v>268.5865</v>
      </c>
      <c r="DC321" s="541">
        <v>268.5865</v>
      </c>
      <c r="DD321" s="541">
        <v>268.5865</v>
      </c>
      <c r="DE321" s="541">
        <v>268.5865</v>
      </c>
      <c r="DF321" s="541">
        <v>268.5865</v>
      </c>
      <c r="DG321" s="541">
        <v>268.5865</v>
      </c>
      <c r="DH321" s="541">
        <v>268.5865</v>
      </c>
    </row>
    <row r="322" spans="2:112">
      <c r="B322" t="s">
        <v>1185</v>
      </c>
      <c r="C322" t="s">
        <v>793</v>
      </c>
      <c r="D322" t="s">
        <v>915</v>
      </c>
      <c r="E322" t="s">
        <v>911</v>
      </c>
      <c r="F322" s="541">
        <v>50.358371254545453</v>
      </c>
      <c r="G322" s="541">
        <v>50.358371254545453</v>
      </c>
      <c r="H322" s="541">
        <v>50.358371254545453</v>
      </c>
      <c r="I322" s="541">
        <v>50.358371254545453</v>
      </c>
      <c r="J322" s="541">
        <v>50.358371254545453</v>
      </c>
      <c r="K322" s="541">
        <v>50.358371254545453</v>
      </c>
      <c r="L322" s="541">
        <v>50.358371254545453</v>
      </c>
      <c r="M322" s="541">
        <v>50.358371254545453</v>
      </c>
      <c r="N322" s="541">
        <v>50.358371254545453</v>
      </c>
      <c r="O322" s="541">
        <v>50.358371254545453</v>
      </c>
      <c r="P322" s="541">
        <v>50.358371254545453</v>
      </c>
      <c r="Q322" s="541">
        <v>50.358371254545453</v>
      </c>
      <c r="R322" s="541">
        <v>50.358371254545453</v>
      </c>
      <c r="S322" s="541">
        <v>50.358371254545453</v>
      </c>
      <c r="T322" s="541">
        <v>50.358371254545453</v>
      </c>
      <c r="U322" s="541">
        <v>50.358371254545453</v>
      </c>
      <c r="V322" s="541">
        <v>50.358371254545453</v>
      </c>
      <c r="W322" s="541">
        <v>50.358371254545453</v>
      </c>
      <c r="X322" s="541">
        <v>50.358371254545453</v>
      </c>
      <c r="Y322" s="541">
        <v>50.358371254545453</v>
      </c>
      <c r="Z322" s="541">
        <v>50.358371254545453</v>
      </c>
      <c r="AA322" s="541">
        <v>50.358371254545453</v>
      </c>
      <c r="AB322" s="541">
        <v>50.358371254545453</v>
      </c>
      <c r="AC322" s="541">
        <v>50.358371254545453</v>
      </c>
      <c r="AD322" s="541">
        <v>50.358371254545453</v>
      </c>
      <c r="AE322" s="541">
        <v>50.358371254545453</v>
      </c>
      <c r="AF322" s="541">
        <v>50.358371254545453</v>
      </c>
      <c r="AG322" s="541">
        <v>50.358371254545453</v>
      </c>
      <c r="AH322" s="542">
        <f t="shared" si="235"/>
        <v>50.358371254545453</v>
      </c>
      <c r="AI322" s="542">
        <f t="shared" si="235"/>
        <v>50.358371254545453</v>
      </c>
      <c r="AJ322" s="542">
        <f t="shared" si="235"/>
        <v>50.358371254545453</v>
      </c>
      <c r="AK322" s="542">
        <f t="shared" si="235"/>
        <v>50.358371254545453</v>
      </c>
      <c r="AL322" s="542">
        <f t="shared" si="235"/>
        <v>50.358371254545453</v>
      </c>
      <c r="AM322" s="542">
        <f t="shared" si="235"/>
        <v>50.358371254545453</v>
      </c>
      <c r="AN322" s="542">
        <f t="shared" si="235"/>
        <v>50.358371254545453</v>
      </c>
      <c r="AO322" s="542">
        <f t="shared" si="235"/>
        <v>50.358371254545453</v>
      </c>
      <c r="AP322" s="542">
        <f t="shared" si="235"/>
        <v>50.358371254545453</v>
      </c>
      <c r="AQ322" s="542">
        <f t="shared" si="235"/>
        <v>50.358371254545453</v>
      </c>
      <c r="AR322" s="542">
        <f t="shared" si="235"/>
        <v>50.358371254545453</v>
      </c>
      <c r="AS322" s="542">
        <f t="shared" si="235"/>
        <v>50.358371254545453</v>
      </c>
      <c r="AT322" s="542">
        <f t="shared" si="235"/>
        <v>50.358371254545453</v>
      </c>
      <c r="AU322" s="542">
        <f t="shared" si="235"/>
        <v>50.358371254545453</v>
      </c>
      <c r="AV322" s="542">
        <f t="shared" si="235"/>
        <v>50.358371254545453</v>
      </c>
      <c r="AW322" s="542">
        <f t="shared" si="235"/>
        <v>50.358371254545453</v>
      </c>
      <c r="AX322" s="542">
        <f t="shared" si="234"/>
        <v>50.358371254545453</v>
      </c>
      <c r="AY322" s="542">
        <f t="shared" si="234"/>
        <v>50.358371254545453</v>
      </c>
      <c r="AZ322" s="542">
        <f t="shared" si="234"/>
        <v>50.358371254545453</v>
      </c>
      <c r="BA322" s="542">
        <f t="shared" si="234"/>
        <v>50.358371254545453</v>
      </c>
      <c r="BB322" s="542">
        <f t="shared" si="234"/>
        <v>50.358371254545453</v>
      </c>
      <c r="BC322" s="542">
        <f t="shared" si="234"/>
        <v>50.358371254545453</v>
      </c>
      <c r="BD322" s="542">
        <f t="shared" si="234"/>
        <v>50.358371254545453</v>
      </c>
      <c r="BE322" s="542">
        <f t="shared" si="234"/>
        <v>50.358371254545453</v>
      </c>
      <c r="BF322" s="542">
        <f t="shared" si="234"/>
        <v>50.358371254545453</v>
      </c>
      <c r="BG322" s="542">
        <f t="shared" si="234"/>
        <v>50.358371254545453</v>
      </c>
      <c r="BH322" s="542">
        <f t="shared" si="234"/>
        <v>50.358371254545453</v>
      </c>
      <c r="BI322" s="542">
        <f t="shared" si="234"/>
        <v>50.358371254545453</v>
      </c>
      <c r="BJ322" s="542">
        <f t="shared" si="234"/>
        <v>50.358371254545453</v>
      </c>
      <c r="BK322" s="542">
        <f t="shared" si="234"/>
        <v>50.358371254545453</v>
      </c>
      <c r="BL322" s="542">
        <f t="shared" si="234"/>
        <v>50.358371254545453</v>
      </c>
      <c r="BM322" s="542">
        <f t="shared" si="234"/>
        <v>50.358371254545453</v>
      </c>
      <c r="BN322" s="542">
        <f t="shared" si="234"/>
        <v>50.358371254545453</v>
      </c>
      <c r="BO322" s="542">
        <f t="shared" si="234"/>
        <v>50.358371254545453</v>
      </c>
      <c r="BP322" s="542">
        <f t="shared" si="234"/>
        <v>50.358371254545453</v>
      </c>
      <c r="BQ322" s="542">
        <f t="shared" si="234"/>
        <v>50.358371254545453</v>
      </c>
      <c r="BR322" s="542">
        <f t="shared" si="234"/>
        <v>50.358371254545453</v>
      </c>
      <c r="BS322" s="542">
        <f t="shared" si="234"/>
        <v>50.358371254545453</v>
      </c>
      <c r="BT322" s="542">
        <f t="shared" si="234"/>
        <v>50.358371254545453</v>
      </c>
      <c r="BU322" s="542">
        <f t="shared" si="234"/>
        <v>50.358371254545453</v>
      </c>
      <c r="BV322" s="542">
        <f t="shared" si="234"/>
        <v>50.358371254545453</v>
      </c>
      <c r="BW322" s="542">
        <f t="shared" si="234"/>
        <v>50.358371254545453</v>
      </c>
      <c r="BX322" s="542">
        <f t="shared" si="234"/>
        <v>50.358371254545453</v>
      </c>
      <c r="BY322" s="542">
        <f t="shared" si="234"/>
        <v>50.358371254545453</v>
      </c>
      <c r="BZ322" s="542">
        <f t="shared" si="234"/>
        <v>50.358371254545453</v>
      </c>
      <c r="CA322" s="542">
        <f t="shared" si="234"/>
        <v>50.358371254545453</v>
      </c>
      <c r="CB322" s="542">
        <f t="shared" si="234"/>
        <v>50.358371254545453</v>
      </c>
      <c r="CC322" s="542">
        <f t="shared" si="234"/>
        <v>50.358371254545453</v>
      </c>
      <c r="CD322" s="542">
        <f t="shared" si="234"/>
        <v>50.358371254545453</v>
      </c>
      <c r="CE322" s="542">
        <f t="shared" si="234"/>
        <v>50.358371254545453</v>
      </c>
      <c r="CG322" s="541">
        <v>50.358371254545453</v>
      </c>
      <c r="CH322" s="541">
        <v>50.358371254545453</v>
      </c>
      <c r="CI322" s="541">
        <v>50.358371254545453</v>
      </c>
      <c r="CJ322" s="541">
        <v>50.358371254545453</v>
      </c>
      <c r="CK322" s="541">
        <v>50.358371254545453</v>
      </c>
      <c r="CL322" s="541">
        <v>50.358371254545453</v>
      </c>
      <c r="CM322" s="541">
        <v>50.358371254545453</v>
      </c>
      <c r="CN322" s="541">
        <v>50.358371254545453</v>
      </c>
      <c r="CO322" s="541">
        <v>50.358371254545453</v>
      </c>
      <c r="CP322" s="541">
        <v>50.358371254545453</v>
      </c>
      <c r="CQ322" s="541">
        <v>50.358371254545453</v>
      </c>
      <c r="CR322" s="541">
        <v>50.358371254545453</v>
      </c>
      <c r="CS322" s="541">
        <v>50.358371254545453</v>
      </c>
      <c r="CT322" s="541">
        <v>50.358371254545453</v>
      </c>
      <c r="CU322" s="541">
        <v>50.358371254545453</v>
      </c>
      <c r="CV322" s="541">
        <v>50.358371254545453</v>
      </c>
      <c r="CW322" s="541">
        <v>50.358371254545453</v>
      </c>
      <c r="CX322" s="541">
        <v>50.358371254545453</v>
      </c>
      <c r="CY322" s="541">
        <v>50.358371254545453</v>
      </c>
      <c r="CZ322" s="541">
        <v>50.358371254545453</v>
      </c>
      <c r="DA322" s="541">
        <v>50.358371254545453</v>
      </c>
      <c r="DB322" s="541">
        <v>50.358371254545453</v>
      </c>
      <c r="DC322" s="541">
        <v>50.358371254545453</v>
      </c>
      <c r="DD322" s="541">
        <v>50.358371254545453</v>
      </c>
      <c r="DE322" s="541">
        <v>50.358371254545453</v>
      </c>
      <c r="DF322" s="541">
        <v>50.358371254545453</v>
      </c>
      <c r="DG322" s="541">
        <v>50.358371254545453</v>
      </c>
      <c r="DH322" s="541">
        <v>50.358371254545453</v>
      </c>
    </row>
    <row r="323" spans="2:112">
      <c r="B323" t="s">
        <v>1186</v>
      </c>
      <c r="C323" t="s">
        <v>793</v>
      </c>
      <c r="D323" t="s">
        <v>917</v>
      </c>
      <c r="E323" t="s">
        <v>908</v>
      </c>
      <c r="F323" s="541">
        <v>264.94749999999999</v>
      </c>
      <c r="G323" s="541">
        <v>264.94749999999999</v>
      </c>
      <c r="H323" s="541">
        <v>264.94749999999999</v>
      </c>
      <c r="I323" s="541">
        <v>264.94749999999999</v>
      </c>
      <c r="J323" s="541">
        <v>264.94749999999999</v>
      </c>
      <c r="K323" s="541">
        <v>264.94749999999999</v>
      </c>
      <c r="L323" s="541">
        <v>264.94749999999999</v>
      </c>
      <c r="M323" s="541">
        <v>264.94749999999999</v>
      </c>
      <c r="N323" s="541">
        <v>264.94749999999999</v>
      </c>
      <c r="O323" s="541">
        <v>264.94749999999999</v>
      </c>
      <c r="P323" s="541">
        <v>264.94749999999999</v>
      </c>
      <c r="Q323" s="541">
        <v>264.94749999999999</v>
      </c>
      <c r="R323" s="541">
        <v>264.94749999999999</v>
      </c>
      <c r="S323" s="541">
        <v>264.94749999999999</v>
      </c>
      <c r="T323" s="541">
        <v>264.94749999999999</v>
      </c>
      <c r="U323" s="541">
        <v>264.94749999999999</v>
      </c>
      <c r="V323" s="541">
        <v>264.94749999999999</v>
      </c>
      <c r="W323" s="541">
        <v>264.94749999999999</v>
      </c>
      <c r="X323" s="541">
        <v>264.94749999999999</v>
      </c>
      <c r="Y323" s="541">
        <v>264.94749999999999</v>
      </c>
      <c r="Z323" s="541">
        <v>264.94749999999999</v>
      </c>
      <c r="AA323" s="541">
        <v>264.94749999999999</v>
      </c>
      <c r="AB323" s="541">
        <v>264.94749999999999</v>
      </c>
      <c r="AC323" s="541">
        <v>264.94749999999999</v>
      </c>
      <c r="AD323" s="541">
        <v>264.94749999999999</v>
      </c>
      <c r="AE323" s="541">
        <v>264.94749999999999</v>
      </c>
      <c r="AF323" s="541">
        <v>264.94749999999999</v>
      </c>
      <c r="AG323" s="541">
        <v>264.94749999999999</v>
      </c>
      <c r="AH323" s="542">
        <f t="shared" si="235"/>
        <v>264.94749999999999</v>
      </c>
      <c r="AI323" s="542">
        <f t="shared" si="235"/>
        <v>264.94749999999999</v>
      </c>
      <c r="AJ323" s="542">
        <f t="shared" si="235"/>
        <v>264.94749999999999</v>
      </c>
      <c r="AK323" s="542">
        <f t="shared" si="235"/>
        <v>264.94749999999999</v>
      </c>
      <c r="AL323" s="542">
        <f t="shared" si="235"/>
        <v>264.94749999999999</v>
      </c>
      <c r="AM323" s="542">
        <f t="shared" si="235"/>
        <v>264.94749999999999</v>
      </c>
      <c r="AN323" s="542">
        <f t="shared" si="235"/>
        <v>264.94749999999999</v>
      </c>
      <c r="AO323" s="542">
        <f t="shared" si="235"/>
        <v>264.94749999999999</v>
      </c>
      <c r="AP323" s="542">
        <f t="shared" si="235"/>
        <v>264.94749999999999</v>
      </c>
      <c r="AQ323" s="542">
        <f t="shared" si="235"/>
        <v>264.94749999999999</v>
      </c>
      <c r="AR323" s="542">
        <f t="shared" si="235"/>
        <v>264.94749999999999</v>
      </c>
      <c r="AS323" s="542">
        <f t="shared" si="235"/>
        <v>264.94749999999999</v>
      </c>
      <c r="AT323" s="542">
        <f t="shared" si="235"/>
        <v>264.94749999999999</v>
      </c>
      <c r="AU323" s="542">
        <f t="shared" si="235"/>
        <v>264.94749999999999</v>
      </c>
      <c r="AV323" s="542">
        <f t="shared" si="235"/>
        <v>264.94749999999999</v>
      </c>
      <c r="AW323" s="542">
        <f t="shared" si="235"/>
        <v>264.94749999999999</v>
      </c>
      <c r="AX323" s="542">
        <f t="shared" si="234"/>
        <v>264.94749999999999</v>
      </c>
      <c r="AY323" s="542">
        <f t="shared" si="234"/>
        <v>264.94749999999999</v>
      </c>
      <c r="AZ323" s="542">
        <f t="shared" si="234"/>
        <v>264.94749999999999</v>
      </c>
      <c r="BA323" s="542">
        <f t="shared" si="234"/>
        <v>264.94749999999999</v>
      </c>
      <c r="BB323" s="542">
        <f t="shared" si="234"/>
        <v>264.94749999999999</v>
      </c>
      <c r="BC323" s="542">
        <f t="shared" si="234"/>
        <v>264.94749999999999</v>
      </c>
      <c r="BD323" s="542">
        <f t="shared" si="234"/>
        <v>264.94749999999999</v>
      </c>
      <c r="BE323" s="542">
        <f t="shared" si="234"/>
        <v>264.94749999999999</v>
      </c>
      <c r="BF323" s="542">
        <f t="shared" si="234"/>
        <v>264.94749999999999</v>
      </c>
      <c r="BG323" s="542">
        <f t="shared" si="234"/>
        <v>264.94749999999999</v>
      </c>
      <c r="BH323" s="542">
        <f t="shared" si="234"/>
        <v>264.94749999999999</v>
      </c>
      <c r="BI323" s="542">
        <f t="shared" si="234"/>
        <v>264.94749999999999</v>
      </c>
      <c r="BJ323" s="542">
        <f t="shared" si="234"/>
        <v>264.94749999999999</v>
      </c>
      <c r="BK323" s="542">
        <f t="shared" si="234"/>
        <v>264.94749999999999</v>
      </c>
      <c r="BL323" s="542">
        <f t="shared" si="234"/>
        <v>264.94749999999999</v>
      </c>
      <c r="BM323" s="542">
        <f t="shared" si="234"/>
        <v>264.94749999999999</v>
      </c>
      <c r="BN323" s="542">
        <f t="shared" si="234"/>
        <v>264.94749999999999</v>
      </c>
      <c r="BO323" s="542">
        <f t="shared" si="234"/>
        <v>264.94749999999999</v>
      </c>
      <c r="BP323" s="542">
        <f t="shared" si="234"/>
        <v>264.94749999999999</v>
      </c>
      <c r="BQ323" s="542">
        <f t="shared" si="234"/>
        <v>264.94749999999999</v>
      </c>
      <c r="BR323" s="542">
        <f t="shared" si="234"/>
        <v>264.94749999999999</v>
      </c>
      <c r="BS323" s="542">
        <f t="shared" si="234"/>
        <v>264.94749999999999</v>
      </c>
      <c r="BT323" s="542">
        <f t="shared" si="234"/>
        <v>264.94749999999999</v>
      </c>
      <c r="BU323" s="542">
        <f t="shared" si="234"/>
        <v>264.94749999999999</v>
      </c>
      <c r="BV323" s="542">
        <f t="shared" si="234"/>
        <v>264.94749999999999</v>
      </c>
      <c r="BW323" s="542">
        <f t="shared" si="234"/>
        <v>264.94749999999999</v>
      </c>
      <c r="BX323" s="542">
        <f t="shared" si="234"/>
        <v>264.94749999999999</v>
      </c>
      <c r="BY323" s="542">
        <f t="shared" si="234"/>
        <v>264.94749999999999</v>
      </c>
      <c r="BZ323" s="542">
        <f t="shared" si="234"/>
        <v>264.94749999999999</v>
      </c>
      <c r="CA323" s="542">
        <f t="shared" si="234"/>
        <v>264.94749999999999</v>
      </c>
      <c r="CB323" s="542">
        <f t="shared" si="234"/>
        <v>264.94749999999999</v>
      </c>
      <c r="CC323" s="542">
        <f t="shared" si="234"/>
        <v>264.94749999999999</v>
      </c>
      <c r="CD323" s="542">
        <f t="shared" si="234"/>
        <v>264.94749999999999</v>
      </c>
      <c r="CE323" s="542">
        <f t="shared" si="234"/>
        <v>264.94749999999999</v>
      </c>
      <c r="CG323" s="541">
        <v>264.94749999999999</v>
      </c>
      <c r="CH323" s="541">
        <v>264.94749999999999</v>
      </c>
      <c r="CI323" s="541">
        <v>264.94749999999999</v>
      </c>
      <c r="CJ323" s="541">
        <v>264.94749999999999</v>
      </c>
      <c r="CK323" s="541">
        <v>264.94749999999999</v>
      </c>
      <c r="CL323" s="541">
        <v>264.94749999999999</v>
      </c>
      <c r="CM323" s="541">
        <v>264.94749999999999</v>
      </c>
      <c r="CN323" s="541">
        <v>264.94749999999999</v>
      </c>
      <c r="CO323" s="541">
        <v>264.94749999999999</v>
      </c>
      <c r="CP323" s="541">
        <v>264.94749999999999</v>
      </c>
      <c r="CQ323" s="541">
        <v>264.94749999999999</v>
      </c>
      <c r="CR323" s="541">
        <v>264.94749999999999</v>
      </c>
      <c r="CS323" s="541">
        <v>264.94749999999999</v>
      </c>
      <c r="CT323" s="541">
        <v>264.94749999999999</v>
      </c>
      <c r="CU323" s="541">
        <v>264.94749999999999</v>
      </c>
      <c r="CV323" s="541">
        <v>264.94749999999999</v>
      </c>
      <c r="CW323" s="541">
        <v>264.94749999999999</v>
      </c>
      <c r="CX323" s="541">
        <v>264.94749999999999</v>
      </c>
      <c r="CY323" s="541">
        <v>264.94749999999999</v>
      </c>
      <c r="CZ323" s="541">
        <v>264.94749999999999</v>
      </c>
      <c r="DA323" s="541">
        <v>264.94749999999999</v>
      </c>
      <c r="DB323" s="541">
        <v>264.94749999999999</v>
      </c>
      <c r="DC323" s="541">
        <v>264.94749999999999</v>
      </c>
      <c r="DD323" s="541">
        <v>264.94749999999999</v>
      </c>
      <c r="DE323" s="541">
        <v>264.94749999999999</v>
      </c>
      <c r="DF323" s="541">
        <v>264.94749999999999</v>
      </c>
      <c r="DG323" s="541">
        <v>264.94749999999999</v>
      </c>
      <c r="DH323" s="541">
        <v>264.94749999999999</v>
      </c>
    </row>
    <row r="324" spans="2:112">
      <c r="B324" t="s">
        <v>1187</v>
      </c>
      <c r="C324" t="s">
        <v>793</v>
      </c>
      <c r="D324" t="s">
        <v>919</v>
      </c>
      <c r="E324" t="s">
        <v>911</v>
      </c>
      <c r="F324" s="541">
        <v>50.321981254545449</v>
      </c>
      <c r="G324" s="541">
        <v>50.321981254545449</v>
      </c>
      <c r="H324" s="541">
        <v>50.321981254545449</v>
      </c>
      <c r="I324" s="541">
        <v>50.321981254545449</v>
      </c>
      <c r="J324" s="541">
        <v>50.321981254545449</v>
      </c>
      <c r="K324" s="541">
        <v>50.321981254545449</v>
      </c>
      <c r="L324" s="541">
        <v>50.321981254545449</v>
      </c>
      <c r="M324" s="541">
        <v>50.321981254545449</v>
      </c>
      <c r="N324" s="541">
        <v>50.321981254545449</v>
      </c>
      <c r="O324" s="541">
        <v>50.321981254545449</v>
      </c>
      <c r="P324" s="541">
        <v>50.321981254545449</v>
      </c>
      <c r="Q324" s="541">
        <v>50.321981254545449</v>
      </c>
      <c r="R324" s="541">
        <v>50.321981254545449</v>
      </c>
      <c r="S324" s="541">
        <v>50.321981254545449</v>
      </c>
      <c r="T324" s="541">
        <v>50.321981254545449</v>
      </c>
      <c r="U324" s="541">
        <v>50.321981254545449</v>
      </c>
      <c r="V324" s="541">
        <v>50.321981254545449</v>
      </c>
      <c r="W324" s="541">
        <v>50.321981254545449</v>
      </c>
      <c r="X324" s="541">
        <v>50.321981254545449</v>
      </c>
      <c r="Y324" s="541">
        <v>50.321981254545449</v>
      </c>
      <c r="Z324" s="541">
        <v>50.321981254545449</v>
      </c>
      <c r="AA324" s="541">
        <v>50.321981254545449</v>
      </c>
      <c r="AB324" s="541">
        <v>50.321981254545449</v>
      </c>
      <c r="AC324" s="541">
        <v>50.321981254545449</v>
      </c>
      <c r="AD324" s="541">
        <v>50.321981254545449</v>
      </c>
      <c r="AE324" s="541">
        <v>50.321981254545449</v>
      </c>
      <c r="AF324" s="541">
        <v>50.321981254545449</v>
      </c>
      <c r="AG324" s="541">
        <v>50.321981254545449</v>
      </c>
      <c r="AH324" s="542">
        <f t="shared" si="235"/>
        <v>50.321981254545449</v>
      </c>
      <c r="AI324" s="542">
        <f t="shared" si="235"/>
        <v>50.321981254545449</v>
      </c>
      <c r="AJ324" s="542">
        <f t="shared" si="235"/>
        <v>50.321981254545449</v>
      </c>
      <c r="AK324" s="542">
        <f t="shared" si="235"/>
        <v>50.321981254545449</v>
      </c>
      <c r="AL324" s="542">
        <f t="shared" si="235"/>
        <v>50.321981254545449</v>
      </c>
      <c r="AM324" s="542">
        <f t="shared" si="235"/>
        <v>50.321981254545449</v>
      </c>
      <c r="AN324" s="542">
        <f t="shared" si="235"/>
        <v>50.321981254545449</v>
      </c>
      <c r="AO324" s="542">
        <f t="shared" si="235"/>
        <v>50.321981254545449</v>
      </c>
      <c r="AP324" s="542">
        <f t="shared" si="235"/>
        <v>50.321981254545449</v>
      </c>
      <c r="AQ324" s="542">
        <f t="shared" si="235"/>
        <v>50.321981254545449</v>
      </c>
      <c r="AR324" s="542">
        <f t="shared" si="235"/>
        <v>50.321981254545449</v>
      </c>
      <c r="AS324" s="542">
        <f t="shared" si="235"/>
        <v>50.321981254545449</v>
      </c>
      <c r="AT324" s="542">
        <f t="shared" si="235"/>
        <v>50.321981254545449</v>
      </c>
      <c r="AU324" s="542">
        <f t="shared" si="235"/>
        <v>50.321981254545449</v>
      </c>
      <c r="AV324" s="542">
        <f t="shared" si="235"/>
        <v>50.321981254545449</v>
      </c>
      <c r="AW324" s="542">
        <f t="shared" si="235"/>
        <v>50.321981254545449</v>
      </c>
      <c r="AX324" s="542">
        <f t="shared" si="234"/>
        <v>50.321981254545449</v>
      </c>
      <c r="AY324" s="542">
        <f t="shared" si="234"/>
        <v>50.321981254545449</v>
      </c>
      <c r="AZ324" s="542">
        <f t="shared" si="234"/>
        <v>50.321981254545449</v>
      </c>
      <c r="BA324" s="542">
        <f t="shared" si="234"/>
        <v>50.321981254545449</v>
      </c>
      <c r="BB324" s="542">
        <f t="shared" si="234"/>
        <v>50.321981254545449</v>
      </c>
      <c r="BC324" s="542">
        <f t="shared" si="234"/>
        <v>50.321981254545449</v>
      </c>
      <c r="BD324" s="542">
        <f t="shared" si="234"/>
        <v>50.321981254545449</v>
      </c>
      <c r="BE324" s="542">
        <f t="shared" si="234"/>
        <v>50.321981254545449</v>
      </c>
      <c r="BF324" s="542">
        <f t="shared" si="234"/>
        <v>50.321981254545449</v>
      </c>
      <c r="BG324" s="542">
        <f t="shared" si="234"/>
        <v>50.321981254545449</v>
      </c>
      <c r="BH324" s="542">
        <f t="shared" si="234"/>
        <v>50.321981254545449</v>
      </c>
      <c r="BI324" s="542">
        <f t="shared" si="234"/>
        <v>50.321981254545449</v>
      </c>
      <c r="BJ324" s="542">
        <f t="shared" si="234"/>
        <v>50.321981254545449</v>
      </c>
      <c r="BK324" s="542">
        <f t="shared" si="234"/>
        <v>50.321981254545449</v>
      </c>
      <c r="BL324" s="542">
        <f t="shared" si="234"/>
        <v>50.321981254545449</v>
      </c>
      <c r="BM324" s="542">
        <f t="shared" si="234"/>
        <v>50.321981254545449</v>
      </c>
      <c r="BN324" s="542">
        <f t="shared" si="234"/>
        <v>50.321981254545449</v>
      </c>
      <c r="BO324" s="542">
        <f t="shared" si="234"/>
        <v>50.321981254545449</v>
      </c>
      <c r="BP324" s="542">
        <f t="shared" si="234"/>
        <v>50.321981254545449</v>
      </c>
      <c r="BQ324" s="542">
        <f t="shared" si="234"/>
        <v>50.321981254545449</v>
      </c>
      <c r="BR324" s="542">
        <f t="shared" si="234"/>
        <v>50.321981254545449</v>
      </c>
      <c r="BS324" s="542">
        <f t="shared" si="234"/>
        <v>50.321981254545449</v>
      </c>
      <c r="BT324" s="542">
        <f t="shared" si="234"/>
        <v>50.321981254545449</v>
      </c>
      <c r="BU324" s="542">
        <f t="shared" si="234"/>
        <v>50.321981254545449</v>
      </c>
      <c r="BV324" s="542">
        <f t="shared" si="234"/>
        <v>50.321981254545449</v>
      </c>
      <c r="BW324" s="542">
        <f t="shared" si="234"/>
        <v>50.321981254545449</v>
      </c>
      <c r="BX324" s="542">
        <f t="shared" si="234"/>
        <v>50.321981254545449</v>
      </c>
      <c r="BY324" s="542">
        <f t="shared" si="234"/>
        <v>50.321981254545449</v>
      </c>
      <c r="BZ324" s="542">
        <f t="shared" si="234"/>
        <v>50.321981254545449</v>
      </c>
      <c r="CA324" s="542">
        <f t="shared" si="234"/>
        <v>50.321981254545449</v>
      </c>
      <c r="CB324" s="542">
        <f t="shared" si="234"/>
        <v>50.321981254545449</v>
      </c>
      <c r="CC324" s="542">
        <f t="shared" si="234"/>
        <v>50.321981254545449</v>
      </c>
      <c r="CD324" s="542">
        <f t="shared" si="234"/>
        <v>50.321981254545449</v>
      </c>
      <c r="CE324" s="542">
        <f t="shared" si="234"/>
        <v>50.321981254545449</v>
      </c>
      <c r="CG324" s="541">
        <v>50.321981254545449</v>
      </c>
      <c r="CH324" s="541">
        <v>50.321981254545449</v>
      </c>
      <c r="CI324" s="541">
        <v>50.321981254545449</v>
      </c>
      <c r="CJ324" s="541">
        <v>50.321981254545449</v>
      </c>
      <c r="CK324" s="541">
        <v>50.321981254545449</v>
      </c>
      <c r="CL324" s="541">
        <v>50.321981254545449</v>
      </c>
      <c r="CM324" s="541">
        <v>50.321981254545449</v>
      </c>
      <c r="CN324" s="541">
        <v>50.321981254545449</v>
      </c>
      <c r="CO324" s="541">
        <v>50.321981254545449</v>
      </c>
      <c r="CP324" s="541">
        <v>50.321981254545449</v>
      </c>
      <c r="CQ324" s="541">
        <v>50.321981254545449</v>
      </c>
      <c r="CR324" s="541">
        <v>50.321981254545449</v>
      </c>
      <c r="CS324" s="541">
        <v>50.321981254545449</v>
      </c>
      <c r="CT324" s="541">
        <v>50.321981254545449</v>
      </c>
      <c r="CU324" s="541">
        <v>50.321981254545449</v>
      </c>
      <c r="CV324" s="541">
        <v>50.321981254545449</v>
      </c>
      <c r="CW324" s="541">
        <v>50.321981254545449</v>
      </c>
      <c r="CX324" s="541">
        <v>50.321981254545449</v>
      </c>
      <c r="CY324" s="541">
        <v>50.321981254545449</v>
      </c>
      <c r="CZ324" s="541">
        <v>50.321981254545449</v>
      </c>
      <c r="DA324" s="541">
        <v>50.321981254545449</v>
      </c>
      <c r="DB324" s="541">
        <v>50.321981254545449</v>
      </c>
      <c r="DC324" s="541">
        <v>50.321981254545449</v>
      </c>
      <c r="DD324" s="541">
        <v>50.321981254545449</v>
      </c>
      <c r="DE324" s="541">
        <v>50.321981254545449</v>
      </c>
      <c r="DF324" s="541">
        <v>50.321981254545449</v>
      </c>
      <c r="DG324" s="541">
        <v>50.321981254545449</v>
      </c>
      <c r="DH324" s="541">
        <v>50.321981254545449</v>
      </c>
    </row>
    <row r="325" spans="2:112">
      <c r="B325" t="s">
        <v>1188</v>
      </c>
      <c r="C325" t="s">
        <v>793</v>
      </c>
      <c r="D325" t="s">
        <v>921</v>
      </c>
      <c r="E325" t="s">
        <v>908</v>
      </c>
      <c r="F325" s="541">
        <v>266.26049999999998</v>
      </c>
      <c r="G325" s="541">
        <v>266.26049999999998</v>
      </c>
      <c r="H325" s="541">
        <v>266.26049999999998</v>
      </c>
      <c r="I325" s="541">
        <v>266.26049999999998</v>
      </c>
      <c r="J325" s="541">
        <v>266.26049999999998</v>
      </c>
      <c r="K325" s="541">
        <v>266.26049999999998</v>
      </c>
      <c r="L325" s="541">
        <v>266.26049999999998</v>
      </c>
      <c r="M325" s="541">
        <v>266.26049999999998</v>
      </c>
      <c r="N325" s="541">
        <v>266.26049999999998</v>
      </c>
      <c r="O325" s="541">
        <v>266.26049999999998</v>
      </c>
      <c r="P325" s="541">
        <v>266.26049999999998</v>
      </c>
      <c r="Q325" s="541">
        <v>266.26049999999998</v>
      </c>
      <c r="R325" s="541">
        <v>266.26049999999998</v>
      </c>
      <c r="S325" s="541">
        <v>266.26049999999998</v>
      </c>
      <c r="T325" s="541">
        <v>266.26049999999998</v>
      </c>
      <c r="U325" s="541">
        <v>266.26049999999998</v>
      </c>
      <c r="V325" s="541">
        <v>266.26049999999998</v>
      </c>
      <c r="W325" s="541">
        <v>266.26049999999998</v>
      </c>
      <c r="X325" s="541">
        <v>266.26049999999998</v>
      </c>
      <c r="Y325" s="541">
        <v>266.26049999999998</v>
      </c>
      <c r="Z325" s="541">
        <v>266.26049999999998</v>
      </c>
      <c r="AA325" s="541">
        <v>266.26049999999998</v>
      </c>
      <c r="AB325" s="541">
        <v>266.26049999999998</v>
      </c>
      <c r="AC325" s="541">
        <v>266.26049999999998</v>
      </c>
      <c r="AD325" s="541">
        <v>266.26049999999998</v>
      </c>
      <c r="AE325" s="541">
        <v>266.26049999999998</v>
      </c>
      <c r="AF325" s="541">
        <v>266.26049999999998</v>
      </c>
      <c r="AG325" s="541">
        <v>266.26049999999998</v>
      </c>
      <c r="AH325" s="542">
        <f t="shared" si="235"/>
        <v>266.26049999999998</v>
      </c>
      <c r="AI325" s="542">
        <f t="shared" si="235"/>
        <v>266.26049999999998</v>
      </c>
      <c r="AJ325" s="542">
        <f t="shared" si="235"/>
        <v>266.26049999999998</v>
      </c>
      <c r="AK325" s="542">
        <f t="shared" si="235"/>
        <v>266.26049999999998</v>
      </c>
      <c r="AL325" s="542">
        <f t="shared" si="235"/>
        <v>266.26049999999998</v>
      </c>
      <c r="AM325" s="542">
        <f t="shared" si="235"/>
        <v>266.26049999999998</v>
      </c>
      <c r="AN325" s="542">
        <f t="shared" si="235"/>
        <v>266.26049999999998</v>
      </c>
      <c r="AO325" s="542">
        <f t="shared" si="235"/>
        <v>266.26049999999998</v>
      </c>
      <c r="AP325" s="542">
        <f t="shared" si="235"/>
        <v>266.26049999999998</v>
      </c>
      <c r="AQ325" s="542">
        <f t="shared" si="235"/>
        <v>266.26049999999998</v>
      </c>
      <c r="AR325" s="542">
        <f t="shared" si="235"/>
        <v>266.26049999999998</v>
      </c>
      <c r="AS325" s="542">
        <f t="shared" si="235"/>
        <v>266.26049999999998</v>
      </c>
      <c r="AT325" s="542">
        <f t="shared" si="235"/>
        <v>266.26049999999998</v>
      </c>
      <c r="AU325" s="542">
        <f t="shared" si="235"/>
        <v>266.26049999999998</v>
      </c>
      <c r="AV325" s="542">
        <f t="shared" si="235"/>
        <v>266.26049999999998</v>
      </c>
      <c r="AW325" s="542">
        <f t="shared" si="235"/>
        <v>266.26049999999998</v>
      </c>
      <c r="AX325" s="542">
        <f t="shared" si="234"/>
        <v>266.26049999999998</v>
      </c>
      <c r="AY325" s="542">
        <f t="shared" si="234"/>
        <v>266.26049999999998</v>
      </c>
      <c r="AZ325" s="542">
        <f t="shared" si="234"/>
        <v>266.26049999999998</v>
      </c>
      <c r="BA325" s="542">
        <f t="shared" si="234"/>
        <v>266.26049999999998</v>
      </c>
      <c r="BB325" s="542">
        <f t="shared" si="234"/>
        <v>266.26049999999998</v>
      </c>
      <c r="BC325" s="542">
        <f t="shared" si="234"/>
        <v>266.26049999999998</v>
      </c>
      <c r="BD325" s="542">
        <f t="shared" si="234"/>
        <v>266.26049999999998</v>
      </c>
      <c r="BE325" s="542">
        <f t="shared" si="234"/>
        <v>266.26049999999998</v>
      </c>
      <c r="BF325" s="542">
        <f t="shared" si="234"/>
        <v>266.26049999999998</v>
      </c>
      <c r="BG325" s="542">
        <f t="shared" si="234"/>
        <v>266.26049999999998</v>
      </c>
      <c r="BH325" s="542">
        <f t="shared" si="234"/>
        <v>266.26049999999998</v>
      </c>
      <c r="BI325" s="542">
        <f t="shared" si="234"/>
        <v>266.26049999999998</v>
      </c>
      <c r="BJ325" s="542">
        <f t="shared" si="234"/>
        <v>266.26049999999998</v>
      </c>
      <c r="BK325" s="542">
        <f t="shared" si="234"/>
        <v>266.26049999999998</v>
      </c>
      <c r="BL325" s="542">
        <f t="shared" si="234"/>
        <v>266.26049999999998</v>
      </c>
      <c r="BM325" s="542">
        <f t="shared" si="234"/>
        <v>266.26049999999998</v>
      </c>
      <c r="BN325" s="542">
        <f t="shared" si="234"/>
        <v>266.26049999999998</v>
      </c>
      <c r="BO325" s="542">
        <f t="shared" si="234"/>
        <v>266.26049999999998</v>
      </c>
      <c r="BP325" s="542">
        <f t="shared" si="234"/>
        <v>266.26049999999998</v>
      </c>
      <c r="BQ325" s="542">
        <f t="shared" si="234"/>
        <v>266.26049999999998</v>
      </c>
      <c r="BR325" s="542">
        <f t="shared" si="234"/>
        <v>266.26049999999998</v>
      </c>
      <c r="BS325" s="542">
        <f t="shared" si="234"/>
        <v>266.26049999999998</v>
      </c>
      <c r="BT325" s="542">
        <f t="shared" si="234"/>
        <v>266.26049999999998</v>
      </c>
      <c r="BU325" s="542">
        <f t="shared" si="234"/>
        <v>266.26049999999998</v>
      </c>
      <c r="BV325" s="542">
        <f t="shared" si="234"/>
        <v>266.26049999999998</v>
      </c>
      <c r="BW325" s="542">
        <f t="shared" si="234"/>
        <v>266.26049999999998</v>
      </c>
      <c r="BX325" s="542">
        <f t="shared" si="234"/>
        <v>266.26049999999998</v>
      </c>
      <c r="BY325" s="542">
        <f t="shared" si="234"/>
        <v>266.26049999999998</v>
      </c>
      <c r="BZ325" s="542">
        <f t="shared" si="234"/>
        <v>266.26049999999998</v>
      </c>
      <c r="CA325" s="542">
        <f t="shared" si="234"/>
        <v>266.26049999999998</v>
      </c>
      <c r="CB325" s="542">
        <f t="shared" si="234"/>
        <v>266.26049999999998</v>
      </c>
      <c r="CC325" s="542">
        <f t="shared" si="234"/>
        <v>266.26049999999998</v>
      </c>
      <c r="CD325" s="542">
        <f t="shared" si="234"/>
        <v>266.26049999999998</v>
      </c>
      <c r="CE325" s="542">
        <f t="shared" si="234"/>
        <v>266.26049999999998</v>
      </c>
      <c r="CG325" s="541">
        <v>266.26049999999998</v>
      </c>
      <c r="CH325" s="541">
        <v>266.26049999999998</v>
      </c>
      <c r="CI325" s="541">
        <v>266.26049999999998</v>
      </c>
      <c r="CJ325" s="541">
        <v>266.26049999999998</v>
      </c>
      <c r="CK325" s="541">
        <v>266.26049999999998</v>
      </c>
      <c r="CL325" s="541">
        <v>266.26049999999998</v>
      </c>
      <c r="CM325" s="541">
        <v>266.26049999999998</v>
      </c>
      <c r="CN325" s="541">
        <v>266.26049999999998</v>
      </c>
      <c r="CO325" s="541">
        <v>266.26049999999998</v>
      </c>
      <c r="CP325" s="541">
        <v>266.26049999999998</v>
      </c>
      <c r="CQ325" s="541">
        <v>266.26049999999998</v>
      </c>
      <c r="CR325" s="541">
        <v>266.26049999999998</v>
      </c>
      <c r="CS325" s="541">
        <v>266.26049999999998</v>
      </c>
      <c r="CT325" s="541">
        <v>266.26049999999998</v>
      </c>
      <c r="CU325" s="541">
        <v>266.26049999999998</v>
      </c>
      <c r="CV325" s="541">
        <v>266.26049999999998</v>
      </c>
      <c r="CW325" s="541">
        <v>266.26049999999998</v>
      </c>
      <c r="CX325" s="541">
        <v>266.26049999999998</v>
      </c>
      <c r="CY325" s="541">
        <v>266.26049999999998</v>
      </c>
      <c r="CZ325" s="541">
        <v>266.26049999999998</v>
      </c>
      <c r="DA325" s="541">
        <v>266.26049999999998</v>
      </c>
      <c r="DB325" s="541">
        <v>266.26049999999998</v>
      </c>
      <c r="DC325" s="541">
        <v>266.26049999999998</v>
      </c>
      <c r="DD325" s="541">
        <v>266.26049999999998</v>
      </c>
      <c r="DE325" s="541">
        <v>266.26049999999998</v>
      </c>
      <c r="DF325" s="541">
        <v>266.26049999999998</v>
      </c>
      <c r="DG325" s="541">
        <v>266.26049999999998</v>
      </c>
      <c r="DH325" s="541">
        <v>266.26049999999998</v>
      </c>
    </row>
    <row r="326" spans="2:112">
      <c r="B326" t="s">
        <v>1189</v>
      </c>
      <c r="C326" t="s">
        <v>793</v>
      </c>
      <c r="D326" t="s">
        <v>923</v>
      </c>
      <c r="E326" t="s">
        <v>911</v>
      </c>
      <c r="F326" s="541">
        <v>50.335111254545453</v>
      </c>
      <c r="G326" s="541">
        <v>50.335111254545453</v>
      </c>
      <c r="H326" s="541">
        <v>50.335111254545453</v>
      </c>
      <c r="I326" s="541">
        <v>50.335111254545453</v>
      </c>
      <c r="J326" s="541">
        <v>50.335111254545453</v>
      </c>
      <c r="K326" s="541">
        <v>50.335111254545453</v>
      </c>
      <c r="L326" s="541">
        <v>50.335111254545453</v>
      </c>
      <c r="M326" s="541">
        <v>50.335111254545453</v>
      </c>
      <c r="N326" s="541">
        <v>50.335111254545453</v>
      </c>
      <c r="O326" s="541">
        <v>50.335111254545453</v>
      </c>
      <c r="P326" s="541">
        <v>50.335111254545453</v>
      </c>
      <c r="Q326" s="541">
        <v>50.335111254545453</v>
      </c>
      <c r="R326" s="541">
        <v>50.335111254545453</v>
      </c>
      <c r="S326" s="541">
        <v>50.335111254545453</v>
      </c>
      <c r="T326" s="541">
        <v>50.335111254545453</v>
      </c>
      <c r="U326" s="541">
        <v>50.335111254545453</v>
      </c>
      <c r="V326" s="541">
        <v>50.335111254545453</v>
      </c>
      <c r="W326" s="541">
        <v>50.335111254545453</v>
      </c>
      <c r="X326" s="541">
        <v>50.335111254545453</v>
      </c>
      <c r="Y326" s="541">
        <v>50.335111254545453</v>
      </c>
      <c r="Z326" s="541">
        <v>50.335111254545453</v>
      </c>
      <c r="AA326" s="541">
        <v>50.335111254545453</v>
      </c>
      <c r="AB326" s="541">
        <v>50.335111254545453</v>
      </c>
      <c r="AC326" s="541">
        <v>50.335111254545453</v>
      </c>
      <c r="AD326" s="541">
        <v>50.335111254545453</v>
      </c>
      <c r="AE326" s="541">
        <v>50.335111254545453</v>
      </c>
      <c r="AF326" s="541">
        <v>50.335111254545453</v>
      </c>
      <c r="AG326" s="541">
        <v>50.335111254545453</v>
      </c>
      <c r="AH326" s="542">
        <f t="shared" si="235"/>
        <v>50.335111254545453</v>
      </c>
      <c r="AI326" s="542">
        <f t="shared" si="235"/>
        <v>50.335111254545453</v>
      </c>
      <c r="AJ326" s="542">
        <f t="shared" si="235"/>
        <v>50.335111254545453</v>
      </c>
      <c r="AK326" s="542">
        <f t="shared" si="235"/>
        <v>50.335111254545453</v>
      </c>
      <c r="AL326" s="542">
        <f t="shared" si="235"/>
        <v>50.335111254545453</v>
      </c>
      <c r="AM326" s="542">
        <f t="shared" si="235"/>
        <v>50.335111254545453</v>
      </c>
      <c r="AN326" s="542">
        <f t="shared" si="235"/>
        <v>50.335111254545453</v>
      </c>
      <c r="AO326" s="542">
        <f t="shared" si="235"/>
        <v>50.335111254545453</v>
      </c>
      <c r="AP326" s="542">
        <f t="shared" si="235"/>
        <v>50.335111254545453</v>
      </c>
      <c r="AQ326" s="542">
        <f t="shared" si="235"/>
        <v>50.335111254545453</v>
      </c>
      <c r="AR326" s="542">
        <f t="shared" si="235"/>
        <v>50.335111254545453</v>
      </c>
      <c r="AS326" s="542">
        <f t="shared" si="235"/>
        <v>50.335111254545453</v>
      </c>
      <c r="AT326" s="542">
        <f t="shared" si="235"/>
        <v>50.335111254545453</v>
      </c>
      <c r="AU326" s="542">
        <f t="shared" si="235"/>
        <v>50.335111254545453</v>
      </c>
      <c r="AV326" s="542">
        <f t="shared" si="235"/>
        <v>50.335111254545453</v>
      </c>
      <c r="AW326" s="542">
        <f t="shared" si="235"/>
        <v>50.335111254545453</v>
      </c>
      <c r="AX326" s="542">
        <f t="shared" si="234"/>
        <v>50.335111254545453</v>
      </c>
      <c r="AY326" s="542">
        <f t="shared" si="234"/>
        <v>50.335111254545453</v>
      </c>
      <c r="AZ326" s="542">
        <f t="shared" si="234"/>
        <v>50.335111254545453</v>
      </c>
      <c r="BA326" s="542">
        <f t="shared" si="234"/>
        <v>50.335111254545453</v>
      </c>
      <c r="BB326" s="542">
        <f t="shared" si="234"/>
        <v>50.335111254545453</v>
      </c>
      <c r="BC326" s="542">
        <f t="shared" si="234"/>
        <v>50.335111254545453</v>
      </c>
      <c r="BD326" s="542">
        <f t="shared" si="234"/>
        <v>50.335111254545453</v>
      </c>
      <c r="BE326" s="542">
        <f t="shared" si="234"/>
        <v>50.335111254545453</v>
      </c>
      <c r="BF326" s="542">
        <f t="shared" si="234"/>
        <v>50.335111254545453</v>
      </c>
      <c r="BG326" s="542">
        <f t="shared" si="234"/>
        <v>50.335111254545453</v>
      </c>
      <c r="BH326" s="542">
        <f t="shared" si="234"/>
        <v>50.335111254545453</v>
      </c>
      <c r="BI326" s="542">
        <f t="shared" si="234"/>
        <v>50.335111254545453</v>
      </c>
      <c r="BJ326" s="542">
        <f t="shared" si="234"/>
        <v>50.335111254545453</v>
      </c>
      <c r="BK326" s="542">
        <f t="shared" si="234"/>
        <v>50.335111254545453</v>
      </c>
      <c r="BL326" s="542">
        <f t="shared" si="234"/>
        <v>50.335111254545453</v>
      </c>
      <c r="BM326" s="542">
        <f t="shared" si="234"/>
        <v>50.335111254545453</v>
      </c>
      <c r="BN326" s="542">
        <f t="shared" si="234"/>
        <v>50.335111254545453</v>
      </c>
      <c r="BO326" s="542">
        <f t="shared" si="234"/>
        <v>50.335111254545453</v>
      </c>
      <c r="BP326" s="542">
        <f t="shared" si="234"/>
        <v>50.335111254545453</v>
      </c>
      <c r="BQ326" s="542">
        <f t="shared" si="234"/>
        <v>50.335111254545453</v>
      </c>
      <c r="BR326" s="542">
        <f t="shared" si="234"/>
        <v>50.335111254545453</v>
      </c>
      <c r="BS326" s="542">
        <f t="shared" si="234"/>
        <v>50.335111254545453</v>
      </c>
      <c r="BT326" s="542">
        <f t="shared" si="234"/>
        <v>50.335111254545453</v>
      </c>
      <c r="BU326" s="542">
        <f t="shared" si="234"/>
        <v>50.335111254545453</v>
      </c>
      <c r="BV326" s="542">
        <f t="shared" si="234"/>
        <v>50.335111254545453</v>
      </c>
      <c r="BW326" s="542">
        <f t="shared" si="234"/>
        <v>50.335111254545453</v>
      </c>
      <c r="BX326" s="542">
        <f t="shared" si="234"/>
        <v>50.335111254545453</v>
      </c>
      <c r="BY326" s="542">
        <f t="shared" si="234"/>
        <v>50.335111254545453</v>
      </c>
      <c r="BZ326" s="542">
        <f t="shared" si="234"/>
        <v>50.335111254545453</v>
      </c>
      <c r="CA326" s="542">
        <f t="shared" si="234"/>
        <v>50.335111254545453</v>
      </c>
      <c r="CB326" s="542">
        <f t="shared" si="234"/>
        <v>50.335111254545453</v>
      </c>
      <c r="CC326" s="542">
        <f t="shared" si="234"/>
        <v>50.335111254545453</v>
      </c>
      <c r="CD326" s="542">
        <f t="shared" si="234"/>
        <v>50.335111254545453</v>
      </c>
      <c r="CE326" s="542">
        <f t="shared" si="234"/>
        <v>50.335111254545453</v>
      </c>
      <c r="CG326" s="541">
        <v>50.335111254545453</v>
      </c>
      <c r="CH326" s="541">
        <v>50.335111254545453</v>
      </c>
      <c r="CI326" s="541">
        <v>50.335111254545453</v>
      </c>
      <c r="CJ326" s="541">
        <v>50.335111254545453</v>
      </c>
      <c r="CK326" s="541">
        <v>50.335111254545453</v>
      </c>
      <c r="CL326" s="541">
        <v>50.335111254545453</v>
      </c>
      <c r="CM326" s="541">
        <v>50.335111254545453</v>
      </c>
      <c r="CN326" s="541">
        <v>50.335111254545453</v>
      </c>
      <c r="CO326" s="541">
        <v>50.335111254545453</v>
      </c>
      <c r="CP326" s="541">
        <v>50.335111254545453</v>
      </c>
      <c r="CQ326" s="541">
        <v>50.335111254545453</v>
      </c>
      <c r="CR326" s="541">
        <v>50.335111254545453</v>
      </c>
      <c r="CS326" s="541">
        <v>50.335111254545453</v>
      </c>
      <c r="CT326" s="541">
        <v>50.335111254545453</v>
      </c>
      <c r="CU326" s="541">
        <v>50.335111254545453</v>
      </c>
      <c r="CV326" s="541">
        <v>50.335111254545453</v>
      </c>
      <c r="CW326" s="541">
        <v>50.335111254545453</v>
      </c>
      <c r="CX326" s="541">
        <v>50.335111254545453</v>
      </c>
      <c r="CY326" s="541">
        <v>50.335111254545453</v>
      </c>
      <c r="CZ326" s="541">
        <v>50.335111254545453</v>
      </c>
      <c r="DA326" s="541">
        <v>50.335111254545453</v>
      </c>
      <c r="DB326" s="541">
        <v>50.335111254545453</v>
      </c>
      <c r="DC326" s="541">
        <v>50.335111254545453</v>
      </c>
      <c r="DD326" s="541">
        <v>50.335111254545453</v>
      </c>
      <c r="DE326" s="541">
        <v>50.335111254545453</v>
      </c>
      <c r="DF326" s="541">
        <v>50.335111254545453</v>
      </c>
      <c r="DG326" s="541">
        <v>50.335111254545453</v>
      </c>
      <c r="DH326" s="541">
        <v>50.335111254545453</v>
      </c>
    </row>
    <row r="327" spans="2:112">
      <c r="B327" t="s">
        <v>924</v>
      </c>
    </row>
    <row r="328" spans="2:112" ht="15">
      <c r="B328" t="s">
        <v>1190</v>
      </c>
      <c r="C328" s="485" t="s">
        <v>800</v>
      </c>
      <c r="D328" s="485" t="s">
        <v>877</v>
      </c>
      <c r="E328" s="485" t="s">
        <v>111</v>
      </c>
      <c r="F328" s="486">
        <f>2023</f>
        <v>2023</v>
      </c>
      <c r="G328" s="486">
        <f>F328+1</f>
        <v>2024</v>
      </c>
      <c r="H328" s="486">
        <f t="shared" ref="H328:AG328" si="236">G328+1</f>
        <v>2025</v>
      </c>
      <c r="I328" s="486">
        <f t="shared" si="236"/>
        <v>2026</v>
      </c>
      <c r="J328" s="486">
        <f t="shared" si="236"/>
        <v>2027</v>
      </c>
      <c r="K328" s="486">
        <f t="shared" si="236"/>
        <v>2028</v>
      </c>
      <c r="L328" s="486">
        <f t="shared" si="236"/>
        <v>2029</v>
      </c>
      <c r="M328" s="486">
        <f t="shared" si="236"/>
        <v>2030</v>
      </c>
      <c r="N328" s="486">
        <f t="shared" si="236"/>
        <v>2031</v>
      </c>
      <c r="O328" s="486">
        <f t="shared" si="236"/>
        <v>2032</v>
      </c>
      <c r="P328" s="486">
        <f t="shared" si="236"/>
        <v>2033</v>
      </c>
      <c r="Q328" s="486">
        <f t="shared" si="236"/>
        <v>2034</v>
      </c>
      <c r="R328" s="486">
        <f t="shared" si="236"/>
        <v>2035</v>
      </c>
      <c r="S328" s="486">
        <f t="shared" si="236"/>
        <v>2036</v>
      </c>
      <c r="T328" s="486">
        <f t="shared" si="236"/>
        <v>2037</v>
      </c>
      <c r="U328" s="486">
        <f t="shared" si="236"/>
        <v>2038</v>
      </c>
      <c r="V328" s="486">
        <f t="shared" si="236"/>
        <v>2039</v>
      </c>
      <c r="W328" s="486">
        <f t="shared" si="236"/>
        <v>2040</v>
      </c>
      <c r="X328" s="486">
        <f t="shared" si="236"/>
        <v>2041</v>
      </c>
      <c r="Y328" s="486">
        <f t="shared" si="236"/>
        <v>2042</v>
      </c>
      <c r="Z328" s="486">
        <f t="shared" si="236"/>
        <v>2043</v>
      </c>
      <c r="AA328" s="486">
        <f t="shared" si="236"/>
        <v>2044</v>
      </c>
      <c r="AB328" s="486">
        <f t="shared" si="236"/>
        <v>2045</v>
      </c>
      <c r="AC328" s="486">
        <f t="shared" si="236"/>
        <v>2046</v>
      </c>
      <c r="AD328" s="486">
        <f t="shared" si="236"/>
        <v>2047</v>
      </c>
      <c r="AE328" s="486">
        <f t="shared" si="236"/>
        <v>2048</v>
      </c>
      <c r="AF328" s="486">
        <f t="shared" si="236"/>
        <v>2049</v>
      </c>
      <c r="AG328" s="486">
        <f t="shared" si="236"/>
        <v>2050</v>
      </c>
      <c r="AH328" s="524">
        <f>AG328+1</f>
        <v>2051</v>
      </c>
      <c r="AI328" s="524">
        <f t="shared" ref="AI328:CE328" si="237">AH328+1</f>
        <v>2052</v>
      </c>
      <c r="AJ328" s="524">
        <f t="shared" si="237"/>
        <v>2053</v>
      </c>
      <c r="AK328" s="524">
        <f t="shared" si="237"/>
        <v>2054</v>
      </c>
      <c r="AL328" s="524">
        <f t="shared" si="237"/>
        <v>2055</v>
      </c>
      <c r="AM328" s="524">
        <f t="shared" si="237"/>
        <v>2056</v>
      </c>
      <c r="AN328" s="524">
        <f t="shared" si="237"/>
        <v>2057</v>
      </c>
      <c r="AO328" s="524">
        <f t="shared" si="237"/>
        <v>2058</v>
      </c>
      <c r="AP328" s="524">
        <f t="shared" si="237"/>
        <v>2059</v>
      </c>
      <c r="AQ328" s="524">
        <f t="shared" si="237"/>
        <v>2060</v>
      </c>
      <c r="AR328" s="524">
        <f t="shared" si="237"/>
        <v>2061</v>
      </c>
      <c r="AS328" s="524">
        <f t="shared" si="237"/>
        <v>2062</v>
      </c>
      <c r="AT328" s="524">
        <f t="shared" si="237"/>
        <v>2063</v>
      </c>
      <c r="AU328" s="524">
        <f t="shared" si="237"/>
        <v>2064</v>
      </c>
      <c r="AV328" s="524">
        <f t="shared" si="237"/>
        <v>2065</v>
      </c>
      <c r="AW328" s="524">
        <f t="shared" si="237"/>
        <v>2066</v>
      </c>
      <c r="AX328" s="524">
        <f t="shared" si="237"/>
        <v>2067</v>
      </c>
      <c r="AY328" s="524">
        <f t="shared" si="237"/>
        <v>2068</v>
      </c>
      <c r="AZ328" s="524">
        <f t="shared" si="237"/>
        <v>2069</v>
      </c>
      <c r="BA328" s="524">
        <f t="shared" si="237"/>
        <v>2070</v>
      </c>
      <c r="BB328" s="524">
        <f t="shared" si="237"/>
        <v>2071</v>
      </c>
      <c r="BC328" s="524">
        <f t="shared" si="237"/>
        <v>2072</v>
      </c>
      <c r="BD328" s="524">
        <f t="shared" si="237"/>
        <v>2073</v>
      </c>
      <c r="BE328" s="524">
        <f t="shared" si="237"/>
        <v>2074</v>
      </c>
      <c r="BF328" s="524">
        <f t="shared" si="237"/>
        <v>2075</v>
      </c>
      <c r="BG328" s="524">
        <f t="shared" si="237"/>
        <v>2076</v>
      </c>
      <c r="BH328" s="524">
        <f t="shared" si="237"/>
        <v>2077</v>
      </c>
      <c r="BI328" s="524">
        <f t="shared" si="237"/>
        <v>2078</v>
      </c>
      <c r="BJ328" s="524">
        <f t="shared" si="237"/>
        <v>2079</v>
      </c>
      <c r="BK328" s="524">
        <f t="shared" si="237"/>
        <v>2080</v>
      </c>
      <c r="BL328" s="524">
        <f t="shared" si="237"/>
        <v>2081</v>
      </c>
      <c r="BM328" s="524">
        <f t="shared" si="237"/>
        <v>2082</v>
      </c>
      <c r="BN328" s="524">
        <f t="shared" si="237"/>
        <v>2083</v>
      </c>
      <c r="BO328" s="524">
        <f t="shared" si="237"/>
        <v>2084</v>
      </c>
      <c r="BP328" s="524">
        <f t="shared" si="237"/>
        <v>2085</v>
      </c>
      <c r="BQ328" s="524">
        <f t="shared" si="237"/>
        <v>2086</v>
      </c>
      <c r="BR328" s="524">
        <f t="shared" si="237"/>
        <v>2087</v>
      </c>
      <c r="BS328" s="524">
        <f t="shared" si="237"/>
        <v>2088</v>
      </c>
      <c r="BT328" s="524">
        <f t="shared" si="237"/>
        <v>2089</v>
      </c>
      <c r="BU328" s="524">
        <f t="shared" si="237"/>
        <v>2090</v>
      </c>
      <c r="BV328" s="524">
        <f t="shared" si="237"/>
        <v>2091</v>
      </c>
      <c r="BW328" s="524">
        <f t="shared" si="237"/>
        <v>2092</v>
      </c>
      <c r="BX328" s="524">
        <f t="shared" si="237"/>
        <v>2093</v>
      </c>
      <c r="BY328" s="524">
        <f t="shared" si="237"/>
        <v>2094</v>
      </c>
      <c r="BZ328" s="524">
        <f t="shared" si="237"/>
        <v>2095</v>
      </c>
      <c r="CA328" s="524">
        <f t="shared" si="237"/>
        <v>2096</v>
      </c>
      <c r="CB328" s="524">
        <f t="shared" si="237"/>
        <v>2097</v>
      </c>
      <c r="CC328" s="524">
        <f t="shared" si="237"/>
        <v>2098</v>
      </c>
      <c r="CD328" s="524">
        <f t="shared" si="237"/>
        <v>2099</v>
      </c>
      <c r="CE328" s="524">
        <f t="shared" si="237"/>
        <v>2100</v>
      </c>
      <c r="CG328" s="486">
        <v>2023</v>
      </c>
      <c r="CH328" s="486">
        <v>2024</v>
      </c>
      <c r="CI328" s="486">
        <v>2025</v>
      </c>
      <c r="CJ328" s="486">
        <v>2026</v>
      </c>
      <c r="CK328" s="486">
        <v>2027</v>
      </c>
      <c r="CL328" s="486">
        <v>2028</v>
      </c>
      <c r="CM328" s="486">
        <v>2029</v>
      </c>
      <c r="CN328" s="486">
        <v>2030</v>
      </c>
      <c r="CO328" s="486">
        <v>2031</v>
      </c>
      <c r="CP328" s="486">
        <v>2032</v>
      </c>
      <c r="CQ328" s="486">
        <v>2033</v>
      </c>
      <c r="CR328" s="486">
        <v>2034</v>
      </c>
      <c r="CS328" s="486">
        <v>2035</v>
      </c>
      <c r="CT328" s="486">
        <v>2036</v>
      </c>
      <c r="CU328" s="486">
        <v>2037</v>
      </c>
      <c r="CV328" s="486">
        <v>2038</v>
      </c>
      <c r="CW328" s="486">
        <v>2039</v>
      </c>
      <c r="CX328" s="486">
        <v>2040</v>
      </c>
      <c r="CY328" s="486">
        <v>2041</v>
      </c>
      <c r="CZ328" s="486">
        <v>2042</v>
      </c>
      <c r="DA328" s="486">
        <v>2043</v>
      </c>
      <c r="DB328" s="486">
        <v>2044</v>
      </c>
      <c r="DC328" s="486">
        <v>2045</v>
      </c>
      <c r="DD328" s="486">
        <v>2046</v>
      </c>
      <c r="DE328" s="486">
        <v>2047</v>
      </c>
      <c r="DF328" s="486">
        <v>2048</v>
      </c>
      <c r="DG328" s="486">
        <v>2049</v>
      </c>
      <c r="DH328" s="486">
        <v>2050</v>
      </c>
    </row>
    <row r="329" spans="2:112">
      <c r="B329" t="s">
        <v>1191</v>
      </c>
      <c r="C329" t="s">
        <v>800</v>
      </c>
      <c r="D329" t="s">
        <v>879</v>
      </c>
      <c r="E329" t="s">
        <v>813</v>
      </c>
      <c r="F329" s="525">
        <v>100000</v>
      </c>
      <c r="G329" s="525">
        <v>100000</v>
      </c>
      <c r="H329" s="525">
        <v>100000</v>
      </c>
      <c r="I329" s="525">
        <v>100000</v>
      </c>
      <c r="J329" s="525">
        <v>100000</v>
      </c>
      <c r="K329" s="525">
        <v>100000</v>
      </c>
      <c r="L329" s="525">
        <v>100000</v>
      </c>
      <c r="M329" s="525">
        <v>100000</v>
      </c>
      <c r="N329" s="525">
        <v>100000</v>
      </c>
      <c r="O329" s="525">
        <v>100000</v>
      </c>
      <c r="P329" s="525">
        <v>100000</v>
      </c>
      <c r="Q329" s="525">
        <v>100000</v>
      </c>
      <c r="R329" s="525">
        <v>100000</v>
      </c>
      <c r="S329" s="525">
        <v>100000</v>
      </c>
      <c r="T329" s="525">
        <v>100000</v>
      </c>
      <c r="U329" s="525">
        <v>100000</v>
      </c>
      <c r="V329" s="525">
        <v>100000</v>
      </c>
      <c r="W329" s="525">
        <v>100000</v>
      </c>
      <c r="X329" s="525">
        <v>100000</v>
      </c>
      <c r="Y329" s="525">
        <v>100000</v>
      </c>
      <c r="Z329" s="525">
        <v>100000</v>
      </c>
      <c r="AA329" s="525">
        <v>100000</v>
      </c>
      <c r="AB329" s="525">
        <v>100000</v>
      </c>
      <c r="AC329" s="525">
        <v>100000</v>
      </c>
      <c r="AD329" s="525">
        <v>100000</v>
      </c>
      <c r="AE329" s="525">
        <v>100000</v>
      </c>
      <c r="AF329" s="525">
        <v>100000</v>
      </c>
      <c r="AG329" s="525">
        <v>100000</v>
      </c>
      <c r="AH329" s="526">
        <f>AG329</f>
        <v>100000</v>
      </c>
      <c r="AI329" s="526">
        <f t="shared" ref="AI329:AX329" si="238">AH329</f>
        <v>100000</v>
      </c>
      <c r="AJ329" s="526">
        <f t="shared" si="238"/>
        <v>100000</v>
      </c>
      <c r="AK329" s="526">
        <f t="shared" si="238"/>
        <v>100000</v>
      </c>
      <c r="AL329" s="526">
        <f t="shared" si="238"/>
        <v>100000</v>
      </c>
      <c r="AM329" s="526">
        <f t="shared" si="238"/>
        <v>100000</v>
      </c>
      <c r="AN329" s="526">
        <f t="shared" si="238"/>
        <v>100000</v>
      </c>
      <c r="AO329" s="526">
        <f t="shared" si="238"/>
        <v>100000</v>
      </c>
      <c r="AP329" s="526">
        <f t="shared" si="238"/>
        <v>100000</v>
      </c>
      <c r="AQ329" s="526">
        <f t="shared" si="238"/>
        <v>100000</v>
      </c>
      <c r="AR329" s="526">
        <f t="shared" si="238"/>
        <v>100000</v>
      </c>
      <c r="AS329" s="526">
        <f t="shared" si="238"/>
        <v>100000</v>
      </c>
      <c r="AT329" s="526">
        <f t="shared" si="238"/>
        <v>100000</v>
      </c>
      <c r="AU329" s="526">
        <f t="shared" si="238"/>
        <v>100000</v>
      </c>
      <c r="AV329" s="526">
        <f t="shared" si="238"/>
        <v>100000</v>
      </c>
      <c r="AW329" s="526">
        <f t="shared" si="238"/>
        <v>100000</v>
      </c>
      <c r="AX329" s="526">
        <f t="shared" si="238"/>
        <v>100000</v>
      </c>
      <c r="AY329" s="526">
        <f t="shared" ref="AY329:BN329" si="239">AX329</f>
        <v>100000</v>
      </c>
      <c r="AZ329" s="526">
        <f t="shared" si="239"/>
        <v>100000</v>
      </c>
      <c r="BA329" s="526">
        <f t="shared" si="239"/>
        <v>100000</v>
      </c>
      <c r="BB329" s="526">
        <f t="shared" si="239"/>
        <v>100000</v>
      </c>
      <c r="BC329" s="526">
        <f t="shared" si="239"/>
        <v>100000</v>
      </c>
      <c r="BD329" s="526">
        <f t="shared" si="239"/>
        <v>100000</v>
      </c>
      <c r="BE329" s="526">
        <f t="shared" si="239"/>
        <v>100000</v>
      </c>
      <c r="BF329" s="526">
        <f t="shared" si="239"/>
        <v>100000</v>
      </c>
      <c r="BG329" s="526">
        <f t="shared" si="239"/>
        <v>100000</v>
      </c>
      <c r="BH329" s="526">
        <f t="shared" si="239"/>
        <v>100000</v>
      </c>
      <c r="BI329" s="526">
        <f t="shared" si="239"/>
        <v>100000</v>
      </c>
      <c r="BJ329" s="526">
        <f t="shared" si="239"/>
        <v>100000</v>
      </c>
      <c r="BK329" s="526">
        <f t="shared" si="239"/>
        <v>100000</v>
      </c>
      <c r="BL329" s="526">
        <f t="shared" si="239"/>
        <v>100000</v>
      </c>
      <c r="BM329" s="526">
        <f t="shared" si="239"/>
        <v>100000</v>
      </c>
      <c r="BN329" s="526">
        <f t="shared" si="239"/>
        <v>100000</v>
      </c>
      <c r="BO329" s="526">
        <f t="shared" ref="BO329:CD329" si="240">BN329</f>
        <v>100000</v>
      </c>
      <c r="BP329" s="526">
        <f t="shared" si="240"/>
        <v>100000</v>
      </c>
      <c r="BQ329" s="526">
        <f t="shared" si="240"/>
        <v>100000</v>
      </c>
      <c r="BR329" s="526">
        <f t="shared" si="240"/>
        <v>100000</v>
      </c>
      <c r="BS329" s="526">
        <f t="shared" si="240"/>
        <v>100000</v>
      </c>
      <c r="BT329" s="526">
        <f t="shared" si="240"/>
        <v>100000</v>
      </c>
      <c r="BU329" s="526">
        <f t="shared" si="240"/>
        <v>100000</v>
      </c>
      <c r="BV329" s="526">
        <f t="shared" si="240"/>
        <v>100000</v>
      </c>
      <c r="BW329" s="526">
        <f t="shared" si="240"/>
        <v>100000</v>
      </c>
      <c r="BX329" s="526">
        <f t="shared" si="240"/>
        <v>100000</v>
      </c>
      <c r="BY329" s="526">
        <f t="shared" si="240"/>
        <v>100000</v>
      </c>
      <c r="BZ329" s="526">
        <f t="shared" si="240"/>
        <v>100000</v>
      </c>
      <c r="CA329" s="526">
        <f t="shared" si="240"/>
        <v>100000</v>
      </c>
      <c r="CB329" s="526">
        <f t="shared" si="240"/>
        <v>100000</v>
      </c>
      <c r="CC329" s="526">
        <f t="shared" si="240"/>
        <v>100000</v>
      </c>
      <c r="CD329" s="526">
        <f t="shared" si="240"/>
        <v>100000</v>
      </c>
      <c r="CE329" s="526">
        <f t="shared" ref="AX329:CE337" si="241">CD329</f>
        <v>100000</v>
      </c>
      <c r="CG329" s="536">
        <v>100000</v>
      </c>
      <c r="CH329" s="536">
        <v>100000</v>
      </c>
      <c r="CI329" s="536">
        <v>100000</v>
      </c>
      <c r="CJ329" s="536">
        <v>100000</v>
      </c>
      <c r="CK329" s="536">
        <v>100000</v>
      </c>
      <c r="CL329" s="536">
        <v>100000</v>
      </c>
      <c r="CM329" s="536">
        <v>100000</v>
      </c>
      <c r="CN329" s="536">
        <v>100000</v>
      </c>
      <c r="CO329" s="536">
        <v>100000</v>
      </c>
      <c r="CP329" s="536">
        <v>100000</v>
      </c>
      <c r="CQ329" s="536">
        <v>100000</v>
      </c>
      <c r="CR329" s="536">
        <v>100000</v>
      </c>
      <c r="CS329" s="536">
        <v>100000</v>
      </c>
      <c r="CT329" s="536">
        <v>100000</v>
      </c>
      <c r="CU329" s="536">
        <v>100000</v>
      </c>
      <c r="CV329" s="536">
        <v>100000</v>
      </c>
      <c r="CW329" s="536">
        <v>100000</v>
      </c>
      <c r="CX329" s="536">
        <v>100000</v>
      </c>
      <c r="CY329" s="536">
        <v>100000</v>
      </c>
      <c r="CZ329" s="536">
        <v>100000</v>
      </c>
      <c r="DA329" s="536">
        <v>100000</v>
      </c>
      <c r="DB329" s="536">
        <v>100000</v>
      </c>
      <c r="DC329" s="536">
        <v>100000</v>
      </c>
      <c r="DD329" s="536">
        <v>100000</v>
      </c>
      <c r="DE329" s="536">
        <v>100000</v>
      </c>
      <c r="DF329" s="536">
        <v>100000</v>
      </c>
      <c r="DG329" s="536">
        <v>100000</v>
      </c>
      <c r="DH329" s="536">
        <v>100000</v>
      </c>
    </row>
    <row r="330" spans="2:112">
      <c r="B330" t="s">
        <v>1192</v>
      </c>
      <c r="C330" t="s">
        <v>800</v>
      </c>
      <c r="D330" t="s">
        <v>695</v>
      </c>
      <c r="E330" t="s">
        <v>881</v>
      </c>
      <c r="F330" s="525">
        <v>220</v>
      </c>
      <c r="G330" s="525">
        <v>220</v>
      </c>
      <c r="H330" s="525">
        <v>220</v>
      </c>
      <c r="I330" s="525">
        <v>220</v>
      </c>
      <c r="J330" s="525">
        <v>220</v>
      </c>
      <c r="K330" s="525">
        <v>220</v>
      </c>
      <c r="L330" s="525">
        <v>220</v>
      </c>
      <c r="M330" s="525">
        <v>220</v>
      </c>
      <c r="N330" s="525">
        <v>220</v>
      </c>
      <c r="O330" s="525">
        <v>220</v>
      </c>
      <c r="P330" s="525">
        <v>220</v>
      </c>
      <c r="Q330" s="525">
        <v>220</v>
      </c>
      <c r="R330" s="525">
        <v>220</v>
      </c>
      <c r="S330" s="525">
        <v>220</v>
      </c>
      <c r="T330" s="525">
        <v>220</v>
      </c>
      <c r="U330" s="525">
        <v>220</v>
      </c>
      <c r="V330" s="525">
        <v>220</v>
      </c>
      <c r="W330" s="525">
        <v>220</v>
      </c>
      <c r="X330" s="525">
        <v>220</v>
      </c>
      <c r="Y330" s="525">
        <v>220</v>
      </c>
      <c r="Z330" s="525">
        <v>220</v>
      </c>
      <c r="AA330" s="525">
        <v>220</v>
      </c>
      <c r="AB330" s="525">
        <v>220</v>
      </c>
      <c r="AC330" s="525">
        <v>220</v>
      </c>
      <c r="AD330" s="525">
        <v>220</v>
      </c>
      <c r="AE330" s="525">
        <v>220</v>
      </c>
      <c r="AF330" s="525">
        <v>220</v>
      </c>
      <c r="AG330" s="525">
        <v>220</v>
      </c>
      <c r="AH330" s="526">
        <f t="shared" ref="AH330:AW339" si="242">AG330</f>
        <v>220</v>
      </c>
      <c r="AI330" s="526">
        <f t="shared" si="242"/>
        <v>220</v>
      </c>
      <c r="AJ330" s="526">
        <f t="shared" si="242"/>
        <v>220</v>
      </c>
      <c r="AK330" s="526">
        <f t="shared" si="242"/>
        <v>220</v>
      </c>
      <c r="AL330" s="526">
        <f t="shared" si="242"/>
        <v>220</v>
      </c>
      <c r="AM330" s="526">
        <f t="shared" si="242"/>
        <v>220</v>
      </c>
      <c r="AN330" s="526">
        <f t="shared" si="242"/>
        <v>220</v>
      </c>
      <c r="AO330" s="526">
        <f t="shared" si="242"/>
        <v>220</v>
      </c>
      <c r="AP330" s="526">
        <f t="shared" si="242"/>
        <v>220</v>
      </c>
      <c r="AQ330" s="526">
        <f t="shared" si="242"/>
        <v>220</v>
      </c>
      <c r="AR330" s="526">
        <f t="shared" si="242"/>
        <v>220</v>
      </c>
      <c r="AS330" s="526">
        <f t="shared" si="242"/>
        <v>220</v>
      </c>
      <c r="AT330" s="526">
        <f t="shared" si="242"/>
        <v>220</v>
      </c>
      <c r="AU330" s="526">
        <f t="shared" si="242"/>
        <v>220</v>
      </c>
      <c r="AV330" s="526">
        <f t="shared" si="242"/>
        <v>220</v>
      </c>
      <c r="AW330" s="526">
        <f t="shared" si="242"/>
        <v>220</v>
      </c>
      <c r="AX330" s="526">
        <f t="shared" si="241"/>
        <v>220</v>
      </c>
      <c r="AY330" s="526">
        <f t="shared" si="241"/>
        <v>220</v>
      </c>
      <c r="AZ330" s="526">
        <f t="shared" si="241"/>
        <v>220</v>
      </c>
      <c r="BA330" s="526">
        <f t="shared" si="241"/>
        <v>220</v>
      </c>
      <c r="BB330" s="526">
        <f t="shared" si="241"/>
        <v>220</v>
      </c>
      <c r="BC330" s="526">
        <f t="shared" si="241"/>
        <v>220</v>
      </c>
      <c r="BD330" s="526">
        <f t="shared" si="241"/>
        <v>220</v>
      </c>
      <c r="BE330" s="526">
        <f t="shared" si="241"/>
        <v>220</v>
      </c>
      <c r="BF330" s="526">
        <f t="shared" si="241"/>
        <v>220</v>
      </c>
      <c r="BG330" s="526">
        <f t="shared" si="241"/>
        <v>220</v>
      </c>
      <c r="BH330" s="526">
        <f t="shared" si="241"/>
        <v>220</v>
      </c>
      <c r="BI330" s="526">
        <f t="shared" si="241"/>
        <v>220</v>
      </c>
      <c r="BJ330" s="526">
        <f t="shared" si="241"/>
        <v>220</v>
      </c>
      <c r="BK330" s="526">
        <f t="shared" si="241"/>
        <v>220</v>
      </c>
      <c r="BL330" s="526">
        <f t="shared" si="241"/>
        <v>220</v>
      </c>
      <c r="BM330" s="526">
        <f t="shared" si="241"/>
        <v>220</v>
      </c>
      <c r="BN330" s="526">
        <f t="shared" si="241"/>
        <v>220</v>
      </c>
      <c r="BO330" s="526">
        <f t="shared" si="241"/>
        <v>220</v>
      </c>
      <c r="BP330" s="526">
        <f t="shared" si="241"/>
        <v>220</v>
      </c>
      <c r="BQ330" s="526">
        <f t="shared" si="241"/>
        <v>220</v>
      </c>
      <c r="BR330" s="526">
        <f t="shared" si="241"/>
        <v>220</v>
      </c>
      <c r="BS330" s="526">
        <f t="shared" si="241"/>
        <v>220</v>
      </c>
      <c r="BT330" s="526">
        <f t="shared" si="241"/>
        <v>220</v>
      </c>
      <c r="BU330" s="526">
        <f t="shared" si="241"/>
        <v>220</v>
      </c>
      <c r="BV330" s="526">
        <f t="shared" si="241"/>
        <v>220</v>
      </c>
      <c r="BW330" s="526">
        <f t="shared" si="241"/>
        <v>220</v>
      </c>
      <c r="BX330" s="526">
        <f t="shared" si="241"/>
        <v>220</v>
      </c>
      <c r="BY330" s="526">
        <f t="shared" si="241"/>
        <v>220</v>
      </c>
      <c r="BZ330" s="526">
        <f t="shared" si="241"/>
        <v>220</v>
      </c>
      <c r="CA330" s="526">
        <f t="shared" si="241"/>
        <v>220</v>
      </c>
      <c r="CB330" s="526">
        <f t="shared" si="241"/>
        <v>220</v>
      </c>
      <c r="CC330" s="526">
        <f t="shared" si="241"/>
        <v>220</v>
      </c>
      <c r="CD330" s="526">
        <f t="shared" si="241"/>
        <v>220</v>
      </c>
      <c r="CE330" s="526">
        <f t="shared" si="241"/>
        <v>220</v>
      </c>
      <c r="CG330" s="536">
        <v>220</v>
      </c>
      <c r="CH330" s="536">
        <v>220</v>
      </c>
      <c r="CI330" s="536">
        <v>220</v>
      </c>
      <c r="CJ330" s="536">
        <v>220</v>
      </c>
      <c r="CK330" s="536">
        <v>220</v>
      </c>
      <c r="CL330" s="536">
        <v>220</v>
      </c>
      <c r="CM330" s="536">
        <v>220</v>
      </c>
      <c r="CN330" s="536">
        <v>220</v>
      </c>
      <c r="CO330" s="536">
        <v>220</v>
      </c>
      <c r="CP330" s="536">
        <v>220</v>
      </c>
      <c r="CQ330" s="536">
        <v>220</v>
      </c>
      <c r="CR330" s="536">
        <v>220</v>
      </c>
      <c r="CS330" s="536">
        <v>220</v>
      </c>
      <c r="CT330" s="536">
        <v>220</v>
      </c>
      <c r="CU330" s="536">
        <v>220</v>
      </c>
      <c r="CV330" s="536">
        <v>220</v>
      </c>
      <c r="CW330" s="536">
        <v>220</v>
      </c>
      <c r="CX330" s="536">
        <v>220</v>
      </c>
      <c r="CY330" s="536">
        <v>220</v>
      </c>
      <c r="CZ330" s="536">
        <v>220</v>
      </c>
      <c r="DA330" s="536">
        <v>220</v>
      </c>
      <c r="DB330" s="536">
        <v>220</v>
      </c>
      <c r="DC330" s="536">
        <v>220</v>
      </c>
      <c r="DD330" s="536">
        <v>220</v>
      </c>
      <c r="DE330" s="536">
        <v>220</v>
      </c>
      <c r="DF330" s="536">
        <v>220</v>
      </c>
      <c r="DG330" s="536">
        <v>220</v>
      </c>
      <c r="DH330" s="536">
        <v>220</v>
      </c>
    </row>
    <row r="331" spans="2:112">
      <c r="B331" t="s">
        <v>1193</v>
      </c>
      <c r="C331" t="s">
        <v>800</v>
      </c>
      <c r="D331" t="s">
        <v>883</v>
      </c>
      <c r="E331" t="s">
        <v>884</v>
      </c>
      <c r="F331" s="525">
        <v>16</v>
      </c>
      <c r="G331" s="525">
        <v>16</v>
      </c>
      <c r="H331" s="525">
        <v>16</v>
      </c>
      <c r="I331" s="525">
        <v>16</v>
      </c>
      <c r="J331" s="525">
        <v>16</v>
      </c>
      <c r="K331" s="525">
        <v>16</v>
      </c>
      <c r="L331" s="525">
        <v>16</v>
      </c>
      <c r="M331" s="525">
        <v>16</v>
      </c>
      <c r="N331" s="525">
        <v>16</v>
      </c>
      <c r="O331" s="525">
        <v>16</v>
      </c>
      <c r="P331" s="525">
        <v>16</v>
      </c>
      <c r="Q331" s="525">
        <v>16</v>
      </c>
      <c r="R331" s="525">
        <v>16</v>
      </c>
      <c r="S331" s="525">
        <v>16</v>
      </c>
      <c r="T331" s="525">
        <v>16</v>
      </c>
      <c r="U331" s="525">
        <v>16</v>
      </c>
      <c r="V331" s="525">
        <v>16</v>
      </c>
      <c r="W331" s="525">
        <v>16</v>
      </c>
      <c r="X331" s="525">
        <v>16</v>
      </c>
      <c r="Y331" s="525">
        <v>16</v>
      </c>
      <c r="Z331" s="525">
        <v>16</v>
      </c>
      <c r="AA331" s="525">
        <v>16</v>
      </c>
      <c r="AB331" s="525">
        <v>16</v>
      </c>
      <c r="AC331" s="525">
        <v>16</v>
      </c>
      <c r="AD331" s="525">
        <v>16</v>
      </c>
      <c r="AE331" s="525">
        <v>16</v>
      </c>
      <c r="AF331" s="525">
        <v>16</v>
      </c>
      <c r="AG331" s="525">
        <v>16</v>
      </c>
      <c r="AH331" s="526">
        <f t="shared" si="242"/>
        <v>16</v>
      </c>
      <c r="AI331" s="526">
        <f t="shared" si="242"/>
        <v>16</v>
      </c>
      <c r="AJ331" s="526">
        <f t="shared" si="242"/>
        <v>16</v>
      </c>
      <c r="AK331" s="526">
        <f t="shared" si="242"/>
        <v>16</v>
      </c>
      <c r="AL331" s="526">
        <f t="shared" si="242"/>
        <v>16</v>
      </c>
      <c r="AM331" s="526">
        <f t="shared" si="242"/>
        <v>16</v>
      </c>
      <c r="AN331" s="526">
        <f t="shared" si="242"/>
        <v>16</v>
      </c>
      <c r="AO331" s="526">
        <f t="shared" si="242"/>
        <v>16</v>
      </c>
      <c r="AP331" s="526">
        <f t="shared" si="242"/>
        <v>16</v>
      </c>
      <c r="AQ331" s="526">
        <f t="shared" si="242"/>
        <v>16</v>
      </c>
      <c r="AR331" s="526">
        <f t="shared" si="242"/>
        <v>16</v>
      </c>
      <c r="AS331" s="526">
        <f t="shared" si="242"/>
        <v>16</v>
      </c>
      <c r="AT331" s="526">
        <f t="shared" si="242"/>
        <v>16</v>
      </c>
      <c r="AU331" s="526">
        <f t="shared" si="242"/>
        <v>16</v>
      </c>
      <c r="AV331" s="526">
        <f t="shared" si="242"/>
        <v>16</v>
      </c>
      <c r="AW331" s="526">
        <f t="shared" si="242"/>
        <v>16</v>
      </c>
      <c r="AX331" s="526">
        <f t="shared" si="241"/>
        <v>16</v>
      </c>
      <c r="AY331" s="526">
        <f t="shared" si="241"/>
        <v>16</v>
      </c>
      <c r="AZ331" s="526">
        <f t="shared" si="241"/>
        <v>16</v>
      </c>
      <c r="BA331" s="526">
        <f t="shared" si="241"/>
        <v>16</v>
      </c>
      <c r="BB331" s="526">
        <f t="shared" si="241"/>
        <v>16</v>
      </c>
      <c r="BC331" s="526">
        <f t="shared" si="241"/>
        <v>16</v>
      </c>
      <c r="BD331" s="526">
        <f t="shared" si="241"/>
        <v>16</v>
      </c>
      <c r="BE331" s="526">
        <f t="shared" si="241"/>
        <v>16</v>
      </c>
      <c r="BF331" s="526">
        <f t="shared" si="241"/>
        <v>16</v>
      </c>
      <c r="BG331" s="526">
        <f t="shared" si="241"/>
        <v>16</v>
      </c>
      <c r="BH331" s="526">
        <f t="shared" si="241"/>
        <v>16</v>
      </c>
      <c r="BI331" s="526">
        <f t="shared" si="241"/>
        <v>16</v>
      </c>
      <c r="BJ331" s="526">
        <f t="shared" si="241"/>
        <v>16</v>
      </c>
      <c r="BK331" s="526">
        <f t="shared" si="241"/>
        <v>16</v>
      </c>
      <c r="BL331" s="526">
        <f t="shared" si="241"/>
        <v>16</v>
      </c>
      <c r="BM331" s="526">
        <f t="shared" si="241"/>
        <v>16</v>
      </c>
      <c r="BN331" s="526">
        <f t="shared" si="241"/>
        <v>16</v>
      </c>
      <c r="BO331" s="526">
        <f t="shared" si="241"/>
        <v>16</v>
      </c>
      <c r="BP331" s="526">
        <f t="shared" si="241"/>
        <v>16</v>
      </c>
      <c r="BQ331" s="526">
        <f t="shared" si="241"/>
        <v>16</v>
      </c>
      <c r="BR331" s="526">
        <f t="shared" si="241"/>
        <v>16</v>
      </c>
      <c r="BS331" s="526">
        <f t="shared" si="241"/>
        <v>16</v>
      </c>
      <c r="BT331" s="526">
        <f t="shared" si="241"/>
        <v>16</v>
      </c>
      <c r="BU331" s="526">
        <f t="shared" si="241"/>
        <v>16</v>
      </c>
      <c r="BV331" s="526">
        <f t="shared" si="241"/>
        <v>16</v>
      </c>
      <c r="BW331" s="526">
        <f t="shared" si="241"/>
        <v>16</v>
      </c>
      <c r="BX331" s="526">
        <f t="shared" si="241"/>
        <v>16</v>
      </c>
      <c r="BY331" s="526">
        <f t="shared" si="241"/>
        <v>16</v>
      </c>
      <c r="BZ331" s="526">
        <f t="shared" si="241"/>
        <v>16</v>
      </c>
      <c r="CA331" s="526">
        <f t="shared" si="241"/>
        <v>16</v>
      </c>
      <c r="CB331" s="526">
        <f t="shared" si="241"/>
        <v>16</v>
      </c>
      <c r="CC331" s="526">
        <f t="shared" si="241"/>
        <v>16</v>
      </c>
      <c r="CD331" s="526">
        <f t="shared" si="241"/>
        <v>16</v>
      </c>
      <c r="CE331" s="526">
        <f t="shared" si="241"/>
        <v>16</v>
      </c>
      <c r="CG331" s="536">
        <v>16</v>
      </c>
      <c r="CH331" s="536">
        <v>16</v>
      </c>
      <c r="CI331" s="536">
        <v>16</v>
      </c>
      <c r="CJ331" s="536">
        <v>16</v>
      </c>
      <c r="CK331" s="536">
        <v>16</v>
      </c>
      <c r="CL331" s="536">
        <v>16</v>
      </c>
      <c r="CM331" s="536">
        <v>16</v>
      </c>
      <c r="CN331" s="536">
        <v>16</v>
      </c>
      <c r="CO331" s="536">
        <v>16</v>
      </c>
      <c r="CP331" s="536">
        <v>16</v>
      </c>
      <c r="CQ331" s="536">
        <v>16</v>
      </c>
      <c r="CR331" s="536">
        <v>16</v>
      </c>
      <c r="CS331" s="536">
        <v>16</v>
      </c>
      <c r="CT331" s="536">
        <v>16</v>
      </c>
      <c r="CU331" s="536">
        <v>16</v>
      </c>
      <c r="CV331" s="536">
        <v>16</v>
      </c>
      <c r="CW331" s="536">
        <v>16</v>
      </c>
      <c r="CX331" s="536">
        <v>16</v>
      </c>
      <c r="CY331" s="536">
        <v>16</v>
      </c>
      <c r="CZ331" s="536">
        <v>16</v>
      </c>
      <c r="DA331" s="536">
        <v>16</v>
      </c>
      <c r="DB331" s="536">
        <v>16</v>
      </c>
      <c r="DC331" s="536">
        <v>16</v>
      </c>
      <c r="DD331" s="536">
        <v>16</v>
      </c>
      <c r="DE331" s="536">
        <v>16</v>
      </c>
      <c r="DF331" s="536">
        <v>16</v>
      </c>
      <c r="DG331" s="536">
        <v>16</v>
      </c>
      <c r="DH331" s="536">
        <v>16</v>
      </c>
    </row>
    <row r="332" spans="2:112">
      <c r="B332" t="s">
        <v>1194</v>
      </c>
      <c r="C332" t="s">
        <v>800</v>
      </c>
      <c r="D332" t="s">
        <v>886</v>
      </c>
      <c r="E332" t="s">
        <v>178</v>
      </c>
      <c r="F332" s="537">
        <v>0.51</v>
      </c>
      <c r="G332" s="537">
        <v>0.51</v>
      </c>
      <c r="H332" s="537">
        <v>0.51</v>
      </c>
      <c r="I332" s="537">
        <v>0.51</v>
      </c>
      <c r="J332" s="537">
        <v>0.51</v>
      </c>
      <c r="K332" s="537">
        <v>0.51</v>
      </c>
      <c r="L332" s="537">
        <v>0.51</v>
      </c>
      <c r="M332" s="537">
        <v>0.51</v>
      </c>
      <c r="N332" s="537">
        <v>0.51</v>
      </c>
      <c r="O332" s="537">
        <v>0.51</v>
      </c>
      <c r="P332" s="537">
        <v>0.51</v>
      </c>
      <c r="Q332" s="537">
        <v>0.51</v>
      </c>
      <c r="R332" s="537">
        <v>0.51</v>
      </c>
      <c r="S332" s="537">
        <v>0.51</v>
      </c>
      <c r="T332" s="537">
        <v>0.51</v>
      </c>
      <c r="U332" s="537">
        <v>0.51</v>
      </c>
      <c r="V332" s="537">
        <v>0.51</v>
      </c>
      <c r="W332" s="537">
        <v>0.51</v>
      </c>
      <c r="X332" s="537">
        <v>0.51</v>
      </c>
      <c r="Y332" s="537">
        <v>0.51</v>
      </c>
      <c r="Z332" s="537">
        <v>0.51</v>
      </c>
      <c r="AA332" s="537">
        <v>0.51</v>
      </c>
      <c r="AB332" s="537">
        <v>0.51</v>
      </c>
      <c r="AC332" s="537">
        <v>0.51</v>
      </c>
      <c r="AD332" s="537">
        <v>0.51</v>
      </c>
      <c r="AE332" s="537">
        <v>0.51</v>
      </c>
      <c r="AF332" s="537">
        <v>0.51</v>
      </c>
      <c r="AG332" s="537">
        <v>0.51</v>
      </c>
      <c r="AH332" s="526">
        <f t="shared" si="242"/>
        <v>0.51</v>
      </c>
      <c r="AI332" s="526">
        <f t="shared" si="242"/>
        <v>0.51</v>
      </c>
      <c r="AJ332" s="526">
        <f t="shared" si="242"/>
        <v>0.51</v>
      </c>
      <c r="AK332" s="526">
        <f t="shared" si="242"/>
        <v>0.51</v>
      </c>
      <c r="AL332" s="526">
        <f t="shared" si="242"/>
        <v>0.51</v>
      </c>
      <c r="AM332" s="526">
        <f t="shared" si="242"/>
        <v>0.51</v>
      </c>
      <c r="AN332" s="526">
        <f t="shared" si="242"/>
        <v>0.51</v>
      </c>
      <c r="AO332" s="526">
        <f t="shared" si="242"/>
        <v>0.51</v>
      </c>
      <c r="AP332" s="526">
        <f t="shared" si="242"/>
        <v>0.51</v>
      </c>
      <c r="AQ332" s="526">
        <f t="shared" si="242"/>
        <v>0.51</v>
      </c>
      <c r="AR332" s="526">
        <f t="shared" si="242"/>
        <v>0.51</v>
      </c>
      <c r="AS332" s="526">
        <f t="shared" si="242"/>
        <v>0.51</v>
      </c>
      <c r="AT332" s="526">
        <f t="shared" si="242"/>
        <v>0.51</v>
      </c>
      <c r="AU332" s="526">
        <f t="shared" si="242"/>
        <v>0.51</v>
      </c>
      <c r="AV332" s="526">
        <f t="shared" si="242"/>
        <v>0.51</v>
      </c>
      <c r="AW332" s="526">
        <f t="shared" si="242"/>
        <v>0.51</v>
      </c>
      <c r="AX332" s="526">
        <f t="shared" si="241"/>
        <v>0.51</v>
      </c>
      <c r="AY332" s="526">
        <f t="shared" si="241"/>
        <v>0.51</v>
      </c>
      <c r="AZ332" s="526">
        <f t="shared" si="241"/>
        <v>0.51</v>
      </c>
      <c r="BA332" s="526">
        <f t="shared" si="241"/>
        <v>0.51</v>
      </c>
      <c r="BB332" s="526">
        <f t="shared" si="241"/>
        <v>0.51</v>
      </c>
      <c r="BC332" s="526">
        <f t="shared" si="241"/>
        <v>0.51</v>
      </c>
      <c r="BD332" s="526">
        <f t="shared" si="241"/>
        <v>0.51</v>
      </c>
      <c r="BE332" s="526">
        <f t="shared" si="241"/>
        <v>0.51</v>
      </c>
      <c r="BF332" s="526">
        <f t="shared" si="241"/>
        <v>0.51</v>
      </c>
      <c r="BG332" s="526">
        <f t="shared" si="241"/>
        <v>0.51</v>
      </c>
      <c r="BH332" s="526">
        <f t="shared" si="241"/>
        <v>0.51</v>
      </c>
      <c r="BI332" s="526">
        <f t="shared" si="241"/>
        <v>0.51</v>
      </c>
      <c r="BJ332" s="526">
        <f t="shared" si="241"/>
        <v>0.51</v>
      </c>
      <c r="BK332" s="526">
        <f t="shared" si="241"/>
        <v>0.51</v>
      </c>
      <c r="BL332" s="526">
        <f t="shared" si="241"/>
        <v>0.51</v>
      </c>
      <c r="BM332" s="526">
        <f t="shared" si="241"/>
        <v>0.51</v>
      </c>
      <c r="BN332" s="526">
        <f t="shared" si="241"/>
        <v>0.51</v>
      </c>
      <c r="BO332" s="526">
        <f t="shared" si="241"/>
        <v>0.51</v>
      </c>
      <c r="BP332" s="526">
        <f t="shared" si="241"/>
        <v>0.51</v>
      </c>
      <c r="BQ332" s="526">
        <f t="shared" si="241"/>
        <v>0.51</v>
      </c>
      <c r="BR332" s="526">
        <f t="shared" si="241"/>
        <v>0.51</v>
      </c>
      <c r="BS332" s="526">
        <f t="shared" si="241"/>
        <v>0.51</v>
      </c>
      <c r="BT332" s="526">
        <f t="shared" si="241"/>
        <v>0.51</v>
      </c>
      <c r="BU332" s="526">
        <f t="shared" si="241"/>
        <v>0.51</v>
      </c>
      <c r="BV332" s="526">
        <f t="shared" si="241"/>
        <v>0.51</v>
      </c>
      <c r="BW332" s="526">
        <f t="shared" si="241"/>
        <v>0.51</v>
      </c>
      <c r="BX332" s="526">
        <f t="shared" si="241"/>
        <v>0.51</v>
      </c>
      <c r="BY332" s="526">
        <f t="shared" si="241"/>
        <v>0.51</v>
      </c>
      <c r="BZ332" s="526">
        <f t="shared" si="241"/>
        <v>0.51</v>
      </c>
      <c r="CA332" s="526">
        <f t="shared" si="241"/>
        <v>0.51</v>
      </c>
      <c r="CB332" s="526">
        <f t="shared" si="241"/>
        <v>0.51</v>
      </c>
      <c r="CC332" s="526">
        <f t="shared" si="241"/>
        <v>0.51</v>
      </c>
      <c r="CD332" s="526">
        <f t="shared" si="241"/>
        <v>0.51</v>
      </c>
      <c r="CE332" s="526">
        <f t="shared" si="241"/>
        <v>0.51</v>
      </c>
      <c r="CG332" s="537">
        <v>0.51</v>
      </c>
      <c r="CH332" s="537">
        <v>0.51</v>
      </c>
      <c r="CI332" s="537">
        <v>0.51</v>
      </c>
      <c r="CJ332" s="537">
        <v>0.51</v>
      </c>
      <c r="CK332" s="537">
        <v>0.51</v>
      </c>
      <c r="CL332" s="537">
        <v>0.51</v>
      </c>
      <c r="CM332" s="537">
        <v>0.51</v>
      </c>
      <c r="CN332" s="537">
        <v>0.51</v>
      </c>
      <c r="CO332" s="537">
        <v>0.51</v>
      </c>
      <c r="CP332" s="537">
        <v>0.51</v>
      </c>
      <c r="CQ332" s="537">
        <v>0.51</v>
      </c>
      <c r="CR332" s="537">
        <v>0.51</v>
      </c>
      <c r="CS332" s="537">
        <v>0.51</v>
      </c>
      <c r="CT332" s="537">
        <v>0.51</v>
      </c>
      <c r="CU332" s="537">
        <v>0.51</v>
      </c>
      <c r="CV332" s="537">
        <v>0.51</v>
      </c>
      <c r="CW332" s="537">
        <v>0.51</v>
      </c>
      <c r="CX332" s="537">
        <v>0.51</v>
      </c>
      <c r="CY332" s="537">
        <v>0.51</v>
      </c>
      <c r="CZ332" s="537">
        <v>0.51</v>
      </c>
      <c r="DA332" s="537">
        <v>0.51</v>
      </c>
      <c r="DB332" s="537">
        <v>0.51</v>
      </c>
      <c r="DC332" s="537">
        <v>0.51</v>
      </c>
      <c r="DD332" s="537">
        <v>0.51</v>
      </c>
      <c r="DE332" s="537">
        <v>0.51</v>
      </c>
      <c r="DF332" s="537">
        <v>0.51</v>
      </c>
      <c r="DG332" s="537">
        <v>0.51</v>
      </c>
      <c r="DH332" s="537">
        <v>0.51</v>
      </c>
    </row>
    <row r="333" spans="2:112">
      <c r="B333" t="s">
        <v>1195</v>
      </c>
      <c r="C333" t="s">
        <v>800</v>
      </c>
      <c r="D333" t="s">
        <v>888</v>
      </c>
      <c r="E333" t="s">
        <v>178</v>
      </c>
      <c r="F333" s="537">
        <v>0.51</v>
      </c>
      <c r="G333" s="537">
        <v>0.51</v>
      </c>
      <c r="H333" s="537">
        <v>0.51</v>
      </c>
      <c r="I333" s="537">
        <v>0.51</v>
      </c>
      <c r="J333" s="537">
        <v>0.51</v>
      </c>
      <c r="K333" s="537">
        <v>0.51</v>
      </c>
      <c r="L333" s="537">
        <v>0.51</v>
      </c>
      <c r="M333" s="537">
        <v>0.51</v>
      </c>
      <c r="N333" s="537">
        <v>0.51</v>
      </c>
      <c r="O333" s="537">
        <v>0.51</v>
      </c>
      <c r="P333" s="537">
        <v>0.51</v>
      </c>
      <c r="Q333" s="537">
        <v>0.51</v>
      </c>
      <c r="R333" s="537">
        <v>0.51</v>
      </c>
      <c r="S333" s="537">
        <v>0.51</v>
      </c>
      <c r="T333" s="537">
        <v>0.51</v>
      </c>
      <c r="U333" s="537">
        <v>0.51</v>
      </c>
      <c r="V333" s="537">
        <v>0.51</v>
      </c>
      <c r="W333" s="537">
        <v>0.51</v>
      </c>
      <c r="X333" s="537">
        <v>0.51</v>
      </c>
      <c r="Y333" s="537">
        <v>0.51</v>
      </c>
      <c r="Z333" s="537">
        <v>0.51</v>
      </c>
      <c r="AA333" s="537">
        <v>0.51</v>
      </c>
      <c r="AB333" s="537">
        <v>0.51</v>
      </c>
      <c r="AC333" s="537">
        <v>0.51</v>
      </c>
      <c r="AD333" s="537">
        <v>0.51</v>
      </c>
      <c r="AE333" s="537">
        <v>0.51</v>
      </c>
      <c r="AF333" s="537">
        <v>0.51</v>
      </c>
      <c r="AG333" s="537">
        <v>0.51</v>
      </c>
      <c r="AH333" s="526">
        <f t="shared" si="242"/>
        <v>0.51</v>
      </c>
      <c r="AI333" s="526">
        <f t="shared" si="242"/>
        <v>0.51</v>
      </c>
      <c r="AJ333" s="526">
        <f t="shared" si="242"/>
        <v>0.51</v>
      </c>
      <c r="AK333" s="526">
        <f t="shared" si="242"/>
        <v>0.51</v>
      </c>
      <c r="AL333" s="526">
        <f t="shared" si="242"/>
        <v>0.51</v>
      </c>
      <c r="AM333" s="526">
        <f t="shared" si="242"/>
        <v>0.51</v>
      </c>
      <c r="AN333" s="526">
        <f t="shared" si="242"/>
        <v>0.51</v>
      </c>
      <c r="AO333" s="526">
        <f t="shared" si="242"/>
        <v>0.51</v>
      </c>
      <c r="AP333" s="526">
        <f t="shared" si="242"/>
        <v>0.51</v>
      </c>
      <c r="AQ333" s="526">
        <f t="shared" si="242"/>
        <v>0.51</v>
      </c>
      <c r="AR333" s="526">
        <f t="shared" si="242"/>
        <v>0.51</v>
      </c>
      <c r="AS333" s="526">
        <f t="shared" si="242"/>
        <v>0.51</v>
      </c>
      <c r="AT333" s="526">
        <f t="shared" si="242"/>
        <v>0.51</v>
      </c>
      <c r="AU333" s="526">
        <f t="shared" si="242"/>
        <v>0.51</v>
      </c>
      <c r="AV333" s="526">
        <f t="shared" si="242"/>
        <v>0.51</v>
      </c>
      <c r="AW333" s="526">
        <f t="shared" si="242"/>
        <v>0.51</v>
      </c>
      <c r="AX333" s="526">
        <f t="shared" si="241"/>
        <v>0.51</v>
      </c>
      <c r="AY333" s="526">
        <f t="shared" si="241"/>
        <v>0.51</v>
      </c>
      <c r="AZ333" s="526">
        <f t="shared" si="241"/>
        <v>0.51</v>
      </c>
      <c r="BA333" s="526">
        <f t="shared" si="241"/>
        <v>0.51</v>
      </c>
      <c r="BB333" s="526">
        <f t="shared" si="241"/>
        <v>0.51</v>
      </c>
      <c r="BC333" s="526">
        <f t="shared" si="241"/>
        <v>0.51</v>
      </c>
      <c r="BD333" s="526">
        <f t="shared" si="241"/>
        <v>0.51</v>
      </c>
      <c r="BE333" s="526">
        <f t="shared" si="241"/>
        <v>0.51</v>
      </c>
      <c r="BF333" s="526">
        <f t="shared" si="241"/>
        <v>0.51</v>
      </c>
      <c r="BG333" s="526">
        <f t="shared" si="241"/>
        <v>0.51</v>
      </c>
      <c r="BH333" s="526">
        <f t="shared" si="241"/>
        <v>0.51</v>
      </c>
      <c r="BI333" s="526">
        <f t="shared" si="241"/>
        <v>0.51</v>
      </c>
      <c r="BJ333" s="526">
        <f t="shared" si="241"/>
        <v>0.51</v>
      </c>
      <c r="BK333" s="526">
        <f t="shared" si="241"/>
        <v>0.51</v>
      </c>
      <c r="BL333" s="526">
        <f t="shared" si="241"/>
        <v>0.51</v>
      </c>
      <c r="BM333" s="526">
        <f t="shared" si="241"/>
        <v>0.51</v>
      </c>
      <c r="BN333" s="526">
        <f t="shared" si="241"/>
        <v>0.51</v>
      </c>
      <c r="BO333" s="526">
        <f t="shared" si="241"/>
        <v>0.51</v>
      </c>
      <c r="BP333" s="526">
        <f t="shared" si="241"/>
        <v>0.51</v>
      </c>
      <c r="BQ333" s="526">
        <f t="shared" si="241"/>
        <v>0.51</v>
      </c>
      <c r="BR333" s="526">
        <f t="shared" si="241"/>
        <v>0.51</v>
      </c>
      <c r="BS333" s="526">
        <f t="shared" si="241"/>
        <v>0.51</v>
      </c>
      <c r="BT333" s="526">
        <f t="shared" si="241"/>
        <v>0.51</v>
      </c>
      <c r="BU333" s="526">
        <f t="shared" si="241"/>
        <v>0.51</v>
      </c>
      <c r="BV333" s="526">
        <f t="shared" si="241"/>
        <v>0.51</v>
      </c>
      <c r="BW333" s="526">
        <f t="shared" si="241"/>
        <v>0.51</v>
      </c>
      <c r="BX333" s="526">
        <f t="shared" si="241"/>
        <v>0.51</v>
      </c>
      <c r="BY333" s="526">
        <f t="shared" si="241"/>
        <v>0.51</v>
      </c>
      <c r="BZ333" s="526">
        <f t="shared" si="241"/>
        <v>0.51</v>
      </c>
      <c r="CA333" s="526">
        <f t="shared" si="241"/>
        <v>0.51</v>
      </c>
      <c r="CB333" s="526">
        <f t="shared" si="241"/>
        <v>0.51</v>
      </c>
      <c r="CC333" s="526">
        <f t="shared" si="241"/>
        <v>0.51</v>
      </c>
      <c r="CD333" s="526">
        <f t="shared" si="241"/>
        <v>0.51</v>
      </c>
      <c r="CE333" s="526">
        <f t="shared" si="241"/>
        <v>0.51</v>
      </c>
      <c r="CG333" s="537">
        <v>0.51</v>
      </c>
      <c r="CH333" s="537">
        <v>0.51</v>
      </c>
      <c r="CI333" s="537">
        <v>0.51</v>
      </c>
      <c r="CJ333" s="537">
        <v>0.51</v>
      </c>
      <c r="CK333" s="537">
        <v>0.51</v>
      </c>
      <c r="CL333" s="537">
        <v>0.51</v>
      </c>
      <c r="CM333" s="537">
        <v>0.51</v>
      </c>
      <c r="CN333" s="537">
        <v>0.51</v>
      </c>
      <c r="CO333" s="537">
        <v>0.51</v>
      </c>
      <c r="CP333" s="537">
        <v>0.51</v>
      </c>
      <c r="CQ333" s="537">
        <v>0.51</v>
      </c>
      <c r="CR333" s="537">
        <v>0.51</v>
      </c>
      <c r="CS333" s="537">
        <v>0.51</v>
      </c>
      <c r="CT333" s="537">
        <v>0.51</v>
      </c>
      <c r="CU333" s="537">
        <v>0.51</v>
      </c>
      <c r="CV333" s="537">
        <v>0.51</v>
      </c>
      <c r="CW333" s="537">
        <v>0.51</v>
      </c>
      <c r="CX333" s="537">
        <v>0.51</v>
      </c>
      <c r="CY333" s="537">
        <v>0.51</v>
      </c>
      <c r="CZ333" s="537">
        <v>0.51</v>
      </c>
      <c r="DA333" s="537">
        <v>0.51</v>
      </c>
      <c r="DB333" s="537">
        <v>0.51</v>
      </c>
      <c r="DC333" s="537">
        <v>0.51</v>
      </c>
      <c r="DD333" s="537">
        <v>0.51</v>
      </c>
      <c r="DE333" s="537">
        <v>0.51</v>
      </c>
      <c r="DF333" s="537">
        <v>0.51</v>
      </c>
      <c r="DG333" s="537">
        <v>0.51</v>
      </c>
      <c r="DH333" s="537">
        <v>0.51</v>
      </c>
    </row>
    <row r="334" spans="2:112">
      <c r="B334" t="s">
        <v>1196</v>
      </c>
      <c r="C334" t="s">
        <v>800</v>
      </c>
      <c r="D334" t="s">
        <v>890</v>
      </c>
      <c r="E334" t="s">
        <v>178</v>
      </c>
      <c r="F334" s="537">
        <v>0.51</v>
      </c>
      <c r="G334" s="537">
        <v>0.51</v>
      </c>
      <c r="H334" s="537">
        <v>0.51</v>
      </c>
      <c r="I334" s="537">
        <v>0.51</v>
      </c>
      <c r="J334" s="537">
        <v>0.51</v>
      </c>
      <c r="K334" s="537">
        <v>0.51</v>
      </c>
      <c r="L334" s="537">
        <v>0.51</v>
      </c>
      <c r="M334" s="537">
        <v>0.51</v>
      </c>
      <c r="N334" s="537">
        <v>0.51</v>
      </c>
      <c r="O334" s="537">
        <v>0.51</v>
      </c>
      <c r="P334" s="537">
        <v>0.51</v>
      </c>
      <c r="Q334" s="537">
        <v>0.51</v>
      </c>
      <c r="R334" s="537">
        <v>0.51</v>
      </c>
      <c r="S334" s="537">
        <v>0.51</v>
      </c>
      <c r="T334" s="537">
        <v>0.51</v>
      </c>
      <c r="U334" s="537">
        <v>0.51</v>
      </c>
      <c r="V334" s="537">
        <v>0.51</v>
      </c>
      <c r="W334" s="537">
        <v>0.51</v>
      </c>
      <c r="X334" s="537">
        <v>0.51</v>
      </c>
      <c r="Y334" s="537">
        <v>0.51</v>
      </c>
      <c r="Z334" s="537">
        <v>0.51</v>
      </c>
      <c r="AA334" s="537">
        <v>0.51</v>
      </c>
      <c r="AB334" s="537">
        <v>0.51</v>
      </c>
      <c r="AC334" s="537">
        <v>0.51</v>
      </c>
      <c r="AD334" s="537">
        <v>0.51</v>
      </c>
      <c r="AE334" s="537">
        <v>0.51</v>
      </c>
      <c r="AF334" s="537">
        <v>0.51</v>
      </c>
      <c r="AG334" s="537">
        <v>0.51</v>
      </c>
      <c r="AH334" s="526">
        <f t="shared" si="242"/>
        <v>0.51</v>
      </c>
      <c r="AI334" s="526">
        <f t="shared" si="242"/>
        <v>0.51</v>
      </c>
      <c r="AJ334" s="526">
        <f t="shared" si="242"/>
        <v>0.51</v>
      </c>
      <c r="AK334" s="526">
        <f t="shared" si="242"/>
        <v>0.51</v>
      </c>
      <c r="AL334" s="526">
        <f t="shared" si="242"/>
        <v>0.51</v>
      </c>
      <c r="AM334" s="526">
        <f t="shared" si="242"/>
        <v>0.51</v>
      </c>
      <c r="AN334" s="526">
        <f t="shared" si="242"/>
        <v>0.51</v>
      </c>
      <c r="AO334" s="526">
        <f t="shared" si="242"/>
        <v>0.51</v>
      </c>
      <c r="AP334" s="526">
        <f t="shared" si="242"/>
        <v>0.51</v>
      </c>
      <c r="AQ334" s="526">
        <f t="shared" si="242"/>
        <v>0.51</v>
      </c>
      <c r="AR334" s="526">
        <f t="shared" si="242"/>
        <v>0.51</v>
      </c>
      <c r="AS334" s="526">
        <f t="shared" si="242"/>
        <v>0.51</v>
      </c>
      <c r="AT334" s="526">
        <f t="shared" si="242"/>
        <v>0.51</v>
      </c>
      <c r="AU334" s="526">
        <f t="shared" si="242"/>
        <v>0.51</v>
      </c>
      <c r="AV334" s="526">
        <f t="shared" si="242"/>
        <v>0.51</v>
      </c>
      <c r="AW334" s="526">
        <f t="shared" si="242"/>
        <v>0.51</v>
      </c>
      <c r="AX334" s="526">
        <f t="shared" si="241"/>
        <v>0.51</v>
      </c>
      <c r="AY334" s="526">
        <f t="shared" si="241"/>
        <v>0.51</v>
      </c>
      <c r="AZ334" s="526">
        <f t="shared" si="241"/>
        <v>0.51</v>
      </c>
      <c r="BA334" s="526">
        <f t="shared" si="241"/>
        <v>0.51</v>
      </c>
      <c r="BB334" s="526">
        <f t="shared" si="241"/>
        <v>0.51</v>
      </c>
      <c r="BC334" s="526">
        <f t="shared" si="241"/>
        <v>0.51</v>
      </c>
      <c r="BD334" s="526">
        <f t="shared" si="241"/>
        <v>0.51</v>
      </c>
      <c r="BE334" s="526">
        <f t="shared" si="241"/>
        <v>0.51</v>
      </c>
      <c r="BF334" s="526">
        <f t="shared" si="241"/>
        <v>0.51</v>
      </c>
      <c r="BG334" s="526">
        <f t="shared" si="241"/>
        <v>0.51</v>
      </c>
      <c r="BH334" s="526">
        <f t="shared" si="241"/>
        <v>0.51</v>
      </c>
      <c r="BI334" s="526">
        <f t="shared" si="241"/>
        <v>0.51</v>
      </c>
      <c r="BJ334" s="526">
        <f t="shared" si="241"/>
        <v>0.51</v>
      </c>
      <c r="BK334" s="526">
        <f t="shared" si="241"/>
        <v>0.51</v>
      </c>
      <c r="BL334" s="526">
        <f t="shared" si="241"/>
        <v>0.51</v>
      </c>
      <c r="BM334" s="526">
        <f t="shared" si="241"/>
        <v>0.51</v>
      </c>
      <c r="BN334" s="526">
        <f t="shared" si="241"/>
        <v>0.51</v>
      </c>
      <c r="BO334" s="526">
        <f t="shared" si="241"/>
        <v>0.51</v>
      </c>
      <c r="BP334" s="526">
        <f t="shared" si="241"/>
        <v>0.51</v>
      </c>
      <c r="BQ334" s="526">
        <f t="shared" si="241"/>
        <v>0.51</v>
      </c>
      <c r="BR334" s="526">
        <f t="shared" si="241"/>
        <v>0.51</v>
      </c>
      <c r="BS334" s="526">
        <f t="shared" si="241"/>
        <v>0.51</v>
      </c>
      <c r="BT334" s="526">
        <f t="shared" si="241"/>
        <v>0.51</v>
      </c>
      <c r="BU334" s="526">
        <f t="shared" si="241"/>
        <v>0.51</v>
      </c>
      <c r="BV334" s="526">
        <f t="shared" si="241"/>
        <v>0.51</v>
      </c>
      <c r="BW334" s="526">
        <f t="shared" si="241"/>
        <v>0.51</v>
      </c>
      <c r="BX334" s="526">
        <f t="shared" si="241"/>
        <v>0.51</v>
      </c>
      <c r="BY334" s="526">
        <f t="shared" si="241"/>
        <v>0.51</v>
      </c>
      <c r="BZ334" s="526">
        <f t="shared" si="241"/>
        <v>0.51</v>
      </c>
      <c r="CA334" s="526">
        <f t="shared" si="241"/>
        <v>0.51</v>
      </c>
      <c r="CB334" s="526">
        <f t="shared" si="241"/>
        <v>0.51</v>
      </c>
      <c r="CC334" s="526">
        <f t="shared" si="241"/>
        <v>0.51</v>
      </c>
      <c r="CD334" s="526">
        <f t="shared" si="241"/>
        <v>0.51</v>
      </c>
      <c r="CE334" s="526">
        <f t="shared" si="241"/>
        <v>0.51</v>
      </c>
      <c r="CG334" s="537">
        <v>0.51</v>
      </c>
      <c r="CH334" s="537">
        <v>0.51</v>
      </c>
      <c r="CI334" s="537">
        <v>0.51</v>
      </c>
      <c r="CJ334" s="537">
        <v>0.51</v>
      </c>
      <c r="CK334" s="537">
        <v>0.51</v>
      </c>
      <c r="CL334" s="537">
        <v>0.51</v>
      </c>
      <c r="CM334" s="537">
        <v>0.51</v>
      </c>
      <c r="CN334" s="537">
        <v>0.51</v>
      </c>
      <c r="CO334" s="537">
        <v>0.51</v>
      </c>
      <c r="CP334" s="537">
        <v>0.51</v>
      </c>
      <c r="CQ334" s="537">
        <v>0.51</v>
      </c>
      <c r="CR334" s="537">
        <v>0.51</v>
      </c>
      <c r="CS334" s="537">
        <v>0.51</v>
      </c>
      <c r="CT334" s="537">
        <v>0.51</v>
      </c>
      <c r="CU334" s="537">
        <v>0.51</v>
      </c>
      <c r="CV334" s="537">
        <v>0.51</v>
      </c>
      <c r="CW334" s="537">
        <v>0.51</v>
      </c>
      <c r="CX334" s="537">
        <v>0.51</v>
      </c>
      <c r="CY334" s="537">
        <v>0.51</v>
      </c>
      <c r="CZ334" s="537">
        <v>0.51</v>
      </c>
      <c r="DA334" s="537">
        <v>0.51</v>
      </c>
      <c r="DB334" s="537">
        <v>0.51</v>
      </c>
      <c r="DC334" s="537">
        <v>0.51</v>
      </c>
      <c r="DD334" s="537">
        <v>0.51</v>
      </c>
      <c r="DE334" s="537">
        <v>0.51</v>
      </c>
      <c r="DF334" s="537">
        <v>0.51</v>
      </c>
      <c r="DG334" s="537">
        <v>0.51</v>
      </c>
      <c r="DH334" s="537">
        <v>0.51</v>
      </c>
    </row>
    <row r="335" spans="2:112">
      <c r="B335" t="s">
        <v>1197</v>
      </c>
      <c r="C335" t="s">
        <v>800</v>
      </c>
      <c r="D335" t="s">
        <v>892</v>
      </c>
      <c r="E335" t="s">
        <v>178</v>
      </c>
      <c r="F335" s="537">
        <v>0.51</v>
      </c>
      <c r="G335" s="537">
        <v>0.51</v>
      </c>
      <c r="H335" s="537">
        <v>0.51</v>
      </c>
      <c r="I335" s="537">
        <v>0.51</v>
      </c>
      <c r="J335" s="537">
        <v>0.51</v>
      </c>
      <c r="K335" s="537">
        <v>0.51</v>
      </c>
      <c r="L335" s="537">
        <v>0.51</v>
      </c>
      <c r="M335" s="537">
        <v>0.51</v>
      </c>
      <c r="N335" s="537">
        <v>0.51</v>
      </c>
      <c r="O335" s="537">
        <v>0.51</v>
      </c>
      <c r="P335" s="537">
        <v>0.51</v>
      </c>
      <c r="Q335" s="537">
        <v>0.51</v>
      </c>
      <c r="R335" s="537">
        <v>0.51</v>
      </c>
      <c r="S335" s="537">
        <v>0.51</v>
      </c>
      <c r="T335" s="537">
        <v>0.51</v>
      </c>
      <c r="U335" s="537">
        <v>0.51</v>
      </c>
      <c r="V335" s="537">
        <v>0.51</v>
      </c>
      <c r="W335" s="537">
        <v>0.51</v>
      </c>
      <c r="X335" s="537">
        <v>0.51</v>
      </c>
      <c r="Y335" s="537">
        <v>0.51</v>
      </c>
      <c r="Z335" s="537">
        <v>0.51</v>
      </c>
      <c r="AA335" s="537">
        <v>0.51</v>
      </c>
      <c r="AB335" s="537">
        <v>0.51</v>
      </c>
      <c r="AC335" s="537">
        <v>0.51</v>
      </c>
      <c r="AD335" s="537">
        <v>0.51</v>
      </c>
      <c r="AE335" s="537">
        <v>0.51</v>
      </c>
      <c r="AF335" s="537">
        <v>0.51</v>
      </c>
      <c r="AG335" s="537">
        <v>0.51</v>
      </c>
      <c r="AH335" s="526">
        <f t="shared" si="242"/>
        <v>0.51</v>
      </c>
      <c r="AI335" s="526">
        <f t="shared" si="242"/>
        <v>0.51</v>
      </c>
      <c r="AJ335" s="526">
        <f t="shared" si="242"/>
        <v>0.51</v>
      </c>
      <c r="AK335" s="526">
        <f t="shared" si="242"/>
        <v>0.51</v>
      </c>
      <c r="AL335" s="526">
        <f t="shared" si="242"/>
        <v>0.51</v>
      </c>
      <c r="AM335" s="526">
        <f t="shared" si="242"/>
        <v>0.51</v>
      </c>
      <c r="AN335" s="526">
        <f t="shared" si="242"/>
        <v>0.51</v>
      </c>
      <c r="AO335" s="526">
        <f t="shared" si="242"/>
        <v>0.51</v>
      </c>
      <c r="AP335" s="526">
        <f t="shared" si="242"/>
        <v>0.51</v>
      </c>
      <c r="AQ335" s="526">
        <f t="shared" si="242"/>
        <v>0.51</v>
      </c>
      <c r="AR335" s="526">
        <f t="shared" si="242"/>
        <v>0.51</v>
      </c>
      <c r="AS335" s="526">
        <f t="shared" si="242"/>
        <v>0.51</v>
      </c>
      <c r="AT335" s="526">
        <f t="shared" si="242"/>
        <v>0.51</v>
      </c>
      <c r="AU335" s="526">
        <f t="shared" si="242"/>
        <v>0.51</v>
      </c>
      <c r="AV335" s="526">
        <f t="shared" si="242"/>
        <v>0.51</v>
      </c>
      <c r="AW335" s="526">
        <f t="shared" si="242"/>
        <v>0.51</v>
      </c>
      <c r="AX335" s="526">
        <f t="shared" si="241"/>
        <v>0.51</v>
      </c>
      <c r="AY335" s="526">
        <f t="shared" si="241"/>
        <v>0.51</v>
      </c>
      <c r="AZ335" s="526">
        <f t="shared" si="241"/>
        <v>0.51</v>
      </c>
      <c r="BA335" s="526">
        <f t="shared" si="241"/>
        <v>0.51</v>
      </c>
      <c r="BB335" s="526">
        <f t="shared" si="241"/>
        <v>0.51</v>
      </c>
      <c r="BC335" s="526">
        <f t="shared" si="241"/>
        <v>0.51</v>
      </c>
      <c r="BD335" s="526">
        <f t="shared" si="241"/>
        <v>0.51</v>
      </c>
      <c r="BE335" s="526">
        <f t="shared" si="241"/>
        <v>0.51</v>
      </c>
      <c r="BF335" s="526">
        <f t="shared" si="241"/>
        <v>0.51</v>
      </c>
      <c r="BG335" s="526">
        <f t="shared" si="241"/>
        <v>0.51</v>
      </c>
      <c r="BH335" s="526">
        <f t="shared" si="241"/>
        <v>0.51</v>
      </c>
      <c r="BI335" s="526">
        <f t="shared" si="241"/>
        <v>0.51</v>
      </c>
      <c r="BJ335" s="526">
        <f t="shared" si="241"/>
        <v>0.51</v>
      </c>
      <c r="BK335" s="526">
        <f t="shared" si="241"/>
        <v>0.51</v>
      </c>
      <c r="BL335" s="526">
        <f t="shared" si="241"/>
        <v>0.51</v>
      </c>
      <c r="BM335" s="526">
        <f t="shared" si="241"/>
        <v>0.51</v>
      </c>
      <c r="BN335" s="526">
        <f t="shared" si="241"/>
        <v>0.51</v>
      </c>
      <c r="BO335" s="526">
        <f t="shared" si="241"/>
        <v>0.51</v>
      </c>
      <c r="BP335" s="526">
        <f t="shared" si="241"/>
        <v>0.51</v>
      </c>
      <c r="BQ335" s="526">
        <f t="shared" si="241"/>
        <v>0.51</v>
      </c>
      <c r="BR335" s="526">
        <f t="shared" si="241"/>
        <v>0.51</v>
      </c>
      <c r="BS335" s="526">
        <f t="shared" si="241"/>
        <v>0.51</v>
      </c>
      <c r="BT335" s="526">
        <f t="shared" si="241"/>
        <v>0.51</v>
      </c>
      <c r="BU335" s="526">
        <f t="shared" si="241"/>
        <v>0.51</v>
      </c>
      <c r="BV335" s="526">
        <f t="shared" si="241"/>
        <v>0.51</v>
      </c>
      <c r="BW335" s="526">
        <f t="shared" si="241"/>
        <v>0.51</v>
      </c>
      <c r="BX335" s="526">
        <f t="shared" si="241"/>
        <v>0.51</v>
      </c>
      <c r="BY335" s="526">
        <f t="shared" si="241"/>
        <v>0.51</v>
      </c>
      <c r="BZ335" s="526">
        <f t="shared" si="241"/>
        <v>0.51</v>
      </c>
      <c r="CA335" s="526">
        <f t="shared" si="241"/>
        <v>0.51</v>
      </c>
      <c r="CB335" s="526">
        <f t="shared" si="241"/>
        <v>0.51</v>
      </c>
      <c r="CC335" s="526">
        <f t="shared" si="241"/>
        <v>0.51</v>
      </c>
      <c r="CD335" s="526">
        <f t="shared" si="241"/>
        <v>0.51</v>
      </c>
      <c r="CE335" s="526">
        <f t="shared" si="241"/>
        <v>0.51</v>
      </c>
      <c r="CG335" s="537">
        <v>0.51</v>
      </c>
      <c r="CH335" s="537">
        <v>0.51</v>
      </c>
      <c r="CI335" s="537">
        <v>0.51</v>
      </c>
      <c r="CJ335" s="537">
        <v>0.51</v>
      </c>
      <c r="CK335" s="537">
        <v>0.51</v>
      </c>
      <c r="CL335" s="537">
        <v>0.51</v>
      </c>
      <c r="CM335" s="537">
        <v>0.51</v>
      </c>
      <c r="CN335" s="537">
        <v>0.51</v>
      </c>
      <c r="CO335" s="537">
        <v>0.51</v>
      </c>
      <c r="CP335" s="537">
        <v>0.51</v>
      </c>
      <c r="CQ335" s="537">
        <v>0.51</v>
      </c>
      <c r="CR335" s="537">
        <v>0.51</v>
      </c>
      <c r="CS335" s="537">
        <v>0.51</v>
      </c>
      <c r="CT335" s="537">
        <v>0.51</v>
      </c>
      <c r="CU335" s="537">
        <v>0.51</v>
      </c>
      <c r="CV335" s="537">
        <v>0.51</v>
      </c>
      <c r="CW335" s="537">
        <v>0.51</v>
      </c>
      <c r="CX335" s="537">
        <v>0.51</v>
      </c>
      <c r="CY335" s="537">
        <v>0.51</v>
      </c>
      <c r="CZ335" s="537">
        <v>0.51</v>
      </c>
      <c r="DA335" s="537">
        <v>0.51</v>
      </c>
      <c r="DB335" s="537">
        <v>0.51</v>
      </c>
      <c r="DC335" s="537">
        <v>0.51</v>
      </c>
      <c r="DD335" s="537">
        <v>0.51</v>
      </c>
      <c r="DE335" s="537">
        <v>0.51</v>
      </c>
      <c r="DF335" s="537">
        <v>0.51</v>
      </c>
      <c r="DG335" s="537">
        <v>0.51</v>
      </c>
      <c r="DH335" s="537">
        <v>0.51</v>
      </c>
    </row>
    <row r="336" spans="2:112">
      <c r="B336" t="s">
        <v>1198</v>
      </c>
      <c r="C336" t="s">
        <v>800</v>
      </c>
      <c r="D336" t="s">
        <v>894</v>
      </c>
      <c r="E336" t="s">
        <v>895</v>
      </c>
      <c r="F336" s="537">
        <v>0</v>
      </c>
      <c r="G336" s="537">
        <v>0</v>
      </c>
      <c r="H336" s="537">
        <v>0</v>
      </c>
      <c r="I336" s="537">
        <v>0</v>
      </c>
      <c r="J336" s="537">
        <v>0</v>
      </c>
      <c r="K336" s="537">
        <v>0</v>
      </c>
      <c r="L336" s="537">
        <v>0</v>
      </c>
      <c r="M336" s="537">
        <v>0</v>
      </c>
      <c r="N336" s="537">
        <v>0</v>
      </c>
      <c r="O336" s="537">
        <v>0</v>
      </c>
      <c r="P336" s="537">
        <v>0</v>
      </c>
      <c r="Q336" s="537">
        <v>0</v>
      </c>
      <c r="R336" s="537">
        <v>0</v>
      </c>
      <c r="S336" s="537">
        <v>0</v>
      </c>
      <c r="T336" s="537">
        <v>0</v>
      </c>
      <c r="U336" s="537">
        <v>0</v>
      </c>
      <c r="V336" s="537">
        <v>0</v>
      </c>
      <c r="W336" s="537">
        <v>0</v>
      </c>
      <c r="X336" s="537">
        <v>0</v>
      </c>
      <c r="Y336" s="537">
        <v>0</v>
      </c>
      <c r="Z336" s="537">
        <v>0</v>
      </c>
      <c r="AA336" s="537">
        <v>0</v>
      </c>
      <c r="AB336" s="537">
        <v>0</v>
      </c>
      <c r="AC336" s="537">
        <v>0</v>
      </c>
      <c r="AD336" s="537">
        <v>0</v>
      </c>
      <c r="AE336" s="537">
        <v>0</v>
      </c>
      <c r="AF336" s="537">
        <v>0</v>
      </c>
      <c r="AG336" s="537">
        <v>0</v>
      </c>
      <c r="AH336" s="538">
        <f t="shared" si="242"/>
        <v>0</v>
      </c>
      <c r="AI336" s="538">
        <f t="shared" si="242"/>
        <v>0</v>
      </c>
      <c r="AJ336" s="538">
        <f t="shared" si="242"/>
        <v>0</v>
      </c>
      <c r="AK336" s="538">
        <f t="shared" si="242"/>
        <v>0</v>
      </c>
      <c r="AL336" s="538">
        <f t="shared" si="242"/>
        <v>0</v>
      </c>
      <c r="AM336" s="538">
        <f t="shared" si="242"/>
        <v>0</v>
      </c>
      <c r="AN336" s="538">
        <f t="shared" si="242"/>
        <v>0</v>
      </c>
      <c r="AO336" s="538">
        <f t="shared" si="242"/>
        <v>0</v>
      </c>
      <c r="AP336" s="538">
        <f t="shared" si="242"/>
        <v>0</v>
      </c>
      <c r="AQ336" s="538">
        <f t="shared" si="242"/>
        <v>0</v>
      </c>
      <c r="AR336" s="538">
        <f t="shared" si="242"/>
        <v>0</v>
      </c>
      <c r="AS336" s="538">
        <f t="shared" si="242"/>
        <v>0</v>
      </c>
      <c r="AT336" s="538">
        <f t="shared" si="242"/>
        <v>0</v>
      </c>
      <c r="AU336" s="538">
        <f t="shared" si="242"/>
        <v>0</v>
      </c>
      <c r="AV336" s="538">
        <f t="shared" si="242"/>
        <v>0</v>
      </c>
      <c r="AW336" s="538">
        <f t="shared" si="242"/>
        <v>0</v>
      </c>
      <c r="AX336" s="538">
        <f t="shared" si="241"/>
        <v>0</v>
      </c>
      <c r="AY336" s="538">
        <f t="shared" si="241"/>
        <v>0</v>
      </c>
      <c r="AZ336" s="538">
        <f t="shared" si="241"/>
        <v>0</v>
      </c>
      <c r="BA336" s="538">
        <f t="shared" si="241"/>
        <v>0</v>
      </c>
      <c r="BB336" s="538">
        <f t="shared" si="241"/>
        <v>0</v>
      </c>
      <c r="BC336" s="538">
        <f t="shared" si="241"/>
        <v>0</v>
      </c>
      <c r="BD336" s="538">
        <f t="shared" si="241"/>
        <v>0</v>
      </c>
      <c r="BE336" s="538">
        <f t="shared" si="241"/>
        <v>0</v>
      </c>
      <c r="BF336" s="538">
        <f t="shared" si="241"/>
        <v>0</v>
      </c>
      <c r="BG336" s="538">
        <f t="shared" si="241"/>
        <v>0</v>
      </c>
      <c r="BH336" s="538">
        <f t="shared" si="241"/>
        <v>0</v>
      </c>
      <c r="BI336" s="538">
        <f t="shared" si="241"/>
        <v>0</v>
      </c>
      <c r="BJ336" s="538">
        <f t="shared" si="241"/>
        <v>0</v>
      </c>
      <c r="BK336" s="538">
        <f t="shared" si="241"/>
        <v>0</v>
      </c>
      <c r="BL336" s="538">
        <f t="shared" si="241"/>
        <v>0</v>
      </c>
      <c r="BM336" s="538">
        <f t="shared" si="241"/>
        <v>0</v>
      </c>
      <c r="BN336" s="538">
        <f t="shared" si="241"/>
        <v>0</v>
      </c>
      <c r="BO336" s="538">
        <f t="shared" si="241"/>
        <v>0</v>
      </c>
      <c r="BP336" s="538">
        <f t="shared" si="241"/>
        <v>0</v>
      </c>
      <c r="BQ336" s="538">
        <f t="shared" si="241"/>
        <v>0</v>
      </c>
      <c r="BR336" s="538">
        <f t="shared" si="241"/>
        <v>0</v>
      </c>
      <c r="BS336" s="538">
        <f t="shared" si="241"/>
        <v>0</v>
      </c>
      <c r="BT336" s="538">
        <f t="shared" si="241"/>
        <v>0</v>
      </c>
      <c r="BU336" s="538">
        <f t="shared" si="241"/>
        <v>0</v>
      </c>
      <c r="BV336" s="538">
        <f t="shared" si="241"/>
        <v>0</v>
      </c>
      <c r="BW336" s="538">
        <f t="shared" si="241"/>
        <v>0</v>
      </c>
      <c r="BX336" s="538">
        <f t="shared" si="241"/>
        <v>0</v>
      </c>
      <c r="BY336" s="538">
        <f t="shared" si="241"/>
        <v>0</v>
      </c>
      <c r="BZ336" s="538">
        <f t="shared" si="241"/>
        <v>0</v>
      </c>
      <c r="CA336" s="538">
        <f t="shared" si="241"/>
        <v>0</v>
      </c>
      <c r="CB336" s="538">
        <f t="shared" si="241"/>
        <v>0</v>
      </c>
      <c r="CC336" s="538">
        <f t="shared" si="241"/>
        <v>0</v>
      </c>
      <c r="CD336" s="538">
        <f t="shared" si="241"/>
        <v>0</v>
      </c>
      <c r="CE336" s="538">
        <f t="shared" si="241"/>
        <v>0</v>
      </c>
      <c r="CG336" s="537">
        <v>0</v>
      </c>
      <c r="CH336" s="537">
        <v>0</v>
      </c>
      <c r="CI336" s="537">
        <v>0</v>
      </c>
      <c r="CJ336" s="537">
        <v>0</v>
      </c>
      <c r="CK336" s="537">
        <v>0</v>
      </c>
      <c r="CL336" s="537">
        <v>0</v>
      </c>
      <c r="CM336" s="537">
        <v>0</v>
      </c>
      <c r="CN336" s="537">
        <v>0</v>
      </c>
      <c r="CO336" s="537">
        <v>0</v>
      </c>
      <c r="CP336" s="537">
        <v>0</v>
      </c>
      <c r="CQ336" s="537">
        <v>0</v>
      </c>
      <c r="CR336" s="537">
        <v>0</v>
      </c>
      <c r="CS336" s="537">
        <v>0</v>
      </c>
      <c r="CT336" s="537">
        <v>0</v>
      </c>
      <c r="CU336" s="537">
        <v>0</v>
      </c>
      <c r="CV336" s="537">
        <v>0</v>
      </c>
      <c r="CW336" s="537">
        <v>0</v>
      </c>
      <c r="CX336" s="537">
        <v>0</v>
      </c>
      <c r="CY336" s="537">
        <v>0</v>
      </c>
      <c r="CZ336" s="537">
        <v>0</v>
      </c>
      <c r="DA336" s="537">
        <v>0</v>
      </c>
      <c r="DB336" s="537">
        <v>0</v>
      </c>
      <c r="DC336" s="537">
        <v>0</v>
      </c>
      <c r="DD336" s="537">
        <v>0</v>
      </c>
      <c r="DE336" s="537">
        <v>0</v>
      </c>
      <c r="DF336" s="537">
        <v>0</v>
      </c>
      <c r="DG336" s="537">
        <v>0</v>
      </c>
      <c r="DH336" s="537">
        <v>0</v>
      </c>
    </row>
    <row r="337" spans="2:112">
      <c r="B337" t="s">
        <v>1199</v>
      </c>
      <c r="C337" t="s">
        <v>800</v>
      </c>
      <c r="D337" t="s">
        <v>897</v>
      </c>
      <c r="E337" t="s">
        <v>895</v>
      </c>
      <c r="F337" s="537">
        <v>0.01</v>
      </c>
      <c r="G337" s="537">
        <v>0.01</v>
      </c>
      <c r="H337" s="537">
        <v>0.01</v>
      </c>
      <c r="I337" s="537">
        <v>0.01</v>
      </c>
      <c r="J337" s="537">
        <v>0.01</v>
      </c>
      <c r="K337" s="537">
        <v>0.01</v>
      </c>
      <c r="L337" s="537">
        <v>0.01</v>
      </c>
      <c r="M337" s="537">
        <v>0.01</v>
      </c>
      <c r="N337" s="537">
        <v>0.01</v>
      </c>
      <c r="O337" s="537">
        <v>0.01</v>
      </c>
      <c r="P337" s="537">
        <v>0.01</v>
      </c>
      <c r="Q337" s="537">
        <v>0.01</v>
      </c>
      <c r="R337" s="537">
        <v>0.01</v>
      </c>
      <c r="S337" s="537">
        <v>0.01</v>
      </c>
      <c r="T337" s="537">
        <v>0.01</v>
      </c>
      <c r="U337" s="537">
        <v>0.01</v>
      </c>
      <c r="V337" s="537">
        <v>0.01</v>
      </c>
      <c r="W337" s="537">
        <v>0.01</v>
      </c>
      <c r="X337" s="537">
        <v>0.01</v>
      </c>
      <c r="Y337" s="537">
        <v>0.01</v>
      </c>
      <c r="Z337" s="537">
        <v>0.01</v>
      </c>
      <c r="AA337" s="537">
        <v>0.01</v>
      </c>
      <c r="AB337" s="537">
        <v>0.01</v>
      </c>
      <c r="AC337" s="537">
        <v>0.01</v>
      </c>
      <c r="AD337" s="537">
        <v>0.01</v>
      </c>
      <c r="AE337" s="537">
        <v>0.01</v>
      </c>
      <c r="AF337" s="537">
        <v>0.01</v>
      </c>
      <c r="AG337" s="537">
        <v>0.01</v>
      </c>
      <c r="AH337" s="538">
        <f t="shared" si="242"/>
        <v>0.01</v>
      </c>
      <c r="AI337" s="538">
        <f t="shared" si="242"/>
        <v>0.01</v>
      </c>
      <c r="AJ337" s="538">
        <f t="shared" si="242"/>
        <v>0.01</v>
      </c>
      <c r="AK337" s="538">
        <f t="shared" si="242"/>
        <v>0.01</v>
      </c>
      <c r="AL337" s="538">
        <f t="shared" si="242"/>
        <v>0.01</v>
      </c>
      <c r="AM337" s="538">
        <f t="shared" si="242"/>
        <v>0.01</v>
      </c>
      <c r="AN337" s="538">
        <f t="shared" si="242"/>
        <v>0.01</v>
      </c>
      <c r="AO337" s="538">
        <f t="shared" si="242"/>
        <v>0.01</v>
      </c>
      <c r="AP337" s="538">
        <f t="shared" si="242"/>
        <v>0.01</v>
      </c>
      <c r="AQ337" s="538">
        <f t="shared" si="242"/>
        <v>0.01</v>
      </c>
      <c r="AR337" s="538">
        <f t="shared" si="242"/>
        <v>0.01</v>
      </c>
      <c r="AS337" s="538">
        <f t="shared" si="242"/>
        <v>0.01</v>
      </c>
      <c r="AT337" s="538">
        <f t="shared" si="242"/>
        <v>0.01</v>
      </c>
      <c r="AU337" s="538">
        <f t="shared" si="242"/>
        <v>0.01</v>
      </c>
      <c r="AV337" s="538">
        <f t="shared" si="242"/>
        <v>0.01</v>
      </c>
      <c r="AW337" s="538">
        <f t="shared" si="242"/>
        <v>0.01</v>
      </c>
      <c r="AX337" s="538">
        <f t="shared" si="241"/>
        <v>0.01</v>
      </c>
      <c r="AY337" s="538">
        <f t="shared" si="241"/>
        <v>0.01</v>
      </c>
      <c r="AZ337" s="538">
        <f t="shared" si="241"/>
        <v>0.01</v>
      </c>
      <c r="BA337" s="538">
        <f t="shared" si="241"/>
        <v>0.01</v>
      </c>
      <c r="BB337" s="538">
        <f t="shared" si="241"/>
        <v>0.01</v>
      </c>
      <c r="BC337" s="538">
        <f t="shared" si="241"/>
        <v>0.01</v>
      </c>
      <c r="BD337" s="538">
        <f t="shared" si="241"/>
        <v>0.01</v>
      </c>
      <c r="BE337" s="538">
        <f t="shared" si="241"/>
        <v>0.01</v>
      </c>
      <c r="BF337" s="538">
        <f t="shared" si="241"/>
        <v>0.01</v>
      </c>
      <c r="BG337" s="538">
        <f t="shared" si="241"/>
        <v>0.01</v>
      </c>
      <c r="BH337" s="538">
        <f t="shared" si="241"/>
        <v>0.01</v>
      </c>
      <c r="BI337" s="538">
        <f t="shared" si="241"/>
        <v>0.01</v>
      </c>
      <c r="BJ337" s="538">
        <f t="shared" si="241"/>
        <v>0.01</v>
      </c>
      <c r="BK337" s="538">
        <f t="shared" si="241"/>
        <v>0.01</v>
      </c>
      <c r="BL337" s="538">
        <f t="shared" si="241"/>
        <v>0.01</v>
      </c>
      <c r="BM337" s="538">
        <f t="shared" si="241"/>
        <v>0.01</v>
      </c>
      <c r="BN337" s="538">
        <f t="shared" ref="BN337:CC339" si="243">BM337</f>
        <v>0.01</v>
      </c>
      <c r="BO337" s="538">
        <f t="shared" si="243"/>
        <v>0.01</v>
      </c>
      <c r="BP337" s="538">
        <f t="shared" si="243"/>
        <v>0.01</v>
      </c>
      <c r="BQ337" s="538">
        <f t="shared" si="243"/>
        <v>0.01</v>
      </c>
      <c r="BR337" s="538">
        <f t="shared" si="243"/>
        <v>0.01</v>
      </c>
      <c r="BS337" s="538">
        <f t="shared" si="243"/>
        <v>0.01</v>
      </c>
      <c r="BT337" s="538">
        <f t="shared" si="243"/>
        <v>0.01</v>
      </c>
      <c r="BU337" s="538">
        <f t="shared" si="243"/>
        <v>0.01</v>
      </c>
      <c r="BV337" s="538">
        <f t="shared" si="243"/>
        <v>0.01</v>
      </c>
      <c r="BW337" s="538">
        <f t="shared" si="243"/>
        <v>0.01</v>
      </c>
      <c r="BX337" s="538">
        <f t="shared" si="243"/>
        <v>0.01</v>
      </c>
      <c r="BY337" s="538">
        <f t="shared" si="243"/>
        <v>0.01</v>
      </c>
      <c r="BZ337" s="538">
        <f t="shared" si="243"/>
        <v>0.01</v>
      </c>
      <c r="CA337" s="538">
        <f t="shared" si="243"/>
        <v>0.01</v>
      </c>
      <c r="CB337" s="538">
        <f t="shared" si="243"/>
        <v>0.01</v>
      </c>
      <c r="CC337" s="538">
        <f t="shared" si="243"/>
        <v>0.01</v>
      </c>
      <c r="CD337" s="538">
        <f t="shared" ref="CD337:CE339" si="244">CC337</f>
        <v>0.01</v>
      </c>
      <c r="CE337" s="538">
        <f t="shared" si="244"/>
        <v>0.01</v>
      </c>
      <c r="CG337" s="537">
        <v>0.01</v>
      </c>
      <c r="CH337" s="537">
        <v>0.01</v>
      </c>
      <c r="CI337" s="537">
        <v>0.01</v>
      </c>
      <c r="CJ337" s="537">
        <v>0.01</v>
      </c>
      <c r="CK337" s="537">
        <v>0.01</v>
      </c>
      <c r="CL337" s="537">
        <v>0.01</v>
      </c>
      <c r="CM337" s="537">
        <v>0.01</v>
      </c>
      <c r="CN337" s="537">
        <v>0.01</v>
      </c>
      <c r="CO337" s="537">
        <v>0.01</v>
      </c>
      <c r="CP337" s="537">
        <v>0.01</v>
      </c>
      <c r="CQ337" s="537">
        <v>0.01</v>
      </c>
      <c r="CR337" s="537">
        <v>0.01</v>
      </c>
      <c r="CS337" s="537">
        <v>0.01</v>
      </c>
      <c r="CT337" s="537">
        <v>0.01</v>
      </c>
      <c r="CU337" s="537">
        <v>0.01</v>
      </c>
      <c r="CV337" s="537">
        <v>0.01</v>
      </c>
      <c r="CW337" s="537">
        <v>0.01</v>
      </c>
      <c r="CX337" s="537">
        <v>0.01</v>
      </c>
      <c r="CY337" s="537">
        <v>0.01</v>
      </c>
      <c r="CZ337" s="537">
        <v>0.01</v>
      </c>
      <c r="DA337" s="537">
        <v>0.01</v>
      </c>
      <c r="DB337" s="537">
        <v>0.01</v>
      </c>
      <c r="DC337" s="537">
        <v>0.01</v>
      </c>
      <c r="DD337" s="537">
        <v>0.01</v>
      </c>
      <c r="DE337" s="537">
        <v>0.01</v>
      </c>
      <c r="DF337" s="537">
        <v>0.01</v>
      </c>
      <c r="DG337" s="537">
        <v>0.01</v>
      </c>
      <c r="DH337" s="537">
        <v>0.01</v>
      </c>
    </row>
    <row r="338" spans="2:112">
      <c r="B338" t="s">
        <v>1200</v>
      </c>
      <c r="C338" t="s">
        <v>800</v>
      </c>
      <c r="D338" t="s">
        <v>899</v>
      </c>
      <c r="E338" t="s">
        <v>895</v>
      </c>
      <c r="F338" s="537">
        <v>0.05</v>
      </c>
      <c r="G338" s="537">
        <v>0.05</v>
      </c>
      <c r="H338" s="537">
        <v>0.05</v>
      </c>
      <c r="I338" s="537">
        <v>0.05</v>
      </c>
      <c r="J338" s="537">
        <v>0.05</v>
      </c>
      <c r="K338" s="537">
        <v>0.05</v>
      </c>
      <c r="L338" s="537">
        <v>0.05</v>
      </c>
      <c r="M338" s="537">
        <v>0.05</v>
      </c>
      <c r="N338" s="537">
        <v>0.05</v>
      </c>
      <c r="O338" s="537">
        <v>0.05</v>
      </c>
      <c r="P338" s="537">
        <v>0.05</v>
      </c>
      <c r="Q338" s="537">
        <v>0.05</v>
      </c>
      <c r="R338" s="537">
        <v>0.05</v>
      </c>
      <c r="S338" s="537">
        <v>0.05</v>
      </c>
      <c r="T338" s="537">
        <v>0.05</v>
      </c>
      <c r="U338" s="537">
        <v>0.05</v>
      </c>
      <c r="V338" s="537">
        <v>0.05</v>
      </c>
      <c r="W338" s="537">
        <v>0.05</v>
      </c>
      <c r="X338" s="537">
        <v>0.05</v>
      </c>
      <c r="Y338" s="537">
        <v>0.05</v>
      </c>
      <c r="Z338" s="537">
        <v>0.05</v>
      </c>
      <c r="AA338" s="537">
        <v>0.05</v>
      </c>
      <c r="AB338" s="537">
        <v>0.05</v>
      </c>
      <c r="AC338" s="537">
        <v>0.05</v>
      </c>
      <c r="AD338" s="537">
        <v>0.05</v>
      </c>
      <c r="AE338" s="537">
        <v>0.05</v>
      </c>
      <c r="AF338" s="537">
        <v>0.05</v>
      </c>
      <c r="AG338" s="537">
        <v>0.05</v>
      </c>
      <c r="AH338" s="538">
        <f t="shared" si="242"/>
        <v>0.05</v>
      </c>
      <c r="AI338" s="538">
        <f t="shared" si="242"/>
        <v>0.05</v>
      </c>
      <c r="AJ338" s="538">
        <f t="shared" si="242"/>
        <v>0.05</v>
      </c>
      <c r="AK338" s="538">
        <f t="shared" si="242"/>
        <v>0.05</v>
      </c>
      <c r="AL338" s="538">
        <f t="shared" si="242"/>
        <v>0.05</v>
      </c>
      <c r="AM338" s="538">
        <f t="shared" si="242"/>
        <v>0.05</v>
      </c>
      <c r="AN338" s="538">
        <f t="shared" si="242"/>
        <v>0.05</v>
      </c>
      <c r="AO338" s="538">
        <f t="shared" si="242"/>
        <v>0.05</v>
      </c>
      <c r="AP338" s="538">
        <f t="shared" si="242"/>
        <v>0.05</v>
      </c>
      <c r="AQ338" s="538">
        <f t="shared" si="242"/>
        <v>0.05</v>
      </c>
      <c r="AR338" s="538">
        <f t="shared" si="242"/>
        <v>0.05</v>
      </c>
      <c r="AS338" s="538">
        <f t="shared" si="242"/>
        <v>0.05</v>
      </c>
      <c r="AT338" s="538">
        <f t="shared" si="242"/>
        <v>0.05</v>
      </c>
      <c r="AU338" s="538">
        <f t="shared" si="242"/>
        <v>0.05</v>
      </c>
      <c r="AV338" s="538">
        <f t="shared" si="242"/>
        <v>0.05</v>
      </c>
      <c r="AW338" s="538">
        <f t="shared" si="242"/>
        <v>0.05</v>
      </c>
      <c r="AX338" s="538">
        <f t="shared" ref="AX338:BM339" si="245">AW338</f>
        <v>0.05</v>
      </c>
      <c r="AY338" s="538">
        <f t="shared" si="245"/>
        <v>0.05</v>
      </c>
      <c r="AZ338" s="538">
        <f t="shared" si="245"/>
        <v>0.05</v>
      </c>
      <c r="BA338" s="538">
        <f t="shared" si="245"/>
        <v>0.05</v>
      </c>
      <c r="BB338" s="538">
        <f t="shared" si="245"/>
        <v>0.05</v>
      </c>
      <c r="BC338" s="538">
        <f t="shared" si="245"/>
        <v>0.05</v>
      </c>
      <c r="BD338" s="538">
        <f t="shared" si="245"/>
        <v>0.05</v>
      </c>
      <c r="BE338" s="538">
        <f t="shared" si="245"/>
        <v>0.05</v>
      </c>
      <c r="BF338" s="538">
        <f t="shared" si="245"/>
        <v>0.05</v>
      </c>
      <c r="BG338" s="538">
        <f t="shared" si="245"/>
        <v>0.05</v>
      </c>
      <c r="BH338" s="538">
        <f t="shared" si="245"/>
        <v>0.05</v>
      </c>
      <c r="BI338" s="538">
        <f t="shared" si="245"/>
        <v>0.05</v>
      </c>
      <c r="BJ338" s="538">
        <f t="shared" si="245"/>
        <v>0.05</v>
      </c>
      <c r="BK338" s="538">
        <f t="shared" si="245"/>
        <v>0.05</v>
      </c>
      <c r="BL338" s="538">
        <f t="shared" si="245"/>
        <v>0.05</v>
      </c>
      <c r="BM338" s="538">
        <f t="shared" si="245"/>
        <v>0.05</v>
      </c>
      <c r="BN338" s="538">
        <f t="shared" si="243"/>
        <v>0.05</v>
      </c>
      <c r="BO338" s="538">
        <f t="shared" si="243"/>
        <v>0.05</v>
      </c>
      <c r="BP338" s="538">
        <f t="shared" si="243"/>
        <v>0.05</v>
      </c>
      <c r="BQ338" s="538">
        <f t="shared" si="243"/>
        <v>0.05</v>
      </c>
      <c r="BR338" s="538">
        <f t="shared" si="243"/>
        <v>0.05</v>
      </c>
      <c r="BS338" s="538">
        <f t="shared" si="243"/>
        <v>0.05</v>
      </c>
      <c r="BT338" s="538">
        <f t="shared" si="243"/>
        <v>0.05</v>
      </c>
      <c r="BU338" s="538">
        <f t="shared" si="243"/>
        <v>0.05</v>
      </c>
      <c r="BV338" s="538">
        <f t="shared" si="243"/>
        <v>0.05</v>
      </c>
      <c r="BW338" s="538">
        <f t="shared" si="243"/>
        <v>0.05</v>
      </c>
      <c r="BX338" s="538">
        <f t="shared" si="243"/>
        <v>0.05</v>
      </c>
      <c r="BY338" s="538">
        <f t="shared" si="243"/>
        <v>0.05</v>
      </c>
      <c r="BZ338" s="538">
        <f t="shared" si="243"/>
        <v>0.05</v>
      </c>
      <c r="CA338" s="538">
        <f t="shared" si="243"/>
        <v>0.05</v>
      </c>
      <c r="CB338" s="538">
        <f t="shared" si="243"/>
        <v>0.05</v>
      </c>
      <c r="CC338" s="538">
        <f t="shared" si="243"/>
        <v>0.05</v>
      </c>
      <c r="CD338" s="538">
        <f t="shared" si="244"/>
        <v>0.05</v>
      </c>
      <c r="CE338" s="538">
        <f t="shared" si="244"/>
        <v>0.05</v>
      </c>
      <c r="CG338" s="537">
        <v>0.05</v>
      </c>
      <c r="CH338" s="537">
        <v>0.05</v>
      </c>
      <c r="CI338" s="537">
        <v>0.05</v>
      </c>
      <c r="CJ338" s="537">
        <v>0.05</v>
      </c>
      <c r="CK338" s="537">
        <v>0.05</v>
      </c>
      <c r="CL338" s="537">
        <v>0.05</v>
      </c>
      <c r="CM338" s="537">
        <v>0.05</v>
      </c>
      <c r="CN338" s="537">
        <v>0.05</v>
      </c>
      <c r="CO338" s="537">
        <v>0.05</v>
      </c>
      <c r="CP338" s="537">
        <v>0.05</v>
      </c>
      <c r="CQ338" s="537">
        <v>0.05</v>
      </c>
      <c r="CR338" s="537">
        <v>0.05</v>
      </c>
      <c r="CS338" s="537">
        <v>0.05</v>
      </c>
      <c r="CT338" s="537">
        <v>0.05</v>
      </c>
      <c r="CU338" s="537">
        <v>0.05</v>
      </c>
      <c r="CV338" s="537">
        <v>0.05</v>
      </c>
      <c r="CW338" s="537">
        <v>0.05</v>
      </c>
      <c r="CX338" s="537">
        <v>0.05</v>
      </c>
      <c r="CY338" s="537">
        <v>0.05</v>
      </c>
      <c r="CZ338" s="537">
        <v>0.05</v>
      </c>
      <c r="DA338" s="537">
        <v>0.05</v>
      </c>
      <c r="DB338" s="537">
        <v>0.05</v>
      </c>
      <c r="DC338" s="537">
        <v>0.05</v>
      </c>
      <c r="DD338" s="537">
        <v>0.05</v>
      </c>
      <c r="DE338" s="537">
        <v>0.05</v>
      </c>
      <c r="DF338" s="537">
        <v>0.05</v>
      </c>
      <c r="DG338" s="537">
        <v>0.05</v>
      </c>
      <c r="DH338" s="537">
        <v>0.05</v>
      </c>
    </row>
    <row r="339" spans="2:112">
      <c r="B339" t="s">
        <v>1201</v>
      </c>
      <c r="C339" t="s">
        <v>800</v>
      </c>
      <c r="D339" t="s">
        <v>901</v>
      </c>
      <c r="E339" t="s">
        <v>895</v>
      </c>
      <c r="F339" s="537">
        <v>0.05</v>
      </c>
      <c r="G339" s="537">
        <v>0.05</v>
      </c>
      <c r="H339" s="537">
        <v>0.05</v>
      </c>
      <c r="I339" s="537">
        <v>0.05</v>
      </c>
      <c r="J339" s="537">
        <v>0.05</v>
      </c>
      <c r="K339" s="537">
        <v>0.05</v>
      </c>
      <c r="L339" s="537">
        <v>0.05</v>
      </c>
      <c r="M339" s="537">
        <v>0.05</v>
      </c>
      <c r="N339" s="537">
        <v>0.05</v>
      </c>
      <c r="O339" s="537">
        <v>0.05</v>
      </c>
      <c r="P339" s="537">
        <v>0.05</v>
      </c>
      <c r="Q339" s="537">
        <v>0.05</v>
      </c>
      <c r="R339" s="537">
        <v>0.05</v>
      </c>
      <c r="S339" s="537">
        <v>0.05</v>
      </c>
      <c r="T339" s="537">
        <v>0.05</v>
      </c>
      <c r="U339" s="537">
        <v>0.05</v>
      </c>
      <c r="V339" s="537">
        <v>0.05</v>
      </c>
      <c r="W339" s="537">
        <v>0.05</v>
      </c>
      <c r="X339" s="537">
        <v>0.05</v>
      </c>
      <c r="Y339" s="537">
        <v>0.05</v>
      </c>
      <c r="Z339" s="537">
        <v>0.05</v>
      </c>
      <c r="AA339" s="537">
        <v>0.05</v>
      </c>
      <c r="AB339" s="537">
        <v>0.05</v>
      </c>
      <c r="AC339" s="537">
        <v>0.05</v>
      </c>
      <c r="AD339" s="537">
        <v>0.05</v>
      </c>
      <c r="AE339" s="537">
        <v>0.05</v>
      </c>
      <c r="AF339" s="537">
        <v>0.05</v>
      </c>
      <c r="AG339" s="537">
        <v>0.05</v>
      </c>
      <c r="AH339" s="538">
        <f t="shared" si="242"/>
        <v>0.05</v>
      </c>
      <c r="AI339" s="538">
        <f t="shared" si="242"/>
        <v>0.05</v>
      </c>
      <c r="AJ339" s="538">
        <f t="shared" si="242"/>
        <v>0.05</v>
      </c>
      <c r="AK339" s="538">
        <f t="shared" si="242"/>
        <v>0.05</v>
      </c>
      <c r="AL339" s="538">
        <f t="shared" si="242"/>
        <v>0.05</v>
      </c>
      <c r="AM339" s="538">
        <f t="shared" si="242"/>
        <v>0.05</v>
      </c>
      <c r="AN339" s="538">
        <f t="shared" si="242"/>
        <v>0.05</v>
      </c>
      <c r="AO339" s="538">
        <f t="shared" si="242"/>
        <v>0.05</v>
      </c>
      <c r="AP339" s="538">
        <f t="shared" si="242"/>
        <v>0.05</v>
      </c>
      <c r="AQ339" s="538">
        <f t="shared" si="242"/>
        <v>0.05</v>
      </c>
      <c r="AR339" s="538">
        <f t="shared" si="242"/>
        <v>0.05</v>
      </c>
      <c r="AS339" s="538">
        <f t="shared" si="242"/>
        <v>0.05</v>
      </c>
      <c r="AT339" s="538">
        <f t="shared" si="242"/>
        <v>0.05</v>
      </c>
      <c r="AU339" s="538">
        <f t="shared" si="242"/>
        <v>0.05</v>
      </c>
      <c r="AV339" s="538">
        <f t="shared" si="242"/>
        <v>0.05</v>
      </c>
      <c r="AW339" s="538">
        <f t="shared" si="242"/>
        <v>0.05</v>
      </c>
      <c r="AX339" s="538">
        <f t="shared" si="245"/>
        <v>0.05</v>
      </c>
      <c r="AY339" s="538">
        <f t="shared" si="245"/>
        <v>0.05</v>
      </c>
      <c r="AZ339" s="538">
        <f t="shared" si="245"/>
        <v>0.05</v>
      </c>
      <c r="BA339" s="538">
        <f t="shared" si="245"/>
        <v>0.05</v>
      </c>
      <c r="BB339" s="538">
        <f t="shared" si="245"/>
        <v>0.05</v>
      </c>
      <c r="BC339" s="538">
        <f t="shared" si="245"/>
        <v>0.05</v>
      </c>
      <c r="BD339" s="538">
        <f t="shared" si="245"/>
        <v>0.05</v>
      </c>
      <c r="BE339" s="538">
        <f t="shared" si="245"/>
        <v>0.05</v>
      </c>
      <c r="BF339" s="538">
        <f t="shared" si="245"/>
        <v>0.05</v>
      </c>
      <c r="BG339" s="538">
        <f t="shared" si="245"/>
        <v>0.05</v>
      </c>
      <c r="BH339" s="538">
        <f t="shared" si="245"/>
        <v>0.05</v>
      </c>
      <c r="BI339" s="538">
        <f t="shared" si="245"/>
        <v>0.05</v>
      </c>
      <c r="BJ339" s="538">
        <f t="shared" si="245"/>
        <v>0.05</v>
      </c>
      <c r="BK339" s="538">
        <f t="shared" si="245"/>
        <v>0.05</v>
      </c>
      <c r="BL339" s="538">
        <f t="shared" si="245"/>
        <v>0.05</v>
      </c>
      <c r="BM339" s="538">
        <f t="shared" si="245"/>
        <v>0.05</v>
      </c>
      <c r="BN339" s="538">
        <f t="shared" si="243"/>
        <v>0.05</v>
      </c>
      <c r="BO339" s="538">
        <f t="shared" si="243"/>
        <v>0.05</v>
      </c>
      <c r="BP339" s="538">
        <f t="shared" si="243"/>
        <v>0.05</v>
      </c>
      <c r="BQ339" s="538">
        <f t="shared" si="243"/>
        <v>0.05</v>
      </c>
      <c r="BR339" s="538">
        <f t="shared" si="243"/>
        <v>0.05</v>
      </c>
      <c r="BS339" s="538">
        <f t="shared" si="243"/>
        <v>0.05</v>
      </c>
      <c r="BT339" s="538">
        <f t="shared" si="243"/>
        <v>0.05</v>
      </c>
      <c r="BU339" s="538">
        <f t="shared" si="243"/>
        <v>0.05</v>
      </c>
      <c r="BV339" s="538">
        <f t="shared" si="243"/>
        <v>0.05</v>
      </c>
      <c r="BW339" s="538">
        <f t="shared" si="243"/>
        <v>0.05</v>
      </c>
      <c r="BX339" s="538">
        <f t="shared" si="243"/>
        <v>0.05</v>
      </c>
      <c r="BY339" s="538">
        <f t="shared" si="243"/>
        <v>0.05</v>
      </c>
      <c r="BZ339" s="538">
        <f t="shared" si="243"/>
        <v>0.05</v>
      </c>
      <c r="CA339" s="538">
        <f t="shared" si="243"/>
        <v>0.05</v>
      </c>
      <c r="CB339" s="538">
        <f t="shared" si="243"/>
        <v>0.05</v>
      </c>
      <c r="CC339" s="538">
        <f t="shared" si="243"/>
        <v>0.05</v>
      </c>
      <c r="CD339" s="538">
        <f t="shared" si="244"/>
        <v>0.05</v>
      </c>
      <c r="CE339" s="538">
        <f t="shared" si="244"/>
        <v>0.05</v>
      </c>
      <c r="CG339" s="537">
        <v>0.05</v>
      </c>
      <c r="CH339" s="537">
        <v>0.05</v>
      </c>
      <c r="CI339" s="537">
        <v>0.05</v>
      </c>
      <c r="CJ339" s="537">
        <v>0.05</v>
      </c>
      <c r="CK339" s="537">
        <v>0.05</v>
      </c>
      <c r="CL339" s="537">
        <v>0.05</v>
      </c>
      <c r="CM339" s="537">
        <v>0.05</v>
      </c>
      <c r="CN339" s="537">
        <v>0.05</v>
      </c>
      <c r="CO339" s="537">
        <v>0.05</v>
      </c>
      <c r="CP339" s="537">
        <v>0.05</v>
      </c>
      <c r="CQ339" s="537">
        <v>0.05</v>
      </c>
      <c r="CR339" s="537">
        <v>0.05</v>
      </c>
      <c r="CS339" s="537">
        <v>0.05</v>
      </c>
      <c r="CT339" s="537">
        <v>0.05</v>
      </c>
      <c r="CU339" s="537">
        <v>0.05</v>
      </c>
      <c r="CV339" s="537">
        <v>0.05</v>
      </c>
      <c r="CW339" s="537">
        <v>0.05</v>
      </c>
      <c r="CX339" s="537">
        <v>0.05</v>
      </c>
      <c r="CY339" s="537">
        <v>0.05</v>
      </c>
      <c r="CZ339" s="537">
        <v>0.05</v>
      </c>
      <c r="DA339" s="537">
        <v>0.05</v>
      </c>
      <c r="DB339" s="537">
        <v>0.05</v>
      </c>
      <c r="DC339" s="537">
        <v>0.05</v>
      </c>
      <c r="DD339" s="537">
        <v>0.05</v>
      </c>
      <c r="DE339" s="537">
        <v>0.05</v>
      </c>
      <c r="DF339" s="537">
        <v>0.05</v>
      </c>
      <c r="DG339" s="537">
        <v>0.05</v>
      </c>
      <c r="DH339" s="537">
        <v>0.05</v>
      </c>
    </row>
    <row r="340" spans="2:112">
      <c r="F340" s="539"/>
      <c r="G340" s="539"/>
      <c r="H340" s="539"/>
      <c r="I340" s="539"/>
      <c r="J340" s="539"/>
      <c r="K340" s="539"/>
      <c r="L340" s="539"/>
      <c r="M340" s="539"/>
      <c r="N340" s="539"/>
      <c r="O340" s="539"/>
      <c r="P340" s="539"/>
      <c r="Q340" s="539"/>
      <c r="R340" s="539"/>
      <c r="S340" s="539"/>
      <c r="T340" s="539"/>
      <c r="U340" s="539"/>
      <c r="V340" s="539"/>
      <c r="W340" s="539"/>
      <c r="X340" s="539"/>
      <c r="Y340" s="539"/>
      <c r="Z340" s="539"/>
      <c r="AA340" s="539"/>
      <c r="AB340" s="539"/>
      <c r="AC340" s="539"/>
      <c r="AD340" s="539"/>
      <c r="AE340" s="539"/>
      <c r="AF340" s="539"/>
      <c r="AG340" s="539"/>
      <c r="AH340" s="539"/>
      <c r="AI340" s="539"/>
      <c r="AJ340" s="539"/>
      <c r="AK340" s="539"/>
      <c r="AL340" s="539"/>
      <c r="AM340" s="539"/>
      <c r="AN340" s="539"/>
      <c r="AO340" s="539"/>
      <c r="AP340" s="539"/>
      <c r="AQ340" s="539"/>
      <c r="AR340" s="539"/>
      <c r="AS340" s="539"/>
      <c r="AT340" s="539"/>
      <c r="AU340" s="539"/>
      <c r="AV340" s="539"/>
      <c r="AW340" s="539"/>
      <c r="AX340" s="539"/>
      <c r="AY340" s="539"/>
      <c r="AZ340" s="539"/>
      <c r="BA340" s="539"/>
      <c r="BB340" s="539"/>
      <c r="BC340" s="539"/>
      <c r="BD340" s="539"/>
      <c r="BE340" s="539"/>
      <c r="BF340" s="539"/>
      <c r="BG340" s="539"/>
      <c r="BH340" s="539"/>
      <c r="BI340" s="539"/>
      <c r="BJ340" s="539"/>
      <c r="BK340" s="539"/>
      <c r="BL340" s="539"/>
      <c r="BM340" s="539"/>
      <c r="BN340" s="539"/>
      <c r="BO340" s="539"/>
      <c r="BP340" s="539"/>
      <c r="BQ340" s="539"/>
      <c r="BR340" s="539"/>
      <c r="BS340" s="539"/>
      <c r="BT340" s="539"/>
      <c r="BU340" s="539"/>
      <c r="BV340" s="539"/>
      <c r="BW340" s="539"/>
      <c r="BX340" s="539"/>
      <c r="BY340" s="539"/>
      <c r="BZ340" s="539"/>
      <c r="CA340" s="539"/>
      <c r="CB340" s="539"/>
      <c r="CC340" s="539"/>
      <c r="CD340" s="539"/>
      <c r="CE340" s="539"/>
      <c r="CG340" s="539"/>
      <c r="CH340" s="539"/>
      <c r="CI340" s="539"/>
      <c r="CJ340" s="539"/>
      <c r="CK340" s="539"/>
      <c r="CL340" s="539"/>
      <c r="CM340" s="539"/>
      <c r="CN340" s="539"/>
      <c r="CO340" s="539"/>
      <c r="CP340" s="539"/>
      <c r="CQ340" s="539"/>
      <c r="CR340" s="539"/>
      <c r="CS340" s="539"/>
      <c r="CT340" s="539"/>
      <c r="CU340" s="539"/>
      <c r="CV340" s="539"/>
      <c r="CW340" s="539"/>
      <c r="CX340" s="539"/>
      <c r="CY340" s="539"/>
      <c r="CZ340" s="539"/>
      <c r="DA340" s="539"/>
      <c r="DB340" s="539"/>
      <c r="DC340" s="539"/>
      <c r="DD340" s="539"/>
      <c r="DE340" s="539"/>
      <c r="DF340" s="539"/>
      <c r="DG340" s="539"/>
      <c r="DH340" s="539"/>
    </row>
    <row r="341" spans="2:112">
      <c r="B341" t="s">
        <v>1202</v>
      </c>
      <c r="C341" t="s">
        <v>800</v>
      </c>
      <c r="D341" t="s">
        <v>903</v>
      </c>
      <c r="E341" t="s">
        <v>557</v>
      </c>
      <c r="F341" s="536">
        <v>985500</v>
      </c>
      <c r="G341" s="536">
        <v>985500</v>
      </c>
      <c r="H341" s="536">
        <v>985500</v>
      </c>
      <c r="I341" s="536">
        <v>985500</v>
      </c>
      <c r="J341" s="536">
        <v>985500</v>
      </c>
      <c r="K341" s="536">
        <v>985500</v>
      </c>
      <c r="L341" s="536">
        <v>985500</v>
      </c>
      <c r="M341" s="536">
        <v>985500</v>
      </c>
      <c r="N341" s="536">
        <v>985500</v>
      </c>
      <c r="O341" s="536">
        <v>985500</v>
      </c>
      <c r="P341" s="536">
        <v>985500</v>
      </c>
      <c r="Q341" s="536">
        <v>985500</v>
      </c>
      <c r="R341" s="536">
        <v>985500</v>
      </c>
      <c r="S341" s="536">
        <v>985500</v>
      </c>
      <c r="T341" s="536">
        <v>985500</v>
      </c>
      <c r="U341" s="536">
        <v>985500</v>
      </c>
      <c r="V341" s="536">
        <v>985500</v>
      </c>
      <c r="W341" s="536">
        <v>985500</v>
      </c>
      <c r="X341" s="536">
        <v>985500</v>
      </c>
      <c r="Y341" s="536">
        <v>985500</v>
      </c>
      <c r="Z341" s="536">
        <v>985500</v>
      </c>
      <c r="AA341" s="536">
        <v>985500</v>
      </c>
      <c r="AB341" s="536">
        <v>985500</v>
      </c>
      <c r="AC341" s="536">
        <v>985500</v>
      </c>
      <c r="AD341" s="536">
        <v>985500</v>
      </c>
      <c r="AE341" s="536">
        <v>985500</v>
      </c>
      <c r="AF341" s="536">
        <v>985500</v>
      </c>
      <c r="AG341" s="536">
        <v>985500</v>
      </c>
      <c r="AH341" s="540">
        <f>AG341</f>
        <v>985500</v>
      </c>
      <c r="AI341" s="540">
        <f t="shared" ref="AI341:CE342" si="246">AH341</f>
        <v>985500</v>
      </c>
      <c r="AJ341" s="540">
        <f t="shared" si="246"/>
        <v>985500</v>
      </c>
      <c r="AK341" s="540">
        <f t="shared" si="246"/>
        <v>985500</v>
      </c>
      <c r="AL341" s="540">
        <f t="shared" si="246"/>
        <v>985500</v>
      </c>
      <c r="AM341" s="540">
        <f t="shared" si="246"/>
        <v>985500</v>
      </c>
      <c r="AN341" s="540">
        <f t="shared" si="246"/>
        <v>985500</v>
      </c>
      <c r="AO341" s="540">
        <f t="shared" si="246"/>
        <v>985500</v>
      </c>
      <c r="AP341" s="540">
        <f t="shared" si="246"/>
        <v>985500</v>
      </c>
      <c r="AQ341" s="540">
        <f t="shared" si="246"/>
        <v>985500</v>
      </c>
      <c r="AR341" s="540">
        <f t="shared" si="246"/>
        <v>985500</v>
      </c>
      <c r="AS341" s="540">
        <f t="shared" si="246"/>
        <v>985500</v>
      </c>
      <c r="AT341" s="540">
        <f t="shared" si="246"/>
        <v>985500</v>
      </c>
      <c r="AU341" s="540">
        <f t="shared" si="246"/>
        <v>985500</v>
      </c>
      <c r="AV341" s="540">
        <f t="shared" si="246"/>
        <v>985500</v>
      </c>
      <c r="AW341" s="540">
        <f t="shared" si="246"/>
        <v>985500</v>
      </c>
      <c r="AX341" s="540">
        <f t="shared" si="246"/>
        <v>985500</v>
      </c>
      <c r="AY341" s="540">
        <f t="shared" si="246"/>
        <v>985500</v>
      </c>
      <c r="AZ341" s="540">
        <f t="shared" si="246"/>
        <v>985500</v>
      </c>
      <c r="BA341" s="540">
        <f t="shared" si="246"/>
        <v>985500</v>
      </c>
      <c r="BB341" s="540">
        <f t="shared" si="246"/>
        <v>985500</v>
      </c>
      <c r="BC341" s="540">
        <f t="shared" si="246"/>
        <v>985500</v>
      </c>
      <c r="BD341" s="540">
        <f t="shared" si="246"/>
        <v>985500</v>
      </c>
      <c r="BE341" s="540">
        <f t="shared" si="246"/>
        <v>985500</v>
      </c>
      <c r="BF341" s="540">
        <f t="shared" si="246"/>
        <v>985500</v>
      </c>
      <c r="BG341" s="540">
        <f t="shared" si="246"/>
        <v>985500</v>
      </c>
      <c r="BH341" s="540">
        <f t="shared" si="246"/>
        <v>985500</v>
      </c>
      <c r="BI341" s="540">
        <f t="shared" si="246"/>
        <v>985500</v>
      </c>
      <c r="BJ341" s="540">
        <f t="shared" si="246"/>
        <v>985500</v>
      </c>
      <c r="BK341" s="540">
        <f t="shared" si="246"/>
        <v>985500</v>
      </c>
      <c r="BL341" s="540">
        <f t="shared" si="246"/>
        <v>985500</v>
      </c>
      <c r="BM341" s="540">
        <f t="shared" si="246"/>
        <v>985500</v>
      </c>
      <c r="BN341" s="540">
        <f t="shared" si="246"/>
        <v>985500</v>
      </c>
      <c r="BO341" s="540">
        <f t="shared" si="246"/>
        <v>985500</v>
      </c>
      <c r="BP341" s="540">
        <f t="shared" si="246"/>
        <v>985500</v>
      </c>
      <c r="BQ341" s="540">
        <f t="shared" si="246"/>
        <v>985500</v>
      </c>
      <c r="BR341" s="540">
        <f t="shared" si="246"/>
        <v>985500</v>
      </c>
      <c r="BS341" s="540">
        <f t="shared" si="246"/>
        <v>985500</v>
      </c>
      <c r="BT341" s="540">
        <f t="shared" si="246"/>
        <v>985500</v>
      </c>
      <c r="BU341" s="540">
        <f t="shared" si="246"/>
        <v>985500</v>
      </c>
      <c r="BV341" s="540">
        <f t="shared" si="246"/>
        <v>985500</v>
      </c>
      <c r="BW341" s="540">
        <f t="shared" si="246"/>
        <v>985500</v>
      </c>
      <c r="BX341" s="540">
        <f t="shared" si="246"/>
        <v>985500</v>
      </c>
      <c r="BY341" s="540">
        <f t="shared" si="246"/>
        <v>985500</v>
      </c>
      <c r="BZ341" s="540">
        <f t="shared" si="246"/>
        <v>985500</v>
      </c>
      <c r="CA341" s="540">
        <f t="shared" si="246"/>
        <v>985500</v>
      </c>
      <c r="CB341" s="540">
        <f t="shared" si="246"/>
        <v>985500</v>
      </c>
      <c r="CC341" s="540">
        <f t="shared" si="246"/>
        <v>985500</v>
      </c>
      <c r="CD341" s="540">
        <f t="shared" si="246"/>
        <v>985500</v>
      </c>
      <c r="CE341" s="540">
        <f t="shared" si="246"/>
        <v>985500</v>
      </c>
      <c r="CG341" s="536">
        <v>985500</v>
      </c>
      <c r="CH341" s="536">
        <v>985500</v>
      </c>
      <c r="CI341" s="536">
        <v>985500</v>
      </c>
      <c r="CJ341" s="536">
        <v>985500</v>
      </c>
      <c r="CK341" s="536">
        <v>985500</v>
      </c>
      <c r="CL341" s="536">
        <v>985500</v>
      </c>
      <c r="CM341" s="536">
        <v>985500</v>
      </c>
      <c r="CN341" s="536">
        <v>985500</v>
      </c>
      <c r="CO341" s="536">
        <v>985500</v>
      </c>
      <c r="CP341" s="536">
        <v>985500</v>
      </c>
      <c r="CQ341" s="536">
        <v>985500</v>
      </c>
      <c r="CR341" s="536">
        <v>985500</v>
      </c>
      <c r="CS341" s="536">
        <v>985500</v>
      </c>
      <c r="CT341" s="536">
        <v>985500</v>
      </c>
      <c r="CU341" s="536">
        <v>985500</v>
      </c>
      <c r="CV341" s="536">
        <v>985500</v>
      </c>
      <c r="CW341" s="536">
        <v>985500</v>
      </c>
      <c r="CX341" s="536">
        <v>985500</v>
      </c>
      <c r="CY341" s="536">
        <v>985500</v>
      </c>
      <c r="CZ341" s="536">
        <v>985500</v>
      </c>
      <c r="DA341" s="536">
        <v>985500</v>
      </c>
      <c r="DB341" s="536">
        <v>985500</v>
      </c>
      <c r="DC341" s="536">
        <v>985500</v>
      </c>
      <c r="DD341" s="536">
        <v>985500</v>
      </c>
      <c r="DE341" s="536">
        <v>985500</v>
      </c>
      <c r="DF341" s="536">
        <v>985500</v>
      </c>
      <c r="DG341" s="536">
        <v>985500</v>
      </c>
      <c r="DH341" s="536">
        <v>985500</v>
      </c>
    </row>
    <row r="342" spans="2:112">
      <c r="B342" t="s">
        <v>1203</v>
      </c>
      <c r="C342" t="s">
        <v>800</v>
      </c>
      <c r="D342" t="s">
        <v>905</v>
      </c>
      <c r="E342" t="s">
        <v>557</v>
      </c>
      <c r="F342" s="536">
        <v>22935.272727272728</v>
      </c>
      <c r="G342" s="536">
        <v>22935.272727272728</v>
      </c>
      <c r="H342" s="536">
        <v>22935.272727272728</v>
      </c>
      <c r="I342" s="536">
        <v>22935.272727272728</v>
      </c>
      <c r="J342" s="536">
        <v>22935.272727272728</v>
      </c>
      <c r="K342" s="536">
        <v>22935.272727272728</v>
      </c>
      <c r="L342" s="536">
        <v>22935.272727272728</v>
      </c>
      <c r="M342" s="536">
        <v>22935.272727272728</v>
      </c>
      <c r="N342" s="536">
        <v>22935.272727272728</v>
      </c>
      <c r="O342" s="536">
        <v>22935.272727272728</v>
      </c>
      <c r="P342" s="536">
        <v>22935.272727272728</v>
      </c>
      <c r="Q342" s="536">
        <v>22935.272727272728</v>
      </c>
      <c r="R342" s="536">
        <v>22935.272727272728</v>
      </c>
      <c r="S342" s="536">
        <v>22935.272727272728</v>
      </c>
      <c r="T342" s="536">
        <v>22935.272727272728</v>
      </c>
      <c r="U342" s="536">
        <v>22935.272727272728</v>
      </c>
      <c r="V342" s="536">
        <v>22935.272727272728</v>
      </c>
      <c r="W342" s="536">
        <v>22935.272727272728</v>
      </c>
      <c r="X342" s="536">
        <v>22935.272727272728</v>
      </c>
      <c r="Y342" s="536">
        <v>22935.272727272728</v>
      </c>
      <c r="Z342" s="536">
        <v>22935.272727272728</v>
      </c>
      <c r="AA342" s="536">
        <v>22935.272727272728</v>
      </c>
      <c r="AB342" s="536">
        <v>22935.272727272728</v>
      </c>
      <c r="AC342" s="536">
        <v>22935.272727272728</v>
      </c>
      <c r="AD342" s="536">
        <v>22935.272727272728</v>
      </c>
      <c r="AE342" s="536">
        <v>22935.272727272728</v>
      </c>
      <c r="AF342" s="536">
        <v>22935.272727272728</v>
      </c>
      <c r="AG342" s="536">
        <v>22935.272727272728</v>
      </c>
      <c r="AH342" s="540">
        <f>AG342</f>
        <v>22935.272727272728</v>
      </c>
      <c r="AI342" s="540">
        <f t="shared" si="246"/>
        <v>22935.272727272728</v>
      </c>
      <c r="AJ342" s="540">
        <f t="shared" si="246"/>
        <v>22935.272727272728</v>
      </c>
      <c r="AK342" s="540">
        <f t="shared" si="246"/>
        <v>22935.272727272728</v>
      </c>
      <c r="AL342" s="540">
        <f t="shared" si="246"/>
        <v>22935.272727272728</v>
      </c>
      <c r="AM342" s="540">
        <f t="shared" si="246"/>
        <v>22935.272727272728</v>
      </c>
      <c r="AN342" s="540">
        <f t="shared" si="246"/>
        <v>22935.272727272728</v>
      </c>
      <c r="AO342" s="540">
        <f t="shared" si="246"/>
        <v>22935.272727272728</v>
      </c>
      <c r="AP342" s="540">
        <f t="shared" si="246"/>
        <v>22935.272727272728</v>
      </c>
      <c r="AQ342" s="540">
        <f t="shared" si="246"/>
        <v>22935.272727272728</v>
      </c>
      <c r="AR342" s="540">
        <f t="shared" si="246"/>
        <v>22935.272727272728</v>
      </c>
      <c r="AS342" s="540">
        <f t="shared" si="246"/>
        <v>22935.272727272728</v>
      </c>
      <c r="AT342" s="540">
        <f t="shared" si="246"/>
        <v>22935.272727272728</v>
      </c>
      <c r="AU342" s="540">
        <f t="shared" si="246"/>
        <v>22935.272727272728</v>
      </c>
      <c r="AV342" s="540">
        <f t="shared" si="246"/>
        <v>22935.272727272728</v>
      </c>
      <c r="AW342" s="540">
        <f t="shared" si="246"/>
        <v>22935.272727272728</v>
      </c>
      <c r="AX342" s="540">
        <f t="shared" si="246"/>
        <v>22935.272727272728</v>
      </c>
      <c r="AY342" s="540">
        <f t="shared" si="246"/>
        <v>22935.272727272728</v>
      </c>
      <c r="AZ342" s="540">
        <f t="shared" si="246"/>
        <v>22935.272727272728</v>
      </c>
      <c r="BA342" s="540">
        <f t="shared" si="246"/>
        <v>22935.272727272728</v>
      </c>
      <c r="BB342" s="540">
        <f t="shared" si="246"/>
        <v>22935.272727272728</v>
      </c>
      <c r="BC342" s="540">
        <f t="shared" si="246"/>
        <v>22935.272727272728</v>
      </c>
      <c r="BD342" s="540">
        <f t="shared" si="246"/>
        <v>22935.272727272728</v>
      </c>
      <c r="BE342" s="540">
        <f t="shared" si="246"/>
        <v>22935.272727272728</v>
      </c>
      <c r="BF342" s="540">
        <f t="shared" si="246"/>
        <v>22935.272727272728</v>
      </c>
      <c r="BG342" s="540">
        <f t="shared" si="246"/>
        <v>22935.272727272728</v>
      </c>
      <c r="BH342" s="540">
        <f t="shared" si="246"/>
        <v>22935.272727272728</v>
      </c>
      <c r="BI342" s="540">
        <f t="shared" si="246"/>
        <v>22935.272727272728</v>
      </c>
      <c r="BJ342" s="540">
        <f t="shared" si="246"/>
        <v>22935.272727272728</v>
      </c>
      <c r="BK342" s="540">
        <f t="shared" si="246"/>
        <v>22935.272727272728</v>
      </c>
      <c r="BL342" s="540">
        <f t="shared" si="246"/>
        <v>22935.272727272728</v>
      </c>
      <c r="BM342" s="540">
        <f t="shared" si="246"/>
        <v>22935.272727272728</v>
      </c>
      <c r="BN342" s="540">
        <f t="shared" si="246"/>
        <v>22935.272727272728</v>
      </c>
      <c r="BO342" s="540">
        <f t="shared" si="246"/>
        <v>22935.272727272728</v>
      </c>
      <c r="BP342" s="540">
        <f t="shared" si="246"/>
        <v>22935.272727272728</v>
      </c>
      <c r="BQ342" s="540">
        <f t="shared" si="246"/>
        <v>22935.272727272728</v>
      </c>
      <c r="BR342" s="540">
        <f t="shared" si="246"/>
        <v>22935.272727272728</v>
      </c>
      <c r="BS342" s="540">
        <f t="shared" si="246"/>
        <v>22935.272727272728</v>
      </c>
      <c r="BT342" s="540">
        <f t="shared" si="246"/>
        <v>22935.272727272728</v>
      </c>
      <c r="BU342" s="540">
        <f t="shared" si="246"/>
        <v>22935.272727272728</v>
      </c>
      <c r="BV342" s="540">
        <f t="shared" si="246"/>
        <v>22935.272727272728</v>
      </c>
      <c r="BW342" s="540">
        <f t="shared" si="246"/>
        <v>22935.272727272728</v>
      </c>
      <c r="BX342" s="540">
        <f t="shared" si="246"/>
        <v>22935.272727272728</v>
      </c>
      <c r="BY342" s="540">
        <f t="shared" si="246"/>
        <v>22935.272727272728</v>
      </c>
      <c r="BZ342" s="540">
        <f t="shared" si="246"/>
        <v>22935.272727272728</v>
      </c>
      <c r="CA342" s="540">
        <f t="shared" si="246"/>
        <v>22935.272727272728</v>
      </c>
      <c r="CB342" s="540">
        <f t="shared" si="246"/>
        <v>22935.272727272728</v>
      </c>
      <c r="CC342" s="540">
        <f t="shared" si="246"/>
        <v>22935.272727272728</v>
      </c>
      <c r="CD342" s="540">
        <f t="shared" si="246"/>
        <v>22935.272727272728</v>
      </c>
      <c r="CE342" s="540">
        <f t="shared" si="246"/>
        <v>22935.272727272728</v>
      </c>
      <c r="CG342" s="536">
        <v>22935.272727272728</v>
      </c>
      <c r="CH342" s="536">
        <v>22935.272727272728</v>
      </c>
      <c r="CI342" s="536">
        <v>22935.272727272728</v>
      </c>
      <c r="CJ342" s="536">
        <v>22935.272727272728</v>
      </c>
      <c r="CK342" s="536">
        <v>22935.272727272728</v>
      </c>
      <c r="CL342" s="536">
        <v>22935.272727272728</v>
      </c>
      <c r="CM342" s="536">
        <v>22935.272727272728</v>
      </c>
      <c r="CN342" s="536">
        <v>22935.272727272728</v>
      </c>
      <c r="CO342" s="536">
        <v>22935.272727272728</v>
      </c>
      <c r="CP342" s="536">
        <v>22935.272727272728</v>
      </c>
      <c r="CQ342" s="536">
        <v>22935.272727272728</v>
      </c>
      <c r="CR342" s="536">
        <v>22935.272727272728</v>
      </c>
      <c r="CS342" s="536">
        <v>22935.272727272728</v>
      </c>
      <c r="CT342" s="536">
        <v>22935.272727272728</v>
      </c>
      <c r="CU342" s="536">
        <v>22935.272727272728</v>
      </c>
      <c r="CV342" s="536">
        <v>22935.272727272728</v>
      </c>
      <c r="CW342" s="536">
        <v>22935.272727272728</v>
      </c>
      <c r="CX342" s="536">
        <v>22935.272727272728</v>
      </c>
      <c r="CY342" s="536">
        <v>22935.272727272728</v>
      </c>
      <c r="CZ342" s="536">
        <v>22935.272727272728</v>
      </c>
      <c r="DA342" s="536">
        <v>22935.272727272728</v>
      </c>
      <c r="DB342" s="536">
        <v>22935.272727272728</v>
      </c>
      <c r="DC342" s="536">
        <v>22935.272727272728</v>
      </c>
      <c r="DD342" s="536">
        <v>22935.272727272728</v>
      </c>
      <c r="DE342" s="536">
        <v>22935.272727272728</v>
      </c>
      <c r="DF342" s="536">
        <v>22935.272727272728</v>
      </c>
      <c r="DG342" s="536">
        <v>22935.272727272728</v>
      </c>
      <c r="DH342" s="536">
        <v>22935.272727272728</v>
      </c>
    </row>
    <row r="343" spans="2:112">
      <c r="F343" s="539"/>
      <c r="G343" s="539"/>
      <c r="H343" s="539"/>
      <c r="I343" s="539"/>
      <c r="J343" s="539"/>
      <c r="K343" s="539"/>
      <c r="L343" s="539"/>
      <c r="M343" s="539"/>
      <c r="N343" s="539"/>
      <c r="O343" s="539"/>
      <c r="P343" s="539"/>
      <c r="Q343" s="539"/>
      <c r="R343" s="539"/>
      <c r="S343" s="539"/>
      <c r="T343" s="539"/>
      <c r="U343" s="539"/>
      <c r="V343" s="539"/>
      <c r="W343" s="539"/>
      <c r="X343" s="539"/>
      <c r="Y343" s="539"/>
      <c r="Z343" s="539"/>
      <c r="AA343" s="539"/>
      <c r="AB343" s="539"/>
      <c r="AC343" s="539"/>
      <c r="AD343" s="539"/>
      <c r="AE343" s="539"/>
      <c r="AF343" s="539"/>
      <c r="AG343" s="539"/>
      <c r="AH343" s="539"/>
      <c r="AI343" s="539"/>
      <c r="AJ343" s="539"/>
      <c r="AK343" s="539"/>
      <c r="AL343" s="539"/>
      <c r="AM343" s="539"/>
      <c r="AN343" s="539"/>
      <c r="AO343" s="539"/>
      <c r="AP343" s="539"/>
      <c r="AQ343" s="539"/>
      <c r="AR343" s="539"/>
      <c r="AS343" s="539"/>
      <c r="AT343" s="539"/>
      <c r="AU343" s="539"/>
      <c r="AV343" s="539"/>
      <c r="AW343" s="539"/>
      <c r="AX343" s="539"/>
      <c r="AY343" s="539"/>
      <c r="AZ343" s="539"/>
      <c r="BA343" s="539"/>
      <c r="BB343" s="539"/>
      <c r="BC343" s="539"/>
      <c r="BD343" s="539"/>
      <c r="BE343" s="539"/>
      <c r="BF343" s="539"/>
      <c r="BG343" s="539"/>
      <c r="BH343" s="539"/>
      <c r="BI343" s="539"/>
      <c r="BJ343" s="539"/>
      <c r="BK343" s="539"/>
      <c r="BL343" s="539"/>
      <c r="BM343" s="539"/>
      <c r="BN343" s="539"/>
      <c r="BO343" s="539"/>
      <c r="BP343" s="539"/>
      <c r="BQ343" s="539"/>
      <c r="BR343" s="539"/>
      <c r="BS343" s="539"/>
      <c r="BT343" s="539"/>
      <c r="BU343" s="539"/>
      <c r="BV343" s="539"/>
      <c r="BW343" s="539"/>
      <c r="BX343" s="539"/>
      <c r="BY343" s="539"/>
      <c r="BZ343" s="539"/>
      <c r="CA343" s="539"/>
      <c r="CB343" s="539"/>
      <c r="CC343" s="539"/>
      <c r="CD343" s="539"/>
      <c r="CE343" s="539"/>
      <c r="CG343" s="539"/>
      <c r="CH343" s="539"/>
      <c r="CI343" s="539"/>
      <c r="CJ343" s="539"/>
      <c r="CK343" s="539"/>
      <c r="CL343" s="539"/>
      <c r="CM343" s="539"/>
      <c r="CN343" s="539"/>
      <c r="CO343" s="539"/>
      <c r="CP343" s="539"/>
      <c r="CQ343" s="539"/>
      <c r="CR343" s="539"/>
      <c r="CS343" s="539"/>
      <c r="CT343" s="539"/>
      <c r="CU343" s="539"/>
      <c r="CV343" s="539"/>
      <c r="CW343" s="539"/>
      <c r="CX343" s="539"/>
      <c r="CY343" s="539"/>
      <c r="CZ343" s="539"/>
      <c r="DA343" s="539"/>
      <c r="DB343" s="539"/>
      <c r="DC343" s="539"/>
      <c r="DD343" s="539"/>
      <c r="DE343" s="539"/>
      <c r="DF343" s="539"/>
      <c r="DG343" s="539"/>
      <c r="DH343" s="539"/>
    </row>
    <row r="344" spans="2:112">
      <c r="B344" t="s">
        <v>1204</v>
      </c>
      <c r="C344" t="s">
        <v>800</v>
      </c>
      <c r="D344" t="s">
        <v>907</v>
      </c>
      <c r="E344" t="s">
        <v>908</v>
      </c>
      <c r="F344" s="541">
        <v>617.09349999999995</v>
      </c>
      <c r="G344" s="541">
        <v>617.09349999999995</v>
      </c>
      <c r="H344" s="541">
        <v>617.09349999999995</v>
      </c>
      <c r="I344" s="541">
        <v>617.09349999999995</v>
      </c>
      <c r="J344" s="541">
        <v>617.09349999999995</v>
      </c>
      <c r="K344" s="541">
        <v>617.09349999999995</v>
      </c>
      <c r="L344" s="541">
        <v>617.09349999999995</v>
      </c>
      <c r="M344" s="541">
        <v>617.09349999999995</v>
      </c>
      <c r="N344" s="541">
        <v>617.09349999999995</v>
      </c>
      <c r="O344" s="541">
        <v>617.09349999999995</v>
      </c>
      <c r="P344" s="541">
        <v>617.09349999999995</v>
      </c>
      <c r="Q344" s="541">
        <v>617.09349999999995</v>
      </c>
      <c r="R344" s="541">
        <v>617.09349999999995</v>
      </c>
      <c r="S344" s="541">
        <v>617.09349999999995</v>
      </c>
      <c r="T344" s="541">
        <v>617.09349999999995</v>
      </c>
      <c r="U344" s="541">
        <v>617.09349999999995</v>
      </c>
      <c r="V344" s="541">
        <v>617.09349999999995</v>
      </c>
      <c r="W344" s="541">
        <v>617.09349999999995</v>
      </c>
      <c r="X344" s="541">
        <v>617.09349999999995</v>
      </c>
      <c r="Y344" s="541">
        <v>617.09349999999995</v>
      </c>
      <c r="Z344" s="541">
        <v>617.09349999999995</v>
      </c>
      <c r="AA344" s="541">
        <v>617.09349999999995</v>
      </c>
      <c r="AB344" s="541">
        <v>617.09349999999995</v>
      </c>
      <c r="AC344" s="541">
        <v>617.09349999999995</v>
      </c>
      <c r="AD344" s="541">
        <v>617.09349999999995</v>
      </c>
      <c r="AE344" s="541">
        <v>617.09349999999995</v>
      </c>
      <c r="AF344" s="541">
        <v>617.09349999999995</v>
      </c>
      <c r="AG344" s="541">
        <v>617.09349999999995</v>
      </c>
      <c r="AH344" s="542">
        <f>AG344</f>
        <v>617.09349999999995</v>
      </c>
      <c r="AI344" s="542">
        <f t="shared" ref="AI344:AX344" si="247">AH344</f>
        <v>617.09349999999995</v>
      </c>
      <c r="AJ344" s="542">
        <f t="shared" si="247"/>
        <v>617.09349999999995</v>
      </c>
      <c r="AK344" s="542">
        <f t="shared" si="247"/>
        <v>617.09349999999995</v>
      </c>
      <c r="AL344" s="542">
        <f t="shared" si="247"/>
        <v>617.09349999999995</v>
      </c>
      <c r="AM344" s="542">
        <f t="shared" si="247"/>
        <v>617.09349999999995</v>
      </c>
      <c r="AN344" s="542">
        <f t="shared" si="247"/>
        <v>617.09349999999995</v>
      </c>
      <c r="AO344" s="542">
        <f t="shared" si="247"/>
        <v>617.09349999999995</v>
      </c>
      <c r="AP344" s="542">
        <f t="shared" si="247"/>
        <v>617.09349999999995</v>
      </c>
      <c r="AQ344" s="542">
        <f t="shared" si="247"/>
        <v>617.09349999999995</v>
      </c>
      <c r="AR344" s="542">
        <f t="shared" si="247"/>
        <v>617.09349999999995</v>
      </c>
      <c r="AS344" s="542">
        <f t="shared" si="247"/>
        <v>617.09349999999995</v>
      </c>
      <c r="AT344" s="542">
        <f t="shared" si="247"/>
        <v>617.09349999999995</v>
      </c>
      <c r="AU344" s="542">
        <f t="shared" si="247"/>
        <v>617.09349999999995</v>
      </c>
      <c r="AV344" s="542">
        <f t="shared" si="247"/>
        <v>617.09349999999995</v>
      </c>
      <c r="AW344" s="542">
        <f t="shared" si="247"/>
        <v>617.09349999999995</v>
      </c>
      <c r="AX344" s="542">
        <f t="shared" si="247"/>
        <v>617.09349999999995</v>
      </c>
      <c r="AY344" s="542">
        <f t="shared" ref="AY344:BN344" si="248">AX344</f>
        <v>617.09349999999995</v>
      </c>
      <c r="AZ344" s="542">
        <f t="shared" si="248"/>
        <v>617.09349999999995</v>
      </c>
      <c r="BA344" s="542">
        <f t="shared" si="248"/>
        <v>617.09349999999995</v>
      </c>
      <c r="BB344" s="542">
        <f t="shared" si="248"/>
        <v>617.09349999999995</v>
      </c>
      <c r="BC344" s="542">
        <f t="shared" si="248"/>
        <v>617.09349999999995</v>
      </c>
      <c r="BD344" s="542">
        <f t="shared" si="248"/>
        <v>617.09349999999995</v>
      </c>
      <c r="BE344" s="542">
        <f t="shared" si="248"/>
        <v>617.09349999999995</v>
      </c>
      <c r="BF344" s="542">
        <f t="shared" si="248"/>
        <v>617.09349999999995</v>
      </c>
      <c r="BG344" s="542">
        <f t="shared" si="248"/>
        <v>617.09349999999995</v>
      </c>
      <c r="BH344" s="542">
        <f t="shared" si="248"/>
        <v>617.09349999999995</v>
      </c>
      <c r="BI344" s="542">
        <f t="shared" si="248"/>
        <v>617.09349999999995</v>
      </c>
      <c r="BJ344" s="542">
        <f t="shared" si="248"/>
        <v>617.09349999999995</v>
      </c>
      <c r="BK344" s="542">
        <f t="shared" si="248"/>
        <v>617.09349999999995</v>
      </c>
      <c r="BL344" s="542">
        <f t="shared" si="248"/>
        <v>617.09349999999995</v>
      </c>
      <c r="BM344" s="542">
        <f t="shared" si="248"/>
        <v>617.09349999999995</v>
      </c>
      <c r="BN344" s="542">
        <f t="shared" si="248"/>
        <v>617.09349999999995</v>
      </c>
      <c r="BO344" s="542">
        <f t="shared" ref="BO344:CD344" si="249">BN344</f>
        <v>617.09349999999995</v>
      </c>
      <c r="BP344" s="542">
        <f t="shared" si="249"/>
        <v>617.09349999999995</v>
      </c>
      <c r="BQ344" s="542">
        <f t="shared" si="249"/>
        <v>617.09349999999995</v>
      </c>
      <c r="BR344" s="542">
        <f t="shared" si="249"/>
        <v>617.09349999999995</v>
      </c>
      <c r="BS344" s="542">
        <f t="shared" si="249"/>
        <v>617.09349999999995</v>
      </c>
      <c r="BT344" s="542">
        <f t="shared" si="249"/>
        <v>617.09349999999995</v>
      </c>
      <c r="BU344" s="542">
        <f t="shared" si="249"/>
        <v>617.09349999999995</v>
      </c>
      <c r="BV344" s="542">
        <f t="shared" si="249"/>
        <v>617.09349999999995</v>
      </c>
      <c r="BW344" s="542">
        <f t="shared" si="249"/>
        <v>617.09349999999995</v>
      </c>
      <c r="BX344" s="542">
        <f t="shared" si="249"/>
        <v>617.09349999999995</v>
      </c>
      <c r="BY344" s="542">
        <f t="shared" si="249"/>
        <v>617.09349999999995</v>
      </c>
      <c r="BZ344" s="542">
        <f t="shared" si="249"/>
        <v>617.09349999999995</v>
      </c>
      <c r="CA344" s="542">
        <f t="shared" si="249"/>
        <v>617.09349999999995</v>
      </c>
      <c r="CB344" s="542">
        <f t="shared" si="249"/>
        <v>617.09349999999995</v>
      </c>
      <c r="CC344" s="542">
        <f t="shared" si="249"/>
        <v>617.09349999999995</v>
      </c>
      <c r="CD344" s="542">
        <f t="shared" si="249"/>
        <v>617.09349999999995</v>
      </c>
      <c r="CE344" s="542">
        <f t="shared" ref="AX344:CE351" si="250">CD344</f>
        <v>617.09349999999995</v>
      </c>
      <c r="CG344" s="541">
        <v>617.09349999999995</v>
      </c>
      <c r="CH344" s="541">
        <v>617.09349999999995</v>
      </c>
      <c r="CI344" s="541">
        <v>617.09349999999995</v>
      </c>
      <c r="CJ344" s="541">
        <v>617.09349999999995</v>
      </c>
      <c r="CK344" s="541">
        <v>617.09349999999995</v>
      </c>
      <c r="CL344" s="541">
        <v>617.09349999999995</v>
      </c>
      <c r="CM344" s="541">
        <v>617.09349999999995</v>
      </c>
      <c r="CN344" s="541">
        <v>617.09349999999995</v>
      </c>
      <c r="CO344" s="541">
        <v>617.09349999999995</v>
      </c>
      <c r="CP344" s="541">
        <v>617.09349999999995</v>
      </c>
      <c r="CQ344" s="541">
        <v>617.09349999999995</v>
      </c>
      <c r="CR344" s="541">
        <v>617.09349999999995</v>
      </c>
      <c r="CS344" s="541">
        <v>617.09349999999995</v>
      </c>
      <c r="CT344" s="541">
        <v>617.09349999999995</v>
      </c>
      <c r="CU344" s="541">
        <v>617.09349999999995</v>
      </c>
      <c r="CV344" s="541">
        <v>617.09349999999995</v>
      </c>
      <c r="CW344" s="541">
        <v>617.09349999999995</v>
      </c>
      <c r="CX344" s="541">
        <v>617.09349999999995</v>
      </c>
      <c r="CY344" s="541">
        <v>617.09349999999995</v>
      </c>
      <c r="CZ344" s="541">
        <v>617.09349999999995</v>
      </c>
      <c r="DA344" s="541">
        <v>617.09349999999995</v>
      </c>
      <c r="DB344" s="541">
        <v>617.09349999999995</v>
      </c>
      <c r="DC344" s="541">
        <v>617.09349999999995</v>
      </c>
      <c r="DD344" s="541">
        <v>617.09349999999995</v>
      </c>
      <c r="DE344" s="541">
        <v>617.09349999999995</v>
      </c>
      <c r="DF344" s="541">
        <v>617.09349999999995</v>
      </c>
      <c r="DG344" s="541">
        <v>617.09349999999995</v>
      </c>
      <c r="DH344" s="541">
        <v>617.09349999999995</v>
      </c>
    </row>
    <row r="345" spans="2:112">
      <c r="B345" t="s">
        <v>1205</v>
      </c>
      <c r="C345" t="s">
        <v>800</v>
      </c>
      <c r="D345" t="s">
        <v>910</v>
      </c>
      <c r="E345" t="s">
        <v>911</v>
      </c>
      <c r="F345" s="541">
        <v>151.95104045454548</v>
      </c>
      <c r="G345" s="541">
        <v>151.95104045454548</v>
      </c>
      <c r="H345" s="541">
        <v>151.95104045454548</v>
      </c>
      <c r="I345" s="541">
        <v>151.95104045454548</v>
      </c>
      <c r="J345" s="541">
        <v>151.95104045454548</v>
      </c>
      <c r="K345" s="541">
        <v>151.95104045454548</v>
      </c>
      <c r="L345" s="541">
        <v>151.95104045454548</v>
      </c>
      <c r="M345" s="541">
        <v>151.95104045454548</v>
      </c>
      <c r="N345" s="541">
        <v>151.95104045454548</v>
      </c>
      <c r="O345" s="541">
        <v>151.95104045454548</v>
      </c>
      <c r="P345" s="541">
        <v>151.95104045454548</v>
      </c>
      <c r="Q345" s="541">
        <v>151.95104045454548</v>
      </c>
      <c r="R345" s="541">
        <v>151.95104045454548</v>
      </c>
      <c r="S345" s="541">
        <v>151.95104045454548</v>
      </c>
      <c r="T345" s="541">
        <v>151.95104045454548</v>
      </c>
      <c r="U345" s="541">
        <v>151.95104045454548</v>
      </c>
      <c r="V345" s="541">
        <v>151.95104045454548</v>
      </c>
      <c r="W345" s="541">
        <v>151.95104045454548</v>
      </c>
      <c r="X345" s="541">
        <v>151.95104045454548</v>
      </c>
      <c r="Y345" s="541">
        <v>151.95104045454548</v>
      </c>
      <c r="Z345" s="541">
        <v>151.95104045454548</v>
      </c>
      <c r="AA345" s="541">
        <v>151.95104045454548</v>
      </c>
      <c r="AB345" s="541">
        <v>151.95104045454548</v>
      </c>
      <c r="AC345" s="541">
        <v>151.95104045454548</v>
      </c>
      <c r="AD345" s="541">
        <v>151.95104045454548</v>
      </c>
      <c r="AE345" s="541">
        <v>151.95104045454548</v>
      </c>
      <c r="AF345" s="541">
        <v>151.95104045454548</v>
      </c>
      <c r="AG345" s="541">
        <v>151.95104045454548</v>
      </c>
      <c r="AH345" s="542">
        <f t="shared" ref="AH345:AW351" si="251">AG345</f>
        <v>151.95104045454548</v>
      </c>
      <c r="AI345" s="542">
        <f t="shared" si="251"/>
        <v>151.95104045454548</v>
      </c>
      <c r="AJ345" s="542">
        <f t="shared" si="251"/>
        <v>151.95104045454548</v>
      </c>
      <c r="AK345" s="542">
        <f t="shared" si="251"/>
        <v>151.95104045454548</v>
      </c>
      <c r="AL345" s="542">
        <f t="shared" si="251"/>
        <v>151.95104045454548</v>
      </c>
      <c r="AM345" s="542">
        <f t="shared" si="251"/>
        <v>151.95104045454548</v>
      </c>
      <c r="AN345" s="542">
        <f t="shared" si="251"/>
        <v>151.95104045454548</v>
      </c>
      <c r="AO345" s="542">
        <f t="shared" si="251"/>
        <v>151.95104045454548</v>
      </c>
      <c r="AP345" s="542">
        <f t="shared" si="251"/>
        <v>151.95104045454548</v>
      </c>
      <c r="AQ345" s="542">
        <f t="shared" si="251"/>
        <v>151.95104045454548</v>
      </c>
      <c r="AR345" s="542">
        <f t="shared" si="251"/>
        <v>151.95104045454548</v>
      </c>
      <c r="AS345" s="542">
        <f t="shared" si="251"/>
        <v>151.95104045454548</v>
      </c>
      <c r="AT345" s="542">
        <f t="shared" si="251"/>
        <v>151.95104045454548</v>
      </c>
      <c r="AU345" s="542">
        <f t="shared" si="251"/>
        <v>151.95104045454548</v>
      </c>
      <c r="AV345" s="542">
        <f t="shared" si="251"/>
        <v>151.95104045454548</v>
      </c>
      <c r="AW345" s="542">
        <f t="shared" si="251"/>
        <v>151.95104045454548</v>
      </c>
      <c r="AX345" s="542">
        <f t="shared" si="250"/>
        <v>151.95104045454548</v>
      </c>
      <c r="AY345" s="542">
        <f t="shared" si="250"/>
        <v>151.95104045454548</v>
      </c>
      <c r="AZ345" s="542">
        <f t="shared" si="250"/>
        <v>151.95104045454548</v>
      </c>
      <c r="BA345" s="542">
        <f t="shared" si="250"/>
        <v>151.95104045454548</v>
      </c>
      <c r="BB345" s="542">
        <f t="shared" si="250"/>
        <v>151.95104045454548</v>
      </c>
      <c r="BC345" s="542">
        <f t="shared" si="250"/>
        <v>151.95104045454548</v>
      </c>
      <c r="BD345" s="542">
        <f t="shared" si="250"/>
        <v>151.95104045454548</v>
      </c>
      <c r="BE345" s="542">
        <f t="shared" si="250"/>
        <v>151.95104045454548</v>
      </c>
      <c r="BF345" s="542">
        <f t="shared" si="250"/>
        <v>151.95104045454548</v>
      </c>
      <c r="BG345" s="542">
        <f t="shared" si="250"/>
        <v>151.95104045454548</v>
      </c>
      <c r="BH345" s="542">
        <f t="shared" si="250"/>
        <v>151.95104045454548</v>
      </c>
      <c r="BI345" s="542">
        <f t="shared" si="250"/>
        <v>151.95104045454548</v>
      </c>
      <c r="BJ345" s="542">
        <f t="shared" si="250"/>
        <v>151.95104045454548</v>
      </c>
      <c r="BK345" s="542">
        <f t="shared" si="250"/>
        <v>151.95104045454548</v>
      </c>
      <c r="BL345" s="542">
        <f t="shared" si="250"/>
        <v>151.95104045454548</v>
      </c>
      <c r="BM345" s="542">
        <f t="shared" si="250"/>
        <v>151.95104045454548</v>
      </c>
      <c r="BN345" s="542">
        <f t="shared" si="250"/>
        <v>151.95104045454548</v>
      </c>
      <c r="BO345" s="542">
        <f t="shared" si="250"/>
        <v>151.95104045454548</v>
      </c>
      <c r="BP345" s="542">
        <f t="shared" si="250"/>
        <v>151.95104045454548</v>
      </c>
      <c r="BQ345" s="542">
        <f t="shared" si="250"/>
        <v>151.95104045454548</v>
      </c>
      <c r="BR345" s="542">
        <f t="shared" si="250"/>
        <v>151.95104045454548</v>
      </c>
      <c r="BS345" s="542">
        <f t="shared" si="250"/>
        <v>151.95104045454548</v>
      </c>
      <c r="BT345" s="542">
        <f t="shared" si="250"/>
        <v>151.95104045454548</v>
      </c>
      <c r="BU345" s="542">
        <f t="shared" si="250"/>
        <v>151.95104045454548</v>
      </c>
      <c r="BV345" s="542">
        <f t="shared" si="250"/>
        <v>151.95104045454548</v>
      </c>
      <c r="BW345" s="542">
        <f t="shared" si="250"/>
        <v>151.95104045454548</v>
      </c>
      <c r="BX345" s="542">
        <f t="shared" si="250"/>
        <v>151.95104045454548</v>
      </c>
      <c r="BY345" s="542">
        <f t="shared" si="250"/>
        <v>151.95104045454548</v>
      </c>
      <c r="BZ345" s="542">
        <f t="shared" si="250"/>
        <v>151.95104045454548</v>
      </c>
      <c r="CA345" s="542">
        <f t="shared" si="250"/>
        <v>151.95104045454548</v>
      </c>
      <c r="CB345" s="542">
        <f t="shared" si="250"/>
        <v>151.95104045454548</v>
      </c>
      <c r="CC345" s="542">
        <f t="shared" si="250"/>
        <v>151.95104045454548</v>
      </c>
      <c r="CD345" s="542">
        <f t="shared" si="250"/>
        <v>151.95104045454548</v>
      </c>
      <c r="CE345" s="542">
        <f t="shared" si="250"/>
        <v>151.95104045454548</v>
      </c>
      <c r="CG345" s="541">
        <v>151.95104045454548</v>
      </c>
      <c r="CH345" s="541">
        <v>151.95104045454548</v>
      </c>
      <c r="CI345" s="541">
        <v>151.95104045454548</v>
      </c>
      <c r="CJ345" s="541">
        <v>151.95104045454548</v>
      </c>
      <c r="CK345" s="541">
        <v>151.95104045454548</v>
      </c>
      <c r="CL345" s="541">
        <v>151.95104045454548</v>
      </c>
      <c r="CM345" s="541">
        <v>151.95104045454548</v>
      </c>
      <c r="CN345" s="541">
        <v>151.95104045454548</v>
      </c>
      <c r="CO345" s="541">
        <v>151.95104045454548</v>
      </c>
      <c r="CP345" s="541">
        <v>151.95104045454548</v>
      </c>
      <c r="CQ345" s="541">
        <v>151.95104045454548</v>
      </c>
      <c r="CR345" s="541">
        <v>151.95104045454548</v>
      </c>
      <c r="CS345" s="541">
        <v>151.95104045454548</v>
      </c>
      <c r="CT345" s="541">
        <v>151.95104045454548</v>
      </c>
      <c r="CU345" s="541">
        <v>151.95104045454548</v>
      </c>
      <c r="CV345" s="541">
        <v>151.95104045454548</v>
      </c>
      <c r="CW345" s="541">
        <v>151.95104045454548</v>
      </c>
      <c r="CX345" s="541">
        <v>151.95104045454548</v>
      </c>
      <c r="CY345" s="541">
        <v>151.95104045454548</v>
      </c>
      <c r="CZ345" s="541">
        <v>151.95104045454548</v>
      </c>
      <c r="DA345" s="541">
        <v>151.95104045454548</v>
      </c>
      <c r="DB345" s="541">
        <v>151.95104045454548</v>
      </c>
      <c r="DC345" s="541">
        <v>151.95104045454548</v>
      </c>
      <c r="DD345" s="541">
        <v>151.95104045454548</v>
      </c>
      <c r="DE345" s="541">
        <v>151.95104045454548</v>
      </c>
      <c r="DF345" s="541">
        <v>151.95104045454548</v>
      </c>
      <c r="DG345" s="541">
        <v>151.95104045454548</v>
      </c>
      <c r="DH345" s="541">
        <v>151.95104045454548</v>
      </c>
    </row>
    <row r="346" spans="2:112">
      <c r="B346" t="s">
        <v>1206</v>
      </c>
      <c r="C346" t="s">
        <v>800</v>
      </c>
      <c r="D346" t="s">
        <v>913</v>
      </c>
      <c r="E346" t="s">
        <v>908</v>
      </c>
      <c r="F346" s="541">
        <v>639.92250000000001</v>
      </c>
      <c r="G346" s="541">
        <v>639.92250000000001</v>
      </c>
      <c r="H346" s="541">
        <v>639.92250000000001</v>
      </c>
      <c r="I346" s="541">
        <v>639.92250000000001</v>
      </c>
      <c r="J346" s="541">
        <v>639.92250000000001</v>
      </c>
      <c r="K346" s="541">
        <v>639.92250000000001</v>
      </c>
      <c r="L346" s="541">
        <v>639.92250000000001</v>
      </c>
      <c r="M346" s="541">
        <v>639.92250000000001</v>
      </c>
      <c r="N346" s="541">
        <v>639.92250000000001</v>
      </c>
      <c r="O346" s="541">
        <v>639.92250000000001</v>
      </c>
      <c r="P346" s="541">
        <v>639.92250000000001</v>
      </c>
      <c r="Q346" s="541">
        <v>639.92250000000001</v>
      </c>
      <c r="R346" s="541">
        <v>639.92250000000001</v>
      </c>
      <c r="S346" s="541">
        <v>639.92250000000001</v>
      </c>
      <c r="T346" s="541">
        <v>639.92250000000001</v>
      </c>
      <c r="U346" s="541">
        <v>639.92250000000001</v>
      </c>
      <c r="V346" s="541">
        <v>639.92250000000001</v>
      </c>
      <c r="W346" s="541">
        <v>639.92250000000001</v>
      </c>
      <c r="X346" s="541">
        <v>639.92250000000001</v>
      </c>
      <c r="Y346" s="541">
        <v>639.92250000000001</v>
      </c>
      <c r="Z346" s="541">
        <v>639.92250000000001</v>
      </c>
      <c r="AA346" s="541">
        <v>639.92250000000001</v>
      </c>
      <c r="AB346" s="541">
        <v>639.92250000000001</v>
      </c>
      <c r="AC346" s="541">
        <v>639.92250000000001</v>
      </c>
      <c r="AD346" s="541">
        <v>639.92250000000001</v>
      </c>
      <c r="AE346" s="541">
        <v>639.92250000000001</v>
      </c>
      <c r="AF346" s="541">
        <v>639.92250000000001</v>
      </c>
      <c r="AG346" s="541">
        <v>639.92250000000001</v>
      </c>
      <c r="AH346" s="542">
        <f t="shared" si="251"/>
        <v>639.92250000000001</v>
      </c>
      <c r="AI346" s="542">
        <f t="shared" si="251"/>
        <v>639.92250000000001</v>
      </c>
      <c r="AJ346" s="542">
        <f t="shared" si="251"/>
        <v>639.92250000000001</v>
      </c>
      <c r="AK346" s="542">
        <f t="shared" si="251"/>
        <v>639.92250000000001</v>
      </c>
      <c r="AL346" s="542">
        <f t="shared" si="251"/>
        <v>639.92250000000001</v>
      </c>
      <c r="AM346" s="542">
        <f t="shared" si="251"/>
        <v>639.92250000000001</v>
      </c>
      <c r="AN346" s="542">
        <f t="shared" si="251"/>
        <v>639.92250000000001</v>
      </c>
      <c r="AO346" s="542">
        <f t="shared" si="251"/>
        <v>639.92250000000001</v>
      </c>
      <c r="AP346" s="542">
        <f t="shared" si="251"/>
        <v>639.92250000000001</v>
      </c>
      <c r="AQ346" s="542">
        <f t="shared" si="251"/>
        <v>639.92250000000001</v>
      </c>
      <c r="AR346" s="542">
        <f t="shared" si="251"/>
        <v>639.92250000000001</v>
      </c>
      <c r="AS346" s="542">
        <f t="shared" si="251"/>
        <v>639.92250000000001</v>
      </c>
      <c r="AT346" s="542">
        <f t="shared" si="251"/>
        <v>639.92250000000001</v>
      </c>
      <c r="AU346" s="542">
        <f t="shared" si="251"/>
        <v>639.92250000000001</v>
      </c>
      <c r="AV346" s="542">
        <f t="shared" si="251"/>
        <v>639.92250000000001</v>
      </c>
      <c r="AW346" s="542">
        <f t="shared" si="251"/>
        <v>639.92250000000001</v>
      </c>
      <c r="AX346" s="542">
        <f t="shared" si="250"/>
        <v>639.92250000000001</v>
      </c>
      <c r="AY346" s="542">
        <f t="shared" si="250"/>
        <v>639.92250000000001</v>
      </c>
      <c r="AZ346" s="542">
        <f t="shared" si="250"/>
        <v>639.92250000000001</v>
      </c>
      <c r="BA346" s="542">
        <f t="shared" si="250"/>
        <v>639.92250000000001</v>
      </c>
      <c r="BB346" s="542">
        <f t="shared" si="250"/>
        <v>639.92250000000001</v>
      </c>
      <c r="BC346" s="542">
        <f t="shared" si="250"/>
        <v>639.92250000000001</v>
      </c>
      <c r="BD346" s="542">
        <f t="shared" si="250"/>
        <v>639.92250000000001</v>
      </c>
      <c r="BE346" s="542">
        <f t="shared" si="250"/>
        <v>639.92250000000001</v>
      </c>
      <c r="BF346" s="542">
        <f t="shared" si="250"/>
        <v>639.92250000000001</v>
      </c>
      <c r="BG346" s="542">
        <f t="shared" si="250"/>
        <v>639.92250000000001</v>
      </c>
      <c r="BH346" s="542">
        <f t="shared" si="250"/>
        <v>639.92250000000001</v>
      </c>
      <c r="BI346" s="542">
        <f t="shared" si="250"/>
        <v>639.92250000000001</v>
      </c>
      <c r="BJ346" s="542">
        <f t="shared" si="250"/>
        <v>639.92250000000001</v>
      </c>
      <c r="BK346" s="542">
        <f t="shared" si="250"/>
        <v>639.92250000000001</v>
      </c>
      <c r="BL346" s="542">
        <f t="shared" si="250"/>
        <v>639.92250000000001</v>
      </c>
      <c r="BM346" s="542">
        <f t="shared" si="250"/>
        <v>639.92250000000001</v>
      </c>
      <c r="BN346" s="542">
        <f t="shared" si="250"/>
        <v>639.92250000000001</v>
      </c>
      <c r="BO346" s="542">
        <f t="shared" si="250"/>
        <v>639.92250000000001</v>
      </c>
      <c r="BP346" s="542">
        <f t="shared" si="250"/>
        <v>639.92250000000001</v>
      </c>
      <c r="BQ346" s="542">
        <f t="shared" si="250"/>
        <v>639.92250000000001</v>
      </c>
      <c r="BR346" s="542">
        <f t="shared" si="250"/>
        <v>639.92250000000001</v>
      </c>
      <c r="BS346" s="542">
        <f t="shared" si="250"/>
        <v>639.92250000000001</v>
      </c>
      <c r="BT346" s="542">
        <f t="shared" si="250"/>
        <v>639.92250000000001</v>
      </c>
      <c r="BU346" s="542">
        <f t="shared" si="250"/>
        <v>639.92250000000001</v>
      </c>
      <c r="BV346" s="542">
        <f t="shared" si="250"/>
        <v>639.92250000000001</v>
      </c>
      <c r="BW346" s="542">
        <f t="shared" si="250"/>
        <v>639.92250000000001</v>
      </c>
      <c r="BX346" s="542">
        <f t="shared" si="250"/>
        <v>639.92250000000001</v>
      </c>
      <c r="BY346" s="542">
        <f t="shared" si="250"/>
        <v>639.92250000000001</v>
      </c>
      <c r="BZ346" s="542">
        <f t="shared" si="250"/>
        <v>639.92250000000001</v>
      </c>
      <c r="CA346" s="542">
        <f t="shared" si="250"/>
        <v>639.92250000000001</v>
      </c>
      <c r="CB346" s="542">
        <f t="shared" si="250"/>
        <v>639.92250000000001</v>
      </c>
      <c r="CC346" s="542">
        <f t="shared" si="250"/>
        <v>639.92250000000001</v>
      </c>
      <c r="CD346" s="542">
        <f t="shared" si="250"/>
        <v>639.92250000000001</v>
      </c>
      <c r="CE346" s="542">
        <f t="shared" si="250"/>
        <v>639.92250000000001</v>
      </c>
      <c r="CG346" s="541">
        <v>639.92250000000001</v>
      </c>
      <c r="CH346" s="541">
        <v>639.92250000000001</v>
      </c>
      <c r="CI346" s="541">
        <v>639.92250000000001</v>
      </c>
      <c r="CJ346" s="541">
        <v>639.92250000000001</v>
      </c>
      <c r="CK346" s="541">
        <v>639.92250000000001</v>
      </c>
      <c r="CL346" s="541">
        <v>639.92250000000001</v>
      </c>
      <c r="CM346" s="541">
        <v>639.92250000000001</v>
      </c>
      <c r="CN346" s="541">
        <v>639.92250000000001</v>
      </c>
      <c r="CO346" s="541">
        <v>639.92250000000001</v>
      </c>
      <c r="CP346" s="541">
        <v>639.92250000000001</v>
      </c>
      <c r="CQ346" s="541">
        <v>639.92250000000001</v>
      </c>
      <c r="CR346" s="541">
        <v>639.92250000000001</v>
      </c>
      <c r="CS346" s="541">
        <v>639.92250000000001</v>
      </c>
      <c r="CT346" s="541">
        <v>639.92250000000001</v>
      </c>
      <c r="CU346" s="541">
        <v>639.92250000000001</v>
      </c>
      <c r="CV346" s="541">
        <v>639.92250000000001</v>
      </c>
      <c r="CW346" s="541">
        <v>639.92250000000001</v>
      </c>
      <c r="CX346" s="541">
        <v>639.92250000000001</v>
      </c>
      <c r="CY346" s="541">
        <v>639.92250000000001</v>
      </c>
      <c r="CZ346" s="541">
        <v>639.92250000000001</v>
      </c>
      <c r="DA346" s="541">
        <v>639.92250000000001</v>
      </c>
      <c r="DB346" s="541">
        <v>639.92250000000001</v>
      </c>
      <c r="DC346" s="541">
        <v>639.92250000000001</v>
      </c>
      <c r="DD346" s="541">
        <v>639.92250000000001</v>
      </c>
      <c r="DE346" s="541">
        <v>639.92250000000001</v>
      </c>
      <c r="DF346" s="541">
        <v>639.92250000000001</v>
      </c>
      <c r="DG346" s="541">
        <v>639.92250000000001</v>
      </c>
      <c r="DH346" s="541">
        <v>639.92250000000001</v>
      </c>
    </row>
    <row r="347" spans="2:112">
      <c r="B347" t="s">
        <v>1207</v>
      </c>
      <c r="C347" t="s">
        <v>800</v>
      </c>
      <c r="D347" t="s">
        <v>915</v>
      </c>
      <c r="E347" t="s">
        <v>911</v>
      </c>
      <c r="F347" s="541">
        <v>152.14813045454548</v>
      </c>
      <c r="G347" s="541">
        <v>152.14813045454548</v>
      </c>
      <c r="H347" s="541">
        <v>152.14813045454548</v>
      </c>
      <c r="I347" s="541">
        <v>152.14813045454548</v>
      </c>
      <c r="J347" s="541">
        <v>152.14813045454548</v>
      </c>
      <c r="K347" s="541">
        <v>152.14813045454548</v>
      </c>
      <c r="L347" s="541">
        <v>152.14813045454548</v>
      </c>
      <c r="M347" s="541">
        <v>152.14813045454548</v>
      </c>
      <c r="N347" s="541">
        <v>152.14813045454548</v>
      </c>
      <c r="O347" s="541">
        <v>152.14813045454548</v>
      </c>
      <c r="P347" s="541">
        <v>152.14813045454548</v>
      </c>
      <c r="Q347" s="541">
        <v>152.14813045454548</v>
      </c>
      <c r="R347" s="541">
        <v>152.14813045454548</v>
      </c>
      <c r="S347" s="541">
        <v>152.14813045454548</v>
      </c>
      <c r="T347" s="541">
        <v>152.14813045454548</v>
      </c>
      <c r="U347" s="541">
        <v>152.14813045454548</v>
      </c>
      <c r="V347" s="541">
        <v>152.14813045454548</v>
      </c>
      <c r="W347" s="541">
        <v>152.14813045454548</v>
      </c>
      <c r="X347" s="541">
        <v>152.14813045454548</v>
      </c>
      <c r="Y347" s="541">
        <v>152.14813045454548</v>
      </c>
      <c r="Z347" s="541">
        <v>152.14813045454548</v>
      </c>
      <c r="AA347" s="541">
        <v>152.14813045454548</v>
      </c>
      <c r="AB347" s="541">
        <v>152.14813045454548</v>
      </c>
      <c r="AC347" s="541">
        <v>152.14813045454548</v>
      </c>
      <c r="AD347" s="541">
        <v>152.14813045454548</v>
      </c>
      <c r="AE347" s="541">
        <v>152.14813045454548</v>
      </c>
      <c r="AF347" s="541">
        <v>152.14813045454548</v>
      </c>
      <c r="AG347" s="541">
        <v>152.14813045454548</v>
      </c>
      <c r="AH347" s="542">
        <f t="shared" si="251"/>
        <v>152.14813045454548</v>
      </c>
      <c r="AI347" s="542">
        <f t="shared" si="251"/>
        <v>152.14813045454548</v>
      </c>
      <c r="AJ347" s="542">
        <f t="shared" si="251"/>
        <v>152.14813045454548</v>
      </c>
      <c r="AK347" s="542">
        <f t="shared" si="251"/>
        <v>152.14813045454548</v>
      </c>
      <c r="AL347" s="542">
        <f t="shared" si="251"/>
        <v>152.14813045454548</v>
      </c>
      <c r="AM347" s="542">
        <f t="shared" si="251"/>
        <v>152.14813045454548</v>
      </c>
      <c r="AN347" s="542">
        <f t="shared" si="251"/>
        <v>152.14813045454548</v>
      </c>
      <c r="AO347" s="542">
        <f t="shared" si="251"/>
        <v>152.14813045454548</v>
      </c>
      <c r="AP347" s="542">
        <f t="shared" si="251"/>
        <v>152.14813045454548</v>
      </c>
      <c r="AQ347" s="542">
        <f t="shared" si="251"/>
        <v>152.14813045454548</v>
      </c>
      <c r="AR347" s="542">
        <f t="shared" si="251"/>
        <v>152.14813045454548</v>
      </c>
      <c r="AS347" s="542">
        <f t="shared" si="251"/>
        <v>152.14813045454548</v>
      </c>
      <c r="AT347" s="542">
        <f t="shared" si="251"/>
        <v>152.14813045454548</v>
      </c>
      <c r="AU347" s="542">
        <f t="shared" si="251"/>
        <v>152.14813045454548</v>
      </c>
      <c r="AV347" s="542">
        <f t="shared" si="251"/>
        <v>152.14813045454548</v>
      </c>
      <c r="AW347" s="542">
        <f t="shared" si="251"/>
        <v>152.14813045454548</v>
      </c>
      <c r="AX347" s="542">
        <f t="shared" si="250"/>
        <v>152.14813045454548</v>
      </c>
      <c r="AY347" s="542">
        <f t="shared" si="250"/>
        <v>152.14813045454548</v>
      </c>
      <c r="AZ347" s="542">
        <f t="shared" si="250"/>
        <v>152.14813045454548</v>
      </c>
      <c r="BA347" s="542">
        <f t="shared" si="250"/>
        <v>152.14813045454548</v>
      </c>
      <c r="BB347" s="542">
        <f t="shared" si="250"/>
        <v>152.14813045454548</v>
      </c>
      <c r="BC347" s="542">
        <f t="shared" si="250"/>
        <v>152.14813045454548</v>
      </c>
      <c r="BD347" s="542">
        <f t="shared" si="250"/>
        <v>152.14813045454548</v>
      </c>
      <c r="BE347" s="542">
        <f t="shared" si="250"/>
        <v>152.14813045454548</v>
      </c>
      <c r="BF347" s="542">
        <f t="shared" si="250"/>
        <v>152.14813045454548</v>
      </c>
      <c r="BG347" s="542">
        <f t="shared" si="250"/>
        <v>152.14813045454548</v>
      </c>
      <c r="BH347" s="542">
        <f t="shared" si="250"/>
        <v>152.14813045454548</v>
      </c>
      <c r="BI347" s="542">
        <f t="shared" si="250"/>
        <v>152.14813045454548</v>
      </c>
      <c r="BJ347" s="542">
        <f t="shared" si="250"/>
        <v>152.14813045454548</v>
      </c>
      <c r="BK347" s="542">
        <f t="shared" si="250"/>
        <v>152.14813045454548</v>
      </c>
      <c r="BL347" s="542">
        <f t="shared" si="250"/>
        <v>152.14813045454548</v>
      </c>
      <c r="BM347" s="542">
        <f t="shared" si="250"/>
        <v>152.14813045454548</v>
      </c>
      <c r="BN347" s="542">
        <f t="shared" si="250"/>
        <v>152.14813045454548</v>
      </c>
      <c r="BO347" s="542">
        <f t="shared" si="250"/>
        <v>152.14813045454548</v>
      </c>
      <c r="BP347" s="542">
        <f t="shared" si="250"/>
        <v>152.14813045454548</v>
      </c>
      <c r="BQ347" s="542">
        <f t="shared" si="250"/>
        <v>152.14813045454548</v>
      </c>
      <c r="BR347" s="542">
        <f t="shared" si="250"/>
        <v>152.14813045454548</v>
      </c>
      <c r="BS347" s="542">
        <f t="shared" si="250"/>
        <v>152.14813045454548</v>
      </c>
      <c r="BT347" s="542">
        <f t="shared" si="250"/>
        <v>152.14813045454548</v>
      </c>
      <c r="BU347" s="542">
        <f t="shared" si="250"/>
        <v>152.14813045454548</v>
      </c>
      <c r="BV347" s="542">
        <f t="shared" si="250"/>
        <v>152.14813045454548</v>
      </c>
      <c r="BW347" s="542">
        <f t="shared" si="250"/>
        <v>152.14813045454548</v>
      </c>
      <c r="BX347" s="542">
        <f t="shared" si="250"/>
        <v>152.14813045454548</v>
      </c>
      <c r="BY347" s="542">
        <f t="shared" si="250"/>
        <v>152.14813045454548</v>
      </c>
      <c r="BZ347" s="542">
        <f t="shared" si="250"/>
        <v>152.14813045454548</v>
      </c>
      <c r="CA347" s="542">
        <f t="shared" si="250"/>
        <v>152.14813045454548</v>
      </c>
      <c r="CB347" s="542">
        <f t="shared" si="250"/>
        <v>152.14813045454548</v>
      </c>
      <c r="CC347" s="542">
        <f t="shared" si="250"/>
        <v>152.14813045454548</v>
      </c>
      <c r="CD347" s="542">
        <f t="shared" si="250"/>
        <v>152.14813045454548</v>
      </c>
      <c r="CE347" s="542">
        <f t="shared" si="250"/>
        <v>152.14813045454548</v>
      </c>
      <c r="CG347" s="541">
        <v>152.14813045454548</v>
      </c>
      <c r="CH347" s="541">
        <v>152.14813045454548</v>
      </c>
      <c r="CI347" s="541">
        <v>152.14813045454548</v>
      </c>
      <c r="CJ347" s="541">
        <v>152.14813045454548</v>
      </c>
      <c r="CK347" s="541">
        <v>152.14813045454548</v>
      </c>
      <c r="CL347" s="541">
        <v>152.14813045454548</v>
      </c>
      <c r="CM347" s="541">
        <v>152.14813045454548</v>
      </c>
      <c r="CN347" s="541">
        <v>152.14813045454548</v>
      </c>
      <c r="CO347" s="541">
        <v>152.14813045454548</v>
      </c>
      <c r="CP347" s="541">
        <v>152.14813045454548</v>
      </c>
      <c r="CQ347" s="541">
        <v>152.14813045454548</v>
      </c>
      <c r="CR347" s="541">
        <v>152.14813045454548</v>
      </c>
      <c r="CS347" s="541">
        <v>152.14813045454548</v>
      </c>
      <c r="CT347" s="541">
        <v>152.14813045454548</v>
      </c>
      <c r="CU347" s="541">
        <v>152.14813045454548</v>
      </c>
      <c r="CV347" s="541">
        <v>152.14813045454548</v>
      </c>
      <c r="CW347" s="541">
        <v>152.14813045454548</v>
      </c>
      <c r="CX347" s="541">
        <v>152.14813045454548</v>
      </c>
      <c r="CY347" s="541">
        <v>152.14813045454548</v>
      </c>
      <c r="CZ347" s="541">
        <v>152.14813045454548</v>
      </c>
      <c r="DA347" s="541">
        <v>152.14813045454548</v>
      </c>
      <c r="DB347" s="541">
        <v>152.14813045454548</v>
      </c>
      <c r="DC347" s="541">
        <v>152.14813045454548</v>
      </c>
      <c r="DD347" s="541">
        <v>152.14813045454548</v>
      </c>
      <c r="DE347" s="541">
        <v>152.14813045454548</v>
      </c>
      <c r="DF347" s="541">
        <v>152.14813045454548</v>
      </c>
      <c r="DG347" s="541">
        <v>152.14813045454548</v>
      </c>
      <c r="DH347" s="541">
        <v>152.14813045454548</v>
      </c>
    </row>
    <row r="348" spans="2:112">
      <c r="B348" t="s">
        <v>1208</v>
      </c>
      <c r="C348" t="s">
        <v>800</v>
      </c>
      <c r="D348" t="s">
        <v>917</v>
      </c>
      <c r="E348" t="s">
        <v>908</v>
      </c>
      <c r="F348" s="541">
        <v>632.35649999999998</v>
      </c>
      <c r="G348" s="541">
        <v>632.35649999999998</v>
      </c>
      <c r="H348" s="541">
        <v>632.35649999999998</v>
      </c>
      <c r="I348" s="541">
        <v>632.35649999999998</v>
      </c>
      <c r="J348" s="541">
        <v>632.35649999999998</v>
      </c>
      <c r="K348" s="541">
        <v>632.35649999999998</v>
      </c>
      <c r="L348" s="541">
        <v>632.35649999999998</v>
      </c>
      <c r="M348" s="541">
        <v>632.35649999999998</v>
      </c>
      <c r="N348" s="541">
        <v>632.35649999999998</v>
      </c>
      <c r="O348" s="541">
        <v>632.35649999999998</v>
      </c>
      <c r="P348" s="541">
        <v>632.35649999999998</v>
      </c>
      <c r="Q348" s="541">
        <v>632.35649999999998</v>
      </c>
      <c r="R348" s="541">
        <v>632.35649999999998</v>
      </c>
      <c r="S348" s="541">
        <v>632.35649999999998</v>
      </c>
      <c r="T348" s="541">
        <v>632.35649999999998</v>
      </c>
      <c r="U348" s="541">
        <v>632.35649999999998</v>
      </c>
      <c r="V348" s="541">
        <v>632.35649999999998</v>
      </c>
      <c r="W348" s="541">
        <v>632.35649999999998</v>
      </c>
      <c r="X348" s="541">
        <v>632.35649999999998</v>
      </c>
      <c r="Y348" s="541">
        <v>632.35649999999998</v>
      </c>
      <c r="Z348" s="541">
        <v>632.35649999999998</v>
      </c>
      <c r="AA348" s="541">
        <v>632.35649999999998</v>
      </c>
      <c r="AB348" s="541">
        <v>632.35649999999998</v>
      </c>
      <c r="AC348" s="541">
        <v>632.35649999999998</v>
      </c>
      <c r="AD348" s="541">
        <v>632.35649999999998</v>
      </c>
      <c r="AE348" s="541">
        <v>632.35649999999998</v>
      </c>
      <c r="AF348" s="541">
        <v>632.35649999999998</v>
      </c>
      <c r="AG348" s="541">
        <v>632.35649999999998</v>
      </c>
      <c r="AH348" s="542">
        <f t="shared" si="251"/>
        <v>632.35649999999998</v>
      </c>
      <c r="AI348" s="542">
        <f t="shared" si="251"/>
        <v>632.35649999999998</v>
      </c>
      <c r="AJ348" s="542">
        <f t="shared" si="251"/>
        <v>632.35649999999998</v>
      </c>
      <c r="AK348" s="542">
        <f t="shared" si="251"/>
        <v>632.35649999999998</v>
      </c>
      <c r="AL348" s="542">
        <f t="shared" si="251"/>
        <v>632.35649999999998</v>
      </c>
      <c r="AM348" s="542">
        <f t="shared" si="251"/>
        <v>632.35649999999998</v>
      </c>
      <c r="AN348" s="542">
        <f t="shared" si="251"/>
        <v>632.35649999999998</v>
      </c>
      <c r="AO348" s="542">
        <f t="shared" si="251"/>
        <v>632.35649999999998</v>
      </c>
      <c r="AP348" s="542">
        <f t="shared" si="251"/>
        <v>632.35649999999998</v>
      </c>
      <c r="AQ348" s="542">
        <f t="shared" si="251"/>
        <v>632.35649999999998</v>
      </c>
      <c r="AR348" s="542">
        <f t="shared" si="251"/>
        <v>632.35649999999998</v>
      </c>
      <c r="AS348" s="542">
        <f t="shared" si="251"/>
        <v>632.35649999999998</v>
      </c>
      <c r="AT348" s="542">
        <f t="shared" si="251"/>
        <v>632.35649999999998</v>
      </c>
      <c r="AU348" s="542">
        <f t="shared" si="251"/>
        <v>632.35649999999998</v>
      </c>
      <c r="AV348" s="542">
        <f t="shared" si="251"/>
        <v>632.35649999999998</v>
      </c>
      <c r="AW348" s="542">
        <f t="shared" si="251"/>
        <v>632.35649999999998</v>
      </c>
      <c r="AX348" s="542">
        <f t="shared" si="250"/>
        <v>632.35649999999998</v>
      </c>
      <c r="AY348" s="542">
        <f t="shared" si="250"/>
        <v>632.35649999999998</v>
      </c>
      <c r="AZ348" s="542">
        <f t="shared" si="250"/>
        <v>632.35649999999998</v>
      </c>
      <c r="BA348" s="542">
        <f t="shared" si="250"/>
        <v>632.35649999999998</v>
      </c>
      <c r="BB348" s="542">
        <f t="shared" si="250"/>
        <v>632.35649999999998</v>
      </c>
      <c r="BC348" s="542">
        <f t="shared" si="250"/>
        <v>632.35649999999998</v>
      </c>
      <c r="BD348" s="542">
        <f t="shared" si="250"/>
        <v>632.35649999999998</v>
      </c>
      <c r="BE348" s="542">
        <f t="shared" si="250"/>
        <v>632.35649999999998</v>
      </c>
      <c r="BF348" s="542">
        <f t="shared" si="250"/>
        <v>632.35649999999998</v>
      </c>
      <c r="BG348" s="542">
        <f t="shared" si="250"/>
        <v>632.35649999999998</v>
      </c>
      <c r="BH348" s="542">
        <f t="shared" si="250"/>
        <v>632.35649999999998</v>
      </c>
      <c r="BI348" s="542">
        <f t="shared" si="250"/>
        <v>632.35649999999998</v>
      </c>
      <c r="BJ348" s="542">
        <f t="shared" si="250"/>
        <v>632.35649999999998</v>
      </c>
      <c r="BK348" s="542">
        <f t="shared" si="250"/>
        <v>632.35649999999998</v>
      </c>
      <c r="BL348" s="542">
        <f t="shared" si="250"/>
        <v>632.35649999999998</v>
      </c>
      <c r="BM348" s="542">
        <f t="shared" si="250"/>
        <v>632.35649999999998</v>
      </c>
      <c r="BN348" s="542">
        <f t="shared" si="250"/>
        <v>632.35649999999998</v>
      </c>
      <c r="BO348" s="542">
        <f t="shared" si="250"/>
        <v>632.35649999999998</v>
      </c>
      <c r="BP348" s="542">
        <f t="shared" si="250"/>
        <v>632.35649999999998</v>
      </c>
      <c r="BQ348" s="542">
        <f t="shared" si="250"/>
        <v>632.35649999999998</v>
      </c>
      <c r="BR348" s="542">
        <f t="shared" si="250"/>
        <v>632.35649999999998</v>
      </c>
      <c r="BS348" s="542">
        <f t="shared" si="250"/>
        <v>632.35649999999998</v>
      </c>
      <c r="BT348" s="542">
        <f t="shared" si="250"/>
        <v>632.35649999999998</v>
      </c>
      <c r="BU348" s="542">
        <f t="shared" si="250"/>
        <v>632.35649999999998</v>
      </c>
      <c r="BV348" s="542">
        <f t="shared" si="250"/>
        <v>632.35649999999998</v>
      </c>
      <c r="BW348" s="542">
        <f t="shared" si="250"/>
        <v>632.35649999999998</v>
      </c>
      <c r="BX348" s="542">
        <f t="shared" si="250"/>
        <v>632.35649999999998</v>
      </c>
      <c r="BY348" s="542">
        <f t="shared" si="250"/>
        <v>632.35649999999998</v>
      </c>
      <c r="BZ348" s="542">
        <f t="shared" si="250"/>
        <v>632.35649999999998</v>
      </c>
      <c r="CA348" s="542">
        <f t="shared" si="250"/>
        <v>632.35649999999998</v>
      </c>
      <c r="CB348" s="542">
        <f t="shared" si="250"/>
        <v>632.35649999999998</v>
      </c>
      <c r="CC348" s="542">
        <f t="shared" si="250"/>
        <v>632.35649999999998</v>
      </c>
      <c r="CD348" s="542">
        <f t="shared" si="250"/>
        <v>632.35649999999998</v>
      </c>
      <c r="CE348" s="542">
        <f t="shared" si="250"/>
        <v>632.35649999999998</v>
      </c>
      <c r="CG348" s="541">
        <v>632.35649999999998</v>
      </c>
      <c r="CH348" s="541">
        <v>632.35649999999998</v>
      </c>
      <c r="CI348" s="541">
        <v>632.35649999999998</v>
      </c>
      <c r="CJ348" s="541">
        <v>632.35649999999998</v>
      </c>
      <c r="CK348" s="541">
        <v>632.35649999999998</v>
      </c>
      <c r="CL348" s="541">
        <v>632.35649999999998</v>
      </c>
      <c r="CM348" s="541">
        <v>632.35649999999998</v>
      </c>
      <c r="CN348" s="541">
        <v>632.35649999999998</v>
      </c>
      <c r="CO348" s="541">
        <v>632.35649999999998</v>
      </c>
      <c r="CP348" s="541">
        <v>632.35649999999998</v>
      </c>
      <c r="CQ348" s="541">
        <v>632.35649999999998</v>
      </c>
      <c r="CR348" s="541">
        <v>632.35649999999998</v>
      </c>
      <c r="CS348" s="541">
        <v>632.35649999999998</v>
      </c>
      <c r="CT348" s="541">
        <v>632.35649999999998</v>
      </c>
      <c r="CU348" s="541">
        <v>632.35649999999998</v>
      </c>
      <c r="CV348" s="541">
        <v>632.35649999999998</v>
      </c>
      <c r="CW348" s="541">
        <v>632.35649999999998</v>
      </c>
      <c r="CX348" s="541">
        <v>632.35649999999998</v>
      </c>
      <c r="CY348" s="541">
        <v>632.35649999999998</v>
      </c>
      <c r="CZ348" s="541">
        <v>632.35649999999998</v>
      </c>
      <c r="DA348" s="541">
        <v>632.35649999999998</v>
      </c>
      <c r="DB348" s="541">
        <v>632.35649999999998</v>
      </c>
      <c r="DC348" s="541">
        <v>632.35649999999998</v>
      </c>
      <c r="DD348" s="541">
        <v>632.35649999999998</v>
      </c>
      <c r="DE348" s="541">
        <v>632.35649999999998</v>
      </c>
      <c r="DF348" s="541">
        <v>632.35649999999998</v>
      </c>
      <c r="DG348" s="541">
        <v>632.35649999999998</v>
      </c>
      <c r="DH348" s="541">
        <v>632.35649999999998</v>
      </c>
    </row>
    <row r="349" spans="2:112">
      <c r="B349" t="s">
        <v>1209</v>
      </c>
      <c r="C349" t="s">
        <v>800</v>
      </c>
      <c r="D349" t="s">
        <v>919</v>
      </c>
      <c r="E349" t="s">
        <v>911</v>
      </c>
      <c r="F349" s="541">
        <v>152.07247045454548</v>
      </c>
      <c r="G349" s="541">
        <v>152.07247045454548</v>
      </c>
      <c r="H349" s="541">
        <v>152.07247045454548</v>
      </c>
      <c r="I349" s="541">
        <v>152.07247045454548</v>
      </c>
      <c r="J349" s="541">
        <v>152.07247045454548</v>
      </c>
      <c r="K349" s="541">
        <v>152.07247045454548</v>
      </c>
      <c r="L349" s="541">
        <v>152.07247045454548</v>
      </c>
      <c r="M349" s="541">
        <v>152.07247045454548</v>
      </c>
      <c r="N349" s="541">
        <v>152.07247045454548</v>
      </c>
      <c r="O349" s="541">
        <v>152.07247045454548</v>
      </c>
      <c r="P349" s="541">
        <v>152.07247045454548</v>
      </c>
      <c r="Q349" s="541">
        <v>152.07247045454548</v>
      </c>
      <c r="R349" s="541">
        <v>152.07247045454548</v>
      </c>
      <c r="S349" s="541">
        <v>152.07247045454548</v>
      </c>
      <c r="T349" s="541">
        <v>152.07247045454548</v>
      </c>
      <c r="U349" s="541">
        <v>152.07247045454548</v>
      </c>
      <c r="V349" s="541">
        <v>152.07247045454548</v>
      </c>
      <c r="W349" s="541">
        <v>152.07247045454548</v>
      </c>
      <c r="X349" s="541">
        <v>152.07247045454548</v>
      </c>
      <c r="Y349" s="541">
        <v>152.07247045454548</v>
      </c>
      <c r="Z349" s="541">
        <v>152.07247045454548</v>
      </c>
      <c r="AA349" s="541">
        <v>152.07247045454548</v>
      </c>
      <c r="AB349" s="541">
        <v>152.07247045454548</v>
      </c>
      <c r="AC349" s="541">
        <v>152.07247045454548</v>
      </c>
      <c r="AD349" s="541">
        <v>152.07247045454548</v>
      </c>
      <c r="AE349" s="541">
        <v>152.07247045454548</v>
      </c>
      <c r="AF349" s="541">
        <v>152.07247045454548</v>
      </c>
      <c r="AG349" s="541">
        <v>152.07247045454548</v>
      </c>
      <c r="AH349" s="542">
        <f t="shared" si="251"/>
        <v>152.07247045454548</v>
      </c>
      <c r="AI349" s="542">
        <f t="shared" si="251"/>
        <v>152.07247045454548</v>
      </c>
      <c r="AJ349" s="542">
        <f t="shared" si="251"/>
        <v>152.07247045454548</v>
      </c>
      <c r="AK349" s="542">
        <f t="shared" si="251"/>
        <v>152.07247045454548</v>
      </c>
      <c r="AL349" s="542">
        <f t="shared" si="251"/>
        <v>152.07247045454548</v>
      </c>
      <c r="AM349" s="542">
        <f t="shared" si="251"/>
        <v>152.07247045454548</v>
      </c>
      <c r="AN349" s="542">
        <f t="shared" si="251"/>
        <v>152.07247045454548</v>
      </c>
      <c r="AO349" s="542">
        <f t="shared" si="251"/>
        <v>152.07247045454548</v>
      </c>
      <c r="AP349" s="542">
        <f t="shared" si="251"/>
        <v>152.07247045454548</v>
      </c>
      <c r="AQ349" s="542">
        <f t="shared" si="251"/>
        <v>152.07247045454548</v>
      </c>
      <c r="AR349" s="542">
        <f t="shared" si="251"/>
        <v>152.07247045454548</v>
      </c>
      <c r="AS349" s="542">
        <f t="shared" si="251"/>
        <v>152.07247045454548</v>
      </c>
      <c r="AT349" s="542">
        <f t="shared" si="251"/>
        <v>152.07247045454548</v>
      </c>
      <c r="AU349" s="542">
        <f t="shared" si="251"/>
        <v>152.07247045454548</v>
      </c>
      <c r="AV349" s="542">
        <f t="shared" si="251"/>
        <v>152.07247045454548</v>
      </c>
      <c r="AW349" s="542">
        <f t="shared" si="251"/>
        <v>152.07247045454548</v>
      </c>
      <c r="AX349" s="542">
        <f t="shared" si="250"/>
        <v>152.07247045454548</v>
      </c>
      <c r="AY349" s="542">
        <f t="shared" si="250"/>
        <v>152.07247045454548</v>
      </c>
      <c r="AZ349" s="542">
        <f t="shared" si="250"/>
        <v>152.07247045454548</v>
      </c>
      <c r="BA349" s="542">
        <f t="shared" si="250"/>
        <v>152.07247045454548</v>
      </c>
      <c r="BB349" s="542">
        <f t="shared" si="250"/>
        <v>152.07247045454548</v>
      </c>
      <c r="BC349" s="542">
        <f t="shared" si="250"/>
        <v>152.07247045454548</v>
      </c>
      <c r="BD349" s="542">
        <f t="shared" si="250"/>
        <v>152.07247045454548</v>
      </c>
      <c r="BE349" s="542">
        <f t="shared" si="250"/>
        <v>152.07247045454548</v>
      </c>
      <c r="BF349" s="542">
        <f t="shared" si="250"/>
        <v>152.07247045454548</v>
      </c>
      <c r="BG349" s="542">
        <f t="shared" si="250"/>
        <v>152.07247045454548</v>
      </c>
      <c r="BH349" s="542">
        <f t="shared" si="250"/>
        <v>152.07247045454548</v>
      </c>
      <c r="BI349" s="542">
        <f t="shared" si="250"/>
        <v>152.07247045454548</v>
      </c>
      <c r="BJ349" s="542">
        <f t="shared" si="250"/>
        <v>152.07247045454548</v>
      </c>
      <c r="BK349" s="542">
        <f t="shared" si="250"/>
        <v>152.07247045454548</v>
      </c>
      <c r="BL349" s="542">
        <f t="shared" si="250"/>
        <v>152.07247045454548</v>
      </c>
      <c r="BM349" s="542">
        <f t="shared" si="250"/>
        <v>152.07247045454548</v>
      </c>
      <c r="BN349" s="542">
        <f t="shared" si="250"/>
        <v>152.07247045454548</v>
      </c>
      <c r="BO349" s="542">
        <f t="shared" si="250"/>
        <v>152.07247045454548</v>
      </c>
      <c r="BP349" s="542">
        <f t="shared" si="250"/>
        <v>152.07247045454548</v>
      </c>
      <c r="BQ349" s="542">
        <f t="shared" si="250"/>
        <v>152.07247045454548</v>
      </c>
      <c r="BR349" s="542">
        <f t="shared" si="250"/>
        <v>152.07247045454548</v>
      </c>
      <c r="BS349" s="542">
        <f t="shared" si="250"/>
        <v>152.07247045454548</v>
      </c>
      <c r="BT349" s="542">
        <f t="shared" si="250"/>
        <v>152.07247045454548</v>
      </c>
      <c r="BU349" s="542">
        <f t="shared" si="250"/>
        <v>152.07247045454548</v>
      </c>
      <c r="BV349" s="542">
        <f t="shared" si="250"/>
        <v>152.07247045454548</v>
      </c>
      <c r="BW349" s="542">
        <f t="shared" si="250"/>
        <v>152.07247045454548</v>
      </c>
      <c r="BX349" s="542">
        <f t="shared" si="250"/>
        <v>152.07247045454548</v>
      </c>
      <c r="BY349" s="542">
        <f t="shared" si="250"/>
        <v>152.07247045454548</v>
      </c>
      <c r="BZ349" s="542">
        <f t="shared" si="250"/>
        <v>152.07247045454548</v>
      </c>
      <c r="CA349" s="542">
        <f t="shared" si="250"/>
        <v>152.07247045454548</v>
      </c>
      <c r="CB349" s="542">
        <f t="shared" si="250"/>
        <v>152.07247045454548</v>
      </c>
      <c r="CC349" s="542">
        <f t="shared" si="250"/>
        <v>152.07247045454548</v>
      </c>
      <c r="CD349" s="542">
        <f t="shared" si="250"/>
        <v>152.07247045454548</v>
      </c>
      <c r="CE349" s="542">
        <f t="shared" si="250"/>
        <v>152.07247045454548</v>
      </c>
      <c r="CG349" s="541">
        <v>152.07247045454548</v>
      </c>
      <c r="CH349" s="541">
        <v>152.07247045454548</v>
      </c>
      <c r="CI349" s="541">
        <v>152.07247045454548</v>
      </c>
      <c r="CJ349" s="541">
        <v>152.07247045454548</v>
      </c>
      <c r="CK349" s="541">
        <v>152.07247045454548</v>
      </c>
      <c r="CL349" s="541">
        <v>152.07247045454548</v>
      </c>
      <c r="CM349" s="541">
        <v>152.07247045454548</v>
      </c>
      <c r="CN349" s="541">
        <v>152.07247045454548</v>
      </c>
      <c r="CO349" s="541">
        <v>152.07247045454548</v>
      </c>
      <c r="CP349" s="541">
        <v>152.07247045454548</v>
      </c>
      <c r="CQ349" s="541">
        <v>152.07247045454548</v>
      </c>
      <c r="CR349" s="541">
        <v>152.07247045454548</v>
      </c>
      <c r="CS349" s="541">
        <v>152.07247045454548</v>
      </c>
      <c r="CT349" s="541">
        <v>152.07247045454548</v>
      </c>
      <c r="CU349" s="541">
        <v>152.07247045454548</v>
      </c>
      <c r="CV349" s="541">
        <v>152.07247045454548</v>
      </c>
      <c r="CW349" s="541">
        <v>152.07247045454548</v>
      </c>
      <c r="CX349" s="541">
        <v>152.07247045454548</v>
      </c>
      <c r="CY349" s="541">
        <v>152.07247045454548</v>
      </c>
      <c r="CZ349" s="541">
        <v>152.07247045454548</v>
      </c>
      <c r="DA349" s="541">
        <v>152.07247045454548</v>
      </c>
      <c r="DB349" s="541">
        <v>152.07247045454548</v>
      </c>
      <c r="DC349" s="541">
        <v>152.07247045454548</v>
      </c>
      <c r="DD349" s="541">
        <v>152.07247045454548</v>
      </c>
      <c r="DE349" s="541">
        <v>152.07247045454548</v>
      </c>
      <c r="DF349" s="541">
        <v>152.07247045454548</v>
      </c>
      <c r="DG349" s="541">
        <v>152.07247045454548</v>
      </c>
      <c r="DH349" s="541">
        <v>152.07247045454548</v>
      </c>
    </row>
    <row r="350" spans="2:112">
      <c r="B350" t="s">
        <v>1210</v>
      </c>
      <c r="C350" t="s">
        <v>800</v>
      </c>
      <c r="D350" t="s">
        <v>921</v>
      </c>
      <c r="E350" t="s">
        <v>908</v>
      </c>
      <c r="F350" s="541">
        <v>635.02850000000001</v>
      </c>
      <c r="G350" s="541">
        <v>635.02850000000001</v>
      </c>
      <c r="H350" s="541">
        <v>635.02850000000001</v>
      </c>
      <c r="I350" s="541">
        <v>635.02850000000001</v>
      </c>
      <c r="J350" s="541">
        <v>635.02850000000001</v>
      </c>
      <c r="K350" s="541">
        <v>635.02850000000001</v>
      </c>
      <c r="L350" s="541">
        <v>635.02850000000001</v>
      </c>
      <c r="M350" s="541">
        <v>635.02850000000001</v>
      </c>
      <c r="N350" s="541">
        <v>635.02850000000001</v>
      </c>
      <c r="O350" s="541">
        <v>635.02850000000001</v>
      </c>
      <c r="P350" s="541">
        <v>635.02850000000001</v>
      </c>
      <c r="Q350" s="541">
        <v>635.02850000000001</v>
      </c>
      <c r="R350" s="541">
        <v>635.02850000000001</v>
      </c>
      <c r="S350" s="541">
        <v>635.02850000000001</v>
      </c>
      <c r="T350" s="541">
        <v>635.02850000000001</v>
      </c>
      <c r="U350" s="541">
        <v>635.02850000000001</v>
      </c>
      <c r="V350" s="541">
        <v>635.02850000000001</v>
      </c>
      <c r="W350" s="541">
        <v>635.02850000000001</v>
      </c>
      <c r="X350" s="541">
        <v>635.02850000000001</v>
      </c>
      <c r="Y350" s="541">
        <v>635.02850000000001</v>
      </c>
      <c r="Z350" s="541">
        <v>635.02850000000001</v>
      </c>
      <c r="AA350" s="541">
        <v>635.02850000000001</v>
      </c>
      <c r="AB350" s="541">
        <v>635.02850000000001</v>
      </c>
      <c r="AC350" s="541">
        <v>635.02850000000001</v>
      </c>
      <c r="AD350" s="541">
        <v>635.02850000000001</v>
      </c>
      <c r="AE350" s="541">
        <v>635.02850000000001</v>
      </c>
      <c r="AF350" s="541">
        <v>635.02850000000001</v>
      </c>
      <c r="AG350" s="541">
        <v>635.02850000000001</v>
      </c>
      <c r="AH350" s="542">
        <f t="shared" si="251"/>
        <v>635.02850000000001</v>
      </c>
      <c r="AI350" s="542">
        <f t="shared" si="251"/>
        <v>635.02850000000001</v>
      </c>
      <c r="AJ350" s="542">
        <f t="shared" si="251"/>
        <v>635.02850000000001</v>
      </c>
      <c r="AK350" s="542">
        <f t="shared" si="251"/>
        <v>635.02850000000001</v>
      </c>
      <c r="AL350" s="542">
        <f t="shared" si="251"/>
        <v>635.02850000000001</v>
      </c>
      <c r="AM350" s="542">
        <f t="shared" si="251"/>
        <v>635.02850000000001</v>
      </c>
      <c r="AN350" s="542">
        <f t="shared" si="251"/>
        <v>635.02850000000001</v>
      </c>
      <c r="AO350" s="542">
        <f t="shared" si="251"/>
        <v>635.02850000000001</v>
      </c>
      <c r="AP350" s="542">
        <f t="shared" si="251"/>
        <v>635.02850000000001</v>
      </c>
      <c r="AQ350" s="542">
        <f t="shared" si="251"/>
        <v>635.02850000000001</v>
      </c>
      <c r="AR350" s="542">
        <f t="shared" si="251"/>
        <v>635.02850000000001</v>
      </c>
      <c r="AS350" s="542">
        <f t="shared" si="251"/>
        <v>635.02850000000001</v>
      </c>
      <c r="AT350" s="542">
        <f t="shared" si="251"/>
        <v>635.02850000000001</v>
      </c>
      <c r="AU350" s="542">
        <f t="shared" si="251"/>
        <v>635.02850000000001</v>
      </c>
      <c r="AV350" s="542">
        <f t="shared" si="251"/>
        <v>635.02850000000001</v>
      </c>
      <c r="AW350" s="542">
        <f t="shared" si="251"/>
        <v>635.02850000000001</v>
      </c>
      <c r="AX350" s="542">
        <f t="shared" si="250"/>
        <v>635.02850000000001</v>
      </c>
      <c r="AY350" s="542">
        <f t="shared" si="250"/>
        <v>635.02850000000001</v>
      </c>
      <c r="AZ350" s="542">
        <f t="shared" si="250"/>
        <v>635.02850000000001</v>
      </c>
      <c r="BA350" s="542">
        <f t="shared" si="250"/>
        <v>635.02850000000001</v>
      </c>
      <c r="BB350" s="542">
        <f t="shared" si="250"/>
        <v>635.02850000000001</v>
      </c>
      <c r="BC350" s="542">
        <f t="shared" si="250"/>
        <v>635.02850000000001</v>
      </c>
      <c r="BD350" s="542">
        <f t="shared" si="250"/>
        <v>635.02850000000001</v>
      </c>
      <c r="BE350" s="542">
        <f t="shared" si="250"/>
        <v>635.02850000000001</v>
      </c>
      <c r="BF350" s="542">
        <f t="shared" si="250"/>
        <v>635.02850000000001</v>
      </c>
      <c r="BG350" s="542">
        <f t="shared" si="250"/>
        <v>635.02850000000001</v>
      </c>
      <c r="BH350" s="542">
        <f t="shared" si="250"/>
        <v>635.02850000000001</v>
      </c>
      <c r="BI350" s="542">
        <f t="shared" si="250"/>
        <v>635.02850000000001</v>
      </c>
      <c r="BJ350" s="542">
        <f t="shared" si="250"/>
        <v>635.02850000000001</v>
      </c>
      <c r="BK350" s="542">
        <f t="shared" si="250"/>
        <v>635.02850000000001</v>
      </c>
      <c r="BL350" s="542">
        <f t="shared" si="250"/>
        <v>635.02850000000001</v>
      </c>
      <c r="BM350" s="542">
        <f t="shared" si="250"/>
        <v>635.02850000000001</v>
      </c>
      <c r="BN350" s="542">
        <f t="shared" si="250"/>
        <v>635.02850000000001</v>
      </c>
      <c r="BO350" s="542">
        <f t="shared" si="250"/>
        <v>635.02850000000001</v>
      </c>
      <c r="BP350" s="542">
        <f t="shared" si="250"/>
        <v>635.02850000000001</v>
      </c>
      <c r="BQ350" s="542">
        <f t="shared" si="250"/>
        <v>635.02850000000001</v>
      </c>
      <c r="BR350" s="542">
        <f t="shared" si="250"/>
        <v>635.02850000000001</v>
      </c>
      <c r="BS350" s="542">
        <f t="shared" si="250"/>
        <v>635.02850000000001</v>
      </c>
      <c r="BT350" s="542">
        <f t="shared" si="250"/>
        <v>635.02850000000001</v>
      </c>
      <c r="BU350" s="542">
        <f t="shared" si="250"/>
        <v>635.02850000000001</v>
      </c>
      <c r="BV350" s="542">
        <f t="shared" si="250"/>
        <v>635.02850000000001</v>
      </c>
      <c r="BW350" s="542">
        <f t="shared" si="250"/>
        <v>635.02850000000001</v>
      </c>
      <c r="BX350" s="542">
        <f t="shared" si="250"/>
        <v>635.02850000000001</v>
      </c>
      <c r="BY350" s="542">
        <f t="shared" si="250"/>
        <v>635.02850000000001</v>
      </c>
      <c r="BZ350" s="542">
        <f t="shared" si="250"/>
        <v>635.02850000000001</v>
      </c>
      <c r="CA350" s="542">
        <f t="shared" si="250"/>
        <v>635.02850000000001</v>
      </c>
      <c r="CB350" s="542">
        <f t="shared" si="250"/>
        <v>635.02850000000001</v>
      </c>
      <c r="CC350" s="542">
        <f t="shared" si="250"/>
        <v>635.02850000000001</v>
      </c>
      <c r="CD350" s="542">
        <f t="shared" si="250"/>
        <v>635.02850000000001</v>
      </c>
      <c r="CE350" s="542">
        <f t="shared" si="250"/>
        <v>635.02850000000001</v>
      </c>
      <c r="CG350" s="541">
        <v>635.02850000000001</v>
      </c>
      <c r="CH350" s="541">
        <v>635.02850000000001</v>
      </c>
      <c r="CI350" s="541">
        <v>635.02850000000001</v>
      </c>
      <c r="CJ350" s="541">
        <v>635.02850000000001</v>
      </c>
      <c r="CK350" s="541">
        <v>635.02850000000001</v>
      </c>
      <c r="CL350" s="541">
        <v>635.02850000000001</v>
      </c>
      <c r="CM350" s="541">
        <v>635.02850000000001</v>
      </c>
      <c r="CN350" s="541">
        <v>635.02850000000001</v>
      </c>
      <c r="CO350" s="541">
        <v>635.02850000000001</v>
      </c>
      <c r="CP350" s="541">
        <v>635.02850000000001</v>
      </c>
      <c r="CQ350" s="541">
        <v>635.02850000000001</v>
      </c>
      <c r="CR350" s="541">
        <v>635.02850000000001</v>
      </c>
      <c r="CS350" s="541">
        <v>635.02850000000001</v>
      </c>
      <c r="CT350" s="541">
        <v>635.02850000000001</v>
      </c>
      <c r="CU350" s="541">
        <v>635.02850000000001</v>
      </c>
      <c r="CV350" s="541">
        <v>635.02850000000001</v>
      </c>
      <c r="CW350" s="541">
        <v>635.02850000000001</v>
      </c>
      <c r="CX350" s="541">
        <v>635.02850000000001</v>
      </c>
      <c r="CY350" s="541">
        <v>635.02850000000001</v>
      </c>
      <c r="CZ350" s="541">
        <v>635.02850000000001</v>
      </c>
      <c r="DA350" s="541">
        <v>635.02850000000001</v>
      </c>
      <c r="DB350" s="541">
        <v>635.02850000000001</v>
      </c>
      <c r="DC350" s="541">
        <v>635.02850000000001</v>
      </c>
      <c r="DD350" s="541">
        <v>635.02850000000001</v>
      </c>
      <c r="DE350" s="541">
        <v>635.02850000000001</v>
      </c>
      <c r="DF350" s="541">
        <v>635.02850000000001</v>
      </c>
      <c r="DG350" s="541">
        <v>635.02850000000001</v>
      </c>
      <c r="DH350" s="541">
        <v>635.02850000000001</v>
      </c>
    </row>
    <row r="351" spans="2:112">
      <c r="B351" t="s">
        <v>1211</v>
      </c>
      <c r="C351" t="s">
        <v>800</v>
      </c>
      <c r="D351" t="s">
        <v>923</v>
      </c>
      <c r="E351" t="s">
        <v>911</v>
      </c>
      <c r="F351" s="541">
        <v>152.09919045454546</v>
      </c>
      <c r="G351" s="541">
        <v>152.09919045454546</v>
      </c>
      <c r="H351" s="541">
        <v>152.09919045454546</v>
      </c>
      <c r="I351" s="541">
        <v>152.09919045454546</v>
      </c>
      <c r="J351" s="541">
        <v>152.09919045454546</v>
      </c>
      <c r="K351" s="541">
        <v>152.09919045454546</v>
      </c>
      <c r="L351" s="541">
        <v>152.09919045454546</v>
      </c>
      <c r="M351" s="541">
        <v>152.09919045454546</v>
      </c>
      <c r="N351" s="541">
        <v>152.09919045454546</v>
      </c>
      <c r="O351" s="541">
        <v>152.09919045454546</v>
      </c>
      <c r="P351" s="541">
        <v>152.09919045454546</v>
      </c>
      <c r="Q351" s="541">
        <v>152.09919045454546</v>
      </c>
      <c r="R351" s="541">
        <v>152.09919045454546</v>
      </c>
      <c r="S351" s="541">
        <v>152.09919045454546</v>
      </c>
      <c r="T351" s="541">
        <v>152.09919045454546</v>
      </c>
      <c r="U351" s="541">
        <v>152.09919045454546</v>
      </c>
      <c r="V351" s="541">
        <v>152.09919045454546</v>
      </c>
      <c r="W351" s="541">
        <v>152.09919045454546</v>
      </c>
      <c r="X351" s="541">
        <v>152.09919045454546</v>
      </c>
      <c r="Y351" s="541">
        <v>152.09919045454546</v>
      </c>
      <c r="Z351" s="541">
        <v>152.09919045454546</v>
      </c>
      <c r="AA351" s="541">
        <v>152.09919045454546</v>
      </c>
      <c r="AB351" s="541">
        <v>152.09919045454546</v>
      </c>
      <c r="AC351" s="541">
        <v>152.09919045454546</v>
      </c>
      <c r="AD351" s="541">
        <v>152.09919045454546</v>
      </c>
      <c r="AE351" s="541">
        <v>152.09919045454546</v>
      </c>
      <c r="AF351" s="541">
        <v>152.09919045454546</v>
      </c>
      <c r="AG351" s="541">
        <v>152.09919045454546</v>
      </c>
      <c r="AH351" s="542">
        <f t="shared" si="251"/>
        <v>152.09919045454546</v>
      </c>
      <c r="AI351" s="542">
        <f t="shared" si="251"/>
        <v>152.09919045454546</v>
      </c>
      <c r="AJ351" s="542">
        <f t="shared" si="251"/>
        <v>152.09919045454546</v>
      </c>
      <c r="AK351" s="542">
        <f t="shared" si="251"/>
        <v>152.09919045454546</v>
      </c>
      <c r="AL351" s="542">
        <f t="shared" si="251"/>
        <v>152.09919045454546</v>
      </c>
      <c r="AM351" s="542">
        <f t="shared" si="251"/>
        <v>152.09919045454546</v>
      </c>
      <c r="AN351" s="542">
        <f t="shared" si="251"/>
        <v>152.09919045454546</v>
      </c>
      <c r="AO351" s="542">
        <f t="shared" si="251"/>
        <v>152.09919045454546</v>
      </c>
      <c r="AP351" s="542">
        <f t="shared" si="251"/>
        <v>152.09919045454546</v>
      </c>
      <c r="AQ351" s="542">
        <f t="shared" si="251"/>
        <v>152.09919045454546</v>
      </c>
      <c r="AR351" s="542">
        <f t="shared" si="251"/>
        <v>152.09919045454546</v>
      </c>
      <c r="AS351" s="542">
        <f t="shared" si="251"/>
        <v>152.09919045454546</v>
      </c>
      <c r="AT351" s="542">
        <f t="shared" si="251"/>
        <v>152.09919045454546</v>
      </c>
      <c r="AU351" s="542">
        <f t="shared" si="251"/>
        <v>152.09919045454546</v>
      </c>
      <c r="AV351" s="542">
        <f t="shared" si="251"/>
        <v>152.09919045454546</v>
      </c>
      <c r="AW351" s="542">
        <f t="shared" si="251"/>
        <v>152.09919045454546</v>
      </c>
      <c r="AX351" s="542">
        <f t="shared" si="250"/>
        <v>152.09919045454546</v>
      </c>
      <c r="AY351" s="542">
        <f t="shared" si="250"/>
        <v>152.09919045454546</v>
      </c>
      <c r="AZ351" s="542">
        <f t="shared" si="250"/>
        <v>152.09919045454546</v>
      </c>
      <c r="BA351" s="542">
        <f t="shared" si="250"/>
        <v>152.09919045454546</v>
      </c>
      <c r="BB351" s="542">
        <f t="shared" si="250"/>
        <v>152.09919045454546</v>
      </c>
      <c r="BC351" s="542">
        <f t="shared" si="250"/>
        <v>152.09919045454546</v>
      </c>
      <c r="BD351" s="542">
        <f t="shared" si="250"/>
        <v>152.09919045454546</v>
      </c>
      <c r="BE351" s="542">
        <f t="shared" si="250"/>
        <v>152.09919045454546</v>
      </c>
      <c r="BF351" s="542">
        <f t="shared" si="250"/>
        <v>152.09919045454546</v>
      </c>
      <c r="BG351" s="542">
        <f t="shared" si="250"/>
        <v>152.09919045454546</v>
      </c>
      <c r="BH351" s="542">
        <f t="shared" si="250"/>
        <v>152.09919045454546</v>
      </c>
      <c r="BI351" s="542">
        <f t="shared" si="250"/>
        <v>152.09919045454546</v>
      </c>
      <c r="BJ351" s="542">
        <f t="shared" si="250"/>
        <v>152.09919045454546</v>
      </c>
      <c r="BK351" s="542">
        <f t="shared" si="250"/>
        <v>152.09919045454546</v>
      </c>
      <c r="BL351" s="542">
        <f t="shared" si="250"/>
        <v>152.09919045454546</v>
      </c>
      <c r="BM351" s="542">
        <f t="shared" si="250"/>
        <v>152.09919045454546</v>
      </c>
      <c r="BN351" s="542">
        <f t="shared" si="250"/>
        <v>152.09919045454546</v>
      </c>
      <c r="BO351" s="542">
        <f t="shared" si="250"/>
        <v>152.09919045454546</v>
      </c>
      <c r="BP351" s="542">
        <f t="shared" si="250"/>
        <v>152.09919045454546</v>
      </c>
      <c r="BQ351" s="542">
        <f t="shared" si="250"/>
        <v>152.09919045454546</v>
      </c>
      <c r="BR351" s="542">
        <f t="shared" si="250"/>
        <v>152.09919045454546</v>
      </c>
      <c r="BS351" s="542">
        <f t="shared" si="250"/>
        <v>152.09919045454546</v>
      </c>
      <c r="BT351" s="542">
        <f t="shared" si="250"/>
        <v>152.09919045454546</v>
      </c>
      <c r="BU351" s="542">
        <f t="shared" si="250"/>
        <v>152.09919045454546</v>
      </c>
      <c r="BV351" s="542">
        <f t="shared" si="250"/>
        <v>152.09919045454546</v>
      </c>
      <c r="BW351" s="542">
        <f t="shared" si="250"/>
        <v>152.09919045454546</v>
      </c>
      <c r="BX351" s="542">
        <f t="shared" si="250"/>
        <v>152.09919045454546</v>
      </c>
      <c r="BY351" s="542">
        <f t="shared" si="250"/>
        <v>152.09919045454546</v>
      </c>
      <c r="BZ351" s="542">
        <f t="shared" si="250"/>
        <v>152.09919045454546</v>
      </c>
      <c r="CA351" s="542">
        <f t="shared" si="250"/>
        <v>152.09919045454546</v>
      </c>
      <c r="CB351" s="542">
        <f t="shared" si="250"/>
        <v>152.09919045454546</v>
      </c>
      <c r="CC351" s="542">
        <f t="shared" si="250"/>
        <v>152.09919045454546</v>
      </c>
      <c r="CD351" s="542">
        <f t="shared" si="250"/>
        <v>152.09919045454546</v>
      </c>
      <c r="CE351" s="542">
        <f t="shared" si="250"/>
        <v>152.09919045454546</v>
      </c>
      <c r="CG351" s="541">
        <v>152.09919045454546</v>
      </c>
      <c r="CH351" s="541">
        <v>152.09919045454546</v>
      </c>
      <c r="CI351" s="541">
        <v>152.09919045454546</v>
      </c>
      <c r="CJ351" s="541">
        <v>152.09919045454546</v>
      </c>
      <c r="CK351" s="541">
        <v>152.09919045454546</v>
      </c>
      <c r="CL351" s="541">
        <v>152.09919045454546</v>
      </c>
      <c r="CM351" s="541">
        <v>152.09919045454546</v>
      </c>
      <c r="CN351" s="541">
        <v>152.09919045454546</v>
      </c>
      <c r="CO351" s="541">
        <v>152.09919045454546</v>
      </c>
      <c r="CP351" s="541">
        <v>152.09919045454546</v>
      </c>
      <c r="CQ351" s="541">
        <v>152.09919045454546</v>
      </c>
      <c r="CR351" s="541">
        <v>152.09919045454546</v>
      </c>
      <c r="CS351" s="541">
        <v>152.09919045454546</v>
      </c>
      <c r="CT351" s="541">
        <v>152.09919045454546</v>
      </c>
      <c r="CU351" s="541">
        <v>152.09919045454546</v>
      </c>
      <c r="CV351" s="541">
        <v>152.09919045454546</v>
      </c>
      <c r="CW351" s="541">
        <v>152.09919045454546</v>
      </c>
      <c r="CX351" s="541">
        <v>152.09919045454546</v>
      </c>
      <c r="CY351" s="541">
        <v>152.09919045454546</v>
      </c>
      <c r="CZ351" s="541">
        <v>152.09919045454546</v>
      </c>
      <c r="DA351" s="541">
        <v>152.09919045454546</v>
      </c>
      <c r="DB351" s="541">
        <v>152.09919045454546</v>
      </c>
      <c r="DC351" s="541">
        <v>152.09919045454546</v>
      </c>
      <c r="DD351" s="541">
        <v>152.09919045454546</v>
      </c>
      <c r="DE351" s="541">
        <v>152.09919045454546</v>
      </c>
      <c r="DF351" s="541">
        <v>152.09919045454546</v>
      </c>
      <c r="DG351" s="541">
        <v>152.09919045454546</v>
      </c>
      <c r="DH351" s="541">
        <v>152.09919045454546</v>
      </c>
    </row>
    <row r="352" spans="2:112">
      <c r="B352" t="s">
        <v>924</v>
      </c>
      <c r="F352" s="543"/>
      <c r="G352" s="543"/>
      <c r="H352" s="543"/>
      <c r="I352" s="543"/>
      <c r="J352" s="543"/>
      <c r="K352" s="543"/>
      <c r="L352" s="543"/>
      <c r="M352" s="543"/>
      <c r="N352" s="543"/>
      <c r="O352" s="543"/>
      <c r="P352" s="543"/>
      <c r="Q352" s="543"/>
      <c r="R352" s="543"/>
      <c r="S352" s="543"/>
      <c r="T352" s="543"/>
      <c r="U352" s="543"/>
      <c r="V352" s="543"/>
      <c r="W352" s="543"/>
      <c r="X352" s="543"/>
      <c r="Y352" s="543"/>
      <c r="Z352" s="543"/>
      <c r="AA352" s="543"/>
      <c r="AB352" s="543"/>
      <c r="AC352" s="543"/>
      <c r="AD352" s="543"/>
      <c r="AE352" s="543"/>
      <c r="AF352" s="543"/>
      <c r="AG352" s="543"/>
      <c r="AH352" s="543"/>
      <c r="AI352" s="543"/>
      <c r="AJ352" s="543"/>
      <c r="AK352" s="543"/>
      <c r="AL352" s="543"/>
      <c r="AM352" s="543"/>
      <c r="AN352" s="543"/>
      <c r="AO352" s="543"/>
      <c r="AP352" s="543"/>
      <c r="AQ352" s="543"/>
      <c r="AR352" s="543"/>
      <c r="AS352" s="543"/>
      <c r="AT352" s="543"/>
      <c r="AU352" s="543"/>
      <c r="AV352" s="543"/>
      <c r="AW352" s="543"/>
      <c r="AX352" s="543"/>
      <c r="AY352" s="543"/>
      <c r="AZ352" s="543"/>
      <c r="BA352" s="543"/>
      <c r="BB352" s="543"/>
      <c r="BC352" s="543"/>
      <c r="BD352" s="543"/>
      <c r="BE352" s="543"/>
      <c r="BF352" s="543"/>
      <c r="BG352" s="543"/>
      <c r="BH352" s="543"/>
      <c r="BI352" s="543"/>
      <c r="BJ352" s="543"/>
      <c r="BK352" s="543"/>
      <c r="BL352" s="543"/>
      <c r="BM352" s="543"/>
      <c r="BN352" s="543"/>
      <c r="BO352" s="543"/>
      <c r="BP352" s="543"/>
      <c r="BQ352" s="543"/>
      <c r="BR352" s="543"/>
      <c r="BS352" s="543"/>
      <c r="BT352" s="543"/>
      <c r="BU352" s="543"/>
      <c r="BV352" s="543"/>
      <c r="BW352" s="543"/>
      <c r="BX352" s="543"/>
      <c r="BY352" s="543"/>
      <c r="BZ352" s="543"/>
      <c r="CA352" s="543"/>
      <c r="CB352" s="543"/>
      <c r="CC352" s="543"/>
      <c r="CD352" s="543"/>
      <c r="CE352" s="543"/>
      <c r="CG352" s="543"/>
      <c r="CH352" s="543"/>
      <c r="CI352" s="543"/>
      <c r="CJ352" s="543"/>
      <c r="CK352" s="543"/>
      <c r="CL352" s="543"/>
      <c r="CM352" s="543"/>
      <c r="CN352" s="543"/>
      <c r="CO352" s="543"/>
      <c r="CP352" s="543"/>
      <c r="CQ352" s="543"/>
      <c r="CR352" s="543"/>
      <c r="CS352" s="543"/>
      <c r="CT352" s="543"/>
      <c r="CU352" s="543"/>
      <c r="CV352" s="543"/>
      <c r="CW352" s="543"/>
      <c r="CX352" s="543"/>
      <c r="CY352" s="543"/>
      <c r="CZ352" s="543"/>
      <c r="DA352" s="543"/>
      <c r="DB352" s="543"/>
      <c r="DC352" s="543"/>
      <c r="DD352" s="543"/>
      <c r="DE352" s="543"/>
      <c r="DF352" s="543"/>
      <c r="DG352" s="543"/>
      <c r="DH352" s="543"/>
    </row>
    <row r="353" spans="2:112" ht="15">
      <c r="B353" t="s">
        <v>1212</v>
      </c>
      <c r="C353" s="485" t="s">
        <v>806</v>
      </c>
      <c r="D353" s="485" t="s">
        <v>877</v>
      </c>
      <c r="E353" s="485" t="s">
        <v>111</v>
      </c>
      <c r="F353" s="486">
        <f>2023</f>
        <v>2023</v>
      </c>
      <c r="G353" s="486">
        <f>F353+1</f>
        <v>2024</v>
      </c>
      <c r="H353" s="486">
        <f t="shared" ref="H353:AG353" si="252">G353+1</f>
        <v>2025</v>
      </c>
      <c r="I353" s="486">
        <f t="shared" si="252"/>
        <v>2026</v>
      </c>
      <c r="J353" s="486">
        <f t="shared" si="252"/>
        <v>2027</v>
      </c>
      <c r="K353" s="486">
        <f t="shared" si="252"/>
        <v>2028</v>
      </c>
      <c r="L353" s="486">
        <f t="shared" si="252"/>
        <v>2029</v>
      </c>
      <c r="M353" s="486">
        <f t="shared" si="252"/>
        <v>2030</v>
      </c>
      <c r="N353" s="486">
        <f t="shared" si="252"/>
        <v>2031</v>
      </c>
      <c r="O353" s="486">
        <f t="shared" si="252"/>
        <v>2032</v>
      </c>
      <c r="P353" s="486">
        <f t="shared" si="252"/>
        <v>2033</v>
      </c>
      <c r="Q353" s="486">
        <f t="shared" si="252"/>
        <v>2034</v>
      </c>
      <c r="R353" s="486">
        <f t="shared" si="252"/>
        <v>2035</v>
      </c>
      <c r="S353" s="486">
        <f t="shared" si="252"/>
        <v>2036</v>
      </c>
      <c r="T353" s="486">
        <f t="shared" si="252"/>
        <v>2037</v>
      </c>
      <c r="U353" s="486">
        <f t="shared" si="252"/>
        <v>2038</v>
      </c>
      <c r="V353" s="486">
        <f t="shared" si="252"/>
        <v>2039</v>
      </c>
      <c r="W353" s="486">
        <f t="shared" si="252"/>
        <v>2040</v>
      </c>
      <c r="X353" s="486">
        <f t="shared" si="252"/>
        <v>2041</v>
      </c>
      <c r="Y353" s="486">
        <f t="shared" si="252"/>
        <v>2042</v>
      </c>
      <c r="Z353" s="486">
        <f t="shared" si="252"/>
        <v>2043</v>
      </c>
      <c r="AA353" s="486">
        <f t="shared" si="252"/>
        <v>2044</v>
      </c>
      <c r="AB353" s="486">
        <f t="shared" si="252"/>
        <v>2045</v>
      </c>
      <c r="AC353" s="486">
        <f t="shared" si="252"/>
        <v>2046</v>
      </c>
      <c r="AD353" s="486">
        <f t="shared" si="252"/>
        <v>2047</v>
      </c>
      <c r="AE353" s="486">
        <f t="shared" si="252"/>
        <v>2048</v>
      </c>
      <c r="AF353" s="486">
        <f t="shared" si="252"/>
        <v>2049</v>
      </c>
      <c r="AG353" s="486">
        <f t="shared" si="252"/>
        <v>2050</v>
      </c>
      <c r="AH353" s="524">
        <f>AG353+1</f>
        <v>2051</v>
      </c>
      <c r="AI353" s="524">
        <f t="shared" ref="AI353:CE353" si="253">AH353+1</f>
        <v>2052</v>
      </c>
      <c r="AJ353" s="524">
        <f t="shared" si="253"/>
        <v>2053</v>
      </c>
      <c r="AK353" s="524">
        <f t="shared" si="253"/>
        <v>2054</v>
      </c>
      <c r="AL353" s="524">
        <f t="shared" si="253"/>
        <v>2055</v>
      </c>
      <c r="AM353" s="524">
        <f t="shared" si="253"/>
        <v>2056</v>
      </c>
      <c r="AN353" s="524">
        <f t="shared" si="253"/>
        <v>2057</v>
      </c>
      <c r="AO353" s="524">
        <f t="shared" si="253"/>
        <v>2058</v>
      </c>
      <c r="AP353" s="524">
        <f t="shared" si="253"/>
        <v>2059</v>
      </c>
      <c r="AQ353" s="524">
        <f t="shared" si="253"/>
        <v>2060</v>
      </c>
      <c r="AR353" s="524">
        <f t="shared" si="253"/>
        <v>2061</v>
      </c>
      <c r="AS353" s="524">
        <f t="shared" si="253"/>
        <v>2062</v>
      </c>
      <c r="AT353" s="524">
        <f t="shared" si="253"/>
        <v>2063</v>
      </c>
      <c r="AU353" s="524">
        <f t="shared" si="253"/>
        <v>2064</v>
      </c>
      <c r="AV353" s="524">
        <f t="shared" si="253"/>
        <v>2065</v>
      </c>
      <c r="AW353" s="524">
        <f t="shared" si="253"/>
        <v>2066</v>
      </c>
      <c r="AX353" s="524">
        <f t="shared" si="253"/>
        <v>2067</v>
      </c>
      <c r="AY353" s="524">
        <f t="shared" si="253"/>
        <v>2068</v>
      </c>
      <c r="AZ353" s="524">
        <f t="shared" si="253"/>
        <v>2069</v>
      </c>
      <c r="BA353" s="524">
        <f t="shared" si="253"/>
        <v>2070</v>
      </c>
      <c r="BB353" s="524">
        <f t="shared" si="253"/>
        <v>2071</v>
      </c>
      <c r="BC353" s="524">
        <f t="shared" si="253"/>
        <v>2072</v>
      </c>
      <c r="BD353" s="524">
        <f t="shared" si="253"/>
        <v>2073</v>
      </c>
      <c r="BE353" s="524">
        <f t="shared" si="253"/>
        <v>2074</v>
      </c>
      <c r="BF353" s="524">
        <f t="shared" si="253"/>
        <v>2075</v>
      </c>
      <c r="BG353" s="524">
        <f t="shared" si="253"/>
        <v>2076</v>
      </c>
      <c r="BH353" s="524">
        <f t="shared" si="253"/>
        <v>2077</v>
      </c>
      <c r="BI353" s="524">
        <f t="shared" si="253"/>
        <v>2078</v>
      </c>
      <c r="BJ353" s="524">
        <f t="shared" si="253"/>
        <v>2079</v>
      </c>
      <c r="BK353" s="524">
        <f t="shared" si="253"/>
        <v>2080</v>
      </c>
      <c r="BL353" s="524">
        <f t="shared" si="253"/>
        <v>2081</v>
      </c>
      <c r="BM353" s="524">
        <f t="shared" si="253"/>
        <v>2082</v>
      </c>
      <c r="BN353" s="524">
        <f t="shared" si="253"/>
        <v>2083</v>
      </c>
      <c r="BO353" s="524">
        <f t="shared" si="253"/>
        <v>2084</v>
      </c>
      <c r="BP353" s="524">
        <f t="shared" si="253"/>
        <v>2085</v>
      </c>
      <c r="BQ353" s="524">
        <f t="shared" si="253"/>
        <v>2086</v>
      </c>
      <c r="BR353" s="524">
        <f t="shared" si="253"/>
        <v>2087</v>
      </c>
      <c r="BS353" s="524">
        <f t="shared" si="253"/>
        <v>2088</v>
      </c>
      <c r="BT353" s="524">
        <f t="shared" si="253"/>
        <v>2089</v>
      </c>
      <c r="BU353" s="524">
        <f t="shared" si="253"/>
        <v>2090</v>
      </c>
      <c r="BV353" s="524">
        <f t="shared" si="253"/>
        <v>2091</v>
      </c>
      <c r="BW353" s="524">
        <f t="shared" si="253"/>
        <v>2092</v>
      </c>
      <c r="BX353" s="524">
        <f t="shared" si="253"/>
        <v>2093</v>
      </c>
      <c r="BY353" s="524">
        <f t="shared" si="253"/>
        <v>2094</v>
      </c>
      <c r="BZ353" s="524">
        <f t="shared" si="253"/>
        <v>2095</v>
      </c>
      <c r="CA353" s="524">
        <f t="shared" si="253"/>
        <v>2096</v>
      </c>
      <c r="CB353" s="524">
        <f t="shared" si="253"/>
        <v>2097</v>
      </c>
      <c r="CC353" s="524">
        <f t="shared" si="253"/>
        <v>2098</v>
      </c>
      <c r="CD353" s="524">
        <f t="shared" si="253"/>
        <v>2099</v>
      </c>
      <c r="CE353" s="524">
        <f t="shared" si="253"/>
        <v>2100</v>
      </c>
      <c r="CG353" s="486">
        <v>2023</v>
      </c>
      <c r="CH353" s="486">
        <v>2024</v>
      </c>
      <c r="CI353" s="486">
        <v>2025</v>
      </c>
      <c r="CJ353" s="486">
        <v>2026</v>
      </c>
      <c r="CK353" s="486">
        <v>2027</v>
      </c>
      <c r="CL353" s="486">
        <v>2028</v>
      </c>
      <c r="CM353" s="486">
        <v>2029</v>
      </c>
      <c r="CN353" s="486">
        <v>2030</v>
      </c>
      <c r="CO353" s="486">
        <v>2031</v>
      </c>
      <c r="CP353" s="486">
        <v>2032</v>
      </c>
      <c r="CQ353" s="486">
        <v>2033</v>
      </c>
      <c r="CR353" s="486">
        <v>2034</v>
      </c>
      <c r="CS353" s="486">
        <v>2035</v>
      </c>
      <c r="CT353" s="486">
        <v>2036</v>
      </c>
      <c r="CU353" s="486">
        <v>2037</v>
      </c>
      <c r="CV353" s="486">
        <v>2038</v>
      </c>
      <c r="CW353" s="486">
        <v>2039</v>
      </c>
      <c r="CX353" s="486">
        <v>2040</v>
      </c>
      <c r="CY353" s="486">
        <v>2041</v>
      </c>
      <c r="CZ353" s="486">
        <v>2042</v>
      </c>
      <c r="DA353" s="486">
        <v>2043</v>
      </c>
      <c r="DB353" s="486">
        <v>2044</v>
      </c>
      <c r="DC353" s="486">
        <v>2045</v>
      </c>
      <c r="DD353" s="486">
        <v>2046</v>
      </c>
      <c r="DE353" s="486">
        <v>2047</v>
      </c>
      <c r="DF353" s="486">
        <v>2048</v>
      </c>
      <c r="DG353" s="486">
        <v>2049</v>
      </c>
      <c r="DH353" s="486">
        <v>2050</v>
      </c>
    </row>
    <row r="354" spans="2:112">
      <c r="B354" t="s">
        <v>1213</v>
      </c>
      <c r="C354" t="s">
        <v>806</v>
      </c>
      <c r="D354" t="s">
        <v>879</v>
      </c>
      <c r="E354" t="s">
        <v>813</v>
      </c>
      <c r="F354" s="525">
        <v>175000</v>
      </c>
      <c r="G354" s="525">
        <v>175000</v>
      </c>
      <c r="H354" s="525">
        <v>175000</v>
      </c>
      <c r="I354" s="525">
        <v>175000</v>
      </c>
      <c r="J354" s="525">
        <v>175000</v>
      </c>
      <c r="K354" s="525">
        <v>175000</v>
      </c>
      <c r="L354" s="525">
        <v>175000</v>
      </c>
      <c r="M354" s="525">
        <v>175000</v>
      </c>
      <c r="N354" s="525">
        <v>175000</v>
      </c>
      <c r="O354" s="525">
        <v>175000</v>
      </c>
      <c r="P354" s="525">
        <v>175000</v>
      </c>
      <c r="Q354" s="525">
        <v>175000</v>
      </c>
      <c r="R354" s="525">
        <v>175000</v>
      </c>
      <c r="S354" s="525">
        <v>175000</v>
      </c>
      <c r="T354" s="525">
        <v>175000</v>
      </c>
      <c r="U354" s="525">
        <v>175000</v>
      </c>
      <c r="V354" s="525">
        <v>175000</v>
      </c>
      <c r="W354" s="525">
        <v>175000</v>
      </c>
      <c r="X354" s="525">
        <v>175000</v>
      </c>
      <c r="Y354" s="525">
        <v>175000</v>
      </c>
      <c r="Z354" s="525">
        <v>175000</v>
      </c>
      <c r="AA354" s="525">
        <v>175000</v>
      </c>
      <c r="AB354" s="525">
        <v>175000</v>
      </c>
      <c r="AC354" s="525">
        <v>175000</v>
      </c>
      <c r="AD354" s="525">
        <v>175000</v>
      </c>
      <c r="AE354" s="525">
        <v>175000</v>
      </c>
      <c r="AF354" s="525">
        <v>175000</v>
      </c>
      <c r="AG354" s="525">
        <v>175000</v>
      </c>
      <c r="AH354" s="526">
        <f>AG354</f>
        <v>175000</v>
      </c>
      <c r="AI354" s="526">
        <f t="shared" ref="AI354:AX354" si="254">AH354</f>
        <v>175000</v>
      </c>
      <c r="AJ354" s="526">
        <f t="shared" si="254"/>
        <v>175000</v>
      </c>
      <c r="AK354" s="526">
        <f t="shared" si="254"/>
        <v>175000</v>
      </c>
      <c r="AL354" s="526">
        <f t="shared" si="254"/>
        <v>175000</v>
      </c>
      <c r="AM354" s="526">
        <f t="shared" si="254"/>
        <v>175000</v>
      </c>
      <c r="AN354" s="526">
        <f t="shared" si="254"/>
        <v>175000</v>
      </c>
      <c r="AO354" s="526">
        <f t="shared" si="254"/>
        <v>175000</v>
      </c>
      <c r="AP354" s="526">
        <f t="shared" si="254"/>
        <v>175000</v>
      </c>
      <c r="AQ354" s="526">
        <f t="shared" si="254"/>
        <v>175000</v>
      </c>
      <c r="AR354" s="526">
        <f t="shared" si="254"/>
        <v>175000</v>
      </c>
      <c r="AS354" s="526">
        <f t="shared" si="254"/>
        <v>175000</v>
      </c>
      <c r="AT354" s="526">
        <f t="shared" si="254"/>
        <v>175000</v>
      </c>
      <c r="AU354" s="526">
        <f t="shared" si="254"/>
        <v>175000</v>
      </c>
      <c r="AV354" s="526">
        <f t="shared" si="254"/>
        <v>175000</v>
      </c>
      <c r="AW354" s="526">
        <f t="shared" si="254"/>
        <v>175000</v>
      </c>
      <c r="AX354" s="526">
        <f t="shared" si="254"/>
        <v>175000</v>
      </c>
      <c r="AY354" s="526">
        <f t="shared" ref="AY354:BN354" si="255">AX354</f>
        <v>175000</v>
      </c>
      <c r="AZ354" s="526">
        <f t="shared" si="255"/>
        <v>175000</v>
      </c>
      <c r="BA354" s="526">
        <f t="shared" si="255"/>
        <v>175000</v>
      </c>
      <c r="BB354" s="526">
        <f t="shared" si="255"/>
        <v>175000</v>
      </c>
      <c r="BC354" s="526">
        <f t="shared" si="255"/>
        <v>175000</v>
      </c>
      <c r="BD354" s="526">
        <f t="shared" si="255"/>
        <v>175000</v>
      </c>
      <c r="BE354" s="526">
        <f t="shared" si="255"/>
        <v>175000</v>
      </c>
      <c r="BF354" s="526">
        <f t="shared" si="255"/>
        <v>175000</v>
      </c>
      <c r="BG354" s="526">
        <f t="shared" si="255"/>
        <v>175000</v>
      </c>
      <c r="BH354" s="526">
        <f t="shared" si="255"/>
        <v>175000</v>
      </c>
      <c r="BI354" s="526">
        <f t="shared" si="255"/>
        <v>175000</v>
      </c>
      <c r="BJ354" s="526">
        <f t="shared" si="255"/>
        <v>175000</v>
      </c>
      <c r="BK354" s="526">
        <f t="shared" si="255"/>
        <v>175000</v>
      </c>
      <c r="BL354" s="526">
        <f t="shared" si="255"/>
        <v>175000</v>
      </c>
      <c r="BM354" s="526">
        <f t="shared" si="255"/>
        <v>175000</v>
      </c>
      <c r="BN354" s="526">
        <f t="shared" si="255"/>
        <v>175000</v>
      </c>
      <c r="BO354" s="526">
        <f t="shared" ref="BO354:CD354" si="256">BN354</f>
        <v>175000</v>
      </c>
      <c r="BP354" s="526">
        <f t="shared" si="256"/>
        <v>175000</v>
      </c>
      <c r="BQ354" s="526">
        <f t="shared" si="256"/>
        <v>175000</v>
      </c>
      <c r="BR354" s="526">
        <f t="shared" si="256"/>
        <v>175000</v>
      </c>
      <c r="BS354" s="526">
        <f t="shared" si="256"/>
        <v>175000</v>
      </c>
      <c r="BT354" s="526">
        <f t="shared" si="256"/>
        <v>175000</v>
      </c>
      <c r="BU354" s="526">
        <f t="shared" si="256"/>
        <v>175000</v>
      </c>
      <c r="BV354" s="526">
        <f t="shared" si="256"/>
        <v>175000</v>
      </c>
      <c r="BW354" s="526">
        <f t="shared" si="256"/>
        <v>175000</v>
      </c>
      <c r="BX354" s="526">
        <f t="shared" si="256"/>
        <v>175000</v>
      </c>
      <c r="BY354" s="526">
        <f t="shared" si="256"/>
        <v>175000</v>
      </c>
      <c r="BZ354" s="526">
        <f t="shared" si="256"/>
        <v>175000</v>
      </c>
      <c r="CA354" s="526">
        <f t="shared" si="256"/>
        <v>175000</v>
      </c>
      <c r="CB354" s="526">
        <f t="shared" si="256"/>
        <v>175000</v>
      </c>
      <c r="CC354" s="526">
        <f t="shared" si="256"/>
        <v>175000</v>
      </c>
      <c r="CD354" s="526">
        <f t="shared" si="256"/>
        <v>175000</v>
      </c>
      <c r="CE354" s="526">
        <f t="shared" ref="AX354:CE362" si="257">CD354</f>
        <v>175000</v>
      </c>
      <c r="CG354" s="536">
        <v>175000</v>
      </c>
      <c r="CH354" s="536">
        <v>175000</v>
      </c>
      <c r="CI354" s="536">
        <v>175000</v>
      </c>
      <c r="CJ354" s="536">
        <v>175000</v>
      </c>
      <c r="CK354" s="536">
        <v>175000</v>
      </c>
      <c r="CL354" s="536">
        <v>175000</v>
      </c>
      <c r="CM354" s="536">
        <v>175000</v>
      </c>
      <c r="CN354" s="536">
        <v>175000</v>
      </c>
      <c r="CO354" s="536">
        <v>175000</v>
      </c>
      <c r="CP354" s="536">
        <v>175000</v>
      </c>
      <c r="CQ354" s="536">
        <v>175000</v>
      </c>
      <c r="CR354" s="536">
        <v>175000</v>
      </c>
      <c r="CS354" s="536">
        <v>175000</v>
      </c>
      <c r="CT354" s="536">
        <v>175000</v>
      </c>
      <c r="CU354" s="536">
        <v>175000</v>
      </c>
      <c r="CV354" s="536">
        <v>175000</v>
      </c>
      <c r="CW354" s="536">
        <v>175000</v>
      </c>
      <c r="CX354" s="536">
        <v>175000</v>
      </c>
      <c r="CY354" s="536">
        <v>175000</v>
      </c>
      <c r="CZ354" s="536">
        <v>175000</v>
      </c>
      <c r="DA354" s="536">
        <v>175000</v>
      </c>
      <c r="DB354" s="536">
        <v>175000</v>
      </c>
      <c r="DC354" s="536">
        <v>175000</v>
      </c>
      <c r="DD354" s="536">
        <v>175000</v>
      </c>
      <c r="DE354" s="536">
        <v>175000</v>
      </c>
      <c r="DF354" s="536">
        <v>175000</v>
      </c>
      <c r="DG354" s="536">
        <v>175000</v>
      </c>
      <c r="DH354" s="536">
        <v>175000</v>
      </c>
    </row>
    <row r="355" spans="2:112">
      <c r="B355" t="s">
        <v>1214</v>
      </c>
      <c r="C355" t="s">
        <v>806</v>
      </c>
      <c r="D355" t="s">
        <v>695</v>
      </c>
      <c r="E355" t="s">
        <v>881</v>
      </c>
      <c r="F355" s="525">
        <v>220</v>
      </c>
      <c r="G355" s="525">
        <v>220</v>
      </c>
      <c r="H355" s="525">
        <v>220</v>
      </c>
      <c r="I355" s="525">
        <v>220</v>
      </c>
      <c r="J355" s="525">
        <v>220</v>
      </c>
      <c r="K355" s="525">
        <v>220</v>
      </c>
      <c r="L355" s="525">
        <v>220</v>
      </c>
      <c r="M355" s="525">
        <v>220</v>
      </c>
      <c r="N355" s="525">
        <v>220</v>
      </c>
      <c r="O355" s="525">
        <v>220</v>
      </c>
      <c r="P355" s="525">
        <v>220</v>
      </c>
      <c r="Q355" s="525">
        <v>220</v>
      </c>
      <c r="R355" s="525">
        <v>220</v>
      </c>
      <c r="S355" s="525">
        <v>220</v>
      </c>
      <c r="T355" s="525">
        <v>220</v>
      </c>
      <c r="U355" s="525">
        <v>220</v>
      </c>
      <c r="V355" s="525">
        <v>220</v>
      </c>
      <c r="W355" s="525">
        <v>220</v>
      </c>
      <c r="X355" s="525">
        <v>220</v>
      </c>
      <c r="Y355" s="525">
        <v>220</v>
      </c>
      <c r="Z355" s="525">
        <v>220</v>
      </c>
      <c r="AA355" s="525">
        <v>220</v>
      </c>
      <c r="AB355" s="525">
        <v>220</v>
      </c>
      <c r="AC355" s="525">
        <v>220</v>
      </c>
      <c r="AD355" s="525">
        <v>220</v>
      </c>
      <c r="AE355" s="525">
        <v>220</v>
      </c>
      <c r="AF355" s="525">
        <v>220</v>
      </c>
      <c r="AG355" s="525">
        <v>220</v>
      </c>
      <c r="AH355" s="526">
        <f t="shared" ref="AH355:AW364" si="258">AG355</f>
        <v>220</v>
      </c>
      <c r="AI355" s="526">
        <f t="shared" si="258"/>
        <v>220</v>
      </c>
      <c r="AJ355" s="526">
        <f t="shared" si="258"/>
        <v>220</v>
      </c>
      <c r="AK355" s="526">
        <f t="shared" si="258"/>
        <v>220</v>
      </c>
      <c r="AL355" s="526">
        <f t="shared" si="258"/>
        <v>220</v>
      </c>
      <c r="AM355" s="526">
        <f t="shared" si="258"/>
        <v>220</v>
      </c>
      <c r="AN355" s="526">
        <f t="shared" si="258"/>
        <v>220</v>
      </c>
      <c r="AO355" s="526">
        <f t="shared" si="258"/>
        <v>220</v>
      </c>
      <c r="AP355" s="526">
        <f t="shared" si="258"/>
        <v>220</v>
      </c>
      <c r="AQ355" s="526">
        <f t="shared" si="258"/>
        <v>220</v>
      </c>
      <c r="AR355" s="526">
        <f t="shared" si="258"/>
        <v>220</v>
      </c>
      <c r="AS355" s="526">
        <f t="shared" si="258"/>
        <v>220</v>
      </c>
      <c r="AT355" s="526">
        <f t="shared" si="258"/>
        <v>220</v>
      </c>
      <c r="AU355" s="526">
        <f t="shared" si="258"/>
        <v>220</v>
      </c>
      <c r="AV355" s="526">
        <f t="shared" si="258"/>
        <v>220</v>
      </c>
      <c r="AW355" s="526">
        <f t="shared" si="258"/>
        <v>220</v>
      </c>
      <c r="AX355" s="526">
        <f t="shared" si="257"/>
        <v>220</v>
      </c>
      <c r="AY355" s="526">
        <f t="shared" si="257"/>
        <v>220</v>
      </c>
      <c r="AZ355" s="526">
        <f t="shared" si="257"/>
        <v>220</v>
      </c>
      <c r="BA355" s="526">
        <f t="shared" si="257"/>
        <v>220</v>
      </c>
      <c r="BB355" s="526">
        <f t="shared" si="257"/>
        <v>220</v>
      </c>
      <c r="BC355" s="526">
        <f t="shared" si="257"/>
        <v>220</v>
      </c>
      <c r="BD355" s="526">
        <f t="shared" si="257"/>
        <v>220</v>
      </c>
      <c r="BE355" s="526">
        <f t="shared" si="257"/>
        <v>220</v>
      </c>
      <c r="BF355" s="526">
        <f t="shared" si="257"/>
        <v>220</v>
      </c>
      <c r="BG355" s="526">
        <f t="shared" si="257"/>
        <v>220</v>
      </c>
      <c r="BH355" s="526">
        <f t="shared" si="257"/>
        <v>220</v>
      </c>
      <c r="BI355" s="526">
        <f t="shared" si="257"/>
        <v>220</v>
      </c>
      <c r="BJ355" s="526">
        <f t="shared" si="257"/>
        <v>220</v>
      </c>
      <c r="BK355" s="526">
        <f t="shared" si="257"/>
        <v>220</v>
      </c>
      <c r="BL355" s="526">
        <f t="shared" si="257"/>
        <v>220</v>
      </c>
      <c r="BM355" s="526">
        <f t="shared" si="257"/>
        <v>220</v>
      </c>
      <c r="BN355" s="526">
        <f t="shared" si="257"/>
        <v>220</v>
      </c>
      <c r="BO355" s="526">
        <f t="shared" si="257"/>
        <v>220</v>
      </c>
      <c r="BP355" s="526">
        <f t="shared" si="257"/>
        <v>220</v>
      </c>
      <c r="BQ355" s="526">
        <f t="shared" si="257"/>
        <v>220</v>
      </c>
      <c r="BR355" s="526">
        <f t="shared" si="257"/>
        <v>220</v>
      </c>
      <c r="BS355" s="526">
        <f t="shared" si="257"/>
        <v>220</v>
      </c>
      <c r="BT355" s="526">
        <f t="shared" si="257"/>
        <v>220</v>
      </c>
      <c r="BU355" s="526">
        <f t="shared" si="257"/>
        <v>220</v>
      </c>
      <c r="BV355" s="526">
        <f t="shared" si="257"/>
        <v>220</v>
      </c>
      <c r="BW355" s="526">
        <f t="shared" si="257"/>
        <v>220</v>
      </c>
      <c r="BX355" s="526">
        <f t="shared" si="257"/>
        <v>220</v>
      </c>
      <c r="BY355" s="526">
        <f t="shared" si="257"/>
        <v>220</v>
      </c>
      <c r="BZ355" s="526">
        <f t="shared" si="257"/>
        <v>220</v>
      </c>
      <c r="CA355" s="526">
        <f t="shared" si="257"/>
        <v>220</v>
      </c>
      <c r="CB355" s="526">
        <f t="shared" si="257"/>
        <v>220</v>
      </c>
      <c r="CC355" s="526">
        <f t="shared" si="257"/>
        <v>220</v>
      </c>
      <c r="CD355" s="526">
        <f t="shared" si="257"/>
        <v>220</v>
      </c>
      <c r="CE355" s="526">
        <f t="shared" si="257"/>
        <v>220</v>
      </c>
      <c r="CG355" s="536">
        <v>220</v>
      </c>
      <c r="CH355" s="536">
        <v>220</v>
      </c>
      <c r="CI355" s="536">
        <v>220</v>
      </c>
      <c r="CJ355" s="536">
        <v>220</v>
      </c>
      <c r="CK355" s="536">
        <v>220</v>
      </c>
      <c r="CL355" s="536">
        <v>220</v>
      </c>
      <c r="CM355" s="536">
        <v>220</v>
      </c>
      <c r="CN355" s="536">
        <v>220</v>
      </c>
      <c r="CO355" s="536">
        <v>220</v>
      </c>
      <c r="CP355" s="536">
        <v>220</v>
      </c>
      <c r="CQ355" s="536">
        <v>220</v>
      </c>
      <c r="CR355" s="536">
        <v>220</v>
      </c>
      <c r="CS355" s="536">
        <v>220</v>
      </c>
      <c r="CT355" s="536">
        <v>220</v>
      </c>
      <c r="CU355" s="536">
        <v>220</v>
      </c>
      <c r="CV355" s="536">
        <v>220</v>
      </c>
      <c r="CW355" s="536">
        <v>220</v>
      </c>
      <c r="CX355" s="536">
        <v>220</v>
      </c>
      <c r="CY355" s="536">
        <v>220</v>
      </c>
      <c r="CZ355" s="536">
        <v>220</v>
      </c>
      <c r="DA355" s="536">
        <v>220</v>
      </c>
      <c r="DB355" s="536">
        <v>220</v>
      </c>
      <c r="DC355" s="536">
        <v>220</v>
      </c>
      <c r="DD355" s="536">
        <v>220</v>
      </c>
      <c r="DE355" s="536">
        <v>220</v>
      </c>
      <c r="DF355" s="536">
        <v>220</v>
      </c>
      <c r="DG355" s="536">
        <v>220</v>
      </c>
      <c r="DH355" s="536">
        <v>220</v>
      </c>
    </row>
    <row r="356" spans="2:112">
      <c r="B356" t="s">
        <v>1215</v>
      </c>
      <c r="C356" t="s">
        <v>806</v>
      </c>
      <c r="D356" t="s">
        <v>883</v>
      </c>
      <c r="E356" t="s">
        <v>884</v>
      </c>
      <c r="F356" s="525">
        <v>16</v>
      </c>
      <c r="G356" s="525">
        <v>16</v>
      </c>
      <c r="H356" s="525">
        <v>16</v>
      </c>
      <c r="I356" s="525">
        <v>16</v>
      </c>
      <c r="J356" s="525">
        <v>16</v>
      </c>
      <c r="K356" s="525">
        <v>16</v>
      </c>
      <c r="L356" s="525">
        <v>16</v>
      </c>
      <c r="M356" s="525">
        <v>16</v>
      </c>
      <c r="N356" s="525">
        <v>16</v>
      </c>
      <c r="O356" s="525">
        <v>16</v>
      </c>
      <c r="P356" s="525">
        <v>16</v>
      </c>
      <c r="Q356" s="525">
        <v>16</v>
      </c>
      <c r="R356" s="525">
        <v>16</v>
      </c>
      <c r="S356" s="525">
        <v>16</v>
      </c>
      <c r="T356" s="525">
        <v>16</v>
      </c>
      <c r="U356" s="525">
        <v>16</v>
      </c>
      <c r="V356" s="525">
        <v>16</v>
      </c>
      <c r="W356" s="525">
        <v>16</v>
      </c>
      <c r="X356" s="525">
        <v>16</v>
      </c>
      <c r="Y356" s="525">
        <v>16</v>
      </c>
      <c r="Z356" s="525">
        <v>16</v>
      </c>
      <c r="AA356" s="525">
        <v>16</v>
      </c>
      <c r="AB356" s="525">
        <v>16</v>
      </c>
      <c r="AC356" s="525">
        <v>16</v>
      </c>
      <c r="AD356" s="525">
        <v>16</v>
      </c>
      <c r="AE356" s="525">
        <v>16</v>
      </c>
      <c r="AF356" s="525">
        <v>16</v>
      </c>
      <c r="AG356" s="525">
        <v>16</v>
      </c>
      <c r="AH356" s="526">
        <f t="shared" si="258"/>
        <v>16</v>
      </c>
      <c r="AI356" s="526">
        <f t="shared" si="258"/>
        <v>16</v>
      </c>
      <c r="AJ356" s="526">
        <f t="shared" si="258"/>
        <v>16</v>
      </c>
      <c r="AK356" s="526">
        <f t="shared" si="258"/>
        <v>16</v>
      </c>
      <c r="AL356" s="526">
        <f t="shared" si="258"/>
        <v>16</v>
      </c>
      <c r="AM356" s="526">
        <f t="shared" si="258"/>
        <v>16</v>
      </c>
      <c r="AN356" s="526">
        <f t="shared" si="258"/>
        <v>16</v>
      </c>
      <c r="AO356" s="526">
        <f t="shared" si="258"/>
        <v>16</v>
      </c>
      <c r="AP356" s="526">
        <f t="shared" si="258"/>
        <v>16</v>
      </c>
      <c r="AQ356" s="526">
        <f t="shared" si="258"/>
        <v>16</v>
      </c>
      <c r="AR356" s="526">
        <f t="shared" si="258"/>
        <v>16</v>
      </c>
      <c r="AS356" s="526">
        <f t="shared" si="258"/>
        <v>16</v>
      </c>
      <c r="AT356" s="526">
        <f t="shared" si="258"/>
        <v>16</v>
      </c>
      <c r="AU356" s="526">
        <f t="shared" si="258"/>
        <v>16</v>
      </c>
      <c r="AV356" s="526">
        <f t="shared" si="258"/>
        <v>16</v>
      </c>
      <c r="AW356" s="526">
        <f t="shared" si="258"/>
        <v>16</v>
      </c>
      <c r="AX356" s="526">
        <f t="shared" si="257"/>
        <v>16</v>
      </c>
      <c r="AY356" s="526">
        <f t="shared" si="257"/>
        <v>16</v>
      </c>
      <c r="AZ356" s="526">
        <f t="shared" si="257"/>
        <v>16</v>
      </c>
      <c r="BA356" s="526">
        <f t="shared" si="257"/>
        <v>16</v>
      </c>
      <c r="BB356" s="526">
        <f t="shared" si="257"/>
        <v>16</v>
      </c>
      <c r="BC356" s="526">
        <f t="shared" si="257"/>
        <v>16</v>
      </c>
      <c r="BD356" s="526">
        <f t="shared" si="257"/>
        <v>16</v>
      </c>
      <c r="BE356" s="526">
        <f t="shared" si="257"/>
        <v>16</v>
      </c>
      <c r="BF356" s="526">
        <f t="shared" si="257"/>
        <v>16</v>
      </c>
      <c r="BG356" s="526">
        <f t="shared" si="257"/>
        <v>16</v>
      </c>
      <c r="BH356" s="526">
        <f t="shared" si="257"/>
        <v>16</v>
      </c>
      <c r="BI356" s="526">
        <f t="shared" si="257"/>
        <v>16</v>
      </c>
      <c r="BJ356" s="526">
        <f t="shared" si="257"/>
        <v>16</v>
      </c>
      <c r="BK356" s="526">
        <f t="shared" si="257"/>
        <v>16</v>
      </c>
      <c r="BL356" s="526">
        <f t="shared" si="257"/>
        <v>16</v>
      </c>
      <c r="BM356" s="526">
        <f t="shared" si="257"/>
        <v>16</v>
      </c>
      <c r="BN356" s="526">
        <f t="shared" si="257"/>
        <v>16</v>
      </c>
      <c r="BO356" s="526">
        <f t="shared" si="257"/>
        <v>16</v>
      </c>
      <c r="BP356" s="526">
        <f t="shared" si="257"/>
        <v>16</v>
      </c>
      <c r="BQ356" s="526">
        <f t="shared" si="257"/>
        <v>16</v>
      </c>
      <c r="BR356" s="526">
        <f t="shared" si="257"/>
        <v>16</v>
      </c>
      <c r="BS356" s="526">
        <f t="shared" si="257"/>
        <v>16</v>
      </c>
      <c r="BT356" s="526">
        <f t="shared" si="257"/>
        <v>16</v>
      </c>
      <c r="BU356" s="526">
        <f t="shared" si="257"/>
        <v>16</v>
      </c>
      <c r="BV356" s="526">
        <f t="shared" si="257"/>
        <v>16</v>
      </c>
      <c r="BW356" s="526">
        <f t="shared" si="257"/>
        <v>16</v>
      </c>
      <c r="BX356" s="526">
        <f t="shared" si="257"/>
        <v>16</v>
      </c>
      <c r="BY356" s="526">
        <f t="shared" si="257"/>
        <v>16</v>
      </c>
      <c r="BZ356" s="526">
        <f t="shared" si="257"/>
        <v>16</v>
      </c>
      <c r="CA356" s="526">
        <f t="shared" si="257"/>
        <v>16</v>
      </c>
      <c r="CB356" s="526">
        <f t="shared" si="257"/>
        <v>16</v>
      </c>
      <c r="CC356" s="526">
        <f t="shared" si="257"/>
        <v>16</v>
      </c>
      <c r="CD356" s="526">
        <f t="shared" si="257"/>
        <v>16</v>
      </c>
      <c r="CE356" s="526">
        <f t="shared" si="257"/>
        <v>16</v>
      </c>
      <c r="CG356" s="536">
        <v>16</v>
      </c>
      <c r="CH356" s="536">
        <v>16</v>
      </c>
      <c r="CI356" s="536">
        <v>16</v>
      </c>
      <c r="CJ356" s="536">
        <v>16</v>
      </c>
      <c r="CK356" s="536">
        <v>16</v>
      </c>
      <c r="CL356" s="536">
        <v>16</v>
      </c>
      <c r="CM356" s="536">
        <v>16</v>
      </c>
      <c r="CN356" s="536">
        <v>16</v>
      </c>
      <c r="CO356" s="536">
        <v>16</v>
      </c>
      <c r="CP356" s="536">
        <v>16</v>
      </c>
      <c r="CQ356" s="536">
        <v>16</v>
      </c>
      <c r="CR356" s="536">
        <v>16</v>
      </c>
      <c r="CS356" s="536">
        <v>16</v>
      </c>
      <c r="CT356" s="536">
        <v>16</v>
      </c>
      <c r="CU356" s="536">
        <v>16</v>
      </c>
      <c r="CV356" s="536">
        <v>16</v>
      </c>
      <c r="CW356" s="536">
        <v>16</v>
      </c>
      <c r="CX356" s="536">
        <v>16</v>
      </c>
      <c r="CY356" s="536">
        <v>16</v>
      </c>
      <c r="CZ356" s="536">
        <v>16</v>
      </c>
      <c r="DA356" s="536">
        <v>16</v>
      </c>
      <c r="DB356" s="536">
        <v>16</v>
      </c>
      <c r="DC356" s="536">
        <v>16</v>
      </c>
      <c r="DD356" s="536">
        <v>16</v>
      </c>
      <c r="DE356" s="536">
        <v>16</v>
      </c>
      <c r="DF356" s="536">
        <v>16</v>
      </c>
      <c r="DG356" s="536">
        <v>16</v>
      </c>
      <c r="DH356" s="536">
        <v>16</v>
      </c>
    </row>
    <row r="357" spans="2:112">
      <c r="B357" t="s">
        <v>1216</v>
      </c>
      <c r="C357" t="s">
        <v>806</v>
      </c>
      <c r="D357" t="s">
        <v>886</v>
      </c>
      <c r="E357" t="s">
        <v>178</v>
      </c>
      <c r="F357" s="537">
        <v>0.51</v>
      </c>
      <c r="G357" s="537">
        <v>0.51</v>
      </c>
      <c r="H357" s="537">
        <v>0.51</v>
      </c>
      <c r="I357" s="537">
        <v>0.51</v>
      </c>
      <c r="J357" s="537">
        <v>0.51</v>
      </c>
      <c r="K357" s="537">
        <v>0.51</v>
      </c>
      <c r="L357" s="537">
        <v>0.51</v>
      </c>
      <c r="M357" s="537">
        <v>0.51</v>
      </c>
      <c r="N357" s="537">
        <v>0.51</v>
      </c>
      <c r="O357" s="537">
        <v>0.51</v>
      </c>
      <c r="P357" s="537">
        <v>0.51</v>
      </c>
      <c r="Q357" s="537">
        <v>0.51</v>
      </c>
      <c r="R357" s="537">
        <v>0.51</v>
      </c>
      <c r="S357" s="537">
        <v>0.51</v>
      </c>
      <c r="T357" s="537">
        <v>0.51</v>
      </c>
      <c r="U357" s="537">
        <v>0.51</v>
      </c>
      <c r="V357" s="537">
        <v>0.51</v>
      </c>
      <c r="W357" s="537">
        <v>0.51</v>
      </c>
      <c r="X357" s="537">
        <v>0.51</v>
      </c>
      <c r="Y357" s="537">
        <v>0.51</v>
      </c>
      <c r="Z357" s="537">
        <v>0.51</v>
      </c>
      <c r="AA357" s="537">
        <v>0.51</v>
      </c>
      <c r="AB357" s="537">
        <v>0.51</v>
      </c>
      <c r="AC357" s="537">
        <v>0.51</v>
      </c>
      <c r="AD357" s="537">
        <v>0.51</v>
      </c>
      <c r="AE357" s="537">
        <v>0.51</v>
      </c>
      <c r="AF357" s="537">
        <v>0.51</v>
      </c>
      <c r="AG357" s="537">
        <v>0.51</v>
      </c>
      <c r="AH357" s="526">
        <f t="shared" si="258"/>
        <v>0.51</v>
      </c>
      <c r="AI357" s="526">
        <f t="shared" si="258"/>
        <v>0.51</v>
      </c>
      <c r="AJ357" s="526">
        <f t="shared" si="258"/>
        <v>0.51</v>
      </c>
      <c r="AK357" s="526">
        <f t="shared" si="258"/>
        <v>0.51</v>
      </c>
      <c r="AL357" s="526">
        <f t="shared" si="258"/>
        <v>0.51</v>
      </c>
      <c r="AM357" s="526">
        <f t="shared" si="258"/>
        <v>0.51</v>
      </c>
      <c r="AN357" s="526">
        <f t="shared" si="258"/>
        <v>0.51</v>
      </c>
      <c r="AO357" s="526">
        <f t="shared" si="258"/>
        <v>0.51</v>
      </c>
      <c r="AP357" s="526">
        <f t="shared" si="258"/>
        <v>0.51</v>
      </c>
      <c r="AQ357" s="526">
        <f t="shared" si="258"/>
        <v>0.51</v>
      </c>
      <c r="AR357" s="526">
        <f t="shared" si="258"/>
        <v>0.51</v>
      </c>
      <c r="AS357" s="526">
        <f t="shared" si="258"/>
        <v>0.51</v>
      </c>
      <c r="AT357" s="526">
        <f t="shared" si="258"/>
        <v>0.51</v>
      </c>
      <c r="AU357" s="526">
        <f t="shared" si="258"/>
        <v>0.51</v>
      </c>
      <c r="AV357" s="526">
        <f t="shared" si="258"/>
        <v>0.51</v>
      </c>
      <c r="AW357" s="526">
        <f t="shared" si="258"/>
        <v>0.51</v>
      </c>
      <c r="AX357" s="526">
        <f t="shared" si="257"/>
        <v>0.51</v>
      </c>
      <c r="AY357" s="526">
        <f t="shared" si="257"/>
        <v>0.51</v>
      </c>
      <c r="AZ357" s="526">
        <f t="shared" si="257"/>
        <v>0.51</v>
      </c>
      <c r="BA357" s="526">
        <f t="shared" si="257"/>
        <v>0.51</v>
      </c>
      <c r="BB357" s="526">
        <f t="shared" si="257"/>
        <v>0.51</v>
      </c>
      <c r="BC357" s="526">
        <f t="shared" si="257"/>
        <v>0.51</v>
      </c>
      <c r="BD357" s="526">
        <f t="shared" si="257"/>
        <v>0.51</v>
      </c>
      <c r="BE357" s="526">
        <f t="shared" si="257"/>
        <v>0.51</v>
      </c>
      <c r="BF357" s="526">
        <f t="shared" si="257"/>
        <v>0.51</v>
      </c>
      <c r="BG357" s="526">
        <f t="shared" si="257"/>
        <v>0.51</v>
      </c>
      <c r="BH357" s="526">
        <f t="shared" si="257"/>
        <v>0.51</v>
      </c>
      <c r="BI357" s="526">
        <f t="shared" si="257"/>
        <v>0.51</v>
      </c>
      <c r="BJ357" s="526">
        <f t="shared" si="257"/>
        <v>0.51</v>
      </c>
      <c r="BK357" s="526">
        <f t="shared" si="257"/>
        <v>0.51</v>
      </c>
      <c r="BL357" s="526">
        <f t="shared" si="257"/>
        <v>0.51</v>
      </c>
      <c r="BM357" s="526">
        <f t="shared" si="257"/>
        <v>0.51</v>
      </c>
      <c r="BN357" s="526">
        <f t="shared" si="257"/>
        <v>0.51</v>
      </c>
      <c r="BO357" s="526">
        <f t="shared" si="257"/>
        <v>0.51</v>
      </c>
      <c r="BP357" s="526">
        <f t="shared" si="257"/>
        <v>0.51</v>
      </c>
      <c r="BQ357" s="526">
        <f t="shared" si="257"/>
        <v>0.51</v>
      </c>
      <c r="BR357" s="526">
        <f t="shared" si="257"/>
        <v>0.51</v>
      </c>
      <c r="BS357" s="526">
        <f t="shared" si="257"/>
        <v>0.51</v>
      </c>
      <c r="BT357" s="526">
        <f t="shared" si="257"/>
        <v>0.51</v>
      </c>
      <c r="BU357" s="526">
        <f t="shared" si="257"/>
        <v>0.51</v>
      </c>
      <c r="BV357" s="526">
        <f t="shared" si="257"/>
        <v>0.51</v>
      </c>
      <c r="BW357" s="526">
        <f t="shared" si="257"/>
        <v>0.51</v>
      </c>
      <c r="BX357" s="526">
        <f t="shared" si="257"/>
        <v>0.51</v>
      </c>
      <c r="BY357" s="526">
        <f t="shared" si="257"/>
        <v>0.51</v>
      </c>
      <c r="BZ357" s="526">
        <f t="shared" si="257"/>
        <v>0.51</v>
      </c>
      <c r="CA357" s="526">
        <f t="shared" si="257"/>
        <v>0.51</v>
      </c>
      <c r="CB357" s="526">
        <f t="shared" si="257"/>
        <v>0.51</v>
      </c>
      <c r="CC357" s="526">
        <f t="shared" si="257"/>
        <v>0.51</v>
      </c>
      <c r="CD357" s="526">
        <f t="shared" si="257"/>
        <v>0.51</v>
      </c>
      <c r="CE357" s="526">
        <f t="shared" si="257"/>
        <v>0.51</v>
      </c>
      <c r="CG357" s="537">
        <v>0.51</v>
      </c>
      <c r="CH357" s="537">
        <v>0.51</v>
      </c>
      <c r="CI357" s="537">
        <v>0.51</v>
      </c>
      <c r="CJ357" s="537">
        <v>0.51</v>
      </c>
      <c r="CK357" s="537">
        <v>0.51</v>
      </c>
      <c r="CL357" s="537">
        <v>0.51</v>
      </c>
      <c r="CM357" s="537">
        <v>0.51</v>
      </c>
      <c r="CN357" s="537">
        <v>0.51</v>
      </c>
      <c r="CO357" s="537">
        <v>0.51</v>
      </c>
      <c r="CP357" s="537">
        <v>0.51</v>
      </c>
      <c r="CQ357" s="537">
        <v>0.51</v>
      </c>
      <c r="CR357" s="537">
        <v>0.51</v>
      </c>
      <c r="CS357" s="537">
        <v>0.51</v>
      </c>
      <c r="CT357" s="537">
        <v>0.51</v>
      </c>
      <c r="CU357" s="537">
        <v>0.51</v>
      </c>
      <c r="CV357" s="537">
        <v>0.51</v>
      </c>
      <c r="CW357" s="537">
        <v>0.51</v>
      </c>
      <c r="CX357" s="537">
        <v>0.51</v>
      </c>
      <c r="CY357" s="537">
        <v>0.51</v>
      </c>
      <c r="CZ357" s="537">
        <v>0.51</v>
      </c>
      <c r="DA357" s="537">
        <v>0.51</v>
      </c>
      <c r="DB357" s="537">
        <v>0.51</v>
      </c>
      <c r="DC357" s="537">
        <v>0.51</v>
      </c>
      <c r="DD357" s="537">
        <v>0.51</v>
      </c>
      <c r="DE357" s="537">
        <v>0.51</v>
      </c>
      <c r="DF357" s="537">
        <v>0.51</v>
      </c>
      <c r="DG357" s="537">
        <v>0.51</v>
      </c>
      <c r="DH357" s="537">
        <v>0.51</v>
      </c>
    </row>
    <row r="358" spans="2:112">
      <c r="B358" t="s">
        <v>1217</v>
      </c>
      <c r="C358" t="s">
        <v>806</v>
      </c>
      <c r="D358" t="s">
        <v>888</v>
      </c>
      <c r="E358" t="s">
        <v>178</v>
      </c>
      <c r="F358" s="537">
        <v>0.51</v>
      </c>
      <c r="G358" s="537">
        <v>0.51</v>
      </c>
      <c r="H358" s="537">
        <v>0.51</v>
      </c>
      <c r="I358" s="537">
        <v>0.51</v>
      </c>
      <c r="J358" s="537">
        <v>0.51</v>
      </c>
      <c r="K358" s="537">
        <v>0.51</v>
      </c>
      <c r="L358" s="537">
        <v>0.51</v>
      </c>
      <c r="M358" s="537">
        <v>0.51</v>
      </c>
      <c r="N358" s="537">
        <v>0.51</v>
      </c>
      <c r="O358" s="537">
        <v>0.51</v>
      </c>
      <c r="P358" s="537">
        <v>0.51</v>
      </c>
      <c r="Q358" s="537">
        <v>0.51</v>
      </c>
      <c r="R358" s="537">
        <v>0.51</v>
      </c>
      <c r="S358" s="537">
        <v>0.51</v>
      </c>
      <c r="T358" s="537">
        <v>0.51</v>
      </c>
      <c r="U358" s="537">
        <v>0.51</v>
      </c>
      <c r="V358" s="537">
        <v>0.51</v>
      </c>
      <c r="W358" s="537">
        <v>0.51</v>
      </c>
      <c r="X358" s="537">
        <v>0.51</v>
      </c>
      <c r="Y358" s="537">
        <v>0.51</v>
      </c>
      <c r="Z358" s="537">
        <v>0.51</v>
      </c>
      <c r="AA358" s="537">
        <v>0.51</v>
      </c>
      <c r="AB358" s="537">
        <v>0.51</v>
      </c>
      <c r="AC358" s="537">
        <v>0.51</v>
      </c>
      <c r="AD358" s="537">
        <v>0.51</v>
      </c>
      <c r="AE358" s="537">
        <v>0.51</v>
      </c>
      <c r="AF358" s="537">
        <v>0.51</v>
      </c>
      <c r="AG358" s="537">
        <v>0.51</v>
      </c>
      <c r="AH358" s="526">
        <f t="shared" si="258"/>
        <v>0.51</v>
      </c>
      <c r="AI358" s="526">
        <f t="shared" si="258"/>
        <v>0.51</v>
      </c>
      <c r="AJ358" s="526">
        <f t="shared" si="258"/>
        <v>0.51</v>
      </c>
      <c r="AK358" s="526">
        <f t="shared" si="258"/>
        <v>0.51</v>
      </c>
      <c r="AL358" s="526">
        <f t="shared" si="258"/>
        <v>0.51</v>
      </c>
      <c r="AM358" s="526">
        <f t="shared" si="258"/>
        <v>0.51</v>
      </c>
      <c r="AN358" s="526">
        <f t="shared" si="258"/>
        <v>0.51</v>
      </c>
      <c r="AO358" s="526">
        <f t="shared" si="258"/>
        <v>0.51</v>
      </c>
      <c r="AP358" s="526">
        <f t="shared" si="258"/>
        <v>0.51</v>
      </c>
      <c r="AQ358" s="526">
        <f t="shared" si="258"/>
        <v>0.51</v>
      </c>
      <c r="AR358" s="526">
        <f t="shared" si="258"/>
        <v>0.51</v>
      </c>
      <c r="AS358" s="526">
        <f t="shared" si="258"/>
        <v>0.51</v>
      </c>
      <c r="AT358" s="526">
        <f t="shared" si="258"/>
        <v>0.51</v>
      </c>
      <c r="AU358" s="526">
        <f t="shared" si="258"/>
        <v>0.51</v>
      </c>
      <c r="AV358" s="526">
        <f t="shared" si="258"/>
        <v>0.51</v>
      </c>
      <c r="AW358" s="526">
        <f t="shared" si="258"/>
        <v>0.51</v>
      </c>
      <c r="AX358" s="526">
        <f t="shared" si="257"/>
        <v>0.51</v>
      </c>
      <c r="AY358" s="526">
        <f t="shared" si="257"/>
        <v>0.51</v>
      </c>
      <c r="AZ358" s="526">
        <f t="shared" si="257"/>
        <v>0.51</v>
      </c>
      <c r="BA358" s="526">
        <f t="shared" si="257"/>
        <v>0.51</v>
      </c>
      <c r="BB358" s="526">
        <f t="shared" si="257"/>
        <v>0.51</v>
      </c>
      <c r="BC358" s="526">
        <f t="shared" si="257"/>
        <v>0.51</v>
      </c>
      <c r="BD358" s="526">
        <f t="shared" si="257"/>
        <v>0.51</v>
      </c>
      <c r="BE358" s="526">
        <f t="shared" si="257"/>
        <v>0.51</v>
      </c>
      <c r="BF358" s="526">
        <f t="shared" si="257"/>
        <v>0.51</v>
      </c>
      <c r="BG358" s="526">
        <f t="shared" si="257"/>
        <v>0.51</v>
      </c>
      <c r="BH358" s="526">
        <f t="shared" si="257"/>
        <v>0.51</v>
      </c>
      <c r="BI358" s="526">
        <f t="shared" si="257"/>
        <v>0.51</v>
      </c>
      <c r="BJ358" s="526">
        <f t="shared" si="257"/>
        <v>0.51</v>
      </c>
      <c r="BK358" s="526">
        <f t="shared" si="257"/>
        <v>0.51</v>
      </c>
      <c r="BL358" s="526">
        <f t="shared" si="257"/>
        <v>0.51</v>
      </c>
      <c r="BM358" s="526">
        <f t="shared" si="257"/>
        <v>0.51</v>
      </c>
      <c r="BN358" s="526">
        <f t="shared" si="257"/>
        <v>0.51</v>
      </c>
      <c r="BO358" s="526">
        <f t="shared" si="257"/>
        <v>0.51</v>
      </c>
      <c r="BP358" s="526">
        <f t="shared" si="257"/>
        <v>0.51</v>
      </c>
      <c r="BQ358" s="526">
        <f t="shared" si="257"/>
        <v>0.51</v>
      </c>
      <c r="BR358" s="526">
        <f t="shared" si="257"/>
        <v>0.51</v>
      </c>
      <c r="BS358" s="526">
        <f t="shared" si="257"/>
        <v>0.51</v>
      </c>
      <c r="BT358" s="526">
        <f t="shared" si="257"/>
        <v>0.51</v>
      </c>
      <c r="BU358" s="526">
        <f t="shared" si="257"/>
        <v>0.51</v>
      </c>
      <c r="BV358" s="526">
        <f t="shared" si="257"/>
        <v>0.51</v>
      </c>
      <c r="BW358" s="526">
        <f t="shared" si="257"/>
        <v>0.51</v>
      </c>
      <c r="BX358" s="526">
        <f t="shared" si="257"/>
        <v>0.51</v>
      </c>
      <c r="BY358" s="526">
        <f t="shared" si="257"/>
        <v>0.51</v>
      </c>
      <c r="BZ358" s="526">
        <f t="shared" si="257"/>
        <v>0.51</v>
      </c>
      <c r="CA358" s="526">
        <f t="shared" si="257"/>
        <v>0.51</v>
      </c>
      <c r="CB358" s="526">
        <f t="shared" si="257"/>
        <v>0.51</v>
      </c>
      <c r="CC358" s="526">
        <f t="shared" si="257"/>
        <v>0.51</v>
      </c>
      <c r="CD358" s="526">
        <f t="shared" si="257"/>
        <v>0.51</v>
      </c>
      <c r="CE358" s="526">
        <f t="shared" si="257"/>
        <v>0.51</v>
      </c>
      <c r="CG358" s="537">
        <v>0.51</v>
      </c>
      <c r="CH358" s="537">
        <v>0.51</v>
      </c>
      <c r="CI358" s="537">
        <v>0.51</v>
      </c>
      <c r="CJ358" s="537">
        <v>0.51</v>
      </c>
      <c r="CK358" s="537">
        <v>0.51</v>
      </c>
      <c r="CL358" s="537">
        <v>0.51</v>
      </c>
      <c r="CM358" s="537">
        <v>0.51</v>
      </c>
      <c r="CN358" s="537">
        <v>0.51</v>
      </c>
      <c r="CO358" s="537">
        <v>0.51</v>
      </c>
      <c r="CP358" s="537">
        <v>0.51</v>
      </c>
      <c r="CQ358" s="537">
        <v>0.51</v>
      </c>
      <c r="CR358" s="537">
        <v>0.51</v>
      </c>
      <c r="CS358" s="537">
        <v>0.51</v>
      </c>
      <c r="CT358" s="537">
        <v>0.51</v>
      </c>
      <c r="CU358" s="537">
        <v>0.51</v>
      </c>
      <c r="CV358" s="537">
        <v>0.51</v>
      </c>
      <c r="CW358" s="537">
        <v>0.51</v>
      </c>
      <c r="CX358" s="537">
        <v>0.51</v>
      </c>
      <c r="CY358" s="537">
        <v>0.51</v>
      </c>
      <c r="CZ358" s="537">
        <v>0.51</v>
      </c>
      <c r="DA358" s="537">
        <v>0.51</v>
      </c>
      <c r="DB358" s="537">
        <v>0.51</v>
      </c>
      <c r="DC358" s="537">
        <v>0.51</v>
      </c>
      <c r="DD358" s="537">
        <v>0.51</v>
      </c>
      <c r="DE358" s="537">
        <v>0.51</v>
      </c>
      <c r="DF358" s="537">
        <v>0.51</v>
      </c>
      <c r="DG358" s="537">
        <v>0.51</v>
      </c>
      <c r="DH358" s="537">
        <v>0.51</v>
      </c>
    </row>
    <row r="359" spans="2:112">
      <c r="B359" t="s">
        <v>1218</v>
      </c>
      <c r="C359" t="s">
        <v>806</v>
      </c>
      <c r="D359" t="s">
        <v>890</v>
      </c>
      <c r="E359" t="s">
        <v>178</v>
      </c>
      <c r="F359" s="537">
        <v>0.51</v>
      </c>
      <c r="G359" s="537">
        <v>0.51</v>
      </c>
      <c r="H359" s="537">
        <v>0.51</v>
      </c>
      <c r="I359" s="537">
        <v>0.51</v>
      </c>
      <c r="J359" s="537">
        <v>0.51</v>
      </c>
      <c r="K359" s="537">
        <v>0.51</v>
      </c>
      <c r="L359" s="537">
        <v>0.51</v>
      </c>
      <c r="M359" s="537">
        <v>0.51</v>
      </c>
      <c r="N359" s="537">
        <v>0.51</v>
      </c>
      <c r="O359" s="537">
        <v>0.51</v>
      </c>
      <c r="P359" s="537">
        <v>0.51</v>
      </c>
      <c r="Q359" s="537">
        <v>0.51</v>
      </c>
      <c r="R359" s="537">
        <v>0.51</v>
      </c>
      <c r="S359" s="537">
        <v>0.51</v>
      </c>
      <c r="T359" s="537">
        <v>0.51</v>
      </c>
      <c r="U359" s="537">
        <v>0.51</v>
      </c>
      <c r="V359" s="537">
        <v>0.51</v>
      </c>
      <c r="W359" s="537">
        <v>0.51</v>
      </c>
      <c r="X359" s="537">
        <v>0.51</v>
      </c>
      <c r="Y359" s="537">
        <v>0.51</v>
      </c>
      <c r="Z359" s="537">
        <v>0.51</v>
      </c>
      <c r="AA359" s="537">
        <v>0.51</v>
      </c>
      <c r="AB359" s="537">
        <v>0.51</v>
      </c>
      <c r="AC359" s="537">
        <v>0.51</v>
      </c>
      <c r="AD359" s="537">
        <v>0.51</v>
      </c>
      <c r="AE359" s="537">
        <v>0.51</v>
      </c>
      <c r="AF359" s="537">
        <v>0.51</v>
      </c>
      <c r="AG359" s="537">
        <v>0.51</v>
      </c>
      <c r="AH359" s="526">
        <f t="shared" si="258"/>
        <v>0.51</v>
      </c>
      <c r="AI359" s="526">
        <f t="shared" si="258"/>
        <v>0.51</v>
      </c>
      <c r="AJ359" s="526">
        <f t="shared" si="258"/>
        <v>0.51</v>
      </c>
      <c r="AK359" s="526">
        <f t="shared" si="258"/>
        <v>0.51</v>
      </c>
      <c r="AL359" s="526">
        <f t="shared" si="258"/>
        <v>0.51</v>
      </c>
      <c r="AM359" s="526">
        <f t="shared" si="258"/>
        <v>0.51</v>
      </c>
      <c r="AN359" s="526">
        <f t="shared" si="258"/>
        <v>0.51</v>
      </c>
      <c r="AO359" s="526">
        <f t="shared" si="258"/>
        <v>0.51</v>
      </c>
      <c r="AP359" s="526">
        <f t="shared" si="258"/>
        <v>0.51</v>
      </c>
      <c r="AQ359" s="526">
        <f t="shared" si="258"/>
        <v>0.51</v>
      </c>
      <c r="AR359" s="526">
        <f t="shared" si="258"/>
        <v>0.51</v>
      </c>
      <c r="AS359" s="526">
        <f t="shared" si="258"/>
        <v>0.51</v>
      </c>
      <c r="AT359" s="526">
        <f t="shared" si="258"/>
        <v>0.51</v>
      </c>
      <c r="AU359" s="526">
        <f t="shared" si="258"/>
        <v>0.51</v>
      </c>
      <c r="AV359" s="526">
        <f t="shared" si="258"/>
        <v>0.51</v>
      </c>
      <c r="AW359" s="526">
        <f t="shared" si="258"/>
        <v>0.51</v>
      </c>
      <c r="AX359" s="526">
        <f t="shared" si="257"/>
        <v>0.51</v>
      </c>
      <c r="AY359" s="526">
        <f t="shared" si="257"/>
        <v>0.51</v>
      </c>
      <c r="AZ359" s="526">
        <f t="shared" si="257"/>
        <v>0.51</v>
      </c>
      <c r="BA359" s="526">
        <f t="shared" si="257"/>
        <v>0.51</v>
      </c>
      <c r="BB359" s="526">
        <f t="shared" si="257"/>
        <v>0.51</v>
      </c>
      <c r="BC359" s="526">
        <f t="shared" si="257"/>
        <v>0.51</v>
      </c>
      <c r="BD359" s="526">
        <f t="shared" si="257"/>
        <v>0.51</v>
      </c>
      <c r="BE359" s="526">
        <f t="shared" si="257"/>
        <v>0.51</v>
      </c>
      <c r="BF359" s="526">
        <f t="shared" si="257"/>
        <v>0.51</v>
      </c>
      <c r="BG359" s="526">
        <f t="shared" si="257"/>
        <v>0.51</v>
      </c>
      <c r="BH359" s="526">
        <f t="shared" si="257"/>
        <v>0.51</v>
      </c>
      <c r="BI359" s="526">
        <f t="shared" si="257"/>
        <v>0.51</v>
      </c>
      <c r="BJ359" s="526">
        <f t="shared" si="257"/>
        <v>0.51</v>
      </c>
      <c r="BK359" s="526">
        <f t="shared" si="257"/>
        <v>0.51</v>
      </c>
      <c r="BL359" s="526">
        <f t="shared" si="257"/>
        <v>0.51</v>
      </c>
      <c r="BM359" s="526">
        <f t="shared" si="257"/>
        <v>0.51</v>
      </c>
      <c r="BN359" s="526">
        <f t="shared" si="257"/>
        <v>0.51</v>
      </c>
      <c r="BO359" s="526">
        <f t="shared" si="257"/>
        <v>0.51</v>
      </c>
      <c r="BP359" s="526">
        <f t="shared" si="257"/>
        <v>0.51</v>
      </c>
      <c r="BQ359" s="526">
        <f t="shared" si="257"/>
        <v>0.51</v>
      </c>
      <c r="BR359" s="526">
        <f t="shared" si="257"/>
        <v>0.51</v>
      </c>
      <c r="BS359" s="526">
        <f t="shared" si="257"/>
        <v>0.51</v>
      </c>
      <c r="BT359" s="526">
        <f t="shared" si="257"/>
        <v>0.51</v>
      </c>
      <c r="BU359" s="526">
        <f t="shared" si="257"/>
        <v>0.51</v>
      </c>
      <c r="BV359" s="526">
        <f t="shared" si="257"/>
        <v>0.51</v>
      </c>
      <c r="BW359" s="526">
        <f t="shared" si="257"/>
        <v>0.51</v>
      </c>
      <c r="BX359" s="526">
        <f t="shared" si="257"/>
        <v>0.51</v>
      </c>
      <c r="BY359" s="526">
        <f t="shared" si="257"/>
        <v>0.51</v>
      </c>
      <c r="BZ359" s="526">
        <f t="shared" si="257"/>
        <v>0.51</v>
      </c>
      <c r="CA359" s="526">
        <f t="shared" si="257"/>
        <v>0.51</v>
      </c>
      <c r="CB359" s="526">
        <f t="shared" si="257"/>
        <v>0.51</v>
      </c>
      <c r="CC359" s="526">
        <f t="shared" si="257"/>
        <v>0.51</v>
      </c>
      <c r="CD359" s="526">
        <f t="shared" si="257"/>
        <v>0.51</v>
      </c>
      <c r="CE359" s="526">
        <f t="shared" si="257"/>
        <v>0.51</v>
      </c>
      <c r="CG359" s="537">
        <v>0.51</v>
      </c>
      <c r="CH359" s="537">
        <v>0.51</v>
      </c>
      <c r="CI359" s="537">
        <v>0.51</v>
      </c>
      <c r="CJ359" s="537">
        <v>0.51</v>
      </c>
      <c r="CK359" s="537">
        <v>0.51</v>
      </c>
      <c r="CL359" s="537">
        <v>0.51</v>
      </c>
      <c r="CM359" s="537">
        <v>0.51</v>
      </c>
      <c r="CN359" s="537">
        <v>0.51</v>
      </c>
      <c r="CO359" s="537">
        <v>0.51</v>
      </c>
      <c r="CP359" s="537">
        <v>0.51</v>
      </c>
      <c r="CQ359" s="537">
        <v>0.51</v>
      </c>
      <c r="CR359" s="537">
        <v>0.51</v>
      </c>
      <c r="CS359" s="537">
        <v>0.51</v>
      </c>
      <c r="CT359" s="537">
        <v>0.51</v>
      </c>
      <c r="CU359" s="537">
        <v>0.51</v>
      </c>
      <c r="CV359" s="537">
        <v>0.51</v>
      </c>
      <c r="CW359" s="537">
        <v>0.51</v>
      </c>
      <c r="CX359" s="537">
        <v>0.51</v>
      </c>
      <c r="CY359" s="537">
        <v>0.51</v>
      </c>
      <c r="CZ359" s="537">
        <v>0.51</v>
      </c>
      <c r="DA359" s="537">
        <v>0.51</v>
      </c>
      <c r="DB359" s="537">
        <v>0.51</v>
      </c>
      <c r="DC359" s="537">
        <v>0.51</v>
      </c>
      <c r="DD359" s="537">
        <v>0.51</v>
      </c>
      <c r="DE359" s="537">
        <v>0.51</v>
      </c>
      <c r="DF359" s="537">
        <v>0.51</v>
      </c>
      <c r="DG359" s="537">
        <v>0.51</v>
      </c>
      <c r="DH359" s="537">
        <v>0.51</v>
      </c>
    </row>
    <row r="360" spans="2:112">
      <c r="B360" t="s">
        <v>1219</v>
      </c>
      <c r="C360" t="s">
        <v>806</v>
      </c>
      <c r="D360" t="s">
        <v>892</v>
      </c>
      <c r="E360" t="s">
        <v>178</v>
      </c>
      <c r="F360" s="537">
        <v>0.51</v>
      </c>
      <c r="G360" s="537">
        <v>0.51</v>
      </c>
      <c r="H360" s="537">
        <v>0.51</v>
      </c>
      <c r="I360" s="537">
        <v>0.51</v>
      </c>
      <c r="J360" s="537">
        <v>0.51</v>
      </c>
      <c r="K360" s="537">
        <v>0.51</v>
      </c>
      <c r="L360" s="537">
        <v>0.51</v>
      </c>
      <c r="M360" s="537">
        <v>0.51</v>
      </c>
      <c r="N360" s="537">
        <v>0.51</v>
      </c>
      <c r="O360" s="537">
        <v>0.51</v>
      </c>
      <c r="P360" s="537">
        <v>0.51</v>
      </c>
      <c r="Q360" s="537">
        <v>0.51</v>
      </c>
      <c r="R360" s="537">
        <v>0.51</v>
      </c>
      <c r="S360" s="537">
        <v>0.51</v>
      </c>
      <c r="T360" s="537">
        <v>0.51</v>
      </c>
      <c r="U360" s="537">
        <v>0.51</v>
      </c>
      <c r="V360" s="537">
        <v>0.51</v>
      </c>
      <c r="W360" s="537">
        <v>0.51</v>
      </c>
      <c r="X360" s="537">
        <v>0.51</v>
      </c>
      <c r="Y360" s="537">
        <v>0.51</v>
      </c>
      <c r="Z360" s="537">
        <v>0.51</v>
      </c>
      <c r="AA360" s="537">
        <v>0.51</v>
      </c>
      <c r="AB360" s="537">
        <v>0.51</v>
      </c>
      <c r="AC360" s="537">
        <v>0.51</v>
      </c>
      <c r="AD360" s="537">
        <v>0.51</v>
      </c>
      <c r="AE360" s="537">
        <v>0.51</v>
      </c>
      <c r="AF360" s="537">
        <v>0.51</v>
      </c>
      <c r="AG360" s="537">
        <v>0.51</v>
      </c>
      <c r="AH360" s="526">
        <f t="shared" si="258"/>
        <v>0.51</v>
      </c>
      <c r="AI360" s="526">
        <f t="shared" si="258"/>
        <v>0.51</v>
      </c>
      <c r="AJ360" s="526">
        <f t="shared" si="258"/>
        <v>0.51</v>
      </c>
      <c r="AK360" s="526">
        <f t="shared" si="258"/>
        <v>0.51</v>
      </c>
      <c r="AL360" s="526">
        <f t="shared" si="258"/>
        <v>0.51</v>
      </c>
      <c r="AM360" s="526">
        <f t="shared" si="258"/>
        <v>0.51</v>
      </c>
      <c r="AN360" s="526">
        <f t="shared" si="258"/>
        <v>0.51</v>
      </c>
      <c r="AO360" s="526">
        <f t="shared" si="258"/>
        <v>0.51</v>
      </c>
      <c r="AP360" s="526">
        <f t="shared" si="258"/>
        <v>0.51</v>
      </c>
      <c r="AQ360" s="526">
        <f t="shared" si="258"/>
        <v>0.51</v>
      </c>
      <c r="AR360" s="526">
        <f t="shared" si="258"/>
        <v>0.51</v>
      </c>
      <c r="AS360" s="526">
        <f t="shared" si="258"/>
        <v>0.51</v>
      </c>
      <c r="AT360" s="526">
        <f t="shared" si="258"/>
        <v>0.51</v>
      </c>
      <c r="AU360" s="526">
        <f t="shared" si="258"/>
        <v>0.51</v>
      </c>
      <c r="AV360" s="526">
        <f t="shared" si="258"/>
        <v>0.51</v>
      </c>
      <c r="AW360" s="526">
        <f t="shared" si="258"/>
        <v>0.51</v>
      </c>
      <c r="AX360" s="526">
        <f t="shared" si="257"/>
        <v>0.51</v>
      </c>
      <c r="AY360" s="526">
        <f t="shared" si="257"/>
        <v>0.51</v>
      </c>
      <c r="AZ360" s="526">
        <f t="shared" si="257"/>
        <v>0.51</v>
      </c>
      <c r="BA360" s="526">
        <f t="shared" si="257"/>
        <v>0.51</v>
      </c>
      <c r="BB360" s="526">
        <f t="shared" si="257"/>
        <v>0.51</v>
      </c>
      <c r="BC360" s="526">
        <f t="shared" si="257"/>
        <v>0.51</v>
      </c>
      <c r="BD360" s="526">
        <f t="shared" si="257"/>
        <v>0.51</v>
      </c>
      <c r="BE360" s="526">
        <f t="shared" si="257"/>
        <v>0.51</v>
      </c>
      <c r="BF360" s="526">
        <f t="shared" si="257"/>
        <v>0.51</v>
      </c>
      <c r="BG360" s="526">
        <f t="shared" si="257"/>
        <v>0.51</v>
      </c>
      <c r="BH360" s="526">
        <f t="shared" si="257"/>
        <v>0.51</v>
      </c>
      <c r="BI360" s="526">
        <f t="shared" si="257"/>
        <v>0.51</v>
      </c>
      <c r="BJ360" s="526">
        <f t="shared" si="257"/>
        <v>0.51</v>
      </c>
      <c r="BK360" s="526">
        <f t="shared" si="257"/>
        <v>0.51</v>
      </c>
      <c r="BL360" s="526">
        <f t="shared" si="257"/>
        <v>0.51</v>
      </c>
      <c r="BM360" s="526">
        <f t="shared" si="257"/>
        <v>0.51</v>
      </c>
      <c r="BN360" s="526">
        <f t="shared" si="257"/>
        <v>0.51</v>
      </c>
      <c r="BO360" s="526">
        <f t="shared" si="257"/>
        <v>0.51</v>
      </c>
      <c r="BP360" s="526">
        <f t="shared" si="257"/>
        <v>0.51</v>
      </c>
      <c r="BQ360" s="526">
        <f t="shared" si="257"/>
        <v>0.51</v>
      </c>
      <c r="BR360" s="526">
        <f t="shared" si="257"/>
        <v>0.51</v>
      </c>
      <c r="BS360" s="526">
        <f t="shared" si="257"/>
        <v>0.51</v>
      </c>
      <c r="BT360" s="526">
        <f t="shared" si="257"/>
        <v>0.51</v>
      </c>
      <c r="BU360" s="526">
        <f t="shared" si="257"/>
        <v>0.51</v>
      </c>
      <c r="BV360" s="526">
        <f t="shared" si="257"/>
        <v>0.51</v>
      </c>
      <c r="BW360" s="526">
        <f t="shared" si="257"/>
        <v>0.51</v>
      </c>
      <c r="BX360" s="526">
        <f t="shared" si="257"/>
        <v>0.51</v>
      </c>
      <c r="BY360" s="526">
        <f t="shared" si="257"/>
        <v>0.51</v>
      </c>
      <c r="BZ360" s="526">
        <f t="shared" si="257"/>
        <v>0.51</v>
      </c>
      <c r="CA360" s="526">
        <f t="shared" si="257"/>
        <v>0.51</v>
      </c>
      <c r="CB360" s="526">
        <f t="shared" si="257"/>
        <v>0.51</v>
      </c>
      <c r="CC360" s="526">
        <f t="shared" si="257"/>
        <v>0.51</v>
      </c>
      <c r="CD360" s="526">
        <f t="shared" si="257"/>
        <v>0.51</v>
      </c>
      <c r="CE360" s="526">
        <f t="shared" si="257"/>
        <v>0.51</v>
      </c>
      <c r="CG360" s="537">
        <v>0.51</v>
      </c>
      <c r="CH360" s="537">
        <v>0.51</v>
      </c>
      <c r="CI360" s="537">
        <v>0.51</v>
      </c>
      <c r="CJ360" s="537">
        <v>0.51</v>
      </c>
      <c r="CK360" s="537">
        <v>0.51</v>
      </c>
      <c r="CL360" s="537">
        <v>0.51</v>
      </c>
      <c r="CM360" s="537">
        <v>0.51</v>
      </c>
      <c r="CN360" s="537">
        <v>0.51</v>
      </c>
      <c r="CO360" s="537">
        <v>0.51</v>
      </c>
      <c r="CP360" s="537">
        <v>0.51</v>
      </c>
      <c r="CQ360" s="537">
        <v>0.51</v>
      </c>
      <c r="CR360" s="537">
        <v>0.51</v>
      </c>
      <c r="CS360" s="537">
        <v>0.51</v>
      </c>
      <c r="CT360" s="537">
        <v>0.51</v>
      </c>
      <c r="CU360" s="537">
        <v>0.51</v>
      </c>
      <c r="CV360" s="537">
        <v>0.51</v>
      </c>
      <c r="CW360" s="537">
        <v>0.51</v>
      </c>
      <c r="CX360" s="537">
        <v>0.51</v>
      </c>
      <c r="CY360" s="537">
        <v>0.51</v>
      </c>
      <c r="CZ360" s="537">
        <v>0.51</v>
      </c>
      <c r="DA360" s="537">
        <v>0.51</v>
      </c>
      <c r="DB360" s="537">
        <v>0.51</v>
      </c>
      <c r="DC360" s="537">
        <v>0.51</v>
      </c>
      <c r="DD360" s="537">
        <v>0.51</v>
      </c>
      <c r="DE360" s="537">
        <v>0.51</v>
      </c>
      <c r="DF360" s="537">
        <v>0.51</v>
      </c>
      <c r="DG360" s="537">
        <v>0.51</v>
      </c>
      <c r="DH360" s="537">
        <v>0.51</v>
      </c>
    </row>
    <row r="361" spans="2:112">
      <c r="B361" t="s">
        <v>1220</v>
      </c>
      <c r="C361" t="s">
        <v>806</v>
      </c>
      <c r="D361" t="s">
        <v>894</v>
      </c>
      <c r="E361" t="s">
        <v>895</v>
      </c>
      <c r="F361" s="537">
        <v>0</v>
      </c>
      <c r="G361" s="537">
        <v>0</v>
      </c>
      <c r="H361" s="537">
        <v>0</v>
      </c>
      <c r="I361" s="537">
        <v>0</v>
      </c>
      <c r="J361" s="537">
        <v>0</v>
      </c>
      <c r="K361" s="537">
        <v>0</v>
      </c>
      <c r="L361" s="537">
        <v>0</v>
      </c>
      <c r="M361" s="537">
        <v>0</v>
      </c>
      <c r="N361" s="537">
        <v>0</v>
      </c>
      <c r="O361" s="537">
        <v>0</v>
      </c>
      <c r="P361" s="537">
        <v>0</v>
      </c>
      <c r="Q361" s="537">
        <v>0</v>
      </c>
      <c r="R361" s="537">
        <v>0</v>
      </c>
      <c r="S361" s="537">
        <v>0</v>
      </c>
      <c r="T361" s="537">
        <v>0</v>
      </c>
      <c r="U361" s="537">
        <v>0</v>
      </c>
      <c r="V361" s="537">
        <v>0</v>
      </c>
      <c r="W361" s="537">
        <v>0</v>
      </c>
      <c r="X361" s="537">
        <v>0</v>
      </c>
      <c r="Y361" s="537">
        <v>0</v>
      </c>
      <c r="Z361" s="537">
        <v>0</v>
      </c>
      <c r="AA361" s="537">
        <v>0</v>
      </c>
      <c r="AB361" s="537">
        <v>0</v>
      </c>
      <c r="AC361" s="537">
        <v>0</v>
      </c>
      <c r="AD361" s="537">
        <v>0</v>
      </c>
      <c r="AE361" s="537">
        <v>0</v>
      </c>
      <c r="AF361" s="537">
        <v>0</v>
      </c>
      <c r="AG361" s="537">
        <v>0</v>
      </c>
      <c r="AH361" s="538">
        <f t="shared" si="258"/>
        <v>0</v>
      </c>
      <c r="AI361" s="538">
        <f t="shared" si="258"/>
        <v>0</v>
      </c>
      <c r="AJ361" s="538">
        <f t="shared" si="258"/>
        <v>0</v>
      </c>
      <c r="AK361" s="538">
        <f t="shared" si="258"/>
        <v>0</v>
      </c>
      <c r="AL361" s="538">
        <f t="shared" si="258"/>
        <v>0</v>
      </c>
      <c r="AM361" s="538">
        <f t="shared" si="258"/>
        <v>0</v>
      </c>
      <c r="AN361" s="538">
        <f t="shared" si="258"/>
        <v>0</v>
      </c>
      <c r="AO361" s="538">
        <f t="shared" si="258"/>
        <v>0</v>
      </c>
      <c r="AP361" s="538">
        <f t="shared" si="258"/>
        <v>0</v>
      </c>
      <c r="AQ361" s="538">
        <f t="shared" si="258"/>
        <v>0</v>
      </c>
      <c r="AR361" s="538">
        <f t="shared" si="258"/>
        <v>0</v>
      </c>
      <c r="AS361" s="538">
        <f t="shared" si="258"/>
        <v>0</v>
      </c>
      <c r="AT361" s="538">
        <f t="shared" si="258"/>
        <v>0</v>
      </c>
      <c r="AU361" s="538">
        <f t="shared" si="258"/>
        <v>0</v>
      </c>
      <c r="AV361" s="538">
        <f t="shared" si="258"/>
        <v>0</v>
      </c>
      <c r="AW361" s="538">
        <f t="shared" si="258"/>
        <v>0</v>
      </c>
      <c r="AX361" s="538">
        <f t="shared" si="257"/>
        <v>0</v>
      </c>
      <c r="AY361" s="538">
        <f t="shared" si="257"/>
        <v>0</v>
      </c>
      <c r="AZ361" s="538">
        <f t="shared" si="257"/>
        <v>0</v>
      </c>
      <c r="BA361" s="538">
        <f t="shared" si="257"/>
        <v>0</v>
      </c>
      <c r="BB361" s="538">
        <f t="shared" si="257"/>
        <v>0</v>
      </c>
      <c r="BC361" s="538">
        <f t="shared" si="257"/>
        <v>0</v>
      </c>
      <c r="BD361" s="538">
        <f t="shared" si="257"/>
        <v>0</v>
      </c>
      <c r="BE361" s="538">
        <f t="shared" si="257"/>
        <v>0</v>
      </c>
      <c r="BF361" s="538">
        <f t="shared" si="257"/>
        <v>0</v>
      </c>
      <c r="BG361" s="538">
        <f t="shared" si="257"/>
        <v>0</v>
      </c>
      <c r="BH361" s="538">
        <f t="shared" si="257"/>
        <v>0</v>
      </c>
      <c r="BI361" s="538">
        <f t="shared" si="257"/>
        <v>0</v>
      </c>
      <c r="BJ361" s="538">
        <f t="shared" si="257"/>
        <v>0</v>
      </c>
      <c r="BK361" s="538">
        <f t="shared" si="257"/>
        <v>0</v>
      </c>
      <c r="BL361" s="538">
        <f t="shared" si="257"/>
        <v>0</v>
      </c>
      <c r="BM361" s="538">
        <f t="shared" si="257"/>
        <v>0</v>
      </c>
      <c r="BN361" s="538">
        <f t="shared" si="257"/>
        <v>0</v>
      </c>
      <c r="BO361" s="538">
        <f t="shared" si="257"/>
        <v>0</v>
      </c>
      <c r="BP361" s="538">
        <f t="shared" si="257"/>
        <v>0</v>
      </c>
      <c r="BQ361" s="538">
        <f t="shared" si="257"/>
        <v>0</v>
      </c>
      <c r="BR361" s="538">
        <f t="shared" si="257"/>
        <v>0</v>
      </c>
      <c r="BS361" s="538">
        <f t="shared" si="257"/>
        <v>0</v>
      </c>
      <c r="BT361" s="538">
        <f t="shared" si="257"/>
        <v>0</v>
      </c>
      <c r="BU361" s="538">
        <f t="shared" si="257"/>
        <v>0</v>
      </c>
      <c r="BV361" s="538">
        <f t="shared" si="257"/>
        <v>0</v>
      </c>
      <c r="BW361" s="538">
        <f t="shared" si="257"/>
        <v>0</v>
      </c>
      <c r="BX361" s="538">
        <f t="shared" si="257"/>
        <v>0</v>
      </c>
      <c r="BY361" s="538">
        <f t="shared" si="257"/>
        <v>0</v>
      </c>
      <c r="BZ361" s="538">
        <f t="shared" si="257"/>
        <v>0</v>
      </c>
      <c r="CA361" s="538">
        <f t="shared" si="257"/>
        <v>0</v>
      </c>
      <c r="CB361" s="538">
        <f t="shared" si="257"/>
        <v>0</v>
      </c>
      <c r="CC361" s="538">
        <f t="shared" si="257"/>
        <v>0</v>
      </c>
      <c r="CD361" s="538">
        <f t="shared" si="257"/>
        <v>0</v>
      </c>
      <c r="CE361" s="538">
        <f t="shared" si="257"/>
        <v>0</v>
      </c>
      <c r="CG361" s="537">
        <v>0</v>
      </c>
      <c r="CH361" s="537">
        <v>0</v>
      </c>
      <c r="CI361" s="537">
        <v>0</v>
      </c>
      <c r="CJ361" s="537">
        <v>0</v>
      </c>
      <c r="CK361" s="537">
        <v>0</v>
      </c>
      <c r="CL361" s="537">
        <v>0</v>
      </c>
      <c r="CM361" s="537">
        <v>0</v>
      </c>
      <c r="CN361" s="537">
        <v>0</v>
      </c>
      <c r="CO361" s="537">
        <v>0</v>
      </c>
      <c r="CP361" s="537">
        <v>0</v>
      </c>
      <c r="CQ361" s="537">
        <v>0</v>
      </c>
      <c r="CR361" s="537">
        <v>0</v>
      </c>
      <c r="CS361" s="537">
        <v>0</v>
      </c>
      <c r="CT361" s="537">
        <v>0</v>
      </c>
      <c r="CU361" s="537">
        <v>0</v>
      </c>
      <c r="CV361" s="537">
        <v>0</v>
      </c>
      <c r="CW361" s="537">
        <v>0</v>
      </c>
      <c r="CX361" s="537">
        <v>0</v>
      </c>
      <c r="CY361" s="537">
        <v>0</v>
      </c>
      <c r="CZ361" s="537">
        <v>0</v>
      </c>
      <c r="DA361" s="537">
        <v>0</v>
      </c>
      <c r="DB361" s="537">
        <v>0</v>
      </c>
      <c r="DC361" s="537">
        <v>0</v>
      </c>
      <c r="DD361" s="537">
        <v>0</v>
      </c>
      <c r="DE361" s="537">
        <v>0</v>
      </c>
      <c r="DF361" s="537">
        <v>0</v>
      </c>
      <c r="DG361" s="537">
        <v>0</v>
      </c>
      <c r="DH361" s="537">
        <v>0</v>
      </c>
    </row>
    <row r="362" spans="2:112">
      <c r="B362" t="s">
        <v>1221</v>
      </c>
      <c r="C362" t="s">
        <v>806</v>
      </c>
      <c r="D362" t="s">
        <v>897</v>
      </c>
      <c r="E362" t="s">
        <v>895</v>
      </c>
      <c r="F362" s="537">
        <v>0.01</v>
      </c>
      <c r="G362" s="537">
        <v>0.01</v>
      </c>
      <c r="H362" s="537">
        <v>0.01</v>
      </c>
      <c r="I362" s="537">
        <v>0.01</v>
      </c>
      <c r="J362" s="537">
        <v>0.01</v>
      </c>
      <c r="K362" s="537">
        <v>0.01</v>
      </c>
      <c r="L362" s="537">
        <v>0.01</v>
      </c>
      <c r="M362" s="537">
        <v>0.01</v>
      </c>
      <c r="N362" s="537">
        <v>0.01</v>
      </c>
      <c r="O362" s="537">
        <v>0.01</v>
      </c>
      <c r="P362" s="537">
        <v>0.01</v>
      </c>
      <c r="Q362" s="537">
        <v>0.01</v>
      </c>
      <c r="R362" s="537">
        <v>0.01</v>
      </c>
      <c r="S362" s="537">
        <v>0.01</v>
      </c>
      <c r="T362" s="537">
        <v>0.01</v>
      </c>
      <c r="U362" s="537">
        <v>0.01</v>
      </c>
      <c r="V362" s="537">
        <v>0.01</v>
      </c>
      <c r="W362" s="537">
        <v>0.01</v>
      </c>
      <c r="X362" s="537">
        <v>0.01</v>
      </c>
      <c r="Y362" s="537">
        <v>0.01</v>
      </c>
      <c r="Z362" s="537">
        <v>0.01</v>
      </c>
      <c r="AA362" s="537">
        <v>0.01</v>
      </c>
      <c r="AB362" s="537">
        <v>0.01</v>
      </c>
      <c r="AC362" s="537">
        <v>0.01</v>
      </c>
      <c r="AD362" s="537">
        <v>0.01</v>
      </c>
      <c r="AE362" s="537">
        <v>0.01</v>
      </c>
      <c r="AF362" s="537">
        <v>0.01</v>
      </c>
      <c r="AG362" s="537">
        <v>0.01</v>
      </c>
      <c r="AH362" s="538">
        <f t="shared" si="258"/>
        <v>0.01</v>
      </c>
      <c r="AI362" s="538">
        <f t="shared" si="258"/>
        <v>0.01</v>
      </c>
      <c r="AJ362" s="538">
        <f t="shared" si="258"/>
        <v>0.01</v>
      </c>
      <c r="AK362" s="538">
        <f t="shared" si="258"/>
        <v>0.01</v>
      </c>
      <c r="AL362" s="538">
        <f t="shared" si="258"/>
        <v>0.01</v>
      </c>
      <c r="AM362" s="538">
        <f t="shared" si="258"/>
        <v>0.01</v>
      </c>
      <c r="AN362" s="538">
        <f t="shared" si="258"/>
        <v>0.01</v>
      </c>
      <c r="AO362" s="538">
        <f t="shared" si="258"/>
        <v>0.01</v>
      </c>
      <c r="AP362" s="538">
        <f t="shared" si="258"/>
        <v>0.01</v>
      </c>
      <c r="AQ362" s="538">
        <f t="shared" si="258"/>
        <v>0.01</v>
      </c>
      <c r="AR362" s="538">
        <f t="shared" si="258"/>
        <v>0.01</v>
      </c>
      <c r="AS362" s="538">
        <f t="shared" si="258"/>
        <v>0.01</v>
      </c>
      <c r="AT362" s="538">
        <f t="shared" si="258"/>
        <v>0.01</v>
      </c>
      <c r="AU362" s="538">
        <f t="shared" si="258"/>
        <v>0.01</v>
      </c>
      <c r="AV362" s="538">
        <f t="shared" si="258"/>
        <v>0.01</v>
      </c>
      <c r="AW362" s="538">
        <f t="shared" si="258"/>
        <v>0.01</v>
      </c>
      <c r="AX362" s="538">
        <f t="shared" si="257"/>
        <v>0.01</v>
      </c>
      <c r="AY362" s="538">
        <f t="shared" si="257"/>
        <v>0.01</v>
      </c>
      <c r="AZ362" s="538">
        <f t="shared" si="257"/>
        <v>0.01</v>
      </c>
      <c r="BA362" s="538">
        <f t="shared" si="257"/>
        <v>0.01</v>
      </c>
      <c r="BB362" s="538">
        <f t="shared" si="257"/>
        <v>0.01</v>
      </c>
      <c r="BC362" s="538">
        <f t="shared" si="257"/>
        <v>0.01</v>
      </c>
      <c r="BD362" s="538">
        <f t="shared" si="257"/>
        <v>0.01</v>
      </c>
      <c r="BE362" s="538">
        <f t="shared" si="257"/>
        <v>0.01</v>
      </c>
      <c r="BF362" s="538">
        <f t="shared" si="257"/>
        <v>0.01</v>
      </c>
      <c r="BG362" s="538">
        <f t="shared" si="257"/>
        <v>0.01</v>
      </c>
      <c r="BH362" s="538">
        <f t="shared" si="257"/>
        <v>0.01</v>
      </c>
      <c r="BI362" s="538">
        <f t="shared" si="257"/>
        <v>0.01</v>
      </c>
      <c r="BJ362" s="538">
        <f t="shared" si="257"/>
        <v>0.01</v>
      </c>
      <c r="BK362" s="538">
        <f t="shared" si="257"/>
        <v>0.01</v>
      </c>
      <c r="BL362" s="538">
        <f t="shared" si="257"/>
        <v>0.01</v>
      </c>
      <c r="BM362" s="538">
        <f t="shared" si="257"/>
        <v>0.01</v>
      </c>
      <c r="BN362" s="538">
        <f t="shared" ref="BN362:CC364" si="259">BM362</f>
        <v>0.01</v>
      </c>
      <c r="BO362" s="538">
        <f t="shared" si="259"/>
        <v>0.01</v>
      </c>
      <c r="BP362" s="538">
        <f t="shared" si="259"/>
        <v>0.01</v>
      </c>
      <c r="BQ362" s="538">
        <f t="shared" si="259"/>
        <v>0.01</v>
      </c>
      <c r="BR362" s="538">
        <f t="shared" si="259"/>
        <v>0.01</v>
      </c>
      <c r="BS362" s="538">
        <f t="shared" si="259"/>
        <v>0.01</v>
      </c>
      <c r="BT362" s="538">
        <f t="shared" si="259"/>
        <v>0.01</v>
      </c>
      <c r="BU362" s="538">
        <f t="shared" si="259"/>
        <v>0.01</v>
      </c>
      <c r="BV362" s="538">
        <f t="shared" si="259"/>
        <v>0.01</v>
      </c>
      <c r="BW362" s="538">
        <f t="shared" si="259"/>
        <v>0.01</v>
      </c>
      <c r="BX362" s="538">
        <f t="shared" si="259"/>
        <v>0.01</v>
      </c>
      <c r="BY362" s="538">
        <f t="shared" si="259"/>
        <v>0.01</v>
      </c>
      <c r="BZ362" s="538">
        <f t="shared" si="259"/>
        <v>0.01</v>
      </c>
      <c r="CA362" s="538">
        <f t="shared" si="259"/>
        <v>0.01</v>
      </c>
      <c r="CB362" s="538">
        <f t="shared" si="259"/>
        <v>0.01</v>
      </c>
      <c r="CC362" s="538">
        <f t="shared" si="259"/>
        <v>0.01</v>
      </c>
      <c r="CD362" s="538">
        <f t="shared" ref="CD362:CE364" si="260">CC362</f>
        <v>0.01</v>
      </c>
      <c r="CE362" s="538">
        <f t="shared" si="260"/>
        <v>0.01</v>
      </c>
      <c r="CG362" s="537">
        <v>0.01</v>
      </c>
      <c r="CH362" s="537">
        <v>0.01</v>
      </c>
      <c r="CI362" s="537">
        <v>0.01</v>
      </c>
      <c r="CJ362" s="537">
        <v>0.01</v>
      </c>
      <c r="CK362" s="537">
        <v>0.01</v>
      </c>
      <c r="CL362" s="537">
        <v>0.01</v>
      </c>
      <c r="CM362" s="537">
        <v>0.01</v>
      </c>
      <c r="CN362" s="537">
        <v>0.01</v>
      </c>
      <c r="CO362" s="537">
        <v>0.01</v>
      </c>
      <c r="CP362" s="537">
        <v>0.01</v>
      </c>
      <c r="CQ362" s="537">
        <v>0.01</v>
      </c>
      <c r="CR362" s="537">
        <v>0.01</v>
      </c>
      <c r="CS362" s="537">
        <v>0.01</v>
      </c>
      <c r="CT362" s="537">
        <v>0.01</v>
      </c>
      <c r="CU362" s="537">
        <v>0.01</v>
      </c>
      <c r="CV362" s="537">
        <v>0.01</v>
      </c>
      <c r="CW362" s="537">
        <v>0.01</v>
      </c>
      <c r="CX362" s="537">
        <v>0.01</v>
      </c>
      <c r="CY362" s="537">
        <v>0.01</v>
      </c>
      <c r="CZ362" s="537">
        <v>0.01</v>
      </c>
      <c r="DA362" s="537">
        <v>0.01</v>
      </c>
      <c r="DB362" s="537">
        <v>0.01</v>
      </c>
      <c r="DC362" s="537">
        <v>0.01</v>
      </c>
      <c r="DD362" s="537">
        <v>0.01</v>
      </c>
      <c r="DE362" s="537">
        <v>0.01</v>
      </c>
      <c r="DF362" s="537">
        <v>0.01</v>
      </c>
      <c r="DG362" s="537">
        <v>0.01</v>
      </c>
      <c r="DH362" s="537">
        <v>0.01</v>
      </c>
    </row>
    <row r="363" spans="2:112">
      <c r="B363" t="s">
        <v>1222</v>
      </c>
      <c r="C363" t="s">
        <v>806</v>
      </c>
      <c r="D363" t="s">
        <v>899</v>
      </c>
      <c r="E363" t="s">
        <v>895</v>
      </c>
      <c r="F363" s="537">
        <v>0.05</v>
      </c>
      <c r="G363" s="537">
        <v>0.05</v>
      </c>
      <c r="H363" s="537">
        <v>0.05</v>
      </c>
      <c r="I363" s="537">
        <v>0.05</v>
      </c>
      <c r="J363" s="537">
        <v>0.05</v>
      </c>
      <c r="K363" s="537">
        <v>0.05</v>
      </c>
      <c r="L363" s="537">
        <v>0.05</v>
      </c>
      <c r="M363" s="537">
        <v>0.05</v>
      </c>
      <c r="N363" s="537">
        <v>0.05</v>
      </c>
      <c r="O363" s="537">
        <v>0.05</v>
      </c>
      <c r="P363" s="537">
        <v>0.05</v>
      </c>
      <c r="Q363" s="537">
        <v>0.05</v>
      </c>
      <c r="R363" s="537">
        <v>0.05</v>
      </c>
      <c r="S363" s="537">
        <v>0.05</v>
      </c>
      <c r="T363" s="537">
        <v>0.05</v>
      </c>
      <c r="U363" s="537">
        <v>0.05</v>
      </c>
      <c r="V363" s="537">
        <v>0.05</v>
      </c>
      <c r="W363" s="537">
        <v>0.05</v>
      </c>
      <c r="X363" s="537">
        <v>0.05</v>
      </c>
      <c r="Y363" s="537">
        <v>0.05</v>
      </c>
      <c r="Z363" s="537">
        <v>0.05</v>
      </c>
      <c r="AA363" s="537">
        <v>0.05</v>
      </c>
      <c r="AB363" s="537">
        <v>0.05</v>
      </c>
      <c r="AC363" s="537">
        <v>0.05</v>
      </c>
      <c r="AD363" s="537">
        <v>0.05</v>
      </c>
      <c r="AE363" s="537">
        <v>0.05</v>
      </c>
      <c r="AF363" s="537">
        <v>0.05</v>
      </c>
      <c r="AG363" s="537">
        <v>0.05</v>
      </c>
      <c r="AH363" s="538">
        <f t="shared" si="258"/>
        <v>0.05</v>
      </c>
      <c r="AI363" s="538">
        <f t="shared" si="258"/>
        <v>0.05</v>
      </c>
      <c r="AJ363" s="538">
        <f t="shared" si="258"/>
        <v>0.05</v>
      </c>
      <c r="AK363" s="538">
        <f t="shared" si="258"/>
        <v>0.05</v>
      </c>
      <c r="AL363" s="538">
        <f t="shared" si="258"/>
        <v>0.05</v>
      </c>
      <c r="AM363" s="538">
        <f t="shared" si="258"/>
        <v>0.05</v>
      </c>
      <c r="AN363" s="538">
        <f t="shared" si="258"/>
        <v>0.05</v>
      </c>
      <c r="AO363" s="538">
        <f t="shared" si="258"/>
        <v>0.05</v>
      </c>
      <c r="AP363" s="538">
        <f t="shared" si="258"/>
        <v>0.05</v>
      </c>
      <c r="AQ363" s="538">
        <f t="shared" si="258"/>
        <v>0.05</v>
      </c>
      <c r="AR363" s="538">
        <f t="shared" si="258"/>
        <v>0.05</v>
      </c>
      <c r="AS363" s="538">
        <f t="shared" si="258"/>
        <v>0.05</v>
      </c>
      <c r="AT363" s="538">
        <f t="shared" si="258"/>
        <v>0.05</v>
      </c>
      <c r="AU363" s="538">
        <f t="shared" si="258"/>
        <v>0.05</v>
      </c>
      <c r="AV363" s="538">
        <f t="shared" si="258"/>
        <v>0.05</v>
      </c>
      <c r="AW363" s="538">
        <f t="shared" si="258"/>
        <v>0.05</v>
      </c>
      <c r="AX363" s="538">
        <f t="shared" ref="AX363:BM364" si="261">AW363</f>
        <v>0.05</v>
      </c>
      <c r="AY363" s="538">
        <f t="shared" si="261"/>
        <v>0.05</v>
      </c>
      <c r="AZ363" s="538">
        <f t="shared" si="261"/>
        <v>0.05</v>
      </c>
      <c r="BA363" s="538">
        <f t="shared" si="261"/>
        <v>0.05</v>
      </c>
      <c r="BB363" s="538">
        <f t="shared" si="261"/>
        <v>0.05</v>
      </c>
      <c r="BC363" s="538">
        <f t="shared" si="261"/>
        <v>0.05</v>
      </c>
      <c r="BD363" s="538">
        <f t="shared" si="261"/>
        <v>0.05</v>
      </c>
      <c r="BE363" s="538">
        <f t="shared" si="261"/>
        <v>0.05</v>
      </c>
      <c r="BF363" s="538">
        <f t="shared" si="261"/>
        <v>0.05</v>
      </c>
      <c r="BG363" s="538">
        <f t="shared" si="261"/>
        <v>0.05</v>
      </c>
      <c r="BH363" s="538">
        <f t="shared" si="261"/>
        <v>0.05</v>
      </c>
      <c r="BI363" s="538">
        <f t="shared" si="261"/>
        <v>0.05</v>
      </c>
      <c r="BJ363" s="538">
        <f t="shared" si="261"/>
        <v>0.05</v>
      </c>
      <c r="BK363" s="538">
        <f t="shared" si="261"/>
        <v>0.05</v>
      </c>
      <c r="BL363" s="538">
        <f t="shared" si="261"/>
        <v>0.05</v>
      </c>
      <c r="BM363" s="538">
        <f t="shared" si="261"/>
        <v>0.05</v>
      </c>
      <c r="BN363" s="538">
        <f t="shared" si="259"/>
        <v>0.05</v>
      </c>
      <c r="BO363" s="538">
        <f t="shared" si="259"/>
        <v>0.05</v>
      </c>
      <c r="BP363" s="538">
        <f t="shared" si="259"/>
        <v>0.05</v>
      </c>
      <c r="BQ363" s="538">
        <f t="shared" si="259"/>
        <v>0.05</v>
      </c>
      <c r="BR363" s="538">
        <f t="shared" si="259"/>
        <v>0.05</v>
      </c>
      <c r="BS363" s="538">
        <f t="shared" si="259"/>
        <v>0.05</v>
      </c>
      <c r="BT363" s="538">
        <f t="shared" si="259"/>
        <v>0.05</v>
      </c>
      <c r="BU363" s="538">
        <f t="shared" si="259"/>
        <v>0.05</v>
      </c>
      <c r="BV363" s="538">
        <f t="shared" si="259"/>
        <v>0.05</v>
      </c>
      <c r="BW363" s="538">
        <f t="shared" si="259"/>
        <v>0.05</v>
      </c>
      <c r="BX363" s="538">
        <f t="shared" si="259"/>
        <v>0.05</v>
      </c>
      <c r="BY363" s="538">
        <f t="shared" si="259"/>
        <v>0.05</v>
      </c>
      <c r="BZ363" s="538">
        <f t="shared" si="259"/>
        <v>0.05</v>
      </c>
      <c r="CA363" s="538">
        <f t="shared" si="259"/>
        <v>0.05</v>
      </c>
      <c r="CB363" s="538">
        <f t="shared" si="259"/>
        <v>0.05</v>
      </c>
      <c r="CC363" s="538">
        <f t="shared" si="259"/>
        <v>0.05</v>
      </c>
      <c r="CD363" s="538">
        <f t="shared" si="260"/>
        <v>0.05</v>
      </c>
      <c r="CE363" s="538">
        <f t="shared" si="260"/>
        <v>0.05</v>
      </c>
      <c r="CG363" s="537">
        <v>0.05</v>
      </c>
      <c r="CH363" s="537">
        <v>0.05</v>
      </c>
      <c r="CI363" s="537">
        <v>0.05</v>
      </c>
      <c r="CJ363" s="537">
        <v>0.05</v>
      </c>
      <c r="CK363" s="537">
        <v>0.05</v>
      </c>
      <c r="CL363" s="537">
        <v>0.05</v>
      </c>
      <c r="CM363" s="537">
        <v>0.05</v>
      </c>
      <c r="CN363" s="537">
        <v>0.05</v>
      </c>
      <c r="CO363" s="537">
        <v>0.05</v>
      </c>
      <c r="CP363" s="537">
        <v>0.05</v>
      </c>
      <c r="CQ363" s="537">
        <v>0.05</v>
      </c>
      <c r="CR363" s="537">
        <v>0.05</v>
      </c>
      <c r="CS363" s="537">
        <v>0.05</v>
      </c>
      <c r="CT363" s="537">
        <v>0.05</v>
      </c>
      <c r="CU363" s="537">
        <v>0.05</v>
      </c>
      <c r="CV363" s="537">
        <v>0.05</v>
      </c>
      <c r="CW363" s="537">
        <v>0.05</v>
      </c>
      <c r="CX363" s="537">
        <v>0.05</v>
      </c>
      <c r="CY363" s="537">
        <v>0.05</v>
      </c>
      <c r="CZ363" s="537">
        <v>0.05</v>
      </c>
      <c r="DA363" s="537">
        <v>0.05</v>
      </c>
      <c r="DB363" s="537">
        <v>0.05</v>
      </c>
      <c r="DC363" s="537">
        <v>0.05</v>
      </c>
      <c r="DD363" s="537">
        <v>0.05</v>
      </c>
      <c r="DE363" s="537">
        <v>0.05</v>
      </c>
      <c r="DF363" s="537">
        <v>0.05</v>
      </c>
      <c r="DG363" s="537">
        <v>0.05</v>
      </c>
      <c r="DH363" s="537">
        <v>0.05</v>
      </c>
    </row>
    <row r="364" spans="2:112">
      <c r="B364" t="s">
        <v>1223</v>
      </c>
      <c r="C364" t="s">
        <v>806</v>
      </c>
      <c r="D364" t="s">
        <v>901</v>
      </c>
      <c r="E364" t="s">
        <v>895</v>
      </c>
      <c r="F364" s="537">
        <v>0.05</v>
      </c>
      <c r="G364" s="537">
        <v>0.05</v>
      </c>
      <c r="H364" s="537">
        <v>0.05</v>
      </c>
      <c r="I364" s="537">
        <v>0.05</v>
      </c>
      <c r="J364" s="537">
        <v>0.05</v>
      </c>
      <c r="K364" s="537">
        <v>0.05</v>
      </c>
      <c r="L364" s="537">
        <v>0.05</v>
      </c>
      <c r="M364" s="537">
        <v>0.05</v>
      </c>
      <c r="N364" s="537">
        <v>0.05</v>
      </c>
      <c r="O364" s="537">
        <v>0.05</v>
      </c>
      <c r="P364" s="537">
        <v>0.05</v>
      </c>
      <c r="Q364" s="537">
        <v>0.05</v>
      </c>
      <c r="R364" s="537">
        <v>0.05</v>
      </c>
      <c r="S364" s="537">
        <v>0.05</v>
      </c>
      <c r="T364" s="537">
        <v>0.05</v>
      </c>
      <c r="U364" s="537">
        <v>0.05</v>
      </c>
      <c r="V364" s="537">
        <v>0.05</v>
      </c>
      <c r="W364" s="537">
        <v>0.05</v>
      </c>
      <c r="X364" s="537">
        <v>0.05</v>
      </c>
      <c r="Y364" s="537">
        <v>0.05</v>
      </c>
      <c r="Z364" s="537">
        <v>0.05</v>
      </c>
      <c r="AA364" s="537">
        <v>0.05</v>
      </c>
      <c r="AB364" s="537">
        <v>0.05</v>
      </c>
      <c r="AC364" s="537">
        <v>0.05</v>
      </c>
      <c r="AD364" s="537">
        <v>0.05</v>
      </c>
      <c r="AE364" s="537">
        <v>0.05</v>
      </c>
      <c r="AF364" s="537">
        <v>0.05</v>
      </c>
      <c r="AG364" s="537">
        <v>0.05</v>
      </c>
      <c r="AH364" s="538">
        <f t="shared" si="258"/>
        <v>0.05</v>
      </c>
      <c r="AI364" s="538">
        <f t="shared" si="258"/>
        <v>0.05</v>
      </c>
      <c r="AJ364" s="538">
        <f t="shared" si="258"/>
        <v>0.05</v>
      </c>
      <c r="AK364" s="538">
        <f t="shared" si="258"/>
        <v>0.05</v>
      </c>
      <c r="AL364" s="538">
        <f t="shared" si="258"/>
        <v>0.05</v>
      </c>
      <c r="AM364" s="538">
        <f t="shared" si="258"/>
        <v>0.05</v>
      </c>
      <c r="AN364" s="538">
        <f t="shared" si="258"/>
        <v>0.05</v>
      </c>
      <c r="AO364" s="538">
        <f t="shared" si="258"/>
        <v>0.05</v>
      </c>
      <c r="AP364" s="538">
        <f t="shared" si="258"/>
        <v>0.05</v>
      </c>
      <c r="AQ364" s="538">
        <f t="shared" si="258"/>
        <v>0.05</v>
      </c>
      <c r="AR364" s="538">
        <f t="shared" si="258"/>
        <v>0.05</v>
      </c>
      <c r="AS364" s="538">
        <f t="shared" si="258"/>
        <v>0.05</v>
      </c>
      <c r="AT364" s="538">
        <f t="shared" si="258"/>
        <v>0.05</v>
      </c>
      <c r="AU364" s="538">
        <f t="shared" si="258"/>
        <v>0.05</v>
      </c>
      <c r="AV364" s="538">
        <f t="shared" si="258"/>
        <v>0.05</v>
      </c>
      <c r="AW364" s="538">
        <f t="shared" si="258"/>
        <v>0.05</v>
      </c>
      <c r="AX364" s="538">
        <f t="shared" si="261"/>
        <v>0.05</v>
      </c>
      <c r="AY364" s="538">
        <f t="shared" si="261"/>
        <v>0.05</v>
      </c>
      <c r="AZ364" s="538">
        <f t="shared" si="261"/>
        <v>0.05</v>
      </c>
      <c r="BA364" s="538">
        <f t="shared" si="261"/>
        <v>0.05</v>
      </c>
      <c r="BB364" s="538">
        <f t="shared" si="261"/>
        <v>0.05</v>
      </c>
      <c r="BC364" s="538">
        <f t="shared" si="261"/>
        <v>0.05</v>
      </c>
      <c r="BD364" s="538">
        <f t="shared" si="261"/>
        <v>0.05</v>
      </c>
      <c r="BE364" s="538">
        <f t="shared" si="261"/>
        <v>0.05</v>
      </c>
      <c r="BF364" s="538">
        <f t="shared" si="261"/>
        <v>0.05</v>
      </c>
      <c r="BG364" s="538">
        <f t="shared" si="261"/>
        <v>0.05</v>
      </c>
      <c r="BH364" s="538">
        <f t="shared" si="261"/>
        <v>0.05</v>
      </c>
      <c r="BI364" s="538">
        <f t="shared" si="261"/>
        <v>0.05</v>
      </c>
      <c r="BJ364" s="538">
        <f t="shared" si="261"/>
        <v>0.05</v>
      </c>
      <c r="BK364" s="538">
        <f t="shared" si="261"/>
        <v>0.05</v>
      </c>
      <c r="BL364" s="538">
        <f t="shared" si="261"/>
        <v>0.05</v>
      </c>
      <c r="BM364" s="538">
        <f t="shared" si="261"/>
        <v>0.05</v>
      </c>
      <c r="BN364" s="538">
        <f t="shared" si="259"/>
        <v>0.05</v>
      </c>
      <c r="BO364" s="538">
        <f t="shared" si="259"/>
        <v>0.05</v>
      </c>
      <c r="BP364" s="538">
        <f t="shared" si="259"/>
        <v>0.05</v>
      </c>
      <c r="BQ364" s="538">
        <f t="shared" si="259"/>
        <v>0.05</v>
      </c>
      <c r="BR364" s="538">
        <f t="shared" si="259"/>
        <v>0.05</v>
      </c>
      <c r="BS364" s="538">
        <f t="shared" si="259"/>
        <v>0.05</v>
      </c>
      <c r="BT364" s="538">
        <f t="shared" si="259"/>
        <v>0.05</v>
      </c>
      <c r="BU364" s="538">
        <f t="shared" si="259"/>
        <v>0.05</v>
      </c>
      <c r="BV364" s="538">
        <f t="shared" si="259"/>
        <v>0.05</v>
      </c>
      <c r="BW364" s="538">
        <f t="shared" si="259"/>
        <v>0.05</v>
      </c>
      <c r="BX364" s="538">
        <f t="shared" si="259"/>
        <v>0.05</v>
      </c>
      <c r="BY364" s="538">
        <f t="shared" si="259"/>
        <v>0.05</v>
      </c>
      <c r="BZ364" s="538">
        <f t="shared" si="259"/>
        <v>0.05</v>
      </c>
      <c r="CA364" s="538">
        <f t="shared" si="259"/>
        <v>0.05</v>
      </c>
      <c r="CB364" s="538">
        <f t="shared" si="259"/>
        <v>0.05</v>
      </c>
      <c r="CC364" s="538">
        <f t="shared" si="259"/>
        <v>0.05</v>
      </c>
      <c r="CD364" s="538">
        <f t="shared" si="260"/>
        <v>0.05</v>
      </c>
      <c r="CE364" s="538">
        <f t="shared" si="260"/>
        <v>0.05</v>
      </c>
      <c r="CG364" s="537">
        <v>0.05</v>
      </c>
      <c r="CH364" s="537">
        <v>0.05</v>
      </c>
      <c r="CI364" s="537">
        <v>0.05</v>
      </c>
      <c r="CJ364" s="537">
        <v>0.05</v>
      </c>
      <c r="CK364" s="537">
        <v>0.05</v>
      </c>
      <c r="CL364" s="537">
        <v>0.05</v>
      </c>
      <c r="CM364" s="537">
        <v>0.05</v>
      </c>
      <c r="CN364" s="537">
        <v>0.05</v>
      </c>
      <c r="CO364" s="537">
        <v>0.05</v>
      </c>
      <c r="CP364" s="537">
        <v>0.05</v>
      </c>
      <c r="CQ364" s="537">
        <v>0.05</v>
      </c>
      <c r="CR364" s="537">
        <v>0.05</v>
      </c>
      <c r="CS364" s="537">
        <v>0.05</v>
      </c>
      <c r="CT364" s="537">
        <v>0.05</v>
      </c>
      <c r="CU364" s="537">
        <v>0.05</v>
      </c>
      <c r="CV364" s="537">
        <v>0.05</v>
      </c>
      <c r="CW364" s="537">
        <v>0.05</v>
      </c>
      <c r="CX364" s="537">
        <v>0.05</v>
      </c>
      <c r="CY364" s="537">
        <v>0.05</v>
      </c>
      <c r="CZ364" s="537">
        <v>0.05</v>
      </c>
      <c r="DA364" s="537">
        <v>0.05</v>
      </c>
      <c r="DB364" s="537">
        <v>0.05</v>
      </c>
      <c r="DC364" s="537">
        <v>0.05</v>
      </c>
      <c r="DD364" s="537">
        <v>0.05</v>
      </c>
      <c r="DE364" s="537">
        <v>0.05</v>
      </c>
      <c r="DF364" s="537">
        <v>0.05</v>
      </c>
      <c r="DG364" s="537">
        <v>0.05</v>
      </c>
      <c r="DH364" s="537">
        <v>0.05</v>
      </c>
    </row>
    <row r="365" spans="2:112">
      <c r="F365" s="539"/>
      <c r="G365" s="539"/>
      <c r="H365" s="539"/>
      <c r="I365" s="539"/>
      <c r="J365" s="539"/>
      <c r="K365" s="539"/>
      <c r="L365" s="539"/>
      <c r="M365" s="539"/>
      <c r="N365" s="539"/>
      <c r="O365" s="539"/>
      <c r="P365" s="539"/>
      <c r="Q365" s="539"/>
      <c r="R365" s="539"/>
      <c r="S365" s="539"/>
      <c r="T365" s="539"/>
      <c r="U365" s="539"/>
      <c r="V365" s="539"/>
      <c r="W365" s="539"/>
      <c r="X365" s="539"/>
      <c r="Y365" s="539"/>
      <c r="Z365" s="539"/>
      <c r="AA365" s="539"/>
      <c r="AB365" s="539"/>
      <c r="AC365" s="539"/>
      <c r="AD365" s="539"/>
      <c r="AE365" s="539"/>
      <c r="AF365" s="539"/>
      <c r="AG365" s="539"/>
      <c r="AH365" s="539"/>
      <c r="AI365" s="539"/>
      <c r="AJ365" s="539"/>
      <c r="AK365" s="539"/>
      <c r="AL365" s="539"/>
      <c r="AM365" s="539"/>
      <c r="AN365" s="539"/>
      <c r="AO365" s="539"/>
      <c r="AP365" s="539"/>
      <c r="AQ365" s="539"/>
      <c r="AR365" s="539"/>
      <c r="AS365" s="539"/>
      <c r="AT365" s="539"/>
      <c r="AU365" s="539"/>
      <c r="AV365" s="539"/>
      <c r="AW365" s="539"/>
      <c r="AX365" s="539"/>
      <c r="AY365" s="539"/>
      <c r="AZ365" s="539"/>
      <c r="BA365" s="539"/>
      <c r="BB365" s="539"/>
      <c r="BC365" s="539"/>
      <c r="BD365" s="539"/>
      <c r="BE365" s="539"/>
      <c r="BF365" s="539"/>
      <c r="BG365" s="539"/>
      <c r="BH365" s="539"/>
      <c r="BI365" s="539"/>
      <c r="BJ365" s="539"/>
      <c r="BK365" s="539"/>
      <c r="BL365" s="539"/>
      <c r="BM365" s="539"/>
      <c r="BN365" s="539"/>
      <c r="BO365" s="539"/>
      <c r="BP365" s="539"/>
      <c r="BQ365" s="539"/>
      <c r="BR365" s="539"/>
      <c r="BS365" s="539"/>
      <c r="BT365" s="539"/>
      <c r="BU365" s="539"/>
      <c r="BV365" s="539"/>
      <c r="BW365" s="539"/>
      <c r="BX365" s="539"/>
      <c r="BY365" s="539"/>
      <c r="BZ365" s="539"/>
      <c r="CA365" s="539"/>
      <c r="CB365" s="539"/>
      <c r="CC365" s="539"/>
      <c r="CD365" s="539"/>
      <c r="CE365" s="539"/>
      <c r="CG365" s="539"/>
      <c r="CH365" s="539"/>
      <c r="CI365" s="539"/>
      <c r="CJ365" s="539"/>
      <c r="CK365" s="539"/>
      <c r="CL365" s="539"/>
      <c r="CM365" s="539"/>
      <c r="CN365" s="539"/>
      <c r="CO365" s="539"/>
      <c r="CP365" s="539"/>
      <c r="CQ365" s="539"/>
      <c r="CR365" s="539"/>
      <c r="CS365" s="539"/>
      <c r="CT365" s="539"/>
      <c r="CU365" s="539"/>
      <c r="CV365" s="539"/>
      <c r="CW365" s="539"/>
      <c r="CX365" s="539"/>
      <c r="CY365" s="539"/>
      <c r="CZ365" s="539"/>
      <c r="DA365" s="539"/>
      <c r="DB365" s="539"/>
      <c r="DC365" s="539"/>
      <c r="DD365" s="539"/>
      <c r="DE365" s="539"/>
      <c r="DF365" s="539"/>
      <c r="DG365" s="539"/>
      <c r="DH365" s="539"/>
    </row>
    <row r="366" spans="2:112">
      <c r="B366" t="s">
        <v>1224</v>
      </c>
      <c r="C366" t="s">
        <v>806</v>
      </c>
      <c r="D366" t="s">
        <v>903</v>
      </c>
      <c r="E366" t="s">
        <v>557</v>
      </c>
      <c r="F366" s="536">
        <v>1314000</v>
      </c>
      <c r="G366" s="536">
        <v>1314000</v>
      </c>
      <c r="H366" s="536">
        <v>1314000</v>
      </c>
      <c r="I366" s="536">
        <v>1314000</v>
      </c>
      <c r="J366" s="536">
        <v>1314000</v>
      </c>
      <c r="K366" s="536">
        <v>1314000</v>
      </c>
      <c r="L366" s="536">
        <v>1314000</v>
      </c>
      <c r="M366" s="536">
        <v>1314000</v>
      </c>
      <c r="N366" s="536">
        <v>1314000</v>
      </c>
      <c r="O366" s="536">
        <v>1314000</v>
      </c>
      <c r="P366" s="536">
        <v>1314000</v>
      </c>
      <c r="Q366" s="536">
        <v>1314000</v>
      </c>
      <c r="R366" s="536">
        <v>1314000</v>
      </c>
      <c r="S366" s="536">
        <v>1314000</v>
      </c>
      <c r="T366" s="536">
        <v>1314000</v>
      </c>
      <c r="U366" s="536">
        <v>1314000</v>
      </c>
      <c r="V366" s="536">
        <v>1314000</v>
      </c>
      <c r="W366" s="536">
        <v>1314000</v>
      </c>
      <c r="X366" s="536">
        <v>1314000</v>
      </c>
      <c r="Y366" s="536">
        <v>1314000</v>
      </c>
      <c r="Z366" s="536">
        <v>1314000</v>
      </c>
      <c r="AA366" s="536">
        <v>1314000</v>
      </c>
      <c r="AB366" s="536">
        <v>1314000</v>
      </c>
      <c r="AC366" s="536">
        <v>1314000</v>
      </c>
      <c r="AD366" s="536">
        <v>1314000</v>
      </c>
      <c r="AE366" s="536">
        <v>1314000</v>
      </c>
      <c r="AF366" s="536">
        <v>1314000</v>
      </c>
      <c r="AG366" s="536">
        <v>1314000</v>
      </c>
      <c r="AH366" s="540">
        <f>AG366</f>
        <v>1314000</v>
      </c>
      <c r="AI366" s="540">
        <f t="shared" ref="AI366:CE367" si="262">AH366</f>
        <v>1314000</v>
      </c>
      <c r="AJ366" s="540">
        <f t="shared" si="262"/>
        <v>1314000</v>
      </c>
      <c r="AK366" s="540">
        <f t="shared" si="262"/>
        <v>1314000</v>
      </c>
      <c r="AL366" s="540">
        <f t="shared" si="262"/>
        <v>1314000</v>
      </c>
      <c r="AM366" s="540">
        <f t="shared" si="262"/>
        <v>1314000</v>
      </c>
      <c r="AN366" s="540">
        <f t="shared" si="262"/>
        <v>1314000</v>
      </c>
      <c r="AO366" s="540">
        <f t="shared" si="262"/>
        <v>1314000</v>
      </c>
      <c r="AP366" s="540">
        <f t="shared" si="262"/>
        <v>1314000</v>
      </c>
      <c r="AQ366" s="540">
        <f t="shared" si="262"/>
        <v>1314000</v>
      </c>
      <c r="AR366" s="540">
        <f t="shared" si="262"/>
        <v>1314000</v>
      </c>
      <c r="AS366" s="540">
        <f t="shared" si="262"/>
        <v>1314000</v>
      </c>
      <c r="AT366" s="540">
        <f t="shared" si="262"/>
        <v>1314000</v>
      </c>
      <c r="AU366" s="540">
        <f t="shared" si="262"/>
        <v>1314000</v>
      </c>
      <c r="AV366" s="540">
        <f t="shared" si="262"/>
        <v>1314000</v>
      </c>
      <c r="AW366" s="540">
        <f t="shared" si="262"/>
        <v>1314000</v>
      </c>
      <c r="AX366" s="540">
        <f t="shared" si="262"/>
        <v>1314000</v>
      </c>
      <c r="AY366" s="540">
        <f t="shared" si="262"/>
        <v>1314000</v>
      </c>
      <c r="AZ366" s="540">
        <f t="shared" si="262"/>
        <v>1314000</v>
      </c>
      <c r="BA366" s="540">
        <f t="shared" si="262"/>
        <v>1314000</v>
      </c>
      <c r="BB366" s="540">
        <f t="shared" si="262"/>
        <v>1314000</v>
      </c>
      <c r="BC366" s="540">
        <f t="shared" si="262"/>
        <v>1314000</v>
      </c>
      <c r="BD366" s="540">
        <f t="shared" si="262"/>
        <v>1314000</v>
      </c>
      <c r="BE366" s="540">
        <f t="shared" si="262"/>
        <v>1314000</v>
      </c>
      <c r="BF366" s="540">
        <f t="shared" si="262"/>
        <v>1314000</v>
      </c>
      <c r="BG366" s="540">
        <f t="shared" si="262"/>
        <v>1314000</v>
      </c>
      <c r="BH366" s="540">
        <f t="shared" si="262"/>
        <v>1314000</v>
      </c>
      <c r="BI366" s="540">
        <f t="shared" si="262"/>
        <v>1314000</v>
      </c>
      <c r="BJ366" s="540">
        <f t="shared" si="262"/>
        <v>1314000</v>
      </c>
      <c r="BK366" s="540">
        <f t="shared" si="262"/>
        <v>1314000</v>
      </c>
      <c r="BL366" s="540">
        <f t="shared" si="262"/>
        <v>1314000</v>
      </c>
      <c r="BM366" s="540">
        <f t="shared" si="262"/>
        <v>1314000</v>
      </c>
      <c r="BN366" s="540">
        <f t="shared" si="262"/>
        <v>1314000</v>
      </c>
      <c r="BO366" s="540">
        <f t="shared" si="262"/>
        <v>1314000</v>
      </c>
      <c r="BP366" s="540">
        <f t="shared" si="262"/>
        <v>1314000</v>
      </c>
      <c r="BQ366" s="540">
        <f t="shared" si="262"/>
        <v>1314000</v>
      </c>
      <c r="BR366" s="540">
        <f t="shared" si="262"/>
        <v>1314000</v>
      </c>
      <c r="BS366" s="540">
        <f t="shared" si="262"/>
        <v>1314000</v>
      </c>
      <c r="BT366" s="540">
        <f t="shared" si="262"/>
        <v>1314000</v>
      </c>
      <c r="BU366" s="540">
        <f t="shared" si="262"/>
        <v>1314000</v>
      </c>
      <c r="BV366" s="540">
        <f t="shared" si="262"/>
        <v>1314000</v>
      </c>
      <c r="BW366" s="540">
        <f t="shared" si="262"/>
        <v>1314000</v>
      </c>
      <c r="BX366" s="540">
        <f t="shared" si="262"/>
        <v>1314000</v>
      </c>
      <c r="BY366" s="540">
        <f t="shared" si="262"/>
        <v>1314000</v>
      </c>
      <c r="BZ366" s="540">
        <f t="shared" si="262"/>
        <v>1314000</v>
      </c>
      <c r="CA366" s="540">
        <f t="shared" si="262"/>
        <v>1314000</v>
      </c>
      <c r="CB366" s="540">
        <f t="shared" si="262"/>
        <v>1314000</v>
      </c>
      <c r="CC366" s="540">
        <f t="shared" si="262"/>
        <v>1314000</v>
      </c>
      <c r="CD366" s="540">
        <f t="shared" si="262"/>
        <v>1314000</v>
      </c>
      <c r="CE366" s="540">
        <f t="shared" si="262"/>
        <v>1314000</v>
      </c>
      <c r="CG366" s="536">
        <v>1314000</v>
      </c>
      <c r="CH366" s="536">
        <v>1314000</v>
      </c>
      <c r="CI366" s="536">
        <v>1314000</v>
      </c>
      <c r="CJ366" s="536">
        <v>1314000</v>
      </c>
      <c r="CK366" s="536">
        <v>1314000</v>
      </c>
      <c r="CL366" s="536">
        <v>1314000</v>
      </c>
      <c r="CM366" s="536">
        <v>1314000</v>
      </c>
      <c r="CN366" s="536">
        <v>1314000</v>
      </c>
      <c r="CO366" s="536">
        <v>1314000</v>
      </c>
      <c r="CP366" s="536">
        <v>1314000</v>
      </c>
      <c r="CQ366" s="536">
        <v>1314000</v>
      </c>
      <c r="CR366" s="536">
        <v>1314000</v>
      </c>
      <c r="CS366" s="536">
        <v>1314000</v>
      </c>
      <c r="CT366" s="536">
        <v>1314000</v>
      </c>
      <c r="CU366" s="536">
        <v>1314000</v>
      </c>
      <c r="CV366" s="536">
        <v>1314000</v>
      </c>
      <c r="CW366" s="536">
        <v>1314000</v>
      </c>
      <c r="CX366" s="536">
        <v>1314000</v>
      </c>
      <c r="CY366" s="536">
        <v>1314000</v>
      </c>
      <c r="CZ366" s="536">
        <v>1314000</v>
      </c>
      <c r="DA366" s="536">
        <v>1314000</v>
      </c>
      <c r="DB366" s="536">
        <v>1314000</v>
      </c>
      <c r="DC366" s="536">
        <v>1314000</v>
      </c>
      <c r="DD366" s="536">
        <v>1314000</v>
      </c>
      <c r="DE366" s="536">
        <v>1314000</v>
      </c>
      <c r="DF366" s="536">
        <v>1314000</v>
      </c>
      <c r="DG366" s="536">
        <v>1314000</v>
      </c>
      <c r="DH366" s="536">
        <v>1314000</v>
      </c>
    </row>
    <row r="367" spans="2:112">
      <c r="B367" t="s">
        <v>1225</v>
      </c>
      <c r="C367" t="s">
        <v>806</v>
      </c>
      <c r="D367" t="s">
        <v>905</v>
      </c>
      <c r="E367" t="s">
        <v>557</v>
      </c>
      <c r="F367" s="536">
        <v>22935.272727272728</v>
      </c>
      <c r="G367" s="536">
        <v>22935.272727272728</v>
      </c>
      <c r="H367" s="536">
        <v>22935.272727272728</v>
      </c>
      <c r="I367" s="536">
        <v>22935.272727272728</v>
      </c>
      <c r="J367" s="536">
        <v>22935.272727272728</v>
      </c>
      <c r="K367" s="536">
        <v>22935.272727272728</v>
      </c>
      <c r="L367" s="536">
        <v>22935.272727272728</v>
      </c>
      <c r="M367" s="536">
        <v>22935.272727272728</v>
      </c>
      <c r="N367" s="536">
        <v>22935.272727272728</v>
      </c>
      <c r="O367" s="536">
        <v>22935.272727272728</v>
      </c>
      <c r="P367" s="536">
        <v>22935.272727272728</v>
      </c>
      <c r="Q367" s="536">
        <v>22935.272727272728</v>
      </c>
      <c r="R367" s="536">
        <v>22935.272727272728</v>
      </c>
      <c r="S367" s="536">
        <v>22935.272727272728</v>
      </c>
      <c r="T367" s="536">
        <v>22935.272727272728</v>
      </c>
      <c r="U367" s="536">
        <v>22935.272727272728</v>
      </c>
      <c r="V367" s="536">
        <v>22935.272727272728</v>
      </c>
      <c r="W367" s="536">
        <v>22935.272727272728</v>
      </c>
      <c r="X367" s="536">
        <v>22935.272727272728</v>
      </c>
      <c r="Y367" s="536">
        <v>22935.272727272728</v>
      </c>
      <c r="Z367" s="536">
        <v>22935.272727272728</v>
      </c>
      <c r="AA367" s="536">
        <v>22935.272727272728</v>
      </c>
      <c r="AB367" s="536">
        <v>22935.272727272728</v>
      </c>
      <c r="AC367" s="536">
        <v>22935.272727272728</v>
      </c>
      <c r="AD367" s="536">
        <v>22935.272727272728</v>
      </c>
      <c r="AE367" s="536">
        <v>22935.272727272728</v>
      </c>
      <c r="AF367" s="536">
        <v>22935.272727272728</v>
      </c>
      <c r="AG367" s="536">
        <v>22935.272727272728</v>
      </c>
      <c r="AH367" s="540">
        <f>AG367</f>
        <v>22935.272727272728</v>
      </c>
      <c r="AI367" s="540">
        <f t="shared" si="262"/>
        <v>22935.272727272728</v>
      </c>
      <c r="AJ367" s="540">
        <f t="shared" si="262"/>
        <v>22935.272727272728</v>
      </c>
      <c r="AK367" s="540">
        <f t="shared" si="262"/>
        <v>22935.272727272728</v>
      </c>
      <c r="AL367" s="540">
        <f t="shared" si="262"/>
        <v>22935.272727272728</v>
      </c>
      <c r="AM367" s="540">
        <f t="shared" si="262"/>
        <v>22935.272727272728</v>
      </c>
      <c r="AN367" s="540">
        <f t="shared" si="262"/>
        <v>22935.272727272728</v>
      </c>
      <c r="AO367" s="540">
        <f t="shared" si="262"/>
        <v>22935.272727272728</v>
      </c>
      <c r="AP367" s="540">
        <f t="shared" si="262"/>
        <v>22935.272727272728</v>
      </c>
      <c r="AQ367" s="540">
        <f t="shared" si="262"/>
        <v>22935.272727272728</v>
      </c>
      <c r="AR367" s="540">
        <f t="shared" si="262"/>
        <v>22935.272727272728</v>
      </c>
      <c r="AS367" s="540">
        <f t="shared" si="262"/>
        <v>22935.272727272728</v>
      </c>
      <c r="AT367" s="540">
        <f t="shared" si="262"/>
        <v>22935.272727272728</v>
      </c>
      <c r="AU367" s="540">
        <f t="shared" si="262"/>
        <v>22935.272727272728</v>
      </c>
      <c r="AV367" s="540">
        <f t="shared" si="262"/>
        <v>22935.272727272728</v>
      </c>
      <c r="AW367" s="540">
        <f t="shared" si="262"/>
        <v>22935.272727272728</v>
      </c>
      <c r="AX367" s="540">
        <f t="shared" si="262"/>
        <v>22935.272727272728</v>
      </c>
      <c r="AY367" s="540">
        <f t="shared" si="262"/>
        <v>22935.272727272728</v>
      </c>
      <c r="AZ367" s="540">
        <f t="shared" si="262"/>
        <v>22935.272727272728</v>
      </c>
      <c r="BA367" s="540">
        <f t="shared" si="262"/>
        <v>22935.272727272728</v>
      </c>
      <c r="BB367" s="540">
        <f t="shared" si="262"/>
        <v>22935.272727272728</v>
      </c>
      <c r="BC367" s="540">
        <f t="shared" si="262"/>
        <v>22935.272727272728</v>
      </c>
      <c r="BD367" s="540">
        <f t="shared" si="262"/>
        <v>22935.272727272728</v>
      </c>
      <c r="BE367" s="540">
        <f t="shared" si="262"/>
        <v>22935.272727272728</v>
      </c>
      <c r="BF367" s="540">
        <f t="shared" si="262"/>
        <v>22935.272727272728</v>
      </c>
      <c r="BG367" s="540">
        <f t="shared" si="262"/>
        <v>22935.272727272728</v>
      </c>
      <c r="BH367" s="540">
        <f t="shared" si="262"/>
        <v>22935.272727272728</v>
      </c>
      <c r="BI367" s="540">
        <f t="shared" si="262"/>
        <v>22935.272727272728</v>
      </c>
      <c r="BJ367" s="540">
        <f t="shared" si="262"/>
        <v>22935.272727272728</v>
      </c>
      <c r="BK367" s="540">
        <f t="shared" si="262"/>
        <v>22935.272727272728</v>
      </c>
      <c r="BL367" s="540">
        <f t="shared" si="262"/>
        <v>22935.272727272728</v>
      </c>
      <c r="BM367" s="540">
        <f t="shared" si="262"/>
        <v>22935.272727272728</v>
      </c>
      <c r="BN367" s="540">
        <f t="shared" si="262"/>
        <v>22935.272727272728</v>
      </c>
      <c r="BO367" s="540">
        <f t="shared" si="262"/>
        <v>22935.272727272728</v>
      </c>
      <c r="BP367" s="540">
        <f t="shared" si="262"/>
        <v>22935.272727272728</v>
      </c>
      <c r="BQ367" s="540">
        <f t="shared" si="262"/>
        <v>22935.272727272728</v>
      </c>
      <c r="BR367" s="540">
        <f t="shared" si="262"/>
        <v>22935.272727272728</v>
      </c>
      <c r="BS367" s="540">
        <f t="shared" si="262"/>
        <v>22935.272727272728</v>
      </c>
      <c r="BT367" s="540">
        <f t="shared" si="262"/>
        <v>22935.272727272728</v>
      </c>
      <c r="BU367" s="540">
        <f t="shared" si="262"/>
        <v>22935.272727272728</v>
      </c>
      <c r="BV367" s="540">
        <f t="shared" si="262"/>
        <v>22935.272727272728</v>
      </c>
      <c r="BW367" s="540">
        <f t="shared" si="262"/>
        <v>22935.272727272728</v>
      </c>
      <c r="BX367" s="540">
        <f t="shared" si="262"/>
        <v>22935.272727272728</v>
      </c>
      <c r="BY367" s="540">
        <f t="shared" si="262"/>
        <v>22935.272727272728</v>
      </c>
      <c r="BZ367" s="540">
        <f t="shared" si="262"/>
        <v>22935.272727272728</v>
      </c>
      <c r="CA367" s="540">
        <f t="shared" si="262"/>
        <v>22935.272727272728</v>
      </c>
      <c r="CB367" s="540">
        <f t="shared" si="262"/>
        <v>22935.272727272728</v>
      </c>
      <c r="CC367" s="540">
        <f t="shared" si="262"/>
        <v>22935.272727272728</v>
      </c>
      <c r="CD367" s="540">
        <f t="shared" si="262"/>
        <v>22935.272727272728</v>
      </c>
      <c r="CE367" s="540">
        <f t="shared" si="262"/>
        <v>22935.272727272728</v>
      </c>
      <c r="CG367" s="536">
        <v>22935.272727272728</v>
      </c>
      <c r="CH367" s="536">
        <v>22935.272727272728</v>
      </c>
      <c r="CI367" s="536">
        <v>22935.272727272728</v>
      </c>
      <c r="CJ367" s="536">
        <v>22935.272727272728</v>
      </c>
      <c r="CK367" s="536">
        <v>22935.272727272728</v>
      </c>
      <c r="CL367" s="536">
        <v>22935.272727272728</v>
      </c>
      <c r="CM367" s="536">
        <v>22935.272727272728</v>
      </c>
      <c r="CN367" s="536">
        <v>22935.272727272728</v>
      </c>
      <c r="CO367" s="536">
        <v>22935.272727272728</v>
      </c>
      <c r="CP367" s="536">
        <v>22935.272727272728</v>
      </c>
      <c r="CQ367" s="536">
        <v>22935.272727272728</v>
      </c>
      <c r="CR367" s="536">
        <v>22935.272727272728</v>
      </c>
      <c r="CS367" s="536">
        <v>22935.272727272728</v>
      </c>
      <c r="CT367" s="536">
        <v>22935.272727272728</v>
      </c>
      <c r="CU367" s="536">
        <v>22935.272727272728</v>
      </c>
      <c r="CV367" s="536">
        <v>22935.272727272728</v>
      </c>
      <c r="CW367" s="536">
        <v>22935.272727272728</v>
      </c>
      <c r="CX367" s="536">
        <v>22935.272727272728</v>
      </c>
      <c r="CY367" s="536">
        <v>22935.272727272728</v>
      </c>
      <c r="CZ367" s="536">
        <v>22935.272727272728</v>
      </c>
      <c r="DA367" s="536">
        <v>22935.272727272728</v>
      </c>
      <c r="DB367" s="536">
        <v>22935.272727272728</v>
      </c>
      <c r="DC367" s="536">
        <v>22935.272727272728</v>
      </c>
      <c r="DD367" s="536">
        <v>22935.272727272728</v>
      </c>
      <c r="DE367" s="536">
        <v>22935.272727272728</v>
      </c>
      <c r="DF367" s="536">
        <v>22935.272727272728</v>
      </c>
      <c r="DG367" s="536">
        <v>22935.272727272728</v>
      </c>
      <c r="DH367" s="536">
        <v>22935.272727272728</v>
      </c>
    </row>
    <row r="369" spans="2:112">
      <c r="B369" t="s">
        <v>1226</v>
      </c>
      <c r="C369" t="s">
        <v>806</v>
      </c>
      <c r="D369" t="s">
        <v>907</v>
      </c>
      <c r="E369" t="s">
        <v>908</v>
      </c>
      <c r="F369" s="541">
        <v>1023.047</v>
      </c>
      <c r="G369" s="541">
        <v>1023.047</v>
      </c>
      <c r="H369" s="541">
        <v>1023.047</v>
      </c>
      <c r="I369" s="541">
        <v>1023.047</v>
      </c>
      <c r="J369" s="541">
        <v>1023.047</v>
      </c>
      <c r="K369" s="541">
        <v>1023.047</v>
      </c>
      <c r="L369" s="541">
        <v>1023.047</v>
      </c>
      <c r="M369" s="541">
        <v>1023.047</v>
      </c>
      <c r="N369" s="541">
        <v>1023.047</v>
      </c>
      <c r="O369" s="541">
        <v>1023.047</v>
      </c>
      <c r="P369" s="541">
        <v>1023.047</v>
      </c>
      <c r="Q369" s="541">
        <v>1023.047</v>
      </c>
      <c r="R369" s="541">
        <v>1023.047</v>
      </c>
      <c r="S369" s="541">
        <v>1023.047</v>
      </c>
      <c r="T369" s="541">
        <v>1023.047</v>
      </c>
      <c r="U369" s="541">
        <v>1023.047</v>
      </c>
      <c r="V369" s="541">
        <v>1023.047</v>
      </c>
      <c r="W369" s="541">
        <v>1023.047</v>
      </c>
      <c r="X369" s="541">
        <v>1023.047</v>
      </c>
      <c r="Y369" s="541">
        <v>1023.047</v>
      </c>
      <c r="Z369" s="541">
        <v>1023.047</v>
      </c>
      <c r="AA369" s="541">
        <v>1023.047</v>
      </c>
      <c r="AB369" s="541">
        <v>1023.047</v>
      </c>
      <c r="AC369" s="541">
        <v>1023.047</v>
      </c>
      <c r="AD369" s="541">
        <v>1023.047</v>
      </c>
      <c r="AE369" s="541">
        <v>1023.047</v>
      </c>
      <c r="AF369" s="541">
        <v>1023.047</v>
      </c>
      <c r="AG369" s="541">
        <v>1023.047</v>
      </c>
      <c r="AH369" s="542">
        <f>AG369</f>
        <v>1023.047</v>
      </c>
      <c r="AI369" s="542">
        <f t="shared" ref="AI369:AX369" si="263">AH369</f>
        <v>1023.047</v>
      </c>
      <c r="AJ369" s="542">
        <f t="shared" si="263"/>
        <v>1023.047</v>
      </c>
      <c r="AK369" s="542">
        <f t="shared" si="263"/>
        <v>1023.047</v>
      </c>
      <c r="AL369" s="542">
        <f t="shared" si="263"/>
        <v>1023.047</v>
      </c>
      <c r="AM369" s="542">
        <f t="shared" si="263"/>
        <v>1023.047</v>
      </c>
      <c r="AN369" s="542">
        <f t="shared" si="263"/>
        <v>1023.047</v>
      </c>
      <c r="AO369" s="542">
        <f t="shared" si="263"/>
        <v>1023.047</v>
      </c>
      <c r="AP369" s="542">
        <f t="shared" si="263"/>
        <v>1023.047</v>
      </c>
      <c r="AQ369" s="542">
        <f t="shared" si="263"/>
        <v>1023.047</v>
      </c>
      <c r="AR369" s="542">
        <f t="shared" si="263"/>
        <v>1023.047</v>
      </c>
      <c r="AS369" s="542">
        <f t="shared" si="263"/>
        <v>1023.047</v>
      </c>
      <c r="AT369" s="542">
        <f t="shared" si="263"/>
        <v>1023.047</v>
      </c>
      <c r="AU369" s="542">
        <f t="shared" si="263"/>
        <v>1023.047</v>
      </c>
      <c r="AV369" s="542">
        <f t="shared" si="263"/>
        <v>1023.047</v>
      </c>
      <c r="AW369" s="542">
        <f t="shared" si="263"/>
        <v>1023.047</v>
      </c>
      <c r="AX369" s="542">
        <f t="shared" si="263"/>
        <v>1023.047</v>
      </c>
      <c r="AY369" s="542">
        <f t="shared" ref="AY369:BN369" si="264">AX369</f>
        <v>1023.047</v>
      </c>
      <c r="AZ369" s="542">
        <f t="shared" si="264"/>
        <v>1023.047</v>
      </c>
      <c r="BA369" s="542">
        <f t="shared" si="264"/>
        <v>1023.047</v>
      </c>
      <c r="BB369" s="542">
        <f t="shared" si="264"/>
        <v>1023.047</v>
      </c>
      <c r="BC369" s="542">
        <f t="shared" si="264"/>
        <v>1023.047</v>
      </c>
      <c r="BD369" s="542">
        <f t="shared" si="264"/>
        <v>1023.047</v>
      </c>
      <c r="BE369" s="542">
        <f t="shared" si="264"/>
        <v>1023.047</v>
      </c>
      <c r="BF369" s="542">
        <f t="shared" si="264"/>
        <v>1023.047</v>
      </c>
      <c r="BG369" s="542">
        <f t="shared" si="264"/>
        <v>1023.047</v>
      </c>
      <c r="BH369" s="542">
        <f t="shared" si="264"/>
        <v>1023.047</v>
      </c>
      <c r="BI369" s="542">
        <f t="shared" si="264"/>
        <v>1023.047</v>
      </c>
      <c r="BJ369" s="542">
        <f t="shared" si="264"/>
        <v>1023.047</v>
      </c>
      <c r="BK369" s="542">
        <f t="shared" si="264"/>
        <v>1023.047</v>
      </c>
      <c r="BL369" s="542">
        <f t="shared" si="264"/>
        <v>1023.047</v>
      </c>
      <c r="BM369" s="542">
        <f t="shared" si="264"/>
        <v>1023.047</v>
      </c>
      <c r="BN369" s="542">
        <f t="shared" si="264"/>
        <v>1023.047</v>
      </c>
      <c r="BO369" s="542">
        <f t="shared" ref="BO369:CD369" si="265">BN369</f>
        <v>1023.047</v>
      </c>
      <c r="BP369" s="542">
        <f t="shared" si="265"/>
        <v>1023.047</v>
      </c>
      <c r="BQ369" s="542">
        <f t="shared" si="265"/>
        <v>1023.047</v>
      </c>
      <c r="BR369" s="542">
        <f t="shared" si="265"/>
        <v>1023.047</v>
      </c>
      <c r="BS369" s="542">
        <f t="shared" si="265"/>
        <v>1023.047</v>
      </c>
      <c r="BT369" s="542">
        <f t="shared" si="265"/>
        <v>1023.047</v>
      </c>
      <c r="BU369" s="542">
        <f t="shared" si="265"/>
        <v>1023.047</v>
      </c>
      <c r="BV369" s="542">
        <f t="shared" si="265"/>
        <v>1023.047</v>
      </c>
      <c r="BW369" s="542">
        <f t="shared" si="265"/>
        <v>1023.047</v>
      </c>
      <c r="BX369" s="542">
        <f t="shared" si="265"/>
        <v>1023.047</v>
      </c>
      <c r="BY369" s="542">
        <f t="shared" si="265"/>
        <v>1023.047</v>
      </c>
      <c r="BZ369" s="542">
        <f t="shared" si="265"/>
        <v>1023.047</v>
      </c>
      <c r="CA369" s="542">
        <f t="shared" si="265"/>
        <v>1023.047</v>
      </c>
      <c r="CB369" s="542">
        <f t="shared" si="265"/>
        <v>1023.047</v>
      </c>
      <c r="CC369" s="542">
        <f t="shared" si="265"/>
        <v>1023.047</v>
      </c>
      <c r="CD369" s="542">
        <f t="shared" si="265"/>
        <v>1023.047</v>
      </c>
      <c r="CE369" s="542">
        <f t="shared" ref="AX369:CE376" si="266">CD369</f>
        <v>1023.047</v>
      </c>
      <c r="CG369" s="541">
        <v>1023.047</v>
      </c>
      <c r="CH369" s="541">
        <v>1023.047</v>
      </c>
      <c r="CI369" s="541">
        <v>1023.047</v>
      </c>
      <c r="CJ369" s="541">
        <v>1023.047</v>
      </c>
      <c r="CK369" s="541">
        <v>1023.047</v>
      </c>
      <c r="CL369" s="541">
        <v>1023.047</v>
      </c>
      <c r="CM369" s="541">
        <v>1023.047</v>
      </c>
      <c r="CN369" s="541">
        <v>1023.047</v>
      </c>
      <c r="CO369" s="541">
        <v>1023.047</v>
      </c>
      <c r="CP369" s="541">
        <v>1023.047</v>
      </c>
      <c r="CQ369" s="541">
        <v>1023.047</v>
      </c>
      <c r="CR369" s="541">
        <v>1023.047</v>
      </c>
      <c r="CS369" s="541">
        <v>1023.047</v>
      </c>
      <c r="CT369" s="541">
        <v>1023.047</v>
      </c>
      <c r="CU369" s="541">
        <v>1023.047</v>
      </c>
      <c r="CV369" s="541">
        <v>1023.047</v>
      </c>
      <c r="CW369" s="541">
        <v>1023.047</v>
      </c>
      <c r="CX369" s="541">
        <v>1023.047</v>
      </c>
      <c r="CY369" s="541">
        <v>1023.047</v>
      </c>
      <c r="CZ369" s="541">
        <v>1023.047</v>
      </c>
      <c r="DA369" s="541">
        <v>1023.047</v>
      </c>
      <c r="DB369" s="541">
        <v>1023.047</v>
      </c>
      <c r="DC369" s="541">
        <v>1023.047</v>
      </c>
      <c r="DD369" s="541">
        <v>1023.047</v>
      </c>
      <c r="DE369" s="541">
        <v>1023.047</v>
      </c>
      <c r="DF369" s="541">
        <v>1023.047</v>
      </c>
      <c r="DG369" s="541">
        <v>1023.047</v>
      </c>
      <c r="DH369" s="541">
        <v>1023.047</v>
      </c>
    </row>
    <row r="370" spans="2:112">
      <c r="B370" t="s">
        <v>1227</v>
      </c>
      <c r="C370" t="s">
        <v>806</v>
      </c>
      <c r="D370" t="s">
        <v>910</v>
      </c>
      <c r="E370" t="s">
        <v>911</v>
      </c>
      <c r="F370" s="541">
        <v>352.28803145454543</v>
      </c>
      <c r="G370" s="541">
        <v>352.28803145454543</v>
      </c>
      <c r="H370" s="541">
        <v>352.28803145454543</v>
      </c>
      <c r="I370" s="541">
        <v>352.28803145454543</v>
      </c>
      <c r="J370" s="541">
        <v>352.28803145454543</v>
      </c>
      <c r="K370" s="541">
        <v>352.28803145454543</v>
      </c>
      <c r="L370" s="541">
        <v>352.28803145454543</v>
      </c>
      <c r="M370" s="541">
        <v>352.28803145454543</v>
      </c>
      <c r="N370" s="541">
        <v>352.28803145454543</v>
      </c>
      <c r="O370" s="541">
        <v>352.28803145454543</v>
      </c>
      <c r="P370" s="541">
        <v>352.28803145454543</v>
      </c>
      <c r="Q370" s="541">
        <v>352.28803145454543</v>
      </c>
      <c r="R370" s="541">
        <v>352.28803145454543</v>
      </c>
      <c r="S370" s="541">
        <v>352.28803145454543</v>
      </c>
      <c r="T370" s="541">
        <v>352.28803145454543</v>
      </c>
      <c r="U370" s="541">
        <v>352.28803145454543</v>
      </c>
      <c r="V370" s="541">
        <v>352.28803145454543</v>
      </c>
      <c r="W370" s="541">
        <v>352.28803145454543</v>
      </c>
      <c r="X370" s="541">
        <v>352.28803145454543</v>
      </c>
      <c r="Y370" s="541">
        <v>352.28803145454543</v>
      </c>
      <c r="Z370" s="541">
        <v>352.28803145454543</v>
      </c>
      <c r="AA370" s="541">
        <v>352.28803145454543</v>
      </c>
      <c r="AB370" s="541">
        <v>352.28803145454543</v>
      </c>
      <c r="AC370" s="541">
        <v>352.28803145454543</v>
      </c>
      <c r="AD370" s="541">
        <v>352.28803145454543</v>
      </c>
      <c r="AE370" s="541">
        <v>352.28803145454543</v>
      </c>
      <c r="AF370" s="541">
        <v>352.28803145454543</v>
      </c>
      <c r="AG370" s="541">
        <v>352.28803145454543</v>
      </c>
      <c r="AH370" s="542">
        <f t="shared" ref="AH370:AW376" si="267">AG370</f>
        <v>352.28803145454543</v>
      </c>
      <c r="AI370" s="542">
        <f t="shared" si="267"/>
        <v>352.28803145454543</v>
      </c>
      <c r="AJ370" s="542">
        <f t="shared" si="267"/>
        <v>352.28803145454543</v>
      </c>
      <c r="AK370" s="542">
        <f t="shared" si="267"/>
        <v>352.28803145454543</v>
      </c>
      <c r="AL370" s="542">
        <f t="shared" si="267"/>
        <v>352.28803145454543</v>
      </c>
      <c r="AM370" s="542">
        <f t="shared" si="267"/>
        <v>352.28803145454543</v>
      </c>
      <c r="AN370" s="542">
        <f t="shared" si="267"/>
        <v>352.28803145454543</v>
      </c>
      <c r="AO370" s="542">
        <f t="shared" si="267"/>
        <v>352.28803145454543</v>
      </c>
      <c r="AP370" s="542">
        <f t="shared" si="267"/>
        <v>352.28803145454543</v>
      </c>
      <c r="AQ370" s="542">
        <f t="shared" si="267"/>
        <v>352.28803145454543</v>
      </c>
      <c r="AR370" s="542">
        <f t="shared" si="267"/>
        <v>352.28803145454543</v>
      </c>
      <c r="AS370" s="542">
        <f t="shared" si="267"/>
        <v>352.28803145454543</v>
      </c>
      <c r="AT370" s="542">
        <f t="shared" si="267"/>
        <v>352.28803145454543</v>
      </c>
      <c r="AU370" s="542">
        <f t="shared" si="267"/>
        <v>352.28803145454543</v>
      </c>
      <c r="AV370" s="542">
        <f t="shared" si="267"/>
        <v>352.28803145454543</v>
      </c>
      <c r="AW370" s="542">
        <f t="shared" si="267"/>
        <v>352.28803145454543</v>
      </c>
      <c r="AX370" s="542">
        <f t="shared" si="266"/>
        <v>352.28803145454543</v>
      </c>
      <c r="AY370" s="542">
        <f t="shared" si="266"/>
        <v>352.28803145454543</v>
      </c>
      <c r="AZ370" s="542">
        <f t="shared" si="266"/>
        <v>352.28803145454543</v>
      </c>
      <c r="BA370" s="542">
        <f t="shared" si="266"/>
        <v>352.28803145454543</v>
      </c>
      <c r="BB370" s="542">
        <f t="shared" si="266"/>
        <v>352.28803145454543</v>
      </c>
      <c r="BC370" s="542">
        <f t="shared" si="266"/>
        <v>352.28803145454543</v>
      </c>
      <c r="BD370" s="542">
        <f t="shared" si="266"/>
        <v>352.28803145454543</v>
      </c>
      <c r="BE370" s="542">
        <f t="shared" si="266"/>
        <v>352.28803145454543</v>
      </c>
      <c r="BF370" s="542">
        <f t="shared" si="266"/>
        <v>352.28803145454543</v>
      </c>
      <c r="BG370" s="542">
        <f t="shared" si="266"/>
        <v>352.28803145454543</v>
      </c>
      <c r="BH370" s="542">
        <f t="shared" si="266"/>
        <v>352.28803145454543</v>
      </c>
      <c r="BI370" s="542">
        <f t="shared" si="266"/>
        <v>352.28803145454543</v>
      </c>
      <c r="BJ370" s="542">
        <f t="shared" si="266"/>
        <v>352.28803145454543</v>
      </c>
      <c r="BK370" s="542">
        <f t="shared" si="266"/>
        <v>352.28803145454543</v>
      </c>
      <c r="BL370" s="542">
        <f t="shared" si="266"/>
        <v>352.28803145454543</v>
      </c>
      <c r="BM370" s="542">
        <f t="shared" si="266"/>
        <v>352.28803145454543</v>
      </c>
      <c r="BN370" s="542">
        <f t="shared" si="266"/>
        <v>352.28803145454543</v>
      </c>
      <c r="BO370" s="542">
        <f t="shared" si="266"/>
        <v>352.28803145454543</v>
      </c>
      <c r="BP370" s="542">
        <f t="shared" si="266"/>
        <v>352.28803145454543</v>
      </c>
      <c r="BQ370" s="542">
        <f t="shared" si="266"/>
        <v>352.28803145454543</v>
      </c>
      <c r="BR370" s="542">
        <f t="shared" si="266"/>
        <v>352.28803145454543</v>
      </c>
      <c r="BS370" s="542">
        <f t="shared" si="266"/>
        <v>352.28803145454543</v>
      </c>
      <c r="BT370" s="542">
        <f t="shared" si="266"/>
        <v>352.28803145454543</v>
      </c>
      <c r="BU370" s="542">
        <f t="shared" si="266"/>
        <v>352.28803145454543</v>
      </c>
      <c r="BV370" s="542">
        <f t="shared" si="266"/>
        <v>352.28803145454543</v>
      </c>
      <c r="BW370" s="542">
        <f t="shared" si="266"/>
        <v>352.28803145454543</v>
      </c>
      <c r="BX370" s="542">
        <f t="shared" si="266"/>
        <v>352.28803145454543</v>
      </c>
      <c r="BY370" s="542">
        <f t="shared" si="266"/>
        <v>352.28803145454543</v>
      </c>
      <c r="BZ370" s="542">
        <f t="shared" si="266"/>
        <v>352.28803145454543</v>
      </c>
      <c r="CA370" s="542">
        <f t="shared" si="266"/>
        <v>352.28803145454543</v>
      </c>
      <c r="CB370" s="542">
        <f t="shared" si="266"/>
        <v>352.28803145454543</v>
      </c>
      <c r="CC370" s="542">
        <f t="shared" si="266"/>
        <v>352.28803145454543</v>
      </c>
      <c r="CD370" s="542">
        <f t="shared" si="266"/>
        <v>352.28803145454543</v>
      </c>
      <c r="CE370" s="542">
        <f t="shared" si="266"/>
        <v>352.28803145454543</v>
      </c>
      <c r="CG370" s="541">
        <v>352.28803145454543</v>
      </c>
      <c r="CH370" s="541">
        <v>352.28803145454543</v>
      </c>
      <c r="CI370" s="541">
        <v>352.28803145454543</v>
      </c>
      <c r="CJ370" s="541">
        <v>352.28803145454543</v>
      </c>
      <c r="CK370" s="541">
        <v>352.28803145454543</v>
      </c>
      <c r="CL370" s="541">
        <v>352.28803145454543</v>
      </c>
      <c r="CM370" s="541">
        <v>352.28803145454543</v>
      </c>
      <c r="CN370" s="541">
        <v>352.28803145454543</v>
      </c>
      <c r="CO370" s="541">
        <v>352.28803145454543</v>
      </c>
      <c r="CP370" s="541">
        <v>352.28803145454543</v>
      </c>
      <c r="CQ370" s="541">
        <v>352.28803145454543</v>
      </c>
      <c r="CR370" s="541">
        <v>352.28803145454543</v>
      </c>
      <c r="CS370" s="541">
        <v>352.28803145454543</v>
      </c>
      <c r="CT370" s="541">
        <v>352.28803145454543</v>
      </c>
      <c r="CU370" s="541">
        <v>352.28803145454543</v>
      </c>
      <c r="CV370" s="541">
        <v>352.28803145454543</v>
      </c>
      <c r="CW370" s="541">
        <v>352.28803145454543</v>
      </c>
      <c r="CX370" s="541">
        <v>352.28803145454543</v>
      </c>
      <c r="CY370" s="541">
        <v>352.28803145454543</v>
      </c>
      <c r="CZ370" s="541">
        <v>352.28803145454543</v>
      </c>
      <c r="DA370" s="541">
        <v>352.28803145454543</v>
      </c>
      <c r="DB370" s="541">
        <v>352.28803145454543</v>
      </c>
      <c r="DC370" s="541">
        <v>352.28803145454543</v>
      </c>
      <c r="DD370" s="541">
        <v>352.28803145454543</v>
      </c>
      <c r="DE370" s="541">
        <v>352.28803145454543</v>
      </c>
      <c r="DF370" s="541">
        <v>352.28803145454543</v>
      </c>
      <c r="DG370" s="541">
        <v>352.28803145454543</v>
      </c>
      <c r="DH370" s="541">
        <v>352.28803145454543</v>
      </c>
    </row>
    <row r="371" spans="2:112">
      <c r="B371" t="s">
        <v>1228</v>
      </c>
      <c r="C371" t="s">
        <v>806</v>
      </c>
      <c r="D371" t="s">
        <v>913</v>
      </c>
      <c r="E371" t="s">
        <v>908</v>
      </c>
      <c r="F371" s="541">
        <v>1052.9625000000001</v>
      </c>
      <c r="G371" s="541">
        <v>1052.9625000000001</v>
      </c>
      <c r="H371" s="541">
        <v>1052.9625000000001</v>
      </c>
      <c r="I371" s="541">
        <v>1052.9625000000001</v>
      </c>
      <c r="J371" s="541">
        <v>1052.9625000000001</v>
      </c>
      <c r="K371" s="541">
        <v>1052.9625000000001</v>
      </c>
      <c r="L371" s="541">
        <v>1052.9625000000001</v>
      </c>
      <c r="M371" s="541">
        <v>1052.9625000000001</v>
      </c>
      <c r="N371" s="541">
        <v>1052.9625000000001</v>
      </c>
      <c r="O371" s="541">
        <v>1052.9625000000001</v>
      </c>
      <c r="P371" s="541">
        <v>1052.9625000000001</v>
      </c>
      <c r="Q371" s="541">
        <v>1052.9625000000001</v>
      </c>
      <c r="R371" s="541">
        <v>1052.9625000000001</v>
      </c>
      <c r="S371" s="541">
        <v>1052.9625000000001</v>
      </c>
      <c r="T371" s="541">
        <v>1052.9625000000001</v>
      </c>
      <c r="U371" s="541">
        <v>1052.9625000000001</v>
      </c>
      <c r="V371" s="541">
        <v>1052.9625000000001</v>
      </c>
      <c r="W371" s="541">
        <v>1052.9625000000001</v>
      </c>
      <c r="X371" s="541">
        <v>1052.9625000000001</v>
      </c>
      <c r="Y371" s="541">
        <v>1052.9625000000001</v>
      </c>
      <c r="Z371" s="541">
        <v>1052.9625000000001</v>
      </c>
      <c r="AA371" s="541">
        <v>1052.9625000000001</v>
      </c>
      <c r="AB371" s="541">
        <v>1052.9625000000001</v>
      </c>
      <c r="AC371" s="541">
        <v>1052.9625000000001</v>
      </c>
      <c r="AD371" s="541">
        <v>1052.9625000000001</v>
      </c>
      <c r="AE371" s="541">
        <v>1052.9625000000001</v>
      </c>
      <c r="AF371" s="541">
        <v>1052.9625000000001</v>
      </c>
      <c r="AG371" s="541">
        <v>1052.9625000000001</v>
      </c>
      <c r="AH371" s="542">
        <f t="shared" si="267"/>
        <v>1052.9625000000001</v>
      </c>
      <c r="AI371" s="542">
        <f t="shared" si="267"/>
        <v>1052.9625000000001</v>
      </c>
      <c r="AJ371" s="542">
        <f t="shared" si="267"/>
        <v>1052.9625000000001</v>
      </c>
      <c r="AK371" s="542">
        <f t="shared" si="267"/>
        <v>1052.9625000000001</v>
      </c>
      <c r="AL371" s="542">
        <f t="shared" si="267"/>
        <v>1052.9625000000001</v>
      </c>
      <c r="AM371" s="542">
        <f t="shared" si="267"/>
        <v>1052.9625000000001</v>
      </c>
      <c r="AN371" s="542">
        <f t="shared" si="267"/>
        <v>1052.9625000000001</v>
      </c>
      <c r="AO371" s="542">
        <f t="shared" si="267"/>
        <v>1052.9625000000001</v>
      </c>
      <c r="AP371" s="542">
        <f t="shared" si="267"/>
        <v>1052.9625000000001</v>
      </c>
      <c r="AQ371" s="542">
        <f t="shared" si="267"/>
        <v>1052.9625000000001</v>
      </c>
      <c r="AR371" s="542">
        <f t="shared" si="267"/>
        <v>1052.9625000000001</v>
      </c>
      <c r="AS371" s="542">
        <f t="shared" si="267"/>
        <v>1052.9625000000001</v>
      </c>
      <c r="AT371" s="542">
        <f t="shared" si="267"/>
        <v>1052.9625000000001</v>
      </c>
      <c r="AU371" s="542">
        <f t="shared" si="267"/>
        <v>1052.9625000000001</v>
      </c>
      <c r="AV371" s="542">
        <f t="shared" si="267"/>
        <v>1052.9625000000001</v>
      </c>
      <c r="AW371" s="542">
        <f t="shared" si="267"/>
        <v>1052.9625000000001</v>
      </c>
      <c r="AX371" s="542">
        <f t="shared" si="266"/>
        <v>1052.9625000000001</v>
      </c>
      <c r="AY371" s="542">
        <f t="shared" si="266"/>
        <v>1052.9625000000001</v>
      </c>
      <c r="AZ371" s="542">
        <f t="shared" si="266"/>
        <v>1052.9625000000001</v>
      </c>
      <c r="BA371" s="542">
        <f t="shared" si="266"/>
        <v>1052.9625000000001</v>
      </c>
      <c r="BB371" s="542">
        <f t="shared" si="266"/>
        <v>1052.9625000000001</v>
      </c>
      <c r="BC371" s="542">
        <f t="shared" si="266"/>
        <v>1052.9625000000001</v>
      </c>
      <c r="BD371" s="542">
        <f t="shared" si="266"/>
        <v>1052.9625000000001</v>
      </c>
      <c r="BE371" s="542">
        <f t="shared" si="266"/>
        <v>1052.9625000000001</v>
      </c>
      <c r="BF371" s="542">
        <f t="shared" si="266"/>
        <v>1052.9625000000001</v>
      </c>
      <c r="BG371" s="542">
        <f t="shared" si="266"/>
        <v>1052.9625000000001</v>
      </c>
      <c r="BH371" s="542">
        <f t="shared" si="266"/>
        <v>1052.9625000000001</v>
      </c>
      <c r="BI371" s="542">
        <f t="shared" si="266"/>
        <v>1052.9625000000001</v>
      </c>
      <c r="BJ371" s="542">
        <f t="shared" si="266"/>
        <v>1052.9625000000001</v>
      </c>
      <c r="BK371" s="542">
        <f t="shared" si="266"/>
        <v>1052.9625000000001</v>
      </c>
      <c r="BL371" s="542">
        <f t="shared" si="266"/>
        <v>1052.9625000000001</v>
      </c>
      <c r="BM371" s="542">
        <f t="shared" si="266"/>
        <v>1052.9625000000001</v>
      </c>
      <c r="BN371" s="542">
        <f t="shared" si="266"/>
        <v>1052.9625000000001</v>
      </c>
      <c r="BO371" s="542">
        <f t="shared" si="266"/>
        <v>1052.9625000000001</v>
      </c>
      <c r="BP371" s="542">
        <f t="shared" si="266"/>
        <v>1052.9625000000001</v>
      </c>
      <c r="BQ371" s="542">
        <f t="shared" si="266"/>
        <v>1052.9625000000001</v>
      </c>
      <c r="BR371" s="542">
        <f t="shared" si="266"/>
        <v>1052.9625000000001</v>
      </c>
      <c r="BS371" s="542">
        <f t="shared" si="266"/>
        <v>1052.9625000000001</v>
      </c>
      <c r="BT371" s="542">
        <f t="shared" si="266"/>
        <v>1052.9625000000001</v>
      </c>
      <c r="BU371" s="542">
        <f t="shared" si="266"/>
        <v>1052.9625000000001</v>
      </c>
      <c r="BV371" s="542">
        <f t="shared" si="266"/>
        <v>1052.9625000000001</v>
      </c>
      <c r="BW371" s="542">
        <f t="shared" si="266"/>
        <v>1052.9625000000001</v>
      </c>
      <c r="BX371" s="542">
        <f t="shared" si="266"/>
        <v>1052.9625000000001</v>
      </c>
      <c r="BY371" s="542">
        <f t="shared" si="266"/>
        <v>1052.9625000000001</v>
      </c>
      <c r="BZ371" s="542">
        <f t="shared" si="266"/>
        <v>1052.9625000000001</v>
      </c>
      <c r="CA371" s="542">
        <f t="shared" si="266"/>
        <v>1052.9625000000001</v>
      </c>
      <c r="CB371" s="542">
        <f t="shared" si="266"/>
        <v>1052.9625000000001</v>
      </c>
      <c r="CC371" s="542">
        <f t="shared" si="266"/>
        <v>1052.9625000000001</v>
      </c>
      <c r="CD371" s="542">
        <f t="shared" si="266"/>
        <v>1052.9625000000001</v>
      </c>
      <c r="CE371" s="542">
        <f t="shared" si="266"/>
        <v>1052.9625000000001</v>
      </c>
      <c r="CG371" s="541">
        <v>1052.9625000000001</v>
      </c>
      <c r="CH371" s="541">
        <v>1052.9625000000001</v>
      </c>
      <c r="CI371" s="541">
        <v>1052.9625000000001</v>
      </c>
      <c r="CJ371" s="541">
        <v>1052.9625000000001</v>
      </c>
      <c r="CK371" s="541">
        <v>1052.9625000000001</v>
      </c>
      <c r="CL371" s="541">
        <v>1052.9625000000001</v>
      </c>
      <c r="CM371" s="541">
        <v>1052.9625000000001</v>
      </c>
      <c r="CN371" s="541">
        <v>1052.9625000000001</v>
      </c>
      <c r="CO371" s="541">
        <v>1052.9625000000001</v>
      </c>
      <c r="CP371" s="541">
        <v>1052.9625000000001</v>
      </c>
      <c r="CQ371" s="541">
        <v>1052.9625000000001</v>
      </c>
      <c r="CR371" s="541">
        <v>1052.9625000000001</v>
      </c>
      <c r="CS371" s="541">
        <v>1052.9625000000001</v>
      </c>
      <c r="CT371" s="541">
        <v>1052.9625000000001</v>
      </c>
      <c r="CU371" s="541">
        <v>1052.9625000000001</v>
      </c>
      <c r="CV371" s="541">
        <v>1052.9625000000001</v>
      </c>
      <c r="CW371" s="541">
        <v>1052.9625000000001</v>
      </c>
      <c r="CX371" s="541">
        <v>1052.9625000000001</v>
      </c>
      <c r="CY371" s="541">
        <v>1052.9625000000001</v>
      </c>
      <c r="CZ371" s="541">
        <v>1052.9625000000001</v>
      </c>
      <c r="DA371" s="541">
        <v>1052.9625000000001</v>
      </c>
      <c r="DB371" s="541">
        <v>1052.9625000000001</v>
      </c>
      <c r="DC371" s="541">
        <v>1052.9625000000001</v>
      </c>
      <c r="DD371" s="541">
        <v>1052.9625000000001</v>
      </c>
      <c r="DE371" s="541">
        <v>1052.9625000000001</v>
      </c>
      <c r="DF371" s="541">
        <v>1052.9625000000001</v>
      </c>
      <c r="DG371" s="541">
        <v>1052.9625000000001</v>
      </c>
      <c r="DH371" s="541">
        <v>1052.9625000000001</v>
      </c>
    </row>
    <row r="372" spans="2:112">
      <c r="B372" t="s">
        <v>1229</v>
      </c>
      <c r="C372" t="s">
        <v>806</v>
      </c>
      <c r="D372" t="s">
        <v>915</v>
      </c>
      <c r="E372" t="s">
        <v>911</v>
      </c>
      <c r="F372" s="541">
        <v>352.54478645454543</v>
      </c>
      <c r="G372" s="541">
        <v>352.54478645454543</v>
      </c>
      <c r="H372" s="541">
        <v>352.54478645454543</v>
      </c>
      <c r="I372" s="541">
        <v>352.54478645454543</v>
      </c>
      <c r="J372" s="541">
        <v>352.54478645454543</v>
      </c>
      <c r="K372" s="541">
        <v>352.54478645454543</v>
      </c>
      <c r="L372" s="541">
        <v>352.54478645454543</v>
      </c>
      <c r="M372" s="541">
        <v>352.54478645454543</v>
      </c>
      <c r="N372" s="541">
        <v>352.54478645454543</v>
      </c>
      <c r="O372" s="541">
        <v>352.54478645454543</v>
      </c>
      <c r="P372" s="541">
        <v>352.54478645454543</v>
      </c>
      <c r="Q372" s="541">
        <v>352.54478645454543</v>
      </c>
      <c r="R372" s="541">
        <v>352.54478645454543</v>
      </c>
      <c r="S372" s="541">
        <v>352.54478645454543</v>
      </c>
      <c r="T372" s="541">
        <v>352.54478645454543</v>
      </c>
      <c r="U372" s="541">
        <v>352.54478645454543</v>
      </c>
      <c r="V372" s="541">
        <v>352.54478645454543</v>
      </c>
      <c r="W372" s="541">
        <v>352.54478645454543</v>
      </c>
      <c r="X372" s="541">
        <v>352.54478645454543</v>
      </c>
      <c r="Y372" s="541">
        <v>352.54478645454543</v>
      </c>
      <c r="Z372" s="541">
        <v>352.54478645454543</v>
      </c>
      <c r="AA372" s="541">
        <v>352.54478645454543</v>
      </c>
      <c r="AB372" s="541">
        <v>352.54478645454543</v>
      </c>
      <c r="AC372" s="541">
        <v>352.54478645454543</v>
      </c>
      <c r="AD372" s="541">
        <v>352.54478645454543</v>
      </c>
      <c r="AE372" s="541">
        <v>352.54478645454543</v>
      </c>
      <c r="AF372" s="541">
        <v>352.54478645454543</v>
      </c>
      <c r="AG372" s="541">
        <v>352.54478645454543</v>
      </c>
      <c r="AH372" s="542">
        <f t="shared" si="267"/>
        <v>352.54478645454543</v>
      </c>
      <c r="AI372" s="542">
        <f t="shared" si="267"/>
        <v>352.54478645454543</v>
      </c>
      <c r="AJ372" s="542">
        <f t="shared" si="267"/>
        <v>352.54478645454543</v>
      </c>
      <c r="AK372" s="542">
        <f t="shared" si="267"/>
        <v>352.54478645454543</v>
      </c>
      <c r="AL372" s="542">
        <f t="shared" si="267"/>
        <v>352.54478645454543</v>
      </c>
      <c r="AM372" s="542">
        <f t="shared" si="267"/>
        <v>352.54478645454543</v>
      </c>
      <c r="AN372" s="542">
        <f t="shared" si="267"/>
        <v>352.54478645454543</v>
      </c>
      <c r="AO372" s="542">
        <f t="shared" si="267"/>
        <v>352.54478645454543</v>
      </c>
      <c r="AP372" s="542">
        <f t="shared" si="267"/>
        <v>352.54478645454543</v>
      </c>
      <c r="AQ372" s="542">
        <f t="shared" si="267"/>
        <v>352.54478645454543</v>
      </c>
      <c r="AR372" s="542">
        <f t="shared" si="267"/>
        <v>352.54478645454543</v>
      </c>
      <c r="AS372" s="542">
        <f t="shared" si="267"/>
        <v>352.54478645454543</v>
      </c>
      <c r="AT372" s="542">
        <f t="shared" si="267"/>
        <v>352.54478645454543</v>
      </c>
      <c r="AU372" s="542">
        <f t="shared" si="267"/>
        <v>352.54478645454543</v>
      </c>
      <c r="AV372" s="542">
        <f t="shared" si="267"/>
        <v>352.54478645454543</v>
      </c>
      <c r="AW372" s="542">
        <f t="shared" si="267"/>
        <v>352.54478645454543</v>
      </c>
      <c r="AX372" s="542">
        <f t="shared" si="266"/>
        <v>352.54478645454543</v>
      </c>
      <c r="AY372" s="542">
        <f t="shared" si="266"/>
        <v>352.54478645454543</v>
      </c>
      <c r="AZ372" s="542">
        <f t="shared" si="266"/>
        <v>352.54478645454543</v>
      </c>
      <c r="BA372" s="542">
        <f t="shared" si="266"/>
        <v>352.54478645454543</v>
      </c>
      <c r="BB372" s="542">
        <f t="shared" si="266"/>
        <v>352.54478645454543</v>
      </c>
      <c r="BC372" s="542">
        <f t="shared" si="266"/>
        <v>352.54478645454543</v>
      </c>
      <c r="BD372" s="542">
        <f t="shared" si="266"/>
        <v>352.54478645454543</v>
      </c>
      <c r="BE372" s="542">
        <f t="shared" si="266"/>
        <v>352.54478645454543</v>
      </c>
      <c r="BF372" s="542">
        <f t="shared" si="266"/>
        <v>352.54478645454543</v>
      </c>
      <c r="BG372" s="542">
        <f t="shared" si="266"/>
        <v>352.54478645454543</v>
      </c>
      <c r="BH372" s="542">
        <f t="shared" si="266"/>
        <v>352.54478645454543</v>
      </c>
      <c r="BI372" s="542">
        <f t="shared" si="266"/>
        <v>352.54478645454543</v>
      </c>
      <c r="BJ372" s="542">
        <f t="shared" si="266"/>
        <v>352.54478645454543</v>
      </c>
      <c r="BK372" s="542">
        <f t="shared" si="266"/>
        <v>352.54478645454543</v>
      </c>
      <c r="BL372" s="542">
        <f t="shared" si="266"/>
        <v>352.54478645454543</v>
      </c>
      <c r="BM372" s="542">
        <f t="shared" si="266"/>
        <v>352.54478645454543</v>
      </c>
      <c r="BN372" s="542">
        <f t="shared" si="266"/>
        <v>352.54478645454543</v>
      </c>
      <c r="BO372" s="542">
        <f t="shared" si="266"/>
        <v>352.54478645454543</v>
      </c>
      <c r="BP372" s="542">
        <f t="shared" si="266"/>
        <v>352.54478645454543</v>
      </c>
      <c r="BQ372" s="542">
        <f t="shared" si="266"/>
        <v>352.54478645454543</v>
      </c>
      <c r="BR372" s="542">
        <f t="shared" si="266"/>
        <v>352.54478645454543</v>
      </c>
      <c r="BS372" s="542">
        <f t="shared" si="266"/>
        <v>352.54478645454543</v>
      </c>
      <c r="BT372" s="542">
        <f t="shared" si="266"/>
        <v>352.54478645454543</v>
      </c>
      <c r="BU372" s="542">
        <f t="shared" si="266"/>
        <v>352.54478645454543</v>
      </c>
      <c r="BV372" s="542">
        <f t="shared" si="266"/>
        <v>352.54478645454543</v>
      </c>
      <c r="BW372" s="542">
        <f t="shared" si="266"/>
        <v>352.54478645454543</v>
      </c>
      <c r="BX372" s="542">
        <f t="shared" si="266"/>
        <v>352.54478645454543</v>
      </c>
      <c r="BY372" s="542">
        <f t="shared" si="266"/>
        <v>352.54478645454543</v>
      </c>
      <c r="BZ372" s="542">
        <f t="shared" si="266"/>
        <v>352.54478645454543</v>
      </c>
      <c r="CA372" s="542">
        <f t="shared" si="266"/>
        <v>352.54478645454543</v>
      </c>
      <c r="CB372" s="542">
        <f t="shared" si="266"/>
        <v>352.54478645454543</v>
      </c>
      <c r="CC372" s="542">
        <f t="shared" si="266"/>
        <v>352.54478645454543</v>
      </c>
      <c r="CD372" s="542">
        <f t="shared" si="266"/>
        <v>352.54478645454543</v>
      </c>
      <c r="CE372" s="542">
        <f t="shared" si="266"/>
        <v>352.54478645454543</v>
      </c>
      <c r="CG372" s="541">
        <v>352.54478645454543</v>
      </c>
      <c r="CH372" s="541">
        <v>352.54478645454543</v>
      </c>
      <c r="CI372" s="541">
        <v>352.54478645454543</v>
      </c>
      <c r="CJ372" s="541">
        <v>352.54478645454543</v>
      </c>
      <c r="CK372" s="541">
        <v>352.54478645454543</v>
      </c>
      <c r="CL372" s="541">
        <v>352.54478645454543</v>
      </c>
      <c r="CM372" s="541">
        <v>352.54478645454543</v>
      </c>
      <c r="CN372" s="541">
        <v>352.54478645454543</v>
      </c>
      <c r="CO372" s="541">
        <v>352.54478645454543</v>
      </c>
      <c r="CP372" s="541">
        <v>352.54478645454543</v>
      </c>
      <c r="CQ372" s="541">
        <v>352.54478645454543</v>
      </c>
      <c r="CR372" s="541">
        <v>352.54478645454543</v>
      </c>
      <c r="CS372" s="541">
        <v>352.54478645454543</v>
      </c>
      <c r="CT372" s="541">
        <v>352.54478645454543</v>
      </c>
      <c r="CU372" s="541">
        <v>352.54478645454543</v>
      </c>
      <c r="CV372" s="541">
        <v>352.54478645454543</v>
      </c>
      <c r="CW372" s="541">
        <v>352.54478645454543</v>
      </c>
      <c r="CX372" s="541">
        <v>352.54478645454543</v>
      </c>
      <c r="CY372" s="541">
        <v>352.54478645454543</v>
      </c>
      <c r="CZ372" s="541">
        <v>352.54478645454543</v>
      </c>
      <c r="DA372" s="541">
        <v>352.54478645454543</v>
      </c>
      <c r="DB372" s="541">
        <v>352.54478645454543</v>
      </c>
      <c r="DC372" s="541">
        <v>352.54478645454543</v>
      </c>
      <c r="DD372" s="541">
        <v>352.54478645454543</v>
      </c>
      <c r="DE372" s="541">
        <v>352.54478645454543</v>
      </c>
      <c r="DF372" s="541">
        <v>352.54478645454543</v>
      </c>
      <c r="DG372" s="541">
        <v>352.54478645454543</v>
      </c>
      <c r="DH372" s="541">
        <v>352.54478645454543</v>
      </c>
    </row>
    <row r="373" spans="2:112">
      <c r="B373" t="s">
        <v>1230</v>
      </c>
      <c r="C373" t="s">
        <v>806</v>
      </c>
      <c r="D373" t="s">
        <v>917</v>
      </c>
      <c r="E373" t="s">
        <v>908</v>
      </c>
      <c r="F373" s="541">
        <v>1043.2505000000001</v>
      </c>
      <c r="G373" s="541">
        <v>1043.2505000000001</v>
      </c>
      <c r="H373" s="541">
        <v>1043.2505000000001</v>
      </c>
      <c r="I373" s="541">
        <v>1043.2505000000001</v>
      </c>
      <c r="J373" s="541">
        <v>1043.2505000000001</v>
      </c>
      <c r="K373" s="541">
        <v>1043.2505000000001</v>
      </c>
      <c r="L373" s="541">
        <v>1043.2505000000001</v>
      </c>
      <c r="M373" s="541">
        <v>1043.2505000000001</v>
      </c>
      <c r="N373" s="541">
        <v>1043.2505000000001</v>
      </c>
      <c r="O373" s="541">
        <v>1043.2505000000001</v>
      </c>
      <c r="P373" s="541">
        <v>1043.2505000000001</v>
      </c>
      <c r="Q373" s="541">
        <v>1043.2505000000001</v>
      </c>
      <c r="R373" s="541">
        <v>1043.2505000000001</v>
      </c>
      <c r="S373" s="541">
        <v>1043.2505000000001</v>
      </c>
      <c r="T373" s="541">
        <v>1043.2505000000001</v>
      </c>
      <c r="U373" s="541">
        <v>1043.2505000000001</v>
      </c>
      <c r="V373" s="541">
        <v>1043.2505000000001</v>
      </c>
      <c r="W373" s="541">
        <v>1043.2505000000001</v>
      </c>
      <c r="X373" s="541">
        <v>1043.2505000000001</v>
      </c>
      <c r="Y373" s="541">
        <v>1043.2505000000001</v>
      </c>
      <c r="Z373" s="541">
        <v>1043.2505000000001</v>
      </c>
      <c r="AA373" s="541">
        <v>1043.2505000000001</v>
      </c>
      <c r="AB373" s="541">
        <v>1043.2505000000001</v>
      </c>
      <c r="AC373" s="541">
        <v>1043.2505000000001</v>
      </c>
      <c r="AD373" s="541">
        <v>1043.2505000000001</v>
      </c>
      <c r="AE373" s="541">
        <v>1043.2505000000001</v>
      </c>
      <c r="AF373" s="541">
        <v>1043.2505000000001</v>
      </c>
      <c r="AG373" s="541">
        <v>1043.2505000000001</v>
      </c>
      <c r="AH373" s="542">
        <f t="shared" si="267"/>
        <v>1043.2505000000001</v>
      </c>
      <c r="AI373" s="542">
        <f t="shared" si="267"/>
        <v>1043.2505000000001</v>
      </c>
      <c r="AJ373" s="542">
        <f t="shared" si="267"/>
        <v>1043.2505000000001</v>
      </c>
      <c r="AK373" s="542">
        <f t="shared" si="267"/>
        <v>1043.2505000000001</v>
      </c>
      <c r="AL373" s="542">
        <f t="shared" si="267"/>
        <v>1043.2505000000001</v>
      </c>
      <c r="AM373" s="542">
        <f t="shared" si="267"/>
        <v>1043.2505000000001</v>
      </c>
      <c r="AN373" s="542">
        <f t="shared" si="267"/>
        <v>1043.2505000000001</v>
      </c>
      <c r="AO373" s="542">
        <f t="shared" si="267"/>
        <v>1043.2505000000001</v>
      </c>
      <c r="AP373" s="542">
        <f t="shared" si="267"/>
        <v>1043.2505000000001</v>
      </c>
      <c r="AQ373" s="542">
        <f t="shared" si="267"/>
        <v>1043.2505000000001</v>
      </c>
      <c r="AR373" s="542">
        <f t="shared" si="267"/>
        <v>1043.2505000000001</v>
      </c>
      <c r="AS373" s="542">
        <f t="shared" si="267"/>
        <v>1043.2505000000001</v>
      </c>
      <c r="AT373" s="542">
        <f t="shared" si="267"/>
        <v>1043.2505000000001</v>
      </c>
      <c r="AU373" s="542">
        <f t="shared" si="267"/>
        <v>1043.2505000000001</v>
      </c>
      <c r="AV373" s="542">
        <f t="shared" si="267"/>
        <v>1043.2505000000001</v>
      </c>
      <c r="AW373" s="542">
        <f t="shared" si="267"/>
        <v>1043.2505000000001</v>
      </c>
      <c r="AX373" s="542">
        <f t="shared" si="266"/>
        <v>1043.2505000000001</v>
      </c>
      <c r="AY373" s="542">
        <f t="shared" si="266"/>
        <v>1043.2505000000001</v>
      </c>
      <c r="AZ373" s="542">
        <f t="shared" si="266"/>
        <v>1043.2505000000001</v>
      </c>
      <c r="BA373" s="542">
        <f t="shared" si="266"/>
        <v>1043.2505000000001</v>
      </c>
      <c r="BB373" s="542">
        <f t="shared" si="266"/>
        <v>1043.2505000000001</v>
      </c>
      <c r="BC373" s="542">
        <f t="shared" si="266"/>
        <v>1043.2505000000001</v>
      </c>
      <c r="BD373" s="542">
        <f t="shared" si="266"/>
        <v>1043.2505000000001</v>
      </c>
      <c r="BE373" s="542">
        <f t="shared" si="266"/>
        <v>1043.2505000000001</v>
      </c>
      <c r="BF373" s="542">
        <f t="shared" si="266"/>
        <v>1043.2505000000001</v>
      </c>
      <c r="BG373" s="542">
        <f t="shared" si="266"/>
        <v>1043.2505000000001</v>
      </c>
      <c r="BH373" s="542">
        <f t="shared" si="266"/>
        <v>1043.2505000000001</v>
      </c>
      <c r="BI373" s="542">
        <f t="shared" si="266"/>
        <v>1043.2505000000001</v>
      </c>
      <c r="BJ373" s="542">
        <f t="shared" si="266"/>
        <v>1043.2505000000001</v>
      </c>
      <c r="BK373" s="542">
        <f t="shared" si="266"/>
        <v>1043.2505000000001</v>
      </c>
      <c r="BL373" s="542">
        <f t="shared" si="266"/>
        <v>1043.2505000000001</v>
      </c>
      <c r="BM373" s="542">
        <f t="shared" si="266"/>
        <v>1043.2505000000001</v>
      </c>
      <c r="BN373" s="542">
        <f t="shared" si="266"/>
        <v>1043.2505000000001</v>
      </c>
      <c r="BO373" s="542">
        <f t="shared" si="266"/>
        <v>1043.2505000000001</v>
      </c>
      <c r="BP373" s="542">
        <f t="shared" si="266"/>
        <v>1043.2505000000001</v>
      </c>
      <c r="BQ373" s="542">
        <f t="shared" si="266"/>
        <v>1043.2505000000001</v>
      </c>
      <c r="BR373" s="542">
        <f t="shared" si="266"/>
        <v>1043.2505000000001</v>
      </c>
      <c r="BS373" s="542">
        <f t="shared" si="266"/>
        <v>1043.2505000000001</v>
      </c>
      <c r="BT373" s="542">
        <f t="shared" si="266"/>
        <v>1043.2505000000001</v>
      </c>
      <c r="BU373" s="542">
        <f t="shared" si="266"/>
        <v>1043.2505000000001</v>
      </c>
      <c r="BV373" s="542">
        <f t="shared" si="266"/>
        <v>1043.2505000000001</v>
      </c>
      <c r="BW373" s="542">
        <f t="shared" si="266"/>
        <v>1043.2505000000001</v>
      </c>
      <c r="BX373" s="542">
        <f t="shared" si="266"/>
        <v>1043.2505000000001</v>
      </c>
      <c r="BY373" s="542">
        <f t="shared" si="266"/>
        <v>1043.2505000000001</v>
      </c>
      <c r="BZ373" s="542">
        <f t="shared" si="266"/>
        <v>1043.2505000000001</v>
      </c>
      <c r="CA373" s="542">
        <f t="shared" si="266"/>
        <v>1043.2505000000001</v>
      </c>
      <c r="CB373" s="542">
        <f t="shared" si="266"/>
        <v>1043.2505000000001</v>
      </c>
      <c r="CC373" s="542">
        <f t="shared" si="266"/>
        <v>1043.2505000000001</v>
      </c>
      <c r="CD373" s="542">
        <f t="shared" si="266"/>
        <v>1043.2505000000001</v>
      </c>
      <c r="CE373" s="542">
        <f t="shared" si="266"/>
        <v>1043.2505000000001</v>
      </c>
      <c r="CG373" s="541">
        <v>1043.2505000000001</v>
      </c>
      <c r="CH373" s="541">
        <v>1043.2505000000001</v>
      </c>
      <c r="CI373" s="541">
        <v>1043.2505000000001</v>
      </c>
      <c r="CJ373" s="541">
        <v>1043.2505000000001</v>
      </c>
      <c r="CK373" s="541">
        <v>1043.2505000000001</v>
      </c>
      <c r="CL373" s="541">
        <v>1043.2505000000001</v>
      </c>
      <c r="CM373" s="541">
        <v>1043.2505000000001</v>
      </c>
      <c r="CN373" s="541">
        <v>1043.2505000000001</v>
      </c>
      <c r="CO373" s="541">
        <v>1043.2505000000001</v>
      </c>
      <c r="CP373" s="541">
        <v>1043.2505000000001</v>
      </c>
      <c r="CQ373" s="541">
        <v>1043.2505000000001</v>
      </c>
      <c r="CR373" s="541">
        <v>1043.2505000000001</v>
      </c>
      <c r="CS373" s="541">
        <v>1043.2505000000001</v>
      </c>
      <c r="CT373" s="541">
        <v>1043.2505000000001</v>
      </c>
      <c r="CU373" s="541">
        <v>1043.2505000000001</v>
      </c>
      <c r="CV373" s="541">
        <v>1043.2505000000001</v>
      </c>
      <c r="CW373" s="541">
        <v>1043.2505000000001</v>
      </c>
      <c r="CX373" s="541">
        <v>1043.2505000000001</v>
      </c>
      <c r="CY373" s="541">
        <v>1043.2505000000001</v>
      </c>
      <c r="CZ373" s="541">
        <v>1043.2505000000001</v>
      </c>
      <c r="DA373" s="541">
        <v>1043.2505000000001</v>
      </c>
      <c r="DB373" s="541">
        <v>1043.2505000000001</v>
      </c>
      <c r="DC373" s="541">
        <v>1043.2505000000001</v>
      </c>
      <c r="DD373" s="541">
        <v>1043.2505000000001</v>
      </c>
      <c r="DE373" s="541">
        <v>1043.2505000000001</v>
      </c>
      <c r="DF373" s="541">
        <v>1043.2505000000001</v>
      </c>
      <c r="DG373" s="541">
        <v>1043.2505000000001</v>
      </c>
      <c r="DH373" s="541">
        <v>1043.2505000000001</v>
      </c>
    </row>
    <row r="374" spans="2:112">
      <c r="B374" t="s">
        <v>1231</v>
      </c>
      <c r="C374" t="s">
        <v>806</v>
      </c>
      <c r="D374" t="s">
        <v>919</v>
      </c>
      <c r="E374" t="s">
        <v>911</v>
      </c>
      <c r="F374" s="541">
        <v>352.44766645454541</v>
      </c>
      <c r="G374" s="541">
        <v>352.44766645454541</v>
      </c>
      <c r="H374" s="541">
        <v>352.44766645454541</v>
      </c>
      <c r="I374" s="541">
        <v>352.44766645454541</v>
      </c>
      <c r="J374" s="541">
        <v>352.44766645454541</v>
      </c>
      <c r="K374" s="541">
        <v>352.44766645454541</v>
      </c>
      <c r="L374" s="541">
        <v>352.44766645454541</v>
      </c>
      <c r="M374" s="541">
        <v>352.44766645454541</v>
      </c>
      <c r="N374" s="541">
        <v>352.44766645454541</v>
      </c>
      <c r="O374" s="541">
        <v>352.44766645454541</v>
      </c>
      <c r="P374" s="541">
        <v>352.44766645454541</v>
      </c>
      <c r="Q374" s="541">
        <v>352.44766645454541</v>
      </c>
      <c r="R374" s="541">
        <v>352.44766645454541</v>
      </c>
      <c r="S374" s="541">
        <v>352.44766645454541</v>
      </c>
      <c r="T374" s="541">
        <v>352.44766645454541</v>
      </c>
      <c r="U374" s="541">
        <v>352.44766645454541</v>
      </c>
      <c r="V374" s="541">
        <v>352.44766645454541</v>
      </c>
      <c r="W374" s="541">
        <v>352.44766645454541</v>
      </c>
      <c r="X374" s="541">
        <v>352.44766645454541</v>
      </c>
      <c r="Y374" s="541">
        <v>352.44766645454541</v>
      </c>
      <c r="Z374" s="541">
        <v>352.44766645454541</v>
      </c>
      <c r="AA374" s="541">
        <v>352.44766645454541</v>
      </c>
      <c r="AB374" s="541">
        <v>352.44766645454541</v>
      </c>
      <c r="AC374" s="541">
        <v>352.44766645454541</v>
      </c>
      <c r="AD374" s="541">
        <v>352.44766645454541</v>
      </c>
      <c r="AE374" s="541">
        <v>352.44766645454541</v>
      </c>
      <c r="AF374" s="541">
        <v>352.44766645454541</v>
      </c>
      <c r="AG374" s="541">
        <v>352.44766645454541</v>
      </c>
      <c r="AH374" s="542">
        <f t="shared" si="267"/>
        <v>352.44766645454541</v>
      </c>
      <c r="AI374" s="542">
        <f t="shared" si="267"/>
        <v>352.44766645454541</v>
      </c>
      <c r="AJ374" s="542">
        <f t="shared" si="267"/>
        <v>352.44766645454541</v>
      </c>
      <c r="AK374" s="542">
        <f t="shared" si="267"/>
        <v>352.44766645454541</v>
      </c>
      <c r="AL374" s="542">
        <f t="shared" si="267"/>
        <v>352.44766645454541</v>
      </c>
      <c r="AM374" s="542">
        <f t="shared" si="267"/>
        <v>352.44766645454541</v>
      </c>
      <c r="AN374" s="542">
        <f t="shared" si="267"/>
        <v>352.44766645454541</v>
      </c>
      <c r="AO374" s="542">
        <f t="shared" si="267"/>
        <v>352.44766645454541</v>
      </c>
      <c r="AP374" s="542">
        <f t="shared" si="267"/>
        <v>352.44766645454541</v>
      </c>
      <c r="AQ374" s="542">
        <f t="shared" si="267"/>
        <v>352.44766645454541</v>
      </c>
      <c r="AR374" s="542">
        <f t="shared" si="267"/>
        <v>352.44766645454541</v>
      </c>
      <c r="AS374" s="542">
        <f t="shared" si="267"/>
        <v>352.44766645454541</v>
      </c>
      <c r="AT374" s="542">
        <f t="shared" si="267"/>
        <v>352.44766645454541</v>
      </c>
      <c r="AU374" s="542">
        <f t="shared" si="267"/>
        <v>352.44766645454541</v>
      </c>
      <c r="AV374" s="542">
        <f t="shared" si="267"/>
        <v>352.44766645454541</v>
      </c>
      <c r="AW374" s="542">
        <f t="shared" si="267"/>
        <v>352.44766645454541</v>
      </c>
      <c r="AX374" s="542">
        <f t="shared" si="266"/>
        <v>352.44766645454541</v>
      </c>
      <c r="AY374" s="542">
        <f t="shared" si="266"/>
        <v>352.44766645454541</v>
      </c>
      <c r="AZ374" s="542">
        <f t="shared" si="266"/>
        <v>352.44766645454541</v>
      </c>
      <c r="BA374" s="542">
        <f t="shared" si="266"/>
        <v>352.44766645454541</v>
      </c>
      <c r="BB374" s="542">
        <f t="shared" si="266"/>
        <v>352.44766645454541</v>
      </c>
      <c r="BC374" s="542">
        <f t="shared" si="266"/>
        <v>352.44766645454541</v>
      </c>
      <c r="BD374" s="542">
        <f t="shared" si="266"/>
        <v>352.44766645454541</v>
      </c>
      <c r="BE374" s="542">
        <f t="shared" si="266"/>
        <v>352.44766645454541</v>
      </c>
      <c r="BF374" s="542">
        <f t="shared" si="266"/>
        <v>352.44766645454541</v>
      </c>
      <c r="BG374" s="542">
        <f t="shared" si="266"/>
        <v>352.44766645454541</v>
      </c>
      <c r="BH374" s="542">
        <f t="shared" si="266"/>
        <v>352.44766645454541</v>
      </c>
      <c r="BI374" s="542">
        <f t="shared" si="266"/>
        <v>352.44766645454541</v>
      </c>
      <c r="BJ374" s="542">
        <f t="shared" si="266"/>
        <v>352.44766645454541</v>
      </c>
      <c r="BK374" s="542">
        <f t="shared" si="266"/>
        <v>352.44766645454541</v>
      </c>
      <c r="BL374" s="542">
        <f t="shared" si="266"/>
        <v>352.44766645454541</v>
      </c>
      <c r="BM374" s="542">
        <f t="shared" si="266"/>
        <v>352.44766645454541</v>
      </c>
      <c r="BN374" s="542">
        <f t="shared" si="266"/>
        <v>352.44766645454541</v>
      </c>
      <c r="BO374" s="542">
        <f t="shared" si="266"/>
        <v>352.44766645454541</v>
      </c>
      <c r="BP374" s="542">
        <f t="shared" si="266"/>
        <v>352.44766645454541</v>
      </c>
      <c r="BQ374" s="542">
        <f t="shared" si="266"/>
        <v>352.44766645454541</v>
      </c>
      <c r="BR374" s="542">
        <f t="shared" si="266"/>
        <v>352.44766645454541</v>
      </c>
      <c r="BS374" s="542">
        <f t="shared" si="266"/>
        <v>352.44766645454541</v>
      </c>
      <c r="BT374" s="542">
        <f t="shared" si="266"/>
        <v>352.44766645454541</v>
      </c>
      <c r="BU374" s="542">
        <f t="shared" si="266"/>
        <v>352.44766645454541</v>
      </c>
      <c r="BV374" s="542">
        <f t="shared" si="266"/>
        <v>352.44766645454541</v>
      </c>
      <c r="BW374" s="542">
        <f t="shared" si="266"/>
        <v>352.44766645454541</v>
      </c>
      <c r="BX374" s="542">
        <f t="shared" si="266"/>
        <v>352.44766645454541</v>
      </c>
      <c r="BY374" s="542">
        <f t="shared" si="266"/>
        <v>352.44766645454541</v>
      </c>
      <c r="BZ374" s="542">
        <f t="shared" si="266"/>
        <v>352.44766645454541</v>
      </c>
      <c r="CA374" s="542">
        <f t="shared" si="266"/>
        <v>352.44766645454541</v>
      </c>
      <c r="CB374" s="542">
        <f t="shared" si="266"/>
        <v>352.44766645454541</v>
      </c>
      <c r="CC374" s="542">
        <f t="shared" si="266"/>
        <v>352.44766645454541</v>
      </c>
      <c r="CD374" s="542">
        <f t="shared" si="266"/>
        <v>352.44766645454541</v>
      </c>
      <c r="CE374" s="542">
        <f t="shared" si="266"/>
        <v>352.44766645454541</v>
      </c>
      <c r="CG374" s="541">
        <v>352.44766645454541</v>
      </c>
      <c r="CH374" s="541">
        <v>352.44766645454541</v>
      </c>
      <c r="CI374" s="541">
        <v>352.44766645454541</v>
      </c>
      <c r="CJ374" s="541">
        <v>352.44766645454541</v>
      </c>
      <c r="CK374" s="541">
        <v>352.44766645454541</v>
      </c>
      <c r="CL374" s="541">
        <v>352.44766645454541</v>
      </c>
      <c r="CM374" s="541">
        <v>352.44766645454541</v>
      </c>
      <c r="CN374" s="541">
        <v>352.44766645454541</v>
      </c>
      <c r="CO374" s="541">
        <v>352.44766645454541</v>
      </c>
      <c r="CP374" s="541">
        <v>352.44766645454541</v>
      </c>
      <c r="CQ374" s="541">
        <v>352.44766645454541</v>
      </c>
      <c r="CR374" s="541">
        <v>352.44766645454541</v>
      </c>
      <c r="CS374" s="541">
        <v>352.44766645454541</v>
      </c>
      <c r="CT374" s="541">
        <v>352.44766645454541</v>
      </c>
      <c r="CU374" s="541">
        <v>352.44766645454541</v>
      </c>
      <c r="CV374" s="541">
        <v>352.44766645454541</v>
      </c>
      <c r="CW374" s="541">
        <v>352.44766645454541</v>
      </c>
      <c r="CX374" s="541">
        <v>352.44766645454541</v>
      </c>
      <c r="CY374" s="541">
        <v>352.44766645454541</v>
      </c>
      <c r="CZ374" s="541">
        <v>352.44766645454541</v>
      </c>
      <c r="DA374" s="541">
        <v>352.44766645454541</v>
      </c>
      <c r="DB374" s="541">
        <v>352.44766645454541</v>
      </c>
      <c r="DC374" s="541">
        <v>352.44766645454541</v>
      </c>
      <c r="DD374" s="541">
        <v>352.44766645454541</v>
      </c>
      <c r="DE374" s="541">
        <v>352.44766645454541</v>
      </c>
      <c r="DF374" s="541">
        <v>352.44766645454541</v>
      </c>
      <c r="DG374" s="541">
        <v>352.44766645454541</v>
      </c>
      <c r="DH374" s="541">
        <v>352.44766645454541</v>
      </c>
    </row>
    <row r="375" spans="2:112">
      <c r="B375" t="s">
        <v>1232</v>
      </c>
      <c r="C375" t="s">
        <v>806</v>
      </c>
      <c r="D375" t="s">
        <v>921</v>
      </c>
      <c r="E375" t="s">
        <v>908</v>
      </c>
      <c r="F375" s="541">
        <v>1046.6545000000001</v>
      </c>
      <c r="G375" s="541">
        <v>1046.6545000000001</v>
      </c>
      <c r="H375" s="541">
        <v>1046.6545000000001</v>
      </c>
      <c r="I375" s="541">
        <v>1046.6545000000001</v>
      </c>
      <c r="J375" s="541">
        <v>1046.6545000000001</v>
      </c>
      <c r="K375" s="541">
        <v>1046.6545000000001</v>
      </c>
      <c r="L375" s="541">
        <v>1046.6545000000001</v>
      </c>
      <c r="M375" s="541">
        <v>1046.6545000000001</v>
      </c>
      <c r="N375" s="541">
        <v>1046.6545000000001</v>
      </c>
      <c r="O375" s="541">
        <v>1046.6545000000001</v>
      </c>
      <c r="P375" s="541">
        <v>1046.6545000000001</v>
      </c>
      <c r="Q375" s="541">
        <v>1046.6545000000001</v>
      </c>
      <c r="R375" s="541">
        <v>1046.6545000000001</v>
      </c>
      <c r="S375" s="541">
        <v>1046.6545000000001</v>
      </c>
      <c r="T375" s="541">
        <v>1046.6545000000001</v>
      </c>
      <c r="U375" s="541">
        <v>1046.6545000000001</v>
      </c>
      <c r="V375" s="541">
        <v>1046.6545000000001</v>
      </c>
      <c r="W375" s="541">
        <v>1046.6545000000001</v>
      </c>
      <c r="X375" s="541">
        <v>1046.6545000000001</v>
      </c>
      <c r="Y375" s="541">
        <v>1046.6545000000001</v>
      </c>
      <c r="Z375" s="541">
        <v>1046.6545000000001</v>
      </c>
      <c r="AA375" s="541">
        <v>1046.6545000000001</v>
      </c>
      <c r="AB375" s="541">
        <v>1046.6545000000001</v>
      </c>
      <c r="AC375" s="541">
        <v>1046.6545000000001</v>
      </c>
      <c r="AD375" s="541">
        <v>1046.6545000000001</v>
      </c>
      <c r="AE375" s="541">
        <v>1046.6545000000001</v>
      </c>
      <c r="AF375" s="541">
        <v>1046.6545000000001</v>
      </c>
      <c r="AG375" s="541">
        <v>1046.6545000000001</v>
      </c>
      <c r="AH375" s="542">
        <f t="shared" si="267"/>
        <v>1046.6545000000001</v>
      </c>
      <c r="AI375" s="542">
        <f t="shared" si="267"/>
        <v>1046.6545000000001</v>
      </c>
      <c r="AJ375" s="542">
        <f t="shared" si="267"/>
        <v>1046.6545000000001</v>
      </c>
      <c r="AK375" s="542">
        <f t="shared" si="267"/>
        <v>1046.6545000000001</v>
      </c>
      <c r="AL375" s="542">
        <f t="shared" si="267"/>
        <v>1046.6545000000001</v>
      </c>
      <c r="AM375" s="542">
        <f t="shared" si="267"/>
        <v>1046.6545000000001</v>
      </c>
      <c r="AN375" s="542">
        <f t="shared" si="267"/>
        <v>1046.6545000000001</v>
      </c>
      <c r="AO375" s="542">
        <f t="shared" si="267"/>
        <v>1046.6545000000001</v>
      </c>
      <c r="AP375" s="542">
        <f t="shared" si="267"/>
        <v>1046.6545000000001</v>
      </c>
      <c r="AQ375" s="542">
        <f t="shared" si="267"/>
        <v>1046.6545000000001</v>
      </c>
      <c r="AR375" s="542">
        <f t="shared" si="267"/>
        <v>1046.6545000000001</v>
      </c>
      <c r="AS375" s="542">
        <f t="shared" si="267"/>
        <v>1046.6545000000001</v>
      </c>
      <c r="AT375" s="542">
        <f t="shared" si="267"/>
        <v>1046.6545000000001</v>
      </c>
      <c r="AU375" s="542">
        <f t="shared" si="267"/>
        <v>1046.6545000000001</v>
      </c>
      <c r="AV375" s="542">
        <f t="shared" si="267"/>
        <v>1046.6545000000001</v>
      </c>
      <c r="AW375" s="542">
        <f t="shared" si="267"/>
        <v>1046.6545000000001</v>
      </c>
      <c r="AX375" s="542">
        <f t="shared" si="266"/>
        <v>1046.6545000000001</v>
      </c>
      <c r="AY375" s="542">
        <f t="shared" si="266"/>
        <v>1046.6545000000001</v>
      </c>
      <c r="AZ375" s="542">
        <f t="shared" si="266"/>
        <v>1046.6545000000001</v>
      </c>
      <c r="BA375" s="542">
        <f t="shared" si="266"/>
        <v>1046.6545000000001</v>
      </c>
      <c r="BB375" s="542">
        <f t="shared" si="266"/>
        <v>1046.6545000000001</v>
      </c>
      <c r="BC375" s="542">
        <f t="shared" si="266"/>
        <v>1046.6545000000001</v>
      </c>
      <c r="BD375" s="542">
        <f t="shared" si="266"/>
        <v>1046.6545000000001</v>
      </c>
      <c r="BE375" s="542">
        <f t="shared" si="266"/>
        <v>1046.6545000000001</v>
      </c>
      <c r="BF375" s="542">
        <f t="shared" si="266"/>
        <v>1046.6545000000001</v>
      </c>
      <c r="BG375" s="542">
        <f t="shared" si="266"/>
        <v>1046.6545000000001</v>
      </c>
      <c r="BH375" s="542">
        <f t="shared" si="266"/>
        <v>1046.6545000000001</v>
      </c>
      <c r="BI375" s="542">
        <f t="shared" si="266"/>
        <v>1046.6545000000001</v>
      </c>
      <c r="BJ375" s="542">
        <f t="shared" si="266"/>
        <v>1046.6545000000001</v>
      </c>
      <c r="BK375" s="542">
        <f t="shared" si="266"/>
        <v>1046.6545000000001</v>
      </c>
      <c r="BL375" s="542">
        <f t="shared" si="266"/>
        <v>1046.6545000000001</v>
      </c>
      <c r="BM375" s="542">
        <f t="shared" si="266"/>
        <v>1046.6545000000001</v>
      </c>
      <c r="BN375" s="542">
        <f t="shared" si="266"/>
        <v>1046.6545000000001</v>
      </c>
      <c r="BO375" s="542">
        <f t="shared" si="266"/>
        <v>1046.6545000000001</v>
      </c>
      <c r="BP375" s="542">
        <f t="shared" si="266"/>
        <v>1046.6545000000001</v>
      </c>
      <c r="BQ375" s="542">
        <f t="shared" si="266"/>
        <v>1046.6545000000001</v>
      </c>
      <c r="BR375" s="542">
        <f t="shared" si="266"/>
        <v>1046.6545000000001</v>
      </c>
      <c r="BS375" s="542">
        <f t="shared" si="266"/>
        <v>1046.6545000000001</v>
      </c>
      <c r="BT375" s="542">
        <f t="shared" si="266"/>
        <v>1046.6545000000001</v>
      </c>
      <c r="BU375" s="542">
        <f t="shared" si="266"/>
        <v>1046.6545000000001</v>
      </c>
      <c r="BV375" s="542">
        <f t="shared" si="266"/>
        <v>1046.6545000000001</v>
      </c>
      <c r="BW375" s="542">
        <f t="shared" si="266"/>
        <v>1046.6545000000001</v>
      </c>
      <c r="BX375" s="542">
        <f t="shared" si="266"/>
        <v>1046.6545000000001</v>
      </c>
      <c r="BY375" s="542">
        <f t="shared" si="266"/>
        <v>1046.6545000000001</v>
      </c>
      <c r="BZ375" s="542">
        <f t="shared" si="266"/>
        <v>1046.6545000000001</v>
      </c>
      <c r="CA375" s="542">
        <f t="shared" si="266"/>
        <v>1046.6545000000001</v>
      </c>
      <c r="CB375" s="542">
        <f t="shared" si="266"/>
        <v>1046.6545000000001</v>
      </c>
      <c r="CC375" s="542">
        <f t="shared" si="266"/>
        <v>1046.6545000000001</v>
      </c>
      <c r="CD375" s="542">
        <f t="shared" si="266"/>
        <v>1046.6545000000001</v>
      </c>
      <c r="CE375" s="542">
        <f t="shared" si="266"/>
        <v>1046.6545000000001</v>
      </c>
      <c r="CG375" s="541">
        <v>1046.6545000000001</v>
      </c>
      <c r="CH375" s="541">
        <v>1046.6545000000001</v>
      </c>
      <c r="CI375" s="541">
        <v>1046.6545000000001</v>
      </c>
      <c r="CJ375" s="541">
        <v>1046.6545000000001</v>
      </c>
      <c r="CK375" s="541">
        <v>1046.6545000000001</v>
      </c>
      <c r="CL375" s="541">
        <v>1046.6545000000001</v>
      </c>
      <c r="CM375" s="541">
        <v>1046.6545000000001</v>
      </c>
      <c r="CN375" s="541">
        <v>1046.6545000000001</v>
      </c>
      <c r="CO375" s="541">
        <v>1046.6545000000001</v>
      </c>
      <c r="CP375" s="541">
        <v>1046.6545000000001</v>
      </c>
      <c r="CQ375" s="541">
        <v>1046.6545000000001</v>
      </c>
      <c r="CR375" s="541">
        <v>1046.6545000000001</v>
      </c>
      <c r="CS375" s="541">
        <v>1046.6545000000001</v>
      </c>
      <c r="CT375" s="541">
        <v>1046.6545000000001</v>
      </c>
      <c r="CU375" s="541">
        <v>1046.6545000000001</v>
      </c>
      <c r="CV375" s="541">
        <v>1046.6545000000001</v>
      </c>
      <c r="CW375" s="541">
        <v>1046.6545000000001</v>
      </c>
      <c r="CX375" s="541">
        <v>1046.6545000000001</v>
      </c>
      <c r="CY375" s="541">
        <v>1046.6545000000001</v>
      </c>
      <c r="CZ375" s="541">
        <v>1046.6545000000001</v>
      </c>
      <c r="DA375" s="541">
        <v>1046.6545000000001</v>
      </c>
      <c r="DB375" s="541">
        <v>1046.6545000000001</v>
      </c>
      <c r="DC375" s="541">
        <v>1046.6545000000001</v>
      </c>
      <c r="DD375" s="541">
        <v>1046.6545000000001</v>
      </c>
      <c r="DE375" s="541">
        <v>1046.6545000000001</v>
      </c>
      <c r="DF375" s="541">
        <v>1046.6545000000001</v>
      </c>
      <c r="DG375" s="541">
        <v>1046.6545000000001</v>
      </c>
      <c r="DH375" s="541">
        <v>1046.6545000000001</v>
      </c>
    </row>
    <row r="376" spans="2:112">
      <c r="B376" t="s">
        <v>1233</v>
      </c>
      <c r="C376" t="s">
        <v>806</v>
      </c>
      <c r="D376" t="s">
        <v>923</v>
      </c>
      <c r="E376" t="s">
        <v>911</v>
      </c>
      <c r="F376" s="541">
        <v>352.48170645454542</v>
      </c>
      <c r="G376" s="541">
        <v>352.48170645454542</v>
      </c>
      <c r="H376" s="541">
        <v>352.48170645454542</v>
      </c>
      <c r="I376" s="541">
        <v>352.48170645454542</v>
      </c>
      <c r="J376" s="541">
        <v>352.48170645454542</v>
      </c>
      <c r="K376" s="541">
        <v>352.48170645454542</v>
      </c>
      <c r="L376" s="541">
        <v>352.48170645454542</v>
      </c>
      <c r="M376" s="541">
        <v>352.48170645454542</v>
      </c>
      <c r="N376" s="541">
        <v>352.48170645454542</v>
      </c>
      <c r="O376" s="541">
        <v>352.48170645454542</v>
      </c>
      <c r="P376" s="541">
        <v>352.48170645454542</v>
      </c>
      <c r="Q376" s="541">
        <v>352.48170645454542</v>
      </c>
      <c r="R376" s="541">
        <v>352.48170645454542</v>
      </c>
      <c r="S376" s="541">
        <v>352.48170645454542</v>
      </c>
      <c r="T376" s="541">
        <v>352.48170645454542</v>
      </c>
      <c r="U376" s="541">
        <v>352.48170645454542</v>
      </c>
      <c r="V376" s="541">
        <v>352.48170645454542</v>
      </c>
      <c r="W376" s="541">
        <v>352.48170645454542</v>
      </c>
      <c r="X376" s="541">
        <v>352.48170645454542</v>
      </c>
      <c r="Y376" s="541">
        <v>352.48170645454542</v>
      </c>
      <c r="Z376" s="541">
        <v>352.48170645454542</v>
      </c>
      <c r="AA376" s="541">
        <v>352.48170645454542</v>
      </c>
      <c r="AB376" s="541">
        <v>352.48170645454542</v>
      </c>
      <c r="AC376" s="541">
        <v>352.48170645454542</v>
      </c>
      <c r="AD376" s="541">
        <v>352.48170645454542</v>
      </c>
      <c r="AE376" s="541">
        <v>352.48170645454542</v>
      </c>
      <c r="AF376" s="541">
        <v>352.48170645454542</v>
      </c>
      <c r="AG376" s="541">
        <v>352.48170645454542</v>
      </c>
      <c r="AH376" s="542">
        <f t="shared" si="267"/>
        <v>352.48170645454542</v>
      </c>
      <c r="AI376" s="542">
        <f t="shared" si="267"/>
        <v>352.48170645454542</v>
      </c>
      <c r="AJ376" s="542">
        <f t="shared" si="267"/>
        <v>352.48170645454542</v>
      </c>
      <c r="AK376" s="542">
        <f t="shared" si="267"/>
        <v>352.48170645454542</v>
      </c>
      <c r="AL376" s="542">
        <f t="shared" si="267"/>
        <v>352.48170645454542</v>
      </c>
      <c r="AM376" s="542">
        <f t="shared" si="267"/>
        <v>352.48170645454542</v>
      </c>
      <c r="AN376" s="542">
        <f t="shared" si="267"/>
        <v>352.48170645454542</v>
      </c>
      <c r="AO376" s="542">
        <f t="shared" si="267"/>
        <v>352.48170645454542</v>
      </c>
      <c r="AP376" s="542">
        <f t="shared" si="267"/>
        <v>352.48170645454542</v>
      </c>
      <c r="AQ376" s="542">
        <f t="shared" si="267"/>
        <v>352.48170645454542</v>
      </c>
      <c r="AR376" s="542">
        <f t="shared" si="267"/>
        <v>352.48170645454542</v>
      </c>
      <c r="AS376" s="542">
        <f t="shared" si="267"/>
        <v>352.48170645454542</v>
      </c>
      <c r="AT376" s="542">
        <f t="shared" si="267"/>
        <v>352.48170645454542</v>
      </c>
      <c r="AU376" s="542">
        <f t="shared" si="267"/>
        <v>352.48170645454542</v>
      </c>
      <c r="AV376" s="542">
        <f t="shared" si="267"/>
        <v>352.48170645454542</v>
      </c>
      <c r="AW376" s="542">
        <f t="shared" si="267"/>
        <v>352.48170645454542</v>
      </c>
      <c r="AX376" s="542">
        <f t="shared" si="266"/>
        <v>352.48170645454542</v>
      </c>
      <c r="AY376" s="542">
        <f t="shared" si="266"/>
        <v>352.48170645454542</v>
      </c>
      <c r="AZ376" s="542">
        <f t="shared" si="266"/>
        <v>352.48170645454542</v>
      </c>
      <c r="BA376" s="542">
        <f t="shared" si="266"/>
        <v>352.48170645454542</v>
      </c>
      <c r="BB376" s="542">
        <f t="shared" si="266"/>
        <v>352.48170645454542</v>
      </c>
      <c r="BC376" s="542">
        <f t="shared" si="266"/>
        <v>352.48170645454542</v>
      </c>
      <c r="BD376" s="542">
        <f t="shared" si="266"/>
        <v>352.48170645454542</v>
      </c>
      <c r="BE376" s="542">
        <f t="shared" si="266"/>
        <v>352.48170645454542</v>
      </c>
      <c r="BF376" s="542">
        <f t="shared" si="266"/>
        <v>352.48170645454542</v>
      </c>
      <c r="BG376" s="542">
        <f t="shared" si="266"/>
        <v>352.48170645454542</v>
      </c>
      <c r="BH376" s="542">
        <f t="shared" si="266"/>
        <v>352.48170645454542</v>
      </c>
      <c r="BI376" s="542">
        <f t="shared" si="266"/>
        <v>352.48170645454542</v>
      </c>
      <c r="BJ376" s="542">
        <f t="shared" si="266"/>
        <v>352.48170645454542</v>
      </c>
      <c r="BK376" s="542">
        <f t="shared" si="266"/>
        <v>352.48170645454542</v>
      </c>
      <c r="BL376" s="542">
        <f t="shared" si="266"/>
        <v>352.48170645454542</v>
      </c>
      <c r="BM376" s="542">
        <f t="shared" si="266"/>
        <v>352.48170645454542</v>
      </c>
      <c r="BN376" s="542">
        <f t="shared" si="266"/>
        <v>352.48170645454542</v>
      </c>
      <c r="BO376" s="542">
        <f t="shared" si="266"/>
        <v>352.48170645454542</v>
      </c>
      <c r="BP376" s="542">
        <f t="shared" si="266"/>
        <v>352.48170645454542</v>
      </c>
      <c r="BQ376" s="542">
        <f t="shared" si="266"/>
        <v>352.48170645454542</v>
      </c>
      <c r="BR376" s="542">
        <f t="shared" si="266"/>
        <v>352.48170645454542</v>
      </c>
      <c r="BS376" s="542">
        <f t="shared" si="266"/>
        <v>352.48170645454542</v>
      </c>
      <c r="BT376" s="542">
        <f t="shared" si="266"/>
        <v>352.48170645454542</v>
      </c>
      <c r="BU376" s="542">
        <f t="shared" si="266"/>
        <v>352.48170645454542</v>
      </c>
      <c r="BV376" s="542">
        <f t="shared" si="266"/>
        <v>352.48170645454542</v>
      </c>
      <c r="BW376" s="542">
        <f t="shared" si="266"/>
        <v>352.48170645454542</v>
      </c>
      <c r="BX376" s="542">
        <f t="shared" si="266"/>
        <v>352.48170645454542</v>
      </c>
      <c r="BY376" s="542">
        <f t="shared" si="266"/>
        <v>352.48170645454542</v>
      </c>
      <c r="BZ376" s="542">
        <f t="shared" si="266"/>
        <v>352.48170645454542</v>
      </c>
      <c r="CA376" s="542">
        <f t="shared" si="266"/>
        <v>352.48170645454542</v>
      </c>
      <c r="CB376" s="542">
        <f t="shared" si="266"/>
        <v>352.48170645454542</v>
      </c>
      <c r="CC376" s="542">
        <f t="shared" si="266"/>
        <v>352.48170645454542</v>
      </c>
      <c r="CD376" s="542">
        <f t="shared" si="266"/>
        <v>352.48170645454542</v>
      </c>
      <c r="CE376" s="542">
        <f t="shared" si="266"/>
        <v>352.48170645454542</v>
      </c>
      <c r="CG376" s="541">
        <v>352.48170645454542</v>
      </c>
      <c r="CH376" s="541">
        <v>352.48170645454542</v>
      </c>
      <c r="CI376" s="541">
        <v>352.48170645454542</v>
      </c>
      <c r="CJ376" s="541">
        <v>352.48170645454542</v>
      </c>
      <c r="CK376" s="541">
        <v>352.48170645454542</v>
      </c>
      <c r="CL376" s="541">
        <v>352.48170645454542</v>
      </c>
      <c r="CM376" s="541">
        <v>352.48170645454542</v>
      </c>
      <c r="CN376" s="541">
        <v>352.48170645454542</v>
      </c>
      <c r="CO376" s="541">
        <v>352.48170645454542</v>
      </c>
      <c r="CP376" s="541">
        <v>352.48170645454542</v>
      </c>
      <c r="CQ376" s="541">
        <v>352.48170645454542</v>
      </c>
      <c r="CR376" s="541">
        <v>352.48170645454542</v>
      </c>
      <c r="CS376" s="541">
        <v>352.48170645454542</v>
      </c>
      <c r="CT376" s="541">
        <v>352.48170645454542</v>
      </c>
      <c r="CU376" s="541">
        <v>352.48170645454542</v>
      </c>
      <c r="CV376" s="541">
        <v>352.48170645454542</v>
      </c>
      <c r="CW376" s="541">
        <v>352.48170645454542</v>
      </c>
      <c r="CX376" s="541">
        <v>352.48170645454542</v>
      </c>
      <c r="CY376" s="541">
        <v>352.48170645454542</v>
      </c>
      <c r="CZ376" s="541">
        <v>352.48170645454542</v>
      </c>
      <c r="DA376" s="541">
        <v>352.48170645454542</v>
      </c>
      <c r="DB376" s="541">
        <v>352.48170645454542</v>
      </c>
      <c r="DC376" s="541">
        <v>352.48170645454542</v>
      </c>
      <c r="DD376" s="541">
        <v>352.48170645454542</v>
      </c>
      <c r="DE376" s="541">
        <v>352.48170645454542</v>
      </c>
      <c r="DF376" s="541">
        <v>352.48170645454542</v>
      </c>
      <c r="DG376" s="541">
        <v>352.48170645454542</v>
      </c>
      <c r="DH376" s="541">
        <v>352.48170645454542</v>
      </c>
    </row>
    <row r="377" spans="2:112">
      <c r="B377" t="s">
        <v>924</v>
      </c>
    </row>
    <row r="378" spans="2:112" ht="15">
      <c r="B378" t="s">
        <v>1234</v>
      </c>
      <c r="C378" s="485" t="s">
        <v>821</v>
      </c>
      <c r="D378" s="485" t="s">
        <v>877</v>
      </c>
      <c r="E378" s="485" t="s">
        <v>111</v>
      </c>
      <c r="F378" s="486">
        <f>2023</f>
        <v>2023</v>
      </c>
      <c r="G378" s="486">
        <f>F378+1</f>
        <v>2024</v>
      </c>
      <c r="H378" s="486">
        <f t="shared" ref="H378:AG378" si="268">G378+1</f>
        <v>2025</v>
      </c>
      <c r="I378" s="486">
        <f t="shared" si="268"/>
        <v>2026</v>
      </c>
      <c r="J378" s="486">
        <f t="shared" si="268"/>
        <v>2027</v>
      </c>
      <c r="K378" s="486">
        <f t="shared" si="268"/>
        <v>2028</v>
      </c>
      <c r="L378" s="486">
        <f t="shared" si="268"/>
        <v>2029</v>
      </c>
      <c r="M378" s="486">
        <f t="shared" si="268"/>
        <v>2030</v>
      </c>
      <c r="N378" s="486">
        <f t="shared" si="268"/>
        <v>2031</v>
      </c>
      <c r="O378" s="486">
        <f t="shared" si="268"/>
        <v>2032</v>
      </c>
      <c r="P378" s="486">
        <f t="shared" si="268"/>
        <v>2033</v>
      </c>
      <c r="Q378" s="486">
        <f t="shared" si="268"/>
        <v>2034</v>
      </c>
      <c r="R378" s="486">
        <f t="shared" si="268"/>
        <v>2035</v>
      </c>
      <c r="S378" s="486">
        <f t="shared" si="268"/>
        <v>2036</v>
      </c>
      <c r="T378" s="486">
        <f t="shared" si="268"/>
        <v>2037</v>
      </c>
      <c r="U378" s="486">
        <f t="shared" si="268"/>
        <v>2038</v>
      </c>
      <c r="V378" s="486">
        <f t="shared" si="268"/>
        <v>2039</v>
      </c>
      <c r="W378" s="486">
        <f t="shared" si="268"/>
        <v>2040</v>
      </c>
      <c r="X378" s="486">
        <f t="shared" si="268"/>
        <v>2041</v>
      </c>
      <c r="Y378" s="486">
        <f t="shared" si="268"/>
        <v>2042</v>
      </c>
      <c r="Z378" s="486">
        <f t="shared" si="268"/>
        <v>2043</v>
      </c>
      <c r="AA378" s="486">
        <f t="shared" si="268"/>
        <v>2044</v>
      </c>
      <c r="AB378" s="486">
        <f t="shared" si="268"/>
        <v>2045</v>
      </c>
      <c r="AC378" s="486">
        <f t="shared" si="268"/>
        <v>2046</v>
      </c>
      <c r="AD378" s="486">
        <f t="shared" si="268"/>
        <v>2047</v>
      </c>
      <c r="AE378" s="486">
        <f t="shared" si="268"/>
        <v>2048</v>
      </c>
      <c r="AF378" s="486">
        <f t="shared" si="268"/>
        <v>2049</v>
      </c>
      <c r="AG378" s="486">
        <f t="shared" si="268"/>
        <v>2050</v>
      </c>
      <c r="AH378" s="524">
        <f>AG378+1</f>
        <v>2051</v>
      </c>
      <c r="AI378" s="524">
        <f t="shared" ref="AI378:CE378" si="269">AH378+1</f>
        <v>2052</v>
      </c>
      <c r="AJ378" s="524">
        <f t="shared" si="269"/>
        <v>2053</v>
      </c>
      <c r="AK378" s="524">
        <f t="shared" si="269"/>
        <v>2054</v>
      </c>
      <c r="AL378" s="524">
        <f t="shared" si="269"/>
        <v>2055</v>
      </c>
      <c r="AM378" s="524">
        <f t="shared" si="269"/>
        <v>2056</v>
      </c>
      <c r="AN378" s="524">
        <f t="shared" si="269"/>
        <v>2057</v>
      </c>
      <c r="AO378" s="524">
        <f t="shared" si="269"/>
        <v>2058</v>
      </c>
      <c r="AP378" s="524">
        <f t="shared" si="269"/>
        <v>2059</v>
      </c>
      <c r="AQ378" s="524">
        <f t="shared" si="269"/>
        <v>2060</v>
      </c>
      <c r="AR378" s="524">
        <f t="shared" si="269"/>
        <v>2061</v>
      </c>
      <c r="AS378" s="524">
        <f t="shared" si="269"/>
        <v>2062</v>
      </c>
      <c r="AT378" s="524">
        <f t="shared" si="269"/>
        <v>2063</v>
      </c>
      <c r="AU378" s="524">
        <f t="shared" si="269"/>
        <v>2064</v>
      </c>
      <c r="AV378" s="524">
        <f t="shared" si="269"/>
        <v>2065</v>
      </c>
      <c r="AW378" s="524">
        <f t="shared" si="269"/>
        <v>2066</v>
      </c>
      <c r="AX378" s="524">
        <f t="shared" si="269"/>
        <v>2067</v>
      </c>
      <c r="AY378" s="524">
        <f t="shared" si="269"/>
        <v>2068</v>
      </c>
      <c r="AZ378" s="524">
        <f t="shared" si="269"/>
        <v>2069</v>
      </c>
      <c r="BA378" s="524">
        <f t="shared" si="269"/>
        <v>2070</v>
      </c>
      <c r="BB378" s="524">
        <f t="shared" si="269"/>
        <v>2071</v>
      </c>
      <c r="BC378" s="524">
        <f t="shared" si="269"/>
        <v>2072</v>
      </c>
      <c r="BD378" s="524">
        <f t="shared" si="269"/>
        <v>2073</v>
      </c>
      <c r="BE378" s="524">
        <f t="shared" si="269"/>
        <v>2074</v>
      </c>
      <c r="BF378" s="524">
        <f t="shared" si="269"/>
        <v>2075</v>
      </c>
      <c r="BG378" s="524">
        <f t="shared" si="269"/>
        <v>2076</v>
      </c>
      <c r="BH378" s="524">
        <f t="shared" si="269"/>
        <v>2077</v>
      </c>
      <c r="BI378" s="524">
        <f t="shared" si="269"/>
        <v>2078</v>
      </c>
      <c r="BJ378" s="524">
        <f t="shared" si="269"/>
        <v>2079</v>
      </c>
      <c r="BK378" s="524">
        <f t="shared" si="269"/>
        <v>2080</v>
      </c>
      <c r="BL378" s="524">
        <f t="shared" si="269"/>
        <v>2081</v>
      </c>
      <c r="BM378" s="524">
        <f t="shared" si="269"/>
        <v>2082</v>
      </c>
      <c r="BN378" s="524">
        <f t="shared" si="269"/>
        <v>2083</v>
      </c>
      <c r="BO378" s="524">
        <f t="shared" si="269"/>
        <v>2084</v>
      </c>
      <c r="BP378" s="524">
        <f t="shared" si="269"/>
        <v>2085</v>
      </c>
      <c r="BQ378" s="524">
        <f t="shared" si="269"/>
        <v>2086</v>
      </c>
      <c r="BR378" s="524">
        <f t="shared" si="269"/>
        <v>2087</v>
      </c>
      <c r="BS378" s="524">
        <f t="shared" si="269"/>
        <v>2088</v>
      </c>
      <c r="BT378" s="524">
        <f t="shared" si="269"/>
        <v>2089</v>
      </c>
      <c r="BU378" s="524">
        <f t="shared" si="269"/>
        <v>2090</v>
      </c>
      <c r="BV378" s="524">
        <f t="shared" si="269"/>
        <v>2091</v>
      </c>
      <c r="BW378" s="524">
        <f t="shared" si="269"/>
        <v>2092</v>
      </c>
      <c r="BX378" s="524">
        <f t="shared" si="269"/>
        <v>2093</v>
      </c>
      <c r="BY378" s="524">
        <f t="shared" si="269"/>
        <v>2094</v>
      </c>
      <c r="BZ378" s="524">
        <f t="shared" si="269"/>
        <v>2095</v>
      </c>
      <c r="CA378" s="524">
        <f t="shared" si="269"/>
        <v>2096</v>
      </c>
      <c r="CB378" s="524">
        <f t="shared" si="269"/>
        <v>2097</v>
      </c>
      <c r="CC378" s="524">
        <f t="shared" si="269"/>
        <v>2098</v>
      </c>
      <c r="CD378" s="524">
        <f t="shared" si="269"/>
        <v>2099</v>
      </c>
      <c r="CE378" s="524">
        <f t="shared" si="269"/>
        <v>2100</v>
      </c>
      <c r="CG378" s="486">
        <v>2023</v>
      </c>
      <c r="CH378" s="486">
        <v>2024</v>
      </c>
      <c r="CI378" s="486">
        <v>2025</v>
      </c>
      <c r="CJ378" s="486">
        <v>2026</v>
      </c>
      <c r="CK378" s="486">
        <v>2027</v>
      </c>
      <c r="CL378" s="486">
        <v>2028</v>
      </c>
      <c r="CM378" s="486">
        <v>2029</v>
      </c>
      <c r="CN378" s="486">
        <v>2030</v>
      </c>
      <c r="CO378" s="486">
        <v>2031</v>
      </c>
      <c r="CP378" s="486">
        <v>2032</v>
      </c>
      <c r="CQ378" s="486">
        <v>2033</v>
      </c>
      <c r="CR378" s="486">
        <v>2034</v>
      </c>
      <c r="CS378" s="486">
        <v>2035</v>
      </c>
      <c r="CT378" s="486">
        <v>2036</v>
      </c>
      <c r="CU378" s="486">
        <v>2037</v>
      </c>
      <c r="CV378" s="486">
        <v>2038</v>
      </c>
      <c r="CW378" s="486">
        <v>2039</v>
      </c>
      <c r="CX378" s="486">
        <v>2040</v>
      </c>
      <c r="CY378" s="486">
        <v>2041</v>
      </c>
      <c r="CZ378" s="486">
        <v>2042</v>
      </c>
      <c r="DA378" s="486">
        <v>2043</v>
      </c>
      <c r="DB378" s="486">
        <v>2044</v>
      </c>
      <c r="DC378" s="486">
        <v>2045</v>
      </c>
      <c r="DD378" s="486">
        <v>2046</v>
      </c>
      <c r="DE378" s="486">
        <v>2047</v>
      </c>
      <c r="DF378" s="486">
        <v>2048</v>
      </c>
      <c r="DG378" s="486">
        <v>2049</v>
      </c>
      <c r="DH378" s="486">
        <v>2050</v>
      </c>
    </row>
    <row r="379" spans="2:112">
      <c r="B379" t="s">
        <v>1235</v>
      </c>
      <c r="C379" t="s">
        <v>821</v>
      </c>
      <c r="D379" t="s">
        <v>879</v>
      </c>
      <c r="E379" t="s">
        <v>737</v>
      </c>
      <c r="F379" s="525">
        <v>10000</v>
      </c>
      <c r="G379" s="525">
        <v>10000</v>
      </c>
      <c r="H379" s="525">
        <v>10000</v>
      </c>
      <c r="I379" s="525">
        <v>10000</v>
      </c>
      <c r="J379" s="525">
        <v>10000</v>
      </c>
      <c r="K379" s="525">
        <v>10000</v>
      </c>
      <c r="L379" s="525">
        <v>10000</v>
      </c>
      <c r="M379" s="525">
        <v>10000</v>
      </c>
      <c r="N379" s="525">
        <v>10000</v>
      </c>
      <c r="O379" s="525">
        <v>10000</v>
      </c>
      <c r="P379" s="525">
        <v>10000</v>
      </c>
      <c r="Q379" s="525">
        <v>10000</v>
      </c>
      <c r="R379" s="525">
        <v>10000</v>
      </c>
      <c r="S379" s="525">
        <v>10000</v>
      </c>
      <c r="T379" s="525">
        <v>10000</v>
      </c>
      <c r="U379" s="525">
        <v>10000</v>
      </c>
      <c r="V379" s="525">
        <v>10000</v>
      </c>
      <c r="W379" s="525">
        <v>10000</v>
      </c>
      <c r="X379" s="525">
        <v>10000</v>
      </c>
      <c r="Y379" s="525">
        <v>10000</v>
      </c>
      <c r="Z379" s="525">
        <v>10000</v>
      </c>
      <c r="AA379" s="525">
        <v>10000</v>
      </c>
      <c r="AB379" s="525">
        <v>10000</v>
      </c>
      <c r="AC379" s="525">
        <v>10000</v>
      </c>
      <c r="AD379" s="525">
        <v>10000</v>
      </c>
      <c r="AE379" s="525">
        <v>10000</v>
      </c>
      <c r="AF379" s="525">
        <v>10000</v>
      </c>
      <c r="AG379" s="525">
        <v>10000</v>
      </c>
      <c r="AH379" s="526">
        <f>AG379</f>
        <v>10000</v>
      </c>
      <c r="AI379" s="526">
        <f t="shared" ref="AI379:AX379" si="270">AH379</f>
        <v>10000</v>
      </c>
      <c r="AJ379" s="526">
        <f t="shared" si="270"/>
        <v>10000</v>
      </c>
      <c r="AK379" s="526">
        <f t="shared" si="270"/>
        <v>10000</v>
      </c>
      <c r="AL379" s="526">
        <f t="shared" si="270"/>
        <v>10000</v>
      </c>
      <c r="AM379" s="526">
        <f t="shared" si="270"/>
        <v>10000</v>
      </c>
      <c r="AN379" s="526">
        <f t="shared" si="270"/>
        <v>10000</v>
      </c>
      <c r="AO379" s="526">
        <f t="shared" si="270"/>
        <v>10000</v>
      </c>
      <c r="AP379" s="526">
        <f t="shared" si="270"/>
        <v>10000</v>
      </c>
      <c r="AQ379" s="526">
        <f t="shared" si="270"/>
        <v>10000</v>
      </c>
      <c r="AR379" s="526">
        <f t="shared" si="270"/>
        <v>10000</v>
      </c>
      <c r="AS379" s="526">
        <f t="shared" si="270"/>
        <v>10000</v>
      </c>
      <c r="AT379" s="526">
        <f t="shared" si="270"/>
        <v>10000</v>
      </c>
      <c r="AU379" s="526">
        <f t="shared" si="270"/>
        <v>10000</v>
      </c>
      <c r="AV379" s="526">
        <f t="shared" si="270"/>
        <v>10000</v>
      </c>
      <c r="AW379" s="526">
        <f t="shared" si="270"/>
        <v>10000</v>
      </c>
      <c r="AX379" s="526">
        <f t="shared" si="270"/>
        <v>10000</v>
      </c>
      <c r="AY379" s="526">
        <f t="shared" ref="AY379:BN379" si="271">AX379</f>
        <v>10000</v>
      </c>
      <c r="AZ379" s="526">
        <f t="shared" si="271"/>
        <v>10000</v>
      </c>
      <c r="BA379" s="526">
        <f t="shared" si="271"/>
        <v>10000</v>
      </c>
      <c r="BB379" s="526">
        <f t="shared" si="271"/>
        <v>10000</v>
      </c>
      <c r="BC379" s="526">
        <f t="shared" si="271"/>
        <v>10000</v>
      </c>
      <c r="BD379" s="526">
        <f t="shared" si="271"/>
        <v>10000</v>
      </c>
      <c r="BE379" s="526">
        <f t="shared" si="271"/>
        <v>10000</v>
      </c>
      <c r="BF379" s="526">
        <f t="shared" si="271"/>
        <v>10000</v>
      </c>
      <c r="BG379" s="526">
        <f t="shared" si="271"/>
        <v>10000</v>
      </c>
      <c r="BH379" s="526">
        <f t="shared" si="271"/>
        <v>10000</v>
      </c>
      <c r="BI379" s="526">
        <f t="shared" si="271"/>
        <v>10000</v>
      </c>
      <c r="BJ379" s="526">
        <f t="shared" si="271"/>
        <v>10000</v>
      </c>
      <c r="BK379" s="526">
        <f t="shared" si="271"/>
        <v>10000</v>
      </c>
      <c r="BL379" s="526">
        <f t="shared" si="271"/>
        <v>10000</v>
      </c>
      <c r="BM379" s="526">
        <f t="shared" si="271"/>
        <v>10000</v>
      </c>
      <c r="BN379" s="526">
        <f t="shared" si="271"/>
        <v>10000</v>
      </c>
      <c r="BO379" s="526">
        <f t="shared" ref="BO379:CD379" si="272">BN379</f>
        <v>10000</v>
      </c>
      <c r="BP379" s="526">
        <f t="shared" si="272"/>
        <v>10000</v>
      </c>
      <c r="BQ379" s="526">
        <f t="shared" si="272"/>
        <v>10000</v>
      </c>
      <c r="BR379" s="526">
        <f t="shared" si="272"/>
        <v>10000</v>
      </c>
      <c r="BS379" s="526">
        <f t="shared" si="272"/>
        <v>10000</v>
      </c>
      <c r="BT379" s="526">
        <f t="shared" si="272"/>
        <v>10000</v>
      </c>
      <c r="BU379" s="526">
        <f t="shared" si="272"/>
        <v>10000</v>
      </c>
      <c r="BV379" s="526">
        <f t="shared" si="272"/>
        <v>10000</v>
      </c>
      <c r="BW379" s="526">
        <f t="shared" si="272"/>
        <v>10000</v>
      </c>
      <c r="BX379" s="526">
        <f t="shared" si="272"/>
        <v>10000</v>
      </c>
      <c r="BY379" s="526">
        <f t="shared" si="272"/>
        <v>10000</v>
      </c>
      <c r="BZ379" s="526">
        <f t="shared" si="272"/>
        <v>10000</v>
      </c>
      <c r="CA379" s="526">
        <f t="shared" si="272"/>
        <v>10000</v>
      </c>
      <c r="CB379" s="526">
        <f t="shared" si="272"/>
        <v>10000</v>
      </c>
      <c r="CC379" s="526">
        <f t="shared" si="272"/>
        <v>10000</v>
      </c>
      <c r="CD379" s="526">
        <f t="shared" si="272"/>
        <v>10000</v>
      </c>
      <c r="CE379" s="526">
        <f t="shared" ref="AX379:CE387" si="273">CD379</f>
        <v>10000</v>
      </c>
      <c r="CG379" s="536">
        <v>10000</v>
      </c>
      <c r="CH379" s="536">
        <v>10000</v>
      </c>
      <c r="CI379" s="536">
        <v>10000</v>
      </c>
      <c r="CJ379" s="536">
        <v>10000</v>
      </c>
      <c r="CK379" s="536">
        <v>10000</v>
      </c>
      <c r="CL379" s="536">
        <v>10000</v>
      </c>
      <c r="CM379" s="536">
        <v>10000</v>
      </c>
      <c r="CN379" s="536">
        <v>10000</v>
      </c>
      <c r="CO379" s="536">
        <v>10000</v>
      </c>
      <c r="CP379" s="536">
        <v>10000</v>
      </c>
      <c r="CQ379" s="536">
        <v>10000</v>
      </c>
      <c r="CR379" s="536">
        <v>10000</v>
      </c>
      <c r="CS379" s="536">
        <v>10000</v>
      </c>
      <c r="CT379" s="536">
        <v>10000</v>
      </c>
      <c r="CU379" s="536">
        <v>10000</v>
      </c>
      <c r="CV379" s="536">
        <v>10000</v>
      </c>
      <c r="CW379" s="536">
        <v>10000</v>
      </c>
      <c r="CX379" s="536">
        <v>10000</v>
      </c>
      <c r="CY379" s="536">
        <v>10000</v>
      </c>
      <c r="CZ379" s="536">
        <v>10000</v>
      </c>
      <c r="DA379" s="536">
        <v>10000</v>
      </c>
      <c r="DB379" s="536">
        <v>10000</v>
      </c>
      <c r="DC379" s="536">
        <v>10000</v>
      </c>
      <c r="DD379" s="536">
        <v>10000</v>
      </c>
      <c r="DE379" s="536">
        <v>10000</v>
      </c>
      <c r="DF379" s="536">
        <v>10000</v>
      </c>
      <c r="DG379" s="536">
        <v>10000</v>
      </c>
      <c r="DH379" s="536">
        <v>10000</v>
      </c>
    </row>
    <row r="380" spans="2:112">
      <c r="B380" t="s">
        <v>1236</v>
      </c>
      <c r="C380" t="s">
        <v>821</v>
      </c>
      <c r="D380" t="s">
        <v>695</v>
      </c>
      <c r="E380" t="s">
        <v>881</v>
      </c>
      <c r="F380" s="525">
        <v>200</v>
      </c>
      <c r="G380" s="525">
        <v>200</v>
      </c>
      <c r="H380" s="525">
        <v>200</v>
      </c>
      <c r="I380" s="525">
        <v>200</v>
      </c>
      <c r="J380" s="525">
        <v>200</v>
      </c>
      <c r="K380" s="525">
        <v>200</v>
      </c>
      <c r="L380" s="525">
        <v>200</v>
      </c>
      <c r="M380" s="525">
        <v>200</v>
      </c>
      <c r="N380" s="525">
        <v>200</v>
      </c>
      <c r="O380" s="525">
        <v>200</v>
      </c>
      <c r="P380" s="525">
        <v>200</v>
      </c>
      <c r="Q380" s="525">
        <v>200</v>
      </c>
      <c r="R380" s="525">
        <v>200</v>
      </c>
      <c r="S380" s="525">
        <v>200</v>
      </c>
      <c r="T380" s="525">
        <v>200</v>
      </c>
      <c r="U380" s="525">
        <v>200</v>
      </c>
      <c r="V380" s="525">
        <v>200</v>
      </c>
      <c r="W380" s="525">
        <v>200</v>
      </c>
      <c r="X380" s="525">
        <v>200</v>
      </c>
      <c r="Y380" s="525">
        <v>200</v>
      </c>
      <c r="Z380" s="525">
        <v>200</v>
      </c>
      <c r="AA380" s="525">
        <v>200</v>
      </c>
      <c r="AB380" s="525">
        <v>200</v>
      </c>
      <c r="AC380" s="525">
        <v>200</v>
      </c>
      <c r="AD380" s="525">
        <v>200</v>
      </c>
      <c r="AE380" s="525">
        <v>200</v>
      </c>
      <c r="AF380" s="525">
        <v>200</v>
      </c>
      <c r="AG380" s="525">
        <v>200</v>
      </c>
      <c r="AH380" s="526">
        <f t="shared" ref="AH380:AW389" si="274">AG380</f>
        <v>200</v>
      </c>
      <c r="AI380" s="526">
        <f t="shared" si="274"/>
        <v>200</v>
      </c>
      <c r="AJ380" s="526">
        <f t="shared" si="274"/>
        <v>200</v>
      </c>
      <c r="AK380" s="526">
        <f t="shared" si="274"/>
        <v>200</v>
      </c>
      <c r="AL380" s="526">
        <f t="shared" si="274"/>
        <v>200</v>
      </c>
      <c r="AM380" s="526">
        <f t="shared" si="274"/>
        <v>200</v>
      </c>
      <c r="AN380" s="526">
        <f t="shared" si="274"/>
        <v>200</v>
      </c>
      <c r="AO380" s="526">
        <f t="shared" si="274"/>
        <v>200</v>
      </c>
      <c r="AP380" s="526">
        <f t="shared" si="274"/>
        <v>200</v>
      </c>
      <c r="AQ380" s="526">
        <f t="shared" si="274"/>
        <v>200</v>
      </c>
      <c r="AR380" s="526">
        <f t="shared" si="274"/>
        <v>200</v>
      </c>
      <c r="AS380" s="526">
        <f t="shared" si="274"/>
        <v>200</v>
      </c>
      <c r="AT380" s="526">
        <f t="shared" si="274"/>
        <v>200</v>
      </c>
      <c r="AU380" s="526">
        <f t="shared" si="274"/>
        <v>200</v>
      </c>
      <c r="AV380" s="526">
        <f t="shared" si="274"/>
        <v>200</v>
      </c>
      <c r="AW380" s="526">
        <f t="shared" si="274"/>
        <v>200</v>
      </c>
      <c r="AX380" s="526">
        <f t="shared" si="273"/>
        <v>200</v>
      </c>
      <c r="AY380" s="526">
        <f t="shared" si="273"/>
        <v>200</v>
      </c>
      <c r="AZ380" s="526">
        <f t="shared" si="273"/>
        <v>200</v>
      </c>
      <c r="BA380" s="526">
        <f t="shared" si="273"/>
        <v>200</v>
      </c>
      <c r="BB380" s="526">
        <f t="shared" si="273"/>
        <v>200</v>
      </c>
      <c r="BC380" s="526">
        <f t="shared" si="273"/>
        <v>200</v>
      </c>
      <c r="BD380" s="526">
        <f t="shared" si="273"/>
        <v>200</v>
      </c>
      <c r="BE380" s="526">
        <f t="shared" si="273"/>
        <v>200</v>
      </c>
      <c r="BF380" s="526">
        <f t="shared" si="273"/>
        <v>200</v>
      </c>
      <c r="BG380" s="526">
        <f t="shared" si="273"/>
        <v>200</v>
      </c>
      <c r="BH380" s="526">
        <f t="shared" si="273"/>
        <v>200</v>
      </c>
      <c r="BI380" s="526">
        <f t="shared" si="273"/>
        <v>200</v>
      </c>
      <c r="BJ380" s="526">
        <f t="shared" si="273"/>
        <v>200</v>
      </c>
      <c r="BK380" s="526">
        <f t="shared" si="273"/>
        <v>200</v>
      </c>
      <c r="BL380" s="526">
        <f t="shared" si="273"/>
        <v>200</v>
      </c>
      <c r="BM380" s="526">
        <f t="shared" si="273"/>
        <v>200</v>
      </c>
      <c r="BN380" s="526">
        <f t="shared" si="273"/>
        <v>200</v>
      </c>
      <c r="BO380" s="526">
        <f t="shared" si="273"/>
        <v>200</v>
      </c>
      <c r="BP380" s="526">
        <f t="shared" si="273"/>
        <v>200</v>
      </c>
      <c r="BQ380" s="526">
        <f t="shared" si="273"/>
        <v>200</v>
      </c>
      <c r="BR380" s="526">
        <f t="shared" si="273"/>
        <v>200</v>
      </c>
      <c r="BS380" s="526">
        <f t="shared" si="273"/>
        <v>200</v>
      </c>
      <c r="BT380" s="526">
        <f t="shared" si="273"/>
        <v>200</v>
      </c>
      <c r="BU380" s="526">
        <f t="shared" si="273"/>
        <v>200</v>
      </c>
      <c r="BV380" s="526">
        <f t="shared" si="273"/>
        <v>200</v>
      </c>
      <c r="BW380" s="526">
        <f t="shared" si="273"/>
        <v>200</v>
      </c>
      <c r="BX380" s="526">
        <f t="shared" si="273"/>
        <v>200</v>
      </c>
      <c r="BY380" s="526">
        <f t="shared" si="273"/>
        <v>200</v>
      </c>
      <c r="BZ380" s="526">
        <f t="shared" si="273"/>
        <v>200</v>
      </c>
      <c r="CA380" s="526">
        <f t="shared" si="273"/>
        <v>200</v>
      </c>
      <c r="CB380" s="526">
        <f t="shared" si="273"/>
        <v>200</v>
      </c>
      <c r="CC380" s="526">
        <f t="shared" si="273"/>
        <v>200</v>
      </c>
      <c r="CD380" s="526">
        <f t="shared" si="273"/>
        <v>200</v>
      </c>
      <c r="CE380" s="526">
        <f t="shared" si="273"/>
        <v>200</v>
      </c>
      <c r="CG380" s="536">
        <v>200</v>
      </c>
      <c r="CH380" s="536">
        <v>200</v>
      </c>
      <c r="CI380" s="536">
        <v>200</v>
      </c>
      <c r="CJ380" s="536">
        <v>200</v>
      </c>
      <c r="CK380" s="536">
        <v>200</v>
      </c>
      <c r="CL380" s="536">
        <v>200</v>
      </c>
      <c r="CM380" s="536">
        <v>200</v>
      </c>
      <c r="CN380" s="536">
        <v>200</v>
      </c>
      <c r="CO380" s="536">
        <v>200</v>
      </c>
      <c r="CP380" s="536">
        <v>200</v>
      </c>
      <c r="CQ380" s="536">
        <v>200</v>
      </c>
      <c r="CR380" s="536">
        <v>200</v>
      </c>
      <c r="CS380" s="536">
        <v>200</v>
      </c>
      <c r="CT380" s="536">
        <v>200</v>
      </c>
      <c r="CU380" s="536">
        <v>200</v>
      </c>
      <c r="CV380" s="536">
        <v>200</v>
      </c>
      <c r="CW380" s="536">
        <v>200</v>
      </c>
      <c r="CX380" s="536">
        <v>200</v>
      </c>
      <c r="CY380" s="536">
        <v>200</v>
      </c>
      <c r="CZ380" s="536">
        <v>200</v>
      </c>
      <c r="DA380" s="536">
        <v>200</v>
      </c>
      <c r="DB380" s="536">
        <v>200</v>
      </c>
      <c r="DC380" s="536">
        <v>200</v>
      </c>
      <c r="DD380" s="536">
        <v>200</v>
      </c>
      <c r="DE380" s="536">
        <v>200</v>
      </c>
      <c r="DF380" s="536">
        <v>200</v>
      </c>
      <c r="DG380" s="536">
        <v>200</v>
      </c>
      <c r="DH380" s="536">
        <v>200</v>
      </c>
    </row>
    <row r="381" spans="2:112">
      <c r="B381" t="s">
        <v>1237</v>
      </c>
      <c r="C381" t="s">
        <v>821</v>
      </c>
      <c r="D381" t="s">
        <v>883</v>
      </c>
      <c r="E381" t="s">
        <v>884</v>
      </c>
      <c r="F381" s="525">
        <v>11</v>
      </c>
      <c r="G381" s="525">
        <v>11</v>
      </c>
      <c r="H381" s="525">
        <v>11</v>
      </c>
      <c r="I381" s="525">
        <v>11</v>
      </c>
      <c r="J381" s="525">
        <v>11</v>
      </c>
      <c r="K381" s="525">
        <v>11</v>
      </c>
      <c r="L381" s="525">
        <v>11</v>
      </c>
      <c r="M381" s="525">
        <v>11</v>
      </c>
      <c r="N381" s="525">
        <v>11</v>
      </c>
      <c r="O381" s="525">
        <v>11</v>
      </c>
      <c r="P381" s="525">
        <v>11</v>
      </c>
      <c r="Q381" s="525">
        <v>11</v>
      </c>
      <c r="R381" s="525">
        <v>11</v>
      </c>
      <c r="S381" s="525">
        <v>11</v>
      </c>
      <c r="T381" s="525">
        <v>11</v>
      </c>
      <c r="U381" s="525">
        <v>11</v>
      </c>
      <c r="V381" s="525">
        <v>11</v>
      </c>
      <c r="W381" s="525">
        <v>11</v>
      </c>
      <c r="X381" s="525">
        <v>11</v>
      </c>
      <c r="Y381" s="525">
        <v>11</v>
      </c>
      <c r="Z381" s="525">
        <v>11</v>
      </c>
      <c r="AA381" s="525">
        <v>11</v>
      </c>
      <c r="AB381" s="525">
        <v>11</v>
      </c>
      <c r="AC381" s="525">
        <v>11</v>
      </c>
      <c r="AD381" s="525">
        <v>11</v>
      </c>
      <c r="AE381" s="525">
        <v>11</v>
      </c>
      <c r="AF381" s="525">
        <v>11</v>
      </c>
      <c r="AG381" s="525">
        <v>11</v>
      </c>
      <c r="AH381" s="526">
        <f t="shared" si="274"/>
        <v>11</v>
      </c>
      <c r="AI381" s="526">
        <f t="shared" si="274"/>
        <v>11</v>
      </c>
      <c r="AJ381" s="526">
        <f t="shared" si="274"/>
        <v>11</v>
      </c>
      <c r="AK381" s="526">
        <f t="shared" si="274"/>
        <v>11</v>
      </c>
      <c r="AL381" s="526">
        <f t="shared" si="274"/>
        <v>11</v>
      </c>
      <c r="AM381" s="526">
        <f t="shared" si="274"/>
        <v>11</v>
      </c>
      <c r="AN381" s="526">
        <f t="shared" si="274"/>
        <v>11</v>
      </c>
      <c r="AO381" s="526">
        <f t="shared" si="274"/>
        <v>11</v>
      </c>
      <c r="AP381" s="526">
        <f t="shared" si="274"/>
        <v>11</v>
      </c>
      <c r="AQ381" s="526">
        <f t="shared" si="274"/>
        <v>11</v>
      </c>
      <c r="AR381" s="526">
        <f t="shared" si="274"/>
        <v>11</v>
      </c>
      <c r="AS381" s="526">
        <f t="shared" si="274"/>
        <v>11</v>
      </c>
      <c r="AT381" s="526">
        <f t="shared" si="274"/>
        <v>11</v>
      </c>
      <c r="AU381" s="526">
        <f t="shared" si="274"/>
        <v>11</v>
      </c>
      <c r="AV381" s="526">
        <f t="shared" si="274"/>
        <v>11</v>
      </c>
      <c r="AW381" s="526">
        <f t="shared" si="274"/>
        <v>11</v>
      </c>
      <c r="AX381" s="526">
        <f t="shared" si="273"/>
        <v>11</v>
      </c>
      <c r="AY381" s="526">
        <f t="shared" si="273"/>
        <v>11</v>
      </c>
      <c r="AZ381" s="526">
        <f t="shared" si="273"/>
        <v>11</v>
      </c>
      <c r="BA381" s="526">
        <f t="shared" si="273"/>
        <v>11</v>
      </c>
      <c r="BB381" s="526">
        <f t="shared" si="273"/>
        <v>11</v>
      </c>
      <c r="BC381" s="526">
        <f t="shared" si="273"/>
        <v>11</v>
      </c>
      <c r="BD381" s="526">
        <f t="shared" si="273"/>
        <v>11</v>
      </c>
      <c r="BE381" s="526">
        <f t="shared" si="273"/>
        <v>11</v>
      </c>
      <c r="BF381" s="526">
        <f t="shared" si="273"/>
        <v>11</v>
      </c>
      <c r="BG381" s="526">
        <f t="shared" si="273"/>
        <v>11</v>
      </c>
      <c r="BH381" s="526">
        <f t="shared" si="273"/>
        <v>11</v>
      </c>
      <c r="BI381" s="526">
        <f t="shared" si="273"/>
        <v>11</v>
      </c>
      <c r="BJ381" s="526">
        <f t="shared" si="273"/>
        <v>11</v>
      </c>
      <c r="BK381" s="526">
        <f t="shared" si="273"/>
        <v>11</v>
      </c>
      <c r="BL381" s="526">
        <f t="shared" si="273"/>
        <v>11</v>
      </c>
      <c r="BM381" s="526">
        <f t="shared" si="273"/>
        <v>11</v>
      </c>
      <c r="BN381" s="526">
        <f t="shared" si="273"/>
        <v>11</v>
      </c>
      <c r="BO381" s="526">
        <f t="shared" si="273"/>
        <v>11</v>
      </c>
      <c r="BP381" s="526">
        <f t="shared" si="273"/>
        <v>11</v>
      </c>
      <c r="BQ381" s="526">
        <f t="shared" si="273"/>
        <v>11</v>
      </c>
      <c r="BR381" s="526">
        <f t="shared" si="273"/>
        <v>11</v>
      </c>
      <c r="BS381" s="526">
        <f t="shared" si="273"/>
        <v>11</v>
      </c>
      <c r="BT381" s="526">
        <f t="shared" si="273"/>
        <v>11</v>
      </c>
      <c r="BU381" s="526">
        <f t="shared" si="273"/>
        <v>11</v>
      </c>
      <c r="BV381" s="526">
        <f t="shared" si="273"/>
        <v>11</v>
      </c>
      <c r="BW381" s="526">
        <f t="shared" si="273"/>
        <v>11</v>
      </c>
      <c r="BX381" s="526">
        <f t="shared" si="273"/>
        <v>11</v>
      </c>
      <c r="BY381" s="526">
        <f t="shared" si="273"/>
        <v>11</v>
      </c>
      <c r="BZ381" s="526">
        <f t="shared" si="273"/>
        <v>11</v>
      </c>
      <c r="CA381" s="526">
        <f t="shared" si="273"/>
        <v>11</v>
      </c>
      <c r="CB381" s="526">
        <f t="shared" si="273"/>
        <v>11</v>
      </c>
      <c r="CC381" s="526">
        <f t="shared" si="273"/>
        <v>11</v>
      </c>
      <c r="CD381" s="526">
        <f t="shared" si="273"/>
        <v>11</v>
      </c>
      <c r="CE381" s="526">
        <f t="shared" si="273"/>
        <v>11</v>
      </c>
      <c r="CG381" s="536">
        <v>11</v>
      </c>
      <c r="CH381" s="536">
        <v>11</v>
      </c>
      <c r="CI381" s="536">
        <v>11</v>
      </c>
      <c r="CJ381" s="536">
        <v>11</v>
      </c>
      <c r="CK381" s="536">
        <v>11</v>
      </c>
      <c r="CL381" s="536">
        <v>11</v>
      </c>
      <c r="CM381" s="536">
        <v>11</v>
      </c>
      <c r="CN381" s="536">
        <v>11</v>
      </c>
      <c r="CO381" s="536">
        <v>11</v>
      </c>
      <c r="CP381" s="536">
        <v>11</v>
      </c>
      <c r="CQ381" s="536">
        <v>11</v>
      </c>
      <c r="CR381" s="536">
        <v>11</v>
      </c>
      <c r="CS381" s="536">
        <v>11</v>
      </c>
      <c r="CT381" s="536">
        <v>11</v>
      </c>
      <c r="CU381" s="536">
        <v>11</v>
      </c>
      <c r="CV381" s="536">
        <v>11</v>
      </c>
      <c r="CW381" s="536">
        <v>11</v>
      </c>
      <c r="CX381" s="536">
        <v>11</v>
      </c>
      <c r="CY381" s="536">
        <v>11</v>
      </c>
      <c r="CZ381" s="536">
        <v>11</v>
      </c>
      <c r="DA381" s="536">
        <v>11</v>
      </c>
      <c r="DB381" s="536">
        <v>11</v>
      </c>
      <c r="DC381" s="536">
        <v>11</v>
      </c>
      <c r="DD381" s="536">
        <v>11</v>
      </c>
      <c r="DE381" s="536">
        <v>11</v>
      </c>
      <c r="DF381" s="536">
        <v>11</v>
      </c>
      <c r="DG381" s="536">
        <v>11</v>
      </c>
      <c r="DH381" s="536">
        <v>11</v>
      </c>
    </row>
    <row r="382" spans="2:112">
      <c r="B382" t="s">
        <v>1238</v>
      </c>
      <c r="C382" t="s">
        <v>821</v>
      </c>
      <c r="D382" t="s">
        <v>886</v>
      </c>
      <c r="E382" t="s">
        <v>178</v>
      </c>
      <c r="F382" s="537">
        <v>0.51</v>
      </c>
      <c r="G382" s="537">
        <v>0.51</v>
      </c>
      <c r="H382" s="537">
        <v>0.51</v>
      </c>
      <c r="I382" s="537">
        <v>0.51</v>
      </c>
      <c r="J382" s="537">
        <v>0.51</v>
      </c>
      <c r="K382" s="537">
        <v>0.51</v>
      </c>
      <c r="L382" s="537">
        <v>0.51</v>
      </c>
      <c r="M382" s="537">
        <v>0.51</v>
      </c>
      <c r="N382" s="537">
        <v>0.51</v>
      </c>
      <c r="O382" s="537">
        <v>0.51</v>
      </c>
      <c r="P382" s="537">
        <v>0.51</v>
      </c>
      <c r="Q382" s="537">
        <v>0.51</v>
      </c>
      <c r="R382" s="537">
        <v>0.51</v>
      </c>
      <c r="S382" s="537">
        <v>0.51</v>
      </c>
      <c r="T382" s="537">
        <v>0.51</v>
      </c>
      <c r="U382" s="537">
        <v>0.51</v>
      </c>
      <c r="V382" s="537">
        <v>0.51</v>
      </c>
      <c r="W382" s="537">
        <v>0.51</v>
      </c>
      <c r="X382" s="537">
        <v>0.51</v>
      </c>
      <c r="Y382" s="537">
        <v>0.51</v>
      </c>
      <c r="Z382" s="537">
        <v>0.51</v>
      </c>
      <c r="AA382" s="537">
        <v>0.51</v>
      </c>
      <c r="AB382" s="537">
        <v>0.51</v>
      </c>
      <c r="AC382" s="537">
        <v>0.51</v>
      </c>
      <c r="AD382" s="537">
        <v>0.51</v>
      </c>
      <c r="AE382" s="537">
        <v>0.51</v>
      </c>
      <c r="AF382" s="537">
        <v>0.51</v>
      </c>
      <c r="AG382" s="537">
        <v>0.51</v>
      </c>
      <c r="AH382" s="526">
        <f t="shared" si="274"/>
        <v>0.51</v>
      </c>
      <c r="AI382" s="526">
        <f t="shared" si="274"/>
        <v>0.51</v>
      </c>
      <c r="AJ382" s="526">
        <f t="shared" si="274"/>
        <v>0.51</v>
      </c>
      <c r="AK382" s="526">
        <f t="shared" si="274"/>
        <v>0.51</v>
      </c>
      <c r="AL382" s="526">
        <f t="shared" si="274"/>
        <v>0.51</v>
      </c>
      <c r="AM382" s="526">
        <f t="shared" si="274"/>
        <v>0.51</v>
      </c>
      <c r="AN382" s="526">
        <f t="shared" si="274"/>
        <v>0.51</v>
      </c>
      <c r="AO382" s="526">
        <f t="shared" si="274"/>
        <v>0.51</v>
      </c>
      <c r="AP382" s="526">
        <f t="shared" si="274"/>
        <v>0.51</v>
      </c>
      <c r="AQ382" s="526">
        <f t="shared" si="274"/>
        <v>0.51</v>
      </c>
      <c r="AR382" s="526">
        <f t="shared" si="274"/>
        <v>0.51</v>
      </c>
      <c r="AS382" s="526">
        <f t="shared" si="274"/>
        <v>0.51</v>
      </c>
      <c r="AT382" s="526">
        <f t="shared" si="274"/>
        <v>0.51</v>
      </c>
      <c r="AU382" s="526">
        <f t="shared" si="274"/>
        <v>0.51</v>
      </c>
      <c r="AV382" s="526">
        <f t="shared" si="274"/>
        <v>0.51</v>
      </c>
      <c r="AW382" s="526">
        <f t="shared" si="274"/>
        <v>0.51</v>
      </c>
      <c r="AX382" s="526">
        <f t="shared" si="273"/>
        <v>0.51</v>
      </c>
      <c r="AY382" s="526">
        <f t="shared" si="273"/>
        <v>0.51</v>
      </c>
      <c r="AZ382" s="526">
        <f t="shared" si="273"/>
        <v>0.51</v>
      </c>
      <c r="BA382" s="526">
        <f t="shared" si="273"/>
        <v>0.51</v>
      </c>
      <c r="BB382" s="526">
        <f t="shared" si="273"/>
        <v>0.51</v>
      </c>
      <c r="BC382" s="526">
        <f t="shared" si="273"/>
        <v>0.51</v>
      </c>
      <c r="BD382" s="526">
        <f t="shared" si="273"/>
        <v>0.51</v>
      </c>
      <c r="BE382" s="526">
        <f t="shared" si="273"/>
        <v>0.51</v>
      </c>
      <c r="BF382" s="526">
        <f t="shared" si="273"/>
        <v>0.51</v>
      </c>
      <c r="BG382" s="526">
        <f t="shared" si="273"/>
        <v>0.51</v>
      </c>
      <c r="BH382" s="526">
        <f t="shared" si="273"/>
        <v>0.51</v>
      </c>
      <c r="BI382" s="526">
        <f t="shared" si="273"/>
        <v>0.51</v>
      </c>
      <c r="BJ382" s="526">
        <f t="shared" si="273"/>
        <v>0.51</v>
      </c>
      <c r="BK382" s="526">
        <f t="shared" si="273"/>
        <v>0.51</v>
      </c>
      <c r="BL382" s="526">
        <f t="shared" si="273"/>
        <v>0.51</v>
      </c>
      <c r="BM382" s="526">
        <f t="shared" si="273"/>
        <v>0.51</v>
      </c>
      <c r="BN382" s="526">
        <f t="shared" si="273"/>
        <v>0.51</v>
      </c>
      <c r="BO382" s="526">
        <f t="shared" si="273"/>
        <v>0.51</v>
      </c>
      <c r="BP382" s="526">
        <f t="shared" si="273"/>
        <v>0.51</v>
      </c>
      <c r="BQ382" s="526">
        <f t="shared" si="273"/>
        <v>0.51</v>
      </c>
      <c r="BR382" s="526">
        <f t="shared" si="273"/>
        <v>0.51</v>
      </c>
      <c r="BS382" s="526">
        <f t="shared" si="273"/>
        <v>0.51</v>
      </c>
      <c r="BT382" s="526">
        <f t="shared" si="273"/>
        <v>0.51</v>
      </c>
      <c r="BU382" s="526">
        <f t="shared" si="273"/>
        <v>0.51</v>
      </c>
      <c r="BV382" s="526">
        <f t="shared" si="273"/>
        <v>0.51</v>
      </c>
      <c r="BW382" s="526">
        <f t="shared" si="273"/>
        <v>0.51</v>
      </c>
      <c r="BX382" s="526">
        <f t="shared" si="273"/>
        <v>0.51</v>
      </c>
      <c r="BY382" s="526">
        <f t="shared" si="273"/>
        <v>0.51</v>
      </c>
      <c r="BZ382" s="526">
        <f t="shared" si="273"/>
        <v>0.51</v>
      </c>
      <c r="CA382" s="526">
        <f t="shared" si="273"/>
        <v>0.51</v>
      </c>
      <c r="CB382" s="526">
        <f t="shared" si="273"/>
        <v>0.51</v>
      </c>
      <c r="CC382" s="526">
        <f t="shared" si="273"/>
        <v>0.51</v>
      </c>
      <c r="CD382" s="526">
        <f t="shared" si="273"/>
        <v>0.51</v>
      </c>
      <c r="CE382" s="526">
        <f t="shared" si="273"/>
        <v>0.51</v>
      </c>
      <c r="CG382" s="537">
        <v>0.51</v>
      </c>
      <c r="CH382" s="537">
        <v>0.51</v>
      </c>
      <c r="CI382" s="537">
        <v>0.51</v>
      </c>
      <c r="CJ382" s="537">
        <v>0.51</v>
      </c>
      <c r="CK382" s="537">
        <v>0.51</v>
      </c>
      <c r="CL382" s="537">
        <v>0.51</v>
      </c>
      <c r="CM382" s="537">
        <v>0.51</v>
      </c>
      <c r="CN382" s="537">
        <v>0.51</v>
      </c>
      <c r="CO382" s="537">
        <v>0.51</v>
      </c>
      <c r="CP382" s="537">
        <v>0.51</v>
      </c>
      <c r="CQ382" s="537">
        <v>0.51</v>
      </c>
      <c r="CR382" s="537">
        <v>0.51</v>
      </c>
      <c r="CS382" s="537">
        <v>0.51</v>
      </c>
      <c r="CT382" s="537">
        <v>0.51</v>
      </c>
      <c r="CU382" s="537">
        <v>0.51</v>
      </c>
      <c r="CV382" s="537">
        <v>0.51</v>
      </c>
      <c r="CW382" s="537">
        <v>0.51</v>
      </c>
      <c r="CX382" s="537">
        <v>0.51</v>
      </c>
      <c r="CY382" s="537">
        <v>0.51</v>
      </c>
      <c r="CZ382" s="537">
        <v>0.51</v>
      </c>
      <c r="DA382" s="537">
        <v>0.51</v>
      </c>
      <c r="DB382" s="537">
        <v>0.51</v>
      </c>
      <c r="DC382" s="537">
        <v>0.51</v>
      </c>
      <c r="DD382" s="537">
        <v>0.51</v>
      </c>
      <c r="DE382" s="537">
        <v>0.51</v>
      </c>
      <c r="DF382" s="537">
        <v>0.51</v>
      </c>
      <c r="DG382" s="537">
        <v>0.51</v>
      </c>
      <c r="DH382" s="537">
        <v>0.51</v>
      </c>
    </row>
    <row r="383" spans="2:112">
      <c r="B383" t="s">
        <v>1239</v>
      </c>
      <c r="C383" t="s">
        <v>821</v>
      </c>
      <c r="D383" t="s">
        <v>888</v>
      </c>
      <c r="E383" t="s">
        <v>178</v>
      </c>
      <c r="F383" s="537">
        <v>0.51</v>
      </c>
      <c r="G383" s="537">
        <v>0.51</v>
      </c>
      <c r="H383" s="537">
        <v>0.51</v>
      </c>
      <c r="I383" s="537">
        <v>0.51</v>
      </c>
      <c r="J383" s="537">
        <v>0.51</v>
      </c>
      <c r="K383" s="537">
        <v>0.51</v>
      </c>
      <c r="L383" s="537">
        <v>0.51</v>
      </c>
      <c r="M383" s="537">
        <v>0.51</v>
      </c>
      <c r="N383" s="537">
        <v>0.51</v>
      </c>
      <c r="O383" s="537">
        <v>0.51</v>
      </c>
      <c r="P383" s="537">
        <v>0.51</v>
      </c>
      <c r="Q383" s="537">
        <v>0.51</v>
      </c>
      <c r="R383" s="537">
        <v>0.51</v>
      </c>
      <c r="S383" s="537">
        <v>0.51</v>
      </c>
      <c r="T383" s="537">
        <v>0.51</v>
      </c>
      <c r="U383" s="537">
        <v>0.51</v>
      </c>
      <c r="V383" s="537">
        <v>0.51</v>
      </c>
      <c r="W383" s="537">
        <v>0.51</v>
      </c>
      <c r="X383" s="537">
        <v>0.51</v>
      </c>
      <c r="Y383" s="537">
        <v>0.51</v>
      </c>
      <c r="Z383" s="537">
        <v>0.51</v>
      </c>
      <c r="AA383" s="537">
        <v>0.51</v>
      </c>
      <c r="AB383" s="537">
        <v>0.51</v>
      </c>
      <c r="AC383" s="537">
        <v>0.51</v>
      </c>
      <c r="AD383" s="537">
        <v>0.51</v>
      </c>
      <c r="AE383" s="537">
        <v>0.51</v>
      </c>
      <c r="AF383" s="537">
        <v>0.51</v>
      </c>
      <c r="AG383" s="537">
        <v>0.51</v>
      </c>
      <c r="AH383" s="526">
        <f t="shared" si="274"/>
        <v>0.51</v>
      </c>
      <c r="AI383" s="526">
        <f t="shared" si="274"/>
        <v>0.51</v>
      </c>
      <c r="AJ383" s="526">
        <f t="shared" si="274"/>
        <v>0.51</v>
      </c>
      <c r="AK383" s="526">
        <f t="shared" si="274"/>
        <v>0.51</v>
      </c>
      <c r="AL383" s="526">
        <f t="shared" si="274"/>
        <v>0.51</v>
      </c>
      <c r="AM383" s="526">
        <f t="shared" si="274"/>
        <v>0.51</v>
      </c>
      <c r="AN383" s="526">
        <f t="shared" si="274"/>
        <v>0.51</v>
      </c>
      <c r="AO383" s="526">
        <f t="shared" si="274"/>
        <v>0.51</v>
      </c>
      <c r="AP383" s="526">
        <f t="shared" si="274"/>
        <v>0.51</v>
      </c>
      <c r="AQ383" s="526">
        <f t="shared" si="274"/>
        <v>0.51</v>
      </c>
      <c r="AR383" s="526">
        <f t="shared" si="274"/>
        <v>0.51</v>
      </c>
      <c r="AS383" s="526">
        <f t="shared" si="274"/>
        <v>0.51</v>
      </c>
      <c r="AT383" s="526">
        <f t="shared" si="274"/>
        <v>0.51</v>
      </c>
      <c r="AU383" s="526">
        <f t="shared" si="274"/>
        <v>0.51</v>
      </c>
      <c r="AV383" s="526">
        <f t="shared" si="274"/>
        <v>0.51</v>
      </c>
      <c r="AW383" s="526">
        <f t="shared" si="274"/>
        <v>0.51</v>
      </c>
      <c r="AX383" s="526">
        <f t="shared" si="273"/>
        <v>0.51</v>
      </c>
      <c r="AY383" s="526">
        <f t="shared" si="273"/>
        <v>0.51</v>
      </c>
      <c r="AZ383" s="526">
        <f t="shared" si="273"/>
        <v>0.51</v>
      </c>
      <c r="BA383" s="526">
        <f t="shared" si="273"/>
        <v>0.51</v>
      </c>
      <c r="BB383" s="526">
        <f t="shared" si="273"/>
        <v>0.51</v>
      </c>
      <c r="BC383" s="526">
        <f t="shared" si="273"/>
        <v>0.51</v>
      </c>
      <c r="BD383" s="526">
        <f t="shared" si="273"/>
        <v>0.51</v>
      </c>
      <c r="BE383" s="526">
        <f t="shared" si="273"/>
        <v>0.51</v>
      </c>
      <c r="BF383" s="526">
        <f t="shared" si="273"/>
        <v>0.51</v>
      </c>
      <c r="BG383" s="526">
        <f t="shared" si="273"/>
        <v>0.51</v>
      </c>
      <c r="BH383" s="526">
        <f t="shared" si="273"/>
        <v>0.51</v>
      </c>
      <c r="BI383" s="526">
        <f t="shared" si="273"/>
        <v>0.51</v>
      </c>
      <c r="BJ383" s="526">
        <f t="shared" si="273"/>
        <v>0.51</v>
      </c>
      <c r="BK383" s="526">
        <f t="shared" si="273"/>
        <v>0.51</v>
      </c>
      <c r="BL383" s="526">
        <f t="shared" si="273"/>
        <v>0.51</v>
      </c>
      <c r="BM383" s="526">
        <f t="shared" si="273"/>
        <v>0.51</v>
      </c>
      <c r="BN383" s="526">
        <f t="shared" si="273"/>
        <v>0.51</v>
      </c>
      <c r="BO383" s="526">
        <f t="shared" si="273"/>
        <v>0.51</v>
      </c>
      <c r="BP383" s="526">
        <f t="shared" si="273"/>
        <v>0.51</v>
      </c>
      <c r="BQ383" s="526">
        <f t="shared" si="273"/>
        <v>0.51</v>
      </c>
      <c r="BR383" s="526">
        <f t="shared" si="273"/>
        <v>0.51</v>
      </c>
      <c r="BS383" s="526">
        <f t="shared" si="273"/>
        <v>0.51</v>
      </c>
      <c r="BT383" s="526">
        <f t="shared" si="273"/>
        <v>0.51</v>
      </c>
      <c r="BU383" s="526">
        <f t="shared" si="273"/>
        <v>0.51</v>
      </c>
      <c r="BV383" s="526">
        <f t="shared" si="273"/>
        <v>0.51</v>
      </c>
      <c r="BW383" s="526">
        <f t="shared" si="273"/>
        <v>0.51</v>
      </c>
      <c r="BX383" s="526">
        <f t="shared" si="273"/>
        <v>0.51</v>
      </c>
      <c r="BY383" s="526">
        <f t="shared" si="273"/>
        <v>0.51</v>
      </c>
      <c r="BZ383" s="526">
        <f t="shared" si="273"/>
        <v>0.51</v>
      </c>
      <c r="CA383" s="526">
        <f t="shared" si="273"/>
        <v>0.51</v>
      </c>
      <c r="CB383" s="526">
        <f t="shared" si="273"/>
        <v>0.51</v>
      </c>
      <c r="CC383" s="526">
        <f t="shared" si="273"/>
        <v>0.51</v>
      </c>
      <c r="CD383" s="526">
        <f t="shared" si="273"/>
        <v>0.51</v>
      </c>
      <c r="CE383" s="526">
        <f t="shared" si="273"/>
        <v>0.51</v>
      </c>
      <c r="CG383" s="537">
        <v>0.51</v>
      </c>
      <c r="CH383" s="537">
        <v>0.51</v>
      </c>
      <c r="CI383" s="537">
        <v>0.51</v>
      </c>
      <c r="CJ383" s="537">
        <v>0.51</v>
      </c>
      <c r="CK383" s="537">
        <v>0.51</v>
      </c>
      <c r="CL383" s="537">
        <v>0.51</v>
      </c>
      <c r="CM383" s="537">
        <v>0.51</v>
      </c>
      <c r="CN383" s="537">
        <v>0.51</v>
      </c>
      <c r="CO383" s="537">
        <v>0.51</v>
      </c>
      <c r="CP383" s="537">
        <v>0.51</v>
      </c>
      <c r="CQ383" s="537">
        <v>0.51</v>
      </c>
      <c r="CR383" s="537">
        <v>0.51</v>
      </c>
      <c r="CS383" s="537">
        <v>0.51</v>
      </c>
      <c r="CT383" s="537">
        <v>0.51</v>
      </c>
      <c r="CU383" s="537">
        <v>0.51</v>
      </c>
      <c r="CV383" s="537">
        <v>0.51</v>
      </c>
      <c r="CW383" s="537">
        <v>0.51</v>
      </c>
      <c r="CX383" s="537">
        <v>0.51</v>
      </c>
      <c r="CY383" s="537">
        <v>0.51</v>
      </c>
      <c r="CZ383" s="537">
        <v>0.51</v>
      </c>
      <c r="DA383" s="537">
        <v>0.51</v>
      </c>
      <c r="DB383" s="537">
        <v>0.51</v>
      </c>
      <c r="DC383" s="537">
        <v>0.51</v>
      </c>
      <c r="DD383" s="537">
        <v>0.51</v>
      </c>
      <c r="DE383" s="537">
        <v>0.51</v>
      </c>
      <c r="DF383" s="537">
        <v>0.51</v>
      </c>
      <c r="DG383" s="537">
        <v>0.51</v>
      </c>
      <c r="DH383" s="537">
        <v>0.51</v>
      </c>
    </row>
    <row r="384" spans="2:112">
      <c r="B384" t="s">
        <v>1240</v>
      </c>
      <c r="C384" t="s">
        <v>821</v>
      </c>
      <c r="D384" t="s">
        <v>890</v>
      </c>
      <c r="E384" t="s">
        <v>178</v>
      </c>
      <c r="F384" s="537">
        <v>0.51</v>
      </c>
      <c r="G384" s="537">
        <v>0.51</v>
      </c>
      <c r="H384" s="537">
        <v>0.51</v>
      </c>
      <c r="I384" s="537">
        <v>0.51</v>
      </c>
      <c r="J384" s="537">
        <v>0.51</v>
      </c>
      <c r="K384" s="537">
        <v>0.51</v>
      </c>
      <c r="L384" s="537">
        <v>0.51</v>
      </c>
      <c r="M384" s="537">
        <v>0.51</v>
      </c>
      <c r="N384" s="537">
        <v>0.51</v>
      </c>
      <c r="O384" s="537">
        <v>0.51</v>
      </c>
      <c r="P384" s="537">
        <v>0.51</v>
      </c>
      <c r="Q384" s="537">
        <v>0.51</v>
      </c>
      <c r="R384" s="537">
        <v>0.51</v>
      </c>
      <c r="S384" s="537">
        <v>0.51</v>
      </c>
      <c r="T384" s="537">
        <v>0.51</v>
      </c>
      <c r="U384" s="537">
        <v>0.51</v>
      </c>
      <c r="V384" s="537">
        <v>0.51</v>
      </c>
      <c r="W384" s="537">
        <v>0.51</v>
      </c>
      <c r="X384" s="537">
        <v>0.51</v>
      </c>
      <c r="Y384" s="537">
        <v>0.51</v>
      </c>
      <c r="Z384" s="537">
        <v>0.51</v>
      </c>
      <c r="AA384" s="537">
        <v>0.51</v>
      </c>
      <c r="AB384" s="537">
        <v>0.51</v>
      </c>
      <c r="AC384" s="537">
        <v>0.51</v>
      </c>
      <c r="AD384" s="537">
        <v>0.51</v>
      </c>
      <c r="AE384" s="537">
        <v>0.51</v>
      </c>
      <c r="AF384" s="537">
        <v>0.51</v>
      </c>
      <c r="AG384" s="537">
        <v>0.51</v>
      </c>
      <c r="AH384" s="526">
        <f t="shared" si="274"/>
        <v>0.51</v>
      </c>
      <c r="AI384" s="526">
        <f t="shared" si="274"/>
        <v>0.51</v>
      </c>
      <c r="AJ384" s="526">
        <f t="shared" si="274"/>
        <v>0.51</v>
      </c>
      <c r="AK384" s="526">
        <f t="shared" si="274"/>
        <v>0.51</v>
      </c>
      <c r="AL384" s="526">
        <f t="shared" si="274"/>
        <v>0.51</v>
      </c>
      <c r="AM384" s="526">
        <f t="shared" si="274"/>
        <v>0.51</v>
      </c>
      <c r="AN384" s="526">
        <f t="shared" si="274"/>
        <v>0.51</v>
      </c>
      <c r="AO384" s="526">
        <f t="shared" si="274"/>
        <v>0.51</v>
      </c>
      <c r="AP384" s="526">
        <f t="shared" si="274"/>
        <v>0.51</v>
      </c>
      <c r="AQ384" s="526">
        <f t="shared" si="274"/>
        <v>0.51</v>
      </c>
      <c r="AR384" s="526">
        <f t="shared" si="274"/>
        <v>0.51</v>
      </c>
      <c r="AS384" s="526">
        <f t="shared" si="274"/>
        <v>0.51</v>
      </c>
      <c r="AT384" s="526">
        <f t="shared" si="274"/>
        <v>0.51</v>
      </c>
      <c r="AU384" s="526">
        <f t="shared" si="274"/>
        <v>0.51</v>
      </c>
      <c r="AV384" s="526">
        <f t="shared" si="274"/>
        <v>0.51</v>
      </c>
      <c r="AW384" s="526">
        <f t="shared" si="274"/>
        <v>0.51</v>
      </c>
      <c r="AX384" s="526">
        <f t="shared" si="273"/>
        <v>0.51</v>
      </c>
      <c r="AY384" s="526">
        <f t="shared" si="273"/>
        <v>0.51</v>
      </c>
      <c r="AZ384" s="526">
        <f t="shared" si="273"/>
        <v>0.51</v>
      </c>
      <c r="BA384" s="526">
        <f t="shared" si="273"/>
        <v>0.51</v>
      </c>
      <c r="BB384" s="526">
        <f t="shared" si="273"/>
        <v>0.51</v>
      </c>
      <c r="BC384" s="526">
        <f t="shared" si="273"/>
        <v>0.51</v>
      </c>
      <c r="BD384" s="526">
        <f t="shared" si="273"/>
        <v>0.51</v>
      </c>
      <c r="BE384" s="526">
        <f t="shared" si="273"/>
        <v>0.51</v>
      </c>
      <c r="BF384" s="526">
        <f t="shared" si="273"/>
        <v>0.51</v>
      </c>
      <c r="BG384" s="526">
        <f t="shared" si="273"/>
        <v>0.51</v>
      </c>
      <c r="BH384" s="526">
        <f t="shared" si="273"/>
        <v>0.51</v>
      </c>
      <c r="BI384" s="526">
        <f t="shared" si="273"/>
        <v>0.51</v>
      </c>
      <c r="BJ384" s="526">
        <f t="shared" si="273"/>
        <v>0.51</v>
      </c>
      <c r="BK384" s="526">
        <f t="shared" si="273"/>
        <v>0.51</v>
      </c>
      <c r="BL384" s="526">
        <f t="shared" si="273"/>
        <v>0.51</v>
      </c>
      <c r="BM384" s="526">
        <f t="shared" si="273"/>
        <v>0.51</v>
      </c>
      <c r="BN384" s="526">
        <f t="shared" si="273"/>
        <v>0.51</v>
      </c>
      <c r="BO384" s="526">
        <f t="shared" si="273"/>
        <v>0.51</v>
      </c>
      <c r="BP384" s="526">
        <f t="shared" si="273"/>
        <v>0.51</v>
      </c>
      <c r="BQ384" s="526">
        <f t="shared" si="273"/>
        <v>0.51</v>
      </c>
      <c r="BR384" s="526">
        <f t="shared" si="273"/>
        <v>0.51</v>
      </c>
      <c r="BS384" s="526">
        <f t="shared" si="273"/>
        <v>0.51</v>
      </c>
      <c r="BT384" s="526">
        <f t="shared" si="273"/>
        <v>0.51</v>
      </c>
      <c r="BU384" s="526">
        <f t="shared" si="273"/>
        <v>0.51</v>
      </c>
      <c r="BV384" s="526">
        <f t="shared" si="273"/>
        <v>0.51</v>
      </c>
      <c r="BW384" s="526">
        <f t="shared" si="273"/>
        <v>0.51</v>
      </c>
      <c r="BX384" s="526">
        <f t="shared" si="273"/>
        <v>0.51</v>
      </c>
      <c r="BY384" s="526">
        <f t="shared" si="273"/>
        <v>0.51</v>
      </c>
      <c r="BZ384" s="526">
        <f t="shared" si="273"/>
        <v>0.51</v>
      </c>
      <c r="CA384" s="526">
        <f t="shared" si="273"/>
        <v>0.51</v>
      </c>
      <c r="CB384" s="526">
        <f t="shared" si="273"/>
        <v>0.51</v>
      </c>
      <c r="CC384" s="526">
        <f t="shared" si="273"/>
        <v>0.51</v>
      </c>
      <c r="CD384" s="526">
        <f t="shared" si="273"/>
        <v>0.51</v>
      </c>
      <c r="CE384" s="526">
        <f t="shared" si="273"/>
        <v>0.51</v>
      </c>
      <c r="CG384" s="537">
        <v>0.51</v>
      </c>
      <c r="CH384" s="537">
        <v>0.51</v>
      </c>
      <c r="CI384" s="537">
        <v>0.51</v>
      </c>
      <c r="CJ384" s="537">
        <v>0.51</v>
      </c>
      <c r="CK384" s="537">
        <v>0.51</v>
      </c>
      <c r="CL384" s="537">
        <v>0.51</v>
      </c>
      <c r="CM384" s="537">
        <v>0.51</v>
      </c>
      <c r="CN384" s="537">
        <v>0.51</v>
      </c>
      <c r="CO384" s="537">
        <v>0.51</v>
      </c>
      <c r="CP384" s="537">
        <v>0.51</v>
      </c>
      <c r="CQ384" s="537">
        <v>0.51</v>
      </c>
      <c r="CR384" s="537">
        <v>0.51</v>
      </c>
      <c r="CS384" s="537">
        <v>0.51</v>
      </c>
      <c r="CT384" s="537">
        <v>0.51</v>
      </c>
      <c r="CU384" s="537">
        <v>0.51</v>
      </c>
      <c r="CV384" s="537">
        <v>0.51</v>
      </c>
      <c r="CW384" s="537">
        <v>0.51</v>
      </c>
      <c r="CX384" s="537">
        <v>0.51</v>
      </c>
      <c r="CY384" s="537">
        <v>0.51</v>
      </c>
      <c r="CZ384" s="537">
        <v>0.51</v>
      </c>
      <c r="DA384" s="537">
        <v>0.51</v>
      </c>
      <c r="DB384" s="537">
        <v>0.51</v>
      </c>
      <c r="DC384" s="537">
        <v>0.51</v>
      </c>
      <c r="DD384" s="537">
        <v>0.51</v>
      </c>
      <c r="DE384" s="537">
        <v>0.51</v>
      </c>
      <c r="DF384" s="537">
        <v>0.51</v>
      </c>
      <c r="DG384" s="537">
        <v>0.51</v>
      </c>
      <c r="DH384" s="537">
        <v>0.51</v>
      </c>
    </row>
    <row r="385" spans="2:112">
      <c r="B385" t="s">
        <v>1241</v>
      </c>
      <c r="C385" t="s">
        <v>821</v>
      </c>
      <c r="D385" t="s">
        <v>892</v>
      </c>
      <c r="E385" t="s">
        <v>178</v>
      </c>
      <c r="F385" s="537">
        <v>0.51</v>
      </c>
      <c r="G385" s="537">
        <v>0.51</v>
      </c>
      <c r="H385" s="537">
        <v>0.51</v>
      </c>
      <c r="I385" s="537">
        <v>0.51</v>
      </c>
      <c r="J385" s="537">
        <v>0.51</v>
      </c>
      <c r="K385" s="537">
        <v>0.51</v>
      </c>
      <c r="L385" s="537">
        <v>0.51</v>
      </c>
      <c r="M385" s="537">
        <v>0.51</v>
      </c>
      <c r="N385" s="537">
        <v>0.51</v>
      </c>
      <c r="O385" s="537">
        <v>0.51</v>
      </c>
      <c r="P385" s="537">
        <v>0.51</v>
      </c>
      <c r="Q385" s="537">
        <v>0.51</v>
      </c>
      <c r="R385" s="537">
        <v>0.51</v>
      </c>
      <c r="S385" s="537">
        <v>0.51</v>
      </c>
      <c r="T385" s="537">
        <v>0.51</v>
      </c>
      <c r="U385" s="537">
        <v>0.51</v>
      </c>
      <c r="V385" s="537">
        <v>0.51</v>
      </c>
      <c r="W385" s="537">
        <v>0.51</v>
      </c>
      <c r="X385" s="537">
        <v>0.51</v>
      </c>
      <c r="Y385" s="537">
        <v>0.51</v>
      </c>
      <c r="Z385" s="537">
        <v>0.51</v>
      </c>
      <c r="AA385" s="537">
        <v>0.51</v>
      </c>
      <c r="AB385" s="537">
        <v>0.51</v>
      </c>
      <c r="AC385" s="537">
        <v>0.51</v>
      </c>
      <c r="AD385" s="537">
        <v>0.51</v>
      </c>
      <c r="AE385" s="537">
        <v>0.51</v>
      </c>
      <c r="AF385" s="537">
        <v>0.51</v>
      </c>
      <c r="AG385" s="537">
        <v>0.51</v>
      </c>
      <c r="AH385" s="526">
        <f t="shared" si="274"/>
        <v>0.51</v>
      </c>
      <c r="AI385" s="526">
        <f t="shared" si="274"/>
        <v>0.51</v>
      </c>
      <c r="AJ385" s="526">
        <f t="shared" si="274"/>
        <v>0.51</v>
      </c>
      <c r="AK385" s="526">
        <f t="shared" si="274"/>
        <v>0.51</v>
      </c>
      <c r="AL385" s="526">
        <f t="shared" si="274"/>
        <v>0.51</v>
      </c>
      <c r="AM385" s="526">
        <f t="shared" si="274"/>
        <v>0.51</v>
      </c>
      <c r="AN385" s="526">
        <f t="shared" si="274"/>
        <v>0.51</v>
      </c>
      <c r="AO385" s="526">
        <f t="shared" si="274"/>
        <v>0.51</v>
      </c>
      <c r="AP385" s="526">
        <f t="shared" si="274"/>
        <v>0.51</v>
      </c>
      <c r="AQ385" s="526">
        <f t="shared" si="274"/>
        <v>0.51</v>
      </c>
      <c r="AR385" s="526">
        <f t="shared" si="274"/>
        <v>0.51</v>
      </c>
      <c r="AS385" s="526">
        <f t="shared" si="274"/>
        <v>0.51</v>
      </c>
      <c r="AT385" s="526">
        <f t="shared" si="274"/>
        <v>0.51</v>
      </c>
      <c r="AU385" s="526">
        <f t="shared" si="274"/>
        <v>0.51</v>
      </c>
      <c r="AV385" s="526">
        <f t="shared" si="274"/>
        <v>0.51</v>
      </c>
      <c r="AW385" s="526">
        <f t="shared" si="274"/>
        <v>0.51</v>
      </c>
      <c r="AX385" s="526">
        <f t="shared" si="273"/>
        <v>0.51</v>
      </c>
      <c r="AY385" s="526">
        <f t="shared" si="273"/>
        <v>0.51</v>
      </c>
      <c r="AZ385" s="526">
        <f t="shared" si="273"/>
        <v>0.51</v>
      </c>
      <c r="BA385" s="526">
        <f t="shared" si="273"/>
        <v>0.51</v>
      </c>
      <c r="BB385" s="526">
        <f t="shared" si="273"/>
        <v>0.51</v>
      </c>
      <c r="BC385" s="526">
        <f t="shared" si="273"/>
        <v>0.51</v>
      </c>
      <c r="BD385" s="526">
        <f t="shared" si="273"/>
        <v>0.51</v>
      </c>
      <c r="BE385" s="526">
        <f t="shared" si="273"/>
        <v>0.51</v>
      </c>
      <c r="BF385" s="526">
        <f t="shared" si="273"/>
        <v>0.51</v>
      </c>
      <c r="BG385" s="526">
        <f t="shared" si="273"/>
        <v>0.51</v>
      </c>
      <c r="BH385" s="526">
        <f t="shared" si="273"/>
        <v>0.51</v>
      </c>
      <c r="BI385" s="526">
        <f t="shared" si="273"/>
        <v>0.51</v>
      </c>
      <c r="BJ385" s="526">
        <f t="shared" si="273"/>
        <v>0.51</v>
      </c>
      <c r="BK385" s="526">
        <f t="shared" si="273"/>
        <v>0.51</v>
      </c>
      <c r="BL385" s="526">
        <f t="shared" si="273"/>
        <v>0.51</v>
      </c>
      <c r="BM385" s="526">
        <f t="shared" si="273"/>
        <v>0.51</v>
      </c>
      <c r="BN385" s="526">
        <f t="shared" si="273"/>
        <v>0.51</v>
      </c>
      <c r="BO385" s="526">
        <f t="shared" si="273"/>
        <v>0.51</v>
      </c>
      <c r="BP385" s="526">
        <f t="shared" si="273"/>
        <v>0.51</v>
      </c>
      <c r="BQ385" s="526">
        <f t="shared" si="273"/>
        <v>0.51</v>
      </c>
      <c r="BR385" s="526">
        <f t="shared" si="273"/>
        <v>0.51</v>
      </c>
      <c r="BS385" s="526">
        <f t="shared" si="273"/>
        <v>0.51</v>
      </c>
      <c r="BT385" s="526">
        <f t="shared" si="273"/>
        <v>0.51</v>
      </c>
      <c r="BU385" s="526">
        <f t="shared" si="273"/>
        <v>0.51</v>
      </c>
      <c r="BV385" s="526">
        <f t="shared" si="273"/>
        <v>0.51</v>
      </c>
      <c r="BW385" s="526">
        <f t="shared" si="273"/>
        <v>0.51</v>
      </c>
      <c r="BX385" s="526">
        <f t="shared" si="273"/>
        <v>0.51</v>
      </c>
      <c r="BY385" s="526">
        <f t="shared" si="273"/>
        <v>0.51</v>
      </c>
      <c r="BZ385" s="526">
        <f t="shared" si="273"/>
        <v>0.51</v>
      </c>
      <c r="CA385" s="526">
        <f t="shared" si="273"/>
        <v>0.51</v>
      </c>
      <c r="CB385" s="526">
        <f t="shared" si="273"/>
        <v>0.51</v>
      </c>
      <c r="CC385" s="526">
        <f t="shared" si="273"/>
        <v>0.51</v>
      </c>
      <c r="CD385" s="526">
        <f t="shared" si="273"/>
        <v>0.51</v>
      </c>
      <c r="CE385" s="526">
        <f t="shared" si="273"/>
        <v>0.51</v>
      </c>
      <c r="CG385" s="537">
        <v>0.51</v>
      </c>
      <c r="CH385" s="537">
        <v>0.51</v>
      </c>
      <c r="CI385" s="537">
        <v>0.51</v>
      </c>
      <c r="CJ385" s="537">
        <v>0.51</v>
      </c>
      <c r="CK385" s="537">
        <v>0.51</v>
      </c>
      <c r="CL385" s="537">
        <v>0.51</v>
      </c>
      <c r="CM385" s="537">
        <v>0.51</v>
      </c>
      <c r="CN385" s="537">
        <v>0.51</v>
      </c>
      <c r="CO385" s="537">
        <v>0.51</v>
      </c>
      <c r="CP385" s="537">
        <v>0.51</v>
      </c>
      <c r="CQ385" s="537">
        <v>0.51</v>
      </c>
      <c r="CR385" s="537">
        <v>0.51</v>
      </c>
      <c r="CS385" s="537">
        <v>0.51</v>
      </c>
      <c r="CT385" s="537">
        <v>0.51</v>
      </c>
      <c r="CU385" s="537">
        <v>0.51</v>
      </c>
      <c r="CV385" s="537">
        <v>0.51</v>
      </c>
      <c r="CW385" s="537">
        <v>0.51</v>
      </c>
      <c r="CX385" s="537">
        <v>0.51</v>
      </c>
      <c r="CY385" s="537">
        <v>0.51</v>
      </c>
      <c r="CZ385" s="537">
        <v>0.51</v>
      </c>
      <c r="DA385" s="537">
        <v>0.51</v>
      </c>
      <c r="DB385" s="537">
        <v>0.51</v>
      </c>
      <c r="DC385" s="537">
        <v>0.51</v>
      </c>
      <c r="DD385" s="537">
        <v>0.51</v>
      </c>
      <c r="DE385" s="537">
        <v>0.51</v>
      </c>
      <c r="DF385" s="537">
        <v>0.51</v>
      </c>
      <c r="DG385" s="537">
        <v>0.51</v>
      </c>
      <c r="DH385" s="537">
        <v>0.51</v>
      </c>
    </row>
    <row r="386" spans="2:112">
      <c r="B386" t="s">
        <v>1242</v>
      </c>
      <c r="C386" t="s">
        <v>821</v>
      </c>
      <c r="D386" t="s">
        <v>894</v>
      </c>
      <c r="E386" t="s">
        <v>895</v>
      </c>
      <c r="F386" s="537">
        <v>0</v>
      </c>
      <c r="G386" s="537">
        <v>0</v>
      </c>
      <c r="H386" s="537">
        <v>0</v>
      </c>
      <c r="I386" s="537">
        <v>0</v>
      </c>
      <c r="J386" s="537">
        <v>0</v>
      </c>
      <c r="K386" s="537">
        <v>0</v>
      </c>
      <c r="L386" s="537">
        <v>0</v>
      </c>
      <c r="M386" s="537">
        <v>0</v>
      </c>
      <c r="N386" s="537">
        <v>0</v>
      </c>
      <c r="O386" s="537">
        <v>0</v>
      </c>
      <c r="P386" s="537">
        <v>0</v>
      </c>
      <c r="Q386" s="537">
        <v>0</v>
      </c>
      <c r="R386" s="537">
        <v>0</v>
      </c>
      <c r="S386" s="537">
        <v>0</v>
      </c>
      <c r="T386" s="537">
        <v>0</v>
      </c>
      <c r="U386" s="537">
        <v>0</v>
      </c>
      <c r="V386" s="537">
        <v>0</v>
      </c>
      <c r="W386" s="537">
        <v>0</v>
      </c>
      <c r="X386" s="537">
        <v>0</v>
      </c>
      <c r="Y386" s="537">
        <v>0</v>
      </c>
      <c r="Z386" s="537">
        <v>0</v>
      </c>
      <c r="AA386" s="537">
        <v>0</v>
      </c>
      <c r="AB386" s="537">
        <v>0</v>
      </c>
      <c r="AC386" s="537">
        <v>0</v>
      </c>
      <c r="AD386" s="537">
        <v>0</v>
      </c>
      <c r="AE386" s="537">
        <v>0</v>
      </c>
      <c r="AF386" s="537">
        <v>0</v>
      </c>
      <c r="AG386" s="537">
        <v>0</v>
      </c>
      <c r="AH386" s="538">
        <f t="shared" si="274"/>
        <v>0</v>
      </c>
      <c r="AI386" s="538">
        <f t="shared" si="274"/>
        <v>0</v>
      </c>
      <c r="AJ386" s="538">
        <f t="shared" si="274"/>
        <v>0</v>
      </c>
      <c r="AK386" s="538">
        <f t="shared" si="274"/>
        <v>0</v>
      </c>
      <c r="AL386" s="538">
        <f t="shared" si="274"/>
        <v>0</v>
      </c>
      <c r="AM386" s="538">
        <f t="shared" si="274"/>
        <v>0</v>
      </c>
      <c r="AN386" s="538">
        <f t="shared" si="274"/>
        <v>0</v>
      </c>
      <c r="AO386" s="538">
        <f t="shared" si="274"/>
        <v>0</v>
      </c>
      <c r="AP386" s="538">
        <f t="shared" si="274"/>
        <v>0</v>
      </c>
      <c r="AQ386" s="538">
        <f t="shared" si="274"/>
        <v>0</v>
      </c>
      <c r="AR386" s="538">
        <f t="shared" si="274"/>
        <v>0</v>
      </c>
      <c r="AS386" s="538">
        <f t="shared" si="274"/>
        <v>0</v>
      </c>
      <c r="AT386" s="538">
        <f t="shared" si="274"/>
        <v>0</v>
      </c>
      <c r="AU386" s="538">
        <f t="shared" si="274"/>
        <v>0</v>
      </c>
      <c r="AV386" s="538">
        <f t="shared" si="274"/>
        <v>0</v>
      </c>
      <c r="AW386" s="538">
        <f t="shared" si="274"/>
        <v>0</v>
      </c>
      <c r="AX386" s="538">
        <f t="shared" si="273"/>
        <v>0</v>
      </c>
      <c r="AY386" s="538">
        <f t="shared" si="273"/>
        <v>0</v>
      </c>
      <c r="AZ386" s="538">
        <f t="shared" si="273"/>
        <v>0</v>
      </c>
      <c r="BA386" s="538">
        <f t="shared" si="273"/>
        <v>0</v>
      </c>
      <c r="BB386" s="538">
        <f t="shared" si="273"/>
        <v>0</v>
      </c>
      <c r="BC386" s="538">
        <f t="shared" si="273"/>
        <v>0</v>
      </c>
      <c r="BD386" s="538">
        <f t="shared" si="273"/>
        <v>0</v>
      </c>
      <c r="BE386" s="538">
        <f t="shared" si="273"/>
        <v>0</v>
      </c>
      <c r="BF386" s="538">
        <f t="shared" si="273"/>
        <v>0</v>
      </c>
      <c r="BG386" s="538">
        <f t="shared" si="273"/>
        <v>0</v>
      </c>
      <c r="BH386" s="538">
        <f t="shared" si="273"/>
        <v>0</v>
      </c>
      <c r="BI386" s="538">
        <f t="shared" si="273"/>
        <v>0</v>
      </c>
      <c r="BJ386" s="538">
        <f t="shared" si="273"/>
        <v>0</v>
      </c>
      <c r="BK386" s="538">
        <f t="shared" si="273"/>
        <v>0</v>
      </c>
      <c r="BL386" s="538">
        <f t="shared" si="273"/>
        <v>0</v>
      </c>
      <c r="BM386" s="538">
        <f t="shared" si="273"/>
        <v>0</v>
      </c>
      <c r="BN386" s="538">
        <f t="shared" si="273"/>
        <v>0</v>
      </c>
      <c r="BO386" s="538">
        <f t="shared" si="273"/>
        <v>0</v>
      </c>
      <c r="BP386" s="538">
        <f t="shared" si="273"/>
        <v>0</v>
      </c>
      <c r="BQ386" s="538">
        <f t="shared" si="273"/>
        <v>0</v>
      </c>
      <c r="BR386" s="538">
        <f t="shared" si="273"/>
        <v>0</v>
      </c>
      <c r="BS386" s="538">
        <f t="shared" si="273"/>
        <v>0</v>
      </c>
      <c r="BT386" s="538">
        <f t="shared" si="273"/>
        <v>0</v>
      </c>
      <c r="BU386" s="538">
        <f t="shared" si="273"/>
        <v>0</v>
      </c>
      <c r="BV386" s="538">
        <f t="shared" si="273"/>
        <v>0</v>
      </c>
      <c r="BW386" s="538">
        <f t="shared" si="273"/>
        <v>0</v>
      </c>
      <c r="BX386" s="538">
        <f t="shared" si="273"/>
        <v>0</v>
      </c>
      <c r="BY386" s="538">
        <f t="shared" si="273"/>
        <v>0</v>
      </c>
      <c r="BZ386" s="538">
        <f t="shared" si="273"/>
        <v>0</v>
      </c>
      <c r="CA386" s="538">
        <f t="shared" si="273"/>
        <v>0</v>
      </c>
      <c r="CB386" s="538">
        <f t="shared" si="273"/>
        <v>0</v>
      </c>
      <c r="CC386" s="538">
        <f t="shared" si="273"/>
        <v>0</v>
      </c>
      <c r="CD386" s="538">
        <f t="shared" si="273"/>
        <v>0</v>
      </c>
      <c r="CE386" s="538">
        <f t="shared" si="273"/>
        <v>0</v>
      </c>
      <c r="CG386" s="537">
        <v>0</v>
      </c>
      <c r="CH386" s="537">
        <v>0</v>
      </c>
      <c r="CI386" s="537">
        <v>0</v>
      </c>
      <c r="CJ386" s="537">
        <v>0</v>
      </c>
      <c r="CK386" s="537">
        <v>0</v>
      </c>
      <c r="CL386" s="537">
        <v>0</v>
      </c>
      <c r="CM386" s="537">
        <v>0</v>
      </c>
      <c r="CN386" s="537">
        <v>0</v>
      </c>
      <c r="CO386" s="537">
        <v>0</v>
      </c>
      <c r="CP386" s="537">
        <v>0</v>
      </c>
      <c r="CQ386" s="537">
        <v>0</v>
      </c>
      <c r="CR386" s="537">
        <v>0</v>
      </c>
      <c r="CS386" s="537">
        <v>0</v>
      </c>
      <c r="CT386" s="537">
        <v>0</v>
      </c>
      <c r="CU386" s="537">
        <v>0</v>
      </c>
      <c r="CV386" s="537">
        <v>0</v>
      </c>
      <c r="CW386" s="537">
        <v>0</v>
      </c>
      <c r="CX386" s="537">
        <v>0</v>
      </c>
      <c r="CY386" s="537">
        <v>0</v>
      </c>
      <c r="CZ386" s="537">
        <v>0</v>
      </c>
      <c r="DA386" s="537">
        <v>0</v>
      </c>
      <c r="DB386" s="537">
        <v>0</v>
      </c>
      <c r="DC386" s="537">
        <v>0</v>
      </c>
      <c r="DD386" s="537">
        <v>0</v>
      </c>
      <c r="DE386" s="537">
        <v>0</v>
      </c>
      <c r="DF386" s="537">
        <v>0</v>
      </c>
      <c r="DG386" s="537">
        <v>0</v>
      </c>
      <c r="DH386" s="537">
        <v>0</v>
      </c>
    </row>
    <row r="387" spans="2:112">
      <c r="B387" t="s">
        <v>1243</v>
      </c>
      <c r="C387" t="s">
        <v>821</v>
      </c>
      <c r="D387" t="s">
        <v>897</v>
      </c>
      <c r="E387" t="s">
        <v>895</v>
      </c>
      <c r="F387" s="537">
        <v>0.01</v>
      </c>
      <c r="G387" s="537">
        <v>0.01</v>
      </c>
      <c r="H387" s="537">
        <v>0.01</v>
      </c>
      <c r="I387" s="537">
        <v>0.01</v>
      </c>
      <c r="J387" s="537">
        <v>0.01</v>
      </c>
      <c r="K387" s="537">
        <v>0.01</v>
      </c>
      <c r="L387" s="537">
        <v>0.01</v>
      </c>
      <c r="M387" s="537">
        <v>0.01</v>
      </c>
      <c r="N387" s="537">
        <v>0.01</v>
      </c>
      <c r="O387" s="537">
        <v>0.01</v>
      </c>
      <c r="P387" s="537">
        <v>0.01</v>
      </c>
      <c r="Q387" s="537">
        <v>0.01</v>
      </c>
      <c r="R387" s="537">
        <v>0.01</v>
      </c>
      <c r="S387" s="537">
        <v>0.01</v>
      </c>
      <c r="T387" s="537">
        <v>0.01</v>
      </c>
      <c r="U387" s="537">
        <v>0.01</v>
      </c>
      <c r="V387" s="537">
        <v>0.01</v>
      </c>
      <c r="W387" s="537">
        <v>0.01</v>
      </c>
      <c r="X387" s="537">
        <v>0.01</v>
      </c>
      <c r="Y387" s="537">
        <v>0.01</v>
      </c>
      <c r="Z387" s="537">
        <v>0.01</v>
      </c>
      <c r="AA387" s="537">
        <v>0.01</v>
      </c>
      <c r="AB387" s="537">
        <v>0.01</v>
      </c>
      <c r="AC387" s="537">
        <v>0.01</v>
      </c>
      <c r="AD387" s="537">
        <v>0.01</v>
      </c>
      <c r="AE387" s="537">
        <v>0.01</v>
      </c>
      <c r="AF387" s="537">
        <v>0.01</v>
      </c>
      <c r="AG387" s="537">
        <v>0.01</v>
      </c>
      <c r="AH387" s="538">
        <f t="shared" si="274"/>
        <v>0.01</v>
      </c>
      <c r="AI387" s="538">
        <f t="shared" si="274"/>
        <v>0.01</v>
      </c>
      <c r="AJ387" s="538">
        <f t="shared" si="274"/>
        <v>0.01</v>
      </c>
      <c r="AK387" s="538">
        <f t="shared" si="274"/>
        <v>0.01</v>
      </c>
      <c r="AL387" s="538">
        <f t="shared" si="274"/>
        <v>0.01</v>
      </c>
      <c r="AM387" s="538">
        <f t="shared" si="274"/>
        <v>0.01</v>
      </c>
      <c r="AN387" s="538">
        <f t="shared" si="274"/>
        <v>0.01</v>
      </c>
      <c r="AO387" s="538">
        <f t="shared" si="274"/>
        <v>0.01</v>
      </c>
      <c r="AP387" s="538">
        <f t="shared" si="274"/>
        <v>0.01</v>
      </c>
      <c r="AQ387" s="538">
        <f t="shared" si="274"/>
        <v>0.01</v>
      </c>
      <c r="AR387" s="538">
        <f t="shared" si="274"/>
        <v>0.01</v>
      </c>
      <c r="AS387" s="538">
        <f t="shared" si="274"/>
        <v>0.01</v>
      </c>
      <c r="AT387" s="538">
        <f t="shared" si="274"/>
        <v>0.01</v>
      </c>
      <c r="AU387" s="538">
        <f t="shared" si="274"/>
        <v>0.01</v>
      </c>
      <c r="AV387" s="538">
        <f t="shared" si="274"/>
        <v>0.01</v>
      </c>
      <c r="AW387" s="538">
        <f t="shared" si="274"/>
        <v>0.01</v>
      </c>
      <c r="AX387" s="538">
        <f t="shared" si="273"/>
        <v>0.01</v>
      </c>
      <c r="AY387" s="538">
        <f t="shared" si="273"/>
        <v>0.01</v>
      </c>
      <c r="AZ387" s="538">
        <f t="shared" si="273"/>
        <v>0.01</v>
      </c>
      <c r="BA387" s="538">
        <f t="shared" si="273"/>
        <v>0.01</v>
      </c>
      <c r="BB387" s="538">
        <f t="shared" si="273"/>
        <v>0.01</v>
      </c>
      <c r="BC387" s="538">
        <f t="shared" si="273"/>
        <v>0.01</v>
      </c>
      <c r="BD387" s="538">
        <f t="shared" si="273"/>
        <v>0.01</v>
      </c>
      <c r="BE387" s="538">
        <f t="shared" si="273"/>
        <v>0.01</v>
      </c>
      <c r="BF387" s="538">
        <f t="shared" si="273"/>
        <v>0.01</v>
      </c>
      <c r="BG387" s="538">
        <f t="shared" si="273"/>
        <v>0.01</v>
      </c>
      <c r="BH387" s="538">
        <f t="shared" si="273"/>
        <v>0.01</v>
      </c>
      <c r="BI387" s="538">
        <f t="shared" si="273"/>
        <v>0.01</v>
      </c>
      <c r="BJ387" s="538">
        <f t="shared" si="273"/>
        <v>0.01</v>
      </c>
      <c r="BK387" s="538">
        <f t="shared" si="273"/>
        <v>0.01</v>
      </c>
      <c r="BL387" s="538">
        <f t="shared" si="273"/>
        <v>0.01</v>
      </c>
      <c r="BM387" s="538">
        <f t="shared" si="273"/>
        <v>0.01</v>
      </c>
      <c r="BN387" s="538">
        <f t="shared" ref="BN387:CC389" si="275">BM387</f>
        <v>0.01</v>
      </c>
      <c r="BO387" s="538">
        <f t="shared" si="275"/>
        <v>0.01</v>
      </c>
      <c r="BP387" s="538">
        <f t="shared" si="275"/>
        <v>0.01</v>
      </c>
      <c r="BQ387" s="538">
        <f t="shared" si="275"/>
        <v>0.01</v>
      </c>
      <c r="BR387" s="538">
        <f t="shared" si="275"/>
        <v>0.01</v>
      </c>
      <c r="BS387" s="538">
        <f t="shared" si="275"/>
        <v>0.01</v>
      </c>
      <c r="BT387" s="538">
        <f t="shared" si="275"/>
        <v>0.01</v>
      </c>
      <c r="BU387" s="538">
        <f t="shared" si="275"/>
        <v>0.01</v>
      </c>
      <c r="BV387" s="538">
        <f t="shared" si="275"/>
        <v>0.01</v>
      </c>
      <c r="BW387" s="538">
        <f t="shared" si="275"/>
        <v>0.01</v>
      </c>
      <c r="BX387" s="538">
        <f t="shared" si="275"/>
        <v>0.01</v>
      </c>
      <c r="BY387" s="538">
        <f t="shared" si="275"/>
        <v>0.01</v>
      </c>
      <c r="BZ387" s="538">
        <f t="shared" si="275"/>
        <v>0.01</v>
      </c>
      <c r="CA387" s="538">
        <f t="shared" si="275"/>
        <v>0.01</v>
      </c>
      <c r="CB387" s="538">
        <f t="shared" si="275"/>
        <v>0.01</v>
      </c>
      <c r="CC387" s="538">
        <f t="shared" si="275"/>
        <v>0.01</v>
      </c>
      <c r="CD387" s="538">
        <f t="shared" ref="CD387:CE389" si="276">CC387</f>
        <v>0.01</v>
      </c>
      <c r="CE387" s="538">
        <f t="shared" si="276"/>
        <v>0.01</v>
      </c>
      <c r="CG387" s="537">
        <v>0.01</v>
      </c>
      <c r="CH387" s="537">
        <v>0.01</v>
      </c>
      <c r="CI387" s="537">
        <v>0.01</v>
      </c>
      <c r="CJ387" s="537">
        <v>0.01</v>
      </c>
      <c r="CK387" s="537">
        <v>0.01</v>
      </c>
      <c r="CL387" s="537">
        <v>0.01</v>
      </c>
      <c r="CM387" s="537">
        <v>0.01</v>
      </c>
      <c r="CN387" s="537">
        <v>0.01</v>
      </c>
      <c r="CO387" s="537">
        <v>0.01</v>
      </c>
      <c r="CP387" s="537">
        <v>0.01</v>
      </c>
      <c r="CQ387" s="537">
        <v>0.01</v>
      </c>
      <c r="CR387" s="537">
        <v>0.01</v>
      </c>
      <c r="CS387" s="537">
        <v>0.01</v>
      </c>
      <c r="CT387" s="537">
        <v>0.01</v>
      </c>
      <c r="CU387" s="537">
        <v>0.01</v>
      </c>
      <c r="CV387" s="537">
        <v>0.01</v>
      </c>
      <c r="CW387" s="537">
        <v>0.01</v>
      </c>
      <c r="CX387" s="537">
        <v>0.01</v>
      </c>
      <c r="CY387" s="537">
        <v>0.01</v>
      </c>
      <c r="CZ387" s="537">
        <v>0.01</v>
      </c>
      <c r="DA387" s="537">
        <v>0.01</v>
      </c>
      <c r="DB387" s="537">
        <v>0.01</v>
      </c>
      <c r="DC387" s="537">
        <v>0.01</v>
      </c>
      <c r="DD387" s="537">
        <v>0.01</v>
      </c>
      <c r="DE387" s="537">
        <v>0.01</v>
      </c>
      <c r="DF387" s="537">
        <v>0.01</v>
      </c>
      <c r="DG387" s="537">
        <v>0.01</v>
      </c>
      <c r="DH387" s="537">
        <v>0.01</v>
      </c>
    </row>
    <row r="388" spans="2:112">
      <c r="B388" t="s">
        <v>1244</v>
      </c>
      <c r="C388" t="s">
        <v>821</v>
      </c>
      <c r="D388" t="s">
        <v>899</v>
      </c>
      <c r="E388" t="s">
        <v>895</v>
      </c>
      <c r="F388" s="537">
        <v>0.05</v>
      </c>
      <c r="G388" s="537">
        <v>0.05</v>
      </c>
      <c r="H388" s="537">
        <v>0.05</v>
      </c>
      <c r="I388" s="537">
        <v>0.05</v>
      </c>
      <c r="J388" s="537">
        <v>0.05</v>
      </c>
      <c r="K388" s="537">
        <v>0.05</v>
      </c>
      <c r="L388" s="537">
        <v>0.05</v>
      </c>
      <c r="M388" s="537">
        <v>0.05</v>
      </c>
      <c r="N388" s="537">
        <v>0.05</v>
      </c>
      <c r="O388" s="537">
        <v>0.05</v>
      </c>
      <c r="P388" s="537">
        <v>0.05</v>
      </c>
      <c r="Q388" s="537">
        <v>0.05</v>
      </c>
      <c r="R388" s="537">
        <v>0.05</v>
      </c>
      <c r="S388" s="537">
        <v>0.05</v>
      </c>
      <c r="T388" s="537">
        <v>0.05</v>
      </c>
      <c r="U388" s="537">
        <v>0.05</v>
      </c>
      <c r="V388" s="537">
        <v>0.05</v>
      </c>
      <c r="W388" s="537">
        <v>0.05</v>
      </c>
      <c r="X388" s="537">
        <v>0.05</v>
      </c>
      <c r="Y388" s="537">
        <v>0.05</v>
      </c>
      <c r="Z388" s="537">
        <v>0.05</v>
      </c>
      <c r="AA388" s="537">
        <v>0.05</v>
      </c>
      <c r="AB388" s="537">
        <v>0.05</v>
      </c>
      <c r="AC388" s="537">
        <v>0.05</v>
      </c>
      <c r="AD388" s="537">
        <v>0.05</v>
      </c>
      <c r="AE388" s="537">
        <v>0.05</v>
      </c>
      <c r="AF388" s="537">
        <v>0.05</v>
      </c>
      <c r="AG388" s="537">
        <v>0.05</v>
      </c>
      <c r="AH388" s="538">
        <f t="shared" si="274"/>
        <v>0.05</v>
      </c>
      <c r="AI388" s="538">
        <f t="shared" si="274"/>
        <v>0.05</v>
      </c>
      <c r="AJ388" s="538">
        <f t="shared" si="274"/>
        <v>0.05</v>
      </c>
      <c r="AK388" s="538">
        <f t="shared" si="274"/>
        <v>0.05</v>
      </c>
      <c r="AL388" s="538">
        <f t="shared" si="274"/>
        <v>0.05</v>
      </c>
      <c r="AM388" s="538">
        <f t="shared" si="274"/>
        <v>0.05</v>
      </c>
      <c r="AN388" s="538">
        <f t="shared" si="274"/>
        <v>0.05</v>
      </c>
      <c r="AO388" s="538">
        <f t="shared" si="274"/>
        <v>0.05</v>
      </c>
      <c r="AP388" s="538">
        <f t="shared" si="274"/>
        <v>0.05</v>
      </c>
      <c r="AQ388" s="538">
        <f t="shared" si="274"/>
        <v>0.05</v>
      </c>
      <c r="AR388" s="538">
        <f t="shared" si="274"/>
        <v>0.05</v>
      </c>
      <c r="AS388" s="538">
        <f t="shared" si="274"/>
        <v>0.05</v>
      </c>
      <c r="AT388" s="538">
        <f t="shared" si="274"/>
        <v>0.05</v>
      </c>
      <c r="AU388" s="538">
        <f t="shared" si="274"/>
        <v>0.05</v>
      </c>
      <c r="AV388" s="538">
        <f t="shared" si="274"/>
        <v>0.05</v>
      </c>
      <c r="AW388" s="538">
        <f t="shared" si="274"/>
        <v>0.05</v>
      </c>
      <c r="AX388" s="538">
        <f t="shared" ref="AX388:BM389" si="277">AW388</f>
        <v>0.05</v>
      </c>
      <c r="AY388" s="538">
        <f t="shared" si="277"/>
        <v>0.05</v>
      </c>
      <c r="AZ388" s="538">
        <f t="shared" si="277"/>
        <v>0.05</v>
      </c>
      <c r="BA388" s="538">
        <f t="shared" si="277"/>
        <v>0.05</v>
      </c>
      <c r="BB388" s="538">
        <f t="shared" si="277"/>
        <v>0.05</v>
      </c>
      <c r="BC388" s="538">
        <f t="shared" si="277"/>
        <v>0.05</v>
      </c>
      <c r="BD388" s="538">
        <f t="shared" si="277"/>
        <v>0.05</v>
      </c>
      <c r="BE388" s="538">
        <f t="shared" si="277"/>
        <v>0.05</v>
      </c>
      <c r="BF388" s="538">
        <f t="shared" si="277"/>
        <v>0.05</v>
      </c>
      <c r="BG388" s="538">
        <f t="shared" si="277"/>
        <v>0.05</v>
      </c>
      <c r="BH388" s="538">
        <f t="shared" si="277"/>
        <v>0.05</v>
      </c>
      <c r="BI388" s="538">
        <f t="shared" si="277"/>
        <v>0.05</v>
      </c>
      <c r="BJ388" s="538">
        <f t="shared" si="277"/>
        <v>0.05</v>
      </c>
      <c r="BK388" s="538">
        <f t="shared" si="277"/>
        <v>0.05</v>
      </c>
      <c r="BL388" s="538">
        <f t="shared" si="277"/>
        <v>0.05</v>
      </c>
      <c r="BM388" s="538">
        <f t="shared" si="277"/>
        <v>0.05</v>
      </c>
      <c r="BN388" s="538">
        <f t="shared" si="275"/>
        <v>0.05</v>
      </c>
      <c r="BO388" s="538">
        <f t="shared" si="275"/>
        <v>0.05</v>
      </c>
      <c r="BP388" s="538">
        <f t="shared" si="275"/>
        <v>0.05</v>
      </c>
      <c r="BQ388" s="538">
        <f t="shared" si="275"/>
        <v>0.05</v>
      </c>
      <c r="BR388" s="538">
        <f t="shared" si="275"/>
        <v>0.05</v>
      </c>
      <c r="BS388" s="538">
        <f t="shared" si="275"/>
        <v>0.05</v>
      </c>
      <c r="BT388" s="538">
        <f t="shared" si="275"/>
        <v>0.05</v>
      </c>
      <c r="BU388" s="538">
        <f t="shared" si="275"/>
        <v>0.05</v>
      </c>
      <c r="BV388" s="538">
        <f t="shared" si="275"/>
        <v>0.05</v>
      </c>
      <c r="BW388" s="538">
        <f t="shared" si="275"/>
        <v>0.05</v>
      </c>
      <c r="BX388" s="538">
        <f t="shared" si="275"/>
        <v>0.05</v>
      </c>
      <c r="BY388" s="538">
        <f t="shared" si="275"/>
        <v>0.05</v>
      </c>
      <c r="BZ388" s="538">
        <f t="shared" si="275"/>
        <v>0.05</v>
      </c>
      <c r="CA388" s="538">
        <f t="shared" si="275"/>
        <v>0.05</v>
      </c>
      <c r="CB388" s="538">
        <f t="shared" si="275"/>
        <v>0.05</v>
      </c>
      <c r="CC388" s="538">
        <f t="shared" si="275"/>
        <v>0.05</v>
      </c>
      <c r="CD388" s="538">
        <f t="shared" si="276"/>
        <v>0.05</v>
      </c>
      <c r="CE388" s="538">
        <f t="shared" si="276"/>
        <v>0.05</v>
      </c>
      <c r="CG388" s="537">
        <v>0.05</v>
      </c>
      <c r="CH388" s="537">
        <v>0.05</v>
      </c>
      <c r="CI388" s="537">
        <v>0.05</v>
      </c>
      <c r="CJ388" s="537">
        <v>0.05</v>
      </c>
      <c r="CK388" s="537">
        <v>0.05</v>
      </c>
      <c r="CL388" s="537">
        <v>0.05</v>
      </c>
      <c r="CM388" s="537">
        <v>0.05</v>
      </c>
      <c r="CN388" s="537">
        <v>0.05</v>
      </c>
      <c r="CO388" s="537">
        <v>0.05</v>
      </c>
      <c r="CP388" s="537">
        <v>0.05</v>
      </c>
      <c r="CQ388" s="537">
        <v>0.05</v>
      </c>
      <c r="CR388" s="537">
        <v>0.05</v>
      </c>
      <c r="CS388" s="537">
        <v>0.05</v>
      </c>
      <c r="CT388" s="537">
        <v>0.05</v>
      </c>
      <c r="CU388" s="537">
        <v>0.05</v>
      </c>
      <c r="CV388" s="537">
        <v>0.05</v>
      </c>
      <c r="CW388" s="537">
        <v>0.05</v>
      </c>
      <c r="CX388" s="537">
        <v>0.05</v>
      </c>
      <c r="CY388" s="537">
        <v>0.05</v>
      </c>
      <c r="CZ388" s="537">
        <v>0.05</v>
      </c>
      <c r="DA388" s="537">
        <v>0.05</v>
      </c>
      <c r="DB388" s="537">
        <v>0.05</v>
      </c>
      <c r="DC388" s="537">
        <v>0.05</v>
      </c>
      <c r="DD388" s="537">
        <v>0.05</v>
      </c>
      <c r="DE388" s="537">
        <v>0.05</v>
      </c>
      <c r="DF388" s="537">
        <v>0.05</v>
      </c>
      <c r="DG388" s="537">
        <v>0.05</v>
      </c>
      <c r="DH388" s="537">
        <v>0.05</v>
      </c>
    </row>
    <row r="389" spans="2:112">
      <c r="B389" t="s">
        <v>1245</v>
      </c>
      <c r="C389" t="s">
        <v>821</v>
      </c>
      <c r="D389" t="s">
        <v>901</v>
      </c>
      <c r="E389" t="s">
        <v>895</v>
      </c>
      <c r="F389" s="537">
        <v>0.05</v>
      </c>
      <c r="G389" s="537">
        <v>0.05</v>
      </c>
      <c r="H389" s="537">
        <v>0.05</v>
      </c>
      <c r="I389" s="537">
        <v>0.05</v>
      </c>
      <c r="J389" s="537">
        <v>0.05</v>
      </c>
      <c r="K389" s="537">
        <v>0.05</v>
      </c>
      <c r="L389" s="537">
        <v>0.05</v>
      </c>
      <c r="M389" s="537">
        <v>0.05</v>
      </c>
      <c r="N389" s="537">
        <v>0.05</v>
      </c>
      <c r="O389" s="537">
        <v>0.05</v>
      </c>
      <c r="P389" s="537">
        <v>0.05</v>
      </c>
      <c r="Q389" s="537">
        <v>0.05</v>
      </c>
      <c r="R389" s="537">
        <v>0.05</v>
      </c>
      <c r="S389" s="537">
        <v>0.05</v>
      </c>
      <c r="T389" s="537">
        <v>0.05</v>
      </c>
      <c r="U389" s="537">
        <v>0.05</v>
      </c>
      <c r="V389" s="537">
        <v>0.05</v>
      </c>
      <c r="W389" s="537">
        <v>0.05</v>
      </c>
      <c r="X389" s="537">
        <v>0.05</v>
      </c>
      <c r="Y389" s="537">
        <v>0.05</v>
      </c>
      <c r="Z389" s="537">
        <v>0.05</v>
      </c>
      <c r="AA389" s="537">
        <v>0.05</v>
      </c>
      <c r="AB389" s="537">
        <v>0.05</v>
      </c>
      <c r="AC389" s="537">
        <v>0.05</v>
      </c>
      <c r="AD389" s="537">
        <v>0.05</v>
      </c>
      <c r="AE389" s="537">
        <v>0.05</v>
      </c>
      <c r="AF389" s="537">
        <v>0.05</v>
      </c>
      <c r="AG389" s="537">
        <v>0.05</v>
      </c>
      <c r="AH389" s="538">
        <f t="shared" si="274"/>
        <v>0.05</v>
      </c>
      <c r="AI389" s="538">
        <f t="shared" si="274"/>
        <v>0.05</v>
      </c>
      <c r="AJ389" s="538">
        <f t="shared" si="274"/>
        <v>0.05</v>
      </c>
      <c r="AK389" s="538">
        <f t="shared" si="274"/>
        <v>0.05</v>
      </c>
      <c r="AL389" s="538">
        <f t="shared" si="274"/>
        <v>0.05</v>
      </c>
      <c r="AM389" s="538">
        <f t="shared" si="274"/>
        <v>0.05</v>
      </c>
      <c r="AN389" s="538">
        <f t="shared" si="274"/>
        <v>0.05</v>
      </c>
      <c r="AO389" s="538">
        <f t="shared" si="274"/>
        <v>0.05</v>
      </c>
      <c r="AP389" s="538">
        <f t="shared" si="274"/>
        <v>0.05</v>
      </c>
      <c r="AQ389" s="538">
        <f t="shared" si="274"/>
        <v>0.05</v>
      </c>
      <c r="AR389" s="538">
        <f t="shared" si="274"/>
        <v>0.05</v>
      </c>
      <c r="AS389" s="538">
        <f t="shared" si="274"/>
        <v>0.05</v>
      </c>
      <c r="AT389" s="538">
        <f t="shared" si="274"/>
        <v>0.05</v>
      </c>
      <c r="AU389" s="538">
        <f t="shared" si="274"/>
        <v>0.05</v>
      </c>
      <c r="AV389" s="538">
        <f t="shared" si="274"/>
        <v>0.05</v>
      </c>
      <c r="AW389" s="538">
        <f t="shared" si="274"/>
        <v>0.05</v>
      </c>
      <c r="AX389" s="538">
        <f t="shared" si="277"/>
        <v>0.05</v>
      </c>
      <c r="AY389" s="538">
        <f t="shared" si="277"/>
        <v>0.05</v>
      </c>
      <c r="AZ389" s="538">
        <f t="shared" si="277"/>
        <v>0.05</v>
      </c>
      <c r="BA389" s="538">
        <f t="shared" si="277"/>
        <v>0.05</v>
      </c>
      <c r="BB389" s="538">
        <f t="shared" si="277"/>
        <v>0.05</v>
      </c>
      <c r="BC389" s="538">
        <f t="shared" si="277"/>
        <v>0.05</v>
      </c>
      <c r="BD389" s="538">
        <f t="shared" si="277"/>
        <v>0.05</v>
      </c>
      <c r="BE389" s="538">
        <f t="shared" si="277"/>
        <v>0.05</v>
      </c>
      <c r="BF389" s="538">
        <f t="shared" si="277"/>
        <v>0.05</v>
      </c>
      <c r="BG389" s="538">
        <f t="shared" si="277"/>
        <v>0.05</v>
      </c>
      <c r="BH389" s="538">
        <f t="shared" si="277"/>
        <v>0.05</v>
      </c>
      <c r="BI389" s="538">
        <f t="shared" si="277"/>
        <v>0.05</v>
      </c>
      <c r="BJ389" s="538">
        <f t="shared" si="277"/>
        <v>0.05</v>
      </c>
      <c r="BK389" s="538">
        <f t="shared" si="277"/>
        <v>0.05</v>
      </c>
      <c r="BL389" s="538">
        <f t="shared" si="277"/>
        <v>0.05</v>
      </c>
      <c r="BM389" s="538">
        <f t="shared" si="277"/>
        <v>0.05</v>
      </c>
      <c r="BN389" s="538">
        <f t="shared" si="275"/>
        <v>0.05</v>
      </c>
      <c r="BO389" s="538">
        <f t="shared" si="275"/>
        <v>0.05</v>
      </c>
      <c r="BP389" s="538">
        <f t="shared" si="275"/>
        <v>0.05</v>
      </c>
      <c r="BQ389" s="538">
        <f t="shared" si="275"/>
        <v>0.05</v>
      </c>
      <c r="BR389" s="538">
        <f t="shared" si="275"/>
        <v>0.05</v>
      </c>
      <c r="BS389" s="538">
        <f t="shared" si="275"/>
        <v>0.05</v>
      </c>
      <c r="BT389" s="538">
        <f t="shared" si="275"/>
        <v>0.05</v>
      </c>
      <c r="BU389" s="538">
        <f t="shared" si="275"/>
        <v>0.05</v>
      </c>
      <c r="BV389" s="538">
        <f t="shared" si="275"/>
        <v>0.05</v>
      </c>
      <c r="BW389" s="538">
        <f t="shared" si="275"/>
        <v>0.05</v>
      </c>
      <c r="BX389" s="538">
        <f t="shared" si="275"/>
        <v>0.05</v>
      </c>
      <c r="BY389" s="538">
        <f t="shared" si="275"/>
        <v>0.05</v>
      </c>
      <c r="BZ389" s="538">
        <f t="shared" si="275"/>
        <v>0.05</v>
      </c>
      <c r="CA389" s="538">
        <f t="shared" si="275"/>
        <v>0.05</v>
      </c>
      <c r="CB389" s="538">
        <f t="shared" si="275"/>
        <v>0.05</v>
      </c>
      <c r="CC389" s="538">
        <f t="shared" si="275"/>
        <v>0.05</v>
      </c>
      <c r="CD389" s="538">
        <f t="shared" si="276"/>
        <v>0.05</v>
      </c>
      <c r="CE389" s="538">
        <f t="shared" si="276"/>
        <v>0.05</v>
      </c>
      <c r="CG389" s="537">
        <v>0.05</v>
      </c>
      <c r="CH389" s="537">
        <v>0.05</v>
      </c>
      <c r="CI389" s="537">
        <v>0.05</v>
      </c>
      <c r="CJ389" s="537">
        <v>0.05</v>
      </c>
      <c r="CK389" s="537">
        <v>0.05</v>
      </c>
      <c r="CL389" s="537">
        <v>0.05</v>
      </c>
      <c r="CM389" s="537">
        <v>0.05</v>
      </c>
      <c r="CN389" s="537">
        <v>0.05</v>
      </c>
      <c r="CO389" s="537">
        <v>0.05</v>
      </c>
      <c r="CP389" s="537">
        <v>0.05</v>
      </c>
      <c r="CQ389" s="537">
        <v>0.05</v>
      </c>
      <c r="CR389" s="537">
        <v>0.05</v>
      </c>
      <c r="CS389" s="537">
        <v>0.05</v>
      </c>
      <c r="CT389" s="537">
        <v>0.05</v>
      </c>
      <c r="CU389" s="537">
        <v>0.05</v>
      </c>
      <c r="CV389" s="537">
        <v>0.05</v>
      </c>
      <c r="CW389" s="537">
        <v>0.05</v>
      </c>
      <c r="CX389" s="537">
        <v>0.05</v>
      </c>
      <c r="CY389" s="537">
        <v>0.05</v>
      </c>
      <c r="CZ389" s="537">
        <v>0.05</v>
      </c>
      <c r="DA389" s="537">
        <v>0.05</v>
      </c>
      <c r="DB389" s="537">
        <v>0.05</v>
      </c>
      <c r="DC389" s="537">
        <v>0.05</v>
      </c>
      <c r="DD389" s="537">
        <v>0.05</v>
      </c>
      <c r="DE389" s="537">
        <v>0.05</v>
      </c>
      <c r="DF389" s="537">
        <v>0.05</v>
      </c>
      <c r="DG389" s="537">
        <v>0.05</v>
      </c>
      <c r="DH389" s="537">
        <v>0.05</v>
      </c>
    </row>
    <row r="390" spans="2:112">
      <c r="F390" s="539"/>
      <c r="G390" s="539"/>
      <c r="H390" s="539"/>
      <c r="I390" s="539"/>
      <c r="J390" s="539"/>
      <c r="K390" s="539"/>
      <c r="L390" s="539"/>
      <c r="M390" s="539"/>
      <c r="N390" s="539"/>
      <c r="O390" s="539"/>
      <c r="P390" s="539"/>
      <c r="Q390" s="539"/>
      <c r="R390" s="539"/>
      <c r="S390" s="539"/>
      <c r="T390" s="539"/>
      <c r="U390" s="539"/>
      <c r="V390" s="539"/>
      <c r="W390" s="539"/>
      <c r="X390" s="539"/>
      <c r="Y390" s="539"/>
      <c r="Z390" s="539"/>
      <c r="AA390" s="539"/>
      <c r="AB390" s="539"/>
      <c r="AC390" s="539"/>
      <c r="AD390" s="539"/>
      <c r="AE390" s="539"/>
      <c r="AF390" s="539"/>
      <c r="AG390" s="539"/>
      <c r="AH390" s="539"/>
      <c r="AI390" s="539"/>
      <c r="AJ390" s="539"/>
      <c r="AK390" s="539"/>
      <c r="AL390" s="539"/>
      <c r="AM390" s="539"/>
      <c r="AN390" s="539"/>
      <c r="AO390" s="539"/>
      <c r="AP390" s="539"/>
      <c r="AQ390" s="539"/>
      <c r="AR390" s="539"/>
      <c r="AS390" s="539"/>
      <c r="AT390" s="539"/>
      <c r="AU390" s="539"/>
      <c r="AV390" s="539"/>
      <c r="AW390" s="539"/>
      <c r="AX390" s="539"/>
      <c r="AY390" s="539"/>
      <c r="AZ390" s="539"/>
      <c r="BA390" s="539"/>
      <c r="BB390" s="539"/>
      <c r="BC390" s="539"/>
      <c r="BD390" s="539"/>
      <c r="BE390" s="539"/>
      <c r="BF390" s="539"/>
      <c r="BG390" s="539"/>
      <c r="BH390" s="539"/>
      <c r="BI390" s="539"/>
      <c r="BJ390" s="539"/>
      <c r="BK390" s="539"/>
      <c r="BL390" s="539"/>
      <c r="BM390" s="539"/>
      <c r="BN390" s="539"/>
      <c r="BO390" s="539"/>
      <c r="BP390" s="539"/>
      <c r="BQ390" s="539"/>
      <c r="BR390" s="539"/>
      <c r="BS390" s="539"/>
      <c r="BT390" s="539"/>
      <c r="BU390" s="539"/>
      <c r="BV390" s="539"/>
      <c r="BW390" s="539"/>
      <c r="BX390" s="539"/>
      <c r="BY390" s="539"/>
      <c r="BZ390" s="539"/>
      <c r="CA390" s="539"/>
      <c r="CB390" s="539"/>
      <c r="CC390" s="539"/>
      <c r="CD390" s="539"/>
      <c r="CE390" s="539"/>
      <c r="CG390" s="539"/>
      <c r="CH390" s="539"/>
      <c r="CI390" s="539"/>
      <c r="CJ390" s="539"/>
      <c r="CK390" s="539"/>
      <c r="CL390" s="539"/>
      <c r="CM390" s="539"/>
      <c r="CN390" s="539"/>
      <c r="CO390" s="539"/>
      <c r="CP390" s="539"/>
      <c r="CQ390" s="539"/>
      <c r="CR390" s="539"/>
      <c r="CS390" s="539"/>
      <c r="CT390" s="539"/>
      <c r="CU390" s="539"/>
      <c r="CV390" s="539"/>
      <c r="CW390" s="539"/>
      <c r="CX390" s="539"/>
      <c r="CY390" s="539"/>
      <c r="CZ390" s="539"/>
      <c r="DA390" s="539"/>
      <c r="DB390" s="539"/>
      <c r="DC390" s="539"/>
      <c r="DD390" s="539"/>
      <c r="DE390" s="539"/>
      <c r="DF390" s="539"/>
      <c r="DG390" s="539"/>
      <c r="DH390" s="539"/>
    </row>
    <row r="391" spans="2:112">
      <c r="B391" t="s">
        <v>1246</v>
      </c>
      <c r="C391" t="s">
        <v>821</v>
      </c>
      <c r="D391" t="s">
        <v>903</v>
      </c>
      <c r="E391" t="s">
        <v>557</v>
      </c>
      <c r="F391" s="536">
        <v>12384.000000000004</v>
      </c>
      <c r="G391" s="536">
        <v>12384.000000000004</v>
      </c>
      <c r="H391" s="536">
        <v>12384.000000000004</v>
      </c>
      <c r="I391" s="536">
        <v>12384.000000000004</v>
      </c>
      <c r="J391" s="536">
        <v>12384.000000000004</v>
      </c>
      <c r="K391" s="536">
        <v>12384.000000000004</v>
      </c>
      <c r="L391" s="536">
        <v>12384.000000000004</v>
      </c>
      <c r="M391" s="536">
        <v>12384.000000000004</v>
      </c>
      <c r="N391" s="536">
        <v>12384.000000000004</v>
      </c>
      <c r="O391" s="536">
        <v>12384.000000000004</v>
      </c>
      <c r="P391" s="536">
        <v>12384.000000000004</v>
      </c>
      <c r="Q391" s="536">
        <v>12384.000000000004</v>
      </c>
      <c r="R391" s="536">
        <v>12384.000000000004</v>
      </c>
      <c r="S391" s="536">
        <v>12384.000000000004</v>
      </c>
      <c r="T391" s="536">
        <v>12384.000000000004</v>
      </c>
      <c r="U391" s="536">
        <v>12384.000000000004</v>
      </c>
      <c r="V391" s="536">
        <v>12384.000000000004</v>
      </c>
      <c r="W391" s="536">
        <v>12384.000000000004</v>
      </c>
      <c r="X391" s="536">
        <v>12384.000000000004</v>
      </c>
      <c r="Y391" s="536">
        <v>12384.000000000004</v>
      </c>
      <c r="Z391" s="536">
        <v>12384.000000000004</v>
      </c>
      <c r="AA391" s="536">
        <v>12384.000000000004</v>
      </c>
      <c r="AB391" s="536">
        <v>12384.000000000004</v>
      </c>
      <c r="AC391" s="536">
        <v>12384.000000000004</v>
      </c>
      <c r="AD391" s="536">
        <v>12384.000000000004</v>
      </c>
      <c r="AE391" s="536">
        <v>12384.000000000004</v>
      </c>
      <c r="AF391" s="536">
        <v>12384.000000000004</v>
      </c>
      <c r="AG391" s="536">
        <v>12384.000000000004</v>
      </c>
      <c r="AH391" s="540">
        <f>AG391</f>
        <v>12384.000000000004</v>
      </c>
      <c r="AI391" s="540">
        <f t="shared" ref="AI391:CE392" si="278">AH391</f>
        <v>12384.000000000004</v>
      </c>
      <c r="AJ391" s="540">
        <f t="shared" si="278"/>
        <v>12384.000000000004</v>
      </c>
      <c r="AK391" s="540">
        <f t="shared" si="278"/>
        <v>12384.000000000004</v>
      </c>
      <c r="AL391" s="540">
        <f t="shared" si="278"/>
        <v>12384.000000000004</v>
      </c>
      <c r="AM391" s="540">
        <f t="shared" si="278"/>
        <v>12384.000000000004</v>
      </c>
      <c r="AN391" s="540">
        <f t="shared" si="278"/>
        <v>12384.000000000004</v>
      </c>
      <c r="AO391" s="540">
        <f t="shared" si="278"/>
        <v>12384.000000000004</v>
      </c>
      <c r="AP391" s="540">
        <f t="shared" si="278"/>
        <v>12384.000000000004</v>
      </c>
      <c r="AQ391" s="540">
        <f t="shared" si="278"/>
        <v>12384.000000000004</v>
      </c>
      <c r="AR391" s="540">
        <f t="shared" si="278"/>
        <v>12384.000000000004</v>
      </c>
      <c r="AS391" s="540">
        <f t="shared" si="278"/>
        <v>12384.000000000004</v>
      </c>
      <c r="AT391" s="540">
        <f t="shared" si="278"/>
        <v>12384.000000000004</v>
      </c>
      <c r="AU391" s="540">
        <f t="shared" si="278"/>
        <v>12384.000000000004</v>
      </c>
      <c r="AV391" s="540">
        <f t="shared" si="278"/>
        <v>12384.000000000004</v>
      </c>
      <c r="AW391" s="540">
        <f t="shared" si="278"/>
        <v>12384.000000000004</v>
      </c>
      <c r="AX391" s="540">
        <f t="shared" si="278"/>
        <v>12384.000000000004</v>
      </c>
      <c r="AY391" s="540">
        <f t="shared" si="278"/>
        <v>12384.000000000004</v>
      </c>
      <c r="AZ391" s="540">
        <f t="shared" si="278"/>
        <v>12384.000000000004</v>
      </c>
      <c r="BA391" s="540">
        <f t="shared" si="278"/>
        <v>12384.000000000004</v>
      </c>
      <c r="BB391" s="540">
        <f t="shared" si="278"/>
        <v>12384.000000000004</v>
      </c>
      <c r="BC391" s="540">
        <f t="shared" si="278"/>
        <v>12384.000000000004</v>
      </c>
      <c r="BD391" s="540">
        <f t="shared" si="278"/>
        <v>12384.000000000004</v>
      </c>
      <c r="BE391" s="540">
        <f t="shared" si="278"/>
        <v>12384.000000000004</v>
      </c>
      <c r="BF391" s="540">
        <f t="shared" si="278"/>
        <v>12384.000000000004</v>
      </c>
      <c r="BG391" s="540">
        <f t="shared" si="278"/>
        <v>12384.000000000004</v>
      </c>
      <c r="BH391" s="540">
        <f t="shared" si="278"/>
        <v>12384.000000000004</v>
      </c>
      <c r="BI391" s="540">
        <f t="shared" si="278"/>
        <v>12384.000000000004</v>
      </c>
      <c r="BJ391" s="540">
        <f t="shared" si="278"/>
        <v>12384.000000000004</v>
      </c>
      <c r="BK391" s="540">
        <f t="shared" si="278"/>
        <v>12384.000000000004</v>
      </c>
      <c r="BL391" s="540">
        <f t="shared" si="278"/>
        <v>12384.000000000004</v>
      </c>
      <c r="BM391" s="540">
        <f t="shared" si="278"/>
        <v>12384.000000000004</v>
      </c>
      <c r="BN391" s="540">
        <f t="shared" si="278"/>
        <v>12384.000000000004</v>
      </c>
      <c r="BO391" s="540">
        <f t="shared" si="278"/>
        <v>12384.000000000004</v>
      </c>
      <c r="BP391" s="540">
        <f t="shared" si="278"/>
        <v>12384.000000000004</v>
      </c>
      <c r="BQ391" s="540">
        <f t="shared" si="278"/>
        <v>12384.000000000004</v>
      </c>
      <c r="BR391" s="540">
        <f t="shared" si="278"/>
        <v>12384.000000000004</v>
      </c>
      <c r="BS391" s="540">
        <f t="shared" si="278"/>
        <v>12384.000000000004</v>
      </c>
      <c r="BT391" s="540">
        <f t="shared" si="278"/>
        <v>12384.000000000004</v>
      </c>
      <c r="BU391" s="540">
        <f t="shared" si="278"/>
        <v>12384.000000000004</v>
      </c>
      <c r="BV391" s="540">
        <f t="shared" si="278"/>
        <v>12384.000000000004</v>
      </c>
      <c r="BW391" s="540">
        <f t="shared" si="278"/>
        <v>12384.000000000004</v>
      </c>
      <c r="BX391" s="540">
        <f t="shared" si="278"/>
        <v>12384.000000000004</v>
      </c>
      <c r="BY391" s="540">
        <f t="shared" si="278"/>
        <v>12384.000000000004</v>
      </c>
      <c r="BZ391" s="540">
        <f t="shared" si="278"/>
        <v>12384.000000000004</v>
      </c>
      <c r="CA391" s="540">
        <f t="shared" si="278"/>
        <v>12384.000000000004</v>
      </c>
      <c r="CB391" s="540">
        <f t="shared" si="278"/>
        <v>12384.000000000004</v>
      </c>
      <c r="CC391" s="540">
        <f t="shared" si="278"/>
        <v>12384.000000000004</v>
      </c>
      <c r="CD391" s="540">
        <f t="shared" si="278"/>
        <v>12384.000000000004</v>
      </c>
      <c r="CE391" s="540">
        <f t="shared" si="278"/>
        <v>12384.000000000004</v>
      </c>
      <c r="CG391" s="536">
        <v>12384.000000000004</v>
      </c>
      <c r="CH391" s="536">
        <v>12384.000000000004</v>
      </c>
      <c r="CI391" s="536">
        <v>12384.000000000004</v>
      </c>
      <c r="CJ391" s="536">
        <v>12384.000000000004</v>
      </c>
      <c r="CK391" s="536">
        <v>12384.000000000004</v>
      </c>
      <c r="CL391" s="536">
        <v>12384.000000000004</v>
      </c>
      <c r="CM391" s="536">
        <v>12384.000000000004</v>
      </c>
      <c r="CN391" s="536">
        <v>12384.000000000004</v>
      </c>
      <c r="CO391" s="536">
        <v>12384.000000000004</v>
      </c>
      <c r="CP391" s="536">
        <v>12384.000000000004</v>
      </c>
      <c r="CQ391" s="536">
        <v>12384.000000000004</v>
      </c>
      <c r="CR391" s="536">
        <v>12384.000000000004</v>
      </c>
      <c r="CS391" s="536">
        <v>12384.000000000004</v>
      </c>
      <c r="CT391" s="536">
        <v>12384.000000000004</v>
      </c>
      <c r="CU391" s="536">
        <v>12384.000000000004</v>
      </c>
      <c r="CV391" s="536">
        <v>12384.000000000004</v>
      </c>
      <c r="CW391" s="536">
        <v>12384.000000000004</v>
      </c>
      <c r="CX391" s="536">
        <v>12384.000000000004</v>
      </c>
      <c r="CY391" s="536">
        <v>12384.000000000004</v>
      </c>
      <c r="CZ391" s="536">
        <v>12384.000000000004</v>
      </c>
      <c r="DA391" s="536">
        <v>12384.000000000004</v>
      </c>
      <c r="DB391" s="536">
        <v>12384.000000000004</v>
      </c>
      <c r="DC391" s="536">
        <v>12384.000000000004</v>
      </c>
      <c r="DD391" s="536">
        <v>12384.000000000004</v>
      </c>
      <c r="DE391" s="536">
        <v>12384.000000000004</v>
      </c>
      <c r="DF391" s="536">
        <v>12384.000000000004</v>
      </c>
      <c r="DG391" s="536">
        <v>12384.000000000004</v>
      </c>
      <c r="DH391" s="536">
        <v>12384.000000000004</v>
      </c>
    </row>
    <row r="392" spans="2:112">
      <c r="B392" t="s">
        <v>1247</v>
      </c>
      <c r="C392" t="s">
        <v>821</v>
      </c>
      <c r="D392" t="s">
        <v>905</v>
      </c>
      <c r="E392" t="s">
        <v>557</v>
      </c>
      <c r="F392" s="536">
        <v>5278.254545454547</v>
      </c>
      <c r="G392" s="536">
        <v>5278.254545454547</v>
      </c>
      <c r="H392" s="536">
        <v>5278.254545454547</v>
      </c>
      <c r="I392" s="536">
        <v>5278.254545454547</v>
      </c>
      <c r="J392" s="536">
        <v>5278.254545454547</v>
      </c>
      <c r="K392" s="536">
        <v>5278.254545454547</v>
      </c>
      <c r="L392" s="536">
        <v>5278.254545454547</v>
      </c>
      <c r="M392" s="536">
        <v>5278.254545454547</v>
      </c>
      <c r="N392" s="536">
        <v>5278.254545454547</v>
      </c>
      <c r="O392" s="536">
        <v>5278.254545454547</v>
      </c>
      <c r="P392" s="536">
        <v>5278.254545454547</v>
      </c>
      <c r="Q392" s="536">
        <v>5278.254545454547</v>
      </c>
      <c r="R392" s="536">
        <v>5278.254545454547</v>
      </c>
      <c r="S392" s="536">
        <v>5278.254545454547</v>
      </c>
      <c r="T392" s="536">
        <v>5278.254545454547</v>
      </c>
      <c r="U392" s="536">
        <v>5278.254545454547</v>
      </c>
      <c r="V392" s="536">
        <v>5278.254545454547</v>
      </c>
      <c r="W392" s="536">
        <v>5278.254545454547</v>
      </c>
      <c r="X392" s="536">
        <v>5278.254545454547</v>
      </c>
      <c r="Y392" s="536">
        <v>5278.254545454547</v>
      </c>
      <c r="Z392" s="536">
        <v>5278.254545454547</v>
      </c>
      <c r="AA392" s="536">
        <v>5278.254545454547</v>
      </c>
      <c r="AB392" s="536">
        <v>5278.254545454547</v>
      </c>
      <c r="AC392" s="536">
        <v>5278.254545454547</v>
      </c>
      <c r="AD392" s="536">
        <v>5278.254545454547</v>
      </c>
      <c r="AE392" s="536">
        <v>5278.254545454547</v>
      </c>
      <c r="AF392" s="536">
        <v>5278.254545454547</v>
      </c>
      <c r="AG392" s="536">
        <v>5278.254545454547</v>
      </c>
      <c r="AH392" s="540">
        <f>AG392</f>
        <v>5278.254545454547</v>
      </c>
      <c r="AI392" s="540">
        <f t="shared" si="278"/>
        <v>5278.254545454547</v>
      </c>
      <c r="AJ392" s="540">
        <f t="shared" si="278"/>
        <v>5278.254545454547</v>
      </c>
      <c r="AK392" s="540">
        <f t="shared" si="278"/>
        <v>5278.254545454547</v>
      </c>
      <c r="AL392" s="540">
        <f t="shared" si="278"/>
        <v>5278.254545454547</v>
      </c>
      <c r="AM392" s="540">
        <f t="shared" si="278"/>
        <v>5278.254545454547</v>
      </c>
      <c r="AN392" s="540">
        <f t="shared" si="278"/>
        <v>5278.254545454547</v>
      </c>
      <c r="AO392" s="540">
        <f t="shared" si="278"/>
        <v>5278.254545454547</v>
      </c>
      <c r="AP392" s="540">
        <f t="shared" si="278"/>
        <v>5278.254545454547</v>
      </c>
      <c r="AQ392" s="540">
        <f t="shared" si="278"/>
        <v>5278.254545454547</v>
      </c>
      <c r="AR392" s="540">
        <f t="shared" si="278"/>
        <v>5278.254545454547</v>
      </c>
      <c r="AS392" s="540">
        <f t="shared" si="278"/>
        <v>5278.254545454547</v>
      </c>
      <c r="AT392" s="540">
        <f t="shared" si="278"/>
        <v>5278.254545454547</v>
      </c>
      <c r="AU392" s="540">
        <f t="shared" si="278"/>
        <v>5278.254545454547</v>
      </c>
      <c r="AV392" s="540">
        <f t="shared" si="278"/>
        <v>5278.254545454547</v>
      </c>
      <c r="AW392" s="540">
        <f t="shared" si="278"/>
        <v>5278.254545454547</v>
      </c>
      <c r="AX392" s="540">
        <f t="shared" si="278"/>
        <v>5278.254545454547</v>
      </c>
      <c r="AY392" s="540">
        <f t="shared" si="278"/>
        <v>5278.254545454547</v>
      </c>
      <c r="AZ392" s="540">
        <f t="shared" si="278"/>
        <v>5278.254545454547</v>
      </c>
      <c r="BA392" s="540">
        <f t="shared" si="278"/>
        <v>5278.254545454547</v>
      </c>
      <c r="BB392" s="540">
        <f t="shared" si="278"/>
        <v>5278.254545454547</v>
      </c>
      <c r="BC392" s="540">
        <f t="shared" si="278"/>
        <v>5278.254545454547</v>
      </c>
      <c r="BD392" s="540">
        <f t="shared" si="278"/>
        <v>5278.254545454547</v>
      </c>
      <c r="BE392" s="540">
        <f t="shared" si="278"/>
        <v>5278.254545454547</v>
      </c>
      <c r="BF392" s="540">
        <f t="shared" si="278"/>
        <v>5278.254545454547</v>
      </c>
      <c r="BG392" s="540">
        <f t="shared" si="278"/>
        <v>5278.254545454547</v>
      </c>
      <c r="BH392" s="540">
        <f t="shared" si="278"/>
        <v>5278.254545454547</v>
      </c>
      <c r="BI392" s="540">
        <f t="shared" si="278"/>
        <v>5278.254545454547</v>
      </c>
      <c r="BJ392" s="540">
        <f t="shared" si="278"/>
        <v>5278.254545454547</v>
      </c>
      <c r="BK392" s="540">
        <f t="shared" si="278"/>
        <v>5278.254545454547</v>
      </c>
      <c r="BL392" s="540">
        <f t="shared" si="278"/>
        <v>5278.254545454547</v>
      </c>
      <c r="BM392" s="540">
        <f t="shared" si="278"/>
        <v>5278.254545454547</v>
      </c>
      <c r="BN392" s="540">
        <f t="shared" si="278"/>
        <v>5278.254545454547</v>
      </c>
      <c r="BO392" s="540">
        <f t="shared" si="278"/>
        <v>5278.254545454547</v>
      </c>
      <c r="BP392" s="540">
        <f t="shared" si="278"/>
        <v>5278.254545454547</v>
      </c>
      <c r="BQ392" s="540">
        <f t="shared" si="278"/>
        <v>5278.254545454547</v>
      </c>
      <c r="BR392" s="540">
        <f t="shared" si="278"/>
        <v>5278.254545454547</v>
      </c>
      <c r="BS392" s="540">
        <f t="shared" si="278"/>
        <v>5278.254545454547</v>
      </c>
      <c r="BT392" s="540">
        <f t="shared" si="278"/>
        <v>5278.254545454547</v>
      </c>
      <c r="BU392" s="540">
        <f t="shared" si="278"/>
        <v>5278.254545454547</v>
      </c>
      <c r="BV392" s="540">
        <f t="shared" si="278"/>
        <v>5278.254545454547</v>
      </c>
      <c r="BW392" s="540">
        <f t="shared" si="278"/>
        <v>5278.254545454547</v>
      </c>
      <c r="BX392" s="540">
        <f t="shared" si="278"/>
        <v>5278.254545454547</v>
      </c>
      <c r="BY392" s="540">
        <f t="shared" si="278"/>
        <v>5278.254545454547</v>
      </c>
      <c r="BZ392" s="540">
        <f t="shared" si="278"/>
        <v>5278.254545454547</v>
      </c>
      <c r="CA392" s="540">
        <f t="shared" si="278"/>
        <v>5278.254545454547</v>
      </c>
      <c r="CB392" s="540">
        <f t="shared" si="278"/>
        <v>5278.254545454547</v>
      </c>
      <c r="CC392" s="540">
        <f t="shared" si="278"/>
        <v>5278.254545454547</v>
      </c>
      <c r="CD392" s="540">
        <f t="shared" si="278"/>
        <v>5278.254545454547</v>
      </c>
      <c r="CE392" s="540">
        <f t="shared" si="278"/>
        <v>5278.254545454547</v>
      </c>
      <c r="CG392" s="536">
        <v>5278.254545454547</v>
      </c>
      <c r="CH392" s="536">
        <v>5278.254545454547</v>
      </c>
      <c r="CI392" s="536">
        <v>5278.254545454547</v>
      </c>
      <c r="CJ392" s="536">
        <v>5278.254545454547</v>
      </c>
      <c r="CK392" s="536">
        <v>5278.254545454547</v>
      </c>
      <c r="CL392" s="536">
        <v>5278.254545454547</v>
      </c>
      <c r="CM392" s="536">
        <v>5278.254545454547</v>
      </c>
      <c r="CN392" s="536">
        <v>5278.254545454547</v>
      </c>
      <c r="CO392" s="536">
        <v>5278.254545454547</v>
      </c>
      <c r="CP392" s="536">
        <v>5278.254545454547</v>
      </c>
      <c r="CQ392" s="536">
        <v>5278.254545454547</v>
      </c>
      <c r="CR392" s="536">
        <v>5278.254545454547</v>
      </c>
      <c r="CS392" s="536">
        <v>5278.254545454547</v>
      </c>
      <c r="CT392" s="536">
        <v>5278.254545454547</v>
      </c>
      <c r="CU392" s="536">
        <v>5278.254545454547</v>
      </c>
      <c r="CV392" s="536">
        <v>5278.254545454547</v>
      </c>
      <c r="CW392" s="536">
        <v>5278.254545454547</v>
      </c>
      <c r="CX392" s="536">
        <v>5278.254545454547</v>
      </c>
      <c r="CY392" s="536">
        <v>5278.254545454547</v>
      </c>
      <c r="CZ392" s="536">
        <v>5278.254545454547</v>
      </c>
      <c r="DA392" s="536">
        <v>5278.254545454547</v>
      </c>
      <c r="DB392" s="536">
        <v>5278.254545454547</v>
      </c>
      <c r="DC392" s="536">
        <v>5278.254545454547</v>
      </c>
      <c r="DD392" s="536">
        <v>5278.254545454547</v>
      </c>
      <c r="DE392" s="536">
        <v>5278.254545454547</v>
      </c>
      <c r="DF392" s="536">
        <v>5278.254545454547</v>
      </c>
      <c r="DG392" s="536">
        <v>5278.254545454547</v>
      </c>
      <c r="DH392" s="536">
        <v>5278.254545454547</v>
      </c>
    </row>
    <row r="393" spans="2:112">
      <c r="F393" s="539"/>
      <c r="G393" s="539"/>
      <c r="H393" s="539"/>
      <c r="I393" s="539"/>
      <c r="J393" s="539"/>
      <c r="K393" s="539"/>
      <c r="L393" s="539"/>
      <c r="M393" s="539"/>
      <c r="N393" s="539"/>
      <c r="O393" s="539"/>
      <c r="P393" s="539"/>
      <c r="Q393" s="539"/>
      <c r="R393" s="539"/>
      <c r="S393" s="539"/>
      <c r="T393" s="539"/>
      <c r="U393" s="539"/>
      <c r="V393" s="539"/>
      <c r="W393" s="539"/>
      <c r="X393" s="539"/>
      <c r="Y393" s="539"/>
      <c r="Z393" s="539"/>
      <c r="AA393" s="539"/>
      <c r="AB393" s="539"/>
      <c r="AC393" s="539"/>
      <c r="AD393" s="539"/>
      <c r="AE393" s="539"/>
      <c r="AF393" s="539"/>
      <c r="AG393" s="539"/>
      <c r="AH393" s="539"/>
      <c r="AI393" s="539"/>
      <c r="AJ393" s="539"/>
      <c r="AK393" s="539"/>
      <c r="AL393" s="539"/>
      <c r="AM393" s="539"/>
      <c r="AN393" s="539"/>
      <c r="AO393" s="539"/>
      <c r="AP393" s="539"/>
      <c r="AQ393" s="539"/>
      <c r="AR393" s="539"/>
      <c r="AS393" s="539"/>
      <c r="AT393" s="539"/>
      <c r="AU393" s="539"/>
      <c r="AV393" s="539"/>
      <c r="AW393" s="539"/>
      <c r="AX393" s="539"/>
      <c r="AY393" s="539"/>
      <c r="AZ393" s="539"/>
      <c r="BA393" s="539"/>
      <c r="BB393" s="539"/>
      <c r="BC393" s="539"/>
      <c r="BD393" s="539"/>
      <c r="BE393" s="539"/>
      <c r="BF393" s="539"/>
      <c r="BG393" s="539"/>
      <c r="BH393" s="539"/>
      <c r="BI393" s="539"/>
      <c r="BJ393" s="539"/>
      <c r="BK393" s="539"/>
      <c r="BL393" s="539"/>
      <c r="BM393" s="539"/>
      <c r="BN393" s="539"/>
      <c r="BO393" s="539"/>
      <c r="BP393" s="539"/>
      <c r="BQ393" s="539"/>
      <c r="BR393" s="539"/>
      <c r="BS393" s="539"/>
      <c r="BT393" s="539"/>
      <c r="BU393" s="539"/>
      <c r="BV393" s="539"/>
      <c r="BW393" s="539"/>
      <c r="BX393" s="539"/>
      <c r="BY393" s="539"/>
      <c r="BZ393" s="539"/>
      <c r="CA393" s="539"/>
      <c r="CB393" s="539"/>
      <c r="CC393" s="539"/>
      <c r="CD393" s="539"/>
      <c r="CE393" s="539"/>
      <c r="CG393" s="539"/>
      <c r="CH393" s="539"/>
      <c r="CI393" s="539"/>
      <c r="CJ393" s="539"/>
      <c r="CK393" s="539"/>
      <c r="CL393" s="539"/>
      <c r="CM393" s="539"/>
      <c r="CN393" s="539"/>
      <c r="CO393" s="539"/>
      <c r="CP393" s="539"/>
      <c r="CQ393" s="539"/>
      <c r="CR393" s="539"/>
      <c r="CS393" s="539"/>
      <c r="CT393" s="539"/>
      <c r="CU393" s="539"/>
      <c r="CV393" s="539"/>
      <c r="CW393" s="539"/>
      <c r="CX393" s="539"/>
      <c r="CY393" s="539"/>
      <c r="CZ393" s="539"/>
      <c r="DA393" s="539"/>
      <c r="DB393" s="539"/>
      <c r="DC393" s="539"/>
      <c r="DD393" s="539"/>
      <c r="DE393" s="539"/>
      <c r="DF393" s="539"/>
      <c r="DG393" s="539"/>
      <c r="DH393" s="539"/>
    </row>
    <row r="394" spans="2:112">
      <c r="B394" t="s">
        <v>1248</v>
      </c>
      <c r="C394" t="s">
        <v>821</v>
      </c>
      <c r="D394" t="s">
        <v>907</v>
      </c>
      <c r="E394" t="s">
        <v>908</v>
      </c>
      <c r="F394" s="541">
        <v>16.9255</v>
      </c>
      <c r="G394" s="541">
        <v>16.9255</v>
      </c>
      <c r="H394" s="541">
        <v>16.9255</v>
      </c>
      <c r="I394" s="541">
        <v>16.9255</v>
      </c>
      <c r="J394" s="541">
        <v>16.9255</v>
      </c>
      <c r="K394" s="541">
        <v>16.9255</v>
      </c>
      <c r="L394" s="541">
        <v>16.9255</v>
      </c>
      <c r="M394" s="541">
        <v>16.9255</v>
      </c>
      <c r="N394" s="541">
        <v>16.9255</v>
      </c>
      <c r="O394" s="541">
        <v>16.9255</v>
      </c>
      <c r="P394" s="541">
        <v>16.9255</v>
      </c>
      <c r="Q394" s="541">
        <v>16.9255</v>
      </c>
      <c r="R394" s="541">
        <v>16.9255</v>
      </c>
      <c r="S394" s="541">
        <v>16.9255</v>
      </c>
      <c r="T394" s="541">
        <v>16.9255</v>
      </c>
      <c r="U394" s="541">
        <v>16.9255</v>
      </c>
      <c r="V394" s="541">
        <v>16.9255</v>
      </c>
      <c r="W394" s="541">
        <v>16.9255</v>
      </c>
      <c r="X394" s="541">
        <v>16.9255</v>
      </c>
      <c r="Y394" s="541">
        <v>16.9255</v>
      </c>
      <c r="Z394" s="541">
        <v>16.9255</v>
      </c>
      <c r="AA394" s="541">
        <v>16.9255</v>
      </c>
      <c r="AB394" s="541">
        <v>16.9255</v>
      </c>
      <c r="AC394" s="541">
        <v>16.9255</v>
      </c>
      <c r="AD394" s="541">
        <v>16.9255</v>
      </c>
      <c r="AE394" s="541">
        <v>16.9255</v>
      </c>
      <c r="AF394" s="541">
        <v>16.9255</v>
      </c>
      <c r="AG394" s="541">
        <v>16.9255</v>
      </c>
      <c r="AH394" s="542">
        <f>AG394</f>
        <v>16.9255</v>
      </c>
      <c r="AI394" s="542">
        <f t="shared" ref="AI394:AX394" si="279">AH394</f>
        <v>16.9255</v>
      </c>
      <c r="AJ394" s="542">
        <f t="shared" si="279"/>
        <v>16.9255</v>
      </c>
      <c r="AK394" s="542">
        <f t="shared" si="279"/>
        <v>16.9255</v>
      </c>
      <c r="AL394" s="542">
        <f t="shared" si="279"/>
        <v>16.9255</v>
      </c>
      <c r="AM394" s="542">
        <f t="shared" si="279"/>
        <v>16.9255</v>
      </c>
      <c r="AN394" s="542">
        <f t="shared" si="279"/>
        <v>16.9255</v>
      </c>
      <c r="AO394" s="542">
        <f t="shared" si="279"/>
        <v>16.9255</v>
      </c>
      <c r="AP394" s="542">
        <f t="shared" si="279"/>
        <v>16.9255</v>
      </c>
      <c r="AQ394" s="542">
        <f t="shared" si="279"/>
        <v>16.9255</v>
      </c>
      <c r="AR394" s="542">
        <f t="shared" si="279"/>
        <v>16.9255</v>
      </c>
      <c r="AS394" s="542">
        <f t="shared" si="279"/>
        <v>16.9255</v>
      </c>
      <c r="AT394" s="542">
        <f t="shared" si="279"/>
        <v>16.9255</v>
      </c>
      <c r="AU394" s="542">
        <f t="shared" si="279"/>
        <v>16.9255</v>
      </c>
      <c r="AV394" s="542">
        <f t="shared" si="279"/>
        <v>16.9255</v>
      </c>
      <c r="AW394" s="542">
        <f t="shared" si="279"/>
        <v>16.9255</v>
      </c>
      <c r="AX394" s="542">
        <f t="shared" si="279"/>
        <v>16.9255</v>
      </c>
      <c r="AY394" s="542">
        <f t="shared" ref="AY394:BN394" si="280">AX394</f>
        <v>16.9255</v>
      </c>
      <c r="AZ394" s="542">
        <f t="shared" si="280"/>
        <v>16.9255</v>
      </c>
      <c r="BA394" s="542">
        <f t="shared" si="280"/>
        <v>16.9255</v>
      </c>
      <c r="BB394" s="542">
        <f t="shared" si="280"/>
        <v>16.9255</v>
      </c>
      <c r="BC394" s="542">
        <f t="shared" si="280"/>
        <v>16.9255</v>
      </c>
      <c r="BD394" s="542">
        <f t="shared" si="280"/>
        <v>16.9255</v>
      </c>
      <c r="BE394" s="542">
        <f t="shared" si="280"/>
        <v>16.9255</v>
      </c>
      <c r="BF394" s="542">
        <f t="shared" si="280"/>
        <v>16.9255</v>
      </c>
      <c r="BG394" s="542">
        <f t="shared" si="280"/>
        <v>16.9255</v>
      </c>
      <c r="BH394" s="542">
        <f t="shared" si="280"/>
        <v>16.9255</v>
      </c>
      <c r="BI394" s="542">
        <f t="shared" si="280"/>
        <v>16.9255</v>
      </c>
      <c r="BJ394" s="542">
        <f t="shared" si="280"/>
        <v>16.9255</v>
      </c>
      <c r="BK394" s="542">
        <f t="shared" si="280"/>
        <v>16.9255</v>
      </c>
      <c r="BL394" s="542">
        <f t="shared" si="280"/>
        <v>16.9255</v>
      </c>
      <c r="BM394" s="542">
        <f t="shared" si="280"/>
        <v>16.9255</v>
      </c>
      <c r="BN394" s="542">
        <f t="shared" si="280"/>
        <v>16.9255</v>
      </c>
      <c r="BO394" s="542">
        <f t="shared" ref="BO394:CD394" si="281">BN394</f>
        <v>16.9255</v>
      </c>
      <c r="BP394" s="542">
        <f t="shared" si="281"/>
        <v>16.9255</v>
      </c>
      <c r="BQ394" s="542">
        <f t="shared" si="281"/>
        <v>16.9255</v>
      </c>
      <c r="BR394" s="542">
        <f t="shared" si="281"/>
        <v>16.9255</v>
      </c>
      <c r="BS394" s="542">
        <f t="shared" si="281"/>
        <v>16.9255</v>
      </c>
      <c r="BT394" s="542">
        <f t="shared" si="281"/>
        <v>16.9255</v>
      </c>
      <c r="BU394" s="542">
        <f t="shared" si="281"/>
        <v>16.9255</v>
      </c>
      <c r="BV394" s="542">
        <f t="shared" si="281"/>
        <v>16.9255</v>
      </c>
      <c r="BW394" s="542">
        <f t="shared" si="281"/>
        <v>16.9255</v>
      </c>
      <c r="BX394" s="542">
        <f t="shared" si="281"/>
        <v>16.9255</v>
      </c>
      <c r="BY394" s="542">
        <f t="shared" si="281"/>
        <v>16.9255</v>
      </c>
      <c r="BZ394" s="542">
        <f t="shared" si="281"/>
        <v>16.9255</v>
      </c>
      <c r="CA394" s="542">
        <f t="shared" si="281"/>
        <v>16.9255</v>
      </c>
      <c r="CB394" s="542">
        <f t="shared" si="281"/>
        <v>16.9255</v>
      </c>
      <c r="CC394" s="542">
        <f t="shared" si="281"/>
        <v>16.9255</v>
      </c>
      <c r="CD394" s="542">
        <f t="shared" si="281"/>
        <v>16.9255</v>
      </c>
      <c r="CE394" s="542">
        <f t="shared" ref="AX394:CE401" si="282">CD394</f>
        <v>16.9255</v>
      </c>
      <c r="CG394" s="541">
        <v>16.9255</v>
      </c>
      <c r="CH394" s="541">
        <v>16.9255</v>
      </c>
      <c r="CI394" s="541">
        <v>16.9255</v>
      </c>
      <c r="CJ394" s="541">
        <v>16.9255</v>
      </c>
      <c r="CK394" s="541">
        <v>16.9255</v>
      </c>
      <c r="CL394" s="541">
        <v>16.9255</v>
      </c>
      <c r="CM394" s="541">
        <v>16.9255</v>
      </c>
      <c r="CN394" s="541">
        <v>16.9255</v>
      </c>
      <c r="CO394" s="541">
        <v>16.9255</v>
      </c>
      <c r="CP394" s="541">
        <v>16.9255</v>
      </c>
      <c r="CQ394" s="541">
        <v>16.9255</v>
      </c>
      <c r="CR394" s="541">
        <v>16.9255</v>
      </c>
      <c r="CS394" s="541">
        <v>16.9255</v>
      </c>
      <c r="CT394" s="541">
        <v>16.9255</v>
      </c>
      <c r="CU394" s="541">
        <v>16.9255</v>
      </c>
      <c r="CV394" s="541">
        <v>16.9255</v>
      </c>
      <c r="CW394" s="541">
        <v>16.9255</v>
      </c>
      <c r="CX394" s="541">
        <v>16.9255</v>
      </c>
      <c r="CY394" s="541">
        <v>16.9255</v>
      </c>
      <c r="CZ394" s="541">
        <v>16.9255</v>
      </c>
      <c r="DA394" s="541">
        <v>16.9255</v>
      </c>
      <c r="DB394" s="541">
        <v>16.9255</v>
      </c>
      <c r="DC394" s="541">
        <v>16.9255</v>
      </c>
      <c r="DD394" s="541">
        <v>16.9255</v>
      </c>
      <c r="DE394" s="541">
        <v>16.9255</v>
      </c>
      <c r="DF394" s="541">
        <v>16.9255</v>
      </c>
      <c r="DG394" s="541">
        <v>16.9255</v>
      </c>
      <c r="DH394" s="541">
        <v>16.9255</v>
      </c>
    </row>
    <row r="395" spans="2:112">
      <c r="B395" t="s">
        <v>1249</v>
      </c>
      <c r="C395" t="s">
        <v>821</v>
      </c>
      <c r="D395" t="s">
        <v>910</v>
      </c>
      <c r="E395" t="s">
        <v>911</v>
      </c>
      <c r="F395" s="541">
        <v>1.7791940909090909</v>
      </c>
      <c r="G395" s="541">
        <v>1.7791940909090909</v>
      </c>
      <c r="H395" s="541">
        <v>1.7791940909090909</v>
      </c>
      <c r="I395" s="541">
        <v>1.7791940909090909</v>
      </c>
      <c r="J395" s="541">
        <v>1.7791940909090909</v>
      </c>
      <c r="K395" s="541">
        <v>1.7791940909090909</v>
      </c>
      <c r="L395" s="541">
        <v>1.7791940909090909</v>
      </c>
      <c r="M395" s="541">
        <v>1.7791940909090909</v>
      </c>
      <c r="N395" s="541">
        <v>1.7791940909090909</v>
      </c>
      <c r="O395" s="541">
        <v>1.7791940909090909</v>
      </c>
      <c r="P395" s="541">
        <v>1.7791940909090909</v>
      </c>
      <c r="Q395" s="541">
        <v>1.7791940909090909</v>
      </c>
      <c r="R395" s="541">
        <v>1.7791940909090909</v>
      </c>
      <c r="S395" s="541">
        <v>1.7791940909090909</v>
      </c>
      <c r="T395" s="541">
        <v>1.7791940909090909</v>
      </c>
      <c r="U395" s="541">
        <v>1.7791940909090909</v>
      </c>
      <c r="V395" s="541">
        <v>1.7791940909090909</v>
      </c>
      <c r="W395" s="541">
        <v>1.7791940909090909</v>
      </c>
      <c r="X395" s="541">
        <v>1.7791940909090909</v>
      </c>
      <c r="Y395" s="541">
        <v>1.7791940909090909</v>
      </c>
      <c r="Z395" s="541">
        <v>1.7791940909090909</v>
      </c>
      <c r="AA395" s="541">
        <v>1.7791940909090909</v>
      </c>
      <c r="AB395" s="541">
        <v>1.7791940909090909</v>
      </c>
      <c r="AC395" s="541">
        <v>1.7791940909090909</v>
      </c>
      <c r="AD395" s="541">
        <v>1.7791940909090909</v>
      </c>
      <c r="AE395" s="541">
        <v>1.7791940909090909</v>
      </c>
      <c r="AF395" s="541">
        <v>1.7791940909090909</v>
      </c>
      <c r="AG395" s="541">
        <v>1.7791940909090909</v>
      </c>
      <c r="AH395" s="542">
        <f t="shared" ref="AH395:AW401" si="283">AG395</f>
        <v>1.7791940909090909</v>
      </c>
      <c r="AI395" s="542">
        <f t="shared" si="283"/>
        <v>1.7791940909090909</v>
      </c>
      <c r="AJ395" s="542">
        <f t="shared" si="283"/>
        <v>1.7791940909090909</v>
      </c>
      <c r="AK395" s="542">
        <f t="shared" si="283"/>
        <v>1.7791940909090909</v>
      </c>
      <c r="AL395" s="542">
        <f t="shared" si="283"/>
        <v>1.7791940909090909</v>
      </c>
      <c r="AM395" s="542">
        <f t="shared" si="283"/>
        <v>1.7791940909090909</v>
      </c>
      <c r="AN395" s="542">
        <f t="shared" si="283"/>
        <v>1.7791940909090909</v>
      </c>
      <c r="AO395" s="542">
        <f t="shared" si="283"/>
        <v>1.7791940909090909</v>
      </c>
      <c r="AP395" s="542">
        <f t="shared" si="283"/>
        <v>1.7791940909090909</v>
      </c>
      <c r="AQ395" s="542">
        <f t="shared" si="283"/>
        <v>1.7791940909090909</v>
      </c>
      <c r="AR395" s="542">
        <f t="shared" si="283"/>
        <v>1.7791940909090909</v>
      </c>
      <c r="AS395" s="542">
        <f t="shared" si="283"/>
        <v>1.7791940909090909</v>
      </c>
      <c r="AT395" s="542">
        <f t="shared" si="283"/>
        <v>1.7791940909090909</v>
      </c>
      <c r="AU395" s="542">
        <f t="shared" si="283"/>
        <v>1.7791940909090909</v>
      </c>
      <c r="AV395" s="542">
        <f t="shared" si="283"/>
        <v>1.7791940909090909</v>
      </c>
      <c r="AW395" s="542">
        <f t="shared" si="283"/>
        <v>1.7791940909090909</v>
      </c>
      <c r="AX395" s="542">
        <f t="shared" si="282"/>
        <v>1.7791940909090909</v>
      </c>
      <c r="AY395" s="542">
        <f t="shared" si="282"/>
        <v>1.7791940909090909</v>
      </c>
      <c r="AZ395" s="542">
        <f t="shared" si="282"/>
        <v>1.7791940909090909</v>
      </c>
      <c r="BA395" s="542">
        <f t="shared" si="282"/>
        <v>1.7791940909090909</v>
      </c>
      <c r="BB395" s="542">
        <f t="shared" si="282"/>
        <v>1.7791940909090909</v>
      </c>
      <c r="BC395" s="542">
        <f t="shared" si="282"/>
        <v>1.7791940909090909</v>
      </c>
      <c r="BD395" s="542">
        <f t="shared" si="282"/>
        <v>1.7791940909090909</v>
      </c>
      <c r="BE395" s="542">
        <f t="shared" si="282"/>
        <v>1.7791940909090909</v>
      </c>
      <c r="BF395" s="542">
        <f t="shared" si="282"/>
        <v>1.7791940909090909</v>
      </c>
      <c r="BG395" s="542">
        <f t="shared" si="282"/>
        <v>1.7791940909090909</v>
      </c>
      <c r="BH395" s="542">
        <f t="shared" si="282"/>
        <v>1.7791940909090909</v>
      </c>
      <c r="BI395" s="542">
        <f t="shared" si="282"/>
        <v>1.7791940909090909</v>
      </c>
      <c r="BJ395" s="542">
        <f t="shared" si="282"/>
        <v>1.7791940909090909</v>
      </c>
      <c r="BK395" s="542">
        <f t="shared" si="282"/>
        <v>1.7791940909090909</v>
      </c>
      <c r="BL395" s="542">
        <f t="shared" si="282"/>
        <v>1.7791940909090909</v>
      </c>
      <c r="BM395" s="542">
        <f t="shared" si="282"/>
        <v>1.7791940909090909</v>
      </c>
      <c r="BN395" s="542">
        <f t="shared" si="282"/>
        <v>1.7791940909090909</v>
      </c>
      <c r="BO395" s="542">
        <f t="shared" si="282"/>
        <v>1.7791940909090909</v>
      </c>
      <c r="BP395" s="542">
        <f t="shared" si="282"/>
        <v>1.7791940909090909</v>
      </c>
      <c r="BQ395" s="542">
        <f t="shared" si="282"/>
        <v>1.7791940909090909</v>
      </c>
      <c r="BR395" s="542">
        <f t="shared" si="282"/>
        <v>1.7791940909090909</v>
      </c>
      <c r="BS395" s="542">
        <f t="shared" si="282"/>
        <v>1.7791940909090909</v>
      </c>
      <c r="BT395" s="542">
        <f t="shared" si="282"/>
        <v>1.7791940909090909</v>
      </c>
      <c r="BU395" s="542">
        <f t="shared" si="282"/>
        <v>1.7791940909090909</v>
      </c>
      <c r="BV395" s="542">
        <f t="shared" si="282"/>
        <v>1.7791940909090909</v>
      </c>
      <c r="BW395" s="542">
        <f t="shared" si="282"/>
        <v>1.7791940909090909</v>
      </c>
      <c r="BX395" s="542">
        <f t="shared" si="282"/>
        <v>1.7791940909090909</v>
      </c>
      <c r="BY395" s="542">
        <f t="shared" si="282"/>
        <v>1.7791940909090909</v>
      </c>
      <c r="BZ395" s="542">
        <f t="shared" si="282"/>
        <v>1.7791940909090909</v>
      </c>
      <c r="CA395" s="542">
        <f t="shared" si="282"/>
        <v>1.7791940909090909</v>
      </c>
      <c r="CB395" s="542">
        <f t="shared" si="282"/>
        <v>1.7791940909090909</v>
      </c>
      <c r="CC395" s="542">
        <f t="shared" si="282"/>
        <v>1.7791940909090909</v>
      </c>
      <c r="CD395" s="542">
        <f t="shared" si="282"/>
        <v>1.7791940909090909</v>
      </c>
      <c r="CE395" s="542">
        <f t="shared" si="282"/>
        <v>1.7791940909090909</v>
      </c>
      <c r="CG395" s="541">
        <v>1.7791940909090909</v>
      </c>
      <c r="CH395" s="541">
        <v>1.7791940909090909</v>
      </c>
      <c r="CI395" s="541">
        <v>1.7791940909090909</v>
      </c>
      <c r="CJ395" s="541">
        <v>1.7791940909090909</v>
      </c>
      <c r="CK395" s="541">
        <v>1.7791940909090909</v>
      </c>
      <c r="CL395" s="541">
        <v>1.7791940909090909</v>
      </c>
      <c r="CM395" s="541">
        <v>1.7791940909090909</v>
      </c>
      <c r="CN395" s="541">
        <v>1.7791940909090909</v>
      </c>
      <c r="CO395" s="541">
        <v>1.7791940909090909</v>
      </c>
      <c r="CP395" s="541">
        <v>1.7791940909090909</v>
      </c>
      <c r="CQ395" s="541">
        <v>1.7791940909090909</v>
      </c>
      <c r="CR395" s="541">
        <v>1.7791940909090909</v>
      </c>
      <c r="CS395" s="541">
        <v>1.7791940909090909</v>
      </c>
      <c r="CT395" s="541">
        <v>1.7791940909090909</v>
      </c>
      <c r="CU395" s="541">
        <v>1.7791940909090909</v>
      </c>
      <c r="CV395" s="541">
        <v>1.7791940909090909</v>
      </c>
      <c r="CW395" s="541">
        <v>1.7791940909090909</v>
      </c>
      <c r="CX395" s="541">
        <v>1.7791940909090909</v>
      </c>
      <c r="CY395" s="541">
        <v>1.7791940909090909</v>
      </c>
      <c r="CZ395" s="541">
        <v>1.7791940909090909</v>
      </c>
      <c r="DA395" s="541">
        <v>1.7791940909090909</v>
      </c>
      <c r="DB395" s="541">
        <v>1.7791940909090909</v>
      </c>
      <c r="DC395" s="541">
        <v>1.7791940909090909</v>
      </c>
      <c r="DD395" s="541">
        <v>1.7791940909090909</v>
      </c>
      <c r="DE395" s="541">
        <v>1.7791940909090909</v>
      </c>
      <c r="DF395" s="541">
        <v>1.7791940909090909</v>
      </c>
      <c r="DG395" s="541">
        <v>1.7791940909090909</v>
      </c>
      <c r="DH395" s="541">
        <v>1.7791940909090909</v>
      </c>
    </row>
    <row r="396" spans="2:112">
      <c r="B396" t="s">
        <v>1250</v>
      </c>
      <c r="C396" t="s">
        <v>821</v>
      </c>
      <c r="D396" t="s">
        <v>913</v>
      </c>
      <c r="E396" t="s">
        <v>908</v>
      </c>
      <c r="F396" s="541">
        <v>19.418624999999999</v>
      </c>
      <c r="G396" s="541">
        <v>19.418624999999999</v>
      </c>
      <c r="H396" s="541">
        <v>19.418624999999999</v>
      </c>
      <c r="I396" s="541">
        <v>19.418624999999999</v>
      </c>
      <c r="J396" s="541">
        <v>19.418624999999999</v>
      </c>
      <c r="K396" s="541">
        <v>19.418624999999999</v>
      </c>
      <c r="L396" s="541">
        <v>19.418624999999999</v>
      </c>
      <c r="M396" s="541">
        <v>19.418624999999999</v>
      </c>
      <c r="N396" s="541">
        <v>19.418624999999999</v>
      </c>
      <c r="O396" s="541">
        <v>19.418624999999999</v>
      </c>
      <c r="P396" s="541">
        <v>19.418624999999999</v>
      </c>
      <c r="Q396" s="541">
        <v>19.418624999999999</v>
      </c>
      <c r="R396" s="541">
        <v>19.418624999999999</v>
      </c>
      <c r="S396" s="541">
        <v>19.418624999999999</v>
      </c>
      <c r="T396" s="541">
        <v>19.418624999999999</v>
      </c>
      <c r="U396" s="541">
        <v>19.418624999999999</v>
      </c>
      <c r="V396" s="541">
        <v>19.418624999999999</v>
      </c>
      <c r="W396" s="541">
        <v>19.418624999999999</v>
      </c>
      <c r="X396" s="541">
        <v>19.418624999999999</v>
      </c>
      <c r="Y396" s="541">
        <v>19.418624999999999</v>
      </c>
      <c r="Z396" s="541">
        <v>19.418624999999999</v>
      </c>
      <c r="AA396" s="541">
        <v>19.418624999999999</v>
      </c>
      <c r="AB396" s="541">
        <v>19.418624999999999</v>
      </c>
      <c r="AC396" s="541">
        <v>19.418624999999999</v>
      </c>
      <c r="AD396" s="541">
        <v>19.418624999999999</v>
      </c>
      <c r="AE396" s="541">
        <v>19.418624999999999</v>
      </c>
      <c r="AF396" s="541">
        <v>19.418624999999999</v>
      </c>
      <c r="AG396" s="541">
        <v>19.418624999999999</v>
      </c>
      <c r="AH396" s="542">
        <f t="shared" si="283"/>
        <v>19.418624999999999</v>
      </c>
      <c r="AI396" s="542">
        <f t="shared" si="283"/>
        <v>19.418624999999999</v>
      </c>
      <c r="AJ396" s="542">
        <f t="shared" si="283"/>
        <v>19.418624999999999</v>
      </c>
      <c r="AK396" s="542">
        <f t="shared" si="283"/>
        <v>19.418624999999999</v>
      </c>
      <c r="AL396" s="542">
        <f t="shared" si="283"/>
        <v>19.418624999999999</v>
      </c>
      <c r="AM396" s="542">
        <f t="shared" si="283"/>
        <v>19.418624999999999</v>
      </c>
      <c r="AN396" s="542">
        <f t="shared" si="283"/>
        <v>19.418624999999999</v>
      </c>
      <c r="AO396" s="542">
        <f t="shared" si="283"/>
        <v>19.418624999999999</v>
      </c>
      <c r="AP396" s="542">
        <f t="shared" si="283"/>
        <v>19.418624999999999</v>
      </c>
      <c r="AQ396" s="542">
        <f t="shared" si="283"/>
        <v>19.418624999999999</v>
      </c>
      <c r="AR396" s="542">
        <f t="shared" si="283"/>
        <v>19.418624999999999</v>
      </c>
      <c r="AS396" s="542">
        <f t="shared" si="283"/>
        <v>19.418624999999999</v>
      </c>
      <c r="AT396" s="542">
        <f t="shared" si="283"/>
        <v>19.418624999999999</v>
      </c>
      <c r="AU396" s="542">
        <f t="shared" si="283"/>
        <v>19.418624999999999</v>
      </c>
      <c r="AV396" s="542">
        <f t="shared" si="283"/>
        <v>19.418624999999999</v>
      </c>
      <c r="AW396" s="542">
        <f t="shared" si="283"/>
        <v>19.418624999999999</v>
      </c>
      <c r="AX396" s="542">
        <f t="shared" si="282"/>
        <v>19.418624999999999</v>
      </c>
      <c r="AY396" s="542">
        <f t="shared" si="282"/>
        <v>19.418624999999999</v>
      </c>
      <c r="AZ396" s="542">
        <f t="shared" si="282"/>
        <v>19.418624999999999</v>
      </c>
      <c r="BA396" s="542">
        <f t="shared" si="282"/>
        <v>19.418624999999999</v>
      </c>
      <c r="BB396" s="542">
        <f t="shared" si="282"/>
        <v>19.418624999999999</v>
      </c>
      <c r="BC396" s="542">
        <f t="shared" si="282"/>
        <v>19.418624999999999</v>
      </c>
      <c r="BD396" s="542">
        <f t="shared" si="282"/>
        <v>19.418624999999999</v>
      </c>
      <c r="BE396" s="542">
        <f t="shared" si="282"/>
        <v>19.418624999999999</v>
      </c>
      <c r="BF396" s="542">
        <f t="shared" si="282"/>
        <v>19.418624999999999</v>
      </c>
      <c r="BG396" s="542">
        <f t="shared" si="282"/>
        <v>19.418624999999999</v>
      </c>
      <c r="BH396" s="542">
        <f t="shared" si="282"/>
        <v>19.418624999999999</v>
      </c>
      <c r="BI396" s="542">
        <f t="shared" si="282"/>
        <v>19.418624999999999</v>
      </c>
      <c r="BJ396" s="542">
        <f t="shared" si="282"/>
        <v>19.418624999999999</v>
      </c>
      <c r="BK396" s="542">
        <f t="shared" si="282"/>
        <v>19.418624999999999</v>
      </c>
      <c r="BL396" s="542">
        <f t="shared" si="282"/>
        <v>19.418624999999999</v>
      </c>
      <c r="BM396" s="542">
        <f t="shared" si="282"/>
        <v>19.418624999999999</v>
      </c>
      <c r="BN396" s="542">
        <f t="shared" si="282"/>
        <v>19.418624999999999</v>
      </c>
      <c r="BO396" s="542">
        <f t="shared" si="282"/>
        <v>19.418624999999999</v>
      </c>
      <c r="BP396" s="542">
        <f t="shared" si="282"/>
        <v>19.418624999999999</v>
      </c>
      <c r="BQ396" s="542">
        <f t="shared" si="282"/>
        <v>19.418624999999999</v>
      </c>
      <c r="BR396" s="542">
        <f t="shared" si="282"/>
        <v>19.418624999999999</v>
      </c>
      <c r="BS396" s="542">
        <f t="shared" si="282"/>
        <v>19.418624999999999</v>
      </c>
      <c r="BT396" s="542">
        <f t="shared" si="282"/>
        <v>19.418624999999999</v>
      </c>
      <c r="BU396" s="542">
        <f t="shared" si="282"/>
        <v>19.418624999999999</v>
      </c>
      <c r="BV396" s="542">
        <f t="shared" si="282"/>
        <v>19.418624999999999</v>
      </c>
      <c r="BW396" s="542">
        <f t="shared" si="282"/>
        <v>19.418624999999999</v>
      </c>
      <c r="BX396" s="542">
        <f t="shared" si="282"/>
        <v>19.418624999999999</v>
      </c>
      <c r="BY396" s="542">
        <f t="shared" si="282"/>
        <v>19.418624999999999</v>
      </c>
      <c r="BZ396" s="542">
        <f t="shared" si="282"/>
        <v>19.418624999999999</v>
      </c>
      <c r="CA396" s="542">
        <f t="shared" si="282"/>
        <v>19.418624999999999</v>
      </c>
      <c r="CB396" s="542">
        <f t="shared" si="282"/>
        <v>19.418624999999999</v>
      </c>
      <c r="CC396" s="542">
        <f t="shared" si="282"/>
        <v>19.418624999999999</v>
      </c>
      <c r="CD396" s="542">
        <f t="shared" si="282"/>
        <v>19.418624999999999</v>
      </c>
      <c r="CE396" s="542">
        <f t="shared" si="282"/>
        <v>19.418624999999999</v>
      </c>
      <c r="CG396" s="541">
        <v>19.418624999999999</v>
      </c>
      <c r="CH396" s="541">
        <v>19.418624999999999</v>
      </c>
      <c r="CI396" s="541">
        <v>19.418624999999999</v>
      </c>
      <c r="CJ396" s="541">
        <v>19.418624999999999</v>
      </c>
      <c r="CK396" s="541">
        <v>19.418624999999999</v>
      </c>
      <c r="CL396" s="541">
        <v>19.418624999999999</v>
      </c>
      <c r="CM396" s="541">
        <v>19.418624999999999</v>
      </c>
      <c r="CN396" s="541">
        <v>19.418624999999999</v>
      </c>
      <c r="CO396" s="541">
        <v>19.418624999999999</v>
      </c>
      <c r="CP396" s="541">
        <v>19.418624999999999</v>
      </c>
      <c r="CQ396" s="541">
        <v>19.418624999999999</v>
      </c>
      <c r="CR396" s="541">
        <v>19.418624999999999</v>
      </c>
      <c r="CS396" s="541">
        <v>19.418624999999999</v>
      </c>
      <c r="CT396" s="541">
        <v>19.418624999999999</v>
      </c>
      <c r="CU396" s="541">
        <v>19.418624999999999</v>
      </c>
      <c r="CV396" s="541">
        <v>19.418624999999999</v>
      </c>
      <c r="CW396" s="541">
        <v>19.418624999999999</v>
      </c>
      <c r="CX396" s="541">
        <v>19.418624999999999</v>
      </c>
      <c r="CY396" s="541">
        <v>19.418624999999999</v>
      </c>
      <c r="CZ396" s="541">
        <v>19.418624999999999</v>
      </c>
      <c r="DA396" s="541">
        <v>19.418624999999999</v>
      </c>
      <c r="DB396" s="541">
        <v>19.418624999999999</v>
      </c>
      <c r="DC396" s="541">
        <v>19.418624999999999</v>
      </c>
      <c r="DD396" s="541">
        <v>19.418624999999999</v>
      </c>
      <c r="DE396" s="541">
        <v>19.418624999999999</v>
      </c>
      <c r="DF396" s="541">
        <v>19.418624999999999</v>
      </c>
      <c r="DG396" s="541">
        <v>19.418624999999999</v>
      </c>
      <c r="DH396" s="541">
        <v>19.418624999999999</v>
      </c>
    </row>
    <row r="397" spans="2:112">
      <c r="B397" t="s">
        <v>1251</v>
      </c>
      <c r="C397" t="s">
        <v>821</v>
      </c>
      <c r="D397" t="s">
        <v>915</v>
      </c>
      <c r="E397" t="s">
        <v>911</v>
      </c>
      <c r="F397" s="541">
        <v>1.8027053409090907</v>
      </c>
      <c r="G397" s="541">
        <v>1.8027053409090907</v>
      </c>
      <c r="H397" s="541">
        <v>1.8027053409090907</v>
      </c>
      <c r="I397" s="541">
        <v>1.8027053409090907</v>
      </c>
      <c r="J397" s="541">
        <v>1.8027053409090907</v>
      </c>
      <c r="K397" s="541">
        <v>1.8027053409090907</v>
      </c>
      <c r="L397" s="541">
        <v>1.8027053409090907</v>
      </c>
      <c r="M397" s="541">
        <v>1.8027053409090907</v>
      </c>
      <c r="N397" s="541">
        <v>1.8027053409090907</v>
      </c>
      <c r="O397" s="541">
        <v>1.8027053409090907</v>
      </c>
      <c r="P397" s="541">
        <v>1.8027053409090907</v>
      </c>
      <c r="Q397" s="541">
        <v>1.8027053409090907</v>
      </c>
      <c r="R397" s="541">
        <v>1.8027053409090907</v>
      </c>
      <c r="S397" s="541">
        <v>1.8027053409090907</v>
      </c>
      <c r="T397" s="541">
        <v>1.8027053409090907</v>
      </c>
      <c r="U397" s="541">
        <v>1.8027053409090907</v>
      </c>
      <c r="V397" s="541">
        <v>1.8027053409090907</v>
      </c>
      <c r="W397" s="541">
        <v>1.8027053409090907</v>
      </c>
      <c r="X397" s="541">
        <v>1.8027053409090907</v>
      </c>
      <c r="Y397" s="541">
        <v>1.8027053409090907</v>
      </c>
      <c r="Z397" s="541">
        <v>1.8027053409090907</v>
      </c>
      <c r="AA397" s="541">
        <v>1.8027053409090907</v>
      </c>
      <c r="AB397" s="541">
        <v>1.8027053409090907</v>
      </c>
      <c r="AC397" s="541">
        <v>1.8027053409090907</v>
      </c>
      <c r="AD397" s="541">
        <v>1.8027053409090907</v>
      </c>
      <c r="AE397" s="541">
        <v>1.8027053409090907</v>
      </c>
      <c r="AF397" s="541">
        <v>1.8027053409090907</v>
      </c>
      <c r="AG397" s="541">
        <v>1.8027053409090907</v>
      </c>
      <c r="AH397" s="542">
        <f t="shared" si="283"/>
        <v>1.8027053409090907</v>
      </c>
      <c r="AI397" s="542">
        <f t="shared" si="283"/>
        <v>1.8027053409090907</v>
      </c>
      <c r="AJ397" s="542">
        <f t="shared" si="283"/>
        <v>1.8027053409090907</v>
      </c>
      <c r="AK397" s="542">
        <f t="shared" si="283"/>
        <v>1.8027053409090907</v>
      </c>
      <c r="AL397" s="542">
        <f t="shared" si="283"/>
        <v>1.8027053409090907</v>
      </c>
      <c r="AM397" s="542">
        <f t="shared" si="283"/>
        <v>1.8027053409090907</v>
      </c>
      <c r="AN397" s="542">
        <f t="shared" si="283"/>
        <v>1.8027053409090907</v>
      </c>
      <c r="AO397" s="542">
        <f t="shared" si="283"/>
        <v>1.8027053409090907</v>
      </c>
      <c r="AP397" s="542">
        <f t="shared" si="283"/>
        <v>1.8027053409090907</v>
      </c>
      <c r="AQ397" s="542">
        <f t="shared" si="283"/>
        <v>1.8027053409090907</v>
      </c>
      <c r="AR397" s="542">
        <f t="shared" si="283"/>
        <v>1.8027053409090907</v>
      </c>
      <c r="AS397" s="542">
        <f t="shared" si="283"/>
        <v>1.8027053409090907</v>
      </c>
      <c r="AT397" s="542">
        <f t="shared" si="283"/>
        <v>1.8027053409090907</v>
      </c>
      <c r="AU397" s="542">
        <f t="shared" si="283"/>
        <v>1.8027053409090907</v>
      </c>
      <c r="AV397" s="542">
        <f t="shared" si="283"/>
        <v>1.8027053409090907</v>
      </c>
      <c r="AW397" s="542">
        <f t="shared" si="283"/>
        <v>1.8027053409090907</v>
      </c>
      <c r="AX397" s="542">
        <f t="shared" si="282"/>
        <v>1.8027053409090907</v>
      </c>
      <c r="AY397" s="542">
        <f t="shared" si="282"/>
        <v>1.8027053409090907</v>
      </c>
      <c r="AZ397" s="542">
        <f t="shared" si="282"/>
        <v>1.8027053409090907</v>
      </c>
      <c r="BA397" s="542">
        <f t="shared" si="282"/>
        <v>1.8027053409090907</v>
      </c>
      <c r="BB397" s="542">
        <f t="shared" si="282"/>
        <v>1.8027053409090907</v>
      </c>
      <c r="BC397" s="542">
        <f t="shared" si="282"/>
        <v>1.8027053409090907</v>
      </c>
      <c r="BD397" s="542">
        <f t="shared" si="282"/>
        <v>1.8027053409090907</v>
      </c>
      <c r="BE397" s="542">
        <f t="shared" si="282"/>
        <v>1.8027053409090907</v>
      </c>
      <c r="BF397" s="542">
        <f t="shared" si="282"/>
        <v>1.8027053409090907</v>
      </c>
      <c r="BG397" s="542">
        <f t="shared" si="282"/>
        <v>1.8027053409090907</v>
      </c>
      <c r="BH397" s="542">
        <f t="shared" si="282"/>
        <v>1.8027053409090907</v>
      </c>
      <c r="BI397" s="542">
        <f t="shared" si="282"/>
        <v>1.8027053409090907</v>
      </c>
      <c r="BJ397" s="542">
        <f t="shared" si="282"/>
        <v>1.8027053409090907</v>
      </c>
      <c r="BK397" s="542">
        <f t="shared" si="282"/>
        <v>1.8027053409090907</v>
      </c>
      <c r="BL397" s="542">
        <f t="shared" si="282"/>
        <v>1.8027053409090907</v>
      </c>
      <c r="BM397" s="542">
        <f t="shared" si="282"/>
        <v>1.8027053409090907</v>
      </c>
      <c r="BN397" s="542">
        <f t="shared" si="282"/>
        <v>1.8027053409090907</v>
      </c>
      <c r="BO397" s="542">
        <f t="shared" si="282"/>
        <v>1.8027053409090907</v>
      </c>
      <c r="BP397" s="542">
        <f t="shared" si="282"/>
        <v>1.8027053409090907</v>
      </c>
      <c r="BQ397" s="542">
        <f t="shared" si="282"/>
        <v>1.8027053409090907</v>
      </c>
      <c r="BR397" s="542">
        <f t="shared" si="282"/>
        <v>1.8027053409090907</v>
      </c>
      <c r="BS397" s="542">
        <f t="shared" si="282"/>
        <v>1.8027053409090907</v>
      </c>
      <c r="BT397" s="542">
        <f t="shared" si="282"/>
        <v>1.8027053409090907</v>
      </c>
      <c r="BU397" s="542">
        <f t="shared" si="282"/>
        <v>1.8027053409090907</v>
      </c>
      <c r="BV397" s="542">
        <f t="shared" si="282"/>
        <v>1.8027053409090907</v>
      </c>
      <c r="BW397" s="542">
        <f t="shared" si="282"/>
        <v>1.8027053409090907</v>
      </c>
      <c r="BX397" s="542">
        <f t="shared" si="282"/>
        <v>1.8027053409090907</v>
      </c>
      <c r="BY397" s="542">
        <f t="shared" si="282"/>
        <v>1.8027053409090907</v>
      </c>
      <c r="BZ397" s="542">
        <f t="shared" si="282"/>
        <v>1.8027053409090907</v>
      </c>
      <c r="CA397" s="542">
        <f t="shared" si="282"/>
        <v>1.8027053409090907</v>
      </c>
      <c r="CB397" s="542">
        <f t="shared" si="282"/>
        <v>1.8027053409090907</v>
      </c>
      <c r="CC397" s="542">
        <f t="shared" si="282"/>
        <v>1.8027053409090907</v>
      </c>
      <c r="CD397" s="542">
        <f t="shared" si="282"/>
        <v>1.8027053409090907</v>
      </c>
      <c r="CE397" s="542">
        <f t="shared" si="282"/>
        <v>1.8027053409090907</v>
      </c>
      <c r="CG397" s="541">
        <v>1.8027053409090907</v>
      </c>
      <c r="CH397" s="541">
        <v>1.8027053409090907</v>
      </c>
      <c r="CI397" s="541">
        <v>1.8027053409090907</v>
      </c>
      <c r="CJ397" s="541">
        <v>1.8027053409090907</v>
      </c>
      <c r="CK397" s="541">
        <v>1.8027053409090907</v>
      </c>
      <c r="CL397" s="541">
        <v>1.8027053409090907</v>
      </c>
      <c r="CM397" s="541">
        <v>1.8027053409090907</v>
      </c>
      <c r="CN397" s="541">
        <v>1.8027053409090907</v>
      </c>
      <c r="CO397" s="541">
        <v>1.8027053409090907</v>
      </c>
      <c r="CP397" s="541">
        <v>1.8027053409090907</v>
      </c>
      <c r="CQ397" s="541">
        <v>1.8027053409090907</v>
      </c>
      <c r="CR397" s="541">
        <v>1.8027053409090907</v>
      </c>
      <c r="CS397" s="541">
        <v>1.8027053409090907</v>
      </c>
      <c r="CT397" s="541">
        <v>1.8027053409090907</v>
      </c>
      <c r="CU397" s="541">
        <v>1.8027053409090907</v>
      </c>
      <c r="CV397" s="541">
        <v>1.8027053409090907</v>
      </c>
      <c r="CW397" s="541">
        <v>1.8027053409090907</v>
      </c>
      <c r="CX397" s="541">
        <v>1.8027053409090907</v>
      </c>
      <c r="CY397" s="541">
        <v>1.8027053409090907</v>
      </c>
      <c r="CZ397" s="541">
        <v>1.8027053409090907</v>
      </c>
      <c r="DA397" s="541">
        <v>1.8027053409090907</v>
      </c>
      <c r="DB397" s="541">
        <v>1.8027053409090907</v>
      </c>
      <c r="DC397" s="541">
        <v>1.8027053409090907</v>
      </c>
      <c r="DD397" s="541">
        <v>1.8027053409090907</v>
      </c>
      <c r="DE397" s="541">
        <v>1.8027053409090907</v>
      </c>
      <c r="DF397" s="541">
        <v>1.8027053409090907</v>
      </c>
      <c r="DG397" s="541">
        <v>1.8027053409090907</v>
      </c>
      <c r="DH397" s="541">
        <v>1.8027053409090907</v>
      </c>
    </row>
    <row r="398" spans="2:112">
      <c r="B398" t="s">
        <v>1252</v>
      </c>
      <c r="C398" t="s">
        <v>821</v>
      </c>
      <c r="D398" t="s">
        <v>917</v>
      </c>
      <c r="E398" t="s">
        <v>908</v>
      </c>
      <c r="F398" s="541">
        <v>18.366624999999999</v>
      </c>
      <c r="G398" s="541">
        <v>18.366624999999999</v>
      </c>
      <c r="H398" s="541">
        <v>18.366624999999999</v>
      </c>
      <c r="I398" s="541">
        <v>18.366624999999999</v>
      </c>
      <c r="J398" s="541">
        <v>18.366624999999999</v>
      </c>
      <c r="K398" s="541">
        <v>18.366624999999999</v>
      </c>
      <c r="L398" s="541">
        <v>18.366624999999999</v>
      </c>
      <c r="M398" s="541">
        <v>18.366624999999999</v>
      </c>
      <c r="N398" s="541">
        <v>18.366624999999999</v>
      </c>
      <c r="O398" s="541">
        <v>18.366624999999999</v>
      </c>
      <c r="P398" s="541">
        <v>18.366624999999999</v>
      </c>
      <c r="Q398" s="541">
        <v>18.366624999999999</v>
      </c>
      <c r="R398" s="541">
        <v>18.366624999999999</v>
      </c>
      <c r="S398" s="541">
        <v>18.366624999999999</v>
      </c>
      <c r="T398" s="541">
        <v>18.366624999999999</v>
      </c>
      <c r="U398" s="541">
        <v>18.366624999999999</v>
      </c>
      <c r="V398" s="541">
        <v>18.366624999999999</v>
      </c>
      <c r="W398" s="541">
        <v>18.366624999999999</v>
      </c>
      <c r="X398" s="541">
        <v>18.366624999999999</v>
      </c>
      <c r="Y398" s="541">
        <v>18.366624999999999</v>
      </c>
      <c r="Z398" s="541">
        <v>18.366624999999999</v>
      </c>
      <c r="AA398" s="541">
        <v>18.366624999999999</v>
      </c>
      <c r="AB398" s="541">
        <v>18.366624999999999</v>
      </c>
      <c r="AC398" s="541">
        <v>18.366624999999999</v>
      </c>
      <c r="AD398" s="541">
        <v>18.366624999999999</v>
      </c>
      <c r="AE398" s="541">
        <v>18.366624999999999</v>
      </c>
      <c r="AF398" s="541">
        <v>18.366624999999999</v>
      </c>
      <c r="AG398" s="541">
        <v>18.366624999999999</v>
      </c>
      <c r="AH398" s="542">
        <f t="shared" si="283"/>
        <v>18.366624999999999</v>
      </c>
      <c r="AI398" s="542">
        <f t="shared" si="283"/>
        <v>18.366624999999999</v>
      </c>
      <c r="AJ398" s="542">
        <f t="shared" si="283"/>
        <v>18.366624999999999</v>
      </c>
      <c r="AK398" s="542">
        <f t="shared" si="283"/>
        <v>18.366624999999999</v>
      </c>
      <c r="AL398" s="542">
        <f t="shared" si="283"/>
        <v>18.366624999999999</v>
      </c>
      <c r="AM398" s="542">
        <f t="shared" si="283"/>
        <v>18.366624999999999</v>
      </c>
      <c r="AN398" s="542">
        <f t="shared" si="283"/>
        <v>18.366624999999999</v>
      </c>
      <c r="AO398" s="542">
        <f t="shared" si="283"/>
        <v>18.366624999999999</v>
      </c>
      <c r="AP398" s="542">
        <f t="shared" si="283"/>
        <v>18.366624999999999</v>
      </c>
      <c r="AQ398" s="542">
        <f t="shared" si="283"/>
        <v>18.366624999999999</v>
      </c>
      <c r="AR398" s="542">
        <f t="shared" si="283"/>
        <v>18.366624999999999</v>
      </c>
      <c r="AS398" s="542">
        <f t="shared" si="283"/>
        <v>18.366624999999999</v>
      </c>
      <c r="AT398" s="542">
        <f t="shared" si="283"/>
        <v>18.366624999999999</v>
      </c>
      <c r="AU398" s="542">
        <f t="shared" si="283"/>
        <v>18.366624999999999</v>
      </c>
      <c r="AV398" s="542">
        <f t="shared" si="283"/>
        <v>18.366624999999999</v>
      </c>
      <c r="AW398" s="542">
        <f t="shared" si="283"/>
        <v>18.366624999999999</v>
      </c>
      <c r="AX398" s="542">
        <f t="shared" si="282"/>
        <v>18.366624999999999</v>
      </c>
      <c r="AY398" s="542">
        <f t="shared" si="282"/>
        <v>18.366624999999999</v>
      </c>
      <c r="AZ398" s="542">
        <f t="shared" si="282"/>
        <v>18.366624999999999</v>
      </c>
      <c r="BA398" s="542">
        <f t="shared" si="282"/>
        <v>18.366624999999999</v>
      </c>
      <c r="BB398" s="542">
        <f t="shared" si="282"/>
        <v>18.366624999999999</v>
      </c>
      <c r="BC398" s="542">
        <f t="shared" si="282"/>
        <v>18.366624999999999</v>
      </c>
      <c r="BD398" s="542">
        <f t="shared" si="282"/>
        <v>18.366624999999999</v>
      </c>
      <c r="BE398" s="542">
        <f t="shared" si="282"/>
        <v>18.366624999999999</v>
      </c>
      <c r="BF398" s="542">
        <f t="shared" si="282"/>
        <v>18.366624999999999</v>
      </c>
      <c r="BG398" s="542">
        <f t="shared" si="282"/>
        <v>18.366624999999999</v>
      </c>
      <c r="BH398" s="542">
        <f t="shared" si="282"/>
        <v>18.366624999999999</v>
      </c>
      <c r="BI398" s="542">
        <f t="shared" si="282"/>
        <v>18.366624999999999</v>
      </c>
      <c r="BJ398" s="542">
        <f t="shared" si="282"/>
        <v>18.366624999999999</v>
      </c>
      <c r="BK398" s="542">
        <f t="shared" si="282"/>
        <v>18.366624999999999</v>
      </c>
      <c r="BL398" s="542">
        <f t="shared" si="282"/>
        <v>18.366624999999999</v>
      </c>
      <c r="BM398" s="542">
        <f t="shared" si="282"/>
        <v>18.366624999999999</v>
      </c>
      <c r="BN398" s="542">
        <f t="shared" si="282"/>
        <v>18.366624999999999</v>
      </c>
      <c r="BO398" s="542">
        <f t="shared" si="282"/>
        <v>18.366624999999999</v>
      </c>
      <c r="BP398" s="542">
        <f t="shared" si="282"/>
        <v>18.366624999999999</v>
      </c>
      <c r="BQ398" s="542">
        <f t="shared" si="282"/>
        <v>18.366624999999999</v>
      </c>
      <c r="BR398" s="542">
        <f t="shared" si="282"/>
        <v>18.366624999999999</v>
      </c>
      <c r="BS398" s="542">
        <f t="shared" si="282"/>
        <v>18.366624999999999</v>
      </c>
      <c r="BT398" s="542">
        <f t="shared" si="282"/>
        <v>18.366624999999999</v>
      </c>
      <c r="BU398" s="542">
        <f t="shared" si="282"/>
        <v>18.366624999999999</v>
      </c>
      <c r="BV398" s="542">
        <f t="shared" si="282"/>
        <v>18.366624999999999</v>
      </c>
      <c r="BW398" s="542">
        <f t="shared" si="282"/>
        <v>18.366624999999999</v>
      </c>
      <c r="BX398" s="542">
        <f t="shared" si="282"/>
        <v>18.366624999999999</v>
      </c>
      <c r="BY398" s="542">
        <f t="shared" si="282"/>
        <v>18.366624999999999</v>
      </c>
      <c r="BZ398" s="542">
        <f t="shared" si="282"/>
        <v>18.366624999999999</v>
      </c>
      <c r="CA398" s="542">
        <f t="shared" si="282"/>
        <v>18.366624999999999</v>
      </c>
      <c r="CB398" s="542">
        <f t="shared" si="282"/>
        <v>18.366624999999999</v>
      </c>
      <c r="CC398" s="542">
        <f t="shared" si="282"/>
        <v>18.366624999999999</v>
      </c>
      <c r="CD398" s="542">
        <f t="shared" si="282"/>
        <v>18.366624999999999</v>
      </c>
      <c r="CE398" s="542">
        <f t="shared" si="282"/>
        <v>18.366624999999999</v>
      </c>
      <c r="CG398" s="541">
        <v>18.366624999999999</v>
      </c>
      <c r="CH398" s="541">
        <v>18.366624999999999</v>
      </c>
      <c r="CI398" s="541">
        <v>18.366624999999999</v>
      </c>
      <c r="CJ398" s="541">
        <v>18.366624999999999</v>
      </c>
      <c r="CK398" s="541">
        <v>18.366624999999999</v>
      </c>
      <c r="CL398" s="541">
        <v>18.366624999999999</v>
      </c>
      <c r="CM398" s="541">
        <v>18.366624999999999</v>
      </c>
      <c r="CN398" s="541">
        <v>18.366624999999999</v>
      </c>
      <c r="CO398" s="541">
        <v>18.366624999999999</v>
      </c>
      <c r="CP398" s="541">
        <v>18.366624999999999</v>
      </c>
      <c r="CQ398" s="541">
        <v>18.366624999999999</v>
      </c>
      <c r="CR398" s="541">
        <v>18.366624999999999</v>
      </c>
      <c r="CS398" s="541">
        <v>18.366624999999999</v>
      </c>
      <c r="CT398" s="541">
        <v>18.366624999999999</v>
      </c>
      <c r="CU398" s="541">
        <v>18.366624999999999</v>
      </c>
      <c r="CV398" s="541">
        <v>18.366624999999999</v>
      </c>
      <c r="CW398" s="541">
        <v>18.366624999999999</v>
      </c>
      <c r="CX398" s="541">
        <v>18.366624999999999</v>
      </c>
      <c r="CY398" s="541">
        <v>18.366624999999999</v>
      </c>
      <c r="CZ398" s="541">
        <v>18.366624999999999</v>
      </c>
      <c r="DA398" s="541">
        <v>18.366624999999999</v>
      </c>
      <c r="DB398" s="541">
        <v>18.366624999999999</v>
      </c>
      <c r="DC398" s="541">
        <v>18.366624999999999</v>
      </c>
      <c r="DD398" s="541">
        <v>18.366624999999999</v>
      </c>
      <c r="DE398" s="541">
        <v>18.366624999999999</v>
      </c>
      <c r="DF398" s="541">
        <v>18.366624999999999</v>
      </c>
      <c r="DG398" s="541">
        <v>18.366624999999999</v>
      </c>
      <c r="DH398" s="541">
        <v>18.366624999999999</v>
      </c>
    </row>
    <row r="399" spans="2:112">
      <c r="B399" t="s">
        <v>1253</v>
      </c>
      <c r="C399" t="s">
        <v>821</v>
      </c>
      <c r="D399" t="s">
        <v>919</v>
      </c>
      <c r="E399" t="s">
        <v>911</v>
      </c>
      <c r="F399" s="541">
        <v>1.7921853409090909</v>
      </c>
      <c r="G399" s="541">
        <v>1.7921853409090909</v>
      </c>
      <c r="H399" s="541">
        <v>1.7921853409090909</v>
      </c>
      <c r="I399" s="541">
        <v>1.7921853409090909</v>
      </c>
      <c r="J399" s="541">
        <v>1.7921853409090909</v>
      </c>
      <c r="K399" s="541">
        <v>1.7921853409090909</v>
      </c>
      <c r="L399" s="541">
        <v>1.7921853409090909</v>
      </c>
      <c r="M399" s="541">
        <v>1.7921853409090909</v>
      </c>
      <c r="N399" s="541">
        <v>1.7921853409090909</v>
      </c>
      <c r="O399" s="541">
        <v>1.7921853409090909</v>
      </c>
      <c r="P399" s="541">
        <v>1.7921853409090909</v>
      </c>
      <c r="Q399" s="541">
        <v>1.7921853409090909</v>
      </c>
      <c r="R399" s="541">
        <v>1.7921853409090909</v>
      </c>
      <c r="S399" s="541">
        <v>1.7921853409090909</v>
      </c>
      <c r="T399" s="541">
        <v>1.7921853409090909</v>
      </c>
      <c r="U399" s="541">
        <v>1.7921853409090909</v>
      </c>
      <c r="V399" s="541">
        <v>1.7921853409090909</v>
      </c>
      <c r="W399" s="541">
        <v>1.7921853409090909</v>
      </c>
      <c r="X399" s="541">
        <v>1.7921853409090909</v>
      </c>
      <c r="Y399" s="541">
        <v>1.7921853409090909</v>
      </c>
      <c r="Z399" s="541">
        <v>1.7921853409090909</v>
      </c>
      <c r="AA399" s="541">
        <v>1.7921853409090909</v>
      </c>
      <c r="AB399" s="541">
        <v>1.7921853409090909</v>
      </c>
      <c r="AC399" s="541">
        <v>1.7921853409090909</v>
      </c>
      <c r="AD399" s="541">
        <v>1.7921853409090909</v>
      </c>
      <c r="AE399" s="541">
        <v>1.7921853409090909</v>
      </c>
      <c r="AF399" s="541">
        <v>1.7921853409090909</v>
      </c>
      <c r="AG399" s="541">
        <v>1.7921853409090909</v>
      </c>
      <c r="AH399" s="542">
        <f t="shared" si="283"/>
        <v>1.7921853409090909</v>
      </c>
      <c r="AI399" s="542">
        <f t="shared" si="283"/>
        <v>1.7921853409090909</v>
      </c>
      <c r="AJ399" s="542">
        <f t="shared" si="283"/>
        <v>1.7921853409090909</v>
      </c>
      <c r="AK399" s="542">
        <f t="shared" si="283"/>
        <v>1.7921853409090909</v>
      </c>
      <c r="AL399" s="542">
        <f t="shared" si="283"/>
        <v>1.7921853409090909</v>
      </c>
      <c r="AM399" s="542">
        <f t="shared" si="283"/>
        <v>1.7921853409090909</v>
      </c>
      <c r="AN399" s="542">
        <f t="shared" si="283"/>
        <v>1.7921853409090909</v>
      </c>
      <c r="AO399" s="542">
        <f t="shared" si="283"/>
        <v>1.7921853409090909</v>
      </c>
      <c r="AP399" s="542">
        <f t="shared" si="283"/>
        <v>1.7921853409090909</v>
      </c>
      <c r="AQ399" s="542">
        <f t="shared" si="283"/>
        <v>1.7921853409090909</v>
      </c>
      <c r="AR399" s="542">
        <f t="shared" si="283"/>
        <v>1.7921853409090909</v>
      </c>
      <c r="AS399" s="542">
        <f t="shared" si="283"/>
        <v>1.7921853409090909</v>
      </c>
      <c r="AT399" s="542">
        <f t="shared" si="283"/>
        <v>1.7921853409090909</v>
      </c>
      <c r="AU399" s="542">
        <f t="shared" si="283"/>
        <v>1.7921853409090909</v>
      </c>
      <c r="AV399" s="542">
        <f t="shared" si="283"/>
        <v>1.7921853409090909</v>
      </c>
      <c r="AW399" s="542">
        <f t="shared" si="283"/>
        <v>1.7921853409090909</v>
      </c>
      <c r="AX399" s="542">
        <f t="shared" si="282"/>
        <v>1.7921853409090909</v>
      </c>
      <c r="AY399" s="542">
        <f t="shared" si="282"/>
        <v>1.7921853409090909</v>
      </c>
      <c r="AZ399" s="542">
        <f t="shared" si="282"/>
        <v>1.7921853409090909</v>
      </c>
      <c r="BA399" s="542">
        <f t="shared" si="282"/>
        <v>1.7921853409090909</v>
      </c>
      <c r="BB399" s="542">
        <f t="shared" si="282"/>
        <v>1.7921853409090909</v>
      </c>
      <c r="BC399" s="542">
        <f t="shared" si="282"/>
        <v>1.7921853409090909</v>
      </c>
      <c r="BD399" s="542">
        <f t="shared" si="282"/>
        <v>1.7921853409090909</v>
      </c>
      <c r="BE399" s="542">
        <f t="shared" si="282"/>
        <v>1.7921853409090909</v>
      </c>
      <c r="BF399" s="542">
        <f t="shared" si="282"/>
        <v>1.7921853409090909</v>
      </c>
      <c r="BG399" s="542">
        <f t="shared" si="282"/>
        <v>1.7921853409090909</v>
      </c>
      <c r="BH399" s="542">
        <f t="shared" si="282"/>
        <v>1.7921853409090909</v>
      </c>
      <c r="BI399" s="542">
        <f t="shared" si="282"/>
        <v>1.7921853409090909</v>
      </c>
      <c r="BJ399" s="542">
        <f t="shared" si="282"/>
        <v>1.7921853409090909</v>
      </c>
      <c r="BK399" s="542">
        <f t="shared" si="282"/>
        <v>1.7921853409090909</v>
      </c>
      <c r="BL399" s="542">
        <f t="shared" si="282"/>
        <v>1.7921853409090909</v>
      </c>
      <c r="BM399" s="542">
        <f t="shared" si="282"/>
        <v>1.7921853409090909</v>
      </c>
      <c r="BN399" s="542">
        <f t="shared" si="282"/>
        <v>1.7921853409090909</v>
      </c>
      <c r="BO399" s="542">
        <f t="shared" si="282"/>
        <v>1.7921853409090909</v>
      </c>
      <c r="BP399" s="542">
        <f t="shared" si="282"/>
        <v>1.7921853409090909</v>
      </c>
      <c r="BQ399" s="542">
        <f t="shared" si="282"/>
        <v>1.7921853409090909</v>
      </c>
      <c r="BR399" s="542">
        <f t="shared" si="282"/>
        <v>1.7921853409090909</v>
      </c>
      <c r="BS399" s="542">
        <f t="shared" si="282"/>
        <v>1.7921853409090909</v>
      </c>
      <c r="BT399" s="542">
        <f t="shared" si="282"/>
        <v>1.7921853409090909</v>
      </c>
      <c r="BU399" s="542">
        <f t="shared" si="282"/>
        <v>1.7921853409090909</v>
      </c>
      <c r="BV399" s="542">
        <f t="shared" si="282"/>
        <v>1.7921853409090909</v>
      </c>
      <c r="BW399" s="542">
        <f t="shared" si="282"/>
        <v>1.7921853409090909</v>
      </c>
      <c r="BX399" s="542">
        <f t="shared" si="282"/>
        <v>1.7921853409090909</v>
      </c>
      <c r="BY399" s="542">
        <f t="shared" si="282"/>
        <v>1.7921853409090909</v>
      </c>
      <c r="BZ399" s="542">
        <f t="shared" si="282"/>
        <v>1.7921853409090909</v>
      </c>
      <c r="CA399" s="542">
        <f t="shared" si="282"/>
        <v>1.7921853409090909</v>
      </c>
      <c r="CB399" s="542">
        <f t="shared" si="282"/>
        <v>1.7921853409090909</v>
      </c>
      <c r="CC399" s="542">
        <f t="shared" si="282"/>
        <v>1.7921853409090909</v>
      </c>
      <c r="CD399" s="542">
        <f t="shared" si="282"/>
        <v>1.7921853409090909</v>
      </c>
      <c r="CE399" s="542">
        <f t="shared" si="282"/>
        <v>1.7921853409090909</v>
      </c>
      <c r="CG399" s="541">
        <v>1.7921853409090909</v>
      </c>
      <c r="CH399" s="541">
        <v>1.7921853409090909</v>
      </c>
      <c r="CI399" s="541">
        <v>1.7921853409090909</v>
      </c>
      <c r="CJ399" s="541">
        <v>1.7921853409090909</v>
      </c>
      <c r="CK399" s="541">
        <v>1.7921853409090909</v>
      </c>
      <c r="CL399" s="541">
        <v>1.7921853409090909</v>
      </c>
      <c r="CM399" s="541">
        <v>1.7921853409090909</v>
      </c>
      <c r="CN399" s="541">
        <v>1.7921853409090909</v>
      </c>
      <c r="CO399" s="541">
        <v>1.7921853409090909</v>
      </c>
      <c r="CP399" s="541">
        <v>1.7921853409090909</v>
      </c>
      <c r="CQ399" s="541">
        <v>1.7921853409090909</v>
      </c>
      <c r="CR399" s="541">
        <v>1.7921853409090909</v>
      </c>
      <c r="CS399" s="541">
        <v>1.7921853409090909</v>
      </c>
      <c r="CT399" s="541">
        <v>1.7921853409090909</v>
      </c>
      <c r="CU399" s="541">
        <v>1.7921853409090909</v>
      </c>
      <c r="CV399" s="541">
        <v>1.7921853409090909</v>
      </c>
      <c r="CW399" s="541">
        <v>1.7921853409090909</v>
      </c>
      <c r="CX399" s="541">
        <v>1.7921853409090909</v>
      </c>
      <c r="CY399" s="541">
        <v>1.7921853409090909</v>
      </c>
      <c r="CZ399" s="541">
        <v>1.7921853409090909</v>
      </c>
      <c r="DA399" s="541">
        <v>1.7921853409090909</v>
      </c>
      <c r="DB399" s="541">
        <v>1.7921853409090909</v>
      </c>
      <c r="DC399" s="541">
        <v>1.7921853409090909</v>
      </c>
      <c r="DD399" s="541">
        <v>1.7921853409090909</v>
      </c>
      <c r="DE399" s="541">
        <v>1.7921853409090909</v>
      </c>
      <c r="DF399" s="541">
        <v>1.7921853409090909</v>
      </c>
      <c r="DG399" s="541">
        <v>1.7921853409090909</v>
      </c>
      <c r="DH399" s="541">
        <v>1.7921853409090909</v>
      </c>
    </row>
    <row r="400" spans="2:112">
      <c r="B400" t="s">
        <v>1254</v>
      </c>
      <c r="C400" t="s">
        <v>821</v>
      </c>
      <c r="D400" t="s">
        <v>921</v>
      </c>
      <c r="E400" t="s">
        <v>908</v>
      </c>
      <c r="F400" s="541">
        <v>18.800625</v>
      </c>
      <c r="G400" s="541">
        <v>18.800625</v>
      </c>
      <c r="H400" s="541">
        <v>18.800625</v>
      </c>
      <c r="I400" s="541">
        <v>18.800625</v>
      </c>
      <c r="J400" s="541">
        <v>18.800625</v>
      </c>
      <c r="K400" s="541">
        <v>18.800625</v>
      </c>
      <c r="L400" s="541">
        <v>18.800625</v>
      </c>
      <c r="M400" s="541">
        <v>18.800625</v>
      </c>
      <c r="N400" s="541">
        <v>18.800625</v>
      </c>
      <c r="O400" s="541">
        <v>18.800625</v>
      </c>
      <c r="P400" s="541">
        <v>18.800625</v>
      </c>
      <c r="Q400" s="541">
        <v>18.800625</v>
      </c>
      <c r="R400" s="541">
        <v>18.800625</v>
      </c>
      <c r="S400" s="541">
        <v>18.800625</v>
      </c>
      <c r="T400" s="541">
        <v>18.800625</v>
      </c>
      <c r="U400" s="541">
        <v>18.800625</v>
      </c>
      <c r="V400" s="541">
        <v>18.800625</v>
      </c>
      <c r="W400" s="541">
        <v>18.800625</v>
      </c>
      <c r="X400" s="541">
        <v>18.800625</v>
      </c>
      <c r="Y400" s="541">
        <v>18.800625</v>
      </c>
      <c r="Z400" s="541">
        <v>18.800625</v>
      </c>
      <c r="AA400" s="541">
        <v>18.800625</v>
      </c>
      <c r="AB400" s="541">
        <v>18.800625</v>
      </c>
      <c r="AC400" s="541">
        <v>18.800625</v>
      </c>
      <c r="AD400" s="541">
        <v>18.800625</v>
      </c>
      <c r="AE400" s="541">
        <v>18.800625</v>
      </c>
      <c r="AF400" s="541">
        <v>18.800625</v>
      </c>
      <c r="AG400" s="541">
        <v>18.800625</v>
      </c>
      <c r="AH400" s="542">
        <f t="shared" si="283"/>
        <v>18.800625</v>
      </c>
      <c r="AI400" s="542">
        <f t="shared" si="283"/>
        <v>18.800625</v>
      </c>
      <c r="AJ400" s="542">
        <f t="shared" si="283"/>
        <v>18.800625</v>
      </c>
      <c r="AK400" s="542">
        <f t="shared" si="283"/>
        <v>18.800625</v>
      </c>
      <c r="AL400" s="542">
        <f t="shared" si="283"/>
        <v>18.800625</v>
      </c>
      <c r="AM400" s="542">
        <f t="shared" si="283"/>
        <v>18.800625</v>
      </c>
      <c r="AN400" s="542">
        <f t="shared" si="283"/>
        <v>18.800625</v>
      </c>
      <c r="AO400" s="542">
        <f t="shared" si="283"/>
        <v>18.800625</v>
      </c>
      <c r="AP400" s="542">
        <f t="shared" si="283"/>
        <v>18.800625</v>
      </c>
      <c r="AQ400" s="542">
        <f t="shared" si="283"/>
        <v>18.800625</v>
      </c>
      <c r="AR400" s="542">
        <f t="shared" si="283"/>
        <v>18.800625</v>
      </c>
      <c r="AS400" s="542">
        <f t="shared" si="283"/>
        <v>18.800625</v>
      </c>
      <c r="AT400" s="542">
        <f t="shared" si="283"/>
        <v>18.800625</v>
      </c>
      <c r="AU400" s="542">
        <f t="shared" si="283"/>
        <v>18.800625</v>
      </c>
      <c r="AV400" s="542">
        <f t="shared" si="283"/>
        <v>18.800625</v>
      </c>
      <c r="AW400" s="542">
        <f t="shared" si="283"/>
        <v>18.800625</v>
      </c>
      <c r="AX400" s="542">
        <f t="shared" si="282"/>
        <v>18.800625</v>
      </c>
      <c r="AY400" s="542">
        <f t="shared" si="282"/>
        <v>18.800625</v>
      </c>
      <c r="AZ400" s="542">
        <f t="shared" si="282"/>
        <v>18.800625</v>
      </c>
      <c r="BA400" s="542">
        <f t="shared" si="282"/>
        <v>18.800625</v>
      </c>
      <c r="BB400" s="542">
        <f t="shared" si="282"/>
        <v>18.800625</v>
      </c>
      <c r="BC400" s="542">
        <f t="shared" si="282"/>
        <v>18.800625</v>
      </c>
      <c r="BD400" s="542">
        <f t="shared" si="282"/>
        <v>18.800625</v>
      </c>
      <c r="BE400" s="542">
        <f t="shared" si="282"/>
        <v>18.800625</v>
      </c>
      <c r="BF400" s="542">
        <f t="shared" si="282"/>
        <v>18.800625</v>
      </c>
      <c r="BG400" s="542">
        <f t="shared" si="282"/>
        <v>18.800625</v>
      </c>
      <c r="BH400" s="542">
        <f t="shared" si="282"/>
        <v>18.800625</v>
      </c>
      <c r="BI400" s="542">
        <f t="shared" si="282"/>
        <v>18.800625</v>
      </c>
      <c r="BJ400" s="542">
        <f t="shared" si="282"/>
        <v>18.800625</v>
      </c>
      <c r="BK400" s="542">
        <f t="shared" si="282"/>
        <v>18.800625</v>
      </c>
      <c r="BL400" s="542">
        <f t="shared" si="282"/>
        <v>18.800625</v>
      </c>
      <c r="BM400" s="542">
        <f t="shared" si="282"/>
        <v>18.800625</v>
      </c>
      <c r="BN400" s="542">
        <f t="shared" si="282"/>
        <v>18.800625</v>
      </c>
      <c r="BO400" s="542">
        <f t="shared" si="282"/>
        <v>18.800625</v>
      </c>
      <c r="BP400" s="542">
        <f t="shared" si="282"/>
        <v>18.800625</v>
      </c>
      <c r="BQ400" s="542">
        <f t="shared" si="282"/>
        <v>18.800625</v>
      </c>
      <c r="BR400" s="542">
        <f t="shared" si="282"/>
        <v>18.800625</v>
      </c>
      <c r="BS400" s="542">
        <f t="shared" si="282"/>
        <v>18.800625</v>
      </c>
      <c r="BT400" s="542">
        <f t="shared" si="282"/>
        <v>18.800625</v>
      </c>
      <c r="BU400" s="542">
        <f t="shared" si="282"/>
        <v>18.800625</v>
      </c>
      <c r="BV400" s="542">
        <f t="shared" si="282"/>
        <v>18.800625</v>
      </c>
      <c r="BW400" s="542">
        <f t="shared" si="282"/>
        <v>18.800625</v>
      </c>
      <c r="BX400" s="542">
        <f t="shared" si="282"/>
        <v>18.800625</v>
      </c>
      <c r="BY400" s="542">
        <f t="shared" si="282"/>
        <v>18.800625</v>
      </c>
      <c r="BZ400" s="542">
        <f t="shared" si="282"/>
        <v>18.800625</v>
      </c>
      <c r="CA400" s="542">
        <f t="shared" si="282"/>
        <v>18.800625</v>
      </c>
      <c r="CB400" s="542">
        <f t="shared" si="282"/>
        <v>18.800625</v>
      </c>
      <c r="CC400" s="542">
        <f t="shared" si="282"/>
        <v>18.800625</v>
      </c>
      <c r="CD400" s="542">
        <f t="shared" si="282"/>
        <v>18.800625</v>
      </c>
      <c r="CE400" s="542">
        <f t="shared" si="282"/>
        <v>18.800625</v>
      </c>
      <c r="CG400" s="541">
        <v>18.800625</v>
      </c>
      <c r="CH400" s="541">
        <v>18.800625</v>
      </c>
      <c r="CI400" s="541">
        <v>18.800625</v>
      </c>
      <c r="CJ400" s="541">
        <v>18.800625</v>
      </c>
      <c r="CK400" s="541">
        <v>18.800625</v>
      </c>
      <c r="CL400" s="541">
        <v>18.800625</v>
      </c>
      <c r="CM400" s="541">
        <v>18.800625</v>
      </c>
      <c r="CN400" s="541">
        <v>18.800625</v>
      </c>
      <c r="CO400" s="541">
        <v>18.800625</v>
      </c>
      <c r="CP400" s="541">
        <v>18.800625</v>
      </c>
      <c r="CQ400" s="541">
        <v>18.800625</v>
      </c>
      <c r="CR400" s="541">
        <v>18.800625</v>
      </c>
      <c r="CS400" s="541">
        <v>18.800625</v>
      </c>
      <c r="CT400" s="541">
        <v>18.800625</v>
      </c>
      <c r="CU400" s="541">
        <v>18.800625</v>
      </c>
      <c r="CV400" s="541">
        <v>18.800625</v>
      </c>
      <c r="CW400" s="541">
        <v>18.800625</v>
      </c>
      <c r="CX400" s="541">
        <v>18.800625</v>
      </c>
      <c r="CY400" s="541">
        <v>18.800625</v>
      </c>
      <c r="CZ400" s="541">
        <v>18.800625</v>
      </c>
      <c r="DA400" s="541">
        <v>18.800625</v>
      </c>
      <c r="DB400" s="541">
        <v>18.800625</v>
      </c>
      <c r="DC400" s="541">
        <v>18.800625</v>
      </c>
      <c r="DD400" s="541">
        <v>18.800625</v>
      </c>
      <c r="DE400" s="541">
        <v>18.800625</v>
      </c>
      <c r="DF400" s="541">
        <v>18.800625</v>
      </c>
      <c r="DG400" s="541">
        <v>18.800625</v>
      </c>
      <c r="DH400" s="541">
        <v>18.800625</v>
      </c>
    </row>
    <row r="401" spans="2:112">
      <c r="B401" t="s">
        <v>1255</v>
      </c>
      <c r="C401" t="s">
        <v>821</v>
      </c>
      <c r="D401" t="s">
        <v>923</v>
      </c>
      <c r="E401" t="s">
        <v>911</v>
      </c>
      <c r="F401" s="541">
        <v>1.7965253409090909</v>
      </c>
      <c r="G401" s="541">
        <v>1.7965253409090909</v>
      </c>
      <c r="H401" s="541">
        <v>1.7965253409090909</v>
      </c>
      <c r="I401" s="541">
        <v>1.7965253409090909</v>
      </c>
      <c r="J401" s="541">
        <v>1.7965253409090909</v>
      </c>
      <c r="K401" s="541">
        <v>1.7965253409090909</v>
      </c>
      <c r="L401" s="541">
        <v>1.7965253409090909</v>
      </c>
      <c r="M401" s="541">
        <v>1.7965253409090909</v>
      </c>
      <c r="N401" s="541">
        <v>1.7965253409090909</v>
      </c>
      <c r="O401" s="541">
        <v>1.7965253409090909</v>
      </c>
      <c r="P401" s="541">
        <v>1.7965253409090909</v>
      </c>
      <c r="Q401" s="541">
        <v>1.7965253409090909</v>
      </c>
      <c r="R401" s="541">
        <v>1.7965253409090909</v>
      </c>
      <c r="S401" s="541">
        <v>1.7965253409090909</v>
      </c>
      <c r="T401" s="541">
        <v>1.7965253409090909</v>
      </c>
      <c r="U401" s="541">
        <v>1.7965253409090909</v>
      </c>
      <c r="V401" s="541">
        <v>1.7965253409090909</v>
      </c>
      <c r="W401" s="541">
        <v>1.7965253409090909</v>
      </c>
      <c r="X401" s="541">
        <v>1.7965253409090909</v>
      </c>
      <c r="Y401" s="541">
        <v>1.7965253409090909</v>
      </c>
      <c r="Z401" s="541">
        <v>1.7965253409090909</v>
      </c>
      <c r="AA401" s="541">
        <v>1.7965253409090909</v>
      </c>
      <c r="AB401" s="541">
        <v>1.7965253409090909</v>
      </c>
      <c r="AC401" s="541">
        <v>1.7965253409090909</v>
      </c>
      <c r="AD401" s="541">
        <v>1.7965253409090909</v>
      </c>
      <c r="AE401" s="541">
        <v>1.7965253409090909</v>
      </c>
      <c r="AF401" s="541">
        <v>1.7965253409090909</v>
      </c>
      <c r="AG401" s="541">
        <v>1.7965253409090909</v>
      </c>
      <c r="AH401" s="542">
        <f t="shared" si="283"/>
        <v>1.7965253409090909</v>
      </c>
      <c r="AI401" s="542">
        <f t="shared" si="283"/>
        <v>1.7965253409090909</v>
      </c>
      <c r="AJ401" s="542">
        <f t="shared" si="283"/>
        <v>1.7965253409090909</v>
      </c>
      <c r="AK401" s="542">
        <f t="shared" si="283"/>
        <v>1.7965253409090909</v>
      </c>
      <c r="AL401" s="542">
        <f t="shared" si="283"/>
        <v>1.7965253409090909</v>
      </c>
      <c r="AM401" s="542">
        <f t="shared" si="283"/>
        <v>1.7965253409090909</v>
      </c>
      <c r="AN401" s="542">
        <f t="shared" si="283"/>
        <v>1.7965253409090909</v>
      </c>
      <c r="AO401" s="542">
        <f t="shared" si="283"/>
        <v>1.7965253409090909</v>
      </c>
      <c r="AP401" s="542">
        <f t="shared" si="283"/>
        <v>1.7965253409090909</v>
      </c>
      <c r="AQ401" s="542">
        <f t="shared" si="283"/>
        <v>1.7965253409090909</v>
      </c>
      <c r="AR401" s="542">
        <f t="shared" si="283"/>
        <v>1.7965253409090909</v>
      </c>
      <c r="AS401" s="542">
        <f t="shared" si="283"/>
        <v>1.7965253409090909</v>
      </c>
      <c r="AT401" s="542">
        <f t="shared" si="283"/>
        <v>1.7965253409090909</v>
      </c>
      <c r="AU401" s="542">
        <f t="shared" si="283"/>
        <v>1.7965253409090909</v>
      </c>
      <c r="AV401" s="542">
        <f t="shared" si="283"/>
        <v>1.7965253409090909</v>
      </c>
      <c r="AW401" s="542">
        <f t="shared" si="283"/>
        <v>1.7965253409090909</v>
      </c>
      <c r="AX401" s="542">
        <f t="shared" si="282"/>
        <v>1.7965253409090909</v>
      </c>
      <c r="AY401" s="542">
        <f t="shared" si="282"/>
        <v>1.7965253409090909</v>
      </c>
      <c r="AZ401" s="542">
        <f t="shared" si="282"/>
        <v>1.7965253409090909</v>
      </c>
      <c r="BA401" s="542">
        <f t="shared" si="282"/>
        <v>1.7965253409090909</v>
      </c>
      <c r="BB401" s="542">
        <f t="shared" si="282"/>
        <v>1.7965253409090909</v>
      </c>
      <c r="BC401" s="542">
        <f t="shared" si="282"/>
        <v>1.7965253409090909</v>
      </c>
      <c r="BD401" s="542">
        <f t="shared" si="282"/>
        <v>1.7965253409090909</v>
      </c>
      <c r="BE401" s="542">
        <f t="shared" si="282"/>
        <v>1.7965253409090909</v>
      </c>
      <c r="BF401" s="542">
        <f t="shared" si="282"/>
        <v>1.7965253409090909</v>
      </c>
      <c r="BG401" s="542">
        <f t="shared" si="282"/>
        <v>1.7965253409090909</v>
      </c>
      <c r="BH401" s="542">
        <f t="shared" si="282"/>
        <v>1.7965253409090909</v>
      </c>
      <c r="BI401" s="542">
        <f t="shared" si="282"/>
        <v>1.7965253409090909</v>
      </c>
      <c r="BJ401" s="542">
        <f t="shared" si="282"/>
        <v>1.7965253409090909</v>
      </c>
      <c r="BK401" s="542">
        <f t="shared" si="282"/>
        <v>1.7965253409090909</v>
      </c>
      <c r="BL401" s="542">
        <f t="shared" si="282"/>
        <v>1.7965253409090909</v>
      </c>
      <c r="BM401" s="542">
        <f t="shared" si="282"/>
        <v>1.7965253409090909</v>
      </c>
      <c r="BN401" s="542">
        <f t="shared" si="282"/>
        <v>1.7965253409090909</v>
      </c>
      <c r="BO401" s="542">
        <f t="shared" si="282"/>
        <v>1.7965253409090909</v>
      </c>
      <c r="BP401" s="542">
        <f t="shared" si="282"/>
        <v>1.7965253409090909</v>
      </c>
      <c r="BQ401" s="542">
        <f t="shared" si="282"/>
        <v>1.7965253409090909</v>
      </c>
      <c r="BR401" s="542">
        <f t="shared" si="282"/>
        <v>1.7965253409090909</v>
      </c>
      <c r="BS401" s="542">
        <f t="shared" si="282"/>
        <v>1.7965253409090909</v>
      </c>
      <c r="BT401" s="542">
        <f t="shared" si="282"/>
        <v>1.7965253409090909</v>
      </c>
      <c r="BU401" s="542">
        <f t="shared" si="282"/>
        <v>1.7965253409090909</v>
      </c>
      <c r="BV401" s="542">
        <f t="shared" si="282"/>
        <v>1.7965253409090909</v>
      </c>
      <c r="BW401" s="542">
        <f t="shared" si="282"/>
        <v>1.7965253409090909</v>
      </c>
      <c r="BX401" s="542">
        <f t="shared" si="282"/>
        <v>1.7965253409090909</v>
      </c>
      <c r="BY401" s="542">
        <f t="shared" si="282"/>
        <v>1.7965253409090909</v>
      </c>
      <c r="BZ401" s="542">
        <f t="shared" si="282"/>
        <v>1.7965253409090909</v>
      </c>
      <c r="CA401" s="542">
        <f t="shared" si="282"/>
        <v>1.7965253409090909</v>
      </c>
      <c r="CB401" s="542">
        <f t="shared" si="282"/>
        <v>1.7965253409090909</v>
      </c>
      <c r="CC401" s="542">
        <f t="shared" si="282"/>
        <v>1.7965253409090909</v>
      </c>
      <c r="CD401" s="542">
        <f t="shared" si="282"/>
        <v>1.7965253409090909</v>
      </c>
      <c r="CE401" s="542">
        <f t="shared" si="282"/>
        <v>1.7965253409090909</v>
      </c>
      <c r="CG401" s="541">
        <v>1.7965253409090909</v>
      </c>
      <c r="CH401" s="541">
        <v>1.7965253409090909</v>
      </c>
      <c r="CI401" s="541">
        <v>1.7965253409090909</v>
      </c>
      <c r="CJ401" s="541">
        <v>1.7965253409090909</v>
      </c>
      <c r="CK401" s="541">
        <v>1.7965253409090909</v>
      </c>
      <c r="CL401" s="541">
        <v>1.7965253409090909</v>
      </c>
      <c r="CM401" s="541">
        <v>1.7965253409090909</v>
      </c>
      <c r="CN401" s="541">
        <v>1.7965253409090909</v>
      </c>
      <c r="CO401" s="541">
        <v>1.7965253409090909</v>
      </c>
      <c r="CP401" s="541">
        <v>1.7965253409090909</v>
      </c>
      <c r="CQ401" s="541">
        <v>1.7965253409090909</v>
      </c>
      <c r="CR401" s="541">
        <v>1.7965253409090909</v>
      </c>
      <c r="CS401" s="541">
        <v>1.7965253409090909</v>
      </c>
      <c r="CT401" s="541">
        <v>1.7965253409090909</v>
      </c>
      <c r="CU401" s="541">
        <v>1.7965253409090909</v>
      </c>
      <c r="CV401" s="541">
        <v>1.7965253409090909</v>
      </c>
      <c r="CW401" s="541">
        <v>1.7965253409090909</v>
      </c>
      <c r="CX401" s="541">
        <v>1.7965253409090909</v>
      </c>
      <c r="CY401" s="541">
        <v>1.7965253409090909</v>
      </c>
      <c r="CZ401" s="541">
        <v>1.7965253409090909</v>
      </c>
      <c r="DA401" s="541">
        <v>1.7965253409090909</v>
      </c>
      <c r="DB401" s="541">
        <v>1.7965253409090909</v>
      </c>
      <c r="DC401" s="541">
        <v>1.7965253409090909</v>
      </c>
      <c r="DD401" s="541">
        <v>1.7965253409090909</v>
      </c>
      <c r="DE401" s="541">
        <v>1.7965253409090909</v>
      </c>
      <c r="DF401" s="541">
        <v>1.7965253409090909</v>
      </c>
      <c r="DG401" s="541">
        <v>1.7965253409090909</v>
      </c>
      <c r="DH401" s="541">
        <v>1.7965253409090909</v>
      </c>
    </row>
    <row r="402" spans="2:112">
      <c r="B402" t="s">
        <v>924</v>
      </c>
    </row>
    <row r="403" spans="2:112" ht="15">
      <c r="B403" t="s">
        <v>1256</v>
      </c>
      <c r="C403" s="485" t="s">
        <v>1257</v>
      </c>
      <c r="D403" s="485" t="s">
        <v>877</v>
      </c>
      <c r="E403" s="485" t="s">
        <v>111</v>
      </c>
      <c r="F403" s="486">
        <f>2023</f>
        <v>2023</v>
      </c>
      <c r="G403" s="486">
        <f>F403+1</f>
        <v>2024</v>
      </c>
      <c r="H403" s="486">
        <f t="shared" ref="H403:AG403" si="284">G403+1</f>
        <v>2025</v>
      </c>
      <c r="I403" s="486">
        <f t="shared" si="284"/>
        <v>2026</v>
      </c>
      <c r="J403" s="486">
        <f t="shared" si="284"/>
        <v>2027</v>
      </c>
      <c r="K403" s="486">
        <f t="shared" si="284"/>
        <v>2028</v>
      </c>
      <c r="L403" s="486">
        <f t="shared" si="284"/>
        <v>2029</v>
      </c>
      <c r="M403" s="486">
        <f t="shared" si="284"/>
        <v>2030</v>
      </c>
      <c r="N403" s="486">
        <f t="shared" si="284"/>
        <v>2031</v>
      </c>
      <c r="O403" s="486">
        <f t="shared" si="284"/>
        <v>2032</v>
      </c>
      <c r="P403" s="486">
        <f t="shared" si="284"/>
        <v>2033</v>
      </c>
      <c r="Q403" s="486">
        <f t="shared" si="284"/>
        <v>2034</v>
      </c>
      <c r="R403" s="486">
        <f t="shared" si="284"/>
        <v>2035</v>
      </c>
      <c r="S403" s="486">
        <f t="shared" si="284"/>
        <v>2036</v>
      </c>
      <c r="T403" s="486">
        <f t="shared" si="284"/>
        <v>2037</v>
      </c>
      <c r="U403" s="486">
        <f t="shared" si="284"/>
        <v>2038</v>
      </c>
      <c r="V403" s="486">
        <f t="shared" si="284"/>
        <v>2039</v>
      </c>
      <c r="W403" s="486">
        <f t="shared" si="284"/>
        <v>2040</v>
      </c>
      <c r="X403" s="486">
        <f t="shared" si="284"/>
        <v>2041</v>
      </c>
      <c r="Y403" s="486">
        <f t="shared" si="284"/>
        <v>2042</v>
      </c>
      <c r="Z403" s="486">
        <f t="shared" si="284"/>
        <v>2043</v>
      </c>
      <c r="AA403" s="486">
        <f t="shared" si="284"/>
        <v>2044</v>
      </c>
      <c r="AB403" s="486">
        <f t="shared" si="284"/>
        <v>2045</v>
      </c>
      <c r="AC403" s="486">
        <f t="shared" si="284"/>
        <v>2046</v>
      </c>
      <c r="AD403" s="486">
        <f t="shared" si="284"/>
        <v>2047</v>
      </c>
      <c r="AE403" s="486">
        <f t="shared" si="284"/>
        <v>2048</v>
      </c>
      <c r="AF403" s="486">
        <f t="shared" si="284"/>
        <v>2049</v>
      </c>
      <c r="AG403" s="486">
        <f t="shared" si="284"/>
        <v>2050</v>
      </c>
      <c r="AH403" s="524">
        <f>AG403+1</f>
        <v>2051</v>
      </c>
      <c r="AI403" s="524">
        <f t="shared" ref="AI403:CE403" si="285">AH403+1</f>
        <v>2052</v>
      </c>
      <c r="AJ403" s="524">
        <f t="shared" si="285"/>
        <v>2053</v>
      </c>
      <c r="AK403" s="524">
        <f t="shared" si="285"/>
        <v>2054</v>
      </c>
      <c r="AL403" s="524">
        <f t="shared" si="285"/>
        <v>2055</v>
      </c>
      <c r="AM403" s="524">
        <f t="shared" si="285"/>
        <v>2056</v>
      </c>
      <c r="AN403" s="524">
        <f t="shared" si="285"/>
        <v>2057</v>
      </c>
      <c r="AO403" s="524">
        <f t="shared" si="285"/>
        <v>2058</v>
      </c>
      <c r="AP403" s="524">
        <f t="shared" si="285"/>
        <v>2059</v>
      </c>
      <c r="AQ403" s="524">
        <f t="shared" si="285"/>
        <v>2060</v>
      </c>
      <c r="AR403" s="524">
        <f t="shared" si="285"/>
        <v>2061</v>
      </c>
      <c r="AS403" s="524">
        <f t="shared" si="285"/>
        <v>2062</v>
      </c>
      <c r="AT403" s="524">
        <f t="shared" si="285"/>
        <v>2063</v>
      </c>
      <c r="AU403" s="524">
        <f t="shared" si="285"/>
        <v>2064</v>
      </c>
      <c r="AV403" s="524">
        <f t="shared" si="285"/>
        <v>2065</v>
      </c>
      <c r="AW403" s="524">
        <f t="shared" si="285"/>
        <v>2066</v>
      </c>
      <c r="AX403" s="524">
        <f t="shared" si="285"/>
        <v>2067</v>
      </c>
      <c r="AY403" s="524">
        <f t="shared" si="285"/>
        <v>2068</v>
      </c>
      <c r="AZ403" s="524">
        <f t="shared" si="285"/>
        <v>2069</v>
      </c>
      <c r="BA403" s="524">
        <f t="shared" si="285"/>
        <v>2070</v>
      </c>
      <c r="BB403" s="524">
        <f t="shared" si="285"/>
        <v>2071</v>
      </c>
      <c r="BC403" s="524">
        <f t="shared" si="285"/>
        <v>2072</v>
      </c>
      <c r="BD403" s="524">
        <f t="shared" si="285"/>
        <v>2073</v>
      </c>
      <c r="BE403" s="524">
        <f t="shared" si="285"/>
        <v>2074</v>
      </c>
      <c r="BF403" s="524">
        <f t="shared" si="285"/>
        <v>2075</v>
      </c>
      <c r="BG403" s="524">
        <f t="shared" si="285"/>
        <v>2076</v>
      </c>
      <c r="BH403" s="524">
        <f t="shared" si="285"/>
        <v>2077</v>
      </c>
      <c r="BI403" s="524">
        <f t="shared" si="285"/>
        <v>2078</v>
      </c>
      <c r="BJ403" s="524">
        <f t="shared" si="285"/>
        <v>2079</v>
      </c>
      <c r="BK403" s="524">
        <f t="shared" si="285"/>
        <v>2080</v>
      </c>
      <c r="BL403" s="524">
        <f t="shared" si="285"/>
        <v>2081</v>
      </c>
      <c r="BM403" s="524">
        <f t="shared" si="285"/>
        <v>2082</v>
      </c>
      <c r="BN403" s="524">
        <f t="shared" si="285"/>
        <v>2083</v>
      </c>
      <c r="BO403" s="524">
        <f t="shared" si="285"/>
        <v>2084</v>
      </c>
      <c r="BP403" s="524">
        <f t="shared" si="285"/>
        <v>2085</v>
      </c>
      <c r="BQ403" s="524">
        <f t="shared" si="285"/>
        <v>2086</v>
      </c>
      <c r="BR403" s="524">
        <f t="shared" si="285"/>
        <v>2087</v>
      </c>
      <c r="BS403" s="524">
        <f t="shared" si="285"/>
        <v>2088</v>
      </c>
      <c r="BT403" s="524">
        <f t="shared" si="285"/>
        <v>2089</v>
      </c>
      <c r="BU403" s="524">
        <f t="shared" si="285"/>
        <v>2090</v>
      </c>
      <c r="BV403" s="524">
        <f t="shared" si="285"/>
        <v>2091</v>
      </c>
      <c r="BW403" s="524">
        <f t="shared" si="285"/>
        <v>2092</v>
      </c>
      <c r="BX403" s="524">
        <f t="shared" si="285"/>
        <v>2093</v>
      </c>
      <c r="BY403" s="524">
        <f t="shared" si="285"/>
        <v>2094</v>
      </c>
      <c r="BZ403" s="524">
        <f t="shared" si="285"/>
        <v>2095</v>
      </c>
      <c r="CA403" s="524">
        <f t="shared" si="285"/>
        <v>2096</v>
      </c>
      <c r="CB403" s="524">
        <f t="shared" si="285"/>
        <v>2097</v>
      </c>
      <c r="CC403" s="524">
        <f t="shared" si="285"/>
        <v>2098</v>
      </c>
      <c r="CD403" s="524">
        <f t="shared" si="285"/>
        <v>2099</v>
      </c>
      <c r="CE403" s="524">
        <f t="shared" si="285"/>
        <v>2100</v>
      </c>
      <c r="CG403" s="486">
        <v>2023</v>
      </c>
      <c r="CH403" s="486">
        <v>2024</v>
      </c>
      <c r="CI403" s="486">
        <v>2025</v>
      </c>
      <c r="CJ403" s="486">
        <v>2026</v>
      </c>
      <c r="CK403" s="486">
        <v>2027</v>
      </c>
      <c r="CL403" s="486">
        <v>2028</v>
      </c>
      <c r="CM403" s="486">
        <v>2029</v>
      </c>
      <c r="CN403" s="486">
        <v>2030</v>
      </c>
      <c r="CO403" s="486">
        <v>2031</v>
      </c>
      <c r="CP403" s="486">
        <v>2032</v>
      </c>
      <c r="CQ403" s="486">
        <v>2033</v>
      </c>
      <c r="CR403" s="486">
        <v>2034</v>
      </c>
      <c r="CS403" s="486">
        <v>2035</v>
      </c>
      <c r="CT403" s="486">
        <v>2036</v>
      </c>
      <c r="CU403" s="486">
        <v>2037</v>
      </c>
      <c r="CV403" s="486">
        <v>2038</v>
      </c>
      <c r="CW403" s="486">
        <v>2039</v>
      </c>
      <c r="CX403" s="486">
        <v>2040</v>
      </c>
      <c r="CY403" s="486">
        <v>2041</v>
      </c>
      <c r="CZ403" s="486">
        <v>2042</v>
      </c>
      <c r="DA403" s="486">
        <v>2043</v>
      </c>
      <c r="DB403" s="486">
        <v>2044</v>
      </c>
      <c r="DC403" s="486">
        <v>2045</v>
      </c>
      <c r="DD403" s="486">
        <v>2046</v>
      </c>
      <c r="DE403" s="486">
        <v>2047</v>
      </c>
      <c r="DF403" s="486">
        <v>2048</v>
      </c>
      <c r="DG403" s="486">
        <v>2049</v>
      </c>
      <c r="DH403" s="486">
        <v>2050</v>
      </c>
    </row>
    <row r="404" spans="2:112">
      <c r="B404" t="s">
        <v>1258</v>
      </c>
      <c r="C404" t="s">
        <v>1257</v>
      </c>
      <c r="D404" t="s">
        <v>879</v>
      </c>
      <c r="E404" t="s">
        <v>737</v>
      </c>
      <c r="F404" s="525">
        <v>3500</v>
      </c>
      <c r="G404" s="525">
        <v>3500</v>
      </c>
      <c r="H404" s="525">
        <v>3500</v>
      </c>
      <c r="I404" s="525">
        <v>3500</v>
      </c>
      <c r="J404" s="525">
        <v>3500</v>
      </c>
      <c r="K404" s="525">
        <v>3500</v>
      </c>
      <c r="L404" s="525">
        <v>3500</v>
      </c>
      <c r="M404" s="525">
        <v>3500</v>
      </c>
      <c r="N404" s="525">
        <v>3500</v>
      </c>
      <c r="O404" s="525">
        <v>3500</v>
      </c>
      <c r="P404" s="525">
        <v>3500</v>
      </c>
      <c r="Q404" s="525">
        <v>3500</v>
      </c>
      <c r="R404" s="525">
        <v>3500</v>
      </c>
      <c r="S404" s="525">
        <v>3500</v>
      </c>
      <c r="T404" s="525">
        <v>3500</v>
      </c>
      <c r="U404" s="525">
        <v>3500</v>
      </c>
      <c r="V404" s="525">
        <v>3500</v>
      </c>
      <c r="W404" s="525">
        <v>3500</v>
      </c>
      <c r="X404" s="525">
        <v>3500</v>
      </c>
      <c r="Y404" s="525">
        <v>3500</v>
      </c>
      <c r="Z404" s="525">
        <v>3500</v>
      </c>
      <c r="AA404" s="525">
        <v>3500</v>
      </c>
      <c r="AB404" s="525">
        <v>3500</v>
      </c>
      <c r="AC404" s="525">
        <v>3500</v>
      </c>
      <c r="AD404" s="525">
        <v>3500</v>
      </c>
      <c r="AE404" s="525">
        <v>3500</v>
      </c>
      <c r="AF404" s="525">
        <v>3500</v>
      </c>
      <c r="AG404" s="525">
        <v>3500</v>
      </c>
      <c r="AH404" s="526">
        <f>AG404</f>
        <v>3500</v>
      </c>
      <c r="AI404" s="526">
        <f t="shared" ref="AI404:AX404" si="286">AH404</f>
        <v>3500</v>
      </c>
      <c r="AJ404" s="526">
        <f t="shared" si="286"/>
        <v>3500</v>
      </c>
      <c r="AK404" s="526">
        <f t="shared" si="286"/>
        <v>3500</v>
      </c>
      <c r="AL404" s="526">
        <f t="shared" si="286"/>
        <v>3500</v>
      </c>
      <c r="AM404" s="526">
        <f t="shared" si="286"/>
        <v>3500</v>
      </c>
      <c r="AN404" s="526">
        <f t="shared" si="286"/>
        <v>3500</v>
      </c>
      <c r="AO404" s="526">
        <f t="shared" si="286"/>
        <v>3500</v>
      </c>
      <c r="AP404" s="526">
        <f t="shared" si="286"/>
        <v>3500</v>
      </c>
      <c r="AQ404" s="526">
        <f t="shared" si="286"/>
        <v>3500</v>
      </c>
      <c r="AR404" s="526">
        <f t="shared" si="286"/>
        <v>3500</v>
      </c>
      <c r="AS404" s="526">
        <f t="shared" si="286"/>
        <v>3500</v>
      </c>
      <c r="AT404" s="526">
        <f t="shared" si="286"/>
        <v>3500</v>
      </c>
      <c r="AU404" s="526">
        <f t="shared" si="286"/>
        <v>3500</v>
      </c>
      <c r="AV404" s="526">
        <f t="shared" si="286"/>
        <v>3500</v>
      </c>
      <c r="AW404" s="526">
        <f t="shared" si="286"/>
        <v>3500</v>
      </c>
      <c r="AX404" s="526">
        <f t="shared" si="286"/>
        <v>3500</v>
      </c>
      <c r="AY404" s="526">
        <f t="shared" ref="AY404:BN404" si="287">AX404</f>
        <v>3500</v>
      </c>
      <c r="AZ404" s="526">
        <f t="shared" si="287"/>
        <v>3500</v>
      </c>
      <c r="BA404" s="526">
        <f t="shared" si="287"/>
        <v>3500</v>
      </c>
      <c r="BB404" s="526">
        <f t="shared" si="287"/>
        <v>3500</v>
      </c>
      <c r="BC404" s="526">
        <f t="shared" si="287"/>
        <v>3500</v>
      </c>
      <c r="BD404" s="526">
        <f t="shared" si="287"/>
        <v>3500</v>
      </c>
      <c r="BE404" s="526">
        <f t="shared" si="287"/>
        <v>3500</v>
      </c>
      <c r="BF404" s="526">
        <f t="shared" si="287"/>
        <v>3500</v>
      </c>
      <c r="BG404" s="526">
        <f t="shared" si="287"/>
        <v>3500</v>
      </c>
      <c r="BH404" s="526">
        <f t="shared" si="287"/>
        <v>3500</v>
      </c>
      <c r="BI404" s="526">
        <f t="shared" si="287"/>
        <v>3500</v>
      </c>
      <c r="BJ404" s="526">
        <f t="shared" si="287"/>
        <v>3500</v>
      </c>
      <c r="BK404" s="526">
        <f t="shared" si="287"/>
        <v>3500</v>
      </c>
      <c r="BL404" s="526">
        <f t="shared" si="287"/>
        <v>3500</v>
      </c>
      <c r="BM404" s="526">
        <f t="shared" si="287"/>
        <v>3500</v>
      </c>
      <c r="BN404" s="526">
        <f t="shared" si="287"/>
        <v>3500</v>
      </c>
      <c r="BO404" s="526">
        <f t="shared" ref="BO404:CD404" si="288">BN404</f>
        <v>3500</v>
      </c>
      <c r="BP404" s="526">
        <f t="shared" si="288"/>
        <v>3500</v>
      </c>
      <c r="BQ404" s="526">
        <f t="shared" si="288"/>
        <v>3500</v>
      </c>
      <c r="BR404" s="526">
        <f t="shared" si="288"/>
        <v>3500</v>
      </c>
      <c r="BS404" s="526">
        <f t="shared" si="288"/>
        <v>3500</v>
      </c>
      <c r="BT404" s="526">
        <f t="shared" si="288"/>
        <v>3500</v>
      </c>
      <c r="BU404" s="526">
        <f t="shared" si="288"/>
        <v>3500</v>
      </c>
      <c r="BV404" s="526">
        <f t="shared" si="288"/>
        <v>3500</v>
      </c>
      <c r="BW404" s="526">
        <f t="shared" si="288"/>
        <v>3500</v>
      </c>
      <c r="BX404" s="526">
        <f t="shared" si="288"/>
        <v>3500</v>
      </c>
      <c r="BY404" s="526">
        <f t="shared" si="288"/>
        <v>3500</v>
      </c>
      <c r="BZ404" s="526">
        <f t="shared" si="288"/>
        <v>3500</v>
      </c>
      <c r="CA404" s="526">
        <f t="shared" si="288"/>
        <v>3500</v>
      </c>
      <c r="CB404" s="526">
        <f t="shared" si="288"/>
        <v>3500</v>
      </c>
      <c r="CC404" s="526">
        <f t="shared" si="288"/>
        <v>3500</v>
      </c>
      <c r="CD404" s="526">
        <f t="shared" si="288"/>
        <v>3500</v>
      </c>
      <c r="CE404" s="526">
        <f t="shared" ref="AX404:CE412" si="289">CD404</f>
        <v>3500</v>
      </c>
      <c r="CG404" s="536">
        <v>3500</v>
      </c>
      <c r="CH404" s="536">
        <v>3500</v>
      </c>
      <c r="CI404" s="536">
        <v>3500</v>
      </c>
      <c r="CJ404" s="536">
        <v>3500</v>
      </c>
      <c r="CK404" s="536">
        <v>3500</v>
      </c>
      <c r="CL404" s="536">
        <v>3500</v>
      </c>
      <c r="CM404" s="536">
        <v>3500</v>
      </c>
      <c r="CN404" s="536">
        <v>3500</v>
      </c>
      <c r="CO404" s="536">
        <v>3500</v>
      </c>
      <c r="CP404" s="536">
        <v>3500</v>
      </c>
      <c r="CQ404" s="536">
        <v>3500</v>
      </c>
      <c r="CR404" s="536">
        <v>3500</v>
      </c>
      <c r="CS404" s="536">
        <v>3500</v>
      </c>
      <c r="CT404" s="536">
        <v>3500</v>
      </c>
      <c r="CU404" s="536">
        <v>3500</v>
      </c>
      <c r="CV404" s="536">
        <v>3500</v>
      </c>
      <c r="CW404" s="536">
        <v>3500</v>
      </c>
      <c r="CX404" s="536">
        <v>3500</v>
      </c>
      <c r="CY404" s="536">
        <v>3500</v>
      </c>
      <c r="CZ404" s="536">
        <v>3500</v>
      </c>
      <c r="DA404" s="536">
        <v>3500</v>
      </c>
      <c r="DB404" s="536">
        <v>3500</v>
      </c>
      <c r="DC404" s="536">
        <v>3500</v>
      </c>
      <c r="DD404" s="536">
        <v>3500</v>
      </c>
      <c r="DE404" s="536">
        <v>3500</v>
      </c>
      <c r="DF404" s="536">
        <v>3500</v>
      </c>
      <c r="DG404" s="536">
        <v>3500</v>
      </c>
      <c r="DH404" s="536">
        <v>3500</v>
      </c>
    </row>
    <row r="405" spans="2:112">
      <c r="B405" t="s">
        <v>1259</v>
      </c>
      <c r="C405" t="s">
        <v>1257</v>
      </c>
      <c r="D405" t="s">
        <v>695</v>
      </c>
      <c r="E405" t="s">
        <v>881</v>
      </c>
      <c r="F405" s="525">
        <v>80</v>
      </c>
      <c r="G405" s="525">
        <v>80</v>
      </c>
      <c r="H405" s="525">
        <v>80</v>
      </c>
      <c r="I405" s="525">
        <v>80</v>
      </c>
      <c r="J405" s="525">
        <v>80</v>
      </c>
      <c r="K405" s="525">
        <v>80</v>
      </c>
      <c r="L405" s="525">
        <v>80</v>
      </c>
      <c r="M405" s="525">
        <v>80</v>
      </c>
      <c r="N405" s="525">
        <v>80</v>
      </c>
      <c r="O405" s="525">
        <v>80</v>
      </c>
      <c r="P405" s="525">
        <v>80</v>
      </c>
      <c r="Q405" s="525">
        <v>80</v>
      </c>
      <c r="R405" s="525">
        <v>80</v>
      </c>
      <c r="S405" s="525">
        <v>80</v>
      </c>
      <c r="T405" s="525">
        <v>80</v>
      </c>
      <c r="U405" s="525">
        <v>80</v>
      </c>
      <c r="V405" s="525">
        <v>80</v>
      </c>
      <c r="W405" s="525">
        <v>80</v>
      </c>
      <c r="X405" s="525">
        <v>80</v>
      </c>
      <c r="Y405" s="525">
        <v>80</v>
      </c>
      <c r="Z405" s="525">
        <v>80</v>
      </c>
      <c r="AA405" s="525">
        <v>80</v>
      </c>
      <c r="AB405" s="525">
        <v>80</v>
      </c>
      <c r="AC405" s="525">
        <v>80</v>
      </c>
      <c r="AD405" s="525">
        <v>80</v>
      </c>
      <c r="AE405" s="525">
        <v>80</v>
      </c>
      <c r="AF405" s="525">
        <v>80</v>
      </c>
      <c r="AG405" s="525">
        <v>80</v>
      </c>
      <c r="AH405" s="526">
        <f t="shared" ref="AH405:AW414" si="290">AG405</f>
        <v>80</v>
      </c>
      <c r="AI405" s="526">
        <f t="shared" si="290"/>
        <v>80</v>
      </c>
      <c r="AJ405" s="526">
        <f t="shared" si="290"/>
        <v>80</v>
      </c>
      <c r="AK405" s="526">
        <f t="shared" si="290"/>
        <v>80</v>
      </c>
      <c r="AL405" s="526">
        <f t="shared" si="290"/>
        <v>80</v>
      </c>
      <c r="AM405" s="526">
        <f t="shared" si="290"/>
        <v>80</v>
      </c>
      <c r="AN405" s="526">
        <f t="shared" si="290"/>
        <v>80</v>
      </c>
      <c r="AO405" s="526">
        <f t="shared" si="290"/>
        <v>80</v>
      </c>
      <c r="AP405" s="526">
        <f t="shared" si="290"/>
        <v>80</v>
      </c>
      <c r="AQ405" s="526">
        <f t="shared" si="290"/>
        <v>80</v>
      </c>
      <c r="AR405" s="526">
        <f t="shared" si="290"/>
        <v>80</v>
      </c>
      <c r="AS405" s="526">
        <f t="shared" si="290"/>
        <v>80</v>
      </c>
      <c r="AT405" s="526">
        <f t="shared" si="290"/>
        <v>80</v>
      </c>
      <c r="AU405" s="526">
        <f t="shared" si="290"/>
        <v>80</v>
      </c>
      <c r="AV405" s="526">
        <f t="shared" si="290"/>
        <v>80</v>
      </c>
      <c r="AW405" s="526">
        <f t="shared" si="290"/>
        <v>80</v>
      </c>
      <c r="AX405" s="526">
        <f t="shared" si="289"/>
        <v>80</v>
      </c>
      <c r="AY405" s="526">
        <f t="shared" si="289"/>
        <v>80</v>
      </c>
      <c r="AZ405" s="526">
        <f t="shared" si="289"/>
        <v>80</v>
      </c>
      <c r="BA405" s="526">
        <f t="shared" si="289"/>
        <v>80</v>
      </c>
      <c r="BB405" s="526">
        <f t="shared" si="289"/>
        <v>80</v>
      </c>
      <c r="BC405" s="526">
        <f t="shared" si="289"/>
        <v>80</v>
      </c>
      <c r="BD405" s="526">
        <f t="shared" si="289"/>
        <v>80</v>
      </c>
      <c r="BE405" s="526">
        <f t="shared" si="289"/>
        <v>80</v>
      </c>
      <c r="BF405" s="526">
        <f t="shared" si="289"/>
        <v>80</v>
      </c>
      <c r="BG405" s="526">
        <f t="shared" si="289"/>
        <v>80</v>
      </c>
      <c r="BH405" s="526">
        <f t="shared" si="289"/>
        <v>80</v>
      </c>
      <c r="BI405" s="526">
        <f t="shared" si="289"/>
        <v>80</v>
      </c>
      <c r="BJ405" s="526">
        <f t="shared" si="289"/>
        <v>80</v>
      </c>
      <c r="BK405" s="526">
        <f t="shared" si="289"/>
        <v>80</v>
      </c>
      <c r="BL405" s="526">
        <f t="shared" si="289"/>
        <v>80</v>
      </c>
      <c r="BM405" s="526">
        <f t="shared" si="289"/>
        <v>80</v>
      </c>
      <c r="BN405" s="526">
        <f t="shared" si="289"/>
        <v>80</v>
      </c>
      <c r="BO405" s="526">
        <f t="shared" si="289"/>
        <v>80</v>
      </c>
      <c r="BP405" s="526">
        <f t="shared" si="289"/>
        <v>80</v>
      </c>
      <c r="BQ405" s="526">
        <f t="shared" si="289"/>
        <v>80</v>
      </c>
      <c r="BR405" s="526">
        <f t="shared" si="289"/>
        <v>80</v>
      </c>
      <c r="BS405" s="526">
        <f t="shared" si="289"/>
        <v>80</v>
      </c>
      <c r="BT405" s="526">
        <f t="shared" si="289"/>
        <v>80</v>
      </c>
      <c r="BU405" s="526">
        <f t="shared" si="289"/>
        <v>80</v>
      </c>
      <c r="BV405" s="526">
        <f t="shared" si="289"/>
        <v>80</v>
      </c>
      <c r="BW405" s="526">
        <f t="shared" si="289"/>
        <v>80</v>
      </c>
      <c r="BX405" s="526">
        <f t="shared" si="289"/>
        <v>80</v>
      </c>
      <c r="BY405" s="526">
        <f t="shared" si="289"/>
        <v>80</v>
      </c>
      <c r="BZ405" s="526">
        <f t="shared" si="289"/>
        <v>80</v>
      </c>
      <c r="CA405" s="526">
        <f t="shared" si="289"/>
        <v>80</v>
      </c>
      <c r="CB405" s="526">
        <f t="shared" si="289"/>
        <v>80</v>
      </c>
      <c r="CC405" s="526">
        <f t="shared" si="289"/>
        <v>80</v>
      </c>
      <c r="CD405" s="526">
        <f t="shared" si="289"/>
        <v>80</v>
      </c>
      <c r="CE405" s="526">
        <f t="shared" si="289"/>
        <v>80</v>
      </c>
      <c r="CG405" s="536">
        <v>80</v>
      </c>
      <c r="CH405" s="536">
        <v>80</v>
      </c>
      <c r="CI405" s="536">
        <v>80</v>
      </c>
      <c r="CJ405" s="536">
        <v>80</v>
      </c>
      <c r="CK405" s="536">
        <v>80</v>
      </c>
      <c r="CL405" s="536">
        <v>80</v>
      </c>
      <c r="CM405" s="536">
        <v>80</v>
      </c>
      <c r="CN405" s="536">
        <v>80</v>
      </c>
      <c r="CO405" s="536">
        <v>80</v>
      </c>
      <c r="CP405" s="536">
        <v>80</v>
      </c>
      <c r="CQ405" s="536">
        <v>80</v>
      </c>
      <c r="CR405" s="536">
        <v>80</v>
      </c>
      <c r="CS405" s="536">
        <v>80</v>
      </c>
      <c r="CT405" s="536">
        <v>80</v>
      </c>
      <c r="CU405" s="536">
        <v>80</v>
      </c>
      <c r="CV405" s="536">
        <v>80</v>
      </c>
      <c r="CW405" s="536">
        <v>80</v>
      </c>
      <c r="CX405" s="536">
        <v>80</v>
      </c>
      <c r="CY405" s="536">
        <v>80</v>
      </c>
      <c r="CZ405" s="536">
        <v>80</v>
      </c>
      <c r="DA405" s="536">
        <v>80</v>
      </c>
      <c r="DB405" s="536">
        <v>80</v>
      </c>
      <c r="DC405" s="536">
        <v>80</v>
      </c>
      <c r="DD405" s="536">
        <v>80</v>
      </c>
      <c r="DE405" s="536">
        <v>80</v>
      </c>
      <c r="DF405" s="536">
        <v>80</v>
      </c>
      <c r="DG405" s="536">
        <v>80</v>
      </c>
      <c r="DH405" s="536">
        <v>80</v>
      </c>
    </row>
    <row r="406" spans="2:112">
      <c r="B406" t="s">
        <v>1260</v>
      </c>
      <c r="C406" t="s">
        <v>1257</v>
      </c>
      <c r="D406" t="s">
        <v>883</v>
      </c>
      <c r="E406" t="s">
        <v>884</v>
      </c>
      <c r="F406" s="525">
        <v>10</v>
      </c>
      <c r="G406" s="525">
        <v>10</v>
      </c>
      <c r="H406" s="525">
        <v>10</v>
      </c>
      <c r="I406" s="525">
        <v>10</v>
      </c>
      <c r="J406" s="525">
        <v>10</v>
      </c>
      <c r="K406" s="525">
        <v>10</v>
      </c>
      <c r="L406" s="525">
        <v>10</v>
      </c>
      <c r="M406" s="525">
        <v>10</v>
      </c>
      <c r="N406" s="525">
        <v>10</v>
      </c>
      <c r="O406" s="525">
        <v>10</v>
      </c>
      <c r="P406" s="525">
        <v>10</v>
      </c>
      <c r="Q406" s="525">
        <v>10</v>
      </c>
      <c r="R406" s="525">
        <v>10</v>
      </c>
      <c r="S406" s="525">
        <v>10</v>
      </c>
      <c r="T406" s="525">
        <v>10</v>
      </c>
      <c r="U406" s="525">
        <v>10</v>
      </c>
      <c r="V406" s="525">
        <v>10</v>
      </c>
      <c r="W406" s="525">
        <v>10</v>
      </c>
      <c r="X406" s="525">
        <v>10</v>
      </c>
      <c r="Y406" s="525">
        <v>10</v>
      </c>
      <c r="Z406" s="525">
        <v>10</v>
      </c>
      <c r="AA406" s="525">
        <v>10</v>
      </c>
      <c r="AB406" s="525">
        <v>10</v>
      </c>
      <c r="AC406" s="525">
        <v>10</v>
      </c>
      <c r="AD406" s="525">
        <v>10</v>
      </c>
      <c r="AE406" s="525">
        <v>10</v>
      </c>
      <c r="AF406" s="525">
        <v>10</v>
      </c>
      <c r="AG406" s="525">
        <v>10</v>
      </c>
      <c r="AH406" s="526">
        <f t="shared" si="290"/>
        <v>10</v>
      </c>
      <c r="AI406" s="526">
        <f t="shared" si="290"/>
        <v>10</v>
      </c>
      <c r="AJ406" s="526">
        <f t="shared" si="290"/>
        <v>10</v>
      </c>
      <c r="AK406" s="526">
        <f t="shared" si="290"/>
        <v>10</v>
      </c>
      <c r="AL406" s="526">
        <f t="shared" si="290"/>
        <v>10</v>
      </c>
      <c r="AM406" s="526">
        <f t="shared" si="290"/>
        <v>10</v>
      </c>
      <c r="AN406" s="526">
        <f t="shared" si="290"/>
        <v>10</v>
      </c>
      <c r="AO406" s="526">
        <f t="shared" si="290"/>
        <v>10</v>
      </c>
      <c r="AP406" s="526">
        <f t="shared" si="290"/>
        <v>10</v>
      </c>
      <c r="AQ406" s="526">
        <f t="shared" si="290"/>
        <v>10</v>
      </c>
      <c r="AR406" s="526">
        <f t="shared" si="290"/>
        <v>10</v>
      </c>
      <c r="AS406" s="526">
        <f t="shared" si="290"/>
        <v>10</v>
      </c>
      <c r="AT406" s="526">
        <f t="shared" si="290"/>
        <v>10</v>
      </c>
      <c r="AU406" s="526">
        <f t="shared" si="290"/>
        <v>10</v>
      </c>
      <c r="AV406" s="526">
        <f t="shared" si="290"/>
        <v>10</v>
      </c>
      <c r="AW406" s="526">
        <f t="shared" si="290"/>
        <v>10</v>
      </c>
      <c r="AX406" s="526">
        <f t="shared" si="289"/>
        <v>10</v>
      </c>
      <c r="AY406" s="526">
        <f t="shared" si="289"/>
        <v>10</v>
      </c>
      <c r="AZ406" s="526">
        <f t="shared" si="289"/>
        <v>10</v>
      </c>
      <c r="BA406" s="526">
        <f t="shared" si="289"/>
        <v>10</v>
      </c>
      <c r="BB406" s="526">
        <f t="shared" si="289"/>
        <v>10</v>
      </c>
      <c r="BC406" s="526">
        <f t="shared" si="289"/>
        <v>10</v>
      </c>
      <c r="BD406" s="526">
        <f t="shared" si="289"/>
        <v>10</v>
      </c>
      <c r="BE406" s="526">
        <f t="shared" si="289"/>
        <v>10</v>
      </c>
      <c r="BF406" s="526">
        <f t="shared" si="289"/>
        <v>10</v>
      </c>
      <c r="BG406" s="526">
        <f t="shared" si="289"/>
        <v>10</v>
      </c>
      <c r="BH406" s="526">
        <f t="shared" si="289"/>
        <v>10</v>
      </c>
      <c r="BI406" s="526">
        <f t="shared" si="289"/>
        <v>10</v>
      </c>
      <c r="BJ406" s="526">
        <f t="shared" si="289"/>
        <v>10</v>
      </c>
      <c r="BK406" s="526">
        <f t="shared" si="289"/>
        <v>10</v>
      </c>
      <c r="BL406" s="526">
        <f t="shared" si="289"/>
        <v>10</v>
      </c>
      <c r="BM406" s="526">
        <f t="shared" si="289"/>
        <v>10</v>
      </c>
      <c r="BN406" s="526">
        <f t="shared" si="289"/>
        <v>10</v>
      </c>
      <c r="BO406" s="526">
        <f t="shared" si="289"/>
        <v>10</v>
      </c>
      <c r="BP406" s="526">
        <f t="shared" si="289"/>
        <v>10</v>
      </c>
      <c r="BQ406" s="526">
        <f t="shared" si="289"/>
        <v>10</v>
      </c>
      <c r="BR406" s="526">
        <f t="shared" si="289"/>
        <v>10</v>
      </c>
      <c r="BS406" s="526">
        <f t="shared" si="289"/>
        <v>10</v>
      </c>
      <c r="BT406" s="526">
        <f t="shared" si="289"/>
        <v>10</v>
      </c>
      <c r="BU406" s="526">
        <f t="shared" si="289"/>
        <v>10</v>
      </c>
      <c r="BV406" s="526">
        <f t="shared" si="289"/>
        <v>10</v>
      </c>
      <c r="BW406" s="526">
        <f t="shared" si="289"/>
        <v>10</v>
      </c>
      <c r="BX406" s="526">
        <f t="shared" si="289"/>
        <v>10</v>
      </c>
      <c r="BY406" s="526">
        <f t="shared" si="289"/>
        <v>10</v>
      </c>
      <c r="BZ406" s="526">
        <f t="shared" si="289"/>
        <v>10</v>
      </c>
      <c r="CA406" s="526">
        <f t="shared" si="289"/>
        <v>10</v>
      </c>
      <c r="CB406" s="526">
        <f t="shared" si="289"/>
        <v>10</v>
      </c>
      <c r="CC406" s="526">
        <f t="shared" si="289"/>
        <v>10</v>
      </c>
      <c r="CD406" s="526">
        <f t="shared" si="289"/>
        <v>10</v>
      </c>
      <c r="CE406" s="526">
        <f t="shared" si="289"/>
        <v>10</v>
      </c>
      <c r="CG406" s="536">
        <v>10</v>
      </c>
      <c r="CH406" s="536">
        <v>10</v>
      </c>
      <c r="CI406" s="536">
        <v>10</v>
      </c>
      <c r="CJ406" s="536">
        <v>10</v>
      </c>
      <c r="CK406" s="536">
        <v>10</v>
      </c>
      <c r="CL406" s="536">
        <v>10</v>
      </c>
      <c r="CM406" s="536">
        <v>10</v>
      </c>
      <c r="CN406" s="536">
        <v>10</v>
      </c>
      <c r="CO406" s="536">
        <v>10</v>
      </c>
      <c r="CP406" s="536">
        <v>10</v>
      </c>
      <c r="CQ406" s="536">
        <v>10</v>
      </c>
      <c r="CR406" s="536">
        <v>10</v>
      </c>
      <c r="CS406" s="536">
        <v>10</v>
      </c>
      <c r="CT406" s="536">
        <v>10</v>
      </c>
      <c r="CU406" s="536">
        <v>10</v>
      </c>
      <c r="CV406" s="536">
        <v>10</v>
      </c>
      <c r="CW406" s="536">
        <v>10</v>
      </c>
      <c r="CX406" s="536">
        <v>10</v>
      </c>
      <c r="CY406" s="536">
        <v>10</v>
      </c>
      <c r="CZ406" s="536">
        <v>10</v>
      </c>
      <c r="DA406" s="536">
        <v>10</v>
      </c>
      <c r="DB406" s="536">
        <v>10</v>
      </c>
      <c r="DC406" s="536">
        <v>10</v>
      </c>
      <c r="DD406" s="536">
        <v>10</v>
      </c>
      <c r="DE406" s="536">
        <v>10</v>
      </c>
      <c r="DF406" s="536">
        <v>10</v>
      </c>
      <c r="DG406" s="536">
        <v>10</v>
      </c>
      <c r="DH406" s="536">
        <v>10</v>
      </c>
    </row>
    <row r="407" spans="2:112">
      <c r="B407" t="s">
        <v>1261</v>
      </c>
      <c r="C407" t="s">
        <v>1257</v>
      </c>
      <c r="D407" t="s">
        <v>886</v>
      </c>
      <c r="E407" t="s">
        <v>178</v>
      </c>
      <c r="F407" s="537">
        <v>0.51</v>
      </c>
      <c r="G407" s="537">
        <v>0.51</v>
      </c>
      <c r="H407" s="537">
        <v>0.51</v>
      </c>
      <c r="I407" s="537">
        <v>0.51</v>
      </c>
      <c r="J407" s="537">
        <v>0.51</v>
      </c>
      <c r="K407" s="537">
        <v>0.51</v>
      </c>
      <c r="L407" s="537">
        <v>0.51</v>
      </c>
      <c r="M407" s="537">
        <v>0.51</v>
      </c>
      <c r="N407" s="537">
        <v>0.51</v>
      </c>
      <c r="O407" s="537">
        <v>0.51</v>
      </c>
      <c r="P407" s="537">
        <v>0.51</v>
      </c>
      <c r="Q407" s="537">
        <v>0.51</v>
      </c>
      <c r="R407" s="537">
        <v>0.51</v>
      </c>
      <c r="S407" s="537">
        <v>0.51</v>
      </c>
      <c r="T407" s="537">
        <v>0.51</v>
      </c>
      <c r="U407" s="537">
        <v>0.51</v>
      </c>
      <c r="V407" s="537">
        <v>0.51</v>
      </c>
      <c r="W407" s="537">
        <v>0.51</v>
      </c>
      <c r="X407" s="537">
        <v>0.51</v>
      </c>
      <c r="Y407" s="537">
        <v>0.51</v>
      </c>
      <c r="Z407" s="537">
        <v>0.51</v>
      </c>
      <c r="AA407" s="537">
        <v>0.51</v>
      </c>
      <c r="AB407" s="537">
        <v>0.51</v>
      </c>
      <c r="AC407" s="537">
        <v>0.51</v>
      </c>
      <c r="AD407" s="537">
        <v>0.51</v>
      </c>
      <c r="AE407" s="537">
        <v>0.51</v>
      </c>
      <c r="AF407" s="537">
        <v>0.51</v>
      </c>
      <c r="AG407" s="537">
        <v>0.51</v>
      </c>
      <c r="AH407" s="526">
        <f t="shared" si="290"/>
        <v>0.51</v>
      </c>
      <c r="AI407" s="526">
        <f t="shared" si="290"/>
        <v>0.51</v>
      </c>
      <c r="AJ407" s="526">
        <f t="shared" si="290"/>
        <v>0.51</v>
      </c>
      <c r="AK407" s="526">
        <f t="shared" si="290"/>
        <v>0.51</v>
      </c>
      <c r="AL407" s="526">
        <f t="shared" si="290"/>
        <v>0.51</v>
      </c>
      <c r="AM407" s="526">
        <f t="shared" si="290"/>
        <v>0.51</v>
      </c>
      <c r="AN407" s="526">
        <f t="shared" si="290"/>
        <v>0.51</v>
      </c>
      <c r="AO407" s="526">
        <f t="shared" si="290"/>
        <v>0.51</v>
      </c>
      <c r="AP407" s="526">
        <f t="shared" si="290"/>
        <v>0.51</v>
      </c>
      <c r="AQ407" s="526">
        <f t="shared" si="290"/>
        <v>0.51</v>
      </c>
      <c r="AR407" s="526">
        <f t="shared" si="290"/>
        <v>0.51</v>
      </c>
      <c r="AS407" s="526">
        <f t="shared" si="290"/>
        <v>0.51</v>
      </c>
      <c r="AT407" s="526">
        <f t="shared" si="290"/>
        <v>0.51</v>
      </c>
      <c r="AU407" s="526">
        <f t="shared" si="290"/>
        <v>0.51</v>
      </c>
      <c r="AV407" s="526">
        <f t="shared" si="290"/>
        <v>0.51</v>
      </c>
      <c r="AW407" s="526">
        <f t="shared" si="290"/>
        <v>0.51</v>
      </c>
      <c r="AX407" s="526">
        <f t="shared" si="289"/>
        <v>0.51</v>
      </c>
      <c r="AY407" s="526">
        <f t="shared" si="289"/>
        <v>0.51</v>
      </c>
      <c r="AZ407" s="526">
        <f t="shared" si="289"/>
        <v>0.51</v>
      </c>
      <c r="BA407" s="526">
        <f t="shared" si="289"/>
        <v>0.51</v>
      </c>
      <c r="BB407" s="526">
        <f t="shared" si="289"/>
        <v>0.51</v>
      </c>
      <c r="BC407" s="526">
        <f t="shared" si="289"/>
        <v>0.51</v>
      </c>
      <c r="BD407" s="526">
        <f t="shared" si="289"/>
        <v>0.51</v>
      </c>
      <c r="BE407" s="526">
        <f t="shared" si="289"/>
        <v>0.51</v>
      </c>
      <c r="BF407" s="526">
        <f t="shared" si="289"/>
        <v>0.51</v>
      </c>
      <c r="BG407" s="526">
        <f t="shared" si="289"/>
        <v>0.51</v>
      </c>
      <c r="BH407" s="526">
        <f t="shared" si="289"/>
        <v>0.51</v>
      </c>
      <c r="BI407" s="526">
        <f t="shared" si="289"/>
        <v>0.51</v>
      </c>
      <c r="BJ407" s="526">
        <f t="shared" si="289"/>
        <v>0.51</v>
      </c>
      <c r="BK407" s="526">
        <f t="shared" si="289"/>
        <v>0.51</v>
      </c>
      <c r="BL407" s="526">
        <f t="shared" si="289"/>
        <v>0.51</v>
      </c>
      <c r="BM407" s="526">
        <f t="shared" si="289"/>
        <v>0.51</v>
      </c>
      <c r="BN407" s="526">
        <f t="shared" si="289"/>
        <v>0.51</v>
      </c>
      <c r="BO407" s="526">
        <f t="shared" si="289"/>
        <v>0.51</v>
      </c>
      <c r="BP407" s="526">
        <f t="shared" si="289"/>
        <v>0.51</v>
      </c>
      <c r="BQ407" s="526">
        <f t="shared" si="289"/>
        <v>0.51</v>
      </c>
      <c r="BR407" s="526">
        <f t="shared" si="289"/>
        <v>0.51</v>
      </c>
      <c r="BS407" s="526">
        <f t="shared" si="289"/>
        <v>0.51</v>
      </c>
      <c r="BT407" s="526">
        <f t="shared" si="289"/>
        <v>0.51</v>
      </c>
      <c r="BU407" s="526">
        <f t="shared" si="289"/>
        <v>0.51</v>
      </c>
      <c r="BV407" s="526">
        <f t="shared" si="289"/>
        <v>0.51</v>
      </c>
      <c r="BW407" s="526">
        <f t="shared" si="289"/>
        <v>0.51</v>
      </c>
      <c r="BX407" s="526">
        <f t="shared" si="289"/>
        <v>0.51</v>
      </c>
      <c r="BY407" s="526">
        <f t="shared" si="289"/>
        <v>0.51</v>
      </c>
      <c r="BZ407" s="526">
        <f t="shared" si="289"/>
        <v>0.51</v>
      </c>
      <c r="CA407" s="526">
        <f t="shared" si="289"/>
        <v>0.51</v>
      </c>
      <c r="CB407" s="526">
        <f t="shared" si="289"/>
        <v>0.51</v>
      </c>
      <c r="CC407" s="526">
        <f t="shared" si="289"/>
        <v>0.51</v>
      </c>
      <c r="CD407" s="526">
        <f t="shared" si="289"/>
        <v>0.51</v>
      </c>
      <c r="CE407" s="526">
        <f t="shared" si="289"/>
        <v>0.51</v>
      </c>
      <c r="CG407" s="537">
        <v>0.51</v>
      </c>
      <c r="CH407" s="537">
        <v>0.51</v>
      </c>
      <c r="CI407" s="537">
        <v>0.51</v>
      </c>
      <c r="CJ407" s="537">
        <v>0.51</v>
      </c>
      <c r="CK407" s="537">
        <v>0.51</v>
      </c>
      <c r="CL407" s="537">
        <v>0.51</v>
      </c>
      <c r="CM407" s="537">
        <v>0.51</v>
      </c>
      <c r="CN407" s="537">
        <v>0.51</v>
      </c>
      <c r="CO407" s="537">
        <v>0.51</v>
      </c>
      <c r="CP407" s="537">
        <v>0.51</v>
      </c>
      <c r="CQ407" s="537">
        <v>0.51</v>
      </c>
      <c r="CR407" s="537">
        <v>0.51</v>
      </c>
      <c r="CS407" s="537">
        <v>0.51</v>
      </c>
      <c r="CT407" s="537">
        <v>0.51</v>
      </c>
      <c r="CU407" s="537">
        <v>0.51</v>
      </c>
      <c r="CV407" s="537">
        <v>0.51</v>
      </c>
      <c r="CW407" s="537">
        <v>0.51</v>
      </c>
      <c r="CX407" s="537">
        <v>0.51</v>
      </c>
      <c r="CY407" s="537">
        <v>0.51</v>
      </c>
      <c r="CZ407" s="537">
        <v>0.51</v>
      </c>
      <c r="DA407" s="537">
        <v>0.51</v>
      </c>
      <c r="DB407" s="537">
        <v>0.51</v>
      </c>
      <c r="DC407" s="537">
        <v>0.51</v>
      </c>
      <c r="DD407" s="537">
        <v>0.51</v>
      </c>
      <c r="DE407" s="537">
        <v>0.51</v>
      </c>
      <c r="DF407" s="537">
        <v>0.51</v>
      </c>
      <c r="DG407" s="537">
        <v>0.51</v>
      </c>
      <c r="DH407" s="537">
        <v>0.51</v>
      </c>
    </row>
    <row r="408" spans="2:112">
      <c r="B408" t="s">
        <v>1262</v>
      </c>
      <c r="C408" t="s">
        <v>1257</v>
      </c>
      <c r="D408" t="s">
        <v>888</v>
      </c>
      <c r="E408" t="s">
        <v>178</v>
      </c>
      <c r="F408" s="537">
        <v>0.51</v>
      </c>
      <c r="G408" s="537">
        <v>0.51</v>
      </c>
      <c r="H408" s="537">
        <v>0.51</v>
      </c>
      <c r="I408" s="537">
        <v>0.51</v>
      </c>
      <c r="J408" s="537">
        <v>0.51</v>
      </c>
      <c r="K408" s="537">
        <v>0.51</v>
      </c>
      <c r="L408" s="537">
        <v>0.51</v>
      </c>
      <c r="M408" s="537">
        <v>0.51</v>
      </c>
      <c r="N408" s="537">
        <v>0.51</v>
      </c>
      <c r="O408" s="537">
        <v>0.51</v>
      </c>
      <c r="P408" s="537">
        <v>0.51</v>
      </c>
      <c r="Q408" s="537">
        <v>0.51</v>
      </c>
      <c r="R408" s="537">
        <v>0.51</v>
      </c>
      <c r="S408" s="537">
        <v>0.51</v>
      </c>
      <c r="T408" s="537">
        <v>0.51</v>
      </c>
      <c r="U408" s="537">
        <v>0.51</v>
      </c>
      <c r="V408" s="537">
        <v>0.51</v>
      </c>
      <c r="W408" s="537">
        <v>0.51</v>
      </c>
      <c r="X408" s="537">
        <v>0.51</v>
      </c>
      <c r="Y408" s="537">
        <v>0.51</v>
      </c>
      <c r="Z408" s="537">
        <v>0.51</v>
      </c>
      <c r="AA408" s="537">
        <v>0.51</v>
      </c>
      <c r="AB408" s="537">
        <v>0.51</v>
      </c>
      <c r="AC408" s="537">
        <v>0.51</v>
      </c>
      <c r="AD408" s="537">
        <v>0.51</v>
      </c>
      <c r="AE408" s="537">
        <v>0.51</v>
      </c>
      <c r="AF408" s="537">
        <v>0.51</v>
      </c>
      <c r="AG408" s="537">
        <v>0.51</v>
      </c>
      <c r="AH408" s="526">
        <f t="shared" si="290"/>
        <v>0.51</v>
      </c>
      <c r="AI408" s="526">
        <f t="shared" si="290"/>
        <v>0.51</v>
      </c>
      <c r="AJ408" s="526">
        <f t="shared" si="290"/>
        <v>0.51</v>
      </c>
      <c r="AK408" s="526">
        <f t="shared" si="290"/>
        <v>0.51</v>
      </c>
      <c r="AL408" s="526">
        <f t="shared" si="290"/>
        <v>0.51</v>
      </c>
      <c r="AM408" s="526">
        <f t="shared" si="290"/>
        <v>0.51</v>
      </c>
      <c r="AN408" s="526">
        <f t="shared" si="290"/>
        <v>0.51</v>
      </c>
      <c r="AO408" s="526">
        <f t="shared" si="290"/>
        <v>0.51</v>
      </c>
      <c r="AP408" s="526">
        <f t="shared" si="290"/>
        <v>0.51</v>
      </c>
      <c r="AQ408" s="526">
        <f t="shared" si="290"/>
        <v>0.51</v>
      </c>
      <c r="AR408" s="526">
        <f t="shared" si="290"/>
        <v>0.51</v>
      </c>
      <c r="AS408" s="526">
        <f t="shared" si="290"/>
        <v>0.51</v>
      </c>
      <c r="AT408" s="526">
        <f t="shared" si="290"/>
        <v>0.51</v>
      </c>
      <c r="AU408" s="526">
        <f t="shared" si="290"/>
        <v>0.51</v>
      </c>
      <c r="AV408" s="526">
        <f t="shared" si="290"/>
        <v>0.51</v>
      </c>
      <c r="AW408" s="526">
        <f t="shared" si="290"/>
        <v>0.51</v>
      </c>
      <c r="AX408" s="526">
        <f t="shared" si="289"/>
        <v>0.51</v>
      </c>
      <c r="AY408" s="526">
        <f t="shared" si="289"/>
        <v>0.51</v>
      </c>
      <c r="AZ408" s="526">
        <f t="shared" si="289"/>
        <v>0.51</v>
      </c>
      <c r="BA408" s="526">
        <f t="shared" si="289"/>
        <v>0.51</v>
      </c>
      <c r="BB408" s="526">
        <f t="shared" si="289"/>
        <v>0.51</v>
      </c>
      <c r="BC408" s="526">
        <f t="shared" si="289"/>
        <v>0.51</v>
      </c>
      <c r="BD408" s="526">
        <f t="shared" si="289"/>
        <v>0.51</v>
      </c>
      <c r="BE408" s="526">
        <f t="shared" si="289"/>
        <v>0.51</v>
      </c>
      <c r="BF408" s="526">
        <f t="shared" si="289"/>
        <v>0.51</v>
      </c>
      <c r="BG408" s="526">
        <f t="shared" si="289"/>
        <v>0.51</v>
      </c>
      <c r="BH408" s="526">
        <f t="shared" si="289"/>
        <v>0.51</v>
      </c>
      <c r="BI408" s="526">
        <f t="shared" si="289"/>
        <v>0.51</v>
      </c>
      <c r="BJ408" s="526">
        <f t="shared" si="289"/>
        <v>0.51</v>
      </c>
      <c r="BK408" s="526">
        <f t="shared" si="289"/>
        <v>0.51</v>
      </c>
      <c r="BL408" s="526">
        <f t="shared" si="289"/>
        <v>0.51</v>
      </c>
      <c r="BM408" s="526">
        <f t="shared" si="289"/>
        <v>0.51</v>
      </c>
      <c r="BN408" s="526">
        <f t="shared" si="289"/>
        <v>0.51</v>
      </c>
      <c r="BO408" s="526">
        <f t="shared" si="289"/>
        <v>0.51</v>
      </c>
      <c r="BP408" s="526">
        <f t="shared" si="289"/>
        <v>0.51</v>
      </c>
      <c r="BQ408" s="526">
        <f t="shared" si="289"/>
        <v>0.51</v>
      </c>
      <c r="BR408" s="526">
        <f t="shared" si="289"/>
        <v>0.51</v>
      </c>
      <c r="BS408" s="526">
        <f t="shared" si="289"/>
        <v>0.51</v>
      </c>
      <c r="BT408" s="526">
        <f t="shared" si="289"/>
        <v>0.51</v>
      </c>
      <c r="BU408" s="526">
        <f t="shared" si="289"/>
        <v>0.51</v>
      </c>
      <c r="BV408" s="526">
        <f t="shared" si="289"/>
        <v>0.51</v>
      </c>
      <c r="BW408" s="526">
        <f t="shared" si="289"/>
        <v>0.51</v>
      </c>
      <c r="BX408" s="526">
        <f t="shared" si="289"/>
        <v>0.51</v>
      </c>
      <c r="BY408" s="526">
        <f t="shared" si="289"/>
        <v>0.51</v>
      </c>
      <c r="BZ408" s="526">
        <f t="shared" si="289"/>
        <v>0.51</v>
      </c>
      <c r="CA408" s="526">
        <f t="shared" si="289"/>
        <v>0.51</v>
      </c>
      <c r="CB408" s="526">
        <f t="shared" si="289"/>
        <v>0.51</v>
      </c>
      <c r="CC408" s="526">
        <f t="shared" si="289"/>
        <v>0.51</v>
      </c>
      <c r="CD408" s="526">
        <f t="shared" si="289"/>
        <v>0.51</v>
      </c>
      <c r="CE408" s="526">
        <f t="shared" si="289"/>
        <v>0.51</v>
      </c>
      <c r="CG408" s="537">
        <v>0.51</v>
      </c>
      <c r="CH408" s="537">
        <v>0.51</v>
      </c>
      <c r="CI408" s="537">
        <v>0.51</v>
      </c>
      <c r="CJ408" s="537">
        <v>0.51</v>
      </c>
      <c r="CK408" s="537">
        <v>0.51</v>
      </c>
      <c r="CL408" s="537">
        <v>0.51</v>
      </c>
      <c r="CM408" s="537">
        <v>0.51</v>
      </c>
      <c r="CN408" s="537">
        <v>0.51</v>
      </c>
      <c r="CO408" s="537">
        <v>0.51</v>
      </c>
      <c r="CP408" s="537">
        <v>0.51</v>
      </c>
      <c r="CQ408" s="537">
        <v>0.51</v>
      </c>
      <c r="CR408" s="537">
        <v>0.51</v>
      </c>
      <c r="CS408" s="537">
        <v>0.51</v>
      </c>
      <c r="CT408" s="537">
        <v>0.51</v>
      </c>
      <c r="CU408" s="537">
        <v>0.51</v>
      </c>
      <c r="CV408" s="537">
        <v>0.51</v>
      </c>
      <c r="CW408" s="537">
        <v>0.51</v>
      </c>
      <c r="CX408" s="537">
        <v>0.51</v>
      </c>
      <c r="CY408" s="537">
        <v>0.51</v>
      </c>
      <c r="CZ408" s="537">
        <v>0.51</v>
      </c>
      <c r="DA408" s="537">
        <v>0.51</v>
      </c>
      <c r="DB408" s="537">
        <v>0.51</v>
      </c>
      <c r="DC408" s="537">
        <v>0.51</v>
      </c>
      <c r="DD408" s="537">
        <v>0.51</v>
      </c>
      <c r="DE408" s="537">
        <v>0.51</v>
      </c>
      <c r="DF408" s="537">
        <v>0.51</v>
      </c>
      <c r="DG408" s="537">
        <v>0.51</v>
      </c>
      <c r="DH408" s="537">
        <v>0.51</v>
      </c>
    </row>
    <row r="409" spans="2:112">
      <c r="B409" t="s">
        <v>1263</v>
      </c>
      <c r="C409" t="s">
        <v>1257</v>
      </c>
      <c r="D409" t="s">
        <v>890</v>
      </c>
      <c r="E409" t="s">
        <v>178</v>
      </c>
      <c r="F409" s="537">
        <v>0.51</v>
      </c>
      <c r="G409" s="537">
        <v>0.51</v>
      </c>
      <c r="H409" s="537">
        <v>0.51</v>
      </c>
      <c r="I409" s="537">
        <v>0.51</v>
      </c>
      <c r="J409" s="537">
        <v>0.51</v>
      </c>
      <c r="K409" s="537">
        <v>0.51</v>
      </c>
      <c r="L409" s="537">
        <v>0.51</v>
      </c>
      <c r="M409" s="537">
        <v>0.51</v>
      </c>
      <c r="N409" s="537">
        <v>0.51</v>
      </c>
      <c r="O409" s="537">
        <v>0.51</v>
      </c>
      <c r="P409" s="537">
        <v>0.51</v>
      </c>
      <c r="Q409" s="537">
        <v>0.51</v>
      </c>
      <c r="R409" s="537">
        <v>0.51</v>
      </c>
      <c r="S409" s="537">
        <v>0.51</v>
      </c>
      <c r="T409" s="537">
        <v>0.51</v>
      </c>
      <c r="U409" s="537">
        <v>0.51</v>
      </c>
      <c r="V409" s="537">
        <v>0.51</v>
      </c>
      <c r="W409" s="537">
        <v>0.51</v>
      </c>
      <c r="X409" s="537">
        <v>0.51</v>
      </c>
      <c r="Y409" s="537">
        <v>0.51</v>
      </c>
      <c r="Z409" s="537">
        <v>0.51</v>
      </c>
      <c r="AA409" s="537">
        <v>0.51</v>
      </c>
      <c r="AB409" s="537">
        <v>0.51</v>
      </c>
      <c r="AC409" s="537">
        <v>0.51</v>
      </c>
      <c r="AD409" s="537">
        <v>0.51</v>
      </c>
      <c r="AE409" s="537">
        <v>0.51</v>
      </c>
      <c r="AF409" s="537">
        <v>0.51</v>
      </c>
      <c r="AG409" s="537">
        <v>0.51</v>
      </c>
      <c r="AH409" s="526">
        <f t="shared" si="290"/>
        <v>0.51</v>
      </c>
      <c r="AI409" s="526">
        <f t="shared" si="290"/>
        <v>0.51</v>
      </c>
      <c r="AJ409" s="526">
        <f t="shared" si="290"/>
        <v>0.51</v>
      </c>
      <c r="AK409" s="526">
        <f t="shared" si="290"/>
        <v>0.51</v>
      </c>
      <c r="AL409" s="526">
        <f t="shared" si="290"/>
        <v>0.51</v>
      </c>
      <c r="AM409" s="526">
        <f t="shared" si="290"/>
        <v>0.51</v>
      </c>
      <c r="AN409" s="526">
        <f t="shared" si="290"/>
        <v>0.51</v>
      </c>
      <c r="AO409" s="526">
        <f t="shared" si="290"/>
        <v>0.51</v>
      </c>
      <c r="AP409" s="526">
        <f t="shared" si="290"/>
        <v>0.51</v>
      </c>
      <c r="AQ409" s="526">
        <f t="shared" si="290"/>
        <v>0.51</v>
      </c>
      <c r="AR409" s="526">
        <f t="shared" si="290"/>
        <v>0.51</v>
      </c>
      <c r="AS409" s="526">
        <f t="shared" si="290"/>
        <v>0.51</v>
      </c>
      <c r="AT409" s="526">
        <f t="shared" si="290"/>
        <v>0.51</v>
      </c>
      <c r="AU409" s="526">
        <f t="shared" si="290"/>
        <v>0.51</v>
      </c>
      <c r="AV409" s="526">
        <f t="shared" si="290"/>
        <v>0.51</v>
      </c>
      <c r="AW409" s="526">
        <f t="shared" si="290"/>
        <v>0.51</v>
      </c>
      <c r="AX409" s="526">
        <f t="shared" si="289"/>
        <v>0.51</v>
      </c>
      <c r="AY409" s="526">
        <f t="shared" si="289"/>
        <v>0.51</v>
      </c>
      <c r="AZ409" s="526">
        <f t="shared" si="289"/>
        <v>0.51</v>
      </c>
      <c r="BA409" s="526">
        <f t="shared" si="289"/>
        <v>0.51</v>
      </c>
      <c r="BB409" s="526">
        <f t="shared" si="289"/>
        <v>0.51</v>
      </c>
      <c r="BC409" s="526">
        <f t="shared" si="289"/>
        <v>0.51</v>
      </c>
      <c r="BD409" s="526">
        <f t="shared" si="289"/>
        <v>0.51</v>
      </c>
      <c r="BE409" s="526">
        <f t="shared" si="289"/>
        <v>0.51</v>
      </c>
      <c r="BF409" s="526">
        <f t="shared" si="289"/>
        <v>0.51</v>
      </c>
      <c r="BG409" s="526">
        <f t="shared" si="289"/>
        <v>0.51</v>
      </c>
      <c r="BH409" s="526">
        <f t="shared" si="289"/>
        <v>0.51</v>
      </c>
      <c r="BI409" s="526">
        <f t="shared" si="289"/>
        <v>0.51</v>
      </c>
      <c r="BJ409" s="526">
        <f t="shared" si="289"/>
        <v>0.51</v>
      </c>
      <c r="BK409" s="526">
        <f t="shared" si="289"/>
        <v>0.51</v>
      </c>
      <c r="BL409" s="526">
        <f t="shared" si="289"/>
        <v>0.51</v>
      </c>
      <c r="BM409" s="526">
        <f t="shared" si="289"/>
        <v>0.51</v>
      </c>
      <c r="BN409" s="526">
        <f t="shared" si="289"/>
        <v>0.51</v>
      </c>
      <c r="BO409" s="526">
        <f t="shared" si="289"/>
        <v>0.51</v>
      </c>
      <c r="BP409" s="526">
        <f t="shared" si="289"/>
        <v>0.51</v>
      </c>
      <c r="BQ409" s="526">
        <f t="shared" si="289"/>
        <v>0.51</v>
      </c>
      <c r="BR409" s="526">
        <f t="shared" si="289"/>
        <v>0.51</v>
      </c>
      <c r="BS409" s="526">
        <f t="shared" si="289"/>
        <v>0.51</v>
      </c>
      <c r="BT409" s="526">
        <f t="shared" si="289"/>
        <v>0.51</v>
      </c>
      <c r="BU409" s="526">
        <f t="shared" si="289"/>
        <v>0.51</v>
      </c>
      <c r="BV409" s="526">
        <f t="shared" si="289"/>
        <v>0.51</v>
      </c>
      <c r="BW409" s="526">
        <f t="shared" si="289"/>
        <v>0.51</v>
      </c>
      <c r="BX409" s="526">
        <f t="shared" si="289"/>
        <v>0.51</v>
      </c>
      <c r="BY409" s="526">
        <f t="shared" si="289"/>
        <v>0.51</v>
      </c>
      <c r="BZ409" s="526">
        <f t="shared" si="289"/>
        <v>0.51</v>
      </c>
      <c r="CA409" s="526">
        <f t="shared" si="289"/>
        <v>0.51</v>
      </c>
      <c r="CB409" s="526">
        <f t="shared" si="289"/>
        <v>0.51</v>
      </c>
      <c r="CC409" s="526">
        <f t="shared" si="289"/>
        <v>0.51</v>
      </c>
      <c r="CD409" s="526">
        <f t="shared" si="289"/>
        <v>0.51</v>
      </c>
      <c r="CE409" s="526">
        <f t="shared" si="289"/>
        <v>0.51</v>
      </c>
      <c r="CG409" s="537">
        <v>0.51</v>
      </c>
      <c r="CH409" s="537">
        <v>0.51</v>
      </c>
      <c r="CI409" s="537">
        <v>0.51</v>
      </c>
      <c r="CJ409" s="537">
        <v>0.51</v>
      </c>
      <c r="CK409" s="537">
        <v>0.51</v>
      </c>
      <c r="CL409" s="537">
        <v>0.51</v>
      </c>
      <c r="CM409" s="537">
        <v>0.51</v>
      </c>
      <c r="CN409" s="537">
        <v>0.51</v>
      </c>
      <c r="CO409" s="537">
        <v>0.51</v>
      </c>
      <c r="CP409" s="537">
        <v>0.51</v>
      </c>
      <c r="CQ409" s="537">
        <v>0.51</v>
      </c>
      <c r="CR409" s="537">
        <v>0.51</v>
      </c>
      <c r="CS409" s="537">
        <v>0.51</v>
      </c>
      <c r="CT409" s="537">
        <v>0.51</v>
      </c>
      <c r="CU409" s="537">
        <v>0.51</v>
      </c>
      <c r="CV409" s="537">
        <v>0.51</v>
      </c>
      <c r="CW409" s="537">
        <v>0.51</v>
      </c>
      <c r="CX409" s="537">
        <v>0.51</v>
      </c>
      <c r="CY409" s="537">
        <v>0.51</v>
      </c>
      <c r="CZ409" s="537">
        <v>0.51</v>
      </c>
      <c r="DA409" s="537">
        <v>0.51</v>
      </c>
      <c r="DB409" s="537">
        <v>0.51</v>
      </c>
      <c r="DC409" s="537">
        <v>0.51</v>
      </c>
      <c r="DD409" s="537">
        <v>0.51</v>
      </c>
      <c r="DE409" s="537">
        <v>0.51</v>
      </c>
      <c r="DF409" s="537">
        <v>0.51</v>
      </c>
      <c r="DG409" s="537">
        <v>0.51</v>
      </c>
      <c r="DH409" s="537">
        <v>0.51</v>
      </c>
    </row>
    <row r="410" spans="2:112">
      <c r="B410" t="s">
        <v>1264</v>
      </c>
      <c r="C410" t="s">
        <v>1257</v>
      </c>
      <c r="D410" t="s">
        <v>892</v>
      </c>
      <c r="E410" t="s">
        <v>178</v>
      </c>
      <c r="F410" s="537">
        <v>0.51</v>
      </c>
      <c r="G410" s="537">
        <v>0.51</v>
      </c>
      <c r="H410" s="537">
        <v>0.51</v>
      </c>
      <c r="I410" s="537">
        <v>0.51</v>
      </c>
      <c r="J410" s="537">
        <v>0.51</v>
      </c>
      <c r="K410" s="537">
        <v>0.51</v>
      </c>
      <c r="L410" s="537">
        <v>0.51</v>
      </c>
      <c r="M410" s="537">
        <v>0.51</v>
      </c>
      <c r="N410" s="537">
        <v>0.51</v>
      </c>
      <c r="O410" s="537">
        <v>0.51</v>
      </c>
      <c r="P410" s="537">
        <v>0.51</v>
      </c>
      <c r="Q410" s="537">
        <v>0.51</v>
      </c>
      <c r="R410" s="537">
        <v>0.51</v>
      </c>
      <c r="S410" s="537">
        <v>0.51</v>
      </c>
      <c r="T410" s="537">
        <v>0.51</v>
      </c>
      <c r="U410" s="537">
        <v>0.51</v>
      </c>
      <c r="V410" s="537">
        <v>0.51</v>
      </c>
      <c r="W410" s="537">
        <v>0.51</v>
      </c>
      <c r="X410" s="537">
        <v>0.51</v>
      </c>
      <c r="Y410" s="537">
        <v>0.51</v>
      </c>
      <c r="Z410" s="537">
        <v>0.51</v>
      </c>
      <c r="AA410" s="537">
        <v>0.51</v>
      </c>
      <c r="AB410" s="537">
        <v>0.51</v>
      </c>
      <c r="AC410" s="537">
        <v>0.51</v>
      </c>
      <c r="AD410" s="537">
        <v>0.51</v>
      </c>
      <c r="AE410" s="537">
        <v>0.51</v>
      </c>
      <c r="AF410" s="537">
        <v>0.51</v>
      </c>
      <c r="AG410" s="537">
        <v>0.51</v>
      </c>
      <c r="AH410" s="526">
        <f t="shared" si="290"/>
        <v>0.51</v>
      </c>
      <c r="AI410" s="526">
        <f t="shared" si="290"/>
        <v>0.51</v>
      </c>
      <c r="AJ410" s="526">
        <f t="shared" si="290"/>
        <v>0.51</v>
      </c>
      <c r="AK410" s="526">
        <f t="shared" si="290"/>
        <v>0.51</v>
      </c>
      <c r="AL410" s="526">
        <f t="shared" si="290"/>
        <v>0.51</v>
      </c>
      <c r="AM410" s="526">
        <f t="shared" si="290"/>
        <v>0.51</v>
      </c>
      <c r="AN410" s="526">
        <f t="shared" si="290"/>
        <v>0.51</v>
      </c>
      <c r="AO410" s="526">
        <f t="shared" si="290"/>
        <v>0.51</v>
      </c>
      <c r="AP410" s="526">
        <f t="shared" si="290"/>
        <v>0.51</v>
      </c>
      <c r="AQ410" s="526">
        <f t="shared" si="290"/>
        <v>0.51</v>
      </c>
      <c r="AR410" s="526">
        <f t="shared" si="290"/>
        <v>0.51</v>
      </c>
      <c r="AS410" s="526">
        <f t="shared" si="290"/>
        <v>0.51</v>
      </c>
      <c r="AT410" s="526">
        <f t="shared" si="290"/>
        <v>0.51</v>
      </c>
      <c r="AU410" s="526">
        <f t="shared" si="290"/>
        <v>0.51</v>
      </c>
      <c r="AV410" s="526">
        <f t="shared" si="290"/>
        <v>0.51</v>
      </c>
      <c r="AW410" s="526">
        <f t="shared" si="290"/>
        <v>0.51</v>
      </c>
      <c r="AX410" s="526">
        <f t="shared" si="289"/>
        <v>0.51</v>
      </c>
      <c r="AY410" s="526">
        <f t="shared" si="289"/>
        <v>0.51</v>
      </c>
      <c r="AZ410" s="526">
        <f t="shared" si="289"/>
        <v>0.51</v>
      </c>
      <c r="BA410" s="526">
        <f t="shared" si="289"/>
        <v>0.51</v>
      </c>
      <c r="BB410" s="526">
        <f t="shared" si="289"/>
        <v>0.51</v>
      </c>
      <c r="BC410" s="526">
        <f t="shared" si="289"/>
        <v>0.51</v>
      </c>
      <c r="BD410" s="526">
        <f t="shared" si="289"/>
        <v>0.51</v>
      </c>
      <c r="BE410" s="526">
        <f t="shared" si="289"/>
        <v>0.51</v>
      </c>
      <c r="BF410" s="526">
        <f t="shared" si="289"/>
        <v>0.51</v>
      </c>
      <c r="BG410" s="526">
        <f t="shared" si="289"/>
        <v>0.51</v>
      </c>
      <c r="BH410" s="526">
        <f t="shared" si="289"/>
        <v>0.51</v>
      </c>
      <c r="BI410" s="526">
        <f t="shared" si="289"/>
        <v>0.51</v>
      </c>
      <c r="BJ410" s="526">
        <f t="shared" si="289"/>
        <v>0.51</v>
      </c>
      <c r="BK410" s="526">
        <f t="shared" si="289"/>
        <v>0.51</v>
      </c>
      <c r="BL410" s="526">
        <f t="shared" si="289"/>
        <v>0.51</v>
      </c>
      <c r="BM410" s="526">
        <f t="shared" si="289"/>
        <v>0.51</v>
      </c>
      <c r="BN410" s="526">
        <f t="shared" si="289"/>
        <v>0.51</v>
      </c>
      <c r="BO410" s="526">
        <f t="shared" si="289"/>
        <v>0.51</v>
      </c>
      <c r="BP410" s="526">
        <f t="shared" si="289"/>
        <v>0.51</v>
      </c>
      <c r="BQ410" s="526">
        <f t="shared" si="289"/>
        <v>0.51</v>
      </c>
      <c r="BR410" s="526">
        <f t="shared" si="289"/>
        <v>0.51</v>
      </c>
      <c r="BS410" s="526">
        <f t="shared" si="289"/>
        <v>0.51</v>
      </c>
      <c r="BT410" s="526">
        <f t="shared" si="289"/>
        <v>0.51</v>
      </c>
      <c r="BU410" s="526">
        <f t="shared" si="289"/>
        <v>0.51</v>
      </c>
      <c r="BV410" s="526">
        <f t="shared" si="289"/>
        <v>0.51</v>
      </c>
      <c r="BW410" s="526">
        <f t="shared" si="289"/>
        <v>0.51</v>
      </c>
      <c r="BX410" s="526">
        <f t="shared" si="289"/>
        <v>0.51</v>
      </c>
      <c r="BY410" s="526">
        <f t="shared" si="289"/>
        <v>0.51</v>
      </c>
      <c r="BZ410" s="526">
        <f t="shared" si="289"/>
        <v>0.51</v>
      </c>
      <c r="CA410" s="526">
        <f t="shared" si="289"/>
        <v>0.51</v>
      </c>
      <c r="CB410" s="526">
        <f t="shared" si="289"/>
        <v>0.51</v>
      </c>
      <c r="CC410" s="526">
        <f t="shared" si="289"/>
        <v>0.51</v>
      </c>
      <c r="CD410" s="526">
        <f t="shared" si="289"/>
        <v>0.51</v>
      </c>
      <c r="CE410" s="526">
        <f t="shared" si="289"/>
        <v>0.51</v>
      </c>
      <c r="CG410" s="537">
        <v>0.51</v>
      </c>
      <c r="CH410" s="537">
        <v>0.51</v>
      </c>
      <c r="CI410" s="537">
        <v>0.51</v>
      </c>
      <c r="CJ410" s="537">
        <v>0.51</v>
      </c>
      <c r="CK410" s="537">
        <v>0.51</v>
      </c>
      <c r="CL410" s="537">
        <v>0.51</v>
      </c>
      <c r="CM410" s="537">
        <v>0.51</v>
      </c>
      <c r="CN410" s="537">
        <v>0.51</v>
      </c>
      <c r="CO410" s="537">
        <v>0.51</v>
      </c>
      <c r="CP410" s="537">
        <v>0.51</v>
      </c>
      <c r="CQ410" s="537">
        <v>0.51</v>
      </c>
      <c r="CR410" s="537">
        <v>0.51</v>
      </c>
      <c r="CS410" s="537">
        <v>0.51</v>
      </c>
      <c r="CT410" s="537">
        <v>0.51</v>
      </c>
      <c r="CU410" s="537">
        <v>0.51</v>
      </c>
      <c r="CV410" s="537">
        <v>0.51</v>
      </c>
      <c r="CW410" s="537">
        <v>0.51</v>
      </c>
      <c r="CX410" s="537">
        <v>0.51</v>
      </c>
      <c r="CY410" s="537">
        <v>0.51</v>
      </c>
      <c r="CZ410" s="537">
        <v>0.51</v>
      </c>
      <c r="DA410" s="537">
        <v>0.51</v>
      </c>
      <c r="DB410" s="537">
        <v>0.51</v>
      </c>
      <c r="DC410" s="537">
        <v>0.51</v>
      </c>
      <c r="DD410" s="537">
        <v>0.51</v>
      </c>
      <c r="DE410" s="537">
        <v>0.51</v>
      </c>
      <c r="DF410" s="537">
        <v>0.51</v>
      </c>
      <c r="DG410" s="537">
        <v>0.51</v>
      </c>
      <c r="DH410" s="537">
        <v>0.51</v>
      </c>
    </row>
    <row r="411" spans="2:112">
      <c r="B411" t="s">
        <v>1265</v>
      </c>
      <c r="C411" t="s">
        <v>1257</v>
      </c>
      <c r="D411" t="s">
        <v>894</v>
      </c>
      <c r="E411" t="s">
        <v>895</v>
      </c>
      <c r="F411" s="537">
        <v>0</v>
      </c>
      <c r="G411" s="537">
        <v>0</v>
      </c>
      <c r="H411" s="537">
        <v>0</v>
      </c>
      <c r="I411" s="537">
        <v>0</v>
      </c>
      <c r="J411" s="537">
        <v>0</v>
      </c>
      <c r="K411" s="537">
        <v>0</v>
      </c>
      <c r="L411" s="537">
        <v>0</v>
      </c>
      <c r="M411" s="537">
        <v>0</v>
      </c>
      <c r="N411" s="537">
        <v>0</v>
      </c>
      <c r="O411" s="537">
        <v>0</v>
      </c>
      <c r="P411" s="537">
        <v>0</v>
      </c>
      <c r="Q411" s="537">
        <v>0</v>
      </c>
      <c r="R411" s="537">
        <v>0</v>
      </c>
      <c r="S411" s="537">
        <v>0</v>
      </c>
      <c r="T411" s="537">
        <v>0</v>
      </c>
      <c r="U411" s="537">
        <v>0</v>
      </c>
      <c r="V411" s="537">
        <v>0</v>
      </c>
      <c r="W411" s="537">
        <v>0</v>
      </c>
      <c r="X411" s="537">
        <v>0</v>
      </c>
      <c r="Y411" s="537">
        <v>0</v>
      </c>
      <c r="Z411" s="537">
        <v>0</v>
      </c>
      <c r="AA411" s="537">
        <v>0</v>
      </c>
      <c r="AB411" s="537">
        <v>0</v>
      </c>
      <c r="AC411" s="537">
        <v>0</v>
      </c>
      <c r="AD411" s="537">
        <v>0</v>
      </c>
      <c r="AE411" s="537">
        <v>0</v>
      </c>
      <c r="AF411" s="537">
        <v>0</v>
      </c>
      <c r="AG411" s="537">
        <v>0</v>
      </c>
      <c r="AH411" s="538">
        <f t="shared" si="290"/>
        <v>0</v>
      </c>
      <c r="AI411" s="538">
        <f t="shared" si="290"/>
        <v>0</v>
      </c>
      <c r="AJ411" s="538">
        <f t="shared" si="290"/>
        <v>0</v>
      </c>
      <c r="AK411" s="538">
        <f t="shared" si="290"/>
        <v>0</v>
      </c>
      <c r="AL411" s="538">
        <f t="shared" si="290"/>
        <v>0</v>
      </c>
      <c r="AM411" s="538">
        <f t="shared" si="290"/>
        <v>0</v>
      </c>
      <c r="AN411" s="538">
        <f t="shared" si="290"/>
        <v>0</v>
      </c>
      <c r="AO411" s="538">
        <f t="shared" si="290"/>
        <v>0</v>
      </c>
      <c r="AP411" s="538">
        <f t="shared" si="290"/>
        <v>0</v>
      </c>
      <c r="AQ411" s="538">
        <f t="shared" si="290"/>
        <v>0</v>
      </c>
      <c r="AR411" s="538">
        <f t="shared" si="290"/>
        <v>0</v>
      </c>
      <c r="AS411" s="538">
        <f t="shared" si="290"/>
        <v>0</v>
      </c>
      <c r="AT411" s="538">
        <f t="shared" si="290"/>
        <v>0</v>
      </c>
      <c r="AU411" s="538">
        <f t="shared" si="290"/>
        <v>0</v>
      </c>
      <c r="AV411" s="538">
        <f t="shared" si="290"/>
        <v>0</v>
      </c>
      <c r="AW411" s="538">
        <f t="shared" si="290"/>
        <v>0</v>
      </c>
      <c r="AX411" s="538">
        <f t="shared" si="289"/>
        <v>0</v>
      </c>
      <c r="AY411" s="538">
        <f t="shared" si="289"/>
        <v>0</v>
      </c>
      <c r="AZ411" s="538">
        <f t="shared" si="289"/>
        <v>0</v>
      </c>
      <c r="BA411" s="538">
        <f t="shared" si="289"/>
        <v>0</v>
      </c>
      <c r="BB411" s="538">
        <f t="shared" si="289"/>
        <v>0</v>
      </c>
      <c r="BC411" s="538">
        <f t="shared" si="289"/>
        <v>0</v>
      </c>
      <c r="BD411" s="538">
        <f t="shared" si="289"/>
        <v>0</v>
      </c>
      <c r="BE411" s="538">
        <f t="shared" si="289"/>
        <v>0</v>
      </c>
      <c r="BF411" s="538">
        <f t="shared" si="289"/>
        <v>0</v>
      </c>
      <c r="BG411" s="538">
        <f t="shared" si="289"/>
        <v>0</v>
      </c>
      <c r="BH411" s="538">
        <f t="shared" si="289"/>
        <v>0</v>
      </c>
      <c r="BI411" s="538">
        <f t="shared" si="289"/>
        <v>0</v>
      </c>
      <c r="BJ411" s="538">
        <f t="shared" si="289"/>
        <v>0</v>
      </c>
      <c r="BK411" s="538">
        <f t="shared" si="289"/>
        <v>0</v>
      </c>
      <c r="BL411" s="538">
        <f t="shared" si="289"/>
        <v>0</v>
      </c>
      <c r="BM411" s="538">
        <f t="shared" si="289"/>
        <v>0</v>
      </c>
      <c r="BN411" s="538">
        <f t="shared" si="289"/>
        <v>0</v>
      </c>
      <c r="BO411" s="538">
        <f t="shared" si="289"/>
        <v>0</v>
      </c>
      <c r="BP411" s="538">
        <f t="shared" si="289"/>
        <v>0</v>
      </c>
      <c r="BQ411" s="538">
        <f t="shared" si="289"/>
        <v>0</v>
      </c>
      <c r="BR411" s="538">
        <f t="shared" si="289"/>
        <v>0</v>
      </c>
      <c r="BS411" s="538">
        <f t="shared" si="289"/>
        <v>0</v>
      </c>
      <c r="BT411" s="538">
        <f t="shared" si="289"/>
        <v>0</v>
      </c>
      <c r="BU411" s="538">
        <f t="shared" si="289"/>
        <v>0</v>
      </c>
      <c r="BV411" s="538">
        <f t="shared" si="289"/>
        <v>0</v>
      </c>
      <c r="BW411" s="538">
        <f t="shared" si="289"/>
        <v>0</v>
      </c>
      <c r="BX411" s="538">
        <f t="shared" si="289"/>
        <v>0</v>
      </c>
      <c r="BY411" s="538">
        <f t="shared" si="289"/>
        <v>0</v>
      </c>
      <c r="BZ411" s="538">
        <f t="shared" si="289"/>
        <v>0</v>
      </c>
      <c r="CA411" s="538">
        <f t="shared" si="289"/>
        <v>0</v>
      </c>
      <c r="CB411" s="538">
        <f t="shared" si="289"/>
        <v>0</v>
      </c>
      <c r="CC411" s="538">
        <f t="shared" si="289"/>
        <v>0</v>
      </c>
      <c r="CD411" s="538">
        <f t="shared" si="289"/>
        <v>0</v>
      </c>
      <c r="CE411" s="538">
        <f t="shared" si="289"/>
        <v>0</v>
      </c>
      <c r="CG411" s="537">
        <v>0</v>
      </c>
      <c r="CH411" s="537">
        <v>0</v>
      </c>
      <c r="CI411" s="537">
        <v>0</v>
      </c>
      <c r="CJ411" s="537">
        <v>0</v>
      </c>
      <c r="CK411" s="537">
        <v>0</v>
      </c>
      <c r="CL411" s="537">
        <v>0</v>
      </c>
      <c r="CM411" s="537">
        <v>0</v>
      </c>
      <c r="CN411" s="537">
        <v>0</v>
      </c>
      <c r="CO411" s="537">
        <v>0</v>
      </c>
      <c r="CP411" s="537">
        <v>0</v>
      </c>
      <c r="CQ411" s="537">
        <v>0</v>
      </c>
      <c r="CR411" s="537">
        <v>0</v>
      </c>
      <c r="CS411" s="537">
        <v>0</v>
      </c>
      <c r="CT411" s="537">
        <v>0</v>
      </c>
      <c r="CU411" s="537">
        <v>0</v>
      </c>
      <c r="CV411" s="537">
        <v>0</v>
      </c>
      <c r="CW411" s="537">
        <v>0</v>
      </c>
      <c r="CX411" s="537">
        <v>0</v>
      </c>
      <c r="CY411" s="537">
        <v>0</v>
      </c>
      <c r="CZ411" s="537">
        <v>0</v>
      </c>
      <c r="DA411" s="537">
        <v>0</v>
      </c>
      <c r="DB411" s="537">
        <v>0</v>
      </c>
      <c r="DC411" s="537">
        <v>0</v>
      </c>
      <c r="DD411" s="537">
        <v>0</v>
      </c>
      <c r="DE411" s="537">
        <v>0</v>
      </c>
      <c r="DF411" s="537">
        <v>0</v>
      </c>
      <c r="DG411" s="537">
        <v>0</v>
      </c>
      <c r="DH411" s="537">
        <v>0</v>
      </c>
    </row>
    <row r="412" spans="2:112">
      <c r="B412" t="s">
        <v>1266</v>
      </c>
      <c r="C412" t="s">
        <v>1257</v>
      </c>
      <c r="D412" t="s">
        <v>897</v>
      </c>
      <c r="E412" t="s">
        <v>895</v>
      </c>
      <c r="F412" s="537">
        <v>0.01</v>
      </c>
      <c r="G412" s="537">
        <v>0.01</v>
      </c>
      <c r="H412" s="537">
        <v>0.01</v>
      </c>
      <c r="I412" s="537">
        <v>0.01</v>
      </c>
      <c r="J412" s="537">
        <v>0.01</v>
      </c>
      <c r="K412" s="537">
        <v>0.01</v>
      </c>
      <c r="L412" s="537">
        <v>0.01</v>
      </c>
      <c r="M412" s="537">
        <v>0.01</v>
      </c>
      <c r="N412" s="537">
        <v>0.01</v>
      </c>
      <c r="O412" s="537">
        <v>0.01</v>
      </c>
      <c r="P412" s="537">
        <v>0.01</v>
      </c>
      <c r="Q412" s="537">
        <v>0.01</v>
      </c>
      <c r="R412" s="537">
        <v>0.01</v>
      </c>
      <c r="S412" s="537">
        <v>0.01</v>
      </c>
      <c r="T412" s="537">
        <v>0.01</v>
      </c>
      <c r="U412" s="537">
        <v>0.01</v>
      </c>
      <c r="V412" s="537">
        <v>0.01</v>
      </c>
      <c r="W412" s="537">
        <v>0.01</v>
      </c>
      <c r="X412" s="537">
        <v>0.01</v>
      </c>
      <c r="Y412" s="537">
        <v>0.01</v>
      </c>
      <c r="Z412" s="537">
        <v>0.01</v>
      </c>
      <c r="AA412" s="537">
        <v>0.01</v>
      </c>
      <c r="AB412" s="537">
        <v>0.01</v>
      </c>
      <c r="AC412" s="537">
        <v>0.01</v>
      </c>
      <c r="AD412" s="537">
        <v>0.01</v>
      </c>
      <c r="AE412" s="537">
        <v>0.01</v>
      </c>
      <c r="AF412" s="537">
        <v>0.01</v>
      </c>
      <c r="AG412" s="537">
        <v>0.01</v>
      </c>
      <c r="AH412" s="538">
        <f t="shared" si="290"/>
        <v>0.01</v>
      </c>
      <c r="AI412" s="538">
        <f t="shared" si="290"/>
        <v>0.01</v>
      </c>
      <c r="AJ412" s="538">
        <f t="shared" si="290"/>
        <v>0.01</v>
      </c>
      <c r="AK412" s="538">
        <f t="shared" si="290"/>
        <v>0.01</v>
      </c>
      <c r="AL412" s="538">
        <f t="shared" si="290"/>
        <v>0.01</v>
      </c>
      <c r="AM412" s="538">
        <f t="shared" si="290"/>
        <v>0.01</v>
      </c>
      <c r="AN412" s="538">
        <f t="shared" si="290"/>
        <v>0.01</v>
      </c>
      <c r="AO412" s="538">
        <f t="shared" si="290"/>
        <v>0.01</v>
      </c>
      <c r="AP412" s="538">
        <f t="shared" si="290"/>
        <v>0.01</v>
      </c>
      <c r="AQ412" s="538">
        <f t="shared" si="290"/>
        <v>0.01</v>
      </c>
      <c r="AR412" s="538">
        <f t="shared" si="290"/>
        <v>0.01</v>
      </c>
      <c r="AS412" s="538">
        <f t="shared" si="290"/>
        <v>0.01</v>
      </c>
      <c r="AT412" s="538">
        <f t="shared" si="290"/>
        <v>0.01</v>
      </c>
      <c r="AU412" s="538">
        <f t="shared" si="290"/>
        <v>0.01</v>
      </c>
      <c r="AV412" s="538">
        <f t="shared" si="290"/>
        <v>0.01</v>
      </c>
      <c r="AW412" s="538">
        <f t="shared" si="290"/>
        <v>0.01</v>
      </c>
      <c r="AX412" s="538">
        <f t="shared" si="289"/>
        <v>0.01</v>
      </c>
      <c r="AY412" s="538">
        <f t="shared" si="289"/>
        <v>0.01</v>
      </c>
      <c r="AZ412" s="538">
        <f t="shared" si="289"/>
        <v>0.01</v>
      </c>
      <c r="BA412" s="538">
        <f t="shared" si="289"/>
        <v>0.01</v>
      </c>
      <c r="BB412" s="538">
        <f t="shared" si="289"/>
        <v>0.01</v>
      </c>
      <c r="BC412" s="538">
        <f t="shared" si="289"/>
        <v>0.01</v>
      </c>
      <c r="BD412" s="538">
        <f t="shared" si="289"/>
        <v>0.01</v>
      </c>
      <c r="BE412" s="538">
        <f t="shared" si="289"/>
        <v>0.01</v>
      </c>
      <c r="BF412" s="538">
        <f t="shared" si="289"/>
        <v>0.01</v>
      </c>
      <c r="BG412" s="538">
        <f t="shared" si="289"/>
        <v>0.01</v>
      </c>
      <c r="BH412" s="538">
        <f t="shared" si="289"/>
        <v>0.01</v>
      </c>
      <c r="BI412" s="538">
        <f t="shared" si="289"/>
        <v>0.01</v>
      </c>
      <c r="BJ412" s="538">
        <f t="shared" si="289"/>
        <v>0.01</v>
      </c>
      <c r="BK412" s="538">
        <f t="shared" si="289"/>
        <v>0.01</v>
      </c>
      <c r="BL412" s="538">
        <f t="shared" si="289"/>
        <v>0.01</v>
      </c>
      <c r="BM412" s="538">
        <f t="shared" si="289"/>
        <v>0.01</v>
      </c>
      <c r="BN412" s="538">
        <f t="shared" ref="BN412:CC414" si="291">BM412</f>
        <v>0.01</v>
      </c>
      <c r="BO412" s="538">
        <f t="shared" si="291"/>
        <v>0.01</v>
      </c>
      <c r="BP412" s="538">
        <f t="shared" si="291"/>
        <v>0.01</v>
      </c>
      <c r="BQ412" s="538">
        <f t="shared" si="291"/>
        <v>0.01</v>
      </c>
      <c r="BR412" s="538">
        <f t="shared" si="291"/>
        <v>0.01</v>
      </c>
      <c r="BS412" s="538">
        <f t="shared" si="291"/>
        <v>0.01</v>
      </c>
      <c r="BT412" s="538">
        <f t="shared" si="291"/>
        <v>0.01</v>
      </c>
      <c r="BU412" s="538">
        <f t="shared" si="291"/>
        <v>0.01</v>
      </c>
      <c r="BV412" s="538">
        <f t="shared" si="291"/>
        <v>0.01</v>
      </c>
      <c r="BW412" s="538">
        <f t="shared" si="291"/>
        <v>0.01</v>
      </c>
      <c r="BX412" s="538">
        <f t="shared" si="291"/>
        <v>0.01</v>
      </c>
      <c r="BY412" s="538">
        <f t="shared" si="291"/>
        <v>0.01</v>
      </c>
      <c r="BZ412" s="538">
        <f t="shared" si="291"/>
        <v>0.01</v>
      </c>
      <c r="CA412" s="538">
        <f t="shared" si="291"/>
        <v>0.01</v>
      </c>
      <c r="CB412" s="538">
        <f t="shared" si="291"/>
        <v>0.01</v>
      </c>
      <c r="CC412" s="538">
        <f t="shared" si="291"/>
        <v>0.01</v>
      </c>
      <c r="CD412" s="538">
        <f t="shared" ref="CD412:CE414" si="292">CC412</f>
        <v>0.01</v>
      </c>
      <c r="CE412" s="538">
        <f t="shared" si="292"/>
        <v>0.01</v>
      </c>
      <c r="CG412" s="537">
        <v>0.01</v>
      </c>
      <c r="CH412" s="537">
        <v>0.01</v>
      </c>
      <c r="CI412" s="537">
        <v>0.01</v>
      </c>
      <c r="CJ412" s="537">
        <v>0.01</v>
      </c>
      <c r="CK412" s="537">
        <v>0.01</v>
      </c>
      <c r="CL412" s="537">
        <v>0.01</v>
      </c>
      <c r="CM412" s="537">
        <v>0.01</v>
      </c>
      <c r="CN412" s="537">
        <v>0.01</v>
      </c>
      <c r="CO412" s="537">
        <v>0.01</v>
      </c>
      <c r="CP412" s="537">
        <v>0.01</v>
      </c>
      <c r="CQ412" s="537">
        <v>0.01</v>
      </c>
      <c r="CR412" s="537">
        <v>0.01</v>
      </c>
      <c r="CS412" s="537">
        <v>0.01</v>
      </c>
      <c r="CT412" s="537">
        <v>0.01</v>
      </c>
      <c r="CU412" s="537">
        <v>0.01</v>
      </c>
      <c r="CV412" s="537">
        <v>0.01</v>
      </c>
      <c r="CW412" s="537">
        <v>0.01</v>
      </c>
      <c r="CX412" s="537">
        <v>0.01</v>
      </c>
      <c r="CY412" s="537">
        <v>0.01</v>
      </c>
      <c r="CZ412" s="537">
        <v>0.01</v>
      </c>
      <c r="DA412" s="537">
        <v>0.01</v>
      </c>
      <c r="DB412" s="537">
        <v>0.01</v>
      </c>
      <c r="DC412" s="537">
        <v>0.01</v>
      </c>
      <c r="DD412" s="537">
        <v>0.01</v>
      </c>
      <c r="DE412" s="537">
        <v>0.01</v>
      </c>
      <c r="DF412" s="537">
        <v>0.01</v>
      </c>
      <c r="DG412" s="537">
        <v>0.01</v>
      </c>
      <c r="DH412" s="537">
        <v>0.01</v>
      </c>
    </row>
    <row r="413" spans="2:112">
      <c r="B413" t="s">
        <v>1267</v>
      </c>
      <c r="C413" t="s">
        <v>1257</v>
      </c>
      <c r="D413" t="s">
        <v>899</v>
      </c>
      <c r="E413" t="s">
        <v>895</v>
      </c>
      <c r="F413" s="537">
        <v>0.05</v>
      </c>
      <c r="G413" s="537">
        <v>0.05</v>
      </c>
      <c r="H413" s="537">
        <v>0.05</v>
      </c>
      <c r="I413" s="537">
        <v>0.05</v>
      </c>
      <c r="J413" s="537">
        <v>0.05</v>
      </c>
      <c r="K413" s="537">
        <v>0.05</v>
      </c>
      <c r="L413" s="537">
        <v>0.05</v>
      </c>
      <c r="M413" s="537">
        <v>0.05</v>
      </c>
      <c r="N413" s="537">
        <v>0.05</v>
      </c>
      <c r="O413" s="537">
        <v>0.05</v>
      </c>
      <c r="P413" s="537">
        <v>0.05</v>
      </c>
      <c r="Q413" s="537">
        <v>0.05</v>
      </c>
      <c r="R413" s="537">
        <v>0.05</v>
      </c>
      <c r="S413" s="537">
        <v>0.05</v>
      </c>
      <c r="T413" s="537">
        <v>0.05</v>
      </c>
      <c r="U413" s="537">
        <v>0.05</v>
      </c>
      <c r="V413" s="537">
        <v>0.05</v>
      </c>
      <c r="W413" s="537">
        <v>0.05</v>
      </c>
      <c r="X413" s="537">
        <v>0.05</v>
      </c>
      <c r="Y413" s="537">
        <v>0.05</v>
      </c>
      <c r="Z413" s="537">
        <v>0.05</v>
      </c>
      <c r="AA413" s="537">
        <v>0.05</v>
      </c>
      <c r="AB413" s="537">
        <v>0.05</v>
      </c>
      <c r="AC413" s="537">
        <v>0.05</v>
      </c>
      <c r="AD413" s="537">
        <v>0.05</v>
      </c>
      <c r="AE413" s="537">
        <v>0.05</v>
      </c>
      <c r="AF413" s="537">
        <v>0.05</v>
      </c>
      <c r="AG413" s="537">
        <v>0.05</v>
      </c>
      <c r="AH413" s="538">
        <f t="shared" si="290"/>
        <v>0.05</v>
      </c>
      <c r="AI413" s="538">
        <f t="shared" si="290"/>
        <v>0.05</v>
      </c>
      <c r="AJ413" s="538">
        <f t="shared" si="290"/>
        <v>0.05</v>
      </c>
      <c r="AK413" s="538">
        <f t="shared" si="290"/>
        <v>0.05</v>
      </c>
      <c r="AL413" s="538">
        <f t="shared" si="290"/>
        <v>0.05</v>
      </c>
      <c r="AM413" s="538">
        <f t="shared" si="290"/>
        <v>0.05</v>
      </c>
      <c r="AN413" s="538">
        <f t="shared" si="290"/>
        <v>0.05</v>
      </c>
      <c r="AO413" s="538">
        <f t="shared" si="290"/>
        <v>0.05</v>
      </c>
      <c r="AP413" s="538">
        <f t="shared" si="290"/>
        <v>0.05</v>
      </c>
      <c r="AQ413" s="538">
        <f t="shared" si="290"/>
        <v>0.05</v>
      </c>
      <c r="AR413" s="538">
        <f t="shared" si="290"/>
        <v>0.05</v>
      </c>
      <c r="AS413" s="538">
        <f t="shared" si="290"/>
        <v>0.05</v>
      </c>
      <c r="AT413" s="538">
        <f t="shared" si="290"/>
        <v>0.05</v>
      </c>
      <c r="AU413" s="538">
        <f t="shared" si="290"/>
        <v>0.05</v>
      </c>
      <c r="AV413" s="538">
        <f t="shared" si="290"/>
        <v>0.05</v>
      </c>
      <c r="AW413" s="538">
        <f t="shared" si="290"/>
        <v>0.05</v>
      </c>
      <c r="AX413" s="538">
        <f t="shared" ref="AX413:BM414" si="293">AW413</f>
        <v>0.05</v>
      </c>
      <c r="AY413" s="538">
        <f t="shared" si="293"/>
        <v>0.05</v>
      </c>
      <c r="AZ413" s="538">
        <f t="shared" si="293"/>
        <v>0.05</v>
      </c>
      <c r="BA413" s="538">
        <f t="shared" si="293"/>
        <v>0.05</v>
      </c>
      <c r="BB413" s="538">
        <f t="shared" si="293"/>
        <v>0.05</v>
      </c>
      <c r="BC413" s="538">
        <f t="shared" si="293"/>
        <v>0.05</v>
      </c>
      <c r="BD413" s="538">
        <f t="shared" si="293"/>
        <v>0.05</v>
      </c>
      <c r="BE413" s="538">
        <f t="shared" si="293"/>
        <v>0.05</v>
      </c>
      <c r="BF413" s="538">
        <f t="shared" si="293"/>
        <v>0.05</v>
      </c>
      <c r="BG413" s="538">
        <f t="shared" si="293"/>
        <v>0.05</v>
      </c>
      <c r="BH413" s="538">
        <f t="shared" si="293"/>
        <v>0.05</v>
      </c>
      <c r="BI413" s="538">
        <f t="shared" si="293"/>
        <v>0.05</v>
      </c>
      <c r="BJ413" s="538">
        <f t="shared" si="293"/>
        <v>0.05</v>
      </c>
      <c r="BK413" s="538">
        <f t="shared" si="293"/>
        <v>0.05</v>
      </c>
      <c r="BL413" s="538">
        <f t="shared" si="293"/>
        <v>0.05</v>
      </c>
      <c r="BM413" s="538">
        <f t="shared" si="293"/>
        <v>0.05</v>
      </c>
      <c r="BN413" s="538">
        <f t="shared" si="291"/>
        <v>0.05</v>
      </c>
      <c r="BO413" s="538">
        <f t="shared" si="291"/>
        <v>0.05</v>
      </c>
      <c r="BP413" s="538">
        <f t="shared" si="291"/>
        <v>0.05</v>
      </c>
      <c r="BQ413" s="538">
        <f t="shared" si="291"/>
        <v>0.05</v>
      </c>
      <c r="BR413" s="538">
        <f t="shared" si="291"/>
        <v>0.05</v>
      </c>
      <c r="BS413" s="538">
        <f t="shared" si="291"/>
        <v>0.05</v>
      </c>
      <c r="BT413" s="538">
        <f t="shared" si="291"/>
        <v>0.05</v>
      </c>
      <c r="BU413" s="538">
        <f t="shared" si="291"/>
        <v>0.05</v>
      </c>
      <c r="BV413" s="538">
        <f t="shared" si="291"/>
        <v>0.05</v>
      </c>
      <c r="BW413" s="538">
        <f t="shared" si="291"/>
        <v>0.05</v>
      </c>
      <c r="BX413" s="538">
        <f t="shared" si="291"/>
        <v>0.05</v>
      </c>
      <c r="BY413" s="538">
        <f t="shared" si="291"/>
        <v>0.05</v>
      </c>
      <c r="BZ413" s="538">
        <f t="shared" si="291"/>
        <v>0.05</v>
      </c>
      <c r="CA413" s="538">
        <f t="shared" si="291"/>
        <v>0.05</v>
      </c>
      <c r="CB413" s="538">
        <f t="shared" si="291"/>
        <v>0.05</v>
      </c>
      <c r="CC413" s="538">
        <f t="shared" si="291"/>
        <v>0.05</v>
      </c>
      <c r="CD413" s="538">
        <f t="shared" si="292"/>
        <v>0.05</v>
      </c>
      <c r="CE413" s="538">
        <f t="shared" si="292"/>
        <v>0.05</v>
      </c>
      <c r="CG413" s="537">
        <v>0.05</v>
      </c>
      <c r="CH413" s="537">
        <v>0.05</v>
      </c>
      <c r="CI413" s="537">
        <v>0.05</v>
      </c>
      <c r="CJ413" s="537">
        <v>0.05</v>
      </c>
      <c r="CK413" s="537">
        <v>0.05</v>
      </c>
      <c r="CL413" s="537">
        <v>0.05</v>
      </c>
      <c r="CM413" s="537">
        <v>0.05</v>
      </c>
      <c r="CN413" s="537">
        <v>0.05</v>
      </c>
      <c r="CO413" s="537">
        <v>0.05</v>
      </c>
      <c r="CP413" s="537">
        <v>0.05</v>
      </c>
      <c r="CQ413" s="537">
        <v>0.05</v>
      </c>
      <c r="CR413" s="537">
        <v>0.05</v>
      </c>
      <c r="CS413" s="537">
        <v>0.05</v>
      </c>
      <c r="CT413" s="537">
        <v>0.05</v>
      </c>
      <c r="CU413" s="537">
        <v>0.05</v>
      </c>
      <c r="CV413" s="537">
        <v>0.05</v>
      </c>
      <c r="CW413" s="537">
        <v>0.05</v>
      </c>
      <c r="CX413" s="537">
        <v>0.05</v>
      </c>
      <c r="CY413" s="537">
        <v>0.05</v>
      </c>
      <c r="CZ413" s="537">
        <v>0.05</v>
      </c>
      <c r="DA413" s="537">
        <v>0.05</v>
      </c>
      <c r="DB413" s="537">
        <v>0.05</v>
      </c>
      <c r="DC413" s="537">
        <v>0.05</v>
      </c>
      <c r="DD413" s="537">
        <v>0.05</v>
      </c>
      <c r="DE413" s="537">
        <v>0.05</v>
      </c>
      <c r="DF413" s="537">
        <v>0.05</v>
      </c>
      <c r="DG413" s="537">
        <v>0.05</v>
      </c>
      <c r="DH413" s="537">
        <v>0.05</v>
      </c>
    </row>
    <row r="414" spans="2:112">
      <c r="B414" t="s">
        <v>1268</v>
      </c>
      <c r="C414" t="s">
        <v>1257</v>
      </c>
      <c r="D414" t="s">
        <v>901</v>
      </c>
      <c r="E414" t="s">
        <v>895</v>
      </c>
      <c r="F414" s="537">
        <v>0.05</v>
      </c>
      <c r="G414" s="537">
        <v>0.05</v>
      </c>
      <c r="H414" s="537">
        <v>0.05</v>
      </c>
      <c r="I414" s="537">
        <v>0.05</v>
      </c>
      <c r="J414" s="537">
        <v>0.05</v>
      </c>
      <c r="K414" s="537">
        <v>0.05</v>
      </c>
      <c r="L414" s="537">
        <v>0.05</v>
      </c>
      <c r="M414" s="537">
        <v>0.05</v>
      </c>
      <c r="N414" s="537">
        <v>0.05</v>
      </c>
      <c r="O414" s="537">
        <v>0.05</v>
      </c>
      <c r="P414" s="537">
        <v>0.05</v>
      </c>
      <c r="Q414" s="537">
        <v>0.05</v>
      </c>
      <c r="R414" s="537">
        <v>0.05</v>
      </c>
      <c r="S414" s="537">
        <v>0.05</v>
      </c>
      <c r="T414" s="537">
        <v>0.05</v>
      </c>
      <c r="U414" s="537">
        <v>0.05</v>
      </c>
      <c r="V414" s="537">
        <v>0.05</v>
      </c>
      <c r="W414" s="537">
        <v>0.05</v>
      </c>
      <c r="X414" s="537">
        <v>0.05</v>
      </c>
      <c r="Y414" s="537">
        <v>0.05</v>
      </c>
      <c r="Z414" s="537">
        <v>0.05</v>
      </c>
      <c r="AA414" s="537">
        <v>0.05</v>
      </c>
      <c r="AB414" s="537">
        <v>0.05</v>
      </c>
      <c r="AC414" s="537">
        <v>0.05</v>
      </c>
      <c r="AD414" s="537">
        <v>0.05</v>
      </c>
      <c r="AE414" s="537">
        <v>0.05</v>
      </c>
      <c r="AF414" s="537">
        <v>0.05</v>
      </c>
      <c r="AG414" s="537">
        <v>0.05</v>
      </c>
      <c r="AH414" s="538">
        <f t="shared" si="290"/>
        <v>0.05</v>
      </c>
      <c r="AI414" s="538">
        <f t="shared" si="290"/>
        <v>0.05</v>
      </c>
      <c r="AJ414" s="538">
        <f t="shared" si="290"/>
        <v>0.05</v>
      </c>
      <c r="AK414" s="538">
        <f t="shared" si="290"/>
        <v>0.05</v>
      </c>
      <c r="AL414" s="538">
        <f t="shared" si="290"/>
        <v>0.05</v>
      </c>
      <c r="AM414" s="538">
        <f t="shared" si="290"/>
        <v>0.05</v>
      </c>
      <c r="AN414" s="538">
        <f t="shared" si="290"/>
        <v>0.05</v>
      </c>
      <c r="AO414" s="538">
        <f t="shared" si="290"/>
        <v>0.05</v>
      </c>
      <c r="AP414" s="538">
        <f t="shared" si="290"/>
        <v>0.05</v>
      </c>
      <c r="AQ414" s="538">
        <f t="shared" si="290"/>
        <v>0.05</v>
      </c>
      <c r="AR414" s="538">
        <f t="shared" si="290"/>
        <v>0.05</v>
      </c>
      <c r="AS414" s="538">
        <f t="shared" si="290"/>
        <v>0.05</v>
      </c>
      <c r="AT414" s="538">
        <f t="shared" si="290"/>
        <v>0.05</v>
      </c>
      <c r="AU414" s="538">
        <f t="shared" si="290"/>
        <v>0.05</v>
      </c>
      <c r="AV414" s="538">
        <f t="shared" si="290"/>
        <v>0.05</v>
      </c>
      <c r="AW414" s="538">
        <f t="shared" si="290"/>
        <v>0.05</v>
      </c>
      <c r="AX414" s="538">
        <f t="shared" si="293"/>
        <v>0.05</v>
      </c>
      <c r="AY414" s="538">
        <f t="shared" si="293"/>
        <v>0.05</v>
      </c>
      <c r="AZ414" s="538">
        <f t="shared" si="293"/>
        <v>0.05</v>
      </c>
      <c r="BA414" s="538">
        <f t="shared" si="293"/>
        <v>0.05</v>
      </c>
      <c r="BB414" s="538">
        <f t="shared" si="293"/>
        <v>0.05</v>
      </c>
      <c r="BC414" s="538">
        <f t="shared" si="293"/>
        <v>0.05</v>
      </c>
      <c r="BD414" s="538">
        <f t="shared" si="293"/>
        <v>0.05</v>
      </c>
      <c r="BE414" s="538">
        <f t="shared" si="293"/>
        <v>0.05</v>
      </c>
      <c r="BF414" s="538">
        <f t="shared" si="293"/>
        <v>0.05</v>
      </c>
      <c r="BG414" s="538">
        <f t="shared" si="293"/>
        <v>0.05</v>
      </c>
      <c r="BH414" s="538">
        <f t="shared" si="293"/>
        <v>0.05</v>
      </c>
      <c r="BI414" s="538">
        <f t="shared" si="293"/>
        <v>0.05</v>
      </c>
      <c r="BJ414" s="538">
        <f t="shared" si="293"/>
        <v>0.05</v>
      </c>
      <c r="BK414" s="538">
        <f t="shared" si="293"/>
        <v>0.05</v>
      </c>
      <c r="BL414" s="538">
        <f t="shared" si="293"/>
        <v>0.05</v>
      </c>
      <c r="BM414" s="538">
        <f t="shared" si="293"/>
        <v>0.05</v>
      </c>
      <c r="BN414" s="538">
        <f t="shared" si="291"/>
        <v>0.05</v>
      </c>
      <c r="BO414" s="538">
        <f t="shared" si="291"/>
        <v>0.05</v>
      </c>
      <c r="BP414" s="538">
        <f t="shared" si="291"/>
        <v>0.05</v>
      </c>
      <c r="BQ414" s="538">
        <f t="shared" si="291"/>
        <v>0.05</v>
      </c>
      <c r="BR414" s="538">
        <f t="shared" si="291"/>
        <v>0.05</v>
      </c>
      <c r="BS414" s="538">
        <f t="shared" si="291"/>
        <v>0.05</v>
      </c>
      <c r="BT414" s="538">
        <f t="shared" si="291"/>
        <v>0.05</v>
      </c>
      <c r="BU414" s="538">
        <f t="shared" si="291"/>
        <v>0.05</v>
      </c>
      <c r="BV414" s="538">
        <f t="shared" si="291"/>
        <v>0.05</v>
      </c>
      <c r="BW414" s="538">
        <f t="shared" si="291"/>
        <v>0.05</v>
      </c>
      <c r="BX414" s="538">
        <f t="shared" si="291"/>
        <v>0.05</v>
      </c>
      <c r="BY414" s="538">
        <f t="shared" si="291"/>
        <v>0.05</v>
      </c>
      <c r="BZ414" s="538">
        <f t="shared" si="291"/>
        <v>0.05</v>
      </c>
      <c r="CA414" s="538">
        <f t="shared" si="291"/>
        <v>0.05</v>
      </c>
      <c r="CB414" s="538">
        <f t="shared" si="291"/>
        <v>0.05</v>
      </c>
      <c r="CC414" s="538">
        <f t="shared" si="291"/>
        <v>0.05</v>
      </c>
      <c r="CD414" s="538">
        <f t="shared" si="292"/>
        <v>0.05</v>
      </c>
      <c r="CE414" s="538">
        <f t="shared" si="292"/>
        <v>0.05</v>
      </c>
      <c r="CG414" s="537">
        <v>0.05</v>
      </c>
      <c r="CH414" s="537">
        <v>0.05</v>
      </c>
      <c r="CI414" s="537">
        <v>0.05</v>
      </c>
      <c r="CJ414" s="537">
        <v>0.05</v>
      </c>
      <c r="CK414" s="537">
        <v>0.05</v>
      </c>
      <c r="CL414" s="537">
        <v>0.05</v>
      </c>
      <c r="CM414" s="537">
        <v>0.05</v>
      </c>
      <c r="CN414" s="537">
        <v>0.05</v>
      </c>
      <c r="CO414" s="537">
        <v>0.05</v>
      </c>
      <c r="CP414" s="537">
        <v>0.05</v>
      </c>
      <c r="CQ414" s="537">
        <v>0.05</v>
      </c>
      <c r="CR414" s="537">
        <v>0.05</v>
      </c>
      <c r="CS414" s="537">
        <v>0.05</v>
      </c>
      <c r="CT414" s="537">
        <v>0.05</v>
      </c>
      <c r="CU414" s="537">
        <v>0.05</v>
      </c>
      <c r="CV414" s="537">
        <v>0.05</v>
      </c>
      <c r="CW414" s="537">
        <v>0.05</v>
      </c>
      <c r="CX414" s="537">
        <v>0.05</v>
      </c>
      <c r="CY414" s="537">
        <v>0.05</v>
      </c>
      <c r="CZ414" s="537">
        <v>0.05</v>
      </c>
      <c r="DA414" s="537">
        <v>0.05</v>
      </c>
      <c r="DB414" s="537">
        <v>0.05</v>
      </c>
      <c r="DC414" s="537">
        <v>0.05</v>
      </c>
      <c r="DD414" s="537">
        <v>0.05</v>
      </c>
      <c r="DE414" s="537">
        <v>0.05</v>
      </c>
      <c r="DF414" s="537">
        <v>0.05</v>
      </c>
      <c r="DG414" s="537">
        <v>0.05</v>
      </c>
      <c r="DH414" s="537">
        <v>0.05</v>
      </c>
    </row>
    <row r="415" spans="2:112">
      <c r="F415" s="539"/>
      <c r="G415" s="539"/>
      <c r="H415" s="539"/>
      <c r="I415" s="539"/>
      <c r="J415" s="539"/>
      <c r="K415" s="539"/>
      <c r="L415" s="539"/>
      <c r="M415" s="539"/>
      <c r="N415" s="539"/>
      <c r="O415" s="539"/>
      <c r="P415" s="539"/>
      <c r="Q415" s="539"/>
      <c r="R415" s="539"/>
      <c r="S415" s="539"/>
      <c r="T415" s="539"/>
      <c r="U415" s="539"/>
      <c r="V415" s="539"/>
      <c r="W415" s="539"/>
      <c r="X415" s="539"/>
      <c r="Y415" s="539"/>
      <c r="Z415" s="539"/>
      <c r="AA415" s="539"/>
      <c r="AB415" s="539"/>
      <c r="AC415" s="539"/>
      <c r="AD415" s="539"/>
      <c r="AE415" s="539"/>
      <c r="AF415" s="539"/>
      <c r="AG415" s="539"/>
      <c r="AH415" s="539"/>
      <c r="AI415" s="539"/>
      <c r="AJ415" s="539"/>
      <c r="AK415" s="539"/>
      <c r="AL415" s="539"/>
      <c r="AM415" s="539"/>
      <c r="AN415" s="539"/>
      <c r="AO415" s="539"/>
      <c r="AP415" s="539"/>
      <c r="AQ415" s="539"/>
      <c r="AR415" s="539"/>
      <c r="AS415" s="539"/>
      <c r="AT415" s="539"/>
      <c r="AU415" s="539"/>
      <c r="AV415" s="539"/>
      <c r="AW415" s="539"/>
      <c r="AX415" s="539"/>
      <c r="AY415" s="539"/>
      <c r="AZ415" s="539"/>
      <c r="BA415" s="539"/>
      <c r="BB415" s="539"/>
      <c r="BC415" s="539"/>
      <c r="BD415" s="539"/>
      <c r="BE415" s="539"/>
      <c r="BF415" s="539"/>
      <c r="BG415" s="539"/>
      <c r="BH415" s="539"/>
      <c r="BI415" s="539"/>
      <c r="BJ415" s="539"/>
      <c r="BK415" s="539"/>
      <c r="BL415" s="539"/>
      <c r="BM415" s="539"/>
      <c r="BN415" s="539"/>
      <c r="BO415" s="539"/>
      <c r="BP415" s="539"/>
      <c r="BQ415" s="539"/>
      <c r="BR415" s="539"/>
      <c r="BS415" s="539"/>
      <c r="BT415" s="539"/>
      <c r="BU415" s="539"/>
      <c r="BV415" s="539"/>
      <c r="BW415" s="539"/>
      <c r="BX415" s="539"/>
      <c r="BY415" s="539"/>
      <c r="BZ415" s="539"/>
      <c r="CA415" s="539"/>
      <c r="CB415" s="539"/>
      <c r="CC415" s="539"/>
      <c r="CD415" s="539"/>
      <c r="CE415" s="539"/>
      <c r="CG415" s="539"/>
      <c r="CH415" s="539"/>
      <c r="CI415" s="539"/>
      <c r="CJ415" s="539"/>
      <c r="CK415" s="539"/>
      <c r="CL415" s="539"/>
      <c r="CM415" s="539"/>
      <c r="CN415" s="539"/>
      <c r="CO415" s="539"/>
      <c r="CP415" s="539"/>
      <c r="CQ415" s="539"/>
      <c r="CR415" s="539"/>
      <c r="CS415" s="539"/>
      <c r="CT415" s="539"/>
      <c r="CU415" s="539"/>
      <c r="CV415" s="539"/>
      <c r="CW415" s="539"/>
      <c r="CX415" s="539"/>
      <c r="CY415" s="539"/>
      <c r="CZ415" s="539"/>
      <c r="DA415" s="539"/>
      <c r="DB415" s="539"/>
      <c r="DC415" s="539"/>
      <c r="DD415" s="539"/>
      <c r="DE415" s="539"/>
      <c r="DF415" s="539"/>
      <c r="DG415" s="539"/>
      <c r="DH415" s="539"/>
    </row>
    <row r="416" spans="2:112">
      <c r="B416" t="s">
        <v>1269</v>
      </c>
      <c r="C416" t="s">
        <v>1257</v>
      </c>
      <c r="D416" t="s">
        <v>903</v>
      </c>
      <c r="E416" t="s">
        <v>557</v>
      </c>
      <c r="F416" s="536">
        <v>23400</v>
      </c>
      <c r="G416" s="536">
        <v>23400</v>
      </c>
      <c r="H416" s="536">
        <v>23400</v>
      </c>
      <c r="I416" s="536">
        <v>23400</v>
      </c>
      <c r="J416" s="536">
        <v>23400</v>
      </c>
      <c r="K416" s="536">
        <v>23400</v>
      </c>
      <c r="L416" s="536">
        <v>23400</v>
      </c>
      <c r="M416" s="536">
        <v>23400</v>
      </c>
      <c r="N416" s="536">
        <v>23400</v>
      </c>
      <c r="O416" s="536">
        <v>23400</v>
      </c>
      <c r="P416" s="536">
        <v>23400</v>
      </c>
      <c r="Q416" s="536">
        <v>23400</v>
      </c>
      <c r="R416" s="536">
        <v>23400</v>
      </c>
      <c r="S416" s="536">
        <v>23400</v>
      </c>
      <c r="T416" s="536">
        <v>23400</v>
      </c>
      <c r="U416" s="536">
        <v>23400</v>
      </c>
      <c r="V416" s="536">
        <v>23400</v>
      </c>
      <c r="W416" s="536">
        <v>23400</v>
      </c>
      <c r="X416" s="536">
        <v>23400</v>
      </c>
      <c r="Y416" s="536">
        <v>23400</v>
      </c>
      <c r="Z416" s="536">
        <v>23400</v>
      </c>
      <c r="AA416" s="536">
        <v>23400</v>
      </c>
      <c r="AB416" s="536">
        <v>23400</v>
      </c>
      <c r="AC416" s="536">
        <v>23400</v>
      </c>
      <c r="AD416" s="536">
        <v>23400</v>
      </c>
      <c r="AE416" s="536">
        <v>23400</v>
      </c>
      <c r="AF416" s="536">
        <v>23400</v>
      </c>
      <c r="AG416" s="536">
        <v>23400</v>
      </c>
      <c r="AH416" s="540">
        <f>AG416</f>
        <v>23400</v>
      </c>
      <c r="AI416" s="540">
        <f t="shared" ref="AI416:CE417" si="294">AH416</f>
        <v>23400</v>
      </c>
      <c r="AJ416" s="540">
        <f t="shared" si="294"/>
        <v>23400</v>
      </c>
      <c r="AK416" s="540">
        <f t="shared" si="294"/>
        <v>23400</v>
      </c>
      <c r="AL416" s="540">
        <f t="shared" si="294"/>
        <v>23400</v>
      </c>
      <c r="AM416" s="540">
        <f t="shared" si="294"/>
        <v>23400</v>
      </c>
      <c r="AN416" s="540">
        <f t="shared" si="294"/>
        <v>23400</v>
      </c>
      <c r="AO416" s="540">
        <f t="shared" si="294"/>
        <v>23400</v>
      </c>
      <c r="AP416" s="540">
        <f t="shared" si="294"/>
        <v>23400</v>
      </c>
      <c r="AQ416" s="540">
        <f t="shared" si="294"/>
        <v>23400</v>
      </c>
      <c r="AR416" s="540">
        <f t="shared" si="294"/>
        <v>23400</v>
      </c>
      <c r="AS416" s="540">
        <f t="shared" si="294"/>
        <v>23400</v>
      </c>
      <c r="AT416" s="540">
        <f t="shared" si="294"/>
        <v>23400</v>
      </c>
      <c r="AU416" s="540">
        <f t="shared" si="294"/>
        <v>23400</v>
      </c>
      <c r="AV416" s="540">
        <f t="shared" si="294"/>
        <v>23400</v>
      </c>
      <c r="AW416" s="540">
        <f t="shared" si="294"/>
        <v>23400</v>
      </c>
      <c r="AX416" s="540">
        <f t="shared" si="294"/>
        <v>23400</v>
      </c>
      <c r="AY416" s="540">
        <f t="shared" si="294"/>
        <v>23400</v>
      </c>
      <c r="AZ416" s="540">
        <f t="shared" si="294"/>
        <v>23400</v>
      </c>
      <c r="BA416" s="540">
        <f t="shared" si="294"/>
        <v>23400</v>
      </c>
      <c r="BB416" s="540">
        <f t="shared" si="294"/>
        <v>23400</v>
      </c>
      <c r="BC416" s="540">
        <f t="shared" si="294"/>
        <v>23400</v>
      </c>
      <c r="BD416" s="540">
        <f t="shared" si="294"/>
        <v>23400</v>
      </c>
      <c r="BE416" s="540">
        <f t="shared" si="294"/>
        <v>23400</v>
      </c>
      <c r="BF416" s="540">
        <f t="shared" si="294"/>
        <v>23400</v>
      </c>
      <c r="BG416" s="540">
        <f t="shared" si="294"/>
        <v>23400</v>
      </c>
      <c r="BH416" s="540">
        <f t="shared" si="294"/>
        <v>23400</v>
      </c>
      <c r="BI416" s="540">
        <f t="shared" si="294"/>
        <v>23400</v>
      </c>
      <c r="BJ416" s="540">
        <f t="shared" si="294"/>
        <v>23400</v>
      </c>
      <c r="BK416" s="540">
        <f t="shared" si="294"/>
        <v>23400</v>
      </c>
      <c r="BL416" s="540">
        <f t="shared" si="294"/>
        <v>23400</v>
      </c>
      <c r="BM416" s="540">
        <f t="shared" si="294"/>
        <v>23400</v>
      </c>
      <c r="BN416" s="540">
        <f t="shared" si="294"/>
        <v>23400</v>
      </c>
      <c r="BO416" s="540">
        <f t="shared" si="294"/>
        <v>23400</v>
      </c>
      <c r="BP416" s="540">
        <f t="shared" si="294"/>
        <v>23400</v>
      </c>
      <c r="BQ416" s="540">
        <f t="shared" si="294"/>
        <v>23400</v>
      </c>
      <c r="BR416" s="540">
        <f t="shared" si="294"/>
        <v>23400</v>
      </c>
      <c r="BS416" s="540">
        <f t="shared" si="294"/>
        <v>23400</v>
      </c>
      <c r="BT416" s="540">
        <f t="shared" si="294"/>
        <v>23400</v>
      </c>
      <c r="BU416" s="540">
        <f t="shared" si="294"/>
        <v>23400</v>
      </c>
      <c r="BV416" s="540">
        <f t="shared" si="294"/>
        <v>23400</v>
      </c>
      <c r="BW416" s="540">
        <f t="shared" si="294"/>
        <v>23400</v>
      </c>
      <c r="BX416" s="540">
        <f t="shared" si="294"/>
        <v>23400</v>
      </c>
      <c r="BY416" s="540">
        <f t="shared" si="294"/>
        <v>23400</v>
      </c>
      <c r="BZ416" s="540">
        <f t="shared" si="294"/>
        <v>23400</v>
      </c>
      <c r="CA416" s="540">
        <f t="shared" si="294"/>
        <v>23400</v>
      </c>
      <c r="CB416" s="540">
        <f t="shared" si="294"/>
        <v>23400</v>
      </c>
      <c r="CC416" s="540">
        <f t="shared" si="294"/>
        <v>23400</v>
      </c>
      <c r="CD416" s="540">
        <f t="shared" si="294"/>
        <v>23400</v>
      </c>
      <c r="CE416" s="540">
        <f t="shared" si="294"/>
        <v>23400</v>
      </c>
      <c r="CG416" s="536">
        <v>23400</v>
      </c>
      <c r="CH416" s="536">
        <v>23400</v>
      </c>
      <c r="CI416" s="536">
        <v>23400</v>
      </c>
      <c r="CJ416" s="536">
        <v>23400</v>
      </c>
      <c r="CK416" s="536">
        <v>23400</v>
      </c>
      <c r="CL416" s="536">
        <v>23400</v>
      </c>
      <c r="CM416" s="536">
        <v>23400</v>
      </c>
      <c r="CN416" s="536">
        <v>23400</v>
      </c>
      <c r="CO416" s="536">
        <v>23400</v>
      </c>
      <c r="CP416" s="536">
        <v>23400</v>
      </c>
      <c r="CQ416" s="536">
        <v>23400</v>
      </c>
      <c r="CR416" s="536">
        <v>23400</v>
      </c>
      <c r="CS416" s="536">
        <v>23400</v>
      </c>
      <c r="CT416" s="536">
        <v>23400</v>
      </c>
      <c r="CU416" s="536">
        <v>23400</v>
      </c>
      <c r="CV416" s="536">
        <v>23400</v>
      </c>
      <c r="CW416" s="536">
        <v>23400</v>
      </c>
      <c r="CX416" s="536">
        <v>23400</v>
      </c>
      <c r="CY416" s="536">
        <v>23400</v>
      </c>
      <c r="CZ416" s="536">
        <v>23400</v>
      </c>
      <c r="DA416" s="536">
        <v>23400</v>
      </c>
      <c r="DB416" s="536">
        <v>23400</v>
      </c>
      <c r="DC416" s="536">
        <v>23400</v>
      </c>
      <c r="DD416" s="536">
        <v>23400</v>
      </c>
      <c r="DE416" s="536">
        <v>23400</v>
      </c>
      <c r="DF416" s="536">
        <v>23400</v>
      </c>
      <c r="DG416" s="536">
        <v>23400</v>
      </c>
      <c r="DH416" s="536">
        <v>23400</v>
      </c>
    </row>
    <row r="417" spans="2:112">
      <c r="B417" t="s">
        <v>1270</v>
      </c>
      <c r="C417" t="s">
        <v>1257</v>
      </c>
      <c r="D417" t="s">
        <v>905</v>
      </c>
      <c r="E417" t="s">
        <v>557</v>
      </c>
      <c r="F417" s="536">
        <v>0</v>
      </c>
      <c r="G417" s="536">
        <v>0</v>
      </c>
      <c r="H417" s="536">
        <v>0</v>
      </c>
      <c r="I417" s="536">
        <v>0</v>
      </c>
      <c r="J417" s="536">
        <v>0</v>
      </c>
      <c r="K417" s="536">
        <v>0</v>
      </c>
      <c r="L417" s="536">
        <v>0</v>
      </c>
      <c r="M417" s="536">
        <v>0</v>
      </c>
      <c r="N417" s="536">
        <v>0</v>
      </c>
      <c r="O417" s="536">
        <v>0</v>
      </c>
      <c r="P417" s="536">
        <v>0</v>
      </c>
      <c r="Q417" s="536">
        <v>0</v>
      </c>
      <c r="R417" s="536">
        <v>0</v>
      </c>
      <c r="S417" s="536">
        <v>0</v>
      </c>
      <c r="T417" s="536">
        <v>0</v>
      </c>
      <c r="U417" s="536">
        <v>0</v>
      </c>
      <c r="V417" s="536">
        <v>0</v>
      </c>
      <c r="W417" s="536">
        <v>0</v>
      </c>
      <c r="X417" s="536">
        <v>0</v>
      </c>
      <c r="Y417" s="536">
        <v>0</v>
      </c>
      <c r="Z417" s="536">
        <v>0</v>
      </c>
      <c r="AA417" s="536">
        <v>0</v>
      </c>
      <c r="AB417" s="536">
        <v>0</v>
      </c>
      <c r="AC417" s="536">
        <v>0</v>
      </c>
      <c r="AD417" s="536">
        <v>0</v>
      </c>
      <c r="AE417" s="536">
        <v>0</v>
      </c>
      <c r="AF417" s="536">
        <v>0</v>
      </c>
      <c r="AG417" s="536">
        <v>0</v>
      </c>
      <c r="AH417" s="540">
        <f>AG417</f>
        <v>0</v>
      </c>
      <c r="AI417" s="540">
        <f t="shared" si="294"/>
        <v>0</v>
      </c>
      <c r="AJ417" s="540">
        <f t="shared" si="294"/>
        <v>0</v>
      </c>
      <c r="AK417" s="540">
        <f t="shared" si="294"/>
        <v>0</v>
      </c>
      <c r="AL417" s="540">
        <f t="shared" si="294"/>
        <v>0</v>
      </c>
      <c r="AM417" s="540">
        <f t="shared" si="294"/>
        <v>0</v>
      </c>
      <c r="AN417" s="540">
        <f t="shared" si="294"/>
        <v>0</v>
      </c>
      <c r="AO417" s="540">
        <f t="shared" si="294"/>
        <v>0</v>
      </c>
      <c r="AP417" s="540">
        <f t="shared" si="294"/>
        <v>0</v>
      </c>
      <c r="AQ417" s="540">
        <f t="shared" si="294"/>
        <v>0</v>
      </c>
      <c r="AR417" s="540">
        <f t="shared" si="294"/>
        <v>0</v>
      </c>
      <c r="AS417" s="540">
        <f t="shared" si="294"/>
        <v>0</v>
      </c>
      <c r="AT417" s="540">
        <f t="shared" si="294"/>
        <v>0</v>
      </c>
      <c r="AU417" s="540">
        <f t="shared" si="294"/>
        <v>0</v>
      </c>
      <c r="AV417" s="540">
        <f t="shared" si="294"/>
        <v>0</v>
      </c>
      <c r="AW417" s="540">
        <f t="shared" si="294"/>
        <v>0</v>
      </c>
      <c r="AX417" s="540">
        <f t="shared" si="294"/>
        <v>0</v>
      </c>
      <c r="AY417" s="540">
        <f t="shared" si="294"/>
        <v>0</v>
      </c>
      <c r="AZ417" s="540">
        <f t="shared" si="294"/>
        <v>0</v>
      </c>
      <c r="BA417" s="540">
        <f t="shared" si="294"/>
        <v>0</v>
      </c>
      <c r="BB417" s="540">
        <f t="shared" si="294"/>
        <v>0</v>
      </c>
      <c r="BC417" s="540">
        <f t="shared" si="294"/>
        <v>0</v>
      </c>
      <c r="BD417" s="540">
        <f t="shared" si="294"/>
        <v>0</v>
      </c>
      <c r="BE417" s="540">
        <f t="shared" si="294"/>
        <v>0</v>
      </c>
      <c r="BF417" s="540">
        <f t="shared" si="294"/>
        <v>0</v>
      </c>
      <c r="BG417" s="540">
        <f t="shared" si="294"/>
        <v>0</v>
      </c>
      <c r="BH417" s="540">
        <f t="shared" si="294"/>
        <v>0</v>
      </c>
      <c r="BI417" s="540">
        <f t="shared" si="294"/>
        <v>0</v>
      </c>
      <c r="BJ417" s="540">
        <f t="shared" si="294"/>
        <v>0</v>
      </c>
      <c r="BK417" s="540">
        <f t="shared" si="294"/>
        <v>0</v>
      </c>
      <c r="BL417" s="540">
        <f t="shared" si="294"/>
        <v>0</v>
      </c>
      <c r="BM417" s="540">
        <f t="shared" si="294"/>
        <v>0</v>
      </c>
      <c r="BN417" s="540">
        <f t="shared" si="294"/>
        <v>0</v>
      </c>
      <c r="BO417" s="540">
        <f t="shared" si="294"/>
        <v>0</v>
      </c>
      <c r="BP417" s="540">
        <f t="shared" si="294"/>
        <v>0</v>
      </c>
      <c r="BQ417" s="540">
        <f t="shared" si="294"/>
        <v>0</v>
      </c>
      <c r="BR417" s="540">
        <f t="shared" si="294"/>
        <v>0</v>
      </c>
      <c r="BS417" s="540">
        <f t="shared" si="294"/>
        <v>0</v>
      </c>
      <c r="BT417" s="540">
        <f t="shared" si="294"/>
        <v>0</v>
      </c>
      <c r="BU417" s="540">
        <f t="shared" si="294"/>
        <v>0</v>
      </c>
      <c r="BV417" s="540">
        <f t="shared" si="294"/>
        <v>0</v>
      </c>
      <c r="BW417" s="540">
        <f t="shared" si="294"/>
        <v>0</v>
      </c>
      <c r="BX417" s="540">
        <f t="shared" si="294"/>
        <v>0</v>
      </c>
      <c r="BY417" s="540">
        <f t="shared" si="294"/>
        <v>0</v>
      </c>
      <c r="BZ417" s="540">
        <f t="shared" si="294"/>
        <v>0</v>
      </c>
      <c r="CA417" s="540">
        <f t="shared" si="294"/>
        <v>0</v>
      </c>
      <c r="CB417" s="540">
        <f t="shared" si="294"/>
        <v>0</v>
      </c>
      <c r="CC417" s="540">
        <f t="shared" si="294"/>
        <v>0</v>
      </c>
      <c r="CD417" s="540">
        <f t="shared" si="294"/>
        <v>0</v>
      </c>
      <c r="CE417" s="540">
        <f t="shared" si="294"/>
        <v>0</v>
      </c>
      <c r="CG417" s="536">
        <v>0</v>
      </c>
      <c r="CH417" s="536">
        <v>0</v>
      </c>
      <c r="CI417" s="536">
        <v>0</v>
      </c>
      <c r="CJ417" s="536">
        <v>0</v>
      </c>
      <c r="CK417" s="536">
        <v>0</v>
      </c>
      <c r="CL417" s="536">
        <v>0</v>
      </c>
      <c r="CM417" s="536">
        <v>0</v>
      </c>
      <c r="CN417" s="536">
        <v>0</v>
      </c>
      <c r="CO417" s="536">
        <v>0</v>
      </c>
      <c r="CP417" s="536">
        <v>0</v>
      </c>
      <c r="CQ417" s="536">
        <v>0</v>
      </c>
      <c r="CR417" s="536">
        <v>0</v>
      </c>
      <c r="CS417" s="536">
        <v>0</v>
      </c>
      <c r="CT417" s="536">
        <v>0</v>
      </c>
      <c r="CU417" s="536">
        <v>0</v>
      </c>
      <c r="CV417" s="536">
        <v>0</v>
      </c>
      <c r="CW417" s="536">
        <v>0</v>
      </c>
      <c r="CX417" s="536">
        <v>0</v>
      </c>
      <c r="CY417" s="536">
        <v>0</v>
      </c>
      <c r="CZ417" s="536">
        <v>0</v>
      </c>
      <c r="DA417" s="536">
        <v>0</v>
      </c>
      <c r="DB417" s="536">
        <v>0</v>
      </c>
      <c r="DC417" s="536">
        <v>0</v>
      </c>
      <c r="DD417" s="536">
        <v>0</v>
      </c>
      <c r="DE417" s="536">
        <v>0</v>
      </c>
      <c r="DF417" s="536">
        <v>0</v>
      </c>
      <c r="DG417" s="536">
        <v>0</v>
      </c>
      <c r="DH417" s="536">
        <v>0</v>
      </c>
    </row>
    <row r="418" spans="2:112">
      <c r="F418" s="539"/>
      <c r="G418" s="539"/>
      <c r="H418" s="539"/>
      <c r="I418" s="539"/>
      <c r="J418" s="539"/>
      <c r="K418" s="539"/>
      <c r="L418" s="539"/>
      <c r="M418" s="539"/>
      <c r="N418" s="539"/>
      <c r="O418" s="539"/>
      <c r="P418" s="539"/>
      <c r="Q418" s="539"/>
      <c r="R418" s="539"/>
      <c r="S418" s="539"/>
      <c r="T418" s="539"/>
      <c r="U418" s="539"/>
      <c r="V418" s="539"/>
      <c r="W418" s="539"/>
      <c r="X418" s="539"/>
      <c r="Y418" s="539"/>
      <c r="Z418" s="539"/>
      <c r="AA418" s="539"/>
      <c r="AB418" s="539"/>
      <c r="AC418" s="539"/>
      <c r="AD418" s="539"/>
      <c r="AE418" s="539"/>
      <c r="AF418" s="539"/>
      <c r="AG418" s="539"/>
      <c r="AH418" s="539"/>
      <c r="AI418" s="539"/>
      <c r="AJ418" s="539"/>
      <c r="AK418" s="539"/>
      <c r="AL418" s="539"/>
      <c r="AM418" s="539"/>
      <c r="AN418" s="539"/>
      <c r="AO418" s="539"/>
      <c r="AP418" s="539"/>
      <c r="AQ418" s="539"/>
      <c r="AR418" s="539"/>
      <c r="AS418" s="539"/>
      <c r="AT418" s="539"/>
      <c r="AU418" s="539"/>
      <c r="AV418" s="539"/>
      <c r="AW418" s="539"/>
      <c r="AX418" s="539"/>
      <c r="AY418" s="539"/>
      <c r="AZ418" s="539"/>
      <c r="BA418" s="539"/>
      <c r="BB418" s="539"/>
      <c r="BC418" s="539"/>
      <c r="BD418" s="539"/>
      <c r="BE418" s="539"/>
      <c r="BF418" s="539"/>
      <c r="BG418" s="539"/>
      <c r="BH418" s="539"/>
      <c r="BI418" s="539"/>
      <c r="BJ418" s="539"/>
      <c r="BK418" s="539"/>
      <c r="BL418" s="539"/>
      <c r="BM418" s="539"/>
      <c r="BN418" s="539"/>
      <c r="BO418" s="539"/>
      <c r="BP418" s="539"/>
      <c r="BQ418" s="539"/>
      <c r="BR418" s="539"/>
      <c r="BS418" s="539"/>
      <c r="BT418" s="539"/>
      <c r="BU418" s="539"/>
      <c r="BV418" s="539"/>
      <c r="BW418" s="539"/>
      <c r="BX418" s="539"/>
      <c r="BY418" s="539"/>
      <c r="BZ418" s="539"/>
      <c r="CA418" s="539"/>
      <c r="CB418" s="539"/>
      <c r="CC418" s="539"/>
      <c r="CD418" s="539"/>
      <c r="CE418" s="539"/>
      <c r="CG418" s="539"/>
      <c r="CH418" s="539"/>
      <c r="CI418" s="539"/>
      <c r="CJ418" s="539"/>
      <c r="CK418" s="539"/>
      <c r="CL418" s="539"/>
      <c r="CM418" s="539"/>
      <c r="CN418" s="539"/>
      <c r="CO418" s="539"/>
      <c r="CP418" s="539"/>
      <c r="CQ418" s="539"/>
      <c r="CR418" s="539"/>
      <c r="CS418" s="539"/>
      <c r="CT418" s="539"/>
      <c r="CU418" s="539"/>
      <c r="CV418" s="539"/>
      <c r="CW418" s="539"/>
      <c r="CX418" s="539"/>
      <c r="CY418" s="539"/>
      <c r="CZ418" s="539"/>
      <c r="DA418" s="539"/>
      <c r="DB418" s="539"/>
      <c r="DC418" s="539"/>
      <c r="DD418" s="539"/>
      <c r="DE418" s="539"/>
      <c r="DF418" s="539"/>
      <c r="DG418" s="539"/>
      <c r="DH418" s="539"/>
    </row>
    <row r="419" spans="2:112">
      <c r="B419" t="s">
        <v>1271</v>
      </c>
      <c r="C419" t="s">
        <v>1257</v>
      </c>
      <c r="D419" t="s">
        <v>907</v>
      </c>
      <c r="E419" t="s">
        <v>908</v>
      </c>
      <c r="F419" s="541">
        <v>102.16200000000001</v>
      </c>
      <c r="G419" s="541">
        <v>102.16200000000001</v>
      </c>
      <c r="H419" s="541">
        <v>102.16200000000001</v>
      </c>
      <c r="I419" s="541">
        <v>102.16200000000001</v>
      </c>
      <c r="J419" s="541">
        <v>102.16200000000001</v>
      </c>
      <c r="K419" s="541">
        <v>102.16200000000001</v>
      </c>
      <c r="L419" s="541">
        <v>102.16200000000001</v>
      </c>
      <c r="M419" s="541">
        <v>102.16200000000001</v>
      </c>
      <c r="N419" s="541">
        <v>102.16200000000001</v>
      </c>
      <c r="O419" s="541">
        <v>102.16200000000001</v>
      </c>
      <c r="P419" s="541">
        <v>102.16200000000001</v>
      </c>
      <c r="Q419" s="541">
        <v>102.16200000000001</v>
      </c>
      <c r="R419" s="541">
        <v>102.16200000000001</v>
      </c>
      <c r="S419" s="541">
        <v>102.16200000000001</v>
      </c>
      <c r="T419" s="541">
        <v>102.16200000000001</v>
      </c>
      <c r="U419" s="541">
        <v>102.16200000000001</v>
      </c>
      <c r="V419" s="541">
        <v>102.16200000000001</v>
      </c>
      <c r="W419" s="541">
        <v>102.16200000000001</v>
      </c>
      <c r="X419" s="541">
        <v>102.16200000000001</v>
      </c>
      <c r="Y419" s="541">
        <v>102.16200000000001</v>
      </c>
      <c r="Z419" s="541">
        <v>102.16200000000001</v>
      </c>
      <c r="AA419" s="541">
        <v>102.16200000000001</v>
      </c>
      <c r="AB419" s="541">
        <v>102.16200000000001</v>
      </c>
      <c r="AC419" s="541">
        <v>102.16200000000001</v>
      </c>
      <c r="AD419" s="541">
        <v>102.16200000000001</v>
      </c>
      <c r="AE419" s="541">
        <v>102.16200000000001</v>
      </c>
      <c r="AF419" s="541">
        <v>102.16200000000001</v>
      </c>
      <c r="AG419" s="541">
        <v>102.16200000000001</v>
      </c>
      <c r="AH419" s="542">
        <f>AG419</f>
        <v>102.16200000000001</v>
      </c>
      <c r="AI419" s="542">
        <f t="shared" ref="AI419:AX419" si="295">AH419</f>
        <v>102.16200000000001</v>
      </c>
      <c r="AJ419" s="542">
        <f t="shared" si="295"/>
        <v>102.16200000000001</v>
      </c>
      <c r="AK419" s="542">
        <f t="shared" si="295"/>
        <v>102.16200000000001</v>
      </c>
      <c r="AL419" s="542">
        <f t="shared" si="295"/>
        <v>102.16200000000001</v>
      </c>
      <c r="AM419" s="542">
        <f t="shared" si="295"/>
        <v>102.16200000000001</v>
      </c>
      <c r="AN419" s="542">
        <f t="shared" si="295"/>
        <v>102.16200000000001</v>
      </c>
      <c r="AO419" s="542">
        <f t="shared" si="295"/>
        <v>102.16200000000001</v>
      </c>
      <c r="AP419" s="542">
        <f t="shared" si="295"/>
        <v>102.16200000000001</v>
      </c>
      <c r="AQ419" s="542">
        <f t="shared" si="295"/>
        <v>102.16200000000001</v>
      </c>
      <c r="AR419" s="542">
        <f t="shared" si="295"/>
        <v>102.16200000000001</v>
      </c>
      <c r="AS419" s="542">
        <f t="shared" si="295"/>
        <v>102.16200000000001</v>
      </c>
      <c r="AT419" s="542">
        <f t="shared" si="295"/>
        <v>102.16200000000001</v>
      </c>
      <c r="AU419" s="542">
        <f t="shared" si="295"/>
        <v>102.16200000000001</v>
      </c>
      <c r="AV419" s="542">
        <f t="shared" si="295"/>
        <v>102.16200000000001</v>
      </c>
      <c r="AW419" s="542">
        <f t="shared" si="295"/>
        <v>102.16200000000001</v>
      </c>
      <c r="AX419" s="542">
        <f t="shared" si="295"/>
        <v>102.16200000000001</v>
      </c>
      <c r="AY419" s="542">
        <f t="shared" ref="AY419:BN419" si="296">AX419</f>
        <v>102.16200000000001</v>
      </c>
      <c r="AZ419" s="542">
        <f t="shared" si="296"/>
        <v>102.16200000000001</v>
      </c>
      <c r="BA419" s="542">
        <f t="shared" si="296"/>
        <v>102.16200000000001</v>
      </c>
      <c r="BB419" s="542">
        <f t="shared" si="296"/>
        <v>102.16200000000001</v>
      </c>
      <c r="BC419" s="542">
        <f t="shared" si="296"/>
        <v>102.16200000000001</v>
      </c>
      <c r="BD419" s="542">
        <f t="shared" si="296"/>
        <v>102.16200000000001</v>
      </c>
      <c r="BE419" s="542">
        <f t="shared" si="296"/>
        <v>102.16200000000001</v>
      </c>
      <c r="BF419" s="542">
        <f t="shared" si="296"/>
        <v>102.16200000000001</v>
      </c>
      <c r="BG419" s="542">
        <f t="shared" si="296"/>
        <v>102.16200000000001</v>
      </c>
      <c r="BH419" s="542">
        <f t="shared" si="296"/>
        <v>102.16200000000001</v>
      </c>
      <c r="BI419" s="542">
        <f t="shared" si="296"/>
        <v>102.16200000000001</v>
      </c>
      <c r="BJ419" s="542">
        <f t="shared" si="296"/>
        <v>102.16200000000001</v>
      </c>
      <c r="BK419" s="542">
        <f t="shared" si="296"/>
        <v>102.16200000000001</v>
      </c>
      <c r="BL419" s="542">
        <f t="shared" si="296"/>
        <v>102.16200000000001</v>
      </c>
      <c r="BM419" s="542">
        <f t="shared" si="296"/>
        <v>102.16200000000001</v>
      </c>
      <c r="BN419" s="542">
        <f t="shared" si="296"/>
        <v>102.16200000000001</v>
      </c>
      <c r="BO419" s="542">
        <f t="shared" ref="BO419:CD419" si="297">BN419</f>
        <v>102.16200000000001</v>
      </c>
      <c r="BP419" s="542">
        <f t="shared" si="297"/>
        <v>102.16200000000001</v>
      </c>
      <c r="BQ419" s="542">
        <f t="shared" si="297"/>
        <v>102.16200000000001</v>
      </c>
      <c r="BR419" s="542">
        <f t="shared" si="297"/>
        <v>102.16200000000001</v>
      </c>
      <c r="BS419" s="542">
        <f t="shared" si="297"/>
        <v>102.16200000000001</v>
      </c>
      <c r="BT419" s="542">
        <f t="shared" si="297"/>
        <v>102.16200000000001</v>
      </c>
      <c r="BU419" s="542">
        <f t="shared" si="297"/>
        <v>102.16200000000001</v>
      </c>
      <c r="BV419" s="542">
        <f t="shared" si="297"/>
        <v>102.16200000000001</v>
      </c>
      <c r="BW419" s="542">
        <f t="shared" si="297"/>
        <v>102.16200000000001</v>
      </c>
      <c r="BX419" s="542">
        <f t="shared" si="297"/>
        <v>102.16200000000001</v>
      </c>
      <c r="BY419" s="542">
        <f t="shared" si="297"/>
        <v>102.16200000000001</v>
      </c>
      <c r="BZ419" s="542">
        <f t="shared" si="297"/>
        <v>102.16200000000001</v>
      </c>
      <c r="CA419" s="542">
        <f t="shared" si="297"/>
        <v>102.16200000000001</v>
      </c>
      <c r="CB419" s="542">
        <f t="shared" si="297"/>
        <v>102.16200000000001</v>
      </c>
      <c r="CC419" s="542">
        <f t="shared" si="297"/>
        <v>102.16200000000001</v>
      </c>
      <c r="CD419" s="542">
        <f t="shared" si="297"/>
        <v>102.16200000000001</v>
      </c>
      <c r="CE419" s="542">
        <f t="shared" ref="AX419:CE426" si="298">CD419</f>
        <v>102.16200000000001</v>
      </c>
      <c r="CG419" s="541">
        <v>102.16200000000001</v>
      </c>
      <c r="CH419" s="541">
        <v>102.16200000000001</v>
      </c>
      <c r="CI419" s="541">
        <v>102.16200000000001</v>
      </c>
      <c r="CJ419" s="541">
        <v>102.16200000000001</v>
      </c>
      <c r="CK419" s="541">
        <v>102.16200000000001</v>
      </c>
      <c r="CL419" s="541">
        <v>102.16200000000001</v>
      </c>
      <c r="CM419" s="541">
        <v>102.16200000000001</v>
      </c>
      <c r="CN419" s="541">
        <v>102.16200000000001</v>
      </c>
      <c r="CO419" s="541">
        <v>102.16200000000001</v>
      </c>
      <c r="CP419" s="541">
        <v>102.16200000000001</v>
      </c>
      <c r="CQ419" s="541">
        <v>102.16200000000001</v>
      </c>
      <c r="CR419" s="541">
        <v>102.16200000000001</v>
      </c>
      <c r="CS419" s="541">
        <v>102.16200000000001</v>
      </c>
      <c r="CT419" s="541">
        <v>102.16200000000001</v>
      </c>
      <c r="CU419" s="541">
        <v>102.16200000000001</v>
      </c>
      <c r="CV419" s="541">
        <v>102.16200000000001</v>
      </c>
      <c r="CW419" s="541">
        <v>102.16200000000001</v>
      </c>
      <c r="CX419" s="541">
        <v>102.16200000000001</v>
      </c>
      <c r="CY419" s="541">
        <v>102.16200000000001</v>
      </c>
      <c r="CZ419" s="541">
        <v>102.16200000000001</v>
      </c>
      <c r="DA419" s="541">
        <v>102.16200000000001</v>
      </c>
      <c r="DB419" s="541">
        <v>102.16200000000001</v>
      </c>
      <c r="DC419" s="541">
        <v>102.16200000000001</v>
      </c>
      <c r="DD419" s="541">
        <v>102.16200000000001</v>
      </c>
      <c r="DE419" s="541">
        <v>102.16200000000001</v>
      </c>
      <c r="DF419" s="541">
        <v>102.16200000000001</v>
      </c>
      <c r="DG419" s="541">
        <v>102.16200000000001</v>
      </c>
      <c r="DH419" s="541">
        <v>102.16200000000001</v>
      </c>
    </row>
    <row r="420" spans="2:112">
      <c r="B420" t="s">
        <v>1272</v>
      </c>
      <c r="C420" t="s">
        <v>1257</v>
      </c>
      <c r="D420" t="s">
        <v>910</v>
      </c>
      <c r="E420" t="s">
        <v>911</v>
      </c>
      <c r="F420" s="541">
        <v>0.85520600000000002</v>
      </c>
      <c r="G420" s="541">
        <v>0.85520600000000002</v>
      </c>
      <c r="H420" s="541">
        <v>0.85520600000000002</v>
      </c>
      <c r="I420" s="541">
        <v>0.85520600000000002</v>
      </c>
      <c r="J420" s="541">
        <v>0.85520600000000002</v>
      </c>
      <c r="K420" s="541">
        <v>0.85520600000000002</v>
      </c>
      <c r="L420" s="541">
        <v>0.85520600000000002</v>
      </c>
      <c r="M420" s="541">
        <v>0.85520600000000002</v>
      </c>
      <c r="N420" s="541">
        <v>0.85520600000000002</v>
      </c>
      <c r="O420" s="541">
        <v>0.85520600000000002</v>
      </c>
      <c r="P420" s="541">
        <v>0.85520600000000002</v>
      </c>
      <c r="Q420" s="541">
        <v>0.85520600000000002</v>
      </c>
      <c r="R420" s="541">
        <v>0.85520600000000002</v>
      </c>
      <c r="S420" s="541">
        <v>0.85520600000000002</v>
      </c>
      <c r="T420" s="541">
        <v>0.85520600000000002</v>
      </c>
      <c r="U420" s="541">
        <v>0.85520600000000002</v>
      </c>
      <c r="V420" s="541">
        <v>0.85520600000000002</v>
      </c>
      <c r="W420" s="541">
        <v>0.85520600000000002</v>
      </c>
      <c r="X420" s="541">
        <v>0.85520600000000002</v>
      </c>
      <c r="Y420" s="541">
        <v>0.85520600000000002</v>
      </c>
      <c r="Z420" s="541">
        <v>0.85520600000000002</v>
      </c>
      <c r="AA420" s="541">
        <v>0.85520600000000002</v>
      </c>
      <c r="AB420" s="541">
        <v>0.85520600000000002</v>
      </c>
      <c r="AC420" s="541">
        <v>0.85520600000000002</v>
      </c>
      <c r="AD420" s="541">
        <v>0.85520600000000002</v>
      </c>
      <c r="AE420" s="541">
        <v>0.85520600000000002</v>
      </c>
      <c r="AF420" s="541">
        <v>0.85520600000000002</v>
      </c>
      <c r="AG420" s="541">
        <v>0.85520600000000002</v>
      </c>
      <c r="AH420" s="542">
        <f t="shared" ref="AH420:AW426" si="299">AG420</f>
        <v>0.85520600000000002</v>
      </c>
      <c r="AI420" s="542">
        <f t="shared" si="299"/>
        <v>0.85520600000000002</v>
      </c>
      <c r="AJ420" s="542">
        <f t="shared" si="299"/>
        <v>0.85520600000000002</v>
      </c>
      <c r="AK420" s="542">
        <f t="shared" si="299"/>
        <v>0.85520600000000002</v>
      </c>
      <c r="AL420" s="542">
        <f t="shared" si="299"/>
        <v>0.85520600000000002</v>
      </c>
      <c r="AM420" s="542">
        <f t="shared" si="299"/>
        <v>0.85520600000000002</v>
      </c>
      <c r="AN420" s="542">
        <f t="shared" si="299"/>
        <v>0.85520600000000002</v>
      </c>
      <c r="AO420" s="542">
        <f t="shared" si="299"/>
        <v>0.85520600000000002</v>
      </c>
      <c r="AP420" s="542">
        <f t="shared" si="299"/>
        <v>0.85520600000000002</v>
      </c>
      <c r="AQ420" s="542">
        <f t="shared" si="299"/>
        <v>0.85520600000000002</v>
      </c>
      <c r="AR420" s="542">
        <f t="shared" si="299"/>
        <v>0.85520600000000002</v>
      </c>
      <c r="AS420" s="542">
        <f t="shared" si="299"/>
        <v>0.85520600000000002</v>
      </c>
      <c r="AT420" s="542">
        <f t="shared" si="299"/>
        <v>0.85520600000000002</v>
      </c>
      <c r="AU420" s="542">
        <f t="shared" si="299"/>
        <v>0.85520600000000002</v>
      </c>
      <c r="AV420" s="542">
        <f t="shared" si="299"/>
        <v>0.85520600000000002</v>
      </c>
      <c r="AW420" s="542">
        <f t="shared" si="299"/>
        <v>0.85520600000000002</v>
      </c>
      <c r="AX420" s="542">
        <f t="shared" si="298"/>
        <v>0.85520600000000002</v>
      </c>
      <c r="AY420" s="542">
        <f t="shared" si="298"/>
        <v>0.85520600000000002</v>
      </c>
      <c r="AZ420" s="542">
        <f t="shared" si="298"/>
        <v>0.85520600000000002</v>
      </c>
      <c r="BA420" s="542">
        <f t="shared" si="298"/>
        <v>0.85520600000000002</v>
      </c>
      <c r="BB420" s="542">
        <f t="shared" si="298"/>
        <v>0.85520600000000002</v>
      </c>
      <c r="BC420" s="542">
        <f t="shared" si="298"/>
        <v>0.85520600000000002</v>
      </c>
      <c r="BD420" s="542">
        <f t="shared" si="298"/>
        <v>0.85520600000000002</v>
      </c>
      <c r="BE420" s="542">
        <f t="shared" si="298"/>
        <v>0.85520600000000002</v>
      </c>
      <c r="BF420" s="542">
        <f t="shared" si="298"/>
        <v>0.85520600000000002</v>
      </c>
      <c r="BG420" s="542">
        <f t="shared" si="298"/>
        <v>0.85520600000000002</v>
      </c>
      <c r="BH420" s="542">
        <f t="shared" si="298"/>
        <v>0.85520600000000002</v>
      </c>
      <c r="BI420" s="542">
        <f t="shared" si="298"/>
        <v>0.85520600000000002</v>
      </c>
      <c r="BJ420" s="542">
        <f t="shared" si="298"/>
        <v>0.85520600000000002</v>
      </c>
      <c r="BK420" s="542">
        <f t="shared" si="298"/>
        <v>0.85520600000000002</v>
      </c>
      <c r="BL420" s="542">
        <f t="shared" si="298"/>
        <v>0.85520600000000002</v>
      </c>
      <c r="BM420" s="542">
        <f t="shared" si="298"/>
        <v>0.85520600000000002</v>
      </c>
      <c r="BN420" s="542">
        <f t="shared" si="298"/>
        <v>0.85520600000000002</v>
      </c>
      <c r="BO420" s="542">
        <f t="shared" si="298"/>
        <v>0.85520600000000002</v>
      </c>
      <c r="BP420" s="542">
        <f t="shared" si="298"/>
        <v>0.85520600000000002</v>
      </c>
      <c r="BQ420" s="542">
        <f t="shared" si="298"/>
        <v>0.85520600000000002</v>
      </c>
      <c r="BR420" s="542">
        <f t="shared" si="298"/>
        <v>0.85520600000000002</v>
      </c>
      <c r="BS420" s="542">
        <f t="shared" si="298"/>
        <v>0.85520600000000002</v>
      </c>
      <c r="BT420" s="542">
        <f t="shared" si="298"/>
        <v>0.85520600000000002</v>
      </c>
      <c r="BU420" s="542">
        <f t="shared" si="298"/>
        <v>0.85520600000000002</v>
      </c>
      <c r="BV420" s="542">
        <f t="shared" si="298"/>
        <v>0.85520600000000002</v>
      </c>
      <c r="BW420" s="542">
        <f t="shared" si="298"/>
        <v>0.85520600000000002</v>
      </c>
      <c r="BX420" s="542">
        <f t="shared" si="298"/>
        <v>0.85520600000000002</v>
      </c>
      <c r="BY420" s="542">
        <f t="shared" si="298"/>
        <v>0.85520600000000002</v>
      </c>
      <c r="BZ420" s="542">
        <f t="shared" si="298"/>
        <v>0.85520600000000002</v>
      </c>
      <c r="CA420" s="542">
        <f t="shared" si="298"/>
        <v>0.85520600000000002</v>
      </c>
      <c r="CB420" s="542">
        <f t="shared" si="298"/>
        <v>0.85520600000000002</v>
      </c>
      <c r="CC420" s="542">
        <f t="shared" si="298"/>
        <v>0.85520600000000002</v>
      </c>
      <c r="CD420" s="542">
        <f t="shared" si="298"/>
        <v>0.85520600000000002</v>
      </c>
      <c r="CE420" s="542">
        <f t="shared" si="298"/>
        <v>0.85520600000000002</v>
      </c>
      <c r="CG420" s="541">
        <v>0.85520600000000002</v>
      </c>
      <c r="CH420" s="541">
        <v>0.85520600000000002</v>
      </c>
      <c r="CI420" s="541">
        <v>0.85520600000000002</v>
      </c>
      <c r="CJ420" s="541">
        <v>0.85520600000000002</v>
      </c>
      <c r="CK420" s="541">
        <v>0.85520600000000002</v>
      </c>
      <c r="CL420" s="541">
        <v>0.85520600000000002</v>
      </c>
      <c r="CM420" s="541">
        <v>0.85520600000000002</v>
      </c>
      <c r="CN420" s="541">
        <v>0.85520600000000002</v>
      </c>
      <c r="CO420" s="541">
        <v>0.85520600000000002</v>
      </c>
      <c r="CP420" s="541">
        <v>0.85520600000000002</v>
      </c>
      <c r="CQ420" s="541">
        <v>0.85520600000000002</v>
      </c>
      <c r="CR420" s="541">
        <v>0.85520600000000002</v>
      </c>
      <c r="CS420" s="541">
        <v>0.85520600000000002</v>
      </c>
      <c r="CT420" s="541">
        <v>0.85520600000000002</v>
      </c>
      <c r="CU420" s="541">
        <v>0.85520600000000002</v>
      </c>
      <c r="CV420" s="541">
        <v>0.85520600000000002</v>
      </c>
      <c r="CW420" s="541">
        <v>0.85520600000000002</v>
      </c>
      <c r="CX420" s="541">
        <v>0.85520600000000002</v>
      </c>
      <c r="CY420" s="541">
        <v>0.85520600000000002</v>
      </c>
      <c r="CZ420" s="541">
        <v>0.85520600000000002</v>
      </c>
      <c r="DA420" s="541">
        <v>0.85520600000000002</v>
      </c>
      <c r="DB420" s="541">
        <v>0.85520600000000002</v>
      </c>
      <c r="DC420" s="541">
        <v>0.85520600000000002</v>
      </c>
      <c r="DD420" s="541">
        <v>0.85520600000000002</v>
      </c>
      <c r="DE420" s="541">
        <v>0.85520600000000002</v>
      </c>
      <c r="DF420" s="541">
        <v>0.85520600000000002</v>
      </c>
      <c r="DG420" s="541">
        <v>0.85520600000000002</v>
      </c>
      <c r="DH420" s="541">
        <v>0.85520600000000002</v>
      </c>
    </row>
    <row r="421" spans="2:112">
      <c r="B421" t="s">
        <v>1273</v>
      </c>
      <c r="C421" t="s">
        <v>1257</v>
      </c>
      <c r="D421" t="s">
        <v>913</v>
      </c>
      <c r="E421" t="s">
        <v>908</v>
      </c>
      <c r="F421" s="541">
        <v>106.46075</v>
      </c>
      <c r="G421" s="541">
        <v>106.46075</v>
      </c>
      <c r="H421" s="541">
        <v>106.46075</v>
      </c>
      <c r="I421" s="541">
        <v>106.46075</v>
      </c>
      <c r="J421" s="541">
        <v>106.46075</v>
      </c>
      <c r="K421" s="541">
        <v>106.46075</v>
      </c>
      <c r="L421" s="541">
        <v>106.46075</v>
      </c>
      <c r="M421" s="541">
        <v>106.46075</v>
      </c>
      <c r="N421" s="541">
        <v>106.46075</v>
      </c>
      <c r="O421" s="541">
        <v>106.46075</v>
      </c>
      <c r="P421" s="541">
        <v>106.46075</v>
      </c>
      <c r="Q421" s="541">
        <v>106.46075</v>
      </c>
      <c r="R421" s="541">
        <v>106.46075</v>
      </c>
      <c r="S421" s="541">
        <v>106.46075</v>
      </c>
      <c r="T421" s="541">
        <v>106.46075</v>
      </c>
      <c r="U421" s="541">
        <v>106.46075</v>
      </c>
      <c r="V421" s="541">
        <v>106.46075</v>
      </c>
      <c r="W421" s="541">
        <v>106.46075</v>
      </c>
      <c r="X421" s="541">
        <v>106.46075</v>
      </c>
      <c r="Y421" s="541">
        <v>106.46075</v>
      </c>
      <c r="Z421" s="541">
        <v>106.46075</v>
      </c>
      <c r="AA421" s="541">
        <v>106.46075</v>
      </c>
      <c r="AB421" s="541">
        <v>106.46075</v>
      </c>
      <c r="AC421" s="541">
        <v>106.46075</v>
      </c>
      <c r="AD421" s="541">
        <v>106.46075</v>
      </c>
      <c r="AE421" s="541">
        <v>106.46075</v>
      </c>
      <c r="AF421" s="541">
        <v>106.46075</v>
      </c>
      <c r="AG421" s="541">
        <v>106.46075</v>
      </c>
      <c r="AH421" s="542">
        <f t="shared" si="299"/>
        <v>106.46075</v>
      </c>
      <c r="AI421" s="542">
        <f t="shared" si="299"/>
        <v>106.46075</v>
      </c>
      <c r="AJ421" s="542">
        <f t="shared" si="299"/>
        <v>106.46075</v>
      </c>
      <c r="AK421" s="542">
        <f t="shared" si="299"/>
        <v>106.46075</v>
      </c>
      <c r="AL421" s="542">
        <f t="shared" si="299"/>
        <v>106.46075</v>
      </c>
      <c r="AM421" s="542">
        <f t="shared" si="299"/>
        <v>106.46075</v>
      </c>
      <c r="AN421" s="542">
        <f t="shared" si="299"/>
        <v>106.46075</v>
      </c>
      <c r="AO421" s="542">
        <f t="shared" si="299"/>
        <v>106.46075</v>
      </c>
      <c r="AP421" s="542">
        <f t="shared" si="299"/>
        <v>106.46075</v>
      </c>
      <c r="AQ421" s="542">
        <f t="shared" si="299"/>
        <v>106.46075</v>
      </c>
      <c r="AR421" s="542">
        <f t="shared" si="299"/>
        <v>106.46075</v>
      </c>
      <c r="AS421" s="542">
        <f t="shared" si="299"/>
        <v>106.46075</v>
      </c>
      <c r="AT421" s="542">
        <f t="shared" si="299"/>
        <v>106.46075</v>
      </c>
      <c r="AU421" s="542">
        <f t="shared" si="299"/>
        <v>106.46075</v>
      </c>
      <c r="AV421" s="542">
        <f t="shared" si="299"/>
        <v>106.46075</v>
      </c>
      <c r="AW421" s="542">
        <f t="shared" si="299"/>
        <v>106.46075</v>
      </c>
      <c r="AX421" s="542">
        <f t="shared" si="298"/>
        <v>106.46075</v>
      </c>
      <c r="AY421" s="542">
        <f t="shared" si="298"/>
        <v>106.46075</v>
      </c>
      <c r="AZ421" s="542">
        <f t="shared" si="298"/>
        <v>106.46075</v>
      </c>
      <c r="BA421" s="542">
        <f t="shared" si="298"/>
        <v>106.46075</v>
      </c>
      <c r="BB421" s="542">
        <f t="shared" si="298"/>
        <v>106.46075</v>
      </c>
      <c r="BC421" s="542">
        <f t="shared" si="298"/>
        <v>106.46075</v>
      </c>
      <c r="BD421" s="542">
        <f t="shared" si="298"/>
        <v>106.46075</v>
      </c>
      <c r="BE421" s="542">
        <f t="shared" si="298"/>
        <v>106.46075</v>
      </c>
      <c r="BF421" s="542">
        <f t="shared" si="298"/>
        <v>106.46075</v>
      </c>
      <c r="BG421" s="542">
        <f t="shared" si="298"/>
        <v>106.46075</v>
      </c>
      <c r="BH421" s="542">
        <f t="shared" si="298"/>
        <v>106.46075</v>
      </c>
      <c r="BI421" s="542">
        <f t="shared" si="298"/>
        <v>106.46075</v>
      </c>
      <c r="BJ421" s="542">
        <f t="shared" si="298"/>
        <v>106.46075</v>
      </c>
      <c r="BK421" s="542">
        <f t="shared" si="298"/>
        <v>106.46075</v>
      </c>
      <c r="BL421" s="542">
        <f t="shared" si="298"/>
        <v>106.46075</v>
      </c>
      <c r="BM421" s="542">
        <f t="shared" si="298"/>
        <v>106.46075</v>
      </c>
      <c r="BN421" s="542">
        <f t="shared" si="298"/>
        <v>106.46075</v>
      </c>
      <c r="BO421" s="542">
        <f t="shared" si="298"/>
        <v>106.46075</v>
      </c>
      <c r="BP421" s="542">
        <f t="shared" si="298"/>
        <v>106.46075</v>
      </c>
      <c r="BQ421" s="542">
        <f t="shared" si="298"/>
        <v>106.46075</v>
      </c>
      <c r="BR421" s="542">
        <f t="shared" si="298"/>
        <v>106.46075</v>
      </c>
      <c r="BS421" s="542">
        <f t="shared" si="298"/>
        <v>106.46075</v>
      </c>
      <c r="BT421" s="542">
        <f t="shared" si="298"/>
        <v>106.46075</v>
      </c>
      <c r="BU421" s="542">
        <f t="shared" si="298"/>
        <v>106.46075</v>
      </c>
      <c r="BV421" s="542">
        <f t="shared" si="298"/>
        <v>106.46075</v>
      </c>
      <c r="BW421" s="542">
        <f t="shared" si="298"/>
        <v>106.46075</v>
      </c>
      <c r="BX421" s="542">
        <f t="shared" si="298"/>
        <v>106.46075</v>
      </c>
      <c r="BY421" s="542">
        <f t="shared" si="298"/>
        <v>106.46075</v>
      </c>
      <c r="BZ421" s="542">
        <f t="shared" si="298"/>
        <v>106.46075</v>
      </c>
      <c r="CA421" s="542">
        <f t="shared" si="298"/>
        <v>106.46075</v>
      </c>
      <c r="CB421" s="542">
        <f t="shared" si="298"/>
        <v>106.46075</v>
      </c>
      <c r="CC421" s="542">
        <f t="shared" si="298"/>
        <v>106.46075</v>
      </c>
      <c r="CD421" s="542">
        <f t="shared" si="298"/>
        <v>106.46075</v>
      </c>
      <c r="CE421" s="542">
        <f t="shared" si="298"/>
        <v>106.46075</v>
      </c>
      <c r="CG421" s="541">
        <v>106.46075</v>
      </c>
      <c r="CH421" s="541">
        <v>106.46075</v>
      </c>
      <c r="CI421" s="541">
        <v>106.46075</v>
      </c>
      <c r="CJ421" s="541">
        <v>106.46075</v>
      </c>
      <c r="CK421" s="541">
        <v>106.46075</v>
      </c>
      <c r="CL421" s="541">
        <v>106.46075</v>
      </c>
      <c r="CM421" s="541">
        <v>106.46075</v>
      </c>
      <c r="CN421" s="541">
        <v>106.46075</v>
      </c>
      <c r="CO421" s="541">
        <v>106.46075</v>
      </c>
      <c r="CP421" s="541">
        <v>106.46075</v>
      </c>
      <c r="CQ421" s="541">
        <v>106.46075</v>
      </c>
      <c r="CR421" s="541">
        <v>106.46075</v>
      </c>
      <c r="CS421" s="541">
        <v>106.46075</v>
      </c>
      <c r="CT421" s="541">
        <v>106.46075</v>
      </c>
      <c r="CU421" s="541">
        <v>106.46075</v>
      </c>
      <c r="CV421" s="541">
        <v>106.46075</v>
      </c>
      <c r="CW421" s="541">
        <v>106.46075</v>
      </c>
      <c r="CX421" s="541">
        <v>106.46075</v>
      </c>
      <c r="CY421" s="541">
        <v>106.46075</v>
      </c>
      <c r="CZ421" s="541">
        <v>106.46075</v>
      </c>
      <c r="DA421" s="541">
        <v>106.46075</v>
      </c>
      <c r="DB421" s="541">
        <v>106.46075</v>
      </c>
      <c r="DC421" s="541">
        <v>106.46075</v>
      </c>
      <c r="DD421" s="541">
        <v>106.46075</v>
      </c>
      <c r="DE421" s="541">
        <v>106.46075</v>
      </c>
      <c r="DF421" s="541">
        <v>106.46075</v>
      </c>
      <c r="DG421" s="541">
        <v>106.46075</v>
      </c>
      <c r="DH421" s="541">
        <v>106.46075</v>
      </c>
    </row>
    <row r="422" spans="2:112">
      <c r="B422" t="s">
        <v>1274</v>
      </c>
      <c r="C422" t="s">
        <v>1257</v>
      </c>
      <c r="D422" t="s">
        <v>915</v>
      </c>
      <c r="E422" t="s">
        <v>911</v>
      </c>
      <c r="F422" s="541">
        <v>0.89452350000000003</v>
      </c>
      <c r="G422" s="541">
        <v>0.89452350000000003</v>
      </c>
      <c r="H422" s="541">
        <v>0.89452350000000003</v>
      </c>
      <c r="I422" s="541">
        <v>0.89452350000000003</v>
      </c>
      <c r="J422" s="541">
        <v>0.89452350000000003</v>
      </c>
      <c r="K422" s="541">
        <v>0.89452350000000003</v>
      </c>
      <c r="L422" s="541">
        <v>0.89452350000000003</v>
      </c>
      <c r="M422" s="541">
        <v>0.89452350000000003</v>
      </c>
      <c r="N422" s="541">
        <v>0.89452350000000003</v>
      </c>
      <c r="O422" s="541">
        <v>0.89452350000000003</v>
      </c>
      <c r="P422" s="541">
        <v>0.89452350000000003</v>
      </c>
      <c r="Q422" s="541">
        <v>0.89452350000000003</v>
      </c>
      <c r="R422" s="541">
        <v>0.89452350000000003</v>
      </c>
      <c r="S422" s="541">
        <v>0.89452350000000003</v>
      </c>
      <c r="T422" s="541">
        <v>0.89452350000000003</v>
      </c>
      <c r="U422" s="541">
        <v>0.89452350000000003</v>
      </c>
      <c r="V422" s="541">
        <v>0.89452350000000003</v>
      </c>
      <c r="W422" s="541">
        <v>0.89452350000000003</v>
      </c>
      <c r="X422" s="541">
        <v>0.89452350000000003</v>
      </c>
      <c r="Y422" s="541">
        <v>0.89452350000000003</v>
      </c>
      <c r="Z422" s="541">
        <v>0.89452350000000003</v>
      </c>
      <c r="AA422" s="541">
        <v>0.89452350000000003</v>
      </c>
      <c r="AB422" s="541">
        <v>0.89452350000000003</v>
      </c>
      <c r="AC422" s="541">
        <v>0.89452350000000003</v>
      </c>
      <c r="AD422" s="541">
        <v>0.89452350000000003</v>
      </c>
      <c r="AE422" s="541">
        <v>0.89452350000000003</v>
      </c>
      <c r="AF422" s="541">
        <v>0.89452350000000003</v>
      </c>
      <c r="AG422" s="541">
        <v>0.89452350000000003</v>
      </c>
      <c r="AH422" s="542">
        <f t="shared" si="299"/>
        <v>0.89452350000000003</v>
      </c>
      <c r="AI422" s="542">
        <f t="shared" si="299"/>
        <v>0.89452350000000003</v>
      </c>
      <c r="AJ422" s="542">
        <f t="shared" si="299"/>
        <v>0.89452350000000003</v>
      </c>
      <c r="AK422" s="542">
        <f t="shared" si="299"/>
        <v>0.89452350000000003</v>
      </c>
      <c r="AL422" s="542">
        <f t="shared" si="299"/>
        <v>0.89452350000000003</v>
      </c>
      <c r="AM422" s="542">
        <f t="shared" si="299"/>
        <v>0.89452350000000003</v>
      </c>
      <c r="AN422" s="542">
        <f t="shared" si="299"/>
        <v>0.89452350000000003</v>
      </c>
      <c r="AO422" s="542">
        <f t="shared" si="299"/>
        <v>0.89452350000000003</v>
      </c>
      <c r="AP422" s="542">
        <f t="shared" si="299"/>
        <v>0.89452350000000003</v>
      </c>
      <c r="AQ422" s="542">
        <f t="shared" si="299"/>
        <v>0.89452350000000003</v>
      </c>
      <c r="AR422" s="542">
        <f t="shared" si="299"/>
        <v>0.89452350000000003</v>
      </c>
      <c r="AS422" s="542">
        <f t="shared" si="299"/>
        <v>0.89452350000000003</v>
      </c>
      <c r="AT422" s="542">
        <f t="shared" si="299"/>
        <v>0.89452350000000003</v>
      </c>
      <c r="AU422" s="542">
        <f t="shared" si="299"/>
        <v>0.89452350000000003</v>
      </c>
      <c r="AV422" s="542">
        <f t="shared" si="299"/>
        <v>0.89452350000000003</v>
      </c>
      <c r="AW422" s="542">
        <f t="shared" si="299"/>
        <v>0.89452350000000003</v>
      </c>
      <c r="AX422" s="542">
        <f t="shared" si="298"/>
        <v>0.89452350000000003</v>
      </c>
      <c r="AY422" s="542">
        <f t="shared" si="298"/>
        <v>0.89452350000000003</v>
      </c>
      <c r="AZ422" s="542">
        <f t="shared" si="298"/>
        <v>0.89452350000000003</v>
      </c>
      <c r="BA422" s="542">
        <f t="shared" si="298"/>
        <v>0.89452350000000003</v>
      </c>
      <c r="BB422" s="542">
        <f t="shared" si="298"/>
        <v>0.89452350000000003</v>
      </c>
      <c r="BC422" s="542">
        <f t="shared" si="298"/>
        <v>0.89452350000000003</v>
      </c>
      <c r="BD422" s="542">
        <f t="shared" si="298"/>
        <v>0.89452350000000003</v>
      </c>
      <c r="BE422" s="542">
        <f t="shared" si="298"/>
        <v>0.89452350000000003</v>
      </c>
      <c r="BF422" s="542">
        <f t="shared" si="298"/>
        <v>0.89452350000000003</v>
      </c>
      <c r="BG422" s="542">
        <f t="shared" si="298"/>
        <v>0.89452350000000003</v>
      </c>
      <c r="BH422" s="542">
        <f t="shared" si="298"/>
        <v>0.89452350000000003</v>
      </c>
      <c r="BI422" s="542">
        <f t="shared" si="298"/>
        <v>0.89452350000000003</v>
      </c>
      <c r="BJ422" s="542">
        <f t="shared" si="298"/>
        <v>0.89452350000000003</v>
      </c>
      <c r="BK422" s="542">
        <f t="shared" si="298"/>
        <v>0.89452350000000003</v>
      </c>
      <c r="BL422" s="542">
        <f t="shared" si="298"/>
        <v>0.89452350000000003</v>
      </c>
      <c r="BM422" s="542">
        <f t="shared" si="298"/>
        <v>0.89452350000000003</v>
      </c>
      <c r="BN422" s="542">
        <f t="shared" si="298"/>
        <v>0.89452350000000003</v>
      </c>
      <c r="BO422" s="542">
        <f t="shared" si="298"/>
        <v>0.89452350000000003</v>
      </c>
      <c r="BP422" s="542">
        <f t="shared" si="298"/>
        <v>0.89452350000000003</v>
      </c>
      <c r="BQ422" s="542">
        <f t="shared" si="298"/>
        <v>0.89452350000000003</v>
      </c>
      <c r="BR422" s="542">
        <f t="shared" si="298"/>
        <v>0.89452350000000003</v>
      </c>
      <c r="BS422" s="542">
        <f t="shared" si="298"/>
        <v>0.89452350000000003</v>
      </c>
      <c r="BT422" s="542">
        <f t="shared" si="298"/>
        <v>0.89452350000000003</v>
      </c>
      <c r="BU422" s="542">
        <f t="shared" si="298"/>
        <v>0.89452350000000003</v>
      </c>
      <c r="BV422" s="542">
        <f t="shared" si="298"/>
        <v>0.89452350000000003</v>
      </c>
      <c r="BW422" s="542">
        <f t="shared" si="298"/>
        <v>0.89452350000000003</v>
      </c>
      <c r="BX422" s="542">
        <f t="shared" si="298"/>
        <v>0.89452350000000003</v>
      </c>
      <c r="BY422" s="542">
        <f t="shared" si="298"/>
        <v>0.89452350000000003</v>
      </c>
      <c r="BZ422" s="542">
        <f t="shared" si="298"/>
        <v>0.89452350000000003</v>
      </c>
      <c r="CA422" s="542">
        <f t="shared" si="298"/>
        <v>0.89452350000000003</v>
      </c>
      <c r="CB422" s="542">
        <f t="shared" si="298"/>
        <v>0.89452350000000003</v>
      </c>
      <c r="CC422" s="542">
        <f t="shared" si="298"/>
        <v>0.89452350000000003</v>
      </c>
      <c r="CD422" s="542">
        <f t="shared" si="298"/>
        <v>0.89452350000000003</v>
      </c>
      <c r="CE422" s="542">
        <f t="shared" si="298"/>
        <v>0.89452350000000003</v>
      </c>
      <c r="CG422" s="541">
        <v>0.89452350000000003</v>
      </c>
      <c r="CH422" s="541">
        <v>0.89452350000000003</v>
      </c>
      <c r="CI422" s="541">
        <v>0.89452350000000003</v>
      </c>
      <c r="CJ422" s="541">
        <v>0.89452350000000003</v>
      </c>
      <c r="CK422" s="541">
        <v>0.89452350000000003</v>
      </c>
      <c r="CL422" s="541">
        <v>0.89452350000000003</v>
      </c>
      <c r="CM422" s="541">
        <v>0.89452350000000003</v>
      </c>
      <c r="CN422" s="541">
        <v>0.89452350000000003</v>
      </c>
      <c r="CO422" s="541">
        <v>0.89452350000000003</v>
      </c>
      <c r="CP422" s="541">
        <v>0.89452350000000003</v>
      </c>
      <c r="CQ422" s="541">
        <v>0.89452350000000003</v>
      </c>
      <c r="CR422" s="541">
        <v>0.89452350000000003</v>
      </c>
      <c r="CS422" s="541">
        <v>0.89452350000000003</v>
      </c>
      <c r="CT422" s="541">
        <v>0.89452350000000003</v>
      </c>
      <c r="CU422" s="541">
        <v>0.89452350000000003</v>
      </c>
      <c r="CV422" s="541">
        <v>0.89452350000000003</v>
      </c>
      <c r="CW422" s="541">
        <v>0.89452350000000003</v>
      </c>
      <c r="CX422" s="541">
        <v>0.89452350000000003</v>
      </c>
      <c r="CY422" s="541">
        <v>0.89452350000000003</v>
      </c>
      <c r="CZ422" s="541">
        <v>0.89452350000000003</v>
      </c>
      <c r="DA422" s="541">
        <v>0.89452350000000003</v>
      </c>
      <c r="DB422" s="541">
        <v>0.89452350000000003</v>
      </c>
      <c r="DC422" s="541">
        <v>0.89452350000000003</v>
      </c>
      <c r="DD422" s="541">
        <v>0.89452350000000003</v>
      </c>
      <c r="DE422" s="541">
        <v>0.89452350000000003</v>
      </c>
      <c r="DF422" s="541">
        <v>0.89452350000000003</v>
      </c>
      <c r="DG422" s="541">
        <v>0.89452350000000003</v>
      </c>
      <c r="DH422" s="541">
        <v>0.89452350000000003</v>
      </c>
    </row>
    <row r="423" spans="2:112">
      <c r="B423" t="s">
        <v>1275</v>
      </c>
      <c r="C423" t="s">
        <v>1257</v>
      </c>
      <c r="D423" t="s">
        <v>917</v>
      </c>
      <c r="E423" t="s">
        <v>908</v>
      </c>
      <c r="F423" s="541">
        <v>104.64875000000001</v>
      </c>
      <c r="G423" s="541">
        <v>104.64875000000001</v>
      </c>
      <c r="H423" s="541">
        <v>104.64875000000001</v>
      </c>
      <c r="I423" s="541">
        <v>104.64875000000001</v>
      </c>
      <c r="J423" s="541">
        <v>104.64875000000001</v>
      </c>
      <c r="K423" s="541">
        <v>104.64875000000001</v>
      </c>
      <c r="L423" s="541">
        <v>104.64875000000001</v>
      </c>
      <c r="M423" s="541">
        <v>104.64875000000001</v>
      </c>
      <c r="N423" s="541">
        <v>104.64875000000001</v>
      </c>
      <c r="O423" s="541">
        <v>104.64875000000001</v>
      </c>
      <c r="P423" s="541">
        <v>104.64875000000001</v>
      </c>
      <c r="Q423" s="541">
        <v>104.64875000000001</v>
      </c>
      <c r="R423" s="541">
        <v>104.64875000000001</v>
      </c>
      <c r="S423" s="541">
        <v>104.64875000000001</v>
      </c>
      <c r="T423" s="541">
        <v>104.64875000000001</v>
      </c>
      <c r="U423" s="541">
        <v>104.64875000000001</v>
      </c>
      <c r="V423" s="541">
        <v>104.64875000000001</v>
      </c>
      <c r="W423" s="541">
        <v>104.64875000000001</v>
      </c>
      <c r="X423" s="541">
        <v>104.64875000000001</v>
      </c>
      <c r="Y423" s="541">
        <v>104.64875000000001</v>
      </c>
      <c r="Z423" s="541">
        <v>104.64875000000001</v>
      </c>
      <c r="AA423" s="541">
        <v>104.64875000000001</v>
      </c>
      <c r="AB423" s="541">
        <v>104.64875000000001</v>
      </c>
      <c r="AC423" s="541">
        <v>104.64875000000001</v>
      </c>
      <c r="AD423" s="541">
        <v>104.64875000000001</v>
      </c>
      <c r="AE423" s="541">
        <v>104.64875000000001</v>
      </c>
      <c r="AF423" s="541">
        <v>104.64875000000001</v>
      </c>
      <c r="AG423" s="541">
        <v>104.64875000000001</v>
      </c>
      <c r="AH423" s="542">
        <f t="shared" si="299"/>
        <v>104.64875000000001</v>
      </c>
      <c r="AI423" s="542">
        <f t="shared" si="299"/>
        <v>104.64875000000001</v>
      </c>
      <c r="AJ423" s="542">
        <f t="shared" si="299"/>
        <v>104.64875000000001</v>
      </c>
      <c r="AK423" s="542">
        <f t="shared" si="299"/>
        <v>104.64875000000001</v>
      </c>
      <c r="AL423" s="542">
        <f t="shared" si="299"/>
        <v>104.64875000000001</v>
      </c>
      <c r="AM423" s="542">
        <f t="shared" si="299"/>
        <v>104.64875000000001</v>
      </c>
      <c r="AN423" s="542">
        <f t="shared" si="299"/>
        <v>104.64875000000001</v>
      </c>
      <c r="AO423" s="542">
        <f t="shared" si="299"/>
        <v>104.64875000000001</v>
      </c>
      <c r="AP423" s="542">
        <f t="shared" si="299"/>
        <v>104.64875000000001</v>
      </c>
      <c r="AQ423" s="542">
        <f t="shared" si="299"/>
        <v>104.64875000000001</v>
      </c>
      <c r="AR423" s="542">
        <f t="shared" si="299"/>
        <v>104.64875000000001</v>
      </c>
      <c r="AS423" s="542">
        <f t="shared" si="299"/>
        <v>104.64875000000001</v>
      </c>
      <c r="AT423" s="542">
        <f t="shared" si="299"/>
        <v>104.64875000000001</v>
      </c>
      <c r="AU423" s="542">
        <f t="shared" si="299"/>
        <v>104.64875000000001</v>
      </c>
      <c r="AV423" s="542">
        <f t="shared" si="299"/>
        <v>104.64875000000001</v>
      </c>
      <c r="AW423" s="542">
        <f t="shared" si="299"/>
        <v>104.64875000000001</v>
      </c>
      <c r="AX423" s="542">
        <f t="shared" si="298"/>
        <v>104.64875000000001</v>
      </c>
      <c r="AY423" s="542">
        <f t="shared" si="298"/>
        <v>104.64875000000001</v>
      </c>
      <c r="AZ423" s="542">
        <f t="shared" si="298"/>
        <v>104.64875000000001</v>
      </c>
      <c r="BA423" s="542">
        <f t="shared" si="298"/>
        <v>104.64875000000001</v>
      </c>
      <c r="BB423" s="542">
        <f t="shared" si="298"/>
        <v>104.64875000000001</v>
      </c>
      <c r="BC423" s="542">
        <f t="shared" si="298"/>
        <v>104.64875000000001</v>
      </c>
      <c r="BD423" s="542">
        <f t="shared" si="298"/>
        <v>104.64875000000001</v>
      </c>
      <c r="BE423" s="542">
        <f t="shared" si="298"/>
        <v>104.64875000000001</v>
      </c>
      <c r="BF423" s="542">
        <f t="shared" si="298"/>
        <v>104.64875000000001</v>
      </c>
      <c r="BG423" s="542">
        <f t="shared" si="298"/>
        <v>104.64875000000001</v>
      </c>
      <c r="BH423" s="542">
        <f t="shared" si="298"/>
        <v>104.64875000000001</v>
      </c>
      <c r="BI423" s="542">
        <f t="shared" si="298"/>
        <v>104.64875000000001</v>
      </c>
      <c r="BJ423" s="542">
        <f t="shared" si="298"/>
        <v>104.64875000000001</v>
      </c>
      <c r="BK423" s="542">
        <f t="shared" si="298"/>
        <v>104.64875000000001</v>
      </c>
      <c r="BL423" s="542">
        <f t="shared" si="298"/>
        <v>104.64875000000001</v>
      </c>
      <c r="BM423" s="542">
        <f t="shared" si="298"/>
        <v>104.64875000000001</v>
      </c>
      <c r="BN423" s="542">
        <f t="shared" si="298"/>
        <v>104.64875000000001</v>
      </c>
      <c r="BO423" s="542">
        <f t="shared" si="298"/>
        <v>104.64875000000001</v>
      </c>
      <c r="BP423" s="542">
        <f t="shared" si="298"/>
        <v>104.64875000000001</v>
      </c>
      <c r="BQ423" s="542">
        <f t="shared" si="298"/>
        <v>104.64875000000001</v>
      </c>
      <c r="BR423" s="542">
        <f t="shared" si="298"/>
        <v>104.64875000000001</v>
      </c>
      <c r="BS423" s="542">
        <f t="shared" si="298"/>
        <v>104.64875000000001</v>
      </c>
      <c r="BT423" s="542">
        <f t="shared" si="298"/>
        <v>104.64875000000001</v>
      </c>
      <c r="BU423" s="542">
        <f t="shared" si="298"/>
        <v>104.64875000000001</v>
      </c>
      <c r="BV423" s="542">
        <f t="shared" si="298"/>
        <v>104.64875000000001</v>
      </c>
      <c r="BW423" s="542">
        <f t="shared" si="298"/>
        <v>104.64875000000001</v>
      </c>
      <c r="BX423" s="542">
        <f t="shared" si="298"/>
        <v>104.64875000000001</v>
      </c>
      <c r="BY423" s="542">
        <f t="shared" si="298"/>
        <v>104.64875000000001</v>
      </c>
      <c r="BZ423" s="542">
        <f t="shared" si="298"/>
        <v>104.64875000000001</v>
      </c>
      <c r="CA423" s="542">
        <f t="shared" si="298"/>
        <v>104.64875000000001</v>
      </c>
      <c r="CB423" s="542">
        <f t="shared" si="298"/>
        <v>104.64875000000001</v>
      </c>
      <c r="CC423" s="542">
        <f t="shared" si="298"/>
        <v>104.64875000000001</v>
      </c>
      <c r="CD423" s="542">
        <f t="shared" si="298"/>
        <v>104.64875000000001</v>
      </c>
      <c r="CE423" s="542">
        <f t="shared" si="298"/>
        <v>104.64875000000001</v>
      </c>
      <c r="CG423" s="541">
        <v>104.64875000000001</v>
      </c>
      <c r="CH423" s="541">
        <v>104.64875000000001</v>
      </c>
      <c r="CI423" s="541">
        <v>104.64875000000001</v>
      </c>
      <c r="CJ423" s="541">
        <v>104.64875000000001</v>
      </c>
      <c r="CK423" s="541">
        <v>104.64875000000001</v>
      </c>
      <c r="CL423" s="541">
        <v>104.64875000000001</v>
      </c>
      <c r="CM423" s="541">
        <v>104.64875000000001</v>
      </c>
      <c r="CN423" s="541">
        <v>104.64875000000001</v>
      </c>
      <c r="CO423" s="541">
        <v>104.64875000000001</v>
      </c>
      <c r="CP423" s="541">
        <v>104.64875000000001</v>
      </c>
      <c r="CQ423" s="541">
        <v>104.64875000000001</v>
      </c>
      <c r="CR423" s="541">
        <v>104.64875000000001</v>
      </c>
      <c r="CS423" s="541">
        <v>104.64875000000001</v>
      </c>
      <c r="CT423" s="541">
        <v>104.64875000000001</v>
      </c>
      <c r="CU423" s="541">
        <v>104.64875000000001</v>
      </c>
      <c r="CV423" s="541">
        <v>104.64875000000001</v>
      </c>
      <c r="CW423" s="541">
        <v>104.64875000000001</v>
      </c>
      <c r="CX423" s="541">
        <v>104.64875000000001</v>
      </c>
      <c r="CY423" s="541">
        <v>104.64875000000001</v>
      </c>
      <c r="CZ423" s="541">
        <v>104.64875000000001</v>
      </c>
      <c r="DA423" s="541">
        <v>104.64875000000001</v>
      </c>
      <c r="DB423" s="541">
        <v>104.64875000000001</v>
      </c>
      <c r="DC423" s="541">
        <v>104.64875000000001</v>
      </c>
      <c r="DD423" s="541">
        <v>104.64875000000001</v>
      </c>
      <c r="DE423" s="541">
        <v>104.64875000000001</v>
      </c>
      <c r="DF423" s="541">
        <v>104.64875000000001</v>
      </c>
      <c r="DG423" s="541">
        <v>104.64875000000001</v>
      </c>
      <c r="DH423" s="541">
        <v>104.64875000000001</v>
      </c>
    </row>
    <row r="424" spans="2:112">
      <c r="B424" t="s">
        <v>1276</v>
      </c>
      <c r="C424" t="s">
        <v>1257</v>
      </c>
      <c r="D424" t="s">
        <v>919</v>
      </c>
      <c r="E424" t="s">
        <v>911</v>
      </c>
      <c r="F424" s="541">
        <v>0.8764035</v>
      </c>
      <c r="G424" s="541">
        <v>0.8764035</v>
      </c>
      <c r="H424" s="541">
        <v>0.8764035</v>
      </c>
      <c r="I424" s="541">
        <v>0.8764035</v>
      </c>
      <c r="J424" s="541">
        <v>0.8764035</v>
      </c>
      <c r="K424" s="541">
        <v>0.8764035</v>
      </c>
      <c r="L424" s="541">
        <v>0.8764035</v>
      </c>
      <c r="M424" s="541">
        <v>0.8764035</v>
      </c>
      <c r="N424" s="541">
        <v>0.8764035</v>
      </c>
      <c r="O424" s="541">
        <v>0.8764035</v>
      </c>
      <c r="P424" s="541">
        <v>0.8764035</v>
      </c>
      <c r="Q424" s="541">
        <v>0.8764035</v>
      </c>
      <c r="R424" s="541">
        <v>0.8764035</v>
      </c>
      <c r="S424" s="541">
        <v>0.8764035</v>
      </c>
      <c r="T424" s="541">
        <v>0.8764035</v>
      </c>
      <c r="U424" s="541">
        <v>0.8764035</v>
      </c>
      <c r="V424" s="541">
        <v>0.8764035</v>
      </c>
      <c r="W424" s="541">
        <v>0.8764035</v>
      </c>
      <c r="X424" s="541">
        <v>0.8764035</v>
      </c>
      <c r="Y424" s="541">
        <v>0.8764035</v>
      </c>
      <c r="Z424" s="541">
        <v>0.8764035</v>
      </c>
      <c r="AA424" s="541">
        <v>0.8764035</v>
      </c>
      <c r="AB424" s="541">
        <v>0.8764035</v>
      </c>
      <c r="AC424" s="541">
        <v>0.8764035</v>
      </c>
      <c r="AD424" s="541">
        <v>0.8764035</v>
      </c>
      <c r="AE424" s="541">
        <v>0.8764035</v>
      </c>
      <c r="AF424" s="541">
        <v>0.8764035</v>
      </c>
      <c r="AG424" s="541">
        <v>0.8764035</v>
      </c>
      <c r="AH424" s="542">
        <f t="shared" si="299"/>
        <v>0.8764035</v>
      </c>
      <c r="AI424" s="542">
        <f t="shared" si="299"/>
        <v>0.8764035</v>
      </c>
      <c r="AJ424" s="542">
        <f t="shared" si="299"/>
        <v>0.8764035</v>
      </c>
      <c r="AK424" s="542">
        <f t="shared" si="299"/>
        <v>0.8764035</v>
      </c>
      <c r="AL424" s="542">
        <f t="shared" si="299"/>
        <v>0.8764035</v>
      </c>
      <c r="AM424" s="542">
        <f t="shared" si="299"/>
        <v>0.8764035</v>
      </c>
      <c r="AN424" s="542">
        <f t="shared" si="299"/>
        <v>0.8764035</v>
      </c>
      <c r="AO424" s="542">
        <f t="shared" si="299"/>
        <v>0.8764035</v>
      </c>
      <c r="AP424" s="542">
        <f t="shared" si="299"/>
        <v>0.8764035</v>
      </c>
      <c r="AQ424" s="542">
        <f t="shared" si="299"/>
        <v>0.8764035</v>
      </c>
      <c r="AR424" s="542">
        <f t="shared" si="299"/>
        <v>0.8764035</v>
      </c>
      <c r="AS424" s="542">
        <f t="shared" si="299"/>
        <v>0.8764035</v>
      </c>
      <c r="AT424" s="542">
        <f t="shared" si="299"/>
        <v>0.8764035</v>
      </c>
      <c r="AU424" s="542">
        <f t="shared" si="299"/>
        <v>0.8764035</v>
      </c>
      <c r="AV424" s="542">
        <f t="shared" si="299"/>
        <v>0.8764035</v>
      </c>
      <c r="AW424" s="542">
        <f t="shared" si="299"/>
        <v>0.8764035</v>
      </c>
      <c r="AX424" s="542">
        <f t="shared" si="298"/>
        <v>0.8764035</v>
      </c>
      <c r="AY424" s="542">
        <f t="shared" si="298"/>
        <v>0.8764035</v>
      </c>
      <c r="AZ424" s="542">
        <f t="shared" si="298"/>
        <v>0.8764035</v>
      </c>
      <c r="BA424" s="542">
        <f t="shared" si="298"/>
        <v>0.8764035</v>
      </c>
      <c r="BB424" s="542">
        <f t="shared" si="298"/>
        <v>0.8764035</v>
      </c>
      <c r="BC424" s="542">
        <f t="shared" si="298"/>
        <v>0.8764035</v>
      </c>
      <c r="BD424" s="542">
        <f t="shared" si="298"/>
        <v>0.8764035</v>
      </c>
      <c r="BE424" s="542">
        <f t="shared" si="298"/>
        <v>0.8764035</v>
      </c>
      <c r="BF424" s="542">
        <f t="shared" si="298"/>
        <v>0.8764035</v>
      </c>
      <c r="BG424" s="542">
        <f t="shared" si="298"/>
        <v>0.8764035</v>
      </c>
      <c r="BH424" s="542">
        <f t="shared" si="298"/>
        <v>0.8764035</v>
      </c>
      <c r="BI424" s="542">
        <f t="shared" si="298"/>
        <v>0.8764035</v>
      </c>
      <c r="BJ424" s="542">
        <f t="shared" si="298"/>
        <v>0.8764035</v>
      </c>
      <c r="BK424" s="542">
        <f t="shared" si="298"/>
        <v>0.8764035</v>
      </c>
      <c r="BL424" s="542">
        <f t="shared" si="298"/>
        <v>0.8764035</v>
      </c>
      <c r="BM424" s="542">
        <f t="shared" si="298"/>
        <v>0.8764035</v>
      </c>
      <c r="BN424" s="542">
        <f t="shared" si="298"/>
        <v>0.8764035</v>
      </c>
      <c r="BO424" s="542">
        <f t="shared" si="298"/>
        <v>0.8764035</v>
      </c>
      <c r="BP424" s="542">
        <f t="shared" si="298"/>
        <v>0.8764035</v>
      </c>
      <c r="BQ424" s="542">
        <f t="shared" si="298"/>
        <v>0.8764035</v>
      </c>
      <c r="BR424" s="542">
        <f t="shared" si="298"/>
        <v>0.8764035</v>
      </c>
      <c r="BS424" s="542">
        <f t="shared" si="298"/>
        <v>0.8764035</v>
      </c>
      <c r="BT424" s="542">
        <f t="shared" si="298"/>
        <v>0.8764035</v>
      </c>
      <c r="BU424" s="542">
        <f t="shared" si="298"/>
        <v>0.8764035</v>
      </c>
      <c r="BV424" s="542">
        <f t="shared" si="298"/>
        <v>0.8764035</v>
      </c>
      <c r="BW424" s="542">
        <f t="shared" si="298"/>
        <v>0.8764035</v>
      </c>
      <c r="BX424" s="542">
        <f t="shared" si="298"/>
        <v>0.8764035</v>
      </c>
      <c r="BY424" s="542">
        <f t="shared" si="298"/>
        <v>0.8764035</v>
      </c>
      <c r="BZ424" s="542">
        <f t="shared" si="298"/>
        <v>0.8764035</v>
      </c>
      <c r="CA424" s="542">
        <f t="shared" si="298"/>
        <v>0.8764035</v>
      </c>
      <c r="CB424" s="542">
        <f t="shared" si="298"/>
        <v>0.8764035</v>
      </c>
      <c r="CC424" s="542">
        <f t="shared" si="298"/>
        <v>0.8764035</v>
      </c>
      <c r="CD424" s="542">
        <f t="shared" si="298"/>
        <v>0.8764035</v>
      </c>
      <c r="CE424" s="542">
        <f t="shared" si="298"/>
        <v>0.8764035</v>
      </c>
      <c r="CG424" s="541">
        <v>0.8764035</v>
      </c>
      <c r="CH424" s="541">
        <v>0.8764035</v>
      </c>
      <c r="CI424" s="541">
        <v>0.8764035</v>
      </c>
      <c r="CJ424" s="541">
        <v>0.8764035</v>
      </c>
      <c r="CK424" s="541">
        <v>0.8764035</v>
      </c>
      <c r="CL424" s="541">
        <v>0.8764035</v>
      </c>
      <c r="CM424" s="541">
        <v>0.8764035</v>
      </c>
      <c r="CN424" s="541">
        <v>0.8764035</v>
      </c>
      <c r="CO424" s="541">
        <v>0.8764035</v>
      </c>
      <c r="CP424" s="541">
        <v>0.8764035</v>
      </c>
      <c r="CQ424" s="541">
        <v>0.8764035</v>
      </c>
      <c r="CR424" s="541">
        <v>0.8764035</v>
      </c>
      <c r="CS424" s="541">
        <v>0.8764035</v>
      </c>
      <c r="CT424" s="541">
        <v>0.8764035</v>
      </c>
      <c r="CU424" s="541">
        <v>0.8764035</v>
      </c>
      <c r="CV424" s="541">
        <v>0.8764035</v>
      </c>
      <c r="CW424" s="541">
        <v>0.8764035</v>
      </c>
      <c r="CX424" s="541">
        <v>0.8764035</v>
      </c>
      <c r="CY424" s="541">
        <v>0.8764035</v>
      </c>
      <c r="CZ424" s="541">
        <v>0.8764035</v>
      </c>
      <c r="DA424" s="541">
        <v>0.8764035</v>
      </c>
      <c r="DB424" s="541">
        <v>0.8764035</v>
      </c>
      <c r="DC424" s="541">
        <v>0.8764035</v>
      </c>
      <c r="DD424" s="541">
        <v>0.8764035</v>
      </c>
      <c r="DE424" s="541">
        <v>0.8764035</v>
      </c>
      <c r="DF424" s="541">
        <v>0.8764035</v>
      </c>
      <c r="DG424" s="541">
        <v>0.8764035</v>
      </c>
      <c r="DH424" s="541">
        <v>0.8764035</v>
      </c>
    </row>
    <row r="425" spans="2:112">
      <c r="B425" t="s">
        <v>1277</v>
      </c>
      <c r="C425" t="s">
        <v>1257</v>
      </c>
      <c r="D425" t="s">
        <v>921</v>
      </c>
      <c r="E425" t="s">
        <v>908</v>
      </c>
      <c r="F425" s="541">
        <v>105.35275</v>
      </c>
      <c r="G425" s="541">
        <v>105.35275</v>
      </c>
      <c r="H425" s="541">
        <v>105.35275</v>
      </c>
      <c r="I425" s="541">
        <v>105.35275</v>
      </c>
      <c r="J425" s="541">
        <v>105.35275</v>
      </c>
      <c r="K425" s="541">
        <v>105.35275</v>
      </c>
      <c r="L425" s="541">
        <v>105.35275</v>
      </c>
      <c r="M425" s="541">
        <v>105.35275</v>
      </c>
      <c r="N425" s="541">
        <v>105.35275</v>
      </c>
      <c r="O425" s="541">
        <v>105.35275</v>
      </c>
      <c r="P425" s="541">
        <v>105.35275</v>
      </c>
      <c r="Q425" s="541">
        <v>105.35275</v>
      </c>
      <c r="R425" s="541">
        <v>105.35275</v>
      </c>
      <c r="S425" s="541">
        <v>105.35275</v>
      </c>
      <c r="T425" s="541">
        <v>105.35275</v>
      </c>
      <c r="U425" s="541">
        <v>105.35275</v>
      </c>
      <c r="V425" s="541">
        <v>105.35275</v>
      </c>
      <c r="W425" s="541">
        <v>105.35275</v>
      </c>
      <c r="X425" s="541">
        <v>105.35275</v>
      </c>
      <c r="Y425" s="541">
        <v>105.35275</v>
      </c>
      <c r="Z425" s="541">
        <v>105.35275</v>
      </c>
      <c r="AA425" s="541">
        <v>105.35275</v>
      </c>
      <c r="AB425" s="541">
        <v>105.35275</v>
      </c>
      <c r="AC425" s="541">
        <v>105.35275</v>
      </c>
      <c r="AD425" s="541">
        <v>105.35275</v>
      </c>
      <c r="AE425" s="541">
        <v>105.35275</v>
      </c>
      <c r="AF425" s="541">
        <v>105.35275</v>
      </c>
      <c r="AG425" s="541">
        <v>105.35275</v>
      </c>
      <c r="AH425" s="542">
        <f t="shared" si="299"/>
        <v>105.35275</v>
      </c>
      <c r="AI425" s="542">
        <f t="shared" si="299"/>
        <v>105.35275</v>
      </c>
      <c r="AJ425" s="542">
        <f t="shared" si="299"/>
        <v>105.35275</v>
      </c>
      <c r="AK425" s="542">
        <f t="shared" si="299"/>
        <v>105.35275</v>
      </c>
      <c r="AL425" s="542">
        <f t="shared" si="299"/>
        <v>105.35275</v>
      </c>
      <c r="AM425" s="542">
        <f t="shared" si="299"/>
        <v>105.35275</v>
      </c>
      <c r="AN425" s="542">
        <f t="shared" si="299"/>
        <v>105.35275</v>
      </c>
      <c r="AO425" s="542">
        <f t="shared" si="299"/>
        <v>105.35275</v>
      </c>
      <c r="AP425" s="542">
        <f t="shared" si="299"/>
        <v>105.35275</v>
      </c>
      <c r="AQ425" s="542">
        <f t="shared" si="299"/>
        <v>105.35275</v>
      </c>
      <c r="AR425" s="542">
        <f t="shared" si="299"/>
        <v>105.35275</v>
      </c>
      <c r="AS425" s="542">
        <f t="shared" si="299"/>
        <v>105.35275</v>
      </c>
      <c r="AT425" s="542">
        <f t="shared" si="299"/>
        <v>105.35275</v>
      </c>
      <c r="AU425" s="542">
        <f t="shared" si="299"/>
        <v>105.35275</v>
      </c>
      <c r="AV425" s="542">
        <f t="shared" si="299"/>
        <v>105.35275</v>
      </c>
      <c r="AW425" s="542">
        <f t="shared" si="299"/>
        <v>105.35275</v>
      </c>
      <c r="AX425" s="542">
        <f t="shared" si="298"/>
        <v>105.35275</v>
      </c>
      <c r="AY425" s="542">
        <f t="shared" si="298"/>
        <v>105.35275</v>
      </c>
      <c r="AZ425" s="542">
        <f t="shared" si="298"/>
        <v>105.35275</v>
      </c>
      <c r="BA425" s="542">
        <f t="shared" si="298"/>
        <v>105.35275</v>
      </c>
      <c r="BB425" s="542">
        <f t="shared" si="298"/>
        <v>105.35275</v>
      </c>
      <c r="BC425" s="542">
        <f t="shared" si="298"/>
        <v>105.35275</v>
      </c>
      <c r="BD425" s="542">
        <f t="shared" si="298"/>
        <v>105.35275</v>
      </c>
      <c r="BE425" s="542">
        <f t="shared" si="298"/>
        <v>105.35275</v>
      </c>
      <c r="BF425" s="542">
        <f t="shared" si="298"/>
        <v>105.35275</v>
      </c>
      <c r="BG425" s="542">
        <f t="shared" si="298"/>
        <v>105.35275</v>
      </c>
      <c r="BH425" s="542">
        <f t="shared" si="298"/>
        <v>105.35275</v>
      </c>
      <c r="BI425" s="542">
        <f t="shared" si="298"/>
        <v>105.35275</v>
      </c>
      <c r="BJ425" s="542">
        <f t="shared" si="298"/>
        <v>105.35275</v>
      </c>
      <c r="BK425" s="542">
        <f t="shared" si="298"/>
        <v>105.35275</v>
      </c>
      <c r="BL425" s="542">
        <f t="shared" si="298"/>
        <v>105.35275</v>
      </c>
      <c r="BM425" s="542">
        <f t="shared" si="298"/>
        <v>105.35275</v>
      </c>
      <c r="BN425" s="542">
        <f t="shared" si="298"/>
        <v>105.35275</v>
      </c>
      <c r="BO425" s="542">
        <f t="shared" si="298"/>
        <v>105.35275</v>
      </c>
      <c r="BP425" s="542">
        <f t="shared" si="298"/>
        <v>105.35275</v>
      </c>
      <c r="BQ425" s="542">
        <f t="shared" si="298"/>
        <v>105.35275</v>
      </c>
      <c r="BR425" s="542">
        <f t="shared" si="298"/>
        <v>105.35275</v>
      </c>
      <c r="BS425" s="542">
        <f t="shared" si="298"/>
        <v>105.35275</v>
      </c>
      <c r="BT425" s="542">
        <f t="shared" si="298"/>
        <v>105.35275</v>
      </c>
      <c r="BU425" s="542">
        <f t="shared" si="298"/>
        <v>105.35275</v>
      </c>
      <c r="BV425" s="542">
        <f t="shared" si="298"/>
        <v>105.35275</v>
      </c>
      <c r="BW425" s="542">
        <f t="shared" si="298"/>
        <v>105.35275</v>
      </c>
      <c r="BX425" s="542">
        <f t="shared" si="298"/>
        <v>105.35275</v>
      </c>
      <c r="BY425" s="542">
        <f t="shared" si="298"/>
        <v>105.35275</v>
      </c>
      <c r="BZ425" s="542">
        <f t="shared" si="298"/>
        <v>105.35275</v>
      </c>
      <c r="CA425" s="542">
        <f t="shared" si="298"/>
        <v>105.35275</v>
      </c>
      <c r="CB425" s="542">
        <f t="shared" si="298"/>
        <v>105.35275</v>
      </c>
      <c r="CC425" s="542">
        <f t="shared" si="298"/>
        <v>105.35275</v>
      </c>
      <c r="CD425" s="542">
        <f t="shared" si="298"/>
        <v>105.35275</v>
      </c>
      <c r="CE425" s="542">
        <f t="shared" si="298"/>
        <v>105.35275</v>
      </c>
      <c r="CG425" s="541">
        <v>105.35275</v>
      </c>
      <c r="CH425" s="541">
        <v>105.35275</v>
      </c>
      <c r="CI425" s="541">
        <v>105.35275</v>
      </c>
      <c r="CJ425" s="541">
        <v>105.35275</v>
      </c>
      <c r="CK425" s="541">
        <v>105.35275</v>
      </c>
      <c r="CL425" s="541">
        <v>105.35275</v>
      </c>
      <c r="CM425" s="541">
        <v>105.35275</v>
      </c>
      <c r="CN425" s="541">
        <v>105.35275</v>
      </c>
      <c r="CO425" s="541">
        <v>105.35275</v>
      </c>
      <c r="CP425" s="541">
        <v>105.35275</v>
      </c>
      <c r="CQ425" s="541">
        <v>105.35275</v>
      </c>
      <c r="CR425" s="541">
        <v>105.35275</v>
      </c>
      <c r="CS425" s="541">
        <v>105.35275</v>
      </c>
      <c r="CT425" s="541">
        <v>105.35275</v>
      </c>
      <c r="CU425" s="541">
        <v>105.35275</v>
      </c>
      <c r="CV425" s="541">
        <v>105.35275</v>
      </c>
      <c r="CW425" s="541">
        <v>105.35275</v>
      </c>
      <c r="CX425" s="541">
        <v>105.35275</v>
      </c>
      <c r="CY425" s="541">
        <v>105.35275</v>
      </c>
      <c r="CZ425" s="541">
        <v>105.35275</v>
      </c>
      <c r="DA425" s="541">
        <v>105.35275</v>
      </c>
      <c r="DB425" s="541">
        <v>105.35275</v>
      </c>
      <c r="DC425" s="541">
        <v>105.35275</v>
      </c>
      <c r="DD425" s="541">
        <v>105.35275</v>
      </c>
      <c r="DE425" s="541">
        <v>105.35275</v>
      </c>
      <c r="DF425" s="541">
        <v>105.35275</v>
      </c>
      <c r="DG425" s="541">
        <v>105.35275</v>
      </c>
      <c r="DH425" s="541">
        <v>105.35275</v>
      </c>
    </row>
    <row r="426" spans="2:112">
      <c r="B426" t="s">
        <v>1278</v>
      </c>
      <c r="C426" t="s">
        <v>1257</v>
      </c>
      <c r="D426" t="s">
        <v>923</v>
      </c>
      <c r="E426" t="s">
        <v>911</v>
      </c>
      <c r="F426" s="541">
        <v>0.88344350000000005</v>
      </c>
      <c r="G426" s="541">
        <v>0.88344350000000005</v>
      </c>
      <c r="H426" s="541">
        <v>0.88344350000000005</v>
      </c>
      <c r="I426" s="541">
        <v>0.88344350000000005</v>
      </c>
      <c r="J426" s="541">
        <v>0.88344350000000005</v>
      </c>
      <c r="K426" s="541">
        <v>0.88344350000000005</v>
      </c>
      <c r="L426" s="541">
        <v>0.88344350000000005</v>
      </c>
      <c r="M426" s="541">
        <v>0.88344350000000005</v>
      </c>
      <c r="N426" s="541">
        <v>0.88344350000000005</v>
      </c>
      <c r="O426" s="541">
        <v>0.88344350000000005</v>
      </c>
      <c r="P426" s="541">
        <v>0.88344350000000005</v>
      </c>
      <c r="Q426" s="541">
        <v>0.88344350000000005</v>
      </c>
      <c r="R426" s="541">
        <v>0.88344350000000005</v>
      </c>
      <c r="S426" s="541">
        <v>0.88344350000000005</v>
      </c>
      <c r="T426" s="541">
        <v>0.88344350000000005</v>
      </c>
      <c r="U426" s="541">
        <v>0.88344350000000005</v>
      </c>
      <c r="V426" s="541">
        <v>0.88344350000000005</v>
      </c>
      <c r="W426" s="541">
        <v>0.88344350000000005</v>
      </c>
      <c r="X426" s="541">
        <v>0.88344350000000005</v>
      </c>
      <c r="Y426" s="541">
        <v>0.88344350000000005</v>
      </c>
      <c r="Z426" s="541">
        <v>0.88344350000000005</v>
      </c>
      <c r="AA426" s="541">
        <v>0.88344350000000005</v>
      </c>
      <c r="AB426" s="541">
        <v>0.88344350000000005</v>
      </c>
      <c r="AC426" s="541">
        <v>0.88344350000000005</v>
      </c>
      <c r="AD426" s="541">
        <v>0.88344350000000005</v>
      </c>
      <c r="AE426" s="541">
        <v>0.88344350000000005</v>
      </c>
      <c r="AF426" s="541">
        <v>0.88344350000000005</v>
      </c>
      <c r="AG426" s="541">
        <v>0.88344350000000005</v>
      </c>
      <c r="AH426" s="542">
        <f t="shared" si="299"/>
        <v>0.88344350000000005</v>
      </c>
      <c r="AI426" s="542">
        <f t="shared" si="299"/>
        <v>0.88344350000000005</v>
      </c>
      <c r="AJ426" s="542">
        <f t="shared" si="299"/>
        <v>0.88344350000000005</v>
      </c>
      <c r="AK426" s="542">
        <f t="shared" si="299"/>
        <v>0.88344350000000005</v>
      </c>
      <c r="AL426" s="542">
        <f t="shared" si="299"/>
        <v>0.88344350000000005</v>
      </c>
      <c r="AM426" s="542">
        <f t="shared" si="299"/>
        <v>0.88344350000000005</v>
      </c>
      <c r="AN426" s="542">
        <f t="shared" si="299"/>
        <v>0.88344350000000005</v>
      </c>
      <c r="AO426" s="542">
        <f t="shared" si="299"/>
        <v>0.88344350000000005</v>
      </c>
      <c r="AP426" s="542">
        <f t="shared" si="299"/>
        <v>0.88344350000000005</v>
      </c>
      <c r="AQ426" s="542">
        <f t="shared" si="299"/>
        <v>0.88344350000000005</v>
      </c>
      <c r="AR426" s="542">
        <f t="shared" si="299"/>
        <v>0.88344350000000005</v>
      </c>
      <c r="AS426" s="542">
        <f t="shared" si="299"/>
        <v>0.88344350000000005</v>
      </c>
      <c r="AT426" s="542">
        <f t="shared" si="299"/>
        <v>0.88344350000000005</v>
      </c>
      <c r="AU426" s="542">
        <f t="shared" si="299"/>
        <v>0.88344350000000005</v>
      </c>
      <c r="AV426" s="542">
        <f t="shared" si="299"/>
        <v>0.88344350000000005</v>
      </c>
      <c r="AW426" s="542">
        <f t="shared" si="299"/>
        <v>0.88344350000000005</v>
      </c>
      <c r="AX426" s="542">
        <f t="shared" si="298"/>
        <v>0.88344350000000005</v>
      </c>
      <c r="AY426" s="542">
        <f t="shared" si="298"/>
        <v>0.88344350000000005</v>
      </c>
      <c r="AZ426" s="542">
        <f t="shared" si="298"/>
        <v>0.88344350000000005</v>
      </c>
      <c r="BA426" s="542">
        <f t="shared" si="298"/>
        <v>0.88344350000000005</v>
      </c>
      <c r="BB426" s="542">
        <f t="shared" si="298"/>
        <v>0.88344350000000005</v>
      </c>
      <c r="BC426" s="542">
        <f t="shared" si="298"/>
        <v>0.88344350000000005</v>
      </c>
      <c r="BD426" s="542">
        <f t="shared" si="298"/>
        <v>0.88344350000000005</v>
      </c>
      <c r="BE426" s="542">
        <f t="shared" si="298"/>
        <v>0.88344350000000005</v>
      </c>
      <c r="BF426" s="542">
        <f t="shared" si="298"/>
        <v>0.88344350000000005</v>
      </c>
      <c r="BG426" s="542">
        <f t="shared" si="298"/>
        <v>0.88344350000000005</v>
      </c>
      <c r="BH426" s="542">
        <f t="shared" si="298"/>
        <v>0.88344350000000005</v>
      </c>
      <c r="BI426" s="542">
        <f t="shared" si="298"/>
        <v>0.88344350000000005</v>
      </c>
      <c r="BJ426" s="542">
        <f t="shared" si="298"/>
        <v>0.88344350000000005</v>
      </c>
      <c r="BK426" s="542">
        <f t="shared" si="298"/>
        <v>0.88344350000000005</v>
      </c>
      <c r="BL426" s="542">
        <f t="shared" si="298"/>
        <v>0.88344350000000005</v>
      </c>
      <c r="BM426" s="542">
        <f t="shared" si="298"/>
        <v>0.88344350000000005</v>
      </c>
      <c r="BN426" s="542">
        <f t="shared" si="298"/>
        <v>0.88344350000000005</v>
      </c>
      <c r="BO426" s="542">
        <f t="shared" si="298"/>
        <v>0.88344350000000005</v>
      </c>
      <c r="BP426" s="542">
        <f t="shared" si="298"/>
        <v>0.88344350000000005</v>
      </c>
      <c r="BQ426" s="542">
        <f t="shared" si="298"/>
        <v>0.88344350000000005</v>
      </c>
      <c r="BR426" s="542">
        <f t="shared" si="298"/>
        <v>0.88344350000000005</v>
      </c>
      <c r="BS426" s="542">
        <f t="shared" si="298"/>
        <v>0.88344350000000005</v>
      </c>
      <c r="BT426" s="542">
        <f t="shared" si="298"/>
        <v>0.88344350000000005</v>
      </c>
      <c r="BU426" s="542">
        <f t="shared" si="298"/>
        <v>0.88344350000000005</v>
      </c>
      <c r="BV426" s="542">
        <f t="shared" si="298"/>
        <v>0.88344350000000005</v>
      </c>
      <c r="BW426" s="542">
        <f t="shared" si="298"/>
        <v>0.88344350000000005</v>
      </c>
      <c r="BX426" s="542">
        <f t="shared" si="298"/>
        <v>0.88344350000000005</v>
      </c>
      <c r="BY426" s="542">
        <f t="shared" si="298"/>
        <v>0.88344350000000005</v>
      </c>
      <c r="BZ426" s="542">
        <f t="shared" si="298"/>
        <v>0.88344350000000005</v>
      </c>
      <c r="CA426" s="542">
        <f t="shared" si="298"/>
        <v>0.88344350000000005</v>
      </c>
      <c r="CB426" s="542">
        <f t="shared" si="298"/>
        <v>0.88344350000000005</v>
      </c>
      <c r="CC426" s="542">
        <f t="shared" si="298"/>
        <v>0.88344350000000005</v>
      </c>
      <c r="CD426" s="542">
        <f t="shared" si="298"/>
        <v>0.88344350000000005</v>
      </c>
      <c r="CE426" s="542">
        <f t="shared" si="298"/>
        <v>0.88344350000000005</v>
      </c>
      <c r="CG426" s="541">
        <v>0.88344350000000005</v>
      </c>
      <c r="CH426" s="541">
        <v>0.88344350000000005</v>
      </c>
      <c r="CI426" s="541">
        <v>0.88344350000000005</v>
      </c>
      <c r="CJ426" s="541">
        <v>0.88344350000000005</v>
      </c>
      <c r="CK426" s="541">
        <v>0.88344350000000005</v>
      </c>
      <c r="CL426" s="541">
        <v>0.88344350000000005</v>
      </c>
      <c r="CM426" s="541">
        <v>0.88344350000000005</v>
      </c>
      <c r="CN426" s="541">
        <v>0.88344350000000005</v>
      </c>
      <c r="CO426" s="541">
        <v>0.88344350000000005</v>
      </c>
      <c r="CP426" s="541">
        <v>0.88344350000000005</v>
      </c>
      <c r="CQ426" s="541">
        <v>0.88344350000000005</v>
      </c>
      <c r="CR426" s="541">
        <v>0.88344350000000005</v>
      </c>
      <c r="CS426" s="541">
        <v>0.88344350000000005</v>
      </c>
      <c r="CT426" s="541">
        <v>0.88344350000000005</v>
      </c>
      <c r="CU426" s="541">
        <v>0.88344350000000005</v>
      </c>
      <c r="CV426" s="541">
        <v>0.88344350000000005</v>
      </c>
      <c r="CW426" s="541">
        <v>0.88344350000000005</v>
      </c>
      <c r="CX426" s="541">
        <v>0.88344350000000005</v>
      </c>
      <c r="CY426" s="541">
        <v>0.88344350000000005</v>
      </c>
      <c r="CZ426" s="541">
        <v>0.88344350000000005</v>
      </c>
      <c r="DA426" s="541">
        <v>0.88344350000000005</v>
      </c>
      <c r="DB426" s="541">
        <v>0.88344350000000005</v>
      </c>
      <c r="DC426" s="541">
        <v>0.88344350000000005</v>
      </c>
      <c r="DD426" s="541">
        <v>0.88344350000000005</v>
      </c>
      <c r="DE426" s="541">
        <v>0.88344350000000005</v>
      </c>
      <c r="DF426" s="541">
        <v>0.88344350000000005</v>
      </c>
      <c r="DG426" s="541">
        <v>0.88344350000000005</v>
      </c>
      <c r="DH426" s="541">
        <v>0.88344350000000005</v>
      </c>
    </row>
    <row r="427" spans="2:112">
      <c r="B427" t="s">
        <v>924</v>
      </c>
      <c r="F427" s="543"/>
      <c r="G427" s="543"/>
      <c r="H427" s="543"/>
      <c r="I427" s="543"/>
      <c r="J427" s="543"/>
      <c r="K427" s="543"/>
      <c r="L427" s="543"/>
      <c r="M427" s="543"/>
      <c r="N427" s="543"/>
      <c r="O427" s="543"/>
      <c r="P427" s="543"/>
      <c r="Q427" s="543"/>
      <c r="R427" s="543"/>
      <c r="S427" s="543"/>
      <c r="T427" s="543"/>
      <c r="U427" s="543"/>
      <c r="V427" s="543"/>
      <c r="W427" s="543"/>
      <c r="X427" s="543"/>
      <c r="Y427" s="543"/>
      <c r="Z427" s="543"/>
      <c r="AA427" s="543"/>
      <c r="AB427" s="543"/>
      <c r="AC427" s="543"/>
      <c r="AD427" s="543"/>
      <c r="AE427" s="543"/>
      <c r="AF427" s="543"/>
      <c r="AG427" s="543"/>
      <c r="AH427" s="543"/>
      <c r="AI427" s="543"/>
      <c r="AJ427" s="543"/>
      <c r="AK427" s="543"/>
      <c r="AL427" s="543"/>
      <c r="AM427" s="543"/>
      <c r="AN427" s="543"/>
      <c r="AO427" s="543"/>
      <c r="AP427" s="543"/>
      <c r="AQ427" s="543"/>
      <c r="AR427" s="543"/>
      <c r="AS427" s="543"/>
      <c r="AT427" s="543"/>
      <c r="AU427" s="543"/>
      <c r="AV427" s="543"/>
      <c r="AW427" s="543"/>
      <c r="AX427" s="543"/>
      <c r="AY427" s="543"/>
      <c r="AZ427" s="543"/>
      <c r="BA427" s="543"/>
      <c r="BB427" s="543"/>
      <c r="BC427" s="543"/>
      <c r="BD427" s="543"/>
      <c r="BE427" s="543"/>
      <c r="BF427" s="543"/>
      <c r="BG427" s="543"/>
      <c r="BH427" s="543"/>
      <c r="BI427" s="543"/>
      <c r="BJ427" s="543"/>
      <c r="BK427" s="543"/>
      <c r="BL427" s="543"/>
      <c r="BM427" s="543"/>
      <c r="BN427" s="543"/>
      <c r="BO427" s="543"/>
      <c r="BP427" s="543"/>
      <c r="BQ427" s="543"/>
      <c r="BR427" s="543"/>
      <c r="BS427" s="543"/>
      <c r="BT427" s="543"/>
      <c r="BU427" s="543"/>
      <c r="BV427" s="543"/>
      <c r="BW427" s="543"/>
      <c r="BX427" s="543"/>
      <c r="BY427" s="543"/>
      <c r="BZ427" s="543"/>
      <c r="CA427" s="543"/>
      <c r="CB427" s="543"/>
      <c r="CC427" s="543"/>
      <c r="CD427" s="543"/>
      <c r="CE427" s="543"/>
    </row>
    <row r="428" spans="2:112" ht="15">
      <c r="B428" t="s">
        <v>1279</v>
      </c>
      <c r="C428" s="485" t="s">
        <v>1280</v>
      </c>
      <c r="D428" s="485" t="s">
        <v>877</v>
      </c>
      <c r="E428" s="485" t="s">
        <v>111</v>
      </c>
      <c r="F428" s="486">
        <f>2023</f>
        <v>2023</v>
      </c>
      <c r="G428" s="486">
        <f>F428+1</f>
        <v>2024</v>
      </c>
      <c r="H428" s="486">
        <f t="shared" ref="H428:AG428" si="300">G428+1</f>
        <v>2025</v>
      </c>
      <c r="I428" s="486">
        <f t="shared" si="300"/>
        <v>2026</v>
      </c>
      <c r="J428" s="486">
        <f t="shared" si="300"/>
        <v>2027</v>
      </c>
      <c r="K428" s="486">
        <f t="shared" si="300"/>
        <v>2028</v>
      </c>
      <c r="L428" s="486">
        <f t="shared" si="300"/>
        <v>2029</v>
      </c>
      <c r="M428" s="486">
        <f t="shared" si="300"/>
        <v>2030</v>
      </c>
      <c r="N428" s="486">
        <f t="shared" si="300"/>
        <v>2031</v>
      </c>
      <c r="O428" s="486">
        <f t="shared" si="300"/>
        <v>2032</v>
      </c>
      <c r="P428" s="486">
        <f t="shared" si="300"/>
        <v>2033</v>
      </c>
      <c r="Q428" s="486">
        <f t="shared" si="300"/>
        <v>2034</v>
      </c>
      <c r="R428" s="486">
        <f t="shared" si="300"/>
        <v>2035</v>
      </c>
      <c r="S428" s="486">
        <f t="shared" si="300"/>
        <v>2036</v>
      </c>
      <c r="T428" s="486">
        <f t="shared" si="300"/>
        <v>2037</v>
      </c>
      <c r="U428" s="486">
        <f t="shared" si="300"/>
        <v>2038</v>
      </c>
      <c r="V428" s="486">
        <f t="shared" si="300"/>
        <v>2039</v>
      </c>
      <c r="W428" s="486">
        <f t="shared" si="300"/>
        <v>2040</v>
      </c>
      <c r="X428" s="486">
        <f t="shared" si="300"/>
        <v>2041</v>
      </c>
      <c r="Y428" s="486">
        <f t="shared" si="300"/>
        <v>2042</v>
      </c>
      <c r="Z428" s="486">
        <f t="shared" si="300"/>
        <v>2043</v>
      </c>
      <c r="AA428" s="486">
        <f t="shared" si="300"/>
        <v>2044</v>
      </c>
      <c r="AB428" s="486">
        <f t="shared" si="300"/>
        <v>2045</v>
      </c>
      <c r="AC428" s="486">
        <f t="shared" si="300"/>
        <v>2046</v>
      </c>
      <c r="AD428" s="486">
        <f t="shared" si="300"/>
        <v>2047</v>
      </c>
      <c r="AE428" s="486">
        <f t="shared" si="300"/>
        <v>2048</v>
      </c>
      <c r="AF428" s="486">
        <f t="shared" si="300"/>
        <v>2049</v>
      </c>
      <c r="AG428" s="486">
        <f t="shared" si="300"/>
        <v>2050</v>
      </c>
      <c r="AH428" s="524">
        <f>AG428+1</f>
        <v>2051</v>
      </c>
      <c r="AI428" s="524">
        <f t="shared" ref="AI428:CE428" si="301">AH428+1</f>
        <v>2052</v>
      </c>
      <c r="AJ428" s="524">
        <f t="shared" si="301"/>
        <v>2053</v>
      </c>
      <c r="AK428" s="524">
        <f t="shared" si="301"/>
        <v>2054</v>
      </c>
      <c r="AL428" s="524">
        <f t="shared" si="301"/>
        <v>2055</v>
      </c>
      <c r="AM428" s="524">
        <f t="shared" si="301"/>
        <v>2056</v>
      </c>
      <c r="AN428" s="524">
        <f t="shared" si="301"/>
        <v>2057</v>
      </c>
      <c r="AO428" s="524">
        <f t="shared" si="301"/>
        <v>2058</v>
      </c>
      <c r="AP428" s="524">
        <f t="shared" si="301"/>
        <v>2059</v>
      </c>
      <c r="AQ428" s="524">
        <f t="shared" si="301"/>
        <v>2060</v>
      </c>
      <c r="AR428" s="524">
        <f t="shared" si="301"/>
        <v>2061</v>
      </c>
      <c r="AS428" s="524">
        <f t="shared" si="301"/>
        <v>2062</v>
      </c>
      <c r="AT428" s="524">
        <f t="shared" si="301"/>
        <v>2063</v>
      </c>
      <c r="AU428" s="524">
        <f t="shared" si="301"/>
        <v>2064</v>
      </c>
      <c r="AV428" s="524">
        <f t="shared" si="301"/>
        <v>2065</v>
      </c>
      <c r="AW428" s="524">
        <f t="shared" si="301"/>
        <v>2066</v>
      </c>
      <c r="AX428" s="524">
        <f t="shared" si="301"/>
        <v>2067</v>
      </c>
      <c r="AY428" s="524">
        <f t="shared" si="301"/>
        <v>2068</v>
      </c>
      <c r="AZ428" s="524">
        <f t="shared" si="301"/>
        <v>2069</v>
      </c>
      <c r="BA428" s="524">
        <f t="shared" si="301"/>
        <v>2070</v>
      </c>
      <c r="BB428" s="524">
        <f t="shared" si="301"/>
        <v>2071</v>
      </c>
      <c r="BC428" s="524">
        <f t="shared" si="301"/>
        <v>2072</v>
      </c>
      <c r="BD428" s="524">
        <f t="shared" si="301"/>
        <v>2073</v>
      </c>
      <c r="BE428" s="524">
        <f t="shared" si="301"/>
        <v>2074</v>
      </c>
      <c r="BF428" s="524">
        <f t="shared" si="301"/>
        <v>2075</v>
      </c>
      <c r="BG428" s="524">
        <f t="shared" si="301"/>
        <v>2076</v>
      </c>
      <c r="BH428" s="524">
        <f t="shared" si="301"/>
        <v>2077</v>
      </c>
      <c r="BI428" s="524">
        <f t="shared" si="301"/>
        <v>2078</v>
      </c>
      <c r="BJ428" s="524">
        <f t="shared" si="301"/>
        <v>2079</v>
      </c>
      <c r="BK428" s="524">
        <f t="shared" si="301"/>
        <v>2080</v>
      </c>
      <c r="BL428" s="524">
        <f t="shared" si="301"/>
        <v>2081</v>
      </c>
      <c r="BM428" s="524">
        <f t="shared" si="301"/>
        <v>2082</v>
      </c>
      <c r="BN428" s="524">
        <f t="shared" si="301"/>
        <v>2083</v>
      </c>
      <c r="BO428" s="524">
        <f t="shared" si="301"/>
        <v>2084</v>
      </c>
      <c r="BP428" s="524">
        <f t="shared" si="301"/>
        <v>2085</v>
      </c>
      <c r="BQ428" s="524">
        <f t="shared" si="301"/>
        <v>2086</v>
      </c>
      <c r="BR428" s="524">
        <f t="shared" si="301"/>
        <v>2087</v>
      </c>
      <c r="BS428" s="524">
        <f t="shared" si="301"/>
        <v>2088</v>
      </c>
      <c r="BT428" s="524">
        <f t="shared" si="301"/>
        <v>2089</v>
      </c>
      <c r="BU428" s="524">
        <f t="shared" si="301"/>
        <v>2090</v>
      </c>
      <c r="BV428" s="524">
        <f t="shared" si="301"/>
        <v>2091</v>
      </c>
      <c r="BW428" s="524">
        <f t="shared" si="301"/>
        <v>2092</v>
      </c>
      <c r="BX428" s="524">
        <f t="shared" si="301"/>
        <v>2093</v>
      </c>
      <c r="BY428" s="524">
        <f t="shared" si="301"/>
        <v>2094</v>
      </c>
      <c r="BZ428" s="524">
        <f t="shared" si="301"/>
        <v>2095</v>
      </c>
      <c r="CA428" s="524">
        <f t="shared" si="301"/>
        <v>2096</v>
      </c>
      <c r="CB428" s="524">
        <f t="shared" si="301"/>
        <v>2097</v>
      </c>
      <c r="CC428" s="524">
        <f t="shared" si="301"/>
        <v>2098</v>
      </c>
      <c r="CD428" s="524">
        <f t="shared" si="301"/>
        <v>2099</v>
      </c>
      <c r="CE428" s="524">
        <f t="shared" si="301"/>
        <v>2100</v>
      </c>
      <c r="CG428" s="486">
        <v>2023</v>
      </c>
      <c r="CH428" s="486">
        <v>2024</v>
      </c>
      <c r="CI428" s="486">
        <v>2025</v>
      </c>
      <c r="CJ428" s="486">
        <v>2026</v>
      </c>
      <c r="CK428" s="486">
        <v>2027</v>
      </c>
      <c r="CL428" s="486">
        <v>2028</v>
      </c>
      <c r="CM428" s="486">
        <v>2029</v>
      </c>
      <c r="CN428" s="486">
        <v>2030</v>
      </c>
      <c r="CO428" s="486">
        <v>2031</v>
      </c>
      <c r="CP428" s="486">
        <v>2032</v>
      </c>
      <c r="CQ428" s="486">
        <v>2033</v>
      </c>
      <c r="CR428" s="486">
        <v>2034</v>
      </c>
      <c r="CS428" s="486">
        <v>2035</v>
      </c>
      <c r="CT428" s="486">
        <v>2036</v>
      </c>
      <c r="CU428" s="486">
        <v>2037</v>
      </c>
      <c r="CV428" s="486">
        <v>2038</v>
      </c>
      <c r="CW428" s="486">
        <v>2039</v>
      </c>
      <c r="CX428" s="486">
        <v>2040</v>
      </c>
      <c r="CY428" s="486">
        <v>2041</v>
      </c>
      <c r="CZ428" s="486">
        <v>2042</v>
      </c>
      <c r="DA428" s="486">
        <v>2043</v>
      </c>
      <c r="DB428" s="486">
        <v>2044</v>
      </c>
      <c r="DC428" s="486">
        <v>2045</v>
      </c>
      <c r="DD428" s="486">
        <v>2046</v>
      </c>
      <c r="DE428" s="486">
        <v>2047</v>
      </c>
      <c r="DF428" s="486">
        <v>2048</v>
      </c>
      <c r="DG428" s="486">
        <v>2049</v>
      </c>
      <c r="DH428" s="486">
        <v>2050</v>
      </c>
    </row>
    <row r="429" spans="2:112">
      <c r="B429" t="s">
        <v>1281</v>
      </c>
      <c r="C429" t="s">
        <v>1280</v>
      </c>
      <c r="D429" t="s">
        <v>879</v>
      </c>
      <c r="E429" t="s">
        <v>737</v>
      </c>
      <c r="F429" s="525">
        <v>100</v>
      </c>
      <c r="G429" s="525">
        <v>100</v>
      </c>
      <c r="H429" s="525">
        <v>100</v>
      </c>
      <c r="I429" s="525">
        <v>100</v>
      </c>
      <c r="J429" s="525">
        <v>100</v>
      </c>
      <c r="K429" s="525">
        <v>100</v>
      </c>
      <c r="L429" s="525">
        <v>100</v>
      </c>
      <c r="M429" s="525">
        <v>100</v>
      </c>
      <c r="N429" s="525">
        <v>100</v>
      </c>
      <c r="O429" s="525">
        <v>100</v>
      </c>
      <c r="P429" s="525">
        <v>100</v>
      </c>
      <c r="Q429" s="525">
        <v>100</v>
      </c>
      <c r="R429" s="525">
        <v>100</v>
      </c>
      <c r="S429" s="525">
        <v>100</v>
      </c>
      <c r="T429" s="525">
        <v>100</v>
      </c>
      <c r="U429" s="525">
        <v>100</v>
      </c>
      <c r="V429" s="525">
        <v>100</v>
      </c>
      <c r="W429" s="525">
        <v>100</v>
      </c>
      <c r="X429" s="525">
        <v>100</v>
      </c>
      <c r="Y429" s="525">
        <v>100</v>
      </c>
      <c r="Z429" s="525">
        <v>100</v>
      </c>
      <c r="AA429" s="525">
        <v>100</v>
      </c>
      <c r="AB429" s="525">
        <v>100</v>
      </c>
      <c r="AC429" s="525">
        <v>100</v>
      </c>
      <c r="AD429" s="525">
        <v>100</v>
      </c>
      <c r="AE429" s="525">
        <v>100</v>
      </c>
      <c r="AF429" s="525">
        <v>100</v>
      </c>
      <c r="AG429" s="525">
        <v>100</v>
      </c>
      <c r="AH429" s="526">
        <f>AG429</f>
        <v>100</v>
      </c>
      <c r="AI429" s="526">
        <f t="shared" ref="AI429:AX429" si="302">AH429</f>
        <v>100</v>
      </c>
      <c r="AJ429" s="526">
        <f t="shared" si="302"/>
        <v>100</v>
      </c>
      <c r="AK429" s="526">
        <f t="shared" si="302"/>
        <v>100</v>
      </c>
      <c r="AL429" s="526">
        <f t="shared" si="302"/>
        <v>100</v>
      </c>
      <c r="AM429" s="526">
        <f t="shared" si="302"/>
        <v>100</v>
      </c>
      <c r="AN429" s="526">
        <f t="shared" si="302"/>
        <v>100</v>
      </c>
      <c r="AO429" s="526">
        <f t="shared" si="302"/>
        <v>100</v>
      </c>
      <c r="AP429" s="526">
        <f t="shared" si="302"/>
        <v>100</v>
      </c>
      <c r="AQ429" s="526">
        <f t="shared" si="302"/>
        <v>100</v>
      </c>
      <c r="AR429" s="526">
        <f t="shared" si="302"/>
        <v>100</v>
      </c>
      <c r="AS429" s="526">
        <f t="shared" si="302"/>
        <v>100</v>
      </c>
      <c r="AT429" s="526">
        <f t="shared" si="302"/>
        <v>100</v>
      </c>
      <c r="AU429" s="526">
        <f t="shared" si="302"/>
        <v>100</v>
      </c>
      <c r="AV429" s="526">
        <f t="shared" si="302"/>
        <v>100</v>
      </c>
      <c r="AW429" s="526">
        <f t="shared" si="302"/>
        <v>100</v>
      </c>
      <c r="AX429" s="526">
        <f t="shared" si="302"/>
        <v>100</v>
      </c>
      <c r="AY429" s="526">
        <f t="shared" ref="AY429:BN429" si="303">AX429</f>
        <v>100</v>
      </c>
      <c r="AZ429" s="526">
        <f t="shared" si="303"/>
        <v>100</v>
      </c>
      <c r="BA429" s="526">
        <f t="shared" si="303"/>
        <v>100</v>
      </c>
      <c r="BB429" s="526">
        <f t="shared" si="303"/>
        <v>100</v>
      </c>
      <c r="BC429" s="526">
        <f t="shared" si="303"/>
        <v>100</v>
      </c>
      <c r="BD429" s="526">
        <f t="shared" si="303"/>
        <v>100</v>
      </c>
      <c r="BE429" s="526">
        <f t="shared" si="303"/>
        <v>100</v>
      </c>
      <c r="BF429" s="526">
        <f t="shared" si="303"/>
        <v>100</v>
      </c>
      <c r="BG429" s="526">
        <f t="shared" si="303"/>
        <v>100</v>
      </c>
      <c r="BH429" s="526">
        <f t="shared" si="303"/>
        <v>100</v>
      </c>
      <c r="BI429" s="526">
        <f t="shared" si="303"/>
        <v>100</v>
      </c>
      <c r="BJ429" s="526">
        <f t="shared" si="303"/>
        <v>100</v>
      </c>
      <c r="BK429" s="526">
        <f t="shared" si="303"/>
        <v>100</v>
      </c>
      <c r="BL429" s="526">
        <f t="shared" si="303"/>
        <v>100</v>
      </c>
      <c r="BM429" s="526">
        <f t="shared" si="303"/>
        <v>100</v>
      </c>
      <c r="BN429" s="526">
        <f t="shared" si="303"/>
        <v>100</v>
      </c>
      <c r="BO429" s="526">
        <f t="shared" ref="BO429:CD429" si="304">BN429</f>
        <v>100</v>
      </c>
      <c r="BP429" s="526">
        <f t="shared" si="304"/>
        <v>100</v>
      </c>
      <c r="BQ429" s="526">
        <f t="shared" si="304"/>
        <v>100</v>
      </c>
      <c r="BR429" s="526">
        <f t="shared" si="304"/>
        <v>100</v>
      </c>
      <c r="BS429" s="526">
        <f t="shared" si="304"/>
        <v>100</v>
      </c>
      <c r="BT429" s="526">
        <f t="shared" si="304"/>
        <v>100</v>
      </c>
      <c r="BU429" s="526">
        <f t="shared" si="304"/>
        <v>100</v>
      </c>
      <c r="BV429" s="526">
        <f t="shared" si="304"/>
        <v>100</v>
      </c>
      <c r="BW429" s="526">
        <f t="shared" si="304"/>
        <v>100</v>
      </c>
      <c r="BX429" s="526">
        <f t="shared" si="304"/>
        <v>100</v>
      </c>
      <c r="BY429" s="526">
        <f t="shared" si="304"/>
        <v>100</v>
      </c>
      <c r="BZ429" s="526">
        <f t="shared" si="304"/>
        <v>100</v>
      </c>
      <c r="CA429" s="526">
        <f t="shared" si="304"/>
        <v>100</v>
      </c>
      <c r="CB429" s="526">
        <f t="shared" si="304"/>
        <v>100</v>
      </c>
      <c r="CC429" s="526">
        <f t="shared" si="304"/>
        <v>100</v>
      </c>
      <c r="CD429" s="526">
        <f t="shared" si="304"/>
        <v>100</v>
      </c>
      <c r="CE429" s="526">
        <f t="shared" ref="AX429:CE437" si="305">CD429</f>
        <v>100</v>
      </c>
      <c r="CG429" s="536">
        <v>100</v>
      </c>
      <c r="CH429" s="536">
        <v>100</v>
      </c>
      <c r="CI429" s="536">
        <v>100</v>
      </c>
      <c r="CJ429" s="536">
        <v>100</v>
      </c>
      <c r="CK429" s="536">
        <v>100</v>
      </c>
      <c r="CL429" s="536">
        <v>100</v>
      </c>
      <c r="CM429" s="536">
        <v>100</v>
      </c>
      <c r="CN429" s="536">
        <v>100</v>
      </c>
      <c r="CO429" s="536">
        <v>100</v>
      </c>
      <c r="CP429" s="536">
        <v>100</v>
      </c>
      <c r="CQ429" s="536">
        <v>100</v>
      </c>
      <c r="CR429" s="536">
        <v>100</v>
      </c>
      <c r="CS429" s="536">
        <v>100</v>
      </c>
      <c r="CT429" s="536">
        <v>100</v>
      </c>
      <c r="CU429" s="536">
        <v>100</v>
      </c>
      <c r="CV429" s="536">
        <v>100</v>
      </c>
      <c r="CW429" s="536">
        <v>100</v>
      </c>
      <c r="CX429" s="536">
        <v>100</v>
      </c>
      <c r="CY429" s="536">
        <v>100</v>
      </c>
      <c r="CZ429" s="536">
        <v>100</v>
      </c>
      <c r="DA429" s="536">
        <v>100</v>
      </c>
      <c r="DB429" s="536">
        <v>100</v>
      </c>
      <c r="DC429" s="536">
        <v>100</v>
      </c>
      <c r="DD429" s="536">
        <v>100</v>
      </c>
      <c r="DE429" s="536">
        <v>100</v>
      </c>
      <c r="DF429" s="536">
        <v>100</v>
      </c>
      <c r="DG429" s="536">
        <v>100</v>
      </c>
      <c r="DH429" s="536">
        <v>100</v>
      </c>
    </row>
    <row r="430" spans="2:112">
      <c r="B430" t="s">
        <v>1282</v>
      </c>
      <c r="C430" t="s">
        <v>1280</v>
      </c>
      <c r="D430" t="s">
        <v>695</v>
      </c>
      <c r="E430" t="s">
        <v>881</v>
      </c>
      <c r="F430" s="525">
        <v>80</v>
      </c>
      <c r="G430" s="525">
        <v>80</v>
      </c>
      <c r="H430" s="525">
        <v>80</v>
      </c>
      <c r="I430" s="525">
        <v>80</v>
      </c>
      <c r="J430" s="525">
        <v>80</v>
      </c>
      <c r="K430" s="525">
        <v>80</v>
      </c>
      <c r="L430" s="525">
        <v>80</v>
      </c>
      <c r="M430" s="525">
        <v>80</v>
      </c>
      <c r="N430" s="525">
        <v>80</v>
      </c>
      <c r="O430" s="525">
        <v>80</v>
      </c>
      <c r="P430" s="525">
        <v>80</v>
      </c>
      <c r="Q430" s="525">
        <v>80</v>
      </c>
      <c r="R430" s="525">
        <v>80</v>
      </c>
      <c r="S430" s="525">
        <v>80</v>
      </c>
      <c r="T430" s="525">
        <v>80</v>
      </c>
      <c r="U430" s="525">
        <v>80</v>
      </c>
      <c r="V430" s="525">
        <v>80</v>
      </c>
      <c r="W430" s="525">
        <v>80</v>
      </c>
      <c r="X430" s="525">
        <v>80</v>
      </c>
      <c r="Y430" s="525">
        <v>80</v>
      </c>
      <c r="Z430" s="525">
        <v>80</v>
      </c>
      <c r="AA430" s="525">
        <v>80</v>
      </c>
      <c r="AB430" s="525">
        <v>80</v>
      </c>
      <c r="AC430" s="525">
        <v>80</v>
      </c>
      <c r="AD430" s="525">
        <v>80</v>
      </c>
      <c r="AE430" s="525">
        <v>80</v>
      </c>
      <c r="AF430" s="525">
        <v>80</v>
      </c>
      <c r="AG430" s="525">
        <v>80</v>
      </c>
      <c r="AH430" s="526">
        <f t="shared" ref="AH430:AW439" si="306">AG430</f>
        <v>80</v>
      </c>
      <c r="AI430" s="526">
        <f t="shared" si="306"/>
        <v>80</v>
      </c>
      <c r="AJ430" s="526">
        <f t="shared" si="306"/>
        <v>80</v>
      </c>
      <c r="AK430" s="526">
        <f t="shared" si="306"/>
        <v>80</v>
      </c>
      <c r="AL430" s="526">
        <f t="shared" si="306"/>
        <v>80</v>
      </c>
      <c r="AM430" s="526">
        <f t="shared" si="306"/>
        <v>80</v>
      </c>
      <c r="AN430" s="526">
        <f t="shared" si="306"/>
        <v>80</v>
      </c>
      <c r="AO430" s="526">
        <f t="shared" si="306"/>
        <v>80</v>
      </c>
      <c r="AP430" s="526">
        <f t="shared" si="306"/>
        <v>80</v>
      </c>
      <c r="AQ430" s="526">
        <f t="shared" si="306"/>
        <v>80</v>
      </c>
      <c r="AR430" s="526">
        <f t="shared" si="306"/>
        <v>80</v>
      </c>
      <c r="AS430" s="526">
        <f t="shared" si="306"/>
        <v>80</v>
      </c>
      <c r="AT430" s="526">
        <f t="shared" si="306"/>
        <v>80</v>
      </c>
      <c r="AU430" s="526">
        <f t="shared" si="306"/>
        <v>80</v>
      </c>
      <c r="AV430" s="526">
        <f t="shared" si="306"/>
        <v>80</v>
      </c>
      <c r="AW430" s="526">
        <f t="shared" si="306"/>
        <v>80</v>
      </c>
      <c r="AX430" s="526">
        <f t="shared" si="305"/>
        <v>80</v>
      </c>
      <c r="AY430" s="526">
        <f t="shared" si="305"/>
        <v>80</v>
      </c>
      <c r="AZ430" s="526">
        <f t="shared" si="305"/>
        <v>80</v>
      </c>
      <c r="BA430" s="526">
        <f t="shared" si="305"/>
        <v>80</v>
      </c>
      <c r="BB430" s="526">
        <f t="shared" si="305"/>
        <v>80</v>
      </c>
      <c r="BC430" s="526">
        <f t="shared" si="305"/>
        <v>80</v>
      </c>
      <c r="BD430" s="526">
        <f t="shared" si="305"/>
        <v>80</v>
      </c>
      <c r="BE430" s="526">
        <f t="shared" si="305"/>
        <v>80</v>
      </c>
      <c r="BF430" s="526">
        <f t="shared" si="305"/>
        <v>80</v>
      </c>
      <c r="BG430" s="526">
        <f t="shared" si="305"/>
        <v>80</v>
      </c>
      <c r="BH430" s="526">
        <f t="shared" si="305"/>
        <v>80</v>
      </c>
      <c r="BI430" s="526">
        <f t="shared" si="305"/>
        <v>80</v>
      </c>
      <c r="BJ430" s="526">
        <f t="shared" si="305"/>
        <v>80</v>
      </c>
      <c r="BK430" s="526">
        <f t="shared" si="305"/>
        <v>80</v>
      </c>
      <c r="BL430" s="526">
        <f t="shared" si="305"/>
        <v>80</v>
      </c>
      <c r="BM430" s="526">
        <f t="shared" si="305"/>
        <v>80</v>
      </c>
      <c r="BN430" s="526">
        <f t="shared" si="305"/>
        <v>80</v>
      </c>
      <c r="BO430" s="526">
        <f t="shared" si="305"/>
        <v>80</v>
      </c>
      <c r="BP430" s="526">
        <f t="shared" si="305"/>
        <v>80</v>
      </c>
      <c r="BQ430" s="526">
        <f t="shared" si="305"/>
        <v>80</v>
      </c>
      <c r="BR430" s="526">
        <f t="shared" si="305"/>
        <v>80</v>
      </c>
      <c r="BS430" s="526">
        <f t="shared" si="305"/>
        <v>80</v>
      </c>
      <c r="BT430" s="526">
        <f t="shared" si="305"/>
        <v>80</v>
      </c>
      <c r="BU430" s="526">
        <f t="shared" si="305"/>
        <v>80</v>
      </c>
      <c r="BV430" s="526">
        <f t="shared" si="305"/>
        <v>80</v>
      </c>
      <c r="BW430" s="526">
        <f t="shared" si="305"/>
        <v>80</v>
      </c>
      <c r="BX430" s="526">
        <f t="shared" si="305"/>
        <v>80</v>
      </c>
      <c r="BY430" s="526">
        <f t="shared" si="305"/>
        <v>80</v>
      </c>
      <c r="BZ430" s="526">
        <f t="shared" si="305"/>
        <v>80</v>
      </c>
      <c r="CA430" s="526">
        <f t="shared" si="305"/>
        <v>80</v>
      </c>
      <c r="CB430" s="526">
        <f t="shared" si="305"/>
        <v>80</v>
      </c>
      <c r="CC430" s="526">
        <f t="shared" si="305"/>
        <v>80</v>
      </c>
      <c r="CD430" s="526">
        <f t="shared" si="305"/>
        <v>80</v>
      </c>
      <c r="CE430" s="526">
        <f t="shared" si="305"/>
        <v>80</v>
      </c>
      <c r="CG430" s="536">
        <v>80</v>
      </c>
      <c r="CH430" s="536">
        <v>80</v>
      </c>
      <c r="CI430" s="536">
        <v>80</v>
      </c>
      <c r="CJ430" s="536">
        <v>80</v>
      </c>
      <c r="CK430" s="536">
        <v>80</v>
      </c>
      <c r="CL430" s="536">
        <v>80</v>
      </c>
      <c r="CM430" s="536">
        <v>80</v>
      </c>
      <c r="CN430" s="536">
        <v>80</v>
      </c>
      <c r="CO430" s="536">
        <v>80</v>
      </c>
      <c r="CP430" s="536">
        <v>80</v>
      </c>
      <c r="CQ430" s="536">
        <v>80</v>
      </c>
      <c r="CR430" s="536">
        <v>80</v>
      </c>
      <c r="CS430" s="536">
        <v>80</v>
      </c>
      <c r="CT430" s="536">
        <v>80</v>
      </c>
      <c r="CU430" s="536">
        <v>80</v>
      </c>
      <c r="CV430" s="536">
        <v>80</v>
      </c>
      <c r="CW430" s="536">
        <v>80</v>
      </c>
      <c r="CX430" s="536">
        <v>80</v>
      </c>
      <c r="CY430" s="536">
        <v>80</v>
      </c>
      <c r="CZ430" s="536">
        <v>80</v>
      </c>
      <c r="DA430" s="536">
        <v>80</v>
      </c>
      <c r="DB430" s="536">
        <v>80</v>
      </c>
      <c r="DC430" s="536">
        <v>80</v>
      </c>
      <c r="DD430" s="536">
        <v>80</v>
      </c>
      <c r="DE430" s="536">
        <v>80</v>
      </c>
      <c r="DF430" s="536">
        <v>80</v>
      </c>
      <c r="DG430" s="536">
        <v>80</v>
      </c>
      <c r="DH430" s="536">
        <v>80</v>
      </c>
    </row>
    <row r="431" spans="2:112">
      <c r="B431" t="s">
        <v>1283</v>
      </c>
      <c r="C431" t="s">
        <v>1280</v>
      </c>
      <c r="D431" t="s">
        <v>883</v>
      </c>
      <c r="E431" t="s">
        <v>884</v>
      </c>
      <c r="F431" s="525">
        <v>11</v>
      </c>
      <c r="G431" s="525">
        <v>11</v>
      </c>
      <c r="H431" s="525">
        <v>11</v>
      </c>
      <c r="I431" s="525">
        <v>11</v>
      </c>
      <c r="J431" s="525">
        <v>11</v>
      </c>
      <c r="K431" s="525">
        <v>11</v>
      </c>
      <c r="L431" s="525">
        <v>11</v>
      </c>
      <c r="M431" s="525">
        <v>11</v>
      </c>
      <c r="N431" s="525">
        <v>11</v>
      </c>
      <c r="O431" s="525">
        <v>11</v>
      </c>
      <c r="P431" s="525">
        <v>11</v>
      </c>
      <c r="Q431" s="525">
        <v>11</v>
      </c>
      <c r="R431" s="525">
        <v>11</v>
      </c>
      <c r="S431" s="525">
        <v>11</v>
      </c>
      <c r="T431" s="525">
        <v>11</v>
      </c>
      <c r="U431" s="525">
        <v>11</v>
      </c>
      <c r="V431" s="525">
        <v>11</v>
      </c>
      <c r="W431" s="525">
        <v>11</v>
      </c>
      <c r="X431" s="525">
        <v>11</v>
      </c>
      <c r="Y431" s="525">
        <v>11</v>
      </c>
      <c r="Z431" s="525">
        <v>11</v>
      </c>
      <c r="AA431" s="525">
        <v>11</v>
      </c>
      <c r="AB431" s="525">
        <v>11</v>
      </c>
      <c r="AC431" s="525">
        <v>11</v>
      </c>
      <c r="AD431" s="525">
        <v>11</v>
      </c>
      <c r="AE431" s="525">
        <v>11</v>
      </c>
      <c r="AF431" s="525">
        <v>11</v>
      </c>
      <c r="AG431" s="525">
        <v>11</v>
      </c>
      <c r="AH431" s="526">
        <f t="shared" si="306"/>
        <v>11</v>
      </c>
      <c r="AI431" s="526">
        <f t="shared" si="306"/>
        <v>11</v>
      </c>
      <c r="AJ431" s="526">
        <f t="shared" si="306"/>
        <v>11</v>
      </c>
      <c r="AK431" s="526">
        <f t="shared" si="306"/>
        <v>11</v>
      </c>
      <c r="AL431" s="526">
        <f t="shared" si="306"/>
        <v>11</v>
      </c>
      <c r="AM431" s="526">
        <f t="shared" si="306"/>
        <v>11</v>
      </c>
      <c r="AN431" s="526">
        <f t="shared" si="306"/>
        <v>11</v>
      </c>
      <c r="AO431" s="526">
        <f t="shared" si="306"/>
        <v>11</v>
      </c>
      <c r="AP431" s="526">
        <f t="shared" si="306"/>
        <v>11</v>
      </c>
      <c r="AQ431" s="526">
        <f t="shared" si="306"/>
        <v>11</v>
      </c>
      <c r="AR431" s="526">
        <f t="shared" si="306"/>
        <v>11</v>
      </c>
      <c r="AS431" s="526">
        <f t="shared" si="306"/>
        <v>11</v>
      </c>
      <c r="AT431" s="526">
        <f t="shared" si="306"/>
        <v>11</v>
      </c>
      <c r="AU431" s="526">
        <f t="shared" si="306"/>
        <v>11</v>
      </c>
      <c r="AV431" s="526">
        <f t="shared" si="306"/>
        <v>11</v>
      </c>
      <c r="AW431" s="526">
        <f t="shared" si="306"/>
        <v>11</v>
      </c>
      <c r="AX431" s="526">
        <f t="shared" si="305"/>
        <v>11</v>
      </c>
      <c r="AY431" s="526">
        <f t="shared" si="305"/>
        <v>11</v>
      </c>
      <c r="AZ431" s="526">
        <f t="shared" si="305"/>
        <v>11</v>
      </c>
      <c r="BA431" s="526">
        <f t="shared" si="305"/>
        <v>11</v>
      </c>
      <c r="BB431" s="526">
        <f t="shared" si="305"/>
        <v>11</v>
      </c>
      <c r="BC431" s="526">
        <f t="shared" si="305"/>
        <v>11</v>
      </c>
      <c r="BD431" s="526">
        <f t="shared" si="305"/>
        <v>11</v>
      </c>
      <c r="BE431" s="526">
        <f t="shared" si="305"/>
        <v>11</v>
      </c>
      <c r="BF431" s="526">
        <f t="shared" si="305"/>
        <v>11</v>
      </c>
      <c r="BG431" s="526">
        <f t="shared" si="305"/>
        <v>11</v>
      </c>
      <c r="BH431" s="526">
        <f t="shared" si="305"/>
        <v>11</v>
      </c>
      <c r="BI431" s="526">
        <f t="shared" si="305"/>
        <v>11</v>
      </c>
      <c r="BJ431" s="526">
        <f t="shared" si="305"/>
        <v>11</v>
      </c>
      <c r="BK431" s="526">
        <f t="shared" si="305"/>
        <v>11</v>
      </c>
      <c r="BL431" s="526">
        <f t="shared" si="305"/>
        <v>11</v>
      </c>
      <c r="BM431" s="526">
        <f t="shared" si="305"/>
        <v>11</v>
      </c>
      <c r="BN431" s="526">
        <f t="shared" si="305"/>
        <v>11</v>
      </c>
      <c r="BO431" s="526">
        <f t="shared" si="305"/>
        <v>11</v>
      </c>
      <c r="BP431" s="526">
        <f t="shared" si="305"/>
        <v>11</v>
      </c>
      <c r="BQ431" s="526">
        <f t="shared" si="305"/>
        <v>11</v>
      </c>
      <c r="BR431" s="526">
        <f t="shared" si="305"/>
        <v>11</v>
      </c>
      <c r="BS431" s="526">
        <f t="shared" si="305"/>
        <v>11</v>
      </c>
      <c r="BT431" s="526">
        <f t="shared" si="305"/>
        <v>11</v>
      </c>
      <c r="BU431" s="526">
        <f t="shared" si="305"/>
        <v>11</v>
      </c>
      <c r="BV431" s="526">
        <f t="shared" si="305"/>
        <v>11</v>
      </c>
      <c r="BW431" s="526">
        <f t="shared" si="305"/>
        <v>11</v>
      </c>
      <c r="BX431" s="526">
        <f t="shared" si="305"/>
        <v>11</v>
      </c>
      <c r="BY431" s="526">
        <f t="shared" si="305"/>
        <v>11</v>
      </c>
      <c r="BZ431" s="526">
        <f t="shared" si="305"/>
        <v>11</v>
      </c>
      <c r="CA431" s="526">
        <f t="shared" si="305"/>
        <v>11</v>
      </c>
      <c r="CB431" s="526">
        <f t="shared" si="305"/>
        <v>11</v>
      </c>
      <c r="CC431" s="526">
        <f t="shared" si="305"/>
        <v>11</v>
      </c>
      <c r="CD431" s="526">
        <f t="shared" si="305"/>
        <v>11</v>
      </c>
      <c r="CE431" s="526">
        <f t="shared" si="305"/>
        <v>11</v>
      </c>
      <c r="CG431" s="536">
        <v>11</v>
      </c>
      <c r="CH431" s="536">
        <v>11</v>
      </c>
      <c r="CI431" s="536">
        <v>11</v>
      </c>
      <c r="CJ431" s="536">
        <v>11</v>
      </c>
      <c r="CK431" s="536">
        <v>11</v>
      </c>
      <c r="CL431" s="536">
        <v>11</v>
      </c>
      <c r="CM431" s="536">
        <v>11</v>
      </c>
      <c r="CN431" s="536">
        <v>11</v>
      </c>
      <c r="CO431" s="536">
        <v>11</v>
      </c>
      <c r="CP431" s="536">
        <v>11</v>
      </c>
      <c r="CQ431" s="536">
        <v>11</v>
      </c>
      <c r="CR431" s="536">
        <v>11</v>
      </c>
      <c r="CS431" s="536">
        <v>11</v>
      </c>
      <c r="CT431" s="536">
        <v>11</v>
      </c>
      <c r="CU431" s="536">
        <v>11</v>
      </c>
      <c r="CV431" s="536">
        <v>11</v>
      </c>
      <c r="CW431" s="536">
        <v>11</v>
      </c>
      <c r="CX431" s="536">
        <v>11</v>
      </c>
      <c r="CY431" s="536">
        <v>11</v>
      </c>
      <c r="CZ431" s="536">
        <v>11</v>
      </c>
      <c r="DA431" s="536">
        <v>11</v>
      </c>
      <c r="DB431" s="536">
        <v>11</v>
      </c>
      <c r="DC431" s="536">
        <v>11</v>
      </c>
      <c r="DD431" s="536">
        <v>11</v>
      </c>
      <c r="DE431" s="536">
        <v>11</v>
      </c>
      <c r="DF431" s="536">
        <v>11</v>
      </c>
      <c r="DG431" s="536">
        <v>11</v>
      </c>
      <c r="DH431" s="536">
        <v>11</v>
      </c>
    </row>
    <row r="432" spans="2:112">
      <c r="B432" t="s">
        <v>1284</v>
      </c>
      <c r="C432" t="s">
        <v>1280</v>
      </c>
      <c r="D432" t="s">
        <v>886</v>
      </c>
      <c r="E432" t="s">
        <v>178</v>
      </c>
      <c r="F432" s="537">
        <v>0.51</v>
      </c>
      <c r="G432" s="537">
        <v>0.51</v>
      </c>
      <c r="H432" s="537">
        <v>0.51</v>
      </c>
      <c r="I432" s="537">
        <v>0.51</v>
      </c>
      <c r="J432" s="537">
        <v>0.51</v>
      </c>
      <c r="K432" s="537">
        <v>0.51</v>
      </c>
      <c r="L432" s="537">
        <v>0.51</v>
      </c>
      <c r="M432" s="537">
        <v>0.51</v>
      </c>
      <c r="N432" s="537">
        <v>0.51</v>
      </c>
      <c r="O432" s="537">
        <v>0.51</v>
      </c>
      <c r="P432" s="537">
        <v>0.51</v>
      </c>
      <c r="Q432" s="537">
        <v>0.51</v>
      </c>
      <c r="R432" s="537">
        <v>0.51</v>
      </c>
      <c r="S432" s="537">
        <v>0.51</v>
      </c>
      <c r="T432" s="537">
        <v>0.51</v>
      </c>
      <c r="U432" s="537">
        <v>0.51</v>
      </c>
      <c r="V432" s="537">
        <v>0.51</v>
      </c>
      <c r="W432" s="537">
        <v>0.51</v>
      </c>
      <c r="X432" s="537">
        <v>0.51</v>
      </c>
      <c r="Y432" s="537">
        <v>0.51</v>
      </c>
      <c r="Z432" s="537">
        <v>0.51</v>
      </c>
      <c r="AA432" s="537">
        <v>0.51</v>
      </c>
      <c r="AB432" s="537">
        <v>0.51</v>
      </c>
      <c r="AC432" s="537">
        <v>0.51</v>
      </c>
      <c r="AD432" s="537">
        <v>0.51</v>
      </c>
      <c r="AE432" s="537">
        <v>0.51</v>
      </c>
      <c r="AF432" s="537">
        <v>0.51</v>
      </c>
      <c r="AG432" s="537">
        <v>0.51</v>
      </c>
      <c r="AH432" s="526">
        <f t="shared" si="306"/>
        <v>0.51</v>
      </c>
      <c r="AI432" s="526">
        <f t="shared" si="306"/>
        <v>0.51</v>
      </c>
      <c r="AJ432" s="526">
        <f t="shared" si="306"/>
        <v>0.51</v>
      </c>
      <c r="AK432" s="526">
        <f t="shared" si="306"/>
        <v>0.51</v>
      </c>
      <c r="AL432" s="526">
        <f t="shared" si="306"/>
        <v>0.51</v>
      </c>
      <c r="AM432" s="526">
        <f t="shared" si="306"/>
        <v>0.51</v>
      </c>
      <c r="AN432" s="526">
        <f t="shared" si="306"/>
        <v>0.51</v>
      </c>
      <c r="AO432" s="526">
        <f t="shared" si="306"/>
        <v>0.51</v>
      </c>
      <c r="AP432" s="526">
        <f t="shared" si="306"/>
        <v>0.51</v>
      </c>
      <c r="AQ432" s="526">
        <f t="shared" si="306"/>
        <v>0.51</v>
      </c>
      <c r="AR432" s="526">
        <f t="shared" si="306"/>
        <v>0.51</v>
      </c>
      <c r="AS432" s="526">
        <f t="shared" si="306"/>
        <v>0.51</v>
      </c>
      <c r="AT432" s="526">
        <f t="shared" si="306"/>
        <v>0.51</v>
      </c>
      <c r="AU432" s="526">
        <f t="shared" si="306"/>
        <v>0.51</v>
      </c>
      <c r="AV432" s="526">
        <f t="shared" si="306"/>
        <v>0.51</v>
      </c>
      <c r="AW432" s="526">
        <f t="shared" si="306"/>
        <v>0.51</v>
      </c>
      <c r="AX432" s="526">
        <f t="shared" si="305"/>
        <v>0.51</v>
      </c>
      <c r="AY432" s="526">
        <f t="shared" si="305"/>
        <v>0.51</v>
      </c>
      <c r="AZ432" s="526">
        <f t="shared" si="305"/>
        <v>0.51</v>
      </c>
      <c r="BA432" s="526">
        <f t="shared" si="305"/>
        <v>0.51</v>
      </c>
      <c r="BB432" s="526">
        <f t="shared" si="305"/>
        <v>0.51</v>
      </c>
      <c r="BC432" s="526">
        <f t="shared" si="305"/>
        <v>0.51</v>
      </c>
      <c r="BD432" s="526">
        <f t="shared" si="305"/>
        <v>0.51</v>
      </c>
      <c r="BE432" s="526">
        <f t="shared" si="305"/>
        <v>0.51</v>
      </c>
      <c r="BF432" s="526">
        <f t="shared" si="305"/>
        <v>0.51</v>
      </c>
      <c r="BG432" s="526">
        <f t="shared" si="305"/>
        <v>0.51</v>
      </c>
      <c r="BH432" s="526">
        <f t="shared" si="305"/>
        <v>0.51</v>
      </c>
      <c r="BI432" s="526">
        <f t="shared" si="305"/>
        <v>0.51</v>
      </c>
      <c r="BJ432" s="526">
        <f t="shared" si="305"/>
        <v>0.51</v>
      </c>
      <c r="BK432" s="526">
        <f t="shared" si="305"/>
        <v>0.51</v>
      </c>
      <c r="BL432" s="526">
        <f t="shared" si="305"/>
        <v>0.51</v>
      </c>
      <c r="BM432" s="526">
        <f t="shared" si="305"/>
        <v>0.51</v>
      </c>
      <c r="BN432" s="526">
        <f t="shared" si="305"/>
        <v>0.51</v>
      </c>
      <c r="BO432" s="526">
        <f t="shared" si="305"/>
        <v>0.51</v>
      </c>
      <c r="BP432" s="526">
        <f t="shared" si="305"/>
        <v>0.51</v>
      </c>
      <c r="BQ432" s="526">
        <f t="shared" si="305"/>
        <v>0.51</v>
      </c>
      <c r="BR432" s="526">
        <f t="shared" si="305"/>
        <v>0.51</v>
      </c>
      <c r="BS432" s="526">
        <f t="shared" si="305"/>
        <v>0.51</v>
      </c>
      <c r="BT432" s="526">
        <f t="shared" si="305"/>
        <v>0.51</v>
      </c>
      <c r="BU432" s="526">
        <f t="shared" si="305"/>
        <v>0.51</v>
      </c>
      <c r="BV432" s="526">
        <f t="shared" si="305"/>
        <v>0.51</v>
      </c>
      <c r="BW432" s="526">
        <f t="shared" si="305"/>
        <v>0.51</v>
      </c>
      <c r="BX432" s="526">
        <f t="shared" si="305"/>
        <v>0.51</v>
      </c>
      <c r="BY432" s="526">
        <f t="shared" si="305"/>
        <v>0.51</v>
      </c>
      <c r="BZ432" s="526">
        <f t="shared" si="305"/>
        <v>0.51</v>
      </c>
      <c r="CA432" s="526">
        <f t="shared" si="305"/>
        <v>0.51</v>
      </c>
      <c r="CB432" s="526">
        <f t="shared" si="305"/>
        <v>0.51</v>
      </c>
      <c r="CC432" s="526">
        <f t="shared" si="305"/>
        <v>0.51</v>
      </c>
      <c r="CD432" s="526">
        <f t="shared" si="305"/>
        <v>0.51</v>
      </c>
      <c r="CE432" s="526">
        <f t="shared" si="305"/>
        <v>0.51</v>
      </c>
      <c r="CG432" s="537">
        <v>0.51</v>
      </c>
      <c r="CH432" s="537">
        <v>0.51</v>
      </c>
      <c r="CI432" s="537">
        <v>0.51</v>
      </c>
      <c r="CJ432" s="537">
        <v>0.51</v>
      </c>
      <c r="CK432" s="537">
        <v>0.51</v>
      </c>
      <c r="CL432" s="537">
        <v>0.51</v>
      </c>
      <c r="CM432" s="537">
        <v>0.51</v>
      </c>
      <c r="CN432" s="537">
        <v>0.51</v>
      </c>
      <c r="CO432" s="537">
        <v>0.51</v>
      </c>
      <c r="CP432" s="537">
        <v>0.51</v>
      </c>
      <c r="CQ432" s="537">
        <v>0.51</v>
      </c>
      <c r="CR432" s="537">
        <v>0.51</v>
      </c>
      <c r="CS432" s="537">
        <v>0.51</v>
      </c>
      <c r="CT432" s="537">
        <v>0.51</v>
      </c>
      <c r="CU432" s="537">
        <v>0.51</v>
      </c>
      <c r="CV432" s="537">
        <v>0.51</v>
      </c>
      <c r="CW432" s="537">
        <v>0.51</v>
      </c>
      <c r="CX432" s="537">
        <v>0.51</v>
      </c>
      <c r="CY432" s="537">
        <v>0.51</v>
      </c>
      <c r="CZ432" s="537">
        <v>0.51</v>
      </c>
      <c r="DA432" s="537">
        <v>0.51</v>
      </c>
      <c r="DB432" s="537">
        <v>0.51</v>
      </c>
      <c r="DC432" s="537">
        <v>0.51</v>
      </c>
      <c r="DD432" s="537">
        <v>0.51</v>
      </c>
      <c r="DE432" s="537">
        <v>0.51</v>
      </c>
      <c r="DF432" s="537">
        <v>0.51</v>
      </c>
      <c r="DG432" s="537">
        <v>0.51</v>
      </c>
      <c r="DH432" s="537">
        <v>0.51</v>
      </c>
    </row>
    <row r="433" spans="2:112">
      <c r="B433" t="s">
        <v>1285</v>
      </c>
      <c r="C433" t="s">
        <v>1280</v>
      </c>
      <c r="D433" t="s">
        <v>888</v>
      </c>
      <c r="E433" t="s">
        <v>178</v>
      </c>
      <c r="F433" s="537">
        <v>0.51</v>
      </c>
      <c r="G433" s="537">
        <v>0.51</v>
      </c>
      <c r="H433" s="537">
        <v>0.51</v>
      </c>
      <c r="I433" s="537">
        <v>0.51</v>
      </c>
      <c r="J433" s="537">
        <v>0.51</v>
      </c>
      <c r="K433" s="537">
        <v>0.51</v>
      </c>
      <c r="L433" s="537">
        <v>0.51</v>
      </c>
      <c r="M433" s="537">
        <v>0.51</v>
      </c>
      <c r="N433" s="537">
        <v>0.51</v>
      </c>
      <c r="O433" s="537">
        <v>0.51</v>
      </c>
      <c r="P433" s="537">
        <v>0.51</v>
      </c>
      <c r="Q433" s="537">
        <v>0.51</v>
      </c>
      <c r="R433" s="537">
        <v>0.51</v>
      </c>
      <c r="S433" s="537">
        <v>0.51</v>
      </c>
      <c r="T433" s="537">
        <v>0.51</v>
      </c>
      <c r="U433" s="537">
        <v>0.51</v>
      </c>
      <c r="V433" s="537">
        <v>0.51</v>
      </c>
      <c r="W433" s="537">
        <v>0.51</v>
      </c>
      <c r="X433" s="537">
        <v>0.51</v>
      </c>
      <c r="Y433" s="537">
        <v>0.51</v>
      </c>
      <c r="Z433" s="537">
        <v>0.51</v>
      </c>
      <c r="AA433" s="537">
        <v>0.51</v>
      </c>
      <c r="AB433" s="537">
        <v>0.51</v>
      </c>
      <c r="AC433" s="537">
        <v>0.51</v>
      </c>
      <c r="AD433" s="537">
        <v>0.51</v>
      </c>
      <c r="AE433" s="537">
        <v>0.51</v>
      </c>
      <c r="AF433" s="537">
        <v>0.51</v>
      </c>
      <c r="AG433" s="537">
        <v>0.51</v>
      </c>
      <c r="AH433" s="526">
        <f t="shared" si="306"/>
        <v>0.51</v>
      </c>
      <c r="AI433" s="526">
        <f t="shared" si="306"/>
        <v>0.51</v>
      </c>
      <c r="AJ433" s="526">
        <f t="shared" si="306"/>
        <v>0.51</v>
      </c>
      <c r="AK433" s="526">
        <f t="shared" si="306"/>
        <v>0.51</v>
      </c>
      <c r="AL433" s="526">
        <f t="shared" si="306"/>
        <v>0.51</v>
      </c>
      <c r="AM433" s="526">
        <f t="shared" si="306"/>
        <v>0.51</v>
      </c>
      <c r="AN433" s="526">
        <f t="shared" si="306"/>
        <v>0.51</v>
      </c>
      <c r="AO433" s="526">
        <f t="shared" si="306"/>
        <v>0.51</v>
      </c>
      <c r="AP433" s="526">
        <f t="shared" si="306"/>
        <v>0.51</v>
      </c>
      <c r="AQ433" s="526">
        <f t="shared" si="306"/>
        <v>0.51</v>
      </c>
      <c r="AR433" s="526">
        <f t="shared" si="306"/>
        <v>0.51</v>
      </c>
      <c r="AS433" s="526">
        <f t="shared" si="306"/>
        <v>0.51</v>
      </c>
      <c r="AT433" s="526">
        <f t="shared" si="306"/>
        <v>0.51</v>
      </c>
      <c r="AU433" s="526">
        <f t="shared" si="306"/>
        <v>0.51</v>
      </c>
      <c r="AV433" s="526">
        <f t="shared" si="306"/>
        <v>0.51</v>
      </c>
      <c r="AW433" s="526">
        <f t="shared" si="306"/>
        <v>0.51</v>
      </c>
      <c r="AX433" s="526">
        <f t="shared" si="305"/>
        <v>0.51</v>
      </c>
      <c r="AY433" s="526">
        <f t="shared" si="305"/>
        <v>0.51</v>
      </c>
      <c r="AZ433" s="526">
        <f t="shared" si="305"/>
        <v>0.51</v>
      </c>
      <c r="BA433" s="526">
        <f t="shared" si="305"/>
        <v>0.51</v>
      </c>
      <c r="BB433" s="526">
        <f t="shared" si="305"/>
        <v>0.51</v>
      </c>
      <c r="BC433" s="526">
        <f t="shared" si="305"/>
        <v>0.51</v>
      </c>
      <c r="BD433" s="526">
        <f t="shared" si="305"/>
        <v>0.51</v>
      </c>
      <c r="BE433" s="526">
        <f t="shared" si="305"/>
        <v>0.51</v>
      </c>
      <c r="BF433" s="526">
        <f t="shared" si="305"/>
        <v>0.51</v>
      </c>
      <c r="BG433" s="526">
        <f t="shared" si="305"/>
        <v>0.51</v>
      </c>
      <c r="BH433" s="526">
        <f t="shared" si="305"/>
        <v>0.51</v>
      </c>
      <c r="BI433" s="526">
        <f t="shared" si="305"/>
        <v>0.51</v>
      </c>
      <c r="BJ433" s="526">
        <f t="shared" si="305"/>
        <v>0.51</v>
      </c>
      <c r="BK433" s="526">
        <f t="shared" si="305"/>
        <v>0.51</v>
      </c>
      <c r="BL433" s="526">
        <f t="shared" si="305"/>
        <v>0.51</v>
      </c>
      <c r="BM433" s="526">
        <f t="shared" si="305"/>
        <v>0.51</v>
      </c>
      <c r="BN433" s="526">
        <f t="shared" si="305"/>
        <v>0.51</v>
      </c>
      <c r="BO433" s="526">
        <f t="shared" si="305"/>
        <v>0.51</v>
      </c>
      <c r="BP433" s="526">
        <f t="shared" si="305"/>
        <v>0.51</v>
      </c>
      <c r="BQ433" s="526">
        <f t="shared" si="305"/>
        <v>0.51</v>
      </c>
      <c r="BR433" s="526">
        <f t="shared" si="305"/>
        <v>0.51</v>
      </c>
      <c r="BS433" s="526">
        <f t="shared" si="305"/>
        <v>0.51</v>
      </c>
      <c r="BT433" s="526">
        <f t="shared" si="305"/>
        <v>0.51</v>
      </c>
      <c r="BU433" s="526">
        <f t="shared" si="305"/>
        <v>0.51</v>
      </c>
      <c r="BV433" s="526">
        <f t="shared" si="305"/>
        <v>0.51</v>
      </c>
      <c r="BW433" s="526">
        <f t="shared" si="305"/>
        <v>0.51</v>
      </c>
      <c r="BX433" s="526">
        <f t="shared" si="305"/>
        <v>0.51</v>
      </c>
      <c r="BY433" s="526">
        <f t="shared" si="305"/>
        <v>0.51</v>
      </c>
      <c r="BZ433" s="526">
        <f t="shared" si="305"/>
        <v>0.51</v>
      </c>
      <c r="CA433" s="526">
        <f t="shared" si="305"/>
        <v>0.51</v>
      </c>
      <c r="CB433" s="526">
        <f t="shared" si="305"/>
        <v>0.51</v>
      </c>
      <c r="CC433" s="526">
        <f t="shared" si="305"/>
        <v>0.51</v>
      </c>
      <c r="CD433" s="526">
        <f t="shared" si="305"/>
        <v>0.51</v>
      </c>
      <c r="CE433" s="526">
        <f t="shared" si="305"/>
        <v>0.51</v>
      </c>
      <c r="CG433" s="537">
        <v>0.51</v>
      </c>
      <c r="CH433" s="537">
        <v>0.51</v>
      </c>
      <c r="CI433" s="537">
        <v>0.51</v>
      </c>
      <c r="CJ433" s="537">
        <v>0.51</v>
      </c>
      <c r="CK433" s="537">
        <v>0.51</v>
      </c>
      <c r="CL433" s="537">
        <v>0.51</v>
      </c>
      <c r="CM433" s="537">
        <v>0.51</v>
      </c>
      <c r="CN433" s="537">
        <v>0.51</v>
      </c>
      <c r="CO433" s="537">
        <v>0.51</v>
      </c>
      <c r="CP433" s="537">
        <v>0.51</v>
      </c>
      <c r="CQ433" s="537">
        <v>0.51</v>
      </c>
      <c r="CR433" s="537">
        <v>0.51</v>
      </c>
      <c r="CS433" s="537">
        <v>0.51</v>
      </c>
      <c r="CT433" s="537">
        <v>0.51</v>
      </c>
      <c r="CU433" s="537">
        <v>0.51</v>
      </c>
      <c r="CV433" s="537">
        <v>0.51</v>
      </c>
      <c r="CW433" s="537">
        <v>0.51</v>
      </c>
      <c r="CX433" s="537">
        <v>0.51</v>
      </c>
      <c r="CY433" s="537">
        <v>0.51</v>
      </c>
      <c r="CZ433" s="537">
        <v>0.51</v>
      </c>
      <c r="DA433" s="537">
        <v>0.51</v>
      </c>
      <c r="DB433" s="537">
        <v>0.51</v>
      </c>
      <c r="DC433" s="537">
        <v>0.51</v>
      </c>
      <c r="DD433" s="537">
        <v>0.51</v>
      </c>
      <c r="DE433" s="537">
        <v>0.51</v>
      </c>
      <c r="DF433" s="537">
        <v>0.51</v>
      </c>
      <c r="DG433" s="537">
        <v>0.51</v>
      </c>
      <c r="DH433" s="537">
        <v>0.51</v>
      </c>
    </row>
    <row r="434" spans="2:112">
      <c r="B434" t="s">
        <v>1286</v>
      </c>
      <c r="C434" t="s">
        <v>1280</v>
      </c>
      <c r="D434" t="s">
        <v>890</v>
      </c>
      <c r="E434" t="s">
        <v>178</v>
      </c>
      <c r="F434" s="537">
        <v>0.51</v>
      </c>
      <c r="G434" s="537">
        <v>0.51</v>
      </c>
      <c r="H434" s="537">
        <v>0.51</v>
      </c>
      <c r="I434" s="537">
        <v>0.51</v>
      </c>
      <c r="J434" s="537">
        <v>0.51</v>
      </c>
      <c r="K434" s="537">
        <v>0.51</v>
      </c>
      <c r="L434" s="537">
        <v>0.51</v>
      </c>
      <c r="M434" s="537">
        <v>0.51</v>
      </c>
      <c r="N434" s="537">
        <v>0.51</v>
      </c>
      <c r="O434" s="537">
        <v>0.51</v>
      </c>
      <c r="P434" s="537">
        <v>0.51</v>
      </c>
      <c r="Q434" s="537">
        <v>0.51</v>
      </c>
      <c r="R434" s="537">
        <v>0.51</v>
      </c>
      <c r="S434" s="537">
        <v>0.51</v>
      </c>
      <c r="T434" s="537">
        <v>0.51</v>
      </c>
      <c r="U434" s="537">
        <v>0.51</v>
      </c>
      <c r="V434" s="537">
        <v>0.51</v>
      </c>
      <c r="W434" s="537">
        <v>0.51</v>
      </c>
      <c r="X434" s="537">
        <v>0.51</v>
      </c>
      <c r="Y434" s="537">
        <v>0.51</v>
      </c>
      <c r="Z434" s="537">
        <v>0.51</v>
      </c>
      <c r="AA434" s="537">
        <v>0.51</v>
      </c>
      <c r="AB434" s="537">
        <v>0.51</v>
      </c>
      <c r="AC434" s="537">
        <v>0.51</v>
      </c>
      <c r="AD434" s="537">
        <v>0.51</v>
      </c>
      <c r="AE434" s="537">
        <v>0.51</v>
      </c>
      <c r="AF434" s="537">
        <v>0.51</v>
      </c>
      <c r="AG434" s="537">
        <v>0.51</v>
      </c>
      <c r="AH434" s="526">
        <f t="shared" si="306"/>
        <v>0.51</v>
      </c>
      <c r="AI434" s="526">
        <f t="shared" si="306"/>
        <v>0.51</v>
      </c>
      <c r="AJ434" s="526">
        <f t="shared" si="306"/>
        <v>0.51</v>
      </c>
      <c r="AK434" s="526">
        <f t="shared" si="306"/>
        <v>0.51</v>
      </c>
      <c r="AL434" s="526">
        <f t="shared" si="306"/>
        <v>0.51</v>
      </c>
      <c r="AM434" s="526">
        <f t="shared" si="306"/>
        <v>0.51</v>
      </c>
      <c r="AN434" s="526">
        <f t="shared" si="306"/>
        <v>0.51</v>
      </c>
      <c r="AO434" s="526">
        <f t="shared" si="306"/>
        <v>0.51</v>
      </c>
      <c r="AP434" s="526">
        <f t="shared" si="306"/>
        <v>0.51</v>
      </c>
      <c r="AQ434" s="526">
        <f t="shared" si="306"/>
        <v>0.51</v>
      </c>
      <c r="AR434" s="526">
        <f t="shared" si="306"/>
        <v>0.51</v>
      </c>
      <c r="AS434" s="526">
        <f t="shared" si="306"/>
        <v>0.51</v>
      </c>
      <c r="AT434" s="526">
        <f t="shared" si="306"/>
        <v>0.51</v>
      </c>
      <c r="AU434" s="526">
        <f t="shared" si="306"/>
        <v>0.51</v>
      </c>
      <c r="AV434" s="526">
        <f t="shared" si="306"/>
        <v>0.51</v>
      </c>
      <c r="AW434" s="526">
        <f t="shared" si="306"/>
        <v>0.51</v>
      </c>
      <c r="AX434" s="526">
        <f t="shared" si="305"/>
        <v>0.51</v>
      </c>
      <c r="AY434" s="526">
        <f t="shared" si="305"/>
        <v>0.51</v>
      </c>
      <c r="AZ434" s="526">
        <f t="shared" si="305"/>
        <v>0.51</v>
      </c>
      <c r="BA434" s="526">
        <f t="shared" si="305"/>
        <v>0.51</v>
      </c>
      <c r="BB434" s="526">
        <f t="shared" si="305"/>
        <v>0.51</v>
      </c>
      <c r="BC434" s="526">
        <f t="shared" si="305"/>
        <v>0.51</v>
      </c>
      <c r="BD434" s="526">
        <f t="shared" si="305"/>
        <v>0.51</v>
      </c>
      <c r="BE434" s="526">
        <f t="shared" si="305"/>
        <v>0.51</v>
      </c>
      <c r="BF434" s="526">
        <f t="shared" si="305"/>
        <v>0.51</v>
      </c>
      <c r="BG434" s="526">
        <f t="shared" si="305"/>
        <v>0.51</v>
      </c>
      <c r="BH434" s="526">
        <f t="shared" si="305"/>
        <v>0.51</v>
      </c>
      <c r="BI434" s="526">
        <f t="shared" si="305"/>
        <v>0.51</v>
      </c>
      <c r="BJ434" s="526">
        <f t="shared" si="305"/>
        <v>0.51</v>
      </c>
      <c r="BK434" s="526">
        <f t="shared" si="305"/>
        <v>0.51</v>
      </c>
      <c r="BL434" s="526">
        <f t="shared" si="305"/>
        <v>0.51</v>
      </c>
      <c r="BM434" s="526">
        <f t="shared" si="305"/>
        <v>0.51</v>
      </c>
      <c r="BN434" s="526">
        <f t="shared" si="305"/>
        <v>0.51</v>
      </c>
      <c r="BO434" s="526">
        <f t="shared" si="305"/>
        <v>0.51</v>
      </c>
      <c r="BP434" s="526">
        <f t="shared" si="305"/>
        <v>0.51</v>
      </c>
      <c r="BQ434" s="526">
        <f t="shared" si="305"/>
        <v>0.51</v>
      </c>
      <c r="BR434" s="526">
        <f t="shared" si="305"/>
        <v>0.51</v>
      </c>
      <c r="BS434" s="526">
        <f t="shared" si="305"/>
        <v>0.51</v>
      </c>
      <c r="BT434" s="526">
        <f t="shared" si="305"/>
        <v>0.51</v>
      </c>
      <c r="BU434" s="526">
        <f t="shared" si="305"/>
        <v>0.51</v>
      </c>
      <c r="BV434" s="526">
        <f t="shared" si="305"/>
        <v>0.51</v>
      </c>
      <c r="BW434" s="526">
        <f t="shared" si="305"/>
        <v>0.51</v>
      </c>
      <c r="BX434" s="526">
        <f t="shared" si="305"/>
        <v>0.51</v>
      </c>
      <c r="BY434" s="526">
        <f t="shared" si="305"/>
        <v>0.51</v>
      </c>
      <c r="BZ434" s="526">
        <f t="shared" si="305"/>
        <v>0.51</v>
      </c>
      <c r="CA434" s="526">
        <f t="shared" si="305"/>
        <v>0.51</v>
      </c>
      <c r="CB434" s="526">
        <f t="shared" si="305"/>
        <v>0.51</v>
      </c>
      <c r="CC434" s="526">
        <f t="shared" si="305"/>
        <v>0.51</v>
      </c>
      <c r="CD434" s="526">
        <f t="shared" si="305"/>
        <v>0.51</v>
      </c>
      <c r="CE434" s="526">
        <f t="shared" si="305"/>
        <v>0.51</v>
      </c>
      <c r="CG434" s="537">
        <v>0.51</v>
      </c>
      <c r="CH434" s="537">
        <v>0.51</v>
      </c>
      <c r="CI434" s="537">
        <v>0.51</v>
      </c>
      <c r="CJ434" s="537">
        <v>0.51</v>
      </c>
      <c r="CK434" s="537">
        <v>0.51</v>
      </c>
      <c r="CL434" s="537">
        <v>0.51</v>
      </c>
      <c r="CM434" s="537">
        <v>0.51</v>
      </c>
      <c r="CN434" s="537">
        <v>0.51</v>
      </c>
      <c r="CO434" s="537">
        <v>0.51</v>
      </c>
      <c r="CP434" s="537">
        <v>0.51</v>
      </c>
      <c r="CQ434" s="537">
        <v>0.51</v>
      </c>
      <c r="CR434" s="537">
        <v>0.51</v>
      </c>
      <c r="CS434" s="537">
        <v>0.51</v>
      </c>
      <c r="CT434" s="537">
        <v>0.51</v>
      </c>
      <c r="CU434" s="537">
        <v>0.51</v>
      </c>
      <c r="CV434" s="537">
        <v>0.51</v>
      </c>
      <c r="CW434" s="537">
        <v>0.51</v>
      </c>
      <c r="CX434" s="537">
        <v>0.51</v>
      </c>
      <c r="CY434" s="537">
        <v>0.51</v>
      </c>
      <c r="CZ434" s="537">
        <v>0.51</v>
      </c>
      <c r="DA434" s="537">
        <v>0.51</v>
      </c>
      <c r="DB434" s="537">
        <v>0.51</v>
      </c>
      <c r="DC434" s="537">
        <v>0.51</v>
      </c>
      <c r="DD434" s="537">
        <v>0.51</v>
      </c>
      <c r="DE434" s="537">
        <v>0.51</v>
      </c>
      <c r="DF434" s="537">
        <v>0.51</v>
      </c>
      <c r="DG434" s="537">
        <v>0.51</v>
      </c>
      <c r="DH434" s="537">
        <v>0.51</v>
      </c>
    </row>
    <row r="435" spans="2:112">
      <c r="B435" t="s">
        <v>1287</v>
      </c>
      <c r="C435" t="s">
        <v>1280</v>
      </c>
      <c r="D435" t="s">
        <v>892</v>
      </c>
      <c r="E435" t="s">
        <v>178</v>
      </c>
      <c r="F435" s="537">
        <v>0.51</v>
      </c>
      <c r="G435" s="537">
        <v>0.51</v>
      </c>
      <c r="H435" s="537">
        <v>0.51</v>
      </c>
      <c r="I435" s="537">
        <v>0.51</v>
      </c>
      <c r="J435" s="537">
        <v>0.51</v>
      </c>
      <c r="K435" s="537">
        <v>0.51</v>
      </c>
      <c r="L435" s="537">
        <v>0.51</v>
      </c>
      <c r="M435" s="537">
        <v>0.51</v>
      </c>
      <c r="N435" s="537">
        <v>0.51</v>
      </c>
      <c r="O435" s="537">
        <v>0.51</v>
      </c>
      <c r="P435" s="537">
        <v>0.51</v>
      </c>
      <c r="Q435" s="537">
        <v>0.51</v>
      </c>
      <c r="R435" s="537">
        <v>0.51</v>
      </c>
      <c r="S435" s="537">
        <v>0.51</v>
      </c>
      <c r="T435" s="537">
        <v>0.51</v>
      </c>
      <c r="U435" s="537">
        <v>0.51</v>
      </c>
      <c r="V435" s="537">
        <v>0.51</v>
      </c>
      <c r="W435" s="537">
        <v>0.51</v>
      </c>
      <c r="X435" s="537">
        <v>0.51</v>
      </c>
      <c r="Y435" s="537">
        <v>0.51</v>
      </c>
      <c r="Z435" s="537">
        <v>0.51</v>
      </c>
      <c r="AA435" s="537">
        <v>0.51</v>
      </c>
      <c r="AB435" s="537">
        <v>0.51</v>
      </c>
      <c r="AC435" s="537">
        <v>0.51</v>
      </c>
      <c r="AD435" s="537">
        <v>0.51</v>
      </c>
      <c r="AE435" s="537">
        <v>0.51</v>
      </c>
      <c r="AF435" s="537">
        <v>0.51</v>
      </c>
      <c r="AG435" s="537">
        <v>0.51</v>
      </c>
      <c r="AH435" s="526">
        <f t="shared" si="306"/>
        <v>0.51</v>
      </c>
      <c r="AI435" s="526">
        <f t="shared" si="306"/>
        <v>0.51</v>
      </c>
      <c r="AJ435" s="526">
        <f t="shared" si="306"/>
        <v>0.51</v>
      </c>
      <c r="AK435" s="526">
        <f t="shared" si="306"/>
        <v>0.51</v>
      </c>
      <c r="AL435" s="526">
        <f t="shared" si="306"/>
        <v>0.51</v>
      </c>
      <c r="AM435" s="526">
        <f t="shared" si="306"/>
        <v>0.51</v>
      </c>
      <c r="AN435" s="526">
        <f t="shared" si="306"/>
        <v>0.51</v>
      </c>
      <c r="AO435" s="526">
        <f t="shared" si="306"/>
        <v>0.51</v>
      </c>
      <c r="AP435" s="526">
        <f t="shared" si="306"/>
        <v>0.51</v>
      </c>
      <c r="AQ435" s="526">
        <f t="shared" si="306"/>
        <v>0.51</v>
      </c>
      <c r="AR435" s="526">
        <f t="shared" si="306"/>
        <v>0.51</v>
      </c>
      <c r="AS435" s="526">
        <f t="shared" si="306"/>
        <v>0.51</v>
      </c>
      <c r="AT435" s="526">
        <f t="shared" si="306"/>
        <v>0.51</v>
      </c>
      <c r="AU435" s="526">
        <f t="shared" si="306"/>
        <v>0.51</v>
      </c>
      <c r="AV435" s="526">
        <f t="shared" si="306"/>
        <v>0.51</v>
      </c>
      <c r="AW435" s="526">
        <f t="shared" si="306"/>
        <v>0.51</v>
      </c>
      <c r="AX435" s="526">
        <f t="shared" si="305"/>
        <v>0.51</v>
      </c>
      <c r="AY435" s="526">
        <f t="shared" si="305"/>
        <v>0.51</v>
      </c>
      <c r="AZ435" s="526">
        <f t="shared" si="305"/>
        <v>0.51</v>
      </c>
      <c r="BA435" s="526">
        <f t="shared" si="305"/>
        <v>0.51</v>
      </c>
      <c r="BB435" s="526">
        <f t="shared" si="305"/>
        <v>0.51</v>
      </c>
      <c r="BC435" s="526">
        <f t="shared" si="305"/>
        <v>0.51</v>
      </c>
      <c r="BD435" s="526">
        <f t="shared" si="305"/>
        <v>0.51</v>
      </c>
      <c r="BE435" s="526">
        <f t="shared" si="305"/>
        <v>0.51</v>
      </c>
      <c r="BF435" s="526">
        <f t="shared" si="305"/>
        <v>0.51</v>
      </c>
      <c r="BG435" s="526">
        <f t="shared" si="305"/>
        <v>0.51</v>
      </c>
      <c r="BH435" s="526">
        <f t="shared" si="305"/>
        <v>0.51</v>
      </c>
      <c r="BI435" s="526">
        <f t="shared" si="305"/>
        <v>0.51</v>
      </c>
      <c r="BJ435" s="526">
        <f t="shared" si="305"/>
        <v>0.51</v>
      </c>
      <c r="BK435" s="526">
        <f t="shared" si="305"/>
        <v>0.51</v>
      </c>
      <c r="BL435" s="526">
        <f t="shared" si="305"/>
        <v>0.51</v>
      </c>
      <c r="BM435" s="526">
        <f t="shared" si="305"/>
        <v>0.51</v>
      </c>
      <c r="BN435" s="526">
        <f t="shared" si="305"/>
        <v>0.51</v>
      </c>
      <c r="BO435" s="526">
        <f t="shared" si="305"/>
        <v>0.51</v>
      </c>
      <c r="BP435" s="526">
        <f t="shared" si="305"/>
        <v>0.51</v>
      </c>
      <c r="BQ435" s="526">
        <f t="shared" si="305"/>
        <v>0.51</v>
      </c>
      <c r="BR435" s="526">
        <f t="shared" si="305"/>
        <v>0.51</v>
      </c>
      <c r="BS435" s="526">
        <f t="shared" si="305"/>
        <v>0.51</v>
      </c>
      <c r="BT435" s="526">
        <f t="shared" si="305"/>
        <v>0.51</v>
      </c>
      <c r="BU435" s="526">
        <f t="shared" si="305"/>
        <v>0.51</v>
      </c>
      <c r="BV435" s="526">
        <f t="shared" si="305"/>
        <v>0.51</v>
      </c>
      <c r="BW435" s="526">
        <f t="shared" si="305"/>
        <v>0.51</v>
      </c>
      <c r="BX435" s="526">
        <f t="shared" si="305"/>
        <v>0.51</v>
      </c>
      <c r="BY435" s="526">
        <f t="shared" si="305"/>
        <v>0.51</v>
      </c>
      <c r="BZ435" s="526">
        <f t="shared" si="305"/>
        <v>0.51</v>
      </c>
      <c r="CA435" s="526">
        <f t="shared" si="305"/>
        <v>0.51</v>
      </c>
      <c r="CB435" s="526">
        <f t="shared" si="305"/>
        <v>0.51</v>
      </c>
      <c r="CC435" s="526">
        <f t="shared" si="305"/>
        <v>0.51</v>
      </c>
      <c r="CD435" s="526">
        <f t="shared" si="305"/>
        <v>0.51</v>
      </c>
      <c r="CE435" s="526">
        <f t="shared" si="305"/>
        <v>0.51</v>
      </c>
      <c r="CG435" s="537">
        <v>0.51</v>
      </c>
      <c r="CH435" s="537">
        <v>0.51</v>
      </c>
      <c r="CI435" s="537">
        <v>0.51</v>
      </c>
      <c r="CJ435" s="537">
        <v>0.51</v>
      </c>
      <c r="CK435" s="537">
        <v>0.51</v>
      </c>
      <c r="CL435" s="537">
        <v>0.51</v>
      </c>
      <c r="CM435" s="537">
        <v>0.51</v>
      </c>
      <c r="CN435" s="537">
        <v>0.51</v>
      </c>
      <c r="CO435" s="537">
        <v>0.51</v>
      </c>
      <c r="CP435" s="537">
        <v>0.51</v>
      </c>
      <c r="CQ435" s="537">
        <v>0.51</v>
      </c>
      <c r="CR435" s="537">
        <v>0.51</v>
      </c>
      <c r="CS435" s="537">
        <v>0.51</v>
      </c>
      <c r="CT435" s="537">
        <v>0.51</v>
      </c>
      <c r="CU435" s="537">
        <v>0.51</v>
      </c>
      <c r="CV435" s="537">
        <v>0.51</v>
      </c>
      <c r="CW435" s="537">
        <v>0.51</v>
      </c>
      <c r="CX435" s="537">
        <v>0.51</v>
      </c>
      <c r="CY435" s="537">
        <v>0.51</v>
      </c>
      <c r="CZ435" s="537">
        <v>0.51</v>
      </c>
      <c r="DA435" s="537">
        <v>0.51</v>
      </c>
      <c r="DB435" s="537">
        <v>0.51</v>
      </c>
      <c r="DC435" s="537">
        <v>0.51</v>
      </c>
      <c r="DD435" s="537">
        <v>0.51</v>
      </c>
      <c r="DE435" s="537">
        <v>0.51</v>
      </c>
      <c r="DF435" s="537">
        <v>0.51</v>
      </c>
      <c r="DG435" s="537">
        <v>0.51</v>
      </c>
      <c r="DH435" s="537">
        <v>0.51</v>
      </c>
    </row>
    <row r="436" spans="2:112">
      <c r="B436" t="s">
        <v>1288</v>
      </c>
      <c r="C436" t="s">
        <v>1280</v>
      </c>
      <c r="D436" t="s">
        <v>894</v>
      </c>
      <c r="E436" t="s">
        <v>895</v>
      </c>
      <c r="F436" s="537">
        <v>0</v>
      </c>
      <c r="G436" s="537">
        <v>0</v>
      </c>
      <c r="H436" s="537">
        <v>0</v>
      </c>
      <c r="I436" s="537">
        <v>0</v>
      </c>
      <c r="J436" s="537">
        <v>0</v>
      </c>
      <c r="K436" s="537">
        <v>0</v>
      </c>
      <c r="L436" s="537">
        <v>0</v>
      </c>
      <c r="M436" s="537">
        <v>0</v>
      </c>
      <c r="N436" s="537">
        <v>0</v>
      </c>
      <c r="O436" s="537">
        <v>0</v>
      </c>
      <c r="P436" s="537">
        <v>0</v>
      </c>
      <c r="Q436" s="537">
        <v>0</v>
      </c>
      <c r="R436" s="537">
        <v>0</v>
      </c>
      <c r="S436" s="537">
        <v>0</v>
      </c>
      <c r="T436" s="537">
        <v>0</v>
      </c>
      <c r="U436" s="537">
        <v>0</v>
      </c>
      <c r="V436" s="537">
        <v>0</v>
      </c>
      <c r="W436" s="537">
        <v>0</v>
      </c>
      <c r="X436" s="537">
        <v>0</v>
      </c>
      <c r="Y436" s="537">
        <v>0</v>
      </c>
      <c r="Z436" s="537">
        <v>0</v>
      </c>
      <c r="AA436" s="537">
        <v>0</v>
      </c>
      <c r="AB436" s="537">
        <v>0</v>
      </c>
      <c r="AC436" s="537">
        <v>0</v>
      </c>
      <c r="AD436" s="537">
        <v>0</v>
      </c>
      <c r="AE436" s="537">
        <v>0</v>
      </c>
      <c r="AF436" s="537">
        <v>0</v>
      </c>
      <c r="AG436" s="537">
        <v>0</v>
      </c>
      <c r="AH436" s="538">
        <f t="shared" si="306"/>
        <v>0</v>
      </c>
      <c r="AI436" s="538">
        <f t="shared" si="306"/>
        <v>0</v>
      </c>
      <c r="AJ436" s="538">
        <f t="shared" si="306"/>
        <v>0</v>
      </c>
      <c r="AK436" s="538">
        <f t="shared" si="306"/>
        <v>0</v>
      </c>
      <c r="AL436" s="538">
        <f t="shared" si="306"/>
        <v>0</v>
      </c>
      <c r="AM436" s="538">
        <f t="shared" si="306"/>
        <v>0</v>
      </c>
      <c r="AN436" s="538">
        <f t="shared" si="306"/>
        <v>0</v>
      </c>
      <c r="AO436" s="538">
        <f t="shared" si="306"/>
        <v>0</v>
      </c>
      <c r="AP436" s="538">
        <f t="shared" si="306"/>
        <v>0</v>
      </c>
      <c r="AQ436" s="538">
        <f t="shared" si="306"/>
        <v>0</v>
      </c>
      <c r="AR436" s="538">
        <f t="shared" si="306"/>
        <v>0</v>
      </c>
      <c r="AS436" s="538">
        <f t="shared" si="306"/>
        <v>0</v>
      </c>
      <c r="AT436" s="538">
        <f t="shared" si="306"/>
        <v>0</v>
      </c>
      <c r="AU436" s="538">
        <f t="shared" si="306"/>
        <v>0</v>
      </c>
      <c r="AV436" s="538">
        <f t="shared" si="306"/>
        <v>0</v>
      </c>
      <c r="AW436" s="538">
        <f t="shared" si="306"/>
        <v>0</v>
      </c>
      <c r="AX436" s="538">
        <f t="shared" si="305"/>
        <v>0</v>
      </c>
      <c r="AY436" s="538">
        <f t="shared" si="305"/>
        <v>0</v>
      </c>
      <c r="AZ436" s="538">
        <f t="shared" si="305"/>
        <v>0</v>
      </c>
      <c r="BA436" s="538">
        <f t="shared" si="305"/>
        <v>0</v>
      </c>
      <c r="BB436" s="538">
        <f t="shared" si="305"/>
        <v>0</v>
      </c>
      <c r="BC436" s="538">
        <f t="shared" si="305"/>
        <v>0</v>
      </c>
      <c r="BD436" s="538">
        <f t="shared" si="305"/>
        <v>0</v>
      </c>
      <c r="BE436" s="538">
        <f t="shared" si="305"/>
        <v>0</v>
      </c>
      <c r="BF436" s="538">
        <f t="shared" si="305"/>
        <v>0</v>
      </c>
      <c r="BG436" s="538">
        <f t="shared" si="305"/>
        <v>0</v>
      </c>
      <c r="BH436" s="538">
        <f t="shared" si="305"/>
        <v>0</v>
      </c>
      <c r="BI436" s="538">
        <f t="shared" si="305"/>
        <v>0</v>
      </c>
      <c r="BJ436" s="538">
        <f t="shared" si="305"/>
        <v>0</v>
      </c>
      <c r="BK436" s="538">
        <f t="shared" si="305"/>
        <v>0</v>
      </c>
      <c r="BL436" s="538">
        <f t="shared" si="305"/>
        <v>0</v>
      </c>
      <c r="BM436" s="538">
        <f t="shared" si="305"/>
        <v>0</v>
      </c>
      <c r="BN436" s="538">
        <f t="shared" si="305"/>
        <v>0</v>
      </c>
      <c r="BO436" s="538">
        <f t="shared" si="305"/>
        <v>0</v>
      </c>
      <c r="BP436" s="538">
        <f t="shared" si="305"/>
        <v>0</v>
      </c>
      <c r="BQ436" s="538">
        <f t="shared" si="305"/>
        <v>0</v>
      </c>
      <c r="BR436" s="538">
        <f t="shared" si="305"/>
        <v>0</v>
      </c>
      <c r="BS436" s="538">
        <f t="shared" si="305"/>
        <v>0</v>
      </c>
      <c r="BT436" s="538">
        <f t="shared" si="305"/>
        <v>0</v>
      </c>
      <c r="BU436" s="538">
        <f t="shared" si="305"/>
        <v>0</v>
      </c>
      <c r="BV436" s="538">
        <f t="shared" si="305"/>
        <v>0</v>
      </c>
      <c r="BW436" s="538">
        <f t="shared" si="305"/>
        <v>0</v>
      </c>
      <c r="BX436" s="538">
        <f t="shared" si="305"/>
        <v>0</v>
      </c>
      <c r="BY436" s="538">
        <f t="shared" si="305"/>
        <v>0</v>
      </c>
      <c r="BZ436" s="538">
        <f t="shared" si="305"/>
        <v>0</v>
      </c>
      <c r="CA436" s="538">
        <f t="shared" si="305"/>
        <v>0</v>
      </c>
      <c r="CB436" s="538">
        <f t="shared" si="305"/>
        <v>0</v>
      </c>
      <c r="CC436" s="538">
        <f t="shared" si="305"/>
        <v>0</v>
      </c>
      <c r="CD436" s="538">
        <f t="shared" si="305"/>
        <v>0</v>
      </c>
      <c r="CE436" s="538">
        <f t="shared" si="305"/>
        <v>0</v>
      </c>
      <c r="CG436" s="537">
        <v>0</v>
      </c>
      <c r="CH436" s="537">
        <v>0</v>
      </c>
      <c r="CI436" s="537">
        <v>0</v>
      </c>
      <c r="CJ436" s="537">
        <v>0</v>
      </c>
      <c r="CK436" s="537">
        <v>0</v>
      </c>
      <c r="CL436" s="537">
        <v>0</v>
      </c>
      <c r="CM436" s="537">
        <v>0</v>
      </c>
      <c r="CN436" s="537">
        <v>0</v>
      </c>
      <c r="CO436" s="537">
        <v>0</v>
      </c>
      <c r="CP436" s="537">
        <v>0</v>
      </c>
      <c r="CQ436" s="537">
        <v>0</v>
      </c>
      <c r="CR436" s="537">
        <v>0</v>
      </c>
      <c r="CS436" s="537">
        <v>0</v>
      </c>
      <c r="CT436" s="537">
        <v>0</v>
      </c>
      <c r="CU436" s="537">
        <v>0</v>
      </c>
      <c r="CV436" s="537">
        <v>0</v>
      </c>
      <c r="CW436" s="537">
        <v>0</v>
      </c>
      <c r="CX436" s="537">
        <v>0</v>
      </c>
      <c r="CY436" s="537">
        <v>0</v>
      </c>
      <c r="CZ436" s="537">
        <v>0</v>
      </c>
      <c r="DA436" s="537">
        <v>0</v>
      </c>
      <c r="DB436" s="537">
        <v>0</v>
      </c>
      <c r="DC436" s="537">
        <v>0</v>
      </c>
      <c r="DD436" s="537">
        <v>0</v>
      </c>
      <c r="DE436" s="537">
        <v>0</v>
      </c>
      <c r="DF436" s="537">
        <v>0</v>
      </c>
      <c r="DG436" s="537">
        <v>0</v>
      </c>
      <c r="DH436" s="537">
        <v>0</v>
      </c>
    </row>
    <row r="437" spans="2:112">
      <c r="B437" t="s">
        <v>1289</v>
      </c>
      <c r="C437" t="s">
        <v>1280</v>
      </c>
      <c r="D437" t="s">
        <v>897</v>
      </c>
      <c r="E437" t="s">
        <v>895</v>
      </c>
      <c r="F437" s="537">
        <v>0.01</v>
      </c>
      <c r="G437" s="537">
        <v>0.01</v>
      </c>
      <c r="H437" s="537">
        <v>0.01</v>
      </c>
      <c r="I437" s="537">
        <v>0.01</v>
      </c>
      <c r="J437" s="537">
        <v>0.01</v>
      </c>
      <c r="K437" s="537">
        <v>0.01</v>
      </c>
      <c r="L437" s="537">
        <v>0.01</v>
      </c>
      <c r="M437" s="537">
        <v>0.01</v>
      </c>
      <c r="N437" s="537">
        <v>0.01</v>
      </c>
      <c r="O437" s="537">
        <v>0.01</v>
      </c>
      <c r="P437" s="537">
        <v>0.01</v>
      </c>
      <c r="Q437" s="537">
        <v>0.01</v>
      </c>
      <c r="R437" s="537">
        <v>0.01</v>
      </c>
      <c r="S437" s="537">
        <v>0.01</v>
      </c>
      <c r="T437" s="537">
        <v>0.01</v>
      </c>
      <c r="U437" s="537">
        <v>0.01</v>
      </c>
      <c r="V437" s="537">
        <v>0.01</v>
      </c>
      <c r="W437" s="537">
        <v>0.01</v>
      </c>
      <c r="X437" s="537">
        <v>0.01</v>
      </c>
      <c r="Y437" s="537">
        <v>0.01</v>
      </c>
      <c r="Z437" s="537">
        <v>0.01</v>
      </c>
      <c r="AA437" s="537">
        <v>0.01</v>
      </c>
      <c r="AB437" s="537">
        <v>0.01</v>
      </c>
      <c r="AC437" s="537">
        <v>0.01</v>
      </c>
      <c r="AD437" s="537">
        <v>0.01</v>
      </c>
      <c r="AE437" s="537">
        <v>0.01</v>
      </c>
      <c r="AF437" s="537">
        <v>0.01</v>
      </c>
      <c r="AG437" s="537">
        <v>0.01</v>
      </c>
      <c r="AH437" s="538">
        <f t="shared" si="306"/>
        <v>0.01</v>
      </c>
      <c r="AI437" s="538">
        <f t="shared" si="306"/>
        <v>0.01</v>
      </c>
      <c r="AJ437" s="538">
        <f t="shared" si="306"/>
        <v>0.01</v>
      </c>
      <c r="AK437" s="538">
        <f t="shared" si="306"/>
        <v>0.01</v>
      </c>
      <c r="AL437" s="538">
        <f t="shared" si="306"/>
        <v>0.01</v>
      </c>
      <c r="AM437" s="538">
        <f t="shared" si="306"/>
        <v>0.01</v>
      </c>
      <c r="AN437" s="538">
        <f t="shared" si="306"/>
        <v>0.01</v>
      </c>
      <c r="AO437" s="538">
        <f t="shared" si="306"/>
        <v>0.01</v>
      </c>
      <c r="AP437" s="538">
        <f t="shared" si="306"/>
        <v>0.01</v>
      </c>
      <c r="AQ437" s="538">
        <f t="shared" si="306"/>
        <v>0.01</v>
      </c>
      <c r="AR437" s="538">
        <f t="shared" si="306"/>
        <v>0.01</v>
      </c>
      <c r="AS437" s="538">
        <f t="shared" si="306"/>
        <v>0.01</v>
      </c>
      <c r="AT437" s="538">
        <f t="shared" si="306"/>
        <v>0.01</v>
      </c>
      <c r="AU437" s="538">
        <f t="shared" si="306"/>
        <v>0.01</v>
      </c>
      <c r="AV437" s="538">
        <f t="shared" si="306"/>
        <v>0.01</v>
      </c>
      <c r="AW437" s="538">
        <f t="shared" si="306"/>
        <v>0.01</v>
      </c>
      <c r="AX437" s="538">
        <f t="shared" si="305"/>
        <v>0.01</v>
      </c>
      <c r="AY437" s="538">
        <f t="shared" si="305"/>
        <v>0.01</v>
      </c>
      <c r="AZ437" s="538">
        <f t="shared" si="305"/>
        <v>0.01</v>
      </c>
      <c r="BA437" s="538">
        <f t="shared" si="305"/>
        <v>0.01</v>
      </c>
      <c r="BB437" s="538">
        <f t="shared" si="305"/>
        <v>0.01</v>
      </c>
      <c r="BC437" s="538">
        <f t="shared" si="305"/>
        <v>0.01</v>
      </c>
      <c r="BD437" s="538">
        <f t="shared" si="305"/>
        <v>0.01</v>
      </c>
      <c r="BE437" s="538">
        <f t="shared" si="305"/>
        <v>0.01</v>
      </c>
      <c r="BF437" s="538">
        <f t="shared" si="305"/>
        <v>0.01</v>
      </c>
      <c r="BG437" s="538">
        <f t="shared" si="305"/>
        <v>0.01</v>
      </c>
      <c r="BH437" s="538">
        <f t="shared" si="305"/>
        <v>0.01</v>
      </c>
      <c r="BI437" s="538">
        <f t="shared" si="305"/>
        <v>0.01</v>
      </c>
      <c r="BJ437" s="538">
        <f t="shared" si="305"/>
        <v>0.01</v>
      </c>
      <c r="BK437" s="538">
        <f t="shared" si="305"/>
        <v>0.01</v>
      </c>
      <c r="BL437" s="538">
        <f t="shared" si="305"/>
        <v>0.01</v>
      </c>
      <c r="BM437" s="538">
        <f t="shared" si="305"/>
        <v>0.01</v>
      </c>
      <c r="BN437" s="538">
        <f t="shared" ref="BN437:CC439" si="307">BM437</f>
        <v>0.01</v>
      </c>
      <c r="BO437" s="538">
        <f t="shared" si="307"/>
        <v>0.01</v>
      </c>
      <c r="BP437" s="538">
        <f t="shared" si="307"/>
        <v>0.01</v>
      </c>
      <c r="BQ437" s="538">
        <f t="shared" si="307"/>
        <v>0.01</v>
      </c>
      <c r="BR437" s="538">
        <f t="shared" si="307"/>
        <v>0.01</v>
      </c>
      <c r="BS437" s="538">
        <f t="shared" si="307"/>
        <v>0.01</v>
      </c>
      <c r="BT437" s="538">
        <f t="shared" si="307"/>
        <v>0.01</v>
      </c>
      <c r="BU437" s="538">
        <f t="shared" si="307"/>
        <v>0.01</v>
      </c>
      <c r="BV437" s="538">
        <f t="shared" si="307"/>
        <v>0.01</v>
      </c>
      <c r="BW437" s="538">
        <f t="shared" si="307"/>
        <v>0.01</v>
      </c>
      <c r="BX437" s="538">
        <f t="shared" si="307"/>
        <v>0.01</v>
      </c>
      <c r="BY437" s="538">
        <f t="shared" si="307"/>
        <v>0.01</v>
      </c>
      <c r="BZ437" s="538">
        <f t="shared" si="307"/>
        <v>0.01</v>
      </c>
      <c r="CA437" s="538">
        <f t="shared" si="307"/>
        <v>0.01</v>
      </c>
      <c r="CB437" s="538">
        <f t="shared" si="307"/>
        <v>0.01</v>
      </c>
      <c r="CC437" s="538">
        <f t="shared" si="307"/>
        <v>0.01</v>
      </c>
      <c r="CD437" s="538">
        <f t="shared" ref="CD437:CE439" si="308">CC437</f>
        <v>0.01</v>
      </c>
      <c r="CE437" s="538">
        <f t="shared" si="308"/>
        <v>0.01</v>
      </c>
      <c r="CG437" s="537">
        <v>0.01</v>
      </c>
      <c r="CH437" s="537">
        <v>0.01</v>
      </c>
      <c r="CI437" s="537">
        <v>0.01</v>
      </c>
      <c r="CJ437" s="537">
        <v>0.01</v>
      </c>
      <c r="CK437" s="537">
        <v>0.01</v>
      </c>
      <c r="CL437" s="537">
        <v>0.01</v>
      </c>
      <c r="CM437" s="537">
        <v>0.01</v>
      </c>
      <c r="CN437" s="537">
        <v>0.01</v>
      </c>
      <c r="CO437" s="537">
        <v>0.01</v>
      </c>
      <c r="CP437" s="537">
        <v>0.01</v>
      </c>
      <c r="CQ437" s="537">
        <v>0.01</v>
      </c>
      <c r="CR437" s="537">
        <v>0.01</v>
      </c>
      <c r="CS437" s="537">
        <v>0.01</v>
      </c>
      <c r="CT437" s="537">
        <v>0.01</v>
      </c>
      <c r="CU437" s="537">
        <v>0.01</v>
      </c>
      <c r="CV437" s="537">
        <v>0.01</v>
      </c>
      <c r="CW437" s="537">
        <v>0.01</v>
      </c>
      <c r="CX437" s="537">
        <v>0.01</v>
      </c>
      <c r="CY437" s="537">
        <v>0.01</v>
      </c>
      <c r="CZ437" s="537">
        <v>0.01</v>
      </c>
      <c r="DA437" s="537">
        <v>0.01</v>
      </c>
      <c r="DB437" s="537">
        <v>0.01</v>
      </c>
      <c r="DC437" s="537">
        <v>0.01</v>
      </c>
      <c r="DD437" s="537">
        <v>0.01</v>
      </c>
      <c r="DE437" s="537">
        <v>0.01</v>
      </c>
      <c r="DF437" s="537">
        <v>0.01</v>
      </c>
      <c r="DG437" s="537">
        <v>0.01</v>
      </c>
      <c r="DH437" s="537">
        <v>0.01</v>
      </c>
    </row>
    <row r="438" spans="2:112">
      <c r="B438" t="s">
        <v>1290</v>
      </c>
      <c r="C438" t="s">
        <v>1280</v>
      </c>
      <c r="D438" t="s">
        <v>899</v>
      </c>
      <c r="E438" t="s">
        <v>895</v>
      </c>
      <c r="F438" s="537">
        <v>0.05</v>
      </c>
      <c r="G438" s="537">
        <v>0.05</v>
      </c>
      <c r="H438" s="537">
        <v>0.05</v>
      </c>
      <c r="I438" s="537">
        <v>0.05</v>
      </c>
      <c r="J438" s="537">
        <v>0.05</v>
      </c>
      <c r="K438" s="537">
        <v>0.05</v>
      </c>
      <c r="L438" s="537">
        <v>0.05</v>
      </c>
      <c r="M438" s="537">
        <v>0.05</v>
      </c>
      <c r="N438" s="537">
        <v>0.05</v>
      </c>
      <c r="O438" s="537">
        <v>0.05</v>
      </c>
      <c r="P438" s="537">
        <v>0.05</v>
      </c>
      <c r="Q438" s="537">
        <v>0.05</v>
      </c>
      <c r="R438" s="537">
        <v>0.05</v>
      </c>
      <c r="S438" s="537">
        <v>0.05</v>
      </c>
      <c r="T438" s="537">
        <v>0.05</v>
      </c>
      <c r="U438" s="537">
        <v>0.05</v>
      </c>
      <c r="V438" s="537">
        <v>0.05</v>
      </c>
      <c r="W438" s="537">
        <v>0.05</v>
      </c>
      <c r="X438" s="537">
        <v>0.05</v>
      </c>
      <c r="Y438" s="537">
        <v>0.05</v>
      </c>
      <c r="Z438" s="537">
        <v>0.05</v>
      </c>
      <c r="AA438" s="537">
        <v>0.05</v>
      </c>
      <c r="AB438" s="537">
        <v>0.05</v>
      </c>
      <c r="AC438" s="537">
        <v>0.05</v>
      </c>
      <c r="AD438" s="537">
        <v>0.05</v>
      </c>
      <c r="AE438" s="537">
        <v>0.05</v>
      </c>
      <c r="AF438" s="537">
        <v>0.05</v>
      </c>
      <c r="AG438" s="537">
        <v>0.05</v>
      </c>
      <c r="AH438" s="538">
        <f t="shared" si="306"/>
        <v>0.05</v>
      </c>
      <c r="AI438" s="538">
        <f t="shared" si="306"/>
        <v>0.05</v>
      </c>
      <c r="AJ438" s="538">
        <f t="shared" si="306"/>
        <v>0.05</v>
      </c>
      <c r="AK438" s="538">
        <f t="shared" si="306"/>
        <v>0.05</v>
      </c>
      <c r="AL438" s="538">
        <f t="shared" si="306"/>
        <v>0.05</v>
      </c>
      <c r="AM438" s="538">
        <f t="shared" si="306"/>
        <v>0.05</v>
      </c>
      <c r="AN438" s="538">
        <f t="shared" si="306"/>
        <v>0.05</v>
      </c>
      <c r="AO438" s="538">
        <f t="shared" si="306"/>
        <v>0.05</v>
      </c>
      <c r="AP438" s="538">
        <f t="shared" si="306"/>
        <v>0.05</v>
      </c>
      <c r="AQ438" s="538">
        <f t="shared" si="306"/>
        <v>0.05</v>
      </c>
      <c r="AR438" s="538">
        <f t="shared" si="306"/>
        <v>0.05</v>
      </c>
      <c r="AS438" s="538">
        <f t="shared" si="306"/>
        <v>0.05</v>
      </c>
      <c r="AT438" s="538">
        <f t="shared" si="306"/>
        <v>0.05</v>
      </c>
      <c r="AU438" s="538">
        <f t="shared" si="306"/>
        <v>0.05</v>
      </c>
      <c r="AV438" s="538">
        <f t="shared" si="306"/>
        <v>0.05</v>
      </c>
      <c r="AW438" s="538">
        <f t="shared" si="306"/>
        <v>0.05</v>
      </c>
      <c r="AX438" s="538">
        <f t="shared" ref="AX438:BM439" si="309">AW438</f>
        <v>0.05</v>
      </c>
      <c r="AY438" s="538">
        <f t="shared" si="309"/>
        <v>0.05</v>
      </c>
      <c r="AZ438" s="538">
        <f t="shared" si="309"/>
        <v>0.05</v>
      </c>
      <c r="BA438" s="538">
        <f t="shared" si="309"/>
        <v>0.05</v>
      </c>
      <c r="BB438" s="538">
        <f t="shared" si="309"/>
        <v>0.05</v>
      </c>
      <c r="BC438" s="538">
        <f t="shared" si="309"/>
        <v>0.05</v>
      </c>
      <c r="BD438" s="538">
        <f t="shared" si="309"/>
        <v>0.05</v>
      </c>
      <c r="BE438" s="538">
        <f t="shared" si="309"/>
        <v>0.05</v>
      </c>
      <c r="BF438" s="538">
        <f t="shared" si="309"/>
        <v>0.05</v>
      </c>
      <c r="BG438" s="538">
        <f t="shared" si="309"/>
        <v>0.05</v>
      </c>
      <c r="BH438" s="538">
        <f t="shared" si="309"/>
        <v>0.05</v>
      </c>
      <c r="BI438" s="538">
        <f t="shared" si="309"/>
        <v>0.05</v>
      </c>
      <c r="BJ438" s="538">
        <f t="shared" si="309"/>
        <v>0.05</v>
      </c>
      <c r="BK438" s="538">
        <f t="shared" si="309"/>
        <v>0.05</v>
      </c>
      <c r="BL438" s="538">
        <f t="shared" si="309"/>
        <v>0.05</v>
      </c>
      <c r="BM438" s="538">
        <f t="shared" si="309"/>
        <v>0.05</v>
      </c>
      <c r="BN438" s="538">
        <f t="shared" si="307"/>
        <v>0.05</v>
      </c>
      <c r="BO438" s="538">
        <f t="shared" si="307"/>
        <v>0.05</v>
      </c>
      <c r="BP438" s="538">
        <f t="shared" si="307"/>
        <v>0.05</v>
      </c>
      <c r="BQ438" s="538">
        <f t="shared" si="307"/>
        <v>0.05</v>
      </c>
      <c r="BR438" s="538">
        <f t="shared" si="307"/>
        <v>0.05</v>
      </c>
      <c r="BS438" s="538">
        <f t="shared" si="307"/>
        <v>0.05</v>
      </c>
      <c r="BT438" s="538">
        <f t="shared" si="307"/>
        <v>0.05</v>
      </c>
      <c r="BU438" s="538">
        <f t="shared" si="307"/>
        <v>0.05</v>
      </c>
      <c r="BV438" s="538">
        <f t="shared" si="307"/>
        <v>0.05</v>
      </c>
      <c r="BW438" s="538">
        <f t="shared" si="307"/>
        <v>0.05</v>
      </c>
      <c r="BX438" s="538">
        <f t="shared" si="307"/>
        <v>0.05</v>
      </c>
      <c r="BY438" s="538">
        <f t="shared" si="307"/>
        <v>0.05</v>
      </c>
      <c r="BZ438" s="538">
        <f t="shared" si="307"/>
        <v>0.05</v>
      </c>
      <c r="CA438" s="538">
        <f t="shared" si="307"/>
        <v>0.05</v>
      </c>
      <c r="CB438" s="538">
        <f t="shared" si="307"/>
        <v>0.05</v>
      </c>
      <c r="CC438" s="538">
        <f t="shared" si="307"/>
        <v>0.05</v>
      </c>
      <c r="CD438" s="538">
        <f t="shared" si="308"/>
        <v>0.05</v>
      </c>
      <c r="CE438" s="538">
        <f t="shared" si="308"/>
        <v>0.05</v>
      </c>
      <c r="CG438" s="537">
        <v>0.05</v>
      </c>
      <c r="CH438" s="537">
        <v>0.05</v>
      </c>
      <c r="CI438" s="537">
        <v>0.05</v>
      </c>
      <c r="CJ438" s="537">
        <v>0.05</v>
      </c>
      <c r="CK438" s="537">
        <v>0.05</v>
      </c>
      <c r="CL438" s="537">
        <v>0.05</v>
      </c>
      <c r="CM438" s="537">
        <v>0.05</v>
      </c>
      <c r="CN438" s="537">
        <v>0.05</v>
      </c>
      <c r="CO438" s="537">
        <v>0.05</v>
      </c>
      <c r="CP438" s="537">
        <v>0.05</v>
      </c>
      <c r="CQ438" s="537">
        <v>0.05</v>
      </c>
      <c r="CR438" s="537">
        <v>0.05</v>
      </c>
      <c r="CS438" s="537">
        <v>0.05</v>
      </c>
      <c r="CT438" s="537">
        <v>0.05</v>
      </c>
      <c r="CU438" s="537">
        <v>0.05</v>
      </c>
      <c r="CV438" s="537">
        <v>0.05</v>
      </c>
      <c r="CW438" s="537">
        <v>0.05</v>
      </c>
      <c r="CX438" s="537">
        <v>0.05</v>
      </c>
      <c r="CY438" s="537">
        <v>0.05</v>
      </c>
      <c r="CZ438" s="537">
        <v>0.05</v>
      </c>
      <c r="DA438" s="537">
        <v>0.05</v>
      </c>
      <c r="DB438" s="537">
        <v>0.05</v>
      </c>
      <c r="DC438" s="537">
        <v>0.05</v>
      </c>
      <c r="DD438" s="537">
        <v>0.05</v>
      </c>
      <c r="DE438" s="537">
        <v>0.05</v>
      </c>
      <c r="DF438" s="537">
        <v>0.05</v>
      </c>
      <c r="DG438" s="537">
        <v>0.05</v>
      </c>
      <c r="DH438" s="537">
        <v>0.05</v>
      </c>
    </row>
    <row r="439" spans="2:112">
      <c r="B439" t="s">
        <v>1291</v>
      </c>
      <c r="C439" t="s">
        <v>1280</v>
      </c>
      <c r="D439" t="s">
        <v>901</v>
      </c>
      <c r="E439" t="s">
        <v>895</v>
      </c>
      <c r="F439" s="537">
        <v>0.05</v>
      </c>
      <c r="G439" s="537">
        <v>0.05</v>
      </c>
      <c r="H439" s="537">
        <v>0.05</v>
      </c>
      <c r="I439" s="537">
        <v>0.05</v>
      </c>
      <c r="J439" s="537">
        <v>0.05</v>
      </c>
      <c r="K439" s="537">
        <v>0.05</v>
      </c>
      <c r="L439" s="537">
        <v>0.05</v>
      </c>
      <c r="M439" s="537">
        <v>0.05</v>
      </c>
      <c r="N439" s="537">
        <v>0.05</v>
      </c>
      <c r="O439" s="537">
        <v>0.05</v>
      </c>
      <c r="P439" s="537">
        <v>0.05</v>
      </c>
      <c r="Q439" s="537">
        <v>0.05</v>
      </c>
      <c r="R439" s="537">
        <v>0.05</v>
      </c>
      <c r="S439" s="537">
        <v>0.05</v>
      </c>
      <c r="T439" s="537">
        <v>0.05</v>
      </c>
      <c r="U439" s="537">
        <v>0.05</v>
      </c>
      <c r="V439" s="537">
        <v>0.05</v>
      </c>
      <c r="W439" s="537">
        <v>0.05</v>
      </c>
      <c r="X439" s="537">
        <v>0.05</v>
      </c>
      <c r="Y439" s="537">
        <v>0.05</v>
      </c>
      <c r="Z439" s="537">
        <v>0.05</v>
      </c>
      <c r="AA439" s="537">
        <v>0.05</v>
      </c>
      <c r="AB439" s="537">
        <v>0.05</v>
      </c>
      <c r="AC439" s="537">
        <v>0.05</v>
      </c>
      <c r="AD439" s="537">
        <v>0.05</v>
      </c>
      <c r="AE439" s="537">
        <v>0.05</v>
      </c>
      <c r="AF439" s="537">
        <v>0.05</v>
      </c>
      <c r="AG439" s="537">
        <v>0.05</v>
      </c>
      <c r="AH439" s="538">
        <f t="shared" si="306"/>
        <v>0.05</v>
      </c>
      <c r="AI439" s="538">
        <f t="shared" si="306"/>
        <v>0.05</v>
      </c>
      <c r="AJ439" s="538">
        <f t="shared" si="306"/>
        <v>0.05</v>
      </c>
      <c r="AK439" s="538">
        <f t="shared" si="306"/>
        <v>0.05</v>
      </c>
      <c r="AL439" s="538">
        <f t="shared" si="306"/>
        <v>0.05</v>
      </c>
      <c r="AM439" s="538">
        <f t="shared" si="306"/>
        <v>0.05</v>
      </c>
      <c r="AN439" s="538">
        <f t="shared" si="306"/>
        <v>0.05</v>
      </c>
      <c r="AO439" s="538">
        <f t="shared" si="306"/>
        <v>0.05</v>
      </c>
      <c r="AP439" s="538">
        <f t="shared" si="306"/>
        <v>0.05</v>
      </c>
      <c r="AQ439" s="538">
        <f t="shared" si="306"/>
        <v>0.05</v>
      </c>
      <c r="AR439" s="538">
        <f t="shared" si="306"/>
        <v>0.05</v>
      </c>
      <c r="AS439" s="538">
        <f t="shared" si="306"/>
        <v>0.05</v>
      </c>
      <c r="AT439" s="538">
        <f t="shared" si="306"/>
        <v>0.05</v>
      </c>
      <c r="AU439" s="538">
        <f t="shared" si="306"/>
        <v>0.05</v>
      </c>
      <c r="AV439" s="538">
        <f t="shared" si="306"/>
        <v>0.05</v>
      </c>
      <c r="AW439" s="538">
        <f t="shared" si="306"/>
        <v>0.05</v>
      </c>
      <c r="AX439" s="538">
        <f t="shared" si="309"/>
        <v>0.05</v>
      </c>
      <c r="AY439" s="538">
        <f t="shared" si="309"/>
        <v>0.05</v>
      </c>
      <c r="AZ439" s="538">
        <f t="shared" si="309"/>
        <v>0.05</v>
      </c>
      <c r="BA439" s="538">
        <f t="shared" si="309"/>
        <v>0.05</v>
      </c>
      <c r="BB439" s="538">
        <f t="shared" si="309"/>
        <v>0.05</v>
      </c>
      <c r="BC439" s="538">
        <f t="shared" si="309"/>
        <v>0.05</v>
      </c>
      <c r="BD439" s="538">
        <f t="shared" si="309"/>
        <v>0.05</v>
      </c>
      <c r="BE439" s="538">
        <f t="shared" si="309"/>
        <v>0.05</v>
      </c>
      <c r="BF439" s="538">
        <f t="shared" si="309"/>
        <v>0.05</v>
      </c>
      <c r="BG439" s="538">
        <f t="shared" si="309"/>
        <v>0.05</v>
      </c>
      <c r="BH439" s="538">
        <f t="shared" si="309"/>
        <v>0.05</v>
      </c>
      <c r="BI439" s="538">
        <f t="shared" si="309"/>
        <v>0.05</v>
      </c>
      <c r="BJ439" s="538">
        <f t="shared" si="309"/>
        <v>0.05</v>
      </c>
      <c r="BK439" s="538">
        <f t="shared" si="309"/>
        <v>0.05</v>
      </c>
      <c r="BL439" s="538">
        <f t="shared" si="309"/>
        <v>0.05</v>
      </c>
      <c r="BM439" s="538">
        <f t="shared" si="309"/>
        <v>0.05</v>
      </c>
      <c r="BN439" s="538">
        <f t="shared" si="307"/>
        <v>0.05</v>
      </c>
      <c r="BO439" s="538">
        <f t="shared" si="307"/>
        <v>0.05</v>
      </c>
      <c r="BP439" s="538">
        <f t="shared" si="307"/>
        <v>0.05</v>
      </c>
      <c r="BQ439" s="538">
        <f t="shared" si="307"/>
        <v>0.05</v>
      </c>
      <c r="BR439" s="538">
        <f t="shared" si="307"/>
        <v>0.05</v>
      </c>
      <c r="BS439" s="538">
        <f t="shared" si="307"/>
        <v>0.05</v>
      </c>
      <c r="BT439" s="538">
        <f t="shared" si="307"/>
        <v>0.05</v>
      </c>
      <c r="BU439" s="538">
        <f t="shared" si="307"/>
        <v>0.05</v>
      </c>
      <c r="BV439" s="538">
        <f t="shared" si="307"/>
        <v>0.05</v>
      </c>
      <c r="BW439" s="538">
        <f t="shared" si="307"/>
        <v>0.05</v>
      </c>
      <c r="BX439" s="538">
        <f t="shared" si="307"/>
        <v>0.05</v>
      </c>
      <c r="BY439" s="538">
        <f t="shared" si="307"/>
        <v>0.05</v>
      </c>
      <c r="BZ439" s="538">
        <f t="shared" si="307"/>
        <v>0.05</v>
      </c>
      <c r="CA439" s="538">
        <f t="shared" si="307"/>
        <v>0.05</v>
      </c>
      <c r="CB439" s="538">
        <f t="shared" si="307"/>
        <v>0.05</v>
      </c>
      <c r="CC439" s="538">
        <f t="shared" si="307"/>
        <v>0.05</v>
      </c>
      <c r="CD439" s="538">
        <f t="shared" si="308"/>
        <v>0.05</v>
      </c>
      <c r="CE439" s="538">
        <f t="shared" si="308"/>
        <v>0.05</v>
      </c>
      <c r="CG439" s="537">
        <v>0.05</v>
      </c>
      <c r="CH439" s="537">
        <v>0.05</v>
      </c>
      <c r="CI439" s="537">
        <v>0.05</v>
      </c>
      <c r="CJ439" s="537">
        <v>0.05</v>
      </c>
      <c r="CK439" s="537">
        <v>0.05</v>
      </c>
      <c r="CL439" s="537">
        <v>0.05</v>
      </c>
      <c r="CM439" s="537">
        <v>0.05</v>
      </c>
      <c r="CN439" s="537">
        <v>0.05</v>
      </c>
      <c r="CO439" s="537">
        <v>0.05</v>
      </c>
      <c r="CP439" s="537">
        <v>0.05</v>
      </c>
      <c r="CQ439" s="537">
        <v>0.05</v>
      </c>
      <c r="CR439" s="537">
        <v>0.05</v>
      </c>
      <c r="CS439" s="537">
        <v>0.05</v>
      </c>
      <c r="CT439" s="537">
        <v>0.05</v>
      </c>
      <c r="CU439" s="537">
        <v>0.05</v>
      </c>
      <c r="CV439" s="537">
        <v>0.05</v>
      </c>
      <c r="CW439" s="537">
        <v>0.05</v>
      </c>
      <c r="CX439" s="537">
        <v>0.05</v>
      </c>
      <c r="CY439" s="537">
        <v>0.05</v>
      </c>
      <c r="CZ439" s="537">
        <v>0.05</v>
      </c>
      <c r="DA439" s="537">
        <v>0.05</v>
      </c>
      <c r="DB439" s="537">
        <v>0.05</v>
      </c>
      <c r="DC439" s="537">
        <v>0.05</v>
      </c>
      <c r="DD439" s="537">
        <v>0.05</v>
      </c>
      <c r="DE439" s="537">
        <v>0.05</v>
      </c>
      <c r="DF439" s="537">
        <v>0.05</v>
      </c>
      <c r="DG439" s="537">
        <v>0.05</v>
      </c>
      <c r="DH439" s="537">
        <v>0.05</v>
      </c>
    </row>
    <row r="440" spans="2:112">
      <c r="F440" s="539"/>
      <c r="G440" s="539"/>
      <c r="H440" s="539"/>
      <c r="I440" s="539"/>
      <c r="J440" s="539"/>
      <c r="K440" s="539"/>
      <c r="L440" s="539"/>
      <c r="M440" s="539"/>
      <c r="N440" s="539"/>
      <c r="O440" s="539"/>
      <c r="P440" s="539"/>
      <c r="Q440" s="539"/>
      <c r="R440" s="539"/>
      <c r="S440" s="539"/>
      <c r="T440" s="539"/>
      <c r="U440" s="539"/>
      <c r="V440" s="539"/>
      <c r="W440" s="539"/>
      <c r="X440" s="539"/>
      <c r="Y440" s="539"/>
      <c r="Z440" s="539"/>
      <c r="AA440" s="539"/>
      <c r="AB440" s="539"/>
      <c r="AC440" s="539"/>
      <c r="AD440" s="539"/>
      <c r="AE440" s="539"/>
      <c r="AF440" s="539"/>
      <c r="AG440" s="539"/>
      <c r="AH440" s="539"/>
      <c r="AI440" s="539"/>
      <c r="AJ440" s="539"/>
      <c r="AK440" s="539"/>
      <c r="AL440" s="539"/>
      <c r="AM440" s="539"/>
      <c r="AN440" s="539"/>
      <c r="AO440" s="539"/>
      <c r="AP440" s="539"/>
      <c r="AQ440" s="539"/>
      <c r="AR440" s="539"/>
      <c r="AS440" s="539"/>
      <c r="AT440" s="539"/>
      <c r="AU440" s="539"/>
      <c r="AV440" s="539"/>
      <c r="AW440" s="539"/>
      <c r="AX440" s="539"/>
      <c r="AY440" s="539"/>
      <c r="AZ440" s="539"/>
      <c r="BA440" s="539"/>
      <c r="BB440" s="539"/>
      <c r="BC440" s="539"/>
      <c r="BD440" s="539"/>
      <c r="BE440" s="539"/>
      <c r="BF440" s="539"/>
      <c r="BG440" s="539"/>
      <c r="BH440" s="539"/>
      <c r="BI440" s="539"/>
      <c r="BJ440" s="539"/>
      <c r="BK440" s="539"/>
      <c r="BL440" s="539"/>
      <c r="BM440" s="539"/>
      <c r="BN440" s="539"/>
      <c r="BO440" s="539"/>
      <c r="BP440" s="539"/>
      <c r="BQ440" s="539"/>
      <c r="BR440" s="539"/>
      <c r="BS440" s="539"/>
      <c r="BT440" s="539"/>
      <c r="BU440" s="539"/>
      <c r="BV440" s="539"/>
      <c r="BW440" s="539"/>
      <c r="BX440" s="539"/>
      <c r="BY440" s="539"/>
      <c r="BZ440" s="539"/>
      <c r="CA440" s="539"/>
      <c r="CB440" s="539"/>
      <c r="CC440" s="539"/>
      <c r="CD440" s="539"/>
      <c r="CE440" s="539"/>
      <c r="CG440" s="539"/>
      <c r="CH440" s="539"/>
      <c r="CI440" s="539"/>
      <c r="CJ440" s="539"/>
      <c r="CK440" s="539"/>
      <c r="CL440" s="539"/>
      <c r="CM440" s="539"/>
      <c r="CN440" s="539"/>
      <c r="CO440" s="539"/>
      <c r="CP440" s="539"/>
      <c r="CQ440" s="539"/>
      <c r="CR440" s="539"/>
      <c r="CS440" s="539"/>
      <c r="CT440" s="539"/>
      <c r="CU440" s="539"/>
      <c r="CV440" s="539"/>
      <c r="CW440" s="539"/>
      <c r="CX440" s="539"/>
      <c r="CY440" s="539"/>
      <c r="CZ440" s="539"/>
      <c r="DA440" s="539"/>
      <c r="DB440" s="539"/>
      <c r="DC440" s="539"/>
      <c r="DD440" s="539"/>
      <c r="DE440" s="539"/>
      <c r="DF440" s="539"/>
      <c r="DG440" s="539"/>
      <c r="DH440" s="539"/>
    </row>
    <row r="441" spans="2:112">
      <c r="B441" t="s">
        <v>1292</v>
      </c>
      <c r="C441" t="s">
        <v>1280</v>
      </c>
      <c r="D441" t="s">
        <v>903</v>
      </c>
      <c r="E441" t="s">
        <v>557</v>
      </c>
      <c r="F441" s="536">
        <v>8784</v>
      </c>
      <c r="G441" s="536">
        <v>8784</v>
      </c>
      <c r="H441" s="536">
        <v>8784</v>
      </c>
      <c r="I441" s="536">
        <v>8784</v>
      </c>
      <c r="J441" s="536">
        <v>8784</v>
      </c>
      <c r="K441" s="536">
        <v>8784</v>
      </c>
      <c r="L441" s="536">
        <v>8784</v>
      </c>
      <c r="M441" s="536">
        <v>8784</v>
      </c>
      <c r="N441" s="536">
        <v>8784</v>
      </c>
      <c r="O441" s="536">
        <v>8784</v>
      </c>
      <c r="P441" s="536">
        <v>8784</v>
      </c>
      <c r="Q441" s="536">
        <v>8784</v>
      </c>
      <c r="R441" s="536">
        <v>8784</v>
      </c>
      <c r="S441" s="536">
        <v>8784</v>
      </c>
      <c r="T441" s="536">
        <v>8784</v>
      </c>
      <c r="U441" s="536">
        <v>8784</v>
      </c>
      <c r="V441" s="536">
        <v>8784</v>
      </c>
      <c r="W441" s="536">
        <v>8784</v>
      </c>
      <c r="X441" s="536">
        <v>8784</v>
      </c>
      <c r="Y441" s="536">
        <v>8784</v>
      </c>
      <c r="Z441" s="536">
        <v>8784</v>
      </c>
      <c r="AA441" s="536">
        <v>8784</v>
      </c>
      <c r="AB441" s="536">
        <v>8784</v>
      </c>
      <c r="AC441" s="536">
        <v>8784</v>
      </c>
      <c r="AD441" s="536">
        <v>8784</v>
      </c>
      <c r="AE441" s="536">
        <v>8784</v>
      </c>
      <c r="AF441" s="536">
        <v>8784</v>
      </c>
      <c r="AG441" s="536">
        <v>8784</v>
      </c>
      <c r="AH441" s="540">
        <f>AG441</f>
        <v>8784</v>
      </c>
      <c r="AI441" s="540">
        <f t="shared" ref="AI441:CE442" si="310">AH441</f>
        <v>8784</v>
      </c>
      <c r="AJ441" s="540">
        <f t="shared" si="310"/>
        <v>8784</v>
      </c>
      <c r="AK441" s="540">
        <f t="shared" si="310"/>
        <v>8784</v>
      </c>
      <c r="AL441" s="540">
        <f t="shared" si="310"/>
        <v>8784</v>
      </c>
      <c r="AM441" s="540">
        <f t="shared" si="310"/>
        <v>8784</v>
      </c>
      <c r="AN441" s="540">
        <f t="shared" si="310"/>
        <v>8784</v>
      </c>
      <c r="AO441" s="540">
        <f t="shared" si="310"/>
        <v>8784</v>
      </c>
      <c r="AP441" s="540">
        <f t="shared" si="310"/>
        <v>8784</v>
      </c>
      <c r="AQ441" s="540">
        <f t="shared" si="310"/>
        <v>8784</v>
      </c>
      <c r="AR441" s="540">
        <f t="shared" si="310"/>
        <v>8784</v>
      </c>
      <c r="AS441" s="540">
        <f t="shared" si="310"/>
        <v>8784</v>
      </c>
      <c r="AT441" s="540">
        <f t="shared" si="310"/>
        <v>8784</v>
      </c>
      <c r="AU441" s="540">
        <f t="shared" si="310"/>
        <v>8784</v>
      </c>
      <c r="AV441" s="540">
        <f t="shared" si="310"/>
        <v>8784</v>
      </c>
      <c r="AW441" s="540">
        <f t="shared" si="310"/>
        <v>8784</v>
      </c>
      <c r="AX441" s="540">
        <f t="shared" si="310"/>
        <v>8784</v>
      </c>
      <c r="AY441" s="540">
        <f t="shared" si="310"/>
        <v>8784</v>
      </c>
      <c r="AZ441" s="540">
        <f t="shared" si="310"/>
        <v>8784</v>
      </c>
      <c r="BA441" s="540">
        <f t="shared" si="310"/>
        <v>8784</v>
      </c>
      <c r="BB441" s="540">
        <f t="shared" si="310"/>
        <v>8784</v>
      </c>
      <c r="BC441" s="540">
        <f t="shared" si="310"/>
        <v>8784</v>
      </c>
      <c r="BD441" s="540">
        <f t="shared" si="310"/>
        <v>8784</v>
      </c>
      <c r="BE441" s="540">
        <f t="shared" si="310"/>
        <v>8784</v>
      </c>
      <c r="BF441" s="540">
        <f t="shared" si="310"/>
        <v>8784</v>
      </c>
      <c r="BG441" s="540">
        <f t="shared" si="310"/>
        <v>8784</v>
      </c>
      <c r="BH441" s="540">
        <f t="shared" si="310"/>
        <v>8784</v>
      </c>
      <c r="BI441" s="540">
        <f t="shared" si="310"/>
        <v>8784</v>
      </c>
      <c r="BJ441" s="540">
        <f t="shared" si="310"/>
        <v>8784</v>
      </c>
      <c r="BK441" s="540">
        <f t="shared" si="310"/>
        <v>8784</v>
      </c>
      <c r="BL441" s="540">
        <f t="shared" si="310"/>
        <v>8784</v>
      </c>
      <c r="BM441" s="540">
        <f t="shared" si="310"/>
        <v>8784</v>
      </c>
      <c r="BN441" s="540">
        <f t="shared" si="310"/>
        <v>8784</v>
      </c>
      <c r="BO441" s="540">
        <f t="shared" si="310"/>
        <v>8784</v>
      </c>
      <c r="BP441" s="540">
        <f t="shared" si="310"/>
        <v>8784</v>
      </c>
      <c r="BQ441" s="540">
        <f t="shared" si="310"/>
        <v>8784</v>
      </c>
      <c r="BR441" s="540">
        <f t="shared" si="310"/>
        <v>8784</v>
      </c>
      <c r="BS441" s="540">
        <f t="shared" si="310"/>
        <v>8784</v>
      </c>
      <c r="BT441" s="540">
        <f t="shared" si="310"/>
        <v>8784</v>
      </c>
      <c r="BU441" s="540">
        <f t="shared" si="310"/>
        <v>8784</v>
      </c>
      <c r="BV441" s="540">
        <f t="shared" si="310"/>
        <v>8784</v>
      </c>
      <c r="BW441" s="540">
        <f t="shared" si="310"/>
        <v>8784</v>
      </c>
      <c r="BX441" s="540">
        <f t="shared" si="310"/>
        <v>8784</v>
      </c>
      <c r="BY441" s="540">
        <f t="shared" si="310"/>
        <v>8784</v>
      </c>
      <c r="BZ441" s="540">
        <f t="shared" si="310"/>
        <v>8784</v>
      </c>
      <c r="CA441" s="540">
        <f t="shared" si="310"/>
        <v>8784</v>
      </c>
      <c r="CB441" s="540">
        <f t="shared" si="310"/>
        <v>8784</v>
      </c>
      <c r="CC441" s="540">
        <f t="shared" si="310"/>
        <v>8784</v>
      </c>
      <c r="CD441" s="540">
        <f t="shared" si="310"/>
        <v>8784</v>
      </c>
      <c r="CE441" s="540">
        <f t="shared" si="310"/>
        <v>8784</v>
      </c>
      <c r="CG441" s="536">
        <v>8784</v>
      </c>
      <c r="CH441" s="536">
        <v>8784</v>
      </c>
      <c r="CI441" s="536">
        <v>8784</v>
      </c>
      <c r="CJ441" s="536">
        <v>8784</v>
      </c>
      <c r="CK441" s="536">
        <v>8784</v>
      </c>
      <c r="CL441" s="536">
        <v>8784</v>
      </c>
      <c r="CM441" s="536">
        <v>8784</v>
      </c>
      <c r="CN441" s="536">
        <v>8784</v>
      </c>
      <c r="CO441" s="536">
        <v>8784</v>
      </c>
      <c r="CP441" s="536">
        <v>8784</v>
      </c>
      <c r="CQ441" s="536">
        <v>8784</v>
      </c>
      <c r="CR441" s="536">
        <v>8784</v>
      </c>
      <c r="CS441" s="536">
        <v>8784</v>
      </c>
      <c r="CT441" s="536">
        <v>8784</v>
      </c>
      <c r="CU441" s="536">
        <v>8784</v>
      </c>
      <c r="CV441" s="536">
        <v>8784</v>
      </c>
      <c r="CW441" s="536">
        <v>8784</v>
      </c>
      <c r="CX441" s="536">
        <v>8784</v>
      </c>
      <c r="CY441" s="536">
        <v>8784</v>
      </c>
      <c r="CZ441" s="536">
        <v>8784</v>
      </c>
      <c r="DA441" s="536">
        <v>8784</v>
      </c>
      <c r="DB441" s="536">
        <v>8784</v>
      </c>
      <c r="DC441" s="536">
        <v>8784</v>
      </c>
      <c r="DD441" s="536">
        <v>8784</v>
      </c>
      <c r="DE441" s="536">
        <v>8784</v>
      </c>
      <c r="DF441" s="536">
        <v>8784</v>
      </c>
      <c r="DG441" s="536">
        <v>8784</v>
      </c>
      <c r="DH441" s="536">
        <v>8784</v>
      </c>
    </row>
    <row r="442" spans="2:112">
      <c r="B442" t="s">
        <v>1293</v>
      </c>
      <c r="C442" t="s">
        <v>1280</v>
      </c>
      <c r="D442" t="s">
        <v>905</v>
      </c>
      <c r="E442" t="s">
        <v>557</v>
      </c>
      <c r="F442" s="536">
        <v>0</v>
      </c>
      <c r="G442" s="536">
        <v>0</v>
      </c>
      <c r="H442" s="536">
        <v>0</v>
      </c>
      <c r="I442" s="536">
        <v>0</v>
      </c>
      <c r="J442" s="536">
        <v>0</v>
      </c>
      <c r="K442" s="536">
        <v>0</v>
      </c>
      <c r="L442" s="536">
        <v>0</v>
      </c>
      <c r="M442" s="536">
        <v>0</v>
      </c>
      <c r="N442" s="536">
        <v>0</v>
      </c>
      <c r="O442" s="536">
        <v>0</v>
      </c>
      <c r="P442" s="536">
        <v>0</v>
      </c>
      <c r="Q442" s="536">
        <v>0</v>
      </c>
      <c r="R442" s="536">
        <v>0</v>
      </c>
      <c r="S442" s="536">
        <v>0</v>
      </c>
      <c r="T442" s="536">
        <v>0</v>
      </c>
      <c r="U442" s="536">
        <v>0</v>
      </c>
      <c r="V442" s="536">
        <v>0</v>
      </c>
      <c r="W442" s="536">
        <v>0</v>
      </c>
      <c r="X442" s="536">
        <v>0</v>
      </c>
      <c r="Y442" s="536">
        <v>0</v>
      </c>
      <c r="Z442" s="536">
        <v>0</v>
      </c>
      <c r="AA442" s="536">
        <v>0</v>
      </c>
      <c r="AB442" s="536">
        <v>0</v>
      </c>
      <c r="AC442" s="536">
        <v>0</v>
      </c>
      <c r="AD442" s="536">
        <v>0</v>
      </c>
      <c r="AE442" s="536">
        <v>0</v>
      </c>
      <c r="AF442" s="536">
        <v>0</v>
      </c>
      <c r="AG442" s="536">
        <v>0</v>
      </c>
      <c r="AH442" s="540">
        <f>AG442</f>
        <v>0</v>
      </c>
      <c r="AI442" s="540">
        <f t="shared" si="310"/>
        <v>0</v>
      </c>
      <c r="AJ442" s="540">
        <f t="shared" si="310"/>
        <v>0</v>
      </c>
      <c r="AK442" s="540">
        <f t="shared" si="310"/>
        <v>0</v>
      </c>
      <c r="AL442" s="540">
        <f t="shared" si="310"/>
        <v>0</v>
      </c>
      <c r="AM442" s="540">
        <f t="shared" si="310"/>
        <v>0</v>
      </c>
      <c r="AN442" s="540">
        <f t="shared" si="310"/>
        <v>0</v>
      </c>
      <c r="AO442" s="540">
        <f t="shared" si="310"/>
        <v>0</v>
      </c>
      <c r="AP442" s="540">
        <f t="shared" si="310"/>
        <v>0</v>
      </c>
      <c r="AQ442" s="540">
        <f t="shared" si="310"/>
        <v>0</v>
      </c>
      <c r="AR442" s="540">
        <f t="shared" si="310"/>
        <v>0</v>
      </c>
      <c r="AS442" s="540">
        <f t="shared" si="310"/>
        <v>0</v>
      </c>
      <c r="AT442" s="540">
        <f t="shared" si="310"/>
        <v>0</v>
      </c>
      <c r="AU442" s="540">
        <f t="shared" si="310"/>
        <v>0</v>
      </c>
      <c r="AV442" s="540">
        <f t="shared" si="310"/>
        <v>0</v>
      </c>
      <c r="AW442" s="540">
        <f t="shared" si="310"/>
        <v>0</v>
      </c>
      <c r="AX442" s="540">
        <f t="shared" si="310"/>
        <v>0</v>
      </c>
      <c r="AY442" s="540">
        <f t="shared" si="310"/>
        <v>0</v>
      </c>
      <c r="AZ442" s="540">
        <f t="shared" si="310"/>
        <v>0</v>
      </c>
      <c r="BA442" s="540">
        <f t="shared" si="310"/>
        <v>0</v>
      </c>
      <c r="BB442" s="540">
        <f t="shared" si="310"/>
        <v>0</v>
      </c>
      <c r="BC442" s="540">
        <f t="shared" si="310"/>
        <v>0</v>
      </c>
      <c r="BD442" s="540">
        <f t="shared" si="310"/>
        <v>0</v>
      </c>
      <c r="BE442" s="540">
        <f t="shared" si="310"/>
        <v>0</v>
      </c>
      <c r="BF442" s="540">
        <f t="shared" si="310"/>
        <v>0</v>
      </c>
      <c r="BG442" s="540">
        <f t="shared" si="310"/>
        <v>0</v>
      </c>
      <c r="BH442" s="540">
        <f t="shared" si="310"/>
        <v>0</v>
      </c>
      <c r="BI442" s="540">
        <f t="shared" si="310"/>
        <v>0</v>
      </c>
      <c r="BJ442" s="540">
        <f t="shared" si="310"/>
        <v>0</v>
      </c>
      <c r="BK442" s="540">
        <f t="shared" si="310"/>
        <v>0</v>
      </c>
      <c r="BL442" s="540">
        <f t="shared" si="310"/>
        <v>0</v>
      </c>
      <c r="BM442" s="540">
        <f t="shared" si="310"/>
        <v>0</v>
      </c>
      <c r="BN442" s="540">
        <f t="shared" si="310"/>
        <v>0</v>
      </c>
      <c r="BO442" s="540">
        <f t="shared" si="310"/>
        <v>0</v>
      </c>
      <c r="BP442" s="540">
        <f t="shared" si="310"/>
        <v>0</v>
      </c>
      <c r="BQ442" s="540">
        <f t="shared" si="310"/>
        <v>0</v>
      </c>
      <c r="BR442" s="540">
        <f t="shared" si="310"/>
        <v>0</v>
      </c>
      <c r="BS442" s="540">
        <f t="shared" si="310"/>
        <v>0</v>
      </c>
      <c r="BT442" s="540">
        <f t="shared" si="310"/>
        <v>0</v>
      </c>
      <c r="BU442" s="540">
        <f t="shared" si="310"/>
        <v>0</v>
      </c>
      <c r="BV442" s="540">
        <f t="shared" si="310"/>
        <v>0</v>
      </c>
      <c r="BW442" s="540">
        <f t="shared" si="310"/>
        <v>0</v>
      </c>
      <c r="BX442" s="540">
        <f t="shared" si="310"/>
        <v>0</v>
      </c>
      <c r="BY442" s="540">
        <f t="shared" si="310"/>
        <v>0</v>
      </c>
      <c r="BZ442" s="540">
        <f t="shared" si="310"/>
        <v>0</v>
      </c>
      <c r="CA442" s="540">
        <f t="shared" si="310"/>
        <v>0</v>
      </c>
      <c r="CB442" s="540">
        <f t="shared" si="310"/>
        <v>0</v>
      </c>
      <c r="CC442" s="540">
        <f t="shared" si="310"/>
        <v>0</v>
      </c>
      <c r="CD442" s="540">
        <f t="shared" si="310"/>
        <v>0</v>
      </c>
      <c r="CE442" s="540">
        <f t="shared" si="310"/>
        <v>0</v>
      </c>
      <c r="CG442" s="536">
        <v>0</v>
      </c>
      <c r="CH442" s="536">
        <v>0</v>
      </c>
      <c r="CI442" s="536">
        <v>0</v>
      </c>
      <c r="CJ442" s="536">
        <v>0</v>
      </c>
      <c r="CK442" s="536">
        <v>0</v>
      </c>
      <c r="CL442" s="536">
        <v>0</v>
      </c>
      <c r="CM442" s="536">
        <v>0</v>
      </c>
      <c r="CN442" s="536">
        <v>0</v>
      </c>
      <c r="CO442" s="536">
        <v>0</v>
      </c>
      <c r="CP442" s="536">
        <v>0</v>
      </c>
      <c r="CQ442" s="536">
        <v>0</v>
      </c>
      <c r="CR442" s="536">
        <v>0</v>
      </c>
      <c r="CS442" s="536">
        <v>0</v>
      </c>
      <c r="CT442" s="536">
        <v>0</v>
      </c>
      <c r="CU442" s="536">
        <v>0</v>
      </c>
      <c r="CV442" s="536">
        <v>0</v>
      </c>
      <c r="CW442" s="536">
        <v>0</v>
      </c>
      <c r="CX442" s="536">
        <v>0</v>
      </c>
      <c r="CY442" s="536">
        <v>0</v>
      </c>
      <c r="CZ442" s="536">
        <v>0</v>
      </c>
      <c r="DA442" s="536">
        <v>0</v>
      </c>
      <c r="DB442" s="536">
        <v>0</v>
      </c>
      <c r="DC442" s="536">
        <v>0</v>
      </c>
      <c r="DD442" s="536">
        <v>0</v>
      </c>
      <c r="DE442" s="536">
        <v>0</v>
      </c>
      <c r="DF442" s="536">
        <v>0</v>
      </c>
      <c r="DG442" s="536">
        <v>0</v>
      </c>
      <c r="DH442" s="536">
        <v>0</v>
      </c>
    </row>
    <row r="443" spans="2:112">
      <c r="F443" s="539"/>
      <c r="G443" s="539"/>
      <c r="H443" s="539"/>
      <c r="I443" s="539"/>
      <c r="J443" s="539"/>
      <c r="K443" s="539"/>
      <c r="L443" s="539"/>
      <c r="M443" s="539"/>
      <c r="N443" s="539"/>
      <c r="O443" s="539"/>
      <c r="P443" s="539"/>
      <c r="Q443" s="539"/>
      <c r="R443" s="539"/>
      <c r="S443" s="539"/>
      <c r="T443" s="539"/>
      <c r="U443" s="539"/>
      <c r="V443" s="539"/>
      <c r="W443" s="539"/>
      <c r="X443" s="539"/>
      <c r="Y443" s="539"/>
      <c r="Z443" s="539"/>
      <c r="AA443" s="539"/>
      <c r="AB443" s="539"/>
      <c r="AC443" s="539"/>
      <c r="AD443" s="539"/>
      <c r="AE443" s="539"/>
      <c r="AF443" s="539"/>
      <c r="AG443" s="539"/>
      <c r="AH443" s="539"/>
      <c r="AI443" s="539"/>
      <c r="AJ443" s="539"/>
      <c r="AK443" s="539"/>
      <c r="AL443" s="539"/>
      <c r="AM443" s="539"/>
      <c r="AN443" s="539"/>
      <c r="AO443" s="539"/>
      <c r="AP443" s="539"/>
      <c r="AQ443" s="539"/>
      <c r="AR443" s="539"/>
      <c r="AS443" s="539"/>
      <c r="AT443" s="539"/>
      <c r="AU443" s="539"/>
      <c r="AV443" s="539"/>
      <c r="AW443" s="539"/>
      <c r="AX443" s="539"/>
      <c r="AY443" s="539"/>
      <c r="AZ443" s="539"/>
      <c r="BA443" s="539"/>
      <c r="BB443" s="539"/>
      <c r="BC443" s="539"/>
      <c r="BD443" s="539"/>
      <c r="BE443" s="539"/>
      <c r="BF443" s="539"/>
      <c r="BG443" s="539"/>
      <c r="BH443" s="539"/>
      <c r="BI443" s="539"/>
      <c r="BJ443" s="539"/>
      <c r="BK443" s="539"/>
      <c r="BL443" s="539"/>
      <c r="BM443" s="539"/>
      <c r="BN443" s="539"/>
      <c r="BO443" s="539"/>
      <c r="BP443" s="539"/>
      <c r="BQ443" s="539"/>
      <c r="BR443" s="539"/>
      <c r="BS443" s="539"/>
      <c r="BT443" s="539"/>
      <c r="BU443" s="539"/>
      <c r="BV443" s="539"/>
      <c r="BW443" s="539"/>
      <c r="BX443" s="539"/>
      <c r="BY443" s="539"/>
      <c r="BZ443" s="539"/>
      <c r="CA443" s="539"/>
      <c r="CB443" s="539"/>
      <c r="CC443" s="539"/>
      <c r="CD443" s="539"/>
      <c r="CE443" s="539"/>
      <c r="CG443" s="539"/>
      <c r="CH443" s="539"/>
      <c r="CI443" s="539"/>
      <c r="CJ443" s="539"/>
      <c r="CK443" s="539"/>
      <c r="CL443" s="539"/>
      <c r="CM443" s="539"/>
      <c r="CN443" s="539"/>
      <c r="CO443" s="539"/>
      <c r="CP443" s="539"/>
      <c r="CQ443" s="539"/>
      <c r="CR443" s="539"/>
      <c r="CS443" s="539"/>
      <c r="CT443" s="539"/>
      <c r="CU443" s="539"/>
      <c r="CV443" s="539"/>
      <c r="CW443" s="539"/>
      <c r="CX443" s="539"/>
      <c r="CY443" s="539"/>
      <c r="CZ443" s="539"/>
      <c r="DA443" s="539"/>
      <c r="DB443" s="539"/>
      <c r="DC443" s="539"/>
      <c r="DD443" s="539"/>
      <c r="DE443" s="539"/>
      <c r="DF443" s="539"/>
      <c r="DG443" s="539"/>
      <c r="DH443" s="539"/>
    </row>
    <row r="444" spans="2:112">
      <c r="B444" t="s">
        <v>1294</v>
      </c>
      <c r="C444" t="s">
        <v>1280</v>
      </c>
      <c r="D444" t="s">
        <v>907</v>
      </c>
      <c r="E444" t="s">
        <v>908</v>
      </c>
      <c r="F444" s="541">
        <v>6.9172500000000001</v>
      </c>
      <c r="G444" s="541">
        <v>6.9172500000000001</v>
      </c>
      <c r="H444" s="541">
        <v>6.9172500000000001</v>
      </c>
      <c r="I444" s="541">
        <v>6.9172500000000001</v>
      </c>
      <c r="J444" s="541">
        <v>6.9172500000000001</v>
      </c>
      <c r="K444" s="541">
        <v>6.9172500000000001</v>
      </c>
      <c r="L444" s="541">
        <v>6.9172500000000001</v>
      </c>
      <c r="M444" s="541">
        <v>6.9172500000000001</v>
      </c>
      <c r="N444" s="541">
        <v>6.9172500000000001</v>
      </c>
      <c r="O444" s="541">
        <v>6.9172500000000001</v>
      </c>
      <c r="P444" s="541">
        <v>6.9172500000000001</v>
      </c>
      <c r="Q444" s="541">
        <v>6.9172500000000001</v>
      </c>
      <c r="R444" s="541">
        <v>6.9172500000000001</v>
      </c>
      <c r="S444" s="541">
        <v>6.9172500000000001</v>
      </c>
      <c r="T444" s="541">
        <v>6.9172500000000001</v>
      </c>
      <c r="U444" s="541">
        <v>6.9172500000000001</v>
      </c>
      <c r="V444" s="541">
        <v>6.9172500000000001</v>
      </c>
      <c r="W444" s="541">
        <v>6.9172500000000001</v>
      </c>
      <c r="X444" s="541">
        <v>6.9172500000000001</v>
      </c>
      <c r="Y444" s="541">
        <v>6.9172500000000001</v>
      </c>
      <c r="Z444" s="541">
        <v>6.9172500000000001</v>
      </c>
      <c r="AA444" s="541">
        <v>6.9172500000000001</v>
      </c>
      <c r="AB444" s="541">
        <v>6.9172500000000001</v>
      </c>
      <c r="AC444" s="541">
        <v>6.9172500000000001</v>
      </c>
      <c r="AD444" s="541">
        <v>6.9172500000000001</v>
      </c>
      <c r="AE444" s="541">
        <v>6.9172500000000001</v>
      </c>
      <c r="AF444" s="541">
        <v>6.9172500000000001</v>
      </c>
      <c r="AG444" s="541">
        <v>6.9172500000000001</v>
      </c>
      <c r="AH444" s="542">
        <f>AG444</f>
        <v>6.9172500000000001</v>
      </c>
      <c r="AI444" s="542">
        <f t="shared" ref="AI444:AX444" si="311">AH444</f>
        <v>6.9172500000000001</v>
      </c>
      <c r="AJ444" s="542">
        <f t="shared" si="311"/>
        <v>6.9172500000000001</v>
      </c>
      <c r="AK444" s="542">
        <f t="shared" si="311"/>
        <v>6.9172500000000001</v>
      </c>
      <c r="AL444" s="542">
        <f t="shared" si="311"/>
        <v>6.9172500000000001</v>
      </c>
      <c r="AM444" s="542">
        <f t="shared" si="311"/>
        <v>6.9172500000000001</v>
      </c>
      <c r="AN444" s="542">
        <f t="shared" si="311"/>
        <v>6.9172500000000001</v>
      </c>
      <c r="AO444" s="542">
        <f t="shared" si="311"/>
        <v>6.9172500000000001</v>
      </c>
      <c r="AP444" s="542">
        <f t="shared" si="311"/>
        <v>6.9172500000000001</v>
      </c>
      <c r="AQ444" s="542">
        <f t="shared" si="311"/>
        <v>6.9172500000000001</v>
      </c>
      <c r="AR444" s="542">
        <f t="shared" si="311"/>
        <v>6.9172500000000001</v>
      </c>
      <c r="AS444" s="542">
        <f t="shared" si="311"/>
        <v>6.9172500000000001</v>
      </c>
      <c r="AT444" s="542">
        <f t="shared" si="311"/>
        <v>6.9172500000000001</v>
      </c>
      <c r="AU444" s="542">
        <f t="shared" si="311"/>
        <v>6.9172500000000001</v>
      </c>
      <c r="AV444" s="542">
        <f t="shared" si="311"/>
        <v>6.9172500000000001</v>
      </c>
      <c r="AW444" s="542">
        <f t="shared" si="311"/>
        <v>6.9172500000000001</v>
      </c>
      <c r="AX444" s="542">
        <f t="shared" si="311"/>
        <v>6.9172500000000001</v>
      </c>
      <c r="AY444" s="542">
        <f t="shared" ref="AY444:BN444" si="312">AX444</f>
        <v>6.9172500000000001</v>
      </c>
      <c r="AZ444" s="542">
        <f t="shared" si="312"/>
        <v>6.9172500000000001</v>
      </c>
      <c r="BA444" s="542">
        <f t="shared" si="312"/>
        <v>6.9172500000000001</v>
      </c>
      <c r="BB444" s="542">
        <f t="shared" si="312"/>
        <v>6.9172500000000001</v>
      </c>
      <c r="BC444" s="542">
        <f t="shared" si="312"/>
        <v>6.9172500000000001</v>
      </c>
      <c r="BD444" s="542">
        <f t="shared" si="312"/>
        <v>6.9172500000000001</v>
      </c>
      <c r="BE444" s="542">
        <f t="shared" si="312"/>
        <v>6.9172500000000001</v>
      </c>
      <c r="BF444" s="542">
        <f t="shared" si="312"/>
        <v>6.9172500000000001</v>
      </c>
      <c r="BG444" s="542">
        <f t="shared" si="312"/>
        <v>6.9172500000000001</v>
      </c>
      <c r="BH444" s="542">
        <f t="shared" si="312"/>
        <v>6.9172500000000001</v>
      </c>
      <c r="BI444" s="542">
        <f t="shared" si="312"/>
        <v>6.9172500000000001</v>
      </c>
      <c r="BJ444" s="542">
        <f t="shared" si="312"/>
        <v>6.9172500000000001</v>
      </c>
      <c r="BK444" s="542">
        <f t="shared" si="312"/>
        <v>6.9172500000000001</v>
      </c>
      <c r="BL444" s="542">
        <f t="shared" si="312"/>
        <v>6.9172500000000001</v>
      </c>
      <c r="BM444" s="542">
        <f t="shared" si="312"/>
        <v>6.9172500000000001</v>
      </c>
      <c r="BN444" s="542">
        <f t="shared" si="312"/>
        <v>6.9172500000000001</v>
      </c>
      <c r="BO444" s="542">
        <f t="shared" ref="BO444:CD444" si="313">BN444</f>
        <v>6.9172500000000001</v>
      </c>
      <c r="BP444" s="542">
        <f t="shared" si="313"/>
        <v>6.9172500000000001</v>
      </c>
      <c r="BQ444" s="542">
        <f t="shared" si="313"/>
        <v>6.9172500000000001</v>
      </c>
      <c r="BR444" s="542">
        <f t="shared" si="313"/>
        <v>6.9172500000000001</v>
      </c>
      <c r="BS444" s="542">
        <f t="shared" si="313"/>
        <v>6.9172500000000001</v>
      </c>
      <c r="BT444" s="542">
        <f t="shared" si="313"/>
        <v>6.9172500000000001</v>
      </c>
      <c r="BU444" s="542">
        <f t="shared" si="313"/>
        <v>6.9172500000000001</v>
      </c>
      <c r="BV444" s="542">
        <f t="shared" si="313"/>
        <v>6.9172500000000001</v>
      </c>
      <c r="BW444" s="542">
        <f t="shared" si="313"/>
        <v>6.9172500000000001</v>
      </c>
      <c r="BX444" s="542">
        <f t="shared" si="313"/>
        <v>6.9172500000000001</v>
      </c>
      <c r="BY444" s="542">
        <f t="shared" si="313"/>
        <v>6.9172500000000001</v>
      </c>
      <c r="BZ444" s="542">
        <f t="shared" si="313"/>
        <v>6.9172500000000001</v>
      </c>
      <c r="CA444" s="542">
        <f t="shared" si="313"/>
        <v>6.9172500000000001</v>
      </c>
      <c r="CB444" s="542">
        <f t="shared" si="313"/>
        <v>6.9172500000000001</v>
      </c>
      <c r="CC444" s="542">
        <f t="shared" si="313"/>
        <v>6.9172500000000001</v>
      </c>
      <c r="CD444" s="542">
        <f t="shared" si="313"/>
        <v>6.9172500000000001</v>
      </c>
      <c r="CE444" s="542">
        <f t="shared" ref="AX444:CE451" si="314">CD444</f>
        <v>6.9172500000000001</v>
      </c>
      <c r="CG444" s="541">
        <v>6.9172500000000001</v>
      </c>
      <c r="CH444" s="541">
        <v>6.9172500000000001</v>
      </c>
      <c r="CI444" s="541">
        <v>6.9172500000000001</v>
      </c>
      <c r="CJ444" s="541">
        <v>6.9172500000000001</v>
      </c>
      <c r="CK444" s="541">
        <v>6.9172500000000001</v>
      </c>
      <c r="CL444" s="541">
        <v>6.9172500000000001</v>
      </c>
      <c r="CM444" s="541">
        <v>6.9172500000000001</v>
      </c>
      <c r="CN444" s="541">
        <v>6.9172500000000001</v>
      </c>
      <c r="CO444" s="541">
        <v>6.9172500000000001</v>
      </c>
      <c r="CP444" s="541">
        <v>6.9172500000000001</v>
      </c>
      <c r="CQ444" s="541">
        <v>6.9172500000000001</v>
      </c>
      <c r="CR444" s="541">
        <v>6.9172500000000001</v>
      </c>
      <c r="CS444" s="541">
        <v>6.9172500000000001</v>
      </c>
      <c r="CT444" s="541">
        <v>6.9172500000000001</v>
      </c>
      <c r="CU444" s="541">
        <v>6.9172500000000001</v>
      </c>
      <c r="CV444" s="541">
        <v>6.9172500000000001</v>
      </c>
      <c r="CW444" s="541">
        <v>6.9172500000000001</v>
      </c>
      <c r="CX444" s="541">
        <v>6.9172500000000001</v>
      </c>
      <c r="CY444" s="541">
        <v>6.9172500000000001</v>
      </c>
      <c r="CZ444" s="541">
        <v>6.9172500000000001</v>
      </c>
      <c r="DA444" s="541">
        <v>6.9172500000000001</v>
      </c>
      <c r="DB444" s="541">
        <v>6.9172500000000001</v>
      </c>
      <c r="DC444" s="541">
        <v>6.9172500000000001</v>
      </c>
      <c r="DD444" s="541">
        <v>6.9172500000000001</v>
      </c>
      <c r="DE444" s="541">
        <v>6.9172500000000001</v>
      </c>
      <c r="DF444" s="541">
        <v>6.9172500000000001</v>
      </c>
      <c r="DG444" s="541">
        <v>6.9172500000000001</v>
      </c>
      <c r="DH444" s="541">
        <v>6.9172500000000001</v>
      </c>
    </row>
    <row r="445" spans="2:112">
      <c r="B445" t="s">
        <v>1295</v>
      </c>
      <c r="C445" t="s">
        <v>1280</v>
      </c>
      <c r="D445" t="s">
        <v>910</v>
      </c>
      <c r="E445" t="s">
        <v>911</v>
      </c>
      <c r="F445" s="541">
        <v>0.52600650000000004</v>
      </c>
      <c r="G445" s="541">
        <v>0.52600650000000004</v>
      </c>
      <c r="H445" s="541">
        <v>0.52600650000000004</v>
      </c>
      <c r="I445" s="541">
        <v>0.52600650000000004</v>
      </c>
      <c r="J445" s="541">
        <v>0.52600650000000004</v>
      </c>
      <c r="K445" s="541">
        <v>0.52600650000000004</v>
      </c>
      <c r="L445" s="541">
        <v>0.52600650000000004</v>
      </c>
      <c r="M445" s="541">
        <v>0.52600650000000004</v>
      </c>
      <c r="N445" s="541">
        <v>0.52600650000000004</v>
      </c>
      <c r="O445" s="541">
        <v>0.52600650000000004</v>
      </c>
      <c r="P445" s="541">
        <v>0.52600650000000004</v>
      </c>
      <c r="Q445" s="541">
        <v>0.52600650000000004</v>
      </c>
      <c r="R445" s="541">
        <v>0.52600650000000004</v>
      </c>
      <c r="S445" s="541">
        <v>0.52600650000000004</v>
      </c>
      <c r="T445" s="541">
        <v>0.52600650000000004</v>
      </c>
      <c r="U445" s="541">
        <v>0.52600650000000004</v>
      </c>
      <c r="V445" s="541">
        <v>0.52600650000000004</v>
      </c>
      <c r="W445" s="541">
        <v>0.52600650000000004</v>
      </c>
      <c r="X445" s="541">
        <v>0.52600650000000004</v>
      </c>
      <c r="Y445" s="541">
        <v>0.52600650000000004</v>
      </c>
      <c r="Z445" s="541">
        <v>0.52600650000000004</v>
      </c>
      <c r="AA445" s="541">
        <v>0.52600650000000004</v>
      </c>
      <c r="AB445" s="541">
        <v>0.52600650000000004</v>
      </c>
      <c r="AC445" s="541">
        <v>0.52600650000000004</v>
      </c>
      <c r="AD445" s="541">
        <v>0.52600650000000004</v>
      </c>
      <c r="AE445" s="541">
        <v>0.52600650000000004</v>
      </c>
      <c r="AF445" s="541">
        <v>0.52600650000000004</v>
      </c>
      <c r="AG445" s="541">
        <v>0.52600650000000004</v>
      </c>
      <c r="AH445" s="542">
        <f t="shared" ref="AH445:AW451" si="315">AG445</f>
        <v>0.52600650000000004</v>
      </c>
      <c r="AI445" s="542">
        <f t="shared" si="315"/>
        <v>0.52600650000000004</v>
      </c>
      <c r="AJ445" s="542">
        <f t="shared" si="315"/>
        <v>0.52600650000000004</v>
      </c>
      <c r="AK445" s="542">
        <f t="shared" si="315"/>
        <v>0.52600650000000004</v>
      </c>
      <c r="AL445" s="542">
        <f t="shared" si="315"/>
        <v>0.52600650000000004</v>
      </c>
      <c r="AM445" s="542">
        <f t="shared" si="315"/>
        <v>0.52600650000000004</v>
      </c>
      <c r="AN445" s="542">
        <f t="shared" si="315"/>
        <v>0.52600650000000004</v>
      </c>
      <c r="AO445" s="542">
        <f t="shared" si="315"/>
        <v>0.52600650000000004</v>
      </c>
      <c r="AP445" s="542">
        <f t="shared" si="315"/>
        <v>0.52600650000000004</v>
      </c>
      <c r="AQ445" s="542">
        <f t="shared" si="315"/>
        <v>0.52600650000000004</v>
      </c>
      <c r="AR445" s="542">
        <f t="shared" si="315"/>
        <v>0.52600650000000004</v>
      </c>
      <c r="AS445" s="542">
        <f t="shared" si="315"/>
        <v>0.52600650000000004</v>
      </c>
      <c r="AT445" s="542">
        <f t="shared" si="315"/>
        <v>0.52600650000000004</v>
      </c>
      <c r="AU445" s="542">
        <f t="shared" si="315"/>
        <v>0.52600650000000004</v>
      </c>
      <c r="AV445" s="542">
        <f t="shared" si="315"/>
        <v>0.52600650000000004</v>
      </c>
      <c r="AW445" s="542">
        <f t="shared" si="315"/>
        <v>0.52600650000000004</v>
      </c>
      <c r="AX445" s="542">
        <f t="shared" si="314"/>
        <v>0.52600650000000004</v>
      </c>
      <c r="AY445" s="542">
        <f t="shared" si="314"/>
        <v>0.52600650000000004</v>
      </c>
      <c r="AZ445" s="542">
        <f t="shared" si="314"/>
        <v>0.52600650000000004</v>
      </c>
      <c r="BA445" s="542">
        <f t="shared" si="314"/>
        <v>0.52600650000000004</v>
      </c>
      <c r="BB445" s="542">
        <f t="shared" si="314"/>
        <v>0.52600650000000004</v>
      </c>
      <c r="BC445" s="542">
        <f t="shared" si="314"/>
        <v>0.52600650000000004</v>
      </c>
      <c r="BD445" s="542">
        <f t="shared" si="314"/>
        <v>0.52600650000000004</v>
      </c>
      <c r="BE445" s="542">
        <f t="shared" si="314"/>
        <v>0.52600650000000004</v>
      </c>
      <c r="BF445" s="542">
        <f t="shared" si="314"/>
        <v>0.52600650000000004</v>
      </c>
      <c r="BG445" s="542">
        <f t="shared" si="314"/>
        <v>0.52600650000000004</v>
      </c>
      <c r="BH445" s="542">
        <f t="shared" si="314"/>
        <v>0.52600650000000004</v>
      </c>
      <c r="BI445" s="542">
        <f t="shared" si="314"/>
        <v>0.52600650000000004</v>
      </c>
      <c r="BJ445" s="542">
        <f t="shared" si="314"/>
        <v>0.52600650000000004</v>
      </c>
      <c r="BK445" s="542">
        <f t="shared" si="314"/>
        <v>0.52600650000000004</v>
      </c>
      <c r="BL445" s="542">
        <f t="shared" si="314"/>
        <v>0.52600650000000004</v>
      </c>
      <c r="BM445" s="542">
        <f t="shared" si="314"/>
        <v>0.52600650000000004</v>
      </c>
      <c r="BN445" s="542">
        <f t="shared" si="314"/>
        <v>0.52600650000000004</v>
      </c>
      <c r="BO445" s="542">
        <f t="shared" si="314"/>
        <v>0.52600650000000004</v>
      </c>
      <c r="BP445" s="542">
        <f t="shared" si="314"/>
        <v>0.52600650000000004</v>
      </c>
      <c r="BQ445" s="542">
        <f t="shared" si="314"/>
        <v>0.52600650000000004</v>
      </c>
      <c r="BR445" s="542">
        <f t="shared" si="314"/>
        <v>0.52600650000000004</v>
      </c>
      <c r="BS445" s="542">
        <f t="shared" si="314"/>
        <v>0.52600650000000004</v>
      </c>
      <c r="BT445" s="542">
        <f t="shared" si="314"/>
        <v>0.52600650000000004</v>
      </c>
      <c r="BU445" s="542">
        <f t="shared" si="314"/>
        <v>0.52600650000000004</v>
      </c>
      <c r="BV445" s="542">
        <f t="shared" si="314"/>
        <v>0.52600650000000004</v>
      </c>
      <c r="BW445" s="542">
        <f t="shared" si="314"/>
        <v>0.52600650000000004</v>
      </c>
      <c r="BX445" s="542">
        <f t="shared" si="314"/>
        <v>0.52600650000000004</v>
      </c>
      <c r="BY445" s="542">
        <f t="shared" si="314"/>
        <v>0.52600650000000004</v>
      </c>
      <c r="BZ445" s="542">
        <f t="shared" si="314"/>
        <v>0.52600650000000004</v>
      </c>
      <c r="CA445" s="542">
        <f t="shared" si="314"/>
        <v>0.52600650000000004</v>
      </c>
      <c r="CB445" s="542">
        <f t="shared" si="314"/>
        <v>0.52600650000000004</v>
      </c>
      <c r="CC445" s="542">
        <f t="shared" si="314"/>
        <v>0.52600650000000004</v>
      </c>
      <c r="CD445" s="542">
        <f t="shared" si="314"/>
        <v>0.52600650000000004</v>
      </c>
      <c r="CE445" s="542">
        <f t="shared" si="314"/>
        <v>0.52600650000000004</v>
      </c>
      <c r="CG445" s="541">
        <v>0.52600650000000004</v>
      </c>
      <c r="CH445" s="541">
        <v>0.52600650000000004</v>
      </c>
      <c r="CI445" s="541">
        <v>0.52600650000000004</v>
      </c>
      <c r="CJ445" s="541">
        <v>0.52600650000000004</v>
      </c>
      <c r="CK445" s="541">
        <v>0.52600650000000004</v>
      </c>
      <c r="CL445" s="541">
        <v>0.52600650000000004</v>
      </c>
      <c r="CM445" s="541">
        <v>0.52600650000000004</v>
      </c>
      <c r="CN445" s="541">
        <v>0.52600650000000004</v>
      </c>
      <c r="CO445" s="541">
        <v>0.52600650000000004</v>
      </c>
      <c r="CP445" s="541">
        <v>0.52600650000000004</v>
      </c>
      <c r="CQ445" s="541">
        <v>0.52600650000000004</v>
      </c>
      <c r="CR445" s="541">
        <v>0.52600650000000004</v>
      </c>
      <c r="CS445" s="541">
        <v>0.52600650000000004</v>
      </c>
      <c r="CT445" s="541">
        <v>0.52600650000000004</v>
      </c>
      <c r="CU445" s="541">
        <v>0.52600650000000004</v>
      </c>
      <c r="CV445" s="541">
        <v>0.52600650000000004</v>
      </c>
      <c r="CW445" s="541">
        <v>0.52600650000000004</v>
      </c>
      <c r="CX445" s="541">
        <v>0.52600650000000004</v>
      </c>
      <c r="CY445" s="541">
        <v>0.52600650000000004</v>
      </c>
      <c r="CZ445" s="541">
        <v>0.52600650000000004</v>
      </c>
      <c r="DA445" s="541">
        <v>0.52600650000000004</v>
      </c>
      <c r="DB445" s="541">
        <v>0.52600650000000004</v>
      </c>
      <c r="DC445" s="541">
        <v>0.52600650000000004</v>
      </c>
      <c r="DD445" s="541">
        <v>0.52600650000000004</v>
      </c>
      <c r="DE445" s="541">
        <v>0.52600650000000004</v>
      </c>
      <c r="DF445" s="541">
        <v>0.52600650000000004</v>
      </c>
      <c r="DG445" s="541">
        <v>0.52600650000000004</v>
      </c>
      <c r="DH445" s="541">
        <v>0.52600650000000004</v>
      </c>
    </row>
    <row r="446" spans="2:112">
      <c r="B446" t="s">
        <v>1296</v>
      </c>
      <c r="C446" t="s">
        <v>1280</v>
      </c>
      <c r="D446" t="s">
        <v>913</v>
      </c>
      <c r="E446" t="s">
        <v>908</v>
      </c>
      <c r="F446" s="541">
        <v>9.1285000000000007</v>
      </c>
      <c r="G446" s="541">
        <v>9.1285000000000007</v>
      </c>
      <c r="H446" s="541">
        <v>9.1285000000000007</v>
      </c>
      <c r="I446" s="541">
        <v>9.1285000000000007</v>
      </c>
      <c r="J446" s="541">
        <v>9.1285000000000007</v>
      </c>
      <c r="K446" s="541">
        <v>9.1285000000000007</v>
      </c>
      <c r="L446" s="541">
        <v>9.1285000000000007</v>
      </c>
      <c r="M446" s="541">
        <v>9.1285000000000007</v>
      </c>
      <c r="N446" s="541">
        <v>9.1285000000000007</v>
      </c>
      <c r="O446" s="541">
        <v>9.1285000000000007</v>
      </c>
      <c r="P446" s="541">
        <v>9.1285000000000007</v>
      </c>
      <c r="Q446" s="541">
        <v>9.1285000000000007</v>
      </c>
      <c r="R446" s="541">
        <v>9.1285000000000007</v>
      </c>
      <c r="S446" s="541">
        <v>9.1285000000000007</v>
      </c>
      <c r="T446" s="541">
        <v>9.1285000000000007</v>
      </c>
      <c r="U446" s="541">
        <v>9.1285000000000007</v>
      </c>
      <c r="V446" s="541">
        <v>9.1285000000000007</v>
      </c>
      <c r="W446" s="541">
        <v>9.1285000000000007</v>
      </c>
      <c r="X446" s="541">
        <v>9.1285000000000007</v>
      </c>
      <c r="Y446" s="541">
        <v>9.1285000000000007</v>
      </c>
      <c r="Z446" s="541">
        <v>9.1285000000000007</v>
      </c>
      <c r="AA446" s="541">
        <v>9.1285000000000007</v>
      </c>
      <c r="AB446" s="541">
        <v>9.1285000000000007</v>
      </c>
      <c r="AC446" s="541">
        <v>9.1285000000000007</v>
      </c>
      <c r="AD446" s="541">
        <v>9.1285000000000007</v>
      </c>
      <c r="AE446" s="541">
        <v>9.1285000000000007</v>
      </c>
      <c r="AF446" s="541">
        <v>9.1285000000000007</v>
      </c>
      <c r="AG446" s="541">
        <v>9.1285000000000007</v>
      </c>
      <c r="AH446" s="542">
        <f t="shared" si="315"/>
        <v>9.1285000000000007</v>
      </c>
      <c r="AI446" s="542">
        <f t="shared" si="315"/>
        <v>9.1285000000000007</v>
      </c>
      <c r="AJ446" s="542">
        <f t="shared" si="315"/>
        <v>9.1285000000000007</v>
      </c>
      <c r="AK446" s="542">
        <f t="shared" si="315"/>
        <v>9.1285000000000007</v>
      </c>
      <c r="AL446" s="542">
        <f t="shared" si="315"/>
        <v>9.1285000000000007</v>
      </c>
      <c r="AM446" s="542">
        <f t="shared" si="315"/>
        <v>9.1285000000000007</v>
      </c>
      <c r="AN446" s="542">
        <f t="shared" si="315"/>
        <v>9.1285000000000007</v>
      </c>
      <c r="AO446" s="542">
        <f t="shared" si="315"/>
        <v>9.1285000000000007</v>
      </c>
      <c r="AP446" s="542">
        <f t="shared" si="315"/>
        <v>9.1285000000000007</v>
      </c>
      <c r="AQ446" s="542">
        <f t="shared" si="315"/>
        <v>9.1285000000000007</v>
      </c>
      <c r="AR446" s="542">
        <f t="shared" si="315"/>
        <v>9.1285000000000007</v>
      </c>
      <c r="AS446" s="542">
        <f t="shared" si="315"/>
        <v>9.1285000000000007</v>
      </c>
      <c r="AT446" s="542">
        <f t="shared" si="315"/>
        <v>9.1285000000000007</v>
      </c>
      <c r="AU446" s="542">
        <f t="shared" si="315"/>
        <v>9.1285000000000007</v>
      </c>
      <c r="AV446" s="542">
        <f t="shared" si="315"/>
        <v>9.1285000000000007</v>
      </c>
      <c r="AW446" s="542">
        <f t="shared" si="315"/>
        <v>9.1285000000000007</v>
      </c>
      <c r="AX446" s="542">
        <f t="shared" si="314"/>
        <v>9.1285000000000007</v>
      </c>
      <c r="AY446" s="542">
        <f t="shared" si="314"/>
        <v>9.1285000000000007</v>
      </c>
      <c r="AZ446" s="542">
        <f t="shared" si="314"/>
        <v>9.1285000000000007</v>
      </c>
      <c r="BA446" s="542">
        <f t="shared" si="314"/>
        <v>9.1285000000000007</v>
      </c>
      <c r="BB446" s="542">
        <f t="shared" si="314"/>
        <v>9.1285000000000007</v>
      </c>
      <c r="BC446" s="542">
        <f t="shared" si="314"/>
        <v>9.1285000000000007</v>
      </c>
      <c r="BD446" s="542">
        <f t="shared" si="314"/>
        <v>9.1285000000000007</v>
      </c>
      <c r="BE446" s="542">
        <f t="shared" si="314"/>
        <v>9.1285000000000007</v>
      </c>
      <c r="BF446" s="542">
        <f t="shared" si="314"/>
        <v>9.1285000000000007</v>
      </c>
      <c r="BG446" s="542">
        <f t="shared" si="314"/>
        <v>9.1285000000000007</v>
      </c>
      <c r="BH446" s="542">
        <f t="shared" si="314"/>
        <v>9.1285000000000007</v>
      </c>
      <c r="BI446" s="542">
        <f t="shared" si="314"/>
        <v>9.1285000000000007</v>
      </c>
      <c r="BJ446" s="542">
        <f t="shared" si="314"/>
        <v>9.1285000000000007</v>
      </c>
      <c r="BK446" s="542">
        <f t="shared" si="314"/>
        <v>9.1285000000000007</v>
      </c>
      <c r="BL446" s="542">
        <f t="shared" si="314"/>
        <v>9.1285000000000007</v>
      </c>
      <c r="BM446" s="542">
        <f t="shared" si="314"/>
        <v>9.1285000000000007</v>
      </c>
      <c r="BN446" s="542">
        <f t="shared" si="314"/>
        <v>9.1285000000000007</v>
      </c>
      <c r="BO446" s="542">
        <f t="shared" si="314"/>
        <v>9.1285000000000007</v>
      </c>
      <c r="BP446" s="542">
        <f t="shared" si="314"/>
        <v>9.1285000000000007</v>
      </c>
      <c r="BQ446" s="542">
        <f t="shared" si="314"/>
        <v>9.1285000000000007</v>
      </c>
      <c r="BR446" s="542">
        <f t="shared" si="314"/>
        <v>9.1285000000000007</v>
      </c>
      <c r="BS446" s="542">
        <f t="shared" si="314"/>
        <v>9.1285000000000007</v>
      </c>
      <c r="BT446" s="542">
        <f t="shared" si="314"/>
        <v>9.1285000000000007</v>
      </c>
      <c r="BU446" s="542">
        <f t="shared" si="314"/>
        <v>9.1285000000000007</v>
      </c>
      <c r="BV446" s="542">
        <f t="shared" si="314"/>
        <v>9.1285000000000007</v>
      </c>
      <c r="BW446" s="542">
        <f t="shared" si="314"/>
        <v>9.1285000000000007</v>
      </c>
      <c r="BX446" s="542">
        <f t="shared" si="314"/>
        <v>9.1285000000000007</v>
      </c>
      <c r="BY446" s="542">
        <f t="shared" si="314"/>
        <v>9.1285000000000007</v>
      </c>
      <c r="BZ446" s="542">
        <f t="shared" si="314"/>
        <v>9.1285000000000007</v>
      </c>
      <c r="CA446" s="542">
        <f t="shared" si="314"/>
        <v>9.1285000000000007</v>
      </c>
      <c r="CB446" s="542">
        <f t="shared" si="314"/>
        <v>9.1285000000000007</v>
      </c>
      <c r="CC446" s="542">
        <f t="shared" si="314"/>
        <v>9.1285000000000007</v>
      </c>
      <c r="CD446" s="542">
        <f t="shared" si="314"/>
        <v>9.1285000000000007</v>
      </c>
      <c r="CE446" s="542">
        <f t="shared" si="314"/>
        <v>9.1285000000000007</v>
      </c>
      <c r="CG446" s="541">
        <v>9.1285000000000007</v>
      </c>
      <c r="CH446" s="541">
        <v>9.1285000000000007</v>
      </c>
      <c r="CI446" s="541">
        <v>9.1285000000000007</v>
      </c>
      <c r="CJ446" s="541">
        <v>9.1285000000000007</v>
      </c>
      <c r="CK446" s="541">
        <v>9.1285000000000007</v>
      </c>
      <c r="CL446" s="541">
        <v>9.1285000000000007</v>
      </c>
      <c r="CM446" s="541">
        <v>9.1285000000000007</v>
      </c>
      <c r="CN446" s="541">
        <v>9.1285000000000007</v>
      </c>
      <c r="CO446" s="541">
        <v>9.1285000000000007</v>
      </c>
      <c r="CP446" s="541">
        <v>9.1285000000000007</v>
      </c>
      <c r="CQ446" s="541">
        <v>9.1285000000000007</v>
      </c>
      <c r="CR446" s="541">
        <v>9.1285000000000007</v>
      </c>
      <c r="CS446" s="541">
        <v>9.1285000000000007</v>
      </c>
      <c r="CT446" s="541">
        <v>9.1285000000000007</v>
      </c>
      <c r="CU446" s="541">
        <v>9.1285000000000007</v>
      </c>
      <c r="CV446" s="541">
        <v>9.1285000000000007</v>
      </c>
      <c r="CW446" s="541">
        <v>9.1285000000000007</v>
      </c>
      <c r="CX446" s="541">
        <v>9.1285000000000007</v>
      </c>
      <c r="CY446" s="541">
        <v>9.1285000000000007</v>
      </c>
      <c r="CZ446" s="541">
        <v>9.1285000000000007</v>
      </c>
      <c r="DA446" s="541">
        <v>9.1285000000000007</v>
      </c>
      <c r="DB446" s="541">
        <v>9.1285000000000007</v>
      </c>
      <c r="DC446" s="541">
        <v>9.1285000000000007</v>
      </c>
      <c r="DD446" s="541">
        <v>9.1285000000000007</v>
      </c>
      <c r="DE446" s="541">
        <v>9.1285000000000007</v>
      </c>
      <c r="DF446" s="541">
        <v>9.1285000000000007</v>
      </c>
      <c r="DG446" s="541">
        <v>9.1285000000000007</v>
      </c>
      <c r="DH446" s="541">
        <v>9.1285000000000007</v>
      </c>
    </row>
    <row r="447" spans="2:112">
      <c r="B447" t="s">
        <v>1297</v>
      </c>
      <c r="C447" t="s">
        <v>1280</v>
      </c>
      <c r="D447" t="s">
        <v>915</v>
      </c>
      <c r="E447" t="s">
        <v>911</v>
      </c>
      <c r="F447" s="541">
        <v>0.54660900000000001</v>
      </c>
      <c r="G447" s="541">
        <v>0.54660900000000001</v>
      </c>
      <c r="H447" s="541">
        <v>0.54660900000000001</v>
      </c>
      <c r="I447" s="541">
        <v>0.54660900000000001</v>
      </c>
      <c r="J447" s="541">
        <v>0.54660900000000001</v>
      </c>
      <c r="K447" s="541">
        <v>0.54660900000000001</v>
      </c>
      <c r="L447" s="541">
        <v>0.54660900000000001</v>
      </c>
      <c r="M447" s="541">
        <v>0.54660900000000001</v>
      </c>
      <c r="N447" s="541">
        <v>0.54660900000000001</v>
      </c>
      <c r="O447" s="541">
        <v>0.54660900000000001</v>
      </c>
      <c r="P447" s="541">
        <v>0.54660900000000001</v>
      </c>
      <c r="Q447" s="541">
        <v>0.54660900000000001</v>
      </c>
      <c r="R447" s="541">
        <v>0.54660900000000001</v>
      </c>
      <c r="S447" s="541">
        <v>0.54660900000000001</v>
      </c>
      <c r="T447" s="541">
        <v>0.54660900000000001</v>
      </c>
      <c r="U447" s="541">
        <v>0.54660900000000001</v>
      </c>
      <c r="V447" s="541">
        <v>0.54660900000000001</v>
      </c>
      <c r="W447" s="541">
        <v>0.54660900000000001</v>
      </c>
      <c r="X447" s="541">
        <v>0.54660900000000001</v>
      </c>
      <c r="Y447" s="541">
        <v>0.54660900000000001</v>
      </c>
      <c r="Z447" s="541">
        <v>0.54660900000000001</v>
      </c>
      <c r="AA447" s="541">
        <v>0.54660900000000001</v>
      </c>
      <c r="AB447" s="541">
        <v>0.54660900000000001</v>
      </c>
      <c r="AC447" s="541">
        <v>0.54660900000000001</v>
      </c>
      <c r="AD447" s="541">
        <v>0.54660900000000001</v>
      </c>
      <c r="AE447" s="541">
        <v>0.54660900000000001</v>
      </c>
      <c r="AF447" s="541">
        <v>0.54660900000000001</v>
      </c>
      <c r="AG447" s="541">
        <v>0.54660900000000001</v>
      </c>
      <c r="AH447" s="542">
        <f t="shared" si="315"/>
        <v>0.54660900000000001</v>
      </c>
      <c r="AI447" s="542">
        <f t="shared" si="315"/>
        <v>0.54660900000000001</v>
      </c>
      <c r="AJ447" s="542">
        <f t="shared" si="315"/>
        <v>0.54660900000000001</v>
      </c>
      <c r="AK447" s="542">
        <f t="shared" si="315"/>
        <v>0.54660900000000001</v>
      </c>
      <c r="AL447" s="542">
        <f t="shared" si="315"/>
        <v>0.54660900000000001</v>
      </c>
      <c r="AM447" s="542">
        <f t="shared" si="315"/>
        <v>0.54660900000000001</v>
      </c>
      <c r="AN447" s="542">
        <f t="shared" si="315"/>
        <v>0.54660900000000001</v>
      </c>
      <c r="AO447" s="542">
        <f t="shared" si="315"/>
        <v>0.54660900000000001</v>
      </c>
      <c r="AP447" s="542">
        <f t="shared" si="315"/>
        <v>0.54660900000000001</v>
      </c>
      <c r="AQ447" s="542">
        <f t="shared" si="315"/>
        <v>0.54660900000000001</v>
      </c>
      <c r="AR447" s="542">
        <f t="shared" si="315"/>
        <v>0.54660900000000001</v>
      </c>
      <c r="AS447" s="542">
        <f t="shared" si="315"/>
        <v>0.54660900000000001</v>
      </c>
      <c r="AT447" s="542">
        <f t="shared" si="315"/>
        <v>0.54660900000000001</v>
      </c>
      <c r="AU447" s="542">
        <f t="shared" si="315"/>
        <v>0.54660900000000001</v>
      </c>
      <c r="AV447" s="542">
        <f t="shared" si="315"/>
        <v>0.54660900000000001</v>
      </c>
      <c r="AW447" s="542">
        <f t="shared" si="315"/>
        <v>0.54660900000000001</v>
      </c>
      <c r="AX447" s="542">
        <f t="shared" si="314"/>
        <v>0.54660900000000001</v>
      </c>
      <c r="AY447" s="542">
        <f t="shared" si="314"/>
        <v>0.54660900000000001</v>
      </c>
      <c r="AZ447" s="542">
        <f t="shared" si="314"/>
        <v>0.54660900000000001</v>
      </c>
      <c r="BA447" s="542">
        <f t="shared" si="314"/>
        <v>0.54660900000000001</v>
      </c>
      <c r="BB447" s="542">
        <f t="shared" si="314"/>
        <v>0.54660900000000001</v>
      </c>
      <c r="BC447" s="542">
        <f t="shared" si="314"/>
        <v>0.54660900000000001</v>
      </c>
      <c r="BD447" s="542">
        <f t="shared" si="314"/>
        <v>0.54660900000000001</v>
      </c>
      <c r="BE447" s="542">
        <f t="shared" si="314"/>
        <v>0.54660900000000001</v>
      </c>
      <c r="BF447" s="542">
        <f t="shared" si="314"/>
        <v>0.54660900000000001</v>
      </c>
      <c r="BG447" s="542">
        <f t="shared" si="314"/>
        <v>0.54660900000000001</v>
      </c>
      <c r="BH447" s="542">
        <f t="shared" si="314"/>
        <v>0.54660900000000001</v>
      </c>
      <c r="BI447" s="542">
        <f t="shared" si="314"/>
        <v>0.54660900000000001</v>
      </c>
      <c r="BJ447" s="542">
        <f t="shared" si="314"/>
        <v>0.54660900000000001</v>
      </c>
      <c r="BK447" s="542">
        <f t="shared" si="314"/>
        <v>0.54660900000000001</v>
      </c>
      <c r="BL447" s="542">
        <f t="shared" si="314"/>
        <v>0.54660900000000001</v>
      </c>
      <c r="BM447" s="542">
        <f t="shared" si="314"/>
        <v>0.54660900000000001</v>
      </c>
      <c r="BN447" s="542">
        <f t="shared" si="314"/>
        <v>0.54660900000000001</v>
      </c>
      <c r="BO447" s="542">
        <f t="shared" si="314"/>
        <v>0.54660900000000001</v>
      </c>
      <c r="BP447" s="542">
        <f t="shared" si="314"/>
        <v>0.54660900000000001</v>
      </c>
      <c r="BQ447" s="542">
        <f t="shared" si="314"/>
        <v>0.54660900000000001</v>
      </c>
      <c r="BR447" s="542">
        <f t="shared" si="314"/>
        <v>0.54660900000000001</v>
      </c>
      <c r="BS447" s="542">
        <f t="shared" si="314"/>
        <v>0.54660900000000001</v>
      </c>
      <c r="BT447" s="542">
        <f t="shared" si="314"/>
        <v>0.54660900000000001</v>
      </c>
      <c r="BU447" s="542">
        <f t="shared" si="314"/>
        <v>0.54660900000000001</v>
      </c>
      <c r="BV447" s="542">
        <f t="shared" si="314"/>
        <v>0.54660900000000001</v>
      </c>
      <c r="BW447" s="542">
        <f t="shared" si="314"/>
        <v>0.54660900000000001</v>
      </c>
      <c r="BX447" s="542">
        <f t="shared" si="314"/>
        <v>0.54660900000000001</v>
      </c>
      <c r="BY447" s="542">
        <f t="shared" si="314"/>
        <v>0.54660900000000001</v>
      </c>
      <c r="BZ447" s="542">
        <f t="shared" si="314"/>
        <v>0.54660900000000001</v>
      </c>
      <c r="CA447" s="542">
        <f t="shared" si="314"/>
        <v>0.54660900000000001</v>
      </c>
      <c r="CB447" s="542">
        <f t="shared" si="314"/>
        <v>0.54660900000000001</v>
      </c>
      <c r="CC447" s="542">
        <f t="shared" si="314"/>
        <v>0.54660900000000001</v>
      </c>
      <c r="CD447" s="542">
        <f t="shared" si="314"/>
        <v>0.54660900000000001</v>
      </c>
      <c r="CE447" s="542">
        <f t="shared" si="314"/>
        <v>0.54660900000000001</v>
      </c>
      <c r="CG447" s="541">
        <v>0.54660900000000001</v>
      </c>
      <c r="CH447" s="541">
        <v>0.54660900000000001</v>
      </c>
      <c r="CI447" s="541">
        <v>0.54660900000000001</v>
      </c>
      <c r="CJ447" s="541">
        <v>0.54660900000000001</v>
      </c>
      <c r="CK447" s="541">
        <v>0.54660900000000001</v>
      </c>
      <c r="CL447" s="541">
        <v>0.54660900000000001</v>
      </c>
      <c r="CM447" s="541">
        <v>0.54660900000000001</v>
      </c>
      <c r="CN447" s="541">
        <v>0.54660900000000001</v>
      </c>
      <c r="CO447" s="541">
        <v>0.54660900000000001</v>
      </c>
      <c r="CP447" s="541">
        <v>0.54660900000000001</v>
      </c>
      <c r="CQ447" s="541">
        <v>0.54660900000000001</v>
      </c>
      <c r="CR447" s="541">
        <v>0.54660900000000001</v>
      </c>
      <c r="CS447" s="541">
        <v>0.54660900000000001</v>
      </c>
      <c r="CT447" s="541">
        <v>0.54660900000000001</v>
      </c>
      <c r="CU447" s="541">
        <v>0.54660900000000001</v>
      </c>
      <c r="CV447" s="541">
        <v>0.54660900000000001</v>
      </c>
      <c r="CW447" s="541">
        <v>0.54660900000000001</v>
      </c>
      <c r="CX447" s="541">
        <v>0.54660900000000001</v>
      </c>
      <c r="CY447" s="541">
        <v>0.54660900000000001</v>
      </c>
      <c r="CZ447" s="541">
        <v>0.54660900000000001</v>
      </c>
      <c r="DA447" s="541">
        <v>0.54660900000000001</v>
      </c>
      <c r="DB447" s="541">
        <v>0.54660900000000001</v>
      </c>
      <c r="DC447" s="541">
        <v>0.54660900000000001</v>
      </c>
      <c r="DD447" s="541">
        <v>0.54660900000000001</v>
      </c>
      <c r="DE447" s="541">
        <v>0.54660900000000001</v>
      </c>
      <c r="DF447" s="541">
        <v>0.54660900000000001</v>
      </c>
      <c r="DG447" s="541">
        <v>0.54660900000000001</v>
      </c>
      <c r="DH447" s="541">
        <v>0.54660900000000001</v>
      </c>
    </row>
    <row r="448" spans="2:112">
      <c r="B448" t="s">
        <v>1298</v>
      </c>
      <c r="C448" t="s">
        <v>1280</v>
      </c>
      <c r="D448" t="s">
        <v>917</v>
      </c>
      <c r="E448" t="s">
        <v>908</v>
      </c>
      <c r="F448" s="541">
        <v>8.3475000000000001</v>
      </c>
      <c r="G448" s="541">
        <v>8.3475000000000001</v>
      </c>
      <c r="H448" s="541">
        <v>8.3475000000000001</v>
      </c>
      <c r="I448" s="541">
        <v>8.3475000000000001</v>
      </c>
      <c r="J448" s="541">
        <v>8.3475000000000001</v>
      </c>
      <c r="K448" s="541">
        <v>8.3475000000000001</v>
      </c>
      <c r="L448" s="541">
        <v>8.3475000000000001</v>
      </c>
      <c r="M448" s="541">
        <v>8.3475000000000001</v>
      </c>
      <c r="N448" s="541">
        <v>8.3475000000000001</v>
      </c>
      <c r="O448" s="541">
        <v>8.3475000000000001</v>
      </c>
      <c r="P448" s="541">
        <v>8.3475000000000001</v>
      </c>
      <c r="Q448" s="541">
        <v>8.3475000000000001</v>
      </c>
      <c r="R448" s="541">
        <v>8.3475000000000001</v>
      </c>
      <c r="S448" s="541">
        <v>8.3475000000000001</v>
      </c>
      <c r="T448" s="541">
        <v>8.3475000000000001</v>
      </c>
      <c r="U448" s="541">
        <v>8.3475000000000001</v>
      </c>
      <c r="V448" s="541">
        <v>8.3475000000000001</v>
      </c>
      <c r="W448" s="541">
        <v>8.3475000000000001</v>
      </c>
      <c r="X448" s="541">
        <v>8.3475000000000001</v>
      </c>
      <c r="Y448" s="541">
        <v>8.3475000000000001</v>
      </c>
      <c r="Z448" s="541">
        <v>8.3475000000000001</v>
      </c>
      <c r="AA448" s="541">
        <v>8.3475000000000001</v>
      </c>
      <c r="AB448" s="541">
        <v>8.3475000000000001</v>
      </c>
      <c r="AC448" s="541">
        <v>8.3475000000000001</v>
      </c>
      <c r="AD448" s="541">
        <v>8.3475000000000001</v>
      </c>
      <c r="AE448" s="541">
        <v>8.3475000000000001</v>
      </c>
      <c r="AF448" s="541">
        <v>8.3475000000000001</v>
      </c>
      <c r="AG448" s="541">
        <v>8.3475000000000001</v>
      </c>
      <c r="AH448" s="542">
        <f t="shared" si="315"/>
        <v>8.3475000000000001</v>
      </c>
      <c r="AI448" s="542">
        <f t="shared" si="315"/>
        <v>8.3475000000000001</v>
      </c>
      <c r="AJ448" s="542">
        <f t="shared" si="315"/>
        <v>8.3475000000000001</v>
      </c>
      <c r="AK448" s="542">
        <f t="shared" si="315"/>
        <v>8.3475000000000001</v>
      </c>
      <c r="AL448" s="542">
        <f t="shared" si="315"/>
        <v>8.3475000000000001</v>
      </c>
      <c r="AM448" s="542">
        <f t="shared" si="315"/>
        <v>8.3475000000000001</v>
      </c>
      <c r="AN448" s="542">
        <f t="shared" si="315"/>
        <v>8.3475000000000001</v>
      </c>
      <c r="AO448" s="542">
        <f t="shared" si="315"/>
        <v>8.3475000000000001</v>
      </c>
      <c r="AP448" s="542">
        <f t="shared" si="315"/>
        <v>8.3475000000000001</v>
      </c>
      <c r="AQ448" s="542">
        <f t="shared" si="315"/>
        <v>8.3475000000000001</v>
      </c>
      <c r="AR448" s="542">
        <f t="shared" si="315"/>
        <v>8.3475000000000001</v>
      </c>
      <c r="AS448" s="542">
        <f t="shared" si="315"/>
        <v>8.3475000000000001</v>
      </c>
      <c r="AT448" s="542">
        <f t="shared" si="315"/>
        <v>8.3475000000000001</v>
      </c>
      <c r="AU448" s="542">
        <f t="shared" si="315"/>
        <v>8.3475000000000001</v>
      </c>
      <c r="AV448" s="542">
        <f t="shared" si="315"/>
        <v>8.3475000000000001</v>
      </c>
      <c r="AW448" s="542">
        <f t="shared" si="315"/>
        <v>8.3475000000000001</v>
      </c>
      <c r="AX448" s="542">
        <f t="shared" si="314"/>
        <v>8.3475000000000001</v>
      </c>
      <c r="AY448" s="542">
        <f t="shared" si="314"/>
        <v>8.3475000000000001</v>
      </c>
      <c r="AZ448" s="542">
        <f t="shared" si="314"/>
        <v>8.3475000000000001</v>
      </c>
      <c r="BA448" s="542">
        <f t="shared" si="314"/>
        <v>8.3475000000000001</v>
      </c>
      <c r="BB448" s="542">
        <f t="shared" si="314"/>
        <v>8.3475000000000001</v>
      </c>
      <c r="BC448" s="542">
        <f t="shared" si="314"/>
        <v>8.3475000000000001</v>
      </c>
      <c r="BD448" s="542">
        <f t="shared" si="314"/>
        <v>8.3475000000000001</v>
      </c>
      <c r="BE448" s="542">
        <f t="shared" si="314"/>
        <v>8.3475000000000001</v>
      </c>
      <c r="BF448" s="542">
        <f t="shared" si="314"/>
        <v>8.3475000000000001</v>
      </c>
      <c r="BG448" s="542">
        <f t="shared" si="314"/>
        <v>8.3475000000000001</v>
      </c>
      <c r="BH448" s="542">
        <f t="shared" si="314"/>
        <v>8.3475000000000001</v>
      </c>
      <c r="BI448" s="542">
        <f t="shared" si="314"/>
        <v>8.3475000000000001</v>
      </c>
      <c r="BJ448" s="542">
        <f t="shared" si="314"/>
        <v>8.3475000000000001</v>
      </c>
      <c r="BK448" s="542">
        <f t="shared" si="314"/>
        <v>8.3475000000000001</v>
      </c>
      <c r="BL448" s="542">
        <f t="shared" si="314"/>
        <v>8.3475000000000001</v>
      </c>
      <c r="BM448" s="542">
        <f t="shared" si="314"/>
        <v>8.3475000000000001</v>
      </c>
      <c r="BN448" s="542">
        <f t="shared" si="314"/>
        <v>8.3475000000000001</v>
      </c>
      <c r="BO448" s="542">
        <f t="shared" si="314"/>
        <v>8.3475000000000001</v>
      </c>
      <c r="BP448" s="542">
        <f t="shared" si="314"/>
        <v>8.3475000000000001</v>
      </c>
      <c r="BQ448" s="542">
        <f t="shared" si="314"/>
        <v>8.3475000000000001</v>
      </c>
      <c r="BR448" s="542">
        <f t="shared" si="314"/>
        <v>8.3475000000000001</v>
      </c>
      <c r="BS448" s="542">
        <f t="shared" si="314"/>
        <v>8.3475000000000001</v>
      </c>
      <c r="BT448" s="542">
        <f t="shared" si="314"/>
        <v>8.3475000000000001</v>
      </c>
      <c r="BU448" s="542">
        <f t="shared" si="314"/>
        <v>8.3475000000000001</v>
      </c>
      <c r="BV448" s="542">
        <f t="shared" si="314"/>
        <v>8.3475000000000001</v>
      </c>
      <c r="BW448" s="542">
        <f t="shared" si="314"/>
        <v>8.3475000000000001</v>
      </c>
      <c r="BX448" s="542">
        <f t="shared" si="314"/>
        <v>8.3475000000000001</v>
      </c>
      <c r="BY448" s="542">
        <f t="shared" si="314"/>
        <v>8.3475000000000001</v>
      </c>
      <c r="BZ448" s="542">
        <f t="shared" si="314"/>
        <v>8.3475000000000001</v>
      </c>
      <c r="CA448" s="542">
        <f t="shared" si="314"/>
        <v>8.3475000000000001</v>
      </c>
      <c r="CB448" s="542">
        <f t="shared" si="314"/>
        <v>8.3475000000000001</v>
      </c>
      <c r="CC448" s="542">
        <f t="shared" si="314"/>
        <v>8.3475000000000001</v>
      </c>
      <c r="CD448" s="542">
        <f t="shared" si="314"/>
        <v>8.3475000000000001</v>
      </c>
      <c r="CE448" s="542">
        <f t="shared" si="314"/>
        <v>8.3475000000000001</v>
      </c>
      <c r="CG448" s="541">
        <v>8.3475000000000001</v>
      </c>
      <c r="CH448" s="541">
        <v>8.3475000000000001</v>
      </c>
      <c r="CI448" s="541">
        <v>8.3475000000000001</v>
      </c>
      <c r="CJ448" s="541">
        <v>8.3475000000000001</v>
      </c>
      <c r="CK448" s="541">
        <v>8.3475000000000001</v>
      </c>
      <c r="CL448" s="541">
        <v>8.3475000000000001</v>
      </c>
      <c r="CM448" s="541">
        <v>8.3475000000000001</v>
      </c>
      <c r="CN448" s="541">
        <v>8.3475000000000001</v>
      </c>
      <c r="CO448" s="541">
        <v>8.3475000000000001</v>
      </c>
      <c r="CP448" s="541">
        <v>8.3475000000000001</v>
      </c>
      <c r="CQ448" s="541">
        <v>8.3475000000000001</v>
      </c>
      <c r="CR448" s="541">
        <v>8.3475000000000001</v>
      </c>
      <c r="CS448" s="541">
        <v>8.3475000000000001</v>
      </c>
      <c r="CT448" s="541">
        <v>8.3475000000000001</v>
      </c>
      <c r="CU448" s="541">
        <v>8.3475000000000001</v>
      </c>
      <c r="CV448" s="541">
        <v>8.3475000000000001</v>
      </c>
      <c r="CW448" s="541">
        <v>8.3475000000000001</v>
      </c>
      <c r="CX448" s="541">
        <v>8.3475000000000001</v>
      </c>
      <c r="CY448" s="541">
        <v>8.3475000000000001</v>
      </c>
      <c r="CZ448" s="541">
        <v>8.3475000000000001</v>
      </c>
      <c r="DA448" s="541">
        <v>8.3475000000000001</v>
      </c>
      <c r="DB448" s="541">
        <v>8.3475000000000001</v>
      </c>
      <c r="DC448" s="541">
        <v>8.3475000000000001</v>
      </c>
      <c r="DD448" s="541">
        <v>8.3475000000000001</v>
      </c>
      <c r="DE448" s="541">
        <v>8.3475000000000001</v>
      </c>
      <c r="DF448" s="541">
        <v>8.3475000000000001</v>
      </c>
      <c r="DG448" s="541">
        <v>8.3475000000000001</v>
      </c>
      <c r="DH448" s="541">
        <v>8.3475000000000001</v>
      </c>
    </row>
    <row r="449" spans="2:112">
      <c r="B449" t="s">
        <v>1299</v>
      </c>
      <c r="C449" t="s">
        <v>1280</v>
      </c>
      <c r="D449" t="s">
        <v>919</v>
      </c>
      <c r="E449" t="s">
        <v>911</v>
      </c>
      <c r="F449" s="541">
        <v>0.53879900000000003</v>
      </c>
      <c r="G449" s="541">
        <v>0.53879900000000003</v>
      </c>
      <c r="H449" s="541">
        <v>0.53879900000000003</v>
      </c>
      <c r="I449" s="541">
        <v>0.53879900000000003</v>
      </c>
      <c r="J449" s="541">
        <v>0.53879900000000003</v>
      </c>
      <c r="K449" s="541">
        <v>0.53879900000000003</v>
      </c>
      <c r="L449" s="541">
        <v>0.53879900000000003</v>
      </c>
      <c r="M449" s="541">
        <v>0.53879900000000003</v>
      </c>
      <c r="N449" s="541">
        <v>0.53879900000000003</v>
      </c>
      <c r="O449" s="541">
        <v>0.53879900000000003</v>
      </c>
      <c r="P449" s="541">
        <v>0.53879900000000003</v>
      </c>
      <c r="Q449" s="541">
        <v>0.53879900000000003</v>
      </c>
      <c r="R449" s="541">
        <v>0.53879900000000003</v>
      </c>
      <c r="S449" s="541">
        <v>0.53879900000000003</v>
      </c>
      <c r="T449" s="541">
        <v>0.53879900000000003</v>
      </c>
      <c r="U449" s="541">
        <v>0.53879900000000003</v>
      </c>
      <c r="V449" s="541">
        <v>0.53879900000000003</v>
      </c>
      <c r="W449" s="541">
        <v>0.53879900000000003</v>
      </c>
      <c r="X449" s="541">
        <v>0.53879900000000003</v>
      </c>
      <c r="Y449" s="541">
        <v>0.53879900000000003</v>
      </c>
      <c r="Z449" s="541">
        <v>0.53879900000000003</v>
      </c>
      <c r="AA449" s="541">
        <v>0.53879900000000003</v>
      </c>
      <c r="AB449" s="541">
        <v>0.53879900000000003</v>
      </c>
      <c r="AC449" s="541">
        <v>0.53879900000000003</v>
      </c>
      <c r="AD449" s="541">
        <v>0.53879900000000003</v>
      </c>
      <c r="AE449" s="541">
        <v>0.53879900000000003</v>
      </c>
      <c r="AF449" s="541">
        <v>0.53879900000000003</v>
      </c>
      <c r="AG449" s="541">
        <v>0.53879900000000003</v>
      </c>
      <c r="AH449" s="542">
        <f t="shared" si="315"/>
        <v>0.53879900000000003</v>
      </c>
      <c r="AI449" s="542">
        <f t="shared" si="315"/>
        <v>0.53879900000000003</v>
      </c>
      <c r="AJ449" s="542">
        <f t="shared" si="315"/>
        <v>0.53879900000000003</v>
      </c>
      <c r="AK449" s="542">
        <f t="shared" si="315"/>
        <v>0.53879900000000003</v>
      </c>
      <c r="AL449" s="542">
        <f t="shared" si="315"/>
        <v>0.53879900000000003</v>
      </c>
      <c r="AM449" s="542">
        <f t="shared" si="315"/>
        <v>0.53879900000000003</v>
      </c>
      <c r="AN449" s="542">
        <f t="shared" si="315"/>
        <v>0.53879900000000003</v>
      </c>
      <c r="AO449" s="542">
        <f t="shared" si="315"/>
        <v>0.53879900000000003</v>
      </c>
      <c r="AP449" s="542">
        <f t="shared" si="315"/>
        <v>0.53879900000000003</v>
      </c>
      <c r="AQ449" s="542">
        <f t="shared" si="315"/>
        <v>0.53879900000000003</v>
      </c>
      <c r="AR449" s="542">
        <f t="shared" si="315"/>
        <v>0.53879900000000003</v>
      </c>
      <c r="AS449" s="542">
        <f t="shared" si="315"/>
        <v>0.53879900000000003</v>
      </c>
      <c r="AT449" s="542">
        <f t="shared" si="315"/>
        <v>0.53879900000000003</v>
      </c>
      <c r="AU449" s="542">
        <f t="shared" si="315"/>
        <v>0.53879900000000003</v>
      </c>
      <c r="AV449" s="542">
        <f t="shared" si="315"/>
        <v>0.53879900000000003</v>
      </c>
      <c r="AW449" s="542">
        <f t="shared" si="315"/>
        <v>0.53879900000000003</v>
      </c>
      <c r="AX449" s="542">
        <f t="shared" si="314"/>
        <v>0.53879900000000003</v>
      </c>
      <c r="AY449" s="542">
        <f t="shared" si="314"/>
        <v>0.53879900000000003</v>
      </c>
      <c r="AZ449" s="542">
        <f t="shared" si="314"/>
        <v>0.53879900000000003</v>
      </c>
      <c r="BA449" s="542">
        <f t="shared" si="314"/>
        <v>0.53879900000000003</v>
      </c>
      <c r="BB449" s="542">
        <f t="shared" si="314"/>
        <v>0.53879900000000003</v>
      </c>
      <c r="BC449" s="542">
        <f t="shared" si="314"/>
        <v>0.53879900000000003</v>
      </c>
      <c r="BD449" s="542">
        <f t="shared" si="314"/>
        <v>0.53879900000000003</v>
      </c>
      <c r="BE449" s="542">
        <f t="shared" si="314"/>
        <v>0.53879900000000003</v>
      </c>
      <c r="BF449" s="542">
        <f t="shared" si="314"/>
        <v>0.53879900000000003</v>
      </c>
      <c r="BG449" s="542">
        <f t="shared" si="314"/>
        <v>0.53879900000000003</v>
      </c>
      <c r="BH449" s="542">
        <f t="shared" si="314"/>
        <v>0.53879900000000003</v>
      </c>
      <c r="BI449" s="542">
        <f t="shared" si="314"/>
        <v>0.53879900000000003</v>
      </c>
      <c r="BJ449" s="542">
        <f t="shared" si="314"/>
        <v>0.53879900000000003</v>
      </c>
      <c r="BK449" s="542">
        <f t="shared" si="314"/>
        <v>0.53879900000000003</v>
      </c>
      <c r="BL449" s="542">
        <f t="shared" si="314"/>
        <v>0.53879900000000003</v>
      </c>
      <c r="BM449" s="542">
        <f t="shared" si="314"/>
        <v>0.53879900000000003</v>
      </c>
      <c r="BN449" s="542">
        <f t="shared" si="314"/>
        <v>0.53879900000000003</v>
      </c>
      <c r="BO449" s="542">
        <f t="shared" si="314"/>
        <v>0.53879900000000003</v>
      </c>
      <c r="BP449" s="542">
        <f t="shared" si="314"/>
        <v>0.53879900000000003</v>
      </c>
      <c r="BQ449" s="542">
        <f t="shared" si="314"/>
        <v>0.53879900000000003</v>
      </c>
      <c r="BR449" s="542">
        <f t="shared" si="314"/>
        <v>0.53879900000000003</v>
      </c>
      <c r="BS449" s="542">
        <f t="shared" si="314"/>
        <v>0.53879900000000003</v>
      </c>
      <c r="BT449" s="542">
        <f t="shared" si="314"/>
        <v>0.53879900000000003</v>
      </c>
      <c r="BU449" s="542">
        <f t="shared" si="314"/>
        <v>0.53879900000000003</v>
      </c>
      <c r="BV449" s="542">
        <f t="shared" si="314"/>
        <v>0.53879900000000003</v>
      </c>
      <c r="BW449" s="542">
        <f t="shared" si="314"/>
        <v>0.53879900000000003</v>
      </c>
      <c r="BX449" s="542">
        <f t="shared" si="314"/>
        <v>0.53879900000000003</v>
      </c>
      <c r="BY449" s="542">
        <f t="shared" si="314"/>
        <v>0.53879900000000003</v>
      </c>
      <c r="BZ449" s="542">
        <f t="shared" si="314"/>
        <v>0.53879900000000003</v>
      </c>
      <c r="CA449" s="542">
        <f t="shared" si="314"/>
        <v>0.53879900000000003</v>
      </c>
      <c r="CB449" s="542">
        <f t="shared" si="314"/>
        <v>0.53879900000000003</v>
      </c>
      <c r="CC449" s="542">
        <f t="shared" si="314"/>
        <v>0.53879900000000003</v>
      </c>
      <c r="CD449" s="542">
        <f t="shared" si="314"/>
        <v>0.53879900000000003</v>
      </c>
      <c r="CE449" s="542">
        <f t="shared" si="314"/>
        <v>0.53879900000000003</v>
      </c>
      <c r="CG449" s="541">
        <v>0.53879900000000003</v>
      </c>
      <c r="CH449" s="541">
        <v>0.53879900000000003</v>
      </c>
      <c r="CI449" s="541">
        <v>0.53879900000000003</v>
      </c>
      <c r="CJ449" s="541">
        <v>0.53879900000000003</v>
      </c>
      <c r="CK449" s="541">
        <v>0.53879900000000003</v>
      </c>
      <c r="CL449" s="541">
        <v>0.53879900000000003</v>
      </c>
      <c r="CM449" s="541">
        <v>0.53879900000000003</v>
      </c>
      <c r="CN449" s="541">
        <v>0.53879900000000003</v>
      </c>
      <c r="CO449" s="541">
        <v>0.53879900000000003</v>
      </c>
      <c r="CP449" s="541">
        <v>0.53879900000000003</v>
      </c>
      <c r="CQ449" s="541">
        <v>0.53879900000000003</v>
      </c>
      <c r="CR449" s="541">
        <v>0.53879900000000003</v>
      </c>
      <c r="CS449" s="541">
        <v>0.53879900000000003</v>
      </c>
      <c r="CT449" s="541">
        <v>0.53879900000000003</v>
      </c>
      <c r="CU449" s="541">
        <v>0.53879900000000003</v>
      </c>
      <c r="CV449" s="541">
        <v>0.53879900000000003</v>
      </c>
      <c r="CW449" s="541">
        <v>0.53879900000000003</v>
      </c>
      <c r="CX449" s="541">
        <v>0.53879900000000003</v>
      </c>
      <c r="CY449" s="541">
        <v>0.53879900000000003</v>
      </c>
      <c r="CZ449" s="541">
        <v>0.53879900000000003</v>
      </c>
      <c r="DA449" s="541">
        <v>0.53879900000000003</v>
      </c>
      <c r="DB449" s="541">
        <v>0.53879900000000003</v>
      </c>
      <c r="DC449" s="541">
        <v>0.53879900000000003</v>
      </c>
      <c r="DD449" s="541">
        <v>0.53879900000000003</v>
      </c>
      <c r="DE449" s="541">
        <v>0.53879900000000003</v>
      </c>
      <c r="DF449" s="541">
        <v>0.53879900000000003</v>
      </c>
      <c r="DG449" s="541">
        <v>0.53879900000000003</v>
      </c>
      <c r="DH449" s="541">
        <v>0.53879900000000003</v>
      </c>
    </row>
    <row r="450" spans="2:112">
      <c r="B450" t="s">
        <v>1300</v>
      </c>
      <c r="C450" t="s">
        <v>1280</v>
      </c>
      <c r="D450" t="s">
        <v>921</v>
      </c>
      <c r="E450" t="s">
        <v>908</v>
      </c>
      <c r="F450" s="541">
        <v>8.6795000000000009</v>
      </c>
      <c r="G450" s="541">
        <v>8.6795000000000009</v>
      </c>
      <c r="H450" s="541">
        <v>8.6795000000000009</v>
      </c>
      <c r="I450" s="541">
        <v>8.6795000000000009</v>
      </c>
      <c r="J450" s="541">
        <v>8.6795000000000009</v>
      </c>
      <c r="K450" s="541">
        <v>8.6795000000000009</v>
      </c>
      <c r="L450" s="541">
        <v>8.6795000000000009</v>
      </c>
      <c r="M450" s="541">
        <v>8.6795000000000009</v>
      </c>
      <c r="N450" s="541">
        <v>8.6795000000000009</v>
      </c>
      <c r="O450" s="541">
        <v>8.6795000000000009</v>
      </c>
      <c r="P450" s="541">
        <v>8.6795000000000009</v>
      </c>
      <c r="Q450" s="541">
        <v>8.6795000000000009</v>
      </c>
      <c r="R450" s="541">
        <v>8.6795000000000009</v>
      </c>
      <c r="S450" s="541">
        <v>8.6795000000000009</v>
      </c>
      <c r="T450" s="541">
        <v>8.6795000000000009</v>
      </c>
      <c r="U450" s="541">
        <v>8.6795000000000009</v>
      </c>
      <c r="V450" s="541">
        <v>8.6795000000000009</v>
      </c>
      <c r="W450" s="541">
        <v>8.6795000000000009</v>
      </c>
      <c r="X450" s="541">
        <v>8.6795000000000009</v>
      </c>
      <c r="Y450" s="541">
        <v>8.6795000000000009</v>
      </c>
      <c r="Z450" s="541">
        <v>8.6795000000000009</v>
      </c>
      <c r="AA450" s="541">
        <v>8.6795000000000009</v>
      </c>
      <c r="AB450" s="541">
        <v>8.6795000000000009</v>
      </c>
      <c r="AC450" s="541">
        <v>8.6795000000000009</v>
      </c>
      <c r="AD450" s="541">
        <v>8.6795000000000009</v>
      </c>
      <c r="AE450" s="541">
        <v>8.6795000000000009</v>
      </c>
      <c r="AF450" s="541">
        <v>8.6795000000000009</v>
      </c>
      <c r="AG450" s="541">
        <v>8.6795000000000009</v>
      </c>
      <c r="AH450" s="542">
        <f t="shared" si="315"/>
        <v>8.6795000000000009</v>
      </c>
      <c r="AI450" s="542">
        <f t="shared" si="315"/>
        <v>8.6795000000000009</v>
      </c>
      <c r="AJ450" s="542">
        <f t="shared" si="315"/>
        <v>8.6795000000000009</v>
      </c>
      <c r="AK450" s="542">
        <f t="shared" si="315"/>
        <v>8.6795000000000009</v>
      </c>
      <c r="AL450" s="542">
        <f t="shared" si="315"/>
        <v>8.6795000000000009</v>
      </c>
      <c r="AM450" s="542">
        <f t="shared" si="315"/>
        <v>8.6795000000000009</v>
      </c>
      <c r="AN450" s="542">
        <f t="shared" si="315"/>
        <v>8.6795000000000009</v>
      </c>
      <c r="AO450" s="542">
        <f t="shared" si="315"/>
        <v>8.6795000000000009</v>
      </c>
      <c r="AP450" s="542">
        <f t="shared" si="315"/>
        <v>8.6795000000000009</v>
      </c>
      <c r="AQ450" s="542">
        <f t="shared" si="315"/>
        <v>8.6795000000000009</v>
      </c>
      <c r="AR450" s="542">
        <f t="shared" si="315"/>
        <v>8.6795000000000009</v>
      </c>
      <c r="AS450" s="542">
        <f t="shared" si="315"/>
        <v>8.6795000000000009</v>
      </c>
      <c r="AT450" s="542">
        <f t="shared" si="315"/>
        <v>8.6795000000000009</v>
      </c>
      <c r="AU450" s="542">
        <f t="shared" si="315"/>
        <v>8.6795000000000009</v>
      </c>
      <c r="AV450" s="542">
        <f t="shared" si="315"/>
        <v>8.6795000000000009</v>
      </c>
      <c r="AW450" s="542">
        <f t="shared" si="315"/>
        <v>8.6795000000000009</v>
      </c>
      <c r="AX450" s="542">
        <f t="shared" si="314"/>
        <v>8.6795000000000009</v>
      </c>
      <c r="AY450" s="542">
        <f t="shared" si="314"/>
        <v>8.6795000000000009</v>
      </c>
      <c r="AZ450" s="542">
        <f t="shared" si="314"/>
        <v>8.6795000000000009</v>
      </c>
      <c r="BA450" s="542">
        <f t="shared" si="314"/>
        <v>8.6795000000000009</v>
      </c>
      <c r="BB450" s="542">
        <f t="shared" si="314"/>
        <v>8.6795000000000009</v>
      </c>
      <c r="BC450" s="542">
        <f t="shared" si="314"/>
        <v>8.6795000000000009</v>
      </c>
      <c r="BD450" s="542">
        <f t="shared" si="314"/>
        <v>8.6795000000000009</v>
      </c>
      <c r="BE450" s="542">
        <f t="shared" si="314"/>
        <v>8.6795000000000009</v>
      </c>
      <c r="BF450" s="542">
        <f t="shared" si="314"/>
        <v>8.6795000000000009</v>
      </c>
      <c r="BG450" s="542">
        <f t="shared" si="314"/>
        <v>8.6795000000000009</v>
      </c>
      <c r="BH450" s="542">
        <f t="shared" si="314"/>
        <v>8.6795000000000009</v>
      </c>
      <c r="BI450" s="542">
        <f t="shared" si="314"/>
        <v>8.6795000000000009</v>
      </c>
      <c r="BJ450" s="542">
        <f t="shared" si="314"/>
        <v>8.6795000000000009</v>
      </c>
      <c r="BK450" s="542">
        <f t="shared" si="314"/>
        <v>8.6795000000000009</v>
      </c>
      <c r="BL450" s="542">
        <f t="shared" si="314"/>
        <v>8.6795000000000009</v>
      </c>
      <c r="BM450" s="542">
        <f t="shared" si="314"/>
        <v>8.6795000000000009</v>
      </c>
      <c r="BN450" s="542">
        <f t="shared" si="314"/>
        <v>8.6795000000000009</v>
      </c>
      <c r="BO450" s="542">
        <f t="shared" si="314"/>
        <v>8.6795000000000009</v>
      </c>
      <c r="BP450" s="542">
        <f t="shared" si="314"/>
        <v>8.6795000000000009</v>
      </c>
      <c r="BQ450" s="542">
        <f t="shared" si="314"/>
        <v>8.6795000000000009</v>
      </c>
      <c r="BR450" s="542">
        <f t="shared" si="314"/>
        <v>8.6795000000000009</v>
      </c>
      <c r="BS450" s="542">
        <f t="shared" si="314"/>
        <v>8.6795000000000009</v>
      </c>
      <c r="BT450" s="542">
        <f t="shared" si="314"/>
        <v>8.6795000000000009</v>
      </c>
      <c r="BU450" s="542">
        <f t="shared" si="314"/>
        <v>8.6795000000000009</v>
      </c>
      <c r="BV450" s="542">
        <f t="shared" si="314"/>
        <v>8.6795000000000009</v>
      </c>
      <c r="BW450" s="542">
        <f t="shared" si="314"/>
        <v>8.6795000000000009</v>
      </c>
      <c r="BX450" s="542">
        <f t="shared" si="314"/>
        <v>8.6795000000000009</v>
      </c>
      <c r="BY450" s="542">
        <f t="shared" si="314"/>
        <v>8.6795000000000009</v>
      </c>
      <c r="BZ450" s="542">
        <f t="shared" si="314"/>
        <v>8.6795000000000009</v>
      </c>
      <c r="CA450" s="542">
        <f t="shared" si="314"/>
        <v>8.6795000000000009</v>
      </c>
      <c r="CB450" s="542">
        <f t="shared" si="314"/>
        <v>8.6795000000000009</v>
      </c>
      <c r="CC450" s="542">
        <f t="shared" si="314"/>
        <v>8.6795000000000009</v>
      </c>
      <c r="CD450" s="542">
        <f t="shared" si="314"/>
        <v>8.6795000000000009</v>
      </c>
      <c r="CE450" s="542">
        <f t="shared" si="314"/>
        <v>8.6795000000000009</v>
      </c>
      <c r="CG450" s="541">
        <v>8.6795000000000009</v>
      </c>
      <c r="CH450" s="541">
        <v>8.6795000000000009</v>
      </c>
      <c r="CI450" s="541">
        <v>8.6795000000000009</v>
      </c>
      <c r="CJ450" s="541">
        <v>8.6795000000000009</v>
      </c>
      <c r="CK450" s="541">
        <v>8.6795000000000009</v>
      </c>
      <c r="CL450" s="541">
        <v>8.6795000000000009</v>
      </c>
      <c r="CM450" s="541">
        <v>8.6795000000000009</v>
      </c>
      <c r="CN450" s="541">
        <v>8.6795000000000009</v>
      </c>
      <c r="CO450" s="541">
        <v>8.6795000000000009</v>
      </c>
      <c r="CP450" s="541">
        <v>8.6795000000000009</v>
      </c>
      <c r="CQ450" s="541">
        <v>8.6795000000000009</v>
      </c>
      <c r="CR450" s="541">
        <v>8.6795000000000009</v>
      </c>
      <c r="CS450" s="541">
        <v>8.6795000000000009</v>
      </c>
      <c r="CT450" s="541">
        <v>8.6795000000000009</v>
      </c>
      <c r="CU450" s="541">
        <v>8.6795000000000009</v>
      </c>
      <c r="CV450" s="541">
        <v>8.6795000000000009</v>
      </c>
      <c r="CW450" s="541">
        <v>8.6795000000000009</v>
      </c>
      <c r="CX450" s="541">
        <v>8.6795000000000009</v>
      </c>
      <c r="CY450" s="541">
        <v>8.6795000000000009</v>
      </c>
      <c r="CZ450" s="541">
        <v>8.6795000000000009</v>
      </c>
      <c r="DA450" s="541">
        <v>8.6795000000000009</v>
      </c>
      <c r="DB450" s="541">
        <v>8.6795000000000009</v>
      </c>
      <c r="DC450" s="541">
        <v>8.6795000000000009</v>
      </c>
      <c r="DD450" s="541">
        <v>8.6795000000000009</v>
      </c>
      <c r="DE450" s="541">
        <v>8.6795000000000009</v>
      </c>
      <c r="DF450" s="541">
        <v>8.6795000000000009</v>
      </c>
      <c r="DG450" s="541">
        <v>8.6795000000000009</v>
      </c>
      <c r="DH450" s="541">
        <v>8.6795000000000009</v>
      </c>
    </row>
    <row r="451" spans="2:112">
      <c r="B451" t="s">
        <v>1301</v>
      </c>
      <c r="C451" t="s">
        <v>1280</v>
      </c>
      <c r="D451" t="s">
        <v>923</v>
      </c>
      <c r="E451" t="s">
        <v>911</v>
      </c>
      <c r="F451" s="541">
        <v>0.54211900000000002</v>
      </c>
      <c r="G451" s="541">
        <v>0.54211900000000002</v>
      </c>
      <c r="H451" s="541">
        <v>0.54211900000000002</v>
      </c>
      <c r="I451" s="541">
        <v>0.54211900000000002</v>
      </c>
      <c r="J451" s="541">
        <v>0.54211900000000002</v>
      </c>
      <c r="K451" s="541">
        <v>0.54211900000000002</v>
      </c>
      <c r="L451" s="541">
        <v>0.54211900000000002</v>
      </c>
      <c r="M451" s="541">
        <v>0.54211900000000002</v>
      </c>
      <c r="N451" s="541">
        <v>0.54211900000000002</v>
      </c>
      <c r="O451" s="541">
        <v>0.54211900000000002</v>
      </c>
      <c r="P451" s="541">
        <v>0.54211900000000002</v>
      </c>
      <c r="Q451" s="541">
        <v>0.54211900000000002</v>
      </c>
      <c r="R451" s="541">
        <v>0.54211900000000002</v>
      </c>
      <c r="S451" s="541">
        <v>0.54211900000000002</v>
      </c>
      <c r="T451" s="541">
        <v>0.54211900000000002</v>
      </c>
      <c r="U451" s="541">
        <v>0.54211900000000002</v>
      </c>
      <c r="V451" s="541">
        <v>0.54211900000000002</v>
      </c>
      <c r="W451" s="541">
        <v>0.54211900000000002</v>
      </c>
      <c r="X451" s="541">
        <v>0.54211900000000002</v>
      </c>
      <c r="Y451" s="541">
        <v>0.54211900000000002</v>
      </c>
      <c r="Z451" s="541">
        <v>0.54211900000000002</v>
      </c>
      <c r="AA451" s="541">
        <v>0.54211900000000002</v>
      </c>
      <c r="AB451" s="541">
        <v>0.54211900000000002</v>
      </c>
      <c r="AC451" s="541">
        <v>0.54211900000000002</v>
      </c>
      <c r="AD451" s="541">
        <v>0.54211900000000002</v>
      </c>
      <c r="AE451" s="541">
        <v>0.54211900000000002</v>
      </c>
      <c r="AF451" s="541">
        <v>0.54211900000000002</v>
      </c>
      <c r="AG451" s="541">
        <v>0.54211900000000002</v>
      </c>
      <c r="AH451" s="542">
        <f t="shared" si="315"/>
        <v>0.54211900000000002</v>
      </c>
      <c r="AI451" s="542">
        <f t="shared" si="315"/>
        <v>0.54211900000000002</v>
      </c>
      <c r="AJ451" s="542">
        <f t="shared" si="315"/>
        <v>0.54211900000000002</v>
      </c>
      <c r="AK451" s="542">
        <f t="shared" si="315"/>
        <v>0.54211900000000002</v>
      </c>
      <c r="AL451" s="542">
        <f t="shared" si="315"/>
        <v>0.54211900000000002</v>
      </c>
      <c r="AM451" s="542">
        <f t="shared" si="315"/>
        <v>0.54211900000000002</v>
      </c>
      <c r="AN451" s="542">
        <f t="shared" si="315"/>
        <v>0.54211900000000002</v>
      </c>
      <c r="AO451" s="542">
        <f t="shared" si="315"/>
        <v>0.54211900000000002</v>
      </c>
      <c r="AP451" s="542">
        <f t="shared" si="315"/>
        <v>0.54211900000000002</v>
      </c>
      <c r="AQ451" s="542">
        <f t="shared" si="315"/>
        <v>0.54211900000000002</v>
      </c>
      <c r="AR451" s="542">
        <f t="shared" si="315"/>
        <v>0.54211900000000002</v>
      </c>
      <c r="AS451" s="542">
        <f t="shared" si="315"/>
        <v>0.54211900000000002</v>
      </c>
      <c r="AT451" s="542">
        <f t="shared" si="315"/>
        <v>0.54211900000000002</v>
      </c>
      <c r="AU451" s="542">
        <f t="shared" si="315"/>
        <v>0.54211900000000002</v>
      </c>
      <c r="AV451" s="542">
        <f t="shared" si="315"/>
        <v>0.54211900000000002</v>
      </c>
      <c r="AW451" s="542">
        <f t="shared" si="315"/>
        <v>0.54211900000000002</v>
      </c>
      <c r="AX451" s="542">
        <f t="shared" si="314"/>
        <v>0.54211900000000002</v>
      </c>
      <c r="AY451" s="542">
        <f t="shared" si="314"/>
        <v>0.54211900000000002</v>
      </c>
      <c r="AZ451" s="542">
        <f t="shared" si="314"/>
        <v>0.54211900000000002</v>
      </c>
      <c r="BA451" s="542">
        <f t="shared" si="314"/>
        <v>0.54211900000000002</v>
      </c>
      <c r="BB451" s="542">
        <f t="shared" si="314"/>
        <v>0.54211900000000002</v>
      </c>
      <c r="BC451" s="542">
        <f t="shared" si="314"/>
        <v>0.54211900000000002</v>
      </c>
      <c r="BD451" s="542">
        <f t="shared" si="314"/>
        <v>0.54211900000000002</v>
      </c>
      <c r="BE451" s="542">
        <f t="shared" si="314"/>
        <v>0.54211900000000002</v>
      </c>
      <c r="BF451" s="542">
        <f t="shared" si="314"/>
        <v>0.54211900000000002</v>
      </c>
      <c r="BG451" s="542">
        <f t="shared" si="314"/>
        <v>0.54211900000000002</v>
      </c>
      <c r="BH451" s="542">
        <f t="shared" si="314"/>
        <v>0.54211900000000002</v>
      </c>
      <c r="BI451" s="542">
        <f t="shared" si="314"/>
        <v>0.54211900000000002</v>
      </c>
      <c r="BJ451" s="542">
        <f t="shared" si="314"/>
        <v>0.54211900000000002</v>
      </c>
      <c r="BK451" s="542">
        <f t="shared" si="314"/>
        <v>0.54211900000000002</v>
      </c>
      <c r="BL451" s="542">
        <f t="shared" si="314"/>
        <v>0.54211900000000002</v>
      </c>
      <c r="BM451" s="542">
        <f t="shared" si="314"/>
        <v>0.54211900000000002</v>
      </c>
      <c r="BN451" s="542">
        <f t="shared" si="314"/>
        <v>0.54211900000000002</v>
      </c>
      <c r="BO451" s="542">
        <f t="shared" si="314"/>
        <v>0.54211900000000002</v>
      </c>
      <c r="BP451" s="542">
        <f t="shared" si="314"/>
        <v>0.54211900000000002</v>
      </c>
      <c r="BQ451" s="542">
        <f t="shared" si="314"/>
        <v>0.54211900000000002</v>
      </c>
      <c r="BR451" s="542">
        <f t="shared" si="314"/>
        <v>0.54211900000000002</v>
      </c>
      <c r="BS451" s="542">
        <f t="shared" si="314"/>
        <v>0.54211900000000002</v>
      </c>
      <c r="BT451" s="542">
        <f t="shared" si="314"/>
        <v>0.54211900000000002</v>
      </c>
      <c r="BU451" s="542">
        <f t="shared" si="314"/>
        <v>0.54211900000000002</v>
      </c>
      <c r="BV451" s="542">
        <f t="shared" si="314"/>
        <v>0.54211900000000002</v>
      </c>
      <c r="BW451" s="542">
        <f t="shared" si="314"/>
        <v>0.54211900000000002</v>
      </c>
      <c r="BX451" s="542">
        <f t="shared" si="314"/>
        <v>0.54211900000000002</v>
      </c>
      <c r="BY451" s="542">
        <f t="shared" si="314"/>
        <v>0.54211900000000002</v>
      </c>
      <c r="BZ451" s="542">
        <f t="shared" si="314"/>
        <v>0.54211900000000002</v>
      </c>
      <c r="CA451" s="542">
        <f t="shared" si="314"/>
        <v>0.54211900000000002</v>
      </c>
      <c r="CB451" s="542">
        <f t="shared" si="314"/>
        <v>0.54211900000000002</v>
      </c>
      <c r="CC451" s="542">
        <f t="shared" si="314"/>
        <v>0.54211900000000002</v>
      </c>
      <c r="CD451" s="542">
        <f t="shared" si="314"/>
        <v>0.54211900000000002</v>
      </c>
      <c r="CE451" s="542">
        <f t="shared" si="314"/>
        <v>0.54211900000000002</v>
      </c>
      <c r="CG451" s="541">
        <v>0.54211900000000002</v>
      </c>
      <c r="CH451" s="541">
        <v>0.54211900000000002</v>
      </c>
      <c r="CI451" s="541">
        <v>0.54211900000000002</v>
      </c>
      <c r="CJ451" s="541">
        <v>0.54211900000000002</v>
      </c>
      <c r="CK451" s="541">
        <v>0.54211900000000002</v>
      </c>
      <c r="CL451" s="541">
        <v>0.54211900000000002</v>
      </c>
      <c r="CM451" s="541">
        <v>0.54211900000000002</v>
      </c>
      <c r="CN451" s="541">
        <v>0.54211900000000002</v>
      </c>
      <c r="CO451" s="541">
        <v>0.54211900000000002</v>
      </c>
      <c r="CP451" s="541">
        <v>0.54211900000000002</v>
      </c>
      <c r="CQ451" s="541">
        <v>0.54211900000000002</v>
      </c>
      <c r="CR451" s="541">
        <v>0.54211900000000002</v>
      </c>
      <c r="CS451" s="541">
        <v>0.54211900000000002</v>
      </c>
      <c r="CT451" s="541">
        <v>0.54211900000000002</v>
      </c>
      <c r="CU451" s="541">
        <v>0.54211900000000002</v>
      </c>
      <c r="CV451" s="541">
        <v>0.54211900000000002</v>
      </c>
      <c r="CW451" s="541">
        <v>0.54211900000000002</v>
      </c>
      <c r="CX451" s="541">
        <v>0.54211900000000002</v>
      </c>
      <c r="CY451" s="541">
        <v>0.54211900000000002</v>
      </c>
      <c r="CZ451" s="541">
        <v>0.54211900000000002</v>
      </c>
      <c r="DA451" s="541">
        <v>0.54211900000000002</v>
      </c>
      <c r="DB451" s="541">
        <v>0.54211900000000002</v>
      </c>
      <c r="DC451" s="541">
        <v>0.54211900000000002</v>
      </c>
      <c r="DD451" s="541">
        <v>0.54211900000000002</v>
      </c>
      <c r="DE451" s="541">
        <v>0.54211900000000002</v>
      </c>
      <c r="DF451" s="541">
        <v>0.54211900000000002</v>
      </c>
      <c r="DG451" s="541">
        <v>0.54211900000000002</v>
      </c>
      <c r="DH451" s="541">
        <v>0.54211900000000002</v>
      </c>
    </row>
    <row r="452" spans="2:112">
      <c r="B452" t="s">
        <v>924</v>
      </c>
    </row>
    <row r="453" spans="2:112" ht="15">
      <c r="B453" t="s">
        <v>1302</v>
      </c>
      <c r="C453" s="485" t="s">
        <v>811</v>
      </c>
      <c r="D453" s="485" t="s">
        <v>877</v>
      </c>
      <c r="E453" s="485" t="s">
        <v>111</v>
      </c>
      <c r="F453" s="486">
        <f>2023</f>
        <v>2023</v>
      </c>
      <c r="G453" s="486">
        <f>F453+1</f>
        <v>2024</v>
      </c>
      <c r="H453" s="486">
        <f t="shared" ref="H453:AG453" si="316">G453+1</f>
        <v>2025</v>
      </c>
      <c r="I453" s="486">
        <f t="shared" si="316"/>
        <v>2026</v>
      </c>
      <c r="J453" s="486">
        <f t="shared" si="316"/>
        <v>2027</v>
      </c>
      <c r="K453" s="486">
        <f t="shared" si="316"/>
        <v>2028</v>
      </c>
      <c r="L453" s="486">
        <f t="shared" si="316"/>
        <v>2029</v>
      </c>
      <c r="M453" s="486">
        <f t="shared" si="316"/>
        <v>2030</v>
      </c>
      <c r="N453" s="486">
        <f t="shared" si="316"/>
        <v>2031</v>
      </c>
      <c r="O453" s="486">
        <f t="shared" si="316"/>
        <v>2032</v>
      </c>
      <c r="P453" s="486">
        <f t="shared" si="316"/>
        <v>2033</v>
      </c>
      <c r="Q453" s="486">
        <f t="shared" si="316"/>
        <v>2034</v>
      </c>
      <c r="R453" s="486">
        <f t="shared" si="316"/>
        <v>2035</v>
      </c>
      <c r="S453" s="486">
        <f t="shared" si="316"/>
        <v>2036</v>
      </c>
      <c r="T453" s="486">
        <f t="shared" si="316"/>
        <v>2037</v>
      </c>
      <c r="U453" s="486">
        <f t="shared" si="316"/>
        <v>2038</v>
      </c>
      <c r="V453" s="486">
        <f t="shared" si="316"/>
        <v>2039</v>
      </c>
      <c r="W453" s="486">
        <f t="shared" si="316"/>
        <v>2040</v>
      </c>
      <c r="X453" s="486">
        <f t="shared" si="316"/>
        <v>2041</v>
      </c>
      <c r="Y453" s="486">
        <f t="shared" si="316"/>
        <v>2042</v>
      </c>
      <c r="Z453" s="486">
        <f t="shared" si="316"/>
        <v>2043</v>
      </c>
      <c r="AA453" s="486">
        <f t="shared" si="316"/>
        <v>2044</v>
      </c>
      <c r="AB453" s="486">
        <f t="shared" si="316"/>
        <v>2045</v>
      </c>
      <c r="AC453" s="486">
        <f t="shared" si="316"/>
        <v>2046</v>
      </c>
      <c r="AD453" s="486">
        <f t="shared" si="316"/>
        <v>2047</v>
      </c>
      <c r="AE453" s="486">
        <f t="shared" si="316"/>
        <v>2048</v>
      </c>
      <c r="AF453" s="486">
        <f t="shared" si="316"/>
        <v>2049</v>
      </c>
      <c r="AG453" s="486">
        <f t="shared" si="316"/>
        <v>2050</v>
      </c>
      <c r="AH453" s="524">
        <f>AG453+1</f>
        <v>2051</v>
      </c>
      <c r="AI453" s="524">
        <f t="shared" ref="AI453:CE453" si="317">AH453+1</f>
        <v>2052</v>
      </c>
      <c r="AJ453" s="524">
        <f t="shared" si="317"/>
        <v>2053</v>
      </c>
      <c r="AK453" s="524">
        <f t="shared" si="317"/>
        <v>2054</v>
      </c>
      <c r="AL453" s="524">
        <f t="shared" si="317"/>
        <v>2055</v>
      </c>
      <c r="AM453" s="524">
        <f t="shared" si="317"/>
        <v>2056</v>
      </c>
      <c r="AN453" s="524">
        <f t="shared" si="317"/>
        <v>2057</v>
      </c>
      <c r="AO453" s="524">
        <f t="shared" si="317"/>
        <v>2058</v>
      </c>
      <c r="AP453" s="524">
        <f t="shared" si="317"/>
        <v>2059</v>
      </c>
      <c r="AQ453" s="524">
        <f t="shared" si="317"/>
        <v>2060</v>
      </c>
      <c r="AR453" s="524">
        <f t="shared" si="317"/>
        <v>2061</v>
      </c>
      <c r="AS453" s="524">
        <f t="shared" si="317"/>
        <v>2062</v>
      </c>
      <c r="AT453" s="524">
        <f t="shared" si="317"/>
        <v>2063</v>
      </c>
      <c r="AU453" s="524">
        <f t="shared" si="317"/>
        <v>2064</v>
      </c>
      <c r="AV453" s="524">
        <f t="shared" si="317"/>
        <v>2065</v>
      </c>
      <c r="AW453" s="524">
        <f t="shared" si="317"/>
        <v>2066</v>
      </c>
      <c r="AX453" s="524">
        <f t="shared" si="317"/>
        <v>2067</v>
      </c>
      <c r="AY453" s="524">
        <f t="shared" si="317"/>
        <v>2068</v>
      </c>
      <c r="AZ453" s="524">
        <f t="shared" si="317"/>
        <v>2069</v>
      </c>
      <c r="BA453" s="524">
        <f t="shared" si="317"/>
        <v>2070</v>
      </c>
      <c r="BB453" s="524">
        <f t="shared" si="317"/>
        <v>2071</v>
      </c>
      <c r="BC453" s="524">
        <f t="shared" si="317"/>
        <v>2072</v>
      </c>
      <c r="BD453" s="524">
        <f t="shared" si="317"/>
        <v>2073</v>
      </c>
      <c r="BE453" s="524">
        <f t="shared" si="317"/>
        <v>2074</v>
      </c>
      <c r="BF453" s="524">
        <f t="shared" si="317"/>
        <v>2075</v>
      </c>
      <c r="BG453" s="524">
        <f t="shared" si="317"/>
        <v>2076</v>
      </c>
      <c r="BH453" s="524">
        <f t="shared" si="317"/>
        <v>2077</v>
      </c>
      <c r="BI453" s="524">
        <f t="shared" si="317"/>
        <v>2078</v>
      </c>
      <c r="BJ453" s="524">
        <f t="shared" si="317"/>
        <v>2079</v>
      </c>
      <c r="BK453" s="524">
        <f t="shared" si="317"/>
        <v>2080</v>
      </c>
      <c r="BL453" s="524">
        <f t="shared" si="317"/>
        <v>2081</v>
      </c>
      <c r="BM453" s="524">
        <f t="shared" si="317"/>
        <v>2082</v>
      </c>
      <c r="BN453" s="524">
        <f t="shared" si="317"/>
        <v>2083</v>
      </c>
      <c r="BO453" s="524">
        <f t="shared" si="317"/>
        <v>2084</v>
      </c>
      <c r="BP453" s="524">
        <f t="shared" si="317"/>
        <v>2085</v>
      </c>
      <c r="BQ453" s="524">
        <f t="shared" si="317"/>
        <v>2086</v>
      </c>
      <c r="BR453" s="524">
        <f t="shared" si="317"/>
        <v>2087</v>
      </c>
      <c r="BS453" s="524">
        <f t="shared" si="317"/>
        <v>2088</v>
      </c>
      <c r="BT453" s="524">
        <f t="shared" si="317"/>
        <v>2089</v>
      </c>
      <c r="BU453" s="524">
        <f t="shared" si="317"/>
        <v>2090</v>
      </c>
      <c r="BV453" s="524">
        <f t="shared" si="317"/>
        <v>2091</v>
      </c>
      <c r="BW453" s="524">
        <f t="shared" si="317"/>
        <v>2092</v>
      </c>
      <c r="BX453" s="524">
        <f t="shared" si="317"/>
        <v>2093</v>
      </c>
      <c r="BY453" s="524">
        <f t="shared" si="317"/>
        <v>2094</v>
      </c>
      <c r="BZ453" s="524">
        <f t="shared" si="317"/>
        <v>2095</v>
      </c>
      <c r="CA453" s="524">
        <f t="shared" si="317"/>
        <v>2096</v>
      </c>
      <c r="CB453" s="524">
        <f t="shared" si="317"/>
        <v>2097</v>
      </c>
      <c r="CC453" s="524">
        <f t="shared" si="317"/>
        <v>2098</v>
      </c>
      <c r="CD453" s="524">
        <f t="shared" si="317"/>
        <v>2099</v>
      </c>
      <c r="CE453" s="524">
        <f t="shared" si="317"/>
        <v>2100</v>
      </c>
      <c r="CG453" s="486">
        <v>2023</v>
      </c>
      <c r="CH453" s="486">
        <v>2024</v>
      </c>
      <c r="CI453" s="486">
        <v>2025</v>
      </c>
      <c r="CJ453" s="486">
        <v>2026</v>
      </c>
      <c r="CK453" s="486">
        <v>2027</v>
      </c>
      <c r="CL453" s="486">
        <v>2028</v>
      </c>
      <c r="CM453" s="486">
        <v>2029</v>
      </c>
      <c r="CN453" s="486">
        <v>2030</v>
      </c>
      <c r="CO453" s="486">
        <v>2031</v>
      </c>
      <c r="CP453" s="486">
        <v>2032</v>
      </c>
      <c r="CQ453" s="486">
        <v>2033</v>
      </c>
      <c r="CR453" s="486">
        <v>2034</v>
      </c>
      <c r="CS453" s="486">
        <v>2035</v>
      </c>
      <c r="CT453" s="486">
        <v>2036</v>
      </c>
      <c r="CU453" s="486">
        <v>2037</v>
      </c>
      <c r="CV453" s="486">
        <v>2038</v>
      </c>
      <c r="CW453" s="486">
        <v>2039</v>
      </c>
      <c r="CX453" s="486">
        <v>2040</v>
      </c>
      <c r="CY453" s="486">
        <v>2041</v>
      </c>
      <c r="CZ453" s="486">
        <v>2042</v>
      </c>
      <c r="DA453" s="486">
        <v>2043</v>
      </c>
      <c r="DB453" s="486">
        <v>2044</v>
      </c>
      <c r="DC453" s="486">
        <v>2045</v>
      </c>
      <c r="DD453" s="486">
        <v>2046</v>
      </c>
      <c r="DE453" s="486">
        <v>2047</v>
      </c>
      <c r="DF453" s="486">
        <v>2048</v>
      </c>
      <c r="DG453" s="486">
        <v>2049</v>
      </c>
      <c r="DH453" s="486">
        <v>2050</v>
      </c>
    </row>
    <row r="454" spans="2:112">
      <c r="B454" t="s">
        <v>1303</v>
      </c>
      <c r="C454" t="s">
        <v>811</v>
      </c>
      <c r="D454" t="s">
        <v>879</v>
      </c>
      <c r="E454" t="s">
        <v>813</v>
      </c>
      <c r="F454" s="525">
        <v>1000</v>
      </c>
      <c r="G454" s="525">
        <v>1000</v>
      </c>
      <c r="H454" s="525">
        <v>1000</v>
      </c>
      <c r="I454" s="525">
        <v>1000</v>
      </c>
      <c r="J454" s="525">
        <v>1000</v>
      </c>
      <c r="K454" s="525">
        <v>1000</v>
      </c>
      <c r="L454" s="525">
        <v>1000</v>
      </c>
      <c r="M454" s="525">
        <v>1000</v>
      </c>
      <c r="N454" s="525">
        <v>1000</v>
      </c>
      <c r="O454" s="525">
        <v>1000</v>
      </c>
      <c r="P454" s="525">
        <v>1000</v>
      </c>
      <c r="Q454" s="525">
        <v>1000</v>
      </c>
      <c r="R454" s="525">
        <v>1000</v>
      </c>
      <c r="S454" s="525">
        <v>1000</v>
      </c>
      <c r="T454" s="525">
        <v>1000</v>
      </c>
      <c r="U454" s="525">
        <v>1000</v>
      </c>
      <c r="V454" s="525">
        <v>1000</v>
      </c>
      <c r="W454" s="525">
        <v>1000</v>
      </c>
      <c r="X454" s="525">
        <v>1000</v>
      </c>
      <c r="Y454" s="525">
        <v>1000</v>
      </c>
      <c r="Z454" s="525">
        <v>1000</v>
      </c>
      <c r="AA454" s="525">
        <v>1000</v>
      </c>
      <c r="AB454" s="525">
        <v>1000</v>
      </c>
      <c r="AC454" s="525">
        <v>1000</v>
      </c>
      <c r="AD454" s="525">
        <v>1000</v>
      </c>
      <c r="AE454" s="525">
        <v>1000</v>
      </c>
      <c r="AF454" s="525">
        <v>1000</v>
      </c>
      <c r="AG454" s="525">
        <v>1000</v>
      </c>
      <c r="AH454" s="526">
        <f>AG454</f>
        <v>1000</v>
      </c>
      <c r="AI454" s="526">
        <f t="shared" ref="AI454:AX454" si="318">AH454</f>
        <v>1000</v>
      </c>
      <c r="AJ454" s="526">
        <f t="shared" si="318"/>
        <v>1000</v>
      </c>
      <c r="AK454" s="526">
        <f t="shared" si="318"/>
        <v>1000</v>
      </c>
      <c r="AL454" s="526">
        <f t="shared" si="318"/>
        <v>1000</v>
      </c>
      <c r="AM454" s="526">
        <f t="shared" si="318"/>
        <v>1000</v>
      </c>
      <c r="AN454" s="526">
        <f t="shared" si="318"/>
        <v>1000</v>
      </c>
      <c r="AO454" s="526">
        <f t="shared" si="318"/>
        <v>1000</v>
      </c>
      <c r="AP454" s="526">
        <f t="shared" si="318"/>
        <v>1000</v>
      </c>
      <c r="AQ454" s="526">
        <f t="shared" si="318"/>
        <v>1000</v>
      </c>
      <c r="AR454" s="526">
        <f t="shared" si="318"/>
        <v>1000</v>
      </c>
      <c r="AS454" s="526">
        <f t="shared" si="318"/>
        <v>1000</v>
      </c>
      <c r="AT454" s="526">
        <f t="shared" si="318"/>
        <v>1000</v>
      </c>
      <c r="AU454" s="526">
        <f t="shared" si="318"/>
        <v>1000</v>
      </c>
      <c r="AV454" s="526">
        <f t="shared" si="318"/>
        <v>1000</v>
      </c>
      <c r="AW454" s="526">
        <f t="shared" si="318"/>
        <v>1000</v>
      </c>
      <c r="AX454" s="526">
        <f t="shared" si="318"/>
        <v>1000</v>
      </c>
      <c r="AY454" s="526">
        <f t="shared" ref="AY454:BN454" si="319">AX454</f>
        <v>1000</v>
      </c>
      <c r="AZ454" s="526">
        <f t="shared" si="319"/>
        <v>1000</v>
      </c>
      <c r="BA454" s="526">
        <f t="shared" si="319"/>
        <v>1000</v>
      </c>
      <c r="BB454" s="526">
        <f t="shared" si="319"/>
        <v>1000</v>
      </c>
      <c r="BC454" s="526">
        <f t="shared" si="319"/>
        <v>1000</v>
      </c>
      <c r="BD454" s="526">
        <f t="shared" si="319"/>
        <v>1000</v>
      </c>
      <c r="BE454" s="526">
        <f t="shared" si="319"/>
        <v>1000</v>
      </c>
      <c r="BF454" s="526">
        <f t="shared" si="319"/>
        <v>1000</v>
      </c>
      <c r="BG454" s="526">
        <f t="shared" si="319"/>
        <v>1000</v>
      </c>
      <c r="BH454" s="526">
        <f t="shared" si="319"/>
        <v>1000</v>
      </c>
      <c r="BI454" s="526">
        <f t="shared" si="319"/>
        <v>1000</v>
      </c>
      <c r="BJ454" s="526">
        <f t="shared" si="319"/>
        <v>1000</v>
      </c>
      <c r="BK454" s="526">
        <f t="shared" si="319"/>
        <v>1000</v>
      </c>
      <c r="BL454" s="526">
        <f t="shared" si="319"/>
        <v>1000</v>
      </c>
      <c r="BM454" s="526">
        <f t="shared" si="319"/>
        <v>1000</v>
      </c>
      <c r="BN454" s="526">
        <f t="shared" si="319"/>
        <v>1000</v>
      </c>
      <c r="BO454" s="526">
        <f t="shared" ref="BO454:CD454" si="320">BN454</f>
        <v>1000</v>
      </c>
      <c r="BP454" s="526">
        <f t="shared" si="320"/>
        <v>1000</v>
      </c>
      <c r="BQ454" s="526">
        <f t="shared" si="320"/>
        <v>1000</v>
      </c>
      <c r="BR454" s="526">
        <f t="shared" si="320"/>
        <v>1000</v>
      </c>
      <c r="BS454" s="526">
        <f t="shared" si="320"/>
        <v>1000</v>
      </c>
      <c r="BT454" s="526">
        <f t="shared" si="320"/>
        <v>1000</v>
      </c>
      <c r="BU454" s="526">
        <f t="shared" si="320"/>
        <v>1000</v>
      </c>
      <c r="BV454" s="526">
        <f t="shared" si="320"/>
        <v>1000</v>
      </c>
      <c r="BW454" s="526">
        <f t="shared" si="320"/>
        <v>1000</v>
      </c>
      <c r="BX454" s="526">
        <f t="shared" si="320"/>
        <v>1000</v>
      </c>
      <c r="BY454" s="526">
        <f t="shared" si="320"/>
        <v>1000</v>
      </c>
      <c r="BZ454" s="526">
        <f t="shared" si="320"/>
        <v>1000</v>
      </c>
      <c r="CA454" s="526">
        <f t="shared" si="320"/>
        <v>1000</v>
      </c>
      <c r="CB454" s="526">
        <f t="shared" si="320"/>
        <v>1000</v>
      </c>
      <c r="CC454" s="526">
        <f t="shared" si="320"/>
        <v>1000</v>
      </c>
      <c r="CD454" s="526">
        <f t="shared" si="320"/>
        <v>1000</v>
      </c>
      <c r="CE454" s="526">
        <f t="shared" ref="AX454:CE462" si="321">CD454</f>
        <v>1000</v>
      </c>
      <c r="CG454" s="536">
        <v>1000</v>
      </c>
      <c r="CH454" s="536">
        <v>1000</v>
      </c>
      <c r="CI454" s="536">
        <v>1000</v>
      </c>
      <c r="CJ454" s="536">
        <v>1000</v>
      </c>
      <c r="CK454" s="536">
        <v>1000</v>
      </c>
      <c r="CL454" s="536">
        <v>1000</v>
      </c>
      <c r="CM454" s="536">
        <v>1000</v>
      </c>
      <c r="CN454" s="536">
        <v>1000</v>
      </c>
      <c r="CO454" s="536">
        <v>1000</v>
      </c>
      <c r="CP454" s="536">
        <v>1000</v>
      </c>
      <c r="CQ454" s="536">
        <v>1000</v>
      </c>
      <c r="CR454" s="536">
        <v>1000</v>
      </c>
      <c r="CS454" s="536">
        <v>1000</v>
      </c>
      <c r="CT454" s="536">
        <v>1000</v>
      </c>
      <c r="CU454" s="536">
        <v>1000</v>
      </c>
      <c r="CV454" s="536">
        <v>1000</v>
      </c>
      <c r="CW454" s="536">
        <v>1000</v>
      </c>
      <c r="CX454" s="536">
        <v>1000</v>
      </c>
      <c r="CY454" s="536">
        <v>1000</v>
      </c>
      <c r="CZ454" s="536">
        <v>1000</v>
      </c>
      <c r="DA454" s="536">
        <v>1000</v>
      </c>
      <c r="DB454" s="536">
        <v>1000</v>
      </c>
      <c r="DC454" s="536">
        <v>1000</v>
      </c>
      <c r="DD454" s="536">
        <v>1000</v>
      </c>
      <c r="DE454" s="536">
        <v>1000</v>
      </c>
      <c r="DF454" s="536">
        <v>1000</v>
      </c>
      <c r="DG454" s="536">
        <v>1000</v>
      </c>
      <c r="DH454" s="536">
        <v>1000</v>
      </c>
    </row>
    <row r="455" spans="2:112">
      <c r="B455" t="s">
        <v>1304</v>
      </c>
      <c r="C455" t="s">
        <v>811</v>
      </c>
      <c r="D455" t="s">
        <v>695</v>
      </c>
      <c r="E455" t="s">
        <v>881</v>
      </c>
      <c r="F455" s="525">
        <v>182.5</v>
      </c>
      <c r="G455" s="525">
        <v>182.5</v>
      </c>
      <c r="H455" s="525">
        <v>182.5</v>
      </c>
      <c r="I455" s="525">
        <v>182.5</v>
      </c>
      <c r="J455" s="525">
        <v>182.5</v>
      </c>
      <c r="K455" s="525">
        <v>182.5</v>
      </c>
      <c r="L455" s="525">
        <v>182.5</v>
      </c>
      <c r="M455" s="525">
        <v>182.5</v>
      </c>
      <c r="N455" s="525">
        <v>182.5</v>
      </c>
      <c r="O455" s="525">
        <v>182.5</v>
      </c>
      <c r="P455" s="525">
        <v>182.5</v>
      </c>
      <c r="Q455" s="525">
        <v>182.5</v>
      </c>
      <c r="R455" s="525">
        <v>182.5</v>
      </c>
      <c r="S455" s="525">
        <v>182.5</v>
      </c>
      <c r="T455" s="525">
        <v>182.5</v>
      </c>
      <c r="U455" s="525">
        <v>182.5</v>
      </c>
      <c r="V455" s="525">
        <v>182.5</v>
      </c>
      <c r="W455" s="525">
        <v>182.5</v>
      </c>
      <c r="X455" s="525">
        <v>182.5</v>
      </c>
      <c r="Y455" s="525">
        <v>182.5</v>
      </c>
      <c r="Z455" s="525">
        <v>182.5</v>
      </c>
      <c r="AA455" s="525">
        <v>182.5</v>
      </c>
      <c r="AB455" s="525">
        <v>182.5</v>
      </c>
      <c r="AC455" s="525">
        <v>182.5</v>
      </c>
      <c r="AD455" s="525">
        <v>182.5</v>
      </c>
      <c r="AE455" s="525">
        <v>182.5</v>
      </c>
      <c r="AF455" s="525">
        <v>182.5</v>
      </c>
      <c r="AG455" s="525">
        <v>182.5</v>
      </c>
      <c r="AH455" s="526">
        <f t="shared" ref="AH455:AW464" si="322">AG455</f>
        <v>182.5</v>
      </c>
      <c r="AI455" s="526">
        <f t="shared" si="322"/>
        <v>182.5</v>
      </c>
      <c r="AJ455" s="526">
        <f t="shared" si="322"/>
        <v>182.5</v>
      </c>
      <c r="AK455" s="526">
        <f t="shared" si="322"/>
        <v>182.5</v>
      </c>
      <c r="AL455" s="526">
        <f t="shared" si="322"/>
        <v>182.5</v>
      </c>
      <c r="AM455" s="526">
        <f t="shared" si="322"/>
        <v>182.5</v>
      </c>
      <c r="AN455" s="526">
        <f t="shared" si="322"/>
        <v>182.5</v>
      </c>
      <c r="AO455" s="526">
        <f t="shared" si="322"/>
        <v>182.5</v>
      </c>
      <c r="AP455" s="526">
        <f t="shared" si="322"/>
        <v>182.5</v>
      </c>
      <c r="AQ455" s="526">
        <f t="shared" si="322"/>
        <v>182.5</v>
      </c>
      <c r="AR455" s="526">
        <f t="shared" si="322"/>
        <v>182.5</v>
      </c>
      <c r="AS455" s="526">
        <f t="shared" si="322"/>
        <v>182.5</v>
      </c>
      <c r="AT455" s="526">
        <f t="shared" si="322"/>
        <v>182.5</v>
      </c>
      <c r="AU455" s="526">
        <f t="shared" si="322"/>
        <v>182.5</v>
      </c>
      <c r="AV455" s="526">
        <f t="shared" si="322"/>
        <v>182.5</v>
      </c>
      <c r="AW455" s="526">
        <f t="shared" si="322"/>
        <v>182.5</v>
      </c>
      <c r="AX455" s="526">
        <f t="shared" si="321"/>
        <v>182.5</v>
      </c>
      <c r="AY455" s="526">
        <f t="shared" si="321"/>
        <v>182.5</v>
      </c>
      <c r="AZ455" s="526">
        <f t="shared" si="321"/>
        <v>182.5</v>
      </c>
      <c r="BA455" s="526">
        <f t="shared" si="321"/>
        <v>182.5</v>
      </c>
      <c r="BB455" s="526">
        <f t="shared" si="321"/>
        <v>182.5</v>
      </c>
      <c r="BC455" s="526">
        <f t="shared" si="321"/>
        <v>182.5</v>
      </c>
      <c r="BD455" s="526">
        <f t="shared" si="321"/>
        <v>182.5</v>
      </c>
      <c r="BE455" s="526">
        <f t="shared" si="321"/>
        <v>182.5</v>
      </c>
      <c r="BF455" s="526">
        <f t="shared" si="321"/>
        <v>182.5</v>
      </c>
      <c r="BG455" s="526">
        <f t="shared" si="321"/>
        <v>182.5</v>
      </c>
      <c r="BH455" s="526">
        <f t="shared" si="321"/>
        <v>182.5</v>
      </c>
      <c r="BI455" s="526">
        <f t="shared" si="321"/>
        <v>182.5</v>
      </c>
      <c r="BJ455" s="526">
        <f t="shared" si="321"/>
        <v>182.5</v>
      </c>
      <c r="BK455" s="526">
        <f t="shared" si="321"/>
        <v>182.5</v>
      </c>
      <c r="BL455" s="526">
        <f t="shared" si="321"/>
        <v>182.5</v>
      </c>
      <c r="BM455" s="526">
        <f t="shared" si="321"/>
        <v>182.5</v>
      </c>
      <c r="BN455" s="526">
        <f t="shared" si="321"/>
        <v>182.5</v>
      </c>
      <c r="BO455" s="526">
        <f t="shared" si="321"/>
        <v>182.5</v>
      </c>
      <c r="BP455" s="526">
        <f t="shared" si="321"/>
        <v>182.5</v>
      </c>
      <c r="BQ455" s="526">
        <f t="shared" si="321"/>
        <v>182.5</v>
      </c>
      <c r="BR455" s="526">
        <f t="shared" si="321"/>
        <v>182.5</v>
      </c>
      <c r="BS455" s="526">
        <f t="shared" si="321"/>
        <v>182.5</v>
      </c>
      <c r="BT455" s="526">
        <f t="shared" si="321"/>
        <v>182.5</v>
      </c>
      <c r="BU455" s="526">
        <f t="shared" si="321"/>
        <v>182.5</v>
      </c>
      <c r="BV455" s="526">
        <f t="shared" si="321"/>
        <v>182.5</v>
      </c>
      <c r="BW455" s="526">
        <f t="shared" si="321"/>
        <v>182.5</v>
      </c>
      <c r="BX455" s="526">
        <f t="shared" si="321"/>
        <v>182.5</v>
      </c>
      <c r="BY455" s="526">
        <f t="shared" si="321"/>
        <v>182.5</v>
      </c>
      <c r="BZ455" s="526">
        <f t="shared" si="321"/>
        <v>182.5</v>
      </c>
      <c r="CA455" s="526">
        <f t="shared" si="321"/>
        <v>182.5</v>
      </c>
      <c r="CB455" s="526">
        <f t="shared" si="321"/>
        <v>182.5</v>
      </c>
      <c r="CC455" s="526">
        <f t="shared" si="321"/>
        <v>182.5</v>
      </c>
      <c r="CD455" s="526">
        <f t="shared" si="321"/>
        <v>182.5</v>
      </c>
      <c r="CE455" s="526">
        <f t="shared" si="321"/>
        <v>182.5</v>
      </c>
      <c r="CG455" s="536">
        <v>182.5</v>
      </c>
      <c r="CH455" s="536">
        <v>182.5</v>
      </c>
      <c r="CI455" s="536">
        <v>182.5</v>
      </c>
      <c r="CJ455" s="536">
        <v>182.5</v>
      </c>
      <c r="CK455" s="536">
        <v>182.5</v>
      </c>
      <c r="CL455" s="536">
        <v>182.5</v>
      </c>
      <c r="CM455" s="536">
        <v>182.5</v>
      </c>
      <c r="CN455" s="536">
        <v>182.5</v>
      </c>
      <c r="CO455" s="536">
        <v>182.5</v>
      </c>
      <c r="CP455" s="536">
        <v>182.5</v>
      </c>
      <c r="CQ455" s="536">
        <v>182.5</v>
      </c>
      <c r="CR455" s="536">
        <v>182.5</v>
      </c>
      <c r="CS455" s="536">
        <v>182.5</v>
      </c>
      <c r="CT455" s="536">
        <v>182.5</v>
      </c>
      <c r="CU455" s="536">
        <v>182.5</v>
      </c>
      <c r="CV455" s="536">
        <v>182.5</v>
      </c>
      <c r="CW455" s="536">
        <v>182.5</v>
      </c>
      <c r="CX455" s="536">
        <v>182.5</v>
      </c>
      <c r="CY455" s="536">
        <v>182.5</v>
      </c>
      <c r="CZ455" s="536">
        <v>182.5</v>
      </c>
      <c r="DA455" s="536">
        <v>182.5</v>
      </c>
      <c r="DB455" s="536">
        <v>182.5</v>
      </c>
      <c r="DC455" s="536">
        <v>182.5</v>
      </c>
      <c r="DD455" s="536">
        <v>182.5</v>
      </c>
      <c r="DE455" s="536">
        <v>182.5</v>
      </c>
      <c r="DF455" s="536">
        <v>182.5</v>
      </c>
      <c r="DG455" s="536">
        <v>182.5</v>
      </c>
      <c r="DH455" s="536">
        <v>182.5</v>
      </c>
    </row>
    <row r="456" spans="2:112">
      <c r="B456" t="s">
        <v>1305</v>
      </c>
      <c r="C456" t="s">
        <v>811</v>
      </c>
      <c r="D456" t="s">
        <v>883</v>
      </c>
      <c r="E456" t="s">
        <v>884</v>
      </c>
      <c r="F456" s="525">
        <v>34</v>
      </c>
      <c r="G456" s="525">
        <v>34</v>
      </c>
      <c r="H456" s="525">
        <v>34</v>
      </c>
      <c r="I456" s="525">
        <v>34</v>
      </c>
      <c r="J456" s="525">
        <v>34</v>
      </c>
      <c r="K456" s="525">
        <v>34</v>
      </c>
      <c r="L456" s="525">
        <v>34</v>
      </c>
      <c r="M456" s="525">
        <v>34</v>
      </c>
      <c r="N456" s="525">
        <v>34</v>
      </c>
      <c r="O456" s="525">
        <v>34</v>
      </c>
      <c r="P456" s="525">
        <v>34</v>
      </c>
      <c r="Q456" s="525">
        <v>34</v>
      </c>
      <c r="R456" s="525">
        <v>34</v>
      </c>
      <c r="S456" s="525">
        <v>34</v>
      </c>
      <c r="T456" s="525">
        <v>34</v>
      </c>
      <c r="U456" s="525">
        <v>34</v>
      </c>
      <c r="V456" s="525">
        <v>34</v>
      </c>
      <c r="W456" s="525">
        <v>34</v>
      </c>
      <c r="X456" s="525">
        <v>34</v>
      </c>
      <c r="Y456" s="525">
        <v>34</v>
      </c>
      <c r="Z456" s="525">
        <v>34</v>
      </c>
      <c r="AA456" s="525">
        <v>34</v>
      </c>
      <c r="AB456" s="525">
        <v>34</v>
      </c>
      <c r="AC456" s="525">
        <v>34</v>
      </c>
      <c r="AD456" s="525">
        <v>34</v>
      </c>
      <c r="AE456" s="525">
        <v>34</v>
      </c>
      <c r="AF456" s="525">
        <v>34</v>
      </c>
      <c r="AG456" s="525">
        <v>34</v>
      </c>
      <c r="AH456" s="526">
        <f t="shared" si="322"/>
        <v>34</v>
      </c>
      <c r="AI456" s="526">
        <f t="shared" si="322"/>
        <v>34</v>
      </c>
      <c r="AJ456" s="526">
        <f t="shared" si="322"/>
        <v>34</v>
      </c>
      <c r="AK456" s="526">
        <f t="shared" si="322"/>
        <v>34</v>
      </c>
      <c r="AL456" s="526">
        <f t="shared" si="322"/>
        <v>34</v>
      </c>
      <c r="AM456" s="526">
        <f t="shared" si="322"/>
        <v>34</v>
      </c>
      <c r="AN456" s="526">
        <f t="shared" si="322"/>
        <v>34</v>
      </c>
      <c r="AO456" s="526">
        <f t="shared" si="322"/>
        <v>34</v>
      </c>
      <c r="AP456" s="526">
        <f t="shared" si="322"/>
        <v>34</v>
      </c>
      <c r="AQ456" s="526">
        <f t="shared" si="322"/>
        <v>34</v>
      </c>
      <c r="AR456" s="526">
        <f t="shared" si="322"/>
        <v>34</v>
      </c>
      <c r="AS456" s="526">
        <f t="shared" si="322"/>
        <v>34</v>
      </c>
      <c r="AT456" s="526">
        <f t="shared" si="322"/>
        <v>34</v>
      </c>
      <c r="AU456" s="526">
        <f t="shared" si="322"/>
        <v>34</v>
      </c>
      <c r="AV456" s="526">
        <f t="shared" si="322"/>
        <v>34</v>
      </c>
      <c r="AW456" s="526">
        <f t="shared" si="322"/>
        <v>34</v>
      </c>
      <c r="AX456" s="526">
        <f t="shared" si="321"/>
        <v>34</v>
      </c>
      <c r="AY456" s="526">
        <f t="shared" si="321"/>
        <v>34</v>
      </c>
      <c r="AZ456" s="526">
        <f t="shared" si="321"/>
        <v>34</v>
      </c>
      <c r="BA456" s="526">
        <f t="shared" si="321"/>
        <v>34</v>
      </c>
      <c r="BB456" s="526">
        <f t="shared" si="321"/>
        <v>34</v>
      </c>
      <c r="BC456" s="526">
        <f t="shared" si="321"/>
        <v>34</v>
      </c>
      <c r="BD456" s="526">
        <f t="shared" si="321"/>
        <v>34</v>
      </c>
      <c r="BE456" s="526">
        <f t="shared" si="321"/>
        <v>34</v>
      </c>
      <c r="BF456" s="526">
        <f t="shared" si="321"/>
        <v>34</v>
      </c>
      <c r="BG456" s="526">
        <f t="shared" si="321"/>
        <v>34</v>
      </c>
      <c r="BH456" s="526">
        <f t="shared" si="321"/>
        <v>34</v>
      </c>
      <c r="BI456" s="526">
        <f t="shared" si="321"/>
        <v>34</v>
      </c>
      <c r="BJ456" s="526">
        <f t="shared" si="321"/>
        <v>34</v>
      </c>
      <c r="BK456" s="526">
        <f t="shared" si="321"/>
        <v>34</v>
      </c>
      <c r="BL456" s="526">
        <f t="shared" si="321"/>
        <v>34</v>
      </c>
      <c r="BM456" s="526">
        <f t="shared" si="321"/>
        <v>34</v>
      </c>
      <c r="BN456" s="526">
        <f t="shared" si="321"/>
        <v>34</v>
      </c>
      <c r="BO456" s="526">
        <f t="shared" si="321"/>
        <v>34</v>
      </c>
      <c r="BP456" s="526">
        <f t="shared" si="321"/>
        <v>34</v>
      </c>
      <c r="BQ456" s="526">
        <f t="shared" si="321"/>
        <v>34</v>
      </c>
      <c r="BR456" s="526">
        <f t="shared" si="321"/>
        <v>34</v>
      </c>
      <c r="BS456" s="526">
        <f t="shared" si="321"/>
        <v>34</v>
      </c>
      <c r="BT456" s="526">
        <f t="shared" si="321"/>
        <v>34</v>
      </c>
      <c r="BU456" s="526">
        <f t="shared" si="321"/>
        <v>34</v>
      </c>
      <c r="BV456" s="526">
        <f t="shared" si="321"/>
        <v>34</v>
      </c>
      <c r="BW456" s="526">
        <f t="shared" si="321"/>
        <v>34</v>
      </c>
      <c r="BX456" s="526">
        <f t="shared" si="321"/>
        <v>34</v>
      </c>
      <c r="BY456" s="526">
        <f t="shared" si="321"/>
        <v>34</v>
      </c>
      <c r="BZ456" s="526">
        <f t="shared" si="321"/>
        <v>34</v>
      </c>
      <c r="CA456" s="526">
        <f t="shared" si="321"/>
        <v>34</v>
      </c>
      <c r="CB456" s="526">
        <f t="shared" si="321"/>
        <v>34</v>
      </c>
      <c r="CC456" s="526">
        <f t="shared" si="321"/>
        <v>34</v>
      </c>
      <c r="CD456" s="526">
        <f t="shared" si="321"/>
        <v>34</v>
      </c>
      <c r="CE456" s="526">
        <f t="shared" si="321"/>
        <v>34</v>
      </c>
      <c r="CG456" s="536">
        <v>34</v>
      </c>
      <c r="CH456" s="536">
        <v>34</v>
      </c>
      <c r="CI456" s="536">
        <v>34</v>
      </c>
      <c r="CJ456" s="536">
        <v>34</v>
      </c>
      <c r="CK456" s="536">
        <v>34</v>
      </c>
      <c r="CL456" s="536">
        <v>34</v>
      </c>
      <c r="CM456" s="536">
        <v>34</v>
      </c>
      <c r="CN456" s="536">
        <v>34</v>
      </c>
      <c r="CO456" s="536">
        <v>34</v>
      </c>
      <c r="CP456" s="536">
        <v>34</v>
      </c>
      <c r="CQ456" s="536">
        <v>34</v>
      </c>
      <c r="CR456" s="536">
        <v>34</v>
      </c>
      <c r="CS456" s="536">
        <v>34</v>
      </c>
      <c r="CT456" s="536">
        <v>34</v>
      </c>
      <c r="CU456" s="536">
        <v>34</v>
      </c>
      <c r="CV456" s="536">
        <v>34</v>
      </c>
      <c r="CW456" s="536">
        <v>34</v>
      </c>
      <c r="CX456" s="536">
        <v>34</v>
      </c>
      <c r="CY456" s="536">
        <v>34</v>
      </c>
      <c r="CZ456" s="536">
        <v>34</v>
      </c>
      <c r="DA456" s="536">
        <v>34</v>
      </c>
      <c r="DB456" s="536">
        <v>34</v>
      </c>
      <c r="DC456" s="536">
        <v>34</v>
      </c>
      <c r="DD456" s="536">
        <v>34</v>
      </c>
      <c r="DE456" s="536">
        <v>34</v>
      </c>
      <c r="DF456" s="536">
        <v>34</v>
      </c>
      <c r="DG456" s="536">
        <v>34</v>
      </c>
      <c r="DH456" s="536">
        <v>34</v>
      </c>
    </row>
    <row r="457" spans="2:112">
      <c r="B457" t="s">
        <v>1306</v>
      </c>
      <c r="C457" t="s">
        <v>811</v>
      </c>
      <c r="D457" t="s">
        <v>886</v>
      </c>
      <c r="E457" t="s">
        <v>178</v>
      </c>
      <c r="F457" s="537">
        <v>0.51</v>
      </c>
      <c r="G457" s="537">
        <v>0.51</v>
      </c>
      <c r="H457" s="537">
        <v>0.51</v>
      </c>
      <c r="I457" s="537">
        <v>0.51</v>
      </c>
      <c r="J457" s="537">
        <v>0.51</v>
      </c>
      <c r="K457" s="537">
        <v>0.51</v>
      </c>
      <c r="L457" s="537">
        <v>0.51</v>
      </c>
      <c r="M457" s="537">
        <v>0.51</v>
      </c>
      <c r="N457" s="537">
        <v>0.51</v>
      </c>
      <c r="O457" s="537">
        <v>0.51</v>
      </c>
      <c r="P457" s="537">
        <v>0.51</v>
      </c>
      <c r="Q457" s="537">
        <v>0.51</v>
      </c>
      <c r="R457" s="537">
        <v>0.51</v>
      </c>
      <c r="S457" s="537">
        <v>0.51</v>
      </c>
      <c r="T457" s="537">
        <v>0.51</v>
      </c>
      <c r="U457" s="537">
        <v>0.51</v>
      </c>
      <c r="V457" s="537">
        <v>0.51</v>
      </c>
      <c r="W457" s="537">
        <v>0.51</v>
      </c>
      <c r="X457" s="537">
        <v>0.51</v>
      </c>
      <c r="Y457" s="537">
        <v>0.51</v>
      </c>
      <c r="Z457" s="537">
        <v>0.51</v>
      </c>
      <c r="AA457" s="537">
        <v>0.51</v>
      </c>
      <c r="AB457" s="537">
        <v>0.51</v>
      </c>
      <c r="AC457" s="537">
        <v>0.51</v>
      </c>
      <c r="AD457" s="537">
        <v>0.51</v>
      </c>
      <c r="AE457" s="537">
        <v>0.51</v>
      </c>
      <c r="AF457" s="537">
        <v>0.51</v>
      </c>
      <c r="AG457" s="537">
        <v>0.51</v>
      </c>
      <c r="AH457" s="526">
        <f t="shared" si="322"/>
        <v>0.51</v>
      </c>
      <c r="AI457" s="526">
        <f t="shared" si="322"/>
        <v>0.51</v>
      </c>
      <c r="AJ457" s="526">
        <f t="shared" si="322"/>
        <v>0.51</v>
      </c>
      <c r="AK457" s="526">
        <f t="shared" si="322"/>
        <v>0.51</v>
      </c>
      <c r="AL457" s="526">
        <f t="shared" si="322"/>
        <v>0.51</v>
      </c>
      <c r="AM457" s="526">
        <f t="shared" si="322"/>
        <v>0.51</v>
      </c>
      <c r="AN457" s="526">
        <f t="shared" si="322"/>
        <v>0.51</v>
      </c>
      <c r="AO457" s="526">
        <f t="shared" si="322"/>
        <v>0.51</v>
      </c>
      <c r="AP457" s="526">
        <f t="shared" si="322"/>
        <v>0.51</v>
      </c>
      <c r="AQ457" s="526">
        <f t="shared" si="322"/>
        <v>0.51</v>
      </c>
      <c r="AR457" s="526">
        <f t="shared" si="322"/>
        <v>0.51</v>
      </c>
      <c r="AS457" s="526">
        <f t="shared" si="322"/>
        <v>0.51</v>
      </c>
      <c r="AT457" s="526">
        <f t="shared" si="322"/>
        <v>0.51</v>
      </c>
      <c r="AU457" s="526">
        <f t="shared" si="322"/>
        <v>0.51</v>
      </c>
      <c r="AV457" s="526">
        <f t="shared" si="322"/>
        <v>0.51</v>
      </c>
      <c r="AW457" s="526">
        <f t="shared" si="322"/>
        <v>0.51</v>
      </c>
      <c r="AX457" s="526">
        <f t="shared" si="321"/>
        <v>0.51</v>
      </c>
      <c r="AY457" s="526">
        <f t="shared" si="321"/>
        <v>0.51</v>
      </c>
      <c r="AZ457" s="526">
        <f t="shared" si="321"/>
        <v>0.51</v>
      </c>
      <c r="BA457" s="526">
        <f t="shared" si="321"/>
        <v>0.51</v>
      </c>
      <c r="BB457" s="526">
        <f t="shared" si="321"/>
        <v>0.51</v>
      </c>
      <c r="BC457" s="526">
        <f t="shared" si="321"/>
        <v>0.51</v>
      </c>
      <c r="BD457" s="526">
        <f t="shared" si="321"/>
        <v>0.51</v>
      </c>
      <c r="BE457" s="526">
        <f t="shared" si="321"/>
        <v>0.51</v>
      </c>
      <c r="BF457" s="526">
        <f t="shared" si="321"/>
        <v>0.51</v>
      </c>
      <c r="BG457" s="526">
        <f t="shared" si="321"/>
        <v>0.51</v>
      </c>
      <c r="BH457" s="526">
        <f t="shared" si="321"/>
        <v>0.51</v>
      </c>
      <c r="BI457" s="526">
        <f t="shared" si="321"/>
        <v>0.51</v>
      </c>
      <c r="BJ457" s="526">
        <f t="shared" si="321"/>
        <v>0.51</v>
      </c>
      <c r="BK457" s="526">
        <f t="shared" si="321"/>
        <v>0.51</v>
      </c>
      <c r="BL457" s="526">
        <f t="shared" si="321"/>
        <v>0.51</v>
      </c>
      <c r="BM457" s="526">
        <f t="shared" si="321"/>
        <v>0.51</v>
      </c>
      <c r="BN457" s="526">
        <f t="shared" si="321"/>
        <v>0.51</v>
      </c>
      <c r="BO457" s="526">
        <f t="shared" si="321"/>
        <v>0.51</v>
      </c>
      <c r="BP457" s="526">
        <f t="shared" si="321"/>
        <v>0.51</v>
      </c>
      <c r="BQ457" s="526">
        <f t="shared" si="321"/>
        <v>0.51</v>
      </c>
      <c r="BR457" s="526">
        <f t="shared" si="321"/>
        <v>0.51</v>
      </c>
      <c r="BS457" s="526">
        <f t="shared" si="321"/>
        <v>0.51</v>
      </c>
      <c r="BT457" s="526">
        <f t="shared" si="321"/>
        <v>0.51</v>
      </c>
      <c r="BU457" s="526">
        <f t="shared" si="321"/>
        <v>0.51</v>
      </c>
      <c r="BV457" s="526">
        <f t="shared" si="321"/>
        <v>0.51</v>
      </c>
      <c r="BW457" s="526">
        <f t="shared" si="321"/>
        <v>0.51</v>
      </c>
      <c r="BX457" s="526">
        <f t="shared" si="321"/>
        <v>0.51</v>
      </c>
      <c r="BY457" s="526">
        <f t="shared" si="321"/>
        <v>0.51</v>
      </c>
      <c r="BZ457" s="526">
        <f t="shared" si="321"/>
        <v>0.51</v>
      </c>
      <c r="CA457" s="526">
        <f t="shared" si="321"/>
        <v>0.51</v>
      </c>
      <c r="CB457" s="526">
        <f t="shared" si="321"/>
        <v>0.51</v>
      </c>
      <c r="CC457" s="526">
        <f t="shared" si="321"/>
        <v>0.51</v>
      </c>
      <c r="CD457" s="526">
        <f t="shared" si="321"/>
        <v>0.51</v>
      </c>
      <c r="CE457" s="526">
        <f t="shared" si="321"/>
        <v>0.51</v>
      </c>
      <c r="CG457" s="537">
        <v>0.51</v>
      </c>
      <c r="CH457" s="537">
        <v>0.51</v>
      </c>
      <c r="CI457" s="537">
        <v>0.51</v>
      </c>
      <c r="CJ457" s="537">
        <v>0.51</v>
      </c>
      <c r="CK457" s="537">
        <v>0.51</v>
      </c>
      <c r="CL457" s="537">
        <v>0.51</v>
      </c>
      <c r="CM457" s="537">
        <v>0.51</v>
      </c>
      <c r="CN457" s="537">
        <v>0.51</v>
      </c>
      <c r="CO457" s="537">
        <v>0.51</v>
      </c>
      <c r="CP457" s="537">
        <v>0.51</v>
      </c>
      <c r="CQ457" s="537">
        <v>0.51</v>
      </c>
      <c r="CR457" s="537">
        <v>0.51</v>
      </c>
      <c r="CS457" s="537">
        <v>0.51</v>
      </c>
      <c r="CT457" s="537">
        <v>0.51</v>
      </c>
      <c r="CU457" s="537">
        <v>0.51</v>
      </c>
      <c r="CV457" s="537">
        <v>0.51</v>
      </c>
      <c r="CW457" s="537">
        <v>0.51</v>
      </c>
      <c r="CX457" s="537">
        <v>0.51</v>
      </c>
      <c r="CY457" s="537">
        <v>0.51</v>
      </c>
      <c r="CZ457" s="537">
        <v>0.51</v>
      </c>
      <c r="DA457" s="537">
        <v>0.51</v>
      </c>
      <c r="DB457" s="537">
        <v>0.51</v>
      </c>
      <c r="DC457" s="537">
        <v>0.51</v>
      </c>
      <c r="DD457" s="537">
        <v>0.51</v>
      </c>
      <c r="DE457" s="537">
        <v>0.51</v>
      </c>
      <c r="DF457" s="537">
        <v>0.51</v>
      </c>
      <c r="DG457" s="537">
        <v>0.51</v>
      </c>
      <c r="DH457" s="537">
        <v>0.51</v>
      </c>
    </row>
    <row r="458" spans="2:112">
      <c r="B458" t="s">
        <v>1307</v>
      </c>
      <c r="C458" t="s">
        <v>811</v>
      </c>
      <c r="D458" t="s">
        <v>888</v>
      </c>
      <c r="E458" t="s">
        <v>178</v>
      </c>
      <c r="F458" s="537">
        <v>0.51</v>
      </c>
      <c r="G458" s="537">
        <v>0.51</v>
      </c>
      <c r="H458" s="537">
        <v>0.51</v>
      </c>
      <c r="I458" s="537">
        <v>0.51</v>
      </c>
      <c r="J458" s="537">
        <v>0.51</v>
      </c>
      <c r="K458" s="537">
        <v>0.51</v>
      </c>
      <c r="L458" s="537">
        <v>0.51</v>
      </c>
      <c r="M458" s="537">
        <v>0.51</v>
      </c>
      <c r="N458" s="537">
        <v>0.51</v>
      </c>
      <c r="O458" s="537">
        <v>0.51</v>
      </c>
      <c r="P458" s="537">
        <v>0.51</v>
      </c>
      <c r="Q458" s="537">
        <v>0.51</v>
      </c>
      <c r="R458" s="537">
        <v>0.51</v>
      </c>
      <c r="S458" s="537">
        <v>0.51</v>
      </c>
      <c r="T458" s="537">
        <v>0.51</v>
      </c>
      <c r="U458" s="537">
        <v>0.51</v>
      </c>
      <c r="V458" s="537">
        <v>0.51</v>
      </c>
      <c r="W458" s="537">
        <v>0.51</v>
      </c>
      <c r="X458" s="537">
        <v>0.51</v>
      </c>
      <c r="Y458" s="537">
        <v>0.51</v>
      </c>
      <c r="Z458" s="537">
        <v>0.51</v>
      </c>
      <c r="AA458" s="537">
        <v>0.51</v>
      </c>
      <c r="AB458" s="537">
        <v>0.51</v>
      </c>
      <c r="AC458" s="537">
        <v>0.51</v>
      </c>
      <c r="AD458" s="537">
        <v>0.51</v>
      </c>
      <c r="AE458" s="537">
        <v>0.51</v>
      </c>
      <c r="AF458" s="537">
        <v>0.51</v>
      </c>
      <c r="AG458" s="537">
        <v>0.51</v>
      </c>
      <c r="AH458" s="526">
        <f t="shared" si="322"/>
        <v>0.51</v>
      </c>
      <c r="AI458" s="526">
        <f t="shared" si="322"/>
        <v>0.51</v>
      </c>
      <c r="AJ458" s="526">
        <f t="shared" si="322"/>
        <v>0.51</v>
      </c>
      <c r="AK458" s="526">
        <f t="shared" si="322"/>
        <v>0.51</v>
      </c>
      <c r="AL458" s="526">
        <f t="shared" si="322"/>
        <v>0.51</v>
      </c>
      <c r="AM458" s="526">
        <f t="shared" si="322"/>
        <v>0.51</v>
      </c>
      <c r="AN458" s="526">
        <f t="shared" si="322"/>
        <v>0.51</v>
      </c>
      <c r="AO458" s="526">
        <f t="shared" si="322"/>
        <v>0.51</v>
      </c>
      <c r="AP458" s="526">
        <f t="shared" si="322"/>
        <v>0.51</v>
      </c>
      <c r="AQ458" s="526">
        <f t="shared" si="322"/>
        <v>0.51</v>
      </c>
      <c r="AR458" s="526">
        <f t="shared" si="322"/>
        <v>0.51</v>
      </c>
      <c r="AS458" s="526">
        <f t="shared" si="322"/>
        <v>0.51</v>
      </c>
      <c r="AT458" s="526">
        <f t="shared" si="322"/>
        <v>0.51</v>
      </c>
      <c r="AU458" s="526">
        <f t="shared" si="322"/>
        <v>0.51</v>
      </c>
      <c r="AV458" s="526">
        <f t="shared" si="322"/>
        <v>0.51</v>
      </c>
      <c r="AW458" s="526">
        <f t="shared" si="322"/>
        <v>0.51</v>
      </c>
      <c r="AX458" s="526">
        <f t="shared" si="321"/>
        <v>0.51</v>
      </c>
      <c r="AY458" s="526">
        <f t="shared" si="321"/>
        <v>0.51</v>
      </c>
      <c r="AZ458" s="526">
        <f t="shared" si="321"/>
        <v>0.51</v>
      </c>
      <c r="BA458" s="526">
        <f t="shared" si="321"/>
        <v>0.51</v>
      </c>
      <c r="BB458" s="526">
        <f t="shared" si="321"/>
        <v>0.51</v>
      </c>
      <c r="BC458" s="526">
        <f t="shared" si="321"/>
        <v>0.51</v>
      </c>
      <c r="BD458" s="526">
        <f t="shared" si="321"/>
        <v>0.51</v>
      </c>
      <c r="BE458" s="526">
        <f t="shared" si="321"/>
        <v>0.51</v>
      </c>
      <c r="BF458" s="526">
        <f t="shared" si="321"/>
        <v>0.51</v>
      </c>
      <c r="BG458" s="526">
        <f t="shared" si="321"/>
        <v>0.51</v>
      </c>
      <c r="BH458" s="526">
        <f t="shared" si="321"/>
        <v>0.51</v>
      </c>
      <c r="BI458" s="526">
        <f t="shared" si="321"/>
        <v>0.51</v>
      </c>
      <c r="BJ458" s="526">
        <f t="shared" si="321"/>
        <v>0.51</v>
      </c>
      <c r="BK458" s="526">
        <f t="shared" si="321"/>
        <v>0.51</v>
      </c>
      <c r="BL458" s="526">
        <f t="shared" si="321"/>
        <v>0.51</v>
      </c>
      <c r="BM458" s="526">
        <f t="shared" si="321"/>
        <v>0.51</v>
      </c>
      <c r="BN458" s="526">
        <f t="shared" si="321"/>
        <v>0.51</v>
      </c>
      <c r="BO458" s="526">
        <f t="shared" si="321"/>
        <v>0.51</v>
      </c>
      <c r="BP458" s="526">
        <f t="shared" si="321"/>
        <v>0.51</v>
      </c>
      <c r="BQ458" s="526">
        <f t="shared" si="321"/>
        <v>0.51</v>
      </c>
      <c r="BR458" s="526">
        <f t="shared" si="321"/>
        <v>0.51</v>
      </c>
      <c r="BS458" s="526">
        <f t="shared" si="321"/>
        <v>0.51</v>
      </c>
      <c r="BT458" s="526">
        <f t="shared" si="321"/>
        <v>0.51</v>
      </c>
      <c r="BU458" s="526">
        <f t="shared" si="321"/>
        <v>0.51</v>
      </c>
      <c r="BV458" s="526">
        <f t="shared" si="321"/>
        <v>0.51</v>
      </c>
      <c r="BW458" s="526">
        <f t="shared" si="321"/>
        <v>0.51</v>
      </c>
      <c r="BX458" s="526">
        <f t="shared" si="321"/>
        <v>0.51</v>
      </c>
      <c r="BY458" s="526">
        <f t="shared" si="321"/>
        <v>0.51</v>
      </c>
      <c r="BZ458" s="526">
        <f t="shared" si="321"/>
        <v>0.51</v>
      </c>
      <c r="CA458" s="526">
        <f t="shared" si="321"/>
        <v>0.51</v>
      </c>
      <c r="CB458" s="526">
        <f t="shared" si="321"/>
        <v>0.51</v>
      </c>
      <c r="CC458" s="526">
        <f t="shared" si="321"/>
        <v>0.51</v>
      </c>
      <c r="CD458" s="526">
        <f t="shared" si="321"/>
        <v>0.51</v>
      </c>
      <c r="CE458" s="526">
        <f t="shared" si="321"/>
        <v>0.51</v>
      </c>
      <c r="CG458" s="537">
        <v>0.51</v>
      </c>
      <c r="CH458" s="537">
        <v>0.51</v>
      </c>
      <c r="CI458" s="537">
        <v>0.51</v>
      </c>
      <c r="CJ458" s="537">
        <v>0.51</v>
      </c>
      <c r="CK458" s="537">
        <v>0.51</v>
      </c>
      <c r="CL458" s="537">
        <v>0.51</v>
      </c>
      <c r="CM458" s="537">
        <v>0.51</v>
      </c>
      <c r="CN458" s="537">
        <v>0.51</v>
      </c>
      <c r="CO458" s="537">
        <v>0.51</v>
      </c>
      <c r="CP458" s="537">
        <v>0.51</v>
      </c>
      <c r="CQ458" s="537">
        <v>0.51</v>
      </c>
      <c r="CR458" s="537">
        <v>0.51</v>
      </c>
      <c r="CS458" s="537">
        <v>0.51</v>
      </c>
      <c r="CT458" s="537">
        <v>0.51</v>
      </c>
      <c r="CU458" s="537">
        <v>0.51</v>
      </c>
      <c r="CV458" s="537">
        <v>0.51</v>
      </c>
      <c r="CW458" s="537">
        <v>0.51</v>
      </c>
      <c r="CX458" s="537">
        <v>0.51</v>
      </c>
      <c r="CY458" s="537">
        <v>0.51</v>
      </c>
      <c r="CZ458" s="537">
        <v>0.51</v>
      </c>
      <c r="DA458" s="537">
        <v>0.51</v>
      </c>
      <c r="DB458" s="537">
        <v>0.51</v>
      </c>
      <c r="DC458" s="537">
        <v>0.51</v>
      </c>
      <c r="DD458" s="537">
        <v>0.51</v>
      </c>
      <c r="DE458" s="537">
        <v>0.51</v>
      </c>
      <c r="DF458" s="537">
        <v>0.51</v>
      </c>
      <c r="DG458" s="537">
        <v>0.51</v>
      </c>
      <c r="DH458" s="537">
        <v>0.51</v>
      </c>
    </row>
    <row r="459" spans="2:112">
      <c r="B459" t="s">
        <v>1308</v>
      </c>
      <c r="C459" t="s">
        <v>811</v>
      </c>
      <c r="D459" t="s">
        <v>890</v>
      </c>
      <c r="E459" t="s">
        <v>178</v>
      </c>
      <c r="F459" s="537">
        <v>0.51</v>
      </c>
      <c r="G459" s="537">
        <v>0.51</v>
      </c>
      <c r="H459" s="537">
        <v>0.51</v>
      </c>
      <c r="I459" s="537">
        <v>0.51</v>
      </c>
      <c r="J459" s="537">
        <v>0.51</v>
      </c>
      <c r="K459" s="537">
        <v>0.51</v>
      </c>
      <c r="L459" s="537">
        <v>0.51</v>
      </c>
      <c r="M459" s="537">
        <v>0.51</v>
      </c>
      <c r="N459" s="537">
        <v>0.51</v>
      </c>
      <c r="O459" s="537">
        <v>0.51</v>
      </c>
      <c r="P459" s="537">
        <v>0.51</v>
      </c>
      <c r="Q459" s="537">
        <v>0.51</v>
      </c>
      <c r="R459" s="537">
        <v>0.51</v>
      </c>
      <c r="S459" s="537">
        <v>0.51</v>
      </c>
      <c r="T459" s="537">
        <v>0.51</v>
      </c>
      <c r="U459" s="537">
        <v>0.51</v>
      </c>
      <c r="V459" s="537">
        <v>0.51</v>
      </c>
      <c r="W459" s="537">
        <v>0.51</v>
      </c>
      <c r="X459" s="537">
        <v>0.51</v>
      </c>
      <c r="Y459" s="537">
        <v>0.51</v>
      </c>
      <c r="Z459" s="537">
        <v>0.51</v>
      </c>
      <c r="AA459" s="537">
        <v>0.51</v>
      </c>
      <c r="AB459" s="537">
        <v>0.51</v>
      </c>
      <c r="AC459" s="537">
        <v>0.51</v>
      </c>
      <c r="AD459" s="537">
        <v>0.51</v>
      </c>
      <c r="AE459" s="537">
        <v>0.51</v>
      </c>
      <c r="AF459" s="537">
        <v>0.51</v>
      </c>
      <c r="AG459" s="537">
        <v>0.51</v>
      </c>
      <c r="AH459" s="526">
        <f t="shared" si="322"/>
        <v>0.51</v>
      </c>
      <c r="AI459" s="526">
        <f t="shared" si="322"/>
        <v>0.51</v>
      </c>
      <c r="AJ459" s="526">
        <f t="shared" si="322"/>
        <v>0.51</v>
      </c>
      <c r="AK459" s="526">
        <f t="shared" si="322"/>
        <v>0.51</v>
      </c>
      <c r="AL459" s="526">
        <f t="shared" si="322"/>
        <v>0.51</v>
      </c>
      <c r="AM459" s="526">
        <f t="shared" si="322"/>
        <v>0.51</v>
      </c>
      <c r="AN459" s="526">
        <f t="shared" si="322"/>
        <v>0.51</v>
      </c>
      <c r="AO459" s="526">
        <f t="shared" si="322"/>
        <v>0.51</v>
      </c>
      <c r="AP459" s="526">
        <f t="shared" si="322"/>
        <v>0.51</v>
      </c>
      <c r="AQ459" s="526">
        <f t="shared" si="322"/>
        <v>0.51</v>
      </c>
      <c r="AR459" s="526">
        <f t="shared" si="322"/>
        <v>0.51</v>
      </c>
      <c r="AS459" s="526">
        <f t="shared" si="322"/>
        <v>0.51</v>
      </c>
      <c r="AT459" s="526">
        <f t="shared" si="322"/>
        <v>0.51</v>
      </c>
      <c r="AU459" s="526">
        <f t="shared" si="322"/>
        <v>0.51</v>
      </c>
      <c r="AV459" s="526">
        <f t="shared" si="322"/>
        <v>0.51</v>
      </c>
      <c r="AW459" s="526">
        <f t="shared" si="322"/>
        <v>0.51</v>
      </c>
      <c r="AX459" s="526">
        <f t="shared" si="321"/>
        <v>0.51</v>
      </c>
      <c r="AY459" s="526">
        <f t="shared" si="321"/>
        <v>0.51</v>
      </c>
      <c r="AZ459" s="526">
        <f t="shared" si="321"/>
        <v>0.51</v>
      </c>
      <c r="BA459" s="526">
        <f t="shared" si="321"/>
        <v>0.51</v>
      </c>
      <c r="BB459" s="526">
        <f t="shared" si="321"/>
        <v>0.51</v>
      </c>
      <c r="BC459" s="526">
        <f t="shared" si="321"/>
        <v>0.51</v>
      </c>
      <c r="BD459" s="526">
        <f t="shared" si="321"/>
        <v>0.51</v>
      </c>
      <c r="BE459" s="526">
        <f t="shared" si="321"/>
        <v>0.51</v>
      </c>
      <c r="BF459" s="526">
        <f t="shared" si="321"/>
        <v>0.51</v>
      </c>
      <c r="BG459" s="526">
        <f t="shared" si="321"/>
        <v>0.51</v>
      </c>
      <c r="BH459" s="526">
        <f t="shared" si="321"/>
        <v>0.51</v>
      </c>
      <c r="BI459" s="526">
        <f t="shared" si="321"/>
        <v>0.51</v>
      </c>
      <c r="BJ459" s="526">
        <f t="shared" si="321"/>
        <v>0.51</v>
      </c>
      <c r="BK459" s="526">
        <f t="shared" si="321"/>
        <v>0.51</v>
      </c>
      <c r="BL459" s="526">
        <f t="shared" si="321"/>
        <v>0.51</v>
      </c>
      <c r="BM459" s="526">
        <f t="shared" si="321"/>
        <v>0.51</v>
      </c>
      <c r="BN459" s="526">
        <f t="shared" si="321"/>
        <v>0.51</v>
      </c>
      <c r="BO459" s="526">
        <f t="shared" si="321"/>
        <v>0.51</v>
      </c>
      <c r="BP459" s="526">
        <f t="shared" si="321"/>
        <v>0.51</v>
      </c>
      <c r="BQ459" s="526">
        <f t="shared" si="321"/>
        <v>0.51</v>
      </c>
      <c r="BR459" s="526">
        <f t="shared" si="321"/>
        <v>0.51</v>
      </c>
      <c r="BS459" s="526">
        <f t="shared" si="321"/>
        <v>0.51</v>
      </c>
      <c r="BT459" s="526">
        <f t="shared" si="321"/>
        <v>0.51</v>
      </c>
      <c r="BU459" s="526">
        <f t="shared" si="321"/>
        <v>0.51</v>
      </c>
      <c r="BV459" s="526">
        <f t="shared" si="321"/>
        <v>0.51</v>
      </c>
      <c r="BW459" s="526">
        <f t="shared" si="321"/>
        <v>0.51</v>
      </c>
      <c r="BX459" s="526">
        <f t="shared" si="321"/>
        <v>0.51</v>
      </c>
      <c r="BY459" s="526">
        <f t="shared" si="321"/>
        <v>0.51</v>
      </c>
      <c r="BZ459" s="526">
        <f t="shared" si="321"/>
        <v>0.51</v>
      </c>
      <c r="CA459" s="526">
        <f t="shared" si="321"/>
        <v>0.51</v>
      </c>
      <c r="CB459" s="526">
        <f t="shared" si="321"/>
        <v>0.51</v>
      </c>
      <c r="CC459" s="526">
        <f t="shared" si="321"/>
        <v>0.51</v>
      </c>
      <c r="CD459" s="526">
        <f t="shared" si="321"/>
        <v>0.51</v>
      </c>
      <c r="CE459" s="526">
        <f t="shared" si="321"/>
        <v>0.51</v>
      </c>
      <c r="CG459" s="537">
        <v>0.51</v>
      </c>
      <c r="CH459" s="537">
        <v>0.51</v>
      </c>
      <c r="CI459" s="537">
        <v>0.51</v>
      </c>
      <c r="CJ459" s="537">
        <v>0.51</v>
      </c>
      <c r="CK459" s="537">
        <v>0.51</v>
      </c>
      <c r="CL459" s="537">
        <v>0.51</v>
      </c>
      <c r="CM459" s="537">
        <v>0.51</v>
      </c>
      <c r="CN459" s="537">
        <v>0.51</v>
      </c>
      <c r="CO459" s="537">
        <v>0.51</v>
      </c>
      <c r="CP459" s="537">
        <v>0.51</v>
      </c>
      <c r="CQ459" s="537">
        <v>0.51</v>
      </c>
      <c r="CR459" s="537">
        <v>0.51</v>
      </c>
      <c r="CS459" s="537">
        <v>0.51</v>
      </c>
      <c r="CT459" s="537">
        <v>0.51</v>
      </c>
      <c r="CU459" s="537">
        <v>0.51</v>
      </c>
      <c r="CV459" s="537">
        <v>0.51</v>
      </c>
      <c r="CW459" s="537">
        <v>0.51</v>
      </c>
      <c r="CX459" s="537">
        <v>0.51</v>
      </c>
      <c r="CY459" s="537">
        <v>0.51</v>
      </c>
      <c r="CZ459" s="537">
        <v>0.51</v>
      </c>
      <c r="DA459" s="537">
        <v>0.51</v>
      </c>
      <c r="DB459" s="537">
        <v>0.51</v>
      </c>
      <c r="DC459" s="537">
        <v>0.51</v>
      </c>
      <c r="DD459" s="537">
        <v>0.51</v>
      </c>
      <c r="DE459" s="537">
        <v>0.51</v>
      </c>
      <c r="DF459" s="537">
        <v>0.51</v>
      </c>
      <c r="DG459" s="537">
        <v>0.51</v>
      </c>
      <c r="DH459" s="537">
        <v>0.51</v>
      </c>
    </row>
    <row r="460" spans="2:112">
      <c r="B460" t="s">
        <v>1309</v>
      </c>
      <c r="C460" t="s">
        <v>811</v>
      </c>
      <c r="D460" t="s">
        <v>892</v>
      </c>
      <c r="E460" t="s">
        <v>178</v>
      </c>
      <c r="F460" s="537">
        <v>0.51</v>
      </c>
      <c r="G460" s="537">
        <v>0.51</v>
      </c>
      <c r="H460" s="537">
        <v>0.51</v>
      </c>
      <c r="I460" s="537">
        <v>0.51</v>
      </c>
      <c r="J460" s="537">
        <v>0.51</v>
      </c>
      <c r="K460" s="537">
        <v>0.51</v>
      </c>
      <c r="L460" s="537">
        <v>0.51</v>
      </c>
      <c r="M460" s="537">
        <v>0.51</v>
      </c>
      <c r="N460" s="537">
        <v>0.51</v>
      </c>
      <c r="O460" s="537">
        <v>0.51</v>
      </c>
      <c r="P460" s="537">
        <v>0.51</v>
      </c>
      <c r="Q460" s="537">
        <v>0.51</v>
      </c>
      <c r="R460" s="537">
        <v>0.51</v>
      </c>
      <c r="S460" s="537">
        <v>0.51</v>
      </c>
      <c r="T460" s="537">
        <v>0.51</v>
      </c>
      <c r="U460" s="537">
        <v>0.51</v>
      </c>
      <c r="V460" s="537">
        <v>0.51</v>
      </c>
      <c r="W460" s="537">
        <v>0.51</v>
      </c>
      <c r="X460" s="537">
        <v>0.51</v>
      </c>
      <c r="Y460" s="537">
        <v>0.51</v>
      </c>
      <c r="Z460" s="537">
        <v>0.51</v>
      </c>
      <c r="AA460" s="537">
        <v>0.51</v>
      </c>
      <c r="AB460" s="537">
        <v>0.51</v>
      </c>
      <c r="AC460" s="537">
        <v>0.51</v>
      </c>
      <c r="AD460" s="537">
        <v>0.51</v>
      </c>
      <c r="AE460" s="537">
        <v>0.51</v>
      </c>
      <c r="AF460" s="537">
        <v>0.51</v>
      </c>
      <c r="AG460" s="537">
        <v>0.51</v>
      </c>
      <c r="AH460" s="526">
        <f t="shared" si="322"/>
        <v>0.51</v>
      </c>
      <c r="AI460" s="526">
        <f t="shared" si="322"/>
        <v>0.51</v>
      </c>
      <c r="AJ460" s="526">
        <f t="shared" si="322"/>
        <v>0.51</v>
      </c>
      <c r="AK460" s="526">
        <f t="shared" si="322"/>
        <v>0.51</v>
      </c>
      <c r="AL460" s="526">
        <f t="shared" si="322"/>
        <v>0.51</v>
      </c>
      <c r="AM460" s="526">
        <f t="shared" si="322"/>
        <v>0.51</v>
      </c>
      <c r="AN460" s="526">
        <f t="shared" si="322"/>
        <v>0.51</v>
      </c>
      <c r="AO460" s="526">
        <f t="shared" si="322"/>
        <v>0.51</v>
      </c>
      <c r="AP460" s="526">
        <f t="shared" si="322"/>
        <v>0.51</v>
      </c>
      <c r="AQ460" s="526">
        <f t="shared" si="322"/>
        <v>0.51</v>
      </c>
      <c r="AR460" s="526">
        <f t="shared" si="322"/>
        <v>0.51</v>
      </c>
      <c r="AS460" s="526">
        <f t="shared" si="322"/>
        <v>0.51</v>
      </c>
      <c r="AT460" s="526">
        <f t="shared" si="322"/>
        <v>0.51</v>
      </c>
      <c r="AU460" s="526">
        <f t="shared" si="322"/>
        <v>0.51</v>
      </c>
      <c r="AV460" s="526">
        <f t="shared" si="322"/>
        <v>0.51</v>
      </c>
      <c r="AW460" s="526">
        <f t="shared" si="322"/>
        <v>0.51</v>
      </c>
      <c r="AX460" s="526">
        <f t="shared" si="321"/>
        <v>0.51</v>
      </c>
      <c r="AY460" s="526">
        <f t="shared" si="321"/>
        <v>0.51</v>
      </c>
      <c r="AZ460" s="526">
        <f t="shared" si="321"/>
        <v>0.51</v>
      </c>
      <c r="BA460" s="526">
        <f t="shared" si="321"/>
        <v>0.51</v>
      </c>
      <c r="BB460" s="526">
        <f t="shared" si="321"/>
        <v>0.51</v>
      </c>
      <c r="BC460" s="526">
        <f t="shared" si="321"/>
        <v>0.51</v>
      </c>
      <c r="BD460" s="526">
        <f t="shared" si="321"/>
        <v>0.51</v>
      </c>
      <c r="BE460" s="526">
        <f t="shared" si="321"/>
        <v>0.51</v>
      </c>
      <c r="BF460" s="526">
        <f t="shared" si="321"/>
        <v>0.51</v>
      </c>
      <c r="BG460" s="526">
        <f t="shared" si="321"/>
        <v>0.51</v>
      </c>
      <c r="BH460" s="526">
        <f t="shared" si="321"/>
        <v>0.51</v>
      </c>
      <c r="BI460" s="526">
        <f t="shared" si="321"/>
        <v>0.51</v>
      </c>
      <c r="BJ460" s="526">
        <f t="shared" si="321"/>
        <v>0.51</v>
      </c>
      <c r="BK460" s="526">
        <f t="shared" si="321"/>
        <v>0.51</v>
      </c>
      <c r="BL460" s="526">
        <f t="shared" si="321"/>
        <v>0.51</v>
      </c>
      <c r="BM460" s="526">
        <f t="shared" si="321"/>
        <v>0.51</v>
      </c>
      <c r="BN460" s="526">
        <f t="shared" si="321"/>
        <v>0.51</v>
      </c>
      <c r="BO460" s="526">
        <f t="shared" si="321"/>
        <v>0.51</v>
      </c>
      <c r="BP460" s="526">
        <f t="shared" si="321"/>
        <v>0.51</v>
      </c>
      <c r="BQ460" s="526">
        <f t="shared" si="321"/>
        <v>0.51</v>
      </c>
      <c r="BR460" s="526">
        <f t="shared" si="321"/>
        <v>0.51</v>
      </c>
      <c r="BS460" s="526">
        <f t="shared" si="321"/>
        <v>0.51</v>
      </c>
      <c r="BT460" s="526">
        <f t="shared" si="321"/>
        <v>0.51</v>
      </c>
      <c r="BU460" s="526">
        <f t="shared" si="321"/>
        <v>0.51</v>
      </c>
      <c r="BV460" s="526">
        <f t="shared" si="321"/>
        <v>0.51</v>
      </c>
      <c r="BW460" s="526">
        <f t="shared" si="321"/>
        <v>0.51</v>
      </c>
      <c r="BX460" s="526">
        <f t="shared" si="321"/>
        <v>0.51</v>
      </c>
      <c r="BY460" s="526">
        <f t="shared" si="321"/>
        <v>0.51</v>
      </c>
      <c r="BZ460" s="526">
        <f t="shared" si="321"/>
        <v>0.51</v>
      </c>
      <c r="CA460" s="526">
        <f t="shared" si="321"/>
        <v>0.51</v>
      </c>
      <c r="CB460" s="526">
        <f t="shared" si="321"/>
        <v>0.51</v>
      </c>
      <c r="CC460" s="526">
        <f t="shared" si="321"/>
        <v>0.51</v>
      </c>
      <c r="CD460" s="526">
        <f t="shared" si="321"/>
        <v>0.51</v>
      </c>
      <c r="CE460" s="526">
        <f t="shared" si="321"/>
        <v>0.51</v>
      </c>
      <c r="CG460" s="537">
        <v>0.51</v>
      </c>
      <c r="CH460" s="537">
        <v>0.51</v>
      </c>
      <c r="CI460" s="537">
        <v>0.51</v>
      </c>
      <c r="CJ460" s="537">
        <v>0.51</v>
      </c>
      <c r="CK460" s="537">
        <v>0.51</v>
      </c>
      <c r="CL460" s="537">
        <v>0.51</v>
      </c>
      <c r="CM460" s="537">
        <v>0.51</v>
      </c>
      <c r="CN460" s="537">
        <v>0.51</v>
      </c>
      <c r="CO460" s="537">
        <v>0.51</v>
      </c>
      <c r="CP460" s="537">
        <v>0.51</v>
      </c>
      <c r="CQ460" s="537">
        <v>0.51</v>
      </c>
      <c r="CR460" s="537">
        <v>0.51</v>
      </c>
      <c r="CS460" s="537">
        <v>0.51</v>
      </c>
      <c r="CT460" s="537">
        <v>0.51</v>
      </c>
      <c r="CU460" s="537">
        <v>0.51</v>
      </c>
      <c r="CV460" s="537">
        <v>0.51</v>
      </c>
      <c r="CW460" s="537">
        <v>0.51</v>
      </c>
      <c r="CX460" s="537">
        <v>0.51</v>
      </c>
      <c r="CY460" s="537">
        <v>0.51</v>
      </c>
      <c r="CZ460" s="537">
        <v>0.51</v>
      </c>
      <c r="DA460" s="537">
        <v>0.51</v>
      </c>
      <c r="DB460" s="537">
        <v>0.51</v>
      </c>
      <c r="DC460" s="537">
        <v>0.51</v>
      </c>
      <c r="DD460" s="537">
        <v>0.51</v>
      </c>
      <c r="DE460" s="537">
        <v>0.51</v>
      </c>
      <c r="DF460" s="537">
        <v>0.51</v>
      </c>
      <c r="DG460" s="537">
        <v>0.51</v>
      </c>
      <c r="DH460" s="537">
        <v>0.51</v>
      </c>
    </row>
    <row r="461" spans="2:112">
      <c r="B461" t="s">
        <v>1310</v>
      </c>
      <c r="C461" t="s">
        <v>811</v>
      </c>
      <c r="D461" t="s">
        <v>894</v>
      </c>
      <c r="E461" t="s">
        <v>895</v>
      </c>
      <c r="F461" s="537">
        <v>0</v>
      </c>
      <c r="G461" s="537">
        <v>0</v>
      </c>
      <c r="H461" s="537">
        <v>0</v>
      </c>
      <c r="I461" s="537">
        <v>0</v>
      </c>
      <c r="J461" s="537">
        <v>0</v>
      </c>
      <c r="K461" s="537">
        <v>0</v>
      </c>
      <c r="L461" s="537">
        <v>0</v>
      </c>
      <c r="M461" s="537">
        <v>0</v>
      </c>
      <c r="N461" s="537">
        <v>0</v>
      </c>
      <c r="O461" s="537">
        <v>0</v>
      </c>
      <c r="P461" s="537">
        <v>0</v>
      </c>
      <c r="Q461" s="537">
        <v>0</v>
      </c>
      <c r="R461" s="537">
        <v>0</v>
      </c>
      <c r="S461" s="537">
        <v>0</v>
      </c>
      <c r="T461" s="537">
        <v>0</v>
      </c>
      <c r="U461" s="537">
        <v>0</v>
      </c>
      <c r="V461" s="537">
        <v>0</v>
      </c>
      <c r="W461" s="537">
        <v>0</v>
      </c>
      <c r="X461" s="537">
        <v>0</v>
      </c>
      <c r="Y461" s="537">
        <v>0</v>
      </c>
      <c r="Z461" s="537">
        <v>0</v>
      </c>
      <c r="AA461" s="537">
        <v>0</v>
      </c>
      <c r="AB461" s="537">
        <v>0</v>
      </c>
      <c r="AC461" s="537">
        <v>0</v>
      </c>
      <c r="AD461" s="537">
        <v>0</v>
      </c>
      <c r="AE461" s="537">
        <v>0</v>
      </c>
      <c r="AF461" s="537">
        <v>0</v>
      </c>
      <c r="AG461" s="537">
        <v>0</v>
      </c>
      <c r="AH461" s="538">
        <f t="shared" si="322"/>
        <v>0</v>
      </c>
      <c r="AI461" s="538">
        <f t="shared" si="322"/>
        <v>0</v>
      </c>
      <c r="AJ461" s="538">
        <f t="shared" si="322"/>
        <v>0</v>
      </c>
      <c r="AK461" s="538">
        <f t="shared" si="322"/>
        <v>0</v>
      </c>
      <c r="AL461" s="538">
        <f t="shared" si="322"/>
        <v>0</v>
      </c>
      <c r="AM461" s="538">
        <f t="shared" si="322"/>
        <v>0</v>
      </c>
      <c r="AN461" s="538">
        <f t="shared" si="322"/>
        <v>0</v>
      </c>
      <c r="AO461" s="538">
        <f t="shared" si="322"/>
        <v>0</v>
      </c>
      <c r="AP461" s="538">
        <f t="shared" si="322"/>
        <v>0</v>
      </c>
      <c r="AQ461" s="538">
        <f t="shared" si="322"/>
        <v>0</v>
      </c>
      <c r="AR461" s="538">
        <f t="shared" si="322"/>
        <v>0</v>
      </c>
      <c r="AS461" s="538">
        <f t="shared" si="322"/>
        <v>0</v>
      </c>
      <c r="AT461" s="538">
        <f t="shared" si="322"/>
        <v>0</v>
      </c>
      <c r="AU461" s="538">
        <f t="shared" si="322"/>
        <v>0</v>
      </c>
      <c r="AV461" s="538">
        <f t="shared" si="322"/>
        <v>0</v>
      </c>
      <c r="AW461" s="538">
        <f t="shared" si="322"/>
        <v>0</v>
      </c>
      <c r="AX461" s="538">
        <f t="shared" si="321"/>
        <v>0</v>
      </c>
      <c r="AY461" s="538">
        <f t="shared" si="321"/>
        <v>0</v>
      </c>
      <c r="AZ461" s="538">
        <f t="shared" si="321"/>
        <v>0</v>
      </c>
      <c r="BA461" s="538">
        <f t="shared" si="321"/>
        <v>0</v>
      </c>
      <c r="BB461" s="538">
        <f t="shared" si="321"/>
        <v>0</v>
      </c>
      <c r="BC461" s="538">
        <f t="shared" si="321"/>
        <v>0</v>
      </c>
      <c r="BD461" s="538">
        <f t="shared" si="321"/>
        <v>0</v>
      </c>
      <c r="BE461" s="538">
        <f t="shared" si="321"/>
        <v>0</v>
      </c>
      <c r="BF461" s="538">
        <f t="shared" si="321"/>
        <v>0</v>
      </c>
      <c r="BG461" s="538">
        <f t="shared" si="321"/>
        <v>0</v>
      </c>
      <c r="BH461" s="538">
        <f t="shared" si="321"/>
        <v>0</v>
      </c>
      <c r="BI461" s="538">
        <f t="shared" si="321"/>
        <v>0</v>
      </c>
      <c r="BJ461" s="538">
        <f t="shared" si="321"/>
        <v>0</v>
      </c>
      <c r="BK461" s="538">
        <f t="shared" si="321"/>
        <v>0</v>
      </c>
      <c r="BL461" s="538">
        <f t="shared" si="321"/>
        <v>0</v>
      </c>
      <c r="BM461" s="538">
        <f t="shared" si="321"/>
        <v>0</v>
      </c>
      <c r="BN461" s="538">
        <f t="shared" si="321"/>
        <v>0</v>
      </c>
      <c r="BO461" s="538">
        <f t="shared" si="321"/>
        <v>0</v>
      </c>
      <c r="BP461" s="538">
        <f t="shared" si="321"/>
        <v>0</v>
      </c>
      <c r="BQ461" s="538">
        <f t="shared" si="321"/>
        <v>0</v>
      </c>
      <c r="BR461" s="538">
        <f t="shared" si="321"/>
        <v>0</v>
      </c>
      <c r="BS461" s="538">
        <f t="shared" si="321"/>
        <v>0</v>
      </c>
      <c r="BT461" s="538">
        <f t="shared" si="321"/>
        <v>0</v>
      </c>
      <c r="BU461" s="538">
        <f t="shared" si="321"/>
        <v>0</v>
      </c>
      <c r="BV461" s="538">
        <f t="shared" si="321"/>
        <v>0</v>
      </c>
      <c r="BW461" s="538">
        <f t="shared" si="321"/>
        <v>0</v>
      </c>
      <c r="BX461" s="538">
        <f t="shared" si="321"/>
        <v>0</v>
      </c>
      <c r="BY461" s="538">
        <f t="shared" si="321"/>
        <v>0</v>
      </c>
      <c r="BZ461" s="538">
        <f t="shared" si="321"/>
        <v>0</v>
      </c>
      <c r="CA461" s="538">
        <f t="shared" si="321"/>
        <v>0</v>
      </c>
      <c r="CB461" s="538">
        <f t="shared" si="321"/>
        <v>0</v>
      </c>
      <c r="CC461" s="538">
        <f t="shared" si="321"/>
        <v>0</v>
      </c>
      <c r="CD461" s="538">
        <f t="shared" si="321"/>
        <v>0</v>
      </c>
      <c r="CE461" s="538">
        <f t="shared" si="321"/>
        <v>0</v>
      </c>
      <c r="CG461" s="537">
        <v>0</v>
      </c>
      <c r="CH461" s="537">
        <v>0</v>
      </c>
      <c r="CI461" s="537">
        <v>0</v>
      </c>
      <c r="CJ461" s="537">
        <v>0</v>
      </c>
      <c r="CK461" s="537">
        <v>0</v>
      </c>
      <c r="CL461" s="537">
        <v>0</v>
      </c>
      <c r="CM461" s="537">
        <v>0</v>
      </c>
      <c r="CN461" s="537">
        <v>0</v>
      </c>
      <c r="CO461" s="537">
        <v>0</v>
      </c>
      <c r="CP461" s="537">
        <v>0</v>
      </c>
      <c r="CQ461" s="537">
        <v>0</v>
      </c>
      <c r="CR461" s="537">
        <v>0</v>
      </c>
      <c r="CS461" s="537">
        <v>0</v>
      </c>
      <c r="CT461" s="537">
        <v>0</v>
      </c>
      <c r="CU461" s="537">
        <v>0</v>
      </c>
      <c r="CV461" s="537">
        <v>0</v>
      </c>
      <c r="CW461" s="537">
        <v>0</v>
      </c>
      <c r="CX461" s="537">
        <v>0</v>
      </c>
      <c r="CY461" s="537">
        <v>0</v>
      </c>
      <c r="CZ461" s="537">
        <v>0</v>
      </c>
      <c r="DA461" s="537">
        <v>0</v>
      </c>
      <c r="DB461" s="537">
        <v>0</v>
      </c>
      <c r="DC461" s="537">
        <v>0</v>
      </c>
      <c r="DD461" s="537">
        <v>0</v>
      </c>
      <c r="DE461" s="537">
        <v>0</v>
      </c>
      <c r="DF461" s="537">
        <v>0</v>
      </c>
      <c r="DG461" s="537">
        <v>0</v>
      </c>
      <c r="DH461" s="537">
        <v>0</v>
      </c>
    </row>
    <row r="462" spans="2:112">
      <c r="B462" t="s">
        <v>1311</v>
      </c>
      <c r="C462" t="s">
        <v>811</v>
      </c>
      <c r="D462" t="s">
        <v>897</v>
      </c>
      <c r="E462" t="s">
        <v>895</v>
      </c>
      <c r="F462" s="537">
        <v>0.01</v>
      </c>
      <c r="G462" s="537">
        <v>0.01</v>
      </c>
      <c r="H462" s="537">
        <v>0.01</v>
      </c>
      <c r="I462" s="537">
        <v>0.01</v>
      </c>
      <c r="J462" s="537">
        <v>0.01</v>
      </c>
      <c r="K462" s="537">
        <v>0.01</v>
      </c>
      <c r="L462" s="537">
        <v>0.01</v>
      </c>
      <c r="M462" s="537">
        <v>0.01</v>
      </c>
      <c r="N462" s="537">
        <v>0.01</v>
      </c>
      <c r="O462" s="537">
        <v>0.01</v>
      </c>
      <c r="P462" s="537">
        <v>0.01</v>
      </c>
      <c r="Q462" s="537">
        <v>0.01</v>
      </c>
      <c r="R462" s="537">
        <v>0.01</v>
      </c>
      <c r="S462" s="537">
        <v>0.01</v>
      </c>
      <c r="T462" s="537">
        <v>0.01</v>
      </c>
      <c r="U462" s="537">
        <v>0.01</v>
      </c>
      <c r="V462" s="537">
        <v>0.01</v>
      </c>
      <c r="W462" s="537">
        <v>0.01</v>
      </c>
      <c r="X462" s="537">
        <v>0.01</v>
      </c>
      <c r="Y462" s="537">
        <v>0.01</v>
      </c>
      <c r="Z462" s="537">
        <v>0.01</v>
      </c>
      <c r="AA462" s="537">
        <v>0.01</v>
      </c>
      <c r="AB462" s="537">
        <v>0.01</v>
      </c>
      <c r="AC462" s="537">
        <v>0.01</v>
      </c>
      <c r="AD462" s="537">
        <v>0.01</v>
      </c>
      <c r="AE462" s="537">
        <v>0.01</v>
      </c>
      <c r="AF462" s="537">
        <v>0.01</v>
      </c>
      <c r="AG462" s="537">
        <v>0.01</v>
      </c>
      <c r="AH462" s="538">
        <f t="shared" si="322"/>
        <v>0.01</v>
      </c>
      <c r="AI462" s="538">
        <f t="shared" si="322"/>
        <v>0.01</v>
      </c>
      <c r="AJ462" s="538">
        <f t="shared" si="322"/>
        <v>0.01</v>
      </c>
      <c r="AK462" s="538">
        <f t="shared" si="322"/>
        <v>0.01</v>
      </c>
      <c r="AL462" s="538">
        <f t="shared" si="322"/>
        <v>0.01</v>
      </c>
      <c r="AM462" s="538">
        <f t="shared" si="322"/>
        <v>0.01</v>
      </c>
      <c r="AN462" s="538">
        <f t="shared" si="322"/>
        <v>0.01</v>
      </c>
      <c r="AO462" s="538">
        <f t="shared" si="322"/>
        <v>0.01</v>
      </c>
      <c r="AP462" s="538">
        <f t="shared" si="322"/>
        <v>0.01</v>
      </c>
      <c r="AQ462" s="538">
        <f t="shared" si="322"/>
        <v>0.01</v>
      </c>
      <c r="AR462" s="538">
        <f t="shared" si="322"/>
        <v>0.01</v>
      </c>
      <c r="AS462" s="538">
        <f t="shared" si="322"/>
        <v>0.01</v>
      </c>
      <c r="AT462" s="538">
        <f t="shared" si="322"/>
        <v>0.01</v>
      </c>
      <c r="AU462" s="538">
        <f t="shared" si="322"/>
        <v>0.01</v>
      </c>
      <c r="AV462" s="538">
        <f t="shared" si="322"/>
        <v>0.01</v>
      </c>
      <c r="AW462" s="538">
        <f t="shared" si="322"/>
        <v>0.01</v>
      </c>
      <c r="AX462" s="538">
        <f t="shared" si="321"/>
        <v>0.01</v>
      </c>
      <c r="AY462" s="538">
        <f t="shared" si="321"/>
        <v>0.01</v>
      </c>
      <c r="AZ462" s="538">
        <f t="shared" si="321"/>
        <v>0.01</v>
      </c>
      <c r="BA462" s="538">
        <f t="shared" si="321"/>
        <v>0.01</v>
      </c>
      <c r="BB462" s="538">
        <f t="shared" si="321"/>
        <v>0.01</v>
      </c>
      <c r="BC462" s="538">
        <f t="shared" si="321"/>
        <v>0.01</v>
      </c>
      <c r="BD462" s="538">
        <f t="shared" si="321"/>
        <v>0.01</v>
      </c>
      <c r="BE462" s="538">
        <f t="shared" si="321"/>
        <v>0.01</v>
      </c>
      <c r="BF462" s="538">
        <f t="shared" si="321"/>
        <v>0.01</v>
      </c>
      <c r="BG462" s="538">
        <f t="shared" si="321"/>
        <v>0.01</v>
      </c>
      <c r="BH462" s="538">
        <f t="shared" si="321"/>
        <v>0.01</v>
      </c>
      <c r="BI462" s="538">
        <f t="shared" si="321"/>
        <v>0.01</v>
      </c>
      <c r="BJ462" s="538">
        <f t="shared" si="321"/>
        <v>0.01</v>
      </c>
      <c r="BK462" s="538">
        <f t="shared" si="321"/>
        <v>0.01</v>
      </c>
      <c r="BL462" s="538">
        <f t="shared" si="321"/>
        <v>0.01</v>
      </c>
      <c r="BM462" s="538">
        <f t="shared" si="321"/>
        <v>0.01</v>
      </c>
      <c r="BN462" s="538">
        <f t="shared" ref="BN462:CC464" si="323">BM462</f>
        <v>0.01</v>
      </c>
      <c r="BO462" s="538">
        <f t="shared" si="323"/>
        <v>0.01</v>
      </c>
      <c r="BP462" s="538">
        <f t="shared" si="323"/>
        <v>0.01</v>
      </c>
      <c r="BQ462" s="538">
        <f t="shared" si="323"/>
        <v>0.01</v>
      </c>
      <c r="BR462" s="538">
        <f t="shared" si="323"/>
        <v>0.01</v>
      </c>
      <c r="BS462" s="538">
        <f t="shared" si="323"/>
        <v>0.01</v>
      </c>
      <c r="BT462" s="538">
        <f t="shared" si="323"/>
        <v>0.01</v>
      </c>
      <c r="BU462" s="538">
        <f t="shared" si="323"/>
        <v>0.01</v>
      </c>
      <c r="BV462" s="538">
        <f t="shared" si="323"/>
        <v>0.01</v>
      </c>
      <c r="BW462" s="538">
        <f t="shared" si="323"/>
        <v>0.01</v>
      </c>
      <c r="BX462" s="538">
        <f t="shared" si="323"/>
        <v>0.01</v>
      </c>
      <c r="BY462" s="538">
        <f t="shared" si="323"/>
        <v>0.01</v>
      </c>
      <c r="BZ462" s="538">
        <f t="shared" si="323"/>
        <v>0.01</v>
      </c>
      <c r="CA462" s="538">
        <f t="shared" si="323"/>
        <v>0.01</v>
      </c>
      <c r="CB462" s="538">
        <f t="shared" si="323"/>
        <v>0.01</v>
      </c>
      <c r="CC462" s="538">
        <f t="shared" si="323"/>
        <v>0.01</v>
      </c>
      <c r="CD462" s="538">
        <f t="shared" ref="CD462:CE464" si="324">CC462</f>
        <v>0.01</v>
      </c>
      <c r="CE462" s="538">
        <f t="shared" si="324"/>
        <v>0.01</v>
      </c>
      <c r="CG462" s="537">
        <v>0.01</v>
      </c>
      <c r="CH462" s="537">
        <v>0.01</v>
      </c>
      <c r="CI462" s="537">
        <v>0.01</v>
      </c>
      <c r="CJ462" s="537">
        <v>0.01</v>
      </c>
      <c r="CK462" s="537">
        <v>0.01</v>
      </c>
      <c r="CL462" s="537">
        <v>0.01</v>
      </c>
      <c r="CM462" s="537">
        <v>0.01</v>
      </c>
      <c r="CN462" s="537">
        <v>0.01</v>
      </c>
      <c r="CO462" s="537">
        <v>0.01</v>
      </c>
      <c r="CP462" s="537">
        <v>0.01</v>
      </c>
      <c r="CQ462" s="537">
        <v>0.01</v>
      </c>
      <c r="CR462" s="537">
        <v>0.01</v>
      </c>
      <c r="CS462" s="537">
        <v>0.01</v>
      </c>
      <c r="CT462" s="537">
        <v>0.01</v>
      </c>
      <c r="CU462" s="537">
        <v>0.01</v>
      </c>
      <c r="CV462" s="537">
        <v>0.01</v>
      </c>
      <c r="CW462" s="537">
        <v>0.01</v>
      </c>
      <c r="CX462" s="537">
        <v>0.01</v>
      </c>
      <c r="CY462" s="537">
        <v>0.01</v>
      </c>
      <c r="CZ462" s="537">
        <v>0.01</v>
      </c>
      <c r="DA462" s="537">
        <v>0.01</v>
      </c>
      <c r="DB462" s="537">
        <v>0.01</v>
      </c>
      <c r="DC462" s="537">
        <v>0.01</v>
      </c>
      <c r="DD462" s="537">
        <v>0.01</v>
      </c>
      <c r="DE462" s="537">
        <v>0.01</v>
      </c>
      <c r="DF462" s="537">
        <v>0.01</v>
      </c>
      <c r="DG462" s="537">
        <v>0.01</v>
      </c>
      <c r="DH462" s="537">
        <v>0.01</v>
      </c>
    </row>
    <row r="463" spans="2:112">
      <c r="B463" t="s">
        <v>1312</v>
      </c>
      <c r="C463" t="s">
        <v>811</v>
      </c>
      <c r="D463" t="s">
        <v>899</v>
      </c>
      <c r="E463" t="s">
        <v>895</v>
      </c>
      <c r="F463" s="537">
        <v>0.05</v>
      </c>
      <c r="G463" s="537">
        <v>0.05</v>
      </c>
      <c r="H463" s="537">
        <v>0.05</v>
      </c>
      <c r="I463" s="537">
        <v>0.05</v>
      </c>
      <c r="J463" s="537">
        <v>0.05</v>
      </c>
      <c r="K463" s="537">
        <v>0.05</v>
      </c>
      <c r="L463" s="537">
        <v>0.05</v>
      </c>
      <c r="M463" s="537">
        <v>0.05</v>
      </c>
      <c r="N463" s="537">
        <v>0.05</v>
      </c>
      <c r="O463" s="537">
        <v>0.05</v>
      </c>
      <c r="P463" s="537">
        <v>0.05</v>
      </c>
      <c r="Q463" s="537">
        <v>0.05</v>
      </c>
      <c r="R463" s="537">
        <v>0.05</v>
      </c>
      <c r="S463" s="537">
        <v>0.05</v>
      </c>
      <c r="T463" s="537">
        <v>0.05</v>
      </c>
      <c r="U463" s="537">
        <v>0.05</v>
      </c>
      <c r="V463" s="537">
        <v>0.05</v>
      </c>
      <c r="W463" s="537">
        <v>0.05</v>
      </c>
      <c r="X463" s="537">
        <v>0.05</v>
      </c>
      <c r="Y463" s="537">
        <v>0.05</v>
      </c>
      <c r="Z463" s="537">
        <v>0.05</v>
      </c>
      <c r="AA463" s="537">
        <v>0.05</v>
      </c>
      <c r="AB463" s="537">
        <v>0.05</v>
      </c>
      <c r="AC463" s="537">
        <v>0.05</v>
      </c>
      <c r="AD463" s="537">
        <v>0.05</v>
      </c>
      <c r="AE463" s="537">
        <v>0.05</v>
      </c>
      <c r="AF463" s="537">
        <v>0.05</v>
      </c>
      <c r="AG463" s="537">
        <v>0.05</v>
      </c>
      <c r="AH463" s="538">
        <f t="shared" si="322"/>
        <v>0.05</v>
      </c>
      <c r="AI463" s="538">
        <f t="shared" si="322"/>
        <v>0.05</v>
      </c>
      <c r="AJ463" s="538">
        <f t="shared" si="322"/>
        <v>0.05</v>
      </c>
      <c r="AK463" s="538">
        <f t="shared" si="322"/>
        <v>0.05</v>
      </c>
      <c r="AL463" s="538">
        <f t="shared" si="322"/>
        <v>0.05</v>
      </c>
      <c r="AM463" s="538">
        <f t="shared" si="322"/>
        <v>0.05</v>
      </c>
      <c r="AN463" s="538">
        <f t="shared" si="322"/>
        <v>0.05</v>
      </c>
      <c r="AO463" s="538">
        <f t="shared" si="322"/>
        <v>0.05</v>
      </c>
      <c r="AP463" s="538">
        <f t="shared" si="322"/>
        <v>0.05</v>
      </c>
      <c r="AQ463" s="538">
        <f t="shared" si="322"/>
        <v>0.05</v>
      </c>
      <c r="AR463" s="538">
        <f t="shared" si="322"/>
        <v>0.05</v>
      </c>
      <c r="AS463" s="538">
        <f t="shared" si="322"/>
        <v>0.05</v>
      </c>
      <c r="AT463" s="538">
        <f t="shared" si="322"/>
        <v>0.05</v>
      </c>
      <c r="AU463" s="538">
        <f t="shared" si="322"/>
        <v>0.05</v>
      </c>
      <c r="AV463" s="538">
        <f t="shared" si="322"/>
        <v>0.05</v>
      </c>
      <c r="AW463" s="538">
        <f t="shared" si="322"/>
        <v>0.05</v>
      </c>
      <c r="AX463" s="538">
        <f t="shared" ref="AX463:BM464" si="325">AW463</f>
        <v>0.05</v>
      </c>
      <c r="AY463" s="538">
        <f t="shared" si="325"/>
        <v>0.05</v>
      </c>
      <c r="AZ463" s="538">
        <f t="shared" si="325"/>
        <v>0.05</v>
      </c>
      <c r="BA463" s="538">
        <f t="shared" si="325"/>
        <v>0.05</v>
      </c>
      <c r="BB463" s="538">
        <f t="shared" si="325"/>
        <v>0.05</v>
      </c>
      <c r="BC463" s="538">
        <f t="shared" si="325"/>
        <v>0.05</v>
      </c>
      <c r="BD463" s="538">
        <f t="shared" si="325"/>
        <v>0.05</v>
      </c>
      <c r="BE463" s="538">
        <f t="shared" si="325"/>
        <v>0.05</v>
      </c>
      <c r="BF463" s="538">
        <f t="shared" si="325"/>
        <v>0.05</v>
      </c>
      <c r="BG463" s="538">
        <f t="shared" si="325"/>
        <v>0.05</v>
      </c>
      <c r="BH463" s="538">
        <f t="shared" si="325"/>
        <v>0.05</v>
      </c>
      <c r="BI463" s="538">
        <f t="shared" si="325"/>
        <v>0.05</v>
      </c>
      <c r="BJ463" s="538">
        <f t="shared" si="325"/>
        <v>0.05</v>
      </c>
      <c r="BK463" s="538">
        <f t="shared" si="325"/>
        <v>0.05</v>
      </c>
      <c r="BL463" s="538">
        <f t="shared" si="325"/>
        <v>0.05</v>
      </c>
      <c r="BM463" s="538">
        <f t="shared" si="325"/>
        <v>0.05</v>
      </c>
      <c r="BN463" s="538">
        <f t="shared" si="323"/>
        <v>0.05</v>
      </c>
      <c r="BO463" s="538">
        <f t="shared" si="323"/>
        <v>0.05</v>
      </c>
      <c r="BP463" s="538">
        <f t="shared" si="323"/>
        <v>0.05</v>
      </c>
      <c r="BQ463" s="538">
        <f t="shared" si="323"/>
        <v>0.05</v>
      </c>
      <c r="BR463" s="538">
        <f t="shared" si="323"/>
        <v>0.05</v>
      </c>
      <c r="BS463" s="538">
        <f t="shared" si="323"/>
        <v>0.05</v>
      </c>
      <c r="BT463" s="538">
        <f t="shared" si="323"/>
        <v>0.05</v>
      </c>
      <c r="BU463" s="538">
        <f t="shared" si="323"/>
        <v>0.05</v>
      </c>
      <c r="BV463" s="538">
        <f t="shared" si="323"/>
        <v>0.05</v>
      </c>
      <c r="BW463" s="538">
        <f t="shared" si="323"/>
        <v>0.05</v>
      </c>
      <c r="BX463" s="538">
        <f t="shared" si="323"/>
        <v>0.05</v>
      </c>
      <c r="BY463" s="538">
        <f t="shared" si="323"/>
        <v>0.05</v>
      </c>
      <c r="BZ463" s="538">
        <f t="shared" si="323"/>
        <v>0.05</v>
      </c>
      <c r="CA463" s="538">
        <f t="shared" si="323"/>
        <v>0.05</v>
      </c>
      <c r="CB463" s="538">
        <f t="shared" si="323"/>
        <v>0.05</v>
      </c>
      <c r="CC463" s="538">
        <f t="shared" si="323"/>
        <v>0.05</v>
      </c>
      <c r="CD463" s="538">
        <f t="shared" si="324"/>
        <v>0.05</v>
      </c>
      <c r="CE463" s="538">
        <f t="shared" si="324"/>
        <v>0.05</v>
      </c>
      <c r="CG463" s="537">
        <v>0.05</v>
      </c>
      <c r="CH463" s="537">
        <v>0.05</v>
      </c>
      <c r="CI463" s="537">
        <v>0.05</v>
      </c>
      <c r="CJ463" s="537">
        <v>0.05</v>
      </c>
      <c r="CK463" s="537">
        <v>0.05</v>
      </c>
      <c r="CL463" s="537">
        <v>0.05</v>
      </c>
      <c r="CM463" s="537">
        <v>0.05</v>
      </c>
      <c r="CN463" s="537">
        <v>0.05</v>
      </c>
      <c r="CO463" s="537">
        <v>0.05</v>
      </c>
      <c r="CP463" s="537">
        <v>0.05</v>
      </c>
      <c r="CQ463" s="537">
        <v>0.05</v>
      </c>
      <c r="CR463" s="537">
        <v>0.05</v>
      </c>
      <c r="CS463" s="537">
        <v>0.05</v>
      </c>
      <c r="CT463" s="537">
        <v>0.05</v>
      </c>
      <c r="CU463" s="537">
        <v>0.05</v>
      </c>
      <c r="CV463" s="537">
        <v>0.05</v>
      </c>
      <c r="CW463" s="537">
        <v>0.05</v>
      </c>
      <c r="CX463" s="537">
        <v>0.05</v>
      </c>
      <c r="CY463" s="537">
        <v>0.05</v>
      </c>
      <c r="CZ463" s="537">
        <v>0.05</v>
      </c>
      <c r="DA463" s="537">
        <v>0.05</v>
      </c>
      <c r="DB463" s="537">
        <v>0.05</v>
      </c>
      <c r="DC463" s="537">
        <v>0.05</v>
      </c>
      <c r="DD463" s="537">
        <v>0.05</v>
      </c>
      <c r="DE463" s="537">
        <v>0.05</v>
      </c>
      <c r="DF463" s="537">
        <v>0.05</v>
      </c>
      <c r="DG463" s="537">
        <v>0.05</v>
      </c>
      <c r="DH463" s="537">
        <v>0.05</v>
      </c>
    </row>
    <row r="464" spans="2:112">
      <c r="B464" t="s">
        <v>1313</v>
      </c>
      <c r="C464" t="s">
        <v>811</v>
      </c>
      <c r="D464" t="s">
        <v>901</v>
      </c>
      <c r="E464" t="s">
        <v>895</v>
      </c>
      <c r="F464" s="537">
        <v>0.05</v>
      </c>
      <c r="G464" s="537">
        <v>0.05</v>
      </c>
      <c r="H464" s="537">
        <v>0.05</v>
      </c>
      <c r="I464" s="537">
        <v>0.05</v>
      </c>
      <c r="J464" s="537">
        <v>0.05</v>
      </c>
      <c r="K464" s="537">
        <v>0.05</v>
      </c>
      <c r="L464" s="537">
        <v>0.05</v>
      </c>
      <c r="M464" s="537">
        <v>0.05</v>
      </c>
      <c r="N464" s="537">
        <v>0.05</v>
      </c>
      <c r="O464" s="537">
        <v>0.05</v>
      </c>
      <c r="P464" s="537">
        <v>0.05</v>
      </c>
      <c r="Q464" s="537">
        <v>0.05</v>
      </c>
      <c r="R464" s="537">
        <v>0.05</v>
      </c>
      <c r="S464" s="537">
        <v>0.05</v>
      </c>
      <c r="T464" s="537">
        <v>0.05</v>
      </c>
      <c r="U464" s="537">
        <v>0.05</v>
      </c>
      <c r="V464" s="537">
        <v>0.05</v>
      </c>
      <c r="W464" s="537">
        <v>0.05</v>
      </c>
      <c r="X464" s="537">
        <v>0.05</v>
      </c>
      <c r="Y464" s="537">
        <v>0.05</v>
      </c>
      <c r="Z464" s="537">
        <v>0.05</v>
      </c>
      <c r="AA464" s="537">
        <v>0.05</v>
      </c>
      <c r="AB464" s="537">
        <v>0.05</v>
      </c>
      <c r="AC464" s="537">
        <v>0.05</v>
      </c>
      <c r="AD464" s="537">
        <v>0.05</v>
      </c>
      <c r="AE464" s="537">
        <v>0.05</v>
      </c>
      <c r="AF464" s="537">
        <v>0.05</v>
      </c>
      <c r="AG464" s="537">
        <v>0.05</v>
      </c>
      <c r="AH464" s="538">
        <f t="shared" si="322"/>
        <v>0.05</v>
      </c>
      <c r="AI464" s="538">
        <f t="shared" si="322"/>
        <v>0.05</v>
      </c>
      <c r="AJ464" s="538">
        <f t="shared" si="322"/>
        <v>0.05</v>
      </c>
      <c r="AK464" s="538">
        <f t="shared" si="322"/>
        <v>0.05</v>
      </c>
      <c r="AL464" s="538">
        <f t="shared" si="322"/>
        <v>0.05</v>
      </c>
      <c r="AM464" s="538">
        <f t="shared" si="322"/>
        <v>0.05</v>
      </c>
      <c r="AN464" s="538">
        <f t="shared" si="322"/>
        <v>0.05</v>
      </c>
      <c r="AO464" s="538">
        <f t="shared" si="322"/>
        <v>0.05</v>
      </c>
      <c r="AP464" s="538">
        <f t="shared" si="322"/>
        <v>0.05</v>
      </c>
      <c r="AQ464" s="538">
        <f t="shared" si="322"/>
        <v>0.05</v>
      </c>
      <c r="AR464" s="538">
        <f t="shared" si="322"/>
        <v>0.05</v>
      </c>
      <c r="AS464" s="538">
        <f t="shared" si="322"/>
        <v>0.05</v>
      </c>
      <c r="AT464" s="538">
        <f t="shared" si="322"/>
        <v>0.05</v>
      </c>
      <c r="AU464" s="538">
        <f t="shared" si="322"/>
        <v>0.05</v>
      </c>
      <c r="AV464" s="538">
        <f t="shared" si="322"/>
        <v>0.05</v>
      </c>
      <c r="AW464" s="538">
        <f t="shared" si="322"/>
        <v>0.05</v>
      </c>
      <c r="AX464" s="538">
        <f t="shared" si="325"/>
        <v>0.05</v>
      </c>
      <c r="AY464" s="538">
        <f t="shared" si="325"/>
        <v>0.05</v>
      </c>
      <c r="AZ464" s="538">
        <f t="shared" si="325"/>
        <v>0.05</v>
      </c>
      <c r="BA464" s="538">
        <f t="shared" si="325"/>
        <v>0.05</v>
      </c>
      <c r="BB464" s="538">
        <f t="shared" si="325"/>
        <v>0.05</v>
      </c>
      <c r="BC464" s="538">
        <f t="shared" si="325"/>
        <v>0.05</v>
      </c>
      <c r="BD464" s="538">
        <f t="shared" si="325"/>
        <v>0.05</v>
      </c>
      <c r="BE464" s="538">
        <f t="shared" si="325"/>
        <v>0.05</v>
      </c>
      <c r="BF464" s="538">
        <f t="shared" si="325"/>
        <v>0.05</v>
      </c>
      <c r="BG464" s="538">
        <f t="shared" si="325"/>
        <v>0.05</v>
      </c>
      <c r="BH464" s="538">
        <f t="shared" si="325"/>
        <v>0.05</v>
      </c>
      <c r="BI464" s="538">
        <f t="shared" si="325"/>
        <v>0.05</v>
      </c>
      <c r="BJ464" s="538">
        <f t="shared" si="325"/>
        <v>0.05</v>
      </c>
      <c r="BK464" s="538">
        <f t="shared" si="325"/>
        <v>0.05</v>
      </c>
      <c r="BL464" s="538">
        <f t="shared" si="325"/>
        <v>0.05</v>
      </c>
      <c r="BM464" s="538">
        <f t="shared" si="325"/>
        <v>0.05</v>
      </c>
      <c r="BN464" s="538">
        <f t="shared" si="323"/>
        <v>0.05</v>
      </c>
      <c r="BO464" s="538">
        <f t="shared" si="323"/>
        <v>0.05</v>
      </c>
      <c r="BP464" s="538">
        <f t="shared" si="323"/>
        <v>0.05</v>
      </c>
      <c r="BQ464" s="538">
        <f t="shared" si="323"/>
        <v>0.05</v>
      </c>
      <c r="BR464" s="538">
        <f t="shared" si="323"/>
        <v>0.05</v>
      </c>
      <c r="BS464" s="538">
        <f t="shared" si="323"/>
        <v>0.05</v>
      </c>
      <c r="BT464" s="538">
        <f t="shared" si="323"/>
        <v>0.05</v>
      </c>
      <c r="BU464" s="538">
        <f t="shared" si="323"/>
        <v>0.05</v>
      </c>
      <c r="BV464" s="538">
        <f t="shared" si="323"/>
        <v>0.05</v>
      </c>
      <c r="BW464" s="538">
        <f t="shared" si="323"/>
        <v>0.05</v>
      </c>
      <c r="BX464" s="538">
        <f t="shared" si="323"/>
        <v>0.05</v>
      </c>
      <c r="BY464" s="538">
        <f t="shared" si="323"/>
        <v>0.05</v>
      </c>
      <c r="BZ464" s="538">
        <f t="shared" si="323"/>
        <v>0.05</v>
      </c>
      <c r="CA464" s="538">
        <f t="shared" si="323"/>
        <v>0.05</v>
      </c>
      <c r="CB464" s="538">
        <f t="shared" si="323"/>
        <v>0.05</v>
      </c>
      <c r="CC464" s="538">
        <f t="shared" si="323"/>
        <v>0.05</v>
      </c>
      <c r="CD464" s="538">
        <f t="shared" si="324"/>
        <v>0.05</v>
      </c>
      <c r="CE464" s="538">
        <f t="shared" si="324"/>
        <v>0.05</v>
      </c>
      <c r="CG464" s="537">
        <v>0.05</v>
      </c>
      <c r="CH464" s="537">
        <v>0.05</v>
      </c>
      <c r="CI464" s="537">
        <v>0.05</v>
      </c>
      <c r="CJ464" s="537">
        <v>0.05</v>
      </c>
      <c r="CK464" s="537">
        <v>0.05</v>
      </c>
      <c r="CL464" s="537">
        <v>0.05</v>
      </c>
      <c r="CM464" s="537">
        <v>0.05</v>
      </c>
      <c r="CN464" s="537">
        <v>0.05</v>
      </c>
      <c r="CO464" s="537">
        <v>0.05</v>
      </c>
      <c r="CP464" s="537">
        <v>0.05</v>
      </c>
      <c r="CQ464" s="537">
        <v>0.05</v>
      </c>
      <c r="CR464" s="537">
        <v>0.05</v>
      </c>
      <c r="CS464" s="537">
        <v>0.05</v>
      </c>
      <c r="CT464" s="537">
        <v>0.05</v>
      </c>
      <c r="CU464" s="537">
        <v>0.05</v>
      </c>
      <c r="CV464" s="537">
        <v>0.05</v>
      </c>
      <c r="CW464" s="537">
        <v>0.05</v>
      </c>
      <c r="CX464" s="537">
        <v>0.05</v>
      </c>
      <c r="CY464" s="537">
        <v>0.05</v>
      </c>
      <c r="CZ464" s="537">
        <v>0.05</v>
      </c>
      <c r="DA464" s="537">
        <v>0.05</v>
      </c>
      <c r="DB464" s="537">
        <v>0.05</v>
      </c>
      <c r="DC464" s="537">
        <v>0.05</v>
      </c>
      <c r="DD464" s="537">
        <v>0.05</v>
      </c>
      <c r="DE464" s="537">
        <v>0.05</v>
      </c>
      <c r="DF464" s="537">
        <v>0.05</v>
      </c>
      <c r="DG464" s="537">
        <v>0.05</v>
      </c>
      <c r="DH464" s="537">
        <v>0.05</v>
      </c>
    </row>
    <row r="466" spans="2:112">
      <c r="B466" t="s">
        <v>1314</v>
      </c>
      <c r="C466" t="s">
        <v>811</v>
      </c>
      <c r="D466" t="s">
        <v>903</v>
      </c>
      <c r="E466" t="s">
        <v>557</v>
      </c>
      <c r="F466" s="536">
        <v>16425</v>
      </c>
      <c r="G466" s="536">
        <v>16425</v>
      </c>
      <c r="H466" s="536">
        <v>16425</v>
      </c>
      <c r="I466" s="536">
        <v>16425</v>
      </c>
      <c r="J466" s="536">
        <v>16425</v>
      </c>
      <c r="K466" s="536">
        <v>16425</v>
      </c>
      <c r="L466" s="536">
        <v>16425</v>
      </c>
      <c r="M466" s="536">
        <v>16425</v>
      </c>
      <c r="N466" s="536">
        <v>16425</v>
      </c>
      <c r="O466" s="536">
        <v>16425</v>
      </c>
      <c r="P466" s="536">
        <v>16425</v>
      </c>
      <c r="Q466" s="536">
        <v>16425</v>
      </c>
      <c r="R466" s="536">
        <v>16425</v>
      </c>
      <c r="S466" s="536">
        <v>16425</v>
      </c>
      <c r="T466" s="536">
        <v>16425</v>
      </c>
      <c r="U466" s="536">
        <v>16425</v>
      </c>
      <c r="V466" s="536">
        <v>16425</v>
      </c>
      <c r="W466" s="536">
        <v>16425</v>
      </c>
      <c r="X466" s="536">
        <v>16425</v>
      </c>
      <c r="Y466" s="536">
        <v>16425</v>
      </c>
      <c r="Z466" s="536">
        <v>16425</v>
      </c>
      <c r="AA466" s="536">
        <v>16425</v>
      </c>
      <c r="AB466" s="536">
        <v>16425</v>
      </c>
      <c r="AC466" s="536">
        <v>16425</v>
      </c>
      <c r="AD466" s="536">
        <v>16425</v>
      </c>
      <c r="AE466" s="536">
        <v>16425</v>
      </c>
      <c r="AF466" s="536">
        <v>16425</v>
      </c>
      <c r="AG466" s="536">
        <v>16425</v>
      </c>
      <c r="AH466" s="540">
        <f>AG466</f>
        <v>16425</v>
      </c>
      <c r="AI466" s="540">
        <f t="shared" ref="AI466:CE467" si="326">AH466</f>
        <v>16425</v>
      </c>
      <c r="AJ466" s="540">
        <f t="shared" si="326"/>
        <v>16425</v>
      </c>
      <c r="AK466" s="540">
        <f t="shared" si="326"/>
        <v>16425</v>
      </c>
      <c r="AL466" s="540">
        <f t="shared" si="326"/>
        <v>16425</v>
      </c>
      <c r="AM466" s="540">
        <f t="shared" si="326"/>
        <v>16425</v>
      </c>
      <c r="AN466" s="540">
        <f t="shared" si="326"/>
        <v>16425</v>
      </c>
      <c r="AO466" s="540">
        <f t="shared" si="326"/>
        <v>16425</v>
      </c>
      <c r="AP466" s="540">
        <f t="shared" si="326"/>
        <v>16425</v>
      </c>
      <c r="AQ466" s="540">
        <f t="shared" si="326"/>
        <v>16425</v>
      </c>
      <c r="AR466" s="540">
        <f t="shared" si="326"/>
        <v>16425</v>
      </c>
      <c r="AS466" s="540">
        <f t="shared" si="326"/>
        <v>16425</v>
      </c>
      <c r="AT466" s="540">
        <f t="shared" si="326"/>
        <v>16425</v>
      </c>
      <c r="AU466" s="540">
        <f t="shared" si="326"/>
        <v>16425</v>
      </c>
      <c r="AV466" s="540">
        <f t="shared" si="326"/>
        <v>16425</v>
      </c>
      <c r="AW466" s="540">
        <f t="shared" si="326"/>
        <v>16425</v>
      </c>
      <c r="AX466" s="540">
        <f t="shared" si="326"/>
        <v>16425</v>
      </c>
      <c r="AY466" s="540">
        <f t="shared" si="326"/>
        <v>16425</v>
      </c>
      <c r="AZ466" s="540">
        <f t="shared" si="326"/>
        <v>16425</v>
      </c>
      <c r="BA466" s="540">
        <f t="shared" si="326"/>
        <v>16425</v>
      </c>
      <c r="BB466" s="540">
        <f t="shared" si="326"/>
        <v>16425</v>
      </c>
      <c r="BC466" s="540">
        <f t="shared" si="326"/>
        <v>16425</v>
      </c>
      <c r="BD466" s="540">
        <f t="shared" si="326"/>
        <v>16425</v>
      </c>
      <c r="BE466" s="540">
        <f t="shared" si="326"/>
        <v>16425</v>
      </c>
      <c r="BF466" s="540">
        <f t="shared" si="326"/>
        <v>16425</v>
      </c>
      <c r="BG466" s="540">
        <f t="shared" si="326"/>
        <v>16425</v>
      </c>
      <c r="BH466" s="540">
        <f t="shared" si="326"/>
        <v>16425</v>
      </c>
      <c r="BI466" s="540">
        <f t="shared" si="326"/>
        <v>16425</v>
      </c>
      <c r="BJ466" s="540">
        <f t="shared" si="326"/>
        <v>16425</v>
      </c>
      <c r="BK466" s="540">
        <f t="shared" si="326"/>
        <v>16425</v>
      </c>
      <c r="BL466" s="540">
        <f t="shared" si="326"/>
        <v>16425</v>
      </c>
      <c r="BM466" s="540">
        <f t="shared" si="326"/>
        <v>16425</v>
      </c>
      <c r="BN466" s="540">
        <f t="shared" si="326"/>
        <v>16425</v>
      </c>
      <c r="BO466" s="540">
        <f t="shared" si="326"/>
        <v>16425</v>
      </c>
      <c r="BP466" s="540">
        <f t="shared" si="326"/>
        <v>16425</v>
      </c>
      <c r="BQ466" s="540">
        <f t="shared" si="326"/>
        <v>16425</v>
      </c>
      <c r="BR466" s="540">
        <f t="shared" si="326"/>
        <v>16425</v>
      </c>
      <c r="BS466" s="540">
        <f t="shared" si="326"/>
        <v>16425</v>
      </c>
      <c r="BT466" s="540">
        <f t="shared" si="326"/>
        <v>16425</v>
      </c>
      <c r="BU466" s="540">
        <f t="shared" si="326"/>
        <v>16425</v>
      </c>
      <c r="BV466" s="540">
        <f t="shared" si="326"/>
        <v>16425</v>
      </c>
      <c r="BW466" s="540">
        <f t="shared" si="326"/>
        <v>16425</v>
      </c>
      <c r="BX466" s="540">
        <f t="shared" si="326"/>
        <v>16425</v>
      </c>
      <c r="BY466" s="540">
        <f t="shared" si="326"/>
        <v>16425</v>
      </c>
      <c r="BZ466" s="540">
        <f t="shared" si="326"/>
        <v>16425</v>
      </c>
      <c r="CA466" s="540">
        <f t="shared" si="326"/>
        <v>16425</v>
      </c>
      <c r="CB466" s="540">
        <f t="shared" si="326"/>
        <v>16425</v>
      </c>
      <c r="CC466" s="540">
        <f t="shared" si="326"/>
        <v>16425</v>
      </c>
      <c r="CD466" s="540">
        <f t="shared" si="326"/>
        <v>16425</v>
      </c>
      <c r="CE466" s="540">
        <f t="shared" si="326"/>
        <v>16425</v>
      </c>
      <c r="CG466" s="536">
        <v>16425</v>
      </c>
      <c r="CH466" s="536">
        <v>16425</v>
      </c>
      <c r="CI466" s="536">
        <v>16425</v>
      </c>
      <c r="CJ466" s="536">
        <v>16425</v>
      </c>
      <c r="CK466" s="536">
        <v>16425</v>
      </c>
      <c r="CL466" s="536">
        <v>16425</v>
      </c>
      <c r="CM466" s="536">
        <v>16425</v>
      </c>
      <c r="CN466" s="536">
        <v>16425</v>
      </c>
      <c r="CO466" s="536">
        <v>16425</v>
      </c>
      <c r="CP466" s="536">
        <v>16425</v>
      </c>
      <c r="CQ466" s="536">
        <v>16425</v>
      </c>
      <c r="CR466" s="536">
        <v>16425</v>
      </c>
      <c r="CS466" s="536">
        <v>16425</v>
      </c>
      <c r="CT466" s="536">
        <v>16425</v>
      </c>
      <c r="CU466" s="536">
        <v>16425</v>
      </c>
      <c r="CV466" s="536">
        <v>16425</v>
      </c>
      <c r="CW466" s="536">
        <v>16425</v>
      </c>
      <c r="CX466" s="536">
        <v>16425</v>
      </c>
      <c r="CY466" s="536">
        <v>16425</v>
      </c>
      <c r="CZ466" s="536">
        <v>16425</v>
      </c>
      <c r="DA466" s="536">
        <v>16425</v>
      </c>
      <c r="DB466" s="536">
        <v>16425</v>
      </c>
      <c r="DC466" s="536">
        <v>16425</v>
      </c>
      <c r="DD466" s="536">
        <v>16425</v>
      </c>
      <c r="DE466" s="536">
        <v>16425</v>
      </c>
      <c r="DF466" s="536">
        <v>16425</v>
      </c>
      <c r="DG466" s="536">
        <v>16425</v>
      </c>
      <c r="DH466" s="536">
        <v>16425</v>
      </c>
    </row>
    <row r="467" spans="2:112">
      <c r="B467" t="s">
        <v>1315</v>
      </c>
      <c r="C467" t="s">
        <v>811</v>
      </c>
      <c r="D467" t="s">
        <v>905</v>
      </c>
      <c r="E467" t="s">
        <v>557</v>
      </c>
      <c r="F467" s="536">
        <v>0</v>
      </c>
      <c r="G467" s="536">
        <v>0</v>
      </c>
      <c r="H467" s="536">
        <v>0</v>
      </c>
      <c r="I467" s="536">
        <v>0</v>
      </c>
      <c r="J467" s="536">
        <v>0</v>
      </c>
      <c r="K467" s="536">
        <v>0</v>
      </c>
      <c r="L467" s="536">
        <v>0</v>
      </c>
      <c r="M467" s="536">
        <v>0</v>
      </c>
      <c r="N467" s="536">
        <v>0</v>
      </c>
      <c r="O467" s="536">
        <v>0</v>
      </c>
      <c r="P467" s="536">
        <v>0</v>
      </c>
      <c r="Q467" s="536">
        <v>0</v>
      </c>
      <c r="R467" s="536">
        <v>0</v>
      </c>
      <c r="S467" s="536">
        <v>0</v>
      </c>
      <c r="T467" s="536">
        <v>0</v>
      </c>
      <c r="U467" s="536">
        <v>0</v>
      </c>
      <c r="V467" s="536">
        <v>0</v>
      </c>
      <c r="W467" s="536">
        <v>0</v>
      </c>
      <c r="X467" s="536">
        <v>0</v>
      </c>
      <c r="Y467" s="536">
        <v>0</v>
      </c>
      <c r="Z467" s="536">
        <v>0</v>
      </c>
      <c r="AA467" s="536">
        <v>0</v>
      </c>
      <c r="AB467" s="536">
        <v>0</v>
      </c>
      <c r="AC467" s="536">
        <v>0</v>
      </c>
      <c r="AD467" s="536">
        <v>0</v>
      </c>
      <c r="AE467" s="536">
        <v>0</v>
      </c>
      <c r="AF467" s="536">
        <v>0</v>
      </c>
      <c r="AG467" s="536">
        <v>0</v>
      </c>
      <c r="AH467" s="540">
        <f>AG467</f>
        <v>0</v>
      </c>
      <c r="AI467" s="540">
        <f t="shared" si="326"/>
        <v>0</v>
      </c>
      <c r="AJ467" s="540">
        <f t="shared" si="326"/>
        <v>0</v>
      </c>
      <c r="AK467" s="540">
        <f t="shared" si="326"/>
        <v>0</v>
      </c>
      <c r="AL467" s="540">
        <f t="shared" si="326"/>
        <v>0</v>
      </c>
      <c r="AM467" s="540">
        <f t="shared" si="326"/>
        <v>0</v>
      </c>
      <c r="AN467" s="540">
        <f t="shared" si="326"/>
        <v>0</v>
      </c>
      <c r="AO467" s="540">
        <f t="shared" si="326"/>
        <v>0</v>
      </c>
      <c r="AP467" s="540">
        <f t="shared" si="326"/>
        <v>0</v>
      </c>
      <c r="AQ467" s="540">
        <f t="shared" si="326"/>
        <v>0</v>
      </c>
      <c r="AR467" s="540">
        <f t="shared" si="326"/>
        <v>0</v>
      </c>
      <c r="AS467" s="540">
        <f t="shared" si="326"/>
        <v>0</v>
      </c>
      <c r="AT467" s="540">
        <f t="shared" si="326"/>
        <v>0</v>
      </c>
      <c r="AU467" s="540">
        <f t="shared" si="326"/>
        <v>0</v>
      </c>
      <c r="AV467" s="540">
        <f t="shared" si="326"/>
        <v>0</v>
      </c>
      <c r="AW467" s="540">
        <f t="shared" si="326"/>
        <v>0</v>
      </c>
      <c r="AX467" s="540">
        <f t="shared" si="326"/>
        <v>0</v>
      </c>
      <c r="AY467" s="540">
        <f t="shared" si="326"/>
        <v>0</v>
      </c>
      <c r="AZ467" s="540">
        <f t="shared" si="326"/>
        <v>0</v>
      </c>
      <c r="BA467" s="540">
        <f t="shared" si="326"/>
        <v>0</v>
      </c>
      <c r="BB467" s="540">
        <f t="shared" si="326"/>
        <v>0</v>
      </c>
      <c r="BC467" s="540">
        <f t="shared" si="326"/>
        <v>0</v>
      </c>
      <c r="BD467" s="540">
        <f t="shared" si="326"/>
        <v>0</v>
      </c>
      <c r="BE467" s="540">
        <f t="shared" si="326"/>
        <v>0</v>
      </c>
      <c r="BF467" s="540">
        <f t="shared" si="326"/>
        <v>0</v>
      </c>
      <c r="BG467" s="540">
        <f t="shared" si="326"/>
        <v>0</v>
      </c>
      <c r="BH467" s="540">
        <f t="shared" si="326"/>
        <v>0</v>
      </c>
      <c r="BI467" s="540">
        <f t="shared" si="326"/>
        <v>0</v>
      </c>
      <c r="BJ467" s="540">
        <f t="shared" si="326"/>
        <v>0</v>
      </c>
      <c r="BK467" s="540">
        <f t="shared" si="326"/>
        <v>0</v>
      </c>
      <c r="BL467" s="540">
        <f t="shared" si="326"/>
        <v>0</v>
      </c>
      <c r="BM467" s="540">
        <f t="shared" si="326"/>
        <v>0</v>
      </c>
      <c r="BN467" s="540">
        <f t="shared" si="326"/>
        <v>0</v>
      </c>
      <c r="BO467" s="540">
        <f t="shared" si="326"/>
        <v>0</v>
      </c>
      <c r="BP467" s="540">
        <f t="shared" si="326"/>
        <v>0</v>
      </c>
      <c r="BQ467" s="540">
        <f t="shared" si="326"/>
        <v>0</v>
      </c>
      <c r="BR467" s="540">
        <f t="shared" si="326"/>
        <v>0</v>
      </c>
      <c r="BS467" s="540">
        <f t="shared" si="326"/>
        <v>0</v>
      </c>
      <c r="BT467" s="540">
        <f t="shared" si="326"/>
        <v>0</v>
      </c>
      <c r="BU467" s="540">
        <f t="shared" si="326"/>
        <v>0</v>
      </c>
      <c r="BV467" s="540">
        <f t="shared" si="326"/>
        <v>0</v>
      </c>
      <c r="BW467" s="540">
        <f t="shared" si="326"/>
        <v>0</v>
      </c>
      <c r="BX467" s="540">
        <f t="shared" si="326"/>
        <v>0</v>
      </c>
      <c r="BY467" s="540">
        <f t="shared" si="326"/>
        <v>0</v>
      </c>
      <c r="BZ467" s="540">
        <f t="shared" si="326"/>
        <v>0</v>
      </c>
      <c r="CA467" s="540">
        <f t="shared" si="326"/>
        <v>0</v>
      </c>
      <c r="CB467" s="540">
        <f t="shared" si="326"/>
        <v>0</v>
      </c>
      <c r="CC467" s="540">
        <f t="shared" si="326"/>
        <v>0</v>
      </c>
      <c r="CD467" s="540">
        <f t="shared" si="326"/>
        <v>0</v>
      </c>
      <c r="CE467" s="540">
        <f t="shared" si="326"/>
        <v>0</v>
      </c>
      <c r="CG467" s="536">
        <v>0</v>
      </c>
      <c r="CH467" s="536">
        <v>0</v>
      </c>
      <c r="CI467" s="536">
        <v>0</v>
      </c>
      <c r="CJ467" s="536">
        <v>0</v>
      </c>
      <c r="CK467" s="536">
        <v>0</v>
      </c>
      <c r="CL467" s="536">
        <v>0</v>
      </c>
      <c r="CM467" s="536">
        <v>0</v>
      </c>
      <c r="CN467" s="536">
        <v>0</v>
      </c>
      <c r="CO467" s="536">
        <v>0</v>
      </c>
      <c r="CP467" s="536">
        <v>0</v>
      </c>
      <c r="CQ467" s="536">
        <v>0</v>
      </c>
      <c r="CR467" s="536">
        <v>0</v>
      </c>
      <c r="CS467" s="536">
        <v>0</v>
      </c>
      <c r="CT467" s="536">
        <v>0</v>
      </c>
      <c r="CU467" s="536">
        <v>0</v>
      </c>
      <c r="CV467" s="536">
        <v>0</v>
      </c>
      <c r="CW467" s="536">
        <v>0</v>
      </c>
      <c r="CX467" s="536">
        <v>0</v>
      </c>
      <c r="CY467" s="536">
        <v>0</v>
      </c>
      <c r="CZ467" s="536">
        <v>0</v>
      </c>
      <c r="DA467" s="536">
        <v>0</v>
      </c>
      <c r="DB467" s="536">
        <v>0</v>
      </c>
      <c r="DC467" s="536">
        <v>0</v>
      </c>
      <c r="DD467" s="536">
        <v>0</v>
      </c>
      <c r="DE467" s="536">
        <v>0</v>
      </c>
      <c r="DF467" s="536">
        <v>0</v>
      </c>
      <c r="DG467" s="536">
        <v>0</v>
      </c>
      <c r="DH467" s="536">
        <v>0</v>
      </c>
    </row>
    <row r="468" spans="2:112">
      <c r="F468" s="539"/>
      <c r="G468" s="539"/>
      <c r="H468" s="539"/>
      <c r="I468" s="539"/>
      <c r="J468" s="539"/>
      <c r="K468" s="539"/>
      <c r="L468" s="539"/>
      <c r="M468" s="539"/>
      <c r="N468" s="539"/>
      <c r="O468" s="539"/>
      <c r="P468" s="539"/>
      <c r="Q468" s="539"/>
      <c r="R468" s="539"/>
      <c r="S468" s="539"/>
      <c r="T468" s="539"/>
      <c r="U468" s="539"/>
      <c r="V468" s="539"/>
      <c r="W468" s="539"/>
      <c r="X468" s="539"/>
      <c r="Y468" s="539"/>
      <c r="Z468" s="539"/>
      <c r="AA468" s="539"/>
      <c r="AB468" s="539"/>
      <c r="AC468" s="539"/>
      <c r="AD468" s="539"/>
      <c r="AE468" s="539"/>
      <c r="AF468" s="539"/>
      <c r="AG468" s="539"/>
      <c r="AH468" s="539"/>
      <c r="AI468" s="539"/>
      <c r="AJ468" s="539"/>
      <c r="AK468" s="539"/>
      <c r="AL468" s="539"/>
      <c r="AM468" s="539"/>
      <c r="AN468" s="539"/>
      <c r="AO468" s="539"/>
      <c r="AP468" s="539"/>
      <c r="AQ468" s="539"/>
      <c r="AR468" s="539"/>
      <c r="AS468" s="539"/>
      <c r="AT468" s="539"/>
      <c r="AU468" s="539"/>
      <c r="AV468" s="539"/>
      <c r="AW468" s="539"/>
      <c r="AX468" s="539"/>
      <c r="AY468" s="539"/>
      <c r="AZ468" s="539"/>
      <c r="BA468" s="539"/>
      <c r="BB468" s="539"/>
      <c r="BC468" s="539"/>
      <c r="BD468" s="539"/>
      <c r="BE468" s="539"/>
      <c r="BF468" s="539"/>
      <c r="BG468" s="539"/>
      <c r="BH468" s="539"/>
      <c r="BI468" s="539"/>
      <c r="BJ468" s="539"/>
      <c r="BK468" s="539"/>
      <c r="BL468" s="539"/>
      <c r="BM468" s="539"/>
      <c r="BN468" s="539"/>
      <c r="BO468" s="539"/>
      <c r="BP468" s="539"/>
      <c r="BQ468" s="539"/>
      <c r="BR468" s="539"/>
      <c r="BS468" s="539"/>
      <c r="BT468" s="539"/>
      <c r="BU468" s="539"/>
      <c r="BV468" s="539"/>
      <c r="BW468" s="539"/>
      <c r="BX468" s="539"/>
      <c r="BY468" s="539"/>
      <c r="BZ468" s="539"/>
      <c r="CA468" s="539"/>
      <c r="CB468" s="539"/>
      <c r="CC468" s="539"/>
      <c r="CD468" s="539"/>
      <c r="CE468" s="539"/>
      <c r="CG468" s="539"/>
      <c r="CH468" s="539"/>
      <c r="CI468" s="539"/>
      <c r="CJ468" s="539"/>
      <c r="CK468" s="539"/>
      <c r="CL468" s="539"/>
      <c r="CM468" s="539"/>
      <c r="CN468" s="539"/>
      <c r="CO468" s="539"/>
      <c r="CP468" s="539"/>
      <c r="CQ468" s="539"/>
      <c r="CR468" s="539"/>
      <c r="CS468" s="539"/>
      <c r="CT468" s="539"/>
      <c r="CU468" s="539"/>
      <c r="CV468" s="539"/>
      <c r="CW468" s="539"/>
      <c r="CX468" s="539"/>
      <c r="CY468" s="539"/>
      <c r="CZ468" s="539"/>
      <c r="DA468" s="539"/>
      <c r="DB468" s="539"/>
      <c r="DC468" s="539"/>
      <c r="DD468" s="539"/>
      <c r="DE468" s="539"/>
      <c r="DF468" s="539"/>
      <c r="DG468" s="539"/>
      <c r="DH468" s="539"/>
    </row>
    <row r="469" spans="2:112">
      <c r="B469" t="s">
        <v>1316</v>
      </c>
      <c r="C469" t="s">
        <v>811</v>
      </c>
      <c r="D469" t="s">
        <v>907</v>
      </c>
      <c r="E469" t="s">
        <v>908</v>
      </c>
      <c r="F469" s="541">
        <v>69.872500000000002</v>
      </c>
      <c r="G469" s="541">
        <v>69.872500000000002</v>
      </c>
      <c r="H469" s="541">
        <v>69.872500000000002</v>
      </c>
      <c r="I469" s="541">
        <v>69.872500000000002</v>
      </c>
      <c r="J469" s="541">
        <v>69.872500000000002</v>
      </c>
      <c r="K469" s="541">
        <v>69.872500000000002</v>
      </c>
      <c r="L469" s="541">
        <v>69.872500000000002</v>
      </c>
      <c r="M469" s="541">
        <v>69.872500000000002</v>
      </c>
      <c r="N469" s="541">
        <v>69.872500000000002</v>
      </c>
      <c r="O469" s="541">
        <v>69.872500000000002</v>
      </c>
      <c r="P469" s="541">
        <v>69.872500000000002</v>
      </c>
      <c r="Q469" s="541">
        <v>69.872500000000002</v>
      </c>
      <c r="R469" s="541">
        <v>69.872500000000002</v>
      </c>
      <c r="S469" s="541">
        <v>69.872500000000002</v>
      </c>
      <c r="T469" s="541">
        <v>69.872500000000002</v>
      </c>
      <c r="U469" s="541">
        <v>69.872500000000002</v>
      </c>
      <c r="V469" s="541">
        <v>69.872500000000002</v>
      </c>
      <c r="W469" s="541">
        <v>69.872500000000002</v>
      </c>
      <c r="X469" s="541">
        <v>69.872500000000002</v>
      </c>
      <c r="Y469" s="541">
        <v>69.872500000000002</v>
      </c>
      <c r="Z469" s="541">
        <v>69.872500000000002</v>
      </c>
      <c r="AA469" s="541">
        <v>69.872500000000002</v>
      </c>
      <c r="AB469" s="541">
        <v>69.872500000000002</v>
      </c>
      <c r="AC469" s="541">
        <v>69.872500000000002</v>
      </c>
      <c r="AD469" s="541">
        <v>69.872500000000002</v>
      </c>
      <c r="AE469" s="541">
        <v>69.872500000000002</v>
      </c>
      <c r="AF469" s="541">
        <v>69.872500000000002</v>
      </c>
      <c r="AG469" s="541">
        <v>69.872500000000002</v>
      </c>
      <c r="AH469" s="542">
        <f>AG469</f>
        <v>69.872500000000002</v>
      </c>
      <c r="AI469" s="542">
        <f t="shared" ref="AI469:AX469" si="327">AH469</f>
        <v>69.872500000000002</v>
      </c>
      <c r="AJ469" s="542">
        <f t="shared" si="327"/>
        <v>69.872500000000002</v>
      </c>
      <c r="AK469" s="542">
        <f t="shared" si="327"/>
        <v>69.872500000000002</v>
      </c>
      <c r="AL469" s="542">
        <f t="shared" si="327"/>
        <v>69.872500000000002</v>
      </c>
      <c r="AM469" s="542">
        <f t="shared" si="327"/>
        <v>69.872500000000002</v>
      </c>
      <c r="AN469" s="542">
        <f t="shared" si="327"/>
        <v>69.872500000000002</v>
      </c>
      <c r="AO469" s="542">
        <f t="shared" si="327"/>
        <v>69.872500000000002</v>
      </c>
      <c r="AP469" s="542">
        <f t="shared" si="327"/>
        <v>69.872500000000002</v>
      </c>
      <c r="AQ469" s="542">
        <f t="shared" si="327"/>
        <v>69.872500000000002</v>
      </c>
      <c r="AR469" s="542">
        <f t="shared" si="327"/>
        <v>69.872500000000002</v>
      </c>
      <c r="AS469" s="542">
        <f t="shared" si="327"/>
        <v>69.872500000000002</v>
      </c>
      <c r="AT469" s="542">
        <f t="shared" si="327"/>
        <v>69.872500000000002</v>
      </c>
      <c r="AU469" s="542">
        <f t="shared" si="327"/>
        <v>69.872500000000002</v>
      </c>
      <c r="AV469" s="542">
        <f t="shared" si="327"/>
        <v>69.872500000000002</v>
      </c>
      <c r="AW469" s="542">
        <f t="shared" si="327"/>
        <v>69.872500000000002</v>
      </c>
      <c r="AX469" s="542">
        <f t="shared" si="327"/>
        <v>69.872500000000002</v>
      </c>
      <c r="AY469" s="542">
        <f t="shared" ref="AY469:BN469" si="328">AX469</f>
        <v>69.872500000000002</v>
      </c>
      <c r="AZ469" s="542">
        <f t="shared" si="328"/>
        <v>69.872500000000002</v>
      </c>
      <c r="BA469" s="542">
        <f t="shared" si="328"/>
        <v>69.872500000000002</v>
      </c>
      <c r="BB469" s="542">
        <f t="shared" si="328"/>
        <v>69.872500000000002</v>
      </c>
      <c r="BC469" s="542">
        <f t="shared" si="328"/>
        <v>69.872500000000002</v>
      </c>
      <c r="BD469" s="542">
        <f t="shared" si="328"/>
        <v>69.872500000000002</v>
      </c>
      <c r="BE469" s="542">
        <f t="shared" si="328"/>
        <v>69.872500000000002</v>
      </c>
      <c r="BF469" s="542">
        <f t="shared" si="328"/>
        <v>69.872500000000002</v>
      </c>
      <c r="BG469" s="542">
        <f t="shared" si="328"/>
        <v>69.872500000000002</v>
      </c>
      <c r="BH469" s="542">
        <f t="shared" si="328"/>
        <v>69.872500000000002</v>
      </c>
      <c r="BI469" s="542">
        <f t="shared" si="328"/>
        <v>69.872500000000002</v>
      </c>
      <c r="BJ469" s="542">
        <f t="shared" si="328"/>
        <v>69.872500000000002</v>
      </c>
      <c r="BK469" s="542">
        <f t="shared" si="328"/>
        <v>69.872500000000002</v>
      </c>
      <c r="BL469" s="542">
        <f t="shared" si="328"/>
        <v>69.872500000000002</v>
      </c>
      <c r="BM469" s="542">
        <f t="shared" si="328"/>
        <v>69.872500000000002</v>
      </c>
      <c r="BN469" s="542">
        <f t="shared" si="328"/>
        <v>69.872500000000002</v>
      </c>
      <c r="BO469" s="542">
        <f t="shared" ref="BO469:CD469" si="329">BN469</f>
        <v>69.872500000000002</v>
      </c>
      <c r="BP469" s="542">
        <f t="shared" si="329"/>
        <v>69.872500000000002</v>
      </c>
      <c r="BQ469" s="542">
        <f t="shared" si="329"/>
        <v>69.872500000000002</v>
      </c>
      <c r="BR469" s="542">
        <f t="shared" si="329"/>
        <v>69.872500000000002</v>
      </c>
      <c r="BS469" s="542">
        <f t="shared" si="329"/>
        <v>69.872500000000002</v>
      </c>
      <c r="BT469" s="542">
        <f t="shared" si="329"/>
        <v>69.872500000000002</v>
      </c>
      <c r="BU469" s="542">
        <f t="shared" si="329"/>
        <v>69.872500000000002</v>
      </c>
      <c r="BV469" s="542">
        <f t="shared" si="329"/>
        <v>69.872500000000002</v>
      </c>
      <c r="BW469" s="542">
        <f t="shared" si="329"/>
        <v>69.872500000000002</v>
      </c>
      <c r="BX469" s="542">
        <f t="shared" si="329"/>
        <v>69.872500000000002</v>
      </c>
      <c r="BY469" s="542">
        <f t="shared" si="329"/>
        <v>69.872500000000002</v>
      </c>
      <c r="BZ469" s="542">
        <f t="shared" si="329"/>
        <v>69.872500000000002</v>
      </c>
      <c r="CA469" s="542">
        <f t="shared" si="329"/>
        <v>69.872500000000002</v>
      </c>
      <c r="CB469" s="542">
        <f t="shared" si="329"/>
        <v>69.872500000000002</v>
      </c>
      <c r="CC469" s="542">
        <f t="shared" si="329"/>
        <v>69.872500000000002</v>
      </c>
      <c r="CD469" s="542">
        <f t="shared" si="329"/>
        <v>69.872500000000002</v>
      </c>
      <c r="CE469" s="542">
        <f t="shared" ref="AX469:CE476" si="330">CD469</f>
        <v>69.872500000000002</v>
      </c>
      <c r="CG469" s="541">
        <v>69.872500000000002</v>
      </c>
      <c r="CH469" s="541">
        <v>69.872500000000002</v>
      </c>
      <c r="CI469" s="541">
        <v>69.872500000000002</v>
      </c>
      <c r="CJ469" s="541">
        <v>69.872500000000002</v>
      </c>
      <c r="CK469" s="541">
        <v>69.872500000000002</v>
      </c>
      <c r="CL469" s="541">
        <v>69.872500000000002</v>
      </c>
      <c r="CM469" s="541">
        <v>69.872500000000002</v>
      </c>
      <c r="CN469" s="541">
        <v>69.872500000000002</v>
      </c>
      <c r="CO469" s="541">
        <v>69.872500000000002</v>
      </c>
      <c r="CP469" s="541">
        <v>69.872500000000002</v>
      </c>
      <c r="CQ469" s="541">
        <v>69.872500000000002</v>
      </c>
      <c r="CR469" s="541">
        <v>69.872500000000002</v>
      </c>
      <c r="CS469" s="541">
        <v>69.872500000000002</v>
      </c>
      <c r="CT469" s="541">
        <v>69.872500000000002</v>
      </c>
      <c r="CU469" s="541">
        <v>69.872500000000002</v>
      </c>
      <c r="CV469" s="541">
        <v>69.872500000000002</v>
      </c>
      <c r="CW469" s="541">
        <v>69.872500000000002</v>
      </c>
      <c r="CX469" s="541">
        <v>69.872500000000002</v>
      </c>
      <c r="CY469" s="541">
        <v>69.872500000000002</v>
      </c>
      <c r="CZ469" s="541">
        <v>69.872500000000002</v>
      </c>
      <c r="DA469" s="541">
        <v>69.872500000000002</v>
      </c>
      <c r="DB469" s="541">
        <v>69.872500000000002</v>
      </c>
      <c r="DC469" s="541">
        <v>69.872500000000002</v>
      </c>
      <c r="DD469" s="541">
        <v>69.872500000000002</v>
      </c>
      <c r="DE469" s="541">
        <v>69.872500000000002</v>
      </c>
      <c r="DF469" s="541">
        <v>69.872500000000002</v>
      </c>
      <c r="DG469" s="541">
        <v>69.872500000000002</v>
      </c>
      <c r="DH469" s="541">
        <v>69.872500000000002</v>
      </c>
    </row>
    <row r="470" spans="2:112">
      <c r="B470" t="s">
        <v>1317</v>
      </c>
      <c r="C470" t="s">
        <v>811</v>
      </c>
      <c r="D470" t="s">
        <v>910</v>
      </c>
      <c r="E470" t="s">
        <v>911</v>
      </c>
      <c r="F470" s="541">
        <v>2.2381850000000001</v>
      </c>
      <c r="G470" s="541">
        <v>2.2381850000000001</v>
      </c>
      <c r="H470" s="541">
        <v>2.2381850000000001</v>
      </c>
      <c r="I470" s="541">
        <v>2.2381850000000001</v>
      </c>
      <c r="J470" s="541">
        <v>2.2381850000000001</v>
      </c>
      <c r="K470" s="541">
        <v>2.2381850000000001</v>
      </c>
      <c r="L470" s="541">
        <v>2.2381850000000001</v>
      </c>
      <c r="M470" s="541">
        <v>2.2381850000000001</v>
      </c>
      <c r="N470" s="541">
        <v>2.2381850000000001</v>
      </c>
      <c r="O470" s="541">
        <v>2.2381850000000001</v>
      </c>
      <c r="P470" s="541">
        <v>2.2381850000000001</v>
      </c>
      <c r="Q470" s="541">
        <v>2.2381850000000001</v>
      </c>
      <c r="R470" s="541">
        <v>2.2381850000000001</v>
      </c>
      <c r="S470" s="541">
        <v>2.2381850000000001</v>
      </c>
      <c r="T470" s="541">
        <v>2.2381850000000001</v>
      </c>
      <c r="U470" s="541">
        <v>2.2381850000000001</v>
      </c>
      <c r="V470" s="541">
        <v>2.2381850000000001</v>
      </c>
      <c r="W470" s="541">
        <v>2.2381850000000001</v>
      </c>
      <c r="X470" s="541">
        <v>2.2381850000000001</v>
      </c>
      <c r="Y470" s="541">
        <v>2.2381850000000001</v>
      </c>
      <c r="Z470" s="541">
        <v>2.2381850000000001</v>
      </c>
      <c r="AA470" s="541">
        <v>2.2381850000000001</v>
      </c>
      <c r="AB470" s="541">
        <v>2.2381850000000001</v>
      </c>
      <c r="AC470" s="541">
        <v>2.2381850000000001</v>
      </c>
      <c r="AD470" s="541">
        <v>2.2381850000000001</v>
      </c>
      <c r="AE470" s="541">
        <v>2.2381850000000001</v>
      </c>
      <c r="AF470" s="541">
        <v>2.2381850000000001</v>
      </c>
      <c r="AG470" s="541">
        <v>2.2381850000000001</v>
      </c>
      <c r="AH470" s="542">
        <f t="shared" ref="AH470:AW476" si="331">AG470</f>
        <v>2.2381850000000001</v>
      </c>
      <c r="AI470" s="542">
        <f t="shared" si="331"/>
        <v>2.2381850000000001</v>
      </c>
      <c r="AJ470" s="542">
        <f t="shared" si="331"/>
        <v>2.2381850000000001</v>
      </c>
      <c r="AK470" s="542">
        <f t="shared" si="331"/>
        <v>2.2381850000000001</v>
      </c>
      <c r="AL470" s="542">
        <f t="shared" si="331"/>
        <v>2.2381850000000001</v>
      </c>
      <c r="AM470" s="542">
        <f t="shared" si="331"/>
        <v>2.2381850000000001</v>
      </c>
      <c r="AN470" s="542">
        <f t="shared" si="331"/>
        <v>2.2381850000000001</v>
      </c>
      <c r="AO470" s="542">
        <f t="shared" si="331"/>
        <v>2.2381850000000001</v>
      </c>
      <c r="AP470" s="542">
        <f t="shared" si="331"/>
        <v>2.2381850000000001</v>
      </c>
      <c r="AQ470" s="542">
        <f t="shared" si="331"/>
        <v>2.2381850000000001</v>
      </c>
      <c r="AR470" s="542">
        <f t="shared" si="331"/>
        <v>2.2381850000000001</v>
      </c>
      <c r="AS470" s="542">
        <f t="shared" si="331"/>
        <v>2.2381850000000001</v>
      </c>
      <c r="AT470" s="542">
        <f t="shared" si="331"/>
        <v>2.2381850000000001</v>
      </c>
      <c r="AU470" s="542">
        <f t="shared" si="331"/>
        <v>2.2381850000000001</v>
      </c>
      <c r="AV470" s="542">
        <f t="shared" si="331"/>
        <v>2.2381850000000001</v>
      </c>
      <c r="AW470" s="542">
        <f t="shared" si="331"/>
        <v>2.2381850000000001</v>
      </c>
      <c r="AX470" s="542">
        <f t="shared" si="330"/>
        <v>2.2381850000000001</v>
      </c>
      <c r="AY470" s="542">
        <f t="shared" si="330"/>
        <v>2.2381850000000001</v>
      </c>
      <c r="AZ470" s="542">
        <f t="shared" si="330"/>
        <v>2.2381850000000001</v>
      </c>
      <c r="BA470" s="542">
        <f t="shared" si="330"/>
        <v>2.2381850000000001</v>
      </c>
      <c r="BB470" s="542">
        <f t="shared" si="330"/>
        <v>2.2381850000000001</v>
      </c>
      <c r="BC470" s="542">
        <f t="shared" si="330"/>
        <v>2.2381850000000001</v>
      </c>
      <c r="BD470" s="542">
        <f t="shared" si="330"/>
        <v>2.2381850000000001</v>
      </c>
      <c r="BE470" s="542">
        <f t="shared" si="330"/>
        <v>2.2381850000000001</v>
      </c>
      <c r="BF470" s="542">
        <f t="shared" si="330"/>
        <v>2.2381850000000001</v>
      </c>
      <c r="BG470" s="542">
        <f t="shared" si="330"/>
        <v>2.2381850000000001</v>
      </c>
      <c r="BH470" s="542">
        <f t="shared" si="330"/>
        <v>2.2381850000000001</v>
      </c>
      <c r="BI470" s="542">
        <f t="shared" si="330"/>
        <v>2.2381850000000001</v>
      </c>
      <c r="BJ470" s="542">
        <f t="shared" si="330"/>
        <v>2.2381850000000001</v>
      </c>
      <c r="BK470" s="542">
        <f t="shared" si="330"/>
        <v>2.2381850000000001</v>
      </c>
      <c r="BL470" s="542">
        <f t="shared" si="330"/>
        <v>2.2381850000000001</v>
      </c>
      <c r="BM470" s="542">
        <f t="shared" si="330"/>
        <v>2.2381850000000001</v>
      </c>
      <c r="BN470" s="542">
        <f t="shared" si="330"/>
        <v>2.2381850000000001</v>
      </c>
      <c r="BO470" s="542">
        <f t="shared" si="330"/>
        <v>2.2381850000000001</v>
      </c>
      <c r="BP470" s="542">
        <f t="shared" si="330"/>
        <v>2.2381850000000001</v>
      </c>
      <c r="BQ470" s="542">
        <f t="shared" si="330"/>
        <v>2.2381850000000001</v>
      </c>
      <c r="BR470" s="542">
        <f t="shared" si="330"/>
        <v>2.2381850000000001</v>
      </c>
      <c r="BS470" s="542">
        <f t="shared" si="330"/>
        <v>2.2381850000000001</v>
      </c>
      <c r="BT470" s="542">
        <f t="shared" si="330"/>
        <v>2.2381850000000001</v>
      </c>
      <c r="BU470" s="542">
        <f t="shared" si="330"/>
        <v>2.2381850000000001</v>
      </c>
      <c r="BV470" s="542">
        <f t="shared" si="330"/>
        <v>2.2381850000000001</v>
      </c>
      <c r="BW470" s="542">
        <f t="shared" si="330"/>
        <v>2.2381850000000001</v>
      </c>
      <c r="BX470" s="542">
        <f t="shared" si="330"/>
        <v>2.2381850000000001</v>
      </c>
      <c r="BY470" s="542">
        <f t="shared" si="330"/>
        <v>2.2381850000000001</v>
      </c>
      <c r="BZ470" s="542">
        <f t="shared" si="330"/>
        <v>2.2381850000000001</v>
      </c>
      <c r="CA470" s="542">
        <f t="shared" si="330"/>
        <v>2.2381850000000001</v>
      </c>
      <c r="CB470" s="542">
        <f t="shared" si="330"/>
        <v>2.2381850000000001</v>
      </c>
      <c r="CC470" s="542">
        <f t="shared" si="330"/>
        <v>2.2381850000000001</v>
      </c>
      <c r="CD470" s="542">
        <f t="shared" si="330"/>
        <v>2.2381850000000001</v>
      </c>
      <c r="CE470" s="542">
        <f t="shared" si="330"/>
        <v>2.2381850000000001</v>
      </c>
      <c r="CG470" s="541">
        <v>2.2381850000000001</v>
      </c>
      <c r="CH470" s="541">
        <v>2.2381850000000001</v>
      </c>
      <c r="CI470" s="541">
        <v>2.2381850000000001</v>
      </c>
      <c r="CJ470" s="541">
        <v>2.2381850000000001</v>
      </c>
      <c r="CK470" s="541">
        <v>2.2381850000000001</v>
      </c>
      <c r="CL470" s="541">
        <v>2.2381850000000001</v>
      </c>
      <c r="CM470" s="541">
        <v>2.2381850000000001</v>
      </c>
      <c r="CN470" s="541">
        <v>2.2381850000000001</v>
      </c>
      <c r="CO470" s="541">
        <v>2.2381850000000001</v>
      </c>
      <c r="CP470" s="541">
        <v>2.2381850000000001</v>
      </c>
      <c r="CQ470" s="541">
        <v>2.2381850000000001</v>
      </c>
      <c r="CR470" s="541">
        <v>2.2381850000000001</v>
      </c>
      <c r="CS470" s="541">
        <v>2.2381850000000001</v>
      </c>
      <c r="CT470" s="541">
        <v>2.2381850000000001</v>
      </c>
      <c r="CU470" s="541">
        <v>2.2381850000000001</v>
      </c>
      <c r="CV470" s="541">
        <v>2.2381850000000001</v>
      </c>
      <c r="CW470" s="541">
        <v>2.2381850000000001</v>
      </c>
      <c r="CX470" s="541">
        <v>2.2381850000000001</v>
      </c>
      <c r="CY470" s="541">
        <v>2.2381850000000001</v>
      </c>
      <c r="CZ470" s="541">
        <v>2.2381850000000001</v>
      </c>
      <c r="DA470" s="541">
        <v>2.2381850000000001</v>
      </c>
      <c r="DB470" s="541">
        <v>2.2381850000000001</v>
      </c>
      <c r="DC470" s="541">
        <v>2.2381850000000001</v>
      </c>
      <c r="DD470" s="541">
        <v>2.2381850000000001</v>
      </c>
      <c r="DE470" s="541">
        <v>2.2381850000000001</v>
      </c>
      <c r="DF470" s="541">
        <v>2.2381850000000001</v>
      </c>
      <c r="DG470" s="541">
        <v>2.2381850000000001</v>
      </c>
      <c r="DH470" s="541">
        <v>2.2381850000000001</v>
      </c>
    </row>
    <row r="471" spans="2:112">
      <c r="B471" t="s">
        <v>1318</v>
      </c>
      <c r="C471" t="s">
        <v>811</v>
      </c>
      <c r="D471" t="s">
        <v>913</v>
      </c>
      <c r="E471" t="s">
        <v>908</v>
      </c>
      <c r="F471" s="541">
        <v>83.396249999999995</v>
      </c>
      <c r="G471" s="541">
        <v>83.396249999999995</v>
      </c>
      <c r="H471" s="541">
        <v>83.396249999999995</v>
      </c>
      <c r="I471" s="541">
        <v>83.396249999999995</v>
      </c>
      <c r="J471" s="541">
        <v>83.396249999999995</v>
      </c>
      <c r="K471" s="541">
        <v>83.396249999999995</v>
      </c>
      <c r="L471" s="541">
        <v>83.396249999999995</v>
      </c>
      <c r="M471" s="541">
        <v>83.396249999999995</v>
      </c>
      <c r="N471" s="541">
        <v>83.396249999999995</v>
      </c>
      <c r="O471" s="541">
        <v>83.396249999999995</v>
      </c>
      <c r="P471" s="541">
        <v>83.396249999999995</v>
      </c>
      <c r="Q471" s="541">
        <v>83.396249999999995</v>
      </c>
      <c r="R471" s="541">
        <v>83.396249999999995</v>
      </c>
      <c r="S471" s="541">
        <v>83.396249999999995</v>
      </c>
      <c r="T471" s="541">
        <v>83.396249999999995</v>
      </c>
      <c r="U471" s="541">
        <v>83.396249999999995</v>
      </c>
      <c r="V471" s="541">
        <v>83.396249999999995</v>
      </c>
      <c r="W471" s="541">
        <v>83.396249999999995</v>
      </c>
      <c r="X471" s="541">
        <v>83.396249999999995</v>
      </c>
      <c r="Y471" s="541">
        <v>83.396249999999995</v>
      </c>
      <c r="Z471" s="541">
        <v>83.396249999999995</v>
      </c>
      <c r="AA471" s="541">
        <v>83.396249999999995</v>
      </c>
      <c r="AB471" s="541">
        <v>83.396249999999995</v>
      </c>
      <c r="AC471" s="541">
        <v>83.396249999999995</v>
      </c>
      <c r="AD471" s="541">
        <v>83.396249999999995</v>
      </c>
      <c r="AE471" s="541">
        <v>83.396249999999995</v>
      </c>
      <c r="AF471" s="541">
        <v>83.396249999999995</v>
      </c>
      <c r="AG471" s="541">
        <v>83.396249999999995</v>
      </c>
      <c r="AH471" s="542">
        <f t="shared" si="331"/>
        <v>83.396249999999995</v>
      </c>
      <c r="AI471" s="542">
        <f t="shared" si="331"/>
        <v>83.396249999999995</v>
      </c>
      <c r="AJ471" s="542">
        <f t="shared" si="331"/>
        <v>83.396249999999995</v>
      </c>
      <c r="AK471" s="542">
        <f t="shared" si="331"/>
        <v>83.396249999999995</v>
      </c>
      <c r="AL471" s="542">
        <f t="shared" si="331"/>
        <v>83.396249999999995</v>
      </c>
      <c r="AM471" s="542">
        <f t="shared" si="331"/>
        <v>83.396249999999995</v>
      </c>
      <c r="AN471" s="542">
        <f t="shared" si="331"/>
        <v>83.396249999999995</v>
      </c>
      <c r="AO471" s="542">
        <f t="shared" si="331"/>
        <v>83.396249999999995</v>
      </c>
      <c r="AP471" s="542">
        <f t="shared" si="331"/>
        <v>83.396249999999995</v>
      </c>
      <c r="AQ471" s="542">
        <f t="shared" si="331"/>
        <v>83.396249999999995</v>
      </c>
      <c r="AR471" s="542">
        <f t="shared" si="331"/>
        <v>83.396249999999995</v>
      </c>
      <c r="AS471" s="542">
        <f t="shared" si="331"/>
        <v>83.396249999999995</v>
      </c>
      <c r="AT471" s="542">
        <f t="shared" si="331"/>
        <v>83.396249999999995</v>
      </c>
      <c r="AU471" s="542">
        <f t="shared" si="331"/>
        <v>83.396249999999995</v>
      </c>
      <c r="AV471" s="542">
        <f t="shared" si="331"/>
        <v>83.396249999999995</v>
      </c>
      <c r="AW471" s="542">
        <f t="shared" si="331"/>
        <v>83.396249999999995</v>
      </c>
      <c r="AX471" s="542">
        <f t="shared" si="330"/>
        <v>83.396249999999995</v>
      </c>
      <c r="AY471" s="542">
        <f t="shared" si="330"/>
        <v>83.396249999999995</v>
      </c>
      <c r="AZ471" s="542">
        <f t="shared" si="330"/>
        <v>83.396249999999995</v>
      </c>
      <c r="BA471" s="542">
        <f t="shared" si="330"/>
        <v>83.396249999999995</v>
      </c>
      <c r="BB471" s="542">
        <f t="shared" si="330"/>
        <v>83.396249999999995</v>
      </c>
      <c r="BC471" s="542">
        <f t="shared" si="330"/>
        <v>83.396249999999995</v>
      </c>
      <c r="BD471" s="542">
        <f t="shared" si="330"/>
        <v>83.396249999999995</v>
      </c>
      <c r="BE471" s="542">
        <f t="shared" si="330"/>
        <v>83.396249999999995</v>
      </c>
      <c r="BF471" s="542">
        <f t="shared" si="330"/>
        <v>83.396249999999995</v>
      </c>
      <c r="BG471" s="542">
        <f t="shared" si="330"/>
        <v>83.396249999999995</v>
      </c>
      <c r="BH471" s="542">
        <f t="shared" si="330"/>
        <v>83.396249999999995</v>
      </c>
      <c r="BI471" s="542">
        <f t="shared" si="330"/>
        <v>83.396249999999995</v>
      </c>
      <c r="BJ471" s="542">
        <f t="shared" si="330"/>
        <v>83.396249999999995</v>
      </c>
      <c r="BK471" s="542">
        <f t="shared" si="330"/>
        <v>83.396249999999995</v>
      </c>
      <c r="BL471" s="542">
        <f t="shared" si="330"/>
        <v>83.396249999999995</v>
      </c>
      <c r="BM471" s="542">
        <f t="shared" si="330"/>
        <v>83.396249999999995</v>
      </c>
      <c r="BN471" s="542">
        <f t="shared" si="330"/>
        <v>83.396249999999995</v>
      </c>
      <c r="BO471" s="542">
        <f t="shared" si="330"/>
        <v>83.396249999999995</v>
      </c>
      <c r="BP471" s="542">
        <f t="shared" si="330"/>
        <v>83.396249999999995</v>
      </c>
      <c r="BQ471" s="542">
        <f t="shared" si="330"/>
        <v>83.396249999999995</v>
      </c>
      <c r="BR471" s="542">
        <f t="shared" si="330"/>
        <v>83.396249999999995</v>
      </c>
      <c r="BS471" s="542">
        <f t="shared" si="330"/>
        <v>83.396249999999995</v>
      </c>
      <c r="BT471" s="542">
        <f t="shared" si="330"/>
        <v>83.396249999999995</v>
      </c>
      <c r="BU471" s="542">
        <f t="shared" si="330"/>
        <v>83.396249999999995</v>
      </c>
      <c r="BV471" s="542">
        <f t="shared" si="330"/>
        <v>83.396249999999995</v>
      </c>
      <c r="BW471" s="542">
        <f t="shared" si="330"/>
        <v>83.396249999999995</v>
      </c>
      <c r="BX471" s="542">
        <f t="shared" si="330"/>
        <v>83.396249999999995</v>
      </c>
      <c r="BY471" s="542">
        <f t="shared" si="330"/>
        <v>83.396249999999995</v>
      </c>
      <c r="BZ471" s="542">
        <f t="shared" si="330"/>
        <v>83.396249999999995</v>
      </c>
      <c r="CA471" s="542">
        <f t="shared" si="330"/>
        <v>83.396249999999995</v>
      </c>
      <c r="CB471" s="542">
        <f t="shared" si="330"/>
        <v>83.396249999999995</v>
      </c>
      <c r="CC471" s="542">
        <f t="shared" si="330"/>
        <v>83.396249999999995</v>
      </c>
      <c r="CD471" s="542">
        <f t="shared" si="330"/>
        <v>83.396249999999995</v>
      </c>
      <c r="CE471" s="542">
        <f t="shared" si="330"/>
        <v>83.396249999999995</v>
      </c>
      <c r="CG471" s="541">
        <v>83.396249999999995</v>
      </c>
      <c r="CH471" s="541">
        <v>83.396249999999995</v>
      </c>
      <c r="CI471" s="541">
        <v>83.396249999999995</v>
      </c>
      <c r="CJ471" s="541">
        <v>83.396249999999995</v>
      </c>
      <c r="CK471" s="541">
        <v>83.396249999999995</v>
      </c>
      <c r="CL471" s="541">
        <v>83.396249999999995</v>
      </c>
      <c r="CM471" s="541">
        <v>83.396249999999995</v>
      </c>
      <c r="CN471" s="541">
        <v>83.396249999999995</v>
      </c>
      <c r="CO471" s="541">
        <v>83.396249999999995</v>
      </c>
      <c r="CP471" s="541">
        <v>83.396249999999995</v>
      </c>
      <c r="CQ471" s="541">
        <v>83.396249999999995</v>
      </c>
      <c r="CR471" s="541">
        <v>83.396249999999995</v>
      </c>
      <c r="CS471" s="541">
        <v>83.396249999999995</v>
      </c>
      <c r="CT471" s="541">
        <v>83.396249999999995</v>
      </c>
      <c r="CU471" s="541">
        <v>83.396249999999995</v>
      </c>
      <c r="CV471" s="541">
        <v>83.396249999999995</v>
      </c>
      <c r="CW471" s="541">
        <v>83.396249999999995</v>
      </c>
      <c r="CX471" s="541">
        <v>83.396249999999995</v>
      </c>
      <c r="CY471" s="541">
        <v>83.396249999999995</v>
      </c>
      <c r="CZ471" s="541">
        <v>83.396249999999995</v>
      </c>
      <c r="DA471" s="541">
        <v>83.396249999999995</v>
      </c>
      <c r="DB471" s="541">
        <v>83.396249999999995</v>
      </c>
      <c r="DC471" s="541">
        <v>83.396249999999995</v>
      </c>
      <c r="DD471" s="541">
        <v>83.396249999999995</v>
      </c>
      <c r="DE471" s="541">
        <v>83.396249999999995</v>
      </c>
      <c r="DF471" s="541">
        <v>83.396249999999995</v>
      </c>
      <c r="DG471" s="541">
        <v>83.396249999999995</v>
      </c>
      <c r="DH471" s="541">
        <v>83.396249999999995</v>
      </c>
    </row>
    <row r="472" spans="2:112">
      <c r="B472" t="s">
        <v>1319</v>
      </c>
      <c r="C472" t="s">
        <v>811</v>
      </c>
      <c r="D472" t="s">
        <v>915</v>
      </c>
      <c r="E472" t="s">
        <v>911</v>
      </c>
      <c r="F472" s="541">
        <v>2.3550225</v>
      </c>
      <c r="G472" s="541">
        <v>2.3550225</v>
      </c>
      <c r="H472" s="541">
        <v>2.3550225</v>
      </c>
      <c r="I472" s="541">
        <v>2.3550225</v>
      </c>
      <c r="J472" s="541">
        <v>2.3550225</v>
      </c>
      <c r="K472" s="541">
        <v>2.3550225</v>
      </c>
      <c r="L472" s="541">
        <v>2.3550225</v>
      </c>
      <c r="M472" s="541">
        <v>2.3550225</v>
      </c>
      <c r="N472" s="541">
        <v>2.3550225</v>
      </c>
      <c r="O472" s="541">
        <v>2.3550225</v>
      </c>
      <c r="P472" s="541">
        <v>2.3550225</v>
      </c>
      <c r="Q472" s="541">
        <v>2.3550225</v>
      </c>
      <c r="R472" s="541">
        <v>2.3550225</v>
      </c>
      <c r="S472" s="541">
        <v>2.3550225</v>
      </c>
      <c r="T472" s="541">
        <v>2.3550225</v>
      </c>
      <c r="U472" s="541">
        <v>2.3550225</v>
      </c>
      <c r="V472" s="541">
        <v>2.3550225</v>
      </c>
      <c r="W472" s="541">
        <v>2.3550225</v>
      </c>
      <c r="X472" s="541">
        <v>2.3550225</v>
      </c>
      <c r="Y472" s="541">
        <v>2.3550225</v>
      </c>
      <c r="Z472" s="541">
        <v>2.3550225</v>
      </c>
      <c r="AA472" s="541">
        <v>2.3550225</v>
      </c>
      <c r="AB472" s="541">
        <v>2.3550225</v>
      </c>
      <c r="AC472" s="541">
        <v>2.3550225</v>
      </c>
      <c r="AD472" s="541">
        <v>2.3550225</v>
      </c>
      <c r="AE472" s="541">
        <v>2.3550225</v>
      </c>
      <c r="AF472" s="541">
        <v>2.3550225</v>
      </c>
      <c r="AG472" s="541">
        <v>2.3550225</v>
      </c>
      <c r="AH472" s="542">
        <f t="shared" si="331"/>
        <v>2.3550225</v>
      </c>
      <c r="AI472" s="542">
        <f t="shared" si="331"/>
        <v>2.3550225</v>
      </c>
      <c r="AJ472" s="542">
        <f t="shared" si="331"/>
        <v>2.3550225</v>
      </c>
      <c r="AK472" s="542">
        <f t="shared" si="331"/>
        <v>2.3550225</v>
      </c>
      <c r="AL472" s="542">
        <f t="shared" si="331"/>
        <v>2.3550225</v>
      </c>
      <c r="AM472" s="542">
        <f t="shared" si="331"/>
        <v>2.3550225</v>
      </c>
      <c r="AN472" s="542">
        <f t="shared" si="331"/>
        <v>2.3550225</v>
      </c>
      <c r="AO472" s="542">
        <f t="shared" si="331"/>
        <v>2.3550225</v>
      </c>
      <c r="AP472" s="542">
        <f t="shared" si="331"/>
        <v>2.3550225</v>
      </c>
      <c r="AQ472" s="542">
        <f t="shared" si="331"/>
        <v>2.3550225</v>
      </c>
      <c r="AR472" s="542">
        <f t="shared" si="331"/>
        <v>2.3550225</v>
      </c>
      <c r="AS472" s="542">
        <f t="shared" si="331"/>
        <v>2.3550225</v>
      </c>
      <c r="AT472" s="542">
        <f t="shared" si="331"/>
        <v>2.3550225</v>
      </c>
      <c r="AU472" s="542">
        <f t="shared" si="331"/>
        <v>2.3550225</v>
      </c>
      <c r="AV472" s="542">
        <f t="shared" si="331"/>
        <v>2.3550225</v>
      </c>
      <c r="AW472" s="542">
        <f t="shared" si="331"/>
        <v>2.3550225</v>
      </c>
      <c r="AX472" s="542">
        <f t="shared" si="330"/>
        <v>2.3550225</v>
      </c>
      <c r="AY472" s="542">
        <f t="shared" si="330"/>
        <v>2.3550225</v>
      </c>
      <c r="AZ472" s="542">
        <f t="shared" si="330"/>
        <v>2.3550225</v>
      </c>
      <c r="BA472" s="542">
        <f t="shared" si="330"/>
        <v>2.3550225</v>
      </c>
      <c r="BB472" s="542">
        <f t="shared" si="330"/>
        <v>2.3550225</v>
      </c>
      <c r="BC472" s="542">
        <f t="shared" si="330"/>
        <v>2.3550225</v>
      </c>
      <c r="BD472" s="542">
        <f t="shared" si="330"/>
        <v>2.3550225</v>
      </c>
      <c r="BE472" s="542">
        <f t="shared" si="330"/>
        <v>2.3550225</v>
      </c>
      <c r="BF472" s="542">
        <f t="shared" si="330"/>
        <v>2.3550225</v>
      </c>
      <c r="BG472" s="542">
        <f t="shared" si="330"/>
        <v>2.3550225</v>
      </c>
      <c r="BH472" s="542">
        <f t="shared" si="330"/>
        <v>2.3550225</v>
      </c>
      <c r="BI472" s="542">
        <f t="shared" si="330"/>
        <v>2.3550225</v>
      </c>
      <c r="BJ472" s="542">
        <f t="shared" si="330"/>
        <v>2.3550225</v>
      </c>
      <c r="BK472" s="542">
        <f t="shared" si="330"/>
        <v>2.3550225</v>
      </c>
      <c r="BL472" s="542">
        <f t="shared" si="330"/>
        <v>2.3550225</v>
      </c>
      <c r="BM472" s="542">
        <f t="shared" si="330"/>
        <v>2.3550225</v>
      </c>
      <c r="BN472" s="542">
        <f t="shared" si="330"/>
        <v>2.3550225</v>
      </c>
      <c r="BO472" s="542">
        <f t="shared" si="330"/>
        <v>2.3550225</v>
      </c>
      <c r="BP472" s="542">
        <f t="shared" si="330"/>
        <v>2.3550225</v>
      </c>
      <c r="BQ472" s="542">
        <f t="shared" si="330"/>
        <v>2.3550225</v>
      </c>
      <c r="BR472" s="542">
        <f t="shared" si="330"/>
        <v>2.3550225</v>
      </c>
      <c r="BS472" s="542">
        <f t="shared" si="330"/>
        <v>2.3550225</v>
      </c>
      <c r="BT472" s="542">
        <f t="shared" si="330"/>
        <v>2.3550225</v>
      </c>
      <c r="BU472" s="542">
        <f t="shared" si="330"/>
        <v>2.3550225</v>
      </c>
      <c r="BV472" s="542">
        <f t="shared" si="330"/>
        <v>2.3550225</v>
      </c>
      <c r="BW472" s="542">
        <f t="shared" si="330"/>
        <v>2.3550225</v>
      </c>
      <c r="BX472" s="542">
        <f t="shared" si="330"/>
        <v>2.3550225</v>
      </c>
      <c r="BY472" s="542">
        <f t="shared" si="330"/>
        <v>2.3550225</v>
      </c>
      <c r="BZ472" s="542">
        <f t="shared" si="330"/>
        <v>2.3550225</v>
      </c>
      <c r="CA472" s="542">
        <f t="shared" si="330"/>
        <v>2.3550225</v>
      </c>
      <c r="CB472" s="542">
        <f t="shared" si="330"/>
        <v>2.3550225</v>
      </c>
      <c r="CC472" s="542">
        <f t="shared" si="330"/>
        <v>2.3550225</v>
      </c>
      <c r="CD472" s="542">
        <f t="shared" si="330"/>
        <v>2.3550225</v>
      </c>
      <c r="CE472" s="542">
        <f t="shared" si="330"/>
        <v>2.3550225</v>
      </c>
      <c r="CG472" s="541">
        <v>2.3550225</v>
      </c>
      <c r="CH472" s="541">
        <v>2.3550225</v>
      </c>
      <c r="CI472" s="541">
        <v>2.3550225</v>
      </c>
      <c r="CJ472" s="541">
        <v>2.3550225</v>
      </c>
      <c r="CK472" s="541">
        <v>2.3550225</v>
      </c>
      <c r="CL472" s="541">
        <v>2.3550225</v>
      </c>
      <c r="CM472" s="541">
        <v>2.3550225</v>
      </c>
      <c r="CN472" s="541">
        <v>2.3550225</v>
      </c>
      <c r="CO472" s="541">
        <v>2.3550225</v>
      </c>
      <c r="CP472" s="541">
        <v>2.3550225</v>
      </c>
      <c r="CQ472" s="541">
        <v>2.3550225</v>
      </c>
      <c r="CR472" s="541">
        <v>2.3550225</v>
      </c>
      <c r="CS472" s="541">
        <v>2.3550225</v>
      </c>
      <c r="CT472" s="541">
        <v>2.3550225</v>
      </c>
      <c r="CU472" s="541">
        <v>2.3550225</v>
      </c>
      <c r="CV472" s="541">
        <v>2.3550225</v>
      </c>
      <c r="CW472" s="541">
        <v>2.3550225</v>
      </c>
      <c r="CX472" s="541">
        <v>2.3550225</v>
      </c>
      <c r="CY472" s="541">
        <v>2.3550225</v>
      </c>
      <c r="CZ472" s="541">
        <v>2.3550225</v>
      </c>
      <c r="DA472" s="541">
        <v>2.3550225</v>
      </c>
      <c r="DB472" s="541">
        <v>2.3550225</v>
      </c>
      <c r="DC472" s="541">
        <v>2.3550225</v>
      </c>
      <c r="DD472" s="541">
        <v>2.3550225</v>
      </c>
      <c r="DE472" s="541">
        <v>2.3550225</v>
      </c>
      <c r="DF472" s="541">
        <v>2.3550225</v>
      </c>
      <c r="DG472" s="541">
        <v>2.3550225</v>
      </c>
      <c r="DH472" s="541">
        <v>2.3550225</v>
      </c>
    </row>
    <row r="473" spans="2:112">
      <c r="B473" t="s">
        <v>1320</v>
      </c>
      <c r="C473" t="s">
        <v>811</v>
      </c>
      <c r="D473" t="s">
        <v>917</v>
      </c>
      <c r="E473" t="s">
        <v>908</v>
      </c>
      <c r="F473" s="541">
        <v>79.551249999999996</v>
      </c>
      <c r="G473" s="541">
        <v>79.551249999999996</v>
      </c>
      <c r="H473" s="541">
        <v>79.551249999999996</v>
      </c>
      <c r="I473" s="541">
        <v>79.551249999999996</v>
      </c>
      <c r="J473" s="541">
        <v>79.551249999999996</v>
      </c>
      <c r="K473" s="541">
        <v>79.551249999999996</v>
      </c>
      <c r="L473" s="541">
        <v>79.551249999999996</v>
      </c>
      <c r="M473" s="541">
        <v>79.551249999999996</v>
      </c>
      <c r="N473" s="541">
        <v>79.551249999999996</v>
      </c>
      <c r="O473" s="541">
        <v>79.551249999999996</v>
      </c>
      <c r="P473" s="541">
        <v>79.551249999999996</v>
      </c>
      <c r="Q473" s="541">
        <v>79.551249999999996</v>
      </c>
      <c r="R473" s="541">
        <v>79.551249999999996</v>
      </c>
      <c r="S473" s="541">
        <v>79.551249999999996</v>
      </c>
      <c r="T473" s="541">
        <v>79.551249999999996</v>
      </c>
      <c r="U473" s="541">
        <v>79.551249999999996</v>
      </c>
      <c r="V473" s="541">
        <v>79.551249999999996</v>
      </c>
      <c r="W473" s="541">
        <v>79.551249999999996</v>
      </c>
      <c r="X473" s="541">
        <v>79.551249999999996</v>
      </c>
      <c r="Y473" s="541">
        <v>79.551249999999996</v>
      </c>
      <c r="Z473" s="541">
        <v>79.551249999999996</v>
      </c>
      <c r="AA473" s="541">
        <v>79.551249999999996</v>
      </c>
      <c r="AB473" s="541">
        <v>79.551249999999996</v>
      </c>
      <c r="AC473" s="541">
        <v>79.551249999999996</v>
      </c>
      <c r="AD473" s="541">
        <v>79.551249999999996</v>
      </c>
      <c r="AE473" s="541">
        <v>79.551249999999996</v>
      </c>
      <c r="AF473" s="541">
        <v>79.551249999999996</v>
      </c>
      <c r="AG473" s="541">
        <v>79.551249999999996</v>
      </c>
      <c r="AH473" s="542">
        <f t="shared" si="331"/>
        <v>79.551249999999996</v>
      </c>
      <c r="AI473" s="542">
        <f t="shared" si="331"/>
        <v>79.551249999999996</v>
      </c>
      <c r="AJ473" s="542">
        <f t="shared" si="331"/>
        <v>79.551249999999996</v>
      </c>
      <c r="AK473" s="542">
        <f t="shared" si="331"/>
        <v>79.551249999999996</v>
      </c>
      <c r="AL473" s="542">
        <f t="shared" si="331"/>
        <v>79.551249999999996</v>
      </c>
      <c r="AM473" s="542">
        <f t="shared" si="331"/>
        <v>79.551249999999996</v>
      </c>
      <c r="AN473" s="542">
        <f t="shared" si="331"/>
        <v>79.551249999999996</v>
      </c>
      <c r="AO473" s="542">
        <f t="shared" si="331"/>
        <v>79.551249999999996</v>
      </c>
      <c r="AP473" s="542">
        <f t="shared" si="331"/>
        <v>79.551249999999996</v>
      </c>
      <c r="AQ473" s="542">
        <f t="shared" si="331"/>
        <v>79.551249999999996</v>
      </c>
      <c r="AR473" s="542">
        <f t="shared" si="331"/>
        <v>79.551249999999996</v>
      </c>
      <c r="AS473" s="542">
        <f t="shared" si="331"/>
        <v>79.551249999999996</v>
      </c>
      <c r="AT473" s="542">
        <f t="shared" si="331"/>
        <v>79.551249999999996</v>
      </c>
      <c r="AU473" s="542">
        <f t="shared" si="331"/>
        <v>79.551249999999996</v>
      </c>
      <c r="AV473" s="542">
        <f t="shared" si="331"/>
        <v>79.551249999999996</v>
      </c>
      <c r="AW473" s="542">
        <f t="shared" si="331"/>
        <v>79.551249999999996</v>
      </c>
      <c r="AX473" s="542">
        <f t="shared" si="330"/>
        <v>79.551249999999996</v>
      </c>
      <c r="AY473" s="542">
        <f t="shared" si="330"/>
        <v>79.551249999999996</v>
      </c>
      <c r="AZ473" s="542">
        <f t="shared" si="330"/>
        <v>79.551249999999996</v>
      </c>
      <c r="BA473" s="542">
        <f t="shared" si="330"/>
        <v>79.551249999999996</v>
      </c>
      <c r="BB473" s="542">
        <f t="shared" si="330"/>
        <v>79.551249999999996</v>
      </c>
      <c r="BC473" s="542">
        <f t="shared" si="330"/>
        <v>79.551249999999996</v>
      </c>
      <c r="BD473" s="542">
        <f t="shared" si="330"/>
        <v>79.551249999999996</v>
      </c>
      <c r="BE473" s="542">
        <f t="shared" si="330"/>
        <v>79.551249999999996</v>
      </c>
      <c r="BF473" s="542">
        <f t="shared" si="330"/>
        <v>79.551249999999996</v>
      </c>
      <c r="BG473" s="542">
        <f t="shared" si="330"/>
        <v>79.551249999999996</v>
      </c>
      <c r="BH473" s="542">
        <f t="shared" si="330"/>
        <v>79.551249999999996</v>
      </c>
      <c r="BI473" s="542">
        <f t="shared" si="330"/>
        <v>79.551249999999996</v>
      </c>
      <c r="BJ473" s="542">
        <f t="shared" si="330"/>
        <v>79.551249999999996</v>
      </c>
      <c r="BK473" s="542">
        <f t="shared" si="330"/>
        <v>79.551249999999996</v>
      </c>
      <c r="BL473" s="542">
        <f t="shared" si="330"/>
        <v>79.551249999999996</v>
      </c>
      <c r="BM473" s="542">
        <f t="shared" si="330"/>
        <v>79.551249999999996</v>
      </c>
      <c r="BN473" s="542">
        <f t="shared" si="330"/>
        <v>79.551249999999996</v>
      </c>
      <c r="BO473" s="542">
        <f t="shared" si="330"/>
        <v>79.551249999999996</v>
      </c>
      <c r="BP473" s="542">
        <f t="shared" si="330"/>
        <v>79.551249999999996</v>
      </c>
      <c r="BQ473" s="542">
        <f t="shared" si="330"/>
        <v>79.551249999999996</v>
      </c>
      <c r="BR473" s="542">
        <f t="shared" si="330"/>
        <v>79.551249999999996</v>
      </c>
      <c r="BS473" s="542">
        <f t="shared" si="330"/>
        <v>79.551249999999996</v>
      </c>
      <c r="BT473" s="542">
        <f t="shared" si="330"/>
        <v>79.551249999999996</v>
      </c>
      <c r="BU473" s="542">
        <f t="shared" si="330"/>
        <v>79.551249999999996</v>
      </c>
      <c r="BV473" s="542">
        <f t="shared" si="330"/>
        <v>79.551249999999996</v>
      </c>
      <c r="BW473" s="542">
        <f t="shared" si="330"/>
        <v>79.551249999999996</v>
      </c>
      <c r="BX473" s="542">
        <f t="shared" si="330"/>
        <v>79.551249999999996</v>
      </c>
      <c r="BY473" s="542">
        <f t="shared" si="330"/>
        <v>79.551249999999996</v>
      </c>
      <c r="BZ473" s="542">
        <f t="shared" si="330"/>
        <v>79.551249999999996</v>
      </c>
      <c r="CA473" s="542">
        <f t="shared" si="330"/>
        <v>79.551249999999996</v>
      </c>
      <c r="CB473" s="542">
        <f t="shared" si="330"/>
        <v>79.551249999999996</v>
      </c>
      <c r="CC473" s="542">
        <f t="shared" si="330"/>
        <v>79.551249999999996</v>
      </c>
      <c r="CD473" s="542">
        <f t="shared" si="330"/>
        <v>79.551249999999996</v>
      </c>
      <c r="CE473" s="542">
        <f t="shared" si="330"/>
        <v>79.551249999999996</v>
      </c>
      <c r="CG473" s="541">
        <v>79.551249999999996</v>
      </c>
      <c r="CH473" s="541">
        <v>79.551249999999996</v>
      </c>
      <c r="CI473" s="541">
        <v>79.551249999999996</v>
      </c>
      <c r="CJ473" s="541">
        <v>79.551249999999996</v>
      </c>
      <c r="CK473" s="541">
        <v>79.551249999999996</v>
      </c>
      <c r="CL473" s="541">
        <v>79.551249999999996</v>
      </c>
      <c r="CM473" s="541">
        <v>79.551249999999996</v>
      </c>
      <c r="CN473" s="541">
        <v>79.551249999999996</v>
      </c>
      <c r="CO473" s="541">
        <v>79.551249999999996</v>
      </c>
      <c r="CP473" s="541">
        <v>79.551249999999996</v>
      </c>
      <c r="CQ473" s="541">
        <v>79.551249999999996</v>
      </c>
      <c r="CR473" s="541">
        <v>79.551249999999996</v>
      </c>
      <c r="CS473" s="541">
        <v>79.551249999999996</v>
      </c>
      <c r="CT473" s="541">
        <v>79.551249999999996</v>
      </c>
      <c r="CU473" s="541">
        <v>79.551249999999996</v>
      </c>
      <c r="CV473" s="541">
        <v>79.551249999999996</v>
      </c>
      <c r="CW473" s="541">
        <v>79.551249999999996</v>
      </c>
      <c r="CX473" s="541">
        <v>79.551249999999996</v>
      </c>
      <c r="CY473" s="541">
        <v>79.551249999999996</v>
      </c>
      <c r="CZ473" s="541">
        <v>79.551249999999996</v>
      </c>
      <c r="DA473" s="541">
        <v>79.551249999999996</v>
      </c>
      <c r="DB473" s="541">
        <v>79.551249999999996</v>
      </c>
      <c r="DC473" s="541">
        <v>79.551249999999996</v>
      </c>
      <c r="DD473" s="541">
        <v>79.551249999999996</v>
      </c>
      <c r="DE473" s="541">
        <v>79.551249999999996</v>
      </c>
      <c r="DF473" s="541">
        <v>79.551249999999996</v>
      </c>
      <c r="DG473" s="541">
        <v>79.551249999999996</v>
      </c>
      <c r="DH473" s="541">
        <v>79.551249999999996</v>
      </c>
    </row>
    <row r="474" spans="2:112">
      <c r="B474" t="s">
        <v>1321</v>
      </c>
      <c r="C474" t="s">
        <v>811</v>
      </c>
      <c r="D474" t="s">
        <v>919</v>
      </c>
      <c r="E474" t="s">
        <v>911</v>
      </c>
      <c r="F474" s="541">
        <v>2.3165724999999999</v>
      </c>
      <c r="G474" s="541">
        <v>2.3165724999999999</v>
      </c>
      <c r="H474" s="541">
        <v>2.3165724999999999</v>
      </c>
      <c r="I474" s="541">
        <v>2.3165724999999999</v>
      </c>
      <c r="J474" s="541">
        <v>2.3165724999999999</v>
      </c>
      <c r="K474" s="541">
        <v>2.3165724999999999</v>
      </c>
      <c r="L474" s="541">
        <v>2.3165724999999999</v>
      </c>
      <c r="M474" s="541">
        <v>2.3165724999999999</v>
      </c>
      <c r="N474" s="541">
        <v>2.3165724999999999</v>
      </c>
      <c r="O474" s="541">
        <v>2.3165724999999999</v>
      </c>
      <c r="P474" s="541">
        <v>2.3165724999999999</v>
      </c>
      <c r="Q474" s="541">
        <v>2.3165724999999999</v>
      </c>
      <c r="R474" s="541">
        <v>2.3165724999999999</v>
      </c>
      <c r="S474" s="541">
        <v>2.3165724999999999</v>
      </c>
      <c r="T474" s="541">
        <v>2.3165724999999999</v>
      </c>
      <c r="U474" s="541">
        <v>2.3165724999999999</v>
      </c>
      <c r="V474" s="541">
        <v>2.3165724999999999</v>
      </c>
      <c r="W474" s="541">
        <v>2.3165724999999999</v>
      </c>
      <c r="X474" s="541">
        <v>2.3165724999999999</v>
      </c>
      <c r="Y474" s="541">
        <v>2.3165724999999999</v>
      </c>
      <c r="Z474" s="541">
        <v>2.3165724999999999</v>
      </c>
      <c r="AA474" s="541">
        <v>2.3165724999999999</v>
      </c>
      <c r="AB474" s="541">
        <v>2.3165724999999999</v>
      </c>
      <c r="AC474" s="541">
        <v>2.3165724999999999</v>
      </c>
      <c r="AD474" s="541">
        <v>2.3165724999999999</v>
      </c>
      <c r="AE474" s="541">
        <v>2.3165724999999999</v>
      </c>
      <c r="AF474" s="541">
        <v>2.3165724999999999</v>
      </c>
      <c r="AG474" s="541">
        <v>2.3165724999999999</v>
      </c>
      <c r="AH474" s="542">
        <f t="shared" si="331"/>
        <v>2.3165724999999999</v>
      </c>
      <c r="AI474" s="542">
        <f t="shared" si="331"/>
        <v>2.3165724999999999</v>
      </c>
      <c r="AJ474" s="542">
        <f t="shared" si="331"/>
        <v>2.3165724999999999</v>
      </c>
      <c r="AK474" s="542">
        <f t="shared" si="331"/>
        <v>2.3165724999999999</v>
      </c>
      <c r="AL474" s="542">
        <f t="shared" si="331"/>
        <v>2.3165724999999999</v>
      </c>
      <c r="AM474" s="542">
        <f t="shared" si="331"/>
        <v>2.3165724999999999</v>
      </c>
      <c r="AN474" s="542">
        <f t="shared" si="331"/>
        <v>2.3165724999999999</v>
      </c>
      <c r="AO474" s="542">
        <f t="shared" si="331"/>
        <v>2.3165724999999999</v>
      </c>
      <c r="AP474" s="542">
        <f t="shared" si="331"/>
        <v>2.3165724999999999</v>
      </c>
      <c r="AQ474" s="542">
        <f t="shared" si="331"/>
        <v>2.3165724999999999</v>
      </c>
      <c r="AR474" s="542">
        <f t="shared" si="331"/>
        <v>2.3165724999999999</v>
      </c>
      <c r="AS474" s="542">
        <f t="shared" si="331"/>
        <v>2.3165724999999999</v>
      </c>
      <c r="AT474" s="542">
        <f t="shared" si="331"/>
        <v>2.3165724999999999</v>
      </c>
      <c r="AU474" s="542">
        <f t="shared" si="331"/>
        <v>2.3165724999999999</v>
      </c>
      <c r="AV474" s="542">
        <f t="shared" si="331"/>
        <v>2.3165724999999999</v>
      </c>
      <c r="AW474" s="542">
        <f t="shared" si="331"/>
        <v>2.3165724999999999</v>
      </c>
      <c r="AX474" s="542">
        <f t="shared" si="330"/>
        <v>2.3165724999999999</v>
      </c>
      <c r="AY474" s="542">
        <f t="shared" si="330"/>
        <v>2.3165724999999999</v>
      </c>
      <c r="AZ474" s="542">
        <f t="shared" si="330"/>
        <v>2.3165724999999999</v>
      </c>
      <c r="BA474" s="542">
        <f t="shared" si="330"/>
        <v>2.3165724999999999</v>
      </c>
      <c r="BB474" s="542">
        <f t="shared" si="330"/>
        <v>2.3165724999999999</v>
      </c>
      <c r="BC474" s="542">
        <f t="shared" si="330"/>
        <v>2.3165724999999999</v>
      </c>
      <c r="BD474" s="542">
        <f t="shared" si="330"/>
        <v>2.3165724999999999</v>
      </c>
      <c r="BE474" s="542">
        <f t="shared" si="330"/>
        <v>2.3165724999999999</v>
      </c>
      <c r="BF474" s="542">
        <f t="shared" si="330"/>
        <v>2.3165724999999999</v>
      </c>
      <c r="BG474" s="542">
        <f t="shared" si="330"/>
        <v>2.3165724999999999</v>
      </c>
      <c r="BH474" s="542">
        <f t="shared" si="330"/>
        <v>2.3165724999999999</v>
      </c>
      <c r="BI474" s="542">
        <f t="shared" si="330"/>
        <v>2.3165724999999999</v>
      </c>
      <c r="BJ474" s="542">
        <f t="shared" si="330"/>
        <v>2.3165724999999999</v>
      </c>
      <c r="BK474" s="542">
        <f t="shared" si="330"/>
        <v>2.3165724999999999</v>
      </c>
      <c r="BL474" s="542">
        <f t="shared" si="330"/>
        <v>2.3165724999999999</v>
      </c>
      <c r="BM474" s="542">
        <f t="shared" si="330"/>
        <v>2.3165724999999999</v>
      </c>
      <c r="BN474" s="542">
        <f t="shared" si="330"/>
        <v>2.3165724999999999</v>
      </c>
      <c r="BO474" s="542">
        <f t="shared" si="330"/>
        <v>2.3165724999999999</v>
      </c>
      <c r="BP474" s="542">
        <f t="shared" si="330"/>
        <v>2.3165724999999999</v>
      </c>
      <c r="BQ474" s="542">
        <f t="shared" si="330"/>
        <v>2.3165724999999999</v>
      </c>
      <c r="BR474" s="542">
        <f t="shared" si="330"/>
        <v>2.3165724999999999</v>
      </c>
      <c r="BS474" s="542">
        <f t="shared" si="330"/>
        <v>2.3165724999999999</v>
      </c>
      <c r="BT474" s="542">
        <f t="shared" si="330"/>
        <v>2.3165724999999999</v>
      </c>
      <c r="BU474" s="542">
        <f t="shared" si="330"/>
        <v>2.3165724999999999</v>
      </c>
      <c r="BV474" s="542">
        <f t="shared" si="330"/>
        <v>2.3165724999999999</v>
      </c>
      <c r="BW474" s="542">
        <f t="shared" si="330"/>
        <v>2.3165724999999999</v>
      </c>
      <c r="BX474" s="542">
        <f t="shared" si="330"/>
        <v>2.3165724999999999</v>
      </c>
      <c r="BY474" s="542">
        <f t="shared" si="330"/>
        <v>2.3165724999999999</v>
      </c>
      <c r="BZ474" s="542">
        <f t="shared" si="330"/>
        <v>2.3165724999999999</v>
      </c>
      <c r="CA474" s="542">
        <f t="shared" si="330"/>
        <v>2.3165724999999999</v>
      </c>
      <c r="CB474" s="542">
        <f t="shared" si="330"/>
        <v>2.3165724999999999</v>
      </c>
      <c r="CC474" s="542">
        <f t="shared" si="330"/>
        <v>2.3165724999999999</v>
      </c>
      <c r="CD474" s="542">
        <f t="shared" si="330"/>
        <v>2.3165724999999999</v>
      </c>
      <c r="CE474" s="542">
        <f t="shared" si="330"/>
        <v>2.3165724999999999</v>
      </c>
      <c r="CG474" s="541">
        <v>2.3165724999999999</v>
      </c>
      <c r="CH474" s="541">
        <v>2.3165724999999999</v>
      </c>
      <c r="CI474" s="541">
        <v>2.3165724999999999</v>
      </c>
      <c r="CJ474" s="541">
        <v>2.3165724999999999</v>
      </c>
      <c r="CK474" s="541">
        <v>2.3165724999999999</v>
      </c>
      <c r="CL474" s="541">
        <v>2.3165724999999999</v>
      </c>
      <c r="CM474" s="541">
        <v>2.3165724999999999</v>
      </c>
      <c r="CN474" s="541">
        <v>2.3165724999999999</v>
      </c>
      <c r="CO474" s="541">
        <v>2.3165724999999999</v>
      </c>
      <c r="CP474" s="541">
        <v>2.3165724999999999</v>
      </c>
      <c r="CQ474" s="541">
        <v>2.3165724999999999</v>
      </c>
      <c r="CR474" s="541">
        <v>2.3165724999999999</v>
      </c>
      <c r="CS474" s="541">
        <v>2.3165724999999999</v>
      </c>
      <c r="CT474" s="541">
        <v>2.3165724999999999</v>
      </c>
      <c r="CU474" s="541">
        <v>2.3165724999999999</v>
      </c>
      <c r="CV474" s="541">
        <v>2.3165724999999999</v>
      </c>
      <c r="CW474" s="541">
        <v>2.3165724999999999</v>
      </c>
      <c r="CX474" s="541">
        <v>2.3165724999999999</v>
      </c>
      <c r="CY474" s="541">
        <v>2.3165724999999999</v>
      </c>
      <c r="CZ474" s="541">
        <v>2.3165724999999999</v>
      </c>
      <c r="DA474" s="541">
        <v>2.3165724999999999</v>
      </c>
      <c r="DB474" s="541">
        <v>2.3165724999999999</v>
      </c>
      <c r="DC474" s="541">
        <v>2.3165724999999999</v>
      </c>
      <c r="DD474" s="541">
        <v>2.3165724999999999</v>
      </c>
      <c r="DE474" s="541">
        <v>2.3165724999999999</v>
      </c>
      <c r="DF474" s="541">
        <v>2.3165724999999999</v>
      </c>
      <c r="DG474" s="541">
        <v>2.3165724999999999</v>
      </c>
      <c r="DH474" s="541">
        <v>2.3165724999999999</v>
      </c>
    </row>
    <row r="475" spans="2:112">
      <c r="B475" t="s">
        <v>1322</v>
      </c>
      <c r="C475" t="s">
        <v>811</v>
      </c>
      <c r="D475" t="s">
        <v>921</v>
      </c>
      <c r="E475" t="s">
        <v>908</v>
      </c>
      <c r="F475" s="541">
        <v>80.90625</v>
      </c>
      <c r="G475" s="541">
        <v>80.90625</v>
      </c>
      <c r="H475" s="541">
        <v>80.90625</v>
      </c>
      <c r="I475" s="541">
        <v>80.90625</v>
      </c>
      <c r="J475" s="541">
        <v>80.90625</v>
      </c>
      <c r="K475" s="541">
        <v>80.90625</v>
      </c>
      <c r="L475" s="541">
        <v>80.90625</v>
      </c>
      <c r="M475" s="541">
        <v>80.90625</v>
      </c>
      <c r="N475" s="541">
        <v>80.90625</v>
      </c>
      <c r="O475" s="541">
        <v>80.90625</v>
      </c>
      <c r="P475" s="541">
        <v>80.90625</v>
      </c>
      <c r="Q475" s="541">
        <v>80.90625</v>
      </c>
      <c r="R475" s="541">
        <v>80.90625</v>
      </c>
      <c r="S475" s="541">
        <v>80.90625</v>
      </c>
      <c r="T475" s="541">
        <v>80.90625</v>
      </c>
      <c r="U475" s="541">
        <v>80.90625</v>
      </c>
      <c r="V475" s="541">
        <v>80.90625</v>
      </c>
      <c r="W475" s="541">
        <v>80.90625</v>
      </c>
      <c r="X475" s="541">
        <v>80.90625</v>
      </c>
      <c r="Y475" s="541">
        <v>80.90625</v>
      </c>
      <c r="Z475" s="541">
        <v>80.90625</v>
      </c>
      <c r="AA475" s="541">
        <v>80.90625</v>
      </c>
      <c r="AB475" s="541">
        <v>80.90625</v>
      </c>
      <c r="AC475" s="541">
        <v>80.90625</v>
      </c>
      <c r="AD475" s="541">
        <v>80.90625</v>
      </c>
      <c r="AE475" s="541">
        <v>80.90625</v>
      </c>
      <c r="AF475" s="541">
        <v>80.90625</v>
      </c>
      <c r="AG475" s="541">
        <v>80.90625</v>
      </c>
      <c r="AH475" s="542">
        <f t="shared" si="331"/>
        <v>80.90625</v>
      </c>
      <c r="AI475" s="542">
        <f t="shared" si="331"/>
        <v>80.90625</v>
      </c>
      <c r="AJ475" s="542">
        <f t="shared" si="331"/>
        <v>80.90625</v>
      </c>
      <c r="AK475" s="542">
        <f t="shared" si="331"/>
        <v>80.90625</v>
      </c>
      <c r="AL475" s="542">
        <f t="shared" si="331"/>
        <v>80.90625</v>
      </c>
      <c r="AM475" s="542">
        <f t="shared" si="331"/>
        <v>80.90625</v>
      </c>
      <c r="AN475" s="542">
        <f t="shared" si="331"/>
        <v>80.90625</v>
      </c>
      <c r="AO475" s="542">
        <f t="shared" si="331"/>
        <v>80.90625</v>
      </c>
      <c r="AP475" s="542">
        <f t="shared" si="331"/>
        <v>80.90625</v>
      </c>
      <c r="AQ475" s="542">
        <f t="shared" si="331"/>
        <v>80.90625</v>
      </c>
      <c r="AR475" s="542">
        <f t="shared" si="331"/>
        <v>80.90625</v>
      </c>
      <c r="AS475" s="542">
        <f t="shared" si="331"/>
        <v>80.90625</v>
      </c>
      <c r="AT475" s="542">
        <f t="shared" si="331"/>
        <v>80.90625</v>
      </c>
      <c r="AU475" s="542">
        <f t="shared" si="331"/>
        <v>80.90625</v>
      </c>
      <c r="AV475" s="542">
        <f t="shared" si="331"/>
        <v>80.90625</v>
      </c>
      <c r="AW475" s="542">
        <f t="shared" si="331"/>
        <v>80.90625</v>
      </c>
      <c r="AX475" s="542">
        <f t="shared" si="330"/>
        <v>80.90625</v>
      </c>
      <c r="AY475" s="542">
        <f t="shared" si="330"/>
        <v>80.90625</v>
      </c>
      <c r="AZ475" s="542">
        <f t="shared" si="330"/>
        <v>80.90625</v>
      </c>
      <c r="BA475" s="542">
        <f t="shared" si="330"/>
        <v>80.90625</v>
      </c>
      <c r="BB475" s="542">
        <f t="shared" si="330"/>
        <v>80.90625</v>
      </c>
      <c r="BC475" s="542">
        <f t="shared" si="330"/>
        <v>80.90625</v>
      </c>
      <c r="BD475" s="542">
        <f t="shared" si="330"/>
        <v>80.90625</v>
      </c>
      <c r="BE475" s="542">
        <f t="shared" si="330"/>
        <v>80.90625</v>
      </c>
      <c r="BF475" s="542">
        <f t="shared" si="330"/>
        <v>80.90625</v>
      </c>
      <c r="BG475" s="542">
        <f t="shared" si="330"/>
        <v>80.90625</v>
      </c>
      <c r="BH475" s="542">
        <f t="shared" si="330"/>
        <v>80.90625</v>
      </c>
      <c r="BI475" s="542">
        <f t="shared" si="330"/>
        <v>80.90625</v>
      </c>
      <c r="BJ475" s="542">
        <f t="shared" si="330"/>
        <v>80.90625</v>
      </c>
      <c r="BK475" s="542">
        <f t="shared" si="330"/>
        <v>80.90625</v>
      </c>
      <c r="BL475" s="542">
        <f t="shared" si="330"/>
        <v>80.90625</v>
      </c>
      <c r="BM475" s="542">
        <f t="shared" si="330"/>
        <v>80.90625</v>
      </c>
      <c r="BN475" s="542">
        <f t="shared" si="330"/>
        <v>80.90625</v>
      </c>
      <c r="BO475" s="542">
        <f t="shared" si="330"/>
        <v>80.90625</v>
      </c>
      <c r="BP475" s="542">
        <f t="shared" si="330"/>
        <v>80.90625</v>
      </c>
      <c r="BQ475" s="542">
        <f t="shared" si="330"/>
        <v>80.90625</v>
      </c>
      <c r="BR475" s="542">
        <f t="shared" si="330"/>
        <v>80.90625</v>
      </c>
      <c r="BS475" s="542">
        <f t="shared" si="330"/>
        <v>80.90625</v>
      </c>
      <c r="BT475" s="542">
        <f t="shared" si="330"/>
        <v>80.90625</v>
      </c>
      <c r="BU475" s="542">
        <f t="shared" si="330"/>
        <v>80.90625</v>
      </c>
      <c r="BV475" s="542">
        <f t="shared" si="330"/>
        <v>80.90625</v>
      </c>
      <c r="BW475" s="542">
        <f t="shared" si="330"/>
        <v>80.90625</v>
      </c>
      <c r="BX475" s="542">
        <f t="shared" si="330"/>
        <v>80.90625</v>
      </c>
      <c r="BY475" s="542">
        <f t="shared" si="330"/>
        <v>80.90625</v>
      </c>
      <c r="BZ475" s="542">
        <f t="shared" si="330"/>
        <v>80.90625</v>
      </c>
      <c r="CA475" s="542">
        <f t="shared" si="330"/>
        <v>80.90625</v>
      </c>
      <c r="CB475" s="542">
        <f t="shared" si="330"/>
        <v>80.90625</v>
      </c>
      <c r="CC475" s="542">
        <f t="shared" si="330"/>
        <v>80.90625</v>
      </c>
      <c r="CD475" s="542">
        <f t="shared" si="330"/>
        <v>80.90625</v>
      </c>
      <c r="CE475" s="542">
        <f t="shared" si="330"/>
        <v>80.90625</v>
      </c>
      <c r="CG475" s="541">
        <v>80.90625</v>
      </c>
      <c r="CH475" s="541">
        <v>80.90625</v>
      </c>
      <c r="CI475" s="541">
        <v>80.90625</v>
      </c>
      <c r="CJ475" s="541">
        <v>80.90625</v>
      </c>
      <c r="CK475" s="541">
        <v>80.90625</v>
      </c>
      <c r="CL475" s="541">
        <v>80.90625</v>
      </c>
      <c r="CM475" s="541">
        <v>80.90625</v>
      </c>
      <c r="CN475" s="541">
        <v>80.90625</v>
      </c>
      <c r="CO475" s="541">
        <v>80.90625</v>
      </c>
      <c r="CP475" s="541">
        <v>80.90625</v>
      </c>
      <c r="CQ475" s="541">
        <v>80.90625</v>
      </c>
      <c r="CR475" s="541">
        <v>80.90625</v>
      </c>
      <c r="CS475" s="541">
        <v>80.90625</v>
      </c>
      <c r="CT475" s="541">
        <v>80.90625</v>
      </c>
      <c r="CU475" s="541">
        <v>80.90625</v>
      </c>
      <c r="CV475" s="541">
        <v>80.90625</v>
      </c>
      <c r="CW475" s="541">
        <v>80.90625</v>
      </c>
      <c r="CX475" s="541">
        <v>80.90625</v>
      </c>
      <c r="CY475" s="541">
        <v>80.90625</v>
      </c>
      <c r="CZ475" s="541">
        <v>80.90625</v>
      </c>
      <c r="DA475" s="541">
        <v>80.90625</v>
      </c>
      <c r="DB475" s="541">
        <v>80.90625</v>
      </c>
      <c r="DC475" s="541">
        <v>80.90625</v>
      </c>
      <c r="DD475" s="541">
        <v>80.90625</v>
      </c>
      <c r="DE475" s="541">
        <v>80.90625</v>
      </c>
      <c r="DF475" s="541">
        <v>80.90625</v>
      </c>
      <c r="DG475" s="541">
        <v>80.90625</v>
      </c>
      <c r="DH475" s="541">
        <v>80.90625</v>
      </c>
    </row>
    <row r="476" spans="2:112">
      <c r="B476" t="s">
        <v>1323</v>
      </c>
      <c r="C476" t="s">
        <v>811</v>
      </c>
      <c r="D476" t="s">
        <v>923</v>
      </c>
      <c r="E476" t="s">
        <v>911</v>
      </c>
      <c r="F476" s="541">
        <v>2.3301224999999999</v>
      </c>
      <c r="G476" s="541">
        <v>2.3301224999999999</v>
      </c>
      <c r="H476" s="541">
        <v>2.3301224999999999</v>
      </c>
      <c r="I476" s="541">
        <v>2.3301224999999999</v>
      </c>
      <c r="J476" s="541">
        <v>2.3301224999999999</v>
      </c>
      <c r="K476" s="541">
        <v>2.3301224999999999</v>
      </c>
      <c r="L476" s="541">
        <v>2.3301224999999999</v>
      </c>
      <c r="M476" s="541">
        <v>2.3301224999999999</v>
      </c>
      <c r="N476" s="541">
        <v>2.3301224999999999</v>
      </c>
      <c r="O476" s="541">
        <v>2.3301224999999999</v>
      </c>
      <c r="P476" s="541">
        <v>2.3301224999999999</v>
      </c>
      <c r="Q476" s="541">
        <v>2.3301224999999999</v>
      </c>
      <c r="R476" s="541">
        <v>2.3301224999999999</v>
      </c>
      <c r="S476" s="541">
        <v>2.3301224999999999</v>
      </c>
      <c r="T476" s="541">
        <v>2.3301224999999999</v>
      </c>
      <c r="U476" s="541">
        <v>2.3301224999999999</v>
      </c>
      <c r="V476" s="541">
        <v>2.3301224999999999</v>
      </c>
      <c r="W476" s="541">
        <v>2.3301224999999999</v>
      </c>
      <c r="X476" s="541">
        <v>2.3301224999999999</v>
      </c>
      <c r="Y476" s="541">
        <v>2.3301224999999999</v>
      </c>
      <c r="Z476" s="541">
        <v>2.3301224999999999</v>
      </c>
      <c r="AA476" s="541">
        <v>2.3301224999999999</v>
      </c>
      <c r="AB476" s="541">
        <v>2.3301224999999999</v>
      </c>
      <c r="AC476" s="541">
        <v>2.3301224999999999</v>
      </c>
      <c r="AD476" s="541">
        <v>2.3301224999999999</v>
      </c>
      <c r="AE476" s="541">
        <v>2.3301224999999999</v>
      </c>
      <c r="AF476" s="541">
        <v>2.3301224999999999</v>
      </c>
      <c r="AG476" s="541">
        <v>2.3301224999999999</v>
      </c>
      <c r="AH476" s="542">
        <f t="shared" si="331"/>
        <v>2.3301224999999999</v>
      </c>
      <c r="AI476" s="542">
        <f t="shared" si="331"/>
        <v>2.3301224999999999</v>
      </c>
      <c r="AJ476" s="542">
        <f t="shared" si="331"/>
        <v>2.3301224999999999</v>
      </c>
      <c r="AK476" s="542">
        <f t="shared" si="331"/>
        <v>2.3301224999999999</v>
      </c>
      <c r="AL476" s="542">
        <f t="shared" si="331"/>
        <v>2.3301224999999999</v>
      </c>
      <c r="AM476" s="542">
        <f t="shared" si="331"/>
        <v>2.3301224999999999</v>
      </c>
      <c r="AN476" s="542">
        <f t="shared" si="331"/>
        <v>2.3301224999999999</v>
      </c>
      <c r="AO476" s="542">
        <f t="shared" si="331"/>
        <v>2.3301224999999999</v>
      </c>
      <c r="AP476" s="542">
        <f t="shared" si="331"/>
        <v>2.3301224999999999</v>
      </c>
      <c r="AQ476" s="542">
        <f t="shared" si="331"/>
        <v>2.3301224999999999</v>
      </c>
      <c r="AR476" s="542">
        <f t="shared" si="331"/>
        <v>2.3301224999999999</v>
      </c>
      <c r="AS476" s="542">
        <f t="shared" si="331"/>
        <v>2.3301224999999999</v>
      </c>
      <c r="AT476" s="542">
        <f t="shared" si="331"/>
        <v>2.3301224999999999</v>
      </c>
      <c r="AU476" s="542">
        <f t="shared" si="331"/>
        <v>2.3301224999999999</v>
      </c>
      <c r="AV476" s="542">
        <f t="shared" si="331"/>
        <v>2.3301224999999999</v>
      </c>
      <c r="AW476" s="542">
        <f t="shared" si="331"/>
        <v>2.3301224999999999</v>
      </c>
      <c r="AX476" s="542">
        <f t="shared" si="330"/>
        <v>2.3301224999999999</v>
      </c>
      <c r="AY476" s="542">
        <f t="shared" si="330"/>
        <v>2.3301224999999999</v>
      </c>
      <c r="AZ476" s="542">
        <f t="shared" si="330"/>
        <v>2.3301224999999999</v>
      </c>
      <c r="BA476" s="542">
        <f t="shared" si="330"/>
        <v>2.3301224999999999</v>
      </c>
      <c r="BB476" s="542">
        <f t="shared" si="330"/>
        <v>2.3301224999999999</v>
      </c>
      <c r="BC476" s="542">
        <f t="shared" si="330"/>
        <v>2.3301224999999999</v>
      </c>
      <c r="BD476" s="542">
        <f t="shared" si="330"/>
        <v>2.3301224999999999</v>
      </c>
      <c r="BE476" s="542">
        <f t="shared" si="330"/>
        <v>2.3301224999999999</v>
      </c>
      <c r="BF476" s="542">
        <f t="shared" si="330"/>
        <v>2.3301224999999999</v>
      </c>
      <c r="BG476" s="542">
        <f t="shared" si="330"/>
        <v>2.3301224999999999</v>
      </c>
      <c r="BH476" s="542">
        <f t="shared" si="330"/>
        <v>2.3301224999999999</v>
      </c>
      <c r="BI476" s="542">
        <f t="shared" si="330"/>
        <v>2.3301224999999999</v>
      </c>
      <c r="BJ476" s="542">
        <f t="shared" si="330"/>
        <v>2.3301224999999999</v>
      </c>
      <c r="BK476" s="542">
        <f t="shared" si="330"/>
        <v>2.3301224999999999</v>
      </c>
      <c r="BL476" s="542">
        <f t="shared" si="330"/>
        <v>2.3301224999999999</v>
      </c>
      <c r="BM476" s="542">
        <f t="shared" si="330"/>
        <v>2.3301224999999999</v>
      </c>
      <c r="BN476" s="542">
        <f t="shared" si="330"/>
        <v>2.3301224999999999</v>
      </c>
      <c r="BO476" s="542">
        <f t="shared" si="330"/>
        <v>2.3301224999999999</v>
      </c>
      <c r="BP476" s="542">
        <f t="shared" si="330"/>
        <v>2.3301224999999999</v>
      </c>
      <c r="BQ476" s="542">
        <f t="shared" si="330"/>
        <v>2.3301224999999999</v>
      </c>
      <c r="BR476" s="542">
        <f t="shared" si="330"/>
        <v>2.3301224999999999</v>
      </c>
      <c r="BS476" s="542">
        <f t="shared" si="330"/>
        <v>2.3301224999999999</v>
      </c>
      <c r="BT476" s="542">
        <f t="shared" si="330"/>
        <v>2.3301224999999999</v>
      </c>
      <c r="BU476" s="542">
        <f t="shared" si="330"/>
        <v>2.3301224999999999</v>
      </c>
      <c r="BV476" s="542">
        <f t="shared" si="330"/>
        <v>2.3301224999999999</v>
      </c>
      <c r="BW476" s="542">
        <f t="shared" si="330"/>
        <v>2.3301224999999999</v>
      </c>
      <c r="BX476" s="542">
        <f t="shared" si="330"/>
        <v>2.3301224999999999</v>
      </c>
      <c r="BY476" s="542">
        <f t="shared" si="330"/>
        <v>2.3301224999999999</v>
      </c>
      <c r="BZ476" s="542">
        <f t="shared" si="330"/>
        <v>2.3301224999999999</v>
      </c>
      <c r="CA476" s="542">
        <f t="shared" si="330"/>
        <v>2.3301224999999999</v>
      </c>
      <c r="CB476" s="542">
        <f t="shared" si="330"/>
        <v>2.3301224999999999</v>
      </c>
      <c r="CC476" s="542">
        <f t="shared" si="330"/>
        <v>2.3301224999999999</v>
      </c>
      <c r="CD476" s="542">
        <f t="shared" si="330"/>
        <v>2.3301224999999999</v>
      </c>
      <c r="CE476" s="542">
        <f t="shared" si="330"/>
        <v>2.3301224999999999</v>
      </c>
      <c r="CG476" s="541">
        <v>2.3301224999999999</v>
      </c>
      <c r="CH476" s="541">
        <v>2.3301224999999999</v>
      </c>
      <c r="CI476" s="541">
        <v>2.3301224999999999</v>
      </c>
      <c r="CJ476" s="541">
        <v>2.3301224999999999</v>
      </c>
      <c r="CK476" s="541">
        <v>2.3301224999999999</v>
      </c>
      <c r="CL476" s="541">
        <v>2.3301224999999999</v>
      </c>
      <c r="CM476" s="541">
        <v>2.3301224999999999</v>
      </c>
      <c r="CN476" s="541">
        <v>2.3301224999999999</v>
      </c>
      <c r="CO476" s="541">
        <v>2.3301224999999999</v>
      </c>
      <c r="CP476" s="541">
        <v>2.3301224999999999</v>
      </c>
      <c r="CQ476" s="541">
        <v>2.3301224999999999</v>
      </c>
      <c r="CR476" s="541">
        <v>2.3301224999999999</v>
      </c>
      <c r="CS476" s="541">
        <v>2.3301224999999999</v>
      </c>
      <c r="CT476" s="541">
        <v>2.3301224999999999</v>
      </c>
      <c r="CU476" s="541">
        <v>2.3301224999999999</v>
      </c>
      <c r="CV476" s="541">
        <v>2.3301224999999999</v>
      </c>
      <c r="CW476" s="541">
        <v>2.3301224999999999</v>
      </c>
      <c r="CX476" s="541">
        <v>2.3301224999999999</v>
      </c>
      <c r="CY476" s="541">
        <v>2.3301224999999999</v>
      </c>
      <c r="CZ476" s="541">
        <v>2.3301224999999999</v>
      </c>
      <c r="DA476" s="541">
        <v>2.3301224999999999</v>
      </c>
      <c r="DB476" s="541">
        <v>2.3301224999999999</v>
      </c>
      <c r="DC476" s="541">
        <v>2.3301224999999999</v>
      </c>
      <c r="DD476" s="541">
        <v>2.3301224999999999</v>
      </c>
      <c r="DE476" s="541">
        <v>2.3301224999999999</v>
      </c>
      <c r="DF476" s="541">
        <v>2.3301224999999999</v>
      </c>
      <c r="DG476" s="541">
        <v>2.3301224999999999</v>
      </c>
      <c r="DH476" s="541">
        <v>2.3301224999999999</v>
      </c>
    </row>
    <row r="477" spans="2:112">
      <c r="B477" t="s">
        <v>924</v>
      </c>
    </row>
    <row r="478" spans="2:112" ht="15">
      <c r="B478" t="s">
        <v>1324</v>
      </c>
      <c r="C478" s="485" t="s">
        <v>817</v>
      </c>
      <c r="D478" s="485" t="s">
        <v>877</v>
      </c>
      <c r="E478" s="485" t="s">
        <v>111</v>
      </c>
      <c r="F478" s="486">
        <f>2023</f>
        <v>2023</v>
      </c>
      <c r="G478" s="486">
        <f>F478+1</f>
        <v>2024</v>
      </c>
      <c r="H478" s="486">
        <f t="shared" ref="H478:AG478" si="332">G478+1</f>
        <v>2025</v>
      </c>
      <c r="I478" s="486">
        <f t="shared" si="332"/>
        <v>2026</v>
      </c>
      <c r="J478" s="486">
        <f t="shared" si="332"/>
        <v>2027</v>
      </c>
      <c r="K478" s="486">
        <f t="shared" si="332"/>
        <v>2028</v>
      </c>
      <c r="L478" s="486">
        <f t="shared" si="332"/>
        <v>2029</v>
      </c>
      <c r="M478" s="486">
        <f t="shared" si="332"/>
        <v>2030</v>
      </c>
      <c r="N478" s="486">
        <f t="shared" si="332"/>
        <v>2031</v>
      </c>
      <c r="O478" s="486">
        <f t="shared" si="332"/>
        <v>2032</v>
      </c>
      <c r="P478" s="486">
        <f t="shared" si="332"/>
        <v>2033</v>
      </c>
      <c r="Q478" s="486">
        <f t="shared" si="332"/>
        <v>2034</v>
      </c>
      <c r="R478" s="486">
        <f t="shared" si="332"/>
        <v>2035</v>
      </c>
      <c r="S478" s="486">
        <f t="shared" si="332"/>
        <v>2036</v>
      </c>
      <c r="T478" s="486">
        <f t="shared" si="332"/>
        <v>2037</v>
      </c>
      <c r="U478" s="486">
        <f t="shared" si="332"/>
        <v>2038</v>
      </c>
      <c r="V478" s="486">
        <f t="shared" si="332"/>
        <v>2039</v>
      </c>
      <c r="W478" s="486">
        <f t="shared" si="332"/>
        <v>2040</v>
      </c>
      <c r="X478" s="486">
        <f t="shared" si="332"/>
        <v>2041</v>
      </c>
      <c r="Y478" s="486">
        <f t="shared" si="332"/>
        <v>2042</v>
      </c>
      <c r="Z478" s="486">
        <f t="shared" si="332"/>
        <v>2043</v>
      </c>
      <c r="AA478" s="486">
        <f t="shared" si="332"/>
        <v>2044</v>
      </c>
      <c r="AB478" s="486">
        <f t="shared" si="332"/>
        <v>2045</v>
      </c>
      <c r="AC478" s="486">
        <f t="shared" si="332"/>
        <v>2046</v>
      </c>
      <c r="AD478" s="486">
        <f t="shared" si="332"/>
        <v>2047</v>
      </c>
      <c r="AE478" s="486">
        <f t="shared" si="332"/>
        <v>2048</v>
      </c>
      <c r="AF478" s="486">
        <f t="shared" si="332"/>
        <v>2049</v>
      </c>
      <c r="AG478" s="486">
        <f t="shared" si="332"/>
        <v>2050</v>
      </c>
      <c r="AH478" s="524">
        <f>AG478+1</f>
        <v>2051</v>
      </c>
      <c r="AI478" s="524">
        <f t="shared" ref="AI478:CE478" si="333">AH478+1</f>
        <v>2052</v>
      </c>
      <c r="AJ478" s="524">
        <f t="shared" si="333"/>
        <v>2053</v>
      </c>
      <c r="AK478" s="524">
        <f t="shared" si="333"/>
        <v>2054</v>
      </c>
      <c r="AL478" s="524">
        <f t="shared" si="333"/>
        <v>2055</v>
      </c>
      <c r="AM478" s="524">
        <f t="shared" si="333"/>
        <v>2056</v>
      </c>
      <c r="AN478" s="524">
        <f t="shared" si="333"/>
        <v>2057</v>
      </c>
      <c r="AO478" s="524">
        <f t="shared" si="333"/>
        <v>2058</v>
      </c>
      <c r="AP478" s="524">
        <f t="shared" si="333"/>
        <v>2059</v>
      </c>
      <c r="AQ478" s="524">
        <f t="shared" si="333"/>
        <v>2060</v>
      </c>
      <c r="AR478" s="524">
        <f t="shared" si="333"/>
        <v>2061</v>
      </c>
      <c r="AS478" s="524">
        <f t="shared" si="333"/>
        <v>2062</v>
      </c>
      <c r="AT478" s="524">
        <f t="shared" si="333"/>
        <v>2063</v>
      </c>
      <c r="AU478" s="524">
        <f t="shared" si="333"/>
        <v>2064</v>
      </c>
      <c r="AV478" s="524">
        <f t="shared" si="333"/>
        <v>2065</v>
      </c>
      <c r="AW478" s="524">
        <f t="shared" si="333"/>
        <v>2066</v>
      </c>
      <c r="AX478" s="524">
        <f t="shared" si="333"/>
        <v>2067</v>
      </c>
      <c r="AY478" s="524">
        <f t="shared" si="333"/>
        <v>2068</v>
      </c>
      <c r="AZ478" s="524">
        <f t="shared" si="333"/>
        <v>2069</v>
      </c>
      <c r="BA478" s="524">
        <f t="shared" si="333"/>
        <v>2070</v>
      </c>
      <c r="BB478" s="524">
        <f t="shared" si="333"/>
        <v>2071</v>
      </c>
      <c r="BC478" s="524">
        <f t="shared" si="333"/>
        <v>2072</v>
      </c>
      <c r="BD478" s="524">
        <f t="shared" si="333"/>
        <v>2073</v>
      </c>
      <c r="BE478" s="524">
        <f t="shared" si="333"/>
        <v>2074</v>
      </c>
      <c r="BF478" s="524">
        <f t="shared" si="333"/>
        <v>2075</v>
      </c>
      <c r="BG478" s="524">
        <f t="shared" si="333"/>
        <v>2076</v>
      </c>
      <c r="BH478" s="524">
        <f t="shared" si="333"/>
        <v>2077</v>
      </c>
      <c r="BI478" s="524">
        <f t="shared" si="333"/>
        <v>2078</v>
      </c>
      <c r="BJ478" s="524">
        <f t="shared" si="333"/>
        <v>2079</v>
      </c>
      <c r="BK478" s="524">
        <f t="shared" si="333"/>
        <v>2080</v>
      </c>
      <c r="BL478" s="524">
        <f t="shared" si="333"/>
        <v>2081</v>
      </c>
      <c r="BM478" s="524">
        <f t="shared" si="333"/>
        <v>2082</v>
      </c>
      <c r="BN478" s="524">
        <f t="shared" si="333"/>
        <v>2083</v>
      </c>
      <c r="BO478" s="524">
        <f t="shared" si="333"/>
        <v>2084</v>
      </c>
      <c r="BP478" s="524">
        <f t="shared" si="333"/>
        <v>2085</v>
      </c>
      <c r="BQ478" s="524">
        <f t="shared" si="333"/>
        <v>2086</v>
      </c>
      <c r="BR478" s="524">
        <f t="shared" si="333"/>
        <v>2087</v>
      </c>
      <c r="BS478" s="524">
        <f t="shared" si="333"/>
        <v>2088</v>
      </c>
      <c r="BT478" s="524">
        <f t="shared" si="333"/>
        <v>2089</v>
      </c>
      <c r="BU478" s="524">
        <f t="shared" si="333"/>
        <v>2090</v>
      </c>
      <c r="BV478" s="524">
        <f t="shared" si="333"/>
        <v>2091</v>
      </c>
      <c r="BW478" s="524">
        <f t="shared" si="333"/>
        <v>2092</v>
      </c>
      <c r="BX478" s="524">
        <f t="shared" si="333"/>
        <v>2093</v>
      </c>
      <c r="BY478" s="524">
        <f t="shared" si="333"/>
        <v>2094</v>
      </c>
      <c r="BZ478" s="524">
        <f t="shared" si="333"/>
        <v>2095</v>
      </c>
      <c r="CA478" s="524">
        <f t="shared" si="333"/>
        <v>2096</v>
      </c>
      <c r="CB478" s="524">
        <f t="shared" si="333"/>
        <v>2097</v>
      </c>
      <c r="CC478" s="524">
        <f t="shared" si="333"/>
        <v>2098</v>
      </c>
      <c r="CD478" s="524">
        <f t="shared" si="333"/>
        <v>2099</v>
      </c>
      <c r="CE478" s="524">
        <f t="shared" si="333"/>
        <v>2100</v>
      </c>
      <c r="CG478" s="486">
        <v>2023</v>
      </c>
      <c r="CH478" s="486">
        <v>2024</v>
      </c>
      <c r="CI478" s="486">
        <v>2025</v>
      </c>
      <c r="CJ478" s="486">
        <v>2026</v>
      </c>
      <c r="CK478" s="486">
        <v>2027</v>
      </c>
      <c r="CL478" s="486">
        <v>2028</v>
      </c>
      <c r="CM478" s="486">
        <v>2029</v>
      </c>
      <c r="CN478" s="486">
        <v>2030</v>
      </c>
      <c r="CO478" s="486">
        <v>2031</v>
      </c>
      <c r="CP478" s="486">
        <v>2032</v>
      </c>
      <c r="CQ478" s="486">
        <v>2033</v>
      </c>
      <c r="CR478" s="486">
        <v>2034</v>
      </c>
      <c r="CS478" s="486">
        <v>2035</v>
      </c>
      <c r="CT478" s="486">
        <v>2036</v>
      </c>
      <c r="CU478" s="486">
        <v>2037</v>
      </c>
      <c r="CV478" s="486">
        <v>2038</v>
      </c>
      <c r="CW478" s="486">
        <v>2039</v>
      </c>
      <c r="CX478" s="486">
        <v>2040</v>
      </c>
      <c r="CY478" s="486">
        <v>2041</v>
      </c>
      <c r="CZ478" s="486">
        <v>2042</v>
      </c>
      <c r="DA478" s="486">
        <v>2043</v>
      </c>
      <c r="DB478" s="486">
        <v>2044</v>
      </c>
      <c r="DC478" s="486">
        <v>2045</v>
      </c>
      <c r="DD478" s="486">
        <v>2046</v>
      </c>
      <c r="DE478" s="486">
        <v>2047</v>
      </c>
      <c r="DF478" s="486">
        <v>2048</v>
      </c>
      <c r="DG478" s="486">
        <v>2049</v>
      </c>
      <c r="DH478" s="486">
        <v>2050</v>
      </c>
    </row>
    <row r="479" spans="2:112">
      <c r="B479" t="s">
        <v>1325</v>
      </c>
      <c r="C479" t="s">
        <v>817</v>
      </c>
      <c r="D479" t="s">
        <v>879</v>
      </c>
      <c r="E479" t="s">
        <v>813</v>
      </c>
      <c r="F479" s="525">
        <v>1000</v>
      </c>
      <c r="G479" s="525">
        <v>1000</v>
      </c>
      <c r="H479" s="525">
        <v>1000</v>
      </c>
      <c r="I479" s="525">
        <v>1000</v>
      </c>
      <c r="J479" s="525">
        <v>1000</v>
      </c>
      <c r="K479" s="525">
        <v>1000</v>
      </c>
      <c r="L479" s="525">
        <v>1000</v>
      </c>
      <c r="M479" s="525">
        <v>1000</v>
      </c>
      <c r="N479" s="525">
        <v>1000</v>
      </c>
      <c r="O479" s="525">
        <v>1000</v>
      </c>
      <c r="P479" s="525">
        <v>1000</v>
      </c>
      <c r="Q479" s="525">
        <v>1000</v>
      </c>
      <c r="R479" s="525">
        <v>1000</v>
      </c>
      <c r="S479" s="525">
        <v>1000</v>
      </c>
      <c r="T479" s="525">
        <v>1000</v>
      </c>
      <c r="U479" s="525">
        <v>1000</v>
      </c>
      <c r="V479" s="525">
        <v>1000</v>
      </c>
      <c r="W479" s="525">
        <v>1000</v>
      </c>
      <c r="X479" s="525">
        <v>1000</v>
      </c>
      <c r="Y479" s="525">
        <v>1000</v>
      </c>
      <c r="Z479" s="525">
        <v>1000</v>
      </c>
      <c r="AA479" s="525">
        <v>1000</v>
      </c>
      <c r="AB479" s="525">
        <v>1000</v>
      </c>
      <c r="AC479" s="525">
        <v>1000</v>
      </c>
      <c r="AD479" s="525">
        <v>1000</v>
      </c>
      <c r="AE479" s="525">
        <v>1000</v>
      </c>
      <c r="AF479" s="525">
        <v>1000</v>
      </c>
      <c r="AG479" s="525">
        <v>1000</v>
      </c>
      <c r="AH479" s="526">
        <f>AG479</f>
        <v>1000</v>
      </c>
      <c r="AI479" s="526">
        <f t="shared" ref="AI479:AX479" si="334">AH479</f>
        <v>1000</v>
      </c>
      <c r="AJ479" s="526">
        <f t="shared" si="334"/>
        <v>1000</v>
      </c>
      <c r="AK479" s="526">
        <f t="shared" si="334"/>
        <v>1000</v>
      </c>
      <c r="AL479" s="526">
        <f t="shared" si="334"/>
        <v>1000</v>
      </c>
      <c r="AM479" s="526">
        <f t="shared" si="334"/>
        <v>1000</v>
      </c>
      <c r="AN479" s="526">
        <f t="shared" si="334"/>
        <v>1000</v>
      </c>
      <c r="AO479" s="526">
        <f t="shared" si="334"/>
        <v>1000</v>
      </c>
      <c r="AP479" s="526">
        <f t="shared" si="334"/>
        <v>1000</v>
      </c>
      <c r="AQ479" s="526">
        <f t="shared" si="334"/>
        <v>1000</v>
      </c>
      <c r="AR479" s="526">
        <f t="shared" si="334"/>
        <v>1000</v>
      </c>
      <c r="AS479" s="526">
        <f t="shared" si="334"/>
        <v>1000</v>
      </c>
      <c r="AT479" s="526">
        <f t="shared" si="334"/>
        <v>1000</v>
      </c>
      <c r="AU479" s="526">
        <f t="shared" si="334"/>
        <v>1000</v>
      </c>
      <c r="AV479" s="526">
        <f t="shared" si="334"/>
        <v>1000</v>
      </c>
      <c r="AW479" s="526">
        <f t="shared" si="334"/>
        <v>1000</v>
      </c>
      <c r="AX479" s="526">
        <f t="shared" si="334"/>
        <v>1000</v>
      </c>
      <c r="AY479" s="526">
        <f t="shared" ref="AY479:BN479" si="335">AX479</f>
        <v>1000</v>
      </c>
      <c r="AZ479" s="526">
        <f t="shared" si="335"/>
        <v>1000</v>
      </c>
      <c r="BA479" s="526">
        <f t="shared" si="335"/>
        <v>1000</v>
      </c>
      <c r="BB479" s="526">
        <f t="shared" si="335"/>
        <v>1000</v>
      </c>
      <c r="BC479" s="526">
        <f t="shared" si="335"/>
        <v>1000</v>
      </c>
      <c r="BD479" s="526">
        <f t="shared" si="335"/>
        <v>1000</v>
      </c>
      <c r="BE479" s="526">
        <f t="shared" si="335"/>
        <v>1000</v>
      </c>
      <c r="BF479" s="526">
        <f t="shared" si="335"/>
        <v>1000</v>
      </c>
      <c r="BG479" s="526">
        <f t="shared" si="335"/>
        <v>1000</v>
      </c>
      <c r="BH479" s="526">
        <f t="shared" si="335"/>
        <v>1000</v>
      </c>
      <c r="BI479" s="526">
        <f t="shared" si="335"/>
        <v>1000</v>
      </c>
      <c r="BJ479" s="526">
        <f t="shared" si="335"/>
        <v>1000</v>
      </c>
      <c r="BK479" s="526">
        <f t="shared" si="335"/>
        <v>1000</v>
      </c>
      <c r="BL479" s="526">
        <f t="shared" si="335"/>
        <v>1000</v>
      </c>
      <c r="BM479" s="526">
        <f t="shared" si="335"/>
        <v>1000</v>
      </c>
      <c r="BN479" s="526">
        <f t="shared" si="335"/>
        <v>1000</v>
      </c>
      <c r="BO479" s="526">
        <f t="shared" ref="BO479:CD479" si="336">BN479</f>
        <v>1000</v>
      </c>
      <c r="BP479" s="526">
        <f t="shared" si="336"/>
        <v>1000</v>
      </c>
      <c r="BQ479" s="526">
        <f t="shared" si="336"/>
        <v>1000</v>
      </c>
      <c r="BR479" s="526">
        <f t="shared" si="336"/>
        <v>1000</v>
      </c>
      <c r="BS479" s="526">
        <f t="shared" si="336"/>
        <v>1000</v>
      </c>
      <c r="BT479" s="526">
        <f t="shared" si="336"/>
        <v>1000</v>
      </c>
      <c r="BU479" s="526">
        <f t="shared" si="336"/>
        <v>1000</v>
      </c>
      <c r="BV479" s="526">
        <f t="shared" si="336"/>
        <v>1000</v>
      </c>
      <c r="BW479" s="526">
        <f t="shared" si="336"/>
        <v>1000</v>
      </c>
      <c r="BX479" s="526">
        <f t="shared" si="336"/>
        <v>1000</v>
      </c>
      <c r="BY479" s="526">
        <f t="shared" si="336"/>
        <v>1000</v>
      </c>
      <c r="BZ479" s="526">
        <f t="shared" si="336"/>
        <v>1000</v>
      </c>
      <c r="CA479" s="526">
        <f t="shared" si="336"/>
        <v>1000</v>
      </c>
      <c r="CB479" s="526">
        <f t="shared" si="336"/>
        <v>1000</v>
      </c>
      <c r="CC479" s="526">
        <f t="shared" si="336"/>
        <v>1000</v>
      </c>
      <c r="CD479" s="526">
        <f t="shared" si="336"/>
        <v>1000</v>
      </c>
      <c r="CE479" s="526">
        <f t="shared" ref="AX479:CE487" si="337">CD479</f>
        <v>1000</v>
      </c>
      <c r="CG479" s="536">
        <v>1000</v>
      </c>
      <c r="CH479" s="536">
        <v>1000</v>
      </c>
      <c r="CI479" s="536">
        <v>1000</v>
      </c>
      <c r="CJ479" s="536">
        <v>1000</v>
      </c>
      <c r="CK479" s="536">
        <v>1000</v>
      </c>
      <c r="CL479" s="536">
        <v>1000</v>
      </c>
      <c r="CM479" s="536">
        <v>1000</v>
      </c>
      <c r="CN479" s="536">
        <v>1000</v>
      </c>
      <c r="CO479" s="536">
        <v>1000</v>
      </c>
      <c r="CP479" s="536">
        <v>1000</v>
      </c>
      <c r="CQ479" s="536">
        <v>1000</v>
      </c>
      <c r="CR479" s="536">
        <v>1000</v>
      </c>
      <c r="CS479" s="536">
        <v>1000</v>
      </c>
      <c r="CT479" s="536">
        <v>1000</v>
      </c>
      <c r="CU479" s="536">
        <v>1000</v>
      </c>
      <c r="CV479" s="536">
        <v>1000</v>
      </c>
      <c r="CW479" s="536">
        <v>1000</v>
      </c>
      <c r="CX479" s="536">
        <v>1000</v>
      </c>
      <c r="CY479" s="536">
        <v>1000</v>
      </c>
      <c r="CZ479" s="536">
        <v>1000</v>
      </c>
      <c r="DA479" s="536">
        <v>1000</v>
      </c>
      <c r="DB479" s="536">
        <v>1000</v>
      </c>
      <c r="DC479" s="536">
        <v>1000</v>
      </c>
      <c r="DD479" s="536">
        <v>1000</v>
      </c>
      <c r="DE479" s="536">
        <v>1000</v>
      </c>
      <c r="DF479" s="536">
        <v>1000</v>
      </c>
      <c r="DG479" s="536">
        <v>1000</v>
      </c>
      <c r="DH479" s="536">
        <v>1000</v>
      </c>
    </row>
    <row r="480" spans="2:112">
      <c r="B480" t="s">
        <v>1326</v>
      </c>
      <c r="C480" t="s">
        <v>817</v>
      </c>
      <c r="D480" t="s">
        <v>695</v>
      </c>
      <c r="E480" t="s">
        <v>881</v>
      </c>
      <c r="F480" s="525">
        <v>182.5</v>
      </c>
      <c r="G480" s="525">
        <v>182.5</v>
      </c>
      <c r="H480" s="525">
        <v>182.5</v>
      </c>
      <c r="I480" s="525">
        <v>182.5</v>
      </c>
      <c r="J480" s="525">
        <v>182.5</v>
      </c>
      <c r="K480" s="525">
        <v>182.5</v>
      </c>
      <c r="L480" s="525">
        <v>182.5</v>
      </c>
      <c r="M480" s="525">
        <v>182.5</v>
      </c>
      <c r="N480" s="525">
        <v>182.5</v>
      </c>
      <c r="O480" s="525">
        <v>182.5</v>
      </c>
      <c r="P480" s="525">
        <v>182.5</v>
      </c>
      <c r="Q480" s="525">
        <v>182.5</v>
      </c>
      <c r="R480" s="525">
        <v>182.5</v>
      </c>
      <c r="S480" s="525">
        <v>182.5</v>
      </c>
      <c r="T480" s="525">
        <v>182.5</v>
      </c>
      <c r="U480" s="525">
        <v>182.5</v>
      </c>
      <c r="V480" s="525">
        <v>182.5</v>
      </c>
      <c r="W480" s="525">
        <v>182.5</v>
      </c>
      <c r="X480" s="525">
        <v>182.5</v>
      </c>
      <c r="Y480" s="525">
        <v>182.5</v>
      </c>
      <c r="Z480" s="525">
        <v>182.5</v>
      </c>
      <c r="AA480" s="525">
        <v>182.5</v>
      </c>
      <c r="AB480" s="525">
        <v>182.5</v>
      </c>
      <c r="AC480" s="525">
        <v>182.5</v>
      </c>
      <c r="AD480" s="525">
        <v>182.5</v>
      </c>
      <c r="AE480" s="525">
        <v>182.5</v>
      </c>
      <c r="AF480" s="525">
        <v>182.5</v>
      </c>
      <c r="AG480" s="525">
        <v>182.5</v>
      </c>
      <c r="AH480" s="526">
        <f t="shared" ref="AH480:AW489" si="338">AG480</f>
        <v>182.5</v>
      </c>
      <c r="AI480" s="526">
        <f t="shared" si="338"/>
        <v>182.5</v>
      </c>
      <c r="AJ480" s="526">
        <f t="shared" si="338"/>
        <v>182.5</v>
      </c>
      <c r="AK480" s="526">
        <f t="shared" si="338"/>
        <v>182.5</v>
      </c>
      <c r="AL480" s="526">
        <f t="shared" si="338"/>
        <v>182.5</v>
      </c>
      <c r="AM480" s="526">
        <f t="shared" si="338"/>
        <v>182.5</v>
      </c>
      <c r="AN480" s="526">
        <f t="shared" si="338"/>
        <v>182.5</v>
      </c>
      <c r="AO480" s="526">
        <f t="shared" si="338"/>
        <v>182.5</v>
      </c>
      <c r="AP480" s="526">
        <f t="shared" si="338"/>
        <v>182.5</v>
      </c>
      <c r="AQ480" s="526">
        <f t="shared" si="338"/>
        <v>182.5</v>
      </c>
      <c r="AR480" s="526">
        <f t="shared" si="338"/>
        <v>182.5</v>
      </c>
      <c r="AS480" s="526">
        <f t="shared" si="338"/>
        <v>182.5</v>
      </c>
      <c r="AT480" s="526">
        <f t="shared" si="338"/>
        <v>182.5</v>
      </c>
      <c r="AU480" s="526">
        <f t="shared" si="338"/>
        <v>182.5</v>
      </c>
      <c r="AV480" s="526">
        <f t="shared" si="338"/>
        <v>182.5</v>
      </c>
      <c r="AW480" s="526">
        <f t="shared" si="338"/>
        <v>182.5</v>
      </c>
      <c r="AX480" s="526">
        <f t="shared" si="337"/>
        <v>182.5</v>
      </c>
      <c r="AY480" s="526">
        <f t="shared" si="337"/>
        <v>182.5</v>
      </c>
      <c r="AZ480" s="526">
        <f t="shared" si="337"/>
        <v>182.5</v>
      </c>
      <c r="BA480" s="526">
        <f t="shared" si="337"/>
        <v>182.5</v>
      </c>
      <c r="BB480" s="526">
        <f t="shared" si="337"/>
        <v>182.5</v>
      </c>
      <c r="BC480" s="526">
        <f t="shared" si="337"/>
        <v>182.5</v>
      </c>
      <c r="BD480" s="526">
        <f t="shared" si="337"/>
        <v>182.5</v>
      </c>
      <c r="BE480" s="526">
        <f t="shared" si="337"/>
        <v>182.5</v>
      </c>
      <c r="BF480" s="526">
        <f t="shared" si="337"/>
        <v>182.5</v>
      </c>
      <c r="BG480" s="526">
        <f t="shared" si="337"/>
        <v>182.5</v>
      </c>
      <c r="BH480" s="526">
        <f t="shared" si="337"/>
        <v>182.5</v>
      </c>
      <c r="BI480" s="526">
        <f t="shared" si="337"/>
        <v>182.5</v>
      </c>
      <c r="BJ480" s="526">
        <f t="shared" si="337"/>
        <v>182.5</v>
      </c>
      <c r="BK480" s="526">
        <f t="shared" si="337"/>
        <v>182.5</v>
      </c>
      <c r="BL480" s="526">
        <f t="shared" si="337"/>
        <v>182.5</v>
      </c>
      <c r="BM480" s="526">
        <f t="shared" si="337"/>
        <v>182.5</v>
      </c>
      <c r="BN480" s="526">
        <f t="shared" si="337"/>
        <v>182.5</v>
      </c>
      <c r="BO480" s="526">
        <f t="shared" si="337"/>
        <v>182.5</v>
      </c>
      <c r="BP480" s="526">
        <f t="shared" si="337"/>
        <v>182.5</v>
      </c>
      <c r="BQ480" s="526">
        <f t="shared" si="337"/>
        <v>182.5</v>
      </c>
      <c r="BR480" s="526">
        <f t="shared" si="337"/>
        <v>182.5</v>
      </c>
      <c r="BS480" s="526">
        <f t="shared" si="337"/>
        <v>182.5</v>
      </c>
      <c r="BT480" s="526">
        <f t="shared" si="337"/>
        <v>182.5</v>
      </c>
      <c r="BU480" s="526">
        <f t="shared" si="337"/>
        <v>182.5</v>
      </c>
      <c r="BV480" s="526">
        <f t="shared" si="337"/>
        <v>182.5</v>
      </c>
      <c r="BW480" s="526">
        <f t="shared" si="337"/>
        <v>182.5</v>
      </c>
      <c r="BX480" s="526">
        <f t="shared" si="337"/>
        <v>182.5</v>
      </c>
      <c r="BY480" s="526">
        <f t="shared" si="337"/>
        <v>182.5</v>
      </c>
      <c r="BZ480" s="526">
        <f t="shared" si="337"/>
        <v>182.5</v>
      </c>
      <c r="CA480" s="526">
        <f t="shared" si="337"/>
        <v>182.5</v>
      </c>
      <c r="CB480" s="526">
        <f t="shared" si="337"/>
        <v>182.5</v>
      </c>
      <c r="CC480" s="526">
        <f t="shared" si="337"/>
        <v>182.5</v>
      </c>
      <c r="CD480" s="526">
        <f t="shared" si="337"/>
        <v>182.5</v>
      </c>
      <c r="CE480" s="526">
        <f t="shared" si="337"/>
        <v>182.5</v>
      </c>
      <c r="CG480" s="536">
        <v>182.5</v>
      </c>
      <c r="CH480" s="536">
        <v>182.5</v>
      </c>
      <c r="CI480" s="536">
        <v>182.5</v>
      </c>
      <c r="CJ480" s="536">
        <v>182.5</v>
      </c>
      <c r="CK480" s="536">
        <v>182.5</v>
      </c>
      <c r="CL480" s="536">
        <v>182.5</v>
      </c>
      <c r="CM480" s="536">
        <v>182.5</v>
      </c>
      <c r="CN480" s="536">
        <v>182.5</v>
      </c>
      <c r="CO480" s="536">
        <v>182.5</v>
      </c>
      <c r="CP480" s="536">
        <v>182.5</v>
      </c>
      <c r="CQ480" s="536">
        <v>182.5</v>
      </c>
      <c r="CR480" s="536">
        <v>182.5</v>
      </c>
      <c r="CS480" s="536">
        <v>182.5</v>
      </c>
      <c r="CT480" s="536">
        <v>182.5</v>
      </c>
      <c r="CU480" s="536">
        <v>182.5</v>
      </c>
      <c r="CV480" s="536">
        <v>182.5</v>
      </c>
      <c r="CW480" s="536">
        <v>182.5</v>
      </c>
      <c r="CX480" s="536">
        <v>182.5</v>
      </c>
      <c r="CY480" s="536">
        <v>182.5</v>
      </c>
      <c r="CZ480" s="536">
        <v>182.5</v>
      </c>
      <c r="DA480" s="536">
        <v>182.5</v>
      </c>
      <c r="DB480" s="536">
        <v>182.5</v>
      </c>
      <c r="DC480" s="536">
        <v>182.5</v>
      </c>
      <c r="DD480" s="536">
        <v>182.5</v>
      </c>
      <c r="DE480" s="536">
        <v>182.5</v>
      </c>
      <c r="DF480" s="536">
        <v>182.5</v>
      </c>
      <c r="DG480" s="536">
        <v>182.5</v>
      </c>
      <c r="DH480" s="536">
        <v>182.5</v>
      </c>
    </row>
    <row r="481" spans="2:112">
      <c r="B481" t="s">
        <v>1327</v>
      </c>
      <c r="C481" t="s">
        <v>817</v>
      </c>
      <c r="D481" t="s">
        <v>883</v>
      </c>
      <c r="E481" t="s">
        <v>884</v>
      </c>
      <c r="F481" s="525">
        <v>14</v>
      </c>
      <c r="G481" s="525">
        <v>14</v>
      </c>
      <c r="H481" s="525">
        <v>14</v>
      </c>
      <c r="I481" s="525">
        <v>14</v>
      </c>
      <c r="J481" s="525">
        <v>14</v>
      </c>
      <c r="K481" s="525">
        <v>14</v>
      </c>
      <c r="L481" s="525">
        <v>14</v>
      </c>
      <c r="M481" s="525">
        <v>14</v>
      </c>
      <c r="N481" s="525">
        <v>14</v>
      </c>
      <c r="O481" s="525">
        <v>14</v>
      </c>
      <c r="P481" s="525">
        <v>14</v>
      </c>
      <c r="Q481" s="525">
        <v>14</v>
      </c>
      <c r="R481" s="525">
        <v>14</v>
      </c>
      <c r="S481" s="525">
        <v>14</v>
      </c>
      <c r="T481" s="525">
        <v>14</v>
      </c>
      <c r="U481" s="525">
        <v>14</v>
      </c>
      <c r="V481" s="525">
        <v>14</v>
      </c>
      <c r="W481" s="525">
        <v>14</v>
      </c>
      <c r="X481" s="525">
        <v>14</v>
      </c>
      <c r="Y481" s="525">
        <v>14</v>
      </c>
      <c r="Z481" s="525">
        <v>14</v>
      </c>
      <c r="AA481" s="525">
        <v>14</v>
      </c>
      <c r="AB481" s="525">
        <v>14</v>
      </c>
      <c r="AC481" s="525">
        <v>14</v>
      </c>
      <c r="AD481" s="525">
        <v>14</v>
      </c>
      <c r="AE481" s="525">
        <v>14</v>
      </c>
      <c r="AF481" s="525">
        <v>14</v>
      </c>
      <c r="AG481" s="525">
        <v>14</v>
      </c>
      <c r="AH481" s="526">
        <f t="shared" si="338"/>
        <v>14</v>
      </c>
      <c r="AI481" s="526">
        <f t="shared" si="338"/>
        <v>14</v>
      </c>
      <c r="AJ481" s="526">
        <f t="shared" si="338"/>
        <v>14</v>
      </c>
      <c r="AK481" s="526">
        <f t="shared" si="338"/>
        <v>14</v>
      </c>
      <c r="AL481" s="526">
        <f t="shared" si="338"/>
        <v>14</v>
      </c>
      <c r="AM481" s="526">
        <f t="shared" si="338"/>
        <v>14</v>
      </c>
      <c r="AN481" s="526">
        <f t="shared" si="338"/>
        <v>14</v>
      </c>
      <c r="AO481" s="526">
        <f t="shared" si="338"/>
        <v>14</v>
      </c>
      <c r="AP481" s="526">
        <f t="shared" si="338"/>
        <v>14</v>
      </c>
      <c r="AQ481" s="526">
        <f t="shared" si="338"/>
        <v>14</v>
      </c>
      <c r="AR481" s="526">
        <f t="shared" si="338"/>
        <v>14</v>
      </c>
      <c r="AS481" s="526">
        <f t="shared" si="338"/>
        <v>14</v>
      </c>
      <c r="AT481" s="526">
        <f t="shared" si="338"/>
        <v>14</v>
      </c>
      <c r="AU481" s="526">
        <f t="shared" si="338"/>
        <v>14</v>
      </c>
      <c r="AV481" s="526">
        <f t="shared" si="338"/>
        <v>14</v>
      </c>
      <c r="AW481" s="526">
        <f t="shared" si="338"/>
        <v>14</v>
      </c>
      <c r="AX481" s="526">
        <f t="shared" si="337"/>
        <v>14</v>
      </c>
      <c r="AY481" s="526">
        <f t="shared" si="337"/>
        <v>14</v>
      </c>
      <c r="AZ481" s="526">
        <f t="shared" si="337"/>
        <v>14</v>
      </c>
      <c r="BA481" s="526">
        <f t="shared" si="337"/>
        <v>14</v>
      </c>
      <c r="BB481" s="526">
        <f t="shared" si="337"/>
        <v>14</v>
      </c>
      <c r="BC481" s="526">
        <f t="shared" si="337"/>
        <v>14</v>
      </c>
      <c r="BD481" s="526">
        <f t="shared" si="337"/>
        <v>14</v>
      </c>
      <c r="BE481" s="526">
        <f t="shared" si="337"/>
        <v>14</v>
      </c>
      <c r="BF481" s="526">
        <f t="shared" si="337"/>
        <v>14</v>
      </c>
      <c r="BG481" s="526">
        <f t="shared" si="337"/>
        <v>14</v>
      </c>
      <c r="BH481" s="526">
        <f t="shared" si="337"/>
        <v>14</v>
      </c>
      <c r="BI481" s="526">
        <f t="shared" si="337"/>
        <v>14</v>
      </c>
      <c r="BJ481" s="526">
        <f t="shared" si="337"/>
        <v>14</v>
      </c>
      <c r="BK481" s="526">
        <f t="shared" si="337"/>
        <v>14</v>
      </c>
      <c r="BL481" s="526">
        <f t="shared" si="337"/>
        <v>14</v>
      </c>
      <c r="BM481" s="526">
        <f t="shared" si="337"/>
        <v>14</v>
      </c>
      <c r="BN481" s="526">
        <f t="shared" si="337"/>
        <v>14</v>
      </c>
      <c r="BO481" s="526">
        <f t="shared" si="337"/>
        <v>14</v>
      </c>
      <c r="BP481" s="526">
        <f t="shared" si="337"/>
        <v>14</v>
      </c>
      <c r="BQ481" s="526">
        <f t="shared" si="337"/>
        <v>14</v>
      </c>
      <c r="BR481" s="526">
        <f t="shared" si="337"/>
        <v>14</v>
      </c>
      <c r="BS481" s="526">
        <f t="shared" si="337"/>
        <v>14</v>
      </c>
      <c r="BT481" s="526">
        <f t="shared" si="337"/>
        <v>14</v>
      </c>
      <c r="BU481" s="526">
        <f t="shared" si="337"/>
        <v>14</v>
      </c>
      <c r="BV481" s="526">
        <f t="shared" si="337"/>
        <v>14</v>
      </c>
      <c r="BW481" s="526">
        <f t="shared" si="337"/>
        <v>14</v>
      </c>
      <c r="BX481" s="526">
        <f t="shared" si="337"/>
        <v>14</v>
      </c>
      <c r="BY481" s="526">
        <f t="shared" si="337"/>
        <v>14</v>
      </c>
      <c r="BZ481" s="526">
        <f t="shared" si="337"/>
        <v>14</v>
      </c>
      <c r="CA481" s="526">
        <f t="shared" si="337"/>
        <v>14</v>
      </c>
      <c r="CB481" s="526">
        <f t="shared" si="337"/>
        <v>14</v>
      </c>
      <c r="CC481" s="526">
        <f t="shared" si="337"/>
        <v>14</v>
      </c>
      <c r="CD481" s="526">
        <f t="shared" si="337"/>
        <v>14</v>
      </c>
      <c r="CE481" s="526">
        <f t="shared" si="337"/>
        <v>14</v>
      </c>
      <c r="CG481" s="536">
        <v>14</v>
      </c>
      <c r="CH481" s="536">
        <v>14</v>
      </c>
      <c r="CI481" s="536">
        <v>14</v>
      </c>
      <c r="CJ481" s="536">
        <v>14</v>
      </c>
      <c r="CK481" s="536">
        <v>14</v>
      </c>
      <c r="CL481" s="536">
        <v>14</v>
      </c>
      <c r="CM481" s="536">
        <v>14</v>
      </c>
      <c r="CN481" s="536">
        <v>14</v>
      </c>
      <c r="CO481" s="536">
        <v>14</v>
      </c>
      <c r="CP481" s="536">
        <v>14</v>
      </c>
      <c r="CQ481" s="536">
        <v>14</v>
      </c>
      <c r="CR481" s="536">
        <v>14</v>
      </c>
      <c r="CS481" s="536">
        <v>14</v>
      </c>
      <c r="CT481" s="536">
        <v>14</v>
      </c>
      <c r="CU481" s="536">
        <v>14</v>
      </c>
      <c r="CV481" s="536">
        <v>14</v>
      </c>
      <c r="CW481" s="536">
        <v>14</v>
      </c>
      <c r="CX481" s="536">
        <v>14</v>
      </c>
      <c r="CY481" s="536">
        <v>14</v>
      </c>
      <c r="CZ481" s="536">
        <v>14</v>
      </c>
      <c r="DA481" s="536">
        <v>14</v>
      </c>
      <c r="DB481" s="536">
        <v>14</v>
      </c>
      <c r="DC481" s="536">
        <v>14</v>
      </c>
      <c r="DD481" s="536">
        <v>14</v>
      </c>
      <c r="DE481" s="536">
        <v>14</v>
      </c>
      <c r="DF481" s="536">
        <v>14</v>
      </c>
      <c r="DG481" s="536">
        <v>14</v>
      </c>
      <c r="DH481" s="536">
        <v>14</v>
      </c>
    </row>
    <row r="482" spans="2:112">
      <c r="B482" t="s">
        <v>1328</v>
      </c>
      <c r="C482" t="s">
        <v>817</v>
      </c>
      <c r="D482" t="s">
        <v>886</v>
      </c>
      <c r="E482" t="s">
        <v>178</v>
      </c>
      <c r="F482" s="537">
        <v>0.51</v>
      </c>
      <c r="G482" s="537">
        <v>0.51</v>
      </c>
      <c r="H482" s="537">
        <v>0.51</v>
      </c>
      <c r="I482" s="537">
        <v>0.51</v>
      </c>
      <c r="J482" s="537">
        <v>0.51</v>
      </c>
      <c r="K482" s="537">
        <v>0.51</v>
      </c>
      <c r="L482" s="537">
        <v>0.51</v>
      </c>
      <c r="M482" s="537">
        <v>0.51</v>
      </c>
      <c r="N482" s="537">
        <v>0.51</v>
      </c>
      <c r="O482" s="537">
        <v>0.51</v>
      </c>
      <c r="P482" s="537">
        <v>0.51</v>
      </c>
      <c r="Q482" s="537">
        <v>0.51</v>
      </c>
      <c r="R482" s="537">
        <v>0.51</v>
      </c>
      <c r="S482" s="537">
        <v>0.51</v>
      </c>
      <c r="T482" s="537">
        <v>0.51</v>
      </c>
      <c r="U482" s="537">
        <v>0.51</v>
      </c>
      <c r="V482" s="537">
        <v>0.51</v>
      </c>
      <c r="W482" s="537">
        <v>0.51</v>
      </c>
      <c r="X482" s="537">
        <v>0.51</v>
      </c>
      <c r="Y482" s="537">
        <v>0.51</v>
      </c>
      <c r="Z482" s="537">
        <v>0.51</v>
      </c>
      <c r="AA482" s="537">
        <v>0.51</v>
      </c>
      <c r="AB482" s="537">
        <v>0.51</v>
      </c>
      <c r="AC482" s="537">
        <v>0.51</v>
      </c>
      <c r="AD482" s="537">
        <v>0.51</v>
      </c>
      <c r="AE482" s="537">
        <v>0.51</v>
      </c>
      <c r="AF482" s="537">
        <v>0.51</v>
      </c>
      <c r="AG482" s="537">
        <v>0.51</v>
      </c>
      <c r="AH482" s="526">
        <f t="shared" si="338"/>
        <v>0.51</v>
      </c>
      <c r="AI482" s="526">
        <f t="shared" si="338"/>
        <v>0.51</v>
      </c>
      <c r="AJ482" s="526">
        <f t="shared" si="338"/>
        <v>0.51</v>
      </c>
      <c r="AK482" s="526">
        <f t="shared" si="338"/>
        <v>0.51</v>
      </c>
      <c r="AL482" s="526">
        <f t="shared" si="338"/>
        <v>0.51</v>
      </c>
      <c r="AM482" s="526">
        <f t="shared" si="338"/>
        <v>0.51</v>
      </c>
      <c r="AN482" s="526">
        <f t="shared" si="338"/>
        <v>0.51</v>
      </c>
      <c r="AO482" s="526">
        <f t="shared" si="338"/>
        <v>0.51</v>
      </c>
      <c r="AP482" s="526">
        <f t="shared" si="338"/>
        <v>0.51</v>
      </c>
      <c r="AQ482" s="526">
        <f t="shared" si="338"/>
        <v>0.51</v>
      </c>
      <c r="AR482" s="526">
        <f t="shared" si="338"/>
        <v>0.51</v>
      </c>
      <c r="AS482" s="526">
        <f t="shared" si="338"/>
        <v>0.51</v>
      </c>
      <c r="AT482" s="526">
        <f t="shared" si="338"/>
        <v>0.51</v>
      </c>
      <c r="AU482" s="526">
        <f t="shared" si="338"/>
        <v>0.51</v>
      </c>
      <c r="AV482" s="526">
        <f t="shared" si="338"/>
        <v>0.51</v>
      </c>
      <c r="AW482" s="526">
        <f t="shared" si="338"/>
        <v>0.51</v>
      </c>
      <c r="AX482" s="526">
        <f t="shared" si="337"/>
        <v>0.51</v>
      </c>
      <c r="AY482" s="526">
        <f t="shared" si="337"/>
        <v>0.51</v>
      </c>
      <c r="AZ482" s="526">
        <f t="shared" si="337"/>
        <v>0.51</v>
      </c>
      <c r="BA482" s="526">
        <f t="shared" si="337"/>
        <v>0.51</v>
      </c>
      <c r="BB482" s="526">
        <f t="shared" si="337"/>
        <v>0.51</v>
      </c>
      <c r="BC482" s="526">
        <f t="shared" si="337"/>
        <v>0.51</v>
      </c>
      <c r="BD482" s="526">
        <f t="shared" si="337"/>
        <v>0.51</v>
      </c>
      <c r="BE482" s="526">
        <f t="shared" si="337"/>
        <v>0.51</v>
      </c>
      <c r="BF482" s="526">
        <f t="shared" si="337"/>
        <v>0.51</v>
      </c>
      <c r="BG482" s="526">
        <f t="shared" si="337"/>
        <v>0.51</v>
      </c>
      <c r="BH482" s="526">
        <f t="shared" si="337"/>
        <v>0.51</v>
      </c>
      <c r="BI482" s="526">
        <f t="shared" si="337"/>
        <v>0.51</v>
      </c>
      <c r="BJ482" s="526">
        <f t="shared" si="337"/>
        <v>0.51</v>
      </c>
      <c r="BK482" s="526">
        <f t="shared" si="337"/>
        <v>0.51</v>
      </c>
      <c r="BL482" s="526">
        <f t="shared" si="337"/>
        <v>0.51</v>
      </c>
      <c r="BM482" s="526">
        <f t="shared" si="337"/>
        <v>0.51</v>
      </c>
      <c r="BN482" s="526">
        <f t="shared" si="337"/>
        <v>0.51</v>
      </c>
      <c r="BO482" s="526">
        <f t="shared" si="337"/>
        <v>0.51</v>
      </c>
      <c r="BP482" s="526">
        <f t="shared" si="337"/>
        <v>0.51</v>
      </c>
      <c r="BQ482" s="526">
        <f t="shared" si="337"/>
        <v>0.51</v>
      </c>
      <c r="BR482" s="526">
        <f t="shared" si="337"/>
        <v>0.51</v>
      </c>
      <c r="BS482" s="526">
        <f t="shared" si="337"/>
        <v>0.51</v>
      </c>
      <c r="BT482" s="526">
        <f t="shared" si="337"/>
        <v>0.51</v>
      </c>
      <c r="BU482" s="526">
        <f t="shared" si="337"/>
        <v>0.51</v>
      </c>
      <c r="BV482" s="526">
        <f t="shared" si="337"/>
        <v>0.51</v>
      </c>
      <c r="BW482" s="526">
        <f t="shared" si="337"/>
        <v>0.51</v>
      </c>
      <c r="BX482" s="526">
        <f t="shared" si="337"/>
        <v>0.51</v>
      </c>
      <c r="BY482" s="526">
        <f t="shared" si="337"/>
        <v>0.51</v>
      </c>
      <c r="BZ482" s="526">
        <f t="shared" si="337"/>
        <v>0.51</v>
      </c>
      <c r="CA482" s="526">
        <f t="shared" si="337"/>
        <v>0.51</v>
      </c>
      <c r="CB482" s="526">
        <f t="shared" si="337"/>
        <v>0.51</v>
      </c>
      <c r="CC482" s="526">
        <f t="shared" si="337"/>
        <v>0.51</v>
      </c>
      <c r="CD482" s="526">
        <f t="shared" si="337"/>
        <v>0.51</v>
      </c>
      <c r="CE482" s="526">
        <f t="shared" si="337"/>
        <v>0.51</v>
      </c>
      <c r="CG482" s="537">
        <v>0.51</v>
      </c>
      <c r="CH482" s="537">
        <v>0.51</v>
      </c>
      <c r="CI482" s="537">
        <v>0.51</v>
      </c>
      <c r="CJ482" s="537">
        <v>0.51</v>
      </c>
      <c r="CK482" s="537">
        <v>0.51</v>
      </c>
      <c r="CL482" s="537">
        <v>0.51</v>
      </c>
      <c r="CM482" s="537">
        <v>0.51</v>
      </c>
      <c r="CN482" s="537">
        <v>0.51</v>
      </c>
      <c r="CO482" s="537">
        <v>0.51</v>
      </c>
      <c r="CP482" s="537">
        <v>0.51</v>
      </c>
      <c r="CQ482" s="537">
        <v>0.51</v>
      </c>
      <c r="CR482" s="537">
        <v>0.51</v>
      </c>
      <c r="CS482" s="537">
        <v>0.51</v>
      </c>
      <c r="CT482" s="537">
        <v>0.51</v>
      </c>
      <c r="CU482" s="537">
        <v>0.51</v>
      </c>
      <c r="CV482" s="537">
        <v>0.51</v>
      </c>
      <c r="CW482" s="537">
        <v>0.51</v>
      </c>
      <c r="CX482" s="537">
        <v>0.51</v>
      </c>
      <c r="CY482" s="537">
        <v>0.51</v>
      </c>
      <c r="CZ482" s="537">
        <v>0.51</v>
      </c>
      <c r="DA482" s="537">
        <v>0.51</v>
      </c>
      <c r="DB482" s="537">
        <v>0.51</v>
      </c>
      <c r="DC482" s="537">
        <v>0.51</v>
      </c>
      <c r="DD482" s="537">
        <v>0.51</v>
      </c>
      <c r="DE482" s="537">
        <v>0.51</v>
      </c>
      <c r="DF482" s="537">
        <v>0.51</v>
      </c>
      <c r="DG482" s="537">
        <v>0.51</v>
      </c>
      <c r="DH482" s="537">
        <v>0.51</v>
      </c>
    </row>
    <row r="483" spans="2:112">
      <c r="B483" t="s">
        <v>1329</v>
      </c>
      <c r="C483" t="s">
        <v>817</v>
      </c>
      <c r="D483" t="s">
        <v>888</v>
      </c>
      <c r="E483" t="s">
        <v>178</v>
      </c>
      <c r="F483" s="537">
        <v>0.51</v>
      </c>
      <c r="G483" s="537">
        <v>0.51</v>
      </c>
      <c r="H483" s="537">
        <v>0.51</v>
      </c>
      <c r="I483" s="537">
        <v>0.51</v>
      </c>
      <c r="J483" s="537">
        <v>0.51</v>
      </c>
      <c r="K483" s="537">
        <v>0.51</v>
      </c>
      <c r="L483" s="537">
        <v>0.51</v>
      </c>
      <c r="M483" s="537">
        <v>0.51</v>
      </c>
      <c r="N483" s="537">
        <v>0.51</v>
      </c>
      <c r="O483" s="537">
        <v>0.51</v>
      </c>
      <c r="P483" s="537">
        <v>0.51</v>
      </c>
      <c r="Q483" s="537">
        <v>0.51</v>
      </c>
      <c r="R483" s="537">
        <v>0.51</v>
      </c>
      <c r="S483" s="537">
        <v>0.51</v>
      </c>
      <c r="T483" s="537">
        <v>0.51</v>
      </c>
      <c r="U483" s="537">
        <v>0.51</v>
      </c>
      <c r="V483" s="537">
        <v>0.51</v>
      </c>
      <c r="W483" s="537">
        <v>0.51</v>
      </c>
      <c r="X483" s="537">
        <v>0.51</v>
      </c>
      <c r="Y483" s="537">
        <v>0.51</v>
      </c>
      <c r="Z483" s="537">
        <v>0.51</v>
      </c>
      <c r="AA483" s="537">
        <v>0.51</v>
      </c>
      <c r="AB483" s="537">
        <v>0.51</v>
      </c>
      <c r="AC483" s="537">
        <v>0.51</v>
      </c>
      <c r="AD483" s="537">
        <v>0.51</v>
      </c>
      <c r="AE483" s="537">
        <v>0.51</v>
      </c>
      <c r="AF483" s="537">
        <v>0.51</v>
      </c>
      <c r="AG483" s="537">
        <v>0.51</v>
      </c>
      <c r="AH483" s="526">
        <f t="shared" si="338"/>
        <v>0.51</v>
      </c>
      <c r="AI483" s="526">
        <f t="shared" si="338"/>
        <v>0.51</v>
      </c>
      <c r="AJ483" s="526">
        <f t="shared" si="338"/>
        <v>0.51</v>
      </c>
      <c r="AK483" s="526">
        <f t="shared" si="338"/>
        <v>0.51</v>
      </c>
      <c r="AL483" s="526">
        <f t="shared" si="338"/>
        <v>0.51</v>
      </c>
      <c r="AM483" s="526">
        <f t="shared" si="338"/>
        <v>0.51</v>
      </c>
      <c r="AN483" s="526">
        <f t="shared" si="338"/>
        <v>0.51</v>
      </c>
      <c r="AO483" s="526">
        <f t="shared" si="338"/>
        <v>0.51</v>
      </c>
      <c r="AP483" s="526">
        <f t="shared" si="338"/>
        <v>0.51</v>
      </c>
      <c r="AQ483" s="526">
        <f t="shared" si="338"/>
        <v>0.51</v>
      </c>
      <c r="AR483" s="526">
        <f t="shared" si="338"/>
        <v>0.51</v>
      </c>
      <c r="AS483" s="526">
        <f t="shared" si="338"/>
        <v>0.51</v>
      </c>
      <c r="AT483" s="526">
        <f t="shared" si="338"/>
        <v>0.51</v>
      </c>
      <c r="AU483" s="526">
        <f t="shared" si="338"/>
        <v>0.51</v>
      </c>
      <c r="AV483" s="526">
        <f t="shared" si="338"/>
        <v>0.51</v>
      </c>
      <c r="AW483" s="526">
        <f t="shared" si="338"/>
        <v>0.51</v>
      </c>
      <c r="AX483" s="526">
        <f t="shared" si="337"/>
        <v>0.51</v>
      </c>
      <c r="AY483" s="526">
        <f t="shared" si="337"/>
        <v>0.51</v>
      </c>
      <c r="AZ483" s="526">
        <f t="shared" si="337"/>
        <v>0.51</v>
      </c>
      <c r="BA483" s="526">
        <f t="shared" si="337"/>
        <v>0.51</v>
      </c>
      <c r="BB483" s="526">
        <f t="shared" si="337"/>
        <v>0.51</v>
      </c>
      <c r="BC483" s="526">
        <f t="shared" si="337"/>
        <v>0.51</v>
      </c>
      <c r="BD483" s="526">
        <f t="shared" si="337"/>
        <v>0.51</v>
      </c>
      <c r="BE483" s="526">
        <f t="shared" si="337"/>
        <v>0.51</v>
      </c>
      <c r="BF483" s="526">
        <f t="shared" si="337"/>
        <v>0.51</v>
      </c>
      <c r="BG483" s="526">
        <f t="shared" si="337"/>
        <v>0.51</v>
      </c>
      <c r="BH483" s="526">
        <f t="shared" si="337"/>
        <v>0.51</v>
      </c>
      <c r="BI483" s="526">
        <f t="shared" si="337"/>
        <v>0.51</v>
      </c>
      <c r="BJ483" s="526">
        <f t="shared" si="337"/>
        <v>0.51</v>
      </c>
      <c r="BK483" s="526">
        <f t="shared" si="337"/>
        <v>0.51</v>
      </c>
      <c r="BL483" s="526">
        <f t="shared" si="337"/>
        <v>0.51</v>
      </c>
      <c r="BM483" s="526">
        <f t="shared" si="337"/>
        <v>0.51</v>
      </c>
      <c r="BN483" s="526">
        <f t="shared" si="337"/>
        <v>0.51</v>
      </c>
      <c r="BO483" s="526">
        <f t="shared" si="337"/>
        <v>0.51</v>
      </c>
      <c r="BP483" s="526">
        <f t="shared" si="337"/>
        <v>0.51</v>
      </c>
      <c r="BQ483" s="526">
        <f t="shared" si="337"/>
        <v>0.51</v>
      </c>
      <c r="BR483" s="526">
        <f t="shared" si="337"/>
        <v>0.51</v>
      </c>
      <c r="BS483" s="526">
        <f t="shared" si="337"/>
        <v>0.51</v>
      </c>
      <c r="BT483" s="526">
        <f t="shared" si="337"/>
        <v>0.51</v>
      </c>
      <c r="BU483" s="526">
        <f t="shared" si="337"/>
        <v>0.51</v>
      </c>
      <c r="BV483" s="526">
        <f t="shared" si="337"/>
        <v>0.51</v>
      </c>
      <c r="BW483" s="526">
        <f t="shared" si="337"/>
        <v>0.51</v>
      </c>
      <c r="BX483" s="526">
        <f t="shared" si="337"/>
        <v>0.51</v>
      </c>
      <c r="BY483" s="526">
        <f t="shared" si="337"/>
        <v>0.51</v>
      </c>
      <c r="BZ483" s="526">
        <f t="shared" si="337"/>
        <v>0.51</v>
      </c>
      <c r="CA483" s="526">
        <f t="shared" si="337"/>
        <v>0.51</v>
      </c>
      <c r="CB483" s="526">
        <f t="shared" si="337"/>
        <v>0.51</v>
      </c>
      <c r="CC483" s="526">
        <f t="shared" si="337"/>
        <v>0.51</v>
      </c>
      <c r="CD483" s="526">
        <f t="shared" si="337"/>
        <v>0.51</v>
      </c>
      <c r="CE483" s="526">
        <f t="shared" si="337"/>
        <v>0.51</v>
      </c>
      <c r="CG483" s="537">
        <v>0.51</v>
      </c>
      <c r="CH483" s="537">
        <v>0.51</v>
      </c>
      <c r="CI483" s="537">
        <v>0.51</v>
      </c>
      <c r="CJ483" s="537">
        <v>0.51</v>
      </c>
      <c r="CK483" s="537">
        <v>0.51</v>
      </c>
      <c r="CL483" s="537">
        <v>0.51</v>
      </c>
      <c r="CM483" s="537">
        <v>0.51</v>
      </c>
      <c r="CN483" s="537">
        <v>0.51</v>
      </c>
      <c r="CO483" s="537">
        <v>0.51</v>
      </c>
      <c r="CP483" s="537">
        <v>0.51</v>
      </c>
      <c r="CQ483" s="537">
        <v>0.51</v>
      </c>
      <c r="CR483" s="537">
        <v>0.51</v>
      </c>
      <c r="CS483" s="537">
        <v>0.51</v>
      </c>
      <c r="CT483" s="537">
        <v>0.51</v>
      </c>
      <c r="CU483" s="537">
        <v>0.51</v>
      </c>
      <c r="CV483" s="537">
        <v>0.51</v>
      </c>
      <c r="CW483" s="537">
        <v>0.51</v>
      </c>
      <c r="CX483" s="537">
        <v>0.51</v>
      </c>
      <c r="CY483" s="537">
        <v>0.51</v>
      </c>
      <c r="CZ483" s="537">
        <v>0.51</v>
      </c>
      <c r="DA483" s="537">
        <v>0.51</v>
      </c>
      <c r="DB483" s="537">
        <v>0.51</v>
      </c>
      <c r="DC483" s="537">
        <v>0.51</v>
      </c>
      <c r="DD483" s="537">
        <v>0.51</v>
      </c>
      <c r="DE483" s="537">
        <v>0.51</v>
      </c>
      <c r="DF483" s="537">
        <v>0.51</v>
      </c>
      <c r="DG483" s="537">
        <v>0.51</v>
      </c>
      <c r="DH483" s="537">
        <v>0.51</v>
      </c>
    </row>
    <row r="484" spans="2:112">
      <c r="B484" t="s">
        <v>1330</v>
      </c>
      <c r="C484" t="s">
        <v>817</v>
      </c>
      <c r="D484" t="s">
        <v>890</v>
      </c>
      <c r="E484" t="s">
        <v>178</v>
      </c>
      <c r="F484" s="537">
        <v>0.51</v>
      </c>
      <c r="G484" s="537">
        <v>0.51</v>
      </c>
      <c r="H484" s="537">
        <v>0.51</v>
      </c>
      <c r="I484" s="537">
        <v>0.51</v>
      </c>
      <c r="J484" s="537">
        <v>0.51</v>
      </c>
      <c r="K484" s="537">
        <v>0.51</v>
      </c>
      <c r="L484" s="537">
        <v>0.51</v>
      </c>
      <c r="M484" s="537">
        <v>0.51</v>
      </c>
      <c r="N484" s="537">
        <v>0.51</v>
      </c>
      <c r="O484" s="537">
        <v>0.51</v>
      </c>
      <c r="P484" s="537">
        <v>0.51</v>
      </c>
      <c r="Q484" s="537">
        <v>0.51</v>
      </c>
      <c r="R484" s="537">
        <v>0.51</v>
      </c>
      <c r="S484" s="537">
        <v>0.51</v>
      </c>
      <c r="T484" s="537">
        <v>0.51</v>
      </c>
      <c r="U484" s="537">
        <v>0.51</v>
      </c>
      <c r="V484" s="537">
        <v>0.51</v>
      </c>
      <c r="W484" s="537">
        <v>0.51</v>
      </c>
      <c r="X484" s="537">
        <v>0.51</v>
      </c>
      <c r="Y484" s="537">
        <v>0.51</v>
      </c>
      <c r="Z484" s="537">
        <v>0.51</v>
      </c>
      <c r="AA484" s="537">
        <v>0.51</v>
      </c>
      <c r="AB484" s="537">
        <v>0.51</v>
      </c>
      <c r="AC484" s="537">
        <v>0.51</v>
      </c>
      <c r="AD484" s="537">
        <v>0.51</v>
      </c>
      <c r="AE484" s="537">
        <v>0.51</v>
      </c>
      <c r="AF484" s="537">
        <v>0.51</v>
      </c>
      <c r="AG484" s="537">
        <v>0.51</v>
      </c>
      <c r="AH484" s="526">
        <f t="shared" si="338"/>
        <v>0.51</v>
      </c>
      <c r="AI484" s="526">
        <f t="shared" si="338"/>
        <v>0.51</v>
      </c>
      <c r="AJ484" s="526">
        <f t="shared" si="338"/>
        <v>0.51</v>
      </c>
      <c r="AK484" s="526">
        <f t="shared" si="338"/>
        <v>0.51</v>
      </c>
      <c r="AL484" s="526">
        <f t="shared" si="338"/>
        <v>0.51</v>
      </c>
      <c r="AM484" s="526">
        <f t="shared" si="338"/>
        <v>0.51</v>
      </c>
      <c r="AN484" s="526">
        <f t="shared" si="338"/>
        <v>0.51</v>
      </c>
      <c r="AO484" s="526">
        <f t="shared" si="338"/>
        <v>0.51</v>
      </c>
      <c r="AP484" s="526">
        <f t="shared" si="338"/>
        <v>0.51</v>
      </c>
      <c r="AQ484" s="526">
        <f t="shared" si="338"/>
        <v>0.51</v>
      </c>
      <c r="AR484" s="526">
        <f t="shared" si="338"/>
        <v>0.51</v>
      </c>
      <c r="AS484" s="526">
        <f t="shared" si="338"/>
        <v>0.51</v>
      </c>
      <c r="AT484" s="526">
        <f t="shared" si="338"/>
        <v>0.51</v>
      </c>
      <c r="AU484" s="526">
        <f t="shared" si="338"/>
        <v>0.51</v>
      </c>
      <c r="AV484" s="526">
        <f t="shared" si="338"/>
        <v>0.51</v>
      </c>
      <c r="AW484" s="526">
        <f t="shared" si="338"/>
        <v>0.51</v>
      </c>
      <c r="AX484" s="526">
        <f t="shared" si="337"/>
        <v>0.51</v>
      </c>
      <c r="AY484" s="526">
        <f t="shared" si="337"/>
        <v>0.51</v>
      </c>
      <c r="AZ484" s="526">
        <f t="shared" si="337"/>
        <v>0.51</v>
      </c>
      <c r="BA484" s="526">
        <f t="shared" si="337"/>
        <v>0.51</v>
      </c>
      <c r="BB484" s="526">
        <f t="shared" si="337"/>
        <v>0.51</v>
      </c>
      <c r="BC484" s="526">
        <f t="shared" si="337"/>
        <v>0.51</v>
      </c>
      <c r="BD484" s="526">
        <f t="shared" si="337"/>
        <v>0.51</v>
      </c>
      <c r="BE484" s="526">
        <f t="shared" si="337"/>
        <v>0.51</v>
      </c>
      <c r="BF484" s="526">
        <f t="shared" si="337"/>
        <v>0.51</v>
      </c>
      <c r="BG484" s="526">
        <f t="shared" si="337"/>
        <v>0.51</v>
      </c>
      <c r="BH484" s="526">
        <f t="shared" si="337"/>
        <v>0.51</v>
      </c>
      <c r="BI484" s="526">
        <f t="shared" si="337"/>
        <v>0.51</v>
      </c>
      <c r="BJ484" s="526">
        <f t="shared" si="337"/>
        <v>0.51</v>
      </c>
      <c r="BK484" s="526">
        <f t="shared" si="337"/>
        <v>0.51</v>
      </c>
      <c r="BL484" s="526">
        <f t="shared" si="337"/>
        <v>0.51</v>
      </c>
      <c r="BM484" s="526">
        <f t="shared" si="337"/>
        <v>0.51</v>
      </c>
      <c r="BN484" s="526">
        <f t="shared" si="337"/>
        <v>0.51</v>
      </c>
      <c r="BO484" s="526">
        <f t="shared" si="337"/>
        <v>0.51</v>
      </c>
      <c r="BP484" s="526">
        <f t="shared" si="337"/>
        <v>0.51</v>
      </c>
      <c r="BQ484" s="526">
        <f t="shared" si="337"/>
        <v>0.51</v>
      </c>
      <c r="BR484" s="526">
        <f t="shared" si="337"/>
        <v>0.51</v>
      </c>
      <c r="BS484" s="526">
        <f t="shared" si="337"/>
        <v>0.51</v>
      </c>
      <c r="BT484" s="526">
        <f t="shared" si="337"/>
        <v>0.51</v>
      </c>
      <c r="BU484" s="526">
        <f t="shared" si="337"/>
        <v>0.51</v>
      </c>
      <c r="BV484" s="526">
        <f t="shared" si="337"/>
        <v>0.51</v>
      </c>
      <c r="BW484" s="526">
        <f t="shared" si="337"/>
        <v>0.51</v>
      </c>
      <c r="BX484" s="526">
        <f t="shared" si="337"/>
        <v>0.51</v>
      </c>
      <c r="BY484" s="526">
        <f t="shared" si="337"/>
        <v>0.51</v>
      </c>
      <c r="BZ484" s="526">
        <f t="shared" si="337"/>
        <v>0.51</v>
      </c>
      <c r="CA484" s="526">
        <f t="shared" si="337"/>
        <v>0.51</v>
      </c>
      <c r="CB484" s="526">
        <f t="shared" si="337"/>
        <v>0.51</v>
      </c>
      <c r="CC484" s="526">
        <f t="shared" si="337"/>
        <v>0.51</v>
      </c>
      <c r="CD484" s="526">
        <f t="shared" si="337"/>
        <v>0.51</v>
      </c>
      <c r="CE484" s="526">
        <f t="shared" si="337"/>
        <v>0.51</v>
      </c>
      <c r="CG484" s="537">
        <v>0.51</v>
      </c>
      <c r="CH484" s="537">
        <v>0.51</v>
      </c>
      <c r="CI484" s="537">
        <v>0.51</v>
      </c>
      <c r="CJ484" s="537">
        <v>0.51</v>
      </c>
      <c r="CK484" s="537">
        <v>0.51</v>
      </c>
      <c r="CL484" s="537">
        <v>0.51</v>
      </c>
      <c r="CM484" s="537">
        <v>0.51</v>
      </c>
      <c r="CN484" s="537">
        <v>0.51</v>
      </c>
      <c r="CO484" s="537">
        <v>0.51</v>
      </c>
      <c r="CP484" s="537">
        <v>0.51</v>
      </c>
      <c r="CQ484" s="537">
        <v>0.51</v>
      </c>
      <c r="CR484" s="537">
        <v>0.51</v>
      </c>
      <c r="CS484" s="537">
        <v>0.51</v>
      </c>
      <c r="CT484" s="537">
        <v>0.51</v>
      </c>
      <c r="CU484" s="537">
        <v>0.51</v>
      </c>
      <c r="CV484" s="537">
        <v>0.51</v>
      </c>
      <c r="CW484" s="537">
        <v>0.51</v>
      </c>
      <c r="CX484" s="537">
        <v>0.51</v>
      </c>
      <c r="CY484" s="537">
        <v>0.51</v>
      </c>
      <c r="CZ484" s="537">
        <v>0.51</v>
      </c>
      <c r="DA484" s="537">
        <v>0.51</v>
      </c>
      <c r="DB484" s="537">
        <v>0.51</v>
      </c>
      <c r="DC484" s="537">
        <v>0.51</v>
      </c>
      <c r="DD484" s="537">
        <v>0.51</v>
      </c>
      <c r="DE484" s="537">
        <v>0.51</v>
      </c>
      <c r="DF484" s="537">
        <v>0.51</v>
      </c>
      <c r="DG484" s="537">
        <v>0.51</v>
      </c>
      <c r="DH484" s="537">
        <v>0.51</v>
      </c>
    </row>
    <row r="485" spans="2:112">
      <c r="B485" t="s">
        <v>1331</v>
      </c>
      <c r="C485" t="s">
        <v>817</v>
      </c>
      <c r="D485" t="s">
        <v>892</v>
      </c>
      <c r="E485" t="s">
        <v>178</v>
      </c>
      <c r="F485" s="537">
        <v>0.51</v>
      </c>
      <c r="G485" s="537">
        <v>0.51</v>
      </c>
      <c r="H485" s="537">
        <v>0.51</v>
      </c>
      <c r="I485" s="537">
        <v>0.51</v>
      </c>
      <c r="J485" s="537">
        <v>0.51</v>
      </c>
      <c r="K485" s="537">
        <v>0.51</v>
      </c>
      <c r="L485" s="537">
        <v>0.51</v>
      </c>
      <c r="M485" s="537">
        <v>0.51</v>
      </c>
      <c r="N485" s="537">
        <v>0.51</v>
      </c>
      <c r="O485" s="537">
        <v>0.51</v>
      </c>
      <c r="P485" s="537">
        <v>0.51</v>
      </c>
      <c r="Q485" s="537">
        <v>0.51</v>
      </c>
      <c r="R485" s="537">
        <v>0.51</v>
      </c>
      <c r="S485" s="537">
        <v>0.51</v>
      </c>
      <c r="T485" s="537">
        <v>0.51</v>
      </c>
      <c r="U485" s="537">
        <v>0.51</v>
      </c>
      <c r="V485" s="537">
        <v>0.51</v>
      </c>
      <c r="W485" s="537">
        <v>0.51</v>
      </c>
      <c r="X485" s="537">
        <v>0.51</v>
      </c>
      <c r="Y485" s="537">
        <v>0.51</v>
      </c>
      <c r="Z485" s="537">
        <v>0.51</v>
      </c>
      <c r="AA485" s="537">
        <v>0.51</v>
      </c>
      <c r="AB485" s="537">
        <v>0.51</v>
      </c>
      <c r="AC485" s="537">
        <v>0.51</v>
      </c>
      <c r="AD485" s="537">
        <v>0.51</v>
      </c>
      <c r="AE485" s="537">
        <v>0.51</v>
      </c>
      <c r="AF485" s="537">
        <v>0.51</v>
      </c>
      <c r="AG485" s="537">
        <v>0.51</v>
      </c>
      <c r="AH485" s="526">
        <f t="shared" si="338"/>
        <v>0.51</v>
      </c>
      <c r="AI485" s="526">
        <f t="shared" si="338"/>
        <v>0.51</v>
      </c>
      <c r="AJ485" s="526">
        <f t="shared" si="338"/>
        <v>0.51</v>
      </c>
      <c r="AK485" s="526">
        <f t="shared" si="338"/>
        <v>0.51</v>
      </c>
      <c r="AL485" s="526">
        <f t="shared" si="338"/>
        <v>0.51</v>
      </c>
      <c r="AM485" s="526">
        <f t="shared" si="338"/>
        <v>0.51</v>
      </c>
      <c r="AN485" s="526">
        <f t="shared" si="338"/>
        <v>0.51</v>
      </c>
      <c r="AO485" s="526">
        <f t="shared" si="338"/>
        <v>0.51</v>
      </c>
      <c r="AP485" s="526">
        <f t="shared" si="338"/>
        <v>0.51</v>
      </c>
      <c r="AQ485" s="526">
        <f t="shared" si="338"/>
        <v>0.51</v>
      </c>
      <c r="AR485" s="526">
        <f t="shared" si="338"/>
        <v>0.51</v>
      </c>
      <c r="AS485" s="526">
        <f t="shared" si="338"/>
        <v>0.51</v>
      </c>
      <c r="AT485" s="526">
        <f t="shared" si="338"/>
        <v>0.51</v>
      </c>
      <c r="AU485" s="526">
        <f t="shared" si="338"/>
        <v>0.51</v>
      </c>
      <c r="AV485" s="526">
        <f t="shared" si="338"/>
        <v>0.51</v>
      </c>
      <c r="AW485" s="526">
        <f t="shared" si="338"/>
        <v>0.51</v>
      </c>
      <c r="AX485" s="526">
        <f t="shared" si="337"/>
        <v>0.51</v>
      </c>
      <c r="AY485" s="526">
        <f t="shared" si="337"/>
        <v>0.51</v>
      </c>
      <c r="AZ485" s="526">
        <f t="shared" si="337"/>
        <v>0.51</v>
      </c>
      <c r="BA485" s="526">
        <f t="shared" si="337"/>
        <v>0.51</v>
      </c>
      <c r="BB485" s="526">
        <f t="shared" si="337"/>
        <v>0.51</v>
      </c>
      <c r="BC485" s="526">
        <f t="shared" si="337"/>
        <v>0.51</v>
      </c>
      <c r="BD485" s="526">
        <f t="shared" si="337"/>
        <v>0.51</v>
      </c>
      <c r="BE485" s="526">
        <f t="shared" si="337"/>
        <v>0.51</v>
      </c>
      <c r="BF485" s="526">
        <f t="shared" si="337"/>
        <v>0.51</v>
      </c>
      <c r="BG485" s="526">
        <f t="shared" si="337"/>
        <v>0.51</v>
      </c>
      <c r="BH485" s="526">
        <f t="shared" si="337"/>
        <v>0.51</v>
      </c>
      <c r="BI485" s="526">
        <f t="shared" si="337"/>
        <v>0.51</v>
      </c>
      <c r="BJ485" s="526">
        <f t="shared" si="337"/>
        <v>0.51</v>
      </c>
      <c r="BK485" s="526">
        <f t="shared" si="337"/>
        <v>0.51</v>
      </c>
      <c r="BL485" s="526">
        <f t="shared" si="337"/>
        <v>0.51</v>
      </c>
      <c r="BM485" s="526">
        <f t="shared" si="337"/>
        <v>0.51</v>
      </c>
      <c r="BN485" s="526">
        <f t="shared" si="337"/>
        <v>0.51</v>
      </c>
      <c r="BO485" s="526">
        <f t="shared" si="337"/>
        <v>0.51</v>
      </c>
      <c r="BP485" s="526">
        <f t="shared" si="337"/>
        <v>0.51</v>
      </c>
      <c r="BQ485" s="526">
        <f t="shared" si="337"/>
        <v>0.51</v>
      </c>
      <c r="BR485" s="526">
        <f t="shared" si="337"/>
        <v>0.51</v>
      </c>
      <c r="BS485" s="526">
        <f t="shared" si="337"/>
        <v>0.51</v>
      </c>
      <c r="BT485" s="526">
        <f t="shared" si="337"/>
        <v>0.51</v>
      </c>
      <c r="BU485" s="526">
        <f t="shared" si="337"/>
        <v>0.51</v>
      </c>
      <c r="BV485" s="526">
        <f t="shared" si="337"/>
        <v>0.51</v>
      </c>
      <c r="BW485" s="526">
        <f t="shared" si="337"/>
        <v>0.51</v>
      </c>
      <c r="BX485" s="526">
        <f t="shared" si="337"/>
        <v>0.51</v>
      </c>
      <c r="BY485" s="526">
        <f t="shared" si="337"/>
        <v>0.51</v>
      </c>
      <c r="BZ485" s="526">
        <f t="shared" si="337"/>
        <v>0.51</v>
      </c>
      <c r="CA485" s="526">
        <f t="shared" si="337"/>
        <v>0.51</v>
      </c>
      <c r="CB485" s="526">
        <f t="shared" si="337"/>
        <v>0.51</v>
      </c>
      <c r="CC485" s="526">
        <f t="shared" si="337"/>
        <v>0.51</v>
      </c>
      <c r="CD485" s="526">
        <f t="shared" si="337"/>
        <v>0.51</v>
      </c>
      <c r="CE485" s="526">
        <f t="shared" si="337"/>
        <v>0.51</v>
      </c>
      <c r="CG485" s="537">
        <v>0.51</v>
      </c>
      <c r="CH485" s="537">
        <v>0.51</v>
      </c>
      <c r="CI485" s="537">
        <v>0.51</v>
      </c>
      <c r="CJ485" s="537">
        <v>0.51</v>
      </c>
      <c r="CK485" s="537">
        <v>0.51</v>
      </c>
      <c r="CL485" s="537">
        <v>0.51</v>
      </c>
      <c r="CM485" s="537">
        <v>0.51</v>
      </c>
      <c r="CN485" s="537">
        <v>0.51</v>
      </c>
      <c r="CO485" s="537">
        <v>0.51</v>
      </c>
      <c r="CP485" s="537">
        <v>0.51</v>
      </c>
      <c r="CQ485" s="537">
        <v>0.51</v>
      </c>
      <c r="CR485" s="537">
        <v>0.51</v>
      </c>
      <c r="CS485" s="537">
        <v>0.51</v>
      </c>
      <c r="CT485" s="537">
        <v>0.51</v>
      </c>
      <c r="CU485" s="537">
        <v>0.51</v>
      </c>
      <c r="CV485" s="537">
        <v>0.51</v>
      </c>
      <c r="CW485" s="537">
        <v>0.51</v>
      </c>
      <c r="CX485" s="537">
        <v>0.51</v>
      </c>
      <c r="CY485" s="537">
        <v>0.51</v>
      </c>
      <c r="CZ485" s="537">
        <v>0.51</v>
      </c>
      <c r="DA485" s="537">
        <v>0.51</v>
      </c>
      <c r="DB485" s="537">
        <v>0.51</v>
      </c>
      <c r="DC485" s="537">
        <v>0.51</v>
      </c>
      <c r="DD485" s="537">
        <v>0.51</v>
      </c>
      <c r="DE485" s="537">
        <v>0.51</v>
      </c>
      <c r="DF485" s="537">
        <v>0.51</v>
      </c>
      <c r="DG485" s="537">
        <v>0.51</v>
      </c>
      <c r="DH485" s="537">
        <v>0.51</v>
      </c>
    </row>
    <row r="486" spans="2:112">
      <c r="B486" t="s">
        <v>1332</v>
      </c>
      <c r="C486" t="s">
        <v>817</v>
      </c>
      <c r="D486" t="s">
        <v>894</v>
      </c>
      <c r="E486" t="s">
        <v>895</v>
      </c>
      <c r="F486" s="537">
        <v>0</v>
      </c>
      <c r="G486" s="537">
        <v>0</v>
      </c>
      <c r="H486" s="537">
        <v>0</v>
      </c>
      <c r="I486" s="537">
        <v>0</v>
      </c>
      <c r="J486" s="537">
        <v>0</v>
      </c>
      <c r="K486" s="537">
        <v>0</v>
      </c>
      <c r="L486" s="537">
        <v>0</v>
      </c>
      <c r="M486" s="537">
        <v>0</v>
      </c>
      <c r="N486" s="537">
        <v>0</v>
      </c>
      <c r="O486" s="537">
        <v>0</v>
      </c>
      <c r="P486" s="537">
        <v>0</v>
      </c>
      <c r="Q486" s="537">
        <v>0</v>
      </c>
      <c r="R486" s="537">
        <v>0</v>
      </c>
      <c r="S486" s="537">
        <v>0</v>
      </c>
      <c r="T486" s="537">
        <v>0</v>
      </c>
      <c r="U486" s="537">
        <v>0</v>
      </c>
      <c r="V486" s="537">
        <v>0</v>
      </c>
      <c r="W486" s="537">
        <v>0</v>
      </c>
      <c r="X486" s="537">
        <v>0</v>
      </c>
      <c r="Y486" s="537">
        <v>0</v>
      </c>
      <c r="Z486" s="537">
        <v>0</v>
      </c>
      <c r="AA486" s="537">
        <v>0</v>
      </c>
      <c r="AB486" s="537">
        <v>0</v>
      </c>
      <c r="AC486" s="537">
        <v>0</v>
      </c>
      <c r="AD486" s="537">
        <v>0</v>
      </c>
      <c r="AE486" s="537">
        <v>0</v>
      </c>
      <c r="AF486" s="537">
        <v>0</v>
      </c>
      <c r="AG486" s="537">
        <v>0</v>
      </c>
      <c r="AH486" s="538">
        <f t="shared" si="338"/>
        <v>0</v>
      </c>
      <c r="AI486" s="538">
        <f t="shared" si="338"/>
        <v>0</v>
      </c>
      <c r="AJ486" s="538">
        <f t="shared" si="338"/>
        <v>0</v>
      </c>
      <c r="AK486" s="538">
        <f t="shared" si="338"/>
        <v>0</v>
      </c>
      <c r="AL486" s="538">
        <f t="shared" si="338"/>
        <v>0</v>
      </c>
      <c r="AM486" s="538">
        <f t="shared" si="338"/>
        <v>0</v>
      </c>
      <c r="AN486" s="538">
        <f t="shared" si="338"/>
        <v>0</v>
      </c>
      <c r="AO486" s="538">
        <f t="shared" si="338"/>
        <v>0</v>
      </c>
      <c r="AP486" s="538">
        <f t="shared" si="338"/>
        <v>0</v>
      </c>
      <c r="AQ486" s="538">
        <f t="shared" si="338"/>
        <v>0</v>
      </c>
      <c r="AR486" s="538">
        <f t="shared" si="338"/>
        <v>0</v>
      </c>
      <c r="AS486" s="538">
        <f t="shared" si="338"/>
        <v>0</v>
      </c>
      <c r="AT486" s="538">
        <f t="shared" si="338"/>
        <v>0</v>
      </c>
      <c r="AU486" s="538">
        <f t="shared" si="338"/>
        <v>0</v>
      </c>
      <c r="AV486" s="538">
        <f t="shared" si="338"/>
        <v>0</v>
      </c>
      <c r="AW486" s="538">
        <f t="shared" si="338"/>
        <v>0</v>
      </c>
      <c r="AX486" s="538">
        <f t="shared" si="337"/>
        <v>0</v>
      </c>
      <c r="AY486" s="538">
        <f t="shared" si="337"/>
        <v>0</v>
      </c>
      <c r="AZ486" s="538">
        <f t="shared" si="337"/>
        <v>0</v>
      </c>
      <c r="BA486" s="538">
        <f t="shared" si="337"/>
        <v>0</v>
      </c>
      <c r="BB486" s="538">
        <f t="shared" si="337"/>
        <v>0</v>
      </c>
      <c r="BC486" s="538">
        <f t="shared" si="337"/>
        <v>0</v>
      </c>
      <c r="BD486" s="538">
        <f t="shared" si="337"/>
        <v>0</v>
      </c>
      <c r="BE486" s="538">
        <f t="shared" si="337"/>
        <v>0</v>
      </c>
      <c r="BF486" s="538">
        <f t="shared" si="337"/>
        <v>0</v>
      </c>
      <c r="BG486" s="538">
        <f t="shared" si="337"/>
        <v>0</v>
      </c>
      <c r="BH486" s="538">
        <f t="shared" si="337"/>
        <v>0</v>
      </c>
      <c r="BI486" s="538">
        <f t="shared" si="337"/>
        <v>0</v>
      </c>
      <c r="BJ486" s="538">
        <f t="shared" si="337"/>
        <v>0</v>
      </c>
      <c r="BK486" s="538">
        <f t="shared" si="337"/>
        <v>0</v>
      </c>
      <c r="BL486" s="538">
        <f t="shared" si="337"/>
        <v>0</v>
      </c>
      <c r="BM486" s="538">
        <f t="shared" si="337"/>
        <v>0</v>
      </c>
      <c r="BN486" s="538">
        <f t="shared" si="337"/>
        <v>0</v>
      </c>
      <c r="BO486" s="538">
        <f t="shared" si="337"/>
        <v>0</v>
      </c>
      <c r="BP486" s="538">
        <f t="shared" si="337"/>
        <v>0</v>
      </c>
      <c r="BQ486" s="538">
        <f t="shared" si="337"/>
        <v>0</v>
      </c>
      <c r="BR486" s="538">
        <f t="shared" si="337"/>
        <v>0</v>
      </c>
      <c r="BS486" s="538">
        <f t="shared" si="337"/>
        <v>0</v>
      </c>
      <c r="BT486" s="538">
        <f t="shared" si="337"/>
        <v>0</v>
      </c>
      <c r="BU486" s="538">
        <f t="shared" si="337"/>
        <v>0</v>
      </c>
      <c r="BV486" s="538">
        <f t="shared" si="337"/>
        <v>0</v>
      </c>
      <c r="BW486" s="538">
        <f t="shared" si="337"/>
        <v>0</v>
      </c>
      <c r="BX486" s="538">
        <f t="shared" si="337"/>
        <v>0</v>
      </c>
      <c r="BY486" s="538">
        <f t="shared" si="337"/>
        <v>0</v>
      </c>
      <c r="BZ486" s="538">
        <f t="shared" si="337"/>
        <v>0</v>
      </c>
      <c r="CA486" s="538">
        <f t="shared" si="337"/>
        <v>0</v>
      </c>
      <c r="CB486" s="538">
        <f t="shared" si="337"/>
        <v>0</v>
      </c>
      <c r="CC486" s="538">
        <f t="shared" si="337"/>
        <v>0</v>
      </c>
      <c r="CD486" s="538">
        <f t="shared" si="337"/>
        <v>0</v>
      </c>
      <c r="CE486" s="538">
        <f t="shared" si="337"/>
        <v>0</v>
      </c>
      <c r="CG486" s="537">
        <v>0</v>
      </c>
      <c r="CH486" s="537">
        <v>0</v>
      </c>
      <c r="CI486" s="537">
        <v>0</v>
      </c>
      <c r="CJ486" s="537">
        <v>0</v>
      </c>
      <c r="CK486" s="537">
        <v>0</v>
      </c>
      <c r="CL486" s="537">
        <v>0</v>
      </c>
      <c r="CM486" s="537">
        <v>0</v>
      </c>
      <c r="CN486" s="537">
        <v>0</v>
      </c>
      <c r="CO486" s="537">
        <v>0</v>
      </c>
      <c r="CP486" s="537">
        <v>0</v>
      </c>
      <c r="CQ486" s="537">
        <v>0</v>
      </c>
      <c r="CR486" s="537">
        <v>0</v>
      </c>
      <c r="CS486" s="537">
        <v>0</v>
      </c>
      <c r="CT486" s="537">
        <v>0</v>
      </c>
      <c r="CU486" s="537">
        <v>0</v>
      </c>
      <c r="CV486" s="537">
        <v>0</v>
      </c>
      <c r="CW486" s="537">
        <v>0</v>
      </c>
      <c r="CX486" s="537">
        <v>0</v>
      </c>
      <c r="CY486" s="537">
        <v>0</v>
      </c>
      <c r="CZ486" s="537">
        <v>0</v>
      </c>
      <c r="DA486" s="537">
        <v>0</v>
      </c>
      <c r="DB486" s="537">
        <v>0</v>
      </c>
      <c r="DC486" s="537">
        <v>0</v>
      </c>
      <c r="DD486" s="537">
        <v>0</v>
      </c>
      <c r="DE486" s="537">
        <v>0</v>
      </c>
      <c r="DF486" s="537">
        <v>0</v>
      </c>
      <c r="DG486" s="537">
        <v>0</v>
      </c>
      <c r="DH486" s="537">
        <v>0</v>
      </c>
    </row>
    <row r="487" spans="2:112">
      <c r="B487" t="s">
        <v>1333</v>
      </c>
      <c r="C487" t="s">
        <v>817</v>
      </c>
      <c r="D487" t="s">
        <v>897</v>
      </c>
      <c r="E487" t="s">
        <v>895</v>
      </c>
      <c r="F487" s="537">
        <v>0.01</v>
      </c>
      <c r="G487" s="537">
        <v>0.01</v>
      </c>
      <c r="H487" s="537">
        <v>0.01</v>
      </c>
      <c r="I487" s="537">
        <v>0.01</v>
      </c>
      <c r="J487" s="537">
        <v>0.01</v>
      </c>
      <c r="K487" s="537">
        <v>0.01</v>
      </c>
      <c r="L487" s="537">
        <v>0.01</v>
      </c>
      <c r="M487" s="537">
        <v>0.01</v>
      </c>
      <c r="N487" s="537">
        <v>0.01</v>
      </c>
      <c r="O487" s="537">
        <v>0.01</v>
      </c>
      <c r="P487" s="537">
        <v>0.01</v>
      </c>
      <c r="Q487" s="537">
        <v>0.01</v>
      </c>
      <c r="R487" s="537">
        <v>0.01</v>
      </c>
      <c r="S487" s="537">
        <v>0.01</v>
      </c>
      <c r="T487" s="537">
        <v>0.01</v>
      </c>
      <c r="U487" s="537">
        <v>0.01</v>
      </c>
      <c r="V487" s="537">
        <v>0.01</v>
      </c>
      <c r="W487" s="537">
        <v>0.01</v>
      </c>
      <c r="X487" s="537">
        <v>0.01</v>
      </c>
      <c r="Y487" s="537">
        <v>0.01</v>
      </c>
      <c r="Z487" s="537">
        <v>0.01</v>
      </c>
      <c r="AA487" s="537">
        <v>0.01</v>
      </c>
      <c r="AB487" s="537">
        <v>0.01</v>
      </c>
      <c r="AC487" s="537">
        <v>0.01</v>
      </c>
      <c r="AD487" s="537">
        <v>0.01</v>
      </c>
      <c r="AE487" s="537">
        <v>0.01</v>
      </c>
      <c r="AF487" s="537">
        <v>0.01</v>
      </c>
      <c r="AG487" s="537">
        <v>0.01</v>
      </c>
      <c r="AH487" s="538">
        <f t="shared" si="338"/>
        <v>0.01</v>
      </c>
      <c r="AI487" s="538">
        <f t="shared" si="338"/>
        <v>0.01</v>
      </c>
      <c r="AJ487" s="538">
        <f t="shared" si="338"/>
        <v>0.01</v>
      </c>
      <c r="AK487" s="538">
        <f t="shared" si="338"/>
        <v>0.01</v>
      </c>
      <c r="AL487" s="538">
        <f t="shared" si="338"/>
        <v>0.01</v>
      </c>
      <c r="AM487" s="538">
        <f t="shared" si="338"/>
        <v>0.01</v>
      </c>
      <c r="AN487" s="538">
        <f t="shared" si="338"/>
        <v>0.01</v>
      </c>
      <c r="AO487" s="538">
        <f t="shared" si="338"/>
        <v>0.01</v>
      </c>
      <c r="AP487" s="538">
        <f t="shared" si="338"/>
        <v>0.01</v>
      </c>
      <c r="AQ487" s="538">
        <f t="shared" si="338"/>
        <v>0.01</v>
      </c>
      <c r="AR487" s="538">
        <f t="shared" si="338"/>
        <v>0.01</v>
      </c>
      <c r="AS487" s="538">
        <f t="shared" si="338"/>
        <v>0.01</v>
      </c>
      <c r="AT487" s="538">
        <f t="shared" si="338"/>
        <v>0.01</v>
      </c>
      <c r="AU487" s="538">
        <f t="shared" si="338"/>
        <v>0.01</v>
      </c>
      <c r="AV487" s="538">
        <f t="shared" si="338"/>
        <v>0.01</v>
      </c>
      <c r="AW487" s="538">
        <f t="shared" si="338"/>
        <v>0.01</v>
      </c>
      <c r="AX487" s="538">
        <f t="shared" si="337"/>
        <v>0.01</v>
      </c>
      <c r="AY487" s="538">
        <f t="shared" si="337"/>
        <v>0.01</v>
      </c>
      <c r="AZ487" s="538">
        <f t="shared" si="337"/>
        <v>0.01</v>
      </c>
      <c r="BA487" s="538">
        <f t="shared" si="337"/>
        <v>0.01</v>
      </c>
      <c r="BB487" s="538">
        <f t="shared" si="337"/>
        <v>0.01</v>
      </c>
      <c r="BC487" s="538">
        <f t="shared" si="337"/>
        <v>0.01</v>
      </c>
      <c r="BD487" s="538">
        <f t="shared" si="337"/>
        <v>0.01</v>
      </c>
      <c r="BE487" s="538">
        <f t="shared" si="337"/>
        <v>0.01</v>
      </c>
      <c r="BF487" s="538">
        <f t="shared" si="337"/>
        <v>0.01</v>
      </c>
      <c r="BG487" s="538">
        <f t="shared" si="337"/>
        <v>0.01</v>
      </c>
      <c r="BH487" s="538">
        <f t="shared" si="337"/>
        <v>0.01</v>
      </c>
      <c r="BI487" s="538">
        <f t="shared" si="337"/>
        <v>0.01</v>
      </c>
      <c r="BJ487" s="538">
        <f t="shared" si="337"/>
        <v>0.01</v>
      </c>
      <c r="BK487" s="538">
        <f t="shared" si="337"/>
        <v>0.01</v>
      </c>
      <c r="BL487" s="538">
        <f t="shared" si="337"/>
        <v>0.01</v>
      </c>
      <c r="BM487" s="538">
        <f t="shared" si="337"/>
        <v>0.01</v>
      </c>
      <c r="BN487" s="538">
        <f t="shared" ref="BN487:CC489" si="339">BM487</f>
        <v>0.01</v>
      </c>
      <c r="BO487" s="538">
        <f t="shared" si="339"/>
        <v>0.01</v>
      </c>
      <c r="BP487" s="538">
        <f t="shared" si="339"/>
        <v>0.01</v>
      </c>
      <c r="BQ487" s="538">
        <f t="shared" si="339"/>
        <v>0.01</v>
      </c>
      <c r="BR487" s="538">
        <f t="shared" si="339"/>
        <v>0.01</v>
      </c>
      <c r="BS487" s="538">
        <f t="shared" si="339"/>
        <v>0.01</v>
      </c>
      <c r="BT487" s="538">
        <f t="shared" si="339"/>
        <v>0.01</v>
      </c>
      <c r="BU487" s="538">
        <f t="shared" si="339"/>
        <v>0.01</v>
      </c>
      <c r="BV487" s="538">
        <f t="shared" si="339"/>
        <v>0.01</v>
      </c>
      <c r="BW487" s="538">
        <f t="shared" si="339"/>
        <v>0.01</v>
      </c>
      <c r="BX487" s="538">
        <f t="shared" si="339"/>
        <v>0.01</v>
      </c>
      <c r="BY487" s="538">
        <f t="shared" si="339"/>
        <v>0.01</v>
      </c>
      <c r="BZ487" s="538">
        <f t="shared" si="339"/>
        <v>0.01</v>
      </c>
      <c r="CA487" s="538">
        <f t="shared" si="339"/>
        <v>0.01</v>
      </c>
      <c r="CB487" s="538">
        <f t="shared" si="339"/>
        <v>0.01</v>
      </c>
      <c r="CC487" s="538">
        <f t="shared" si="339"/>
        <v>0.01</v>
      </c>
      <c r="CD487" s="538">
        <f t="shared" ref="CD487:CE489" si="340">CC487</f>
        <v>0.01</v>
      </c>
      <c r="CE487" s="538">
        <f t="shared" si="340"/>
        <v>0.01</v>
      </c>
      <c r="CG487" s="537">
        <v>0.01</v>
      </c>
      <c r="CH487" s="537">
        <v>0.01</v>
      </c>
      <c r="CI487" s="537">
        <v>0.01</v>
      </c>
      <c r="CJ487" s="537">
        <v>0.01</v>
      </c>
      <c r="CK487" s="537">
        <v>0.01</v>
      </c>
      <c r="CL487" s="537">
        <v>0.01</v>
      </c>
      <c r="CM487" s="537">
        <v>0.01</v>
      </c>
      <c r="CN487" s="537">
        <v>0.01</v>
      </c>
      <c r="CO487" s="537">
        <v>0.01</v>
      </c>
      <c r="CP487" s="537">
        <v>0.01</v>
      </c>
      <c r="CQ487" s="537">
        <v>0.01</v>
      </c>
      <c r="CR487" s="537">
        <v>0.01</v>
      </c>
      <c r="CS487" s="537">
        <v>0.01</v>
      </c>
      <c r="CT487" s="537">
        <v>0.01</v>
      </c>
      <c r="CU487" s="537">
        <v>0.01</v>
      </c>
      <c r="CV487" s="537">
        <v>0.01</v>
      </c>
      <c r="CW487" s="537">
        <v>0.01</v>
      </c>
      <c r="CX487" s="537">
        <v>0.01</v>
      </c>
      <c r="CY487" s="537">
        <v>0.01</v>
      </c>
      <c r="CZ487" s="537">
        <v>0.01</v>
      </c>
      <c r="DA487" s="537">
        <v>0.01</v>
      </c>
      <c r="DB487" s="537">
        <v>0.01</v>
      </c>
      <c r="DC487" s="537">
        <v>0.01</v>
      </c>
      <c r="DD487" s="537">
        <v>0.01</v>
      </c>
      <c r="DE487" s="537">
        <v>0.01</v>
      </c>
      <c r="DF487" s="537">
        <v>0.01</v>
      </c>
      <c r="DG487" s="537">
        <v>0.01</v>
      </c>
      <c r="DH487" s="537">
        <v>0.01</v>
      </c>
    </row>
    <row r="488" spans="2:112">
      <c r="B488" t="s">
        <v>1334</v>
      </c>
      <c r="C488" t="s">
        <v>817</v>
      </c>
      <c r="D488" t="s">
        <v>899</v>
      </c>
      <c r="E488" t="s">
        <v>895</v>
      </c>
      <c r="F488" s="537">
        <v>0.05</v>
      </c>
      <c r="G488" s="537">
        <v>0.05</v>
      </c>
      <c r="H488" s="537">
        <v>0.05</v>
      </c>
      <c r="I488" s="537">
        <v>0.05</v>
      </c>
      <c r="J488" s="537">
        <v>0.05</v>
      </c>
      <c r="K488" s="537">
        <v>0.05</v>
      </c>
      <c r="L488" s="537">
        <v>0.05</v>
      </c>
      <c r="M488" s="537">
        <v>0.05</v>
      </c>
      <c r="N488" s="537">
        <v>0.05</v>
      </c>
      <c r="O488" s="537">
        <v>0.05</v>
      </c>
      <c r="P488" s="537">
        <v>0.05</v>
      </c>
      <c r="Q488" s="537">
        <v>0.05</v>
      </c>
      <c r="R488" s="537">
        <v>0.05</v>
      </c>
      <c r="S488" s="537">
        <v>0.05</v>
      </c>
      <c r="T488" s="537">
        <v>0.05</v>
      </c>
      <c r="U488" s="537">
        <v>0.05</v>
      </c>
      <c r="V488" s="537">
        <v>0.05</v>
      </c>
      <c r="W488" s="537">
        <v>0.05</v>
      </c>
      <c r="X488" s="537">
        <v>0.05</v>
      </c>
      <c r="Y488" s="537">
        <v>0.05</v>
      </c>
      <c r="Z488" s="537">
        <v>0.05</v>
      </c>
      <c r="AA488" s="537">
        <v>0.05</v>
      </c>
      <c r="AB488" s="537">
        <v>0.05</v>
      </c>
      <c r="AC488" s="537">
        <v>0.05</v>
      </c>
      <c r="AD488" s="537">
        <v>0.05</v>
      </c>
      <c r="AE488" s="537">
        <v>0.05</v>
      </c>
      <c r="AF488" s="537">
        <v>0.05</v>
      </c>
      <c r="AG488" s="537">
        <v>0.05</v>
      </c>
      <c r="AH488" s="538">
        <f t="shared" si="338"/>
        <v>0.05</v>
      </c>
      <c r="AI488" s="538">
        <f t="shared" si="338"/>
        <v>0.05</v>
      </c>
      <c r="AJ488" s="538">
        <f t="shared" si="338"/>
        <v>0.05</v>
      </c>
      <c r="AK488" s="538">
        <f t="shared" si="338"/>
        <v>0.05</v>
      </c>
      <c r="AL488" s="538">
        <f t="shared" si="338"/>
        <v>0.05</v>
      </c>
      <c r="AM488" s="538">
        <f t="shared" si="338"/>
        <v>0.05</v>
      </c>
      <c r="AN488" s="538">
        <f t="shared" si="338"/>
        <v>0.05</v>
      </c>
      <c r="AO488" s="538">
        <f t="shared" si="338"/>
        <v>0.05</v>
      </c>
      <c r="AP488" s="538">
        <f t="shared" si="338"/>
        <v>0.05</v>
      </c>
      <c r="AQ488" s="538">
        <f t="shared" si="338"/>
        <v>0.05</v>
      </c>
      <c r="AR488" s="538">
        <f t="shared" si="338"/>
        <v>0.05</v>
      </c>
      <c r="AS488" s="538">
        <f t="shared" si="338"/>
        <v>0.05</v>
      </c>
      <c r="AT488" s="538">
        <f t="shared" si="338"/>
        <v>0.05</v>
      </c>
      <c r="AU488" s="538">
        <f t="shared" si="338"/>
        <v>0.05</v>
      </c>
      <c r="AV488" s="538">
        <f t="shared" si="338"/>
        <v>0.05</v>
      </c>
      <c r="AW488" s="538">
        <f t="shared" si="338"/>
        <v>0.05</v>
      </c>
      <c r="AX488" s="538">
        <f t="shared" ref="AX488:BM489" si="341">AW488</f>
        <v>0.05</v>
      </c>
      <c r="AY488" s="538">
        <f t="shared" si="341"/>
        <v>0.05</v>
      </c>
      <c r="AZ488" s="538">
        <f t="shared" si="341"/>
        <v>0.05</v>
      </c>
      <c r="BA488" s="538">
        <f t="shared" si="341"/>
        <v>0.05</v>
      </c>
      <c r="BB488" s="538">
        <f t="shared" si="341"/>
        <v>0.05</v>
      </c>
      <c r="BC488" s="538">
        <f t="shared" si="341"/>
        <v>0.05</v>
      </c>
      <c r="BD488" s="538">
        <f t="shared" si="341"/>
        <v>0.05</v>
      </c>
      <c r="BE488" s="538">
        <f t="shared" si="341"/>
        <v>0.05</v>
      </c>
      <c r="BF488" s="538">
        <f t="shared" si="341"/>
        <v>0.05</v>
      </c>
      <c r="BG488" s="538">
        <f t="shared" si="341"/>
        <v>0.05</v>
      </c>
      <c r="BH488" s="538">
        <f t="shared" si="341"/>
        <v>0.05</v>
      </c>
      <c r="BI488" s="538">
        <f t="shared" si="341"/>
        <v>0.05</v>
      </c>
      <c r="BJ488" s="538">
        <f t="shared" si="341"/>
        <v>0.05</v>
      </c>
      <c r="BK488" s="538">
        <f t="shared" si="341"/>
        <v>0.05</v>
      </c>
      <c r="BL488" s="538">
        <f t="shared" si="341"/>
        <v>0.05</v>
      </c>
      <c r="BM488" s="538">
        <f t="shared" si="341"/>
        <v>0.05</v>
      </c>
      <c r="BN488" s="538">
        <f t="shared" si="339"/>
        <v>0.05</v>
      </c>
      <c r="BO488" s="538">
        <f t="shared" si="339"/>
        <v>0.05</v>
      </c>
      <c r="BP488" s="538">
        <f t="shared" si="339"/>
        <v>0.05</v>
      </c>
      <c r="BQ488" s="538">
        <f t="shared" si="339"/>
        <v>0.05</v>
      </c>
      <c r="BR488" s="538">
        <f t="shared" si="339"/>
        <v>0.05</v>
      </c>
      <c r="BS488" s="538">
        <f t="shared" si="339"/>
        <v>0.05</v>
      </c>
      <c r="BT488" s="538">
        <f t="shared" si="339"/>
        <v>0.05</v>
      </c>
      <c r="BU488" s="538">
        <f t="shared" si="339"/>
        <v>0.05</v>
      </c>
      <c r="BV488" s="538">
        <f t="shared" si="339"/>
        <v>0.05</v>
      </c>
      <c r="BW488" s="538">
        <f t="shared" si="339"/>
        <v>0.05</v>
      </c>
      <c r="BX488" s="538">
        <f t="shared" si="339"/>
        <v>0.05</v>
      </c>
      <c r="BY488" s="538">
        <f t="shared" si="339"/>
        <v>0.05</v>
      </c>
      <c r="BZ488" s="538">
        <f t="shared" si="339"/>
        <v>0.05</v>
      </c>
      <c r="CA488" s="538">
        <f t="shared" si="339"/>
        <v>0.05</v>
      </c>
      <c r="CB488" s="538">
        <f t="shared" si="339"/>
        <v>0.05</v>
      </c>
      <c r="CC488" s="538">
        <f t="shared" si="339"/>
        <v>0.05</v>
      </c>
      <c r="CD488" s="538">
        <f t="shared" si="340"/>
        <v>0.05</v>
      </c>
      <c r="CE488" s="538">
        <f t="shared" si="340"/>
        <v>0.05</v>
      </c>
      <c r="CG488" s="537">
        <v>0.05</v>
      </c>
      <c r="CH488" s="537">
        <v>0.05</v>
      </c>
      <c r="CI488" s="537">
        <v>0.05</v>
      </c>
      <c r="CJ488" s="537">
        <v>0.05</v>
      </c>
      <c r="CK488" s="537">
        <v>0.05</v>
      </c>
      <c r="CL488" s="537">
        <v>0.05</v>
      </c>
      <c r="CM488" s="537">
        <v>0.05</v>
      </c>
      <c r="CN488" s="537">
        <v>0.05</v>
      </c>
      <c r="CO488" s="537">
        <v>0.05</v>
      </c>
      <c r="CP488" s="537">
        <v>0.05</v>
      </c>
      <c r="CQ488" s="537">
        <v>0.05</v>
      </c>
      <c r="CR488" s="537">
        <v>0.05</v>
      </c>
      <c r="CS488" s="537">
        <v>0.05</v>
      </c>
      <c r="CT488" s="537">
        <v>0.05</v>
      </c>
      <c r="CU488" s="537">
        <v>0.05</v>
      </c>
      <c r="CV488" s="537">
        <v>0.05</v>
      </c>
      <c r="CW488" s="537">
        <v>0.05</v>
      </c>
      <c r="CX488" s="537">
        <v>0.05</v>
      </c>
      <c r="CY488" s="537">
        <v>0.05</v>
      </c>
      <c r="CZ488" s="537">
        <v>0.05</v>
      </c>
      <c r="DA488" s="537">
        <v>0.05</v>
      </c>
      <c r="DB488" s="537">
        <v>0.05</v>
      </c>
      <c r="DC488" s="537">
        <v>0.05</v>
      </c>
      <c r="DD488" s="537">
        <v>0.05</v>
      </c>
      <c r="DE488" s="537">
        <v>0.05</v>
      </c>
      <c r="DF488" s="537">
        <v>0.05</v>
      </c>
      <c r="DG488" s="537">
        <v>0.05</v>
      </c>
      <c r="DH488" s="537">
        <v>0.05</v>
      </c>
    </row>
    <row r="489" spans="2:112">
      <c r="B489" t="s">
        <v>1335</v>
      </c>
      <c r="C489" t="s">
        <v>817</v>
      </c>
      <c r="D489" t="s">
        <v>901</v>
      </c>
      <c r="E489" t="s">
        <v>895</v>
      </c>
      <c r="F489" s="537">
        <v>0.05</v>
      </c>
      <c r="G489" s="537">
        <v>0.05</v>
      </c>
      <c r="H489" s="537">
        <v>0.05</v>
      </c>
      <c r="I489" s="537">
        <v>0.05</v>
      </c>
      <c r="J489" s="537">
        <v>0.05</v>
      </c>
      <c r="K489" s="537">
        <v>0.05</v>
      </c>
      <c r="L489" s="537">
        <v>0.05</v>
      </c>
      <c r="M489" s="537">
        <v>0.05</v>
      </c>
      <c r="N489" s="537">
        <v>0.05</v>
      </c>
      <c r="O489" s="537">
        <v>0.05</v>
      </c>
      <c r="P489" s="537">
        <v>0.05</v>
      </c>
      <c r="Q489" s="537">
        <v>0.05</v>
      </c>
      <c r="R489" s="537">
        <v>0.05</v>
      </c>
      <c r="S489" s="537">
        <v>0.05</v>
      </c>
      <c r="T489" s="537">
        <v>0.05</v>
      </c>
      <c r="U489" s="537">
        <v>0.05</v>
      </c>
      <c r="V489" s="537">
        <v>0.05</v>
      </c>
      <c r="W489" s="537">
        <v>0.05</v>
      </c>
      <c r="X489" s="537">
        <v>0.05</v>
      </c>
      <c r="Y489" s="537">
        <v>0.05</v>
      </c>
      <c r="Z489" s="537">
        <v>0.05</v>
      </c>
      <c r="AA489" s="537">
        <v>0.05</v>
      </c>
      <c r="AB489" s="537">
        <v>0.05</v>
      </c>
      <c r="AC489" s="537">
        <v>0.05</v>
      </c>
      <c r="AD489" s="537">
        <v>0.05</v>
      </c>
      <c r="AE489" s="537">
        <v>0.05</v>
      </c>
      <c r="AF489" s="537">
        <v>0.05</v>
      </c>
      <c r="AG489" s="537">
        <v>0.05</v>
      </c>
      <c r="AH489" s="538">
        <f t="shared" si="338"/>
        <v>0.05</v>
      </c>
      <c r="AI489" s="538">
        <f t="shared" si="338"/>
        <v>0.05</v>
      </c>
      <c r="AJ489" s="538">
        <f t="shared" si="338"/>
        <v>0.05</v>
      </c>
      <c r="AK489" s="538">
        <f t="shared" si="338"/>
        <v>0.05</v>
      </c>
      <c r="AL489" s="538">
        <f t="shared" si="338"/>
        <v>0.05</v>
      </c>
      <c r="AM489" s="538">
        <f t="shared" si="338"/>
        <v>0.05</v>
      </c>
      <c r="AN489" s="538">
        <f t="shared" si="338"/>
        <v>0.05</v>
      </c>
      <c r="AO489" s="538">
        <f t="shared" si="338"/>
        <v>0.05</v>
      </c>
      <c r="AP489" s="538">
        <f t="shared" si="338"/>
        <v>0.05</v>
      </c>
      <c r="AQ489" s="538">
        <f t="shared" si="338"/>
        <v>0.05</v>
      </c>
      <c r="AR489" s="538">
        <f t="shared" si="338"/>
        <v>0.05</v>
      </c>
      <c r="AS489" s="538">
        <f t="shared" si="338"/>
        <v>0.05</v>
      </c>
      <c r="AT489" s="538">
        <f t="shared" si="338"/>
        <v>0.05</v>
      </c>
      <c r="AU489" s="538">
        <f t="shared" si="338"/>
        <v>0.05</v>
      </c>
      <c r="AV489" s="538">
        <f t="shared" si="338"/>
        <v>0.05</v>
      </c>
      <c r="AW489" s="538">
        <f t="shared" si="338"/>
        <v>0.05</v>
      </c>
      <c r="AX489" s="538">
        <f t="shared" si="341"/>
        <v>0.05</v>
      </c>
      <c r="AY489" s="538">
        <f t="shared" si="341"/>
        <v>0.05</v>
      </c>
      <c r="AZ489" s="538">
        <f t="shared" si="341"/>
        <v>0.05</v>
      </c>
      <c r="BA489" s="538">
        <f t="shared" si="341"/>
        <v>0.05</v>
      </c>
      <c r="BB489" s="538">
        <f t="shared" si="341"/>
        <v>0.05</v>
      </c>
      <c r="BC489" s="538">
        <f t="shared" si="341"/>
        <v>0.05</v>
      </c>
      <c r="BD489" s="538">
        <f t="shared" si="341"/>
        <v>0.05</v>
      </c>
      <c r="BE489" s="538">
        <f t="shared" si="341"/>
        <v>0.05</v>
      </c>
      <c r="BF489" s="538">
        <f t="shared" si="341"/>
        <v>0.05</v>
      </c>
      <c r="BG489" s="538">
        <f t="shared" si="341"/>
        <v>0.05</v>
      </c>
      <c r="BH489" s="538">
        <f t="shared" si="341"/>
        <v>0.05</v>
      </c>
      <c r="BI489" s="538">
        <f t="shared" si="341"/>
        <v>0.05</v>
      </c>
      <c r="BJ489" s="538">
        <f t="shared" si="341"/>
        <v>0.05</v>
      </c>
      <c r="BK489" s="538">
        <f t="shared" si="341"/>
        <v>0.05</v>
      </c>
      <c r="BL489" s="538">
        <f t="shared" si="341"/>
        <v>0.05</v>
      </c>
      <c r="BM489" s="538">
        <f t="shared" si="341"/>
        <v>0.05</v>
      </c>
      <c r="BN489" s="538">
        <f t="shared" si="339"/>
        <v>0.05</v>
      </c>
      <c r="BO489" s="538">
        <f t="shared" si="339"/>
        <v>0.05</v>
      </c>
      <c r="BP489" s="538">
        <f t="shared" si="339"/>
        <v>0.05</v>
      </c>
      <c r="BQ489" s="538">
        <f t="shared" si="339"/>
        <v>0.05</v>
      </c>
      <c r="BR489" s="538">
        <f t="shared" si="339"/>
        <v>0.05</v>
      </c>
      <c r="BS489" s="538">
        <f t="shared" si="339"/>
        <v>0.05</v>
      </c>
      <c r="BT489" s="538">
        <f t="shared" si="339"/>
        <v>0.05</v>
      </c>
      <c r="BU489" s="538">
        <f t="shared" si="339"/>
        <v>0.05</v>
      </c>
      <c r="BV489" s="538">
        <f t="shared" si="339"/>
        <v>0.05</v>
      </c>
      <c r="BW489" s="538">
        <f t="shared" si="339"/>
        <v>0.05</v>
      </c>
      <c r="BX489" s="538">
        <f t="shared" si="339"/>
        <v>0.05</v>
      </c>
      <c r="BY489" s="538">
        <f t="shared" si="339"/>
        <v>0.05</v>
      </c>
      <c r="BZ489" s="538">
        <f t="shared" si="339"/>
        <v>0.05</v>
      </c>
      <c r="CA489" s="538">
        <f t="shared" si="339"/>
        <v>0.05</v>
      </c>
      <c r="CB489" s="538">
        <f t="shared" si="339"/>
        <v>0.05</v>
      </c>
      <c r="CC489" s="538">
        <f t="shared" si="339"/>
        <v>0.05</v>
      </c>
      <c r="CD489" s="538">
        <f t="shared" si="340"/>
        <v>0.05</v>
      </c>
      <c r="CE489" s="538">
        <f t="shared" si="340"/>
        <v>0.05</v>
      </c>
      <c r="CG489" s="537">
        <v>0.05</v>
      </c>
      <c r="CH489" s="537">
        <v>0.05</v>
      </c>
      <c r="CI489" s="537">
        <v>0.05</v>
      </c>
      <c r="CJ489" s="537">
        <v>0.05</v>
      </c>
      <c r="CK489" s="537">
        <v>0.05</v>
      </c>
      <c r="CL489" s="537">
        <v>0.05</v>
      </c>
      <c r="CM489" s="537">
        <v>0.05</v>
      </c>
      <c r="CN489" s="537">
        <v>0.05</v>
      </c>
      <c r="CO489" s="537">
        <v>0.05</v>
      </c>
      <c r="CP489" s="537">
        <v>0.05</v>
      </c>
      <c r="CQ489" s="537">
        <v>0.05</v>
      </c>
      <c r="CR489" s="537">
        <v>0.05</v>
      </c>
      <c r="CS489" s="537">
        <v>0.05</v>
      </c>
      <c r="CT489" s="537">
        <v>0.05</v>
      </c>
      <c r="CU489" s="537">
        <v>0.05</v>
      </c>
      <c r="CV489" s="537">
        <v>0.05</v>
      </c>
      <c r="CW489" s="537">
        <v>0.05</v>
      </c>
      <c r="CX489" s="537">
        <v>0.05</v>
      </c>
      <c r="CY489" s="537">
        <v>0.05</v>
      </c>
      <c r="CZ489" s="537">
        <v>0.05</v>
      </c>
      <c r="DA489" s="537">
        <v>0.05</v>
      </c>
      <c r="DB489" s="537">
        <v>0.05</v>
      </c>
      <c r="DC489" s="537">
        <v>0.05</v>
      </c>
      <c r="DD489" s="537">
        <v>0.05</v>
      </c>
      <c r="DE489" s="537">
        <v>0.05</v>
      </c>
      <c r="DF489" s="537">
        <v>0.05</v>
      </c>
      <c r="DG489" s="537">
        <v>0.05</v>
      </c>
      <c r="DH489" s="537">
        <v>0.05</v>
      </c>
    </row>
    <row r="490" spans="2:112">
      <c r="F490" s="539"/>
      <c r="G490" s="539"/>
      <c r="H490" s="539"/>
      <c r="I490" s="539"/>
      <c r="J490" s="539"/>
      <c r="K490" s="539"/>
      <c r="L490" s="539"/>
      <c r="M490" s="539"/>
      <c r="N490" s="539"/>
      <c r="O490" s="539"/>
      <c r="P490" s="539"/>
      <c r="Q490" s="539"/>
      <c r="R490" s="539"/>
      <c r="S490" s="539"/>
      <c r="T490" s="539"/>
      <c r="U490" s="539"/>
      <c r="V490" s="539"/>
      <c r="W490" s="539"/>
      <c r="X490" s="539"/>
      <c r="Y490" s="539"/>
      <c r="Z490" s="539"/>
      <c r="AA490" s="539"/>
      <c r="AB490" s="539"/>
      <c r="AC490" s="539"/>
      <c r="AD490" s="539"/>
      <c r="AE490" s="539"/>
      <c r="AF490" s="539"/>
      <c r="AG490" s="539"/>
      <c r="AH490" s="539"/>
      <c r="AI490" s="539"/>
      <c r="AJ490" s="539"/>
      <c r="AK490" s="539"/>
      <c r="AL490" s="539"/>
      <c r="AM490" s="539"/>
      <c r="AN490" s="539"/>
      <c r="AO490" s="539"/>
      <c r="AP490" s="539"/>
      <c r="AQ490" s="539"/>
      <c r="AR490" s="539"/>
      <c r="AS490" s="539"/>
      <c r="AT490" s="539"/>
      <c r="AU490" s="539"/>
      <c r="AV490" s="539"/>
      <c r="AW490" s="539"/>
      <c r="AX490" s="539"/>
      <c r="AY490" s="539"/>
      <c r="AZ490" s="539"/>
      <c r="BA490" s="539"/>
      <c r="BB490" s="539"/>
      <c r="BC490" s="539"/>
      <c r="BD490" s="539"/>
      <c r="BE490" s="539"/>
      <c r="BF490" s="539"/>
      <c r="BG490" s="539"/>
      <c r="BH490" s="539"/>
      <c r="BI490" s="539"/>
      <c r="BJ490" s="539"/>
      <c r="BK490" s="539"/>
      <c r="BL490" s="539"/>
      <c r="BM490" s="539"/>
      <c r="BN490" s="539"/>
      <c r="BO490" s="539"/>
      <c r="BP490" s="539"/>
      <c r="BQ490" s="539"/>
      <c r="BR490" s="539"/>
      <c r="BS490" s="539"/>
      <c r="BT490" s="539"/>
      <c r="BU490" s="539"/>
      <c r="BV490" s="539"/>
      <c r="BW490" s="539"/>
      <c r="BX490" s="539"/>
      <c r="BY490" s="539"/>
      <c r="BZ490" s="539"/>
      <c r="CA490" s="539"/>
      <c r="CB490" s="539"/>
      <c r="CC490" s="539"/>
      <c r="CD490" s="539"/>
      <c r="CE490" s="539"/>
      <c r="CG490" s="539"/>
      <c r="CH490" s="539"/>
      <c r="CI490" s="539"/>
      <c r="CJ490" s="539"/>
      <c r="CK490" s="539"/>
      <c r="CL490" s="539"/>
      <c r="CM490" s="539"/>
      <c r="CN490" s="539"/>
      <c r="CO490" s="539"/>
      <c r="CP490" s="539"/>
      <c r="CQ490" s="539"/>
      <c r="CR490" s="539"/>
      <c r="CS490" s="539"/>
      <c r="CT490" s="539"/>
      <c r="CU490" s="539"/>
      <c r="CV490" s="539"/>
      <c r="CW490" s="539"/>
      <c r="CX490" s="539"/>
      <c r="CY490" s="539"/>
      <c r="CZ490" s="539"/>
      <c r="DA490" s="539"/>
      <c r="DB490" s="539"/>
      <c r="DC490" s="539"/>
      <c r="DD490" s="539"/>
      <c r="DE490" s="539"/>
      <c r="DF490" s="539"/>
      <c r="DG490" s="539"/>
      <c r="DH490" s="539"/>
    </row>
    <row r="491" spans="2:112">
      <c r="B491" t="s">
        <v>1336</v>
      </c>
      <c r="C491" t="s">
        <v>817</v>
      </c>
      <c r="D491" t="s">
        <v>903</v>
      </c>
      <c r="E491" t="s">
        <v>557</v>
      </c>
      <c r="F491" s="536">
        <v>9855</v>
      </c>
      <c r="G491" s="536">
        <v>9855</v>
      </c>
      <c r="H491" s="536">
        <v>9855</v>
      </c>
      <c r="I491" s="536">
        <v>9855</v>
      </c>
      <c r="J491" s="536">
        <v>9855</v>
      </c>
      <c r="K491" s="536">
        <v>9855</v>
      </c>
      <c r="L491" s="536">
        <v>9855</v>
      </c>
      <c r="M491" s="536">
        <v>9855</v>
      </c>
      <c r="N491" s="536">
        <v>9855</v>
      </c>
      <c r="O491" s="536">
        <v>9855</v>
      </c>
      <c r="P491" s="536">
        <v>9855</v>
      </c>
      <c r="Q491" s="536">
        <v>9855</v>
      </c>
      <c r="R491" s="536">
        <v>9855</v>
      </c>
      <c r="S491" s="536">
        <v>9855</v>
      </c>
      <c r="T491" s="536">
        <v>9855</v>
      </c>
      <c r="U491" s="536">
        <v>9855</v>
      </c>
      <c r="V491" s="536">
        <v>9855</v>
      </c>
      <c r="W491" s="536">
        <v>9855</v>
      </c>
      <c r="X491" s="536">
        <v>9855</v>
      </c>
      <c r="Y491" s="536">
        <v>9855</v>
      </c>
      <c r="Z491" s="536">
        <v>9855</v>
      </c>
      <c r="AA491" s="536">
        <v>9855</v>
      </c>
      <c r="AB491" s="536">
        <v>9855</v>
      </c>
      <c r="AC491" s="536">
        <v>9855</v>
      </c>
      <c r="AD491" s="536">
        <v>9855</v>
      </c>
      <c r="AE491" s="536">
        <v>9855</v>
      </c>
      <c r="AF491" s="536">
        <v>9855</v>
      </c>
      <c r="AG491" s="536">
        <v>9855</v>
      </c>
      <c r="AH491" s="540">
        <f>AG491</f>
        <v>9855</v>
      </c>
      <c r="AI491" s="540">
        <f t="shared" ref="AI491:CE492" si="342">AH491</f>
        <v>9855</v>
      </c>
      <c r="AJ491" s="540">
        <f t="shared" si="342"/>
        <v>9855</v>
      </c>
      <c r="AK491" s="540">
        <f t="shared" si="342"/>
        <v>9855</v>
      </c>
      <c r="AL491" s="540">
        <f t="shared" si="342"/>
        <v>9855</v>
      </c>
      <c r="AM491" s="540">
        <f t="shared" si="342"/>
        <v>9855</v>
      </c>
      <c r="AN491" s="540">
        <f t="shared" si="342"/>
        <v>9855</v>
      </c>
      <c r="AO491" s="540">
        <f t="shared" si="342"/>
        <v>9855</v>
      </c>
      <c r="AP491" s="540">
        <f t="shared" si="342"/>
        <v>9855</v>
      </c>
      <c r="AQ491" s="540">
        <f t="shared" si="342"/>
        <v>9855</v>
      </c>
      <c r="AR491" s="540">
        <f t="shared" si="342"/>
        <v>9855</v>
      </c>
      <c r="AS491" s="540">
        <f t="shared" si="342"/>
        <v>9855</v>
      </c>
      <c r="AT491" s="540">
        <f t="shared" si="342"/>
        <v>9855</v>
      </c>
      <c r="AU491" s="540">
        <f t="shared" si="342"/>
        <v>9855</v>
      </c>
      <c r="AV491" s="540">
        <f t="shared" si="342"/>
        <v>9855</v>
      </c>
      <c r="AW491" s="540">
        <f t="shared" si="342"/>
        <v>9855</v>
      </c>
      <c r="AX491" s="540">
        <f t="shared" si="342"/>
        <v>9855</v>
      </c>
      <c r="AY491" s="540">
        <f t="shared" si="342"/>
        <v>9855</v>
      </c>
      <c r="AZ491" s="540">
        <f t="shared" si="342"/>
        <v>9855</v>
      </c>
      <c r="BA491" s="540">
        <f t="shared" si="342"/>
        <v>9855</v>
      </c>
      <c r="BB491" s="540">
        <f t="shared" si="342"/>
        <v>9855</v>
      </c>
      <c r="BC491" s="540">
        <f t="shared" si="342"/>
        <v>9855</v>
      </c>
      <c r="BD491" s="540">
        <f t="shared" si="342"/>
        <v>9855</v>
      </c>
      <c r="BE491" s="540">
        <f t="shared" si="342"/>
        <v>9855</v>
      </c>
      <c r="BF491" s="540">
        <f t="shared" si="342"/>
        <v>9855</v>
      </c>
      <c r="BG491" s="540">
        <f t="shared" si="342"/>
        <v>9855</v>
      </c>
      <c r="BH491" s="540">
        <f t="shared" si="342"/>
        <v>9855</v>
      </c>
      <c r="BI491" s="540">
        <f t="shared" si="342"/>
        <v>9855</v>
      </c>
      <c r="BJ491" s="540">
        <f t="shared" si="342"/>
        <v>9855</v>
      </c>
      <c r="BK491" s="540">
        <f t="shared" si="342"/>
        <v>9855</v>
      </c>
      <c r="BL491" s="540">
        <f t="shared" si="342"/>
        <v>9855</v>
      </c>
      <c r="BM491" s="540">
        <f t="shared" si="342"/>
        <v>9855</v>
      </c>
      <c r="BN491" s="540">
        <f t="shared" si="342"/>
        <v>9855</v>
      </c>
      <c r="BO491" s="540">
        <f t="shared" si="342"/>
        <v>9855</v>
      </c>
      <c r="BP491" s="540">
        <f t="shared" si="342"/>
        <v>9855</v>
      </c>
      <c r="BQ491" s="540">
        <f t="shared" si="342"/>
        <v>9855</v>
      </c>
      <c r="BR491" s="540">
        <f t="shared" si="342"/>
        <v>9855</v>
      </c>
      <c r="BS491" s="540">
        <f t="shared" si="342"/>
        <v>9855</v>
      </c>
      <c r="BT491" s="540">
        <f t="shared" si="342"/>
        <v>9855</v>
      </c>
      <c r="BU491" s="540">
        <f t="shared" si="342"/>
        <v>9855</v>
      </c>
      <c r="BV491" s="540">
        <f t="shared" si="342"/>
        <v>9855</v>
      </c>
      <c r="BW491" s="540">
        <f t="shared" si="342"/>
        <v>9855</v>
      </c>
      <c r="BX491" s="540">
        <f t="shared" si="342"/>
        <v>9855</v>
      </c>
      <c r="BY491" s="540">
        <f t="shared" si="342"/>
        <v>9855</v>
      </c>
      <c r="BZ491" s="540">
        <f t="shared" si="342"/>
        <v>9855</v>
      </c>
      <c r="CA491" s="540">
        <f t="shared" si="342"/>
        <v>9855</v>
      </c>
      <c r="CB491" s="540">
        <f t="shared" si="342"/>
        <v>9855</v>
      </c>
      <c r="CC491" s="540">
        <f t="shared" si="342"/>
        <v>9855</v>
      </c>
      <c r="CD491" s="540">
        <f t="shared" si="342"/>
        <v>9855</v>
      </c>
      <c r="CE491" s="540">
        <f t="shared" si="342"/>
        <v>9855</v>
      </c>
      <c r="CG491" s="536">
        <v>9855</v>
      </c>
      <c r="CH491" s="536">
        <v>9855</v>
      </c>
      <c r="CI491" s="536">
        <v>9855</v>
      </c>
      <c r="CJ491" s="536">
        <v>9855</v>
      </c>
      <c r="CK491" s="536">
        <v>9855</v>
      </c>
      <c r="CL491" s="536">
        <v>9855</v>
      </c>
      <c r="CM491" s="536">
        <v>9855</v>
      </c>
      <c r="CN491" s="536">
        <v>9855</v>
      </c>
      <c r="CO491" s="536">
        <v>9855</v>
      </c>
      <c r="CP491" s="536">
        <v>9855</v>
      </c>
      <c r="CQ491" s="536">
        <v>9855</v>
      </c>
      <c r="CR491" s="536">
        <v>9855</v>
      </c>
      <c r="CS491" s="536">
        <v>9855</v>
      </c>
      <c r="CT491" s="536">
        <v>9855</v>
      </c>
      <c r="CU491" s="536">
        <v>9855</v>
      </c>
      <c r="CV491" s="536">
        <v>9855</v>
      </c>
      <c r="CW491" s="536">
        <v>9855</v>
      </c>
      <c r="CX491" s="536">
        <v>9855</v>
      </c>
      <c r="CY491" s="536">
        <v>9855</v>
      </c>
      <c r="CZ491" s="536">
        <v>9855</v>
      </c>
      <c r="DA491" s="536">
        <v>9855</v>
      </c>
      <c r="DB491" s="536">
        <v>9855</v>
      </c>
      <c r="DC491" s="536">
        <v>9855</v>
      </c>
      <c r="DD491" s="536">
        <v>9855</v>
      </c>
      <c r="DE491" s="536">
        <v>9855</v>
      </c>
      <c r="DF491" s="536">
        <v>9855</v>
      </c>
      <c r="DG491" s="536">
        <v>9855</v>
      </c>
      <c r="DH491" s="536">
        <v>9855</v>
      </c>
    </row>
    <row r="492" spans="2:112">
      <c r="B492" t="s">
        <v>1337</v>
      </c>
      <c r="C492" t="s">
        <v>817</v>
      </c>
      <c r="D492" t="s">
        <v>905</v>
      </c>
      <c r="E492" t="s">
        <v>557</v>
      </c>
      <c r="F492" s="536">
        <v>0</v>
      </c>
      <c r="G492" s="536">
        <v>0</v>
      </c>
      <c r="H492" s="536">
        <v>0</v>
      </c>
      <c r="I492" s="536">
        <v>0</v>
      </c>
      <c r="J492" s="536">
        <v>0</v>
      </c>
      <c r="K492" s="536">
        <v>0</v>
      </c>
      <c r="L492" s="536">
        <v>0</v>
      </c>
      <c r="M492" s="536">
        <v>0</v>
      </c>
      <c r="N492" s="536">
        <v>0</v>
      </c>
      <c r="O492" s="536">
        <v>0</v>
      </c>
      <c r="P492" s="536">
        <v>0</v>
      </c>
      <c r="Q492" s="536">
        <v>0</v>
      </c>
      <c r="R492" s="536">
        <v>0</v>
      </c>
      <c r="S492" s="536">
        <v>0</v>
      </c>
      <c r="T492" s="536">
        <v>0</v>
      </c>
      <c r="U492" s="536">
        <v>0</v>
      </c>
      <c r="V492" s="536">
        <v>0</v>
      </c>
      <c r="W492" s="536">
        <v>0</v>
      </c>
      <c r="X492" s="536">
        <v>0</v>
      </c>
      <c r="Y492" s="536">
        <v>0</v>
      </c>
      <c r="Z492" s="536">
        <v>0</v>
      </c>
      <c r="AA492" s="536">
        <v>0</v>
      </c>
      <c r="AB492" s="536">
        <v>0</v>
      </c>
      <c r="AC492" s="536">
        <v>0</v>
      </c>
      <c r="AD492" s="536">
        <v>0</v>
      </c>
      <c r="AE492" s="536">
        <v>0</v>
      </c>
      <c r="AF492" s="536">
        <v>0</v>
      </c>
      <c r="AG492" s="536">
        <v>0</v>
      </c>
      <c r="AH492" s="540">
        <f>AG492</f>
        <v>0</v>
      </c>
      <c r="AI492" s="540">
        <f t="shared" si="342"/>
        <v>0</v>
      </c>
      <c r="AJ492" s="540">
        <f t="shared" si="342"/>
        <v>0</v>
      </c>
      <c r="AK492" s="540">
        <f t="shared" si="342"/>
        <v>0</v>
      </c>
      <c r="AL492" s="540">
        <f t="shared" si="342"/>
        <v>0</v>
      </c>
      <c r="AM492" s="540">
        <f t="shared" si="342"/>
        <v>0</v>
      </c>
      <c r="AN492" s="540">
        <f t="shared" si="342"/>
        <v>0</v>
      </c>
      <c r="AO492" s="540">
        <f t="shared" si="342"/>
        <v>0</v>
      </c>
      <c r="AP492" s="540">
        <f t="shared" si="342"/>
        <v>0</v>
      </c>
      <c r="AQ492" s="540">
        <f t="shared" si="342"/>
        <v>0</v>
      </c>
      <c r="AR492" s="540">
        <f t="shared" si="342"/>
        <v>0</v>
      </c>
      <c r="AS492" s="540">
        <f t="shared" si="342"/>
        <v>0</v>
      </c>
      <c r="AT492" s="540">
        <f t="shared" si="342"/>
        <v>0</v>
      </c>
      <c r="AU492" s="540">
        <f t="shared" si="342"/>
        <v>0</v>
      </c>
      <c r="AV492" s="540">
        <f t="shared" si="342"/>
        <v>0</v>
      </c>
      <c r="AW492" s="540">
        <f t="shared" si="342"/>
        <v>0</v>
      </c>
      <c r="AX492" s="540">
        <f t="shared" si="342"/>
        <v>0</v>
      </c>
      <c r="AY492" s="540">
        <f t="shared" si="342"/>
        <v>0</v>
      </c>
      <c r="AZ492" s="540">
        <f t="shared" si="342"/>
        <v>0</v>
      </c>
      <c r="BA492" s="540">
        <f t="shared" si="342"/>
        <v>0</v>
      </c>
      <c r="BB492" s="540">
        <f t="shared" si="342"/>
        <v>0</v>
      </c>
      <c r="BC492" s="540">
        <f t="shared" si="342"/>
        <v>0</v>
      </c>
      <c r="BD492" s="540">
        <f t="shared" si="342"/>
        <v>0</v>
      </c>
      <c r="BE492" s="540">
        <f t="shared" si="342"/>
        <v>0</v>
      </c>
      <c r="BF492" s="540">
        <f t="shared" si="342"/>
        <v>0</v>
      </c>
      <c r="BG492" s="540">
        <f t="shared" si="342"/>
        <v>0</v>
      </c>
      <c r="BH492" s="540">
        <f t="shared" si="342"/>
        <v>0</v>
      </c>
      <c r="BI492" s="540">
        <f t="shared" si="342"/>
        <v>0</v>
      </c>
      <c r="BJ492" s="540">
        <f t="shared" si="342"/>
        <v>0</v>
      </c>
      <c r="BK492" s="540">
        <f t="shared" si="342"/>
        <v>0</v>
      </c>
      <c r="BL492" s="540">
        <f t="shared" si="342"/>
        <v>0</v>
      </c>
      <c r="BM492" s="540">
        <f t="shared" si="342"/>
        <v>0</v>
      </c>
      <c r="BN492" s="540">
        <f t="shared" si="342"/>
        <v>0</v>
      </c>
      <c r="BO492" s="540">
        <f t="shared" si="342"/>
        <v>0</v>
      </c>
      <c r="BP492" s="540">
        <f t="shared" si="342"/>
        <v>0</v>
      </c>
      <c r="BQ492" s="540">
        <f t="shared" si="342"/>
        <v>0</v>
      </c>
      <c r="BR492" s="540">
        <f t="shared" si="342"/>
        <v>0</v>
      </c>
      <c r="BS492" s="540">
        <f t="shared" si="342"/>
        <v>0</v>
      </c>
      <c r="BT492" s="540">
        <f t="shared" si="342"/>
        <v>0</v>
      </c>
      <c r="BU492" s="540">
        <f t="shared" si="342"/>
        <v>0</v>
      </c>
      <c r="BV492" s="540">
        <f t="shared" si="342"/>
        <v>0</v>
      </c>
      <c r="BW492" s="540">
        <f t="shared" si="342"/>
        <v>0</v>
      </c>
      <c r="BX492" s="540">
        <f t="shared" si="342"/>
        <v>0</v>
      </c>
      <c r="BY492" s="540">
        <f t="shared" si="342"/>
        <v>0</v>
      </c>
      <c r="BZ492" s="540">
        <f t="shared" si="342"/>
        <v>0</v>
      </c>
      <c r="CA492" s="540">
        <f t="shared" si="342"/>
        <v>0</v>
      </c>
      <c r="CB492" s="540">
        <f t="shared" si="342"/>
        <v>0</v>
      </c>
      <c r="CC492" s="540">
        <f t="shared" si="342"/>
        <v>0</v>
      </c>
      <c r="CD492" s="540">
        <f t="shared" si="342"/>
        <v>0</v>
      </c>
      <c r="CE492" s="540">
        <f t="shared" si="342"/>
        <v>0</v>
      </c>
      <c r="CG492" s="536">
        <v>0</v>
      </c>
      <c r="CH492" s="536">
        <v>0</v>
      </c>
      <c r="CI492" s="536">
        <v>0</v>
      </c>
      <c r="CJ492" s="536">
        <v>0</v>
      </c>
      <c r="CK492" s="536">
        <v>0</v>
      </c>
      <c r="CL492" s="536">
        <v>0</v>
      </c>
      <c r="CM492" s="536">
        <v>0</v>
      </c>
      <c r="CN492" s="536">
        <v>0</v>
      </c>
      <c r="CO492" s="536">
        <v>0</v>
      </c>
      <c r="CP492" s="536">
        <v>0</v>
      </c>
      <c r="CQ492" s="536">
        <v>0</v>
      </c>
      <c r="CR492" s="536">
        <v>0</v>
      </c>
      <c r="CS492" s="536">
        <v>0</v>
      </c>
      <c r="CT492" s="536">
        <v>0</v>
      </c>
      <c r="CU492" s="536">
        <v>0</v>
      </c>
      <c r="CV492" s="536">
        <v>0</v>
      </c>
      <c r="CW492" s="536">
        <v>0</v>
      </c>
      <c r="CX492" s="536">
        <v>0</v>
      </c>
      <c r="CY492" s="536">
        <v>0</v>
      </c>
      <c r="CZ492" s="536">
        <v>0</v>
      </c>
      <c r="DA492" s="536">
        <v>0</v>
      </c>
      <c r="DB492" s="536">
        <v>0</v>
      </c>
      <c r="DC492" s="536">
        <v>0</v>
      </c>
      <c r="DD492" s="536">
        <v>0</v>
      </c>
      <c r="DE492" s="536">
        <v>0</v>
      </c>
      <c r="DF492" s="536">
        <v>0</v>
      </c>
      <c r="DG492" s="536">
        <v>0</v>
      </c>
      <c r="DH492" s="536">
        <v>0</v>
      </c>
    </row>
    <row r="493" spans="2:112">
      <c r="F493" s="539"/>
      <c r="G493" s="539"/>
      <c r="H493" s="539"/>
      <c r="I493" s="539"/>
      <c r="J493" s="539"/>
      <c r="K493" s="539"/>
      <c r="L493" s="539"/>
      <c r="M493" s="539"/>
      <c r="N493" s="539"/>
      <c r="O493" s="539"/>
      <c r="P493" s="539"/>
      <c r="Q493" s="539"/>
      <c r="R493" s="539"/>
      <c r="S493" s="539"/>
      <c r="T493" s="539"/>
      <c r="U493" s="539"/>
      <c r="V493" s="539"/>
      <c r="W493" s="539"/>
      <c r="X493" s="539"/>
      <c r="Y493" s="539"/>
      <c r="Z493" s="539"/>
      <c r="AA493" s="539"/>
      <c r="AB493" s="539"/>
      <c r="AC493" s="539"/>
      <c r="AD493" s="539"/>
      <c r="AE493" s="539"/>
      <c r="AF493" s="539"/>
      <c r="AG493" s="539"/>
      <c r="AH493" s="539"/>
      <c r="AI493" s="539"/>
      <c r="AJ493" s="539"/>
      <c r="AK493" s="539"/>
      <c r="AL493" s="539"/>
      <c r="AM493" s="539"/>
      <c r="AN493" s="539"/>
      <c r="AO493" s="539"/>
      <c r="AP493" s="539"/>
      <c r="AQ493" s="539"/>
      <c r="AR493" s="539"/>
      <c r="AS493" s="539"/>
      <c r="AT493" s="539"/>
      <c r="AU493" s="539"/>
      <c r="AV493" s="539"/>
      <c r="AW493" s="539"/>
      <c r="AX493" s="539"/>
      <c r="AY493" s="539"/>
      <c r="AZ493" s="539"/>
      <c r="BA493" s="539"/>
      <c r="BB493" s="539"/>
      <c r="BC493" s="539"/>
      <c r="BD493" s="539"/>
      <c r="BE493" s="539"/>
      <c r="BF493" s="539"/>
      <c r="BG493" s="539"/>
      <c r="BH493" s="539"/>
      <c r="BI493" s="539"/>
      <c r="BJ493" s="539"/>
      <c r="BK493" s="539"/>
      <c r="BL493" s="539"/>
      <c r="BM493" s="539"/>
      <c r="BN493" s="539"/>
      <c r="BO493" s="539"/>
      <c r="BP493" s="539"/>
      <c r="BQ493" s="539"/>
      <c r="BR493" s="539"/>
      <c r="BS493" s="539"/>
      <c r="BT493" s="539"/>
      <c r="BU493" s="539"/>
      <c r="BV493" s="539"/>
      <c r="BW493" s="539"/>
      <c r="BX493" s="539"/>
      <c r="BY493" s="539"/>
      <c r="BZ493" s="539"/>
      <c r="CA493" s="539"/>
      <c r="CB493" s="539"/>
      <c r="CC493" s="539"/>
      <c r="CD493" s="539"/>
      <c r="CE493" s="539"/>
      <c r="CG493" s="539"/>
      <c r="CH493" s="539"/>
      <c r="CI493" s="539"/>
      <c r="CJ493" s="539"/>
      <c r="CK493" s="539"/>
      <c r="CL493" s="539"/>
      <c r="CM493" s="539"/>
      <c r="CN493" s="539"/>
      <c r="CO493" s="539"/>
      <c r="CP493" s="539"/>
      <c r="CQ493" s="539"/>
      <c r="CR493" s="539"/>
      <c r="CS493" s="539"/>
      <c r="CT493" s="539"/>
      <c r="CU493" s="539"/>
      <c r="CV493" s="539"/>
      <c r="CW493" s="539"/>
      <c r="CX493" s="539"/>
      <c r="CY493" s="539"/>
      <c r="CZ493" s="539"/>
      <c r="DA493" s="539"/>
      <c r="DB493" s="539"/>
      <c r="DC493" s="539"/>
      <c r="DD493" s="539"/>
      <c r="DE493" s="539"/>
      <c r="DF493" s="539"/>
      <c r="DG493" s="539"/>
      <c r="DH493" s="539"/>
    </row>
    <row r="494" spans="2:112">
      <c r="B494" t="s">
        <v>1338</v>
      </c>
      <c r="C494" t="s">
        <v>817</v>
      </c>
      <c r="D494" t="s">
        <v>907</v>
      </c>
      <c r="E494" t="s">
        <v>908</v>
      </c>
      <c r="F494" s="541">
        <v>31.616</v>
      </c>
      <c r="G494" s="541">
        <v>31.616</v>
      </c>
      <c r="H494" s="541">
        <v>31.616</v>
      </c>
      <c r="I494" s="541">
        <v>31.616</v>
      </c>
      <c r="J494" s="541">
        <v>31.616</v>
      </c>
      <c r="K494" s="541">
        <v>31.616</v>
      </c>
      <c r="L494" s="541">
        <v>31.616</v>
      </c>
      <c r="M494" s="541">
        <v>31.616</v>
      </c>
      <c r="N494" s="541">
        <v>31.616</v>
      </c>
      <c r="O494" s="541">
        <v>31.616</v>
      </c>
      <c r="P494" s="541">
        <v>31.616</v>
      </c>
      <c r="Q494" s="541">
        <v>31.616</v>
      </c>
      <c r="R494" s="541">
        <v>31.616</v>
      </c>
      <c r="S494" s="541">
        <v>31.616</v>
      </c>
      <c r="T494" s="541">
        <v>31.616</v>
      </c>
      <c r="U494" s="541">
        <v>31.616</v>
      </c>
      <c r="V494" s="541">
        <v>31.616</v>
      </c>
      <c r="W494" s="541">
        <v>31.616</v>
      </c>
      <c r="X494" s="541">
        <v>31.616</v>
      </c>
      <c r="Y494" s="541">
        <v>31.616</v>
      </c>
      <c r="Z494" s="541">
        <v>31.616</v>
      </c>
      <c r="AA494" s="541">
        <v>31.616</v>
      </c>
      <c r="AB494" s="541">
        <v>31.616</v>
      </c>
      <c r="AC494" s="541">
        <v>31.616</v>
      </c>
      <c r="AD494" s="541">
        <v>31.616</v>
      </c>
      <c r="AE494" s="541">
        <v>31.616</v>
      </c>
      <c r="AF494" s="541">
        <v>31.616</v>
      </c>
      <c r="AG494" s="541">
        <v>31.616</v>
      </c>
      <c r="AH494" s="542">
        <f>AG494</f>
        <v>31.616</v>
      </c>
      <c r="AI494" s="542">
        <f t="shared" ref="AI494:AX494" si="343">AH494</f>
        <v>31.616</v>
      </c>
      <c r="AJ494" s="542">
        <f t="shared" si="343"/>
        <v>31.616</v>
      </c>
      <c r="AK494" s="542">
        <f t="shared" si="343"/>
        <v>31.616</v>
      </c>
      <c r="AL494" s="542">
        <f t="shared" si="343"/>
        <v>31.616</v>
      </c>
      <c r="AM494" s="542">
        <f t="shared" si="343"/>
        <v>31.616</v>
      </c>
      <c r="AN494" s="542">
        <f t="shared" si="343"/>
        <v>31.616</v>
      </c>
      <c r="AO494" s="542">
        <f t="shared" si="343"/>
        <v>31.616</v>
      </c>
      <c r="AP494" s="542">
        <f t="shared" si="343"/>
        <v>31.616</v>
      </c>
      <c r="AQ494" s="542">
        <f t="shared" si="343"/>
        <v>31.616</v>
      </c>
      <c r="AR494" s="542">
        <f t="shared" si="343"/>
        <v>31.616</v>
      </c>
      <c r="AS494" s="542">
        <f t="shared" si="343"/>
        <v>31.616</v>
      </c>
      <c r="AT494" s="542">
        <f t="shared" si="343"/>
        <v>31.616</v>
      </c>
      <c r="AU494" s="542">
        <f t="shared" si="343"/>
        <v>31.616</v>
      </c>
      <c r="AV494" s="542">
        <f t="shared" si="343"/>
        <v>31.616</v>
      </c>
      <c r="AW494" s="542">
        <f t="shared" si="343"/>
        <v>31.616</v>
      </c>
      <c r="AX494" s="542">
        <f t="shared" si="343"/>
        <v>31.616</v>
      </c>
      <c r="AY494" s="542">
        <f t="shared" ref="AY494:BN494" si="344">AX494</f>
        <v>31.616</v>
      </c>
      <c r="AZ494" s="542">
        <f t="shared" si="344"/>
        <v>31.616</v>
      </c>
      <c r="BA494" s="542">
        <f t="shared" si="344"/>
        <v>31.616</v>
      </c>
      <c r="BB494" s="542">
        <f t="shared" si="344"/>
        <v>31.616</v>
      </c>
      <c r="BC494" s="542">
        <f t="shared" si="344"/>
        <v>31.616</v>
      </c>
      <c r="BD494" s="542">
        <f t="shared" si="344"/>
        <v>31.616</v>
      </c>
      <c r="BE494" s="542">
        <f t="shared" si="344"/>
        <v>31.616</v>
      </c>
      <c r="BF494" s="542">
        <f t="shared" si="344"/>
        <v>31.616</v>
      </c>
      <c r="BG494" s="542">
        <f t="shared" si="344"/>
        <v>31.616</v>
      </c>
      <c r="BH494" s="542">
        <f t="shared" si="344"/>
        <v>31.616</v>
      </c>
      <c r="BI494" s="542">
        <f t="shared" si="344"/>
        <v>31.616</v>
      </c>
      <c r="BJ494" s="542">
        <f t="shared" si="344"/>
        <v>31.616</v>
      </c>
      <c r="BK494" s="542">
        <f t="shared" si="344"/>
        <v>31.616</v>
      </c>
      <c r="BL494" s="542">
        <f t="shared" si="344"/>
        <v>31.616</v>
      </c>
      <c r="BM494" s="542">
        <f t="shared" si="344"/>
        <v>31.616</v>
      </c>
      <c r="BN494" s="542">
        <f t="shared" si="344"/>
        <v>31.616</v>
      </c>
      <c r="BO494" s="542">
        <f t="shared" ref="BO494:CD494" si="345">BN494</f>
        <v>31.616</v>
      </c>
      <c r="BP494" s="542">
        <f t="shared" si="345"/>
        <v>31.616</v>
      </c>
      <c r="BQ494" s="542">
        <f t="shared" si="345"/>
        <v>31.616</v>
      </c>
      <c r="BR494" s="542">
        <f t="shared" si="345"/>
        <v>31.616</v>
      </c>
      <c r="BS494" s="542">
        <f t="shared" si="345"/>
        <v>31.616</v>
      </c>
      <c r="BT494" s="542">
        <f t="shared" si="345"/>
        <v>31.616</v>
      </c>
      <c r="BU494" s="542">
        <f t="shared" si="345"/>
        <v>31.616</v>
      </c>
      <c r="BV494" s="542">
        <f t="shared" si="345"/>
        <v>31.616</v>
      </c>
      <c r="BW494" s="542">
        <f t="shared" si="345"/>
        <v>31.616</v>
      </c>
      <c r="BX494" s="542">
        <f t="shared" si="345"/>
        <v>31.616</v>
      </c>
      <c r="BY494" s="542">
        <f t="shared" si="345"/>
        <v>31.616</v>
      </c>
      <c r="BZ494" s="542">
        <f t="shared" si="345"/>
        <v>31.616</v>
      </c>
      <c r="CA494" s="542">
        <f t="shared" si="345"/>
        <v>31.616</v>
      </c>
      <c r="CB494" s="542">
        <f t="shared" si="345"/>
        <v>31.616</v>
      </c>
      <c r="CC494" s="542">
        <f t="shared" si="345"/>
        <v>31.616</v>
      </c>
      <c r="CD494" s="542">
        <f t="shared" si="345"/>
        <v>31.616</v>
      </c>
      <c r="CE494" s="542">
        <f t="shared" ref="AX494:CE501" si="346">CD494</f>
        <v>31.616</v>
      </c>
      <c r="CG494" s="541">
        <v>31.616</v>
      </c>
      <c r="CH494" s="541">
        <v>31.616</v>
      </c>
      <c r="CI494" s="541">
        <v>31.616</v>
      </c>
      <c r="CJ494" s="541">
        <v>31.616</v>
      </c>
      <c r="CK494" s="541">
        <v>31.616</v>
      </c>
      <c r="CL494" s="541">
        <v>31.616</v>
      </c>
      <c r="CM494" s="541">
        <v>31.616</v>
      </c>
      <c r="CN494" s="541">
        <v>31.616</v>
      </c>
      <c r="CO494" s="541">
        <v>31.616</v>
      </c>
      <c r="CP494" s="541">
        <v>31.616</v>
      </c>
      <c r="CQ494" s="541">
        <v>31.616</v>
      </c>
      <c r="CR494" s="541">
        <v>31.616</v>
      </c>
      <c r="CS494" s="541">
        <v>31.616</v>
      </c>
      <c r="CT494" s="541">
        <v>31.616</v>
      </c>
      <c r="CU494" s="541">
        <v>31.616</v>
      </c>
      <c r="CV494" s="541">
        <v>31.616</v>
      </c>
      <c r="CW494" s="541">
        <v>31.616</v>
      </c>
      <c r="CX494" s="541">
        <v>31.616</v>
      </c>
      <c r="CY494" s="541">
        <v>31.616</v>
      </c>
      <c r="CZ494" s="541">
        <v>31.616</v>
      </c>
      <c r="DA494" s="541">
        <v>31.616</v>
      </c>
      <c r="DB494" s="541">
        <v>31.616</v>
      </c>
      <c r="DC494" s="541">
        <v>31.616</v>
      </c>
      <c r="DD494" s="541">
        <v>31.616</v>
      </c>
      <c r="DE494" s="541">
        <v>31.616</v>
      </c>
      <c r="DF494" s="541">
        <v>31.616</v>
      </c>
      <c r="DG494" s="541">
        <v>31.616</v>
      </c>
      <c r="DH494" s="541">
        <v>31.616</v>
      </c>
    </row>
    <row r="495" spans="2:112">
      <c r="B495" t="s">
        <v>1339</v>
      </c>
      <c r="C495" t="s">
        <v>817</v>
      </c>
      <c r="D495" t="s">
        <v>910</v>
      </c>
      <c r="E495" t="s">
        <v>911</v>
      </c>
      <c r="F495" s="541">
        <v>1.583528</v>
      </c>
      <c r="G495" s="541">
        <v>1.583528</v>
      </c>
      <c r="H495" s="541">
        <v>1.583528</v>
      </c>
      <c r="I495" s="541">
        <v>1.583528</v>
      </c>
      <c r="J495" s="541">
        <v>1.583528</v>
      </c>
      <c r="K495" s="541">
        <v>1.583528</v>
      </c>
      <c r="L495" s="541">
        <v>1.583528</v>
      </c>
      <c r="M495" s="541">
        <v>1.583528</v>
      </c>
      <c r="N495" s="541">
        <v>1.583528</v>
      </c>
      <c r="O495" s="541">
        <v>1.583528</v>
      </c>
      <c r="P495" s="541">
        <v>1.583528</v>
      </c>
      <c r="Q495" s="541">
        <v>1.583528</v>
      </c>
      <c r="R495" s="541">
        <v>1.583528</v>
      </c>
      <c r="S495" s="541">
        <v>1.583528</v>
      </c>
      <c r="T495" s="541">
        <v>1.583528</v>
      </c>
      <c r="U495" s="541">
        <v>1.583528</v>
      </c>
      <c r="V495" s="541">
        <v>1.583528</v>
      </c>
      <c r="W495" s="541">
        <v>1.583528</v>
      </c>
      <c r="X495" s="541">
        <v>1.583528</v>
      </c>
      <c r="Y495" s="541">
        <v>1.583528</v>
      </c>
      <c r="Z495" s="541">
        <v>1.583528</v>
      </c>
      <c r="AA495" s="541">
        <v>1.583528</v>
      </c>
      <c r="AB495" s="541">
        <v>1.583528</v>
      </c>
      <c r="AC495" s="541">
        <v>1.583528</v>
      </c>
      <c r="AD495" s="541">
        <v>1.583528</v>
      </c>
      <c r="AE495" s="541">
        <v>1.583528</v>
      </c>
      <c r="AF495" s="541">
        <v>1.583528</v>
      </c>
      <c r="AG495" s="541">
        <v>1.583528</v>
      </c>
      <c r="AH495" s="542">
        <f t="shared" ref="AH495:AW501" si="347">AG495</f>
        <v>1.583528</v>
      </c>
      <c r="AI495" s="542">
        <f t="shared" si="347"/>
        <v>1.583528</v>
      </c>
      <c r="AJ495" s="542">
        <f t="shared" si="347"/>
        <v>1.583528</v>
      </c>
      <c r="AK495" s="542">
        <f t="shared" si="347"/>
        <v>1.583528</v>
      </c>
      <c r="AL495" s="542">
        <f t="shared" si="347"/>
        <v>1.583528</v>
      </c>
      <c r="AM495" s="542">
        <f t="shared" si="347"/>
        <v>1.583528</v>
      </c>
      <c r="AN495" s="542">
        <f t="shared" si="347"/>
        <v>1.583528</v>
      </c>
      <c r="AO495" s="542">
        <f t="shared" si="347"/>
        <v>1.583528</v>
      </c>
      <c r="AP495" s="542">
        <f t="shared" si="347"/>
        <v>1.583528</v>
      </c>
      <c r="AQ495" s="542">
        <f t="shared" si="347"/>
        <v>1.583528</v>
      </c>
      <c r="AR495" s="542">
        <f t="shared" si="347"/>
        <v>1.583528</v>
      </c>
      <c r="AS495" s="542">
        <f t="shared" si="347"/>
        <v>1.583528</v>
      </c>
      <c r="AT495" s="542">
        <f t="shared" si="347"/>
        <v>1.583528</v>
      </c>
      <c r="AU495" s="542">
        <f t="shared" si="347"/>
        <v>1.583528</v>
      </c>
      <c r="AV495" s="542">
        <f t="shared" si="347"/>
        <v>1.583528</v>
      </c>
      <c r="AW495" s="542">
        <f t="shared" si="347"/>
        <v>1.583528</v>
      </c>
      <c r="AX495" s="542">
        <f t="shared" si="346"/>
        <v>1.583528</v>
      </c>
      <c r="AY495" s="542">
        <f t="shared" si="346"/>
        <v>1.583528</v>
      </c>
      <c r="AZ495" s="542">
        <f t="shared" si="346"/>
        <v>1.583528</v>
      </c>
      <c r="BA495" s="542">
        <f t="shared" si="346"/>
        <v>1.583528</v>
      </c>
      <c r="BB495" s="542">
        <f t="shared" si="346"/>
        <v>1.583528</v>
      </c>
      <c r="BC495" s="542">
        <f t="shared" si="346"/>
        <v>1.583528</v>
      </c>
      <c r="BD495" s="542">
        <f t="shared" si="346"/>
        <v>1.583528</v>
      </c>
      <c r="BE495" s="542">
        <f t="shared" si="346"/>
        <v>1.583528</v>
      </c>
      <c r="BF495" s="542">
        <f t="shared" si="346"/>
        <v>1.583528</v>
      </c>
      <c r="BG495" s="542">
        <f t="shared" si="346"/>
        <v>1.583528</v>
      </c>
      <c r="BH495" s="542">
        <f t="shared" si="346"/>
        <v>1.583528</v>
      </c>
      <c r="BI495" s="542">
        <f t="shared" si="346"/>
        <v>1.583528</v>
      </c>
      <c r="BJ495" s="542">
        <f t="shared" si="346"/>
        <v>1.583528</v>
      </c>
      <c r="BK495" s="542">
        <f t="shared" si="346"/>
        <v>1.583528</v>
      </c>
      <c r="BL495" s="542">
        <f t="shared" si="346"/>
        <v>1.583528</v>
      </c>
      <c r="BM495" s="542">
        <f t="shared" si="346"/>
        <v>1.583528</v>
      </c>
      <c r="BN495" s="542">
        <f t="shared" si="346"/>
        <v>1.583528</v>
      </c>
      <c r="BO495" s="542">
        <f t="shared" si="346"/>
        <v>1.583528</v>
      </c>
      <c r="BP495" s="542">
        <f t="shared" si="346"/>
        <v>1.583528</v>
      </c>
      <c r="BQ495" s="542">
        <f t="shared" si="346"/>
        <v>1.583528</v>
      </c>
      <c r="BR495" s="542">
        <f t="shared" si="346"/>
        <v>1.583528</v>
      </c>
      <c r="BS495" s="542">
        <f t="shared" si="346"/>
        <v>1.583528</v>
      </c>
      <c r="BT495" s="542">
        <f t="shared" si="346"/>
        <v>1.583528</v>
      </c>
      <c r="BU495" s="542">
        <f t="shared" si="346"/>
        <v>1.583528</v>
      </c>
      <c r="BV495" s="542">
        <f t="shared" si="346"/>
        <v>1.583528</v>
      </c>
      <c r="BW495" s="542">
        <f t="shared" si="346"/>
        <v>1.583528</v>
      </c>
      <c r="BX495" s="542">
        <f t="shared" si="346"/>
        <v>1.583528</v>
      </c>
      <c r="BY495" s="542">
        <f t="shared" si="346"/>
        <v>1.583528</v>
      </c>
      <c r="BZ495" s="542">
        <f t="shared" si="346"/>
        <v>1.583528</v>
      </c>
      <c r="CA495" s="542">
        <f t="shared" si="346"/>
        <v>1.583528</v>
      </c>
      <c r="CB495" s="542">
        <f t="shared" si="346"/>
        <v>1.583528</v>
      </c>
      <c r="CC495" s="542">
        <f t="shared" si="346"/>
        <v>1.583528</v>
      </c>
      <c r="CD495" s="542">
        <f t="shared" si="346"/>
        <v>1.583528</v>
      </c>
      <c r="CE495" s="542">
        <f t="shared" si="346"/>
        <v>1.583528</v>
      </c>
      <c r="CG495" s="541">
        <v>1.583528</v>
      </c>
      <c r="CH495" s="541">
        <v>1.583528</v>
      </c>
      <c r="CI495" s="541">
        <v>1.583528</v>
      </c>
      <c r="CJ495" s="541">
        <v>1.583528</v>
      </c>
      <c r="CK495" s="541">
        <v>1.583528</v>
      </c>
      <c r="CL495" s="541">
        <v>1.583528</v>
      </c>
      <c r="CM495" s="541">
        <v>1.583528</v>
      </c>
      <c r="CN495" s="541">
        <v>1.583528</v>
      </c>
      <c r="CO495" s="541">
        <v>1.583528</v>
      </c>
      <c r="CP495" s="541">
        <v>1.583528</v>
      </c>
      <c r="CQ495" s="541">
        <v>1.583528</v>
      </c>
      <c r="CR495" s="541">
        <v>1.583528</v>
      </c>
      <c r="CS495" s="541">
        <v>1.583528</v>
      </c>
      <c r="CT495" s="541">
        <v>1.583528</v>
      </c>
      <c r="CU495" s="541">
        <v>1.583528</v>
      </c>
      <c r="CV495" s="541">
        <v>1.583528</v>
      </c>
      <c r="CW495" s="541">
        <v>1.583528</v>
      </c>
      <c r="CX495" s="541">
        <v>1.583528</v>
      </c>
      <c r="CY495" s="541">
        <v>1.583528</v>
      </c>
      <c r="CZ495" s="541">
        <v>1.583528</v>
      </c>
      <c r="DA495" s="541">
        <v>1.583528</v>
      </c>
      <c r="DB495" s="541">
        <v>1.583528</v>
      </c>
      <c r="DC495" s="541">
        <v>1.583528</v>
      </c>
      <c r="DD495" s="541">
        <v>1.583528</v>
      </c>
      <c r="DE495" s="541">
        <v>1.583528</v>
      </c>
      <c r="DF495" s="541">
        <v>1.583528</v>
      </c>
      <c r="DG495" s="541">
        <v>1.583528</v>
      </c>
      <c r="DH495" s="541">
        <v>1.583528</v>
      </c>
    </row>
    <row r="496" spans="2:112">
      <c r="B496" t="s">
        <v>1340</v>
      </c>
      <c r="C496" t="s">
        <v>817</v>
      </c>
      <c r="D496" t="s">
        <v>913</v>
      </c>
      <c r="E496" t="s">
        <v>908</v>
      </c>
      <c r="F496" s="541">
        <v>34.718249999999998</v>
      </c>
      <c r="G496" s="541">
        <v>34.718249999999998</v>
      </c>
      <c r="H496" s="541">
        <v>34.718249999999998</v>
      </c>
      <c r="I496" s="541">
        <v>34.718249999999998</v>
      </c>
      <c r="J496" s="541">
        <v>34.718249999999998</v>
      </c>
      <c r="K496" s="541">
        <v>34.718249999999998</v>
      </c>
      <c r="L496" s="541">
        <v>34.718249999999998</v>
      </c>
      <c r="M496" s="541">
        <v>34.718249999999998</v>
      </c>
      <c r="N496" s="541">
        <v>34.718249999999998</v>
      </c>
      <c r="O496" s="541">
        <v>34.718249999999998</v>
      </c>
      <c r="P496" s="541">
        <v>34.718249999999998</v>
      </c>
      <c r="Q496" s="541">
        <v>34.718249999999998</v>
      </c>
      <c r="R496" s="541">
        <v>34.718249999999998</v>
      </c>
      <c r="S496" s="541">
        <v>34.718249999999998</v>
      </c>
      <c r="T496" s="541">
        <v>34.718249999999998</v>
      </c>
      <c r="U496" s="541">
        <v>34.718249999999998</v>
      </c>
      <c r="V496" s="541">
        <v>34.718249999999998</v>
      </c>
      <c r="W496" s="541">
        <v>34.718249999999998</v>
      </c>
      <c r="X496" s="541">
        <v>34.718249999999998</v>
      </c>
      <c r="Y496" s="541">
        <v>34.718249999999998</v>
      </c>
      <c r="Z496" s="541">
        <v>34.718249999999998</v>
      </c>
      <c r="AA496" s="541">
        <v>34.718249999999998</v>
      </c>
      <c r="AB496" s="541">
        <v>34.718249999999998</v>
      </c>
      <c r="AC496" s="541">
        <v>34.718249999999998</v>
      </c>
      <c r="AD496" s="541">
        <v>34.718249999999998</v>
      </c>
      <c r="AE496" s="541">
        <v>34.718249999999998</v>
      </c>
      <c r="AF496" s="541">
        <v>34.718249999999998</v>
      </c>
      <c r="AG496" s="541">
        <v>34.718249999999998</v>
      </c>
      <c r="AH496" s="542">
        <f t="shared" si="347"/>
        <v>34.718249999999998</v>
      </c>
      <c r="AI496" s="542">
        <f t="shared" si="347"/>
        <v>34.718249999999998</v>
      </c>
      <c r="AJ496" s="542">
        <f t="shared" si="347"/>
        <v>34.718249999999998</v>
      </c>
      <c r="AK496" s="542">
        <f t="shared" si="347"/>
        <v>34.718249999999998</v>
      </c>
      <c r="AL496" s="542">
        <f t="shared" si="347"/>
        <v>34.718249999999998</v>
      </c>
      <c r="AM496" s="542">
        <f t="shared" si="347"/>
        <v>34.718249999999998</v>
      </c>
      <c r="AN496" s="542">
        <f t="shared" si="347"/>
        <v>34.718249999999998</v>
      </c>
      <c r="AO496" s="542">
        <f t="shared" si="347"/>
        <v>34.718249999999998</v>
      </c>
      <c r="AP496" s="542">
        <f t="shared" si="347"/>
        <v>34.718249999999998</v>
      </c>
      <c r="AQ496" s="542">
        <f t="shared" si="347"/>
        <v>34.718249999999998</v>
      </c>
      <c r="AR496" s="542">
        <f t="shared" si="347"/>
        <v>34.718249999999998</v>
      </c>
      <c r="AS496" s="542">
        <f t="shared" si="347"/>
        <v>34.718249999999998</v>
      </c>
      <c r="AT496" s="542">
        <f t="shared" si="347"/>
        <v>34.718249999999998</v>
      </c>
      <c r="AU496" s="542">
        <f t="shared" si="347"/>
        <v>34.718249999999998</v>
      </c>
      <c r="AV496" s="542">
        <f t="shared" si="347"/>
        <v>34.718249999999998</v>
      </c>
      <c r="AW496" s="542">
        <f t="shared" si="347"/>
        <v>34.718249999999998</v>
      </c>
      <c r="AX496" s="542">
        <f t="shared" si="346"/>
        <v>34.718249999999998</v>
      </c>
      <c r="AY496" s="542">
        <f t="shared" si="346"/>
        <v>34.718249999999998</v>
      </c>
      <c r="AZ496" s="542">
        <f t="shared" si="346"/>
        <v>34.718249999999998</v>
      </c>
      <c r="BA496" s="542">
        <f t="shared" si="346"/>
        <v>34.718249999999998</v>
      </c>
      <c r="BB496" s="542">
        <f t="shared" si="346"/>
        <v>34.718249999999998</v>
      </c>
      <c r="BC496" s="542">
        <f t="shared" si="346"/>
        <v>34.718249999999998</v>
      </c>
      <c r="BD496" s="542">
        <f t="shared" si="346"/>
        <v>34.718249999999998</v>
      </c>
      <c r="BE496" s="542">
        <f t="shared" si="346"/>
        <v>34.718249999999998</v>
      </c>
      <c r="BF496" s="542">
        <f t="shared" si="346"/>
        <v>34.718249999999998</v>
      </c>
      <c r="BG496" s="542">
        <f t="shared" si="346"/>
        <v>34.718249999999998</v>
      </c>
      <c r="BH496" s="542">
        <f t="shared" si="346"/>
        <v>34.718249999999998</v>
      </c>
      <c r="BI496" s="542">
        <f t="shared" si="346"/>
        <v>34.718249999999998</v>
      </c>
      <c r="BJ496" s="542">
        <f t="shared" si="346"/>
        <v>34.718249999999998</v>
      </c>
      <c r="BK496" s="542">
        <f t="shared" si="346"/>
        <v>34.718249999999998</v>
      </c>
      <c r="BL496" s="542">
        <f t="shared" si="346"/>
        <v>34.718249999999998</v>
      </c>
      <c r="BM496" s="542">
        <f t="shared" si="346"/>
        <v>34.718249999999998</v>
      </c>
      <c r="BN496" s="542">
        <f t="shared" si="346"/>
        <v>34.718249999999998</v>
      </c>
      <c r="BO496" s="542">
        <f t="shared" si="346"/>
        <v>34.718249999999998</v>
      </c>
      <c r="BP496" s="542">
        <f t="shared" si="346"/>
        <v>34.718249999999998</v>
      </c>
      <c r="BQ496" s="542">
        <f t="shared" si="346"/>
        <v>34.718249999999998</v>
      </c>
      <c r="BR496" s="542">
        <f t="shared" si="346"/>
        <v>34.718249999999998</v>
      </c>
      <c r="BS496" s="542">
        <f t="shared" si="346"/>
        <v>34.718249999999998</v>
      </c>
      <c r="BT496" s="542">
        <f t="shared" si="346"/>
        <v>34.718249999999998</v>
      </c>
      <c r="BU496" s="542">
        <f t="shared" si="346"/>
        <v>34.718249999999998</v>
      </c>
      <c r="BV496" s="542">
        <f t="shared" si="346"/>
        <v>34.718249999999998</v>
      </c>
      <c r="BW496" s="542">
        <f t="shared" si="346"/>
        <v>34.718249999999998</v>
      </c>
      <c r="BX496" s="542">
        <f t="shared" si="346"/>
        <v>34.718249999999998</v>
      </c>
      <c r="BY496" s="542">
        <f t="shared" si="346"/>
        <v>34.718249999999998</v>
      </c>
      <c r="BZ496" s="542">
        <f t="shared" si="346"/>
        <v>34.718249999999998</v>
      </c>
      <c r="CA496" s="542">
        <f t="shared" si="346"/>
        <v>34.718249999999998</v>
      </c>
      <c r="CB496" s="542">
        <f t="shared" si="346"/>
        <v>34.718249999999998</v>
      </c>
      <c r="CC496" s="542">
        <f t="shared" si="346"/>
        <v>34.718249999999998</v>
      </c>
      <c r="CD496" s="542">
        <f t="shared" si="346"/>
        <v>34.718249999999998</v>
      </c>
      <c r="CE496" s="542">
        <f t="shared" si="346"/>
        <v>34.718249999999998</v>
      </c>
      <c r="CG496" s="541">
        <v>34.718249999999998</v>
      </c>
      <c r="CH496" s="541">
        <v>34.718249999999998</v>
      </c>
      <c r="CI496" s="541">
        <v>34.718249999999998</v>
      </c>
      <c r="CJ496" s="541">
        <v>34.718249999999998</v>
      </c>
      <c r="CK496" s="541">
        <v>34.718249999999998</v>
      </c>
      <c r="CL496" s="541">
        <v>34.718249999999998</v>
      </c>
      <c r="CM496" s="541">
        <v>34.718249999999998</v>
      </c>
      <c r="CN496" s="541">
        <v>34.718249999999998</v>
      </c>
      <c r="CO496" s="541">
        <v>34.718249999999998</v>
      </c>
      <c r="CP496" s="541">
        <v>34.718249999999998</v>
      </c>
      <c r="CQ496" s="541">
        <v>34.718249999999998</v>
      </c>
      <c r="CR496" s="541">
        <v>34.718249999999998</v>
      </c>
      <c r="CS496" s="541">
        <v>34.718249999999998</v>
      </c>
      <c r="CT496" s="541">
        <v>34.718249999999998</v>
      </c>
      <c r="CU496" s="541">
        <v>34.718249999999998</v>
      </c>
      <c r="CV496" s="541">
        <v>34.718249999999998</v>
      </c>
      <c r="CW496" s="541">
        <v>34.718249999999998</v>
      </c>
      <c r="CX496" s="541">
        <v>34.718249999999998</v>
      </c>
      <c r="CY496" s="541">
        <v>34.718249999999998</v>
      </c>
      <c r="CZ496" s="541">
        <v>34.718249999999998</v>
      </c>
      <c r="DA496" s="541">
        <v>34.718249999999998</v>
      </c>
      <c r="DB496" s="541">
        <v>34.718249999999998</v>
      </c>
      <c r="DC496" s="541">
        <v>34.718249999999998</v>
      </c>
      <c r="DD496" s="541">
        <v>34.718249999999998</v>
      </c>
      <c r="DE496" s="541">
        <v>34.718249999999998</v>
      </c>
      <c r="DF496" s="541">
        <v>34.718249999999998</v>
      </c>
      <c r="DG496" s="541">
        <v>34.718249999999998</v>
      </c>
      <c r="DH496" s="541">
        <v>34.718249999999998</v>
      </c>
    </row>
    <row r="497" spans="2:112">
      <c r="B497" t="s">
        <v>1341</v>
      </c>
      <c r="C497" t="s">
        <v>817</v>
      </c>
      <c r="D497" t="s">
        <v>915</v>
      </c>
      <c r="E497" t="s">
        <v>911</v>
      </c>
      <c r="F497" s="541">
        <v>1.6117305</v>
      </c>
      <c r="G497" s="541">
        <v>1.6117305</v>
      </c>
      <c r="H497" s="541">
        <v>1.6117305</v>
      </c>
      <c r="I497" s="541">
        <v>1.6117305</v>
      </c>
      <c r="J497" s="541">
        <v>1.6117305</v>
      </c>
      <c r="K497" s="541">
        <v>1.6117305</v>
      </c>
      <c r="L497" s="541">
        <v>1.6117305</v>
      </c>
      <c r="M497" s="541">
        <v>1.6117305</v>
      </c>
      <c r="N497" s="541">
        <v>1.6117305</v>
      </c>
      <c r="O497" s="541">
        <v>1.6117305</v>
      </c>
      <c r="P497" s="541">
        <v>1.6117305</v>
      </c>
      <c r="Q497" s="541">
        <v>1.6117305</v>
      </c>
      <c r="R497" s="541">
        <v>1.6117305</v>
      </c>
      <c r="S497" s="541">
        <v>1.6117305</v>
      </c>
      <c r="T497" s="541">
        <v>1.6117305</v>
      </c>
      <c r="U497" s="541">
        <v>1.6117305</v>
      </c>
      <c r="V497" s="541">
        <v>1.6117305</v>
      </c>
      <c r="W497" s="541">
        <v>1.6117305</v>
      </c>
      <c r="X497" s="541">
        <v>1.6117305</v>
      </c>
      <c r="Y497" s="541">
        <v>1.6117305</v>
      </c>
      <c r="Z497" s="541">
        <v>1.6117305</v>
      </c>
      <c r="AA497" s="541">
        <v>1.6117305</v>
      </c>
      <c r="AB497" s="541">
        <v>1.6117305</v>
      </c>
      <c r="AC497" s="541">
        <v>1.6117305</v>
      </c>
      <c r="AD497" s="541">
        <v>1.6117305</v>
      </c>
      <c r="AE497" s="541">
        <v>1.6117305</v>
      </c>
      <c r="AF497" s="541">
        <v>1.6117305</v>
      </c>
      <c r="AG497" s="541">
        <v>1.6117305</v>
      </c>
      <c r="AH497" s="542">
        <f t="shared" si="347"/>
        <v>1.6117305</v>
      </c>
      <c r="AI497" s="542">
        <f t="shared" si="347"/>
        <v>1.6117305</v>
      </c>
      <c r="AJ497" s="542">
        <f t="shared" si="347"/>
        <v>1.6117305</v>
      </c>
      <c r="AK497" s="542">
        <f t="shared" si="347"/>
        <v>1.6117305</v>
      </c>
      <c r="AL497" s="542">
        <f t="shared" si="347"/>
        <v>1.6117305</v>
      </c>
      <c r="AM497" s="542">
        <f t="shared" si="347"/>
        <v>1.6117305</v>
      </c>
      <c r="AN497" s="542">
        <f t="shared" si="347"/>
        <v>1.6117305</v>
      </c>
      <c r="AO497" s="542">
        <f t="shared" si="347"/>
        <v>1.6117305</v>
      </c>
      <c r="AP497" s="542">
        <f t="shared" si="347"/>
        <v>1.6117305</v>
      </c>
      <c r="AQ497" s="542">
        <f t="shared" si="347"/>
        <v>1.6117305</v>
      </c>
      <c r="AR497" s="542">
        <f t="shared" si="347"/>
        <v>1.6117305</v>
      </c>
      <c r="AS497" s="542">
        <f t="shared" si="347"/>
        <v>1.6117305</v>
      </c>
      <c r="AT497" s="542">
        <f t="shared" si="347"/>
        <v>1.6117305</v>
      </c>
      <c r="AU497" s="542">
        <f t="shared" si="347"/>
        <v>1.6117305</v>
      </c>
      <c r="AV497" s="542">
        <f t="shared" si="347"/>
        <v>1.6117305</v>
      </c>
      <c r="AW497" s="542">
        <f t="shared" si="347"/>
        <v>1.6117305</v>
      </c>
      <c r="AX497" s="542">
        <f t="shared" si="346"/>
        <v>1.6117305</v>
      </c>
      <c r="AY497" s="542">
        <f t="shared" si="346"/>
        <v>1.6117305</v>
      </c>
      <c r="AZ497" s="542">
        <f t="shared" si="346"/>
        <v>1.6117305</v>
      </c>
      <c r="BA497" s="542">
        <f t="shared" si="346"/>
        <v>1.6117305</v>
      </c>
      <c r="BB497" s="542">
        <f t="shared" si="346"/>
        <v>1.6117305</v>
      </c>
      <c r="BC497" s="542">
        <f t="shared" si="346"/>
        <v>1.6117305</v>
      </c>
      <c r="BD497" s="542">
        <f t="shared" si="346"/>
        <v>1.6117305</v>
      </c>
      <c r="BE497" s="542">
        <f t="shared" si="346"/>
        <v>1.6117305</v>
      </c>
      <c r="BF497" s="542">
        <f t="shared" si="346"/>
        <v>1.6117305</v>
      </c>
      <c r="BG497" s="542">
        <f t="shared" si="346"/>
        <v>1.6117305</v>
      </c>
      <c r="BH497" s="542">
        <f t="shared" si="346"/>
        <v>1.6117305</v>
      </c>
      <c r="BI497" s="542">
        <f t="shared" si="346"/>
        <v>1.6117305</v>
      </c>
      <c r="BJ497" s="542">
        <f t="shared" si="346"/>
        <v>1.6117305</v>
      </c>
      <c r="BK497" s="542">
        <f t="shared" si="346"/>
        <v>1.6117305</v>
      </c>
      <c r="BL497" s="542">
        <f t="shared" si="346"/>
        <v>1.6117305</v>
      </c>
      <c r="BM497" s="542">
        <f t="shared" si="346"/>
        <v>1.6117305</v>
      </c>
      <c r="BN497" s="542">
        <f t="shared" si="346"/>
        <v>1.6117305</v>
      </c>
      <c r="BO497" s="542">
        <f t="shared" si="346"/>
        <v>1.6117305</v>
      </c>
      <c r="BP497" s="542">
        <f t="shared" si="346"/>
        <v>1.6117305</v>
      </c>
      <c r="BQ497" s="542">
        <f t="shared" si="346"/>
        <v>1.6117305</v>
      </c>
      <c r="BR497" s="542">
        <f t="shared" si="346"/>
        <v>1.6117305</v>
      </c>
      <c r="BS497" s="542">
        <f t="shared" si="346"/>
        <v>1.6117305</v>
      </c>
      <c r="BT497" s="542">
        <f t="shared" si="346"/>
        <v>1.6117305</v>
      </c>
      <c r="BU497" s="542">
        <f t="shared" si="346"/>
        <v>1.6117305</v>
      </c>
      <c r="BV497" s="542">
        <f t="shared" si="346"/>
        <v>1.6117305</v>
      </c>
      <c r="BW497" s="542">
        <f t="shared" si="346"/>
        <v>1.6117305</v>
      </c>
      <c r="BX497" s="542">
        <f t="shared" si="346"/>
        <v>1.6117305</v>
      </c>
      <c r="BY497" s="542">
        <f t="shared" si="346"/>
        <v>1.6117305</v>
      </c>
      <c r="BZ497" s="542">
        <f t="shared" si="346"/>
        <v>1.6117305</v>
      </c>
      <c r="CA497" s="542">
        <f t="shared" si="346"/>
        <v>1.6117305</v>
      </c>
      <c r="CB497" s="542">
        <f t="shared" si="346"/>
        <v>1.6117305</v>
      </c>
      <c r="CC497" s="542">
        <f t="shared" si="346"/>
        <v>1.6117305</v>
      </c>
      <c r="CD497" s="542">
        <f t="shared" si="346"/>
        <v>1.6117305</v>
      </c>
      <c r="CE497" s="542">
        <f t="shared" si="346"/>
        <v>1.6117305</v>
      </c>
      <c r="CG497" s="541">
        <v>1.6117305</v>
      </c>
      <c r="CH497" s="541">
        <v>1.6117305</v>
      </c>
      <c r="CI497" s="541">
        <v>1.6117305</v>
      </c>
      <c r="CJ497" s="541">
        <v>1.6117305</v>
      </c>
      <c r="CK497" s="541">
        <v>1.6117305</v>
      </c>
      <c r="CL497" s="541">
        <v>1.6117305</v>
      </c>
      <c r="CM497" s="541">
        <v>1.6117305</v>
      </c>
      <c r="CN497" s="541">
        <v>1.6117305</v>
      </c>
      <c r="CO497" s="541">
        <v>1.6117305</v>
      </c>
      <c r="CP497" s="541">
        <v>1.6117305</v>
      </c>
      <c r="CQ497" s="541">
        <v>1.6117305</v>
      </c>
      <c r="CR497" s="541">
        <v>1.6117305</v>
      </c>
      <c r="CS497" s="541">
        <v>1.6117305</v>
      </c>
      <c r="CT497" s="541">
        <v>1.6117305</v>
      </c>
      <c r="CU497" s="541">
        <v>1.6117305</v>
      </c>
      <c r="CV497" s="541">
        <v>1.6117305</v>
      </c>
      <c r="CW497" s="541">
        <v>1.6117305</v>
      </c>
      <c r="CX497" s="541">
        <v>1.6117305</v>
      </c>
      <c r="CY497" s="541">
        <v>1.6117305</v>
      </c>
      <c r="CZ497" s="541">
        <v>1.6117305</v>
      </c>
      <c r="DA497" s="541">
        <v>1.6117305</v>
      </c>
      <c r="DB497" s="541">
        <v>1.6117305</v>
      </c>
      <c r="DC497" s="541">
        <v>1.6117305</v>
      </c>
      <c r="DD497" s="541">
        <v>1.6117305</v>
      </c>
      <c r="DE497" s="541">
        <v>1.6117305</v>
      </c>
      <c r="DF497" s="541">
        <v>1.6117305</v>
      </c>
      <c r="DG497" s="541">
        <v>1.6117305</v>
      </c>
      <c r="DH497" s="541">
        <v>1.6117305</v>
      </c>
    </row>
    <row r="498" spans="2:112">
      <c r="B498" t="s">
        <v>1342</v>
      </c>
      <c r="C498" t="s">
        <v>817</v>
      </c>
      <c r="D498" t="s">
        <v>917</v>
      </c>
      <c r="E498" t="s">
        <v>908</v>
      </c>
      <c r="F498" s="541">
        <v>33.672249999999998</v>
      </c>
      <c r="G498" s="541">
        <v>33.672249999999998</v>
      </c>
      <c r="H498" s="541">
        <v>33.672249999999998</v>
      </c>
      <c r="I498" s="541">
        <v>33.672249999999998</v>
      </c>
      <c r="J498" s="541">
        <v>33.672249999999998</v>
      </c>
      <c r="K498" s="541">
        <v>33.672249999999998</v>
      </c>
      <c r="L498" s="541">
        <v>33.672249999999998</v>
      </c>
      <c r="M498" s="541">
        <v>33.672249999999998</v>
      </c>
      <c r="N498" s="541">
        <v>33.672249999999998</v>
      </c>
      <c r="O498" s="541">
        <v>33.672249999999998</v>
      </c>
      <c r="P498" s="541">
        <v>33.672249999999998</v>
      </c>
      <c r="Q498" s="541">
        <v>33.672249999999998</v>
      </c>
      <c r="R498" s="541">
        <v>33.672249999999998</v>
      </c>
      <c r="S498" s="541">
        <v>33.672249999999998</v>
      </c>
      <c r="T498" s="541">
        <v>33.672249999999998</v>
      </c>
      <c r="U498" s="541">
        <v>33.672249999999998</v>
      </c>
      <c r="V498" s="541">
        <v>33.672249999999998</v>
      </c>
      <c r="W498" s="541">
        <v>33.672249999999998</v>
      </c>
      <c r="X498" s="541">
        <v>33.672249999999998</v>
      </c>
      <c r="Y498" s="541">
        <v>33.672249999999998</v>
      </c>
      <c r="Z498" s="541">
        <v>33.672249999999998</v>
      </c>
      <c r="AA498" s="541">
        <v>33.672249999999998</v>
      </c>
      <c r="AB498" s="541">
        <v>33.672249999999998</v>
      </c>
      <c r="AC498" s="541">
        <v>33.672249999999998</v>
      </c>
      <c r="AD498" s="541">
        <v>33.672249999999998</v>
      </c>
      <c r="AE498" s="541">
        <v>33.672249999999998</v>
      </c>
      <c r="AF498" s="541">
        <v>33.672249999999998</v>
      </c>
      <c r="AG498" s="541">
        <v>33.672249999999998</v>
      </c>
      <c r="AH498" s="542">
        <f t="shared" si="347"/>
        <v>33.672249999999998</v>
      </c>
      <c r="AI498" s="542">
        <f t="shared" si="347"/>
        <v>33.672249999999998</v>
      </c>
      <c r="AJ498" s="542">
        <f t="shared" si="347"/>
        <v>33.672249999999998</v>
      </c>
      <c r="AK498" s="542">
        <f t="shared" si="347"/>
        <v>33.672249999999998</v>
      </c>
      <c r="AL498" s="542">
        <f t="shared" si="347"/>
        <v>33.672249999999998</v>
      </c>
      <c r="AM498" s="542">
        <f t="shared" si="347"/>
        <v>33.672249999999998</v>
      </c>
      <c r="AN498" s="542">
        <f t="shared" si="347"/>
        <v>33.672249999999998</v>
      </c>
      <c r="AO498" s="542">
        <f t="shared" si="347"/>
        <v>33.672249999999998</v>
      </c>
      <c r="AP498" s="542">
        <f t="shared" si="347"/>
        <v>33.672249999999998</v>
      </c>
      <c r="AQ498" s="542">
        <f t="shared" si="347"/>
        <v>33.672249999999998</v>
      </c>
      <c r="AR498" s="542">
        <f t="shared" si="347"/>
        <v>33.672249999999998</v>
      </c>
      <c r="AS498" s="542">
        <f t="shared" si="347"/>
        <v>33.672249999999998</v>
      </c>
      <c r="AT498" s="542">
        <f t="shared" si="347"/>
        <v>33.672249999999998</v>
      </c>
      <c r="AU498" s="542">
        <f t="shared" si="347"/>
        <v>33.672249999999998</v>
      </c>
      <c r="AV498" s="542">
        <f t="shared" si="347"/>
        <v>33.672249999999998</v>
      </c>
      <c r="AW498" s="542">
        <f t="shared" si="347"/>
        <v>33.672249999999998</v>
      </c>
      <c r="AX498" s="542">
        <f t="shared" si="346"/>
        <v>33.672249999999998</v>
      </c>
      <c r="AY498" s="542">
        <f t="shared" si="346"/>
        <v>33.672249999999998</v>
      </c>
      <c r="AZ498" s="542">
        <f t="shared" si="346"/>
        <v>33.672249999999998</v>
      </c>
      <c r="BA498" s="542">
        <f t="shared" si="346"/>
        <v>33.672249999999998</v>
      </c>
      <c r="BB498" s="542">
        <f t="shared" si="346"/>
        <v>33.672249999999998</v>
      </c>
      <c r="BC498" s="542">
        <f t="shared" si="346"/>
        <v>33.672249999999998</v>
      </c>
      <c r="BD498" s="542">
        <f t="shared" si="346"/>
        <v>33.672249999999998</v>
      </c>
      <c r="BE498" s="542">
        <f t="shared" si="346"/>
        <v>33.672249999999998</v>
      </c>
      <c r="BF498" s="542">
        <f t="shared" si="346"/>
        <v>33.672249999999998</v>
      </c>
      <c r="BG498" s="542">
        <f t="shared" si="346"/>
        <v>33.672249999999998</v>
      </c>
      <c r="BH498" s="542">
        <f t="shared" si="346"/>
        <v>33.672249999999998</v>
      </c>
      <c r="BI498" s="542">
        <f t="shared" si="346"/>
        <v>33.672249999999998</v>
      </c>
      <c r="BJ498" s="542">
        <f t="shared" si="346"/>
        <v>33.672249999999998</v>
      </c>
      <c r="BK498" s="542">
        <f t="shared" si="346"/>
        <v>33.672249999999998</v>
      </c>
      <c r="BL498" s="542">
        <f t="shared" si="346"/>
        <v>33.672249999999998</v>
      </c>
      <c r="BM498" s="542">
        <f t="shared" si="346"/>
        <v>33.672249999999998</v>
      </c>
      <c r="BN498" s="542">
        <f t="shared" si="346"/>
        <v>33.672249999999998</v>
      </c>
      <c r="BO498" s="542">
        <f t="shared" si="346"/>
        <v>33.672249999999998</v>
      </c>
      <c r="BP498" s="542">
        <f t="shared" si="346"/>
        <v>33.672249999999998</v>
      </c>
      <c r="BQ498" s="542">
        <f t="shared" si="346"/>
        <v>33.672249999999998</v>
      </c>
      <c r="BR498" s="542">
        <f t="shared" si="346"/>
        <v>33.672249999999998</v>
      </c>
      <c r="BS498" s="542">
        <f t="shared" si="346"/>
        <v>33.672249999999998</v>
      </c>
      <c r="BT498" s="542">
        <f t="shared" si="346"/>
        <v>33.672249999999998</v>
      </c>
      <c r="BU498" s="542">
        <f t="shared" si="346"/>
        <v>33.672249999999998</v>
      </c>
      <c r="BV498" s="542">
        <f t="shared" si="346"/>
        <v>33.672249999999998</v>
      </c>
      <c r="BW498" s="542">
        <f t="shared" si="346"/>
        <v>33.672249999999998</v>
      </c>
      <c r="BX498" s="542">
        <f t="shared" si="346"/>
        <v>33.672249999999998</v>
      </c>
      <c r="BY498" s="542">
        <f t="shared" si="346"/>
        <v>33.672249999999998</v>
      </c>
      <c r="BZ498" s="542">
        <f t="shared" si="346"/>
        <v>33.672249999999998</v>
      </c>
      <c r="CA498" s="542">
        <f t="shared" si="346"/>
        <v>33.672249999999998</v>
      </c>
      <c r="CB498" s="542">
        <f t="shared" si="346"/>
        <v>33.672249999999998</v>
      </c>
      <c r="CC498" s="542">
        <f t="shared" si="346"/>
        <v>33.672249999999998</v>
      </c>
      <c r="CD498" s="542">
        <f t="shared" si="346"/>
        <v>33.672249999999998</v>
      </c>
      <c r="CE498" s="542">
        <f t="shared" si="346"/>
        <v>33.672249999999998</v>
      </c>
      <c r="CG498" s="541">
        <v>33.672249999999998</v>
      </c>
      <c r="CH498" s="541">
        <v>33.672249999999998</v>
      </c>
      <c r="CI498" s="541">
        <v>33.672249999999998</v>
      </c>
      <c r="CJ498" s="541">
        <v>33.672249999999998</v>
      </c>
      <c r="CK498" s="541">
        <v>33.672249999999998</v>
      </c>
      <c r="CL498" s="541">
        <v>33.672249999999998</v>
      </c>
      <c r="CM498" s="541">
        <v>33.672249999999998</v>
      </c>
      <c r="CN498" s="541">
        <v>33.672249999999998</v>
      </c>
      <c r="CO498" s="541">
        <v>33.672249999999998</v>
      </c>
      <c r="CP498" s="541">
        <v>33.672249999999998</v>
      </c>
      <c r="CQ498" s="541">
        <v>33.672249999999998</v>
      </c>
      <c r="CR498" s="541">
        <v>33.672249999999998</v>
      </c>
      <c r="CS498" s="541">
        <v>33.672249999999998</v>
      </c>
      <c r="CT498" s="541">
        <v>33.672249999999998</v>
      </c>
      <c r="CU498" s="541">
        <v>33.672249999999998</v>
      </c>
      <c r="CV498" s="541">
        <v>33.672249999999998</v>
      </c>
      <c r="CW498" s="541">
        <v>33.672249999999998</v>
      </c>
      <c r="CX498" s="541">
        <v>33.672249999999998</v>
      </c>
      <c r="CY498" s="541">
        <v>33.672249999999998</v>
      </c>
      <c r="CZ498" s="541">
        <v>33.672249999999998</v>
      </c>
      <c r="DA498" s="541">
        <v>33.672249999999998</v>
      </c>
      <c r="DB498" s="541">
        <v>33.672249999999998</v>
      </c>
      <c r="DC498" s="541">
        <v>33.672249999999998</v>
      </c>
      <c r="DD498" s="541">
        <v>33.672249999999998</v>
      </c>
      <c r="DE498" s="541">
        <v>33.672249999999998</v>
      </c>
      <c r="DF498" s="541">
        <v>33.672249999999998</v>
      </c>
      <c r="DG498" s="541">
        <v>33.672249999999998</v>
      </c>
      <c r="DH498" s="541">
        <v>33.672249999999998</v>
      </c>
    </row>
    <row r="499" spans="2:112">
      <c r="B499" t="s">
        <v>1343</v>
      </c>
      <c r="C499" t="s">
        <v>817</v>
      </c>
      <c r="D499" t="s">
        <v>919</v>
      </c>
      <c r="E499" t="s">
        <v>911</v>
      </c>
      <c r="F499" s="541">
        <v>1.6012705</v>
      </c>
      <c r="G499" s="541">
        <v>1.6012705</v>
      </c>
      <c r="H499" s="541">
        <v>1.6012705</v>
      </c>
      <c r="I499" s="541">
        <v>1.6012705</v>
      </c>
      <c r="J499" s="541">
        <v>1.6012705</v>
      </c>
      <c r="K499" s="541">
        <v>1.6012705</v>
      </c>
      <c r="L499" s="541">
        <v>1.6012705</v>
      </c>
      <c r="M499" s="541">
        <v>1.6012705</v>
      </c>
      <c r="N499" s="541">
        <v>1.6012705</v>
      </c>
      <c r="O499" s="541">
        <v>1.6012705</v>
      </c>
      <c r="P499" s="541">
        <v>1.6012705</v>
      </c>
      <c r="Q499" s="541">
        <v>1.6012705</v>
      </c>
      <c r="R499" s="541">
        <v>1.6012705</v>
      </c>
      <c r="S499" s="541">
        <v>1.6012705</v>
      </c>
      <c r="T499" s="541">
        <v>1.6012705</v>
      </c>
      <c r="U499" s="541">
        <v>1.6012705</v>
      </c>
      <c r="V499" s="541">
        <v>1.6012705</v>
      </c>
      <c r="W499" s="541">
        <v>1.6012705</v>
      </c>
      <c r="X499" s="541">
        <v>1.6012705</v>
      </c>
      <c r="Y499" s="541">
        <v>1.6012705</v>
      </c>
      <c r="Z499" s="541">
        <v>1.6012705</v>
      </c>
      <c r="AA499" s="541">
        <v>1.6012705</v>
      </c>
      <c r="AB499" s="541">
        <v>1.6012705</v>
      </c>
      <c r="AC499" s="541">
        <v>1.6012705</v>
      </c>
      <c r="AD499" s="541">
        <v>1.6012705</v>
      </c>
      <c r="AE499" s="541">
        <v>1.6012705</v>
      </c>
      <c r="AF499" s="541">
        <v>1.6012705</v>
      </c>
      <c r="AG499" s="541">
        <v>1.6012705</v>
      </c>
      <c r="AH499" s="542">
        <f t="shared" si="347"/>
        <v>1.6012705</v>
      </c>
      <c r="AI499" s="542">
        <f t="shared" si="347"/>
        <v>1.6012705</v>
      </c>
      <c r="AJ499" s="542">
        <f t="shared" si="347"/>
        <v>1.6012705</v>
      </c>
      <c r="AK499" s="542">
        <f t="shared" si="347"/>
        <v>1.6012705</v>
      </c>
      <c r="AL499" s="542">
        <f t="shared" si="347"/>
        <v>1.6012705</v>
      </c>
      <c r="AM499" s="542">
        <f t="shared" si="347"/>
        <v>1.6012705</v>
      </c>
      <c r="AN499" s="542">
        <f t="shared" si="347"/>
        <v>1.6012705</v>
      </c>
      <c r="AO499" s="542">
        <f t="shared" si="347"/>
        <v>1.6012705</v>
      </c>
      <c r="AP499" s="542">
        <f t="shared" si="347"/>
        <v>1.6012705</v>
      </c>
      <c r="AQ499" s="542">
        <f t="shared" si="347"/>
        <v>1.6012705</v>
      </c>
      <c r="AR499" s="542">
        <f t="shared" si="347"/>
        <v>1.6012705</v>
      </c>
      <c r="AS499" s="542">
        <f t="shared" si="347"/>
        <v>1.6012705</v>
      </c>
      <c r="AT499" s="542">
        <f t="shared" si="347"/>
        <v>1.6012705</v>
      </c>
      <c r="AU499" s="542">
        <f t="shared" si="347"/>
        <v>1.6012705</v>
      </c>
      <c r="AV499" s="542">
        <f t="shared" si="347"/>
        <v>1.6012705</v>
      </c>
      <c r="AW499" s="542">
        <f t="shared" si="347"/>
        <v>1.6012705</v>
      </c>
      <c r="AX499" s="542">
        <f t="shared" si="346"/>
        <v>1.6012705</v>
      </c>
      <c r="AY499" s="542">
        <f t="shared" si="346"/>
        <v>1.6012705</v>
      </c>
      <c r="AZ499" s="542">
        <f t="shared" si="346"/>
        <v>1.6012705</v>
      </c>
      <c r="BA499" s="542">
        <f t="shared" si="346"/>
        <v>1.6012705</v>
      </c>
      <c r="BB499" s="542">
        <f t="shared" si="346"/>
        <v>1.6012705</v>
      </c>
      <c r="BC499" s="542">
        <f t="shared" si="346"/>
        <v>1.6012705</v>
      </c>
      <c r="BD499" s="542">
        <f t="shared" si="346"/>
        <v>1.6012705</v>
      </c>
      <c r="BE499" s="542">
        <f t="shared" si="346"/>
        <v>1.6012705</v>
      </c>
      <c r="BF499" s="542">
        <f t="shared" si="346"/>
        <v>1.6012705</v>
      </c>
      <c r="BG499" s="542">
        <f t="shared" si="346"/>
        <v>1.6012705</v>
      </c>
      <c r="BH499" s="542">
        <f t="shared" si="346"/>
        <v>1.6012705</v>
      </c>
      <c r="BI499" s="542">
        <f t="shared" si="346"/>
        <v>1.6012705</v>
      </c>
      <c r="BJ499" s="542">
        <f t="shared" si="346"/>
        <v>1.6012705</v>
      </c>
      <c r="BK499" s="542">
        <f t="shared" si="346"/>
        <v>1.6012705</v>
      </c>
      <c r="BL499" s="542">
        <f t="shared" si="346"/>
        <v>1.6012705</v>
      </c>
      <c r="BM499" s="542">
        <f t="shared" si="346"/>
        <v>1.6012705</v>
      </c>
      <c r="BN499" s="542">
        <f t="shared" si="346"/>
        <v>1.6012705</v>
      </c>
      <c r="BO499" s="542">
        <f t="shared" si="346"/>
        <v>1.6012705</v>
      </c>
      <c r="BP499" s="542">
        <f t="shared" si="346"/>
        <v>1.6012705</v>
      </c>
      <c r="BQ499" s="542">
        <f t="shared" si="346"/>
        <v>1.6012705</v>
      </c>
      <c r="BR499" s="542">
        <f t="shared" si="346"/>
        <v>1.6012705</v>
      </c>
      <c r="BS499" s="542">
        <f t="shared" si="346"/>
        <v>1.6012705</v>
      </c>
      <c r="BT499" s="542">
        <f t="shared" si="346"/>
        <v>1.6012705</v>
      </c>
      <c r="BU499" s="542">
        <f t="shared" si="346"/>
        <v>1.6012705</v>
      </c>
      <c r="BV499" s="542">
        <f t="shared" si="346"/>
        <v>1.6012705</v>
      </c>
      <c r="BW499" s="542">
        <f t="shared" si="346"/>
        <v>1.6012705</v>
      </c>
      <c r="BX499" s="542">
        <f t="shared" si="346"/>
        <v>1.6012705</v>
      </c>
      <c r="BY499" s="542">
        <f t="shared" si="346"/>
        <v>1.6012705</v>
      </c>
      <c r="BZ499" s="542">
        <f t="shared" si="346"/>
        <v>1.6012705</v>
      </c>
      <c r="CA499" s="542">
        <f t="shared" si="346"/>
        <v>1.6012705</v>
      </c>
      <c r="CB499" s="542">
        <f t="shared" si="346"/>
        <v>1.6012705</v>
      </c>
      <c r="CC499" s="542">
        <f t="shared" si="346"/>
        <v>1.6012705</v>
      </c>
      <c r="CD499" s="542">
        <f t="shared" si="346"/>
        <v>1.6012705</v>
      </c>
      <c r="CE499" s="542">
        <f t="shared" si="346"/>
        <v>1.6012705</v>
      </c>
      <c r="CG499" s="541">
        <v>1.6012705</v>
      </c>
      <c r="CH499" s="541">
        <v>1.6012705</v>
      </c>
      <c r="CI499" s="541">
        <v>1.6012705</v>
      </c>
      <c r="CJ499" s="541">
        <v>1.6012705</v>
      </c>
      <c r="CK499" s="541">
        <v>1.6012705</v>
      </c>
      <c r="CL499" s="541">
        <v>1.6012705</v>
      </c>
      <c r="CM499" s="541">
        <v>1.6012705</v>
      </c>
      <c r="CN499" s="541">
        <v>1.6012705</v>
      </c>
      <c r="CO499" s="541">
        <v>1.6012705</v>
      </c>
      <c r="CP499" s="541">
        <v>1.6012705</v>
      </c>
      <c r="CQ499" s="541">
        <v>1.6012705</v>
      </c>
      <c r="CR499" s="541">
        <v>1.6012705</v>
      </c>
      <c r="CS499" s="541">
        <v>1.6012705</v>
      </c>
      <c r="CT499" s="541">
        <v>1.6012705</v>
      </c>
      <c r="CU499" s="541">
        <v>1.6012705</v>
      </c>
      <c r="CV499" s="541">
        <v>1.6012705</v>
      </c>
      <c r="CW499" s="541">
        <v>1.6012705</v>
      </c>
      <c r="CX499" s="541">
        <v>1.6012705</v>
      </c>
      <c r="CY499" s="541">
        <v>1.6012705</v>
      </c>
      <c r="CZ499" s="541">
        <v>1.6012705</v>
      </c>
      <c r="DA499" s="541">
        <v>1.6012705</v>
      </c>
      <c r="DB499" s="541">
        <v>1.6012705</v>
      </c>
      <c r="DC499" s="541">
        <v>1.6012705</v>
      </c>
      <c r="DD499" s="541">
        <v>1.6012705</v>
      </c>
      <c r="DE499" s="541">
        <v>1.6012705</v>
      </c>
      <c r="DF499" s="541">
        <v>1.6012705</v>
      </c>
      <c r="DG499" s="541">
        <v>1.6012705</v>
      </c>
      <c r="DH499" s="541">
        <v>1.6012705</v>
      </c>
    </row>
    <row r="500" spans="2:112">
      <c r="B500" t="s">
        <v>1344</v>
      </c>
      <c r="C500" t="s">
        <v>817</v>
      </c>
      <c r="D500" t="s">
        <v>921</v>
      </c>
      <c r="E500" t="s">
        <v>908</v>
      </c>
      <c r="F500" s="541">
        <v>34.094250000000002</v>
      </c>
      <c r="G500" s="541">
        <v>34.094250000000002</v>
      </c>
      <c r="H500" s="541">
        <v>34.094250000000002</v>
      </c>
      <c r="I500" s="541">
        <v>34.094250000000002</v>
      </c>
      <c r="J500" s="541">
        <v>34.094250000000002</v>
      </c>
      <c r="K500" s="541">
        <v>34.094250000000002</v>
      </c>
      <c r="L500" s="541">
        <v>34.094250000000002</v>
      </c>
      <c r="M500" s="541">
        <v>34.094250000000002</v>
      </c>
      <c r="N500" s="541">
        <v>34.094250000000002</v>
      </c>
      <c r="O500" s="541">
        <v>34.094250000000002</v>
      </c>
      <c r="P500" s="541">
        <v>34.094250000000002</v>
      </c>
      <c r="Q500" s="541">
        <v>34.094250000000002</v>
      </c>
      <c r="R500" s="541">
        <v>34.094250000000002</v>
      </c>
      <c r="S500" s="541">
        <v>34.094250000000002</v>
      </c>
      <c r="T500" s="541">
        <v>34.094250000000002</v>
      </c>
      <c r="U500" s="541">
        <v>34.094250000000002</v>
      </c>
      <c r="V500" s="541">
        <v>34.094250000000002</v>
      </c>
      <c r="W500" s="541">
        <v>34.094250000000002</v>
      </c>
      <c r="X500" s="541">
        <v>34.094250000000002</v>
      </c>
      <c r="Y500" s="541">
        <v>34.094250000000002</v>
      </c>
      <c r="Z500" s="541">
        <v>34.094250000000002</v>
      </c>
      <c r="AA500" s="541">
        <v>34.094250000000002</v>
      </c>
      <c r="AB500" s="541">
        <v>34.094250000000002</v>
      </c>
      <c r="AC500" s="541">
        <v>34.094250000000002</v>
      </c>
      <c r="AD500" s="541">
        <v>34.094250000000002</v>
      </c>
      <c r="AE500" s="541">
        <v>34.094250000000002</v>
      </c>
      <c r="AF500" s="541">
        <v>34.094250000000002</v>
      </c>
      <c r="AG500" s="541">
        <v>34.094250000000002</v>
      </c>
      <c r="AH500" s="542">
        <f t="shared" si="347"/>
        <v>34.094250000000002</v>
      </c>
      <c r="AI500" s="542">
        <f t="shared" si="347"/>
        <v>34.094250000000002</v>
      </c>
      <c r="AJ500" s="542">
        <f t="shared" si="347"/>
        <v>34.094250000000002</v>
      </c>
      <c r="AK500" s="542">
        <f t="shared" si="347"/>
        <v>34.094250000000002</v>
      </c>
      <c r="AL500" s="542">
        <f t="shared" si="347"/>
        <v>34.094250000000002</v>
      </c>
      <c r="AM500" s="542">
        <f t="shared" si="347"/>
        <v>34.094250000000002</v>
      </c>
      <c r="AN500" s="542">
        <f t="shared" si="347"/>
        <v>34.094250000000002</v>
      </c>
      <c r="AO500" s="542">
        <f t="shared" si="347"/>
        <v>34.094250000000002</v>
      </c>
      <c r="AP500" s="542">
        <f t="shared" si="347"/>
        <v>34.094250000000002</v>
      </c>
      <c r="AQ500" s="542">
        <f t="shared" si="347"/>
        <v>34.094250000000002</v>
      </c>
      <c r="AR500" s="542">
        <f t="shared" si="347"/>
        <v>34.094250000000002</v>
      </c>
      <c r="AS500" s="542">
        <f t="shared" si="347"/>
        <v>34.094250000000002</v>
      </c>
      <c r="AT500" s="542">
        <f t="shared" si="347"/>
        <v>34.094250000000002</v>
      </c>
      <c r="AU500" s="542">
        <f t="shared" si="347"/>
        <v>34.094250000000002</v>
      </c>
      <c r="AV500" s="542">
        <f t="shared" si="347"/>
        <v>34.094250000000002</v>
      </c>
      <c r="AW500" s="542">
        <f t="shared" si="347"/>
        <v>34.094250000000002</v>
      </c>
      <c r="AX500" s="542">
        <f t="shared" si="346"/>
        <v>34.094250000000002</v>
      </c>
      <c r="AY500" s="542">
        <f t="shared" si="346"/>
        <v>34.094250000000002</v>
      </c>
      <c r="AZ500" s="542">
        <f t="shared" si="346"/>
        <v>34.094250000000002</v>
      </c>
      <c r="BA500" s="542">
        <f t="shared" si="346"/>
        <v>34.094250000000002</v>
      </c>
      <c r="BB500" s="542">
        <f t="shared" si="346"/>
        <v>34.094250000000002</v>
      </c>
      <c r="BC500" s="542">
        <f t="shared" si="346"/>
        <v>34.094250000000002</v>
      </c>
      <c r="BD500" s="542">
        <f t="shared" si="346"/>
        <v>34.094250000000002</v>
      </c>
      <c r="BE500" s="542">
        <f t="shared" si="346"/>
        <v>34.094250000000002</v>
      </c>
      <c r="BF500" s="542">
        <f t="shared" si="346"/>
        <v>34.094250000000002</v>
      </c>
      <c r="BG500" s="542">
        <f t="shared" si="346"/>
        <v>34.094250000000002</v>
      </c>
      <c r="BH500" s="542">
        <f t="shared" si="346"/>
        <v>34.094250000000002</v>
      </c>
      <c r="BI500" s="542">
        <f t="shared" si="346"/>
        <v>34.094250000000002</v>
      </c>
      <c r="BJ500" s="542">
        <f t="shared" si="346"/>
        <v>34.094250000000002</v>
      </c>
      <c r="BK500" s="542">
        <f t="shared" si="346"/>
        <v>34.094250000000002</v>
      </c>
      <c r="BL500" s="542">
        <f t="shared" si="346"/>
        <v>34.094250000000002</v>
      </c>
      <c r="BM500" s="542">
        <f t="shared" si="346"/>
        <v>34.094250000000002</v>
      </c>
      <c r="BN500" s="542">
        <f t="shared" si="346"/>
        <v>34.094250000000002</v>
      </c>
      <c r="BO500" s="542">
        <f t="shared" si="346"/>
        <v>34.094250000000002</v>
      </c>
      <c r="BP500" s="542">
        <f t="shared" si="346"/>
        <v>34.094250000000002</v>
      </c>
      <c r="BQ500" s="542">
        <f t="shared" si="346"/>
        <v>34.094250000000002</v>
      </c>
      <c r="BR500" s="542">
        <f t="shared" si="346"/>
        <v>34.094250000000002</v>
      </c>
      <c r="BS500" s="542">
        <f t="shared" si="346"/>
        <v>34.094250000000002</v>
      </c>
      <c r="BT500" s="542">
        <f t="shared" si="346"/>
        <v>34.094250000000002</v>
      </c>
      <c r="BU500" s="542">
        <f t="shared" si="346"/>
        <v>34.094250000000002</v>
      </c>
      <c r="BV500" s="542">
        <f t="shared" si="346"/>
        <v>34.094250000000002</v>
      </c>
      <c r="BW500" s="542">
        <f t="shared" si="346"/>
        <v>34.094250000000002</v>
      </c>
      <c r="BX500" s="542">
        <f t="shared" si="346"/>
        <v>34.094250000000002</v>
      </c>
      <c r="BY500" s="542">
        <f t="shared" si="346"/>
        <v>34.094250000000002</v>
      </c>
      <c r="BZ500" s="542">
        <f t="shared" si="346"/>
        <v>34.094250000000002</v>
      </c>
      <c r="CA500" s="542">
        <f t="shared" si="346"/>
        <v>34.094250000000002</v>
      </c>
      <c r="CB500" s="542">
        <f t="shared" si="346"/>
        <v>34.094250000000002</v>
      </c>
      <c r="CC500" s="542">
        <f t="shared" si="346"/>
        <v>34.094250000000002</v>
      </c>
      <c r="CD500" s="542">
        <f t="shared" si="346"/>
        <v>34.094250000000002</v>
      </c>
      <c r="CE500" s="542">
        <f t="shared" si="346"/>
        <v>34.094250000000002</v>
      </c>
      <c r="CG500" s="541">
        <v>34.094250000000002</v>
      </c>
      <c r="CH500" s="541">
        <v>34.094250000000002</v>
      </c>
      <c r="CI500" s="541">
        <v>34.094250000000002</v>
      </c>
      <c r="CJ500" s="541">
        <v>34.094250000000002</v>
      </c>
      <c r="CK500" s="541">
        <v>34.094250000000002</v>
      </c>
      <c r="CL500" s="541">
        <v>34.094250000000002</v>
      </c>
      <c r="CM500" s="541">
        <v>34.094250000000002</v>
      </c>
      <c r="CN500" s="541">
        <v>34.094250000000002</v>
      </c>
      <c r="CO500" s="541">
        <v>34.094250000000002</v>
      </c>
      <c r="CP500" s="541">
        <v>34.094250000000002</v>
      </c>
      <c r="CQ500" s="541">
        <v>34.094250000000002</v>
      </c>
      <c r="CR500" s="541">
        <v>34.094250000000002</v>
      </c>
      <c r="CS500" s="541">
        <v>34.094250000000002</v>
      </c>
      <c r="CT500" s="541">
        <v>34.094250000000002</v>
      </c>
      <c r="CU500" s="541">
        <v>34.094250000000002</v>
      </c>
      <c r="CV500" s="541">
        <v>34.094250000000002</v>
      </c>
      <c r="CW500" s="541">
        <v>34.094250000000002</v>
      </c>
      <c r="CX500" s="541">
        <v>34.094250000000002</v>
      </c>
      <c r="CY500" s="541">
        <v>34.094250000000002</v>
      </c>
      <c r="CZ500" s="541">
        <v>34.094250000000002</v>
      </c>
      <c r="DA500" s="541">
        <v>34.094250000000002</v>
      </c>
      <c r="DB500" s="541">
        <v>34.094250000000002</v>
      </c>
      <c r="DC500" s="541">
        <v>34.094250000000002</v>
      </c>
      <c r="DD500" s="541">
        <v>34.094250000000002</v>
      </c>
      <c r="DE500" s="541">
        <v>34.094250000000002</v>
      </c>
      <c r="DF500" s="541">
        <v>34.094250000000002</v>
      </c>
      <c r="DG500" s="541">
        <v>34.094250000000002</v>
      </c>
      <c r="DH500" s="541">
        <v>34.094250000000002</v>
      </c>
    </row>
    <row r="501" spans="2:112">
      <c r="B501" t="s">
        <v>1345</v>
      </c>
      <c r="C501" t="s">
        <v>817</v>
      </c>
      <c r="D501" t="s">
        <v>923</v>
      </c>
      <c r="E501" t="s">
        <v>911</v>
      </c>
      <c r="F501" s="541">
        <v>1.6054904999999999</v>
      </c>
      <c r="G501" s="541">
        <v>1.6054904999999999</v>
      </c>
      <c r="H501" s="541">
        <v>1.6054904999999999</v>
      </c>
      <c r="I501" s="541">
        <v>1.6054904999999999</v>
      </c>
      <c r="J501" s="541">
        <v>1.6054904999999999</v>
      </c>
      <c r="K501" s="541">
        <v>1.6054904999999999</v>
      </c>
      <c r="L501" s="541">
        <v>1.6054904999999999</v>
      </c>
      <c r="M501" s="541">
        <v>1.6054904999999999</v>
      </c>
      <c r="N501" s="541">
        <v>1.6054904999999999</v>
      </c>
      <c r="O501" s="541">
        <v>1.6054904999999999</v>
      </c>
      <c r="P501" s="541">
        <v>1.6054904999999999</v>
      </c>
      <c r="Q501" s="541">
        <v>1.6054904999999999</v>
      </c>
      <c r="R501" s="541">
        <v>1.6054904999999999</v>
      </c>
      <c r="S501" s="541">
        <v>1.6054904999999999</v>
      </c>
      <c r="T501" s="541">
        <v>1.6054904999999999</v>
      </c>
      <c r="U501" s="541">
        <v>1.6054904999999999</v>
      </c>
      <c r="V501" s="541">
        <v>1.6054904999999999</v>
      </c>
      <c r="W501" s="541">
        <v>1.6054904999999999</v>
      </c>
      <c r="X501" s="541">
        <v>1.6054904999999999</v>
      </c>
      <c r="Y501" s="541">
        <v>1.6054904999999999</v>
      </c>
      <c r="Z501" s="541">
        <v>1.6054904999999999</v>
      </c>
      <c r="AA501" s="541">
        <v>1.6054904999999999</v>
      </c>
      <c r="AB501" s="541">
        <v>1.6054904999999999</v>
      </c>
      <c r="AC501" s="541">
        <v>1.6054904999999999</v>
      </c>
      <c r="AD501" s="541">
        <v>1.6054904999999999</v>
      </c>
      <c r="AE501" s="541">
        <v>1.6054904999999999</v>
      </c>
      <c r="AF501" s="541">
        <v>1.6054904999999999</v>
      </c>
      <c r="AG501" s="541">
        <v>1.6054904999999999</v>
      </c>
      <c r="AH501" s="542">
        <f t="shared" si="347"/>
        <v>1.6054904999999999</v>
      </c>
      <c r="AI501" s="542">
        <f t="shared" si="347"/>
        <v>1.6054904999999999</v>
      </c>
      <c r="AJ501" s="542">
        <f t="shared" si="347"/>
        <v>1.6054904999999999</v>
      </c>
      <c r="AK501" s="542">
        <f t="shared" si="347"/>
        <v>1.6054904999999999</v>
      </c>
      <c r="AL501" s="542">
        <f t="shared" si="347"/>
        <v>1.6054904999999999</v>
      </c>
      <c r="AM501" s="542">
        <f t="shared" si="347"/>
        <v>1.6054904999999999</v>
      </c>
      <c r="AN501" s="542">
        <f t="shared" si="347"/>
        <v>1.6054904999999999</v>
      </c>
      <c r="AO501" s="542">
        <f t="shared" si="347"/>
        <v>1.6054904999999999</v>
      </c>
      <c r="AP501" s="542">
        <f t="shared" si="347"/>
        <v>1.6054904999999999</v>
      </c>
      <c r="AQ501" s="542">
        <f t="shared" si="347"/>
        <v>1.6054904999999999</v>
      </c>
      <c r="AR501" s="542">
        <f t="shared" si="347"/>
        <v>1.6054904999999999</v>
      </c>
      <c r="AS501" s="542">
        <f t="shared" si="347"/>
        <v>1.6054904999999999</v>
      </c>
      <c r="AT501" s="542">
        <f t="shared" si="347"/>
        <v>1.6054904999999999</v>
      </c>
      <c r="AU501" s="542">
        <f t="shared" si="347"/>
        <v>1.6054904999999999</v>
      </c>
      <c r="AV501" s="542">
        <f t="shared" si="347"/>
        <v>1.6054904999999999</v>
      </c>
      <c r="AW501" s="542">
        <f t="shared" si="347"/>
        <v>1.6054904999999999</v>
      </c>
      <c r="AX501" s="542">
        <f t="shared" si="346"/>
        <v>1.6054904999999999</v>
      </c>
      <c r="AY501" s="542">
        <f t="shared" si="346"/>
        <v>1.6054904999999999</v>
      </c>
      <c r="AZ501" s="542">
        <f t="shared" si="346"/>
        <v>1.6054904999999999</v>
      </c>
      <c r="BA501" s="542">
        <f t="shared" si="346"/>
        <v>1.6054904999999999</v>
      </c>
      <c r="BB501" s="542">
        <f t="shared" si="346"/>
        <v>1.6054904999999999</v>
      </c>
      <c r="BC501" s="542">
        <f t="shared" si="346"/>
        <v>1.6054904999999999</v>
      </c>
      <c r="BD501" s="542">
        <f t="shared" si="346"/>
        <v>1.6054904999999999</v>
      </c>
      <c r="BE501" s="542">
        <f t="shared" si="346"/>
        <v>1.6054904999999999</v>
      </c>
      <c r="BF501" s="542">
        <f t="shared" si="346"/>
        <v>1.6054904999999999</v>
      </c>
      <c r="BG501" s="542">
        <f t="shared" si="346"/>
        <v>1.6054904999999999</v>
      </c>
      <c r="BH501" s="542">
        <f t="shared" si="346"/>
        <v>1.6054904999999999</v>
      </c>
      <c r="BI501" s="542">
        <f t="shared" si="346"/>
        <v>1.6054904999999999</v>
      </c>
      <c r="BJ501" s="542">
        <f t="shared" si="346"/>
        <v>1.6054904999999999</v>
      </c>
      <c r="BK501" s="542">
        <f t="shared" si="346"/>
        <v>1.6054904999999999</v>
      </c>
      <c r="BL501" s="542">
        <f t="shared" si="346"/>
        <v>1.6054904999999999</v>
      </c>
      <c r="BM501" s="542">
        <f t="shared" si="346"/>
        <v>1.6054904999999999</v>
      </c>
      <c r="BN501" s="542">
        <f t="shared" si="346"/>
        <v>1.6054904999999999</v>
      </c>
      <c r="BO501" s="542">
        <f t="shared" si="346"/>
        <v>1.6054904999999999</v>
      </c>
      <c r="BP501" s="542">
        <f t="shared" si="346"/>
        <v>1.6054904999999999</v>
      </c>
      <c r="BQ501" s="542">
        <f t="shared" si="346"/>
        <v>1.6054904999999999</v>
      </c>
      <c r="BR501" s="542">
        <f t="shared" si="346"/>
        <v>1.6054904999999999</v>
      </c>
      <c r="BS501" s="542">
        <f t="shared" si="346"/>
        <v>1.6054904999999999</v>
      </c>
      <c r="BT501" s="542">
        <f t="shared" si="346"/>
        <v>1.6054904999999999</v>
      </c>
      <c r="BU501" s="542">
        <f t="shared" si="346"/>
        <v>1.6054904999999999</v>
      </c>
      <c r="BV501" s="542">
        <f t="shared" si="346"/>
        <v>1.6054904999999999</v>
      </c>
      <c r="BW501" s="542">
        <f t="shared" si="346"/>
        <v>1.6054904999999999</v>
      </c>
      <c r="BX501" s="542">
        <f t="shared" si="346"/>
        <v>1.6054904999999999</v>
      </c>
      <c r="BY501" s="542">
        <f t="shared" si="346"/>
        <v>1.6054904999999999</v>
      </c>
      <c r="BZ501" s="542">
        <f t="shared" si="346"/>
        <v>1.6054904999999999</v>
      </c>
      <c r="CA501" s="542">
        <f t="shared" si="346"/>
        <v>1.6054904999999999</v>
      </c>
      <c r="CB501" s="542">
        <f t="shared" si="346"/>
        <v>1.6054904999999999</v>
      </c>
      <c r="CC501" s="542">
        <f t="shared" si="346"/>
        <v>1.6054904999999999</v>
      </c>
      <c r="CD501" s="542">
        <f t="shared" si="346"/>
        <v>1.6054904999999999</v>
      </c>
      <c r="CE501" s="542">
        <f t="shared" si="346"/>
        <v>1.6054904999999999</v>
      </c>
      <c r="CG501" s="541">
        <v>1.6054904999999999</v>
      </c>
      <c r="CH501" s="541">
        <v>1.6054904999999999</v>
      </c>
      <c r="CI501" s="541">
        <v>1.6054904999999999</v>
      </c>
      <c r="CJ501" s="541">
        <v>1.6054904999999999</v>
      </c>
      <c r="CK501" s="541">
        <v>1.6054904999999999</v>
      </c>
      <c r="CL501" s="541">
        <v>1.6054904999999999</v>
      </c>
      <c r="CM501" s="541">
        <v>1.6054904999999999</v>
      </c>
      <c r="CN501" s="541">
        <v>1.6054904999999999</v>
      </c>
      <c r="CO501" s="541">
        <v>1.6054904999999999</v>
      </c>
      <c r="CP501" s="541">
        <v>1.6054904999999999</v>
      </c>
      <c r="CQ501" s="541">
        <v>1.6054904999999999</v>
      </c>
      <c r="CR501" s="541">
        <v>1.6054904999999999</v>
      </c>
      <c r="CS501" s="541">
        <v>1.6054904999999999</v>
      </c>
      <c r="CT501" s="541">
        <v>1.6054904999999999</v>
      </c>
      <c r="CU501" s="541">
        <v>1.6054904999999999</v>
      </c>
      <c r="CV501" s="541">
        <v>1.6054904999999999</v>
      </c>
      <c r="CW501" s="541">
        <v>1.6054904999999999</v>
      </c>
      <c r="CX501" s="541">
        <v>1.6054904999999999</v>
      </c>
      <c r="CY501" s="541">
        <v>1.6054904999999999</v>
      </c>
      <c r="CZ501" s="541">
        <v>1.6054904999999999</v>
      </c>
      <c r="DA501" s="541">
        <v>1.6054904999999999</v>
      </c>
      <c r="DB501" s="541">
        <v>1.6054904999999999</v>
      </c>
      <c r="DC501" s="541">
        <v>1.6054904999999999</v>
      </c>
      <c r="DD501" s="541">
        <v>1.6054904999999999</v>
      </c>
      <c r="DE501" s="541">
        <v>1.6054904999999999</v>
      </c>
      <c r="DF501" s="541">
        <v>1.6054904999999999</v>
      </c>
      <c r="DG501" s="541">
        <v>1.6054904999999999</v>
      </c>
      <c r="DH501" s="541">
        <v>1.6054904999999999</v>
      </c>
    </row>
    <row r="502" spans="2:112">
      <c r="B502" t="s">
        <v>924</v>
      </c>
      <c r="F502" s="543"/>
      <c r="G502" s="543"/>
      <c r="H502" s="543"/>
      <c r="I502" s="543"/>
      <c r="J502" s="543"/>
      <c r="K502" s="543"/>
      <c r="L502" s="543"/>
      <c r="M502" s="543"/>
      <c r="N502" s="543"/>
      <c r="O502" s="543"/>
      <c r="P502" s="543"/>
      <c r="Q502" s="543"/>
      <c r="R502" s="543"/>
      <c r="S502" s="543"/>
      <c r="T502" s="543"/>
      <c r="U502" s="543"/>
      <c r="V502" s="543"/>
      <c r="W502" s="543"/>
      <c r="X502" s="543"/>
      <c r="Y502" s="543"/>
      <c r="Z502" s="543"/>
      <c r="AA502" s="543"/>
      <c r="AB502" s="543"/>
      <c r="AC502" s="543"/>
      <c r="AD502" s="543"/>
      <c r="AE502" s="543"/>
      <c r="AF502" s="543"/>
      <c r="AG502" s="543"/>
      <c r="AH502" s="543"/>
      <c r="AI502" s="543"/>
      <c r="AJ502" s="543"/>
      <c r="AK502" s="543"/>
      <c r="AL502" s="543"/>
      <c r="AM502" s="543"/>
      <c r="AN502" s="543"/>
      <c r="AO502" s="543"/>
      <c r="AP502" s="543"/>
      <c r="AQ502" s="543"/>
      <c r="AR502" s="543"/>
      <c r="AS502" s="543"/>
      <c r="AT502" s="543"/>
      <c r="AU502" s="543"/>
      <c r="AV502" s="543"/>
      <c r="AW502" s="543"/>
      <c r="AX502" s="543"/>
      <c r="AY502" s="543"/>
      <c r="AZ502" s="543"/>
      <c r="BA502" s="543"/>
      <c r="BB502" s="543"/>
      <c r="BC502" s="543"/>
      <c r="BD502" s="543"/>
      <c r="BE502" s="543"/>
      <c r="BF502" s="543"/>
      <c r="BG502" s="543"/>
      <c r="BH502" s="543"/>
      <c r="BI502" s="543"/>
      <c r="BJ502" s="543"/>
      <c r="BK502" s="543"/>
      <c r="BL502" s="543"/>
      <c r="BM502" s="543"/>
      <c r="BN502" s="543"/>
      <c r="BO502" s="543"/>
      <c r="BP502" s="543"/>
      <c r="BQ502" s="543"/>
      <c r="BR502" s="543"/>
      <c r="BS502" s="543"/>
      <c r="BT502" s="543"/>
      <c r="BU502" s="543"/>
      <c r="BV502" s="543"/>
      <c r="BW502" s="543"/>
      <c r="BX502" s="543"/>
      <c r="BY502" s="543"/>
      <c r="BZ502" s="543"/>
      <c r="CA502" s="543"/>
      <c r="CB502" s="543"/>
      <c r="CC502" s="543"/>
      <c r="CD502" s="543"/>
      <c r="CE502" s="543"/>
    </row>
    <row r="504" spans="2:112" ht="15">
      <c r="C504" s="485" t="s">
        <v>1346</v>
      </c>
      <c r="D504" s="485" t="s">
        <v>1347</v>
      </c>
      <c r="E504" s="485" t="s">
        <v>111</v>
      </c>
      <c r="F504" s="544" t="s">
        <v>713</v>
      </c>
      <c r="G504" s="544" t="s">
        <v>126</v>
      </c>
      <c r="H504" s="544" t="s">
        <v>728</v>
      </c>
      <c r="I504" s="544" t="s">
        <v>735</v>
      </c>
      <c r="J504" s="544" t="s">
        <v>272</v>
      </c>
      <c r="K504" s="544" t="s">
        <v>747</v>
      </c>
      <c r="L504" s="544" t="s">
        <v>753</v>
      </c>
      <c r="M504" s="544" t="s">
        <v>758</v>
      </c>
      <c r="N504" s="544" t="s">
        <v>764</v>
      </c>
      <c r="O504" s="544" t="s">
        <v>771</v>
      </c>
      <c r="P504" s="544" t="s">
        <v>779</v>
      </c>
      <c r="Q504" s="544" t="s">
        <v>1146</v>
      </c>
      <c r="R504" s="544" t="s">
        <v>793</v>
      </c>
      <c r="S504" s="544" t="s">
        <v>800</v>
      </c>
      <c r="T504" s="544" t="s">
        <v>806</v>
      </c>
      <c r="U504" s="544" t="s">
        <v>821</v>
      </c>
      <c r="V504" s="544" t="s">
        <v>1257</v>
      </c>
      <c r="W504" s="544" t="s">
        <v>1280</v>
      </c>
      <c r="X504" s="544" t="s">
        <v>811</v>
      </c>
      <c r="Y504" s="544" t="s">
        <v>817</v>
      </c>
      <c r="CG504" s="544" t="s">
        <v>713</v>
      </c>
      <c r="CH504" s="544" t="s">
        <v>126</v>
      </c>
      <c r="CI504" s="544" t="s">
        <v>728</v>
      </c>
      <c r="CJ504" s="544" t="s">
        <v>735</v>
      </c>
      <c r="CK504" s="544" t="s">
        <v>272</v>
      </c>
      <c r="CL504" s="544" t="s">
        <v>747</v>
      </c>
      <c r="CM504" s="544" t="s">
        <v>753</v>
      </c>
      <c r="CN504" s="544" t="s">
        <v>758</v>
      </c>
      <c r="CO504" s="544" t="s">
        <v>764</v>
      </c>
      <c r="CP504" s="544" t="s">
        <v>771</v>
      </c>
      <c r="CQ504" s="544" t="s">
        <v>779</v>
      </c>
      <c r="CR504" s="544" t="s">
        <v>1146</v>
      </c>
      <c r="CS504" s="544" t="s">
        <v>793</v>
      </c>
      <c r="CT504" s="544" t="s">
        <v>800</v>
      </c>
      <c r="CU504" s="544" t="s">
        <v>806</v>
      </c>
      <c r="CV504" s="544" t="s">
        <v>821</v>
      </c>
      <c r="CW504" s="544" t="s">
        <v>1257</v>
      </c>
      <c r="CX504" s="544" t="s">
        <v>1280</v>
      </c>
      <c r="CY504" s="544" t="s">
        <v>811</v>
      </c>
      <c r="CZ504" s="544" t="s">
        <v>817</v>
      </c>
    </row>
    <row r="505" spans="2:112">
      <c r="C505">
        <v>9</v>
      </c>
      <c r="D505" t="str">
        <f t="shared" ref="D505:D521" si="348">"Propulsion power requirement at "&amp;C505&amp;" knots"</f>
        <v>Propulsion power requirement at 9 knots</v>
      </c>
      <c r="E505" t="s">
        <v>1348</v>
      </c>
      <c r="F505" s="535" t="e">
        <v>#N/A</v>
      </c>
      <c r="G505" s="535" t="e">
        <v>#N/A</v>
      </c>
      <c r="H505" s="535" t="e">
        <v>#N/A</v>
      </c>
      <c r="I505" s="535">
        <v>1.5</v>
      </c>
      <c r="J505" s="535">
        <v>2.1</v>
      </c>
      <c r="K505" s="535">
        <v>3.65</v>
      </c>
      <c r="L505" s="535">
        <v>1.7999999999999998</v>
      </c>
      <c r="M505" s="535">
        <v>3.25</v>
      </c>
      <c r="N505" s="535">
        <v>5.95</v>
      </c>
      <c r="O505" s="535" t="e">
        <v>#N/A</v>
      </c>
      <c r="P505" s="535" t="e">
        <v>#N/A</v>
      </c>
      <c r="Q505" s="535" t="e">
        <v>#N/A</v>
      </c>
      <c r="R505" s="535">
        <v>1</v>
      </c>
      <c r="S505" s="535">
        <v>4.3</v>
      </c>
      <c r="T505" s="535">
        <v>3.3</v>
      </c>
      <c r="U505" s="535">
        <v>1</v>
      </c>
      <c r="V505" s="535" t="e">
        <v>#N/A</v>
      </c>
      <c r="W505" s="535" t="e">
        <v>#N/A</v>
      </c>
      <c r="X505" s="535" t="e">
        <v>#N/A</v>
      </c>
      <c r="Y505" s="535" t="e">
        <v>#N/A</v>
      </c>
      <c r="CG505" s="545" t="e">
        <v>#N/A</v>
      </c>
      <c r="CH505" s="545" t="e">
        <v>#N/A</v>
      </c>
      <c r="CI505" s="545" t="e">
        <v>#N/A</v>
      </c>
      <c r="CJ505" s="545">
        <v>1.5</v>
      </c>
      <c r="CK505" s="545">
        <v>2.1</v>
      </c>
      <c r="CL505" s="545">
        <v>3.65</v>
      </c>
      <c r="CM505" s="545">
        <v>1.7999999999999998</v>
      </c>
      <c r="CN505" s="545">
        <v>3.25</v>
      </c>
      <c r="CO505" s="545">
        <v>5.95</v>
      </c>
      <c r="CP505" s="545" t="e">
        <v>#N/A</v>
      </c>
      <c r="CQ505" s="545" t="e">
        <v>#N/A</v>
      </c>
      <c r="CR505" s="545" t="e">
        <v>#N/A</v>
      </c>
      <c r="CS505" s="545">
        <v>1</v>
      </c>
      <c r="CT505" s="545">
        <v>4.3</v>
      </c>
      <c r="CU505" s="545">
        <v>3.3</v>
      </c>
      <c r="CV505" s="545">
        <v>1</v>
      </c>
      <c r="CW505" s="545" t="e">
        <v>#N/A</v>
      </c>
      <c r="CX505" s="545" t="e">
        <v>#N/A</v>
      </c>
      <c r="CY505" s="545" t="e">
        <v>#N/A</v>
      </c>
      <c r="CZ505" s="545" t="e">
        <v>#N/A</v>
      </c>
    </row>
    <row r="506" spans="2:112">
      <c r="C506">
        <f t="shared" ref="C506:C519" si="349">C505+1</f>
        <v>10</v>
      </c>
      <c r="D506" t="str">
        <f t="shared" si="348"/>
        <v>Propulsion power requirement at 10 knots</v>
      </c>
      <c r="E506" t="s">
        <v>1348</v>
      </c>
      <c r="F506" s="535">
        <v>2.1</v>
      </c>
      <c r="G506" s="535">
        <v>3.4</v>
      </c>
      <c r="H506" s="535">
        <v>5</v>
      </c>
      <c r="I506" s="535">
        <v>1.9</v>
      </c>
      <c r="J506" s="535">
        <v>2.6</v>
      </c>
      <c r="K506" s="535">
        <v>5.0999999999999996</v>
      </c>
      <c r="L506" s="535">
        <v>2.0499999999999998</v>
      </c>
      <c r="M506" s="535">
        <v>3.8</v>
      </c>
      <c r="N506" s="535">
        <v>6.75</v>
      </c>
      <c r="O506" s="535">
        <v>1</v>
      </c>
      <c r="P506" s="535">
        <v>2</v>
      </c>
      <c r="Q506" s="535">
        <v>2</v>
      </c>
      <c r="R506" s="535">
        <v>1.26</v>
      </c>
      <c r="S506" s="535">
        <v>5.2</v>
      </c>
      <c r="T506" s="535">
        <v>4.3</v>
      </c>
      <c r="U506" s="535">
        <v>1.4</v>
      </c>
      <c r="V506" s="535">
        <v>1.8</v>
      </c>
      <c r="W506" s="535">
        <v>0.6</v>
      </c>
      <c r="X506" s="535">
        <v>2</v>
      </c>
      <c r="Y506" s="535">
        <v>2</v>
      </c>
      <c r="CG506" s="545">
        <v>2.1</v>
      </c>
      <c r="CH506" s="545">
        <v>3.4</v>
      </c>
      <c r="CI506" s="545">
        <v>5</v>
      </c>
      <c r="CJ506" s="545">
        <v>1.9</v>
      </c>
      <c r="CK506" s="545">
        <v>2.6</v>
      </c>
      <c r="CL506" s="545">
        <v>5.0999999999999996</v>
      </c>
      <c r="CM506" s="545">
        <v>2.0499999999999998</v>
      </c>
      <c r="CN506" s="545">
        <v>3.8</v>
      </c>
      <c r="CO506" s="545">
        <v>6.75</v>
      </c>
      <c r="CP506" s="545">
        <v>1</v>
      </c>
      <c r="CQ506" s="545">
        <v>2</v>
      </c>
      <c r="CR506" s="545">
        <v>2</v>
      </c>
      <c r="CS506" s="545">
        <v>1.26</v>
      </c>
      <c r="CT506" s="545">
        <v>5.2</v>
      </c>
      <c r="CU506" s="545">
        <v>4.3</v>
      </c>
      <c r="CV506" s="545">
        <v>1.4</v>
      </c>
      <c r="CW506" s="545">
        <v>1.8</v>
      </c>
      <c r="CX506" s="545">
        <v>0.6</v>
      </c>
      <c r="CY506" s="545">
        <v>2</v>
      </c>
      <c r="CZ506" s="545">
        <v>2</v>
      </c>
    </row>
    <row r="507" spans="2:112">
      <c r="C507">
        <f t="shared" si="349"/>
        <v>11</v>
      </c>
      <c r="D507" t="str">
        <f t="shared" si="348"/>
        <v>Propulsion power requirement at 11 knots</v>
      </c>
      <c r="E507" t="s">
        <v>1348</v>
      </c>
      <c r="F507" s="535">
        <v>2.7</v>
      </c>
      <c r="G507" s="535">
        <v>4.8</v>
      </c>
      <c r="H507" s="535">
        <v>6.8</v>
      </c>
      <c r="I507" s="535">
        <v>2.5</v>
      </c>
      <c r="J507" s="535">
        <v>3.3</v>
      </c>
      <c r="K507" s="535">
        <v>6.85</v>
      </c>
      <c r="L507" s="535">
        <v>2.4000000000000004</v>
      </c>
      <c r="M507" s="535">
        <v>4.55</v>
      </c>
      <c r="N507" s="535">
        <v>7.95</v>
      </c>
      <c r="O507" s="535">
        <v>1.3</v>
      </c>
      <c r="P507" s="535">
        <v>2.6</v>
      </c>
      <c r="Q507" s="535">
        <v>2.8</v>
      </c>
      <c r="R507" s="535">
        <v>1.54</v>
      </c>
      <c r="S507" s="535">
        <v>6.9</v>
      </c>
      <c r="T507" s="535">
        <v>5.2</v>
      </c>
      <c r="U507" s="535">
        <v>1.8</v>
      </c>
      <c r="V507" s="535">
        <v>2.1</v>
      </c>
      <c r="W507" s="535">
        <v>1.1000000000000001</v>
      </c>
      <c r="X507" s="535" t="e">
        <v>#N/A</v>
      </c>
      <c r="Y507" s="535">
        <v>2.1</v>
      </c>
      <c r="CG507" s="545">
        <v>2.7</v>
      </c>
      <c r="CH507" s="545">
        <v>4.8</v>
      </c>
      <c r="CI507" s="545">
        <v>6.8</v>
      </c>
      <c r="CJ507" s="545">
        <v>2.5</v>
      </c>
      <c r="CK507" s="545">
        <v>3.3</v>
      </c>
      <c r="CL507" s="545">
        <v>6.85</v>
      </c>
      <c r="CM507" s="545">
        <v>2.4000000000000004</v>
      </c>
      <c r="CN507" s="545">
        <v>4.55</v>
      </c>
      <c r="CO507" s="545">
        <v>7.95</v>
      </c>
      <c r="CP507" s="545">
        <v>1.3</v>
      </c>
      <c r="CQ507" s="545">
        <v>2.6</v>
      </c>
      <c r="CR507" s="545">
        <v>2.8</v>
      </c>
      <c r="CS507" s="545">
        <v>1.54</v>
      </c>
      <c r="CT507" s="545">
        <v>6.9</v>
      </c>
      <c r="CU507" s="545">
        <v>5.2</v>
      </c>
      <c r="CV507" s="545">
        <v>1.8</v>
      </c>
      <c r="CW507" s="545">
        <v>2.1</v>
      </c>
      <c r="CX507" s="545">
        <v>1.1000000000000001</v>
      </c>
      <c r="CY507" s="545" t="e">
        <v>#N/A</v>
      </c>
      <c r="CZ507" s="545">
        <v>2.1</v>
      </c>
    </row>
    <row r="508" spans="2:112">
      <c r="C508">
        <f t="shared" si="349"/>
        <v>12</v>
      </c>
      <c r="D508" t="str">
        <f t="shared" si="348"/>
        <v>Propulsion power requirement at 12 knots</v>
      </c>
      <c r="E508" t="s">
        <v>1348</v>
      </c>
      <c r="F508" s="535">
        <v>3.5</v>
      </c>
      <c r="G508" s="535">
        <v>7.2</v>
      </c>
      <c r="H508" s="535">
        <v>9.6</v>
      </c>
      <c r="I508" s="535">
        <v>3.2</v>
      </c>
      <c r="J508" s="535">
        <v>4.25</v>
      </c>
      <c r="K508" s="535">
        <v>8.9</v>
      </c>
      <c r="L508" s="535">
        <v>3.05</v>
      </c>
      <c r="M508" s="535">
        <v>5.6</v>
      </c>
      <c r="N508" s="535">
        <v>9.8000000000000007</v>
      </c>
      <c r="O508" s="535">
        <v>1.7</v>
      </c>
      <c r="P508" s="535">
        <v>3.4</v>
      </c>
      <c r="Q508" s="535">
        <v>3.6</v>
      </c>
      <c r="R508" s="535">
        <v>1.96</v>
      </c>
      <c r="S508" s="535">
        <v>8.6</v>
      </c>
      <c r="T508" s="535">
        <v>6.8</v>
      </c>
      <c r="U508" s="535">
        <v>2.2999999999999998</v>
      </c>
      <c r="V508" s="535">
        <v>2.2000000000000002</v>
      </c>
      <c r="W508" s="535">
        <v>1.5</v>
      </c>
      <c r="X508" s="535" t="e">
        <v>#N/A</v>
      </c>
      <c r="Y508" s="535">
        <v>2.2999999999999998</v>
      </c>
      <c r="CG508" s="545">
        <v>3.5</v>
      </c>
      <c r="CH508" s="545">
        <v>7.2</v>
      </c>
      <c r="CI508" s="545">
        <v>9.6</v>
      </c>
      <c r="CJ508" s="545">
        <v>3.2</v>
      </c>
      <c r="CK508" s="545">
        <v>4.25</v>
      </c>
      <c r="CL508" s="545">
        <v>8.9</v>
      </c>
      <c r="CM508" s="545">
        <v>3.05</v>
      </c>
      <c r="CN508" s="545">
        <v>5.6</v>
      </c>
      <c r="CO508" s="545">
        <v>9.8000000000000007</v>
      </c>
      <c r="CP508" s="545">
        <v>1.7</v>
      </c>
      <c r="CQ508" s="545">
        <v>3.4</v>
      </c>
      <c r="CR508" s="545">
        <v>3.6</v>
      </c>
      <c r="CS508" s="545">
        <v>1.96</v>
      </c>
      <c r="CT508" s="545">
        <v>8.6</v>
      </c>
      <c r="CU508" s="545">
        <v>6.8</v>
      </c>
      <c r="CV508" s="545">
        <v>2.2999999999999998</v>
      </c>
      <c r="CW508" s="545">
        <v>2.2000000000000002</v>
      </c>
      <c r="CX508" s="545">
        <v>1.5</v>
      </c>
      <c r="CY508" s="545" t="e">
        <v>#N/A</v>
      </c>
      <c r="CZ508" s="545">
        <v>2.2999999999999998</v>
      </c>
    </row>
    <row r="509" spans="2:112">
      <c r="C509">
        <f t="shared" si="349"/>
        <v>13</v>
      </c>
      <c r="D509" t="str">
        <f t="shared" si="348"/>
        <v>Propulsion power requirement at 13 knots</v>
      </c>
      <c r="E509" t="s">
        <v>1348</v>
      </c>
      <c r="F509" s="535">
        <v>4.5</v>
      </c>
      <c r="G509" s="535">
        <v>9.1999999999999993</v>
      </c>
      <c r="H509" s="535">
        <v>12.1</v>
      </c>
      <c r="I509" s="535">
        <v>4.1500000000000004</v>
      </c>
      <c r="J509" s="535">
        <v>5.35</v>
      </c>
      <c r="K509" s="535">
        <v>11.5</v>
      </c>
      <c r="L509" s="535">
        <v>3.9000000000000004</v>
      </c>
      <c r="M509" s="535">
        <v>6.7</v>
      </c>
      <c r="N509" s="535">
        <v>12.100000000000001</v>
      </c>
      <c r="O509" s="535">
        <v>2.2000000000000002</v>
      </c>
      <c r="P509" s="535">
        <v>4.4000000000000004</v>
      </c>
      <c r="Q509" s="535">
        <v>4.5999999999999996</v>
      </c>
      <c r="R509" s="535">
        <v>2.38</v>
      </c>
      <c r="S509" s="535">
        <v>10.8</v>
      </c>
      <c r="T509" s="535">
        <v>8.5</v>
      </c>
      <c r="U509" s="535">
        <v>3</v>
      </c>
      <c r="V509" s="535">
        <v>2.6</v>
      </c>
      <c r="W509" s="535">
        <v>2.1</v>
      </c>
      <c r="X509" s="535" t="e">
        <v>#N/A</v>
      </c>
      <c r="Y509" s="535">
        <v>2.4</v>
      </c>
      <c r="CG509" s="545">
        <v>4.5</v>
      </c>
      <c r="CH509" s="545">
        <v>9.1999999999999993</v>
      </c>
      <c r="CI509" s="545">
        <v>12.1</v>
      </c>
      <c r="CJ509" s="545">
        <v>4.1500000000000004</v>
      </c>
      <c r="CK509" s="545">
        <v>5.35</v>
      </c>
      <c r="CL509" s="545">
        <v>11.5</v>
      </c>
      <c r="CM509" s="545">
        <v>3.9000000000000004</v>
      </c>
      <c r="CN509" s="545">
        <v>6.7</v>
      </c>
      <c r="CO509" s="545">
        <v>12.100000000000001</v>
      </c>
      <c r="CP509" s="545">
        <v>2.2000000000000002</v>
      </c>
      <c r="CQ509" s="545">
        <v>4.4000000000000004</v>
      </c>
      <c r="CR509" s="545">
        <v>4.5999999999999996</v>
      </c>
      <c r="CS509" s="545">
        <v>2.38</v>
      </c>
      <c r="CT509" s="545">
        <v>10.8</v>
      </c>
      <c r="CU509" s="545">
        <v>8.5</v>
      </c>
      <c r="CV509" s="545">
        <v>3</v>
      </c>
      <c r="CW509" s="545">
        <v>2.6</v>
      </c>
      <c r="CX509" s="545">
        <v>2.1</v>
      </c>
      <c r="CY509" s="545" t="e">
        <v>#N/A</v>
      </c>
      <c r="CZ509" s="545">
        <v>2.4</v>
      </c>
    </row>
    <row r="510" spans="2:112">
      <c r="C510">
        <f t="shared" si="349"/>
        <v>14</v>
      </c>
      <c r="D510" t="str">
        <f t="shared" si="348"/>
        <v>Propulsion power requirement at 14 knots</v>
      </c>
      <c r="E510" t="s">
        <v>1348</v>
      </c>
      <c r="F510" s="535">
        <v>5.4</v>
      </c>
      <c r="G510" s="535">
        <v>11.2</v>
      </c>
      <c r="H510" s="535">
        <v>14.7</v>
      </c>
      <c r="I510" s="535">
        <v>5.25</v>
      </c>
      <c r="J510" s="535">
        <v>6.75</v>
      </c>
      <c r="K510" s="535">
        <v>14.600000000000001</v>
      </c>
      <c r="L510" s="535">
        <v>4.95</v>
      </c>
      <c r="M510" s="535">
        <v>8.5</v>
      </c>
      <c r="N510" s="535">
        <v>15.05</v>
      </c>
      <c r="O510" s="535">
        <v>2.7</v>
      </c>
      <c r="P510" s="535">
        <v>5.4</v>
      </c>
      <c r="Q510" s="535">
        <v>5.8</v>
      </c>
      <c r="R510" s="535">
        <v>2.87</v>
      </c>
      <c r="S510" s="535">
        <v>13.1</v>
      </c>
      <c r="T510" s="535">
        <v>10.6</v>
      </c>
      <c r="U510" s="535">
        <v>4</v>
      </c>
      <c r="V510" s="535">
        <v>2.9</v>
      </c>
      <c r="W510" s="535">
        <v>2.7</v>
      </c>
      <c r="X510" s="535" t="e">
        <v>#N/A</v>
      </c>
      <c r="Y510" s="535">
        <v>2.6</v>
      </c>
      <c r="CG510" s="545">
        <v>5.4</v>
      </c>
      <c r="CH510" s="545">
        <v>11.2</v>
      </c>
      <c r="CI510" s="545">
        <v>14.7</v>
      </c>
      <c r="CJ510" s="545">
        <v>5.25</v>
      </c>
      <c r="CK510" s="545">
        <v>6.75</v>
      </c>
      <c r="CL510" s="545">
        <v>14.600000000000001</v>
      </c>
      <c r="CM510" s="545">
        <v>4.95</v>
      </c>
      <c r="CN510" s="545">
        <v>8.5</v>
      </c>
      <c r="CO510" s="545">
        <v>15.05</v>
      </c>
      <c r="CP510" s="545">
        <v>2.7</v>
      </c>
      <c r="CQ510" s="545">
        <v>5.4</v>
      </c>
      <c r="CR510" s="545">
        <v>5.8</v>
      </c>
      <c r="CS510" s="545">
        <v>2.87</v>
      </c>
      <c r="CT510" s="545">
        <v>13.1</v>
      </c>
      <c r="CU510" s="545">
        <v>10.6</v>
      </c>
      <c r="CV510" s="545">
        <v>4</v>
      </c>
      <c r="CW510" s="545">
        <v>2.9</v>
      </c>
      <c r="CX510" s="545">
        <v>2.7</v>
      </c>
      <c r="CY510" s="545" t="e">
        <v>#N/A</v>
      </c>
      <c r="CZ510" s="545">
        <v>2.6</v>
      </c>
    </row>
    <row r="511" spans="2:112">
      <c r="C511">
        <f t="shared" si="349"/>
        <v>15</v>
      </c>
      <c r="D511" t="str">
        <f t="shared" si="348"/>
        <v>Propulsion power requirement at 15 knots</v>
      </c>
      <c r="E511" t="s">
        <v>1348</v>
      </c>
      <c r="F511" s="535">
        <v>6.6</v>
      </c>
      <c r="G511" s="535">
        <v>13.9</v>
      </c>
      <c r="H511" s="535">
        <v>16.399999999999999</v>
      </c>
      <c r="I511" s="535" t="e">
        <v>#N/A</v>
      </c>
      <c r="J511" s="535" t="e">
        <v>#N/A</v>
      </c>
      <c r="K511" s="535">
        <v>17</v>
      </c>
      <c r="L511" s="535">
        <v>6.4499999999999993</v>
      </c>
      <c r="M511" s="535">
        <v>10.75</v>
      </c>
      <c r="N511" s="535">
        <v>18.549999999999997</v>
      </c>
      <c r="O511" s="535">
        <v>3.1</v>
      </c>
      <c r="P511" s="535">
        <v>6.7</v>
      </c>
      <c r="Q511" s="535">
        <v>7</v>
      </c>
      <c r="R511" s="535">
        <v>3.36</v>
      </c>
      <c r="S511" s="535">
        <v>15.4</v>
      </c>
      <c r="T511" s="535">
        <v>12.9</v>
      </c>
      <c r="U511" s="535" t="e">
        <v>#N/A</v>
      </c>
      <c r="V511" s="535">
        <v>3</v>
      </c>
      <c r="W511" s="535" t="e">
        <v>#N/A</v>
      </c>
      <c r="X511" s="535" t="e">
        <v>#N/A</v>
      </c>
      <c r="Y511" s="535">
        <v>2.8</v>
      </c>
      <c r="CG511" s="545">
        <v>6.6</v>
      </c>
      <c r="CH511" s="545">
        <v>13.9</v>
      </c>
      <c r="CI511" s="545">
        <v>16.399999999999999</v>
      </c>
      <c r="CJ511" s="545" t="e">
        <v>#N/A</v>
      </c>
      <c r="CK511" s="545" t="e">
        <v>#N/A</v>
      </c>
      <c r="CL511" s="545">
        <v>17</v>
      </c>
      <c r="CM511" s="545">
        <v>6.4499999999999993</v>
      </c>
      <c r="CN511" s="545">
        <v>10.75</v>
      </c>
      <c r="CO511" s="545">
        <v>18.549999999999997</v>
      </c>
      <c r="CP511" s="545">
        <v>3.1</v>
      </c>
      <c r="CQ511" s="545">
        <v>6.7</v>
      </c>
      <c r="CR511" s="545">
        <v>7</v>
      </c>
      <c r="CS511" s="545">
        <v>3.36</v>
      </c>
      <c r="CT511" s="545">
        <v>15.4</v>
      </c>
      <c r="CU511" s="545">
        <v>12.9</v>
      </c>
      <c r="CV511" s="545" t="e">
        <v>#N/A</v>
      </c>
      <c r="CW511" s="545">
        <v>3</v>
      </c>
      <c r="CX511" s="545" t="e">
        <v>#N/A</v>
      </c>
      <c r="CY511" s="545" t="e">
        <v>#N/A</v>
      </c>
      <c r="CZ511" s="545">
        <v>2.8</v>
      </c>
    </row>
    <row r="512" spans="2:112">
      <c r="C512">
        <f t="shared" si="349"/>
        <v>16</v>
      </c>
      <c r="D512" t="str">
        <f t="shared" si="348"/>
        <v>Propulsion power requirement at 16 knots</v>
      </c>
      <c r="E512" t="s">
        <v>1348</v>
      </c>
      <c r="F512" s="535">
        <v>8</v>
      </c>
      <c r="G512" s="535">
        <v>17.100000000000001</v>
      </c>
      <c r="H512" s="535">
        <v>19.600000000000001</v>
      </c>
      <c r="I512" s="535" t="e">
        <v>#N/A</v>
      </c>
      <c r="J512" s="535" t="e">
        <v>#N/A</v>
      </c>
      <c r="K512" s="535" t="e">
        <v>#N/A</v>
      </c>
      <c r="L512" s="535">
        <v>8</v>
      </c>
      <c r="M512" s="535" t="e">
        <v>#N/A</v>
      </c>
      <c r="N512" s="535" t="e">
        <v>#N/A</v>
      </c>
      <c r="O512" s="535">
        <v>3.6</v>
      </c>
      <c r="P512" s="535">
        <v>8.1</v>
      </c>
      <c r="Q512" s="535">
        <v>8.5</v>
      </c>
      <c r="R512" s="535">
        <v>4.0599999999999996</v>
      </c>
      <c r="S512" s="535">
        <v>18.5</v>
      </c>
      <c r="T512" s="535">
        <v>15.2</v>
      </c>
      <c r="U512" s="535" t="e">
        <v>#N/A</v>
      </c>
      <c r="V512" s="535">
        <v>3.3</v>
      </c>
      <c r="W512" s="535" t="e">
        <v>#N/A</v>
      </c>
      <c r="X512" s="535" t="e">
        <v>#N/A</v>
      </c>
      <c r="Y512" s="535">
        <v>3</v>
      </c>
      <c r="CG512" s="545">
        <v>8</v>
      </c>
      <c r="CH512" s="545">
        <v>17.100000000000001</v>
      </c>
      <c r="CI512" s="545">
        <v>19.600000000000001</v>
      </c>
      <c r="CJ512" s="545" t="e">
        <v>#N/A</v>
      </c>
      <c r="CK512" s="545" t="e">
        <v>#N/A</v>
      </c>
      <c r="CL512" s="545" t="e">
        <v>#N/A</v>
      </c>
      <c r="CM512" s="545">
        <v>8</v>
      </c>
      <c r="CN512" s="545" t="e">
        <v>#N/A</v>
      </c>
      <c r="CO512" s="545" t="e">
        <v>#N/A</v>
      </c>
      <c r="CP512" s="545">
        <v>3.6</v>
      </c>
      <c r="CQ512" s="545">
        <v>8.1</v>
      </c>
      <c r="CR512" s="545">
        <v>8.5</v>
      </c>
      <c r="CS512" s="545">
        <v>4.0599999999999996</v>
      </c>
      <c r="CT512" s="545">
        <v>18.5</v>
      </c>
      <c r="CU512" s="545">
        <v>15.2</v>
      </c>
      <c r="CV512" s="545" t="e">
        <v>#N/A</v>
      </c>
      <c r="CW512" s="545">
        <v>3.3</v>
      </c>
      <c r="CX512" s="545" t="e">
        <v>#N/A</v>
      </c>
      <c r="CY512" s="545" t="e">
        <v>#N/A</v>
      </c>
      <c r="CZ512" s="545">
        <v>3</v>
      </c>
    </row>
    <row r="513" spans="3:104">
      <c r="C513">
        <f t="shared" si="349"/>
        <v>17</v>
      </c>
      <c r="D513" t="str">
        <f t="shared" si="348"/>
        <v>Propulsion power requirement at 17 knots</v>
      </c>
      <c r="E513" t="s">
        <v>1348</v>
      </c>
      <c r="F513" s="535">
        <v>9.6999999999999993</v>
      </c>
      <c r="G513" s="535">
        <v>20.5</v>
      </c>
      <c r="H513" s="535">
        <v>23.1</v>
      </c>
      <c r="I513" s="535" t="e">
        <v>#N/A</v>
      </c>
      <c r="J513" s="535" t="e">
        <v>#N/A</v>
      </c>
      <c r="K513" s="535" t="e">
        <v>#N/A</v>
      </c>
      <c r="L513" s="535" t="e">
        <v>#N/A</v>
      </c>
      <c r="M513" s="535" t="e">
        <v>#N/A</v>
      </c>
      <c r="N513" s="535" t="e">
        <v>#N/A</v>
      </c>
      <c r="O513" s="535">
        <v>4.5</v>
      </c>
      <c r="P513" s="535">
        <v>9.9</v>
      </c>
      <c r="Q513" s="535">
        <v>10.199999999999999</v>
      </c>
      <c r="R513" s="535">
        <v>4.6900000000000004</v>
      </c>
      <c r="S513" s="535">
        <v>22.3</v>
      </c>
      <c r="T513" s="535">
        <v>18.2</v>
      </c>
      <c r="U513" s="535" t="e">
        <v>#N/A</v>
      </c>
      <c r="V513" s="535">
        <v>3.7</v>
      </c>
      <c r="W513" s="535" t="e">
        <v>#N/A</v>
      </c>
      <c r="X513" s="535" t="e">
        <v>#N/A</v>
      </c>
      <c r="Y513" s="535">
        <v>3.2</v>
      </c>
      <c r="CG513" s="545">
        <v>9.6999999999999993</v>
      </c>
      <c r="CH513" s="545">
        <v>20.5</v>
      </c>
      <c r="CI513" s="545">
        <v>23.1</v>
      </c>
      <c r="CJ513" s="545" t="e">
        <v>#N/A</v>
      </c>
      <c r="CK513" s="545" t="e">
        <v>#N/A</v>
      </c>
      <c r="CL513" s="545" t="e">
        <v>#N/A</v>
      </c>
      <c r="CM513" s="545" t="e">
        <v>#N/A</v>
      </c>
      <c r="CN513" s="545" t="e">
        <v>#N/A</v>
      </c>
      <c r="CO513" s="545" t="e">
        <v>#N/A</v>
      </c>
      <c r="CP513" s="545">
        <v>4.5</v>
      </c>
      <c r="CQ513" s="545">
        <v>9.9</v>
      </c>
      <c r="CR513" s="545">
        <v>10.199999999999999</v>
      </c>
      <c r="CS513" s="545">
        <v>4.6900000000000004</v>
      </c>
      <c r="CT513" s="545">
        <v>22.3</v>
      </c>
      <c r="CU513" s="545">
        <v>18.2</v>
      </c>
      <c r="CV513" s="545" t="e">
        <v>#N/A</v>
      </c>
      <c r="CW513" s="545">
        <v>3.7</v>
      </c>
      <c r="CX513" s="545" t="e">
        <v>#N/A</v>
      </c>
      <c r="CY513" s="545" t="e">
        <v>#N/A</v>
      </c>
      <c r="CZ513" s="545">
        <v>3.2</v>
      </c>
    </row>
    <row r="514" spans="3:104">
      <c r="C514">
        <f t="shared" si="349"/>
        <v>18</v>
      </c>
      <c r="D514" t="str">
        <f t="shared" si="348"/>
        <v>Propulsion power requirement at 18 knots</v>
      </c>
      <c r="E514" t="s">
        <v>1348</v>
      </c>
      <c r="F514" s="535">
        <v>11.5</v>
      </c>
      <c r="G514" s="535">
        <v>24.5</v>
      </c>
      <c r="H514" s="535">
        <v>27.2</v>
      </c>
      <c r="I514" s="535" t="e">
        <v>#N/A</v>
      </c>
      <c r="J514" s="535" t="e">
        <v>#N/A</v>
      </c>
      <c r="K514" s="535" t="e">
        <v>#N/A</v>
      </c>
      <c r="L514" s="535" t="e">
        <v>#N/A</v>
      </c>
      <c r="M514" s="535" t="e">
        <v>#N/A</v>
      </c>
      <c r="N514" s="535" t="e">
        <v>#N/A</v>
      </c>
      <c r="O514" s="535">
        <v>5.7</v>
      </c>
      <c r="P514" s="535" t="e">
        <v>#N/A</v>
      </c>
      <c r="Q514" s="535">
        <v>12</v>
      </c>
      <c r="R514" s="535">
        <v>5.39</v>
      </c>
      <c r="S514" s="535">
        <v>26.2</v>
      </c>
      <c r="T514" s="535">
        <v>15.1</v>
      </c>
      <c r="U514" s="535" t="e">
        <v>#N/A</v>
      </c>
      <c r="V514" s="535">
        <v>4.3</v>
      </c>
      <c r="W514" s="535" t="e">
        <v>#N/A</v>
      </c>
      <c r="X514" s="535" t="e">
        <v>#N/A</v>
      </c>
      <c r="Y514" s="535">
        <v>3.4</v>
      </c>
      <c r="CG514" s="545">
        <v>11.5</v>
      </c>
      <c r="CH514" s="545">
        <v>24.5</v>
      </c>
      <c r="CI514" s="545">
        <v>27.2</v>
      </c>
      <c r="CJ514" s="545" t="e">
        <v>#N/A</v>
      </c>
      <c r="CK514" s="545" t="e">
        <v>#N/A</v>
      </c>
      <c r="CL514" s="545" t="e">
        <v>#N/A</v>
      </c>
      <c r="CM514" s="545" t="e">
        <v>#N/A</v>
      </c>
      <c r="CN514" s="545" t="e">
        <v>#N/A</v>
      </c>
      <c r="CO514" s="545" t="e">
        <v>#N/A</v>
      </c>
      <c r="CP514" s="545">
        <v>5.7</v>
      </c>
      <c r="CQ514" s="545" t="e">
        <v>#N/A</v>
      </c>
      <c r="CR514" s="545">
        <v>12</v>
      </c>
      <c r="CS514" s="545">
        <v>5.39</v>
      </c>
      <c r="CT514" s="545">
        <v>26.2</v>
      </c>
      <c r="CU514" s="545">
        <v>15.1</v>
      </c>
      <c r="CV514" s="545" t="e">
        <v>#N/A</v>
      </c>
      <c r="CW514" s="545">
        <v>4.3</v>
      </c>
      <c r="CX514" s="545" t="e">
        <v>#N/A</v>
      </c>
      <c r="CY514" s="545" t="e">
        <v>#N/A</v>
      </c>
      <c r="CZ514" s="545">
        <v>3.4</v>
      </c>
    </row>
    <row r="515" spans="3:104">
      <c r="C515">
        <f t="shared" si="349"/>
        <v>19</v>
      </c>
      <c r="D515" t="str">
        <f t="shared" si="348"/>
        <v>Propulsion power requirement at 19 knots</v>
      </c>
      <c r="E515" t="s">
        <v>1348</v>
      </c>
      <c r="F515" s="535">
        <v>13.6</v>
      </c>
      <c r="G515" s="535">
        <v>28.9</v>
      </c>
      <c r="H515" s="535">
        <v>31.9</v>
      </c>
      <c r="I515" s="535" t="e">
        <v>#N/A</v>
      </c>
      <c r="J515" s="535" t="e">
        <v>#N/A</v>
      </c>
      <c r="K515" s="535" t="e">
        <v>#N/A</v>
      </c>
      <c r="L515" s="535" t="e">
        <v>#N/A</v>
      </c>
      <c r="M515" s="535" t="e">
        <v>#N/A</v>
      </c>
      <c r="N515" s="535" t="e">
        <v>#N/A</v>
      </c>
      <c r="O515" s="535">
        <v>6.9</v>
      </c>
      <c r="P515" s="535" t="e">
        <v>#N/A</v>
      </c>
      <c r="Q515" s="535" t="e">
        <v>#N/A</v>
      </c>
      <c r="R515" s="535">
        <v>6.02</v>
      </c>
      <c r="S515" s="535">
        <v>30.8</v>
      </c>
      <c r="T515" s="535">
        <v>25.8</v>
      </c>
      <c r="U515" s="535" t="e">
        <v>#N/A</v>
      </c>
      <c r="V515" s="535">
        <v>4.9000000000000004</v>
      </c>
      <c r="W515" s="535" t="e">
        <v>#N/A</v>
      </c>
      <c r="X515" s="535" t="e">
        <v>#N/A</v>
      </c>
      <c r="Y515" s="535">
        <v>3.7</v>
      </c>
      <c r="CG515" s="545">
        <v>13.6</v>
      </c>
      <c r="CH515" s="545">
        <v>28.9</v>
      </c>
      <c r="CI515" s="545">
        <v>31.9</v>
      </c>
      <c r="CJ515" s="545" t="e">
        <v>#N/A</v>
      </c>
      <c r="CK515" s="545" t="e">
        <v>#N/A</v>
      </c>
      <c r="CL515" s="545" t="e">
        <v>#N/A</v>
      </c>
      <c r="CM515" s="545" t="e">
        <v>#N/A</v>
      </c>
      <c r="CN515" s="545" t="e">
        <v>#N/A</v>
      </c>
      <c r="CO515" s="545" t="e">
        <v>#N/A</v>
      </c>
      <c r="CP515" s="545">
        <v>6.9</v>
      </c>
      <c r="CQ515" s="545" t="e">
        <v>#N/A</v>
      </c>
      <c r="CR515" s="545" t="e">
        <v>#N/A</v>
      </c>
      <c r="CS515" s="545">
        <v>6.02</v>
      </c>
      <c r="CT515" s="545">
        <v>30.8</v>
      </c>
      <c r="CU515" s="545">
        <v>25.8</v>
      </c>
      <c r="CV515" s="545" t="e">
        <v>#N/A</v>
      </c>
      <c r="CW515" s="545">
        <v>4.9000000000000004</v>
      </c>
      <c r="CX515" s="545" t="e">
        <v>#N/A</v>
      </c>
      <c r="CY515" s="545" t="e">
        <v>#N/A</v>
      </c>
      <c r="CZ515" s="545">
        <v>3.7</v>
      </c>
    </row>
    <row r="516" spans="3:104">
      <c r="C516">
        <f t="shared" si="349"/>
        <v>20</v>
      </c>
      <c r="D516" t="str">
        <f t="shared" si="348"/>
        <v>Propulsion power requirement at 20 knots</v>
      </c>
      <c r="E516" t="s">
        <v>1348</v>
      </c>
      <c r="F516" s="535">
        <v>16</v>
      </c>
      <c r="G516" s="535">
        <v>33.9</v>
      </c>
      <c r="H516" s="535">
        <v>37.4</v>
      </c>
      <c r="I516" s="535" t="e">
        <v>#N/A</v>
      </c>
      <c r="J516" s="535" t="e">
        <v>#N/A</v>
      </c>
      <c r="K516" s="535" t="e">
        <v>#N/A</v>
      </c>
      <c r="L516" s="535" t="e">
        <v>#N/A</v>
      </c>
      <c r="M516" s="535" t="e">
        <v>#N/A</v>
      </c>
      <c r="N516" s="535" t="e">
        <v>#N/A</v>
      </c>
      <c r="O516" s="535">
        <v>8.1999999999999993</v>
      </c>
      <c r="P516" s="535" t="e">
        <v>#N/A</v>
      </c>
      <c r="Q516" s="535" t="e">
        <v>#N/A</v>
      </c>
      <c r="R516" s="535">
        <v>6.72</v>
      </c>
      <c r="S516" s="535">
        <v>36.200000000000003</v>
      </c>
      <c r="T516" s="535">
        <v>30.4</v>
      </c>
      <c r="U516" s="535" t="e">
        <v>#N/A</v>
      </c>
      <c r="V516" s="535">
        <v>5.8</v>
      </c>
      <c r="W516" s="535" t="e">
        <v>#N/A</v>
      </c>
      <c r="X516" s="535" t="e">
        <v>#N/A</v>
      </c>
      <c r="Y516" s="535">
        <v>4.0999999999999996</v>
      </c>
      <c r="CG516" s="545">
        <v>16</v>
      </c>
      <c r="CH516" s="545">
        <v>33.9</v>
      </c>
      <c r="CI516" s="545">
        <v>37.4</v>
      </c>
      <c r="CJ516" s="545" t="e">
        <v>#N/A</v>
      </c>
      <c r="CK516" s="545" t="e">
        <v>#N/A</v>
      </c>
      <c r="CL516" s="545" t="e">
        <v>#N/A</v>
      </c>
      <c r="CM516" s="545" t="e">
        <v>#N/A</v>
      </c>
      <c r="CN516" s="545" t="e">
        <v>#N/A</v>
      </c>
      <c r="CO516" s="545" t="e">
        <v>#N/A</v>
      </c>
      <c r="CP516" s="545">
        <v>8.1999999999999993</v>
      </c>
      <c r="CQ516" s="545" t="e">
        <v>#N/A</v>
      </c>
      <c r="CR516" s="545" t="e">
        <v>#N/A</v>
      </c>
      <c r="CS516" s="545">
        <v>6.72</v>
      </c>
      <c r="CT516" s="545">
        <v>36.200000000000003</v>
      </c>
      <c r="CU516" s="545">
        <v>30.4</v>
      </c>
      <c r="CV516" s="545" t="e">
        <v>#N/A</v>
      </c>
      <c r="CW516" s="545">
        <v>5.8</v>
      </c>
      <c r="CX516" s="545" t="e">
        <v>#N/A</v>
      </c>
      <c r="CY516" s="545" t="e">
        <v>#N/A</v>
      </c>
      <c r="CZ516" s="545">
        <v>4.0999999999999996</v>
      </c>
    </row>
    <row r="517" spans="3:104">
      <c r="C517">
        <f t="shared" si="349"/>
        <v>21</v>
      </c>
      <c r="D517" t="str">
        <f t="shared" si="348"/>
        <v>Propulsion power requirement at 21 knots</v>
      </c>
      <c r="E517" t="s">
        <v>1348</v>
      </c>
      <c r="F517" s="535">
        <v>17.2</v>
      </c>
      <c r="G517" s="535">
        <v>39.9</v>
      </c>
      <c r="H517" s="535">
        <v>43.4</v>
      </c>
      <c r="I517" s="535" t="e">
        <v>#N/A</v>
      </c>
      <c r="J517" s="535" t="e">
        <v>#N/A</v>
      </c>
      <c r="K517" s="535" t="e">
        <v>#N/A</v>
      </c>
      <c r="L517" s="535" t="e">
        <v>#N/A</v>
      </c>
      <c r="M517" s="535" t="e">
        <v>#N/A</v>
      </c>
      <c r="N517" s="535" t="e">
        <v>#N/A</v>
      </c>
      <c r="O517" s="535" t="e">
        <v>#N/A</v>
      </c>
      <c r="P517" s="535" t="e">
        <v>#N/A</v>
      </c>
      <c r="Q517" s="535" t="e">
        <v>#N/A</v>
      </c>
      <c r="R517" s="535" t="e">
        <v>#N/A</v>
      </c>
      <c r="S517" s="535" t="e">
        <v>#N/A</v>
      </c>
      <c r="T517" s="535" t="e">
        <v>#N/A</v>
      </c>
      <c r="U517" s="535" t="e">
        <v>#N/A</v>
      </c>
      <c r="V517" s="535" t="e">
        <v>#N/A</v>
      </c>
      <c r="W517" s="535" t="e">
        <v>#N/A</v>
      </c>
      <c r="X517" s="535" t="e">
        <v>#N/A</v>
      </c>
      <c r="Y517" s="535" t="e">
        <v>#N/A</v>
      </c>
      <c r="CG517" s="545">
        <v>17.2</v>
      </c>
      <c r="CH517" s="545">
        <v>39.9</v>
      </c>
      <c r="CI517" s="545">
        <v>43.4</v>
      </c>
      <c r="CJ517" s="545" t="e">
        <v>#N/A</v>
      </c>
      <c r="CK517" s="545" t="e">
        <v>#N/A</v>
      </c>
      <c r="CL517" s="545" t="e">
        <v>#N/A</v>
      </c>
      <c r="CM517" s="545" t="e">
        <v>#N/A</v>
      </c>
      <c r="CN517" s="545" t="e">
        <v>#N/A</v>
      </c>
      <c r="CO517" s="545" t="e">
        <v>#N/A</v>
      </c>
      <c r="CP517" s="545" t="e">
        <v>#N/A</v>
      </c>
      <c r="CQ517" s="545" t="e">
        <v>#N/A</v>
      </c>
      <c r="CR517" s="545" t="e">
        <v>#N/A</v>
      </c>
      <c r="CS517" s="545" t="e">
        <v>#N/A</v>
      </c>
      <c r="CT517" s="545" t="e">
        <v>#N/A</v>
      </c>
      <c r="CU517" s="545" t="e">
        <v>#N/A</v>
      </c>
      <c r="CV517" s="545" t="e">
        <v>#N/A</v>
      </c>
      <c r="CW517" s="545" t="e">
        <v>#N/A</v>
      </c>
      <c r="CX517" s="545" t="e">
        <v>#N/A</v>
      </c>
      <c r="CY517" s="545" t="e">
        <v>#N/A</v>
      </c>
      <c r="CZ517" s="545" t="e">
        <v>#N/A</v>
      </c>
    </row>
    <row r="518" spans="3:104">
      <c r="C518">
        <f t="shared" si="349"/>
        <v>22</v>
      </c>
      <c r="D518" t="str">
        <f t="shared" si="348"/>
        <v>Propulsion power requirement at 22 knots</v>
      </c>
      <c r="E518" t="s">
        <v>1348</v>
      </c>
      <c r="F518" s="535" t="e">
        <v>#N/A</v>
      </c>
      <c r="G518" s="535" t="e">
        <v>#N/A</v>
      </c>
      <c r="H518" s="535" t="e">
        <v>#N/A</v>
      </c>
      <c r="I518" s="535" t="e">
        <v>#N/A</v>
      </c>
      <c r="J518" s="535" t="e">
        <v>#N/A</v>
      </c>
      <c r="K518" s="535" t="e">
        <v>#N/A</v>
      </c>
      <c r="L518" s="535" t="e">
        <v>#N/A</v>
      </c>
      <c r="M518" s="535" t="e">
        <v>#N/A</v>
      </c>
      <c r="N518" s="535" t="e">
        <v>#N/A</v>
      </c>
      <c r="O518" s="535" t="e">
        <v>#N/A</v>
      </c>
      <c r="P518" s="535" t="e">
        <v>#N/A</v>
      </c>
      <c r="Q518" s="535" t="e">
        <v>#N/A</v>
      </c>
      <c r="R518" s="535" t="e">
        <v>#N/A</v>
      </c>
      <c r="S518" s="535" t="e">
        <v>#N/A</v>
      </c>
      <c r="T518" s="535" t="e">
        <v>#N/A</v>
      </c>
      <c r="U518" s="535" t="e">
        <v>#N/A</v>
      </c>
      <c r="V518" s="535" t="e">
        <v>#N/A</v>
      </c>
      <c r="W518" s="535" t="e">
        <v>#N/A</v>
      </c>
      <c r="X518" s="535">
        <v>10.8</v>
      </c>
      <c r="Y518" s="535" t="e">
        <v>#N/A</v>
      </c>
      <c r="CG518" s="545" t="e">
        <v>#N/A</v>
      </c>
      <c r="CH518" s="545" t="e">
        <v>#N/A</v>
      </c>
      <c r="CI518" s="545" t="e">
        <v>#N/A</v>
      </c>
      <c r="CJ518" s="545" t="e">
        <v>#N/A</v>
      </c>
      <c r="CK518" s="545" t="e">
        <v>#N/A</v>
      </c>
      <c r="CL518" s="545" t="e">
        <v>#N/A</v>
      </c>
      <c r="CM518" s="545" t="e">
        <v>#N/A</v>
      </c>
      <c r="CN518" s="545" t="e">
        <v>#N/A</v>
      </c>
      <c r="CO518" s="545" t="e">
        <v>#N/A</v>
      </c>
      <c r="CP518" s="545" t="e">
        <v>#N/A</v>
      </c>
      <c r="CQ518" s="545" t="e">
        <v>#N/A</v>
      </c>
      <c r="CR518" s="545" t="e">
        <v>#N/A</v>
      </c>
      <c r="CS518" s="545" t="e">
        <v>#N/A</v>
      </c>
      <c r="CT518" s="545" t="e">
        <v>#N/A</v>
      </c>
      <c r="CU518" s="545" t="e">
        <v>#N/A</v>
      </c>
      <c r="CV518" s="545" t="e">
        <v>#N/A</v>
      </c>
      <c r="CW518" s="545" t="e">
        <v>#N/A</v>
      </c>
      <c r="CX518" s="545" t="e">
        <v>#N/A</v>
      </c>
      <c r="CY518" s="545">
        <v>10.8</v>
      </c>
      <c r="CZ518" s="545" t="e">
        <v>#N/A</v>
      </c>
    </row>
    <row r="519" spans="3:104">
      <c r="C519">
        <f t="shared" si="349"/>
        <v>23</v>
      </c>
      <c r="D519" t="str">
        <f t="shared" si="348"/>
        <v>Propulsion power requirement at 23 knots</v>
      </c>
      <c r="E519" t="s">
        <v>1348</v>
      </c>
      <c r="F519" s="535" t="e">
        <v>#N/A</v>
      </c>
      <c r="G519" s="535" t="e">
        <v>#N/A</v>
      </c>
      <c r="H519" s="535" t="e">
        <v>#N/A</v>
      </c>
      <c r="I519" s="535" t="e">
        <v>#N/A</v>
      </c>
      <c r="J519" s="535" t="e">
        <v>#N/A</v>
      </c>
      <c r="K519" s="535" t="e">
        <v>#N/A</v>
      </c>
      <c r="L519" s="535" t="e">
        <v>#N/A</v>
      </c>
      <c r="M519" s="535" t="e">
        <v>#N/A</v>
      </c>
      <c r="N519" s="535" t="e">
        <v>#N/A</v>
      </c>
      <c r="O519" s="535" t="e">
        <v>#N/A</v>
      </c>
      <c r="P519" s="535" t="e">
        <v>#N/A</v>
      </c>
      <c r="Q519" s="535" t="e">
        <v>#N/A</v>
      </c>
      <c r="R519" s="535" t="e">
        <v>#N/A</v>
      </c>
      <c r="S519" s="535" t="e">
        <v>#N/A</v>
      </c>
      <c r="T519" s="535" t="e">
        <v>#N/A</v>
      </c>
      <c r="U519" s="535" t="e">
        <v>#N/A</v>
      </c>
      <c r="V519" s="535" t="e">
        <v>#N/A</v>
      </c>
      <c r="W519" s="535" t="e">
        <v>#N/A</v>
      </c>
      <c r="X519" s="535" t="e">
        <v>#N/A</v>
      </c>
      <c r="Y519" s="535" t="e">
        <v>#N/A</v>
      </c>
      <c r="CG519" s="545" t="e">
        <v>#N/A</v>
      </c>
      <c r="CH519" s="545" t="e">
        <v>#N/A</v>
      </c>
      <c r="CI519" s="545" t="e">
        <v>#N/A</v>
      </c>
      <c r="CJ519" s="545" t="e">
        <v>#N/A</v>
      </c>
      <c r="CK519" s="545" t="e">
        <v>#N/A</v>
      </c>
      <c r="CL519" s="545" t="e">
        <v>#N/A</v>
      </c>
      <c r="CM519" s="545" t="e">
        <v>#N/A</v>
      </c>
      <c r="CN519" s="545" t="e">
        <v>#N/A</v>
      </c>
      <c r="CO519" s="545" t="e">
        <v>#N/A</v>
      </c>
      <c r="CP519" s="545" t="e">
        <v>#N/A</v>
      </c>
      <c r="CQ519" s="545" t="e">
        <v>#N/A</v>
      </c>
      <c r="CR519" s="545" t="e">
        <v>#N/A</v>
      </c>
      <c r="CS519" s="545" t="e">
        <v>#N/A</v>
      </c>
      <c r="CT519" s="545" t="e">
        <v>#N/A</v>
      </c>
      <c r="CU519" s="545" t="e">
        <v>#N/A</v>
      </c>
      <c r="CV519" s="545" t="e">
        <v>#N/A</v>
      </c>
      <c r="CW519" s="545" t="e">
        <v>#N/A</v>
      </c>
      <c r="CX519" s="545" t="e">
        <v>#N/A</v>
      </c>
      <c r="CY519" s="545" t="e">
        <v>#N/A</v>
      </c>
      <c r="CZ519" s="545" t="e">
        <v>#N/A</v>
      </c>
    </row>
    <row r="520" spans="3:104">
      <c r="C520">
        <v>32</v>
      </c>
      <c r="D520" t="str">
        <f t="shared" si="348"/>
        <v>Propulsion power requirement at 32 knots</v>
      </c>
      <c r="E520" t="s">
        <v>1348</v>
      </c>
      <c r="F520" s="535" t="e">
        <v>#N/A</v>
      </c>
      <c r="G520" s="535" t="e">
        <v>#N/A</v>
      </c>
      <c r="H520" s="535" t="e">
        <v>#N/A</v>
      </c>
      <c r="I520" s="535" t="e">
        <v>#N/A</v>
      </c>
      <c r="J520" s="535" t="e">
        <v>#N/A</v>
      </c>
      <c r="K520" s="535" t="e">
        <v>#N/A</v>
      </c>
      <c r="L520" s="535" t="e">
        <v>#N/A</v>
      </c>
      <c r="M520" s="535" t="e">
        <v>#N/A</v>
      </c>
      <c r="N520" s="535" t="e">
        <v>#N/A</v>
      </c>
      <c r="O520" s="535" t="e">
        <v>#N/A</v>
      </c>
      <c r="P520" s="535" t="e">
        <v>#N/A</v>
      </c>
      <c r="Q520" s="535" t="e">
        <v>#N/A</v>
      </c>
      <c r="R520" s="535" t="e">
        <v>#N/A</v>
      </c>
      <c r="S520" s="535" t="e">
        <v>#N/A</v>
      </c>
      <c r="T520" s="535" t="e">
        <v>#N/A</v>
      </c>
      <c r="U520" s="535" t="e">
        <v>#N/A</v>
      </c>
      <c r="V520" s="535" t="e">
        <v>#N/A</v>
      </c>
      <c r="W520" s="535" t="e">
        <v>#N/A</v>
      </c>
      <c r="X520" s="535">
        <v>27</v>
      </c>
      <c r="Y520" s="535" t="e">
        <v>#N/A</v>
      </c>
      <c r="CG520" s="545" t="e">
        <v>#N/A</v>
      </c>
      <c r="CH520" s="545" t="e">
        <v>#N/A</v>
      </c>
      <c r="CI520" s="545" t="e">
        <v>#N/A</v>
      </c>
      <c r="CJ520" s="545" t="e">
        <v>#N/A</v>
      </c>
      <c r="CK520" s="545" t="e">
        <v>#N/A</v>
      </c>
      <c r="CL520" s="545" t="e">
        <v>#N/A</v>
      </c>
      <c r="CM520" s="545" t="e">
        <v>#N/A</v>
      </c>
      <c r="CN520" s="545" t="e">
        <v>#N/A</v>
      </c>
      <c r="CO520" s="545" t="e">
        <v>#N/A</v>
      </c>
      <c r="CP520" s="545" t="e">
        <v>#N/A</v>
      </c>
      <c r="CQ520" s="545" t="e">
        <v>#N/A</v>
      </c>
      <c r="CR520" s="545" t="e">
        <v>#N/A</v>
      </c>
      <c r="CS520" s="545" t="e">
        <v>#N/A</v>
      </c>
      <c r="CT520" s="545" t="e">
        <v>#N/A</v>
      </c>
      <c r="CU520" s="545" t="e">
        <v>#N/A</v>
      </c>
      <c r="CV520" s="545" t="e">
        <v>#N/A</v>
      </c>
      <c r="CW520" s="545" t="e">
        <v>#N/A</v>
      </c>
      <c r="CX520" s="545" t="e">
        <v>#N/A</v>
      </c>
      <c r="CY520" s="545">
        <v>27</v>
      </c>
      <c r="CZ520" s="545" t="e">
        <v>#N/A</v>
      </c>
    </row>
    <row r="521" spans="3:104">
      <c r="C521">
        <v>34</v>
      </c>
      <c r="D521" t="str">
        <f t="shared" si="348"/>
        <v>Propulsion power requirement at 34 knots</v>
      </c>
      <c r="E521" t="s">
        <v>1348</v>
      </c>
      <c r="F521" s="535" t="e">
        <v>#N/A</v>
      </c>
      <c r="G521" s="535" t="e">
        <v>#N/A</v>
      </c>
      <c r="H521" s="535" t="e">
        <v>#N/A</v>
      </c>
      <c r="I521" s="535" t="e">
        <v>#N/A</v>
      </c>
      <c r="J521" s="535" t="e">
        <v>#N/A</v>
      </c>
      <c r="K521" s="535" t="e">
        <v>#N/A</v>
      </c>
      <c r="L521" s="535" t="e">
        <v>#N/A</v>
      </c>
      <c r="M521" s="535" t="e">
        <v>#N/A</v>
      </c>
      <c r="N521" s="535" t="e">
        <v>#N/A</v>
      </c>
      <c r="O521" s="535" t="e">
        <v>#N/A</v>
      </c>
      <c r="P521" s="535" t="e">
        <v>#N/A</v>
      </c>
      <c r="Q521" s="535" t="e">
        <v>#N/A</v>
      </c>
      <c r="R521" s="535" t="e">
        <v>#N/A</v>
      </c>
      <c r="S521" s="535" t="e">
        <v>#N/A</v>
      </c>
      <c r="T521" s="535" t="e">
        <v>#N/A</v>
      </c>
      <c r="U521" s="535" t="e">
        <v>#N/A</v>
      </c>
      <c r="V521" s="535" t="e">
        <v>#N/A</v>
      </c>
      <c r="W521" s="535" t="e">
        <v>#N/A</v>
      </c>
      <c r="X521" s="535">
        <v>32.4</v>
      </c>
      <c r="Y521" s="535" t="e">
        <v>#N/A</v>
      </c>
      <c r="CG521" s="545" t="e">
        <v>#N/A</v>
      </c>
      <c r="CH521" s="545" t="e">
        <v>#N/A</v>
      </c>
      <c r="CI521" s="545" t="e">
        <v>#N/A</v>
      </c>
      <c r="CJ521" s="545" t="e">
        <v>#N/A</v>
      </c>
      <c r="CK521" s="545" t="e">
        <v>#N/A</v>
      </c>
      <c r="CL521" s="545" t="e">
        <v>#N/A</v>
      </c>
      <c r="CM521" s="545" t="e">
        <v>#N/A</v>
      </c>
      <c r="CN521" s="545" t="e">
        <v>#N/A</v>
      </c>
      <c r="CO521" s="545" t="e">
        <v>#N/A</v>
      </c>
      <c r="CP521" s="545" t="e">
        <v>#N/A</v>
      </c>
      <c r="CQ521" s="545" t="e">
        <v>#N/A</v>
      </c>
      <c r="CR521" s="545" t="e">
        <v>#N/A</v>
      </c>
      <c r="CS521" s="545" t="e">
        <v>#N/A</v>
      </c>
      <c r="CT521" s="545" t="e">
        <v>#N/A</v>
      </c>
      <c r="CU521" s="545" t="e">
        <v>#N/A</v>
      </c>
      <c r="CV521" s="545" t="e">
        <v>#N/A</v>
      </c>
      <c r="CW521" s="545" t="e">
        <v>#N/A</v>
      </c>
      <c r="CX521" s="545" t="e">
        <v>#N/A</v>
      </c>
      <c r="CY521" s="545">
        <v>32.4</v>
      </c>
      <c r="CZ521" s="545" t="e">
        <v>#N/A</v>
      </c>
    </row>
    <row r="522" spans="3:104">
      <c r="D522" t="s">
        <v>1349</v>
      </c>
      <c r="E522" t="s">
        <v>1348</v>
      </c>
      <c r="F522" s="532" cm="1">
        <f t="array" ref="F522">INDEX($C$505:$C$521,MATCH(MIN(IF(ISNUMBER(F$505:F$521), F$505:F$521)),F$505:F$521,0))</f>
        <v>10</v>
      </c>
      <c r="G522" s="532" cm="1">
        <f t="array" ref="G522">INDEX($C$505:$C$521,MATCH(MIN(IF(ISNUMBER(G$505:G$521), G$505:G$521)),G$505:G$521,0))</f>
        <v>10</v>
      </c>
      <c r="H522" s="532" cm="1">
        <f t="array" ref="H522">INDEX($C$505:$C$521,MATCH(MIN(IF(ISNUMBER(H$505:H$521), H$505:H$521)),H$505:H$521,0))</f>
        <v>10</v>
      </c>
      <c r="I522" s="532" cm="1">
        <f t="array" ref="I522">INDEX($C$505:$C$521,MATCH(MIN(IF(ISNUMBER(I$505:I$521), I$505:I$521)),I$505:I$521,0))</f>
        <v>9</v>
      </c>
      <c r="J522" s="532" cm="1">
        <f t="array" ref="J522">INDEX($C$505:$C$521,MATCH(MIN(IF(ISNUMBER(J$505:J$521), J$505:J$521)),J$505:J$521,0))</f>
        <v>9</v>
      </c>
      <c r="K522" s="532" cm="1">
        <f t="array" ref="K522">INDEX($C$505:$C$521,MATCH(MIN(IF(ISNUMBER(K$505:K$521), K$505:K$521)),K$505:K$521,0))</f>
        <v>9</v>
      </c>
      <c r="L522" s="532" cm="1">
        <f t="array" ref="L522">INDEX($C$505:$C$521,MATCH(MIN(IF(ISNUMBER(L$505:L$521), L$505:L$521)),L$505:L$521,0))</f>
        <v>9</v>
      </c>
      <c r="M522" s="532" cm="1">
        <f t="array" ref="M522">INDEX($C$505:$C$521,MATCH(MIN(IF(ISNUMBER(M$505:M$521), M$505:M$521)),M$505:M$521,0))</f>
        <v>9</v>
      </c>
      <c r="N522" s="532" cm="1">
        <f t="array" ref="N522">INDEX($C$505:$C$521,MATCH(MIN(IF(ISNUMBER(N$505:N$521), N$505:N$521)),N$505:N$521,0))</f>
        <v>9</v>
      </c>
      <c r="O522" s="532" cm="1">
        <f t="array" ref="O522">INDEX($C$505:$C$521,MATCH(MIN(IF(ISNUMBER(O$505:O$521), O$505:O$521)),O$505:O$521,0))</f>
        <v>10</v>
      </c>
      <c r="P522" s="532" cm="1">
        <f t="array" ref="P522">INDEX($C$505:$C$521,MATCH(MIN(IF(ISNUMBER(P$505:P$521), P$505:P$521)),P$505:P$521,0))</f>
        <v>10</v>
      </c>
      <c r="Q522" s="532" cm="1">
        <f t="array" ref="Q522">INDEX($C$505:$C$521,MATCH(MIN(IF(ISNUMBER(Q$505:Q$521), Q$505:Q$521)),Q$505:Q$521,0))</f>
        <v>10</v>
      </c>
      <c r="R522" s="532" cm="1">
        <f t="array" ref="R522">INDEX($C$505:$C$521,MATCH(MIN(IF(ISNUMBER(R$505:R$521), R$505:R$521)),R$505:R$521,0))</f>
        <v>9</v>
      </c>
      <c r="S522" s="532" cm="1">
        <f t="array" ref="S522">INDEX($C$505:$C$521,MATCH(MIN(IF(ISNUMBER(S$505:S$521), S$505:S$521)),S$505:S$521,0))</f>
        <v>9</v>
      </c>
      <c r="T522" s="532" cm="1">
        <f t="array" ref="T522">INDEX($C$505:$C$521,MATCH(MIN(IF(ISNUMBER(T$505:T$521), T$505:T$521)),T$505:T$521,0))</f>
        <v>9</v>
      </c>
      <c r="U522" s="532" cm="1">
        <f t="array" ref="U522">INDEX($C$505:$C$521,MATCH(MIN(IF(ISNUMBER(U$505:U$521), U$505:U$521)),U$505:U$521,0))</f>
        <v>9</v>
      </c>
      <c r="V522" s="532" cm="1">
        <f t="array" ref="V522">INDEX($C$505:$C$521,MATCH(MIN(IF(ISNUMBER(V$505:V$521), V$505:V$521)),V$505:V$521,0))</f>
        <v>10</v>
      </c>
      <c r="W522" s="532" cm="1">
        <f t="array" ref="W522">INDEX($C$505:$C$521,MATCH(MIN(IF(ISNUMBER(W$505:W$521), W$505:W$521)),W$505:W$521,0))</f>
        <v>10</v>
      </c>
      <c r="X522" s="532" cm="1">
        <f t="array" ref="X522">INDEX($C$505:$C$521,MATCH(MIN(IF(ISNUMBER(X$505:X$521), X$505:X$521)),X$505:X$521,0))</f>
        <v>10</v>
      </c>
      <c r="Y522" s="532" cm="1">
        <f t="array" ref="Y522">INDEX($C$505:$C$521,MATCH(MIN(IF(ISNUMBER(Y$505:Y$521), Y$505:Y$521)),Y$505:Y$521,0))</f>
        <v>10</v>
      </c>
      <c r="CG522" s="545"/>
      <c r="CH522" s="545"/>
      <c r="CI522" s="545"/>
      <c r="CJ522" s="545"/>
      <c r="CK522" s="545"/>
      <c r="CL522" s="545"/>
      <c r="CM522" s="545"/>
      <c r="CN522" s="545"/>
      <c r="CO522" s="545"/>
      <c r="CP522" s="545"/>
      <c r="CQ522" s="545"/>
      <c r="CR522" s="545"/>
      <c r="CS522" s="545"/>
      <c r="CT522" s="545"/>
      <c r="CU522" s="545"/>
      <c r="CV522" s="545"/>
      <c r="CW522" s="545"/>
      <c r="CX522" s="545"/>
      <c r="CY522" s="545"/>
      <c r="CZ522" s="545"/>
    </row>
    <row r="523" spans="3:104">
      <c r="D523" t="s">
        <v>1350</v>
      </c>
      <c r="E523" t="s">
        <v>1348</v>
      </c>
      <c r="F523" s="532" cm="1">
        <f t="array" ref="F523">INDEX($C$505:$C$521,MATCH(MAX(IF(ISNUMBER(F$505:F$521), F$505:F$521)),F$505:F$521,0))</f>
        <v>21</v>
      </c>
      <c r="G523" s="532" cm="1">
        <f t="array" ref="G523">INDEX($C$505:$C$521,MATCH(MAX(IF(ISNUMBER(G$505:G$521), G$505:G$521)),G$505:G$521,0))</f>
        <v>21</v>
      </c>
      <c r="H523" s="532" cm="1">
        <f t="array" ref="H523">INDEX($C$505:$C$521,MATCH(MAX(IF(ISNUMBER(H$505:H$521), H$505:H$521)),H$505:H$521,0))</f>
        <v>21</v>
      </c>
      <c r="I523" s="532" cm="1">
        <f t="array" ref="I523">INDEX($C$505:$C$521,MATCH(MAX(IF(ISNUMBER(I$505:I$521), I$505:I$521)),I$505:I$521,0))</f>
        <v>14</v>
      </c>
      <c r="J523" s="532" cm="1">
        <f t="array" ref="J523">INDEX($C$505:$C$521,MATCH(MAX(IF(ISNUMBER(J$505:J$521), J$505:J$521)),J$505:J$521,0))</f>
        <v>14</v>
      </c>
      <c r="K523" s="532" cm="1">
        <f t="array" ref="K523">INDEX($C$505:$C$521,MATCH(MAX(IF(ISNUMBER(K$505:K$521), K$505:K$521)),K$505:K$521,0))</f>
        <v>15</v>
      </c>
      <c r="L523" s="532" cm="1">
        <f t="array" ref="L523">INDEX($C$505:$C$521,MATCH(MAX(IF(ISNUMBER(L$505:L$521), L$505:L$521)),L$505:L$521,0))</f>
        <v>16</v>
      </c>
      <c r="M523" s="532" cm="1">
        <f t="array" ref="M523">INDEX($C$505:$C$521,MATCH(MAX(IF(ISNUMBER(M$505:M$521), M$505:M$521)),M$505:M$521,0))</f>
        <v>15</v>
      </c>
      <c r="N523" s="532" cm="1">
        <f t="array" ref="N523">INDEX($C$505:$C$521,MATCH(MAX(IF(ISNUMBER(N$505:N$521), N$505:N$521)),N$505:N$521,0))</f>
        <v>15</v>
      </c>
      <c r="O523" s="532" cm="1">
        <f t="array" ref="O523">INDEX($C$505:$C$521,MATCH(MAX(IF(ISNUMBER(O$505:O$521), O$505:O$521)),O$505:O$521,0))</f>
        <v>20</v>
      </c>
      <c r="P523" s="532" cm="1">
        <f t="array" ref="P523">INDEX($C$505:$C$521,MATCH(MAX(IF(ISNUMBER(P$505:P$521), P$505:P$521)),P$505:P$521,0))</f>
        <v>17</v>
      </c>
      <c r="Q523" s="532" cm="1">
        <f t="array" ref="Q523">INDEX($C$505:$C$521,MATCH(MAX(IF(ISNUMBER(Q$505:Q$521), Q$505:Q$521)),Q$505:Q$521,0))</f>
        <v>18</v>
      </c>
      <c r="R523" s="532" cm="1">
        <f t="array" ref="R523">INDEX($C$505:$C$521,MATCH(MAX(IF(ISNUMBER(R$505:R$521), R$505:R$521)),R$505:R$521,0))</f>
        <v>20</v>
      </c>
      <c r="S523" s="532" cm="1">
        <f t="array" ref="S523">INDEX($C$505:$C$521,MATCH(MAX(IF(ISNUMBER(S$505:S$521), S$505:S$521)),S$505:S$521,0))</f>
        <v>20</v>
      </c>
      <c r="T523" s="532" cm="1">
        <f t="array" ref="T523">INDEX($C$505:$C$521,MATCH(MAX(IF(ISNUMBER(T$505:T$521), T$505:T$521)),T$505:T$521,0))</f>
        <v>20</v>
      </c>
      <c r="U523" s="532" cm="1">
        <f t="array" ref="U523">INDEX($C$505:$C$521,MATCH(MAX(IF(ISNUMBER(U$505:U$521), U$505:U$521)),U$505:U$521,0))</f>
        <v>14</v>
      </c>
      <c r="V523" s="532" cm="1">
        <f t="array" ref="V523">INDEX($C$505:$C$521,MATCH(MAX(IF(ISNUMBER(V$505:V$521), V$505:V$521)),V$505:V$521,0))</f>
        <v>20</v>
      </c>
      <c r="W523" s="532" cm="1">
        <f t="array" ref="W523">INDEX($C$505:$C$521,MATCH(MAX(IF(ISNUMBER(W$505:W$521), W$505:W$521)),W$505:W$521,0))</f>
        <v>14</v>
      </c>
      <c r="X523" s="532" cm="1">
        <f t="array" ref="X523">INDEX($C$505:$C$521,MATCH(MAX(IF(ISNUMBER(X$505:X$521), X$505:X$521)),X$505:X$521,0))</f>
        <v>34</v>
      </c>
      <c r="Y523" s="532" cm="1">
        <f t="array" ref="Y523">INDEX($C$505:$C$521,MATCH(MAX(IF(ISNUMBER(Y$505:Y$521), Y$505:Y$521)),Y$505:Y$521,0))</f>
        <v>20</v>
      </c>
    </row>
  </sheetData>
  <conditionalFormatting sqref="F505:Y521">
    <cfRule type="expression" dxfId="48" priority="32">
      <formula>_xlfn.IFNA(F505&lt;&gt;CG505, ISNA(F505)&lt;&gt;ISNA(CG505))</formula>
    </cfRule>
  </conditionalFormatting>
  <conditionalFormatting sqref="F4:AG26 F54:AG76">
    <cfRule type="expression" dxfId="47" priority="37">
      <formula>F4&lt;&gt;CG4</formula>
    </cfRule>
  </conditionalFormatting>
  <conditionalFormatting sqref="F79:AG101">
    <cfRule type="expression" dxfId="46" priority="36">
      <formula>F79&lt;&gt;CG79</formula>
    </cfRule>
  </conditionalFormatting>
  <conditionalFormatting sqref="F129:AG151">
    <cfRule type="expression" dxfId="45" priority="35">
      <formula>F129&lt;&gt;CG129</formula>
    </cfRule>
  </conditionalFormatting>
  <conditionalFormatting sqref="F154:AG176">
    <cfRule type="expression" dxfId="44" priority="34">
      <formula>F154&lt;&gt;CG154</formula>
    </cfRule>
  </conditionalFormatting>
  <conditionalFormatting sqref="F204:AG226">
    <cfRule type="expression" dxfId="43" priority="33">
      <formula>F204&lt;&gt;CG204</formula>
    </cfRule>
  </conditionalFormatting>
  <conditionalFormatting sqref="F229:AG251">
    <cfRule type="expression" dxfId="42" priority="31">
      <formula>F229&lt;&gt;CG229</formula>
    </cfRule>
  </conditionalFormatting>
  <conditionalFormatting sqref="F254:AG276">
    <cfRule type="expression" dxfId="41" priority="30">
      <formula>F254&lt;&gt;CG254</formula>
    </cfRule>
  </conditionalFormatting>
  <conditionalFormatting sqref="F279:AG301">
    <cfRule type="expression" dxfId="40" priority="29">
      <formula>F279&lt;&gt;CG279</formula>
    </cfRule>
  </conditionalFormatting>
  <conditionalFormatting sqref="F304:AG326">
    <cfRule type="expression" dxfId="39" priority="28">
      <formula>F304&lt;&gt;CG304</formula>
    </cfRule>
  </conditionalFormatting>
  <conditionalFormatting sqref="F329:AG351">
    <cfRule type="expression" dxfId="38" priority="23">
      <formula>F329&lt;&gt;CG329</formula>
    </cfRule>
  </conditionalFormatting>
  <conditionalFormatting sqref="F354:AG376">
    <cfRule type="expression" dxfId="37" priority="27">
      <formula>F354&lt;&gt;CG354</formula>
    </cfRule>
  </conditionalFormatting>
  <conditionalFormatting sqref="F379:AG401">
    <cfRule type="expression" dxfId="36" priority="26">
      <formula>F379&lt;&gt;CG379</formula>
    </cfRule>
  </conditionalFormatting>
  <conditionalFormatting sqref="F404:AG426">
    <cfRule type="expression" dxfId="35" priority="22">
      <formula>F404&lt;&gt;CG404</formula>
    </cfRule>
  </conditionalFormatting>
  <conditionalFormatting sqref="F429:AG451">
    <cfRule type="expression" dxfId="34" priority="25">
      <formula>F429&lt;&gt;CG429</formula>
    </cfRule>
  </conditionalFormatting>
  <conditionalFormatting sqref="F454:AG476">
    <cfRule type="expression" dxfId="33" priority="24">
      <formula>F454&lt;&gt;CG454</formula>
    </cfRule>
  </conditionalFormatting>
  <conditionalFormatting sqref="F479:AG501">
    <cfRule type="expression" dxfId="32" priority="21">
      <formula>F479&lt;&gt;CG479</formula>
    </cfRule>
  </conditionalFormatting>
  <conditionalFormatting sqref="AH4:CE26">
    <cfRule type="expression" dxfId="31" priority="20">
      <formula>AH4&lt;&gt;CZ4</formula>
    </cfRule>
  </conditionalFormatting>
  <conditionalFormatting sqref="AH29:CE51">
    <cfRule type="expression" dxfId="30" priority="19">
      <formula>AH29&lt;&gt;CZ29</formula>
    </cfRule>
  </conditionalFormatting>
  <conditionalFormatting sqref="AH54:CE76">
    <cfRule type="expression" dxfId="29" priority="18">
      <formula>AH54&lt;&gt;CZ54</formula>
    </cfRule>
  </conditionalFormatting>
  <conditionalFormatting sqref="AH79:CE101">
    <cfRule type="expression" dxfId="28" priority="17">
      <formula>AH79&lt;&gt;CZ79</formula>
    </cfRule>
  </conditionalFormatting>
  <conditionalFormatting sqref="AH104:CE126">
    <cfRule type="expression" dxfId="27" priority="16">
      <formula>AH104&lt;&gt;CZ104</formula>
    </cfRule>
  </conditionalFormatting>
  <conditionalFormatting sqref="AH129:CE151">
    <cfRule type="expression" dxfId="26" priority="15">
      <formula>AH129&lt;&gt;CZ129</formula>
    </cfRule>
  </conditionalFormatting>
  <conditionalFormatting sqref="AH154:CE176">
    <cfRule type="expression" dxfId="25" priority="14">
      <formula>AH154&lt;&gt;CZ154</formula>
    </cfRule>
  </conditionalFormatting>
  <conditionalFormatting sqref="AH179:CE201">
    <cfRule type="expression" dxfId="24" priority="13">
      <formula>AH179&lt;&gt;CZ179</formula>
    </cfRule>
  </conditionalFormatting>
  <conditionalFormatting sqref="AH204:CE226">
    <cfRule type="expression" dxfId="23" priority="12">
      <formula>AH204&lt;&gt;CZ204</formula>
    </cfRule>
  </conditionalFormatting>
  <conditionalFormatting sqref="AH229:CE251">
    <cfRule type="expression" dxfId="22" priority="11">
      <formula>AH229&lt;&gt;CZ229</formula>
    </cfRule>
  </conditionalFormatting>
  <conditionalFormatting sqref="AH254:CE276">
    <cfRule type="expression" dxfId="21" priority="10">
      <formula>AH254&lt;&gt;CZ254</formula>
    </cfRule>
  </conditionalFormatting>
  <conditionalFormatting sqref="AH279:CE301">
    <cfRule type="expression" dxfId="20" priority="9">
      <formula>AH279&lt;&gt;CZ279</formula>
    </cfRule>
  </conditionalFormatting>
  <conditionalFormatting sqref="AH304:CE326">
    <cfRule type="expression" dxfId="19" priority="8">
      <formula>AH304&lt;&gt;CZ304</formula>
    </cfRule>
  </conditionalFormatting>
  <conditionalFormatting sqref="AH329:CE351">
    <cfRule type="expression" dxfId="18" priority="7">
      <formula>AH329&lt;&gt;CZ329</formula>
    </cfRule>
  </conditionalFormatting>
  <conditionalFormatting sqref="AH354:CE376">
    <cfRule type="expression" dxfId="17" priority="6">
      <formula>AH354&lt;&gt;CZ354</formula>
    </cfRule>
  </conditionalFormatting>
  <conditionalFormatting sqref="AH379:CE401">
    <cfRule type="expression" dxfId="16" priority="5">
      <formula>AH379&lt;&gt;CZ379</formula>
    </cfRule>
  </conditionalFormatting>
  <conditionalFormatting sqref="AH404:CE426">
    <cfRule type="expression" dxfId="15" priority="4">
      <formula>AH404&lt;&gt;CZ404</formula>
    </cfRule>
  </conditionalFormatting>
  <conditionalFormatting sqref="AH429:CE451">
    <cfRule type="expression" dxfId="14" priority="3">
      <formula>AH429&lt;&gt;CZ429</formula>
    </cfRule>
  </conditionalFormatting>
  <conditionalFormatting sqref="AH454:CE476">
    <cfRule type="expression" dxfId="13" priority="2">
      <formula>AH454&lt;&gt;CZ454</formula>
    </cfRule>
  </conditionalFormatting>
  <conditionalFormatting sqref="AH479:CE501">
    <cfRule type="expression" dxfId="12" priority="1">
      <formula>AH479&lt;&gt;CZ479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F4266-5259-4131-AAB9-14A8F3ADF0D1}">
  <sheetPr codeName="Sheet51">
    <tabColor theme="0" tint="-0.249977111117893"/>
  </sheetPr>
  <dimension ref="B3:CH147"/>
  <sheetViews>
    <sheetView showGridLines="0" zoomScale="50" zoomScaleNormal="96" workbookViewId="0"/>
  </sheetViews>
  <sheetFormatPr defaultRowHeight="14.25"/>
  <cols>
    <col min="2" max="2" width="21.75" customWidth="1"/>
    <col min="3" max="3" width="63.5" customWidth="1"/>
    <col min="4" max="4" width="14.5" customWidth="1"/>
    <col min="5" max="5" width="14.75" customWidth="1"/>
    <col min="6" max="6" width="28.375" customWidth="1"/>
    <col min="9" max="9" width="16.125" bestFit="1" customWidth="1"/>
    <col min="85" max="85" width="9.25" customWidth="1"/>
  </cols>
  <sheetData>
    <row r="3" spans="2:84" ht="15">
      <c r="B3" s="485"/>
      <c r="C3" s="485" t="s">
        <v>877</v>
      </c>
      <c r="D3" s="485" t="s">
        <v>171</v>
      </c>
      <c r="E3" s="485" t="s">
        <v>111</v>
      </c>
      <c r="F3" s="485" t="s">
        <v>1351</v>
      </c>
      <c r="G3" s="486">
        <v>2023</v>
      </c>
      <c r="H3" s="486">
        <v>2024</v>
      </c>
      <c r="I3" s="486">
        <v>2025</v>
      </c>
      <c r="J3" s="486">
        <v>2026</v>
      </c>
      <c r="K3" s="486">
        <v>2027</v>
      </c>
      <c r="L3" s="486">
        <v>2028</v>
      </c>
      <c r="M3" s="486">
        <v>2029</v>
      </c>
      <c r="N3" s="486">
        <v>2030</v>
      </c>
      <c r="O3" s="486">
        <v>2031</v>
      </c>
      <c r="P3" s="486">
        <v>2032</v>
      </c>
      <c r="Q3" s="486">
        <v>2033</v>
      </c>
      <c r="R3" s="486">
        <v>2034</v>
      </c>
      <c r="S3" s="486">
        <v>2035</v>
      </c>
      <c r="T3" s="486">
        <v>2036</v>
      </c>
      <c r="U3" s="486">
        <v>2037</v>
      </c>
      <c r="V3" s="486">
        <v>2038</v>
      </c>
      <c r="W3" s="486">
        <v>2039</v>
      </c>
      <c r="X3" s="486">
        <v>2040</v>
      </c>
      <c r="Y3" s="486">
        <v>2041</v>
      </c>
      <c r="Z3" s="486">
        <v>2042</v>
      </c>
      <c r="AA3" s="486">
        <v>2043</v>
      </c>
      <c r="AB3" s="486">
        <v>2044</v>
      </c>
      <c r="AC3" s="486">
        <v>2045</v>
      </c>
      <c r="AD3" s="486">
        <v>2046</v>
      </c>
      <c r="AE3" s="486">
        <v>2047</v>
      </c>
      <c r="AF3" s="486">
        <v>2048</v>
      </c>
      <c r="AG3" s="486">
        <v>2049</v>
      </c>
      <c r="AH3" s="486">
        <v>2050</v>
      </c>
      <c r="AI3" s="524">
        <f>AH3+1</f>
        <v>2051</v>
      </c>
      <c r="AJ3" s="524">
        <f t="shared" ref="AJ3:CF3" si="0">AI3+1</f>
        <v>2052</v>
      </c>
      <c r="AK3" s="524">
        <f t="shared" si="0"/>
        <v>2053</v>
      </c>
      <c r="AL3" s="524">
        <f t="shared" si="0"/>
        <v>2054</v>
      </c>
      <c r="AM3" s="524">
        <f t="shared" si="0"/>
        <v>2055</v>
      </c>
      <c r="AN3" s="524">
        <f t="shared" si="0"/>
        <v>2056</v>
      </c>
      <c r="AO3" s="524">
        <f t="shared" si="0"/>
        <v>2057</v>
      </c>
      <c r="AP3" s="524">
        <f t="shared" si="0"/>
        <v>2058</v>
      </c>
      <c r="AQ3" s="524">
        <f t="shared" si="0"/>
        <v>2059</v>
      </c>
      <c r="AR3" s="524">
        <f t="shared" si="0"/>
        <v>2060</v>
      </c>
      <c r="AS3" s="524">
        <f t="shared" si="0"/>
        <v>2061</v>
      </c>
      <c r="AT3" s="524">
        <f t="shared" si="0"/>
        <v>2062</v>
      </c>
      <c r="AU3" s="524">
        <f t="shared" si="0"/>
        <v>2063</v>
      </c>
      <c r="AV3" s="524">
        <f t="shared" si="0"/>
        <v>2064</v>
      </c>
      <c r="AW3" s="524">
        <f t="shared" si="0"/>
        <v>2065</v>
      </c>
      <c r="AX3" s="524">
        <f t="shared" si="0"/>
        <v>2066</v>
      </c>
      <c r="AY3" s="524">
        <f t="shared" si="0"/>
        <v>2067</v>
      </c>
      <c r="AZ3" s="524">
        <f t="shared" si="0"/>
        <v>2068</v>
      </c>
      <c r="BA3" s="524">
        <f t="shared" si="0"/>
        <v>2069</v>
      </c>
      <c r="BB3" s="524">
        <f t="shared" si="0"/>
        <v>2070</v>
      </c>
      <c r="BC3" s="524">
        <f t="shared" si="0"/>
        <v>2071</v>
      </c>
      <c r="BD3" s="524">
        <f t="shared" si="0"/>
        <v>2072</v>
      </c>
      <c r="BE3" s="524">
        <f t="shared" si="0"/>
        <v>2073</v>
      </c>
      <c r="BF3" s="524">
        <f t="shared" si="0"/>
        <v>2074</v>
      </c>
      <c r="BG3" s="524">
        <f t="shared" si="0"/>
        <v>2075</v>
      </c>
      <c r="BH3" s="524">
        <f t="shared" si="0"/>
        <v>2076</v>
      </c>
      <c r="BI3" s="524">
        <f t="shared" si="0"/>
        <v>2077</v>
      </c>
      <c r="BJ3" s="524">
        <f t="shared" si="0"/>
        <v>2078</v>
      </c>
      <c r="BK3" s="524">
        <f t="shared" si="0"/>
        <v>2079</v>
      </c>
      <c r="BL3" s="524">
        <f t="shared" si="0"/>
        <v>2080</v>
      </c>
      <c r="BM3" s="524">
        <f t="shared" si="0"/>
        <v>2081</v>
      </c>
      <c r="BN3" s="524">
        <f t="shared" si="0"/>
        <v>2082</v>
      </c>
      <c r="BO3" s="524">
        <f t="shared" si="0"/>
        <v>2083</v>
      </c>
      <c r="BP3" s="524">
        <f t="shared" si="0"/>
        <v>2084</v>
      </c>
      <c r="BQ3" s="524">
        <f t="shared" si="0"/>
        <v>2085</v>
      </c>
      <c r="BR3" s="524">
        <f t="shared" si="0"/>
        <v>2086</v>
      </c>
      <c r="BS3" s="524">
        <f t="shared" si="0"/>
        <v>2087</v>
      </c>
      <c r="BT3" s="524">
        <f t="shared" si="0"/>
        <v>2088</v>
      </c>
      <c r="BU3" s="524">
        <f t="shared" si="0"/>
        <v>2089</v>
      </c>
      <c r="BV3" s="524">
        <f t="shared" si="0"/>
        <v>2090</v>
      </c>
      <c r="BW3" s="524">
        <f t="shared" si="0"/>
        <v>2091</v>
      </c>
      <c r="BX3" s="524">
        <f t="shared" si="0"/>
        <v>2092</v>
      </c>
      <c r="BY3" s="524">
        <f t="shared" si="0"/>
        <v>2093</v>
      </c>
      <c r="BZ3" s="524">
        <f t="shared" si="0"/>
        <v>2094</v>
      </c>
      <c r="CA3" s="524">
        <f t="shared" si="0"/>
        <v>2095</v>
      </c>
      <c r="CB3" s="524">
        <f t="shared" si="0"/>
        <v>2096</v>
      </c>
      <c r="CC3" s="524">
        <f t="shared" si="0"/>
        <v>2097</v>
      </c>
      <c r="CD3" s="524">
        <f t="shared" si="0"/>
        <v>2098</v>
      </c>
      <c r="CE3" s="524">
        <f t="shared" si="0"/>
        <v>2099</v>
      </c>
      <c r="CF3" s="524">
        <f t="shared" si="0"/>
        <v>2100</v>
      </c>
    </row>
    <row r="4" spans="2:84">
      <c r="B4" t="s">
        <v>710</v>
      </c>
      <c r="C4" t="s">
        <v>1352</v>
      </c>
      <c r="D4" t="s">
        <v>708</v>
      </c>
      <c r="E4" t="s">
        <v>1353</v>
      </c>
      <c r="F4" t="str">
        <f t="shared" ref="F4:F35" si="1">+B4&amp;C4&amp;D4</f>
        <v>e-hydrogen (liquefied)CapExGlobal</v>
      </c>
      <c r="G4" s="525">
        <v>8699.3906059041565</v>
      </c>
      <c r="H4" s="525">
        <v>8416.5101772491962</v>
      </c>
      <c r="I4" s="525">
        <v>8126.1415525113434</v>
      </c>
      <c r="J4" s="525">
        <v>7975.9809071960844</v>
      </c>
      <c r="K4" s="525">
        <v>7811.9088644995745</v>
      </c>
      <c r="L4" s="525">
        <v>7633.9254244219592</v>
      </c>
      <c r="M4" s="525">
        <v>7442.0305869632884</v>
      </c>
      <c r="N4" s="525">
        <v>7236.2243521233595</v>
      </c>
      <c r="O4" s="525">
        <v>7367.4091527695318</v>
      </c>
      <c r="P4" s="525">
        <v>7466.1511454782058</v>
      </c>
      <c r="Q4" s="525">
        <v>7532.4503302493013</v>
      </c>
      <c r="R4" s="525">
        <v>7566.306707082671</v>
      </c>
      <c r="S4" s="525">
        <v>7567.720275978575</v>
      </c>
      <c r="T4" s="525">
        <v>7516.3986608104415</v>
      </c>
      <c r="U4" s="525">
        <v>7438.3004500083789</v>
      </c>
      <c r="V4" s="525">
        <v>7333.4256435726584</v>
      </c>
      <c r="W4" s="525">
        <v>7201.7742415030134</v>
      </c>
      <c r="X4" s="525">
        <v>7043.346243799343</v>
      </c>
      <c r="Y4" s="525">
        <v>6840.4683808388108</v>
      </c>
      <c r="Z4" s="525">
        <v>6617.3860826964783</v>
      </c>
      <c r="AA4" s="525">
        <v>6374.0993493725664</v>
      </c>
      <c r="AB4" s="525">
        <v>6110.6081808669287</v>
      </c>
      <c r="AC4" s="525">
        <v>5826.9125771795207</v>
      </c>
      <c r="AD4" s="525">
        <v>5519.2257094910256</v>
      </c>
      <c r="AE4" s="525">
        <v>5198.9010635909208</v>
      </c>
      <c r="AF4" s="525">
        <v>4865.9386394792064</v>
      </c>
      <c r="AG4" s="525">
        <v>4520.3384371558805</v>
      </c>
      <c r="AH4" s="525">
        <v>4162.1004566209504</v>
      </c>
      <c r="AI4" s="526">
        <f>AH4</f>
        <v>4162.1004566209504</v>
      </c>
      <c r="AJ4" s="526">
        <f t="shared" ref="AJ4:CF12" si="2">AI4</f>
        <v>4162.1004566209504</v>
      </c>
      <c r="AK4" s="526">
        <f t="shared" si="2"/>
        <v>4162.1004566209504</v>
      </c>
      <c r="AL4" s="526">
        <f t="shared" si="2"/>
        <v>4162.1004566209504</v>
      </c>
      <c r="AM4" s="526">
        <f t="shared" si="2"/>
        <v>4162.1004566209504</v>
      </c>
      <c r="AN4" s="526">
        <f t="shared" si="2"/>
        <v>4162.1004566209504</v>
      </c>
      <c r="AO4" s="526">
        <f t="shared" si="2"/>
        <v>4162.1004566209504</v>
      </c>
      <c r="AP4" s="526">
        <f t="shared" si="2"/>
        <v>4162.1004566209504</v>
      </c>
      <c r="AQ4" s="526">
        <f t="shared" si="2"/>
        <v>4162.1004566209504</v>
      </c>
      <c r="AR4" s="526">
        <f t="shared" si="2"/>
        <v>4162.1004566209504</v>
      </c>
      <c r="AS4" s="526">
        <f t="shared" si="2"/>
        <v>4162.1004566209504</v>
      </c>
      <c r="AT4" s="526">
        <f t="shared" si="2"/>
        <v>4162.1004566209504</v>
      </c>
      <c r="AU4" s="526">
        <f t="shared" si="2"/>
        <v>4162.1004566209504</v>
      </c>
      <c r="AV4" s="526">
        <f t="shared" si="2"/>
        <v>4162.1004566209504</v>
      </c>
      <c r="AW4" s="526">
        <f t="shared" si="2"/>
        <v>4162.1004566209504</v>
      </c>
      <c r="AX4" s="526">
        <f t="shared" si="2"/>
        <v>4162.1004566209504</v>
      </c>
      <c r="AY4" s="526">
        <f t="shared" si="2"/>
        <v>4162.1004566209504</v>
      </c>
      <c r="AZ4" s="526">
        <f t="shared" si="2"/>
        <v>4162.1004566209504</v>
      </c>
      <c r="BA4" s="526">
        <f t="shared" si="2"/>
        <v>4162.1004566209504</v>
      </c>
      <c r="BB4" s="526">
        <f t="shared" si="2"/>
        <v>4162.1004566209504</v>
      </c>
      <c r="BC4" s="526">
        <f t="shared" si="2"/>
        <v>4162.1004566209504</v>
      </c>
      <c r="BD4" s="526">
        <f t="shared" si="2"/>
        <v>4162.1004566209504</v>
      </c>
      <c r="BE4" s="526">
        <f t="shared" si="2"/>
        <v>4162.1004566209504</v>
      </c>
      <c r="BF4" s="526">
        <f t="shared" si="2"/>
        <v>4162.1004566209504</v>
      </c>
      <c r="BG4" s="526">
        <f t="shared" si="2"/>
        <v>4162.1004566209504</v>
      </c>
      <c r="BH4" s="526">
        <f t="shared" si="2"/>
        <v>4162.1004566209504</v>
      </c>
      <c r="BI4" s="526">
        <f t="shared" si="2"/>
        <v>4162.1004566209504</v>
      </c>
      <c r="BJ4" s="526">
        <f t="shared" si="2"/>
        <v>4162.1004566209504</v>
      </c>
      <c r="BK4" s="526">
        <f t="shared" si="2"/>
        <v>4162.1004566209504</v>
      </c>
      <c r="BL4" s="526">
        <f t="shared" si="2"/>
        <v>4162.1004566209504</v>
      </c>
      <c r="BM4" s="526">
        <f t="shared" si="2"/>
        <v>4162.1004566209504</v>
      </c>
      <c r="BN4" s="526">
        <f t="shared" si="2"/>
        <v>4162.1004566209504</v>
      </c>
      <c r="BO4" s="526">
        <f t="shared" si="2"/>
        <v>4162.1004566209504</v>
      </c>
      <c r="BP4" s="526">
        <f t="shared" si="2"/>
        <v>4162.1004566209504</v>
      </c>
      <c r="BQ4" s="526">
        <f t="shared" si="2"/>
        <v>4162.1004566209504</v>
      </c>
      <c r="BR4" s="526">
        <f t="shared" si="2"/>
        <v>4162.1004566209504</v>
      </c>
      <c r="BS4" s="526">
        <f t="shared" si="2"/>
        <v>4162.1004566209504</v>
      </c>
      <c r="BT4" s="526">
        <f t="shared" si="2"/>
        <v>4162.1004566209504</v>
      </c>
      <c r="BU4" s="526">
        <f t="shared" si="2"/>
        <v>4162.1004566209504</v>
      </c>
      <c r="BV4" s="526">
        <f t="shared" si="2"/>
        <v>4162.1004566209504</v>
      </c>
      <c r="BW4" s="526">
        <f t="shared" si="2"/>
        <v>4162.1004566209504</v>
      </c>
      <c r="BX4" s="526">
        <f t="shared" si="2"/>
        <v>4162.1004566209504</v>
      </c>
      <c r="BY4" s="526">
        <f t="shared" si="2"/>
        <v>4162.1004566209504</v>
      </c>
      <c r="BZ4" s="526">
        <f t="shared" si="2"/>
        <v>4162.1004566209504</v>
      </c>
      <c r="CA4" s="526">
        <f t="shared" si="2"/>
        <v>4162.1004566209504</v>
      </c>
      <c r="CB4" s="526">
        <f t="shared" si="2"/>
        <v>4162.1004566209504</v>
      </c>
      <c r="CC4" s="526">
        <f t="shared" si="2"/>
        <v>4162.1004566209504</v>
      </c>
      <c r="CD4" s="526">
        <f t="shared" si="2"/>
        <v>4162.1004566209504</v>
      </c>
      <c r="CE4" s="526">
        <f t="shared" si="2"/>
        <v>4162.1004566209504</v>
      </c>
      <c r="CF4" s="526">
        <f t="shared" si="2"/>
        <v>4162.1004566209504</v>
      </c>
    </row>
    <row r="5" spans="2:84">
      <c r="B5" t="s">
        <v>710</v>
      </c>
      <c r="C5" t="s">
        <v>1354</v>
      </c>
      <c r="D5" t="s">
        <v>838</v>
      </c>
      <c r="E5" t="s">
        <v>1353</v>
      </c>
      <c r="F5" t="str">
        <f t="shared" si="1"/>
        <v>e-hydrogen (liquefied)OpExAfrica</v>
      </c>
      <c r="G5" s="525">
        <v>5054.0657608070223</v>
      </c>
      <c r="H5" s="525">
        <v>4570.9716401122123</v>
      </c>
      <c r="I5" s="525">
        <v>4085.4555916918284</v>
      </c>
      <c r="J5" s="525">
        <v>3932.8819154577859</v>
      </c>
      <c r="K5" s="525">
        <v>3775.6221926146054</v>
      </c>
      <c r="L5" s="525">
        <v>3613.7792100041479</v>
      </c>
      <c r="M5" s="525">
        <v>3447.4557544683576</v>
      </c>
      <c r="N5" s="525">
        <v>3276.7546128490667</v>
      </c>
      <c r="O5" s="525">
        <v>3205.0399248642752</v>
      </c>
      <c r="P5" s="525">
        <v>3126.8300849116413</v>
      </c>
      <c r="Q5" s="525">
        <v>3042.180456627616</v>
      </c>
      <c r="R5" s="525">
        <v>2951.1464036487077</v>
      </c>
      <c r="S5" s="525">
        <v>2853.7832896114824</v>
      </c>
      <c r="T5" s="525">
        <v>2789.7525953700856</v>
      </c>
      <c r="U5" s="525">
        <v>2721.4032842672818</v>
      </c>
      <c r="V5" s="525">
        <v>2648.7534216680988</v>
      </c>
      <c r="W5" s="525">
        <v>2571.8210729373609</v>
      </c>
      <c r="X5" s="525">
        <v>2490.6243034400604</v>
      </c>
      <c r="Y5" s="525">
        <v>2408.4931769166606</v>
      </c>
      <c r="Z5" s="525">
        <v>2324.6157387630219</v>
      </c>
      <c r="AA5" s="525">
        <v>2238.9814248407279</v>
      </c>
      <c r="AB5" s="525">
        <v>2151.5796710112713</v>
      </c>
      <c r="AC5" s="525">
        <v>2062.3999131362007</v>
      </c>
      <c r="AD5" s="525">
        <v>1996.5706942218667</v>
      </c>
      <c r="AE5" s="525">
        <v>1929.9497157074188</v>
      </c>
      <c r="AF5" s="525">
        <v>1862.5303206405561</v>
      </c>
      <c r="AG5" s="525">
        <v>1794.3058520690015</v>
      </c>
      <c r="AH5" s="525">
        <v>1725.2696530404796</v>
      </c>
      <c r="AI5" s="526">
        <f t="shared" ref="AI5:CA10" si="3">AH5</f>
        <v>1725.2696530404796</v>
      </c>
      <c r="AJ5" s="526">
        <f t="shared" si="3"/>
        <v>1725.2696530404796</v>
      </c>
      <c r="AK5" s="526">
        <f t="shared" si="3"/>
        <v>1725.2696530404796</v>
      </c>
      <c r="AL5" s="526">
        <f t="shared" si="3"/>
        <v>1725.2696530404796</v>
      </c>
      <c r="AM5" s="526">
        <f t="shared" si="3"/>
        <v>1725.2696530404796</v>
      </c>
      <c r="AN5" s="526">
        <f t="shared" si="3"/>
        <v>1725.2696530404796</v>
      </c>
      <c r="AO5" s="526">
        <f t="shared" si="3"/>
        <v>1725.2696530404796</v>
      </c>
      <c r="AP5" s="526">
        <f t="shared" si="3"/>
        <v>1725.2696530404796</v>
      </c>
      <c r="AQ5" s="526">
        <f t="shared" si="3"/>
        <v>1725.2696530404796</v>
      </c>
      <c r="AR5" s="526">
        <f t="shared" si="3"/>
        <v>1725.2696530404796</v>
      </c>
      <c r="AS5" s="526">
        <f t="shared" si="3"/>
        <v>1725.2696530404796</v>
      </c>
      <c r="AT5" s="526">
        <f t="shared" si="3"/>
        <v>1725.2696530404796</v>
      </c>
      <c r="AU5" s="526">
        <f t="shared" si="3"/>
        <v>1725.2696530404796</v>
      </c>
      <c r="AV5" s="526">
        <f t="shared" si="3"/>
        <v>1725.2696530404796</v>
      </c>
      <c r="AW5" s="526">
        <f t="shared" si="3"/>
        <v>1725.2696530404796</v>
      </c>
      <c r="AX5" s="526">
        <f t="shared" si="3"/>
        <v>1725.2696530404796</v>
      </c>
      <c r="AY5" s="526">
        <f t="shared" si="3"/>
        <v>1725.2696530404796</v>
      </c>
      <c r="AZ5" s="526">
        <f t="shared" si="3"/>
        <v>1725.2696530404796</v>
      </c>
      <c r="BA5" s="526">
        <f t="shared" si="3"/>
        <v>1725.2696530404796</v>
      </c>
      <c r="BB5" s="526">
        <f t="shared" si="3"/>
        <v>1725.2696530404796</v>
      </c>
      <c r="BC5" s="526">
        <f t="shared" si="3"/>
        <v>1725.2696530404796</v>
      </c>
      <c r="BD5" s="526">
        <f t="shared" si="3"/>
        <v>1725.2696530404796</v>
      </c>
      <c r="BE5" s="526">
        <f t="shared" si="3"/>
        <v>1725.2696530404796</v>
      </c>
      <c r="BF5" s="526">
        <f t="shared" si="3"/>
        <v>1725.2696530404796</v>
      </c>
      <c r="BG5" s="526">
        <f t="shared" si="3"/>
        <v>1725.2696530404796</v>
      </c>
      <c r="BH5" s="526">
        <f t="shared" si="3"/>
        <v>1725.2696530404796</v>
      </c>
      <c r="BI5" s="526">
        <f t="shared" si="3"/>
        <v>1725.2696530404796</v>
      </c>
      <c r="BJ5" s="526">
        <f t="shared" si="3"/>
        <v>1725.2696530404796</v>
      </c>
      <c r="BK5" s="526">
        <f t="shared" si="3"/>
        <v>1725.2696530404796</v>
      </c>
      <c r="BL5" s="526">
        <f t="shared" si="3"/>
        <v>1725.2696530404796</v>
      </c>
      <c r="BM5" s="526">
        <f t="shared" si="3"/>
        <v>1725.2696530404796</v>
      </c>
      <c r="BN5" s="526">
        <f t="shared" si="3"/>
        <v>1725.2696530404796</v>
      </c>
      <c r="BO5" s="526">
        <f t="shared" si="3"/>
        <v>1725.2696530404796</v>
      </c>
      <c r="BP5" s="526">
        <f t="shared" si="3"/>
        <v>1725.2696530404796</v>
      </c>
      <c r="BQ5" s="526">
        <f t="shared" si="3"/>
        <v>1725.2696530404796</v>
      </c>
      <c r="BR5" s="526">
        <f t="shared" si="3"/>
        <v>1725.2696530404796</v>
      </c>
      <c r="BS5" s="526">
        <f t="shared" si="3"/>
        <v>1725.2696530404796</v>
      </c>
      <c r="BT5" s="526">
        <f t="shared" si="3"/>
        <v>1725.2696530404796</v>
      </c>
      <c r="BU5" s="526">
        <f t="shared" si="3"/>
        <v>1725.2696530404796</v>
      </c>
      <c r="BV5" s="526">
        <f t="shared" si="3"/>
        <v>1725.2696530404796</v>
      </c>
      <c r="BW5" s="526">
        <f t="shared" si="3"/>
        <v>1725.2696530404796</v>
      </c>
      <c r="BX5" s="526">
        <f t="shared" si="3"/>
        <v>1725.2696530404796</v>
      </c>
      <c r="BY5" s="526">
        <f t="shared" si="3"/>
        <v>1725.2696530404796</v>
      </c>
      <c r="BZ5" s="526">
        <f t="shared" si="3"/>
        <v>1725.2696530404796</v>
      </c>
      <c r="CA5" s="526">
        <f t="shared" si="3"/>
        <v>1725.2696530404796</v>
      </c>
      <c r="CB5" s="526">
        <f t="shared" si="2"/>
        <v>1725.2696530404796</v>
      </c>
      <c r="CC5" s="526">
        <f t="shared" si="2"/>
        <v>1725.2696530404796</v>
      </c>
      <c r="CD5" s="526">
        <f t="shared" si="2"/>
        <v>1725.2696530404796</v>
      </c>
      <c r="CE5" s="526">
        <f t="shared" si="2"/>
        <v>1725.2696530404796</v>
      </c>
      <c r="CF5" s="526">
        <f t="shared" si="2"/>
        <v>1725.2696530404796</v>
      </c>
    </row>
    <row r="6" spans="2:84">
      <c r="B6" t="s">
        <v>710</v>
      </c>
      <c r="C6" t="s">
        <v>1354</v>
      </c>
      <c r="D6" t="s">
        <v>731</v>
      </c>
      <c r="E6" t="s">
        <v>1353</v>
      </c>
      <c r="F6" t="str">
        <f t="shared" si="1"/>
        <v>e-hydrogen (liquefied)OpExAmericas</v>
      </c>
      <c r="G6" s="525">
        <v>3684.9787237290411</v>
      </c>
      <c r="H6" s="525">
        <v>3587.4551334178773</v>
      </c>
      <c r="I6" s="525">
        <v>3486.8588925942699</v>
      </c>
      <c r="J6" s="525">
        <v>3374.7163018773599</v>
      </c>
      <c r="K6" s="525">
        <v>3257.900776582424</v>
      </c>
      <c r="L6" s="525">
        <v>3136.4813800605143</v>
      </c>
      <c r="M6" s="525">
        <v>3010.527175662809</v>
      </c>
      <c r="N6" s="525">
        <v>2880.1072267402242</v>
      </c>
      <c r="O6" s="525">
        <v>2838.3807226567992</v>
      </c>
      <c r="P6" s="525">
        <v>2789.9429337200831</v>
      </c>
      <c r="Q6" s="525">
        <v>2734.8259293565411</v>
      </c>
      <c r="R6" s="525">
        <v>2673.0617789926073</v>
      </c>
      <c r="S6" s="525">
        <v>2604.6825520548346</v>
      </c>
      <c r="T6" s="525">
        <v>2542.5132869879294</v>
      </c>
      <c r="U6" s="525">
        <v>2476.073844641101</v>
      </c>
      <c r="V6" s="525">
        <v>2405.382247059239</v>
      </c>
      <c r="W6" s="525">
        <v>2330.4565162870463</v>
      </c>
      <c r="X6" s="525">
        <v>2251.3146743693519</v>
      </c>
      <c r="Y6" s="525">
        <v>2189.8116370348203</v>
      </c>
      <c r="Z6" s="525">
        <v>2126.1468505505536</v>
      </c>
      <c r="AA6" s="525">
        <v>2060.3161858991725</v>
      </c>
      <c r="AB6" s="525">
        <v>1992.3155140631643</v>
      </c>
      <c r="AC6" s="525">
        <v>1922.1407060251217</v>
      </c>
      <c r="AD6" s="525">
        <v>1863.0941524147731</v>
      </c>
      <c r="AE6" s="525">
        <v>1803.1346759179955</v>
      </c>
      <c r="AF6" s="525">
        <v>1742.2582772868789</v>
      </c>
      <c r="AG6" s="525">
        <v>1680.4609572735203</v>
      </c>
      <c r="AH6" s="525">
        <v>1617.7387166300191</v>
      </c>
      <c r="AI6" s="526">
        <f t="shared" si="3"/>
        <v>1617.7387166300191</v>
      </c>
      <c r="AJ6" s="526">
        <f t="shared" si="3"/>
        <v>1617.7387166300191</v>
      </c>
      <c r="AK6" s="526">
        <f t="shared" si="3"/>
        <v>1617.7387166300191</v>
      </c>
      <c r="AL6" s="526">
        <f t="shared" si="3"/>
        <v>1617.7387166300191</v>
      </c>
      <c r="AM6" s="526">
        <f t="shared" si="3"/>
        <v>1617.7387166300191</v>
      </c>
      <c r="AN6" s="526">
        <f t="shared" si="3"/>
        <v>1617.7387166300191</v>
      </c>
      <c r="AO6" s="526">
        <f t="shared" si="3"/>
        <v>1617.7387166300191</v>
      </c>
      <c r="AP6" s="526">
        <f t="shared" si="3"/>
        <v>1617.7387166300191</v>
      </c>
      <c r="AQ6" s="526">
        <f t="shared" si="3"/>
        <v>1617.7387166300191</v>
      </c>
      <c r="AR6" s="526">
        <f t="shared" si="3"/>
        <v>1617.7387166300191</v>
      </c>
      <c r="AS6" s="526">
        <f t="shared" si="3"/>
        <v>1617.7387166300191</v>
      </c>
      <c r="AT6" s="526">
        <f t="shared" si="3"/>
        <v>1617.7387166300191</v>
      </c>
      <c r="AU6" s="526">
        <f t="shared" si="3"/>
        <v>1617.7387166300191</v>
      </c>
      <c r="AV6" s="526">
        <f t="shared" si="3"/>
        <v>1617.7387166300191</v>
      </c>
      <c r="AW6" s="526">
        <f t="shared" si="3"/>
        <v>1617.7387166300191</v>
      </c>
      <c r="AX6" s="526">
        <f t="shared" si="3"/>
        <v>1617.7387166300191</v>
      </c>
      <c r="AY6" s="526">
        <f t="shared" si="3"/>
        <v>1617.7387166300191</v>
      </c>
      <c r="AZ6" s="526">
        <f t="shared" si="3"/>
        <v>1617.7387166300191</v>
      </c>
      <c r="BA6" s="526">
        <f t="shared" si="3"/>
        <v>1617.7387166300191</v>
      </c>
      <c r="BB6" s="526">
        <f t="shared" si="3"/>
        <v>1617.7387166300191</v>
      </c>
      <c r="BC6" s="526">
        <f t="shared" si="3"/>
        <v>1617.7387166300191</v>
      </c>
      <c r="BD6" s="526">
        <f t="shared" si="3"/>
        <v>1617.7387166300191</v>
      </c>
      <c r="BE6" s="526">
        <f t="shared" si="3"/>
        <v>1617.7387166300191</v>
      </c>
      <c r="BF6" s="526">
        <f t="shared" si="3"/>
        <v>1617.7387166300191</v>
      </c>
      <c r="BG6" s="526">
        <f t="shared" si="3"/>
        <v>1617.7387166300191</v>
      </c>
      <c r="BH6" s="526">
        <f t="shared" si="3"/>
        <v>1617.7387166300191</v>
      </c>
      <c r="BI6" s="526">
        <f t="shared" si="3"/>
        <v>1617.7387166300191</v>
      </c>
      <c r="BJ6" s="526">
        <f t="shared" si="3"/>
        <v>1617.7387166300191</v>
      </c>
      <c r="BK6" s="526">
        <f t="shared" si="3"/>
        <v>1617.7387166300191</v>
      </c>
      <c r="BL6" s="526">
        <f t="shared" si="3"/>
        <v>1617.7387166300191</v>
      </c>
      <c r="BM6" s="526">
        <f t="shared" si="3"/>
        <v>1617.7387166300191</v>
      </c>
      <c r="BN6" s="526">
        <f t="shared" si="3"/>
        <v>1617.7387166300191</v>
      </c>
      <c r="BO6" s="526">
        <f t="shared" si="3"/>
        <v>1617.7387166300191</v>
      </c>
      <c r="BP6" s="526">
        <f t="shared" si="3"/>
        <v>1617.7387166300191</v>
      </c>
      <c r="BQ6" s="526">
        <f t="shared" si="3"/>
        <v>1617.7387166300191</v>
      </c>
      <c r="BR6" s="526">
        <f t="shared" si="3"/>
        <v>1617.7387166300191</v>
      </c>
      <c r="BS6" s="526">
        <f t="shared" si="3"/>
        <v>1617.7387166300191</v>
      </c>
      <c r="BT6" s="526">
        <f t="shared" si="3"/>
        <v>1617.7387166300191</v>
      </c>
      <c r="BU6" s="526">
        <f t="shared" si="3"/>
        <v>1617.7387166300191</v>
      </c>
      <c r="BV6" s="526">
        <f t="shared" si="3"/>
        <v>1617.7387166300191</v>
      </c>
      <c r="BW6" s="526">
        <f t="shared" si="3"/>
        <v>1617.7387166300191</v>
      </c>
      <c r="BX6" s="526">
        <f t="shared" si="3"/>
        <v>1617.7387166300191</v>
      </c>
      <c r="BY6" s="526">
        <f t="shared" si="3"/>
        <v>1617.7387166300191</v>
      </c>
      <c r="BZ6" s="526">
        <f t="shared" si="3"/>
        <v>1617.7387166300191</v>
      </c>
      <c r="CA6" s="526">
        <f t="shared" si="3"/>
        <v>1617.7387166300191</v>
      </c>
      <c r="CB6" s="526">
        <f t="shared" si="2"/>
        <v>1617.7387166300191</v>
      </c>
      <c r="CC6" s="526">
        <f t="shared" si="2"/>
        <v>1617.7387166300191</v>
      </c>
      <c r="CD6" s="526">
        <f t="shared" si="2"/>
        <v>1617.7387166300191</v>
      </c>
      <c r="CE6" s="526">
        <f t="shared" si="2"/>
        <v>1617.7387166300191</v>
      </c>
      <c r="CF6" s="526">
        <f t="shared" si="2"/>
        <v>1617.7387166300191</v>
      </c>
    </row>
    <row r="7" spans="2:84">
      <c r="B7" t="s">
        <v>710</v>
      </c>
      <c r="C7" t="s">
        <v>1354</v>
      </c>
      <c r="D7" t="s">
        <v>750</v>
      </c>
      <c r="E7" t="s">
        <v>1353</v>
      </c>
      <c r="F7" t="str">
        <f t="shared" si="1"/>
        <v>e-hydrogen (liquefied)OpExAsia</v>
      </c>
      <c r="G7" s="525">
        <v>5467.3788714677949</v>
      </c>
      <c r="H7" s="525">
        <v>5056.3448309478626</v>
      </c>
      <c r="I7" s="525">
        <v>4642.652973153602</v>
      </c>
      <c r="J7" s="525">
        <v>4480.6071471874402</v>
      </c>
      <c r="K7" s="525">
        <v>4313.7506262053894</v>
      </c>
      <c r="L7" s="525">
        <v>4142.1934882709356</v>
      </c>
      <c r="M7" s="525">
        <v>3966.0458114478597</v>
      </c>
      <c r="N7" s="525">
        <v>3785.4176737997286</v>
      </c>
      <c r="O7" s="525">
        <v>3690.7993833352125</v>
      </c>
      <c r="P7" s="525">
        <v>3589.7803896507767</v>
      </c>
      <c r="Q7" s="525">
        <v>3482.4328877879348</v>
      </c>
      <c r="R7" s="525">
        <v>3368.8290727881135</v>
      </c>
      <c r="S7" s="525">
        <v>3249.0411396929808</v>
      </c>
      <c r="T7" s="525">
        <v>3169.8819198385322</v>
      </c>
      <c r="U7" s="525">
        <v>3086.5082685069251</v>
      </c>
      <c r="V7" s="525">
        <v>2998.9456321189359</v>
      </c>
      <c r="W7" s="525">
        <v>2907.2194570950492</v>
      </c>
      <c r="X7" s="525">
        <v>2811.3551898559981</v>
      </c>
      <c r="Y7" s="525">
        <v>2712.9201792595904</v>
      </c>
      <c r="Z7" s="525">
        <v>2613.052404333097</v>
      </c>
      <c r="AA7" s="525">
        <v>2511.7367176002194</v>
      </c>
      <c r="AB7" s="525">
        <v>2408.9579715845703</v>
      </c>
      <c r="AC7" s="525">
        <v>2304.7010188098211</v>
      </c>
      <c r="AD7" s="525">
        <v>2231.9895351215459</v>
      </c>
      <c r="AE7" s="525">
        <v>2158.6089535099891</v>
      </c>
      <c r="AF7" s="525">
        <v>2084.5503558227851</v>
      </c>
      <c r="AG7" s="525">
        <v>2009.8048239075576</v>
      </c>
      <c r="AH7" s="525">
        <v>1934.3634396119307</v>
      </c>
      <c r="AI7" s="526">
        <f t="shared" si="3"/>
        <v>1934.3634396119307</v>
      </c>
      <c r="AJ7" s="526">
        <f t="shared" si="3"/>
        <v>1934.3634396119307</v>
      </c>
      <c r="AK7" s="526">
        <f t="shared" si="3"/>
        <v>1934.3634396119307</v>
      </c>
      <c r="AL7" s="526">
        <f t="shared" si="3"/>
        <v>1934.3634396119307</v>
      </c>
      <c r="AM7" s="526">
        <f t="shared" si="3"/>
        <v>1934.3634396119307</v>
      </c>
      <c r="AN7" s="526">
        <f t="shared" si="3"/>
        <v>1934.3634396119307</v>
      </c>
      <c r="AO7" s="526">
        <f t="shared" si="3"/>
        <v>1934.3634396119307</v>
      </c>
      <c r="AP7" s="526">
        <f t="shared" si="3"/>
        <v>1934.3634396119307</v>
      </c>
      <c r="AQ7" s="526">
        <f t="shared" si="3"/>
        <v>1934.3634396119307</v>
      </c>
      <c r="AR7" s="526">
        <f t="shared" si="3"/>
        <v>1934.3634396119307</v>
      </c>
      <c r="AS7" s="526">
        <f t="shared" si="3"/>
        <v>1934.3634396119307</v>
      </c>
      <c r="AT7" s="526">
        <f t="shared" si="3"/>
        <v>1934.3634396119307</v>
      </c>
      <c r="AU7" s="526">
        <f t="shared" si="3"/>
        <v>1934.3634396119307</v>
      </c>
      <c r="AV7" s="526">
        <f t="shared" si="3"/>
        <v>1934.3634396119307</v>
      </c>
      <c r="AW7" s="526">
        <f t="shared" si="3"/>
        <v>1934.3634396119307</v>
      </c>
      <c r="AX7" s="526">
        <f t="shared" si="3"/>
        <v>1934.3634396119307</v>
      </c>
      <c r="AY7" s="526">
        <f t="shared" si="3"/>
        <v>1934.3634396119307</v>
      </c>
      <c r="AZ7" s="526">
        <f t="shared" si="3"/>
        <v>1934.3634396119307</v>
      </c>
      <c r="BA7" s="526">
        <f t="shared" si="3"/>
        <v>1934.3634396119307</v>
      </c>
      <c r="BB7" s="526">
        <f t="shared" si="3"/>
        <v>1934.3634396119307</v>
      </c>
      <c r="BC7" s="526">
        <f t="shared" si="3"/>
        <v>1934.3634396119307</v>
      </c>
      <c r="BD7" s="526">
        <f t="shared" si="3"/>
        <v>1934.3634396119307</v>
      </c>
      <c r="BE7" s="526">
        <f t="shared" si="3"/>
        <v>1934.3634396119307</v>
      </c>
      <c r="BF7" s="526">
        <f t="shared" si="3"/>
        <v>1934.3634396119307</v>
      </c>
      <c r="BG7" s="526">
        <f t="shared" si="3"/>
        <v>1934.3634396119307</v>
      </c>
      <c r="BH7" s="526">
        <f t="shared" si="3"/>
        <v>1934.3634396119307</v>
      </c>
      <c r="BI7" s="526">
        <f t="shared" si="3"/>
        <v>1934.3634396119307</v>
      </c>
      <c r="BJ7" s="526">
        <f t="shared" si="3"/>
        <v>1934.3634396119307</v>
      </c>
      <c r="BK7" s="526">
        <f t="shared" si="3"/>
        <v>1934.3634396119307</v>
      </c>
      <c r="BL7" s="526">
        <f t="shared" si="3"/>
        <v>1934.3634396119307</v>
      </c>
      <c r="BM7" s="526">
        <f t="shared" si="3"/>
        <v>1934.3634396119307</v>
      </c>
      <c r="BN7" s="526">
        <f t="shared" si="3"/>
        <v>1934.3634396119307</v>
      </c>
      <c r="BO7" s="526">
        <f t="shared" si="3"/>
        <v>1934.3634396119307</v>
      </c>
      <c r="BP7" s="526">
        <f t="shared" si="3"/>
        <v>1934.3634396119307</v>
      </c>
      <c r="BQ7" s="526">
        <f t="shared" si="3"/>
        <v>1934.3634396119307</v>
      </c>
      <c r="BR7" s="526">
        <f t="shared" si="3"/>
        <v>1934.3634396119307</v>
      </c>
      <c r="BS7" s="526">
        <f t="shared" si="3"/>
        <v>1934.3634396119307</v>
      </c>
      <c r="BT7" s="526">
        <f t="shared" si="3"/>
        <v>1934.3634396119307</v>
      </c>
      <c r="BU7" s="526">
        <f t="shared" si="3"/>
        <v>1934.3634396119307</v>
      </c>
      <c r="BV7" s="526">
        <f t="shared" si="3"/>
        <v>1934.3634396119307</v>
      </c>
      <c r="BW7" s="526">
        <f t="shared" si="3"/>
        <v>1934.3634396119307</v>
      </c>
      <c r="BX7" s="526">
        <f t="shared" si="3"/>
        <v>1934.3634396119307</v>
      </c>
      <c r="BY7" s="526">
        <f t="shared" si="3"/>
        <v>1934.3634396119307</v>
      </c>
      <c r="BZ7" s="526">
        <f t="shared" si="3"/>
        <v>1934.3634396119307</v>
      </c>
      <c r="CA7" s="526">
        <f t="shared" si="3"/>
        <v>1934.3634396119307</v>
      </c>
      <c r="CB7" s="526">
        <f t="shared" si="2"/>
        <v>1934.3634396119307</v>
      </c>
      <c r="CC7" s="526">
        <f t="shared" si="2"/>
        <v>1934.3634396119307</v>
      </c>
      <c r="CD7" s="526">
        <f t="shared" si="2"/>
        <v>1934.3634396119307</v>
      </c>
      <c r="CE7" s="526">
        <f t="shared" si="2"/>
        <v>1934.3634396119307</v>
      </c>
      <c r="CF7" s="526">
        <f t="shared" si="2"/>
        <v>1934.3634396119307</v>
      </c>
    </row>
    <row r="8" spans="2:84">
      <c r="B8" t="s">
        <v>710</v>
      </c>
      <c r="C8" t="s">
        <v>1354</v>
      </c>
      <c r="D8" t="s">
        <v>720</v>
      </c>
      <c r="E8" t="s">
        <v>1353</v>
      </c>
      <c r="F8" t="str">
        <f t="shared" si="1"/>
        <v>e-hydrogen (liquefied)OpExEurope</v>
      </c>
      <c r="G8" s="525">
        <v>4420.4315929091181</v>
      </c>
      <c r="H8" s="525">
        <v>4238.7520525372493</v>
      </c>
      <c r="I8" s="525">
        <v>4054.0673284701452</v>
      </c>
      <c r="J8" s="525">
        <v>3915.8591473736501</v>
      </c>
      <c r="K8" s="525">
        <v>3772.9167157356924</v>
      </c>
      <c r="L8" s="525">
        <v>3625.3305731579494</v>
      </c>
      <c r="M8" s="525">
        <v>3473.1912592420913</v>
      </c>
      <c r="N8" s="525">
        <v>3316.5893135897104</v>
      </c>
      <c r="O8" s="525">
        <v>3267.3890645729848</v>
      </c>
      <c r="P8" s="525">
        <v>3211.4154892656125</v>
      </c>
      <c r="Q8" s="525">
        <v>3148.7048875860733</v>
      </c>
      <c r="R8" s="525">
        <v>3079.2935594528863</v>
      </c>
      <c r="S8" s="525">
        <v>3003.2178047847119</v>
      </c>
      <c r="T8" s="525">
        <v>2943.1761429215444</v>
      </c>
      <c r="U8" s="525">
        <v>2878.7108815884621</v>
      </c>
      <c r="V8" s="525">
        <v>2809.8370456322477</v>
      </c>
      <c r="W8" s="525">
        <v>2736.5696598994532</v>
      </c>
      <c r="X8" s="525">
        <v>2658.9237492367879</v>
      </c>
      <c r="Y8" s="525">
        <v>2578.9816114310088</v>
      </c>
      <c r="Z8" s="525">
        <v>2497.2272868301225</v>
      </c>
      <c r="AA8" s="525">
        <v>2413.6516342968025</v>
      </c>
      <c r="AB8" s="525">
        <v>2328.2455126935556</v>
      </c>
      <c r="AC8" s="525">
        <v>2240.999780883024</v>
      </c>
      <c r="AD8" s="525">
        <v>2169.6016883323955</v>
      </c>
      <c r="AE8" s="525">
        <v>2097.5111385088831</v>
      </c>
      <c r="AF8" s="525">
        <v>2024.7195687184053</v>
      </c>
      <c r="AG8" s="525">
        <v>1951.2184162668686</v>
      </c>
      <c r="AH8" s="525">
        <v>1876.9991184601802</v>
      </c>
      <c r="AI8" s="526">
        <f t="shared" si="3"/>
        <v>1876.9991184601802</v>
      </c>
      <c r="AJ8" s="526">
        <f t="shared" si="3"/>
        <v>1876.9991184601802</v>
      </c>
      <c r="AK8" s="526">
        <f t="shared" si="3"/>
        <v>1876.9991184601802</v>
      </c>
      <c r="AL8" s="526">
        <f t="shared" si="3"/>
        <v>1876.9991184601802</v>
      </c>
      <c r="AM8" s="526">
        <f t="shared" si="3"/>
        <v>1876.9991184601802</v>
      </c>
      <c r="AN8" s="526">
        <f t="shared" si="3"/>
        <v>1876.9991184601802</v>
      </c>
      <c r="AO8" s="526">
        <f t="shared" si="3"/>
        <v>1876.9991184601802</v>
      </c>
      <c r="AP8" s="526">
        <f t="shared" si="3"/>
        <v>1876.9991184601802</v>
      </c>
      <c r="AQ8" s="526">
        <f t="shared" si="3"/>
        <v>1876.9991184601802</v>
      </c>
      <c r="AR8" s="526">
        <f t="shared" si="3"/>
        <v>1876.9991184601802</v>
      </c>
      <c r="AS8" s="526">
        <f t="shared" si="3"/>
        <v>1876.9991184601802</v>
      </c>
      <c r="AT8" s="526">
        <f t="shared" si="3"/>
        <v>1876.9991184601802</v>
      </c>
      <c r="AU8" s="526">
        <f t="shared" si="3"/>
        <v>1876.9991184601802</v>
      </c>
      <c r="AV8" s="526">
        <f t="shared" si="3"/>
        <v>1876.9991184601802</v>
      </c>
      <c r="AW8" s="526">
        <f t="shared" si="3"/>
        <v>1876.9991184601802</v>
      </c>
      <c r="AX8" s="526">
        <f t="shared" si="3"/>
        <v>1876.9991184601802</v>
      </c>
      <c r="AY8" s="526">
        <f t="shared" si="3"/>
        <v>1876.9991184601802</v>
      </c>
      <c r="AZ8" s="526">
        <f t="shared" si="3"/>
        <v>1876.9991184601802</v>
      </c>
      <c r="BA8" s="526">
        <f t="shared" si="3"/>
        <v>1876.9991184601802</v>
      </c>
      <c r="BB8" s="526">
        <f t="shared" si="3"/>
        <v>1876.9991184601802</v>
      </c>
      <c r="BC8" s="526">
        <f t="shared" si="3"/>
        <v>1876.9991184601802</v>
      </c>
      <c r="BD8" s="526">
        <f t="shared" si="3"/>
        <v>1876.9991184601802</v>
      </c>
      <c r="BE8" s="526">
        <f t="shared" si="3"/>
        <v>1876.9991184601802</v>
      </c>
      <c r="BF8" s="526">
        <f t="shared" si="3"/>
        <v>1876.9991184601802</v>
      </c>
      <c r="BG8" s="526">
        <f t="shared" si="3"/>
        <v>1876.9991184601802</v>
      </c>
      <c r="BH8" s="526">
        <f t="shared" si="3"/>
        <v>1876.9991184601802</v>
      </c>
      <c r="BI8" s="526">
        <f t="shared" si="3"/>
        <v>1876.9991184601802</v>
      </c>
      <c r="BJ8" s="526">
        <f t="shared" si="3"/>
        <v>1876.9991184601802</v>
      </c>
      <c r="BK8" s="526">
        <f t="shared" si="3"/>
        <v>1876.9991184601802</v>
      </c>
      <c r="BL8" s="526">
        <f t="shared" si="3"/>
        <v>1876.9991184601802</v>
      </c>
      <c r="BM8" s="526">
        <f t="shared" si="3"/>
        <v>1876.9991184601802</v>
      </c>
      <c r="BN8" s="526">
        <f t="shared" si="3"/>
        <v>1876.9991184601802</v>
      </c>
      <c r="BO8" s="526">
        <f t="shared" si="3"/>
        <v>1876.9991184601802</v>
      </c>
      <c r="BP8" s="526">
        <f t="shared" si="3"/>
        <v>1876.9991184601802</v>
      </c>
      <c r="BQ8" s="526">
        <f t="shared" si="3"/>
        <v>1876.9991184601802</v>
      </c>
      <c r="BR8" s="526">
        <f t="shared" si="3"/>
        <v>1876.9991184601802</v>
      </c>
      <c r="BS8" s="526">
        <f t="shared" si="3"/>
        <v>1876.9991184601802</v>
      </c>
      <c r="BT8" s="526">
        <f t="shared" si="3"/>
        <v>1876.9991184601802</v>
      </c>
      <c r="BU8" s="526">
        <f t="shared" si="3"/>
        <v>1876.9991184601802</v>
      </c>
      <c r="BV8" s="526">
        <f t="shared" si="3"/>
        <v>1876.9991184601802</v>
      </c>
      <c r="BW8" s="526">
        <f t="shared" si="3"/>
        <v>1876.9991184601802</v>
      </c>
      <c r="BX8" s="526">
        <f t="shared" si="3"/>
        <v>1876.9991184601802</v>
      </c>
      <c r="BY8" s="526">
        <f t="shared" si="3"/>
        <v>1876.9991184601802</v>
      </c>
      <c r="BZ8" s="526">
        <f t="shared" si="3"/>
        <v>1876.9991184601802</v>
      </c>
      <c r="CA8" s="526">
        <f t="shared" si="3"/>
        <v>1876.9991184601802</v>
      </c>
      <c r="CB8" s="526">
        <f t="shared" si="2"/>
        <v>1876.9991184601802</v>
      </c>
      <c r="CC8" s="526">
        <f t="shared" si="2"/>
        <v>1876.9991184601802</v>
      </c>
      <c r="CD8" s="526">
        <f t="shared" si="2"/>
        <v>1876.9991184601802</v>
      </c>
      <c r="CE8" s="526">
        <f t="shared" si="2"/>
        <v>1876.9991184601802</v>
      </c>
      <c r="CF8" s="526">
        <f t="shared" si="2"/>
        <v>1876.9991184601802</v>
      </c>
    </row>
    <row r="9" spans="2:84">
      <c r="B9" t="s">
        <v>710</v>
      </c>
      <c r="C9" t="s">
        <v>1354</v>
      </c>
      <c r="D9" t="s">
        <v>826</v>
      </c>
      <c r="E9" t="s">
        <v>1353</v>
      </c>
      <c r="F9" t="str">
        <f t="shared" si="1"/>
        <v>e-hydrogen (liquefied)OpExMiddle East</v>
      </c>
      <c r="G9" s="525">
        <v>3705.9940129072884</v>
      </c>
      <c r="H9" s="525">
        <v>3553.3763824758612</v>
      </c>
      <c r="I9" s="525">
        <v>3397.8089012282185</v>
      </c>
      <c r="J9" s="525">
        <v>3298.5539246504723</v>
      </c>
      <c r="K9" s="525">
        <v>3194.600523156545</v>
      </c>
      <c r="L9" s="525">
        <v>3086.0068618240957</v>
      </c>
      <c r="M9" s="525">
        <v>2972.8311057308811</v>
      </c>
      <c r="N9" s="525">
        <v>2855.1314199544831</v>
      </c>
      <c r="O9" s="525">
        <v>2804.5927019291344</v>
      </c>
      <c r="P9" s="525">
        <v>2747.4547988844497</v>
      </c>
      <c r="Q9" s="525">
        <v>2683.7572856151014</v>
      </c>
      <c r="R9" s="525">
        <v>2613.5397369157895</v>
      </c>
      <c r="S9" s="525">
        <v>2536.8417275812935</v>
      </c>
      <c r="T9" s="525">
        <v>2482.262953801765</v>
      </c>
      <c r="U9" s="525">
        <v>2423.321859565373</v>
      </c>
      <c r="V9" s="525">
        <v>2360.0322007081181</v>
      </c>
      <c r="W9" s="525">
        <v>2292.4077330657806</v>
      </c>
      <c r="X9" s="525">
        <v>2220.4622124743037</v>
      </c>
      <c r="Y9" s="525">
        <v>2142.0852412898389</v>
      </c>
      <c r="Z9" s="525">
        <v>2061.9118451422282</v>
      </c>
      <c r="AA9" s="525">
        <v>1979.9317651372326</v>
      </c>
      <c r="AB9" s="525">
        <v>1896.134742380518</v>
      </c>
      <c r="AC9" s="525">
        <v>1810.510517977815</v>
      </c>
      <c r="AD9" s="525">
        <v>1747.9802755459364</v>
      </c>
      <c r="AE9" s="525">
        <v>1684.5998575658919</v>
      </c>
      <c r="AF9" s="525">
        <v>1620.3630996687104</v>
      </c>
      <c r="AG9" s="525">
        <v>1555.2638374854337</v>
      </c>
      <c r="AH9" s="525">
        <v>1489.2959066471049</v>
      </c>
      <c r="AI9" s="526">
        <f t="shared" si="3"/>
        <v>1489.2959066471049</v>
      </c>
      <c r="AJ9" s="526">
        <f t="shared" si="3"/>
        <v>1489.2959066471049</v>
      </c>
      <c r="AK9" s="526">
        <f t="shared" si="3"/>
        <v>1489.2959066471049</v>
      </c>
      <c r="AL9" s="526">
        <f t="shared" si="3"/>
        <v>1489.2959066471049</v>
      </c>
      <c r="AM9" s="526">
        <f t="shared" si="3"/>
        <v>1489.2959066471049</v>
      </c>
      <c r="AN9" s="526">
        <f t="shared" si="3"/>
        <v>1489.2959066471049</v>
      </c>
      <c r="AO9" s="526">
        <f t="shared" si="3"/>
        <v>1489.2959066471049</v>
      </c>
      <c r="AP9" s="526">
        <f t="shared" si="3"/>
        <v>1489.2959066471049</v>
      </c>
      <c r="AQ9" s="526">
        <f t="shared" si="3"/>
        <v>1489.2959066471049</v>
      </c>
      <c r="AR9" s="526">
        <f t="shared" si="3"/>
        <v>1489.2959066471049</v>
      </c>
      <c r="AS9" s="526">
        <f t="shared" si="3"/>
        <v>1489.2959066471049</v>
      </c>
      <c r="AT9" s="526">
        <f t="shared" si="3"/>
        <v>1489.2959066471049</v>
      </c>
      <c r="AU9" s="526">
        <f t="shared" si="3"/>
        <v>1489.2959066471049</v>
      </c>
      <c r="AV9" s="526">
        <f t="shared" si="3"/>
        <v>1489.2959066471049</v>
      </c>
      <c r="AW9" s="526">
        <f t="shared" si="3"/>
        <v>1489.2959066471049</v>
      </c>
      <c r="AX9" s="526">
        <f t="shared" si="3"/>
        <v>1489.2959066471049</v>
      </c>
      <c r="AY9" s="526">
        <f t="shared" si="3"/>
        <v>1489.2959066471049</v>
      </c>
      <c r="AZ9" s="526">
        <f t="shared" si="3"/>
        <v>1489.2959066471049</v>
      </c>
      <c r="BA9" s="526">
        <f t="shared" si="3"/>
        <v>1489.2959066471049</v>
      </c>
      <c r="BB9" s="526">
        <f t="shared" si="3"/>
        <v>1489.2959066471049</v>
      </c>
      <c r="BC9" s="526">
        <f t="shared" si="3"/>
        <v>1489.2959066471049</v>
      </c>
      <c r="BD9" s="526">
        <f t="shared" si="3"/>
        <v>1489.2959066471049</v>
      </c>
      <c r="BE9" s="526">
        <f t="shared" si="3"/>
        <v>1489.2959066471049</v>
      </c>
      <c r="BF9" s="526">
        <f t="shared" si="3"/>
        <v>1489.2959066471049</v>
      </c>
      <c r="BG9" s="526">
        <f t="shared" si="3"/>
        <v>1489.2959066471049</v>
      </c>
      <c r="BH9" s="526">
        <f t="shared" si="3"/>
        <v>1489.2959066471049</v>
      </c>
      <c r="BI9" s="526">
        <f t="shared" si="3"/>
        <v>1489.2959066471049</v>
      </c>
      <c r="BJ9" s="526">
        <f t="shared" si="3"/>
        <v>1489.2959066471049</v>
      </c>
      <c r="BK9" s="526">
        <f t="shared" si="3"/>
        <v>1489.2959066471049</v>
      </c>
      <c r="BL9" s="526">
        <f t="shared" si="3"/>
        <v>1489.2959066471049</v>
      </c>
      <c r="BM9" s="526">
        <f t="shared" si="3"/>
        <v>1489.2959066471049</v>
      </c>
      <c r="BN9" s="526">
        <f t="shared" si="3"/>
        <v>1489.2959066471049</v>
      </c>
      <c r="BO9" s="526">
        <f t="shared" si="3"/>
        <v>1489.2959066471049</v>
      </c>
      <c r="BP9" s="526">
        <f t="shared" si="3"/>
        <v>1489.2959066471049</v>
      </c>
      <c r="BQ9" s="526">
        <f t="shared" si="3"/>
        <v>1489.2959066471049</v>
      </c>
      <c r="BR9" s="526">
        <f t="shared" si="3"/>
        <v>1489.2959066471049</v>
      </c>
      <c r="BS9" s="526">
        <f t="shared" si="3"/>
        <v>1489.2959066471049</v>
      </c>
      <c r="BT9" s="526">
        <f t="shared" si="3"/>
        <v>1489.2959066471049</v>
      </c>
      <c r="BU9" s="526">
        <f t="shared" si="3"/>
        <v>1489.2959066471049</v>
      </c>
      <c r="BV9" s="526">
        <f t="shared" si="3"/>
        <v>1489.2959066471049</v>
      </c>
      <c r="BW9" s="526">
        <f t="shared" si="3"/>
        <v>1489.2959066471049</v>
      </c>
      <c r="BX9" s="526">
        <f t="shared" si="3"/>
        <v>1489.2959066471049</v>
      </c>
      <c r="BY9" s="526">
        <f t="shared" si="3"/>
        <v>1489.2959066471049</v>
      </c>
      <c r="BZ9" s="526">
        <f t="shared" si="3"/>
        <v>1489.2959066471049</v>
      </c>
      <c r="CA9" s="526">
        <f t="shared" si="3"/>
        <v>1489.2959066471049</v>
      </c>
      <c r="CB9" s="526">
        <f t="shared" si="2"/>
        <v>1489.2959066471049</v>
      </c>
      <c r="CC9" s="526">
        <f t="shared" si="2"/>
        <v>1489.2959066471049</v>
      </c>
      <c r="CD9" s="526">
        <f t="shared" si="2"/>
        <v>1489.2959066471049</v>
      </c>
      <c r="CE9" s="526">
        <f t="shared" si="2"/>
        <v>1489.2959066471049</v>
      </c>
      <c r="CF9" s="526">
        <f t="shared" si="2"/>
        <v>1489.2959066471049</v>
      </c>
    </row>
    <row r="10" spans="2:84">
      <c r="B10" t="s">
        <v>710</v>
      </c>
      <c r="C10" t="s">
        <v>1355</v>
      </c>
      <c r="D10" t="s">
        <v>708</v>
      </c>
      <c r="E10" t="s">
        <v>1356</v>
      </c>
      <c r="F10" t="str">
        <f t="shared" si="1"/>
        <v>e-hydrogen (liquefied)Total emissions - WTT - GWP100Global</v>
      </c>
      <c r="G10" s="527">
        <v>0.3387607846065307</v>
      </c>
      <c r="H10" s="527">
        <v>0.33842968709700272</v>
      </c>
      <c r="I10" s="527">
        <v>0.33804150000000133</v>
      </c>
      <c r="J10" s="527">
        <v>0.33746407594781536</v>
      </c>
      <c r="K10" s="527">
        <v>0.33679039145140721</v>
      </c>
      <c r="L10" s="527">
        <v>0.33602044651077334</v>
      </c>
      <c r="M10" s="527">
        <v>0.33515424112591996</v>
      </c>
      <c r="N10" s="527">
        <v>0.33419177529683952</v>
      </c>
      <c r="O10" s="527">
        <v>0.33233254178214711</v>
      </c>
      <c r="P10" s="527">
        <v>0.33038042358064923</v>
      </c>
      <c r="Q10" s="527">
        <v>0.32833542069234123</v>
      </c>
      <c r="R10" s="527">
        <v>0.32619753311721822</v>
      </c>
      <c r="S10" s="527">
        <v>0.32396676085528853</v>
      </c>
      <c r="T10" s="527">
        <v>0.32163969323199504</v>
      </c>
      <c r="U10" s="527">
        <v>0.31924823282278703</v>
      </c>
      <c r="V10" s="527">
        <v>0.31679237962767426</v>
      </c>
      <c r="W10" s="527">
        <v>0.31427213364664341</v>
      </c>
      <c r="X10" s="527">
        <v>0.31168749487969782</v>
      </c>
      <c r="Y10" s="527">
        <v>0.308344723323697</v>
      </c>
      <c r="Z10" s="527">
        <v>0.30503857164708092</v>
      </c>
      <c r="AA10" s="527">
        <v>0.3017690398498557</v>
      </c>
      <c r="AB10" s="527">
        <v>0.29853612793201523</v>
      </c>
      <c r="AC10" s="527">
        <v>0.29533983589356411</v>
      </c>
      <c r="AD10" s="527">
        <v>0.29267024010561371</v>
      </c>
      <c r="AE10" s="527">
        <v>0.29004765862228266</v>
      </c>
      <c r="AF10" s="527">
        <v>0.28747209144356967</v>
      </c>
      <c r="AG10" s="527">
        <v>0.2849435385694753</v>
      </c>
      <c r="AH10" s="527">
        <v>0.28246200000000021</v>
      </c>
      <c r="AI10" s="528">
        <f t="shared" si="3"/>
        <v>0.28246200000000021</v>
      </c>
      <c r="AJ10" s="528">
        <f t="shared" si="3"/>
        <v>0.28246200000000021</v>
      </c>
      <c r="AK10" s="528">
        <f t="shared" si="3"/>
        <v>0.28246200000000021</v>
      </c>
      <c r="AL10" s="528">
        <f t="shared" si="3"/>
        <v>0.28246200000000021</v>
      </c>
      <c r="AM10" s="528">
        <f t="shared" si="3"/>
        <v>0.28246200000000021</v>
      </c>
      <c r="AN10" s="528">
        <f t="shared" si="3"/>
        <v>0.28246200000000021</v>
      </c>
      <c r="AO10" s="528">
        <f t="shared" si="3"/>
        <v>0.28246200000000021</v>
      </c>
      <c r="AP10" s="528">
        <f t="shared" si="3"/>
        <v>0.28246200000000021</v>
      </c>
      <c r="AQ10" s="528">
        <f t="shared" si="3"/>
        <v>0.28246200000000021</v>
      </c>
      <c r="AR10" s="528">
        <f t="shared" si="3"/>
        <v>0.28246200000000021</v>
      </c>
      <c r="AS10" s="528">
        <f t="shared" si="3"/>
        <v>0.28246200000000021</v>
      </c>
      <c r="AT10" s="528">
        <f t="shared" si="3"/>
        <v>0.28246200000000021</v>
      </c>
      <c r="AU10" s="528">
        <f t="shared" si="3"/>
        <v>0.28246200000000021</v>
      </c>
      <c r="AV10" s="528">
        <f t="shared" si="3"/>
        <v>0.28246200000000021</v>
      </c>
      <c r="AW10" s="528">
        <f t="shared" si="3"/>
        <v>0.28246200000000021</v>
      </c>
      <c r="AX10" s="528">
        <f t="shared" si="3"/>
        <v>0.28246200000000021</v>
      </c>
      <c r="AY10" s="528">
        <f t="shared" si="3"/>
        <v>0.28246200000000021</v>
      </c>
      <c r="AZ10" s="528">
        <f t="shared" si="3"/>
        <v>0.28246200000000021</v>
      </c>
      <c r="BA10" s="528">
        <f t="shared" si="3"/>
        <v>0.28246200000000021</v>
      </c>
      <c r="BB10" s="528">
        <f t="shared" si="3"/>
        <v>0.28246200000000021</v>
      </c>
      <c r="BC10" s="528">
        <f t="shared" si="3"/>
        <v>0.28246200000000021</v>
      </c>
      <c r="BD10" s="528">
        <f t="shared" si="3"/>
        <v>0.28246200000000021</v>
      </c>
      <c r="BE10" s="528">
        <f t="shared" si="3"/>
        <v>0.28246200000000021</v>
      </c>
      <c r="BF10" s="528">
        <f t="shared" si="3"/>
        <v>0.28246200000000021</v>
      </c>
      <c r="BG10" s="528">
        <f t="shared" si="3"/>
        <v>0.28246200000000021</v>
      </c>
      <c r="BH10" s="528">
        <f t="shared" si="3"/>
        <v>0.28246200000000021</v>
      </c>
      <c r="BI10" s="528">
        <f t="shared" si="3"/>
        <v>0.28246200000000021</v>
      </c>
      <c r="BJ10" s="528">
        <f t="shared" si="3"/>
        <v>0.28246200000000021</v>
      </c>
      <c r="BK10" s="528">
        <f t="shared" si="3"/>
        <v>0.28246200000000021</v>
      </c>
      <c r="BL10" s="528">
        <f t="shared" si="3"/>
        <v>0.28246200000000021</v>
      </c>
      <c r="BM10" s="528">
        <f t="shared" ref="BM10:CA10" si="4">BL10</f>
        <v>0.28246200000000021</v>
      </c>
      <c r="BN10" s="528">
        <f t="shared" si="4"/>
        <v>0.28246200000000021</v>
      </c>
      <c r="BO10" s="528">
        <f t="shared" si="4"/>
        <v>0.28246200000000021</v>
      </c>
      <c r="BP10" s="528">
        <f t="shared" si="4"/>
        <v>0.28246200000000021</v>
      </c>
      <c r="BQ10" s="528">
        <f t="shared" si="4"/>
        <v>0.28246200000000021</v>
      </c>
      <c r="BR10" s="528">
        <f t="shared" si="4"/>
        <v>0.28246200000000021</v>
      </c>
      <c r="BS10" s="528">
        <f t="shared" si="4"/>
        <v>0.28246200000000021</v>
      </c>
      <c r="BT10" s="528">
        <f t="shared" si="4"/>
        <v>0.28246200000000021</v>
      </c>
      <c r="BU10" s="528">
        <f t="shared" si="4"/>
        <v>0.28246200000000021</v>
      </c>
      <c r="BV10" s="528">
        <f t="shared" si="4"/>
        <v>0.28246200000000021</v>
      </c>
      <c r="BW10" s="528">
        <f t="shared" si="4"/>
        <v>0.28246200000000021</v>
      </c>
      <c r="BX10" s="528">
        <f t="shared" si="4"/>
        <v>0.28246200000000021</v>
      </c>
      <c r="BY10" s="528">
        <f t="shared" si="4"/>
        <v>0.28246200000000021</v>
      </c>
      <c r="BZ10" s="528">
        <f t="shared" si="4"/>
        <v>0.28246200000000021</v>
      </c>
      <c r="CA10" s="528">
        <f t="shared" si="4"/>
        <v>0.28246200000000021</v>
      </c>
      <c r="CB10" s="528">
        <f t="shared" si="2"/>
        <v>0.28246200000000021</v>
      </c>
      <c r="CC10" s="528">
        <f t="shared" si="2"/>
        <v>0.28246200000000021</v>
      </c>
      <c r="CD10" s="528">
        <f t="shared" si="2"/>
        <v>0.28246200000000021</v>
      </c>
      <c r="CE10" s="528">
        <f t="shared" si="2"/>
        <v>0.28246200000000021</v>
      </c>
      <c r="CF10" s="528">
        <f t="shared" si="2"/>
        <v>0.28246200000000021</v>
      </c>
    </row>
    <row r="11" spans="2:84">
      <c r="B11" t="s">
        <v>710</v>
      </c>
      <c r="C11" t="s">
        <v>1357</v>
      </c>
      <c r="D11" t="s">
        <v>708</v>
      </c>
      <c r="E11" t="s">
        <v>1356</v>
      </c>
      <c r="F11" t="str">
        <f t="shared" si="1"/>
        <v>e-hydrogen (liquefied)Total emissions - TTW - GWP100Global</v>
      </c>
      <c r="G11" s="527">
        <v>0</v>
      </c>
      <c r="H11" s="527">
        <v>0</v>
      </c>
      <c r="I11" s="527">
        <v>0</v>
      </c>
      <c r="J11" s="527">
        <v>0</v>
      </c>
      <c r="K11" s="527">
        <v>0</v>
      </c>
      <c r="L11" s="527">
        <v>0</v>
      </c>
      <c r="M11" s="527">
        <v>0</v>
      </c>
      <c r="N11" s="527">
        <v>0</v>
      </c>
      <c r="O11" s="527">
        <v>0</v>
      </c>
      <c r="P11" s="527">
        <v>0</v>
      </c>
      <c r="Q11" s="527">
        <v>0</v>
      </c>
      <c r="R11" s="527">
        <v>0</v>
      </c>
      <c r="S11" s="527">
        <v>0</v>
      </c>
      <c r="T11" s="527">
        <v>0</v>
      </c>
      <c r="U11" s="527">
        <v>0</v>
      </c>
      <c r="V11" s="527">
        <v>0</v>
      </c>
      <c r="W11" s="527">
        <v>0</v>
      </c>
      <c r="X11" s="527">
        <v>0</v>
      </c>
      <c r="Y11" s="527">
        <v>0</v>
      </c>
      <c r="Z11" s="527">
        <v>0</v>
      </c>
      <c r="AA11" s="527">
        <v>0</v>
      </c>
      <c r="AB11" s="527">
        <v>0</v>
      </c>
      <c r="AC11" s="527">
        <v>0</v>
      </c>
      <c r="AD11" s="527">
        <v>0</v>
      </c>
      <c r="AE11" s="527">
        <v>0</v>
      </c>
      <c r="AF11" s="527">
        <v>0</v>
      </c>
      <c r="AG11" s="527">
        <v>0</v>
      </c>
      <c r="AH11" s="527">
        <v>0</v>
      </c>
      <c r="AI11" s="526">
        <f t="shared" ref="AI11:CA12" si="5">AH11</f>
        <v>0</v>
      </c>
      <c r="AJ11" s="526">
        <f t="shared" si="5"/>
        <v>0</v>
      </c>
      <c r="AK11" s="526">
        <f t="shared" si="5"/>
        <v>0</v>
      </c>
      <c r="AL11" s="526">
        <f t="shared" si="5"/>
        <v>0</v>
      </c>
      <c r="AM11" s="526">
        <f t="shared" si="5"/>
        <v>0</v>
      </c>
      <c r="AN11" s="526">
        <f t="shared" si="5"/>
        <v>0</v>
      </c>
      <c r="AO11" s="526">
        <f t="shared" si="5"/>
        <v>0</v>
      </c>
      <c r="AP11" s="526">
        <f t="shared" si="5"/>
        <v>0</v>
      </c>
      <c r="AQ11" s="526">
        <f t="shared" si="5"/>
        <v>0</v>
      </c>
      <c r="AR11" s="526">
        <f t="shared" si="5"/>
        <v>0</v>
      </c>
      <c r="AS11" s="526">
        <f t="shared" si="5"/>
        <v>0</v>
      </c>
      <c r="AT11" s="526">
        <f t="shared" si="5"/>
        <v>0</v>
      </c>
      <c r="AU11" s="526">
        <f t="shared" si="5"/>
        <v>0</v>
      </c>
      <c r="AV11" s="526">
        <f t="shared" si="5"/>
        <v>0</v>
      </c>
      <c r="AW11" s="526">
        <f t="shared" si="5"/>
        <v>0</v>
      </c>
      <c r="AX11" s="526">
        <f t="shared" si="5"/>
        <v>0</v>
      </c>
      <c r="AY11" s="526">
        <f t="shared" si="5"/>
        <v>0</v>
      </c>
      <c r="AZ11" s="526">
        <f t="shared" si="5"/>
        <v>0</v>
      </c>
      <c r="BA11" s="526">
        <f t="shared" si="5"/>
        <v>0</v>
      </c>
      <c r="BB11" s="526">
        <f t="shared" si="5"/>
        <v>0</v>
      </c>
      <c r="BC11" s="526">
        <f t="shared" si="5"/>
        <v>0</v>
      </c>
      <c r="BD11" s="526">
        <f t="shared" si="5"/>
        <v>0</v>
      </c>
      <c r="BE11" s="526">
        <f t="shared" si="5"/>
        <v>0</v>
      </c>
      <c r="BF11" s="526">
        <f t="shared" si="5"/>
        <v>0</v>
      </c>
      <c r="BG11" s="526">
        <f t="shared" si="5"/>
        <v>0</v>
      </c>
      <c r="BH11" s="526">
        <f t="shared" si="5"/>
        <v>0</v>
      </c>
      <c r="BI11" s="526">
        <f t="shared" si="5"/>
        <v>0</v>
      </c>
      <c r="BJ11" s="526">
        <f t="shared" si="5"/>
        <v>0</v>
      </c>
      <c r="BK11" s="526">
        <f t="shared" si="5"/>
        <v>0</v>
      </c>
      <c r="BL11" s="526">
        <f t="shared" si="5"/>
        <v>0</v>
      </c>
      <c r="BM11" s="526">
        <f t="shared" si="5"/>
        <v>0</v>
      </c>
      <c r="BN11" s="526">
        <f t="shared" si="5"/>
        <v>0</v>
      </c>
      <c r="BO11" s="526">
        <f t="shared" si="5"/>
        <v>0</v>
      </c>
      <c r="BP11" s="526">
        <f t="shared" si="5"/>
        <v>0</v>
      </c>
      <c r="BQ11" s="526">
        <f t="shared" si="5"/>
        <v>0</v>
      </c>
      <c r="BR11" s="526">
        <f t="shared" si="5"/>
        <v>0</v>
      </c>
      <c r="BS11" s="526">
        <f t="shared" si="5"/>
        <v>0</v>
      </c>
      <c r="BT11" s="526">
        <f t="shared" si="5"/>
        <v>0</v>
      </c>
      <c r="BU11" s="526">
        <f t="shared" si="5"/>
        <v>0</v>
      </c>
      <c r="BV11" s="526">
        <f t="shared" si="5"/>
        <v>0</v>
      </c>
      <c r="BW11" s="526">
        <f t="shared" si="5"/>
        <v>0</v>
      </c>
      <c r="BX11" s="526">
        <f t="shared" si="5"/>
        <v>0</v>
      </c>
      <c r="BY11" s="526">
        <f t="shared" si="5"/>
        <v>0</v>
      </c>
      <c r="BZ11" s="526">
        <f t="shared" si="5"/>
        <v>0</v>
      </c>
      <c r="CA11" s="526">
        <f t="shared" si="5"/>
        <v>0</v>
      </c>
      <c r="CB11" s="526">
        <f t="shared" si="2"/>
        <v>0</v>
      </c>
      <c r="CC11" s="526">
        <f t="shared" si="2"/>
        <v>0</v>
      </c>
      <c r="CD11" s="526">
        <f t="shared" si="2"/>
        <v>0</v>
      </c>
      <c r="CE11" s="526">
        <f t="shared" si="2"/>
        <v>0</v>
      </c>
      <c r="CF11" s="526">
        <f t="shared" si="2"/>
        <v>0</v>
      </c>
    </row>
    <row r="12" spans="2:84">
      <c r="B12" t="s">
        <v>710</v>
      </c>
      <c r="C12" t="s">
        <v>1358</v>
      </c>
      <c r="D12" t="s">
        <v>708</v>
      </c>
      <c r="E12" t="s">
        <v>1356</v>
      </c>
      <c r="F12" t="str">
        <f t="shared" si="1"/>
        <v>e-hydrogen (liquefied)Total emissions - WTW - GWP100Global</v>
      </c>
      <c r="G12" s="527">
        <v>0.3387607846065307</v>
      </c>
      <c r="H12" s="527">
        <v>0.33842968709700272</v>
      </c>
      <c r="I12" s="527">
        <v>0.33804150000000133</v>
      </c>
      <c r="J12" s="527">
        <v>0.33746407594781536</v>
      </c>
      <c r="K12" s="527">
        <v>0.33679039145140721</v>
      </c>
      <c r="L12" s="527">
        <v>0.33602044651077334</v>
      </c>
      <c r="M12" s="527">
        <v>0.33515424112591996</v>
      </c>
      <c r="N12" s="527">
        <v>0.33419177529683952</v>
      </c>
      <c r="O12" s="527">
        <v>0.33233254178214711</v>
      </c>
      <c r="P12" s="527">
        <v>0.33038042358064923</v>
      </c>
      <c r="Q12" s="527">
        <v>0.32833542069234123</v>
      </c>
      <c r="R12" s="527">
        <v>0.32619753311721822</v>
      </c>
      <c r="S12" s="527">
        <v>0.32396676085528853</v>
      </c>
      <c r="T12" s="527">
        <v>0.32163969323199504</v>
      </c>
      <c r="U12" s="527">
        <v>0.31924823282278703</v>
      </c>
      <c r="V12" s="527">
        <v>0.31679237962767426</v>
      </c>
      <c r="W12" s="527">
        <v>0.31427213364664341</v>
      </c>
      <c r="X12" s="527">
        <v>0.31168749487969782</v>
      </c>
      <c r="Y12" s="527">
        <v>0.308344723323697</v>
      </c>
      <c r="Z12" s="527">
        <v>0.30503857164708092</v>
      </c>
      <c r="AA12" s="527">
        <v>0.3017690398498557</v>
      </c>
      <c r="AB12" s="527">
        <v>0.29853612793201523</v>
      </c>
      <c r="AC12" s="527">
        <v>0.29533983589356411</v>
      </c>
      <c r="AD12" s="527">
        <v>0.29267024010561371</v>
      </c>
      <c r="AE12" s="527">
        <v>0.29004765862228266</v>
      </c>
      <c r="AF12" s="527">
        <v>0.28747209144356967</v>
      </c>
      <c r="AG12" s="527">
        <v>0.2849435385694753</v>
      </c>
      <c r="AH12" s="527">
        <v>0.28246200000000021</v>
      </c>
      <c r="AI12" s="528">
        <f t="shared" si="5"/>
        <v>0.28246200000000021</v>
      </c>
      <c r="AJ12" s="528">
        <f t="shared" si="5"/>
        <v>0.28246200000000021</v>
      </c>
      <c r="AK12" s="528">
        <f t="shared" si="5"/>
        <v>0.28246200000000021</v>
      </c>
      <c r="AL12" s="528">
        <f t="shared" si="5"/>
        <v>0.28246200000000021</v>
      </c>
      <c r="AM12" s="528">
        <f t="shared" si="5"/>
        <v>0.28246200000000021</v>
      </c>
      <c r="AN12" s="528">
        <f t="shared" si="5"/>
        <v>0.28246200000000021</v>
      </c>
      <c r="AO12" s="528">
        <f t="shared" si="5"/>
        <v>0.28246200000000021</v>
      </c>
      <c r="AP12" s="528">
        <f t="shared" si="5"/>
        <v>0.28246200000000021</v>
      </c>
      <c r="AQ12" s="528">
        <f t="shared" si="5"/>
        <v>0.28246200000000021</v>
      </c>
      <c r="AR12" s="528">
        <f t="shared" si="5"/>
        <v>0.28246200000000021</v>
      </c>
      <c r="AS12" s="528">
        <f t="shared" si="5"/>
        <v>0.28246200000000021</v>
      </c>
      <c r="AT12" s="528">
        <f t="shared" si="5"/>
        <v>0.28246200000000021</v>
      </c>
      <c r="AU12" s="528">
        <f t="shared" si="5"/>
        <v>0.28246200000000021</v>
      </c>
      <c r="AV12" s="528">
        <f t="shared" si="5"/>
        <v>0.28246200000000021</v>
      </c>
      <c r="AW12" s="528">
        <f t="shared" si="5"/>
        <v>0.28246200000000021</v>
      </c>
      <c r="AX12" s="528">
        <f t="shared" si="5"/>
        <v>0.28246200000000021</v>
      </c>
      <c r="AY12" s="528">
        <f t="shared" si="5"/>
        <v>0.28246200000000021</v>
      </c>
      <c r="AZ12" s="528">
        <f t="shared" si="5"/>
        <v>0.28246200000000021</v>
      </c>
      <c r="BA12" s="528">
        <f t="shared" si="5"/>
        <v>0.28246200000000021</v>
      </c>
      <c r="BB12" s="528">
        <f t="shared" si="5"/>
        <v>0.28246200000000021</v>
      </c>
      <c r="BC12" s="528">
        <f t="shared" si="5"/>
        <v>0.28246200000000021</v>
      </c>
      <c r="BD12" s="528">
        <f t="shared" si="5"/>
        <v>0.28246200000000021</v>
      </c>
      <c r="BE12" s="528">
        <f t="shared" si="5"/>
        <v>0.28246200000000021</v>
      </c>
      <c r="BF12" s="528">
        <f t="shared" si="5"/>
        <v>0.28246200000000021</v>
      </c>
      <c r="BG12" s="528">
        <f t="shared" si="5"/>
        <v>0.28246200000000021</v>
      </c>
      <c r="BH12" s="528">
        <f t="shared" si="5"/>
        <v>0.28246200000000021</v>
      </c>
      <c r="BI12" s="528">
        <f t="shared" si="5"/>
        <v>0.28246200000000021</v>
      </c>
      <c r="BJ12" s="528">
        <f t="shared" si="5"/>
        <v>0.28246200000000021</v>
      </c>
      <c r="BK12" s="528">
        <f t="shared" si="5"/>
        <v>0.28246200000000021</v>
      </c>
      <c r="BL12" s="528">
        <f t="shared" si="5"/>
        <v>0.28246200000000021</v>
      </c>
      <c r="BM12" s="528">
        <f t="shared" si="5"/>
        <v>0.28246200000000021</v>
      </c>
      <c r="BN12" s="528">
        <f t="shared" si="5"/>
        <v>0.28246200000000021</v>
      </c>
      <c r="BO12" s="528">
        <f t="shared" si="5"/>
        <v>0.28246200000000021</v>
      </c>
      <c r="BP12" s="528">
        <f t="shared" si="5"/>
        <v>0.28246200000000021</v>
      </c>
      <c r="BQ12" s="528">
        <f t="shared" si="5"/>
        <v>0.28246200000000021</v>
      </c>
      <c r="BR12" s="528">
        <f t="shared" si="5"/>
        <v>0.28246200000000021</v>
      </c>
      <c r="BS12" s="528">
        <f t="shared" si="5"/>
        <v>0.28246200000000021</v>
      </c>
      <c r="BT12" s="528">
        <f t="shared" si="5"/>
        <v>0.28246200000000021</v>
      </c>
      <c r="BU12" s="528">
        <f t="shared" si="5"/>
        <v>0.28246200000000021</v>
      </c>
      <c r="BV12" s="528">
        <f t="shared" si="5"/>
        <v>0.28246200000000021</v>
      </c>
      <c r="BW12" s="528">
        <f t="shared" si="5"/>
        <v>0.28246200000000021</v>
      </c>
      <c r="BX12" s="528">
        <f t="shared" si="5"/>
        <v>0.28246200000000021</v>
      </c>
      <c r="BY12" s="528">
        <f t="shared" si="5"/>
        <v>0.28246200000000021</v>
      </c>
      <c r="BZ12" s="528">
        <f t="shared" si="5"/>
        <v>0.28246200000000021</v>
      </c>
      <c r="CA12" s="528">
        <f t="shared" si="5"/>
        <v>0.28246200000000021</v>
      </c>
      <c r="CB12" s="528">
        <f t="shared" si="2"/>
        <v>0.28246200000000021</v>
      </c>
      <c r="CC12" s="528">
        <f t="shared" si="2"/>
        <v>0.28246200000000021</v>
      </c>
      <c r="CD12" s="528">
        <f t="shared" si="2"/>
        <v>0.28246200000000021</v>
      </c>
      <c r="CE12" s="528">
        <f t="shared" si="2"/>
        <v>0.28246200000000021</v>
      </c>
      <c r="CF12" s="528">
        <f t="shared" si="2"/>
        <v>0.28246200000000021</v>
      </c>
    </row>
    <row r="13" spans="2:84">
      <c r="B13" t="s">
        <v>722</v>
      </c>
      <c r="C13" t="s">
        <v>1352</v>
      </c>
      <c r="D13" t="s">
        <v>708</v>
      </c>
      <c r="E13" t="s">
        <v>1353</v>
      </c>
      <c r="F13" t="str">
        <f t="shared" si="1"/>
        <v>e-hydrogen (compressed)CapExGlobal</v>
      </c>
      <c r="G13" s="525">
        <v>7699.3906059041574</v>
      </c>
      <c r="H13" s="525">
        <v>7416.5101772491962</v>
      </c>
      <c r="I13" s="525">
        <v>7126.1415525113434</v>
      </c>
      <c r="J13" s="525">
        <v>6975.9809071960844</v>
      </c>
      <c r="K13" s="525">
        <v>6811.9088644995745</v>
      </c>
      <c r="L13" s="525">
        <v>6633.9254244219592</v>
      </c>
      <c r="M13" s="525">
        <v>6442.0305869632884</v>
      </c>
      <c r="N13" s="525">
        <v>6236.2243521233595</v>
      </c>
      <c r="O13" s="525">
        <v>6367.4091527695318</v>
      </c>
      <c r="P13" s="525">
        <v>6466.1511454782058</v>
      </c>
      <c r="Q13" s="525">
        <v>6532.4503302493013</v>
      </c>
      <c r="R13" s="525">
        <v>6566.306707082671</v>
      </c>
      <c r="S13" s="525">
        <v>6567.7202759785741</v>
      </c>
      <c r="T13" s="525">
        <v>6516.3986608104406</v>
      </c>
      <c r="U13" s="525">
        <v>6438.300450008378</v>
      </c>
      <c r="V13" s="525">
        <v>6333.4256435726575</v>
      </c>
      <c r="W13" s="525">
        <v>6201.7742415030125</v>
      </c>
      <c r="X13" s="525">
        <v>6043.3462437993421</v>
      </c>
      <c r="Y13" s="525">
        <v>5840.4683808388108</v>
      </c>
      <c r="Z13" s="525">
        <v>5617.3860826964783</v>
      </c>
      <c r="AA13" s="525">
        <v>5374.0993493725655</v>
      </c>
      <c r="AB13" s="525">
        <v>5110.6081808669287</v>
      </c>
      <c r="AC13" s="525">
        <v>4826.9125771795207</v>
      </c>
      <c r="AD13" s="525">
        <v>4519.2257094910256</v>
      </c>
      <c r="AE13" s="525">
        <v>4198.9010635909208</v>
      </c>
      <c r="AF13" s="525">
        <v>3865.9386394792054</v>
      </c>
      <c r="AG13" s="525">
        <v>3520.3384371558809</v>
      </c>
      <c r="AH13" s="525">
        <v>3162.1004566209504</v>
      </c>
      <c r="AI13" s="526">
        <f>AH13</f>
        <v>3162.1004566209504</v>
      </c>
      <c r="AJ13" s="526">
        <f t="shared" ref="AJ13:CF21" si="6">AI13</f>
        <v>3162.1004566209504</v>
      </c>
      <c r="AK13" s="526">
        <f t="shared" si="6"/>
        <v>3162.1004566209504</v>
      </c>
      <c r="AL13" s="526">
        <f t="shared" si="6"/>
        <v>3162.1004566209504</v>
      </c>
      <c r="AM13" s="526">
        <f t="shared" si="6"/>
        <v>3162.1004566209504</v>
      </c>
      <c r="AN13" s="526">
        <f t="shared" si="6"/>
        <v>3162.1004566209504</v>
      </c>
      <c r="AO13" s="526">
        <f t="shared" si="6"/>
        <v>3162.1004566209504</v>
      </c>
      <c r="AP13" s="526">
        <f t="shared" si="6"/>
        <v>3162.1004566209504</v>
      </c>
      <c r="AQ13" s="526">
        <f t="shared" si="6"/>
        <v>3162.1004566209504</v>
      </c>
      <c r="AR13" s="526">
        <f t="shared" si="6"/>
        <v>3162.1004566209504</v>
      </c>
      <c r="AS13" s="526">
        <f t="shared" si="6"/>
        <v>3162.1004566209504</v>
      </c>
      <c r="AT13" s="526">
        <f t="shared" si="6"/>
        <v>3162.1004566209504</v>
      </c>
      <c r="AU13" s="526">
        <f t="shared" si="6"/>
        <v>3162.1004566209504</v>
      </c>
      <c r="AV13" s="526">
        <f t="shared" si="6"/>
        <v>3162.1004566209504</v>
      </c>
      <c r="AW13" s="526">
        <f t="shared" si="6"/>
        <v>3162.1004566209504</v>
      </c>
      <c r="AX13" s="526">
        <f t="shared" si="6"/>
        <v>3162.1004566209504</v>
      </c>
      <c r="AY13" s="526">
        <f t="shared" si="6"/>
        <v>3162.1004566209504</v>
      </c>
      <c r="AZ13" s="526">
        <f t="shared" si="6"/>
        <v>3162.1004566209504</v>
      </c>
      <c r="BA13" s="526">
        <f t="shared" si="6"/>
        <v>3162.1004566209504</v>
      </c>
      <c r="BB13" s="526">
        <f t="shared" si="6"/>
        <v>3162.1004566209504</v>
      </c>
      <c r="BC13" s="526">
        <f t="shared" si="6"/>
        <v>3162.1004566209504</v>
      </c>
      <c r="BD13" s="526">
        <f t="shared" si="6"/>
        <v>3162.1004566209504</v>
      </c>
      <c r="BE13" s="526">
        <f t="shared" si="6"/>
        <v>3162.1004566209504</v>
      </c>
      <c r="BF13" s="526">
        <f t="shared" si="6"/>
        <v>3162.1004566209504</v>
      </c>
      <c r="BG13" s="526">
        <f t="shared" si="6"/>
        <v>3162.1004566209504</v>
      </c>
      <c r="BH13" s="526">
        <f t="shared" si="6"/>
        <v>3162.1004566209504</v>
      </c>
      <c r="BI13" s="526">
        <f t="shared" si="6"/>
        <v>3162.1004566209504</v>
      </c>
      <c r="BJ13" s="526">
        <f t="shared" si="6"/>
        <v>3162.1004566209504</v>
      </c>
      <c r="BK13" s="526">
        <f t="shared" si="6"/>
        <v>3162.1004566209504</v>
      </c>
      <c r="BL13" s="526">
        <f t="shared" si="6"/>
        <v>3162.1004566209504</v>
      </c>
      <c r="BM13" s="526">
        <f t="shared" si="6"/>
        <v>3162.1004566209504</v>
      </c>
      <c r="BN13" s="526">
        <f t="shared" si="6"/>
        <v>3162.1004566209504</v>
      </c>
      <c r="BO13" s="526">
        <f t="shared" si="6"/>
        <v>3162.1004566209504</v>
      </c>
      <c r="BP13" s="526">
        <f t="shared" si="6"/>
        <v>3162.1004566209504</v>
      </c>
      <c r="BQ13" s="526">
        <f t="shared" si="6"/>
        <v>3162.1004566209504</v>
      </c>
      <c r="BR13" s="526">
        <f t="shared" si="6"/>
        <v>3162.1004566209504</v>
      </c>
      <c r="BS13" s="526">
        <f t="shared" si="6"/>
        <v>3162.1004566209504</v>
      </c>
      <c r="BT13" s="526">
        <f t="shared" si="6"/>
        <v>3162.1004566209504</v>
      </c>
      <c r="BU13" s="526">
        <f t="shared" si="6"/>
        <v>3162.1004566209504</v>
      </c>
      <c r="BV13" s="526">
        <f t="shared" si="6"/>
        <v>3162.1004566209504</v>
      </c>
      <c r="BW13" s="526">
        <f t="shared" si="6"/>
        <v>3162.1004566209504</v>
      </c>
      <c r="BX13" s="526">
        <f t="shared" si="6"/>
        <v>3162.1004566209504</v>
      </c>
      <c r="BY13" s="526">
        <f t="shared" si="6"/>
        <v>3162.1004566209504</v>
      </c>
      <c r="BZ13" s="526">
        <f t="shared" si="6"/>
        <v>3162.1004566209504</v>
      </c>
      <c r="CA13" s="526">
        <f t="shared" si="6"/>
        <v>3162.1004566209504</v>
      </c>
      <c r="CB13" s="526">
        <f t="shared" si="6"/>
        <v>3162.1004566209504</v>
      </c>
      <c r="CC13" s="526">
        <f t="shared" si="6"/>
        <v>3162.1004566209504</v>
      </c>
      <c r="CD13" s="526">
        <f t="shared" si="6"/>
        <v>3162.1004566209504</v>
      </c>
      <c r="CE13" s="526">
        <f t="shared" si="6"/>
        <v>3162.1004566209504</v>
      </c>
      <c r="CF13" s="526">
        <f t="shared" si="6"/>
        <v>3162.1004566209504</v>
      </c>
    </row>
    <row r="14" spans="2:84">
      <c r="B14" t="s">
        <v>722</v>
      </c>
      <c r="C14" t="s">
        <v>1354</v>
      </c>
      <c r="D14" t="s">
        <v>838</v>
      </c>
      <c r="E14" t="s">
        <v>1353</v>
      </c>
      <c r="F14" t="str">
        <f t="shared" si="1"/>
        <v>e-hydrogen (compressed)OpExAfrica</v>
      </c>
      <c r="G14" s="525">
        <v>4376.4769887789207</v>
      </c>
      <c r="H14" s="525">
        <v>3954.7486387135591</v>
      </c>
      <c r="I14" s="525">
        <v>3530.59836092264</v>
      </c>
      <c r="J14" s="525">
        <v>3395.1313645266882</v>
      </c>
      <c r="K14" s="525">
        <v>3254.9783215215984</v>
      </c>
      <c r="L14" s="525">
        <v>3110.2420187492316</v>
      </c>
      <c r="M14" s="525">
        <v>2961.0252430515357</v>
      </c>
      <c r="N14" s="525">
        <v>2807.4307812703364</v>
      </c>
      <c r="O14" s="525">
        <v>2745.2650638333539</v>
      </c>
      <c r="P14" s="525">
        <v>2676.6041944285289</v>
      </c>
      <c r="Q14" s="525">
        <v>2601.5035366923175</v>
      </c>
      <c r="R14" s="525">
        <v>2520.0184542612183</v>
      </c>
      <c r="S14" s="525">
        <v>2432.2043107718018</v>
      </c>
      <c r="T14" s="525">
        <v>2372.6681600574534</v>
      </c>
      <c r="U14" s="525">
        <v>2308.8133924816975</v>
      </c>
      <c r="V14" s="525">
        <v>2240.6580734095633</v>
      </c>
      <c r="W14" s="525">
        <v>2168.2202682058746</v>
      </c>
      <c r="X14" s="525">
        <v>2091.5180422356202</v>
      </c>
      <c r="Y14" s="525">
        <v>2014.008525155012</v>
      </c>
      <c r="Z14" s="525">
        <v>1934.752696444164</v>
      </c>
      <c r="AA14" s="525">
        <v>1853.7399919646632</v>
      </c>
      <c r="AB14" s="525">
        <v>1770.9598475779978</v>
      </c>
      <c r="AC14" s="525">
        <v>1686.4016991457195</v>
      </c>
      <c r="AD14" s="525">
        <v>1622.8408899193894</v>
      </c>
      <c r="AE14" s="525">
        <v>1558.4883210929449</v>
      </c>
      <c r="AF14" s="525">
        <v>1493.3373357140865</v>
      </c>
      <c r="AG14" s="525">
        <v>1427.3812768305361</v>
      </c>
      <c r="AH14" s="525">
        <v>1360.6134874900176</v>
      </c>
      <c r="AI14" s="526">
        <f t="shared" ref="AI14:CA19" si="7">AH14</f>
        <v>1360.6134874900176</v>
      </c>
      <c r="AJ14" s="526">
        <f t="shared" si="7"/>
        <v>1360.6134874900176</v>
      </c>
      <c r="AK14" s="526">
        <f t="shared" si="7"/>
        <v>1360.6134874900176</v>
      </c>
      <c r="AL14" s="526">
        <f t="shared" si="7"/>
        <v>1360.6134874900176</v>
      </c>
      <c r="AM14" s="526">
        <f t="shared" si="7"/>
        <v>1360.6134874900176</v>
      </c>
      <c r="AN14" s="526">
        <f t="shared" si="7"/>
        <v>1360.6134874900176</v>
      </c>
      <c r="AO14" s="526">
        <f t="shared" si="7"/>
        <v>1360.6134874900176</v>
      </c>
      <c r="AP14" s="526">
        <f t="shared" si="7"/>
        <v>1360.6134874900176</v>
      </c>
      <c r="AQ14" s="526">
        <f t="shared" si="7"/>
        <v>1360.6134874900176</v>
      </c>
      <c r="AR14" s="526">
        <f t="shared" si="7"/>
        <v>1360.6134874900176</v>
      </c>
      <c r="AS14" s="526">
        <f t="shared" si="7"/>
        <v>1360.6134874900176</v>
      </c>
      <c r="AT14" s="526">
        <f t="shared" si="7"/>
        <v>1360.6134874900176</v>
      </c>
      <c r="AU14" s="526">
        <f t="shared" si="7"/>
        <v>1360.6134874900176</v>
      </c>
      <c r="AV14" s="526">
        <f t="shared" si="7"/>
        <v>1360.6134874900176</v>
      </c>
      <c r="AW14" s="526">
        <f t="shared" si="7"/>
        <v>1360.6134874900176</v>
      </c>
      <c r="AX14" s="526">
        <f t="shared" si="7"/>
        <v>1360.6134874900176</v>
      </c>
      <c r="AY14" s="526">
        <f t="shared" si="7"/>
        <v>1360.6134874900176</v>
      </c>
      <c r="AZ14" s="526">
        <f t="shared" si="7"/>
        <v>1360.6134874900176</v>
      </c>
      <c r="BA14" s="526">
        <f t="shared" si="7"/>
        <v>1360.6134874900176</v>
      </c>
      <c r="BB14" s="526">
        <f t="shared" si="7"/>
        <v>1360.6134874900176</v>
      </c>
      <c r="BC14" s="526">
        <f t="shared" si="7"/>
        <v>1360.6134874900176</v>
      </c>
      <c r="BD14" s="526">
        <f t="shared" si="7"/>
        <v>1360.6134874900176</v>
      </c>
      <c r="BE14" s="526">
        <f t="shared" si="7"/>
        <v>1360.6134874900176</v>
      </c>
      <c r="BF14" s="526">
        <f t="shared" si="7"/>
        <v>1360.6134874900176</v>
      </c>
      <c r="BG14" s="526">
        <f t="shared" si="7"/>
        <v>1360.6134874900176</v>
      </c>
      <c r="BH14" s="526">
        <f t="shared" si="7"/>
        <v>1360.6134874900176</v>
      </c>
      <c r="BI14" s="526">
        <f t="shared" si="7"/>
        <v>1360.6134874900176</v>
      </c>
      <c r="BJ14" s="526">
        <f t="shared" si="7"/>
        <v>1360.6134874900176</v>
      </c>
      <c r="BK14" s="526">
        <f t="shared" si="7"/>
        <v>1360.6134874900176</v>
      </c>
      <c r="BL14" s="526">
        <f t="shared" si="7"/>
        <v>1360.6134874900176</v>
      </c>
      <c r="BM14" s="526">
        <f t="shared" si="7"/>
        <v>1360.6134874900176</v>
      </c>
      <c r="BN14" s="526">
        <f t="shared" si="7"/>
        <v>1360.6134874900176</v>
      </c>
      <c r="BO14" s="526">
        <f t="shared" si="7"/>
        <v>1360.6134874900176</v>
      </c>
      <c r="BP14" s="526">
        <f t="shared" si="7"/>
        <v>1360.6134874900176</v>
      </c>
      <c r="BQ14" s="526">
        <f t="shared" si="7"/>
        <v>1360.6134874900176</v>
      </c>
      <c r="BR14" s="526">
        <f t="shared" si="7"/>
        <v>1360.6134874900176</v>
      </c>
      <c r="BS14" s="526">
        <f t="shared" si="7"/>
        <v>1360.6134874900176</v>
      </c>
      <c r="BT14" s="526">
        <f t="shared" si="7"/>
        <v>1360.6134874900176</v>
      </c>
      <c r="BU14" s="526">
        <f t="shared" si="7"/>
        <v>1360.6134874900176</v>
      </c>
      <c r="BV14" s="526">
        <f t="shared" si="7"/>
        <v>1360.6134874900176</v>
      </c>
      <c r="BW14" s="526">
        <f t="shared" si="7"/>
        <v>1360.6134874900176</v>
      </c>
      <c r="BX14" s="526">
        <f t="shared" si="7"/>
        <v>1360.6134874900176</v>
      </c>
      <c r="BY14" s="526">
        <f t="shared" si="7"/>
        <v>1360.6134874900176</v>
      </c>
      <c r="BZ14" s="526">
        <f t="shared" si="7"/>
        <v>1360.6134874900176</v>
      </c>
      <c r="CA14" s="526">
        <f t="shared" si="7"/>
        <v>1360.6134874900176</v>
      </c>
      <c r="CB14" s="526">
        <f t="shared" si="6"/>
        <v>1360.6134874900176</v>
      </c>
      <c r="CC14" s="526">
        <f t="shared" si="6"/>
        <v>1360.6134874900176</v>
      </c>
      <c r="CD14" s="526">
        <f t="shared" si="6"/>
        <v>1360.6134874900176</v>
      </c>
      <c r="CE14" s="526">
        <f t="shared" si="6"/>
        <v>1360.6134874900176</v>
      </c>
      <c r="CF14" s="526">
        <f t="shared" si="6"/>
        <v>1360.6134874900176</v>
      </c>
    </row>
    <row r="15" spans="2:84">
      <c r="B15" t="s">
        <v>722</v>
      </c>
      <c r="C15" t="s">
        <v>1354</v>
      </c>
      <c r="D15" t="s">
        <v>731</v>
      </c>
      <c r="E15" t="s">
        <v>1353</v>
      </c>
      <c r="F15" t="str">
        <f t="shared" si="1"/>
        <v>e-hydrogen (compressed)OpExAmericas</v>
      </c>
      <c r="G15" s="525">
        <v>3201.6284220981261</v>
      </c>
      <c r="H15" s="525">
        <v>3110.9045082577222</v>
      </c>
      <c r="I15" s="525">
        <v>3017.1079439048767</v>
      </c>
      <c r="J15" s="525">
        <v>2916.4594764983826</v>
      </c>
      <c r="K15" s="525">
        <v>2811.1380745138631</v>
      </c>
      <c r="L15" s="525">
        <v>2701.2128013023694</v>
      </c>
      <c r="M15" s="525">
        <v>2586.7527202150754</v>
      </c>
      <c r="N15" s="525">
        <v>2467.8268946029066</v>
      </c>
      <c r="O15" s="525">
        <v>2431.6316386153803</v>
      </c>
      <c r="P15" s="525">
        <v>2388.7250977745625</v>
      </c>
      <c r="Q15" s="525">
        <v>2339.1393415069192</v>
      </c>
      <c r="R15" s="525">
        <v>2282.9064392388836</v>
      </c>
      <c r="S15" s="525">
        <v>2220.0584603970105</v>
      </c>
      <c r="T15" s="525">
        <v>2162.3729610929063</v>
      </c>
      <c r="U15" s="525">
        <v>2100.4172845088788</v>
      </c>
      <c r="V15" s="525">
        <v>2034.2094526898181</v>
      </c>
      <c r="W15" s="525">
        <v>1963.7674876804258</v>
      </c>
      <c r="X15" s="525">
        <v>1889.1094115255332</v>
      </c>
      <c r="Y15" s="525">
        <v>1829.4127407086473</v>
      </c>
      <c r="Z15" s="525">
        <v>1767.5543207420269</v>
      </c>
      <c r="AA15" s="525">
        <v>1703.5300226082913</v>
      </c>
      <c r="AB15" s="525">
        <v>1637.3357172899289</v>
      </c>
      <c r="AC15" s="525">
        <v>1568.9672757695321</v>
      </c>
      <c r="AD15" s="525">
        <v>1511.2834978411738</v>
      </c>
      <c r="AE15" s="525">
        <v>1452.6867970263861</v>
      </c>
      <c r="AF15" s="525">
        <v>1393.1731740772589</v>
      </c>
      <c r="AG15" s="525">
        <v>1332.7386297458904</v>
      </c>
      <c r="AH15" s="525">
        <v>1271.3791647843786</v>
      </c>
      <c r="AI15" s="526">
        <f t="shared" si="7"/>
        <v>1271.3791647843786</v>
      </c>
      <c r="AJ15" s="526">
        <f t="shared" si="7"/>
        <v>1271.3791647843786</v>
      </c>
      <c r="AK15" s="526">
        <f t="shared" si="7"/>
        <v>1271.3791647843786</v>
      </c>
      <c r="AL15" s="526">
        <f t="shared" si="7"/>
        <v>1271.3791647843786</v>
      </c>
      <c r="AM15" s="526">
        <f t="shared" si="7"/>
        <v>1271.3791647843786</v>
      </c>
      <c r="AN15" s="526">
        <f t="shared" si="7"/>
        <v>1271.3791647843786</v>
      </c>
      <c r="AO15" s="526">
        <f t="shared" si="7"/>
        <v>1271.3791647843786</v>
      </c>
      <c r="AP15" s="526">
        <f t="shared" si="7"/>
        <v>1271.3791647843786</v>
      </c>
      <c r="AQ15" s="526">
        <f t="shared" si="7"/>
        <v>1271.3791647843786</v>
      </c>
      <c r="AR15" s="526">
        <f t="shared" si="7"/>
        <v>1271.3791647843786</v>
      </c>
      <c r="AS15" s="526">
        <f t="shared" si="7"/>
        <v>1271.3791647843786</v>
      </c>
      <c r="AT15" s="526">
        <f t="shared" si="7"/>
        <v>1271.3791647843786</v>
      </c>
      <c r="AU15" s="526">
        <f t="shared" si="7"/>
        <v>1271.3791647843786</v>
      </c>
      <c r="AV15" s="526">
        <f t="shared" si="7"/>
        <v>1271.3791647843786</v>
      </c>
      <c r="AW15" s="526">
        <f t="shared" si="7"/>
        <v>1271.3791647843786</v>
      </c>
      <c r="AX15" s="526">
        <f t="shared" si="7"/>
        <v>1271.3791647843786</v>
      </c>
      <c r="AY15" s="526">
        <f t="shared" si="7"/>
        <v>1271.3791647843786</v>
      </c>
      <c r="AZ15" s="526">
        <f t="shared" si="7"/>
        <v>1271.3791647843786</v>
      </c>
      <c r="BA15" s="526">
        <f t="shared" si="7"/>
        <v>1271.3791647843786</v>
      </c>
      <c r="BB15" s="526">
        <f t="shared" si="7"/>
        <v>1271.3791647843786</v>
      </c>
      <c r="BC15" s="526">
        <f t="shared" si="7"/>
        <v>1271.3791647843786</v>
      </c>
      <c r="BD15" s="526">
        <f t="shared" si="7"/>
        <v>1271.3791647843786</v>
      </c>
      <c r="BE15" s="526">
        <f t="shared" si="7"/>
        <v>1271.3791647843786</v>
      </c>
      <c r="BF15" s="526">
        <f t="shared" si="7"/>
        <v>1271.3791647843786</v>
      </c>
      <c r="BG15" s="526">
        <f t="shared" si="7"/>
        <v>1271.3791647843786</v>
      </c>
      <c r="BH15" s="526">
        <f t="shared" si="7"/>
        <v>1271.3791647843786</v>
      </c>
      <c r="BI15" s="526">
        <f t="shared" si="7"/>
        <v>1271.3791647843786</v>
      </c>
      <c r="BJ15" s="526">
        <f t="shared" si="7"/>
        <v>1271.3791647843786</v>
      </c>
      <c r="BK15" s="526">
        <f t="shared" si="7"/>
        <v>1271.3791647843786</v>
      </c>
      <c r="BL15" s="526">
        <f t="shared" si="7"/>
        <v>1271.3791647843786</v>
      </c>
      <c r="BM15" s="526">
        <f t="shared" si="7"/>
        <v>1271.3791647843786</v>
      </c>
      <c r="BN15" s="526">
        <f t="shared" si="7"/>
        <v>1271.3791647843786</v>
      </c>
      <c r="BO15" s="526">
        <f t="shared" si="7"/>
        <v>1271.3791647843786</v>
      </c>
      <c r="BP15" s="526">
        <f t="shared" si="7"/>
        <v>1271.3791647843786</v>
      </c>
      <c r="BQ15" s="526">
        <f t="shared" si="7"/>
        <v>1271.3791647843786</v>
      </c>
      <c r="BR15" s="526">
        <f t="shared" si="7"/>
        <v>1271.3791647843786</v>
      </c>
      <c r="BS15" s="526">
        <f t="shared" si="7"/>
        <v>1271.3791647843786</v>
      </c>
      <c r="BT15" s="526">
        <f t="shared" si="7"/>
        <v>1271.3791647843786</v>
      </c>
      <c r="BU15" s="526">
        <f t="shared" si="7"/>
        <v>1271.3791647843786</v>
      </c>
      <c r="BV15" s="526">
        <f t="shared" si="7"/>
        <v>1271.3791647843786</v>
      </c>
      <c r="BW15" s="526">
        <f t="shared" si="7"/>
        <v>1271.3791647843786</v>
      </c>
      <c r="BX15" s="526">
        <f t="shared" si="7"/>
        <v>1271.3791647843786</v>
      </c>
      <c r="BY15" s="526">
        <f t="shared" si="7"/>
        <v>1271.3791647843786</v>
      </c>
      <c r="BZ15" s="526">
        <f t="shared" si="7"/>
        <v>1271.3791647843786</v>
      </c>
      <c r="CA15" s="526">
        <f t="shared" si="7"/>
        <v>1271.3791647843786</v>
      </c>
      <c r="CB15" s="526">
        <f t="shared" si="6"/>
        <v>1271.3791647843786</v>
      </c>
      <c r="CC15" s="526">
        <f t="shared" si="6"/>
        <v>1271.3791647843786</v>
      </c>
      <c r="CD15" s="526">
        <f t="shared" si="6"/>
        <v>1271.3791647843786</v>
      </c>
      <c r="CE15" s="526">
        <f t="shared" si="6"/>
        <v>1271.3791647843786</v>
      </c>
      <c r="CF15" s="526">
        <f t="shared" si="6"/>
        <v>1271.3791647843786</v>
      </c>
    </row>
    <row r="16" spans="2:84">
      <c r="B16" t="s">
        <v>722</v>
      </c>
      <c r="C16" t="s">
        <v>1354</v>
      </c>
      <c r="D16" t="s">
        <v>750</v>
      </c>
      <c r="E16" t="s">
        <v>1353</v>
      </c>
      <c r="F16" t="str">
        <f t="shared" si="1"/>
        <v>e-hydrogen (compressed)OpExAsia</v>
      </c>
      <c r="G16" s="525">
        <v>4731.1515291840033</v>
      </c>
      <c r="H16" s="525">
        <v>4371.1924049131803</v>
      </c>
      <c r="I16" s="525">
        <v>4008.5754633680058</v>
      </c>
      <c r="J16" s="525">
        <v>3864.8497857511388</v>
      </c>
      <c r="K16" s="525">
        <v>3716.3134131183751</v>
      </c>
      <c r="L16" s="525">
        <v>3563.0764235332163</v>
      </c>
      <c r="M16" s="525">
        <v>3405.2488950594361</v>
      </c>
      <c r="N16" s="525">
        <v>3242.9409057605908</v>
      </c>
      <c r="O16" s="525">
        <v>3160.7746211417229</v>
      </c>
      <c r="P16" s="525">
        <v>3072.2076333029308</v>
      </c>
      <c r="Q16" s="525">
        <v>2977.3121372857281</v>
      </c>
      <c r="R16" s="525">
        <v>2876.1603281315506</v>
      </c>
      <c r="S16" s="525">
        <v>2768.8244008820616</v>
      </c>
      <c r="T16" s="525">
        <v>2695.9960824838872</v>
      </c>
      <c r="U16" s="525">
        <v>2618.9533326085548</v>
      </c>
      <c r="V16" s="525">
        <v>2537.7215976768371</v>
      </c>
      <c r="W16" s="525">
        <v>2452.326324109225</v>
      </c>
      <c r="X16" s="525">
        <v>2362.7929583264436</v>
      </c>
      <c r="Y16" s="525">
        <v>2270.9846802274178</v>
      </c>
      <c r="Z16" s="525">
        <v>2177.7436377983031</v>
      </c>
      <c r="AA16" s="525">
        <v>2083.0546835628074</v>
      </c>
      <c r="AB16" s="525">
        <v>1986.9026700445374</v>
      </c>
      <c r="AC16" s="525">
        <v>1889.2724497671702</v>
      </c>
      <c r="AD16" s="525">
        <v>1819.5998977666309</v>
      </c>
      <c r="AE16" s="525">
        <v>1749.258247842811</v>
      </c>
      <c r="AF16" s="525">
        <v>1678.2385818433429</v>
      </c>
      <c r="AG16" s="525">
        <v>1606.5319816158512</v>
      </c>
      <c r="AH16" s="525">
        <v>1534.1295290079613</v>
      </c>
      <c r="AI16" s="526">
        <f t="shared" si="7"/>
        <v>1534.1295290079613</v>
      </c>
      <c r="AJ16" s="526">
        <f t="shared" si="7"/>
        <v>1534.1295290079613</v>
      </c>
      <c r="AK16" s="526">
        <f t="shared" si="7"/>
        <v>1534.1295290079613</v>
      </c>
      <c r="AL16" s="526">
        <f t="shared" si="7"/>
        <v>1534.1295290079613</v>
      </c>
      <c r="AM16" s="526">
        <f t="shared" si="7"/>
        <v>1534.1295290079613</v>
      </c>
      <c r="AN16" s="526">
        <f t="shared" si="7"/>
        <v>1534.1295290079613</v>
      </c>
      <c r="AO16" s="526">
        <f t="shared" si="7"/>
        <v>1534.1295290079613</v>
      </c>
      <c r="AP16" s="526">
        <f t="shared" si="7"/>
        <v>1534.1295290079613</v>
      </c>
      <c r="AQ16" s="526">
        <f t="shared" si="7"/>
        <v>1534.1295290079613</v>
      </c>
      <c r="AR16" s="526">
        <f t="shared" si="7"/>
        <v>1534.1295290079613</v>
      </c>
      <c r="AS16" s="526">
        <f t="shared" si="7"/>
        <v>1534.1295290079613</v>
      </c>
      <c r="AT16" s="526">
        <f t="shared" si="7"/>
        <v>1534.1295290079613</v>
      </c>
      <c r="AU16" s="526">
        <f t="shared" si="7"/>
        <v>1534.1295290079613</v>
      </c>
      <c r="AV16" s="526">
        <f t="shared" si="7"/>
        <v>1534.1295290079613</v>
      </c>
      <c r="AW16" s="526">
        <f t="shared" si="7"/>
        <v>1534.1295290079613</v>
      </c>
      <c r="AX16" s="526">
        <f t="shared" si="7"/>
        <v>1534.1295290079613</v>
      </c>
      <c r="AY16" s="526">
        <f t="shared" si="7"/>
        <v>1534.1295290079613</v>
      </c>
      <c r="AZ16" s="526">
        <f t="shared" si="7"/>
        <v>1534.1295290079613</v>
      </c>
      <c r="BA16" s="526">
        <f t="shared" si="7"/>
        <v>1534.1295290079613</v>
      </c>
      <c r="BB16" s="526">
        <f t="shared" si="7"/>
        <v>1534.1295290079613</v>
      </c>
      <c r="BC16" s="526">
        <f t="shared" si="7"/>
        <v>1534.1295290079613</v>
      </c>
      <c r="BD16" s="526">
        <f t="shared" si="7"/>
        <v>1534.1295290079613</v>
      </c>
      <c r="BE16" s="526">
        <f t="shared" si="7"/>
        <v>1534.1295290079613</v>
      </c>
      <c r="BF16" s="526">
        <f t="shared" si="7"/>
        <v>1534.1295290079613</v>
      </c>
      <c r="BG16" s="526">
        <f t="shared" si="7"/>
        <v>1534.1295290079613</v>
      </c>
      <c r="BH16" s="526">
        <f t="shared" si="7"/>
        <v>1534.1295290079613</v>
      </c>
      <c r="BI16" s="526">
        <f t="shared" si="7"/>
        <v>1534.1295290079613</v>
      </c>
      <c r="BJ16" s="526">
        <f t="shared" si="7"/>
        <v>1534.1295290079613</v>
      </c>
      <c r="BK16" s="526">
        <f t="shared" si="7"/>
        <v>1534.1295290079613</v>
      </c>
      <c r="BL16" s="526">
        <f t="shared" si="7"/>
        <v>1534.1295290079613</v>
      </c>
      <c r="BM16" s="526">
        <f t="shared" si="7"/>
        <v>1534.1295290079613</v>
      </c>
      <c r="BN16" s="526">
        <f t="shared" si="7"/>
        <v>1534.1295290079613</v>
      </c>
      <c r="BO16" s="526">
        <f t="shared" si="7"/>
        <v>1534.1295290079613</v>
      </c>
      <c r="BP16" s="526">
        <f t="shared" si="7"/>
        <v>1534.1295290079613</v>
      </c>
      <c r="BQ16" s="526">
        <f t="shared" si="7"/>
        <v>1534.1295290079613</v>
      </c>
      <c r="BR16" s="526">
        <f t="shared" si="7"/>
        <v>1534.1295290079613</v>
      </c>
      <c r="BS16" s="526">
        <f t="shared" si="7"/>
        <v>1534.1295290079613</v>
      </c>
      <c r="BT16" s="526">
        <f t="shared" si="7"/>
        <v>1534.1295290079613</v>
      </c>
      <c r="BU16" s="526">
        <f t="shared" si="7"/>
        <v>1534.1295290079613</v>
      </c>
      <c r="BV16" s="526">
        <f t="shared" si="7"/>
        <v>1534.1295290079613</v>
      </c>
      <c r="BW16" s="526">
        <f t="shared" si="7"/>
        <v>1534.1295290079613</v>
      </c>
      <c r="BX16" s="526">
        <f t="shared" si="7"/>
        <v>1534.1295290079613</v>
      </c>
      <c r="BY16" s="526">
        <f t="shared" si="7"/>
        <v>1534.1295290079613</v>
      </c>
      <c r="BZ16" s="526">
        <f t="shared" si="7"/>
        <v>1534.1295290079613</v>
      </c>
      <c r="CA16" s="526">
        <f t="shared" si="7"/>
        <v>1534.1295290079613</v>
      </c>
      <c r="CB16" s="526">
        <f t="shared" si="6"/>
        <v>1534.1295290079613</v>
      </c>
      <c r="CC16" s="526">
        <f t="shared" si="6"/>
        <v>1534.1295290079613</v>
      </c>
      <c r="CD16" s="526">
        <f t="shared" si="6"/>
        <v>1534.1295290079613</v>
      </c>
      <c r="CE16" s="526">
        <f t="shared" si="6"/>
        <v>1534.1295290079613</v>
      </c>
      <c r="CF16" s="526">
        <f t="shared" si="6"/>
        <v>1534.1295290079613</v>
      </c>
    </row>
    <row r="17" spans="2:84">
      <c r="B17" t="s">
        <v>722</v>
      </c>
      <c r="C17" t="s">
        <v>1354</v>
      </c>
      <c r="D17" t="s">
        <v>720</v>
      </c>
      <c r="E17" t="s">
        <v>1353</v>
      </c>
      <c r="F17" t="str">
        <f t="shared" si="1"/>
        <v>e-hydrogen (compressed)OpExEurope</v>
      </c>
      <c r="G17" s="525">
        <v>3832.7393199571907</v>
      </c>
      <c r="H17" s="525">
        <v>3669.7086347182644</v>
      </c>
      <c r="I17" s="525">
        <v>3503.6727657841029</v>
      </c>
      <c r="J17" s="525">
        <v>3380.532972329016</v>
      </c>
      <c r="K17" s="525">
        <v>3252.6589283324711</v>
      </c>
      <c r="L17" s="525">
        <v>3120.1411733961359</v>
      </c>
      <c r="M17" s="525">
        <v>2983.070247121691</v>
      </c>
      <c r="N17" s="525">
        <v>2841.5366891107178</v>
      </c>
      <c r="O17" s="525">
        <v>2798.5973520413327</v>
      </c>
      <c r="P17" s="525">
        <v>2748.8846886812944</v>
      </c>
      <c r="Q17" s="525">
        <v>2692.4349989490911</v>
      </c>
      <c r="R17" s="525">
        <v>2629.28458276324</v>
      </c>
      <c r="S17" s="525">
        <v>2559.4697400423997</v>
      </c>
      <c r="T17" s="525">
        <v>2503.1661608377744</v>
      </c>
      <c r="U17" s="525">
        <v>2442.4389821632344</v>
      </c>
      <c r="V17" s="525">
        <v>2377.3032288655618</v>
      </c>
      <c r="W17" s="525">
        <v>2307.773925791309</v>
      </c>
      <c r="X17" s="525">
        <v>2233.8660977871878</v>
      </c>
      <c r="Y17" s="525">
        <v>2157.9230335548227</v>
      </c>
      <c r="Z17" s="525">
        <v>2080.1677825273518</v>
      </c>
      <c r="AA17" s="525">
        <v>2000.591203567446</v>
      </c>
      <c r="AB17" s="525">
        <v>1919.1841555376141</v>
      </c>
      <c r="AC17" s="525">
        <v>1835.9374973004965</v>
      </c>
      <c r="AD17" s="525">
        <v>1767.457211187055</v>
      </c>
      <c r="AE17" s="525">
        <v>1698.2844678007311</v>
      </c>
      <c r="AF17" s="525">
        <v>1628.4107044474404</v>
      </c>
      <c r="AG17" s="525">
        <v>1557.8273584330907</v>
      </c>
      <c r="AH17" s="525">
        <v>1486.5258670635903</v>
      </c>
      <c r="AI17" s="526">
        <f t="shared" si="7"/>
        <v>1486.5258670635903</v>
      </c>
      <c r="AJ17" s="526">
        <f t="shared" si="7"/>
        <v>1486.5258670635903</v>
      </c>
      <c r="AK17" s="526">
        <f t="shared" si="7"/>
        <v>1486.5258670635903</v>
      </c>
      <c r="AL17" s="526">
        <f t="shared" si="7"/>
        <v>1486.5258670635903</v>
      </c>
      <c r="AM17" s="526">
        <f t="shared" si="7"/>
        <v>1486.5258670635903</v>
      </c>
      <c r="AN17" s="526">
        <f t="shared" si="7"/>
        <v>1486.5258670635903</v>
      </c>
      <c r="AO17" s="526">
        <f t="shared" si="7"/>
        <v>1486.5258670635903</v>
      </c>
      <c r="AP17" s="526">
        <f t="shared" si="7"/>
        <v>1486.5258670635903</v>
      </c>
      <c r="AQ17" s="526">
        <f t="shared" si="7"/>
        <v>1486.5258670635903</v>
      </c>
      <c r="AR17" s="526">
        <f t="shared" si="7"/>
        <v>1486.5258670635903</v>
      </c>
      <c r="AS17" s="526">
        <f t="shared" si="7"/>
        <v>1486.5258670635903</v>
      </c>
      <c r="AT17" s="526">
        <f t="shared" si="7"/>
        <v>1486.5258670635903</v>
      </c>
      <c r="AU17" s="526">
        <f t="shared" si="7"/>
        <v>1486.5258670635903</v>
      </c>
      <c r="AV17" s="526">
        <f t="shared" si="7"/>
        <v>1486.5258670635903</v>
      </c>
      <c r="AW17" s="526">
        <f t="shared" si="7"/>
        <v>1486.5258670635903</v>
      </c>
      <c r="AX17" s="526">
        <f t="shared" si="7"/>
        <v>1486.5258670635903</v>
      </c>
      <c r="AY17" s="526">
        <f t="shared" si="7"/>
        <v>1486.5258670635903</v>
      </c>
      <c r="AZ17" s="526">
        <f t="shared" si="7"/>
        <v>1486.5258670635903</v>
      </c>
      <c r="BA17" s="526">
        <f t="shared" si="7"/>
        <v>1486.5258670635903</v>
      </c>
      <c r="BB17" s="526">
        <f t="shared" si="7"/>
        <v>1486.5258670635903</v>
      </c>
      <c r="BC17" s="526">
        <f t="shared" si="7"/>
        <v>1486.5258670635903</v>
      </c>
      <c r="BD17" s="526">
        <f t="shared" si="7"/>
        <v>1486.5258670635903</v>
      </c>
      <c r="BE17" s="526">
        <f t="shared" si="7"/>
        <v>1486.5258670635903</v>
      </c>
      <c r="BF17" s="526">
        <f t="shared" si="7"/>
        <v>1486.5258670635903</v>
      </c>
      <c r="BG17" s="526">
        <f t="shared" si="7"/>
        <v>1486.5258670635903</v>
      </c>
      <c r="BH17" s="526">
        <f t="shared" si="7"/>
        <v>1486.5258670635903</v>
      </c>
      <c r="BI17" s="526">
        <f t="shared" si="7"/>
        <v>1486.5258670635903</v>
      </c>
      <c r="BJ17" s="526">
        <f t="shared" si="7"/>
        <v>1486.5258670635903</v>
      </c>
      <c r="BK17" s="526">
        <f t="shared" si="7"/>
        <v>1486.5258670635903</v>
      </c>
      <c r="BL17" s="526">
        <f t="shared" si="7"/>
        <v>1486.5258670635903</v>
      </c>
      <c r="BM17" s="526">
        <f t="shared" si="7"/>
        <v>1486.5258670635903</v>
      </c>
      <c r="BN17" s="526">
        <f t="shared" si="7"/>
        <v>1486.5258670635903</v>
      </c>
      <c r="BO17" s="526">
        <f t="shared" si="7"/>
        <v>1486.5258670635903</v>
      </c>
      <c r="BP17" s="526">
        <f t="shared" si="7"/>
        <v>1486.5258670635903</v>
      </c>
      <c r="BQ17" s="526">
        <f t="shared" si="7"/>
        <v>1486.5258670635903</v>
      </c>
      <c r="BR17" s="526">
        <f t="shared" si="7"/>
        <v>1486.5258670635903</v>
      </c>
      <c r="BS17" s="526">
        <f t="shared" si="7"/>
        <v>1486.5258670635903</v>
      </c>
      <c r="BT17" s="526">
        <f t="shared" si="7"/>
        <v>1486.5258670635903</v>
      </c>
      <c r="BU17" s="526">
        <f t="shared" si="7"/>
        <v>1486.5258670635903</v>
      </c>
      <c r="BV17" s="526">
        <f t="shared" si="7"/>
        <v>1486.5258670635903</v>
      </c>
      <c r="BW17" s="526">
        <f t="shared" si="7"/>
        <v>1486.5258670635903</v>
      </c>
      <c r="BX17" s="526">
        <f t="shared" si="7"/>
        <v>1486.5258670635903</v>
      </c>
      <c r="BY17" s="526">
        <f t="shared" si="7"/>
        <v>1486.5258670635903</v>
      </c>
      <c r="BZ17" s="526">
        <f t="shared" si="7"/>
        <v>1486.5258670635903</v>
      </c>
      <c r="CA17" s="526">
        <f t="shared" si="7"/>
        <v>1486.5258670635903</v>
      </c>
      <c r="CB17" s="526">
        <f t="shared" si="6"/>
        <v>1486.5258670635903</v>
      </c>
      <c r="CC17" s="526">
        <f t="shared" si="6"/>
        <v>1486.5258670635903</v>
      </c>
      <c r="CD17" s="526">
        <f t="shared" si="6"/>
        <v>1486.5258670635903</v>
      </c>
      <c r="CE17" s="526">
        <f t="shared" si="6"/>
        <v>1486.5258670635903</v>
      </c>
      <c r="CF17" s="526">
        <f t="shared" si="6"/>
        <v>1486.5258670635903</v>
      </c>
    </row>
    <row r="18" spans="2:84">
      <c r="B18" t="s">
        <v>722</v>
      </c>
      <c r="C18" t="s">
        <v>1354</v>
      </c>
      <c r="D18" t="s">
        <v>826</v>
      </c>
      <c r="E18" t="s">
        <v>1353</v>
      </c>
      <c r="F18" t="str">
        <f t="shared" si="1"/>
        <v>e-hydrogen (compressed)OpExMiddle East</v>
      </c>
      <c r="G18" s="525">
        <v>3219.6621786824717</v>
      </c>
      <c r="H18" s="525">
        <v>3081.6653915169763</v>
      </c>
      <c r="I18" s="525">
        <v>2940.7187535352696</v>
      </c>
      <c r="J18" s="525">
        <v>2851.1441148621448</v>
      </c>
      <c r="K18" s="525">
        <v>2756.8710512728385</v>
      </c>
      <c r="L18" s="525">
        <v>2657.9577278450106</v>
      </c>
      <c r="M18" s="525">
        <v>2554.4623096564173</v>
      </c>
      <c r="N18" s="525">
        <v>2446.4429617846399</v>
      </c>
      <c r="O18" s="525">
        <v>2402.7299975046326</v>
      </c>
      <c r="P18" s="525">
        <v>2352.4178482052871</v>
      </c>
      <c r="Q18" s="525">
        <v>2295.5460886812803</v>
      </c>
      <c r="R18" s="525">
        <v>2232.1542937273075</v>
      </c>
      <c r="S18" s="525">
        <v>2162.2820381381507</v>
      </c>
      <c r="T18" s="525">
        <v>2111.1256255135645</v>
      </c>
      <c r="U18" s="525">
        <v>2055.6068924321148</v>
      </c>
      <c r="V18" s="525">
        <v>1995.7395947298012</v>
      </c>
      <c r="W18" s="525">
        <v>1931.5374882424051</v>
      </c>
      <c r="X18" s="525">
        <v>1863.0143288058707</v>
      </c>
      <c r="Y18" s="525">
        <v>1789.1254285463917</v>
      </c>
      <c r="Z18" s="525">
        <v>1713.4401033237662</v>
      </c>
      <c r="AA18" s="525">
        <v>1635.9480942437563</v>
      </c>
      <c r="AB18" s="525">
        <v>1556.6391424120266</v>
      </c>
      <c r="AC18" s="525">
        <v>1475.5029889343098</v>
      </c>
      <c r="AD18" s="525">
        <v>1415.0733044870501</v>
      </c>
      <c r="AE18" s="525">
        <v>1353.7934444916243</v>
      </c>
      <c r="AF18" s="525">
        <v>1291.6572445790621</v>
      </c>
      <c r="AG18" s="525">
        <v>1228.6585403804042</v>
      </c>
      <c r="AH18" s="525">
        <v>1164.7911675266942</v>
      </c>
      <c r="AI18" s="526">
        <f t="shared" si="7"/>
        <v>1164.7911675266942</v>
      </c>
      <c r="AJ18" s="526">
        <f t="shared" si="7"/>
        <v>1164.7911675266942</v>
      </c>
      <c r="AK18" s="526">
        <f t="shared" si="7"/>
        <v>1164.7911675266942</v>
      </c>
      <c r="AL18" s="526">
        <f t="shared" si="7"/>
        <v>1164.7911675266942</v>
      </c>
      <c r="AM18" s="526">
        <f t="shared" si="7"/>
        <v>1164.7911675266942</v>
      </c>
      <c r="AN18" s="526">
        <f t="shared" si="7"/>
        <v>1164.7911675266942</v>
      </c>
      <c r="AO18" s="526">
        <f t="shared" si="7"/>
        <v>1164.7911675266942</v>
      </c>
      <c r="AP18" s="526">
        <f t="shared" si="7"/>
        <v>1164.7911675266942</v>
      </c>
      <c r="AQ18" s="526">
        <f t="shared" si="7"/>
        <v>1164.7911675266942</v>
      </c>
      <c r="AR18" s="526">
        <f t="shared" si="7"/>
        <v>1164.7911675266942</v>
      </c>
      <c r="AS18" s="526">
        <f t="shared" si="7"/>
        <v>1164.7911675266942</v>
      </c>
      <c r="AT18" s="526">
        <f t="shared" si="7"/>
        <v>1164.7911675266942</v>
      </c>
      <c r="AU18" s="526">
        <f t="shared" si="7"/>
        <v>1164.7911675266942</v>
      </c>
      <c r="AV18" s="526">
        <f t="shared" si="7"/>
        <v>1164.7911675266942</v>
      </c>
      <c r="AW18" s="526">
        <f t="shared" si="7"/>
        <v>1164.7911675266942</v>
      </c>
      <c r="AX18" s="526">
        <f t="shared" si="7"/>
        <v>1164.7911675266942</v>
      </c>
      <c r="AY18" s="526">
        <f t="shared" si="7"/>
        <v>1164.7911675266942</v>
      </c>
      <c r="AZ18" s="526">
        <f t="shared" si="7"/>
        <v>1164.7911675266942</v>
      </c>
      <c r="BA18" s="526">
        <f t="shared" si="7"/>
        <v>1164.7911675266942</v>
      </c>
      <c r="BB18" s="526">
        <f t="shared" si="7"/>
        <v>1164.7911675266942</v>
      </c>
      <c r="BC18" s="526">
        <f t="shared" si="7"/>
        <v>1164.7911675266942</v>
      </c>
      <c r="BD18" s="526">
        <f t="shared" si="7"/>
        <v>1164.7911675266942</v>
      </c>
      <c r="BE18" s="526">
        <f t="shared" si="7"/>
        <v>1164.7911675266942</v>
      </c>
      <c r="BF18" s="526">
        <f t="shared" si="7"/>
        <v>1164.7911675266942</v>
      </c>
      <c r="BG18" s="526">
        <f t="shared" si="7"/>
        <v>1164.7911675266942</v>
      </c>
      <c r="BH18" s="526">
        <f t="shared" si="7"/>
        <v>1164.7911675266942</v>
      </c>
      <c r="BI18" s="526">
        <f t="shared" si="7"/>
        <v>1164.7911675266942</v>
      </c>
      <c r="BJ18" s="526">
        <f t="shared" si="7"/>
        <v>1164.7911675266942</v>
      </c>
      <c r="BK18" s="526">
        <f t="shared" si="7"/>
        <v>1164.7911675266942</v>
      </c>
      <c r="BL18" s="526">
        <f t="shared" si="7"/>
        <v>1164.7911675266942</v>
      </c>
      <c r="BM18" s="526">
        <f t="shared" si="7"/>
        <v>1164.7911675266942</v>
      </c>
      <c r="BN18" s="526">
        <f t="shared" si="7"/>
        <v>1164.7911675266942</v>
      </c>
      <c r="BO18" s="526">
        <f t="shared" si="7"/>
        <v>1164.7911675266942</v>
      </c>
      <c r="BP18" s="526">
        <f t="shared" si="7"/>
        <v>1164.7911675266942</v>
      </c>
      <c r="BQ18" s="526">
        <f t="shared" si="7"/>
        <v>1164.7911675266942</v>
      </c>
      <c r="BR18" s="526">
        <f t="shared" si="7"/>
        <v>1164.7911675266942</v>
      </c>
      <c r="BS18" s="526">
        <f t="shared" si="7"/>
        <v>1164.7911675266942</v>
      </c>
      <c r="BT18" s="526">
        <f t="shared" si="7"/>
        <v>1164.7911675266942</v>
      </c>
      <c r="BU18" s="526">
        <f t="shared" si="7"/>
        <v>1164.7911675266942</v>
      </c>
      <c r="BV18" s="526">
        <f t="shared" si="7"/>
        <v>1164.7911675266942</v>
      </c>
      <c r="BW18" s="526">
        <f t="shared" si="7"/>
        <v>1164.7911675266942</v>
      </c>
      <c r="BX18" s="526">
        <f t="shared" si="7"/>
        <v>1164.7911675266942</v>
      </c>
      <c r="BY18" s="526">
        <f t="shared" si="7"/>
        <v>1164.7911675266942</v>
      </c>
      <c r="BZ18" s="526">
        <f t="shared" si="7"/>
        <v>1164.7911675266942</v>
      </c>
      <c r="CA18" s="526">
        <f t="shared" si="7"/>
        <v>1164.7911675266942</v>
      </c>
      <c r="CB18" s="526">
        <f t="shared" si="6"/>
        <v>1164.7911675266942</v>
      </c>
      <c r="CC18" s="526">
        <f t="shared" si="6"/>
        <v>1164.7911675266942</v>
      </c>
      <c r="CD18" s="526">
        <f t="shared" si="6"/>
        <v>1164.7911675266942</v>
      </c>
      <c r="CE18" s="526">
        <f t="shared" si="6"/>
        <v>1164.7911675266942</v>
      </c>
      <c r="CF18" s="526">
        <f t="shared" si="6"/>
        <v>1164.7911675266942</v>
      </c>
    </row>
    <row r="19" spans="2:84">
      <c r="B19" t="s">
        <v>722</v>
      </c>
      <c r="C19" t="s">
        <v>1355</v>
      </c>
      <c r="D19" t="s">
        <v>708</v>
      </c>
      <c r="E19" t="s">
        <v>1356</v>
      </c>
      <c r="F19" t="str">
        <f t="shared" si="1"/>
        <v>e-hydrogen (compressed)Total emissions - WTT - GWP100Global</v>
      </c>
      <c r="G19" s="527">
        <v>0.29069928460653066</v>
      </c>
      <c r="H19" s="527">
        <v>0.29036818709700268</v>
      </c>
      <c r="I19" s="527">
        <v>0.28998000000000135</v>
      </c>
      <c r="J19" s="527">
        <v>0.28940257594781538</v>
      </c>
      <c r="K19" s="527">
        <v>0.28872889145140718</v>
      </c>
      <c r="L19" s="527">
        <v>0.28795894651077331</v>
      </c>
      <c r="M19" s="527">
        <v>0.28709274112591998</v>
      </c>
      <c r="N19" s="527">
        <v>0.28613027529683954</v>
      </c>
      <c r="O19" s="527">
        <v>0.28427104178214713</v>
      </c>
      <c r="P19" s="527">
        <v>0.28231892358064925</v>
      </c>
      <c r="Q19" s="527">
        <v>0.28027392069234119</v>
      </c>
      <c r="R19" s="527">
        <v>0.27813603311721824</v>
      </c>
      <c r="S19" s="527">
        <v>0.27590526085528855</v>
      </c>
      <c r="T19" s="527">
        <v>0.27357819323199506</v>
      </c>
      <c r="U19" s="527">
        <v>0.27118673282278699</v>
      </c>
      <c r="V19" s="527">
        <v>0.26873087962767428</v>
      </c>
      <c r="W19" s="527">
        <v>0.26621063364664344</v>
      </c>
      <c r="X19" s="527">
        <v>0.26362599487969779</v>
      </c>
      <c r="Y19" s="527">
        <v>0.26028322332369702</v>
      </c>
      <c r="Z19" s="527">
        <v>0.25697707164708095</v>
      </c>
      <c r="AA19" s="527">
        <v>0.25370753984985572</v>
      </c>
      <c r="AB19" s="527">
        <v>0.25047462793201525</v>
      </c>
      <c r="AC19" s="527">
        <v>0.2472783358935641</v>
      </c>
      <c r="AD19" s="527">
        <v>0.24460874010561368</v>
      </c>
      <c r="AE19" s="527">
        <v>0.24198615862228262</v>
      </c>
      <c r="AF19" s="527">
        <v>0.23941059144356966</v>
      </c>
      <c r="AG19" s="527">
        <v>0.23688203856947532</v>
      </c>
      <c r="AH19" s="527">
        <v>0.23440050000000018</v>
      </c>
      <c r="AI19" s="528">
        <f t="shared" si="7"/>
        <v>0.23440050000000018</v>
      </c>
      <c r="AJ19" s="528">
        <f t="shared" si="7"/>
        <v>0.23440050000000018</v>
      </c>
      <c r="AK19" s="528">
        <f t="shared" si="7"/>
        <v>0.23440050000000018</v>
      </c>
      <c r="AL19" s="528">
        <f t="shared" si="7"/>
        <v>0.23440050000000018</v>
      </c>
      <c r="AM19" s="528">
        <f t="shared" si="7"/>
        <v>0.23440050000000018</v>
      </c>
      <c r="AN19" s="528">
        <f t="shared" si="7"/>
        <v>0.23440050000000018</v>
      </c>
      <c r="AO19" s="528">
        <f t="shared" si="7"/>
        <v>0.23440050000000018</v>
      </c>
      <c r="AP19" s="528">
        <f t="shared" si="7"/>
        <v>0.23440050000000018</v>
      </c>
      <c r="AQ19" s="528">
        <f t="shared" si="7"/>
        <v>0.23440050000000018</v>
      </c>
      <c r="AR19" s="528">
        <f t="shared" si="7"/>
        <v>0.23440050000000018</v>
      </c>
      <c r="AS19" s="528">
        <f t="shared" si="7"/>
        <v>0.23440050000000018</v>
      </c>
      <c r="AT19" s="528">
        <f t="shared" si="7"/>
        <v>0.23440050000000018</v>
      </c>
      <c r="AU19" s="528">
        <f t="shared" si="7"/>
        <v>0.23440050000000018</v>
      </c>
      <c r="AV19" s="528">
        <f t="shared" si="7"/>
        <v>0.23440050000000018</v>
      </c>
      <c r="AW19" s="528">
        <f t="shared" si="7"/>
        <v>0.23440050000000018</v>
      </c>
      <c r="AX19" s="528">
        <f t="shared" si="7"/>
        <v>0.23440050000000018</v>
      </c>
      <c r="AY19" s="528">
        <f t="shared" si="7"/>
        <v>0.23440050000000018</v>
      </c>
      <c r="AZ19" s="528">
        <f t="shared" si="7"/>
        <v>0.23440050000000018</v>
      </c>
      <c r="BA19" s="528">
        <f t="shared" si="7"/>
        <v>0.23440050000000018</v>
      </c>
      <c r="BB19" s="528">
        <f t="shared" si="7"/>
        <v>0.23440050000000018</v>
      </c>
      <c r="BC19" s="528">
        <f t="shared" si="7"/>
        <v>0.23440050000000018</v>
      </c>
      <c r="BD19" s="528">
        <f t="shared" si="7"/>
        <v>0.23440050000000018</v>
      </c>
      <c r="BE19" s="528">
        <f t="shared" si="7"/>
        <v>0.23440050000000018</v>
      </c>
      <c r="BF19" s="528">
        <f t="shared" si="7"/>
        <v>0.23440050000000018</v>
      </c>
      <c r="BG19" s="528">
        <f t="shared" si="7"/>
        <v>0.23440050000000018</v>
      </c>
      <c r="BH19" s="528">
        <f t="shared" si="7"/>
        <v>0.23440050000000018</v>
      </c>
      <c r="BI19" s="528">
        <f t="shared" si="7"/>
        <v>0.23440050000000018</v>
      </c>
      <c r="BJ19" s="528">
        <f t="shared" si="7"/>
        <v>0.23440050000000018</v>
      </c>
      <c r="BK19" s="528">
        <f t="shared" si="7"/>
        <v>0.23440050000000018</v>
      </c>
      <c r="BL19" s="528">
        <f t="shared" si="7"/>
        <v>0.23440050000000018</v>
      </c>
      <c r="BM19" s="528">
        <f t="shared" ref="BM19:CA19" si="8">BL19</f>
        <v>0.23440050000000018</v>
      </c>
      <c r="BN19" s="528">
        <f t="shared" si="8"/>
        <v>0.23440050000000018</v>
      </c>
      <c r="BO19" s="528">
        <f t="shared" si="8"/>
        <v>0.23440050000000018</v>
      </c>
      <c r="BP19" s="528">
        <f t="shared" si="8"/>
        <v>0.23440050000000018</v>
      </c>
      <c r="BQ19" s="528">
        <f t="shared" si="8"/>
        <v>0.23440050000000018</v>
      </c>
      <c r="BR19" s="528">
        <f t="shared" si="8"/>
        <v>0.23440050000000018</v>
      </c>
      <c r="BS19" s="528">
        <f t="shared" si="8"/>
        <v>0.23440050000000018</v>
      </c>
      <c r="BT19" s="528">
        <f t="shared" si="8"/>
        <v>0.23440050000000018</v>
      </c>
      <c r="BU19" s="528">
        <f t="shared" si="8"/>
        <v>0.23440050000000018</v>
      </c>
      <c r="BV19" s="528">
        <f t="shared" si="8"/>
        <v>0.23440050000000018</v>
      </c>
      <c r="BW19" s="528">
        <f t="shared" si="8"/>
        <v>0.23440050000000018</v>
      </c>
      <c r="BX19" s="528">
        <f t="shared" si="8"/>
        <v>0.23440050000000018</v>
      </c>
      <c r="BY19" s="528">
        <f t="shared" si="8"/>
        <v>0.23440050000000018</v>
      </c>
      <c r="BZ19" s="528">
        <f t="shared" si="8"/>
        <v>0.23440050000000018</v>
      </c>
      <c r="CA19" s="528">
        <f t="shared" si="8"/>
        <v>0.23440050000000018</v>
      </c>
      <c r="CB19" s="528">
        <f t="shared" si="6"/>
        <v>0.23440050000000018</v>
      </c>
      <c r="CC19" s="528">
        <f t="shared" si="6"/>
        <v>0.23440050000000018</v>
      </c>
      <c r="CD19" s="528">
        <f t="shared" si="6"/>
        <v>0.23440050000000018</v>
      </c>
      <c r="CE19" s="528">
        <f t="shared" si="6"/>
        <v>0.23440050000000018</v>
      </c>
      <c r="CF19" s="528">
        <f t="shared" si="6"/>
        <v>0.23440050000000018</v>
      </c>
    </row>
    <row r="20" spans="2:84">
      <c r="B20" t="s">
        <v>722</v>
      </c>
      <c r="C20" t="s">
        <v>1357</v>
      </c>
      <c r="D20" t="s">
        <v>708</v>
      </c>
      <c r="E20" t="s">
        <v>1356</v>
      </c>
      <c r="F20" t="str">
        <f t="shared" si="1"/>
        <v>e-hydrogen (compressed)Total emissions - TTW - GWP100Global</v>
      </c>
      <c r="G20" s="527">
        <v>0</v>
      </c>
      <c r="H20" s="527">
        <v>0</v>
      </c>
      <c r="I20" s="527">
        <v>0</v>
      </c>
      <c r="J20" s="527">
        <v>0</v>
      </c>
      <c r="K20" s="527">
        <v>0</v>
      </c>
      <c r="L20" s="527">
        <v>0</v>
      </c>
      <c r="M20" s="527">
        <v>0</v>
      </c>
      <c r="N20" s="527">
        <v>0</v>
      </c>
      <c r="O20" s="527">
        <v>0</v>
      </c>
      <c r="P20" s="527">
        <v>0</v>
      </c>
      <c r="Q20" s="527">
        <v>0</v>
      </c>
      <c r="R20" s="527">
        <v>0</v>
      </c>
      <c r="S20" s="527">
        <v>0</v>
      </c>
      <c r="T20" s="527">
        <v>0</v>
      </c>
      <c r="U20" s="527">
        <v>0</v>
      </c>
      <c r="V20" s="527">
        <v>0</v>
      </c>
      <c r="W20" s="527">
        <v>0</v>
      </c>
      <c r="X20" s="527">
        <v>0</v>
      </c>
      <c r="Y20" s="527">
        <v>0</v>
      </c>
      <c r="Z20" s="527">
        <v>0</v>
      </c>
      <c r="AA20" s="527">
        <v>0</v>
      </c>
      <c r="AB20" s="527">
        <v>0</v>
      </c>
      <c r="AC20" s="527">
        <v>0</v>
      </c>
      <c r="AD20" s="527">
        <v>0</v>
      </c>
      <c r="AE20" s="527">
        <v>0</v>
      </c>
      <c r="AF20" s="527">
        <v>0</v>
      </c>
      <c r="AG20" s="527">
        <v>0</v>
      </c>
      <c r="AH20" s="527">
        <v>0</v>
      </c>
      <c r="AI20" s="526">
        <f t="shared" ref="AI20:CA21" si="9">AH20</f>
        <v>0</v>
      </c>
      <c r="AJ20" s="526">
        <f t="shared" si="9"/>
        <v>0</v>
      </c>
      <c r="AK20" s="526">
        <f t="shared" si="9"/>
        <v>0</v>
      </c>
      <c r="AL20" s="526">
        <f t="shared" si="9"/>
        <v>0</v>
      </c>
      <c r="AM20" s="526">
        <f t="shared" si="9"/>
        <v>0</v>
      </c>
      <c r="AN20" s="526">
        <f t="shared" si="9"/>
        <v>0</v>
      </c>
      <c r="AO20" s="526">
        <f t="shared" si="9"/>
        <v>0</v>
      </c>
      <c r="AP20" s="526">
        <f t="shared" si="9"/>
        <v>0</v>
      </c>
      <c r="AQ20" s="526">
        <f t="shared" si="9"/>
        <v>0</v>
      </c>
      <c r="AR20" s="526">
        <f t="shared" si="9"/>
        <v>0</v>
      </c>
      <c r="AS20" s="526">
        <f t="shared" si="9"/>
        <v>0</v>
      </c>
      <c r="AT20" s="526">
        <f t="shared" si="9"/>
        <v>0</v>
      </c>
      <c r="AU20" s="526">
        <f t="shared" si="9"/>
        <v>0</v>
      </c>
      <c r="AV20" s="526">
        <f t="shared" si="9"/>
        <v>0</v>
      </c>
      <c r="AW20" s="526">
        <f t="shared" si="9"/>
        <v>0</v>
      </c>
      <c r="AX20" s="526">
        <f t="shared" si="9"/>
        <v>0</v>
      </c>
      <c r="AY20" s="526">
        <f t="shared" si="9"/>
        <v>0</v>
      </c>
      <c r="AZ20" s="526">
        <f t="shared" si="9"/>
        <v>0</v>
      </c>
      <c r="BA20" s="526">
        <f t="shared" si="9"/>
        <v>0</v>
      </c>
      <c r="BB20" s="526">
        <f t="shared" si="9"/>
        <v>0</v>
      </c>
      <c r="BC20" s="526">
        <f t="shared" si="9"/>
        <v>0</v>
      </c>
      <c r="BD20" s="526">
        <f t="shared" si="9"/>
        <v>0</v>
      </c>
      <c r="BE20" s="526">
        <f t="shared" si="9"/>
        <v>0</v>
      </c>
      <c r="BF20" s="526">
        <f t="shared" si="9"/>
        <v>0</v>
      </c>
      <c r="BG20" s="526">
        <f t="shared" si="9"/>
        <v>0</v>
      </c>
      <c r="BH20" s="526">
        <f t="shared" si="9"/>
        <v>0</v>
      </c>
      <c r="BI20" s="526">
        <f t="shared" si="9"/>
        <v>0</v>
      </c>
      <c r="BJ20" s="526">
        <f t="shared" si="9"/>
        <v>0</v>
      </c>
      <c r="BK20" s="526">
        <f t="shared" si="9"/>
        <v>0</v>
      </c>
      <c r="BL20" s="526">
        <f t="shared" si="9"/>
        <v>0</v>
      </c>
      <c r="BM20" s="526">
        <f t="shared" si="9"/>
        <v>0</v>
      </c>
      <c r="BN20" s="526">
        <f t="shared" si="9"/>
        <v>0</v>
      </c>
      <c r="BO20" s="526">
        <f t="shared" si="9"/>
        <v>0</v>
      </c>
      <c r="BP20" s="526">
        <f t="shared" si="9"/>
        <v>0</v>
      </c>
      <c r="BQ20" s="526">
        <f t="shared" si="9"/>
        <v>0</v>
      </c>
      <c r="BR20" s="526">
        <f t="shared" si="9"/>
        <v>0</v>
      </c>
      <c r="BS20" s="526">
        <f t="shared" si="9"/>
        <v>0</v>
      </c>
      <c r="BT20" s="526">
        <f t="shared" si="9"/>
        <v>0</v>
      </c>
      <c r="BU20" s="526">
        <f t="shared" si="9"/>
        <v>0</v>
      </c>
      <c r="BV20" s="526">
        <f t="shared" si="9"/>
        <v>0</v>
      </c>
      <c r="BW20" s="526">
        <f t="shared" si="9"/>
        <v>0</v>
      </c>
      <c r="BX20" s="526">
        <f t="shared" si="9"/>
        <v>0</v>
      </c>
      <c r="BY20" s="526">
        <f t="shared" si="9"/>
        <v>0</v>
      </c>
      <c r="BZ20" s="526">
        <f t="shared" si="9"/>
        <v>0</v>
      </c>
      <c r="CA20" s="526">
        <f t="shared" si="9"/>
        <v>0</v>
      </c>
      <c r="CB20" s="526">
        <f t="shared" si="6"/>
        <v>0</v>
      </c>
      <c r="CC20" s="526">
        <f t="shared" si="6"/>
        <v>0</v>
      </c>
      <c r="CD20" s="526">
        <f t="shared" si="6"/>
        <v>0</v>
      </c>
      <c r="CE20" s="526">
        <f t="shared" si="6"/>
        <v>0</v>
      </c>
      <c r="CF20" s="526">
        <f t="shared" si="6"/>
        <v>0</v>
      </c>
    </row>
    <row r="21" spans="2:84">
      <c r="B21" t="s">
        <v>722</v>
      </c>
      <c r="C21" t="s">
        <v>1358</v>
      </c>
      <c r="D21" t="s">
        <v>708</v>
      </c>
      <c r="E21" t="s">
        <v>1356</v>
      </c>
      <c r="F21" t="str">
        <f t="shared" si="1"/>
        <v>e-hydrogen (compressed)Total emissions - WTW - GWP100Global</v>
      </c>
      <c r="G21" s="527">
        <v>0.29069928460653066</v>
      </c>
      <c r="H21" s="527">
        <v>0.29036818709700268</v>
      </c>
      <c r="I21" s="527">
        <v>0.28998000000000135</v>
      </c>
      <c r="J21" s="527">
        <v>0.28940257594781538</v>
      </c>
      <c r="K21" s="527">
        <v>0.28872889145140718</v>
      </c>
      <c r="L21" s="527">
        <v>0.28795894651077331</v>
      </c>
      <c r="M21" s="527">
        <v>0.28709274112591998</v>
      </c>
      <c r="N21" s="527">
        <v>0.28613027529683954</v>
      </c>
      <c r="O21" s="527">
        <v>0.28427104178214713</v>
      </c>
      <c r="P21" s="527">
        <v>0.28231892358064925</v>
      </c>
      <c r="Q21" s="527">
        <v>0.28027392069234119</v>
      </c>
      <c r="R21" s="527">
        <v>0.27813603311721824</v>
      </c>
      <c r="S21" s="527">
        <v>0.27590526085528855</v>
      </c>
      <c r="T21" s="527">
        <v>0.27357819323199506</v>
      </c>
      <c r="U21" s="527">
        <v>0.27118673282278699</v>
      </c>
      <c r="V21" s="527">
        <v>0.26873087962767428</v>
      </c>
      <c r="W21" s="527">
        <v>0.26621063364664344</v>
      </c>
      <c r="X21" s="527">
        <v>0.26362599487969779</v>
      </c>
      <c r="Y21" s="527">
        <v>0.26028322332369702</v>
      </c>
      <c r="Z21" s="527">
        <v>0.25697707164708095</v>
      </c>
      <c r="AA21" s="527">
        <v>0.25370753984985572</v>
      </c>
      <c r="AB21" s="527">
        <v>0.25047462793201525</v>
      </c>
      <c r="AC21" s="527">
        <v>0.2472783358935641</v>
      </c>
      <c r="AD21" s="527">
        <v>0.24460874010561368</v>
      </c>
      <c r="AE21" s="527">
        <v>0.24198615862228262</v>
      </c>
      <c r="AF21" s="527">
        <v>0.23941059144356966</v>
      </c>
      <c r="AG21" s="527">
        <v>0.23688203856947532</v>
      </c>
      <c r="AH21" s="527">
        <v>0.23440050000000018</v>
      </c>
      <c r="AI21" s="528">
        <f t="shared" si="9"/>
        <v>0.23440050000000018</v>
      </c>
      <c r="AJ21" s="528">
        <f t="shared" si="9"/>
        <v>0.23440050000000018</v>
      </c>
      <c r="AK21" s="528">
        <f t="shared" si="9"/>
        <v>0.23440050000000018</v>
      </c>
      <c r="AL21" s="528">
        <f t="shared" si="9"/>
        <v>0.23440050000000018</v>
      </c>
      <c r="AM21" s="528">
        <f t="shared" si="9"/>
        <v>0.23440050000000018</v>
      </c>
      <c r="AN21" s="528">
        <f t="shared" si="9"/>
        <v>0.23440050000000018</v>
      </c>
      <c r="AO21" s="528">
        <f t="shared" si="9"/>
        <v>0.23440050000000018</v>
      </c>
      <c r="AP21" s="528">
        <f t="shared" si="9"/>
        <v>0.23440050000000018</v>
      </c>
      <c r="AQ21" s="528">
        <f t="shared" si="9"/>
        <v>0.23440050000000018</v>
      </c>
      <c r="AR21" s="528">
        <f t="shared" si="9"/>
        <v>0.23440050000000018</v>
      </c>
      <c r="AS21" s="528">
        <f t="shared" si="9"/>
        <v>0.23440050000000018</v>
      </c>
      <c r="AT21" s="528">
        <f t="shared" si="9"/>
        <v>0.23440050000000018</v>
      </c>
      <c r="AU21" s="528">
        <f t="shared" si="9"/>
        <v>0.23440050000000018</v>
      </c>
      <c r="AV21" s="528">
        <f t="shared" si="9"/>
        <v>0.23440050000000018</v>
      </c>
      <c r="AW21" s="528">
        <f t="shared" si="9"/>
        <v>0.23440050000000018</v>
      </c>
      <c r="AX21" s="528">
        <f t="shared" si="9"/>
        <v>0.23440050000000018</v>
      </c>
      <c r="AY21" s="528">
        <f t="shared" si="9"/>
        <v>0.23440050000000018</v>
      </c>
      <c r="AZ21" s="528">
        <f t="shared" si="9"/>
        <v>0.23440050000000018</v>
      </c>
      <c r="BA21" s="528">
        <f t="shared" si="9"/>
        <v>0.23440050000000018</v>
      </c>
      <c r="BB21" s="528">
        <f t="shared" si="9"/>
        <v>0.23440050000000018</v>
      </c>
      <c r="BC21" s="528">
        <f t="shared" si="9"/>
        <v>0.23440050000000018</v>
      </c>
      <c r="BD21" s="528">
        <f t="shared" si="9"/>
        <v>0.23440050000000018</v>
      </c>
      <c r="BE21" s="528">
        <f t="shared" si="9"/>
        <v>0.23440050000000018</v>
      </c>
      <c r="BF21" s="528">
        <f t="shared" si="9"/>
        <v>0.23440050000000018</v>
      </c>
      <c r="BG21" s="528">
        <f t="shared" si="9"/>
        <v>0.23440050000000018</v>
      </c>
      <c r="BH21" s="528">
        <f t="shared" si="9"/>
        <v>0.23440050000000018</v>
      </c>
      <c r="BI21" s="528">
        <f t="shared" si="9"/>
        <v>0.23440050000000018</v>
      </c>
      <c r="BJ21" s="528">
        <f t="shared" si="9"/>
        <v>0.23440050000000018</v>
      </c>
      <c r="BK21" s="528">
        <f t="shared" si="9"/>
        <v>0.23440050000000018</v>
      </c>
      <c r="BL21" s="528">
        <f t="shared" si="9"/>
        <v>0.23440050000000018</v>
      </c>
      <c r="BM21" s="528">
        <f t="shared" si="9"/>
        <v>0.23440050000000018</v>
      </c>
      <c r="BN21" s="528">
        <f t="shared" si="9"/>
        <v>0.23440050000000018</v>
      </c>
      <c r="BO21" s="528">
        <f t="shared" si="9"/>
        <v>0.23440050000000018</v>
      </c>
      <c r="BP21" s="528">
        <f t="shared" si="9"/>
        <v>0.23440050000000018</v>
      </c>
      <c r="BQ21" s="528">
        <f t="shared" si="9"/>
        <v>0.23440050000000018</v>
      </c>
      <c r="BR21" s="528">
        <f t="shared" si="9"/>
        <v>0.23440050000000018</v>
      </c>
      <c r="BS21" s="528">
        <f t="shared" si="9"/>
        <v>0.23440050000000018</v>
      </c>
      <c r="BT21" s="528">
        <f t="shared" si="9"/>
        <v>0.23440050000000018</v>
      </c>
      <c r="BU21" s="528">
        <f t="shared" si="9"/>
        <v>0.23440050000000018</v>
      </c>
      <c r="BV21" s="528">
        <f t="shared" si="9"/>
        <v>0.23440050000000018</v>
      </c>
      <c r="BW21" s="528">
        <f t="shared" si="9"/>
        <v>0.23440050000000018</v>
      </c>
      <c r="BX21" s="528">
        <f t="shared" si="9"/>
        <v>0.23440050000000018</v>
      </c>
      <c r="BY21" s="528">
        <f t="shared" si="9"/>
        <v>0.23440050000000018</v>
      </c>
      <c r="BZ21" s="528">
        <f t="shared" si="9"/>
        <v>0.23440050000000018</v>
      </c>
      <c r="CA21" s="528">
        <f t="shared" si="9"/>
        <v>0.23440050000000018</v>
      </c>
      <c r="CB21" s="528">
        <f t="shared" si="6"/>
        <v>0.23440050000000018</v>
      </c>
      <c r="CC21" s="528">
        <f t="shared" si="6"/>
        <v>0.23440050000000018</v>
      </c>
      <c r="CD21" s="528">
        <f t="shared" si="6"/>
        <v>0.23440050000000018</v>
      </c>
      <c r="CE21" s="528">
        <f t="shared" si="6"/>
        <v>0.23440050000000018</v>
      </c>
      <c r="CF21" s="528">
        <f t="shared" si="6"/>
        <v>0.23440050000000018</v>
      </c>
    </row>
    <row r="22" spans="2:84">
      <c r="B22" t="s">
        <v>121</v>
      </c>
      <c r="C22" t="s">
        <v>1352</v>
      </c>
      <c r="D22" t="s">
        <v>708</v>
      </c>
      <c r="E22" t="s">
        <v>1353</v>
      </c>
      <c r="F22" t="str">
        <f t="shared" si="1"/>
        <v>e-ammoniaCapExGlobal</v>
      </c>
      <c r="G22" s="525">
        <v>3893.1823090627499</v>
      </c>
      <c r="H22" s="525">
        <v>3591.0278319048557</v>
      </c>
      <c r="I22" s="525">
        <v>3287.525479452042</v>
      </c>
      <c r="J22" s="525">
        <v>3007.6165632952952</v>
      </c>
      <c r="K22" s="525">
        <v>2725.203595609923</v>
      </c>
      <c r="L22" s="525">
        <v>2440.2865763959526</v>
      </c>
      <c r="M22" s="525">
        <v>2152.8655056533921</v>
      </c>
      <c r="N22" s="525">
        <v>1862.9403833822046</v>
      </c>
      <c r="O22" s="525">
        <v>1877.8206474985157</v>
      </c>
      <c r="P22" s="525">
        <v>1886.8612061860772</v>
      </c>
      <c r="Q22" s="525">
        <v>1890.0620594448742</v>
      </c>
      <c r="R22" s="525">
        <v>1887.4232072748807</v>
      </c>
      <c r="S22" s="525">
        <v>1878.9446496761434</v>
      </c>
      <c r="T22" s="525">
        <v>1860.9737589458796</v>
      </c>
      <c r="U22" s="525">
        <v>1838.1830810015081</v>
      </c>
      <c r="V22" s="525">
        <v>1810.5726158430787</v>
      </c>
      <c r="W22" s="525">
        <v>1778.1423634705425</v>
      </c>
      <c r="X22" s="525">
        <v>1740.8923238838815</v>
      </c>
      <c r="Y22" s="525">
        <v>1695.641308550986</v>
      </c>
      <c r="Z22" s="525">
        <v>1646.7534948853661</v>
      </c>
      <c r="AA22" s="525">
        <v>1594.2288828870621</v>
      </c>
      <c r="AB22" s="525">
        <v>1538.0674725560473</v>
      </c>
      <c r="AC22" s="525">
        <v>1478.2692638923138</v>
      </c>
      <c r="AD22" s="525">
        <v>1414.1526277083847</v>
      </c>
      <c r="AE22" s="525">
        <v>1347.7611914463655</v>
      </c>
      <c r="AF22" s="525">
        <v>1279.094955106257</v>
      </c>
      <c r="AG22" s="525">
        <v>1208.1539186880586</v>
      </c>
      <c r="AH22" s="525">
        <v>1134.9380821917712</v>
      </c>
      <c r="AI22" s="526">
        <f>AH22</f>
        <v>1134.9380821917712</v>
      </c>
      <c r="AJ22" s="526">
        <f t="shared" ref="AJ22:CF30" si="10">AI22</f>
        <v>1134.9380821917712</v>
      </c>
      <c r="AK22" s="526">
        <f t="shared" si="10"/>
        <v>1134.9380821917712</v>
      </c>
      <c r="AL22" s="526">
        <f t="shared" si="10"/>
        <v>1134.9380821917712</v>
      </c>
      <c r="AM22" s="526">
        <f t="shared" si="10"/>
        <v>1134.9380821917712</v>
      </c>
      <c r="AN22" s="526">
        <f t="shared" si="10"/>
        <v>1134.9380821917712</v>
      </c>
      <c r="AO22" s="526">
        <f t="shared" si="10"/>
        <v>1134.9380821917712</v>
      </c>
      <c r="AP22" s="526">
        <f t="shared" si="10"/>
        <v>1134.9380821917712</v>
      </c>
      <c r="AQ22" s="526">
        <f t="shared" si="10"/>
        <v>1134.9380821917712</v>
      </c>
      <c r="AR22" s="526">
        <f t="shared" si="10"/>
        <v>1134.9380821917712</v>
      </c>
      <c r="AS22" s="526">
        <f t="shared" si="10"/>
        <v>1134.9380821917712</v>
      </c>
      <c r="AT22" s="526">
        <f t="shared" si="10"/>
        <v>1134.9380821917712</v>
      </c>
      <c r="AU22" s="526">
        <f t="shared" si="10"/>
        <v>1134.9380821917712</v>
      </c>
      <c r="AV22" s="526">
        <f t="shared" si="10"/>
        <v>1134.9380821917712</v>
      </c>
      <c r="AW22" s="526">
        <f t="shared" si="10"/>
        <v>1134.9380821917712</v>
      </c>
      <c r="AX22" s="526">
        <f t="shared" si="10"/>
        <v>1134.9380821917712</v>
      </c>
      <c r="AY22" s="526">
        <f t="shared" si="10"/>
        <v>1134.9380821917712</v>
      </c>
      <c r="AZ22" s="526">
        <f t="shared" si="10"/>
        <v>1134.9380821917712</v>
      </c>
      <c r="BA22" s="526">
        <f t="shared" si="10"/>
        <v>1134.9380821917712</v>
      </c>
      <c r="BB22" s="526">
        <f t="shared" si="10"/>
        <v>1134.9380821917712</v>
      </c>
      <c r="BC22" s="526">
        <f t="shared" si="10"/>
        <v>1134.9380821917712</v>
      </c>
      <c r="BD22" s="526">
        <f t="shared" si="10"/>
        <v>1134.9380821917712</v>
      </c>
      <c r="BE22" s="526">
        <f t="shared" si="10"/>
        <v>1134.9380821917712</v>
      </c>
      <c r="BF22" s="526">
        <f t="shared" si="10"/>
        <v>1134.9380821917712</v>
      </c>
      <c r="BG22" s="526">
        <f t="shared" si="10"/>
        <v>1134.9380821917712</v>
      </c>
      <c r="BH22" s="526">
        <f t="shared" si="10"/>
        <v>1134.9380821917712</v>
      </c>
      <c r="BI22" s="526">
        <f t="shared" si="10"/>
        <v>1134.9380821917712</v>
      </c>
      <c r="BJ22" s="526">
        <f t="shared" si="10"/>
        <v>1134.9380821917712</v>
      </c>
      <c r="BK22" s="526">
        <f t="shared" si="10"/>
        <v>1134.9380821917712</v>
      </c>
      <c r="BL22" s="526">
        <f t="shared" si="10"/>
        <v>1134.9380821917712</v>
      </c>
      <c r="BM22" s="526">
        <f t="shared" si="10"/>
        <v>1134.9380821917712</v>
      </c>
      <c r="BN22" s="526">
        <f t="shared" si="10"/>
        <v>1134.9380821917712</v>
      </c>
      <c r="BO22" s="526">
        <f t="shared" si="10"/>
        <v>1134.9380821917712</v>
      </c>
      <c r="BP22" s="526">
        <f t="shared" si="10"/>
        <v>1134.9380821917712</v>
      </c>
      <c r="BQ22" s="526">
        <f t="shared" si="10"/>
        <v>1134.9380821917712</v>
      </c>
      <c r="BR22" s="526">
        <f t="shared" si="10"/>
        <v>1134.9380821917712</v>
      </c>
      <c r="BS22" s="526">
        <f t="shared" si="10"/>
        <v>1134.9380821917712</v>
      </c>
      <c r="BT22" s="526">
        <f t="shared" si="10"/>
        <v>1134.9380821917712</v>
      </c>
      <c r="BU22" s="526">
        <f t="shared" si="10"/>
        <v>1134.9380821917712</v>
      </c>
      <c r="BV22" s="526">
        <f t="shared" si="10"/>
        <v>1134.9380821917712</v>
      </c>
      <c r="BW22" s="526">
        <f t="shared" si="10"/>
        <v>1134.9380821917712</v>
      </c>
      <c r="BX22" s="526">
        <f t="shared" si="10"/>
        <v>1134.9380821917712</v>
      </c>
      <c r="BY22" s="526">
        <f t="shared" si="10"/>
        <v>1134.9380821917712</v>
      </c>
      <c r="BZ22" s="526">
        <f t="shared" si="10"/>
        <v>1134.9380821917712</v>
      </c>
      <c r="CA22" s="526">
        <f t="shared" si="10"/>
        <v>1134.9380821917712</v>
      </c>
      <c r="CB22" s="526">
        <f t="shared" si="10"/>
        <v>1134.9380821917712</v>
      </c>
      <c r="CC22" s="526">
        <f t="shared" si="10"/>
        <v>1134.9380821917712</v>
      </c>
      <c r="CD22" s="526">
        <f t="shared" si="10"/>
        <v>1134.9380821917712</v>
      </c>
      <c r="CE22" s="526">
        <f t="shared" si="10"/>
        <v>1134.9380821917712</v>
      </c>
      <c r="CF22" s="526">
        <f t="shared" si="10"/>
        <v>1134.9380821917712</v>
      </c>
    </row>
    <row r="23" spans="2:84">
      <c r="B23" t="s">
        <v>121</v>
      </c>
      <c r="C23" t="s">
        <v>1354</v>
      </c>
      <c r="D23" t="s">
        <v>838</v>
      </c>
      <c r="E23" t="s">
        <v>1353</v>
      </c>
      <c r="F23" t="str">
        <f t="shared" si="1"/>
        <v>e-ammoniaOpExAfrica</v>
      </c>
      <c r="G23" s="525">
        <v>1051.1152623981484</v>
      </c>
      <c r="H23" s="525">
        <v>948.38268032292058</v>
      </c>
      <c r="I23" s="525">
        <v>845.21415125709166</v>
      </c>
      <c r="J23" s="525">
        <v>795.84238846974176</v>
      </c>
      <c r="K23" s="525">
        <v>745.63970640186574</v>
      </c>
      <c r="L23" s="525">
        <v>694.62460668499898</v>
      </c>
      <c r="M23" s="525">
        <v>642.81559095069201</v>
      </c>
      <c r="N23" s="525">
        <v>590.23116083047341</v>
      </c>
      <c r="O23" s="525">
        <v>577.76956335159173</v>
      </c>
      <c r="P23" s="525">
        <v>564.13883851849857</v>
      </c>
      <c r="Q23" s="525">
        <v>549.34895178575539</v>
      </c>
      <c r="R23" s="525">
        <v>533.40986860793282</v>
      </c>
      <c r="S23" s="525">
        <v>516.331554439613</v>
      </c>
      <c r="T23" s="525">
        <v>504.57730741297343</v>
      </c>
      <c r="U23" s="525">
        <v>492.04570935128061</v>
      </c>
      <c r="V23" s="525">
        <v>478.74001202023948</v>
      </c>
      <c r="W23" s="525">
        <v>464.66346718551858</v>
      </c>
      <c r="X23" s="525">
        <v>449.81932661281616</v>
      </c>
      <c r="Y23" s="525">
        <v>434.82399027539122</v>
      </c>
      <c r="Z23" s="525">
        <v>419.51431784452325</v>
      </c>
      <c r="AA23" s="525">
        <v>403.88840777529759</v>
      </c>
      <c r="AB23" s="525">
        <v>387.94435852278247</v>
      </c>
      <c r="AC23" s="525">
        <v>371.68026854205692</v>
      </c>
      <c r="AD23" s="525">
        <v>359.30465671095897</v>
      </c>
      <c r="AE23" s="525">
        <v>346.78652815184051</v>
      </c>
      <c r="AF23" s="525">
        <v>334.1246846132874</v>
      </c>
      <c r="AG23" s="525">
        <v>321.31792784388978</v>
      </c>
      <c r="AH23" s="525">
        <v>308.36505959223797</v>
      </c>
      <c r="AI23" s="526">
        <f t="shared" ref="AI23:CA28" si="11">AH23</f>
        <v>308.36505959223797</v>
      </c>
      <c r="AJ23" s="526">
        <f t="shared" si="11"/>
        <v>308.36505959223797</v>
      </c>
      <c r="AK23" s="526">
        <f t="shared" si="11"/>
        <v>308.36505959223797</v>
      </c>
      <c r="AL23" s="526">
        <f t="shared" si="11"/>
        <v>308.36505959223797</v>
      </c>
      <c r="AM23" s="526">
        <f t="shared" si="11"/>
        <v>308.36505959223797</v>
      </c>
      <c r="AN23" s="526">
        <f t="shared" si="11"/>
        <v>308.36505959223797</v>
      </c>
      <c r="AO23" s="526">
        <f t="shared" si="11"/>
        <v>308.36505959223797</v>
      </c>
      <c r="AP23" s="526">
        <f t="shared" si="11"/>
        <v>308.36505959223797</v>
      </c>
      <c r="AQ23" s="526">
        <f t="shared" si="11"/>
        <v>308.36505959223797</v>
      </c>
      <c r="AR23" s="526">
        <f t="shared" si="11"/>
        <v>308.36505959223797</v>
      </c>
      <c r="AS23" s="526">
        <f t="shared" si="11"/>
        <v>308.36505959223797</v>
      </c>
      <c r="AT23" s="526">
        <f t="shared" si="11"/>
        <v>308.36505959223797</v>
      </c>
      <c r="AU23" s="526">
        <f t="shared" si="11"/>
        <v>308.36505959223797</v>
      </c>
      <c r="AV23" s="526">
        <f t="shared" si="11"/>
        <v>308.36505959223797</v>
      </c>
      <c r="AW23" s="526">
        <f t="shared" si="11"/>
        <v>308.36505959223797</v>
      </c>
      <c r="AX23" s="526">
        <f t="shared" si="11"/>
        <v>308.36505959223797</v>
      </c>
      <c r="AY23" s="526">
        <f t="shared" si="11"/>
        <v>308.36505959223797</v>
      </c>
      <c r="AZ23" s="526">
        <f t="shared" si="11"/>
        <v>308.36505959223797</v>
      </c>
      <c r="BA23" s="526">
        <f t="shared" si="11"/>
        <v>308.36505959223797</v>
      </c>
      <c r="BB23" s="526">
        <f t="shared" si="11"/>
        <v>308.36505959223797</v>
      </c>
      <c r="BC23" s="526">
        <f t="shared" si="11"/>
        <v>308.36505959223797</v>
      </c>
      <c r="BD23" s="526">
        <f t="shared" si="11"/>
        <v>308.36505959223797</v>
      </c>
      <c r="BE23" s="526">
        <f t="shared" si="11"/>
        <v>308.36505959223797</v>
      </c>
      <c r="BF23" s="526">
        <f t="shared" si="11"/>
        <v>308.36505959223797</v>
      </c>
      <c r="BG23" s="526">
        <f t="shared" si="11"/>
        <v>308.36505959223797</v>
      </c>
      <c r="BH23" s="526">
        <f t="shared" si="11"/>
        <v>308.36505959223797</v>
      </c>
      <c r="BI23" s="526">
        <f t="shared" si="11"/>
        <v>308.36505959223797</v>
      </c>
      <c r="BJ23" s="526">
        <f t="shared" si="11"/>
        <v>308.36505959223797</v>
      </c>
      <c r="BK23" s="526">
        <f t="shared" si="11"/>
        <v>308.36505959223797</v>
      </c>
      <c r="BL23" s="526">
        <f t="shared" si="11"/>
        <v>308.36505959223797</v>
      </c>
      <c r="BM23" s="526">
        <f t="shared" si="11"/>
        <v>308.36505959223797</v>
      </c>
      <c r="BN23" s="526">
        <f t="shared" si="11"/>
        <v>308.36505959223797</v>
      </c>
      <c r="BO23" s="526">
        <f t="shared" si="11"/>
        <v>308.36505959223797</v>
      </c>
      <c r="BP23" s="526">
        <f t="shared" si="11"/>
        <v>308.36505959223797</v>
      </c>
      <c r="BQ23" s="526">
        <f t="shared" si="11"/>
        <v>308.36505959223797</v>
      </c>
      <c r="BR23" s="526">
        <f t="shared" si="11"/>
        <v>308.36505959223797</v>
      </c>
      <c r="BS23" s="526">
        <f t="shared" si="11"/>
        <v>308.36505959223797</v>
      </c>
      <c r="BT23" s="526">
        <f t="shared" si="11"/>
        <v>308.36505959223797</v>
      </c>
      <c r="BU23" s="526">
        <f t="shared" si="11"/>
        <v>308.36505959223797</v>
      </c>
      <c r="BV23" s="526">
        <f t="shared" si="11"/>
        <v>308.36505959223797</v>
      </c>
      <c r="BW23" s="526">
        <f t="shared" si="11"/>
        <v>308.36505959223797</v>
      </c>
      <c r="BX23" s="526">
        <f t="shared" si="11"/>
        <v>308.36505959223797</v>
      </c>
      <c r="BY23" s="526">
        <f t="shared" si="11"/>
        <v>308.36505959223797</v>
      </c>
      <c r="BZ23" s="526">
        <f t="shared" si="11"/>
        <v>308.36505959223797</v>
      </c>
      <c r="CA23" s="526">
        <f t="shared" si="11"/>
        <v>308.36505959223797</v>
      </c>
      <c r="CB23" s="526">
        <f t="shared" si="10"/>
        <v>308.36505959223797</v>
      </c>
      <c r="CC23" s="526">
        <f t="shared" si="10"/>
        <v>308.36505959223797</v>
      </c>
      <c r="CD23" s="526">
        <f t="shared" si="10"/>
        <v>308.36505959223797</v>
      </c>
      <c r="CE23" s="526">
        <f t="shared" si="10"/>
        <v>308.36505959223797</v>
      </c>
      <c r="CF23" s="526">
        <f t="shared" si="10"/>
        <v>308.36505959223797</v>
      </c>
    </row>
    <row r="24" spans="2:84">
      <c r="B24" t="s">
        <v>121</v>
      </c>
      <c r="C24" t="s">
        <v>1354</v>
      </c>
      <c r="D24" t="s">
        <v>731</v>
      </c>
      <c r="E24" t="s">
        <v>1353</v>
      </c>
      <c r="F24" t="str">
        <f t="shared" si="1"/>
        <v>e-ammoniaOpExAmericas</v>
      </c>
      <c r="G24" s="525">
        <v>830.29216256477594</v>
      </c>
      <c r="H24" s="525">
        <v>789.76711152482585</v>
      </c>
      <c r="I24" s="525">
        <v>748.68898339263637</v>
      </c>
      <c r="J24" s="525">
        <v>705.88394009422655</v>
      </c>
      <c r="K24" s="525">
        <v>662.24621386282115</v>
      </c>
      <c r="L24" s="525">
        <v>617.78823610160953</v>
      </c>
      <c r="M24" s="525">
        <v>572.5224382138033</v>
      </c>
      <c r="N24" s="525">
        <v>526.46125160256827</v>
      </c>
      <c r="O24" s="525">
        <v>518.86036446772516</v>
      </c>
      <c r="P24" s="525">
        <v>510.05144605928984</v>
      </c>
      <c r="Q24" s="525">
        <v>500.04026887402568</v>
      </c>
      <c r="R24" s="525">
        <v>488.83260540869099</v>
      </c>
      <c r="S24" s="525">
        <v>476.43422816006546</v>
      </c>
      <c r="T24" s="525">
        <v>465.0135974158178</v>
      </c>
      <c r="U24" s="525">
        <v>452.82433476118405</v>
      </c>
      <c r="V24" s="525">
        <v>439.86968416424406</v>
      </c>
      <c r="W24" s="525">
        <v>426.15288959304462</v>
      </c>
      <c r="X24" s="525">
        <v>411.67719501565495</v>
      </c>
      <c r="Y24" s="525">
        <v>400.01852147141864</v>
      </c>
      <c r="Z24" s="525">
        <v>387.97073308023005</v>
      </c>
      <c r="AA24" s="525">
        <v>375.53308661896068</v>
      </c>
      <c r="AB24" s="525">
        <v>362.70483886445857</v>
      </c>
      <c r="AC24" s="525">
        <v>349.48524659359026</v>
      </c>
      <c r="AD24" s="525">
        <v>338.20943276842803</v>
      </c>
      <c r="AE24" s="525">
        <v>326.76929282370855</v>
      </c>
      <c r="AF24" s="525">
        <v>315.1641068948079</v>
      </c>
      <c r="AG24" s="525">
        <v>303.39315511710384</v>
      </c>
      <c r="AH24" s="525">
        <v>291.45571762597399</v>
      </c>
      <c r="AI24" s="526">
        <f t="shared" si="11"/>
        <v>291.45571762597399</v>
      </c>
      <c r="AJ24" s="526">
        <f t="shared" si="11"/>
        <v>291.45571762597399</v>
      </c>
      <c r="AK24" s="526">
        <f t="shared" si="11"/>
        <v>291.45571762597399</v>
      </c>
      <c r="AL24" s="526">
        <f t="shared" si="11"/>
        <v>291.45571762597399</v>
      </c>
      <c r="AM24" s="526">
        <f t="shared" si="11"/>
        <v>291.45571762597399</v>
      </c>
      <c r="AN24" s="526">
        <f t="shared" si="11"/>
        <v>291.45571762597399</v>
      </c>
      <c r="AO24" s="526">
        <f t="shared" si="11"/>
        <v>291.45571762597399</v>
      </c>
      <c r="AP24" s="526">
        <f t="shared" si="11"/>
        <v>291.45571762597399</v>
      </c>
      <c r="AQ24" s="526">
        <f t="shared" si="11"/>
        <v>291.45571762597399</v>
      </c>
      <c r="AR24" s="526">
        <f t="shared" si="11"/>
        <v>291.45571762597399</v>
      </c>
      <c r="AS24" s="526">
        <f t="shared" si="11"/>
        <v>291.45571762597399</v>
      </c>
      <c r="AT24" s="526">
        <f t="shared" si="11"/>
        <v>291.45571762597399</v>
      </c>
      <c r="AU24" s="526">
        <f t="shared" si="11"/>
        <v>291.45571762597399</v>
      </c>
      <c r="AV24" s="526">
        <f t="shared" si="11"/>
        <v>291.45571762597399</v>
      </c>
      <c r="AW24" s="526">
        <f t="shared" si="11"/>
        <v>291.45571762597399</v>
      </c>
      <c r="AX24" s="526">
        <f t="shared" si="11"/>
        <v>291.45571762597399</v>
      </c>
      <c r="AY24" s="526">
        <f t="shared" si="11"/>
        <v>291.45571762597399</v>
      </c>
      <c r="AZ24" s="526">
        <f t="shared" si="11"/>
        <v>291.45571762597399</v>
      </c>
      <c r="BA24" s="526">
        <f t="shared" si="11"/>
        <v>291.45571762597399</v>
      </c>
      <c r="BB24" s="526">
        <f t="shared" si="11"/>
        <v>291.45571762597399</v>
      </c>
      <c r="BC24" s="526">
        <f t="shared" si="11"/>
        <v>291.45571762597399</v>
      </c>
      <c r="BD24" s="526">
        <f t="shared" si="11"/>
        <v>291.45571762597399</v>
      </c>
      <c r="BE24" s="526">
        <f t="shared" si="11"/>
        <v>291.45571762597399</v>
      </c>
      <c r="BF24" s="526">
        <f t="shared" si="11"/>
        <v>291.45571762597399</v>
      </c>
      <c r="BG24" s="526">
        <f t="shared" si="11"/>
        <v>291.45571762597399</v>
      </c>
      <c r="BH24" s="526">
        <f t="shared" si="11"/>
        <v>291.45571762597399</v>
      </c>
      <c r="BI24" s="526">
        <f t="shared" si="11"/>
        <v>291.45571762597399</v>
      </c>
      <c r="BJ24" s="526">
        <f t="shared" si="11"/>
        <v>291.45571762597399</v>
      </c>
      <c r="BK24" s="526">
        <f t="shared" si="11"/>
        <v>291.45571762597399</v>
      </c>
      <c r="BL24" s="526">
        <f t="shared" si="11"/>
        <v>291.45571762597399</v>
      </c>
      <c r="BM24" s="526">
        <f t="shared" si="11"/>
        <v>291.45571762597399</v>
      </c>
      <c r="BN24" s="526">
        <f t="shared" si="11"/>
        <v>291.45571762597399</v>
      </c>
      <c r="BO24" s="526">
        <f t="shared" si="11"/>
        <v>291.45571762597399</v>
      </c>
      <c r="BP24" s="526">
        <f t="shared" si="11"/>
        <v>291.45571762597399</v>
      </c>
      <c r="BQ24" s="526">
        <f t="shared" si="11"/>
        <v>291.45571762597399</v>
      </c>
      <c r="BR24" s="526">
        <f t="shared" si="11"/>
        <v>291.45571762597399</v>
      </c>
      <c r="BS24" s="526">
        <f t="shared" si="11"/>
        <v>291.45571762597399</v>
      </c>
      <c r="BT24" s="526">
        <f t="shared" si="11"/>
        <v>291.45571762597399</v>
      </c>
      <c r="BU24" s="526">
        <f t="shared" si="11"/>
        <v>291.45571762597399</v>
      </c>
      <c r="BV24" s="526">
        <f t="shared" si="11"/>
        <v>291.45571762597399</v>
      </c>
      <c r="BW24" s="526">
        <f t="shared" si="11"/>
        <v>291.45571762597399</v>
      </c>
      <c r="BX24" s="526">
        <f t="shared" si="11"/>
        <v>291.45571762597399</v>
      </c>
      <c r="BY24" s="526">
        <f t="shared" si="11"/>
        <v>291.45571762597399</v>
      </c>
      <c r="BZ24" s="526">
        <f t="shared" si="11"/>
        <v>291.45571762597399</v>
      </c>
      <c r="CA24" s="526">
        <f t="shared" si="11"/>
        <v>291.45571762597399</v>
      </c>
      <c r="CB24" s="526">
        <f t="shared" si="10"/>
        <v>291.45571762597399</v>
      </c>
      <c r="CC24" s="526">
        <f t="shared" si="10"/>
        <v>291.45571762597399</v>
      </c>
      <c r="CD24" s="526">
        <f t="shared" si="10"/>
        <v>291.45571762597399</v>
      </c>
      <c r="CE24" s="526">
        <f t="shared" si="10"/>
        <v>291.45571762597399</v>
      </c>
      <c r="CF24" s="526">
        <f t="shared" si="10"/>
        <v>291.45571762597399</v>
      </c>
    </row>
    <row r="25" spans="2:84">
      <c r="B25" t="s">
        <v>121</v>
      </c>
      <c r="C25" t="s">
        <v>1354</v>
      </c>
      <c r="D25" t="s">
        <v>750</v>
      </c>
      <c r="E25" t="s">
        <v>1353</v>
      </c>
      <c r="F25" t="str">
        <f t="shared" si="1"/>
        <v>e-ammoniaOpExAsia</v>
      </c>
      <c r="G25" s="525">
        <v>1117.7794552698301</v>
      </c>
      <c r="H25" s="525">
        <v>1026.6607206198789</v>
      </c>
      <c r="I25" s="525">
        <v>935.0635788605457</v>
      </c>
      <c r="J25" s="525">
        <v>884.11818114434629</v>
      </c>
      <c r="K25" s="525">
        <v>832.32031902869835</v>
      </c>
      <c r="L25" s="525">
        <v>779.68980656503197</v>
      </c>
      <c r="M25" s="525">
        <v>726.24645780482683</v>
      </c>
      <c r="N25" s="525">
        <v>672.01008679952281</v>
      </c>
      <c r="O25" s="525">
        <v>655.81397182818966</v>
      </c>
      <c r="P25" s="525">
        <v>638.46573027727038</v>
      </c>
      <c r="Q25" s="525">
        <v>619.97835725423715</v>
      </c>
      <c r="R25" s="525">
        <v>600.36484786654842</v>
      </c>
      <c r="S25" s="525">
        <v>579.63819722170354</v>
      </c>
      <c r="T25" s="525">
        <v>565.40633356215722</v>
      </c>
      <c r="U25" s="525">
        <v>550.41587223672252</v>
      </c>
      <c r="V25" s="525">
        <v>534.67139360113856</v>
      </c>
      <c r="W25" s="525">
        <v>518.17747801109351</v>
      </c>
      <c r="X25" s="525">
        <v>500.93870582231824</v>
      </c>
      <c r="Y25" s="525">
        <v>483.27675194360921</v>
      </c>
      <c r="Z25" s="525">
        <v>465.35690048548435</v>
      </c>
      <c r="AA25" s="525">
        <v>447.17642490221073</v>
      </c>
      <c r="AB25" s="525">
        <v>428.73259864803782</v>
      </c>
      <c r="AC25" s="525">
        <v>410.02269517722749</v>
      </c>
      <c r="AD25" s="525">
        <v>396.51129318680654</v>
      </c>
      <c r="AE25" s="525">
        <v>382.87945357019521</v>
      </c>
      <c r="AF25" s="525">
        <v>369.12557105996717</v>
      </c>
      <c r="AG25" s="525">
        <v>355.2480403886949</v>
      </c>
      <c r="AH25" s="525">
        <v>341.24525628895088</v>
      </c>
      <c r="AI25" s="526">
        <f t="shared" si="11"/>
        <v>341.24525628895088</v>
      </c>
      <c r="AJ25" s="526">
        <f t="shared" si="11"/>
        <v>341.24525628895088</v>
      </c>
      <c r="AK25" s="526">
        <f t="shared" si="11"/>
        <v>341.24525628895088</v>
      </c>
      <c r="AL25" s="526">
        <f t="shared" si="11"/>
        <v>341.24525628895088</v>
      </c>
      <c r="AM25" s="526">
        <f t="shared" si="11"/>
        <v>341.24525628895088</v>
      </c>
      <c r="AN25" s="526">
        <f t="shared" si="11"/>
        <v>341.24525628895088</v>
      </c>
      <c r="AO25" s="526">
        <f t="shared" si="11"/>
        <v>341.24525628895088</v>
      </c>
      <c r="AP25" s="526">
        <f t="shared" si="11"/>
        <v>341.24525628895088</v>
      </c>
      <c r="AQ25" s="526">
        <f t="shared" si="11"/>
        <v>341.24525628895088</v>
      </c>
      <c r="AR25" s="526">
        <f t="shared" si="11"/>
        <v>341.24525628895088</v>
      </c>
      <c r="AS25" s="526">
        <f t="shared" si="11"/>
        <v>341.24525628895088</v>
      </c>
      <c r="AT25" s="526">
        <f t="shared" si="11"/>
        <v>341.24525628895088</v>
      </c>
      <c r="AU25" s="526">
        <f t="shared" si="11"/>
        <v>341.24525628895088</v>
      </c>
      <c r="AV25" s="526">
        <f t="shared" si="11"/>
        <v>341.24525628895088</v>
      </c>
      <c r="AW25" s="526">
        <f t="shared" si="11"/>
        <v>341.24525628895088</v>
      </c>
      <c r="AX25" s="526">
        <f t="shared" si="11"/>
        <v>341.24525628895088</v>
      </c>
      <c r="AY25" s="526">
        <f t="shared" si="11"/>
        <v>341.24525628895088</v>
      </c>
      <c r="AZ25" s="526">
        <f t="shared" si="11"/>
        <v>341.24525628895088</v>
      </c>
      <c r="BA25" s="526">
        <f t="shared" si="11"/>
        <v>341.24525628895088</v>
      </c>
      <c r="BB25" s="526">
        <f t="shared" si="11"/>
        <v>341.24525628895088</v>
      </c>
      <c r="BC25" s="526">
        <f t="shared" si="11"/>
        <v>341.24525628895088</v>
      </c>
      <c r="BD25" s="526">
        <f t="shared" si="11"/>
        <v>341.24525628895088</v>
      </c>
      <c r="BE25" s="526">
        <f t="shared" si="11"/>
        <v>341.24525628895088</v>
      </c>
      <c r="BF25" s="526">
        <f t="shared" si="11"/>
        <v>341.24525628895088</v>
      </c>
      <c r="BG25" s="526">
        <f t="shared" si="11"/>
        <v>341.24525628895088</v>
      </c>
      <c r="BH25" s="526">
        <f t="shared" si="11"/>
        <v>341.24525628895088</v>
      </c>
      <c r="BI25" s="526">
        <f t="shared" si="11"/>
        <v>341.24525628895088</v>
      </c>
      <c r="BJ25" s="526">
        <f t="shared" si="11"/>
        <v>341.24525628895088</v>
      </c>
      <c r="BK25" s="526">
        <f t="shared" si="11"/>
        <v>341.24525628895088</v>
      </c>
      <c r="BL25" s="526">
        <f t="shared" si="11"/>
        <v>341.24525628895088</v>
      </c>
      <c r="BM25" s="526">
        <f t="shared" si="11"/>
        <v>341.24525628895088</v>
      </c>
      <c r="BN25" s="526">
        <f t="shared" si="11"/>
        <v>341.24525628895088</v>
      </c>
      <c r="BO25" s="526">
        <f t="shared" si="11"/>
        <v>341.24525628895088</v>
      </c>
      <c r="BP25" s="526">
        <f t="shared" si="11"/>
        <v>341.24525628895088</v>
      </c>
      <c r="BQ25" s="526">
        <f t="shared" si="11"/>
        <v>341.24525628895088</v>
      </c>
      <c r="BR25" s="526">
        <f t="shared" si="11"/>
        <v>341.24525628895088</v>
      </c>
      <c r="BS25" s="526">
        <f t="shared" si="11"/>
        <v>341.24525628895088</v>
      </c>
      <c r="BT25" s="526">
        <f t="shared" si="11"/>
        <v>341.24525628895088</v>
      </c>
      <c r="BU25" s="526">
        <f t="shared" si="11"/>
        <v>341.24525628895088</v>
      </c>
      <c r="BV25" s="526">
        <f t="shared" si="11"/>
        <v>341.24525628895088</v>
      </c>
      <c r="BW25" s="526">
        <f t="shared" si="11"/>
        <v>341.24525628895088</v>
      </c>
      <c r="BX25" s="526">
        <f t="shared" si="11"/>
        <v>341.24525628895088</v>
      </c>
      <c r="BY25" s="526">
        <f t="shared" si="11"/>
        <v>341.24525628895088</v>
      </c>
      <c r="BZ25" s="526">
        <f t="shared" si="11"/>
        <v>341.24525628895088</v>
      </c>
      <c r="CA25" s="526">
        <f t="shared" si="11"/>
        <v>341.24525628895088</v>
      </c>
      <c r="CB25" s="526">
        <f t="shared" si="10"/>
        <v>341.24525628895088</v>
      </c>
      <c r="CC25" s="526">
        <f t="shared" si="10"/>
        <v>341.24525628895088</v>
      </c>
      <c r="CD25" s="526">
        <f t="shared" si="10"/>
        <v>341.24525628895088</v>
      </c>
      <c r="CE25" s="526">
        <f t="shared" si="10"/>
        <v>341.24525628895088</v>
      </c>
      <c r="CF25" s="526">
        <f t="shared" si="10"/>
        <v>341.24525628895088</v>
      </c>
    </row>
    <row r="26" spans="2:84">
      <c r="B26" t="s">
        <v>121</v>
      </c>
      <c r="C26" t="s">
        <v>1354</v>
      </c>
      <c r="D26" t="s">
        <v>720</v>
      </c>
      <c r="E26" t="s">
        <v>1353</v>
      </c>
      <c r="F26" t="str">
        <f t="shared" si="1"/>
        <v>e-ammoniaOpExEurope</v>
      </c>
      <c r="G26" s="525">
        <v>948.91499512063046</v>
      </c>
      <c r="H26" s="525">
        <v>894.80432297924642</v>
      </c>
      <c r="I26" s="525">
        <v>840.15271777272005</v>
      </c>
      <c r="J26" s="525">
        <v>793.09886259382449</v>
      </c>
      <c r="K26" s="525">
        <v>745.20391379424041</v>
      </c>
      <c r="L26" s="525">
        <v>696.48416850226852</v>
      </c>
      <c r="M26" s="525">
        <v>646.95592384621125</v>
      </c>
      <c r="N26" s="525">
        <v>596.63547695435307</v>
      </c>
      <c r="O26" s="525">
        <v>587.78687056555339</v>
      </c>
      <c r="P26" s="525">
        <v>577.71906544443652</v>
      </c>
      <c r="Q26" s="525">
        <v>566.43859557632982</v>
      </c>
      <c r="R26" s="525">
        <v>553.9519949465664</v>
      </c>
      <c r="S26" s="525">
        <v>540.2657975405051</v>
      </c>
      <c r="T26" s="525">
        <v>529.12843879163893</v>
      </c>
      <c r="U26" s="525">
        <v>517.1948321381883</v>
      </c>
      <c r="V26" s="525">
        <v>504.46768205257371</v>
      </c>
      <c r="W26" s="525">
        <v>490.94969300717469</v>
      </c>
      <c r="X26" s="525">
        <v>476.64356947439927</v>
      </c>
      <c r="Y26" s="525">
        <v>461.95901910376654</v>
      </c>
      <c r="Z26" s="525">
        <v>446.94827511001478</v>
      </c>
      <c r="AA26" s="525">
        <v>431.60969208842465</v>
      </c>
      <c r="AB26" s="525">
        <v>415.94162463424783</v>
      </c>
      <c r="AC26" s="525">
        <v>399.94242734275969</v>
      </c>
      <c r="AD26" s="525">
        <v>386.65124151412004</v>
      </c>
      <c r="AE26" s="525">
        <v>373.23541337636158</v>
      </c>
      <c r="AF26" s="525">
        <v>359.69340164454906</v>
      </c>
      <c r="AG26" s="525">
        <v>346.023665033746</v>
      </c>
      <c r="AH26" s="525">
        <v>332.22466225901576</v>
      </c>
      <c r="AI26" s="526">
        <f t="shared" si="11"/>
        <v>332.22466225901576</v>
      </c>
      <c r="AJ26" s="526">
        <f t="shared" si="11"/>
        <v>332.22466225901576</v>
      </c>
      <c r="AK26" s="526">
        <f t="shared" si="11"/>
        <v>332.22466225901576</v>
      </c>
      <c r="AL26" s="526">
        <f t="shared" si="11"/>
        <v>332.22466225901576</v>
      </c>
      <c r="AM26" s="526">
        <f t="shared" si="11"/>
        <v>332.22466225901576</v>
      </c>
      <c r="AN26" s="526">
        <f t="shared" si="11"/>
        <v>332.22466225901576</v>
      </c>
      <c r="AO26" s="526">
        <f t="shared" si="11"/>
        <v>332.22466225901576</v>
      </c>
      <c r="AP26" s="526">
        <f t="shared" si="11"/>
        <v>332.22466225901576</v>
      </c>
      <c r="AQ26" s="526">
        <f t="shared" si="11"/>
        <v>332.22466225901576</v>
      </c>
      <c r="AR26" s="526">
        <f t="shared" si="11"/>
        <v>332.22466225901576</v>
      </c>
      <c r="AS26" s="526">
        <f t="shared" si="11"/>
        <v>332.22466225901576</v>
      </c>
      <c r="AT26" s="526">
        <f t="shared" si="11"/>
        <v>332.22466225901576</v>
      </c>
      <c r="AU26" s="526">
        <f t="shared" si="11"/>
        <v>332.22466225901576</v>
      </c>
      <c r="AV26" s="526">
        <f t="shared" si="11"/>
        <v>332.22466225901576</v>
      </c>
      <c r="AW26" s="526">
        <f t="shared" si="11"/>
        <v>332.22466225901576</v>
      </c>
      <c r="AX26" s="526">
        <f t="shared" si="11"/>
        <v>332.22466225901576</v>
      </c>
      <c r="AY26" s="526">
        <f t="shared" si="11"/>
        <v>332.22466225901576</v>
      </c>
      <c r="AZ26" s="526">
        <f t="shared" si="11"/>
        <v>332.22466225901576</v>
      </c>
      <c r="BA26" s="526">
        <f t="shared" si="11"/>
        <v>332.22466225901576</v>
      </c>
      <c r="BB26" s="526">
        <f t="shared" si="11"/>
        <v>332.22466225901576</v>
      </c>
      <c r="BC26" s="526">
        <f t="shared" si="11"/>
        <v>332.22466225901576</v>
      </c>
      <c r="BD26" s="526">
        <f t="shared" si="11"/>
        <v>332.22466225901576</v>
      </c>
      <c r="BE26" s="526">
        <f t="shared" si="11"/>
        <v>332.22466225901576</v>
      </c>
      <c r="BF26" s="526">
        <f t="shared" si="11"/>
        <v>332.22466225901576</v>
      </c>
      <c r="BG26" s="526">
        <f t="shared" si="11"/>
        <v>332.22466225901576</v>
      </c>
      <c r="BH26" s="526">
        <f t="shared" si="11"/>
        <v>332.22466225901576</v>
      </c>
      <c r="BI26" s="526">
        <f t="shared" si="11"/>
        <v>332.22466225901576</v>
      </c>
      <c r="BJ26" s="526">
        <f t="shared" si="11"/>
        <v>332.22466225901576</v>
      </c>
      <c r="BK26" s="526">
        <f t="shared" si="11"/>
        <v>332.22466225901576</v>
      </c>
      <c r="BL26" s="526">
        <f t="shared" si="11"/>
        <v>332.22466225901576</v>
      </c>
      <c r="BM26" s="526">
        <f t="shared" si="11"/>
        <v>332.22466225901576</v>
      </c>
      <c r="BN26" s="526">
        <f t="shared" si="11"/>
        <v>332.22466225901576</v>
      </c>
      <c r="BO26" s="526">
        <f t="shared" si="11"/>
        <v>332.22466225901576</v>
      </c>
      <c r="BP26" s="526">
        <f t="shared" si="11"/>
        <v>332.22466225901576</v>
      </c>
      <c r="BQ26" s="526">
        <f t="shared" si="11"/>
        <v>332.22466225901576</v>
      </c>
      <c r="BR26" s="526">
        <f t="shared" si="11"/>
        <v>332.22466225901576</v>
      </c>
      <c r="BS26" s="526">
        <f t="shared" si="11"/>
        <v>332.22466225901576</v>
      </c>
      <c r="BT26" s="526">
        <f t="shared" si="11"/>
        <v>332.22466225901576</v>
      </c>
      <c r="BU26" s="526">
        <f t="shared" si="11"/>
        <v>332.22466225901576</v>
      </c>
      <c r="BV26" s="526">
        <f t="shared" si="11"/>
        <v>332.22466225901576</v>
      </c>
      <c r="BW26" s="526">
        <f t="shared" si="11"/>
        <v>332.22466225901576</v>
      </c>
      <c r="BX26" s="526">
        <f t="shared" si="11"/>
        <v>332.22466225901576</v>
      </c>
      <c r="BY26" s="526">
        <f t="shared" si="11"/>
        <v>332.22466225901576</v>
      </c>
      <c r="BZ26" s="526">
        <f t="shared" si="11"/>
        <v>332.22466225901576</v>
      </c>
      <c r="CA26" s="526">
        <f t="shared" si="11"/>
        <v>332.22466225901576</v>
      </c>
      <c r="CB26" s="526">
        <f t="shared" si="10"/>
        <v>332.22466225901576</v>
      </c>
      <c r="CC26" s="526">
        <f t="shared" si="10"/>
        <v>332.22466225901576</v>
      </c>
      <c r="CD26" s="526">
        <f t="shared" si="10"/>
        <v>332.22466225901576</v>
      </c>
      <c r="CE26" s="526">
        <f t="shared" si="10"/>
        <v>332.22466225901576</v>
      </c>
      <c r="CF26" s="526">
        <f t="shared" si="10"/>
        <v>332.22466225901576</v>
      </c>
    </row>
    <row r="27" spans="2:84">
      <c r="B27" t="s">
        <v>121</v>
      </c>
      <c r="C27" t="s">
        <v>1354</v>
      </c>
      <c r="D27" t="s">
        <v>826</v>
      </c>
      <c r="E27" t="s">
        <v>1353</v>
      </c>
      <c r="F27" t="str">
        <f t="shared" si="1"/>
        <v>e-ammoniaOpExMiddle East</v>
      </c>
      <c r="G27" s="525">
        <v>833.68176539831086</v>
      </c>
      <c r="H27" s="525">
        <v>784.27109755067875</v>
      </c>
      <c r="I27" s="525">
        <v>734.32945655612843</v>
      </c>
      <c r="J27" s="525">
        <v>693.60900033938935</v>
      </c>
      <c r="K27" s="525">
        <v>652.04994025249289</v>
      </c>
      <c r="L27" s="525">
        <v>609.6627460094179</v>
      </c>
      <c r="M27" s="525">
        <v>566.45788732416099</v>
      </c>
      <c r="N27" s="525">
        <v>522.44583391068579</v>
      </c>
      <c r="O27" s="525">
        <v>513.43182150206439</v>
      </c>
      <c r="P27" s="525">
        <v>503.22995578996228</v>
      </c>
      <c r="Q27" s="525">
        <v>491.84736023742101</v>
      </c>
      <c r="R27" s="525">
        <v>479.291158307486</v>
      </c>
      <c r="S27" s="525">
        <v>465.5684734632178</v>
      </c>
      <c r="T27" s="525">
        <v>455.37222313351765</v>
      </c>
      <c r="U27" s="525">
        <v>444.390755121582</v>
      </c>
      <c r="V27" s="525">
        <v>432.626545477891</v>
      </c>
      <c r="W27" s="525">
        <v>420.08207025288505</v>
      </c>
      <c r="X27" s="525">
        <v>406.75980549703428</v>
      </c>
      <c r="Y27" s="525">
        <v>392.42236324459458</v>
      </c>
      <c r="Z27" s="525">
        <v>377.76156449878857</v>
      </c>
      <c r="AA27" s="525">
        <v>362.77556265865337</v>
      </c>
      <c r="AB27" s="525">
        <v>347.46251112320869</v>
      </c>
      <c r="AC27" s="525">
        <v>331.82056329148622</v>
      </c>
      <c r="AD27" s="525">
        <v>320.01632573580338</v>
      </c>
      <c r="AE27" s="525">
        <v>308.05905658145065</v>
      </c>
      <c r="AF27" s="525">
        <v>295.94764624201332</v>
      </c>
      <c r="AG27" s="525">
        <v>283.68098513107884</v>
      </c>
      <c r="AH27" s="525">
        <v>271.25796366223489</v>
      </c>
      <c r="AI27" s="526">
        <f t="shared" si="11"/>
        <v>271.25796366223489</v>
      </c>
      <c r="AJ27" s="526">
        <f t="shared" si="11"/>
        <v>271.25796366223489</v>
      </c>
      <c r="AK27" s="526">
        <f t="shared" si="11"/>
        <v>271.25796366223489</v>
      </c>
      <c r="AL27" s="526">
        <f t="shared" si="11"/>
        <v>271.25796366223489</v>
      </c>
      <c r="AM27" s="526">
        <f t="shared" si="11"/>
        <v>271.25796366223489</v>
      </c>
      <c r="AN27" s="526">
        <f t="shared" si="11"/>
        <v>271.25796366223489</v>
      </c>
      <c r="AO27" s="526">
        <f t="shared" si="11"/>
        <v>271.25796366223489</v>
      </c>
      <c r="AP27" s="526">
        <f t="shared" si="11"/>
        <v>271.25796366223489</v>
      </c>
      <c r="AQ27" s="526">
        <f t="shared" si="11"/>
        <v>271.25796366223489</v>
      </c>
      <c r="AR27" s="526">
        <f t="shared" si="11"/>
        <v>271.25796366223489</v>
      </c>
      <c r="AS27" s="526">
        <f t="shared" si="11"/>
        <v>271.25796366223489</v>
      </c>
      <c r="AT27" s="526">
        <f t="shared" si="11"/>
        <v>271.25796366223489</v>
      </c>
      <c r="AU27" s="526">
        <f t="shared" si="11"/>
        <v>271.25796366223489</v>
      </c>
      <c r="AV27" s="526">
        <f t="shared" si="11"/>
        <v>271.25796366223489</v>
      </c>
      <c r="AW27" s="526">
        <f t="shared" si="11"/>
        <v>271.25796366223489</v>
      </c>
      <c r="AX27" s="526">
        <f t="shared" si="11"/>
        <v>271.25796366223489</v>
      </c>
      <c r="AY27" s="526">
        <f t="shared" si="11"/>
        <v>271.25796366223489</v>
      </c>
      <c r="AZ27" s="526">
        <f t="shared" si="11"/>
        <v>271.25796366223489</v>
      </c>
      <c r="BA27" s="526">
        <f t="shared" si="11"/>
        <v>271.25796366223489</v>
      </c>
      <c r="BB27" s="526">
        <f t="shared" si="11"/>
        <v>271.25796366223489</v>
      </c>
      <c r="BC27" s="526">
        <f t="shared" si="11"/>
        <v>271.25796366223489</v>
      </c>
      <c r="BD27" s="526">
        <f t="shared" si="11"/>
        <v>271.25796366223489</v>
      </c>
      <c r="BE27" s="526">
        <f t="shared" si="11"/>
        <v>271.25796366223489</v>
      </c>
      <c r="BF27" s="526">
        <f t="shared" si="11"/>
        <v>271.25796366223489</v>
      </c>
      <c r="BG27" s="526">
        <f t="shared" si="11"/>
        <v>271.25796366223489</v>
      </c>
      <c r="BH27" s="526">
        <f t="shared" si="11"/>
        <v>271.25796366223489</v>
      </c>
      <c r="BI27" s="526">
        <f t="shared" si="11"/>
        <v>271.25796366223489</v>
      </c>
      <c r="BJ27" s="526">
        <f t="shared" si="11"/>
        <v>271.25796366223489</v>
      </c>
      <c r="BK27" s="526">
        <f t="shared" si="11"/>
        <v>271.25796366223489</v>
      </c>
      <c r="BL27" s="526">
        <f t="shared" si="11"/>
        <v>271.25796366223489</v>
      </c>
      <c r="BM27" s="526">
        <f t="shared" si="11"/>
        <v>271.25796366223489</v>
      </c>
      <c r="BN27" s="526">
        <f t="shared" si="11"/>
        <v>271.25796366223489</v>
      </c>
      <c r="BO27" s="526">
        <f t="shared" si="11"/>
        <v>271.25796366223489</v>
      </c>
      <c r="BP27" s="526">
        <f t="shared" si="11"/>
        <v>271.25796366223489</v>
      </c>
      <c r="BQ27" s="526">
        <f t="shared" si="11"/>
        <v>271.25796366223489</v>
      </c>
      <c r="BR27" s="526">
        <f t="shared" si="11"/>
        <v>271.25796366223489</v>
      </c>
      <c r="BS27" s="526">
        <f t="shared" si="11"/>
        <v>271.25796366223489</v>
      </c>
      <c r="BT27" s="526">
        <f t="shared" si="11"/>
        <v>271.25796366223489</v>
      </c>
      <c r="BU27" s="526">
        <f t="shared" si="11"/>
        <v>271.25796366223489</v>
      </c>
      <c r="BV27" s="526">
        <f t="shared" si="11"/>
        <v>271.25796366223489</v>
      </c>
      <c r="BW27" s="526">
        <f t="shared" si="11"/>
        <v>271.25796366223489</v>
      </c>
      <c r="BX27" s="526">
        <f t="shared" si="11"/>
        <v>271.25796366223489</v>
      </c>
      <c r="BY27" s="526">
        <f t="shared" si="11"/>
        <v>271.25796366223489</v>
      </c>
      <c r="BZ27" s="526">
        <f t="shared" si="11"/>
        <v>271.25796366223489</v>
      </c>
      <c r="CA27" s="526">
        <f t="shared" si="11"/>
        <v>271.25796366223489</v>
      </c>
      <c r="CB27" s="526">
        <f t="shared" si="10"/>
        <v>271.25796366223489</v>
      </c>
      <c r="CC27" s="526">
        <f t="shared" si="10"/>
        <v>271.25796366223489</v>
      </c>
      <c r="CD27" s="526">
        <f t="shared" si="10"/>
        <v>271.25796366223489</v>
      </c>
      <c r="CE27" s="526">
        <f t="shared" si="10"/>
        <v>271.25796366223489</v>
      </c>
      <c r="CF27" s="526">
        <f t="shared" si="10"/>
        <v>271.25796366223489</v>
      </c>
    </row>
    <row r="28" spans="2:84">
      <c r="B28" t="s">
        <v>121</v>
      </c>
      <c r="C28" t="s">
        <v>1355</v>
      </c>
      <c r="D28" t="s">
        <v>708</v>
      </c>
      <c r="E28" t="s">
        <v>1356</v>
      </c>
      <c r="F28" t="str">
        <f t="shared" si="1"/>
        <v>e-ammoniaTotal emissions - WTT - GWP100Global</v>
      </c>
      <c r="G28" s="527">
        <v>9.7809771229175502E-2</v>
      </c>
      <c r="H28" s="527">
        <v>9.7750173677460472E-2</v>
      </c>
      <c r="I28" s="527">
        <v>9.7680300000000234E-2</v>
      </c>
      <c r="J28" s="527">
        <v>9.7576363670606764E-2</v>
      </c>
      <c r="K28" s="527">
        <v>9.7455100461253275E-2</v>
      </c>
      <c r="L28" s="527">
        <v>9.7316510371939197E-2</v>
      </c>
      <c r="M28" s="527">
        <v>9.7160593402665585E-2</v>
      </c>
      <c r="N28" s="527">
        <v>9.6987349553431107E-2</v>
      </c>
      <c r="O28" s="527">
        <v>9.6652687520786484E-2</v>
      </c>
      <c r="P28" s="527">
        <v>9.6301306244516854E-2</v>
      </c>
      <c r="Q28" s="527">
        <v>9.5933205724621412E-2</v>
      </c>
      <c r="R28" s="527">
        <v>9.5548385961099269E-2</v>
      </c>
      <c r="S28" s="527">
        <v>9.5146846953951925E-2</v>
      </c>
      <c r="T28" s="527">
        <v>9.4727974781759094E-2</v>
      </c>
      <c r="U28" s="527">
        <v>9.429751190810165E-2</v>
      </c>
      <c r="V28" s="527">
        <v>9.3855458332981367E-2</v>
      </c>
      <c r="W28" s="527">
        <v>9.3401814056395804E-2</v>
      </c>
      <c r="X28" s="527">
        <v>9.2936579078345599E-2</v>
      </c>
      <c r="Y28" s="527">
        <v>9.2334880198265454E-2</v>
      </c>
      <c r="Z28" s="527">
        <v>9.1739772896474558E-2</v>
      </c>
      <c r="AA28" s="527">
        <v>9.1151257172974023E-2</v>
      </c>
      <c r="AB28" s="527">
        <v>9.0569333027762738E-2</v>
      </c>
      <c r="AC28" s="527">
        <v>8.9994000460841522E-2</v>
      </c>
      <c r="AD28" s="527">
        <v>8.9513473219010459E-2</v>
      </c>
      <c r="AE28" s="527">
        <v>8.904140855201087E-2</v>
      </c>
      <c r="AF28" s="527">
        <v>8.8577806459842534E-2</v>
      </c>
      <c r="AG28" s="527">
        <v>8.8122666942505548E-2</v>
      </c>
      <c r="AH28" s="527">
        <v>8.7675990000000023E-2</v>
      </c>
      <c r="AI28" s="528">
        <f t="shared" si="11"/>
        <v>8.7675990000000023E-2</v>
      </c>
      <c r="AJ28" s="528">
        <f t="shared" si="11"/>
        <v>8.7675990000000023E-2</v>
      </c>
      <c r="AK28" s="528">
        <f t="shared" si="11"/>
        <v>8.7675990000000023E-2</v>
      </c>
      <c r="AL28" s="528">
        <f t="shared" si="11"/>
        <v>8.7675990000000023E-2</v>
      </c>
      <c r="AM28" s="528">
        <f t="shared" si="11"/>
        <v>8.7675990000000023E-2</v>
      </c>
      <c r="AN28" s="528">
        <f t="shared" si="11"/>
        <v>8.7675990000000023E-2</v>
      </c>
      <c r="AO28" s="528">
        <f t="shared" si="11"/>
        <v>8.7675990000000023E-2</v>
      </c>
      <c r="AP28" s="528">
        <f t="shared" si="11"/>
        <v>8.7675990000000023E-2</v>
      </c>
      <c r="AQ28" s="528">
        <f t="shared" si="11"/>
        <v>8.7675990000000023E-2</v>
      </c>
      <c r="AR28" s="528">
        <f t="shared" si="11"/>
        <v>8.7675990000000023E-2</v>
      </c>
      <c r="AS28" s="528">
        <f t="shared" si="11"/>
        <v>8.7675990000000023E-2</v>
      </c>
      <c r="AT28" s="528">
        <f t="shared" si="11"/>
        <v>8.7675990000000023E-2</v>
      </c>
      <c r="AU28" s="528">
        <f t="shared" si="11"/>
        <v>8.7675990000000023E-2</v>
      </c>
      <c r="AV28" s="528">
        <f t="shared" si="11"/>
        <v>8.7675990000000023E-2</v>
      </c>
      <c r="AW28" s="528">
        <f t="shared" si="11"/>
        <v>8.7675990000000023E-2</v>
      </c>
      <c r="AX28" s="528">
        <f t="shared" si="11"/>
        <v>8.7675990000000023E-2</v>
      </c>
      <c r="AY28" s="528">
        <f t="shared" si="11"/>
        <v>8.7675990000000023E-2</v>
      </c>
      <c r="AZ28" s="528">
        <f t="shared" si="11"/>
        <v>8.7675990000000023E-2</v>
      </c>
      <c r="BA28" s="528">
        <f t="shared" si="11"/>
        <v>8.7675990000000023E-2</v>
      </c>
      <c r="BB28" s="528">
        <f t="shared" si="11"/>
        <v>8.7675990000000023E-2</v>
      </c>
      <c r="BC28" s="528">
        <f t="shared" si="11"/>
        <v>8.7675990000000023E-2</v>
      </c>
      <c r="BD28" s="528">
        <f t="shared" si="11"/>
        <v>8.7675990000000023E-2</v>
      </c>
      <c r="BE28" s="528">
        <f t="shared" si="11"/>
        <v>8.7675990000000023E-2</v>
      </c>
      <c r="BF28" s="528">
        <f t="shared" si="11"/>
        <v>8.7675990000000023E-2</v>
      </c>
      <c r="BG28" s="528">
        <f t="shared" si="11"/>
        <v>8.7675990000000023E-2</v>
      </c>
      <c r="BH28" s="528">
        <f t="shared" si="11"/>
        <v>8.7675990000000023E-2</v>
      </c>
      <c r="BI28" s="528">
        <f t="shared" si="11"/>
        <v>8.7675990000000023E-2</v>
      </c>
      <c r="BJ28" s="528">
        <f t="shared" si="11"/>
        <v>8.7675990000000023E-2</v>
      </c>
      <c r="BK28" s="528">
        <f t="shared" si="11"/>
        <v>8.7675990000000023E-2</v>
      </c>
      <c r="BL28" s="528">
        <f t="shared" si="11"/>
        <v>8.7675990000000023E-2</v>
      </c>
      <c r="BM28" s="528">
        <f t="shared" ref="BM28:CA28" si="12">BL28</f>
        <v>8.7675990000000023E-2</v>
      </c>
      <c r="BN28" s="528">
        <f t="shared" si="12"/>
        <v>8.7675990000000023E-2</v>
      </c>
      <c r="BO28" s="528">
        <f t="shared" si="12"/>
        <v>8.7675990000000023E-2</v>
      </c>
      <c r="BP28" s="528">
        <f t="shared" si="12"/>
        <v>8.7675990000000023E-2</v>
      </c>
      <c r="BQ28" s="528">
        <f t="shared" si="12"/>
        <v>8.7675990000000023E-2</v>
      </c>
      <c r="BR28" s="528">
        <f t="shared" si="12"/>
        <v>8.7675990000000023E-2</v>
      </c>
      <c r="BS28" s="528">
        <f t="shared" si="12"/>
        <v>8.7675990000000023E-2</v>
      </c>
      <c r="BT28" s="528">
        <f t="shared" si="12"/>
        <v>8.7675990000000023E-2</v>
      </c>
      <c r="BU28" s="528">
        <f t="shared" si="12"/>
        <v>8.7675990000000023E-2</v>
      </c>
      <c r="BV28" s="528">
        <f t="shared" si="12"/>
        <v>8.7675990000000023E-2</v>
      </c>
      <c r="BW28" s="528">
        <f t="shared" si="12"/>
        <v>8.7675990000000023E-2</v>
      </c>
      <c r="BX28" s="528">
        <f t="shared" si="12"/>
        <v>8.7675990000000023E-2</v>
      </c>
      <c r="BY28" s="528">
        <f t="shared" si="12"/>
        <v>8.7675990000000023E-2</v>
      </c>
      <c r="BZ28" s="528">
        <f t="shared" si="12"/>
        <v>8.7675990000000023E-2</v>
      </c>
      <c r="CA28" s="528">
        <f t="shared" si="12"/>
        <v>8.7675990000000023E-2</v>
      </c>
      <c r="CB28" s="528">
        <f t="shared" si="10"/>
        <v>8.7675990000000023E-2</v>
      </c>
      <c r="CC28" s="528">
        <f t="shared" si="10"/>
        <v>8.7675990000000023E-2</v>
      </c>
      <c r="CD28" s="528">
        <f t="shared" si="10"/>
        <v>8.7675990000000023E-2</v>
      </c>
      <c r="CE28" s="528">
        <f t="shared" si="10"/>
        <v>8.7675990000000023E-2</v>
      </c>
      <c r="CF28" s="528">
        <f t="shared" si="10"/>
        <v>8.7675990000000023E-2</v>
      </c>
    </row>
    <row r="29" spans="2:84">
      <c r="B29" t="s">
        <v>121</v>
      </c>
      <c r="C29" t="s">
        <v>1357</v>
      </c>
      <c r="D29" t="s">
        <v>708</v>
      </c>
      <c r="E29" t="s">
        <v>1356</v>
      </c>
      <c r="F29" t="str">
        <f t="shared" si="1"/>
        <v>e-ammoniaTotal emissions - TTW - GWP100Global</v>
      </c>
      <c r="G29" s="527">
        <v>0</v>
      </c>
      <c r="H29" s="527">
        <v>0</v>
      </c>
      <c r="I29" s="527">
        <v>0</v>
      </c>
      <c r="J29" s="527">
        <v>0</v>
      </c>
      <c r="K29" s="527">
        <v>0</v>
      </c>
      <c r="L29" s="527">
        <v>0</v>
      </c>
      <c r="M29" s="527">
        <v>0</v>
      </c>
      <c r="N29" s="527">
        <v>0</v>
      </c>
      <c r="O29" s="527">
        <v>0</v>
      </c>
      <c r="P29" s="527">
        <v>0</v>
      </c>
      <c r="Q29" s="527">
        <v>0</v>
      </c>
      <c r="R29" s="527">
        <v>0</v>
      </c>
      <c r="S29" s="527">
        <v>0</v>
      </c>
      <c r="T29" s="527">
        <v>0</v>
      </c>
      <c r="U29" s="527">
        <v>0</v>
      </c>
      <c r="V29" s="527">
        <v>0</v>
      </c>
      <c r="W29" s="527">
        <v>0</v>
      </c>
      <c r="X29" s="527">
        <v>0</v>
      </c>
      <c r="Y29" s="527">
        <v>0</v>
      </c>
      <c r="Z29" s="527">
        <v>0</v>
      </c>
      <c r="AA29" s="527">
        <v>0</v>
      </c>
      <c r="AB29" s="527">
        <v>0</v>
      </c>
      <c r="AC29" s="527">
        <v>0</v>
      </c>
      <c r="AD29" s="527">
        <v>0</v>
      </c>
      <c r="AE29" s="527">
        <v>0</v>
      </c>
      <c r="AF29" s="527">
        <v>0</v>
      </c>
      <c r="AG29" s="527">
        <v>0</v>
      </c>
      <c r="AH29" s="527">
        <v>0</v>
      </c>
      <c r="AI29" s="526">
        <f t="shared" ref="AI29:CA30" si="13">AH29</f>
        <v>0</v>
      </c>
      <c r="AJ29" s="526">
        <f t="shared" si="13"/>
        <v>0</v>
      </c>
      <c r="AK29" s="526">
        <f t="shared" si="13"/>
        <v>0</v>
      </c>
      <c r="AL29" s="526">
        <f t="shared" si="13"/>
        <v>0</v>
      </c>
      <c r="AM29" s="526">
        <f t="shared" si="13"/>
        <v>0</v>
      </c>
      <c r="AN29" s="526">
        <f t="shared" si="13"/>
        <v>0</v>
      </c>
      <c r="AO29" s="526">
        <f t="shared" si="13"/>
        <v>0</v>
      </c>
      <c r="AP29" s="526">
        <f t="shared" si="13"/>
        <v>0</v>
      </c>
      <c r="AQ29" s="526">
        <f t="shared" si="13"/>
        <v>0</v>
      </c>
      <c r="AR29" s="526">
        <f t="shared" si="13"/>
        <v>0</v>
      </c>
      <c r="AS29" s="526">
        <f t="shared" si="13"/>
        <v>0</v>
      </c>
      <c r="AT29" s="526">
        <f t="shared" si="13"/>
        <v>0</v>
      </c>
      <c r="AU29" s="526">
        <f t="shared" si="13"/>
        <v>0</v>
      </c>
      <c r="AV29" s="526">
        <f t="shared" si="13"/>
        <v>0</v>
      </c>
      <c r="AW29" s="526">
        <f t="shared" si="13"/>
        <v>0</v>
      </c>
      <c r="AX29" s="526">
        <f t="shared" si="13"/>
        <v>0</v>
      </c>
      <c r="AY29" s="526">
        <f t="shared" si="13"/>
        <v>0</v>
      </c>
      <c r="AZ29" s="526">
        <f t="shared" si="13"/>
        <v>0</v>
      </c>
      <c r="BA29" s="526">
        <f t="shared" si="13"/>
        <v>0</v>
      </c>
      <c r="BB29" s="526">
        <f t="shared" si="13"/>
        <v>0</v>
      </c>
      <c r="BC29" s="526">
        <f t="shared" si="13"/>
        <v>0</v>
      </c>
      <c r="BD29" s="526">
        <f t="shared" si="13"/>
        <v>0</v>
      </c>
      <c r="BE29" s="526">
        <f t="shared" si="13"/>
        <v>0</v>
      </c>
      <c r="BF29" s="526">
        <f t="shared" si="13"/>
        <v>0</v>
      </c>
      <c r="BG29" s="526">
        <f t="shared" si="13"/>
        <v>0</v>
      </c>
      <c r="BH29" s="526">
        <f t="shared" si="13"/>
        <v>0</v>
      </c>
      <c r="BI29" s="526">
        <f t="shared" si="13"/>
        <v>0</v>
      </c>
      <c r="BJ29" s="526">
        <f t="shared" si="13"/>
        <v>0</v>
      </c>
      <c r="BK29" s="526">
        <f t="shared" si="13"/>
        <v>0</v>
      </c>
      <c r="BL29" s="526">
        <f t="shared" si="13"/>
        <v>0</v>
      </c>
      <c r="BM29" s="526">
        <f t="shared" si="13"/>
        <v>0</v>
      </c>
      <c r="BN29" s="526">
        <f t="shared" si="13"/>
        <v>0</v>
      </c>
      <c r="BO29" s="526">
        <f t="shared" si="13"/>
        <v>0</v>
      </c>
      <c r="BP29" s="526">
        <f t="shared" si="13"/>
        <v>0</v>
      </c>
      <c r="BQ29" s="526">
        <f t="shared" si="13"/>
        <v>0</v>
      </c>
      <c r="BR29" s="526">
        <f t="shared" si="13"/>
        <v>0</v>
      </c>
      <c r="BS29" s="526">
        <f t="shared" si="13"/>
        <v>0</v>
      </c>
      <c r="BT29" s="526">
        <f t="shared" si="13"/>
        <v>0</v>
      </c>
      <c r="BU29" s="526">
        <f t="shared" si="13"/>
        <v>0</v>
      </c>
      <c r="BV29" s="526">
        <f t="shared" si="13"/>
        <v>0</v>
      </c>
      <c r="BW29" s="526">
        <f t="shared" si="13"/>
        <v>0</v>
      </c>
      <c r="BX29" s="526">
        <f t="shared" si="13"/>
        <v>0</v>
      </c>
      <c r="BY29" s="526">
        <f t="shared" si="13"/>
        <v>0</v>
      </c>
      <c r="BZ29" s="526">
        <f t="shared" si="13"/>
        <v>0</v>
      </c>
      <c r="CA29" s="526">
        <f t="shared" si="13"/>
        <v>0</v>
      </c>
      <c r="CB29" s="526">
        <f t="shared" si="10"/>
        <v>0</v>
      </c>
      <c r="CC29" s="526">
        <f t="shared" si="10"/>
        <v>0</v>
      </c>
      <c r="CD29" s="526">
        <f t="shared" si="10"/>
        <v>0</v>
      </c>
      <c r="CE29" s="526">
        <f t="shared" si="10"/>
        <v>0</v>
      </c>
      <c r="CF29" s="526">
        <f t="shared" si="10"/>
        <v>0</v>
      </c>
    </row>
    <row r="30" spans="2:84">
      <c r="B30" t="s">
        <v>121</v>
      </c>
      <c r="C30" t="s">
        <v>1358</v>
      </c>
      <c r="D30" t="s">
        <v>708</v>
      </c>
      <c r="E30" t="s">
        <v>1356</v>
      </c>
      <c r="F30" t="str">
        <f t="shared" si="1"/>
        <v>e-ammoniaTotal emissions - WTW - GWP100Global</v>
      </c>
      <c r="G30" s="527">
        <v>9.7809771229175502E-2</v>
      </c>
      <c r="H30" s="527">
        <v>9.7750173677460472E-2</v>
      </c>
      <c r="I30" s="527">
        <v>9.7680300000000234E-2</v>
      </c>
      <c r="J30" s="527">
        <v>9.7576363670606764E-2</v>
      </c>
      <c r="K30" s="527">
        <v>9.7455100461253275E-2</v>
      </c>
      <c r="L30" s="527">
        <v>9.7316510371939197E-2</v>
      </c>
      <c r="M30" s="527">
        <v>9.7160593402665585E-2</v>
      </c>
      <c r="N30" s="527">
        <v>9.6987349553431107E-2</v>
      </c>
      <c r="O30" s="527">
        <v>9.6652687520786484E-2</v>
      </c>
      <c r="P30" s="527">
        <v>9.6301306244516854E-2</v>
      </c>
      <c r="Q30" s="527">
        <v>9.5933205724621412E-2</v>
      </c>
      <c r="R30" s="527">
        <v>9.5548385961099269E-2</v>
      </c>
      <c r="S30" s="527">
        <v>9.5146846953951925E-2</v>
      </c>
      <c r="T30" s="527">
        <v>9.4727974781759094E-2</v>
      </c>
      <c r="U30" s="527">
        <v>9.429751190810165E-2</v>
      </c>
      <c r="V30" s="527">
        <v>9.3855458332981367E-2</v>
      </c>
      <c r="W30" s="527">
        <v>9.3401814056395804E-2</v>
      </c>
      <c r="X30" s="527">
        <v>9.2936579078345599E-2</v>
      </c>
      <c r="Y30" s="527">
        <v>9.2334880198265454E-2</v>
      </c>
      <c r="Z30" s="527">
        <v>9.1739772896474558E-2</v>
      </c>
      <c r="AA30" s="527">
        <v>9.1151257172974023E-2</v>
      </c>
      <c r="AB30" s="527">
        <v>9.0569333027762738E-2</v>
      </c>
      <c r="AC30" s="527">
        <v>8.9994000460841522E-2</v>
      </c>
      <c r="AD30" s="527">
        <v>8.9513473219010459E-2</v>
      </c>
      <c r="AE30" s="527">
        <v>8.904140855201087E-2</v>
      </c>
      <c r="AF30" s="527">
        <v>8.8577806459842534E-2</v>
      </c>
      <c r="AG30" s="527">
        <v>8.8122666942505548E-2</v>
      </c>
      <c r="AH30" s="527">
        <v>8.7675990000000023E-2</v>
      </c>
      <c r="AI30" s="528">
        <f t="shared" si="13"/>
        <v>8.7675990000000023E-2</v>
      </c>
      <c r="AJ30" s="528">
        <f t="shared" si="13"/>
        <v>8.7675990000000023E-2</v>
      </c>
      <c r="AK30" s="528">
        <f t="shared" si="13"/>
        <v>8.7675990000000023E-2</v>
      </c>
      <c r="AL30" s="528">
        <f t="shared" si="13"/>
        <v>8.7675990000000023E-2</v>
      </c>
      <c r="AM30" s="528">
        <f t="shared" si="13"/>
        <v>8.7675990000000023E-2</v>
      </c>
      <c r="AN30" s="528">
        <f t="shared" si="13"/>
        <v>8.7675990000000023E-2</v>
      </c>
      <c r="AO30" s="528">
        <f t="shared" si="13"/>
        <v>8.7675990000000023E-2</v>
      </c>
      <c r="AP30" s="528">
        <f t="shared" si="13"/>
        <v>8.7675990000000023E-2</v>
      </c>
      <c r="AQ30" s="528">
        <f t="shared" si="13"/>
        <v>8.7675990000000023E-2</v>
      </c>
      <c r="AR30" s="528">
        <f t="shared" si="13"/>
        <v>8.7675990000000023E-2</v>
      </c>
      <c r="AS30" s="528">
        <f t="shared" si="13"/>
        <v>8.7675990000000023E-2</v>
      </c>
      <c r="AT30" s="528">
        <f t="shared" si="13"/>
        <v>8.7675990000000023E-2</v>
      </c>
      <c r="AU30" s="528">
        <f t="shared" si="13"/>
        <v>8.7675990000000023E-2</v>
      </c>
      <c r="AV30" s="528">
        <f t="shared" si="13"/>
        <v>8.7675990000000023E-2</v>
      </c>
      <c r="AW30" s="528">
        <f t="shared" si="13"/>
        <v>8.7675990000000023E-2</v>
      </c>
      <c r="AX30" s="528">
        <f t="shared" si="13"/>
        <v>8.7675990000000023E-2</v>
      </c>
      <c r="AY30" s="528">
        <f t="shared" si="13"/>
        <v>8.7675990000000023E-2</v>
      </c>
      <c r="AZ30" s="528">
        <f t="shared" si="13"/>
        <v>8.7675990000000023E-2</v>
      </c>
      <c r="BA30" s="528">
        <f t="shared" si="13"/>
        <v>8.7675990000000023E-2</v>
      </c>
      <c r="BB30" s="528">
        <f t="shared" si="13"/>
        <v>8.7675990000000023E-2</v>
      </c>
      <c r="BC30" s="528">
        <f t="shared" si="13"/>
        <v>8.7675990000000023E-2</v>
      </c>
      <c r="BD30" s="528">
        <f t="shared" si="13"/>
        <v>8.7675990000000023E-2</v>
      </c>
      <c r="BE30" s="528">
        <f t="shared" si="13"/>
        <v>8.7675990000000023E-2</v>
      </c>
      <c r="BF30" s="528">
        <f t="shared" si="13"/>
        <v>8.7675990000000023E-2</v>
      </c>
      <c r="BG30" s="528">
        <f t="shared" si="13"/>
        <v>8.7675990000000023E-2</v>
      </c>
      <c r="BH30" s="528">
        <f t="shared" si="13"/>
        <v>8.7675990000000023E-2</v>
      </c>
      <c r="BI30" s="528">
        <f t="shared" si="13"/>
        <v>8.7675990000000023E-2</v>
      </c>
      <c r="BJ30" s="528">
        <f t="shared" si="13"/>
        <v>8.7675990000000023E-2</v>
      </c>
      <c r="BK30" s="528">
        <f t="shared" si="13"/>
        <v>8.7675990000000023E-2</v>
      </c>
      <c r="BL30" s="528">
        <f t="shared" si="13"/>
        <v>8.7675990000000023E-2</v>
      </c>
      <c r="BM30" s="528">
        <f t="shared" si="13"/>
        <v>8.7675990000000023E-2</v>
      </c>
      <c r="BN30" s="528">
        <f t="shared" si="13"/>
        <v>8.7675990000000023E-2</v>
      </c>
      <c r="BO30" s="528">
        <f t="shared" si="13"/>
        <v>8.7675990000000023E-2</v>
      </c>
      <c r="BP30" s="528">
        <f t="shared" si="13"/>
        <v>8.7675990000000023E-2</v>
      </c>
      <c r="BQ30" s="528">
        <f t="shared" si="13"/>
        <v>8.7675990000000023E-2</v>
      </c>
      <c r="BR30" s="528">
        <f t="shared" si="13"/>
        <v>8.7675990000000023E-2</v>
      </c>
      <c r="BS30" s="528">
        <f t="shared" si="13"/>
        <v>8.7675990000000023E-2</v>
      </c>
      <c r="BT30" s="528">
        <f t="shared" si="13"/>
        <v>8.7675990000000023E-2</v>
      </c>
      <c r="BU30" s="528">
        <f t="shared" si="13"/>
        <v>8.7675990000000023E-2</v>
      </c>
      <c r="BV30" s="528">
        <f t="shared" si="13"/>
        <v>8.7675990000000023E-2</v>
      </c>
      <c r="BW30" s="528">
        <f t="shared" si="13"/>
        <v>8.7675990000000023E-2</v>
      </c>
      <c r="BX30" s="528">
        <f t="shared" si="13"/>
        <v>8.7675990000000023E-2</v>
      </c>
      <c r="BY30" s="528">
        <f t="shared" si="13"/>
        <v>8.7675990000000023E-2</v>
      </c>
      <c r="BZ30" s="528">
        <f t="shared" si="13"/>
        <v>8.7675990000000023E-2</v>
      </c>
      <c r="CA30" s="528">
        <f t="shared" si="13"/>
        <v>8.7675990000000023E-2</v>
      </c>
      <c r="CB30" s="528">
        <f t="shared" si="10"/>
        <v>8.7675990000000023E-2</v>
      </c>
      <c r="CC30" s="528">
        <f t="shared" si="10"/>
        <v>8.7675990000000023E-2</v>
      </c>
      <c r="CD30" s="528">
        <f t="shared" si="10"/>
        <v>8.7675990000000023E-2</v>
      </c>
      <c r="CE30" s="528">
        <f t="shared" si="10"/>
        <v>8.7675990000000023E-2</v>
      </c>
      <c r="CF30" s="528">
        <f t="shared" si="10"/>
        <v>8.7675990000000023E-2</v>
      </c>
    </row>
    <row r="31" spans="2:84">
      <c r="B31" t="s">
        <v>733</v>
      </c>
      <c r="C31" t="s">
        <v>1352</v>
      </c>
      <c r="D31" t="s">
        <v>708</v>
      </c>
      <c r="E31" t="s">
        <v>1353</v>
      </c>
      <c r="F31" t="str">
        <f t="shared" si="1"/>
        <v>e-methanol (DAC)CapExGlobal</v>
      </c>
      <c r="G31" s="525">
        <v>5690.3690489714263</v>
      </c>
      <c r="H31" s="525">
        <v>5458.1686888723734</v>
      </c>
      <c r="I31" s="525">
        <v>5224.5549148194686</v>
      </c>
      <c r="J31" s="525">
        <v>5022.8876870512677</v>
      </c>
      <c r="K31" s="525">
        <v>4818.5946515506485</v>
      </c>
      <c r="L31" s="525">
        <v>4611.6758083176483</v>
      </c>
      <c r="M31" s="525">
        <v>4402.131157352288</v>
      </c>
      <c r="N31" s="525">
        <v>4189.9606986545095</v>
      </c>
      <c r="O31" s="525">
        <v>4141.1056170791098</v>
      </c>
      <c r="P31" s="525">
        <v>4086.1268820986179</v>
      </c>
      <c r="Q31" s="525">
        <v>4025.0244937130074</v>
      </c>
      <c r="R31" s="525">
        <v>3957.7984519222714</v>
      </c>
      <c r="S31" s="525">
        <v>3884.4487567264391</v>
      </c>
      <c r="T31" s="525">
        <v>3805.1877153158607</v>
      </c>
      <c r="U31" s="525">
        <v>3720.8725308931739</v>
      </c>
      <c r="V31" s="525">
        <v>3631.5032034584392</v>
      </c>
      <c r="W31" s="525">
        <v>3537.0797330115852</v>
      </c>
      <c r="X31" s="525">
        <v>3437.6021195525991</v>
      </c>
      <c r="Y31" s="525">
        <v>3318.2059593261029</v>
      </c>
      <c r="Z31" s="525">
        <v>3194.9961662433643</v>
      </c>
      <c r="AA31" s="525">
        <v>3067.9727403044308</v>
      </c>
      <c r="AB31" s="525">
        <v>2937.1356815092749</v>
      </c>
      <c r="AC31" s="525">
        <v>2802.4849898578937</v>
      </c>
      <c r="AD31" s="525">
        <v>2666.0103150114714</v>
      </c>
      <c r="AE31" s="525">
        <v>2527.1502309326775</v>
      </c>
      <c r="AF31" s="525">
        <v>2385.9047376215017</v>
      </c>
      <c r="AG31" s="525">
        <v>2242.2738350779491</v>
      </c>
      <c r="AH31" s="525">
        <v>2096.2575233020257</v>
      </c>
      <c r="AI31" s="526">
        <f>AH31</f>
        <v>2096.2575233020257</v>
      </c>
      <c r="AJ31" s="526">
        <f t="shared" ref="AJ31:CF39" si="14">AI31</f>
        <v>2096.2575233020257</v>
      </c>
      <c r="AK31" s="526">
        <f t="shared" si="14"/>
        <v>2096.2575233020257</v>
      </c>
      <c r="AL31" s="526">
        <f t="shared" si="14"/>
        <v>2096.2575233020257</v>
      </c>
      <c r="AM31" s="526">
        <f t="shared" si="14"/>
        <v>2096.2575233020257</v>
      </c>
      <c r="AN31" s="526">
        <f t="shared" si="14"/>
        <v>2096.2575233020257</v>
      </c>
      <c r="AO31" s="526">
        <f t="shared" si="14"/>
        <v>2096.2575233020257</v>
      </c>
      <c r="AP31" s="526">
        <f t="shared" si="14"/>
        <v>2096.2575233020257</v>
      </c>
      <c r="AQ31" s="526">
        <f t="shared" si="14"/>
        <v>2096.2575233020257</v>
      </c>
      <c r="AR31" s="526">
        <f t="shared" si="14"/>
        <v>2096.2575233020257</v>
      </c>
      <c r="AS31" s="526">
        <f t="shared" si="14"/>
        <v>2096.2575233020257</v>
      </c>
      <c r="AT31" s="526">
        <f t="shared" si="14"/>
        <v>2096.2575233020257</v>
      </c>
      <c r="AU31" s="526">
        <f t="shared" si="14"/>
        <v>2096.2575233020257</v>
      </c>
      <c r="AV31" s="526">
        <f t="shared" si="14"/>
        <v>2096.2575233020257</v>
      </c>
      <c r="AW31" s="526">
        <f t="shared" si="14"/>
        <v>2096.2575233020257</v>
      </c>
      <c r="AX31" s="526">
        <f t="shared" si="14"/>
        <v>2096.2575233020257</v>
      </c>
      <c r="AY31" s="526">
        <f t="shared" si="14"/>
        <v>2096.2575233020257</v>
      </c>
      <c r="AZ31" s="526">
        <f t="shared" si="14"/>
        <v>2096.2575233020257</v>
      </c>
      <c r="BA31" s="526">
        <f t="shared" si="14"/>
        <v>2096.2575233020257</v>
      </c>
      <c r="BB31" s="526">
        <f t="shared" si="14"/>
        <v>2096.2575233020257</v>
      </c>
      <c r="BC31" s="526">
        <f t="shared" si="14"/>
        <v>2096.2575233020257</v>
      </c>
      <c r="BD31" s="526">
        <f t="shared" si="14"/>
        <v>2096.2575233020257</v>
      </c>
      <c r="BE31" s="526">
        <f t="shared" si="14"/>
        <v>2096.2575233020257</v>
      </c>
      <c r="BF31" s="526">
        <f t="shared" si="14"/>
        <v>2096.2575233020257</v>
      </c>
      <c r="BG31" s="526">
        <f t="shared" si="14"/>
        <v>2096.2575233020257</v>
      </c>
      <c r="BH31" s="526">
        <f t="shared" si="14"/>
        <v>2096.2575233020257</v>
      </c>
      <c r="BI31" s="526">
        <f t="shared" si="14"/>
        <v>2096.2575233020257</v>
      </c>
      <c r="BJ31" s="526">
        <f t="shared" si="14"/>
        <v>2096.2575233020257</v>
      </c>
      <c r="BK31" s="526">
        <f t="shared" si="14"/>
        <v>2096.2575233020257</v>
      </c>
      <c r="BL31" s="526">
        <f t="shared" si="14"/>
        <v>2096.2575233020257</v>
      </c>
      <c r="BM31" s="526">
        <f t="shared" si="14"/>
        <v>2096.2575233020257</v>
      </c>
      <c r="BN31" s="526">
        <f t="shared" si="14"/>
        <v>2096.2575233020257</v>
      </c>
      <c r="BO31" s="526">
        <f t="shared" si="14"/>
        <v>2096.2575233020257</v>
      </c>
      <c r="BP31" s="526">
        <f t="shared" si="14"/>
        <v>2096.2575233020257</v>
      </c>
      <c r="BQ31" s="526">
        <f t="shared" si="14"/>
        <v>2096.2575233020257</v>
      </c>
      <c r="BR31" s="526">
        <f t="shared" si="14"/>
        <v>2096.2575233020257</v>
      </c>
      <c r="BS31" s="526">
        <f t="shared" si="14"/>
        <v>2096.2575233020257</v>
      </c>
      <c r="BT31" s="526">
        <f t="shared" si="14"/>
        <v>2096.2575233020257</v>
      </c>
      <c r="BU31" s="526">
        <f t="shared" si="14"/>
        <v>2096.2575233020257</v>
      </c>
      <c r="BV31" s="526">
        <f t="shared" si="14"/>
        <v>2096.2575233020257</v>
      </c>
      <c r="BW31" s="526">
        <f t="shared" si="14"/>
        <v>2096.2575233020257</v>
      </c>
      <c r="BX31" s="526">
        <f t="shared" si="14"/>
        <v>2096.2575233020257</v>
      </c>
      <c r="BY31" s="526">
        <f t="shared" si="14"/>
        <v>2096.2575233020257</v>
      </c>
      <c r="BZ31" s="526">
        <f t="shared" si="14"/>
        <v>2096.2575233020257</v>
      </c>
      <c r="CA31" s="526">
        <f t="shared" si="14"/>
        <v>2096.2575233020257</v>
      </c>
      <c r="CB31" s="526">
        <f t="shared" si="14"/>
        <v>2096.2575233020257</v>
      </c>
      <c r="CC31" s="526">
        <f t="shared" si="14"/>
        <v>2096.2575233020257</v>
      </c>
      <c r="CD31" s="526">
        <f t="shared" si="14"/>
        <v>2096.2575233020257</v>
      </c>
      <c r="CE31" s="526">
        <f t="shared" si="14"/>
        <v>2096.2575233020257</v>
      </c>
      <c r="CF31" s="526">
        <f t="shared" si="14"/>
        <v>2096.2575233020257</v>
      </c>
    </row>
    <row r="32" spans="2:84">
      <c r="B32" t="s">
        <v>733</v>
      </c>
      <c r="C32" t="s">
        <v>1354</v>
      </c>
      <c r="D32" t="s">
        <v>838</v>
      </c>
      <c r="E32" t="s">
        <v>1353</v>
      </c>
      <c r="F32" t="str">
        <f t="shared" si="1"/>
        <v>e-methanol (DAC)OpExAfrica</v>
      </c>
      <c r="G32" s="525">
        <v>1573.9413629223725</v>
      </c>
      <c r="H32" s="525">
        <v>1434.052162620467</v>
      </c>
      <c r="I32" s="525">
        <v>1294.5235236378662</v>
      </c>
      <c r="J32" s="525">
        <v>1238.3008508359837</v>
      </c>
      <c r="K32" s="525">
        <v>1181.4497599499409</v>
      </c>
      <c r="L32" s="525">
        <v>1123.9896522287113</v>
      </c>
      <c r="M32" s="525">
        <v>1065.9399289212827</v>
      </c>
      <c r="N32" s="525">
        <v>1007.3199912766232</v>
      </c>
      <c r="O32" s="525">
        <v>980.33863223843537</v>
      </c>
      <c r="P32" s="525">
        <v>952.28134801619638</v>
      </c>
      <c r="Q32" s="525">
        <v>923.15858862155255</v>
      </c>
      <c r="R32" s="525">
        <v>892.98080406616748</v>
      </c>
      <c r="S32" s="525">
        <v>861.75844436170951</v>
      </c>
      <c r="T32" s="525">
        <v>839.40043187745539</v>
      </c>
      <c r="U32" s="525">
        <v>816.31012669896268</v>
      </c>
      <c r="V32" s="525">
        <v>792.49093870475474</v>
      </c>
      <c r="W32" s="525">
        <v>767.94627777331766</v>
      </c>
      <c r="X32" s="525">
        <v>742.67955378316935</v>
      </c>
      <c r="Y32" s="525">
        <v>716.29811205895589</v>
      </c>
      <c r="Z32" s="525">
        <v>689.65946567462561</v>
      </c>
      <c r="AA32" s="525">
        <v>662.76162062514925</v>
      </c>
      <c r="AB32" s="525">
        <v>635.60258290548222</v>
      </c>
      <c r="AC32" s="525">
        <v>608.18035851058778</v>
      </c>
      <c r="AD32" s="525">
        <v>586.34759166349295</v>
      </c>
      <c r="AE32" s="525">
        <v>564.40851284009136</v>
      </c>
      <c r="AF32" s="525">
        <v>542.36186552557217</v>
      </c>
      <c r="AG32" s="525">
        <v>520.20639320513146</v>
      </c>
      <c r="AH32" s="525">
        <v>497.94083936396601</v>
      </c>
      <c r="AI32" s="526">
        <f t="shared" ref="AI32:CA37" si="15">AH32</f>
        <v>497.94083936396601</v>
      </c>
      <c r="AJ32" s="526">
        <f t="shared" si="15"/>
        <v>497.94083936396601</v>
      </c>
      <c r="AK32" s="526">
        <f t="shared" si="15"/>
        <v>497.94083936396601</v>
      </c>
      <c r="AL32" s="526">
        <f t="shared" si="15"/>
        <v>497.94083936396601</v>
      </c>
      <c r="AM32" s="526">
        <f t="shared" si="15"/>
        <v>497.94083936396601</v>
      </c>
      <c r="AN32" s="526">
        <f t="shared" si="15"/>
        <v>497.94083936396601</v>
      </c>
      <c r="AO32" s="526">
        <f t="shared" si="15"/>
        <v>497.94083936396601</v>
      </c>
      <c r="AP32" s="526">
        <f t="shared" si="15"/>
        <v>497.94083936396601</v>
      </c>
      <c r="AQ32" s="526">
        <f t="shared" si="15"/>
        <v>497.94083936396601</v>
      </c>
      <c r="AR32" s="526">
        <f t="shared" si="15"/>
        <v>497.94083936396601</v>
      </c>
      <c r="AS32" s="526">
        <f t="shared" si="15"/>
        <v>497.94083936396601</v>
      </c>
      <c r="AT32" s="526">
        <f t="shared" si="15"/>
        <v>497.94083936396601</v>
      </c>
      <c r="AU32" s="526">
        <f t="shared" si="15"/>
        <v>497.94083936396601</v>
      </c>
      <c r="AV32" s="526">
        <f t="shared" si="15"/>
        <v>497.94083936396601</v>
      </c>
      <c r="AW32" s="526">
        <f t="shared" si="15"/>
        <v>497.94083936396601</v>
      </c>
      <c r="AX32" s="526">
        <f t="shared" si="15"/>
        <v>497.94083936396601</v>
      </c>
      <c r="AY32" s="526">
        <f t="shared" si="15"/>
        <v>497.94083936396601</v>
      </c>
      <c r="AZ32" s="526">
        <f t="shared" si="15"/>
        <v>497.94083936396601</v>
      </c>
      <c r="BA32" s="526">
        <f t="shared" si="15"/>
        <v>497.94083936396601</v>
      </c>
      <c r="BB32" s="526">
        <f t="shared" si="15"/>
        <v>497.94083936396601</v>
      </c>
      <c r="BC32" s="526">
        <f t="shared" si="15"/>
        <v>497.94083936396601</v>
      </c>
      <c r="BD32" s="526">
        <f t="shared" si="15"/>
        <v>497.94083936396601</v>
      </c>
      <c r="BE32" s="526">
        <f t="shared" si="15"/>
        <v>497.94083936396601</v>
      </c>
      <c r="BF32" s="526">
        <f t="shared" si="15"/>
        <v>497.94083936396601</v>
      </c>
      <c r="BG32" s="526">
        <f t="shared" si="15"/>
        <v>497.94083936396601</v>
      </c>
      <c r="BH32" s="526">
        <f t="shared" si="15"/>
        <v>497.94083936396601</v>
      </c>
      <c r="BI32" s="526">
        <f t="shared" si="15"/>
        <v>497.94083936396601</v>
      </c>
      <c r="BJ32" s="526">
        <f t="shared" si="15"/>
        <v>497.94083936396601</v>
      </c>
      <c r="BK32" s="526">
        <f t="shared" si="15"/>
        <v>497.94083936396601</v>
      </c>
      <c r="BL32" s="526">
        <f t="shared" si="15"/>
        <v>497.94083936396601</v>
      </c>
      <c r="BM32" s="526">
        <f t="shared" si="15"/>
        <v>497.94083936396601</v>
      </c>
      <c r="BN32" s="526">
        <f t="shared" si="15"/>
        <v>497.94083936396601</v>
      </c>
      <c r="BO32" s="526">
        <f t="shared" si="15"/>
        <v>497.94083936396601</v>
      </c>
      <c r="BP32" s="526">
        <f t="shared" si="15"/>
        <v>497.94083936396601</v>
      </c>
      <c r="BQ32" s="526">
        <f t="shared" si="15"/>
        <v>497.94083936396601</v>
      </c>
      <c r="BR32" s="526">
        <f t="shared" si="15"/>
        <v>497.94083936396601</v>
      </c>
      <c r="BS32" s="526">
        <f t="shared" si="15"/>
        <v>497.94083936396601</v>
      </c>
      <c r="BT32" s="526">
        <f t="shared" si="15"/>
        <v>497.94083936396601</v>
      </c>
      <c r="BU32" s="526">
        <f t="shared" si="15"/>
        <v>497.94083936396601</v>
      </c>
      <c r="BV32" s="526">
        <f t="shared" si="15"/>
        <v>497.94083936396601</v>
      </c>
      <c r="BW32" s="526">
        <f t="shared" si="15"/>
        <v>497.94083936396601</v>
      </c>
      <c r="BX32" s="526">
        <f t="shared" si="15"/>
        <v>497.94083936396601</v>
      </c>
      <c r="BY32" s="526">
        <f t="shared" si="15"/>
        <v>497.94083936396601</v>
      </c>
      <c r="BZ32" s="526">
        <f t="shared" si="15"/>
        <v>497.94083936396601</v>
      </c>
      <c r="CA32" s="526">
        <f t="shared" si="15"/>
        <v>497.94083936396601</v>
      </c>
      <c r="CB32" s="526">
        <f t="shared" si="14"/>
        <v>497.94083936396601</v>
      </c>
      <c r="CC32" s="526">
        <f t="shared" si="14"/>
        <v>497.94083936396601</v>
      </c>
      <c r="CD32" s="526">
        <f t="shared" si="14"/>
        <v>497.94083936396601</v>
      </c>
      <c r="CE32" s="526">
        <f t="shared" si="14"/>
        <v>497.94083936396601</v>
      </c>
      <c r="CF32" s="526">
        <f t="shared" si="14"/>
        <v>497.94083936396601</v>
      </c>
    </row>
    <row r="33" spans="2:84">
      <c r="B33" t="s">
        <v>733</v>
      </c>
      <c r="C33" t="s">
        <v>1354</v>
      </c>
      <c r="D33" t="s">
        <v>731</v>
      </c>
      <c r="E33" t="s">
        <v>1353</v>
      </c>
      <c r="F33" t="str">
        <f t="shared" si="1"/>
        <v>e-methanol (DAC)OpExAmericas</v>
      </c>
      <c r="G33" s="525">
        <v>1229.5030416659963</v>
      </c>
      <c r="H33" s="525">
        <v>1187.3917453509678</v>
      </c>
      <c r="I33" s="525">
        <v>1144.8653196576322</v>
      </c>
      <c r="J33" s="525">
        <v>1099.1371271697278</v>
      </c>
      <c r="K33" s="525">
        <v>1052.7202094231532</v>
      </c>
      <c r="L33" s="525">
        <v>1005.6276022816869</v>
      </c>
      <c r="M33" s="525">
        <v>957.87234160913374</v>
      </c>
      <c r="N33" s="525">
        <v>909.46746326924017</v>
      </c>
      <c r="O33" s="525">
        <v>890.04256794214814</v>
      </c>
      <c r="P33" s="525">
        <v>869.45893443466014</v>
      </c>
      <c r="Q33" s="525">
        <v>847.72261592358223</v>
      </c>
      <c r="R33" s="525">
        <v>824.83966558571638</v>
      </c>
      <c r="S33" s="525">
        <v>800.81613659788536</v>
      </c>
      <c r="T33" s="525">
        <v>778.99414284363252</v>
      </c>
      <c r="U33" s="525">
        <v>756.44889409711107</v>
      </c>
      <c r="V33" s="525">
        <v>733.18379206007069</v>
      </c>
      <c r="W33" s="525">
        <v>709.20223843422673</v>
      </c>
      <c r="X33" s="525">
        <v>684.50763492131739</v>
      </c>
      <c r="Y33" s="525">
        <v>663.16750400491298</v>
      </c>
      <c r="Z33" s="525">
        <v>641.46601924961294</v>
      </c>
      <c r="AA33" s="525">
        <v>619.40240129404435</v>
      </c>
      <c r="AB33" s="525">
        <v>596.97587077680953</v>
      </c>
      <c r="AC33" s="525">
        <v>574.18564833653033</v>
      </c>
      <c r="AD33" s="525">
        <v>554.02518210190931</v>
      </c>
      <c r="AE33" s="525">
        <v>533.72779432379036</v>
      </c>
      <c r="AF33" s="525">
        <v>513.29273013508043</v>
      </c>
      <c r="AG33" s="525">
        <v>492.71923466868958</v>
      </c>
      <c r="AH33" s="525">
        <v>472.00655305752815</v>
      </c>
      <c r="AI33" s="526">
        <f t="shared" si="15"/>
        <v>472.00655305752815</v>
      </c>
      <c r="AJ33" s="526">
        <f t="shared" si="15"/>
        <v>472.00655305752815</v>
      </c>
      <c r="AK33" s="526">
        <f t="shared" si="15"/>
        <v>472.00655305752815</v>
      </c>
      <c r="AL33" s="526">
        <f t="shared" si="15"/>
        <v>472.00655305752815</v>
      </c>
      <c r="AM33" s="526">
        <f t="shared" si="15"/>
        <v>472.00655305752815</v>
      </c>
      <c r="AN33" s="526">
        <f t="shared" si="15"/>
        <v>472.00655305752815</v>
      </c>
      <c r="AO33" s="526">
        <f t="shared" si="15"/>
        <v>472.00655305752815</v>
      </c>
      <c r="AP33" s="526">
        <f t="shared" si="15"/>
        <v>472.00655305752815</v>
      </c>
      <c r="AQ33" s="526">
        <f t="shared" si="15"/>
        <v>472.00655305752815</v>
      </c>
      <c r="AR33" s="526">
        <f t="shared" si="15"/>
        <v>472.00655305752815</v>
      </c>
      <c r="AS33" s="526">
        <f t="shared" si="15"/>
        <v>472.00655305752815</v>
      </c>
      <c r="AT33" s="526">
        <f t="shared" si="15"/>
        <v>472.00655305752815</v>
      </c>
      <c r="AU33" s="526">
        <f t="shared" si="15"/>
        <v>472.00655305752815</v>
      </c>
      <c r="AV33" s="526">
        <f t="shared" si="15"/>
        <v>472.00655305752815</v>
      </c>
      <c r="AW33" s="526">
        <f t="shared" si="15"/>
        <v>472.00655305752815</v>
      </c>
      <c r="AX33" s="526">
        <f t="shared" si="15"/>
        <v>472.00655305752815</v>
      </c>
      <c r="AY33" s="526">
        <f t="shared" si="15"/>
        <v>472.00655305752815</v>
      </c>
      <c r="AZ33" s="526">
        <f t="shared" si="15"/>
        <v>472.00655305752815</v>
      </c>
      <c r="BA33" s="526">
        <f t="shared" si="15"/>
        <v>472.00655305752815</v>
      </c>
      <c r="BB33" s="526">
        <f t="shared" si="15"/>
        <v>472.00655305752815</v>
      </c>
      <c r="BC33" s="526">
        <f t="shared" si="15"/>
        <v>472.00655305752815</v>
      </c>
      <c r="BD33" s="526">
        <f t="shared" si="15"/>
        <v>472.00655305752815</v>
      </c>
      <c r="BE33" s="526">
        <f t="shared" si="15"/>
        <v>472.00655305752815</v>
      </c>
      <c r="BF33" s="526">
        <f t="shared" si="15"/>
        <v>472.00655305752815</v>
      </c>
      <c r="BG33" s="526">
        <f t="shared" si="15"/>
        <v>472.00655305752815</v>
      </c>
      <c r="BH33" s="526">
        <f t="shared" si="15"/>
        <v>472.00655305752815</v>
      </c>
      <c r="BI33" s="526">
        <f t="shared" si="15"/>
        <v>472.00655305752815</v>
      </c>
      <c r="BJ33" s="526">
        <f t="shared" si="15"/>
        <v>472.00655305752815</v>
      </c>
      <c r="BK33" s="526">
        <f t="shared" si="15"/>
        <v>472.00655305752815</v>
      </c>
      <c r="BL33" s="526">
        <f t="shared" si="15"/>
        <v>472.00655305752815</v>
      </c>
      <c r="BM33" s="526">
        <f t="shared" si="15"/>
        <v>472.00655305752815</v>
      </c>
      <c r="BN33" s="526">
        <f t="shared" si="15"/>
        <v>472.00655305752815</v>
      </c>
      <c r="BO33" s="526">
        <f t="shared" si="15"/>
        <v>472.00655305752815</v>
      </c>
      <c r="BP33" s="526">
        <f t="shared" si="15"/>
        <v>472.00655305752815</v>
      </c>
      <c r="BQ33" s="526">
        <f t="shared" si="15"/>
        <v>472.00655305752815</v>
      </c>
      <c r="BR33" s="526">
        <f t="shared" si="15"/>
        <v>472.00655305752815</v>
      </c>
      <c r="BS33" s="526">
        <f t="shared" si="15"/>
        <v>472.00655305752815</v>
      </c>
      <c r="BT33" s="526">
        <f t="shared" si="15"/>
        <v>472.00655305752815</v>
      </c>
      <c r="BU33" s="526">
        <f t="shared" si="15"/>
        <v>472.00655305752815</v>
      </c>
      <c r="BV33" s="526">
        <f t="shared" si="15"/>
        <v>472.00655305752815</v>
      </c>
      <c r="BW33" s="526">
        <f t="shared" si="15"/>
        <v>472.00655305752815</v>
      </c>
      <c r="BX33" s="526">
        <f t="shared" si="15"/>
        <v>472.00655305752815</v>
      </c>
      <c r="BY33" s="526">
        <f t="shared" si="15"/>
        <v>472.00655305752815</v>
      </c>
      <c r="BZ33" s="526">
        <f t="shared" si="15"/>
        <v>472.00655305752815</v>
      </c>
      <c r="CA33" s="526">
        <f t="shared" si="15"/>
        <v>472.00655305752815</v>
      </c>
      <c r="CB33" s="526">
        <f t="shared" si="14"/>
        <v>472.00655305752815</v>
      </c>
      <c r="CC33" s="526">
        <f t="shared" si="14"/>
        <v>472.00655305752815</v>
      </c>
      <c r="CD33" s="526">
        <f t="shared" si="14"/>
        <v>472.00655305752815</v>
      </c>
      <c r="CE33" s="526">
        <f t="shared" si="14"/>
        <v>472.00655305752815</v>
      </c>
      <c r="CF33" s="526">
        <f t="shared" si="14"/>
        <v>472.00655305752815</v>
      </c>
    </row>
    <row r="34" spans="2:84">
      <c r="B34" t="s">
        <v>733</v>
      </c>
      <c r="C34" t="s">
        <v>1354</v>
      </c>
      <c r="D34" t="s">
        <v>750</v>
      </c>
      <c r="E34" t="s">
        <v>1353</v>
      </c>
      <c r="F34" t="str">
        <f t="shared" si="1"/>
        <v>e-methanol (DAC)OpExAsia</v>
      </c>
      <c r="G34" s="525">
        <v>1677.9237030759145</v>
      </c>
      <c r="H34" s="525">
        <v>1555.7810334305202</v>
      </c>
      <c r="I34" s="525">
        <v>1433.8312737436977</v>
      </c>
      <c r="J34" s="525">
        <v>1374.8615434671835</v>
      </c>
      <c r="K34" s="525">
        <v>1315.2534413057072</v>
      </c>
      <c r="L34" s="525">
        <v>1255.0277447428141</v>
      </c>
      <c r="M34" s="525">
        <v>1194.2052312621167</v>
      </c>
      <c r="N34" s="525">
        <v>1132.8066783471829</v>
      </c>
      <c r="O34" s="525">
        <v>1099.9651601710459</v>
      </c>
      <c r="P34" s="525">
        <v>1066.095904229416</v>
      </c>
      <c r="Q34" s="525">
        <v>1031.2125374997293</v>
      </c>
      <c r="R34" s="525">
        <v>995.32868695940556</v>
      </c>
      <c r="S34" s="525">
        <v>958.45797958591277</v>
      </c>
      <c r="T34" s="525">
        <v>932.27482953828473</v>
      </c>
      <c r="U34" s="525">
        <v>905.39700685067635</v>
      </c>
      <c r="V34" s="525">
        <v>877.82931459258589</v>
      </c>
      <c r="W34" s="525">
        <v>849.57655583345399</v>
      </c>
      <c r="X34" s="525">
        <v>820.64353364277247</v>
      </c>
      <c r="Y34" s="525">
        <v>790.2613361668931</v>
      </c>
      <c r="Z34" s="525">
        <v>759.69944581639697</v>
      </c>
      <c r="AA34" s="525">
        <v>728.95500347085851</v>
      </c>
      <c r="AB34" s="525">
        <v>698.0251500098376</v>
      </c>
      <c r="AC34" s="525">
        <v>666.9070263129023</v>
      </c>
      <c r="AD34" s="525">
        <v>643.35614231256557</v>
      </c>
      <c r="AE34" s="525">
        <v>619.72868403446819</v>
      </c>
      <c r="AF34" s="525">
        <v>596.02296815717239</v>
      </c>
      <c r="AG34" s="525">
        <v>572.23731135923867</v>
      </c>
      <c r="AH34" s="525">
        <v>548.37003031922757</v>
      </c>
      <c r="AI34" s="526">
        <f t="shared" si="15"/>
        <v>548.37003031922757</v>
      </c>
      <c r="AJ34" s="526">
        <f t="shared" si="15"/>
        <v>548.37003031922757</v>
      </c>
      <c r="AK34" s="526">
        <f t="shared" si="15"/>
        <v>548.37003031922757</v>
      </c>
      <c r="AL34" s="526">
        <f t="shared" si="15"/>
        <v>548.37003031922757</v>
      </c>
      <c r="AM34" s="526">
        <f t="shared" si="15"/>
        <v>548.37003031922757</v>
      </c>
      <c r="AN34" s="526">
        <f t="shared" si="15"/>
        <v>548.37003031922757</v>
      </c>
      <c r="AO34" s="526">
        <f t="shared" si="15"/>
        <v>548.37003031922757</v>
      </c>
      <c r="AP34" s="526">
        <f t="shared" si="15"/>
        <v>548.37003031922757</v>
      </c>
      <c r="AQ34" s="526">
        <f t="shared" si="15"/>
        <v>548.37003031922757</v>
      </c>
      <c r="AR34" s="526">
        <f t="shared" si="15"/>
        <v>548.37003031922757</v>
      </c>
      <c r="AS34" s="526">
        <f t="shared" si="15"/>
        <v>548.37003031922757</v>
      </c>
      <c r="AT34" s="526">
        <f t="shared" si="15"/>
        <v>548.37003031922757</v>
      </c>
      <c r="AU34" s="526">
        <f t="shared" si="15"/>
        <v>548.37003031922757</v>
      </c>
      <c r="AV34" s="526">
        <f t="shared" si="15"/>
        <v>548.37003031922757</v>
      </c>
      <c r="AW34" s="526">
        <f t="shared" si="15"/>
        <v>548.37003031922757</v>
      </c>
      <c r="AX34" s="526">
        <f t="shared" si="15"/>
        <v>548.37003031922757</v>
      </c>
      <c r="AY34" s="526">
        <f t="shared" si="15"/>
        <v>548.37003031922757</v>
      </c>
      <c r="AZ34" s="526">
        <f t="shared" si="15"/>
        <v>548.37003031922757</v>
      </c>
      <c r="BA34" s="526">
        <f t="shared" si="15"/>
        <v>548.37003031922757</v>
      </c>
      <c r="BB34" s="526">
        <f t="shared" si="15"/>
        <v>548.37003031922757</v>
      </c>
      <c r="BC34" s="526">
        <f t="shared" si="15"/>
        <v>548.37003031922757</v>
      </c>
      <c r="BD34" s="526">
        <f t="shared" si="15"/>
        <v>548.37003031922757</v>
      </c>
      <c r="BE34" s="526">
        <f t="shared" si="15"/>
        <v>548.37003031922757</v>
      </c>
      <c r="BF34" s="526">
        <f t="shared" si="15"/>
        <v>548.37003031922757</v>
      </c>
      <c r="BG34" s="526">
        <f t="shared" si="15"/>
        <v>548.37003031922757</v>
      </c>
      <c r="BH34" s="526">
        <f t="shared" si="15"/>
        <v>548.37003031922757</v>
      </c>
      <c r="BI34" s="526">
        <f t="shared" si="15"/>
        <v>548.37003031922757</v>
      </c>
      <c r="BJ34" s="526">
        <f t="shared" si="15"/>
        <v>548.37003031922757</v>
      </c>
      <c r="BK34" s="526">
        <f t="shared" si="15"/>
        <v>548.37003031922757</v>
      </c>
      <c r="BL34" s="526">
        <f t="shared" si="15"/>
        <v>548.37003031922757</v>
      </c>
      <c r="BM34" s="526">
        <f t="shared" si="15"/>
        <v>548.37003031922757</v>
      </c>
      <c r="BN34" s="526">
        <f t="shared" si="15"/>
        <v>548.37003031922757</v>
      </c>
      <c r="BO34" s="526">
        <f t="shared" si="15"/>
        <v>548.37003031922757</v>
      </c>
      <c r="BP34" s="526">
        <f t="shared" si="15"/>
        <v>548.37003031922757</v>
      </c>
      <c r="BQ34" s="526">
        <f t="shared" si="15"/>
        <v>548.37003031922757</v>
      </c>
      <c r="BR34" s="526">
        <f t="shared" si="15"/>
        <v>548.37003031922757</v>
      </c>
      <c r="BS34" s="526">
        <f t="shared" si="15"/>
        <v>548.37003031922757</v>
      </c>
      <c r="BT34" s="526">
        <f t="shared" si="15"/>
        <v>548.37003031922757</v>
      </c>
      <c r="BU34" s="526">
        <f t="shared" si="15"/>
        <v>548.37003031922757</v>
      </c>
      <c r="BV34" s="526">
        <f t="shared" si="15"/>
        <v>548.37003031922757</v>
      </c>
      <c r="BW34" s="526">
        <f t="shared" si="15"/>
        <v>548.37003031922757</v>
      </c>
      <c r="BX34" s="526">
        <f t="shared" si="15"/>
        <v>548.37003031922757</v>
      </c>
      <c r="BY34" s="526">
        <f t="shared" si="15"/>
        <v>548.37003031922757</v>
      </c>
      <c r="BZ34" s="526">
        <f t="shared" si="15"/>
        <v>548.37003031922757</v>
      </c>
      <c r="CA34" s="526">
        <f t="shared" si="15"/>
        <v>548.37003031922757</v>
      </c>
      <c r="CB34" s="526">
        <f t="shared" si="14"/>
        <v>548.37003031922757</v>
      </c>
      <c r="CC34" s="526">
        <f t="shared" si="14"/>
        <v>548.37003031922757</v>
      </c>
      <c r="CD34" s="526">
        <f t="shared" si="14"/>
        <v>548.37003031922757</v>
      </c>
      <c r="CE34" s="526">
        <f t="shared" si="14"/>
        <v>548.37003031922757</v>
      </c>
      <c r="CF34" s="526">
        <f t="shared" si="14"/>
        <v>548.37003031922757</v>
      </c>
    </row>
    <row r="35" spans="2:84">
      <c r="B35" t="s">
        <v>733</v>
      </c>
      <c r="C35" t="s">
        <v>1354</v>
      </c>
      <c r="D35" t="s">
        <v>720</v>
      </c>
      <c r="E35" t="s">
        <v>1353</v>
      </c>
      <c r="F35" t="str">
        <f t="shared" si="1"/>
        <v>e-methanol (DAC)OpExEurope</v>
      </c>
      <c r="G35" s="525">
        <v>1414.5301033232474</v>
      </c>
      <c r="H35" s="525">
        <v>1350.7333555251339</v>
      </c>
      <c r="I35" s="525">
        <v>1286.6759843732864</v>
      </c>
      <c r="J35" s="525">
        <v>1234.0566771784568</v>
      </c>
      <c r="K35" s="525">
        <v>1180.7770529461393</v>
      </c>
      <c r="L35" s="525">
        <v>1126.8542012310143</v>
      </c>
      <c r="M35" s="525">
        <v>1072.305211587756</v>
      </c>
      <c r="N35" s="525">
        <v>1017.147173571025</v>
      </c>
      <c r="O35" s="525">
        <v>995.69316826006263</v>
      </c>
      <c r="P35" s="525">
        <v>973.07634514680126</v>
      </c>
      <c r="Q35" s="525">
        <v>949.30355592298361</v>
      </c>
      <c r="R35" s="525">
        <v>924.38165228036553</v>
      </c>
      <c r="S35" s="525">
        <v>898.31748591072858</v>
      </c>
      <c r="T35" s="525">
        <v>876.88535779248332</v>
      </c>
      <c r="U35" s="525">
        <v>854.69372504586352</v>
      </c>
      <c r="V35" s="525">
        <v>831.74542364469448</v>
      </c>
      <c r="W35" s="525">
        <v>808.04328956275822</v>
      </c>
      <c r="X35" s="525">
        <v>783.59015877386594</v>
      </c>
      <c r="Y35" s="525">
        <v>757.71978028400815</v>
      </c>
      <c r="Z35" s="525">
        <v>731.5740723872143</v>
      </c>
      <c r="AA35" s="525">
        <v>705.15130967313132</v>
      </c>
      <c r="AB35" s="525">
        <v>678.4497667313741</v>
      </c>
      <c r="AC35" s="525">
        <v>651.46771815158365</v>
      </c>
      <c r="AD35" s="525">
        <v>628.24842744159866</v>
      </c>
      <c r="AE35" s="525">
        <v>604.94711816402707</v>
      </c>
      <c r="AF35" s="525">
        <v>581.56217409098656</v>
      </c>
      <c r="AG35" s="525">
        <v>558.09197899459275</v>
      </c>
      <c r="AH35" s="525">
        <v>534.53491664696139</v>
      </c>
      <c r="AI35" s="526">
        <f t="shared" si="15"/>
        <v>534.53491664696139</v>
      </c>
      <c r="AJ35" s="526">
        <f t="shared" si="15"/>
        <v>534.53491664696139</v>
      </c>
      <c r="AK35" s="526">
        <f t="shared" si="15"/>
        <v>534.53491664696139</v>
      </c>
      <c r="AL35" s="526">
        <f t="shared" si="15"/>
        <v>534.53491664696139</v>
      </c>
      <c r="AM35" s="526">
        <f t="shared" si="15"/>
        <v>534.53491664696139</v>
      </c>
      <c r="AN35" s="526">
        <f t="shared" si="15"/>
        <v>534.53491664696139</v>
      </c>
      <c r="AO35" s="526">
        <f t="shared" si="15"/>
        <v>534.53491664696139</v>
      </c>
      <c r="AP35" s="526">
        <f t="shared" si="15"/>
        <v>534.53491664696139</v>
      </c>
      <c r="AQ35" s="526">
        <f t="shared" si="15"/>
        <v>534.53491664696139</v>
      </c>
      <c r="AR35" s="526">
        <f t="shared" si="15"/>
        <v>534.53491664696139</v>
      </c>
      <c r="AS35" s="526">
        <f t="shared" si="15"/>
        <v>534.53491664696139</v>
      </c>
      <c r="AT35" s="526">
        <f t="shared" si="15"/>
        <v>534.53491664696139</v>
      </c>
      <c r="AU35" s="526">
        <f t="shared" si="15"/>
        <v>534.53491664696139</v>
      </c>
      <c r="AV35" s="526">
        <f t="shared" si="15"/>
        <v>534.53491664696139</v>
      </c>
      <c r="AW35" s="526">
        <f t="shared" si="15"/>
        <v>534.53491664696139</v>
      </c>
      <c r="AX35" s="526">
        <f t="shared" si="15"/>
        <v>534.53491664696139</v>
      </c>
      <c r="AY35" s="526">
        <f t="shared" si="15"/>
        <v>534.53491664696139</v>
      </c>
      <c r="AZ35" s="526">
        <f t="shared" si="15"/>
        <v>534.53491664696139</v>
      </c>
      <c r="BA35" s="526">
        <f t="shared" si="15"/>
        <v>534.53491664696139</v>
      </c>
      <c r="BB35" s="526">
        <f t="shared" si="15"/>
        <v>534.53491664696139</v>
      </c>
      <c r="BC35" s="526">
        <f t="shared" si="15"/>
        <v>534.53491664696139</v>
      </c>
      <c r="BD35" s="526">
        <f t="shared" si="15"/>
        <v>534.53491664696139</v>
      </c>
      <c r="BE35" s="526">
        <f t="shared" si="15"/>
        <v>534.53491664696139</v>
      </c>
      <c r="BF35" s="526">
        <f t="shared" si="15"/>
        <v>534.53491664696139</v>
      </c>
      <c r="BG35" s="526">
        <f t="shared" si="15"/>
        <v>534.53491664696139</v>
      </c>
      <c r="BH35" s="526">
        <f t="shared" si="15"/>
        <v>534.53491664696139</v>
      </c>
      <c r="BI35" s="526">
        <f t="shared" si="15"/>
        <v>534.53491664696139</v>
      </c>
      <c r="BJ35" s="526">
        <f t="shared" si="15"/>
        <v>534.53491664696139</v>
      </c>
      <c r="BK35" s="526">
        <f t="shared" si="15"/>
        <v>534.53491664696139</v>
      </c>
      <c r="BL35" s="526">
        <f t="shared" si="15"/>
        <v>534.53491664696139</v>
      </c>
      <c r="BM35" s="526">
        <f t="shared" si="15"/>
        <v>534.53491664696139</v>
      </c>
      <c r="BN35" s="526">
        <f t="shared" si="15"/>
        <v>534.53491664696139</v>
      </c>
      <c r="BO35" s="526">
        <f t="shared" si="15"/>
        <v>534.53491664696139</v>
      </c>
      <c r="BP35" s="526">
        <f t="shared" si="15"/>
        <v>534.53491664696139</v>
      </c>
      <c r="BQ35" s="526">
        <f t="shared" si="15"/>
        <v>534.53491664696139</v>
      </c>
      <c r="BR35" s="526">
        <f t="shared" si="15"/>
        <v>534.53491664696139</v>
      </c>
      <c r="BS35" s="526">
        <f t="shared" si="15"/>
        <v>534.53491664696139</v>
      </c>
      <c r="BT35" s="526">
        <f t="shared" si="15"/>
        <v>534.53491664696139</v>
      </c>
      <c r="BU35" s="526">
        <f t="shared" si="15"/>
        <v>534.53491664696139</v>
      </c>
      <c r="BV35" s="526">
        <f t="shared" si="15"/>
        <v>534.53491664696139</v>
      </c>
      <c r="BW35" s="526">
        <f t="shared" si="15"/>
        <v>534.53491664696139</v>
      </c>
      <c r="BX35" s="526">
        <f t="shared" si="15"/>
        <v>534.53491664696139</v>
      </c>
      <c r="BY35" s="526">
        <f t="shared" si="15"/>
        <v>534.53491664696139</v>
      </c>
      <c r="BZ35" s="526">
        <f t="shared" si="15"/>
        <v>534.53491664696139</v>
      </c>
      <c r="CA35" s="526">
        <f t="shared" si="15"/>
        <v>534.53491664696139</v>
      </c>
      <c r="CB35" s="526">
        <f t="shared" si="14"/>
        <v>534.53491664696139</v>
      </c>
      <c r="CC35" s="526">
        <f t="shared" si="14"/>
        <v>534.53491664696139</v>
      </c>
      <c r="CD35" s="526">
        <f t="shared" si="14"/>
        <v>534.53491664696139</v>
      </c>
      <c r="CE35" s="526">
        <f t="shared" si="14"/>
        <v>534.53491664696139</v>
      </c>
      <c r="CF35" s="526">
        <f t="shared" si="14"/>
        <v>534.53491664696139</v>
      </c>
    </row>
    <row r="36" spans="2:84">
      <c r="B36" t="s">
        <v>733</v>
      </c>
      <c r="C36" t="s">
        <v>1354</v>
      </c>
      <c r="D36" t="s">
        <v>826</v>
      </c>
      <c r="E36" t="s">
        <v>1353</v>
      </c>
      <c r="F36" t="str">
        <f t="shared" ref="F36:F67" si="16">+B36&amp;C36&amp;D36</f>
        <v>e-methanol (DAC)OpExMiddle East</v>
      </c>
      <c r="G36" s="525">
        <v>1234.7901203755589</v>
      </c>
      <c r="H36" s="525">
        <v>1178.8449859725883</v>
      </c>
      <c r="I36" s="525">
        <v>1122.6014785900313</v>
      </c>
      <c r="J36" s="525">
        <v>1080.1480677216209</v>
      </c>
      <c r="K36" s="525">
        <v>1036.9808312181792</v>
      </c>
      <c r="L36" s="525">
        <v>993.11074786972256</v>
      </c>
      <c r="M36" s="525">
        <v>948.54879646628683</v>
      </c>
      <c r="N36" s="525">
        <v>903.30595579787087</v>
      </c>
      <c r="O36" s="525">
        <v>881.7216932069681</v>
      </c>
      <c r="P36" s="525">
        <v>859.01338950004788</v>
      </c>
      <c r="Q36" s="525">
        <v>835.18851450914633</v>
      </c>
      <c r="R36" s="525">
        <v>810.25453806630935</v>
      </c>
      <c r="S36" s="525">
        <v>784.21893000359387</v>
      </c>
      <c r="T36" s="525">
        <v>764.27359106469783</v>
      </c>
      <c r="U36" s="525">
        <v>743.57722711071426</v>
      </c>
      <c r="V36" s="525">
        <v>722.13243458681313</v>
      </c>
      <c r="W36" s="525">
        <v>699.94180993812074</v>
      </c>
      <c r="X36" s="525">
        <v>677.00794960979647</v>
      </c>
      <c r="Y36" s="525">
        <v>651.57195539331622</v>
      </c>
      <c r="Z36" s="525">
        <v>625.86807682327924</v>
      </c>
      <c r="AA36" s="525">
        <v>599.89437751018511</v>
      </c>
      <c r="AB36" s="525">
        <v>573.64892106451691</v>
      </c>
      <c r="AC36" s="525">
        <v>547.1297710967682</v>
      </c>
      <c r="AD36" s="525">
        <v>526.14943836445411</v>
      </c>
      <c r="AE36" s="525">
        <v>505.05033302045769</v>
      </c>
      <c r="AF36" s="525">
        <v>483.83129152618665</v>
      </c>
      <c r="AG36" s="525">
        <v>462.49115034305282</v>
      </c>
      <c r="AH36" s="525">
        <v>441.02874593246867</v>
      </c>
      <c r="AI36" s="526">
        <f t="shared" si="15"/>
        <v>441.02874593246867</v>
      </c>
      <c r="AJ36" s="526">
        <f t="shared" si="15"/>
        <v>441.02874593246867</v>
      </c>
      <c r="AK36" s="526">
        <f t="shared" si="15"/>
        <v>441.02874593246867</v>
      </c>
      <c r="AL36" s="526">
        <f t="shared" si="15"/>
        <v>441.02874593246867</v>
      </c>
      <c r="AM36" s="526">
        <f t="shared" si="15"/>
        <v>441.02874593246867</v>
      </c>
      <c r="AN36" s="526">
        <f t="shared" si="15"/>
        <v>441.02874593246867</v>
      </c>
      <c r="AO36" s="526">
        <f t="shared" si="15"/>
        <v>441.02874593246867</v>
      </c>
      <c r="AP36" s="526">
        <f t="shared" si="15"/>
        <v>441.02874593246867</v>
      </c>
      <c r="AQ36" s="526">
        <f t="shared" si="15"/>
        <v>441.02874593246867</v>
      </c>
      <c r="AR36" s="526">
        <f t="shared" si="15"/>
        <v>441.02874593246867</v>
      </c>
      <c r="AS36" s="526">
        <f t="shared" si="15"/>
        <v>441.02874593246867</v>
      </c>
      <c r="AT36" s="526">
        <f t="shared" si="15"/>
        <v>441.02874593246867</v>
      </c>
      <c r="AU36" s="526">
        <f t="shared" si="15"/>
        <v>441.02874593246867</v>
      </c>
      <c r="AV36" s="526">
        <f t="shared" si="15"/>
        <v>441.02874593246867</v>
      </c>
      <c r="AW36" s="526">
        <f t="shared" si="15"/>
        <v>441.02874593246867</v>
      </c>
      <c r="AX36" s="526">
        <f t="shared" si="15"/>
        <v>441.02874593246867</v>
      </c>
      <c r="AY36" s="526">
        <f t="shared" si="15"/>
        <v>441.02874593246867</v>
      </c>
      <c r="AZ36" s="526">
        <f t="shared" si="15"/>
        <v>441.02874593246867</v>
      </c>
      <c r="BA36" s="526">
        <f t="shared" si="15"/>
        <v>441.02874593246867</v>
      </c>
      <c r="BB36" s="526">
        <f t="shared" si="15"/>
        <v>441.02874593246867</v>
      </c>
      <c r="BC36" s="526">
        <f t="shared" si="15"/>
        <v>441.02874593246867</v>
      </c>
      <c r="BD36" s="526">
        <f t="shared" si="15"/>
        <v>441.02874593246867</v>
      </c>
      <c r="BE36" s="526">
        <f t="shared" si="15"/>
        <v>441.02874593246867</v>
      </c>
      <c r="BF36" s="526">
        <f t="shared" si="15"/>
        <v>441.02874593246867</v>
      </c>
      <c r="BG36" s="526">
        <f t="shared" si="15"/>
        <v>441.02874593246867</v>
      </c>
      <c r="BH36" s="526">
        <f t="shared" si="15"/>
        <v>441.02874593246867</v>
      </c>
      <c r="BI36" s="526">
        <f t="shared" si="15"/>
        <v>441.02874593246867</v>
      </c>
      <c r="BJ36" s="526">
        <f t="shared" si="15"/>
        <v>441.02874593246867</v>
      </c>
      <c r="BK36" s="526">
        <f t="shared" si="15"/>
        <v>441.02874593246867</v>
      </c>
      <c r="BL36" s="526">
        <f t="shared" si="15"/>
        <v>441.02874593246867</v>
      </c>
      <c r="BM36" s="526">
        <f t="shared" si="15"/>
        <v>441.02874593246867</v>
      </c>
      <c r="BN36" s="526">
        <f t="shared" si="15"/>
        <v>441.02874593246867</v>
      </c>
      <c r="BO36" s="526">
        <f t="shared" si="15"/>
        <v>441.02874593246867</v>
      </c>
      <c r="BP36" s="526">
        <f t="shared" si="15"/>
        <v>441.02874593246867</v>
      </c>
      <c r="BQ36" s="526">
        <f t="shared" si="15"/>
        <v>441.02874593246867</v>
      </c>
      <c r="BR36" s="526">
        <f t="shared" si="15"/>
        <v>441.02874593246867</v>
      </c>
      <c r="BS36" s="526">
        <f t="shared" si="15"/>
        <v>441.02874593246867</v>
      </c>
      <c r="BT36" s="526">
        <f t="shared" si="15"/>
        <v>441.02874593246867</v>
      </c>
      <c r="BU36" s="526">
        <f t="shared" si="15"/>
        <v>441.02874593246867</v>
      </c>
      <c r="BV36" s="526">
        <f t="shared" si="15"/>
        <v>441.02874593246867</v>
      </c>
      <c r="BW36" s="526">
        <f t="shared" si="15"/>
        <v>441.02874593246867</v>
      </c>
      <c r="BX36" s="526">
        <f t="shared" si="15"/>
        <v>441.02874593246867</v>
      </c>
      <c r="BY36" s="526">
        <f t="shared" si="15"/>
        <v>441.02874593246867</v>
      </c>
      <c r="BZ36" s="526">
        <f t="shared" si="15"/>
        <v>441.02874593246867</v>
      </c>
      <c r="CA36" s="526">
        <f t="shared" si="15"/>
        <v>441.02874593246867</v>
      </c>
      <c r="CB36" s="526">
        <f t="shared" si="14"/>
        <v>441.02874593246867</v>
      </c>
      <c r="CC36" s="526">
        <f t="shared" si="14"/>
        <v>441.02874593246867</v>
      </c>
      <c r="CD36" s="526">
        <f t="shared" si="14"/>
        <v>441.02874593246867</v>
      </c>
      <c r="CE36" s="526">
        <f t="shared" si="14"/>
        <v>441.02874593246867</v>
      </c>
      <c r="CF36" s="526">
        <f t="shared" si="14"/>
        <v>441.02874593246867</v>
      </c>
    </row>
    <row r="37" spans="2:84">
      <c r="B37" t="s">
        <v>733</v>
      </c>
      <c r="C37" t="s">
        <v>1355</v>
      </c>
      <c r="D37" t="s">
        <v>708</v>
      </c>
      <c r="E37" t="s">
        <v>1356</v>
      </c>
      <c r="F37" t="str">
        <f t="shared" si="16"/>
        <v>e-methanol (DAC)Total emissions - WTT - GWP100Global</v>
      </c>
      <c r="G37" s="527">
        <v>-1.2882834878511884</v>
      </c>
      <c r="H37" s="527">
        <v>-1.2886335032442222</v>
      </c>
      <c r="I37" s="527">
        <v>-1.2889942944260653</v>
      </c>
      <c r="J37" s="527">
        <v>-1.2893720926748871</v>
      </c>
      <c r="K37" s="527">
        <v>-1.2897680603003598</v>
      </c>
      <c r="L37" s="527">
        <v>-1.2901821973024843</v>
      </c>
      <c r="M37" s="527">
        <v>-1.2906145036812595</v>
      </c>
      <c r="N37" s="527">
        <v>-1.2910649794366866</v>
      </c>
      <c r="O37" s="527">
        <v>-1.2916672280539951</v>
      </c>
      <c r="P37" s="527">
        <v>-1.2922870088661038</v>
      </c>
      <c r="Q37" s="527">
        <v>-1.2929243218730142</v>
      </c>
      <c r="R37" s="527">
        <v>-1.2935791670747268</v>
      </c>
      <c r="S37" s="527">
        <v>-1.2942515444712404</v>
      </c>
      <c r="T37" s="527">
        <v>-1.2949257422833427</v>
      </c>
      <c r="U37" s="527">
        <v>-1.2956120943794849</v>
      </c>
      <c r="V37" s="527">
        <v>-1.2963106007596656</v>
      </c>
      <c r="W37" s="527">
        <v>-1.2970212614238867</v>
      </c>
      <c r="X37" s="527">
        <v>-1.2977440763721479</v>
      </c>
      <c r="Y37" s="527">
        <v>-1.2985946994693185</v>
      </c>
      <c r="Z37" s="527">
        <v>-1.299438410481397</v>
      </c>
      <c r="AA37" s="527">
        <v>-1.3002752094083825</v>
      </c>
      <c r="AB37" s="527">
        <v>-1.3011050962502757</v>
      </c>
      <c r="AC37" s="527">
        <v>-1.301928071007076</v>
      </c>
      <c r="AD37" s="527">
        <v>-1.3026373346731055</v>
      </c>
      <c r="AE37" s="527">
        <v>-1.3033377242827613</v>
      </c>
      <c r="AF37" s="527">
        <v>-1.3040292398360431</v>
      </c>
      <c r="AG37" s="527">
        <v>-1.3047118813329508</v>
      </c>
      <c r="AH37" s="527">
        <v>-1.3053856487734845</v>
      </c>
      <c r="AI37" s="528">
        <f t="shared" si="15"/>
        <v>-1.3053856487734845</v>
      </c>
      <c r="AJ37" s="528">
        <f t="shared" si="15"/>
        <v>-1.3053856487734845</v>
      </c>
      <c r="AK37" s="528">
        <f t="shared" si="15"/>
        <v>-1.3053856487734845</v>
      </c>
      <c r="AL37" s="528">
        <f t="shared" si="15"/>
        <v>-1.3053856487734845</v>
      </c>
      <c r="AM37" s="528">
        <f t="shared" si="15"/>
        <v>-1.3053856487734845</v>
      </c>
      <c r="AN37" s="528">
        <f t="shared" si="15"/>
        <v>-1.3053856487734845</v>
      </c>
      <c r="AO37" s="528">
        <f t="shared" si="15"/>
        <v>-1.3053856487734845</v>
      </c>
      <c r="AP37" s="528">
        <f t="shared" si="15"/>
        <v>-1.3053856487734845</v>
      </c>
      <c r="AQ37" s="528">
        <f t="shared" si="15"/>
        <v>-1.3053856487734845</v>
      </c>
      <c r="AR37" s="528">
        <f t="shared" si="15"/>
        <v>-1.3053856487734845</v>
      </c>
      <c r="AS37" s="528">
        <f t="shared" si="15"/>
        <v>-1.3053856487734845</v>
      </c>
      <c r="AT37" s="528">
        <f t="shared" si="15"/>
        <v>-1.3053856487734845</v>
      </c>
      <c r="AU37" s="528">
        <f t="shared" si="15"/>
        <v>-1.3053856487734845</v>
      </c>
      <c r="AV37" s="528">
        <f t="shared" si="15"/>
        <v>-1.3053856487734845</v>
      </c>
      <c r="AW37" s="528">
        <f t="shared" si="15"/>
        <v>-1.3053856487734845</v>
      </c>
      <c r="AX37" s="528">
        <f t="shared" si="15"/>
        <v>-1.3053856487734845</v>
      </c>
      <c r="AY37" s="528">
        <f t="shared" si="15"/>
        <v>-1.3053856487734845</v>
      </c>
      <c r="AZ37" s="528">
        <f t="shared" si="15"/>
        <v>-1.3053856487734845</v>
      </c>
      <c r="BA37" s="528">
        <f t="shared" si="15"/>
        <v>-1.3053856487734845</v>
      </c>
      <c r="BB37" s="528">
        <f t="shared" si="15"/>
        <v>-1.3053856487734845</v>
      </c>
      <c r="BC37" s="528">
        <f t="shared" si="15"/>
        <v>-1.3053856487734845</v>
      </c>
      <c r="BD37" s="528">
        <f t="shared" si="15"/>
        <v>-1.3053856487734845</v>
      </c>
      <c r="BE37" s="528">
        <f t="shared" si="15"/>
        <v>-1.3053856487734845</v>
      </c>
      <c r="BF37" s="528">
        <f t="shared" si="15"/>
        <v>-1.3053856487734845</v>
      </c>
      <c r="BG37" s="528">
        <f t="shared" si="15"/>
        <v>-1.3053856487734845</v>
      </c>
      <c r="BH37" s="528">
        <f t="shared" si="15"/>
        <v>-1.3053856487734845</v>
      </c>
      <c r="BI37" s="528">
        <f t="shared" si="15"/>
        <v>-1.3053856487734845</v>
      </c>
      <c r="BJ37" s="528">
        <f t="shared" si="15"/>
        <v>-1.3053856487734845</v>
      </c>
      <c r="BK37" s="528">
        <f t="shared" si="15"/>
        <v>-1.3053856487734845</v>
      </c>
      <c r="BL37" s="528">
        <f t="shared" si="15"/>
        <v>-1.3053856487734845</v>
      </c>
      <c r="BM37" s="528">
        <f t="shared" ref="BM37:CA37" si="17">BL37</f>
        <v>-1.3053856487734845</v>
      </c>
      <c r="BN37" s="528">
        <f t="shared" si="17"/>
        <v>-1.3053856487734845</v>
      </c>
      <c r="BO37" s="528">
        <f t="shared" si="17"/>
        <v>-1.3053856487734845</v>
      </c>
      <c r="BP37" s="528">
        <f t="shared" si="17"/>
        <v>-1.3053856487734845</v>
      </c>
      <c r="BQ37" s="528">
        <f t="shared" si="17"/>
        <v>-1.3053856487734845</v>
      </c>
      <c r="BR37" s="528">
        <f t="shared" si="17"/>
        <v>-1.3053856487734845</v>
      </c>
      <c r="BS37" s="528">
        <f t="shared" si="17"/>
        <v>-1.3053856487734845</v>
      </c>
      <c r="BT37" s="528">
        <f t="shared" si="17"/>
        <v>-1.3053856487734845</v>
      </c>
      <c r="BU37" s="528">
        <f t="shared" si="17"/>
        <v>-1.3053856487734845</v>
      </c>
      <c r="BV37" s="528">
        <f t="shared" si="17"/>
        <v>-1.3053856487734845</v>
      </c>
      <c r="BW37" s="528">
        <f t="shared" si="17"/>
        <v>-1.3053856487734845</v>
      </c>
      <c r="BX37" s="528">
        <f t="shared" si="17"/>
        <v>-1.3053856487734845</v>
      </c>
      <c r="BY37" s="528">
        <f t="shared" si="17"/>
        <v>-1.3053856487734845</v>
      </c>
      <c r="BZ37" s="528">
        <f t="shared" si="17"/>
        <v>-1.3053856487734845</v>
      </c>
      <c r="CA37" s="528">
        <f t="shared" si="17"/>
        <v>-1.3053856487734845</v>
      </c>
      <c r="CB37" s="528">
        <f t="shared" si="14"/>
        <v>-1.3053856487734845</v>
      </c>
      <c r="CC37" s="528">
        <f t="shared" si="14"/>
        <v>-1.3053856487734845</v>
      </c>
      <c r="CD37" s="528">
        <f t="shared" si="14"/>
        <v>-1.3053856487734845</v>
      </c>
      <c r="CE37" s="528">
        <f t="shared" si="14"/>
        <v>-1.3053856487734845</v>
      </c>
      <c r="CF37" s="528">
        <f t="shared" si="14"/>
        <v>-1.3053856487734845</v>
      </c>
    </row>
    <row r="38" spans="2:84">
      <c r="B38" t="s">
        <v>733</v>
      </c>
      <c r="C38" t="s">
        <v>1357</v>
      </c>
      <c r="D38" t="s">
        <v>708</v>
      </c>
      <c r="E38" t="s">
        <v>1356</v>
      </c>
      <c r="F38" t="str">
        <f t="shared" si="16"/>
        <v>e-methanol (DAC)Total emissions - TTW - GWP100Global</v>
      </c>
      <c r="G38" s="527">
        <v>1.38</v>
      </c>
      <c r="H38" s="527">
        <v>1.38</v>
      </c>
      <c r="I38" s="527">
        <v>1.38</v>
      </c>
      <c r="J38" s="527">
        <v>1.38</v>
      </c>
      <c r="K38" s="527">
        <v>1.38</v>
      </c>
      <c r="L38" s="527">
        <v>1.38</v>
      </c>
      <c r="M38" s="527">
        <v>1.38</v>
      </c>
      <c r="N38" s="527">
        <v>1.38</v>
      </c>
      <c r="O38" s="527">
        <v>1.38</v>
      </c>
      <c r="P38" s="527">
        <v>1.38</v>
      </c>
      <c r="Q38" s="527">
        <v>1.38</v>
      </c>
      <c r="R38" s="527">
        <v>1.38</v>
      </c>
      <c r="S38" s="527">
        <v>1.38</v>
      </c>
      <c r="T38" s="527">
        <v>1.38</v>
      </c>
      <c r="U38" s="527">
        <v>1.38</v>
      </c>
      <c r="V38" s="527">
        <v>1.38</v>
      </c>
      <c r="W38" s="527">
        <v>1.38</v>
      </c>
      <c r="X38" s="527">
        <v>1.38</v>
      </c>
      <c r="Y38" s="527">
        <v>1.38</v>
      </c>
      <c r="Z38" s="527">
        <v>1.38</v>
      </c>
      <c r="AA38" s="527">
        <v>1.38</v>
      </c>
      <c r="AB38" s="527">
        <v>1.38</v>
      </c>
      <c r="AC38" s="527">
        <v>1.38</v>
      </c>
      <c r="AD38" s="527">
        <v>1.38</v>
      </c>
      <c r="AE38" s="527">
        <v>1.38</v>
      </c>
      <c r="AF38" s="527">
        <v>1.38</v>
      </c>
      <c r="AG38" s="527">
        <v>1.38</v>
      </c>
      <c r="AH38" s="527">
        <v>1.38</v>
      </c>
      <c r="AI38" s="526">
        <f t="shared" ref="AI38:CA39" si="18">AH38</f>
        <v>1.38</v>
      </c>
      <c r="AJ38" s="526">
        <f t="shared" si="18"/>
        <v>1.38</v>
      </c>
      <c r="AK38" s="526">
        <f t="shared" si="18"/>
        <v>1.38</v>
      </c>
      <c r="AL38" s="526">
        <f t="shared" si="18"/>
        <v>1.38</v>
      </c>
      <c r="AM38" s="526">
        <f t="shared" si="18"/>
        <v>1.38</v>
      </c>
      <c r="AN38" s="526">
        <f t="shared" si="18"/>
        <v>1.38</v>
      </c>
      <c r="AO38" s="526">
        <f t="shared" si="18"/>
        <v>1.38</v>
      </c>
      <c r="AP38" s="526">
        <f t="shared" si="18"/>
        <v>1.38</v>
      </c>
      <c r="AQ38" s="526">
        <f t="shared" si="18"/>
        <v>1.38</v>
      </c>
      <c r="AR38" s="526">
        <f t="shared" si="18"/>
        <v>1.38</v>
      </c>
      <c r="AS38" s="526">
        <f t="shared" si="18"/>
        <v>1.38</v>
      </c>
      <c r="AT38" s="526">
        <f t="shared" si="18"/>
        <v>1.38</v>
      </c>
      <c r="AU38" s="526">
        <f t="shared" si="18"/>
        <v>1.38</v>
      </c>
      <c r="AV38" s="526">
        <f t="shared" si="18"/>
        <v>1.38</v>
      </c>
      <c r="AW38" s="526">
        <f t="shared" si="18"/>
        <v>1.38</v>
      </c>
      <c r="AX38" s="526">
        <f t="shared" si="18"/>
        <v>1.38</v>
      </c>
      <c r="AY38" s="526">
        <f t="shared" si="18"/>
        <v>1.38</v>
      </c>
      <c r="AZ38" s="526">
        <f t="shared" si="18"/>
        <v>1.38</v>
      </c>
      <c r="BA38" s="526">
        <f t="shared" si="18"/>
        <v>1.38</v>
      </c>
      <c r="BB38" s="526">
        <f t="shared" si="18"/>
        <v>1.38</v>
      </c>
      <c r="BC38" s="526">
        <f t="shared" si="18"/>
        <v>1.38</v>
      </c>
      <c r="BD38" s="526">
        <f t="shared" si="18"/>
        <v>1.38</v>
      </c>
      <c r="BE38" s="526">
        <f t="shared" si="18"/>
        <v>1.38</v>
      </c>
      <c r="BF38" s="526">
        <f t="shared" si="18"/>
        <v>1.38</v>
      </c>
      <c r="BG38" s="526">
        <f t="shared" si="18"/>
        <v>1.38</v>
      </c>
      <c r="BH38" s="526">
        <f t="shared" si="18"/>
        <v>1.38</v>
      </c>
      <c r="BI38" s="526">
        <f t="shared" si="18"/>
        <v>1.38</v>
      </c>
      <c r="BJ38" s="526">
        <f t="shared" si="18"/>
        <v>1.38</v>
      </c>
      <c r="BK38" s="526">
        <f t="shared" si="18"/>
        <v>1.38</v>
      </c>
      <c r="BL38" s="526">
        <f t="shared" si="18"/>
        <v>1.38</v>
      </c>
      <c r="BM38" s="526">
        <f t="shared" si="18"/>
        <v>1.38</v>
      </c>
      <c r="BN38" s="526">
        <f t="shared" si="18"/>
        <v>1.38</v>
      </c>
      <c r="BO38" s="526">
        <f t="shared" si="18"/>
        <v>1.38</v>
      </c>
      <c r="BP38" s="526">
        <f t="shared" si="18"/>
        <v>1.38</v>
      </c>
      <c r="BQ38" s="526">
        <f t="shared" si="18"/>
        <v>1.38</v>
      </c>
      <c r="BR38" s="526">
        <f t="shared" si="18"/>
        <v>1.38</v>
      </c>
      <c r="BS38" s="526">
        <f t="shared" si="18"/>
        <v>1.38</v>
      </c>
      <c r="BT38" s="526">
        <f t="shared" si="18"/>
        <v>1.38</v>
      </c>
      <c r="BU38" s="526">
        <f t="shared" si="18"/>
        <v>1.38</v>
      </c>
      <c r="BV38" s="526">
        <f t="shared" si="18"/>
        <v>1.38</v>
      </c>
      <c r="BW38" s="526">
        <f t="shared" si="18"/>
        <v>1.38</v>
      </c>
      <c r="BX38" s="526">
        <f t="shared" si="18"/>
        <v>1.38</v>
      </c>
      <c r="BY38" s="526">
        <f t="shared" si="18"/>
        <v>1.38</v>
      </c>
      <c r="BZ38" s="526">
        <f t="shared" si="18"/>
        <v>1.38</v>
      </c>
      <c r="CA38" s="526">
        <f t="shared" si="18"/>
        <v>1.38</v>
      </c>
      <c r="CB38" s="526">
        <f t="shared" si="14"/>
        <v>1.38</v>
      </c>
      <c r="CC38" s="526">
        <f t="shared" si="14"/>
        <v>1.38</v>
      </c>
      <c r="CD38" s="526">
        <f t="shared" si="14"/>
        <v>1.38</v>
      </c>
      <c r="CE38" s="526">
        <f t="shared" si="14"/>
        <v>1.38</v>
      </c>
      <c r="CF38" s="526">
        <f t="shared" si="14"/>
        <v>1.38</v>
      </c>
    </row>
    <row r="39" spans="2:84">
      <c r="B39" t="s">
        <v>733</v>
      </c>
      <c r="C39" t="s">
        <v>1358</v>
      </c>
      <c r="D39" t="s">
        <v>708</v>
      </c>
      <c r="E39" t="s">
        <v>1356</v>
      </c>
      <c r="F39" t="str">
        <f t="shared" si="16"/>
        <v>e-methanol (DAC)Total emissions - WTW - GWP100Global</v>
      </c>
      <c r="G39" s="527">
        <v>9.1716512148811491E-2</v>
      </c>
      <c r="H39" s="527">
        <v>9.1366496755777682E-2</v>
      </c>
      <c r="I39" s="527">
        <v>9.1005705573934614E-2</v>
      </c>
      <c r="J39" s="527">
        <v>9.0627907325112833E-2</v>
      </c>
      <c r="K39" s="527">
        <v>9.0231939699640051E-2</v>
      </c>
      <c r="L39" s="527">
        <v>8.9817802697515603E-2</v>
      </c>
      <c r="M39" s="527">
        <v>8.9385496318740376E-2</v>
      </c>
      <c r="N39" s="527">
        <v>8.8935020563313261E-2</v>
      </c>
      <c r="O39" s="527">
        <v>8.8332771946004751E-2</v>
      </c>
      <c r="P39" s="527">
        <v>8.7712991133896079E-2</v>
      </c>
      <c r="Q39" s="527">
        <v>8.7075678126985689E-2</v>
      </c>
      <c r="R39" s="527">
        <v>8.6420832925273139E-2</v>
      </c>
      <c r="S39" s="527">
        <v>8.5748455528759537E-2</v>
      </c>
      <c r="T39" s="527">
        <v>8.507425771665722E-2</v>
      </c>
      <c r="U39" s="527">
        <v>8.4387905620515014E-2</v>
      </c>
      <c r="V39" s="527">
        <v>8.368939924033425E-2</v>
      </c>
      <c r="W39" s="527">
        <v>8.2978738576113154E-2</v>
      </c>
      <c r="X39" s="527">
        <v>8.2255923627851946E-2</v>
      </c>
      <c r="Y39" s="527">
        <v>8.1405300530681401E-2</v>
      </c>
      <c r="Z39" s="527">
        <v>8.0561589518602927E-2</v>
      </c>
      <c r="AA39" s="527">
        <v>7.9724790591617412E-2</v>
      </c>
      <c r="AB39" s="527">
        <v>7.8894903749724188E-2</v>
      </c>
      <c r="AC39" s="527">
        <v>7.8071928992923922E-2</v>
      </c>
      <c r="AD39" s="527">
        <v>7.7362665326894398E-2</v>
      </c>
      <c r="AE39" s="527">
        <v>7.6662275717238604E-2</v>
      </c>
      <c r="AF39" s="527">
        <v>7.5970760163956763E-2</v>
      </c>
      <c r="AG39" s="527">
        <v>7.5288118667049098E-2</v>
      </c>
      <c r="AH39" s="527">
        <v>7.4614351226515385E-2</v>
      </c>
      <c r="AI39" s="528">
        <f t="shared" si="18"/>
        <v>7.4614351226515385E-2</v>
      </c>
      <c r="AJ39" s="528">
        <f t="shared" si="18"/>
        <v>7.4614351226515385E-2</v>
      </c>
      <c r="AK39" s="528">
        <f t="shared" si="18"/>
        <v>7.4614351226515385E-2</v>
      </c>
      <c r="AL39" s="528">
        <f t="shared" si="18"/>
        <v>7.4614351226515385E-2</v>
      </c>
      <c r="AM39" s="528">
        <f t="shared" si="18"/>
        <v>7.4614351226515385E-2</v>
      </c>
      <c r="AN39" s="528">
        <f t="shared" si="18"/>
        <v>7.4614351226515385E-2</v>
      </c>
      <c r="AO39" s="528">
        <f t="shared" si="18"/>
        <v>7.4614351226515385E-2</v>
      </c>
      <c r="AP39" s="528">
        <f t="shared" si="18"/>
        <v>7.4614351226515385E-2</v>
      </c>
      <c r="AQ39" s="528">
        <f t="shared" si="18"/>
        <v>7.4614351226515385E-2</v>
      </c>
      <c r="AR39" s="528">
        <f t="shared" si="18"/>
        <v>7.4614351226515385E-2</v>
      </c>
      <c r="AS39" s="528">
        <f t="shared" si="18"/>
        <v>7.4614351226515385E-2</v>
      </c>
      <c r="AT39" s="528">
        <f t="shared" si="18"/>
        <v>7.4614351226515385E-2</v>
      </c>
      <c r="AU39" s="528">
        <f t="shared" si="18"/>
        <v>7.4614351226515385E-2</v>
      </c>
      <c r="AV39" s="528">
        <f t="shared" si="18"/>
        <v>7.4614351226515385E-2</v>
      </c>
      <c r="AW39" s="528">
        <f t="shared" si="18"/>
        <v>7.4614351226515385E-2</v>
      </c>
      <c r="AX39" s="528">
        <f t="shared" si="18"/>
        <v>7.4614351226515385E-2</v>
      </c>
      <c r="AY39" s="528">
        <f t="shared" si="18"/>
        <v>7.4614351226515385E-2</v>
      </c>
      <c r="AZ39" s="528">
        <f t="shared" si="18"/>
        <v>7.4614351226515385E-2</v>
      </c>
      <c r="BA39" s="528">
        <f t="shared" si="18"/>
        <v>7.4614351226515385E-2</v>
      </c>
      <c r="BB39" s="528">
        <f t="shared" si="18"/>
        <v>7.4614351226515385E-2</v>
      </c>
      <c r="BC39" s="528">
        <f t="shared" si="18"/>
        <v>7.4614351226515385E-2</v>
      </c>
      <c r="BD39" s="528">
        <f t="shared" si="18"/>
        <v>7.4614351226515385E-2</v>
      </c>
      <c r="BE39" s="528">
        <f t="shared" si="18"/>
        <v>7.4614351226515385E-2</v>
      </c>
      <c r="BF39" s="528">
        <f t="shared" si="18"/>
        <v>7.4614351226515385E-2</v>
      </c>
      <c r="BG39" s="528">
        <f t="shared" si="18"/>
        <v>7.4614351226515385E-2</v>
      </c>
      <c r="BH39" s="528">
        <f t="shared" si="18"/>
        <v>7.4614351226515385E-2</v>
      </c>
      <c r="BI39" s="528">
        <f t="shared" si="18"/>
        <v>7.4614351226515385E-2</v>
      </c>
      <c r="BJ39" s="528">
        <f t="shared" si="18"/>
        <v>7.4614351226515385E-2</v>
      </c>
      <c r="BK39" s="528">
        <f t="shared" si="18"/>
        <v>7.4614351226515385E-2</v>
      </c>
      <c r="BL39" s="528">
        <f t="shared" si="18"/>
        <v>7.4614351226515385E-2</v>
      </c>
      <c r="BM39" s="528">
        <f t="shared" si="18"/>
        <v>7.4614351226515385E-2</v>
      </c>
      <c r="BN39" s="528">
        <f t="shared" si="18"/>
        <v>7.4614351226515385E-2</v>
      </c>
      <c r="BO39" s="528">
        <f t="shared" si="18"/>
        <v>7.4614351226515385E-2</v>
      </c>
      <c r="BP39" s="528">
        <f t="shared" si="18"/>
        <v>7.4614351226515385E-2</v>
      </c>
      <c r="BQ39" s="528">
        <f t="shared" si="18"/>
        <v>7.4614351226515385E-2</v>
      </c>
      <c r="BR39" s="528">
        <f t="shared" si="18"/>
        <v>7.4614351226515385E-2</v>
      </c>
      <c r="BS39" s="528">
        <f t="shared" si="18"/>
        <v>7.4614351226515385E-2</v>
      </c>
      <c r="BT39" s="528">
        <f t="shared" si="18"/>
        <v>7.4614351226515385E-2</v>
      </c>
      <c r="BU39" s="528">
        <f t="shared" si="18"/>
        <v>7.4614351226515385E-2</v>
      </c>
      <c r="BV39" s="528">
        <f t="shared" si="18"/>
        <v>7.4614351226515385E-2</v>
      </c>
      <c r="BW39" s="528">
        <f t="shared" si="18"/>
        <v>7.4614351226515385E-2</v>
      </c>
      <c r="BX39" s="528">
        <f t="shared" si="18"/>
        <v>7.4614351226515385E-2</v>
      </c>
      <c r="BY39" s="528">
        <f t="shared" si="18"/>
        <v>7.4614351226515385E-2</v>
      </c>
      <c r="BZ39" s="528">
        <f t="shared" si="18"/>
        <v>7.4614351226515385E-2</v>
      </c>
      <c r="CA39" s="528">
        <f t="shared" si="18"/>
        <v>7.4614351226515385E-2</v>
      </c>
      <c r="CB39" s="528">
        <f t="shared" si="14"/>
        <v>7.4614351226515385E-2</v>
      </c>
      <c r="CC39" s="528">
        <f t="shared" si="14"/>
        <v>7.4614351226515385E-2</v>
      </c>
      <c r="CD39" s="528">
        <f t="shared" si="14"/>
        <v>7.4614351226515385E-2</v>
      </c>
      <c r="CE39" s="528">
        <f t="shared" si="14"/>
        <v>7.4614351226515385E-2</v>
      </c>
      <c r="CF39" s="528">
        <f t="shared" si="14"/>
        <v>7.4614351226515385E-2</v>
      </c>
    </row>
    <row r="40" spans="2:84">
      <c r="B40" t="s">
        <v>742</v>
      </c>
      <c r="C40" t="s">
        <v>1352</v>
      </c>
      <c r="D40" t="s">
        <v>708</v>
      </c>
      <c r="E40" t="s">
        <v>1353</v>
      </c>
      <c r="F40" t="str">
        <f t="shared" si="16"/>
        <v>e-methanol (PS)CapExGlobal</v>
      </c>
      <c r="G40" s="525">
        <v>5847.9924594129061</v>
      </c>
      <c r="H40" s="525">
        <v>5599.6577477062337</v>
      </c>
      <c r="I40" s="525">
        <v>5349.9096220457086</v>
      </c>
      <c r="J40" s="525">
        <v>5126.6260697435209</v>
      </c>
      <c r="K40" s="525">
        <v>4900.7167097089259</v>
      </c>
      <c r="L40" s="525">
        <v>4672.1815419419518</v>
      </c>
      <c r="M40" s="525">
        <v>4441.0205664426048</v>
      </c>
      <c r="N40" s="525">
        <v>4207.2337832108506</v>
      </c>
      <c r="O40" s="525">
        <v>4165.7058097481467</v>
      </c>
      <c r="P40" s="525">
        <v>4118.0541828803498</v>
      </c>
      <c r="Q40" s="525">
        <v>4064.2789026074452</v>
      </c>
      <c r="R40" s="525">
        <v>4004.3799689294042</v>
      </c>
      <c r="S40" s="525">
        <v>3938.3573818462773</v>
      </c>
      <c r="T40" s="525">
        <v>3862.3809094495205</v>
      </c>
      <c r="U40" s="525">
        <v>3781.3502940406552</v>
      </c>
      <c r="V40" s="525">
        <v>3695.2655356197315</v>
      </c>
      <c r="W40" s="525">
        <v>3604.1266341866994</v>
      </c>
      <c r="X40" s="525">
        <v>3507.9335897415394</v>
      </c>
      <c r="Y40" s="525">
        <v>3388.3505326544259</v>
      </c>
      <c r="Z40" s="525">
        <v>3264.9538427110765</v>
      </c>
      <c r="AA40" s="525">
        <v>3137.7435199115312</v>
      </c>
      <c r="AB40" s="525">
        <v>3006.7195642557635</v>
      </c>
      <c r="AC40" s="525">
        <v>2871.8819757437655</v>
      </c>
      <c r="AD40" s="525">
        <v>2732.515981867602</v>
      </c>
      <c r="AE40" s="525">
        <v>2590.7645787590623</v>
      </c>
      <c r="AF40" s="525">
        <v>2446.6277664181457</v>
      </c>
      <c r="AG40" s="525">
        <v>2300.1055448448524</v>
      </c>
      <c r="AH40" s="525">
        <v>2151.1979140391832</v>
      </c>
      <c r="AI40" s="526">
        <f>AH40</f>
        <v>2151.1979140391832</v>
      </c>
      <c r="AJ40" s="526">
        <f t="shared" ref="AJ40:CF48" si="19">AI40</f>
        <v>2151.1979140391832</v>
      </c>
      <c r="AK40" s="526">
        <f t="shared" si="19"/>
        <v>2151.1979140391832</v>
      </c>
      <c r="AL40" s="526">
        <f t="shared" si="19"/>
        <v>2151.1979140391832</v>
      </c>
      <c r="AM40" s="526">
        <f t="shared" si="19"/>
        <v>2151.1979140391832</v>
      </c>
      <c r="AN40" s="526">
        <f t="shared" si="19"/>
        <v>2151.1979140391832</v>
      </c>
      <c r="AO40" s="526">
        <f t="shared" si="19"/>
        <v>2151.1979140391832</v>
      </c>
      <c r="AP40" s="526">
        <f t="shared" si="19"/>
        <v>2151.1979140391832</v>
      </c>
      <c r="AQ40" s="526">
        <f t="shared" si="19"/>
        <v>2151.1979140391832</v>
      </c>
      <c r="AR40" s="526">
        <f t="shared" si="19"/>
        <v>2151.1979140391832</v>
      </c>
      <c r="AS40" s="526">
        <f t="shared" si="19"/>
        <v>2151.1979140391832</v>
      </c>
      <c r="AT40" s="526">
        <f t="shared" si="19"/>
        <v>2151.1979140391832</v>
      </c>
      <c r="AU40" s="526">
        <f t="shared" si="19"/>
        <v>2151.1979140391832</v>
      </c>
      <c r="AV40" s="526">
        <f t="shared" si="19"/>
        <v>2151.1979140391832</v>
      </c>
      <c r="AW40" s="526">
        <f t="shared" si="19"/>
        <v>2151.1979140391832</v>
      </c>
      <c r="AX40" s="526">
        <f t="shared" si="19"/>
        <v>2151.1979140391832</v>
      </c>
      <c r="AY40" s="526">
        <f t="shared" si="19"/>
        <v>2151.1979140391832</v>
      </c>
      <c r="AZ40" s="526">
        <f t="shared" si="19"/>
        <v>2151.1979140391832</v>
      </c>
      <c r="BA40" s="526">
        <f t="shared" si="19"/>
        <v>2151.1979140391832</v>
      </c>
      <c r="BB40" s="526">
        <f t="shared" si="19"/>
        <v>2151.1979140391832</v>
      </c>
      <c r="BC40" s="526">
        <f t="shared" si="19"/>
        <v>2151.1979140391832</v>
      </c>
      <c r="BD40" s="526">
        <f t="shared" si="19"/>
        <v>2151.1979140391832</v>
      </c>
      <c r="BE40" s="526">
        <f t="shared" si="19"/>
        <v>2151.1979140391832</v>
      </c>
      <c r="BF40" s="526">
        <f t="shared" si="19"/>
        <v>2151.1979140391832</v>
      </c>
      <c r="BG40" s="526">
        <f t="shared" si="19"/>
        <v>2151.1979140391832</v>
      </c>
      <c r="BH40" s="526">
        <f t="shared" si="19"/>
        <v>2151.1979140391832</v>
      </c>
      <c r="BI40" s="526">
        <f t="shared" si="19"/>
        <v>2151.1979140391832</v>
      </c>
      <c r="BJ40" s="526">
        <f t="shared" si="19"/>
        <v>2151.1979140391832</v>
      </c>
      <c r="BK40" s="526">
        <f t="shared" si="19"/>
        <v>2151.1979140391832</v>
      </c>
      <c r="BL40" s="526">
        <f t="shared" si="19"/>
        <v>2151.1979140391832</v>
      </c>
      <c r="BM40" s="526">
        <f t="shared" si="19"/>
        <v>2151.1979140391832</v>
      </c>
      <c r="BN40" s="526">
        <f t="shared" si="19"/>
        <v>2151.1979140391832</v>
      </c>
      <c r="BO40" s="526">
        <f t="shared" si="19"/>
        <v>2151.1979140391832</v>
      </c>
      <c r="BP40" s="526">
        <f t="shared" si="19"/>
        <v>2151.1979140391832</v>
      </c>
      <c r="BQ40" s="526">
        <f t="shared" si="19"/>
        <v>2151.1979140391832</v>
      </c>
      <c r="BR40" s="526">
        <f t="shared" si="19"/>
        <v>2151.1979140391832</v>
      </c>
      <c r="BS40" s="526">
        <f t="shared" si="19"/>
        <v>2151.1979140391832</v>
      </c>
      <c r="BT40" s="526">
        <f t="shared" si="19"/>
        <v>2151.1979140391832</v>
      </c>
      <c r="BU40" s="526">
        <f t="shared" si="19"/>
        <v>2151.1979140391832</v>
      </c>
      <c r="BV40" s="526">
        <f t="shared" si="19"/>
        <v>2151.1979140391832</v>
      </c>
      <c r="BW40" s="526">
        <f t="shared" si="19"/>
        <v>2151.1979140391832</v>
      </c>
      <c r="BX40" s="526">
        <f t="shared" si="19"/>
        <v>2151.1979140391832</v>
      </c>
      <c r="BY40" s="526">
        <f t="shared" si="19"/>
        <v>2151.1979140391832</v>
      </c>
      <c r="BZ40" s="526">
        <f t="shared" si="19"/>
        <v>2151.1979140391832</v>
      </c>
      <c r="CA40" s="526">
        <f t="shared" si="19"/>
        <v>2151.1979140391832</v>
      </c>
      <c r="CB40" s="526">
        <f t="shared" si="19"/>
        <v>2151.1979140391832</v>
      </c>
      <c r="CC40" s="526">
        <f t="shared" si="19"/>
        <v>2151.1979140391832</v>
      </c>
      <c r="CD40" s="526">
        <f t="shared" si="19"/>
        <v>2151.1979140391832</v>
      </c>
      <c r="CE40" s="526">
        <f t="shared" si="19"/>
        <v>2151.1979140391832</v>
      </c>
      <c r="CF40" s="526">
        <f t="shared" si="19"/>
        <v>2151.1979140391832</v>
      </c>
    </row>
    <row r="41" spans="2:84">
      <c r="B41" t="s">
        <v>742</v>
      </c>
      <c r="C41" t="s">
        <v>1354</v>
      </c>
      <c r="D41" t="s">
        <v>838</v>
      </c>
      <c r="E41" t="s">
        <v>1353</v>
      </c>
      <c r="F41" t="str">
        <f t="shared" si="16"/>
        <v>e-methanol (PS)OpExAfrica</v>
      </c>
      <c r="G41" s="525">
        <v>1393.0672239162691</v>
      </c>
      <c r="H41" s="525">
        <v>1278.5023664425628</v>
      </c>
      <c r="I41" s="525">
        <v>1163.4803646306657</v>
      </c>
      <c r="J41" s="525">
        <v>1114.4112352543814</v>
      </c>
      <c r="K41" s="525">
        <v>1064.4576039777141</v>
      </c>
      <c r="L41" s="525">
        <v>1013.6388720496369</v>
      </c>
      <c r="M41" s="525">
        <v>961.97444071913662</v>
      </c>
      <c r="N41" s="525">
        <v>909.48371123518189</v>
      </c>
      <c r="O41" s="525">
        <v>888.76618952628348</v>
      </c>
      <c r="P41" s="525">
        <v>866.82269318716487</v>
      </c>
      <c r="Q41" s="525">
        <v>843.66367222947497</v>
      </c>
      <c r="R41" s="525">
        <v>819.29957666487405</v>
      </c>
      <c r="S41" s="525">
        <v>793.74085650503275</v>
      </c>
      <c r="T41" s="525">
        <v>774.82878466420448</v>
      </c>
      <c r="U41" s="525">
        <v>755.10156411924493</v>
      </c>
      <c r="V41" s="525">
        <v>734.56260474867815</v>
      </c>
      <c r="W41" s="525">
        <v>713.2153164309907</v>
      </c>
      <c r="X41" s="525">
        <v>691.06310904470035</v>
      </c>
      <c r="Y41" s="525">
        <v>667.30061314519037</v>
      </c>
      <c r="Z41" s="525">
        <v>643.20849697417134</v>
      </c>
      <c r="AA41" s="525">
        <v>618.78476652661436</v>
      </c>
      <c r="AB41" s="525">
        <v>594.02742779747348</v>
      </c>
      <c r="AC41" s="525">
        <v>568.93448678171251</v>
      </c>
      <c r="AD41" s="525">
        <v>548.41432751626246</v>
      </c>
      <c r="AE41" s="525">
        <v>527.74472183481191</v>
      </c>
      <c r="AF41" s="525">
        <v>506.92441322255183</v>
      </c>
      <c r="AG41" s="525">
        <v>485.95214516467701</v>
      </c>
      <c r="AH41" s="525">
        <v>464.82666114638374</v>
      </c>
      <c r="AI41" s="526">
        <f t="shared" ref="AI41:CA46" si="20">AH41</f>
        <v>464.82666114638374</v>
      </c>
      <c r="AJ41" s="526">
        <f t="shared" si="20"/>
        <v>464.82666114638374</v>
      </c>
      <c r="AK41" s="526">
        <f t="shared" si="20"/>
        <v>464.82666114638374</v>
      </c>
      <c r="AL41" s="526">
        <f t="shared" si="20"/>
        <v>464.82666114638374</v>
      </c>
      <c r="AM41" s="526">
        <f t="shared" si="20"/>
        <v>464.82666114638374</v>
      </c>
      <c r="AN41" s="526">
        <f t="shared" si="20"/>
        <v>464.82666114638374</v>
      </c>
      <c r="AO41" s="526">
        <f t="shared" si="20"/>
        <v>464.82666114638374</v>
      </c>
      <c r="AP41" s="526">
        <f t="shared" si="20"/>
        <v>464.82666114638374</v>
      </c>
      <c r="AQ41" s="526">
        <f t="shared" si="20"/>
        <v>464.82666114638374</v>
      </c>
      <c r="AR41" s="526">
        <f t="shared" si="20"/>
        <v>464.82666114638374</v>
      </c>
      <c r="AS41" s="526">
        <f t="shared" si="20"/>
        <v>464.82666114638374</v>
      </c>
      <c r="AT41" s="526">
        <f t="shared" si="20"/>
        <v>464.82666114638374</v>
      </c>
      <c r="AU41" s="526">
        <f t="shared" si="20"/>
        <v>464.82666114638374</v>
      </c>
      <c r="AV41" s="526">
        <f t="shared" si="20"/>
        <v>464.82666114638374</v>
      </c>
      <c r="AW41" s="526">
        <f t="shared" si="20"/>
        <v>464.82666114638374</v>
      </c>
      <c r="AX41" s="526">
        <f t="shared" si="20"/>
        <v>464.82666114638374</v>
      </c>
      <c r="AY41" s="526">
        <f t="shared" si="20"/>
        <v>464.82666114638374</v>
      </c>
      <c r="AZ41" s="526">
        <f t="shared" si="20"/>
        <v>464.82666114638374</v>
      </c>
      <c r="BA41" s="526">
        <f t="shared" si="20"/>
        <v>464.82666114638374</v>
      </c>
      <c r="BB41" s="526">
        <f t="shared" si="20"/>
        <v>464.82666114638374</v>
      </c>
      <c r="BC41" s="526">
        <f t="shared" si="20"/>
        <v>464.82666114638374</v>
      </c>
      <c r="BD41" s="526">
        <f t="shared" si="20"/>
        <v>464.82666114638374</v>
      </c>
      <c r="BE41" s="526">
        <f t="shared" si="20"/>
        <v>464.82666114638374</v>
      </c>
      <c r="BF41" s="526">
        <f t="shared" si="20"/>
        <v>464.82666114638374</v>
      </c>
      <c r="BG41" s="526">
        <f t="shared" si="20"/>
        <v>464.82666114638374</v>
      </c>
      <c r="BH41" s="526">
        <f t="shared" si="20"/>
        <v>464.82666114638374</v>
      </c>
      <c r="BI41" s="526">
        <f t="shared" si="20"/>
        <v>464.82666114638374</v>
      </c>
      <c r="BJ41" s="526">
        <f t="shared" si="20"/>
        <v>464.82666114638374</v>
      </c>
      <c r="BK41" s="526">
        <f t="shared" si="20"/>
        <v>464.82666114638374</v>
      </c>
      <c r="BL41" s="526">
        <f t="shared" si="20"/>
        <v>464.82666114638374</v>
      </c>
      <c r="BM41" s="526">
        <f t="shared" si="20"/>
        <v>464.82666114638374</v>
      </c>
      <c r="BN41" s="526">
        <f t="shared" si="20"/>
        <v>464.82666114638374</v>
      </c>
      <c r="BO41" s="526">
        <f t="shared" si="20"/>
        <v>464.82666114638374</v>
      </c>
      <c r="BP41" s="526">
        <f t="shared" si="20"/>
        <v>464.82666114638374</v>
      </c>
      <c r="BQ41" s="526">
        <f t="shared" si="20"/>
        <v>464.82666114638374</v>
      </c>
      <c r="BR41" s="526">
        <f t="shared" si="20"/>
        <v>464.82666114638374</v>
      </c>
      <c r="BS41" s="526">
        <f t="shared" si="20"/>
        <v>464.82666114638374</v>
      </c>
      <c r="BT41" s="526">
        <f t="shared" si="20"/>
        <v>464.82666114638374</v>
      </c>
      <c r="BU41" s="526">
        <f t="shared" si="20"/>
        <v>464.82666114638374</v>
      </c>
      <c r="BV41" s="526">
        <f t="shared" si="20"/>
        <v>464.82666114638374</v>
      </c>
      <c r="BW41" s="526">
        <f t="shared" si="20"/>
        <v>464.82666114638374</v>
      </c>
      <c r="BX41" s="526">
        <f t="shared" si="20"/>
        <v>464.82666114638374</v>
      </c>
      <c r="BY41" s="526">
        <f t="shared" si="20"/>
        <v>464.82666114638374</v>
      </c>
      <c r="BZ41" s="526">
        <f t="shared" si="20"/>
        <v>464.82666114638374</v>
      </c>
      <c r="CA41" s="526">
        <f t="shared" si="20"/>
        <v>464.82666114638374</v>
      </c>
      <c r="CB41" s="526">
        <f t="shared" si="19"/>
        <v>464.82666114638374</v>
      </c>
      <c r="CC41" s="526">
        <f t="shared" si="19"/>
        <v>464.82666114638374</v>
      </c>
      <c r="CD41" s="526">
        <f t="shared" si="19"/>
        <v>464.82666114638374</v>
      </c>
      <c r="CE41" s="526">
        <f t="shared" si="19"/>
        <v>464.82666114638374</v>
      </c>
      <c r="CF41" s="526">
        <f t="shared" si="19"/>
        <v>464.82666114638374</v>
      </c>
    </row>
    <row r="42" spans="2:84">
      <c r="B42" t="s">
        <v>742</v>
      </c>
      <c r="C42" t="s">
        <v>1354</v>
      </c>
      <c r="D42" t="s">
        <v>731</v>
      </c>
      <c r="E42" t="s">
        <v>1353</v>
      </c>
      <c r="F42" t="str">
        <f t="shared" si="16"/>
        <v>e-methanol (PS)OpExAmericas</v>
      </c>
      <c r="G42" s="525">
        <v>1121.0034968793068</v>
      </c>
      <c r="H42" s="525">
        <v>1083.0492732984897</v>
      </c>
      <c r="I42" s="525">
        <v>1044.5150799810999</v>
      </c>
      <c r="J42" s="525">
        <v>1003.4716973087112</v>
      </c>
      <c r="K42" s="525">
        <v>961.54628766147982</v>
      </c>
      <c r="L42" s="525">
        <v>918.75188690318419</v>
      </c>
      <c r="M42" s="525">
        <v>875.10153089762503</v>
      </c>
      <c r="N42" s="525">
        <v>830.60825550855441</v>
      </c>
      <c r="O42" s="525">
        <v>815.83332047147996</v>
      </c>
      <c r="P42" s="525">
        <v>799.79161523302275</v>
      </c>
      <c r="Q42" s="525">
        <v>782.48919296999043</v>
      </c>
      <c r="R42" s="525">
        <v>763.93210685918393</v>
      </c>
      <c r="S42" s="525">
        <v>744.12641007742764</v>
      </c>
      <c r="T42" s="525">
        <v>725.56644435400858</v>
      </c>
      <c r="U42" s="525">
        <v>706.20047300706494</v>
      </c>
      <c r="V42" s="525">
        <v>686.03189773834697</v>
      </c>
      <c r="W42" s="525">
        <v>665.06412024957058</v>
      </c>
      <c r="X42" s="525">
        <v>643.30054224247465</v>
      </c>
      <c r="Y42" s="525">
        <v>623.62941854369899</v>
      </c>
      <c r="Z42" s="525">
        <v>603.55025980161781</v>
      </c>
      <c r="AA42" s="525">
        <v>583.0622866548581</v>
      </c>
      <c r="AB42" s="525">
        <v>562.16471974202182</v>
      </c>
      <c r="AC42" s="525">
        <v>540.85677970173083</v>
      </c>
      <c r="AD42" s="525">
        <v>521.68048557353245</v>
      </c>
      <c r="AE42" s="525">
        <v>502.33187518489092</v>
      </c>
      <c r="AF42" s="525">
        <v>482.81019366871413</v>
      </c>
      <c r="AG42" s="525">
        <v>463.11468615791159</v>
      </c>
      <c r="AH42" s="525">
        <v>443.24459778539307</v>
      </c>
      <c r="AI42" s="526">
        <f t="shared" si="20"/>
        <v>443.24459778539307</v>
      </c>
      <c r="AJ42" s="526">
        <f t="shared" si="20"/>
        <v>443.24459778539307</v>
      </c>
      <c r="AK42" s="526">
        <f t="shared" si="20"/>
        <v>443.24459778539307</v>
      </c>
      <c r="AL42" s="526">
        <f t="shared" si="20"/>
        <v>443.24459778539307</v>
      </c>
      <c r="AM42" s="526">
        <f t="shared" si="20"/>
        <v>443.24459778539307</v>
      </c>
      <c r="AN42" s="526">
        <f t="shared" si="20"/>
        <v>443.24459778539307</v>
      </c>
      <c r="AO42" s="526">
        <f t="shared" si="20"/>
        <v>443.24459778539307</v>
      </c>
      <c r="AP42" s="526">
        <f t="shared" si="20"/>
        <v>443.24459778539307</v>
      </c>
      <c r="AQ42" s="526">
        <f t="shared" si="20"/>
        <v>443.24459778539307</v>
      </c>
      <c r="AR42" s="526">
        <f t="shared" si="20"/>
        <v>443.24459778539307</v>
      </c>
      <c r="AS42" s="526">
        <f t="shared" si="20"/>
        <v>443.24459778539307</v>
      </c>
      <c r="AT42" s="526">
        <f t="shared" si="20"/>
        <v>443.24459778539307</v>
      </c>
      <c r="AU42" s="526">
        <f t="shared" si="20"/>
        <v>443.24459778539307</v>
      </c>
      <c r="AV42" s="526">
        <f t="shared" si="20"/>
        <v>443.24459778539307</v>
      </c>
      <c r="AW42" s="526">
        <f t="shared" si="20"/>
        <v>443.24459778539307</v>
      </c>
      <c r="AX42" s="526">
        <f t="shared" si="20"/>
        <v>443.24459778539307</v>
      </c>
      <c r="AY42" s="526">
        <f t="shared" si="20"/>
        <v>443.24459778539307</v>
      </c>
      <c r="AZ42" s="526">
        <f t="shared" si="20"/>
        <v>443.24459778539307</v>
      </c>
      <c r="BA42" s="526">
        <f t="shared" si="20"/>
        <v>443.24459778539307</v>
      </c>
      <c r="BB42" s="526">
        <f t="shared" si="20"/>
        <v>443.24459778539307</v>
      </c>
      <c r="BC42" s="526">
        <f t="shared" si="20"/>
        <v>443.24459778539307</v>
      </c>
      <c r="BD42" s="526">
        <f t="shared" si="20"/>
        <v>443.24459778539307</v>
      </c>
      <c r="BE42" s="526">
        <f t="shared" si="20"/>
        <v>443.24459778539307</v>
      </c>
      <c r="BF42" s="526">
        <f t="shared" si="20"/>
        <v>443.24459778539307</v>
      </c>
      <c r="BG42" s="526">
        <f t="shared" si="20"/>
        <v>443.24459778539307</v>
      </c>
      <c r="BH42" s="526">
        <f t="shared" si="20"/>
        <v>443.24459778539307</v>
      </c>
      <c r="BI42" s="526">
        <f t="shared" si="20"/>
        <v>443.24459778539307</v>
      </c>
      <c r="BJ42" s="526">
        <f t="shared" si="20"/>
        <v>443.24459778539307</v>
      </c>
      <c r="BK42" s="526">
        <f t="shared" si="20"/>
        <v>443.24459778539307</v>
      </c>
      <c r="BL42" s="526">
        <f t="shared" si="20"/>
        <v>443.24459778539307</v>
      </c>
      <c r="BM42" s="526">
        <f t="shared" si="20"/>
        <v>443.24459778539307</v>
      </c>
      <c r="BN42" s="526">
        <f t="shared" si="20"/>
        <v>443.24459778539307</v>
      </c>
      <c r="BO42" s="526">
        <f t="shared" si="20"/>
        <v>443.24459778539307</v>
      </c>
      <c r="BP42" s="526">
        <f t="shared" si="20"/>
        <v>443.24459778539307</v>
      </c>
      <c r="BQ42" s="526">
        <f t="shared" si="20"/>
        <v>443.24459778539307</v>
      </c>
      <c r="BR42" s="526">
        <f t="shared" si="20"/>
        <v>443.24459778539307</v>
      </c>
      <c r="BS42" s="526">
        <f t="shared" si="20"/>
        <v>443.24459778539307</v>
      </c>
      <c r="BT42" s="526">
        <f t="shared" si="20"/>
        <v>443.24459778539307</v>
      </c>
      <c r="BU42" s="526">
        <f t="shared" si="20"/>
        <v>443.24459778539307</v>
      </c>
      <c r="BV42" s="526">
        <f t="shared" si="20"/>
        <v>443.24459778539307</v>
      </c>
      <c r="BW42" s="526">
        <f t="shared" si="20"/>
        <v>443.24459778539307</v>
      </c>
      <c r="BX42" s="526">
        <f t="shared" si="20"/>
        <v>443.24459778539307</v>
      </c>
      <c r="BY42" s="526">
        <f t="shared" si="20"/>
        <v>443.24459778539307</v>
      </c>
      <c r="BZ42" s="526">
        <f t="shared" si="20"/>
        <v>443.24459778539307</v>
      </c>
      <c r="CA42" s="526">
        <f t="shared" si="20"/>
        <v>443.24459778539307</v>
      </c>
      <c r="CB42" s="526">
        <f t="shared" si="19"/>
        <v>443.24459778539307</v>
      </c>
      <c r="CC42" s="526">
        <f t="shared" si="19"/>
        <v>443.24459778539307</v>
      </c>
      <c r="CD42" s="526">
        <f t="shared" si="19"/>
        <v>443.24459778539307</v>
      </c>
      <c r="CE42" s="526">
        <f t="shared" si="19"/>
        <v>443.24459778539307</v>
      </c>
      <c r="CF42" s="526">
        <f t="shared" si="19"/>
        <v>443.24459778539307</v>
      </c>
    </row>
    <row r="43" spans="2:84">
      <c r="B43" t="s">
        <v>742</v>
      </c>
      <c r="C43" t="s">
        <v>1354</v>
      </c>
      <c r="D43" t="s">
        <v>750</v>
      </c>
      <c r="E43" t="s">
        <v>1353</v>
      </c>
      <c r="F43" t="str">
        <f t="shared" si="16"/>
        <v>e-methanol (PS)OpExAsia</v>
      </c>
      <c r="G43" s="525">
        <v>1475.2004282153946</v>
      </c>
      <c r="H43" s="525">
        <v>1374.9600169571358</v>
      </c>
      <c r="I43" s="525">
        <v>1274.2179366746257</v>
      </c>
      <c r="J43" s="525">
        <v>1223.2756702013712</v>
      </c>
      <c r="K43" s="525">
        <v>1171.4253741589239</v>
      </c>
      <c r="L43" s="525">
        <v>1118.6878260308345</v>
      </c>
      <c r="M43" s="525">
        <v>1065.0838033007103</v>
      </c>
      <c r="N43" s="525">
        <v>1010.6340834521193</v>
      </c>
      <c r="O43" s="525">
        <v>985.38951375624799</v>
      </c>
      <c r="P43" s="525">
        <v>958.93679684503229</v>
      </c>
      <c r="Q43" s="525">
        <v>931.28955969591027</v>
      </c>
      <c r="R43" s="525">
        <v>902.46142928630309</v>
      </c>
      <c r="S43" s="525">
        <v>872.46603259367896</v>
      </c>
      <c r="T43" s="525">
        <v>850.56941129184736</v>
      </c>
      <c r="U43" s="525">
        <v>827.87730651289667</v>
      </c>
      <c r="V43" s="525">
        <v>804.39452132632482</v>
      </c>
      <c r="W43" s="525">
        <v>780.12585880157462</v>
      </c>
      <c r="X43" s="525">
        <v>755.07612200813628</v>
      </c>
      <c r="Y43" s="525">
        <v>728.09536915637545</v>
      </c>
      <c r="Z43" s="525">
        <v>700.84417879545902</v>
      </c>
      <c r="AA43" s="525">
        <v>673.31969180496253</v>
      </c>
      <c r="AB43" s="525">
        <v>645.51904906444395</v>
      </c>
      <c r="AC43" s="525">
        <v>617.43939145347304</v>
      </c>
      <c r="AD43" s="525">
        <v>595.56605918195544</v>
      </c>
      <c r="AE43" s="525">
        <v>573.56643316348038</v>
      </c>
      <c r="AF43" s="525">
        <v>551.43883007661054</v>
      </c>
      <c r="AG43" s="525">
        <v>529.18156659990575</v>
      </c>
      <c r="AH43" s="525">
        <v>506.79295941192663</v>
      </c>
      <c r="AI43" s="526">
        <f t="shared" si="20"/>
        <v>506.79295941192663</v>
      </c>
      <c r="AJ43" s="526">
        <f t="shared" si="20"/>
        <v>506.79295941192663</v>
      </c>
      <c r="AK43" s="526">
        <f t="shared" si="20"/>
        <v>506.79295941192663</v>
      </c>
      <c r="AL43" s="526">
        <f t="shared" si="20"/>
        <v>506.79295941192663</v>
      </c>
      <c r="AM43" s="526">
        <f t="shared" si="20"/>
        <v>506.79295941192663</v>
      </c>
      <c r="AN43" s="526">
        <f t="shared" si="20"/>
        <v>506.79295941192663</v>
      </c>
      <c r="AO43" s="526">
        <f t="shared" si="20"/>
        <v>506.79295941192663</v>
      </c>
      <c r="AP43" s="526">
        <f t="shared" si="20"/>
        <v>506.79295941192663</v>
      </c>
      <c r="AQ43" s="526">
        <f t="shared" si="20"/>
        <v>506.79295941192663</v>
      </c>
      <c r="AR43" s="526">
        <f t="shared" si="20"/>
        <v>506.79295941192663</v>
      </c>
      <c r="AS43" s="526">
        <f t="shared" si="20"/>
        <v>506.79295941192663</v>
      </c>
      <c r="AT43" s="526">
        <f t="shared" si="20"/>
        <v>506.79295941192663</v>
      </c>
      <c r="AU43" s="526">
        <f t="shared" si="20"/>
        <v>506.79295941192663</v>
      </c>
      <c r="AV43" s="526">
        <f t="shared" si="20"/>
        <v>506.79295941192663</v>
      </c>
      <c r="AW43" s="526">
        <f t="shared" si="20"/>
        <v>506.79295941192663</v>
      </c>
      <c r="AX43" s="526">
        <f t="shared" si="20"/>
        <v>506.79295941192663</v>
      </c>
      <c r="AY43" s="526">
        <f t="shared" si="20"/>
        <v>506.79295941192663</v>
      </c>
      <c r="AZ43" s="526">
        <f t="shared" si="20"/>
        <v>506.79295941192663</v>
      </c>
      <c r="BA43" s="526">
        <f t="shared" si="20"/>
        <v>506.79295941192663</v>
      </c>
      <c r="BB43" s="526">
        <f t="shared" si="20"/>
        <v>506.79295941192663</v>
      </c>
      <c r="BC43" s="526">
        <f t="shared" si="20"/>
        <v>506.79295941192663</v>
      </c>
      <c r="BD43" s="526">
        <f t="shared" si="20"/>
        <v>506.79295941192663</v>
      </c>
      <c r="BE43" s="526">
        <f t="shared" si="20"/>
        <v>506.79295941192663</v>
      </c>
      <c r="BF43" s="526">
        <f t="shared" si="20"/>
        <v>506.79295941192663</v>
      </c>
      <c r="BG43" s="526">
        <f t="shared" si="20"/>
        <v>506.79295941192663</v>
      </c>
      <c r="BH43" s="526">
        <f t="shared" si="20"/>
        <v>506.79295941192663</v>
      </c>
      <c r="BI43" s="526">
        <f t="shared" si="20"/>
        <v>506.79295941192663</v>
      </c>
      <c r="BJ43" s="526">
        <f t="shared" si="20"/>
        <v>506.79295941192663</v>
      </c>
      <c r="BK43" s="526">
        <f t="shared" si="20"/>
        <v>506.79295941192663</v>
      </c>
      <c r="BL43" s="526">
        <f t="shared" si="20"/>
        <v>506.79295941192663</v>
      </c>
      <c r="BM43" s="526">
        <f t="shared" si="20"/>
        <v>506.79295941192663</v>
      </c>
      <c r="BN43" s="526">
        <f t="shared" si="20"/>
        <v>506.79295941192663</v>
      </c>
      <c r="BO43" s="526">
        <f t="shared" si="20"/>
        <v>506.79295941192663</v>
      </c>
      <c r="BP43" s="526">
        <f t="shared" si="20"/>
        <v>506.79295941192663</v>
      </c>
      <c r="BQ43" s="526">
        <f t="shared" si="20"/>
        <v>506.79295941192663</v>
      </c>
      <c r="BR43" s="526">
        <f t="shared" si="20"/>
        <v>506.79295941192663</v>
      </c>
      <c r="BS43" s="526">
        <f t="shared" si="20"/>
        <v>506.79295941192663</v>
      </c>
      <c r="BT43" s="526">
        <f t="shared" si="20"/>
        <v>506.79295941192663</v>
      </c>
      <c r="BU43" s="526">
        <f t="shared" si="20"/>
        <v>506.79295941192663</v>
      </c>
      <c r="BV43" s="526">
        <f t="shared" si="20"/>
        <v>506.79295941192663</v>
      </c>
      <c r="BW43" s="526">
        <f t="shared" si="20"/>
        <v>506.79295941192663</v>
      </c>
      <c r="BX43" s="526">
        <f t="shared" si="20"/>
        <v>506.79295941192663</v>
      </c>
      <c r="BY43" s="526">
        <f t="shared" si="20"/>
        <v>506.79295941192663</v>
      </c>
      <c r="BZ43" s="526">
        <f t="shared" si="20"/>
        <v>506.79295941192663</v>
      </c>
      <c r="CA43" s="526">
        <f t="shared" si="20"/>
        <v>506.79295941192663</v>
      </c>
      <c r="CB43" s="526">
        <f t="shared" si="19"/>
        <v>506.79295941192663</v>
      </c>
      <c r="CC43" s="526">
        <f t="shared" si="19"/>
        <v>506.79295941192663</v>
      </c>
      <c r="CD43" s="526">
        <f t="shared" si="19"/>
        <v>506.79295941192663</v>
      </c>
      <c r="CE43" s="526">
        <f t="shared" si="19"/>
        <v>506.79295941192663</v>
      </c>
      <c r="CF43" s="526">
        <f t="shared" si="19"/>
        <v>506.79295941192663</v>
      </c>
    </row>
    <row r="44" spans="2:84">
      <c r="B44" t="s">
        <v>742</v>
      </c>
      <c r="C44" t="s">
        <v>1354</v>
      </c>
      <c r="D44" t="s">
        <v>720</v>
      </c>
      <c r="E44" t="s">
        <v>1353</v>
      </c>
      <c r="F44" t="str">
        <f t="shared" si="16"/>
        <v>e-methanol (PS)OpExEurope</v>
      </c>
      <c r="G44" s="525">
        <v>1267.1520201143292</v>
      </c>
      <c r="H44" s="525">
        <v>1212.4807536352494</v>
      </c>
      <c r="I44" s="525">
        <v>1157.2422519339991</v>
      </c>
      <c r="J44" s="525">
        <v>1111.0278343786156</v>
      </c>
      <c r="K44" s="525">
        <v>1063.9198163215538</v>
      </c>
      <c r="L44" s="525">
        <v>1015.9352873174906</v>
      </c>
      <c r="M44" s="525">
        <v>967.09133692110083</v>
      </c>
      <c r="N44" s="525">
        <v>917.40505468704544</v>
      </c>
      <c r="O44" s="525">
        <v>901.16817375217465</v>
      </c>
      <c r="P44" s="525">
        <v>883.65281215424204</v>
      </c>
      <c r="Q44" s="525">
        <v>864.86582158499505</v>
      </c>
      <c r="R44" s="525">
        <v>844.81405373618747</v>
      </c>
      <c r="S44" s="525">
        <v>823.50436029960201</v>
      </c>
      <c r="T44" s="525">
        <v>805.39836949492701</v>
      </c>
      <c r="U44" s="525">
        <v>786.45741428122551</v>
      </c>
      <c r="V44" s="525">
        <v>766.68433063232305</v>
      </c>
      <c r="W44" s="525">
        <v>746.08195452200243</v>
      </c>
      <c r="X44" s="525">
        <v>724.65312192407634</v>
      </c>
      <c r="Y44" s="525">
        <v>701.34753637886911</v>
      </c>
      <c r="Z44" s="525">
        <v>677.69989647573141</v>
      </c>
      <c r="AA44" s="525">
        <v>653.70847680430973</v>
      </c>
      <c r="AB44" s="525">
        <v>629.37155195421872</v>
      </c>
      <c r="AC44" s="525">
        <v>604.68739651509895</v>
      </c>
      <c r="AD44" s="525">
        <v>583.0704789651794</v>
      </c>
      <c r="AE44" s="525">
        <v>561.32285853821065</v>
      </c>
      <c r="AF44" s="525">
        <v>539.44291900631094</v>
      </c>
      <c r="AG44" s="525">
        <v>517.42904414159523</v>
      </c>
      <c r="AH44" s="525">
        <v>495.27961771617936</v>
      </c>
      <c r="AI44" s="526">
        <f t="shared" si="20"/>
        <v>495.27961771617936</v>
      </c>
      <c r="AJ44" s="526">
        <f t="shared" si="20"/>
        <v>495.27961771617936</v>
      </c>
      <c r="AK44" s="526">
        <f t="shared" si="20"/>
        <v>495.27961771617936</v>
      </c>
      <c r="AL44" s="526">
        <f t="shared" si="20"/>
        <v>495.27961771617936</v>
      </c>
      <c r="AM44" s="526">
        <f t="shared" si="20"/>
        <v>495.27961771617936</v>
      </c>
      <c r="AN44" s="526">
        <f t="shared" si="20"/>
        <v>495.27961771617936</v>
      </c>
      <c r="AO44" s="526">
        <f t="shared" si="20"/>
        <v>495.27961771617936</v>
      </c>
      <c r="AP44" s="526">
        <f t="shared" si="20"/>
        <v>495.27961771617936</v>
      </c>
      <c r="AQ44" s="526">
        <f t="shared" si="20"/>
        <v>495.27961771617936</v>
      </c>
      <c r="AR44" s="526">
        <f t="shared" si="20"/>
        <v>495.27961771617936</v>
      </c>
      <c r="AS44" s="526">
        <f t="shared" si="20"/>
        <v>495.27961771617936</v>
      </c>
      <c r="AT44" s="526">
        <f t="shared" si="20"/>
        <v>495.27961771617936</v>
      </c>
      <c r="AU44" s="526">
        <f t="shared" si="20"/>
        <v>495.27961771617936</v>
      </c>
      <c r="AV44" s="526">
        <f t="shared" si="20"/>
        <v>495.27961771617936</v>
      </c>
      <c r="AW44" s="526">
        <f t="shared" si="20"/>
        <v>495.27961771617936</v>
      </c>
      <c r="AX44" s="526">
        <f t="shared" si="20"/>
        <v>495.27961771617936</v>
      </c>
      <c r="AY44" s="526">
        <f t="shared" si="20"/>
        <v>495.27961771617936</v>
      </c>
      <c r="AZ44" s="526">
        <f t="shared" si="20"/>
        <v>495.27961771617936</v>
      </c>
      <c r="BA44" s="526">
        <f t="shared" si="20"/>
        <v>495.27961771617936</v>
      </c>
      <c r="BB44" s="526">
        <f t="shared" si="20"/>
        <v>495.27961771617936</v>
      </c>
      <c r="BC44" s="526">
        <f t="shared" si="20"/>
        <v>495.27961771617936</v>
      </c>
      <c r="BD44" s="526">
        <f t="shared" si="20"/>
        <v>495.27961771617936</v>
      </c>
      <c r="BE44" s="526">
        <f t="shared" si="20"/>
        <v>495.27961771617936</v>
      </c>
      <c r="BF44" s="526">
        <f t="shared" si="20"/>
        <v>495.27961771617936</v>
      </c>
      <c r="BG44" s="526">
        <f t="shared" si="20"/>
        <v>495.27961771617936</v>
      </c>
      <c r="BH44" s="526">
        <f t="shared" si="20"/>
        <v>495.27961771617936</v>
      </c>
      <c r="BI44" s="526">
        <f t="shared" si="20"/>
        <v>495.27961771617936</v>
      </c>
      <c r="BJ44" s="526">
        <f t="shared" si="20"/>
        <v>495.27961771617936</v>
      </c>
      <c r="BK44" s="526">
        <f t="shared" si="20"/>
        <v>495.27961771617936</v>
      </c>
      <c r="BL44" s="526">
        <f t="shared" si="20"/>
        <v>495.27961771617936</v>
      </c>
      <c r="BM44" s="526">
        <f t="shared" si="20"/>
        <v>495.27961771617936</v>
      </c>
      <c r="BN44" s="526">
        <f t="shared" si="20"/>
        <v>495.27961771617936</v>
      </c>
      <c r="BO44" s="526">
        <f t="shared" si="20"/>
        <v>495.27961771617936</v>
      </c>
      <c r="BP44" s="526">
        <f t="shared" si="20"/>
        <v>495.27961771617936</v>
      </c>
      <c r="BQ44" s="526">
        <f t="shared" si="20"/>
        <v>495.27961771617936</v>
      </c>
      <c r="BR44" s="526">
        <f t="shared" si="20"/>
        <v>495.27961771617936</v>
      </c>
      <c r="BS44" s="526">
        <f t="shared" si="20"/>
        <v>495.27961771617936</v>
      </c>
      <c r="BT44" s="526">
        <f t="shared" si="20"/>
        <v>495.27961771617936</v>
      </c>
      <c r="BU44" s="526">
        <f t="shared" si="20"/>
        <v>495.27961771617936</v>
      </c>
      <c r="BV44" s="526">
        <f t="shared" si="20"/>
        <v>495.27961771617936</v>
      </c>
      <c r="BW44" s="526">
        <f t="shared" si="20"/>
        <v>495.27961771617936</v>
      </c>
      <c r="BX44" s="526">
        <f t="shared" si="20"/>
        <v>495.27961771617936</v>
      </c>
      <c r="BY44" s="526">
        <f t="shared" si="20"/>
        <v>495.27961771617936</v>
      </c>
      <c r="BZ44" s="526">
        <f t="shared" si="20"/>
        <v>495.27961771617936</v>
      </c>
      <c r="CA44" s="526">
        <f t="shared" si="20"/>
        <v>495.27961771617936</v>
      </c>
      <c r="CB44" s="526">
        <f t="shared" si="19"/>
        <v>495.27961771617936</v>
      </c>
      <c r="CC44" s="526">
        <f t="shared" si="19"/>
        <v>495.27961771617936</v>
      </c>
      <c r="CD44" s="526">
        <f t="shared" si="19"/>
        <v>495.27961771617936</v>
      </c>
      <c r="CE44" s="526">
        <f t="shared" si="19"/>
        <v>495.27961771617936</v>
      </c>
      <c r="CF44" s="526">
        <f t="shared" si="19"/>
        <v>495.27961771617936</v>
      </c>
    </row>
    <row r="45" spans="2:84">
      <c r="B45" t="s">
        <v>742</v>
      </c>
      <c r="C45" t="s">
        <v>1354</v>
      </c>
      <c r="D45" t="s">
        <v>826</v>
      </c>
      <c r="E45" t="s">
        <v>1353</v>
      </c>
      <c r="F45" t="str">
        <f t="shared" si="16"/>
        <v>e-methanol (PS)OpExMiddle East</v>
      </c>
      <c r="G45" s="525">
        <v>1125.1796359732803</v>
      </c>
      <c r="H45" s="525">
        <v>1076.2768427019857</v>
      </c>
      <c r="I45" s="525">
        <v>1026.8172584146348</v>
      </c>
      <c r="J45" s="525">
        <v>988.33386234930765</v>
      </c>
      <c r="K45" s="525">
        <v>948.96362795013522</v>
      </c>
      <c r="L45" s="525">
        <v>908.71753400713385</v>
      </c>
      <c r="M45" s="525">
        <v>867.60655931033705</v>
      </c>
      <c r="N45" s="525">
        <v>825.6416826497458</v>
      </c>
      <c r="O45" s="525">
        <v>809.11248194754364</v>
      </c>
      <c r="P45" s="525">
        <v>791.33767014126101</v>
      </c>
      <c r="Q45" s="525">
        <v>772.32471706293677</v>
      </c>
      <c r="R45" s="525">
        <v>752.08109254461408</v>
      </c>
      <c r="S45" s="525">
        <v>730.61426641835237</v>
      </c>
      <c r="T45" s="525">
        <v>713.56158785832622</v>
      </c>
      <c r="U45" s="525">
        <v>695.68551144163996</v>
      </c>
      <c r="V45" s="525">
        <v>676.98863361346321</v>
      </c>
      <c r="W45" s="525">
        <v>657.47355081892385</v>
      </c>
      <c r="X45" s="525">
        <v>637.14285950318151</v>
      </c>
      <c r="Y45" s="525">
        <v>614.09835013557893</v>
      </c>
      <c r="Z45" s="525">
        <v>590.71476149149225</v>
      </c>
      <c r="AA45" s="525">
        <v>566.99015718142141</v>
      </c>
      <c r="AB45" s="525">
        <v>542.92260081584857</v>
      </c>
      <c r="AC45" s="525">
        <v>518.51015600526785</v>
      </c>
      <c r="AD45" s="525">
        <v>498.62447776899995</v>
      </c>
      <c r="AE45" s="525">
        <v>478.57832697436152</v>
      </c>
      <c r="AF45" s="525">
        <v>458.37054008276158</v>
      </c>
      <c r="AG45" s="525">
        <v>437.99995355561106</v>
      </c>
      <c r="AH45" s="525">
        <v>417.46540385432201</v>
      </c>
      <c r="AI45" s="526">
        <f t="shared" si="20"/>
        <v>417.46540385432201</v>
      </c>
      <c r="AJ45" s="526">
        <f t="shared" si="20"/>
        <v>417.46540385432201</v>
      </c>
      <c r="AK45" s="526">
        <f t="shared" si="20"/>
        <v>417.46540385432201</v>
      </c>
      <c r="AL45" s="526">
        <f t="shared" si="20"/>
        <v>417.46540385432201</v>
      </c>
      <c r="AM45" s="526">
        <f t="shared" si="20"/>
        <v>417.46540385432201</v>
      </c>
      <c r="AN45" s="526">
        <f t="shared" si="20"/>
        <v>417.46540385432201</v>
      </c>
      <c r="AO45" s="526">
        <f t="shared" si="20"/>
        <v>417.46540385432201</v>
      </c>
      <c r="AP45" s="526">
        <f t="shared" si="20"/>
        <v>417.46540385432201</v>
      </c>
      <c r="AQ45" s="526">
        <f t="shared" si="20"/>
        <v>417.46540385432201</v>
      </c>
      <c r="AR45" s="526">
        <f t="shared" si="20"/>
        <v>417.46540385432201</v>
      </c>
      <c r="AS45" s="526">
        <f t="shared" si="20"/>
        <v>417.46540385432201</v>
      </c>
      <c r="AT45" s="526">
        <f t="shared" si="20"/>
        <v>417.46540385432201</v>
      </c>
      <c r="AU45" s="526">
        <f t="shared" si="20"/>
        <v>417.46540385432201</v>
      </c>
      <c r="AV45" s="526">
        <f t="shared" si="20"/>
        <v>417.46540385432201</v>
      </c>
      <c r="AW45" s="526">
        <f t="shared" si="20"/>
        <v>417.46540385432201</v>
      </c>
      <c r="AX45" s="526">
        <f t="shared" si="20"/>
        <v>417.46540385432201</v>
      </c>
      <c r="AY45" s="526">
        <f t="shared" si="20"/>
        <v>417.46540385432201</v>
      </c>
      <c r="AZ45" s="526">
        <f t="shared" si="20"/>
        <v>417.46540385432201</v>
      </c>
      <c r="BA45" s="526">
        <f t="shared" si="20"/>
        <v>417.46540385432201</v>
      </c>
      <c r="BB45" s="526">
        <f t="shared" si="20"/>
        <v>417.46540385432201</v>
      </c>
      <c r="BC45" s="526">
        <f t="shared" si="20"/>
        <v>417.46540385432201</v>
      </c>
      <c r="BD45" s="526">
        <f t="shared" si="20"/>
        <v>417.46540385432201</v>
      </c>
      <c r="BE45" s="526">
        <f t="shared" si="20"/>
        <v>417.46540385432201</v>
      </c>
      <c r="BF45" s="526">
        <f t="shared" si="20"/>
        <v>417.46540385432201</v>
      </c>
      <c r="BG45" s="526">
        <f t="shared" si="20"/>
        <v>417.46540385432201</v>
      </c>
      <c r="BH45" s="526">
        <f t="shared" si="20"/>
        <v>417.46540385432201</v>
      </c>
      <c r="BI45" s="526">
        <f t="shared" si="20"/>
        <v>417.46540385432201</v>
      </c>
      <c r="BJ45" s="526">
        <f t="shared" si="20"/>
        <v>417.46540385432201</v>
      </c>
      <c r="BK45" s="526">
        <f t="shared" si="20"/>
        <v>417.46540385432201</v>
      </c>
      <c r="BL45" s="526">
        <f t="shared" si="20"/>
        <v>417.46540385432201</v>
      </c>
      <c r="BM45" s="526">
        <f t="shared" si="20"/>
        <v>417.46540385432201</v>
      </c>
      <c r="BN45" s="526">
        <f t="shared" si="20"/>
        <v>417.46540385432201</v>
      </c>
      <c r="BO45" s="526">
        <f t="shared" si="20"/>
        <v>417.46540385432201</v>
      </c>
      <c r="BP45" s="526">
        <f t="shared" si="20"/>
        <v>417.46540385432201</v>
      </c>
      <c r="BQ45" s="526">
        <f t="shared" si="20"/>
        <v>417.46540385432201</v>
      </c>
      <c r="BR45" s="526">
        <f t="shared" si="20"/>
        <v>417.46540385432201</v>
      </c>
      <c r="BS45" s="526">
        <f t="shared" si="20"/>
        <v>417.46540385432201</v>
      </c>
      <c r="BT45" s="526">
        <f t="shared" si="20"/>
        <v>417.46540385432201</v>
      </c>
      <c r="BU45" s="526">
        <f t="shared" si="20"/>
        <v>417.46540385432201</v>
      </c>
      <c r="BV45" s="526">
        <f t="shared" si="20"/>
        <v>417.46540385432201</v>
      </c>
      <c r="BW45" s="526">
        <f t="shared" si="20"/>
        <v>417.46540385432201</v>
      </c>
      <c r="BX45" s="526">
        <f t="shared" si="20"/>
        <v>417.46540385432201</v>
      </c>
      <c r="BY45" s="526">
        <f t="shared" si="20"/>
        <v>417.46540385432201</v>
      </c>
      <c r="BZ45" s="526">
        <f t="shared" si="20"/>
        <v>417.46540385432201</v>
      </c>
      <c r="CA45" s="526">
        <f t="shared" si="20"/>
        <v>417.46540385432201</v>
      </c>
      <c r="CB45" s="526">
        <f t="shared" si="19"/>
        <v>417.46540385432201</v>
      </c>
      <c r="CC45" s="526">
        <f t="shared" si="19"/>
        <v>417.46540385432201</v>
      </c>
      <c r="CD45" s="526">
        <f t="shared" si="19"/>
        <v>417.46540385432201</v>
      </c>
      <c r="CE45" s="526">
        <f t="shared" si="19"/>
        <v>417.46540385432201</v>
      </c>
      <c r="CF45" s="526">
        <f t="shared" si="19"/>
        <v>417.46540385432201</v>
      </c>
    </row>
    <row r="46" spans="2:84">
      <c r="B46" t="s">
        <v>742</v>
      </c>
      <c r="C46" t="s">
        <v>1355</v>
      </c>
      <c r="D46" t="s">
        <v>708</v>
      </c>
      <c r="E46" t="s">
        <v>1356</v>
      </c>
      <c r="F46" t="str">
        <f t="shared" si="16"/>
        <v>e-methanol (PS)Total emissions - WTT - GWP100Global</v>
      </c>
      <c r="G46" s="527">
        <v>-1.3061915343517787</v>
      </c>
      <c r="H46" s="527">
        <v>-1.3062540297558616</v>
      </c>
      <c r="I46" s="527">
        <v>-1.3063273009487542</v>
      </c>
      <c r="J46" s="527">
        <v>-1.3064362910451159</v>
      </c>
      <c r="K46" s="527">
        <v>-1.3065634505181287</v>
      </c>
      <c r="L46" s="527">
        <v>-1.3067087793677934</v>
      </c>
      <c r="M46" s="527">
        <v>-1.3068722775941086</v>
      </c>
      <c r="N46" s="527">
        <v>-1.3070539451970757</v>
      </c>
      <c r="O46" s="527">
        <v>-1.3074048797297786</v>
      </c>
      <c r="P46" s="527">
        <v>-1.3077733464572818</v>
      </c>
      <c r="Q46" s="527">
        <v>-1.3081593453795866</v>
      </c>
      <c r="R46" s="527">
        <v>-1.3085628764966935</v>
      </c>
      <c r="S46" s="527">
        <v>-1.3089839398086014</v>
      </c>
      <c r="T46" s="527">
        <v>-1.3094231790878499</v>
      </c>
      <c r="U46" s="527">
        <v>-1.3098745726511383</v>
      </c>
      <c r="V46" s="527">
        <v>-1.310338120498465</v>
      </c>
      <c r="W46" s="527">
        <v>-1.3108138226298325</v>
      </c>
      <c r="X46" s="527">
        <v>-1.3113016790452399</v>
      </c>
      <c r="Y46" s="527">
        <v>-1.3119326347399747</v>
      </c>
      <c r="Z46" s="527">
        <v>-1.3125566783496174</v>
      </c>
      <c r="AA46" s="527">
        <v>-1.3131738098741672</v>
      </c>
      <c r="AB46" s="527">
        <v>-1.3137840293136247</v>
      </c>
      <c r="AC46" s="527">
        <v>-1.3143873366679892</v>
      </c>
      <c r="AD46" s="527">
        <v>-1.3148912289133399</v>
      </c>
      <c r="AE46" s="527">
        <v>-1.3153862471023166</v>
      </c>
      <c r="AF46" s="527">
        <v>-1.3158723912349193</v>
      </c>
      <c r="AG46" s="527">
        <v>-1.3163496613111481</v>
      </c>
      <c r="AH46" s="527">
        <v>-1.3168180573310027</v>
      </c>
      <c r="AI46" s="528">
        <f t="shared" si="20"/>
        <v>-1.3168180573310027</v>
      </c>
      <c r="AJ46" s="528">
        <f t="shared" si="20"/>
        <v>-1.3168180573310027</v>
      </c>
      <c r="AK46" s="528">
        <f t="shared" si="20"/>
        <v>-1.3168180573310027</v>
      </c>
      <c r="AL46" s="528">
        <f t="shared" si="20"/>
        <v>-1.3168180573310027</v>
      </c>
      <c r="AM46" s="528">
        <f t="shared" si="20"/>
        <v>-1.3168180573310027</v>
      </c>
      <c r="AN46" s="528">
        <f t="shared" si="20"/>
        <v>-1.3168180573310027</v>
      </c>
      <c r="AO46" s="528">
        <f t="shared" si="20"/>
        <v>-1.3168180573310027</v>
      </c>
      <c r="AP46" s="528">
        <f t="shared" si="20"/>
        <v>-1.3168180573310027</v>
      </c>
      <c r="AQ46" s="528">
        <f t="shared" si="20"/>
        <v>-1.3168180573310027</v>
      </c>
      <c r="AR46" s="528">
        <f t="shared" si="20"/>
        <v>-1.3168180573310027</v>
      </c>
      <c r="AS46" s="528">
        <f t="shared" si="20"/>
        <v>-1.3168180573310027</v>
      </c>
      <c r="AT46" s="528">
        <f t="shared" si="20"/>
        <v>-1.3168180573310027</v>
      </c>
      <c r="AU46" s="528">
        <f t="shared" si="20"/>
        <v>-1.3168180573310027</v>
      </c>
      <c r="AV46" s="528">
        <f t="shared" si="20"/>
        <v>-1.3168180573310027</v>
      </c>
      <c r="AW46" s="528">
        <f t="shared" si="20"/>
        <v>-1.3168180573310027</v>
      </c>
      <c r="AX46" s="528">
        <f t="shared" si="20"/>
        <v>-1.3168180573310027</v>
      </c>
      <c r="AY46" s="528">
        <f t="shared" si="20"/>
        <v>-1.3168180573310027</v>
      </c>
      <c r="AZ46" s="528">
        <f t="shared" si="20"/>
        <v>-1.3168180573310027</v>
      </c>
      <c r="BA46" s="528">
        <f t="shared" si="20"/>
        <v>-1.3168180573310027</v>
      </c>
      <c r="BB46" s="528">
        <f t="shared" si="20"/>
        <v>-1.3168180573310027</v>
      </c>
      <c r="BC46" s="528">
        <f t="shared" si="20"/>
        <v>-1.3168180573310027</v>
      </c>
      <c r="BD46" s="528">
        <f t="shared" si="20"/>
        <v>-1.3168180573310027</v>
      </c>
      <c r="BE46" s="528">
        <f t="shared" si="20"/>
        <v>-1.3168180573310027</v>
      </c>
      <c r="BF46" s="528">
        <f t="shared" si="20"/>
        <v>-1.3168180573310027</v>
      </c>
      <c r="BG46" s="528">
        <f t="shared" si="20"/>
        <v>-1.3168180573310027</v>
      </c>
      <c r="BH46" s="528">
        <f t="shared" si="20"/>
        <v>-1.3168180573310027</v>
      </c>
      <c r="BI46" s="528">
        <f t="shared" si="20"/>
        <v>-1.3168180573310027</v>
      </c>
      <c r="BJ46" s="528">
        <f t="shared" si="20"/>
        <v>-1.3168180573310027</v>
      </c>
      <c r="BK46" s="528">
        <f t="shared" si="20"/>
        <v>-1.3168180573310027</v>
      </c>
      <c r="BL46" s="528">
        <f t="shared" si="20"/>
        <v>-1.3168180573310027</v>
      </c>
      <c r="BM46" s="528">
        <f t="shared" ref="BM46:CA46" si="21">BL46</f>
        <v>-1.3168180573310027</v>
      </c>
      <c r="BN46" s="528">
        <f t="shared" si="21"/>
        <v>-1.3168180573310027</v>
      </c>
      <c r="BO46" s="528">
        <f t="shared" si="21"/>
        <v>-1.3168180573310027</v>
      </c>
      <c r="BP46" s="528">
        <f t="shared" si="21"/>
        <v>-1.3168180573310027</v>
      </c>
      <c r="BQ46" s="528">
        <f t="shared" si="21"/>
        <v>-1.3168180573310027</v>
      </c>
      <c r="BR46" s="528">
        <f t="shared" si="21"/>
        <v>-1.3168180573310027</v>
      </c>
      <c r="BS46" s="528">
        <f t="shared" si="21"/>
        <v>-1.3168180573310027</v>
      </c>
      <c r="BT46" s="528">
        <f t="shared" si="21"/>
        <v>-1.3168180573310027</v>
      </c>
      <c r="BU46" s="528">
        <f t="shared" si="21"/>
        <v>-1.3168180573310027</v>
      </c>
      <c r="BV46" s="528">
        <f t="shared" si="21"/>
        <v>-1.3168180573310027</v>
      </c>
      <c r="BW46" s="528">
        <f t="shared" si="21"/>
        <v>-1.3168180573310027</v>
      </c>
      <c r="BX46" s="528">
        <f t="shared" si="21"/>
        <v>-1.3168180573310027</v>
      </c>
      <c r="BY46" s="528">
        <f t="shared" si="21"/>
        <v>-1.3168180573310027</v>
      </c>
      <c r="BZ46" s="528">
        <f t="shared" si="21"/>
        <v>-1.3168180573310027</v>
      </c>
      <c r="CA46" s="528">
        <f t="shared" si="21"/>
        <v>-1.3168180573310027</v>
      </c>
      <c r="CB46" s="528">
        <f t="shared" si="19"/>
        <v>-1.3168180573310027</v>
      </c>
      <c r="CC46" s="528">
        <f t="shared" si="19"/>
        <v>-1.3168180573310027</v>
      </c>
      <c r="CD46" s="528">
        <f t="shared" si="19"/>
        <v>-1.3168180573310027</v>
      </c>
      <c r="CE46" s="528">
        <f t="shared" si="19"/>
        <v>-1.3168180573310027</v>
      </c>
      <c r="CF46" s="528">
        <f t="shared" si="19"/>
        <v>-1.3168180573310027</v>
      </c>
    </row>
    <row r="47" spans="2:84">
      <c r="B47" t="s">
        <v>742</v>
      </c>
      <c r="C47" t="s">
        <v>1357</v>
      </c>
      <c r="D47" t="s">
        <v>708</v>
      </c>
      <c r="E47" t="s">
        <v>1356</v>
      </c>
      <c r="F47" t="str">
        <f t="shared" si="16"/>
        <v>e-methanol (PS)Total emissions - TTW - GWP100Global</v>
      </c>
      <c r="G47" s="527">
        <v>1.38</v>
      </c>
      <c r="H47" s="527">
        <v>1.38</v>
      </c>
      <c r="I47" s="527">
        <v>1.38</v>
      </c>
      <c r="J47" s="527">
        <v>1.38</v>
      </c>
      <c r="K47" s="527">
        <v>1.38</v>
      </c>
      <c r="L47" s="527">
        <v>1.38</v>
      </c>
      <c r="M47" s="527">
        <v>1.38</v>
      </c>
      <c r="N47" s="527">
        <v>1.38</v>
      </c>
      <c r="O47" s="527">
        <v>1.38</v>
      </c>
      <c r="P47" s="527">
        <v>1.38</v>
      </c>
      <c r="Q47" s="527">
        <v>1.38</v>
      </c>
      <c r="R47" s="527">
        <v>1.38</v>
      </c>
      <c r="S47" s="527">
        <v>1.38</v>
      </c>
      <c r="T47" s="527">
        <v>1.38</v>
      </c>
      <c r="U47" s="527">
        <v>1.38</v>
      </c>
      <c r="V47" s="527">
        <v>1.38</v>
      </c>
      <c r="W47" s="527">
        <v>1.38</v>
      </c>
      <c r="X47" s="527">
        <v>1.38</v>
      </c>
      <c r="Y47" s="527">
        <v>1.38</v>
      </c>
      <c r="Z47" s="527">
        <v>1.38</v>
      </c>
      <c r="AA47" s="527">
        <v>1.38</v>
      </c>
      <c r="AB47" s="527">
        <v>1.38</v>
      </c>
      <c r="AC47" s="527">
        <v>1.38</v>
      </c>
      <c r="AD47" s="527">
        <v>1.38</v>
      </c>
      <c r="AE47" s="527">
        <v>1.38</v>
      </c>
      <c r="AF47" s="527">
        <v>1.38</v>
      </c>
      <c r="AG47" s="527">
        <v>1.38</v>
      </c>
      <c r="AH47" s="527">
        <v>1.38</v>
      </c>
      <c r="AI47" s="526">
        <f t="shared" ref="AI47:CA48" si="22">AH47</f>
        <v>1.38</v>
      </c>
      <c r="AJ47" s="526">
        <f t="shared" si="22"/>
        <v>1.38</v>
      </c>
      <c r="AK47" s="526">
        <f t="shared" si="22"/>
        <v>1.38</v>
      </c>
      <c r="AL47" s="526">
        <f t="shared" si="22"/>
        <v>1.38</v>
      </c>
      <c r="AM47" s="526">
        <f t="shared" si="22"/>
        <v>1.38</v>
      </c>
      <c r="AN47" s="526">
        <f t="shared" si="22"/>
        <v>1.38</v>
      </c>
      <c r="AO47" s="526">
        <f t="shared" si="22"/>
        <v>1.38</v>
      </c>
      <c r="AP47" s="526">
        <f t="shared" si="22"/>
        <v>1.38</v>
      </c>
      <c r="AQ47" s="526">
        <f t="shared" si="22"/>
        <v>1.38</v>
      </c>
      <c r="AR47" s="526">
        <f t="shared" si="22"/>
        <v>1.38</v>
      </c>
      <c r="AS47" s="526">
        <f t="shared" si="22"/>
        <v>1.38</v>
      </c>
      <c r="AT47" s="526">
        <f t="shared" si="22"/>
        <v>1.38</v>
      </c>
      <c r="AU47" s="526">
        <f t="shared" si="22"/>
        <v>1.38</v>
      </c>
      <c r="AV47" s="526">
        <f t="shared" si="22"/>
        <v>1.38</v>
      </c>
      <c r="AW47" s="526">
        <f t="shared" si="22"/>
        <v>1.38</v>
      </c>
      <c r="AX47" s="526">
        <f t="shared" si="22"/>
        <v>1.38</v>
      </c>
      <c r="AY47" s="526">
        <f t="shared" si="22"/>
        <v>1.38</v>
      </c>
      <c r="AZ47" s="526">
        <f t="shared" si="22"/>
        <v>1.38</v>
      </c>
      <c r="BA47" s="526">
        <f t="shared" si="22"/>
        <v>1.38</v>
      </c>
      <c r="BB47" s="526">
        <f t="shared" si="22"/>
        <v>1.38</v>
      </c>
      <c r="BC47" s="526">
        <f t="shared" si="22"/>
        <v>1.38</v>
      </c>
      <c r="BD47" s="526">
        <f t="shared" si="22"/>
        <v>1.38</v>
      </c>
      <c r="BE47" s="526">
        <f t="shared" si="22"/>
        <v>1.38</v>
      </c>
      <c r="BF47" s="526">
        <f t="shared" si="22"/>
        <v>1.38</v>
      </c>
      <c r="BG47" s="526">
        <f t="shared" si="22"/>
        <v>1.38</v>
      </c>
      <c r="BH47" s="526">
        <f t="shared" si="22"/>
        <v>1.38</v>
      </c>
      <c r="BI47" s="526">
        <f t="shared" si="22"/>
        <v>1.38</v>
      </c>
      <c r="BJ47" s="526">
        <f t="shared" si="22"/>
        <v>1.38</v>
      </c>
      <c r="BK47" s="526">
        <f t="shared" si="22"/>
        <v>1.38</v>
      </c>
      <c r="BL47" s="526">
        <f t="shared" si="22"/>
        <v>1.38</v>
      </c>
      <c r="BM47" s="526">
        <f t="shared" si="22"/>
        <v>1.38</v>
      </c>
      <c r="BN47" s="526">
        <f t="shared" si="22"/>
        <v>1.38</v>
      </c>
      <c r="BO47" s="526">
        <f t="shared" si="22"/>
        <v>1.38</v>
      </c>
      <c r="BP47" s="526">
        <f t="shared" si="22"/>
        <v>1.38</v>
      </c>
      <c r="BQ47" s="526">
        <f t="shared" si="22"/>
        <v>1.38</v>
      </c>
      <c r="BR47" s="526">
        <f t="shared" si="22"/>
        <v>1.38</v>
      </c>
      <c r="BS47" s="526">
        <f t="shared" si="22"/>
        <v>1.38</v>
      </c>
      <c r="BT47" s="526">
        <f t="shared" si="22"/>
        <v>1.38</v>
      </c>
      <c r="BU47" s="526">
        <f t="shared" si="22"/>
        <v>1.38</v>
      </c>
      <c r="BV47" s="526">
        <f t="shared" si="22"/>
        <v>1.38</v>
      </c>
      <c r="BW47" s="526">
        <f t="shared" si="22"/>
        <v>1.38</v>
      </c>
      <c r="BX47" s="526">
        <f t="shared" si="22"/>
        <v>1.38</v>
      </c>
      <c r="BY47" s="526">
        <f t="shared" si="22"/>
        <v>1.38</v>
      </c>
      <c r="BZ47" s="526">
        <f t="shared" si="22"/>
        <v>1.38</v>
      </c>
      <c r="CA47" s="526">
        <f t="shared" si="22"/>
        <v>1.38</v>
      </c>
      <c r="CB47" s="526">
        <f t="shared" si="19"/>
        <v>1.38</v>
      </c>
      <c r="CC47" s="526">
        <f t="shared" si="19"/>
        <v>1.38</v>
      </c>
      <c r="CD47" s="526">
        <f t="shared" si="19"/>
        <v>1.38</v>
      </c>
      <c r="CE47" s="526">
        <f t="shared" si="19"/>
        <v>1.38</v>
      </c>
      <c r="CF47" s="526">
        <f t="shared" si="19"/>
        <v>1.38</v>
      </c>
    </row>
    <row r="48" spans="2:84">
      <c r="B48" t="s">
        <v>742</v>
      </c>
      <c r="C48" t="s">
        <v>1358</v>
      </c>
      <c r="D48" t="s">
        <v>708</v>
      </c>
      <c r="E48" t="s">
        <v>1356</v>
      </c>
      <c r="F48" t="str">
        <f t="shared" si="16"/>
        <v>e-methanol (PS)Total emissions - WTW - GWP100Global</v>
      </c>
      <c r="G48" s="527">
        <v>7.3808465648221189E-2</v>
      </c>
      <c r="H48" s="527">
        <v>7.3745970244138315E-2</v>
      </c>
      <c r="I48" s="527">
        <v>7.3672699051245738E-2</v>
      </c>
      <c r="J48" s="527">
        <v>7.3563708954883955E-2</v>
      </c>
      <c r="K48" s="527">
        <v>7.3436549481871172E-2</v>
      </c>
      <c r="L48" s="527">
        <v>7.32912206322065E-2</v>
      </c>
      <c r="M48" s="527">
        <v>7.3127722405891271E-2</v>
      </c>
      <c r="N48" s="527">
        <v>7.2946054802924154E-2</v>
      </c>
      <c r="O48" s="527">
        <v>7.2595120270221303E-2</v>
      </c>
      <c r="P48" s="527">
        <v>7.2226653542718067E-2</v>
      </c>
      <c r="Q48" s="527">
        <v>7.1840654620413336E-2</v>
      </c>
      <c r="R48" s="527">
        <v>7.1437123503306443E-2</v>
      </c>
      <c r="S48" s="527">
        <v>7.10160601913985E-2</v>
      </c>
      <c r="T48" s="527">
        <v>7.0576820912150007E-2</v>
      </c>
      <c r="U48" s="527">
        <v>7.0125427348861624E-2</v>
      </c>
      <c r="V48" s="527">
        <v>6.9661879501534907E-2</v>
      </c>
      <c r="W48" s="527">
        <v>6.9186177370167412E-2</v>
      </c>
      <c r="X48" s="527">
        <v>6.8698320954760028E-2</v>
      </c>
      <c r="Y48" s="527">
        <v>6.8067365260025214E-2</v>
      </c>
      <c r="Z48" s="527">
        <v>6.7443321650382471E-2</v>
      </c>
      <c r="AA48" s="527">
        <v>6.6826190125832685E-2</v>
      </c>
      <c r="AB48" s="527">
        <v>6.6215970686375192E-2</v>
      </c>
      <c r="AC48" s="527">
        <v>6.5612663332010657E-2</v>
      </c>
      <c r="AD48" s="527">
        <v>6.5108771086660022E-2</v>
      </c>
      <c r="AE48" s="527">
        <v>6.4613752897683341E-2</v>
      </c>
      <c r="AF48" s="527">
        <v>6.4127608765080613E-2</v>
      </c>
      <c r="AG48" s="527">
        <v>6.3650338688851837E-2</v>
      </c>
      <c r="AH48" s="527">
        <v>6.3181942668997237E-2</v>
      </c>
      <c r="AI48" s="528">
        <f t="shared" si="22"/>
        <v>6.3181942668997237E-2</v>
      </c>
      <c r="AJ48" s="528">
        <f t="shared" si="22"/>
        <v>6.3181942668997237E-2</v>
      </c>
      <c r="AK48" s="528">
        <f t="shared" si="22"/>
        <v>6.3181942668997237E-2</v>
      </c>
      <c r="AL48" s="528">
        <f t="shared" si="22"/>
        <v>6.3181942668997237E-2</v>
      </c>
      <c r="AM48" s="528">
        <f t="shared" si="22"/>
        <v>6.3181942668997237E-2</v>
      </c>
      <c r="AN48" s="528">
        <f t="shared" si="22"/>
        <v>6.3181942668997237E-2</v>
      </c>
      <c r="AO48" s="528">
        <f t="shared" si="22"/>
        <v>6.3181942668997237E-2</v>
      </c>
      <c r="AP48" s="528">
        <f t="shared" si="22"/>
        <v>6.3181942668997237E-2</v>
      </c>
      <c r="AQ48" s="528">
        <f t="shared" si="22"/>
        <v>6.3181942668997237E-2</v>
      </c>
      <c r="AR48" s="528">
        <f t="shared" si="22"/>
        <v>6.3181942668997237E-2</v>
      </c>
      <c r="AS48" s="528">
        <f t="shared" si="22"/>
        <v>6.3181942668997237E-2</v>
      </c>
      <c r="AT48" s="528">
        <f t="shared" si="22"/>
        <v>6.3181942668997237E-2</v>
      </c>
      <c r="AU48" s="528">
        <f t="shared" si="22"/>
        <v>6.3181942668997237E-2</v>
      </c>
      <c r="AV48" s="528">
        <f t="shared" si="22"/>
        <v>6.3181942668997237E-2</v>
      </c>
      <c r="AW48" s="528">
        <f t="shared" si="22"/>
        <v>6.3181942668997237E-2</v>
      </c>
      <c r="AX48" s="528">
        <f t="shared" si="22"/>
        <v>6.3181942668997237E-2</v>
      </c>
      <c r="AY48" s="528">
        <f t="shared" si="22"/>
        <v>6.3181942668997237E-2</v>
      </c>
      <c r="AZ48" s="528">
        <f t="shared" si="22"/>
        <v>6.3181942668997237E-2</v>
      </c>
      <c r="BA48" s="528">
        <f t="shared" si="22"/>
        <v>6.3181942668997237E-2</v>
      </c>
      <c r="BB48" s="528">
        <f t="shared" si="22"/>
        <v>6.3181942668997237E-2</v>
      </c>
      <c r="BC48" s="528">
        <f t="shared" si="22"/>
        <v>6.3181942668997237E-2</v>
      </c>
      <c r="BD48" s="528">
        <f t="shared" si="22"/>
        <v>6.3181942668997237E-2</v>
      </c>
      <c r="BE48" s="528">
        <f t="shared" si="22"/>
        <v>6.3181942668997237E-2</v>
      </c>
      <c r="BF48" s="528">
        <f t="shared" si="22"/>
        <v>6.3181942668997237E-2</v>
      </c>
      <c r="BG48" s="528">
        <f t="shared" si="22"/>
        <v>6.3181942668997237E-2</v>
      </c>
      <c r="BH48" s="528">
        <f t="shared" si="22"/>
        <v>6.3181942668997237E-2</v>
      </c>
      <c r="BI48" s="528">
        <f t="shared" si="22"/>
        <v>6.3181942668997237E-2</v>
      </c>
      <c r="BJ48" s="528">
        <f t="shared" si="22"/>
        <v>6.3181942668997237E-2</v>
      </c>
      <c r="BK48" s="528">
        <f t="shared" si="22"/>
        <v>6.3181942668997237E-2</v>
      </c>
      <c r="BL48" s="528">
        <f t="shared" si="22"/>
        <v>6.3181942668997237E-2</v>
      </c>
      <c r="BM48" s="528">
        <f t="shared" si="22"/>
        <v>6.3181942668997237E-2</v>
      </c>
      <c r="BN48" s="528">
        <f t="shared" si="22"/>
        <v>6.3181942668997237E-2</v>
      </c>
      <c r="BO48" s="528">
        <f t="shared" si="22"/>
        <v>6.3181942668997237E-2</v>
      </c>
      <c r="BP48" s="528">
        <f t="shared" si="22"/>
        <v>6.3181942668997237E-2</v>
      </c>
      <c r="BQ48" s="528">
        <f t="shared" si="22"/>
        <v>6.3181942668997237E-2</v>
      </c>
      <c r="BR48" s="528">
        <f t="shared" si="22"/>
        <v>6.3181942668997237E-2</v>
      </c>
      <c r="BS48" s="528">
        <f t="shared" si="22"/>
        <v>6.3181942668997237E-2</v>
      </c>
      <c r="BT48" s="528">
        <f t="shared" si="22"/>
        <v>6.3181942668997237E-2</v>
      </c>
      <c r="BU48" s="528">
        <f t="shared" si="22"/>
        <v>6.3181942668997237E-2</v>
      </c>
      <c r="BV48" s="528">
        <f t="shared" si="22"/>
        <v>6.3181942668997237E-2</v>
      </c>
      <c r="BW48" s="528">
        <f t="shared" si="22"/>
        <v>6.3181942668997237E-2</v>
      </c>
      <c r="BX48" s="528">
        <f t="shared" si="22"/>
        <v>6.3181942668997237E-2</v>
      </c>
      <c r="BY48" s="528">
        <f t="shared" si="22"/>
        <v>6.3181942668997237E-2</v>
      </c>
      <c r="BZ48" s="528">
        <f t="shared" si="22"/>
        <v>6.3181942668997237E-2</v>
      </c>
      <c r="CA48" s="528">
        <f t="shared" si="22"/>
        <v>6.3181942668997237E-2</v>
      </c>
      <c r="CB48" s="528">
        <f t="shared" si="19"/>
        <v>6.3181942668997237E-2</v>
      </c>
      <c r="CC48" s="528">
        <f t="shared" si="19"/>
        <v>6.3181942668997237E-2</v>
      </c>
      <c r="CD48" s="528">
        <f t="shared" si="19"/>
        <v>6.3181942668997237E-2</v>
      </c>
      <c r="CE48" s="528">
        <f t="shared" si="19"/>
        <v>6.3181942668997237E-2</v>
      </c>
      <c r="CF48" s="528">
        <f t="shared" si="19"/>
        <v>6.3181942668997237E-2</v>
      </c>
    </row>
    <row r="49" spans="2:84">
      <c r="B49" t="s">
        <v>756</v>
      </c>
      <c r="C49" t="s">
        <v>1352</v>
      </c>
      <c r="D49" t="s">
        <v>708</v>
      </c>
      <c r="E49" t="s">
        <v>1353</v>
      </c>
      <c r="F49" t="str">
        <f t="shared" si="16"/>
        <v>e-methane liquefied (DAC)CapExGlobal</v>
      </c>
      <c r="G49" s="525">
        <v>10180.05907534272</v>
      </c>
      <c r="H49" s="525">
        <v>5511.2263149928222</v>
      </c>
      <c r="I49" s="525">
        <v>5137.5</v>
      </c>
      <c r="J49" s="525">
        <v>4764.023407737528</v>
      </c>
      <c r="K49" s="525">
        <v>4390.5468154750561</v>
      </c>
      <c r="L49" s="525">
        <v>4017.070223212585</v>
      </c>
      <c r="M49" s="525">
        <v>3643.5936309501121</v>
      </c>
      <c r="N49" s="525">
        <v>3270.1170386876406</v>
      </c>
      <c r="O49" s="525">
        <v>3247.5093552816907</v>
      </c>
      <c r="P49" s="525">
        <v>3224.9016718757375</v>
      </c>
      <c r="Q49" s="525">
        <v>3202.293988469788</v>
      </c>
      <c r="R49" s="525">
        <v>3179.6863050638353</v>
      </c>
      <c r="S49" s="525">
        <v>3157.0786216578822</v>
      </c>
      <c r="T49" s="525">
        <v>3134.7091685892556</v>
      </c>
      <c r="U49" s="525">
        <v>3112.3397155206258</v>
      </c>
      <c r="V49" s="525">
        <v>3089.9702624519964</v>
      </c>
      <c r="W49" s="525">
        <v>3067.6008093833666</v>
      </c>
      <c r="X49" s="525">
        <v>3045.23135631474</v>
      </c>
      <c r="Y49" s="525">
        <v>3023.0945872676348</v>
      </c>
      <c r="Z49" s="525">
        <v>3000.9578182205337</v>
      </c>
      <c r="AA49" s="525">
        <v>2978.821049173428</v>
      </c>
      <c r="AB49" s="525">
        <v>2956.6842801263228</v>
      </c>
      <c r="AC49" s="525">
        <v>2934.5475110792177</v>
      </c>
      <c r="AD49" s="525">
        <v>2912.6380088633741</v>
      </c>
      <c r="AE49" s="525">
        <v>2890.7285066475306</v>
      </c>
      <c r="AF49" s="525">
        <v>2868.8190044316871</v>
      </c>
      <c r="AG49" s="525">
        <v>2846.909502215844</v>
      </c>
      <c r="AH49" s="525">
        <v>2825</v>
      </c>
      <c r="AI49" s="526">
        <f>AH49</f>
        <v>2825</v>
      </c>
      <c r="AJ49" s="526">
        <f t="shared" ref="AJ49:CF57" si="23">AI49</f>
        <v>2825</v>
      </c>
      <c r="AK49" s="526">
        <f t="shared" si="23"/>
        <v>2825</v>
      </c>
      <c r="AL49" s="526">
        <f t="shared" si="23"/>
        <v>2825</v>
      </c>
      <c r="AM49" s="526">
        <f t="shared" si="23"/>
        <v>2825</v>
      </c>
      <c r="AN49" s="526">
        <f t="shared" si="23"/>
        <v>2825</v>
      </c>
      <c r="AO49" s="526">
        <f t="shared" si="23"/>
        <v>2825</v>
      </c>
      <c r="AP49" s="526">
        <f t="shared" si="23"/>
        <v>2825</v>
      </c>
      <c r="AQ49" s="526">
        <f t="shared" si="23"/>
        <v>2825</v>
      </c>
      <c r="AR49" s="526">
        <f t="shared" si="23"/>
        <v>2825</v>
      </c>
      <c r="AS49" s="526">
        <f t="shared" si="23"/>
        <v>2825</v>
      </c>
      <c r="AT49" s="526">
        <f t="shared" si="23"/>
        <v>2825</v>
      </c>
      <c r="AU49" s="526">
        <f t="shared" si="23"/>
        <v>2825</v>
      </c>
      <c r="AV49" s="526">
        <f t="shared" si="23"/>
        <v>2825</v>
      </c>
      <c r="AW49" s="526">
        <f t="shared" si="23"/>
        <v>2825</v>
      </c>
      <c r="AX49" s="526">
        <f t="shared" si="23"/>
        <v>2825</v>
      </c>
      <c r="AY49" s="526">
        <f t="shared" si="23"/>
        <v>2825</v>
      </c>
      <c r="AZ49" s="526">
        <f t="shared" si="23"/>
        <v>2825</v>
      </c>
      <c r="BA49" s="526">
        <f t="shared" si="23"/>
        <v>2825</v>
      </c>
      <c r="BB49" s="526">
        <f t="shared" si="23"/>
        <v>2825</v>
      </c>
      <c r="BC49" s="526">
        <f t="shared" si="23"/>
        <v>2825</v>
      </c>
      <c r="BD49" s="526">
        <f t="shared" si="23"/>
        <v>2825</v>
      </c>
      <c r="BE49" s="526">
        <f t="shared" si="23"/>
        <v>2825</v>
      </c>
      <c r="BF49" s="526">
        <f t="shared" si="23"/>
        <v>2825</v>
      </c>
      <c r="BG49" s="526">
        <f t="shared" si="23"/>
        <v>2825</v>
      </c>
      <c r="BH49" s="526">
        <f t="shared" si="23"/>
        <v>2825</v>
      </c>
      <c r="BI49" s="526">
        <f t="shared" si="23"/>
        <v>2825</v>
      </c>
      <c r="BJ49" s="526">
        <f t="shared" si="23"/>
        <v>2825</v>
      </c>
      <c r="BK49" s="526">
        <f t="shared" si="23"/>
        <v>2825</v>
      </c>
      <c r="BL49" s="526">
        <f t="shared" si="23"/>
        <v>2825</v>
      </c>
      <c r="BM49" s="526">
        <f t="shared" si="23"/>
        <v>2825</v>
      </c>
      <c r="BN49" s="526">
        <f t="shared" si="23"/>
        <v>2825</v>
      </c>
      <c r="BO49" s="526">
        <f t="shared" si="23"/>
        <v>2825</v>
      </c>
      <c r="BP49" s="526">
        <f t="shared" si="23"/>
        <v>2825</v>
      </c>
      <c r="BQ49" s="526">
        <f t="shared" si="23"/>
        <v>2825</v>
      </c>
      <c r="BR49" s="526">
        <f t="shared" si="23"/>
        <v>2825</v>
      </c>
      <c r="BS49" s="526">
        <f t="shared" si="23"/>
        <v>2825</v>
      </c>
      <c r="BT49" s="526">
        <f t="shared" si="23"/>
        <v>2825</v>
      </c>
      <c r="BU49" s="526">
        <f t="shared" si="23"/>
        <v>2825</v>
      </c>
      <c r="BV49" s="526">
        <f t="shared" si="23"/>
        <v>2825</v>
      </c>
      <c r="BW49" s="526">
        <f t="shared" si="23"/>
        <v>2825</v>
      </c>
      <c r="BX49" s="526">
        <f t="shared" si="23"/>
        <v>2825</v>
      </c>
      <c r="BY49" s="526">
        <f t="shared" si="23"/>
        <v>2825</v>
      </c>
      <c r="BZ49" s="526">
        <f t="shared" si="23"/>
        <v>2825</v>
      </c>
      <c r="CA49" s="526">
        <f t="shared" si="23"/>
        <v>2825</v>
      </c>
      <c r="CB49" s="526">
        <f t="shared" si="23"/>
        <v>2825</v>
      </c>
      <c r="CC49" s="526">
        <f t="shared" si="23"/>
        <v>2825</v>
      </c>
      <c r="CD49" s="526">
        <f t="shared" si="23"/>
        <v>2825</v>
      </c>
      <c r="CE49" s="526">
        <f t="shared" si="23"/>
        <v>2825</v>
      </c>
      <c r="CF49" s="526">
        <f t="shared" si="23"/>
        <v>2825</v>
      </c>
    </row>
    <row r="50" spans="2:84">
      <c r="B50" t="s">
        <v>756</v>
      </c>
      <c r="C50" t="s">
        <v>1354</v>
      </c>
      <c r="D50" t="s">
        <v>838</v>
      </c>
      <c r="E50" t="s">
        <v>1353</v>
      </c>
      <c r="F50" t="str">
        <f t="shared" si="16"/>
        <v>e-methane liquefied (DAC)OpExAfrica</v>
      </c>
      <c r="G50" s="525">
        <v>3311.5388499528153</v>
      </c>
      <c r="H50" s="525">
        <v>3010.8796464360503</v>
      </c>
      <c r="I50" s="525">
        <v>2710.6466647611833</v>
      </c>
      <c r="J50" s="525">
        <v>2604.8976742651425</v>
      </c>
      <c r="K50" s="525">
        <v>2497.3183837889674</v>
      </c>
      <c r="L50" s="525">
        <v>2387.9601867535903</v>
      </c>
      <c r="M50" s="525">
        <v>2276.8744765799838</v>
      </c>
      <c r="N50" s="525">
        <v>2164.1126466890646</v>
      </c>
      <c r="O50" s="525">
        <v>2110.3628558026676</v>
      </c>
      <c r="P50" s="525">
        <v>2053.665913426189</v>
      </c>
      <c r="Q50" s="525">
        <v>1994.0495013778509</v>
      </c>
      <c r="R50" s="525">
        <v>1931.5413014759124</v>
      </c>
      <c r="S50" s="525">
        <v>1866.1689955386523</v>
      </c>
      <c r="T50" s="525">
        <v>1820.6526055360016</v>
      </c>
      <c r="U50" s="525">
        <v>1773.1427989167742</v>
      </c>
      <c r="V50" s="525">
        <v>1723.6486083634816</v>
      </c>
      <c r="W50" s="525">
        <v>1672.1790665585361</v>
      </c>
      <c r="X50" s="525">
        <v>1618.7432061844327</v>
      </c>
      <c r="Y50" s="525">
        <v>1563.9869483251573</v>
      </c>
      <c r="Z50" s="525">
        <v>1508.5025230126257</v>
      </c>
      <c r="AA50" s="525">
        <v>1452.2846481776303</v>
      </c>
      <c r="AB50" s="525">
        <v>1395.3280417509193</v>
      </c>
      <c r="AC50" s="525">
        <v>1337.627421663266</v>
      </c>
      <c r="AD50" s="525">
        <v>1293.0618285351898</v>
      </c>
      <c r="AE50" s="525">
        <v>1248.1867180865115</v>
      </c>
      <c r="AF50" s="525">
        <v>1202.9987618410787</v>
      </c>
      <c r="AG50" s="525">
        <v>1157.4946313227538</v>
      </c>
      <c r="AH50" s="525">
        <v>1111.6709980554003</v>
      </c>
      <c r="AI50" s="526">
        <f t="shared" ref="AI50:CA55" si="24">AH50</f>
        <v>1111.6709980554003</v>
      </c>
      <c r="AJ50" s="526">
        <f t="shared" si="24"/>
        <v>1111.6709980554003</v>
      </c>
      <c r="AK50" s="526">
        <f t="shared" si="24"/>
        <v>1111.6709980554003</v>
      </c>
      <c r="AL50" s="526">
        <f t="shared" si="24"/>
        <v>1111.6709980554003</v>
      </c>
      <c r="AM50" s="526">
        <f t="shared" si="24"/>
        <v>1111.6709980554003</v>
      </c>
      <c r="AN50" s="526">
        <f t="shared" si="24"/>
        <v>1111.6709980554003</v>
      </c>
      <c r="AO50" s="526">
        <f t="shared" si="24"/>
        <v>1111.6709980554003</v>
      </c>
      <c r="AP50" s="526">
        <f t="shared" si="24"/>
        <v>1111.6709980554003</v>
      </c>
      <c r="AQ50" s="526">
        <f t="shared" si="24"/>
        <v>1111.6709980554003</v>
      </c>
      <c r="AR50" s="526">
        <f t="shared" si="24"/>
        <v>1111.6709980554003</v>
      </c>
      <c r="AS50" s="526">
        <f t="shared" si="24"/>
        <v>1111.6709980554003</v>
      </c>
      <c r="AT50" s="526">
        <f t="shared" si="24"/>
        <v>1111.6709980554003</v>
      </c>
      <c r="AU50" s="526">
        <f t="shared" si="24"/>
        <v>1111.6709980554003</v>
      </c>
      <c r="AV50" s="526">
        <f t="shared" si="24"/>
        <v>1111.6709980554003</v>
      </c>
      <c r="AW50" s="526">
        <f t="shared" si="24"/>
        <v>1111.6709980554003</v>
      </c>
      <c r="AX50" s="526">
        <f t="shared" si="24"/>
        <v>1111.6709980554003</v>
      </c>
      <c r="AY50" s="526">
        <f t="shared" si="24"/>
        <v>1111.6709980554003</v>
      </c>
      <c r="AZ50" s="526">
        <f t="shared" si="24"/>
        <v>1111.6709980554003</v>
      </c>
      <c r="BA50" s="526">
        <f t="shared" si="24"/>
        <v>1111.6709980554003</v>
      </c>
      <c r="BB50" s="526">
        <f t="shared" si="24"/>
        <v>1111.6709980554003</v>
      </c>
      <c r="BC50" s="526">
        <f t="shared" si="24"/>
        <v>1111.6709980554003</v>
      </c>
      <c r="BD50" s="526">
        <f t="shared" si="24"/>
        <v>1111.6709980554003</v>
      </c>
      <c r="BE50" s="526">
        <f t="shared" si="24"/>
        <v>1111.6709980554003</v>
      </c>
      <c r="BF50" s="526">
        <f t="shared" si="24"/>
        <v>1111.6709980554003</v>
      </c>
      <c r="BG50" s="526">
        <f t="shared" si="24"/>
        <v>1111.6709980554003</v>
      </c>
      <c r="BH50" s="526">
        <f t="shared" si="24"/>
        <v>1111.6709980554003</v>
      </c>
      <c r="BI50" s="526">
        <f t="shared" si="24"/>
        <v>1111.6709980554003</v>
      </c>
      <c r="BJ50" s="526">
        <f t="shared" si="24"/>
        <v>1111.6709980554003</v>
      </c>
      <c r="BK50" s="526">
        <f t="shared" si="24"/>
        <v>1111.6709980554003</v>
      </c>
      <c r="BL50" s="526">
        <f t="shared" si="24"/>
        <v>1111.6709980554003</v>
      </c>
      <c r="BM50" s="526">
        <f t="shared" si="24"/>
        <v>1111.6709980554003</v>
      </c>
      <c r="BN50" s="526">
        <f t="shared" si="24"/>
        <v>1111.6709980554003</v>
      </c>
      <c r="BO50" s="526">
        <f t="shared" si="24"/>
        <v>1111.6709980554003</v>
      </c>
      <c r="BP50" s="526">
        <f t="shared" si="24"/>
        <v>1111.6709980554003</v>
      </c>
      <c r="BQ50" s="526">
        <f t="shared" si="24"/>
        <v>1111.6709980554003</v>
      </c>
      <c r="BR50" s="526">
        <f t="shared" si="24"/>
        <v>1111.6709980554003</v>
      </c>
      <c r="BS50" s="526">
        <f t="shared" si="24"/>
        <v>1111.6709980554003</v>
      </c>
      <c r="BT50" s="526">
        <f t="shared" si="24"/>
        <v>1111.6709980554003</v>
      </c>
      <c r="BU50" s="526">
        <f t="shared" si="24"/>
        <v>1111.6709980554003</v>
      </c>
      <c r="BV50" s="526">
        <f t="shared" si="24"/>
        <v>1111.6709980554003</v>
      </c>
      <c r="BW50" s="526">
        <f t="shared" si="24"/>
        <v>1111.6709980554003</v>
      </c>
      <c r="BX50" s="526">
        <f t="shared" si="24"/>
        <v>1111.6709980554003</v>
      </c>
      <c r="BY50" s="526">
        <f t="shared" si="24"/>
        <v>1111.6709980554003</v>
      </c>
      <c r="BZ50" s="526">
        <f t="shared" si="24"/>
        <v>1111.6709980554003</v>
      </c>
      <c r="CA50" s="526">
        <f t="shared" si="24"/>
        <v>1111.6709980554003</v>
      </c>
      <c r="CB50" s="526">
        <f t="shared" si="23"/>
        <v>1111.6709980554003</v>
      </c>
      <c r="CC50" s="526">
        <f t="shared" si="23"/>
        <v>1111.6709980554003</v>
      </c>
      <c r="CD50" s="526">
        <f t="shared" si="23"/>
        <v>1111.6709980554003</v>
      </c>
      <c r="CE50" s="526">
        <f t="shared" si="23"/>
        <v>1111.6709980554003</v>
      </c>
      <c r="CF50" s="526">
        <f t="shared" si="23"/>
        <v>1111.6709980554003</v>
      </c>
    </row>
    <row r="51" spans="2:84">
      <c r="B51" t="s">
        <v>756</v>
      </c>
      <c r="C51" t="s">
        <v>1354</v>
      </c>
      <c r="D51" t="s">
        <v>731</v>
      </c>
      <c r="E51" t="s">
        <v>1353</v>
      </c>
      <c r="F51" t="str">
        <f t="shared" si="16"/>
        <v>e-methane liquefied (DAC)OpExAmericas</v>
      </c>
      <c r="G51" s="525">
        <v>2530.6487105004931</v>
      </c>
      <c r="H51" s="525">
        <v>2451.5137209823179</v>
      </c>
      <c r="I51" s="525">
        <v>2371.1724446216617</v>
      </c>
      <c r="J51" s="525">
        <v>2289.1786820290063</v>
      </c>
      <c r="K51" s="525">
        <v>2205.2354750369404</v>
      </c>
      <c r="L51" s="525">
        <v>2119.3773553209912</v>
      </c>
      <c r="M51" s="525">
        <v>2031.638854556752</v>
      </c>
      <c r="N51" s="525">
        <v>1942.0545044196742</v>
      </c>
      <c r="O51" s="525">
        <v>1905.525631000362</v>
      </c>
      <c r="P51" s="525">
        <v>1865.8574136216889</v>
      </c>
      <c r="Q51" s="525">
        <v>1823.0658869968865</v>
      </c>
      <c r="R51" s="525">
        <v>1777.1670858391733</v>
      </c>
      <c r="S51" s="525">
        <v>1728.1770448618222</v>
      </c>
      <c r="T51" s="525">
        <v>1683.9568993138055</v>
      </c>
      <c r="U51" s="525">
        <v>1637.7673459540122</v>
      </c>
      <c r="V51" s="525">
        <v>1589.617395804886</v>
      </c>
      <c r="W51" s="525">
        <v>1539.5160598887774</v>
      </c>
      <c r="X51" s="525">
        <v>1487.4723492281</v>
      </c>
      <c r="Y51" s="525">
        <v>1444.228263776205</v>
      </c>
      <c r="Z51" s="525">
        <v>1399.9967674546729</v>
      </c>
      <c r="AA51" s="525">
        <v>1354.7757957548133</v>
      </c>
      <c r="AB51" s="525">
        <v>1308.5632841678712</v>
      </c>
      <c r="AC51" s="525">
        <v>1261.3571681851431</v>
      </c>
      <c r="AD51" s="525">
        <v>1220.6140828502951</v>
      </c>
      <c r="AE51" s="525">
        <v>1179.4854023112912</v>
      </c>
      <c r="AF51" s="525">
        <v>1137.9691269441751</v>
      </c>
      <c r="AG51" s="525">
        <v>1096.0632571249964</v>
      </c>
      <c r="AH51" s="525">
        <v>1053.7657932298052</v>
      </c>
      <c r="AI51" s="526">
        <f t="shared" si="24"/>
        <v>1053.7657932298052</v>
      </c>
      <c r="AJ51" s="526">
        <f t="shared" si="24"/>
        <v>1053.7657932298052</v>
      </c>
      <c r="AK51" s="526">
        <f t="shared" si="24"/>
        <v>1053.7657932298052</v>
      </c>
      <c r="AL51" s="526">
        <f t="shared" si="24"/>
        <v>1053.7657932298052</v>
      </c>
      <c r="AM51" s="526">
        <f t="shared" si="24"/>
        <v>1053.7657932298052</v>
      </c>
      <c r="AN51" s="526">
        <f t="shared" si="24"/>
        <v>1053.7657932298052</v>
      </c>
      <c r="AO51" s="526">
        <f t="shared" si="24"/>
        <v>1053.7657932298052</v>
      </c>
      <c r="AP51" s="526">
        <f t="shared" si="24"/>
        <v>1053.7657932298052</v>
      </c>
      <c r="AQ51" s="526">
        <f t="shared" si="24"/>
        <v>1053.7657932298052</v>
      </c>
      <c r="AR51" s="526">
        <f t="shared" si="24"/>
        <v>1053.7657932298052</v>
      </c>
      <c r="AS51" s="526">
        <f t="shared" si="24"/>
        <v>1053.7657932298052</v>
      </c>
      <c r="AT51" s="526">
        <f t="shared" si="24"/>
        <v>1053.7657932298052</v>
      </c>
      <c r="AU51" s="526">
        <f t="shared" si="24"/>
        <v>1053.7657932298052</v>
      </c>
      <c r="AV51" s="526">
        <f t="shared" si="24"/>
        <v>1053.7657932298052</v>
      </c>
      <c r="AW51" s="526">
        <f t="shared" si="24"/>
        <v>1053.7657932298052</v>
      </c>
      <c r="AX51" s="526">
        <f t="shared" si="24"/>
        <v>1053.7657932298052</v>
      </c>
      <c r="AY51" s="526">
        <f t="shared" si="24"/>
        <v>1053.7657932298052</v>
      </c>
      <c r="AZ51" s="526">
        <f t="shared" si="24"/>
        <v>1053.7657932298052</v>
      </c>
      <c r="BA51" s="526">
        <f t="shared" si="24"/>
        <v>1053.7657932298052</v>
      </c>
      <c r="BB51" s="526">
        <f t="shared" si="24"/>
        <v>1053.7657932298052</v>
      </c>
      <c r="BC51" s="526">
        <f t="shared" si="24"/>
        <v>1053.7657932298052</v>
      </c>
      <c r="BD51" s="526">
        <f t="shared" si="24"/>
        <v>1053.7657932298052</v>
      </c>
      <c r="BE51" s="526">
        <f t="shared" si="24"/>
        <v>1053.7657932298052</v>
      </c>
      <c r="BF51" s="526">
        <f t="shared" si="24"/>
        <v>1053.7657932298052</v>
      </c>
      <c r="BG51" s="526">
        <f t="shared" si="24"/>
        <v>1053.7657932298052</v>
      </c>
      <c r="BH51" s="526">
        <f t="shared" si="24"/>
        <v>1053.7657932298052</v>
      </c>
      <c r="BI51" s="526">
        <f t="shared" si="24"/>
        <v>1053.7657932298052</v>
      </c>
      <c r="BJ51" s="526">
        <f t="shared" si="24"/>
        <v>1053.7657932298052</v>
      </c>
      <c r="BK51" s="526">
        <f t="shared" si="24"/>
        <v>1053.7657932298052</v>
      </c>
      <c r="BL51" s="526">
        <f t="shared" si="24"/>
        <v>1053.7657932298052</v>
      </c>
      <c r="BM51" s="526">
        <f t="shared" si="24"/>
        <v>1053.7657932298052</v>
      </c>
      <c r="BN51" s="526">
        <f t="shared" si="24"/>
        <v>1053.7657932298052</v>
      </c>
      <c r="BO51" s="526">
        <f t="shared" si="24"/>
        <v>1053.7657932298052</v>
      </c>
      <c r="BP51" s="526">
        <f t="shared" si="24"/>
        <v>1053.7657932298052</v>
      </c>
      <c r="BQ51" s="526">
        <f t="shared" si="24"/>
        <v>1053.7657932298052</v>
      </c>
      <c r="BR51" s="526">
        <f t="shared" si="24"/>
        <v>1053.7657932298052</v>
      </c>
      <c r="BS51" s="526">
        <f t="shared" si="24"/>
        <v>1053.7657932298052</v>
      </c>
      <c r="BT51" s="526">
        <f t="shared" si="24"/>
        <v>1053.7657932298052</v>
      </c>
      <c r="BU51" s="526">
        <f t="shared" si="24"/>
        <v>1053.7657932298052</v>
      </c>
      <c r="BV51" s="526">
        <f t="shared" si="24"/>
        <v>1053.7657932298052</v>
      </c>
      <c r="BW51" s="526">
        <f t="shared" si="24"/>
        <v>1053.7657932298052</v>
      </c>
      <c r="BX51" s="526">
        <f t="shared" si="24"/>
        <v>1053.7657932298052</v>
      </c>
      <c r="BY51" s="526">
        <f t="shared" si="24"/>
        <v>1053.7657932298052</v>
      </c>
      <c r="BZ51" s="526">
        <f t="shared" si="24"/>
        <v>1053.7657932298052</v>
      </c>
      <c r="CA51" s="526">
        <f t="shared" si="24"/>
        <v>1053.7657932298052</v>
      </c>
      <c r="CB51" s="526">
        <f t="shared" si="23"/>
        <v>1053.7657932298052</v>
      </c>
      <c r="CC51" s="526">
        <f t="shared" si="23"/>
        <v>1053.7657932298052</v>
      </c>
      <c r="CD51" s="526">
        <f t="shared" si="23"/>
        <v>1053.7657932298052</v>
      </c>
      <c r="CE51" s="526">
        <f t="shared" si="23"/>
        <v>1053.7657932298052</v>
      </c>
      <c r="CF51" s="526">
        <f t="shared" si="23"/>
        <v>1053.7657932298052</v>
      </c>
    </row>
    <row r="52" spans="2:84">
      <c r="B52" t="s">
        <v>756</v>
      </c>
      <c r="C52" t="s">
        <v>1354</v>
      </c>
      <c r="D52" t="s">
        <v>750</v>
      </c>
      <c r="E52" t="s">
        <v>1353</v>
      </c>
      <c r="F52" t="str">
        <f t="shared" si="16"/>
        <v>e-methane liquefied (DAC)OpExAsia</v>
      </c>
      <c r="G52" s="525">
        <v>3547.2814462089368</v>
      </c>
      <c r="H52" s="525">
        <v>3286.9311638577024</v>
      </c>
      <c r="I52" s="525">
        <v>3026.6426380445082</v>
      </c>
      <c r="J52" s="525">
        <v>2914.7112026814239</v>
      </c>
      <c r="K52" s="525">
        <v>2800.9143203256131</v>
      </c>
      <c r="L52" s="525">
        <v>2685.3070300088125</v>
      </c>
      <c r="M52" s="525">
        <v>2567.9443707629202</v>
      </c>
      <c r="N52" s="525">
        <v>2448.8813816197171</v>
      </c>
      <c r="O52" s="525">
        <v>2381.7364332162624</v>
      </c>
      <c r="P52" s="525">
        <v>2311.7523435840867</v>
      </c>
      <c r="Q52" s="525">
        <v>2238.9652102439431</v>
      </c>
      <c r="R52" s="525">
        <v>2163.4111307165449</v>
      </c>
      <c r="S52" s="525">
        <v>2085.1262025227238</v>
      </c>
      <c r="T52" s="525">
        <v>2030.8216389474007</v>
      </c>
      <c r="U52" s="525">
        <v>1974.6117000633981</v>
      </c>
      <c r="V52" s="525">
        <v>1916.5091090811043</v>
      </c>
      <c r="W52" s="525">
        <v>1856.5265892107593</v>
      </c>
      <c r="X52" s="525">
        <v>1794.6768636627298</v>
      </c>
      <c r="Y52" s="525">
        <v>1730.7032489395992</v>
      </c>
      <c r="Z52" s="525">
        <v>1666.1949382328539</v>
      </c>
      <c r="AA52" s="525">
        <v>1601.1443578043447</v>
      </c>
      <c r="AB52" s="525">
        <v>1535.5439339158795</v>
      </c>
      <c r="AC52" s="525">
        <v>1469.3860928292929</v>
      </c>
      <c r="AD52" s="525">
        <v>1420.8413176051276</v>
      </c>
      <c r="AE52" s="525">
        <v>1372.0615402470435</v>
      </c>
      <c r="AF52" s="525">
        <v>1323.0423016788559</v>
      </c>
      <c r="AG52" s="525">
        <v>1273.7791428243777</v>
      </c>
      <c r="AH52" s="525">
        <v>1224.2676046074221</v>
      </c>
      <c r="AI52" s="526">
        <f t="shared" si="24"/>
        <v>1224.2676046074221</v>
      </c>
      <c r="AJ52" s="526">
        <f t="shared" si="24"/>
        <v>1224.2676046074221</v>
      </c>
      <c r="AK52" s="526">
        <f t="shared" si="24"/>
        <v>1224.2676046074221</v>
      </c>
      <c r="AL52" s="526">
        <f t="shared" si="24"/>
        <v>1224.2676046074221</v>
      </c>
      <c r="AM52" s="526">
        <f t="shared" si="24"/>
        <v>1224.2676046074221</v>
      </c>
      <c r="AN52" s="526">
        <f t="shared" si="24"/>
        <v>1224.2676046074221</v>
      </c>
      <c r="AO52" s="526">
        <f t="shared" si="24"/>
        <v>1224.2676046074221</v>
      </c>
      <c r="AP52" s="526">
        <f t="shared" si="24"/>
        <v>1224.2676046074221</v>
      </c>
      <c r="AQ52" s="526">
        <f t="shared" si="24"/>
        <v>1224.2676046074221</v>
      </c>
      <c r="AR52" s="526">
        <f t="shared" si="24"/>
        <v>1224.2676046074221</v>
      </c>
      <c r="AS52" s="526">
        <f t="shared" si="24"/>
        <v>1224.2676046074221</v>
      </c>
      <c r="AT52" s="526">
        <f t="shared" si="24"/>
        <v>1224.2676046074221</v>
      </c>
      <c r="AU52" s="526">
        <f t="shared" si="24"/>
        <v>1224.2676046074221</v>
      </c>
      <c r="AV52" s="526">
        <f t="shared" si="24"/>
        <v>1224.2676046074221</v>
      </c>
      <c r="AW52" s="526">
        <f t="shared" si="24"/>
        <v>1224.2676046074221</v>
      </c>
      <c r="AX52" s="526">
        <f t="shared" si="24"/>
        <v>1224.2676046074221</v>
      </c>
      <c r="AY52" s="526">
        <f t="shared" si="24"/>
        <v>1224.2676046074221</v>
      </c>
      <c r="AZ52" s="526">
        <f t="shared" si="24"/>
        <v>1224.2676046074221</v>
      </c>
      <c r="BA52" s="526">
        <f t="shared" si="24"/>
        <v>1224.2676046074221</v>
      </c>
      <c r="BB52" s="526">
        <f t="shared" si="24"/>
        <v>1224.2676046074221</v>
      </c>
      <c r="BC52" s="526">
        <f t="shared" si="24"/>
        <v>1224.2676046074221</v>
      </c>
      <c r="BD52" s="526">
        <f t="shared" si="24"/>
        <v>1224.2676046074221</v>
      </c>
      <c r="BE52" s="526">
        <f t="shared" si="24"/>
        <v>1224.2676046074221</v>
      </c>
      <c r="BF52" s="526">
        <f t="shared" si="24"/>
        <v>1224.2676046074221</v>
      </c>
      <c r="BG52" s="526">
        <f t="shared" si="24"/>
        <v>1224.2676046074221</v>
      </c>
      <c r="BH52" s="526">
        <f t="shared" si="24"/>
        <v>1224.2676046074221</v>
      </c>
      <c r="BI52" s="526">
        <f t="shared" si="24"/>
        <v>1224.2676046074221</v>
      </c>
      <c r="BJ52" s="526">
        <f t="shared" si="24"/>
        <v>1224.2676046074221</v>
      </c>
      <c r="BK52" s="526">
        <f t="shared" si="24"/>
        <v>1224.2676046074221</v>
      </c>
      <c r="BL52" s="526">
        <f t="shared" si="24"/>
        <v>1224.2676046074221</v>
      </c>
      <c r="BM52" s="526">
        <f t="shared" si="24"/>
        <v>1224.2676046074221</v>
      </c>
      <c r="BN52" s="526">
        <f t="shared" si="24"/>
        <v>1224.2676046074221</v>
      </c>
      <c r="BO52" s="526">
        <f t="shared" si="24"/>
        <v>1224.2676046074221</v>
      </c>
      <c r="BP52" s="526">
        <f t="shared" si="24"/>
        <v>1224.2676046074221</v>
      </c>
      <c r="BQ52" s="526">
        <f t="shared" si="24"/>
        <v>1224.2676046074221</v>
      </c>
      <c r="BR52" s="526">
        <f t="shared" si="24"/>
        <v>1224.2676046074221</v>
      </c>
      <c r="BS52" s="526">
        <f t="shared" si="24"/>
        <v>1224.2676046074221</v>
      </c>
      <c r="BT52" s="526">
        <f t="shared" si="24"/>
        <v>1224.2676046074221</v>
      </c>
      <c r="BU52" s="526">
        <f t="shared" si="24"/>
        <v>1224.2676046074221</v>
      </c>
      <c r="BV52" s="526">
        <f t="shared" si="24"/>
        <v>1224.2676046074221</v>
      </c>
      <c r="BW52" s="526">
        <f t="shared" si="24"/>
        <v>1224.2676046074221</v>
      </c>
      <c r="BX52" s="526">
        <f t="shared" si="24"/>
        <v>1224.2676046074221</v>
      </c>
      <c r="BY52" s="526">
        <f t="shared" si="24"/>
        <v>1224.2676046074221</v>
      </c>
      <c r="BZ52" s="526">
        <f t="shared" si="24"/>
        <v>1224.2676046074221</v>
      </c>
      <c r="CA52" s="526">
        <f t="shared" si="24"/>
        <v>1224.2676046074221</v>
      </c>
      <c r="CB52" s="526">
        <f t="shared" si="23"/>
        <v>1224.2676046074221</v>
      </c>
      <c r="CC52" s="526">
        <f t="shared" si="23"/>
        <v>1224.2676046074221</v>
      </c>
      <c r="CD52" s="526">
        <f t="shared" si="23"/>
        <v>1224.2676046074221</v>
      </c>
      <c r="CE52" s="526">
        <f t="shared" si="23"/>
        <v>1224.2676046074221</v>
      </c>
      <c r="CF52" s="526">
        <f t="shared" si="23"/>
        <v>1224.2676046074221</v>
      </c>
    </row>
    <row r="53" spans="2:84">
      <c r="B53" t="s">
        <v>756</v>
      </c>
      <c r="C53" t="s">
        <v>1354</v>
      </c>
      <c r="D53" t="s">
        <v>720</v>
      </c>
      <c r="E53" t="s">
        <v>1353</v>
      </c>
      <c r="F53" t="str">
        <f t="shared" si="16"/>
        <v>e-methane liquefied (DAC)OpExEurope</v>
      </c>
      <c r="G53" s="525">
        <v>2950.1310940313288</v>
      </c>
      <c r="H53" s="525">
        <v>2821.9328257239895</v>
      </c>
      <c r="I53" s="525">
        <v>2692.8458546418169</v>
      </c>
      <c r="J53" s="525">
        <v>2595.2689707874811</v>
      </c>
      <c r="K53" s="525">
        <v>2495.7920348069024</v>
      </c>
      <c r="L53" s="525">
        <v>2394.4603165009235</v>
      </c>
      <c r="M53" s="525">
        <v>2291.3190856703804</v>
      </c>
      <c r="N53" s="525">
        <v>2186.4136121160673</v>
      </c>
      <c r="O53" s="525">
        <v>2145.1947232966586</v>
      </c>
      <c r="P53" s="525">
        <v>2100.8207480373894</v>
      </c>
      <c r="Q53" s="525">
        <v>2053.3098362974943</v>
      </c>
      <c r="R53" s="525">
        <v>2002.6801380362351</v>
      </c>
      <c r="S53" s="525">
        <v>1948.9498032129404</v>
      </c>
      <c r="T53" s="525">
        <v>1905.4786808105871</v>
      </c>
      <c r="U53" s="525">
        <v>1859.9468419793902</v>
      </c>
      <c r="V53" s="525">
        <v>1812.3617991427391</v>
      </c>
      <c r="W53" s="525">
        <v>1762.731064723909</v>
      </c>
      <c r="X53" s="525">
        <v>1711.0621511462527</v>
      </c>
      <c r="Y53" s="525">
        <v>1657.3531769482065</v>
      </c>
      <c r="Z53" s="525">
        <v>1602.8717040451625</v>
      </c>
      <c r="AA53" s="525">
        <v>1547.6131618684572</v>
      </c>
      <c r="AB53" s="525">
        <v>1491.5729798493448</v>
      </c>
      <c r="AC53" s="525">
        <v>1434.7465874191469</v>
      </c>
      <c r="AD53" s="525">
        <v>1386.9787467232654</v>
      </c>
      <c r="AE53" s="525">
        <v>1338.9621516529387</v>
      </c>
      <c r="AF53" s="525">
        <v>1290.6925208611242</v>
      </c>
      <c r="AG53" s="525">
        <v>1242.1655730007762</v>
      </c>
      <c r="AH53" s="525">
        <v>1193.3770267248492</v>
      </c>
      <c r="AI53" s="526">
        <f t="shared" si="24"/>
        <v>1193.3770267248492</v>
      </c>
      <c r="AJ53" s="526">
        <f t="shared" si="24"/>
        <v>1193.3770267248492</v>
      </c>
      <c r="AK53" s="526">
        <f t="shared" si="24"/>
        <v>1193.3770267248492</v>
      </c>
      <c r="AL53" s="526">
        <f t="shared" si="24"/>
        <v>1193.3770267248492</v>
      </c>
      <c r="AM53" s="526">
        <f t="shared" si="24"/>
        <v>1193.3770267248492</v>
      </c>
      <c r="AN53" s="526">
        <f t="shared" si="24"/>
        <v>1193.3770267248492</v>
      </c>
      <c r="AO53" s="526">
        <f t="shared" si="24"/>
        <v>1193.3770267248492</v>
      </c>
      <c r="AP53" s="526">
        <f t="shared" si="24"/>
        <v>1193.3770267248492</v>
      </c>
      <c r="AQ53" s="526">
        <f t="shared" si="24"/>
        <v>1193.3770267248492</v>
      </c>
      <c r="AR53" s="526">
        <f t="shared" si="24"/>
        <v>1193.3770267248492</v>
      </c>
      <c r="AS53" s="526">
        <f t="shared" si="24"/>
        <v>1193.3770267248492</v>
      </c>
      <c r="AT53" s="526">
        <f t="shared" si="24"/>
        <v>1193.3770267248492</v>
      </c>
      <c r="AU53" s="526">
        <f t="shared" si="24"/>
        <v>1193.3770267248492</v>
      </c>
      <c r="AV53" s="526">
        <f t="shared" si="24"/>
        <v>1193.3770267248492</v>
      </c>
      <c r="AW53" s="526">
        <f t="shared" si="24"/>
        <v>1193.3770267248492</v>
      </c>
      <c r="AX53" s="526">
        <f t="shared" si="24"/>
        <v>1193.3770267248492</v>
      </c>
      <c r="AY53" s="526">
        <f t="shared" si="24"/>
        <v>1193.3770267248492</v>
      </c>
      <c r="AZ53" s="526">
        <f t="shared" si="24"/>
        <v>1193.3770267248492</v>
      </c>
      <c r="BA53" s="526">
        <f t="shared" si="24"/>
        <v>1193.3770267248492</v>
      </c>
      <c r="BB53" s="526">
        <f t="shared" si="24"/>
        <v>1193.3770267248492</v>
      </c>
      <c r="BC53" s="526">
        <f t="shared" si="24"/>
        <v>1193.3770267248492</v>
      </c>
      <c r="BD53" s="526">
        <f t="shared" si="24"/>
        <v>1193.3770267248492</v>
      </c>
      <c r="BE53" s="526">
        <f t="shared" si="24"/>
        <v>1193.3770267248492</v>
      </c>
      <c r="BF53" s="526">
        <f t="shared" si="24"/>
        <v>1193.3770267248492</v>
      </c>
      <c r="BG53" s="526">
        <f t="shared" si="24"/>
        <v>1193.3770267248492</v>
      </c>
      <c r="BH53" s="526">
        <f t="shared" si="24"/>
        <v>1193.3770267248492</v>
      </c>
      <c r="BI53" s="526">
        <f t="shared" si="24"/>
        <v>1193.3770267248492</v>
      </c>
      <c r="BJ53" s="526">
        <f t="shared" si="24"/>
        <v>1193.3770267248492</v>
      </c>
      <c r="BK53" s="526">
        <f t="shared" si="24"/>
        <v>1193.3770267248492</v>
      </c>
      <c r="BL53" s="526">
        <f t="shared" si="24"/>
        <v>1193.3770267248492</v>
      </c>
      <c r="BM53" s="526">
        <f t="shared" si="24"/>
        <v>1193.3770267248492</v>
      </c>
      <c r="BN53" s="526">
        <f t="shared" si="24"/>
        <v>1193.3770267248492</v>
      </c>
      <c r="BO53" s="526">
        <f t="shared" si="24"/>
        <v>1193.3770267248492</v>
      </c>
      <c r="BP53" s="526">
        <f t="shared" si="24"/>
        <v>1193.3770267248492</v>
      </c>
      <c r="BQ53" s="526">
        <f t="shared" si="24"/>
        <v>1193.3770267248492</v>
      </c>
      <c r="BR53" s="526">
        <f t="shared" si="24"/>
        <v>1193.3770267248492</v>
      </c>
      <c r="BS53" s="526">
        <f t="shared" si="24"/>
        <v>1193.3770267248492</v>
      </c>
      <c r="BT53" s="526">
        <f t="shared" si="24"/>
        <v>1193.3770267248492</v>
      </c>
      <c r="BU53" s="526">
        <f t="shared" si="24"/>
        <v>1193.3770267248492</v>
      </c>
      <c r="BV53" s="526">
        <f t="shared" si="24"/>
        <v>1193.3770267248492</v>
      </c>
      <c r="BW53" s="526">
        <f t="shared" si="24"/>
        <v>1193.3770267248492</v>
      </c>
      <c r="BX53" s="526">
        <f t="shared" si="24"/>
        <v>1193.3770267248492</v>
      </c>
      <c r="BY53" s="526">
        <f t="shared" si="24"/>
        <v>1193.3770267248492</v>
      </c>
      <c r="BZ53" s="526">
        <f t="shared" si="24"/>
        <v>1193.3770267248492</v>
      </c>
      <c r="CA53" s="526">
        <f t="shared" si="24"/>
        <v>1193.3770267248492</v>
      </c>
      <c r="CB53" s="526">
        <f t="shared" si="23"/>
        <v>1193.3770267248492</v>
      </c>
      <c r="CC53" s="526">
        <f t="shared" si="23"/>
        <v>1193.3770267248492</v>
      </c>
      <c r="CD53" s="526">
        <f t="shared" si="23"/>
        <v>1193.3770267248492</v>
      </c>
      <c r="CE53" s="526">
        <f t="shared" si="23"/>
        <v>1193.3770267248492</v>
      </c>
      <c r="CF53" s="526">
        <f t="shared" si="23"/>
        <v>1193.3770267248492</v>
      </c>
    </row>
    <row r="54" spans="2:84">
      <c r="B54" t="s">
        <v>756</v>
      </c>
      <c r="C54" t="s">
        <v>1354</v>
      </c>
      <c r="D54" t="s">
        <v>826</v>
      </c>
      <c r="E54" t="s">
        <v>1353</v>
      </c>
      <c r="F54" t="str">
        <f t="shared" si="16"/>
        <v>e-methane liquefied (DAC)OpExMiddle East</v>
      </c>
      <c r="G54" s="525">
        <v>2542.6352618683723</v>
      </c>
      <c r="H54" s="525">
        <v>2432.1317462729576</v>
      </c>
      <c r="I54" s="525">
        <v>2320.6707020995327</v>
      </c>
      <c r="J54" s="525">
        <v>2246.0984413274418</v>
      </c>
      <c r="K54" s="525">
        <v>2169.5233689257611</v>
      </c>
      <c r="L54" s="525">
        <v>2090.9745674333221</v>
      </c>
      <c r="M54" s="525">
        <v>2010.4811193890059</v>
      </c>
      <c r="N54" s="525">
        <v>1928.072107331599</v>
      </c>
      <c r="O54" s="525">
        <v>1886.6496711014984</v>
      </c>
      <c r="P54" s="525">
        <v>1842.1710461400323</v>
      </c>
      <c r="Q54" s="525">
        <v>1794.6560198445345</v>
      </c>
      <c r="R54" s="525">
        <v>1744.1243796123581</v>
      </c>
      <c r="S54" s="525">
        <v>1690.5959128408886</v>
      </c>
      <c r="T54" s="525">
        <v>1650.6451986020602</v>
      </c>
      <c r="U54" s="525">
        <v>1608.6582268642157</v>
      </c>
      <c r="V54" s="525">
        <v>1564.6418755453558</v>
      </c>
      <c r="W54" s="525">
        <v>1518.6030225633679</v>
      </c>
      <c r="X54" s="525">
        <v>1470.5485458362236</v>
      </c>
      <c r="Y54" s="525">
        <v>1418.0913965501468</v>
      </c>
      <c r="Z54" s="525">
        <v>1364.8785791185844</v>
      </c>
      <c r="AA54" s="525">
        <v>1310.9049640944158</v>
      </c>
      <c r="AB54" s="525">
        <v>1256.1654220304767</v>
      </c>
      <c r="AC54" s="525">
        <v>1200.654823479631</v>
      </c>
      <c r="AD54" s="525">
        <v>1158.13313478791</v>
      </c>
      <c r="AE54" s="525">
        <v>1115.269848702756</v>
      </c>
      <c r="AF54" s="525">
        <v>1072.0618830396809</v>
      </c>
      <c r="AG54" s="525">
        <v>1028.5061556142073</v>
      </c>
      <c r="AH54" s="525">
        <v>984.59958424185766</v>
      </c>
      <c r="AI54" s="526">
        <f t="shared" si="24"/>
        <v>984.59958424185766</v>
      </c>
      <c r="AJ54" s="526">
        <f t="shared" si="24"/>
        <v>984.59958424185766</v>
      </c>
      <c r="AK54" s="526">
        <f t="shared" si="24"/>
        <v>984.59958424185766</v>
      </c>
      <c r="AL54" s="526">
        <f t="shared" si="24"/>
        <v>984.59958424185766</v>
      </c>
      <c r="AM54" s="526">
        <f t="shared" si="24"/>
        <v>984.59958424185766</v>
      </c>
      <c r="AN54" s="526">
        <f t="shared" si="24"/>
        <v>984.59958424185766</v>
      </c>
      <c r="AO54" s="526">
        <f t="shared" si="24"/>
        <v>984.59958424185766</v>
      </c>
      <c r="AP54" s="526">
        <f t="shared" si="24"/>
        <v>984.59958424185766</v>
      </c>
      <c r="AQ54" s="526">
        <f t="shared" si="24"/>
        <v>984.59958424185766</v>
      </c>
      <c r="AR54" s="526">
        <f t="shared" si="24"/>
        <v>984.59958424185766</v>
      </c>
      <c r="AS54" s="526">
        <f t="shared" si="24"/>
        <v>984.59958424185766</v>
      </c>
      <c r="AT54" s="526">
        <f t="shared" si="24"/>
        <v>984.59958424185766</v>
      </c>
      <c r="AU54" s="526">
        <f t="shared" si="24"/>
        <v>984.59958424185766</v>
      </c>
      <c r="AV54" s="526">
        <f t="shared" si="24"/>
        <v>984.59958424185766</v>
      </c>
      <c r="AW54" s="526">
        <f t="shared" si="24"/>
        <v>984.59958424185766</v>
      </c>
      <c r="AX54" s="526">
        <f t="shared" si="24"/>
        <v>984.59958424185766</v>
      </c>
      <c r="AY54" s="526">
        <f t="shared" si="24"/>
        <v>984.59958424185766</v>
      </c>
      <c r="AZ54" s="526">
        <f t="shared" si="24"/>
        <v>984.59958424185766</v>
      </c>
      <c r="BA54" s="526">
        <f t="shared" si="24"/>
        <v>984.59958424185766</v>
      </c>
      <c r="BB54" s="526">
        <f t="shared" si="24"/>
        <v>984.59958424185766</v>
      </c>
      <c r="BC54" s="526">
        <f t="shared" si="24"/>
        <v>984.59958424185766</v>
      </c>
      <c r="BD54" s="526">
        <f t="shared" si="24"/>
        <v>984.59958424185766</v>
      </c>
      <c r="BE54" s="526">
        <f t="shared" si="24"/>
        <v>984.59958424185766</v>
      </c>
      <c r="BF54" s="526">
        <f t="shared" si="24"/>
        <v>984.59958424185766</v>
      </c>
      <c r="BG54" s="526">
        <f t="shared" si="24"/>
        <v>984.59958424185766</v>
      </c>
      <c r="BH54" s="526">
        <f t="shared" si="24"/>
        <v>984.59958424185766</v>
      </c>
      <c r="BI54" s="526">
        <f t="shared" si="24"/>
        <v>984.59958424185766</v>
      </c>
      <c r="BJ54" s="526">
        <f t="shared" si="24"/>
        <v>984.59958424185766</v>
      </c>
      <c r="BK54" s="526">
        <f t="shared" si="24"/>
        <v>984.59958424185766</v>
      </c>
      <c r="BL54" s="526">
        <f t="shared" si="24"/>
        <v>984.59958424185766</v>
      </c>
      <c r="BM54" s="526">
        <f t="shared" si="24"/>
        <v>984.59958424185766</v>
      </c>
      <c r="BN54" s="526">
        <f t="shared" si="24"/>
        <v>984.59958424185766</v>
      </c>
      <c r="BO54" s="526">
        <f t="shared" si="24"/>
        <v>984.59958424185766</v>
      </c>
      <c r="BP54" s="526">
        <f t="shared" si="24"/>
        <v>984.59958424185766</v>
      </c>
      <c r="BQ54" s="526">
        <f t="shared" si="24"/>
        <v>984.59958424185766</v>
      </c>
      <c r="BR54" s="526">
        <f t="shared" si="24"/>
        <v>984.59958424185766</v>
      </c>
      <c r="BS54" s="526">
        <f t="shared" si="24"/>
        <v>984.59958424185766</v>
      </c>
      <c r="BT54" s="526">
        <f t="shared" si="24"/>
        <v>984.59958424185766</v>
      </c>
      <c r="BU54" s="526">
        <f t="shared" si="24"/>
        <v>984.59958424185766</v>
      </c>
      <c r="BV54" s="526">
        <f t="shared" si="24"/>
        <v>984.59958424185766</v>
      </c>
      <c r="BW54" s="526">
        <f t="shared" si="24"/>
        <v>984.59958424185766</v>
      </c>
      <c r="BX54" s="526">
        <f t="shared" si="24"/>
        <v>984.59958424185766</v>
      </c>
      <c r="BY54" s="526">
        <f t="shared" si="24"/>
        <v>984.59958424185766</v>
      </c>
      <c r="BZ54" s="526">
        <f t="shared" si="24"/>
        <v>984.59958424185766</v>
      </c>
      <c r="CA54" s="526">
        <f t="shared" si="24"/>
        <v>984.59958424185766</v>
      </c>
      <c r="CB54" s="526">
        <f t="shared" si="23"/>
        <v>984.59958424185766</v>
      </c>
      <c r="CC54" s="526">
        <f t="shared" si="23"/>
        <v>984.59958424185766</v>
      </c>
      <c r="CD54" s="526">
        <f t="shared" si="23"/>
        <v>984.59958424185766</v>
      </c>
      <c r="CE54" s="526">
        <f t="shared" si="23"/>
        <v>984.59958424185766</v>
      </c>
      <c r="CF54" s="526">
        <f t="shared" si="23"/>
        <v>984.59958424185766</v>
      </c>
    </row>
    <row r="55" spans="2:84">
      <c r="B55" t="s">
        <v>756</v>
      </c>
      <c r="C55" t="s">
        <v>1355</v>
      </c>
      <c r="D55" t="s">
        <v>708</v>
      </c>
      <c r="E55" t="s">
        <v>1356</v>
      </c>
      <c r="F55" t="str">
        <f t="shared" si="16"/>
        <v>e-methane liquefied (DAC)Total emissions - WTT - GWP100Global</v>
      </c>
      <c r="G55" s="527">
        <v>-2.5567800299263923</v>
      </c>
      <c r="H55" s="527">
        <v>-2.5575212425663274</v>
      </c>
      <c r="I55" s="527">
        <v>-2.5582909999999988</v>
      </c>
      <c r="J55" s="527">
        <v>-2.5591179116343192</v>
      </c>
      <c r="K55" s="527">
        <v>-2.5599929534907511</v>
      </c>
      <c r="L55" s="527">
        <v>-2.5609161255692952</v>
      </c>
      <c r="M55" s="527">
        <v>-2.5618874278699493</v>
      </c>
      <c r="N55" s="527">
        <v>-2.562906860392717</v>
      </c>
      <c r="O55" s="527">
        <v>-2.5643396506611302</v>
      </c>
      <c r="P55" s="527">
        <v>-2.565818883272946</v>
      </c>
      <c r="Q55" s="527">
        <v>-2.5673445582281671</v>
      </c>
      <c r="R55" s="527">
        <v>-2.568916675526796</v>
      </c>
      <c r="S55" s="527">
        <v>-2.5705352351688284</v>
      </c>
      <c r="T55" s="527">
        <v>-2.5721691958971227</v>
      </c>
      <c r="U55" s="527">
        <v>-2.5738353530183748</v>
      </c>
      <c r="V55" s="527">
        <v>-2.5755337065325796</v>
      </c>
      <c r="W55" s="527">
        <v>-2.5772642564397428</v>
      </c>
      <c r="X55" s="527">
        <v>-2.5790270027398638</v>
      </c>
      <c r="Y55" s="527">
        <v>-2.5811381999925138</v>
      </c>
      <c r="Z55" s="527">
        <v>-2.5832310873054709</v>
      </c>
      <c r="AA55" s="527">
        <v>-2.5853056646787329</v>
      </c>
      <c r="AB55" s="527">
        <v>-2.5873619321123029</v>
      </c>
      <c r="AC55" s="527">
        <v>-2.5893998896061778</v>
      </c>
      <c r="AD55" s="527">
        <v>-2.5911458759895609</v>
      </c>
      <c r="AE55" s="527">
        <v>-2.5928683552206349</v>
      </c>
      <c r="AF55" s="527">
        <v>-2.5945673272993988</v>
      </c>
      <c r="AG55" s="527">
        <v>-2.5962427922258544</v>
      </c>
      <c r="AH55" s="527">
        <v>-2.5978947499999996</v>
      </c>
      <c r="AI55" s="528">
        <f t="shared" si="24"/>
        <v>-2.5978947499999996</v>
      </c>
      <c r="AJ55" s="528">
        <f t="shared" si="24"/>
        <v>-2.5978947499999996</v>
      </c>
      <c r="AK55" s="528">
        <f t="shared" si="24"/>
        <v>-2.5978947499999996</v>
      </c>
      <c r="AL55" s="528">
        <f t="shared" si="24"/>
        <v>-2.5978947499999996</v>
      </c>
      <c r="AM55" s="528">
        <f t="shared" si="24"/>
        <v>-2.5978947499999996</v>
      </c>
      <c r="AN55" s="528">
        <f t="shared" si="24"/>
        <v>-2.5978947499999996</v>
      </c>
      <c r="AO55" s="528">
        <f t="shared" si="24"/>
        <v>-2.5978947499999996</v>
      </c>
      <c r="AP55" s="528">
        <f t="shared" si="24"/>
        <v>-2.5978947499999996</v>
      </c>
      <c r="AQ55" s="528">
        <f t="shared" si="24"/>
        <v>-2.5978947499999996</v>
      </c>
      <c r="AR55" s="528">
        <f t="shared" si="24"/>
        <v>-2.5978947499999996</v>
      </c>
      <c r="AS55" s="528">
        <f t="shared" si="24"/>
        <v>-2.5978947499999996</v>
      </c>
      <c r="AT55" s="528">
        <f t="shared" si="24"/>
        <v>-2.5978947499999996</v>
      </c>
      <c r="AU55" s="528">
        <f t="shared" si="24"/>
        <v>-2.5978947499999996</v>
      </c>
      <c r="AV55" s="528">
        <f t="shared" si="24"/>
        <v>-2.5978947499999996</v>
      </c>
      <c r="AW55" s="528">
        <f t="shared" si="24"/>
        <v>-2.5978947499999996</v>
      </c>
      <c r="AX55" s="528">
        <f t="shared" si="24"/>
        <v>-2.5978947499999996</v>
      </c>
      <c r="AY55" s="528">
        <f t="shared" si="24"/>
        <v>-2.5978947499999996</v>
      </c>
      <c r="AZ55" s="528">
        <f t="shared" si="24"/>
        <v>-2.5978947499999996</v>
      </c>
      <c r="BA55" s="528">
        <f t="shared" si="24"/>
        <v>-2.5978947499999996</v>
      </c>
      <c r="BB55" s="528">
        <f t="shared" si="24"/>
        <v>-2.5978947499999996</v>
      </c>
      <c r="BC55" s="528">
        <f t="shared" si="24"/>
        <v>-2.5978947499999996</v>
      </c>
      <c r="BD55" s="528">
        <f t="shared" si="24"/>
        <v>-2.5978947499999996</v>
      </c>
      <c r="BE55" s="528">
        <f t="shared" si="24"/>
        <v>-2.5978947499999996</v>
      </c>
      <c r="BF55" s="528">
        <f t="shared" si="24"/>
        <v>-2.5978947499999996</v>
      </c>
      <c r="BG55" s="528">
        <f t="shared" si="24"/>
        <v>-2.5978947499999996</v>
      </c>
      <c r="BH55" s="528">
        <f t="shared" si="24"/>
        <v>-2.5978947499999996</v>
      </c>
      <c r="BI55" s="528">
        <f t="shared" si="24"/>
        <v>-2.5978947499999996</v>
      </c>
      <c r="BJ55" s="528">
        <f t="shared" si="24"/>
        <v>-2.5978947499999996</v>
      </c>
      <c r="BK55" s="528">
        <f t="shared" si="24"/>
        <v>-2.5978947499999996</v>
      </c>
      <c r="BL55" s="528">
        <f t="shared" si="24"/>
        <v>-2.5978947499999996</v>
      </c>
      <c r="BM55" s="528">
        <f t="shared" ref="BM55:CA55" si="25">BL55</f>
        <v>-2.5978947499999996</v>
      </c>
      <c r="BN55" s="528">
        <f t="shared" si="25"/>
        <v>-2.5978947499999996</v>
      </c>
      <c r="BO55" s="528">
        <f t="shared" si="25"/>
        <v>-2.5978947499999996</v>
      </c>
      <c r="BP55" s="528">
        <f t="shared" si="25"/>
        <v>-2.5978947499999996</v>
      </c>
      <c r="BQ55" s="528">
        <f t="shared" si="25"/>
        <v>-2.5978947499999996</v>
      </c>
      <c r="BR55" s="528">
        <f t="shared" si="25"/>
        <v>-2.5978947499999996</v>
      </c>
      <c r="BS55" s="528">
        <f t="shared" si="25"/>
        <v>-2.5978947499999996</v>
      </c>
      <c r="BT55" s="528">
        <f t="shared" si="25"/>
        <v>-2.5978947499999996</v>
      </c>
      <c r="BU55" s="528">
        <f t="shared" si="25"/>
        <v>-2.5978947499999996</v>
      </c>
      <c r="BV55" s="528">
        <f t="shared" si="25"/>
        <v>-2.5978947499999996</v>
      </c>
      <c r="BW55" s="528">
        <f t="shared" si="25"/>
        <v>-2.5978947499999996</v>
      </c>
      <c r="BX55" s="528">
        <f t="shared" si="25"/>
        <v>-2.5978947499999996</v>
      </c>
      <c r="BY55" s="528">
        <f t="shared" si="25"/>
        <v>-2.5978947499999996</v>
      </c>
      <c r="BZ55" s="528">
        <f t="shared" si="25"/>
        <v>-2.5978947499999996</v>
      </c>
      <c r="CA55" s="528">
        <f t="shared" si="25"/>
        <v>-2.5978947499999996</v>
      </c>
      <c r="CB55" s="528">
        <f t="shared" si="23"/>
        <v>-2.5978947499999996</v>
      </c>
      <c r="CC55" s="528">
        <f t="shared" si="23"/>
        <v>-2.5978947499999996</v>
      </c>
      <c r="CD55" s="528">
        <f t="shared" si="23"/>
        <v>-2.5978947499999996</v>
      </c>
      <c r="CE55" s="528">
        <f t="shared" si="23"/>
        <v>-2.5978947499999996</v>
      </c>
      <c r="CF55" s="528">
        <f t="shared" si="23"/>
        <v>-2.5978947499999996</v>
      </c>
    </row>
    <row r="56" spans="2:84">
      <c r="B56" t="s">
        <v>756</v>
      </c>
      <c r="C56" t="s">
        <v>1357</v>
      </c>
      <c r="D56" t="s">
        <v>708</v>
      </c>
      <c r="E56" t="s">
        <v>1356</v>
      </c>
      <c r="F56" t="str">
        <f t="shared" si="16"/>
        <v>e-methane liquefied (DAC)Total emissions - TTW - GWP100Global</v>
      </c>
      <c r="G56" s="527">
        <v>3.4460000000000002</v>
      </c>
      <c r="H56" s="527">
        <v>3.3879999999999999</v>
      </c>
      <c r="I56" s="527">
        <v>3.33</v>
      </c>
      <c r="J56" s="527">
        <v>3.2719999999999998</v>
      </c>
      <c r="K56" s="527">
        <v>3.214</v>
      </c>
      <c r="L56" s="527">
        <v>3.1560000000000001</v>
      </c>
      <c r="M56" s="527">
        <v>3.0979999999999999</v>
      </c>
      <c r="N56" s="527">
        <v>3.04</v>
      </c>
      <c r="O56" s="527">
        <v>3.04</v>
      </c>
      <c r="P56" s="527">
        <v>3.04</v>
      </c>
      <c r="Q56" s="527">
        <v>3.04</v>
      </c>
      <c r="R56" s="527">
        <v>3.04</v>
      </c>
      <c r="S56" s="527">
        <v>3.04</v>
      </c>
      <c r="T56" s="527">
        <v>3.04</v>
      </c>
      <c r="U56" s="527">
        <v>3.04</v>
      </c>
      <c r="V56" s="527">
        <v>3.04</v>
      </c>
      <c r="W56" s="527">
        <v>3.04</v>
      </c>
      <c r="X56" s="527">
        <v>3.04</v>
      </c>
      <c r="Y56" s="527">
        <v>3.04</v>
      </c>
      <c r="Z56" s="527">
        <v>3.04</v>
      </c>
      <c r="AA56" s="527">
        <v>3.04</v>
      </c>
      <c r="AB56" s="527">
        <v>3.04</v>
      </c>
      <c r="AC56" s="527">
        <v>3.04</v>
      </c>
      <c r="AD56" s="527">
        <v>3.04</v>
      </c>
      <c r="AE56" s="527">
        <v>3.04</v>
      </c>
      <c r="AF56" s="527">
        <v>3.04</v>
      </c>
      <c r="AG56" s="527">
        <v>3.04</v>
      </c>
      <c r="AH56" s="527">
        <v>3.04</v>
      </c>
      <c r="AI56" s="526">
        <f t="shared" ref="AI56:CA57" si="26">AH56</f>
        <v>3.04</v>
      </c>
      <c r="AJ56" s="526">
        <f t="shared" si="26"/>
        <v>3.04</v>
      </c>
      <c r="AK56" s="526">
        <f t="shared" si="26"/>
        <v>3.04</v>
      </c>
      <c r="AL56" s="526">
        <f t="shared" si="26"/>
        <v>3.04</v>
      </c>
      <c r="AM56" s="526">
        <f t="shared" si="26"/>
        <v>3.04</v>
      </c>
      <c r="AN56" s="526">
        <f t="shared" si="26"/>
        <v>3.04</v>
      </c>
      <c r="AO56" s="526">
        <f t="shared" si="26"/>
        <v>3.04</v>
      </c>
      <c r="AP56" s="526">
        <f t="shared" si="26"/>
        <v>3.04</v>
      </c>
      <c r="AQ56" s="526">
        <f t="shared" si="26"/>
        <v>3.04</v>
      </c>
      <c r="AR56" s="526">
        <f t="shared" si="26"/>
        <v>3.04</v>
      </c>
      <c r="AS56" s="526">
        <f t="shared" si="26"/>
        <v>3.04</v>
      </c>
      <c r="AT56" s="526">
        <f t="shared" si="26"/>
        <v>3.04</v>
      </c>
      <c r="AU56" s="526">
        <f t="shared" si="26"/>
        <v>3.04</v>
      </c>
      <c r="AV56" s="526">
        <f t="shared" si="26"/>
        <v>3.04</v>
      </c>
      <c r="AW56" s="526">
        <f t="shared" si="26"/>
        <v>3.04</v>
      </c>
      <c r="AX56" s="526">
        <f t="shared" si="26"/>
        <v>3.04</v>
      </c>
      <c r="AY56" s="526">
        <f t="shared" si="26"/>
        <v>3.04</v>
      </c>
      <c r="AZ56" s="526">
        <f t="shared" si="26"/>
        <v>3.04</v>
      </c>
      <c r="BA56" s="526">
        <f t="shared" si="26"/>
        <v>3.04</v>
      </c>
      <c r="BB56" s="526">
        <f t="shared" si="26"/>
        <v>3.04</v>
      </c>
      <c r="BC56" s="526">
        <f t="shared" si="26"/>
        <v>3.04</v>
      </c>
      <c r="BD56" s="526">
        <f t="shared" si="26"/>
        <v>3.04</v>
      </c>
      <c r="BE56" s="526">
        <f t="shared" si="26"/>
        <v>3.04</v>
      </c>
      <c r="BF56" s="526">
        <f t="shared" si="26"/>
        <v>3.04</v>
      </c>
      <c r="BG56" s="526">
        <f t="shared" si="26"/>
        <v>3.04</v>
      </c>
      <c r="BH56" s="526">
        <f t="shared" si="26"/>
        <v>3.04</v>
      </c>
      <c r="BI56" s="526">
        <f t="shared" si="26"/>
        <v>3.04</v>
      </c>
      <c r="BJ56" s="526">
        <f t="shared" si="26"/>
        <v>3.04</v>
      </c>
      <c r="BK56" s="526">
        <f t="shared" si="26"/>
        <v>3.04</v>
      </c>
      <c r="BL56" s="526">
        <f t="shared" si="26"/>
        <v>3.04</v>
      </c>
      <c r="BM56" s="526">
        <f t="shared" si="26"/>
        <v>3.04</v>
      </c>
      <c r="BN56" s="526">
        <f t="shared" si="26"/>
        <v>3.04</v>
      </c>
      <c r="BO56" s="526">
        <f t="shared" si="26"/>
        <v>3.04</v>
      </c>
      <c r="BP56" s="526">
        <f t="shared" si="26"/>
        <v>3.04</v>
      </c>
      <c r="BQ56" s="526">
        <f t="shared" si="26"/>
        <v>3.04</v>
      </c>
      <c r="BR56" s="526">
        <f t="shared" si="26"/>
        <v>3.04</v>
      </c>
      <c r="BS56" s="526">
        <f t="shared" si="26"/>
        <v>3.04</v>
      </c>
      <c r="BT56" s="526">
        <f t="shared" si="26"/>
        <v>3.04</v>
      </c>
      <c r="BU56" s="526">
        <f t="shared" si="26"/>
        <v>3.04</v>
      </c>
      <c r="BV56" s="526">
        <f t="shared" si="26"/>
        <v>3.04</v>
      </c>
      <c r="BW56" s="526">
        <f t="shared" si="26"/>
        <v>3.04</v>
      </c>
      <c r="BX56" s="526">
        <f t="shared" si="26"/>
        <v>3.04</v>
      </c>
      <c r="BY56" s="526">
        <f t="shared" si="26"/>
        <v>3.04</v>
      </c>
      <c r="BZ56" s="526">
        <f t="shared" si="26"/>
        <v>3.04</v>
      </c>
      <c r="CA56" s="526">
        <f t="shared" si="26"/>
        <v>3.04</v>
      </c>
      <c r="CB56" s="526">
        <f t="shared" si="23"/>
        <v>3.04</v>
      </c>
      <c r="CC56" s="526">
        <f t="shared" si="23"/>
        <v>3.04</v>
      </c>
      <c r="CD56" s="526">
        <f t="shared" si="23"/>
        <v>3.04</v>
      </c>
      <c r="CE56" s="526">
        <f t="shared" si="23"/>
        <v>3.04</v>
      </c>
      <c r="CF56" s="526">
        <f t="shared" si="23"/>
        <v>3.04</v>
      </c>
    </row>
    <row r="57" spans="2:84">
      <c r="B57" t="s">
        <v>756</v>
      </c>
      <c r="C57" t="s">
        <v>1358</v>
      </c>
      <c r="D57" t="s">
        <v>708</v>
      </c>
      <c r="E57" t="s">
        <v>1356</v>
      </c>
      <c r="F57" t="str">
        <f t="shared" si="16"/>
        <v>e-methane liquefied (DAC)Total emissions - WTW - GWP100Global</v>
      </c>
      <c r="G57" s="527">
        <v>0.88921997007360787</v>
      </c>
      <c r="H57" s="527">
        <v>0.8304787574336725</v>
      </c>
      <c r="I57" s="527">
        <v>0.77170900000000131</v>
      </c>
      <c r="J57" s="527">
        <v>0.71288208836568057</v>
      </c>
      <c r="K57" s="527">
        <v>0.6540070465092489</v>
      </c>
      <c r="L57" s="527">
        <v>0.59508387443070498</v>
      </c>
      <c r="M57" s="527">
        <v>0.53611257213005059</v>
      </c>
      <c r="N57" s="527">
        <v>0.47709313960728306</v>
      </c>
      <c r="O57" s="527">
        <v>0.4756603493388698</v>
      </c>
      <c r="P57" s="527">
        <v>0.47418111672705399</v>
      </c>
      <c r="Q57" s="527">
        <v>0.47265544177183294</v>
      </c>
      <c r="R57" s="527">
        <v>0.471083324473204</v>
      </c>
      <c r="S57" s="527">
        <v>0.46946476483117161</v>
      </c>
      <c r="T57" s="527">
        <v>0.46783080410287736</v>
      </c>
      <c r="U57" s="527">
        <v>0.46616464698162519</v>
      </c>
      <c r="V57" s="527">
        <v>0.46446629346742041</v>
      </c>
      <c r="W57" s="527">
        <v>0.46273574356025726</v>
      </c>
      <c r="X57" s="527">
        <v>0.46097299726013619</v>
      </c>
      <c r="Y57" s="527">
        <v>0.45886180000748622</v>
      </c>
      <c r="Z57" s="527">
        <v>0.45676891269452913</v>
      </c>
      <c r="AA57" s="527">
        <v>0.45469433532126713</v>
      </c>
      <c r="AB57" s="527">
        <v>0.45263806788769712</v>
      </c>
      <c r="AC57" s="527">
        <v>0.4506001103938222</v>
      </c>
      <c r="AD57" s="527">
        <v>0.44885412401043912</v>
      </c>
      <c r="AE57" s="527">
        <v>0.44713164477936518</v>
      </c>
      <c r="AF57" s="527">
        <v>0.44543267270060127</v>
      </c>
      <c r="AG57" s="527">
        <v>0.44375720777414562</v>
      </c>
      <c r="AH57" s="527">
        <v>0.44210525000000045</v>
      </c>
      <c r="AI57" s="528">
        <f t="shared" si="26"/>
        <v>0.44210525000000045</v>
      </c>
      <c r="AJ57" s="528">
        <f t="shared" si="26"/>
        <v>0.44210525000000045</v>
      </c>
      <c r="AK57" s="528">
        <f t="shared" si="26"/>
        <v>0.44210525000000045</v>
      </c>
      <c r="AL57" s="528">
        <f t="shared" si="26"/>
        <v>0.44210525000000045</v>
      </c>
      <c r="AM57" s="528">
        <f t="shared" si="26"/>
        <v>0.44210525000000045</v>
      </c>
      <c r="AN57" s="528">
        <f t="shared" si="26"/>
        <v>0.44210525000000045</v>
      </c>
      <c r="AO57" s="528">
        <f t="shared" si="26"/>
        <v>0.44210525000000045</v>
      </c>
      <c r="AP57" s="528">
        <f t="shared" si="26"/>
        <v>0.44210525000000045</v>
      </c>
      <c r="AQ57" s="528">
        <f t="shared" si="26"/>
        <v>0.44210525000000045</v>
      </c>
      <c r="AR57" s="528">
        <f t="shared" si="26"/>
        <v>0.44210525000000045</v>
      </c>
      <c r="AS57" s="528">
        <f t="shared" si="26"/>
        <v>0.44210525000000045</v>
      </c>
      <c r="AT57" s="528">
        <f t="shared" si="26"/>
        <v>0.44210525000000045</v>
      </c>
      <c r="AU57" s="528">
        <f t="shared" si="26"/>
        <v>0.44210525000000045</v>
      </c>
      <c r="AV57" s="528">
        <f t="shared" si="26"/>
        <v>0.44210525000000045</v>
      </c>
      <c r="AW57" s="528">
        <f t="shared" si="26"/>
        <v>0.44210525000000045</v>
      </c>
      <c r="AX57" s="528">
        <f t="shared" si="26"/>
        <v>0.44210525000000045</v>
      </c>
      <c r="AY57" s="528">
        <f t="shared" si="26"/>
        <v>0.44210525000000045</v>
      </c>
      <c r="AZ57" s="528">
        <f t="shared" si="26"/>
        <v>0.44210525000000045</v>
      </c>
      <c r="BA57" s="528">
        <f t="shared" si="26"/>
        <v>0.44210525000000045</v>
      </c>
      <c r="BB57" s="528">
        <f t="shared" si="26"/>
        <v>0.44210525000000045</v>
      </c>
      <c r="BC57" s="528">
        <f t="shared" si="26"/>
        <v>0.44210525000000045</v>
      </c>
      <c r="BD57" s="528">
        <f t="shared" si="26"/>
        <v>0.44210525000000045</v>
      </c>
      <c r="BE57" s="528">
        <f t="shared" si="26"/>
        <v>0.44210525000000045</v>
      </c>
      <c r="BF57" s="528">
        <f t="shared" si="26"/>
        <v>0.44210525000000045</v>
      </c>
      <c r="BG57" s="528">
        <f t="shared" si="26"/>
        <v>0.44210525000000045</v>
      </c>
      <c r="BH57" s="528">
        <f t="shared" si="26"/>
        <v>0.44210525000000045</v>
      </c>
      <c r="BI57" s="528">
        <f t="shared" si="26"/>
        <v>0.44210525000000045</v>
      </c>
      <c r="BJ57" s="528">
        <f t="shared" si="26"/>
        <v>0.44210525000000045</v>
      </c>
      <c r="BK57" s="528">
        <f t="shared" si="26"/>
        <v>0.44210525000000045</v>
      </c>
      <c r="BL57" s="528">
        <f t="shared" si="26"/>
        <v>0.44210525000000045</v>
      </c>
      <c r="BM57" s="528">
        <f t="shared" si="26"/>
        <v>0.44210525000000045</v>
      </c>
      <c r="BN57" s="528">
        <f t="shared" si="26"/>
        <v>0.44210525000000045</v>
      </c>
      <c r="BO57" s="528">
        <f t="shared" si="26"/>
        <v>0.44210525000000045</v>
      </c>
      <c r="BP57" s="528">
        <f t="shared" si="26"/>
        <v>0.44210525000000045</v>
      </c>
      <c r="BQ57" s="528">
        <f t="shared" si="26"/>
        <v>0.44210525000000045</v>
      </c>
      <c r="BR57" s="528">
        <f t="shared" si="26"/>
        <v>0.44210525000000045</v>
      </c>
      <c r="BS57" s="528">
        <f t="shared" si="26"/>
        <v>0.44210525000000045</v>
      </c>
      <c r="BT57" s="528">
        <f t="shared" si="26"/>
        <v>0.44210525000000045</v>
      </c>
      <c r="BU57" s="528">
        <f t="shared" si="26"/>
        <v>0.44210525000000045</v>
      </c>
      <c r="BV57" s="528">
        <f t="shared" si="26"/>
        <v>0.44210525000000045</v>
      </c>
      <c r="BW57" s="528">
        <f t="shared" si="26"/>
        <v>0.44210525000000045</v>
      </c>
      <c r="BX57" s="528">
        <f t="shared" si="26"/>
        <v>0.44210525000000045</v>
      </c>
      <c r="BY57" s="528">
        <f t="shared" si="26"/>
        <v>0.44210525000000045</v>
      </c>
      <c r="BZ57" s="528">
        <f t="shared" si="26"/>
        <v>0.44210525000000045</v>
      </c>
      <c r="CA57" s="528">
        <f t="shared" si="26"/>
        <v>0.44210525000000045</v>
      </c>
      <c r="CB57" s="528">
        <f t="shared" si="23"/>
        <v>0.44210525000000045</v>
      </c>
      <c r="CC57" s="528">
        <f t="shared" si="23"/>
        <v>0.44210525000000045</v>
      </c>
      <c r="CD57" s="528">
        <f t="shared" si="23"/>
        <v>0.44210525000000045</v>
      </c>
      <c r="CE57" s="528">
        <f t="shared" si="23"/>
        <v>0.44210525000000045</v>
      </c>
      <c r="CF57" s="528">
        <f t="shared" si="23"/>
        <v>0.44210525000000045</v>
      </c>
    </row>
    <row r="58" spans="2:84">
      <c r="B58" t="s">
        <v>763</v>
      </c>
      <c r="C58" t="s">
        <v>1352</v>
      </c>
      <c r="D58" t="s">
        <v>708</v>
      </c>
      <c r="E58" t="s">
        <v>1353</v>
      </c>
      <c r="F58" t="str">
        <f t="shared" si="16"/>
        <v>e-methane liquefied (PS)CapExGlobal</v>
      </c>
      <c r="G58" s="525">
        <v>10495.647932937727</v>
      </c>
      <c r="H58" s="525">
        <v>10147.481403617419</v>
      </c>
      <c r="I58" s="525">
        <v>9795.5707762556722</v>
      </c>
      <c r="J58" s="525">
        <v>9546.0138613355703</v>
      </c>
      <c r="K58" s="525">
        <v>9289.501247724842</v>
      </c>
      <c r="L58" s="525">
        <v>9026.0329354235637</v>
      </c>
      <c r="M58" s="525">
        <v>8755.6089244317554</v>
      </c>
      <c r="N58" s="525">
        <v>8478.229214749319</v>
      </c>
      <c r="O58" s="525">
        <v>8470.9639316664543</v>
      </c>
      <c r="P58" s="525">
        <v>8447.4772446148418</v>
      </c>
      <c r="Q58" s="525">
        <v>8407.7691535944377</v>
      </c>
      <c r="R58" s="525">
        <v>8351.8396586051695</v>
      </c>
      <c r="S58" s="525">
        <v>8279.6887596471697</v>
      </c>
      <c r="T58" s="525">
        <v>8181.4084989944749</v>
      </c>
      <c r="U58" s="525">
        <v>8069.7399405248152</v>
      </c>
      <c r="V58" s="525">
        <v>7944.6830842383242</v>
      </c>
      <c r="W58" s="525">
        <v>7806.2379301348737</v>
      </c>
      <c r="X58" s="525">
        <v>7654.4044782144119</v>
      </c>
      <c r="Y58" s="525">
        <v>7466.5787776870402</v>
      </c>
      <c r="Z58" s="525">
        <v>7268.6508595687728</v>
      </c>
      <c r="AA58" s="525">
        <v>7060.6207238597117</v>
      </c>
      <c r="AB58" s="525">
        <v>6842.4883705597867</v>
      </c>
      <c r="AC58" s="525">
        <v>6614.253799668978</v>
      </c>
      <c r="AD58" s="525">
        <v>6374.2508636088878</v>
      </c>
      <c r="AE58" s="525">
        <v>6127.9290384429905</v>
      </c>
      <c r="AF58" s="525">
        <v>5875.2883241712907</v>
      </c>
      <c r="AG58" s="525">
        <v>5616.3287207937847</v>
      </c>
      <c r="AH58" s="525">
        <v>5351.0502283104752</v>
      </c>
      <c r="AI58" s="526">
        <f>AH58</f>
        <v>5351.0502283104752</v>
      </c>
      <c r="AJ58" s="526">
        <f t="shared" ref="AJ58:CF66" si="27">AI58</f>
        <v>5351.0502283104752</v>
      </c>
      <c r="AK58" s="526">
        <f t="shared" si="27"/>
        <v>5351.0502283104752</v>
      </c>
      <c r="AL58" s="526">
        <f t="shared" si="27"/>
        <v>5351.0502283104752</v>
      </c>
      <c r="AM58" s="526">
        <f t="shared" si="27"/>
        <v>5351.0502283104752</v>
      </c>
      <c r="AN58" s="526">
        <f t="shared" si="27"/>
        <v>5351.0502283104752</v>
      </c>
      <c r="AO58" s="526">
        <f t="shared" si="27"/>
        <v>5351.0502283104752</v>
      </c>
      <c r="AP58" s="526">
        <f t="shared" si="27"/>
        <v>5351.0502283104752</v>
      </c>
      <c r="AQ58" s="526">
        <f t="shared" si="27"/>
        <v>5351.0502283104752</v>
      </c>
      <c r="AR58" s="526">
        <f t="shared" si="27"/>
        <v>5351.0502283104752</v>
      </c>
      <c r="AS58" s="526">
        <f t="shared" si="27"/>
        <v>5351.0502283104752</v>
      </c>
      <c r="AT58" s="526">
        <f t="shared" si="27"/>
        <v>5351.0502283104752</v>
      </c>
      <c r="AU58" s="526">
        <f t="shared" si="27"/>
        <v>5351.0502283104752</v>
      </c>
      <c r="AV58" s="526">
        <f t="shared" si="27"/>
        <v>5351.0502283104752</v>
      </c>
      <c r="AW58" s="526">
        <f t="shared" si="27"/>
        <v>5351.0502283104752</v>
      </c>
      <c r="AX58" s="526">
        <f t="shared" si="27"/>
        <v>5351.0502283104752</v>
      </c>
      <c r="AY58" s="526">
        <f t="shared" si="27"/>
        <v>5351.0502283104752</v>
      </c>
      <c r="AZ58" s="526">
        <f t="shared" si="27"/>
        <v>5351.0502283104752</v>
      </c>
      <c r="BA58" s="526">
        <f t="shared" si="27"/>
        <v>5351.0502283104752</v>
      </c>
      <c r="BB58" s="526">
        <f t="shared" si="27"/>
        <v>5351.0502283104752</v>
      </c>
      <c r="BC58" s="526">
        <f t="shared" si="27"/>
        <v>5351.0502283104752</v>
      </c>
      <c r="BD58" s="526">
        <f t="shared" si="27"/>
        <v>5351.0502283104752</v>
      </c>
      <c r="BE58" s="526">
        <f t="shared" si="27"/>
        <v>5351.0502283104752</v>
      </c>
      <c r="BF58" s="526">
        <f t="shared" si="27"/>
        <v>5351.0502283104752</v>
      </c>
      <c r="BG58" s="526">
        <f t="shared" si="27"/>
        <v>5351.0502283104752</v>
      </c>
      <c r="BH58" s="526">
        <f t="shared" si="27"/>
        <v>5351.0502283104752</v>
      </c>
      <c r="BI58" s="526">
        <f t="shared" si="27"/>
        <v>5351.0502283104752</v>
      </c>
      <c r="BJ58" s="526">
        <f t="shared" si="27"/>
        <v>5351.0502283104752</v>
      </c>
      <c r="BK58" s="526">
        <f t="shared" si="27"/>
        <v>5351.0502283104752</v>
      </c>
      <c r="BL58" s="526">
        <f t="shared" si="27"/>
        <v>5351.0502283104752</v>
      </c>
      <c r="BM58" s="526">
        <f t="shared" si="27"/>
        <v>5351.0502283104752</v>
      </c>
      <c r="BN58" s="526">
        <f t="shared" si="27"/>
        <v>5351.0502283104752</v>
      </c>
      <c r="BO58" s="526">
        <f t="shared" si="27"/>
        <v>5351.0502283104752</v>
      </c>
      <c r="BP58" s="526">
        <f t="shared" si="27"/>
        <v>5351.0502283104752</v>
      </c>
      <c r="BQ58" s="526">
        <f t="shared" si="27"/>
        <v>5351.0502283104752</v>
      </c>
      <c r="BR58" s="526">
        <f t="shared" si="27"/>
        <v>5351.0502283104752</v>
      </c>
      <c r="BS58" s="526">
        <f t="shared" si="27"/>
        <v>5351.0502283104752</v>
      </c>
      <c r="BT58" s="526">
        <f t="shared" si="27"/>
        <v>5351.0502283104752</v>
      </c>
      <c r="BU58" s="526">
        <f t="shared" si="27"/>
        <v>5351.0502283104752</v>
      </c>
      <c r="BV58" s="526">
        <f t="shared" si="27"/>
        <v>5351.0502283104752</v>
      </c>
      <c r="BW58" s="526">
        <f t="shared" si="27"/>
        <v>5351.0502283104752</v>
      </c>
      <c r="BX58" s="526">
        <f t="shared" si="27"/>
        <v>5351.0502283104752</v>
      </c>
      <c r="BY58" s="526">
        <f t="shared" si="27"/>
        <v>5351.0502283104752</v>
      </c>
      <c r="BZ58" s="526">
        <f t="shared" si="27"/>
        <v>5351.0502283104752</v>
      </c>
      <c r="CA58" s="526">
        <f t="shared" si="27"/>
        <v>5351.0502283104752</v>
      </c>
      <c r="CB58" s="526">
        <f t="shared" si="27"/>
        <v>5351.0502283104752</v>
      </c>
      <c r="CC58" s="526">
        <f t="shared" si="27"/>
        <v>5351.0502283104752</v>
      </c>
      <c r="CD58" s="526">
        <f t="shared" si="27"/>
        <v>5351.0502283104752</v>
      </c>
      <c r="CE58" s="526">
        <f t="shared" si="27"/>
        <v>5351.0502283104752</v>
      </c>
      <c r="CF58" s="526">
        <f t="shared" si="27"/>
        <v>5351.0502283104752</v>
      </c>
    </row>
    <row r="59" spans="2:84">
      <c r="B59" t="s">
        <v>763</v>
      </c>
      <c r="C59" t="s">
        <v>1354</v>
      </c>
      <c r="D59" t="s">
        <v>838</v>
      </c>
      <c r="E59" t="s">
        <v>1353</v>
      </c>
      <c r="F59" t="str">
        <f t="shared" si="16"/>
        <v>e-methane liquefied (PS)OpExAfrica</v>
      </c>
      <c r="G59" s="525">
        <v>2949.3980820456964</v>
      </c>
      <c r="H59" s="525">
        <v>2699.4425170310483</v>
      </c>
      <c r="I59" s="525">
        <v>2448.2759881536172</v>
      </c>
      <c r="J59" s="525">
        <v>2356.8496074216828</v>
      </c>
      <c r="K59" s="525">
        <v>2263.0802033851787</v>
      </c>
      <c r="L59" s="525">
        <v>2167.0191694650375</v>
      </c>
      <c r="M59" s="525">
        <v>2068.7178990822295</v>
      </c>
      <c r="N59" s="525">
        <v>1968.2277856576711</v>
      </c>
      <c r="O59" s="525">
        <v>1927.0192617149005</v>
      </c>
      <c r="P59" s="525">
        <v>1882.5631617882082</v>
      </c>
      <c r="Q59" s="525">
        <v>1834.8871676958215</v>
      </c>
      <c r="R59" s="525">
        <v>1784.0189612559925</v>
      </c>
      <c r="S59" s="525">
        <v>1729.9862242870045</v>
      </c>
      <c r="T59" s="525">
        <v>1691.369193129294</v>
      </c>
      <c r="U59" s="525">
        <v>1650.5928535408793</v>
      </c>
      <c r="V59" s="525">
        <v>1607.6662382042753</v>
      </c>
      <c r="W59" s="525">
        <v>1562.598379801894</v>
      </c>
      <c r="X59" s="525">
        <v>1515.398311016231</v>
      </c>
      <c r="Y59" s="525">
        <v>1465.8856278176381</v>
      </c>
      <c r="Z59" s="525">
        <v>1415.4997888039259</v>
      </c>
      <c r="AA59" s="525">
        <v>1364.2355119058866</v>
      </c>
      <c r="AB59" s="525">
        <v>1312.0875150542652</v>
      </c>
      <c r="AC59" s="525">
        <v>1259.0505161798369</v>
      </c>
      <c r="AD59" s="525">
        <v>1217.1129865227995</v>
      </c>
      <c r="AE59" s="525">
        <v>1174.7795770657053</v>
      </c>
      <c r="AF59" s="525">
        <v>1132.0469593324035</v>
      </c>
      <c r="AG59" s="525">
        <v>1088.9118048467558</v>
      </c>
      <c r="AH59" s="525">
        <v>1045.3707851326244</v>
      </c>
      <c r="AI59" s="526">
        <f t="shared" ref="AI59:CA64" si="28">AH59</f>
        <v>1045.3707851326244</v>
      </c>
      <c r="AJ59" s="526">
        <f t="shared" si="28"/>
        <v>1045.3707851326244</v>
      </c>
      <c r="AK59" s="526">
        <f t="shared" si="28"/>
        <v>1045.3707851326244</v>
      </c>
      <c r="AL59" s="526">
        <f t="shared" si="28"/>
        <v>1045.3707851326244</v>
      </c>
      <c r="AM59" s="526">
        <f t="shared" si="28"/>
        <v>1045.3707851326244</v>
      </c>
      <c r="AN59" s="526">
        <f t="shared" si="28"/>
        <v>1045.3707851326244</v>
      </c>
      <c r="AO59" s="526">
        <f t="shared" si="28"/>
        <v>1045.3707851326244</v>
      </c>
      <c r="AP59" s="526">
        <f t="shared" si="28"/>
        <v>1045.3707851326244</v>
      </c>
      <c r="AQ59" s="526">
        <f t="shared" si="28"/>
        <v>1045.3707851326244</v>
      </c>
      <c r="AR59" s="526">
        <f t="shared" si="28"/>
        <v>1045.3707851326244</v>
      </c>
      <c r="AS59" s="526">
        <f t="shared" si="28"/>
        <v>1045.3707851326244</v>
      </c>
      <c r="AT59" s="526">
        <f t="shared" si="28"/>
        <v>1045.3707851326244</v>
      </c>
      <c r="AU59" s="526">
        <f t="shared" si="28"/>
        <v>1045.3707851326244</v>
      </c>
      <c r="AV59" s="526">
        <f t="shared" si="28"/>
        <v>1045.3707851326244</v>
      </c>
      <c r="AW59" s="526">
        <f t="shared" si="28"/>
        <v>1045.3707851326244</v>
      </c>
      <c r="AX59" s="526">
        <f t="shared" si="28"/>
        <v>1045.3707851326244</v>
      </c>
      <c r="AY59" s="526">
        <f t="shared" si="28"/>
        <v>1045.3707851326244</v>
      </c>
      <c r="AZ59" s="526">
        <f t="shared" si="28"/>
        <v>1045.3707851326244</v>
      </c>
      <c r="BA59" s="526">
        <f t="shared" si="28"/>
        <v>1045.3707851326244</v>
      </c>
      <c r="BB59" s="526">
        <f t="shared" si="28"/>
        <v>1045.3707851326244</v>
      </c>
      <c r="BC59" s="526">
        <f t="shared" si="28"/>
        <v>1045.3707851326244</v>
      </c>
      <c r="BD59" s="526">
        <f t="shared" si="28"/>
        <v>1045.3707851326244</v>
      </c>
      <c r="BE59" s="526">
        <f t="shared" si="28"/>
        <v>1045.3707851326244</v>
      </c>
      <c r="BF59" s="526">
        <f t="shared" si="28"/>
        <v>1045.3707851326244</v>
      </c>
      <c r="BG59" s="526">
        <f t="shared" si="28"/>
        <v>1045.3707851326244</v>
      </c>
      <c r="BH59" s="526">
        <f t="shared" si="28"/>
        <v>1045.3707851326244</v>
      </c>
      <c r="BI59" s="526">
        <f t="shared" si="28"/>
        <v>1045.3707851326244</v>
      </c>
      <c r="BJ59" s="526">
        <f t="shared" si="28"/>
        <v>1045.3707851326244</v>
      </c>
      <c r="BK59" s="526">
        <f t="shared" si="28"/>
        <v>1045.3707851326244</v>
      </c>
      <c r="BL59" s="526">
        <f t="shared" si="28"/>
        <v>1045.3707851326244</v>
      </c>
      <c r="BM59" s="526">
        <f t="shared" si="28"/>
        <v>1045.3707851326244</v>
      </c>
      <c r="BN59" s="526">
        <f t="shared" si="28"/>
        <v>1045.3707851326244</v>
      </c>
      <c r="BO59" s="526">
        <f t="shared" si="28"/>
        <v>1045.3707851326244</v>
      </c>
      <c r="BP59" s="526">
        <f t="shared" si="28"/>
        <v>1045.3707851326244</v>
      </c>
      <c r="BQ59" s="526">
        <f t="shared" si="28"/>
        <v>1045.3707851326244</v>
      </c>
      <c r="BR59" s="526">
        <f t="shared" si="28"/>
        <v>1045.3707851326244</v>
      </c>
      <c r="BS59" s="526">
        <f t="shared" si="28"/>
        <v>1045.3707851326244</v>
      </c>
      <c r="BT59" s="526">
        <f t="shared" si="28"/>
        <v>1045.3707851326244</v>
      </c>
      <c r="BU59" s="526">
        <f t="shared" si="28"/>
        <v>1045.3707851326244</v>
      </c>
      <c r="BV59" s="526">
        <f t="shared" si="28"/>
        <v>1045.3707851326244</v>
      </c>
      <c r="BW59" s="526">
        <f t="shared" si="28"/>
        <v>1045.3707851326244</v>
      </c>
      <c r="BX59" s="526">
        <f t="shared" si="28"/>
        <v>1045.3707851326244</v>
      </c>
      <c r="BY59" s="526">
        <f t="shared" si="28"/>
        <v>1045.3707851326244</v>
      </c>
      <c r="BZ59" s="526">
        <f t="shared" si="28"/>
        <v>1045.3707851326244</v>
      </c>
      <c r="CA59" s="526">
        <f t="shared" si="28"/>
        <v>1045.3707851326244</v>
      </c>
      <c r="CB59" s="526">
        <f t="shared" si="27"/>
        <v>1045.3707851326244</v>
      </c>
      <c r="CC59" s="526">
        <f t="shared" si="27"/>
        <v>1045.3707851326244</v>
      </c>
      <c r="CD59" s="526">
        <f t="shared" si="27"/>
        <v>1045.3707851326244</v>
      </c>
      <c r="CE59" s="526">
        <f t="shared" si="27"/>
        <v>1045.3707851326244</v>
      </c>
      <c r="CF59" s="526">
        <f t="shared" si="27"/>
        <v>1045.3707851326244</v>
      </c>
    </row>
    <row r="60" spans="2:84">
      <c r="B60" t="s">
        <v>763</v>
      </c>
      <c r="C60" t="s">
        <v>1354</v>
      </c>
      <c r="D60" t="s">
        <v>731</v>
      </c>
      <c r="E60" t="s">
        <v>1353</v>
      </c>
      <c r="F60" t="str">
        <f t="shared" si="16"/>
        <v>e-methane liquefied (PS)OpExAmericas</v>
      </c>
      <c r="G60" s="525">
        <v>2313.4141811060026</v>
      </c>
      <c r="H60" s="525">
        <v>2242.6023577435053</v>
      </c>
      <c r="I60" s="525">
        <v>2170.2542091247869</v>
      </c>
      <c r="J60" s="525">
        <v>2097.6402320194998</v>
      </c>
      <c r="K60" s="525">
        <v>2022.6897876251999</v>
      </c>
      <c r="L60" s="525">
        <v>1945.4374076174133</v>
      </c>
      <c r="M60" s="525">
        <v>1865.9176236717271</v>
      </c>
      <c r="N60" s="525">
        <v>1784.164967463603</v>
      </c>
      <c r="O60" s="525">
        <v>1756.9461048585381</v>
      </c>
      <c r="P60" s="525">
        <v>1726.3715998268272</v>
      </c>
      <c r="Q60" s="525">
        <v>1692.4574870817034</v>
      </c>
      <c r="R60" s="525">
        <v>1655.2198013363836</v>
      </c>
      <c r="S60" s="525">
        <v>1614.6745773041448</v>
      </c>
      <c r="T60" s="525">
        <v>1576.9855662926177</v>
      </c>
      <c r="U60" s="525">
        <v>1537.1614666411297</v>
      </c>
      <c r="V60" s="525">
        <v>1495.2112893721239</v>
      </c>
      <c r="W60" s="525">
        <v>1451.1440455079533</v>
      </c>
      <c r="X60" s="525">
        <v>1404.968746071032</v>
      </c>
      <c r="Y60" s="525">
        <v>1365.0662967355868</v>
      </c>
      <c r="Z60" s="525">
        <v>1324.0829728252747</v>
      </c>
      <c r="AA60" s="525">
        <v>1282.0167098314046</v>
      </c>
      <c r="AB60" s="525">
        <v>1238.8654432452211</v>
      </c>
      <c r="AC60" s="525">
        <v>1194.6271085580204</v>
      </c>
      <c r="AD60" s="525">
        <v>1155.8545030514724</v>
      </c>
      <c r="AE60" s="525">
        <v>1116.6254361017095</v>
      </c>
      <c r="AF60" s="525">
        <v>1076.9379080847771</v>
      </c>
      <c r="AG60" s="525">
        <v>1036.7899193767241</v>
      </c>
      <c r="AH60" s="525">
        <v>996.1794703535993</v>
      </c>
      <c r="AI60" s="526">
        <f t="shared" si="28"/>
        <v>996.1794703535993</v>
      </c>
      <c r="AJ60" s="526">
        <f t="shared" si="28"/>
        <v>996.1794703535993</v>
      </c>
      <c r="AK60" s="526">
        <f t="shared" si="28"/>
        <v>996.1794703535993</v>
      </c>
      <c r="AL60" s="526">
        <f t="shared" si="28"/>
        <v>996.1794703535993</v>
      </c>
      <c r="AM60" s="526">
        <f t="shared" si="28"/>
        <v>996.1794703535993</v>
      </c>
      <c r="AN60" s="526">
        <f t="shared" si="28"/>
        <v>996.1794703535993</v>
      </c>
      <c r="AO60" s="526">
        <f t="shared" si="28"/>
        <v>996.1794703535993</v>
      </c>
      <c r="AP60" s="526">
        <f t="shared" si="28"/>
        <v>996.1794703535993</v>
      </c>
      <c r="AQ60" s="526">
        <f t="shared" si="28"/>
        <v>996.1794703535993</v>
      </c>
      <c r="AR60" s="526">
        <f t="shared" si="28"/>
        <v>996.1794703535993</v>
      </c>
      <c r="AS60" s="526">
        <f t="shared" si="28"/>
        <v>996.1794703535993</v>
      </c>
      <c r="AT60" s="526">
        <f t="shared" si="28"/>
        <v>996.1794703535993</v>
      </c>
      <c r="AU60" s="526">
        <f t="shared" si="28"/>
        <v>996.1794703535993</v>
      </c>
      <c r="AV60" s="526">
        <f t="shared" si="28"/>
        <v>996.1794703535993</v>
      </c>
      <c r="AW60" s="526">
        <f t="shared" si="28"/>
        <v>996.1794703535993</v>
      </c>
      <c r="AX60" s="526">
        <f t="shared" si="28"/>
        <v>996.1794703535993</v>
      </c>
      <c r="AY60" s="526">
        <f t="shared" si="28"/>
        <v>996.1794703535993</v>
      </c>
      <c r="AZ60" s="526">
        <f t="shared" si="28"/>
        <v>996.1794703535993</v>
      </c>
      <c r="BA60" s="526">
        <f t="shared" si="28"/>
        <v>996.1794703535993</v>
      </c>
      <c r="BB60" s="526">
        <f t="shared" si="28"/>
        <v>996.1794703535993</v>
      </c>
      <c r="BC60" s="526">
        <f t="shared" si="28"/>
        <v>996.1794703535993</v>
      </c>
      <c r="BD60" s="526">
        <f t="shared" si="28"/>
        <v>996.1794703535993</v>
      </c>
      <c r="BE60" s="526">
        <f t="shared" si="28"/>
        <v>996.1794703535993</v>
      </c>
      <c r="BF60" s="526">
        <f t="shared" si="28"/>
        <v>996.1794703535993</v>
      </c>
      <c r="BG60" s="526">
        <f t="shared" si="28"/>
        <v>996.1794703535993</v>
      </c>
      <c r="BH60" s="526">
        <f t="shared" si="28"/>
        <v>996.1794703535993</v>
      </c>
      <c r="BI60" s="526">
        <f t="shared" si="28"/>
        <v>996.1794703535993</v>
      </c>
      <c r="BJ60" s="526">
        <f t="shared" si="28"/>
        <v>996.1794703535993</v>
      </c>
      <c r="BK60" s="526">
        <f t="shared" si="28"/>
        <v>996.1794703535993</v>
      </c>
      <c r="BL60" s="526">
        <f t="shared" si="28"/>
        <v>996.1794703535993</v>
      </c>
      <c r="BM60" s="526">
        <f t="shared" si="28"/>
        <v>996.1794703535993</v>
      </c>
      <c r="BN60" s="526">
        <f t="shared" si="28"/>
        <v>996.1794703535993</v>
      </c>
      <c r="BO60" s="526">
        <f t="shared" si="28"/>
        <v>996.1794703535993</v>
      </c>
      <c r="BP60" s="526">
        <f t="shared" si="28"/>
        <v>996.1794703535993</v>
      </c>
      <c r="BQ60" s="526">
        <f t="shared" si="28"/>
        <v>996.1794703535993</v>
      </c>
      <c r="BR60" s="526">
        <f t="shared" si="28"/>
        <v>996.1794703535993</v>
      </c>
      <c r="BS60" s="526">
        <f t="shared" si="28"/>
        <v>996.1794703535993</v>
      </c>
      <c r="BT60" s="526">
        <f t="shared" si="28"/>
        <v>996.1794703535993</v>
      </c>
      <c r="BU60" s="526">
        <f t="shared" si="28"/>
        <v>996.1794703535993</v>
      </c>
      <c r="BV60" s="526">
        <f t="shared" si="28"/>
        <v>996.1794703535993</v>
      </c>
      <c r="BW60" s="526">
        <f t="shared" si="28"/>
        <v>996.1794703535993</v>
      </c>
      <c r="BX60" s="526">
        <f t="shared" si="28"/>
        <v>996.1794703535993</v>
      </c>
      <c r="BY60" s="526">
        <f t="shared" si="28"/>
        <v>996.1794703535993</v>
      </c>
      <c r="BZ60" s="526">
        <f t="shared" si="28"/>
        <v>996.1794703535993</v>
      </c>
      <c r="CA60" s="526">
        <f t="shared" si="28"/>
        <v>996.1794703535993</v>
      </c>
      <c r="CB60" s="526">
        <f t="shared" si="27"/>
        <v>996.1794703535993</v>
      </c>
      <c r="CC60" s="526">
        <f t="shared" si="27"/>
        <v>996.1794703535993</v>
      </c>
      <c r="CD60" s="526">
        <f t="shared" si="27"/>
        <v>996.1794703535993</v>
      </c>
      <c r="CE60" s="526">
        <f t="shared" si="27"/>
        <v>996.1794703535993</v>
      </c>
      <c r="CF60" s="526">
        <f t="shared" si="27"/>
        <v>996.1794703535993</v>
      </c>
    </row>
    <row r="61" spans="2:84">
      <c r="B61" t="s">
        <v>763</v>
      </c>
      <c r="C61" t="s">
        <v>1354</v>
      </c>
      <c r="D61" t="s">
        <v>750</v>
      </c>
      <c r="E61" t="s">
        <v>1353</v>
      </c>
      <c r="F61" t="str">
        <f t="shared" si="16"/>
        <v>e-methane liquefied (PS)OpExAsia</v>
      </c>
      <c r="G61" s="525">
        <v>3141.3949948121603</v>
      </c>
      <c r="H61" s="525">
        <v>2924.8967562898661</v>
      </c>
      <c r="I61" s="525">
        <v>2707.0696091304017</v>
      </c>
      <c r="J61" s="525">
        <v>2611.2105206602091</v>
      </c>
      <c r="K61" s="525">
        <v>2512.9460846820693</v>
      </c>
      <c r="L61" s="525">
        <v>2412.3313402277299</v>
      </c>
      <c r="M61" s="525">
        <v>2309.4213263290803</v>
      </c>
      <c r="N61" s="525">
        <v>2204.2710820179</v>
      </c>
      <c r="O61" s="525">
        <v>2152.336515659727</v>
      </c>
      <c r="P61" s="525">
        <v>2097.2015976915927</v>
      </c>
      <c r="Q61" s="525">
        <v>2038.9024256342541</v>
      </c>
      <c r="R61" s="525">
        <v>1977.4750970084269</v>
      </c>
      <c r="S61" s="525">
        <v>1912.955709334944</v>
      </c>
      <c r="T61" s="525">
        <v>1867.2335048530138</v>
      </c>
      <c r="U61" s="525">
        <v>1819.4040846325045</v>
      </c>
      <c r="V61" s="525">
        <v>1769.4801718838032</v>
      </c>
      <c r="W61" s="525">
        <v>1717.4744898171539</v>
      </c>
      <c r="X61" s="525">
        <v>1663.3997616429212</v>
      </c>
      <c r="Y61" s="525">
        <v>1606.2364171714721</v>
      </c>
      <c r="Z61" s="525">
        <v>1548.3566905349794</v>
      </c>
      <c r="AA61" s="525">
        <v>1489.7530079952953</v>
      </c>
      <c r="AB61" s="525">
        <v>1430.4177958142245</v>
      </c>
      <c r="AC61" s="525">
        <v>1370.3434802536049</v>
      </c>
      <c r="AD61" s="525">
        <v>1325.1574487095299</v>
      </c>
      <c r="AE61" s="525">
        <v>1279.6368682038142</v>
      </c>
      <c r="AF61" s="525">
        <v>1233.7772796602749</v>
      </c>
      <c r="AG61" s="525">
        <v>1187.5742240027234</v>
      </c>
      <c r="AH61" s="525">
        <v>1141.0232421549731</v>
      </c>
      <c r="AI61" s="526">
        <f t="shared" si="28"/>
        <v>1141.0232421549731</v>
      </c>
      <c r="AJ61" s="526">
        <f t="shared" si="28"/>
        <v>1141.0232421549731</v>
      </c>
      <c r="AK61" s="526">
        <f t="shared" si="28"/>
        <v>1141.0232421549731</v>
      </c>
      <c r="AL61" s="526">
        <f t="shared" si="28"/>
        <v>1141.0232421549731</v>
      </c>
      <c r="AM61" s="526">
        <f t="shared" si="28"/>
        <v>1141.0232421549731</v>
      </c>
      <c r="AN61" s="526">
        <f t="shared" si="28"/>
        <v>1141.0232421549731</v>
      </c>
      <c r="AO61" s="526">
        <f t="shared" si="28"/>
        <v>1141.0232421549731</v>
      </c>
      <c r="AP61" s="526">
        <f t="shared" si="28"/>
        <v>1141.0232421549731</v>
      </c>
      <c r="AQ61" s="526">
        <f t="shared" si="28"/>
        <v>1141.0232421549731</v>
      </c>
      <c r="AR61" s="526">
        <f t="shared" si="28"/>
        <v>1141.0232421549731</v>
      </c>
      <c r="AS61" s="526">
        <f t="shared" si="28"/>
        <v>1141.0232421549731</v>
      </c>
      <c r="AT61" s="526">
        <f t="shared" si="28"/>
        <v>1141.0232421549731</v>
      </c>
      <c r="AU61" s="526">
        <f t="shared" si="28"/>
        <v>1141.0232421549731</v>
      </c>
      <c r="AV61" s="526">
        <f t="shared" si="28"/>
        <v>1141.0232421549731</v>
      </c>
      <c r="AW61" s="526">
        <f t="shared" si="28"/>
        <v>1141.0232421549731</v>
      </c>
      <c r="AX61" s="526">
        <f t="shared" si="28"/>
        <v>1141.0232421549731</v>
      </c>
      <c r="AY61" s="526">
        <f t="shared" si="28"/>
        <v>1141.0232421549731</v>
      </c>
      <c r="AZ61" s="526">
        <f t="shared" si="28"/>
        <v>1141.0232421549731</v>
      </c>
      <c r="BA61" s="526">
        <f t="shared" si="28"/>
        <v>1141.0232421549731</v>
      </c>
      <c r="BB61" s="526">
        <f t="shared" si="28"/>
        <v>1141.0232421549731</v>
      </c>
      <c r="BC61" s="526">
        <f t="shared" si="28"/>
        <v>1141.0232421549731</v>
      </c>
      <c r="BD61" s="526">
        <f t="shared" si="28"/>
        <v>1141.0232421549731</v>
      </c>
      <c r="BE61" s="526">
        <f t="shared" si="28"/>
        <v>1141.0232421549731</v>
      </c>
      <c r="BF61" s="526">
        <f t="shared" si="28"/>
        <v>1141.0232421549731</v>
      </c>
      <c r="BG61" s="526">
        <f t="shared" si="28"/>
        <v>1141.0232421549731</v>
      </c>
      <c r="BH61" s="526">
        <f t="shared" si="28"/>
        <v>1141.0232421549731</v>
      </c>
      <c r="BI61" s="526">
        <f t="shared" si="28"/>
        <v>1141.0232421549731</v>
      </c>
      <c r="BJ61" s="526">
        <f t="shared" si="28"/>
        <v>1141.0232421549731</v>
      </c>
      <c r="BK61" s="526">
        <f t="shared" si="28"/>
        <v>1141.0232421549731</v>
      </c>
      <c r="BL61" s="526">
        <f t="shared" si="28"/>
        <v>1141.0232421549731</v>
      </c>
      <c r="BM61" s="526">
        <f t="shared" si="28"/>
        <v>1141.0232421549731</v>
      </c>
      <c r="BN61" s="526">
        <f t="shared" si="28"/>
        <v>1141.0232421549731</v>
      </c>
      <c r="BO61" s="526">
        <f t="shared" si="28"/>
        <v>1141.0232421549731</v>
      </c>
      <c r="BP61" s="526">
        <f t="shared" si="28"/>
        <v>1141.0232421549731</v>
      </c>
      <c r="BQ61" s="526">
        <f t="shared" si="28"/>
        <v>1141.0232421549731</v>
      </c>
      <c r="BR61" s="526">
        <f t="shared" si="28"/>
        <v>1141.0232421549731</v>
      </c>
      <c r="BS61" s="526">
        <f t="shared" si="28"/>
        <v>1141.0232421549731</v>
      </c>
      <c r="BT61" s="526">
        <f t="shared" si="28"/>
        <v>1141.0232421549731</v>
      </c>
      <c r="BU61" s="526">
        <f t="shared" si="28"/>
        <v>1141.0232421549731</v>
      </c>
      <c r="BV61" s="526">
        <f t="shared" si="28"/>
        <v>1141.0232421549731</v>
      </c>
      <c r="BW61" s="526">
        <f t="shared" si="28"/>
        <v>1141.0232421549731</v>
      </c>
      <c r="BX61" s="526">
        <f t="shared" si="28"/>
        <v>1141.0232421549731</v>
      </c>
      <c r="BY61" s="526">
        <f t="shared" si="28"/>
        <v>1141.0232421549731</v>
      </c>
      <c r="BZ61" s="526">
        <f t="shared" si="28"/>
        <v>1141.0232421549731</v>
      </c>
      <c r="CA61" s="526">
        <f t="shared" si="28"/>
        <v>1141.0232421549731</v>
      </c>
      <c r="CB61" s="526">
        <f t="shared" si="27"/>
        <v>1141.0232421549731</v>
      </c>
      <c r="CC61" s="526">
        <f t="shared" si="27"/>
        <v>1141.0232421549731</v>
      </c>
      <c r="CD61" s="526">
        <f t="shared" si="27"/>
        <v>1141.0232421549731</v>
      </c>
      <c r="CE61" s="526">
        <f t="shared" si="27"/>
        <v>1141.0232421549731</v>
      </c>
      <c r="CF61" s="526">
        <f t="shared" si="27"/>
        <v>1141.0232421549731</v>
      </c>
    </row>
    <row r="62" spans="2:84">
      <c r="B62" t="s">
        <v>763</v>
      </c>
      <c r="C62" t="s">
        <v>1354</v>
      </c>
      <c r="D62" t="s">
        <v>720</v>
      </c>
      <c r="E62" t="s">
        <v>1353</v>
      </c>
      <c r="F62" t="str">
        <f t="shared" si="16"/>
        <v>e-methane liquefied (PS)OpExEurope</v>
      </c>
      <c r="G62" s="525">
        <v>2655.0551228657878</v>
      </c>
      <c r="H62" s="525">
        <v>2545.1276191384836</v>
      </c>
      <c r="I62" s="525">
        <v>2433.6975235635618</v>
      </c>
      <c r="J62" s="525">
        <v>2348.9443173512309</v>
      </c>
      <c r="K62" s="525">
        <v>2261.8239858681691</v>
      </c>
      <c r="L62" s="525">
        <v>2172.3817989152139</v>
      </c>
      <c r="M62" s="525">
        <v>2080.6630262932017</v>
      </c>
      <c r="N62" s="525">
        <v>1986.7129378029274</v>
      </c>
      <c r="O62" s="525">
        <v>1955.9396186940726</v>
      </c>
      <c r="P62" s="525">
        <v>1921.7796364398923</v>
      </c>
      <c r="Q62" s="525">
        <v>1884.2511409996296</v>
      </c>
      <c r="R62" s="525">
        <v>1843.3722823325425</v>
      </c>
      <c r="S62" s="525">
        <v>1799.1612103979614</v>
      </c>
      <c r="T62" s="525">
        <v>1762.3495802122386</v>
      </c>
      <c r="U62" s="525">
        <v>1723.3261502915586</v>
      </c>
      <c r="V62" s="525">
        <v>1682.0984330593121</v>
      </c>
      <c r="W62" s="525">
        <v>1638.6739409387758</v>
      </c>
      <c r="X62" s="525">
        <v>1593.0601863533047</v>
      </c>
      <c r="Y62" s="525">
        <v>1544.4863635461777</v>
      </c>
      <c r="Z62" s="525">
        <v>1495.0064473414982</v>
      </c>
      <c r="AA62" s="525">
        <v>1444.6158671706007</v>
      </c>
      <c r="AB62" s="525">
        <v>1393.3100524647402</v>
      </c>
      <c r="AC62" s="525">
        <v>1341.0844326552369</v>
      </c>
      <c r="AD62" s="525">
        <v>1296.5248153673483</v>
      </c>
      <c r="AE62" s="525">
        <v>1251.6189694430177</v>
      </c>
      <c r="AF62" s="525">
        <v>1206.3626135352042</v>
      </c>
      <c r="AG62" s="525">
        <v>1160.7514662968611</v>
      </c>
      <c r="AH62" s="525">
        <v>1114.7812463809425</v>
      </c>
      <c r="AI62" s="526">
        <f t="shared" si="28"/>
        <v>1114.7812463809425</v>
      </c>
      <c r="AJ62" s="526">
        <f t="shared" si="28"/>
        <v>1114.7812463809425</v>
      </c>
      <c r="AK62" s="526">
        <f t="shared" si="28"/>
        <v>1114.7812463809425</v>
      </c>
      <c r="AL62" s="526">
        <f t="shared" si="28"/>
        <v>1114.7812463809425</v>
      </c>
      <c r="AM62" s="526">
        <f t="shared" si="28"/>
        <v>1114.7812463809425</v>
      </c>
      <c r="AN62" s="526">
        <f t="shared" si="28"/>
        <v>1114.7812463809425</v>
      </c>
      <c r="AO62" s="526">
        <f t="shared" si="28"/>
        <v>1114.7812463809425</v>
      </c>
      <c r="AP62" s="526">
        <f t="shared" si="28"/>
        <v>1114.7812463809425</v>
      </c>
      <c r="AQ62" s="526">
        <f t="shared" si="28"/>
        <v>1114.7812463809425</v>
      </c>
      <c r="AR62" s="526">
        <f t="shared" si="28"/>
        <v>1114.7812463809425</v>
      </c>
      <c r="AS62" s="526">
        <f t="shared" si="28"/>
        <v>1114.7812463809425</v>
      </c>
      <c r="AT62" s="526">
        <f t="shared" si="28"/>
        <v>1114.7812463809425</v>
      </c>
      <c r="AU62" s="526">
        <f t="shared" si="28"/>
        <v>1114.7812463809425</v>
      </c>
      <c r="AV62" s="526">
        <f t="shared" si="28"/>
        <v>1114.7812463809425</v>
      </c>
      <c r="AW62" s="526">
        <f t="shared" si="28"/>
        <v>1114.7812463809425</v>
      </c>
      <c r="AX62" s="526">
        <f t="shared" si="28"/>
        <v>1114.7812463809425</v>
      </c>
      <c r="AY62" s="526">
        <f t="shared" si="28"/>
        <v>1114.7812463809425</v>
      </c>
      <c r="AZ62" s="526">
        <f t="shared" si="28"/>
        <v>1114.7812463809425</v>
      </c>
      <c r="BA62" s="526">
        <f t="shared" si="28"/>
        <v>1114.7812463809425</v>
      </c>
      <c r="BB62" s="526">
        <f t="shared" si="28"/>
        <v>1114.7812463809425</v>
      </c>
      <c r="BC62" s="526">
        <f t="shared" si="28"/>
        <v>1114.7812463809425</v>
      </c>
      <c r="BD62" s="526">
        <f t="shared" si="28"/>
        <v>1114.7812463809425</v>
      </c>
      <c r="BE62" s="526">
        <f t="shared" si="28"/>
        <v>1114.7812463809425</v>
      </c>
      <c r="BF62" s="526">
        <f t="shared" si="28"/>
        <v>1114.7812463809425</v>
      </c>
      <c r="BG62" s="526">
        <f t="shared" si="28"/>
        <v>1114.7812463809425</v>
      </c>
      <c r="BH62" s="526">
        <f t="shared" si="28"/>
        <v>1114.7812463809425</v>
      </c>
      <c r="BI62" s="526">
        <f t="shared" si="28"/>
        <v>1114.7812463809425</v>
      </c>
      <c r="BJ62" s="526">
        <f t="shared" si="28"/>
        <v>1114.7812463809425</v>
      </c>
      <c r="BK62" s="526">
        <f t="shared" si="28"/>
        <v>1114.7812463809425</v>
      </c>
      <c r="BL62" s="526">
        <f t="shared" si="28"/>
        <v>1114.7812463809425</v>
      </c>
      <c r="BM62" s="526">
        <f t="shared" si="28"/>
        <v>1114.7812463809425</v>
      </c>
      <c r="BN62" s="526">
        <f t="shared" si="28"/>
        <v>1114.7812463809425</v>
      </c>
      <c r="BO62" s="526">
        <f t="shared" si="28"/>
        <v>1114.7812463809425</v>
      </c>
      <c r="BP62" s="526">
        <f t="shared" si="28"/>
        <v>1114.7812463809425</v>
      </c>
      <c r="BQ62" s="526">
        <f t="shared" si="28"/>
        <v>1114.7812463809425</v>
      </c>
      <c r="BR62" s="526">
        <f t="shared" si="28"/>
        <v>1114.7812463809425</v>
      </c>
      <c r="BS62" s="526">
        <f t="shared" si="28"/>
        <v>1114.7812463809425</v>
      </c>
      <c r="BT62" s="526">
        <f t="shared" si="28"/>
        <v>1114.7812463809425</v>
      </c>
      <c r="BU62" s="526">
        <f t="shared" si="28"/>
        <v>1114.7812463809425</v>
      </c>
      <c r="BV62" s="526">
        <f t="shared" si="28"/>
        <v>1114.7812463809425</v>
      </c>
      <c r="BW62" s="526">
        <f t="shared" si="28"/>
        <v>1114.7812463809425</v>
      </c>
      <c r="BX62" s="526">
        <f t="shared" si="28"/>
        <v>1114.7812463809425</v>
      </c>
      <c r="BY62" s="526">
        <f t="shared" si="28"/>
        <v>1114.7812463809425</v>
      </c>
      <c r="BZ62" s="526">
        <f t="shared" si="28"/>
        <v>1114.7812463809425</v>
      </c>
      <c r="CA62" s="526">
        <f t="shared" si="28"/>
        <v>1114.7812463809425</v>
      </c>
      <c r="CB62" s="526">
        <f t="shared" si="27"/>
        <v>1114.7812463809425</v>
      </c>
      <c r="CC62" s="526">
        <f t="shared" si="27"/>
        <v>1114.7812463809425</v>
      </c>
      <c r="CD62" s="526">
        <f t="shared" si="27"/>
        <v>1114.7812463809425</v>
      </c>
      <c r="CE62" s="526">
        <f t="shared" si="27"/>
        <v>1114.7812463809425</v>
      </c>
      <c r="CF62" s="526">
        <f t="shared" si="27"/>
        <v>1114.7812463809425</v>
      </c>
    </row>
    <row r="63" spans="2:84">
      <c r="B63" t="s">
        <v>763</v>
      </c>
      <c r="C63" t="s">
        <v>1354</v>
      </c>
      <c r="D63" t="s">
        <v>826</v>
      </c>
      <c r="E63" t="s">
        <v>1353</v>
      </c>
      <c r="F63" t="str">
        <f t="shared" si="16"/>
        <v>e-methane liquefied (PS)OpExMiddle East</v>
      </c>
      <c r="G63" s="525">
        <v>2323.1764425466508</v>
      </c>
      <c r="H63" s="525">
        <v>2226.7728908228146</v>
      </c>
      <c r="I63" s="525">
        <v>2128.8944136908722</v>
      </c>
      <c r="J63" s="525">
        <v>2062.2707973037186</v>
      </c>
      <c r="K63" s="525">
        <v>1993.2979684584739</v>
      </c>
      <c r="L63" s="525">
        <v>1922.005009693969</v>
      </c>
      <c r="M63" s="525">
        <v>1848.4210035490808</v>
      </c>
      <c r="N63" s="525">
        <v>1772.5750325626009</v>
      </c>
      <c r="O63" s="525">
        <v>1741.2736893989349</v>
      </c>
      <c r="P63" s="525">
        <v>1706.6727537255997</v>
      </c>
      <c r="Q63" s="525">
        <v>1668.7920129399338</v>
      </c>
      <c r="R63" s="525">
        <v>1627.6512544392851</v>
      </c>
      <c r="S63" s="525">
        <v>1583.2702656210445</v>
      </c>
      <c r="T63" s="525">
        <v>1549.1111491012414</v>
      </c>
      <c r="U63" s="525">
        <v>1512.7708723530066</v>
      </c>
      <c r="V63" s="525">
        <v>1474.2563132943396</v>
      </c>
      <c r="W63" s="525">
        <v>1433.5743498431318</v>
      </c>
      <c r="X63" s="525">
        <v>1390.7318599173545</v>
      </c>
      <c r="Y63" s="525">
        <v>1343.0628697587777</v>
      </c>
      <c r="Z63" s="525">
        <v>1294.495667118628</v>
      </c>
      <c r="AA63" s="525">
        <v>1245.0251225497859</v>
      </c>
      <c r="AB63" s="525">
        <v>1194.646106605084</v>
      </c>
      <c r="AC63" s="525">
        <v>1143.3534898373882</v>
      </c>
      <c r="AD63" s="525">
        <v>1103.0234854957321</v>
      </c>
      <c r="AE63" s="525">
        <v>1062.2683933799933</v>
      </c>
      <c r="AF63" s="525">
        <v>1021.0851313056859</v>
      </c>
      <c r="AG63" s="525">
        <v>979.47061708833087</v>
      </c>
      <c r="AH63" s="525">
        <v>937.42176854344984</v>
      </c>
      <c r="AI63" s="526">
        <f t="shared" si="28"/>
        <v>937.42176854344984</v>
      </c>
      <c r="AJ63" s="526">
        <f t="shared" si="28"/>
        <v>937.42176854344984</v>
      </c>
      <c r="AK63" s="526">
        <f t="shared" si="28"/>
        <v>937.42176854344984</v>
      </c>
      <c r="AL63" s="526">
        <f t="shared" si="28"/>
        <v>937.42176854344984</v>
      </c>
      <c r="AM63" s="526">
        <f t="shared" si="28"/>
        <v>937.42176854344984</v>
      </c>
      <c r="AN63" s="526">
        <f t="shared" si="28"/>
        <v>937.42176854344984</v>
      </c>
      <c r="AO63" s="526">
        <f t="shared" si="28"/>
        <v>937.42176854344984</v>
      </c>
      <c r="AP63" s="526">
        <f t="shared" si="28"/>
        <v>937.42176854344984</v>
      </c>
      <c r="AQ63" s="526">
        <f t="shared" si="28"/>
        <v>937.42176854344984</v>
      </c>
      <c r="AR63" s="526">
        <f t="shared" si="28"/>
        <v>937.42176854344984</v>
      </c>
      <c r="AS63" s="526">
        <f t="shared" si="28"/>
        <v>937.42176854344984</v>
      </c>
      <c r="AT63" s="526">
        <f t="shared" si="28"/>
        <v>937.42176854344984</v>
      </c>
      <c r="AU63" s="526">
        <f t="shared" si="28"/>
        <v>937.42176854344984</v>
      </c>
      <c r="AV63" s="526">
        <f t="shared" si="28"/>
        <v>937.42176854344984</v>
      </c>
      <c r="AW63" s="526">
        <f t="shared" si="28"/>
        <v>937.42176854344984</v>
      </c>
      <c r="AX63" s="526">
        <f t="shared" si="28"/>
        <v>937.42176854344984</v>
      </c>
      <c r="AY63" s="526">
        <f t="shared" si="28"/>
        <v>937.42176854344984</v>
      </c>
      <c r="AZ63" s="526">
        <f t="shared" si="28"/>
        <v>937.42176854344984</v>
      </c>
      <c r="BA63" s="526">
        <f t="shared" si="28"/>
        <v>937.42176854344984</v>
      </c>
      <c r="BB63" s="526">
        <f t="shared" si="28"/>
        <v>937.42176854344984</v>
      </c>
      <c r="BC63" s="526">
        <f t="shared" si="28"/>
        <v>937.42176854344984</v>
      </c>
      <c r="BD63" s="526">
        <f t="shared" si="28"/>
        <v>937.42176854344984</v>
      </c>
      <c r="BE63" s="526">
        <f t="shared" si="28"/>
        <v>937.42176854344984</v>
      </c>
      <c r="BF63" s="526">
        <f t="shared" si="28"/>
        <v>937.42176854344984</v>
      </c>
      <c r="BG63" s="526">
        <f t="shared" si="28"/>
        <v>937.42176854344984</v>
      </c>
      <c r="BH63" s="526">
        <f t="shared" si="28"/>
        <v>937.42176854344984</v>
      </c>
      <c r="BI63" s="526">
        <f t="shared" si="28"/>
        <v>937.42176854344984</v>
      </c>
      <c r="BJ63" s="526">
        <f t="shared" si="28"/>
        <v>937.42176854344984</v>
      </c>
      <c r="BK63" s="526">
        <f t="shared" si="28"/>
        <v>937.42176854344984</v>
      </c>
      <c r="BL63" s="526">
        <f t="shared" si="28"/>
        <v>937.42176854344984</v>
      </c>
      <c r="BM63" s="526">
        <f t="shared" si="28"/>
        <v>937.42176854344984</v>
      </c>
      <c r="BN63" s="526">
        <f t="shared" si="28"/>
        <v>937.42176854344984</v>
      </c>
      <c r="BO63" s="526">
        <f t="shared" si="28"/>
        <v>937.42176854344984</v>
      </c>
      <c r="BP63" s="526">
        <f t="shared" si="28"/>
        <v>937.42176854344984</v>
      </c>
      <c r="BQ63" s="526">
        <f t="shared" si="28"/>
        <v>937.42176854344984</v>
      </c>
      <c r="BR63" s="526">
        <f t="shared" si="28"/>
        <v>937.42176854344984</v>
      </c>
      <c r="BS63" s="526">
        <f t="shared" si="28"/>
        <v>937.42176854344984</v>
      </c>
      <c r="BT63" s="526">
        <f t="shared" si="28"/>
        <v>937.42176854344984</v>
      </c>
      <c r="BU63" s="526">
        <f t="shared" si="28"/>
        <v>937.42176854344984</v>
      </c>
      <c r="BV63" s="526">
        <f t="shared" si="28"/>
        <v>937.42176854344984</v>
      </c>
      <c r="BW63" s="526">
        <f t="shared" si="28"/>
        <v>937.42176854344984</v>
      </c>
      <c r="BX63" s="526">
        <f t="shared" si="28"/>
        <v>937.42176854344984</v>
      </c>
      <c r="BY63" s="526">
        <f t="shared" si="28"/>
        <v>937.42176854344984</v>
      </c>
      <c r="BZ63" s="526">
        <f t="shared" si="28"/>
        <v>937.42176854344984</v>
      </c>
      <c r="CA63" s="526">
        <f t="shared" si="28"/>
        <v>937.42176854344984</v>
      </c>
      <c r="CB63" s="526">
        <f t="shared" si="27"/>
        <v>937.42176854344984</v>
      </c>
      <c r="CC63" s="526">
        <f t="shared" si="27"/>
        <v>937.42176854344984</v>
      </c>
      <c r="CD63" s="526">
        <f t="shared" si="27"/>
        <v>937.42176854344984</v>
      </c>
      <c r="CE63" s="526">
        <f t="shared" si="27"/>
        <v>937.42176854344984</v>
      </c>
      <c r="CF63" s="526">
        <f t="shared" si="27"/>
        <v>937.42176854344984</v>
      </c>
    </row>
    <row r="64" spans="2:84">
      <c r="B64" t="s">
        <v>763</v>
      </c>
      <c r="C64" t="s">
        <v>1355</v>
      </c>
      <c r="D64" t="s">
        <v>708</v>
      </c>
      <c r="E64" t="s">
        <v>1356</v>
      </c>
      <c r="F64" t="str">
        <f t="shared" si="16"/>
        <v>e-methane liquefied (PS)Total emissions - WTT - GWP100Global</v>
      </c>
      <c r="G64" s="527">
        <v>-2.5926349826967345</v>
      </c>
      <c r="H64" s="527">
        <v>-2.5928005314514984</v>
      </c>
      <c r="I64" s="527">
        <v>-2.5929946249999989</v>
      </c>
      <c r="J64" s="527">
        <v>-2.5932833370260919</v>
      </c>
      <c r="K64" s="527">
        <v>-2.5936201792742963</v>
      </c>
      <c r="L64" s="527">
        <v>-2.594005151744613</v>
      </c>
      <c r="M64" s="527">
        <v>-2.5944382544370397</v>
      </c>
      <c r="N64" s="527">
        <v>-2.59491948735158</v>
      </c>
      <c r="O64" s="527">
        <v>-2.5958491041089262</v>
      </c>
      <c r="P64" s="527">
        <v>-2.596825163209675</v>
      </c>
      <c r="Q64" s="527">
        <v>-2.5978476646538291</v>
      </c>
      <c r="R64" s="527">
        <v>-2.5989166084413906</v>
      </c>
      <c r="S64" s="527">
        <v>-2.6000319945723556</v>
      </c>
      <c r="T64" s="527">
        <v>-2.601195528384002</v>
      </c>
      <c r="U64" s="527">
        <v>-2.6023912585886064</v>
      </c>
      <c r="V64" s="527">
        <v>-2.6036191851861625</v>
      </c>
      <c r="W64" s="527">
        <v>-2.6048793081766779</v>
      </c>
      <c r="X64" s="527">
        <v>-2.6061716275601507</v>
      </c>
      <c r="Y64" s="527">
        <v>-2.6078430133381514</v>
      </c>
      <c r="Z64" s="527">
        <v>-2.6094960891764591</v>
      </c>
      <c r="AA64" s="527">
        <v>-2.6111308550750718</v>
      </c>
      <c r="AB64" s="527">
        <v>-2.612747311033992</v>
      </c>
      <c r="AC64" s="527">
        <v>-2.6143454570532176</v>
      </c>
      <c r="AD64" s="527">
        <v>-2.6156802549471929</v>
      </c>
      <c r="AE64" s="527">
        <v>-2.6169915456888586</v>
      </c>
      <c r="AF64" s="527">
        <v>-2.6182793292782147</v>
      </c>
      <c r="AG64" s="527">
        <v>-2.6195436057152621</v>
      </c>
      <c r="AH64" s="527">
        <v>-2.6207843749999995</v>
      </c>
      <c r="AI64" s="528">
        <f t="shared" si="28"/>
        <v>-2.6207843749999995</v>
      </c>
      <c r="AJ64" s="528">
        <f t="shared" si="28"/>
        <v>-2.6207843749999995</v>
      </c>
      <c r="AK64" s="528">
        <f t="shared" si="28"/>
        <v>-2.6207843749999995</v>
      </c>
      <c r="AL64" s="528">
        <f t="shared" si="28"/>
        <v>-2.6207843749999995</v>
      </c>
      <c r="AM64" s="528">
        <f t="shared" si="28"/>
        <v>-2.6207843749999995</v>
      </c>
      <c r="AN64" s="528">
        <f t="shared" si="28"/>
        <v>-2.6207843749999995</v>
      </c>
      <c r="AO64" s="528">
        <f t="shared" si="28"/>
        <v>-2.6207843749999995</v>
      </c>
      <c r="AP64" s="528">
        <f t="shared" si="28"/>
        <v>-2.6207843749999995</v>
      </c>
      <c r="AQ64" s="528">
        <f t="shared" si="28"/>
        <v>-2.6207843749999995</v>
      </c>
      <c r="AR64" s="528">
        <f t="shared" si="28"/>
        <v>-2.6207843749999995</v>
      </c>
      <c r="AS64" s="528">
        <f t="shared" si="28"/>
        <v>-2.6207843749999995</v>
      </c>
      <c r="AT64" s="528">
        <f t="shared" si="28"/>
        <v>-2.6207843749999995</v>
      </c>
      <c r="AU64" s="528">
        <f t="shared" si="28"/>
        <v>-2.6207843749999995</v>
      </c>
      <c r="AV64" s="528">
        <f t="shared" si="28"/>
        <v>-2.6207843749999995</v>
      </c>
      <c r="AW64" s="528">
        <f t="shared" si="28"/>
        <v>-2.6207843749999995</v>
      </c>
      <c r="AX64" s="528">
        <f t="shared" si="28"/>
        <v>-2.6207843749999995</v>
      </c>
      <c r="AY64" s="528">
        <f t="shared" si="28"/>
        <v>-2.6207843749999995</v>
      </c>
      <c r="AZ64" s="528">
        <f t="shared" si="28"/>
        <v>-2.6207843749999995</v>
      </c>
      <c r="BA64" s="528">
        <f t="shared" si="28"/>
        <v>-2.6207843749999995</v>
      </c>
      <c r="BB64" s="528">
        <f t="shared" si="28"/>
        <v>-2.6207843749999995</v>
      </c>
      <c r="BC64" s="528">
        <f t="shared" si="28"/>
        <v>-2.6207843749999995</v>
      </c>
      <c r="BD64" s="528">
        <f t="shared" si="28"/>
        <v>-2.6207843749999995</v>
      </c>
      <c r="BE64" s="528">
        <f t="shared" si="28"/>
        <v>-2.6207843749999995</v>
      </c>
      <c r="BF64" s="528">
        <f t="shared" si="28"/>
        <v>-2.6207843749999995</v>
      </c>
      <c r="BG64" s="528">
        <f t="shared" si="28"/>
        <v>-2.6207843749999995</v>
      </c>
      <c r="BH64" s="528">
        <f t="shared" si="28"/>
        <v>-2.6207843749999995</v>
      </c>
      <c r="BI64" s="528">
        <f t="shared" si="28"/>
        <v>-2.6207843749999995</v>
      </c>
      <c r="BJ64" s="528">
        <f t="shared" si="28"/>
        <v>-2.6207843749999995</v>
      </c>
      <c r="BK64" s="528">
        <f t="shared" si="28"/>
        <v>-2.6207843749999995</v>
      </c>
      <c r="BL64" s="528">
        <f t="shared" si="28"/>
        <v>-2.6207843749999995</v>
      </c>
      <c r="BM64" s="528">
        <f t="shared" ref="BM64:CA64" si="29">BL64</f>
        <v>-2.6207843749999995</v>
      </c>
      <c r="BN64" s="528">
        <f t="shared" si="29"/>
        <v>-2.6207843749999995</v>
      </c>
      <c r="BO64" s="528">
        <f t="shared" si="29"/>
        <v>-2.6207843749999995</v>
      </c>
      <c r="BP64" s="528">
        <f t="shared" si="29"/>
        <v>-2.6207843749999995</v>
      </c>
      <c r="BQ64" s="528">
        <f t="shared" si="29"/>
        <v>-2.6207843749999995</v>
      </c>
      <c r="BR64" s="528">
        <f t="shared" si="29"/>
        <v>-2.6207843749999995</v>
      </c>
      <c r="BS64" s="528">
        <f t="shared" si="29"/>
        <v>-2.6207843749999995</v>
      </c>
      <c r="BT64" s="528">
        <f t="shared" si="29"/>
        <v>-2.6207843749999995</v>
      </c>
      <c r="BU64" s="528">
        <f t="shared" si="29"/>
        <v>-2.6207843749999995</v>
      </c>
      <c r="BV64" s="528">
        <f t="shared" si="29"/>
        <v>-2.6207843749999995</v>
      </c>
      <c r="BW64" s="528">
        <f t="shared" si="29"/>
        <v>-2.6207843749999995</v>
      </c>
      <c r="BX64" s="528">
        <f t="shared" si="29"/>
        <v>-2.6207843749999995</v>
      </c>
      <c r="BY64" s="528">
        <f t="shared" si="29"/>
        <v>-2.6207843749999995</v>
      </c>
      <c r="BZ64" s="528">
        <f t="shared" si="29"/>
        <v>-2.6207843749999995</v>
      </c>
      <c r="CA64" s="528">
        <f t="shared" si="29"/>
        <v>-2.6207843749999995</v>
      </c>
      <c r="CB64" s="528">
        <f t="shared" si="27"/>
        <v>-2.6207843749999995</v>
      </c>
      <c r="CC64" s="528">
        <f t="shared" si="27"/>
        <v>-2.6207843749999995</v>
      </c>
      <c r="CD64" s="528">
        <f t="shared" si="27"/>
        <v>-2.6207843749999995</v>
      </c>
      <c r="CE64" s="528">
        <f t="shared" si="27"/>
        <v>-2.6207843749999995</v>
      </c>
      <c r="CF64" s="528">
        <f t="shared" si="27"/>
        <v>-2.6207843749999995</v>
      </c>
    </row>
    <row r="65" spans="2:84">
      <c r="B65" t="s">
        <v>763</v>
      </c>
      <c r="C65" t="s">
        <v>1357</v>
      </c>
      <c r="D65" t="s">
        <v>708</v>
      </c>
      <c r="E65" t="s">
        <v>1356</v>
      </c>
      <c r="F65" t="str">
        <f t="shared" si="16"/>
        <v>e-methane liquefied (PS)Total emissions - TTW - GWP100Global</v>
      </c>
      <c r="G65" s="527">
        <v>3.4460000000000002</v>
      </c>
      <c r="H65" s="527">
        <v>3.3879999999999999</v>
      </c>
      <c r="I65" s="527">
        <v>3.33</v>
      </c>
      <c r="J65" s="527">
        <v>3.2719999999999998</v>
      </c>
      <c r="K65" s="527">
        <v>3.214</v>
      </c>
      <c r="L65" s="527">
        <v>3.1560000000000001</v>
      </c>
      <c r="M65" s="527">
        <v>3.0979999999999999</v>
      </c>
      <c r="N65" s="527">
        <v>3.04</v>
      </c>
      <c r="O65" s="527">
        <v>3.04</v>
      </c>
      <c r="P65" s="527">
        <v>3.04</v>
      </c>
      <c r="Q65" s="527">
        <v>3.04</v>
      </c>
      <c r="R65" s="527">
        <v>3.04</v>
      </c>
      <c r="S65" s="527">
        <v>3.04</v>
      </c>
      <c r="T65" s="527">
        <v>3.04</v>
      </c>
      <c r="U65" s="527">
        <v>3.04</v>
      </c>
      <c r="V65" s="527">
        <v>3.04</v>
      </c>
      <c r="W65" s="527">
        <v>3.04</v>
      </c>
      <c r="X65" s="527">
        <v>3.04</v>
      </c>
      <c r="Y65" s="527">
        <v>3.04</v>
      </c>
      <c r="Z65" s="527">
        <v>3.04</v>
      </c>
      <c r="AA65" s="527">
        <v>3.04</v>
      </c>
      <c r="AB65" s="527">
        <v>3.04</v>
      </c>
      <c r="AC65" s="527">
        <v>3.04</v>
      </c>
      <c r="AD65" s="527">
        <v>3.04</v>
      </c>
      <c r="AE65" s="527">
        <v>3.04</v>
      </c>
      <c r="AF65" s="527">
        <v>3.04</v>
      </c>
      <c r="AG65" s="527">
        <v>3.04</v>
      </c>
      <c r="AH65" s="527">
        <v>3.04</v>
      </c>
      <c r="AI65" s="526">
        <f t="shared" ref="AI65:CA66" si="30">AH65</f>
        <v>3.04</v>
      </c>
      <c r="AJ65" s="526">
        <f t="shared" si="30"/>
        <v>3.04</v>
      </c>
      <c r="AK65" s="526">
        <f t="shared" si="30"/>
        <v>3.04</v>
      </c>
      <c r="AL65" s="526">
        <f t="shared" si="30"/>
        <v>3.04</v>
      </c>
      <c r="AM65" s="526">
        <f t="shared" si="30"/>
        <v>3.04</v>
      </c>
      <c r="AN65" s="526">
        <f t="shared" si="30"/>
        <v>3.04</v>
      </c>
      <c r="AO65" s="526">
        <f t="shared" si="30"/>
        <v>3.04</v>
      </c>
      <c r="AP65" s="526">
        <f t="shared" si="30"/>
        <v>3.04</v>
      </c>
      <c r="AQ65" s="526">
        <f t="shared" si="30"/>
        <v>3.04</v>
      </c>
      <c r="AR65" s="526">
        <f t="shared" si="30"/>
        <v>3.04</v>
      </c>
      <c r="AS65" s="526">
        <f t="shared" si="30"/>
        <v>3.04</v>
      </c>
      <c r="AT65" s="526">
        <f t="shared" si="30"/>
        <v>3.04</v>
      </c>
      <c r="AU65" s="526">
        <f t="shared" si="30"/>
        <v>3.04</v>
      </c>
      <c r="AV65" s="526">
        <f t="shared" si="30"/>
        <v>3.04</v>
      </c>
      <c r="AW65" s="526">
        <f t="shared" si="30"/>
        <v>3.04</v>
      </c>
      <c r="AX65" s="526">
        <f t="shared" si="30"/>
        <v>3.04</v>
      </c>
      <c r="AY65" s="526">
        <f t="shared" si="30"/>
        <v>3.04</v>
      </c>
      <c r="AZ65" s="526">
        <f t="shared" si="30"/>
        <v>3.04</v>
      </c>
      <c r="BA65" s="526">
        <f t="shared" si="30"/>
        <v>3.04</v>
      </c>
      <c r="BB65" s="526">
        <f t="shared" si="30"/>
        <v>3.04</v>
      </c>
      <c r="BC65" s="526">
        <f t="shared" si="30"/>
        <v>3.04</v>
      </c>
      <c r="BD65" s="526">
        <f t="shared" si="30"/>
        <v>3.04</v>
      </c>
      <c r="BE65" s="526">
        <f t="shared" si="30"/>
        <v>3.04</v>
      </c>
      <c r="BF65" s="526">
        <f t="shared" si="30"/>
        <v>3.04</v>
      </c>
      <c r="BG65" s="526">
        <f t="shared" si="30"/>
        <v>3.04</v>
      </c>
      <c r="BH65" s="526">
        <f t="shared" si="30"/>
        <v>3.04</v>
      </c>
      <c r="BI65" s="526">
        <f t="shared" si="30"/>
        <v>3.04</v>
      </c>
      <c r="BJ65" s="526">
        <f t="shared" si="30"/>
        <v>3.04</v>
      </c>
      <c r="BK65" s="526">
        <f t="shared" si="30"/>
        <v>3.04</v>
      </c>
      <c r="BL65" s="526">
        <f t="shared" si="30"/>
        <v>3.04</v>
      </c>
      <c r="BM65" s="526">
        <f t="shared" si="30"/>
        <v>3.04</v>
      </c>
      <c r="BN65" s="526">
        <f t="shared" si="30"/>
        <v>3.04</v>
      </c>
      <c r="BO65" s="526">
        <f t="shared" si="30"/>
        <v>3.04</v>
      </c>
      <c r="BP65" s="526">
        <f t="shared" si="30"/>
        <v>3.04</v>
      </c>
      <c r="BQ65" s="526">
        <f t="shared" si="30"/>
        <v>3.04</v>
      </c>
      <c r="BR65" s="526">
        <f t="shared" si="30"/>
        <v>3.04</v>
      </c>
      <c r="BS65" s="526">
        <f t="shared" si="30"/>
        <v>3.04</v>
      </c>
      <c r="BT65" s="526">
        <f t="shared" si="30"/>
        <v>3.04</v>
      </c>
      <c r="BU65" s="526">
        <f t="shared" si="30"/>
        <v>3.04</v>
      </c>
      <c r="BV65" s="526">
        <f t="shared" si="30"/>
        <v>3.04</v>
      </c>
      <c r="BW65" s="526">
        <f t="shared" si="30"/>
        <v>3.04</v>
      </c>
      <c r="BX65" s="526">
        <f t="shared" si="30"/>
        <v>3.04</v>
      </c>
      <c r="BY65" s="526">
        <f t="shared" si="30"/>
        <v>3.04</v>
      </c>
      <c r="BZ65" s="526">
        <f t="shared" si="30"/>
        <v>3.04</v>
      </c>
      <c r="CA65" s="526">
        <f t="shared" si="30"/>
        <v>3.04</v>
      </c>
      <c r="CB65" s="526">
        <f t="shared" si="27"/>
        <v>3.04</v>
      </c>
      <c r="CC65" s="526">
        <f t="shared" si="27"/>
        <v>3.04</v>
      </c>
      <c r="CD65" s="526">
        <f t="shared" si="27"/>
        <v>3.04</v>
      </c>
      <c r="CE65" s="526">
        <f t="shared" si="27"/>
        <v>3.04</v>
      </c>
      <c r="CF65" s="526">
        <f t="shared" si="27"/>
        <v>3.04</v>
      </c>
    </row>
    <row r="66" spans="2:84">
      <c r="B66" t="s">
        <v>763</v>
      </c>
      <c r="C66" t="s">
        <v>1358</v>
      </c>
      <c r="D66" t="s">
        <v>708</v>
      </c>
      <c r="E66" t="s">
        <v>1356</v>
      </c>
      <c r="F66" t="str">
        <f t="shared" si="16"/>
        <v>e-methane liquefied (PS)Total emissions - WTW - GWP100Global</v>
      </c>
      <c r="G66" s="527">
        <v>0.85336501730326564</v>
      </c>
      <c r="H66" s="527">
        <v>0.79519946854850154</v>
      </c>
      <c r="I66" s="527">
        <v>0.73700537500000118</v>
      </c>
      <c r="J66" s="527">
        <v>0.67871666297390787</v>
      </c>
      <c r="K66" s="527">
        <v>0.62037982072570363</v>
      </c>
      <c r="L66" s="527">
        <v>0.56199484825538715</v>
      </c>
      <c r="M66" s="527">
        <v>0.50356174556296018</v>
      </c>
      <c r="N66" s="527">
        <v>0.44508051264842008</v>
      </c>
      <c r="O66" s="527">
        <v>0.44415089589107382</v>
      </c>
      <c r="P66" s="527">
        <v>0.44317483679032499</v>
      </c>
      <c r="Q66" s="527">
        <v>0.44215233534617093</v>
      </c>
      <c r="R66" s="527">
        <v>0.44108339155860943</v>
      </c>
      <c r="S66" s="527">
        <v>0.43996800542764447</v>
      </c>
      <c r="T66" s="527">
        <v>0.438804471615998</v>
      </c>
      <c r="U66" s="527">
        <v>0.43760874141139361</v>
      </c>
      <c r="V66" s="527">
        <v>0.4363808148138375</v>
      </c>
      <c r="W66" s="527">
        <v>0.43512069182332214</v>
      </c>
      <c r="X66" s="527">
        <v>0.43382837243984929</v>
      </c>
      <c r="Y66" s="527">
        <v>0.43215698666184865</v>
      </c>
      <c r="Z66" s="527">
        <v>0.43050391082354089</v>
      </c>
      <c r="AA66" s="527">
        <v>0.42886914492492823</v>
      </c>
      <c r="AB66" s="527">
        <v>0.42725268896600799</v>
      </c>
      <c r="AC66" s="527">
        <v>0.4256545429467824</v>
      </c>
      <c r="AD66" s="527">
        <v>0.42431974505280712</v>
      </c>
      <c r="AE66" s="527">
        <v>0.42300845431114142</v>
      </c>
      <c r="AF66" s="527">
        <v>0.42172067072178532</v>
      </c>
      <c r="AG66" s="527">
        <v>0.42045639428473791</v>
      </c>
      <c r="AH66" s="527">
        <v>0.41921562500000054</v>
      </c>
      <c r="AI66" s="528">
        <f t="shared" si="30"/>
        <v>0.41921562500000054</v>
      </c>
      <c r="AJ66" s="528">
        <f t="shared" si="30"/>
        <v>0.41921562500000054</v>
      </c>
      <c r="AK66" s="528">
        <f t="shared" si="30"/>
        <v>0.41921562500000054</v>
      </c>
      <c r="AL66" s="528">
        <f t="shared" si="30"/>
        <v>0.41921562500000054</v>
      </c>
      <c r="AM66" s="528">
        <f t="shared" si="30"/>
        <v>0.41921562500000054</v>
      </c>
      <c r="AN66" s="528">
        <f t="shared" si="30"/>
        <v>0.41921562500000054</v>
      </c>
      <c r="AO66" s="528">
        <f t="shared" si="30"/>
        <v>0.41921562500000054</v>
      </c>
      <c r="AP66" s="528">
        <f t="shared" si="30"/>
        <v>0.41921562500000054</v>
      </c>
      <c r="AQ66" s="528">
        <f t="shared" si="30"/>
        <v>0.41921562500000054</v>
      </c>
      <c r="AR66" s="528">
        <f t="shared" si="30"/>
        <v>0.41921562500000054</v>
      </c>
      <c r="AS66" s="528">
        <f t="shared" si="30"/>
        <v>0.41921562500000054</v>
      </c>
      <c r="AT66" s="528">
        <f t="shared" si="30"/>
        <v>0.41921562500000054</v>
      </c>
      <c r="AU66" s="528">
        <f t="shared" si="30"/>
        <v>0.41921562500000054</v>
      </c>
      <c r="AV66" s="528">
        <f t="shared" si="30"/>
        <v>0.41921562500000054</v>
      </c>
      <c r="AW66" s="528">
        <f t="shared" si="30"/>
        <v>0.41921562500000054</v>
      </c>
      <c r="AX66" s="528">
        <f t="shared" si="30"/>
        <v>0.41921562500000054</v>
      </c>
      <c r="AY66" s="528">
        <f t="shared" si="30"/>
        <v>0.41921562500000054</v>
      </c>
      <c r="AZ66" s="528">
        <f t="shared" si="30"/>
        <v>0.41921562500000054</v>
      </c>
      <c r="BA66" s="528">
        <f t="shared" si="30"/>
        <v>0.41921562500000054</v>
      </c>
      <c r="BB66" s="528">
        <f t="shared" si="30"/>
        <v>0.41921562500000054</v>
      </c>
      <c r="BC66" s="528">
        <f t="shared" si="30"/>
        <v>0.41921562500000054</v>
      </c>
      <c r="BD66" s="528">
        <f t="shared" si="30"/>
        <v>0.41921562500000054</v>
      </c>
      <c r="BE66" s="528">
        <f t="shared" si="30"/>
        <v>0.41921562500000054</v>
      </c>
      <c r="BF66" s="528">
        <f t="shared" si="30"/>
        <v>0.41921562500000054</v>
      </c>
      <c r="BG66" s="528">
        <f t="shared" si="30"/>
        <v>0.41921562500000054</v>
      </c>
      <c r="BH66" s="528">
        <f t="shared" si="30"/>
        <v>0.41921562500000054</v>
      </c>
      <c r="BI66" s="528">
        <f t="shared" si="30"/>
        <v>0.41921562500000054</v>
      </c>
      <c r="BJ66" s="528">
        <f t="shared" si="30"/>
        <v>0.41921562500000054</v>
      </c>
      <c r="BK66" s="528">
        <f t="shared" si="30"/>
        <v>0.41921562500000054</v>
      </c>
      <c r="BL66" s="528">
        <f t="shared" si="30"/>
        <v>0.41921562500000054</v>
      </c>
      <c r="BM66" s="528">
        <f t="shared" si="30"/>
        <v>0.41921562500000054</v>
      </c>
      <c r="BN66" s="528">
        <f t="shared" si="30"/>
        <v>0.41921562500000054</v>
      </c>
      <c r="BO66" s="528">
        <f t="shared" si="30"/>
        <v>0.41921562500000054</v>
      </c>
      <c r="BP66" s="528">
        <f t="shared" si="30"/>
        <v>0.41921562500000054</v>
      </c>
      <c r="BQ66" s="528">
        <f t="shared" si="30"/>
        <v>0.41921562500000054</v>
      </c>
      <c r="BR66" s="528">
        <f t="shared" si="30"/>
        <v>0.41921562500000054</v>
      </c>
      <c r="BS66" s="528">
        <f t="shared" si="30"/>
        <v>0.41921562500000054</v>
      </c>
      <c r="BT66" s="528">
        <f t="shared" si="30"/>
        <v>0.41921562500000054</v>
      </c>
      <c r="BU66" s="528">
        <f t="shared" si="30"/>
        <v>0.41921562500000054</v>
      </c>
      <c r="BV66" s="528">
        <f t="shared" si="30"/>
        <v>0.41921562500000054</v>
      </c>
      <c r="BW66" s="528">
        <f t="shared" si="30"/>
        <v>0.41921562500000054</v>
      </c>
      <c r="BX66" s="528">
        <f t="shared" si="30"/>
        <v>0.41921562500000054</v>
      </c>
      <c r="BY66" s="528">
        <f t="shared" si="30"/>
        <v>0.41921562500000054</v>
      </c>
      <c r="BZ66" s="528">
        <f t="shared" si="30"/>
        <v>0.41921562500000054</v>
      </c>
      <c r="CA66" s="528">
        <f t="shared" si="30"/>
        <v>0.41921562500000054</v>
      </c>
      <c r="CB66" s="528">
        <f t="shared" si="27"/>
        <v>0.41921562500000054</v>
      </c>
      <c r="CC66" s="528">
        <f t="shared" si="27"/>
        <v>0.41921562500000054</v>
      </c>
      <c r="CD66" s="528">
        <f t="shared" si="27"/>
        <v>0.41921562500000054</v>
      </c>
      <c r="CE66" s="528">
        <f t="shared" si="27"/>
        <v>0.41921562500000054</v>
      </c>
      <c r="CF66" s="528">
        <f t="shared" si="27"/>
        <v>0.41921562500000054</v>
      </c>
    </row>
    <row r="67" spans="2:84">
      <c r="B67" t="s">
        <v>769</v>
      </c>
      <c r="C67" t="s">
        <v>1352</v>
      </c>
      <c r="D67" t="s">
        <v>708</v>
      </c>
      <c r="E67" t="s">
        <v>1353</v>
      </c>
      <c r="F67" t="str">
        <f t="shared" si="16"/>
        <v>e-diesel (DAC)CapExGlobal</v>
      </c>
      <c r="G67" s="525">
        <v>12676.635318273145</v>
      </c>
      <c r="H67" s="525">
        <v>12292.98876130471</v>
      </c>
      <c r="I67" s="525">
        <v>11905.822752177317</v>
      </c>
      <c r="J67" s="525">
        <v>11597.366293846306</v>
      </c>
      <c r="K67" s="525">
        <v>11282.371478746083</v>
      </c>
      <c r="L67" s="525">
        <v>10960.83830687674</v>
      </c>
      <c r="M67" s="525">
        <v>10632.766778238325</v>
      </c>
      <c r="N67" s="525">
        <v>10298.156892830692</v>
      </c>
      <c r="O67" s="525">
        <v>10227.93472309368</v>
      </c>
      <c r="P67" s="525">
        <v>10142.464433626043</v>
      </c>
      <c r="Q67" s="525">
        <v>10041.746024427719</v>
      </c>
      <c r="R67" s="525">
        <v>9925.7794954986894</v>
      </c>
      <c r="S67" s="525">
        <v>9794.5648468390282</v>
      </c>
      <c r="T67" s="525">
        <v>9648.01239244315</v>
      </c>
      <c r="U67" s="525">
        <v>9488.8749380993304</v>
      </c>
      <c r="V67" s="525">
        <v>9317.152483807713</v>
      </c>
      <c r="W67" s="525">
        <v>9132.8450295681268</v>
      </c>
      <c r="X67" s="525">
        <v>8935.9525753805374</v>
      </c>
      <c r="Y67" s="525">
        <v>8656.2817724034321</v>
      </c>
      <c r="Z67" s="525">
        <v>8367.1148848908688</v>
      </c>
      <c r="AA67" s="525">
        <v>8068.4519128429629</v>
      </c>
      <c r="AB67" s="525">
        <v>7760.2928562596453</v>
      </c>
      <c r="AC67" s="525">
        <v>7442.6377151409069</v>
      </c>
      <c r="AD67" s="525">
        <v>7120.0271265540032</v>
      </c>
      <c r="AE67" s="525">
        <v>6791.4767822076556</v>
      </c>
      <c r="AF67" s="525">
        <v>6456.9866821018368</v>
      </c>
      <c r="AG67" s="525">
        <v>6116.5568262365632</v>
      </c>
      <c r="AH67" s="525">
        <v>5770.1872146118467</v>
      </c>
      <c r="AI67" s="526">
        <f>AH67</f>
        <v>5770.1872146118467</v>
      </c>
      <c r="AJ67" s="526">
        <f t="shared" ref="AJ67:CF75" si="31">AI67</f>
        <v>5770.1872146118467</v>
      </c>
      <c r="AK67" s="526">
        <f t="shared" si="31"/>
        <v>5770.1872146118467</v>
      </c>
      <c r="AL67" s="526">
        <f t="shared" si="31"/>
        <v>5770.1872146118467</v>
      </c>
      <c r="AM67" s="526">
        <f t="shared" si="31"/>
        <v>5770.1872146118467</v>
      </c>
      <c r="AN67" s="526">
        <f t="shared" si="31"/>
        <v>5770.1872146118467</v>
      </c>
      <c r="AO67" s="526">
        <f t="shared" si="31"/>
        <v>5770.1872146118467</v>
      </c>
      <c r="AP67" s="526">
        <f t="shared" si="31"/>
        <v>5770.1872146118467</v>
      </c>
      <c r="AQ67" s="526">
        <f t="shared" si="31"/>
        <v>5770.1872146118467</v>
      </c>
      <c r="AR67" s="526">
        <f t="shared" si="31"/>
        <v>5770.1872146118467</v>
      </c>
      <c r="AS67" s="526">
        <f t="shared" si="31"/>
        <v>5770.1872146118467</v>
      </c>
      <c r="AT67" s="526">
        <f t="shared" si="31"/>
        <v>5770.1872146118467</v>
      </c>
      <c r="AU67" s="526">
        <f t="shared" si="31"/>
        <v>5770.1872146118467</v>
      </c>
      <c r="AV67" s="526">
        <f t="shared" si="31"/>
        <v>5770.1872146118467</v>
      </c>
      <c r="AW67" s="526">
        <f t="shared" si="31"/>
        <v>5770.1872146118467</v>
      </c>
      <c r="AX67" s="526">
        <f t="shared" si="31"/>
        <v>5770.1872146118467</v>
      </c>
      <c r="AY67" s="526">
        <f t="shared" si="31"/>
        <v>5770.1872146118467</v>
      </c>
      <c r="AZ67" s="526">
        <f t="shared" si="31"/>
        <v>5770.1872146118467</v>
      </c>
      <c r="BA67" s="526">
        <f t="shared" si="31"/>
        <v>5770.1872146118467</v>
      </c>
      <c r="BB67" s="526">
        <f t="shared" si="31"/>
        <v>5770.1872146118467</v>
      </c>
      <c r="BC67" s="526">
        <f t="shared" si="31"/>
        <v>5770.1872146118467</v>
      </c>
      <c r="BD67" s="526">
        <f t="shared" si="31"/>
        <v>5770.1872146118467</v>
      </c>
      <c r="BE67" s="526">
        <f t="shared" si="31"/>
        <v>5770.1872146118467</v>
      </c>
      <c r="BF67" s="526">
        <f t="shared" si="31"/>
        <v>5770.1872146118467</v>
      </c>
      <c r="BG67" s="526">
        <f t="shared" si="31"/>
        <v>5770.1872146118467</v>
      </c>
      <c r="BH67" s="526">
        <f t="shared" si="31"/>
        <v>5770.1872146118467</v>
      </c>
      <c r="BI67" s="526">
        <f t="shared" si="31"/>
        <v>5770.1872146118467</v>
      </c>
      <c r="BJ67" s="526">
        <f t="shared" si="31"/>
        <v>5770.1872146118467</v>
      </c>
      <c r="BK67" s="526">
        <f t="shared" si="31"/>
        <v>5770.1872146118467</v>
      </c>
      <c r="BL67" s="526">
        <f t="shared" si="31"/>
        <v>5770.1872146118467</v>
      </c>
      <c r="BM67" s="526">
        <f t="shared" si="31"/>
        <v>5770.1872146118467</v>
      </c>
      <c r="BN67" s="526">
        <f t="shared" si="31"/>
        <v>5770.1872146118467</v>
      </c>
      <c r="BO67" s="526">
        <f t="shared" si="31"/>
        <v>5770.1872146118467</v>
      </c>
      <c r="BP67" s="526">
        <f t="shared" si="31"/>
        <v>5770.1872146118467</v>
      </c>
      <c r="BQ67" s="526">
        <f t="shared" si="31"/>
        <v>5770.1872146118467</v>
      </c>
      <c r="BR67" s="526">
        <f t="shared" si="31"/>
        <v>5770.1872146118467</v>
      </c>
      <c r="BS67" s="526">
        <f t="shared" si="31"/>
        <v>5770.1872146118467</v>
      </c>
      <c r="BT67" s="526">
        <f t="shared" si="31"/>
        <v>5770.1872146118467</v>
      </c>
      <c r="BU67" s="526">
        <f t="shared" si="31"/>
        <v>5770.1872146118467</v>
      </c>
      <c r="BV67" s="526">
        <f t="shared" si="31"/>
        <v>5770.1872146118467</v>
      </c>
      <c r="BW67" s="526">
        <f t="shared" si="31"/>
        <v>5770.1872146118467</v>
      </c>
      <c r="BX67" s="526">
        <f t="shared" si="31"/>
        <v>5770.1872146118467</v>
      </c>
      <c r="BY67" s="526">
        <f t="shared" si="31"/>
        <v>5770.1872146118467</v>
      </c>
      <c r="BZ67" s="526">
        <f t="shared" si="31"/>
        <v>5770.1872146118467</v>
      </c>
      <c r="CA67" s="526">
        <f t="shared" si="31"/>
        <v>5770.1872146118467</v>
      </c>
      <c r="CB67" s="526">
        <f t="shared" si="31"/>
        <v>5770.1872146118467</v>
      </c>
      <c r="CC67" s="526">
        <f t="shared" si="31"/>
        <v>5770.1872146118467</v>
      </c>
      <c r="CD67" s="526">
        <f t="shared" si="31"/>
        <v>5770.1872146118467</v>
      </c>
      <c r="CE67" s="526">
        <f t="shared" si="31"/>
        <v>5770.1872146118467</v>
      </c>
      <c r="CF67" s="526">
        <f t="shared" si="31"/>
        <v>5770.1872146118467</v>
      </c>
    </row>
    <row r="68" spans="2:84">
      <c r="B68" t="s">
        <v>769</v>
      </c>
      <c r="C68" t="s">
        <v>1354</v>
      </c>
      <c r="D68" t="s">
        <v>838</v>
      </c>
      <c r="E68" t="s">
        <v>1353</v>
      </c>
      <c r="F68" t="str">
        <f t="shared" ref="F68:F99" si="32">+B68&amp;C68&amp;D68</f>
        <v>e-diesel (DAC)OpExAfrica</v>
      </c>
      <c r="G68" s="525">
        <v>3810.5233236453146</v>
      </c>
      <c r="H68" s="525">
        <v>3479.8075373933634</v>
      </c>
      <c r="I68" s="525">
        <v>3151.2431958406464</v>
      </c>
      <c r="J68" s="525">
        <v>3009.405389698386</v>
      </c>
      <c r="K68" s="525">
        <v>2867.2688746854801</v>
      </c>
      <c r="L68" s="525">
        <v>2724.8819606175953</v>
      </c>
      <c r="M68" s="525">
        <v>2582.2929573104479</v>
      </c>
      <c r="N68" s="525">
        <v>2439.5501745796878</v>
      </c>
      <c r="O68" s="525">
        <v>2380.8549008985724</v>
      </c>
      <c r="P68" s="525">
        <v>2319.4705116748446</v>
      </c>
      <c r="Q68" s="525">
        <v>2255.4230278176392</v>
      </c>
      <c r="R68" s="525">
        <v>2188.7384702361201</v>
      </c>
      <c r="S68" s="525">
        <v>2119.4428598394693</v>
      </c>
      <c r="T68" s="525">
        <v>2069.6509030453735</v>
      </c>
      <c r="U68" s="525">
        <v>2018.0284202443561</v>
      </c>
      <c r="V68" s="525">
        <v>1964.5839021579782</v>
      </c>
      <c r="W68" s="525">
        <v>1909.3258395077053</v>
      </c>
      <c r="X68" s="525">
        <v>1852.2627230150831</v>
      </c>
      <c r="Y68" s="525">
        <v>1779.4914141430745</v>
      </c>
      <c r="Z68" s="525">
        <v>1706.6138466320531</v>
      </c>
      <c r="AA68" s="525">
        <v>1633.6250553369703</v>
      </c>
      <c r="AB68" s="525">
        <v>1560.5200751127265</v>
      </c>
      <c r="AC68" s="525">
        <v>1487.2939408142486</v>
      </c>
      <c r="AD68" s="525">
        <v>1427.3211320410048</v>
      </c>
      <c r="AE68" s="525">
        <v>1367.6193765416983</v>
      </c>
      <c r="AF68" s="525">
        <v>1308.1855455487414</v>
      </c>
      <c r="AG68" s="525">
        <v>1249.0165102945655</v>
      </c>
      <c r="AH68" s="525">
        <v>1190.1091420116031</v>
      </c>
      <c r="AI68" s="526">
        <f t="shared" ref="AI68:CA73" si="33">AH68</f>
        <v>1190.1091420116031</v>
      </c>
      <c r="AJ68" s="526">
        <f t="shared" si="33"/>
        <v>1190.1091420116031</v>
      </c>
      <c r="AK68" s="526">
        <f t="shared" si="33"/>
        <v>1190.1091420116031</v>
      </c>
      <c r="AL68" s="526">
        <f t="shared" si="33"/>
        <v>1190.1091420116031</v>
      </c>
      <c r="AM68" s="526">
        <f t="shared" si="33"/>
        <v>1190.1091420116031</v>
      </c>
      <c r="AN68" s="526">
        <f t="shared" si="33"/>
        <v>1190.1091420116031</v>
      </c>
      <c r="AO68" s="526">
        <f t="shared" si="33"/>
        <v>1190.1091420116031</v>
      </c>
      <c r="AP68" s="526">
        <f t="shared" si="33"/>
        <v>1190.1091420116031</v>
      </c>
      <c r="AQ68" s="526">
        <f t="shared" si="33"/>
        <v>1190.1091420116031</v>
      </c>
      <c r="AR68" s="526">
        <f t="shared" si="33"/>
        <v>1190.1091420116031</v>
      </c>
      <c r="AS68" s="526">
        <f t="shared" si="33"/>
        <v>1190.1091420116031</v>
      </c>
      <c r="AT68" s="526">
        <f t="shared" si="33"/>
        <v>1190.1091420116031</v>
      </c>
      <c r="AU68" s="526">
        <f t="shared" si="33"/>
        <v>1190.1091420116031</v>
      </c>
      <c r="AV68" s="526">
        <f t="shared" si="33"/>
        <v>1190.1091420116031</v>
      </c>
      <c r="AW68" s="526">
        <f t="shared" si="33"/>
        <v>1190.1091420116031</v>
      </c>
      <c r="AX68" s="526">
        <f t="shared" si="33"/>
        <v>1190.1091420116031</v>
      </c>
      <c r="AY68" s="526">
        <f t="shared" si="33"/>
        <v>1190.1091420116031</v>
      </c>
      <c r="AZ68" s="526">
        <f t="shared" si="33"/>
        <v>1190.1091420116031</v>
      </c>
      <c r="BA68" s="526">
        <f t="shared" si="33"/>
        <v>1190.1091420116031</v>
      </c>
      <c r="BB68" s="526">
        <f t="shared" si="33"/>
        <v>1190.1091420116031</v>
      </c>
      <c r="BC68" s="526">
        <f t="shared" si="33"/>
        <v>1190.1091420116031</v>
      </c>
      <c r="BD68" s="526">
        <f t="shared" si="33"/>
        <v>1190.1091420116031</v>
      </c>
      <c r="BE68" s="526">
        <f t="shared" si="33"/>
        <v>1190.1091420116031</v>
      </c>
      <c r="BF68" s="526">
        <f t="shared" si="33"/>
        <v>1190.1091420116031</v>
      </c>
      <c r="BG68" s="526">
        <f t="shared" si="33"/>
        <v>1190.1091420116031</v>
      </c>
      <c r="BH68" s="526">
        <f t="shared" si="33"/>
        <v>1190.1091420116031</v>
      </c>
      <c r="BI68" s="526">
        <f t="shared" si="33"/>
        <v>1190.1091420116031</v>
      </c>
      <c r="BJ68" s="526">
        <f t="shared" si="33"/>
        <v>1190.1091420116031</v>
      </c>
      <c r="BK68" s="526">
        <f t="shared" si="33"/>
        <v>1190.1091420116031</v>
      </c>
      <c r="BL68" s="526">
        <f t="shared" si="33"/>
        <v>1190.1091420116031</v>
      </c>
      <c r="BM68" s="526">
        <f t="shared" si="33"/>
        <v>1190.1091420116031</v>
      </c>
      <c r="BN68" s="526">
        <f t="shared" si="33"/>
        <v>1190.1091420116031</v>
      </c>
      <c r="BO68" s="526">
        <f t="shared" si="33"/>
        <v>1190.1091420116031</v>
      </c>
      <c r="BP68" s="526">
        <f t="shared" si="33"/>
        <v>1190.1091420116031</v>
      </c>
      <c r="BQ68" s="526">
        <f t="shared" si="33"/>
        <v>1190.1091420116031</v>
      </c>
      <c r="BR68" s="526">
        <f t="shared" si="33"/>
        <v>1190.1091420116031</v>
      </c>
      <c r="BS68" s="526">
        <f t="shared" si="33"/>
        <v>1190.1091420116031</v>
      </c>
      <c r="BT68" s="526">
        <f t="shared" si="33"/>
        <v>1190.1091420116031</v>
      </c>
      <c r="BU68" s="526">
        <f t="shared" si="33"/>
        <v>1190.1091420116031</v>
      </c>
      <c r="BV68" s="526">
        <f t="shared" si="33"/>
        <v>1190.1091420116031</v>
      </c>
      <c r="BW68" s="526">
        <f t="shared" si="33"/>
        <v>1190.1091420116031</v>
      </c>
      <c r="BX68" s="526">
        <f t="shared" si="33"/>
        <v>1190.1091420116031</v>
      </c>
      <c r="BY68" s="526">
        <f t="shared" si="33"/>
        <v>1190.1091420116031</v>
      </c>
      <c r="BZ68" s="526">
        <f t="shared" si="33"/>
        <v>1190.1091420116031</v>
      </c>
      <c r="CA68" s="526">
        <f t="shared" si="33"/>
        <v>1190.1091420116031</v>
      </c>
      <c r="CB68" s="526">
        <f t="shared" si="31"/>
        <v>1190.1091420116031</v>
      </c>
      <c r="CC68" s="526">
        <f t="shared" si="31"/>
        <v>1190.1091420116031</v>
      </c>
      <c r="CD68" s="526">
        <f t="shared" si="31"/>
        <v>1190.1091420116031</v>
      </c>
      <c r="CE68" s="526">
        <f t="shared" si="31"/>
        <v>1190.1091420116031</v>
      </c>
      <c r="CF68" s="526">
        <f t="shared" si="31"/>
        <v>1190.1091420116031</v>
      </c>
    </row>
    <row r="69" spans="2:84">
      <c r="B69" t="s">
        <v>769</v>
      </c>
      <c r="C69" t="s">
        <v>1354</v>
      </c>
      <c r="D69" t="s">
        <v>731</v>
      </c>
      <c r="E69" t="s">
        <v>1353</v>
      </c>
      <c r="F69" t="str">
        <f t="shared" si="32"/>
        <v>e-diesel (DAC)OpExAmericas</v>
      </c>
      <c r="G69" s="525">
        <v>3048.8564722263368</v>
      </c>
      <c r="H69" s="525">
        <v>2934.6279377996439</v>
      </c>
      <c r="I69" s="525">
        <v>2820.6314399355801</v>
      </c>
      <c r="J69" s="525">
        <v>2702.1433109175446</v>
      </c>
      <c r="K69" s="525">
        <v>2583.2076262967385</v>
      </c>
      <c r="L69" s="525">
        <v>2463.8568458481482</v>
      </c>
      <c r="M69" s="525">
        <v>2344.1234293468333</v>
      </c>
      <c r="N69" s="525">
        <v>2224.0398365677056</v>
      </c>
      <c r="O69" s="525">
        <v>2182.1715204383349</v>
      </c>
      <c r="P69" s="525">
        <v>2137.4088686097812</v>
      </c>
      <c r="Q69" s="525">
        <v>2089.7669537124866</v>
      </c>
      <c r="R69" s="525">
        <v>2039.2608483768772</v>
      </c>
      <c r="S69" s="525">
        <v>1985.9056252334294</v>
      </c>
      <c r="T69" s="525">
        <v>1937.4383829216918</v>
      </c>
      <c r="U69" s="525">
        <v>1887.1631215405218</v>
      </c>
      <c r="V69" s="525">
        <v>1835.0883114510159</v>
      </c>
      <c r="W69" s="525">
        <v>1781.2224230141833</v>
      </c>
      <c r="X69" s="525">
        <v>1725.5739265910913</v>
      </c>
      <c r="Y69" s="525">
        <v>1663.9656925709135</v>
      </c>
      <c r="Z69" s="525">
        <v>1601.9925926512108</v>
      </c>
      <c r="AA69" s="525">
        <v>1539.652686193823</v>
      </c>
      <c r="AB69" s="525">
        <v>1476.944032560516</v>
      </c>
      <c r="AC69" s="525">
        <v>1413.8646911131088</v>
      </c>
      <c r="AD69" s="525">
        <v>1357.60796761605</v>
      </c>
      <c r="AE69" s="525">
        <v>1301.546315430599</v>
      </c>
      <c r="AF69" s="525">
        <v>1245.6778549102321</v>
      </c>
      <c r="AG69" s="525">
        <v>1190.0007064084366</v>
      </c>
      <c r="AH69" s="525">
        <v>1134.5129902787005</v>
      </c>
      <c r="AI69" s="526">
        <f t="shared" si="33"/>
        <v>1134.5129902787005</v>
      </c>
      <c r="AJ69" s="526">
        <f t="shared" si="33"/>
        <v>1134.5129902787005</v>
      </c>
      <c r="AK69" s="526">
        <f t="shared" si="33"/>
        <v>1134.5129902787005</v>
      </c>
      <c r="AL69" s="526">
        <f t="shared" si="33"/>
        <v>1134.5129902787005</v>
      </c>
      <c r="AM69" s="526">
        <f t="shared" si="33"/>
        <v>1134.5129902787005</v>
      </c>
      <c r="AN69" s="526">
        <f t="shared" si="33"/>
        <v>1134.5129902787005</v>
      </c>
      <c r="AO69" s="526">
        <f t="shared" si="33"/>
        <v>1134.5129902787005</v>
      </c>
      <c r="AP69" s="526">
        <f t="shared" si="33"/>
        <v>1134.5129902787005</v>
      </c>
      <c r="AQ69" s="526">
        <f t="shared" si="33"/>
        <v>1134.5129902787005</v>
      </c>
      <c r="AR69" s="526">
        <f t="shared" si="33"/>
        <v>1134.5129902787005</v>
      </c>
      <c r="AS69" s="526">
        <f t="shared" si="33"/>
        <v>1134.5129902787005</v>
      </c>
      <c r="AT69" s="526">
        <f t="shared" si="33"/>
        <v>1134.5129902787005</v>
      </c>
      <c r="AU69" s="526">
        <f t="shared" si="33"/>
        <v>1134.5129902787005</v>
      </c>
      <c r="AV69" s="526">
        <f t="shared" si="33"/>
        <v>1134.5129902787005</v>
      </c>
      <c r="AW69" s="526">
        <f t="shared" si="33"/>
        <v>1134.5129902787005</v>
      </c>
      <c r="AX69" s="526">
        <f t="shared" si="33"/>
        <v>1134.5129902787005</v>
      </c>
      <c r="AY69" s="526">
        <f t="shared" si="33"/>
        <v>1134.5129902787005</v>
      </c>
      <c r="AZ69" s="526">
        <f t="shared" si="33"/>
        <v>1134.5129902787005</v>
      </c>
      <c r="BA69" s="526">
        <f t="shared" si="33"/>
        <v>1134.5129902787005</v>
      </c>
      <c r="BB69" s="526">
        <f t="shared" si="33"/>
        <v>1134.5129902787005</v>
      </c>
      <c r="BC69" s="526">
        <f t="shared" si="33"/>
        <v>1134.5129902787005</v>
      </c>
      <c r="BD69" s="526">
        <f t="shared" si="33"/>
        <v>1134.5129902787005</v>
      </c>
      <c r="BE69" s="526">
        <f t="shared" si="33"/>
        <v>1134.5129902787005</v>
      </c>
      <c r="BF69" s="526">
        <f t="shared" si="33"/>
        <v>1134.5129902787005</v>
      </c>
      <c r="BG69" s="526">
        <f t="shared" si="33"/>
        <v>1134.5129902787005</v>
      </c>
      <c r="BH69" s="526">
        <f t="shared" si="33"/>
        <v>1134.5129902787005</v>
      </c>
      <c r="BI69" s="526">
        <f t="shared" si="33"/>
        <v>1134.5129902787005</v>
      </c>
      <c r="BJ69" s="526">
        <f t="shared" si="33"/>
        <v>1134.5129902787005</v>
      </c>
      <c r="BK69" s="526">
        <f t="shared" si="33"/>
        <v>1134.5129902787005</v>
      </c>
      <c r="BL69" s="526">
        <f t="shared" si="33"/>
        <v>1134.5129902787005</v>
      </c>
      <c r="BM69" s="526">
        <f t="shared" si="33"/>
        <v>1134.5129902787005</v>
      </c>
      <c r="BN69" s="526">
        <f t="shared" si="33"/>
        <v>1134.5129902787005</v>
      </c>
      <c r="BO69" s="526">
        <f t="shared" si="33"/>
        <v>1134.5129902787005</v>
      </c>
      <c r="BP69" s="526">
        <f t="shared" si="33"/>
        <v>1134.5129902787005</v>
      </c>
      <c r="BQ69" s="526">
        <f t="shared" si="33"/>
        <v>1134.5129902787005</v>
      </c>
      <c r="BR69" s="526">
        <f t="shared" si="33"/>
        <v>1134.5129902787005</v>
      </c>
      <c r="BS69" s="526">
        <f t="shared" si="33"/>
        <v>1134.5129902787005</v>
      </c>
      <c r="BT69" s="526">
        <f t="shared" si="33"/>
        <v>1134.5129902787005</v>
      </c>
      <c r="BU69" s="526">
        <f t="shared" si="33"/>
        <v>1134.5129902787005</v>
      </c>
      <c r="BV69" s="526">
        <f t="shared" si="33"/>
        <v>1134.5129902787005</v>
      </c>
      <c r="BW69" s="526">
        <f t="shared" si="33"/>
        <v>1134.5129902787005</v>
      </c>
      <c r="BX69" s="526">
        <f t="shared" si="33"/>
        <v>1134.5129902787005</v>
      </c>
      <c r="BY69" s="526">
        <f t="shared" si="33"/>
        <v>1134.5129902787005</v>
      </c>
      <c r="BZ69" s="526">
        <f t="shared" si="33"/>
        <v>1134.5129902787005</v>
      </c>
      <c r="CA69" s="526">
        <f t="shared" si="33"/>
        <v>1134.5129902787005</v>
      </c>
      <c r="CB69" s="526">
        <f t="shared" si="31"/>
        <v>1134.5129902787005</v>
      </c>
      <c r="CC69" s="526">
        <f t="shared" si="31"/>
        <v>1134.5129902787005</v>
      </c>
      <c r="CD69" s="526">
        <f t="shared" si="31"/>
        <v>1134.5129902787005</v>
      </c>
      <c r="CE69" s="526">
        <f t="shared" si="31"/>
        <v>1134.5129902787005</v>
      </c>
      <c r="CF69" s="526">
        <f t="shared" si="31"/>
        <v>1134.5129902787005</v>
      </c>
    </row>
    <row r="70" spans="2:84">
      <c r="B70" t="s">
        <v>769</v>
      </c>
      <c r="C70" t="s">
        <v>1354</v>
      </c>
      <c r="D70" t="s">
        <v>750</v>
      </c>
      <c r="E70" t="s">
        <v>1353</v>
      </c>
      <c r="F70" t="str">
        <f t="shared" si="32"/>
        <v>e-diesel (DAC)OpExAsia</v>
      </c>
      <c r="G70" s="525">
        <v>4040.4626095500739</v>
      </c>
      <c r="H70" s="525">
        <v>3748.8579905705005</v>
      </c>
      <c r="I70" s="525">
        <v>3458.9896383928776</v>
      </c>
      <c r="J70" s="525">
        <v>3310.920189620259</v>
      </c>
      <c r="K70" s="525">
        <v>3162.5269611884623</v>
      </c>
      <c r="L70" s="525">
        <v>3013.8616897873085</v>
      </c>
      <c r="M70" s="525">
        <v>2864.976112106785</v>
      </c>
      <c r="N70" s="525">
        <v>2715.9219648367539</v>
      </c>
      <c r="O70" s="525">
        <v>2644.075708445434</v>
      </c>
      <c r="P70" s="525">
        <v>2569.6596116157712</v>
      </c>
      <c r="Q70" s="525">
        <v>2492.7076060172803</v>
      </c>
      <c r="R70" s="525">
        <v>2413.2536233194301</v>
      </c>
      <c r="S70" s="525">
        <v>2331.3315951918034</v>
      </c>
      <c r="T70" s="525">
        <v>2272.9270579972499</v>
      </c>
      <c r="U70" s="525">
        <v>2212.7852048095656</v>
      </c>
      <c r="V70" s="525">
        <v>2150.9179954465144</v>
      </c>
      <c r="W70" s="525">
        <v>2087.3373897257216</v>
      </c>
      <c r="X70" s="525">
        <v>2022.0553474649307</v>
      </c>
      <c r="Y70" s="525">
        <v>1940.3149986610899</v>
      </c>
      <c r="Z70" s="525">
        <v>1858.6608798863981</v>
      </c>
      <c r="AA70" s="525">
        <v>1777.0858718270022</v>
      </c>
      <c r="AB70" s="525">
        <v>1695.5828551689976</v>
      </c>
      <c r="AC70" s="525">
        <v>1614.1447105985092</v>
      </c>
      <c r="AD70" s="525">
        <v>1550.2775118076506</v>
      </c>
      <c r="AE70" s="525">
        <v>1486.7552126226067</v>
      </c>
      <c r="AF70" s="525">
        <v>1423.5736215117611</v>
      </c>
      <c r="AG70" s="525">
        <v>1360.728546943498</v>
      </c>
      <c r="AH70" s="525">
        <v>1298.215797386202</v>
      </c>
      <c r="AI70" s="526">
        <f t="shared" si="33"/>
        <v>1298.215797386202</v>
      </c>
      <c r="AJ70" s="526">
        <f t="shared" si="33"/>
        <v>1298.215797386202</v>
      </c>
      <c r="AK70" s="526">
        <f t="shared" si="33"/>
        <v>1298.215797386202</v>
      </c>
      <c r="AL70" s="526">
        <f t="shared" si="33"/>
        <v>1298.215797386202</v>
      </c>
      <c r="AM70" s="526">
        <f t="shared" si="33"/>
        <v>1298.215797386202</v>
      </c>
      <c r="AN70" s="526">
        <f t="shared" si="33"/>
        <v>1298.215797386202</v>
      </c>
      <c r="AO70" s="526">
        <f t="shared" si="33"/>
        <v>1298.215797386202</v>
      </c>
      <c r="AP70" s="526">
        <f t="shared" si="33"/>
        <v>1298.215797386202</v>
      </c>
      <c r="AQ70" s="526">
        <f t="shared" si="33"/>
        <v>1298.215797386202</v>
      </c>
      <c r="AR70" s="526">
        <f t="shared" si="33"/>
        <v>1298.215797386202</v>
      </c>
      <c r="AS70" s="526">
        <f t="shared" si="33"/>
        <v>1298.215797386202</v>
      </c>
      <c r="AT70" s="526">
        <f t="shared" si="33"/>
        <v>1298.215797386202</v>
      </c>
      <c r="AU70" s="526">
        <f t="shared" si="33"/>
        <v>1298.215797386202</v>
      </c>
      <c r="AV70" s="526">
        <f t="shared" si="33"/>
        <v>1298.215797386202</v>
      </c>
      <c r="AW70" s="526">
        <f t="shared" si="33"/>
        <v>1298.215797386202</v>
      </c>
      <c r="AX70" s="526">
        <f t="shared" si="33"/>
        <v>1298.215797386202</v>
      </c>
      <c r="AY70" s="526">
        <f t="shared" si="33"/>
        <v>1298.215797386202</v>
      </c>
      <c r="AZ70" s="526">
        <f t="shared" si="33"/>
        <v>1298.215797386202</v>
      </c>
      <c r="BA70" s="526">
        <f t="shared" si="33"/>
        <v>1298.215797386202</v>
      </c>
      <c r="BB70" s="526">
        <f t="shared" si="33"/>
        <v>1298.215797386202</v>
      </c>
      <c r="BC70" s="526">
        <f t="shared" si="33"/>
        <v>1298.215797386202</v>
      </c>
      <c r="BD70" s="526">
        <f t="shared" si="33"/>
        <v>1298.215797386202</v>
      </c>
      <c r="BE70" s="526">
        <f t="shared" si="33"/>
        <v>1298.215797386202</v>
      </c>
      <c r="BF70" s="526">
        <f t="shared" si="33"/>
        <v>1298.215797386202</v>
      </c>
      <c r="BG70" s="526">
        <f t="shared" si="33"/>
        <v>1298.215797386202</v>
      </c>
      <c r="BH70" s="526">
        <f t="shared" si="33"/>
        <v>1298.215797386202</v>
      </c>
      <c r="BI70" s="526">
        <f t="shared" si="33"/>
        <v>1298.215797386202</v>
      </c>
      <c r="BJ70" s="526">
        <f t="shared" si="33"/>
        <v>1298.215797386202</v>
      </c>
      <c r="BK70" s="526">
        <f t="shared" si="33"/>
        <v>1298.215797386202</v>
      </c>
      <c r="BL70" s="526">
        <f t="shared" si="33"/>
        <v>1298.215797386202</v>
      </c>
      <c r="BM70" s="526">
        <f t="shared" si="33"/>
        <v>1298.215797386202</v>
      </c>
      <c r="BN70" s="526">
        <f t="shared" si="33"/>
        <v>1298.215797386202</v>
      </c>
      <c r="BO70" s="526">
        <f t="shared" si="33"/>
        <v>1298.215797386202</v>
      </c>
      <c r="BP70" s="526">
        <f t="shared" si="33"/>
        <v>1298.215797386202</v>
      </c>
      <c r="BQ70" s="526">
        <f t="shared" si="33"/>
        <v>1298.215797386202</v>
      </c>
      <c r="BR70" s="526">
        <f t="shared" si="33"/>
        <v>1298.215797386202</v>
      </c>
      <c r="BS70" s="526">
        <f t="shared" si="33"/>
        <v>1298.215797386202</v>
      </c>
      <c r="BT70" s="526">
        <f t="shared" si="33"/>
        <v>1298.215797386202</v>
      </c>
      <c r="BU70" s="526">
        <f t="shared" si="33"/>
        <v>1298.215797386202</v>
      </c>
      <c r="BV70" s="526">
        <f t="shared" si="33"/>
        <v>1298.215797386202</v>
      </c>
      <c r="BW70" s="526">
        <f t="shared" si="33"/>
        <v>1298.215797386202</v>
      </c>
      <c r="BX70" s="526">
        <f t="shared" si="33"/>
        <v>1298.215797386202</v>
      </c>
      <c r="BY70" s="526">
        <f t="shared" si="33"/>
        <v>1298.215797386202</v>
      </c>
      <c r="BZ70" s="526">
        <f t="shared" si="33"/>
        <v>1298.215797386202</v>
      </c>
      <c r="CA70" s="526">
        <f t="shared" si="33"/>
        <v>1298.215797386202</v>
      </c>
      <c r="CB70" s="526">
        <f t="shared" si="31"/>
        <v>1298.215797386202</v>
      </c>
      <c r="CC70" s="526">
        <f t="shared" si="31"/>
        <v>1298.215797386202</v>
      </c>
      <c r="CD70" s="526">
        <f t="shared" si="31"/>
        <v>1298.215797386202</v>
      </c>
      <c r="CE70" s="526">
        <f t="shared" si="31"/>
        <v>1298.215797386202</v>
      </c>
      <c r="CF70" s="526">
        <f t="shared" si="31"/>
        <v>1298.215797386202</v>
      </c>
    </row>
    <row r="71" spans="2:84">
      <c r="B71" t="s">
        <v>769</v>
      </c>
      <c r="C71" t="s">
        <v>1354</v>
      </c>
      <c r="D71" t="s">
        <v>720</v>
      </c>
      <c r="E71" t="s">
        <v>1353</v>
      </c>
      <c r="F71" t="str">
        <f t="shared" si="32"/>
        <v>e-diesel (DAC)OpExEurope</v>
      </c>
      <c r="G71" s="525">
        <v>3458.0123958928143</v>
      </c>
      <c r="H71" s="525">
        <v>3295.6526803080837</v>
      </c>
      <c r="I71" s="525">
        <v>3133.9071015484865</v>
      </c>
      <c r="J71" s="525">
        <v>3000.0346026400707</v>
      </c>
      <c r="K71" s="525">
        <v>2865.7844448050232</v>
      </c>
      <c r="L71" s="525">
        <v>2731.1991816561253</v>
      </c>
      <c r="M71" s="525">
        <v>2596.3213668061644</v>
      </c>
      <c r="N71" s="525">
        <v>2461.1935538678767</v>
      </c>
      <c r="O71" s="525">
        <v>2414.6403282696388</v>
      </c>
      <c r="P71" s="525">
        <v>2365.1824292755559</v>
      </c>
      <c r="Q71" s="525">
        <v>2312.8369178473113</v>
      </c>
      <c r="R71" s="525">
        <v>2257.6208549466128</v>
      </c>
      <c r="S71" s="525">
        <v>2199.5513015352285</v>
      </c>
      <c r="T71" s="525">
        <v>2151.6949517883841</v>
      </c>
      <c r="U71" s="525">
        <v>2101.9405089981019</v>
      </c>
      <c r="V71" s="525">
        <v>2050.2950348423674</v>
      </c>
      <c r="W71" s="525">
        <v>1996.7655909990583</v>
      </c>
      <c r="X71" s="525">
        <v>1941.3592391461259</v>
      </c>
      <c r="Y71" s="525">
        <v>1869.5575414788354</v>
      </c>
      <c r="Z71" s="525">
        <v>1797.6046148728763</v>
      </c>
      <c r="AA71" s="525">
        <v>1725.4961629937118</v>
      </c>
      <c r="AB71" s="525">
        <v>1653.2278895067182</v>
      </c>
      <c r="AC71" s="525">
        <v>1580.795498077337</v>
      </c>
      <c r="AD71" s="525">
        <v>1517.6931028737072</v>
      </c>
      <c r="AE71" s="525">
        <v>1454.9220824905181</v>
      </c>
      <c r="AF71" s="525">
        <v>1392.4784124615464</v>
      </c>
      <c r="AG71" s="525">
        <v>1330.3580683205694</v>
      </c>
      <c r="AH71" s="525">
        <v>1268.5570256013648</v>
      </c>
      <c r="AI71" s="526">
        <f t="shared" si="33"/>
        <v>1268.5570256013648</v>
      </c>
      <c r="AJ71" s="526">
        <f t="shared" si="33"/>
        <v>1268.5570256013648</v>
      </c>
      <c r="AK71" s="526">
        <f t="shared" si="33"/>
        <v>1268.5570256013648</v>
      </c>
      <c r="AL71" s="526">
        <f t="shared" si="33"/>
        <v>1268.5570256013648</v>
      </c>
      <c r="AM71" s="526">
        <f t="shared" si="33"/>
        <v>1268.5570256013648</v>
      </c>
      <c r="AN71" s="526">
        <f t="shared" si="33"/>
        <v>1268.5570256013648</v>
      </c>
      <c r="AO71" s="526">
        <f t="shared" si="33"/>
        <v>1268.5570256013648</v>
      </c>
      <c r="AP71" s="526">
        <f t="shared" si="33"/>
        <v>1268.5570256013648</v>
      </c>
      <c r="AQ71" s="526">
        <f t="shared" si="33"/>
        <v>1268.5570256013648</v>
      </c>
      <c r="AR71" s="526">
        <f t="shared" si="33"/>
        <v>1268.5570256013648</v>
      </c>
      <c r="AS71" s="526">
        <f t="shared" si="33"/>
        <v>1268.5570256013648</v>
      </c>
      <c r="AT71" s="526">
        <f t="shared" si="33"/>
        <v>1268.5570256013648</v>
      </c>
      <c r="AU71" s="526">
        <f t="shared" si="33"/>
        <v>1268.5570256013648</v>
      </c>
      <c r="AV71" s="526">
        <f t="shared" si="33"/>
        <v>1268.5570256013648</v>
      </c>
      <c r="AW71" s="526">
        <f t="shared" si="33"/>
        <v>1268.5570256013648</v>
      </c>
      <c r="AX71" s="526">
        <f t="shared" si="33"/>
        <v>1268.5570256013648</v>
      </c>
      <c r="AY71" s="526">
        <f t="shared" si="33"/>
        <v>1268.5570256013648</v>
      </c>
      <c r="AZ71" s="526">
        <f t="shared" si="33"/>
        <v>1268.5570256013648</v>
      </c>
      <c r="BA71" s="526">
        <f t="shared" si="33"/>
        <v>1268.5570256013648</v>
      </c>
      <c r="BB71" s="526">
        <f t="shared" si="33"/>
        <v>1268.5570256013648</v>
      </c>
      <c r="BC71" s="526">
        <f t="shared" si="33"/>
        <v>1268.5570256013648</v>
      </c>
      <c r="BD71" s="526">
        <f t="shared" si="33"/>
        <v>1268.5570256013648</v>
      </c>
      <c r="BE71" s="526">
        <f t="shared" si="33"/>
        <v>1268.5570256013648</v>
      </c>
      <c r="BF71" s="526">
        <f t="shared" si="33"/>
        <v>1268.5570256013648</v>
      </c>
      <c r="BG71" s="526">
        <f t="shared" si="33"/>
        <v>1268.5570256013648</v>
      </c>
      <c r="BH71" s="526">
        <f t="shared" si="33"/>
        <v>1268.5570256013648</v>
      </c>
      <c r="BI71" s="526">
        <f t="shared" si="33"/>
        <v>1268.5570256013648</v>
      </c>
      <c r="BJ71" s="526">
        <f t="shared" si="33"/>
        <v>1268.5570256013648</v>
      </c>
      <c r="BK71" s="526">
        <f t="shared" si="33"/>
        <v>1268.5570256013648</v>
      </c>
      <c r="BL71" s="526">
        <f t="shared" si="33"/>
        <v>1268.5570256013648</v>
      </c>
      <c r="BM71" s="526">
        <f t="shared" si="33"/>
        <v>1268.5570256013648</v>
      </c>
      <c r="BN71" s="526">
        <f t="shared" si="33"/>
        <v>1268.5570256013648</v>
      </c>
      <c r="BO71" s="526">
        <f t="shared" si="33"/>
        <v>1268.5570256013648</v>
      </c>
      <c r="BP71" s="526">
        <f t="shared" si="33"/>
        <v>1268.5570256013648</v>
      </c>
      <c r="BQ71" s="526">
        <f t="shared" si="33"/>
        <v>1268.5570256013648</v>
      </c>
      <c r="BR71" s="526">
        <f t="shared" si="33"/>
        <v>1268.5570256013648</v>
      </c>
      <c r="BS71" s="526">
        <f t="shared" si="33"/>
        <v>1268.5570256013648</v>
      </c>
      <c r="BT71" s="526">
        <f t="shared" si="33"/>
        <v>1268.5570256013648</v>
      </c>
      <c r="BU71" s="526">
        <f t="shared" si="33"/>
        <v>1268.5570256013648</v>
      </c>
      <c r="BV71" s="526">
        <f t="shared" si="33"/>
        <v>1268.5570256013648</v>
      </c>
      <c r="BW71" s="526">
        <f t="shared" si="33"/>
        <v>1268.5570256013648</v>
      </c>
      <c r="BX71" s="526">
        <f t="shared" si="33"/>
        <v>1268.5570256013648</v>
      </c>
      <c r="BY71" s="526">
        <f t="shared" si="33"/>
        <v>1268.5570256013648</v>
      </c>
      <c r="BZ71" s="526">
        <f t="shared" si="33"/>
        <v>1268.5570256013648</v>
      </c>
      <c r="CA71" s="526">
        <f t="shared" si="33"/>
        <v>1268.5570256013648</v>
      </c>
      <c r="CB71" s="526">
        <f t="shared" si="31"/>
        <v>1268.5570256013648</v>
      </c>
      <c r="CC71" s="526">
        <f t="shared" si="31"/>
        <v>1268.5570256013648</v>
      </c>
      <c r="CD71" s="526">
        <f t="shared" si="31"/>
        <v>1268.5570256013648</v>
      </c>
      <c r="CE71" s="526">
        <f t="shared" si="31"/>
        <v>1268.5570256013648</v>
      </c>
      <c r="CF71" s="526">
        <f t="shared" si="31"/>
        <v>1268.5570256013648</v>
      </c>
    </row>
    <row r="72" spans="2:84">
      <c r="B72" t="s">
        <v>769</v>
      </c>
      <c r="C72" t="s">
        <v>1354</v>
      </c>
      <c r="D72" t="s">
        <v>826</v>
      </c>
      <c r="E72" t="s">
        <v>1353</v>
      </c>
      <c r="F72" t="str">
        <f t="shared" si="32"/>
        <v>e-diesel (DAC)OpExMiddle East</v>
      </c>
      <c r="G72" s="525">
        <v>3060.5479488867381</v>
      </c>
      <c r="H72" s="525">
        <v>2915.7375178964053</v>
      </c>
      <c r="I72" s="525">
        <v>2771.4481182546447</v>
      </c>
      <c r="J72" s="525">
        <v>2660.2170263485073</v>
      </c>
      <c r="K72" s="525">
        <v>2548.4763046734483</v>
      </c>
      <c r="L72" s="525">
        <v>2436.2532908159587</v>
      </c>
      <c r="M72" s="525">
        <v>2323.5753223625884</v>
      </c>
      <c r="N72" s="525">
        <v>2210.4697368997854</v>
      </c>
      <c r="O72" s="525">
        <v>2163.8626435935248</v>
      </c>
      <c r="P72" s="525">
        <v>2114.4472934604014</v>
      </c>
      <c r="Q72" s="525">
        <v>2062.2422866539132</v>
      </c>
      <c r="R72" s="525">
        <v>2007.2662233275728</v>
      </c>
      <c r="S72" s="525">
        <v>1949.5377036349228</v>
      </c>
      <c r="T72" s="525">
        <v>1905.2192004585154</v>
      </c>
      <c r="U72" s="525">
        <v>1859.0237987805856</v>
      </c>
      <c r="V72" s="525">
        <v>1810.9579638440537</v>
      </c>
      <c r="W72" s="525">
        <v>1761.0281608917326</v>
      </c>
      <c r="X72" s="525">
        <v>1709.2408551665153</v>
      </c>
      <c r="Y72" s="525">
        <v>1638.7526530548359</v>
      </c>
      <c r="Z72" s="525">
        <v>1568.1316340102233</v>
      </c>
      <c r="AA72" s="525">
        <v>1497.3729763523909</v>
      </c>
      <c r="AB72" s="525">
        <v>1426.4718584010004</v>
      </c>
      <c r="AC72" s="525">
        <v>1355.4234584757444</v>
      </c>
      <c r="AD72" s="525">
        <v>1297.4853983832538</v>
      </c>
      <c r="AE72" s="525">
        <v>1239.7874080503971</v>
      </c>
      <c r="AF72" s="525">
        <v>1182.326590223752</v>
      </c>
      <c r="AG72" s="525">
        <v>1125.1000476499096</v>
      </c>
      <c r="AH72" s="525">
        <v>1068.1048830754619</v>
      </c>
      <c r="AI72" s="526">
        <f t="shared" si="33"/>
        <v>1068.1048830754619</v>
      </c>
      <c r="AJ72" s="526">
        <f t="shared" si="33"/>
        <v>1068.1048830754619</v>
      </c>
      <c r="AK72" s="526">
        <f t="shared" si="33"/>
        <v>1068.1048830754619</v>
      </c>
      <c r="AL72" s="526">
        <f t="shared" si="33"/>
        <v>1068.1048830754619</v>
      </c>
      <c r="AM72" s="526">
        <f t="shared" si="33"/>
        <v>1068.1048830754619</v>
      </c>
      <c r="AN72" s="526">
        <f t="shared" si="33"/>
        <v>1068.1048830754619</v>
      </c>
      <c r="AO72" s="526">
        <f t="shared" si="33"/>
        <v>1068.1048830754619</v>
      </c>
      <c r="AP72" s="526">
        <f t="shared" si="33"/>
        <v>1068.1048830754619</v>
      </c>
      <c r="AQ72" s="526">
        <f t="shared" si="33"/>
        <v>1068.1048830754619</v>
      </c>
      <c r="AR72" s="526">
        <f t="shared" si="33"/>
        <v>1068.1048830754619</v>
      </c>
      <c r="AS72" s="526">
        <f t="shared" si="33"/>
        <v>1068.1048830754619</v>
      </c>
      <c r="AT72" s="526">
        <f t="shared" si="33"/>
        <v>1068.1048830754619</v>
      </c>
      <c r="AU72" s="526">
        <f t="shared" si="33"/>
        <v>1068.1048830754619</v>
      </c>
      <c r="AV72" s="526">
        <f t="shared" si="33"/>
        <v>1068.1048830754619</v>
      </c>
      <c r="AW72" s="526">
        <f t="shared" si="33"/>
        <v>1068.1048830754619</v>
      </c>
      <c r="AX72" s="526">
        <f t="shared" si="33"/>
        <v>1068.1048830754619</v>
      </c>
      <c r="AY72" s="526">
        <f t="shared" si="33"/>
        <v>1068.1048830754619</v>
      </c>
      <c r="AZ72" s="526">
        <f t="shared" si="33"/>
        <v>1068.1048830754619</v>
      </c>
      <c r="BA72" s="526">
        <f t="shared" si="33"/>
        <v>1068.1048830754619</v>
      </c>
      <c r="BB72" s="526">
        <f t="shared" si="33"/>
        <v>1068.1048830754619</v>
      </c>
      <c r="BC72" s="526">
        <f t="shared" si="33"/>
        <v>1068.1048830754619</v>
      </c>
      <c r="BD72" s="526">
        <f t="shared" si="33"/>
        <v>1068.1048830754619</v>
      </c>
      <c r="BE72" s="526">
        <f t="shared" si="33"/>
        <v>1068.1048830754619</v>
      </c>
      <c r="BF72" s="526">
        <f t="shared" si="33"/>
        <v>1068.1048830754619</v>
      </c>
      <c r="BG72" s="526">
        <f t="shared" si="33"/>
        <v>1068.1048830754619</v>
      </c>
      <c r="BH72" s="526">
        <f t="shared" si="33"/>
        <v>1068.1048830754619</v>
      </c>
      <c r="BI72" s="526">
        <f t="shared" si="33"/>
        <v>1068.1048830754619</v>
      </c>
      <c r="BJ72" s="526">
        <f t="shared" si="33"/>
        <v>1068.1048830754619</v>
      </c>
      <c r="BK72" s="526">
        <f t="shared" si="33"/>
        <v>1068.1048830754619</v>
      </c>
      <c r="BL72" s="526">
        <f t="shared" si="33"/>
        <v>1068.1048830754619</v>
      </c>
      <c r="BM72" s="526">
        <f t="shared" si="33"/>
        <v>1068.1048830754619</v>
      </c>
      <c r="BN72" s="526">
        <f t="shared" si="33"/>
        <v>1068.1048830754619</v>
      </c>
      <c r="BO72" s="526">
        <f t="shared" si="33"/>
        <v>1068.1048830754619</v>
      </c>
      <c r="BP72" s="526">
        <f t="shared" si="33"/>
        <v>1068.1048830754619</v>
      </c>
      <c r="BQ72" s="526">
        <f t="shared" si="33"/>
        <v>1068.1048830754619</v>
      </c>
      <c r="BR72" s="526">
        <f t="shared" si="33"/>
        <v>1068.1048830754619</v>
      </c>
      <c r="BS72" s="526">
        <f t="shared" si="33"/>
        <v>1068.1048830754619</v>
      </c>
      <c r="BT72" s="526">
        <f t="shared" si="33"/>
        <v>1068.1048830754619</v>
      </c>
      <c r="BU72" s="526">
        <f t="shared" si="33"/>
        <v>1068.1048830754619</v>
      </c>
      <c r="BV72" s="526">
        <f t="shared" si="33"/>
        <v>1068.1048830754619</v>
      </c>
      <c r="BW72" s="526">
        <f t="shared" si="33"/>
        <v>1068.1048830754619</v>
      </c>
      <c r="BX72" s="526">
        <f t="shared" si="33"/>
        <v>1068.1048830754619</v>
      </c>
      <c r="BY72" s="526">
        <f t="shared" si="33"/>
        <v>1068.1048830754619</v>
      </c>
      <c r="BZ72" s="526">
        <f t="shared" si="33"/>
        <v>1068.1048830754619</v>
      </c>
      <c r="CA72" s="526">
        <f t="shared" si="33"/>
        <v>1068.1048830754619</v>
      </c>
      <c r="CB72" s="526">
        <f t="shared" si="31"/>
        <v>1068.1048830754619</v>
      </c>
      <c r="CC72" s="526">
        <f t="shared" si="31"/>
        <v>1068.1048830754619</v>
      </c>
      <c r="CD72" s="526">
        <f t="shared" si="31"/>
        <v>1068.1048830754619</v>
      </c>
      <c r="CE72" s="526">
        <f t="shared" si="31"/>
        <v>1068.1048830754619</v>
      </c>
      <c r="CF72" s="526">
        <f t="shared" si="31"/>
        <v>1068.1048830754619</v>
      </c>
    </row>
    <row r="73" spans="2:84">
      <c r="B73" t="s">
        <v>769</v>
      </c>
      <c r="C73" t="s">
        <v>1355</v>
      </c>
      <c r="D73" t="s">
        <v>708</v>
      </c>
      <c r="E73" t="s">
        <v>1356</v>
      </c>
      <c r="F73" t="str">
        <f t="shared" si="32"/>
        <v>e-diesel (DAC)Total emissions - WTT - GWP100Global</v>
      </c>
      <c r="G73" s="527">
        <v>-3.0215365545011861</v>
      </c>
      <c r="H73" s="527">
        <v>-3.0224027811975365</v>
      </c>
      <c r="I73" s="527">
        <v>-3.023295839999999</v>
      </c>
      <c r="J73" s="527">
        <v>-3.0242309182673419</v>
      </c>
      <c r="K73" s="527">
        <v>-3.0252112389434691</v>
      </c>
      <c r="L73" s="527">
        <v>-3.0262368020283819</v>
      </c>
      <c r="M73" s="527">
        <v>-3.0273076075220779</v>
      </c>
      <c r="N73" s="527">
        <v>-3.0284236554245614</v>
      </c>
      <c r="O73" s="527">
        <v>-3.0299173716609538</v>
      </c>
      <c r="P73" s="527">
        <v>-3.0314547437001451</v>
      </c>
      <c r="Q73" s="527">
        <v>-3.0330357715421377</v>
      </c>
      <c r="R73" s="527">
        <v>-3.0346604551869327</v>
      </c>
      <c r="S73" s="527">
        <v>-3.0363287946345272</v>
      </c>
      <c r="T73" s="527">
        <v>-3.0380014828860484</v>
      </c>
      <c r="U73" s="527">
        <v>-3.0397044357469483</v>
      </c>
      <c r="V73" s="527">
        <v>-3.0414376532172254</v>
      </c>
      <c r="W73" s="527">
        <v>-3.0432011352968829</v>
      </c>
      <c r="X73" s="527">
        <v>-3.0449948819859203</v>
      </c>
      <c r="Y73" s="527">
        <v>-3.0471067504180476</v>
      </c>
      <c r="Z73" s="527">
        <v>-3.0492014075068634</v>
      </c>
      <c r="AA73" s="527">
        <v>-3.051278853252366</v>
      </c>
      <c r="AB73" s="527">
        <v>-3.0533390876545572</v>
      </c>
      <c r="AC73" s="527">
        <v>-3.055382110713436</v>
      </c>
      <c r="AD73" s="527">
        <v>-3.0571419150170902</v>
      </c>
      <c r="AE73" s="527">
        <v>-3.0588796225975741</v>
      </c>
      <c r="AF73" s="527">
        <v>-3.0605952334548867</v>
      </c>
      <c r="AG73" s="527">
        <v>-3.0622887475890286</v>
      </c>
      <c r="AH73" s="527">
        <v>-3.0639601650000001</v>
      </c>
      <c r="AI73" s="528">
        <f t="shared" si="33"/>
        <v>-3.0639601650000001</v>
      </c>
      <c r="AJ73" s="528">
        <f t="shared" si="33"/>
        <v>-3.0639601650000001</v>
      </c>
      <c r="AK73" s="528">
        <f t="shared" si="33"/>
        <v>-3.0639601650000001</v>
      </c>
      <c r="AL73" s="528">
        <f t="shared" si="33"/>
        <v>-3.0639601650000001</v>
      </c>
      <c r="AM73" s="528">
        <f t="shared" si="33"/>
        <v>-3.0639601650000001</v>
      </c>
      <c r="AN73" s="528">
        <f t="shared" si="33"/>
        <v>-3.0639601650000001</v>
      </c>
      <c r="AO73" s="528">
        <f t="shared" si="33"/>
        <v>-3.0639601650000001</v>
      </c>
      <c r="AP73" s="528">
        <f t="shared" si="33"/>
        <v>-3.0639601650000001</v>
      </c>
      <c r="AQ73" s="528">
        <f t="shared" si="33"/>
        <v>-3.0639601650000001</v>
      </c>
      <c r="AR73" s="528">
        <f t="shared" si="33"/>
        <v>-3.0639601650000001</v>
      </c>
      <c r="AS73" s="528">
        <f t="shared" si="33"/>
        <v>-3.0639601650000001</v>
      </c>
      <c r="AT73" s="528">
        <f t="shared" si="33"/>
        <v>-3.0639601650000001</v>
      </c>
      <c r="AU73" s="528">
        <f t="shared" si="33"/>
        <v>-3.0639601650000001</v>
      </c>
      <c r="AV73" s="528">
        <f t="shared" si="33"/>
        <v>-3.0639601650000001</v>
      </c>
      <c r="AW73" s="528">
        <f t="shared" si="33"/>
        <v>-3.0639601650000001</v>
      </c>
      <c r="AX73" s="528">
        <f t="shared" si="33"/>
        <v>-3.0639601650000001</v>
      </c>
      <c r="AY73" s="528">
        <f t="shared" si="33"/>
        <v>-3.0639601650000001</v>
      </c>
      <c r="AZ73" s="528">
        <f t="shared" si="33"/>
        <v>-3.0639601650000001</v>
      </c>
      <c r="BA73" s="528">
        <f t="shared" si="33"/>
        <v>-3.0639601650000001</v>
      </c>
      <c r="BB73" s="528">
        <f t="shared" si="33"/>
        <v>-3.0639601650000001</v>
      </c>
      <c r="BC73" s="528">
        <f t="shared" si="33"/>
        <v>-3.0639601650000001</v>
      </c>
      <c r="BD73" s="528">
        <f t="shared" si="33"/>
        <v>-3.0639601650000001</v>
      </c>
      <c r="BE73" s="528">
        <f t="shared" si="33"/>
        <v>-3.0639601650000001</v>
      </c>
      <c r="BF73" s="528">
        <f t="shared" si="33"/>
        <v>-3.0639601650000001</v>
      </c>
      <c r="BG73" s="528">
        <f t="shared" si="33"/>
        <v>-3.0639601650000001</v>
      </c>
      <c r="BH73" s="528">
        <f t="shared" si="33"/>
        <v>-3.0639601650000001</v>
      </c>
      <c r="BI73" s="528">
        <f t="shared" si="33"/>
        <v>-3.0639601650000001</v>
      </c>
      <c r="BJ73" s="528">
        <f t="shared" si="33"/>
        <v>-3.0639601650000001</v>
      </c>
      <c r="BK73" s="528">
        <f t="shared" si="33"/>
        <v>-3.0639601650000001</v>
      </c>
      <c r="BL73" s="528">
        <f t="shared" si="33"/>
        <v>-3.0639601650000001</v>
      </c>
      <c r="BM73" s="528">
        <f t="shared" ref="BM73:CA73" si="34">BL73</f>
        <v>-3.0639601650000001</v>
      </c>
      <c r="BN73" s="528">
        <f t="shared" si="34"/>
        <v>-3.0639601650000001</v>
      </c>
      <c r="BO73" s="528">
        <f t="shared" si="34"/>
        <v>-3.0639601650000001</v>
      </c>
      <c r="BP73" s="528">
        <f t="shared" si="34"/>
        <v>-3.0639601650000001</v>
      </c>
      <c r="BQ73" s="528">
        <f t="shared" si="34"/>
        <v>-3.0639601650000001</v>
      </c>
      <c r="BR73" s="528">
        <f t="shared" si="34"/>
        <v>-3.0639601650000001</v>
      </c>
      <c r="BS73" s="528">
        <f t="shared" si="34"/>
        <v>-3.0639601650000001</v>
      </c>
      <c r="BT73" s="528">
        <f t="shared" si="34"/>
        <v>-3.0639601650000001</v>
      </c>
      <c r="BU73" s="528">
        <f t="shared" si="34"/>
        <v>-3.0639601650000001</v>
      </c>
      <c r="BV73" s="528">
        <f t="shared" si="34"/>
        <v>-3.0639601650000001</v>
      </c>
      <c r="BW73" s="528">
        <f t="shared" si="34"/>
        <v>-3.0639601650000001</v>
      </c>
      <c r="BX73" s="528">
        <f t="shared" si="34"/>
        <v>-3.0639601650000001</v>
      </c>
      <c r="BY73" s="528">
        <f t="shared" si="34"/>
        <v>-3.0639601650000001</v>
      </c>
      <c r="BZ73" s="528">
        <f t="shared" si="34"/>
        <v>-3.0639601650000001</v>
      </c>
      <c r="CA73" s="528">
        <f t="shared" si="34"/>
        <v>-3.0639601650000001</v>
      </c>
      <c r="CB73" s="528">
        <f t="shared" si="31"/>
        <v>-3.0639601650000001</v>
      </c>
      <c r="CC73" s="528">
        <f t="shared" si="31"/>
        <v>-3.0639601650000001</v>
      </c>
      <c r="CD73" s="528">
        <f t="shared" si="31"/>
        <v>-3.0639601650000001</v>
      </c>
      <c r="CE73" s="528">
        <f t="shared" si="31"/>
        <v>-3.0639601650000001</v>
      </c>
      <c r="CF73" s="528">
        <f t="shared" si="31"/>
        <v>-3.0639601650000001</v>
      </c>
    </row>
    <row r="74" spans="2:84">
      <c r="B74" t="s">
        <v>769</v>
      </c>
      <c r="C74" t="s">
        <v>1357</v>
      </c>
      <c r="D74" t="s">
        <v>708</v>
      </c>
      <c r="E74" t="s">
        <v>1356</v>
      </c>
      <c r="F74" t="str">
        <f t="shared" si="32"/>
        <v>e-diesel (DAC)Total emissions - TTW - GWP100Global</v>
      </c>
      <c r="G74" s="527">
        <v>3.2553300000000003</v>
      </c>
      <c r="H74" s="527">
        <v>3.2553300000000003</v>
      </c>
      <c r="I74" s="527">
        <v>3.2553300000000003</v>
      </c>
      <c r="J74" s="527">
        <v>3.2553300000000003</v>
      </c>
      <c r="K74" s="527">
        <v>3.2553300000000003</v>
      </c>
      <c r="L74" s="527">
        <v>3.2553300000000003</v>
      </c>
      <c r="M74" s="527">
        <v>3.2553300000000003</v>
      </c>
      <c r="N74" s="527">
        <v>3.2553300000000003</v>
      </c>
      <c r="O74" s="527">
        <v>3.2553300000000003</v>
      </c>
      <c r="P74" s="527">
        <v>3.2553300000000003</v>
      </c>
      <c r="Q74" s="527">
        <v>3.2553300000000003</v>
      </c>
      <c r="R74" s="527">
        <v>3.2553300000000003</v>
      </c>
      <c r="S74" s="527">
        <v>3.2553300000000003</v>
      </c>
      <c r="T74" s="527">
        <v>3.2553300000000003</v>
      </c>
      <c r="U74" s="527">
        <v>3.2553300000000003</v>
      </c>
      <c r="V74" s="527">
        <v>3.2553300000000003</v>
      </c>
      <c r="W74" s="527">
        <v>3.2553300000000003</v>
      </c>
      <c r="X74" s="527">
        <v>3.2553300000000003</v>
      </c>
      <c r="Y74" s="527">
        <v>3.2553300000000003</v>
      </c>
      <c r="Z74" s="527">
        <v>3.2553300000000003</v>
      </c>
      <c r="AA74" s="527">
        <v>3.2553300000000003</v>
      </c>
      <c r="AB74" s="527">
        <v>3.2553300000000003</v>
      </c>
      <c r="AC74" s="527">
        <v>3.2553300000000003</v>
      </c>
      <c r="AD74" s="527">
        <v>3.2553300000000003</v>
      </c>
      <c r="AE74" s="527">
        <v>3.2553300000000003</v>
      </c>
      <c r="AF74" s="527">
        <v>3.2553300000000003</v>
      </c>
      <c r="AG74" s="527">
        <v>3.2553300000000003</v>
      </c>
      <c r="AH74" s="527">
        <v>3.2553300000000003</v>
      </c>
      <c r="AI74" s="526">
        <f t="shared" ref="AI74:CA75" si="35">AH74</f>
        <v>3.2553300000000003</v>
      </c>
      <c r="AJ74" s="526">
        <f t="shared" si="35"/>
        <v>3.2553300000000003</v>
      </c>
      <c r="AK74" s="526">
        <f t="shared" si="35"/>
        <v>3.2553300000000003</v>
      </c>
      <c r="AL74" s="526">
        <f t="shared" si="35"/>
        <v>3.2553300000000003</v>
      </c>
      <c r="AM74" s="526">
        <f t="shared" si="35"/>
        <v>3.2553300000000003</v>
      </c>
      <c r="AN74" s="526">
        <f t="shared" si="35"/>
        <v>3.2553300000000003</v>
      </c>
      <c r="AO74" s="526">
        <f t="shared" si="35"/>
        <v>3.2553300000000003</v>
      </c>
      <c r="AP74" s="526">
        <f t="shared" si="35"/>
        <v>3.2553300000000003</v>
      </c>
      <c r="AQ74" s="526">
        <f t="shared" si="35"/>
        <v>3.2553300000000003</v>
      </c>
      <c r="AR74" s="526">
        <f t="shared" si="35"/>
        <v>3.2553300000000003</v>
      </c>
      <c r="AS74" s="526">
        <f t="shared" si="35"/>
        <v>3.2553300000000003</v>
      </c>
      <c r="AT74" s="526">
        <f t="shared" si="35"/>
        <v>3.2553300000000003</v>
      </c>
      <c r="AU74" s="526">
        <f t="shared" si="35"/>
        <v>3.2553300000000003</v>
      </c>
      <c r="AV74" s="526">
        <f t="shared" si="35"/>
        <v>3.2553300000000003</v>
      </c>
      <c r="AW74" s="526">
        <f t="shared" si="35"/>
        <v>3.2553300000000003</v>
      </c>
      <c r="AX74" s="526">
        <f t="shared" si="35"/>
        <v>3.2553300000000003</v>
      </c>
      <c r="AY74" s="526">
        <f t="shared" si="35"/>
        <v>3.2553300000000003</v>
      </c>
      <c r="AZ74" s="526">
        <f t="shared" si="35"/>
        <v>3.2553300000000003</v>
      </c>
      <c r="BA74" s="526">
        <f t="shared" si="35"/>
        <v>3.2553300000000003</v>
      </c>
      <c r="BB74" s="526">
        <f t="shared" si="35"/>
        <v>3.2553300000000003</v>
      </c>
      <c r="BC74" s="526">
        <f t="shared" si="35"/>
        <v>3.2553300000000003</v>
      </c>
      <c r="BD74" s="526">
        <f t="shared" si="35"/>
        <v>3.2553300000000003</v>
      </c>
      <c r="BE74" s="526">
        <f t="shared" si="35"/>
        <v>3.2553300000000003</v>
      </c>
      <c r="BF74" s="526">
        <f t="shared" si="35"/>
        <v>3.2553300000000003</v>
      </c>
      <c r="BG74" s="526">
        <f t="shared" si="35"/>
        <v>3.2553300000000003</v>
      </c>
      <c r="BH74" s="526">
        <f t="shared" si="35"/>
        <v>3.2553300000000003</v>
      </c>
      <c r="BI74" s="526">
        <f t="shared" si="35"/>
        <v>3.2553300000000003</v>
      </c>
      <c r="BJ74" s="526">
        <f t="shared" si="35"/>
        <v>3.2553300000000003</v>
      </c>
      <c r="BK74" s="526">
        <f t="shared" si="35"/>
        <v>3.2553300000000003</v>
      </c>
      <c r="BL74" s="526">
        <f t="shared" si="35"/>
        <v>3.2553300000000003</v>
      </c>
      <c r="BM74" s="526">
        <f t="shared" si="35"/>
        <v>3.2553300000000003</v>
      </c>
      <c r="BN74" s="526">
        <f t="shared" si="35"/>
        <v>3.2553300000000003</v>
      </c>
      <c r="BO74" s="526">
        <f t="shared" si="35"/>
        <v>3.2553300000000003</v>
      </c>
      <c r="BP74" s="526">
        <f t="shared" si="35"/>
        <v>3.2553300000000003</v>
      </c>
      <c r="BQ74" s="526">
        <f t="shared" si="35"/>
        <v>3.2553300000000003</v>
      </c>
      <c r="BR74" s="526">
        <f t="shared" si="35"/>
        <v>3.2553300000000003</v>
      </c>
      <c r="BS74" s="526">
        <f t="shared" si="35"/>
        <v>3.2553300000000003</v>
      </c>
      <c r="BT74" s="526">
        <f t="shared" si="35"/>
        <v>3.2553300000000003</v>
      </c>
      <c r="BU74" s="526">
        <f t="shared" si="35"/>
        <v>3.2553300000000003</v>
      </c>
      <c r="BV74" s="526">
        <f t="shared" si="35"/>
        <v>3.2553300000000003</v>
      </c>
      <c r="BW74" s="526">
        <f t="shared" si="35"/>
        <v>3.2553300000000003</v>
      </c>
      <c r="BX74" s="526">
        <f t="shared" si="35"/>
        <v>3.2553300000000003</v>
      </c>
      <c r="BY74" s="526">
        <f t="shared" si="35"/>
        <v>3.2553300000000003</v>
      </c>
      <c r="BZ74" s="526">
        <f t="shared" si="35"/>
        <v>3.2553300000000003</v>
      </c>
      <c r="CA74" s="526">
        <f t="shared" si="35"/>
        <v>3.2553300000000003</v>
      </c>
      <c r="CB74" s="526">
        <f t="shared" si="31"/>
        <v>3.2553300000000003</v>
      </c>
      <c r="CC74" s="526">
        <f t="shared" si="31"/>
        <v>3.2553300000000003</v>
      </c>
      <c r="CD74" s="526">
        <f t="shared" si="31"/>
        <v>3.2553300000000003</v>
      </c>
      <c r="CE74" s="526">
        <f t="shared" si="31"/>
        <v>3.2553300000000003</v>
      </c>
      <c r="CF74" s="526">
        <f t="shared" si="31"/>
        <v>3.2553300000000003</v>
      </c>
    </row>
    <row r="75" spans="2:84">
      <c r="B75" t="s">
        <v>769</v>
      </c>
      <c r="C75" t="s">
        <v>1358</v>
      </c>
      <c r="D75" t="s">
        <v>708</v>
      </c>
      <c r="E75" t="s">
        <v>1356</v>
      </c>
      <c r="F75" t="str">
        <f t="shared" si="32"/>
        <v>e-diesel (DAC)Total emissions - WTW - GWP100Global</v>
      </c>
      <c r="G75" s="527">
        <v>0.2337934454988142</v>
      </c>
      <c r="H75" s="527">
        <v>0.23292721880246381</v>
      </c>
      <c r="I75" s="527">
        <v>0.23203416000000132</v>
      </c>
      <c r="J75" s="527">
        <v>0.23109908173265836</v>
      </c>
      <c r="K75" s="527">
        <v>0.23011876105653117</v>
      </c>
      <c r="L75" s="527">
        <v>0.22909319797161842</v>
      </c>
      <c r="M75" s="527">
        <v>0.22802239247792233</v>
      </c>
      <c r="N75" s="527">
        <v>0.2269063445754389</v>
      </c>
      <c r="O75" s="527">
        <v>0.22541262833904652</v>
      </c>
      <c r="P75" s="527">
        <v>0.22387525629985516</v>
      </c>
      <c r="Q75" s="527">
        <v>0.22229422845786262</v>
      </c>
      <c r="R75" s="527">
        <v>0.22066954481306755</v>
      </c>
      <c r="S75" s="527">
        <v>0.21900120536547307</v>
      </c>
      <c r="T75" s="527">
        <v>0.21732851711395185</v>
      </c>
      <c r="U75" s="527">
        <v>0.21562556425305202</v>
      </c>
      <c r="V75" s="527">
        <v>0.21389234678277491</v>
      </c>
      <c r="W75" s="527">
        <v>0.21212886470311743</v>
      </c>
      <c r="X75" s="527">
        <v>0.21033511801408</v>
      </c>
      <c r="Y75" s="527">
        <v>0.20822324958195271</v>
      </c>
      <c r="Z75" s="527">
        <v>0.20612859249313686</v>
      </c>
      <c r="AA75" s="527">
        <v>0.20405114674763425</v>
      </c>
      <c r="AB75" s="527">
        <v>0.20199091234544309</v>
      </c>
      <c r="AC75" s="527">
        <v>0.19994788928656426</v>
      </c>
      <c r="AD75" s="527">
        <v>0.19818808498291007</v>
      </c>
      <c r="AE75" s="527">
        <v>0.19645037740242621</v>
      </c>
      <c r="AF75" s="527">
        <v>0.19473476654511357</v>
      </c>
      <c r="AG75" s="527">
        <v>0.1930412524109717</v>
      </c>
      <c r="AH75" s="527">
        <v>0.19136983500000015</v>
      </c>
      <c r="AI75" s="528">
        <f t="shared" si="35"/>
        <v>0.19136983500000015</v>
      </c>
      <c r="AJ75" s="528">
        <f t="shared" si="35"/>
        <v>0.19136983500000015</v>
      </c>
      <c r="AK75" s="528">
        <f t="shared" si="35"/>
        <v>0.19136983500000015</v>
      </c>
      <c r="AL75" s="528">
        <f t="shared" si="35"/>
        <v>0.19136983500000015</v>
      </c>
      <c r="AM75" s="528">
        <f t="shared" si="35"/>
        <v>0.19136983500000015</v>
      </c>
      <c r="AN75" s="528">
        <f t="shared" si="35"/>
        <v>0.19136983500000015</v>
      </c>
      <c r="AO75" s="528">
        <f t="shared" si="35"/>
        <v>0.19136983500000015</v>
      </c>
      <c r="AP75" s="528">
        <f t="shared" si="35"/>
        <v>0.19136983500000015</v>
      </c>
      <c r="AQ75" s="528">
        <f t="shared" si="35"/>
        <v>0.19136983500000015</v>
      </c>
      <c r="AR75" s="528">
        <f t="shared" si="35"/>
        <v>0.19136983500000015</v>
      </c>
      <c r="AS75" s="528">
        <f t="shared" si="35"/>
        <v>0.19136983500000015</v>
      </c>
      <c r="AT75" s="528">
        <f t="shared" si="35"/>
        <v>0.19136983500000015</v>
      </c>
      <c r="AU75" s="528">
        <f t="shared" si="35"/>
        <v>0.19136983500000015</v>
      </c>
      <c r="AV75" s="528">
        <f t="shared" si="35"/>
        <v>0.19136983500000015</v>
      </c>
      <c r="AW75" s="528">
        <f t="shared" si="35"/>
        <v>0.19136983500000015</v>
      </c>
      <c r="AX75" s="528">
        <f t="shared" si="35"/>
        <v>0.19136983500000015</v>
      </c>
      <c r="AY75" s="528">
        <f t="shared" si="35"/>
        <v>0.19136983500000015</v>
      </c>
      <c r="AZ75" s="528">
        <f t="shared" si="35"/>
        <v>0.19136983500000015</v>
      </c>
      <c r="BA75" s="528">
        <f t="shared" si="35"/>
        <v>0.19136983500000015</v>
      </c>
      <c r="BB75" s="528">
        <f t="shared" si="35"/>
        <v>0.19136983500000015</v>
      </c>
      <c r="BC75" s="528">
        <f t="shared" si="35"/>
        <v>0.19136983500000015</v>
      </c>
      <c r="BD75" s="528">
        <f t="shared" si="35"/>
        <v>0.19136983500000015</v>
      </c>
      <c r="BE75" s="528">
        <f t="shared" si="35"/>
        <v>0.19136983500000015</v>
      </c>
      <c r="BF75" s="528">
        <f t="shared" si="35"/>
        <v>0.19136983500000015</v>
      </c>
      <c r="BG75" s="528">
        <f t="shared" si="35"/>
        <v>0.19136983500000015</v>
      </c>
      <c r="BH75" s="528">
        <f t="shared" si="35"/>
        <v>0.19136983500000015</v>
      </c>
      <c r="BI75" s="528">
        <f t="shared" si="35"/>
        <v>0.19136983500000015</v>
      </c>
      <c r="BJ75" s="528">
        <f t="shared" si="35"/>
        <v>0.19136983500000015</v>
      </c>
      <c r="BK75" s="528">
        <f t="shared" si="35"/>
        <v>0.19136983500000015</v>
      </c>
      <c r="BL75" s="528">
        <f t="shared" si="35"/>
        <v>0.19136983500000015</v>
      </c>
      <c r="BM75" s="528">
        <f t="shared" si="35"/>
        <v>0.19136983500000015</v>
      </c>
      <c r="BN75" s="528">
        <f t="shared" si="35"/>
        <v>0.19136983500000015</v>
      </c>
      <c r="BO75" s="528">
        <f t="shared" si="35"/>
        <v>0.19136983500000015</v>
      </c>
      <c r="BP75" s="528">
        <f t="shared" si="35"/>
        <v>0.19136983500000015</v>
      </c>
      <c r="BQ75" s="528">
        <f t="shared" si="35"/>
        <v>0.19136983500000015</v>
      </c>
      <c r="BR75" s="528">
        <f t="shared" si="35"/>
        <v>0.19136983500000015</v>
      </c>
      <c r="BS75" s="528">
        <f t="shared" si="35"/>
        <v>0.19136983500000015</v>
      </c>
      <c r="BT75" s="528">
        <f t="shared" si="35"/>
        <v>0.19136983500000015</v>
      </c>
      <c r="BU75" s="528">
        <f t="shared" si="35"/>
        <v>0.19136983500000015</v>
      </c>
      <c r="BV75" s="528">
        <f t="shared" si="35"/>
        <v>0.19136983500000015</v>
      </c>
      <c r="BW75" s="528">
        <f t="shared" si="35"/>
        <v>0.19136983500000015</v>
      </c>
      <c r="BX75" s="528">
        <f t="shared" si="35"/>
        <v>0.19136983500000015</v>
      </c>
      <c r="BY75" s="528">
        <f t="shared" si="35"/>
        <v>0.19136983500000015</v>
      </c>
      <c r="BZ75" s="528">
        <f t="shared" si="35"/>
        <v>0.19136983500000015</v>
      </c>
      <c r="CA75" s="528">
        <f t="shared" si="35"/>
        <v>0.19136983500000015</v>
      </c>
      <c r="CB75" s="528">
        <f t="shared" si="31"/>
        <v>0.19136983500000015</v>
      </c>
      <c r="CC75" s="528">
        <f t="shared" si="31"/>
        <v>0.19136983500000015</v>
      </c>
      <c r="CD75" s="528">
        <f t="shared" si="31"/>
        <v>0.19136983500000015</v>
      </c>
      <c r="CE75" s="528">
        <f t="shared" si="31"/>
        <v>0.19136983500000015</v>
      </c>
      <c r="CF75" s="528">
        <f t="shared" si="31"/>
        <v>0.19136983500000015</v>
      </c>
    </row>
    <row r="76" spans="2:84">
      <c r="B76" t="s">
        <v>778</v>
      </c>
      <c r="C76" t="s">
        <v>1352</v>
      </c>
      <c r="D76" t="s">
        <v>708</v>
      </c>
      <c r="E76" t="s">
        <v>1353</v>
      </c>
      <c r="F76" t="str">
        <f t="shared" si="32"/>
        <v>e-diesel (PS)CapExGlobal</v>
      </c>
      <c r="G76" s="525">
        <v>13045.013584774953</v>
      </c>
      <c r="H76" s="525">
        <v>12623.659783307123</v>
      </c>
      <c r="I76" s="525">
        <v>12198.78652968033</v>
      </c>
      <c r="J76" s="525">
        <v>11839.81102638216</v>
      </c>
      <c r="K76" s="525">
        <v>11474.297166314802</v>
      </c>
      <c r="L76" s="525">
        <v>11102.244949478321</v>
      </c>
      <c r="M76" s="525">
        <v>10723.654375872746</v>
      </c>
      <c r="N76" s="525">
        <v>10338.525445497979</v>
      </c>
      <c r="O76" s="525">
        <v>10285.427301801679</v>
      </c>
      <c r="P76" s="525">
        <v>10217.081038374756</v>
      </c>
      <c r="Q76" s="525">
        <v>10133.48665521717</v>
      </c>
      <c r="R76" s="525">
        <v>10034.644152328854</v>
      </c>
      <c r="S76" s="525">
        <v>9920.5535297099286</v>
      </c>
      <c r="T76" s="525">
        <v>9781.6773705809064</v>
      </c>
      <c r="U76" s="525">
        <v>9630.2162115039373</v>
      </c>
      <c r="V76" s="525">
        <v>9466.1700524791486</v>
      </c>
      <c r="W76" s="525">
        <v>9289.5388935064166</v>
      </c>
      <c r="X76" s="525">
        <v>9100.3227345856903</v>
      </c>
      <c r="Y76" s="525">
        <v>8820.215138994241</v>
      </c>
      <c r="Z76" s="525">
        <v>8530.6114588673463</v>
      </c>
      <c r="AA76" s="525">
        <v>8231.5116942051063</v>
      </c>
      <c r="AB76" s="525">
        <v>7922.9158450074556</v>
      </c>
      <c r="AC76" s="525">
        <v>7604.823911274375</v>
      </c>
      <c r="AD76" s="525">
        <v>7275.4560834607819</v>
      </c>
      <c r="AE76" s="525">
        <v>6940.1484998877331</v>
      </c>
      <c r="AF76" s="525">
        <v>6598.9011605552259</v>
      </c>
      <c r="AG76" s="525">
        <v>6251.714065463264</v>
      </c>
      <c r="AH76" s="525">
        <v>5898.5872146118454</v>
      </c>
      <c r="AI76" s="526">
        <f>AH76</f>
        <v>5898.5872146118454</v>
      </c>
      <c r="AJ76" s="526">
        <f t="shared" ref="AJ76:CF84" si="36">AI76</f>
        <v>5898.5872146118454</v>
      </c>
      <c r="AK76" s="526">
        <f t="shared" si="36"/>
        <v>5898.5872146118454</v>
      </c>
      <c r="AL76" s="526">
        <f t="shared" si="36"/>
        <v>5898.5872146118454</v>
      </c>
      <c r="AM76" s="526">
        <f t="shared" si="36"/>
        <v>5898.5872146118454</v>
      </c>
      <c r="AN76" s="526">
        <f t="shared" si="36"/>
        <v>5898.5872146118454</v>
      </c>
      <c r="AO76" s="526">
        <f t="shared" si="36"/>
        <v>5898.5872146118454</v>
      </c>
      <c r="AP76" s="526">
        <f t="shared" si="36"/>
        <v>5898.5872146118454</v>
      </c>
      <c r="AQ76" s="526">
        <f t="shared" si="36"/>
        <v>5898.5872146118454</v>
      </c>
      <c r="AR76" s="526">
        <f t="shared" si="36"/>
        <v>5898.5872146118454</v>
      </c>
      <c r="AS76" s="526">
        <f t="shared" si="36"/>
        <v>5898.5872146118454</v>
      </c>
      <c r="AT76" s="526">
        <f t="shared" si="36"/>
        <v>5898.5872146118454</v>
      </c>
      <c r="AU76" s="526">
        <f t="shared" si="36"/>
        <v>5898.5872146118454</v>
      </c>
      <c r="AV76" s="526">
        <f t="shared" si="36"/>
        <v>5898.5872146118454</v>
      </c>
      <c r="AW76" s="526">
        <f t="shared" si="36"/>
        <v>5898.5872146118454</v>
      </c>
      <c r="AX76" s="526">
        <f t="shared" si="36"/>
        <v>5898.5872146118454</v>
      </c>
      <c r="AY76" s="526">
        <f t="shared" si="36"/>
        <v>5898.5872146118454</v>
      </c>
      <c r="AZ76" s="526">
        <f t="shared" si="36"/>
        <v>5898.5872146118454</v>
      </c>
      <c r="BA76" s="526">
        <f t="shared" si="36"/>
        <v>5898.5872146118454</v>
      </c>
      <c r="BB76" s="526">
        <f t="shared" si="36"/>
        <v>5898.5872146118454</v>
      </c>
      <c r="BC76" s="526">
        <f t="shared" si="36"/>
        <v>5898.5872146118454</v>
      </c>
      <c r="BD76" s="526">
        <f t="shared" si="36"/>
        <v>5898.5872146118454</v>
      </c>
      <c r="BE76" s="526">
        <f t="shared" si="36"/>
        <v>5898.5872146118454</v>
      </c>
      <c r="BF76" s="526">
        <f t="shared" si="36"/>
        <v>5898.5872146118454</v>
      </c>
      <c r="BG76" s="526">
        <f t="shared" si="36"/>
        <v>5898.5872146118454</v>
      </c>
      <c r="BH76" s="526">
        <f t="shared" si="36"/>
        <v>5898.5872146118454</v>
      </c>
      <c r="BI76" s="526">
        <f t="shared" si="36"/>
        <v>5898.5872146118454</v>
      </c>
      <c r="BJ76" s="526">
        <f t="shared" si="36"/>
        <v>5898.5872146118454</v>
      </c>
      <c r="BK76" s="526">
        <f t="shared" si="36"/>
        <v>5898.5872146118454</v>
      </c>
      <c r="BL76" s="526">
        <f t="shared" si="36"/>
        <v>5898.5872146118454</v>
      </c>
      <c r="BM76" s="526">
        <f t="shared" si="36"/>
        <v>5898.5872146118454</v>
      </c>
      <c r="BN76" s="526">
        <f t="shared" si="36"/>
        <v>5898.5872146118454</v>
      </c>
      <c r="BO76" s="526">
        <f t="shared" si="36"/>
        <v>5898.5872146118454</v>
      </c>
      <c r="BP76" s="526">
        <f t="shared" si="36"/>
        <v>5898.5872146118454</v>
      </c>
      <c r="BQ76" s="526">
        <f t="shared" si="36"/>
        <v>5898.5872146118454</v>
      </c>
      <c r="BR76" s="526">
        <f t="shared" si="36"/>
        <v>5898.5872146118454</v>
      </c>
      <c r="BS76" s="526">
        <f t="shared" si="36"/>
        <v>5898.5872146118454</v>
      </c>
      <c r="BT76" s="526">
        <f t="shared" si="36"/>
        <v>5898.5872146118454</v>
      </c>
      <c r="BU76" s="526">
        <f t="shared" si="36"/>
        <v>5898.5872146118454</v>
      </c>
      <c r="BV76" s="526">
        <f t="shared" si="36"/>
        <v>5898.5872146118454</v>
      </c>
      <c r="BW76" s="526">
        <f t="shared" si="36"/>
        <v>5898.5872146118454</v>
      </c>
      <c r="BX76" s="526">
        <f t="shared" si="36"/>
        <v>5898.5872146118454</v>
      </c>
      <c r="BY76" s="526">
        <f t="shared" si="36"/>
        <v>5898.5872146118454</v>
      </c>
      <c r="BZ76" s="526">
        <f t="shared" si="36"/>
        <v>5898.5872146118454</v>
      </c>
      <c r="CA76" s="526">
        <f t="shared" si="36"/>
        <v>5898.5872146118454</v>
      </c>
      <c r="CB76" s="526">
        <f t="shared" si="36"/>
        <v>5898.5872146118454</v>
      </c>
      <c r="CC76" s="526">
        <f t="shared" si="36"/>
        <v>5898.5872146118454</v>
      </c>
      <c r="CD76" s="526">
        <f t="shared" si="36"/>
        <v>5898.5872146118454</v>
      </c>
      <c r="CE76" s="526">
        <f t="shared" si="36"/>
        <v>5898.5872146118454</v>
      </c>
      <c r="CF76" s="526">
        <f t="shared" si="36"/>
        <v>5898.5872146118454</v>
      </c>
    </row>
    <row r="77" spans="2:84">
      <c r="B77" t="s">
        <v>778</v>
      </c>
      <c r="C77" t="s">
        <v>1354</v>
      </c>
      <c r="D77" t="s">
        <v>838</v>
      </c>
      <c r="E77" t="s">
        <v>1353</v>
      </c>
      <c r="F77" t="str">
        <f t="shared" si="32"/>
        <v>e-diesel (PS)OpExAfrica</v>
      </c>
      <c r="G77" s="525">
        <v>3387.8062818337316</v>
      </c>
      <c r="H77" s="525">
        <v>3116.2754699787974</v>
      </c>
      <c r="I77" s="525">
        <v>2844.9850606005425</v>
      </c>
      <c r="J77" s="525">
        <v>2719.8656462192926</v>
      </c>
      <c r="K77" s="525">
        <v>2593.8490350141492</v>
      </c>
      <c r="L77" s="525">
        <v>2466.9835368007753</v>
      </c>
      <c r="M77" s="525">
        <v>2339.3174613948872</v>
      </c>
      <c r="N77" s="525">
        <v>2210.8991186121343</v>
      </c>
      <c r="O77" s="525">
        <v>2166.8429237997602</v>
      </c>
      <c r="P77" s="525">
        <v>2119.7469361265107</v>
      </c>
      <c r="Q77" s="525">
        <v>2069.6371765015247</v>
      </c>
      <c r="R77" s="525">
        <v>2016.5396658339589</v>
      </c>
      <c r="S77" s="525">
        <v>1960.4804250330005</v>
      </c>
      <c r="T77" s="525">
        <v>1918.741901654271</v>
      </c>
      <c r="U77" s="525">
        <v>1874.9792112783121</v>
      </c>
      <c r="V77" s="525">
        <v>1829.2008446266864</v>
      </c>
      <c r="W77" s="525">
        <v>1781.4152924208613</v>
      </c>
      <c r="X77" s="525">
        <v>1731.6310453823819</v>
      </c>
      <c r="Y77" s="525">
        <v>1664.9804182052069</v>
      </c>
      <c r="Z77" s="525">
        <v>1598.0542914284435</v>
      </c>
      <c r="AA77" s="525">
        <v>1530.8476999070438</v>
      </c>
      <c r="AB77" s="525">
        <v>1463.3556784959048</v>
      </c>
      <c r="AC77" s="525">
        <v>1395.5732620499552</v>
      </c>
      <c r="AD77" s="525">
        <v>1338.6681200919968</v>
      </c>
      <c r="AE77" s="525">
        <v>1281.9332228410478</v>
      </c>
      <c r="AF77" s="525">
        <v>1225.3654415295239</v>
      </c>
      <c r="AG77" s="525">
        <v>1168.9616473898552</v>
      </c>
      <c r="AH77" s="525">
        <v>1112.7187116544717</v>
      </c>
      <c r="AI77" s="526">
        <f t="shared" ref="AI77:CA82" si="37">AH77</f>
        <v>1112.7187116544717</v>
      </c>
      <c r="AJ77" s="526">
        <f t="shared" si="37"/>
        <v>1112.7187116544717</v>
      </c>
      <c r="AK77" s="526">
        <f t="shared" si="37"/>
        <v>1112.7187116544717</v>
      </c>
      <c r="AL77" s="526">
        <f t="shared" si="37"/>
        <v>1112.7187116544717</v>
      </c>
      <c r="AM77" s="526">
        <f t="shared" si="37"/>
        <v>1112.7187116544717</v>
      </c>
      <c r="AN77" s="526">
        <f t="shared" si="37"/>
        <v>1112.7187116544717</v>
      </c>
      <c r="AO77" s="526">
        <f t="shared" si="37"/>
        <v>1112.7187116544717</v>
      </c>
      <c r="AP77" s="526">
        <f t="shared" si="37"/>
        <v>1112.7187116544717</v>
      </c>
      <c r="AQ77" s="526">
        <f t="shared" si="37"/>
        <v>1112.7187116544717</v>
      </c>
      <c r="AR77" s="526">
        <f t="shared" si="37"/>
        <v>1112.7187116544717</v>
      </c>
      <c r="AS77" s="526">
        <f t="shared" si="37"/>
        <v>1112.7187116544717</v>
      </c>
      <c r="AT77" s="526">
        <f t="shared" si="37"/>
        <v>1112.7187116544717</v>
      </c>
      <c r="AU77" s="526">
        <f t="shared" si="37"/>
        <v>1112.7187116544717</v>
      </c>
      <c r="AV77" s="526">
        <f t="shared" si="37"/>
        <v>1112.7187116544717</v>
      </c>
      <c r="AW77" s="526">
        <f t="shared" si="37"/>
        <v>1112.7187116544717</v>
      </c>
      <c r="AX77" s="526">
        <f t="shared" si="37"/>
        <v>1112.7187116544717</v>
      </c>
      <c r="AY77" s="526">
        <f t="shared" si="37"/>
        <v>1112.7187116544717</v>
      </c>
      <c r="AZ77" s="526">
        <f t="shared" si="37"/>
        <v>1112.7187116544717</v>
      </c>
      <c r="BA77" s="526">
        <f t="shared" si="37"/>
        <v>1112.7187116544717</v>
      </c>
      <c r="BB77" s="526">
        <f t="shared" si="37"/>
        <v>1112.7187116544717</v>
      </c>
      <c r="BC77" s="526">
        <f t="shared" si="37"/>
        <v>1112.7187116544717</v>
      </c>
      <c r="BD77" s="526">
        <f t="shared" si="37"/>
        <v>1112.7187116544717</v>
      </c>
      <c r="BE77" s="526">
        <f t="shared" si="37"/>
        <v>1112.7187116544717</v>
      </c>
      <c r="BF77" s="526">
        <f t="shared" si="37"/>
        <v>1112.7187116544717</v>
      </c>
      <c r="BG77" s="526">
        <f t="shared" si="37"/>
        <v>1112.7187116544717</v>
      </c>
      <c r="BH77" s="526">
        <f t="shared" si="37"/>
        <v>1112.7187116544717</v>
      </c>
      <c r="BI77" s="526">
        <f t="shared" si="37"/>
        <v>1112.7187116544717</v>
      </c>
      <c r="BJ77" s="526">
        <f t="shared" si="37"/>
        <v>1112.7187116544717</v>
      </c>
      <c r="BK77" s="526">
        <f t="shared" si="37"/>
        <v>1112.7187116544717</v>
      </c>
      <c r="BL77" s="526">
        <f t="shared" si="37"/>
        <v>1112.7187116544717</v>
      </c>
      <c r="BM77" s="526">
        <f t="shared" si="37"/>
        <v>1112.7187116544717</v>
      </c>
      <c r="BN77" s="526">
        <f t="shared" si="37"/>
        <v>1112.7187116544717</v>
      </c>
      <c r="BO77" s="526">
        <f t="shared" si="37"/>
        <v>1112.7187116544717</v>
      </c>
      <c r="BP77" s="526">
        <f t="shared" si="37"/>
        <v>1112.7187116544717</v>
      </c>
      <c r="BQ77" s="526">
        <f t="shared" si="37"/>
        <v>1112.7187116544717</v>
      </c>
      <c r="BR77" s="526">
        <f t="shared" si="37"/>
        <v>1112.7187116544717</v>
      </c>
      <c r="BS77" s="526">
        <f t="shared" si="37"/>
        <v>1112.7187116544717</v>
      </c>
      <c r="BT77" s="526">
        <f t="shared" si="37"/>
        <v>1112.7187116544717</v>
      </c>
      <c r="BU77" s="526">
        <f t="shared" si="37"/>
        <v>1112.7187116544717</v>
      </c>
      <c r="BV77" s="526">
        <f t="shared" si="37"/>
        <v>1112.7187116544717</v>
      </c>
      <c r="BW77" s="526">
        <f t="shared" si="37"/>
        <v>1112.7187116544717</v>
      </c>
      <c r="BX77" s="526">
        <f t="shared" si="37"/>
        <v>1112.7187116544717</v>
      </c>
      <c r="BY77" s="526">
        <f t="shared" si="37"/>
        <v>1112.7187116544717</v>
      </c>
      <c r="BZ77" s="526">
        <f t="shared" si="37"/>
        <v>1112.7187116544717</v>
      </c>
      <c r="CA77" s="526">
        <f t="shared" si="37"/>
        <v>1112.7187116544717</v>
      </c>
      <c r="CB77" s="526">
        <f t="shared" si="36"/>
        <v>1112.7187116544717</v>
      </c>
      <c r="CC77" s="526">
        <f t="shared" si="36"/>
        <v>1112.7187116544717</v>
      </c>
      <c r="CD77" s="526">
        <f t="shared" si="36"/>
        <v>1112.7187116544717</v>
      </c>
      <c r="CE77" s="526">
        <f t="shared" si="36"/>
        <v>1112.7187116544717</v>
      </c>
      <c r="CF77" s="526">
        <f t="shared" si="36"/>
        <v>1112.7187116544717</v>
      </c>
    </row>
    <row r="78" spans="2:84">
      <c r="B78" t="s">
        <v>778</v>
      </c>
      <c r="C78" t="s">
        <v>1354</v>
      </c>
      <c r="D78" t="s">
        <v>731</v>
      </c>
      <c r="E78" t="s">
        <v>1353</v>
      </c>
      <c r="F78" t="str">
        <f t="shared" si="32"/>
        <v>e-diesel (PS)OpExAmericas</v>
      </c>
      <c r="G78" s="525">
        <v>2795.2845306422223</v>
      </c>
      <c r="H78" s="525">
        <v>2690.7714010736117</v>
      </c>
      <c r="I78" s="525">
        <v>2586.1050632283186</v>
      </c>
      <c r="J78" s="525">
        <v>2478.5657019973564</v>
      </c>
      <c r="K78" s="525">
        <v>2370.1270238997618</v>
      </c>
      <c r="L78" s="525">
        <v>2260.8214887105173</v>
      </c>
      <c r="M78" s="525">
        <v>2150.6815562046772</v>
      </c>
      <c r="N78" s="525">
        <v>2039.7396861571649</v>
      </c>
      <c r="O78" s="525">
        <v>2008.7386917418792</v>
      </c>
      <c r="P78" s="525">
        <v>1974.590882325597</v>
      </c>
      <c r="Q78" s="525">
        <v>1937.3113305387635</v>
      </c>
      <c r="R78" s="525">
        <v>1896.9151090118028</v>
      </c>
      <c r="S78" s="525">
        <v>1853.4172903751949</v>
      </c>
      <c r="T78" s="525">
        <v>1812.573663286051</v>
      </c>
      <c r="U78" s="525">
        <v>1769.7286224153024</v>
      </c>
      <c r="V78" s="525">
        <v>1724.8906381240463</v>
      </c>
      <c r="W78" s="525">
        <v>1678.068180773294</v>
      </c>
      <c r="X78" s="525">
        <v>1629.2697207241138</v>
      </c>
      <c r="Y78" s="525">
        <v>1571.5620874071371</v>
      </c>
      <c r="Z78" s="525">
        <v>1513.3804905565314</v>
      </c>
      <c r="AA78" s="525">
        <v>1454.722989534135</v>
      </c>
      <c r="AB78" s="525">
        <v>1395.5876437017134</v>
      </c>
      <c r="AC78" s="525">
        <v>1335.9725124210856</v>
      </c>
      <c r="AD78" s="525">
        <v>1282.0158762872427</v>
      </c>
      <c r="AE78" s="525">
        <v>1228.1715912368691</v>
      </c>
      <c r="AF78" s="525">
        <v>1174.4377776234439</v>
      </c>
      <c r="AG78" s="525">
        <v>1120.8125558004533</v>
      </c>
      <c r="AH78" s="525">
        <v>1067.2940461213836</v>
      </c>
      <c r="AI78" s="526">
        <f t="shared" si="37"/>
        <v>1067.2940461213836</v>
      </c>
      <c r="AJ78" s="526">
        <f t="shared" si="37"/>
        <v>1067.2940461213836</v>
      </c>
      <c r="AK78" s="526">
        <f t="shared" si="37"/>
        <v>1067.2940461213836</v>
      </c>
      <c r="AL78" s="526">
        <f t="shared" si="37"/>
        <v>1067.2940461213836</v>
      </c>
      <c r="AM78" s="526">
        <f t="shared" si="37"/>
        <v>1067.2940461213836</v>
      </c>
      <c r="AN78" s="526">
        <f t="shared" si="37"/>
        <v>1067.2940461213836</v>
      </c>
      <c r="AO78" s="526">
        <f t="shared" si="37"/>
        <v>1067.2940461213836</v>
      </c>
      <c r="AP78" s="526">
        <f t="shared" si="37"/>
        <v>1067.2940461213836</v>
      </c>
      <c r="AQ78" s="526">
        <f t="shared" si="37"/>
        <v>1067.2940461213836</v>
      </c>
      <c r="AR78" s="526">
        <f t="shared" si="37"/>
        <v>1067.2940461213836</v>
      </c>
      <c r="AS78" s="526">
        <f t="shared" si="37"/>
        <v>1067.2940461213836</v>
      </c>
      <c r="AT78" s="526">
        <f t="shared" si="37"/>
        <v>1067.2940461213836</v>
      </c>
      <c r="AU78" s="526">
        <f t="shared" si="37"/>
        <v>1067.2940461213836</v>
      </c>
      <c r="AV78" s="526">
        <f t="shared" si="37"/>
        <v>1067.2940461213836</v>
      </c>
      <c r="AW78" s="526">
        <f t="shared" si="37"/>
        <v>1067.2940461213836</v>
      </c>
      <c r="AX78" s="526">
        <f t="shared" si="37"/>
        <v>1067.2940461213836</v>
      </c>
      <c r="AY78" s="526">
        <f t="shared" si="37"/>
        <v>1067.2940461213836</v>
      </c>
      <c r="AZ78" s="526">
        <f t="shared" si="37"/>
        <v>1067.2940461213836</v>
      </c>
      <c r="BA78" s="526">
        <f t="shared" si="37"/>
        <v>1067.2940461213836</v>
      </c>
      <c r="BB78" s="526">
        <f t="shared" si="37"/>
        <v>1067.2940461213836</v>
      </c>
      <c r="BC78" s="526">
        <f t="shared" si="37"/>
        <v>1067.2940461213836</v>
      </c>
      <c r="BD78" s="526">
        <f t="shared" si="37"/>
        <v>1067.2940461213836</v>
      </c>
      <c r="BE78" s="526">
        <f t="shared" si="37"/>
        <v>1067.2940461213836</v>
      </c>
      <c r="BF78" s="526">
        <f t="shared" si="37"/>
        <v>1067.2940461213836</v>
      </c>
      <c r="BG78" s="526">
        <f t="shared" si="37"/>
        <v>1067.2940461213836</v>
      </c>
      <c r="BH78" s="526">
        <f t="shared" si="37"/>
        <v>1067.2940461213836</v>
      </c>
      <c r="BI78" s="526">
        <f t="shared" si="37"/>
        <v>1067.2940461213836</v>
      </c>
      <c r="BJ78" s="526">
        <f t="shared" si="37"/>
        <v>1067.2940461213836</v>
      </c>
      <c r="BK78" s="526">
        <f t="shared" si="37"/>
        <v>1067.2940461213836</v>
      </c>
      <c r="BL78" s="526">
        <f t="shared" si="37"/>
        <v>1067.2940461213836</v>
      </c>
      <c r="BM78" s="526">
        <f t="shared" si="37"/>
        <v>1067.2940461213836</v>
      </c>
      <c r="BN78" s="526">
        <f t="shared" si="37"/>
        <v>1067.2940461213836</v>
      </c>
      <c r="BO78" s="526">
        <f t="shared" si="37"/>
        <v>1067.2940461213836</v>
      </c>
      <c r="BP78" s="526">
        <f t="shared" si="37"/>
        <v>1067.2940461213836</v>
      </c>
      <c r="BQ78" s="526">
        <f t="shared" si="37"/>
        <v>1067.2940461213836</v>
      </c>
      <c r="BR78" s="526">
        <f t="shared" si="37"/>
        <v>1067.2940461213836</v>
      </c>
      <c r="BS78" s="526">
        <f t="shared" si="37"/>
        <v>1067.2940461213836</v>
      </c>
      <c r="BT78" s="526">
        <f t="shared" si="37"/>
        <v>1067.2940461213836</v>
      </c>
      <c r="BU78" s="526">
        <f t="shared" si="37"/>
        <v>1067.2940461213836</v>
      </c>
      <c r="BV78" s="526">
        <f t="shared" si="37"/>
        <v>1067.2940461213836</v>
      </c>
      <c r="BW78" s="526">
        <f t="shared" si="37"/>
        <v>1067.2940461213836</v>
      </c>
      <c r="BX78" s="526">
        <f t="shared" si="37"/>
        <v>1067.2940461213836</v>
      </c>
      <c r="BY78" s="526">
        <f t="shared" si="37"/>
        <v>1067.2940461213836</v>
      </c>
      <c r="BZ78" s="526">
        <f t="shared" si="37"/>
        <v>1067.2940461213836</v>
      </c>
      <c r="CA78" s="526">
        <f t="shared" si="37"/>
        <v>1067.2940461213836</v>
      </c>
      <c r="CB78" s="526">
        <f t="shared" si="36"/>
        <v>1067.2940461213836</v>
      </c>
      <c r="CC78" s="526">
        <f t="shared" si="36"/>
        <v>1067.2940461213836</v>
      </c>
      <c r="CD78" s="526">
        <f t="shared" si="36"/>
        <v>1067.2940461213836</v>
      </c>
      <c r="CE78" s="526">
        <f t="shared" si="36"/>
        <v>1067.2940461213836</v>
      </c>
      <c r="CF78" s="526">
        <f t="shared" si="36"/>
        <v>1067.2940461213836</v>
      </c>
    </row>
    <row r="79" spans="2:84">
      <c r="B79" t="s">
        <v>778</v>
      </c>
      <c r="C79" t="s">
        <v>1354</v>
      </c>
      <c r="D79" t="s">
        <v>750</v>
      </c>
      <c r="E79" t="s">
        <v>1353</v>
      </c>
      <c r="F79" t="str">
        <f t="shared" si="32"/>
        <v>e-diesel (PS)OpExAsia</v>
      </c>
      <c r="G79" s="525">
        <v>3566.6824244651093</v>
      </c>
      <c r="H79" s="525">
        <v>3326.2651002822254</v>
      </c>
      <c r="I79" s="525">
        <v>3085.9607573695025</v>
      </c>
      <c r="J79" s="525">
        <v>2956.652120788222</v>
      </c>
      <c r="K79" s="525">
        <v>2826.3894934009077</v>
      </c>
      <c r="L79" s="525">
        <v>2695.2246118973903</v>
      </c>
      <c r="M79" s="525">
        <v>2563.2092129676475</v>
      </c>
      <c r="N79" s="525">
        <v>2430.3950333015423</v>
      </c>
      <c r="O79" s="525">
        <v>2376.3034410430778</v>
      </c>
      <c r="P79" s="525">
        <v>2319.2203773194419</v>
      </c>
      <c r="Q79" s="525">
        <v>2259.1797738001524</v>
      </c>
      <c r="R79" s="525">
        <v>2196.2155621546822</v>
      </c>
      <c r="S79" s="525">
        <v>2130.3616740526131</v>
      </c>
      <c r="T79" s="525">
        <v>2081.9750905634387</v>
      </c>
      <c r="U79" s="525">
        <v>2031.61558825205</v>
      </c>
      <c r="V79" s="525">
        <v>1979.2951269362102</v>
      </c>
      <c r="W79" s="525">
        <v>1925.0256664335495</v>
      </c>
      <c r="X79" s="525">
        <v>1868.8191665618085</v>
      </c>
      <c r="Y79" s="525">
        <v>1795.0282604881127</v>
      </c>
      <c r="Z79" s="525">
        <v>1721.1115071190609</v>
      </c>
      <c r="AA79" s="525">
        <v>1647.0617871408024</v>
      </c>
      <c r="AB79" s="525">
        <v>1572.8719812394295</v>
      </c>
      <c r="AC79" s="525">
        <v>1498.5349701010698</v>
      </c>
      <c r="AD79" s="525">
        <v>1438.5883412058799</v>
      </c>
      <c r="AE79" s="525">
        <v>1378.8704136194192</v>
      </c>
      <c r="AF79" s="525">
        <v>1319.3769958100718</v>
      </c>
      <c r="AG79" s="525">
        <v>1260.1038962462219</v>
      </c>
      <c r="AH79" s="525">
        <v>1201.0469233962519</v>
      </c>
      <c r="AI79" s="526">
        <f t="shared" si="37"/>
        <v>1201.0469233962519</v>
      </c>
      <c r="AJ79" s="526">
        <f t="shared" si="37"/>
        <v>1201.0469233962519</v>
      </c>
      <c r="AK79" s="526">
        <f t="shared" si="37"/>
        <v>1201.0469233962519</v>
      </c>
      <c r="AL79" s="526">
        <f t="shared" si="37"/>
        <v>1201.0469233962519</v>
      </c>
      <c r="AM79" s="526">
        <f t="shared" si="37"/>
        <v>1201.0469233962519</v>
      </c>
      <c r="AN79" s="526">
        <f t="shared" si="37"/>
        <v>1201.0469233962519</v>
      </c>
      <c r="AO79" s="526">
        <f t="shared" si="37"/>
        <v>1201.0469233962519</v>
      </c>
      <c r="AP79" s="526">
        <f t="shared" si="37"/>
        <v>1201.0469233962519</v>
      </c>
      <c r="AQ79" s="526">
        <f t="shared" si="37"/>
        <v>1201.0469233962519</v>
      </c>
      <c r="AR79" s="526">
        <f t="shared" si="37"/>
        <v>1201.0469233962519</v>
      </c>
      <c r="AS79" s="526">
        <f t="shared" si="37"/>
        <v>1201.0469233962519</v>
      </c>
      <c r="AT79" s="526">
        <f t="shared" si="37"/>
        <v>1201.0469233962519</v>
      </c>
      <c r="AU79" s="526">
        <f t="shared" si="37"/>
        <v>1201.0469233962519</v>
      </c>
      <c r="AV79" s="526">
        <f t="shared" si="37"/>
        <v>1201.0469233962519</v>
      </c>
      <c r="AW79" s="526">
        <f t="shared" si="37"/>
        <v>1201.0469233962519</v>
      </c>
      <c r="AX79" s="526">
        <f t="shared" si="37"/>
        <v>1201.0469233962519</v>
      </c>
      <c r="AY79" s="526">
        <f t="shared" si="37"/>
        <v>1201.0469233962519</v>
      </c>
      <c r="AZ79" s="526">
        <f t="shared" si="37"/>
        <v>1201.0469233962519</v>
      </c>
      <c r="BA79" s="526">
        <f t="shared" si="37"/>
        <v>1201.0469233962519</v>
      </c>
      <c r="BB79" s="526">
        <f t="shared" si="37"/>
        <v>1201.0469233962519</v>
      </c>
      <c r="BC79" s="526">
        <f t="shared" si="37"/>
        <v>1201.0469233962519</v>
      </c>
      <c r="BD79" s="526">
        <f t="shared" si="37"/>
        <v>1201.0469233962519</v>
      </c>
      <c r="BE79" s="526">
        <f t="shared" si="37"/>
        <v>1201.0469233962519</v>
      </c>
      <c r="BF79" s="526">
        <f t="shared" si="37"/>
        <v>1201.0469233962519</v>
      </c>
      <c r="BG79" s="526">
        <f t="shared" si="37"/>
        <v>1201.0469233962519</v>
      </c>
      <c r="BH79" s="526">
        <f t="shared" si="37"/>
        <v>1201.0469233962519</v>
      </c>
      <c r="BI79" s="526">
        <f t="shared" si="37"/>
        <v>1201.0469233962519</v>
      </c>
      <c r="BJ79" s="526">
        <f t="shared" si="37"/>
        <v>1201.0469233962519</v>
      </c>
      <c r="BK79" s="526">
        <f t="shared" si="37"/>
        <v>1201.0469233962519</v>
      </c>
      <c r="BL79" s="526">
        <f t="shared" si="37"/>
        <v>1201.0469233962519</v>
      </c>
      <c r="BM79" s="526">
        <f t="shared" si="37"/>
        <v>1201.0469233962519</v>
      </c>
      <c r="BN79" s="526">
        <f t="shared" si="37"/>
        <v>1201.0469233962519</v>
      </c>
      <c r="BO79" s="526">
        <f t="shared" si="37"/>
        <v>1201.0469233962519</v>
      </c>
      <c r="BP79" s="526">
        <f t="shared" si="37"/>
        <v>1201.0469233962519</v>
      </c>
      <c r="BQ79" s="526">
        <f t="shared" si="37"/>
        <v>1201.0469233962519</v>
      </c>
      <c r="BR79" s="526">
        <f t="shared" si="37"/>
        <v>1201.0469233962519</v>
      </c>
      <c r="BS79" s="526">
        <f t="shared" si="37"/>
        <v>1201.0469233962519</v>
      </c>
      <c r="BT79" s="526">
        <f t="shared" si="37"/>
        <v>1201.0469233962519</v>
      </c>
      <c r="BU79" s="526">
        <f t="shared" si="37"/>
        <v>1201.0469233962519</v>
      </c>
      <c r="BV79" s="526">
        <f t="shared" si="37"/>
        <v>1201.0469233962519</v>
      </c>
      <c r="BW79" s="526">
        <f t="shared" si="37"/>
        <v>1201.0469233962519</v>
      </c>
      <c r="BX79" s="526">
        <f t="shared" si="37"/>
        <v>1201.0469233962519</v>
      </c>
      <c r="BY79" s="526">
        <f t="shared" si="37"/>
        <v>1201.0469233962519</v>
      </c>
      <c r="BZ79" s="526">
        <f t="shared" si="37"/>
        <v>1201.0469233962519</v>
      </c>
      <c r="CA79" s="526">
        <f t="shared" si="37"/>
        <v>1201.0469233962519</v>
      </c>
      <c r="CB79" s="526">
        <f t="shared" si="36"/>
        <v>1201.0469233962519</v>
      </c>
      <c r="CC79" s="526">
        <f t="shared" si="36"/>
        <v>1201.0469233962519</v>
      </c>
      <c r="CD79" s="526">
        <f t="shared" si="36"/>
        <v>1201.0469233962519</v>
      </c>
      <c r="CE79" s="526">
        <f t="shared" si="36"/>
        <v>1201.0469233962519</v>
      </c>
      <c r="CF79" s="526">
        <f t="shared" si="36"/>
        <v>1201.0469233962519</v>
      </c>
    </row>
    <row r="80" spans="2:84">
      <c r="B80" t="s">
        <v>778</v>
      </c>
      <c r="C80" t="s">
        <v>1354</v>
      </c>
      <c r="D80" t="s">
        <v>720</v>
      </c>
      <c r="E80" t="s">
        <v>1353</v>
      </c>
      <c r="F80" t="str">
        <f t="shared" si="32"/>
        <v>e-diesel (PS)OpExEurope</v>
      </c>
      <c r="G80" s="525">
        <v>3113.5782622777647</v>
      </c>
      <c r="H80" s="525">
        <v>2972.5455118937293</v>
      </c>
      <c r="I80" s="525">
        <v>2831.4103223625962</v>
      </c>
      <c r="J80" s="525">
        <v>2712.5065526290296</v>
      </c>
      <c r="K80" s="525">
        <v>2592.6799222256295</v>
      </c>
      <c r="L80" s="525">
        <v>2471.9729847651693</v>
      </c>
      <c r="M80" s="525">
        <v>2350.4282938604397</v>
      </c>
      <c r="N80" s="525">
        <v>2228.0884031241753</v>
      </c>
      <c r="O80" s="525">
        <v>2193.7280061698934</v>
      </c>
      <c r="P80" s="525">
        <v>2156.1926226472046</v>
      </c>
      <c r="Q80" s="525">
        <v>2115.4993135178038</v>
      </c>
      <c r="R80" s="525">
        <v>2071.6651397433934</v>
      </c>
      <c r="S80" s="525">
        <v>2024.7071622857436</v>
      </c>
      <c r="T80" s="525">
        <v>1984.6242561808569</v>
      </c>
      <c r="U80" s="525">
        <v>1942.4669016097603</v>
      </c>
      <c r="V80" s="525">
        <v>1898.2421602504396</v>
      </c>
      <c r="W80" s="525">
        <v>1851.9570937807757</v>
      </c>
      <c r="X80" s="525">
        <v>1803.618763878721</v>
      </c>
      <c r="Y80" s="525">
        <v>1737.8111883804672</v>
      </c>
      <c r="Z80" s="525">
        <v>1671.6964425024169</v>
      </c>
      <c r="AA80" s="525">
        <v>1605.2702299100322</v>
      </c>
      <c r="AB80" s="525">
        <v>1538.5282542686887</v>
      </c>
      <c r="AC80" s="525">
        <v>1471.4662192438277</v>
      </c>
      <c r="AD80" s="525">
        <v>1412.1086957273455</v>
      </c>
      <c r="AE80" s="525">
        <v>1352.968767983665</v>
      </c>
      <c r="AF80" s="525">
        <v>1294.0424115465632</v>
      </c>
      <c r="AG80" s="525">
        <v>1235.3256019498178</v>
      </c>
      <c r="AH80" s="525">
        <v>1176.8143147272046</v>
      </c>
      <c r="AI80" s="526">
        <f t="shared" si="37"/>
        <v>1176.8143147272046</v>
      </c>
      <c r="AJ80" s="526">
        <f t="shared" si="37"/>
        <v>1176.8143147272046</v>
      </c>
      <c r="AK80" s="526">
        <f t="shared" si="37"/>
        <v>1176.8143147272046</v>
      </c>
      <c r="AL80" s="526">
        <f t="shared" si="37"/>
        <v>1176.8143147272046</v>
      </c>
      <c r="AM80" s="526">
        <f t="shared" si="37"/>
        <v>1176.8143147272046</v>
      </c>
      <c r="AN80" s="526">
        <f t="shared" si="37"/>
        <v>1176.8143147272046</v>
      </c>
      <c r="AO80" s="526">
        <f t="shared" si="37"/>
        <v>1176.8143147272046</v>
      </c>
      <c r="AP80" s="526">
        <f t="shared" si="37"/>
        <v>1176.8143147272046</v>
      </c>
      <c r="AQ80" s="526">
        <f t="shared" si="37"/>
        <v>1176.8143147272046</v>
      </c>
      <c r="AR80" s="526">
        <f t="shared" si="37"/>
        <v>1176.8143147272046</v>
      </c>
      <c r="AS80" s="526">
        <f t="shared" si="37"/>
        <v>1176.8143147272046</v>
      </c>
      <c r="AT80" s="526">
        <f t="shared" si="37"/>
        <v>1176.8143147272046</v>
      </c>
      <c r="AU80" s="526">
        <f t="shared" si="37"/>
        <v>1176.8143147272046</v>
      </c>
      <c r="AV80" s="526">
        <f t="shared" si="37"/>
        <v>1176.8143147272046</v>
      </c>
      <c r="AW80" s="526">
        <f t="shared" si="37"/>
        <v>1176.8143147272046</v>
      </c>
      <c r="AX80" s="526">
        <f t="shared" si="37"/>
        <v>1176.8143147272046</v>
      </c>
      <c r="AY80" s="526">
        <f t="shared" si="37"/>
        <v>1176.8143147272046</v>
      </c>
      <c r="AZ80" s="526">
        <f t="shared" si="37"/>
        <v>1176.8143147272046</v>
      </c>
      <c r="BA80" s="526">
        <f t="shared" si="37"/>
        <v>1176.8143147272046</v>
      </c>
      <c r="BB80" s="526">
        <f t="shared" si="37"/>
        <v>1176.8143147272046</v>
      </c>
      <c r="BC80" s="526">
        <f t="shared" si="37"/>
        <v>1176.8143147272046</v>
      </c>
      <c r="BD80" s="526">
        <f t="shared" si="37"/>
        <v>1176.8143147272046</v>
      </c>
      <c r="BE80" s="526">
        <f t="shared" si="37"/>
        <v>1176.8143147272046</v>
      </c>
      <c r="BF80" s="526">
        <f t="shared" si="37"/>
        <v>1176.8143147272046</v>
      </c>
      <c r="BG80" s="526">
        <f t="shared" si="37"/>
        <v>1176.8143147272046</v>
      </c>
      <c r="BH80" s="526">
        <f t="shared" si="37"/>
        <v>1176.8143147272046</v>
      </c>
      <c r="BI80" s="526">
        <f t="shared" si="37"/>
        <v>1176.8143147272046</v>
      </c>
      <c r="BJ80" s="526">
        <f t="shared" si="37"/>
        <v>1176.8143147272046</v>
      </c>
      <c r="BK80" s="526">
        <f t="shared" si="37"/>
        <v>1176.8143147272046</v>
      </c>
      <c r="BL80" s="526">
        <f t="shared" si="37"/>
        <v>1176.8143147272046</v>
      </c>
      <c r="BM80" s="526">
        <f t="shared" si="37"/>
        <v>1176.8143147272046</v>
      </c>
      <c r="BN80" s="526">
        <f t="shared" si="37"/>
        <v>1176.8143147272046</v>
      </c>
      <c r="BO80" s="526">
        <f t="shared" si="37"/>
        <v>1176.8143147272046</v>
      </c>
      <c r="BP80" s="526">
        <f t="shared" si="37"/>
        <v>1176.8143147272046</v>
      </c>
      <c r="BQ80" s="526">
        <f t="shared" si="37"/>
        <v>1176.8143147272046</v>
      </c>
      <c r="BR80" s="526">
        <f t="shared" si="37"/>
        <v>1176.8143147272046</v>
      </c>
      <c r="BS80" s="526">
        <f t="shared" si="37"/>
        <v>1176.8143147272046</v>
      </c>
      <c r="BT80" s="526">
        <f t="shared" si="37"/>
        <v>1176.8143147272046</v>
      </c>
      <c r="BU80" s="526">
        <f t="shared" si="37"/>
        <v>1176.8143147272046</v>
      </c>
      <c r="BV80" s="526">
        <f t="shared" si="37"/>
        <v>1176.8143147272046</v>
      </c>
      <c r="BW80" s="526">
        <f t="shared" si="37"/>
        <v>1176.8143147272046</v>
      </c>
      <c r="BX80" s="526">
        <f t="shared" si="37"/>
        <v>1176.8143147272046</v>
      </c>
      <c r="BY80" s="526">
        <f t="shared" si="37"/>
        <v>1176.8143147272046</v>
      </c>
      <c r="BZ80" s="526">
        <f t="shared" si="37"/>
        <v>1176.8143147272046</v>
      </c>
      <c r="CA80" s="526">
        <f t="shared" si="37"/>
        <v>1176.8143147272046</v>
      </c>
      <c r="CB80" s="526">
        <f t="shared" si="36"/>
        <v>1176.8143147272046</v>
      </c>
      <c r="CC80" s="526">
        <f t="shared" si="36"/>
        <v>1176.8143147272046</v>
      </c>
      <c r="CD80" s="526">
        <f t="shared" si="36"/>
        <v>1176.8143147272046</v>
      </c>
      <c r="CE80" s="526">
        <f t="shared" si="36"/>
        <v>1176.8143147272046</v>
      </c>
      <c r="CF80" s="526">
        <f t="shared" si="36"/>
        <v>1176.8143147272046</v>
      </c>
    </row>
    <row r="81" spans="2:84">
      <c r="B81" t="s">
        <v>778</v>
      </c>
      <c r="C81" t="s">
        <v>1354</v>
      </c>
      <c r="D81" t="s">
        <v>826</v>
      </c>
      <c r="E81" t="s">
        <v>1353</v>
      </c>
      <c r="F81" t="str">
        <f t="shared" si="32"/>
        <v>e-diesel (PS)OpExMiddle East</v>
      </c>
      <c r="G81" s="525">
        <v>2804.3796543330195</v>
      </c>
      <c r="H81" s="525">
        <v>2676.0277266255111</v>
      </c>
      <c r="I81" s="525">
        <v>2547.5928870576267</v>
      </c>
      <c r="J81" s="525">
        <v>2445.6400309608157</v>
      </c>
      <c r="K81" s="525">
        <v>2342.7732008552703</v>
      </c>
      <c r="L81" s="525">
        <v>2239.0197343274772</v>
      </c>
      <c r="M81" s="525">
        <v>2134.406968963985</v>
      </c>
      <c r="N81" s="525">
        <v>2028.9622423512465</v>
      </c>
      <c r="O81" s="525">
        <v>1994.1692249516238</v>
      </c>
      <c r="P81" s="525">
        <v>1956.2838321330094</v>
      </c>
      <c r="Q81" s="525">
        <v>1915.3246640489062</v>
      </c>
      <c r="R81" s="525">
        <v>1871.3103208528225</v>
      </c>
      <c r="S81" s="525">
        <v>1824.2594026983047</v>
      </c>
      <c r="T81" s="525">
        <v>1786.7012735866506</v>
      </c>
      <c r="U81" s="525">
        <v>1747.0971049693196</v>
      </c>
      <c r="V81" s="525">
        <v>1705.4533620892312</v>
      </c>
      <c r="W81" s="525">
        <v>1661.7765101892026</v>
      </c>
      <c r="X81" s="525">
        <v>1616.0730145121261</v>
      </c>
      <c r="Y81" s="525">
        <v>1551.1738999638198</v>
      </c>
      <c r="Z81" s="525">
        <v>1485.9755803666378</v>
      </c>
      <c r="AA81" s="525">
        <v>1420.4732340402952</v>
      </c>
      <c r="AB81" s="525">
        <v>1354.6620393044511</v>
      </c>
      <c r="AC81" s="525">
        <v>1288.5371744787992</v>
      </c>
      <c r="AD81" s="525">
        <v>1233.1574077549299</v>
      </c>
      <c r="AE81" s="525">
        <v>1177.9202547463722</v>
      </c>
      <c r="AF81" s="525">
        <v>1122.8228181997067</v>
      </c>
      <c r="AG81" s="525">
        <v>1067.862200861523</v>
      </c>
      <c r="AH81" s="525">
        <v>1013.0355054784112</v>
      </c>
      <c r="AI81" s="526">
        <f t="shared" si="37"/>
        <v>1013.0355054784112</v>
      </c>
      <c r="AJ81" s="526">
        <f t="shared" si="37"/>
        <v>1013.0355054784112</v>
      </c>
      <c r="AK81" s="526">
        <f t="shared" si="37"/>
        <v>1013.0355054784112</v>
      </c>
      <c r="AL81" s="526">
        <f t="shared" si="37"/>
        <v>1013.0355054784112</v>
      </c>
      <c r="AM81" s="526">
        <f t="shared" si="37"/>
        <v>1013.0355054784112</v>
      </c>
      <c r="AN81" s="526">
        <f t="shared" si="37"/>
        <v>1013.0355054784112</v>
      </c>
      <c r="AO81" s="526">
        <f t="shared" si="37"/>
        <v>1013.0355054784112</v>
      </c>
      <c r="AP81" s="526">
        <f t="shared" si="37"/>
        <v>1013.0355054784112</v>
      </c>
      <c r="AQ81" s="526">
        <f t="shared" si="37"/>
        <v>1013.0355054784112</v>
      </c>
      <c r="AR81" s="526">
        <f t="shared" si="37"/>
        <v>1013.0355054784112</v>
      </c>
      <c r="AS81" s="526">
        <f t="shared" si="37"/>
        <v>1013.0355054784112</v>
      </c>
      <c r="AT81" s="526">
        <f t="shared" si="37"/>
        <v>1013.0355054784112</v>
      </c>
      <c r="AU81" s="526">
        <f t="shared" si="37"/>
        <v>1013.0355054784112</v>
      </c>
      <c r="AV81" s="526">
        <f t="shared" si="37"/>
        <v>1013.0355054784112</v>
      </c>
      <c r="AW81" s="526">
        <f t="shared" si="37"/>
        <v>1013.0355054784112</v>
      </c>
      <c r="AX81" s="526">
        <f t="shared" si="37"/>
        <v>1013.0355054784112</v>
      </c>
      <c r="AY81" s="526">
        <f t="shared" si="37"/>
        <v>1013.0355054784112</v>
      </c>
      <c r="AZ81" s="526">
        <f t="shared" si="37"/>
        <v>1013.0355054784112</v>
      </c>
      <c r="BA81" s="526">
        <f t="shared" si="37"/>
        <v>1013.0355054784112</v>
      </c>
      <c r="BB81" s="526">
        <f t="shared" si="37"/>
        <v>1013.0355054784112</v>
      </c>
      <c r="BC81" s="526">
        <f t="shared" si="37"/>
        <v>1013.0355054784112</v>
      </c>
      <c r="BD81" s="526">
        <f t="shared" si="37"/>
        <v>1013.0355054784112</v>
      </c>
      <c r="BE81" s="526">
        <f t="shared" si="37"/>
        <v>1013.0355054784112</v>
      </c>
      <c r="BF81" s="526">
        <f t="shared" si="37"/>
        <v>1013.0355054784112</v>
      </c>
      <c r="BG81" s="526">
        <f t="shared" si="37"/>
        <v>1013.0355054784112</v>
      </c>
      <c r="BH81" s="526">
        <f t="shared" si="37"/>
        <v>1013.0355054784112</v>
      </c>
      <c r="BI81" s="526">
        <f t="shared" si="37"/>
        <v>1013.0355054784112</v>
      </c>
      <c r="BJ81" s="526">
        <f t="shared" si="37"/>
        <v>1013.0355054784112</v>
      </c>
      <c r="BK81" s="526">
        <f t="shared" si="37"/>
        <v>1013.0355054784112</v>
      </c>
      <c r="BL81" s="526">
        <f t="shared" si="37"/>
        <v>1013.0355054784112</v>
      </c>
      <c r="BM81" s="526">
        <f t="shared" si="37"/>
        <v>1013.0355054784112</v>
      </c>
      <c r="BN81" s="526">
        <f t="shared" si="37"/>
        <v>1013.0355054784112</v>
      </c>
      <c r="BO81" s="526">
        <f t="shared" si="37"/>
        <v>1013.0355054784112</v>
      </c>
      <c r="BP81" s="526">
        <f t="shared" si="37"/>
        <v>1013.0355054784112</v>
      </c>
      <c r="BQ81" s="526">
        <f t="shared" si="37"/>
        <v>1013.0355054784112</v>
      </c>
      <c r="BR81" s="526">
        <f t="shared" si="37"/>
        <v>1013.0355054784112</v>
      </c>
      <c r="BS81" s="526">
        <f t="shared" si="37"/>
        <v>1013.0355054784112</v>
      </c>
      <c r="BT81" s="526">
        <f t="shared" si="37"/>
        <v>1013.0355054784112</v>
      </c>
      <c r="BU81" s="526">
        <f t="shared" si="37"/>
        <v>1013.0355054784112</v>
      </c>
      <c r="BV81" s="526">
        <f t="shared" si="37"/>
        <v>1013.0355054784112</v>
      </c>
      <c r="BW81" s="526">
        <f t="shared" si="37"/>
        <v>1013.0355054784112</v>
      </c>
      <c r="BX81" s="526">
        <f t="shared" si="37"/>
        <v>1013.0355054784112</v>
      </c>
      <c r="BY81" s="526">
        <f t="shared" si="37"/>
        <v>1013.0355054784112</v>
      </c>
      <c r="BZ81" s="526">
        <f t="shared" si="37"/>
        <v>1013.0355054784112</v>
      </c>
      <c r="CA81" s="526">
        <f t="shared" si="37"/>
        <v>1013.0355054784112</v>
      </c>
      <c r="CB81" s="526">
        <f t="shared" si="36"/>
        <v>1013.0355054784112</v>
      </c>
      <c r="CC81" s="526">
        <f t="shared" si="36"/>
        <v>1013.0355054784112</v>
      </c>
      <c r="CD81" s="526">
        <f t="shared" si="36"/>
        <v>1013.0355054784112</v>
      </c>
      <c r="CE81" s="526">
        <f t="shared" si="36"/>
        <v>1013.0355054784112</v>
      </c>
      <c r="CF81" s="526">
        <f t="shared" si="36"/>
        <v>1013.0355054784112</v>
      </c>
    </row>
    <row r="82" spans="2:84">
      <c r="B82" t="s">
        <v>778</v>
      </c>
      <c r="C82" t="s">
        <v>1355</v>
      </c>
      <c r="D82" t="s">
        <v>708</v>
      </c>
      <c r="E82" t="s">
        <v>1356</v>
      </c>
      <c r="F82" t="str">
        <f t="shared" si="32"/>
        <v>e-diesel (PS)Total emissions - WTT - GWP100Global</v>
      </c>
      <c r="G82" s="527">
        <v>-3.0633890630076586</v>
      </c>
      <c r="H82" s="527">
        <v>-3.0635833329507727</v>
      </c>
      <c r="I82" s="527">
        <v>-3.0638044349999993</v>
      </c>
      <c r="J82" s="527">
        <v>-3.0641112875428291</v>
      </c>
      <c r="K82" s="527">
        <v>-3.0644633824944436</v>
      </c>
      <c r="L82" s="527">
        <v>-3.0648607198548441</v>
      </c>
      <c r="M82" s="527">
        <v>-3.0653032996240275</v>
      </c>
      <c r="N82" s="527">
        <v>-3.0657911218019982</v>
      </c>
      <c r="O82" s="527">
        <v>-3.0666974973218357</v>
      </c>
      <c r="P82" s="527">
        <v>-3.0676475286444727</v>
      </c>
      <c r="Q82" s="527">
        <v>-3.0686412157699099</v>
      </c>
      <c r="R82" s="527">
        <v>-3.0696785586981505</v>
      </c>
      <c r="S82" s="527">
        <v>-3.0707595574291902</v>
      </c>
      <c r="T82" s="527">
        <v>-3.0718831291707329</v>
      </c>
      <c r="U82" s="527">
        <v>-3.0730369655216552</v>
      </c>
      <c r="V82" s="527">
        <v>-3.0742210664819534</v>
      </c>
      <c r="W82" s="527">
        <v>-3.0754354320516328</v>
      </c>
      <c r="X82" s="527">
        <v>-3.0766800622306918</v>
      </c>
      <c r="Y82" s="527">
        <v>-3.078278550723319</v>
      </c>
      <c r="Z82" s="527">
        <v>-3.0798598278726352</v>
      </c>
      <c r="AA82" s="527">
        <v>-3.0814238936786378</v>
      </c>
      <c r="AB82" s="527">
        <v>-3.0829707481413293</v>
      </c>
      <c r="AC82" s="527">
        <v>-3.0845003912607081</v>
      </c>
      <c r="AD82" s="527">
        <v>-3.0857802264549079</v>
      </c>
      <c r="AE82" s="527">
        <v>-3.0870379649259374</v>
      </c>
      <c r="AF82" s="527">
        <v>-3.0882736066737957</v>
      </c>
      <c r="AG82" s="527">
        <v>-3.0894871516984832</v>
      </c>
      <c r="AH82" s="527">
        <v>-3.0906785999999999</v>
      </c>
      <c r="AI82" s="528">
        <f t="shared" si="37"/>
        <v>-3.0906785999999999</v>
      </c>
      <c r="AJ82" s="528">
        <f t="shared" si="37"/>
        <v>-3.0906785999999999</v>
      </c>
      <c r="AK82" s="528">
        <f t="shared" si="37"/>
        <v>-3.0906785999999999</v>
      </c>
      <c r="AL82" s="528">
        <f t="shared" si="37"/>
        <v>-3.0906785999999999</v>
      </c>
      <c r="AM82" s="528">
        <f t="shared" si="37"/>
        <v>-3.0906785999999999</v>
      </c>
      <c r="AN82" s="528">
        <f t="shared" si="37"/>
        <v>-3.0906785999999999</v>
      </c>
      <c r="AO82" s="528">
        <f t="shared" si="37"/>
        <v>-3.0906785999999999</v>
      </c>
      <c r="AP82" s="528">
        <f t="shared" si="37"/>
        <v>-3.0906785999999999</v>
      </c>
      <c r="AQ82" s="528">
        <f t="shared" si="37"/>
        <v>-3.0906785999999999</v>
      </c>
      <c r="AR82" s="528">
        <f t="shared" si="37"/>
        <v>-3.0906785999999999</v>
      </c>
      <c r="AS82" s="528">
        <f t="shared" si="37"/>
        <v>-3.0906785999999999</v>
      </c>
      <c r="AT82" s="528">
        <f t="shared" si="37"/>
        <v>-3.0906785999999999</v>
      </c>
      <c r="AU82" s="528">
        <f t="shared" si="37"/>
        <v>-3.0906785999999999</v>
      </c>
      <c r="AV82" s="528">
        <f t="shared" si="37"/>
        <v>-3.0906785999999999</v>
      </c>
      <c r="AW82" s="528">
        <f t="shared" si="37"/>
        <v>-3.0906785999999999</v>
      </c>
      <c r="AX82" s="528">
        <f t="shared" si="37"/>
        <v>-3.0906785999999999</v>
      </c>
      <c r="AY82" s="528">
        <f t="shared" si="37"/>
        <v>-3.0906785999999999</v>
      </c>
      <c r="AZ82" s="528">
        <f t="shared" si="37"/>
        <v>-3.0906785999999999</v>
      </c>
      <c r="BA82" s="528">
        <f t="shared" si="37"/>
        <v>-3.0906785999999999</v>
      </c>
      <c r="BB82" s="528">
        <f t="shared" si="37"/>
        <v>-3.0906785999999999</v>
      </c>
      <c r="BC82" s="528">
        <f t="shared" si="37"/>
        <v>-3.0906785999999999</v>
      </c>
      <c r="BD82" s="528">
        <f t="shared" si="37"/>
        <v>-3.0906785999999999</v>
      </c>
      <c r="BE82" s="528">
        <f t="shared" si="37"/>
        <v>-3.0906785999999999</v>
      </c>
      <c r="BF82" s="528">
        <f t="shared" si="37"/>
        <v>-3.0906785999999999</v>
      </c>
      <c r="BG82" s="528">
        <f t="shared" si="37"/>
        <v>-3.0906785999999999</v>
      </c>
      <c r="BH82" s="528">
        <f t="shared" si="37"/>
        <v>-3.0906785999999999</v>
      </c>
      <c r="BI82" s="528">
        <f t="shared" si="37"/>
        <v>-3.0906785999999999</v>
      </c>
      <c r="BJ82" s="528">
        <f t="shared" si="37"/>
        <v>-3.0906785999999999</v>
      </c>
      <c r="BK82" s="528">
        <f t="shared" si="37"/>
        <v>-3.0906785999999999</v>
      </c>
      <c r="BL82" s="528">
        <f t="shared" si="37"/>
        <v>-3.0906785999999999</v>
      </c>
      <c r="BM82" s="528">
        <f t="shared" ref="BM82:CA82" si="38">BL82</f>
        <v>-3.0906785999999999</v>
      </c>
      <c r="BN82" s="528">
        <f t="shared" si="38"/>
        <v>-3.0906785999999999</v>
      </c>
      <c r="BO82" s="528">
        <f t="shared" si="38"/>
        <v>-3.0906785999999999</v>
      </c>
      <c r="BP82" s="528">
        <f t="shared" si="38"/>
        <v>-3.0906785999999999</v>
      </c>
      <c r="BQ82" s="528">
        <f t="shared" si="38"/>
        <v>-3.0906785999999999</v>
      </c>
      <c r="BR82" s="528">
        <f t="shared" si="38"/>
        <v>-3.0906785999999999</v>
      </c>
      <c r="BS82" s="528">
        <f t="shared" si="38"/>
        <v>-3.0906785999999999</v>
      </c>
      <c r="BT82" s="528">
        <f t="shared" si="38"/>
        <v>-3.0906785999999999</v>
      </c>
      <c r="BU82" s="528">
        <f t="shared" si="38"/>
        <v>-3.0906785999999999</v>
      </c>
      <c r="BV82" s="528">
        <f t="shared" si="38"/>
        <v>-3.0906785999999999</v>
      </c>
      <c r="BW82" s="528">
        <f t="shared" si="38"/>
        <v>-3.0906785999999999</v>
      </c>
      <c r="BX82" s="528">
        <f t="shared" si="38"/>
        <v>-3.0906785999999999</v>
      </c>
      <c r="BY82" s="528">
        <f t="shared" si="38"/>
        <v>-3.0906785999999999</v>
      </c>
      <c r="BZ82" s="528">
        <f t="shared" si="38"/>
        <v>-3.0906785999999999</v>
      </c>
      <c r="CA82" s="528">
        <f t="shared" si="38"/>
        <v>-3.0906785999999999</v>
      </c>
      <c r="CB82" s="528">
        <f t="shared" si="36"/>
        <v>-3.0906785999999999</v>
      </c>
      <c r="CC82" s="528">
        <f t="shared" si="36"/>
        <v>-3.0906785999999999</v>
      </c>
      <c r="CD82" s="528">
        <f t="shared" si="36"/>
        <v>-3.0906785999999999</v>
      </c>
      <c r="CE82" s="528">
        <f t="shared" si="36"/>
        <v>-3.0906785999999999</v>
      </c>
      <c r="CF82" s="528">
        <f t="shared" si="36"/>
        <v>-3.0906785999999999</v>
      </c>
    </row>
    <row r="83" spans="2:84">
      <c r="B83" t="s">
        <v>778</v>
      </c>
      <c r="C83" t="s">
        <v>1357</v>
      </c>
      <c r="D83" t="s">
        <v>708</v>
      </c>
      <c r="E83" t="s">
        <v>1356</v>
      </c>
      <c r="F83" t="str">
        <f t="shared" si="32"/>
        <v>e-diesel (PS)Total emissions - TTW - GWP100Global</v>
      </c>
      <c r="G83" s="527">
        <v>3.2553300000000003</v>
      </c>
      <c r="H83" s="527">
        <v>3.2553300000000003</v>
      </c>
      <c r="I83" s="527">
        <v>3.2553300000000003</v>
      </c>
      <c r="J83" s="527">
        <v>3.2553300000000003</v>
      </c>
      <c r="K83" s="527">
        <v>3.2553300000000003</v>
      </c>
      <c r="L83" s="527">
        <v>3.2553300000000003</v>
      </c>
      <c r="M83" s="527">
        <v>3.2553300000000003</v>
      </c>
      <c r="N83" s="527">
        <v>3.2553300000000003</v>
      </c>
      <c r="O83" s="527">
        <v>3.2553300000000003</v>
      </c>
      <c r="P83" s="527">
        <v>3.2553300000000003</v>
      </c>
      <c r="Q83" s="527">
        <v>3.2553300000000003</v>
      </c>
      <c r="R83" s="527">
        <v>3.2553300000000003</v>
      </c>
      <c r="S83" s="527">
        <v>3.2553300000000003</v>
      </c>
      <c r="T83" s="527">
        <v>3.2553300000000003</v>
      </c>
      <c r="U83" s="527">
        <v>3.2553300000000003</v>
      </c>
      <c r="V83" s="527">
        <v>3.2553300000000003</v>
      </c>
      <c r="W83" s="527">
        <v>3.2553300000000003</v>
      </c>
      <c r="X83" s="527">
        <v>3.2553300000000003</v>
      </c>
      <c r="Y83" s="527">
        <v>3.2553300000000003</v>
      </c>
      <c r="Z83" s="527">
        <v>3.2553300000000003</v>
      </c>
      <c r="AA83" s="527">
        <v>3.2553300000000003</v>
      </c>
      <c r="AB83" s="527">
        <v>3.2553300000000003</v>
      </c>
      <c r="AC83" s="527">
        <v>3.2553300000000003</v>
      </c>
      <c r="AD83" s="527">
        <v>3.2553300000000003</v>
      </c>
      <c r="AE83" s="527">
        <v>3.2553300000000003</v>
      </c>
      <c r="AF83" s="527">
        <v>3.2553300000000003</v>
      </c>
      <c r="AG83" s="527">
        <v>3.2553300000000003</v>
      </c>
      <c r="AH83" s="527">
        <v>3.2553300000000003</v>
      </c>
      <c r="AI83" s="526">
        <f t="shared" ref="AI83:CA84" si="39">AH83</f>
        <v>3.2553300000000003</v>
      </c>
      <c r="AJ83" s="526">
        <f t="shared" si="39"/>
        <v>3.2553300000000003</v>
      </c>
      <c r="AK83" s="526">
        <f t="shared" si="39"/>
        <v>3.2553300000000003</v>
      </c>
      <c r="AL83" s="526">
        <f t="shared" si="39"/>
        <v>3.2553300000000003</v>
      </c>
      <c r="AM83" s="526">
        <f t="shared" si="39"/>
        <v>3.2553300000000003</v>
      </c>
      <c r="AN83" s="526">
        <f t="shared" si="39"/>
        <v>3.2553300000000003</v>
      </c>
      <c r="AO83" s="526">
        <f t="shared" si="39"/>
        <v>3.2553300000000003</v>
      </c>
      <c r="AP83" s="526">
        <f t="shared" si="39"/>
        <v>3.2553300000000003</v>
      </c>
      <c r="AQ83" s="526">
        <f t="shared" si="39"/>
        <v>3.2553300000000003</v>
      </c>
      <c r="AR83" s="526">
        <f t="shared" si="39"/>
        <v>3.2553300000000003</v>
      </c>
      <c r="AS83" s="526">
        <f t="shared" si="39"/>
        <v>3.2553300000000003</v>
      </c>
      <c r="AT83" s="526">
        <f t="shared" si="39"/>
        <v>3.2553300000000003</v>
      </c>
      <c r="AU83" s="526">
        <f t="shared" si="39"/>
        <v>3.2553300000000003</v>
      </c>
      <c r="AV83" s="526">
        <f t="shared" si="39"/>
        <v>3.2553300000000003</v>
      </c>
      <c r="AW83" s="526">
        <f t="shared" si="39"/>
        <v>3.2553300000000003</v>
      </c>
      <c r="AX83" s="526">
        <f t="shared" si="39"/>
        <v>3.2553300000000003</v>
      </c>
      <c r="AY83" s="526">
        <f t="shared" si="39"/>
        <v>3.2553300000000003</v>
      </c>
      <c r="AZ83" s="526">
        <f t="shared" si="39"/>
        <v>3.2553300000000003</v>
      </c>
      <c r="BA83" s="526">
        <f t="shared" si="39"/>
        <v>3.2553300000000003</v>
      </c>
      <c r="BB83" s="526">
        <f t="shared" si="39"/>
        <v>3.2553300000000003</v>
      </c>
      <c r="BC83" s="526">
        <f t="shared" si="39"/>
        <v>3.2553300000000003</v>
      </c>
      <c r="BD83" s="526">
        <f t="shared" si="39"/>
        <v>3.2553300000000003</v>
      </c>
      <c r="BE83" s="526">
        <f t="shared" si="39"/>
        <v>3.2553300000000003</v>
      </c>
      <c r="BF83" s="526">
        <f t="shared" si="39"/>
        <v>3.2553300000000003</v>
      </c>
      <c r="BG83" s="526">
        <f t="shared" si="39"/>
        <v>3.2553300000000003</v>
      </c>
      <c r="BH83" s="526">
        <f t="shared" si="39"/>
        <v>3.2553300000000003</v>
      </c>
      <c r="BI83" s="526">
        <f t="shared" si="39"/>
        <v>3.2553300000000003</v>
      </c>
      <c r="BJ83" s="526">
        <f t="shared" si="39"/>
        <v>3.2553300000000003</v>
      </c>
      <c r="BK83" s="526">
        <f t="shared" si="39"/>
        <v>3.2553300000000003</v>
      </c>
      <c r="BL83" s="526">
        <f t="shared" si="39"/>
        <v>3.2553300000000003</v>
      </c>
      <c r="BM83" s="526">
        <f t="shared" si="39"/>
        <v>3.2553300000000003</v>
      </c>
      <c r="BN83" s="526">
        <f t="shared" si="39"/>
        <v>3.2553300000000003</v>
      </c>
      <c r="BO83" s="526">
        <f t="shared" si="39"/>
        <v>3.2553300000000003</v>
      </c>
      <c r="BP83" s="526">
        <f t="shared" si="39"/>
        <v>3.2553300000000003</v>
      </c>
      <c r="BQ83" s="526">
        <f t="shared" si="39"/>
        <v>3.2553300000000003</v>
      </c>
      <c r="BR83" s="526">
        <f t="shared" si="39"/>
        <v>3.2553300000000003</v>
      </c>
      <c r="BS83" s="526">
        <f t="shared" si="39"/>
        <v>3.2553300000000003</v>
      </c>
      <c r="BT83" s="526">
        <f t="shared" si="39"/>
        <v>3.2553300000000003</v>
      </c>
      <c r="BU83" s="526">
        <f t="shared" si="39"/>
        <v>3.2553300000000003</v>
      </c>
      <c r="BV83" s="526">
        <f t="shared" si="39"/>
        <v>3.2553300000000003</v>
      </c>
      <c r="BW83" s="526">
        <f t="shared" si="39"/>
        <v>3.2553300000000003</v>
      </c>
      <c r="BX83" s="526">
        <f t="shared" si="39"/>
        <v>3.2553300000000003</v>
      </c>
      <c r="BY83" s="526">
        <f t="shared" si="39"/>
        <v>3.2553300000000003</v>
      </c>
      <c r="BZ83" s="526">
        <f t="shared" si="39"/>
        <v>3.2553300000000003</v>
      </c>
      <c r="CA83" s="526">
        <f t="shared" si="39"/>
        <v>3.2553300000000003</v>
      </c>
      <c r="CB83" s="526">
        <f t="shared" si="36"/>
        <v>3.2553300000000003</v>
      </c>
      <c r="CC83" s="526">
        <f t="shared" si="36"/>
        <v>3.2553300000000003</v>
      </c>
      <c r="CD83" s="526">
        <f t="shared" si="36"/>
        <v>3.2553300000000003</v>
      </c>
      <c r="CE83" s="526">
        <f t="shared" si="36"/>
        <v>3.2553300000000003</v>
      </c>
      <c r="CF83" s="526">
        <f t="shared" si="36"/>
        <v>3.2553300000000003</v>
      </c>
    </row>
    <row r="84" spans="2:84">
      <c r="B84" t="s">
        <v>778</v>
      </c>
      <c r="C84" t="s">
        <v>1358</v>
      </c>
      <c r="D84" t="s">
        <v>708</v>
      </c>
      <c r="E84" t="s">
        <v>1356</v>
      </c>
      <c r="F84" t="str">
        <f t="shared" si="32"/>
        <v>e-diesel (PS)Total emissions - WTW - GWP100Global</v>
      </c>
      <c r="G84" s="527">
        <v>0.19194093699234172</v>
      </c>
      <c r="H84" s="527">
        <v>0.1917466670492276</v>
      </c>
      <c r="I84" s="527">
        <v>0.19152556500000095</v>
      </c>
      <c r="J84" s="527">
        <v>0.19121871245717115</v>
      </c>
      <c r="K84" s="527">
        <v>0.19086661750555667</v>
      </c>
      <c r="L84" s="527">
        <v>0.19046928014515618</v>
      </c>
      <c r="M84" s="527">
        <v>0.1900267003759728</v>
      </c>
      <c r="N84" s="527">
        <v>0.18953887819800208</v>
      </c>
      <c r="O84" s="527">
        <v>0.18863250267816456</v>
      </c>
      <c r="P84" s="527">
        <v>0.18768247135552762</v>
      </c>
      <c r="Q84" s="527">
        <v>0.18668878423009039</v>
      </c>
      <c r="R84" s="527">
        <v>0.18565144130184974</v>
      </c>
      <c r="S84" s="527">
        <v>0.18457044257081012</v>
      </c>
      <c r="T84" s="527">
        <v>0.18344687082926736</v>
      </c>
      <c r="U84" s="527">
        <v>0.18229303447834511</v>
      </c>
      <c r="V84" s="527">
        <v>0.18110893351804691</v>
      </c>
      <c r="W84" s="527">
        <v>0.17989456794836745</v>
      </c>
      <c r="X84" s="527">
        <v>0.17864993776930849</v>
      </c>
      <c r="Y84" s="527">
        <v>0.17705144927668126</v>
      </c>
      <c r="Z84" s="527">
        <v>0.17547017212736504</v>
      </c>
      <c r="AA84" s="527">
        <v>0.1739061063213625</v>
      </c>
      <c r="AB84" s="527">
        <v>0.17235925185867096</v>
      </c>
      <c r="AC84" s="527">
        <v>0.1708296087392922</v>
      </c>
      <c r="AD84" s="527">
        <v>0.16954977354509237</v>
      </c>
      <c r="AE84" s="527">
        <v>0.16829203507406287</v>
      </c>
      <c r="AF84" s="527">
        <v>0.16705639332620459</v>
      </c>
      <c r="AG84" s="527">
        <v>0.16584284830151708</v>
      </c>
      <c r="AH84" s="527">
        <v>0.16465140000000034</v>
      </c>
      <c r="AI84" s="528">
        <f t="shared" si="39"/>
        <v>0.16465140000000034</v>
      </c>
      <c r="AJ84" s="528">
        <f t="shared" si="39"/>
        <v>0.16465140000000034</v>
      </c>
      <c r="AK84" s="528">
        <f t="shared" si="39"/>
        <v>0.16465140000000034</v>
      </c>
      <c r="AL84" s="528">
        <f t="shared" si="39"/>
        <v>0.16465140000000034</v>
      </c>
      <c r="AM84" s="528">
        <f t="shared" si="39"/>
        <v>0.16465140000000034</v>
      </c>
      <c r="AN84" s="528">
        <f t="shared" si="39"/>
        <v>0.16465140000000034</v>
      </c>
      <c r="AO84" s="528">
        <f t="shared" si="39"/>
        <v>0.16465140000000034</v>
      </c>
      <c r="AP84" s="528">
        <f t="shared" si="39"/>
        <v>0.16465140000000034</v>
      </c>
      <c r="AQ84" s="528">
        <f t="shared" si="39"/>
        <v>0.16465140000000034</v>
      </c>
      <c r="AR84" s="528">
        <f t="shared" si="39"/>
        <v>0.16465140000000034</v>
      </c>
      <c r="AS84" s="528">
        <f t="shared" si="39"/>
        <v>0.16465140000000034</v>
      </c>
      <c r="AT84" s="528">
        <f t="shared" si="39"/>
        <v>0.16465140000000034</v>
      </c>
      <c r="AU84" s="528">
        <f t="shared" si="39"/>
        <v>0.16465140000000034</v>
      </c>
      <c r="AV84" s="528">
        <f t="shared" si="39"/>
        <v>0.16465140000000034</v>
      </c>
      <c r="AW84" s="528">
        <f t="shared" si="39"/>
        <v>0.16465140000000034</v>
      </c>
      <c r="AX84" s="528">
        <f t="shared" si="39"/>
        <v>0.16465140000000034</v>
      </c>
      <c r="AY84" s="528">
        <f t="shared" si="39"/>
        <v>0.16465140000000034</v>
      </c>
      <c r="AZ84" s="528">
        <f t="shared" si="39"/>
        <v>0.16465140000000034</v>
      </c>
      <c r="BA84" s="528">
        <f t="shared" si="39"/>
        <v>0.16465140000000034</v>
      </c>
      <c r="BB84" s="528">
        <f t="shared" si="39"/>
        <v>0.16465140000000034</v>
      </c>
      <c r="BC84" s="528">
        <f t="shared" si="39"/>
        <v>0.16465140000000034</v>
      </c>
      <c r="BD84" s="528">
        <f t="shared" si="39"/>
        <v>0.16465140000000034</v>
      </c>
      <c r="BE84" s="528">
        <f t="shared" si="39"/>
        <v>0.16465140000000034</v>
      </c>
      <c r="BF84" s="528">
        <f t="shared" si="39"/>
        <v>0.16465140000000034</v>
      </c>
      <c r="BG84" s="528">
        <f t="shared" si="39"/>
        <v>0.16465140000000034</v>
      </c>
      <c r="BH84" s="528">
        <f t="shared" si="39"/>
        <v>0.16465140000000034</v>
      </c>
      <c r="BI84" s="528">
        <f t="shared" si="39"/>
        <v>0.16465140000000034</v>
      </c>
      <c r="BJ84" s="528">
        <f t="shared" si="39"/>
        <v>0.16465140000000034</v>
      </c>
      <c r="BK84" s="528">
        <f t="shared" si="39"/>
        <v>0.16465140000000034</v>
      </c>
      <c r="BL84" s="528">
        <f t="shared" si="39"/>
        <v>0.16465140000000034</v>
      </c>
      <c r="BM84" s="528">
        <f t="shared" si="39"/>
        <v>0.16465140000000034</v>
      </c>
      <c r="BN84" s="528">
        <f t="shared" si="39"/>
        <v>0.16465140000000034</v>
      </c>
      <c r="BO84" s="528">
        <f t="shared" si="39"/>
        <v>0.16465140000000034</v>
      </c>
      <c r="BP84" s="528">
        <f t="shared" si="39"/>
        <v>0.16465140000000034</v>
      </c>
      <c r="BQ84" s="528">
        <f t="shared" si="39"/>
        <v>0.16465140000000034</v>
      </c>
      <c r="BR84" s="528">
        <f t="shared" si="39"/>
        <v>0.16465140000000034</v>
      </c>
      <c r="BS84" s="528">
        <f t="shared" si="39"/>
        <v>0.16465140000000034</v>
      </c>
      <c r="BT84" s="528">
        <f t="shared" si="39"/>
        <v>0.16465140000000034</v>
      </c>
      <c r="BU84" s="528">
        <f t="shared" si="39"/>
        <v>0.16465140000000034</v>
      </c>
      <c r="BV84" s="528">
        <f t="shared" si="39"/>
        <v>0.16465140000000034</v>
      </c>
      <c r="BW84" s="528">
        <f t="shared" si="39"/>
        <v>0.16465140000000034</v>
      </c>
      <c r="BX84" s="528">
        <f t="shared" si="39"/>
        <v>0.16465140000000034</v>
      </c>
      <c r="BY84" s="528">
        <f t="shared" si="39"/>
        <v>0.16465140000000034</v>
      </c>
      <c r="BZ84" s="528">
        <f t="shared" si="39"/>
        <v>0.16465140000000034</v>
      </c>
      <c r="CA84" s="528">
        <f t="shared" si="39"/>
        <v>0.16465140000000034</v>
      </c>
      <c r="CB84" s="528">
        <f t="shared" si="36"/>
        <v>0.16465140000000034</v>
      </c>
      <c r="CC84" s="528">
        <f t="shared" si="36"/>
        <v>0.16465140000000034</v>
      </c>
      <c r="CD84" s="528">
        <f t="shared" si="36"/>
        <v>0.16465140000000034</v>
      </c>
      <c r="CE84" s="528">
        <f t="shared" si="36"/>
        <v>0.16465140000000034</v>
      </c>
      <c r="CF84" s="528">
        <f t="shared" si="36"/>
        <v>0.16465140000000034</v>
      </c>
    </row>
    <row r="85" spans="2:84">
      <c r="B85" t="s">
        <v>746</v>
      </c>
      <c r="C85" t="s">
        <v>1352</v>
      </c>
      <c r="D85" t="s">
        <v>708</v>
      </c>
      <c r="E85" t="s">
        <v>1353</v>
      </c>
      <c r="F85" t="str">
        <f t="shared" si="32"/>
        <v>Blue ammonia (CCS)CapExGlobal</v>
      </c>
      <c r="G85" s="525">
        <v>1541.2919999999999</v>
      </c>
      <c r="H85" s="525">
        <v>1498.0559999999998</v>
      </c>
      <c r="I85" s="525">
        <v>1454.82</v>
      </c>
      <c r="J85" s="525">
        <v>1409.94</v>
      </c>
      <c r="K85" s="525">
        <v>1365.0600000000002</v>
      </c>
      <c r="L85" s="525">
        <v>1320.18</v>
      </c>
      <c r="M85" s="525">
        <v>1275.3</v>
      </c>
      <c r="N85" s="525">
        <v>1230.42</v>
      </c>
      <c r="O85" s="525">
        <v>1217.1870000000001</v>
      </c>
      <c r="P85" s="525">
        <v>1203.9540000000002</v>
      </c>
      <c r="Q85" s="525">
        <v>1190.721</v>
      </c>
      <c r="R85" s="525">
        <v>1177.4880000000001</v>
      </c>
      <c r="S85" s="525">
        <v>1164.2550000000001</v>
      </c>
      <c r="T85" s="525">
        <v>1151.0220000000002</v>
      </c>
      <c r="U85" s="525">
        <v>1137.7890000000002</v>
      </c>
      <c r="V85" s="525">
        <v>1124.556</v>
      </c>
      <c r="W85" s="525">
        <v>1111.3230000000001</v>
      </c>
      <c r="X85" s="525">
        <v>1098.0900000000001</v>
      </c>
      <c r="Y85" s="525">
        <v>1084.857</v>
      </c>
      <c r="Z85" s="525">
        <v>1071.624</v>
      </c>
      <c r="AA85" s="525">
        <v>1058.3909999999998</v>
      </c>
      <c r="AB85" s="525">
        <v>1045.1579999999999</v>
      </c>
      <c r="AC85" s="525">
        <v>1031.925</v>
      </c>
      <c r="AD85" s="525">
        <v>1018.692</v>
      </c>
      <c r="AE85" s="525">
        <v>1005.4589999999998</v>
      </c>
      <c r="AF85" s="525">
        <v>992.22599999999989</v>
      </c>
      <c r="AG85" s="525">
        <v>978.99299999999994</v>
      </c>
      <c r="AH85" s="525">
        <v>965.76</v>
      </c>
      <c r="AI85" s="526">
        <f>AH85</f>
        <v>965.76</v>
      </c>
      <c r="AJ85" s="526">
        <f t="shared" ref="AJ85:CF93" si="40">AI85</f>
        <v>965.76</v>
      </c>
      <c r="AK85" s="526">
        <f t="shared" si="40"/>
        <v>965.76</v>
      </c>
      <c r="AL85" s="526">
        <f t="shared" si="40"/>
        <v>965.76</v>
      </c>
      <c r="AM85" s="526">
        <f t="shared" si="40"/>
        <v>965.76</v>
      </c>
      <c r="AN85" s="526">
        <f t="shared" si="40"/>
        <v>965.76</v>
      </c>
      <c r="AO85" s="526">
        <f t="shared" si="40"/>
        <v>965.76</v>
      </c>
      <c r="AP85" s="526">
        <f t="shared" si="40"/>
        <v>965.76</v>
      </c>
      <c r="AQ85" s="526">
        <f t="shared" si="40"/>
        <v>965.76</v>
      </c>
      <c r="AR85" s="526">
        <f t="shared" si="40"/>
        <v>965.76</v>
      </c>
      <c r="AS85" s="526">
        <f t="shared" si="40"/>
        <v>965.76</v>
      </c>
      <c r="AT85" s="526">
        <f t="shared" si="40"/>
        <v>965.76</v>
      </c>
      <c r="AU85" s="526">
        <f t="shared" si="40"/>
        <v>965.76</v>
      </c>
      <c r="AV85" s="526">
        <f t="shared" si="40"/>
        <v>965.76</v>
      </c>
      <c r="AW85" s="526">
        <f t="shared" si="40"/>
        <v>965.76</v>
      </c>
      <c r="AX85" s="526">
        <f t="shared" si="40"/>
        <v>965.76</v>
      </c>
      <c r="AY85" s="526">
        <f t="shared" si="40"/>
        <v>965.76</v>
      </c>
      <c r="AZ85" s="526">
        <f t="shared" si="40"/>
        <v>965.76</v>
      </c>
      <c r="BA85" s="526">
        <f t="shared" si="40"/>
        <v>965.76</v>
      </c>
      <c r="BB85" s="526">
        <f t="shared" si="40"/>
        <v>965.76</v>
      </c>
      <c r="BC85" s="526">
        <f t="shared" si="40"/>
        <v>965.76</v>
      </c>
      <c r="BD85" s="526">
        <f t="shared" si="40"/>
        <v>965.76</v>
      </c>
      <c r="BE85" s="526">
        <f t="shared" si="40"/>
        <v>965.76</v>
      </c>
      <c r="BF85" s="526">
        <f t="shared" si="40"/>
        <v>965.76</v>
      </c>
      <c r="BG85" s="526">
        <f t="shared" si="40"/>
        <v>965.76</v>
      </c>
      <c r="BH85" s="526">
        <f t="shared" si="40"/>
        <v>965.76</v>
      </c>
      <c r="BI85" s="526">
        <f t="shared" si="40"/>
        <v>965.76</v>
      </c>
      <c r="BJ85" s="526">
        <f t="shared" si="40"/>
        <v>965.76</v>
      </c>
      <c r="BK85" s="526">
        <f t="shared" si="40"/>
        <v>965.76</v>
      </c>
      <c r="BL85" s="526">
        <f t="shared" si="40"/>
        <v>965.76</v>
      </c>
      <c r="BM85" s="526">
        <f t="shared" si="40"/>
        <v>965.76</v>
      </c>
      <c r="BN85" s="526">
        <f t="shared" si="40"/>
        <v>965.76</v>
      </c>
      <c r="BO85" s="526">
        <f t="shared" si="40"/>
        <v>965.76</v>
      </c>
      <c r="BP85" s="526">
        <f t="shared" si="40"/>
        <v>965.76</v>
      </c>
      <c r="BQ85" s="526">
        <f t="shared" si="40"/>
        <v>965.76</v>
      </c>
      <c r="BR85" s="526">
        <f t="shared" si="40"/>
        <v>965.76</v>
      </c>
      <c r="BS85" s="526">
        <f t="shared" si="40"/>
        <v>965.76</v>
      </c>
      <c r="BT85" s="526">
        <f t="shared" si="40"/>
        <v>965.76</v>
      </c>
      <c r="BU85" s="526">
        <f t="shared" si="40"/>
        <v>965.76</v>
      </c>
      <c r="BV85" s="526">
        <f t="shared" si="40"/>
        <v>965.76</v>
      </c>
      <c r="BW85" s="526">
        <f t="shared" si="40"/>
        <v>965.76</v>
      </c>
      <c r="BX85" s="526">
        <f t="shared" si="40"/>
        <v>965.76</v>
      </c>
      <c r="BY85" s="526">
        <f t="shared" si="40"/>
        <v>965.76</v>
      </c>
      <c r="BZ85" s="526">
        <f t="shared" si="40"/>
        <v>965.76</v>
      </c>
      <c r="CA85" s="526">
        <f t="shared" si="40"/>
        <v>965.76</v>
      </c>
      <c r="CB85" s="526">
        <f t="shared" si="40"/>
        <v>965.76</v>
      </c>
      <c r="CC85" s="526">
        <f t="shared" si="40"/>
        <v>965.76</v>
      </c>
      <c r="CD85" s="526">
        <f t="shared" si="40"/>
        <v>965.76</v>
      </c>
      <c r="CE85" s="526">
        <f t="shared" si="40"/>
        <v>965.76</v>
      </c>
      <c r="CF85" s="526">
        <f t="shared" si="40"/>
        <v>965.76</v>
      </c>
    </row>
    <row r="86" spans="2:84">
      <c r="B86" t="s">
        <v>746</v>
      </c>
      <c r="C86" t="s">
        <v>1354</v>
      </c>
      <c r="D86" t="s">
        <v>838</v>
      </c>
      <c r="E86" t="s">
        <v>1353</v>
      </c>
      <c r="F86" t="str">
        <f t="shared" si="32"/>
        <v>Blue ammonia (CCS)OpExAfrica</v>
      </c>
      <c r="G86" s="525">
        <v>1023.4316336060517</v>
      </c>
      <c r="H86" s="525">
        <v>881.8780565367282</v>
      </c>
      <c r="I86" s="525">
        <v>740.29705342466468</v>
      </c>
      <c r="J86" s="525">
        <v>706.42899918541002</v>
      </c>
      <c r="K86" s="525">
        <v>672.56586861177175</v>
      </c>
      <c r="L86" s="525">
        <v>638.70766170374918</v>
      </c>
      <c r="M86" s="525">
        <v>604.85437846134232</v>
      </c>
      <c r="N86" s="525">
        <v>571.00601888455174</v>
      </c>
      <c r="O86" s="525">
        <v>569.4889719726749</v>
      </c>
      <c r="P86" s="525">
        <v>567.96765736446378</v>
      </c>
      <c r="Q86" s="525">
        <v>566.44207505991847</v>
      </c>
      <c r="R86" s="525">
        <v>564.91222505903897</v>
      </c>
      <c r="S86" s="525">
        <v>563.37810736182541</v>
      </c>
      <c r="T86" s="525">
        <v>562.12005912728387</v>
      </c>
      <c r="U86" s="525">
        <v>560.86000215820513</v>
      </c>
      <c r="V86" s="525">
        <v>559.59793645458899</v>
      </c>
      <c r="W86" s="525">
        <v>558.33386201643566</v>
      </c>
      <c r="X86" s="525">
        <v>557.06777884374526</v>
      </c>
      <c r="Y86" s="525">
        <v>555.79249741922899</v>
      </c>
      <c r="Z86" s="525">
        <v>554.51515047093937</v>
      </c>
      <c r="AA86" s="525">
        <v>553.2357379988764</v>
      </c>
      <c r="AB86" s="525">
        <v>551.95426000304019</v>
      </c>
      <c r="AC86" s="525">
        <v>550.67071648343062</v>
      </c>
      <c r="AD86" s="525">
        <v>549.52088312198885</v>
      </c>
      <c r="AE86" s="525">
        <v>548.37003594616135</v>
      </c>
      <c r="AF86" s="525">
        <v>547.21817495594803</v>
      </c>
      <c r="AG86" s="525">
        <v>546.06530015134911</v>
      </c>
      <c r="AH86" s="525">
        <v>544.91141153236447</v>
      </c>
      <c r="AI86" s="526">
        <f t="shared" ref="AI86:CA91" si="41">AH86</f>
        <v>544.91141153236447</v>
      </c>
      <c r="AJ86" s="526">
        <f t="shared" si="41"/>
        <v>544.91141153236447</v>
      </c>
      <c r="AK86" s="526">
        <f t="shared" si="41"/>
        <v>544.91141153236447</v>
      </c>
      <c r="AL86" s="526">
        <f t="shared" si="41"/>
        <v>544.91141153236447</v>
      </c>
      <c r="AM86" s="526">
        <f t="shared" si="41"/>
        <v>544.91141153236447</v>
      </c>
      <c r="AN86" s="526">
        <f t="shared" si="41"/>
        <v>544.91141153236447</v>
      </c>
      <c r="AO86" s="526">
        <f t="shared" si="41"/>
        <v>544.91141153236447</v>
      </c>
      <c r="AP86" s="526">
        <f t="shared" si="41"/>
        <v>544.91141153236447</v>
      </c>
      <c r="AQ86" s="526">
        <f t="shared" si="41"/>
        <v>544.91141153236447</v>
      </c>
      <c r="AR86" s="526">
        <f t="shared" si="41"/>
        <v>544.91141153236447</v>
      </c>
      <c r="AS86" s="526">
        <f t="shared" si="41"/>
        <v>544.91141153236447</v>
      </c>
      <c r="AT86" s="526">
        <f t="shared" si="41"/>
        <v>544.91141153236447</v>
      </c>
      <c r="AU86" s="526">
        <f t="shared" si="41"/>
        <v>544.91141153236447</v>
      </c>
      <c r="AV86" s="526">
        <f t="shared" si="41"/>
        <v>544.91141153236447</v>
      </c>
      <c r="AW86" s="526">
        <f t="shared" si="41"/>
        <v>544.91141153236447</v>
      </c>
      <c r="AX86" s="526">
        <f t="shared" si="41"/>
        <v>544.91141153236447</v>
      </c>
      <c r="AY86" s="526">
        <f t="shared" si="41"/>
        <v>544.91141153236447</v>
      </c>
      <c r="AZ86" s="526">
        <f t="shared" si="41"/>
        <v>544.91141153236447</v>
      </c>
      <c r="BA86" s="526">
        <f t="shared" si="41"/>
        <v>544.91141153236447</v>
      </c>
      <c r="BB86" s="526">
        <f t="shared" si="41"/>
        <v>544.91141153236447</v>
      </c>
      <c r="BC86" s="526">
        <f t="shared" si="41"/>
        <v>544.91141153236447</v>
      </c>
      <c r="BD86" s="526">
        <f t="shared" si="41"/>
        <v>544.91141153236447</v>
      </c>
      <c r="BE86" s="526">
        <f t="shared" si="41"/>
        <v>544.91141153236447</v>
      </c>
      <c r="BF86" s="526">
        <f t="shared" si="41"/>
        <v>544.91141153236447</v>
      </c>
      <c r="BG86" s="526">
        <f t="shared" si="41"/>
        <v>544.91141153236447</v>
      </c>
      <c r="BH86" s="526">
        <f t="shared" si="41"/>
        <v>544.91141153236447</v>
      </c>
      <c r="BI86" s="526">
        <f t="shared" si="41"/>
        <v>544.91141153236447</v>
      </c>
      <c r="BJ86" s="526">
        <f t="shared" si="41"/>
        <v>544.91141153236447</v>
      </c>
      <c r="BK86" s="526">
        <f t="shared" si="41"/>
        <v>544.91141153236447</v>
      </c>
      <c r="BL86" s="526">
        <f t="shared" si="41"/>
        <v>544.91141153236447</v>
      </c>
      <c r="BM86" s="526">
        <f t="shared" si="41"/>
        <v>544.91141153236447</v>
      </c>
      <c r="BN86" s="526">
        <f t="shared" si="41"/>
        <v>544.91141153236447</v>
      </c>
      <c r="BO86" s="526">
        <f t="shared" si="41"/>
        <v>544.91141153236447</v>
      </c>
      <c r="BP86" s="526">
        <f t="shared" si="41"/>
        <v>544.91141153236447</v>
      </c>
      <c r="BQ86" s="526">
        <f t="shared" si="41"/>
        <v>544.91141153236447</v>
      </c>
      <c r="BR86" s="526">
        <f t="shared" si="41"/>
        <v>544.91141153236447</v>
      </c>
      <c r="BS86" s="526">
        <f t="shared" si="41"/>
        <v>544.91141153236447</v>
      </c>
      <c r="BT86" s="526">
        <f t="shared" si="41"/>
        <v>544.91141153236447</v>
      </c>
      <c r="BU86" s="526">
        <f t="shared" si="41"/>
        <v>544.91141153236447</v>
      </c>
      <c r="BV86" s="526">
        <f t="shared" si="41"/>
        <v>544.91141153236447</v>
      </c>
      <c r="BW86" s="526">
        <f t="shared" si="41"/>
        <v>544.91141153236447</v>
      </c>
      <c r="BX86" s="526">
        <f t="shared" si="41"/>
        <v>544.91141153236447</v>
      </c>
      <c r="BY86" s="526">
        <f t="shared" si="41"/>
        <v>544.91141153236447</v>
      </c>
      <c r="BZ86" s="526">
        <f t="shared" si="41"/>
        <v>544.91141153236447</v>
      </c>
      <c r="CA86" s="526">
        <f t="shared" si="41"/>
        <v>544.91141153236447</v>
      </c>
      <c r="CB86" s="526">
        <f t="shared" si="40"/>
        <v>544.91141153236447</v>
      </c>
      <c r="CC86" s="526">
        <f t="shared" si="40"/>
        <v>544.91141153236447</v>
      </c>
      <c r="CD86" s="526">
        <f t="shared" si="40"/>
        <v>544.91141153236447</v>
      </c>
      <c r="CE86" s="526">
        <f t="shared" si="40"/>
        <v>544.91141153236447</v>
      </c>
      <c r="CF86" s="526">
        <f t="shared" si="40"/>
        <v>544.91141153236447</v>
      </c>
    </row>
    <row r="87" spans="2:84">
      <c r="B87" t="s">
        <v>746</v>
      </c>
      <c r="C87" t="s">
        <v>1354</v>
      </c>
      <c r="D87" t="s">
        <v>731</v>
      </c>
      <c r="E87" t="s">
        <v>1353</v>
      </c>
      <c r="F87" t="str">
        <f t="shared" si="32"/>
        <v>Blue ammonia (CCS)OpExAmericas</v>
      </c>
      <c r="G87" s="525">
        <v>473.98592892134025</v>
      </c>
      <c r="H87" s="525">
        <v>454.4092917992503</v>
      </c>
      <c r="I87" s="525">
        <v>434.82961571560929</v>
      </c>
      <c r="J87" s="525">
        <v>428.8008078634557</v>
      </c>
      <c r="K87" s="525">
        <v>422.77530826400061</v>
      </c>
      <c r="L87" s="525">
        <v>416.75311691724329</v>
      </c>
      <c r="M87" s="525">
        <v>410.73423382318424</v>
      </c>
      <c r="N87" s="525">
        <v>404.71865898182318</v>
      </c>
      <c r="O87" s="525">
        <v>407.24721354499957</v>
      </c>
      <c r="P87" s="525">
        <v>409.77329604198792</v>
      </c>
      <c r="Q87" s="525">
        <v>412.29690647278818</v>
      </c>
      <c r="R87" s="525">
        <v>414.81804483740029</v>
      </c>
      <c r="S87" s="525">
        <v>417.33671113582437</v>
      </c>
      <c r="T87" s="525">
        <v>416.07100260047929</v>
      </c>
      <c r="U87" s="525">
        <v>414.80329014747485</v>
      </c>
      <c r="V87" s="525">
        <v>413.53357377681101</v>
      </c>
      <c r="W87" s="525">
        <v>412.26185348848787</v>
      </c>
      <c r="X87" s="525">
        <v>410.98812928250527</v>
      </c>
      <c r="Y87" s="525">
        <v>409.86389110051107</v>
      </c>
      <c r="Z87" s="525">
        <v>408.73884560387205</v>
      </c>
      <c r="AA87" s="525">
        <v>407.61299279258833</v>
      </c>
      <c r="AB87" s="525">
        <v>406.48633266665991</v>
      </c>
      <c r="AC87" s="525">
        <v>405.35886522608666</v>
      </c>
      <c r="AD87" s="525">
        <v>404.2561849186377</v>
      </c>
      <c r="AE87" s="525">
        <v>403.15289554943138</v>
      </c>
      <c r="AF87" s="525">
        <v>402.0489971184677</v>
      </c>
      <c r="AG87" s="525">
        <v>400.94448962574688</v>
      </c>
      <c r="AH87" s="525">
        <v>399.8393730712686</v>
      </c>
      <c r="AI87" s="526">
        <f t="shared" si="41"/>
        <v>399.8393730712686</v>
      </c>
      <c r="AJ87" s="526">
        <f t="shared" si="41"/>
        <v>399.8393730712686</v>
      </c>
      <c r="AK87" s="526">
        <f t="shared" si="41"/>
        <v>399.8393730712686</v>
      </c>
      <c r="AL87" s="526">
        <f t="shared" si="41"/>
        <v>399.8393730712686</v>
      </c>
      <c r="AM87" s="526">
        <f t="shared" si="41"/>
        <v>399.8393730712686</v>
      </c>
      <c r="AN87" s="526">
        <f t="shared" si="41"/>
        <v>399.8393730712686</v>
      </c>
      <c r="AO87" s="526">
        <f t="shared" si="41"/>
        <v>399.8393730712686</v>
      </c>
      <c r="AP87" s="526">
        <f t="shared" si="41"/>
        <v>399.8393730712686</v>
      </c>
      <c r="AQ87" s="526">
        <f t="shared" si="41"/>
        <v>399.8393730712686</v>
      </c>
      <c r="AR87" s="526">
        <f t="shared" si="41"/>
        <v>399.8393730712686</v>
      </c>
      <c r="AS87" s="526">
        <f t="shared" si="41"/>
        <v>399.8393730712686</v>
      </c>
      <c r="AT87" s="526">
        <f t="shared" si="41"/>
        <v>399.8393730712686</v>
      </c>
      <c r="AU87" s="526">
        <f t="shared" si="41"/>
        <v>399.8393730712686</v>
      </c>
      <c r="AV87" s="526">
        <f t="shared" si="41"/>
        <v>399.8393730712686</v>
      </c>
      <c r="AW87" s="526">
        <f t="shared" si="41"/>
        <v>399.8393730712686</v>
      </c>
      <c r="AX87" s="526">
        <f t="shared" si="41"/>
        <v>399.8393730712686</v>
      </c>
      <c r="AY87" s="526">
        <f t="shared" si="41"/>
        <v>399.8393730712686</v>
      </c>
      <c r="AZ87" s="526">
        <f t="shared" si="41"/>
        <v>399.8393730712686</v>
      </c>
      <c r="BA87" s="526">
        <f t="shared" si="41"/>
        <v>399.8393730712686</v>
      </c>
      <c r="BB87" s="526">
        <f t="shared" si="41"/>
        <v>399.8393730712686</v>
      </c>
      <c r="BC87" s="526">
        <f t="shared" si="41"/>
        <v>399.8393730712686</v>
      </c>
      <c r="BD87" s="526">
        <f t="shared" si="41"/>
        <v>399.8393730712686</v>
      </c>
      <c r="BE87" s="526">
        <f t="shared" si="41"/>
        <v>399.8393730712686</v>
      </c>
      <c r="BF87" s="526">
        <f t="shared" si="41"/>
        <v>399.8393730712686</v>
      </c>
      <c r="BG87" s="526">
        <f t="shared" si="41"/>
        <v>399.8393730712686</v>
      </c>
      <c r="BH87" s="526">
        <f t="shared" si="41"/>
        <v>399.8393730712686</v>
      </c>
      <c r="BI87" s="526">
        <f t="shared" si="41"/>
        <v>399.8393730712686</v>
      </c>
      <c r="BJ87" s="526">
        <f t="shared" si="41"/>
        <v>399.8393730712686</v>
      </c>
      <c r="BK87" s="526">
        <f t="shared" si="41"/>
        <v>399.8393730712686</v>
      </c>
      <c r="BL87" s="526">
        <f t="shared" si="41"/>
        <v>399.8393730712686</v>
      </c>
      <c r="BM87" s="526">
        <f t="shared" si="41"/>
        <v>399.8393730712686</v>
      </c>
      <c r="BN87" s="526">
        <f t="shared" si="41"/>
        <v>399.8393730712686</v>
      </c>
      <c r="BO87" s="526">
        <f t="shared" si="41"/>
        <v>399.8393730712686</v>
      </c>
      <c r="BP87" s="526">
        <f t="shared" si="41"/>
        <v>399.8393730712686</v>
      </c>
      <c r="BQ87" s="526">
        <f t="shared" si="41"/>
        <v>399.8393730712686</v>
      </c>
      <c r="BR87" s="526">
        <f t="shared" si="41"/>
        <v>399.8393730712686</v>
      </c>
      <c r="BS87" s="526">
        <f t="shared" si="41"/>
        <v>399.8393730712686</v>
      </c>
      <c r="BT87" s="526">
        <f t="shared" si="41"/>
        <v>399.8393730712686</v>
      </c>
      <c r="BU87" s="526">
        <f t="shared" si="41"/>
        <v>399.8393730712686</v>
      </c>
      <c r="BV87" s="526">
        <f t="shared" si="41"/>
        <v>399.8393730712686</v>
      </c>
      <c r="BW87" s="526">
        <f t="shared" si="41"/>
        <v>399.8393730712686</v>
      </c>
      <c r="BX87" s="526">
        <f t="shared" si="41"/>
        <v>399.8393730712686</v>
      </c>
      <c r="BY87" s="526">
        <f t="shared" si="41"/>
        <v>399.8393730712686</v>
      </c>
      <c r="BZ87" s="526">
        <f t="shared" si="41"/>
        <v>399.8393730712686</v>
      </c>
      <c r="CA87" s="526">
        <f t="shared" si="41"/>
        <v>399.8393730712686</v>
      </c>
      <c r="CB87" s="526">
        <f t="shared" si="40"/>
        <v>399.8393730712686</v>
      </c>
      <c r="CC87" s="526">
        <f t="shared" si="40"/>
        <v>399.8393730712686</v>
      </c>
      <c r="CD87" s="526">
        <f t="shared" si="40"/>
        <v>399.8393730712686</v>
      </c>
      <c r="CE87" s="526">
        <f t="shared" si="40"/>
        <v>399.8393730712686</v>
      </c>
      <c r="CF87" s="526">
        <f t="shared" si="40"/>
        <v>399.8393730712686</v>
      </c>
    </row>
    <row r="88" spans="2:84">
      <c r="B88" t="s">
        <v>746</v>
      </c>
      <c r="C88" t="s">
        <v>1354</v>
      </c>
      <c r="D88" t="s">
        <v>750</v>
      </c>
      <c r="E88" t="s">
        <v>1353</v>
      </c>
      <c r="F88" t="str">
        <f t="shared" si="32"/>
        <v>Blue ammonia (CCS)OpExAsia</v>
      </c>
      <c r="G88" s="525">
        <v>997.82130975613882</v>
      </c>
      <c r="H88" s="525">
        <v>879.24291239584295</v>
      </c>
      <c r="I88" s="525">
        <v>760.64168825733668</v>
      </c>
      <c r="J88" s="525">
        <v>707.49585841406292</v>
      </c>
      <c r="K88" s="525">
        <v>654.35530149840429</v>
      </c>
      <c r="L88" s="525">
        <v>601.22001751035941</v>
      </c>
      <c r="M88" s="525">
        <v>548.09000644992864</v>
      </c>
      <c r="N88" s="525">
        <v>494.9652683171127</v>
      </c>
      <c r="O88" s="525">
        <v>493.30679900345399</v>
      </c>
      <c r="P88" s="525">
        <v>491.64276454751814</v>
      </c>
      <c r="Q88" s="525">
        <v>489.97316494930521</v>
      </c>
      <c r="R88" s="525">
        <v>488.29800020881464</v>
      </c>
      <c r="S88" s="525">
        <v>486.61727032604676</v>
      </c>
      <c r="T88" s="525">
        <v>485.27047431987103</v>
      </c>
      <c r="U88" s="525">
        <v>483.92084886053055</v>
      </c>
      <c r="V88" s="525">
        <v>482.56839394802535</v>
      </c>
      <c r="W88" s="525">
        <v>481.21310958235512</v>
      </c>
      <c r="X88" s="525">
        <v>479.85499576352038</v>
      </c>
      <c r="Y88" s="525">
        <v>478.47731407373101</v>
      </c>
      <c r="Z88" s="525">
        <v>477.09667071578644</v>
      </c>
      <c r="AA88" s="525">
        <v>475.71306568968657</v>
      </c>
      <c r="AB88" s="525">
        <v>474.32649899543162</v>
      </c>
      <c r="AC88" s="525">
        <v>472.93697063302125</v>
      </c>
      <c r="AD88" s="525">
        <v>471.75149069609819</v>
      </c>
      <c r="AE88" s="525">
        <v>470.56465257741513</v>
      </c>
      <c r="AF88" s="525">
        <v>469.37645627697225</v>
      </c>
      <c r="AG88" s="525">
        <v>468.1869017947696</v>
      </c>
      <c r="AH88" s="525">
        <v>466.99598913080683</v>
      </c>
      <c r="AI88" s="526">
        <f t="shared" si="41"/>
        <v>466.99598913080683</v>
      </c>
      <c r="AJ88" s="526">
        <f t="shared" si="41"/>
        <v>466.99598913080683</v>
      </c>
      <c r="AK88" s="526">
        <f t="shared" si="41"/>
        <v>466.99598913080683</v>
      </c>
      <c r="AL88" s="526">
        <f t="shared" si="41"/>
        <v>466.99598913080683</v>
      </c>
      <c r="AM88" s="526">
        <f t="shared" si="41"/>
        <v>466.99598913080683</v>
      </c>
      <c r="AN88" s="526">
        <f t="shared" si="41"/>
        <v>466.99598913080683</v>
      </c>
      <c r="AO88" s="526">
        <f t="shared" si="41"/>
        <v>466.99598913080683</v>
      </c>
      <c r="AP88" s="526">
        <f t="shared" si="41"/>
        <v>466.99598913080683</v>
      </c>
      <c r="AQ88" s="526">
        <f t="shared" si="41"/>
        <v>466.99598913080683</v>
      </c>
      <c r="AR88" s="526">
        <f t="shared" si="41"/>
        <v>466.99598913080683</v>
      </c>
      <c r="AS88" s="526">
        <f t="shared" si="41"/>
        <v>466.99598913080683</v>
      </c>
      <c r="AT88" s="526">
        <f t="shared" si="41"/>
        <v>466.99598913080683</v>
      </c>
      <c r="AU88" s="526">
        <f t="shared" si="41"/>
        <v>466.99598913080683</v>
      </c>
      <c r="AV88" s="526">
        <f t="shared" si="41"/>
        <v>466.99598913080683</v>
      </c>
      <c r="AW88" s="526">
        <f t="shared" si="41"/>
        <v>466.99598913080683</v>
      </c>
      <c r="AX88" s="526">
        <f t="shared" si="41"/>
        <v>466.99598913080683</v>
      </c>
      <c r="AY88" s="526">
        <f t="shared" si="41"/>
        <v>466.99598913080683</v>
      </c>
      <c r="AZ88" s="526">
        <f t="shared" si="41"/>
        <v>466.99598913080683</v>
      </c>
      <c r="BA88" s="526">
        <f t="shared" si="41"/>
        <v>466.99598913080683</v>
      </c>
      <c r="BB88" s="526">
        <f t="shared" si="41"/>
        <v>466.99598913080683</v>
      </c>
      <c r="BC88" s="526">
        <f t="shared" si="41"/>
        <v>466.99598913080683</v>
      </c>
      <c r="BD88" s="526">
        <f t="shared" si="41"/>
        <v>466.99598913080683</v>
      </c>
      <c r="BE88" s="526">
        <f t="shared" si="41"/>
        <v>466.99598913080683</v>
      </c>
      <c r="BF88" s="526">
        <f t="shared" si="41"/>
        <v>466.99598913080683</v>
      </c>
      <c r="BG88" s="526">
        <f t="shared" si="41"/>
        <v>466.99598913080683</v>
      </c>
      <c r="BH88" s="526">
        <f t="shared" si="41"/>
        <v>466.99598913080683</v>
      </c>
      <c r="BI88" s="526">
        <f t="shared" si="41"/>
        <v>466.99598913080683</v>
      </c>
      <c r="BJ88" s="526">
        <f t="shared" si="41"/>
        <v>466.99598913080683</v>
      </c>
      <c r="BK88" s="526">
        <f t="shared" si="41"/>
        <v>466.99598913080683</v>
      </c>
      <c r="BL88" s="526">
        <f t="shared" si="41"/>
        <v>466.99598913080683</v>
      </c>
      <c r="BM88" s="526">
        <f t="shared" si="41"/>
        <v>466.99598913080683</v>
      </c>
      <c r="BN88" s="526">
        <f t="shared" si="41"/>
        <v>466.99598913080683</v>
      </c>
      <c r="BO88" s="526">
        <f t="shared" si="41"/>
        <v>466.99598913080683</v>
      </c>
      <c r="BP88" s="526">
        <f t="shared" si="41"/>
        <v>466.99598913080683</v>
      </c>
      <c r="BQ88" s="526">
        <f t="shared" si="41"/>
        <v>466.99598913080683</v>
      </c>
      <c r="BR88" s="526">
        <f t="shared" si="41"/>
        <v>466.99598913080683</v>
      </c>
      <c r="BS88" s="526">
        <f t="shared" si="41"/>
        <v>466.99598913080683</v>
      </c>
      <c r="BT88" s="526">
        <f t="shared" si="41"/>
        <v>466.99598913080683</v>
      </c>
      <c r="BU88" s="526">
        <f t="shared" si="41"/>
        <v>466.99598913080683</v>
      </c>
      <c r="BV88" s="526">
        <f t="shared" si="41"/>
        <v>466.99598913080683</v>
      </c>
      <c r="BW88" s="526">
        <f t="shared" si="41"/>
        <v>466.99598913080683</v>
      </c>
      <c r="BX88" s="526">
        <f t="shared" si="41"/>
        <v>466.99598913080683</v>
      </c>
      <c r="BY88" s="526">
        <f t="shared" si="41"/>
        <v>466.99598913080683</v>
      </c>
      <c r="BZ88" s="526">
        <f t="shared" si="41"/>
        <v>466.99598913080683</v>
      </c>
      <c r="CA88" s="526">
        <f t="shared" si="41"/>
        <v>466.99598913080683</v>
      </c>
      <c r="CB88" s="526">
        <f t="shared" si="40"/>
        <v>466.99598913080683</v>
      </c>
      <c r="CC88" s="526">
        <f t="shared" si="40"/>
        <v>466.99598913080683</v>
      </c>
      <c r="CD88" s="526">
        <f t="shared" si="40"/>
        <v>466.99598913080683</v>
      </c>
      <c r="CE88" s="526">
        <f t="shared" si="40"/>
        <v>466.99598913080683</v>
      </c>
      <c r="CF88" s="526">
        <f t="shared" si="40"/>
        <v>466.99598913080683</v>
      </c>
    </row>
    <row r="89" spans="2:84">
      <c r="B89" t="s">
        <v>746</v>
      </c>
      <c r="C89" t="s">
        <v>1354</v>
      </c>
      <c r="D89" t="s">
        <v>720</v>
      </c>
      <c r="E89" t="s">
        <v>1353</v>
      </c>
      <c r="F89" t="str">
        <f t="shared" si="32"/>
        <v>Blue ammonia (CCS)OpExEurope</v>
      </c>
      <c r="G89" s="525">
        <v>1018.5416658283707</v>
      </c>
      <c r="H89" s="525">
        <v>879.30115512476345</v>
      </c>
      <c r="I89" s="525">
        <v>740.05230973729806</v>
      </c>
      <c r="J89" s="525">
        <v>706.29638934586035</v>
      </c>
      <c r="K89" s="525">
        <v>672.54480595627354</v>
      </c>
      <c r="L89" s="525">
        <v>638.79755956853739</v>
      </c>
      <c r="M89" s="525">
        <v>605.05465018265181</v>
      </c>
      <c r="N89" s="525">
        <v>571.31607779861724</v>
      </c>
      <c r="O89" s="525">
        <v>569.97900510898285</v>
      </c>
      <c r="P89" s="525">
        <v>568.63913424641123</v>
      </c>
      <c r="Q89" s="525">
        <v>567.2964652109024</v>
      </c>
      <c r="R89" s="525">
        <v>565.950998002456</v>
      </c>
      <c r="S89" s="525">
        <v>564.60273262107262</v>
      </c>
      <c r="T89" s="525">
        <v>563.39159448116015</v>
      </c>
      <c r="U89" s="525">
        <v>562.1787856897804</v>
      </c>
      <c r="V89" s="525">
        <v>560.96430624693289</v>
      </c>
      <c r="W89" s="525">
        <v>559.74815615261809</v>
      </c>
      <c r="X89" s="525">
        <v>558.53033540683555</v>
      </c>
      <c r="Y89" s="525">
        <v>557.29607688117324</v>
      </c>
      <c r="Z89" s="525">
        <v>556.06003106005903</v>
      </c>
      <c r="AA89" s="525">
        <v>554.82219794349317</v>
      </c>
      <c r="AB89" s="525">
        <v>553.58257753147541</v>
      </c>
      <c r="AC89" s="525">
        <v>552.34116982400587</v>
      </c>
      <c r="AD89" s="525">
        <v>551.16036212266533</v>
      </c>
      <c r="AE89" s="525">
        <v>549.97825037375492</v>
      </c>
      <c r="AF89" s="525">
        <v>548.79483457727486</v>
      </c>
      <c r="AG89" s="525">
        <v>547.61011473322526</v>
      </c>
      <c r="AH89" s="525">
        <v>546.42409084160579</v>
      </c>
      <c r="AI89" s="526">
        <f t="shared" si="41"/>
        <v>546.42409084160579</v>
      </c>
      <c r="AJ89" s="526">
        <f t="shared" si="41"/>
        <v>546.42409084160579</v>
      </c>
      <c r="AK89" s="526">
        <f t="shared" si="41"/>
        <v>546.42409084160579</v>
      </c>
      <c r="AL89" s="526">
        <f t="shared" si="41"/>
        <v>546.42409084160579</v>
      </c>
      <c r="AM89" s="526">
        <f t="shared" si="41"/>
        <v>546.42409084160579</v>
      </c>
      <c r="AN89" s="526">
        <f t="shared" si="41"/>
        <v>546.42409084160579</v>
      </c>
      <c r="AO89" s="526">
        <f t="shared" si="41"/>
        <v>546.42409084160579</v>
      </c>
      <c r="AP89" s="526">
        <f t="shared" si="41"/>
        <v>546.42409084160579</v>
      </c>
      <c r="AQ89" s="526">
        <f t="shared" si="41"/>
        <v>546.42409084160579</v>
      </c>
      <c r="AR89" s="526">
        <f t="shared" si="41"/>
        <v>546.42409084160579</v>
      </c>
      <c r="AS89" s="526">
        <f t="shared" si="41"/>
        <v>546.42409084160579</v>
      </c>
      <c r="AT89" s="526">
        <f t="shared" si="41"/>
        <v>546.42409084160579</v>
      </c>
      <c r="AU89" s="526">
        <f t="shared" si="41"/>
        <v>546.42409084160579</v>
      </c>
      <c r="AV89" s="526">
        <f t="shared" si="41"/>
        <v>546.42409084160579</v>
      </c>
      <c r="AW89" s="526">
        <f t="shared" si="41"/>
        <v>546.42409084160579</v>
      </c>
      <c r="AX89" s="526">
        <f t="shared" si="41"/>
        <v>546.42409084160579</v>
      </c>
      <c r="AY89" s="526">
        <f t="shared" si="41"/>
        <v>546.42409084160579</v>
      </c>
      <c r="AZ89" s="526">
        <f t="shared" si="41"/>
        <v>546.42409084160579</v>
      </c>
      <c r="BA89" s="526">
        <f t="shared" si="41"/>
        <v>546.42409084160579</v>
      </c>
      <c r="BB89" s="526">
        <f t="shared" si="41"/>
        <v>546.42409084160579</v>
      </c>
      <c r="BC89" s="526">
        <f t="shared" si="41"/>
        <v>546.42409084160579</v>
      </c>
      <c r="BD89" s="526">
        <f t="shared" si="41"/>
        <v>546.42409084160579</v>
      </c>
      <c r="BE89" s="526">
        <f t="shared" si="41"/>
        <v>546.42409084160579</v>
      </c>
      <c r="BF89" s="526">
        <f t="shared" si="41"/>
        <v>546.42409084160579</v>
      </c>
      <c r="BG89" s="526">
        <f t="shared" si="41"/>
        <v>546.42409084160579</v>
      </c>
      <c r="BH89" s="526">
        <f t="shared" si="41"/>
        <v>546.42409084160579</v>
      </c>
      <c r="BI89" s="526">
        <f t="shared" si="41"/>
        <v>546.42409084160579</v>
      </c>
      <c r="BJ89" s="526">
        <f t="shared" si="41"/>
        <v>546.42409084160579</v>
      </c>
      <c r="BK89" s="526">
        <f t="shared" si="41"/>
        <v>546.42409084160579</v>
      </c>
      <c r="BL89" s="526">
        <f t="shared" si="41"/>
        <v>546.42409084160579</v>
      </c>
      <c r="BM89" s="526">
        <f t="shared" si="41"/>
        <v>546.42409084160579</v>
      </c>
      <c r="BN89" s="526">
        <f t="shared" si="41"/>
        <v>546.42409084160579</v>
      </c>
      <c r="BO89" s="526">
        <f t="shared" si="41"/>
        <v>546.42409084160579</v>
      </c>
      <c r="BP89" s="526">
        <f t="shared" si="41"/>
        <v>546.42409084160579</v>
      </c>
      <c r="BQ89" s="526">
        <f t="shared" si="41"/>
        <v>546.42409084160579</v>
      </c>
      <c r="BR89" s="526">
        <f t="shared" si="41"/>
        <v>546.42409084160579</v>
      </c>
      <c r="BS89" s="526">
        <f t="shared" si="41"/>
        <v>546.42409084160579</v>
      </c>
      <c r="BT89" s="526">
        <f t="shared" si="41"/>
        <v>546.42409084160579</v>
      </c>
      <c r="BU89" s="526">
        <f t="shared" si="41"/>
        <v>546.42409084160579</v>
      </c>
      <c r="BV89" s="526">
        <f t="shared" si="41"/>
        <v>546.42409084160579</v>
      </c>
      <c r="BW89" s="526">
        <f t="shared" si="41"/>
        <v>546.42409084160579</v>
      </c>
      <c r="BX89" s="526">
        <f t="shared" si="41"/>
        <v>546.42409084160579</v>
      </c>
      <c r="BY89" s="526">
        <f t="shared" si="41"/>
        <v>546.42409084160579</v>
      </c>
      <c r="BZ89" s="526">
        <f t="shared" si="41"/>
        <v>546.42409084160579</v>
      </c>
      <c r="CA89" s="526">
        <f t="shared" si="41"/>
        <v>546.42409084160579</v>
      </c>
      <c r="CB89" s="526">
        <f t="shared" si="40"/>
        <v>546.42409084160579</v>
      </c>
      <c r="CC89" s="526">
        <f t="shared" si="40"/>
        <v>546.42409084160579</v>
      </c>
      <c r="CD89" s="526">
        <f t="shared" si="40"/>
        <v>546.42409084160579</v>
      </c>
      <c r="CE89" s="526">
        <f t="shared" si="40"/>
        <v>546.42409084160579</v>
      </c>
      <c r="CF89" s="526">
        <f t="shared" si="40"/>
        <v>546.42409084160579</v>
      </c>
    </row>
    <row r="90" spans="2:84">
      <c r="B90" t="s">
        <v>746</v>
      </c>
      <c r="C90" t="s">
        <v>1354</v>
      </c>
      <c r="D90" t="s">
        <v>826</v>
      </c>
      <c r="E90" t="s">
        <v>1353</v>
      </c>
      <c r="F90" t="str">
        <f t="shared" si="32"/>
        <v>Blue ammonia (CCS)OpExMiddle East</v>
      </c>
      <c r="G90" s="525">
        <v>856.22811096916325</v>
      </c>
      <c r="H90" s="525">
        <v>739.58495584584819</v>
      </c>
      <c r="I90" s="525">
        <v>622.93526626744222</v>
      </c>
      <c r="J90" s="525">
        <v>569.64749186608879</v>
      </c>
      <c r="K90" s="525">
        <v>516.36250367148909</v>
      </c>
      <c r="L90" s="525">
        <v>463.08030168364246</v>
      </c>
      <c r="M90" s="525">
        <v>409.80088590254911</v>
      </c>
      <c r="N90" s="525">
        <v>356.52425632820922</v>
      </c>
      <c r="O90" s="525">
        <v>355.1416565566567</v>
      </c>
      <c r="P90" s="525">
        <v>353.75600616890529</v>
      </c>
      <c r="Q90" s="525">
        <v>352.36730516495481</v>
      </c>
      <c r="R90" s="525">
        <v>350.97555354480534</v>
      </c>
      <c r="S90" s="525">
        <v>349.58075130845697</v>
      </c>
      <c r="T90" s="525">
        <v>348.37166315779473</v>
      </c>
      <c r="U90" s="525">
        <v>347.16104546024764</v>
      </c>
      <c r="V90" s="525">
        <v>345.94889821581569</v>
      </c>
      <c r="W90" s="525">
        <v>344.73522142449877</v>
      </c>
      <c r="X90" s="525">
        <v>343.52001508629695</v>
      </c>
      <c r="Y90" s="525">
        <v>342.24298027075776</v>
      </c>
      <c r="Z90" s="525">
        <v>340.96393961346439</v>
      </c>
      <c r="AA90" s="525">
        <v>339.6828931144168</v>
      </c>
      <c r="AB90" s="525">
        <v>338.39984077361515</v>
      </c>
      <c r="AC90" s="525">
        <v>337.11478259105917</v>
      </c>
      <c r="AD90" s="525">
        <v>335.96547406198988</v>
      </c>
      <c r="AE90" s="525">
        <v>334.81522673605593</v>
      </c>
      <c r="AF90" s="525">
        <v>333.66404061325733</v>
      </c>
      <c r="AG90" s="525">
        <v>332.51191569359412</v>
      </c>
      <c r="AH90" s="525">
        <v>331.35885197706625</v>
      </c>
      <c r="AI90" s="526">
        <f t="shared" si="41"/>
        <v>331.35885197706625</v>
      </c>
      <c r="AJ90" s="526">
        <f t="shared" si="41"/>
        <v>331.35885197706625</v>
      </c>
      <c r="AK90" s="526">
        <f t="shared" si="41"/>
        <v>331.35885197706625</v>
      </c>
      <c r="AL90" s="526">
        <f t="shared" si="41"/>
        <v>331.35885197706625</v>
      </c>
      <c r="AM90" s="526">
        <f t="shared" si="41"/>
        <v>331.35885197706625</v>
      </c>
      <c r="AN90" s="526">
        <f t="shared" si="41"/>
        <v>331.35885197706625</v>
      </c>
      <c r="AO90" s="526">
        <f t="shared" si="41"/>
        <v>331.35885197706625</v>
      </c>
      <c r="AP90" s="526">
        <f t="shared" si="41"/>
        <v>331.35885197706625</v>
      </c>
      <c r="AQ90" s="526">
        <f t="shared" si="41"/>
        <v>331.35885197706625</v>
      </c>
      <c r="AR90" s="526">
        <f t="shared" si="41"/>
        <v>331.35885197706625</v>
      </c>
      <c r="AS90" s="526">
        <f t="shared" si="41"/>
        <v>331.35885197706625</v>
      </c>
      <c r="AT90" s="526">
        <f t="shared" si="41"/>
        <v>331.35885197706625</v>
      </c>
      <c r="AU90" s="526">
        <f t="shared" si="41"/>
        <v>331.35885197706625</v>
      </c>
      <c r="AV90" s="526">
        <f t="shared" si="41"/>
        <v>331.35885197706625</v>
      </c>
      <c r="AW90" s="526">
        <f t="shared" si="41"/>
        <v>331.35885197706625</v>
      </c>
      <c r="AX90" s="526">
        <f t="shared" si="41"/>
        <v>331.35885197706625</v>
      </c>
      <c r="AY90" s="526">
        <f t="shared" si="41"/>
        <v>331.35885197706625</v>
      </c>
      <c r="AZ90" s="526">
        <f t="shared" si="41"/>
        <v>331.35885197706625</v>
      </c>
      <c r="BA90" s="526">
        <f t="shared" si="41"/>
        <v>331.35885197706625</v>
      </c>
      <c r="BB90" s="526">
        <f t="shared" si="41"/>
        <v>331.35885197706625</v>
      </c>
      <c r="BC90" s="526">
        <f t="shared" si="41"/>
        <v>331.35885197706625</v>
      </c>
      <c r="BD90" s="526">
        <f t="shared" si="41"/>
        <v>331.35885197706625</v>
      </c>
      <c r="BE90" s="526">
        <f t="shared" si="41"/>
        <v>331.35885197706625</v>
      </c>
      <c r="BF90" s="526">
        <f t="shared" si="41"/>
        <v>331.35885197706625</v>
      </c>
      <c r="BG90" s="526">
        <f t="shared" si="41"/>
        <v>331.35885197706625</v>
      </c>
      <c r="BH90" s="526">
        <f t="shared" si="41"/>
        <v>331.35885197706625</v>
      </c>
      <c r="BI90" s="526">
        <f t="shared" si="41"/>
        <v>331.35885197706625</v>
      </c>
      <c r="BJ90" s="526">
        <f t="shared" si="41"/>
        <v>331.35885197706625</v>
      </c>
      <c r="BK90" s="526">
        <f t="shared" si="41"/>
        <v>331.35885197706625</v>
      </c>
      <c r="BL90" s="526">
        <f t="shared" si="41"/>
        <v>331.35885197706625</v>
      </c>
      <c r="BM90" s="526">
        <f t="shared" si="41"/>
        <v>331.35885197706625</v>
      </c>
      <c r="BN90" s="526">
        <f t="shared" si="41"/>
        <v>331.35885197706625</v>
      </c>
      <c r="BO90" s="526">
        <f t="shared" si="41"/>
        <v>331.35885197706625</v>
      </c>
      <c r="BP90" s="526">
        <f t="shared" si="41"/>
        <v>331.35885197706625</v>
      </c>
      <c r="BQ90" s="526">
        <f t="shared" si="41"/>
        <v>331.35885197706625</v>
      </c>
      <c r="BR90" s="526">
        <f t="shared" si="41"/>
        <v>331.35885197706625</v>
      </c>
      <c r="BS90" s="526">
        <f t="shared" si="41"/>
        <v>331.35885197706625</v>
      </c>
      <c r="BT90" s="526">
        <f t="shared" si="41"/>
        <v>331.35885197706625</v>
      </c>
      <c r="BU90" s="526">
        <f t="shared" si="41"/>
        <v>331.35885197706625</v>
      </c>
      <c r="BV90" s="526">
        <f t="shared" si="41"/>
        <v>331.35885197706625</v>
      </c>
      <c r="BW90" s="526">
        <f t="shared" si="41"/>
        <v>331.35885197706625</v>
      </c>
      <c r="BX90" s="526">
        <f t="shared" si="41"/>
        <v>331.35885197706625</v>
      </c>
      <c r="BY90" s="526">
        <f t="shared" si="41"/>
        <v>331.35885197706625</v>
      </c>
      <c r="BZ90" s="526">
        <f t="shared" si="41"/>
        <v>331.35885197706625</v>
      </c>
      <c r="CA90" s="526">
        <f t="shared" si="41"/>
        <v>331.35885197706625</v>
      </c>
      <c r="CB90" s="526">
        <f t="shared" si="40"/>
        <v>331.35885197706625</v>
      </c>
      <c r="CC90" s="526">
        <f t="shared" si="40"/>
        <v>331.35885197706625</v>
      </c>
      <c r="CD90" s="526">
        <f t="shared" si="40"/>
        <v>331.35885197706625</v>
      </c>
      <c r="CE90" s="526">
        <f t="shared" si="40"/>
        <v>331.35885197706625</v>
      </c>
      <c r="CF90" s="526">
        <f t="shared" si="40"/>
        <v>331.35885197706625</v>
      </c>
    </row>
    <row r="91" spans="2:84">
      <c r="B91" t="s">
        <v>746</v>
      </c>
      <c r="C91" t="s">
        <v>1355</v>
      </c>
      <c r="D91" t="s">
        <v>708</v>
      </c>
      <c r="E91" t="s">
        <v>1356</v>
      </c>
      <c r="F91" t="str">
        <f t="shared" si="32"/>
        <v>Blue ammonia (CCS)Total emissions - WTT - GWP100Global</v>
      </c>
      <c r="G91" s="527">
        <v>0.40388321999999938</v>
      </c>
      <c r="H91" s="527">
        <v>0.40011795999999977</v>
      </c>
      <c r="I91" s="527">
        <v>0.39635269999999934</v>
      </c>
      <c r="J91" s="527">
        <v>0.39258743999999973</v>
      </c>
      <c r="K91" s="527">
        <v>0.38882217999999846</v>
      </c>
      <c r="L91" s="527">
        <v>0.38505691999999891</v>
      </c>
      <c r="M91" s="527">
        <v>0.38129165999999931</v>
      </c>
      <c r="N91" s="527">
        <v>0.3775263999999981</v>
      </c>
      <c r="O91" s="527">
        <v>0.37376114000000016</v>
      </c>
      <c r="P91" s="527">
        <v>0.36999588000000061</v>
      </c>
      <c r="Q91" s="527">
        <v>0.36623062000000095</v>
      </c>
      <c r="R91" s="527">
        <v>0.3624653600000014</v>
      </c>
      <c r="S91" s="527">
        <v>0.35870010000000013</v>
      </c>
      <c r="T91" s="527">
        <v>0.35493484000000058</v>
      </c>
      <c r="U91" s="527">
        <v>0.35116957999999932</v>
      </c>
      <c r="V91" s="527">
        <v>0.34740431999999977</v>
      </c>
      <c r="W91" s="527">
        <v>0.34363906000000011</v>
      </c>
      <c r="X91" s="527">
        <v>0.33987379999999967</v>
      </c>
      <c r="Y91" s="527">
        <v>0.33610854000000012</v>
      </c>
      <c r="Z91" s="527">
        <v>0.33234328000000057</v>
      </c>
      <c r="AA91" s="527">
        <v>0.32857801999999925</v>
      </c>
      <c r="AB91" s="527">
        <v>0.3248127599999997</v>
      </c>
      <c r="AC91" s="527">
        <v>0.32104750000000015</v>
      </c>
      <c r="AD91" s="527">
        <v>0.31728223999999883</v>
      </c>
      <c r="AE91" s="527">
        <v>0.31351697999999928</v>
      </c>
      <c r="AF91" s="527">
        <v>0.30975171999999968</v>
      </c>
      <c r="AG91" s="527">
        <v>0.30598646000000007</v>
      </c>
      <c r="AH91" s="527">
        <v>0.30222120000000052</v>
      </c>
      <c r="AI91" s="528">
        <f t="shared" si="41"/>
        <v>0.30222120000000052</v>
      </c>
      <c r="AJ91" s="528">
        <f t="shared" si="41"/>
        <v>0.30222120000000052</v>
      </c>
      <c r="AK91" s="528">
        <f t="shared" si="41"/>
        <v>0.30222120000000052</v>
      </c>
      <c r="AL91" s="528">
        <f t="shared" si="41"/>
        <v>0.30222120000000052</v>
      </c>
      <c r="AM91" s="528">
        <f t="shared" si="41"/>
        <v>0.30222120000000052</v>
      </c>
      <c r="AN91" s="528">
        <f t="shared" si="41"/>
        <v>0.30222120000000052</v>
      </c>
      <c r="AO91" s="528">
        <f t="shared" si="41"/>
        <v>0.30222120000000052</v>
      </c>
      <c r="AP91" s="528">
        <f t="shared" si="41"/>
        <v>0.30222120000000052</v>
      </c>
      <c r="AQ91" s="528">
        <f t="shared" si="41"/>
        <v>0.30222120000000052</v>
      </c>
      <c r="AR91" s="528">
        <f t="shared" si="41"/>
        <v>0.30222120000000052</v>
      </c>
      <c r="AS91" s="528">
        <f t="shared" si="41"/>
        <v>0.30222120000000052</v>
      </c>
      <c r="AT91" s="528">
        <f t="shared" si="41"/>
        <v>0.30222120000000052</v>
      </c>
      <c r="AU91" s="528">
        <f t="shared" si="41"/>
        <v>0.30222120000000052</v>
      </c>
      <c r="AV91" s="528">
        <f t="shared" si="41"/>
        <v>0.30222120000000052</v>
      </c>
      <c r="AW91" s="528">
        <f t="shared" si="41"/>
        <v>0.30222120000000052</v>
      </c>
      <c r="AX91" s="528">
        <f t="shared" si="41"/>
        <v>0.30222120000000052</v>
      </c>
      <c r="AY91" s="528">
        <f t="shared" si="41"/>
        <v>0.30222120000000052</v>
      </c>
      <c r="AZ91" s="528">
        <f t="shared" si="41"/>
        <v>0.30222120000000052</v>
      </c>
      <c r="BA91" s="528">
        <f t="shared" si="41"/>
        <v>0.30222120000000052</v>
      </c>
      <c r="BB91" s="528">
        <f t="shared" si="41"/>
        <v>0.30222120000000052</v>
      </c>
      <c r="BC91" s="528">
        <f t="shared" si="41"/>
        <v>0.30222120000000052</v>
      </c>
      <c r="BD91" s="528">
        <f t="shared" si="41"/>
        <v>0.30222120000000052</v>
      </c>
      <c r="BE91" s="528">
        <f t="shared" si="41"/>
        <v>0.30222120000000052</v>
      </c>
      <c r="BF91" s="528">
        <f t="shared" si="41"/>
        <v>0.30222120000000052</v>
      </c>
      <c r="BG91" s="528">
        <f t="shared" si="41"/>
        <v>0.30222120000000052</v>
      </c>
      <c r="BH91" s="528">
        <f t="shared" si="41"/>
        <v>0.30222120000000052</v>
      </c>
      <c r="BI91" s="528">
        <f t="shared" si="41"/>
        <v>0.30222120000000052</v>
      </c>
      <c r="BJ91" s="528">
        <f t="shared" si="41"/>
        <v>0.30222120000000052</v>
      </c>
      <c r="BK91" s="528">
        <f t="shared" si="41"/>
        <v>0.30222120000000052</v>
      </c>
      <c r="BL91" s="528">
        <f t="shared" si="41"/>
        <v>0.30222120000000052</v>
      </c>
      <c r="BM91" s="528">
        <f t="shared" ref="BM91:CA91" si="42">BL91</f>
        <v>0.30222120000000052</v>
      </c>
      <c r="BN91" s="528">
        <f t="shared" si="42"/>
        <v>0.30222120000000052</v>
      </c>
      <c r="BO91" s="528">
        <f t="shared" si="42"/>
        <v>0.30222120000000052</v>
      </c>
      <c r="BP91" s="528">
        <f t="shared" si="42"/>
        <v>0.30222120000000052</v>
      </c>
      <c r="BQ91" s="528">
        <f t="shared" si="42"/>
        <v>0.30222120000000052</v>
      </c>
      <c r="BR91" s="528">
        <f t="shared" si="42"/>
        <v>0.30222120000000052</v>
      </c>
      <c r="BS91" s="528">
        <f t="shared" si="42"/>
        <v>0.30222120000000052</v>
      </c>
      <c r="BT91" s="528">
        <f t="shared" si="42"/>
        <v>0.30222120000000052</v>
      </c>
      <c r="BU91" s="528">
        <f t="shared" si="42"/>
        <v>0.30222120000000052</v>
      </c>
      <c r="BV91" s="528">
        <f t="shared" si="42"/>
        <v>0.30222120000000052</v>
      </c>
      <c r="BW91" s="528">
        <f t="shared" si="42"/>
        <v>0.30222120000000052</v>
      </c>
      <c r="BX91" s="528">
        <f t="shared" si="42"/>
        <v>0.30222120000000052</v>
      </c>
      <c r="BY91" s="528">
        <f t="shared" si="42"/>
        <v>0.30222120000000052</v>
      </c>
      <c r="BZ91" s="528">
        <f t="shared" si="42"/>
        <v>0.30222120000000052</v>
      </c>
      <c r="CA91" s="528">
        <f t="shared" si="42"/>
        <v>0.30222120000000052</v>
      </c>
      <c r="CB91" s="528">
        <f t="shared" si="40"/>
        <v>0.30222120000000052</v>
      </c>
      <c r="CC91" s="528">
        <f t="shared" si="40"/>
        <v>0.30222120000000052</v>
      </c>
      <c r="CD91" s="528">
        <f t="shared" si="40"/>
        <v>0.30222120000000052</v>
      </c>
      <c r="CE91" s="528">
        <f t="shared" si="40"/>
        <v>0.30222120000000052</v>
      </c>
      <c r="CF91" s="528">
        <f t="shared" si="40"/>
        <v>0.30222120000000052</v>
      </c>
    </row>
    <row r="92" spans="2:84">
      <c r="B92" t="s">
        <v>746</v>
      </c>
      <c r="C92" t="s">
        <v>1357</v>
      </c>
      <c r="D92" t="s">
        <v>708</v>
      </c>
      <c r="E92" t="s">
        <v>1356</v>
      </c>
      <c r="F92" t="str">
        <f t="shared" si="32"/>
        <v>Blue ammonia (CCS)Total emissions - TTW - GWP100Global</v>
      </c>
      <c r="G92" s="527">
        <v>0</v>
      </c>
      <c r="H92" s="527">
        <v>0</v>
      </c>
      <c r="I92" s="527">
        <v>0</v>
      </c>
      <c r="J92" s="527">
        <v>0</v>
      </c>
      <c r="K92" s="527">
        <v>0</v>
      </c>
      <c r="L92" s="527">
        <v>0</v>
      </c>
      <c r="M92" s="527">
        <v>0</v>
      </c>
      <c r="N92" s="527">
        <v>0</v>
      </c>
      <c r="O92" s="527">
        <v>0</v>
      </c>
      <c r="P92" s="527">
        <v>0</v>
      </c>
      <c r="Q92" s="527">
        <v>0</v>
      </c>
      <c r="R92" s="527">
        <v>0</v>
      </c>
      <c r="S92" s="527">
        <v>0</v>
      </c>
      <c r="T92" s="527">
        <v>0</v>
      </c>
      <c r="U92" s="527">
        <v>0</v>
      </c>
      <c r="V92" s="527">
        <v>0</v>
      </c>
      <c r="W92" s="527">
        <v>0</v>
      </c>
      <c r="X92" s="527">
        <v>0</v>
      </c>
      <c r="Y92" s="527">
        <v>0</v>
      </c>
      <c r="Z92" s="527">
        <v>0</v>
      </c>
      <c r="AA92" s="527">
        <v>0</v>
      </c>
      <c r="AB92" s="527">
        <v>0</v>
      </c>
      <c r="AC92" s="527">
        <v>0</v>
      </c>
      <c r="AD92" s="527">
        <v>0</v>
      </c>
      <c r="AE92" s="527">
        <v>0</v>
      </c>
      <c r="AF92" s="527">
        <v>0</v>
      </c>
      <c r="AG92" s="527">
        <v>0</v>
      </c>
      <c r="AH92" s="527">
        <v>0</v>
      </c>
      <c r="AI92" s="526">
        <f t="shared" ref="AI92:CA93" si="43">AH92</f>
        <v>0</v>
      </c>
      <c r="AJ92" s="526">
        <f t="shared" si="43"/>
        <v>0</v>
      </c>
      <c r="AK92" s="526">
        <f t="shared" si="43"/>
        <v>0</v>
      </c>
      <c r="AL92" s="526">
        <f t="shared" si="43"/>
        <v>0</v>
      </c>
      <c r="AM92" s="526">
        <f t="shared" si="43"/>
        <v>0</v>
      </c>
      <c r="AN92" s="526">
        <f t="shared" si="43"/>
        <v>0</v>
      </c>
      <c r="AO92" s="526">
        <f t="shared" si="43"/>
        <v>0</v>
      </c>
      <c r="AP92" s="526">
        <f t="shared" si="43"/>
        <v>0</v>
      </c>
      <c r="AQ92" s="526">
        <f t="shared" si="43"/>
        <v>0</v>
      </c>
      <c r="AR92" s="526">
        <f t="shared" si="43"/>
        <v>0</v>
      </c>
      <c r="AS92" s="526">
        <f t="shared" si="43"/>
        <v>0</v>
      </c>
      <c r="AT92" s="526">
        <f t="shared" si="43"/>
        <v>0</v>
      </c>
      <c r="AU92" s="526">
        <f t="shared" si="43"/>
        <v>0</v>
      </c>
      <c r="AV92" s="526">
        <f t="shared" si="43"/>
        <v>0</v>
      </c>
      <c r="AW92" s="526">
        <f t="shared" si="43"/>
        <v>0</v>
      </c>
      <c r="AX92" s="526">
        <f t="shared" si="43"/>
        <v>0</v>
      </c>
      <c r="AY92" s="526">
        <f t="shared" si="43"/>
        <v>0</v>
      </c>
      <c r="AZ92" s="526">
        <f t="shared" si="43"/>
        <v>0</v>
      </c>
      <c r="BA92" s="526">
        <f t="shared" si="43"/>
        <v>0</v>
      </c>
      <c r="BB92" s="526">
        <f t="shared" si="43"/>
        <v>0</v>
      </c>
      <c r="BC92" s="526">
        <f t="shared" si="43"/>
        <v>0</v>
      </c>
      <c r="BD92" s="526">
        <f t="shared" si="43"/>
        <v>0</v>
      </c>
      <c r="BE92" s="526">
        <f t="shared" si="43"/>
        <v>0</v>
      </c>
      <c r="BF92" s="526">
        <f t="shared" si="43"/>
        <v>0</v>
      </c>
      <c r="BG92" s="526">
        <f t="shared" si="43"/>
        <v>0</v>
      </c>
      <c r="BH92" s="526">
        <f t="shared" si="43"/>
        <v>0</v>
      </c>
      <c r="BI92" s="526">
        <f t="shared" si="43"/>
        <v>0</v>
      </c>
      <c r="BJ92" s="526">
        <f t="shared" si="43"/>
        <v>0</v>
      </c>
      <c r="BK92" s="526">
        <f t="shared" si="43"/>
        <v>0</v>
      </c>
      <c r="BL92" s="526">
        <f t="shared" si="43"/>
        <v>0</v>
      </c>
      <c r="BM92" s="526">
        <f t="shared" si="43"/>
        <v>0</v>
      </c>
      <c r="BN92" s="526">
        <f t="shared" si="43"/>
        <v>0</v>
      </c>
      <c r="BO92" s="526">
        <f t="shared" si="43"/>
        <v>0</v>
      </c>
      <c r="BP92" s="526">
        <f t="shared" si="43"/>
        <v>0</v>
      </c>
      <c r="BQ92" s="526">
        <f t="shared" si="43"/>
        <v>0</v>
      </c>
      <c r="BR92" s="526">
        <f t="shared" si="43"/>
        <v>0</v>
      </c>
      <c r="BS92" s="526">
        <f t="shared" si="43"/>
        <v>0</v>
      </c>
      <c r="BT92" s="526">
        <f t="shared" si="43"/>
        <v>0</v>
      </c>
      <c r="BU92" s="526">
        <f t="shared" si="43"/>
        <v>0</v>
      </c>
      <c r="BV92" s="526">
        <f t="shared" si="43"/>
        <v>0</v>
      </c>
      <c r="BW92" s="526">
        <f t="shared" si="43"/>
        <v>0</v>
      </c>
      <c r="BX92" s="526">
        <f t="shared" si="43"/>
        <v>0</v>
      </c>
      <c r="BY92" s="526">
        <f t="shared" si="43"/>
        <v>0</v>
      </c>
      <c r="BZ92" s="526">
        <f t="shared" si="43"/>
        <v>0</v>
      </c>
      <c r="CA92" s="526">
        <f t="shared" si="43"/>
        <v>0</v>
      </c>
      <c r="CB92" s="526">
        <f t="shared" si="40"/>
        <v>0</v>
      </c>
      <c r="CC92" s="526">
        <f t="shared" si="40"/>
        <v>0</v>
      </c>
      <c r="CD92" s="526">
        <f t="shared" si="40"/>
        <v>0</v>
      </c>
      <c r="CE92" s="526">
        <f t="shared" si="40"/>
        <v>0</v>
      </c>
      <c r="CF92" s="526">
        <f t="shared" si="40"/>
        <v>0</v>
      </c>
    </row>
    <row r="93" spans="2:84">
      <c r="B93" t="s">
        <v>746</v>
      </c>
      <c r="C93" t="s">
        <v>1358</v>
      </c>
      <c r="D93" t="s">
        <v>708</v>
      </c>
      <c r="E93" t="s">
        <v>1356</v>
      </c>
      <c r="F93" t="str">
        <f t="shared" si="32"/>
        <v>Blue ammonia (CCS)Total emissions - WTW - GWP100Global</v>
      </c>
      <c r="G93" s="527">
        <v>0.40388321999999938</v>
      </c>
      <c r="H93" s="527">
        <v>0.40011795999999977</v>
      </c>
      <c r="I93" s="527">
        <v>0.39635269999999934</v>
      </c>
      <c r="J93" s="527">
        <v>0.39258743999999973</v>
      </c>
      <c r="K93" s="527">
        <v>0.38882217999999846</v>
      </c>
      <c r="L93" s="527">
        <v>0.38505691999999891</v>
      </c>
      <c r="M93" s="527">
        <v>0.38129165999999931</v>
      </c>
      <c r="N93" s="527">
        <v>0.3775263999999981</v>
      </c>
      <c r="O93" s="527">
        <v>0.37376114000000016</v>
      </c>
      <c r="P93" s="527">
        <v>0.36999588000000061</v>
      </c>
      <c r="Q93" s="527">
        <v>0.36623062000000095</v>
      </c>
      <c r="R93" s="527">
        <v>0.3624653600000014</v>
      </c>
      <c r="S93" s="527">
        <v>0.35870010000000013</v>
      </c>
      <c r="T93" s="527">
        <v>0.35493484000000058</v>
      </c>
      <c r="U93" s="527">
        <v>0.35116957999999932</v>
      </c>
      <c r="V93" s="527">
        <v>0.34740431999999977</v>
      </c>
      <c r="W93" s="527">
        <v>0.34363906000000011</v>
      </c>
      <c r="X93" s="527">
        <v>0.33987379999999967</v>
      </c>
      <c r="Y93" s="527">
        <v>0.33610854000000012</v>
      </c>
      <c r="Z93" s="527">
        <v>0.33234328000000057</v>
      </c>
      <c r="AA93" s="527">
        <v>0.32857801999999925</v>
      </c>
      <c r="AB93" s="527">
        <v>0.3248127599999997</v>
      </c>
      <c r="AC93" s="527">
        <v>0.32104750000000015</v>
      </c>
      <c r="AD93" s="527">
        <v>0.31728223999999883</v>
      </c>
      <c r="AE93" s="527">
        <v>0.31351697999999928</v>
      </c>
      <c r="AF93" s="527">
        <v>0.30975171999999968</v>
      </c>
      <c r="AG93" s="527">
        <v>0.30598646000000007</v>
      </c>
      <c r="AH93" s="527">
        <v>0.30222120000000052</v>
      </c>
      <c r="AI93" s="528">
        <f t="shared" si="43"/>
        <v>0.30222120000000052</v>
      </c>
      <c r="AJ93" s="528">
        <f t="shared" si="43"/>
        <v>0.30222120000000052</v>
      </c>
      <c r="AK93" s="528">
        <f t="shared" si="43"/>
        <v>0.30222120000000052</v>
      </c>
      <c r="AL93" s="528">
        <f t="shared" si="43"/>
        <v>0.30222120000000052</v>
      </c>
      <c r="AM93" s="528">
        <f t="shared" si="43"/>
        <v>0.30222120000000052</v>
      </c>
      <c r="AN93" s="528">
        <f t="shared" si="43"/>
        <v>0.30222120000000052</v>
      </c>
      <c r="AO93" s="528">
        <f t="shared" si="43"/>
        <v>0.30222120000000052</v>
      </c>
      <c r="AP93" s="528">
        <f t="shared" si="43"/>
        <v>0.30222120000000052</v>
      </c>
      <c r="AQ93" s="528">
        <f t="shared" si="43"/>
        <v>0.30222120000000052</v>
      </c>
      <c r="AR93" s="528">
        <f t="shared" si="43"/>
        <v>0.30222120000000052</v>
      </c>
      <c r="AS93" s="528">
        <f t="shared" si="43"/>
        <v>0.30222120000000052</v>
      </c>
      <c r="AT93" s="528">
        <f t="shared" si="43"/>
        <v>0.30222120000000052</v>
      </c>
      <c r="AU93" s="528">
        <f t="shared" si="43"/>
        <v>0.30222120000000052</v>
      </c>
      <c r="AV93" s="528">
        <f t="shared" si="43"/>
        <v>0.30222120000000052</v>
      </c>
      <c r="AW93" s="528">
        <f t="shared" si="43"/>
        <v>0.30222120000000052</v>
      </c>
      <c r="AX93" s="528">
        <f t="shared" si="43"/>
        <v>0.30222120000000052</v>
      </c>
      <c r="AY93" s="528">
        <f t="shared" si="43"/>
        <v>0.30222120000000052</v>
      </c>
      <c r="AZ93" s="528">
        <f t="shared" si="43"/>
        <v>0.30222120000000052</v>
      </c>
      <c r="BA93" s="528">
        <f t="shared" si="43"/>
        <v>0.30222120000000052</v>
      </c>
      <c r="BB93" s="528">
        <f t="shared" si="43"/>
        <v>0.30222120000000052</v>
      </c>
      <c r="BC93" s="528">
        <f t="shared" si="43"/>
        <v>0.30222120000000052</v>
      </c>
      <c r="BD93" s="528">
        <f t="shared" si="43"/>
        <v>0.30222120000000052</v>
      </c>
      <c r="BE93" s="528">
        <f t="shared" si="43"/>
        <v>0.30222120000000052</v>
      </c>
      <c r="BF93" s="528">
        <f t="shared" si="43"/>
        <v>0.30222120000000052</v>
      </c>
      <c r="BG93" s="528">
        <f t="shared" si="43"/>
        <v>0.30222120000000052</v>
      </c>
      <c r="BH93" s="528">
        <f t="shared" si="43"/>
        <v>0.30222120000000052</v>
      </c>
      <c r="BI93" s="528">
        <f t="shared" si="43"/>
        <v>0.30222120000000052</v>
      </c>
      <c r="BJ93" s="528">
        <f t="shared" si="43"/>
        <v>0.30222120000000052</v>
      </c>
      <c r="BK93" s="528">
        <f t="shared" si="43"/>
        <v>0.30222120000000052</v>
      </c>
      <c r="BL93" s="528">
        <f t="shared" si="43"/>
        <v>0.30222120000000052</v>
      </c>
      <c r="BM93" s="528">
        <f t="shared" si="43"/>
        <v>0.30222120000000052</v>
      </c>
      <c r="BN93" s="528">
        <f t="shared" si="43"/>
        <v>0.30222120000000052</v>
      </c>
      <c r="BO93" s="528">
        <f t="shared" si="43"/>
        <v>0.30222120000000052</v>
      </c>
      <c r="BP93" s="528">
        <f t="shared" si="43"/>
        <v>0.30222120000000052</v>
      </c>
      <c r="BQ93" s="528">
        <f t="shared" si="43"/>
        <v>0.30222120000000052</v>
      </c>
      <c r="BR93" s="528">
        <f t="shared" si="43"/>
        <v>0.30222120000000052</v>
      </c>
      <c r="BS93" s="528">
        <f t="shared" si="43"/>
        <v>0.30222120000000052</v>
      </c>
      <c r="BT93" s="528">
        <f t="shared" si="43"/>
        <v>0.30222120000000052</v>
      </c>
      <c r="BU93" s="528">
        <f t="shared" si="43"/>
        <v>0.30222120000000052</v>
      </c>
      <c r="BV93" s="528">
        <f t="shared" si="43"/>
        <v>0.30222120000000052</v>
      </c>
      <c r="BW93" s="528">
        <f t="shared" si="43"/>
        <v>0.30222120000000052</v>
      </c>
      <c r="BX93" s="528">
        <f t="shared" si="43"/>
        <v>0.30222120000000052</v>
      </c>
      <c r="BY93" s="528">
        <f t="shared" si="43"/>
        <v>0.30222120000000052</v>
      </c>
      <c r="BZ93" s="528">
        <f t="shared" si="43"/>
        <v>0.30222120000000052</v>
      </c>
      <c r="CA93" s="528">
        <f t="shared" si="43"/>
        <v>0.30222120000000052</v>
      </c>
      <c r="CB93" s="528">
        <f t="shared" si="40"/>
        <v>0.30222120000000052</v>
      </c>
      <c r="CC93" s="528">
        <f t="shared" si="40"/>
        <v>0.30222120000000052</v>
      </c>
      <c r="CD93" s="528">
        <f t="shared" si="40"/>
        <v>0.30222120000000052</v>
      </c>
      <c r="CE93" s="528">
        <f t="shared" si="40"/>
        <v>0.30222120000000052</v>
      </c>
      <c r="CF93" s="528">
        <f t="shared" si="40"/>
        <v>0.30222120000000052</v>
      </c>
    </row>
    <row r="94" spans="2:84">
      <c r="B94" t="s">
        <v>752</v>
      </c>
      <c r="C94" t="s">
        <v>1352</v>
      </c>
      <c r="D94" t="s">
        <v>708</v>
      </c>
      <c r="E94" t="s">
        <v>1353</v>
      </c>
      <c r="F94" t="str">
        <f t="shared" si="32"/>
        <v>Bio-methanolCapExGlobal</v>
      </c>
      <c r="G94" s="525">
        <v>4200</v>
      </c>
      <c r="H94" s="525">
        <v>3800</v>
      </c>
      <c r="I94" s="525">
        <v>3400</v>
      </c>
      <c r="J94" s="525">
        <v>3250</v>
      </c>
      <c r="K94" s="525">
        <v>3100</v>
      </c>
      <c r="L94" s="525">
        <v>2950</v>
      </c>
      <c r="M94" s="525">
        <v>2800</v>
      </c>
      <c r="N94" s="525">
        <v>2650</v>
      </c>
      <c r="O94" s="525">
        <v>2585</v>
      </c>
      <c r="P94" s="525">
        <v>2520</v>
      </c>
      <c r="Q94" s="525">
        <v>2455</v>
      </c>
      <c r="R94" s="525">
        <v>2390</v>
      </c>
      <c r="S94" s="525">
        <v>2325</v>
      </c>
      <c r="T94" s="525">
        <v>2260</v>
      </c>
      <c r="U94" s="525">
        <v>2195</v>
      </c>
      <c r="V94" s="525">
        <v>2130</v>
      </c>
      <c r="W94" s="525">
        <v>2065</v>
      </c>
      <c r="X94" s="525">
        <v>2000.0000000000002</v>
      </c>
      <c r="Y94" s="525">
        <v>1959.9999999999998</v>
      </c>
      <c r="Z94" s="525">
        <v>1920</v>
      </c>
      <c r="AA94" s="525">
        <v>1880</v>
      </c>
      <c r="AB94" s="525">
        <v>1840</v>
      </c>
      <c r="AC94" s="525">
        <v>1800</v>
      </c>
      <c r="AD94" s="525">
        <v>1760</v>
      </c>
      <c r="AE94" s="525">
        <v>1720</v>
      </c>
      <c r="AF94" s="525">
        <v>1680</v>
      </c>
      <c r="AG94" s="525">
        <v>1640</v>
      </c>
      <c r="AH94" s="525">
        <v>1600</v>
      </c>
      <c r="AI94" s="526">
        <f>AH94</f>
        <v>1600</v>
      </c>
      <c r="AJ94" s="526">
        <f t="shared" ref="AJ94:CF102" si="44">AI94</f>
        <v>1600</v>
      </c>
      <c r="AK94" s="526">
        <f t="shared" si="44"/>
        <v>1600</v>
      </c>
      <c r="AL94" s="526">
        <f t="shared" si="44"/>
        <v>1600</v>
      </c>
      <c r="AM94" s="526">
        <f t="shared" si="44"/>
        <v>1600</v>
      </c>
      <c r="AN94" s="526">
        <f t="shared" si="44"/>
        <v>1600</v>
      </c>
      <c r="AO94" s="526">
        <f t="shared" si="44"/>
        <v>1600</v>
      </c>
      <c r="AP94" s="526">
        <f t="shared" si="44"/>
        <v>1600</v>
      </c>
      <c r="AQ94" s="526">
        <f t="shared" si="44"/>
        <v>1600</v>
      </c>
      <c r="AR94" s="526">
        <f t="shared" si="44"/>
        <v>1600</v>
      </c>
      <c r="AS94" s="526">
        <f t="shared" si="44"/>
        <v>1600</v>
      </c>
      <c r="AT94" s="526">
        <f t="shared" si="44"/>
        <v>1600</v>
      </c>
      <c r="AU94" s="526">
        <f t="shared" si="44"/>
        <v>1600</v>
      </c>
      <c r="AV94" s="526">
        <f t="shared" si="44"/>
        <v>1600</v>
      </c>
      <c r="AW94" s="526">
        <f t="shared" si="44"/>
        <v>1600</v>
      </c>
      <c r="AX94" s="526">
        <f t="shared" si="44"/>
        <v>1600</v>
      </c>
      <c r="AY94" s="526">
        <f t="shared" si="44"/>
        <v>1600</v>
      </c>
      <c r="AZ94" s="526">
        <f t="shared" si="44"/>
        <v>1600</v>
      </c>
      <c r="BA94" s="526">
        <f t="shared" si="44"/>
        <v>1600</v>
      </c>
      <c r="BB94" s="526">
        <f t="shared" si="44"/>
        <v>1600</v>
      </c>
      <c r="BC94" s="526">
        <f t="shared" si="44"/>
        <v>1600</v>
      </c>
      <c r="BD94" s="526">
        <f t="shared" si="44"/>
        <v>1600</v>
      </c>
      <c r="BE94" s="526">
        <f t="shared" si="44"/>
        <v>1600</v>
      </c>
      <c r="BF94" s="526">
        <f t="shared" si="44"/>
        <v>1600</v>
      </c>
      <c r="BG94" s="526">
        <f t="shared" si="44"/>
        <v>1600</v>
      </c>
      <c r="BH94" s="526">
        <f t="shared" si="44"/>
        <v>1600</v>
      </c>
      <c r="BI94" s="526">
        <f t="shared" si="44"/>
        <v>1600</v>
      </c>
      <c r="BJ94" s="526">
        <f t="shared" si="44"/>
        <v>1600</v>
      </c>
      <c r="BK94" s="526">
        <f t="shared" si="44"/>
        <v>1600</v>
      </c>
      <c r="BL94" s="526">
        <f t="shared" si="44"/>
        <v>1600</v>
      </c>
      <c r="BM94" s="526">
        <f t="shared" si="44"/>
        <v>1600</v>
      </c>
      <c r="BN94" s="526">
        <f t="shared" si="44"/>
        <v>1600</v>
      </c>
      <c r="BO94" s="526">
        <f t="shared" si="44"/>
        <v>1600</v>
      </c>
      <c r="BP94" s="526">
        <f t="shared" si="44"/>
        <v>1600</v>
      </c>
      <c r="BQ94" s="526">
        <f t="shared" si="44"/>
        <v>1600</v>
      </c>
      <c r="BR94" s="526">
        <f t="shared" si="44"/>
        <v>1600</v>
      </c>
      <c r="BS94" s="526">
        <f t="shared" si="44"/>
        <v>1600</v>
      </c>
      <c r="BT94" s="526">
        <f t="shared" si="44"/>
        <v>1600</v>
      </c>
      <c r="BU94" s="526">
        <f t="shared" si="44"/>
        <v>1600</v>
      </c>
      <c r="BV94" s="526">
        <f t="shared" si="44"/>
        <v>1600</v>
      </c>
      <c r="BW94" s="526">
        <f t="shared" si="44"/>
        <v>1600</v>
      </c>
      <c r="BX94" s="526">
        <f t="shared" si="44"/>
        <v>1600</v>
      </c>
      <c r="BY94" s="526">
        <f t="shared" si="44"/>
        <v>1600</v>
      </c>
      <c r="BZ94" s="526">
        <f t="shared" si="44"/>
        <v>1600</v>
      </c>
      <c r="CA94" s="526">
        <f t="shared" si="44"/>
        <v>1600</v>
      </c>
      <c r="CB94" s="526">
        <f t="shared" si="44"/>
        <v>1600</v>
      </c>
      <c r="CC94" s="526">
        <f t="shared" si="44"/>
        <v>1600</v>
      </c>
      <c r="CD94" s="526">
        <f t="shared" si="44"/>
        <v>1600</v>
      </c>
      <c r="CE94" s="526">
        <f t="shared" si="44"/>
        <v>1600</v>
      </c>
      <c r="CF94" s="526">
        <f t="shared" si="44"/>
        <v>1600</v>
      </c>
    </row>
    <row r="95" spans="2:84">
      <c r="B95" t="s">
        <v>752</v>
      </c>
      <c r="C95" t="s">
        <v>1354</v>
      </c>
      <c r="D95" t="s">
        <v>838</v>
      </c>
      <c r="E95" t="s">
        <v>1353</v>
      </c>
      <c r="F95" t="str">
        <f t="shared" si="32"/>
        <v>Bio-methanolOpExAfrica</v>
      </c>
      <c r="G95" s="525">
        <v>718.21344695589153</v>
      </c>
      <c r="H95" s="525">
        <v>669.81570010070277</v>
      </c>
      <c r="I95" s="525">
        <v>621.41795324551333</v>
      </c>
      <c r="J95" s="525">
        <v>604.35826107854041</v>
      </c>
      <c r="K95" s="525">
        <v>587.29981816704185</v>
      </c>
      <c r="L95" s="525">
        <v>570.24262451101765</v>
      </c>
      <c r="M95" s="525">
        <v>553.18668011046759</v>
      </c>
      <c r="N95" s="525">
        <v>536.13198496539212</v>
      </c>
      <c r="O95" s="525">
        <v>529.53820759856251</v>
      </c>
      <c r="P95" s="525">
        <v>522.94512756773474</v>
      </c>
      <c r="Q95" s="525">
        <v>516.35274487290951</v>
      </c>
      <c r="R95" s="525">
        <v>509.76105951408692</v>
      </c>
      <c r="S95" s="525">
        <v>503.17007149126619</v>
      </c>
      <c r="T95" s="525">
        <v>496.63290483811187</v>
      </c>
      <c r="U95" s="525">
        <v>490.09606640955428</v>
      </c>
      <c r="V95" s="525">
        <v>483.55955620559507</v>
      </c>
      <c r="W95" s="525">
        <v>477.0233742262335</v>
      </c>
      <c r="X95" s="525">
        <v>470.48752047146871</v>
      </c>
      <c r="Y95" s="525">
        <v>466.81959886025402</v>
      </c>
      <c r="Z95" s="525">
        <v>463.15201475292292</v>
      </c>
      <c r="AA95" s="525">
        <v>459.48476814947719</v>
      </c>
      <c r="AB95" s="525">
        <v>455.81785904991597</v>
      </c>
      <c r="AC95" s="525">
        <v>452.1512874542384</v>
      </c>
      <c r="AD95" s="525">
        <v>448.62159561273074</v>
      </c>
      <c r="AE95" s="525">
        <v>445.09206942716764</v>
      </c>
      <c r="AF95" s="525">
        <v>441.56270889755069</v>
      </c>
      <c r="AG95" s="525">
        <v>438.03351402387909</v>
      </c>
      <c r="AH95" s="525">
        <v>434.50448480615211</v>
      </c>
      <c r="AI95" s="526">
        <f t="shared" ref="AI95:CA100" si="45">AH95</f>
        <v>434.50448480615211</v>
      </c>
      <c r="AJ95" s="526">
        <f t="shared" si="45"/>
        <v>434.50448480615211</v>
      </c>
      <c r="AK95" s="526">
        <f t="shared" si="45"/>
        <v>434.50448480615211</v>
      </c>
      <c r="AL95" s="526">
        <f t="shared" si="45"/>
        <v>434.50448480615211</v>
      </c>
      <c r="AM95" s="526">
        <f t="shared" si="45"/>
        <v>434.50448480615211</v>
      </c>
      <c r="AN95" s="526">
        <f t="shared" si="45"/>
        <v>434.50448480615211</v>
      </c>
      <c r="AO95" s="526">
        <f t="shared" si="45"/>
        <v>434.50448480615211</v>
      </c>
      <c r="AP95" s="526">
        <f t="shared" si="45"/>
        <v>434.50448480615211</v>
      </c>
      <c r="AQ95" s="526">
        <f t="shared" si="45"/>
        <v>434.50448480615211</v>
      </c>
      <c r="AR95" s="526">
        <f t="shared" si="45"/>
        <v>434.50448480615211</v>
      </c>
      <c r="AS95" s="526">
        <f t="shared" si="45"/>
        <v>434.50448480615211</v>
      </c>
      <c r="AT95" s="526">
        <f t="shared" si="45"/>
        <v>434.50448480615211</v>
      </c>
      <c r="AU95" s="526">
        <f t="shared" si="45"/>
        <v>434.50448480615211</v>
      </c>
      <c r="AV95" s="526">
        <f t="shared" si="45"/>
        <v>434.50448480615211</v>
      </c>
      <c r="AW95" s="526">
        <f t="shared" si="45"/>
        <v>434.50448480615211</v>
      </c>
      <c r="AX95" s="526">
        <f t="shared" si="45"/>
        <v>434.50448480615211</v>
      </c>
      <c r="AY95" s="526">
        <f t="shared" si="45"/>
        <v>434.50448480615211</v>
      </c>
      <c r="AZ95" s="526">
        <f t="shared" si="45"/>
        <v>434.50448480615211</v>
      </c>
      <c r="BA95" s="526">
        <f t="shared" si="45"/>
        <v>434.50448480615211</v>
      </c>
      <c r="BB95" s="526">
        <f t="shared" si="45"/>
        <v>434.50448480615211</v>
      </c>
      <c r="BC95" s="526">
        <f t="shared" si="45"/>
        <v>434.50448480615211</v>
      </c>
      <c r="BD95" s="526">
        <f t="shared" si="45"/>
        <v>434.50448480615211</v>
      </c>
      <c r="BE95" s="526">
        <f t="shared" si="45"/>
        <v>434.50448480615211</v>
      </c>
      <c r="BF95" s="526">
        <f t="shared" si="45"/>
        <v>434.50448480615211</v>
      </c>
      <c r="BG95" s="526">
        <f t="shared" si="45"/>
        <v>434.50448480615211</v>
      </c>
      <c r="BH95" s="526">
        <f t="shared" si="45"/>
        <v>434.50448480615211</v>
      </c>
      <c r="BI95" s="526">
        <f t="shared" si="45"/>
        <v>434.50448480615211</v>
      </c>
      <c r="BJ95" s="526">
        <f t="shared" si="45"/>
        <v>434.50448480615211</v>
      </c>
      <c r="BK95" s="526">
        <f t="shared" si="45"/>
        <v>434.50448480615211</v>
      </c>
      <c r="BL95" s="526">
        <f t="shared" si="45"/>
        <v>434.50448480615211</v>
      </c>
      <c r="BM95" s="526">
        <f t="shared" si="45"/>
        <v>434.50448480615211</v>
      </c>
      <c r="BN95" s="526">
        <f t="shared" si="45"/>
        <v>434.50448480615211</v>
      </c>
      <c r="BO95" s="526">
        <f t="shared" si="45"/>
        <v>434.50448480615211</v>
      </c>
      <c r="BP95" s="526">
        <f t="shared" si="45"/>
        <v>434.50448480615211</v>
      </c>
      <c r="BQ95" s="526">
        <f t="shared" si="45"/>
        <v>434.50448480615211</v>
      </c>
      <c r="BR95" s="526">
        <f t="shared" si="45"/>
        <v>434.50448480615211</v>
      </c>
      <c r="BS95" s="526">
        <f t="shared" si="45"/>
        <v>434.50448480615211</v>
      </c>
      <c r="BT95" s="526">
        <f t="shared" si="45"/>
        <v>434.50448480615211</v>
      </c>
      <c r="BU95" s="526">
        <f t="shared" si="45"/>
        <v>434.50448480615211</v>
      </c>
      <c r="BV95" s="526">
        <f t="shared" si="45"/>
        <v>434.50448480615211</v>
      </c>
      <c r="BW95" s="526">
        <f t="shared" si="45"/>
        <v>434.50448480615211</v>
      </c>
      <c r="BX95" s="526">
        <f t="shared" si="45"/>
        <v>434.50448480615211</v>
      </c>
      <c r="BY95" s="526">
        <f t="shared" si="45"/>
        <v>434.50448480615211</v>
      </c>
      <c r="BZ95" s="526">
        <f t="shared" si="45"/>
        <v>434.50448480615211</v>
      </c>
      <c r="CA95" s="526">
        <f t="shared" si="45"/>
        <v>434.50448480615211</v>
      </c>
      <c r="CB95" s="526">
        <f t="shared" si="44"/>
        <v>434.50448480615211</v>
      </c>
      <c r="CC95" s="526">
        <f t="shared" si="44"/>
        <v>434.50448480615211</v>
      </c>
      <c r="CD95" s="526">
        <f t="shared" si="44"/>
        <v>434.50448480615211</v>
      </c>
      <c r="CE95" s="526">
        <f t="shared" si="44"/>
        <v>434.50448480615211</v>
      </c>
      <c r="CF95" s="526">
        <f t="shared" si="44"/>
        <v>434.50448480615211</v>
      </c>
    </row>
    <row r="96" spans="2:84">
      <c r="B96" t="s">
        <v>752</v>
      </c>
      <c r="C96" t="s">
        <v>1354</v>
      </c>
      <c r="D96" t="s">
        <v>731</v>
      </c>
      <c r="E96" t="s">
        <v>1353</v>
      </c>
      <c r="F96" t="str">
        <f t="shared" si="32"/>
        <v>Bio-methanolOpExAmericas</v>
      </c>
      <c r="G96" s="525">
        <v>668.55799888990714</v>
      </c>
      <c r="H96" s="525">
        <v>623.12624001534141</v>
      </c>
      <c r="I96" s="525">
        <v>577.69448114077557</v>
      </c>
      <c r="J96" s="525">
        <v>560.96765864577276</v>
      </c>
      <c r="K96" s="525">
        <v>544.24167553612142</v>
      </c>
      <c r="L96" s="525">
        <v>527.51653181182155</v>
      </c>
      <c r="M96" s="525">
        <v>510.79222747287338</v>
      </c>
      <c r="N96" s="525">
        <v>494.0687625192765</v>
      </c>
      <c r="O96" s="525">
        <v>487.22839319539059</v>
      </c>
      <c r="P96" s="525">
        <v>480.38842780388717</v>
      </c>
      <c r="Q96" s="525">
        <v>473.54886634476827</v>
      </c>
      <c r="R96" s="525">
        <v>466.70970881803316</v>
      </c>
      <c r="S96" s="525">
        <v>459.87095522368065</v>
      </c>
      <c r="T96" s="525">
        <v>453.09376723445371</v>
      </c>
      <c r="U96" s="525">
        <v>446.31690668275166</v>
      </c>
      <c r="V96" s="525">
        <v>439.54037356857646</v>
      </c>
      <c r="W96" s="525">
        <v>432.76416789192734</v>
      </c>
      <c r="X96" s="525">
        <v>425.98828965280336</v>
      </c>
      <c r="Y96" s="525">
        <v>422.48558128700199</v>
      </c>
      <c r="Z96" s="525">
        <v>418.98300483535741</v>
      </c>
      <c r="AA96" s="525">
        <v>415.48056029787142</v>
      </c>
      <c r="AB96" s="525">
        <v>411.97824767454296</v>
      </c>
      <c r="AC96" s="525">
        <v>408.47606696537127</v>
      </c>
      <c r="AD96" s="525">
        <v>404.75775712039126</v>
      </c>
      <c r="AE96" s="525">
        <v>401.03954679530511</v>
      </c>
      <c r="AF96" s="525">
        <v>397.32143599011488</v>
      </c>
      <c r="AG96" s="525">
        <v>393.60342470481964</v>
      </c>
      <c r="AH96" s="525">
        <v>389.88551293941845</v>
      </c>
      <c r="AI96" s="526">
        <f t="shared" si="45"/>
        <v>389.88551293941845</v>
      </c>
      <c r="AJ96" s="526">
        <f t="shared" si="45"/>
        <v>389.88551293941845</v>
      </c>
      <c r="AK96" s="526">
        <f t="shared" si="45"/>
        <v>389.88551293941845</v>
      </c>
      <c r="AL96" s="526">
        <f t="shared" si="45"/>
        <v>389.88551293941845</v>
      </c>
      <c r="AM96" s="526">
        <f t="shared" si="45"/>
        <v>389.88551293941845</v>
      </c>
      <c r="AN96" s="526">
        <f t="shared" si="45"/>
        <v>389.88551293941845</v>
      </c>
      <c r="AO96" s="526">
        <f t="shared" si="45"/>
        <v>389.88551293941845</v>
      </c>
      <c r="AP96" s="526">
        <f t="shared" si="45"/>
        <v>389.88551293941845</v>
      </c>
      <c r="AQ96" s="526">
        <f t="shared" si="45"/>
        <v>389.88551293941845</v>
      </c>
      <c r="AR96" s="526">
        <f t="shared" si="45"/>
        <v>389.88551293941845</v>
      </c>
      <c r="AS96" s="526">
        <f t="shared" si="45"/>
        <v>389.88551293941845</v>
      </c>
      <c r="AT96" s="526">
        <f t="shared" si="45"/>
        <v>389.88551293941845</v>
      </c>
      <c r="AU96" s="526">
        <f t="shared" si="45"/>
        <v>389.88551293941845</v>
      </c>
      <c r="AV96" s="526">
        <f t="shared" si="45"/>
        <v>389.88551293941845</v>
      </c>
      <c r="AW96" s="526">
        <f t="shared" si="45"/>
        <v>389.88551293941845</v>
      </c>
      <c r="AX96" s="526">
        <f t="shared" si="45"/>
        <v>389.88551293941845</v>
      </c>
      <c r="AY96" s="526">
        <f t="shared" si="45"/>
        <v>389.88551293941845</v>
      </c>
      <c r="AZ96" s="526">
        <f t="shared" si="45"/>
        <v>389.88551293941845</v>
      </c>
      <c r="BA96" s="526">
        <f t="shared" si="45"/>
        <v>389.88551293941845</v>
      </c>
      <c r="BB96" s="526">
        <f t="shared" si="45"/>
        <v>389.88551293941845</v>
      </c>
      <c r="BC96" s="526">
        <f t="shared" si="45"/>
        <v>389.88551293941845</v>
      </c>
      <c r="BD96" s="526">
        <f t="shared" si="45"/>
        <v>389.88551293941845</v>
      </c>
      <c r="BE96" s="526">
        <f t="shared" si="45"/>
        <v>389.88551293941845</v>
      </c>
      <c r="BF96" s="526">
        <f t="shared" si="45"/>
        <v>389.88551293941845</v>
      </c>
      <c r="BG96" s="526">
        <f t="shared" si="45"/>
        <v>389.88551293941845</v>
      </c>
      <c r="BH96" s="526">
        <f t="shared" si="45"/>
        <v>389.88551293941845</v>
      </c>
      <c r="BI96" s="526">
        <f t="shared" si="45"/>
        <v>389.88551293941845</v>
      </c>
      <c r="BJ96" s="526">
        <f t="shared" si="45"/>
        <v>389.88551293941845</v>
      </c>
      <c r="BK96" s="526">
        <f t="shared" si="45"/>
        <v>389.88551293941845</v>
      </c>
      <c r="BL96" s="526">
        <f t="shared" si="45"/>
        <v>389.88551293941845</v>
      </c>
      <c r="BM96" s="526">
        <f t="shared" si="45"/>
        <v>389.88551293941845</v>
      </c>
      <c r="BN96" s="526">
        <f t="shared" si="45"/>
        <v>389.88551293941845</v>
      </c>
      <c r="BO96" s="526">
        <f t="shared" si="45"/>
        <v>389.88551293941845</v>
      </c>
      <c r="BP96" s="526">
        <f t="shared" si="45"/>
        <v>389.88551293941845</v>
      </c>
      <c r="BQ96" s="526">
        <f t="shared" si="45"/>
        <v>389.88551293941845</v>
      </c>
      <c r="BR96" s="526">
        <f t="shared" si="45"/>
        <v>389.88551293941845</v>
      </c>
      <c r="BS96" s="526">
        <f t="shared" si="45"/>
        <v>389.88551293941845</v>
      </c>
      <c r="BT96" s="526">
        <f t="shared" si="45"/>
        <v>389.88551293941845</v>
      </c>
      <c r="BU96" s="526">
        <f t="shared" si="45"/>
        <v>389.88551293941845</v>
      </c>
      <c r="BV96" s="526">
        <f t="shared" si="45"/>
        <v>389.88551293941845</v>
      </c>
      <c r="BW96" s="526">
        <f t="shared" si="45"/>
        <v>389.88551293941845</v>
      </c>
      <c r="BX96" s="526">
        <f t="shared" si="45"/>
        <v>389.88551293941845</v>
      </c>
      <c r="BY96" s="526">
        <f t="shared" si="45"/>
        <v>389.88551293941845</v>
      </c>
      <c r="BZ96" s="526">
        <f t="shared" si="45"/>
        <v>389.88551293941845</v>
      </c>
      <c r="CA96" s="526">
        <f t="shared" si="45"/>
        <v>389.88551293941845</v>
      </c>
      <c r="CB96" s="526">
        <f t="shared" si="44"/>
        <v>389.88551293941845</v>
      </c>
      <c r="CC96" s="526">
        <f t="shared" si="44"/>
        <v>389.88551293941845</v>
      </c>
      <c r="CD96" s="526">
        <f t="shared" si="44"/>
        <v>389.88551293941845</v>
      </c>
      <c r="CE96" s="526">
        <f t="shared" si="44"/>
        <v>389.88551293941845</v>
      </c>
      <c r="CF96" s="526">
        <f t="shared" si="44"/>
        <v>389.88551293941845</v>
      </c>
    </row>
    <row r="97" spans="2:84">
      <c r="B97" t="s">
        <v>752</v>
      </c>
      <c r="C97" t="s">
        <v>1354</v>
      </c>
      <c r="D97" t="s">
        <v>750</v>
      </c>
      <c r="E97" t="s">
        <v>1353</v>
      </c>
      <c r="F97" t="str">
        <f t="shared" si="32"/>
        <v>Bio-methanolOpExAsia</v>
      </c>
      <c r="G97" s="525">
        <v>663.58085933681252</v>
      </c>
      <c r="H97" s="525">
        <v>615.78812073210383</v>
      </c>
      <c r="I97" s="525">
        <v>567.9953821273964</v>
      </c>
      <c r="J97" s="525">
        <v>550.61950077937922</v>
      </c>
      <c r="K97" s="525">
        <v>533.24495730322462</v>
      </c>
      <c r="L97" s="525">
        <v>515.87175169893203</v>
      </c>
      <c r="M97" s="525">
        <v>498.49988396650213</v>
      </c>
      <c r="N97" s="525">
        <v>481.12935410593514</v>
      </c>
      <c r="O97" s="525">
        <v>474.12086969762686</v>
      </c>
      <c r="P97" s="525">
        <v>467.11329462629135</v>
      </c>
      <c r="Q97" s="525">
        <v>460.10662889193043</v>
      </c>
      <c r="R97" s="525">
        <v>453.10087249454273</v>
      </c>
      <c r="S97" s="525">
        <v>446.09602543412745</v>
      </c>
      <c r="T97" s="525">
        <v>439.44949420017514</v>
      </c>
      <c r="U97" s="525">
        <v>432.80342529517037</v>
      </c>
      <c r="V97" s="525">
        <v>426.15781871911508</v>
      </c>
      <c r="W97" s="525">
        <v>419.51267447200826</v>
      </c>
      <c r="X97" s="525">
        <v>412.86799255384915</v>
      </c>
      <c r="Y97" s="525">
        <v>408.83955363132065</v>
      </c>
      <c r="Z97" s="525">
        <v>404.81159864149618</v>
      </c>
      <c r="AA97" s="525">
        <v>400.78412758437753</v>
      </c>
      <c r="AB97" s="525">
        <v>396.75714045996415</v>
      </c>
      <c r="AC97" s="525">
        <v>392.73063726825478</v>
      </c>
      <c r="AD97" s="525">
        <v>389.15479684962611</v>
      </c>
      <c r="AE97" s="525">
        <v>385.57917835612068</v>
      </c>
      <c r="AF97" s="525">
        <v>382.00378178774031</v>
      </c>
      <c r="AG97" s="525">
        <v>378.42860714448415</v>
      </c>
      <c r="AH97" s="525">
        <v>374.85365442635117</v>
      </c>
      <c r="AI97" s="526">
        <f t="shared" si="45"/>
        <v>374.85365442635117</v>
      </c>
      <c r="AJ97" s="526">
        <f t="shared" si="45"/>
        <v>374.85365442635117</v>
      </c>
      <c r="AK97" s="526">
        <f t="shared" si="45"/>
        <v>374.85365442635117</v>
      </c>
      <c r="AL97" s="526">
        <f t="shared" si="45"/>
        <v>374.85365442635117</v>
      </c>
      <c r="AM97" s="526">
        <f t="shared" si="45"/>
        <v>374.85365442635117</v>
      </c>
      <c r="AN97" s="526">
        <f t="shared" si="45"/>
        <v>374.85365442635117</v>
      </c>
      <c r="AO97" s="526">
        <f t="shared" si="45"/>
        <v>374.85365442635117</v>
      </c>
      <c r="AP97" s="526">
        <f t="shared" si="45"/>
        <v>374.85365442635117</v>
      </c>
      <c r="AQ97" s="526">
        <f t="shared" si="45"/>
        <v>374.85365442635117</v>
      </c>
      <c r="AR97" s="526">
        <f t="shared" si="45"/>
        <v>374.85365442635117</v>
      </c>
      <c r="AS97" s="526">
        <f t="shared" si="45"/>
        <v>374.85365442635117</v>
      </c>
      <c r="AT97" s="526">
        <f t="shared" si="45"/>
        <v>374.85365442635117</v>
      </c>
      <c r="AU97" s="526">
        <f t="shared" si="45"/>
        <v>374.85365442635117</v>
      </c>
      <c r="AV97" s="526">
        <f t="shared" si="45"/>
        <v>374.85365442635117</v>
      </c>
      <c r="AW97" s="526">
        <f t="shared" si="45"/>
        <v>374.85365442635117</v>
      </c>
      <c r="AX97" s="526">
        <f t="shared" si="45"/>
        <v>374.85365442635117</v>
      </c>
      <c r="AY97" s="526">
        <f t="shared" si="45"/>
        <v>374.85365442635117</v>
      </c>
      <c r="AZ97" s="526">
        <f t="shared" si="45"/>
        <v>374.85365442635117</v>
      </c>
      <c r="BA97" s="526">
        <f t="shared" si="45"/>
        <v>374.85365442635117</v>
      </c>
      <c r="BB97" s="526">
        <f t="shared" si="45"/>
        <v>374.85365442635117</v>
      </c>
      <c r="BC97" s="526">
        <f t="shared" si="45"/>
        <v>374.85365442635117</v>
      </c>
      <c r="BD97" s="526">
        <f t="shared" si="45"/>
        <v>374.85365442635117</v>
      </c>
      <c r="BE97" s="526">
        <f t="shared" si="45"/>
        <v>374.85365442635117</v>
      </c>
      <c r="BF97" s="526">
        <f t="shared" si="45"/>
        <v>374.85365442635117</v>
      </c>
      <c r="BG97" s="526">
        <f t="shared" si="45"/>
        <v>374.85365442635117</v>
      </c>
      <c r="BH97" s="526">
        <f t="shared" si="45"/>
        <v>374.85365442635117</v>
      </c>
      <c r="BI97" s="526">
        <f t="shared" si="45"/>
        <v>374.85365442635117</v>
      </c>
      <c r="BJ97" s="526">
        <f t="shared" si="45"/>
        <v>374.85365442635117</v>
      </c>
      <c r="BK97" s="526">
        <f t="shared" si="45"/>
        <v>374.85365442635117</v>
      </c>
      <c r="BL97" s="526">
        <f t="shared" si="45"/>
        <v>374.85365442635117</v>
      </c>
      <c r="BM97" s="526">
        <f t="shared" si="45"/>
        <v>374.85365442635117</v>
      </c>
      <c r="BN97" s="526">
        <f t="shared" si="45"/>
        <v>374.85365442635117</v>
      </c>
      <c r="BO97" s="526">
        <f t="shared" si="45"/>
        <v>374.85365442635117</v>
      </c>
      <c r="BP97" s="526">
        <f t="shared" si="45"/>
        <v>374.85365442635117</v>
      </c>
      <c r="BQ97" s="526">
        <f t="shared" si="45"/>
        <v>374.85365442635117</v>
      </c>
      <c r="BR97" s="526">
        <f t="shared" si="45"/>
        <v>374.85365442635117</v>
      </c>
      <c r="BS97" s="526">
        <f t="shared" si="45"/>
        <v>374.85365442635117</v>
      </c>
      <c r="BT97" s="526">
        <f t="shared" si="45"/>
        <v>374.85365442635117</v>
      </c>
      <c r="BU97" s="526">
        <f t="shared" si="45"/>
        <v>374.85365442635117</v>
      </c>
      <c r="BV97" s="526">
        <f t="shared" si="45"/>
        <v>374.85365442635117</v>
      </c>
      <c r="BW97" s="526">
        <f t="shared" si="45"/>
        <v>374.85365442635117</v>
      </c>
      <c r="BX97" s="526">
        <f t="shared" si="45"/>
        <v>374.85365442635117</v>
      </c>
      <c r="BY97" s="526">
        <f t="shared" si="45"/>
        <v>374.85365442635117</v>
      </c>
      <c r="BZ97" s="526">
        <f t="shared" si="45"/>
        <v>374.85365442635117</v>
      </c>
      <c r="CA97" s="526">
        <f t="shared" si="45"/>
        <v>374.85365442635117</v>
      </c>
      <c r="CB97" s="526">
        <f t="shared" si="44"/>
        <v>374.85365442635117</v>
      </c>
      <c r="CC97" s="526">
        <f t="shared" si="44"/>
        <v>374.85365442635117</v>
      </c>
      <c r="CD97" s="526">
        <f t="shared" si="44"/>
        <v>374.85365442635117</v>
      </c>
      <c r="CE97" s="526">
        <f t="shared" si="44"/>
        <v>374.85365442635117</v>
      </c>
      <c r="CF97" s="526">
        <f t="shared" si="44"/>
        <v>374.85365442635117</v>
      </c>
    </row>
    <row r="98" spans="2:84">
      <c r="B98" t="s">
        <v>752</v>
      </c>
      <c r="C98" t="s">
        <v>1354</v>
      </c>
      <c r="D98" t="s">
        <v>720</v>
      </c>
      <c r="E98" t="s">
        <v>1353</v>
      </c>
      <c r="F98" t="str">
        <f t="shared" si="32"/>
        <v>Bio-methanolOpExEurope</v>
      </c>
      <c r="G98" s="525">
        <v>687.51835384114952</v>
      </c>
      <c r="H98" s="525">
        <v>641.63197148061488</v>
      </c>
      <c r="I98" s="525">
        <v>595.74558912008024</v>
      </c>
      <c r="J98" s="525">
        <v>578.80581844128051</v>
      </c>
      <c r="K98" s="525">
        <v>561.86714816687982</v>
      </c>
      <c r="L98" s="525">
        <v>544.9295782968785</v>
      </c>
      <c r="M98" s="525">
        <v>527.99310883127634</v>
      </c>
      <c r="N98" s="525">
        <v>511.05773977007362</v>
      </c>
      <c r="O98" s="525">
        <v>504.41434068500064</v>
      </c>
      <c r="P98" s="525">
        <v>497.77139881772734</v>
      </c>
      <c r="Q98" s="525">
        <v>491.12891416825494</v>
      </c>
      <c r="R98" s="525">
        <v>484.4868867365829</v>
      </c>
      <c r="S98" s="525">
        <v>477.84531652271016</v>
      </c>
      <c r="T98" s="525">
        <v>471.10950955220699</v>
      </c>
      <c r="U98" s="525">
        <v>464.37397556396866</v>
      </c>
      <c r="V98" s="525">
        <v>457.6387145579971</v>
      </c>
      <c r="W98" s="525">
        <v>450.90372653429142</v>
      </c>
      <c r="X98" s="525">
        <v>444.1690114928507</v>
      </c>
      <c r="Y98" s="525">
        <v>440.53637802732709</v>
      </c>
      <c r="Z98" s="525">
        <v>436.90403660354298</v>
      </c>
      <c r="AA98" s="525">
        <v>433.2719872215003</v>
      </c>
      <c r="AB98" s="525">
        <v>429.64022988119802</v>
      </c>
      <c r="AC98" s="525">
        <v>426.00876458263542</v>
      </c>
      <c r="AD98" s="525">
        <v>422.44033085637841</v>
      </c>
      <c r="AE98" s="525">
        <v>418.87211020978862</v>
      </c>
      <c r="AF98" s="525">
        <v>415.30410264286809</v>
      </c>
      <c r="AG98" s="525">
        <v>411.7363081556158</v>
      </c>
      <c r="AH98" s="525">
        <v>408.16872674803074</v>
      </c>
      <c r="AI98" s="526">
        <f t="shared" si="45"/>
        <v>408.16872674803074</v>
      </c>
      <c r="AJ98" s="526">
        <f t="shared" si="45"/>
        <v>408.16872674803074</v>
      </c>
      <c r="AK98" s="526">
        <f t="shared" si="45"/>
        <v>408.16872674803074</v>
      </c>
      <c r="AL98" s="526">
        <f t="shared" si="45"/>
        <v>408.16872674803074</v>
      </c>
      <c r="AM98" s="526">
        <f t="shared" si="45"/>
        <v>408.16872674803074</v>
      </c>
      <c r="AN98" s="526">
        <f t="shared" si="45"/>
        <v>408.16872674803074</v>
      </c>
      <c r="AO98" s="526">
        <f t="shared" si="45"/>
        <v>408.16872674803074</v>
      </c>
      <c r="AP98" s="526">
        <f t="shared" si="45"/>
        <v>408.16872674803074</v>
      </c>
      <c r="AQ98" s="526">
        <f t="shared" si="45"/>
        <v>408.16872674803074</v>
      </c>
      <c r="AR98" s="526">
        <f t="shared" si="45"/>
        <v>408.16872674803074</v>
      </c>
      <c r="AS98" s="526">
        <f t="shared" si="45"/>
        <v>408.16872674803074</v>
      </c>
      <c r="AT98" s="526">
        <f t="shared" si="45"/>
        <v>408.16872674803074</v>
      </c>
      <c r="AU98" s="526">
        <f t="shared" si="45"/>
        <v>408.16872674803074</v>
      </c>
      <c r="AV98" s="526">
        <f t="shared" si="45"/>
        <v>408.16872674803074</v>
      </c>
      <c r="AW98" s="526">
        <f t="shared" si="45"/>
        <v>408.16872674803074</v>
      </c>
      <c r="AX98" s="526">
        <f t="shared" si="45"/>
        <v>408.16872674803074</v>
      </c>
      <c r="AY98" s="526">
        <f t="shared" si="45"/>
        <v>408.16872674803074</v>
      </c>
      <c r="AZ98" s="526">
        <f t="shared" si="45"/>
        <v>408.16872674803074</v>
      </c>
      <c r="BA98" s="526">
        <f t="shared" si="45"/>
        <v>408.16872674803074</v>
      </c>
      <c r="BB98" s="526">
        <f t="shared" si="45"/>
        <v>408.16872674803074</v>
      </c>
      <c r="BC98" s="526">
        <f t="shared" si="45"/>
        <v>408.16872674803074</v>
      </c>
      <c r="BD98" s="526">
        <f t="shared" si="45"/>
        <v>408.16872674803074</v>
      </c>
      <c r="BE98" s="526">
        <f t="shared" si="45"/>
        <v>408.16872674803074</v>
      </c>
      <c r="BF98" s="526">
        <f t="shared" si="45"/>
        <v>408.16872674803074</v>
      </c>
      <c r="BG98" s="526">
        <f t="shared" si="45"/>
        <v>408.16872674803074</v>
      </c>
      <c r="BH98" s="526">
        <f t="shared" si="45"/>
        <v>408.16872674803074</v>
      </c>
      <c r="BI98" s="526">
        <f t="shared" si="45"/>
        <v>408.16872674803074</v>
      </c>
      <c r="BJ98" s="526">
        <f t="shared" si="45"/>
        <v>408.16872674803074</v>
      </c>
      <c r="BK98" s="526">
        <f t="shared" si="45"/>
        <v>408.16872674803074</v>
      </c>
      <c r="BL98" s="526">
        <f t="shared" si="45"/>
        <v>408.16872674803074</v>
      </c>
      <c r="BM98" s="526">
        <f t="shared" si="45"/>
        <v>408.16872674803074</v>
      </c>
      <c r="BN98" s="526">
        <f t="shared" si="45"/>
        <v>408.16872674803074</v>
      </c>
      <c r="BO98" s="526">
        <f t="shared" si="45"/>
        <v>408.16872674803074</v>
      </c>
      <c r="BP98" s="526">
        <f t="shared" si="45"/>
        <v>408.16872674803074</v>
      </c>
      <c r="BQ98" s="526">
        <f t="shared" si="45"/>
        <v>408.16872674803074</v>
      </c>
      <c r="BR98" s="526">
        <f t="shared" si="45"/>
        <v>408.16872674803074</v>
      </c>
      <c r="BS98" s="526">
        <f t="shared" si="45"/>
        <v>408.16872674803074</v>
      </c>
      <c r="BT98" s="526">
        <f t="shared" si="45"/>
        <v>408.16872674803074</v>
      </c>
      <c r="BU98" s="526">
        <f t="shared" si="45"/>
        <v>408.16872674803074</v>
      </c>
      <c r="BV98" s="526">
        <f t="shared" si="45"/>
        <v>408.16872674803074</v>
      </c>
      <c r="BW98" s="526">
        <f t="shared" si="45"/>
        <v>408.16872674803074</v>
      </c>
      <c r="BX98" s="526">
        <f t="shared" si="45"/>
        <v>408.16872674803074</v>
      </c>
      <c r="BY98" s="526">
        <f t="shared" si="45"/>
        <v>408.16872674803074</v>
      </c>
      <c r="BZ98" s="526">
        <f t="shared" si="45"/>
        <v>408.16872674803074</v>
      </c>
      <c r="CA98" s="526">
        <f t="shared" si="45"/>
        <v>408.16872674803074</v>
      </c>
      <c r="CB98" s="526">
        <f t="shared" si="44"/>
        <v>408.16872674803074</v>
      </c>
      <c r="CC98" s="526">
        <f t="shared" si="44"/>
        <v>408.16872674803074</v>
      </c>
      <c r="CD98" s="526">
        <f t="shared" si="44"/>
        <v>408.16872674803074</v>
      </c>
      <c r="CE98" s="526">
        <f t="shared" si="44"/>
        <v>408.16872674803074</v>
      </c>
      <c r="CF98" s="526">
        <f t="shared" si="44"/>
        <v>408.16872674803074</v>
      </c>
    </row>
    <row r="99" spans="2:84">
      <c r="B99" t="s">
        <v>752</v>
      </c>
      <c r="C99" t="s">
        <v>1354</v>
      </c>
      <c r="D99" t="s">
        <v>826</v>
      </c>
      <c r="E99" t="s">
        <v>1353</v>
      </c>
      <c r="F99" t="str">
        <f t="shared" si="32"/>
        <v>Bio-methanolOpExMiddle East</v>
      </c>
      <c r="G99" s="525">
        <v>700.19328577588544</v>
      </c>
      <c r="H99" s="525">
        <v>654.30171372502036</v>
      </c>
      <c r="I99" s="525">
        <v>608.41014167415494</v>
      </c>
      <c r="J99" s="525">
        <v>591.5483492599808</v>
      </c>
      <c r="K99" s="525">
        <v>574.68726377521853</v>
      </c>
      <c r="L99" s="525">
        <v>557.82688521986836</v>
      </c>
      <c r="M99" s="525">
        <v>540.96721359393018</v>
      </c>
      <c r="N99" s="525">
        <v>524.10824889740434</v>
      </c>
      <c r="O99" s="525">
        <v>517.19218921960362</v>
      </c>
      <c r="P99" s="525">
        <v>510.27662800850106</v>
      </c>
      <c r="Q99" s="525">
        <v>503.36156526409843</v>
      </c>
      <c r="R99" s="525">
        <v>496.44700098639521</v>
      </c>
      <c r="S99" s="525">
        <v>489.53293517539021</v>
      </c>
      <c r="T99" s="525">
        <v>483.06008925792423</v>
      </c>
      <c r="U99" s="525">
        <v>476.58749326641896</v>
      </c>
      <c r="V99" s="525">
        <v>470.11514720087621</v>
      </c>
      <c r="W99" s="525">
        <v>463.64305106129495</v>
      </c>
      <c r="X99" s="525">
        <v>457.1712048476744</v>
      </c>
      <c r="Y99" s="525">
        <v>453.27057716641127</v>
      </c>
      <c r="Z99" s="525">
        <v>449.37027723706757</v>
      </c>
      <c r="AA99" s="525">
        <v>445.4703050596454</v>
      </c>
      <c r="AB99" s="525">
        <v>441.57066063414379</v>
      </c>
      <c r="AC99" s="525">
        <v>437.6713439605619</v>
      </c>
      <c r="AD99" s="525">
        <v>433.91088828020344</v>
      </c>
      <c r="AE99" s="525">
        <v>430.15058599802433</v>
      </c>
      <c r="AF99" s="525">
        <v>426.39043711402661</v>
      </c>
      <c r="AG99" s="525">
        <v>422.63044162820938</v>
      </c>
      <c r="AH99" s="525">
        <v>418.87059954057179</v>
      </c>
      <c r="AI99" s="526">
        <f t="shared" si="45"/>
        <v>418.87059954057179</v>
      </c>
      <c r="AJ99" s="526">
        <f t="shared" si="45"/>
        <v>418.87059954057179</v>
      </c>
      <c r="AK99" s="526">
        <f t="shared" si="45"/>
        <v>418.87059954057179</v>
      </c>
      <c r="AL99" s="526">
        <f t="shared" si="45"/>
        <v>418.87059954057179</v>
      </c>
      <c r="AM99" s="526">
        <f t="shared" si="45"/>
        <v>418.87059954057179</v>
      </c>
      <c r="AN99" s="526">
        <f t="shared" si="45"/>
        <v>418.87059954057179</v>
      </c>
      <c r="AO99" s="526">
        <f t="shared" si="45"/>
        <v>418.87059954057179</v>
      </c>
      <c r="AP99" s="526">
        <f t="shared" si="45"/>
        <v>418.87059954057179</v>
      </c>
      <c r="AQ99" s="526">
        <f t="shared" si="45"/>
        <v>418.87059954057179</v>
      </c>
      <c r="AR99" s="526">
        <f t="shared" si="45"/>
        <v>418.87059954057179</v>
      </c>
      <c r="AS99" s="526">
        <f t="shared" si="45"/>
        <v>418.87059954057179</v>
      </c>
      <c r="AT99" s="526">
        <f t="shared" si="45"/>
        <v>418.87059954057179</v>
      </c>
      <c r="AU99" s="526">
        <f t="shared" si="45"/>
        <v>418.87059954057179</v>
      </c>
      <c r="AV99" s="526">
        <f t="shared" si="45"/>
        <v>418.87059954057179</v>
      </c>
      <c r="AW99" s="526">
        <f t="shared" si="45"/>
        <v>418.87059954057179</v>
      </c>
      <c r="AX99" s="526">
        <f t="shared" si="45"/>
        <v>418.87059954057179</v>
      </c>
      <c r="AY99" s="526">
        <f t="shared" si="45"/>
        <v>418.87059954057179</v>
      </c>
      <c r="AZ99" s="526">
        <f t="shared" si="45"/>
        <v>418.87059954057179</v>
      </c>
      <c r="BA99" s="526">
        <f t="shared" si="45"/>
        <v>418.87059954057179</v>
      </c>
      <c r="BB99" s="526">
        <f t="shared" si="45"/>
        <v>418.87059954057179</v>
      </c>
      <c r="BC99" s="526">
        <f t="shared" si="45"/>
        <v>418.87059954057179</v>
      </c>
      <c r="BD99" s="526">
        <f t="shared" si="45"/>
        <v>418.87059954057179</v>
      </c>
      <c r="BE99" s="526">
        <f t="shared" si="45"/>
        <v>418.87059954057179</v>
      </c>
      <c r="BF99" s="526">
        <f t="shared" si="45"/>
        <v>418.87059954057179</v>
      </c>
      <c r="BG99" s="526">
        <f t="shared" si="45"/>
        <v>418.87059954057179</v>
      </c>
      <c r="BH99" s="526">
        <f t="shared" si="45"/>
        <v>418.87059954057179</v>
      </c>
      <c r="BI99" s="526">
        <f t="shared" si="45"/>
        <v>418.87059954057179</v>
      </c>
      <c r="BJ99" s="526">
        <f t="shared" si="45"/>
        <v>418.87059954057179</v>
      </c>
      <c r="BK99" s="526">
        <f t="shared" si="45"/>
        <v>418.87059954057179</v>
      </c>
      <c r="BL99" s="526">
        <f t="shared" si="45"/>
        <v>418.87059954057179</v>
      </c>
      <c r="BM99" s="526">
        <f t="shared" si="45"/>
        <v>418.87059954057179</v>
      </c>
      <c r="BN99" s="526">
        <f t="shared" si="45"/>
        <v>418.87059954057179</v>
      </c>
      <c r="BO99" s="526">
        <f t="shared" si="45"/>
        <v>418.87059954057179</v>
      </c>
      <c r="BP99" s="526">
        <f t="shared" si="45"/>
        <v>418.87059954057179</v>
      </c>
      <c r="BQ99" s="526">
        <f t="shared" si="45"/>
        <v>418.87059954057179</v>
      </c>
      <c r="BR99" s="526">
        <f t="shared" si="45"/>
        <v>418.87059954057179</v>
      </c>
      <c r="BS99" s="526">
        <f t="shared" si="45"/>
        <v>418.87059954057179</v>
      </c>
      <c r="BT99" s="526">
        <f t="shared" si="45"/>
        <v>418.87059954057179</v>
      </c>
      <c r="BU99" s="526">
        <f t="shared" si="45"/>
        <v>418.87059954057179</v>
      </c>
      <c r="BV99" s="526">
        <f t="shared" si="45"/>
        <v>418.87059954057179</v>
      </c>
      <c r="BW99" s="526">
        <f t="shared" si="45"/>
        <v>418.87059954057179</v>
      </c>
      <c r="BX99" s="526">
        <f t="shared" si="45"/>
        <v>418.87059954057179</v>
      </c>
      <c r="BY99" s="526">
        <f t="shared" si="45"/>
        <v>418.87059954057179</v>
      </c>
      <c r="BZ99" s="526">
        <f t="shared" si="45"/>
        <v>418.87059954057179</v>
      </c>
      <c r="CA99" s="526">
        <f t="shared" si="45"/>
        <v>418.87059954057179</v>
      </c>
      <c r="CB99" s="526">
        <f t="shared" si="44"/>
        <v>418.87059954057179</v>
      </c>
      <c r="CC99" s="526">
        <f t="shared" si="44"/>
        <v>418.87059954057179</v>
      </c>
      <c r="CD99" s="526">
        <f t="shared" si="44"/>
        <v>418.87059954057179</v>
      </c>
      <c r="CE99" s="526">
        <f t="shared" si="44"/>
        <v>418.87059954057179</v>
      </c>
      <c r="CF99" s="526">
        <f t="shared" si="44"/>
        <v>418.87059954057179</v>
      </c>
    </row>
    <row r="100" spans="2:84">
      <c r="B100" t="s">
        <v>752</v>
      </c>
      <c r="C100" t="s">
        <v>1355</v>
      </c>
      <c r="D100" t="s">
        <v>708</v>
      </c>
      <c r="E100" t="s">
        <v>1356</v>
      </c>
      <c r="F100" t="str">
        <f t="shared" ref="F100:F131" si="46">+B100&amp;C100&amp;D100</f>
        <v>Bio-methanolTotal emissions - WTT - GWP100Global</v>
      </c>
      <c r="G100" s="527">
        <v>-1.38</v>
      </c>
      <c r="H100" s="527">
        <v>-1.38</v>
      </c>
      <c r="I100" s="527">
        <v>-1.38</v>
      </c>
      <c r="J100" s="527">
        <v>-1.38</v>
      </c>
      <c r="K100" s="527">
        <v>-1.38</v>
      </c>
      <c r="L100" s="527">
        <v>-1.38</v>
      </c>
      <c r="M100" s="527">
        <v>-1.38</v>
      </c>
      <c r="N100" s="527">
        <v>-1.38</v>
      </c>
      <c r="O100" s="527">
        <v>-1.38</v>
      </c>
      <c r="P100" s="527">
        <v>-1.38</v>
      </c>
      <c r="Q100" s="527">
        <v>-1.38</v>
      </c>
      <c r="R100" s="527">
        <v>-1.38</v>
      </c>
      <c r="S100" s="527">
        <v>-1.38</v>
      </c>
      <c r="T100" s="527">
        <v>-1.38</v>
      </c>
      <c r="U100" s="527">
        <v>-1.38</v>
      </c>
      <c r="V100" s="527">
        <v>-1.38</v>
      </c>
      <c r="W100" s="527">
        <v>-1.38</v>
      </c>
      <c r="X100" s="527">
        <v>-1.38</v>
      </c>
      <c r="Y100" s="527">
        <v>-1.38</v>
      </c>
      <c r="Z100" s="527">
        <v>-1.38</v>
      </c>
      <c r="AA100" s="527">
        <v>-1.38</v>
      </c>
      <c r="AB100" s="527">
        <v>-1.38</v>
      </c>
      <c r="AC100" s="527">
        <v>-1.38</v>
      </c>
      <c r="AD100" s="527">
        <v>-1.38</v>
      </c>
      <c r="AE100" s="527">
        <v>-1.38</v>
      </c>
      <c r="AF100" s="527">
        <v>-1.38</v>
      </c>
      <c r="AG100" s="527">
        <v>-1.38</v>
      </c>
      <c r="AH100" s="527">
        <v>-1.38</v>
      </c>
      <c r="AI100" s="528">
        <f t="shared" si="45"/>
        <v>-1.38</v>
      </c>
      <c r="AJ100" s="528">
        <f t="shared" si="45"/>
        <v>-1.38</v>
      </c>
      <c r="AK100" s="528">
        <f t="shared" si="45"/>
        <v>-1.38</v>
      </c>
      <c r="AL100" s="528">
        <f t="shared" si="45"/>
        <v>-1.38</v>
      </c>
      <c r="AM100" s="528">
        <f t="shared" si="45"/>
        <v>-1.38</v>
      </c>
      <c r="AN100" s="528">
        <f t="shared" si="45"/>
        <v>-1.38</v>
      </c>
      <c r="AO100" s="528">
        <f t="shared" si="45"/>
        <v>-1.38</v>
      </c>
      <c r="AP100" s="528">
        <f t="shared" si="45"/>
        <v>-1.38</v>
      </c>
      <c r="AQ100" s="528">
        <f t="shared" si="45"/>
        <v>-1.38</v>
      </c>
      <c r="AR100" s="528">
        <f t="shared" si="45"/>
        <v>-1.38</v>
      </c>
      <c r="AS100" s="528">
        <f t="shared" si="45"/>
        <v>-1.38</v>
      </c>
      <c r="AT100" s="528">
        <f t="shared" si="45"/>
        <v>-1.38</v>
      </c>
      <c r="AU100" s="528">
        <f t="shared" si="45"/>
        <v>-1.38</v>
      </c>
      <c r="AV100" s="528">
        <f t="shared" si="45"/>
        <v>-1.38</v>
      </c>
      <c r="AW100" s="528">
        <f t="shared" si="45"/>
        <v>-1.38</v>
      </c>
      <c r="AX100" s="528">
        <f t="shared" si="45"/>
        <v>-1.38</v>
      </c>
      <c r="AY100" s="528">
        <f t="shared" si="45"/>
        <v>-1.38</v>
      </c>
      <c r="AZ100" s="528">
        <f t="shared" si="45"/>
        <v>-1.38</v>
      </c>
      <c r="BA100" s="528">
        <f t="shared" si="45"/>
        <v>-1.38</v>
      </c>
      <c r="BB100" s="528">
        <f t="shared" si="45"/>
        <v>-1.38</v>
      </c>
      <c r="BC100" s="528">
        <f t="shared" si="45"/>
        <v>-1.38</v>
      </c>
      <c r="BD100" s="528">
        <f t="shared" si="45"/>
        <v>-1.38</v>
      </c>
      <c r="BE100" s="528">
        <f t="shared" si="45"/>
        <v>-1.38</v>
      </c>
      <c r="BF100" s="528">
        <f t="shared" si="45"/>
        <v>-1.38</v>
      </c>
      <c r="BG100" s="528">
        <f t="shared" si="45"/>
        <v>-1.38</v>
      </c>
      <c r="BH100" s="528">
        <f t="shared" si="45"/>
        <v>-1.38</v>
      </c>
      <c r="BI100" s="528">
        <f t="shared" si="45"/>
        <v>-1.38</v>
      </c>
      <c r="BJ100" s="528">
        <f t="shared" si="45"/>
        <v>-1.38</v>
      </c>
      <c r="BK100" s="528">
        <f t="shared" si="45"/>
        <v>-1.38</v>
      </c>
      <c r="BL100" s="528">
        <f t="shared" si="45"/>
        <v>-1.38</v>
      </c>
      <c r="BM100" s="528">
        <f t="shared" ref="BM100:CA100" si="47">BL100</f>
        <v>-1.38</v>
      </c>
      <c r="BN100" s="528">
        <f t="shared" si="47"/>
        <v>-1.38</v>
      </c>
      <c r="BO100" s="528">
        <f t="shared" si="47"/>
        <v>-1.38</v>
      </c>
      <c r="BP100" s="528">
        <f t="shared" si="47"/>
        <v>-1.38</v>
      </c>
      <c r="BQ100" s="528">
        <f t="shared" si="47"/>
        <v>-1.38</v>
      </c>
      <c r="BR100" s="528">
        <f t="shared" si="47"/>
        <v>-1.38</v>
      </c>
      <c r="BS100" s="528">
        <f t="shared" si="47"/>
        <v>-1.38</v>
      </c>
      <c r="BT100" s="528">
        <f t="shared" si="47"/>
        <v>-1.38</v>
      </c>
      <c r="BU100" s="528">
        <f t="shared" si="47"/>
        <v>-1.38</v>
      </c>
      <c r="BV100" s="528">
        <f t="shared" si="47"/>
        <v>-1.38</v>
      </c>
      <c r="BW100" s="528">
        <f t="shared" si="47"/>
        <v>-1.38</v>
      </c>
      <c r="BX100" s="528">
        <f t="shared" si="47"/>
        <v>-1.38</v>
      </c>
      <c r="BY100" s="528">
        <f t="shared" si="47"/>
        <v>-1.38</v>
      </c>
      <c r="BZ100" s="528">
        <f t="shared" si="47"/>
        <v>-1.38</v>
      </c>
      <c r="CA100" s="528">
        <f t="shared" si="47"/>
        <v>-1.38</v>
      </c>
      <c r="CB100" s="528">
        <f t="shared" si="44"/>
        <v>-1.38</v>
      </c>
      <c r="CC100" s="528">
        <f t="shared" si="44"/>
        <v>-1.38</v>
      </c>
      <c r="CD100" s="528">
        <f t="shared" si="44"/>
        <v>-1.38</v>
      </c>
      <c r="CE100" s="528">
        <f t="shared" si="44"/>
        <v>-1.38</v>
      </c>
      <c r="CF100" s="528">
        <f t="shared" si="44"/>
        <v>-1.38</v>
      </c>
    </row>
    <row r="101" spans="2:84">
      <c r="B101" t="s">
        <v>752</v>
      </c>
      <c r="C101" t="s">
        <v>1357</v>
      </c>
      <c r="D101" t="s">
        <v>708</v>
      </c>
      <c r="E101" t="s">
        <v>1356</v>
      </c>
      <c r="F101" t="str">
        <f t="shared" si="46"/>
        <v>Bio-methanolTotal emissions - TTW - GWP100Global</v>
      </c>
      <c r="G101" s="527">
        <v>1.38</v>
      </c>
      <c r="H101" s="527">
        <v>1.38</v>
      </c>
      <c r="I101" s="527">
        <v>1.38</v>
      </c>
      <c r="J101" s="527">
        <v>1.38</v>
      </c>
      <c r="K101" s="527">
        <v>1.38</v>
      </c>
      <c r="L101" s="527">
        <v>1.38</v>
      </c>
      <c r="M101" s="527">
        <v>1.38</v>
      </c>
      <c r="N101" s="527">
        <v>1.38</v>
      </c>
      <c r="O101" s="527">
        <v>1.38</v>
      </c>
      <c r="P101" s="527">
        <v>1.38</v>
      </c>
      <c r="Q101" s="527">
        <v>1.38</v>
      </c>
      <c r="R101" s="527">
        <v>1.38</v>
      </c>
      <c r="S101" s="527">
        <v>1.38</v>
      </c>
      <c r="T101" s="527">
        <v>1.38</v>
      </c>
      <c r="U101" s="527">
        <v>1.38</v>
      </c>
      <c r="V101" s="527">
        <v>1.38</v>
      </c>
      <c r="W101" s="527">
        <v>1.38</v>
      </c>
      <c r="X101" s="527">
        <v>1.38</v>
      </c>
      <c r="Y101" s="527">
        <v>1.38</v>
      </c>
      <c r="Z101" s="527">
        <v>1.38</v>
      </c>
      <c r="AA101" s="527">
        <v>1.38</v>
      </c>
      <c r="AB101" s="527">
        <v>1.38</v>
      </c>
      <c r="AC101" s="527">
        <v>1.38</v>
      </c>
      <c r="AD101" s="527">
        <v>1.38</v>
      </c>
      <c r="AE101" s="527">
        <v>1.38</v>
      </c>
      <c r="AF101" s="527">
        <v>1.38</v>
      </c>
      <c r="AG101" s="527">
        <v>1.38</v>
      </c>
      <c r="AH101" s="527">
        <v>1.38</v>
      </c>
      <c r="AI101" s="526">
        <f t="shared" ref="AI101:CA102" si="48">AH101</f>
        <v>1.38</v>
      </c>
      <c r="AJ101" s="526">
        <f t="shared" si="48"/>
        <v>1.38</v>
      </c>
      <c r="AK101" s="526">
        <f t="shared" si="48"/>
        <v>1.38</v>
      </c>
      <c r="AL101" s="526">
        <f t="shared" si="48"/>
        <v>1.38</v>
      </c>
      <c r="AM101" s="526">
        <f t="shared" si="48"/>
        <v>1.38</v>
      </c>
      <c r="AN101" s="526">
        <f t="shared" si="48"/>
        <v>1.38</v>
      </c>
      <c r="AO101" s="526">
        <f t="shared" si="48"/>
        <v>1.38</v>
      </c>
      <c r="AP101" s="526">
        <f t="shared" si="48"/>
        <v>1.38</v>
      </c>
      <c r="AQ101" s="526">
        <f t="shared" si="48"/>
        <v>1.38</v>
      </c>
      <c r="AR101" s="526">
        <f t="shared" si="48"/>
        <v>1.38</v>
      </c>
      <c r="AS101" s="526">
        <f t="shared" si="48"/>
        <v>1.38</v>
      </c>
      <c r="AT101" s="526">
        <f t="shared" si="48"/>
        <v>1.38</v>
      </c>
      <c r="AU101" s="526">
        <f t="shared" si="48"/>
        <v>1.38</v>
      </c>
      <c r="AV101" s="526">
        <f t="shared" si="48"/>
        <v>1.38</v>
      </c>
      <c r="AW101" s="526">
        <f t="shared" si="48"/>
        <v>1.38</v>
      </c>
      <c r="AX101" s="526">
        <f t="shared" si="48"/>
        <v>1.38</v>
      </c>
      <c r="AY101" s="526">
        <f t="shared" si="48"/>
        <v>1.38</v>
      </c>
      <c r="AZ101" s="526">
        <f t="shared" si="48"/>
        <v>1.38</v>
      </c>
      <c r="BA101" s="526">
        <f t="shared" si="48"/>
        <v>1.38</v>
      </c>
      <c r="BB101" s="526">
        <f t="shared" si="48"/>
        <v>1.38</v>
      </c>
      <c r="BC101" s="526">
        <f t="shared" si="48"/>
        <v>1.38</v>
      </c>
      <c r="BD101" s="526">
        <f t="shared" si="48"/>
        <v>1.38</v>
      </c>
      <c r="BE101" s="526">
        <f t="shared" si="48"/>
        <v>1.38</v>
      </c>
      <c r="BF101" s="526">
        <f t="shared" si="48"/>
        <v>1.38</v>
      </c>
      <c r="BG101" s="526">
        <f t="shared" si="48"/>
        <v>1.38</v>
      </c>
      <c r="BH101" s="526">
        <f t="shared" si="48"/>
        <v>1.38</v>
      </c>
      <c r="BI101" s="526">
        <f t="shared" si="48"/>
        <v>1.38</v>
      </c>
      <c r="BJ101" s="526">
        <f t="shared" si="48"/>
        <v>1.38</v>
      </c>
      <c r="BK101" s="526">
        <f t="shared" si="48"/>
        <v>1.38</v>
      </c>
      <c r="BL101" s="526">
        <f t="shared" si="48"/>
        <v>1.38</v>
      </c>
      <c r="BM101" s="526">
        <f t="shared" si="48"/>
        <v>1.38</v>
      </c>
      <c r="BN101" s="526">
        <f t="shared" si="48"/>
        <v>1.38</v>
      </c>
      <c r="BO101" s="526">
        <f t="shared" si="48"/>
        <v>1.38</v>
      </c>
      <c r="BP101" s="526">
        <f t="shared" si="48"/>
        <v>1.38</v>
      </c>
      <c r="BQ101" s="526">
        <f t="shared" si="48"/>
        <v>1.38</v>
      </c>
      <c r="BR101" s="526">
        <f t="shared" si="48"/>
        <v>1.38</v>
      </c>
      <c r="BS101" s="526">
        <f t="shared" si="48"/>
        <v>1.38</v>
      </c>
      <c r="BT101" s="526">
        <f t="shared" si="48"/>
        <v>1.38</v>
      </c>
      <c r="BU101" s="526">
        <f t="shared" si="48"/>
        <v>1.38</v>
      </c>
      <c r="BV101" s="526">
        <f t="shared" si="48"/>
        <v>1.38</v>
      </c>
      <c r="BW101" s="526">
        <f t="shared" si="48"/>
        <v>1.38</v>
      </c>
      <c r="BX101" s="526">
        <f t="shared" si="48"/>
        <v>1.38</v>
      </c>
      <c r="BY101" s="526">
        <f t="shared" si="48"/>
        <v>1.38</v>
      </c>
      <c r="BZ101" s="526">
        <f t="shared" si="48"/>
        <v>1.38</v>
      </c>
      <c r="CA101" s="526">
        <f t="shared" si="48"/>
        <v>1.38</v>
      </c>
      <c r="CB101" s="526">
        <f t="shared" si="44"/>
        <v>1.38</v>
      </c>
      <c r="CC101" s="526">
        <f t="shared" si="44"/>
        <v>1.38</v>
      </c>
      <c r="CD101" s="526">
        <f t="shared" si="44"/>
        <v>1.38</v>
      </c>
      <c r="CE101" s="526">
        <f t="shared" si="44"/>
        <v>1.38</v>
      </c>
      <c r="CF101" s="526">
        <f t="shared" si="44"/>
        <v>1.38</v>
      </c>
    </row>
    <row r="102" spans="2:84">
      <c r="B102" t="s">
        <v>752</v>
      </c>
      <c r="C102" t="s">
        <v>1358</v>
      </c>
      <c r="D102" t="s">
        <v>708</v>
      </c>
      <c r="E102" t="s">
        <v>1356</v>
      </c>
      <c r="F102" t="str">
        <f t="shared" si="46"/>
        <v>Bio-methanolTotal emissions - WTW - GWP100Global</v>
      </c>
      <c r="G102" s="527">
        <v>0</v>
      </c>
      <c r="H102" s="527">
        <v>0</v>
      </c>
      <c r="I102" s="527">
        <v>0</v>
      </c>
      <c r="J102" s="527">
        <v>0</v>
      </c>
      <c r="K102" s="527">
        <v>0</v>
      </c>
      <c r="L102" s="527">
        <v>0</v>
      </c>
      <c r="M102" s="527">
        <v>0</v>
      </c>
      <c r="N102" s="527">
        <v>0</v>
      </c>
      <c r="O102" s="527">
        <v>0</v>
      </c>
      <c r="P102" s="527">
        <v>0</v>
      </c>
      <c r="Q102" s="527">
        <v>0</v>
      </c>
      <c r="R102" s="527">
        <v>0</v>
      </c>
      <c r="S102" s="527">
        <v>0</v>
      </c>
      <c r="T102" s="527">
        <v>0</v>
      </c>
      <c r="U102" s="527">
        <v>0</v>
      </c>
      <c r="V102" s="527">
        <v>0</v>
      </c>
      <c r="W102" s="527">
        <v>0</v>
      </c>
      <c r="X102" s="527">
        <v>0</v>
      </c>
      <c r="Y102" s="527">
        <v>0</v>
      </c>
      <c r="Z102" s="527">
        <v>0</v>
      </c>
      <c r="AA102" s="527">
        <v>0</v>
      </c>
      <c r="AB102" s="527">
        <v>0</v>
      </c>
      <c r="AC102" s="527">
        <v>0</v>
      </c>
      <c r="AD102" s="527">
        <v>0</v>
      </c>
      <c r="AE102" s="527">
        <v>0</v>
      </c>
      <c r="AF102" s="527">
        <v>0</v>
      </c>
      <c r="AG102" s="527">
        <v>0</v>
      </c>
      <c r="AH102" s="527">
        <v>0</v>
      </c>
      <c r="AI102" s="528">
        <f t="shared" si="48"/>
        <v>0</v>
      </c>
      <c r="AJ102" s="528">
        <f t="shared" si="48"/>
        <v>0</v>
      </c>
      <c r="AK102" s="528">
        <f t="shared" si="48"/>
        <v>0</v>
      </c>
      <c r="AL102" s="528">
        <f t="shared" si="48"/>
        <v>0</v>
      </c>
      <c r="AM102" s="528">
        <f t="shared" si="48"/>
        <v>0</v>
      </c>
      <c r="AN102" s="528">
        <f t="shared" si="48"/>
        <v>0</v>
      </c>
      <c r="AO102" s="528">
        <f t="shared" si="48"/>
        <v>0</v>
      </c>
      <c r="AP102" s="528">
        <f t="shared" si="48"/>
        <v>0</v>
      </c>
      <c r="AQ102" s="528">
        <f t="shared" si="48"/>
        <v>0</v>
      </c>
      <c r="AR102" s="528">
        <f t="shared" si="48"/>
        <v>0</v>
      </c>
      <c r="AS102" s="528">
        <f t="shared" si="48"/>
        <v>0</v>
      </c>
      <c r="AT102" s="528">
        <f t="shared" si="48"/>
        <v>0</v>
      </c>
      <c r="AU102" s="528">
        <f t="shared" si="48"/>
        <v>0</v>
      </c>
      <c r="AV102" s="528">
        <f t="shared" si="48"/>
        <v>0</v>
      </c>
      <c r="AW102" s="528">
        <f t="shared" si="48"/>
        <v>0</v>
      </c>
      <c r="AX102" s="528">
        <f t="shared" si="48"/>
        <v>0</v>
      </c>
      <c r="AY102" s="528">
        <f t="shared" si="48"/>
        <v>0</v>
      </c>
      <c r="AZ102" s="528">
        <f t="shared" si="48"/>
        <v>0</v>
      </c>
      <c r="BA102" s="528">
        <f t="shared" si="48"/>
        <v>0</v>
      </c>
      <c r="BB102" s="528">
        <f t="shared" si="48"/>
        <v>0</v>
      </c>
      <c r="BC102" s="528">
        <f t="shared" si="48"/>
        <v>0</v>
      </c>
      <c r="BD102" s="528">
        <f t="shared" si="48"/>
        <v>0</v>
      </c>
      <c r="BE102" s="528">
        <f t="shared" si="48"/>
        <v>0</v>
      </c>
      <c r="BF102" s="528">
        <f t="shared" si="48"/>
        <v>0</v>
      </c>
      <c r="BG102" s="528">
        <f t="shared" si="48"/>
        <v>0</v>
      </c>
      <c r="BH102" s="528">
        <f t="shared" si="48"/>
        <v>0</v>
      </c>
      <c r="BI102" s="528">
        <f t="shared" si="48"/>
        <v>0</v>
      </c>
      <c r="BJ102" s="528">
        <f t="shared" si="48"/>
        <v>0</v>
      </c>
      <c r="BK102" s="528">
        <f t="shared" si="48"/>
        <v>0</v>
      </c>
      <c r="BL102" s="528">
        <f t="shared" si="48"/>
        <v>0</v>
      </c>
      <c r="BM102" s="528">
        <f t="shared" si="48"/>
        <v>0</v>
      </c>
      <c r="BN102" s="528">
        <f t="shared" si="48"/>
        <v>0</v>
      </c>
      <c r="BO102" s="528">
        <f t="shared" si="48"/>
        <v>0</v>
      </c>
      <c r="BP102" s="528">
        <f t="shared" si="48"/>
        <v>0</v>
      </c>
      <c r="BQ102" s="528">
        <f t="shared" si="48"/>
        <v>0</v>
      </c>
      <c r="BR102" s="528">
        <f t="shared" si="48"/>
        <v>0</v>
      </c>
      <c r="BS102" s="528">
        <f t="shared" si="48"/>
        <v>0</v>
      </c>
      <c r="BT102" s="528">
        <f t="shared" si="48"/>
        <v>0</v>
      </c>
      <c r="BU102" s="528">
        <f t="shared" si="48"/>
        <v>0</v>
      </c>
      <c r="BV102" s="528">
        <f t="shared" si="48"/>
        <v>0</v>
      </c>
      <c r="BW102" s="528">
        <f t="shared" si="48"/>
        <v>0</v>
      </c>
      <c r="BX102" s="528">
        <f t="shared" si="48"/>
        <v>0</v>
      </c>
      <c r="BY102" s="528">
        <f t="shared" si="48"/>
        <v>0</v>
      </c>
      <c r="BZ102" s="528">
        <f t="shared" si="48"/>
        <v>0</v>
      </c>
      <c r="CA102" s="528">
        <f t="shared" si="48"/>
        <v>0</v>
      </c>
      <c r="CB102" s="528">
        <f t="shared" si="44"/>
        <v>0</v>
      </c>
      <c r="CC102" s="528">
        <f t="shared" si="44"/>
        <v>0</v>
      </c>
      <c r="CD102" s="528">
        <f t="shared" si="44"/>
        <v>0</v>
      </c>
      <c r="CE102" s="528">
        <f t="shared" si="44"/>
        <v>0</v>
      </c>
      <c r="CF102" s="528">
        <f t="shared" si="44"/>
        <v>0</v>
      </c>
    </row>
    <row r="103" spans="2:84">
      <c r="B103" t="s">
        <v>784</v>
      </c>
      <c r="C103" t="s">
        <v>1352</v>
      </c>
      <c r="D103" t="s">
        <v>708</v>
      </c>
      <c r="E103" t="s">
        <v>1353</v>
      </c>
      <c r="F103" t="str">
        <f t="shared" si="46"/>
        <v>Bio-methane (liquefied)CapExGlobal</v>
      </c>
      <c r="G103" s="525">
        <v>6229.7374606285011</v>
      </c>
      <c r="H103" s="525">
        <v>6144.34909587109</v>
      </c>
      <c r="I103" s="525">
        <v>6058.9607311136497</v>
      </c>
      <c r="J103" s="525">
        <v>5973.5723663562094</v>
      </c>
      <c r="K103" s="525">
        <v>5888.1840015987691</v>
      </c>
      <c r="L103" s="525">
        <v>5802.7956368413288</v>
      </c>
      <c r="M103" s="525">
        <v>5717.4072720838885</v>
      </c>
      <c r="N103" s="525">
        <v>5632.0189073264482</v>
      </c>
      <c r="O103" s="525">
        <v>5546.630542569008</v>
      </c>
      <c r="P103" s="525">
        <v>5461.2421778115677</v>
      </c>
      <c r="Q103" s="525">
        <v>5375.8538130541274</v>
      </c>
      <c r="R103" s="525">
        <v>5290.4654482967162</v>
      </c>
      <c r="S103" s="525">
        <v>5205.0770835392759</v>
      </c>
      <c r="T103" s="525">
        <v>5119.6887187818356</v>
      </c>
      <c r="U103" s="525">
        <v>5034.3003540243953</v>
      </c>
      <c r="V103" s="525">
        <v>4948.9119892669551</v>
      </c>
      <c r="W103" s="525">
        <v>4863.5236245095148</v>
      </c>
      <c r="X103" s="525">
        <v>4778.1352597520745</v>
      </c>
      <c r="Y103" s="525">
        <v>4692.7468949946342</v>
      </c>
      <c r="Z103" s="525">
        <v>4607.3585302371939</v>
      </c>
      <c r="AA103" s="525">
        <v>4521.9701654797536</v>
      </c>
      <c r="AB103" s="525">
        <v>4436.5818007223425</v>
      </c>
      <c r="AC103" s="525">
        <v>4351.1934359649022</v>
      </c>
      <c r="AD103" s="525">
        <v>4265.8050712074619</v>
      </c>
      <c r="AE103" s="525">
        <v>4180.4167064500216</v>
      </c>
      <c r="AF103" s="525">
        <v>4095.0283416925813</v>
      </c>
      <c r="AG103" s="525">
        <v>4009.6399769351415</v>
      </c>
      <c r="AH103" s="525">
        <v>3924.2516121777007</v>
      </c>
      <c r="AI103" s="526">
        <f>AH103</f>
        <v>3924.2516121777007</v>
      </c>
      <c r="AJ103" s="526">
        <f t="shared" ref="AJ103:CF111" si="49">AI103</f>
        <v>3924.2516121777007</v>
      </c>
      <c r="AK103" s="526">
        <f t="shared" si="49"/>
        <v>3924.2516121777007</v>
      </c>
      <c r="AL103" s="526">
        <f t="shared" si="49"/>
        <v>3924.2516121777007</v>
      </c>
      <c r="AM103" s="526">
        <f t="shared" si="49"/>
        <v>3924.2516121777007</v>
      </c>
      <c r="AN103" s="526">
        <f t="shared" si="49"/>
        <v>3924.2516121777007</v>
      </c>
      <c r="AO103" s="526">
        <f t="shared" si="49"/>
        <v>3924.2516121777007</v>
      </c>
      <c r="AP103" s="526">
        <f t="shared" si="49"/>
        <v>3924.2516121777007</v>
      </c>
      <c r="AQ103" s="526">
        <f t="shared" si="49"/>
        <v>3924.2516121777007</v>
      </c>
      <c r="AR103" s="526">
        <f t="shared" si="49"/>
        <v>3924.2516121777007</v>
      </c>
      <c r="AS103" s="526">
        <f t="shared" si="49"/>
        <v>3924.2516121777007</v>
      </c>
      <c r="AT103" s="526">
        <f t="shared" si="49"/>
        <v>3924.2516121777007</v>
      </c>
      <c r="AU103" s="526">
        <f t="shared" si="49"/>
        <v>3924.2516121777007</v>
      </c>
      <c r="AV103" s="526">
        <f t="shared" si="49"/>
        <v>3924.2516121777007</v>
      </c>
      <c r="AW103" s="526">
        <f t="shared" si="49"/>
        <v>3924.2516121777007</v>
      </c>
      <c r="AX103" s="526">
        <f t="shared" si="49"/>
        <v>3924.2516121777007</v>
      </c>
      <c r="AY103" s="526">
        <f t="shared" si="49"/>
        <v>3924.2516121777007</v>
      </c>
      <c r="AZ103" s="526">
        <f t="shared" si="49"/>
        <v>3924.2516121777007</v>
      </c>
      <c r="BA103" s="526">
        <f t="shared" si="49"/>
        <v>3924.2516121777007</v>
      </c>
      <c r="BB103" s="526">
        <f t="shared" si="49"/>
        <v>3924.2516121777007</v>
      </c>
      <c r="BC103" s="526">
        <f t="shared" si="49"/>
        <v>3924.2516121777007</v>
      </c>
      <c r="BD103" s="526">
        <f t="shared" si="49"/>
        <v>3924.2516121777007</v>
      </c>
      <c r="BE103" s="526">
        <f t="shared" si="49"/>
        <v>3924.2516121777007</v>
      </c>
      <c r="BF103" s="526">
        <f t="shared" si="49"/>
        <v>3924.2516121777007</v>
      </c>
      <c r="BG103" s="526">
        <f t="shared" si="49"/>
        <v>3924.2516121777007</v>
      </c>
      <c r="BH103" s="526">
        <f t="shared" si="49"/>
        <v>3924.2516121777007</v>
      </c>
      <c r="BI103" s="526">
        <f t="shared" si="49"/>
        <v>3924.2516121777007</v>
      </c>
      <c r="BJ103" s="526">
        <f t="shared" si="49"/>
        <v>3924.2516121777007</v>
      </c>
      <c r="BK103" s="526">
        <f t="shared" si="49"/>
        <v>3924.2516121777007</v>
      </c>
      <c r="BL103" s="526">
        <f t="shared" si="49"/>
        <v>3924.2516121777007</v>
      </c>
      <c r="BM103" s="526">
        <f t="shared" si="49"/>
        <v>3924.2516121777007</v>
      </c>
      <c r="BN103" s="526">
        <f t="shared" si="49"/>
        <v>3924.2516121777007</v>
      </c>
      <c r="BO103" s="526">
        <f t="shared" si="49"/>
        <v>3924.2516121777007</v>
      </c>
      <c r="BP103" s="526">
        <f t="shared" si="49"/>
        <v>3924.2516121777007</v>
      </c>
      <c r="BQ103" s="526">
        <f t="shared" si="49"/>
        <v>3924.2516121777007</v>
      </c>
      <c r="BR103" s="526">
        <f t="shared" si="49"/>
        <v>3924.2516121777007</v>
      </c>
      <c r="BS103" s="526">
        <f t="shared" si="49"/>
        <v>3924.2516121777007</v>
      </c>
      <c r="BT103" s="526">
        <f t="shared" si="49"/>
        <v>3924.2516121777007</v>
      </c>
      <c r="BU103" s="526">
        <f t="shared" si="49"/>
        <v>3924.2516121777007</v>
      </c>
      <c r="BV103" s="526">
        <f t="shared" si="49"/>
        <v>3924.2516121777007</v>
      </c>
      <c r="BW103" s="526">
        <f t="shared" si="49"/>
        <v>3924.2516121777007</v>
      </c>
      <c r="BX103" s="526">
        <f t="shared" si="49"/>
        <v>3924.2516121777007</v>
      </c>
      <c r="BY103" s="526">
        <f t="shared" si="49"/>
        <v>3924.2516121777007</v>
      </c>
      <c r="BZ103" s="526">
        <f t="shared" si="49"/>
        <v>3924.2516121777007</v>
      </c>
      <c r="CA103" s="526">
        <f t="shared" si="49"/>
        <v>3924.2516121777007</v>
      </c>
      <c r="CB103" s="526">
        <f t="shared" si="49"/>
        <v>3924.2516121777007</v>
      </c>
      <c r="CC103" s="526">
        <f t="shared" si="49"/>
        <v>3924.2516121777007</v>
      </c>
      <c r="CD103" s="526">
        <f t="shared" si="49"/>
        <v>3924.2516121777007</v>
      </c>
      <c r="CE103" s="526">
        <f t="shared" si="49"/>
        <v>3924.2516121777007</v>
      </c>
      <c r="CF103" s="526">
        <f t="shared" si="49"/>
        <v>3924.2516121777007</v>
      </c>
    </row>
    <row r="104" spans="2:84">
      <c r="B104" t="s">
        <v>784</v>
      </c>
      <c r="C104" t="s">
        <v>1354</v>
      </c>
      <c r="D104" t="s">
        <v>838</v>
      </c>
      <c r="E104" t="s">
        <v>1353</v>
      </c>
      <c r="F104" t="str">
        <f t="shared" si="46"/>
        <v>Bio-methane (liquefied)OpExAfrica</v>
      </c>
      <c r="G104" s="525">
        <v>992.56381368919278</v>
      </c>
      <c r="H104" s="525">
        <v>968.41160877333903</v>
      </c>
      <c r="I104" s="525">
        <v>944.65131037490869</v>
      </c>
      <c r="J104" s="525">
        <v>931.2001930540689</v>
      </c>
      <c r="K104" s="525">
        <v>917.83124423030938</v>
      </c>
      <c r="L104" s="525">
        <v>904.54446390362898</v>
      </c>
      <c r="M104" s="525">
        <v>891.33985207402736</v>
      </c>
      <c r="N104" s="525">
        <v>878.21740874150623</v>
      </c>
      <c r="O104" s="525">
        <v>867.05805160694501</v>
      </c>
      <c r="P104" s="525">
        <v>855.89432291744481</v>
      </c>
      <c r="Q104" s="525">
        <v>844.72622267300517</v>
      </c>
      <c r="R104" s="525">
        <v>833.55375087362972</v>
      </c>
      <c r="S104" s="525">
        <v>822.37690751931348</v>
      </c>
      <c r="T104" s="525">
        <v>811.88758827367553</v>
      </c>
      <c r="U104" s="525">
        <v>801.39621140896213</v>
      </c>
      <c r="V104" s="525">
        <v>790.90277692517247</v>
      </c>
      <c r="W104" s="525">
        <v>780.40728482230725</v>
      </c>
      <c r="X104" s="525">
        <v>769.90973510036724</v>
      </c>
      <c r="Y104" s="525">
        <v>759.39258839995762</v>
      </c>
      <c r="Z104" s="525">
        <v>748.87332590921346</v>
      </c>
      <c r="AA104" s="525">
        <v>738.35194762813535</v>
      </c>
      <c r="AB104" s="525">
        <v>727.82845355672521</v>
      </c>
      <c r="AC104" s="525">
        <v>717.30284369498008</v>
      </c>
      <c r="AD104" s="525">
        <v>707.10263181759603</v>
      </c>
      <c r="AE104" s="525">
        <v>696.90138145365131</v>
      </c>
      <c r="AF104" s="525">
        <v>686.69909260314648</v>
      </c>
      <c r="AG104" s="525">
        <v>676.49576526608189</v>
      </c>
      <c r="AH104" s="525">
        <v>666.29139944245742</v>
      </c>
      <c r="AI104" s="526">
        <f t="shared" ref="AI104:CA109" si="50">AH104</f>
        <v>666.29139944245742</v>
      </c>
      <c r="AJ104" s="526">
        <f t="shared" si="50"/>
        <v>666.29139944245742</v>
      </c>
      <c r="AK104" s="526">
        <f t="shared" si="50"/>
        <v>666.29139944245742</v>
      </c>
      <c r="AL104" s="526">
        <f t="shared" si="50"/>
        <v>666.29139944245742</v>
      </c>
      <c r="AM104" s="526">
        <f t="shared" si="50"/>
        <v>666.29139944245742</v>
      </c>
      <c r="AN104" s="526">
        <f t="shared" si="50"/>
        <v>666.29139944245742</v>
      </c>
      <c r="AO104" s="526">
        <f t="shared" si="50"/>
        <v>666.29139944245742</v>
      </c>
      <c r="AP104" s="526">
        <f t="shared" si="50"/>
        <v>666.29139944245742</v>
      </c>
      <c r="AQ104" s="526">
        <f t="shared" si="50"/>
        <v>666.29139944245742</v>
      </c>
      <c r="AR104" s="526">
        <f t="shared" si="50"/>
        <v>666.29139944245742</v>
      </c>
      <c r="AS104" s="526">
        <f t="shared" si="50"/>
        <v>666.29139944245742</v>
      </c>
      <c r="AT104" s="526">
        <f t="shared" si="50"/>
        <v>666.29139944245742</v>
      </c>
      <c r="AU104" s="526">
        <f t="shared" si="50"/>
        <v>666.29139944245742</v>
      </c>
      <c r="AV104" s="526">
        <f t="shared" si="50"/>
        <v>666.29139944245742</v>
      </c>
      <c r="AW104" s="526">
        <f t="shared" si="50"/>
        <v>666.29139944245742</v>
      </c>
      <c r="AX104" s="526">
        <f t="shared" si="50"/>
        <v>666.29139944245742</v>
      </c>
      <c r="AY104" s="526">
        <f t="shared" si="50"/>
        <v>666.29139944245742</v>
      </c>
      <c r="AZ104" s="526">
        <f t="shared" si="50"/>
        <v>666.29139944245742</v>
      </c>
      <c r="BA104" s="526">
        <f t="shared" si="50"/>
        <v>666.29139944245742</v>
      </c>
      <c r="BB104" s="526">
        <f t="shared" si="50"/>
        <v>666.29139944245742</v>
      </c>
      <c r="BC104" s="526">
        <f t="shared" si="50"/>
        <v>666.29139944245742</v>
      </c>
      <c r="BD104" s="526">
        <f t="shared" si="50"/>
        <v>666.29139944245742</v>
      </c>
      <c r="BE104" s="526">
        <f t="shared" si="50"/>
        <v>666.29139944245742</v>
      </c>
      <c r="BF104" s="526">
        <f t="shared" si="50"/>
        <v>666.29139944245742</v>
      </c>
      <c r="BG104" s="526">
        <f t="shared" si="50"/>
        <v>666.29139944245742</v>
      </c>
      <c r="BH104" s="526">
        <f t="shared" si="50"/>
        <v>666.29139944245742</v>
      </c>
      <c r="BI104" s="526">
        <f t="shared" si="50"/>
        <v>666.29139944245742</v>
      </c>
      <c r="BJ104" s="526">
        <f t="shared" si="50"/>
        <v>666.29139944245742</v>
      </c>
      <c r="BK104" s="526">
        <f t="shared" si="50"/>
        <v>666.29139944245742</v>
      </c>
      <c r="BL104" s="526">
        <f t="shared" si="50"/>
        <v>666.29139944245742</v>
      </c>
      <c r="BM104" s="526">
        <f t="shared" si="50"/>
        <v>666.29139944245742</v>
      </c>
      <c r="BN104" s="526">
        <f t="shared" si="50"/>
        <v>666.29139944245742</v>
      </c>
      <c r="BO104" s="526">
        <f t="shared" si="50"/>
        <v>666.29139944245742</v>
      </c>
      <c r="BP104" s="526">
        <f t="shared" si="50"/>
        <v>666.29139944245742</v>
      </c>
      <c r="BQ104" s="526">
        <f t="shared" si="50"/>
        <v>666.29139944245742</v>
      </c>
      <c r="BR104" s="526">
        <f t="shared" si="50"/>
        <v>666.29139944245742</v>
      </c>
      <c r="BS104" s="526">
        <f t="shared" si="50"/>
        <v>666.29139944245742</v>
      </c>
      <c r="BT104" s="526">
        <f t="shared" si="50"/>
        <v>666.29139944245742</v>
      </c>
      <c r="BU104" s="526">
        <f t="shared" si="50"/>
        <v>666.29139944245742</v>
      </c>
      <c r="BV104" s="526">
        <f t="shared" si="50"/>
        <v>666.29139944245742</v>
      </c>
      <c r="BW104" s="526">
        <f t="shared" si="50"/>
        <v>666.29139944245742</v>
      </c>
      <c r="BX104" s="526">
        <f t="shared" si="50"/>
        <v>666.29139944245742</v>
      </c>
      <c r="BY104" s="526">
        <f t="shared" si="50"/>
        <v>666.29139944245742</v>
      </c>
      <c r="BZ104" s="526">
        <f t="shared" si="50"/>
        <v>666.29139944245742</v>
      </c>
      <c r="CA104" s="526">
        <f t="shared" si="50"/>
        <v>666.29139944245742</v>
      </c>
      <c r="CB104" s="526">
        <f t="shared" si="49"/>
        <v>666.29139944245742</v>
      </c>
      <c r="CC104" s="526">
        <f t="shared" si="49"/>
        <v>666.29139944245742</v>
      </c>
      <c r="CD104" s="526">
        <f t="shared" si="49"/>
        <v>666.29139944245742</v>
      </c>
      <c r="CE104" s="526">
        <f t="shared" si="49"/>
        <v>666.29139944245742</v>
      </c>
      <c r="CF104" s="526">
        <f t="shared" si="49"/>
        <v>666.29139944245742</v>
      </c>
    </row>
    <row r="105" spans="2:84">
      <c r="B105" t="s">
        <v>784</v>
      </c>
      <c r="C105" t="s">
        <v>1354</v>
      </c>
      <c r="D105" t="s">
        <v>731</v>
      </c>
      <c r="E105" t="s">
        <v>1353</v>
      </c>
      <c r="F105" t="str">
        <f t="shared" si="46"/>
        <v>Bio-methane (liquefied)OpExAmericas</v>
      </c>
      <c r="G105" s="525">
        <v>943.81869611277739</v>
      </c>
      <c r="H105" s="525">
        <v>932.61964650998311</v>
      </c>
      <c r="I105" s="525">
        <v>921.46548398950461</v>
      </c>
      <c r="J105" s="525">
        <v>910.2523359070633</v>
      </c>
      <c r="K105" s="525">
        <v>899.03792577137062</v>
      </c>
      <c r="L105" s="525">
        <v>887.82225358242522</v>
      </c>
      <c r="M105" s="525">
        <v>876.60531934022822</v>
      </c>
      <c r="N105" s="525">
        <v>865.38712304477895</v>
      </c>
      <c r="O105" s="525">
        <v>855.129092393777</v>
      </c>
      <c r="P105" s="525">
        <v>844.85652951641487</v>
      </c>
      <c r="Q105" s="525">
        <v>834.56943441269277</v>
      </c>
      <c r="R105" s="525">
        <v>824.26780708261344</v>
      </c>
      <c r="S105" s="525">
        <v>813.95164752617154</v>
      </c>
      <c r="T105" s="525">
        <v>803.6803445945709</v>
      </c>
      <c r="U105" s="525">
        <v>793.40698897799609</v>
      </c>
      <c r="V105" s="525">
        <v>783.13158067644645</v>
      </c>
      <c r="W105" s="525">
        <v>772.85411968992264</v>
      </c>
      <c r="X105" s="525">
        <v>762.57460601842524</v>
      </c>
      <c r="Y105" s="525">
        <v>752.6626105836724</v>
      </c>
      <c r="Z105" s="525">
        <v>742.74978818747536</v>
      </c>
      <c r="AA105" s="525">
        <v>732.83613882983468</v>
      </c>
      <c r="AB105" s="525">
        <v>722.92166251075162</v>
      </c>
      <c r="AC105" s="525">
        <v>713.00635923022412</v>
      </c>
      <c r="AD105" s="525">
        <v>703.15196709982217</v>
      </c>
      <c r="AE105" s="525">
        <v>693.29695108554256</v>
      </c>
      <c r="AF105" s="525">
        <v>683.44131118738642</v>
      </c>
      <c r="AG105" s="525">
        <v>673.58504740535363</v>
      </c>
      <c r="AH105" s="525">
        <v>663.72815973944421</v>
      </c>
      <c r="AI105" s="526">
        <f t="shared" si="50"/>
        <v>663.72815973944421</v>
      </c>
      <c r="AJ105" s="526">
        <f t="shared" si="50"/>
        <v>663.72815973944421</v>
      </c>
      <c r="AK105" s="526">
        <f t="shared" si="50"/>
        <v>663.72815973944421</v>
      </c>
      <c r="AL105" s="526">
        <f t="shared" si="50"/>
        <v>663.72815973944421</v>
      </c>
      <c r="AM105" s="526">
        <f t="shared" si="50"/>
        <v>663.72815973944421</v>
      </c>
      <c r="AN105" s="526">
        <f t="shared" si="50"/>
        <v>663.72815973944421</v>
      </c>
      <c r="AO105" s="526">
        <f t="shared" si="50"/>
        <v>663.72815973944421</v>
      </c>
      <c r="AP105" s="526">
        <f t="shared" si="50"/>
        <v>663.72815973944421</v>
      </c>
      <c r="AQ105" s="526">
        <f t="shared" si="50"/>
        <v>663.72815973944421</v>
      </c>
      <c r="AR105" s="526">
        <f t="shared" si="50"/>
        <v>663.72815973944421</v>
      </c>
      <c r="AS105" s="526">
        <f t="shared" si="50"/>
        <v>663.72815973944421</v>
      </c>
      <c r="AT105" s="526">
        <f t="shared" si="50"/>
        <v>663.72815973944421</v>
      </c>
      <c r="AU105" s="526">
        <f t="shared" si="50"/>
        <v>663.72815973944421</v>
      </c>
      <c r="AV105" s="526">
        <f t="shared" si="50"/>
        <v>663.72815973944421</v>
      </c>
      <c r="AW105" s="526">
        <f t="shared" si="50"/>
        <v>663.72815973944421</v>
      </c>
      <c r="AX105" s="526">
        <f t="shared" si="50"/>
        <v>663.72815973944421</v>
      </c>
      <c r="AY105" s="526">
        <f t="shared" si="50"/>
        <v>663.72815973944421</v>
      </c>
      <c r="AZ105" s="526">
        <f t="shared" si="50"/>
        <v>663.72815973944421</v>
      </c>
      <c r="BA105" s="526">
        <f t="shared" si="50"/>
        <v>663.72815973944421</v>
      </c>
      <c r="BB105" s="526">
        <f t="shared" si="50"/>
        <v>663.72815973944421</v>
      </c>
      <c r="BC105" s="526">
        <f t="shared" si="50"/>
        <v>663.72815973944421</v>
      </c>
      <c r="BD105" s="526">
        <f t="shared" si="50"/>
        <v>663.72815973944421</v>
      </c>
      <c r="BE105" s="526">
        <f t="shared" si="50"/>
        <v>663.72815973944421</v>
      </c>
      <c r="BF105" s="526">
        <f t="shared" si="50"/>
        <v>663.72815973944421</v>
      </c>
      <c r="BG105" s="526">
        <f t="shared" si="50"/>
        <v>663.72815973944421</v>
      </c>
      <c r="BH105" s="526">
        <f t="shared" si="50"/>
        <v>663.72815973944421</v>
      </c>
      <c r="BI105" s="526">
        <f t="shared" si="50"/>
        <v>663.72815973944421</v>
      </c>
      <c r="BJ105" s="526">
        <f t="shared" si="50"/>
        <v>663.72815973944421</v>
      </c>
      <c r="BK105" s="526">
        <f t="shared" si="50"/>
        <v>663.72815973944421</v>
      </c>
      <c r="BL105" s="526">
        <f t="shared" si="50"/>
        <v>663.72815973944421</v>
      </c>
      <c r="BM105" s="526">
        <f t="shared" si="50"/>
        <v>663.72815973944421</v>
      </c>
      <c r="BN105" s="526">
        <f t="shared" si="50"/>
        <v>663.72815973944421</v>
      </c>
      <c r="BO105" s="526">
        <f t="shared" si="50"/>
        <v>663.72815973944421</v>
      </c>
      <c r="BP105" s="526">
        <f t="shared" si="50"/>
        <v>663.72815973944421</v>
      </c>
      <c r="BQ105" s="526">
        <f t="shared" si="50"/>
        <v>663.72815973944421</v>
      </c>
      <c r="BR105" s="526">
        <f t="shared" si="50"/>
        <v>663.72815973944421</v>
      </c>
      <c r="BS105" s="526">
        <f t="shared" si="50"/>
        <v>663.72815973944421</v>
      </c>
      <c r="BT105" s="526">
        <f t="shared" si="50"/>
        <v>663.72815973944421</v>
      </c>
      <c r="BU105" s="526">
        <f t="shared" si="50"/>
        <v>663.72815973944421</v>
      </c>
      <c r="BV105" s="526">
        <f t="shared" si="50"/>
        <v>663.72815973944421</v>
      </c>
      <c r="BW105" s="526">
        <f t="shared" si="50"/>
        <v>663.72815973944421</v>
      </c>
      <c r="BX105" s="526">
        <f t="shared" si="50"/>
        <v>663.72815973944421</v>
      </c>
      <c r="BY105" s="526">
        <f t="shared" si="50"/>
        <v>663.72815973944421</v>
      </c>
      <c r="BZ105" s="526">
        <f t="shared" si="50"/>
        <v>663.72815973944421</v>
      </c>
      <c r="CA105" s="526">
        <f t="shared" si="50"/>
        <v>663.72815973944421</v>
      </c>
      <c r="CB105" s="526">
        <f t="shared" si="49"/>
        <v>663.72815973944421</v>
      </c>
      <c r="CC105" s="526">
        <f t="shared" si="49"/>
        <v>663.72815973944421</v>
      </c>
      <c r="CD105" s="526">
        <f t="shared" si="49"/>
        <v>663.72815973944421</v>
      </c>
      <c r="CE105" s="526">
        <f t="shared" si="49"/>
        <v>663.72815973944421</v>
      </c>
      <c r="CF105" s="526">
        <f t="shared" si="49"/>
        <v>663.72815973944421</v>
      </c>
    </row>
    <row r="106" spans="2:84">
      <c r="B106" t="s">
        <v>784</v>
      </c>
      <c r="C106" t="s">
        <v>1354</v>
      </c>
      <c r="D106" t="s">
        <v>750</v>
      </c>
      <c r="E106" t="s">
        <v>1353</v>
      </c>
      <c r="F106" t="str">
        <f t="shared" si="46"/>
        <v>Bio-methane (liquefied)OpExAsia</v>
      </c>
      <c r="G106" s="525">
        <v>999.20129905069075</v>
      </c>
      <c r="H106" s="525">
        <v>977.39795464068652</v>
      </c>
      <c r="I106" s="525">
        <v>955.92122794028296</v>
      </c>
      <c r="J106" s="525">
        <v>941.57991140419153</v>
      </c>
      <c r="K106" s="525">
        <v>927.38020783469415</v>
      </c>
      <c r="L106" s="525">
        <v>913.32211723178727</v>
      </c>
      <c r="M106" s="525">
        <v>899.40563959547239</v>
      </c>
      <c r="N106" s="525">
        <v>885.6307749257511</v>
      </c>
      <c r="O106" s="525">
        <v>874.21909147294002</v>
      </c>
      <c r="P106" s="525">
        <v>862.80170744461918</v>
      </c>
      <c r="Q106" s="525">
        <v>851.37862284078847</v>
      </c>
      <c r="R106" s="525">
        <v>839.94983766144969</v>
      </c>
      <c r="S106" s="525">
        <v>828.51535190659865</v>
      </c>
      <c r="T106" s="525">
        <v>817.91307768104298</v>
      </c>
      <c r="U106" s="525">
        <v>807.30790514478622</v>
      </c>
      <c r="V106" s="525">
        <v>796.69983429782769</v>
      </c>
      <c r="W106" s="525">
        <v>786.08886514016751</v>
      </c>
      <c r="X106" s="525">
        <v>775.47499767180705</v>
      </c>
      <c r="Y106" s="525">
        <v>764.81739728403454</v>
      </c>
      <c r="Z106" s="525">
        <v>754.15676315298742</v>
      </c>
      <c r="AA106" s="525">
        <v>743.49309527866581</v>
      </c>
      <c r="AB106" s="525">
        <v>732.82639366107185</v>
      </c>
      <c r="AC106" s="525">
        <v>722.15665830020248</v>
      </c>
      <c r="AD106" s="525">
        <v>711.98323234940972</v>
      </c>
      <c r="AE106" s="525">
        <v>701.80841516416183</v>
      </c>
      <c r="AF106" s="525">
        <v>691.63220674445984</v>
      </c>
      <c r="AG106" s="525">
        <v>681.45460709030363</v>
      </c>
      <c r="AH106" s="525">
        <v>671.27561620169308</v>
      </c>
      <c r="AI106" s="526">
        <f t="shared" si="50"/>
        <v>671.27561620169308</v>
      </c>
      <c r="AJ106" s="526">
        <f t="shared" si="50"/>
        <v>671.27561620169308</v>
      </c>
      <c r="AK106" s="526">
        <f t="shared" si="50"/>
        <v>671.27561620169308</v>
      </c>
      <c r="AL106" s="526">
        <f t="shared" si="50"/>
        <v>671.27561620169308</v>
      </c>
      <c r="AM106" s="526">
        <f t="shared" si="50"/>
        <v>671.27561620169308</v>
      </c>
      <c r="AN106" s="526">
        <f t="shared" si="50"/>
        <v>671.27561620169308</v>
      </c>
      <c r="AO106" s="526">
        <f t="shared" si="50"/>
        <v>671.27561620169308</v>
      </c>
      <c r="AP106" s="526">
        <f t="shared" si="50"/>
        <v>671.27561620169308</v>
      </c>
      <c r="AQ106" s="526">
        <f t="shared" si="50"/>
        <v>671.27561620169308</v>
      </c>
      <c r="AR106" s="526">
        <f t="shared" si="50"/>
        <v>671.27561620169308</v>
      </c>
      <c r="AS106" s="526">
        <f t="shared" si="50"/>
        <v>671.27561620169308</v>
      </c>
      <c r="AT106" s="526">
        <f t="shared" si="50"/>
        <v>671.27561620169308</v>
      </c>
      <c r="AU106" s="526">
        <f t="shared" si="50"/>
        <v>671.27561620169308</v>
      </c>
      <c r="AV106" s="526">
        <f t="shared" si="50"/>
        <v>671.27561620169308</v>
      </c>
      <c r="AW106" s="526">
        <f t="shared" si="50"/>
        <v>671.27561620169308</v>
      </c>
      <c r="AX106" s="526">
        <f t="shared" si="50"/>
        <v>671.27561620169308</v>
      </c>
      <c r="AY106" s="526">
        <f t="shared" si="50"/>
        <v>671.27561620169308</v>
      </c>
      <c r="AZ106" s="526">
        <f t="shared" si="50"/>
        <v>671.27561620169308</v>
      </c>
      <c r="BA106" s="526">
        <f t="shared" si="50"/>
        <v>671.27561620169308</v>
      </c>
      <c r="BB106" s="526">
        <f t="shared" si="50"/>
        <v>671.27561620169308</v>
      </c>
      <c r="BC106" s="526">
        <f t="shared" si="50"/>
        <v>671.27561620169308</v>
      </c>
      <c r="BD106" s="526">
        <f t="shared" si="50"/>
        <v>671.27561620169308</v>
      </c>
      <c r="BE106" s="526">
        <f t="shared" si="50"/>
        <v>671.27561620169308</v>
      </c>
      <c r="BF106" s="526">
        <f t="shared" si="50"/>
        <v>671.27561620169308</v>
      </c>
      <c r="BG106" s="526">
        <f t="shared" si="50"/>
        <v>671.27561620169308</v>
      </c>
      <c r="BH106" s="526">
        <f t="shared" si="50"/>
        <v>671.27561620169308</v>
      </c>
      <c r="BI106" s="526">
        <f t="shared" si="50"/>
        <v>671.27561620169308</v>
      </c>
      <c r="BJ106" s="526">
        <f t="shared" si="50"/>
        <v>671.27561620169308</v>
      </c>
      <c r="BK106" s="526">
        <f t="shared" si="50"/>
        <v>671.27561620169308</v>
      </c>
      <c r="BL106" s="526">
        <f t="shared" si="50"/>
        <v>671.27561620169308</v>
      </c>
      <c r="BM106" s="526">
        <f t="shared" si="50"/>
        <v>671.27561620169308</v>
      </c>
      <c r="BN106" s="526">
        <f t="shared" si="50"/>
        <v>671.27561620169308</v>
      </c>
      <c r="BO106" s="526">
        <f t="shared" si="50"/>
        <v>671.27561620169308</v>
      </c>
      <c r="BP106" s="526">
        <f t="shared" si="50"/>
        <v>671.27561620169308</v>
      </c>
      <c r="BQ106" s="526">
        <f t="shared" si="50"/>
        <v>671.27561620169308</v>
      </c>
      <c r="BR106" s="526">
        <f t="shared" si="50"/>
        <v>671.27561620169308</v>
      </c>
      <c r="BS106" s="526">
        <f t="shared" si="50"/>
        <v>671.27561620169308</v>
      </c>
      <c r="BT106" s="526">
        <f t="shared" si="50"/>
        <v>671.27561620169308</v>
      </c>
      <c r="BU106" s="526">
        <f t="shared" si="50"/>
        <v>671.27561620169308</v>
      </c>
      <c r="BV106" s="526">
        <f t="shared" si="50"/>
        <v>671.27561620169308</v>
      </c>
      <c r="BW106" s="526">
        <f t="shared" si="50"/>
        <v>671.27561620169308</v>
      </c>
      <c r="BX106" s="526">
        <f t="shared" si="50"/>
        <v>671.27561620169308</v>
      </c>
      <c r="BY106" s="526">
        <f t="shared" si="50"/>
        <v>671.27561620169308</v>
      </c>
      <c r="BZ106" s="526">
        <f t="shared" si="50"/>
        <v>671.27561620169308</v>
      </c>
      <c r="CA106" s="526">
        <f t="shared" si="50"/>
        <v>671.27561620169308</v>
      </c>
      <c r="CB106" s="526">
        <f t="shared" si="49"/>
        <v>671.27561620169308</v>
      </c>
      <c r="CC106" s="526">
        <f t="shared" si="49"/>
        <v>671.27561620169308</v>
      </c>
      <c r="CD106" s="526">
        <f t="shared" si="49"/>
        <v>671.27561620169308</v>
      </c>
      <c r="CE106" s="526">
        <f t="shared" si="49"/>
        <v>671.27561620169308</v>
      </c>
      <c r="CF106" s="526">
        <f t="shared" si="49"/>
        <v>671.27561620169308</v>
      </c>
    </row>
    <row r="107" spans="2:84">
      <c r="B107" t="s">
        <v>784</v>
      </c>
      <c r="C107" t="s">
        <v>1354</v>
      </c>
      <c r="D107" t="s">
        <v>720</v>
      </c>
      <c r="E107" t="s">
        <v>1353</v>
      </c>
      <c r="F107" t="str">
        <f t="shared" si="46"/>
        <v>Bio-methane (liquefied)OpExEurope</v>
      </c>
      <c r="G107" s="525">
        <v>980.5254754424127</v>
      </c>
      <c r="H107" s="525">
        <v>962.08283481419824</v>
      </c>
      <c r="I107" s="525">
        <v>944.05165666936091</v>
      </c>
      <c r="J107" s="525">
        <v>930.87387200828016</v>
      </c>
      <c r="K107" s="525">
        <v>917.77918898217865</v>
      </c>
      <c r="L107" s="525">
        <v>904.76760759105616</v>
      </c>
      <c r="M107" s="525">
        <v>891.83912783491212</v>
      </c>
      <c r="N107" s="525">
        <v>878.99374971374777</v>
      </c>
      <c r="O107" s="525">
        <v>868.28203988242672</v>
      </c>
      <c r="P107" s="525">
        <v>857.56746378186722</v>
      </c>
      <c r="Q107" s="525">
        <v>846.85002141206837</v>
      </c>
      <c r="R107" s="525">
        <v>836.12971277303302</v>
      </c>
      <c r="S107" s="525">
        <v>825.40653786475684</v>
      </c>
      <c r="T107" s="525">
        <v>815.02584436716495</v>
      </c>
      <c r="U107" s="525">
        <v>804.64343956115272</v>
      </c>
      <c r="V107" s="525">
        <v>794.25932344671946</v>
      </c>
      <c r="W107" s="525">
        <v>783.87349602386575</v>
      </c>
      <c r="X107" s="525">
        <v>773.48595729259159</v>
      </c>
      <c r="Y107" s="525">
        <v>763.06068175048279</v>
      </c>
      <c r="Z107" s="525">
        <v>752.63357541732182</v>
      </c>
      <c r="AA107" s="525">
        <v>742.20463829310961</v>
      </c>
      <c r="AB107" s="525">
        <v>731.77387037784729</v>
      </c>
      <c r="AC107" s="525">
        <v>721.34127167153304</v>
      </c>
      <c r="AD107" s="525">
        <v>711.0573308356245</v>
      </c>
      <c r="AE107" s="525">
        <v>700.77205421685994</v>
      </c>
      <c r="AF107" s="525">
        <v>690.48544181524039</v>
      </c>
      <c r="AG107" s="525">
        <v>680.19749363076562</v>
      </c>
      <c r="AH107" s="525">
        <v>669.90820966343597</v>
      </c>
      <c r="AI107" s="526">
        <f t="shared" si="50"/>
        <v>669.90820966343597</v>
      </c>
      <c r="AJ107" s="526">
        <f t="shared" si="50"/>
        <v>669.90820966343597</v>
      </c>
      <c r="AK107" s="526">
        <f t="shared" si="50"/>
        <v>669.90820966343597</v>
      </c>
      <c r="AL107" s="526">
        <f t="shared" si="50"/>
        <v>669.90820966343597</v>
      </c>
      <c r="AM107" s="526">
        <f t="shared" si="50"/>
        <v>669.90820966343597</v>
      </c>
      <c r="AN107" s="526">
        <f t="shared" si="50"/>
        <v>669.90820966343597</v>
      </c>
      <c r="AO107" s="526">
        <f t="shared" si="50"/>
        <v>669.90820966343597</v>
      </c>
      <c r="AP107" s="526">
        <f t="shared" si="50"/>
        <v>669.90820966343597</v>
      </c>
      <c r="AQ107" s="526">
        <f t="shared" si="50"/>
        <v>669.90820966343597</v>
      </c>
      <c r="AR107" s="526">
        <f t="shared" si="50"/>
        <v>669.90820966343597</v>
      </c>
      <c r="AS107" s="526">
        <f t="shared" si="50"/>
        <v>669.90820966343597</v>
      </c>
      <c r="AT107" s="526">
        <f t="shared" si="50"/>
        <v>669.90820966343597</v>
      </c>
      <c r="AU107" s="526">
        <f t="shared" si="50"/>
        <v>669.90820966343597</v>
      </c>
      <c r="AV107" s="526">
        <f t="shared" si="50"/>
        <v>669.90820966343597</v>
      </c>
      <c r="AW107" s="526">
        <f t="shared" si="50"/>
        <v>669.90820966343597</v>
      </c>
      <c r="AX107" s="526">
        <f t="shared" si="50"/>
        <v>669.90820966343597</v>
      </c>
      <c r="AY107" s="526">
        <f t="shared" si="50"/>
        <v>669.90820966343597</v>
      </c>
      <c r="AZ107" s="526">
        <f t="shared" si="50"/>
        <v>669.90820966343597</v>
      </c>
      <c r="BA107" s="526">
        <f t="shared" si="50"/>
        <v>669.90820966343597</v>
      </c>
      <c r="BB107" s="526">
        <f t="shared" si="50"/>
        <v>669.90820966343597</v>
      </c>
      <c r="BC107" s="526">
        <f t="shared" si="50"/>
        <v>669.90820966343597</v>
      </c>
      <c r="BD107" s="526">
        <f t="shared" si="50"/>
        <v>669.90820966343597</v>
      </c>
      <c r="BE107" s="526">
        <f t="shared" si="50"/>
        <v>669.90820966343597</v>
      </c>
      <c r="BF107" s="526">
        <f t="shared" si="50"/>
        <v>669.90820966343597</v>
      </c>
      <c r="BG107" s="526">
        <f t="shared" si="50"/>
        <v>669.90820966343597</v>
      </c>
      <c r="BH107" s="526">
        <f t="shared" si="50"/>
        <v>669.90820966343597</v>
      </c>
      <c r="BI107" s="526">
        <f t="shared" si="50"/>
        <v>669.90820966343597</v>
      </c>
      <c r="BJ107" s="526">
        <f t="shared" si="50"/>
        <v>669.90820966343597</v>
      </c>
      <c r="BK107" s="526">
        <f t="shared" si="50"/>
        <v>669.90820966343597</v>
      </c>
      <c r="BL107" s="526">
        <f t="shared" si="50"/>
        <v>669.90820966343597</v>
      </c>
      <c r="BM107" s="526">
        <f t="shared" si="50"/>
        <v>669.90820966343597</v>
      </c>
      <c r="BN107" s="526">
        <f t="shared" si="50"/>
        <v>669.90820966343597</v>
      </c>
      <c r="BO107" s="526">
        <f t="shared" si="50"/>
        <v>669.90820966343597</v>
      </c>
      <c r="BP107" s="526">
        <f t="shared" si="50"/>
        <v>669.90820966343597</v>
      </c>
      <c r="BQ107" s="526">
        <f t="shared" si="50"/>
        <v>669.90820966343597</v>
      </c>
      <c r="BR107" s="526">
        <f t="shared" si="50"/>
        <v>669.90820966343597</v>
      </c>
      <c r="BS107" s="526">
        <f t="shared" si="50"/>
        <v>669.90820966343597</v>
      </c>
      <c r="BT107" s="526">
        <f t="shared" si="50"/>
        <v>669.90820966343597</v>
      </c>
      <c r="BU107" s="526">
        <f t="shared" si="50"/>
        <v>669.90820966343597</v>
      </c>
      <c r="BV107" s="526">
        <f t="shared" si="50"/>
        <v>669.90820966343597</v>
      </c>
      <c r="BW107" s="526">
        <f t="shared" si="50"/>
        <v>669.90820966343597</v>
      </c>
      <c r="BX107" s="526">
        <f t="shared" si="50"/>
        <v>669.90820966343597</v>
      </c>
      <c r="BY107" s="526">
        <f t="shared" si="50"/>
        <v>669.90820966343597</v>
      </c>
      <c r="BZ107" s="526">
        <f t="shared" si="50"/>
        <v>669.90820966343597</v>
      </c>
      <c r="CA107" s="526">
        <f t="shared" si="50"/>
        <v>669.90820966343597</v>
      </c>
      <c r="CB107" s="526">
        <f t="shared" si="49"/>
        <v>669.90820966343597</v>
      </c>
      <c r="CC107" s="526">
        <f t="shared" si="49"/>
        <v>669.90820966343597</v>
      </c>
      <c r="CD107" s="526">
        <f t="shared" si="49"/>
        <v>669.90820966343597</v>
      </c>
      <c r="CE107" s="526">
        <f t="shared" si="49"/>
        <v>669.90820966343597</v>
      </c>
      <c r="CF107" s="526">
        <f t="shared" si="49"/>
        <v>669.90820966343597</v>
      </c>
    </row>
    <row r="108" spans="2:84">
      <c r="B108" t="s">
        <v>784</v>
      </c>
      <c r="C108" t="s">
        <v>1354</v>
      </c>
      <c r="D108" t="s">
        <v>826</v>
      </c>
      <c r="E108" t="s">
        <v>1353</v>
      </c>
      <c r="F108" t="str">
        <f t="shared" si="46"/>
        <v>Bio-methane (liquefied)OpExMiddle East</v>
      </c>
      <c r="G108" s="525">
        <v>960.33696302781891</v>
      </c>
      <c r="H108" s="525">
        <v>943.56644724663988</v>
      </c>
      <c r="I108" s="525">
        <v>927.1392379879494</v>
      </c>
      <c r="J108" s="525">
        <v>914.0963273782744</v>
      </c>
      <c r="K108" s="525">
        <v>901.20098507318721</v>
      </c>
      <c r="L108" s="525">
        <v>888.45321107268614</v>
      </c>
      <c r="M108" s="525">
        <v>875.85300537677199</v>
      </c>
      <c r="N108" s="525">
        <v>863.40036798544509</v>
      </c>
      <c r="O108" s="525">
        <v>852.92679308578965</v>
      </c>
      <c r="P108" s="525">
        <v>842.45009333017776</v>
      </c>
      <c r="Q108" s="525">
        <v>831.97026871860862</v>
      </c>
      <c r="R108" s="525">
        <v>821.48731925108586</v>
      </c>
      <c r="S108" s="525">
        <v>811.00124492760403</v>
      </c>
      <c r="T108" s="525">
        <v>800.97793289327819</v>
      </c>
      <c r="U108" s="525">
        <v>790.95305408903391</v>
      </c>
      <c r="V108" s="525">
        <v>780.92660851487085</v>
      </c>
      <c r="W108" s="525">
        <v>770.89859617078878</v>
      </c>
      <c r="X108" s="525">
        <v>760.86901705678906</v>
      </c>
      <c r="Y108" s="525">
        <v>750.69076747038218</v>
      </c>
      <c r="Z108" s="525">
        <v>740.51046322808099</v>
      </c>
      <c r="AA108" s="525">
        <v>730.32810432988595</v>
      </c>
      <c r="AB108" s="525">
        <v>720.14369077579863</v>
      </c>
      <c r="AC108" s="525">
        <v>709.95722256581644</v>
      </c>
      <c r="AD108" s="525">
        <v>700.10098911720809</v>
      </c>
      <c r="AE108" s="525">
        <v>690.24379402518525</v>
      </c>
      <c r="AF108" s="525">
        <v>680.38563728974896</v>
      </c>
      <c r="AG108" s="525">
        <v>670.52651891089931</v>
      </c>
      <c r="AH108" s="525">
        <v>660.66643888863643</v>
      </c>
      <c r="AI108" s="526">
        <f t="shared" si="50"/>
        <v>660.66643888863643</v>
      </c>
      <c r="AJ108" s="526">
        <f t="shared" si="50"/>
        <v>660.66643888863643</v>
      </c>
      <c r="AK108" s="526">
        <f t="shared" si="50"/>
        <v>660.66643888863643</v>
      </c>
      <c r="AL108" s="526">
        <f t="shared" si="50"/>
        <v>660.66643888863643</v>
      </c>
      <c r="AM108" s="526">
        <f t="shared" si="50"/>
        <v>660.66643888863643</v>
      </c>
      <c r="AN108" s="526">
        <f t="shared" si="50"/>
        <v>660.66643888863643</v>
      </c>
      <c r="AO108" s="526">
        <f t="shared" si="50"/>
        <v>660.66643888863643</v>
      </c>
      <c r="AP108" s="526">
        <f t="shared" si="50"/>
        <v>660.66643888863643</v>
      </c>
      <c r="AQ108" s="526">
        <f t="shared" si="50"/>
        <v>660.66643888863643</v>
      </c>
      <c r="AR108" s="526">
        <f t="shared" si="50"/>
        <v>660.66643888863643</v>
      </c>
      <c r="AS108" s="526">
        <f t="shared" si="50"/>
        <v>660.66643888863643</v>
      </c>
      <c r="AT108" s="526">
        <f t="shared" si="50"/>
        <v>660.66643888863643</v>
      </c>
      <c r="AU108" s="526">
        <f t="shared" si="50"/>
        <v>660.66643888863643</v>
      </c>
      <c r="AV108" s="526">
        <f t="shared" si="50"/>
        <v>660.66643888863643</v>
      </c>
      <c r="AW108" s="526">
        <f t="shared" si="50"/>
        <v>660.66643888863643</v>
      </c>
      <c r="AX108" s="526">
        <f t="shared" si="50"/>
        <v>660.66643888863643</v>
      </c>
      <c r="AY108" s="526">
        <f t="shared" si="50"/>
        <v>660.66643888863643</v>
      </c>
      <c r="AZ108" s="526">
        <f t="shared" si="50"/>
        <v>660.66643888863643</v>
      </c>
      <c r="BA108" s="526">
        <f t="shared" si="50"/>
        <v>660.66643888863643</v>
      </c>
      <c r="BB108" s="526">
        <f t="shared" si="50"/>
        <v>660.66643888863643</v>
      </c>
      <c r="BC108" s="526">
        <f t="shared" si="50"/>
        <v>660.66643888863643</v>
      </c>
      <c r="BD108" s="526">
        <f t="shared" si="50"/>
        <v>660.66643888863643</v>
      </c>
      <c r="BE108" s="526">
        <f t="shared" si="50"/>
        <v>660.66643888863643</v>
      </c>
      <c r="BF108" s="526">
        <f t="shared" si="50"/>
        <v>660.66643888863643</v>
      </c>
      <c r="BG108" s="526">
        <f t="shared" si="50"/>
        <v>660.66643888863643</v>
      </c>
      <c r="BH108" s="526">
        <f t="shared" si="50"/>
        <v>660.66643888863643</v>
      </c>
      <c r="BI108" s="526">
        <f t="shared" si="50"/>
        <v>660.66643888863643</v>
      </c>
      <c r="BJ108" s="526">
        <f t="shared" si="50"/>
        <v>660.66643888863643</v>
      </c>
      <c r="BK108" s="526">
        <f t="shared" si="50"/>
        <v>660.66643888863643</v>
      </c>
      <c r="BL108" s="526">
        <f t="shared" si="50"/>
        <v>660.66643888863643</v>
      </c>
      <c r="BM108" s="526">
        <f t="shared" si="50"/>
        <v>660.66643888863643</v>
      </c>
      <c r="BN108" s="526">
        <f t="shared" si="50"/>
        <v>660.66643888863643</v>
      </c>
      <c r="BO108" s="526">
        <f t="shared" si="50"/>
        <v>660.66643888863643</v>
      </c>
      <c r="BP108" s="526">
        <f t="shared" si="50"/>
        <v>660.66643888863643</v>
      </c>
      <c r="BQ108" s="526">
        <f t="shared" si="50"/>
        <v>660.66643888863643</v>
      </c>
      <c r="BR108" s="526">
        <f t="shared" si="50"/>
        <v>660.66643888863643</v>
      </c>
      <c r="BS108" s="526">
        <f t="shared" si="50"/>
        <v>660.66643888863643</v>
      </c>
      <c r="BT108" s="526">
        <f>BS108</f>
        <v>660.66643888863643</v>
      </c>
      <c r="BU108" s="526">
        <f t="shared" si="50"/>
        <v>660.66643888863643</v>
      </c>
      <c r="BV108" s="526">
        <f t="shared" si="50"/>
        <v>660.66643888863643</v>
      </c>
      <c r="BW108" s="526">
        <f t="shared" si="50"/>
        <v>660.66643888863643</v>
      </c>
      <c r="BX108" s="526">
        <f t="shared" si="50"/>
        <v>660.66643888863643</v>
      </c>
      <c r="BY108" s="526">
        <f t="shared" si="50"/>
        <v>660.66643888863643</v>
      </c>
      <c r="BZ108" s="526">
        <f t="shared" si="50"/>
        <v>660.66643888863643</v>
      </c>
      <c r="CA108" s="526">
        <f t="shared" si="50"/>
        <v>660.66643888863643</v>
      </c>
      <c r="CB108" s="526">
        <f t="shared" si="49"/>
        <v>660.66643888863643</v>
      </c>
      <c r="CC108" s="526">
        <f t="shared" si="49"/>
        <v>660.66643888863643</v>
      </c>
      <c r="CD108" s="526">
        <f t="shared" si="49"/>
        <v>660.66643888863643</v>
      </c>
      <c r="CE108" s="526">
        <f t="shared" si="49"/>
        <v>660.66643888863643</v>
      </c>
      <c r="CF108" s="526">
        <f t="shared" si="49"/>
        <v>660.66643888863643</v>
      </c>
    </row>
    <row r="109" spans="2:84">
      <c r="B109" t="s">
        <v>784</v>
      </c>
      <c r="C109" t="s">
        <v>1355</v>
      </c>
      <c r="D109" t="s">
        <v>708</v>
      </c>
      <c r="E109" t="s">
        <v>1356</v>
      </c>
      <c r="F109" t="str">
        <f t="shared" si="46"/>
        <v>Bio-methane (liquefied)Total emissions - WTT - GWP100Global</v>
      </c>
      <c r="G109" s="527">
        <v>-2.7348780251851474</v>
      </c>
      <c r="H109" s="527">
        <v>-2.7351887238166417</v>
      </c>
      <c r="I109" s="527">
        <v>-2.7354994224481368</v>
      </c>
      <c r="J109" s="527">
        <v>-2.7358101210796311</v>
      </c>
      <c r="K109" s="527">
        <v>-2.7361208197111258</v>
      </c>
      <c r="L109" s="527">
        <v>-2.7364315183426204</v>
      </c>
      <c r="M109" s="527">
        <v>-2.7367422169741156</v>
      </c>
      <c r="N109" s="527">
        <v>-2.7370529156056103</v>
      </c>
      <c r="O109" s="527">
        <v>-2.7373636142371049</v>
      </c>
      <c r="P109" s="527">
        <v>-2.7376743128685992</v>
      </c>
      <c r="Q109" s="527">
        <v>-2.7379850115000943</v>
      </c>
      <c r="R109" s="527">
        <v>-2.7382957101315886</v>
      </c>
      <c r="S109" s="527">
        <v>-2.7386064087630833</v>
      </c>
      <c r="T109" s="527">
        <v>-2.7389171073945784</v>
      </c>
      <c r="U109" s="527">
        <v>-2.7392278060260731</v>
      </c>
      <c r="V109" s="527">
        <v>-2.7395385046575673</v>
      </c>
      <c r="W109" s="527">
        <v>-2.7398492032890625</v>
      </c>
      <c r="X109" s="527">
        <v>-2.7401599019205567</v>
      </c>
      <c r="Y109" s="527">
        <v>-2.7404706005520523</v>
      </c>
      <c r="Z109" s="527">
        <v>-2.7407812991835465</v>
      </c>
      <c r="AA109" s="527">
        <v>-2.7410919978150412</v>
      </c>
      <c r="AB109" s="527">
        <v>-2.7414026964465359</v>
      </c>
      <c r="AC109" s="527">
        <v>-2.7417133950780306</v>
      </c>
      <c r="AD109" s="527">
        <v>-2.7420240937095257</v>
      </c>
      <c r="AE109" s="527">
        <v>-2.7423347923410204</v>
      </c>
      <c r="AF109" s="527">
        <v>-2.7426454909725146</v>
      </c>
      <c r="AG109" s="527">
        <v>-2.7429561896040098</v>
      </c>
      <c r="AH109" s="527">
        <v>-2.743266888235504</v>
      </c>
      <c r="AI109" s="528">
        <f t="shared" si="50"/>
        <v>-2.743266888235504</v>
      </c>
      <c r="AJ109" s="528">
        <f t="shared" si="50"/>
        <v>-2.743266888235504</v>
      </c>
      <c r="AK109" s="528">
        <f t="shared" si="50"/>
        <v>-2.743266888235504</v>
      </c>
      <c r="AL109" s="528">
        <f t="shared" si="50"/>
        <v>-2.743266888235504</v>
      </c>
      <c r="AM109" s="528">
        <f t="shared" si="50"/>
        <v>-2.743266888235504</v>
      </c>
      <c r="AN109" s="528">
        <f t="shared" si="50"/>
        <v>-2.743266888235504</v>
      </c>
      <c r="AO109" s="528">
        <f t="shared" si="50"/>
        <v>-2.743266888235504</v>
      </c>
      <c r="AP109" s="528">
        <f t="shared" si="50"/>
        <v>-2.743266888235504</v>
      </c>
      <c r="AQ109" s="528">
        <f t="shared" si="50"/>
        <v>-2.743266888235504</v>
      </c>
      <c r="AR109" s="528">
        <f t="shared" si="50"/>
        <v>-2.743266888235504</v>
      </c>
      <c r="AS109" s="528">
        <f t="shared" si="50"/>
        <v>-2.743266888235504</v>
      </c>
      <c r="AT109" s="528">
        <f t="shared" si="50"/>
        <v>-2.743266888235504</v>
      </c>
      <c r="AU109" s="528">
        <f t="shared" si="50"/>
        <v>-2.743266888235504</v>
      </c>
      <c r="AV109" s="528">
        <f t="shared" si="50"/>
        <v>-2.743266888235504</v>
      </c>
      <c r="AW109" s="528">
        <f t="shared" si="50"/>
        <v>-2.743266888235504</v>
      </c>
      <c r="AX109" s="528">
        <f t="shared" si="50"/>
        <v>-2.743266888235504</v>
      </c>
      <c r="AY109" s="528">
        <f t="shared" si="50"/>
        <v>-2.743266888235504</v>
      </c>
      <c r="AZ109" s="528">
        <f t="shared" si="50"/>
        <v>-2.743266888235504</v>
      </c>
      <c r="BA109" s="528">
        <f t="shared" si="50"/>
        <v>-2.743266888235504</v>
      </c>
      <c r="BB109" s="528">
        <f t="shared" si="50"/>
        <v>-2.743266888235504</v>
      </c>
      <c r="BC109" s="528">
        <f t="shared" si="50"/>
        <v>-2.743266888235504</v>
      </c>
      <c r="BD109" s="528">
        <f t="shared" si="50"/>
        <v>-2.743266888235504</v>
      </c>
      <c r="BE109" s="528">
        <f t="shared" si="50"/>
        <v>-2.743266888235504</v>
      </c>
      <c r="BF109" s="528">
        <f t="shared" si="50"/>
        <v>-2.743266888235504</v>
      </c>
      <c r="BG109" s="528">
        <f t="shared" si="50"/>
        <v>-2.743266888235504</v>
      </c>
      <c r="BH109" s="528">
        <f t="shared" si="50"/>
        <v>-2.743266888235504</v>
      </c>
      <c r="BI109" s="528">
        <f t="shared" si="50"/>
        <v>-2.743266888235504</v>
      </c>
      <c r="BJ109" s="528">
        <f t="shared" si="50"/>
        <v>-2.743266888235504</v>
      </c>
      <c r="BK109" s="528">
        <f t="shared" si="50"/>
        <v>-2.743266888235504</v>
      </c>
      <c r="BL109" s="528">
        <f t="shared" si="50"/>
        <v>-2.743266888235504</v>
      </c>
      <c r="BM109" s="528">
        <f t="shared" si="50"/>
        <v>-2.743266888235504</v>
      </c>
      <c r="BN109" s="528">
        <f t="shared" ref="BN109:CA109" si="51">BM109</f>
        <v>-2.743266888235504</v>
      </c>
      <c r="BO109" s="528">
        <f t="shared" si="51"/>
        <v>-2.743266888235504</v>
      </c>
      <c r="BP109" s="528">
        <f t="shared" si="51"/>
        <v>-2.743266888235504</v>
      </c>
      <c r="BQ109" s="528">
        <f t="shared" si="51"/>
        <v>-2.743266888235504</v>
      </c>
      <c r="BR109" s="528">
        <f t="shared" si="51"/>
        <v>-2.743266888235504</v>
      </c>
      <c r="BS109" s="528">
        <f t="shared" si="51"/>
        <v>-2.743266888235504</v>
      </c>
      <c r="BT109" s="528">
        <f t="shared" si="51"/>
        <v>-2.743266888235504</v>
      </c>
      <c r="BU109" s="528">
        <f t="shared" si="51"/>
        <v>-2.743266888235504</v>
      </c>
      <c r="BV109" s="528">
        <f t="shared" si="51"/>
        <v>-2.743266888235504</v>
      </c>
      <c r="BW109" s="528">
        <f t="shared" si="51"/>
        <v>-2.743266888235504</v>
      </c>
      <c r="BX109" s="528">
        <f t="shared" si="51"/>
        <v>-2.743266888235504</v>
      </c>
      <c r="BY109" s="528">
        <f t="shared" si="51"/>
        <v>-2.743266888235504</v>
      </c>
      <c r="BZ109" s="528">
        <f t="shared" si="51"/>
        <v>-2.743266888235504</v>
      </c>
      <c r="CA109" s="528">
        <f t="shared" si="51"/>
        <v>-2.743266888235504</v>
      </c>
      <c r="CB109" s="528">
        <f t="shared" si="49"/>
        <v>-2.743266888235504</v>
      </c>
      <c r="CC109" s="528">
        <f t="shared" si="49"/>
        <v>-2.743266888235504</v>
      </c>
      <c r="CD109" s="528">
        <f t="shared" si="49"/>
        <v>-2.743266888235504</v>
      </c>
      <c r="CE109" s="528">
        <f t="shared" si="49"/>
        <v>-2.743266888235504</v>
      </c>
      <c r="CF109" s="528">
        <f t="shared" si="49"/>
        <v>-2.743266888235504</v>
      </c>
    </row>
    <row r="110" spans="2:84">
      <c r="B110" t="s">
        <v>784</v>
      </c>
      <c r="C110" t="s">
        <v>1357</v>
      </c>
      <c r="D110" t="s">
        <v>708</v>
      </c>
      <c r="E110" t="s">
        <v>1356</v>
      </c>
      <c r="F110" t="str">
        <f t="shared" si="46"/>
        <v>Bio-methane (liquefied)Total emissions - TTW - GWP100Global</v>
      </c>
      <c r="G110" s="527">
        <v>3.4460000000000002</v>
      </c>
      <c r="H110" s="527">
        <v>3.3879999999999999</v>
      </c>
      <c r="I110" s="527">
        <v>3.33</v>
      </c>
      <c r="J110" s="527">
        <v>3.2719999999999998</v>
      </c>
      <c r="K110" s="527">
        <v>3.214</v>
      </c>
      <c r="L110" s="527">
        <v>3.1560000000000001</v>
      </c>
      <c r="M110" s="527">
        <v>3.0979999999999999</v>
      </c>
      <c r="N110" s="527">
        <v>3.04</v>
      </c>
      <c r="O110" s="527">
        <v>3.04</v>
      </c>
      <c r="P110" s="527">
        <v>3.04</v>
      </c>
      <c r="Q110" s="527">
        <v>3.04</v>
      </c>
      <c r="R110" s="527">
        <v>3.04</v>
      </c>
      <c r="S110" s="527">
        <v>3.04</v>
      </c>
      <c r="T110" s="527">
        <v>3.04</v>
      </c>
      <c r="U110" s="527">
        <v>3.04</v>
      </c>
      <c r="V110" s="527">
        <v>3.04</v>
      </c>
      <c r="W110" s="527">
        <v>3.04</v>
      </c>
      <c r="X110" s="527">
        <v>3.04</v>
      </c>
      <c r="Y110" s="527">
        <v>3.04</v>
      </c>
      <c r="Z110" s="527">
        <v>3.04</v>
      </c>
      <c r="AA110" s="527">
        <v>3.04</v>
      </c>
      <c r="AB110" s="527">
        <v>3.04</v>
      </c>
      <c r="AC110" s="527">
        <v>3.04</v>
      </c>
      <c r="AD110" s="527">
        <v>3.04</v>
      </c>
      <c r="AE110" s="527">
        <v>3.04</v>
      </c>
      <c r="AF110" s="527">
        <v>3.04</v>
      </c>
      <c r="AG110" s="527">
        <v>3.04</v>
      </c>
      <c r="AH110" s="527">
        <v>3.04</v>
      </c>
      <c r="AI110" s="526">
        <f t="shared" ref="AI110:CA111" si="52">AH110</f>
        <v>3.04</v>
      </c>
      <c r="AJ110" s="526">
        <f t="shared" si="52"/>
        <v>3.04</v>
      </c>
      <c r="AK110" s="526">
        <f t="shared" si="52"/>
        <v>3.04</v>
      </c>
      <c r="AL110" s="526">
        <f t="shared" si="52"/>
        <v>3.04</v>
      </c>
      <c r="AM110" s="526">
        <f t="shared" si="52"/>
        <v>3.04</v>
      </c>
      <c r="AN110" s="526">
        <f t="shared" si="52"/>
        <v>3.04</v>
      </c>
      <c r="AO110" s="526">
        <f t="shared" si="52"/>
        <v>3.04</v>
      </c>
      <c r="AP110" s="526">
        <f t="shared" si="52"/>
        <v>3.04</v>
      </c>
      <c r="AQ110" s="526">
        <f t="shared" si="52"/>
        <v>3.04</v>
      </c>
      <c r="AR110" s="526">
        <f t="shared" si="52"/>
        <v>3.04</v>
      </c>
      <c r="AS110" s="526">
        <f t="shared" si="52"/>
        <v>3.04</v>
      </c>
      <c r="AT110" s="526">
        <f t="shared" si="52"/>
        <v>3.04</v>
      </c>
      <c r="AU110" s="526">
        <f t="shared" si="52"/>
        <v>3.04</v>
      </c>
      <c r="AV110" s="526">
        <f t="shared" si="52"/>
        <v>3.04</v>
      </c>
      <c r="AW110" s="526">
        <f t="shared" si="52"/>
        <v>3.04</v>
      </c>
      <c r="AX110" s="526">
        <f t="shared" si="52"/>
        <v>3.04</v>
      </c>
      <c r="AY110" s="526">
        <f t="shared" si="52"/>
        <v>3.04</v>
      </c>
      <c r="AZ110" s="526">
        <f t="shared" si="52"/>
        <v>3.04</v>
      </c>
      <c r="BA110" s="526">
        <f t="shared" si="52"/>
        <v>3.04</v>
      </c>
      <c r="BB110" s="526">
        <f t="shared" si="52"/>
        <v>3.04</v>
      </c>
      <c r="BC110" s="526">
        <f t="shared" si="52"/>
        <v>3.04</v>
      </c>
      <c r="BD110" s="526">
        <f t="shared" si="52"/>
        <v>3.04</v>
      </c>
      <c r="BE110" s="526">
        <f t="shared" si="52"/>
        <v>3.04</v>
      </c>
      <c r="BF110" s="526">
        <f t="shared" si="52"/>
        <v>3.04</v>
      </c>
      <c r="BG110" s="526">
        <f t="shared" si="52"/>
        <v>3.04</v>
      </c>
      <c r="BH110" s="526">
        <f t="shared" si="52"/>
        <v>3.04</v>
      </c>
      <c r="BI110" s="526">
        <f t="shared" si="52"/>
        <v>3.04</v>
      </c>
      <c r="BJ110" s="526">
        <f t="shared" si="52"/>
        <v>3.04</v>
      </c>
      <c r="BK110" s="526">
        <f t="shared" si="52"/>
        <v>3.04</v>
      </c>
      <c r="BL110" s="526">
        <f t="shared" si="52"/>
        <v>3.04</v>
      </c>
      <c r="BM110" s="526">
        <f t="shared" si="52"/>
        <v>3.04</v>
      </c>
      <c r="BN110" s="526">
        <f t="shared" si="52"/>
        <v>3.04</v>
      </c>
      <c r="BO110" s="526">
        <f t="shared" si="52"/>
        <v>3.04</v>
      </c>
      <c r="BP110" s="526">
        <f t="shared" si="52"/>
        <v>3.04</v>
      </c>
      <c r="BQ110" s="526">
        <f t="shared" si="52"/>
        <v>3.04</v>
      </c>
      <c r="BR110" s="526">
        <f t="shared" si="52"/>
        <v>3.04</v>
      </c>
      <c r="BS110" s="526">
        <f t="shared" si="52"/>
        <v>3.04</v>
      </c>
      <c r="BT110" s="526">
        <f t="shared" si="52"/>
        <v>3.04</v>
      </c>
      <c r="BU110" s="526">
        <f t="shared" si="52"/>
        <v>3.04</v>
      </c>
      <c r="BV110" s="526">
        <f t="shared" si="52"/>
        <v>3.04</v>
      </c>
      <c r="BW110" s="526">
        <f t="shared" si="52"/>
        <v>3.04</v>
      </c>
      <c r="BX110" s="526">
        <f t="shared" si="52"/>
        <v>3.04</v>
      </c>
      <c r="BY110" s="526">
        <f t="shared" si="52"/>
        <v>3.04</v>
      </c>
      <c r="BZ110" s="526">
        <f t="shared" si="52"/>
        <v>3.04</v>
      </c>
      <c r="CA110" s="526">
        <f t="shared" si="52"/>
        <v>3.04</v>
      </c>
      <c r="CB110" s="526">
        <f t="shared" si="49"/>
        <v>3.04</v>
      </c>
      <c r="CC110" s="526">
        <f t="shared" si="49"/>
        <v>3.04</v>
      </c>
      <c r="CD110" s="526">
        <f t="shared" si="49"/>
        <v>3.04</v>
      </c>
      <c r="CE110" s="526">
        <f t="shared" si="49"/>
        <v>3.04</v>
      </c>
      <c r="CF110" s="526">
        <f t="shared" si="49"/>
        <v>3.04</v>
      </c>
    </row>
    <row r="111" spans="2:84">
      <c r="B111" t="s">
        <v>784</v>
      </c>
      <c r="C111" t="s">
        <v>1358</v>
      </c>
      <c r="D111" t="s">
        <v>708</v>
      </c>
      <c r="E111" t="s">
        <v>1356</v>
      </c>
      <c r="F111" t="str">
        <f t="shared" si="46"/>
        <v>Bio-methane (liquefied)Total emissions - WTW - GWP100Global</v>
      </c>
      <c r="G111" s="527">
        <v>0.71112197481485273</v>
      </c>
      <c r="H111" s="527">
        <v>0.65281127618335821</v>
      </c>
      <c r="I111" s="527">
        <v>0.59450057755186325</v>
      </c>
      <c r="J111" s="527">
        <v>0.53618987892036873</v>
      </c>
      <c r="K111" s="527">
        <v>0.47787918028887422</v>
      </c>
      <c r="L111" s="527">
        <v>0.4195684816573797</v>
      </c>
      <c r="M111" s="527">
        <v>0.36125778302588429</v>
      </c>
      <c r="N111" s="527">
        <v>0.30294708439438978</v>
      </c>
      <c r="O111" s="527">
        <v>0.30263638576289509</v>
      </c>
      <c r="P111" s="527">
        <v>0.30232568713140084</v>
      </c>
      <c r="Q111" s="527">
        <v>0.30201498849990571</v>
      </c>
      <c r="R111" s="527">
        <v>0.30170428986841147</v>
      </c>
      <c r="S111" s="527">
        <v>0.30139359123691678</v>
      </c>
      <c r="T111" s="527">
        <v>0.30108289260542165</v>
      </c>
      <c r="U111" s="527">
        <v>0.30077219397392696</v>
      </c>
      <c r="V111" s="527">
        <v>0.30046149534243272</v>
      </c>
      <c r="W111" s="527">
        <v>0.30015079671093758</v>
      </c>
      <c r="X111" s="527">
        <v>0.29984009807944334</v>
      </c>
      <c r="Y111" s="527">
        <v>0.29952939944794776</v>
      </c>
      <c r="Z111" s="527">
        <v>0.29921870081645352</v>
      </c>
      <c r="AA111" s="527">
        <v>0.29890800218495883</v>
      </c>
      <c r="AB111" s="527">
        <v>0.29859730355346414</v>
      </c>
      <c r="AC111" s="527">
        <v>0.29828660492196946</v>
      </c>
      <c r="AD111" s="527">
        <v>0.29797590629047432</v>
      </c>
      <c r="AE111" s="527">
        <v>0.29766520765897964</v>
      </c>
      <c r="AF111" s="527">
        <v>0.29735450902748539</v>
      </c>
      <c r="AG111" s="527">
        <v>0.29704381039599026</v>
      </c>
      <c r="AH111" s="527">
        <v>0.29673311176449602</v>
      </c>
      <c r="AI111" s="528">
        <f t="shared" si="52"/>
        <v>0.29673311176449602</v>
      </c>
      <c r="AJ111" s="528">
        <f t="shared" si="52"/>
        <v>0.29673311176449602</v>
      </c>
      <c r="AK111" s="528">
        <f t="shared" si="52"/>
        <v>0.29673311176449602</v>
      </c>
      <c r="AL111" s="528">
        <f t="shared" si="52"/>
        <v>0.29673311176449602</v>
      </c>
      <c r="AM111" s="528">
        <f t="shared" si="52"/>
        <v>0.29673311176449602</v>
      </c>
      <c r="AN111" s="528">
        <f t="shared" si="52"/>
        <v>0.29673311176449602</v>
      </c>
      <c r="AO111" s="528">
        <f t="shared" si="52"/>
        <v>0.29673311176449602</v>
      </c>
      <c r="AP111" s="528">
        <f t="shared" si="52"/>
        <v>0.29673311176449602</v>
      </c>
      <c r="AQ111" s="528">
        <f t="shared" si="52"/>
        <v>0.29673311176449602</v>
      </c>
      <c r="AR111" s="528">
        <f t="shared" si="52"/>
        <v>0.29673311176449602</v>
      </c>
      <c r="AS111" s="528">
        <f t="shared" si="52"/>
        <v>0.29673311176449602</v>
      </c>
      <c r="AT111" s="528">
        <f t="shared" si="52"/>
        <v>0.29673311176449602</v>
      </c>
      <c r="AU111" s="528">
        <f t="shared" si="52"/>
        <v>0.29673311176449602</v>
      </c>
      <c r="AV111" s="528">
        <f t="shared" si="52"/>
        <v>0.29673311176449602</v>
      </c>
      <c r="AW111" s="528">
        <f t="shared" si="52"/>
        <v>0.29673311176449602</v>
      </c>
      <c r="AX111" s="528">
        <f t="shared" si="52"/>
        <v>0.29673311176449602</v>
      </c>
      <c r="AY111" s="528">
        <f t="shared" si="52"/>
        <v>0.29673311176449602</v>
      </c>
      <c r="AZ111" s="528">
        <f t="shared" si="52"/>
        <v>0.29673311176449602</v>
      </c>
      <c r="BA111" s="528">
        <f t="shared" si="52"/>
        <v>0.29673311176449602</v>
      </c>
      <c r="BB111" s="528">
        <f t="shared" si="52"/>
        <v>0.29673311176449602</v>
      </c>
      <c r="BC111" s="528">
        <f t="shared" si="52"/>
        <v>0.29673311176449602</v>
      </c>
      <c r="BD111" s="528">
        <f t="shared" si="52"/>
        <v>0.29673311176449602</v>
      </c>
      <c r="BE111" s="528">
        <f t="shared" si="52"/>
        <v>0.29673311176449602</v>
      </c>
      <c r="BF111" s="528">
        <f t="shared" si="52"/>
        <v>0.29673311176449602</v>
      </c>
      <c r="BG111" s="528">
        <f t="shared" si="52"/>
        <v>0.29673311176449602</v>
      </c>
      <c r="BH111" s="528">
        <f t="shared" si="52"/>
        <v>0.29673311176449602</v>
      </c>
      <c r="BI111" s="528">
        <f t="shared" si="52"/>
        <v>0.29673311176449602</v>
      </c>
      <c r="BJ111" s="528">
        <f t="shared" si="52"/>
        <v>0.29673311176449602</v>
      </c>
      <c r="BK111" s="528">
        <f t="shared" si="52"/>
        <v>0.29673311176449602</v>
      </c>
      <c r="BL111" s="528">
        <f t="shared" si="52"/>
        <v>0.29673311176449602</v>
      </c>
      <c r="BM111" s="528">
        <f t="shared" si="52"/>
        <v>0.29673311176449602</v>
      </c>
      <c r="BN111" s="528">
        <f t="shared" si="52"/>
        <v>0.29673311176449602</v>
      </c>
      <c r="BO111" s="528">
        <f t="shared" si="52"/>
        <v>0.29673311176449602</v>
      </c>
      <c r="BP111" s="528">
        <f t="shared" si="52"/>
        <v>0.29673311176449602</v>
      </c>
      <c r="BQ111" s="528">
        <f t="shared" si="52"/>
        <v>0.29673311176449602</v>
      </c>
      <c r="BR111" s="528">
        <f t="shared" si="52"/>
        <v>0.29673311176449602</v>
      </c>
      <c r="BS111" s="528">
        <f t="shared" si="52"/>
        <v>0.29673311176449602</v>
      </c>
      <c r="BT111" s="528">
        <f t="shared" si="52"/>
        <v>0.29673311176449602</v>
      </c>
      <c r="BU111" s="528">
        <f t="shared" si="52"/>
        <v>0.29673311176449602</v>
      </c>
      <c r="BV111" s="528">
        <f t="shared" si="52"/>
        <v>0.29673311176449602</v>
      </c>
      <c r="BW111" s="528">
        <f t="shared" si="52"/>
        <v>0.29673311176449602</v>
      </c>
      <c r="BX111" s="528">
        <f t="shared" si="52"/>
        <v>0.29673311176449602</v>
      </c>
      <c r="BY111" s="528">
        <f t="shared" si="52"/>
        <v>0.29673311176449602</v>
      </c>
      <c r="BZ111" s="528">
        <f t="shared" si="52"/>
        <v>0.29673311176449602</v>
      </c>
      <c r="CA111" s="528">
        <f t="shared" si="52"/>
        <v>0.29673311176449602</v>
      </c>
      <c r="CB111" s="528">
        <f t="shared" si="49"/>
        <v>0.29673311176449602</v>
      </c>
      <c r="CC111" s="528">
        <f t="shared" si="49"/>
        <v>0.29673311176449602</v>
      </c>
      <c r="CD111" s="528">
        <f t="shared" si="49"/>
        <v>0.29673311176449602</v>
      </c>
      <c r="CE111" s="528">
        <f t="shared" si="49"/>
        <v>0.29673311176449602</v>
      </c>
      <c r="CF111" s="528">
        <f t="shared" si="49"/>
        <v>0.29673311176449602</v>
      </c>
    </row>
    <row r="112" spans="2:84">
      <c r="B112" t="s">
        <v>791</v>
      </c>
      <c r="C112" t="s">
        <v>1352</v>
      </c>
      <c r="D112" t="s">
        <v>708</v>
      </c>
      <c r="E112" t="s">
        <v>1353</v>
      </c>
      <c r="F112" t="str">
        <f t="shared" si="46"/>
        <v>Bio-diesel (HTL)CapExGlobal</v>
      </c>
      <c r="G112" s="529" t="e">
        <v>#N/A</v>
      </c>
      <c r="H112" s="529" t="e">
        <v>#N/A</v>
      </c>
      <c r="I112" s="529" t="e">
        <v>#N/A</v>
      </c>
      <c r="J112" s="529" t="e">
        <v>#N/A</v>
      </c>
      <c r="K112" s="529" t="e">
        <v>#N/A</v>
      </c>
      <c r="L112" s="529" t="e">
        <v>#N/A</v>
      </c>
      <c r="M112" s="529" t="e">
        <v>#N/A</v>
      </c>
      <c r="N112" s="525">
        <v>2976.6674579740502</v>
      </c>
      <c r="O112" s="525">
        <v>2940.9474484782986</v>
      </c>
      <c r="P112" s="525">
        <v>2905.2274389826052</v>
      </c>
      <c r="Q112" s="525">
        <v>2869.5074294869119</v>
      </c>
      <c r="R112" s="525">
        <v>2833.787419991233</v>
      </c>
      <c r="S112" s="525">
        <v>2798.0674104955469</v>
      </c>
      <c r="T112" s="525">
        <v>2780.2074057477075</v>
      </c>
      <c r="U112" s="525">
        <v>2762.3474009998608</v>
      </c>
      <c r="V112" s="525">
        <v>2744.4873962520142</v>
      </c>
      <c r="W112" s="525">
        <v>2726.6273915041747</v>
      </c>
      <c r="X112" s="525">
        <v>2708.7673867563353</v>
      </c>
      <c r="Y112" s="525">
        <v>2690.9073820084886</v>
      </c>
      <c r="Z112" s="525">
        <v>2673.0473772606492</v>
      </c>
      <c r="AA112" s="525">
        <v>2655.1873725128025</v>
      </c>
      <c r="AB112" s="525">
        <v>2637.3273677649559</v>
      </c>
      <c r="AC112" s="525">
        <v>2619.4673630171164</v>
      </c>
      <c r="AD112" s="525">
        <v>2601.6073582692698</v>
      </c>
      <c r="AE112" s="525">
        <v>2583.7473535214303</v>
      </c>
      <c r="AF112" s="525">
        <v>2565.8873487735837</v>
      </c>
      <c r="AG112" s="525">
        <v>2548.027344025737</v>
      </c>
      <c r="AH112" s="525">
        <v>2530.1673392778976</v>
      </c>
      <c r="AI112" s="526">
        <f>AH112</f>
        <v>2530.1673392778976</v>
      </c>
      <c r="AJ112" s="526">
        <f t="shared" ref="AJ112:CF120" si="53">AI112</f>
        <v>2530.1673392778976</v>
      </c>
      <c r="AK112" s="526">
        <f t="shared" si="53"/>
        <v>2530.1673392778976</v>
      </c>
      <c r="AL112" s="526">
        <f t="shared" si="53"/>
        <v>2530.1673392778976</v>
      </c>
      <c r="AM112" s="526">
        <f t="shared" si="53"/>
        <v>2530.1673392778976</v>
      </c>
      <c r="AN112" s="526">
        <f t="shared" si="53"/>
        <v>2530.1673392778976</v>
      </c>
      <c r="AO112" s="526">
        <f t="shared" si="53"/>
        <v>2530.1673392778976</v>
      </c>
      <c r="AP112" s="526">
        <f t="shared" si="53"/>
        <v>2530.1673392778976</v>
      </c>
      <c r="AQ112" s="526">
        <f t="shared" si="53"/>
        <v>2530.1673392778976</v>
      </c>
      <c r="AR112" s="526">
        <f t="shared" si="53"/>
        <v>2530.1673392778976</v>
      </c>
      <c r="AS112" s="526">
        <f t="shared" si="53"/>
        <v>2530.1673392778976</v>
      </c>
      <c r="AT112" s="526">
        <f t="shared" si="53"/>
        <v>2530.1673392778976</v>
      </c>
      <c r="AU112" s="526">
        <f t="shared" si="53"/>
        <v>2530.1673392778976</v>
      </c>
      <c r="AV112" s="526">
        <f t="shared" si="53"/>
        <v>2530.1673392778976</v>
      </c>
      <c r="AW112" s="526">
        <f t="shared" si="53"/>
        <v>2530.1673392778976</v>
      </c>
      <c r="AX112" s="526">
        <f t="shared" si="53"/>
        <v>2530.1673392778976</v>
      </c>
      <c r="AY112" s="526">
        <f t="shared" si="53"/>
        <v>2530.1673392778976</v>
      </c>
      <c r="AZ112" s="526">
        <f t="shared" si="53"/>
        <v>2530.1673392778976</v>
      </c>
      <c r="BA112" s="526">
        <f t="shared" si="53"/>
        <v>2530.1673392778976</v>
      </c>
      <c r="BB112" s="526">
        <f t="shared" si="53"/>
        <v>2530.1673392778976</v>
      </c>
      <c r="BC112" s="526">
        <f t="shared" si="53"/>
        <v>2530.1673392778976</v>
      </c>
      <c r="BD112" s="526">
        <f t="shared" si="53"/>
        <v>2530.1673392778976</v>
      </c>
      <c r="BE112" s="526">
        <f t="shared" si="53"/>
        <v>2530.1673392778976</v>
      </c>
      <c r="BF112" s="526">
        <f t="shared" si="53"/>
        <v>2530.1673392778976</v>
      </c>
      <c r="BG112" s="526">
        <f t="shared" si="53"/>
        <v>2530.1673392778976</v>
      </c>
      <c r="BH112" s="526">
        <f t="shared" si="53"/>
        <v>2530.1673392778976</v>
      </c>
      <c r="BI112" s="526">
        <f t="shared" si="53"/>
        <v>2530.1673392778976</v>
      </c>
      <c r="BJ112" s="526">
        <f t="shared" si="53"/>
        <v>2530.1673392778976</v>
      </c>
      <c r="BK112" s="526">
        <f t="shared" si="53"/>
        <v>2530.1673392778976</v>
      </c>
      <c r="BL112" s="526">
        <f t="shared" si="53"/>
        <v>2530.1673392778976</v>
      </c>
      <c r="BM112" s="526">
        <f t="shared" si="53"/>
        <v>2530.1673392778976</v>
      </c>
      <c r="BN112" s="526">
        <f t="shared" si="53"/>
        <v>2530.1673392778976</v>
      </c>
      <c r="BO112" s="526">
        <f t="shared" si="53"/>
        <v>2530.1673392778976</v>
      </c>
      <c r="BP112" s="526">
        <f t="shared" si="53"/>
        <v>2530.1673392778976</v>
      </c>
      <c r="BQ112" s="526">
        <f t="shared" si="53"/>
        <v>2530.1673392778976</v>
      </c>
      <c r="BR112" s="526">
        <f t="shared" si="53"/>
        <v>2530.1673392778976</v>
      </c>
      <c r="BS112" s="526">
        <f t="shared" si="53"/>
        <v>2530.1673392778976</v>
      </c>
      <c r="BT112" s="526">
        <f t="shared" si="53"/>
        <v>2530.1673392778976</v>
      </c>
      <c r="BU112" s="526">
        <f t="shared" si="53"/>
        <v>2530.1673392778976</v>
      </c>
      <c r="BV112" s="526">
        <f t="shared" si="53"/>
        <v>2530.1673392778976</v>
      </c>
      <c r="BW112" s="526">
        <f t="shared" si="53"/>
        <v>2530.1673392778976</v>
      </c>
      <c r="BX112" s="526">
        <f t="shared" si="53"/>
        <v>2530.1673392778976</v>
      </c>
      <c r="BY112" s="526">
        <f t="shared" si="53"/>
        <v>2530.1673392778976</v>
      </c>
      <c r="BZ112" s="526">
        <f t="shared" si="53"/>
        <v>2530.1673392778976</v>
      </c>
      <c r="CA112" s="526">
        <f t="shared" si="53"/>
        <v>2530.1673392778976</v>
      </c>
      <c r="CB112" s="526">
        <f t="shared" si="53"/>
        <v>2530.1673392778976</v>
      </c>
      <c r="CC112" s="526">
        <f t="shared" si="53"/>
        <v>2530.1673392778976</v>
      </c>
      <c r="CD112" s="526">
        <f t="shared" si="53"/>
        <v>2530.1673392778976</v>
      </c>
      <c r="CE112" s="526">
        <f t="shared" si="53"/>
        <v>2530.1673392778976</v>
      </c>
      <c r="CF112" s="526">
        <f t="shared" si="53"/>
        <v>2530.1673392778976</v>
      </c>
    </row>
    <row r="113" spans="2:84">
      <c r="B113" t="s">
        <v>791</v>
      </c>
      <c r="C113" t="s">
        <v>1354</v>
      </c>
      <c r="D113" t="s">
        <v>838</v>
      </c>
      <c r="E113" t="s">
        <v>1353</v>
      </c>
      <c r="F113" t="str">
        <f t="shared" si="46"/>
        <v>Bio-diesel (HTL)OpExAfrica</v>
      </c>
      <c r="G113" s="529" t="e">
        <v>#N/A</v>
      </c>
      <c r="H113" s="529" t="e">
        <v>#N/A</v>
      </c>
      <c r="I113" s="529" t="e">
        <v>#N/A</v>
      </c>
      <c r="J113" s="529" t="e">
        <v>#N/A</v>
      </c>
      <c r="K113" s="529" t="e">
        <v>#N/A</v>
      </c>
      <c r="L113" s="529" t="e">
        <v>#N/A</v>
      </c>
      <c r="M113" s="529" t="e">
        <v>#N/A</v>
      </c>
      <c r="N113" s="525">
        <v>994.18481049200761</v>
      </c>
      <c r="O113" s="525">
        <v>985.17887038111053</v>
      </c>
      <c r="P113" s="525">
        <v>975.70064381574639</v>
      </c>
      <c r="Q113" s="525">
        <v>965.75359102317134</v>
      </c>
      <c r="R113" s="525">
        <v>955.34117223066846</v>
      </c>
      <c r="S113" s="525">
        <v>944.46684766552289</v>
      </c>
      <c r="T113" s="525">
        <v>938.39404276888467</v>
      </c>
      <c r="U113" s="525">
        <v>931.99612796999509</v>
      </c>
      <c r="V113" s="525">
        <v>925.2742323541695</v>
      </c>
      <c r="W113" s="525">
        <v>918.22948500670918</v>
      </c>
      <c r="X113" s="525">
        <v>910.86301501292553</v>
      </c>
      <c r="Y113" s="525">
        <v>903.34284252085445</v>
      </c>
      <c r="Z113" s="525">
        <v>895.6720378342435</v>
      </c>
      <c r="AA113" s="525">
        <v>887.84994069444122</v>
      </c>
      <c r="AB113" s="525">
        <v>879.87589084279136</v>
      </c>
      <c r="AC113" s="525">
        <v>871.7492280206402</v>
      </c>
      <c r="AD113" s="525">
        <v>865.09274740413457</v>
      </c>
      <c r="AE113" s="525">
        <v>858.36074998736444</v>
      </c>
      <c r="AF113" s="525">
        <v>851.5528197108099</v>
      </c>
      <c r="AG113" s="525">
        <v>844.66854051495397</v>
      </c>
      <c r="AH113" s="525">
        <v>837.70749634028027</v>
      </c>
      <c r="AI113" s="526">
        <f t="shared" ref="AI113:CA118" si="54">AH113</f>
        <v>837.70749634028027</v>
      </c>
      <c r="AJ113" s="526">
        <f t="shared" si="54"/>
        <v>837.70749634028027</v>
      </c>
      <c r="AK113" s="526">
        <f t="shared" si="54"/>
        <v>837.70749634028027</v>
      </c>
      <c r="AL113" s="526">
        <f t="shared" si="54"/>
        <v>837.70749634028027</v>
      </c>
      <c r="AM113" s="526">
        <f t="shared" si="54"/>
        <v>837.70749634028027</v>
      </c>
      <c r="AN113" s="526">
        <f t="shared" si="54"/>
        <v>837.70749634028027</v>
      </c>
      <c r="AO113" s="526">
        <f t="shared" si="54"/>
        <v>837.70749634028027</v>
      </c>
      <c r="AP113" s="526">
        <f t="shared" si="54"/>
        <v>837.70749634028027</v>
      </c>
      <c r="AQ113" s="526">
        <f t="shared" si="54"/>
        <v>837.70749634028027</v>
      </c>
      <c r="AR113" s="526">
        <f t="shared" si="54"/>
        <v>837.70749634028027</v>
      </c>
      <c r="AS113" s="526">
        <f t="shared" si="54"/>
        <v>837.70749634028027</v>
      </c>
      <c r="AT113" s="526">
        <f t="shared" si="54"/>
        <v>837.70749634028027</v>
      </c>
      <c r="AU113" s="526">
        <f t="shared" si="54"/>
        <v>837.70749634028027</v>
      </c>
      <c r="AV113" s="526">
        <f t="shared" si="54"/>
        <v>837.70749634028027</v>
      </c>
      <c r="AW113" s="526">
        <f t="shared" si="54"/>
        <v>837.70749634028027</v>
      </c>
      <c r="AX113" s="526">
        <f t="shared" si="54"/>
        <v>837.70749634028027</v>
      </c>
      <c r="AY113" s="526">
        <f t="shared" si="54"/>
        <v>837.70749634028027</v>
      </c>
      <c r="AZ113" s="526">
        <f t="shared" si="54"/>
        <v>837.70749634028027</v>
      </c>
      <c r="BA113" s="526">
        <f t="shared" si="54"/>
        <v>837.70749634028027</v>
      </c>
      <c r="BB113" s="526">
        <f t="shared" si="54"/>
        <v>837.70749634028027</v>
      </c>
      <c r="BC113" s="526">
        <f t="shared" si="54"/>
        <v>837.70749634028027</v>
      </c>
      <c r="BD113" s="526">
        <f t="shared" si="54"/>
        <v>837.70749634028027</v>
      </c>
      <c r="BE113" s="526">
        <f t="shared" si="54"/>
        <v>837.70749634028027</v>
      </c>
      <c r="BF113" s="526">
        <f t="shared" si="54"/>
        <v>837.70749634028027</v>
      </c>
      <c r="BG113" s="526">
        <f t="shared" si="54"/>
        <v>837.70749634028027</v>
      </c>
      <c r="BH113" s="526">
        <f t="shared" si="54"/>
        <v>837.70749634028027</v>
      </c>
      <c r="BI113" s="526">
        <f t="shared" si="54"/>
        <v>837.70749634028027</v>
      </c>
      <c r="BJ113" s="526">
        <f t="shared" si="54"/>
        <v>837.70749634028027</v>
      </c>
      <c r="BK113" s="526">
        <f t="shared" si="54"/>
        <v>837.70749634028027</v>
      </c>
      <c r="BL113" s="526">
        <f t="shared" si="54"/>
        <v>837.70749634028027</v>
      </c>
      <c r="BM113" s="526">
        <f t="shared" si="54"/>
        <v>837.70749634028027</v>
      </c>
      <c r="BN113" s="526">
        <f t="shared" si="54"/>
        <v>837.70749634028027</v>
      </c>
      <c r="BO113" s="526">
        <f t="shared" si="54"/>
        <v>837.70749634028027</v>
      </c>
      <c r="BP113" s="526">
        <f t="shared" si="54"/>
        <v>837.70749634028027</v>
      </c>
      <c r="BQ113" s="526">
        <f t="shared" si="54"/>
        <v>837.70749634028027</v>
      </c>
      <c r="BR113" s="526">
        <f t="shared" si="54"/>
        <v>837.70749634028027</v>
      </c>
      <c r="BS113" s="526">
        <f t="shared" si="54"/>
        <v>837.70749634028027</v>
      </c>
      <c r="BT113" s="526">
        <f t="shared" si="54"/>
        <v>837.70749634028027</v>
      </c>
      <c r="BU113" s="526">
        <f t="shared" si="54"/>
        <v>837.70749634028027</v>
      </c>
      <c r="BV113" s="526">
        <f t="shared" si="54"/>
        <v>837.70749634028027</v>
      </c>
      <c r="BW113" s="526">
        <f t="shared" si="54"/>
        <v>837.70749634028027</v>
      </c>
      <c r="BX113" s="526">
        <f t="shared" si="54"/>
        <v>837.70749634028027</v>
      </c>
      <c r="BY113" s="526">
        <f t="shared" si="54"/>
        <v>837.70749634028027</v>
      </c>
      <c r="BZ113" s="526">
        <f t="shared" si="54"/>
        <v>837.70749634028027</v>
      </c>
      <c r="CA113" s="526">
        <f t="shared" si="54"/>
        <v>837.70749634028027</v>
      </c>
      <c r="CB113" s="526">
        <f t="shared" si="53"/>
        <v>837.70749634028027</v>
      </c>
      <c r="CC113" s="526">
        <f t="shared" si="53"/>
        <v>837.70749634028027</v>
      </c>
      <c r="CD113" s="526">
        <f t="shared" si="53"/>
        <v>837.70749634028027</v>
      </c>
      <c r="CE113" s="526">
        <f t="shared" si="53"/>
        <v>837.70749634028027</v>
      </c>
      <c r="CF113" s="526">
        <f t="shared" si="53"/>
        <v>837.70749634028027</v>
      </c>
    </row>
    <row r="114" spans="2:84">
      <c r="B114" t="s">
        <v>791</v>
      </c>
      <c r="C114" t="s">
        <v>1354</v>
      </c>
      <c r="D114" t="s">
        <v>731</v>
      </c>
      <c r="E114" t="s">
        <v>1353</v>
      </c>
      <c r="F114" t="str">
        <f t="shared" si="46"/>
        <v>Bio-diesel (HTL)OpExAmericas</v>
      </c>
      <c r="G114" s="529" t="e">
        <v>#N/A</v>
      </c>
      <c r="H114" s="529" t="e">
        <v>#N/A</v>
      </c>
      <c r="I114" s="529" t="e">
        <v>#N/A</v>
      </c>
      <c r="J114" s="529" t="e">
        <v>#N/A</v>
      </c>
      <c r="K114" s="529" t="e">
        <v>#N/A</v>
      </c>
      <c r="L114" s="529" t="e">
        <v>#N/A</v>
      </c>
      <c r="M114" s="529" t="e">
        <v>#N/A</v>
      </c>
      <c r="N114" s="525">
        <v>933.25017144114304</v>
      </c>
      <c r="O114" s="525">
        <v>925.79603739790855</v>
      </c>
      <c r="P114" s="525">
        <v>917.85558277325811</v>
      </c>
      <c r="Q114" s="525">
        <v>909.43081190632552</v>
      </c>
      <c r="R114" s="525">
        <v>900.52372913626334</v>
      </c>
      <c r="S114" s="525">
        <v>891.13633880223051</v>
      </c>
      <c r="T114" s="525">
        <v>884.96615929514519</v>
      </c>
      <c r="U114" s="525">
        <v>878.47389594910533</v>
      </c>
      <c r="V114" s="525">
        <v>871.66067514191786</v>
      </c>
      <c r="W114" s="525">
        <v>864.52762325137633</v>
      </c>
      <c r="X114" s="525">
        <v>857.07586665528208</v>
      </c>
      <c r="Y114" s="525">
        <v>850.92024638717703</v>
      </c>
      <c r="Z114" s="525">
        <v>844.58766063311725</v>
      </c>
      <c r="AA114" s="525">
        <v>838.07785132951608</v>
      </c>
      <c r="AB114" s="525">
        <v>831.39056041277945</v>
      </c>
      <c r="AC114" s="525">
        <v>824.52552981931899</v>
      </c>
      <c r="AD114" s="525">
        <v>818.10119369962445</v>
      </c>
      <c r="AE114" s="525">
        <v>811.59364954892817</v>
      </c>
      <c r="AF114" s="525">
        <v>805.00264741423518</v>
      </c>
      <c r="AG114" s="525">
        <v>798.32793734255176</v>
      </c>
      <c r="AH114" s="525">
        <v>791.56926938088463</v>
      </c>
      <c r="AI114" s="526">
        <f t="shared" si="54"/>
        <v>791.56926938088463</v>
      </c>
      <c r="AJ114" s="526">
        <f t="shared" si="54"/>
        <v>791.56926938088463</v>
      </c>
      <c r="AK114" s="526">
        <f t="shared" si="54"/>
        <v>791.56926938088463</v>
      </c>
      <c r="AL114" s="526">
        <f t="shared" si="54"/>
        <v>791.56926938088463</v>
      </c>
      <c r="AM114" s="526">
        <f t="shared" si="54"/>
        <v>791.56926938088463</v>
      </c>
      <c r="AN114" s="526">
        <f t="shared" si="54"/>
        <v>791.56926938088463</v>
      </c>
      <c r="AO114" s="526">
        <f t="shared" si="54"/>
        <v>791.56926938088463</v>
      </c>
      <c r="AP114" s="526">
        <f t="shared" si="54"/>
        <v>791.56926938088463</v>
      </c>
      <c r="AQ114" s="526">
        <f t="shared" si="54"/>
        <v>791.56926938088463</v>
      </c>
      <c r="AR114" s="526">
        <f t="shared" si="54"/>
        <v>791.56926938088463</v>
      </c>
      <c r="AS114" s="526">
        <f t="shared" si="54"/>
        <v>791.56926938088463</v>
      </c>
      <c r="AT114" s="526">
        <f t="shared" si="54"/>
        <v>791.56926938088463</v>
      </c>
      <c r="AU114" s="526">
        <f t="shared" si="54"/>
        <v>791.56926938088463</v>
      </c>
      <c r="AV114" s="526">
        <f t="shared" si="54"/>
        <v>791.56926938088463</v>
      </c>
      <c r="AW114" s="526">
        <f t="shared" si="54"/>
        <v>791.56926938088463</v>
      </c>
      <c r="AX114" s="526">
        <f t="shared" si="54"/>
        <v>791.56926938088463</v>
      </c>
      <c r="AY114" s="526">
        <f t="shared" si="54"/>
        <v>791.56926938088463</v>
      </c>
      <c r="AZ114" s="526">
        <f t="shared" si="54"/>
        <v>791.56926938088463</v>
      </c>
      <c r="BA114" s="526">
        <f t="shared" si="54"/>
        <v>791.56926938088463</v>
      </c>
      <c r="BB114" s="526">
        <f t="shared" si="54"/>
        <v>791.56926938088463</v>
      </c>
      <c r="BC114" s="526">
        <f t="shared" si="54"/>
        <v>791.56926938088463</v>
      </c>
      <c r="BD114" s="526">
        <f t="shared" si="54"/>
        <v>791.56926938088463</v>
      </c>
      <c r="BE114" s="526">
        <f t="shared" si="54"/>
        <v>791.56926938088463</v>
      </c>
      <c r="BF114" s="526">
        <f t="shared" si="54"/>
        <v>791.56926938088463</v>
      </c>
      <c r="BG114" s="526">
        <f t="shared" si="54"/>
        <v>791.56926938088463</v>
      </c>
      <c r="BH114" s="526">
        <f t="shared" si="54"/>
        <v>791.56926938088463</v>
      </c>
      <c r="BI114" s="526">
        <f t="shared" si="54"/>
        <v>791.56926938088463</v>
      </c>
      <c r="BJ114" s="526">
        <f t="shared" si="54"/>
        <v>791.56926938088463</v>
      </c>
      <c r="BK114" s="526">
        <f t="shared" si="54"/>
        <v>791.56926938088463</v>
      </c>
      <c r="BL114" s="526">
        <f t="shared" si="54"/>
        <v>791.56926938088463</v>
      </c>
      <c r="BM114" s="526">
        <f t="shared" si="54"/>
        <v>791.56926938088463</v>
      </c>
      <c r="BN114" s="526">
        <f t="shared" si="54"/>
        <v>791.56926938088463</v>
      </c>
      <c r="BO114" s="526">
        <f t="shared" si="54"/>
        <v>791.56926938088463</v>
      </c>
      <c r="BP114" s="526">
        <f t="shared" si="54"/>
        <v>791.56926938088463</v>
      </c>
      <c r="BQ114" s="526">
        <f t="shared" si="54"/>
        <v>791.56926938088463</v>
      </c>
      <c r="BR114" s="526">
        <f t="shared" si="54"/>
        <v>791.56926938088463</v>
      </c>
      <c r="BS114" s="526">
        <f t="shared" si="54"/>
        <v>791.56926938088463</v>
      </c>
      <c r="BT114" s="526">
        <f t="shared" si="54"/>
        <v>791.56926938088463</v>
      </c>
      <c r="BU114" s="526">
        <f t="shared" si="54"/>
        <v>791.56926938088463</v>
      </c>
      <c r="BV114" s="526">
        <f t="shared" si="54"/>
        <v>791.56926938088463</v>
      </c>
      <c r="BW114" s="526">
        <f t="shared" si="54"/>
        <v>791.56926938088463</v>
      </c>
      <c r="BX114" s="526">
        <f t="shared" si="54"/>
        <v>791.56926938088463</v>
      </c>
      <c r="BY114" s="526">
        <f t="shared" si="54"/>
        <v>791.56926938088463</v>
      </c>
      <c r="BZ114" s="526">
        <f t="shared" si="54"/>
        <v>791.56926938088463</v>
      </c>
      <c r="CA114" s="526">
        <f t="shared" si="54"/>
        <v>791.56926938088463</v>
      </c>
      <c r="CB114" s="526">
        <f t="shared" si="53"/>
        <v>791.56926938088463</v>
      </c>
      <c r="CC114" s="526">
        <f t="shared" si="53"/>
        <v>791.56926938088463</v>
      </c>
      <c r="CD114" s="526">
        <f t="shared" si="53"/>
        <v>791.56926938088463</v>
      </c>
      <c r="CE114" s="526">
        <f t="shared" si="53"/>
        <v>791.56926938088463</v>
      </c>
      <c r="CF114" s="526">
        <f t="shared" si="53"/>
        <v>791.56926938088463</v>
      </c>
    </row>
    <row r="115" spans="2:84">
      <c r="B115" t="s">
        <v>791</v>
      </c>
      <c r="C115" t="s">
        <v>1354</v>
      </c>
      <c r="D115" t="s">
        <v>750</v>
      </c>
      <c r="E115" t="s">
        <v>1353</v>
      </c>
      <c r="F115" t="str">
        <f t="shared" si="46"/>
        <v>Bio-diesel (HTL)OpExAsia</v>
      </c>
      <c r="G115" s="529" t="e">
        <v>#N/A</v>
      </c>
      <c r="H115" s="529" t="e">
        <v>#N/A</v>
      </c>
      <c r="I115" s="529" t="e">
        <v>#N/A</v>
      </c>
      <c r="J115" s="529" t="e">
        <v>#N/A</v>
      </c>
      <c r="K115" s="529" t="e">
        <v>#N/A</v>
      </c>
      <c r="L115" s="529" t="e">
        <v>#N/A</v>
      </c>
      <c r="M115" s="529" t="e">
        <v>#N/A</v>
      </c>
      <c r="N115" s="525">
        <v>974.90110821507619</v>
      </c>
      <c r="O115" s="525">
        <v>964.16543685023316</v>
      </c>
      <c r="P115" s="525">
        <v>952.96376201398857</v>
      </c>
      <c r="Q115" s="525">
        <v>941.30059589641621</v>
      </c>
      <c r="R115" s="525">
        <v>929.18045068760557</v>
      </c>
      <c r="S115" s="525">
        <v>916.60783857766046</v>
      </c>
      <c r="T115" s="525">
        <v>909.53752263471711</v>
      </c>
      <c r="U115" s="525">
        <v>902.14884871037884</v>
      </c>
      <c r="V115" s="525">
        <v>894.44340720594562</v>
      </c>
      <c r="W115" s="525">
        <v>886.42278852269726</v>
      </c>
      <c r="X115" s="525">
        <v>878.08858306192906</v>
      </c>
      <c r="Y115" s="525">
        <v>869.27785752072236</v>
      </c>
      <c r="Z115" s="525">
        <v>860.33635891280346</v>
      </c>
      <c r="AA115" s="525">
        <v>851.2631405209039</v>
      </c>
      <c r="AB115" s="525">
        <v>842.05725562774944</v>
      </c>
      <c r="AC115" s="525">
        <v>832.71775751606924</v>
      </c>
      <c r="AD115" s="525">
        <v>825.60885969704202</v>
      </c>
      <c r="AE115" s="525">
        <v>818.43221227503727</v>
      </c>
      <c r="AF115" s="525">
        <v>811.18725786553125</v>
      </c>
      <c r="AG115" s="525">
        <v>803.87343908400089</v>
      </c>
      <c r="AH115" s="525">
        <v>796.49019854592302</v>
      </c>
      <c r="AI115" s="526">
        <f t="shared" si="54"/>
        <v>796.49019854592302</v>
      </c>
      <c r="AJ115" s="526">
        <f t="shared" si="54"/>
        <v>796.49019854592302</v>
      </c>
      <c r="AK115" s="526">
        <f t="shared" si="54"/>
        <v>796.49019854592302</v>
      </c>
      <c r="AL115" s="526">
        <f t="shared" si="54"/>
        <v>796.49019854592302</v>
      </c>
      <c r="AM115" s="526">
        <f t="shared" si="54"/>
        <v>796.49019854592302</v>
      </c>
      <c r="AN115" s="526">
        <f t="shared" si="54"/>
        <v>796.49019854592302</v>
      </c>
      <c r="AO115" s="526">
        <f t="shared" si="54"/>
        <v>796.49019854592302</v>
      </c>
      <c r="AP115" s="526">
        <f t="shared" si="54"/>
        <v>796.49019854592302</v>
      </c>
      <c r="AQ115" s="526">
        <f t="shared" si="54"/>
        <v>796.49019854592302</v>
      </c>
      <c r="AR115" s="526">
        <f t="shared" si="54"/>
        <v>796.49019854592302</v>
      </c>
      <c r="AS115" s="526">
        <f t="shared" si="54"/>
        <v>796.49019854592302</v>
      </c>
      <c r="AT115" s="526">
        <f t="shared" si="54"/>
        <v>796.49019854592302</v>
      </c>
      <c r="AU115" s="526">
        <f t="shared" si="54"/>
        <v>796.49019854592302</v>
      </c>
      <c r="AV115" s="526">
        <f t="shared" si="54"/>
        <v>796.49019854592302</v>
      </c>
      <c r="AW115" s="526">
        <f t="shared" si="54"/>
        <v>796.49019854592302</v>
      </c>
      <c r="AX115" s="526">
        <f t="shared" si="54"/>
        <v>796.49019854592302</v>
      </c>
      <c r="AY115" s="526">
        <f t="shared" si="54"/>
        <v>796.49019854592302</v>
      </c>
      <c r="AZ115" s="526">
        <f t="shared" si="54"/>
        <v>796.49019854592302</v>
      </c>
      <c r="BA115" s="526">
        <f t="shared" si="54"/>
        <v>796.49019854592302</v>
      </c>
      <c r="BB115" s="526">
        <f t="shared" si="54"/>
        <v>796.49019854592302</v>
      </c>
      <c r="BC115" s="526">
        <f t="shared" si="54"/>
        <v>796.49019854592302</v>
      </c>
      <c r="BD115" s="526">
        <f t="shared" si="54"/>
        <v>796.49019854592302</v>
      </c>
      <c r="BE115" s="526">
        <f t="shared" si="54"/>
        <v>796.49019854592302</v>
      </c>
      <c r="BF115" s="526">
        <f t="shared" si="54"/>
        <v>796.49019854592302</v>
      </c>
      <c r="BG115" s="526">
        <f t="shared" si="54"/>
        <v>796.49019854592302</v>
      </c>
      <c r="BH115" s="526">
        <f t="shared" si="54"/>
        <v>796.49019854592302</v>
      </c>
      <c r="BI115" s="526">
        <f t="shared" si="54"/>
        <v>796.49019854592302</v>
      </c>
      <c r="BJ115" s="526">
        <f t="shared" si="54"/>
        <v>796.49019854592302</v>
      </c>
      <c r="BK115" s="526">
        <f t="shared" si="54"/>
        <v>796.49019854592302</v>
      </c>
      <c r="BL115" s="526">
        <f t="shared" si="54"/>
        <v>796.49019854592302</v>
      </c>
      <c r="BM115" s="526">
        <f t="shared" si="54"/>
        <v>796.49019854592302</v>
      </c>
      <c r="BN115" s="526">
        <f t="shared" si="54"/>
        <v>796.49019854592302</v>
      </c>
      <c r="BO115" s="526">
        <f t="shared" si="54"/>
        <v>796.49019854592302</v>
      </c>
      <c r="BP115" s="526">
        <f t="shared" si="54"/>
        <v>796.49019854592302</v>
      </c>
      <c r="BQ115" s="526">
        <f t="shared" si="54"/>
        <v>796.49019854592302</v>
      </c>
      <c r="BR115" s="526">
        <f t="shared" si="54"/>
        <v>796.49019854592302</v>
      </c>
      <c r="BS115" s="526">
        <f t="shared" si="54"/>
        <v>796.49019854592302</v>
      </c>
      <c r="BT115" s="526">
        <f t="shared" si="54"/>
        <v>796.49019854592302</v>
      </c>
      <c r="BU115" s="526">
        <f t="shared" si="54"/>
        <v>796.49019854592302</v>
      </c>
      <c r="BV115" s="526">
        <f t="shared" si="54"/>
        <v>796.49019854592302</v>
      </c>
      <c r="BW115" s="526">
        <f t="shared" si="54"/>
        <v>796.49019854592302</v>
      </c>
      <c r="BX115" s="526">
        <f t="shared" si="54"/>
        <v>796.49019854592302</v>
      </c>
      <c r="BY115" s="526">
        <f t="shared" si="54"/>
        <v>796.49019854592302</v>
      </c>
      <c r="BZ115" s="526">
        <f t="shared" si="54"/>
        <v>796.49019854592302</v>
      </c>
      <c r="CA115" s="526">
        <f t="shared" si="54"/>
        <v>796.49019854592302</v>
      </c>
      <c r="CB115" s="526">
        <f t="shared" si="53"/>
        <v>796.49019854592302</v>
      </c>
      <c r="CC115" s="526">
        <f t="shared" si="53"/>
        <v>796.49019854592302</v>
      </c>
      <c r="CD115" s="526">
        <f t="shared" si="53"/>
        <v>796.49019854592302</v>
      </c>
      <c r="CE115" s="526">
        <f t="shared" si="53"/>
        <v>796.49019854592302</v>
      </c>
      <c r="CF115" s="526">
        <f t="shared" si="53"/>
        <v>796.49019854592302</v>
      </c>
    </row>
    <row r="116" spans="2:84">
      <c r="B116" t="s">
        <v>791</v>
      </c>
      <c r="C116" t="s">
        <v>1354</v>
      </c>
      <c r="D116" t="s">
        <v>720</v>
      </c>
      <c r="E116" t="s">
        <v>1353</v>
      </c>
      <c r="F116" t="str">
        <f t="shared" si="46"/>
        <v>Bio-diesel (HTL)OpExEurope</v>
      </c>
      <c r="G116" s="529" t="e">
        <v>#N/A</v>
      </c>
      <c r="H116" s="529" t="e">
        <v>#N/A</v>
      </c>
      <c r="I116" s="529" t="e">
        <v>#N/A</v>
      </c>
      <c r="J116" s="529" t="e">
        <v>#N/A</v>
      </c>
      <c r="K116" s="529" t="e">
        <v>#N/A</v>
      </c>
      <c r="L116" s="529" t="e">
        <v>#N/A</v>
      </c>
      <c r="M116" s="529" t="e">
        <v>#N/A</v>
      </c>
      <c r="N116" s="525">
        <v>974.1033658116171</v>
      </c>
      <c r="O116" s="525">
        <v>966.37506250265528</v>
      </c>
      <c r="P116" s="525">
        <v>958.15665651759616</v>
      </c>
      <c r="Q116" s="525">
        <v>949.4504166013237</v>
      </c>
      <c r="R116" s="525">
        <v>940.25861149874595</v>
      </c>
      <c r="S116" s="525">
        <v>930.58350995477849</v>
      </c>
      <c r="T116" s="525">
        <v>924.56198517443204</v>
      </c>
      <c r="U116" s="525">
        <v>918.20869007657529</v>
      </c>
      <c r="V116" s="525">
        <v>911.52456371413359</v>
      </c>
      <c r="W116" s="525">
        <v>904.51054514001635</v>
      </c>
      <c r="X116" s="525">
        <v>897.16757340714184</v>
      </c>
      <c r="Y116" s="525">
        <v>889.79863092118399</v>
      </c>
      <c r="Z116" s="525">
        <v>882.27485756816225</v>
      </c>
      <c r="AA116" s="525">
        <v>874.59568202699302</v>
      </c>
      <c r="AB116" s="525">
        <v>866.76053297658348</v>
      </c>
      <c r="AC116" s="525">
        <v>858.76883909584831</v>
      </c>
      <c r="AD116" s="525">
        <v>851.74580266885368</v>
      </c>
      <c r="AE116" s="525">
        <v>844.6535408271983</v>
      </c>
      <c r="AF116" s="525">
        <v>837.49151840250136</v>
      </c>
      <c r="AG116" s="525">
        <v>830.25920022638252</v>
      </c>
      <c r="AH116" s="525">
        <v>822.95605113046099</v>
      </c>
      <c r="AI116" s="526">
        <f t="shared" si="54"/>
        <v>822.95605113046099</v>
      </c>
      <c r="AJ116" s="526">
        <f t="shared" si="54"/>
        <v>822.95605113046099</v>
      </c>
      <c r="AK116" s="526">
        <f t="shared" si="54"/>
        <v>822.95605113046099</v>
      </c>
      <c r="AL116" s="526">
        <f t="shared" si="54"/>
        <v>822.95605113046099</v>
      </c>
      <c r="AM116" s="526">
        <f t="shared" si="54"/>
        <v>822.95605113046099</v>
      </c>
      <c r="AN116" s="526">
        <f t="shared" si="54"/>
        <v>822.95605113046099</v>
      </c>
      <c r="AO116" s="526">
        <f t="shared" si="54"/>
        <v>822.95605113046099</v>
      </c>
      <c r="AP116" s="526">
        <f t="shared" si="54"/>
        <v>822.95605113046099</v>
      </c>
      <c r="AQ116" s="526">
        <f t="shared" si="54"/>
        <v>822.95605113046099</v>
      </c>
      <c r="AR116" s="526">
        <f t="shared" si="54"/>
        <v>822.95605113046099</v>
      </c>
      <c r="AS116" s="526">
        <f t="shared" si="54"/>
        <v>822.95605113046099</v>
      </c>
      <c r="AT116" s="526">
        <f t="shared" si="54"/>
        <v>822.95605113046099</v>
      </c>
      <c r="AU116" s="526">
        <f t="shared" si="54"/>
        <v>822.95605113046099</v>
      </c>
      <c r="AV116" s="526">
        <f t="shared" si="54"/>
        <v>822.95605113046099</v>
      </c>
      <c r="AW116" s="526">
        <f t="shared" si="54"/>
        <v>822.95605113046099</v>
      </c>
      <c r="AX116" s="526">
        <f t="shared" si="54"/>
        <v>822.95605113046099</v>
      </c>
      <c r="AY116" s="526">
        <f t="shared" si="54"/>
        <v>822.95605113046099</v>
      </c>
      <c r="AZ116" s="526">
        <f t="shared" si="54"/>
        <v>822.95605113046099</v>
      </c>
      <c r="BA116" s="526">
        <f t="shared" si="54"/>
        <v>822.95605113046099</v>
      </c>
      <c r="BB116" s="526">
        <f t="shared" si="54"/>
        <v>822.95605113046099</v>
      </c>
      <c r="BC116" s="526">
        <f t="shared" si="54"/>
        <v>822.95605113046099</v>
      </c>
      <c r="BD116" s="526">
        <f t="shared" si="54"/>
        <v>822.95605113046099</v>
      </c>
      <c r="BE116" s="526">
        <f t="shared" si="54"/>
        <v>822.95605113046099</v>
      </c>
      <c r="BF116" s="526">
        <f t="shared" si="54"/>
        <v>822.95605113046099</v>
      </c>
      <c r="BG116" s="526">
        <f t="shared" si="54"/>
        <v>822.95605113046099</v>
      </c>
      <c r="BH116" s="526">
        <f t="shared" si="54"/>
        <v>822.95605113046099</v>
      </c>
      <c r="BI116" s="526">
        <f t="shared" si="54"/>
        <v>822.95605113046099</v>
      </c>
      <c r="BJ116" s="526">
        <f t="shared" si="54"/>
        <v>822.95605113046099</v>
      </c>
      <c r="BK116" s="526">
        <f t="shared" si="54"/>
        <v>822.95605113046099</v>
      </c>
      <c r="BL116" s="526">
        <f t="shared" si="54"/>
        <v>822.95605113046099</v>
      </c>
      <c r="BM116" s="526">
        <f t="shared" si="54"/>
        <v>822.95605113046099</v>
      </c>
      <c r="BN116" s="526">
        <f t="shared" si="54"/>
        <v>822.95605113046099</v>
      </c>
      <c r="BO116" s="526">
        <f t="shared" si="54"/>
        <v>822.95605113046099</v>
      </c>
      <c r="BP116" s="526">
        <f t="shared" si="54"/>
        <v>822.95605113046099</v>
      </c>
      <c r="BQ116" s="526">
        <f t="shared" si="54"/>
        <v>822.95605113046099</v>
      </c>
      <c r="BR116" s="526">
        <f t="shared" si="54"/>
        <v>822.95605113046099</v>
      </c>
      <c r="BS116" s="526">
        <f t="shared" si="54"/>
        <v>822.95605113046099</v>
      </c>
      <c r="BT116" s="526">
        <f t="shared" si="54"/>
        <v>822.95605113046099</v>
      </c>
      <c r="BU116" s="526">
        <f t="shared" si="54"/>
        <v>822.95605113046099</v>
      </c>
      <c r="BV116" s="526">
        <f t="shared" si="54"/>
        <v>822.95605113046099</v>
      </c>
      <c r="BW116" s="526">
        <f t="shared" si="54"/>
        <v>822.95605113046099</v>
      </c>
      <c r="BX116" s="526">
        <f t="shared" si="54"/>
        <v>822.95605113046099</v>
      </c>
      <c r="BY116" s="526">
        <f t="shared" si="54"/>
        <v>822.95605113046099</v>
      </c>
      <c r="BZ116" s="526">
        <f t="shared" si="54"/>
        <v>822.95605113046099</v>
      </c>
      <c r="CA116" s="526">
        <f t="shared" si="54"/>
        <v>822.95605113046099</v>
      </c>
      <c r="CB116" s="526">
        <f t="shared" si="53"/>
        <v>822.95605113046099</v>
      </c>
      <c r="CC116" s="526">
        <f t="shared" si="53"/>
        <v>822.95605113046099</v>
      </c>
      <c r="CD116" s="526">
        <f t="shared" si="53"/>
        <v>822.95605113046099</v>
      </c>
      <c r="CE116" s="526">
        <f t="shared" si="53"/>
        <v>822.95605113046099</v>
      </c>
      <c r="CF116" s="526">
        <f t="shared" si="53"/>
        <v>822.95605113046099</v>
      </c>
    </row>
    <row r="117" spans="2:84">
      <c r="B117" t="s">
        <v>791</v>
      </c>
      <c r="C117" t="s">
        <v>1354</v>
      </c>
      <c r="D117" t="s">
        <v>826</v>
      </c>
      <c r="E117" t="s">
        <v>1353</v>
      </c>
      <c r="F117" t="str">
        <f t="shared" si="46"/>
        <v>Bio-diesel (HTL)OpExMiddle East</v>
      </c>
      <c r="G117" s="529" t="e">
        <v>#N/A</v>
      </c>
      <c r="H117" s="529" t="e">
        <v>#N/A</v>
      </c>
      <c r="I117" s="529" t="e">
        <v>#N/A</v>
      </c>
      <c r="J117" s="529" t="e">
        <v>#N/A</v>
      </c>
      <c r="K117" s="529" t="e">
        <v>#N/A</v>
      </c>
      <c r="L117" s="529" t="e">
        <v>#N/A</v>
      </c>
      <c r="M117" s="529" t="e">
        <v>#N/A</v>
      </c>
      <c r="N117" s="525">
        <v>958.6454509174016</v>
      </c>
      <c r="O117" s="525">
        <v>950.60642886529877</v>
      </c>
      <c r="P117" s="525">
        <v>942.08826189053207</v>
      </c>
      <c r="Q117" s="525">
        <v>933.09342341774811</v>
      </c>
      <c r="R117" s="525">
        <v>923.62438687161603</v>
      </c>
      <c r="S117" s="525">
        <v>913.6836256768089</v>
      </c>
      <c r="T117" s="525">
        <v>908.23275046096137</v>
      </c>
      <c r="U117" s="525">
        <v>902.45389354569647</v>
      </c>
      <c r="V117" s="525">
        <v>896.34791467076502</v>
      </c>
      <c r="W117" s="525">
        <v>889.91567357590338</v>
      </c>
      <c r="X117" s="525">
        <v>883.15803000085737</v>
      </c>
      <c r="Y117" s="525">
        <v>875.66226061375983</v>
      </c>
      <c r="Z117" s="525">
        <v>868.01270947188948</v>
      </c>
      <c r="AA117" s="525">
        <v>860.20873539435627</v>
      </c>
      <c r="AB117" s="525">
        <v>852.24969720026445</v>
      </c>
      <c r="AC117" s="525">
        <v>844.13495370872204</v>
      </c>
      <c r="AD117" s="525">
        <v>837.47521721812041</v>
      </c>
      <c r="AE117" s="525">
        <v>830.73629096281775</v>
      </c>
      <c r="AF117" s="525">
        <v>823.91778966975301</v>
      </c>
      <c r="AG117" s="525">
        <v>817.01932806586649</v>
      </c>
      <c r="AH117" s="525">
        <v>810.04052087809873</v>
      </c>
      <c r="AI117" s="526">
        <f t="shared" si="54"/>
        <v>810.04052087809873</v>
      </c>
      <c r="AJ117" s="526">
        <f t="shared" si="54"/>
        <v>810.04052087809873</v>
      </c>
      <c r="AK117" s="526">
        <f t="shared" si="54"/>
        <v>810.04052087809873</v>
      </c>
      <c r="AL117" s="526">
        <f t="shared" si="54"/>
        <v>810.04052087809873</v>
      </c>
      <c r="AM117" s="526">
        <f t="shared" si="54"/>
        <v>810.04052087809873</v>
      </c>
      <c r="AN117" s="526">
        <f t="shared" si="54"/>
        <v>810.04052087809873</v>
      </c>
      <c r="AO117" s="526">
        <f t="shared" si="54"/>
        <v>810.04052087809873</v>
      </c>
      <c r="AP117" s="526">
        <f t="shared" si="54"/>
        <v>810.04052087809873</v>
      </c>
      <c r="AQ117" s="526">
        <f t="shared" si="54"/>
        <v>810.04052087809873</v>
      </c>
      <c r="AR117" s="526">
        <f t="shared" si="54"/>
        <v>810.04052087809873</v>
      </c>
      <c r="AS117" s="526">
        <f t="shared" si="54"/>
        <v>810.04052087809873</v>
      </c>
      <c r="AT117" s="526">
        <f t="shared" si="54"/>
        <v>810.04052087809873</v>
      </c>
      <c r="AU117" s="526">
        <f t="shared" si="54"/>
        <v>810.04052087809873</v>
      </c>
      <c r="AV117" s="526">
        <f t="shared" si="54"/>
        <v>810.04052087809873</v>
      </c>
      <c r="AW117" s="526">
        <f t="shared" si="54"/>
        <v>810.04052087809873</v>
      </c>
      <c r="AX117" s="526">
        <f t="shared" si="54"/>
        <v>810.04052087809873</v>
      </c>
      <c r="AY117" s="526">
        <f t="shared" si="54"/>
        <v>810.04052087809873</v>
      </c>
      <c r="AZ117" s="526">
        <f t="shared" si="54"/>
        <v>810.04052087809873</v>
      </c>
      <c r="BA117" s="526">
        <f t="shared" si="54"/>
        <v>810.04052087809873</v>
      </c>
      <c r="BB117" s="526">
        <f t="shared" si="54"/>
        <v>810.04052087809873</v>
      </c>
      <c r="BC117" s="526">
        <f t="shared" si="54"/>
        <v>810.04052087809873</v>
      </c>
      <c r="BD117" s="526">
        <f t="shared" si="54"/>
        <v>810.04052087809873</v>
      </c>
      <c r="BE117" s="526">
        <f t="shared" si="54"/>
        <v>810.04052087809873</v>
      </c>
      <c r="BF117" s="526">
        <f t="shared" si="54"/>
        <v>810.04052087809873</v>
      </c>
      <c r="BG117" s="526">
        <f t="shared" si="54"/>
        <v>810.04052087809873</v>
      </c>
      <c r="BH117" s="526">
        <f t="shared" si="54"/>
        <v>810.04052087809873</v>
      </c>
      <c r="BI117" s="526">
        <f t="shared" si="54"/>
        <v>810.04052087809873</v>
      </c>
      <c r="BJ117" s="526">
        <f t="shared" si="54"/>
        <v>810.04052087809873</v>
      </c>
      <c r="BK117" s="526">
        <f t="shared" si="54"/>
        <v>810.04052087809873</v>
      </c>
      <c r="BL117" s="526">
        <f t="shared" si="54"/>
        <v>810.04052087809873</v>
      </c>
      <c r="BM117" s="526">
        <f t="shared" si="54"/>
        <v>810.04052087809873</v>
      </c>
      <c r="BN117" s="526">
        <f t="shared" si="54"/>
        <v>810.04052087809873</v>
      </c>
      <c r="BO117" s="526">
        <f t="shared" si="54"/>
        <v>810.04052087809873</v>
      </c>
      <c r="BP117" s="526">
        <f t="shared" si="54"/>
        <v>810.04052087809873</v>
      </c>
      <c r="BQ117" s="526">
        <f t="shared" si="54"/>
        <v>810.04052087809873</v>
      </c>
      <c r="BR117" s="526">
        <f t="shared" si="54"/>
        <v>810.04052087809873</v>
      </c>
      <c r="BS117" s="526">
        <f t="shared" si="54"/>
        <v>810.04052087809873</v>
      </c>
      <c r="BT117" s="526">
        <f t="shared" si="54"/>
        <v>810.04052087809873</v>
      </c>
      <c r="BU117" s="526">
        <f t="shared" si="54"/>
        <v>810.04052087809873</v>
      </c>
      <c r="BV117" s="526">
        <f t="shared" si="54"/>
        <v>810.04052087809873</v>
      </c>
      <c r="BW117" s="526">
        <f t="shared" si="54"/>
        <v>810.04052087809873</v>
      </c>
      <c r="BX117" s="526">
        <f t="shared" si="54"/>
        <v>810.04052087809873</v>
      </c>
      <c r="BY117" s="526">
        <f t="shared" si="54"/>
        <v>810.04052087809873</v>
      </c>
      <c r="BZ117" s="526">
        <f t="shared" si="54"/>
        <v>810.04052087809873</v>
      </c>
      <c r="CA117" s="526">
        <f t="shared" si="54"/>
        <v>810.04052087809873</v>
      </c>
      <c r="CB117" s="526">
        <f t="shared" si="53"/>
        <v>810.04052087809873</v>
      </c>
      <c r="CC117" s="526">
        <f t="shared" si="53"/>
        <v>810.04052087809873</v>
      </c>
      <c r="CD117" s="526">
        <f t="shared" si="53"/>
        <v>810.04052087809873</v>
      </c>
      <c r="CE117" s="526">
        <f t="shared" si="53"/>
        <v>810.04052087809873</v>
      </c>
      <c r="CF117" s="526">
        <f t="shared" si="53"/>
        <v>810.04052087809873</v>
      </c>
    </row>
    <row r="118" spans="2:84">
      <c r="B118" t="s">
        <v>791</v>
      </c>
      <c r="C118" t="s">
        <v>1355</v>
      </c>
      <c r="D118" t="s">
        <v>708</v>
      </c>
      <c r="E118" t="s">
        <v>1356</v>
      </c>
      <c r="F118" t="str">
        <f t="shared" si="46"/>
        <v>Bio-diesel (HTL)Total emissions - WTT - GWP100Global</v>
      </c>
      <c r="G118" s="530" t="e">
        <v>#N/A</v>
      </c>
      <c r="H118" s="530" t="e">
        <v>#N/A</v>
      </c>
      <c r="I118" s="530" t="e">
        <v>#N/A</v>
      </c>
      <c r="J118" s="530" t="e">
        <v>#N/A</v>
      </c>
      <c r="K118" s="530" t="e">
        <v>#N/A</v>
      </c>
      <c r="L118" s="530" t="e">
        <v>#N/A</v>
      </c>
      <c r="M118" s="530" t="e">
        <v>#N/A</v>
      </c>
      <c r="N118" s="527">
        <v>-3.183834186784499</v>
      </c>
      <c r="O118" s="527">
        <v>-3.1839535339166209</v>
      </c>
      <c r="P118" s="527">
        <v>-3.1840786863416684</v>
      </c>
      <c r="Q118" s="527">
        <v>-3.1842096440596412</v>
      </c>
      <c r="R118" s="527">
        <v>-3.1843464070705396</v>
      </c>
      <c r="S118" s="527">
        <v>-3.1844889753743644</v>
      </c>
      <c r="T118" s="527">
        <v>-3.1846375621382736</v>
      </c>
      <c r="U118" s="527">
        <v>-3.1847901734513031</v>
      </c>
      <c r="V118" s="527">
        <v>-3.184946809313451</v>
      </c>
      <c r="W118" s="527">
        <v>-3.185107469724719</v>
      </c>
      <c r="X118" s="527">
        <v>-3.1852721546851073</v>
      </c>
      <c r="Y118" s="527">
        <v>-3.1854842229448108</v>
      </c>
      <c r="Z118" s="527">
        <v>-3.185694002462053</v>
      </c>
      <c r="AA118" s="527">
        <v>-3.185901493236833</v>
      </c>
      <c r="AB118" s="527">
        <v>-3.1861066952691521</v>
      </c>
      <c r="AC118" s="527">
        <v>-3.186309608559009</v>
      </c>
      <c r="AD118" s="527">
        <v>-3.1864796033332095</v>
      </c>
      <c r="AE118" s="527">
        <v>-3.1866466597133711</v>
      </c>
      <c r="AF118" s="527">
        <v>-3.1868107776994941</v>
      </c>
      <c r="AG118" s="527">
        <v>-3.1869719572915791</v>
      </c>
      <c r="AH118" s="527">
        <v>-3.187130198489625</v>
      </c>
      <c r="AI118" s="528">
        <f t="shared" si="54"/>
        <v>-3.187130198489625</v>
      </c>
      <c r="AJ118" s="528">
        <f t="shared" si="54"/>
        <v>-3.187130198489625</v>
      </c>
      <c r="AK118" s="528">
        <f t="shared" si="54"/>
        <v>-3.187130198489625</v>
      </c>
      <c r="AL118" s="528">
        <f t="shared" si="54"/>
        <v>-3.187130198489625</v>
      </c>
      <c r="AM118" s="528">
        <f t="shared" si="54"/>
        <v>-3.187130198489625</v>
      </c>
      <c r="AN118" s="528">
        <f t="shared" si="54"/>
        <v>-3.187130198489625</v>
      </c>
      <c r="AO118" s="528">
        <f t="shared" si="54"/>
        <v>-3.187130198489625</v>
      </c>
      <c r="AP118" s="528">
        <f t="shared" si="54"/>
        <v>-3.187130198489625</v>
      </c>
      <c r="AQ118" s="528">
        <f t="shared" si="54"/>
        <v>-3.187130198489625</v>
      </c>
      <c r="AR118" s="528">
        <f t="shared" si="54"/>
        <v>-3.187130198489625</v>
      </c>
      <c r="AS118" s="528">
        <f t="shared" si="54"/>
        <v>-3.187130198489625</v>
      </c>
      <c r="AT118" s="528">
        <f t="shared" si="54"/>
        <v>-3.187130198489625</v>
      </c>
      <c r="AU118" s="528">
        <f t="shared" si="54"/>
        <v>-3.187130198489625</v>
      </c>
      <c r="AV118" s="528">
        <f t="shared" si="54"/>
        <v>-3.187130198489625</v>
      </c>
      <c r="AW118" s="528">
        <f t="shared" si="54"/>
        <v>-3.187130198489625</v>
      </c>
      <c r="AX118" s="528">
        <f t="shared" si="54"/>
        <v>-3.187130198489625</v>
      </c>
      <c r="AY118" s="528">
        <f t="shared" si="54"/>
        <v>-3.187130198489625</v>
      </c>
      <c r="AZ118" s="528">
        <f t="shared" si="54"/>
        <v>-3.187130198489625</v>
      </c>
      <c r="BA118" s="528">
        <f t="shared" si="54"/>
        <v>-3.187130198489625</v>
      </c>
      <c r="BB118" s="528">
        <f t="shared" si="54"/>
        <v>-3.187130198489625</v>
      </c>
      <c r="BC118" s="528">
        <f t="shared" si="54"/>
        <v>-3.187130198489625</v>
      </c>
      <c r="BD118" s="528">
        <f t="shared" si="54"/>
        <v>-3.187130198489625</v>
      </c>
      <c r="BE118" s="528">
        <f t="shared" si="54"/>
        <v>-3.187130198489625</v>
      </c>
      <c r="BF118" s="528">
        <f t="shared" si="54"/>
        <v>-3.187130198489625</v>
      </c>
      <c r="BG118" s="528">
        <f t="shared" si="54"/>
        <v>-3.187130198489625</v>
      </c>
      <c r="BH118" s="528">
        <f t="shared" si="54"/>
        <v>-3.187130198489625</v>
      </c>
      <c r="BI118" s="528">
        <f t="shared" si="54"/>
        <v>-3.187130198489625</v>
      </c>
      <c r="BJ118" s="528">
        <f t="shared" si="54"/>
        <v>-3.187130198489625</v>
      </c>
      <c r="BK118" s="528">
        <f t="shared" si="54"/>
        <v>-3.187130198489625</v>
      </c>
      <c r="BL118" s="528">
        <f t="shared" si="54"/>
        <v>-3.187130198489625</v>
      </c>
      <c r="BM118" s="528">
        <f t="shared" ref="BM118:CA118" si="55">BL118</f>
        <v>-3.187130198489625</v>
      </c>
      <c r="BN118" s="528">
        <f t="shared" si="55"/>
        <v>-3.187130198489625</v>
      </c>
      <c r="BO118" s="528">
        <f t="shared" si="55"/>
        <v>-3.187130198489625</v>
      </c>
      <c r="BP118" s="528">
        <f t="shared" si="55"/>
        <v>-3.187130198489625</v>
      </c>
      <c r="BQ118" s="528">
        <f t="shared" si="55"/>
        <v>-3.187130198489625</v>
      </c>
      <c r="BR118" s="528">
        <f t="shared" si="55"/>
        <v>-3.187130198489625</v>
      </c>
      <c r="BS118" s="528">
        <f t="shared" si="55"/>
        <v>-3.187130198489625</v>
      </c>
      <c r="BT118" s="528">
        <f t="shared" si="55"/>
        <v>-3.187130198489625</v>
      </c>
      <c r="BU118" s="528">
        <f t="shared" si="55"/>
        <v>-3.187130198489625</v>
      </c>
      <c r="BV118" s="528">
        <f t="shared" si="55"/>
        <v>-3.187130198489625</v>
      </c>
      <c r="BW118" s="528">
        <f t="shared" si="55"/>
        <v>-3.187130198489625</v>
      </c>
      <c r="BX118" s="528">
        <f t="shared" si="55"/>
        <v>-3.187130198489625</v>
      </c>
      <c r="BY118" s="528">
        <f t="shared" si="55"/>
        <v>-3.187130198489625</v>
      </c>
      <c r="BZ118" s="528">
        <f t="shared" si="55"/>
        <v>-3.187130198489625</v>
      </c>
      <c r="CA118" s="528">
        <f t="shared" si="55"/>
        <v>-3.187130198489625</v>
      </c>
      <c r="CB118" s="528">
        <f t="shared" si="53"/>
        <v>-3.187130198489625</v>
      </c>
      <c r="CC118" s="528">
        <f t="shared" si="53"/>
        <v>-3.187130198489625</v>
      </c>
      <c r="CD118" s="528">
        <f t="shared" si="53"/>
        <v>-3.187130198489625</v>
      </c>
      <c r="CE118" s="528">
        <f t="shared" si="53"/>
        <v>-3.187130198489625</v>
      </c>
      <c r="CF118" s="528">
        <f t="shared" si="53"/>
        <v>-3.187130198489625</v>
      </c>
    </row>
    <row r="119" spans="2:84">
      <c r="B119" t="s">
        <v>791</v>
      </c>
      <c r="C119" t="s">
        <v>1357</v>
      </c>
      <c r="D119" t="s">
        <v>708</v>
      </c>
      <c r="E119" t="s">
        <v>1356</v>
      </c>
      <c r="F119" t="str">
        <f t="shared" si="46"/>
        <v>Bio-diesel (HTL)Total emissions - TTW - GWP100Global</v>
      </c>
      <c r="G119" s="530" t="e">
        <v>#N/A</v>
      </c>
      <c r="H119" s="530" t="e">
        <v>#N/A</v>
      </c>
      <c r="I119" s="530" t="e">
        <v>#N/A</v>
      </c>
      <c r="J119" s="530" t="e">
        <v>#N/A</v>
      </c>
      <c r="K119" s="530" t="e">
        <v>#N/A</v>
      </c>
      <c r="L119" s="530" t="e">
        <v>#N/A</v>
      </c>
      <c r="M119" s="530" t="e">
        <v>#N/A</v>
      </c>
      <c r="N119" s="527">
        <v>3.2553300000000003</v>
      </c>
      <c r="O119" s="527">
        <v>3.2553300000000003</v>
      </c>
      <c r="P119" s="527">
        <v>3.2553300000000003</v>
      </c>
      <c r="Q119" s="527">
        <v>3.2553300000000003</v>
      </c>
      <c r="R119" s="527">
        <v>3.2553300000000003</v>
      </c>
      <c r="S119" s="527">
        <v>3.2553300000000003</v>
      </c>
      <c r="T119" s="527">
        <v>3.2553300000000003</v>
      </c>
      <c r="U119" s="527">
        <v>3.2553300000000003</v>
      </c>
      <c r="V119" s="527">
        <v>3.2553300000000003</v>
      </c>
      <c r="W119" s="527">
        <v>3.2553300000000003</v>
      </c>
      <c r="X119" s="527">
        <v>3.2553300000000003</v>
      </c>
      <c r="Y119" s="527">
        <v>3.2553300000000003</v>
      </c>
      <c r="Z119" s="527">
        <v>3.2553300000000003</v>
      </c>
      <c r="AA119" s="527">
        <v>3.2553300000000003</v>
      </c>
      <c r="AB119" s="527">
        <v>3.2553300000000003</v>
      </c>
      <c r="AC119" s="527">
        <v>3.2553300000000003</v>
      </c>
      <c r="AD119" s="527">
        <v>3.2553300000000003</v>
      </c>
      <c r="AE119" s="527">
        <v>3.2553300000000003</v>
      </c>
      <c r="AF119" s="527">
        <v>3.2553300000000003</v>
      </c>
      <c r="AG119" s="527">
        <v>3.2553300000000003</v>
      </c>
      <c r="AH119" s="527">
        <v>3.2553300000000003</v>
      </c>
      <c r="AI119" s="526">
        <f t="shared" ref="AI119:CA120" si="56">AH119</f>
        <v>3.2553300000000003</v>
      </c>
      <c r="AJ119" s="526">
        <f t="shared" si="56"/>
        <v>3.2553300000000003</v>
      </c>
      <c r="AK119" s="526">
        <f t="shared" si="56"/>
        <v>3.2553300000000003</v>
      </c>
      <c r="AL119" s="526">
        <f t="shared" si="56"/>
        <v>3.2553300000000003</v>
      </c>
      <c r="AM119" s="526">
        <f t="shared" si="56"/>
        <v>3.2553300000000003</v>
      </c>
      <c r="AN119" s="526">
        <f t="shared" si="56"/>
        <v>3.2553300000000003</v>
      </c>
      <c r="AO119" s="526">
        <f t="shared" si="56"/>
        <v>3.2553300000000003</v>
      </c>
      <c r="AP119" s="526">
        <f t="shared" si="56"/>
        <v>3.2553300000000003</v>
      </c>
      <c r="AQ119" s="526">
        <f t="shared" si="56"/>
        <v>3.2553300000000003</v>
      </c>
      <c r="AR119" s="526">
        <f t="shared" si="56"/>
        <v>3.2553300000000003</v>
      </c>
      <c r="AS119" s="526">
        <f t="shared" si="56"/>
        <v>3.2553300000000003</v>
      </c>
      <c r="AT119" s="526">
        <f t="shared" si="56"/>
        <v>3.2553300000000003</v>
      </c>
      <c r="AU119" s="526">
        <f t="shared" si="56"/>
        <v>3.2553300000000003</v>
      </c>
      <c r="AV119" s="526">
        <f t="shared" si="56"/>
        <v>3.2553300000000003</v>
      </c>
      <c r="AW119" s="526">
        <f t="shared" si="56"/>
        <v>3.2553300000000003</v>
      </c>
      <c r="AX119" s="526">
        <f t="shared" si="56"/>
        <v>3.2553300000000003</v>
      </c>
      <c r="AY119" s="526">
        <f t="shared" si="56"/>
        <v>3.2553300000000003</v>
      </c>
      <c r="AZ119" s="526">
        <f t="shared" si="56"/>
        <v>3.2553300000000003</v>
      </c>
      <c r="BA119" s="526">
        <f t="shared" si="56"/>
        <v>3.2553300000000003</v>
      </c>
      <c r="BB119" s="526">
        <f t="shared" si="56"/>
        <v>3.2553300000000003</v>
      </c>
      <c r="BC119" s="526">
        <f t="shared" si="56"/>
        <v>3.2553300000000003</v>
      </c>
      <c r="BD119" s="526">
        <f t="shared" si="56"/>
        <v>3.2553300000000003</v>
      </c>
      <c r="BE119" s="526">
        <f t="shared" si="56"/>
        <v>3.2553300000000003</v>
      </c>
      <c r="BF119" s="526">
        <f t="shared" si="56"/>
        <v>3.2553300000000003</v>
      </c>
      <c r="BG119" s="526">
        <f t="shared" si="56"/>
        <v>3.2553300000000003</v>
      </c>
      <c r="BH119" s="526">
        <f t="shared" si="56"/>
        <v>3.2553300000000003</v>
      </c>
      <c r="BI119" s="526">
        <f t="shared" si="56"/>
        <v>3.2553300000000003</v>
      </c>
      <c r="BJ119" s="526">
        <f t="shared" si="56"/>
        <v>3.2553300000000003</v>
      </c>
      <c r="BK119" s="526">
        <f t="shared" si="56"/>
        <v>3.2553300000000003</v>
      </c>
      <c r="BL119" s="526">
        <f t="shared" si="56"/>
        <v>3.2553300000000003</v>
      </c>
      <c r="BM119" s="526">
        <f t="shared" si="56"/>
        <v>3.2553300000000003</v>
      </c>
      <c r="BN119" s="526">
        <f t="shared" si="56"/>
        <v>3.2553300000000003</v>
      </c>
      <c r="BO119" s="526">
        <f t="shared" si="56"/>
        <v>3.2553300000000003</v>
      </c>
      <c r="BP119" s="526">
        <f t="shared" si="56"/>
        <v>3.2553300000000003</v>
      </c>
      <c r="BQ119" s="526">
        <f t="shared" si="56"/>
        <v>3.2553300000000003</v>
      </c>
      <c r="BR119" s="526">
        <f t="shared" si="56"/>
        <v>3.2553300000000003</v>
      </c>
      <c r="BS119" s="526">
        <f t="shared" si="56"/>
        <v>3.2553300000000003</v>
      </c>
      <c r="BT119" s="526">
        <f t="shared" si="56"/>
        <v>3.2553300000000003</v>
      </c>
      <c r="BU119" s="526">
        <f t="shared" si="56"/>
        <v>3.2553300000000003</v>
      </c>
      <c r="BV119" s="526">
        <f t="shared" si="56"/>
        <v>3.2553300000000003</v>
      </c>
      <c r="BW119" s="526">
        <f t="shared" si="56"/>
        <v>3.2553300000000003</v>
      </c>
      <c r="BX119" s="526">
        <f t="shared" si="56"/>
        <v>3.2553300000000003</v>
      </c>
      <c r="BY119" s="526">
        <f t="shared" si="56"/>
        <v>3.2553300000000003</v>
      </c>
      <c r="BZ119" s="526">
        <f t="shared" si="56"/>
        <v>3.2553300000000003</v>
      </c>
      <c r="CA119" s="526">
        <f t="shared" si="56"/>
        <v>3.2553300000000003</v>
      </c>
      <c r="CB119" s="526">
        <f t="shared" si="53"/>
        <v>3.2553300000000003</v>
      </c>
      <c r="CC119" s="526">
        <f t="shared" si="53"/>
        <v>3.2553300000000003</v>
      </c>
      <c r="CD119" s="526">
        <f t="shared" si="53"/>
        <v>3.2553300000000003</v>
      </c>
      <c r="CE119" s="526">
        <f t="shared" si="53"/>
        <v>3.2553300000000003</v>
      </c>
      <c r="CF119" s="526">
        <f t="shared" si="53"/>
        <v>3.2553300000000003</v>
      </c>
    </row>
    <row r="120" spans="2:84">
      <c r="B120" t="s">
        <v>791</v>
      </c>
      <c r="C120" t="s">
        <v>1358</v>
      </c>
      <c r="D120" t="s">
        <v>708</v>
      </c>
      <c r="E120" t="s">
        <v>1356</v>
      </c>
      <c r="F120" t="str">
        <f t="shared" si="46"/>
        <v>Bio-diesel (HTL)Total emissions - WTW - GWP100Global</v>
      </c>
      <c r="G120" s="530" t="e">
        <v>#N/A</v>
      </c>
      <c r="H120" s="530" t="e">
        <v>#N/A</v>
      </c>
      <c r="I120" s="530" t="e">
        <v>#N/A</v>
      </c>
      <c r="J120" s="530" t="e">
        <v>#N/A</v>
      </c>
      <c r="K120" s="530" t="e">
        <v>#N/A</v>
      </c>
      <c r="L120" s="530" t="e">
        <v>#N/A</v>
      </c>
      <c r="M120" s="530" t="e">
        <v>#N/A</v>
      </c>
      <c r="N120" s="527">
        <v>7.1495813215501247E-2</v>
      </c>
      <c r="O120" s="527">
        <v>7.1376466083379331E-2</v>
      </c>
      <c r="P120" s="527">
        <v>7.1251313658331927E-2</v>
      </c>
      <c r="Q120" s="527">
        <v>7.1120355940359037E-2</v>
      </c>
      <c r="R120" s="527">
        <v>7.0983592929460659E-2</v>
      </c>
      <c r="S120" s="527">
        <v>7.0841024625635907E-2</v>
      </c>
      <c r="T120" s="527">
        <v>7.0692437861726631E-2</v>
      </c>
      <c r="U120" s="527">
        <v>7.0539826548697171E-2</v>
      </c>
      <c r="V120" s="527">
        <v>7.0383190686549302E-2</v>
      </c>
      <c r="W120" s="527">
        <v>7.0222530275281247E-2</v>
      </c>
      <c r="X120" s="527">
        <v>7.0057845314893008E-2</v>
      </c>
      <c r="Y120" s="527">
        <v>6.9845777055189462E-2</v>
      </c>
      <c r="Z120" s="527">
        <v>6.9635997537947247E-2</v>
      </c>
      <c r="AA120" s="527">
        <v>6.9428506763167253E-2</v>
      </c>
      <c r="AB120" s="527">
        <v>6.9223304730848145E-2</v>
      </c>
      <c r="AC120" s="527">
        <v>6.9020391440991258E-2</v>
      </c>
      <c r="AD120" s="527">
        <v>6.8850396666790825E-2</v>
      </c>
      <c r="AE120" s="527">
        <v>6.8683340286629146E-2</v>
      </c>
      <c r="AF120" s="527">
        <v>6.8519222300506222E-2</v>
      </c>
      <c r="AG120" s="527">
        <v>6.8358042708421163E-2</v>
      </c>
      <c r="AH120" s="527">
        <v>6.8199801510375302E-2</v>
      </c>
      <c r="AI120" s="528">
        <f t="shared" si="56"/>
        <v>6.8199801510375302E-2</v>
      </c>
      <c r="AJ120" s="528">
        <f t="shared" si="56"/>
        <v>6.8199801510375302E-2</v>
      </c>
      <c r="AK120" s="528">
        <f t="shared" si="56"/>
        <v>6.8199801510375302E-2</v>
      </c>
      <c r="AL120" s="528">
        <f t="shared" si="56"/>
        <v>6.8199801510375302E-2</v>
      </c>
      <c r="AM120" s="528">
        <f t="shared" si="56"/>
        <v>6.8199801510375302E-2</v>
      </c>
      <c r="AN120" s="528">
        <f t="shared" si="56"/>
        <v>6.8199801510375302E-2</v>
      </c>
      <c r="AO120" s="528">
        <f t="shared" si="56"/>
        <v>6.8199801510375302E-2</v>
      </c>
      <c r="AP120" s="528">
        <f t="shared" si="56"/>
        <v>6.8199801510375302E-2</v>
      </c>
      <c r="AQ120" s="528">
        <f t="shared" si="56"/>
        <v>6.8199801510375302E-2</v>
      </c>
      <c r="AR120" s="528">
        <f t="shared" si="56"/>
        <v>6.8199801510375302E-2</v>
      </c>
      <c r="AS120" s="528">
        <f t="shared" si="56"/>
        <v>6.8199801510375302E-2</v>
      </c>
      <c r="AT120" s="528">
        <f t="shared" si="56"/>
        <v>6.8199801510375302E-2</v>
      </c>
      <c r="AU120" s="528">
        <f t="shared" si="56"/>
        <v>6.8199801510375302E-2</v>
      </c>
      <c r="AV120" s="528">
        <f t="shared" si="56"/>
        <v>6.8199801510375302E-2</v>
      </c>
      <c r="AW120" s="528">
        <f t="shared" si="56"/>
        <v>6.8199801510375302E-2</v>
      </c>
      <c r="AX120" s="528">
        <f t="shared" si="56"/>
        <v>6.8199801510375302E-2</v>
      </c>
      <c r="AY120" s="528">
        <f t="shared" si="56"/>
        <v>6.8199801510375302E-2</v>
      </c>
      <c r="AZ120" s="528">
        <f t="shared" si="56"/>
        <v>6.8199801510375302E-2</v>
      </c>
      <c r="BA120" s="528">
        <f t="shared" si="56"/>
        <v>6.8199801510375302E-2</v>
      </c>
      <c r="BB120" s="528">
        <f t="shared" si="56"/>
        <v>6.8199801510375302E-2</v>
      </c>
      <c r="BC120" s="528">
        <f t="shared" si="56"/>
        <v>6.8199801510375302E-2</v>
      </c>
      <c r="BD120" s="528">
        <f t="shared" si="56"/>
        <v>6.8199801510375302E-2</v>
      </c>
      <c r="BE120" s="528">
        <f t="shared" si="56"/>
        <v>6.8199801510375302E-2</v>
      </c>
      <c r="BF120" s="528">
        <f t="shared" si="56"/>
        <v>6.8199801510375302E-2</v>
      </c>
      <c r="BG120" s="528">
        <f t="shared" si="56"/>
        <v>6.8199801510375302E-2</v>
      </c>
      <c r="BH120" s="528">
        <f t="shared" si="56"/>
        <v>6.8199801510375302E-2</v>
      </c>
      <c r="BI120" s="528">
        <f t="shared" si="56"/>
        <v>6.8199801510375302E-2</v>
      </c>
      <c r="BJ120" s="528">
        <f t="shared" si="56"/>
        <v>6.8199801510375302E-2</v>
      </c>
      <c r="BK120" s="528">
        <f t="shared" si="56"/>
        <v>6.8199801510375302E-2</v>
      </c>
      <c r="BL120" s="528">
        <f t="shared" si="56"/>
        <v>6.8199801510375302E-2</v>
      </c>
      <c r="BM120" s="528">
        <f t="shared" si="56"/>
        <v>6.8199801510375302E-2</v>
      </c>
      <c r="BN120" s="528">
        <f t="shared" si="56"/>
        <v>6.8199801510375302E-2</v>
      </c>
      <c r="BO120" s="528">
        <f t="shared" si="56"/>
        <v>6.8199801510375302E-2</v>
      </c>
      <c r="BP120" s="528">
        <f t="shared" si="56"/>
        <v>6.8199801510375302E-2</v>
      </c>
      <c r="BQ120" s="528">
        <f t="shared" si="56"/>
        <v>6.8199801510375302E-2</v>
      </c>
      <c r="BR120" s="528">
        <f t="shared" si="56"/>
        <v>6.8199801510375302E-2</v>
      </c>
      <c r="BS120" s="528">
        <f t="shared" si="56"/>
        <v>6.8199801510375302E-2</v>
      </c>
      <c r="BT120" s="528">
        <f t="shared" si="56"/>
        <v>6.8199801510375302E-2</v>
      </c>
      <c r="BU120" s="528">
        <f t="shared" si="56"/>
        <v>6.8199801510375302E-2</v>
      </c>
      <c r="BV120" s="528">
        <f t="shared" si="56"/>
        <v>6.8199801510375302E-2</v>
      </c>
      <c r="BW120" s="528">
        <f t="shared" si="56"/>
        <v>6.8199801510375302E-2</v>
      </c>
      <c r="BX120" s="528">
        <f t="shared" si="56"/>
        <v>6.8199801510375302E-2</v>
      </c>
      <c r="BY120" s="528">
        <f t="shared" si="56"/>
        <v>6.8199801510375302E-2</v>
      </c>
      <c r="BZ120" s="528">
        <f t="shared" si="56"/>
        <v>6.8199801510375302E-2</v>
      </c>
      <c r="CA120" s="528">
        <f t="shared" si="56"/>
        <v>6.8199801510375302E-2</v>
      </c>
      <c r="CB120" s="528">
        <f t="shared" si="53"/>
        <v>6.8199801510375302E-2</v>
      </c>
      <c r="CC120" s="528">
        <f t="shared" si="53"/>
        <v>6.8199801510375302E-2</v>
      </c>
      <c r="CD120" s="528">
        <f t="shared" si="53"/>
        <v>6.8199801510375302E-2</v>
      </c>
      <c r="CE120" s="528">
        <f t="shared" si="53"/>
        <v>6.8199801510375302E-2</v>
      </c>
      <c r="CF120" s="528">
        <f t="shared" si="53"/>
        <v>6.8199801510375302E-2</v>
      </c>
    </row>
    <row r="121" spans="2:84">
      <c r="B121" t="s">
        <v>799</v>
      </c>
      <c r="C121" t="s">
        <v>1352</v>
      </c>
      <c r="D121" t="s">
        <v>708</v>
      </c>
      <c r="E121" t="s">
        <v>1353</v>
      </c>
      <c r="F121" t="str">
        <f t="shared" si="46"/>
        <v>Bio-diesel (Pyrolysis)CapExGlobal</v>
      </c>
      <c r="G121" s="529" t="e">
        <v>#N/A</v>
      </c>
      <c r="H121" s="529" t="e">
        <v>#N/A</v>
      </c>
      <c r="I121" s="529" t="e">
        <v>#N/A</v>
      </c>
      <c r="J121" s="529" t="e">
        <v>#N/A</v>
      </c>
      <c r="K121" s="529" t="e">
        <v>#N/A</v>
      </c>
      <c r="L121" s="529" t="e">
        <v>#N/A</v>
      </c>
      <c r="M121" s="529" t="e">
        <v>#N/A</v>
      </c>
      <c r="N121" s="525">
        <v>2326</v>
      </c>
      <c r="O121" s="525">
        <v>2279.4799999999959</v>
      </c>
      <c r="P121" s="525">
        <v>2232.9600000000064</v>
      </c>
      <c r="Q121" s="525">
        <v>2186.4400000000023</v>
      </c>
      <c r="R121" s="525">
        <v>2139.9199999999983</v>
      </c>
      <c r="S121" s="525">
        <v>2093.3999999999978</v>
      </c>
      <c r="T121" s="525">
        <v>2077.8933333333334</v>
      </c>
      <c r="U121" s="525">
        <v>2062.3866666666654</v>
      </c>
      <c r="V121" s="525">
        <v>2046.8799999999974</v>
      </c>
      <c r="W121" s="525">
        <v>2031.373333333333</v>
      </c>
      <c r="X121" s="525">
        <v>2015.866666666665</v>
      </c>
      <c r="Y121" s="525">
        <v>2000.3599999999967</v>
      </c>
      <c r="Z121" s="525">
        <v>1984.8533333333328</v>
      </c>
      <c r="AA121" s="525">
        <v>1969.3466666666645</v>
      </c>
      <c r="AB121" s="525">
        <v>1953.8399999999965</v>
      </c>
      <c r="AC121" s="525">
        <v>1938.3333333333321</v>
      </c>
      <c r="AD121" s="525">
        <v>1922.8266666666643</v>
      </c>
      <c r="AE121" s="525">
        <v>1907.3199999999997</v>
      </c>
      <c r="AF121" s="525">
        <v>1891.8133333333317</v>
      </c>
      <c r="AG121" s="525">
        <v>1876.3066666666637</v>
      </c>
      <c r="AH121" s="525">
        <v>1860.7999999999993</v>
      </c>
      <c r="AI121" s="526">
        <f>AH121</f>
        <v>1860.7999999999993</v>
      </c>
      <c r="AJ121" s="526">
        <f t="shared" ref="AJ121:CF129" si="57">AI121</f>
        <v>1860.7999999999993</v>
      </c>
      <c r="AK121" s="526">
        <f t="shared" si="57"/>
        <v>1860.7999999999993</v>
      </c>
      <c r="AL121" s="526">
        <f t="shared" si="57"/>
        <v>1860.7999999999993</v>
      </c>
      <c r="AM121" s="526">
        <f t="shared" si="57"/>
        <v>1860.7999999999993</v>
      </c>
      <c r="AN121" s="526">
        <f t="shared" si="57"/>
        <v>1860.7999999999993</v>
      </c>
      <c r="AO121" s="526">
        <f t="shared" si="57"/>
        <v>1860.7999999999993</v>
      </c>
      <c r="AP121" s="526">
        <f t="shared" si="57"/>
        <v>1860.7999999999993</v>
      </c>
      <c r="AQ121" s="526">
        <f t="shared" si="57"/>
        <v>1860.7999999999993</v>
      </c>
      <c r="AR121" s="526">
        <f t="shared" si="57"/>
        <v>1860.7999999999993</v>
      </c>
      <c r="AS121" s="526">
        <f t="shared" si="57"/>
        <v>1860.7999999999993</v>
      </c>
      <c r="AT121" s="526">
        <f t="shared" si="57"/>
        <v>1860.7999999999993</v>
      </c>
      <c r="AU121" s="526">
        <f t="shared" si="57"/>
        <v>1860.7999999999993</v>
      </c>
      <c r="AV121" s="526">
        <f t="shared" si="57"/>
        <v>1860.7999999999993</v>
      </c>
      <c r="AW121" s="526">
        <f t="shared" si="57"/>
        <v>1860.7999999999993</v>
      </c>
      <c r="AX121" s="526">
        <f t="shared" si="57"/>
        <v>1860.7999999999993</v>
      </c>
      <c r="AY121" s="526">
        <f t="shared" si="57"/>
        <v>1860.7999999999993</v>
      </c>
      <c r="AZ121" s="526">
        <f t="shared" si="57"/>
        <v>1860.7999999999993</v>
      </c>
      <c r="BA121" s="526">
        <f t="shared" si="57"/>
        <v>1860.7999999999993</v>
      </c>
      <c r="BB121" s="526">
        <f t="shared" si="57"/>
        <v>1860.7999999999993</v>
      </c>
      <c r="BC121" s="526">
        <f t="shared" si="57"/>
        <v>1860.7999999999993</v>
      </c>
      <c r="BD121" s="526">
        <f t="shared" si="57"/>
        <v>1860.7999999999993</v>
      </c>
      <c r="BE121" s="526">
        <f t="shared" si="57"/>
        <v>1860.7999999999993</v>
      </c>
      <c r="BF121" s="526">
        <f t="shared" si="57"/>
        <v>1860.7999999999993</v>
      </c>
      <c r="BG121" s="526">
        <f t="shared" si="57"/>
        <v>1860.7999999999993</v>
      </c>
      <c r="BH121" s="526">
        <f t="shared" si="57"/>
        <v>1860.7999999999993</v>
      </c>
      <c r="BI121" s="526">
        <f t="shared" si="57"/>
        <v>1860.7999999999993</v>
      </c>
      <c r="BJ121" s="526">
        <f t="shared" si="57"/>
        <v>1860.7999999999993</v>
      </c>
      <c r="BK121" s="526">
        <f t="shared" si="57"/>
        <v>1860.7999999999993</v>
      </c>
      <c r="BL121" s="526">
        <f t="shared" si="57"/>
        <v>1860.7999999999993</v>
      </c>
      <c r="BM121" s="526">
        <f t="shared" si="57"/>
        <v>1860.7999999999993</v>
      </c>
      <c r="BN121" s="526">
        <f t="shared" si="57"/>
        <v>1860.7999999999993</v>
      </c>
      <c r="BO121" s="526">
        <f t="shared" si="57"/>
        <v>1860.7999999999993</v>
      </c>
      <c r="BP121" s="526">
        <f t="shared" si="57"/>
        <v>1860.7999999999993</v>
      </c>
      <c r="BQ121" s="526">
        <f t="shared" si="57"/>
        <v>1860.7999999999993</v>
      </c>
      <c r="BR121" s="526">
        <f t="shared" si="57"/>
        <v>1860.7999999999993</v>
      </c>
      <c r="BS121" s="526">
        <f t="shared" si="57"/>
        <v>1860.7999999999993</v>
      </c>
      <c r="BT121" s="526">
        <f t="shared" si="57"/>
        <v>1860.7999999999993</v>
      </c>
      <c r="BU121" s="526">
        <f t="shared" si="57"/>
        <v>1860.7999999999993</v>
      </c>
      <c r="BV121" s="526">
        <f t="shared" si="57"/>
        <v>1860.7999999999993</v>
      </c>
      <c r="BW121" s="526">
        <f t="shared" si="57"/>
        <v>1860.7999999999993</v>
      </c>
      <c r="BX121" s="526">
        <f t="shared" si="57"/>
        <v>1860.7999999999993</v>
      </c>
      <c r="BY121" s="526">
        <f t="shared" si="57"/>
        <v>1860.7999999999993</v>
      </c>
      <c r="BZ121" s="526">
        <f t="shared" si="57"/>
        <v>1860.7999999999993</v>
      </c>
      <c r="CA121" s="526">
        <f t="shared" si="57"/>
        <v>1860.7999999999993</v>
      </c>
      <c r="CB121" s="526">
        <f t="shared" si="57"/>
        <v>1860.7999999999993</v>
      </c>
      <c r="CC121" s="526">
        <f t="shared" si="57"/>
        <v>1860.7999999999993</v>
      </c>
      <c r="CD121" s="526">
        <f t="shared" si="57"/>
        <v>1860.7999999999993</v>
      </c>
      <c r="CE121" s="526">
        <f t="shared" si="57"/>
        <v>1860.7999999999993</v>
      </c>
      <c r="CF121" s="526">
        <f t="shared" si="57"/>
        <v>1860.7999999999993</v>
      </c>
    </row>
    <row r="122" spans="2:84">
      <c r="B122" t="s">
        <v>799</v>
      </c>
      <c r="C122" t="s">
        <v>1354</v>
      </c>
      <c r="D122" t="s">
        <v>838</v>
      </c>
      <c r="E122" t="s">
        <v>1353</v>
      </c>
      <c r="F122" t="str">
        <f t="shared" si="46"/>
        <v>Bio-diesel (Pyrolysis)OpExAfrica</v>
      </c>
      <c r="G122" s="529" t="e">
        <v>#N/A</v>
      </c>
      <c r="H122" s="529" t="e">
        <v>#N/A</v>
      </c>
      <c r="I122" s="529" t="e">
        <v>#N/A</v>
      </c>
      <c r="J122" s="529" t="e">
        <v>#N/A</v>
      </c>
      <c r="K122" s="529" t="e">
        <v>#N/A</v>
      </c>
      <c r="L122" s="529" t="e">
        <v>#N/A</v>
      </c>
      <c r="M122" s="529" t="e">
        <v>#N/A</v>
      </c>
      <c r="N122" s="525">
        <v>1128.3239014570661</v>
      </c>
      <c r="O122" s="525">
        <v>1120.5275152751396</v>
      </c>
      <c r="P122" s="525">
        <v>1111.7461738363343</v>
      </c>
      <c r="Q122" s="525">
        <v>1101.9870744133825</v>
      </c>
      <c r="R122" s="525">
        <v>1091.257414279032</v>
      </c>
      <c r="S122" s="525">
        <v>1079.5643907060403</v>
      </c>
      <c r="T122" s="525">
        <v>1073.786230648474</v>
      </c>
      <c r="U122" s="525">
        <v>1067.3306184845105</v>
      </c>
      <c r="V122" s="525">
        <v>1060.1999027116053</v>
      </c>
      <c r="W122" s="525">
        <v>1052.3964318271846</v>
      </c>
      <c r="X122" s="525">
        <v>1043.9225543286962</v>
      </c>
      <c r="Y122" s="525">
        <v>1035.1428278624471</v>
      </c>
      <c r="Z122" s="525">
        <v>1026.0485283318126</v>
      </c>
      <c r="AA122" s="525">
        <v>1016.6382823987993</v>
      </c>
      <c r="AB122" s="525">
        <v>1006.9107167254007</v>
      </c>
      <c r="AC122" s="525">
        <v>996.86445797361807</v>
      </c>
      <c r="AD122" s="525">
        <v>989.59732614948643</v>
      </c>
      <c r="AE122" s="525">
        <v>982.17250187175682</v>
      </c>
      <c r="AF122" s="525">
        <v>974.58911973662919</v>
      </c>
      <c r="AG122" s="525">
        <v>966.84631434030791</v>
      </c>
      <c r="AH122" s="525">
        <v>958.94322027899773</v>
      </c>
      <c r="AI122" s="526">
        <f t="shared" ref="AI122:CA127" si="58">AH122</f>
        <v>958.94322027899773</v>
      </c>
      <c r="AJ122" s="526">
        <f t="shared" si="58"/>
        <v>958.94322027899773</v>
      </c>
      <c r="AK122" s="526">
        <f t="shared" si="58"/>
        <v>958.94322027899773</v>
      </c>
      <c r="AL122" s="526">
        <f t="shared" si="58"/>
        <v>958.94322027899773</v>
      </c>
      <c r="AM122" s="526">
        <f t="shared" si="58"/>
        <v>958.94322027899773</v>
      </c>
      <c r="AN122" s="526">
        <f t="shared" si="58"/>
        <v>958.94322027899773</v>
      </c>
      <c r="AO122" s="526">
        <f t="shared" si="58"/>
        <v>958.94322027899773</v>
      </c>
      <c r="AP122" s="526">
        <f t="shared" si="58"/>
        <v>958.94322027899773</v>
      </c>
      <c r="AQ122" s="526">
        <f t="shared" si="58"/>
        <v>958.94322027899773</v>
      </c>
      <c r="AR122" s="526">
        <f t="shared" si="58"/>
        <v>958.94322027899773</v>
      </c>
      <c r="AS122" s="526">
        <f t="shared" si="58"/>
        <v>958.94322027899773</v>
      </c>
      <c r="AT122" s="526">
        <f t="shared" si="58"/>
        <v>958.94322027899773</v>
      </c>
      <c r="AU122" s="526">
        <f t="shared" si="58"/>
        <v>958.94322027899773</v>
      </c>
      <c r="AV122" s="526">
        <f t="shared" si="58"/>
        <v>958.94322027899773</v>
      </c>
      <c r="AW122" s="526">
        <f t="shared" si="58"/>
        <v>958.94322027899773</v>
      </c>
      <c r="AX122" s="526">
        <f t="shared" si="58"/>
        <v>958.94322027899773</v>
      </c>
      <c r="AY122" s="526">
        <f t="shared" si="58"/>
        <v>958.94322027899773</v>
      </c>
      <c r="AZ122" s="526">
        <f t="shared" si="58"/>
        <v>958.94322027899773</v>
      </c>
      <c r="BA122" s="526">
        <f t="shared" si="58"/>
        <v>958.94322027899773</v>
      </c>
      <c r="BB122" s="526">
        <f t="shared" si="58"/>
        <v>958.94322027899773</v>
      </c>
      <c r="BC122" s="526">
        <f t="shared" si="58"/>
        <v>958.94322027899773</v>
      </c>
      <c r="BD122" s="526">
        <f t="shared" si="58"/>
        <v>958.94322027899773</v>
      </c>
      <c r="BE122" s="526">
        <f t="shared" si="58"/>
        <v>958.94322027899773</v>
      </c>
      <c r="BF122" s="526">
        <f t="shared" si="58"/>
        <v>958.94322027899773</v>
      </c>
      <c r="BG122" s="526">
        <f t="shared" si="58"/>
        <v>958.94322027899773</v>
      </c>
      <c r="BH122" s="526">
        <f t="shared" si="58"/>
        <v>958.94322027899773</v>
      </c>
      <c r="BI122" s="526">
        <f t="shared" si="58"/>
        <v>958.94322027899773</v>
      </c>
      <c r="BJ122" s="526">
        <f t="shared" si="58"/>
        <v>958.94322027899773</v>
      </c>
      <c r="BK122" s="526">
        <f t="shared" si="58"/>
        <v>958.94322027899773</v>
      </c>
      <c r="BL122" s="526">
        <f t="shared" si="58"/>
        <v>958.94322027899773</v>
      </c>
      <c r="BM122" s="526">
        <f t="shared" si="58"/>
        <v>958.94322027899773</v>
      </c>
      <c r="BN122" s="526">
        <f t="shared" si="58"/>
        <v>958.94322027899773</v>
      </c>
      <c r="BO122" s="526">
        <f t="shared" si="58"/>
        <v>958.94322027899773</v>
      </c>
      <c r="BP122" s="526">
        <f t="shared" si="58"/>
        <v>958.94322027899773</v>
      </c>
      <c r="BQ122" s="526">
        <f t="shared" si="58"/>
        <v>958.94322027899773</v>
      </c>
      <c r="BR122" s="526">
        <f t="shared" si="58"/>
        <v>958.94322027899773</v>
      </c>
      <c r="BS122" s="526">
        <f t="shared" si="58"/>
        <v>958.94322027899773</v>
      </c>
      <c r="BT122" s="526">
        <f t="shared" si="58"/>
        <v>958.94322027899773</v>
      </c>
      <c r="BU122" s="526">
        <f t="shared" si="58"/>
        <v>958.94322027899773</v>
      </c>
      <c r="BV122" s="526">
        <f t="shared" si="58"/>
        <v>958.94322027899773</v>
      </c>
      <c r="BW122" s="526">
        <f t="shared" si="58"/>
        <v>958.94322027899773</v>
      </c>
      <c r="BX122" s="526">
        <f t="shared" si="58"/>
        <v>958.94322027899773</v>
      </c>
      <c r="BY122" s="526">
        <f t="shared" si="58"/>
        <v>958.94322027899773</v>
      </c>
      <c r="BZ122" s="526">
        <f t="shared" si="58"/>
        <v>958.94322027899773</v>
      </c>
      <c r="CA122" s="526">
        <f t="shared" si="58"/>
        <v>958.94322027899773</v>
      </c>
      <c r="CB122" s="526">
        <f t="shared" si="57"/>
        <v>958.94322027899773</v>
      </c>
      <c r="CC122" s="526">
        <f t="shared" si="57"/>
        <v>958.94322027899773</v>
      </c>
      <c r="CD122" s="526">
        <f t="shared" si="57"/>
        <v>958.94322027899773</v>
      </c>
      <c r="CE122" s="526">
        <f t="shared" si="57"/>
        <v>958.94322027899773</v>
      </c>
      <c r="CF122" s="526">
        <f t="shared" si="57"/>
        <v>958.94322027899773</v>
      </c>
    </row>
    <row r="123" spans="2:84">
      <c r="B123" t="s">
        <v>799</v>
      </c>
      <c r="C123" t="s">
        <v>1354</v>
      </c>
      <c r="D123" t="s">
        <v>731</v>
      </c>
      <c r="E123" t="s">
        <v>1353</v>
      </c>
      <c r="F123" t="str">
        <f t="shared" si="46"/>
        <v>Bio-diesel (Pyrolysis)OpExAmericas</v>
      </c>
      <c r="G123" s="529" t="e">
        <v>#N/A</v>
      </c>
      <c r="H123" s="529" t="e">
        <v>#N/A</v>
      </c>
      <c r="I123" s="529" t="e">
        <v>#N/A</v>
      </c>
      <c r="J123" s="529" t="e">
        <v>#N/A</v>
      </c>
      <c r="K123" s="529" t="e">
        <v>#N/A</v>
      </c>
      <c r="L123" s="529" t="e">
        <v>#N/A</v>
      </c>
      <c r="M123" s="529" t="e">
        <v>#N/A</v>
      </c>
      <c r="N123" s="525">
        <v>954.38204268453512</v>
      </c>
      <c r="O123" s="525">
        <v>948.64785829562891</v>
      </c>
      <c r="P123" s="525">
        <v>941.90062137473274</v>
      </c>
      <c r="Q123" s="525">
        <v>934.14450094728522</v>
      </c>
      <c r="R123" s="525">
        <v>925.38366603872316</v>
      </c>
      <c r="S123" s="525">
        <v>915.62228567450018</v>
      </c>
      <c r="T123" s="525">
        <v>909.29745076838333</v>
      </c>
      <c r="U123" s="525">
        <v>902.30146090146161</v>
      </c>
      <c r="V123" s="525">
        <v>894.63665893957284</v>
      </c>
      <c r="W123" s="525">
        <v>886.30538774852766</v>
      </c>
      <c r="X123" s="525">
        <v>877.3099901941531</v>
      </c>
      <c r="Y123" s="525">
        <v>871.02949517875072</v>
      </c>
      <c r="Z123" s="525">
        <v>864.38042022142872</v>
      </c>
      <c r="AA123" s="525">
        <v>857.36222854992786</v>
      </c>
      <c r="AB123" s="525">
        <v>849.97438339197117</v>
      </c>
      <c r="AC123" s="525">
        <v>842.21634797529623</v>
      </c>
      <c r="AD123" s="525">
        <v>834.98431773004086</v>
      </c>
      <c r="AE123" s="525">
        <v>827.57884380396558</v>
      </c>
      <c r="AF123" s="525">
        <v>819.99940629484217</v>
      </c>
      <c r="AG123" s="525">
        <v>812.24548530044353</v>
      </c>
      <c r="AH123" s="525">
        <v>804.31656091854325</v>
      </c>
      <c r="AI123" s="526">
        <f t="shared" si="58"/>
        <v>804.31656091854325</v>
      </c>
      <c r="AJ123" s="526">
        <f t="shared" si="58"/>
        <v>804.31656091854325</v>
      </c>
      <c r="AK123" s="526">
        <f t="shared" si="58"/>
        <v>804.31656091854325</v>
      </c>
      <c r="AL123" s="526">
        <f t="shared" si="58"/>
        <v>804.31656091854325</v>
      </c>
      <c r="AM123" s="526">
        <f t="shared" si="58"/>
        <v>804.31656091854325</v>
      </c>
      <c r="AN123" s="526">
        <f t="shared" si="58"/>
        <v>804.31656091854325</v>
      </c>
      <c r="AO123" s="526">
        <f t="shared" si="58"/>
        <v>804.31656091854325</v>
      </c>
      <c r="AP123" s="526">
        <f t="shared" si="58"/>
        <v>804.31656091854325</v>
      </c>
      <c r="AQ123" s="526">
        <f t="shared" si="58"/>
        <v>804.31656091854325</v>
      </c>
      <c r="AR123" s="526">
        <f t="shared" si="58"/>
        <v>804.31656091854325</v>
      </c>
      <c r="AS123" s="526">
        <f t="shared" si="58"/>
        <v>804.31656091854325</v>
      </c>
      <c r="AT123" s="526">
        <f t="shared" si="58"/>
        <v>804.31656091854325</v>
      </c>
      <c r="AU123" s="526">
        <f t="shared" si="58"/>
        <v>804.31656091854325</v>
      </c>
      <c r="AV123" s="526">
        <f t="shared" si="58"/>
        <v>804.31656091854325</v>
      </c>
      <c r="AW123" s="526">
        <f t="shared" si="58"/>
        <v>804.31656091854325</v>
      </c>
      <c r="AX123" s="526">
        <f t="shared" si="58"/>
        <v>804.31656091854325</v>
      </c>
      <c r="AY123" s="526">
        <f t="shared" si="58"/>
        <v>804.31656091854325</v>
      </c>
      <c r="AZ123" s="526">
        <f t="shared" si="58"/>
        <v>804.31656091854325</v>
      </c>
      <c r="BA123" s="526">
        <f t="shared" si="58"/>
        <v>804.31656091854325</v>
      </c>
      <c r="BB123" s="526">
        <f t="shared" si="58"/>
        <v>804.31656091854325</v>
      </c>
      <c r="BC123" s="526">
        <f t="shared" si="58"/>
        <v>804.31656091854325</v>
      </c>
      <c r="BD123" s="526">
        <f t="shared" si="58"/>
        <v>804.31656091854325</v>
      </c>
      <c r="BE123" s="526">
        <f t="shared" si="58"/>
        <v>804.31656091854325</v>
      </c>
      <c r="BF123" s="526">
        <f t="shared" si="58"/>
        <v>804.31656091854325</v>
      </c>
      <c r="BG123" s="526">
        <f t="shared" si="58"/>
        <v>804.31656091854325</v>
      </c>
      <c r="BH123" s="526">
        <f t="shared" si="58"/>
        <v>804.31656091854325</v>
      </c>
      <c r="BI123" s="526">
        <f t="shared" si="58"/>
        <v>804.31656091854325</v>
      </c>
      <c r="BJ123" s="526">
        <f t="shared" si="58"/>
        <v>804.31656091854325</v>
      </c>
      <c r="BK123" s="526">
        <f t="shared" si="58"/>
        <v>804.31656091854325</v>
      </c>
      <c r="BL123" s="526">
        <f t="shared" si="58"/>
        <v>804.31656091854325</v>
      </c>
      <c r="BM123" s="526">
        <f t="shared" si="58"/>
        <v>804.31656091854325</v>
      </c>
      <c r="BN123" s="526">
        <f t="shared" si="58"/>
        <v>804.31656091854325</v>
      </c>
      <c r="BO123" s="526">
        <f t="shared" si="58"/>
        <v>804.31656091854325</v>
      </c>
      <c r="BP123" s="526">
        <f t="shared" si="58"/>
        <v>804.31656091854325</v>
      </c>
      <c r="BQ123" s="526">
        <f t="shared" si="58"/>
        <v>804.31656091854325</v>
      </c>
      <c r="BR123" s="526">
        <f t="shared" si="58"/>
        <v>804.31656091854325</v>
      </c>
      <c r="BS123" s="526">
        <f t="shared" si="58"/>
        <v>804.31656091854325</v>
      </c>
      <c r="BT123" s="526">
        <f t="shared" si="58"/>
        <v>804.31656091854325</v>
      </c>
      <c r="BU123" s="526">
        <f t="shared" si="58"/>
        <v>804.31656091854325</v>
      </c>
      <c r="BV123" s="526">
        <f t="shared" si="58"/>
        <v>804.31656091854325</v>
      </c>
      <c r="BW123" s="526">
        <f t="shared" si="58"/>
        <v>804.31656091854325</v>
      </c>
      <c r="BX123" s="526">
        <f t="shared" si="58"/>
        <v>804.31656091854325</v>
      </c>
      <c r="BY123" s="526">
        <f t="shared" si="58"/>
        <v>804.31656091854325</v>
      </c>
      <c r="BZ123" s="526">
        <f t="shared" si="58"/>
        <v>804.31656091854325</v>
      </c>
      <c r="CA123" s="526">
        <f t="shared" si="58"/>
        <v>804.31656091854325</v>
      </c>
      <c r="CB123" s="526">
        <f t="shared" si="57"/>
        <v>804.31656091854325</v>
      </c>
      <c r="CC123" s="526">
        <f t="shared" si="57"/>
        <v>804.31656091854325</v>
      </c>
      <c r="CD123" s="526">
        <f t="shared" si="57"/>
        <v>804.31656091854325</v>
      </c>
      <c r="CE123" s="526">
        <f t="shared" si="57"/>
        <v>804.31656091854325</v>
      </c>
      <c r="CF123" s="526">
        <f t="shared" si="57"/>
        <v>804.31656091854325</v>
      </c>
    </row>
    <row r="124" spans="2:84">
      <c r="B124" t="s">
        <v>799</v>
      </c>
      <c r="C124" t="s">
        <v>1354</v>
      </c>
      <c r="D124" t="s">
        <v>750</v>
      </c>
      <c r="E124" t="s">
        <v>1353</v>
      </c>
      <c r="F124" t="str">
        <f t="shared" si="46"/>
        <v>Bio-diesel (Pyrolysis)OpExAsia</v>
      </c>
      <c r="G124" s="529" t="e">
        <v>#N/A</v>
      </c>
      <c r="H124" s="529" t="e">
        <v>#N/A</v>
      </c>
      <c r="I124" s="529" t="e">
        <v>#N/A</v>
      </c>
      <c r="J124" s="529" t="e">
        <v>#N/A</v>
      </c>
      <c r="K124" s="529" t="e">
        <v>#N/A</v>
      </c>
      <c r="L124" s="529" t="e">
        <v>#N/A</v>
      </c>
      <c r="M124" s="529" t="e">
        <v>#N/A</v>
      </c>
      <c r="N124" s="525">
        <v>996.65923008109075</v>
      </c>
      <c r="O124" s="525">
        <v>985.28552215812215</v>
      </c>
      <c r="P124" s="525">
        <v>972.93913731550276</v>
      </c>
      <c r="Q124" s="525">
        <v>959.62946090862602</v>
      </c>
      <c r="R124" s="525">
        <v>945.36587829287873</v>
      </c>
      <c r="S124" s="525">
        <v>930.15777482367889</v>
      </c>
      <c r="T124" s="525">
        <v>922.53189747422391</v>
      </c>
      <c r="U124" s="525">
        <v>914.24211211832426</v>
      </c>
      <c r="V124" s="525">
        <v>905.29172679068222</v>
      </c>
      <c r="W124" s="525">
        <v>895.68404952596052</v>
      </c>
      <c r="X124" s="525">
        <v>885.42238835885257</v>
      </c>
      <c r="Y124" s="525">
        <v>873.86512125437855</v>
      </c>
      <c r="Z124" s="525">
        <v>862.03404223453799</v>
      </c>
      <c r="AA124" s="525">
        <v>849.92718212741397</v>
      </c>
      <c r="AB124" s="525">
        <v>837.54257176107524</v>
      </c>
      <c r="AC124" s="525">
        <v>824.87824196359986</v>
      </c>
      <c r="AD124" s="525">
        <v>816.76634346493574</v>
      </c>
      <c r="AE124" s="525">
        <v>808.51269853066174</v>
      </c>
      <c r="AF124" s="525">
        <v>800.11614780096966</v>
      </c>
      <c r="AG124" s="525">
        <v>791.57553191605075</v>
      </c>
      <c r="AH124" s="525">
        <v>782.88969151609695</v>
      </c>
      <c r="AI124" s="526">
        <f t="shared" si="58"/>
        <v>782.88969151609695</v>
      </c>
      <c r="AJ124" s="526">
        <f t="shared" si="58"/>
        <v>782.88969151609695</v>
      </c>
      <c r="AK124" s="526">
        <f t="shared" si="58"/>
        <v>782.88969151609695</v>
      </c>
      <c r="AL124" s="526">
        <f t="shared" si="58"/>
        <v>782.88969151609695</v>
      </c>
      <c r="AM124" s="526">
        <f t="shared" si="58"/>
        <v>782.88969151609695</v>
      </c>
      <c r="AN124" s="526">
        <f t="shared" si="58"/>
        <v>782.88969151609695</v>
      </c>
      <c r="AO124" s="526">
        <f t="shared" si="58"/>
        <v>782.88969151609695</v>
      </c>
      <c r="AP124" s="526">
        <f t="shared" si="58"/>
        <v>782.88969151609695</v>
      </c>
      <c r="AQ124" s="526">
        <f t="shared" si="58"/>
        <v>782.88969151609695</v>
      </c>
      <c r="AR124" s="526">
        <f t="shared" si="58"/>
        <v>782.88969151609695</v>
      </c>
      <c r="AS124" s="526">
        <f t="shared" si="58"/>
        <v>782.88969151609695</v>
      </c>
      <c r="AT124" s="526">
        <f t="shared" si="58"/>
        <v>782.88969151609695</v>
      </c>
      <c r="AU124" s="526">
        <f t="shared" si="58"/>
        <v>782.88969151609695</v>
      </c>
      <c r="AV124" s="526">
        <f t="shared" si="58"/>
        <v>782.88969151609695</v>
      </c>
      <c r="AW124" s="526">
        <f t="shared" si="58"/>
        <v>782.88969151609695</v>
      </c>
      <c r="AX124" s="526">
        <f t="shared" si="58"/>
        <v>782.88969151609695</v>
      </c>
      <c r="AY124" s="526">
        <f t="shared" si="58"/>
        <v>782.88969151609695</v>
      </c>
      <c r="AZ124" s="526">
        <f t="shared" si="58"/>
        <v>782.88969151609695</v>
      </c>
      <c r="BA124" s="526">
        <f t="shared" si="58"/>
        <v>782.88969151609695</v>
      </c>
      <c r="BB124" s="526">
        <f t="shared" si="58"/>
        <v>782.88969151609695</v>
      </c>
      <c r="BC124" s="526">
        <f t="shared" si="58"/>
        <v>782.88969151609695</v>
      </c>
      <c r="BD124" s="526">
        <f t="shared" si="58"/>
        <v>782.88969151609695</v>
      </c>
      <c r="BE124" s="526">
        <f t="shared" si="58"/>
        <v>782.88969151609695</v>
      </c>
      <c r="BF124" s="526">
        <f t="shared" si="58"/>
        <v>782.88969151609695</v>
      </c>
      <c r="BG124" s="526">
        <f t="shared" si="58"/>
        <v>782.88969151609695</v>
      </c>
      <c r="BH124" s="526">
        <f t="shared" si="58"/>
        <v>782.88969151609695</v>
      </c>
      <c r="BI124" s="526">
        <f t="shared" si="58"/>
        <v>782.88969151609695</v>
      </c>
      <c r="BJ124" s="526">
        <f t="shared" si="58"/>
        <v>782.88969151609695</v>
      </c>
      <c r="BK124" s="526">
        <f t="shared" si="58"/>
        <v>782.88969151609695</v>
      </c>
      <c r="BL124" s="526">
        <f t="shared" si="58"/>
        <v>782.88969151609695</v>
      </c>
      <c r="BM124" s="526">
        <f t="shared" si="58"/>
        <v>782.88969151609695</v>
      </c>
      <c r="BN124" s="526">
        <f t="shared" si="58"/>
        <v>782.88969151609695</v>
      </c>
      <c r="BO124" s="526">
        <f t="shared" si="58"/>
        <v>782.88969151609695</v>
      </c>
      <c r="BP124" s="526">
        <f t="shared" si="58"/>
        <v>782.88969151609695</v>
      </c>
      <c r="BQ124" s="526">
        <f t="shared" si="58"/>
        <v>782.88969151609695</v>
      </c>
      <c r="BR124" s="526">
        <f t="shared" si="58"/>
        <v>782.88969151609695</v>
      </c>
      <c r="BS124" s="526">
        <f t="shared" si="58"/>
        <v>782.88969151609695</v>
      </c>
      <c r="BT124" s="526">
        <f t="shared" si="58"/>
        <v>782.88969151609695</v>
      </c>
      <c r="BU124" s="526">
        <f t="shared" si="58"/>
        <v>782.88969151609695</v>
      </c>
      <c r="BV124" s="526">
        <f t="shared" si="58"/>
        <v>782.88969151609695</v>
      </c>
      <c r="BW124" s="526">
        <f t="shared" si="58"/>
        <v>782.88969151609695</v>
      </c>
      <c r="BX124" s="526">
        <f t="shared" si="58"/>
        <v>782.88969151609695</v>
      </c>
      <c r="BY124" s="526">
        <f t="shared" si="58"/>
        <v>782.88969151609695</v>
      </c>
      <c r="BZ124" s="526">
        <f t="shared" si="58"/>
        <v>782.88969151609695</v>
      </c>
      <c r="CA124" s="526">
        <f t="shared" si="58"/>
        <v>782.88969151609695</v>
      </c>
      <c r="CB124" s="526">
        <f t="shared" si="57"/>
        <v>782.88969151609695</v>
      </c>
      <c r="CC124" s="526">
        <f t="shared" si="57"/>
        <v>782.88969151609695</v>
      </c>
      <c r="CD124" s="526">
        <f t="shared" si="57"/>
        <v>782.88969151609695</v>
      </c>
      <c r="CE124" s="526">
        <f t="shared" si="57"/>
        <v>782.88969151609695</v>
      </c>
      <c r="CF124" s="526">
        <f t="shared" si="57"/>
        <v>782.88969151609695</v>
      </c>
    </row>
    <row r="125" spans="2:84">
      <c r="B125" t="s">
        <v>799</v>
      </c>
      <c r="C125" t="s">
        <v>1354</v>
      </c>
      <c r="D125" t="s">
        <v>720</v>
      </c>
      <c r="E125" t="s">
        <v>1353</v>
      </c>
      <c r="F125" t="str">
        <f t="shared" si="46"/>
        <v>Bio-diesel (Pyrolysis)OpExEurope</v>
      </c>
      <c r="G125" s="529" t="e">
        <v>#N/A</v>
      </c>
      <c r="H125" s="529" t="e">
        <v>#N/A</v>
      </c>
      <c r="I125" s="529" t="e">
        <v>#N/A</v>
      </c>
      <c r="J125" s="529" t="e">
        <v>#N/A</v>
      </c>
      <c r="K125" s="529" t="e">
        <v>#N/A</v>
      </c>
      <c r="L125" s="529" t="e">
        <v>#N/A</v>
      </c>
      <c r="M125" s="529" t="e">
        <v>#N/A</v>
      </c>
      <c r="N125" s="525">
        <v>1050.3951637585069</v>
      </c>
      <c r="O125" s="525">
        <v>1044.5246350478096</v>
      </c>
      <c r="P125" s="525">
        <v>1037.6329884182669</v>
      </c>
      <c r="Q125" s="525">
        <v>1029.7249428592781</v>
      </c>
      <c r="R125" s="525">
        <v>1020.8052173602518</v>
      </c>
      <c r="S125" s="525">
        <v>1010.8785309106149</v>
      </c>
      <c r="T125" s="525">
        <v>1004.781966168295</v>
      </c>
      <c r="U125" s="525">
        <v>997.99430158047107</v>
      </c>
      <c r="V125" s="525">
        <v>990.51749037722777</v>
      </c>
      <c r="W125" s="525">
        <v>982.35348578861533</v>
      </c>
      <c r="X125" s="525">
        <v>973.50424104470551</v>
      </c>
      <c r="Y125" s="525">
        <v>964.96874446752577</v>
      </c>
      <c r="Z125" s="525">
        <v>956.11011105452803</v>
      </c>
      <c r="AA125" s="525">
        <v>946.92715245785973</v>
      </c>
      <c r="AB125" s="525">
        <v>937.41868032964715</v>
      </c>
      <c r="AC125" s="525">
        <v>927.58350632203326</v>
      </c>
      <c r="AD125" s="525">
        <v>919.63450008192342</v>
      </c>
      <c r="AE125" s="525">
        <v>911.54071069075542</v>
      </c>
      <c r="AF125" s="525">
        <v>903.30102499829775</v>
      </c>
      <c r="AG125" s="525">
        <v>894.91432985431879</v>
      </c>
      <c r="AH125" s="525">
        <v>886.37951210858694</v>
      </c>
      <c r="AI125" s="526">
        <f t="shared" si="58"/>
        <v>886.37951210858694</v>
      </c>
      <c r="AJ125" s="526">
        <f t="shared" si="58"/>
        <v>886.37951210858694</v>
      </c>
      <c r="AK125" s="526">
        <f t="shared" si="58"/>
        <v>886.37951210858694</v>
      </c>
      <c r="AL125" s="526">
        <f t="shared" si="58"/>
        <v>886.37951210858694</v>
      </c>
      <c r="AM125" s="526">
        <f t="shared" si="58"/>
        <v>886.37951210858694</v>
      </c>
      <c r="AN125" s="526">
        <f t="shared" si="58"/>
        <v>886.37951210858694</v>
      </c>
      <c r="AO125" s="526">
        <f t="shared" si="58"/>
        <v>886.37951210858694</v>
      </c>
      <c r="AP125" s="526">
        <f t="shared" si="58"/>
        <v>886.37951210858694</v>
      </c>
      <c r="AQ125" s="526">
        <f t="shared" si="58"/>
        <v>886.37951210858694</v>
      </c>
      <c r="AR125" s="526">
        <f t="shared" si="58"/>
        <v>886.37951210858694</v>
      </c>
      <c r="AS125" s="526">
        <f t="shared" si="58"/>
        <v>886.37951210858694</v>
      </c>
      <c r="AT125" s="526">
        <f t="shared" si="58"/>
        <v>886.37951210858694</v>
      </c>
      <c r="AU125" s="526">
        <f t="shared" si="58"/>
        <v>886.37951210858694</v>
      </c>
      <c r="AV125" s="526">
        <f t="shared" si="58"/>
        <v>886.37951210858694</v>
      </c>
      <c r="AW125" s="526">
        <f t="shared" si="58"/>
        <v>886.37951210858694</v>
      </c>
      <c r="AX125" s="526">
        <f t="shared" si="58"/>
        <v>886.37951210858694</v>
      </c>
      <c r="AY125" s="526">
        <f t="shared" si="58"/>
        <v>886.37951210858694</v>
      </c>
      <c r="AZ125" s="526">
        <f t="shared" si="58"/>
        <v>886.37951210858694</v>
      </c>
      <c r="BA125" s="526">
        <f t="shared" si="58"/>
        <v>886.37951210858694</v>
      </c>
      <c r="BB125" s="526">
        <f t="shared" si="58"/>
        <v>886.37951210858694</v>
      </c>
      <c r="BC125" s="526">
        <f t="shared" si="58"/>
        <v>886.37951210858694</v>
      </c>
      <c r="BD125" s="526">
        <f t="shared" si="58"/>
        <v>886.37951210858694</v>
      </c>
      <c r="BE125" s="526">
        <f t="shared" si="58"/>
        <v>886.37951210858694</v>
      </c>
      <c r="BF125" s="526">
        <f t="shared" si="58"/>
        <v>886.37951210858694</v>
      </c>
      <c r="BG125" s="526">
        <f t="shared" si="58"/>
        <v>886.37951210858694</v>
      </c>
      <c r="BH125" s="526">
        <f t="shared" si="58"/>
        <v>886.37951210858694</v>
      </c>
      <c r="BI125" s="526">
        <f t="shared" si="58"/>
        <v>886.37951210858694</v>
      </c>
      <c r="BJ125" s="526">
        <f t="shared" si="58"/>
        <v>886.37951210858694</v>
      </c>
      <c r="BK125" s="526">
        <f t="shared" si="58"/>
        <v>886.37951210858694</v>
      </c>
      <c r="BL125" s="526">
        <f t="shared" si="58"/>
        <v>886.37951210858694</v>
      </c>
      <c r="BM125" s="526">
        <f t="shared" si="58"/>
        <v>886.37951210858694</v>
      </c>
      <c r="BN125" s="526">
        <f t="shared" si="58"/>
        <v>886.37951210858694</v>
      </c>
      <c r="BO125" s="526">
        <f t="shared" si="58"/>
        <v>886.37951210858694</v>
      </c>
      <c r="BP125" s="526">
        <f t="shared" si="58"/>
        <v>886.37951210858694</v>
      </c>
      <c r="BQ125" s="526">
        <f t="shared" si="58"/>
        <v>886.37951210858694</v>
      </c>
      <c r="BR125" s="526">
        <f t="shared" si="58"/>
        <v>886.37951210858694</v>
      </c>
      <c r="BS125" s="526">
        <f t="shared" si="58"/>
        <v>886.37951210858694</v>
      </c>
      <c r="BT125" s="526">
        <f t="shared" si="58"/>
        <v>886.37951210858694</v>
      </c>
      <c r="BU125" s="526">
        <f t="shared" si="58"/>
        <v>886.37951210858694</v>
      </c>
      <c r="BV125" s="526">
        <f t="shared" si="58"/>
        <v>886.37951210858694</v>
      </c>
      <c r="BW125" s="526">
        <f t="shared" si="58"/>
        <v>886.37951210858694</v>
      </c>
      <c r="BX125" s="526">
        <f t="shared" si="58"/>
        <v>886.37951210858694</v>
      </c>
      <c r="BY125" s="526">
        <f t="shared" si="58"/>
        <v>886.37951210858694</v>
      </c>
      <c r="BZ125" s="526">
        <f t="shared" si="58"/>
        <v>886.37951210858694</v>
      </c>
      <c r="CA125" s="526">
        <f t="shared" si="58"/>
        <v>886.37951210858694</v>
      </c>
      <c r="CB125" s="526">
        <f t="shared" si="57"/>
        <v>886.37951210858694</v>
      </c>
      <c r="CC125" s="526">
        <f t="shared" si="57"/>
        <v>886.37951210858694</v>
      </c>
      <c r="CD125" s="526">
        <f t="shared" si="57"/>
        <v>886.37951210858694</v>
      </c>
      <c r="CE125" s="526">
        <f t="shared" si="57"/>
        <v>886.37951210858694</v>
      </c>
      <c r="CF125" s="526">
        <f t="shared" si="57"/>
        <v>886.37951210858694</v>
      </c>
    </row>
    <row r="126" spans="2:84">
      <c r="B126" t="s">
        <v>799</v>
      </c>
      <c r="C126" t="s">
        <v>1354</v>
      </c>
      <c r="D126" t="s">
        <v>826</v>
      </c>
      <c r="E126" t="s">
        <v>1353</v>
      </c>
      <c r="F126" t="str">
        <f t="shared" si="46"/>
        <v>Bio-diesel (Pyrolysis)OpExMiddle East</v>
      </c>
      <c r="G126" s="529" t="e">
        <v>#N/A</v>
      </c>
      <c r="H126" s="529" t="e">
        <v>#N/A</v>
      </c>
      <c r="I126" s="529" t="e">
        <v>#N/A</v>
      </c>
      <c r="J126" s="529" t="e">
        <v>#N/A</v>
      </c>
      <c r="K126" s="529" t="e">
        <v>#N/A</v>
      </c>
      <c r="L126" s="529" t="e">
        <v>#N/A</v>
      </c>
      <c r="M126" s="529" t="e">
        <v>#N/A</v>
      </c>
      <c r="N126" s="525">
        <v>1049.8632154415357</v>
      </c>
      <c r="O126" s="525">
        <v>1043.0673237126211</v>
      </c>
      <c r="P126" s="525">
        <v>1035.272952430131</v>
      </c>
      <c r="Q126" s="525">
        <v>1026.4852463173704</v>
      </c>
      <c r="R126" s="525">
        <v>1016.7093500976508</v>
      </c>
      <c r="S126" s="525">
        <v>1005.9504084942954</v>
      </c>
      <c r="T126" s="525">
        <v>1001.3315235726901</v>
      </c>
      <c r="U126" s="525">
        <v>996.0295050772786</v>
      </c>
      <c r="V126" s="525">
        <v>990.04614126674244</v>
      </c>
      <c r="W126" s="525">
        <v>983.38322039973218</v>
      </c>
      <c r="X126" s="525">
        <v>976.04253073491941</v>
      </c>
      <c r="Y126" s="525">
        <v>966.95422925597632</v>
      </c>
      <c r="Z126" s="525">
        <v>957.54483997936927</v>
      </c>
      <c r="AA126" s="525">
        <v>947.81302924884847</v>
      </c>
      <c r="AB126" s="525">
        <v>937.75746340814999</v>
      </c>
      <c r="AC126" s="525">
        <v>927.37680880101891</v>
      </c>
      <c r="AD126" s="525">
        <v>919.73970531103078</v>
      </c>
      <c r="AE126" s="525">
        <v>911.93731529419711</v>
      </c>
      <c r="AF126" s="525">
        <v>903.96883738255156</v>
      </c>
      <c r="AG126" s="525">
        <v>895.83347020812994</v>
      </c>
      <c r="AH126" s="525">
        <v>887.5304124029683</v>
      </c>
      <c r="AI126" s="526">
        <f t="shared" si="58"/>
        <v>887.5304124029683</v>
      </c>
      <c r="AJ126" s="526">
        <f t="shared" si="58"/>
        <v>887.5304124029683</v>
      </c>
      <c r="AK126" s="526">
        <f t="shared" si="58"/>
        <v>887.5304124029683</v>
      </c>
      <c r="AL126" s="526">
        <f t="shared" si="58"/>
        <v>887.5304124029683</v>
      </c>
      <c r="AM126" s="526">
        <f t="shared" si="58"/>
        <v>887.5304124029683</v>
      </c>
      <c r="AN126" s="526">
        <f t="shared" si="58"/>
        <v>887.5304124029683</v>
      </c>
      <c r="AO126" s="526">
        <f t="shared" si="58"/>
        <v>887.5304124029683</v>
      </c>
      <c r="AP126" s="526">
        <f t="shared" si="58"/>
        <v>887.5304124029683</v>
      </c>
      <c r="AQ126" s="526">
        <f t="shared" si="58"/>
        <v>887.5304124029683</v>
      </c>
      <c r="AR126" s="526">
        <f t="shared" si="58"/>
        <v>887.5304124029683</v>
      </c>
      <c r="AS126" s="526">
        <f t="shared" si="58"/>
        <v>887.5304124029683</v>
      </c>
      <c r="AT126" s="526">
        <f t="shared" si="58"/>
        <v>887.5304124029683</v>
      </c>
      <c r="AU126" s="526">
        <f t="shared" si="58"/>
        <v>887.5304124029683</v>
      </c>
      <c r="AV126" s="526">
        <f t="shared" si="58"/>
        <v>887.5304124029683</v>
      </c>
      <c r="AW126" s="526">
        <f t="shared" si="58"/>
        <v>887.5304124029683</v>
      </c>
      <c r="AX126" s="526">
        <f t="shared" si="58"/>
        <v>887.5304124029683</v>
      </c>
      <c r="AY126" s="526">
        <f t="shared" si="58"/>
        <v>887.5304124029683</v>
      </c>
      <c r="AZ126" s="526">
        <f t="shared" si="58"/>
        <v>887.5304124029683</v>
      </c>
      <c r="BA126" s="526">
        <f t="shared" si="58"/>
        <v>887.5304124029683</v>
      </c>
      <c r="BB126" s="526">
        <f t="shared" si="58"/>
        <v>887.5304124029683</v>
      </c>
      <c r="BC126" s="526">
        <f t="shared" si="58"/>
        <v>887.5304124029683</v>
      </c>
      <c r="BD126" s="526">
        <f t="shared" si="58"/>
        <v>887.5304124029683</v>
      </c>
      <c r="BE126" s="526">
        <f t="shared" si="58"/>
        <v>887.5304124029683</v>
      </c>
      <c r="BF126" s="526">
        <f t="shared" si="58"/>
        <v>887.5304124029683</v>
      </c>
      <c r="BG126" s="526">
        <f t="shared" si="58"/>
        <v>887.5304124029683</v>
      </c>
      <c r="BH126" s="526">
        <f t="shared" si="58"/>
        <v>887.5304124029683</v>
      </c>
      <c r="BI126" s="526">
        <f t="shared" si="58"/>
        <v>887.5304124029683</v>
      </c>
      <c r="BJ126" s="526">
        <f t="shared" si="58"/>
        <v>887.5304124029683</v>
      </c>
      <c r="BK126" s="526">
        <f t="shared" si="58"/>
        <v>887.5304124029683</v>
      </c>
      <c r="BL126" s="526">
        <f t="shared" si="58"/>
        <v>887.5304124029683</v>
      </c>
      <c r="BM126" s="526">
        <f t="shared" si="58"/>
        <v>887.5304124029683</v>
      </c>
      <c r="BN126" s="526">
        <f t="shared" si="58"/>
        <v>887.5304124029683</v>
      </c>
      <c r="BO126" s="526">
        <f t="shared" si="58"/>
        <v>887.5304124029683</v>
      </c>
      <c r="BP126" s="526">
        <f t="shared" si="58"/>
        <v>887.5304124029683</v>
      </c>
      <c r="BQ126" s="526">
        <f t="shared" si="58"/>
        <v>887.5304124029683</v>
      </c>
      <c r="BR126" s="526">
        <f t="shared" si="58"/>
        <v>887.5304124029683</v>
      </c>
      <c r="BS126" s="526">
        <f t="shared" si="58"/>
        <v>887.5304124029683</v>
      </c>
      <c r="BT126" s="526">
        <f t="shared" si="58"/>
        <v>887.5304124029683</v>
      </c>
      <c r="BU126" s="526">
        <f t="shared" si="58"/>
        <v>887.5304124029683</v>
      </c>
      <c r="BV126" s="526">
        <f t="shared" si="58"/>
        <v>887.5304124029683</v>
      </c>
      <c r="BW126" s="526">
        <f t="shared" si="58"/>
        <v>887.5304124029683</v>
      </c>
      <c r="BX126" s="526">
        <f t="shared" si="58"/>
        <v>887.5304124029683</v>
      </c>
      <c r="BY126" s="526">
        <f t="shared" si="58"/>
        <v>887.5304124029683</v>
      </c>
      <c r="BZ126" s="526">
        <f t="shared" si="58"/>
        <v>887.5304124029683</v>
      </c>
      <c r="CA126" s="526">
        <f t="shared" si="58"/>
        <v>887.5304124029683</v>
      </c>
      <c r="CB126" s="526">
        <f t="shared" si="57"/>
        <v>887.5304124029683</v>
      </c>
      <c r="CC126" s="526">
        <f t="shared" si="57"/>
        <v>887.5304124029683</v>
      </c>
      <c r="CD126" s="526">
        <f t="shared" si="57"/>
        <v>887.5304124029683</v>
      </c>
      <c r="CE126" s="526">
        <f t="shared" si="57"/>
        <v>887.5304124029683</v>
      </c>
      <c r="CF126" s="526">
        <f t="shared" si="57"/>
        <v>887.5304124029683</v>
      </c>
    </row>
    <row r="127" spans="2:84">
      <c r="B127" t="s">
        <v>799</v>
      </c>
      <c r="C127" t="s">
        <v>1355</v>
      </c>
      <c r="D127" t="s">
        <v>708</v>
      </c>
      <c r="E127" t="s">
        <v>1356</v>
      </c>
      <c r="F127" t="str">
        <f t="shared" si="46"/>
        <v>Bio-diesel (Pyrolysis)Total emissions - WTT - GWP100Global</v>
      </c>
      <c r="G127" s="530" t="e">
        <v>#N/A</v>
      </c>
      <c r="H127" s="530" t="e">
        <v>#N/A</v>
      </c>
      <c r="I127" s="530" t="e">
        <v>#N/A</v>
      </c>
      <c r="J127" s="530" t="e">
        <v>#N/A</v>
      </c>
      <c r="K127" s="530" t="e">
        <v>#N/A</v>
      </c>
      <c r="L127" s="530" t="e">
        <v>#N/A</v>
      </c>
      <c r="M127" s="530" t="e">
        <v>#N/A</v>
      </c>
      <c r="N127" s="527">
        <v>-3.1656693247019123</v>
      </c>
      <c r="O127" s="527">
        <v>-3.165911025058822</v>
      </c>
      <c r="P127" s="527">
        <v>-3.1661648004250171</v>
      </c>
      <c r="Q127" s="527">
        <v>-3.1664306508004971</v>
      </c>
      <c r="R127" s="527">
        <v>-3.1667085761852629</v>
      </c>
      <c r="S127" s="527">
        <v>-3.1669985765793141</v>
      </c>
      <c r="T127" s="527">
        <v>-3.167301095370342</v>
      </c>
      <c r="U127" s="527">
        <v>-3.1676119852235392</v>
      </c>
      <c r="V127" s="527">
        <v>-3.1679312461389038</v>
      </c>
      <c r="W127" s="527">
        <v>-3.1682588781164376</v>
      </c>
      <c r="X127" s="527">
        <v>-3.1685948811561406</v>
      </c>
      <c r="Y127" s="527">
        <v>-3.1690294414584206</v>
      </c>
      <c r="Z127" s="527">
        <v>-3.1694592411763809</v>
      </c>
      <c r="AA127" s="527">
        <v>-3.1698842803100202</v>
      </c>
      <c r="AB127" s="527">
        <v>-3.1703045588593395</v>
      </c>
      <c r="AC127" s="527">
        <v>-3.1707200768243382</v>
      </c>
      <c r="AD127" s="527">
        <v>-3.1710671242767714</v>
      </c>
      <c r="AE127" s="527">
        <v>-3.1714080598696048</v>
      </c>
      <c r="AF127" s="527">
        <v>-3.1717428836028372</v>
      </c>
      <c r="AG127" s="527">
        <v>-3.1720715954764698</v>
      </c>
      <c r="AH127" s="527">
        <v>-3.1723941954905013</v>
      </c>
      <c r="AI127" s="528">
        <f t="shared" si="58"/>
        <v>-3.1723941954905013</v>
      </c>
      <c r="AJ127" s="528">
        <f t="shared" si="58"/>
        <v>-3.1723941954905013</v>
      </c>
      <c r="AK127" s="528">
        <f t="shared" si="58"/>
        <v>-3.1723941954905013</v>
      </c>
      <c r="AL127" s="528">
        <f t="shared" si="58"/>
        <v>-3.1723941954905013</v>
      </c>
      <c r="AM127" s="528">
        <f t="shared" si="58"/>
        <v>-3.1723941954905013</v>
      </c>
      <c r="AN127" s="528">
        <f t="shared" si="58"/>
        <v>-3.1723941954905013</v>
      </c>
      <c r="AO127" s="528">
        <f t="shared" si="58"/>
        <v>-3.1723941954905013</v>
      </c>
      <c r="AP127" s="528">
        <f t="shared" si="58"/>
        <v>-3.1723941954905013</v>
      </c>
      <c r="AQ127" s="528">
        <f t="shared" si="58"/>
        <v>-3.1723941954905013</v>
      </c>
      <c r="AR127" s="528">
        <f t="shared" si="58"/>
        <v>-3.1723941954905013</v>
      </c>
      <c r="AS127" s="528">
        <f t="shared" si="58"/>
        <v>-3.1723941954905013</v>
      </c>
      <c r="AT127" s="528">
        <f t="shared" si="58"/>
        <v>-3.1723941954905013</v>
      </c>
      <c r="AU127" s="528">
        <f t="shared" si="58"/>
        <v>-3.1723941954905013</v>
      </c>
      <c r="AV127" s="528">
        <f t="shared" si="58"/>
        <v>-3.1723941954905013</v>
      </c>
      <c r="AW127" s="528">
        <f t="shared" si="58"/>
        <v>-3.1723941954905013</v>
      </c>
      <c r="AX127" s="528">
        <f t="shared" si="58"/>
        <v>-3.1723941954905013</v>
      </c>
      <c r="AY127" s="528">
        <f t="shared" si="58"/>
        <v>-3.1723941954905013</v>
      </c>
      <c r="AZ127" s="528">
        <f t="shared" si="58"/>
        <v>-3.1723941954905013</v>
      </c>
      <c r="BA127" s="528">
        <f t="shared" si="58"/>
        <v>-3.1723941954905013</v>
      </c>
      <c r="BB127" s="528">
        <f t="shared" si="58"/>
        <v>-3.1723941954905013</v>
      </c>
      <c r="BC127" s="528">
        <f t="shared" si="58"/>
        <v>-3.1723941954905013</v>
      </c>
      <c r="BD127" s="528">
        <f t="shared" si="58"/>
        <v>-3.1723941954905013</v>
      </c>
      <c r="BE127" s="528">
        <f t="shared" si="58"/>
        <v>-3.1723941954905013</v>
      </c>
      <c r="BF127" s="528">
        <f t="shared" si="58"/>
        <v>-3.1723941954905013</v>
      </c>
      <c r="BG127" s="528">
        <f t="shared" si="58"/>
        <v>-3.1723941954905013</v>
      </c>
      <c r="BH127" s="528">
        <f t="shared" si="58"/>
        <v>-3.1723941954905013</v>
      </c>
      <c r="BI127" s="528">
        <f t="shared" si="58"/>
        <v>-3.1723941954905013</v>
      </c>
      <c r="BJ127" s="528">
        <f t="shared" si="58"/>
        <v>-3.1723941954905013</v>
      </c>
      <c r="BK127" s="528">
        <f t="shared" si="58"/>
        <v>-3.1723941954905013</v>
      </c>
      <c r="BL127" s="528">
        <f t="shared" si="58"/>
        <v>-3.1723941954905013</v>
      </c>
      <c r="BM127" s="528">
        <f t="shared" ref="BM127:CA127" si="59">BL127</f>
        <v>-3.1723941954905013</v>
      </c>
      <c r="BN127" s="528">
        <f t="shared" si="59"/>
        <v>-3.1723941954905013</v>
      </c>
      <c r="BO127" s="528">
        <f t="shared" si="59"/>
        <v>-3.1723941954905013</v>
      </c>
      <c r="BP127" s="528">
        <f t="shared" si="59"/>
        <v>-3.1723941954905013</v>
      </c>
      <c r="BQ127" s="528">
        <f t="shared" si="59"/>
        <v>-3.1723941954905013</v>
      </c>
      <c r="BR127" s="528">
        <f t="shared" si="59"/>
        <v>-3.1723941954905013</v>
      </c>
      <c r="BS127" s="528">
        <f t="shared" si="59"/>
        <v>-3.1723941954905013</v>
      </c>
      <c r="BT127" s="528">
        <f t="shared" si="59"/>
        <v>-3.1723941954905013</v>
      </c>
      <c r="BU127" s="528">
        <f t="shared" si="59"/>
        <v>-3.1723941954905013</v>
      </c>
      <c r="BV127" s="528">
        <f t="shared" si="59"/>
        <v>-3.1723941954905013</v>
      </c>
      <c r="BW127" s="528">
        <f t="shared" si="59"/>
        <v>-3.1723941954905013</v>
      </c>
      <c r="BX127" s="528">
        <f t="shared" si="59"/>
        <v>-3.1723941954905013</v>
      </c>
      <c r="BY127" s="528">
        <f t="shared" si="59"/>
        <v>-3.1723941954905013</v>
      </c>
      <c r="BZ127" s="528">
        <f t="shared" si="59"/>
        <v>-3.1723941954905013</v>
      </c>
      <c r="CA127" s="528">
        <f t="shared" si="59"/>
        <v>-3.1723941954905013</v>
      </c>
      <c r="CB127" s="528">
        <f t="shared" si="57"/>
        <v>-3.1723941954905013</v>
      </c>
      <c r="CC127" s="528">
        <f t="shared" si="57"/>
        <v>-3.1723941954905013</v>
      </c>
      <c r="CD127" s="528">
        <f t="shared" si="57"/>
        <v>-3.1723941954905013</v>
      </c>
      <c r="CE127" s="528">
        <f t="shared" si="57"/>
        <v>-3.1723941954905013</v>
      </c>
      <c r="CF127" s="528">
        <f t="shared" si="57"/>
        <v>-3.1723941954905013</v>
      </c>
    </row>
    <row r="128" spans="2:84">
      <c r="B128" t="s">
        <v>799</v>
      </c>
      <c r="C128" t="s">
        <v>1357</v>
      </c>
      <c r="D128" t="s">
        <v>708</v>
      </c>
      <c r="E128" t="s">
        <v>1356</v>
      </c>
      <c r="F128" t="str">
        <f t="shared" si="46"/>
        <v>Bio-diesel (Pyrolysis)Total emissions - TTW - GWP100Global</v>
      </c>
      <c r="G128" s="530" t="e">
        <v>#N/A</v>
      </c>
      <c r="H128" s="530" t="e">
        <v>#N/A</v>
      </c>
      <c r="I128" s="530" t="e">
        <v>#N/A</v>
      </c>
      <c r="J128" s="530" t="e">
        <v>#N/A</v>
      </c>
      <c r="K128" s="530" t="e">
        <v>#N/A</v>
      </c>
      <c r="L128" s="530" t="e">
        <v>#N/A</v>
      </c>
      <c r="M128" s="530" t="e">
        <v>#N/A</v>
      </c>
      <c r="N128" s="527">
        <v>3.2553300000000003</v>
      </c>
      <c r="O128" s="527">
        <v>3.2553300000000003</v>
      </c>
      <c r="P128" s="527">
        <v>3.2553300000000003</v>
      </c>
      <c r="Q128" s="527">
        <v>3.2553300000000003</v>
      </c>
      <c r="R128" s="527">
        <v>3.2553300000000003</v>
      </c>
      <c r="S128" s="527">
        <v>3.2553300000000003</v>
      </c>
      <c r="T128" s="527">
        <v>3.2553300000000003</v>
      </c>
      <c r="U128" s="527">
        <v>3.2553300000000003</v>
      </c>
      <c r="V128" s="527">
        <v>3.2553300000000003</v>
      </c>
      <c r="W128" s="527">
        <v>3.2553300000000003</v>
      </c>
      <c r="X128" s="527">
        <v>3.2553300000000003</v>
      </c>
      <c r="Y128" s="527">
        <v>3.2553300000000003</v>
      </c>
      <c r="Z128" s="527">
        <v>3.2553300000000003</v>
      </c>
      <c r="AA128" s="527">
        <v>3.2553300000000003</v>
      </c>
      <c r="AB128" s="527">
        <v>3.2553300000000003</v>
      </c>
      <c r="AC128" s="527">
        <v>3.2553300000000003</v>
      </c>
      <c r="AD128" s="527">
        <v>3.2553300000000003</v>
      </c>
      <c r="AE128" s="527">
        <v>3.2553300000000003</v>
      </c>
      <c r="AF128" s="527">
        <v>3.2553300000000003</v>
      </c>
      <c r="AG128" s="527">
        <v>3.2553300000000003</v>
      </c>
      <c r="AH128" s="527">
        <v>3.2553300000000003</v>
      </c>
      <c r="AI128" s="526">
        <f t="shared" ref="AI128:CA129" si="60">AH128</f>
        <v>3.2553300000000003</v>
      </c>
      <c r="AJ128" s="526">
        <f t="shared" si="60"/>
        <v>3.2553300000000003</v>
      </c>
      <c r="AK128" s="526">
        <f t="shared" si="60"/>
        <v>3.2553300000000003</v>
      </c>
      <c r="AL128" s="526">
        <f t="shared" si="60"/>
        <v>3.2553300000000003</v>
      </c>
      <c r="AM128" s="526">
        <f t="shared" si="60"/>
        <v>3.2553300000000003</v>
      </c>
      <c r="AN128" s="526">
        <f t="shared" si="60"/>
        <v>3.2553300000000003</v>
      </c>
      <c r="AO128" s="526">
        <f t="shared" si="60"/>
        <v>3.2553300000000003</v>
      </c>
      <c r="AP128" s="526">
        <f t="shared" si="60"/>
        <v>3.2553300000000003</v>
      </c>
      <c r="AQ128" s="526">
        <f t="shared" si="60"/>
        <v>3.2553300000000003</v>
      </c>
      <c r="AR128" s="526">
        <f t="shared" si="60"/>
        <v>3.2553300000000003</v>
      </c>
      <c r="AS128" s="526">
        <f t="shared" si="60"/>
        <v>3.2553300000000003</v>
      </c>
      <c r="AT128" s="526">
        <f t="shared" si="60"/>
        <v>3.2553300000000003</v>
      </c>
      <c r="AU128" s="526">
        <f t="shared" si="60"/>
        <v>3.2553300000000003</v>
      </c>
      <c r="AV128" s="526">
        <f t="shared" si="60"/>
        <v>3.2553300000000003</v>
      </c>
      <c r="AW128" s="526">
        <f t="shared" si="60"/>
        <v>3.2553300000000003</v>
      </c>
      <c r="AX128" s="526">
        <f t="shared" si="60"/>
        <v>3.2553300000000003</v>
      </c>
      <c r="AY128" s="526">
        <f t="shared" si="60"/>
        <v>3.2553300000000003</v>
      </c>
      <c r="AZ128" s="526">
        <f t="shared" si="60"/>
        <v>3.2553300000000003</v>
      </c>
      <c r="BA128" s="526">
        <f t="shared" si="60"/>
        <v>3.2553300000000003</v>
      </c>
      <c r="BB128" s="526">
        <f t="shared" si="60"/>
        <v>3.2553300000000003</v>
      </c>
      <c r="BC128" s="526">
        <f t="shared" si="60"/>
        <v>3.2553300000000003</v>
      </c>
      <c r="BD128" s="526">
        <f t="shared" si="60"/>
        <v>3.2553300000000003</v>
      </c>
      <c r="BE128" s="526">
        <f t="shared" si="60"/>
        <v>3.2553300000000003</v>
      </c>
      <c r="BF128" s="526">
        <f t="shared" si="60"/>
        <v>3.2553300000000003</v>
      </c>
      <c r="BG128" s="526">
        <f t="shared" si="60"/>
        <v>3.2553300000000003</v>
      </c>
      <c r="BH128" s="526">
        <f t="shared" si="60"/>
        <v>3.2553300000000003</v>
      </c>
      <c r="BI128" s="526">
        <f t="shared" si="60"/>
        <v>3.2553300000000003</v>
      </c>
      <c r="BJ128" s="526">
        <f t="shared" si="60"/>
        <v>3.2553300000000003</v>
      </c>
      <c r="BK128" s="526">
        <f t="shared" si="60"/>
        <v>3.2553300000000003</v>
      </c>
      <c r="BL128" s="526">
        <f t="shared" si="60"/>
        <v>3.2553300000000003</v>
      </c>
      <c r="BM128" s="526">
        <f t="shared" si="60"/>
        <v>3.2553300000000003</v>
      </c>
      <c r="BN128" s="526">
        <f t="shared" si="60"/>
        <v>3.2553300000000003</v>
      </c>
      <c r="BO128" s="526">
        <f t="shared" si="60"/>
        <v>3.2553300000000003</v>
      </c>
      <c r="BP128" s="526">
        <f t="shared" si="60"/>
        <v>3.2553300000000003</v>
      </c>
      <c r="BQ128" s="526">
        <f t="shared" si="60"/>
        <v>3.2553300000000003</v>
      </c>
      <c r="BR128" s="526">
        <f t="shared" si="60"/>
        <v>3.2553300000000003</v>
      </c>
      <c r="BS128" s="526">
        <f t="shared" si="60"/>
        <v>3.2553300000000003</v>
      </c>
      <c r="BT128" s="526">
        <f t="shared" si="60"/>
        <v>3.2553300000000003</v>
      </c>
      <c r="BU128" s="526">
        <f t="shared" si="60"/>
        <v>3.2553300000000003</v>
      </c>
      <c r="BV128" s="526">
        <f t="shared" si="60"/>
        <v>3.2553300000000003</v>
      </c>
      <c r="BW128" s="526">
        <f t="shared" si="60"/>
        <v>3.2553300000000003</v>
      </c>
      <c r="BX128" s="526">
        <f t="shared" si="60"/>
        <v>3.2553300000000003</v>
      </c>
      <c r="BY128" s="526">
        <f t="shared" si="60"/>
        <v>3.2553300000000003</v>
      </c>
      <c r="BZ128" s="526">
        <f t="shared" si="60"/>
        <v>3.2553300000000003</v>
      </c>
      <c r="CA128" s="526">
        <f t="shared" si="60"/>
        <v>3.2553300000000003</v>
      </c>
      <c r="CB128" s="526">
        <f t="shared" si="57"/>
        <v>3.2553300000000003</v>
      </c>
      <c r="CC128" s="526">
        <f t="shared" si="57"/>
        <v>3.2553300000000003</v>
      </c>
      <c r="CD128" s="526">
        <f t="shared" si="57"/>
        <v>3.2553300000000003</v>
      </c>
      <c r="CE128" s="526">
        <f t="shared" si="57"/>
        <v>3.2553300000000003</v>
      </c>
      <c r="CF128" s="526">
        <f t="shared" si="57"/>
        <v>3.2553300000000003</v>
      </c>
    </row>
    <row r="129" spans="2:86">
      <c r="B129" t="s">
        <v>799</v>
      </c>
      <c r="C129" t="s">
        <v>1358</v>
      </c>
      <c r="D129" t="s">
        <v>708</v>
      </c>
      <c r="E129" t="s">
        <v>1356</v>
      </c>
      <c r="F129" t="str">
        <f t="shared" si="46"/>
        <v>Bio-diesel (Pyrolysis)Total emissions - WTW - GWP100Global</v>
      </c>
      <c r="G129" s="530" t="e">
        <v>#N/A</v>
      </c>
      <c r="H129" s="530" t="e">
        <v>#N/A</v>
      </c>
      <c r="I129" s="530" t="e">
        <v>#N/A</v>
      </c>
      <c r="J129" s="530" t="e">
        <v>#N/A</v>
      </c>
      <c r="K129" s="530" t="e">
        <v>#N/A</v>
      </c>
      <c r="L129" s="530" t="e">
        <v>#N/A</v>
      </c>
      <c r="M129" s="530" t="e">
        <v>#N/A</v>
      </c>
      <c r="N129" s="527">
        <v>8.9660675298087966E-2</v>
      </c>
      <c r="O129" s="527">
        <v>8.9418974941178231E-2</v>
      </c>
      <c r="P129" s="527">
        <v>8.9165199574983145E-2</v>
      </c>
      <c r="Q129" s="527">
        <v>8.8899349199503153E-2</v>
      </c>
      <c r="R129" s="527">
        <v>8.8621423814737366E-2</v>
      </c>
      <c r="S129" s="527">
        <v>8.8331423420686228E-2</v>
      </c>
      <c r="T129" s="527">
        <v>8.8028904629658289E-2</v>
      </c>
      <c r="U129" s="527">
        <v>8.7718014776461128E-2</v>
      </c>
      <c r="V129" s="527">
        <v>8.7398753861096523E-2</v>
      </c>
      <c r="W129" s="527">
        <v>8.7071121883562697E-2</v>
      </c>
      <c r="X129" s="527">
        <v>8.6735118843859649E-2</v>
      </c>
      <c r="Y129" s="527">
        <v>8.6300558541579697E-2</v>
      </c>
      <c r="Z129" s="527">
        <v>8.5870758823619386E-2</v>
      </c>
      <c r="AA129" s="527">
        <v>8.5445719689980049E-2</v>
      </c>
      <c r="AB129" s="527">
        <v>8.5025441140660796E-2</v>
      </c>
      <c r="AC129" s="527">
        <v>8.4609923175662072E-2</v>
      </c>
      <c r="AD129" s="527">
        <v>8.4262875723228881E-2</v>
      </c>
      <c r="AE129" s="527">
        <v>8.3921940130395445E-2</v>
      </c>
      <c r="AF129" s="527">
        <v>8.3587116397163097E-2</v>
      </c>
      <c r="AG129" s="527">
        <v>8.3258404523530505E-2</v>
      </c>
      <c r="AH129" s="527">
        <v>8.2935804509499E-2</v>
      </c>
      <c r="AI129" s="528">
        <f t="shared" si="60"/>
        <v>8.2935804509499E-2</v>
      </c>
      <c r="AJ129" s="528">
        <f t="shared" si="60"/>
        <v>8.2935804509499E-2</v>
      </c>
      <c r="AK129" s="528">
        <f t="shared" si="60"/>
        <v>8.2935804509499E-2</v>
      </c>
      <c r="AL129" s="528">
        <f t="shared" si="60"/>
        <v>8.2935804509499E-2</v>
      </c>
      <c r="AM129" s="528">
        <f t="shared" si="60"/>
        <v>8.2935804509499E-2</v>
      </c>
      <c r="AN129" s="528">
        <f t="shared" si="60"/>
        <v>8.2935804509499E-2</v>
      </c>
      <c r="AO129" s="528">
        <f t="shared" si="60"/>
        <v>8.2935804509499E-2</v>
      </c>
      <c r="AP129" s="528">
        <f t="shared" si="60"/>
        <v>8.2935804509499E-2</v>
      </c>
      <c r="AQ129" s="528">
        <f t="shared" si="60"/>
        <v>8.2935804509499E-2</v>
      </c>
      <c r="AR129" s="528">
        <f t="shared" si="60"/>
        <v>8.2935804509499E-2</v>
      </c>
      <c r="AS129" s="528">
        <f t="shared" si="60"/>
        <v>8.2935804509499E-2</v>
      </c>
      <c r="AT129" s="528">
        <f t="shared" si="60"/>
        <v>8.2935804509499E-2</v>
      </c>
      <c r="AU129" s="528">
        <f t="shared" si="60"/>
        <v>8.2935804509499E-2</v>
      </c>
      <c r="AV129" s="528">
        <f t="shared" si="60"/>
        <v>8.2935804509499E-2</v>
      </c>
      <c r="AW129" s="528">
        <f t="shared" si="60"/>
        <v>8.2935804509499E-2</v>
      </c>
      <c r="AX129" s="528">
        <f t="shared" si="60"/>
        <v>8.2935804509499E-2</v>
      </c>
      <c r="AY129" s="528">
        <f t="shared" si="60"/>
        <v>8.2935804509499E-2</v>
      </c>
      <c r="AZ129" s="528">
        <f t="shared" si="60"/>
        <v>8.2935804509499E-2</v>
      </c>
      <c r="BA129" s="528">
        <f t="shared" si="60"/>
        <v>8.2935804509499E-2</v>
      </c>
      <c r="BB129" s="528">
        <f t="shared" si="60"/>
        <v>8.2935804509499E-2</v>
      </c>
      <c r="BC129" s="528">
        <f t="shared" si="60"/>
        <v>8.2935804509499E-2</v>
      </c>
      <c r="BD129" s="528">
        <f t="shared" si="60"/>
        <v>8.2935804509499E-2</v>
      </c>
      <c r="BE129" s="528">
        <f t="shared" si="60"/>
        <v>8.2935804509499E-2</v>
      </c>
      <c r="BF129" s="528">
        <f t="shared" si="60"/>
        <v>8.2935804509499E-2</v>
      </c>
      <c r="BG129" s="528">
        <f t="shared" si="60"/>
        <v>8.2935804509499E-2</v>
      </c>
      <c r="BH129" s="528">
        <f t="shared" si="60"/>
        <v>8.2935804509499E-2</v>
      </c>
      <c r="BI129" s="528">
        <f t="shared" si="60"/>
        <v>8.2935804509499E-2</v>
      </c>
      <c r="BJ129" s="528">
        <f t="shared" si="60"/>
        <v>8.2935804509499E-2</v>
      </c>
      <c r="BK129" s="528">
        <f t="shared" si="60"/>
        <v>8.2935804509499E-2</v>
      </c>
      <c r="BL129" s="528">
        <f t="shared" si="60"/>
        <v>8.2935804509499E-2</v>
      </c>
      <c r="BM129" s="528">
        <f t="shared" si="60"/>
        <v>8.2935804509499E-2</v>
      </c>
      <c r="BN129" s="528">
        <f t="shared" si="60"/>
        <v>8.2935804509499E-2</v>
      </c>
      <c r="BO129" s="528">
        <f t="shared" si="60"/>
        <v>8.2935804509499E-2</v>
      </c>
      <c r="BP129" s="528">
        <f t="shared" si="60"/>
        <v>8.2935804509499E-2</v>
      </c>
      <c r="BQ129" s="528">
        <f t="shared" si="60"/>
        <v>8.2935804509499E-2</v>
      </c>
      <c r="BR129" s="528">
        <f t="shared" si="60"/>
        <v>8.2935804509499E-2</v>
      </c>
      <c r="BS129" s="528">
        <f t="shared" si="60"/>
        <v>8.2935804509499E-2</v>
      </c>
      <c r="BT129" s="528">
        <f t="shared" si="60"/>
        <v>8.2935804509499E-2</v>
      </c>
      <c r="BU129" s="528">
        <f t="shared" si="60"/>
        <v>8.2935804509499E-2</v>
      </c>
      <c r="BV129" s="528">
        <f t="shared" si="60"/>
        <v>8.2935804509499E-2</v>
      </c>
      <c r="BW129" s="528">
        <f t="shared" si="60"/>
        <v>8.2935804509499E-2</v>
      </c>
      <c r="BX129" s="528">
        <f t="shared" si="60"/>
        <v>8.2935804509499E-2</v>
      </c>
      <c r="BY129" s="528">
        <f t="shared" si="60"/>
        <v>8.2935804509499E-2</v>
      </c>
      <c r="BZ129" s="528">
        <f t="shared" si="60"/>
        <v>8.2935804509499E-2</v>
      </c>
      <c r="CA129" s="528">
        <f t="shared" si="60"/>
        <v>8.2935804509499E-2</v>
      </c>
      <c r="CB129" s="528">
        <f t="shared" si="57"/>
        <v>8.2935804509499E-2</v>
      </c>
      <c r="CC129" s="528">
        <f t="shared" si="57"/>
        <v>8.2935804509499E-2</v>
      </c>
      <c r="CD129" s="528">
        <f t="shared" si="57"/>
        <v>8.2935804509499E-2</v>
      </c>
      <c r="CE129" s="528">
        <f t="shared" si="57"/>
        <v>8.2935804509499E-2</v>
      </c>
      <c r="CF129" s="528">
        <f t="shared" si="57"/>
        <v>8.2935804509499E-2</v>
      </c>
    </row>
    <row r="130" spans="2:86">
      <c r="B130" t="s">
        <v>805</v>
      </c>
      <c r="C130" t="s">
        <v>1352</v>
      </c>
      <c r="D130" t="s">
        <v>708</v>
      </c>
      <c r="E130" t="s">
        <v>1353</v>
      </c>
      <c r="F130" t="str">
        <f t="shared" si="46"/>
        <v>LNGCapExGlobal</v>
      </c>
      <c r="G130" s="525">
        <v>2271.4526299856479</v>
      </c>
      <c r="H130" s="525">
        <v>2260.7263149928222</v>
      </c>
      <c r="I130" s="525">
        <v>2250</v>
      </c>
      <c r="J130" s="525">
        <v>2239.523407737528</v>
      </c>
      <c r="K130" s="525">
        <v>2229.0468154750561</v>
      </c>
      <c r="L130" s="525">
        <v>2218.5702232125841</v>
      </c>
      <c r="M130" s="525">
        <v>2208.0936309501121</v>
      </c>
      <c r="N130" s="525">
        <v>2197.6170386876402</v>
      </c>
      <c r="O130" s="525">
        <v>2187.3843552816907</v>
      </c>
      <c r="P130" s="525">
        <v>2177.1516718757375</v>
      </c>
      <c r="Q130" s="525">
        <v>2166.918988469788</v>
      </c>
      <c r="R130" s="525">
        <v>2156.6863050638349</v>
      </c>
      <c r="S130" s="525">
        <v>2146.4536216578817</v>
      </c>
      <c r="T130" s="525">
        <v>2136.4591685892556</v>
      </c>
      <c r="U130" s="525">
        <v>2126.4647155206258</v>
      </c>
      <c r="V130" s="525">
        <v>2116.4702624519959</v>
      </c>
      <c r="W130" s="525">
        <v>2106.4758093833661</v>
      </c>
      <c r="X130" s="525">
        <v>2096.48135631474</v>
      </c>
      <c r="Y130" s="525">
        <v>2086.7195872676348</v>
      </c>
      <c r="Z130" s="525">
        <v>2076.9578182205332</v>
      </c>
      <c r="AA130" s="525">
        <v>2067.196049173428</v>
      </c>
      <c r="AB130" s="525">
        <v>2057.4342801263228</v>
      </c>
      <c r="AC130" s="525">
        <v>2047.6725110792174</v>
      </c>
      <c r="AD130" s="525">
        <v>2038.1380088633741</v>
      </c>
      <c r="AE130" s="525">
        <v>2028.6035066475306</v>
      </c>
      <c r="AF130" s="525">
        <v>2019.0690044316871</v>
      </c>
      <c r="AG130" s="525">
        <v>2009.5345022158435</v>
      </c>
      <c r="AH130" s="525">
        <v>2000.0000000000002</v>
      </c>
      <c r="AI130" s="526">
        <f>AH130</f>
        <v>2000.0000000000002</v>
      </c>
      <c r="AJ130" s="526">
        <f t="shared" ref="AJ130:CF138" si="61">AI130</f>
        <v>2000.0000000000002</v>
      </c>
      <c r="AK130" s="526">
        <f t="shared" si="61"/>
        <v>2000.0000000000002</v>
      </c>
      <c r="AL130" s="526">
        <f t="shared" si="61"/>
        <v>2000.0000000000002</v>
      </c>
      <c r="AM130" s="526">
        <f t="shared" si="61"/>
        <v>2000.0000000000002</v>
      </c>
      <c r="AN130" s="526">
        <f t="shared" si="61"/>
        <v>2000.0000000000002</v>
      </c>
      <c r="AO130" s="526">
        <f t="shared" si="61"/>
        <v>2000.0000000000002</v>
      </c>
      <c r="AP130" s="526">
        <f t="shared" si="61"/>
        <v>2000.0000000000002</v>
      </c>
      <c r="AQ130" s="526">
        <f t="shared" si="61"/>
        <v>2000.0000000000002</v>
      </c>
      <c r="AR130" s="526">
        <f t="shared" si="61"/>
        <v>2000.0000000000002</v>
      </c>
      <c r="AS130" s="526">
        <f t="shared" si="61"/>
        <v>2000.0000000000002</v>
      </c>
      <c r="AT130" s="526">
        <f t="shared" si="61"/>
        <v>2000.0000000000002</v>
      </c>
      <c r="AU130" s="526">
        <f t="shared" si="61"/>
        <v>2000.0000000000002</v>
      </c>
      <c r="AV130" s="526">
        <f t="shared" si="61"/>
        <v>2000.0000000000002</v>
      </c>
      <c r="AW130" s="526">
        <f t="shared" si="61"/>
        <v>2000.0000000000002</v>
      </c>
      <c r="AX130" s="526">
        <f t="shared" si="61"/>
        <v>2000.0000000000002</v>
      </c>
      <c r="AY130" s="526">
        <f t="shared" si="61"/>
        <v>2000.0000000000002</v>
      </c>
      <c r="AZ130" s="526">
        <f t="shared" si="61"/>
        <v>2000.0000000000002</v>
      </c>
      <c r="BA130" s="526">
        <f t="shared" si="61"/>
        <v>2000.0000000000002</v>
      </c>
      <c r="BB130" s="526">
        <f t="shared" si="61"/>
        <v>2000.0000000000002</v>
      </c>
      <c r="BC130" s="526">
        <f t="shared" si="61"/>
        <v>2000.0000000000002</v>
      </c>
      <c r="BD130" s="526">
        <f t="shared" si="61"/>
        <v>2000.0000000000002</v>
      </c>
      <c r="BE130" s="526">
        <f t="shared" si="61"/>
        <v>2000.0000000000002</v>
      </c>
      <c r="BF130" s="526">
        <f t="shared" si="61"/>
        <v>2000.0000000000002</v>
      </c>
      <c r="BG130" s="526">
        <f t="shared" si="61"/>
        <v>2000.0000000000002</v>
      </c>
      <c r="BH130" s="526">
        <f t="shared" si="61"/>
        <v>2000.0000000000002</v>
      </c>
      <c r="BI130" s="526">
        <f t="shared" si="61"/>
        <v>2000.0000000000002</v>
      </c>
      <c r="BJ130" s="526">
        <f t="shared" si="61"/>
        <v>2000.0000000000002</v>
      </c>
      <c r="BK130" s="526">
        <f t="shared" si="61"/>
        <v>2000.0000000000002</v>
      </c>
      <c r="BL130" s="526">
        <f t="shared" si="61"/>
        <v>2000.0000000000002</v>
      </c>
      <c r="BM130" s="526">
        <f t="shared" si="61"/>
        <v>2000.0000000000002</v>
      </c>
      <c r="BN130" s="526">
        <f t="shared" si="61"/>
        <v>2000.0000000000002</v>
      </c>
      <c r="BO130" s="526">
        <f t="shared" si="61"/>
        <v>2000.0000000000002</v>
      </c>
      <c r="BP130" s="526">
        <f t="shared" si="61"/>
        <v>2000.0000000000002</v>
      </c>
      <c r="BQ130" s="526">
        <f t="shared" si="61"/>
        <v>2000.0000000000002</v>
      </c>
      <c r="BR130" s="526">
        <f t="shared" si="61"/>
        <v>2000.0000000000002</v>
      </c>
      <c r="BS130" s="526">
        <f t="shared" si="61"/>
        <v>2000.0000000000002</v>
      </c>
      <c r="BT130" s="526">
        <f t="shared" si="61"/>
        <v>2000.0000000000002</v>
      </c>
      <c r="BU130" s="526">
        <f t="shared" si="61"/>
        <v>2000.0000000000002</v>
      </c>
      <c r="BV130" s="526">
        <f t="shared" si="61"/>
        <v>2000.0000000000002</v>
      </c>
      <c r="BW130" s="526">
        <f t="shared" si="61"/>
        <v>2000.0000000000002</v>
      </c>
      <c r="BX130" s="526">
        <f t="shared" si="61"/>
        <v>2000.0000000000002</v>
      </c>
      <c r="BY130" s="526">
        <f t="shared" si="61"/>
        <v>2000.0000000000002</v>
      </c>
      <c r="BZ130" s="526">
        <f t="shared" si="61"/>
        <v>2000.0000000000002</v>
      </c>
      <c r="CA130" s="526">
        <f t="shared" si="61"/>
        <v>2000.0000000000002</v>
      </c>
      <c r="CB130" s="526">
        <f t="shared" si="61"/>
        <v>2000.0000000000002</v>
      </c>
      <c r="CC130" s="526">
        <f t="shared" si="61"/>
        <v>2000.0000000000002</v>
      </c>
      <c r="CD130" s="526">
        <f t="shared" si="61"/>
        <v>2000.0000000000002</v>
      </c>
      <c r="CE130" s="526">
        <f t="shared" si="61"/>
        <v>2000.0000000000002</v>
      </c>
      <c r="CF130" s="526">
        <f t="shared" si="61"/>
        <v>2000.0000000000002</v>
      </c>
    </row>
    <row r="131" spans="2:86">
      <c r="B131" t="s">
        <v>805</v>
      </c>
      <c r="C131" t="s">
        <v>1354</v>
      </c>
      <c r="D131" t="s">
        <v>838</v>
      </c>
      <c r="E131" t="s">
        <v>1353</v>
      </c>
      <c r="F131" t="str">
        <f t="shared" si="46"/>
        <v>LNGOpExAfrica</v>
      </c>
      <c r="G131" s="525">
        <v>1279.9637788075192</v>
      </c>
      <c r="H131" s="525">
        <v>1065.2599250720009</v>
      </c>
      <c r="I131" s="525">
        <v>850.55607133648186</v>
      </c>
      <c r="J131" s="525">
        <v>803.8330422365874</v>
      </c>
      <c r="K131" s="525">
        <v>757.11001313669283</v>
      </c>
      <c r="L131" s="525">
        <v>710.38698403679825</v>
      </c>
      <c r="M131" s="525">
        <v>663.66395493690345</v>
      </c>
      <c r="N131" s="525">
        <v>616.94092583700888</v>
      </c>
      <c r="O131" s="525">
        <v>615.7379737995492</v>
      </c>
      <c r="P131" s="525">
        <v>614.53502176208929</v>
      </c>
      <c r="Q131" s="525">
        <v>613.33206972462926</v>
      </c>
      <c r="R131" s="525">
        <v>612.12911768716947</v>
      </c>
      <c r="S131" s="525">
        <v>610.92616564970967</v>
      </c>
      <c r="T131" s="525">
        <v>610.07516055035092</v>
      </c>
      <c r="U131" s="525">
        <v>609.22415545099204</v>
      </c>
      <c r="V131" s="525">
        <v>608.37315035163306</v>
      </c>
      <c r="W131" s="525">
        <v>607.52214525227419</v>
      </c>
      <c r="X131" s="525">
        <v>606.67114015291565</v>
      </c>
      <c r="Y131" s="525">
        <v>605.82441428932771</v>
      </c>
      <c r="Z131" s="525">
        <v>604.97768842573987</v>
      </c>
      <c r="AA131" s="525">
        <v>604.13096256215181</v>
      </c>
      <c r="AB131" s="525">
        <v>603.28423669856386</v>
      </c>
      <c r="AC131" s="525">
        <v>602.43751083497591</v>
      </c>
      <c r="AD131" s="525">
        <v>601.76104105524939</v>
      </c>
      <c r="AE131" s="525">
        <v>601.0845712755231</v>
      </c>
      <c r="AF131" s="525">
        <v>600.40810149579659</v>
      </c>
      <c r="AG131" s="525">
        <v>599.73163171607018</v>
      </c>
      <c r="AH131" s="525">
        <v>599.05516193634389</v>
      </c>
      <c r="AI131" s="526">
        <f t="shared" ref="AI131:CA136" si="62">AH131</f>
        <v>599.05516193634389</v>
      </c>
      <c r="AJ131" s="526">
        <f t="shared" si="62"/>
        <v>599.05516193634389</v>
      </c>
      <c r="AK131" s="526">
        <f t="shared" si="62"/>
        <v>599.05516193634389</v>
      </c>
      <c r="AL131" s="526">
        <f t="shared" si="62"/>
        <v>599.05516193634389</v>
      </c>
      <c r="AM131" s="526">
        <f t="shared" si="62"/>
        <v>599.05516193634389</v>
      </c>
      <c r="AN131" s="526">
        <f t="shared" si="62"/>
        <v>599.05516193634389</v>
      </c>
      <c r="AO131" s="526">
        <f t="shared" si="62"/>
        <v>599.05516193634389</v>
      </c>
      <c r="AP131" s="526">
        <f t="shared" si="62"/>
        <v>599.05516193634389</v>
      </c>
      <c r="AQ131" s="526">
        <f t="shared" si="62"/>
        <v>599.05516193634389</v>
      </c>
      <c r="AR131" s="526">
        <f t="shared" si="62"/>
        <v>599.05516193634389</v>
      </c>
      <c r="AS131" s="526">
        <f t="shared" si="62"/>
        <v>599.05516193634389</v>
      </c>
      <c r="AT131" s="526">
        <f t="shared" si="62"/>
        <v>599.05516193634389</v>
      </c>
      <c r="AU131" s="526">
        <f t="shared" si="62"/>
        <v>599.05516193634389</v>
      </c>
      <c r="AV131" s="526">
        <f t="shared" si="62"/>
        <v>599.05516193634389</v>
      </c>
      <c r="AW131" s="526">
        <f t="shared" si="62"/>
        <v>599.05516193634389</v>
      </c>
      <c r="AX131" s="526">
        <f t="shared" si="62"/>
        <v>599.05516193634389</v>
      </c>
      <c r="AY131" s="526">
        <f t="shared" si="62"/>
        <v>599.05516193634389</v>
      </c>
      <c r="AZ131" s="526">
        <f t="shared" si="62"/>
        <v>599.05516193634389</v>
      </c>
      <c r="BA131" s="526">
        <f t="shared" si="62"/>
        <v>599.05516193634389</v>
      </c>
      <c r="BB131" s="526">
        <f t="shared" si="62"/>
        <v>599.05516193634389</v>
      </c>
      <c r="BC131" s="526">
        <f t="shared" si="62"/>
        <v>599.05516193634389</v>
      </c>
      <c r="BD131" s="526">
        <f t="shared" si="62"/>
        <v>599.05516193634389</v>
      </c>
      <c r="BE131" s="526">
        <f t="shared" si="62"/>
        <v>599.05516193634389</v>
      </c>
      <c r="BF131" s="526">
        <f t="shared" si="62"/>
        <v>599.05516193634389</v>
      </c>
      <c r="BG131" s="526">
        <f t="shared" si="62"/>
        <v>599.05516193634389</v>
      </c>
      <c r="BH131" s="526">
        <f t="shared" si="62"/>
        <v>599.05516193634389</v>
      </c>
      <c r="BI131" s="526">
        <f t="shared" si="62"/>
        <v>599.05516193634389</v>
      </c>
      <c r="BJ131" s="526">
        <f t="shared" si="62"/>
        <v>599.05516193634389</v>
      </c>
      <c r="BK131" s="526">
        <f t="shared" si="62"/>
        <v>599.05516193634389</v>
      </c>
      <c r="BL131" s="526">
        <f t="shared" si="62"/>
        <v>599.05516193634389</v>
      </c>
      <c r="BM131" s="526">
        <f t="shared" si="62"/>
        <v>599.05516193634389</v>
      </c>
      <c r="BN131" s="526">
        <f t="shared" si="62"/>
        <v>599.05516193634389</v>
      </c>
      <c r="BO131" s="526">
        <f t="shared" si="62"/>
        <v>599.05516193634389</v>
      </c>
      <c r="BP131" s="526">
        <f t="shared" si="62"/>
        <v>599.05516193634389</v>
      </c>
      <c r="BQ131" s="526">
        <f t="shared" si="62"/>
        <v>599.05516193634389</v>
      </c>
      <c r="BR131" s="526">
        <f t="shared" si="62"/>
        <v>599.05516193634389</v>
      </c>
      <c r="BS131" s="526">
        <f t="shared" si="62"/>
        <v>599.05516193634389</v>
      </c>
      <c r="BT131" s="526">
        <f t="shared" si="62"/>
        <v>599.05516193634389</v>
      </c>
      <c r="BU131" s="526">
        <f t="shared" si="62"/>
        <v>599.05516193634389</v>
      </c>
      <c r="BV131" s="526">
        <f t="shared" si="62"/>
        <v>599.05516193634389</v>
      </c>
      <c r="BW131" s="526">
        <f t="shared" si="62"/>
        <v>599.05516193634389</v>
      </c>
      <c r="BX131" s="526">
        <f t="shared" si="62"/>
        <v>599.05516193634389</v>
      </c>
      <c r="BY131" s="526">
        <f t="shared" si="62"/>
        <v>599.05516193634389</v>
      </c>
      <c r="BZ131" s="526">
        <f t="shared" si="62"/>
        <v>599.05516193634389</v>
      </c>
      <c r="CA131" s="526">
        <f t="shared" si="62"/>
        <v>599.05516193634389</v>
      </c>
      <c r="CB131" s="526">
        <f t="shared" si="61"/>
        <v>599.05516193634389</v>
      </c>
      <c r="CC131" s="526">
        <f t="shared" si="61"/>
        <v>599.05516193634389</v>
      </c>
      <c r="CD131" s="526">
        <f t="shared" si="61"/>
        <v>599.05516193634389</v>
      </c>
      <c r="CE131" s="526">
        <f t="shared" si="61"/>
        <v>599.05516193634389</v>
      </c>
      <c r="CF131" s="526">
        <f t="shared" si="61"/>
        <v>599.05516193634389</v>
      </c>
    </row>
    <row r="132" spans="2:86">
      <c r="B132" t="s">
        <v>805</v>
      </c>
      <c r="C132" t="s">
        <v>1354</v>
      </c>
      <c r="D132" t="s">
        <v>731</v>
      </c>
      <c r="E132" t="s">
        <v>1353</v>
      </c>
      <c r="F132" t="str">
        <f t="shared" ref="F132:F147" si="63">+B132&amp;C132&amp;D132</f>
        <v>LNGOpExAmericas</v>
      </c>
      <c r="G132" s="525">
        <v>424.94220537307086</v>
      </c>
      <c r="H132" s="525">
        <v>399.89641381578883</v>
      </c>
      <c r="I132" s="525">
        <v>374.8506222585068</v>
      </c>
      <c r="J132" s="525">
        <v>371.50385393141727</v>
      </c>
      <c r="K132" s="525">
        <v>368.15708560432773</v>
      </c>
      <c r="L132" s="525">
        <v>364.8103172772382</v>
      </c>
      <c r="M132" s="525">
        <v>361.46354895014895</v>
      </c>
      <c r="N132" s="525">
        <v>358.11678062305941</v>
      </c>
      <c r="O132" s="525">
        <v>363.18317310751547</v>
      </c>
      <c r="P132" s="525">
        <v>368.24956559197142</v>
      </c>
      <c r="Q132" s="525">
        <v>373.31595807642753</v>
      </c>
      <c r="R132" s="525">
        <v>378.38235056088342</v>
      </c>
      <c r="S132" s="525">
        <v>383.44874304533931</v>
      </c>
      <c r="T132" s="525">
        <v>382.598460477662</v>
      </c>
      <c r="U132" s="525">
        <v>381.74817790998452</v>
      </c>
      <c r="V132" s="525">
        <v>380.89789534230698</v>
      </c>
      <c r="W132" s="525">
        <v>380.04761277462956</v>
      </c>
      <c r="X132" s="525">
        <v>379.19733020695219</v>
      </c>
      <c r="Y132" s="525">
        <v>378.5393357126477</v>
      </c>
      <c r="Z132" s="525">
        <v>377.88134121834344</v>
      </c>
      <c r="AA132" s="525">
        <v>377.223346724039</v>
      </c>
      <c r="AB132" s="525">
        <v>376.56535222973451</v>
      </c>
      <c r="AC132" s="525">
        <v>375.90735773543003</v>
      </c>
      <c r="AD132" s="525">
        <v>375.29160084996153</v>
      </c>
      <c r="AE132" s="525">
        <v>374.67584396449308</v>
      </c>
      <c r="AF132" s="525">
        <v>374.06008707902458</v>
      </c>
      <c r="AG132" s="525">
        <v>373.44433019355608</v>
      </c>
      <c r="AH132" s="525">
        <v>372.82857330808764</v>
      </c>
      <c r="AI132" s="526">
        <f t="shared" si="62"/>
        <v>372.82857330808764</v>
      </c>
      <c r="AJ132" s="526">
        <f t="shared" si="62"/>
        <v>372.82857330808764</v>
      </c>
      <c r="AK132" s="526">
        <f t="shared" si="62"/>
        <v>372.82857330808764</v>
      </c>
      <c r="AL132" s="526">
        <f t="shared" si="62"/>
        <v>372.82857330808764</v>
      </c>
      <c r="AM132" s="526">
        <f t="shared" si="62"/>
        <v>372.82857330808764</v>
      </c>
      <c r="AN132" s="526">
        <f t="shared" si="62"/>
        <v>372.82857330808764</v>
      </c>
      <c r="AO132" s="526">
        <f t="shared" si="62"/>
        <v>372.82857330808764</v>
      </c>
      <c r="AP132" s="526">
        <f t="shared" si="62"/>
        <v>372.82857330808764</v>
      </c>
      <c r="AQ132" s="526">
        <f t="shared" si="62"/>
        <v>372.82857330808764</v>
      </c>
      <c r="AR132" s="526">
        <f t="shared" si="62"/>
        <v>372.82857330808764</v>
      </c>
      <c r="AS132" s="526">
        <f t="shared" si="62"/>
        <v>372.82857330808764</v>
      </c>
      <c r="AT132" s="526">
        <f t="shared" si="62"/>
        <v>372.82857330808764</v>
      </c>
      <c r="AU132" s="526">
        <f t="shared" si="62"/>
        <v>372.82857330808764</v>
      </c>
      <c r="AV132" s="526">
        <f t="shared" si="62"/>
        <v>372.82857330808764</v>
      </c>
      <c r="AW132" s="526">
        <f t="shared" si="62"/>
        <v>372.82857330808764</v>
      </c>
      <c r="AX132" s="526">
        <f t="shared" si="62"/>
        <v>372.82857330808764</v>
      </c>
      <c r="AY132" s="526">
        <f t="shared" si="62"/>
        <v>372.82857330808764</v>
      </c>
      <c r="AZ132" s="526">
        <f t="shared" si="62"/>
        <v>372.82857330808764</v>
      </c>
      <c r="BA132" s="526">
        <f t="shared" si="62"/>
        <v>372.82857330808764</v>
      </c>
      <c r="BB132" s="526">
        <f t="shared" si="62"/>
        <v>372.82857330808764</v>
      </c>
      <c r="BC132" s="526">
        <f t="shared" si="62"/>
        <v>372.82857330808764</v>
      </c>
      <c r="BD132" s="526">
        <f t="shared" si="62"/>
        <v>372.82857330808764</v>
      </c>
      <c r="BE132" s="526">
        <f t="shared" si="62"/>
        <v>372.82857330808764</v>
      </c>
      <c r="BF132" s="526">
        <f t="shared" si="62"/>
        <v>372.82857330808764</v>
      </c>
      <c r="BG132" s="526">
        <f t="shared" si="62"/>
        <v>372.82857330808764</v>
      </c>
      <c r="BH132" s="526">
        <f t="shared" si="62"/>
        <v>372.82857330808764</v>
      </c>
      <c r="BI132" s="526">
        <f t="shared" si="62"/>
        <v>372.82857330808764</v>
      </c>
      <c r="BJ132" s="526">
        <f t="shared" si="62"/>
        <v>372.82857330808764</v>
      </c>
      <c r="BK132" s="526">
        <f t="shared" si="62"/>
        <v>372.82857330808764</v>
      </c>
      <c r="BL132" s="526">
        <f t="shared" si="62"/>
        <v>372.82857330808764</v>
      </c>
      <c r="BM132" s="526">
        <f t="shared" si="62"/>
        <v>372.82857330808764</v>
      </c>
      <c r="BN132" s="526">
        <f t="shared" si="62"/>
        <v>372.82857330808764</v>
      </c>
      <c r="BO132" s="526">
        <f t="shared" si="62"/>
        <v>372.82857330808764</v>
      </c>
      <c r="BP132" s="526">
        <f t="shared" si="62"/>
        <v>372.82857330808764</v>
      </c>
      <c r="BQ132" s="526">
        <f t="shared" si="62"/>
        <v>372.82857330808764</v>
      </c>
      <c r="BR132" s="526">
        <f t="shared" si="62"/>
        <v>372.82857330808764</v>
      </c>
      <c r="BS132" s="526">
        <f t="shared" si="62"/>
        <v>372.82857330808764</v>
      </c>
      <c r="BT132" s="526">
        <f t="shared" si="62"/>
        <v>372.82857330808764</v>
      </c>
      <c r="BU132" s="526">
        <f t="shared" si="62"/>
        <v>372.82857330808764</v>
      </c>
      <c r="BV132" s="526">
        <f t="shared" si="62"/>
        <v>372.82857330808764</v>
      </c>
      <c r="BW132" s="526">
        <f t="shared" si="62"/>
        <v>372.82857330808764</v>
      </c>
      <c r="BX132" s="526">
        <f t="shared" si="62"/>
        <v>372.82857330808764</v>
      </c>
      <c r="BY132" s="526">
        <f t="shared" si="62"/>
        <v>372.82857330808764</v>
      </c>
      <c r="BZ132" s="526">
        <f t="shared" si="62"/>
        <v>372.82857330808764</v>
      </c>
      <c r="CA132" s="526">
        <f t="shared" si="62"/>
        <v>372.82857330808764</v>
      </c>
      <c r="CB132" s="526">
        <f t="shared" si="61"/>
        <v>372.82857330808764</v>
      </c>
      <c r="CC132" s="526">
        <f t="shared" si="61"/>
        <v>372.82857330808764</v>
      </c>
      <c r="CD132" s="526">
        <f t="shared" si="61"/>
        <v>372.82857330808764</v>
      </c>
      <c r="CE132" s="526">
        <f t="shared" si="61"/>
        <v>372.82857330808764</v>
      </c>
      <c r="CF132" s="526">
        <f t="shared" si="61"/>
        <v>372.82857330808764</v>
      </c>
    </row>
    <row r="133" spans="2:86">
      <c r="B133" t="s">
        <v>805</v>
      </c>
      <c r="C133" t="s">
        <v>1354</v>
      </c>
      <c r="D133" t="s">
        <v>750</v>
      </c>
      <c r="E133" t="s">
        <v>1353</v>
      </c>
      <c r="F133" t="str">
        <f t="shared" si="63"/>
        <v>LNGOpExAsia</v>
      </c>
      <c r="G133" s="525">
        <v>1238.8948561430961</v>
      </c>
      <c r="H133" s="525">
        <v>1059.8808920867068</v>
      </c>
      <c r="I133" s="525">
        <v>880.86692803031929</v>
      </c>
      <c r="J133" s="525">
        <v>804.06254908609822</v>
      </c>
      <c r="K133" s="525">
        <v>727.2581701418776</v>
      </c>
      <c r="L133" s="525">
        <v>650.45379119765653</v>
      </c>
      <c r="M133" s="525">
        <v>573.64941225343546</v>
      </c>
      <c r="N133" s="525">
        <v>496.8450333092149</v>
      </c>
      <c r="O133" s="525">
        <v>495.44746438028005</v>
      </c>
      <c r="P133" s="525">
        <v>494.04989545134521</v>
      </c>
      <c r="Q133" s="525">
        <v>492.65232652241082</v>
      </c>
      <c r="R133" s="525">
        <v>491.25475759347603</v>
      </c>
      <c r="S133" s="525">
        <v>489.85718866454124</v>
      </c>
      <c r="T133" s="525">
        <v>488.8830757710445</v>
      </c>
      <c r="U133" s="525">
        <v>487.90896287754754</v>
      </c>
      <c r="V133" s="525">
        <v>486.93484998405074</v>
      </c>
      <c r="W133" s="525">
        <v>485.96073709055383</v>
      </c>
      <c r="X133" s="525">
        <v>484.98662419705738</v>
      </c>
      <c r="Y133" s="525">
        <v>484.00547667617843</v>
      </c>
      <c r="Z133" s="525">
        <v>483.02432915529982</v>
      </c>
      <c r="AA133" s="525">
        <v>482.04318163442093</v>
      </c>
      <c r="AB133" s="525">
        <v>481.06203411354215</v>
      </c>
      <c r="AC133" s="525">
        <v>480.08088659266321</v>
      </c>
      <c r="AD133" s="525">
        <v>479.35276170680947</v>
      </c>
      <c r="AE133" s="525">
        <v>478.62463682095574</v>
      </c>
      <c r="AF133" s="525">
        <v>477.89651193510207</v>
      </c>
      <c r="AG133" s="525">
        <v>477.16838704924839</v>
      </c>
      <c r="AH133" s="525">
        <v>476.44026216339461</v>
      </c>
      <c r="AI133" s="526">
        <f t="shared" si="62"/>
        <v>476.44026216339461</v>
      </c>
      <c r="AJ133" s="526">
        <f t="shared" si="62"/>
        <v>476.44026216339461</v>
      </c>
      <c r="AK133" s="526">
        <f t="shared" si="62"/>
        <v>476.44026216339461</v>
      </c>
      <c r="AL133" s="526">
        <f t="shared" si="62"/>
        <v>476.44026216339461</v>
      </c>
      <c r="AM133" s="526">
        <f t="shared" si="62"/>
        <v>476.44026216339461</v>
      </c>
      <c r="AN133" s="526">
        <f t="shared" si="62"/>
        <v>476.44026216339461</v>
      </c>
      <c r="AO133" s="526">
        <f t="shared" si="62"/>
        <v>476.44026216339461</v>
      </c>
      <c r="AP133" s="526">
        <f t="shared" si="62"/>
        <v>476.44026216339461</v>
      </c>
      <c r="AQ133" s="526">
        <f t="shared" si="62"/>
        <v>476.44026216339461</v>
      </c>
      <c r="AR133" s="526">
        <f t="shared" si="62"/>
        <v>476.44026216339461</v>
      </c>
      <c r="AS133" s="526">
        <f t="shared" si="62"/>
        <v>476.44026216339461</v>
      </c>
      <c r="AT133" s="526">
        <f t="shared" si="62"/>
        <v>476.44026216339461</v>
      </c>
      <c r="AU133" s="526">
        <f t="shared" si="62"/>
        <v>476.44026216339461</v>
      </c>
      <c r="AV133" s="526">
        <f t="shared" si="62"/>
        <v>476.44026216339461</v>
      </c>
      <c r="AW133" s="526">
        <f t="shared" si="62"/>
        <v>476.44026216339461</v>
      </c>
      <c r="AX133" s="526">
        <f t="shared" si="62"/>
        <v>476.44026216339461</v>
      </c>
      <c r="AY133" s="526">
        <f t="shared" si="62"/>
        <v>476.44026216339461</v>
      </c>
      <c r="AZ133" s="526">
        <f t="shared" si="62"/>
        <v>476.44026216339461</v>
      </c>
      <c r="BA133" s="526">
        <f t="shared" si="62"/>
        <v>476.44026216339461</v>
      </c>
      <c r="BB133" s="526">
        <f t="shared" si="62"/>
        <v>476.44026216339461</v>
      </c>
      <c r="BC133" s="526">
        <f t="shared" si="62"/>
        <v>476.44026216339461</v>
      </c>
      <c r="BD133" s="526">
        <f t="shared" si="62"/>
        <v>476.44026216339461</v>
      </c>
      <c r="BE133" s="526">
        <f t="shared" si="62"/>
        <v>476.44026216339461</v>
      </c>
      <c r="BF133" s="526">
        <f t="shared" si="62"/>
        <v>476.44026216339461</v>
      </c>
      <c r="BG133" s="526">
        <f t="shared" si="62"/>
        <v>476.44026216339461</v>
      </c>
      <c r="BH133" s="526">
        <f t="shared" si="62"/>
        <v>476.44026216339461</v>
      </c>
      <c r="BI133" s="526">
        <f t="shared" si="62"/>
        <v>476.44026216339461</v>
      </c>
      <c r="BJ133" s="526">
        <f t="shared" si="62"/>
        <v>476.44026216339461</v>
      </c>
      <c r="BK133" s="526">
        <f t="shared" si="62"/>
        <v>476.44026216339461</v>
      </c>
      <c r="BL133" s="526">
        <f t="shared" si="62"/>
        <v>476.44026216339461</v>
      </c>
      <c r="BM133" s="526">
        <f t="shared" si="62"/>
        <v>476.44026216339461</v>
      </c>
      <c r="BN133" s="526">
        <f t="shared" si="62"/>
        <v>476.44026216339461</v>
      </c>
      <c r="BO133" s="526">
        <f t="shared" si="62"/>
        <v>476.44026216339461</v>
      </c>
      <c r="BP133" s="526">
        <f t="shared" si="62"/>
        <v>476.44026216339461</v>
      </c>
      <c r="BQ133" s="526">
        <f t="shared" si="62"/>
        <v>476.44026216339461</v>
      </c>
      <c r="BR133" s="526">
        <f t="shared" si="62"/>
        <v>476.44026216339461</v>
      </c>
      <c r="BS133" s="526">
        <f t="shared" si="62"/>
        <v>476.44026216339461</v>
      </c>
      <c r="BT133" s="526">
        <f t="shared" si="62"/>
        <v>476.44026216339461</v>
      </c>
      <c r="BU133" s="526">
        <f t="shared" si="62"/>
        <v>476.44026216339461</v>
      </c>
      <c r="BV133" s="526">
        <f t="shared" si="62"/>
        <v>476.44026216339461</v>
      </c>
      <c r="BW133" s="526">
        <f t="shared" si="62"/>
        <v>476.44026216339461</v>
      </c>
      <c r="BX133" s="526">
        <f t="shared" si="62"/>
        <v>476.44026216339461</v>
      </c>
      <c r="BY133" s="526">
        <f t="shared" si="62"/>
        <v>476.44026216339461</v>
      </c>
      <c r="BZ133" s="526">
        <f t="shared" si="62"/>
        <v>476.44026216339461</v>
      </c>
      <c r="CA133" s="526">
        <f t="shared" si="62"/>
        <v>476.44026216339461</v>
      </c>
      <c r="CB133" s="526">
        <f t="shared" si="61"/>
        <v>476.44026216339461</v>
      </c>
      <c r="CC133" s="526">
        <f t="shared" si="61"/>
        <v>476.44026216339461</v>
      </c>
      <c r="CD133" s="526">
        <f t="shared" si="61"/>
        <v>476.44026216339461</v>
      </c>
      <c r="CE133" s="526">
        <f t="shared" si="61"/>
        <v>476.44026216339461</v>
      </c>
      <c r="CF133" s="526">
        <f t="shared" si="61"/>
        <v>476.44026216339461</v>
      </c>
    </row>
    <row r="134" spans="2:86">
      <c r="B134" t="s">
        <v>805</v>
      </c>
      <c r="C134" t="s">
        <v>1354</v>
      </c>
      <c r="D134" t="s">
        <v>720</v>
      </c>
      <c r="E134" t="s">
        <v>1353</v>
      </c>
      <c r="F134" t="str">
        <f t="shared" si="63"/>
        <v>LNGOpExEurope</v>
      </c>
      <c r="G134" s="525">
        <v>1273.9371978638651</v>
      </c>
      <c r="H134" s="525">
        <v>1062.0970479605148</v>
      </c>
      <c r="I134" s="525">
        <v>850.25689805716479</v>
      </c>
      <c r="J134" s="525">
        <v>803.67051424419878</v>
      </c>
      <c r="K134" s="525">
        <v>757.08413043123232</v>
      </c>
      <c r="L134" s="525">
        <v>710.49774661826621</v>
      </c>
      <c r="M134" s="525">
        <v>663.91136280529986</v>
      </c>
      <c r="N134" s="525">
        <v>617.32497899233363</v>
      </c>
      <c r="O134" s="525">
        <v>616.34245546440263</v>
      </c>
      <c r="P134" s="525">
        <v>615.35993193647187</v>
      </c>
      <c r="Q134" s="525">
        <v>614.3774084085411</v>
      </c>
      <c r="R134" s="525">
        <v>613.39488488061011</v>
      </c>
      <c r="S134" s="525">
        <v>612.41236135267934</v>
      </c>
      <c r="T134" s="525">
        <v>611.61206871377908</v>
      </c>
      <c r="U134" s="525">
        <v>610.81177607487871</v>
      </c>
      <c r="V134" s="525">
        <v>610.01148343597833</v>
      </c>
      <c r="W134" s="525">
        <v>609.21119079707807</v>
      </c>
      <c r="X134" s="525">
        <v>608.41089815817782</v>
      </c>
      <c r="Y134" s="525">
        <v>607.60590654281623</v>
      </c>
      <c r="Z134" s="525">
        <v>606.80091492745476</v>
      </c>
      <c r="AA134" s="525">
        <v>605.99592331209317</v>
      </c>
      <c r="AB134" s="525">
        <v>605.19093169673158</v>
      </c>
      <c r="AC134" s="525">
        <v>604.38594008136999</v>
      </c>
      <c r="AD134" s="525">
        <v>603.66593532404477</v>
      </c>
      <c r="AE134" s="525">
        <v>602.94593056671943</v>
      </c>
      <c r="AF134" s="525">
        <v>602.22592580939408</v>
      </c>
      <c r="AG134" s="525">
        <v>601.50592105206886</v>
      </c>
      <c r="AH134" s="525">
        <v>600.7859162947434</v>
      </c>
      <c r="AI134" s="526">
        <f t="shared" si="62"/>
        <v>600.7859162947434</v>
      </c>
      <c r="AJ134" s="526">
        <f t="shared" si="62"/>
        <v>600.7859162947434</v>
      </c>
      <c r="AK134" s="526">
        <f t="shared" si="62"/>
        <v>600.7859162947434</v>
      </c>
      <c r="AL134" s="526">
        <f t="shared" si="62"/>
        <v>600.7859162947434</v>
      </c>
      <c r="AM134" s="526">
        <f t="shared" si="62"/>
        <v>600.7859162947434</v>
      </c>
      <c r="AN134" s="526">
        <f t="shared" si="62"/>
        <v>600.7859162947434</v>
      </c>
      <c r="AO134" s="526">
        <f t="shared" si="62"/>
        <v>600.7859162947434</v>
      </c>
      <c r="AP134" s="526">
        <f t="shared" si="62"/>
        <v>600.7859162947434</v>
      </c>
      <c r="AQ134" s="526">
        <f t="shared" si="62"/>
        <v>600.7859162947434</v>
      </c>
      <c r="AR134" s="526">
        <f t="shared" si="62"/>
        <v>600.7859162947434</v>
      </c>
      <c r="AS134" s="526">
        <f t="shared" si="62"/>
        <v>600.7859162947434</v>
      </c>
      <c r="AT134" s="526">
        <f t="shared" si="62"/>
        <v>600.7859162947434</v>
      </c>
      <c r="AU134" s="526">
        <f t="shared" si="62"/>
        <v>600.7859162947434</v>
      </c>
      <c r="AV134" s="526">
        <f t="shared" si="62"/>
        <v>600.7859162947434</v>
      </c>
      <c r="AW134" s="526">
        <f t="shared" si="62"/>
        <v>600.7859162947434</v>
      </c>
      <c r="AX134" s="526">
        <f t="shared" si="62"/>
        <v>600.7859162947434</v>
      </c>
      <c r="AY134" s="526">
        <f t="shared" si="62"/>
        <v>600.7859162947434</v>
      </c>
      <c r="AZ134" s="526">
        <f t="shared" si="62"/>
        <v>600.7859162947434</v>
      </c>
      <c r="BA134" s="526">
        <f t="shared" si="62"/>
        <v>600.7859162947434</v>
      </c>
      <c r="BB134" s="526">
        <f t="shared" si="62"/>
        <v>600.7859162947434</v>
      </c>
      <c r="BC134" s="526">
        <f t="shared" si="62"/>
        <v>600.7859162947434</v>
      </c>
      <c r="BD134" s="526">
        <f t="shared" si="62"/>
        <v>600.7859162947434</v>
      </c>
      <c r="BE134" s="526">
        <f t="shared" si="62"/>
        <v>600.7859162947434</v>
      </c>
      <c r="BF134" s="526">
        <f t="shared" si="62"/>
        <v>600.7859162947434</v>
      </c>
      <c r="BG134" s="526">
        <f t="shared" si="62"/>
        <v>600.7859162947434</v>
      </c>
      <c r="BH134" s="526">
        <f t="shared" si="62"/>
        <v>600.7859162947434</v>
      </c>
      <c r="BI134" s="526">
        <f t="shared" si="62"/>
        <v>600.7859162947434</v>
      </c>
      <c r="BJ134" s="526">
        <f t="shared" si="62"/>
        <v>600.7859162947434</v>
      </c>
      <c r="BK134" s="526">
        <f t="shared" si="62"/>
        <v>600.7859162947434</v>
      </c>
      <c r="BL134" s="526">
        <f t="shared" si="62"/>
        <v>600.7859162947434</v>
      </c>
      <c r="BM134" s="526">
        <f t="shared" si="62"/>
        <v>600.7859162947434</v>
      </c>
      <c r="BN134" s="526">
        <f t="shared" si="62"/>
        <v>600.7859162947434</v>
      </c>
      <c r="BO134" s="526">
        <f t="shared" si="62"/>
        <v>600.7859162947434</v>
      </c>
      <c r="BP134" s="526">
        <f t="shared" si="62"/>
        <v>600.7859162947434</v>
      </c>
      <c r="BQ134" s="526">
        <f t="shared" si="62"/>
        <v>600.7859162947434</v>
      </c>
      <c r="BR134" s="526">
        <f t="shared" si="62"/>
        <v>600.7859162947434</v>
      </c>
      <c r="BS134" s="526">
        <f t="shared" si="62"/>
        <v>600.7859162947434</v>
      </c>
      <c r="BT134" s="526">
        <f t="shared" si="62"/>
        <v>600.7859162947434</v>
      </c>
      <c r="BU134" s="526">
        <f t="shared" si="62"/>
        <v>600.7859162947434</v>
      </c>
      <c r="BV134" s="526">
        <f t="shared" si="62"/>
        <v>600.7859162947434</v>
      </c>
      <c r="BW134" s="526">
        <f t="shared" si="62"/>
        <v>600.7859162947434</v>
      </c>
      <c r="BX134" s="526">
        <f t="shared" si="62"/>
        <v>600.7859162947434</v>
      </c>
      <c r="BY134" s="526">
        <f t="shared" si="62"/>
        <v>600.7859162947434</v>
      </c>
      <c r="BZ134" s="526">
        <f t="shared" si="62"/>
        <v>600.7859162947434</v>
      </c>
      <c r="CA134" s="526">
        <f t="shared" si="62"/>
        <v>600.7859162947434</v>
      </c>
      <c r="CB134" s="526">
        <f t="shared" si="61"/>
        <v>600.7859162947434</v>
      </c>
      <c r="CC134" s="526">
        <f t="shared" si="61"/>
        <v>600.7859162947434</v>
      </c>
      <c r="CD134" s="526">
        <f t="shared" si="61"/>
        <v>600.7859162947434</v>
      </c>
      <c r="CE134" s="526">
        <f t="shared" si="61"/>
        <v>600.7859162947434</v>
      </c>
      <c r="CF134" s="526">
        <f t="shared" si="61"/>
        <v>600.7859162947434</v>
      </c>
    </row>
    <row r="135" spans="2:86">
      <c r="B135" t="s">
        <v>805</v>
      </c>
      <c r="C135" t="s">
        <v>1354</v>
      </c>
      <c r="D135" t="s">
        <v>826</v>
      </c>
      <c r="E135" t="s">
        <v>1353</v>
      </c>
      <c r="F135" t="str">
        <f t="shared" si="63"/>
        <v>LNGOpExMiddle East</v>
      </c>
      <c r="G135" s="525">
        <v>1022.142084653109</v>
      </c>
      <c r="H135" s="525">
        <v>845.5719690648657</v>
      </c>
      <c r="I135" s="525">
        <v>669.00185347662227</v>
      </c>
      <c r="J135" s="525">
        <v>591.77667970187656</v>
      </c>
      <c r="K135" s="525">
        <v>514.55150592713073</v>
      </c>
      <c r="L135" s="525">
        <v>437.32633215238502</v>
      </c>
      <c r="M135" s="525">
        <v>360.10115837763925</v>
      </c>
      <c r="N135" s="525">
        <v>282.87598460289348</v>
      </c>
      <c r="O135" s="525">
        <v>281.85559458571095</v>
      </c>
      <c r="P135" s="525">
        <v>280.83520456852841</v>
      </c>
      <c r="Q135" s="525">
        <v>279.81481455134588</v>
      </c>
      <c r="R135" s="525">
        <v>278.79442453416334</v>
      </c>
      <c r="S135" s="525">
        <v>277.77403451698081</v>
      </c>
      <c r="T135" s="525">
        <v>276.99490756547277</v>
      </c>
      <c r="U135" s="525">
        <v>276.21578061396463</v>
      </c>
      <c r="V135" s="525">
        <v>275.43665366245648</v>
      </c>
      <c r="W135" s="525">
        <v>274.65752671094833</v>
      </c>
      <c r="X135" s="525">
        <v>273.8783997594403</v>
      </c>
      <c r="Y135" s="525">
        <v>273.04062619872195</v>
      </c>
      <c r="Z135" s="525">
        <v>272.20285263800389</v>
      </c>
      <c r="AA135" s="525">
        <v>271.3650790772856</v>
      </c>
      <c r="AB135" s="525">
        <v>270.52730551656731</v>
      </c>
      <c r="AC135" s="525">
        <v>269.68953195584896</v>
      </c>
      <c r="AD135" s="525">
        <v>269.02431480428243</v>
      </c>
      <c r="AE135" s="525">
        <v>268.35909765271595</v>
      </c>
      <c r="AF135" s="525">
        <v>267.69388050114941</v>
      </c>
      <c r="AG135" s="525">
        <v>267.02866334958287</v>
      </c>
      <c r="AH135" s="525">
        <v>266.36344619801639</v>
      </c>
      <c r="AI135" s="526">
        <f t="shared" si="62"/>
        <v>266.36344619801639</v>
      </c>
      <c r="AJ135" s="526">
        <f t="shared" si="62"/>
        <v>266.36344619801639</v>
      </c>
      <c r="AK135" s="526">
        <f t="shared" si="62"/>
        <v>266.36344619801639</v>
      </c>
      <c r="AL135" s="526">
        <f t="shared" si="62"/>
        <v>266.36344619801639</v>
      </c>
      <c r="AM135" s="526">
        <f t="shared" si="62"/>
        <v>266.36344619801639</v>
      </c>
      <c r="AN135" s="526">
        <f t="shared" si="62"/>
        <v>266.36344619801639</v>
      </c>
      <c r="AO135" s="526">
        <f t="shared" si="62"/>
        <v>266.36344619801639</v>
      </c>
      <c r="AP135" s="526">
        <f t="shared" si="62"/>
        <v>266.36344619801639</v>
      </c>
      <c r="AQ135" s="526">
        <f t="shared" si="62"/>
        <v>266.36344619801639</v>
      </c>
      <c r="AR135" s="526">
        <f t="shared" si="62"/>
        <v>266.36344619801639</v>
      </c>
      <c r="AS135" s="526">
        <f t="shared" si="62"/>
        <v>266.36344619801639</v>
      </c>
      <c r="AT135" s="526">
        <f t="shared" si="62"/>
        <v>266.36344619801639</v>
      </c>
      <c r="AU135" s="526">
        <f t="shared" si="62"/>
        <v>266.36344619801639</v>
      </c>
      <c r="AV135" s="526">
        <f t="shared" si="62"/>
        <v>266.36344619801639</v>
      </c>
      <c r="AW135" s="526">
        <f t="shared" si="62"/>
        <v>266.36344619801639</v>
      </c>
      <c r="AX135" s="526">
        <f t="shared" si="62"/>
        <v>266.36344619801639</v>
      </c>
      <c r="AY135" s="526">
        <f t="shared" si="62"/>
        <v>266.36344619801639</v>
      </c>
      <c r="AZ135" s="526">
        <f t="shared" si="62"/>
        <v>266.36344619801639</v>
      </c>
      <c r="BA135" s="526">
        <f t="shared" si="62"/>
        <v>266.36344619801639</v>
      </c>
      <c r="BB135" s="526">
        <f t="shared" si="62"/>
        <v>266.36344619801639</v>
      </c>
      <c r="BC135" s="526">
        <f t="shared" si="62"/>
        <v>266.36344619801639</v>
      </c>
      <c r="BD135" s="526">
        <f t="shared" si="62"/>
        <v>266.36344619801639</v>
      </c>
      <c r="BE135" s="526">
        <f t="shared" si="62"/>
        <v>266.36344619801639</v>
      </c>
      <c r="BF135" s="526">
        <f t="shared" si="62"/>
        <v>266.36344619801639</v>
      </c>
      <c r="BG135" s="526">
        <f t="shared" si="62"/>
        <v>266.36344619801639</v>
      </c>
      <c r="BH135" s="526">
        <f t="shared" si="62"/>
        <v>266.36344619801639</v>
      </c>
      <c r="BI135" s="526">
        <f t="shared" si="62"/>
        <v>266.36344619801639</v>
      </c>
      <c r="BJ135" s="526">
        <f t="shared" si="62"/>
        <v>266.36344619801639</v>
      </c>
      <c r="BK135" s="526">
        <f t="shared" si="62"/>
        <v>266.36344619801639</v>
      </c>
      <c r="BL135" s="526">
        <f t="shared" si="62"/>
        <v>266.36344619801639</v>
      </c>
      <c r="BM135" s="526">
        <f t="shared" si="62"/>
        <v>266.36344619801639</v>
      </c>
      <c r="BN135" s="526">
        <f t="shared" si="62"/>
        <v>266.36344619801639</v>
      </c>
      <c r="BO135" s="526">
        <f t="shared" si="62"/>
        <v>266.36344619801639</v>
      </c>
      <c r="BP135" s="526">
        <f t="shared" si="62"/>
        <v>266.36344619801639</v>
      </c>
      <c r="BQ135" s="526">
        <f t="shared" si="62"/>
        <v>266.36344619801639</v>
      </c>
      <c r="BR135" s="526">
        <f t="shared" si="62"/>
        <v>266.36344619801639</v>
      </c>
      <c r="BS135" s="526">
        <f t="shared" si="62"/>
        <v>266.36344619801639</v>
      </c>
      <c r="BT135" s="526">
        <f t="shared" si="62"/>
        <v>266.36344619801639</v>
      </c>
      <c r="BU135" s="526">
        <f t="shared" si="62"/>
        <v>266.36344619801639</v>
      </c>
      <c r="BV135" s="526">
        <f t="shared" si="62"/>
        <v>266.36344619801639</v>
      </c>
      <c r="BW135" s="526">
        <f t="shared" si="62"/>
        <v>266.36344619801639</v>
      </c>
      <c r="BX135" s="526">
        <f t="shared" si="62"/>
        <v>266.36344619801639</v>
      </c>
      <c r="BY135" s="526">
        <f t="shared" si="62"/>
        <v>266.36344619801639</v>
      </c>
      <c r="BZ135" s="526">
        <f t="shared" si="62"/>
        <v>266.36344619801639</v>
      </c>
      <c r="CA135" s="526">
        <f t="shared" si="62"/>
        <v>266.36344619801639</v>
      </c>
      <c r="CB135" s="526">
        <f t="shared" si="61"/>
        <v>266.36344619801639</v>
      </c>
      <c r="CC135" s="526">
        <f t="shared" si="61"/>
        <v>266.36344619801639</v>
      </c>
      <c r="CD135" s="526">
        <f t="shared" si="61"/>
        <v>266.36344619801639</v>
      </c>
      <c r="CE135" s="526">
        <f t="shared" si="61"/>
        <v>266.36344619801639</v>
      </c>
      <c r="CF135" s="526">
        <f t="shared" si="61"/>
        <v>266.36344619801639</v>
      </c>
    </row>
    <row r="136" spans="2:86">
      <c r="B136" t="s">
        <v>805</v>
      </c>
      <c r="C136" t="s">
        <v>1355</v>
      </c>
      <c r="D136" t="s">
        <v>708</v>
      </c>
      <c r="E136" t="s">
        <v>1356</v>
      </c>
      <c r="F136" t="str">
        <f t="shared" si="63"/>
        <v>LNGTotal emissions - WTT - GWP100Global</v>
      </c>
      <c r="G136" s="527">
        <v>0.91492200000000001</v>
      </c>
      <c r="H136" s="527">
        <v>0.91492200000000001</v>
      </c>
      <c r="I136" s="527">
        <v>0.91492200000000001</v>
      </c>
      <c r="J136" s="527">
        <v>0.91492200000000001</v>
      </c>
      <c r="K136" s="527">
        <v>0.91492200000000001</v>
      </c>
      <c r="L136" s="527">
        <v>0.91492200000000001</v>
      </c>
      <c r="M136" s="527">
        <v>0.91492200000000001</v>
      </c>
      <c r="N136" s="527">
        <v>0.91492200000000001</v>
      </c>
      <c r="O136" s="527">
        <v>0.91492200000000001</v>
      </c>
      <c r="P136" s="527">
        <v>0.91492200000000001</v>
      </c>
      <c r="Q136" s="527">
        <v>0.91492200000000001</v>
      </c>
      <c r="R136" s="527">
        <v>0.91492200000000001</v>
      </c>
      <c r="S136" s="527">
        <v>0.91492200000000001</v>
      </c>
      <c r="T136" s="527">
        <v>0.91492200000000001</v>
      </c>
      <c r="U136" s="527">
        <v>0.91492200000000001</v>
      </c>
      <c r="V136" s="527">
        <v>0.91492200000000001</v>
      </c>
      <c r="W136" s="527">
        <v>0.91492200000000001</v>
      </c>
      <c r="X136" s="527">
        <v>0.91492200000000001</v>
      </c>
      <c r="Y136" s="527">
        <v>0.91492200000000001</v>
      </c>
      <c r="Z136" s="527">
        <v>0.91492200000000001</v>
      </c>
      <c r="AA136" s="527">
        <v>0.91492200000000001</v>
      </c>
      <c r="AB136" s="527">
        <v>0.91492200000000001</v>
      </c>
      <c r="AC136" s="527">
        <v>0.91492200000000001</v>
      </c>
      <c r="AD136" s="527">
        <v>0.91492200000000001</v>
      </c>
      <c r="AE136" s="527">
        <v>0.91492200000000001</v>
      </c>
      <c r="AF136" s="527">
        <v>0.91492200000000001</v>
      </c>
      <c r="AG136" s="527">
        <v>0.91492200000000001</v>
      </c>
      <c r="AH136" s="527">
        <v>0.91492200000000001</v>
      </c>
      <c r="AI136" s="528">
        <f t="shared" si="62"/>
        <v>0.91492200000000001</v>
      </c>
      <c r="AJ136" s="528">
        <f t="shared" si="62"/>
        <v>0.91492200000000001</v>
      </c>
      <c r="AK136" s="528">
        <f t="shared" si="62"/>
        <v>0.91492200000000001</v>
      </c>
      <c r="AL136" s="528">
        <f t="shared" si="62"/>
        <v>0.91492200000000001</v>
      </c>
      <c r="AM136" s="528">
        <f t="shared" si="62"/>
        <v>0.91492200000000001</v>
      </c>
      <c r="AN136" s="528">
        <f t="shared" si="62"/>
        <v>0.91492200000000001</v>
      </c>
      <c r="AO136" s="528">
        <f t="shared" si="62"/>
        <v>0.91492200000000001</v>
      </c>
      <c r="AP136" s="528">
        <f t="shared" si="62"/>
        <v>0.91492200000000001</v>
      </c>
      <c r="AQ136" s="528">
        <f t="shared" si="62"/>
        <v>0.91492200000000001</v>
      </c>
      <c r="AR136" s="528">
        <f t="shared" si="62"/>
        <v>0.91492200000000001</v>
      </c>
      <c r="AS136" s="528">
        <f t="shared" si="62"/>
        <v>0.91492200000000001</v>
      </c>
      <c r="AT136" s="528">
        <f t="shared" si="62"/>
        <v>0.91492200000000001</v>
      </c>
      <c r="AU136" s="528">
        <f t="shared" si="62"/>
        <v>0.91492200000000001</v>
      </c>
      <c r="AV136" s="528">
        <f t="shared" si="62"/>
        <v>0.91492200000000001</v>
      </c>
      <c r="AW136" s="528">
        <f t="shared" si="62"/>
        <v>0.91492200000000001</v>
      </c>
      <c r="AX136" s="528">
        <f t="shared" si="62"/>
        <v>0.91492200000000001</v>
      </c>
      <c r="AY136" s="528">
        <f t="shared" si="62"/>
        <v>0.91492200000000001</v>
      </c>
      <c r="AZ136" s="528">
        <f t="shared" si="62"/>
        <v>0.91492200000000001</v>
      </c>
      <c r="BA136" s="528">
        <f t="shared" si="62"/>
        <v>0.91492200000000001</v>
      </c>
      <c r="BB136" s="528">
        <f t="shared" si="62"/>
        <v>0.91492200000000001</v>
      </c>
      <c r="BC136" s="528">
        <f t="shared" si="62"/>
        <v>0.91492200000000001</v>
      </c>
      <c r="BD136" s="528">
        <f t="shared" si="62"/>
        <v>0.91492200000000001</v>
      </c>
      <c r="BE136" s="528">
        <f t="shared" si="62"/>
        <v>0.91492200000000001</v>
      </c>
      <c r="BF136" s="528">
        <f t="shared" si="62"/>
        <v>0.91492200000000001</v>
      </c>
      <c r="BG136" s="528">
        <f t="shared" si="62"/>
        <v>0.91492200000000001</v>
      </c>
      <c r="BH136" s="528">
        <f t="shared" si="62"/>
        <v>0.91492200000000001</v>
      </c>
      <c r="BI136" s="528">
        <f t="shared" si="62"/>
        <v>0.91492200000000001</v>
      </c>
      <c r="BJ136" s="528">
        <f t="shared" si="62"/>
        <v>0.91492200000000001</v>
      </c>
      <c r="BK136" s="528">
        <f t="shared" si="62"/>
        <v>0.91492200000000001</v>
      </c>
      <c r="BL136" s="528">
        <f t="shared" si="62"/>
        <v>0.91492200000000001</v>
      </c>
      <c r="BM136" s="528">
        <f t="shared" ref="BM136:CA136" si="64">BL136</f>
        <v>0.91492200000000001</v>
      </c>
      <c r="BN136" s="528">
        <f t="shared" si="64"/>
        <v>0.91492200000000001</v>
      </c>
      <c r="BO136" s="528">
        <f t="shared" si="64"/>
        <v>0.91492200000000001</v>
      </c>
      <c r="BP136" s="528">
        <f t="shared" si="64"/>
        <v>0.91492200000000001</v>
      </c>
      <c r="BQ136" s="528">
        <f t="shared" si="64"/>
        <v>0.91492200000000001</v>
      </c>
      <c r="BR136" s="528">
        <f t="shared" si="64"/>
        <v>0.91492200000000001</v>
      </c>
      <c r="BS136" s="528">
        <f t="shared" si="64"/>
        <v>0.91492200000000001</v>
      </c>
      <c r="BT136" s="528">
        <f t="shared" si="64"/>
        <v>0.91492200000000001</v>
      </c>
      <c r="BU136" s="528">
        <f t="shared" si="64"/>
        <v>0.91492200000000001</v>
      </c>
      <c r="BV136" s="528">
        <f t="shared" si="64"/>
        <v>0.91492200000000001</v>
      </c>
      <c r="BW136" s="528">
        <f t="shared" si="64"/>
        <v>0.91492200000000001</v>
      </c>
      <c r="BX136" s="528">
        <f t="shared" si="64"/>
        <v>0.91492200000000001</v>
      </c>
      <c r="BY136" s="528">
        <f t="shared" si="64"/>
        <v>0.91492200000000001</v>
      </c>
      <c r="BZ136" s="528">
        <f t="shared" si="64"/>
        <v>0.91492200000000001</v>
      </c>
      <c r="CA136" s="528">
        <f t="shared" si="64"/>
        <v>0.91492200000000001</v>
      </c>
      <c r="CB136" s="528">
        <f t="shared" si="61"/>
        <v>0.91492200000000001</v>
      </c>
      <c r="CC136" s="528">
        <f t="shared" si="61"/>
        <v>0.91492200000000001</v>
      </c>
      <c r="CD136" s="528">
        <f t="shared" si="61"/>
        <v>0.91492200000000001</v>
      </c>
      <c r="CE136" s="528">
        <f t="shared" si="61"/>
        <v>0.91492200000000001</v>
      </c>
      <c r="CF136" s="528">
        <f t="shared" si="61"/>
        <v>0.91492200000000001</v>
      </c>
    </row>
    <row r="137" spans="2:86">
      <c r="B137" t="s">
        <v>805</v>
      </c>
      <c r="C137" t="s">
        <v>1357</v>
      </c>
      <c r="D137" t="s">
        <v>708</v>
      </c>
      <c r="E137" t="s">
        <v>1356</v>
      </c>
      <c r="F137" t="str">
        <f t="shared" si="63"/>
        <v>LNGTotal emissions - TTW - GWP100Global</v>
      </c>
      <c r="G137" s="527">
        <v>3.47526</v>
      </c>
      <c r="H137" s="527">
        <v>3.4172599999999997</v>
      </c>
      <c r="I137" s="527">
        <v>3.3592599999999999</v>
      </c>
      <c r="J137" s="527">
        <v>3.3012599999999996</v>
      </c>
      <c r="K137" s="527">
        <v>3.2432599999999998</v>
      </c>
      <c r="L137" s="527">
        <v>3.18526</v>
      </c>
      <c r="M137" s="527">
        <v>3.1272599999999997</v>
      </c>
      <c r="N137" s="527">
        <v>3.0692599999999999</v>
      </c>
      <c r="O137" s="527">
        <v>3.0692599999999999</v>
      </c>
      <c r="P137" s="527">
        <v>3.0692599999999999</v>
      </c>
      <c r="Q137" s="527">
        <v>3.0692599999999999</v>
      </c>
      <c r="R137" s="527">
        <v>3.0692599999999999</v>
      </c>
      <c r="S137" s="527">
        <v>3.0692599999999999</v>
      </c>
      <c r="T137" s="527">
        <v>3.0692599999999999</v>
      </c>
      <c r="U137" s="527">
        <v>3.0692599999999999</v>
      </c>
      <c r="V137" s="527">
        <v>3.0692599999999999</v>
      </c>
      <c r="W137" s="527">
        <v>3.0692599999999999</v>
      </c>
      <c r="X137" s="527">
        <v>3.0692599999999999</v>
      </c>
      <c r="Y137" s="527">
        <v>3.0692599999999999</v>
      </c>
      <c r="Z137" s="527">
        <v>3.0692599999999999</v>
      </c>
      <c r="AA137" s="527">
        <v>3.0692599999999999</v>
      </c>
      <c r="AB137" s="527">
        <v>3.0692599999999999</v>
      </c>
      <c r="AC137" s="527">
        <v>3.0692599999999999</v>
      </c>
      <c r="AD137" s="527">
        <v>3.0692599999999999</v>
      </c>
      <c r="AE137" s="527">
        <v>3.0692599999999999</v>
      </c>
      <c r="AF137" s="527">
        <v>3.0692599999999999</v>
      </c>
      <c r="AG137" s="527">
        <v>3.0692599999999999</v>
      </c>
      <c r="AH137" s="527">
        <v>3.0692599999999999</v>
      </c>
      <c r="AI137" s="526">
        <f t="shared" ref="AI137:CA138" si="65">AH137</f>
        <v>3.0692599999999999</v>
      </c>
      <c r="AJ137" s="526">
        <f t="shared" si="65"/>
        <v>3.0692599999999999</v>
      </c>
      <c r="AK137" s="526">
        <f t="shared" si="65"/>
        <v>3.0692599999999999</v>
      </c>
      <c r="AL137" s="526">
        <f t="shared" si="65"/>
        <v>3.0692599999999999</v>
      </c>
      <c r="AM137" s="526">
        <f t="shared" si="65"/>
        <v>3.0692599999999999</v>
      </c>
      <c r="AN137" s="526">
        <f t="shared" si="65"/>
        <v>3.0692599999999999</v>
      </c>
      <c r="AO137" s="526">
        <f t="shared" si="65"/>
        <v>3.0692599999999999</v>
      </c>
      <c r="AP137" s="526">
        <f t="shared" si="65"/>
        <v>3.0692599999999999</v>
      </c>
      <c r="AQ137" s="526">
        <f t="shared" si="65"/>
        <v>3.0692599999999999</v>
      </c>
      <c r="AR137" s="526">
        <f t="shared" si="65"/>
        <v>3.0692599999999999</v>
      </c>
      <c r="AS137" s="526">
        <f t="shared" si="65"/>
        <v>3.0692599999999999</v>
      </c>
      <c r="AT137" s="526">
        <f t="shared" si="65"/>
        <v>3.0692599999999999</v>
      </c>
      <c r="AU137" s="526">
        <f t="shared" si="65"/>
        <v>3.0692599999999999</v>
      </c>
      <c r="AV137" s="526">
        <f t="shared" si="65"/>
        <v>3.0692599999999999</v>
      </c>
      <c r="AW137" s="526">
        <f t="shared" si="65"/>
        <v>3.0692599999999999</v>
      </c>
      <c r="AX137" s="526">
        <f t="shared" si="65"/>
        <v>3.0692599999999999</v>
      </c>
      <c r="AY137" s="526">
        <f t="shared" si="65"/>
        <v>3.0692599999999999</v>
      </c>
      <c r="AZ137" s="526">
        <f t="shared" si="65"/>
        <v>3.0692599999999999</v>
      </c>
      <c r="BA137" s="526">
        <f t="shared" si="65"/>
        <v>3.0692599999999999</v>
      </c>
      <c r="BB137" s="526">
        <f t="shared" si="65"/>
        <v>3.0692599999999999</v>
      </c>
      <c r="BC137" s="526">
        <f t="shared" si="65"/>
        <v>3.0692599999999999</v>
      </c>
      <c r="BD137" s="526">
        <f t="shared" si="65"/>
        <v>3.0692599999999999</v>
      </c>
      <c r="BE137" s="526">
        <f t="shared" si="65"/>
        <v>3.0692599999999999</v>
      </c>
      <c r="BF137" s="526">
        <f t="shared" si="65"/>
        <v>3.0692599999999999</v>
      </c>
      <c r="BG137" s="526">
        <f t="shared" si="65"/>
        <v>3.0692599999999999</v>
      </c>
      <c r="BH137" s="526">
        <f t="shared" si="65"/>
        <v>3.0692599999999999</v>
      </c>
      <c r="BI137" s="526">
        <f t="shared" si="65"/>
        <v>3.0692599999999999</v>
      </c>
      <c r="BJ137" s="526">
        <f t="shared" si="65"/>
        <v>3.0692599999999999</v>
      </c>
      <c r="BK137" s="526">
        <f t="shared" si="65"/>
        <v>3.0692599999999999</v>
      </c>
      <c r="BL137" s="526">
        <f t="shared" si="65"/>
        <v>3.0692599999999999</v>
      </c>
      <c r="BM137" s="526">
        <f t="shared" si="65"/>
        <v>3.0692599999999999</v>
      </c>
      <c r="BN137" s="526">
        <f t="shared" si="65"/>
        <v>3.0692599999999999</v>
      </c>
      <c r="BO137" s="526">
        <f t="shared" si="65"/>
        <v>3.0692599999999999</v>
      </c>
      <c r="BP137" s="526">
        <f t="shared" si="65"/>
        <v>3.0692599999999999</v>
      </c>
      <c r="BQ137" s="526">
        <f t="shared" si="65"/>
        <v>3.0692599999999999</v>
      </c>
      <c r="BR137" s="526">
        <f t="shared" si="65"/>
        <v>3.0692599999999999</v>
      </c>
      <c r="BS137" s="526">
        <f t="shared" si="65"/>
        <v>3.0692599999999999</v>
      </c>
      <c r="BT137" s="526">
        <f t="shared" si="65"/>
        <v>3.0692599999999999</v>
      </c>
      <c r="BU137" s="526">
        <f t="shared" si="65"/>
        <v>3.0692599999999999</v>
      </c>
      <c r="BV137" s="526">
        <f t="shared" si="65"/>
        <v>3.0692599999999999</v>
      </c>
      <c r="BW137" s="526">
        <f t="shared" si="65"/>
        <v>3.0692599999999999</v>
      </c>
      <c r="BX137" s="526">
        <f t="shared" si="65"/>
        <v>3.0692599999999999</v>
      </c>
      <c r="BY137" s="526">
        <f t="shared" si="65"/>
        <v>3.0692599999999999</v>
      </c>
      <c r="BZ137" s="526">
        <f t="shared" si="65"/>
        <v>3.0692599999999999</v>
      </c>
      <c r="CA137" s="526">
        <f t="shared" si="65"/>
        <v>3.0692599999999999</v>
      </c>
      <c r="CB137" s="526">
        <f t="shared" si="61"/>
        <v>3.0692599999999999</v>
      </c>
      <c r="CC137" s="526">
        <f t="shared" si="61"/>
        <v>3.0692599999999999</v>
      </c>
      <c r="CD137" s="526">
        <f t="shared" si="61"/>
        <v>3.0692599999999999</v>
      </c>
      <c r="CE137" s="526">
        <f t="shared" si="61"/>
        <v>3.0692599999999999</v>
      </c>
      <c r="CF137" s="526">
        <f t="shared" si="61"/>
        <v>3.0692599999999999</v>
      </c>
    </row>
    <row r="138" spans="2:86">
      <c r="B138" t="s">
        <v>805</v>
      </c>
      <c r="C138" t="s">
        <v>1358</v>
      </c>
      <c r="D138" t="s">
        <v>708</v>
      </c>
      <c r="E138" t="s">
        <v>1356</v>
      </c>
      <c r="F138" t="str">
        <f t="shared" si="63"/>
        <v>LNGTotal emissions - WTW - GWP100Global</v>
      </c>
      <c r="G138" s="527">
        <v>4.3901820000000003</v>
      </c>
      <c r="H138" s="527">
        <v>4.3321819999999995</v>
      </c>
      <c r="I138" s="527">
        <v>4.2741819999999997</v>
      </c>
      <c r="J138" s="527">
        <v>4.2161819999999999</v>
      </c>
      <c r="K138" s="527">
        <v>4.158182</v>
      </c>
      <c r="L138" s="527">
        <v>4.1001820000000002</v>
      </c>
      <c r="M138" s="527">
        <v>4.0421819999999995</v>
      </c>
      <c r="N138" s="527">
        <v>3.9841819999999997</v>
      </c>
      <c r="O138" s="527">
        <v>3.9841819999999997</v>
      </c>
      <c r="P138" s="527">
        <v>3.9841819999999997</v>
      </c>
      <c r="Q138" s="527">
        <v>3.9841819999999997</v>
      </c>
      <c r="R138" s="527">
        <v>3.9841819999999997</v>
      </c>
      <c r="S138" s="527">
        <v>3.9841819999999997</v>
      </c>
      <c r="T138" s="527">
        <v>3.9841819999999997</v>
      </c>
      <c r="U138" s="527">
        <v>3.9841819999999997</v>
      </c>
      <c r="V138" s="527">
        <v>3.9841819999999997</v>
      </c>
      <c r="W138" s="527">
        <v>3.9841819999999997</v>
      </c>
      <c r="X138" s="527">
        <v>3.9841819999999997</v>
      </c>
      <c r="Y138" s="527">
        <v>3.9841819999999997</v>
      </c>
      <c r="Z138" s="527">
        <v>3.9841819999999997</v>
      </c>
      <c r="AA138" s="527">
        <v>3.9841819999999997</v>
      </c>
      <c r="AB138" s="527">
        <v>3.9841819999999997</v>
      </c>
      <c r="AC138" s="527">
        <v>3.9841819999999997</v>
      </c>
      <c r="AD138" s="527">
        <v>3.9841819999999997</v>
      </c>
      <c r="AE138" s="527">
        <v>3.9841819999999997</v>
      </c>
      <c r="AF138" s="527">
        <v>3.9841819999999997</v>
      </c>
      <c r="AG138" s="527">
        <v>3.9841819999999997</v>
      </c>
      <c r="AH138" s="527">
        <v>3.9841819999999997</v>
      </c>
      <c r="AI138" s="528">
        <f t="shared" si="65"/>
        <v>3.9841819999999997</v>
      </c>
      <c r="AJ138" s="528">
        <f t="shared" si="65"/>
        <v>3.9841819999999997</v>
      </c>
      <c r="AK138" s="528">
        <f t="shared" si="65"/>
        <v>3.9841819999999997</v>
      </c>
      <c r="AL138" s="528">
        <f t="shared" si="65"/>
        <v>3.9841819999999997</v>
      </c>
      <c r="AM138" s="528">
        <f t="shared" si="65"/>
        <v>3.9841819999999997</v>
      </c>
      <c r="AN138" s="528">
        <f t="shared" si="65"/>
        <v>3.9841819999999997</v>
      </c>
      <c r="AO138" s="528">
        <f t="shared" si="65"/>
        <v>3.9841819999999997</v>
      </c>
      <c r="AP138" s="528">
        <f t="shared" si="65"/>
        <v>3.9841819999999997</v>
      </c>
      <c r="AQ138" s="528">
        <f t="shared" si="65"/>
        <v>3.9841819999999997</v>
      </c>
      <c r="AR138" s="528">
        <f t="shared" si="65"/>
        <v>3.9841819999999997</v>
      </c>
      <c r="AS138" s="528">
        <f t="shared" si="65"/>
        <v>3.9841819999999997</v>
      </c>
      <c r="AT138" s="528">
        <f t="shared" si="65"/>
        <v>3.9841819999999997</v>
      </c>
      <c r="AU138" s="528">
        <f t="shared" si="65"/>
        <v>3.9841819999999997</v>
      </c>
      <c r="AV138" s="528">
        <f t="shared" si="65"/>
        <v>3.9841819999999997</v>
      </c>
      <c r="AW138" s="528">
        <f t="shared" si="65"/>
        <v>3.9841819999999997</v>
      </c>
      <c r="AX138" s="528">
        <f t="shared" si="65"/>
        <v>3.9841819999999997</v>
      </c>
      <c r="AY138" s="528">
        <f t="shared" si="65"/>
        <v>3.9841819999999997</v>
      </c>
      <c r="AZ138" s="528">
        <f t="shared" si="65"/>
        <v>3.9841819999999997</v>
      </c>
      <c r="BA138" s="528">
        <f t="shared" si="65"/>
        <v>3.9841819999999997</v>
      </c>
      <c r="BB138" s="528">
        <f t="shared" si="65"/>
        <v>3.9841819999999997</v>
      </c>
      <c r="BC138" s="528">
        <f t="shared" si="65"/>
        <v>3.9841819999999997</v>
      </c>
      <c r="BD138" s="528">
        <f t="shared" si="65"/>
        <v>3.9841819999999997</v>
      </c>
      <c r="BE138" s="528">
        <f t="shared" si="65"/>
        <v>3.9841819999999997</v>
      </c>
      <c r="BF138" s="528">
        <f t="shared" si="65"/>
        <v>3.9841819999999997</v>
      </c>
      <c r="BG138" s="528">
        <f t="shared" si="65"/>
        <v>3.9841819999999997</v>
      </c>
      <c r="BH138" s="528">
        <f t="shared" si="65"/>
        <v>3.9841819999999997</v>
      </c>
      <c r="BI138" s="528">
        <f t="shared" si="65"/>
        <v>3.9841819999999997</v>
      </c>
      <c r="BJ138" s="528">
        <f t="shared" si="65"/>
        <v>3.9841819999999997</v>
      </c>
      <c r="BK138" s="528">
        <f t="shared" si="65"/>
        <v>3.9841819999999997</v>
      </c>
      <c r="BL138" s="528">
        <f t="shared" si="65"/>
        <v>3.9841819999999997</v>
      </c>
      <c r="BM138" s="528">
        <f t="shared" si="65"/>
        <v>3.9841819999999997</v>
      </c>
      <c r="BN138" s="528">
        <f t="shared" si="65"/>
        <v>3.9841819999999997</v>
      </c>
      <c r="BO138" s="528">
        <f t="shared" si="65"/>
        <v>3.9841819999999997</v>
      </c>
      <c r="BP138" s="528">
        <f t="shared" si="65"/>
        <v>3.9841819999999997</v>
      </c>
      <c r="BQ138" s="528">
        <f t="shared" si="65"/>
        <v>3.9841819999999997</v>
      </c>
      <c r="BR138" s="528">
        <f t="shared" si="65"/>
        <v>3.9841819999999997</v>
      </c>
      <c r="BS138" s="528">
        <f t="shared" si="65"/>
        <v>3.9841819999999997</v>
      </c>
      <c r="BT138" s="528">
        <f t="shared" si="65"/>
        <v>3.9841819999999997</v>
      </c>
      <c r="BU138" s="528">
        <f t="shared" si="65"/>
        <v>3.9841819999999997</v>
      </c>
      <c r="BV138" s="528">
        <f t="shared" si="65"/>
        <v>3.9841819999999997</v>
      </c>
      <c r="BW138" s="528">
        <f t="shared" si="65"/>
        <v>3.9841819999999997</v>
      </c>
      <c r="BX138" s="528">
        <f t="shared" si="65"/>
        <v>3.9841819999999997</v>
      </c>
      <c r="BY138" s="528">
        <f t="shared" si="65"/>
        <v>3.9841819999999997</v>
      </c>
      <c r="BZ138" s="528">
        <f t="shared" si="65"/>
        <v>3.9841819999999997</v>
      </c>
      <c r="CA138" s="528">
        <f t="shared" si="65"/>
        <v>3.9841819999999997</v>
      </c>
      <c r="CB138" s="528">
        <f t="shared" si="61"/>
        <v>3.9841819999999997</v>
      </c>
      <c r="CC138" s="528">
        <f t="shared" si="61"/>
        <v>3.9841819999999997</v>
      </c>
      <c r="CD138" s="528">
        <f t="shared" si="61"/>
        <v>3.9841819999999997</v>
      </c>
      <c r="CE138" s="528">
        <f t="shared" si="61"/>
        <v>3.9841819999999997</v>
      </c>
      <c r="CF138" s="528">
        <f t="shared" si="61"/>
        <v>3.9841819999999997</v>
      </c>
    </row>
    <row r="139" spans="2:86">
      <c r="B139" t="s">
        <v>180</v>
      </c>
      <c r="C139" t="s">
        <v>1352</v>
      </c>
      <c r="D139" t="s">
        <v>708</v>
      </c>
      <c r="E139" t="s">
        <v>1353</v>
      </c>
      <c r="F139" t="str">
        <f t="shared" si="63"/>
        <v>LSFOCapExGlobal</v>
      </c>
      <c r="G139" s="525">
        <v>0</v>
      </c>
      <c r="H139" s="525">
        <v>0</v>
      </c>
      <c r="I139" s="525">
        <v>0</v>
      </c>
      <c r="J139" s="525">
        <v>0</v>
      </c>
      <c r="K139" s="525">
        <v>0</v>
      </c>
      <c r="L139" s="525">
        <v>0</v>
      </c>
      <c r="M139" s="525">
        <v>0</v>
      </c>
      <c r="N139" s="525">
        <v>0</v>
      </c>
      <c r="O139" s="525">
        <v>0</v>
      </c>
      <c r="P139" s="525">
        <v>0</v>
      </c>
      <c r="Q139" s="525">
        <v>0</v>
      </c>
      <c r="R139" s="525">
        <v>0</v>
      </c>
      <c r="S139" s="525">
        <v>0</v>
      </c>
      <c r="T139" s="525">
        <v>0</v>
      </c>
      <c r="U139" s="525">
        <v>0</v>
      </c>
      <c r="V139" s="525">
        <v>0</v>
      </c>
      <c r="W139" s="525">
        <v>0</v>
      </c>
      <c r="X139" s="525">
        <v>0</v>
      </c>
      <c r="Y139" s="525">
        <v>0</v>
      </c>
      <c r="Z139" s="525">
        <v>0</v>
      </c>
      <c r="AA139" s="525">
        <v>0</v>
      </c>
      <c r="AB139" s="525">
        <v>0</v>
      </c>
      <c r="AC139" s="525">
        <v>0</v>
      </c>
      <c r="AD139" s="525">
        <v>0</v>
      </c>
      <c r="AE139" s="525">
        <v>0</v>
      </c>
      <c r="AF139" s="525">
        <v>0</v>
      </c>
      <c r="AG139" s="525">
        <v>0</v>
      </c>
      <c r="AH139" s="525">
        <v>0</v>
      </c>
      <c r="AI139" s="526">
        <f>AH139</f>
        <v>0</v>
      </c>
      <c r="AJ139" s="526">
        <f t="shared" ref="AJ139:CF147" si="66">AI139</f>
        <v>0</v>
      </c>
      <c r="AK139" s="526">
        <f t="shared" si="66"/>
        <v>0</v>
      </c>
      <c r="AL139" s="526">
        <f t="shared" si="66"/>
        <v>0</v>
      </c>
      <c r="AM139" s="526">
        <f t="shared" si="66"/>
        <v>0</v>
      </c>
      <c r="AN139" s="526">
        <f t="shared" si="66"/>
        <v>0</v>
      </c>
      <c r="AO139" s="526">
        <f t="shared" si="66"/>
        <v>0</v>
      </c>
      <c r="AP139" s="526">
        <f t="shared" si="66"/>
        <v>0</v>
      </c>
      <c r="AQ139" s="526">
        <f t="shared" si="66"/>
        <v>0</v>
      </c>
      <c r="AR139" s="526">
        <f t="shared" si="66"/>
        <v>0</v>
      </c>
      <c r="AS139" s="526">
        <f t="shared" si="66"/>
        <v>0</v>
      </c>
      <c r="AT139" s="526">
        <f t="shared" si="66"/>
        <v>0</v>
      </c>
      <c r="AU139" s="526">
        <f t="shared" si="66"/>
        <v>0</v>
      </c>
      <c r="AV139" s="526">
        <f t="shared" si="66"/>
        <v>0</v>
      </c>
      <c r="AW139" s="526">
        <f t="shared" si="66"/>
        <v>0</v>
      </c>
      <c r="AX139" s="526">
        <f t="shared" si="66"/>
        <v>0</v>
      </c>
      <c r="AY139" s="526">
        <f t="shared" si="66"/>
        <v>0</v>
      </c>
      <c r="AZ139" s="526">
        <f t="shared" si="66"/>
        <v>0</v>
      </c>
      <c r="BA139" s="526">
        <f t="shared" si="66"/>
        <v>0</v>
      </c>
      <c r="BB139" s="526">
        <f t="shared" si="66"/>
        <v>0</v>
      </c>
      <c r="BC139" s="526">
        <f t="shared" si="66"/>
        <v>0</v>
      </c>
      <c r="BD139" s="526">
        <f t="shared" si="66"/>
        <v>0</v>
      </c>
      <c r="BE139" s="526">
        <f t="shared" si="66"/>
        <v>0</v>
      </c>
      <c r="BF139" s="526">
        <f t="shared" si="66"/>
        <v>0</v>
      </c>
      <c r="BG139" s="526">
        <f t="shared" si="66"/>
        <v>0</v>
      </c>
      <c r="BH139" s="526">
        <f t="shared" si="66"/>
        <v>0</v>
      </c>
      <c r="BI139" s="526">
        <f t="shared" si="66"/>
        <v>0</v>
      </c>
      <c r="BJ139" s="526">
        <f t="shared" si="66"/>
        <v>0</v>
      </c>
      <c r="BK139" s="526">
        <f t="shared" si="66"/>
        <v>0</v>
      </c>
      <c r="BL139" s="526">
        <f t="shared" si="66"/>
        <v>0</v>
      </c>
      <c r="BM139" s="526">
        <f t="shared" si="66"/>
        <v>0</v>
      </c>
      <c r="BN139" s="526">
        <f t="shared" si="66"/>
        <v>0</v>
      </c>
      <c r="BO139" s="526">
        <f t="shared" si="66"/>
        <v>0</v>
      </c>
      <c r="BP139" s="526">
        <f t="shared" si="66"/>
        <v>0</v>
      </c>
      <c r="BQ139" s="526">
        <f t="shared" si="66"/>
        <v>0</v>
      </c>
      <c r="BR139" s="526">
        <f t="shared" si="66"/>
        <v>0</v>
      </c>
      <c r="BS139" s="526">
        <f t="shared" si="66"/>
        <v>0</v>
      </c>
      <c r="BT139" s="526">
        <f t="shared" si="66"/>
        <v>0</v>
      </c>
      <c r="BU139" s="526">
        <f t="shared" si="66"/>
        <v>0</v>
      </c>
      <c r="BV139" s="526">
        <f t="shared" si="66"/>
        <v>0</v>
      </c>
      <c r="BW139" s="526">
        <f t="shared" si="66"/>
        <v>0</v>
      </c>
      <c r="BX139" s="526">
        <f t="shared" si="66"/>
        <v>0</v>
      </c>
      <c r="BY139" s="526">
        <f t="shared" si="66"/>
        <v>0</v>
      </c>
      <c r="BZ139" s="526">
        <f t="shared" si="66"/>
        <v>0</v>
      </c>
      <c r="CA139" s="526">
        <f t="shared" si="66"/>
        <v>0</v>
      </c>
      <c r="CB139" s="526">
        <f t="shared" si="66"/>
        <v>0</v>
      </c>
      <c r="CC139" s="526">
        <f t="shared" si="66"/>
        <v>0</v>
      </c>
      <c r="CD139" s="526">
        <f t="shared" si="66"/>
        <v>0</v>
      </c>
      <c r="CE139" s="526">
        <f t="shared" si="66"/>
        <v>0</v>
      </c>
      <c r="CF139" s="526">
        <f t="shared" si="66"/>
        <v>0</v>
      </c>
      <c r="CG139" s="532"/>
      <c r="CH139" s="525">
        <v>0</v>
      </c>
    </row>
    <row r="140" spans="2:86">
      <c r="B140" t="s">
        <v>180</v>
      </c>
      <c r="C140" t="s">
        <v>1354</v>
      </c>
      <c r="D140" t="s">
        <v>838</v>
      </c>
      <c r="E140" t="s">
        <v>1353</v>
      </c>
      <c r="F140" t="str">
        <f t="shared" si="63"/>
        <v>LSFOOpExAfrica</v>
      </c>
      <c r="G140" s="525">
        <v>735.35</v>
      </c>
      <c r="H140" s="525">
        <v>685.30000000000007</v>
      </c>
      <c r="I140" s="525">
        <v>635.25</v>
      </c>
      <c r="J140" s="525">
        <v>619.0799999999972</v>
      </c>
      <c r="K140" s="525">
        <v>602.91000000000145</v>
      </c>
      <c r="L140" s="525">
        <v>586.73999999999864</v>
      </c>
      <c r="M140" s="525">
        <v>570.56999999999584</v>
      </c>
      <c r="N140" s="525">
        <v>554.4</v>
      </c>
      <c r="O140" s="525">
        <v>554.4</v>
      </c>
      <c r="P140" s="525">
        <v>554.4</v>
      </c>
      <c r="Q140" s="525">
        <v>554.4</v>
      </c>
      <c r="R140" s="525">
        <v>554.4</v>
      </c>
      <c r="S140" s="525">
        <v>554.4</v>
      </c>
      <c r="T140" s="525">
        <v>554.4</v>
      </c>
      <c r="U140" s="525">
        <v>554.4</v>
      </c>
      <c r="V140" s="525">
        <v>554.4</v>
      </c>
      <c r="W140" s="525">
        <v>554.4</v>
      </c>
      <c r="X140" s="525">
        <v>554.4</v>
      </c>
      <c r="Y140" s="525">
        <v>554.4</v>
      </c>
      <c r="Z140" s="525">
        <v>554.4</v>
      </c>
      <c r="AA140" s="525">
        <v>554.4</v>
      </c>
      <c r="AB140" s="525">
        <v>554.4</v>
      </c>
      <c r="AC140" s="525">
        <v>554.4</v>
      </c>
      <c r="AD140" s="525">
        <v>554.4</v>
      </c>
      <c r="AE140" s="525">
        <v>554.4</v>
      </c>
      <c r="AF140" s="525">
        <v>554.4</v>
      </c>
      <c r="AG140" s="525">
        <v>554.4</v>
      </c>
      <c r="AH140" s="525">
        <v>554.4</v>
      </c>
      <c r="AI140" s="526">
        <f t="shared" ref="AI140:CA145" si="67">AH140</f>
        <v>554.4</v>
      </c>
      <c r="AJ140" s="526">
        <f t="shared" si="67"/>
        <v>554.4</v>
      </c>
      <c r="AK140" s="526">
        <f t="shared" si="67"/>
        <v>554.4</v>
      </c>
      <c r="AL140" s="526">
        <f t="shared" si="67"/>
        <v>554.4</v>
      </c>
      <c r="AM140" s="526">
        <f t="shared" si="67"/>
        <v>554.4</v>
      </c>
      <c r="AN140" s="526">
        <f t="shared" si="67"/>
        <v>554.4</v>
      </c>
      <c r="AO140" s="526">
        <f t="shared" si="67"/>
        <v>554.4</v>
      </c>
      <c r="AP140" s="526">
        <f t="shared" si="67"/>
        <v>554.4</v>
      </c>
      <c r="AQ140" s="526">
        <f t="shared" si="67"/>
        <v>554.4</v>
      </c>
      <c r="AR140" s="526">
        <f t="shared" si="67"/>
        <v>554.4</v>
      </c>
      <c r="AS140" s="526">
        <f t="shared" si="67"/>
        <v>554.4</v>
      </c>
      <c r="AT140" s="526">
        <f t="shared" si="67"/>
        <v>554.4</v>
      </c>
      <c r="AU140" s="526">
        <f t="shared" si="67"/>
        <v>554.4</v>
      </c>
      <c r="AV140" s="526">
        <f t="shared" si="67"/>
        <v>554.4</v>
      </c>
      <c r="AW140" s="526">
        <f t="shared" si="67"/>
        <v>554.4</v>
      </c>
      <c r="AX140" s="526">
        <f t="shared" si="67"/>
        <v>554.4</v>
      </c>
      <c r="AY140" s="526">
        <f t="shared" si="67"/>
        <v>554.4</v>
      </c>
      <c r="AZ140" s="526">
        <f t="shared" si="67"/>
        <v>554.4</v>
      </c>
      <c r="BA140" s="526">
        <f t="shared" si="67"/>
        <v>554.4</v>
      </c>
      <c r="BB140" s="526">
        <f t="shared" si="67"/>
        <v>554.4</v>
      </c>
      <c r="BC140" s="526">
        <f t="shared" si="67"/>
        <v>554.4</v>
      </c>
      <c r="BD140" s="526">
        <f t="shared" si="67"/>
        <v>554.4</v>
      </c>
      <c r="BE140" s="526">
        <f t="shared" si="67"/>
        <v>554.4</v>
      </c>
      <c r="BF140" s="526">
        <f t="shared" si="67"/>
        <v>554.4</v>
      </c>
      <c r="BG140" s="526">
        <f t="shared" si="67"/>
        <v>554.4</v>
      </c>
      <c r="BH140" s="526">
        <f t="shared" si="67"/>
        <v>554.4</v>
      </c>
      <c r="BI140" s="526">
        <f t="shared" si="67"/>
        <v>554.4</v>
      </c>
      <c r="BJ140" s="526">
        <f t="shared" si="67"/>
        <v>554.4</v>
      </c>
      <c r="BK140" s="526">
        <f t="shared" si="67"/>
        <v>554.4</v>
      </c>
      <c r="BL140" s="526">
        <f t="shared" si="67"/>
        <v>554.4</v>
      </c>
      <c r="BM140" s="526">
        <f t="shared" si="67"/>
        <v>554.4</v>
      </c>
      <c r="BN140" s="526">
        <f t="shared" si="67"/>
        <v>554.4</v>
      </c>
      <c r="BO140" s="526">
        <f t="shared" si="67"/>
        <v>554.4</v>
      </c>
      <c r="BP140" s="526">
        <f t="shared" si="67"/>
        <v>554.4</v>
      </c>
      <c r="BQ140" s="526">
        <f t="shared" si="67"/>
        <v>554.4</v>
      </c>
      <c r="BR140" s="526">
        <f t="shared" si="67"/>
        <v>554.4</v>
      </c>
      <c r="BS140" s="526">
        <f t="shared" si="67"/>
        <v>554.4</v>
      </c>
      <c r="BT140" s="526">
        <f t="shared" si="67"/>
        <v>554.4</v>
      </c>
      <c r="BU140" s="526">
        <f t="shared" si="67"/>
        <v>554.4</v>
      </c>
      <c r="BV140" s="526">
        <f t="shared" si="67"/>
        <v>554.4</v>
      </c>
      <c r="BW140" s="526">
        <f t="shared" si="67"/>
        <v>554.4</v>
      </c>
      <c r="BX140" s="526">
        <f t="shared" si="67"/>
        <v>554.4</v>
      </c>
      <c r="BY140" s="526">
        <f t="shared" si="67"/>
        <v>554.4</v>
      </c>
      <c r="BZ140" s="526">
        <f t="shared" si="67"/>
        <v>554.4</v>
      </c>
      <c r="CA140" s="526">
        <f t="shared" si="67"/>
        <v>554.4</v>
      </c>
      <c r="CB140" s="526">
        <f t="shared" si="66"/>
        <v>554.4</v>
      </c>
      <c r="CC140" s="526">
        <f t="shared" si="66"/>
        <v>554.4</v>
      </c>
      <c r="CD140" s="526">
        <f t="shared" si="66"/>
        <v>554.4</v>
      </c>
      <c r="CE140" s="526">
        <f t="shared" si="66"/>
        <v>554.4</v>
      </c>
      <c r="CF140" s="526">
        <f t="shared" si="66"/>
        <v>554.4</v>
      </c>
      <c r="CG140" s="532"/>
      <c r="CH140" s="525">
        <v>554.4</v>
      </c>
    </row>
    <row r="141" spans="2:86">
      <c r="B141" t="s">
        <v>180</v>
      </c>
      <c r="C141" t="s">
        <v>1354</v>
      </c>
      <c r="D141" t="s">
        <v>731</v>
      </c>
      <c r="E141" t="s">
        <v>1353</v>
      </c>
      <c r="F141" t="str">
        <f t="shared" si="63"/>
        <v>LSFOOpExAmericas</v>
      </c>
      <c r="G141" s="525">
        <v>735.35</v>
      </c>
      <c r="H141" s="525">
        <v>685.30000000000007</v>
      </c>
      <c r="I141" s="525">
        <v>635.25</v>
      </c>
      <c r="J141" s="525">
        <v>619.0799999999972</v>
      </c>
      <c r="K141" s="525">
        <v>602.91000000000145</v>
      </c>
      <c r="L141" s="525">
        <v>586.73999999999864</v>
      </c>
      <c r="M141" s="525">
        <v>570.56999999999584</v>
      </c>
      <c r="N141" s="525">
        <v>554.4</v>
      </c>
      <c r="O141" s="525">
        <v>554.4</v>
      </c>
      <c r="P141" s="525">
        <v>554.4</v>
      </c>
      <c r="Q141" s="525">
        <v>554.4</v>
      </c>
      <c r="R141" s="525">
        <v>554.4</v>
      </c>
      <c r="S141" s="525">
        <v>554.4</v>
      </c>
      <c r="T141" s="525">
        <v>554.4</v>
      </c>
      <c r="U141" s="525">
        <v>554.4</v>
      </c>
      <c r="V141" s="525">
        <v>554.4</v>
      </c>
      <c r="W141" s="525">
        <v>554.4</v>
      </c>
      <c r="X141" s="525">
        <v>554.4</v>
      </c>
      <c r="Y141" s="525">
        <v>554.4</v>
      </c>
      <c r="Z141" s="525">
        <v>554.4</v>
      </c>
      <c r="AA141" s="525">
        <v>554.4</v>
      </c>
      <c r="AB141" s="525">
        <v>554.4</v>
      </c>
      <c r="AC141" s="525">
        <v>554.4</v>
      </c>
      <c r="AD141" s="525">
        <v>554.4</v>
      </c>
      <c r="AE141" s="525">
        <v>554.4</v>
      </c>
      <c r="AF141" s="525">
        <v>554.4</v>
      </c>
      <c r="AG141" s="525">
        <v>554.4</v>
      </c>
      <c r="AH141" s="525">
        <v>554.4</v>
      </c>
      <c r="AI141" s="526">
        <f t="shared" si="67"/>
        <v>554.4</v>
      </c>
      <c r="AJ141" s="526">
        <f t="shared" si="67"/>
        <v>554.4</v>
      </c>
      <c r="AK141" s="526">
        <f t="shared" si="67"/>
        <v>554.4</v>
      </c>
      <c r="AL141" s="526">
        <f t="shared" si="67"/>
        <v>554.4</v>
      </c>
      <c r="AM141" s="526">
        <f t="shared" si="67"/>
        <v>554.4</v>
      </c>
      <c r="AN141" s="526">
        <f t="shared" si="67"/>
        <v>554.4</v>
      </c>
      <c r="AO141" s="526">
        <f t="shared" si="67"/>
        <v>554.4</v>
      </c>
      <c r="AP141" s="526">
        <f t="shared" si="67"/>
        <v>554.4</v>
      </c>
      <c r="AQ141" s="526">
        <f t="shared" si="67"/>
        <v>554.4</v>
      </c>
      <c r="AR141" s="526">
        <f t="shared" si="67"/>
        <v>554.4</v>
      </c>
      <c r="AS141" s="526">
        <f t="shared" si="67"/>
        <v>554.4</v>
      </c>
      <c r="AT141" s="526">
        <f t="shared" si="67"/>
        <v>554.4</v>
      </c>
      <c r="AU141" s="526">
        <f t="shared" si="67"/>
        <v>554.4</v>
      </c>
      <c r="AV141" s="526">
        <f t="shared" si="67"/>
        <v>554.4</v>
      </c>
      <c r="AW141" s="526">
        <f t="shared" si="67"/>
        <v>554.4</v>
      </c>
      <c r="AX141" s="526">
        <f t="shared" si="67"/>
        <v>554.4</v>
      </c>
      <c r="AY141" s="526">
        <f t="shared" si="67"/>
        <v>554.4</v>
      </c>
      <c r="AZ141" s="526">
        <f t="shared" si="67"/>
        <v>554.4</v>
      </c>
      <c r="BA141" s="526">
        <f t="shared" si="67"/>
        <v>554.4</v>
      </c>
      <c r="BB141" s="526">
        <f t="shared" si="67"/>
        <v>554.4</v>
      </c>
      <c r="BC141" s="526">
        <f t="shared" si="67"/>
        <v>554.4</v>
      </c>
      <c r="BD141" s="526">
        <f t="shared" si="67"/>
        <v>554.4</v>
      </c>
      <c r="BE141" s="526">
        <f t="shared" si="67"/>
        <v>554.4</v>
      </c>
      <c r="BF141" s="526">
        <f t="shared" si="67"/>
        <v>554.4</v>
      </c>
      <c r="BG141" s="526">
        <f t="shared" si="67"/>
        <v>554.4</v>
      </c>
      <c r="BH141" s="526">
        <f t="shared" si="67"/>
        <v>554.4</v>
      </c>
      <c r="BI141" s="526">
        <f t="shared" si="67"/>
        <v>554.4</v>
      </c>
      <c r="BJ141" s="526">
        <f t="shared" si="67"/>
        <v>554.4</v>
      </c>
      <c r="BK141" s="526">
        <f t="shared" si="67"/>
        <v>554.4</v>
      </c>
      <c r="BL141" s="526">
        <f t="shared" si="67"/>
        <v>554.4</v>
      </c>
      <c r="BM141" s="526">
        <f t="shared" si="67"/>
        <v>554.4</v>
      </c>
      <c r="BN141" s="526">
        <f t="shared" si="67"/>
        <v>554.4</v>
      </c>
      <c r="BO141" s="526">
        <f t="shared" si="67"/>
        <v>554.4</v>
      </c>
      <c r="BP141" s="526">
        <f t="shared" si="67"/>
        <v>554.4</v>
      </c>
      <c r="BQ141" s="526">
        <f t="shared" si="67"/>
        <v>554.4</v>
      </c>
      <c r="BR141" s="526">
        <f t="shared" si="67"/>
        <v>554.4</v>
      </c>
      <c r="BS141" s="526">
        <f t="shared" si="67"/>
        <v>554.4</v>
      </c>
      <c r="BT141" s="526">
        <f t="shared" si="67"/>
        <v>554.4</v>
      </c>
      <c r="BU141" s="526">
        <f t="shared" si="67"/>
        <v>554.4</v>
      </c>
      <c r="BV141" s="526">
        <f t="shared" si="67"/>
        <v>554.4</v>
      </c>
      <c r="BW141" s="526">
        <f t="shared" si="67"/>
        <v>554.4</v>
      </c>
      <c r="BX141" s="526">
        <f t="shared" si="67"/>
        <v>554.4</v>
      </c>
      <c r="BY141" s="526">
        <f t="shared" si="67"/>
        <v>554.4</v>
      </c>
      <c r="BZ141" s="526">
        <f t="shared" si="67"/>
        <v>554.4</v>
      </c>
      <c r="CA141" s="526">
        <f t="shared" si="67"/>
        <v>554.4</v>
      </c>
      <c r="CB141" s="526">
        <f t="shared" si="66"/>
        <v>554.4</v>
      </c>
      <c r="CC141" s="526">
        <f t="shared" si="66"/>
        <v>554.4</v>
      </c>
      <c r="CD141" s="526">
        <f t="shared" si="66"/>
        <v>554.4</v>
      </c>
      <c r="CE141" s="526">
        <f t="shared" si="66"/>
        <v>554.4</v>
      </c>
      <c r="CF141" s="526">
        <f t="shared" si="66"/>
        <v>554.4</v>
      </c>
      <c r="CG141" s="532"/>
      <c r="CH141" s="525">
        <v>554.4</v>
      </c>
    </row>
    <row r="142" spans="2:86">
      <c r="B142" t="s">
        <v>180</v>
      </c>
      <c r="C142" t="s">
        <v>1354</v>
      </c>
      <c r="D142" t="s">
        <v>750</v>
      </c>
      <c r="E142" t="s">
        <v>1353</v>
      </c>
      <c r="F142" t="str">
        <f t="shared" si="63"/>
        <v>LSFOOpExAsia</v>
      </c>
      <c r="G142" s="525">
        <v>735.35</v>
      </c>
      <c r="H142" s="525">
        <v>685.30000000000007</v>
      </c>
      <c r="I142" s="525">
        <v>635.25</v>
      </c>
      <c r="J142" s="525">
        <v>619.0799999999972</v>
      </c>
      <c r="K142" s="525">
        <v>602.91000000000145</v>
      </c>
      <c r="L142" s="525">
        <v>586.73999999999864</v>
      </c>
      <c r="M142" s="525">
        <v>570.56999999999584</v>
      </c>
      <c r="N142" s="525">
        <v>554.4</v>
      </c>
      <c r="O142" s="525">
        <v>554.4</v>
      </c>
      <c r="P142" s="525">
        <v>554.4</v>
      </c>
      <c r="Q142" s="525">
        <v>554.4</v>
      </c>
      <c r="R142" s="525">
        <v>554.4</v>
      </c>
      <c r="S142" s="525">
        <v>554.4</v>
      </c>
      <c r="T142" s="525">
        <v>554.4</v>
      </c>
      <c r="U142" s="525">
        <v>554.4</v>
      </c>
      <c r="V142" s="525">
        <v>554.4</v>
      </c>
      <c r="W142" s="525">
        <v>554.4</v>
      </c>
      <c r="X142" s="525">
        <v>554.4</v>
      </c>
      <c r="Y142" s="525">
        <v>554.4</v>
      </c>
      <c r="Z142" s="525">
        <v>554.4</v>
      </c>
      <c r="AA142" s="525">
        <v>554.4</v>
      </c>
      <c r="AB142" s="525">
        <v>554.4</v>
      </c>
      <c r="AC142" s="525">
        <v>554.4</v>
      </c>
      <c r="AD142" s="525">
        <v>554.4</v>
      </c>
      <c r="AE142" s="525">
        <v>554.4</v>
      </c>
      <c r="AF142" s="525">
        <v>554.4</v>
      </c>
      <c r="AG142" s="525">
        <v>554.4</v>
      </c>
      <c r="AH142" s="525">
        <v>554.4</v>
      </c>
      <c r="AI142" s="526">
        <f t="shared" si="67"/>
        <v>554.4</v>
      </c>
      <c r="AJ142" s="526">
        <f t="shared" si="67"/>
        <v>554.4</v>
      </c>
      <c r="AK142" s="526">
        <f t="shared" si="67"/>
        <v>554.4</v>
      </c>
      <c r="AL142" s="526">
        <f t="shared" si="67"/>
        <v>554.4</v>
      </c>
      <c r="AM142" s="526">
        <f t="shared" si="67"/>
        <v>554.4</v>
      </c>
      <c r="AN142" s="526">
        <f t="shared" si="67"/>
        <v>554.4</v>
      </c>
      <c r="AO142" s="526">
        <f t="shared" si="67"/>
        <v>554.4</v>
      </c>
      <c r="AP142" s="526">
        <f t="shared" si="67"/>
        <v>554.4</v>
      </c>
      <c r="AQ142" s="526">
        <f t="shared" si="67"/>
        <v>554.4</v>
      </c>
      <c r="AR142" s="526">
        <f t="shared" si="67"/>
        <v>554.4</v>
      </c>
      <c r="AS142" s="526">
        <f t="shared" si="67"/>
        <v>554.4</v>
      </c>
      <c r="AT142" s="526">
        <f t="shared" si="67"/>
        <v>554.4</v>
      </c>
      <c r="AU142" s="526">
        <f t="shared" si="67"/>
        <v>554.4</v>
      </c>
      <c r="AV142" s="526">
        <f t="shared" si="67"/>
        <v>554.4</v>
      </c>
      <c r="AW142" s="526">
        <f t="shared" si="67"/>
        <v>554.4</v>
      </c>
      <c r="AX142" s="526">
        <f t="shared" si="67"/>
        <v>554.4</v>
      </c>
      <c r="AY142" s="526">
        <f t="shared" si="67"/>
        <v>554.4</v>
      </c>
      <c r="AZ142" s="526">
        <f t="shared" si="67"/>
        <v>554.4</v>
      </c>
      <c r="BA142" s="526">
        <f t="shared" si="67"/>
        <v>554.4</v>
      </c>
      <c r="BB142" s="526">
        <f t="shared" si="67"/>
        <v>554.4</v>
      </c>
      <c r="BC142" s="526">
        <f t="shared" si="67"/>
        <v>554.4</v>
      </c>
      <c r="BD142" s="526">
        <f t="shared" si="67"/>
        <v>554.4</v>
      </c>
      <c r="BE142" s="526">
        <f t="shared" si="67"/>
        <v>554.4</v>
      </c>
      <c r="BF142" s="526">
        <f t="shared" si="67"/>
        <v>554.4</v>
      </c>
      <c r="BG142" s="526">
        <f t="shared" si="67"/>
        <v>554.4</v>
      </c>
      <c r="BH142" s="526">
        <f t="shared" si="67"/>
        <v>554.4</v>
      </c>
      <c r="BI142" s="526">
        <f t="shared" si="67"/>
        <v>554.4</v>
      </c>
      <c r="BJ142" s="526">
        <f t="shared" si="67"/>
        <v>554.4</v>
      </c>
      <c r="BK142" s="526">
        <f t="shared" si="67"/>
        <v>554.4</v>
      </c>
      <c r="BL142" s="526">
        <f t="shared" si="67"/>
        <v>554.4</v>
      </c>
      <c r="BM142" s="526">
        <f t="shared" si="67"/>
        <v>554.4</v>
      </c>
      <c r="BN142" s="526">
        <f t="shared" si="67"/>
        <v>554.4</v>
      </c>
      <c r="BO142" s="526">
        <f t="shared" si="67"/>
        <v>554.4</v>
      </c>
      <c r="BP142" s="526">
        <f t="shared" si="67"/>
        <v>554.4</v>
      </c>
      <c r="BQ142" s="526">
        <f t="shared" si="67"/>
        <v>554.4</v>
      </c>
      <c r="BR142" s="526">
        <f t="shared" si="67"/>
        <v>554.4</v>
      </c>
      <c r="BS142" s="526">
        <f t="shared" si="67"/>
        <v>554.4</v>
      </c>
      <c r="BT142" s="526">
        <f t="shared" si="67"/>
        <v>554.4</v>
      </c>
      <c r="BU142" s="526">
        <f t="shared" si="67"/>
        <v>554.4</v>
      </c>
      <c r="BV142" s="526">
        <f t="shared" si="67"/>
        <v>554.4</v>
      </c>
      <c r="BW142" s="526">
        <f t="shared" si="67"/>
        <v>554.4</v>
      </c>
      <c r="BX142" s="526">
        <f t="shared" si="67"/>
        <v>554.4</v>
      </c>
      <c r="BY142" s="526">
        <f t="shared" si="67"/>
        <v>554.4</v>
      </c>
      <c r="BZ142" s="526">
        <f t="shared" si="67"/>
        <v>554.4</v>
      </c>
      <c r="CA142" s="526">
        <f t="shared" si="67"/>
        <v>554.4</v>
      </c>
      <c r="CB142" s="526">
        <f t="shared" si="66"/>
        <v>554.4</v>
      </c>
      <c r="CC142" s="526">
        <f t="shared" si="66"/>
        <v>554.4</v>
      </c>
      <c r="CD142" s="526">
        <f t="shared" si="66"/>
        <v>554.4</v>
      </c>
      <c r="CE142" s="526">
        <f t="shared" si="66"/>
        <v>554.4</v>
      </c>
      <c r="CF142" s="526">
        <f t="shared" si="66"/>
        <v>554.4</v>
      </c>
      <c r="CG142" s="532"/>
      <c r="CH142" s="525">
        <v>554.4</v>
      </c>
    </row>
    <row r="143" spans="2:86">
      <c r="B143" t="s">
        <v>180</v>
      </c>
      <c r="C143" t="s">
        <v>1354</v>
      </c>
      <c r="D143" t="s">
        <v>720</v>
      </c>
      <c r="E143" t="s">
        <v>1353</v>
      </c>
      <c r="F143" t="str">
        <f t="shared" si="63"/>
        <v>LSFOOpExEurope</v>
      </c>
      <c r="G143" s="525">
        <v>735.35</v>
      </c>
      <c r="H143" s="525">
        <v>685.30000000000007</v>
      </c>
      <c r="I143" s="525">
        <v>635.25</v>
      </c>
      <c r="J143" s="525">
        <v>619.0799999999972</v>
      </c>
      <c r="K143" s="525">
        <v>602.91000000000145</v>
      </c>
      <c r="L143" s="525">
        <v>586.73999999999864</v>
      </c>
      <c r="M143" s="525">
        <v>570.56999999999584</v>
      </c>
      <c r="N143" s="525">
        <v>554.4</v>
      </c>
      <c r="O143" s="525">
        <v>554.4</v>
      </c>
      <c r="P143" s="525">
        <v>554.4</v>
      </c>
      <c r="Q143" s="525">
        <v>554.4</v>
      </c>
      <c r="R143" s="525">
        <v>554.4</v>
      </c>
      <c r="S143" s="525">
        <v>554.4</v>
      </c>
      <c r="T143" s="525">
        <v>554.4</v>
      </c>
      <c r="U143" s="525">
        <v>554.4</v>
      </c>
      <c r="V143" s="525">
        <v>554.4</v>
      </c>
      <c r="W143" s="525">
        <v>554.4</v>
      </c>
      <c r="X143" s="525">
        <v>554.4</v>
      </c>
      <c r="Y143" s="525">
        <v>554.4</v>
      </c>
      <c r="Z143" s="525">
        <v>554.4</v>
      </c>
      <c r="AA143" s="525">
        <v>554.4</v>
      </c>
      <c r="AB143" s="525">
        <v>554.4</v>
      </c>
      <c r="AC143" s="525">
        <v>554.4</v>
      </c>
      <c r="AD143" s="525">
        <v>554.4</v>
      </c>
      <c r="AE143" s="525">
        <v>554.4</v>
      </c>
      <c r="AF143" s="525">
        <v>554.4</v>
      </c>
      <c r="AG143" s="525">
        <v>554.4</v>
      </c>
      <c r="AH143" s="525">
        <v>554.4</v>
      </c>
      <c r="AI143" s="526">
        <f t="shared" si="67"/>
        <v>554.4</v>
      </c>
      <c r="AJ143" s="526">
        <f t="shared" si="67"/>
        <v>554.4</v>
      </c>
      <c r="AK143" s="526">
        <f t="shared" si="67"/>
        <v>554.4</v>
      </c>
      <c r="AL143" s="526">
        <f t="shared" si="67"/>
        <v>554.4</v>
      </c>
      <c r="AM143" s="526">
        <f t="shared" si="67"/>
        <v>554.4</v>
      </c>
      <c r="AN143" s="526">
        <f t="shared" si="67"/>
        <v>554.4</v>
      </c>
      <c r="AO143" s="526">
        <f t="shared" si="67"/>
        <v>554.4</v>
      </c>
      <c r="AP143" s="526">
        <f t="shared" si="67"/>
        <v>554.4</v>
      </c>
      <c r="AQ143" s="526">
        <f t="shared" si="67"/>
        <v>554.4</v>
      </c>
      <c r="AR143" s="526">
        <f t="shared" si="67"/>
        <v>554.4</v>
      </c>
      <c r="AS143" s="526">
        <f t="shared" si="67"/>
        <v>554.4</v>
      </c>
      <c r="AT143" s="526">
        <f t="shared" si="67"/>
        <v>554.4</v>
      </c>
      <c r="AU143" s="526">
        <f t="shared" si="67"/>
        <v>554.4</v>
      </c>
      <c r="AV143" s="526">
        <f t="shared" si="67"/>
        <v>554.4</v>
      </c>
      <c r="AW143" s="526">
        <f t="shared" si="67"/>
        <v>554.4</v>
      </c>
      <c r="AX143" s="526">
        <f t="shared" si="67"/>
        <v>554.4</v>
      </c>
      <c r="AY143" s="526">
        <f t="shared" si="67"/>
        <v>554.4</v>
      </c>
      <c r="AZ143" s="526">
        <f t="shared" si="67"/>
        <v>554.4</v>
      </c>
      <c r="BA143" s="526">
        <f t="shared" si="67"/>
        <v>554.4</v>
      </c>
      <c r="BB143" s="526">
        <f t="shared" si="67"/>
        <v>554.4</v>
      </c>
      <c r="BC143" s="526">
        <f t="shared" si="67"/>
        <v>554.4</v>
      </c>
      <c r="BD143" s="526">
        <f t="shared" si="67"/>
        <v>554.4</v>
      </c>
      <c r="BE143" s="526">
        <f t="shared" si="67"/>
        <v>554.4</v>
      </c>
      <c r="BF143" s="526">
        <f t="shared" si="67"/>
        <v>554.4</v>
      </c>
      <c r="BG143" s="526">
        <f t="shared" si="67"/>
        <v>554.4</v>
      </c>
      <c r="BH143" s="526">
        <f t="shared" si="67"/>
        <v>554.4</v>
      </c>
      <c r="BI143" s="526">
        <f t="shared" si="67"/>
        <v>554.4</v>
      </c>
      <c r="BJ143" s="526">
        <f t="shared" si="67"/>
        <v>554.4</v>
      </c>
      <c r="BK143" s="526">
        <f t="shared" si="67"/>
        <v>554.4</v>
      </c>
      <c r="BL143" s="526">
        <f t="shared" si="67"/>
        <v>554.4</v>
      </c>
      <c r="BM143" s="526">
        <f t="shared" si="67"/>
        <v>554.4</v>
      </c>
      <c r="BN143" s="526">
        <f t="shared" si="67"/>
        <v>554.4</v>
      </c>
      <c r="BO143" s="526">
        <f t="shared" si="67"/>
        <v>554.4</v>
      </c>
      <c r="BP143" s="526">
        <f t="shared" si="67"/>
        <v>554.4</v>
      </c>
      <c r="BQ143" s="526">
        <f t="shared" si="67"/>
        <v>554.4</v>
      </c>
      <c r="BR143" s="526">
        <f t="shared" si="67"/>
        <v>554.4</v>
      </c>
      <c r="BS143" s="526">
        <f t="shared" si="67"/>
        <v>554.4</v>
      </c>
      <c r="BT143" s="526">
        <f t="shared" si="67"/>
        <v>554.4</v>
      </c>
      <c r="BU143" s="526">
        <f t="shared" si="67"/>
        <v>554.4</v>
      </c>
      <c r="BV143" s="526">
        <f t="shared" si="67"/>
        <v>554.4</v>
      </c>
      <c r="BW143" s="526">
        <f t="shared" si="67"/>
        <v>554.4</v>
      </c>
      <c r="BX143" s="526">
        <f t="shared" si="67"/>
        <v>554.4</v>
      </c>
      <c r="BY143" s="526">
        <f t="shared" si="67"/>
        <v>554.4</v>
      </c>
      <c r="BZ143" s="526">
        <f t="shared" si="67"/>
        <v>554.4</v>
      </c>
      <c r="CA143" s="526">
        <f t="shared" si="67"/>
        <v>554.4</v>
      </c>
      <c r="CB143" s="526">
        <f t="shared" si="66"/>
        <v>554.4</v>
      </c>
      <c r="CC143" s="526">
        <f t="shared" si="66"/>
        <v>554.4</v>
      </c>
      <c r="CD143" s="526">
        <f t="shared" si="66"/>
        <v>554.4</v>
      </c>
      <c r="CE143" s="526">
        <f t="shared" si="66"/>
        <v>554.4</v>
      </c>
      <c r="CF143" s="526">
        <f t="shared" si="66"/>
        <v>554.4</v>
      </c>
      <c r="CG143" s="532"/>
      <c r="CH143" s="525">
        <v>554.4</v>
      </c>
    </row>
    <row r="144" spans="2:86">
      <c r="B144" t="s">
        <v>180</v>
      </c>
      <c r="C144" t="s">
        <v>1354</v>
      </c>
      <c r="D144" t="s">
        <v>826</v>
      </c>
      <c r="E144" t="s">
        <v>1353</v>
      </c>
      <c r="F144" t="str">
        <f t="shared" si="63"/>
        <v>LSFOOpExMiddle East</v>
      </c>
      <c r="G144" s="525">
        <v>735.35</v>
      </c>
      <c r="H144" s="525">
        <v>685.30000000000007</v>
      </c>
      <c r="I144" s="525">
        <v>635.25</v>
      </c>
      <c r="J144" s="525">
        <v>619.0799999999972</v>
      </c>
      <c r="K144" s="525">
        <v>602.91000000000145</v>
      </c>
      <c r="L144" s="525">
        <v>586.73999999999864</v>
      </c>
      <c r="M144" s="525">
        <v>570.56999999999584</v>
      </c>
      <c r="N144" s="525">
        <v>554.4</v>
      </c>
      <c r="O144" s="525">
        <v>554.4</v>
      </c>
      <c r="P144" s="525">
        <v>554.4</v>
      </c>
      <c r="Q144" s="525">
        <v>554.4</v>
      </c>
      <c r="R144" s="525">
        <v>554.4</v>
      </c>
      <c r="S144" s="525">
        <v>554.4</v>
      </c>
      <c r="T144" s="525">
        <v>554.4</v>
      </c>
      <c r="U144" s="525">
        <v>554.4</v>
      </c>
      <c r="V144" s="525">
        <v>554.4</v>
      </c>
      <c r="W144" s="525">
        <v>554.4</v>
      </c>
      <c r="X144" s="525">
        <v>554.4</v>
      </c>
      <c r="Y144" s="525">
        <v>554.4</v>
      </c>
      <c r="Z144" s="525">
        <v>554.4</v>
      </c>
      <c r="AA144" s="525">
        <v>554.4</v>
      </c>
      <c r="AB144" s="525">
        <v>554.4</v>
      </c>
      <c r="AC144" s="525">
        <v>554.4</v>
      </c>
      <c r="AD144" s="525">
        <v>554.4</v>
      </c>
      <c r="AE144" s="525">
        <v>554.4</v>
      </c>
      <c r="AF144" s="525">
        <v>554.4</v>
      </c>
      <c r="AG144" s="525">
        <v>554.4</v>
      </c>
      <c r="AH144" s="525">
        <v>554.4</v>
      </c>
      <c r="AI144" s="526">
        <f t="shared" si="67"/>
        <v>554.4</v>
      </c>
      <c r="AJ144" s="526">
        <f t="shared" si="67"/>
        <v>554.4</v>
      </c>
      <c r="AK144" s="526">
        <f t="shared" si="67"/>
        <v>554.4</v>
      </c>
      <c r="AL144" s="526">
        <f t="shared" si="67"/>
        <v>554.4</v>
      </c>
      <c r="AM144" s="526">
        <f t="shared" si="67"/>
        <v>554.4</v>
      </c>
      <c r="AN144" s="526">
        <f t="shared" si="67"/>
        <v>554.4</v>
      </c>
      <c r="AO144" s="526">
        <f t="shared" si="67"/>
        <v>554.4</v>
      </c>
      <c r="AP144" s="526">
        <f t="shared" si="67"/>
        <v>554.4</v>
      </c>
      <c r="AQ144" s="526">
        <f t="shared" si="67"/>
        <v>554.4</v>
      </c>
      <c r="AR144" s="526">
        <f t="shared" si="67"/>
        <v>554.4</v>
      </c>
      <c r="AS144" s="526">
        <f t="shared" si="67"/>
        <v>554.4</v>
      </c>
      <c r="AT144" s="526">
        <f t="shared" si="67"/>
        <v>554.4</v>
      </c>
      <c r="AU144" s="526">
        <f t="shared" si="67"/>
        <v>554.4</v>
      </c>
      <c r="AV144" s="526">
        <f t="shared" si="67"/>
        <v>554.4</v>
      </c>
      <c r="AW144" s="526">
        <f t="shared" si="67"/>
        <v>554.4</v>
      </c>
      <c r="AX144" s="526">
        <f t="shared" si="67"/>
        <v>554.4</v>
      </c>
      <c r="AY144" s="526">
        <f t="shared" si="67"/>
        <v>554.4</v>
      </c>
      <c r="AZ144" s="526">
        <f t="shared" si="67"/>
        <v>554.4</v>
      </c>
      <c r="BA144" s="526">
        <f t="shared" si="67"/>
        <v>554.4</v>
      </c>
      <c r="BB144" s="526">
        <f t="shared" si="67"/>
        <v>554.4</v>
      </c>
      <c r="BC144" s="526">
        <f t="shared" si="67"/>
        <v>554.4</v>
      </c>
      <c r="BD144" s="526">
        <f t="shared" si="67"/>
        <v>554.4</v>
      </c>
      <c r="BE144" s="526">
        <f t="shared" si="67"/>
        <v>554.4</v>
      </c>
      <c r="BF144" s="526">
        <f t="shared" si="67"/>
        <v>554.4</v>
      </c>
      <c r="BG144" s="526">
        <f t="shared" si="67"/>
        <v>554.4</v>
      </c>
      <c r="BH144" s="526">
        <f t="shared" si="67"/>
        <v>554.4</v>
      </c>
      <c r="BI144" s="526">
        <f t="shared" si="67"/>
        <v>554.4</v>
      </c>
      <c r="BJ144" s="526">
        <f t="shared" si="67"/>
        <v>554.4</v>
      </c>
      <c r="BK144" s="526">
        <f t="shared" si="67"/>
        <v>554.4</v>
      </c>
      <c r="BL144" s="526">
        <f t="shared" si="67"/>
        <v>554.4</v>
      </c>
      <c r="BM144" s="526">
        <f t="shared" si="67"/>
        <v>554.4</v>
      </c>
      <c r="BN144" s="526">
        <f t="shared" si="67"/>
        <v>554.4</v>
      </c>
      <c r="BO144" s="526">
        <f t="shared" si="67"/>
        <v>554.4</v>
      </c>
      <c r="BP144" s="526">
        <f t="shared" si="67"/>
        <v>554.4</v>
      </c>
      <c r="BQ144" s="526">
        <f t="shared" si="67"/>
        <v>554.4</v>
      </c>
      <c r="BR144" s="526">
        <f t="shared" si="67"/>
        <v>554.4</v>
      </c>
      <c r="BS144" s="526">
        <f t="shared" si="67"/>
        <v>554.4</v>
      </c>
      <c r="BT144" s="526">
        <f t="shared" si="67"/>
        <v>554.4</v>
      </c>
      <c r="BU144" s="526">
        <f t="shared" si="67"/>
        <v>554.4</v>
      </c>
      <c r="BV144" s="526">
        <f t="shared" si="67"/>
        <v>554.4</v>
      </c>
      <c r="BW144" s="526">
        <f t="shared" si="67"/>
        <v>554.4</v>
      </c>
      <c r="BX144" s="526">
        <f t="shared" si="67"/>
        <v>554.4</v>
      </c>
      <c r="BY144" s="526">
        <f t="shared" si="67"/>
        <v>554.4</v>
      </c>
      <c r="BZ144" s="526">
        <f t="shared" si="67"/>
        <v>554.4</v>
      </c>
      <c r="CA144" s="526">
        <f t="shared" si="67"/>
        <v>554.4</v>
      </c>
      <c r="CB144" s="526">
        <f t="shared" si="66"/>
        <v>554.4</v>
      </c>
      <c r="CC144" s="526">
        <f t="shared" si="66"/>
        <v>554.4</v>
      </c>
      <c r="CD144" s="526">
        <f t="shared" si="66"/>
        <v>554.4</v>
      </c>
      <c r="CE144" s="526">
        <f t="shared" si="66"/>
        <v>554.4</v>
      </c>
      <c r="CF144" s="526">
        <f t="shared" si="66"/>
        <v>554.4</v>
      </c>
      <c r="CG144" s="532"/>
      <c r="CH144" s="525">
        <v>554.4</v>
      </c>
    </row>
    <row r="145" spans="2:86">
      <c r="B145" t="s">
        <v>180</v>
      </c>
      <c r="C145" t="s">
        <v>1355</v>
      </c>
      <c r="D145" t="s">
        <v>708</v>
      </c>
      <c r="E145" t="s">
        <v>1356</v>
      </c>
      <c r="F145" t="str">
        <f t="shared" si="63"/>
        <v>LSFOTotal emissions - WTT - GWP100Global</v>
      </c>
      <c r="G145" s="527">
        <v>0.68</v>
      </c>
      <c r="H145" s="527">
        <v>0.68</v>
      </c>
      <c r="I145" s="527">
        <v>0.68</v>
      </c>
      <c r="J145" s="527">
        <v>0.68</v>
      </c>
      <c r="K145" s="527">
        <v>0.68</v>
      </c>
      <c r="L145" s="527">
        <v>0.68</v>
      </c>
      <c r="M145" s="527">
        <v>0.68</v>
      </c>
      <c r="N145" s="527">
        <v>0.68</v>
      </c>
      <c r="O145" s="527">
        <v>0.68</v>
      </c>
      <c r="P145" s="527">
        <v>0.68</v>
      </c>
      <c r="Q145" s="527">
        <v>0.68</v>
      </c>
      <c r="R145" s="527">
        <v>0.68</v>
      </c>
      <c r="S145" s="527">
        <v>0.68</v>
      </c>
      <c r="T145" s="527">
        <v>0.68</v>
      </c>
      <c r="U145" s="527">
        <v>0.68</v>
      </c>
      <c r="V145" s="527">
        <v>0.68</v>
      </c>
      <c r="W145" s="527">
        <v>0.68</v>
      </c>
      <c r="X145" s="527">
        <v>0.68</v>
      </c>
      <c r="Y145" s="527">
        <v>0.68</v>
      </c>
      <c r="Z145" s="527">
        <v>0.68</v>
      </c>
      <c r="AA145" s="527">
        <v>0.68</v>
      </c>
      <c r="AB145" s="527">
        <v>0.68</v>
      </c>
      <c r="AC145" s="527">
        <v>0.68</v>
      </c>
      <c r="AD145" s="527">
        <v>0.68</v>
      </c>
      <c r="AE145" s="527">
        <v>0.68</v>
      </c>
      <c r="AF145" s="527">
        <v>0.68</v>
      </c>
      <c r="AG145" s="527">
        <v>0.68</v>
      </c>
      <c r="AH145" s="527">
        <v>0.68</v>
      </c>
      <c r="AI145" s="528">
        <f t="shared" si="67"/>
        <v>0.68</v>
      </c>
      <c r="AJ145" s="528">
        <f t="shared" si="67"/>
        <v>0.68</v>
      </c>
      <c r="AK145" s="528">
        <f t="shared" si="67"/>
        <v>0.68</v>
      </c>
      <c r="AL145" s="528">
        <f t="shared" si="67"/>
        <v>0.68</v>
      </c>
      <c r="AM145" s="528">
        <f t="shared" si="67"/>
        <v>0.68</v>
      </c>
      <c r="AN145" s="528">
        <f t="shared" si="67"/>
        <v>0.68</v>
      </c>
      <c r="AO145" s="528">
        <f t="shared" si="67"/>
        <v>0.68</v>
      </c>
      <c r="AP145" s="528">
        <f t="shared" si="67"/>
        <v>0.68</v>
      </c>
      <c r="AQ145" s="528">
        <f t="shared" si="67"/>
        <v>0.68</v>
      </c>
      <c r="AR145" s="528">
        <f t="shared" si="67"/>
        <v>0.68</v>
      </c>
      <c r="AS145" s="528">
        <f t="shared" si="67"/>
        <v>0.68</v>
      </c>
      <c r="AT145" s="528">
        <f t="shared" si="67"/>
        <v>0.68</v>
      </c>
      <c r="AU145" s="528">
        <f t="shared" si="67"/>
        <v>0.68</v>
      </c>
      <c r="AV145" s="528">
        <f t="shared" si="67"/>
        <v>0.68</v>
      </c>
      <c r="AW145" s="528">
        <f t="shared" si="67"/>
        <v>0.68</v>
      </c>
      <c r="AX145" s="528">
        <f t="shared" si="67"/>
        <v>0.68</v>
      </c>
      <c r="AY145" s="528">
        <f t="shared" si="67"/>
        <v>0.68</v>
      </c>
      <c r="AZ145" s="528">
        <f t="shared" si="67"/>
        <v>0.68</v>
      </c>
      <c r="BA145" s="528">
        <f t="shared" si="67"/>
        <v>0.68</v>
      </c>
      <c r="BB145" s="528">
        <f t="shared" si="67"/>
        <v>0.68</v>
      </c>
      <c r="BC145" s="528">
        <f t="shared" si="67"/>
        <v>0.68</v>
      </c>
      <c r="BD145" s="528">
        <f t="shared" si="67"/>
        <v>0.68</v>
      </c>
      <c r="BE145" s="528">
        <f t="shared" si="67"/>
        <v>0.68</v>
      </c>
      <c r="BF145" s="528">
        <f t="shared" si="67"/>
        <v>0.68</v>
      </c>
      <c r="BG145" s="528">
        <f t="shared" si="67"/>
        <v>0.68</v>
      </c>
      <c r="BH145" s="528">
        <f t="shared" si="67"/>
        <v>0.68</v>
      </c>
      <c r="BI145" s="528">
        <f t="shared" si="67"/>
        <v>0.68</v>
      </c>
      <c r="BJ145" s="528">
        <f t="shared" si="67"/>
        <v>0.68</v>
      </c>
      <c r="BK145" s="528">
        <f t="shared" si="67"/>
        <v>0.68</v>
      </c>
      <c r="BL145" s="528">
        <f t="shared" si="67"/>
        <v>0.68</v>
      </c>
      <c r="BM145" s="528">
        <f t="shared" ref="BM145:CA145" si="68">BL145</f>
        <v>0.68</v>
      </c>
      <c r="BN145" s="528">
        <f t="shared" si="68"/>
        <v>0.68</v>
      </c>
      <c r="BO145" s="528">
        <f t="shared" si="68"/>
        <v>0.68</v>
      </c>
      <c r="BP145" s="528">
        <f t="shared" si="68"/>
        <v>0.68</v>
      </c>
      <c r="BQ145" s="528">
        <f t="shared" si="68"/>
        <v>0.68</v>
      </c>
      <c r="BR145" s="528">
        <f t="shared" si="68"/>
        <v>0.68</v>
      </c>
      <c r="BS145" s="528">
        <f t="shared" si="68"/>
        <v>0.68</v>
      </c>
      <c r="BT145" s="528">
        <f t="shared" si="68"/>
        <v>0.68</v>
      </c>
      <c r="BU145" s="528">
        <f t="shared" si="68"/>
        <v>0.68</v>
      </c>
      <c r="BV145" s="528">
        <f t="shared" si="68"/>
        <v>0.68</v>
      </c>
      <c r="BW145" s="528">
        <f t="shared" si="68"/>
        <v>0.68</v>
      </c>
      <c r="BX145" s="528">
        <f t="shared" si="68"/>
        <v>0.68</v>
      </c>
      <c r="BY145" s="528">
        <f t="shared" si="68"/>
        <v>0.68</v>
      </c>
      <c r="BZ145" s="528">
        <f t="shared" si="68"/>
        <v>0.68</v>
      </c>
      <c r="CA145" s="528">
        <f t="shared" si="68"/>
        <v>0.68</v>
      </c>
      <c r="CB145" s="528">
        <f t="shared" si="66"/>
        <v>0.68</v>
      </c>
      <c r="CC145" s="528">
        <f t="shared" si="66"/>
        <v>0.68</v>
      </c>
      <c r="CD145" s="528">
        <f t="shared" si="66"/>
        <v>0.68</v>
      </c>
      <c r="CE145" s="528">
        <f t="shared" si="66"/>
        <v>0.68</v>
      </c>
      <c r="CF145" s="528">
        <f t="shared" si="66"/>
        <v>0.68</v>
      </c>
      <c r="CG145" s="533"/>
      <c r="CH145" s="527">
        <v>0.68</v>
      </c>
    </row>
    <row r="146" spans="2:86">
      <c r="B146" t="s">
        <v>180</v>
      </c>
      <c r="C146" t="s">
        <v>1357</v>
      </c>
      <c r="D146" t="s">
        <v>708</v>
      </c>
      <c r="E146" t="s">
        <v>1356</v>
      </c>
      <c r="F146" t="str">
        <f t="shared" si="63"/>
        <v>LSFOTotal emissions - TTW - GWP100Global</v>
      </c>
      <c r="G146" s="527">
        <v>3.1633300000000002</v>
      </c>
      <c r="H146" s="527">
        <v>3.1633300000000002</v>
      </c>
      <c r="I146" s="527">
        <v>3.1633300000000002</v>
      </c>
      <c r="J146" s="527">
        <v>3.1633300000000002</v>
      </c>
      <c r="K146" s="527">
        <v>3.1633300000000002</v>
      </c>
      <c r="L146" s="527">
        <v>3.1633300000000002</v>
      </c>
      <c r="M146" s="527">
        <v>3.1633300000000002</v>
      </c>
      <c r="N146" s="527">
        <v>3.1633300000000002</v>
      </c>
      <c r="O146" s="527">
        <v>3.1633300000000002</v>
      </c>
      <c r="P146" s="527">
        <v>3.1633300000000002</v>
      </c>
      <c r="Q146" s="527">
        <v>3.1633300000000002</v>
      </c>
      <c r="R146" s="527">
        <v>3.1633300000000002</v>
      </c>
      <c r="S146" s="527">
        <v>3.1633300000000002</v>
      </c>
      <c r="T146" s="527">
        <v>3.1633300000000002</v>
      </c>
      <c r="U146" s="527">
        <v>3.1633300000000002</v>
      </c>
      <c r="V146" s="527">
        <v>3.1633300000000002</v>
      </c>
      <c r="W146" s="527">
        <v>3.1633300000000002</v>
      </c>
      <c r="X146" s="527">
        <v>3.1633300000000002</v>
      </c>
      <c r="Y146" s="527">
        <v>3.1633300000000002</v>
      </c>
      <c r="Z146" s="527">
        <v>3.1633300000000002</v>
      </c>
      <c r="AA146" s="527">
        <v>3.1633300000000002</v>
      </c>
      <c r="AB146" s="527">
        <v>3.1633300000000002</v>
      </c>
      <c r="AC146" s="527">
        <v>3.1633300000000002</v>
      </c>
      <c r="AD146" s="527">
        <v>3.1633300000000002</v>
      </c>
      <c r="AE146" s="527">
        <v>3.1633300000000002</v>
      </c>
      <c r="AF146" s="527">
        <v>3.1633300000000002</v>
      </c>
      <c r="AG146" s="527">
        <v>3.1633300000000002</v>
      </c>
      <c r="AH146" s="527">
        <v>3.1633300000000002</v>
      </c>
      <c r="AI146" s="526">
        <f t="shared" ref="AI146:CA147" si="69">AH146</f>
        <v>3.1633300000000002</v>
      </c>
      <c r="AJ146" s="526">
        <f t="shared" si="69"/>
        <v>3.1633300000000002</v>
      </c>
      <c r="AK146" s="526">
        <f t="shared" si="69"/>
        <v>3.1633300000000002</v>
      </c>
      <c r="AL146" s="526">
        <f t="shared" si="69"/>
        <v>3.1633300000000002</v>
      </c>
      <c r="AM146" s="526">
        <f t="shared" si="69"/>
        <v>3.1633300000000002</v>
      </c>
      <c r="AN146" s="526">
        <f t="shared" si="69"/>
        <v>3.1633300000000002</v>
      </c>
      <c r="AO146" s="526">
        <f t="shared" si="69"/>
        <v>3.1633300000000002</v>
      </c>
      <c r="AP146" s="526">
        <f t="shared" si="69"/>
        <v>3.1633300000000002</v>
      </c>
      <c r="AQ146" s="526">
        <f t="shared" si="69"/>
        <v>3.1633300000000002</v>
      </c>
      <c r="AR146" s="526">
        <f t="shared" si="69"/>
        <v>3.1633300000000002</v>
      </c>
      <c r="AS146" s="526">
        <f t="shared" si="69"/>
        <v>3.1633300000000002</v>
      </c>
      <c r="AT146" s="526">
        <f t="shared" si="69"/>
        <v>3.1633300000000002</v>
      </c>
      <c r="AU146" s="526">
        <f t="shared" si="69"/>
        <v>3.1633300000000002</v>
      </c>
      <c r="AV146" s="526">
        <f t="shared" si="69"/>
        <v>3.1633300000000002</v>
      </c>
      <c r="AW146" s="526">
        <f t="shared" si="69"/>
        <v>3.1633300000000002</v>
      </c>
      <c r="AX146" s="526">
        <f t="shared" si="69"/>
        <v>3.1633300000000002</v>
      </c>
      <c r="AY146" s="526">
        <f t="shared" si="69"/>
        <v>3.1633300000000002</v>
      </c>
      <c r="AZ146" s="526">
        <f t="shared" si="69"/>
        <v>3.1633300000000002</v>
      </c>
      <c r="BA146" s="526">
        <f t="shared" si="69"/>
        <v>3.1633300000000002</v>
      </c>
      <c r="BB146" s="526">
        <f t="shared" si="69"/>
        <v>3.1633300000000002</v>
      </c>
      <c r="BC146" s="526">
        <f t="shared" si="69"/>
        <v>3.1633300000000002</v>
      </c>
      <c r="BD146" s="526">
        <f t="shared" si="69"/>
        <v>3.1633300000000002</v>
      </c>
      <c r="BE146" s="526">
        <f t="shared" si="69"/>
        <v>3.1633300000000002</v>
      </c>
      <c r="BF146" s="526">
        <f t="shared" si="69"/>
        <v>3.1633300000000002</v>
      </c>
      <c r="BG146" s="526">
        <f t="shared" si="69"/>
        <v>3.1633300000000002</v>
      </c>
      <c r="BH146" s="526">
        <f t="shared" si="69"/>
        <v>3.1633300000000002</v>
      </c>
      <c r="BI146" s="526">
        <f t="shared" si="69"/>
        <v>3.1633300000000002</v>
      </c>
      <c r="BJ146" s="526">
        <f t="shared" si="69"/>
        <v>3.1633300000000002</v>
      </c>
      <c r="BK146" s="526">
        <f t="shared" si="69"/>
        <v>3.1633300000000002</v>
      </c>
      <c r="BL146" s="526">
        <f t="shared" si="69"/>
        <v>3.1633300000000002</v>
      </c>
      <c r="BM146" s="526">
        <f t="shared" si="69"/>
        <v>3.1633300000000002</v>
      </c>
      <c r="BN146" s="526">
        <f t="shared" si="69"/>
        <v>3.1633300000000002</v>
      </c>
      <c r="BO146" s="526">
        <f t="shared" si="69"/>
        <v>3.1633300000000002</v>
      </c>
      <c r="BP146" s="526">
        <f t="shared" si="69"/>
        <v>3.1633300000000002</v>
      </c>
      <c r="BQ146" s="526">
        <f t="shared" si="69"/>
        <v>3.1633300000000002</v>
      </c>
      <c r="BR146" s="526">
        <f t="shared" si="69"/>
        <v>3.1633300000000002</v>
      </c>
      <c r="BS146" s="526">
        <f t="shared" si="69"/>
        <v>3.1633300000000002</v>
      </c>
      <c r="BT146" s="526">
        <f t="shared" si="69"/>
        <v>3.1633300000000002</v>
      </c>
      <c r="BU146" s="526">
        <f t="shared" si="69"/>
        <v>3.1633300000000002</v>
      </c>
      <c r="BV146" s="526">
        <f t="shared" si="69"/>
        <v>3.1633300000000002</v>
      </c>
      <c r="BW146" s="526">
        <f t="shared" si="69"/>
        <v>3.1633300000000002</v>
      </c>
      <c r="BX146" s="526">
        <f t="shared" si="69"/>
        <v>3.1633300000000002</v>
      </c>
      <c r="BY146" s="526">
        <f t="shared" si="69"/>
        <v>3.1633300000000002</v>
      </c>
      <c r="BZ146" s="526">
        <f t="shared" si="69"/>
        <v>3.1633300000000002</v>
      </c>
      <c r="CA146" s="526">
        <f t="shared" si="69"/>
        <v>3.1633300000000002</v>
      </c>
      <c r="CB146" s="526">
        <f t="shared" si="66"/>
        <v>3.1633300000000002</v>
      </c>
      <c r="CC146" s="526">
        <f t="shared" si="66"/>
        <v>3.1633300000000002</v>
      </c>
      <c r="CD146" s="526">
        <f t="shared" si="66"/>
        <v>3.1633300000000002</v>
      </c>
      <c r="CE146" s="526">
        <f t="shared" si="66"/>
        <v>3.1633300000000002</v>
      </c>
      <c r="CF146" s="526">
        <f t="shared" si="66"/>
        <v>3.1633300000000002</v>
      </c>
      <c r="CG146" s="533"/>
      <c r="CH146" s="527">
        <v>3.1633300000000002</v>
      </c>
    </row>
    <row r="147" spans="2:86">
      <c r="B147" t="s">
        <v>180</v>
      </c>
      <c r="C147" t="s">
        <v>1358</v>
      </c>
      <c r="D147" t="s">
        <v>708</v>
      </c>
      <c r="E147" t="s">
        <v>1356</v>
      </c>
      <c r="F147" t="str">
        <f t="shared" si="63"/>
        <v>LSFOTotal emissions - WTW - GWP100Global</v>
      </c>
      <c r="G147" s="527">
        <v>3.8433300000000004</v>
      </c>
      <c r="H147" s="527">
        <v>3.8433300000000004</v>
      </c>
      <c r="I147" s="527">
        <v>3.8433300000000004</v>
      </c>
      <c r="J147" s="527">
        <v>3.8433300000000004</v>
      </c>
      <c r="K147" s="527">
        <v>3.8433300000000004</v>
      </c>
      <c r="L147" s="527">
        <v>3.8433300000000004</v>
      </c>
      <c r="M147" s="527">
        <v>3.8433300000000004</v>
      </c>
      <c r="N147" s="527">
        <v>3.8433300000000004</v>
      </c>
      <c r="O147" s="527">
        <v>3.8433300000000004</v>
      </c>
      <c r="P147" s="527">
        <v>3.8433300000000004</v>
      </c>
      <c r="Q147" s="527">
        <v>3.8433300000000004</v>
      </c>
      <c r="R147" s="527">
        <v>3.8433300000000004</v>
      </c>
      <c r="S147" s="527">
        <v>3.8433300000000004</v>
      </c>
      <c r="T147" s="527">
        <v>3.8433300000000004</v>
      </c>
      <c r="U147" s="527">
        <v>3.8433300000000004</v>
      </c>
      <c r="V147" s="527">
        <v>3.8433300000000004</v>
      </c>
      <c r="W147" s="527">
        <v>3.8433300000000004</v>
      </c>
      <c r="X147" s="527">
        <v>3.8433300000000004</v>
      </c>
      <c r="Y147" s="527">
        <v>3.8433300000000004</v>
      </c>
      <c r="Z147" s="527">
        <v>3.8433300000000004</v>
      </c>
      <c r="AA147" s="527">
        <v>3.8433300000000004</v>
      </c>
      <c r="AB147" s="527">
        <v>3.8433300000000004</v>
      </c>
      <c r="AC147" s="527">
        <v>3.8433300000000004</v>
      </c>
      <c r="AD147" s="527">
        <v>3.8433300000000004</v>
      </c>
      <c r="AE147" s="527">
        <v>3.8433300000000004</v>
      </c>
      <c r="AF147" s="527">
        <v>3.8433300000000004</v>
      </c>
      <c r="AG147" s="527">
        <v>3.8433300000000004</v>
      </c>
      <c r="AH147" s="527">
        <v>3.8433300000000004</v>
      </c>
      <c r="AI147" s="528">
        <f t="shared" si="69"/>
        <v>3.8433300000000004</v>
      </c>
      <c r="AJ147" s="528">
        <f t="shared" si="69"/>
        <v>3.8433300000000004</v>
      </c>
      <c r="AK147" s="528">
        <f t="shared" si="69"/>
        <v>3.8433300000000004</v>
      </c>
      <c r="AL147" s="528">
        <f t="shared" si="69"/>
        <v>3.8433300000000004</v>
      </c>
      <c r="AM147" s="528">
        <f t="shared" si="69"/>
        <v>3.8433300000000004</v>
      </c>
      <c r="AN147" s="528">
        <f t="shared" si="69"/>
        <v>3.8433300000000004</v>
      </c>
      <c r="AO147" s="528">
        <f t="shared" si="69"/>
        <v>3.8433300000000004</v>
      </c>
      <c r="AP147" s="528">
        <f t="shared" si="69"/>
        <v>3.8433300000000004</v>
      </c>
      <c r="AQ147" s="528">
        <f t="shared" si="69"/>
        <v>3.8433300000000004</v>
      </c>
      <c r="AR147" s="528">
        <f t="shared" si="69"/>
        <v>3.8433300000000004</v>
      </c>
      <c r="AS147" s="528">
        <f t="shared" si="69"/>
        <v>3.8433300000000004</v>
      </c>
      <c r="AT147" s="528">
        <f t="shared" si="69"/>
        <v>3.8433300000000004</v>
      </c>
      <c r="AU147" s="528">
        <f t="shared" si="69"/>
        <v>3.8433300000000004</v>
      </c>
      <c r="AV147" s="528">
        <f t="shared" si="69"/>
        <v>3.8433300000000004</v>
      </c>
      <c r="AW147" s="528">
        <f t="shared" si="69"/>
        <v>3.8433300000000004</v>
      </c>
      <c r="AX147" s="528">
        <f t="shared" si="69"/>
        <v>3.8433300000000004</v>
      </c>
      <c r="AY147" s="528">
        <f t="shared" si="69"/>
        <v>3.8433300000000004</v>
      </c>
      <c r="AZ147" s="528">
        <f t="shared" si="69"/>
        <v>3.8433300000000004</v>
      </c>
      <c r="BA147" s="528">
        <f t="shared" si="69"/>
        <v>3.8433300000000004</v>
      </c>
      <c r="BB147" s="528">
        <f t="shared" si="69"/>
        <v>3.8433300000000004</v>
      </c>
      <c r="BC147" s="528">
        <f t="shared" si="69"/>
        <v>3.8433300000000004</v>
      </c>
      <c r="BD147" s="528">
        <f t="shared" si="69"/>
        <v>3.8433300000000004</v>
      </c>
      <c r="BE147" s="528">
        <f t="shared" si="69"/>
        <v>3.8433300000000004</v>
      </c>
      <c r="BF147" s="528">
        <f t="shared" si="69"/>
        <v>3.8433300000000004</v>
      </c>
      <c r="BG147" s="528">
        <f t="shared" si="69"/>
        <v>3.8433300000000004</v>
      </c>
      <c r="BH147" s="528">
        <f t="shared" si="69"/>
        <v>3.8433300000000004</v>
      </c>
      <c r="BI147" s="528">
        <f t="shared" si="69"/>
        <v>3.8433300000000004</v>
      </c>
      <c r="BJ147" s="528">
        <f t="shared" si="69"/>
        <v>3.8433300000000004</v>
      </c>
      <c r="BK147" s="528">
        <f t="shared" si="69"/>
        <v>3.8433300000000004</v>
      </c>
      <c r="BL147" s="528">
        <f t="shared" si="69"/>
        <v>3.8433300000000004</v>
      </c>
      <c r="BM147" s="528">
        <f t="shared" si="69"/>
        <v>3.8433300000000004</v>
      </c>
      <c r="BN147" s="528">
        <f t="shared" si="69"/>
        <v>3.8433300000000004</v>
      </c>
      <c r="BO147" s="528">
        <f t="shared" si="69"/>
        <v>3.8433300000000004</v>
      </c>
      <c r="BP147" s="528">
        <f t="shared" si="69"/>
        <v>3.8433300000000004</v>
      </c>
      <c r="BQ147" s="528">
        <f t="shared" si="69"/>
        <v>3.8433300000000004</v>
      </c>
      <c r="BR147" s="528">
        <f t="shared" si="69"/>
        <v>3.8433300000000004</v>
      </c>
      <c r="BS147" s="528">
        <f t="shared" si="69"/>
        <v>3.8433300000000004</v>
      </c>
      <c r="BT147" s="528">
        <f t="shared" si="69"/>
        <v>3.8433300000000004</v>
      </c>
      <c r="BU147" s="528">
        <f t="shared" si="69"/>
        <v>3.8433300000000004</v>
      </c>
      <c r="BV147" s="528">
        <f t="shared" si="69"/>
        <v>3.8433300000000004</v>
      </c>
      <c r="BW147" s="528">
        <f t="shared" si="69"/>
        <v>3.8433300000000004</v>
      </c>
      <c r="BX147" s="528">
        <f t="shared" si="69"/>
        <v>3.8433300000000004</v>
      </c>
      <c r="BY147" s="528">
        <f t="shared" si="69"/>
        <v>3.8433300000000004</v>
      </c>
      <c r="BZ147" s="528">
        <f t="shared" si="69"/>
        <v>3.8433300000000004</v>
      </c>
      <c r="CA147" s="528">
        <f t="shared" si="69"/>
        <v>3.8433300000000004</v>
      </c>
      <c r="CB147" s="528">
        <f t="shared" si="66"/>
        <v>3.8433300000000004</v>
      </c>
      <c r="CC147" s="528">
        <f t="shared" si="66"/>
        <v>3.8433300000000004</v>
      </c>
      <c r="CD147" s="528">
        <f t="shared" si="66"/>
        <v>3.8433300000000004</v>
      </c>
      <c r="CE147" s="528">
        <f t="shared" si="66"/>
        <v>3.8433300000000004</v>
      </c>
      <c r="CF147" s="528">
        <f t="shared" si="66"/>
        <v>3.8433300000000004</v>
      </c>
      <c r="CG147" s="533"/>
      <c r="CH147" s="527">
        <v>3.8433299999999999</v>
      </c>
    </row>
  </sheetData>
  <conditionalFormatting sqref="G4:AI12 AI13:AI21 G22:AI147">
    <cfRule type="expression" dxfId="11" priority="262">
      <formula>G4&lt;&gt;#REF!</formula>
    </cfRule>
  </conditionalFormatting>
  <conditionalFormatting sqref="AJ4:CF147">
    <cfRule type="expression" dxfId="10" priority="280">
      <formula>AJ4&lt;&gt;CH4</formula>
    </cfRule>
  </conditionalFormatting>
  <conditionalFormatting sqref="CG139:CG147">
    <cfRule type="expression" dxfId="9" priority="277">
      <formula>CG139&lt;&gt;CH139</formula>
    </cfRule>
  </conditionalFormatting>
  <conditionalFormatting sqref="CH139:CH147">
    <cfRule type="expression" dxfId="8" priority="1">
      <formula>CH139&lt;&gt;DK139</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880BE-9739-4AC2-9DD1-660FF2B44DBE}">
  <sheetPr codeName="Sheet12">
    <tabColor theme="0" tint="-0.249977111117893"/>
  </sheetPr>
  <dimension ref="B2:BL1365"/>
  <sheetViews>
    <sheetView showGridLines="0" zoomScale="50" workbookViewId="0"/>
  </sheetViews>
  <sheetFormatPr defaultRowHeight="14.25" outlineLevelRow="1" outlineLevelCol="1"/>
  <cols>
    <col min="1" max="1" width="4.375" customWidth="1"/>
    <col min="2" max="2" width="54.5" hidden="1" customWidth="1" outlineLevel="1"/>
    <col min="3" max="3" width="41.875" customWidth="1" collapsed="1"/>
    <col min="4" max="4" width="46.5" customWidth="1"/>
    <col min="5" max="5" width="10.25" customWidth="1"/>
    <col min="6" max="7" width="16.5" customWidth="1"/>
    <col min="37" max="64" width="21.125" customWidth="1"/>
    <col min="65" max="65" width="19.25" customWidth="1"/>
    <col min="66" max="66" width="21.125" customWidth="1"/>
  </cols>
  <sheetData>
    <row r="2" spans="2:35" ht="15">
      <c r="C2" s="22" t="s">
        <v>1359</v>
      </c>
    </row>
    <row r="4" spans="2:35">
      <c r="C4" s="484" t="s">
        <v>1360</v>
      </c>
      <c r="D4" s="484" t="s">
        <v>877</v>
      </c>
      <c r="E4" s="484" t="s">
        <v>171</v>
      </c>
      <c r="F4" s="484" t="s">
        <v>111</v>
      </c>
      <c r="G4" s="484" t="s">
        <v>1351</v>
      </c>
      <c r="H4" s="484">
        <v>2023</v>
      </c>
      <c r="I4" s="484">
        <v>2024</v>
      </c>
      <c r="J4" s="484">
        <v>2025</v>
      </c>
      <c r="K4" s="484">
        <v>2026</v>
      </c>
      <c r="L4" s="484">
        <v>2027</v>
      </c>
      <c r="M4" s="484">
        <v>2028</v>
      </c>
      <c r="N4" s="484">
        <v>2029</v>
      </c>
      <c r="O4" s="484">
        <v>2030</v>
      </c>
      <c r="P4" s="484">
        <v>2031</v>
      </c>
      <c r="Q4" s="484">
        <v>2032</v>
      </c>
      <c r="R4" s="484">
        <v>2033</v>
      </c>
      <c r="S4" s="484">
        <v>2034</v>
      </c>
      <c r="T4" s="484">
        <v>2035</v>
      </c>
      <c r="U4" s="484">
        <v>2036</v>
      </c>
      <c r="V4" s="484">
        <v>2037</v>
      </c>
      <c r="W4" s="484">
        <v>2038</v>
      </c>
      <c r="X4" s="484">
        <v>2039</v>
      </c>
      <c r="Y4" s="484">
        <v>2040</v>
      </c>
      <c r="Z4" s="484">
        <v>2041</v>
      </c>
      <c r="AA4" s="484">
        <v>2042</v>
      </c>
      <c r="AB4" s="484">
        <v>2043</v>
      </c>
      <c r="AC4" s="484">
        <v>2044</v>
      </c>
      <c r="AD4" s="484">
        <v>2045</v>
      </c>
      <c r="AE4" s="484">
        <v>2046</v>
      </c>
      <c r="AF4" s="484">
        <v>2047</v>
      </c>
      <c r="AG4" s="484">
        <v>2048</v>
      </c>
      <c r="AH4" s="484">
        <v>2049</v>
      </c>
      <c r="AI4" s="484">
        <v>2050</v>
      </c>
    </row>
    <row r="6" spans="2:35" ht="15">
      <c r="B6" t="str">
        <f t="shared" ref="B6:B69" si="0">_xlfn.TEXTJOIN(" - ",TRUE,C6:F6)</f>
        <v>e-hydrogen (Alkaline) - Item - Region - Unit</v>
      </c>
      <c r="C6" s="485" t="s">
        <v>1361</v>
      </c>
      <c r="D6" s="485" t="s">
        <v>877</v>
      </c>
      <c r="E6" s="485" t="s">
        <v>171</v>
      </c>
      <c r="F6" s="485" t="s">
        <v>111</v>
      </c>
      <c r="G6" s="485"/>
      <c r="H6" s="486">
        <v>2023</v>
      </c>
      <c r="I6" s="486">
        <v>2024</v>
      </c>
      <c r="J6" s="486">
        <v>2025</v>
      </c>
      <c r="K6" s="486">
        <v>2026</v>
      </c>
      <c r="L6" s="486">
        <v>2027</v>
      </c>
      <c r="M6" s="486">
        <v>2028</v>
      </c>
      <c r="N6" s="486">
        <v>2029</v>
      </c>
      <c r="O6" s="486">
        <v>2030</v>
      </c>
      <c r="P6" s="486">
        <v>2031</v>
      </c>
      <c r="Q6" s="486">
        <v>2032</v>
      </c>
      <c r="R6" s="486">
        <v>2033</v>
      </c>
      <c r="S6" s="486">
        <v>2034</v>
      </c>
      <c r="T6" s="486">
        <v>2035</v>
      </c>
      <c r="U6" s="486">
        <v>2036</v>
      </c>
      <c r="V6" s="486">
        <v>2037</v>
      </c>
      <c r="W6" s="486">
        <v>2038</v>
      </c>
      <c r="X6" s="486">
        <v>2039</v>
      </c>
      <c r="Y6" s="486">
        <v>2040</v>
      </c>
      <c r="Z6" s="486">
        <v>2041</v>
      </c>
      <c r="AA6" s="486">
        <v>2042</v>
      </c>
      <c r="AB6" s="486">
        <v>2043</v>
      </c>
      <c r="AC6" s="486">
        <v>2044</v>
      </c>
      <c r="AD6" s="486">
        <v>2045</v>
      </c>
      <c r="AE6" s="486">
        <v>2046</v>
      </c>
      <c r="AF6" s="486">
        <v>2047</v>
      </c>
      <c r="AG6" s="486">
        <v>2048</v>
      </c>
      <c r="AH6" s="486">
        <v>2049</v>
      </c>
      <c r="AI6" s="486">
        <v>2050</v>
      </c>
    </row>
    <row r="7" spans="2:35" outlineLevel="1">
      <c r="B7" t="str">
        <f t="shared" si="0"/>
        <v>e-hydrogen (Alkaline) - Total cost - Africa - USD/ton fuel</v>
      </c>
      <c r="C7" s="487" t="str">
        <f>C6</f>
        <v>e-hydrogen (Alkaline)</v>
      </c>
      <c r="D7" s="487" t="s">
        <v>1362</v>
      </c>
      <c r="E7" s="487" t="s">
        <v>838</v>
      </c>
      <c r="F7" s="487" t="s">
        <v>1353</v>
      </c>
      <c r="G7" s="487" t="str">
        <f>+C7&amp;E7&amp;D7</f>
        <v>e-hydrogen (Alkaline)AfricaTotal cost</v>
      </c>
      <c r="H7" s="488">
        <v>4251.6092380976279</v>
      </c>
      <c r="I7" s="488">
        <v>3840.4257289983452</v>
      </c>
      <c r="J7" s="488">
        <v>3429.7974211147193</v>
      </c>
      <c r="K7" s="488">
        <v>3267.3136455177796</v>
      </c>
      <c r="L7" s="488">
        <v>3104.984016949787</v>
      </c>
      <c r="M7" s="488">
        <v>2942.8085354107475</v>
      </c>
      <c r="N7" s="488">
        <v>2780.7872009006574</v>
      </c>
      <c r="O7" s="488">
        <v>2618.9200134195362</v>
      </c>
      <c r="P7" s="488">
        <v>2547.7359058714642</v>
      </c>
      <c r="Q7" s="488">
        <v>2476.6374964247184</v>
      </c>
      <c r="R7" s="488">
        <v>2405.6247850792852</v>
      </c>
      <c r="S7" s="488">
        <v>2334.6977718352096</v>
      </c>
      <c r="T7" s="488">
        <v>2263.8564566924756</v>
      </c>
      <c r="U7" s="488">
        <v>2221.224436194625</v>
      </c>
      <c r="V7" s="488">
        <v>2178.6325897316383</v>
      </c>
      <c r="W7" s="488">
        <v>2136.08091730351</v>
      </c>
      <c r="X7" s="488">
        <v>2093.5694189102437</v>
      </c>
      <c r="Y7" s="488">
        <v>2051.0980945518431</v>
      </c>
      <c r="Z7" s="488">
        <v>2008.101502569014</v>
      </c>
      <c r="AA7" s="488">
        <v>1965.1460538100223</v>
      </c>
      <c r="AB7" s="488">
        <v>1922.2317482748479</v>
      </c>
      <c r="AC7" s="488">
        <v>1879.3585859635245</v>
      </c>
      <c r="AD7" s="488">
        <v>1836.5265668760335</v>
      </c>
      <c r="AE7" s="488">
        <v>1806.7949438590313</v>
      </c>
      <c r="AF7" s="488">
        <v>1777.0834336073021</v>
      </c>
      <c r="AG7" s="488">
        <v>1747.39203612084</v>
      </c>
      <c r="AH7" s="488">
        <v>1717.7207513996477</v>
      </c>
      <c r="AI7" s="488">
        <v>1688.0695794437288</v>
      </c>
    </row>
    <row r="8" spans="2:35" outlineLevel="1">
      <c r="B8" t="str">
        <f t="shared" si="0"/>
        <v>e-hydrogen (Alkaline) - Total cost - Americas - USD/ton fuel</v>
      </c>
      <c r="C8" t="str">
        <f>C7</f>
        <v>e-hydrogen (Alkaline)</v>
      </c>
      <c r="D8" t="s">
        <v>1362</v>
      </c>
      <c r="E8" t="s">
        <v>731</v>
      </c>
      <c r="F8" t="s">
        <v>1353</v>
      </c>
      <c r="G8" s="487" t="str">
        <f t="shared" ref="G8:G71" si="1">+C8&amp;E8&amp;D8</f>
        <v>e-hydrogen (Alkaline)AmericasTotal cost</v>
      </c>
      <c r="H8" s="489">
        <v>3164.7207637058386</v>
      </c>
      <c r="I8" s="489">
        <v>3059.5012877681502</v>
      </c>
      <c r="J8" s="489">
        <v>2954.3433312834595</v>
      </c>
      <c r="K8" s="489">
        <v>2823.5727761327221</v>
      </c>
      <c r="L8" s="489">
        <v>2692.9057936784611</v>
      </c>
      <c r="M8" s="489">
        <v>2562.3423839206826</v>
      </c>
      <c r="N8" s="489">
        <v>2431.8825468594287</v>
      </c>
      <c r="O8" s="489">
        <v>2301.526282494628</v>
      </c>
      <c r="P8" s="489">
        <v>2252.9349855918654</v>
      </c>
      <c r="Q8" s="489">
        <v>2204.393329376272</v>
      </c>
      <c r="R8" s="489">
        <v>2155.9013138478558</v>
      </c>
      <c r="S8" s="489">
        <v>2107.4589390066176</v>
      </c>
      <c r="T8" s="489">
        <v>2059.0662048525519</v>
      </c>
      <c r="U8" s="489">
        <v>2016.6590213615798</v>
      </c>
      <c r="V8" s="489">
        <v>1974.2919155694813</v>
      </c>
      <c r="W8" s="489">
        <v>1931.9648874762565</v>
      </c>
      <c r="X8" s="489">
        <v>1889.6779370819145</v>
      </c>
      <c r="Y8" s="489">
        <v>1847.4310643864396</v>
      </c>
      <c r="Z8" s="489">
        <v>1820.1243148904257</v>
      </c>
      <c r="AA8" s="489">
        <v>1792.8336463166311</v>
      </c>
      <c r="AB8" s="489">
        <v>1765.5590586650494</v>
      </c>
      <c r="AC8" s="489">
        <v>1738.3005519356868</v>
      </c>
      <c r="AD8" s="489">
        <v>1711.0581261285436</v>
      </c>
      <c r="AE8" s="489">
        <v>1686.4019698694365</v>
      </c>
      <c r="AF8" s="489">
        <v>1661.7578966073086</v>
      </c>
      <c r="AG8" s="489">
        <v>1637.1259063421626</v>
      </c>
      <c r="AH8" s="489">
        <v>1612.5059990739956</v>
      </c>
      <c r="AI8" s="489">
        <v>1587.8981748028052</v>
      </c>
    </row>
    <row r="9" spans="2:35" outlineLevel="1">
      <c r="B9" t="str">
        <f t="shared" si="0"/>
        <v>e-hydrogen (Alkaline) - Total cost - Asia - USD/ton fuel</v>
      </c>
      <c r="C9" t="str">
        <f>C8</f>
        <v>e-hydrogen (Alkaline)</v>
      </c>
      <c r="D9" t="s">
        <v>1362</v>
      </c>
      <c r="E9" t="s">
        <v>750</v>
      </c>
      <c r="F9" t="s">
        <v>1353</v>
      </c>
      <c r="G9" s="487" t="str">
        <f t="shared" si="1"/>
        <v>e-hydrogen (Alkaline)AsiaTotal cost</v>
      </c>
      <c r="H9" s="489">
        <v>4579.7295431813618</v>
      </c>
      <c r="I9" s="489">
        <v>4225.8181299001099</v>
      </c>
      <c r="J9" s="489">
        <v>3872.3688122678336</v>
      </c>
      <c r="K9" s="489">
        <v>3702.7544261720832</v>
      </c>
      <c r="L9" s="489">
        <v>3533.305121580483</v>
      </c>
      <c r="M9" s="489">
        <v>3364.0208984929495</v>
      </c>
      <c r="N9" s="489">
        <v>3194.9017569095467</v>
      </c>
      <c r="O9" s="489">
        <v>3025.9476968302934</v>
      </c>
      <c r="P9" s="489">
        <v>2938.2956805330587</v>
      </c>
      <c r="Q9" s="489">
        <v>2850.7554158904722</v>
      </c>
      <c r="R9" s="489">
        <v>2763.326902902545</v>
      </c>
      <c r="S9" s="489">
        <v>2676.0101415692311</v>
      </c>
      <c r="T9" s="489">
        <v>2588.8051318905527</v>
      </c>
      <c r="U9" s="489">
        <v>2535.7428412934519</v>
      </c>
      <c r="V9" s="489">
        <v>2482.7371388357833</v>
      </c>
      <c r="W9" s="489">
        <v>2429.7880245175647</v>
      </c>
      <c r="X9" s="489">
        <v>2376.8954983387707</v>
      </c>
      <c r="Y9" s="489">
        <v>2324.0595602994281</v>
      </c>
      <c r="Z9" s="489">
        <v>2269.7849157403652</v>
      </c>
      <c r="AA9" s="489">
        <v>2215.5692647293017</v>
      </c>
      <c r="AB9" s="489">
        <v>2161.4126072662057</v>
      </c>
      <c r="AC9" s="489">
        <v>2107.3149433511117</v>
      </c>
      <c r="AD9" s="489">
        <v>2053.2762729839937</v>
      </c>
      <c r="AE9" s="489">
        <v>2019.1376821812296</v>
      </c>
      <c r="AF9" s="489">
        <v>1985.0260359467288</v>
      </c>
      <c r="AG9" s="489">
        <v>1950.9413342805083</v>
      </c>
      <c r="AH9" s="489">
        <v>1916.8835771825597</v>
      </c>
      <c r="AI9" s="489">
        <v>1882.8527646528751</v>
      </c>
    </row>
    <row r="10" spans="2:35" outlineLevel="1">
      <c r="B10" t="str">
        <f t="shared" si="0"/>
        <v>e-hydrogen (Alkaline) - Total cost - Europe - USD/ton fuel</v>
      </c>
      <c r="C10" t="str">
        <f>C9</f>
        <v>e-hydrogen (Alkaline)</v>
      </c>
      <c r="D10" t="s">
        <v>1362</v>
      </c>
      <c r="E10" t="s">
        <v>720</v>
      </c>
      <c r="F10" t="s">
        <v>1353</v>
      </c>
      <c r="G10" s="487" t="str">
        <f t="shared" si="1"/>
        <v>e-hydrogen (Alkaline)EuropeTotal cost</v>
      </c>
      <c r="H10" s="489">
        <v>3748.5808290792193</v>
      </c>
      <c r="I10" s="489">
        <v>3576.63920988369</v>
      </c>
      <c r="J10" s="489">
        <v>3404.8663145049632</v>
      </c>
      <c r="K10" s="489">
        <v>3253.7805690881146</v>
      </c>
      <c r="L10" s="489">
        <v>3102.8306037997027</v>
      </c>
      <c r="M10" s="489">
        <v>2952.0164186397787</v>
      </c>
      <c r="N10" s="489">
        <v>2801.338013608316</v>
      </c>
      <c r="O10" s="489">
        <v>2650.7953887053341</v>
      </c>
      <c r="P10" s="489">
        <v>2597.865791209425</v>
      </c>
      <c r="Q10" s="489">
        <v>2544.9923828350616</v>
      </c>
      <c r="R10" s="489">
        <v>2492.1751635822084</v>
      </c>
      <c r="S10" s="489">
        <v>2439.4141334508768</v>
      </c>
      <c r="T10" s="489">
        <v>2386.7092924410781</v>
      </c>
      <c r="U10" s="489">
        <v>2348.1668380942028</v>
      </c>
      <c r="V10" s="489">
        <v>2309.6577962311876</v>
      </c>
      <c r="W10" s="489">
        <v>2271.1821668520306</v>
      </c>
      <c r="X10" s="489">
        <v>2232.7399499567314</v>
      </c>
      <c r="Y10" s="489">
        <v>2194.3311455452695</v>
      </c>
      <c r="Z10" s="489">
        <v>2154.6522195113248</v>
      </c>
      <c r="AA10" s="489">
        <v>2115.0088946637602</v>
      </c>
      <c r="AB10" s="489">
        <v>2075.4011710025779</v>
      </c>
      <c r="AC10" s="489">
        <v>2035.8290485277785</v>
      </c>
      <c r="AD10" s="489">
        <v>1996.2925272393707</v>
      </c>
      <c r="AE10" s="489">
        <v>1962.8651843021012</v>
      </c>
      <c r="AF10" s="489">
        <v>1929.463711980826</v>
      </c>
      <c r="AG10" s="489">
        <v>1896.0881102755613</v>
      </c>
      <c r="AH10" s="489">
        <v>1862.7383791862992</v>
      </c>
      <c r="AI10" s="489">
        <v>1829.4145187130314</v>
      </c>
    </row>
    <row r="11" spans="2:35" outlineLevel="1">
      <c r="B11" t="str">
        <f t="shared" si="0"/>
        <v>e-hydrogen (Alkaline) - Total cost - Middle East - USD/ton fuel</v>
      </c>
      <c r="C11" s="25" t="str">
        <f>C10</f>
        <v>e-hydrogen (Alkaline)</v>
      </c>
      <c r="D11" s="25" t="s">
        <v>1362</v>
      </c>
      <c r="E11" s="25" t="s">
        <v>826</v>
      </c>
      <c r="F11" s="25" t="s">
        <v>1353</v>
      </c>
      <c r="G11" s="487" t="str">
        <f t="shared" si="1"/>
        <v>e-hydrogen (Alkaline)Middle EastTotal cost</v>
      </c>
      <c r="H11" s="490">
        <v>3181.4043455200363</v>
      </c>
      <c r="I11" s="490">
        <v>3032.4423321165928</v>
      </c>
      <c r="J11" s="490">
        <v>2883.6125994597496</v>
      </c>
      <c r="K11" s="490">
        <v>2763.023794499295</v>
      </c>
      <c r="L11" s="490">
        <v>2642.522218348945</v>
      </c>
      <c r="M11" s="490">
        <v>2522.1078710087068</v>
      </c>
      <c r="N11" s="490">
        <v>2401.7807524785981</v>
      </c>
      <c r="O11" s="490">
        <v>2281.5408627585939</v>
      </c>
      <c r="P11" s="490">
        <v>2225.768779084643</v>
      </c>
      <c r="Q11" s="490">
        <v>2170.0579537561075</v>
      </c>
      <c r="R11" s="490">
        <v>2114.4083867729742</v>
      </c>
      <c r="S11" s="490">
        <v>2058.8200781352652</v>
      </c>
      <c r="T11" s="490">
        <v>2003.2930278429699</v>
      </c>
      <c r="U11" s="490">
        <v>1966.8079904607573</v>
      </c>
      <c r="V11" s="490">
        <v>1930.3535435168189</v>
      </c>
      <c r="W11" s="490">
        <v>1893.9296870111655</v>
      </c>
      <c r="X11" s="490">
        <v>1857.5364209437842</v>
      </c>
      <c r="Y11" s="490">
        <v>1821.1737453146729</v>
      </c>
      <c r="Z11" s="490">
        <v>1779.0990246211854</v>
      </c>
      <c r="AA11" s="490">
        <v>1737.0642583437902</v>
      </c>
      <c r="AB11" s="490">
        <v>1695.0694464824662</v>
      </c>
      <c r="AC11" s="490">
        <v>1653.1145890372368</v>
      </c>
      <c r="AD11" s="490">
        <v>1611.1996860080851</v>
      </c>
      <c r="AE11" s="490">
        <v>1582.5717252730428</v>
      </c>
      <c r="AF11" s="490">
        <v>1553.962389052745</v>
      </c>
      <c r="AG11" s="490">
        <v>1525.3716773471917</v>
      </c>
      <c r="AH11" s="490">
        <v>1496.7995901563829</v>
      </c>
      <c r="AI11" s="490">
        <v>1468.2461274803188</v>
      </c>
    </row>
    <row r="12" spans="2:35" ht="15" outlineLevel="1">
      <c r="B12" t="str">
        <f t="shared" si="0"/>
        <v/>
      </c>
      <c r="C12" s="22"/>
      <c r="G12" s="487" t="str">
        <f t="shared" si="1"/>
        <v/>
      </c>
    </row>
    <row r="13" spans="2:35" ht="15" outlineLevel="1">
      <c r="B13" t="str">
        <f t="shared" si="0"/>
        <v>e-hydrogen (Alkaline) - CAPEX including feedstock CAPEX - Global - USD/ton fuel</v>
      </c>
      <c r="C13" s="491" t="str">
        <f>C6</f>
        <v>e-hydrogen (Alkaline)</v>
      </c>
      <c r="D13" s="491" t="s">
        <v>1363</v>
      </c>
      <c r="E13" s="491" t="s">
        <v>708</v>
      </c>
      <c r="F13" s="491" t="s">
        <v>1353</v>
      </c>
      <c r="G13" s="487" t="str">
        <f t="shared" si="1"/>
        <v>e-hydrogen (Alkaline)GlobalCAPEX including feedstock CAPEX</v>
      </c>
      <c r="H13" s="492">
        <v>232.54704730891777</v>
      </c>
      <c r="I13" s="492">
        <v>220.91583720088238</v>
      </c>
      <c r="J13" s="492">
        <v>209.2846270928431</v>
      </c>
      <c r="K13" s="492">
        <v>197.74635039698333</v>
      </c>
      <c r="L13" s="492">
        <v>186.20807370111967</v>
      </c>
      <c r="M13" s="492">
        <v>174.66979700525991</v>
      </c>
      <c r="N13" s="492">
        <v>163.13152030940012</v>
      </c>
      <c r="O13" s="492">
        <v>151.59324361353646</v>
      </c>
      <c r="P13" s="492">
        <v>148.64007525246902</v>
      </c>
      <c r="Q13" s="492">
        <v>145.68690689139865</v>
      </c>
      <c r="R13" s="492">
        <v>142.73373853032825</v>
      </c>
      <c r="S13" s="492">
        <v>139.78057016925789</v>
      </c>
      <c r="T13" s="492">
        <v>136.82740180818655</v>
      </c>
      <c r="U13" s="492">
        <v>133.89755711083319</v>
      </c>
      <c r="V13" s="492">
        <v>130.96771241347886</v>
      </c>
      <c r="W13" s="492">
        <v>128.03786771612553</v>
      </c>
      <c r="X13" s="492">
        <v>125.10802301877121</v>
      </c>
      <c r="Y13" s="492">
        <v>122.17817832141591</v>
      </c>
      <c r="Z13" s="492">
        <v>119.27151720659167</v>
      </c>
      <c r="AA13" s="492">
        <v>116.36485609176744</v>
      </c>
      <c r="AB13" s="492">
        <v>113.45819497694222</v>
      </c>
      <c r="AC13" s="492">
        <v>110.55153386211799</v>
      </c>
      <c r="AD13" s="492">
        <v>107.64487274729473</v>
      </c>
      <c r="AE13" s="492">
        <v>104.76125588428985</v>
      </c>
      <c r="AF13" s="492">
        <v>101.87763902128403</v>
      </c>
      <c r="AG13" s="492">
        <v>98.994022158279165</v>
      </c>
      <c r="AH13" s="492">
        <v>96.110405295274305</v>
      </c>
      <c r="AI13" s="492">
        <v>93.226788432268464</v>
      </c>
    </row>
    <row r="14" spans="2:35" outlineLevel="1">
      <c r="B14" t="str">
        <f t="shared" si="0"/>
        <v>e-hydrogen (Alkaline) - CAPEX - Global - USD/ton fuel</v>
      </c>
      <c r="C14" t="str">
        <f>C6</f>
        <v>e-hydrogen (Alkaline)</v>
      </c>
      <c r="D14" t="s">
        <v>446</v>
      </c>
      <c r="E14" t="s">
        <v>708</v>
      </c>
      <c r="F14" t="s">
        <v>1353</v>
      </c>
      <c r="G14" s="487" t="str">
        <f t="shared" si="1"/>
        <v>e-hydrogen (Alkaline)GlobalCAPEX</v>
      </c>
      <c r="H14" s="493">
        <v>232.54704730891777</v>
      </c>
      <c r="I14" s="493">
        <v>220.91583720088238</v>
      </c>
      <c r="J14" s="493">
        <v>209.2846270928431</v>
      </c>
      <c r="K14" s="493">
        <v>197.74635039698333</v>
      </c>
      <c r="L14" s="493">
        <v>186.20807370111967</v>
      </c>
      <c r="M14" s="493">
        <v>174.66979700525991</v>
      </c>
      <c r="N14" s="493">
        <v>163.13152030940012</v>
      </c>
      <c r="O14" s="493">
        <v>151.59324361353646</v>
      </c>
      <c r="P14" s="493">
        <v>148.64007525246902</v>
      </c>
      <c r="Q14" s="493">
        <v>145.68690689139865</v>
      </c>
      <c r="R14" s="493">
        <v>142.73373853032825</v>
      </c>
      <c r="S14" s="493">
        <v>139.78057016925789</v>
      </c>
      <c r="T14" s="493">
        <v>136.82740180818655</v>
      </c>
      <c r="U14" s="493">
        <v>133.89755711083319</v>
      </c>
      <c r="V14" s="493">
        <v>130.96771241347886</v>
      </c>
      <c r="W14" s="493">
        <v>128.03786771612553</v>
      </c>
      <c r="X14" s="493">
        <v>125.10802301877121</v>
      </c>
      <c r="Y14" s="493">
        <v>122.17817832141591</v>
      </c>
      <c r="Z14" s="493">
        <v>119.27151720659167</v>
      </c>
      <c r="AA14" s="493">
        <v>116.36485609176744</v>
      </c>
      <c r="AB14" s="493">
        <v>113.45819497694222</v>
      </c>
      <c r="AC14" s="493">
        <v>110.55153386211799</v>
      </c>
      <c r="AD14" s="493">
        <v>107.64487274729473</v>
      </c>
      <c r="AE14" s="493">
        <v>104.76125588428985</v>
      </c>
      <c r="AF14" s="493">
        <v>101.87763902128403</v>
      </c>
      <c r="AG14" s="493">
        <v>98.994022158279165</v>
      </c>
      <c r="AH14" s="493">
        <v>96.110405295274305</v>
      </c>
      <c r="AI14" s="493">
        <v>93.226788432268464</v>
      </c>
    </row>
    <row r="15" spans="2:35" outlineLevel="1">
      <c r="B15" t="str">
        <f t="shared" si="0"/>
        <v/>
      </c>
      <c r="G15" s="487" t="str">
        <f t="shared" si="1"/>
        <v/>
      </c>
      <c r="H15" s="493"/>
      <c r="I15" s="493"/>
      <c r="J15" s="493"/>
      <c r="K15" s="493"/>
      <c r="L15" s="493"/>
      <c r="M15" s="493"/>
      <c r="N15" s="493"/>
      <c r="O15" s="493"/>
      <c r="P15" s="493"/>
      <c r="Q15" s="493"/>
      <c r="R15" s="493"/>
      <c r="S15" s="493"/>
      <c r="T15" s="493"/>
      <c r="U15" s="493"/>
      <c r="V15" s="493"/>
      <c r="W15" s="493"/>
      <c r="X15" s="493"/>
      <c r="Y15" s="493"/>
      <c r="Z15" s="493"/>
      <c r="AA15" s="493"/>
      <c r="AB15" s="493"/>
      <c r="AC15" s="493"/>
      <c r="AD15" s="493"/>
      <c r="AE15" s="493"/>
      <c r="AF15" s="493"/>
      <c r="AG15" s="493"/>
      <c r="AH15" s="493"/>
      <c r="AI15" s="493"/>
    </row>
    <row r="16" spans="2:35" ht="15" outlineLevel="1">
      <c r="B16" t="str">
        <f t="shared" si="0"/>
        <v>e-hydrogen (Alkaline) - OPEX including feedstock OPEX - Global - USD/ton fuel</v>
      </c>
      <c r="C16" s="491" t="str">
        <f>C7</f>
        <v>e-hydrogen (Alkaline)</v>
      </c>
      <c r="D16" s="491" t="s">
        <v>1364</v>
      </c>
      <c r="E16" s="491" t="s">
        <v>708</v>
      </c>
      <c r="F16" s="491" t="s">
        <v>1353</v>
      </c>
      <c r="G16" s="487" t="str">
        <f t="shared" si="1"/>
        <v>e-hydrogen (Alkaline)GlobalOPEX including feedstock OPEX</v>
      </c>
      <c r="H16" s="492">
        <v>697.64114192676789</v>
      </c>
      <c r="I16" s="492">
        <v>662.74751160264714</v>
      </c>
      <c r="J16" s="492">
        <v>627.85388127852639</v>
      </c>
      <c r="K16" s="492">
        <v>593.23905119094707</v>
      </c>
      <c r="L16" s="492">
        <v>558.62422110336774</v>
      </c>
      <c r="M16" s="492">
        <v>524.00939101577387</v>
      </c>
      <c r="N16" s="492">
        <v>489.39456092819455</v>
      </c>
      <c r="O16" s="492">
        <v>454.77973084061523</v>
      </c>
      <c r="P16" s="492">
        <v>445.92022575740339</v>
      </c>
      <c r="Q16" s="492">
        <v>437.06072067419154</v>
      </c>
      <c r="R16" s="492">
        <v>428.2012155909797</v>
      </c>
      <c r="S16" s="492">
        <v>419.34171050776786</v>
      </c>
      <c r="T16" s="492">
        <v>410.48220542455965</v>
      </c>
      <c r="U16" s="492">
        <v>401.69267133249741</v>
      </c>
      <c r="V16" s="492">
        <v>392.90313724043517</v>
      </c>
      <c r="W16" s="492">
        <v>384.11360314837293</v>
      </c>
      <c r="X16" s="492">
        <v>375.32406905631433</v>
      </c>
      <c r="Y16" s="492">
        <v>366.53453496425209</v>
      </c>
      <c r="Z16" s="492">
        <v>357.81455161977647</v>
      </c>
      <c r="AA16" s="492">
        <v>349.09456827530448</v>
      </c>
      <c r="AB16" s="492">
        <v>340.37458493082886</v>
      </c>
      <c r="AC16" s="492">
        <v>331.65460158635688</v>
      </c>
      <c r="AD16" s="492">
        <v>322.93461824188489</v>
      </c>
      <c r="AE16" s="492">
        <v>314.28376765286885</v>
      </c>
      <c r="AF16" s="492">
        <v>305.6329170638528</v>
      </c>
      <c r="AG16" s="492">
        <v>296.98206647483676</v>
      </c>
      <c r="AH16" s="492">
        <v>288.33121588582071</v>
      </c>
      <c r="AI16" s="492">
        <v>279.68036529680467</v>
      </c>
    </row>
    <row r="17" spans="2:64" outlineLevel="1">
      <c r="B17" t="str">
        <f t="shared" si="0"/>
        <v>e-hydrogen (Alkaline) - OPEX - Global - USD/ton fuel</v>
      </c>
      <c r="C17" t="str">
        <f>C6</f>
        <v>e-hydrogen (Alkaline)</v>
      </c>
      <c r="D17" t="s">
        <v>450</v>
      </c>
      <c r="E17" t="s">
        <v>708</v>
      </c>
      <c r="F17" t="s">
        <v>1353</v>
      </c>
      <c r="G17" s="487" t="str">
        <f t="shared" si="1"/>
        <v>e-hydrogen (Alkaline)GlobalOPEX</v>
      </c>
      <c r="H17" s="493">
        <v>697.64114192676789</v>
      </c>
      <c r="I17" s="493">
        <v>662.74751160264714</v>
      </c>
      <c r="J17" s="493">
        <v>627.85388127852639</v>
      </c>
      <c r="K17" s="493">
        <v>593.23905119094707</v>
      </c>
      <c r="L17" s="493">
        <v>558.62422110336774</v>
      </c>
      <c r="M17" s="493">
        <v>524.00939101577387</v>
      </c>
      <c r="N17" s="493">
        <v>489.39456092819455</v>
      </c>
      <c r="O17" s="493">
        <v>454.77973084061523</v>
      </c>
      <c r="P17" s="493">
        <v>445.92022575740339</v>
      </c>
      <c r="Q17" s="493">
        <v>437.06072067419154</v>
      </c>
      <c r="R17" s="493">
        <v>428.2012155909797</v>
      </c>
      <c r="S17" s="493">
        <v>419.34171050776786</v>
      </c>
      <c r="T17" s="493">
        <v>410.48220542455965</v>
      </c>
      <c r="U17" s="493">
        <v>401.69267133249741</v>
      </c>
      <c r="V17" s="493">
        <v>392.90313724043517</v>
      </c>
      <c r="W17" s="493">
        <v>384.11360314837293</v>
      </c>
      <c r="X17" s="493">
        <v>375.32406905631433</v>
      </c>
      <c r="Y17" s="493">
        <v>366.53453496425209</v>
      </c>
      <c r="Z17" s="493">
        <v>357.81455161977647</v>
      </c>
      <c r="AA17" s="493">
        <v>349.09456827530448</v>
      </c>
      <c r="AB17" s="493">
        <v>340.37458493082886</v>
      </c>
      <c r="AC17" s="493">
        <v>331.65460158635688</v>
      </c>
      <c r="AD17" s="493">
        <v>322.93461824188489</v>
      </c>
      <c r="AE17" s="493">
        <v>314.28376765286885</v>
      </c>
      <c r="AF17" s="493">
        <v>305.6329170638528</v>
      </c>
      <c r="AG17" s="493">
        <v>296.98206647483676</v>
      </c>
      <c r="AH17" s="493">
        <v>288.33121588582071</v>
      </c>
      <c r="AI17" s="493">
        <v>279.68036529680467</v>
      </c>
    </row>
    <row r="18" spans="2:64" outlineLevel="1">
      <c r="B18" t="str">
        <f t="shared" si="0"/>
        <v/>
      </c>
      <c r="G18" s="487" t="str">
        <f t="shared" si="1"/>
        <v/>
      </c>
      <c r="H18" s="493"/>
      <c r="I18" s="493"/>
      <c r="J18" s="493"/>
      <c r="K18" s="493"/>
      <c r="L18" s="493"/>
      <c r="M18" s="493"/>
      <c r="N18" s="493"/>
      <c r="O18" s="493"/>
      <c r="P18" s="493"/>
      <c r="Q18" s="493"/>
      <c r="R18" s="493"/>
      <c r="S18" s="493"/>
      <c r="T18" s="493"/>
      <c r="U18" s="493"/>
      <c r="V18" s="493"/>
      <c r="W18" s="493"/>
      <c r="X18" s="493"/>
      <c r="Y18" s="493"/>
      <c r="Z18" s="493"/>
      <c r="AA18" s="493"/>
      <c r="AB18" s="493"/>
      <c r="AC18" s="493"/>
      <c r="AD18" s="493"/>
      <c r="AE18" s="493"/>
      <c r="AF18" s="493"/>
      <c r="AG18" s="493"/>
      <c r="AH18" s="493"/>
      <c r="AI18" s="493"/>
    </row>
    <row r="19" spans="2:64" ht="15" outlineLevel="1">
      <c r="B19" t="str">
        <f t="shared" si="0"/>
        <v>e-hydrogen (Alkaline) - Finance cost including feedstock finance cost - Africa - USD/ton fuel</v>
      </c>
      <c r="C19" s="494" t="str">
        <f>C10</f>
        <v>e-hydrogen (Alkaline)</v>
      </c>
      <c r="D19" s="494" t="s">
        <v>1365</v>
      </c>
      <c r="E19" s="494" t="s">
        <v>838</v>
      </c>
      <c r="F19" s="494" t="s">
        <v>1353</v>
      </c>
      <c r="G19" s="487" t="str">
        <f t="shared" si="1"/>
        <v>e-hydrogen (Alkaline)AfricaFinance cost including feedstock finance cost</v>
      </c>
      <c r="H19" s="495">
        <v>383.70262805971436</v>
      </c>
      <c r="I19" s="495">
        <v>364.51113138145598</v>
      </c>
      <c r="J19" s="495">
        <v>345.31963470319118</v>
      </c>
      <c r="K19" s="495">
        <v>326.28147815502251</v>
      </c>
      <c r="L19" s="495">
        <v>307.24332160684747</v>
      </c>
      <c r="M19" s="495">
        <v>288.20516505867886</v>
      </c>
      <c r="N19" s="495">
        <v>269.16700851051024</v>
      </c>
      <c r="O19" s="495">
        <v>250.1288519623352</v>
      </c>
      <c r="P19" s="495">
        <v>245.2561241665739</v>
      </c>
      <c r="Q19" s="495">
        <v>240.38339637080779</v>
      </c>
      <c r="R19" s="495">
        <v>235.51066857504168</v>
      </c>
      <c r="S19" s="495">
        <v>230.63794077927557</v>
      </c>
      <c r="T19" s="495">
        <v>225.76521298350784</v>
      </c>
      <c r="U19" s="495">
        <v>220.93096923287482</v>
      </c>
      <c r="V19" s="495">
        <v>216.09672548224017</v>
      </c>
      <c r="W19" s="495">
        <v>211.26248173160715</v>
      </c>
      <c r="X19" s="495">
        <v>206.42823798097251</v>
      </c>
      <c r="Y19" s="495">
        <v>201.59399423033628</v>
      </c>
      <c r="Z19" s="495">
        <v>196.79800339087629</v>
      </c>
      <c r="AA19" s="495">
        <v>192.0020125514163</v>
      </c>
      <c r="AB19" s="495">
        <v>187.20602171195469</v>
      </c>
      <c r="AC19" s="495">
        <v>182.4100308724947</v>
      </c>
      <c r="AD19" s="495">
        <v>177.6140400330363</v>
      </c>
      <c r="AE19" s="495">
        <v>172.85607220907829</v>
      </c>
      <c r="AF19" s="495">
        <v>168.09810438511866</v>
      </c>
      <c r="AG19" s="495">
        <v>163.34013656116065</v>
      </c>
      <c r="AH19" s="495">
        <v>158.58216873720261</v>
      </c>
      <c r="AI19" s="495">
        <v>153.82420091324298</v>
      </c>
    </row>
    <row r="20" spans="2:64" ht="15" outlineLevel="1">
      <c r="B20" t="str">
        <f t="shared" si="0"/>
        <v>e-hydrogen (Alkaline) - Finance cost including feedstock finance cost - Americas - USD/ton fuel</v>
      </c>
      <c r="C20" s="22" t="str">
        <f>C10</f>
        <v>e-hydrogen (Alkaline)</v>
      </c>
      <c r="D20" s="22" t="s">
        <v>1365</v>
      </c>
      <c r="E20" s="22" t="s">
        <v>731</v>
      </c>
      <c r="F20" s="22" t="s">
        <v>1353</v>
      </c>
      <c r="G20" s="487" t="str">
        <f t="shared" si="1"/>
        <v>e-hydrogen (Alkaline)AmericasFinance cost including feedstock finance cost</v>
      </c>
      <c r="H20" s="496">
        <v>383.70262805971436</v>
      </c>
      <c r="I20" s="496">
        <v>364.51113138145598</v>
      </c>
      <c r="J20" s="496">
        <v>345.31963470319118</v>
      </c>
      <c r="K20" s="496">
        <v>326.28147815502251</v>
      </c>
      <c r="L20" s="496">
        <v>307.24332160684747</v>
      </c>
      <c r="M20" s="496">
        <v>288.20516505867886</v>
      </c>
      <c r="N20" s="496">
        <v>269.16700851051024</v>
      </c>
      <c r="O20" s="496">
        <v>250.1288519623352</v>
      </c>
      <c r="P20" s="496">
        <v>245.2561241665739</v>
      </c>
      <c r="Q20" s="496">
        <v>240.38339637080779</v>
      </c>
      <c r="R20" s="496">
        <v>235.51066857504168</v>
      </c>
      <c r="S20" s="496">
        <v>230.63794077927557</v>
      </c>
      <c r="T20" s="496">
        <v>225.76521298350784</v>
      </c>
      <c r="U20" s="496">
        <v>220.93096923287482</v>
      </c>
      <c r="V20" s="496">
        <v>216.09672548224017</v>
      </c>
      <c r="W20" s="496">
        <v>211.26248173160715</v>
      </c>
      <c r="X20" s="496">
        <v>206.42823798097251</v>
      </c>
      <c r="Y20" s="496">
        <v>201.59399423033628</v>
      </c>
      <c r="Z20" s="496">
        <v>196.79800339087629</v>
      </c>
      <c r="AA20" s="496">
        <v>192.0020125514163</v>
      </c>
      <c r="AB20" s="496">
        <v>187.20602171195469</v>
      </c>
      <c r="AC20" s="496">
        <v>182.4100308724947</v>
      </c>
      <c r="AD20" s="496">
        <v>177.6140400330363</v>
      </c>
      <c r="AE20" s="496">
        <v>172.85607220907829</v>
      </c>
      <c r="AF20" s="496">
        <v>168.09810438511866</v>
      </c>
      <c r="AG20" s="496">
        <v>163.34013656116065</v>
      </c>
      <c r="AH20" s="496">
        <v>158.58216873720261</v>
      </c>
      <c r="AI20" s="496">
        <v>153.82420091324298</v>
      </c>
    </row>
    <row r="21" spans="2:64" ht="15" outlineLevel="1">
      <c r="B21" t="str">
        <f t="shared" si="0"/>
        <v>e-hydrogen (Alkaline) - Finance cost including feedstock finance cost - Asia - USD/ton fuel</v>
      </c>
      <c r="C21" s="22" t="str">
        <f>C10</f>
        <v>e-hydrogen (Alkaline)</v>
      </c>
      <c r="D21" s="22" t="s">
        <v>1365</v>
      </c>
      <c r="E21" s="22" t="s">
        <v>750</v>
      </c>
      <c r="F21" s="22" t="s">
        <v>1353</v>
      </c>
      <c r="G21" s="487" t="str">
        <f t="shared" si="1"/>
        <v>e-hydrogen (Alkaline)AsiaFinance cost including feedstock finance cost</v>
      </c>
      <c r="H21" s="496">
        <v>383.70262805971436</v>
      </c>
      <c r="I21" s="496">
        <v>364.51113138145598</v>
      </c>
      <c r="J21" s="496">
        <v>345.31963470319118</v>
      </c>
      <c r="K21" s="496">
        <v>326.28147815502251</v>
      </c>
      <c r="L21" s="496">
        <v>307.24332160684747</v>
      </c>
      <c r="M21" s="496">
        <v>288.20516505867886</v>
      </c>
      <c r="N21" s="496">
        <v>269.16700851051024</v>
      </c>
      <c r="O21" s="496">
        <v>250.1288519623352</v>
      </c>
      <c r="P21" s="496">
        <v>245.2561241665739</v>
      </c>
      <c r="Q21" s="496">
        <v>240.38339637080779</v>
      </c>
      <c r="R21" s="496">
        <v>235.51066857504168</v>
      </c>
      <c r="S21" s="496">
        <v>230.63794077927557</v>
      </c>
      <c r="T21" s="496">
        <v>225.76521298350784</v>
      </c>
      <c r="U21" s="496">
        <v>220.93096923287482</v>
      </c>
      <c r="V21" s="496">
        <v>216.09672548224017</v>
      </c>
      <c r="W21" s="496">
        <v>211.26248173160715</v>
      </c>
      <c r="X21" s="496">
        <v>206.42823798097251</v>
      </c>
      <c r="Y21" s="496">
        <v>201.59399423033628</v>
      </c>
      <c r="Z21" s="496">
        <v>196.79800339087629</v>
      </c>
      <c r="AA21" s="496">
        <v>192.0020125514163</v>
      </c>
      <c r="AB21" s="496">
        <v>187.20602171195469</v>
      </c>
      <c r="AC21" s="496">
        <v>182.4100308724947</v>
      </c>
      <c r="AD21" s="496">
        <v>177.6140400330363</v>
      </c>
      <c r="AE21" s="496">
        <v>172.85607220907829</v>
      </c>
      <c r="AF21" s="496">
        <v>168.09810438511866</v>
      </c>
      <c r="AG21" s="496">
        <v>163.34013656116065</v>
      </c>
      <c r="AH21" s="496">
        <v>158.58216873720261</v>
      </c>
      <c r="AI21" s="496">
        <v>153.82420091324298</v>
      </c>
    </row>
    <row r="22" spans="2:64" ht="15" outlineLevel="1">
      <c r="B22" t="str">
        <f t="shared" si="0"/>
        <v>e-hydrogen (Alkaline) - Finance cost including feedstock finance cost - Europe - USD/ton fuel</v>
      </c>
      <c r="C22" s="22" t="str">
        <f>C10</f>
        <v>e-hydrogen (Alkaline)</v>
      </c>
      <c r="D22" s="22" t="s">
        <v>1365</v>
      </c>
      <c r="E22" s="22" t="s">
        <v>720</v>
      </c>
      <c r="F22" s="22" t="s">
        <v>1353</v>
      </c>
      <c r="G22" s="487" t="str">
        <f t="shared" si="1"/>
        <v>e-hydrogen (Alkaline)EuropeFinance cost including feedstock finance cost</v>
      </c>
      <c r="H22" s="496">
        <v>383.70262805971436</v>
      </c>
      <c r="I22" s="496">
        <v>364.51113138145598</v>
      </c>
      <c r="J22" s="496">
        <v>345.31963470319118</v>
      </c>
      <c r="K22" s="496">
        <v>326.28147815502251</v>
      </c>
      <c r="L22" s="496">
        <v>307.24332160684747</v>
      </c>
      <c r="M22" s="496">
        <v>288.20516505867886</v>
      </c>
      <c r="N22" s="496">
        <v>269.16700851051024</v>
      </c>
      <c r="O22" s="496">
        <v>250.1288519623352</v>
      </c>
      <c r="P22" s="496">
        <v>245.2561241665739</v>
      </c>
      <c r="Q22" s="496">
        <v>240.38339637080779</v>
      </c>
      <c r="R22" s="496">
        <v>235.51066857504168</v>
      </c>
      <c r="S22" s="496">
        <v>230.63794077927557</v>
      </c>
      <c r="T22" s="496">
        <v>225.76521298350784</v>
      </c>
      <c r="U22" s="496">
        <v>220.93096923287482</v>
      </c>
      <c r="V22" s="496">
        <v>216.09672548224017</v>
      </c>
      <c r="W22" s="496">
        <v>211.26248173160715</v>
      </c>
      <c r="X22" s="496">
        <v>206.42823798097251</v>
      </c>
      <c r="Y22" s="496">
        <v>201.59399423033628</v>
      </c>
      <c r="Z22" s="496">
        <v>196.79800339087629</v>
      </c>
      <c r="AA22" s="496">
        <v>192.0020125514163</v>
      </c>
      <c r="AB22" s="496">
        <v>187.20602171195469</v>
      </c>
      <c r="AC22" s="496">
        <v>182.4100308724947</v>
      </c>
      <c r="AD22" s="496">
        <v>177.6140400330363</v>
      </c>
      <c r="AE22" s="496">
        <v>172.85607220907829</v>
      </c>
      <c r="AF22" s="496">
        <v>168.09810438511866</v>
      </c>
      <c r="AG22" s="496">
        <v>163.34013656116065</v>
      </c>
      <c r="AH22" s="496">
        <v>158.58216873720261</v>
      </c>
      <c r="AI22" s="496">
        <v>153.82420091324298</v>
      </c>
    </row>
    <row r="23" spans="2:64" ht="15" outlineLevel="1">
      <c r="B23" t="str">
        <f t="shared" si="0"/>
        <v>e-hydrogen (Alkaline) - Finance cost including feedstock finance cost - Middle East - USD/ton fuel</v>
      </c>
      <c r="C23" s="92" t="str">
        <f>C10</f>
        <v>e-hydrogen (Alkaline)</v>
      </c>
      <c r="D23" s="92" t="s">
        <v>1365</v>
      </c>
      <c r="E23" s="92" t="s">
        <v>826</v>
      </c>
      <c r="F23" s="92" t="s">
        <v>1353</v>
      </c>
      <c r="G23" s="487" t="str">
        <f t="shared" si="1"/>
        <v>e-hydrogen (Alkaline)Middle EastFinance cost including feedstock finance cost</v>
      </c>
      <c r="H23" s="497">
        <v>383.70262805971436</v>
      </c>
      <c r="I23" s="497">
        <v>364.51113138145598</v>
      </c>
      <c r="J23" s="497">
        <v>345.31963470319118</v>
      </c>
      <c r="K23" s="497">
        <v>326.28147815502251</v>
      </c>
      <c r="L23" s="497">
        <v>307.24332160684747</v>
      </c>
      <c r="M23" s="497">
        <v>288.20516505867886</v>
      </c>
      <c r="N23" s="497">
        <v>269.16700851051024</v>
      </c>
      <c r="O23" s="497">
        <v>250.1288519623352</v>
      </c>
      <c r="P23" s="497">
        <v>245.2561241665739</v>
      </c>
      <c r="Q23" s="497">
        <v>240.38339637080779</v>
      </c>
      <c r="R23" s="497">
        <v>235.51066857504168</v>
      </c>
      <c r="S23" s="497">
        <v>230.63794077927557</v>
      </c>
      <c r="T23" s="497">
        <v>225.76521298350784</v>
      </c>
      <c r="U23" s="497">
        <v>220.93096923287482</v>
      </c>
      <c r="V23" s="497">
        <v>216.09672548224017</v>
      </c>
      <c r="W23" s="497">
        <v>211.26248173160715</v>
      </c>
      <c r="X23" s="497">
        <v>206.42823798097251</v>
      </c>
      <c r="Y23" s="497">
        <v>201.59399423033628</v>
      </c>
      <c r="Z23" s="497">
        <v>196.79800339087629</v>
      </c>
      <c r="AA23" s="497">
        <v>192.0020125514163</v>
      </c>
      <c r="AB23" s="497">
        <v>187.20602171195469</v>
      </c>
      <c r="AC23" s="497">
        <v>182.4100308724947</v>
      </c>
      <c r="AD23" s="497">
        <v>177.6140400330363</v>
      </c>
      <c r="AE23" s="497">
        <v>172.85607220907829</v>
      </c>
      <c r="AF23" s="497">
        <v>168.09810438511866</v>
      </c>
      <c r="AG23" s="497">
        <v>163.34013656116065</v>
      </c>
      <c r="AH23" s="497">
        <v>158.58216873720261</v>
      </c>
      <c r="AI23" s="497">
        <v>153.82420091324298</v>
      </c>
    </row>
    <row r="24" spans="2:64" outlineLevel="1">
      <c r="B24" t="str">
        <f t="shared" si="0"/>
        <v>e-hydrogen (Alkaline) - Finance cost - Africa - USD/ton fuel</v>
      </c>
      <c r="C24" t="str">
        <f>C6</f>
        <v>e-hydrogen (Alkaline)</v>
      </c>
      <c r="D24" t="s">
        <v>1366</v>
      </c>
      <c r="E24" t="s">
        <v>838</v>
      </c>
      <c r="F24" t="s">
        <v>1353</v>
      </c>
      <c r="G24" s="487" t="str">
        <f t="shared" si="1"/>
        <v>e-hydrogen (Alkaline)AfricaFinance cost</v>
      </c>
      <c r="H24" s="493">
        <v>383.70262805971436</v>
      </c>
      <c r="I24" s="493">
        <v>364.51113138145598</v>
      </c>
      <c r="J24" s="493">
        <v>345.31963470319118</v>
      </c>
      <c r="K24" s="493">
        <v>326.28147815502251</v>
      </c>
      <c r="L24" s="493">
        <v>307.24332160684747</v>
      </c>
      <c r="M24" s="493">
        <v>288.20516505867886</v>
      </c>
      <c r="N24" s="493">
        <v>269.16700851051024</v>
      </c>
      <c r="O24" s="493">
        <v>250.1288519623352</v>
      </c>
      <c r="P24" s="493">
        <v>245.2561241665739</v>
      </c>
      <c r="Q24" s="493">
        <v>240.38339637080779</v>
      </c>
      <c r="R24" s="493">
        <v>235.51066857504168</v>
      </c>
      <c r="S24" s="493">
        <v>230.63794077927557</v>
      </c>
      <c r="T24" s="493">
        <v>225.76521298350784</v>
      </c>
      <c r="U24" s="493">
        <v>220.93096923287482</v>
      </c>
      <c r="V24" s="493">
        <v>216.09672548224017</v>
      </c>
      <c r="W24" s="493">
        <v>211.26248173160715</v>
      </c>
      <c r="X24" s="493">
        <v>206.42823798097251</v>
      </c>
      <c r="Y24" s="493">
        <v>201.59399423033628</v>
      </c>
      <c r="Z24" s="493">
        <v>196.79800339087629</v>
      </c>
      <c r="AA24" s="493">
        <v>192.0020125514163</v>
      </c>
      <c r="AB24" s="493">
        <v>187.20602171195469</v>
      </c>
      <c r="AC24" s="493">
        <v>182.4100308724947</v>
      </c>
      <c r="AD24" s="493">
        <v>177.6140400330363</v>
      </c>
      <c r="AE24" s="493">
        <v>172.85607220907829</v>
      </c>
      <c r="AF24" s="493">
        <v>168.09810438511866</v>
      </c>
      <c r="AG24" s="493">
        <v>163.34013656116065</v>
      </c>
      <c r="AH24" s="493">
        <v>158.58216873720261</v>
      </c>
      <c r="AI24" s="493">
        <v>153.82420091324298</v>
      </c>
    </row>
    <row r="25" spans="2:64" outlineLevel="1">
      <c r="B25" t="str">
        <f t="shared" si="0"/>
        <v>e-hydrogen (Alkaline) - Finance cost - Americas - USD/ton fuel</v>
      </c>
      <c r="C25" t="str">
        <f>C6</f>
        <v>e-hydrogen (Alkaline)</v>
      </c>
      <c r="D25" t="s">
        <v>1366</v>
      </c>
      <c r="E25" t="s">
        <v>731</v>
      </c>
      <c r="F25" t="s">
        <v>1353</v>
      </c>
      <c r="G25" s="487" t="str">
        <f t="shared" si="1"/>
        <v>e-hydrogen (Alkaline)AmericasFinance cost</v>
      </c>
      <c r="H25" s="493">
        <v>383.70262805971436</v>
      </c>
      <c r="I25" s="493">
        <v>364.51113138145598</v>
      </c>
      <c r="J25" s="493">
        <v>345.31963470319118</v>
      </c>
      <c r="K25" s="493">
        <v>326.28147815502251</v>
      </c>
      <c r="L25" s="493">
        <v>307.24332160684747</v>
      </c>
      <c r="M25" s="493">
        <v>288.20516505867886</v>
      </c>
      <c r="N25" s="493">
        <v>269.16700851051024</v>
      </c>
      <c r="O25" s="493">
        <v>250.1288519623352</v>
      </c>
      <c r="P25" s="493">
        <v>245.2561241665739</v>
      </c>
      <c r="Q25" s="493">
        <v>240.38339637080779</v>
      </c>
      <c r="R25" s="493">
        <v>235.51066857504168</v>
      </c>
      <c r="S25" s="493">
        <v>230.63794077927557</v>
      </c>
      <c r="T25" s="493">
        <v>225.76521298350784</v>
      </c>
      <c r="U25" s="493">
        <v>220.93096923287482</v>
      </c>
      <c r="V25" s="493">
        <v>216.09672548224017</v>
      </c>
      <c r="W25" s="493">
        <v>211.26248173160715</v>
      </c>
      <c r="X25" s="493">
        <v>206.42823798097251</v>
      </c>
      <c r="Y25" s="493">
        <v>201.59399423033628</v>
      </c>
      <c r="Z25" s="493">
        <v>196.79800339087629</v>
      </c>
      <c r="AA25" s="493">
        <v>192.0020125514163</v>
      </c>
      <c r="AB25" s="493">
        <v>187.20602171195469</v>
      </c>
      <c r="AC25" s="493">
        <v>182.4100308724947</v>
      </c>
      <c r="AD25" s="493">
        <v>177.6140400330363</v>
      </c>
      <c r="AE25" s="493">
        <v>172.85607220907829</v>
      </c>
      <c r="AF25" s="493">
        <v>168.09810438511866</v>
      </c>
      <c r="AG25" s="493">
        <v>163.34013656116065</v>
      </c>
      <c r="AH25" s="493">
        <v>158.58216873720261</v>
      </c>
      <c r="AI25" s="493">
        <v>153.82420091324298</v>
      </c>
    </row>
    <row r="26" spans="2:64" outlineLevel="1">
      <c r="B26" t="str">
        <f t="shared" si="0"/>
        <v>e-hydrogen (Alkaline) - Finance cost - Asia - USD/ton fuel</v>
      </c>
      <c r="C26" t="str">
        <f>C6</f>
        <v>e-hydrogen (Alkaline)</v>
      </c>
      <c r="D26" t="s">
        <v>1366</v>
      </c>
      <c r="E26" t="s">
        <v>750</v>
      </c>
      <c r="F26" t="s">
        <v>1353</v>
      </c>
      <c r="G26" s="487" t="str">
        <f t="shared" si="1"/>
        <v>e-hydrogen (Alkaline)AsiaFinance cost</v>
      </c>
      <c r="H26" s="493">
        <v>383.70262805971436</v>
      </c>
      <c r="I26" s="493">
        <v>364.51113138145598</v>
      </c>
      <c r="J26" s="493">
        <v>345.31963470319118</v>
      </c>
      <c r="K26" s="493">
        <v>326.28147815502251</v>
      </c>
      <c r="L26" s="493">
        <v>307.24332160684747</v>
      </c>
      <c r="M26" s="493">
        <v>288.20516505867886</v>
      </c>
      <c r="N26" s="493">
        <v>269.16700851051024</v>
      </c>
      <c r="O26" s="493">
        <v>250.1288519623352</v>
      </c>
      <c r="P26" s="493">
        <v>245.2561241665739</v>
      </c>
      <c r="Q26" s="493">
        <v>240.38339637080779</v>
      </c>
      <c r="R26" s="493">
        <v>235.51066857504168</v>
      </c>
      <c r="S26" s="493">
        <v>230.63794077927557</v>
      </c>
      <c r="T26" s="493">
        <v>225.76521298350784</v>
      </c>
      <c r="U26" s="493">
        <v>220.93096923287482</v>
      </c>
      <c r="V26" s="493">
        <v>216.09672548224017</v>
      </c>
      <c r="W26" s="493">
        <v>211.26248173160715</v>
      </c>
      <c r="X26" s="493">
        <v>206.42823798097251</v>
      </c>
      <c r="Y26" s="493">
        <v>201.59399423033628</v>
      </c>
      <c r="Z26" s="493">
        <v>196.79800339087629</v>
      </c>
      <c r="AA26" s="493">
        <v>192.0020125514163</v>
      </c>
      <c r="AB26" s="493">
        <v>187.20602171195469</v>
      </c>
      <c r="AC26" s="493">
        <v>182.4100308724947</v>
      </c>
      <c r="AD26" s="493">
        <v>177.6140400330363</v>
      </c>
      <c r="AE26" s="493">
        <v>172.85607220907829</v>
      </c>
      <c r="AF26" s="493">
        <v>168.09810438511866</v>
      </c>
      <c r="AG26" s="493">
        <v>163.34013656116065</v>
      </c>
      <c r="AH26" s="493">
        <v>158.58216873720261</v>
      </c>
      <c r="AI26" s="493">
        <v>153.82420091324298</v>
      </c>
    </row>
    <row r="27" spans="2:64" outlineLevel="1">
      <c r="B27" t="str">
        <f t="shared" si="0"/>
        <v>e-hydrogen (Alkaline) - Finance cost - Europe - USD/ton fuel</v>
      </c>
      <c r="C27" t="str">
        <f>C6</f>
        <v>e-hydrogen (Alkaline)</v>
      </c>
      <c r="D27" t="s">
        <v>1366</v>
      </c>
      <c r="E27" t="s">
        <v>720</v>
      </c>
      <c r="F27" t="s">
        <v>1353</v>
      </c>
      <c r="G27" s="487" t="str">
        <f t="shared" si="1"/>
        <v>e-hydrogen (Alkaline)EuropeFinance cost</v>
      </c>
      <c r="H27" s="493">
        <v>383.70262805971436</v>
      </c>
      <c r="I27" s="493">
        <v>364.51113138145598</v>
      </c>
      <c r="J27" s="493">
        <v>345.31963470319118</v>
      </c>
      <c r="K27" s="493">
        <v>326.28147815502251</v>
      </c>
      <c r="L27" s="493">
        <v>307.24332160684747</v>
      </c>
      <c r="M27" s="493">
        <v>288.20516505867886</v>
      </c>
      <c r="N27" s="493">
        <v>269.16700851051024</v>
      </c>
      <c r="O27" s="493">
        <v>250.1288519623352</v>
      </c>
      <c r="P27" s="493">
        <v>245.2561241665739</v>
      </c>
      <c r="Q27" s="493">
        <v>240.38339637080779</v>
      </c>
      <c r="R27" s="493">
        <v>235.51066857504168</v>
      </c>
      <c r="S27" s="493">
        <v>230.63794077927557</v>
      </c>
      <c r="T27" s="493">
        <v>225.76521298350784</v>
      </c>
      <c r="U27" s="493">
        <v>220.93096923287482</v>
      </c>
      <c r="V27" s="493">
        <v>216.09672548224017</v>
      </c>
      <c r="W27" s="493">
        <v>211.26248173160715</v>
      </c>
      <c r="X27" s="493">
        <v>206.42823798097251</v>
      </c>
      <c r="Y27" s="493">
        <v>201.59399423033628</v>
      </c>
      <c r="Z27" s="493">
        <v>196.79800339087629</v>
      </c>
      <c r="AA27" s="493">
        <v>192.0020125514163</v>
      </c>
      <c r="AB27" s="493">
        <v>187.20602171195469</v>
      </c>
      <c r="AC27" s="493">
        <v>182.4100308724947</v>
      </c>
      <c r="AD27" s="493">
        <v>177.6140400330363</v>
      </c>
      <c r="AE27" s="493">
        <v>172.85607220907829</v>
      </c>
      <c r="AF27" s="493">
        <v>168.09810438511866</v>
      </c>
      <c r="AG27" s="493">
        <v>163.34013656116065</v>
      </c>
      <c r="AH27" s="493">
        <v>158.58216873720261</v>
      </c>
      <c r="AI27" s="493">
        <v>153.82420091324298</v>
      </c>
    </row>
    <row r="28" spans="2:64" outlineLevel="1">
      <c r="B28" t="str">
        <f t="shared" si="0"/>
        <v>e-hydrogen (Alkaline) - Finance cost - Middle East - USD/ton fuel</v>
      </c>
      <c r="C28" t="str">
        <f>C6</f>
        <v>e-hydrogen (Alkaline)</v>
      </c>
      <c r="D28" t="s">
        <v>1366</v>
      </c>
      <c r="E28" t="s">
        <v>826</v>
      </c>
      <c r="F28" t="s">
        <v>1353</v>
      </c>
      <c r="G28" s="487" t="str">
        <f t="shared" si="1"/>
        <v>e-hydrogen (Alkaline)Middle EastFinance cost</v>
      </c>
      <c r="H28" s="493">
        <v>383.70262805971436</v>
      </c>
      <c r="I28" s="493">
        <v>364.51113138145598</v>
      </c>
      <c r="J28" s="493">
        <v>345.31963470319118</v>
      </c>
      <c r="K28" s="493">
        <v>326.28147815502251</v>
      </c>
      <c r="L28" s="493">
        <v>307.24332160684747</v>
      </c>
      <c r="M28" s="493">
        <v>288.20516505867886</v>
      </c>
      <c r="N28" s="493">
        <v>269.16700851051024</v>
      </c>
      <c r="O28" s="493">
        <v>250.1288519623352</v>
      </c>
      <c r="P28" s="493">
        <v>245.2561241665739</v>
      </c>
      <c r="Q28" s="493">
        <v>240.38339637080779</v>
      </c>
      <c r="R28" s="493">
        <v>235.51066857504168</v>
      </c>
      <c r="S28" s="493">
        <v>230.63794077927557</v>
      </c>
      <c r="T28" s="493">
        <v>225.76521298350784</v>
      </c>
      <c r="U28" s="493">
        <v>220.93096923287482</v>
      </c>
      <c r="V28" s="493">
        <v>216.09672548224017</v>
      </c>
      <c r="W28" s="493">
        <v>211.26248173160715</v>
      </c>
      <c r="X28" s="493">
        <v>206.42823798097251</v>
      </c>
      <c r="Y28" s="493">
        <v>201.59399423033628</v>
      </c>
      <c r="Z28" s="493">
        <v>196.79800339087629</v>
      </c>
      <c r="AA28" s="493">
        <v>192.0020125514163</v>
      </c>
      <c r="AB28" s="493">
        <v>187.20602171195469</v>
      </c>
      <c r="AC28" s="493">
        <v>182.4100308724947</v>
      </c>
      <c r="AD28" s="493">
        <v>177.6140400330363</v>
      </c>
      <c r="AE28" s="493">
        <v>172.85607220907829</v>
      </c>
      <c r="AF28" s="493">
        <v>168.09810438511866</v>
      </c>
      <c r="AG28" s="493">
        <v>163.34013656116065</v>
      </c>
      <c r="AH28" s="493">
        <v>158.58216873720261</v>
      </c>
      <c r="AI28" s="493">
        <v>153.82420091324298</v>
      </c>
    </row>
    <row r="29" spans="2:64" ht="15" outlineLevel="1" thickBot="1">
      <c r="B29" t="str">
        <f t="shared" si="0"/>
        <v/>
      </c>
      <c r="G29" s="487" t="str">
        <f t="shared" si="1"/>
        <v/>
      </c>
      <c r="H29" s="498"/>
    </row>
    <row r="30" spans="2:64" ht="15" outlineLevel="1">
      <c r="B30" t="str">
        <f t="shared" si="0"/>
        <v>e-hydrogen (Alkaline) - Energy cost including feedstock energy cost - Africa - USD/ton fuel</v>
      </c>
      <c r="C30" s="494" t="str">
        <f>C6</f>
        <v>e-hydrogen (Alkaline)</v>
      </c>
      <c r="D30" s="494" t="s">
        <v>1367</v>
      </c>
      <c r="E30" s="494" t="s">
        <v>838</v>
      </c>
      <c r="F30" s="494" t="s">
        <v>1353</v>
      </c>
      <c r="G30" s="487" t="str">
        <f t="shared" si="1"/>
        <v>e-hydrogen (Alkaline)AfricaEnergy cost including feedstock energy cost</v>
      </c>
      <c r="H30" s="495">
        <v>2924.2184208022281</v>
      </c>
      <c r="I30" s="495">
        <v>2578.7512488133598</v>
      </c>
      <c r="J30" s="495">
        <v>2233.8392780401587</v>
      </c>
      <c r="K30" s="495">
        <v>2136.5467657748268</v>
      </c>
      <c r="L30" s="495">
        <v>2039.408400538452</v>
      </c>
      <c r="M30" s="495">
        <v>1942.4241823310349</v>
      </c>
      <c r="N30" s="495">
        <v>1845.5941111525524</v>
      </c>
      <c r="O30" s="495">
        <v>1748.9181870030495</v>
      </c>
      <c r="P30" s="495">
        <v>1694.4194806950179</v>
      </c>
      <c r="Q30" s="495">
        <v>1640.0064724883205</v>
      </c>
      <c r="R30" s="495">
        <v>1585.6791623829354</v>
      </c>
      <c r="S30" s="495">
        <v>1531.4375503789083</v>
      </c>
      <c r="T30" s="495">
        <v>1477.2816364762216</v>
      </c>
      <c r="U30" s="495">
        <v>1451.2032385184193</v>
      </c>
      <c r="V30" s="495">
        <v>1425.1650145954839</v>
      </c>
      <c r="W30" s="495">
        <v>1399.1669647074043</v>
      </c>
      <c r="X30" s="495">
        <v>1373.2090888541857</v>
      </c>
      <c r="Y30" s="495">
        <v>1347.2913870358389</v>
      </c>
      <c r="Z30" s="495">
        <v>1320.7174303517695</v>
      </c>
      <c r="AA30" s="495">
        <v>1294.1846168915342</v>
      </c>
      <c r="AB30" s="495">
        <v>1267.6929466551221</v>
      </c>
      <c r="AC30" s="495">
        <v>1241.242419642555</v>
      </c>
      <c r="AD30" s="495">
        <v>1214.8330358538176</v>
      </c>
      <c r="AE30" s="495">
        <v>1201.3938481127943</v>
      </c>
      <c r="AF30" s="495">
        <v>1187.9747731370467</v>
      </c>
      <c r="AG30" s="495">
        <v>1174.5758109265635</v>
      </c>
      <c r="AH30" s="495">
        <v>1161.1969614813502</v>
      </c>
      <c r="AI30" s="495">
        <v>1147.8382248014127</v>
      </c>
      <c r="AK30" s="499" t="b">
        <f t="shared" ref="AK30:BL30" si="2">H13+H16+H19+H30+H41=H7</f>
        <v>1</v>
      </c>
      <c r="AL30" s="500" t="b">
        <f t="shared" si="2"/>
        <v>1</v>
      </c>
      <c r="AM30" s="500" t="b">
        <f t="shared" si="2"/>
        <v>1</v>
      </c>
      <c r="AN30" s="500" t="b">
        <f t="shared" si="2"/>
        <v>1</v>
      </c>
      <c r="AO30" s="500" t="b">
        <f t="shared" si="2"/>
        <v>1</v>
      </c>
      <c r="AP30" s="500" t="b">
        <f t="shared" si="2"/>
        <v>1</v>
      </c>
      <c r="AQ30" s="500" t="b">
        <f t="shared" si="2"/>
        <v>1</v>
      </c>
      <c r="AR30" s="500" t="b">
        <f t="shared" si="2"/>
        <v>1</v>
      </c>
      <c r="AS30" s="500" t="b">
        <f t="shared" si="2"/>
        <v>1</v>
      </c>
      <c r="AT30" s="500" t="b">
        <f t="shared" si="2"/>
        <v>1</v>
      </c>
      <c r="AU30" s="500" t="b">
        <f t="shared" si="2"/>
        <v>1</v>
      </c>
      <c r="AV30" s="500" t="b">
        <f t="shared" si="2"/>
        <v>1</v>
      </c>
      <c r="AW30" s="500" t="b">
        <f t="shared" si="2"/>
        <v>1</v>
      </c>
      <c r="AX30" s="500" t="b">
        <f t="shared" si="2"/>
        <v>1</v>
      </c>
      <c r="AY30" s="500" t="b">
        <f t="shared" si="2"/>
        <v>1</v>
      </c>
      <c r="AZ30" s="500" t="b">
        <f t="shared" si="2"/>
        <v>1</v>
      </c>
      <c r="BA30" s="500" t="b">
        <f t="shared" si="2"/>
        <v>1</v>
      </c>
      <c r="BB30" s="500" t="b">
        <f t="shared" si="2"/>
        <v>1</v>
      </c>
      <c r="BC30" s="500" t="b">
        <f t="shared" si="2"/>
        <v>1</v>
      </c>
      <c r="BD30" s="500" t="b">
        <f t="shared" si="2"/>
        <v>1</v>
      </c>
      <c r="BE30" s="500" t="b">
        <f t="shared" si="2"/>
        <v>1</v>
      </c>
      <c r="BF30" s="500" t="b">
        <f t="shared" si="2"/>
        <v>1</v>
      </c>
      <c r="BG30" s="500" t="b">
        <f t="shared" si="2"/>
        <v>1</v>
      </c>
      <c r="BH30" s="500" t="b">
        <f t="shared" si="2"/>
        <v>1</v>
      </c>
      <c r="BI30" s="500" t="b">
        <f t="shared" si="2"/>
        <v>1</v>
      </c>
      <c r="BJ30" s="500" t="b">
        <f t="shared" si="2"/>
        <v>1</v>
      </c>
      <c r="BK30" s="500" t="b">
        <f t="shared" si="2"/>
        <v>1</v>
      </c>
      <c r="BL30" s="501" t="b">
        <f t="shared" si="2"/>
        <v>1</v>
      </c>
    </row>
    <row r="31" spans="2:64" ht="15" outlineLevel="1">
      <c r="B31" t="str">
        <f t="shared" si="0"/>
        <v>e-hydrogen (Alkaline) - Energy cost including feedstock energy cost - Americas - USD/ton fuel</v>
      </c>
      <c r="C31" s="22" t="str">
        <f>C6</f>
        <v>e-hydrogen (Alkaline)</v>
      </c>
      <c r="D31" s="22" t="s">
        <v>1367</v>
      </c>
      <c r="E31" s="22" t="s">
        <v>731</v>
      </c>
      <c r="F31" s="22" t="s">
        <v>1353</v>
      </c>
      <c r="G31" s="487" t="str">
        <f t="shared" si="1"/>
        <v>e-hydrogen (Alkaline)AmericasEnergy cost including feedstock energy cost</v>
      </c>
      <c r="H31" s="496">
        <v>1837.3299464104387</v>
      </c>
      <c r="I31" s="496">
        <v>1797.8268075831645</v>
      </c>
      <c r="J31" s="496">
        <v>1758.3851882088989</v>
      </c>
      <c r="K31" s="496">
        <v>1692.8058963897693</v>
      </c>
      <c r="L31" s="496">
        <v>1627.3301772671259</v>
      </c>
      <c r="M31" s="496">
        <v>1561.95803084097</v>
      </c>
      <c r="N31" s="496">
        <v>1496.6894571113237</v>
      </c>
      <c r="O31" s="496">
        <v>1431.5244560781412</v>
      </c>
      <c r="P31" s="496">
        <v>1399.6185604154191</v>
      </c>
      <c r="Q31" s="496">
        <v>1367.7623054398739</v>
      </c>
      <c r="R31" s="496">
        <v>1335.9556911515062</v>
      </c>
      <c r="S31" s="496">
        <v>1304.1987175503164</v>
      </c>
      <c r="T31" s="496">
        <v>1272.4913846362981</v>
      </c>
      <c r="U31" s="496">
        <v>1246.6378236853743</v>
      </c>
      <c r="V31" s="496">
        <v>1220.8243404333271</v>
      </c>
      <c r="W31" s="496">
        <v>1195.0509348801509</v>
      </c>
      <c r="X31" s="496">
        <v>1169.3176070258564</v>
      </c>
      <c r="Y31" s="496">
        <v>1143.6243568704353</v>
      </c>
      <c r="Z31" s="496">
        <v>1132.7402426731812</v>
      </c>
      <c r="AA31" s="496">
        <v>1121.8722093981428</v>
      </c>
      <c r="AB31" s="496">
        <v>1111.0202570453237</v>
      </c>
      <c r="AC31" s="496">
        <v>1100.1843856147173</v>
      </c>
      <c r="AD31" s="496">
        <v>1089.3645951063277</v>
      </c>
      <c r="AE31" s="496">
        <v>1081.0008741231995</v>
      </c>
      <c r="AF31" s="496">
        <v>1072.6492361370531</v>
      </c>
      <c r="AG31" s="496">
        <v>1064.3096811478861</v>
      </c>
      <c r="AH31" s="496">
        <v>1055.982209155698</v>
      </c>
      <c r="AI31" s="496">
        <v>1047.6668201604891</v>
      </c>
      <c r="AK31" s="502" t="b">
        <f t="shared" ref="AK31:BL31" si="3">H13+H16+H20+H31+H41=H8</f>
        <v>1</v>
      </c>
      <c r="AL31" s="106" t="b">
        <f t="shared" si="3"/>
        <v>1</v>
      </c>
      <c r="AM31" s="106" t="b">
        <f t="shared" si="3"/>
        <v>1</v>
      </c>
      <c r="AN31" s="106" t="b">
        <f t="shared" si="3"/>
        <v>1</v>
      </c>
      <c r="AO31" s="106" t="b">
        <f t="shared" si="3"/>
        <v>1</v>
      </c>
      <c r="AP31" s="106" t="b">
        <f t="shared" si="3"/>
        <v>1</v>
      </c>
      <c r="AQ31" s="106" t="b">
        <f t="shared" si="3"/>
        <v>1</v>
      </c>
      <c r="AR31" s="106" t="b">
        <f t="shared" si="3"/>
        <v>1</v>
      </c>
      <c r="AS31" s="106" t="b">
        <f t="shared" si="3"/>
        <v>1</v>
      </c>
      <c r="AT31" s="106" t="b">
        <f t="shared" si="3"/>
        <v>1</v>
      </c>
      <c r="AU31" s="106" t="b">
        <f t="shared" si="3"/>
        <v>1</v>
      </c>
      <c r="AV31" s="106" t="b">
        <f t="shared" si="3"/>
        <v>1</v>
      </c>
      <c r="AW31" s="106" t="b">
        <f t="shared" si="3"/>
        <v>1</v>
      </c>
      <c r="AX31" s="106" t="b">
        <f t="shared" si="3"/>
        <v>1</v>
      </c>
      <c r="AY31" s="106" t="b">
        <f t="shared" si="3"/>
        <v>1</v>
      </c>
      <c r="AZ31" s="106" t="b">
        <f t="shared" si="3"/>
        <v>1</v>
      </c>
      <c r="BA31" s="106" t="b">
        <f t="shared" si="3"/>
        <v>1</v>
      </c>
      <c r="BB31" s="106" t="b">
        <f t="shared" si="3"/>
        <v>1</v>
      </c>
      <c r="BC31" s="106" t="b">
        <f t="shared" si="3"/>
        <v>1</v>
      </c>
      <c r="BD31" s="106" t="b">
        <f t="shared" si="3"/>
        <v>1</v>
      </c>
      <c r="BE31" s="106" t="b">
        <f t="shared" si="3"/>
        <v>1</v>
      </c>
      <c r="BF31" s="106" t="b">
        <f t="shared" si="3"/>
        <v>1</v>
      </c>
      <c r="BG31" s="106" t="b">
        <f t="shared" si="3"/>
        <v>1</v>
      </c>
      <c r="BH31" s="106" t="b">
        <f t="shared" si="3"/>
        <v>1</v>
      </c>
      <c r="BI31" s="106" t="b">
        <f t="shared" si="3"/>
        <v>1</v>
      </c>
      <c r="BJ31" s="106" t="b">
        <f t="shared" si="3"/>
        <v>1</v>
      </c>
      <c r="BK31" s="106" t="b">
        <f t="shared" si="3"/>
        <v>1</v>
      </c>
      <c r="BL31" s="503" t="b">
        <f t="shared" si="3"/>
        <v>1</v>
      </c>
    </row>
    <row r="32" spans="2:64" ht="15" outlineLevel="1">
      <c r="B32" t="str">
        <f t="shared" si="0"/>
        <v>e-hydrogen (Alkaline) - Energy cost including feedstock energy cost - Asia - USD/ton fuel</v>
      </c>
      <c r="C32" s="22" t="str">
        <f>C6</f>
        <v>e-hydrogen (Alkaline)</v>
      </c>
      <c r="D32" s="22" t="s">
        <v>1367</v>
      </c>
      <c r="E32" s="22" t="s">
        <v>750</v>
      </c>
      <c r="F32" s="22" t="s">
        <v>1353</v>
      </c>
      <c r="G32" s="487" t="str">
        <f t="shared" si="1"/>
        <v>e-hydrogen (Alkaline)AsiaEnergy cost including feedstock energy cost</v>
      </c>
      <c r="H32" s="496">
        <v>3252.338725885962</v>
      </c>
      <c r="I32" s="496">
        <v>2964.1436497151244</v>
      </c>
      <c r="J32" s="496">
        <v>2676.410669193273</v>
      </c>
      <c r="K32" s="496">
        <v>2571.9875464291304</v>
      </c>
      <c r="L32" s="496">
        <v>2467.7295051691481</v>
      </c>
      <c r="M32" s="496">
        <v>2363.6365454132369</v>
      </c>
      <c r="N32" s="496">
        <v>2259.7086671614416</v>
      </c>
      <c r="O32" s="496">
        <v>2155.9458704138065</v>
      </c>
      <c r="P32" s="496">
        <v>2084.9792553566122</v>
      </c>
      <c r="Q32" s="496">
        <v>2014.1243919540746</v>
      </c>
      <c r="R32" s="496">
        <v>1943.3812802061955</v>
      </c>
      <c r="S32" s="496">
        <v>1872.7499201129297</v>
      </c>
      <c r="T32" s="496">
        <v>1802.2303116742989</v>
      </c>
      <c r="U32" s="496">
        <v>1765.7216436172464</v>
      </c>
      <c r="V32" s="496">
        <v>1729.2695636996293</v>
      </c>
      <c r="W32" s="496">
        <v>1692.8740719214588</v>
      </c>
      <c r="X32" s="496">
        <v>1656.5351682827127</v>
      </c>
      <c r="Y32" s="496">
        <v>1620.2528527834236</v>
      </c>
      <c r="Z32" s="496">
        <v>1582.4008435231208</v>
      </c>
      <c r="AA32" s="496">
        <v>1544.6078278108137</v>
      </c>
      <c r="AB32" s="496">
        <v>1506.8738056464802</v>
      </c>
      <c r="AC32" s="496">
        <v>1469.1987770301419</v>
      </c>
      <c r="AD32" s="496">
        <v>1431.5827419617779</v>
      </c>
      <c r="AE32" s="496">
        <v>1413.7365864349924</v>
      </c>
      <c r="AF32" s="496">
        <v>1395.9173754764734</v>
      </c>
      <c r="AG32" s="496">
        <v>1378.1251090862318</v>
      </c>
      <c r="AH32" s="496">
        <v>1360.3597872642622</v>
      </c>
      <c r="AI32" s="496">
        <v>1342.621410010559</v>
      </c>
      <c r="AK32" s="502" t="b">
        <f t="shared" ref="AK32:BL32" si="4">H13+H16+H21+H32+H41=H9</f>
        <v>1</v>
      </c>
      <c r="AL32" s="106" t="b">
        <f t="shared" si="4"/>
        <v>1</v>
      </c>
      <c r="AM32" s="106" t="b">
        <f t="shared" si="4"/>
        <v>1</v>
      </c>
      <c r="AN32" s="106" t="b">
        <f t="shared" si="4"/>
        <v>1</v>
      </c>
      <c r="AO32" s="106" t="b">
        <f t="shared" si="4"/>
        <v>1</v>
      </c>
      <c r="AP32" s="106" t="b">
        <f t="shared" si="4"/>
        <v>1</v>
      </c>
      <c r="AQ32" s="106" t="b">
        <f t="shared" si="4"/>
        <v>1</v>
      </c>
      <c r="AR32" s="106" t="b">
        <f t="shared" si="4"/>
        <v>1</v>
      </c>
      <c r="AS32" s="106" t="b">
        <f t="shared" si="4"/>
        <v>1</v>
      </c>
      <c r="AT32" s="106" t="b">
        <f t="shared" si="4"/>
        <v>1</v>
      </c>
      <c r="AU32" s="106" t="b">
        <f t="shared" si="4"/>
        <v>1</v>
      </c>
      <c r="AV32" s="106" t="b">
        <f t="shared" si="4"/>
        <v>1</v>
      </c>
      <c r="AW32" s="106" t="b">
        <f t="shared" si="4"/>
        <v>1</v>
      </c>
      <c r="AX32" s="106" t="b">
        <f t="shared" si="4"/>
        <v>1</v>
      </c>
      <c r="AY32" s="106" t="b">
        <f t="shared" si="4"/>
        <v>1</v>
      </c>
      <c r="AZ32" s="106" t="b">
        <f t="shared" si="4"/>
        <v>0</v>
      </c>
      <c r="BA32" s="106" t="b">
        <f t="shared" si="4"/>
        <v>1</v>
      </c>
      <c r="BB32" s="106" t="b">
        <f t="shared" si="4"/>
        <v>1</v>
      </c>
      <c r="BC32" s="106" t="b">
        <f t="shared" si="4"/>
        <v>1</v>
      </c>
      <c r="BD32" s="106" t="b">
        <f t="shared" si="4"/>
        <v>1</v>
      </c>
      <c r="BE32" s="106" t="b">
        <f t="shared" si="4"/>
        <v>1</v>
      </c>
      <c r="BF32" s="106" t="b">
        <f t="shared" si="4"/>
        <v>1</v>
      </c>
      <c r="BG32" s="106" t="b">
        <f t="shared" si="4"/>
        <v>1</v>
      </c>
      <c r="BH32" s="106" t="b">
        <f t="shared" si="4"/>
        <v>1</v>
      </c>
      <c r="BI32" s="106" t="b">
        <f t="shared" si="4"/>
        <v>1</v>
      </c>
      <c r="BJ32" s="106" t="b">
        <f t="shared" si="4"/>
        <v>1</v>
      </c>
      <c r="BK32" s="106" t="b">
        <f t="shared" si="4"/>
        <v>1</v>
      </c>
      <c r="BL32" s="503" t="b">
        <f t="shared" si="4"/>
        <v>1</v>
      </c>
    </row>
    <row r="33" spans="2:64" ht="15" outlineLevel="1">
      <c r="B33" t="str">
        <f t="shared" si="0"/>
        <v>e-hydrogen (Alkaline) - Energy cost including feedstock energy cost - Europe - USD/ton fuel</v>
      </c>
      <c r="C33" s="22" t="str">
        <f>C6</f>
        <v>e-hydrogen (Alkaline)</v>
      </c>
      <c r="D33" s="22" t="s">
        <v>1367</v>
      </c>
      <c r="E33" s="22" t="s">
        <v>720</v>
      </c>
      <c r="F33" s="22" t="s">
        <v>1353</v>
      </c>
      <c r="G33" s="487" t="str">
        <f t="shared" si="1"/>
        <v>e-hydrogen (Alkaline)EuropeEnergy cost including feedstock energy cost</v>
      </c>
      <c r="H33" s="496">
        <v>2421.1900117838195</v>
      </c>
      <c r="I33" s="496">
        <v>2314.9647296987046</v>
      </c>
      <c r="J33" s="496">
        <v>2208.9081714304025</v>
      </c>
      <c r="K33" s="496">
        <v>2123.0136893451618</v>
      </c>
      <c r="L33" s="496">
        <v>2037.2549873883677</v>
      </c>
      <c r="M33" s="496">
        <v>1951.6320655600659</v>
      </c>
      <c r="N33" s="496">
        <v>1866.1449238602108</v>
      </c>
      <c r="O33" s="496">
        <v>1780.7935622888472</v>
      </c>
      <c r="P33" s="496">
        <v>1744.5493660329785</v>
      </c>
      <c r="Q33" s="496">
        <v>1708.3613588986636</v>
      </c>
      <c r="R33" s="496">
        <v>1672.2295408858586</v>
      </c>
      <c r="S33" s="496">
        <v>1636.1539119945753</v>
      </c>
      <c r="T33" s="496">
        <v>1600.1344722248239</v>
      </c>
      <c r="U33" s="496">
        <v>1578.1456404179976</v>
      </c>
      <c r="V33" s="496">
        <v>1556.1902210950334</v>
      </c>
      <c r="W33" s="496">
        <v>1534.2682142559252</v>
      </c>
      <c r="X33" s="496">
        <v>1512.3796199006733</v>
      </c>
      <c r="Y33" s="496">
        <v>1490.5244380292654</v>
      </c>
      <c r="Z33" s="496">
        <v>1467.2681472940801</v>
      </c>
      <c r="AA33" s="496">
        <v>1444.0474577452719</v>
      </c>
      <c r="AB33" s="496">
        <v>1420.862369382852</v>
      </c>
      <c r="AC33" s="496">
        <v>1397.7128822068089</v>
      </c>
      <c r="AD33" s="496">
        <v>1374.5989962171548</v>
      </c>
      <c r="AE33" s="496">
        <v>1357.4640885558642</v>
      </c>
      <c r="AF33" s="496">
        <v>1340.3550515105705</v>
      </c>
      <c r="AG33" s="496">
        <v>1323.2718850812848</v>
      </c>
      <c r="AH33" s="496">
        <v>1306.2145892680016</v>
      </c>
      <c r="AI33" s="496">
        <v>1289.1831640707153</v>
      </c>
      <c r="AK33" s="502" t="b">
        <f t="shared" ref="AK33:BL33" si="5">H13+H16+H22+H33+H41=H10</f>
        <v>1</v>
      </c>
      <c r="AL33" s="106" t="b">
        <f t="shared" si="5"/>
        <v>1</v>
      </c>
      <c r="AM33" s="106" t="b">
        <f t="shared" si="5"/>
        <v>1</v>
      </c>
      <c r="AN33" s="106" t="b">
        <f t="shared" si="5"/>
        <v>1</v>
      </c>
      <c r="AO33" s="106" t="b">
        <f t="shared" si="5"/>
        <v>1</v>
      </c>
      <c r="AP33" s="106" t="b">
        <f t="shared" si="5"/>
        <v>1</v>
      </c>
      <c r="AQ33" s="106" t="b">
        <f t="shared" si="5"/>
        <v>1</v>
      </c>
      <c r="AR33" s="106" t="b">
        <f t="shared" si="5"/>
        <v>1</v>
      </c>
      <c r="AS33" s="106" t="b">
        <f t="shared" si="5"/>
        <v>1</v>
      </c>
      <c r="AT33" s="106" t="b">
        <f t="shared" si="5"/>
        <v>1</v>
      </c>
      <c r="AU33" s="106" t="b">
        <f t="shared" si="5"/>
        <v>1</v>
      </c>
      <c r="AV33" s="106" t="b">
        <f t="shared" si="5"/>
        <v>1</v>
      </c>
      <c r="AW33" s="106" t="b">
        <f t="shared" si="5"/>
        <v>1</v>
      </c>
      <c r="AX33" s="106" t="b">
        <f t="shared" si="5"/>
        <v>1</v>
      </c>
      <c r="AY33" s="106" t="b">
        <f t="shared" si="5"/>
        <v>1</v>
      </c>
      <c r="AZ33" s="106" t="b">
        <f t="shared" si="5"/>
        <v>1</v>
      </c>
      <c r="BA33" s="106" t="b">
        <f t="shared" si="5"/>
        <v>1</v>
      </c>
      <c r="BB33" s="106" t="b">
        <f t="shared" si="5"/>
        <v>1</v>
      </c>
      <c r="BC33" s="106" t="b">
        <f t="shared" si="5"/>
        <v>1</v>
      </c>
      <c r="BD33" s="106" t="b">
        <f t="shared" si="5"/>
        <v>1</v>
      </c>
      <c r="BE33" s="106" t="b">
        <f t="shared" si="5"/>
        <v>1</v>
      </c>
      <c r="BF33" s="106" t="b">
        <f t="shared" si="5"/>
        <v>1</v>
      </c>
      <c r="BG33" s="106" t="b">
        <f t="shared" si="5"/>
        <v>1</v>
      </c>
      <c r="BH33" s="106" t="b">
        <f t="shared" si="5"/>
        <v>1</v>
      </c>
      <c r="BI33" s="106" t="b">
        <f t="shared" si="5"/>
        <v>1</v>
      </c>
      <c r="BJ33" s="106" t="b">
        <f t="shared" si="5"/>
        <v>1</v>
      </c>
      <c r="BK33" s="106" t="b">
        <f t="shared" si="5"/>
        <v>1</v>
      </c>
      <c r="BL33" s="503" t="b">
        <f t="shared" si="5"/>
        <v>1</v>
      </c>
    </row>
    <row r="34" spans="2:64" ht="15.75" outlineLevel="1" thickBot="1">
      <c r="B34" t="str">
        <f t="shared" si="0"/>
        <v>e-hydrogen (Alkaline) - Energy cost including feedstock energy cost - Middle East - USD/ton fuel</v>
      </c>
      <c r="C34" s="92" t="str">
        <f>C6</f>
        <v>e-hydrogen (Alkaline)</v>
      </c>
      <c r="D34" s="92" t="s">
        <v>1367</v>
      </c>
      <c r="E34" s="92" t="s">
        <v>826</v>
      </c>
      <c r="F34" s="92" t="s">
        <v>1353</v>
      </c>
      <c r="G34" s="487" t="str">
        <f t="shared" si="1"/>
        <v>e-hydrogen (Alkaline)Middle EastEnergy cost including feedstock energy cost</v>
      </c>
      <c r="H34" s="497">
        <v>1854.0135282246365</v>
      </c>
      <c r="I34" s="497">
        <v>1770.7678519316073</v>
      </c>
      <c r="J34" s="497">
        <v>1687.654456385189</v>
      </c>
      <c r="K34" s="497">
        <v>1632.2569147563422</v>
      </c>
      <c r="L34" s="497">
        <v>1576.9466019376102</v>
      </c>
      <c r="M34" s="497">
        <v>1521.7235179289939</v>
      </c>
      <c r="N34" s="497">
        <v>1466.5876627304931</v>
      </c>
      <c r="O34" s="497">
        <v>1411.539036342107</v>
      </c>
      <c r="P34" s="497">
        <v>1372.4523539081965</v>
      </c>
      <c r="Q34" s="497">
        <v>1333.4269298197096</v>
      </c>
      <c r="R34" s="497">
        <v>1294.4627640766244</v>
      </c>
      <c r="S34" s="497">
        <v>1255.5598566789638</v>
      </c>
      <c r="T34" s="497">
        <v>1216.7182076267159</v>
      </c>
      <c r="U34" s="497">
        <v>1196.7867927845518</v>
      </c>
      <c r="V34" s="497">
        <v>1176.8859683806647</v>
      </c>
      <c r="W34" s="497">
        <v>1157.0157344150598</v>
      </c>
      <c r="X34" s="497">
        <v>1137.1760908877261</v>
      </c>
      <c r="Y34" s="497">
        <v>1117.3670377986687</v>
      </c>
      <c r="Z34" s="497">
        <v>1091.714952403941</v>
      </c>
      <c r="AA34" s="497">
        <v>1066.102821425302</v>
      </c>
      <c r="AB34" s="497">
        <v>1040.5306448627405</v>
      </c>
      <c r="AC34" s="497">
        <v>1014.9984227162671</v>
      </c>
      <c r="AD34" s="497">
        <v>989.50615498586922</v>
      </c>
      <c r="AE34" s="497">
        <v>977.17062952680578</v>
      </c>
      <c r="AF34" s="497">
        <v>964.85372858248968</v>
      </c>
      <c r="AG34" s="497">
        <v>952.55545215291522</v>
      </c>
      <c r="AH34" s="497">
        <v>940.27580023808537</v>
      </c>
      <c r="AI34" s="497">
        <v>928.01477283800273</v>
      </c>
      <c r="AK34" s="504" t="b">
        <f t="shared" ref="AK34:BL34" si="6">H13+H16+H23+H34+H41=H11</f>
        <v>1</v>
      </c>
      <c r="AL34" s="505" t="b">
        <f t="shared" si="6"/>
        <v>1</v>
      </c>
      <c r="AM34" s="505" t="b">
        <f t="shared" si="6"/>
        <v>1</v>
      </c>
      <c r="AN34" s="505" t="b">
        <f t="shared" si="6"/>
        <v>1</v>
      </c>
      <c r="AO34" s="505" t="b">
        <f t="shared" si="6"/>
        <v>1</v>
      </c>
      <c r="AP34" s="505" t="b">
        <f t="shared" si="6"/>
        <v>1</v>
      </c>
      <c r="AQ34" s="505" t="b">
        <f t="shared" si="6"/>
        <v>1</v>
      </c>
      <c r="AR34" s="505" t="b">
        <f t="shared" si="6"/>
        <v>1</v>
      </c>
      <c r="AS34" s="505" t="b">
        <f t="shared" si="6"/>
        <v>1</v>
      </c>
      <c r="AT34" s="505" t="b">
        <f t="shared" si="6"/>
        <v>1</v>
      </c>
      <c r="AU34" s="505" t="b">
        <f t="shared" si="6"/>
        <v>1</v>
      </c>
      <c r="AV34" s="505" t="b">
        <f t="shared" si="6"/>
        <v>1</v>
      </c>
      <c r="AW34" s="505" t="b">
        <f t="shared" si="6"/>
        <v>1</v>
      </c>
      <c r="AX34" s="505" t="b">
        <f t="shared" si="6"/>
        <v>1</v>
      </c>
      <c r="AY34" s="505" t="b">
        <f t="shared" si="6"/>
        <v>1</v>
      </c>
      <c r="AZ34" s="505" t="b">
        <f t="shared" si="6"/>
        <v>1</v>
      </c>
      <c r="BA34" s="505" t="b">
        <f t="shared" si="6"/>
        <v>1</v>
      </c>
      <c r="BB34" s="505" t="b">
        <f t="shared" si="6"/>
        <v>1</v>
      </c>
      <c r="BC34" s="505" t="b">
        <f t="shared" si="6"/>
        <v>1</v>
      </c>
      <c r="BD34" s="505" t="b">
        <f t="shared" si="6"/>
        <v>1</v>
      </c>
      <c r="BE34" s="505" t="b">
        <f t="shared" si="6"/>
        <v>1</v>
      </c>
      <c r="BF34" s="505" t="b">
        <f t="shared" si="6"/>
        <v>1</v>
      </c>
      <c r="BG34" s="505" t="b">
        <f t="shared" si="6"/>
        <v>1</v>
      </c>
      <c r="BH34" s="505" t="b">
        <f t="shared" si="6"/>
        <v>1</v>
      </c>
      <c r="BI34" s="505" t="b">
        <f t="shared" si="6"/>
        <v>1</v>
      </c>
      <c r="BJ34" s="505" t="b">
        <f t="shared" si="6"/>
        <v>1</v>
      </c>
      <c r="BK34" s="505" t="b">
        <f t="shared" si="6"/>
        <v>1</v>
      </c>
      <c r="BL34" s="506" t="b">
        <f t="shared" si="6"/>
        <v>1</v>
      </c>
    </row>
    <row r="35" spans="2:64" outlineLevel="1">
      <c r="B35" t="str">
        <f t="shared" si="0"/>
        <v>e-hydrogen (Alkaline) - Energy cost - Africa - USD/ton fuel</v>
      </c>
      <c r="C35" t="str">
        <f>C6</f>
        <v>e-hydrogen (Alkaline)</v>
      </c>
      <c r="D35" t="s">
        <v>1368</v>
      </c>
      <c r="E35" t="s">
        <v>838</v>
      </c>
      <c r="F35" t="s">
        <v>1353</v>
      </c>
      <c r="G35" s="487" t="str">
        <f t="shared" si="1"/>
        <v>e-hydrogen (Alkaline)AfricaEnergy cost</v>
      </c>
      <c r="H35" s="493">
        <v>2924.2184208022281</v>
      </c>
      <c r="I35" s="493">
        <v>2578.7512488133598</v>
      </c>
      <c r="J35" s="493">
        <v>2233.8392780401587</v>
      </c>
      <c r="K35" s="493">
        <v>2136.5467657748268</v>
      </c>
      <c r="L35" s="493">
        <v>2039.408400538452</v>
      </c>
      <c r="M35" s="493">
        <v>1942.4241823310349</v>
      </c>
      <c r="N35" s="493">
        <v>1845.5941111525524</v>
      </c>
      <c r="O35" s="493">
        <v>1748.9181870030495</v>
      </c>
      <c r="P35" s="493">
        <v>1694.4194806950179</v>
      </c>
      <c r="Q35" s="493">
        <v>1640.0064724883205</v>
      </c>
      <c r="R35" s="493">
        <v>1585.6791623829354</v>
      </c>
      <c r="S35" s="493">
        <v>1531.4375503789083</v>
      </c>
      <c r="T35" s="493">
        <v>1477.2816364762216</v>
      </c>
      <c r="U35" s="493">
        <v>1451.2032385184193</v>
      </c>
      <c r="V35" s="493">
        <v>1425.1650145954839</v>
      </c>
      <c r="W35" s="493">
        <v>1399.1669647074043</v>
      </c>
      <c r="X35" s="493">
        <v>1373.2090888541857</v>
      </c>
      <c r="Y35" s="493">
        <v>1347.2913870358389</v>
      </c>
      <c r="Z35" s="493">
        <v>1320.7174303517695</v>
      </c>
      <c r="AA35" s="493">
        <v>1294.1846168915342</v>
      </c>
      <c r="AB35" s="493">
        <v>1267.6929466551221</v>
      </c>
      <c r="AC35" s="493">
        <v>1241.242419642555</v>
      </c>
      <c r="AD35" s="493">
        <v>1214.8330358538176</v>
      </c>
      <c r="AE35" s="493">
        <v>1201.3938481127943</v>
      </c>
      <c r="AF35" s="493">
        <v>1187.9747731370467</v>
      </c>
      <c r="AG35" s="493">
        <v>1174.5758109265635</v>
      </c>
      <c r="AH35" s="493">
        <v>1161.1969614813502</v>
      </c>
      <c r="AI35" s="493">
        <v>1147.8382248014127</v>
      </c>
    </row>
    <row r="36" spans="2:64" outlineLevel="1">
      <c r="B36" t="str">
        <f t="shared" si="0"/>
        <v>e-hydrogen (Alkaline) - Energy cost - Americas - USD/ton fuel</v>
      </c>
      <c r="C36" t="str">
        <f>C6</f>
        <v>e-hydrogen (Alkaline)</v>
      </c>
      <c r="D36" t="s">
        <v>1368</v>
      </c>
      <c r="E36" t="s">
        <v>731</v>
      </c>
      <c r="F36" t="s">
        <v>1353</v>
      </c>
      <c r="G36" s="487" t="str">
        <f t="shared" si="1"/>
        <v>e-hydrogen (Alkaline)AmericasEnergy cost</v>
      </c>
      <c r="H36" s="493">
        <v>1837.3299464104387</v>
      </c>
      <c r="I36" s="493">
        <v>1797.8268075831645</v>
      </c>
      <c r="J36" s="493">
        <v>1758.3851882088989</v>
      </c>
      <c r="K36" s="493">
        <v>1692.8058963897693</v>
      </c>
      <c r="L36" s="493">
        <v>1627.3301772671259</v>
      </c>
      <c r="M36" s="493">
        <v>1561.95803084097</v>
      </c>
      <c r="N36" s="493">
        <v>1496.6894571113237</v>
      </c>
      <c r="O36" s="493">
        <v>1431.5244560781412</v>
      </c>
      <c r="P36" s="493">
        <v>1399.6185604154191</v>
      </c>
      <c r="Q36" s="493">
        <v>1367.7623054398739</v>
      </c>
      <c r="R36" s="493">
        <v>1335.9556911515062</v>
      </c>
      <c r="S36" s="493">
        <v>1304.1987175503164</v>
      </c>
      <c r="T36" s="493">
        <v>1272.4913846362981</v>
      </c>
      <c r="U36" s="493">
        <v>1246.6378236853743</v>
      </c>
      <c r="V36" s="493">
        <v>1220.8243404333271</v>
      </c>
      <c r="W36" s="493">
        <v>1195.0509348801509</v>
      </c>
      <c r="X36" s="493">
        <v>1169.3176070258564</v>
      </c>
      <c r="Y36" s="493">
        <v>1143.6243568704353</v>
      </c>
      <c r="Z36" s="493">
        <v>1132.7402426731812</v>
      </c>
      <c r="AA36" s="493">
        <v>1121.8722093981428</v>
      </c>
      <c r="AB36" s="493">
        <v>1111.0202570453237</v>
      </c>
      <c r="AC36" s="493">
        <v>1100.1843856147173</v>
      </c>
      <c r="AD36" s="493">
        <v>1089.3645951063277</v>
      </c>
      <c r="AE36" s="493">
        <v>1081.0008741231995</v>
      </c>
      <c r="AF36" s="493">
        <v>1072.6492361370531</v>
      </c>
      <c r="AG36" s="493">
        <v>1064.3096811478861</v>
      </c>
      <c r="AH36" s="493">
        <v>1055.982209155698</v>
      </c>
      <c r="AI36" s="493">
        <v>1047.6668201604891</v>
      </c>
    </row>
    <row r="37" spans="2:64" outlineLevel="1">
      <c r="B37" t="str">
        <f t="shared" si="0"/>
        <v>e-hydrogen (Alkaline) - Energy cost - Asia - USD/ton fuel</v>
      </c>
      <c r="C37" t="str">
        <f>C6</f>
        <v>e-hydrogen (Alkaline)</v>
      </c>
      <c r="D37" t="s">
        <v>1368</v>
      </c>
      <c r="E37" t="s">
        <v>750</v>
      </c>
      <c r="F37" t="s">
        <v>1353</v>
      </c>
      <c r="G37" s="487" t="str">
        <f t="shared" si="1"/>
        <v>e-hydrogen (Alkaline)AsiaEnergy cost</v>
      </c>
      <c r="H37" s="493">
        <v>3252.338725885962</v>
      </c>
      <c r="I37" s="493">
        <v>2964.1436497151244</v>
      </c>
      <c r="J37" s="493">
        <v>2676.410669193273</v>
      </c>
      <c r="K37" s="493">
        <v>2571.9875464291304</v>
      </c>
      <c r="L37" s="493">
        <v>2467.7295051691481</v>
      </c>
      <c r="M37" s="493">
        <v>2363.6365454132369</v>
      </c>
      <c r="N37" s="493">
        <v>2259.7086671614416</v>
      </c>
      <c r="O37" s="493">
        <v>2155.9458704138065</v>
      </c>
      <c r="P37" s="493">
        <v>2084.9792553566122</v>
      </c>
      <c r="Q37" s="493">
        <v>2014.1243919540746</v>
      </c>
      <c r="R37" s="493">
        <v>1943.3812802061955</v>
      </c>
      <c r="S37" s="493">
        <v>1872.7499201129297</v>
      </c>
      <c r="T37" s="493">
        <v>1802.2303116742989</v>
      </c>
      <c r="U37" s="493">
        <v>1765.7216436172464</v>
      </c>
      <c r="V37" s="493">
        <v>1729.2695636996293</v>
      </c>
      <c r="W37" s="493">
        <v>1692.8740719214588</v>
      </c>
      <c r="X37" s="493">
        <v>1656.5351682827127</v>
      </c>
      <c r="Y37" s="493">
        <v>1620.2528527834236</v>
      </c>
      <c r="Z37" s="493">
        <v>1582.4008435231208</v>
      </c>
      <c r="AA37" s="493">
        <v>1544.6078278108137</v>
      </c>
      <c r="AB37" s="493">
        <v>1506.8738056464802</v>
      </c>
      <c r="AC37" s="493">
        <v>1469.1987770301419</v>
      </c>
      <c r="AD37" s="493">
        <v>1431.5827419617779</v>
      </c>
      <c r="AE37" s="493">
        <v>1413.7365864349924</v>
      </c>
      <c r="AF37" s="493">
        <v>1395.9173754764734</v>
      </c>
      <c r="AG37" s="493">
        <v>1378.1251090862318</v>
      </c>
      <c r="AH37" s="493">
        <v>1360.3597872642622</v>
      </c>
      <c r="AI37" s="493">
        <v>1342.621410010559</v>
      </c>
    </row>
    <row r="38" spans="2:64" outlineLevel="1">
      <c r="B38" t="str">
        <f t="shared" si="0"/>
        <v>e-hydrogen (Alkaline) - Energy cost - Europe - USD/ton fuel</v>
      </c>
      <c r="C38" t="str">
        <f>C6</f>
        <v>e-hydrogen (Alkaline)</v>
      </c>
      <c r="D38" t="s">
        <v>1368</v>
      </c>
      <c r="E38" t="s">
        <v>720</v>
      </c>
      <c r="F38" t="s">
        <v>1353</v>
      </c>
      <c r="G38" s="487" t="str">
        <f t="shared" si="1"/>
        <v>e-hydrogen (Alkaline)EuropeEnergy cost</v>
      </c>
      <c r="H38" s="493">
        <v>2421.1900117838195</v>
      </c>
      <c r="I38" s="493">
        <v>2314.9647296987046</v>
      </c>
      <c r="J38" s="493">
        <v>2208.9081714304025</v>
      </c>
      <c r="K38" s="493">
        <v>2123.0136893451618</v>
      </c>
      <c r="L38" s="493">
        <v>2037.2549873883677</v>
      </c>
      <c r="M38" s="493">
        <v>1951.6320655600659</v>
      </c>
      <c r="N38" s="493">
        <v>1866.1449238602108</v>
      </c>
      <c r="O38" s="493">
        <v>1780.7935622888472</v>
      </c>
      <c r="P38" s="493">
        <v>1744.5493660329785</v>
      </c>
      <c r="Q38" s="493">
        <v>1708.3613588986636</v>
      </c>
      <c r="R38" s="493">
        <v>1672.2295408858586</v>
      </c>
      <c r="S38" s="493">
        <v>1636.1539119945753</v>
      </c>
      <c r="T38" s="493">
        <v>1600.1344722248239</v>
      </c>
      <c r="U38" s="493">
        <v>1578.1456404179976</v>
      </c>
      <c r="V38" s="493">
        <v>1556.1902210950334</v>
      </c>
      <c r="W38" s="493">
        <v>1534.2682142559252</v>
      </c>
      <c r="X38" s="493">
        <v>1512.3796199006733</v>
      </c>
      <c r="Y38" s="493">
        <v>1490.5244380292654</v>
      </c>
      <c r="Z38" s="493">
        <v>1467.2681472940801</v>
      </c>
      <c r="AA38" s="493">
        <v>1444.0474577452719</v>
      </c>
      <c r="AB38" s="493">
        <v>1420.862369382852</v>
      </c>
      <c r="AC38" s="493">
        <v>1397.7128822068089</v>
      </c>
      <c r="AD38" s="493">
        <v>1374.5989962171548</v>
      </c>
      <c r="AE38" s="493">
        <v>1357.4640885558642</v>
      </c>
      <c r="AF38" s="493">
        <v>1340.3550515105705</v>
      </c>
      <c r="AG38" s="493">
        <v>1323.2718850812848</v>
      </c>
      <c r="AH38" s="493">
        <v>1306.2145892680016</v>
      </c>
      <c r="AI38" s="493">
        <v>1289.1831640707153</v>
      </c>
    </row>
    <row r="39" spans="2:64" outlineLevel="1">
      <c r="B39" t="str">
        <f t="shared" si="0"/>
        <v>e-hydrogen (Alkaline) - Energy cost - Middle East - USD/ton fuel</v>
      </c>
      <c r="C39" t="str">
        <f>C6</f>
        <v>e-hydrogen (Alkaline)</v>
      </c>
      <c r="D39" t="s">
        <v>1368</v>
      </c>
      <c r="E39" t="s">
        <v>826</v>
      </c>
      <c r="F39" t="s">
        <v>1353</v>
      </c>
      <c r="G39" s="487" t="str">
        <f t="shared" si="1"/>
        <v>e-hydrogen (Alkaline)Middle EastEnergy cost</v>
      </c>
      <c r="H39" s="493">
        <v>1854.0135282246365</v>
      </c>
      <c r="I39" s="493">
        <v>1770.7678519316073</v>
      </c>
      <c r="J39" s="493">
        <v>1687.654456385189</v>
      </c>
      <c r="K39" s="493">
        <v>1632.2569147563422</v>
      </c>
      <c r="L39" s="493">
        <v>1576.9466019376102</v>
      </c>
      <c r="M39" s="493">
        <v>1521.7235179289939</v>
      </c>
      <c r="N39" s="493">
        <v>1466.5876627304931</v>
      </c>
      <c r="O39" s="493">
        <v>1411.539036342107</v>
      </c>
      <c r="P39" s="493">
        <v>1372.4523539081965</v>
      </c>
      <c r="Q39" s="493">
        <v>1333.4269298197096</v>
      </c>
      <c r="R39" s="493">
        <v>1294.4627640766244</v>
      </c>
      <c r="S39" s="493">
        <v>1255.5598566789638</v>
      </c>
      <c r="T39" s="493">
        <v>1216.7182076267159</v>
      </c>
      <c r="U39" s="493">
        <v>1196.7867927845518</v>
      </c>
      <c r="V39" s="493">
        <v>1176.8859683806647</v>
      </c>
      <c r="W39" s="493">
        <v>1157.0157344150598</v>
      </c>
      <c r="X39" s="493">
        <v>1137.1760908877261</v>
      </c>
      <c r="Y39" s="493">
        <v>1117.3670377986687</v>
      </c>
      <c r="Z39" s="493">
        <v>1091.714952403941</v>
      </c>
      <c r="AA39" s="493">
        <v>1066.102821425302</v>
      </c>
      <c r="AB39" s="493">
        <v>1040.5306448627405</v>
      </c>
      <c r="AC39" s="493">
        <v>1014.9984227162671</v>
      </c>
      <c r="AD39" s="493">
        <v>989.50615498586922</v>
      </c>
      <c r="AE39" s="493">
        <v>977.17062952680578</v>
      </c>
      <c r="AF39" s="493">
        <v>964.85372858248968</v>
      </c>
      <c r="AG39" s="493">
        <v>952.55545215291522</v>
      </c>
      <c r="AH39" s="493">
        <v>940.27580023808537</v>
      </c>
      <c r="AI39" s="493">
        <v>928.01477283800273</v>
      </c>
    </row>
    <row r="40" spans="2:64" outlineLevel="1">
      <c r="B40" t="str">
        <f t="shared" si="0"/>
        <v/>
      </c>
      <c r="G40" s="487" t="str">
        <f t="shared" si="1"/>
        <v/>
      </c>
    </row>
    <row r="41" spans="2:64" ht="15" outlineLevel="1">
      <c r="B41" t="str">
        <f t="shared" si="0"/>
        <v>e-hydrogen (Alkaline) - Feedstock cost including feedstock feedstock cost - Global - USD/ton fuel</v>
      </c>
      <c r="C41" s="491" t="str">
        <f>C6</f>
        <v>e-hydrogen (Alkaline)</v>
      </c>
      <c r="D41" s="491" t="s">
        <v>1369</v>
      </c>
      <c r="E41" s="491" t="s">
        <v>708</v>
      </c>
      <c r="F41" s="491" t="s">
        <v>1353</v>
      </c>
      <c r="G41" s="487" t="str">
        <f t="shared" si="1"/>
        <v>e-hydrogen (Alkaline)GlobalFeedstock cost including feedstock feedstock cost</v>
      </c>
      <c r="H41" s="492">
        <v>13.5</v>
      </c>
      <c r="I41" s="492">
        <v>13.500000000000048</v>
      </c>
      <c r="J41" s="492">
        <v>13.500000000000048</v>
      </c>
      <c r="K41" s="492">
        <v>13.500000000000048</v>
      </c>
      <c r="L41" s="492">
        <v>13.500000000000096</v>
      </c>
      <c r="M41" s="492">
        <v>13.5</v>
      </c>
      <c r="N41" s="492">
        <v>13.500000000000096</v>
      </c>
      <c r="O41" s="492">
        <v>13.5</v>
      </c>
      <c r="P41" s="492">
        <v>13.499999999999904</v>
      </c>
      <c r="Q41" s="492">
        <v>13.500000000000048</v>
      </c>
      <c r="R41" s="492">
        <v>13.500000000000192</v>
      </c>
      <c r="S41" s="492">
        <v>13.500000000000096</v>
      </c>
      <c r="T41" s="492">
        <v>13.500000000000192</v>
      </c>
      <c r="U41" s="492">
        <v>13.50000000000024</v>
      </c>
      <c r="V41" s="492">
        <v>13.500000000000121</v>
      </c>
      <c r="W41" s="492">
        <v>13.500000000000359</v>
      </c>
      <c r="X41" s="492">
        <v>13.50000000000024</v>
      </c>
      <c r="Y41" s="492">
        <v>13.499999999999904</v>
      </c>
      <c r="Z41" s="492">
        <v>13.5</v>
      </c>
      <c r="AA41" s="492">
        <v>13.499999999999952</v>
      </c>
      <c r="AB41" s="492">
        <v>13.500000000000048</v>
      </c>
      <c r="AC41" s="492">
        <v>13.5</v>
      </c>
      <c r="AD41" s="492">
        <v>13.5</v>
      </c>
      <c r="AE41" s="492">
        <v>13.5</v>
      </c>
      <c r="AF41" s="492">
        <v>13.5</v>
      </c>
      <c r="AG41" s="492">
        <v>13.5</v>
      </c>
      <c r="AH41" s="492">
        <v>13.5</v>
      </c>
      <c r="AI41" s="492">
        <v>13.5</v>
      </c>
    </row>
    <row r="42" spans="2:64" outlineLevel="1">
      <c r="B42" t="str">
        <f t="shared" si="0"/>
        <v>e-hydrogen - Feedstock cost - Global - USD/ton fuel</v>
      </c>
      <c r="C42" t="s">
        <v>1370</v>
      </c>
      <c r="D42" t="s">
        <v>1371</v>
      </c>
      <c r="E42" t="s">
        <v>708</v>
      </c>
      <c r="F42" t="s">
        <v>1353</v>
      </c>
      <c r="G42" s="487" t="str">
        <f t="shared" si="1"/>
        <v>e-hydrogenGlobalFeedstock cost</v>
      </c>
      <c r="H42" s="493">
        <v>13.5</v>
      </c>
      <c r="I42" s="493">
        <v>13.500000000000048</v>
      </c>
      <c r="J42" s="493">
        <v>13.500000000000048</v>
      </c>
      <c r="K42" s="493">
        <v>13.500000000000048</v>
      </c>
      <c r="L42" s="493">
        <v>13.500000000000096</v>
      </c>
      <c r="M42" s="493">
        <v>13.5</v>
      </c>
      <c r="N42" s="493">
        <v>13.500000000000096</v>
      </c>
      <c r="O42" s="493">
        <v>13.5</v>
      </c>
      <c r="P42" s="493">
        <v>13.499999999999904</v>
      </c>
      <c r="Q42" s="493">
        <v>13.500000000000048</v>
      </c>
      <c r="R42" s="493">
        <v>13.500000000000192</v>
      </c>
      <c r="S42" s="493">
        <v>13.500000000000096</v>
      </c>
      <c r="T42" s="493">
        <v>13.500000000000192</v>
      </c>
      <c r="U42" s="493">
        <v>13.50000000000024</v>
      </c>
      <c r="V42" s="493">
        <v>13.500000000000121</v>
      </c>
      <c r="W42" s="493">
        <v>13.500000000000359</v>
      </c>
      <c r="X42" s="493">
        <v>13.50000000000024</v>
      </c>
      <c r="Y42" s="493">
        <v>13.499999999999904</v>
      </c>
      <c r="Z42" s="493">
        <v>13.5</v>
      </c>
      <c r="AA42" s="493">
        <v>13.499999999999952</v>
      </c>
      <c r="AB42" s="493">
        <v>13.500000000000048</v>
      </c>
      <c r="AC42" s="493">
        <v>13.5</v>
      </c>
      <c r="AD42" s="493">
        <v>13.5</v>
      </c>
      <c r="AE42" s="493">
        <v>13.5</v>
      </c>
      <c r="AF42" s="493">
        <v>13.5</v>
      </c>
      <c r="AG42" s="493">
        <v>13.5</v>
      </c>
      <c r="AH42" s="493">
        <v>13.5</v>
      </c>
      <c r="AI42" s="493">
        <v>13.5</v>
      </c>
    </row>
    <row r="43" spans="2:64">
      <c r="B43" t="str">
        <f t="shared" si="0"/>
        <v/>
      </c>
      <c r="G43" s="487" t="str">
        <f t="shared" si="1"/>
        <v/>
      </c>
    </row>
    <row r="44" spans="2:64" ht="15">
      <c r="B44" t="str">
        <f t="shared" si="0"/>
        <v>e-hydrogen (PEM) - Item - Region - Unit</v>
      </c>
      <c r="C44" s="485" t="s">
        <v>1372</v>
      </c>
      <c r="D44" s="485" t="s">
        <v>877</v>
      </c>
      <c r="E44" s="485" t="s">
        <v>171</v>
      </c>
      <c r="F44" s="485" t="s">
        <v>111</v>
      </c>
      <c r="G44" s="487" t="str">
        <f t="shared" si="1"/>
        <v>e-hydrogen (PEM)RegionItem</v>
      </c>
      <c r="H44" s="486">
        <v>2023</v>
      </c>
      <c r="I44" s="486">
        <v>2024</v>
      </c>
      <c r="J44" s="486">
        <v>2025</v>
      </c>
      <c r="K44" s="486">
        <v>2026</v>
      </c>
      <c r="L44" s="486">
        <v>2027</v>
      </c>
      <c r="M44" s="486">
        <v>2028</v>
      </c>
      <c r="N44" s="486">
        <v>2029</v>
      </c>
      <c r="O44" s="486">
        <v>2030</v>
      </c>
      <c r="P44" s="486">
        <v>2031</v>
      </c>
      <c r="Q44" s="486">
        <v>2032</v>
      </c>
      <c r="R44" s="486">
        <v>2033</v>
      </c>
      <c r="S44" s="486">
        <v>2034</v>
      </c>
      <c r="T44" s="486">
        <v>2035</v>
      </c>
      <c r="U44" s="486">
        <v>2036</v>
      </c>
      <c r="V44" s="486">
        <v>2037</v>
      </c>
      <c r="W44" s="486">
        <v>2038</v>
      </c>
      <c r="X44" s="486">
        <v>2039</v>
      </c>
      <c r="Y44" s="486">
        <v>2040</v>
      </c>
      <c r="Z44" s="486">
        <v>2041</v>
      </c>
      <c r="AA44" s="486">
        <v>2042</v>
      </c>
      <c r="AB44" s="486">
        <v>2043</v>
      </c>
      <c r="AC44" s="486">
        <v>2044</v>
      </c>
      <c r="AD44" s="486">
        <v>2045</v>
      </c>
      <c r="AE44" s="486">
        <v>2046</v>
      </c>
      <c r="AF44" s="486">
        <v>2047</v>
      </c>
      <c r="AG44" s="486">
        <v>2048</v>
      </c>
      <c r="AH44" s="486">
        <v>2049</v>
      </c>
      <c r="AI44" s="486">
        <v>2050</v>
      </c>
    </row>
    <row r="45" spans="2:64" outlineLevel="1">
      <c r="B45" t="str">
        <f t="shared" si="0"/>
        <v>e-hydrogen (PEM) - Total cost - Africa - USD/ton fuel</v>
      </c>
      <c r="C45" s="487" t="str">
        <f>C44</f>
        <v>e-hydrogen (PEM)</v>
      </c>
      <c r="D45" s="487" t="s">
        <v>1362</v>
      </c>
      <c r="E45" s="487" t="s">
        <v>838</v>
      </c>
      <c r="F45" s="487" t="s">
        <v>1353</v>
      </c>
      <c r="G45" s="487" t="str">
        <f t="shared" si="1"/>
        <v>e-hydrogen (PEM)AfricaTotal cost</v>
      </c>
      <c r="H45" s="488">
        <v>5441.9495600428263</v>
      </c>
      <c r="I45" s="488">
        <v>4876.9534882843791</v>
      </c>
      <c r="J45" s="488">
        <v>4318.0347506045728</v>
      </c>
      <c r="K45" s="488">
        <v>4085.827866475981</v>
      </c>
      <c r="L45" s="488">
        <v>3855.2575716558199</v>
      </c>
      <c r="M45" s="488">
        <v>3626.3238661441083</v>
      </c>
      <c r="N45" s="488">
        <v>3399.0267499408283</v>
      </c>
      <c r="O45" s="488">
        <v>3173.3662230460027</v>
      </c>
      <c r="P45" s="488">
        <v>3064.8196611105536</v>
      </c>
      <c r="Q45" s="488">
        <v>2957.1556050398012</v>
      </c>
      <c r="R45" s="488">
        <v>2850.3740548337159</v>
      </c>
      <c r="S45" s="488">
        <v>2744.4750104923332</v>
      </c>
      <c r="T45" s="488">
        <v>2639.4584720156513</v>
      </c>
      <c r="U45" s="488">
        <v>2571.4404649564121</v>
      </c>
      <c r="V45" s="488">
        <v>2503.8237251337127</v>
      </c>
      <c r="W45" s="488">
        <v>2436.6082525475422</v>
      </c>
      <c r="X45" s="488">
        <v>2369.7940471979068</v>
      </c>
      <c r="Y45" s="488">
        <v>2303.3811090848149</v>
      </c>
      <c r="Z45" s="488">
        <v>2239.4264447338105</v>
      </c>
      <c r="AA45" s="488">
        <v>2175.870372234484</v>
      </c>
      <c r="AB45" s="488">
        <v>2112.712891586822</v>
      </c>
      <c r="AC45" s="488">
        <v>2049.9540027908511</v>
      </c>
      <c r="AD45" s="488">
        <v>1987.5937058465549</v>
      </c>
      <c r="AE45" s="488">
        <v>1942.5503511755187</v>
      </c>
      <c r="AF45" s="488">
        <v>1897.6959886397819</v>
      </c>
      <c r="AG45" s="488">
        <v>1853.0306182393319</v>
      </c>
      <c r="AH45" s="488">
        <v>1808.5542399741735</v>
      </c>
      <c r="AI45" s="488">
        <v>1764.2668538443118</v>
      </c>
    </row>
    <row r="46" spans="2:64" outlineLevel="1">
      <c r="B46" t="str">
        <f t="shared" si="0"/>
        <v>e-hydrogen (PEM) - Total cost - Americas - USD/ton fuel</v>
      </c>
      <c r="C46" t="str">
        <f>C45</f>
        <v>e-hydrogen (PEM)</v>
      </c>
      <c r="D46" t="s">
        <v>1362</v>
      </c>
      <c r="E46" t="s">
        <v>731</v>
      </c>
      <c r="F46" t="s">
        <v>1353</v>
      </c>
      <c r="G46" s="487" t="str">
        <f t="shared" si="1"/>
        <v>e-hydrogen (PEM)AmericasTotal cost</v>
      </c>
      <c r="H46" s="489">
        <v>4055.4480216905413</v>
      </c>
      <c r="I46" s="489">
        <v>3886.8686079601657</v>
      </c>
      <c r="J46" s="489">
        <v>3718.9625974171845</v>
      </c>
      <c r="K46" s="489">
        <v>3530.065661107612</v>
      </c>
      <c r="L46" s="489">
        <v>3342.2683630386318</v>
      </c>
      <c r="M46" s="489">
        <v>3155.5707032102619</v>
      </c>
      <c r="N46" s="489">
        <v>2969.9726816225407</v>
      </c>
      <c r="O46" s="489">
        <v>2785.4742982753796</v>
      </c>
      <c r="P46" s="489">
        <v>2706.6982697459357</v>
      </c>
      <c r="Q46" s="489">
        <v>2628.4334333768734</v>
      </c>
      <c r="R46" s="489">
        <v>2550.6797891681913</v>
      </c>
      <c r="S46" s="489">
        <v>2473.4373371198694</v>
      </c>
      <c r="T46" s="489">
        <v>2396.7060772319192</v>
      </c>
      <c r="U46" s="489">
        <v>2330.4080300536207</v>
      </c>
      <c r="V46" s="489">
        <v>2264.5102878865137</v>
      </c>
      <c r="W46" s="489">
        <v>2199.0128507305953</v>
      </c>
      <c r="X46" s="489">
        <v>2133.9157185858785</v>
      </c>
      <c r="Y46" s="489">
        <v>2069.2188914523476</v>
      </c>
      <c r="Z46" s="489">
        <v>2024.5987471904855</v>
      </c>
      <c r="AA46" s="489">
        <v>1980.1343934565748</v>
      </c>
      <c r="AB46" s="489">
        <v>1935.8258302506183</v>
      </c>
      <c r="AC46" s="489">
        <v>1891.6730575726103</v>
      </c>
      <c r="AD46" s="489">
        <v>1847.6760754225568</v>
      </c>
      <c r="AE46" s="489">
        <v>1809.0974198645622</v>
      </c>
      <c r="AF46" s="489">
        <v>1770.6323037114794</v>
      </c>
      <c r="AG46" s="489">
        <v>1732.2807269633058</v>
      </c>
      <c r="AH46" s="489">
        <v>1694.0426896200397</v>
      </c>
      <c r="AI46" s="489">
        <v>1655.9181916816804</v>
      </c>
    </row>
    <row r="47" spans="2:64" outlineLevel="1">
      <c r="B47" t="str">
        <f t="shared" si="0"/>
        <v>e-hydrogen (PEM) - Total cost - Asia - USD/ton fuel</v>
      </c>
      <c r="C47" t="str">
        <f>C46</f>
        <v>e-hydrogen (PEM)</v>
      </c>
      <c r="D47" t="s">
        <v>1362</v>
      </c>
      <c r="E47" t="s">
        <v>750</v>
      </c>
      <c r="F47" t="s">
        <v>1353</v>
      </c>
      <c r="G47" s="487" t="str">
        <f t="shared" si="1"/>
        <v>e-hydrogen (PEM)AsiaTotal cost</v>
      </c>
      <c r="H47" s="489">
        <v>5860.5199271798938</v>
      </c>
      <c r="I47" s="489">
        <v>5365.5682235634968</v>
      </c>
      <c r="J47" s="489">
        <v>4875.6747034574983</v>
      </c>
      <c r="K47" s="489">
        <v>4631.1946452879683</v>
      </c>
      <c r="L47" s="489">
        <v>4388.4672684804609</v>
      </c>
      <c r="M47" s="489">
        <v>4147.4925730348823</v>
      </c>
      <c r="N47" s="489">
        <v>3908.2705589512975</v>
      </c>
      <c r="O47" s="489">
        <v>3670.8012262297289</v>
      </c>
      <c r="P47" s="489">
        <v>3539.2680101191204</v>
      </c>
      <c r="Q47" s="489">
        <v>3408.8855953573316</v>
      </c>
      <c r="R47" s="489">
        <v>3279.6539819443606</v>
      </c>
      <c r="S47" s="489">
        <v>3151.5731698801314</v>
      </c>
      <c r="T47" s="489">
        <v>3024.6431591646929</v>
      </c>
      <c r="U47" s="489">
        <v>2942.0267493710294</v>
      </c>
      <c r="V47" s="489">
        <v>2859.9755545578937</v>
      </c>
      <c r="W47" s="489">
        <v>2778.4895747253022</v>
      </c>
      <c r="X47" s="489">
        <v>2697.5688098732262</v>
      </c>
      <c r="Y47" s="489">
        <v>2617.2132600017021</v>
      </c>
      <c r="Z47" s="489">
        <v>2538.4885055675009</v>
      </c>
      <c r="AA47" s="489">
        <v>2460.3352753197237</v>
      </c>
      <c r="AB47" s="489">
        <v>2382.7535692583456</v>
      </c>
      <c r="AC47" s="489">
        <v>2305.743387383392</v>
      </c>
      <c r="AD47" s="489">
        <v>2229.3047296948407</v>
      </c>
      <c r="AE47" s="489">
        <v>2177.92754913511</v>
      </c>
      <c r="AF47" s="489">
        <v>2126.8035566091357</v>
      </c>
      <c r="AG47" s="489">
        <v>2075.9327521169307</v>
      </c>
      <c r="AH47" s="489">
        <v>2025.3151356584863</v>
      </c>
      <c r="AI47" s="489">
        <v>1974.9507072337965</v>
      </c>
    </row>
    <row r="48" spans="2:64" outlineLevel="1">
      <c r="B48" t="str">
        <f t="shared" si="0"/>
        <v>e-hydrogen (PEM) - Total cost - Europe - USD/ton fuel</v>
      </c>
      <c r="C48" t="str">
        <f>C47</f>
        <v>e-hydrogen (PEM)</v>
      </c>
      <c r="D48" t="s">
        <v>1362</v>
      </c>
      <c r="E48" t="s">
        <v>720</v>
      </c>
      <c r="F48" t="s">
        <v>1353</v>
      </c>
      <c r="G48" s="487" t="str">
        <f t="shared" si="1"/>
        <v>e-hydrogen (PEM)EuropeTotal cost</v>
      </c>
      <c r="H48" s="489">
        <v>4800.2556978190951</v>
      </c>
      <c r="I48" s="489">
        <v>4542.5151861647146</v>
      </c>
      <c r="J48" s="489">
        <v>4286.62155627628</v>
      </c>
      <c r="K48" s="489">
        <v>4068.8783968172761</v>
      </c>
      <c r="L48" s="489">
        <v>3852.5768240566917</v>
      </c>
      <c r="M48" s="489">
        <v>3637.7168379946015</v>
      </c>
      <c r="N48" s="489">
        <v>3424.2984386309599</v>
      </c>
      <c r="O48" s="489">
        <v>3212.3216259657893</v>
      </c>
      <c r="P48" s="489">
        <v>3125.7169753697913</v>
      </c>
      <c r="Q48" s="489">
        <v>3039.690951703747</v>
      </c>
      <c r="R48" s="489">
        <v>2954.2435549675997</v>
      </c>
      <c r="S48" s="489">
        <v>2869.3747851613434</v>
      </c>
      <c r="T48" s="489">
        <v>2785.0846422850109</v>
      </c>
      <c r="U48" s="489">
        <v>2721.0123573862052</v>
      </c>
      <c r="V48" s="489">
        <v>2657.2738038417247</v>
      </c>
      <c r="W48" s="489">
        <v>2593.8689816515657</v>
      </c>
      <c r="X48" s="489">
        <v>2530.7978908157265</v>
      </c>
      <c r="Y48" s="489">
        <v>2468.0605313341916</v>
      </c>
      <c r="Z48" s="489">
        <v>2406.9103478756715</v>
      </c>
      <c r="AA48" s="489">
        <v>2346.1050655084978</v>
      </c>
      <c r="AB48" s="489">
        <v>2285.6446842326823</v>
      </c>
      <c r="AC48" s="489">
        <v>2225.5292040482132</v>
      </c>
      <c r="AD48" s="489">
        <v>2165.7586249551059</v>
      </c>
      <c r="AE48" s="489">
        <v>2115.5507380530253</v>
      </c>
      <c r="AF48" s="489">
        <v>2065.5859476567648</v>
      </c>
      <c r="AG48" s="489">
        <v>2015.8642537663368</v>
      </c>
      <c r="AH48" s="489">
        <v>1966.3856563817321</v>
      </c>
      <c r="AI48" s="489">
        <v>1917.1501555029452</v>
      </c>
    </row>
    <row r="49" spans="2:35" outlineLevel="1">
      <c r="B49" t="str">
        <f t="shared" si="0"/>
        <v>e-hydrogen (PEM) - Total cost - Middle East - USD/ton fuel</v>
      </c>
      <c r="C49" s="25" t="str">
        <f>C48</f>
        <v>e-hydrogen (PEM)</v>
      </c>
      <c r="D49" s="25" t="s">
        <v>1362</v>
      </c>
      <c r="E49" s="25" t="s">
        <v>826</v>
      </c>
      <c r="F49" s="25" t="s">
        <v>1353</v>
      </c>
      <c r="G49" s="487" t="str">
        <f t="shared" si="1"/>
        <v>e-hydrogen (PEM)Middle EastTotal cost</v>
      </c>
      <c r="H49" s="490">
        <v>4076.7306209595749</v>
      </c>
      <c r="I49" s="490">
        <v>3852.5622635131067</v>
      </c>
      <c r="J49" s="490">
        <v>3629.8418753193096</v>
      </c>
      <c r="K49" s="490">
        <v>3454.2312318560625</v>
      </c>
      <c r="L49" s="490">
        <v>3279.5467024995</v>
      </c>
      <c r="M49" s="490">
        <v>3105.7882872496402</v>
      </c>
      <c r="N49" s="490">
        <v>2932.9559861064936</v>
      </c>
      <c r="O49" s="490">
        <v>2761.0497990700278</v>
      </c>
      <c r="P49" s="490">
        <v>2673.6970170251575</v>
      </c>
      <c r="Q49" s="490">
        <v>2586.9750639980571</v>
      </c>
      <c r="R49" s="490">
        <v>2500.8839399886974</v>
      </c>
      <c r="S49" s="490">
        <v>2415.4236449970867</v>
      </c>
      <c r="T49" s="490">
        <v>2330.5941790232291</v>
      </c>
      <c r="U49" s="490">
        <v>2271.6702645801843</v>
      </c>
      <c r="V49" s="490">
        <v>2213.0518942696626</v>
      </c>
      <c r="W49" s="490">
        <v>2154.7390680916742</v>
      </c>
      <c r="X49" s="490">
        <v>2096.7317860462044</v>
      </c>
      <c r="Y49" s="490">
        <v>2039.0300481332556</v>
      </c>
      <c r="Z49" s="490">
        <v>1977.713437550377</v>
      </c>
      <c r="AA49" s="490">
        <v>1916.7839017566221</v>
      </c>
      <c r="AB49" s="490">
        <v>1856.2414407519777</v>
      </c>
      <c r="AC49" s="490">
        <v>1796.0860545364574</v>
      </c>
      <c r="AD49" s="490">
        <v>1736.3177431100485</v>
      </c>
      <c r="AE49" s="490">
        <v>1694.0039053433582</v>
      </c>
      <c r="AF49" s="490">
        <v>1651.8650751782163</v>
      </c>
      <c r="AG49" s="490">
        <v>1609.9012526146171</v>
      </c>
      <c r="AH49" s="490">
        <v>1568.1124376525613</v>
      </c>
      <c r="AI49" s="490">
        <v>1526.4986302920522</v>
      </c>
    </row>
    <row r="50" spans="2:35" ht="15" outlineLevel="1">
      <c r="B50" t="str">
        <f t="shared" si="0"/>
        <v/>
      </c>
      <c r="C50" s="22"/>
      <c r="G50" s="487" t="str">
        <f t="shared" si="1"/>
        <v/>
      </c>
    </row>
    <row r="51" spans="2:35" ht="15" outlineLevel="1">
      <c r="B51" t="str">
        <f t="shared" si="0"/>
        <v>e-hydrogen (PEM) - CAPEX including feedstock CAPEX - Global - USD/ton fuel</v>
      </c>
      <c r="C51" s="491" t="str">
        <f>C44</f>
        <v>e-hydrogen (PEM)</v>
      </c>
      <c r="D51" s="491" t="s">
        <v>1363</v>
      </c>
      <c r="E51" s="491" t="s">
        <v>708</v>
      </c>
      <c r="F51" s="491" t="s">
        <v>1353</v>
      </c>
      <c r="G51" s="487" t="str">
        <f t="shared" si="1"/>
        <v>e-hydrogen (PEM)GlobalCAPEX including feedstock CAPEX</v>
      </c>
      <c r="H51" s="492">
        <v>297.18760822752569</v>
      </c>
      <c r="I51" s="492">
        <v>280.44311918225526</v>
      </c>
      <c r="J51" s="492">
        <v>263.69863013698489</v>
      </c>
      <c r="K51" s="492">
        <v>248.0118067464015</v>
      </c>
      <c r="L51" s="492">
        <v>232.32498335581815</v>
      </c>
      <c r="M51" s="492">
        <v>216.63815996523482</v>
      </c>
      <c r="N51" s="492">
        <v>200.95133657465146</v>
      </c>
      <c r="O51" s="492">
        <v>185.26451318406811</v>
      </c>
      <c r="P51" s="492">
        <v>180.64985324929003</v>
      </c>
      <c r="Q51" s="492">
        <v>176.03519331451389</v>
      </c>
      <c r="R51" s="492">
        <v>171.42053337973775</v>
      </c>
      <c r="S51" s="492">
        <v>166.80587344495967</v>
      </c>
      <c r="T51" s="492">
        <v>162.1912135101816</v>
      </c>
      <c r="U51" s="492">
        <v>157.84736896262621</v>
      </c>
      <c r="V51" s="492">
        <v>153.50352441507081</v>
      </c>
      <c r="W51" s="492">
        <v>149.15967986751542</v>
      </c>
      <c r="X51" s="492">
        <v>144.81583531996196</v>
      </c>
      <c r="Y51" s="492">
        <v>140.47199077240657</v>
      </c>
      <c r="Z51" s="492">
        <v>136.38588575102622</v>
      </c>
      <c r="AA51" s="492">
        <v>132.29978072964587</v>
      </c>
      <c r="AB51" s="492">
        <v>128.2136757082655</v>
      </c>
      <c r="AC51" s="492">
        <v>124.12757068688515</v>
      </c>
      <c r="AD51" s="492">
        <v>120.0414656655048</v>
      </c>
      <c r="AE51" s="492">
        <v>116.20060023407763</v>
      </c>
      <c r="AF51" s="492">
        <v>112.35973480265142</v>
      </c>
      <c r="AG51" s="492">
        <v>108.51886937122423</v>
      </c>
      <c r="AH51" s="492">
        <v>104.67800393979705</v>
      </c>
      <c r="AI51" s="492">
        <v>100.83713850837084</v>
      </c>
    </row>
    <row r="52" spans="2:35" outlineLevel="1">
      <c r="B52" t="str">
        <f t="shared" si="0"/>
        <v>e-hydrogen (PEM) - CAPEX - Global - USD/ton fuel</v>
      </c>
      <c r="C52" t="str">
        <f>C44</f>
        <v>e-hydrogen (PEM)</v>
      </c>
      <c r="D52" t="s">
        <v>446</v>
      </c>
      <c r="E52" t="s">
        <v>708</v>
      </c>
      <c r="F52" t="s">
        <v>1353</v>
      </c>
      <c r="G52" s="487" t="str">
        <f t="shared" si="1"/>
        <v>e-hydrogen (PEM)GlobalCAPEX</v>
      </c>
      <c r="H52" s="493">
        <v>297.18760822752569</v>
      </c>
      <c r="I52" s="493">
        <v>280.44311918225526</v>
      </c>
      <c r="J52" s="493">
        <v>263.69863013698489</v>
      </c>
      <c r="K52" s="493">
        <v>248.0118067464015</v>
      </c>
      <c r="L52" s="493">
        <v>232.32498335581815</v>
      </c>
      <c r="M52" s="493">
        <v>216.63815996523482</v>
      </c>
      <c r="N52" s="493">
        <v>200.95133657465146</v>
      </c>
      <c r="O52" s="493">
        <v>185.26451318406811</v>
      </c>
      <c r="P52" s="493">
        <v>180.64985324929003</v>
      </c>
      <c r="Q52" s="493">
        <v>176.03519331451389</v>
      </c>
      <c r="R52" s="493">
        <v>171.42053337973775</v>
      </c>
      <c r="S52" s="493">
        <v>166.80587344495967</v>
      </c>
      <c r="T52" s="493">
        <v>162.1912135101816</v>
      </c>
      <c r="U52" s="493">
        <v>157.84736896262621</v>
      </c>
      <c r="V52" s="493">
        <v>153.50352441507081</v>
      </c>
      <c r="W52" s="493">
        <v>149.15967986751542</v>
      </c>
      <c r="X52" s="493">
        <v>144.81583531996196</v>
      </c>
      <c r="Y52" s="493">
        <v>140.47199077240657</v>
      </c>
      <c r="Z52" s="493">
        <v>136.38588575102622</v>
      </c>
      <c r="AA52" s="493">
        <v>132.29978072964587</v>
      </c>
      <c r="AB52" s="493">
        <v>128.2136757082655</v>
      </c>
      <c r="AC52" s="493">
        <v>124.12757068688515</v>
      </c>
      <c r="AD52" s="493">
        <v>120.0414656655048</v>
      </c>
      <c r="AE52" s="493">
        <v>116.20060023407763</v>
      </c>
      <c r="AF52" s="493">
        <v>112.35973480265142</v>
      </c>
      <c r="AG52" s="493">
        <v>108.51886937122423</v>
      </c>
      <c r="AH52" s="493">
        <v>104.67800393979705</v>
      </c>
      <c r="AI52" s="493">
        <v>100.83713850837084</v>
      </c>
    </row>
    <row r="53" spans="2:35" outlineLevel="1">
      <c r="B53" t="str">
        <f t="shared" si="0"/>
        <v/>
      </c>
      <c r="G53" s="487" t="str">
        <f t="shared" si="1"/>
        <v/>
      </c>
      <c r="H53" s="493"/>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row>
    <row r="54" spans="2:35" ht="15" outlineLevel="1">
      <c r="B54" t="str">
        <f t="shared" si="0"/>
        <v>e-hydrogen (PEM) - OPEX including feedstock OPEX - Global - USD/ton fuel</v>
      </c>
      <c r="C54" s="491" t="str">
        <f>C45</f>
        <v>e-hydrogen (PEM)</v>
      </c>
      <c r="D54" s="491" t="s">
        <v>1364</v>
      </c>
      <c r="E54" s="491" t="s">
        <v>708</v>
      </c>
      <c r="F54" s="491" t="s">
        <v>1353</v>
      </c>
      <c r="G54" s="487" t="str">
        <f t="shared" si="1"/>
        <v>e-hydrogen (PEM)GlobalOPEX including feedstock OPEX</v>
      </c>
      <c r="H54" s="492">
        <v>910.59019561100286</v>
      </c>
      <c r="I54" s="492">
        <v>850.84304301098746</v>
      </c>
      <c r="J54" s="492">
        <v>791.09589041095751</v>
      </c>
      <c r="K54" s="492">
        <v>739.18362051235454</v>
      </c>
      <c r="L54" s="492">
        <v>687.27135061373701</v>
      </c>
      <c r="M54" s="492">
        <v>635.35908071511949</v>
      </c>
      <c r="N54" s="492">
        <v>583.44681081651652</v>
      </c>
      <c r="O54" s="492">
        <v>531.53454091789899</v>
      </c>
      <c r="P54" s="492">
        <v>514.23266631403385</v>
      </c>
      <c r="Q54" s="492">
        <v>496.93079171016871</v>
      </c>
      <c r="R54" s="492">
        <v>479.62891710631084</v>
      </c>
      <c r="S54" s="492">
        <v>462.32704250244569</v>
      </c>
      <c r="T54" s="492">
        <v>445.02516789858055</v>
      </c>
      <c r="U54" s="492">
        <v>429.74177295655682</v>
      </c>
      <c r="V54" s="492">
        <v>414.45837801453308</v>
      </c>
      <c r="W54" s="492">
        <v>399.17498307250935</v>
      </c>
      <c r="X54" s="492">
        <v>383.89158813048562</v>
      </c>
      <c r="Y54" s="492">
        <v>368.60819318846188</v>
      </c>
      <c r="Z54" s="492">
        <v>355.13620468719091</v>
      </c>
      <c r="AA54" s="492">
        <v>341.66421618591994</v>
      </c>
      <c r="AB54" s="492">
        <v>328.19222768464897</v>
      </c>
      <c r="AC54" s="492">
        <v>314.720239183378</v>
      </c>
      <c r="AD54" s="492">
        <v>301.24825068211067</v>
      </c>
      <c r="AE54" s="492">
        <v>289.40042702970823</v>
      </c>
      <c r="AF54" s="492">
        <v>277.55260337730215</v>
      </c>
      <c r="AG54" s="492">
        <v>265.70477972489971</v>
      </c>
      <c r="AH54" s="492">
        <v>253.85695607249727</v>
      </c>
      <c r="AI54" s="492">
        <v>242.00913242009119</v>
      </c>
    </row>
    <row r="55" spans="2:35" outlineLevel="1">
      <c r="B55" t="str">
        <f t="shared" si="0"/>
        <v>e-hydrogen (PEM) - OPEX - Global - USD/ton fuel</v>
      </c>
      <c r="C55" t="str">
        <f>C44</f>
        <v>e-hydrogen (PEM)</v>
      </c>
      <c r="D55" t="s">
        <v>450</v>
      </c>
      <c r="E55" t="s">
        <v>708</v>
      </c>
      <c r="F55" t="s">
        <v>1353</v>
      </c>
      <c r="G55" s="487" t="str">
        <f t="shared" si="1"/>
        <v>e-hydrogen (PEM)GlobalOPEX</v>
      </c>
      <c r="H55" s="493">
        <v>910.59019561100286</v>
      </c>
      <c r="I55" s="493">
        <v>850.84304301098746</v>
      </c>
      <c r="J55" s="493">
        <v>791.09589041095751</v>
      </c>
      <c r="K55" s="493">
        <v>739.18362051235454</v>
      </c>
      <c r="L55" s="493">
        <v>687.27135061373701</v>
      </c>
      <c r="M55" s="493">
        <v>635.35908071511949</v>
      </c>
      <c r="N55" s="493">
        <v>583.44681081651652</v>
      </c>
      <c r="O55" s="493">
        <v>531.53454091789899</v>
      </c>
      <c r="P55" s="493">
        <v>514.23266631403385</v>
      </c>
      <c r="Q55" s="493">
        <v>496.93079171016871</v>
      </c>
      <c r="R55" s="493">
        <v>479.62891710631084</v>
      </c>
      <c r="S55" s="493">
        <v>462.32704250244569</v>
      </c>
      <c r="T55" s="493">
        <v>445.02516789858055</v>
      </c>
      <c r="U55" s="493">
        <v>429.74177295655682</v>
      </c>
      <c r="V55" s="493">
        <v>414.45837801453308</v>
      </c>
      <c r="W55" s="493">
        <v>399.17498307250935</v>
      </c>
      <c r="X55" s="493">
        <v>383.89158813048562</v>
      </c>
      <c r="Y55" s="493">
        <v>368.60819318846188</v>
      </c>
      <c r="Z55" s="493">
        <v>355.13620468719091</v>
      </c>
      <c r="AA55" s="493">
        <v>341.66421618591994</v>
      </c>
      <c r="AB55" s="493">
        <v>328.19222768464897</v>
      </c>
      <c r="AC55" s="493">
        <v>314.720239183378</v>
      </c>
      <c r="AD55" s="493">
        <v>301.24825068211067</v>
      </c>
      <c r="AE55" s="493">
        <v>289.40042702970823</v>
      </c>
      <c r="AF55" s="493">
        <v>277.55260337730215</v>
      </c>
      <c r="AG55" s="493">
        <v>265.70477972489971</v>
      </c>
      <c r="AH55" s="493">
        <v>253.85695607249727</v>
      </c>
      <c r="AI55" s="493">
        <v>242.00913242009119</v>
      </c>
    </row>
    <row r="56" spans="2:35" outlineLevel="1">
      <c r="B56" t="str">
        <f t="shared" si="0"/>
        <v/>
      </c>
      <c r="G56" s="487" t="str">
        <f t="shared" si="1"/>
        <v/>
      </c>
      <c r="H56" s="493"/>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row>
    <row r="57" spans="2:35" ht="15" outlineLevel="1">
      <c r="B57" t="str">
        <f t="shared" si="0"/>
        <v>e-hydrogen (PEM) - Finance cost including feedstock finance cost - Africa - USD/ton fuel</v>
      </c>
      <c r="C57" s="494" t="str">
        <f>C48</f>
        <v>e-hydrogen (PEM)</v>
      </c>
      <c r="D57" s="494" t="s">
        <v>1365</v>
      </c>
      <c r="E57" s="494" t="s">
        <v>838</v>
      </c>
      <c r="F57" s="494" t="s">
        <v>1353</v>
      </c>
      <c r="G57" s="487" t="str">
        <f t="shared" si="1"/>
        <v>e-hydrogen (PEM)AfricaFinance cost including feedstock finance cost</v>
      </c>
      <c r="H57" s="495">
        <v>490.35955357541746</v>
      </c>
      <c r="I57" s="495">
        <v>462.73114665072126</v>
      </c>
      <c r="J57" s="495">
        <v>435.10273972602511</v>
      </c>
      <c r="K57" s="495">
        <v>409.21948113156253</v>
      </c>
      <c r="L57" s="495">
        <v>383.33622253710001</v>
      </c>
      <c r="M57" s="495">
        <v>357.4529639426375</v>
      </c>
      <c r="N57" s="495">
        <v>331.56970534817492</v>
      </c>
      <c r="O57" s="495">
        <v>305.6864467537124</v>
      </c>
      <c r="P57" s="495">
        <v>298.07225786132858</v>
      </c>
      <c r="Q57" s="495">
        <v>290.45806896894794</v>
      </c>
      <c r="R57" s="495">
        <v>282.8438800765673</v>
      </c>
      <c r="S57" s="495">
        <v>275.22969118418348</v>
      </c>
      <c r="T57" s="495">
        <v>267.61550229179966</v>
      </c>
      <c r="U57" s="495">
        <v>260.44815878833327</v>
      </c>
      <c r="V57" s="495">
        <v>253.28081528486686</v>
      </c>
      <c r="W57" s="495">
        <v>246.11347178140048</v>
      </c>
      <c r="X57" s="495">
        <v>238.94612827793728</v>
      </c>
      <c r="Y57" s="495">
        <v>231.77878477447086</v>
      </c>
      <c r="Z57" s="495">
        <v>225.03671148919329</v>
      </c>
      <c r="AA57" s="495">
        <v>218.2946382039157</v>
      </c>
      <c r="AB57" s="495">
        <v>211.55256491863813</v>
      </c>
      <c r="AC57" s="495">
        <v>204.81049163336053</v>
      </c>
      <c r="AD57" s="495">
        <v>198.06841834808296</v>
      </c>
      <c r="AE57" s="495">
        <v>191.73099038622811</v>
      </c>
      <c r="AF57" s="495">
        <v>185.39356242437486</v>
      </c>
      <c r="AG57" s="495">
        <v>179.05613446252002</v>
      </c>
      <c r="AH57" s="495">
        <v>172.71870650066515</v>
      </c>
      <c r="AI57" s="495">
        <v>166.38127853881193</v>
      </c>
    </row>
    <row r="58" spans="2:35" ht="15" outlineLevel="1">
      <c r="B58" t="str">
        <f t="shared" si="0"/>
        <v>e-hydrogen (PEM) - Finance cost including feedstock finance cost - Americas - USD/ton fuel</v>
      </c>
      <c r="C58" s="22" t="str">
        <f>C48</f>
        <v>e-hydrogen (PEM)</v>
      </c>
      <c r="D58" s="22" t="s">
        <v>1365</v>
      </c>
      <c r="E58" s="22" t="s">
        <v>731</v>
      </c>
      <c r="F58" s="22" t="s">
        <v>1353</v>
      </c>
      <c r="G58" s="487" t="str">
        <f t="shared" si="1"/>
        <v>e-hydrogen (PEM)AmericasFinance cost including feedstock finance cost</v>
      </c>
      <c r="H58" s="496">
        <v>490.35955357541746</v>
      </c>
      <c r="I58" s="496">
        <v>462.73114665072126</v>
      </c>
      <c r="J58" s="496">
        <v>435.10273972602511</v>
      </c>
      <c r="K58" s="496">
        <v>409.21948113156253</v>
      </c>
      <c r="L58" s="496">
        <v>383.33622253710001</v>
      </c>
      <c r="M58" s="496">
        <v>357.4529639426375</v>
      </c>
      <c r="N58" s="496">
        <v>331.56970534817492</v>
      </c>
      <c r="O58" s="496">
        <v>305.6864467537124</v>
      </c>
      <c r="P58" s="496">
        <v>298.07225786132858</v>
      </c>
      <c r="Q58" s="496">
        <v>290.45806896894794</v>
      </c>
      <c r="R58" s="496">
        <v>282.8438800765673</v>
      </c>
      <c r="S58" s="496">
        <v>275.22969118418348</v>
      </c>
      <c r="T58" s="496">
        <v>267.61550229179966</v>
      </c>
      <c r="U58" s="496">
        <v>260.44815878833327</v>
      </c>
      <c r="V58" s="496">
        <v>253.28081528486686</v>
      </c>
      <c r="W58" s="496">
        <v>246.11347178140048</v>
      </c>
      <c r="X58" s="496">
        <v>238.94612827793728</v>
      </c>
      <c r="Y58" s="496">
        <v>231.77878477447086</v>
      </c>
      <c r="Z58" s="496">
        <v>225.03671148919329</v>
      </c>
      <c r="AA58" s="496">
        <v>218.2946382039157</v>
      </c>
      <c r="AB58" s="496">
        <v>211.55256491863813</v>
      </c>
      <c r="AC58" s="496">
        <v>204.81049163336053</v>
      </c>
      <c r="AD58" s="496">
        <v>198.06841834808296</v>
      </c>
      <c r="AE58" s="496">
        <v>191.73099038622811</v>
      </c>
      <c r="AF58" s="496">
        <v>185.39356242437486</v>
      </c>
      <c r="AG58" s="496">
        <v>179.05613446252002</v>
      </c>
      <c r="AH58" s="496">
        <v>172.71870650066515</v>
      </c>
      <c r="AI58" s="496">
        <v>166.38127853881193</v>
      </c>
    </row>
    <row r="59" spans="2:35" ht="15" outlineLevel="1">
      <c r="B59" t="str">
        <f t="shared" si="0"/>
        <v>e-hydrogen (PEM) - Finance cost including feedstock finance cost - Asia - USD/ton fuel</v>
      </c>
      <c r="C59" s="22" t="str">
        <f>C48</f>
        <v>e-hydrogen (PEM)</v>
      </c>
      <c r="D59" s="22" t="s">
        <v>1365</v>
      </c>
      <c r="E59" s="22" t="s">
        <v>750</v>
      </c>
      <c r="F59" s="22" t="s">
        <v>1353</v>
      </c>
      <c r="G59" s="487" t="str">
        <f t="shared" si="1"/>
        <v>e-hydrogen (PEM)AsiaFinance cost including feedstock finance cost</v>
      </c>
      <c r="H59" s="496">
        <v>490.35955357541746</v>
      </c>
      <c r="I59" s="496">
        <v>462.73114665072126</v>
      </c>
      <c r="J59" s="496">
        <v>435.10273972602511</v>
      </c>
      <c r="K59" s="496">
        <v>409.21948113156253</v>
      </c>
      <c r="L59" s="496">
        <v>383.33622253710001</v>
      </c>
      <c r="M59" s="496">
        <v>357.4529639426375</v>
      </c>
      <c r="N59" s="496">
        <v>331.56970534817492</v>
      </c>
      <c r="O59" s="496">
        <v>305.6864467537124</v>
      </c>
      <c r="P59" s="496">
        <v>298.07225786132858</v>
      </c>
      <c r="Q59" s="496">
        <v>290.45806896894794</v>
      </c>
      <c r="R59" s="496">
        <v>282.8438800765673</v>
      </c>
      <c r="S59" s="496">
        <v>275.22969118418348</v>
      </c>
      <c r="T59" s="496">
        <v>267.61550229179966</v>
      </c>
      <c r="U59" s="496">
        <v>260.44815878833327</v>
      </c>
      <c r="V59" s="496">
        <v>253.28081528486686</v>
      </c>
      <c r="W59" s="496">
        <v>246.11347178140048</v>
      </c>
      <c r="X59" s="496">
        <v>238.94612827793728</v>
      </c>
      <c r="Y59" s="496">
        <v>231.77878477447086</v>
      </c>
      <c r="Z59" s="496">
        <v>225.03671148919329</v>
      </c>
      <c r="AA59" s="496">
        <v>218.2946382039157</v>
      </c>
      <c r="AB59" s="496">
        <v>211.55256491863813</v>
      </c>
      <c r="AC59" s="496">
        <v>204.81049163336053</v>
      </c>
      <c r="AD59" s="496">
        <v>198.06841834808296</v>
      </c>
      <c r="AE59" s="496">
        <v>191.73099038622811</v>
      </c>
      <c r="AF59" s="496">
        <v>185.39356242437486</v>
      </c>
      <c r="AG59" s="496">
        <v>179.05613446252002</v>
      </c>
      <c r="AH59" s="496">
        <v>172.71870650066515</v>
      </c>
      <c r="AI59" s="496">
        <v>166.38127853881193</v>
      </c>
    </row>
    <row r="60" spans="2:35" ht="15" outlineLevel="1">
      <c r="B60" t="str">
        <f t="shared" si="0"/>
        <v>e-hydrogen (PEM) - Finance cost including feedstock finance cost - Europe - USD/ton fuel</v>
      </c>
      <c r="C60" s="22" t="str">
        <f>C48</f>
        <v>e-hydrogen (PEM)</v>
      </c>
      <c r="D60" s="22" t="s">
        <v>1365</v>
      </c>
      <c r="E60" s="22" t="s">
        <v>720</v>
      </c>
      <c r="F60" s="22" t="s">
        <v>1353</v>
      </c>
      <c r="G60" s="487" t="str">
        <f t="shared" si="1"/>
        <v>e-hydrogen (PEM)EuropeFinance cost including feedstock finance cost</v>
      </c>
      <c r="H60" s="496">
        <v>490.35955357541746</v>
      </c>
      <c r="I60" s="496">
        <v>462.73114665072126</v>
      </c>
      <c r="J60" s="496">
        <v>435.10273972602511</v>
      </c>
      <c r="K60" s="496">
        <v>409.21948113156253</v>
      </c>
      <c r="L60" s="496">
        <v>383.33622253710001</v>
      </c>
      <c r="M60" s="496">
        <v>357.4529639426375</v>
      </c>
      <c r="N60" s="496">
        <v>331.56970534817492</v>
      </c>
      <c r="O60" s="496">
        <v>305.6864467537124</v>
      </c>
      <c r="P60" s="496">
        <v>298.07225786132858</v>
      </c>
      <c r="Q60" s="496">
        <v>290.45806896894794</v>
      </c>
      <c r="R60" s="496">
        <v>282.8438800765673</v>
      </c>
      <c r="S60" s="496">
        <v>275.22969118418348</v>
      </c>
      <c r="T60" s="496">
        <v>267.61550229179966</v>
      </c>
      <c r="U60" s="496">
        <v>260.44815878833327</v>
      </c>
      <c r="V60" s="496">
        <v>253.28081528486686</v>
      </c>
      <c r="W60" s="496">
        <v>246.11347178140048</v>
      </c>
      <c r="X60" s="496">
        <v>238.94612827793728</v>
      </c>
      <c r="Y60" s="496">
        <v>231.77878477447086</v>
      </c>
      <c r="Z60" s="496">
        <v>225.03671148919329</v>
      </c>
      <c r="AA60" s="496">
        <v>218.2946382039157</v>
      </c>
      <c r="AB60" s="496">
        <v>211.55256491863813</v>
      </c>
      <c r="AC60" s="496">
        <v>204.81049163336053</v>
      </c>
      <c r="AD60" s="496">
        <v>198.06841834808296</v>
      </c>
      <c r="AE60" s="496">
        <v>191.73099038622811</v>
      </c>
      <c r="AF60" s="496">
        <v>185.39356242437486</v>
      </c>
      <c r="AG60" s="496">
        <v>179.05613446252002</v>
      </c>
      <c r="AH60" s="496">
        <v>172.71870650066515</v>
      </c>
      <c r="AI60" s="496">
        <v>166.38127853881193</v>
      </c>
    </row>
    <row r="61" spans="2:35" ht="15" outlineLevel="1">
      <c r="B61" t="str">
        <f t="shared" si="0"/>
        <v>e-hydrogen (PEM) - Finance cost including feedstock finance cost - Middle East - USD/ton fuel</v>
      </c>
      <c r="C61" s="92" t="str">
        <f>C48</f>
        <v>e-hydrogen (PEM)</v>
      </c>
      <c r="D61" s="92" t="s">
        <v>1365</v>
      </c>
      <c r="E61" s="92" t="s">
        <v>826</v>
      </c>
      <c r="F61" s="92" t="s">
        <v>1353</v>
      </c>
      <c r="G61" s="487" t="str">
        <f t="shared" si="1"/>
        <v>e-hydrogen (PEM)Middle EastFinance cost including feedstock finance cost</v>
      </c>
      <c r="H61" s="497">
        <v>490.35955357541746</v>
      </c>
      <c r="I61" s="497">
        <v>462.73114665072126</v>
      </c>
      <c r="J61" s="497">
        <v>435.10273972602511</v>
      </c>
      <c r="K61" s="497">
        <v>409.21948113156253</v>
      </c>
      <c r="L61" s="497">
        <v>383.33622253710001</v>
      </c>
      <c r="M61" s="497">
        <v>357.4529639426375</v>
      </c>
      <c r="N61" s="497">
        <v>331.56970534817492</v>
      </c>
      <c r="O61" s="497">
        <v>305.6864467537124</v>
      </c>
      <c r="P61" s="497">
        <v>298.07225786132858</v>
      </c>
      <c r="Q61" s="497">
        <v>290.45806896894794</v>
      </c>
      <c r="R61" s="497">
        <v>282.8438800765673</v>
      </c>
      <c r="S61" s="497">
        <v>275.22969118418348</v>
      </c>
      <c r="T61" s="497">
        <v>267.61550229179966</v>
      </c>
      <c r="U61" s="497">
        <v>260.44815878833327</v>
      </c>
      <c r="V61" s="497">
        <v>253.28081528486686</v>
      </c>
      <c r="W61" s="497">
        <v>246.11347178140048</v>
      </c>
      <c r="X61" s="497">
        <v>238.94612827793728</v>
      </c>
      <c r="Y61" s="497">
        <v>231.77878477447086</v>
      </c>
      <c r="Z61" s="497">
        <v>225.03671148919329</v>
      </c>
      <c r="AA61" s="497">
        <v>218.2946382039157</v>
      </c>
      <c r="AB61" s="497">
        <v>211.55256491863813</v>
      </c>
      <c r="AC61" s="497">
        <v>204.81049163336053</v>
      </c>
      <c r="AD61" s="497">
        <v>198.06841834808296</v>
      </c>
      <c r="AE61" s="497">
        <v>191.73099038622811</v>
      </c>
      <c r="AF61" s="497">
        <v>185.39356242437486</v>
      </c>
      <c r="AG61" s="497">
        <v>179.05613446252002</v>
      </c>
      <c r="AH61" s="497">
        <v>172.71870650066515</v>
      </c>
      <c r="AI61" s="497">
        <v>166.38127853881193</v>
      </c>
    </row>
    <row r="62" spans="2:35" outlineLevel="1">
      <c r="B62" t="str">
        <f t="shared" si="0"/>
        <v>e-hydrogen (PEM) - Finance cost - Africa - USD/ton fuel</v>
      </c>
      <c r="C62" t="str">
        <f>C44</f>
        <v>e-hydrogen (PEM)</v>
      </c>
      <c r="D62" t="s">
        <v>1366</v>
      </c>
      <c r="E62" t="s">
        <v>838</v>
      </c>
      <c r="F62" t="s">
        <v>1353</v>
      </c>
      <c r="G62" s="487" t="str">
        <f t="shared" si="1"/>
        <v>e-hydrogen (PEM)AfricaFinance cost</v>
      </c>
      <c r="H62" s="493">
        <v>490.35955357541746</v>
      </c>
      <c r="I62" s="493">
        <v>462.73114665072126</v>
      </c>
      <c r="J62" s="493">
        <v>435.10273972602511</v>
      </c>
      <c r="K62" s="493">
        <v>409.21948113156253</v>
      </c>
      <c r="L62" s="493">
        <v>383.33622253710001</v>
      </c>
      <c r="M62" s="493">
        <v>357.4529639426375</v>
      </c>
      <c r="N62" s="493">
        <v>331.56970534817492</v>
      </c>
      <c r="O62" s="493">
        <v>305.6864467537124</v>
      </c>
      <c r="P62" s="493">
        <v>298.07225786132858</v>
      </c>
      <c r="Q62" s="493">
        <v>290.45806896894794</v>
      </c>
      <c r="R62" s="493">
        <v>282.8438800765673</v>
      </c>
      <c r="S62" s="493">
        <v>275.22969118418348</v>
      </c>
      <c r="T62" s="493">
        <v>267.61550229179966</v>
      </c>
      <c r="U62" s="493">
        <v>260.44815878833327</v>
      </c>
      <c r="V62" s="493">
        <v>253.28081528486686</v>
      </c>
      <c r="W62" s="493">
        <v>246.11347178140048</v>
      </c>
      <c r="X62" s="493">
        <v>238.94612827793728</v>
      </c>
      <c r="Y62" s="493">
        <v>231.77878477447086</v>
      </c>
      <c r="Z62" s="493">
        <v>225.03671148919329</v>
      </c>
      <c r="AA62" s="493">
        <v>218.2946382039157</v>
      </c>
      <c r="AB62" s="493">
        <v>211.55256491863813</v>
      </c>
      <c r="AC62" s="493">
        <v>204.81049163336053</v>
      </c>
      <c r="AD62" s="493">
        <v>198.06841834808296</v>
      </c>
      <c r="AE62" s="493">
        <v>191.73099038622811</v>
      </c>
      <c r="AF62" s="493">
        <v>185.39356242437486</v>
      </c>
      <c r="AG62" s="493">
        <v>179.05613446252002</v>
      </c>
      <c r="AH62" s="493">
        <v>172.71870650066515</v>
      </c>
      <c r="AI62" s="493">
        <v>166.38127853881193</v>
      </c>
    </row>
    <row r="63" spans="2:35" outlineLevel="1">
      <c r="B63" t="str">
        <f t="shared" si="0"/>
        <v>e-hydrogen (PEM) - Finance cost - Americas - USD/ton fuel</v>
      </c>
      <c r="C63" t="str">
        <f>C44</f>
        <v>e-hydrogen (PEM)</v>
      </c>
      <c r="D63" t="s">
        <v>1366</v>
      </c>
      <c r="E63" t="s">
        <v>731</v>
      </c>
      <c r="F63" t="s">
        <v>1353</v>
      </c>
      <c r="G63" s="487" t="str">
        <f t="shared" si="1"/>
        <v>e-hydrogen (PEM)AmericasFinance cost</v>
      </c>
      <c r="H63" s="493">
        <v>490.35955357541746</v>
      </c>
      <c r="I63" s="493">
        <v>462.73114665072126</v>
      </c>
      <c r="J63" s="493">
        <v>435.10273972602511</v>
      </c>
      <c r="K63" s="493">
        <v>409.21948113156253</v>
      </c>
      <c r="L63" s="493">
        <v>383.33622253710001</v>
      </c>
      <c r="M63" s="493">
        <v>357.4529639426375</v>
      </c>
      <c r="N63" s="493">
        <v>331.56970534817492</v>
      </c>
      <c r="O63" s="493">
        <v>305.6864467537124</v>
      </c>
      <c r="P63" s="493">
        <v>298.07225786132858</v>
      </c>
      <c r="Q63" s="493">
        <v>290.45806896894794</v>
      </c>
      <c r="R63" s="493">
        <v>282.8438800765673</v>
      </c>
      <c r="S63" s="493">
        <v>275.22969118418348</v>
      </c>
      <c r="T63" s="493">
        <v>267.61550229179966</v>
      </c>
      <c r="U63" s="493">
        <v>260.44815878833327</v>
      </c>
      <c r="V63" s="493">
        <v>253.28081528486686</v>
      </c>
      <c r="W63" s="493">
        <v>246.11347178140048</v>
      </c>
      <c r="X63" s="493">
        <v>238.94612827793728</v>
      </c>
      <c r="Y63" s="493">
        <v>231.77878477447086</v>
      </c>
      <c r="Z63" s="493">
        <v>225.03671148919329</v>
      </c>
      <c r="AA63" s="493">
        <v>218.2946382039157</v>
      </c>
      <c r="AB63" s="493">
        <v>211.55256491863813</v>
      </c>
      <c r="AC63" s="493">
        <v>204.81049163336053</v>
      </c>
      <c r="AD63" s="493">
        <v>198.06841834808296</v>
      </c>
      <c r="AE63" s="493">
        <v>191.73099038622811</v>
      </c>
      <c r="AF63" s="493">
        <v>185.39356242437486</v>
      </c>
      <c r="AG63" s="493">
        <v>179.05613446252002</v>
      </c>
      <c r="AH63" s="493">
        <v>172.71870650066515</v>
      </c>
      <c r="AI63" s="493">
        <v>166.38127853881193</v>
      </c>
    </row>
    <row r="64" spans="2:35" outlineLevel="1">
      <c r="B64" t="str">
        <f t="shared" si="0"/>
        <v>e-hydrogen (PEM) - Finance cost - Asia - USD/ton fuel</v>
      </c>
      <c r="C64" t="str">
        <f>C44</f>
        <v>e-hydrogen (PEM)</v>
      </c>
      <c r="D64" t="s">
        <v>1366</v>
      </c>
      <c r="E64" t="s">
        <v>750</v>
      </c>
      <c r="F64" t="s">
        <v>1353</v>
      </c>
      <c r="G64" s="487" t="str">
        <f t="shared" si="1"/>
        <v>e-hydrogen (PEM)AsiaFinance cost</v>
      </c>
      <c r="H64" s="493">
        <v>490.35955357541746</v>
      </c>
      <c r="I64" s="493">
        <v>462.73114665072126</v>
      </c>
      <c r="J64" s="493">
        <v>435.10273972602511</v>
      </c>
      <c r="K64" s="493">
        <v>409.21948113156253</v>
      </c>
      <c r="L64" s="493">
        <v>383.33622253710001</v>
      </c>
      <c r="M64" s="493">
        <v>357.4529639426375</v>
      </c>
      <c r="N64" s="493">
        <v>331.56970534817492</v>
      </c>
      <c r="O64" s="493">
        <v>305.6864467537124</v>
      </c>
      <c r="P64" s="493">
        <v>298.07225786132858</v>
      </c>
      <c r="Q64" s="493">
        <v>290.45806896894794</v>
      </c>
      <c r="R64" s="493">
        <v>282.8438800765673</v>
      </c>
      <c r="S64" s="493">
        <v>275.22969118418348</v>
      </c>
      <c r="T64" s="493">
        <v>267.61550229179966</v>
      </c>
      <c r="U64" s="493">
        <v>260.44815878833327</v>
      </c>
      <c r="V64" s="493">
        <v>253.28081528486686</v>
      </c>
      <c r="W64" s="493">
        <v>246.11347178140048</v>
      </c>
      <c r="X64" s="493">
        <v>238.94612827793728</v>
      </c>
      <c r="Y64" s="493">
        <v>231.77878477447086</v>
      </c>
      <c r="Z64" s="493">
        <v>225.03671148919329</v>
      </c>
      <c r="AA64" s="493">
        <v>218.2946382039157</v>
      </c>
      <c r="AB64" s="493">
        <v>211.55256491863813</v>
      </c>
      <c r="AC64" s="493">
        <v>204.81049163336053</v>
      </c>
      <c r="AD64" s="493">
        <v>198.06841834808296</v>
      </c>
      <c r="AE64" s="493">
        <v>191.73099038622811</v>
      </c>
      <c r="AF64" s="493">
        <v>185.39356242437486</v>
      </c>
      <c r="AG64" s="493">
        <v>179.05613446252002</v>
      </c>
      <c r="AH64" s="493">
        <v>172.71870650066515</v>
      </c>
      <c r="AI64" s="493">
        <v>166.38127853881193</v>
      </c>
    </row>
    <row r="65" spans="2:64" outlineLevel="1">
      <c r="B65" t="str">
        <f t="shared" si="0"/>
        <v>e-hydrogen (PEM) - Finance cost - Europe - USD/ton fuel</v>
      </c>
      <c r="C65" t="str">
        <f>C44</f>
        <v>e-hydrogen (PEM)</v>
      </c>
      <c r="D65" t="s">
        <v>1366</v>
      </c>
      <c r="E65" t="s">
        <v>720</v>
      </c>
      <c r="F65" t="s">
        <v>1353</v>
      </c>
      <c r="G65" s="487" t="str">
        <f t="shared" si="1"/>
        <v>e-hydrogen (PEM)EuropeFinance cost</v>
      </c>
      <c r="H65" s="493">
        <v>490.35955357541746</v>
      </c>
      <c r="I65" s="493">
        <v>462.73114665072126</v>
      </c>
      <c r="J65" s="493">
        <v>435.10273972602511</v>
      </c>
      <c r="K65" s="493">
        <v>409.21948113156253</v>
      </c>
      <c r="L65" s="493">
        <v>383.33622253710001</v>
      </c>
      <c r="M65" s="493">
        <v>357.4529639426375</v>
      </c>
      <c r="N65" s="493">
        <v>331.56970534817492</v>
      </c>
      <c r="O65" s="493">
        <v>305.6864467537124</v>
      </c>
      <c r="P65" s="493">
        <v>298.07225786132858</v>
      </c>
      <c r="Q65" s="493">
        <v>290.45806896894794</v>
      </c>
      <c r="R65" s="493">
        <v>282.8438800765673</v>
      </c>
      <c r="S65" s="493">
        <v>275.22969118418348</v>
      </c>
      <c r="T65" s="493">
        <v>267.61550229179966</v>
      </c>
      <c r="U65" s="493">
        <v>260.44815878833327</v>
      </c>
      <c r="V65" s="493">
        <v>253.28081528486686</v>
      </c>
      <c r="W65" s="493">
        <v>246.11347178140048</v>
      </c>
      <c r="X65" s="493">
        <v>238.94612827793728</v>
      </c>
      <c r="Y65" s="493">
        <v>231.77878477447086</v>
      </c>
      <c r="Z65" s="493">
        <v>225.03671148919329</v>
      </c>
      <c r="AA65" s="493">
        <v>218.2946382039157</v>
      </c>
      <c r="AB65" s="493">
        <v>211.55256491863813</v>
      </c>
      <c r="AC65" s="493">
        <v>204.81049163336053</v>
      </c>
      <c r="AD65" s="493">
        <v>198.06841834808296</v>
      </c>
      <c r="AE65" s="493">
        <v>191.73099038622811</v>
      </c>
      <c r="AF65" s="493">
        <v>185.39356242437486</v>
      </c>
      <c r="AG65" s="493">
        <v>179.05613446252002</v>
      </c>
      <c r="AH65" s="493">
        <v>172.71870650066515</v>
      </c>
      <c r="AI65" s="493">
        <v>166.38127853881193</v>
      </c>
    </row>
    <row r="66" spans="2:64" outlineLevel="1">
      <c r="B66" t="str">
        <f t="shared" si="0"/>
        <v>e-hydrogen (PEM) - Finance cost - Middle East - USD/ton fuel</v>
      </c>
      <c r="C66" t="str">
        <f>C44</f>
        <v>e-hydrogen (PEM)</v>
      </c>
      <c r="D66" t="s">
        <v>1366</v>
      </c>
      <c r="E66" t="s">
        <v>826</v>
      </c>
      <c r="F66" t="s">
        <v>1353</v>
      </c>
      <c r="G66" s="487" t="str">
        <f t="shared" si="1"/>
        <v>e-hydrogen (PEM)Middle EastFinance cost</v>
      </c>
      <c r="H66" s="493">
        <v>490.35955357541746</v>
      </c>
      <c r="I66" s="493">
        <v>462.73114665072126</v>
      </c>
      <c r="J66" s="493">
        <v>435.10273972602511</v>
      </c>
      <c r="K66" s="493">
        <v>409.21948113156253</v>
      </c>
      <c r="L66" s="493">
        <v>383.33622253710001</v>
      </c>
      <c r="M66" s="493">
        <v>357.4529639426375</v>
      </c>
      <c r="N66" s="493">
        <v>331.56970534817492</v>
      </c>
      <c r="O66" s="493">
        <v>305.6864467537124</v>
      </c>
      <c r="P66" s="493">
        <v>298.07225786132858</v>
      </c>
      <c r="Q66" s="493">
        <v>290.45806896894794</v>
      </c>
      <c r="R66" s="493">
        <v>282.8438800765673</v>
      </c>
      <c r="S66" s="493">
        <v>275.22969118418348</v>
      </c>
      <c r="T66" s="493">
        <v>267.61550229179966</v>
      </c>
      <c r="U66" s="493">
        <v>260.44815878833327</v>
      </c>
      <c r="V66" s="493">
        <v>253.28081528486686</v>
      </c>
      <c r="W66" s="493">
        <v>246.11347178140048</v>
      </c>
      <c r="X66" s="493">
        <v>238.94612827793728</v>
      </c>
      <c r="Y66" s="493">
        <v>231.77878477447086</v>
      </c>
      <c r="Z66" s="493">
        <v>225.03671148919329</v>
      </c>
      <c r="AA66" s="493">
        <v>218.2946382039157</v>
      </c>
      <c r="AB66" s="493">
        <v>211.55256491863813</v>
      </c>
      <c r="AC66" s="493">
        <v>204.81049163336053</v>
      </c>
      <c r="AD66" s="493">
        <v>198.06841834808296</v>
      </c>
      <c r="AE66" s="493">
        <v>191.73099038622811</v>
      </c>
      <c r="AF66" s="493">
        <v>185.39356242437486</v>
      </c>
      <c r="AG66" s="493">
        <v>179.05613446252002</v>
      </c>
      <c r="AH66" s="493">
        <v>172.71870650066515</v>
      </c>
      <c r="AI66" s="493">
        <v>166.38127853881193</v>
      </c>
    </row>
    <row r="67" spans="2:64" ht="15" outlineLevel="1" thickBot="1">
      <c r="B67" t="str">
        <f t="shared" si="0"/>
        <v/>
      </c>
      <c r="G67" s="487" t="str">
        <f t="shared" si="1"/>
        <v/>
      </c>
      <c r="H67" s="498"/>
    </row>
    <row r="68" spans="2:64" ht="15" outlineLevel="1">
      <c r="B68" t="str">
        <f t="shared" si="0"/>
        <v>e-hydrogen (PEM) - Energy cost including feedstock energy cost - Africa - USD/ton fuel</v>
      </c>
      <c r="C68" s="494" t="str">
        <f>C44</f>
        <v>e-hydrogen (PEM)</v>
      </c>
      <c r="D68" s="494" t="s">
        <v>1367</v>
      </c>
      <c r="E68" s="494" t="s">
        <v>838</v>
      </c>
      <c r="F68" s="494" t="s">
        <v>1353</v>
      </c>
      <c r="G68" s="487" t="str">
        <f t="shared" si="1"/>
        <v>e-hydrogen (PEM)AfricaEnergy cost including feedstock energy cost</v>
      </c>
      <c r="H68" s="495">
        <v>3730.3122026288802</v>
      </c>
      <c r="I68" s="495">
        <v>3269.4361794404149</v>
      </c>
      <c r="J68" s="495">
        <v>2814.6374903306055</v>
      </c>
      <c r="K68" s="495">
        <v>2675.9129580856625</v>
      </c>
      <c r="L68" s="495">
        <v>2538.8250151491648</v>
      </c>
      <c r="M68" s="495">
        <v>2403.3736615211164</v>
      </c>
      <c r="N68" s="495">
        <v>2269.5588972014853</v>
      </c>
      <c r="O68" s="495">
        <v>2137.380722190323</v>
      </c>
      <c r="P68" s="495">
        <v>2058.3648836859011</v>
      </c>
      <c r="Q68" s="495">
        <v>1980.2315510461706</v>
      </c>
      <c r="R68" s="495">
        <v>1902.9807242711001</v>
      </c>
      <c r="S68" s="495">
        <v>1826.6124033607446</v>
      </c>
      <c r="T68" s="495">
        <v>1751.1265883150895</v>
      </c>
      <c r="U68" s="495">
        <v>1709.9031642488958</v>
      </c>
      <c r="V68" s="495">
        <v>1669.0810074192418</v>
      </c>
      <c r="W68" s="495">
        <v>1628.6601178261169</v>
      </c>
      <c r="X68" s="495">
        <v>1588.640495469522</v>
      </c>
      <c r="Y68" s="495">
        <v>1549.0221403494756</v>
      </c>
      <c r="Z68" s="495">
        <v>1509.3676428064002</v>
      </c>
      <c r="AA68" s="495">
        <v>1470.1117371150024</v>
      </c>
      <c r="AB68" s="495">
        <v>1431.2544232752696</v>
      </c>
      <c r="AC68" s="495">
        <v>1392.7957012872273</v>
      </c>
      <c r="AD68" s="495">
        <v>1354.7355711508565</v>
      </c>
      <c r="AE68" s="495">
        <v>1331.7183335255047</v>
      </c>
      <c r="AF68" s="495">
        <v>1308.8900880354536</v>
      </c>
      <c r="AG68" s="495">
        <v>1286.2508346806881</v>
      </c>
      <c r="AH68" s="495">
        <v>1263.8005734612141</v>
      </c>
      <c r="AI68" s="495">
        <v>1241.5393043770378</v>
      </c>
      <c r="AK68" s="499" t="b">
        <f t="shared" ref="AK68:BL68" si="7">H51+H54+H57+H68+H79=H45</f>
        <v>1</v>
      </c>
      <c r="AL68" s="500" t="b">
        <f t="shared" si="7"/>
        <v>1</v>
      </c>
      <c r="AM68" s="500" t="b">
        <f t="shared" si="7"/>
        <v>1</v>
      </c>
      <c r="AN68" s="500" t="b">
        <f t="shared" si="7"/>
        <v>1</v>
      </c>
      <c r="AO68" s="500" t="b">
        <f t="shared" si="7"/>
        <v>1</v>
      </c>
      <c r="AP68" s="500" t="b">
        <f t="shared" si="7"/>
        <v>1</v>
      </c>
      <c r="AQ68" s="500" t="b">
        <f t="shared" si="7"/>
        <v>1</v>
      </c>
      <c r="AR68" s="500" t="b">
        <f t="shared" si="7"/>
        <v>1</v>
      </c>
      <c r="AS68" s="500" t="b">
        <f t="shared" si="7"/>
        <v>1</v>
      </c>
      <c r="AT68" s="500" t="b">
        <f t="shared" si="7"/>
        <v>1</v>
      </c>
      <c r="AU68" s="500" t="b">
        <f t="shared" si="7"/>
        <v>1</v>
      </c>
      <c r="AV68" s="500" t="b">
        <f t="shared" si="7"/>
        <v>1</v>
      </c>
      <c r="AW68" s="500" t="b">
        <f t="shared" si="7"/>
        <v>1</v>
      </c>
      <c r="AX68" s="500" t="b">
        <f t="shared" si="7"/>
        <v>1</v>
      </c>
      <c r="AY68" s="500" t="b">
        <f t="shared" si="7"/>
        <v>1</v>
      </c>
      <c r="AZ68" s="500" t="b">
        <f t="shared" si="7"/>
        <v>1</v>
      </c>
      <c r="BA68" s="500" t="b">
        <f t="shared" si="7"/>
        <v>1</v>
      </c>
      <c r="BB68" s="500" t="b">
        <f t="shared" si="7"/>
        <v>1</v>
      </c>
      <c r="BC68" s="500" t="b">
        <f t="shared" si="7"/>
        <v>1</v>
      </c>
      <c r="BD68" s="500" t="b">
        <f t="shared" si="7"/>
        <v>1</v>
      </c>
      <c r="BE68" s="500" t="b">
        <f t="shared" si="7"/>
        <v>1</v>
      </c>
      <c r="BF68" s="500" t="b">
        <f t="shared" si="7"/>
        <v>1</v>
      </c>
      <c r="BG68" s="500" t="b">
        <f t="shared" si="7"/>
        <v>1</v>
      </c>
      <c r="BH68" s="500" t="b">
        <f t="shared" si="7"/>
        <v>1</v>
      </c>
      <c r="BI68" s="500" t="b">
        <f t="shared" si="7"/>
        <v>1</v>
      </c>
      <c r="BJ68" s="500" t="b">
        <f t="shared" si="7"/>
        <v>1</v>
      </c>
      <c r="BK68" s="500" t="b">
        <f t="shared" si="7"/>
        <v>1</v>
      </c>
      <c r="BL68" s="501" t="b">
        <f t="shared" si="7"/>
        <v>1</v>
      </c>
    </row>
    <row r="69" spans="2:64" ht="15" outlineLevel="1">
      <c r="B69" t="str">
        <f t="shared" si="0"/>
        <v>e-hydrogen (PEM) - Energy cost including feedstock energy cost - Americas - USD/ton fuel</v>
      </c>
      <c r="C69" s="22" t="str">
        <f>C44</f>
        <v>e-hydrogen (PEM)</v>
      </c>
      <c r="D69" s="22" t="s">
        <v>1367</v>
      </c>
      <c r="E69" s="22" t="s">
        <v>731</v>
      </c>
      <c r="F69" s="22" t="s">
        <v>1353</v>
      </c>
      <c r="G69" s="487" t="str">
        <f t="shared" si="1"/>
        <v>e-hydrogen (PEM)AmericasEnergy cost including feedstock energy cost</v>
      </c>
      <c r="H69" s="496">
        <v>2343.8106642765952</v>
      </c>
      <c r="I69" s="496">
        <v>2279.3512991162015</v>
      </c>
      <c r="J69" s="496">
        <v>2215.5653371432172</v>
      </c>
      <c r="K69" s="496">
        <v>2120.1507527172935</v>
      </c>
      <c r="L69" s="496">
        <v>2025.8358065319769</v>
      </c>
      <c r="M69" s="496">
        <v>1932.62049858727</v>
      </c>
      <c r="N69" s="496">
        <v>1840.5048288831977</v>
      </c>
      <c r="O69" s="496">
        <v>1749.4887974196999</v>
      </c>
      <c r="P69" s="496">
        <v>1700.2434923212834</v>
      </c>
      <c r="Q69" s="496">
        <v>1651.509379383243</v>
      </c>
      <c r="R69" s="496">
        <v>1603.2864586055753</v>
      </c>
      <c r="S69" s="496">
        <v>1555.5747299882805</v>
      </c>
      <c r="T69" s="496">
        <v>1508.3741935313576</v>
      </c>
      <c r="U69" s="496">
        <v>1468.8707293461041</v>
      </c>
      <c r="V69" s="496">
        <v>1429.7675701720427</v>
      </c>
      <c r="W69" s="496">
        <v>1391.0647160091701</v>
      </c>
      <c r="X69" s="496">
        <v>1352.7621668574934</v>
      </c>
      <c r="Y69" s="496">
        <v>1314.8599227170084</v>
      </c>
      <c r="Z69" s="496">
        <v>1294.5399452630752</v>
      </c>
      <c r="AA69" s="496">
        <v>1274.3757583370934</v>
      </c>
      <c r="AB69" s="496">
        <v>1254.3673619390659</v>
      </c>
      <c r="AC69" s="496">
        <v>1234.5147560689866</v>
      </c>
      <c r="AD69" s="496">
        <v>1214.8179407268583</v>
      </c>
      <c r="AE69" s="496">
        <v>1198.2654022145482</v>
      </c>
      <c r="AF69" s="496">
        <v>1181.826403107151</v>
      </c>
      <c r="AG69" s="496">
        <v>1165.5009434046617</v>
      </c>
      <c r="AH69" s="496">
        <v>1149.2890231070803</v>
      </c>
      <c r="AI69" s="496">
        <v>1133.1906422144064</v>
      </c>
      <c r="AK69" s="502" t="b">
        <f t="shared" ref="AK69:BL69" si="8">H51+H54+H58+H69+H79=H46</f>
        <v>1</v>
      </c>
      <c r="AL69" s="106" t="b">
        <f t="shared" si="8"/>
        <v>1</v>
      </c>
      <c r="AM69" s="106" t="b">
        <f t="shared" si="8"/>
        <v>1</v>
      </c>
      <c r="AN69" s="106" t="b">
        <f t="shared" si="8"/>
        <v>1</v>
      </c>
      <c r="AO69" s="106" t="b">
        <f t="shared" si="8"/>
        <v>1</v>
      </c>
      <c r="AP69" s="106" t="b">
        <f t="shared" si="8"/>
        <v>1</v>
      </c>
      <c r="AQ69" s="106" t="b">
        <f t="shared" si="8"/>
        <v>1</v>
      </c>
      <c r="AR69" s="106" t="b">
        <f t="shared" si="8"/>
        <v>1</v>
      </c>
      <c r="AS69" s="106" t="b">
        <f t="shared" si="8"/>
        <v>1</v>
      </c>
      <c r="AT69" s="106" t="b">
        <f t="shared" si="8"/>
        <v>1</v>
      </c>
      <c r="AU69" s="106" t="b">
        <f t="shared" si="8"/>
        <v>1</v>
      </c>
      <c r="AV69" s="106" t="b">
        <f t="shared" si="8"/>
        <v>1</v>
      </c>
      <c r="AW69" s="106" t="b">
        <f t="shared" si="8"/>
        <v>1</v>
      </c>
      <c r="AX69" s="106" t="b">
        <f t="shared" si="8"/>
        <v>1</v>
      </c>
      <c r="AY69" s="106" t="b">
        <f t="shared" si="8"/>
        <v>1</v>
      </c>
      <c r="AZ69" s="106" t="b">
        <f t="shared" si="8"/>
        <v>1</v>
      </c>
      <c r="BA69" s="106" t="b">
        <f t="shared" si="8"/>
        <v>1</v>
      </c>
      <c r="BB69" s="106" t="b">
        <f t="shared" si="8"/>
        <v>1</v>
      </c>
      <c r="BC69" s="106" t="b">
        <f t="shared" si="8"/>
        <v>1</v>
      </c>
      <c r="BD69" s="106" t="b">
        <f t="shared" si="8"/>
        <v>1</v>
      </c>
      <c r="BE69" s="106" t="b">
        <f t="shared" si="8"/>
        <v>1</v>
      </c>
      <c r="BF69" s="106" t="b">
        <f t="shared" si="8"/>
        <v>1</v>
      </c>
      <c r="BG69" s="106" t="b">
        <f t="shared" si="8"/>
        <v>1</v>
      </c>
      <c r="BH69" s="106" t="b">
        <f t="shared" si="8"/>
        <v>1</v>
      </c>
      <c r="BI69" s="106" t="b">
        <f t="shared" si="8"/>
        <v>1</v>
      </c>
      <c r="BJ69" s="106" t="b">
        <f t="shared" si="8"/>
        <v>1</v>
      </c>
      <c r="BK69" s="106" t="b">
        <f t="shared" si="8"/>
        <v>1</v>
      </c>
      <c r="BL69" s="503" t="b">
        <f t="shared" si="8"/>
        <v>1</v>
      </c>
    </row>
    <row r="70" spans="2:64" ht="15" outlineLevel="1">
      <c r="B70" t="str">
        <f t="shared" ref="B70:B133" si="9">_xlfn.TEXTJOIN(" - ",TRUE,C70:F70)</f>
        <v>e-hydrogen (PEM) - Energy cost including feedstock energy cost - Asia - USD/ton fuel</v>
      </c>
      <c r="C70" s="22" t="str">
        <f>C44</f>
        <v>e-hydrogen (PEM)</v>
      </c>
      <c r="D70" s="22" t="s">
        <v>1367</v>
      </c>
      <c r="E70" s="22" t="s">
        <v>750</v>
      </c>
      <c r="F70" s="22" t="s">
        <v>1353</v>
      </c>
      <c r="G70" s="487" t="str">
        <f t="shared" si="1"/>
        <v>e-hydrogen (PEM)AsiaEnergy cost including feedstock energy cost</v>
      </c>
      <c r="H70" s="496">
        <v>4148.8825697659477</v>
      </c>
      <c r="I70" s="496">
        <v>3758.0509147195326</v>
      </c>
      <c r="J70" s="496">
        <v>3372.277443183531</v>
      </c>
      <c r="K70" s="496">
        <v>3221.2797368976499</v>
      </c>
      <c r="L70" s="496">
        <v>3072.0347119738053</v>
      </c>
      <c r="M70" s="496">
        <v>2924.54236841189</v>
      </c>
      <c r="N70" s="496">
        <v>2778.8027062119545</v>
      </c>
      <c r="O70" s="496">
        <v>2634.8157253740492</v>
      </c>
      <c r="P70" s="496">
        <v>2532.8132326944678</v>
      </c>
      <c r="Q70" s="496">
        <v>2431.9615413637011</v>
      </c>
      <c r="R70" s="496">
        <v>2332.2606513817445</v>
      </c>
      <c r="S70" s="496">
        <v>2233.7105627485425</v>
      </c>
      <c r="T70" s="496">
        <v>2136.3112754641311</v>
      </c>
      <c r="U70" s="496">
        <v>2080.489448663513</v>
      </c>
      <c r="V70" s="496">
        <v>2025.2328368434228</v>
      </c>
      <c r="W70" s="496">
        <v>1970.5414400038767</v>
      </c>
      <c r="X70" s="496">
        <v>1916.4152581448413</v>
      </c>
      <c r="Y70" s="496">
        <v>1862.8542912663629</v>
      </c>
      <c r="Z70" s="496">
        <v>1808.4297036400903</v>
      </c>
      <c r="AA70" s="496">
        <v>1754.5766402002421</v>
      </c>
      <c r="AB70" s="496">
        <v>1701.2951009467931</v>
      </c>
      <c r="AC70" s="496">
        <v>1648.5850858797683</v>
      </c>
      <c r="AD70" s="496">
        <v>1596.4465949991425</v>
      </c>
      <c r="AE70" s="496">
        <v>1567.0955314850958</v>
      </c>
      <c r="AF70" s="496">
        <v>1537.9976560048074</v>
      </c>
      <c r="AG70" s="496">
        <v>1509.1529685582866</v>
      </c>
      <c r="AH70" s="496">
        <v>1480.5614691455269</v>
      </c>
      <c r="AI70" s="496">
        <v>1452.2231577665225</v>
      </c>
      <c r="AK70" s="502" t="b">
        <f t="shared" ref="AK70:BL70" si="10">H51+H54+H59+H70+H79=H47</f>
        <v>1</v>
      </c>
      <c r="AL70" s="106" t="b">
        <f t="shared" si="10"/>
        <v>1</v>
      </c>
      <c r="AM70" s="106" t="b">
        <f t="shared" si="10"/>
        <v>1</v>
      </c>
      <c r="AN70" s="106" t="b">
        <f t="shared" si="10"/>
        <v>1</v>
      </c>
      <c r="AO70" s="106" t="b">
        <f t="shared" si="10"/>
        <v>1</v>
      </c>
      <c r="AP70" s="106" t="b">
        <f t="shared" si="10"/>
        <v>1</v>
      </c>
      <c r="AQ70" s="106" t="b">
        <f t="shared" si="10"/>
        <v>1</v>
      </c>
      <c r="AR70" s="106" t="b">
        <f t="shared" si="10"/>
        <v>1</v>
      </c>
      <c r="AS70" s="106" t="b">
        <f t="shared" si="10"/>
        <v>1</v>
      </c>
      <c r="AT70" s="106" t="b">
        <f t="shared" si="10"/>
        <v>1</v>
      </c>
      <c r="AU70" s="106" t="b">
        <f t="shared" si="10"/>
        <v>1</v>
      </c>
      <c r="AV70" s="106" t="b">
        <f t="shared" si="10"/>
        <v>1</v>
      </c>
      <c r="AW70" s="106" t="b">
        <f t="shared" si="10"/>
        <v>1</v>
      </c>
      <c r="AX70" s="106" t="b">
        <f t="shared" si="10"/>
        <v>1</v>
      </c>
      <c r="AY70" s="106" t="b">
        <f t="shared" si="10"/>
        <v>1</v>
      </c>
      <c r="AZ70" s="106" t="b">
        <f t="shared" si="10"/>
        <v>1</v>
      </c>
      <c r="BA70" s="106" t="b">
        <f t="shared" si="10"/>
        <v>1</v>
      </c>
      <c r="BB70" s="106" t="b">
        <f t="shared" si="10"/>
        <v>1</v>
      </c>
      <c r="BC70" s="106" t="b">
        <f t="shared" si="10"/>
        <v>1</v>
      </c>
      <c r="BD70" s="106" t="b">
        <f t="shared" si="10"/>
        <v>1</v>
      </c>
      <c r="BE70" s="106" t="b">
        <f t="shared" si="10"/>
        <v>1</v>
      </c>
      <c r="BF70" s="106" t="b">
        <f t="shared" si="10"/>
        <v>1</v>
      </c>
      <c r="BG70" s="106" t="b">
        <f t="shared" si="10"/>
        <v>1</v>
      </c>
      <c r="BH70" s="106" t="b">
        <f t="shared" si="10"/>
        <v>1</v>
      </c>
      <c r="BI70" s="106" t="b">
        <f t="shared" si="10"/>
        <v>1</v>
      </c>
      <c r="BJ70" s="106" t="b">
        <f t="shared" si="10"/>
        <v>1</v>
      </c>
      <c r="BK70" s="106" t="b">
        <f t="shared" si="10"/>
        <v>1</v>
      </c>
      <c r="BL70" s="503" t="b">
        <f t="shared" si="10"/>
        <v>1</v>
      </c>
    </row>
    <row r="71" spans="2:64" ht="15" outlineLevel="1">
      <c r="B71" t="str">
        <f t="shared" si="9"/>
        <v>e-hydrogen (PEM) - Energy cost including feedstock energy cost - Europe - USD/ton fuel</v>
      </c>
      <c r="C71" s="22" t="str">
        <f>C44</f>
        <v>e-hydrogen (PEM)</v>
      </c>
      <c r="D71" s="22" t="s">
        <v>1367</v>
      </c>
      <c r="E71" s="22" t="s">
        <v>720</v>
      </c>
      <c r="F71" s="22" t="s">
        <v>1353</v>
      </c>
      <c r="G71" s="487" t="str">
        <f t="shared" si="1"/>
        <v>e-hydrogen (PEM)EuropeEnergy cost including feedstock energy cost</v>
      </c>
      <c r="H71" s="496">
        <v>3088.6183404051494</v>
      </c>
      <c r="I71" s="496">
        <v>2934.9978773207504</v>
      </c>
      <c r="J71" s="496">
        <v>2783.2242960023127</v>
      </c>
      <c r="K71" s="496">
        <v>2658.9634884269576</v>
      </c>
      <c r="L71" s="496">
        <v>2536.1442675500366</v>
      </c>
      <c r="M71" s="496">
        <v>2414.7666333716097</v>
      </c>
      <c r="N71" s="496">
        <v>2294.8305858916169</v>
      </c>
      <c r="O71" s="496">
        <v>2176.3361251101096</v>
      </c>
      <c r="P71" s="496">
        <v>2119.2621979451387</v>
      </c>
      <c r="Q71" s="496">
        <v>2062.7668977101166</v>
      </c>
      <c r="R71" s="496">
        <v>2006.8502244049839</v>
      </c>
      <c r="S71" s="496">
        <v>1951.5121780297545</v>
      </c>
      <c r="T71" s="496">
        <v>1896.7527585844489</v>
      </c>
      <c r="U71" s="496">
        <v>1859.4750566786888</v>
      </c>
      <c r="V71" s="496">
        <v>1822.5310861272537</v>
      </c>
      <c r="W71" s="496">
        <v>1785.9208469301404</v>
      </c>
      <c r="X71" s="496">
        <v>1749.6443390873419</v>
      </c>
      <c r="Y71" s="496">
        <v>1713.7015625988522</v>
      </c>
      <c r="Z71" s="496">
        <v>1676.8515459482612</v>
      </c>
      <c r="AA71" s="496">
        <v>1640.3464303890162</v>
      </c>
      <c r="AB71" s="496">
        <v>1604.1862159211298</v>
      </c>
      <c r="AC71" s="496">
        <v>1568.3709025445894</v>
      </c>
      <c r="AD71" s="496">
        <v>1532.9004902594074</v>
      </c>
      <c r="AE71" s="496">
        <v>1504.7187204030115</v>
      </c>
      <c r="AF71" s="496">
        <v>1476.7800470524367</v>
      </c>
      <c r="AG71" s="496">
        <v>1449.0844702076927</v>
      </c>
      <c r="AH71" s="496">
        <v>1421.6319898687727</v>
      </c>
      <c r="AI71" s="496">
        <v>1394.4226060356712</v>
      </c>
      <c r="AK71" s="502" t="b">
        <f t="shared" ref="AK71:BL71" si="11">H51+H54+H60+H71+H79=H48</f>
        <v>1</v>
      </c>
      <c r="AL71" s="106" t="b">
        <f t="shared" si="11"/>
        <v>1</v>
      </c>
      <c r="AM71" s="106" t="b">
        <f t="shared" si="11"/>
        <v>1</v>
      </c>
      <c r="AN71" s="106" t="b">
        <f t="shared" si="11"/>
        <v>1</v>
      </c>
      <c r="AO71" s="106" t="b">
        <f t="shared" si="11"/>
        <v>1</v>
      </c>
      <c r="AP71" s="106" t="b">
        <f t="shared" si="11"/>
        <v>1</v>
      </c>
      <c r="AQ71" s="106" t="b">
        <f t="shared" si="11"/>
        <v>1</v>
      </c>
      <c r="AR71" s="106" t="b">
        <f t="shared" si="11"/>
        <v>1</v>
      </c>
      <c r="AS71" s="106" t="b">
        <f t="shared" si="11"/>
        <v>1</v>
      </c>
      <c r="AT71" s="106" t="b">
        <f t="shared" si="11"/>
        <v>1</v>
      </c>
      <c r="AU71" s="106" t="b">
        <f t="shared" si="11"/>
        <v>1</v>
      </c>
      <c r="AV71" s="106" t="b">
        <f t="shared" si="11"/>
        <v>1</v>
      </c>
      <c r="AW71" s="106" t="b">
        <f t="shared" si="11"/>
        <v>1</v>
      </c>
      <c r="AX71" s="106" t="b">
        <f t="shared" si="11"/>
        <v>1</v>
      </c>
      <c r="AY71" s="106" t="b">
        <f t="shared" si="11"/>
        <v>1</v>
      </c>
      <c r="AZ71" s="106" t="b">
        <f t="shared" si="11"/>
        <v>1</v>
      </c>
      <c r="BA71" s="106" t="b">
        <f t="shared" si="11"/>
        <v>1</v>
      </c>
      <c r="BB71" s="106" t="b">
        <f t="shared" si="11"/>
        <v>1</v>
      </c>
      <c r="BC71" s="106" t="b">
        <f t="shared" si="11"/>
        <v>1</v>
      </c>
      <c r="BD71" s="106" t="b">
        <f t="shared" si="11"/>
        <v>1</v>
      </c>
      <c r="BE71" s="106" t="b">
        <f t="shared" si="11"/>
        <v>1</v>
      </c>
      <c r="BF71" s="106" t="b">
        <f t="shared" si="11"/>
        <v>1</v>
      </c>
      <c r="BG71" s="106" t="b">
        <f t="shared" si="11"/>
        <v>1</v>
      </c>
      <c r="BH71" s="106" t="b">
        <f t="shared" si="11"/>
        <v>1</v>
      </c>
      <c r="BI71" s="106" t="b">
        <f t="shared" si="11"/>
        <v>1</v>
      </c>
      <c r="BJ71" s="106" t="b">
        <f t="shared" si="11"/>
        <v>1</v>
      </c>
      <c r="BK71" s="106" t="b">
        <f t="shared" si="11"/>
        <v>1</v>
      </c>
      <c r="BL71" s="503" t="b">
        <f t="shared" si="11"/>
        <v>1</v>
      </c>
    </row>
    <row r="72" spans="2:64" ht="15.75" outlineLevel="1" thickBot="1">
      <c r="B72" t="str">
        <f t="shared" si="9"/>
        <v>e-hydrogen (PEM) - Energy cost including feedstock energy cost - Middle East - USD/ton fuel</v>
      </c>
      <c r="C72" s="92" t="str">
        <f>C44</f>
        <v>e-hydrogen (PEM)</v>
      </c>
      <c r="D72" s="92" t="s">
        <v>1367</v>
      </c>
      <c r="E72" s="92" t="s">
        <v>826</v>
      </c>
      <c r="F72" s="92" t="s">
        <v>1353</v>
      </c>
      <c r="G72" s="487" t="str">
        <f t="shared" ref="G72:G135" si="12">+C72&amp;E72&amp;D72</f>
        <v>e-hydrogen (PEM)Middle EastEnergy cost including feedstock energy cost</v>
      </c>
      <c r="H72" s="497">
        <v>2365.0932635456288</v>
      </c>
      <c r="I72" s="497">
        <v>2245.0449546691425</v>
      </c>
      <c r="J72" s="497">
        <v>2126.4446150453423</v>
      </c>
      <c r="K72" s="497">
        <v>2044.3163234657441</v>
      </c>
      <c r="L72" s="497">
        <v>1963.1141459928449</v>
      </c>
      <c r="M72" s="497">
        <v>1882.8380826266482</v>
      </c>
      <c r="N72" s="497">
        <v>1803.4881333671503</v>
      </c>
      <c r="O72" s="497">
        <v>1725.0642982143481</v>
      </c>
      <c r="P72" s="497">
        <v>1667.2422396005049</v>
      </c>
      <c r="Q72" s="497">
        <v>1610.0510100044264</v>
      </c>
      <c r="R72" s="497">
        <v>1553.4906094260816</v>
      </c>
      <c r="S72" s="497">
        <v>1497.5610378654981</v>
      </c>
      <c r="T72" s="497">
        <v>1442.2622953226673</v>
      </c>
      <c r="U72" s="497">
        <v>1410.1329638726679</v>
      </c>
      <c r="V72" s="497">
        <v>1378.3091765551919</v>
      </c>
      <c r="W72" s="497">
        <v>1346.7909333702487</v>
      </c>
      <c r="X72" s="497">
        <v>1315.5782343178196</v>
      </c>
      <c r="Y72" s="497">
        <v>1284.6710793979164</v>
      </c>
      <c r="Z72" s="497">
        <v>1247.6546356229667</v>
      </c>
      <c r="AA72" s="497">
        <v>1211.0252666371405</v>
      </c>
      <c r="AB72" s="497">
        <v>1174.7829724404253</v>
      </c>
      <c r="AC72" s="497">
        <v>1138.9277530328336</v>
      </c>
      <c r="AD72" s="497">
        <v>1103.45960841435</v>
      </c>
      <c r="AE72" s="497">
        <v>1083.1718876933442</v>
      </c>
      <c r="AF72" s="497">
        <v>1063.059174573888</v>
      </c>
      <c r="AG72" s="497">
        <v>1043.121469055973</v>
      </c>
      <c r="AH72" s="497">
        <v>1023.3587711396019</v>
      </c>
      <c r="AI72" s="497">
        <v>1003.7710808247782</v>
      </c>
      <c r="AK72" s="504" t="b">
        <f t="shared" ref="AK72:BL72" si="13">H51+H54+H61+H72+H79=H49</f>
        <v>1</v>
      </c>
      <c r="AL72" s="505" t="b">
        <f t="shared" si="13"/>
        <v>1</v>
      </c>
      <c r="AM72" s="505" t="b">
        <f t="shared" si="13"/>
        <v>1</v>
      </c>
      <c r="AN72" s="505" t="b">
        <f t="shared" si="13"/>
        <v>1</v>
      </c>
      <c r="AO72" s="505" t="b">
        <f t="shared" si="13"/>
        <v>1</v>
      </c>
      <c r="AP72" s="505" t="b">
        <f t="shared" si="13"/>
        <v>1</v>
      </c>
      <c r="AQ72" s="505" t="b">
        <f t="shared" si="13"/>
        <v>1</v>
      </c>
      <c r="AR72" s="505" t="b">
        <f t="shared" si="13"/>
        <v>1</v>
      </c>
      <c r="AS72" s="505" t="b">
        <f t="shared" si="13"/>
        <v>1</v>
      </c>
      <c r="AT72" s="505" t="b">
        <f t="shared" si="13"/>
        <v>1</v>
      </c>
      <c r="AU72" s="505" t="b">
        <f t="shared" si="13"/>
        <v>1</v>
      </c>
      <c r="AV72" s="505" t="b">
        <f t="shared" si="13"/>
        <v>1</v>
      </c>
      <c r="AW72" s="505" t="b">
        <f t="shared" si="13"/>
        <v>1</v>
      </c>
      <c r="AX72" s="505" t="b">
        <f t="shared" si="13"/>
        <v>1</v>
      </c>
      <c r="AY72" s="505" t="b">
        <f t="shared" si="13"/>
        <v>1</v>
      </c>
      <c r="AZ72" s="505" t="b">
        <f t="shared" si="13"/>
        <v>1</v>
      </c>
      <c r="BA72" s="505" t="b">
        <f t="shared" si="13"/>
        <v>1</v>
      </c>
      <c r="BB72" s="505" t="b">
        <f t="shared" si="13"/>
        <v>1</v>
      </c>
      <c r="BC72" s="505" t="b">
        <f t="shared" si="13"/>
        <v>1</v>
      </c>
      <c r="BD72" s="505" t="b">
        <f t="shared" si="13"/>
        <v>1</v>
      </c>
      <c r="BE72" s="505" t="b">
        <f t="shared" si="13"/>
        <v>1</v>
      </c>
      <c r="BF72" s="505" t="b">
        <f t="shared" si="13"/>
        <v>1</v>
      </c>
      <c r="BG72" s="505" t="b">
        <f t="shared" si="13"/>
        <v>1</v>
      </c>
      <c r="BH72" s="505" t="b">
        <f t="shared" si="13"/>
        <v>1</v>
      </c>
      <c r="BI72" s="505" t="b">
        <f t="shared" si="13"/>
        <v>1</v>
      </c>
      <c r="BJ72" s="505" t="b">
        <f t="shared" si="13"/>
        <v>1</v>
      </c>
      <c r="BK72" s="505" t="b">
        <f t="shared" si="13"/>
        <v>1</v>
      </c>
      <c r="BL72" s="506" t="b">
        <f t="shared" si="13"/>
        <v>1</v>
      </c>
    </row>
    <row r="73" spans="2:64" outlineLevel="1">
      <c r="B73" t="str">
        <f t="shared" si="9"/>
        <v>e-hydrogen (PEM) - Energy cost - Africa - USD/ton fuel</v>
      </c>
      <c r="C73" t="str">
        <f>C44</f>
        <v>e-hydrogen (PEM)</v>
      </c>
      <c r="D73" t="s">
        <v>1368</v>
      </c>
      <c r="E73" t="s">
        <v>838</v>
      </c>
      <c r="F73" t="s">
        <v>1353</v>
      </c>
      <c r="G73" s="487" t="str">
        <f t="shared" si="12"/>
        <v>e-hydrogen (PEM)AfricaEnergy cost</v>
      </c>
      <c r="H73" s="493">
        <v>3730.3122026288802</v>
      </c>
      <c r="I73" s="493">
        <v>3269.4361794404149</v>
      </c>
      <c r="J73" s="493">
        <v>2814.6374903306055</v>
      </c>
      <c r="K73" s="493">
        <v>2675.9129580856625</v>
      </c>
      <c r="L73" s="493">
        <v>2538.8250151491648</v>
      </c>
      <c r="M73" s="493">
        <v>2403.3736615211164</v>
      </c>
      <c r="N73" s="493">
        <v>2269.5588972014853</v>
      </c>
      <c r="O73" s="493">
        <v>2137.380722190323</v>
      </c>
      <c r="P73" s="493">
        <v>2058.3648836859011</v>
      </c>
      <c r="Q73" s="493">
        <v>1980.2315510461706</v>
      </c>
      <c r="R73" s="493">
        <v>1902.9807242711001</v>
      </c>
      <c r="S73" s="493">
        <v>1826.6124033607446</v>
      </c>
      <c r="T73" s="493">
        <v>1751.1265883150895</v>
      </c>
      <c r="U73" s="493">
        <v>1709.9031642488958</v>
      </c>
      <c r="V73" s="493">
        <v>1669.0810074192418</v>
      </c>
      <c r="W73" s="493">
        <v>1628.6601178261169</v>
      </c>
      <c r="X73" s="493">
        <v>1588.640495469522</v>
      </c>
      <c r="Y73" s="493">
        <v>1549.0221403494756</v>
      </c>
      <c r="Z73" s="493">
        <v>1509.3676428064002</v>
      </c>
      <c r="AA73" s="493">
        <v>1470.1117371150024</v>
      </c>
      <c r="AB73" s="493">
        <v>1431.2544232752696</v>
      </c>
      <c r="AC73" s="493">
        <v>1392.7957012872273</v>
      </c>
      <c r="AD73" s="493">
        <v>1354.7355711508565</v>
      </c>
      <c r="AE73" s="493">
        <v>1331.7183335255047</v>
      </c>
      <c r="AF73" s="493">
        <v>1308.8900880354536</v>
      </c>
      <c r="AG73" s="493">
        <v>1286.2508346806881</v>
      </c>
      <c r="AH73" s="493">
        <v>1263.8005734612141</v>
      </c>
      <c r="AI73" s="493">
        <v>1241.5393043770378</v>
      </c>
    </row>
    <row r="74" spans="2:64" outlineLevel="1">
      <c r="B74" t="str">
        <f t="shared" si="9"/>
        <v>e-hydrogen (PEM) - Energy cost - Americas - USD/ton fuel</v>
      </c>
      <c r="C74" t="str">
        <f>C44</f>
        <v>e-hydrogen (PEM)</v>
      </c>
      <c r="D74" t="s">
        <v>1368</v>
      </c>
      <c r="E74" t="s">
        <v>731</v>
      </c>
      <c r="F74" t="s">
        <v>1353</v>
      </c>
      <c r="G74" s="487" t="str">
        <f t="shared" si="12"/>
        <v>e-hydrogen (PEM)AmericasEnergy cost</v>
      </c>
      <c r="H74" s="493">
        <v>2343.8106642765952</v>
      </c>
      <c r="I74" s="493">
        <v>2279.3512991162015</v>
      </c>
      <c r="J74" s="493">
        <v>2215.5653371432172</v>
      </c>
      <c r="K74" s="493">
        <v>2120.1507527172935</v>
      </c>
      <c r="L74" s="493">
        <v>2025.8358065319769</v>
      </c>
      <c r="M74" s="493">
        <v>1932.62049858727</v>
      </c>
      <c r="N74" s="493">
        <v>1840.5048288831977</v>
      </c>
      <c r="O74" s="493">
        <v>1749.4887974196999</v>
      </c>
      <c r="P74" s="493">
        <v>1700.2434923212834</v>
      </c>
      <c r="Q74" s="493">
        <v>1651.509379383243</v>
      </c>
      <c r="R74" s="493">
        <v>1603.2864586055753</v>
      </c>
      <c r="S74" s="493">
        <v>1555.5747299882805</v>
      </c>
      <c r="T74" s="493">
        <v>1508.3741935313576</v>
      </c>
      <c r="U74" s="493">
        <v>1468.8707293461041</v>
      </c>
      <c r="V74" s="493">
        <v>1429.7675701720427</v>
      </c>
      <c r="W74" s="493">
        <v>1391.0647160091701</v>
      </c>
      <c r="X74" s="493">
        <v>1352.7621668574934</v>
      </c>
      <c r="Y74" s="493">
        <v>1314.8599227170084</v>
      </c>
      <c r="Z74" s="493">
        <v>1294.5399452630752</v>
      </c>
      <c r="AA74" s="493">
        <v>1274.3757583370934</v>
      </c>
      <c r="AB74" s="493">
        <v>1254.3673619390659</v>
      </c>
      <c r="AC74" s="493">
        <v>1234.5147560689866</v>
      </c>
      <c r="AD74" s="493">
        <v>1214.8179407268583</v>
      </c>
      <c r="AE74" s="493">
        <v>1198.2654022145482</v>
      </c>
      <c r="AF74" s="493">
        <v>1181.826403107151</v>
      </c>
      <c r="AG74" s="493">
        <v>1165.5009434046617</v>
      </c>
      <c r="AH74" s="493">
        <v>1149.2890231070803</v>
      </c>
      <c r="AI74" s="493">
        <v>1133.1906422144064</v>
      </c>
    </row>
    <row r="75" spans="2:64" outlineLevel="1">
      <c r="B75" t="str">
        <f t="shared" si="9"/>
        <v>e-hydrogen (PEM) - Energy cost - Asia - USD/ton fuel</v>
      </c>
      <c r="C75" t="str">
        <f>C44</f>
        <v>e-hydrogen (PEM)</v>
      </c>
      <c r="D75" t="s">
        <v>1368</v>
      </c>
      <c r="E75" t="s">
        <v>750</v>
      </c>
      <c r="F75" t="s">
        <v>1353</v>
      </c>
      <c r="G75" s="487" t="str">
        <f t="shared" si="12"/>
        <v>e-hydrogen (PEM)AsiaEnergy cost</v>
      </c>
      <c r="H75" s="493">
        <v>4148.8825697659477</v>
      </c>
      <c r="I75" s="493">
        <v>3758.0509147195326</v>
      </c>
      <c r="J75" s="493">
        <v>3372.277443183531</v>
      </c>
      <c r="K75" s="493">
        <v>3221.2797368976499</v>
      </c>
      <c r="L75" s="493">
        <v>3072.0347119738053</v>
      </c>
      <c r="M75" s="493">
        <v>2924.54236841189</v>
      </c>
      <c r="N75" s="493">
        <v>2778.8027062119545</v>
      </c>
      <c r="O75" s="493">
        <v>2634.8157253740492</v>
      </c>
      <c r="P75" s="493">
        <v>2532.8132326944678</v>
      </c>
      <c r="Q75" s="493">
        <v>2431.9615413637011</v>
      </c>
      <c r="R75" s="493">
        <v>2332.2606513817445</v>
      </c>
      <c r="S75" s="493">
        <v>2233.7105627485425</v>
      </c>
      <c r="T75" s="493">
        <v>2136.3112754641311</v>
      </c>
      <c r="U75" s="493">
        <v>2080.489448663513</v>
      </c>
      <c r="V75" s="493">
        <v>2025.2328368434228</v>
      </c>
      <c r="W75" s="493">
        <v>1970.5414400038767</v>
      </c>
      <c r="X75" s="493">
        <v>1916.4152581448413</v>
      </c>
      <c r="Y75" s="493">
        <v>1862.8542912663629</v>
      </c>
      <c r="Z75" s="493">
        <v>1808.4297036400903</v>
      </c>
      <c r="AA75" s="493">
        <v>1754.5766402002421</v>
      </c>
      <c r="AB75" s="493">
        <v>1701.2951009467931</v>
      </c>
      <c r="AC75" s="493">
        <v>1648.5850858797683</v>
      </c>
      <c r="AD75" s="493">
        <v>1596.4465949991425</v>
      </c>
      <c r="AE75" s="493">
        <v>1567.0955314850958</v>
      </c>
      <c r="AF75" s="493">
        <v>1537.9976560048074</v>
      </c>
      <c r="AG75" s="493">
        <v>1509.1529685582866</v>
      </c>
      <c r="AH75" s="493">
        <v>1480.5614691455269</v>
      </c>
      <c r="AI75" s="493">
        <v>1452.2231577665225</v>
      </c>
    </row>
    <row r="76" spans="2:64" outlineLevel="1">
      <c r="B76" t="str">
        <f t="shared" si="9"/>
        <v>e-hydrogen (PEM) - Energy cost - Europe - USD/ton fuel</v>
      </c>
      <c r="C76" t="str">
        <f>C44</f>
        <v>e-hydrogen (PEM)</v>
      </c>
      <c r="D76" t="s">
        <v>1368</v>
      </c>
      <c r="E76" t="s">
        <v>720</v>
      </c>
      <c r="F76" t="s">
        <v>1353</v>
      </c>
      <c r="G76" s="487" t="str">
        <f t="shared" si="12"/>
        <v>e-hydrogen (PEM)EuropeEnergy cost</v>
      </c>
      <c r="H76" s="493">
        <v>3088.6183404051494</v>
      </c>
      <c r="I76" s="493">
        <v>2934.9978773207504</v>
      </c>
      <c r="J76" s="493">
        <v>2783.2242960023127</v>
      </c>
      <c r="K76" s="493">
        <v>2658.9634884269576</v>
      </c>
      <c r="L76" s="493">
        <v>2536.1442675500366</v>
      </c>
      <c r="M76" s="493">
        <v>2414.7666333716097</v>
      </c>
      <c r="N76" s="493">
        <v>2294.8305858916169</v>
      </c>
      <c r="O76" s="493">
        <v>2176.3361251101096</v>
      </c>
      <c r="P76" s="493">
        <v>2119.2621979451387</v>
      </c>
      <c r="Q76" s="493">
        <v>2062.7668977101166</v>
      </c>
      <c r="R76" s="493">
        <v>2006.8502244049839</v>
      </c>
      <c r="S76" s="493">
        <v>1951.5121780297545</v>
      </c>
      <c r="T76" s="493">
        <v>1896.7527585844489</v>
      </c>
      <c r="U76" s="493">
        <v>1859.4750566786888</v>
      </c>
      <c r="V76" s="493">
        <v>1822.5310861272537</v>
      </c>
      <c r="W76" s="493">
        <v>1785.9208469301404</v>
      </c>
      <c r="X76" s="493">
        <v>1749.6443390873419</v>
      </c>
      <c r="Y76" s="493">
        <v>1713.7015625988522</v>
      </c>
      <c r="Z76" s="493">
        <v>1676.8515459482612</v>
      </c>
      <c r="AA76" s="493">
        <v>1640.3464303890162</v>
      </c>
      <c r="AB76" s="493">
        <v>1604.1862159211298</v>
      </c>
      <c r="AC76" s="493">
        <v>1568.3709025445894</v>
      </c>
      <c r="AD76" s="493">
        <v>1532.9004902594074</v>
      </c>
      <c r="AE76" s="493">
        <v>1504.7187204030115</v>
      </c>
      <c r="AF76" s="493">
        <v>1476.7800470524367</v>
      </c>
      <c r="AG76" s="493">
        <v>1449.0844702076927</v>
      </c>
      <c r="AH76" s="493">
        <v>1421.6319898687727</v>
      </c>
      <c r="AI76" s="493">
        <v>1394.4226060356712</v>
      </c>
    </row>
    <row r="77" spans="2:64" outlineLevel="1">
      <c r="B77" t="str">
        <f t="shared" si="9"/>
        <v>e-hydrogen (PEM) - Energy cost - Middle East - USD/ton fuel</v>
      </c>
      <c r="C77" t="str">
        <f>C44</f>
        <v>e-hydrogen (PEM)</v>
      </c>
      <c r="D77" t="s">
        <v>1368</v>
      </c>
      <c r="E77" t="s">
        <v>826</v>
      </c>
      <c r="F77" t="s">
        <v>1353</v>
      </c>
      <c r="G77" s="487" t="str">
        <f t="shared" si="12"/>
        <v>e-hydrogen (PEM)Middle EastEnergy cost</v>
      </c>
      <c r="H77" s="493">
        <v>2365.0932635456288</v>
      </c>
      <c r="I77" s="493">
        <v>2245.0449546691425</v>
      </c>
      <c r="J77" s="493">
        <v>2126.4446150453423</v>
      </c>
      <c r="K77" s="493">
        <v>2044.3163234657441</v>
      </c>
      <c r="L77" s="493">
        <v>1963.1141459928449</v>
      </c>
      <c r="M77" s="493">
        <v>1882.8380826266482</v>
      </c>
      <c r="N77" s="493">
        <v>1803.4881333671503</v>
      </c>
      <c r="O77" s="493">
        <v>1725.0642982143481</v>
      </c>
      <c r="P77" s="493">
        <v>1667.2422396005049</v>
      </c>
      <c r="Q77" s="493">
        <v>1610.0510100044264</v>
      </c>
      <c r="R77" s="493">
        <v>1553.4906094260816</v>
      </c>
      <c r="S77" s="493">
        <v>1497.5610378654981</v>
      </c>
      <c r="T77" s="493">
        <v>1442.2622953226673</v>
      </c>
      <c r="U77" s="493">
        <v>1410.1329638726679</v>
      </c>
      <c r="V77" s="493">
        <v>1378.3091765551919</v>
      </c>
      <c r="W77" s="493">
        <v>1346.7909333702487</v>
      </c>
      <c r="X77" s="493">
        <v>1315.5782343178196</v>
      </c>
      <c r="Y77" s="493">
        <v>1284.6710793979164</v>
      </c>
      <c r="Z77" s="493">
        <v>1247.6546356229667</v>
      </c>
      <c r="AA77" s="493">
        <v>1211.0252666371405</v>
      </c>
      <c r="AB77" s="493">
        <v>1174.7829724404253</v>
      </c>
      <c r="AC77" s="493">
        <v>1138.9277530328336</v>
      </c>
      <c r="AD77" s="493">
        <v>1103.45960841435</v>
      </c>
      <c r="AE77" s="493">
        <v>1083.1718876933442</v>
      </c>
      <c r="AF77" s="493">
        <v>1063.059174573888</v>
      </c>
      <c r="AG77" s="493">
        <v>1043.121469055973</v>
      </c>
      <c r="AH77" s="493">
        <v>1023.3587711396019</v>
      </c>
      <c r="AI77" s="493">
        <v>1003.7710808247782</v>
      </c>
    </row>
    <row r="78" spans="2:64" outlineLevel="1">
      <c r="B78" t="str">
        <f t="shared" si="9"/>
        <v/>
      </c>
      <c r="G78" s="487" t="str">
        <f t="shared" si="12"/>
        <v/>
      </c>
    </row>
    <row r="79" spans="2:64" ht="15" outlineLevel="1">
      <c r="B79" t="str">
        <f t="shared" si="9"/>
        <v>e-hydrogen (PEM) - Feedstock cost including feedstock feedstock cost - Global - USD/ton fuel</v>
      </c>
      <c r="C79" s="491" t="str">
        <f>C44</f>
        <v>e-hydrogen (PEM)</v>
      </c>
      <c r="D79" s="491" t="s">
        <v>1369</v>
      </c>
      <c r="E79" s="491" t="s">
        <v>708</v>
      </c>
      <c r="F79" s="491" t="s">
        <v>1353</v>
      </c>
      <c r="G79" s="487" t="str">
        <f t="shared" si="12"/>
        <v>e-hydrogen (PEM)GlobalFeedstock cost including feedstock feedstock cost</v>
      </c>
      <c r="H79" s="492">
        <v>13.5</v>
      </c>
      <c r="I79" s="492">
        <v>13.500000000000048</v>
      </c>
      <c r="J79" s="492">
        <v>13.500000000000048</v>
      </c>
      <c r="K79" s="492">
        <v>13.500000000000048</v>
      </c>
      <c r="L79" s="492">
        <v>13.500000000000096</v>
      </c>
      <c r="M79" s="492">
        <v>13.5</v>
      </c>
      <c r="N79" s="492">
        <v>13.500000000000096</v>
      </c>
      <c r="O79" s="492">
        <v>13.5</v>
      </c>
      <c r="P79" s="492">
        <v>13.499999999999904</v>
      </c>
      <c r="Q79" s="492">
        <v>13.500000000000048</v>
      </c>
      <c r="R79" s="492">
        <v>13.500000000000192</v>
      </c>
      <c r="S79" s="492">
        <v>13.500000000000096</v>
      </c>
      <c r="T79" s="492">
        <v>13.500000000000192</v>
      </c>
      <c r="U79" s="492">
        <v>13.50000000000024</v>
      </c>
      <c r="V79" s="492">
        <v>13.500000000000121</v>
      </c>
      <c r="W79" s="492">
        <v>13.500000000000359</v>
      </c>
      <c r="X79" s="492">
        <v>13.50000000000024</v>
      </c>
      <c r="Y79" s="492">
        <v>13.499999999999904</v>
      </c>
      <c r="Z79" s="492">
        <v>13.5</v>
      </c>
      <c r="AA79" s="492">
        <v>13.499999999999952</v>
      </c>
      <c r="AB79" s="492">
        <v>13.500000000000048</v>
      </c>
      <c r="AC79" s="492">
        <v>13.5</v>
      </c>
      <c r="AD79" s="492">
        <v>13.5</v>
      </c>
      <c r="AE79" s="492">
        <v>13.5</v>
      </c>
      <c r="AF79" s="492">
        <v>13.5</v>
      </c>
      <c r="AG79" s="492">
        <v>13.5</v>
      </c>
      <c r="AH79" s="492">
        <v>13.5</v>
      </c>
      <c r="AI79" s="492">
        <v>13.5</v>
      </c>
    </row>
    <row r="80" spans="2:64" outlineLevel="1">
      <c r="B80" t="str">
        <f t="shared" si="9"/>
        <v>e-hydrogen - Feedstock cost - Global - USD/ton fuel</v>
      </c>
      <c r="C80" t="s">
        <v>1370</v>
      </c>
      <c r="D80" t="s">
        <v>1371</v>
      </c>
      <c r="E80" t="s">
        <v>708</v>
      </c>
      <c r="F80" t="s">
        <v>1353</v>
      </c>
      <c r="G80" s="487" t="str">
        <f t="shared" si="12"/>
        <v>e-hydrogenGlobalFeedstock cost</v>
      </c>
      <c r="H80" s="493">
        <v>13.5</v>
      </c>
      <c r="I80" s="493">
        <v>13.500000000000048</v>
      </c>
      <c r="J80" s="493">
        <v>13.500000000000048</v>
      </c>
      <c r="K80" s="493">
        <v>13.500000000000048</v>
      </c>
      <c r="L80" s="493">
        <v>13.500000000000096</v>
      </c>
      <c r="M80" s="493">
        <v>13.5</v>
      </c>
      <c r="N80" s="493">
        <v>13.500000000000096</v>
      </c>
      <c r="O80" s="493">
        <v>13.5</v>
      </c>
      <c r="P80" s="493">
        <v>13.499999999999904</v>
      </c>
      <c r="Q80" s="493">
        <v>13.500000000000048</v>
      </c>
      <c r="R80" s="493">
        <v>13.500000000000192</v>
      </c>
      <c r="S80" s="493">
        <v>13.500000000000096</v>
      </c>
      <c r="T80" s="493">
        <v>13.500000000000192</v>
      </c>
      <c r="U80" s="493">
        <v>13.50000000000024</v>
      </c>
      <c r="V80" s="493">
        <v>13.500000000000121</v>
      </c>
      <c r="W80" s="493">
        <v>13.500000000000359</v>
      </c>
      <c r="X80" s="493">
        <v>13.50000000000024</v>
      </c>
      <c r="Y80" s="493">
        <v>13.499999999999904</v>
      </c>
      <c r="Z80" s="493">
        <v>13.5</v>
      </c>
      <c r="AA80" s="493">
        <v>13.499999999999952</v>
      </c>
      <c r="AB80" s="493">
        <v>13.500000000000048</v>
      </c>
      <c r="AC80" s="493">
        <v>13.5</v>
      </c>
      <c r="AD80" s="493">
        <v>13.5</v>
      </c>
      <c r="AE80" s="493">
        <v>13.5</v>
      </c>
      <c r="AF80" s="493">
        <v>13.5</v>
      </c>
      <c r="AG80" s="493">
        <v>13.5</v>
      </c>
      <c r="AH80" s="493">
        <v>13.5</v>
      </c>
      <c r="AI80" s="493">
        <v>13.5</v>
      </c>
    </row>
    <row r="81" spans="2:35">
      <c r="B81" t="str">
        <f t="shared" si="9"/>
        <v/>
      </c>
      <c r="G81" s="487" t="str">
        <f t="shared" si="12"/>
        <v/>
      </c>
    </row>
    <row r="82" spans="2:35" ht="15">
      <c r="B82" t="str">
        <f t="shared" si="9"/>
        <v>e-hydrogen (Solid oxide) - Item - Region - Unit</v>
      </c>
      <c r="C82" s="485" t="s">
        <v>1373</v>
      </c>
      <c r="D82" s="485" t="s">
        <v>877</v>
      </c>
      <c r="E82" s="485" t="s">
        <v>171</v>
      </c>
      <c r="F82" s="485" t="s">
        <v>111</v>
      </c>
      <c r="G82" s="487" t="str">
        <f t="shared" si="12"/>
        <v>e-hydrogen (Solid oxide)RegionItem</v>
      </c>
      <c r="H82" s="486">
        <v>2023</v>
      </c>
      <c r="I82" s="486">
        <v>2024</v>
      </c>
      <c r="J82" s="486">
        <v>2025</v>
      </c>
      <c r="K82" s="486">
        <v>2026</v>
      </c>
      <c r="L82" s="486">
        <v>2027</v>
      </c>
      <c r="M82" s="486">
        <v>2028</v>
      </c>
      <c r="N82" s="486">
        <v>2029</v>
      </c>
      <c r="O82" s="486">
        <v>2030</v>
      </c>
      <c r="P82" s="486">
        <v>2031</v>
      </c>
      <c r="Q82" s="486">
        <v>2032</v>
      </c>
      <c r="R82" s="486">
        <v>2033</v>
      </c>
      <c r="S82" s="486">
        <v>2034</v>
      </c>
      <c r="T82" s="486">
        <v>2035</v>
      </c>
      <c r="U82" s="486">
        <v>2036</v>
      </c>
      <c r="V82" s="486">
        <v>2037</v>
      </c>
      <c r="W82" s="486">
        <v>2038</v>
      </c>
      <c r="X82" s="486">
        <v>2039</v>
      </c>
      <c r="Y82" s="486">
        <v>2040</v>
      </c>
      <c r="Z82" s="486">
        <v>2041</v>
      </c>
      <c r="AA82" s="486">
        <v>2042</v>
      </c>
      <c r="AB82" s="486">
        <v>2043</v>
      </c>
      <c r="AC82" s="486">
        <v>2044</v>
      </c>
      <c r="AD82" s="486">
        <v>2045</v>
      </c>
      <c r="AE82" s="486">
        <v>2046</v>
      </c>
      <c r="AF82" s="486">
        <v>2047</v>
      </c>
      <c r="AG82" s="486">
        <v>2048</v>
      </c>
      <c r="AH82" s="486">
        <v>2049</v>
      </c>
      <c r="AI82" s="486">
        <v>2050</v>
      </c>
    </row>
    <row r="83" spans="2:35" outlineLevel="1">
      <c r="B83" t="str">
        <f t="shared" si="9"/>
        <v>e-hydrogen (Solid oxide) - Total cost - Africa - USD/ton fuel</v>
      </c>
      <c r="C83" s="487" t="str">
        <f>C82</f>
        <v>e-hydrogen (Solid oxide)</v>
      </c>
      <c r="D83" s="487" t="s">
        <v>1362</v>
      </c>
      <c r="E83" s="487" t="s">
        <v>838</v>
      </c>
      <c r="F83" s="487" t="s">
        <v>1353</v>
      </c>
      <c r="G83" s="487" t="str">
        <f t="shared" si="12"/>
        <v>e-hydrogen (Solid oxide)AfricaTotal cost</v>
      </c>
      <c r="H83" s="488">
        <v>5799.1603343309234</v>
      </c>
      <c r="I83" s="488">
        <v>5307.0080374213212</v>
      </c>
      <c r="J83" s="488">
        <v>4817.1781080543278</v>
      </c>
      <c r="K83" s="488">
        <v>4581.1863314139391</v>
      </c>
      <c r="L83" s="488">
        <v>4345.829727659906</v>
      </c>
      <c r="M83" s="488">
        <v>4111.1082967922512</v>
      </c>
      <c r="N83" s="488">
        <v>3877.0220388109883</v>
      </c>
      <c r="O83" s="488">
        <v>3643.5709537160983</v>
      </c>
      <c r="P83" s="488">
        <v>3481.6771233712097</v>
      </c>
      <c r="Q83" s="488">
        <v>3320.1311528243759</v>
      </c>
      <c r="R83" s="488">
        <v>3158.9330420756269</v>
      </c>
      <c r="S83" s="488">
        <v>2998.0827911249789</v>
      </c>
      <c r="T83" s="488">
        <v>2837.5803999723694</v>
      </c>
      <c r="U83" s="488">
        <v>2720.8039133667908</v>
      </c>
      <c r="V83" s="488">
        <v>2604.1880671476874</v>
      </c>
      <c r="W83" s="488">
        <v>2487.7328613150785</v>
      </c>
      <c r="X83" s="488">
        <v>2371.4382958689457</v>
      </c>
      <c r="Y83" s="488">
        <v>2255.3043708093101</v>
      </c>
      <c r="Z83" s="488">
        <v>2153.9460873842813</v>
      </c>
      <c r="AA83" s="488">
        <v>2052.7498669519464</v>
      </c>
      <c r="AB83" s="488">
        <v>1951.7157095123466</v>
      </c>
      <c r="AC83" s="488">
        <v>1850.843615065462</v>
      </c>
      <c r="AD83" s="488">
        <v>1750.1335836112899</v>
      </c>
      <c r="AE83" s="488">
        <v>1672.0925139995716</v>
      </c>
      <c r="AF83" s="488">
        <v>1594.1294873184102</v>
      </c>
      <c r="AG83" s="488">
        <v>1516.2445035677965</v>
      </c>
      <c r="AH83" s="488">
        <v>1438.437562747735</v>
      </c>
      <c r="AI83" s="488">
        <v>1360.7086648582303</v>
      </c>
    </row>
    <row r="84" spans="2:35" outlineLevel="1">
      <c r="B84" t="str">
        <f t="shared" si="9"/>
        <v>e-hydrogen (Solid oxide) - Total cost - Americas - USD/ton fuel</v>
      </c>
      <c r="C84" t="str">
        <f>C83</f>
        <v>e-hydrogen (Solid oxide)</v>
      </c>
      <c r="D84" t="s">
        <v>1362</v>
      </c>
      <c r="E84" t="s">
        <v>731</v>
      </c>
      <c r="F84" t="s">
        <v>1353</v>
      </c>
      <c r="G84" s="487" t="str">
        <f t="shared" si="12"/>
        <v>e-hydrogen (Solid oxide)AmericasTotal cost</v>
      </c>
      <c r="H84" s="489">
        <v>4836.8940576789191</v>
      </c>
      <c r="I84" s="489">
        <v>4617.7076175735292</v>
      </c>
      <c r="J84" s="489">
        <v>4398.7785090028192</v>
      </c>
      <c r="K84" s="489">
        <v>4191.8549943806065</v>
      </c>
      <c r="L84" s="489">
        <v>3985.3582578093155</v>
      </c>
      <c r="M84" s="489">
        <v>3779.2882992889708</v>
      </c>
      <c r="N84" s="489">
        <v>3573.6451188196243</v>
      </c>
      <c r="O84" s="489">
        <v>3368.4287164011785</v>
      </c>
      <c r="P84" s="489">
        <v>3226.8797104691148</v>
      </c>
      <c r="Q84" s="489">
        <v>3085.5322025766482</v>
      </c>
      <c r="R84" s="489">
        <v>2944.3861927238286</v>
      </c>
      <c r="S84" s="489">
        <v>2803.4416809106324</v>
      </c>
      <c r="T84" s="489">
        <v>2662.6986671370087</v>
      </c>
      <c r="U84" s="489">
        <v>2546.6333976123074</v>
      </c>
      <c r="V84" s="489">
        <v>2430.7283832638318</v>
      </c>
      <c r="W84" s="489">
        <v>2314.9836240916047</v>
      </c>
      <c r="X84" s="489">
        <v>2199.3991200956143</v>
      </c>
      <c r="Y84" s="489">
        <v>2083.9748712758633</v>
      </c>
      <c r="Z84" s="489">
        <v>1996.2852522746821</v>
      </c>
      <c r="AA84" s="489">
        <v>1908.6589759612166</v>
      </c>
      <c r="AB84" s="489">
        <v>1821.09604233552</v>
      </c>
      <c r="AC84" s="489">
        <v>1733.5964513975482</v>
      </c>
      <c r="AD84" s="489">
        <v>1646.1602031473153</v>
      </c>
      <c r="AE84" s="489">
        <v>1572.6216098997188</v>
      </c>
      <c r="AF84" s="489">
        <v>1499.1299019253056</v>
      </c>
      <c r="AG84" s="489">
        <v>1425.685079224073</v>
      </c>
      <c r="AH84" s="489">
        <v>1352.2871417960212</v>
      </c>
      <c r="AI84" s="489">
        <v>1278.9360896411499</v>
      </c>
    </row>
    <row r="85" spans="2:35" outlineLevel="1">
      <c r="B85" t="str">
        <f t="shared" si="9"/>
        <v>e-hydrogen (Solid oxide) - Total cost - Asia - USD/ton fuel</v>
      </c>
      <c r="C85" t="str">
        <f>C84</f>
        <v>e-hydrogen (Solid oxide)</v>
      </c>
      <c r="D85" t="s">
        <v>1362</v>
      </c>
      <c r="E85" t="s">
        <v>750</v>
      </c>
      <c r="F85" t="s">
        <v>1353</v>
      </c>
      <c r="G85" s="487" t="str">
        <f t="shared" si="12"/>
        <v>e-hydrogen (Solid oxide)AsiaTotal cost</v>
      </c>
      <c r="H85" s="489">
        <v>6089.6584964754147</v>
      </c>
      <c r="I85" s="489">
        <v>5647.1832576119614</v>
      </c>
      <c r="J85" s="489">
        <v>5206.6409322690688</v>
      </c>
      <c r="K85" s="489">
        <v>4963.235299691115</v>
      </c>
      <c r="L85" s="489">
        <v>4720.5098962175998</v>
      </c>
      <c r="M85" s="489">
        <v>4478.4647218484679</v>
      </c>
      <c r="N85" s="489">
        <v>4237.0997765837901</v>
      </c>
      <c r="O85" s="489">
        <v>3996.415060423551</v>
      </c>
      <c r="P85" s="489">
        <v>3819.2392316340256</v>
      </c>
      <c r="Q85" s="489">
        <v>3642.5170174218401</v>
      </c>
      <c r="R85" s="489">
        <v>3466.2484177870456</v>
      </c>
      <c r="S85" s="489">
        <v>3290.4334327295787</v>
      </c>
      <c r="T85" s="489">
        <v>3115.0720622494123</v>
      </c>
      <c r="U85" s="489">
        <v>2988.5902978592458</v>
      </c>
      <c r="V85" s="489">
        <v>2862.3348074945816</v>
      </c>
      <c r="W85" s="489">
        <v>2736.3055911554593</v>
      </c>
      <c r="X85" s="489">
        <v>2610.5026488418362</v>
      </c>
      <c r="Y85" s="489">
        <v>2484.9259805537522</v>
      </c>
      <c r="Z85" s="489">
        <v>2373.4260464390409</v>
      </c>
      <c r="AA85" s="489">
        <v>2262.1584876718571</v>
      </c>
      <c r="AB85" s="489">
        <v>2151.1233042522326</v>
      </c>
      <c r="AC85" s="489">
        <v>2040.3204961801468</v>
      </c>
      <c r="AD85" s="489">
        <v>1929.7500634555925</v>
      </c>
      <c r="AE85" s="489">
        <v>1847.5340157750238</v>
      </c>
      <c r="AF85" s="489">
        <v>1765.422520255338</v>
      </c>
      <c r="AG85" s="489">
        <v>1683.4155768965443</v>
      </c>
      <c r="AH85" s="489">
        <v>1601.5131856986382</v>
      </c>
      <c r="AI85" s="489">
        <v>1519.7153466616151</v>
      </c>
    </row>
    <row r="86" spans="2:35" outlineLevel="1">
      <c r="B86" t="str">
        <f t="shared" si="9"/>
        <v>e-hydrogen (Solid oxide) - Total cost - Europe - USD/ton fuel</v>
      </c>
      <c r="C86" t="str">
        <f>C85</f>
        <v>e-hydrogen (Solid oxide)</v>
      </c>
      <c r="D86" t="s">
        <v>1362</v>
      </c>
      <c r="E86" t="s">
        <v>720</v>
      </c>
      <c r="F86" t="s">
        <v>1353</v>
      </c>
      <c r="G86" s="487" t="str">
        <f t="shared" si="12"/>
        <v>e-hydrogen (Solid oxide)EuropeTotal cost</v>
      </c>
      <c r="H86" s="489">
        <v>5353.8089614891123</v>
      </c>
      <c r="I86" s="489">
        <v>5074.1709679482683</v>
      </c>
      <c r="J86" s="489">
        <v>4795.2387342377424</v>
      </c>
      <c r="K86" s="489">
        <v>4569.3126206425213</v>
      </c>
      <c r="L86" s="489">
        <v>4343.9459979222738</v>
      </c>
      <c r="M86" s="489">
        <v>4119.1388660770654</v>
      </c>
      <c r="N86" s="489">
        <v>3894.8912251068868</v>
      </c>
      <c r="O86" s="489">
        <v>3671.2030750117206</v>
      </c>
      <c r="P86" s="489">
        <v>3525.004549490086</v>
      </c>
      <c r="Q86" s="489">
        <v>3379.0341029592655</v>
      </c>
      <c r="R86" s="489">
        <v>3233.2917354192696</v>
      </c>
      <c r="S86" s="489">
        <v>3087.7774468700854</v>
      </c>
      <c r="T86" s="489">
        <v>2942.491237311674</v>
      </c>
      <c r="U86" s="489">
        <v>2828.8848596401731</v>
      </c>
      <c r="V86" s="489">
        <v>2715.4120855347123</v>
      </c>
      <c r="W86" s="489">
        <v>2602.0729149953163</v>
      </c>
      <c r="X86" s="489">
        <v>2488.8673480219622</v>
      </c>
      <c r="Y86" s="489">
        <v>2375.7953846146511</v>
      </c>
      <c r="Z86" s="489">
        <v>2276.8615789094638</v>
      </c>
      <c r="AA86" s="489">
        <v>2178.0680061337989</v>
      </c>
      <c r="AB86" s="489">
        <v>2079.4146662877174</v>
      </c>
      <c r="AC86" s="489">
        <v>1980.9015593711702</v>
      </c>
      <c r="AD86" s="489">
        <v>1882.5286853841781</v>
      </c>
      <c r="AE86" s="489">
        <v>1801.0406361823102</v>
      </c>
      <c r="AF86" s="489">
        <v>1719.6529719181087</v>
      </c>
      <c r="AG86" s="489">
        <v>1638.3656925915825</v>
      </c>
      <c r="AH86" s="489">
        <v>1557.1787982027274</v>
      </c>
      <c r="AI86" s="489">
        <v>1476.0922887515385</v>
      </c>
    </row>
    <row r="87" spans="2:35" outlineLevel="1">
      <c r="B87" t="str">
        <f t="shared" si="9"/>
        <v>e-hydrogen (Solid oxide) - Total cost - Middle East - USD/ton fuel</v>
      </c>
      <c r="C87" s="25" t="str">
        <f>C86</f>
        <v>e-hydrogen (Solid oxide)</v>
      </c>
      <c r="D87" s="25" t="s">
        <v>1362</v>
      </c>
      <c r="E87" s="25" t="s">
        <v>826</v>
      </c>
      <c r="F87" s="25" t="s">
        <v>1353</v>
      </c>
      <c r="G87" s="487" t="str">
        <f t="shared" si="12"/>
        <v>e-hydrogen (Solid oxide)Middle EastTotal cost</v>
      </c>
      <c r="H87" s="490">
        <v>4851.6647066754049</v>
      </c>
      <c r="I87" s="490">
        <v>4593.8234253181581</v>
      </c>
      <c r="J87" s="490">
        <v>4336.5354649979545</v>
      </c>
      <c r="K87" s="490">
        <v>4138.7302596496866</v>
      </c>
      <c r="L87" s="490">
        <v>3941.2844863025884</v>
      </c>
      <c r="M87" s="490">
        <v>3744.1981449566842</v>
      </c>
      <c r="N87" s="490">
        <v>3547.4712356120053</v>
      </c>
      <c r="O87" s="490">
        <v>3351.1037582684949</v>
      </c>
      <c r="P87" s="490">
        <v>3203.3998681068879</v>
      </c>
      <c r="Q87" s="490">
        <v>3055.9446335786374</v>
      </c>
      <c r="R87" s="490">
        <v>2908.7380546837726</v>
      </c>
      <c r="S87" s="490">
        <v>2761.7801314222916</v>
      </c>
      <c r="T87" s="490">
        <v>2615.0708637941366</v>
      </c>
      <c r="U87" s="490">
        <v>2504.1893717246703</v>
      </c>
      <c r="V87" s="490">
        <v>2393.4301989553178</v>
      </c>
      <c r="W87" s="490">
        <v>2282.7933454861122</v>
      </c>
      <c r="X87" s="490">
        <v>2172.2788113170213</v>
      </c>
      <c r="Y87" s="490">
        <v>2061.8865964480606</v>
      </c>
      <c r="Z87" s="490">
        <v>1961.8763880697261</v>
      </c>
      <c r="AA87" s="490">
        <v>1862.0235599751536</v>
      </c>
      <c r="AB87" s="490">
        <v>1762.3281121643845</v>
      </c>
      <c r="AC87" s="490">
        <v>1662.7900446373897</v>
      </c>
      <c r="AD87" s="490">
        <v>1563.4093573941677</v>
      </c>
      <c r="AE87" s="490">
        <v>1486.8351394715962</v>
      </c>
      <c r="AF87" s="490">
        <v>1410.3331896678687</v>
      </c>
      <c r="AG87" s="490">
        <v>1333.9035079829807</v>
      </c>
      <c r="AH87" s="490">
        <v>1257.5460944169345</v>
      </c>
      <c r="AI87" s="490">
        <v>1181.2609489697325</v>
      </c>
    </row>
    <row r="88" spans="2:35" ht="15" outlineLevel="1">
      <c r="B88" t="str">
        <f t="shared" si="9"/>
        <v/>
      </c>
      <c r="C88" s="22"/>
      <c r="G88" s="487" t="str">
        <f t="shared" si="12"/>
        <v/>
      </c>
    </row>
    <row r="89" spans="2:35" ht="15" outlineLevel="1">
      <c r="B89" t="str">
        <f t="shared" si="9"/>
        <v>e-hydrogen (Solid oxide) - CAPEX including feedstock CAPEX - Global - USD/ton fuel</v>
      </c>
      <c r="C89" s="491" t="str">
        <f>C82</f>
        <v>e-hydrogen (Solid oxide)</v>
      </c>
      <c r="D89" s="491" t="s">
        <v>1363</v>
      </c>
      <c r="E89" s="491" t="s">
        <v>708</v>
      </c>
      <c r="F89" s="491" t="s">
        <v>1353</v>
      </c>
      <c r="G89" s="487" t="str">
        <f t="shared" si="12"/>
        <v>e-hydrogen (Solid oxide)GlobalCAPEX including feedstock CAPEX</v>
      </c>
      <c r="H89" s="492">
        <v>540.27962097364173</v>
      </c>
      <c r="I89" s="492">
        <v>521.28136299823723</v>
      </c>
      <c r="J89" s="492">
        <v>502.28310502283273</v>
      </c>
      <c r="K89" s="492">
        <v>483.95969142305353</v>
      </c>
      <c r="L89" s="492">
        <v>465.63627782327433</v>
      </c>
      <c r="M89" s="492">
        <v>447.31286422349513</v>
      </c>
      <c r="N89" s="492">
        <v>428.98945062371592</v>
      </c>
      <c r="O89" s="492">
        <v>410.66603702393672</v>
      </c>
      <c r="P89" s="492">
        <v>394.61040491563421</v>
      </c>
      <c r="Q89" s="492">
        <v>378.55477280733561</v>
      </c>
      <c r="R89" s="492">
        <v>362.49914069903701</v>
      </c>
      <c r="S89" s="492">
        <v>346.44350859074234</v>
      </c>
      <c r="T89" s="492">
        <v>330.38787648244374</v>
      </c>
      <c r="U89" s="492">
        <v>314.90927193805885</v>
      </c>
      <c r="V89" s="492">
        <v>299.43066739367009</v>
      </c>
      <c r="W89" s="492">
        <v>283.95206284928133</v>
      </c>
      <c r="X89" s="492">
        <v>268.4734583048965</v>
      </c>
      <c r="Y89" s="492">
        <v>252.99485376050774</v>
      </c>
      <c r="Z89" s="492">
        <v>238.07721049593141</v>
      </c>
      <c r="AA89" s="492">
        <v>223.15956723135119</v>
      </c>
      <c r="AB89" s="492">
        <v>208.24192396677486</v>
      </c>
      <c r="AC89" s="492">
        <v>193.32428070219854</v>
      </c>
      <c r="AD89" s="492">
        <v>178.40663743761834</v>
      </c>
      <c r="AE89" s="492">
        <v>164.03429016318404</v>
      </c>
      <c r="AF89" s="492">
        <v>149.66194288874976</v>
      </c>
      <c r="AG89" s="492">
        <v>135.28959561431549</v>
      </c>
      <c r="AH89" s="492">
        <v>120.91724833988118</v>
      </c>
      <c r="AI89" s="492">
        <v>106.54490106544691</v>
      </c>
    </row>
    <row r="90" spans="2:35" outlineLevel="1">
      <c r="B90" t="str">
        <f t="shared" si="9"/>
        <v>e-hydrogen (Solid oxide) - CAPEX - Global - USD/ton fuel</v>
      </c>
      <c r="C90" t="str">
        <f>C82</f>
        <v>e-hydrogen (Solid oxide)</v>
      </c>
      <c r="D90" t="s">
        <v>446</v>
      </c>
      <c r="E90" t="s">
        <v>708</v>
      </c>
      <c r="F90" t="s">
        <v>1353</v>
      </c>
      <c r="G90" s="487" t="str">
        <f t="shared" si="12"/>
        <v>e-hydrogen (Solid oxide)GlobalCAPEX</v>
      </c>
      <c r="H90" s="493">
        <v>540.27962097364173</v>
      </c>
      <c r="I90" s="493">
        <v>521.28136299823723</v>
      </c>
      <c r="J90" s="493">
        <v>502.28310502283273</v>
      </c>
      <c r="K90" s="493">
        <v>483.95969142305353</v>
      </c>
      <c r="L90" s="493">
        <v>465.63627782327433</v>
      </c>
      <c r="M90" s="493">
        <v>447.31286422349513</v>
      </c>
      <c r="N90" s="493">
        <v>428.98945062371592</v>
      </c>
      <c r="O90" s="493">
        <v>410.66603702393672</v>
      </c>
      <c r="P90" s="493">
        <v>394.61040491563421</v>
      </c>
      <c r="Q90" s="493">
        <v>378.55477280733561</v>
      </c>
      <c r="R90" s="493">
        <v>362.49914069903701</v>
      </c>
      <c r="S90" s="493">
        <v>346.44350859074234</v>
      </c>
      <c r="T90" s="493">
        <v>330.38787648244374</v>
      </c>
      <c r="U90" s="493">
        <v>314.90927193805885</v>
      </c>
      <c r="V90" s="493">
        <v>299.43066739367009</v>
      </c>
      <c r="W90" s="493">
        <v>283.95206284928133</v>
      </c>
      <c r="X90" s="493">
        <v>268.4734583048965</v>
      </c>
      <c r="Y90" s="493">
        <v>252.99485376050774</v>
      </c>
      <c r="Z90" s="493">
        <v>238.07721049593141</v>
      </c>
      <c r="AA90" s="493">
        <v>223.15956723135119</v>
      </c>
      <c r="AB90" s="493">
        <v>208.24192396677486</v>
      </c>
      <c r="AC90" s="493">
        <v>193.32428070219854</v>
      </c>
      <c r="AD90" s="493">
        <v>178.40663743761834</v>
      </c>
      <c r="AE90" s="493">
        <v>164.03429016318404</v>
      </c>
      <c r="AF90" s="493">
        <v>149.66194288874976</v>
      </c>
      <c r="AG90" s="493">
        <v>135.28959561431549</v>
      </c>
      <c r="AH90" s="493">
        <v>120.91724833988118</v>
      </c>
      <c r="AI90" s="493">
        <v>106.54490106544691</v>
      </c>
    </row>
    <row r="91" spans="2:35" outlineLevel="1">
      <c r="B91" t="str">
        <f t="shared" si="9"/>
        <v/>
      </c>
      <c r="G91" s="487" t="str">
        <f t="shared" si="12"/>
        <v/>
      </c>
      <c r="H91" s="493"/>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row>
    <row r="92" spans="2:35" ht="15" outlineLevel="1">
      <c r="B92" t="str">
        <f t="shared" si="9"/>
        <v>e-hydrogen (Solid oxide) - OPEX including feedstock OPEX - Global - USD/ton fuel</v>
      </c>
      <c r="C92" s="491" t="str">
        <f>C83</f>
        <v>e-hydrogen (Solid oxide)</v>
      </c>
      <c r="D92" s="491" t="s">
        <v>1364</v>
      </c>
      <c r="E92" s="491" t="s">
        <v>708</v>
      </c>
      <c r="F92" s="491" t="s">
        <v>1353</v>
      </c>
      <c r="G92" s="487" t="str">
        <f t="shared" si="12"/>
        <v>e-hydrogen (Solid oxide)GlobalOPEX including feedstock OPEX</v>
      </c>
      <c r="H92" s="492">
        <v>1764.9906324479671</v>
      </c>
      <c r="I92" s="492">
        <v>1635.919973758253</v>
      </c>
      <c r="J92" s="492">
        <v>1506.8493150684808</v>
      </c>
      <c r="K92" s="492">
        <v>1410.6202478319756</v>
      </c>
      <c r="L92" s="492">
        <v>1314.3911805954413</v>
      </c>
      <c r="M92" s="492">
        <v>1218.1621133589069</v>
      </c>
      <c r="N92" s="492">
        <v>1121.9330461224017</v>
      </c>
      <c r="O92" s="492">
        <v>1025.7039788858674</v>
      </c>
      <c r="P92" s="492">
        <v>957.9671748035762</v>
      </c>
      <c r="Q92" s="492">
        <v>890.23037072125589</v>
      </c>
      <c r="R92" s="492">
        <v>822.49356663896469</v>
      </c>
      <c r="S92" s="492">
        <v>754.75676255667349</v>
      </c>
      <c r="T92" s="492">
        <v>687.01995847435319</v>
      </c>
      <c r="U92" s="492">
        <v>637.21492319114623</v>
      </c>
      <c r="V92" s="492">
        <v>587.40988790793926</v>
      </c>
      <c r="W92" s="492">
        <v>537.60485262474685</v>
      </c>
      <c r="X92" s="492">
        <v>487.79981734153989</v>
      </c>
      <c r="Y92" s="492">
        <v>437.99478205834748</v>
      </c>
      <c r="Z92" s="492">
        <v>401.8250827852753</v>
      </c>
      <c r="AA92" s="492">
        <v>365.65538351218856</v>
      </c>
      <c r="AB92" s="492">
        <v>329.48568423911638</v>
      </c>
      <c r="AC92" s="492">
        <v>293.31598496602965</v>
      </c>
      <c r="AD92" s="492">
        <v>257.14628569295019</v>
      </c>
      <c r="AE92" s="492">
        <v>231.28780481006834</v>
      </c>
      <c r="AF92" s="492">
        <v>205.42932392718649</v>
      </c>
      <c r="AG92" s="492">
        <v>179.57084304430464</v>
      </c>
      <c r="AH92" s="492">
        <v>153.71236216142279</v>
      </c>
      <c r="AI92" s="492">
        <v>127.85388127854094</v>
      </c>
    </row>
    <row r="93" spans="2:35" outlineLevel="1">
      <c r="B93" t="str">
        <f t="shared" si="9"/>
        <v>e-hydrogen (Solid oxide) - OPEX - Global - USD/ton fuel</v>
      </c>
      <c r="C93" t="str">
        <f>C82</f>
        <v>e-hydrogen (Solid oxide)</v>
      </c>
      <c r="D93" t="s">
        <v>450</v>
      </c>
      <c r="E93" t="s">
        <v>708</v>
      </c>
      <c r="F93" t="s">
        <v>1353</v>
      </c>
      <c r="G93" s="487" t="str">
        <f t="shared" si="12"/>
        <v>e-hydrogen (Solid oxide)GlobalOPEX</v>
      </c>
      <c r="H93" s="493">
        <v>1764.9906324479671</v>
      </c>
      <c r="I93" s="493">
        <v>1635.919973758253</v>
      </c>
      <c r="J93" s="493">
        <v>1506.8493150684808</v>
      </c>
      <c r="K93" s="493">
        <v>1410.6202478319756</v>
      </c>
      <c r="L93" s="493">
        <v>1314.3911805954413</v>
      </c>
      <c r="M93" s="493">
        <v>1218.1621133589069</v>
      </c>
      <c r="N93" s="493">
        <v>1121.9330461224017</v>
      </c>
      <c r="O93" s="493">
        <v>1025.7039788858674</v>
      </c>
      <c r="P93" s="493">
        <v>957.9671748035762</v>
      </c>
      <c r="Q93" s="493">
        <v>890.23037072125589</v>
      </c>
      <c r="R93" s="493">
        <v>822.49356663896469</v>
      </c>
      <c r="S93" s="493">
        <v>754.75676255667349</v>
      </c>
      <c r="T93" s="493">
        <v>687.01995847435319</v>
      </c>
      <c r="U93" s="493">
        <v>637.21492319114623</v>
      </c>
      <c r="V93" s="493">
        <v>587.40988790793926</v>
      </c>
      <c r="W93" s="493">
        <v>537.60485262474685</v>
      </c>
      <c r="X93" s="493">
        <v>487.79981734153989</v>
      </c>
      <c r="Y93" s="493">
        <v>437.99478205834748</v>
      </c>
      <c r="Z93" s="493">
        <v>401.8250827852753</v>
      </c>
      <c r="AA93" s="493">
        <v>365.65538351218856</v>
      </c>
      <c r="AB93" s="493">
        <v>329.48568423911638</v>
      </c>
      <c r="AC93" s="493">
        <v>293.31598496602965</v>
      </c>
      <c r="AD93" s="493">
        <v>257.14628569295019</v>
      </c>
      <c r="AE93" s="493">
        <v>231.28780481006834</v>
      </c>
      <c r="AF93" s="493">
        <v>205.42932392718649</v>
      </c>
      <c r="AG93" s="493">
        <v>179.57084304430464</v>
      </c>
      <c r="AH93" s="493">
        <v>153.71236216142279</v>
      </c>
      <c r="AI93" s="493">
        <v>127.85388127854094</v>
      </c>
    </row>
    <row r="94" spans="2:35" outlineLevel="1">
      <c r="B94" t="str">
        <f t="shared" si="9"/>
        <v/>
      </c>
      <c r="G94" s="487" t="str">
        <f t="shared" si="12"/>
        <v/>
      </c>
      <c r="H94" s="493"/>
      <c r="I94" s="493"/>
      <c r="J94" s="493"/>
      <c r="K94" s="493"/>
      <c r="L94" s="493"/>
      <c r="M94" s="493"/>
      <c r="N94" s="493"/>
      <c r="O94" s="493"/>
      <c r="P94" s="493"/>
      <c r="Q94" s="493"/>
      <c r="R94" s="493"/>
      <c r="S94" s="493"/>
      <c r="T94" s="493"/>
      <c r="U94" s="493"/>
      <c r="V94" s="493"/>
      <c r="W94" s="493"/>
      <c r="X94" s="493"/>
      <c r="Y94" s="493"/>
      <c r="Z94" s="493"/>
      <c r="AA94" s="493"/>
      <c r="AB94" s="493"/>
      <c r="AC94" s="493"/>
      <c r="AD94" s="493"/>
      <c r="AE94" s="493"/>
      <c r="AF94" s="493"/>
      <c r="AG94" s="493"/>
      <c r="AH94" s="493"/>
      <c r="AI94" s="493"/>
    </row>
    <row r="95" spans="2:35" ht="15" outlineLevel="1">
      <c r="B95" t="str">
        <f t="shared" si="9"/>
        <v>e-hydrogen (Solid oxide) - Finance cost including feedstock finance cost - Africa - USD/ton fuel</v>
      </c>
      <c r="C95" s="494" t="str">
        <f>C86</f>
        <v>e-hydrogen (Solid oxide)</v>
      </c>
      <c r="D95" s="494" t="s">
        <v>1365</v>
      </c>
      <c r="E95" s="494" t="s">
        <v>838</v>
      </c>
      <c r="F95" s="494" t="s">
        <v>1353</v>
      </c>
      <c r="G95" s="487" t="str">
        <f t="shared" si="12"/>
        <v>e-hydrogen (Solid oxide)AfricaFinance cost including feedstock finance cost</v>
      </c>
      <c r="H95" s="495">
        <v>891.46137460650891</v>
      </c>
      <c r="I95" s="495">
        <v>860.11424894709148</v>
      </c>
      <c r="J95" s="495">
        <v>828.76712328767417</v>
      </c>
      <c r="K95" s="495">
        <v>798.53349084803847</v>
      </c>
      <c r="L95" s="495">
        <v>768.29985840840277</v>
      </c>
      <c r="M95" s="495">
        <v>738.06622596876707</v>
      </c>
      <c r="N95" s="495">
        <v>707.83259352913137</v>
      </c>
      <c r="O95" s="495">
        <v>677.59896108949567</v>
      </c>
      <c r="P95" s="495">
        <v>651.10716811079658</v>
      </c>
      <c r="Q95" s="495">
        <v>624.61537513210385</v>
      </c>
      <c r="R95" s="495">
        <v>598.12358215341123</v>
      </c>
      <c r="S95" s="495">
        <v>571.63178917472487</v>
      </c>
      <c r="T95" s="495">
        <v>545.13999619603226</v>
      </c>
      <c r="U95" s="495">
        <v>519.60029869779714</v>
      </c>
      <c r="V95" s="495">
        <v>494.06060119955572</v>
      </c>
      <c r="W95" s="495">
        <v>468.5209037013143</v>
      </c>
      <c r="X95" s="495">
        <v>442.98120620307924</v>
      </c>
      <c r="Y95" s="495">
        <v>417.44150870483782</v>
      </c>
      <c r="Z95" s="495">
        <v>392.8273973182869</v>
      </c>
      <c r="AA95" s="495">
        <v>368.2132859317295</v>
      </c>
      <c r="AB95" s="495">
        <v>343.59917454517858</v>
      </c>
      <c r="AC95" s="495">
        <v>318.98506315862767</v>
      </c>
      <c r="AD95" s="495">
        <v>294.37095177207027</v>
      </c>
      <c r="AE95" s="495">
        <v>270.65657876925371</v>
      </c>
      <c r="AF95" s="495">
        <v>246.94220576643716</v>
      </c>
      <c r="AG95" s="495">
        <v>223.22783276362057</v>
      </c>
      <c r="AH95" s="495">
        <v>199.51345976080398</v>
      </c>
      <c r="AI95" s="495">
        <v>175.79908675798742</v>
      </c>
    </row>
    <row r="96" spans="2:35" ht="15" outlineLevel="1">
      <c r="B96" t="str">
        <f t="shared" si="9"/>
        <v>e-hydrogen (Solid oxide) - Finance cost including feedstock finance cost - Americas - USD/ton fuel</v>
      </c>
      <c r="C96" s="22" t="str">
        <f>C86</f>
        <v>e-hydrogen (Solid oxide)</v>
      </c>
      <c r="D96" s="22" t="s">
        <v>1365</v>
      </c>
      <c r="E96" s="22" t="s">
        <v>731</v>
      </c>
      <c r="F96" s="22" t="s">
        <v>1353</v>
      </c>
      <c r="G96" s="487" t="str">
        <f t="shared" si="12"/>
        <v>e-hydrogen (Solid oxide)AmericasFinance cost including feedstock finance cost</v>
      </c>
      <c r="H96" s="496">
        <v>891.46137460650891</v>
      </c>
      <c r="I96" s="496">
        <v>860.11424894709148</v>
      </c>
      <c r="J96" s="496">
        <v>828.76712328767417</v>
      </c>
      <c r="K96" s="496">
        <v>798.53349084803847</v>
      </c>
      <c r="L96" s="496">
        <v>768.29985840840277</v>
      </c>
      <c r="M96" s="496">
        <v>738.06622596876707</v>
      </c>
      <c r="N96" s="496">
        <v>707.83259352913137</v>
      </c>
      <c r="O96" s="496">
        <v>677.59896108949567</v>
      </c>
      <c r="P96" s="496">
        <v>651.10716811079658</v>
      </c>
      <c r="Q96" s="496">
        <v>624.61537513210385</v>
      </c>
      <c r="R96" s="496">
        <v>598.12358215341123</v>
      </c>
      <c r="S96" s="496">
        <v>571.63178917472487</v>
      </c>
      <c r="T96" s="496">
        <v>545.13999619603226</v>
      </c>
      <c r="U96" s="496">
        <v>519.60029869779714</v>
      </c>
      <c r="V96" s="496">
        <v>494.06060119955572</v>
      </c>
      <c r="W96" s="496">
        <v>468.5209037013143</v>
      </c>
      <c r="X96" s="496">
        <v>442.98120620307924</v>
      </c>
      <c r="Y96" s="496">
        <v>417.44150870483782</v>
      </c>
      <c r="Z96" s="496">
        <v>392.8273973182869</v>
      </c>
      <c r="AA96" s="496">
        <v>368.2132859317295</v>
      </c>
      <c r="AB96" s="496">
        <v>343.59917454517858</v>
      </c>
      <c r="AC96" s="496">
        <v>318.98506315862767</v>
      </c>
      <c r="AD96" s="496">
        <v>294.37095177207027</v>
      </c>
      <c r="AE96" s="496">
        <v>270.65657876925371</v>
      </c>
      <c r="AF96" s="496">
        <v>246.94220576643716</v>
      </c>
      <c r="AG96" s="496">
        <v>223.22783276362057</v>
      </c>
      <c r="AH96" s="496">
        <v>199.51345976080398</v>
      </c>
      <c r="AI96" s="496">
        <v>175.79908675798742</v>
      </c>
    </row>
    <row r="97" spans="2:64" ht="15" outlineLevel="1">
      <c r="B97" t="str">
        <f t="shared" si="9"/>
        <v>e-hydrogen (Solid oxide) - Finance cost including feedstock finance cost - Asia - USD/ton fuel</v>
      </c>
      <c r="C97" s="22" t="str">
        <f>C86</f>
        <v>e-hydrogen (Solid oxide)</v>
      </c>
      <c r="D97" s="22" t="s">
        <v>1365</v>
      </c>
      <c r="E97" s="22" t="s">
        <v>750</v>
      </c>
      <c r="F97" s="22" t="s">
        <v>1353</v>
      </c>
      <c r="G97" s="487" t="str">
        <f t="shared" si="12"/>
        <v>e-hydrogen (Solid oxide)AsiaFinance cost including feedstock finance cost</v>
      </c>
      <c r="H97" s="496">
        <v>891.46137460650891</v>
      </c>
      <c r="I97" s="496">
        <v>860.11424894709148</v>
      </c>
      <c r="J97" s="496">
        <v>828.76712328767417</v>
      </c>
      <c r="K97" s="496">
        <v>798.53349084803847</v>
      </c>
      <c r="L97" s="496">
        <v>768.29985840840277</v>
      </c>
      <c r="M97" s="496">
        <v>738.06622596876707</v>
      </c>
      <c r="N97" s="496">
        <v>707.83259352913137</v>
      </c>
      <c r="O97" s="496">
        <v>677.59896108949567</v>
      </c>
      <c r="P97" s="496">
        <v>651.10716811079658</v>
      </c>
      <c r="Q97" s="496">
        <v>624.61537513210385</v>
      </c>
      <c r="R97" s="496">
        <v>598.12358215341123</v>
      </c>
      <c r="S97" s="496">
        <v>571.63178917472487</v>
      </c>
      <c r="T97" s="496">
        <v>545.13999619603226</v>
      </c>
      <c r="U97" s="496">
        <v>519.60029869779714</v>
      </c>
      <c r="V97" s="496">
        <v>494.06060119955572</v>
      </c>
      <c r="W97" s="496">
        <v>468.5209037013143</v>
      </c>
      <c r="X97" s="496">
        <v>442.98120620307924</v>
      </c>
      <c r="Y97" s="496">
        <v>417.44150870483782</v>
      </c>
      <c r="Z97" s="496">
        <v>392.8273973182869</v>
      </c>
      <c r="AA97" s="496">
        <v>368.2132859317295</v>
      </c>
      <c r="AB97" s="496">
        <v>343.59917454517858</v>
      </c>
      <c r="AC97" s="496">
        <v>318.98506315862767</v>
      </c>
      <c r="AD97" s="496">
        <v>294.37095177207027</v>
      </c>
      <c r="AE97" s="496">
        <v>270.65657876925371</v>
      </c>
      <c r="AF97" s="496">
        <v>246.94220576643716</v>
      </c>
      <c r="AG97" s="496">
        <v>223.22783276362057</v>
      </c>
      <c r="AH97" s="496">
        <v>199.51345976080398</v>
      </c>
      <c r="AI97" s="496">
        <v>175.79908675798742</v>
      </c>
    </row>
    <row r="98" spans="2:64" ht="15" outlineLevel="1">
      <c r="B98" t="str">
        <f t="shared" si="9"/>
        <v>e-hydrogen (Solid oxide) - Finance cost including feedstock finance cost - Europe - USD/ton fuel</v>
      </c>
      <c r="C98" s="22" t="str">
        <f>C86</f>
        <v>e-hydrogen (Solid oxide)</v>
      </c>
      <c r="D98" s="22" t="s">
        <v>1365</v>
      </c>
      <c r="E98" s="22" t="s">
        <v>720</v>
      </c>
      <c r="F98" s="22" t="s">
        <v>1353</v>
      </c>
      <c r="G98" s="487" t="str">
        <f t="shared" si="12"/>
        <v>e-hydrogen (Solid oxide)EuropeFinance cost including feedstock finance cost</v>
      </c>
      <c r="H98" s="496">
        <v>891.46137460650891</v>
      </c>
      <c r="I98" s="496">
        <v>860.11424894709148</v>
      </c>
      <c r="J98" s="496">
        <v>828.76712328767417</v>
      </c>
      <c r="K98" s="496">
        <v>798.53349084803847</v>
      </c>
      <c r="L98" s="496">
        <v>768.29985840840277</v>
      </c>
      <c r="M98" s="496">
        <v>738.06622596876707</v>
      </c>
      <c r="N98" s="496">
        <v>707.83259352913137</v>
      </c>
      <c r="O98" s="496">
        <v>677.59896108949567</v>
      </c>
      <c r="P98" s="496">
        <v>651.10716811079658</v>
      </c>
      <c r="Q98" s="496">
        <v>624.61537513210385</v>
      </c>
      <c r="R98" s="496">
        <v>598.12358215341123</v>
      </c>
      <c r="S98" s="496">
        <v>571.63178917472487</v>
      </c>
      <c r="T98" s="496">
        <v>545.13999619603226</v>
      </c>
      <c r="U98" s="496">
        <v>519.60029869779714</v>
      </c>
      <c r="V98" s="496">
        <v>494.06060119955572</v>
      </c>
      <c r="W98" s="496">
        <v>468.5209037013143</v>
      </c>
      <c r="X98" s="496">
        <v>442.98120620307924</v>
      </c>
      <c r="Y98" s="496">
        <v>417.44150870483782</v>
      </c>
      <c r="Z98" s="496">
        <v>392.8273973182869</v>
      </c>
      <c r="AA98" s="496">
        <v>368.2132859317295</v>
      </c>
      <c r="AB98" s="496">
        <v>343.59917454517858</v>
      </c>
      <c r="AC98" s="496">
        <v>318.98506315862767</v>
      </c>
      <c r="AD98" s="496">
        <v>294.37095177207027</v>
      </c>
      <c r="AE98" s="496">
        <v>270.65657876925371</v>
      </c>
      <c r="AF98" s="496">
        <v>246.94220576643716</v>
      </c>
      <c r="AG98" s="496">
        <v>223.22783276362057</v>
      </c>
      <c r="AH98" s="496">
        <v>199.51345976080398</v>
      </c>
      <c r="AI98" s="496">
        <v>175.79908675798742</v>
      </c>
    </row>
    <row r="99" spans="2:64" ht="15" outlineLevel="1">
      <c r="B99" t="str">
        <f t="shared" si="9"/>
        <v>e-hydrogen (Solid oxide) - Finance cost including feedstock finance cost - Middle East - USD/ton fuel</v>
      </c>
      <c r="C99" s="92" t="str">
        <f>C86</f>
        <v>e-hydrogen (Solid oxide)</v>
      </c>
      <c r="D99" s="92" t="s">
        <v>1365</v>
      </c>
      <c r="E99" s="92" t="s">
        <v>826</v>
      </c>
      <c r="F99" s="92" t="s">
        <v>1353</v>
      </c>
      <c r="G99" s="487" t="str">
        <f t="shared" si="12"/>
        <v>e-hydrogen (Solid oxide)Middle EastFinance cost including feedstock finance cost</v>
      </c>
      <c r="H99" s="497">
        <v>891.46137460650891</v>
      </c>
      <c r="I99" s="497">
        <v>860.11424894709148</v>
      </c>
      <c r="J99" s="497">
        <v>828.76712328767417</v>
      </c>
      <c r="K99" s="497">
        <v>798.53349084803847</v>
      </c>
      <c r="L99" s="497">
        <v>768.29985840840277</v>
      </c>
      <c r="M99" s="497">
        <v>738.06622596876707</v>
      </c>
      <c r="N99" s="497">
        <v>707.83259352913137</v>
      </c>
      <c r="O99" s="497">
        <v>677.59896108949567</v>
      </c>
      <c r="P99" s="497">
        <v>651.10716811079658</v>
      </c>
      <c r="Q99" s="497">
        <v>624.61537513210385</v>
      </c>
      <c r="R99" s="497">
        <v>598.12358215341123</v>
      </c>
      <c r="S99" s="497">
        <v>571.63178917472487</v>
      </c>
      <c r="T99" s="497">
        <v>545.13999619603226</v>
      </c>
      <c r="U99" s="497">
        <v>519.60029869779714</v>
      </c>
      <c r="V99" s="497">
        <v>494.06060119955572</v>
      </c>
      <c r="W99" s="497">
        <v>468.5209037013143</v>
      </c>
      <c r="X99" s="497">
        <v>442.98120620307924</v>
      </c>
      <c r="Y99" s="497">
        <v>417.44150870483782</v>
      </c>
      <c r="Z99" s="497">
        <v>392.8273973182869</v>
      </c>
      <c r="AA99" s="497">
        <v>368.2132859317295</v>
      </c>
      <c r="AB99" s="497">
        <v>343.59917454517858</v>
      </c>
      <c r="AC99" s="497">
        <v>318.98506315862767</v>
      </c>
      <c r="AD99" s="497">
        <v>294.37095177207027</v>
      </c>
      <c r="AE99" s="497">
        <v>270.65657876925371</v>
      </c>
      <c r="AF99" s="497">
        <v>246.94220576643716</v>
      </c>
      <c r="AG99" s="497">
        <v>223.22783276362057</v>
      </c>
      <c r="AH99" s="497">
        <v>199.51345976080398</v>
      </c>
      <c r="AI99" s="497">
        <v>175.79908675798742</v>
      </c>
    </row>
    <row r="100" spans="2:64" outlineLevel="1">
      <c r="B100" t="str">
        <f t="shared" si="9"/>
        <v>e-hydrogen (Solid oxide) - Finance cost - Africa - USD/ton fuel</v>
      </c>
      <c r="C100" t="str">
        <f>C82</f>
        <v>e-hydrogen (Solid oxide)</v>
      </c>
      <c r="D100" t="s">
        <v>1366</v>
      </c>
      <c r="E100" t="s">
        <v>838</v>
      </c>
      <c r="F100" t="s">
        <v>1353</v>
      </c>
      <c r="G100" s="487" t="str">
        <f t="shared" si="12"/>
        <v>e-hydrogen (Solid oxide)AfricaFinance cost</v>
      </c>
      <c r="H100" s="493">
        <v>891.46137460650891</v>
      </c>
      <c r="I100" s="493">
        <v>860.11424894709148</v>
      </c>
      <c r="J100" s="493">
        <v>828.76712328767417</v>
      </c>
      <c r="K100" s="493">
        <v>798.53349084803847</v>
      </c>
      <c r="L100" s="493">
        <v>768.29985840840277</v>
      </c>
      <c r="M100" s="493">
        <v>738.06622596876707</v>
      </c>
      <c r="N100" s="493">
        <v>707.83259352913137</v>
      </c>
      <c r="O100" s="493">
        <v>677.59896108949567</v>
      </c>
      <c r="P100" s="493">
        <v>651.10716811079658</v>
      </c>
      <c r="Q100" s="493">
        <v>624.61537513210385</v>
      </c>
      <c r="R100" s="493">
        <v>598.12358215341123</v>
      </c>
      <c r="S100" s="493">
        <v>571.63178917472487</v>
      </c>
      <c r="T100" s="493">
        <v>545.13999619603226</v>
      </c>
      <c r="U100" s="493">
        <v>519.60029869779714</v>
      </c>
      <c r="V100" s="493">
        <v>494.06060119955572</v>
      </c>
      <c r="W100" s="493">
        <v>468.5209037013143</v>
      </c>
      <c r="X100" s="493">
        <v>442.98120620307924</v>
      </c>
      <c r="Y100" s="493">
        <v>417.44150870483782</v>
      </c>
      <c r="Z100" s="493">
        <v>392.8273973182869</v>
      </c>
      <c r="AA100" s="493">
        <v>368.2132859317295</v>
      </c>
      <c r="AB100" s="493">
        <v>343.59917454517858</v>
      </c>
      <c r="AC100" s="493">
        <v>318.98506315862767</v>
      </c>
      <c r="AD100" s="493">
        <v>294.37095177207027</v>
      </c>
      <c r="AE100" s="493">
        <v>270.65657876925371</v>
      </c>
      <c r="AF100" s="493">
        <v>246.94220576643716</v>
      </c>
      <c r="AG100" s="493">
        <v>223.22783276362057</v>
      </c>
      <c r="AH100" s="493">
        <v>199.51345976080398</v>
      </c>
      <c r="AI100" s="493">
        <v>175.79908675798742</v>
      </c>
    </row>
    <row r="101" spans="2:64" outlineLevel="1">
      <c r="B101" t="str">
        <f t="shared" si="9"/>
        <v>e-hydrogen (Solid oxide) - Finance cost - Americas - USD/ton fuel</v>
      </c>
      <c r="C101" t="str">
        <f>C82</f>
        <v>e-hydrogen (Solid oxide)</v>
      </c>
      <c r="D101" t="s">
        <v>1366</v>
      </c>
      <c r="E101" t="s">
        <v>731</v>
      </c>
      <c r="F101" t="s">
        <v>1353</v>
      </c>
      <c r="G101" s="487" t="str">
        <f t="shared" si="12"/>
        <v>e-hydrogen (Solid oxide)AmericasFinance cost</v>
      </c>
      <c r="H101" s="493">
        <v>891.46137460650891</v>
      </c>
      <c r="I101" s="493">
        <v>860.11424894709148</v>
      </c>
      <c r="J101" s="493">
        <v>828.76712328767417</v>
      </c>
      <c r="K101" s="493">
        <v>798.53349084803847</v>
      </c>
      <c r="L101" s="493">
        <v>768.29985840840277</v>
      </c>
      <c r="M101" s="493">
        <v>738.06622596876707</v>
      </c>
      <c r="N101" s="493">
        <v>707.83259352913137</v>
      </c>
      <c r="O101" s="493">
        <v>677.59896108949567</v>
      </c>
      <c r="P101" s="493">
        <v>651.10716811079658</v>
      </c>
      <c r="Q101" s="493">
        <v>624.61537513210385</v>
      </c>
      <c r="R101" s="493">
        <v>598.12358215341123</v>
      </c>
      <c r="S101" s="493">
        <v>571.63178917472487</v>
      </c>
      <c r="T101" s="493">
        <v>545.13999619603226</v>
      </c>
      <c r="U101" s="493">
        <v>519.60029869779714</v>
      </c>
      <c r="V101" s="493">
        <v>494.06060119955572</v>
      </c>
      <c r="W101" s="493">
        <v>468.5209037013143</v>
      </c>
      <c r="X101" s="493">
        <v>442.98120620307924</v>
      </c>
      <c r="Y101" s="493">
        <v>417.44150870483782</v>
      </c>
      <c r="Z101" s="493">
        <v>392.8273973182869</v>
      </c>
      <c r="AA101" s="493">
        <v>368.2132859317295</v>
      </c>
      <c r="AB101" s="493">
        <v>343.59917454517858</v>
      </c>
      <c r="AC101" s="493">
        <v>318.98506315862767</v>
      </c>
      <c r="AD101" s="493">
        <v>294.37095177207027</v>
      </c>
      <c r="AE101" s="493">
        <v>270.65657876925371</v>
      </c>
      <c r="AF101" s="493">
        <v>246.94220576643716</v>
      </c>
      <c r="AG101" s="493">
        <v>223.22783276362057</v>
      </c>
      <c r="AH101" s="493">
        <v>199.51345976080398</v>
      </c>
      <c r="AI101" s="493">
        <v>175.79908675798742</v>
      </c>
    </row>
    <row r="102" spans="2:64" outlineLevel="1">
      <c r="B102" t="str">
        <f t="shared" si="9"/>
        <v>e-hydrogen (Solid oxide) - Finance cost - Asia - USD/ton fuel</v>
      </c>
      <c r="C102" t="str">
        <f>C82</f>
        <v>e-hydrogen (Solid oxide)</v>
      </c>
      <c r="D102" t="s">
        <v>1366</v>
      </c>
      <c r="E102" t="s">
        <v>750</v>
      </c>
      <c r="F102" t="s">
        <v>1353</v>
      </c>
      <c r="G102" s="487" t="str">
        <f t="shared" si="12"/>
        <v>e-hydrogen (Solid oxide)AsiaFinance cost</v>
      </c>
      <c r="H102" s="493">
        <v>891.46137460650891</v>
      </c>
      <c r="I102" s="493">
        <v>860.11424894709148</v>
      </c>
      <c r="J102" s="493">
        <v>828.76712328767417</v>
      </c>
      <c r="K102" s="493">
        <v>798.53349084803847</v>
      </c>
      <c r="L102" s="493">
        <v>768.29985840840277</v>
      </c>
      <c r="M102" s="493">
        <v>738.06622596876707</v>
      </c>
      <c r="N102" s="493">
        <v>707.83259352913137</v>
      </c>
      <c r="O102" s="493">
        <v>677.59896108949567</v>
      </c>
      <c r="P102" s="493">
        <v>651.10716811079658</v>
      </c>
      <c r="Q102" s="493">
        <v>624.61537513210385</v>
      </c>
      <c r="R102" s="493">
        <v>598.12358215341123</v>
      </c>
      <c r="S102" s="493">
        <v>571.63178917472487</v>
      </c>
      <c r="T102" s="493">
        <v>545.13999619603226</v>
      </c>
      <c r="U102" s="493">
        <v>519.60029869779714</v>
      </c>
      <c r="V102" s="493">
        <v>494.06060119955572</v>
      </c>
      <c r="W102" s="493">
        <v>468.5209037013143</v>
      </c>
      <c r="X102" s="493">
        <v>442.98120620307924</v>
      </c>
      <c r="Y102" s="493">
        <v>417.44150870483782</v>
      </c>
      <c r="Z102" s="493">
        <v>392.8273973182869</v>
      </c>
      <c r="AA102" s="493">
        <v>368.2132859317295</v>
      </c>
      <c r="AB102" s="493">
        <v>343.59917454517858</v>
      </c>
      <c r="AC102" s="493">
        <v>318.98506315862767</v>
      </c>
      <c r="AD102" s="493">
        <v>294.37095177207027</v>
      </c>
      <c r="AE102" s="493">
        <v>270.65657876925371</v>
      </c>
      <c r="AF102" s="493">
        <v>246.94220576643716</v>
      </c>
      <c r="AG102" s="493">
        <v>223.22783276362057</v>
      </c>
      <c r="AH102" s="493">
        <v>199.51345976080398</v>
      </c>
      <c r="AI102" s="493">
        <v>175.79908675798742</v>
      </c>
    </row>
    <row r="103" spans="2:64" outlineLevel="1">
      <c r="B103" t="str">
        <f t="shared" si="9"/>
        <v>e-hydrogen (Solid oxide) - Finance cost - Europe - USD/ton fuel</v>
      </c>
      <c r="C103" t="str">
        <f>C82</f>
        <v>e-hydrogen (Solid oxide)</v>
      </c>
      <c r="D103" t="s">
        <v>1366</v>
      </c>
      <c r="E103" t="s">
        <v>720</v>
      </c>
      <c r="F103" t="s">
        <v>1353</v>
      </c>
      <c r="G103" s="487" t="str">
        <f t="shared" si="12"/>
        <v>e-hydrogen (Solid oxide)EuropeFinance cost</v>
      </c>
      <c r="H103" s="493">
        <v>891.46137460650891</v>
      </c>
      <c r="I103" s="493">
        <v>860.11424894709148</v>
      </c>
      <c r="J103" s="493">
        <v>828.76712328767417</v>
      </c>
      <c r="K103" s="493">
        <v>798.53349084803847</v>
      </c>
      <c r="L103" s="493">
        <v>768.29985840840277</v>
      </c>
      <c r="M103" s="493">
        <v>738.06622596876707</v>
      </c>
      <c r="N103" s="493">
        <v>707.83259352913137</v>
      </c>
      <c r="O103" s="493">
        <v>677.59896108949567</v>
      </c>
      <c r="P103" s="493">
        <v>651.10716811079658</v>
      </c>
      <c r="Q103" s="493">
        <v>624.61537513210385</v>
      </c>
      <c r="R103" s="493">
        <v>598.12358215341123</v>
      </c>
      <c r="S103" s="493">
        <v>571.63178917472487</v>
      </c>
      <c r="T103" s="493">
        <v>545.13999619603226</v>
      </c>
      <c r="U103" s="493">
        <v>519.60029869779714</v>
      </c>
      <c r="V103" s="493">
        <v>494.06060119955572</v>
      </c>
      <c r="W103" s="493">
        <v>468.5209037013143</v>
      </c>
      <c r="X103" s="493">
        <v>442.98120620307924</v>
      </c>
      <c r="Y103" s="493">
        <v>417.44150870483782</v>
      </c>
      <c r="Z103" s="493">
        <v>392.8273973182869</v>
      </c>
      <c r="AA103" s="493">
        <v>368.2132859317295</v>
      </c>
      <c r="AB103" s="493">
        <v>343.59917454517858</v>
      </c>
      <c r="AC103" s="493">
        <v>318.98506315862767</v>
      </c>
      <c r="AD103" s="493">
        <v>294.37095177207027</v>
      </c>
      <c r="AE103" s="493">
        <v>270.65657876925371</v>
      </c>
      <c r="AF103" s="493">
        <v>246.94220576643716</v>
      </c>
      <c r="AG103" s="493">
        <v>223.22783276362057</v>
      </c>
      <c r="AH103" s="493">
        <v>199.51345976080398</v>
      </c>
      <c r="AI103" s="493">
        <v>175.79908675798742</v>
      </c>
    </row>
    <row r="104" spans="2:64" outlineLevel="1">
      <c r="B104" t="str">
        <f t="shared" si="9"/>
        <v>e-hydrogen (Solid oxide) - Finance cost - Middle East - USD/ton fuel</v>
      </c>
      <c r="C104" t="str">
        <f>C82</f>
        <v>e-hydrogen (Solid oxide)</v>
      </c>
      <c r="D104" t="s">
        <v>1366</v>
      </c>
      <c r="E104" t="s">
        <v>826</v>
      </c>
      <c r="F104" t="s">
        <v>1353</v>
      </c>
      <c r="G104" s="487" t="str">
        <f t="shared" si="12"/>
        <v>e-hydrogen (Solid oxide)Middle EastFinance cost</v>
      </c>
      <c r="H104" s="493">
        <v>891.46137460650891</v>
      </c>
      <c r="I104" s="493">
        <v>860.11424894709148</v>
      </c>
      <c r="J104" s="493">
        <v>828.76712328767417</v>
      </c>
      <c r="K104" s="493">
        <v>798.53349084803847</v>
      </c>
      <c r="L104" s="493">
        <v>768.29985840840277</v>
      </c>
      <c r="M104" s="493">
        <v>738.06622596876707</v>
      </c>
      <c r="N104" s="493">
        <v>707.83259352913137</v>
      </c>
      <c r="O104" s="493">
        <v>677.59896108949567</v>
      </c>
      <c r="P104" s="493">
        <v>651.10716811079658</v>
      </c>
      <c r="Q104" s="493">
        <v>624.61537513210385</v>
      </c>
      <c r="R104" s="493">
        <v>598.12358215341123</v>
      </c>
      <c r="S104" s="493">
        <v>571.63178917472487</v>
      </c>
      <c r="T104" s="493">
        <v>545.13999619603226</v>
      </c>
      <c r="U104" s="493">
        <v>519.60029869779714</v>
      </c>
      <c r="V104" s="493">
        <v>494.06060119955572</v>
      </c>
      <c r="W104" s="493">
        <v>468.5209037013143</v>
      </c>
      <c r="X104" s="493">
        <v>442.98120620307924</v>
      </c>
      <c r="Y104" s="493">
        <v>417.44150870483782</v>
      </c>
      <c r="Z104" s="493">
        <v>392.8273973182869</v>
      </c>
      <c r="AA104" s="493">
        <v>368.2132859317295</v>
      </c>
      <c r="AB104" s="493">
        <v>343.59917454517858</v>
      </c>
      <c r="AC104" s="493">
        <v>318.98506315862767</v>
      </c>
      <c r="AD104" s="493">
        <v>294.37095177207027</v>
      </c>
      <c r="AE104" s="493">
        <v>270.65657876925371</v>
      </c>
      <c r="AF104" s="493">
        <v>246.94220576643716</v>
      </c>
      <c r="AG104" s="493">
        <v>223.22783276362057</v>
      </c>
      <c r="AH104" s="493">
        <v>199.51345976080398</v>
      </c>
      <c r="AI104" s="493">
        <v>175.79908675798742</v>
      </c>
    </row>
    <row r="105" spans="2:64" ht="15" outlineLevel="1" thickBot="1">
      <c r="B105" t="str">
        <f t="shared" si="9"/>
        <v/>
      </c>
      <c r="G105" s="487" t="str">
        <f t="shared" si="12"/>
        <v/>
      </c>
      <c r="H105" s="498"/>
    </row>
    <row r="106" spans="2:64" ht="15" outlineLevel="1">
      <c r="B106" t="str">
        <f t="shared" si="9"/>
        <v>e-hydrogen (Solid oxide) - Energy cost including feedstock energy cost - Africa - USD/ton fuel</v>
      </c>
      <c r="C106" s="494" t="str">
        <f>C82</f>
        <v>e-hydrogen (Solid oxide)</v>
      </c>
      <c r="D106" s="494" t="s">
        <v>1367</v>
      </c>
      <c r="E106" s="494" t="s">
        <v>838</v>
      </c>
      <c r="F106" s="494" t="s">
        <v>1353</v>
      </c>
      <c r="G106" s="487" t="str">
        <f t="shared" si="12"/>
        <v>e-hydrogen (Solid oxide)AfricaEnergy cost including feedstock energy cost</v>
      </c>
      <c r="H106" s="495">
        <v>2588.9287063028064</v>
      </c>
      <c r="I106" s="495">
        <v>2276.192451717739</v>
      </c>
      <c r="J106" s="495">
        <v>1965.77856467534</v>
      </c>
      <c r="K106" s="495">
        <v>1874.5729013108719</v>
      </c>
      <c r="L106" s="495">
        <v>1784.0024108327877</v>
      </c>
      <c r="M106" s="495">
        <v>1694.0670932410824</v>
      </c>
      <c r="N106" s="495">
        <v>1604.7669485357389</v>
      </c>
      <c r="O106" s="495">
        <v>1516.1019767167986</v>
      </c>
      <c r="P106" s="495">
        <v>1464.492375541203</v>
      </c>
      <c r="Q106" s="495">
        <v>1413.2306341636806</v>
      </c>
      <c r="R106" s="495">
        <v>1362.3167525842139</v>
      </c>
      <c r="S106" s="495">
        <v>1311.750730802838</v>
      </c>
      <c r="T106" s="495">
        <v>1261.5325688195401</v>
      </c>
      <c r="U106" s="495">
        <v>1235.5794195397884</v>
      </c>
      <c r="V106" s="495">
        <v>1209.7869106465225</v>
      </c>
      <c r="W106" s="495">
        <v>1184.155042139736</v>
      </c>
      <c r="X106" s="495">
        <v>1158.6838140194304</v>
      </c>
      <c r="Y106" s="495">
        <v>1133.373226285617</v>
      </c>
      <c r="Z106" s="495">
        <v>1107.7163967847878</v>
      </c>
      <c r="AA106" s="495">
        <v>1082.2216302766769</v>
      </c>
      <c r="AB106" s="495">
        <v>1056.8889267612767</v>
      </c>
      <c r="AC106" s="495">
        <v>1031.7182862386062</v>
      </c>
      <c r="AD106" s="495">
        <v>1006.709708708651</v>
      </c>
      <c r="AE106" s="495">
        <v>992.61384025706548</v>
      </c>
      <c r="AF106" s="495">
        <v>978.59601473603675</v>
      </c>
      <c r="AG106" s="495">
        <v>964.6562321455558</v>
      </c>
      <c r="AH106" s="495">
        <v>950.79449248562696</v>
      </c>
      <c r="AI106" s="495">
        <v>937.01079575625499</v>
      </c>
      <c r="AK106" s="499" t="b">
        <f t="shared" ref="AK106:BL106" si="14">H89+H92+H95+H106+H117=H83</f>
        <v>1</v>
      </c>
      <c r="AL106" s="500" t="b">
        <f t="shared" si="14"/>
        <v>1</v>
      </c>
      <c r="AM106" s="500" t="b">
        <f t="shared" si="14"/>
        <v>1</v>
      </c>
      <c r="AN106" s="500" t="b">
        <f t="shared" si="14"/>
        <v>1</v>
      </c>
      <c r="AO106" s="500" t="b">
        <f t="shared" si="14"/>
        <v>1</v>
      </c>
      <c r="AP106" s="500" t="b">
        <f t="shared" si="14"/>
        <v>1</v>
      </c>
      <c r="AQ106" s="500" t="b">
        <f t="shared" si="14"/>
        <v>1</v>
      </c>
      <c r="AR106" s="500" t="b">
        <f t="shared" si="14"/>
        <v>1</v>
      </c>
      <c r="AS106" s="500" t="b">
        <f t="shared" si="14"/>
        <v>1</v>
      </c>
      <c r="AT106" s="500" t="b">
        <f t="shared" si="14"/>
        <v>1</v>
      </c>
      <c r="AU106" s="500" t="b">
        <f t="shared" si="14"/>
        <v>1</v>
      </c>
      <c r="AV106" s="500" t="b">
        <f t="shared" si="14"/>
        <v>1</v>
      </c>
      <c r="AW106" s="500" t="b">
        <f t="shared" si="14"/>
        <v>1</v>
      </c>
      <c r="AX106" s="500" t="b">
        <f t="shared" si="14"/>
        <v>1</v>
      </c>
      <c r="AY106" s="500" t="b">
        <f t="shared" si="14"/>
        <v>1</v>
      </c>
      <c r="AZ106" s="500" t="b">
        <f t="shared" si="14"/>
        <v>1</v>
      </c>
      <c r="BA106" s="500" t="b">
        <f t="shared" si="14"/>
        <v>1</v>
      </c>
      <c r="BB106" s="500" t="b">
        <f t="shared" si="14"/>
        <v>1</v>
      </c>
      <c r="BC106" s="500" t="b">
        <f t="shared" si="14"/>
        <v>1</v>
      </c>
      <c r="BD106" s="500" t="b">
        <f t="shared" si="14"/>
        <v>1</v>
      </c>
      <c r="BE106" s="500" t="b">
        <f t="shared" si="14"/>
        <v>1</v>
      </c>
      <c r="BF106" s="500" t="b">
        <f t="shared" si="14"/>
        <v>1</v>
      </c>
      <c r="BG106" s="500" t="b">
        <f t="shared" si="14"/>
        <v>1</v>
      </c>
      <c r="BH106" s="500" t="b">
        <f t="shared" si="14"/>
        <v>1</v>
      </c>
      <c r="BI106" s="500" t="b">
        <f t="shared" si="14"/>
        <v>1</v>
      </c>
      <c r="BJ106" s="500" t="b">
        <f t="shared" si="14"/>
        <v>1</v>
      </c>
      <c r="BK106" s="500" t="b">
        <f t="shared" si="14"/>
        <v>1</v>
      </c>
      <c r="BL106" s="501" t="b">
        <f t="shared" si="14"/>
        <v>1</v>
      </c>
    </row>
    <row r="107" spans="2:64" ht="15" outlineLevel="1">
      <c r="B107" t="str">
        <f t="shared" si="9"/>
        <v>e-hydrogen (Solid oxide) - Energy cost including feedstock energy cost - Americas - USD/ton fuel</v>
      </c>
      <c r="C107" s="22" t="str">
        <f>C82</f>
        <v>e-hydrogen (Solid oxide)</v>
      </c>
      <c r="D107" s="22" t="s">
        <v>1367</v>
      </c>
      <c r="E107" s="22" t="s">
        <v>731</v>
      </c>
      <c r="F107" s="22" t="s">
        <v>1353</v>
      </c>
      <c r="G107" s="487" t="str">
        <f t="shared" si="12"/>
        <v>e-hydrogen (Solid oxide)AmericasEnergy cost including feedstock energy cost</v>
      </c>
      <c r="H107" s="496">
        <v>1626.6624296508014</v>
      </c>
      <c r="I107" s="496">
        <v>1586.8920318699479</v>
      </c>
      <c r="J107" s="496">
        <v>1547.3789656238314</v>
      </c>
      <c r="K107" s="496">
        <v>1485.2415642775391</v>
      </c>
      <c r="L107" s="496">
        <v>1423.5309409821973</v>
      </c>
      <c r="M107" s="496">
        <v>1362.2470957378021</v>
      </c>
      <c r="N107" s="496">
        <v>1301.3900285443751</v>
      </c>
      <c r="O107" s="496">
        <v>1240.9597394018786</v>
      </c>
      <c r="P107" s="496">
        <v>1209.6949626391079</v>
      </c>
      <c r="Q107" s="496">
        <v>1178.6316839159529</v>
      </c>
      <c r="R107" s="496">
        <v>1147.7699032324153</v>
      </c>
      <c r="S107" s="496">
        <v>1117.1096205884919</v>
      </c>
      <c r="T107" s="496">
        <v>1086.6508359841794</v>
      </c>
      <c r="U107" s="496">
        <v>1061.408903785305</v>
      </c>
      <c r="V107" s="496">
        <v>1036.3272267626667</v>
      </c>
      <c r="W107" s="496">
        <v>1011.4058049162624</v>
      </c>
      <c r="X107" s="496">
        <v>986.64463824609879</v>
      </c>
      <c r="Y107" s="496">
        <v>962.0437267521703</v>
      </c>
      <c r="Z107" s="496">
        <v>950.05556167518864</v>
      </c>
      <c r="AA107" s="496">
        <v>938.13073928594736</v>
      </c>
      <c r="AB107" s="496">
        <v>926.2692595844502</v>
      </c>
      <c r="AC107" s="496">
        <v>914.4711225706925</v>
      </c>
      <c r="AD107" s="496">
        <v>902.73632824467643</v>
      </c>
      <c r="AE107" s="496">
        <v>893.14293615721283</v>
      </c>
      <c r="AF107" s="496">
        <v>883.5964293429322</v>
      </c>
      <c r="AG107" s="496">
        <v>874.09680780183226</v>
      </c>
      <c r="AH107" s="496">
        <v>864.64407153391312</v>
      </c>
      <c r="AI107" s="496">
        <v>855.23822053917456</v>
      </c>
      <c r="AK107" s="502" t="b">
        <f t="shared" ref="AK107:BL107" si="15">H89+H92+H96+H107+H117=H84</f>
        <v>1</v>
      </c>
      <c r="AL107" s="106" t="b">
        <f t="shared" si="15"/>
        <v>1</v>
      </c>
      <c r="AM107" s="106" t="b">
        <f t="shared" si="15"/>
        <v>1</v>
      </c>
      <c r="AN107" s="106" t="b">
        <f t="shared" si="15"/>
        <v>1</v>
      </c>
      <c r="AO107" s="106" t="b">
        <f t="shared" si="15"/>
        <v>1</v>
      </c>
      <c r="AP107" s="106" t="b">
        <f t="shared" si="15"/>
        <v>1</v>
      </c>
      <c r="AQ107" s="106" t="b">
        <f t="shared" si="15"/>
        <v>1</v>
      </c>
      <c r="AR107" s="106" t="b">
        <f t="shared" si="15"/>
        <v>1</v>
      </c>
      <c r="AS107" s="106" t="b">
        <f t="shared" si="15"/>
        <v>1</v>
      </c>
      <c r="AT107" s="106" t="b">
        <f t="shared" si="15"/>
        <v>1</v>
      </c>
      <c r="AU107" s="106" t="b">
        <f t="shared" si="15"/>
        <v>1</v>
      </c>
      <c r="AV107" s="106" t="b">
        <f t="shared" si="15"/>
        <v>1</v>
      </c>
      <c r="AW107" s="106" t="b">
        <f t="shared" si="15"/>
        <v>1</v>
      </c>
      <c r="AX107" s="106" t="b">
        <f t="shared" si="15"/>
        <v>1</v>
      </c>
      <c r="AY107" s="106" t="b">
        <f t="shared" si="15"/>
        <v>1</v>
      </c>
      <c r="AZ107" s="106" t="b">
        <f t="shared" si="15"/>
        <v>0</v>
      </c>
      <c r="BA107" s="106" t="b">
        <f t="shared" si="15"/>
        <v>1</v>
      </c>
      <c r="BB107" s="106" t="b">
        <f t="shared" si="15"/>
        <v>1</v>
      </c>
      <c r="BC107" s="106" t="b">
        <f t="shared" si="15"/>
        <v>1</v>
      </c>
      <c r="BD107" s="106" t="b">
        <f t="shared" si="15"/>
        <v>1</v>
      </c>
      <c r="BE107" s="106" t="b">
        <f t="shared" si="15"/>
        <v>1</v>
      </c>
      <c r="BF107" s="106" t="b">
        <f t="shared" si="15"/>
        <v>1</v>
      </c>
      <c r="BG107" s="106" t="b">
        <f t="shared" si="15"/>
        <v>1</v>
      </c>
      <c r="BH107" s="106" t="b">
        <f t="shared" si="15"/>
        <v>1</v>
      </c>
      <c r="BI107" s="106" t="b">
        <f t="shared" si="15"/>
        <v>1</v>
      </c>
      <c r="BJ107" s="106" t="b">
        <f t="shared" si="15"/>
        <v>1</v>
      </c>
      <c r="BK107" s="106" t="b">
        <f t="shared" si="15"/>
        <v>1</v>
      </c>
      <c r="BL107" s="503" t="b">
        <f t="shared" si="15"/>
        <v>1</v>
      </c>
    </row>
    <row r="108" spans="2:64" ht="15" outlineLevel="1">
      <c r="B108" t="str">
        <f t="shared" si="9"/>
        <v>e-hydrogen (Solid oxide) - Energy cost including feedstock energy cost - Asia - USD/ton fuel</v>
      </c>
      <c r="C108" s="22" t="str">
        <f>C82</f>
        <v>e-hydrogen (Solid oxide)</v>
      </c>
      <c r="D108" s="22" t="s">
        <v>1367</v>
      </c>
      <c r="E108" s="22" t="s">
        <v>750</v>
      </c>
      <c r="F108" s="22" t="s">
        <v>1353</v>
      </c>
      <c r="G108" s="487" t="str">
        <f t="shared" si="12"/>
        <v>e-hydrogen (Solid oxide)AsiaEnergy cost including feedstock energy cost</v>
      </c>
      <c r="H108" s="496">
        <v>2879.4268684472977</v>
      </c>
      <c r="I108" s="496">
        <v>2616.3676719083792</v>
      </c>
      <c r="J108" s="496">
        <v>2355.241388890081</v>
      </c>
      <c r="K108" s="496">
        <v>2256.6218695880475</v>
      </c>
      <c r="L108" s="496">
        <v>2158.6825793904818</v>
      </c>
      <c r="M108" s="496">
        <v>2061.4235182972989</v>
      </c>
      <c r="N108" s="496">
        <v>1964.8446863085412</v>
      </c>
      <c r="O108" s="496">
        <v>1868.9460834242511</v>
      </c>
      <c r="P108" s="496">
        <v>1802.0544838040184</v>
      </c>
      <c r="Q108" s="496">
        <v>1735.6164987611448</v>
      </c>
      <c r="R108" s="496">
        <v>1669.6321282956326</v>
      </c>
      <c r="S108" s="496">
        <v>1604.101372407438</v>
      </c>
      <c r="T108" s="496">
        <v>1539.0242310965832</v>
      </c>
      <c r="U108" s="496">
        <v>1503.3658040322432</v>
      </c>
      <c r="V108" s="496">
        <v>1467.9336509934164</v>
      </c>
      <c r="W108" s="496">
        <v>1432.7277719801166</v>
      </c>
      <c r="X108" s="496">
        <v>1397.7481669923204</v>
      </c>
      <c r="Y108" s="496">
        <v>1362.9948360300589</v>
      </c>
      <c r="Z108" s="496">
        <v>1327.1963558395476</v>
      </c>
      <c r="AA108" s="496">
        <v>1291.6302509965878</v>
      </c>
      <c r="AB108" s="496">
        <v>1256.2965215011627</v>
      </c>
      <c r="AC108" s="496">
        <v>1221.195167353291</v>
      </c>
      <c r="AD108" s="496">
        <v>1186.3261885529537</v>
      </c>
      <c r="AE108" s="496">
        <v>1168.0553420325177</v>
      </c>
      <c r="AF108" s="496">
        <v>1149.8890476729646</v>
      </c>
      <c r="AG108" s="496">
        <v>1131.8273054743036</v>
      </c>
      <c r="AH108" s="496">
        <v>1113.8701154365301</v>
      </c>
      <c r="AI108" s="496">
        <v>1096.0174775596397</v>
      </c>
      <c r="AK108" s="502" t="b">
        <f t="shared" ref="AK108:BL108" si="16">H89+H92+H97+H108+H117=H85</f>
        <v>1</v>
      </c>
      <c r="AL108" s="106" t="b">
        <f t="shared" si="16"/>
        <v>1</v>
      </c>
      <c r="AM108" s="106" t="b">
        <f t="shared" si="16"/>
        <v>1</v>
      </c>
      <c r="AN108" s="106" t="b">
        <f t="shared" si="16"/>
        <v>1</v>
      </c>
      <c r="AO108" s="106" t="b">
        <f t="shared" si="16"/>
        <v>1</v>
      </c>
      <c r="AP108" s="106" t="b">
        <f t="shared" si="16"/>
        <v>1</v>
      </c>
      <c r="AQ108" s="106" t="b">
        <f t="shared" si="16"/>
        <v>1</v>
      </c>
      <c r="AR108" s="106" t="b">
        <f t="shared" si="16"/>
        <v>1</v>
      </c>
      <c r="AS108" s="106" t="b">
        <f t="shared" si="16"/>
        <v>1</v>
      </c>
      <c r="AT108" s="106" t="b">
        <f t="shared" si="16"/>
        <v>1</v>
      </c>
      <c r="AU108" s="106" t="b">
        <f t="shared" si="16"/>
        <v>1</v>
      </c>
      <c r="AV108" s="106" t="b">
        <f t="shared" si="16"/>
        <v>1</v>
      </c>
      <c r="AW108" s="106" t="b">
        <f t="shared" si="16"/>
        <v>1</v>
      </c>
      <c r="AX108" s="106" t="b">
        <f t="shared" si="16"/>
        <v>1</v>
      </c>
      <c r="AY108" s="106" t="b">
        <f t="shared" si="16"/>
        <v>1</v>
      </c>
      <c r="AZ108" s="106" t="b">
        <f t="shared" si="16"/>
        <v>1</v>
      </c>
      <c r="BA108" s="106" t="b">
        <f t="shared" si="16"/>
        <v>1</v>
      </c>
      <c r="BB108" s="106" t="b">
        <f t="shared" si="16"/>
        <v>1</v>
      </c>
      <c r="BC108" s="106" t="b">
        <f t="shared" si="16"/>
        <v>1</v>
      </c>
      <c r="BD108" s="106" t="b">
        <f t="shared" si="16"/>
        <v>1</v>
      </c>
      <c r="BE108" s="106" t="b">
        <f t="shared" si="16"/>
        <v>1</v>
      </c>
      <c r="BF108" s="106" t="b">
        <f t="shared" si="16"/>
        <v>1</v>
      </c>
      <c r="BG108" s="106" t="b">
        <f t="shared" si="16"/>
        <v>1</v>
      </c>
      <c r="BH108" s="106" t="b">
        <f t="shared" si="16"/>
        <v>1</v>
      </c>
      <c r="BI108" s="106" t="b">
        <f t="shared" si="16"/>
        <v>1</v>
      </c>
      <c r="BJ108" s="106" t="b">
        <f t="shared" si="16"/>
        <v>1</v>
      </c>
      <c r="BK108" s="106" t="b">
        <f t="shared" si="16"/>
        <v>1</v>
      </c>
      <c r="BL108" s="503" t="b">
        <f t="shared" si="16"/>
        <v>1</v>
      </c>
    </row>
    <row r="109" spans="2:64" ht="15" outlineLevel="1">
      <c r="B109" t="str">
        <f t="shared" si="9"/>
        <v>e-hydrogen (Solid oxide) - Energy cost including feedstock energy cost - Europe - USD/ton fuel</v>
      </c>
      <c r="C109" s="22" t="str">
        <f>C82</f>
        <v>e-hydrogen (Solid oxide)</v>
      </c>
      <c r="D109" s="22" t="s">
        <v>1367</v>
      </c>
      <c r="E109" s="22" t="s">
        <v>720</v>
      </c>
      <c r="F109" s="22" t="s">
        <v>1353</v>
      </c>
      <c r="G109" s="487" t="str">
        <f t="shared" si="12"/>
        <v>e-hydrogen (Solid oxide)EuropeEnergy cost including feedstock energy cost</v>
      </c>
      <c r="H109" s="496">
        <v>2143.5773334609944</v>
      </c>
      <c r="I109" s="496">
        <v>2043.355382244687</v>
      </c>
      <c r="J109" s="496">
        <v>1943.8391908587546</v>
      </c>
      <c r="K109" s="496">
        <v>1862.6991905394541</v>
      </c>
      <c r="L109" s="496">
        <v>1782.1186810951563</v>
      </c>
      <c r="M109" s="496">
        <v>1702.0976625258966</v>
      </c>
      <c r="N109" s="496">
        <v>1622.6361348316375</v>
      </c>
      <c r="O109" s="496">
        <v>1543.7340980124209</v>
      </c>
      <c r="P109" s="496">
        <v>1507.8198016600793</v>
      </c>
      <c r="Q109" s="496">
        <v>1472.1335842985702</v>
      </c>
      <c r="R109" s="496">
        <v>1436.6754459278568</v>
      </c>
      <c r="S109" s="496">
        <v>1401.4453865479445</v>
      </c>
      <c r="T109" s="496">
        <v>1366.4434061588452</v>
      </c>
      <c r="U109" s="496">
        <v>1343.6603658131708</v>
      </c>
      <c r="V109" s="496">
        <v>1321.0109290335472</v>
      </c>
      <c r="W109" s="496">
        <v>1298.4950958199738</v>
      </c>
      <c r="X109" s="496">
        <v>1276.1128661724465</v>
      </c>
      <c r="Y109" s="496">
        <v>1253.864240090958</v>
      </c>
      <c r="Z109" s="496">
        <v>1230.6318883099702</v>
      </c>
      <c r="AA109" s="496">
        <v>1207.5397694585297</v>
      </c>
      <c r="AB109" s="496">
        <v>1184.5878835366475</v>
      </c>
      <c r="AC109" s="496">
        <v>1161.7762305443143</v>
      </c>
      <c r="AD109" s="496">
        <v>1139.1048104815393</v>
      </c>
      <c r="AE109" s="496">
        <v>1121.5619624398041</v>
      </c>
      <c r="AF109" s="496">
        <v>1104.1194993357353</v>
      </c>
      <c r="AG109" s="496">
        <v>1086.7774211693418</v>
      </c>
      <c r="AH109" s="496">
        <v>1069.5357279406194</v>
      </c>
      <c r="AI109" s="496">
        <v>1052.3944196495631</v>
      </c>
      <c r="AK109" s="502" t="b">
        <f t="shared" ref="AK109:BL109" si="17">H89+H92+H98+H109+H117=H86</f>
        <v>1</v>
      </c>
      <c r="AL109" s="106" t="b">
        <f t="shared" si="17"/>
        <v>1</v>
      </c>
      <c r="AM109" s="106" t="b">
        <f t="shared" si="17"/>
        <v>1</v>
      </c>
      <c r="AN109" s="106" t="b">
        <f t="shared" si="17"/>
        <v>1</v>
      </c>
      <c r="AO109" s="106" t="b">
        <f t="shared" si="17"/>
        <v>1</v>
      </c>
      <c r="AP109" s="106" t="b">
        <f t="shared" si="17"/>
        <v>1</v>
      </c>
      <c r="AQ109" s="106" t="b">
        <f t="shared" si="17"/>
        <v>1</v>
      </c>
      <c r="AR109" s="106" t="b">
        <f t="shared" si="17"/>
        <v>1</v>
      </c>
      <c r="AS109" s="106" t="b">
        <f t="shared" si="17"/>
        <v>1</v>
      </c>
      <c r="AT109" s="106" t="b">
        <f t="shared" si="17"/>
        <v>1</v>
      </c>
      <c r="AU109" s="106" t="b">
        <f t="shared" si="17"/>
        <v>1</v>
      </c>
      <c r="AV109" s="106" t="b">
        <f t="shared" si="17"/>
        <v>1</v>
      </c>
      <c r="AW109" s="106" t="b">
        <f t="shared" si="17"/>
        <v>1</v>
      </c>
      <c r="AX109" s="106" t="b">
        <f t="shared" si="17"/>
        <v>1</v>
      </c>
      <c r="AY109" s="106" t="b">
        <f t="shared" si="17"/>
        <v>1</v>
      </c>
      <c r="AZ109" s="106" t="b">
        <f t="shared" si="17"/>
        <v>1</v>
      </c>
      <c r="BA109" s="106" t="b">
        <f t="shared" si="17"/>
        <v>1</v>
      </c>
      <c r="BB109" s="106" t="b">
        <f t="shared" si="17"/>
        <v>1</v>
      </c>
      <c r="BC109" s="106" t="b">
        <f t="shared" si="17"/>
        <v>1</v>
      </c>
      <c r="BD109" s="106" t="b">
        <f t="shared" si="17"/>
        <v>1</v>
      </c>
      <c r="BE109" s="106" t="b">
        <f t="shared" si="17"/>
        <v>1</v>
      </c>
      <c r="BF109" s="106" t="b">
        <f t="shared" si="17"/>
        <v>1</v>
      </c>
      <c r="BG109" s="106" t="b">
        <f t="shared" si="17"/>
        <v>1</v>
      </c>
      <c r="BH109" s="106" t="b">
        <f t="shared" si="17"/>
        <v>1</v>
      </c>
      <c r="BI109" s="106" t="b">
        <f t="shared" si="17"/>
        <v>1</v>
      </c>
      <c r="BJ109" s="106" t="b">
        <f t="shared" si="17"/>
        <v>1</v>
      </c>
      <c r="BK109" s="106" t="b">
        <f t="shared" si="17"/>
        <v>1</v>
      </c>
      <c r="BL109" s="503" t="b">
        <f t="shared" si="17"/>
        <v>1</v>
      </c>
    </row>
    <row r="110" spans="2:64" ht="15.75" outlineLevel="1" thickBot="1">
      <c r="B110" t="str">
        <f t="shared" si="9"/>
        <v>e-hydrogen (Solid oxide) - Energy cost including feedstock energy cost - Middle East - USD/ton fuel</v>
      </c>
      <c r="C110" s="92" t="str">
        <f>C82</f>
        <v>e-hydrogen (Solid oxide)</v>
      </c>
      <c r="D110" s="92" t="s">
        <v>1367</v>
      </c>
      <c r="E110" s="92" t="s">
        <v>826</v>
      </c>
      <c r="F110" s="92" t="s">
        <v>1353</v>
      </c>
      <c r="G110" s="487" t="str">
        <f t="shared" si="12"/>
        <v>e-hydrogen (Solid oxide)Middle EastEnergy cost including feedstock energy cost</v>
      </c>
      <c r="H110" s="497">
        <v>1641.4330786472874</v>
      </c>
      <c r="I110" s="497">
        <v>1563.0078396145759</v>
      </c>
      <c r="J110" s="497">
        <v>1485.1359216189667</v>
      </c>
      <c r="K110" s="497">
        <v>1432.1168295466196</v>
      </c>
      <c r="L110" s="497">
        <v>1379.4571694754702</v>
      </c>
      <c r="M110" s="497">
        <v>1327.1569414055152</v>
      </c>
      <c r="N110" s="497">
        <v>1275.2161453367562</v>
      </c>
      <c r="O110" s="497">
        <v>1223.6347812691949</v>
      </c>
      <c r="P110" s="497">
        <v>1186.215120276881</v>
      </c>
      <c r="Q110" s="497">
        <v>1149.0441149179419</v>
      </c>
      <c r="R110" s="497">
        <v>1112.1217651923596</v>
      </c>
      <c r="S110" s="497">
        <v>1075.4480711001511</v>
      </c>
      <c r="T110" s="497">
        <v>1039.0230326413075</v>
      </c>
      <c r="U110" s="497">
        <v>1018.9648778976681</v>
      </c>
      <c r="V110" s="497">
        <v>999.02904245415289</v>
      </c>
      <c r="W110" s="497">
        <v>979.21552631076952</v>
      </c>
      <c r="X110" s="497">
        <v>959.52432946750571</v>
      </c>
      <c r="Y110" s="497">
        <v>939.95545192436759</v>
      </c>
      <c r="Z110" s="497">
        <v>915.64669747023243</v>
      </c>
      <c r="AA110" s="497">
        <v>891.49532329988426</v>
      </c>
      <c r="AB110" s="497">
        <v>867.50132941331481</v>
      </c>
      <c r="AC110" s="497">
        <v>843.66471581053372</v>
      </c>
      <c r="AD110" s="497">
        <v>819.98548249152907</v>
      </c>
      <c r="AE110" s="497">
        <v>807.35646572909013</v>
      </c>
      <c r="AF110" s="497">
        <v>794.79971708549533</v>
      </c>
      <c r="AG110" s="497">
        <v>782.31523656074</v>
      </c>
      <c r="AH110" s="497">
        <v>769.90302415482654</v>
      </c>
      <c r="AI110" s="497">
        <v>757.5630798677571</v>
      </c>
      <c r="AK110" s="504" t="b">
        <f t="shared" ref="AK110:BL110" si="18">H89+H92+H99+H110+H117=H87</f>
        <v>1</v>
      </c>
      <c r="AL110" s="505" t="b">
        <f t="shared" si="18"/>
        <v>1</v>
      </c>
      <c r="AM110" s="505" t="b">
        <f t="shared" si="18"/>
        <v>1</v>
      </c>
      <c r="AN110" s="505" t="b">
        <f t="shared" si="18"/>
        <v>1</v>
      </c>
      <c r="AO110" s="505" t="b">
        <f t="shared" si="18"/>
        <v>1</v>
      </c>
      <c r="AP110" s="505" t="b">
        <f t="shared" si="18"/>
        <v>1</v>
      </c>
      <c r="AQ110" s="505" t="b">
        <f t="shared" si="18"/>
        <v>1</v>
      </c>
      <c r="AR110" s="505" t="b">
        <f t="shared" si="18"/>
        <v>1</v>
      </c>
      <c r="AS110" s="505" t="b">
        <f t="shared" si="18"/>
        <v>1</v>
      </c>
      <c r="AT110" s="505" t="b">
        <f t="shared" si="18"/>
        <v>1</v>
      </c>
      <c r="AU110" s="505" t="b">
        <f t="shared" si="18"/>
        <v>1</v>
      </c>
      <c r="AV110" s="505" t="b">
        <f t="shared" si="18"/>
        <v>1</v>
      </c>
      <c r="AW110" s="505" t="b">
        <f t="shared" si="18"/>
        <v>1</v>
      </c>
      <c r="AX110" s="505" t="b">
        <f t="shared" si="18"/>
        <v>1</v>
      </c>
      <c r="AY110" s="505" t="b">
        <f t="shared" si="18"/>
        <v>1</v>
      </c>
      <c r="AZ110" s="505" t="b">
        <f t="shared" si="18"/>
        <v>1</v>
      </c>
      <c r="BA110" s="505" t="b">
        <f t="shared" si="18"/>
        <v>1</v>
      </c>
      <c r="BB110" s="505" t="b">
        <f t="shared" si="18"/>
        <v>1</v>
      </c>
      <c r="BC110" s="505" t="b">
        <f t="shared" si="18"/>
        <v>1</v>
      </c>
      <c r="BD110" s="505" t="b">
        <f t="shared" si="18"/>
        <v>1</v>
      </c>
      <c r="BE110" s="505" t="b">
        <f t="shared" si="18"/>
        <v>1</v>
      </c>
      <c r="BF110" s="505" t="b">
        <f t="shared" si="18"/>
        <v>1</v>
      </c>
      <c r="BG110" s="505" t="b">
        <f t="shared" si="18"/>
        <v>1</v>
      </c>
      <c r="BH110" s="505" t="b">
        <f t="shared" si="18"/>
        <v>1</v>
      </c>
      <c r="BI110" s="505" t="b">
        <f t="shared" si="18"/>
        <v>1</v>
      </c>
      <c r="BJ110" s="505" t="b">
        <f t="shared" si="18"/>
        <v>1</v>
      </c>
      <c r="BK110" s="505" t="b">
        <f t="shared" si="18"/>
        <v>1</v>
      </c>
      <c r="BL110" s="506" t="b">
        <f t="shared" si="18"/>
        <v>1</v>
      </c>
    </row>
    <row r="111" spans="2:64" outlineLevel="1">
      <c r="B111" t="str">
        <f t="shared" si="9"/>
        <v>e-hydrogen (Solid oxide) - Energy cost - Africa - USD/ton fuel</v>
      </c>
      <c r="C111" t="str">
        <f>C82</f>
        <v>e-hydrogen (Solid oxide)</v>
      </c>
      <c r="D111" t="s">
        <v>1368</v>
      </c>
      <c r="E111" t="s">
        <v>838</v>
      </c>
      <c r="F111" t="s">
        <v>1353</v>
      </c>
      <c r="G111" s="487" t="str">
        <f t="shared" si="12"/>
        <v>e-hydrogen (Solid oxide)AfricaEnergy cost</v>
      </c>
      <c r="H111" s="493">
        <v>2588.9287063028064</v>
      </c>
      <c r="I111" s="493">
        <v>2276.192451717739</v>
      </c>
      <c r="J111" s="493">
        <v>1965.77856467534</v>
      </c>
      <c r="K111" s="493">
        <v>1874.5729013108719</v>
      </c>
      <c r="L111" s="493">
        <v>1784.0024108327877</v>
      </c>
      <c r="M111" s="493">
        <v>1694.0670932410824</v>
      </c>
      <c r="N111" s="493">
        <v>1604.7669485357389</v>
      </c>
      <c r="O111" s="493">
        <v>1516.1019767167986</v>
      </c>
      <c r="P111" s="493">
        <v>1464.492375541203</v>
      </c>
      <c r="Q111" s="493">
        <v>1413.2306341636806</v>
      </c>
      <c r="R111" s="493">
        <v>1362.3167525842139</v>
      </c>
      <c r="S111" s="493">
        <v>1311.750730802838</v>
      </c>
      <c r="T111" s="493">
        <v>1261.5325688195401</v>
      </c>
      <c r="U111" s="493">
        <v>1235.5794195397884</v>
      </c>
      <c r="V111" s="493">
        <v>1209.7869106465225</v>
      </c>
      <c r="W111" s="493">
        <v>1184.155042139736</v>
      </c>
      <c r="X111" s="493">
        <v>1158.6838140194304</v>
      </c>
      <c r="Y111" s="493">
        <v>1133.373226285617</v>
      </c>
      <c r="Z111" s="493">
        <v>1107.7163967847878</v>
      </c>
      <c r="AA111" s="493">
        <v>1082.2216302766769</v>
      </c>
      <c r="AB111" s="493">
        <v>1056.8889267612767</v>
      </c>
      <c r="AC111" s="493">
        <v>1031.7182862386062</v>
      </c>
      <c r="AD111" s="493">
        <v>1006.709708708651</v>
      </c>
      <c r="AE111" s="493">
        <v>992.61384025706548</v>
      </c>
      <c r="AF111" s="493">
        <v>978.59601473603675</v>
      </c>
      <c r="AG111" s="493">
        <v>964.6562321455558</v>
      </c>
      <c r="AH111" s="493">
        <v>950.79449248562696</v>
      </c>
      <c r="AI111" s="493">
        <v>937.01079575625499</v>
      </c>
    </row>
    <row r="112" spans="2:64" outlineLevel="1">
      <c r="B112" t="str">
        <f t="shared" si="9"/>
        <v>e-hydrogen (Solid oxide) - Energy cost - Americas - USD/ton fuel</v>
      </c>
      <c r="C112" t="str">
        <f>C82</f>
        <v>e-hydrogen (Solid oxide)</v>
      </c>
      <c r="D112" t="s">
        <v>1368</v>
      </c>
      <c r="E112" t="s">
        <v>731</v>
      </c>
      <c r="F112" t="s">
        <v>1353</v>
      </c>
      <c r="G112" s="487" t="str">
        <f t="shared" si="12"/>
        <v>e-hydrogen (Solid oxide)AmericasEnergy cost</v>
      </c>
      <c r="H112" s="493">
        <v>1626.6624296508014</v>
      </c>
      <c r="I112" s="493">
        <v>1586.8920318699479</v>
      </c>
      <c r="J112" s="493">
        <v>1547.3789656238314</v>
      </c>
      <c r="K112" s="493">
        <v>1485.2415642775391</v>
      </c>
      <c r="L112" s="493">
        <v>1423.5309409821973</v>
      </c>
      <c r="M112" s="493">
        <v>1362.2470957378021</v>
      </c>
      <c r="N112" s="493">
        <v>1301.3900285443751</v>
      </c>
      <c r="O112" s="493">
        <v>1240.9597394018786</v>
      </c>
      <c r="P112" s="493">
        <v>1209.6949626391079</v>
      </c>
      <c r="Q112" s="493">
        <v>1178.6316839159529</v>
      </c>
      <c r="R112" s="493">
        <v>1147.7699032324153</v>
      </c>
      <c r="S112" s="493">
        <v>1117.1096205884919</v>
      </c>
      <c r="T112" s="493">
        <v>1086.6508359841794</v>
      </c>
      <c r="U112" s="493">
        <v>1061.408903785305</v>
      </c>
      <c r="V112" s="493">
        <v>1036.3272267626667</v>
      </c>
      <c r="W112" s="493">
        <v>1011.4058049162624</v>
      </c>
      <c r="X112" s="493">
        <v>986.64463824609879</v>
      </c>
      <c r="Y112" s="493">
        <v>962.0437267521703</v>
      </c>
      <c r="Z112" s="493">
        <v>950.05556167518864</v>
      </c>
      <c r="AA112" s="493">
        <v>938.13073928594736</v>
      </c>
      <c r="AB112" s="493">
        <v>926.2692595844502</v>
      </c>
      <c r="AC112" s="493">
        <v>914.4711225706925</v>
      </c>
      <c r="AD112" s="493">
        <v>902.73632824467643</v>
      </c>
      <c r="AE112" s="493">
        <v>893.14293615721283</v>
      </c>
      <c r="AF112" s="493">
        <v>883.5964293429322</v>
      </c>
      <c r="AG112" s="493">
        <v>874.09680780183226</v>
      </c>
      <c r="AH112" s="493">
        <v>864.64407153391312</v>
      </c>
      <c r="AI112" s="493">
        <v>855.23822053917456</v>
      </c>
    </row>
    <row r="113" spans="2:35" outlineLevel="1">
      <c r="B113" t="str">
        <f t="shared" si="9"/>
        <v>e-hydrogen (Solid oxide) - Energy cost - Asia - USD/ton fuel</v>
      </c>
      <c r="C113" t="str">
        <f>C82</f>
        <v>e-hydrogen (Solid oxide)</v>
      </c>
      <c r="D113" t="s">
        <v>1368</v>
      </c>
      <c r="E113" t="s">
        <v>750</v>
      </c>
      <c r="F113" t="s">
        <v>1353</v>
      </c>
      <c r="G113" s="487" t="str">
        <f t="shared" si="12"/>
        <v>e-hydrogen (Solid oxide)AsiaEnergy cost</v>
      </c>
      <c r="H113" s="493">
        <v>2879.4268684472977</v>
      </c>
      <c r="I113" s="493">
        <v>2616.3676719083792</v>
      </c>
      <c r="J113" s="493">
        <v>2355.241388890081</v>
      </c>
      <c r="K113" s="493">
        <v>2256.6218695880475</v>
      </c>
      <c r="L113" s="493">
        <v>2158.6825793904818</v>
      </c>
      <c r="M113" s="493">
        <v>2061.4235182972989</v>
      </c>
      <c r="N113" s="493">
        <v>1964.8446863085412</v>
      </c>
      <c r="O113" s="493">
        <v>1868.9460834242511</v>
      </c>
      <c r="P113" s="493">
        <v>1802.0544838040184</v>
      </c>
      <c r="Q113" s="493">
        <v>1735.6164987611448</v>
      </c>
      <c r="R113" s="493">
        <v>1669.6321282956326</v>
      </c>
      <c r="S113" s="493">
        <v>1604.101372407438</v>
      </c>
      <c r="T113" s="493">
        <v>1539.0242310965832</v>
      </c>
      <c r="U113" s="493">
        <v>1503.3658040322432</v>
      </c>
      <c r="V113" s="493">
        <v>1467.9336509934164</v>
      </c>
      <c r="W113" s="493">
        <v>1432.7277719801166</v>
      </c>
      <c r="X113" s="493">
        <v>1397.7481669923204</v>
      </c>
      <c r="Y113" s="493">
        <v>1362.9948360300589</v>
      </c>
      <c r="Z113" s="493">
        <v>1327.1963558395476</v>
      </c>
      <c r="AA113" s="493">
        <v>1291.6302509965878</v>
      </c>
      <c r="AB113" s="493">
        <v>1256.2965215011627</v>
      </c>
      <c r="AC113" s="493">
        <v>1221.195167353291</v>
      </c>
      <c r="AD113" s="493">
        <v>1186.3261885529537</v>
      </c>
      <c r="AE113" s="493">
        <v>1168.0553420325177</v>
      </c>
      <c r="AF113" s="493">
        <v>1149.8890476729646</v>
      </c>
      <c r="AG113" s="493">
        <v>1131.8273054743036</v>
      </c>
      <c r="AH113" s="493">
        <v>1113.8701154365301</v>
      </c>
      <c r="AI113" s="493">
        <v>1096.0174775596397</v>
      </c>
    </row>
    <row r="114" spans="2:35" outlineLevel="1">
      <c r="B114" t="str">
        <f t="shared" si="9"/>
        <v>e-hydrogen (Solid oxide) - Energy cost - Europe - USD/ton fuel</v>
      </c>
      <c r="C114" t="str">
        <f>C82</f>
        <v>e-hydrogen (Solid oxide)</v>
      </c>
      <c r="D114" t="s">
        <v>1368</v>
      </c>
      <c r="E114" t="s">
        <v>720</v>
      </c>
      <c r="F114" t="s">
        <v>1353</v>
      </c>
      <c r="G114" s="487" t="str">
        <f t="shared" si="12"/>
        <v>e-hydrogen (Solid oxide)EuropeEnergy cost</v>
      </c>
      <c r="H114" s="493">
        <v>2143.5773334609944</v>
      </c>
      <c r="I114" s="493">
        <v>2043.355382244687</v>
      </c>
      <c r="J114" s="493">
        <v>1943.8391908587546</v>
      </c>
      <c r="K114" s="493">
        <v>1862.6991905394541</v>
      </c>
      <c r="L114" s="493">
        <v>1782.1186810951563</v>
      </c>
      <c r="M114" s="493">
        <v>1702.0976625258966</v>
      </c>
      <c r="N114" s="493">
        <v>1622.6361348316375</v>
      </c>
      <c r="O114" s="493">
        <v>1543.7340980124209</v>
      </c>
      <c r="P114" s="493">
        <v>1507.8198016600793</v>
      </c>
      <c r="Q114" s="493">
        <v>1472.1335842985702</v>
      </c>
      <c r="R114" s="493">
        <v>1436.6754459278568</v>
      </c>
      <c r="S114" s="493">
        <v>1401.4453865479445</v>
      </c>
      <c r="T114" s="493">
        <v>1366.4434061588452</v>
      </c>
      <c r="U114" s="493">
        <v>1343.6603658131708</v>
      </c>
      <c r="V114" s="493">
        <v>1321.0109290335472</v>
      </c>
      <c r="W114" s="493">
        <v>1298.4950958199738</v>
      </c>
      <c r="X114" s="493">
        <v>1276.1128661724465</v>
      </c>
      <c r="Y114" s="493">
        <v>1253.864240090958</v>
      </c>
      <c r="Z114" s="493">
        <v>1230.6318883099702</v>
      </c>
      <c r="AA114" s="493">
        <v>1207.5397694585297</v>
      </c>
      <c r="AB114" s="493">
        <v>1184.5878835366475</v>
      </c>
      <c r="AC114" s="493">
        <v>1161.7762305443143</v>
      </c>
      <c r="AD114" s="493">
        <v>1139.1048104815393</v>
      </c>
      <c r="AE114" s="493">
        <v>1121.5619624398041</v>
      </c>
      <c r="AF114" s="493">
        <v>1104.1194993357353</v>
      </c>
      <c r="AG114" s="493">
        <v>1086.7774211693418</v>
      </c>
      <c r="AH114" s="493">
        <v>1069.5357279406194</v>
      </c>
      <c r="AI114" s="493">
        <v>1052.3944196495631</v>
      </c>
    </row>
    <row r="115" spans="2:35" outlineLevel="1">
      <c r="B115" t="str">
        <f t="shared" si="9"/>
        <v>e-hydrogen (Solid oxide) - Energy cost - Middle East - USD/ton fuel</v>
      </c>
      <c r="C115" t="str">
        <f>C82</f>
        <v>e-hydrogen (Solid oxide)</v>
      </c>
      <c r="D115" t="s">
        <v>1368</v>
      </c>
      <c r="E115" t="s">
        <v>826</v>
      </c>
      <c r="F115" t="s">
        <v>1353</v>
      </c>
      <c r="G115" s="487" t="str">
        <f t="shared" si="12"/>
        <v>e-hydrogen (Solid oxide)Middle EastEnergy cost</v>
      </c>
      <c r="H115" s="493">
        <v>1641.4330786472874</v>
      </c>
      <c r="I115" s="493">
        <v>1563.0078396145759</v>
      </c>
      <c r="J115" s="493">
        <v>1485.1359216189667</v>
      </c>
      <c r="K115" s="493">
        <v>1432.1168295466196</v>
      </c>
      <c r="L115" s="493">
        <v>1379.4571694754702</v>
      </c>
      <c r="M115" s="493">
        <v>1327.1569414055152</v>
      </c>
      <c r="N115" s="493">
        <v>1275.2161453367562</v>
      </c>
      <c r="O115" s="493">
        <v>1223.6347812691949</v>
      </c>
      <c r="P115" s="493">
        <v>1186.215120276881</v>
      </c>
      <c r="Q115" s="493">
        <v>1149.0441149179419</v>
      </c>
      <c r="R115" s="493">
        <v>1112.1217651923596</v>
      </c>
      <c r="S115" s="493">
        <v>1075.4480711001511</v>
      </c>
      <c r="T115" s="493">
        <v>1039.0230326413075</v>
      </c>
      <c r="U115" s="493">
        <v>1018.9648778976681</v>
      </c>
      <c r="V115" s="493">
        <v>999.02904245415289</v>
      </c>
      <c r="W115" s="493">
        <v>979.21552631076952</v>
      </c>
      <c r="X115" s="493">
        <v>959.52432946750571</v>
      </c>
      <c r="Y115" s="493">
        <v>939.95545192436759</v>
      </c>
      <c r="Z115" s="493">
        <v>915.64669747023243</v>
      </c>
      <c r="AA115" s="493">
        <v>891.49532329988426</v>
      </c>
      <c r="AB115" s="493">
        <v>867.50132941331481</v>
      </c>
      <c r="AC115" s="493">
        <v>843.66471581053372</v>
      </c>
      <c r="AD115" s="493">
        <v>819.98548249152907</v>
      </c>
      <c r="AE115" s="493">
        <v>807.35646572909013</v>
      </c>
      <c r="AF115" s="493">
        <v>794.79971708549533</v>
      </c>
      <c r="AG115" s="493">
        <v>782.31523656074</v>
      </c>
      <c r="AH115" s="493">
        <v>769.90302415482654</v>
      </c>
      <c r="AI115" s="493">
        <v>757.5630798677571</v>
      </c>
    </row>
    <row r="116" spans="2:35" outlineLevel="1">
      <c r="B116" t="str">
        <f t="shared" si="9"/>
        <v/>
      </c>
      <c r="G116" s="487" t="str">
        <f t="shared" si="12"/>
        <v/>
      </c>
    </row>
    <row r="117" spans="2:35" ht="15" outlineLevel="1">
      <c r="B117" t="str">
        <f t="shared" si="9"/>
        <v>e-hydrogen (Solid oxide) - Feedstock cost including feedstock feedstock cost - Global - USD/ton fuel</v>
      </c>
      <c r="C117" s="491" t="str">
        <f>C82</f>
        <v>e-hydrogen (Solid oxide)</v>
      </c>
      <c r="D117" s="491" t="s">
        <v>1369</v>
      </c>
      <c r="E117" s="491" t="s">
        <v>708</v>
      </c>
      <c r="F117" s="491" t="s">
        <v>1353</v>
      </c>
      <c r="G117" s="487" t="str">
        <f t="shared" si="12"/>
        <v>e-hydrogen (Solid oxide)GlobalFeedstock cost including feedstock feedstock cost</v>
      </c>
      <c r="H117" s="492">
        <v>13.5</v>
      </c>
      <c r="I117" s="492">
        <v>13.500000000000048</v>
      </c>
      <c r="J117" s="492">
        <v>13.500000000000048</v>
      </c>
      <c r="K117" s="492">
        <v>13.500000000000048</v>
      </c>
      <c r="L117" s="492">
        <v>13.500000000000096</v>
      </c>
      <c r="M117" s="492">
        <v>13.5</v>
      </c>
      <c r="N117" s="492">
        <v>13.500000000000096</v>
      </c>
      <c r="O117" s="492">
        <v>13.5</v>
      </c>
      <c r="P117" s="492">
        <v>13.499999999999904</v>
      </c>
      <c r="Q117" s="492">
        <v>13.500000000000048</v>
      </c>
      <c r="R117" s="492">
        <v>13.500000000000192</v>
      </c>
      <c r="S117" s="492">
        <v>13.500000000000096</v>
      </c>
      <c r="T117" s="492">
        <v>13.500000000000192</v>
      </c>
      <c r="U117" s="492">
        <v>13.50000000000024</v>
      </c>
      <c r="V117" s="492">
        <v>13.500000000000121</v>
      </c>
      <c r="W117" s="492">
        <v>13.500000000000359</v>
      </c>
      <c r="X117" s="492">
        <v>13.50000000000024</v>
      </c>
      <c r="Y117" s="492">
        <v>13.499999999999904</v>
      </c>
      <c r="Z117" s="492">
        <v>13.5</v>
      </c>
      <c r="AA117" s="492">
        <v>13.499999999999952</v>
      </c>
      <c r="AB117" s="492">
        <v>13.500000000000048</v>
      </c>
      <c r="AC117" s="492">
        <v>13.5</v>
      </c>
      <c r="AD117" s="492">
        <v>13.5</v>
      </c>
      <c r="AE117" s="492">
        <v>13.5</v>
      </c>
      <c r="AF117" s="492">
        <v>13.5</v>
      </c>
      <c r="AG117" s="492">
        <v>13.5</v>
      </c>
      <c r="AH117" s="492">
        <v>13.5</v>
      </c>
      <c r="AI117" s="492">
        <v>13.5</v>
      </c>
    </row>
    <row r="118" spans="2:35" outlineLevel="1">
      <c r="B118" t="str">
        <f t="shared" si="9"/>
        <v>e-hydrogen - Feedstock cost - Global - USD/ton fuel</v>
      </c>
      <c r="C118" t="s">
        <v>1370</v>
      </c>
      <c r="D118" t="s">
        <v>1371</v>
      </c>
      <c r="E118" t="s">
        <v>708</v>
      </c>
      <c r="F118" t="s">
        <v>1353</v>
      </c>
      <c r="G118" s="487" t="str">
        <f t="shared" si="12"/>
        <v>e-hydrogenGlobalFeedstock cost</v>
      </c>
      <c r="H118" s="493">
        <v>13.5</v>
      </c>
      <c r="I118" s="493">
        <v>13.500000000000048</v>
      </c>
      <c r="J118" s="493">
        <v>13.500000000000048</v>
      </c>
      <c r="K118" s="493">
        <v>13.500000000000048</v>
      </c>
      <c r="L118" s="493">
        <v>13.500000000000096</v>
      </c>
      <c r="M118" s="493">
        <v>13.5</v>
      </c>
      <c r="N118" s="493">
        <v>13.500000000000096</v>
      </c>
      <c r="O118" s="493">
        <v>13.5</v>
      </c>
      <c r="P118" s="493">
        <v>13.499999999999904</v>
      </c>
      <c r="Q118" s="493">
        <v>13.500000000000048</v>
      </c>
      <c r="R118" s="493">
        <v>13.500000000000192</v>
      </c>
      <c r="S118" s="493">
        <v>13.500000000000096</v>
      </c>
      <c r="T118" s="493">
        <v>13.500000000000192</v>
      </c>
      <c r="U118" s="493">
        <v>13.50000000000024</v>
      </c>
      <c r="V118" s="493">
        <v>13.500000000000121</v>
      </c>
      <c r="W118" s="493">
        <v>13.500000000000359</v>
      </c>
      <c r="X118" s="493">
        <v>13.50000000000024</v>
      </c>
      <c r="Y118" s="493">
        <v>13.499999999999904</v>
      </c>
      <c r="Z118" s="493">
        <v>13.5</v>
      </c>
      <c r="AA118" s="493">
        <v>13.499999999999952</v>
      </c>
      <c r="AB118" s="493">
        <v>13.500000000000048</v>
      </c>
      <c r="AC118" s="493">
        <v>13.5</v>
      </c>
      <c r="AD118" s="493">
        <v>13.5</v>
      </c>
      <c r="AE118" s="493">
        <v>13.5</v>
      </c>
      <c r="AF118" s="493">
        <v>13.5</v>
      </c>
      <c r="AG118" s="493">
        <v>13.5</v>
      </c>
      <c r="AH118" s="493">
        <v>13.5</v>
      </c>
      <c r="AI118" s="493">
        <v>13.5</v>
      </c>
    </row>
    <row r="119" spans="2:35">
      <c r="B119" t="str">
        <f t="shared" si="9"/>
        <v/>
      </c>
      <c r="G119" s="487" t="str">
        <f t="shared" si="12"/>
        <v/>
      </c>
    </row>
    <row r="120" spans="2:35" ht="15">
      <c r="B120" t="str">
        <f t="shared" si="9"/>
        <v>e-hydrogen - Item - Region - Unit</v>
      </c>
      <c r="C120" s="485" t="s">
        <v>1370</v>
      </c>
      <c r="D120" s="485" t="s">
        <v>877</v>
      </c>
      <c r="E120" s="485" t="s">
        <v>171</v>
      </c>
      <c r="F120" s="485" t="s">
        <v>111</v>
      </c>
      <c r="G120" s="487" t="str">
        <f t="shared" si="12"/>
        <v>e-hydrogenRegionItem</v>
      </c>
      <c r="H120" s="486">
        <v>2023</v>
      </c>
      <c r="I120" s="486">
        <v>2024</v>
      </c>
      <c r="J120" s="486">
        <v>2025</v>
      </c>
      <c r="K120" s="486">
        <v>2026</v>
      </c>
      <c r="L120" s="486">
        <v>2027</v>
      </c>
      <c r="M120" s="486">
        <v>2028</v>
      </c>
      <c r="N120" s="486">
        <v>2029</v>
      </c>
      <c r="O120" s="486">
        <v>2030</v>
      </c>
      <c r="P120" s="486">
        <v>2031</v>
      </c>
      <c r="Q120" s="486">
        <v>2032</v>
      </c>
      <c r="R120" s="486">
        <v>2033</v>
      </c>
      <c r="S120" s="486">
        <v>2034</v>
      </c>
      <c r="T120" s="486">
        <v>2035</v>
      </c>
      <c r="U120" s="486">
        <v>2036</v>
      </c>
      <c r="V120" s="486">
        <v>2037</v>
      </c>
      <c r="W120" s="486">
        <v>2038</v>
      </c>
      <c r="X120" s="486">
        <v>2039</v>
      </c>
      <c r="Y120" s="486">
        <v>2040</v>
      </c>
      <c r="Z120" s="486">
        <v>2041</v>
      </c>
      <c r="AA120" s="486">
        <v>2042</v>
      </c>
      <c r="AB120" s="486">
        <v>2043</v>
      </c>
      <c r="AC120" s="486">
        <v>2044</v>
      </c>
      <c r="AD120" s="486">
        <v>2045</v>
      </c>
      <c r="AE120" s="486">
        <v>2046</v>
      </c>
      <c r="AF120" s="486">
        <v>2047</v>
      </c>
      <c r="AG120" s="486">
        <v>2048</v>
      </c>
      <c r="AH120" s="486">
        <v>2049</v>
      </c>
      <c r="AI120" s="486">
        <v>2050</v>
      </c>
    </row>
    <row r="121" spans="2:35" outlineLevel="1">
      <c r="B121" t="str">
        <f t="shared" si="9"/>
        <v>e-hydrogen - Total cost - Africa - USD/ton fuel</v>
      </c>
      <c r="C121" s="487" t="str">
        <f>C120</f>
        <v>e-hydrogen</v>
      </c>
      <c r="D121" s="487" t="s">
        <v>1362</v>
      </c>
      <c r="E121" s="487" t="s">
        <v>838</v>
      </c>
      <c r="F121" s="487" t="s">
        <v>1353</v>
      </c>
      <c r="G121" s="487" t="str">
        <f t="shared" si="12"/>
        <v>e-hydrogenAfricaTotal cost</v>
      </c>
      <c r="H121" s="488">
        <v>4571.8140450320188</v>
      </c>
      <c r="I121" s="488">
        <v>4147.8556835639229</v>
      </c>
      <c r="J121" s="488">
        <v>3721.2257878341748</v>
      </c>
      <c r="K121" s="488">
        <v>3582.7603655139337</v>
      </c>
      <c r="L121" s="488">
        <v>3439.1451833385127</v>
      </c>
      <c r="M121" s="488">
        <v>3290.483028149778</v>
      </c>
      <c r="N121" s="488">
        <v>3136.8766867896793</v>
      </c>
      <c r="O121" s="488">
        <v>2978.4289461000349</v>
      </c>
      <c r="P121" s="488">
        <v>2921.7563256389899</v>
      </c>
      <c r="Q121" s="488">
        <v>2857.5071262788529</v>
      </c>
      <c r="R121" s="488">
        <v>2785.7367116560763</v>
      </c>
      <c r="S121" s="488">
        <v>2706.500445407155</v>
      </c>
      <c r="T121" s="488">
        <v>2619.853691168667</v>
      </c>
      <c r="U121" s="488">
        <v>2559.134112764737</v>
      </c>
      <c r="V121" s="488">
        <v>2493.203364311601</v>
      </c>
      <c r="W121" s="488">
        <v>2422.0795111742987</v>
      </c>
      <c r="X121" s="488">
        <v>2345.7806187176438</v>
      </c>
      <c r="Y121" s="488">
        <v>2264.3247523066229</v>
      </c>
      <c r="Z121" s="488">
        <v>2180.5948397844923</v>
      </c>
      <c r="AA121" s="488">
        <v>2094.4451344593949</v>
      </c>
      <c r="AB121" s="488">
        <v>2005.8650721929257</v>
      </c>
      <c r="AC121" s="488">
        <v>1914.844088846567</v>
      </c>
      <c r="AD121" s="488">
        <v>1821.3716202818705</v>
      </c>
      <c r="AE121" s="488">
        <v>1747.8207084088369</v>
      </c>
      <c r="AF121" s="488">
        <v>1673.0567776619685</v>
      </c>
      <c r="AG121" s="488">
        <v>1597.0731710889659</v>
      </c>
      <c r="AH121" s="488">
        <v>1519.8632317375509</v>
      </c>
      <c r="AI121" s="488">
        <v>1441.4203026554478</v>
      </c>
    </row>
    <row r="122" spans="2:35" outlineLevel="1">
      <c r="B122" t="str">
        <f t="shared" si="9"/>
        <v>e-hydrogen - Total cost - Americas - USD/ton fuel</v>
      </c>
      <c r="C122" t="str">
        <f>C121</f>
        <v>e-hydrogen</v>
      </c>
      <c r="D122" t="s">
        <v>1362</v>
      </c>
      <c r="E122" t="s">
        <v>731</v>
      </c>
      <c r="F122" t="s">
        <v>1353</v>
      </c>
      <c r="G122" s="487" t="str">
        <f t="shared" si="12"/>
        <v>e-hydrogenAmericasTotal cost</v>
      </c>
      <c r="H122" s="489">
        <v>3419.7532318615094</v>
      </c>
      <c r="I122" s="489">
        <v>3320.3976978064575</v>
      </c>
      <c r="J122" s="489">
        <v>3217.7199067028678</v>
      </c>
      <c r="K122" s="489">
        <v>3113.4145570196761</v>
      </c>
      <c r="L122" s="489">
        <v>3003.972559512416</v>
      </c>
      <c r="M122" s="489">
        <v>2889.4629775321455</v>
      </c>
      <c r="N122" s="489">
        <v>2769.9548744300391</v>
      </c>
      <c r="O122" s="489">
        <v>2645.5173135570167</v>
      </c>
      <c r="P122" s="489">
        <v>2614.3438016320752</v>
      </c>
      <c r="Q122" s="489">
        <v>2575.3775779225925</v>
      </c>
      <c r="R122" s="489">
        <v>2528.6507118550317</v>
      </c>
      <c r="S122" s="489">
        <v>2474.1952728558208</v>
      </c>
      <c r="T122" s="489">
        <v>2412.0433303515238</v>
      </c>
      <c r="U122" s="489">
        <v>2353.173138927395</v>
      </c>
      <c r="V122" s="489">
        <v>2289.140217035545</v>
      </c>
      <c r="W122" s="489">
        <v>2219.9625867208738</v>
      </c>
      <c r="X122" s="489">
        <v>2145.6582700280737</v>
      </c>
      <c r="Y122" s="489">
        <v>2066.2452890019722</v>
      </c>
      <c r="Z122" s="489">
        <v>1999.9979428473175</v>
      </c>
      <c r="AA122" s="489">
        <v>1930.9153663702016</v>
      </c>
      <c r="AB122" s="489">
        <v>1858.9934305532511</v>
      </c>
      <c r="AC122" s="489">
        <v>1784.2280063789497</v>
      </c>
      <c r="AD122" s="489">
        <v>1706.6149648298883</v>
      </c>
      <c r="AE122" s="489">
        <v>1638.8348366898754</v>
      </c>
      <c r="AF122" s="489">
        <v>1569.7205263897122</v>
      </c>
      <c r="AG122" s="489">
        <v>1499.2680346814896</v>
      </c>
      <c r="AH122" s="489">
        <v>1427.4733623173049</v>
      </c>
      <c r="AI122" s="489">
        <v>1354.3325100492571</v>
      </c>
    </row>
    <row r="123" spans="2:35" outlineLevel="1">
      <c r="B123" t="str">
        <f t="shared" si="9"/>
        <v>e-hydrogen - Total cost - Asia - USD/ton fuel</v>
      </c>
      <c r="C123" t="str">
        <f>C122</f>
        <v>e-hydrogen</v>
      </c>
      <c r="D123" t="s">
        <v>1362</v>
      </c>
      <c r="E123" t="s">
        <v>750</v>
      </c>
      <c r="F123" t="s">
        <v>1353</v>
      </c>
      <c r="G123" s="487" t="str">
        <f t="shared" si="12"/>
        <v>e-hydrogenAsiaTotal cost</v>
      </c>
      <c r="H123" s="489">
        <v>4919.6092000998424</v>
      </c>
      <c r="I123" s="489">
        <v>4556.2127574878086</v>
      </c>
      <c r="J123" s="489">
        <v>4189.9088910653254</v>
      </c>
      <c r="K123" s="489">
        <v>4043.3271497517403</v>
      </c>
      <c r="L123" s="489">
        <v>3891.471000176216</v>
      </c>
      <c r="M123" s="489">
        <v>3734.4505204022607</v>
      </c>
      <c r="N123" s="489">
        <v>3572.3757884936485</v>
      </c>
      <c r="O123" s="489">
        <v>3405.3568825139291</v>
      </c>
      <c r="P123" s="489">
        <v>3329.0242744310799</v>
      </c>
      <c r="Q123" s="489">
        <v>3245.2095361970569</v>
      </c>
      <c r="R123" s="489">
        <v>3153.9848628533696</v>
      </c>
      <c r="S123" s="489">
        <v>3055.4224494414507</v>
      </c>
      <c r="T123" s="489">
        <v>2949.5944910029716</v>
      </c>
      <c r="U123" s="489">
        <v>2875.7981835549567</v>
      </c>
      <c r="V123" s="489">
        <v>2796.8948914419857</v>
      </c>
      <c r="W123" s="489">
        <v>2712.9100610848413</v>
      </c>
      <c r="X123" s="489">
        <v>2623.869138904005</v>
      </c>
      <c r="Y123" s="489">
        <v>2529.7975713201986</v>
      </c>
      <c r="Z123" s="489">
        <v>2432.0041356799093</v>
      </c>
      <c r="AA123" s="489">
        <v>2332.104454536804</v>
      </c>
      <c r="AB123" s="489">
        <v>2230.0833804145991</v>
      </c>
      <c r="AC123" s="489">
        <v>2125.9257658368952</v>
      </c>
      <c r="AD123" s="489">
        <v>2019.6164633273684</v>
      </c>
      <c r="AE123" s="489">
        <v>1940.0442051158482</v>
      </c>
      <c r="AF123" s="489">
        <v>1859.3815897073273</v>
      </c>
      <c r="AG123" s="489">
        <v>1777.6196989494379</v>
      </c>
      <c r="AH123" s="489">
        <v>1694.7496146898043</v>
      </c>
      <c r="AI123" s="489">
        <v>1610.7624187760525</v>
      </c>
    </row>
    <row r="124" spans="2:35" outlineLevel="1">
      <c r="B124" t="str">
        <f t="shared" si="9"/>
        <v>e-hydrogen - Total cost - Europe - USD/ton fuel</v>
      </c>
      <c r="C124" t="str">
        <f>C123</f>
        <v>e-hydrogen</v>
      </c>
      <c r="D124" t="s">
        <v>1362</v>
      </c>
      <c r="E124" t="s">
        <v>720</v>
      </c>
      <c r="F124" t="s">
        <v>1353</v>
      </c>
      <c r="G124" s="487" t="str">
        <f t="shared" si="12"/>
        <v>e-hydrogenEuropeTotal cost</v>
      </c>
      <c r="H124" s="489">
        <v>4038.6228928616847</v>
      </c>
      <c r="I124" s="489">
        <v>3868.3507145137291</v>
      </c>
      <c r="J124" s="489">
        <v>3694.8237459344427</v>
      </c>
      <c r="K124" s="489">
        <v>3568.4463973029419</v>
      </c>
      <c r="L124" s="489">
        <v>3436.871084883941</v>
      </c>
      <c r="M124" s="489">
        <v>3300.1883482791136</v>
      </c>
      <c r="N124" s="489">
        <v>3158.4887270901409</v>
      </c>
      <c r="O124" s="489">
        <v>3011.8627609185983</v>
      </c>
      <c r="P124" s="489">
        <v>2974.0307709334747</v>
      </c>
      <c r="Q124" s="489">
        <v>2928.3440277264485</v>
      </c>
      <c r="R124" s="489">
        <v>2874.8388312160041</v>
      </c>
      <c r="S124" s="489">
        <v>2813.5514813206551</v>
      </c>
      <c r="T124" s="489">
        <v>2744.5182779590677</v>
      </c>
      <c r="U124" s="489">
        <v>2686.9425242590582</v>
      </c>
      <c r="V124" s="489">
        <v>2624.050617901336</v>
      </c>
      <c r="W124" s="489">
        <v>2555.857583732693</v>
      </c>
      <c r="X124" s="489">
        <v>2482.3784465996719</v>
      </c>
      <c r="Y124" s="489">
        <v>2403.6282313489819</v>
      </c>
      <c r="Z124" s="489">
        <v>2321.3917367406975</v>
      </c>
      <c r="AA124" s="489">
        <v>2236.6695741645817</v>
      </c>
      <c r="AB124" s="489">
        <v>2149.4526024833108</v>
      </c>
      <c r="AC124" s="489">
        <v>2059.73168055939</v>
      </c>
      <c r="AD124" s="489">
        <v>1967.4976672554576</v>
      </c>
      <c r="AE124" s="489">
        <v>1889.1034647061108</v>
      </c>
      <c r="AF124" s="489">
        <v>1809.5955456101613</v>
      </c>
      <c r="AG124" s="489">
        <v>1728.965347273524</v>
      </c>
      <c r="AH124" s="489">
        <v>1647.204307002108</v>
      </c>
      <c r="AI124" s="489">
        <v>1564.3038621018211</v>
      </c>
    </row>
    <row r="125" spans="2:35" outlineLevel="1">
      <c r="B125" t="str">
        <f t="shared" si="9"/>
        <v>e-hydrogen - Total cost - Middle East - USD/ton fuel</v>
      </c>
      <c r="C125" s="25" t="str">
        <f>C124</f>
        <v>e-hydrogen</v>
      </c>
      <c r="D125" s="25" t="s">
        <v>1362</v>
      </c>
      <c r="E125" s="25" t="s">
        <v>826</v>
      </c>
      <c r="F125" s="25" t="s">
        <v>1353</v>
      </c>
      <c r="G125" s="487" t="str">
        <f t="shared" si="12"/>
        <v>e-hydrogenMiddle EastTotal cost</v>
      </c>
      <c r="H125" s="490">
        <v>3437.4371997057879</v>
      </c>
      <c r="I125" s="490">
        <v>3291.726359379827</v>
      </c>
      <c r="J125" s="490">
        <v>3142.8160617015587</v>
      </c>
      <c r="K125" s="490">
        <v>3049.3717502851341</v>
      </c>
      <c r="L125" s="490">
        <v>2950.7653007064864</v>
      </c>
      <c r="M125" s="490">
        <v>2847.05487804328</v>
      </c>
      <c r="N125" s="490">
        <v>2738.2986473732735</v>
      </c>
      <c r="O125" s="490">
        <v>2624.5547737740408</v>
      </c>
      <c r="P125" s="490">
        <v>2586.0154229344857</v>
      </c>
      <c r="Q125" s="490">
        <v>2539.7954601443425</v>
      </c>
      <c r="R125" s="490">
        <v>2485.9344601982857</v>
      </c>
      <c r="S125" s="490">
        <v>2424.4719978910048</v>
      </c>
      <c r="T125" s="490">
        <v>2355.4476480172916</v>
      </c>
      <c r="U125" s="490">
        <v>2302.9820209443847</v>
      </c>
      <c r="V125" s="490">
        <v>2245.2615202268162</v>
      </c>
      <c r="W125" s="490">
        <v>2182.2999017005955</v>
      </c>
      <c r="X125" s="490">
        <v>2114.1109212014953</v>
      </c>
      <c r="Y125" s="490">
        <v>2040.7083345654555</v>
      </c>
      <c r="Z125" s="490">
        <v>1960.5833723344319</v>
      </c>
      <c r="AA125" s="490">
        <v>1877.9885039675351</v>
      </c>
      <c r="AB125" s="490">
        <v>1792.9134705705346</v>
      </c>
      <c r="AC125" s="490">
        <v>1705.3480132490897</v>
      </c>
      <c r="AD125" s="490">
        <v>1615.2818731089328</v>
      </c>
      <c r="AE125" s="490">
        <v>1544.8423939156899</v>
      </c>
      <c r="AF125" s="490">
        <v>1473.1314799005604</v>
      </c>
      <c r="AG125" s="490">
        <v>1400.1429666945739</v>
      </c>
      <c r="AH125" s="490">
        <v>1325.870689928772</v>
      </c>
      <c r="AI125" s="490">
        <v>1250.3084852341972</v>
      </c>
    </row>
    <row r="126" spans="2:35" ht="15" outlineLevel="1">
      <c r="B126" t="str">
        <f t="shared" si="9"/>
        <v/>
      </c>
      <c r="C126" s="22"/>
      <c r="G126" s="487" t="str">
        <f t="shared" si="12"/>
        <v/>
      </c>
    </row>
    <row r="127" spans="2:35" ht="15" outlineLevel="1">
      <c r="B127" t="str">
        <f t="shared" si="9"/>
        <v>e-hydrogen - CAPEX including feedstock CAPEX - Global - USD/ton fuel</v>
      </c>
      <c r="C127" s="491" t="str">
        <f>C120</f>
        <v>e-hydrogen</v>
      </c>
      <c r="D127" s="491" t="s">
        <v>1363</v>
      </c>
      <c r="E127" s="491" t="s">
        <v>708</v>
      </c>
      <c r="F127" s="491" t="s">
        <v>1353</v>
      </c>
      <c r="G127" s="487" t="str">
        <f t="shared" si="12"/>
        <v>e-hydrogenGlobalCAPEX including feedstock CAPEX</v>
      </c>
      <c r="H127" s="492">
        <v>256.64635353013858</v>
      </c>
      <c r="I127" s="492">
        <v>247.21700590830653</v>
      </c>
      <c r="J127" s="492">
        <v>237.53805175037812</v>
      </c>
      <c r="K127" s="492">
        <v>232.53269690653616</v>
      </c>
      <c r="L127" s="492">
        <v>227.06362881665248</v>
      </c>
      <c r="M127" s="492">
        <v>221.13084748073197</v>
      </c>
      <c r="N127" s="492">
        <v>214.73435289877628</v>
      </c>
      <c r="O127" s="492">
        <v>207.87414507077864</v>
      </c>
      <c r="P127" s="492">
        <v>212.24697175898439</v>
      </c>
      <c r="Q127" s="492">
        <v>215.53837151594018</v>
      </c>
      <c r="R127" s="492">
        <v>217.74834434164336</v>
      </c>
      <c r="S127" s="492">
        <v>218.87689023608903</v>
      </c>
      <c r="T127" s="492">
        <v>218.92400919928582</v>
      </c>
      <c r="U127" s="492">
        <v>217.21328869368136</v>
      </c>
      <c r="V127" s="492">
        <v>214.61001500027928</v>
      </c>
      <c r="W127" s="492">
        <v>211.1141881190886</v>
      </c>
      <c r="X127" s="492">
        <v>206.72580805010043</v>
      </c>
      <c r="Y127" s="492">
        <v>201.44487479331141</v>
      </c>
      <c r="Z127" s="492">
        <v>194.68227936129369</v>
      </c>
      <c r="AA127" s="492">
        <v>187.24620275654928</v>
      </c>
      <c r="AB127" s="492">
        <v>179.13664497908553</v>
      </c>
      <c r="AC127" s="492">
        <v>170.35360602889762</v>
      </c>
      <c r="AD127" s="492">
        <v>160.89708590598403</v>
      </c>
      <c r="AE127" s="492">
        <v>150.64085698303418</v>
      </c>
      <c r="AF127" s="492">
        <v>139.96336878636401</v>
      </c>
      <c r="AG127" s="492">
        <v>128.86462131597352</v>
      </c>
      <c r="AH127" s="492">
        <v>117.34461457186269</v>
      </c>
      <c r="AI127" s="492">
        <v>105.40334855403168</v>
      </c>
    </row>
    <row r="128" spans="2:35" outlineLevel="1">
      <c r="B128" t="str">
        <f t="shared" si="9"/>
        <v>e-hydrogen - CAPEX - Global - USD/ton fuel</v>
      </c>
      <c r="C128" t="str">
        <f>C120</f>
        <v>e-hydrogen</v>
      </c>
      <c r="D128" t="s">
        <v>446</v>
      </c>
      <c r="E128" t="s">
        <v>708</v>
      </c>
      <c r="F128" t="s">
        <v>1353</v>
      </c>
      <c r="G128" s="487" t="str">
        <f t="shared" si="12"/>
        <v>e-hydrogenGlobalCAPEX</v>
      </c>
      <c r="H128" s="493">
        <v>256.64635353013858</v>
      </c>
      <c r="I128" s="493">
        <v>247.21700590830653</v>
      </c>
      <c r="J128" s="493">
        <v>237.53805175037812</v>
      </c>
      <c r="K128" s="493">
        <v>232.53269690653616</v>
      </c>
      <c r="L128" s="493">
        <v>227.06362881665248</v>
      </c>
      <c r="M128" s="493">
        <v>221.13084748073197</v>
      </c>
      <c r="N128" s="493">
        <v>214.73435289877628</v>
      </c>
      <c r="O128" s="493">
        <v>207.87414507077864</v>
      </c>
      <c r="P128" s="493">
        <v>212.24697175898439</v>
      </c>
      <c r="Q128" s="493">
        <v>215.53837151594018</v>
      </c>
      <c r="R128" s="493">
        <v>217.74834434164336</v>
      </c>
      <c r="S128" s="493">
        <v>218.87689023608903</v>
      </c>
      <c r="T128" s="493">
        <v>218.92400919928582</v>
      </c>
      <c r="U128" s="493">
        <v>217.21328869368136</v>
      </c>
      <c r="V128" s="493">
        <v>214.61001500027928</v>
      </c>
      <c r="W128" s="493">
        <v>211.1141881190886</v>
      </c>
      <c r="X128" s="493">
        <v>206.72580805010043</v>
      </c>
      <c r="Y128" s="493">
        <v>201.44487479331141</v>
      </c>
      <c r="Z128" s="493">
        <v>194.68227936129369</v>
      </c>
      <c r="AA128" s="493">
        <v>187.24620275654928</v>
      </c>
      <c r="AB128" s="493">
        <v>179.13664497908553</v>
      </c>
      <c r="AC128" s="493">
        <v>170.35360602889762</v>
      </c>
      <c r="AD128" s="493">
        <v>160.89708590598403</v>
      </c>
      <c r="AE128" s="493">
        <v>150.64085698303418</v>
      </c>
      <c r="AF128" s="493">
        <v>139.96336878636401</v>
      </c>
      <c r="AG128" s="493">
        <v>128.86462131597352</v>
      </c>
      <c r="AH128" s="493">
        <v>117.34461457186269</v>
      </c>
      <c r="AI128" s="493">
        <v>105.40334855403168</v>
      </c>
    </row>
    <row r="129" spans="2:64" outlineLevel="1">
      <c r="B129" t="str">
        <f t="shared" si="9"/>
        <v/>
      </c>
      <c r="G129" s="487" t="str">
        <f t="shared" si="12"/>
        <v/>
      </c>
      <c r="H129" s="493"/>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493"/>
      <c r="AE129" s="493"/>
      <c r="AF129" s="493"/>
      <c r="AG129" s="493"/>
      <c r="AH129" s="493"/>
      <c r="AI129" s="493"/>
    </row>
    <row r="130" spans="2:64" ht="15" outlineLevel="1">
      <c r="B130" t="str">
        <f t="shared" si="9"/>
        <v>e-hydrogen - OPEX including feedstock OPEX - Global - USD/ton fuel</v>
      </c>
      <c r="C130" s="491" t="str">
        <f>C121</f>
        <v>e-hydrogen</v>
      </c>
      <c r="D130" s="491" t="s">
        <v>1364</v>
      </c>
      <c r="E130" s="491" t="s">
        <v>708</v>
      </c>
      <c r="F130" s="491" t="s">
        <v>1353</v>
      </c>
      <c r="G130" s="487" t="str">
        <f t="shared" si="12"/>
        <v>e-hydrogenGlobalOPEX including feedstock OPEX</v>
      </c>
      <c r="H130" s="492">
        <v>778.63990898977545</v>
      </c>
      <c r="I130" s="492">
        <v>746.81733762687418</v>
      </c>
      <c r="J130" s="492">
        <v>712.61415525113227</v>
      </c>
      <c r="K130" s="492">
        <v>693.21795180920219</v>
      </c>
      <c r="L130" s="492">
        <v>670.22211331548374</v>
      </c>
      <c r="M130" s="492">
        <v>643.6266397699726</v>
      </c>
      <c r="N130" s="492">
        <v>613.43153117270822</v>
      </c>
      <c r="O130" s="492">
        <v>579.63678752365013</v>
      </c>
      <c r="P130" s="492">
        <v>578.89498738880036</v>
      </c>
      <c r="Q130" s="492">
        <v>573.27415594361116</v>
      </c>
      <c r="R130" s="492">
        <v>562.77429318809038</v>
      </c>
      <c r="S130" s="492">
        <v>547.39539912221437</v>
      </c>
      <c r="T130" s="492">
        <v>527.13747374599984</v>
      </c>
      <c r="U130" s="492">
        <v>508.91545321169565</v>
      </c>
      <c r="V130" s="492">
        <v>487.75740898550708</v>
      </c>
      <c r="W130" s="492">
        <v>463.66334106745865</v>
      </c>
      <c r="X130" s="492">
        <v>436.63324945751151</v>
      </c>
      <c r="Y130" s="492">
        <v>406.66713415568563</v>
      </c>
      <c r="Z130" s="492">
        <v>382.32288786138321</v>
      </c>
      <c r="AA130" s="492">
        <v>356.52173881762411</v>
      </c>
      <c r="AB130" s="492">
        <v>329.2636870244329</v>
      </c>
      <c r="AC130" s="492">
        <v>300.54873248178433</v>
      </c>
      <c r="AD130" s="492">
        <v>270.37687518969852</v>
      </c>
      <c r="AE130" s="492">
        <v>247.55933903156756</v>
      </c>
      <c r="AF130" s="492">
        <v>224.18137658421693</v>
      </c>
      <c r="AG130" s="492">
        <v>200.24298784764761</v>
      </c>
      <c r="AH130" s="492">
        <v>175.74417282185905</v>
      </c>
      <c r="AI130" s="492">
        <v>150.68493150685131</v>
      </c>
    </row>
    <row r="131" spans="2:64" outlineLevel="1">
      <c r="B131" t="str">
        <f t="shared" si="9"/>
        <v>e-hydrogen - OPEX - Global - USD/ton fuel</v>
      </c>
      <c r="C131" t="str">
        <f>C120</f>
        <v>e-hydrogen</v>
      </c>
      <c r="D131" t="s">
        <v>450</v>
      </c>
      <c r="E131" t="s">
        <v>708</v>
      </c>
      <c r="F131" t="s">
        <v>1353</v>
      </c>
      <c r="G131" s="487" t="str">
        <f t="shared" si="12"/>
        <v>e-hydrogenGlobalOPEX</v>
      </c>
      <c r="H131" s="493">
        <v>778.63990898977545</v>
      </c>
      <c r="I131" s="493">
        <v>746.81733762687418</v>
      </c>
      <c r="J131" s="493">
        <v>712.61415525113227</v>
      </c>
      <c r="K131" s="493">
        <v>693.21795180920219</v>
      </c>
      <c r="L131" s="493">
        <v>670.22211331548374</v>
      </c>
      <c r="M131" s="493">
        <v>643.6266397699726</v>
      </c>
      <c r="N131" s="493">
        <v>613.43153117270822</v>
      </c>
      <c r="O131" s="493">
        <v>579.63678752365013</v>
      </c>
      <c r="P131" s="493">
        <v>578.89498738880036</v>
      </c>
      <c r="Q131" s="493">
        <v>573.27415594361116</v>
      </c>
      <c r="R131" s="493">
        <v>562.77429318809038</v>
      </c>
      <c r="S131" s="493">
        <v>547.39539912221437</v>
      </c>
      <c r="T131" s="493">
        <v>527.13747374599984</v>
      </c>
      <c r="U131" s="493">
        <v>508.91545321169565</v>
      </c>
      <c r="V131" s="493">
        <v>487.75740898550708</v>
      </c>
      <c r="W131" s="493">
        <v>463.66334106745865</v>
      </c>
      <c r="X131" s="493">
        <v>436.63324945751151</v>
      </c>
      <c r="Y131" s="493">
        <v>406.66713415568563</v>
      </c>
      <c r="Z131" s="493">
        <v>382.32288786138321</v>
      </c>
      <c r="AA131" s="493">
        <v>356.52173881762411</v>
      </c>
      <c r="AB131" s="493">
        <v>329.2636870244329</v>
      </c>
      <c r="AC131" s="493">
        <v>300.54873248178433</v>
      </c>
      <c r="AD131" s="493">
        <v>270.37687518969852</v>
      </c>
      <c r="AE131" s="493">
        <v>247.55933903156756</v>
      </c>
      <c r="AF131" s="493">
        <v>224.18137658421693</v>
      </c>
      <c r="AG131" s="493">
        <v>200.24298784764761</v>
      </c>
      <c r="AH131" s="493">
        <v>175.74417282185905</v>
      </c>
      <c r="AI131" s="493">
        <v>150.68493150685131</v>
      </c>
    </row>
    <row r="132" spans="2:64" outlineLevel="1">
      <c r="B132" t="str">
        <f t="shared" si="9"/>
        <v/>
      </c>
      <c r="G132" s="487" t="str">
        <f t="shared" si="12"/>
        <v/>
      </c>
      <c r="H132" s="493"/>
      <c r="I132" s="493"/>
      <c r="J132" s="493"/>
      <c r="K132" s="493"/>
      <c r="L132" s="493"/>
      <c r="M132" s="493"/>
      <c r="N132" s="493"/>
      <c r="O132" s="493"/>
      <c r="P132" s="493"/>
      <c r="Q132" s="493"/>
      <c r="R132" s="493"/>
      <c r="S132" s="493"/>
      <c r="T132" s="493"/>
      <c r="U132" s="493"/>
      <c r="V132" s="493"/>
      <c r="W132" s="493"/>
      <c r="X132" s="493"/>
      <c r="Y132" s="493"/>
      <c r="Z132" s="493"/>
      <c r="AA132" s="493"/>
      <c r="AB132" s="493"/>
      <c r="AC132" s="493"/>
      <c r="AD132" s="493"/>
      <c r="AE132" s="493"/>
      <c r="AF132" s="493"/>
      <c r="AG132" s="493"/>
      <c r="AH132" s="493"/>
      <c r="AI132" s="493"/>
    </row>
    <row r="133" spans="2:64" ht="15" outlineLevel="1">
      <c r="B133" t="str">
        <f t="shared" si="9"/>
        <v>e-hydrogen - Finance cost including feedstock finance cost - Africa - USD/ton fuel</v>
      </c>
      <c r="C133" s="494" t="str">
        <f>C124</f>
        <v>e-hydrogen</v>
      </c>
      <c r="D133" s="494" t="s">
        <v>1365</v>
      </c>
      <c r="E133" s="494" t="s">
        <v>838</v>
      </c>
      <c r="F133" s="494" t="s">
        <v>1353</v>
      </c>
      <c r="G133" s="487" t="str">
        <f t="shared" si="12"/>
        <v>e-hydrogenAfricaFinance cost including feedstock finance cost</v>
      </c>
      <c r="H133" s="495">
        <v>423.4664833247287</v>
      </c>
      <c r="I133" s="495">
        <v>407.9080597487058</v>
      </c>
      <c r="J133" s="495">
        <v>391.93778538812398</v>
      </c>
      <c r="K133" s="495">
        <v>383.67894989578463</v>
      </c>
      <c r="L133" s="495">
        <v>374.65498754747659</v>
      </c>
      <c r="M133" s="495">
        <v>364.86589834320779</v>
      </c>
      <c r="N133" s="495">
        <v>354.31168228298088</v>
      </c>
      <c r="O133" s="495">
        <v>342.99233936678479</v>
      </c>
      <c r="P133" s="495">
        <v>350.20750340232428</v>
      </c>
      <c r="Q133" s="495">
        <v>355.6383130013013</v>
      </c>
      <c r="R133" s="495">
        <v>359.28476816371159</v>
      </c>
      <c r="S133" s="495">
        <v>361.14686888954691</v>
      </c>
      <c r="T133" s="495">
        <v>361.22461517882164</v>
      </c>
      <c r="U133" s="495">
        <v>358.40192634457429</v>
      </c>
      <c r="V133" s="495">
        <v>354.10652475046084</v>
      </c>
      <c r="W133" s="495">
        <v>348.33841039649622</v>
      </c>
      <c r="X133" s="495">
        <v>341.09758328266571</v>
      </c>
      <c r="Y133" s="495">
        <v>332.38404340896386</v>
      </c>
      <c r="Z133" s="495">
        <v>321.22576094613464</v>
      </c>
      <c r="AA133" s="495">
        <v>308.95623454830633</v>
      </c>
      <c r="AB133" s="495">
        <v>295.57546421549114</v>
      </c>
      <c r="AC133" s="495">
        <v>281.08344994768112</v>
      </c>
      <c r="AD133" s="495">
        <v>265.48019174487365</v>
      </c>
      <c r="AE133" s="495">
        <v>248.55741402200647</v>
      </c>
      <c r="AF133" s="495">
        <v>230.93955849750063</v>
      </c>
      <c r="AG133" s="495">
        <v>212.62662517135635</v>
      </c>
      <c r="AH133" s="495">
        <v>193.61861404357347</v>
      </c>
      <c r="AI133" s="495">
        <v>173.9155251141523</v>
      </c>
    </row>
    <row r="134" spans="2:64" ht="15" outlineLevel="1">
      <c r="B134" t="str">
        <f t="shared" ref="B134:B197" si="19">_xlfn.TEXTJOIN(" - ",TRUE,C134:F134)</f>
        <v>e-hydrogen - Finance cost including feedstock finance cost - Americas - USD/ton fuel</v>
      </c>
      <c r="C134" s="22" t="str">
        <f>C124</f>
        <v>e-hydrogen</v>
      </c>
      <c r="D134" s="22" t="s">
        <v>1365</v>
      </c>
      <c r="E134" s="22" t="s">
        <v>731</v>
      </c>
      <c r="F134" s="22" t="s">
        <v>1353</v>
      </c>
      <c r="G134" s="487" t="str">
        <f t="shared" si="12"/>
        <v>e-hydrogenAmericasFinance cost including feedstock finance cost</v>
      </c>
      <c r="H134" s="496">
        <v>423.4664833247287</v>
      </c>
      <c r="I134" s="496">
        <v>407.9080597487058</v>
      </c>
      <c r="J134" s="496">
        <v>391.93778538812398</v>
      </c>
      <c r="K134" s="496">
        <v>383.67894989578463</v>
      </c>
      <c r="L134" s="496">
        <v>374.65498754747659</v>
      </c>
      <c r="M134" s="496">
        <v>364.86589834320779</v>
      </c>
      <c r="N134" s="496">
        <v>354.31168228298088</v>
      </c>
      <c r="O134" s="496">
        <v>342.99233936678479</v>
      </c>
      <c r="P134" s="496">
        <v>350.20750340232428</v>
      </c>
      <c r="Q134" s="496">
        <v>355.6383130013013</v>
      </c>
      <c r="R134" s="496">
        <v>359.28476816371159</v>
      </c>
      <c r="S134" s="496">
        <v>361.14686888954691</v>
      </c>
      <c r="T134" s="496">
        <v>361.22461517882164</v>
      </c>
      <c r="U134" s="496">
        <v>358.40192634457429</v>
      </c>
      <c r="V134" s="496">
        <v>354.10652475046084</v>
      </c>
      <c r="W134" s="496">
        <v>348.33841039649622</v>
      </c>
      <c r="X134" s="496">
        <v>341.09758328266571</v>
      </c>
      <c r="Y134" s="496">
        <v>332.38404340896386</v>
      </c>
      <c r="Z134" s="496">
        <v>321.22576094613464</v>
      </c>
      <c r="AA134" s="496">
        <v>308.95623454830633</v>
      </c>
      <c r="AB134" s="496">
        <v>295.57546421549114</v>
      </c>
      <c r="AC134" s="496">
        <v>281.08344994768112</v>
      </c>
      <c r="AD134" s="496">
        <v>265.48019174487365</v>
      </c>
      <c r="AE134" s="496">
        <v>248.55741402200647</v>
      </c>
      <c r="AF134" s="496">
        <v>230.93955849750063</v>
      </c>
      <c r="AG134" s="496">
        <v>212.62662517135635</v>
      </c>
      <c r="AH134" s="496">
        <v>193.61861404357347</v>
      </c>
      <c r="AI134" s="496">
        <v>173.9155251141523</v>
      </c>
    </row>
    <row r="135" spans="2:64" ht="15" outlineLevel="1">
      <c r="B135" t="str">
        <f t="shared" si="19"/>
        <v>e-hydrogen - Finance cost including feedstock finance cost - Asia - USD/ton fuel</v>
      </c>
      <c r="C135" s="22" t="str">
        <f>C124</f>
        <v>e-hydrogen</v>
      </c>
      <c r="D135" s="22" t="s">
        <v>1365</v>
      </c>
      <c r="E135" s="22" t="s">
        <v>750</v>
      </c>
      <c r="F135" s="22" t="s">
        <v>1353</v>
      </c>
      <c r="G135" s="487" t="str">
        <f t="shared" si="12"/>
        <v>e-hydrogenAsiaFinance cost including feedstock finance cost</v>
      </c>
      <c r="H135" s="496">
        <v>423.4664833247287</v>
      </c>
      <c r="I135" s="496">
        <v>407.9080597487058</v>
      </c>
      <c r="J135" s="496">
        <v>391.93778538812398</v>
      </c>
      <c r="K135" s="496">
        <v>383.67894989578463</v>
      </c>
      <c r="L135" s="496">
        <v>374.65498754747659</v>
      </c>
      <c r="M135" s="496">
        <v>364.86589834320779</v>
      </c>
      <c r="N135" s="496">
        <v>354.31168228298088</v>
      </c>
      <c r="O135" s="496">
        <v>342.99233936678479</v>
      </c>
      <c r="P135" s="496">
        <v>350.20750340232428</v>
      </c>
      <c r="Q135" s="496">
        <v>355.6383130013013</v>
      </c>
      <c r="R135" s="496">
        <v>359.28476816371159</v>
      </c>
      <c r="S135" s="496">
        <v>361.14686888954691</v>
      </c>
      <c r="T135" s="496">
        <v>361.22461517882164</v>
      </c>
      <c r="U135" s="496">
        <v>358.40192634457429</v>
      </c>
      <c r="V135" s="496">
        <v>354.10652475046084</v>
      </c>
      <c r="W135" s="496">
        <v>348.33841039649622</v>
      </c>
      <c r="X135" s="496">
        <v>341.09758328266571</v>
      </c>
      <c r="Y135" s="496">
        <v>332.38404340896386</v>
      </c>
      <c r="Z135" s="496">
        <v>321.22576094613464</v>
      </c>
      <c r="AA135" s="496">
        <v>308.95623454830633</v>
      </c>
      <c r="AB135" s="496">
        <v>295.57546421549114</v>
      </c>
      <c r="AC135" s="496">
        <v>281.08344994768112</v>
      </c>
      <c r="AD135" s="496">
        <v>265.48019174487365</v>
      </c>
      <c r="AE135" s="496">
        <v>248.55741402200647</v>
      </c>
      <c r="AF135" s="496">
        <v>230.93955849750063</v>
      </c>
      <c r="AG135" s="496">
        <v>212.62662517135635</v>
      </c>
      <c r="AH135" s="496">
        <v>193.61861404357347</v>
      </c>
      <c r="AI135" s="496">
        <v>173.9155251141523</v>
      </c>
    </row>
    <row r="136" spans="2:64" ht="15" outlineLevel="1">
      <c r="B136" t="str">
        <f t="shared" si="19"/>
        <v>e-hydrogen - Finance cost including feedstock finance cost - Europe - USD/ton fuel</v>
      </c>
      <c r="C136" s="22" t="str">
        <f>C124</f>
        <v>e-hydrogen</v>
      </c>
      <c r="D136" s="22" t="s">
        <v>1365</v>
      </c>
      <c r="E136" s="22" t="s">
        <v>720</v>
      </c>
      <c r="F136" s="22" t="s">
        <v>1353</v>
      </c>
      <c r="G136" s="487" t="str">
        <f t="shared" ref="G136:G199" si="20">+C136&amp;E136&amp;D136</f>
        <v>e-hydrogenEuropeFinance cost including feedstock finance cost</v>
      </c>
      <c r="H136" s="496">
        <v>423.4664833247287</v>
      </c>
      <c r="I136" s="496">
        <v>407.9080597487058</v>
      </c>
      <c r="J136" s="496">
        <v>391.93778538812398</v>
      </c>
      <c r="K136" s="496">
        <v>383.67894989578463</v>
      </c>
      <c r="L136" s="496">
        <v>374.65498754747659</v>
      </c>
      <c r="M136" s="496">
        <v>364.86589834320779</v>
      </c>
      <c r="N136" s="496">
        <v>354.31168228298088</v>
      </c>
      <c r="O136" s="496">
        <v>342.99233936678479</v>
      </c>
      <c r="P136" s="496">
        <v>350.20750340232428</v>
      </c>
      <c r="Q136" s="496">
        <v>355.6383130013013</v>
      </c>
      <c r="R136" s="496">
        <v>359.28476816371159</v>
      </c>
      <c r="S136" s="496">
        <v>361.14686888954691</v>
      </c>
      <c r="T136" s="496">
        <v>361.22461517882164</v>
      </c>
      <c r="U136" s="496">
        <v>358.40192634457429</v>
      </c>
      <c r="V136" s="496">
        <v>354.10652475046084</v>
      </c>
      <c r="W136" s="496">
        <v>348.33841039649622</v>
      </c>
      <c r="X136" s="496">
        <v>341.09758328266571</v>
      </c>
      <c r="Y136" s="496">
        <v>332.38404340896386</v>
      </c>
      <c r="Z136" s="496">
        <v>321.22576094613464</v>
      </c>
      <c r="AA136" s="496">
        <v>308.95623454830633</v>
      </c>
      <c r="AB136" s="496">
        <v>295.57546421549114</v>
      </c>
      <c r="AC136" s="496">
        <v>281.08344994768112</v>
      </c>
      <c r="AD136" s="496">
        <v>265.48019174487365</v>
      </c>
      <c r="AE136" s="496">
        <v>248.55741402200647</v>
      </c>
      <c r="AF136" s="496">
        <v>230.93955849750063</v>
      </c>
      <c r="AG136" s="496">
        <v>212.62662517135635</v>
      </c>
      <c r="AH136" s="496">
        <v>193.61861404357347</v>
      </c>
      <c r="AI136" s="496">
        <v>173.9155251141523</v>
      </c>
    </row>
    <row r="137" spans="2:64" ht="15" outlineLevel="1">
      <c r="B137" t="str">
        <f t="shared" si="19"/>
        <v>e-hydrogen - Finance cost including feedstock finance cost - Middle East - USD/ton fuel</v>
      </c>
      <c r="C137" s="92" t="str">
        <f>C124</f>
        <v>e-hydrogen</v>
      </c>
      <c r="D137" s="92" t="s">
        <v>1365</v>
      </c>
      <c r="E137" s="92" t="s">
        <v>826</v>
      </c>
      <c r="F137" s="92" t="s">
        <v>1353</v>
      </c>
      <c r="G137" s="487" t="str">
        <f t="shared" si="20"/>
        <v>e-hydrogenMiddle EastFinance cost including feedstock finance cost</v>
      </c>
      <c r="H137" s="497">
        <v>423.4664833247287</v>
      </c>
      <c r="I137" s="497">
        <v>407.9080597487058</v>
      </c>
      <c r="J137" s="497">
        <v>391.93778538812398</v>
      </c>
      <c r="K137" s="497">
        <v>383.67894989578463</v>
      </c>
      <c r="L137" s="497">
        <v>374.65498754747659</v>
      </c>
      <c r="M137" s="497">
        <v>364.86589834320779</v>
      </c>
      <c r="N137" s="497">
        <v>354.31168228298088</v>
      </c>
      <c r="O137" s="497">
        <v>342.99233936678479</v>
      </c>
      <c r="P137" s="497">
        <v>350.20750340232428</v>
      </c>
      <c r="Q137" s="497">
        <v>355.6383130013013</v>
      </c>
      <c r="R137" s="497">
        <v>359.28476816371159</v>
      </c>
      <c r="S137" s="497">
        <v>361.14686888954691</v>
      </c>
      <c r="T137" s="497">
        <v>361.22461517882164</v>
      </c>
      <c r="U137" s="497">
        <v>358.40192634457429</v>
      </c>
      <c r="V137" s="497">
        <v>354.10652475046084</v>
      </c>
      <c r="W137" s="497">
        <v>348.33841039649622</v>
      </c>
      <c r="X137" s="497">
        <v>341.09758328266571</v>
      </c>
      <c r="Y137" s="497">
        <v>332.38404340896386</v>
      </c>
      <c r="Z137" s="497">
        <v>321.22576094613464</v>
      </c>
      <c r="AA137" s="497">
        <v>308.95623454830633</v>
      </c>
      <c r="AB137" s="497">
        <v>295.57546421549114</v>
      </c>
      <c r="AC137" s="497">
        <v>281.08344994768112</v>
      </c>
      <c r="AD137" s="497">
        <v>265.48019174487365</v>
      </c>
      <c r="AE137" s="497">
        <v>248.55741402200647</v>
      </c>
      <c r="AF137" s="497">
        <v>230.93955849750063</v>
      </c>
      <c r="AG137" s="497">
        <v>212.62662517135635</v>
      </c>
      <c r="AH137" s="497">
        <v>193.61861404357347</v>
      </c>
      <c r="AI137" s="497">
        <v>173.9155251141523</v>
      </c>
    </row>
    <row r="138" spans="2:64" outlineLevel="1">
      <c r="B138" t="str">
        <f t="shared" si="19"/>
        <v>e-hydrogen - Finance cost - Africa - USD/ton fuel</v>
      </c>
      <c r="C138" t="str">
        <f>C120</f>
        <v>e-hydrogen</v>
      </c>
      <c r="D138" t="s">
        <v>1366</v>
      </c>
      <c r="E138" t="s">
        <v>838</v>
      </c>
      <c r="F138" t="s">
        <v>1353</v>
      </c>
      <c r="G138" s="487" t="str">
        <f t="shared" si="20"/>
        <v>e-hydrogenAfricaFinance cost</v>
      </c>
      <c r="H138" s="493">
        <v>423.4664833247287</v>
      </c>
      <c r="I138" s="493">
        <v>407.9080597487058</v>
      </c>
      <c r="J138" s="493">
        <v>391.93778538812398</v>
      </c>
      <c r="K138" s="493">
        <v>383.67894989578463</v>
      </c>
      <c r="L138" s="493">
        <v>374.65498754747659</v>
      </c>
      <c r="M138" s="493">
        <v>364.86589834320779</v>
      </c>
      <c r="N138" s="493">
        <v>354.31168228298088</v>
      </c>
      <c r="O138" s="493">
        <v>342.99233936678479</v>
      </c>
      <c r="P138" s="493">
        <v>350.20750340232428</v>
      </c>
      <c r="Q138" s="493">
        <v>355.6383130013013</v>
      </c>
      <c r="R138" s="493">
        <v>359.28476816371159</v>
      </c>
      <c r="S138" s="493">
        <v>361.14686888954691</v>
      </c>
      <c r="T138" s="493">
        <v>361.22461517882164</v>
      </c>
      <c r="U138" s="493">
        <v>358.40192634457429</v>
      </c>
      <c r="V138" s="493">
        <v>354.10652475046084</v>
      </c>
      <c r="W138" s="493">
        <v>348.33841039649622</v>
      </c>
      <c r="X138" s="493">
        <v>341.09758328266571</v>
      </c>
      <c r="Y138" s="493">
        <v>332.38404340896386</v>
      </c>
      <c r="Z138" s="493">
        <v>321.22576094613464</v>
      </c>
      <c r="AA138" s="493">
        <v>308.95623454830633</v>
      </c>
      <c r="AB138" s="493">
        <v>295.57546421549114</v>
      </c>
      <c r="AC138" s="493">
        <v>281.08344994768112</v>
      </c>
      <c r="AD138" s="493">
        <v>265.48019174487365</v>
      </c>
      <c r="AE138" s="493">
        <v>248.55741402200647</v>
      </c>
      <c r="AF138" s="493">
        <v>230.93955849750063</v>
      </c>
      <c r="AG138" s="493">
        <v>212.62662517135635</v>
      </c>
      <c r="AH138" s="493">
        <v>193.61861404357347</v>
      </c>
      <c r="AI138" s="493">
        <v>173.9155251141523</v>
      </c>
    </row>
    <row r="139" spans="2:64" outlineLevel="1">
      <c r="B139" t="str">
        <f t="shared" si="19"/>
        <v>e-hydrogen - Finance cost - Americas - USD/ton fuel</v>
      </c>
      <c r="C139" t="str">
        <f>C120</f>
        <v>e-hydrogen</v>
      </c>
      <c r="D139" t="s">
        <v>1366</v>
      </c>
      <c r="E139" t="s">
        <v>731</v>
      </c>
      <c r="F139" t="s">
        <v>1353</v>
      </c>
      <c r="G139" s="487" t="str">
        <f t="shared" si="20"/>
        <v>e-hydrogenAmericasFinance cost</v>
      </c>
      <c r="H139" s="493">
        <v>423.4664833247287</v>
      </c>
      <c r="I139" s="493">
        <v>407.9080597487058</v>
      </c>
      <c r="J139" s="493">
        <v>391.93778538812398</v>
      </c>
      <c r="K139" s="493">
        <v>383.67894989578463</v>
      </c>
      <c r="L139" s="493">
        <v>374.65498754747659</v>
      </c>
      <c r="M139" s="493">
        <v>364.86589834320779</v>
      </c>
      <c r="N139" s="493">
        <v>354.31168228298088</v>
      </c>
      <c r="O139" s="493">
        <v>342.99233936678479</v>
      </c>
      <c r="P139" s="493">
        <v>350.20750340232428</v>
      </c>
      <c r="Q139" s="493">
        <v>355.6383130013013</v>
      </c>
      <c r="R139" s="493">
        <v>359.28476816371159</v>
      </c>
      <c r="S139" s="493">
        <v>361.14686888954691</v>
      </c>
      <c r="T139" s="493">
        <v>361.22461517882164</v>
      </c>
      <c r="U139" s="493">
        <v>358.40192634457429</v>
      </c>
      <c r="V139" s="493">
        <v>354.10652475046084</v>
      </c>
      <c r="W139" s="493">
        <v>348.33841039649622</v>
      </c>
      <c r="X139" s="493">
        <v>341.09758328266571</v>
      </c>
      <c r="Y139" s="493">
        <v>332.38404340896386</v>
      </c>
      <c r="Z139" s="493">
        <v>321.22576094613464</v>
      </c>
      <c r="AA139" s="493">
        <v>308.95623454830633</v>
      </c>
      <c r="AB139" s="493">
        <v>295.57546421549114</v>
      </c>
      <c r="AC139" s="493">
        <v>281.08344994768112</v>
      </c>
      <c r="AD139" s="493">
        <v>265.48019174487365</v>
      </c>
      <c r="AE139" s="493">
        <v>248.55741402200647</v>
      </c>
      <c r="AF139" s="493">
        <v>230.93955849750063</v>
      </c>
      <c r="AG139" s="493">
        <v>212.62662517135635</v>
      </c>
      <c r="AH139" s="493">
        <v>193.61861404357347</v>
      </c>
      <c r="AI139" s="493">
        <v>173.9155251141523</v>
      </c>
    </row>
    <row r="140" spans="2:64" outlineLevel="1">
      <c r="B140" t="str">
        <f t="shared" si="19"/>
        <v>e-hydrogen - Finance cost - Asia - USD/ton fuel</v>
      </c>
      <c r="C140" t="str">
        <f>C120</f>
        <v>e-hydrogen</v>
      </c>
      <c r="D140" t="s">
        <v>1366</v>
      </c>
      <c r="E140" t="s">
        <v>750</v>
      </c>
      <c r="F140" t="s">
        <v>1353</v>
      </c>
      <c r="G140" s="487" t="str">
        <f t="shared" si="20"/>
        <v>e-hydrogenAsiaFinance cost</v>
      </c>
      <c r="H140" s="493">
        <v>423.4664833247287</v>
      </c>
      <c r="I140" s="493">
        <v>407.9080597487058</v>
      </c>
      <c r="J140" s="493">
        <v>391.93778538812398</v>
      </c>
      <c r="K140" s="493">
        <v>383.67894989578463</v>
      </c>
      <c r="L140" s="493">
        <v>374.65498754747659</v>
      </c>
      <c r="M140" s="493">
        <v>364.86589834320779</v>
      </c>
      <c r="N140" s="493">
        <v>354.31168228298088</v>
      </c>
      <c r="O140" s="493">
        <v>342.99233936678479</v>
      </c>
      <c r="P140" s="493">
        <v>350.20750340232428</v>
      </c>
      <c r="Q140" s="493">
        <v>355.6383130013013</v>
      </c>
      <c r="R140" s="493">
        <v>359.28476816371159</v>
      </c>
      <c r="S140" s="493">
        <v>361.14686888954691</v>
      </c>
      <c r="T140" s="493">
        <v>361.22461517882164</v>
      </c>
      <c r="U140" s="493">
        <v>358.40192634457429</v>
      </c>
      <c r="V140" s="493">
        <v>354.10652475046084</v>
      </c>
      <c r="W140" s="493">
        <v>348.33841039649622</v>
      </c>
      <c r="X140" s="493">
        <v>341.09758328266571</v>
      </c>
      <c r="Y140" s="493">
        <v>332.38404340896386</v>
      </c>
      <c r="Z140" s="493">
        <v>321.22576094613464</v>
      </c>
      <c r="AA140" s="493">
        <v>308.95623454830633</v>
      </c>
      <c r="AB140" s="493">
        <v>295.57546421549114</v>
      </c>
      <c r="AC140" s="493">
        <v>281.08344994768112</v>
      </c>
      <c r="AD140" s="493">
        <v>265.48019174487365</v>
      </c>
      <c r="AE140" s="493">
        <v>248.55741402200647</v>
      </c>
      <c r="AF140" s="493">
        <v>230.93955849750063</v>
      </c>
      <c r="AG140" s="493">
        <v>212.62662517135635</v>
      </c>
      <c r="AH140" s="493">
        <v>193.61861404357347</v>
      </c>
      <c r="AI140" s="493">
        <v>173.9155251141523</v>
      </c>
    </row>
    <row r="141" spans="2:64" outlineLevel="1">
      <c r="B141" t="str">
        <f t="shared" si="19"/>
        <v>e-hydrogen - Finance cost - Europe - USD/ton fuel</v>
      </c>
      <c r="C141" t="str">
        <f>C120</f>
        <v>e-hydrogen</v>
      </c>
      <c r="D141" t="s">
        <v>1366</v>
      </c>
      <c r="E141" t="s">
        <v>720</v>
      </c>
      <c r="F141" t="s">
        <v>1353</v>
      </c>
      <c r="G141" s="487" t="str">
        <f t="shared" si="20"/>
        <v>e-hydrogenEuropeFinance cost</v>
      </c>
      <c r="H141" s="493">
        <v>423.4664833247287</v>
      </c>
      <c r="I141" s="493">
        <v>407.9080597487058</v>
      </c>
      <c r="J141" s="493">
        <v>391.93778538812398</v>
      </c>
      <c r="K141" s="493">
        <v>383.67894989578463</v>
      </c>
      <c r="L141" s="493">
        <v>374.65498754747659</v>
      </c>
      <c r="M141" s="493">
        <v>364.86589834320779</v>
      </c>
      <c r="N141" s="493">
        <v>354.31168228298088</v>
      </c>
      <c r="O141" s="493">
        <v>342.99233936678479</v>
      </c>
      <c r="P141" s="493">
        <v>350.20750340232428</v>
      </c>
      <c r="Q141" s="493">
        <v>355.6383130013013</v>
      </c>
      <c r="R141" s="493">
        <v>359.28476816371159</v>
      </c>
      <c r="S141" s="493">
        <v>361.14686888954691</v>
      </c>
      <c r="T141" s="493">
        <v>361.22461517882164</v>
      </c>
      <c r="U141" s="493">
        <v>358.40192634457429</v>
      </c>
      <c r="V141" s="493">
        <v>354.10652475046084</v>
      </c>
      <c r="W141" s="493">
        <v>348.33841039649622</v>
      </c>
      <c r="X141" s="493">
        <v>341.09758328266571</v>
      </c>
      <c r="Y141" s="493">
        <v>332.38404340896386</v>
      </c>
      <c r="Z141" s="493">
        <v>321.22576094613464</v>
      </c>
      <c r="AA141" s="493">
        <v>308.95623454830633</v>
      </c>
      <c r="AB141" s="493">
        <v>295.57546421549114</v>
      </c>
      <c r="AC141" s="493">
        <v>281.08344994768112</v>
      </c>
      <c r="AD141" s="493">
        <v>265.48019174487365</v>
      </c>
      <c r="AE141" s="493">
        <v>248.55741402200647</v>
      </c>
      <c r="AF141" s="493">
        <v>230.93955849750063</v>
      </c>
      <c r="AG141" s="493">
        <v>212.62662517135635</v>
      </c>
      <c r="AH141" s="493">
        <v>193.61861404357347</v>
      </c>
      <c r="AI141" s="493">
        <v>173.9155251141523</v>
      </c>
    </row>
    <row r="142" spans="2:64" outlineLevel="1">
      <c r="B142" t="str">
        <f t="shared" si="19"/>
        <v>e-hydrogen - Finance cost - Middle East - USD/ton fuel</v>
      </c>
      <c r="C142" t="str">
        <f>C120</f>
        <v>e-hydrogen</v>
      </c>
      <c r="D142" t="s">
        <v>1366</v>
      </c>
      <c r="E142" t="s">
        <v>826</v>
      </c>
      <c r="F142" t="s">
        <v>1353</v>
      </c>
      <c r="G142" s="487" t="str">
        <f t="shared" si="20"/>
        <v>e-hydrogenMiddle EastFinance cost</v>
      </c>
      <c r="H142" s="493">
        <v>423.4664833247287</v>
      </c>
      <c r="I142" s="493">
        <v>407.9080597487058</v>
      </c>
      <c r="J142" s="493">
        <v>391.93778538812398</v>
      </c>
      <c r="K142" s="493">
        <v>383.67894989578463</v>
      </c>
      <c r="L142" s="493">
        <v>374.65498754747659</v>
      </c>
      <c r="M142" s="493">
        <v>364.86589834320779</v>
      </c>
      <c r="N142" s="493">
        <v>354.31168228298088</v>
      </c>
      <c r="O142" s="493">
        <v>342.99233936678479</v>
      </c>
      <c r="P142" s="493">
        <v>350.20750340232428</v>
      </c>
      <c r="Q142" s="493">
        <v>355.6383130013013</v>
      </c>
      <c r="R142" s="493">
        <v>359.28476816371159</v>
      </c>
      <c r="S142" s="493">
        <v>361.14686888954691</v>
      </c>
      <c r="T142" s="493">
        <v>361.22461517882164</v>
      </c>
      <c r="U142" s="493">
        <v>358.40192634457429</v>
      </c>
      <c r="V142" s="493">
        <v>354.10652475046084</v>
      </c>
      <c r="W142" s="493">
        <v>348.33841039649622</v>
      </c>
      <c r="X142" s="493">
        <v>341.09758328266571</v>
      </c>
      <c r="Y142" s="493">
        <v>332.38404340896386</v>
      </c>
      <c r="Z142" s="493">
        <v>321.22576094613464</v>
      </c>
      <c r="AA142" s="493">
        <v>308.95623454830633</v>
      </c>
      <c r="AB142" s="493">
        <v>295.57546421549114</v>
      </c>
      <c r="AC142" s="493">
        <v>281.08344994768112</v>
      </c>
      <c r="AD142" s="493">
        <v>265.48019174487365</v>
      </c>
      <c r="AE142" s="493">
        <v>248.55741402200647</v>
      </c>
      <c r="AF142" s="493">
        <v>230.93955849750063</v>
      </c>
      <c r="AG142" s="493">
        <v>212.62662517135635</v>
      </c>
      <c r="AH142" s="493">
        <v>193.61861404357347</v>
      </c>
      <c r="AI142" s="493">
        <v>173.9155251141523</v>
      </c>
    </row>
    <row r="143" spans="2:64" ht="15" outlineLevel="1" thickBot="1">
      <c r="B143" t="str">
        <f t="shared" si="19"/>
        <v/>
      </c>
      <c r="G143" s="487" t="str">
        <f t="shared" si="20"/>
        <v/>
      </c>
      <c r="H143" s="498"/>
    </row>
    <row r="144" spans="2:64" ht="15" outlineLevel="1">
      <c r="B144" t="str">
        <f t="shared" si="19"/>
        <v>e-hydrogen - Energy cost including feedstock energy cost - Africa - USD/ton fuel</v>
      </c>
      <c r="C144" s="494" t="str">
        <f>C120</f>
        <v>e-hydrogen</v>
      </c>
      <c r="D144" s="494" t="s">
        <v>1367</v>
      </c>
      <c r="E144" s="494" t="s">
        <v>838</v>
      </c>
      <c r="F144" s="494" t="s">
        <v>1353</v>
      </c>
      <c r="G144" s="487" t="str">
        <f t="shared" si="20"/>
        <v>e-hydrogenAfricaEnergy cost including feedstock energy cost</v>
      </c>
      <c r="H144" s="495">
        <v>3099.5612991873763</v>
      </c>
      <c r="I144" s="495">
        <v>2732.4132802800364</v>
      </c>
      <c r="J144" s="495">
        <v>2365.6357954445402</v>
      </c>
      <c r="K144" s="495">
        <v>2259.8307669024107</v>
      </c>
      <c r="L144" s="495">
        <v>2153.7044536588996</v>
      </c>
      <c r="M144" s="495">
        <v>2047.3596425558658</v>
      </c>
      <c r="N144" s="495">
        <v>1940.8991204352139</v>
      </c>
      <c r="O144" s="495">
        <v>1834.4256741388213</v>
      </c>
      <c r="P144" s="495">
        <v>1766.906863088881</v>
      </c>
      <c r="Q144" s="495">
        <v>1699.5562858180001</v>
      </c>
      <c r="R144" s="495">
        <v>1632.4293059626311</v>
      </c>
      <c r="S144" s="495">
        <v>1565.5812871593046</v>
      </c>
      <c r="T144" s="495">
        <v>1499.0675930445595</v>
      </c>
      <c r="U144" s="495">
        <v>1461.103444514785</v>
      </c>
      <c r="V144" s="495">
        <v>1423.2294155753539</v>
      </c>
      <c r="W144" s="495">
        <v>1385.4635715912545</v>
      </c>
      <c r="X144" s="495">
        <v>1347.8239779273658</v>
      </c>
      <c r="Y144" s="495">
        <v>1310.3286999486622</v>
      </c>
      <c r="Z144" s="495">
        <v>1268.8639116156805</v>
      </c>
      <c r="AA144" s="495">
        <v>1228.2209583369151</v>
      </c>
      <c r="AB144" s="495">
        <v>1188.389275973916</v>
      </c>
      <c r="AC144" s="495">
        <v>1149.358300388204</v>
      </c>
      <c r="AD144" s="495">
        <v>1111.1174674413141</v>
      </c>
      <c r="AE144" s="495">
        <v>1087.5630983722288</v>
      </c>
      <c r="AF144" s="495">
        <v>1064.4724737938868</v>
      </c>
      <c r="AG144" s="495">
        <v>1041.8389367539883</v>
      </c>
      <c r="AH144" s="495">
        <v>1019.6558303002557</v>
      </c>
      <c r="AI144" s="495">
        <v>997.91649748041243</v>
      </c>
      <c r="AK144" s="499" t="b">
        <f t="shared" ref="AK144:BL144" si="21">H127+H130+H133+H144+H155=H121</f>
        <v>1</v>
      </c>
      <c r="AL144" s="500" t="b">
        <f t="shared" si="21"/>
        <v>1</v>
      </c>
      <c r="AM144" s="500" t="b">
        <f t="shared" si="21"/>
        <v>1</v>
      </c>
      <c r="AN144" s="500" t="b">
        <f t="shared" si="21"/>
        <v>1</v>
      </c>
      <c r="AO144" s="500" t="b">
        <f t="shared" si="21"/>
        <v>1</v>
      </c>
      <c r="AP144" s="500" t="b">
        <f t="shared" si="21"/>
        <v>1</v>
      </c>
      <c r="AQ144" s="500" t="b">
        <f t="shared" si="21"/>
        <v>1</v>
      </c>
      <c r="AR144" s="500" t="b">
        <f t="shared" si="21"/>
        <v>1</v>
      </c>
      <c r="AS144" s="500" t="b">
        <f t="shared" si="21"/>
        <v>1</v>
      </c>
      <c r="AT144" s="500" t="b">
        <f t="shared" si="21"/>
        <v>1</v>
      </c>
      <c r="AU144" s="500" t="b">
        <f t="shared" si="21"/>
        <v>1</v>
      </c>
      <c r="AV144" s="500" t="b">
        <f t="shared" si="21"/>
        <v>1</v>
      </c>
      <c r="AW144" s="500" t="b">
        <f t="shared" si="21"/>
        <v>1</v>
      </c>
      <c r="AX144" s="500" t="b">
        <f t="shared" si="21"/>
        <v>1</v>
      </c>
      <c r="AY144" s="500" t="b">
        <f t="shared" si="21"/>
        <v>1</v>
      </c>
      <c r="AZ144" s="500" t="b">
        <f t="shared" si="21"/>
        <v>1</v>
      </c>
      <c r="BA144" s="500" t="b">
        <f t="shared" si="21"/>
        <v>1</v>
      </c>
      <c r="BB144" s="500" t="b">
        <f t="shared" si="21"/>
        <v>1</v>
      </c>
      <c r="BC144" s="500" t="b">
        <f t="shared" si="21"/>
        <v>1</v>
      </c>
      <c r="BD144" s="500" t="b">
        <f t="shared" si="21"/>
        <v>1</v>
      </c>
      <c r="BE144" s="500" t="b">
        <f t="shared" si="21"/>
        <v>1</v>
      </c>
      <c r="BF144" s="500" t="b">
        <f t="shared" si="21"/>
        <v>1</v>
      </c>
      <c r="BG144" s="500" t="b">
        <f t="shared" si="21"/>
        <v>1</v>
      </c>
      <c r="BH144" s="500" t="b">
        <f t="shared" si="21"/>
        <v>1</v>
      </c>
      <c r="BI144" s="500" t="b">
        <f t="shared" si="21"/>
        <v>1</v>
      </c>
      <c r="BJ144" s="500" t="b">
        <f t="shared" si="21"/>
        <v>1</v>
      </c>
      <c r="BK144" s="500" t="b">
        <f t="shared" si="21"/>
        <v>1</v>
      </c>
      <c r="BL144" s="501" t="b">
        <f t="shared" si="21"/>
        <v>1</v>
      </c>
    </row>
    <row r="145" spans="2:64" ht="15" outlineLevel="1">
      <c r="B145" t="str">
        <f t="shared" si="19"/>
        <v>e-hydrogen - Energy cost including feedstock energy cost - Americas - USD/ton fuel</v>
      </c>
      <c r="C145" s="22" t="str">
        <f>C120</f>
        <v>e-hydrogen</v>
      </c>
      <c r="D145" s="22" t="s">
        <v>1367</v>
      </c>
      <c r="E145" s="22" t="s">
        <v>731</v>
      </c>
      <c r="F145" s="22" t="s">
        <v>1353</v>
      </c>
      <c r="G145" s="487" t="str">
        <f t="shared" si="20"/>
        <v>e-hydrogenAmericasEnergy cost including feedstock energy cost</v>
      </c>
      <c r="H145" s="496">
        <v>1947.5004860168665</v>
      </c>
      <c r="I145" s="496">
        <v>1904.9552945225707</v>
      </c>
      <c r="J145" s="496">
        <v>1862.1299143132335</v>
      </c>
      <c r="K145" s="496">
        <v>1790.4849584081528</v>
      </c>
      <c r="L145" s="496">
        <v>1718.5318298328032</v>
      </c>
      <c r="M145" s="496">
        <v>1646.3395919382333</v>
      </c>
      <c r="N145" s="496">
        <v>1573.977308075574</v>
      </c>
      <c r="O145" s="496">
        <v>1501.5140415958033</v>
      </c>
      <c r="P145" s="496">
        <v>1459.4943390819662</v>
      </c>
      <c r="Q145" s="496">
        <v>1417.42673746174</v>
      </c>
      <c r="R145" s="496">
        <v>1375.343306161586</v>
      </c>
      <c r="S145" s="496">
        <v>1333.2761146079704</v>
      </c>
      <c r="T145" s="496">
        <v>1291.2572322274164</v>
      </c>
      <c r="U145" s="496">
        <v>1255.142470677443</v>
      </c>
      <c r="V145" s="496">
        <v>1219.1662682992981</v>
      </c>
      <c r="W145" s="496">
        <v>1183.3466471378301</v>
      </c>
      <c r="X145" s="496">
        <v>1147.7016292377957</v>
      </c>
      <c r="Y145" s="496">
        <v>1112.249236644011</v>
      </c>
      <c r="Z145" s="496">
        <v>1088.267014678506</v>
      </c>
      <c r="AA145" s="496">
        <v>1064.6911902477218</v>
      </c>
      <c r="AB145" s="496">
        <v>1041.5176343342414</v>
      </c>
      <c r="AC145" s="496">
        <v>1018.7422179205867</v>
      </c>
      <c r="AD145" s="496">
        <v>996.36081198933221</v>
      </c>
      <c r="AE145" s="496">
        <v>978.57722665326708</v>
      </c>
      <c r="AF145" s="496">
        <v>961.13622252163054</v>
      </c>
      <c r="AG145" s="496">
        <v>944.03380034651195</v>
      </c>
      <c r="AH145" s="496">
        <v>927.26596088000963</v>
      </c>
      <c r="AI145" s="496">
        <v>910.82870487422178</v>
      </c>
      <c r="AK145" s="502" t="b">
        <f t="shared" ref="AK145:BL145" si="22">H127+H130+H134+H145+H155=H122</f>
        <v>1</v>
      </c>
      <c r="AL145" s="106" t="b">
        <f t="shared" si="22"/>
        <v>1</v>
      </c>
      <c r="AM145" s="106" t="b">
        <f t="shared" si="22"/>
        <v>1</v>
      </c>
      <c r="AN145" s="106" t="b">
        <f t="shared" si="22"/>
        <v>1</v>
      </c>
      <c r="AO145" s="106" t="b">
        <f t="shared" si="22"/>
        <v>1</v>
      </c>
      <c r="AP145" s="106" t="b">
        <f t="shared" si="22"/>
        <v>1</v>
      </c>
      <c r="AQ145" s="106" t="b">
        <f t="shared" si="22"/>
        <v>1</v>
      </c>
      <c r="AR145" s="106" t="b">
        <f t="shared" si="22"/>
        <v>1</v>
      </c>
      <c r="AS145" s="106" t="b">
        <f t="shared" si="22"/>
        <v>1</v>
      </c>
      <c r="AT145" s="106" t="b">
        <f t="shared" si="22"/>
        <v>1</v>
      </c>
      <c r="AU145" s="106" t="b">
        <f t="shared" si="22"/>
        <v>1</v>
      </c>
      <c r="AV145" s="106" t="b">
        <f t="shared" si="22"/>
        <v>1</v>
      </c>
      <c r="AW145" s="106" t="b">
        <f t="shared" si="22"/>
        <v>1</v>
      </c>
      <c r="AX145" s="106" t="b">
        <f t="shared" si="22"/>
        <v>1</v>
      </c>
      <c r="AY145" s="106" t="b">
        <f t="shared" si="22"/>
        <v>1</v>
      </c>
      <c r="AZ145" s="106" t="b">
        <f t="shared" si="22"/>
        <v>1</v>
      </c>
      <c r="BA145" s="106" t="b">
        <f t="shared" si="22"/>
        <v>1</v>
      </c>
      <c r="BB145" s="106" t="b">
        <f t="shared" si="22"/>
        <v>1</v>
      </c>
      <c r="BC145" s="106" t="b">
        <f t="shared" si="22"/>
        <v>1</v>
      </c>
      <c r="BD145" s="106" t="b">
        <f t="shared" si="22"/>
        <v>1</v>
      </c>
      <c r="BE145" s="106" t="b">
        <f t="shared" si="22"/>
        <v>1</v>
      </c>
      <c r="BF145" s="106" t="b">
        <f t="shared" si="22"/>
        <v>1</v>
      </c>
      <c r="BG145" s="106" t="b">
        <f t="shared" si="22"/>
        <v>1</v>
      </c>
      <c r="BH145" s="106" t="b">
        <f t="shared" si="22"/>
        <v>1</v>
      </c>
      <c r="BI145" s="106" t="b">
        <f t="shared" si="22"/>
        <v>1</v>
      </c>
      <c r="BJ145" s="106" t="b">
        <f t="shared" si="22"/>
        <v>1</v>
      </c>
      <c r="BK145" s="106" t="b">
        <f t="shared" si="22"/>
        <v>1</v>
      </c>
      <c r="BL145" s="503" t="b">
        <f t="shared" si="22"/>
        <v>1</v>
      </c>
    </row>
    <row r="146" spans="2:64" ht="15" outlineLevel="1">
      <c r="B146" t="str">
        <f t="shared" si="19"/>
        <v>e-hydrogen - Energy cost including feedstock energy cost - Asia - USD/ton fuel</v>
      </c>
      <c r="C146" s="22" t="str">
        <f>C120</f>
        <v>e-hydrogen</v>
      </c>
      <c r="D146" s="22" t="s">
        <v>1367</v>
      </c>
      <c r="E146" s="22" t="s">
        <v>750</v>
      </c>
      <c r="F146" s="22" t="s">
        <v>1353</v>
      </c>
      <c r="G146" s="487" t="str">
        <f t="shared" si="20"/>
        <v>e-hydrogenAsiaEnergy cost including feedstock energy cost</v>
      </c>
      <c r="H146" s="496">
        <v>3447.3564542551999</v>
      </c>
      <c r="I146" s="496">
        <v>3140.7703542039226</v>
      </c>
      <c r="J146" s="496">
        <v>2834.3188986756909</v>
      </c>
      <c r="K146" s="496">
        <v>2720.3975511402173</v>
      </c>
      <c r="L146" s="496">
        <v>2606.030270496603</v>
      </c>
      <c r="M146" s="496">
        <v>2491.3271348083481</v>
      </c>
      <c r="N146" s="496">
        <v>2376.398222139183</v>
      </c>
      <c r="O146" s="496">
        <v>2261.3536105527155</v>
      </c>
      <c r="P146" s="496">
        <v>2174.174811880971</v>
      </c>
      <c r="Q146" s="496">
        <v>2087.2586957362041</v>
      </c>
      <c r="R146" s="496">
        <v>2000.6774571599242</v>
      </c>
      <c r="S146" s="496">
        <v>1914.5032911936005</v>
      </c>
      <c r="T146" s="496">
        <v>1828.8083928788642</v>
      </c>
      <c r="U146" s="496">
        <v>1777.7675153050047</v>
      </c>
      <c r="V146" s="496">
        <v>1726.9209427057385</v>
      </c>
      <c r="W146" s="496">
        <v>1676.2941215017977</v>
      </c>
      <c r="X146" s="496">
        <v>1625.912498113727</v>
      </c>
      <c r="Y146" s="496">
        <v>1575.8015189622374</v>
      </c>
      <c r="Z146" s="496">
        <v>1520.2732075110976</v>
      </c>
      <c r="AA146" s="496">
        <v>1465.8802784143245</v>
      </c>
      <c r="AB146" s="496">
        <v>1412.6075841955894</v>
      </c>
      <c r="AC146" s="496">
        <v>1360.4399773785319</v>
      </c>
      <c r="AD146" s="496">
        <v>1309.362310486812</v>
      </c>
      <c r="AE146" s="496">
        <v>1279.78659507924</v>
      </c>
      <c r="AF146" s="496">
        <v>1250.7972858392457</v>
      </c>
      <c r="AG146" s="496">
        <v>1222.3854646144603</v>
      </c>
      <c r="AH146" s="496">
        <v>1194.5422132525091</v>
      </c>
      <c r="AI146" s="496">
        <v>1167.2586136010173</v>
      </c>
      <c r="AK146" s="502" t="b">
        <f t="shared" ref="AK146:BL146" si="23">H127+H130+H135+H146+H155=H123</f>
        <v>1</v>
      </c>
      <c r="AL146" s="106" t="b">
        <f t="shared" si="23"/>
        <v>1</v>
      </c>
      <c r="AM146" s="106" t="b">
        <f t="shared" si="23"/>
        <v>1</v>
      </c>
      <c r="AN146" s="106" t="b">
        <f t="shared" si="23"/>
        <v>1</v>
      </c>
      <c r="AO146" s="106" t="b">
        <f t="shared" si="23"/>
        <v>1</v>
      </c>
      <c r="AP146" s="106" t="b">
        <f t="shared" si="23"/>
        <v>1</v>
      </c>
      <c r="AQ146" s="106" t="b">
        <f t="shared" si="23"/>
        <v>1</v>
      </c>
      <c r="AR146" s="106" t="b">
        <f t="shared" si="23"/>
        <v>1</v>
      </c>
      <c r="AS146" s="106" t="b">
        <f t="shared" si="23"/>
        <v>1</v>
      </c>
      <c r="AT146" s="106" t="b">
        <f t="shared" si="23"/>
        <v>1</v>
      </c>
      <c r="AU146" s="106" t="b">
        <f t="shared" si="23"/>
        <v>1</v>
      </c>
      <c r="AV146" s="106" t="b">
        <f t="shared" si="23"/>
        <v>1</v>
      </c>
      <c r="AW146" s="106" t="b">
        <f t="shared" si="23"/>
        <v>1</v>
      </c>
      <c r="AX146" s="106" t="b">
        <f t="shared" si="23"/>
        <v>1</v>
      </c>
      <c r="AY146" s="106" t="b">
        <f t="shared" si="23"/>
        <v>1</v>
      </c>
      <c r="AZ146" s="106" t="b">
        <f t="shared" si="23"/>
        <v>1</v>
      </c>
      <c r="BA146" s="106" t="b">
        <f t="shared" si="23"/>
        <v>1</v>
      </c>
      <c r="BB146" s="106" t="b">
        <f t="shared" si="23"/>
        <v>1</v>
      </c>
      <c r="BC146" s="106" t="b">
        <f t="shared" si="23"/>
        <v>1</v>
      </c>
      <c r="BD146" s="106" t="b">
        <f t="shared" si="23"/>
        <v>1</v>
      </c>
      <c r="BE146" s="106" t="b">
        <f t="shared" si="23"/>
        <v>1</v>
      </c>
      <c r="BF146" s="106" t="b">
        <f t="shared" si="23"/>
        <v>1</v>
      </c>
      <c r="BG146" s="106" t="b">
        <f t="shared" si="23"/>
        <v>1</v>
      </c>
      <c r="BH146" s="106" t="b">
        <f t="shared" si="23"/>
        <v>1</v>
      </c>
      <c r="BI146" s="106" t="b">
        <f t="shared" si="23"/>
        <v>1</v>
      </c>
      <c r="BJ146" s="106" t="b">
        <f t="shared" si="23"/>
        <v>1</v>
      </c>
      <c r="BK146" s="106" t="b">
        <f t="shared" si="23"/>
        <v>1</v>
      </c>
      <c r="BL146" s="503" t="b">
        <f t="shared" si="23"/>
        <v>1</v>
      </c>
    </row>
    <row r="147" spans="2:64" ht="15" outlineLevel="1">
      <c r="B147" t="str">
        <f t="shared" si="19"/>
        <v>e-hydrogen - Energy cost including feedstock energy cost - Europe - USD/ton fuel</v>
      </c>
      <c r="C147" s="22" t="str">
        <f>C120</f>
        <v>e-hydrogen</v>
      </c>
      <c r="D147" s="22" t="s">
        <v>1367</v>
      </c>
      <c r="E147" s="22" t="s">
        <v>720</v>
      </c>
      <c r="F147" s="22" t="s">
        <v>1353</v>
      </c>
      <c r="G147" s="487" t="str">
        <f t="shared" si="20"/>
        <v>e-hydrogenEuropeEnergy cost including feedstock energy cost</v>
      </c>
      <c r="H147" s="496">
        <v>2566.3701470170417</v>
      </c>
      <c r="I147" s="496">
        <v>2452.9083112298426</v>
      </c>
      <c r="J147" s="496">
        <v>2339.2337535448082</v>
      </c>
      <c r="K147" s="496">
        <v>2245.5167986914189</v>
      </c>
      <c r="L147" s="496">
        <v>2151.4303552043284</v>
      </c>
      <c r="M147" s="496">
        <v>2057.064962685201</v>
      </c>
      <c r="N147" s="496">
        <v>1962.5111607356753</v>
      </c>
      <c r="O147" s="496">
        <v>1867.8594889573847</v>
      </c>
      <c r="P147" s="496">
        <v>1819.1813083833658</v>
      </c>
      <c r="Q147" s="496">
        <v>1770.3931872655958</v>
      </c>
      <c r="R147" s="496">
        <v>1721.5314255225589</v>
      </c>
      <c r="S147" s="496">
        <v>1672.6323230728049</v>
      </c>
      <c r="T147" s="496">
        <v>1623.7321798349606</v>
      </c>
      <c r="U147" s="496">
        <v>1588.9118560091065</v>
      </c>
      <c r="V147" s="496">
        <v>1554.0766691650888</v>
      </c>
      <c r="W147" s="496">
        <v>1519.2416441496489</v>
      </c>
      <c r="X147" s="496">
        <v>1484.4218058093938</v>
      </c>
      <c r="Y147" s="496">
        <v>1449.6321789910207</v>
      </c>
      <c r="Z147" s="496">
        <v>1409.6608085718863</v>
      </c>
      <c r="AA147" s="496">
        <v>1370.4453980421019</v>
      </c>
      <c r="AB147" s="496">
        <v>1331.9768062643011</v>
      </c>
      <c r="AC147" s="496">
        <v>1294.245892101027</v>
      </c>
      <c r="AD147" s="496">
        <v>1257.2435144149015</v>
      </c>
      <c r="AE147" s="496">
        <v>1228.8458546695026</v>
      </c>
      <c r="AF147" s="496">
        <v>1201.0112417420796</v>
      </c>
      <c r="AG147" s="496">
        <v>1173.7311129385466</v>
      </c>
      <c r="AH147" s="496">
        <v>1146.9969055648128</v>
      </c>
      <c r="AI147" s="496">
        <v>1120.8000569267858</v>
      </c>
      <c r="AK147" s="502" t="b">
        <f t="shared" ref="AK147:BL147" si="24">H127+H130+H136+H147+H155=H124</f>
        <v>1</v>
      </c>
      <c r="AL147" s="106" t="b">
        <f t="shared" si="24"/>
        <v>1</v>
      </c>
      <c r="AM147" s="106" t="b">
        <f t="shared" si="24"/>
        <v>1</v>
      </c>
      <c r="AN147" s="106" t="b">
        <f t="shared" si="24"/>
        <v>1</v>
      </c>
      <c r="AO147" s="106" t="b">
        <f t="shared" si="24"/>
        <v>1</v>
      </c>
      <c r="AP147" s="106" t="b">
        <f t="shared" si="24"/>
        <v>1</v>
      </c>
      <c r="AQ147" s="106" t="b">
        <f t="shared" si="24"/>
        <v>1</v>
      </c>
      <c r="AR147" s="106" t="b">
        <f t="shared" si="24"/>
        <v>1</v>
      </c>
      <c r="AS147" s="106" t="b">
        <f t="shared" si="24"/>
        <v>1</v>
      </c>
      <c r="AT147" s="106" t="b">
        <f t="shared" si="24"/>
        <v>1</v>
      </c>
      <c r="AU147" s="106" t="b">
        <f t="shared" si="24"/>
        <v>1</v>
      </c>
      <c r="AV147" s="106" t="b">
        <f t="shared" si="24"/>
        <v>1</v>
      </c>
      <c r="AW147" s="106" t="b">
        <f t="shared" si="24"/>
        <v>1</v>
      </c>
      <c r="AX147" s="106" t="b">
        <f t="shared" si="24"/>
        <v>1</v>
      </c>
      <c r="AY147" s="106" t="b">
        <f t="shared" si="24"/>
        <v>1</v>
      </c>
      <c r="AZ147" s="106" t="b">
        <f t="shared" si="24"/>
        <v>1</v>
      </c>
      <c r="BA147" s="106" t="b">
        <f t="shared" si="24"/>
        <v>1</v>
      </c>
      <c r="BB147" s="106" t="b">
        <f t="shared" si="24"/>
        <v>1</v>
      </c>
      <c r="BC147" s="106" t="b">
        <f t="shared" si="24"/>
        <v>1</v>
      </c>
      <c r="BD147" s="106" t="b">
        <f t="shared" si="24"/>
        <v>1</v>
      </c>
      <c r="BE147" s="106" t="b">
        <f t="shared" si="24"/>
        <v>1</v>
      </c>
      <c r="BF147" s="106" t="b">
        <f t="shared" si="24"/>
        <v>1</v>
      </c>
      <c r="BG147" s="106" t="b">
        <f t="shared" si="24"/>
        <v>1</v>
      </c>
      <c r="BH147" s="106" t="b">
        <f t="shared" si="24"/>
        <v>1</v>
      </c>
      <c r="BI147" s="106" t="b">
        <f t="shared" si="24"/>
        <v>1</v>
      </c>
      <c r="BJ147" s="106" t="b">
        <f t="shared" si="24"/>
        <v>1</v>
      </c>
      <c r="BK147" s="106" t="b">
        <f t="shared" si="24"/>
        <v>1</v>
      </c>
      <c r="BL147" s="503" t="b">
        <f t="shared" si="24"/>
        <v>1</v>
      </c>
    </row>
    <row r="148" spans="2:64" ht="15.75" outlineLevel="1" thickBot="1">
      <c r="B148" t="str">
        <f t="shared" si="19"/>
        <v>e-hydrogen - Energy cost including feedstock energy cost - Middle East - USD/ton fuel</v>
      </c>
      <c r="C148" s="92" t="str">
        <f>C120</f>
        <v>e-hydrogen</v>
      </c>
      <c r="D148" s="92" t="s">
        <v>1367</v>
      </c>
      <c r="E148" s="92" t="s">
        <v>826</v>
      </c>
      <c r="F148" s="92" t="s">
        <v>1353</v>
      </c>
      <c r="G148" s="487" t="str">
        <f t="shared" si="20"/>
        <v>e-hydrogenMiddle EastEnergy cost including feedstock energy cost</v>
      </c>
      <c r="H148" s="497">
        <v>1965.1844538611451</v>
      </c>
      <c r="I148" s="497">
        <v>1876.2839560959403</v>
      </c>
      <c r="J148" s="497">
        <v>1787.2260693119242</v>
      </c>
      <c r="K148" s="497">
        <v>1726.4421516736113</v>
      </c>
      <c r="L148" s="497">
        <v>1665.3245710268734</v>
      </c>
      <c r="M148" s="497">
        <v>1603.9314924493679</v>
      </c>
      <c r="N148" s="497">
        <v>1542.3210810188079</v>
      </c>
      <c r="O148" s="497">
        <v>1480.5515018128272</v>
      </c>
      <c r="P148" s="497">
        <v>1431.1659603843768</v>
      </c>
      <c r="Q148" s="497">
        <v>1381.8446196834898</v>
      </c>
      <c r="R148" s="497">
        <v>1332.6270545048401</v>
      </c>
      <c r="S148" s="497">
        <v>1283.5528396431546</v>
      </c>
      <c r="T148" s="497">
        <v>1234.6615498931842</v>
      </c>
      <c r="U148" s="497">
        <v>1204.9513526944327</v>
      </c>
      <c r="V148" s="497">
        <v>1175.287571490569</v>
      </c>
      <c r="W148" s="497">
        <v>1145.6839621175516</v>
      </c>
      <c r="X148" s="497">
        <v>1116.1542804112171</v>
      </c>
      <c r="Y148" s="497">
        <v>1086.7122822074946</v>
      </c>
      <c r="Z148" s="497">
        <v>1048.8524441656205</v>
      </c>
      <c r="AA148" s="497">
        <v>1011.7643278450553</v>
      </c>
      <c r="AB148" s="497">
        <v>975.43767435152495</v>
      </c>
      <c r="AC148" s="497">
        <v>939.86222479072671</v>
      </c>
      <c r="AD148" s="497">
        <v>905.02772026837658</v>
      </c>
      <c r="AE148" s="497">
        <v>884.58478387908167</v>
      </c>
      <c r="AF148" s="497">
        <v>864.54717603247877</v>
      </c>
      <c r="AG148" s="497">
        <v>844.90873235959646</v>
      </c>
      <c r="AH148" s="497">
        <v>825.66328849147681</v>
      </c>
      <c r="AI148" s="497">
        <v>806.80468005916202</v>
      </c>
      <c r="AK148" s="504" t="b">
        <f t="shared" ref="AK148:BL148" si="25">H127+H130+H137+H148+H155=H125</f>
        <v>1</v>
      </c>
      <c r="AL148" s="505" t="b">
        <f t="shared" si="25"/>
        <v>1</v>
      </c>
      <c r="AM148" s="505" t="b">
        <f t="shared" si="25"/>
        <v>1</v>
      </c>
      <c r="AN148" s="505" t="b">
        <f t="shared" si="25"/>
        <v>1</v>
      </c>
      <c r="AO148" s="505" t="b">
        <f t="shared" si="25"/>
        <v>1</v>
      </c>
      <c r="AP148" s="505" t="b">
        <f t="shared" si="25"/>
        <v>1</v>
      </c>
      <c r="AQ148" s="505" t="b">
        <f t="shared" si="25"/>
        <v>1</v>
      </c>
      <c r="AR148" s="505" t="b">
        <f t="shared" si="25"/>
        <v>1</v>
      </c>
      <c r="AS148" s="505" t="b">
        <f t="shared" si="25"/>
        <v>1</v>
      </c>
      <c r="AT148" s="505" t="b">
        <f t="shared" si="25"/>
        <v>1</v>
      </c>
      <c r="AU148" s="505" t="b">
        <f t="shared" si="25"/>
        <v>1</v>
      </c>
      <c r="AV148" s="505" t="b">
        <f t="shared" si="25"/>
        <v>1</v>
      </c>
      <c r="AW148" s="505" t="b">
        <f t="shared" si="25"/>
        <v>1</v>
      </c>
      <c r="AX148" s="505" t="b">
        <f t="shared" si="25"/>
        <v>1</v>
      </c>
      <c r="AY148" s="505" t="b">
        <f t="shared" si="25"/>
        <v>1</v>
      </c>
      <c r="AZ148" s="505" t="b">
        <f t="shared" si="25"/>
        <v>1</v>
      </c>
      <c r="BA148" s="505" t="b">
        <f t="shared" si="25"/>
        <v>1</v>
      </c>
      <c r="BB148" s="505" t="b">
        <f t="shared" si="25"/>
        <v>1</v>
      </c>
      <c r="BC148" s="505" t="b">
        <f t="shared" si="25"/>
        <v>1</v>
      </c>
      <c r="BD148" s="505" t="b">
        <f t="shared" si="25"/>
        <v>1</v>
      </c>
      <c r="BE148" s="505" t="b">
        <f t="shared" si="25"/>
        <v>1</v>
      </c>
      <c r="BF148" s="505" t="b">
        <f t="shared" si="25"/>
        <v>1</v>
      </c>
      <c r="BG148" s="505" t="b">
        <f t="shared" si="25"/>
        <v>1</v>
      </c>
      <c r="BH148" s="505" t="b">
        <f t="shared" si="25"/>
        <v>1</v>
      </c>
      <c r="BI148" s="505" t="b">
        <f t="shared" si="25"/>
        <v>1</v>
      </c>
      <c r="BJ148" s="505" t="b">
        <f t="shared" si="25"/>
        <v>1</v>
      </c>
      <c r="BK148" s="505" t="b">
        <f t="shared" si="25"/>
        <v>1</v>
      </c>
      <c r="BL148" s="506" t="b">
        <f t="shared" si="25"/>
        <v>1</v>
      </c>
    </row>
    <row r="149" spans="2:64" outlineLevel="1">
      <c r="B149" t="str">
        <f t="shared" si="19"/>
        <v>e-hydrogen - Energy cost - Africa - USD/ton fuel</v>
      </c>
      <c r="C149" t="str">
        <f>C120</f>
        <v>e-hydrogen</v>
      </c>
      <c r="D149" t="s">
        <v>1368</v>
      </c>
      <c r="E149" t="s">
        <v>838</v>
      </c>
      <c r="F149" t="s">
        <v>1353</v>
      </c>
      <c r="G149" s="487" t="str">
        <f t="shared" si="20"/>
        <v>e-hydrogenAfricaEnergy cost</v>
      </c>
      <c r="H149" s="493">
        <v>3099.5612991873763</v>
      </c>
      <c r="I149" s="493">
        <v>2732.4132802800364</v>
      </c>
      <c r="J149" s="493">
        <v>2365.6357954445402</v>
      </c>
      <c r="K149" s="493">
        <v>2259.8307669024107</v>
      </c>
      <c r="L149" s="493">
        <v>2153.7044536588996</v>
      </c>
      <c r="M149" s="493">
        <v>2047.3596425558658</v>
      </c>
      <c r="N149" s="493">
        <v>1940.8991204352139</v>
      </c>
      <c r="O149" s="493">
        <v>1834.4256741388213</v>
      </c>
      <c r="P149" s="493">
        <v>1766.906863088881</v>
      </c>
      <c r="Q149" s="493">
        <v>1699.5562858180001</v>
      </c>
      <c r="R149" s="493">
        <v>1632.4293059626311</v>
      </c>
      <c r="S149" s="493">
        <v>1565.5812871593046</v>
      </c>
      <c r="T149" s="493">
        <v>1499.0675930445595</v>
      </c>
      <c r="U149" s="493">
        <v>1461.103444514785</v>
      </c>
      <c r="V149" s="493">
        <v>1423.2294155753539</v>
      </c>
      <c r="W149" s="493">
        <v>1385.4635715912545</v>
      </c>
      <c r="X149" s="493">
        <v>1347.8239779273658</v>
      </c>
      <c r="Y149" s="493">
        <v>1310.3286999486622</v>
      </c>
      <c r="Z149" s="493">
        <v>1268.8639116156805</v>
      </c>
      <c r="AA149" s="493">
        <v>1228.2209583369151</v>
      </c>
      <c r="AB149" s="493">
        <v>1188.389275973916</v>
      </c>
      <c r="AC149" s="493">
        <v>1149.358300388204</v>
      </c>
      <c r="AD149" s="493">
        <v>1111.1174674413141</v>
      </c>
      <c r="AE149" s="493">
        <v>1087.5630983722288</v>
      </c>
      <c r="AF149" s="493">
        <v>1064.4724737938868</v>
      </c>
      <c r="AG149" s="493">
        <v>1041.8389367539883</v>
      </c>
      <c r="AH149" s="493">
        <v>1019.6558303002557</v>
      </c>
      <c r="AI149" s="493">
        <v>997.91649748041243</v>
      </c>
    </row>
    <row r="150" spans="2:64" outlineLevel="1">
      <c r="B150" t="str">
        <f t="shared" si="19"/>
        <v>e-hydrogen - Energy cost - Americas - USD/ton fuel</v>
      </c>
      <c r="C150" t="str">
        <f>C120</f>
        <v>e-hydrogen</v>
      </c>
      <c r="D150" t="s">
        <v>1368</v>
      </c>
      <c r="E150" t="s">
        <v>731</v>
      </c>
      <c r="F150" t="s">
        <v>1353</v>
      </c>
      <c r="G150" s="487" t="str">
        <f t="shared" si="20"/>
        <v>e-hydrogenAmericasEnergy cost</v>
      </c>
      <c r="H150" s="493">
        <v>1947.5004860168665</v>
      </c>
      <c r="I150" s="493">
        <v>1904.9552945225707</v>
      </c>
      <c r="J150" s="493">
        <v>1862.1299143132335</v>
      </c>
      <c r="K150" s="493">
        <v>1790.4849584081528</v>
      </c>
      <c r="L150" s="493">
        <v>1718.5318298328032</v>
      </c>
      <c r="M150" s="493">
        <v>1646.3395919382333</v>
      </c>
      <c r="N150" s="493">
        <v>1573.977308075574</v>
      </c>
      <c r="O150" s="493">
        <v>1501.5140415958033</v>
      </c>
      <c r="P150" s="493">
        <v>1459.4943390819662</v>
      </c>
      <c r="Q150" s="493">
        <v>1417.42673746174</v>
      </c>
      <c r="R150" s="493">
        <v>1375.343306161586</v>
      </c>
      <c r="S150" s="493">
        <v>1333.2761146079704</v>
      </c>
      <c r="T150" s="493">
        <v>1291.2572322274164</v>
      </c>
      <c r="U150" s="493">
        <v>1255.142470677443</v>
      </c>
      <c r="V150" s="493">
        <v>1219.1662682992981</v>
      </c>
      <c r="W150" s="493">
        <v>1183.3466471378301</v>
      </c>
      <c r="X150" s="493">
        <v>1147.7016292377957</v>
      </c>
      <c r="Y150" s="493">
        <v>1112.249236644011</v>
      </c>
      <c r="Z150" s="493">
        <v>1088.267014678506</v>
      </c>
      <c r="AA150" s="493">
        <v>1064.6911902477218</v>
      </c>
      <c r="AB150" s="493">
        <v>1041.5176343342414</v>
      </c>
      <c r="AC150" s="493">
        <v>1018.7422179205867</v>
      </c>
      <c r="AD150" s="493">
        <v>996.36081198933221</v>
      </c>
      <c r="AE150" s="493">
        <v>978.57722665326708</v>
      </c>
      <c r="AF150" s="493">
        <v>961.13622252163054</v>
      </c>
      <c r="AG150" s="493">
        <v>944.03380034651195</v>
      </c>
      <c r="AH150" s="493">
        <v>927.26596088000963</v>
      </c>
      <c r="AI150" s="493">
        <v>910.82870487422178</v>
      </c>
    </row>
    <row r="151" spans="2:64" outlineLevel="1">
      <c r="B151" t="str">
        <f t="shared" si="19"/>
        <v>e-hydrogen - Energy cost - Asia - USD/ton fuel</v>
      </c>
      <c r="C151" t="str">
        <f>C120</f>
        <v>e-hydrogen</v>
      </c>
      <c r="D151" t="s">
        <v>1368</v>
      </c>
      <c r="E151" t="s">
        <v>750</v>
      </c>
      <c r="F151" t="s">
        <v>1353</v>
      </c>
      <c r="G151" s="487" t="str">
        <f t="shared" si="20"/>
        <v>e-hydrogenAsiaEnergy cost</v>
      </c>
      <c r="H151" s="493">
        <v>3447.3564542551999</v>
      </c>
      <c r="I151" s="493">
        <v>3140.7703542039226</v>
      </c>
      <c r="J151" s="493">
        <v>2834.3188986756909</v>
      </c>
      <c r="K151" s="493">
        <v>2720.3975511402173</v>
      </c>
      <c r="L151" s="493">
        <v>2606.030270496603</v>
      </c>
      <c r="M151" s="493">
        <v>2491.3271348083481</v>
      </c>
      <c r="N151" s="493">
        <v>2376.398222139183</v>
      </c>
      <c r="O151" s="493">
        <v>2261.3536105527155</v>
      </c>
      <c r="P151" s="493">
        <v>2174.174811880971</v>
      </c>
      <c r="Q151" s="493">
        <v>2087.2586957362041</v>
      </c>
      <c r="R151" s="493">
        <v>2000.6774571599242</v>
      </c>
      <c r="S151" s="493">
        <v>1914.5032911936005</v>
      </c>
      <c r="T151" s="493">
        <v>1828.8083928788642</v>
      </c>
      <c r="U151" s="493">
        <v>1777.7675153050047</v>
      </c>
      <c r="V151" s="493">
        <v>1726.9209427057385</v>
      </c>
      <c r="W151" s="493">
        <v>1676.2941215017977</v>
      </c>
      <c r="X151" s="493">
        <v>1625.912498113727</v>
      </c>
      <c r="Y151" s="493">
        <v>1575.8015189622374</v>
      </c>
      <c r="Z151" s="493">
        <v>1520.2732075110976</v>
      </c>
      <c r="AA151" s="493">
        <v>1465.8802784143245</v>
      </c>
      <c r="AB151" s="493">
        <v>1412.6075841955894</v>
      </c>
      <c r="AC151" s="493">
        <v>1360.4399773785319</v>
      </c>
      <c r="AD151" s="493">
        <v>1309.362310486812</v>
      </c>
      <c r="AE151" s="493">
        <v>1279.78659507924</v>
      </c>
      <c r="AF151" s="493">
        <v>1250.7972858392457</v>
      </c>
      <c r="AG151" s="493">
        <v>1222.3854646144603</v>
      </c>
      <c r="AH151" s="493">
        <v>1194.5422132525091</v>
      </c>
      <c r="AI151" s="493">
        <v>1167.2586136010173</v>
      </c>
    </row>
    <row r="152" spans="2:64" outlineLevel="1">
      <c r="B152" t="str">
        <f t="shared" si="19"/>
        <v>e-hydrogen - Energy cost - Europe - USD/ton fuel</v>
      </c>
      <c r="C152" t="str">
        <f>C120</f>
        <v>e-hydrogen</v>
      </c>
      <c r="D152" t="s">
        <v>1368</v>
      </c>
      <c r="E152" t="s">
        <v>720</v>
      </c>
      <c r="F152" t="s">
        <v>1353</v>
      </c>
      <c r="G152" s="487" t="str">
        <f t="shared" si="20"/>
        <v>e-hydrogenEuropeEnergy cost</v>
      </c>
      <c r="H152" s="493">
        <v>2566.3701470170417</v>
      </c>
      <c r="I152" s="493">
        <v>2452.9083112298426</v>
      </c>
      <c r="J152" s="493">
        <v>2339.2337535448082</v>
      </c>
      <c r="K152" s="493">
        <v>2245.5167986914189</v>
      </c>
      <c r="L152" s="493">
        <v>2151.4303552043284</v>
      </c>
      <c r="M152" s="493">
        <v>2057.064962685201</v>
      </c>
      <c r="N152" s="493">
        <v>1962.5111607356753</v>
      </c>
      <c r="O152" s="493">
        <v>1867.8594889573847</v>
      </c>
      <c r="P152" s="493">
        <v>1819.1813083833658</v>
      </c>
      <c r="Q152" s="493">
        <v>1770.3931872655958</v>
      </c>
      <c r="R152" s="493">
        <v>1721.5314255225589</v>
      </c>
      <c r="S152" s="493">
        <v>1672.6323230728049</v>
      </c>
      <c r="T152" s="493">
        <v>1623.7321798349606</v>
      </c>
      <c r="U152" s="493">
        <v>1588.9118560091065</v>
      </c>
      <c r="V152" s="493">
        <v>1554.0766691650888</v>
      </c>
      <c r="W152" s="493">
        <v>1519.2416441496489</v>
      </c>
      <c r="X152" s="493">
        <v>1484.4218058093938</v>
      </c>
      <c r="Y152" s="493">
        <v>1449.6321789910207</v>
      </c>
      <c r="Z152" s="493">
        <v>1409.6608085718863</v>
      </c>
      <c r="AA152" s="493">
        <v>1370.4453980421019</v>
      </c>
      <c r="AB152" s="493">
        <v>1331.9768062643011</v>
      </c>
      <c r="AC152" s="493">
        <v>1294.245892101027</v>
      </c>
      <c r="AD152" s="493">
        <v>1257.2435144149015</v>
      </c>
      <c r="AE152" s="493">
        <v>1228.8458546695026</v>
      </c>
      <c r="AF152" s="493">
        <v>1201.0112417420796</v>
      </c>
      <c r="AG152" s="493">
        <v>1173.7311129385466</v>
      </c>
      <c r="AH152" s="493">
        <v>1146.9969055648128</v>
      </c>
      <c r="AI152" s="493">
        <v>1120.8000569267858</v>
      </c>
    </row>
    <row r="153" spans="2:64" outlineLevel="1">
      <c r="B153" t="str">
        <f t="shared" si="19"/>
        <v>e-hydrogen - Energy cost - Middle East - USD/ton fuel</v>
      </c>
      <c r="C153" t="str">
        <f>C120</f>
        <v>e-hydrogen</v>
      </c>
      <c r="D153" t="s">
        <v>1368</v>
      </c>
      <c r="E153" t="s">
        <v>826</v>
      </c>
      <c r="F153" t="s">
        <v>1353</v>
      </c>
      <c r="G153" s="487" t="str">
        <f t="shared" si="20"/>
        <v>e-hydrogenMiddle EastEnergy cost</v>
      </c>
      <c r="H153" s="493">
        <v>1965.1844538611451</v>
      </c>
      <c r="I153" s="493">
        <v>1876.2839560959403</v>
      </c>
      <c r="J153" s="493">
        <v>1787.2260693119242</v>
      </c>
      <c r="K153" s="493">
        <v>1726.4421516736113</v>
      </c>
      <c r="L153" s="493">
        <v>1665.3245710268734</v>
      </c>
      <c r="M153" s="493">
        <v>1603.9314924493679</v>
      </c>
      <c r="N153" s="493">
        <v>1542.3210810188079</v>
      </c>
      <c r="O153" s="493">
        <v>1480.5515018128272</v>
      </c>
      <c r="P153" s="493">
        <v>1431.1659603843768</v>
      </c>
      <c r="Q153" s="493">
        <v>1381.8446196834898</v>
      </c>
      <c r="R153" s="493">
        <v>1332.6270545048401</v>
      </c>
      <c r="S153" s="493">
        <v>1283.5528396431546</v>
      </c>
      <c r="T153" s="493">
        <v>1234.6615498931842</v>
      </c>
      <c r="U153" s="493">
        <v>1204.9513526944327</v>
      </c>
      <c r="V153" s="493">
        <v>1175.287571490569</v>
      </c>
      <c r="W153" s="493">
        <v>1145.6839621175516</v>
      </c>
      <c r="X153" s="493">
        <v>1116.1542804112171</v>
      </c>
      <c r="Y153" s="493">
        <v>1086.7122822074946</v>
      </c>
      <c r="Z153" s="493">
        <v>1048.8524441656205</v>
      </c>
      <c r="AA153" s="493">
        <v>1011.7643278450553</v>
      </c>
      <c r="AB153" s="493">
        <v>975.43767435152495</v>
      </c>
      <c r="AC153" s="493">
        <v>939.86222479072671</v>
      </c>
      <c r="AD153" s="493">
        <v>905.02772026837658</v>
      </c>
      <c r="AE153" s="493">
        <v>884.58478387908167</v>
      </c>
      <c r="AF153" s="493">
        <v>864.54717603247877</v>
      </c>
      <c r="AG153" s="493">
        <v>844.90873235959646</v>
      </c>
      <c r="AH153" s="493">
        <v>825.66328849147681</v>
      </c>
      <c r="AI153" s="493">
        <v>806.80468005916202</v>
      </c>
    </row>
    <row r="154" spans="2:64" outlineLevel="1">
      <c r="B154" t="str">
        <f t="shared" si="19"/>
        <v/>
      </c>
      <c r="G154" s="487" t="str">
        <f t="shared" si="20"/>
        <v/>
      </c>
    </row>
    <row r="155" spans="2:64" ht="15" outlineLevel="1">
      <c r="B155" t="str">
        <f t="shared" si="19"/>
        <v>e-hydrogen - Feedstock cost including feedstock feedstock cost - Global - USD/ton fuel</v>
      </c>
      <c r="C155" s="491" t="str">
        <f>C120</f>
        <v>e-hydrogen</v>
      </c>
      <c r="D155" s="491" t="s">
        <v>1369</v>
      </c>
      <c r="E155" s="491" t="s">
        <v>708</v>
      </c>
      <c r="F155" s="491" t="s">
        <v>1353</v>
      </c>
      <c r="G155" s="487" t="str">
        <f t="shared" si="20"/>
        <v>e-hydrogenGlobalFeedstock cost including feedstock feedstock cost</v>
      </c>
      <c r="H155" s="492">
        <v>13.5</v>
      </c>
      <c r="I155" s="492">
        <v>13.500000000000048</v>
      </c>
      <c r="J155" s="492">
        <v>13.500000000000048</v>
      </c>
      <c r="K155" s="492">
        <v>13.500000000000048</v>
      </c>
      <c r="L155" s="492">
        <v>13.500000000000096</v>
      </c>
      <c r="M155" s="492">
        <v>13.5</v>
      </c>
      <c r="N155" s="492">
        <v>13.500000000000096</v>
      </c>
      <c r="O155" s="492">
        <v>13.5</v>
      </c>
      <c r="P155" s="492">
        <v>13.499999999999904</v>
      </c>
      <c r="Q155" s="492">
        <v>13.500000000000048</v>
      </c>
      <c r="R155" s="492">
        <v>13.500000000000192</v>
      </c>
      <c r="S155" s="492">
        <v>13.500000000000096</v>
      </c>
      <c r="T155" s="492">
        <v>13.500000000000192</v>
      </c>
      <c r="U155" s="492">
        <v>13.50000000000024</v>
      </c>
      <c r="V155" s="492">
        <v>13.500000000000121</v>
      </c>
      <c r="W155" s="492">
        <v>13.500000000000359</v>
      </c>
      <c r="X155" s="492">
        <v>13.50000000000024</v>
      </c>
      <c r="Y155" s="492">
        <v>13.499999999999904</v>
      </c>
      <c r="Z155" s="492">
        <v>13.5</v>
      </c>
      <c r="AA155" s="492">
        <v>13.499999999999952</v>
      </c>
      <c r="AB155" s="492">
        <v>13.500000000000048</v>
      </c>
      <c r="AC155" s="492">
        <v>13.5</v>
      </c>
      <c r="AD155" s="492">
        <v>13.5</v>
      </c>
      <c r="AE155" s="492">
        <v>13.5</v>
      </c>
      <c r="AF155" s="492">
        <v>13.5</v>
      </c>
      <c r="AG155" s="492">
        <v>13.5</v>
      </c>
      <c r="AH155" s="492">
        <v>13.5</v>
      </c>
      <c r="AI155" s="492">
        <v>13.5</v>
      </c>
    </row>
    <row r="156" spans="2:64" outlineLevel="1">
      <c r="B156" t="str">
        <f t="shared" si="19"/>
        <v>e-hydrogen - Feedstock cost - Global - USD/ton fuel</v>
      </c>
      <c r="C156" t="s">
        <v>1370</v>
      </c>
      <c r="D156" t="s">
        <v>1371</v>
      </c>
      <c r="E156" t="s">
        <v>708</v>
      </c>
      <c r="F156" t="s">
        <v>1353</v>
      </c>
      <c r="G156" s="487" t="str">
        <f t="shared" si="20"/>
        <v>e-hydrogenGlobalFeedstock cost</v>
      </c>
      <c r="H156" s="493">
        <v>13.5</v>
      </c>
      <c r="I156" s="493">
        <v>13.500000000000048</v>
      </c>
      <c r="J156" s="493">
        <v>13.500000000000048</v>
      </c>
      <c r="K156" s="493">
        <v>13.500000000000048</v>
      </c>
      <c r="L156" s="493">
        <v>13.500000000000096</v>
      </c>
      <c r="M156" s="493">
        <v>13.5</v>
      </c>
      <c r="N156" s="493">
        <v>13.500000000000096</v>
      </c>
      <c r="O156" s="493">
        <v>13.5</v>
      </c>
      <c r="P156" s="493">
        <v>13.499999999999904</v>
      </c>
      <c r="Q156" s="493">
        <v>13.500000000000048</v>
      </c>
      <c r="R156" s="493">
        <v>13.500000000000192</v>
      </c>
      <c r="S156" s="493">
        <v>13.500000000000096</v>
      </c>
      <c r="T156" s="493">
        <v>13.500000000000192</v>
      </c>
      <c r="U156" s="493">
        <v>13.50000000000024</v>
      </c>
      <c r="V156" s="493">
        <v>13.500000000000121</v>
      </c>
      <c r="W156" s="493">
        <v>13.500000000000359</v>
      </c>
      <c r="X156" s="493">
        <v>13.50000000000024</v>
      </c>
      <c r="Y156" s="493">
        <v>13.499999999999904</v>
      </c>
      <c r="Z156" s="493">
        <v>13.5</v>
      </c>
      <c r="AA156" s="493">
        <v>13.499999999999952</v>
      </c>
      <c r="AB156" s="493">
        <v>13.500000000000048</v>
      </c>
      <c r="AC156" s="493">
        <v>13.5</v>
      </c>
      <c r="AD156" s="493">
        <v>13.5</v>
      </c>
      <c r="AE156" s="493">
        <v>13.5</v>
      </c>
      <c r="AF156" s="493">
        <v>13.5</v>
      </c>
      <c r="AG156" s="493">
        <v>13.5</v>
      </c>
      <c r="AH156" s="493">
        <v>13.5</v>
      </c>
      <c r="AI156" s="493">
        <v>13.5</v>
      </c>
    </row>
    <row r="157" spans="2:64">
      <c r="B157" t="str">
        <f t="shared" si="19"/>
        <v/>
      </c>
      <c r="G157" s="487" t="str">
        <f t="shared" si="20"/>
        <v/>
      </c>
    </row>
    <row r="158" spans="2:64" ht="15">
      <c r="B158" t="str">
        <f t="shared" si="19"/>
        <v>e-hydrogen (compressed) - Item - Region - Unit</v>
      </c>
      <c r="C158" s="485" t="s">
        <v>722</v>
      </c>
      <c r="D158" s="485" t="s">
        <v>877</v>
      </c>
      <c r="E158" s="485" t="s">
        <v>171</v>
      </c>
      <c r="F158" s="485" t="s">
        <v>111</v>
      </c>
      <c r="G158" s="487" t="str">
        <f t="shared" si="20"/>
        <v>e-hydrogen (compressed)RegionItem</v>
      </c>
      <c r="H158" s="486">
        <v>2023</v>
      </c>
      <c r="I158" s="486">
        <v>2024</v>
      </c>
      <c r="J158" s="486">
        <v>2025</v>
      </c>
      <c r="K158" s="486">
        <v>2026</v>
      </c>
      <c r="L158" s="486">
        <v>2027</v>
      </c>
      <c r="M158" s="486">
        <v>2028</v>
      </c>
      <c r="N158" s="486">
        <v>2029</v>
      </c>
      <c r="O158" s="486">
        <v>2030</v>
      </c>
      <c r="P158" s="486">
        <v>2031</v>
      </c>
      <c r="Q158" s="486">
        <v>2032</v>
      </c>
      <c r="R158" s="486">
        <v>2033</v>
      </c>
      <c r="S158" s="486">
        <v>2034</v>
      </c>
      <c r="T158" s="486">
        <v>2035</v>
      </c>
      <c r="U158" s="486">
        <v>2036</v>
      </c>
      <c r="V158" s="486">
        <v>2037</v>
      </c>
      <c r="W158" s="486">
        <v>2038</v>
      </c>
      <c r="X158" s="486">
        <v>2039</v>
      </c>
      <c r="Y158" s="486">
        <v>2040</v>
      </c>
      <c r="Z158" s="486">
        <v>2041</v>
      </c>
      <c r="AA158" s="486">
        <v>2042</v>
      </c>
      <c r="AB158" s="486">
        <v>2043</v>
      </c>
      <c r="AC158" s="486">
        <v>2044</v>
      </c>
      <c r="AD158" s="486">
        <v>2045</v>
      </c>
      <c r="AE158" s="486">
        <v>2046</v>
      </c>
      <c r="AF158" s="486">
        <v>2047</v>
      </c>
      <c r="AG158" s="486">
        <v>2048</v>
      </c>
      <c r="AH158" s="486">
        <v>2049</v>
      </c>
      <c r="AI158" s="486">
        <v>2050</v>
      </c>
    </row>
    <row r="159" spans="2:64" outlineLevel="1">
      <c r="B159" t="str">
        <f t="shared" si="19"/>
        <v>e-hydrogen (compressed) - Total cost - Africa - USD/ton fuel</v>
      </c>
      <c r="C159" s="487" t="str">
        <f>C158</f>
        <v>e-hydrogen (compressed)</v>
      </c>
      <c r="D159" s="487" t="s">
        <v>1362</v>
      </c>
      <c r="E159" s="487" t="s">
        <v>838</v>
      </c>
      <c r="F159" s="487" t="s">
        <v>1353</v>
      </c>
      <c r="G159" s="487" t="str">
        <f t="shared" si="20"/>
        <v>e-hydrogen (compressed)AfricaTotal cost</v>
      </c>
      <c r="H159" s="488">
        <v>4633.1233423090589</v>
      </c>
      <c r="I159" s="488">
        <v>4201.9656446218651</v>
      </c>
      <c r="J159" s="488">
        <v>3768.1364126730182</v>
      </c>
      <c r="K159" s="488">
        <v>3627.6640614332246</v>
      </c>
      <c r="L159" s="488">
        <v>3482.0419503382509</v>
      </c>
      <c r="M159" s="488">
        <v>3331.3728662299636</v>
      </c>
      <c r="N159" s="488">
        <v>3175.7595959503119</v>
      </c>
      <c r="O159" s="488">
        <v>3015.3049263411149</v>
      </c>
      <c r="P159" s="488">
        <v>2957.5120355923382</v>
      </c>
      <c r="Q159" s="488">
        <v>2892.1425659444694</v>
      </c>
      <c r="R159" s="488">
        <v>2819.2518810339607</v>
      </c>
      <c r="S159" s="488">
        <v>2738.8953444973072</v>
      </c>
      <c r="T159" s="488">
        <v>2651.1283199710874</v>
      </c>
      <c r="U159" s="488">
        <v>2589.8814487511354</v>
      </c>
      <c r="V159" s="488">
        <v>2523.4234074819769</v>
      </c>
      <c r="W159" s="488">
        <v>2451.7722615286521</v>
      </c>
      <c r="X159" s="488">
        <v>2374.9460762559747</v>
      </c>
      <c r="Y159" s="488">
        <v>2292.9629170289318</v>
      </c>
      <c r="Z159" s="488">
        <v>2208.6908045163059</v>
      </c>
      <c r="AA159" s="488">
        <v>2121.9988992007134</v>
      </c>
      <c r="AB159" s="488">
        <v>2032.876636943749</v>
      </c>
      <c r="AC159" s="488">
        <v>1941.3134536068953</v>
      </c>
      <c r="AD159" s="488">
        <v>1847.2987850517036</v>
      </c>
      <c r="AE159" s="488">
        <v>1773.4817469024235</v>
      </c>
      <c r="AF159" s="488">
        <v>1698.451689879309</v>
      </c>
      <c r="AG159" s="488">
        <v>1622.2019570300602</v>
      </c>
      <c r="AH159" s="488">
        <v>1544.7258914023987</v>
      </c>
      <c r="AI159" s="488">
        <v>1466.0168360440496</v>
      </c>
    </row>
    <row r="160" spans="2:64" outlineLevel="1">
      <c r="B160" t="str">
        <f t="shared" si="19"/>
        <v>e-hydrogen (compressed) - Total cost - Americas - USD/ton fuel</v>
      </c>
      <c r="C160" t="str">
        <f>C159</f>
        <v>e-hydrogen (compressed)</v>
      </c>
      <c r="D160" t="s">
        <v>1362</v>
      </c>
      <c r="E160" t="s">
        <v>731</v>
      </c>
      <c r="F160" t="s">
        <v>1353</v>
      </c>
      <c r="G160" s="487" t="str">
        <f t="shared" si="20"/>
        <v>e-hydrogen (compressed)AmericasTotal cost</v>
      </c>
      <c r="H160" s="489">
        <v>3458.2747756282647</v>
      </c>
      <c r="I160" s="489">
        <v>3358.1215141660286</v>
      </c>
      <c r="J160" s="489">
        <v>3254.6459956552549</v>
      </c>
      <c r="K160" s="489">
        <v>3148.9921734049194</v>
      </c>
      <c r="L160" s="489">
        <v>3038.2017033305151</v>
      </c>
      <c r="M160" s="489">
        <v>2922.3436487831009</v>
      </c>
      <c r="N160" s="489">
        <v>2801.4870731138512</v>
      </c>
      <c r="O160" s="489">
        <v>2675.701039673685</v>
      </c>
      <c r="P160" s="489">
        <v>2643.8786103743646</v>
      </c>
      <c r="Q160" s="489">
        <v>2604.2634692905026</v>
      </c>
      <c r="R160" s="489">
        <v>2556.8876858485628</v>
      </c>
      <c r="S160" s="489">
        <v>2501.7833294749726</v>
      </c>
      <c r="T160" s="489">
        <v>2438.9824695962966</v>
      </c>
      <c r="U160" s="489">
        <v>2379.5862497865878</v>
      </c>
      <c r="V160" s="489">
        <v>2315.0272995091577</v>
      </c>
      <c r="W160" s="489">
        <v>2245.3236408089065</v>
      </c>
      <c r="X160" s="489">
        <v>2170.4932957305264</v>
      </c>
      <c r="Y160" s="489">
        <v>2090.5542863188448</v>
      </c>
      <c r="Z160" s="489">
        <v>2024.0950200699413</v>
      </c>
      <c r="AA160" s="489">
        <v>1954.8005234985762</v>
      </c>
      <c r="AB160" s="489">
        <v>1882.6666675873769</v>
      </c>
      <c r="AC160" s="489">
        <v>1807.6893233188264</v>
      </c>
      <c r="AD160" s="489">
        <v>1729.8643616755162</v>
      </c>
      <c r="AE160" s="489">
        <v>1661.9243548242082</v>
      </c>
      <c r="AF160" s="489">
        <v>1592.6501658127502</v>
      </c>
      <c r="AG160" s="489">
        <v>1522.0377953932327</v>
      </c>
      <c r="AH160" s="489">
        <v>1450.083244317753</v>
      </c>
      <c r="AI160" s="489">
        <v>1376.7825133384104</v>
      </c>
    </row>
    <row r="161" spans="2:35" outlineLevel="1">
      <c r="B161" t="str">
        <f t="shared" si="19"/>
        <v>e-hydrogen (compressed) - Total cost - Asia - USD/ton fuel</v>
      </c>
      <c r="C161" t="str">
        <f>C160</f>
        <v>e-hydrogen (compressed)</v>
      </c>
      <c r="D161" t="s">
        <v>1362</v>
      </c>
      <c r="E161" t="s">
        <v>750</v>
      </c>
      <c r="F161" t="s">
        <v>1353</v>
      </c>
      <c r="G161" s="487" t="str">
        <f t="shared" si="20"/>
        <v>e-hydrogen (compressed)AsiaTotal cost</v>
      </c>
      <c r="H161" s="489">
        <v>4987.7978827141424</v>
      </c>
      <c r="I161" s="489">
        <v>4618.4094108214867</v>
      </c>
      <c r="J161" s="489">
        <v>4246.1135151183844</v>
      </c>
      <c r="K161" s="489">
        <v>4097.3824826576747</v>
      </c>
      <c r="L161" s="489">
        <v>3943.3770419350276</v>
      </c>
      <c r="M161" s="489">
        <v>3784.2072710139482</v>
      </c>
      <c r="N161" s="489">
        <v>3619.9832479582124</v>
      </c>
      <c r="O161" s="489">
        <v>3450.8150508313697</v>
      </c>
      <c r="P161" s="489">
        <v>3373.0215929007072</v>
      </c>
      <c r="Q161" s="489">
        <v>3287.7460048188714</v>
      </c>
      <c r="R161" s="489">
        <v>3195.0604816273712</v>
      </c>
      <c r="S161" s="489">
        <v>3095.0372183676395</v>
      </c>
      <c r="T161" s="489">
        <v>2987.7484100813476</v>
      </c>
      <c r="U161" s="489">
        <v>2913.2093711775688</v>
      </c>
      <c r="V161" s="489">
        <v>2833.5633476088337</v>
      </c>
      <c r="W161" s="489">
        <v>2748.8357857959254</v>
      </c>
      <c r="X161" s="489">
        <v>2659.0521321593251</v>
      </c>
      <c r="Y161" s="489">
        <v>2564.2378331197551</v>
      </c>
      <c r="Z161" s="489">
        <v>2465.6669595887115</v>
      </c>
      <c r="AA161" s="489">
        <v>2364.9898405548524</v>
      </c>
      <c r="AB161" s="489">
        <v>2262.1913285418932</v>
      </c>
      <c r="AC161" s="489">
        <v>2157.2562760734354</v>
      </c>
      <c r="AD161" s="489">
        <v>2050.1695356731543</v>
      </c>
      <c r="AE161" s="489">
        <v>1970.240754749665</v>
      </c>
      <c r="AF161" s="489">
        <v>1889.2216166291751</v>
      </c>
      <c r="AG161" s="489">
        <v>1807.1032031593165</v>
      </c>
      <c r="AH161" s="489">
        <v>1723.8765961877139</v>
      </c>
      <c r="AI161" s="489">
        <v>1639.532877561993</v>
      </c>
    </row>
    <row r="162" spans="2:35" outlineLevel="1">
      <c r="B162" t="str">
        <f t="shared" si="19"/>
        <v>e-hydrogen (compressed) - Total cost - Europe - USD/ton fuel</v>
      </c>
      <c r="C162" t="str">
        <f>C161</f>
        <v>e-hydrogen (compressed)</v>
      </c>
      <c r="D162" t="s">
        <v>1362</v>
      </c>
      <c r="E162" t="s">
        <v>720</v>
      </c>
      <c r="F162" t="s">
        <v>1353</v>
      </c>
      <c r="G162" s="487" t="str">
        <f t="shared" si="20"/>
        <v>e-hydrogen (compressed)EuropeTotal cost</v>
      </c>
      <c r="H162" s="489">
        <v>4089.3856734873298</v>
      </c>
      <c r="I162" s="489">
        <v>3916.9256406265708</v>
      </c>
      <c r="J162" s="489">
        <v>3741.2108175344811</v>
      </c>
      <c r="K162" s="489">
        <v>3613.0656692355524</v>
      </c>
      <c r="L162" s="489">
        <v>3479.7225571491235</v>
      </c>
      <c r="M162" s="489">
        <v>3341.2720208768683</v>
      </c>
      <c r="N162" s="489">
        <v>3197.8046000204672</v>
      </c>
      <c r="O162" s="489">
        <v>3049.4108341814967</v>
      </c>
      <c r="P162" s="489">
        <v>3010.8443238003165</v>
      </c>
      <c r="Q162" s="489">
        <v>2964.4230601972345</v>
      </c>
      <c r="R162" s="489">
        <v>2910.1833432907338</v>
      </c>
      <c r="S162" s="489">
        <v>2848.1614729993285</v>
      </c>
      <c r="T162" s="489">
        <v>2778.3937492416853</v>
      </c>
      <c r="U162" s="489">
        <v>2720.379449531456</v>
      </c>
      <c r="V162" s="489">
        <v>2657.0489971635134</v>
      </c>
      <c r="W162" s="489">
        <v>2588.4174169846506</v>
      </c>
      <c r="X162" s="489">
        <v>2514.4997338414096</v>
      </c>
      <c r="Y162" s="489">
        <v>2435.3109725804993</v>
      </c>
      <c r="Z162" s="489">
        <v>2352.605312916116</v>
      </c>
      <c r="AA162" s="489">
        <v>2267.4139852839012</v>
      </c>
      <c r="AB162" s="489">
        <v>2179.7278485465313</v>
      </c>
      <c r="AC162" s="489">
        <v>2089.5377615665116</v>
      </c>
      <c r="AD162" s="489">
        <v>1996.8345832064804</v>
      </c>
      <c r="AE162" s="489">
        <v>1918.0980681700892</v>
      </c>
      <c r="AF162" s="489">
        <v>1838.2478365870952</v>
      </c>
      <c r="AG162" s="489">
        <v>1757.2753257634138</v>
      </c>
      <c r="AH162" s="489">
        <v>1675.1719730049533</v>
      </c>
      <c r="AI162" s="489">
        <v>1591.929215617622</v>
      </c>
    </row>
    <row r="163" spans="2:35" outlineLevel="1">
      <c r="B163" t="str">
        <f t="shared" si="19"/>
        <v>e-hydrogen (compressed) - Total cost - Middle East - USD/ton fuel</v>
      </c>
      <c r="C163" s="25" t="str">
        <f>C162</f>
        <v>e-hydrogen (compressed)</v>
      </c>
      <c r="D163" s="25" t="s">
        <v>1362</v>
      </c>
      <c r="E163" s="25" t="s">
        <v>826</v>
      </c>
      <c r="F163" s="25" t="s">
        <v>1353</v>
      </c>
      <c r="G163" s="487" t="str">
        <f t="shared" si="20"/>
        <v>e-hydrogen (compressed)Middle EastTotal cost</v>
      </c>
      <c r="H163" s="490">
        <v>3476.3085322126099</v>
      </c>
      <c r="I163" s="490">
        <v>3328.8823974252828</v>
      </c>
      <c r="J163" s="490">
        <v>3178.2568052856477</v>
      </c>
      <c r="K163" s="490">
        <v>3083.6768117686811</v>
      </c>
      <c r="L163" s="490">
        <v>2983.9346800894909</v>
      </c>
      <c r="M163" s="490">
        <v>2879.0885753257426</v>
      </c>
      <c r="N163" s="490">
        <v>2769.1966625551941</v>
      </c>
      <c r="O163" s="490">
        <v>2654.3171068554188</v>
      </c>
      <c r="P163" s="490">
        <v>2614.9769692636173</v>
      </c>
      <c r="Q163" s="490">
        <v>2567.9562197212276</v>
      </c>
      <c r="R163" s="490">
        <v>2513.2944330229238</v>
      </c>
      <c r="S163" s="490">
        <v>2451.0311839633964</v>
      </c>
      <c r="T163" s="490">
        <v>2381.2060473374368</v>
      </c>
      <c r="U163" s="490">
        <v>2328.338914207246</v>
      </c>
      <c r="V163" s="490">
        <v>2270.2169074323938</v>
      </c>
      <c r="W163" s="490">
        <v>2206.8537828488898</v>
      </c>
      <c r="X163" s="490">
        <v>2138.2632962925059</v>
      </c>
      <c r="Y163" s="490">
        <v>2064.4592035991823</v>
      </c>
      <c r="Z163" s="490">
        <v>1983.8077079076854</v>
      </c>
      <c r="AA163" s="490">
        <v>1900.6863060803155</v>
      </c>
      <c r="AB163" s="490">
        <v>1815.084739222842</v>
      </c>
      <c r="AC163" s="490">
        <v>1726.9927484409238</v>
      </c>
      <c r="AD163" s="490">
        <v>1636.4000748402937</v>
      </c>
      <c r="AE163" s="490">
        <v>1565.7141614700843</v>
      </c>
      <c r="AF163" s="490">
        <v>1493.7568132779884</v>
      </c>
      <c r="AG163" s="490">
        <v>1420.5218658950355</v>
      </c>
      <c r="AH163" s="490">
        <v>1346.0031549522671</v>
      </c>
      <c r="AI163" s="490">
        <v>1270.1945160807259</v>
      </c>
    </row>
    <row r="164" spans="2:35" ht="15" outlineLevel="1">
      <c r="B164" t="str">
        <f t="shared" si="19"/>
        <v/>
      </c>
      <c r="C164" s="22"/>
      <c r="G164" s="487" t="str">
        <f t="shared" si="20"/>
        <v/>
      </c>
    </row>
    <row r="165" spans="2:35" ht="15" outlineLevel="1">
      <c r="B165" t="str">
        <f t="shared" si="19"/>
        <v>e-hydrogen (compressed) - CAPEX including feedstock CAPEX - Global - USD/ton fuel</v>
      </c>
      <c r="C165" s="491" t="str">
        <f>C158</f>
        <v>e-hydrogen (compressed)</v>
      </c>
      <c r="D165" s="491" t="s">
        <v>1363</v>
      </c>
      <c r="E165" s="491" t="s">
        <v>708</v>
      </c>
      <c r="F165" s="491" t="s">
        <v>1353</v>
      </c>
      <c r="G165" s="487" t="str">
        <f t="shared" si="20"/>
        <v>e-hydrogen (compressed)GlobalCAPEX including feedstock CAPEX</v>
      </c>
      <c r="H165" s="492">
        <v>256.64635353013858</v>
      </c>
      <c r="I165" s="492">
        <v>247.21700590830653</v>
      </c>
      <c r="J165" s="492">
        <v>237.53805175037812</v>
      </c>
      <c r="K165" s="492">
        <v>232.53269690653616</v>
      </c>
      <c r="L165" s="492">
        <v>227.06362881665248</v>
      </c>
      <c r="M165" s="492">
        <v>221.13084748073197</v>
      </c>
      <c r="N165" s="492">
        <v>214.73435289877628</v>
      </c>
      <c r="O165" s="492">
        <v>207.87414507077864</v>
      </c>
      <c r="P165" s="492">
        <v>212.24697175898439</v>
      </c>
      <c r="Q165" s="492">
        <v>215.53837151594018</v>
      </c>
      <c r="R165" s="492">
        <v>217.74834434164336</v>
      </c>
      <c r="S165" s="492">
        <v>218.87689023608903</v>
      </c>
      <c r="T165" s="492">
        <v>218.92400919928582</v>
      </c>
      <c r="U165" s="492">
        <v>217.21328869368136</v>
      </c>
      <c r="V165" s="492">
        <v>214.61001500027928</v>
      </c>
      <c r="W165" s="492">
        <v>211.1141881190886</v>
      </c>
      <c r="X165" s="492">
        <v>206.72580805010043</v>
      </c>
      <c r="Y165" s="492">
        <v>201.44487479331141</v>
      </c>
      <c r="Z165" s="492">
        <v>194.68227936129369</v>
      </c>
      <c r="AA165" s="492">
        <v>187.24620275654928</v>
      </c>
      <c r="AB165" s="492">
        <v>179.13664497908553</v>
      </c>
      <c r="AC165" s="492">
        <v>170.35360602889762</v>
      </c>
      <c r="AD165" s="492">
        <v>160.89708590598403</v>
      </c>
      <c r="AE165" s="492">
        <v>150.64085698303418</v>
      </c>
      <c r="AF165" s="492">
        <v>139.96336878636401</v>
      </c>
      <c r="AG165" s="492">
        <v>128.86462131597352</v>
      </c>
      <c r="AH165" s="492">
        <v>117.34461457186269</v>
      </c>
      <c r="AI165" s="492">
        <v>105.40334855403168</v>
      </c>
    </row>
    <row r="166" spans="2:35" outlineLevel="1">
      <c r="B166" t="str">
        <f t="shared" si="19"/>
        <v>e-hydrogen (compressed) - CAPEX - Global - USD/ton fuel</v>
      </c>
      <c r="C166" t="str">
        <f>C158</f>
        <v>e-hydrogen (compressed)</v>
      </c>
      <c r="D166" t="s">
        <v>446</v>
      </c>
      <c r="E166" t="s">
        <v>708</v>
      </c>
      <c r="F166" t="s">
        <v>1353</v>
      </c>
      <c r="G166" s="487" t="str">
        <f t="shared" si="20"/>
        <v>e-hydrogen (compressed)GlobalCAPEX</v>
      </c>
      <c r="H166" s="493">
        <v>0</v>
      </c>
      <c r="I166" s="493">
        <v>0</v>
      </c>
      <c r="J166" s="493">
        <v>0</v>
      </c>
      <c r="K166" s="493">
        <v>0</v>
      </c>
      <c r="L166" s="493">
        <v>0</v>
      </c>
      <c r="M166" s="493">
        <v>0</v>
      </c>
      <c r="N166" s="493">
        <v>0</v>
      </c>
      <c r="O166" s="493">
        <v>0</v>
      </c>
      <c r="P166" s="493">
        <v>0</v>
      </c>
      <c r="Q166" s="493">
        <v>0</v>
      </c>
      <c r="R166" s="493">
        <v>0</v>
      </c>
      <c r="S166" s="493">
        <v>0</v>
      </c>
      <c r="T166" s="493">
        <v>0</v>
      </c>
      <c r="U166" s="493">
        <v>0</v>
      </c>
      <c r="V166" s="493">
        <v>0</v>
      </c>
      <c r="W166" s="493">
        <v>0</v>
      </c>
      <c r="X166" s="493">
        <v>0</v>
      </c>
      <c r="Y166" s="493">
        <v>0</v>
      </c>
      <c r="Z166" s="493">
        <v>0</v>
      </c>
      <c r="AA166" s="493">
        <v>0</v>
      </c>
      <c r="AB166" s="493">
        <v>0</v>
      </c>
      <c r="AC166" s="493">
        <v>0</v>
      </c>
      <c r="AD166" s="493">
        <v>0</v>
      </c>
      <c r="AE166" s="493">
        <v>0</v>
      </c>
      <c r="AF166" s="493">
        <v>0</v>
      </c>
      <c r="AG166" s="493">
        <v>0</v>
      </c>
      <c r="AH166" s="493">
        <v>0</v>
      </c>
      <c r="AI166" s="493">
        <v>0</v>
      </c>
    </row>
    <row r="167" spans="2:35" outlineLevel="1">
      <c r="B167" t="str">
        <f t="shared" si="19"/>
        <v>e-hydrogen - CAPEX - Global - USD/ton fuel</v>
      </c>
      <c r="C167" t="s">
        <v>1370</v>
      </c>
      <c r="D167" t="s">
        <v>446</v>
      </c>
      <c r="E167" t="s">
        <v>708</v>
      </c>
      <c r="F167" t="s">
        <v>1353</v>
      </c>
      <c r="G167" s="487" t="str">
        <f t="shared" si="20"/>
        <v>e-hydrogenGlobalCAPEX</v>
      </c>
      <c r="H167" s="493">
        <v>256.64635353013858</v>
      </c>
      <c r="I167" s="493">
        <v>247.21700590830653</v>
      </c>
      <c r="J167" s="493">
        <v>237.53805175037812</v>
      </c>
      <c r="K167" s="493">
        <v>232.53269690653616</v>
      </c>
      <c r="L167" s="493">
        <v>227.06362881665248</v>
      </c>
      <c r="M167" s="493">
        <v>221.13084748073197</v>
      </c>
      <c r="N167" s="493">
        <v>214.73435289877628</v>
      </c>
      <c r="O167" s="493">
        <v>207.87414507077864</v>
      </c>
      <c r="P167" s="493">
        <v>212.24697175898439</v>
      </c>
      <c r="Q167" s="493">
        <v>215.53837151594018</v>
      </c>
      <c r="R167" s="493">
        <v>217.74834434164336</v>
      </c>
      <c r="S167" s="493">
        <v>218.87689023608903</v>
      </c>
      <c r="T167" s="493">
        <v>218.92400919928582</v>
      </c>
      <c r="U167" s="493">
        <v>217.21328869368136</v>
      </c>
      <c r="V167" s="493">
        <v>214.61001500027928</v>
      </c>
      <c r="W167" s="493">
        <v>211.1141881190886</v>
      </c>
      <c r="X167" s="493">
        <v>206.72580805010043</v>
      </c>
      <c r="Y167" s="493">
        <v>201.44487479331141</v>
      </c>
      <c r="Z167" s="493">
        <v>194.68227936129369</v>
      </c>
      <c r="AA167" s="493">
        <v>187.24620275654928</v>
      </c>
      <c r="AB167" s="493">
        <v>179.13664497908553</v>
      </c>
      <c r="AC167" s="493">
        <v>170.35360602889762</v>
      </c>
      <c r="AD167" s="493">
        <v>160.89708590598403</v>
      </c>
      <c r="AE167" s="493">
        <v>150.64085698303418</v>
      </c>
      <c r="AF167" s="493">
        <v>139.96336878636401</v>
      </c>
      <c r="AG167" s="493">
        <v>128.86462131597352</v>
      </c>
      <c r="AH167" s="493">
        <v>117.34461457186269</v>
      </c>
      <c r="AI167" s="493">
        <v>105.40334855403168</v>
      </c>
    </row>
    <row r="168" spans="2:35" outlineLevel="1">
      <c r="B168" t="str">
        <f t="shared" si="19"/>
        <v/>
      </c>
      <c r="G168" s="487" t="str">
        <f t="shared" si="20"/>
        <v/>
      </c>
      <c r="H168" s="493"/>
      <c r="I168" s="493"/>
      <c r="J168" s="493"/>
      <c r="K168" s="493"/>
      <c r="L168" s="493"/>
      <c r="M168" s="493"/>
      <c r="N168" s="493"/>
      <c r="O168" s="493"/>
      <c r="P168" s="493"/>
      <c r="Q168" s="493"/>
      <c r="R168" s="493"/>
      <c r="S168" s="493"/>
      <c r="T168" s="493"/>
      <c r="U168" s="493"/>
      <c r="V168" s="493"/>
      <c r="W168" s="493"/>
      <c r="X168" s="493"/>
      <c r="Y168" s="493"/>
      <c r="Z168" s="493"/>
      <c r="AA168" s="493"/>
      <c r="AB168" s="493"/>
      <c r="AC168" s="493"/>
      <c r="AD168" s="493"/>
      <c r="AE168" s="493"/>
      <c r="AF168" s="493"/>
      <c r="AG168" s="493"/>
      <c r="AH168" s="493"/>
      <c r="AI168" s="493"/>
    </row>
    <row r="169" spans="2:35" ht="15" outlineLevel="1">
      <c r="B169" t="str">
        <f>_xlfn.TEXTJOIN(" - ",TRUE,C169:F169)</f>
        <v>e-hydrogen (compressed) - OPEX including feedstock OPEX - Global - USD/ton fuel</v>
      </c>
      <c r="C169" s="491" t="str">
        <f>C159</f>
        <v>e-hydrogen (compressed)</v>
      </c>
      <c r="D169" s="491" t="s">
        <v>1364</v>
      </c>
      <c r="E169" s="491" t="s">
        <v>708</v>
      </c>
      <c r="F169" s="491" t="s">
        <v>1353</v>
      </c>
      <c r="G169" s="487" t="str">
        <f t="shared" si="20"/>
        <v>e-hydrogen (compressed)GlobalOPEX including feedstock OPEX</v>
      </c>
      <c r="H169" s="492">
        <v>778.63990898977545</v>
      </c>
      <c r="I169" s="492">
        <v>746.81733762687418</v>
      </c>
      <c r="J169" s="492">
        <v>712.61415525113227</v>
      </c>
      <c r="K169" s="492">
        <v>693.21795180920219</v>
      </c>
      <c r="L169" s="492">
        <v>670.22211331548374</v>
      </c>
      <c r="M169" s="492">
        <v>643.6266397699726</v>
      </c>
      <c r="N169" s="492">
        <v>613.43153117270822</v>
      </c>
      <c r="O169" s="492">
        <v>579.63678752365013</v>
      </c>
      <c r="P169" s="492">
        <v>578.89498738880036</v>
      </c>
      <c r="Q169" s="492">
        <v>573.27415594361116</v>
      </c>
      <c r="R169" s="492">
        <v>562.77429318809038</v>
      </c>
      <c r="S169" s="492">
        <v>547.39539912221437</v>
      </c>
      <c r="T169" s="492">
        <v>527.13747374599984</v>
      </c>
      <c r="U169" s="492">
        <v>508.91545321169565</v>
      </c>
      <c r="V169" s="492">
        <v>487.75740898550708</v>
      </c>
      <c r="W169" s="492">
        <v>463.66334106745865</v>
      </c>
      <c r="X169" s="492">
        <v>436.63324945751151</v>
      </c>
      <c r="Y169" s="492">
        <v>406.66713415568563</v>
      </c>
      <c r="Z169" s="492">
        <v>382.32288786138321</v>
      </c>
      <c r="AA169" s="492">
        <v>356.52173881762411</v>
      </c>
      <c r="AB169" s="492">
        <v>329.2636870244329</v>
      </c>
      <c r="AC169" s="492">
        <v>300.54873248178433</v>
      </c>
      <c r="AD169" s="492">
        <v>270.37687518969852</v>
      </c>
      <c r="AE169" s="492">
        <v>247.55933903156756</v>
      </c>
      <c r="AF169" s="492">
        <v>224.18137658421693</v>
      </c>
      <c r="AG169" s="492">
        <v>200.24298784764761</v>
      </c>
      <c r="AH169" s="492">
        <v>175.74417282185905</v>
      </c>
      <c r="AI169" s="492">
        <v>150.68493150685131</v>
      </c>
    </row>
    <row r="170" spans="2:35" outlineLevel="1">
      <c r="B170" t="str">
        <f t="shared" si="19"/>
        <v>e-hydrogen (compressed) - OPEX - Global - USD/ton fuel</v>
      </c>
      <c r="C170" t="str">
        <f>C158</f>
        <v>e-hydrogen (compressed)</v>
      </c>
      <c r="D170" t="s">
        <v>450</v>
      </c>
      <c r="E170" t="s">
        <v>708</v>
      </c>
      <c r="F170" t="s">
        <v>1353</v>
      </c>
      <c r="G170" s="487" t="str">
        <f t="shared" si="20"/>
        <v>e-hydrogen (compressed)GlobalOPEX</v>
      </c>
      <c r="H170" s="493">
        <v>0</v>
      </c>
      <c r="I170" s="493">
        <v>0</v>
      </c>
      <c r="J170" s="493">
        <v>0</v>
      </c>
      <c r="K170" s="493">
        <v>0</v>
      </c>
      <c r="L170" s="493">
        <v>0</v>
      </c>
      <c r="M170" s="493">
        <v>0</v>
      </c>
      <c r="N170" s="493">
        <v>0</v>
      </c>
      <c r="O170" s="493">
        <v>0</v>
      </c>
      <c r="P170" s="493">
        <v>0</v>
      </c>
      <c r="Q170" s="493">
        <v>0</v>
      </c>
      <c r="R170" s="493">
        <v>0</v>
      </c>
      <c r="S170" s="493">
        <v>0</v>
      </c>
      <c r="T170" s="493">
        <v>0</v>
      </c>
      <c r="U170" s="493">
        <v>0</v>
      </c>
      <c r="V170" s="493">
        <v>0</v>
      </c>
      <c r="W170" s="493">
        <v>0</v>
      </c>
      <c r="X170" s="493">
        <v>0</v>
      </c>
      <c r="Y170" s="493">
        <v>0</v>
      </c>
      <c r="Z170" s="493">
        <v>0</v>
      </c>
      <c r="AA170" s="493">
        <v>0</v>
      </c>
      <c r="AB170" s="493">
        <v>0</v>
      </c>
      <c r="AC170" s="493">
        <v>0</v>
      </c>
      <c r="AD170" s="493">
        <v>0</v>
      </c>
      <c r="AE170" s="493">
        <v>0</v>
      </c>
      <c r="AF170" s="493">
        <v>0</v>
      </c>
      <c r="AG170" s="493">
        <v>0</v>
      </c>
      <c r="AH170" s="493">
        <v>0</v>
      </c>
      <c r="AI170" s="493">
        <v>0</v>
      </c>
    </row>
    <row r="171" spans="2:35" outlineLevel="1">
      <c r="B171" t="str">
        <f t="shared" si="19"/>
        <v>e-hydrogen - OPEX - Global - USD/ton fuel</v>
      </c>
      <c r="C171" t="s">
        <v>1370</v>
      </c>
      <c r="D171" t="s">
        <v>450</v>
      </c>
      <c r="E171" t="s">
        <v>708</v>
      </c>
      <c r="F171" t="s">
        <v>1353</v>
      </c>
      <c r="G171" s="487" t="str">
        <f t="shared" si="20"/>
        <v>e-hydrogenGlobalOPEX</v>
      </c>
      <c r="H171" s="493">
        <v>778.63990898977545</v>
      </c>
      <c r="I171" s="493">
        <v>746.81733762687418</v>
      </c>
      <c r="J171" s="493">
        <v>712.61415525113227</v>
      </c>
      <c r="K171" s="493">
        <v>693.21795180920219</v>
      </c>
      <c r="L171" s="493">
        <v>670.22211331548374</v>
      </c>
      <c r="M171" s="493">
        <v>643.6266397699726</v>
      </c>
      <c r="N171" s="493">
        <v>613.43153117270822</v>
      </c>
      <c r="O171" s="493">
        <v>579.63678752365013</v>
      </c>
      <c r="P171" s="493">
        <v>578.89498738880036</v>
      </c>
      <c r="Q171" s="493">
        <v>573.27415594361116</v>
      </c>
      <c r="R171" s="493">
        <v>562.77429318809038</v>
      </c>
      <c r="S171" s="493">
        <v>547.39539912221437</v>
      </c>
      <c r="T171" s="493">
        <v>527.13747374599984</v>
      </c>
      <c r="U171" s="493">
        <v>508.91545321169565</v>
      </c>
      <c r="V171" s="493">
        <v>487.75740898550708</v>
      </c>
      <c r="W171" s="493">
        <v>463.66334106745865</v>
      </c>
      <c r="X171" s="493">
        <v>436.63324945751151</v>
      </c>
      <c r="Y171" s="493">
        <v>406.66713415568563</v>
      </c>
      <c r="Z171" s="493">
        <v>382.32288786138321</v>
      </c>
      <c r="AA171" s="493">
        <v>356.52173881762411</v>
      </c>
      <c r="AB171" s="493">
        <v>329.2636870244329</v>
      </c>
      <c r="AC171" s="493">
        <v>300.54873248178433</v>
      </c>
      <c r="AD171" s="493">
        <v>270.37687518969852</v>
      </c>
      <c r="AE171" s="493">
        <v>247.55933903156756</v>
      </c>
      <c r="AF171" s="493">
        <v>224.18137658421693</v>
      </c>
      <c r="AG171" s="493">
        <v>200.24298784764761</v>
      </c>
      <c r="AH171" s="493">
        <v>175.74417282185905</v>
      </c>
      <c r="AI171" s="493">
        <v>150.68493150685131</v>
      </c>
    </row>
    <row r="172" spans="2:35" outlineLevel="1">
      <c r="B172" t="str">
        <f t="shared" si="19"/>
        <v/>
      </c>
      <c r="G172" s="487" t="str">
        <f t="shared" si="20"/>
        <v/>
      </c>
      <c r="H172" s="493"/>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c r="AG172" s="493"/>
      <c r="AH172" s="493"/>
      <c r="AI172" s="493"/>
    </row>
    <row r="173" spans="2:35" ht="15" outlineLevel="1">
      <c r="B173" t="str">
        <f t="shared" si="19"/>
        <v>e-hydrogen (compressed) - Finance cost including feedstock finance cost - Africa - USD/ton fuel</v>
      </c>
      <c r="C173" s="494" t="str">
        <f>C162</f>
        <v>e-hydrogen (compressed)</v>
      </c>
      <c r="D173" s="494" t="s">
        <v>1365</v>
      </c>
      <c r="E173" s="494" t="s">
        <v>838</v>
      </c>
      <c r="F173" s="494" t="s">
        <v>1353</v>
      </c>
      <c r="G173" s="487" t="str">
        <f t="shared" si="20"/>
        <v>e-hydrogen (compressed)AfricaFinance cost including feedstock finance cost</v>
      </c>
      <c r="H173" s="495">
        <v>423.4664833247287</v>
      </c>
      <c r="I173" s="495">
        <v>407.9080597487058</v>
      </c>
      <c r="J173" s="495">
        <v>391.93778538812398</v>
      </c>
      <c r="K173" s="495">
        <v>383.67894989578463</v>
      </c>
      <c r="L173" s="495">
        <v>374.65498754747659</v>
      </c>
      <c r="M173" s="495">
        <v>364.86589834320779</v>
      </c>
      <c r="N173" s="495">
        <v>354.31168228298088</v>
      </c>
      <c r="O173" s="495">
        <v>342.99233936678479</v>
      </c>
      <c r="P173" s="495">
        <v>350.20750340232428</v>
      </c>
      <c r="Q173" s="495">
        <v>355.6383130013013</v>
      </c>
      <c r="R173" s="495">
        <v>359.28476816371159</v>
      </c>
      <c r="S173" s="495">
        <v>361.14686888954691</v>
      </c>
      <c r="T173" s="495">
        <v>361.22461517882164</v>
      </c>
      <c r="U173" s="495">
        <v>358.40192634457429</v>
      </c>
      <c r="V173" s="495">
        <v>354.10652475046084</v>
      </c>
      <c r="W173" s="495">
        <v>348.33841039649622</v>
      </c>
      <c r="X173" s="495">
        <v>341.09758328266571</v>
      </c>
      <c r="Y173" s="495">
        <v>332.38404340896386</v>
      </c>
      <c r="Z173" s="495">
        <v>321.22576094613464</v>
      </c>
      <c r="AA173" s="495">
        <v>308.95623454830633</v>
      </c>
      <c r="AB173" s="495">
        <v>295.57546421549114</v>
      </c>
      <c r="AC173" s="495">
        <v>281.08344994768112</v>
      </c>
      <c r="AD173" s="495">
        <v>265.48019174487365</v>
      </c>
      <c r="AE173" s="495">
        <v>248.55741402200647</v>
      </c>
      <c r="AF173" s="495">
        <v>230.93955849750063</v>
      </c>
      <c r="AG173" s="495">
        <v>212.62662517135635</v>
      </c>
      <c r="AH173" s="495">
        <v>193.61861404357347</v>
      </c>
      <c r="AI173" s="495">
        <v>173.9155251141523</v>
      </c>
    </row>
    <row r="174" spans="2:35" ht="15" outlineLevel="1">
      <c r="B174" t="str">
        <f t="shared" si="19"/>
        <v>e-hydrogen (compressed) - Finance cost including feedstock finance cost - Americas - USD/ton fuel</v>
      </c>
      <c r="C174" s="22" t="str">
        <f>C162</f>
        <v>e-hydrogen (compressed)</v>
      </c>
      <c r="D174" s="22" t="s">
        <v>1365</v>
      </c>
      <c r="E174" s="22" t="s">
        <v>731</v>
      </c>
      <c r="F174" s="22" t="s">
        <v>1353</v>
      </c>
      <c r="G174" s="487" t="str">
        <f t="shared" si="20"/>
        <v>e-hydrogen (compressed)AmericasFinance cost including feedstock finance cost</v>
      </c>
      <c r="H174" s="496">
        <v>423.4664833247287</v>
      </c>
      <c r="I174" s="496">
        <v>407.9080597487058</v>
      </c>
      <c r="J174" s="496">
        <v>391.93778538812398</v>
      </c>
      <c r="K174" s="496">
        <v>383.67894989578463</v>
      </c>
      <c r="L174" s="496">
        <v>374.65498754747659</v>
      </c>
      <c r="M174" s="496">
        <v>364.86589834320779</v>
      </c>
      <c r="N174" s="496">
        <v>354.31168228298088</v>
      </c>
      <c r="O174" s="496">
        <v>342.99233936678479</v>
      </c>
      <c r="P174" s="496">
        <v>350.20750340232428</v>
      </c>
      <c r="Q174" s="496">
        <v>355.6383130013013</v>
      </c>
      <c r="R174" s="496">
        <v>359.28476816371159</v>
      </c>
      <c r="S174" s="496">
        <v>361.14686888954691</v>
      </c>
      <c r="T174" s="496">
        <v>361.22461517882164</v>
      </c>
      <c r="U174" s="496">
        <v>358.40192634457429</v>
      </c>
      <c r="V174" s="496">
        <v>354.10652475046084</v>
      </c>
      <c r="W174" s="496">
        <v>348.33841039649622</v>
      </c>
      <c r="X174" s="496">
        <v>341.09758328266571</v>
      </c>
      <c r="Y174" s="496">
        <v>332.38404340896386</v>
      </c>
      <c r="Z174" s="496">
        <v>321.22576094613464</v>
      </c>
      <c r="AA174" s="496">
        <v>308.95623454830633</v>
      </c>
      <c r="AB174" s="496">
        <v>295.57546421549114</v>
      </c>
      <c r="AC174" s="496">
        <v>281.08344994768112</v>
      </c>
      <c r="AD174" s="496">
        <v>265.48019174487365</v>
      </c>
      <c r="AE174" s="496">
        <v>248.55741402200647</v>
      </c>
      <c r="AF174" s="496">
        <v>230.93955849750063</v>
      </c>
      <c r="AG174" s="496">
        <v>212.62662517135635</v>
      </c>
      <c r="AH174" s="496">
        <v>193.61861404357347</v>
      </c>
      <c r="AI174" s="496">
        <v>173.9155251141523</v>
      </c>
    </row>
    <row r="175" spans="2:35" ht="15" outlineLevel="1">
      <c r="B175" t="str">
        <f t="shared" si="19"/>
        <v>e-hydrogen (compressed) - Finance cost including feedstock finance cost - Asia - USD/ton fuel</v>
      </c>
      <c r="C175" s="22" t="str">
        <f>C162</f>
        <v>e-hydrogen (compressed)</v>
      </c>
      <c r="D175" s="22" t="s">
        <v>1365</v>
      </c>
      <c r="E175" s="22" t="s">
        <v>750</v>
      </c>
      <c r="F175" s="22" t="s">
        <v>1353</v>
      </c>
      <c r="G175" s="487" t="str">
        <f t="shared" si="20"/>
        <v>e-hydrogen (compressed)AsiaFinance cost including feedstock finance cost</v>
      </c>
      <c r="H175" s="496">
        <v>423.4664833247287</v>
      </c>
      <c r="I175" s="496">
        <v>407.9080597487058</v>
      </c>
      <c r="J175" s="496">
        <v>391.93778538812398</v>
      </c>
      <c r="K175" s="496">
        <v>383.67894989578463</v>
      </c>
      <c r="L175" s="496">
        <v>374.65498754747659</v>
      </c>
      <c r="M175" s="496">
        <v>364.86589834320779</v>
      </c>
      <c r="N175" s="496">
        <v>354.31168228298088</v>
      </c>
      <c r="O175" s="496">
        <v>342.99233936678479</v>
      </c>
      <c r="P175" s="496">
        <v>350.20750340232428</v>
      </c>
      <c r="Q175" s="496">
        <v>355.6383130013013</v>
      </c>
      <c r="R175" s="496">
        <v>359.28476816371159</v>
      </c>
      <c r="S175" s="496">
        <v>361.14686888954691</v>
      </c>
      <c r="T175" s="496">
        <v>361.22461517882164</v>
      </c>
      <c r="U175" s="496">
        <v>358.40192634457429</v>
      </c>
      <c r="V175" s="496">
        <v>354.10652475046084</v>
      </c>
      <c r="W175" s="496">
        <v>348.33841039649622</v>
      </c>
      <c r="X175" s="496">
        <v>341.09758328266571</v>
      </c>
      <c r="Y175" s="496">
        <v>332.38404340896386</v>
      </c>
      <c r="Z175" s="496">
        <v>321.22576094613464</v>
      </c>
      <c r="AA175" s="496">
        <v>308.95623454830633</v>
      </c>
      <c r="AB175" s="496">
        <v>295.57546421549114</v>
      </c>
      <c r="AC175" s="496">
        <v>281.08344994768112</v>
      </c>
      <c r="AD175" s="496">
        <v>265.48019174487365</v>
      </c>
      <c r="AE175" s="496">
        <v>248.55741402200647</v>
      </c>
      <c r="AF175" s="496">
        <v>230.93955849750063</v>
      </c>
      <c r="AG175" s="496">
        <v>212.62662517135635</v>
      </c>
      <c r="AH175" s="496">
        <v>193.61861404357347</v>
      </c>
      <c r="AI175" s="496">
        <v>173.9155251141523</v>
      </c>
    </row>
    <row r="176" spans="2:35" ht="15" outlineLevel="1">
      <c r="B176" t="str">
        <f t="shared" si="19"/>
        <v>e-hydrogen (compressed) - Finance cost including feedstock finance cost - Europe - USD/ton fuel</v>
      </c>
      <c r="C176" s="22" t="str">
        <f>C162</f>
        <v>e-hydrogen (compressed)</v>
      </c>
      <c r="D176" s="22" t="s">
        <v>1365</v>
      </c>
      <c r="E176" s="22" t="s">
        <v>720</v>
      </c>
      <c r="F176" s="22" t="s">
        <v>1353</v>
      </c>
      <c r="G176" s="487" t="str">
        <f t="shared" si="20"/>
        <v>e-hydrogen (compressed)EuropeFinance cost including feedstock finance cost</v>
      </c>
      <c r="H176" s="496">
        <v>423.4664833247287</v>
      </c>
      <c r="I176" s="496">
        <v>407.9080597487058</v>
      </c>
      <c r="J176" s="496">
        <v>391.93778538812398</v>
      </c>
      <c r="K176" s="496">
        <v>383.67894989578463</v>
      </c>
      <c r="L176" s="496">
        <v>374.65498754747659</v>
      </c>
      <c r="M176" s="496">
        <v>364.86589834320779</v>
      </c>
      <c r="N176" s="496">
        <v>354.31168228298088</v>
      </c>
      <c r="O176" s="496">
        <v>342.99233936678479</v>
      </c>
      <c r="P176" s="496">
        <v>350.20750340232428</v>
      </c>
      <c r="Q176" s="496">
        <v>355.6383130013013</v>
      </c>
      <c r="R176" s="496">
        <v>359.28476816371159</v>
      </c>
      <c r="S176" s="496">
        <v>361.14686888954691</v>
      </c>
      <c r="T176" s="496">
        <v>361.22461517882164</v>
      </c>
      <c r="U176" s="496">
        <v>358.40192634457429</v>
      </c>
      <c r="V176" s="496">
        <v>354.10652475046084</v>
      </c>
      <c r="W176" s="496">
        <v>348.33841039649622</v>
      </c>
      <c r="X176" s="496">
        <v>341.09758328266571</v>
      </c>
      <c r="Y176" s="496">
        <v>332.38404340896386</v>
      </c>
      <c r="Z176" s="496">
        <v>321.22576094613464</v>
      </c>
      <c r="AA176" s="496">
        <v>308.95623454830633</v>
      </c>
      <c r="AB176" s="496">
        <v>295.57546421549114</v>
      </c>
      <c r="AC176" s="496">
        <v>281.08344994768112</v>
      </c>
      <c r="AD176" s="496">
        <v>265.48019174487365</v>
      </c>
      <c r="AE176" s="496">
        <v>248.55741402200647</v>
      </c>
      <c r="AF176" s="496">
        <v>230.93955849750063</v>
      </c>
      <c r="AG176" s="496">
        <v>212.62662517135635</v>
      </c>
      <c r="AH176" s="496">
        <v>193.61861404357347</v>
      </c>
      <c r="AI176" s="496">
        <v>173.9155251141523</v>
      </c>
    </row>
    <row r="177" spans="2:64" ht="15" outlineLevel="1">
      <c r="B177" t="str">
        <f t="shared" si="19"/>
        <v>e-hydrogen (compressed) - Finance cost including feedstock finance cost - Middle East - USD/ton fuel</v>
      </c>
      <c r="C177" s="92" t="str">
        <f>C162</f>
        <v>e-hydrogen (compressed)</v>
      </c>
      <c r="D177" s="92" t="s">
        <v>1365</v>
      </c>
      <c r="E177" s="92" t="s">
        <v>826</v>
      </c>
      <c r="F177" s="92" t="s">
        <v>1353</v>
      </c>
      <c r="G177" s="487" t="str">
        <f t="shared" si="20"/>
        <v>e-hydrogen (compressed)Middle EastFinance cost including feedstock finance cost</v>
      </c>
      <c r="H177" s="497">
        <v>423.4664833247287</v>
      </c>
      <c r="I177" s="497">
        <v>407.9080597487058</v>
      </c>
      <c r="J177" s="497">
        <v>391.93778538812398</v>
      </c>
      <c r="K177" s="497">
        <v>383.67894989578463</v>
      </c>
      <c r="L177" s="497">
        <v>374.65498754747659</v>
      </c>
      <c r="M177" s="497">
        <v>364.86589834320779</v>
      </c>
      <c r="N177" s="497">
        <v>354.31168228298088</v>
      </c>
      <c r="O177" s="497">
        <v>342.99233936678479</v>
      </c>
      <c r="P177" s="497">
        <v>350.20750340232428</v>
      </c>
      <c r="Q177" s="497">
        <v>355.6383130013013</v>
      </c>
      <c r="R177" s="497">
        <v>359.28476816371159</v>
      </c>
      <c r="S177" s="497">
        <v>361.14686888954691</v>
      </c>
      <c r="T177" s="497">
        <v>361.22461517882164</v>
      </c>
      <c r="U177" s="497">
        <v>358.40192634457429</v>
      </c>
      <c r="V177" s="497">
        <v>354.10652475046084</v>
      </c>
      <c r="W177" s="497">
        <v>348.33841039649622</v>
      </c>
      <c r="X177" s="497">
        <v>341.09758328266571</v>
      </c>
      <c r="Y177" s="497">
        <v>332.38404340896386</v>
      </c>
      <c r="Z177" s="497">
        <v>321.22576094613464</v>
      </c>
      <c r="AA177" s="497">
        <v>308.95623454830633</v>
      </c>
      <c r="AB177" s="497">
        <v>295.57546421549114</v>
      </c>
      <c r="AC177" s="497">
        <v>281.08344994768112</v>
      </c>
      <c r="AD177" s="497">
        <v>265.48019174487365</v>
      </c>
      <c r="AE177" s="497">
        <v>248.55741402200647</v>
      </c>
      <c r="AF177" s="497">
        <v>230.93955849750063</v>
      </c>
      <c r="AG177" s="497">
        <v>212.62662517135635</v>
      </c>
      <c r="AH177" s="497">
        <v>193.61861404357347</v>
      </c>
      <c r="AI177" s="497">
        <v>173.9155251141523</v>
      </c>
    </row>
    <row r="178" spans="2:64" outlineLevel="1">
      <c r="B178" t="str">
        <f t="shared" si="19"/>
        <v>e-hydrogen (compressed) - Finance cost - Africa - USD/ton fuel</v>
      </c>
      <c r="C178" t="str">
        <f>C158</f>
        <v>e-hydrogen (compressed)</v>
      </c>
      <c r="D178" t="s">
        <v>1366</v>
      </c>
      <c r="E178" t="s">
        <v>838</v>
      </c>
      <c r="F178" t="s">
        <v>1353</v>
      </c>
      <c r="G178" s="487" t="str">
        <f t="shared" si="20"/>
        <v>e-hydrogen (compressed)AfricaFinance cost</v>
      </c>
      <c r="H178" s="493">
        <v>0</v>
      </c>
      <c r="I178" s="493">
        <v>0</v>
      </c>
      <c r="J178" s="493">
        <v>0</v>
      </c>
      <c r="K178" s="493">
        <v>0</v>
      </c>
      <c r="L178" s="493">
        <v>0</v>
      </c>
      <c r="M178" s="493">
        <v>0</v>
      </c>
      <c r="N178" s="493">
        <v>0</v>
      </c>
      <c r="O178" s="493">
        <v>0</v>
      </c>
      <c r="P178" s="493">
        <v>0</v>
      </c>
      <c r="Q178" s="493">
        <v>0</v>
      </c>
      <c r="R178" s="493">
        <v>0</v>
      </c>
      <c r="S178" s="493">
        <v>0</v>
      </c>
      <c r="T178" s="493">
        <v>0</v>
      </c>
      <c r="U178" s="493">
        <v>0</v>
      </c>
      <c r="V178" s="493">
        <v>0</v>
      </c>
      <c r="W178" s="493">
        <v>0</v>
      </c>
      <c r="X178" s="493">
        <v>0</v>
      </c>
      <c r="Y178" s="493">
        <v>0</v>
      </c>
      <c r="Z178" s="493">
        <v>0</v>
      </c>
      <c r="AA178" s="493">
        <v>0</v>
      </c>
      <c r="AB178" s="493">
        <v>0</v>
      </c>
      <c r="AC178" s="493">
        <v>0</v>
      </c>
      <c r="AD178" s="493">
        <v>0</v>
      </c>
      <c r="AE178" s="493">
        <v>0</v>
      </c>
      <c r="AF178" s="493">
        <v>0</v>
      </c>
      <c r="AG178" s="493">
        <v>0</v>
      </c>
      <c r="AH178" s="493">
        <v>0</v>
      </c>
      <c r="AI178" s="493">
        <v>0</v>
      </c>
    </row>
    <row r="179" spans="2:64" outlineLevel="1">
      <c r="B179" t="str">
        <f t="shared" si="19"/>
        <v>e-hydrogen (compressed) - Finance cost - Americas - USD/ton fuel</v>
      </c>
      <c r="C179" t="str">
        <f>C158</f>
        <v>e-hydrogen (compressed)</v>
      </c>
      <c r="D179" t="s">
        <v>1366</v>
      </c>
      <c r="E179" t="s">
        <v>731</v>
      </c>
      <c r="F179" t="s">
        <v>1353</v>
      </c>
      <c r="G179" s="487" t="str">
        <f t="shared" si="20"/>
        <v>e-hydrogen (compressed)AmericasFinance cost</v>
      </c>
      <c r="H179" s="493">
        <v>0</v>
      </c>
      <c r="I179" s="493">
        <v>0</v>
      </c>
      <c r="J179" s="493">
        <v>0</v>
      </c>
      <c r="K179" s="493">
        <v>0</v>
      </c>
      <c r="L179" s="493">
        <v>0</v>
      </c>
      <c r="M179" s="493">
        <v>0</v>
      </c>
      <c r="N179" s="493">
        <v>0</v>
      </c>
      <c r="O179" s="493">
        <v>0</v>
      </c>
      <c r="P179" s="493">
        <v>0</v>
      </c>
      <c r="Q179" s="493">
        <v>0</v>
      </c>
      <c r="R179" s="493">
        <v>0</v>
      </c>
      <c r="S179" s="493">
        <v>0</v>
      </c>
      <c r="T179" s="493">
        <v>0</v>
      </c>
      <c r="U179" s="493">
        <v>0</v>
      </c>
      <c r="V179" s="493">
        <v>0</v>
      </c>
      <c r="W179" s="493">
        <v>0</v>
      </c>
      <c r="X179" s="493">
        <v>0</v>
      </c>
      <c r="Y179" s="493">
        <v>0</v>
      </c>
      <c r="Z179" s="493">
        <v>0</v>
      </c>
      <c r="AA179" s="493">
        <v>0</v>
      </c>
      <c r="AB179" s="493">
        <v>0</v>
      </c>
      <c r="AC179" s="493">
        <v>0</v>
      </c>
      <c r="AD179" s="493">
        <v>0</v>
      </c>
      <c r="AE179" s="493">
        <v>0</v>
      </c>
      <c r="AF179" s="493">
        <v>0</v>
      </c>
      <c r="AG179" s="493">
        <v>0</v>
      </c>
      <c r="AH179" s="493">
        <v>0</v>
      </c>
      <c r="AI179" s="493">
        <v>0</v>
      </c>
    </row>
    <row r="180" spans="2:64" outlineLevel="1">
      <c r="B180" t="str">
        <f t="shared" si="19"/>
        <v>e-hydrogen (compressed) - Finance cost - Asia - USD/ton fuel</v>
      </c>
      <c r="C180" t="str">
        <f>C158</f>
        <v>e-hydrogen (compressed)</v>
      </c>
      <c r="D180" t="s">
        <v>1366</v>
      </c>
      <c r="E180" t="s">
        <v>750</v>
      </c>
      <c r="F180" t="s">
        <v>1353</v>
      </c>
      <c r="G180" s="487" t="str">
        <f t="shared" si="20"/>
        <v>e-hydrogen (compressed)AsiaFinance cost</v>
      </c>
      <c r="H180" s="493">
        <v>0</v>
      </c>
      <c r="I180" s="493">
        <v>0</v>
      </c>
      <c r="J180" s="493">
        <v>0</v>
      </c>
      <c r="K180" s="493">
        <v>0</v>
      </c>
      <c r="L180" s="493">
        <v>0</v>
      </c>
      <c r="M180" s="493">
        <v>0</v>
      </c>
      <c r="N180" s="493">
        <v>0</v>
      </c>
      <c r="O180" s="493">
        <v>0</v>
      </c>
      <c r="P180" s="493">
        <v>0</v>
      </c>
      <c r="Q180" s="493">
        <v>0</v>
      </c>
      <c r="R180" s="493">
        <v>0</v>
      </c>
      <c r="S180" s="493">
        <v>0</v>
      </c>
      <c r="T180" s="493">
        <v>0</v>
      </c>
      <c r="U180" s="493">
        <v>0</v>
      </c>
      <c r="V180" s="493">
        <v>0</v>
      </c>
      <c r="W180" s="493">
        <v>0</v>
      </c>
      <c r="X180" s="493">
        <v>0</v>
      </c>
      <c r="Y180" s="493">
        <v>0</v>
      </c>
      <c r="Z180" s="493">
        <v>0</v>
      </c>
      <c r="AA180" s="493">
        <v>0</v>
      </c>
      <c r="AB180" s="493">
        <v>0</v>
      </c>
      <c r="AC180" s="493">
        <v>0</v>
      </c>
      <c r="AD180" s="493">
        <v>0</v>
      </c>
      <c r="AE180" s="493">
        <v>0</v>
      </c>
      <c r="AF180" s="493">
        <v>0</v>
      </c>
      <c r="AG180" s="493">
        <v>0</v>
      </c>
      <c r="AH180" s="493">
        <v>0</v>
      </c>
      <c r="AI180" s="493">
        <v>0</v>
      </c>
    </row>
    <row r="181" spans="2:64" outlineLevel="1">
      <c r="B181" t="str">
        <f t="shared" si="19"/>
        <v>e-hydrogen (compressed) - Finance cost - Europe - USD/ton fuel</v>
      </c>
      <c r="C181" t="str">
        <f>C158</f>
        <v>e-hydrogen (compressed)</v>
      </c>
      <c r="D181" t="s">
        <v>1366</v>
      </c>
      <c r="E181" t="s">
        <v>720</v>
      </c>
      <c r="F181" t="s">
        <v>1353</v>
      </c>
      <c r="G181" s="487" t="str">
        <f t="shared" si="20"/>
        <v>e-hydrogen (compressed)EuropeFinance cost</v>
      </c>
      <c r="H181" s="493">
        <v>0</v>
      </c>
      <c r="I181" s="493">
        <v>0</v>
      </c>
      <c r="J181" s="493">
        <v>0</v>
      </c>
      <c r="K181" s="493">
        <v>0</v>
      </c>
      <c r="L181" s="493">
        <v>0</v>
      </c>
      <c r="M181" s="493">
        <v>0</v>
      </c>
      <c r="N181" s="493">
        <v>0</v>
      </c>
      <c r="O181" s="493">
        <v>0</v>
      </c>
      <c r="P181" s="493">
        <v>0</v>
      </c>
      <c r="Q181" s="493">
        <v>0</v>
      </c>
      <c r="R181" s="493">
        <v>0</v>
      </c>
      <c r="S181" s="493">
        <v>0</v>
      </c>
      <c r="T181" s="493">
        <v>0</v>
      </c>
      <c r="U181" s="493">
        <v>0</v>
      </c>
      <c r="V181" s="493">
        <v>0</v>
      </c>
      <c r="W181" s="493">
        <v>0</v>
      </c>
      <c r="X181" s="493">
        <v>0</v>
      </c>
      <c r="Y181" s="493">
        <v>0</v>
      </c>
      <c r="Z181" s="493">
        <v>0</v>
      </c>
      <c r="AA181" s="493">
        <v>0</v>
      </c>
      <c r="AB181" s="493">
        <v>0</v>
      </c>
      <c r="AC181" s="493">
        <v>0</v>
      </c>
      <c r="AD181" s="493">
        <v>0</v>
      </c>
      <c r="AE181" s="493">
        <v>0</v>
      </c>
      <c r="AF181" s="493">
        <v>0</v>
      </c>
      <c r="AG181" s="493">
        <v>0</v>
      </c>
      <c r="AH181" s="493">
        <v>0</v>
      </c>
      <c r="AI181" s="493">
        <v>0</v>
      </c>
    </row>
    <row r="182" spans="2:64" outlineLevel="1">
      <c r="B182" t="str">
        <f t="shared" si="19"/>
        <v>e-hydrogen (compressed) - Finance cost - Middle East - USD/ton fuel</v>
      </c>
      <c r="C182" t="str">
        <f>C158</f>
        <v>e-hydrogen (compressed)</v>
      </c>
      <c r="D182" t="s">
        <v>1366</v>
      </c>
      <c r="E182" t="s">
        <v>826</v>
      </c>
      <c r="F182" t="s">
        <v>1353</v>
      </c>
      <c r="G182" s="487" t="str">
        <f t="shared" si="20"/>
        <v>e-hydrogen (compressed)Middle EastFinance cost</v>
      </c>
      <c r="H182" s="493">
        <v>0</v>
      </c>
      <c r="I182" s="493">
        <v>0</v>
      </c>
      <c r="J182" s="493">
        <v>0</v>
      </c>
      <c r="K182" s="493">
        <v>0</v>
      </c>
      <c r="L182" s="493">
        <v>0</v>
      </c>
      <c r="M182" s="493">
        <v>0</v>
      </c>
      <c r="N182" s="493">
        <v>0</v>
      </c>
      <c r="O182" s="493">
        <v>0</v>
      </c>
      <c r="P182" s="493">
        <v>0</v>
      </c>
      <c r="Q182" s="493">
        <v>0</v>
      </c>
      <c r="R182" s="493">
        <v>0</v>
      </c>
      <c r="S182" s="493">
        <v>0</v>
      </c>
      <c r="T182" s="493">
        <v>0</v>
      </c>
      <c r="U182" s="493">
        <v>0</v>
      </c>
      <c r="V182" s="493">
        <v>0</v>
      </c>
      <c r="W182" s="493">
        <v>0</v>
      </c>
      <c r="X182" s="493">
        <v>0</v>
      </c>
      <c r="Y182" s="493">
        <v>0</v>
      </c>
      <c r="Z182" s="493">
        <v>0</v>
      </c>
      <c r="AA182" s="493">
        <v>0</v>
      </c>
      <c r="AB182" s="493">
        <v>0</v>
      </c>
      <c r="AC182" s="493">
        <v>0</v>
      </c>
      <c r="AD182" s="493">
        <v>0</v>
      </c>
      <c r="AE182" s="493">
        <v>0</v>
      </c>
      <c r="AF182" s="493">
        <v>0</v>
      </c>
      <c r="AG182" s="493">
        <v>0</v>
      </c>
      <c r="AH182" s="493">
        <v>0</v>
      </c>
      <c r="AI182" s="493">
        <v>0</v>
      </c>
    </row>
    <row r="183" spans="2:64" outlineLevel="1">
      <c r="B183" t="str">
        <f t="shared" si="19"/>
        <v>e-hydrogen - Finance cost - Africa - USD/ton fuel</v>
      </c>
      <c r="C183" t="s">
        <v>1370</v>
      </c>
      <c r="D183" t="s">
        <v>1366</v>
      </c>
      <c r="E183" t="s">
        <v>838</v>
      </c>
      <c r="F183" t="s">
        <v>1353</v>
      </c>
      <c r="G183" s="487" t="str">
        <f t="shared" si="20"/>
        <v>e-hydrogenAfricaFinance cost</v>
      </c>
      <c r="H183" s="493">
        <v>423.4664833247287</v>
      </c>
      <c r="I183" s="493">
        <v>407.9080597487058</v>
      </c>
      <c r="J183" s="493">
        <v>391.93778538812398</v>
      </c>
      <c r="K183" s="493">
        <v>383.67894989578463</v>
      </c>
      <c r="L183" s="493">
        <v>374.65498754747659</v>
      </c>
      <c r="M183" s="493">
        <v>364.86589834320779</v>
      </c>
      <c r="N183" s="493">
        <v>354.31168228298088</v>
      </c>
      <c r="O183" s="493">
        <v>342.99233936678479</v>
      </c>
      <c r="P183" s="493">
        <v>350.20750340232428</v>
      </c>
      <c r="Q183" s="493">
        <v>355.6383130013013</v>
      </c>
      <c r="R183" s="493">
        <v>359.28476816371159</v>
      </c>
      <c r="S183" s="493">
        <v>361.14686888954691</v>
      </c>
      <c r="T183" s="493">
        <v>361.22461517882164</v>
      </c>
      <c r="U183" s="493">
        <v>358.40192634457429</v>
      </c>
      <c r="V183" s="493">
        <v>354.10652475046084</v>
      </c>
      <c r="W183" s="493">
        <v>348.33841039649622</v>
      </c>
      <c r="X183" s="493">
        <v>341.09758328266571</v>
      </c>
      <c r="Y183" s="493">
        <v>332.38404340896386</v>
      </c>
      <c r="Z183" s="493">
        <v>321.22576094613464</v>
      </c>
      <c r="AA183" s="493">
        <v>308.95623454830633</v>
      </c>
      <c r="AB183" s="493">
        <v>295.57546421549114</v>
      </c>
      <c r="AC183" s="493">
        <v>281.08344994768112</v>
      </c>
      <c r="AD183" s="493">
        <v>265.48019174487365</v>
      </c>
      <c r="AE183" s="493">
        <v>248.55741402200647</v>
      </c>
      <c r="AF183" s="493">
        <v>230.93955849750063</v>
      </c>
      <c r="AG183" s="493">
        <v>212.62662517135635</v>
      </c>
      <c r="AH183" s="493">
        <v>193.61861404357347</v>
      </c>
      <c r="AI183" s="493">
        <v>173.9155251141523</v>
      </c>
    </row>
    <row r="184" spans="2:64" outlineLevel="1">
      <c r="B184" t="str">
        <f t="shared" si="19"/>
        <v>e-hydrogen - Finance cost - Americas - USD/ton fuel</v>
      </c>
      <c r="C184" t="s">
        <v>1370</v>
      </c>
      <c r="D184" t="s">
        <v>1366</v>
      </c>
      <c r="E184" t="s">
        <v>731</v>
      </c>
      <c r="F184" t="s">
        <v>1353</v>
      </c>
      <c r="G184" s="487" t="str">
        <f t="shared" si="20"/>
        <v>e-hydrogenAmericasFinance cost</v>
      </c>
      <c r="H184" s="493">
        <v>423.4664833247287</v>
      </c>
      <c r="I184" s="493">
        <v>407.9080597487058</v>
      </c>
      <c r="J184" s="493">
        <v>391.93778538812398</v>
      </c>
      <c r="K184" s="493">
        <v>383.67894989578463</v>
      </c>
      <c r="L184" s="493">
        <v>374.65498754747659</v>
      </c>
      <c r="M184" s="493">
        <v>364.86589834320779</v>
      </c>
      <c r="N184" s="493">
        <v>354.31168228298088</v>
      </c>
      <c r="O184" s="493">
        <v>342.99233936678479</v>
      </c>
      <c r="P184" s="493">
        <v>350.20750340232428</v>
      </c>
      <c r="Q184" s="493">
        <v>355.6383130013013</v>
      </c>
      <c r="R184" s="493">
        <v>359.28476816371159</v>
      </c>
      <c r="S184" s="493">
        <v>361.14686888954691</v>
      </c>
      <c r="T184" s="493">
        <v>361.22461517882164</v>
      </c>
      <c r="U184" s="493">
        <v>358.40192634457429</v>
      </c>
      <c r="V184" s="493">
        <v>354.10652475046084</v>
      </c>
      <c r="W184" s="493">
        <v>348.33841039649622</v>
      </c>
      <c r="X184" s="493">
        <v>341.09758328266571</v>
      </c>
      <c r="Y184" s="493">
        <v>332.38404340896386</v>
      </c>
      <c r="Z184" s="493">
        <v>321.22576094613464</v>
      </c>
      <c r="AA184" s="493">
        <v>308.95623454830633</v>
      </c>
      <c r="AB184" s="493">
        <v>295.57546421549114</v>
      </c>
      <c r="AC184" s="493">
        <v>281.08344994768112</v>
      </c>
      <c r="AD184" s="493">
        <v>265.48019174487365</v>
      </c>
      <c r="AE184" s="493">
        <v>248.55741402200647</v>
      </c>
      <c r="AF184" s="493">
        <v>230.93955849750063</v>
      </c>
      <c r="AG184" s="493">
        <v>212.62662517135635</v>
      </c>
      <c r="AH184" s="493">
        <v>193.61861404357347</v>
      </c>
      <c r="AI184" s="493">
        <v>173.9155251141523</v>
      </c>
    </row>
    <row r="185" spans="2:64" outlineLevel="1">
      <c r="B185" t="str">
        <f t="shared" si="19"/>
        <v>e-hydrogen - Finance cost - Asia - USD/ton fuel</v>
      </c>
      <c r="C185" t="s">
        <v>1370</v>
      </c>
      <c r="D185" t="s">
        <v>1366</v>
      </c>
      <c r="E185" t="s">
        <v>750</v>
      </c>
      <c r="F185" t="s">
        <v>1353</v>
      </c>
      <c r="G185" s="487" t="str">
        <f t="shared" si="20"/>
        <v>e-hydrogenAsiaFinance cost</v>
      </c>
      <c r="H185" s="493">
        <v>423.4664833247287</v>
      </c>
      <c r="I185" s="493">
        <v>407.9080597487058</v>
      </c>
      <c r="J185" s="493">
        <v>391.93778538812398</v>
      </c>
      <c r="K185" s="493">
        <v>383.67894989578463</v>
      </c>
      <c r="L185" s="493">
        <v>374.65498754747659</v>
      </c>
      <c r="M185" s="493">
        <v>364.86589834320779</v>
      </c>
      <c r="N185" s="493">
        <v>354.31168228298088</v>
      </c>
      <c r="O185" s="493">
        <v>342.99233936678479</v>
      </c>
      <c r="P185" s="493">
        <v>350.20750340232428</v>
      </c>
      <c r="Q185" s="493">
        <v>355.6383130013013</v>
      </c>
      <c r="R185" s="493">
        <v>359.28476816371159</v>
      </c>
      <c r="S185" s="493">
        <v>361.14686888954691</v>
      </c>
      <c r="T185" s="493">
        <v>361.22461517882164</v>
      </c>
      <c r="U185" s="493">
        <v>358.40192634457429</v>
      </c>
      <c r="V185" s="493">
        <v>354.10652475046084</v>
      </c>
      <c r="W185" s="493">
        <v>348.33841039649622</v>
      </c>
      <c r="X185" s="493">
        <v>341.09758328266571</v>
      </c>
      <c r="Y185" s="493">
        <v>332.38404340896386</v>
      </c>
      <c r="Z185" s="493">
        <v>321.22576094613464</v>
      </c>
      <c r="AA185" s="493">
        <v>308.95623454830633</v>
      </c>
      <c r="AB185" s="493">
        <v>295.57546421549114</v>
      </c>
      <c r="AC185" s="493">
        <v>281.08344994768112</v>
      </c>
      <c r="AD185" s="493">
        <v>265.48019174487365</v>
      </c>
      <c r="AE185" s="493">
        <v>248.55741402200647</v>
      </c>
      <c r="AF185" s="493">
        <v>230.93955849750063</v>
      </c>
      <c r="AG185" s="493">
        <v>212.62662517135635</v>
      </c>
      <c r="AH185" s="493">
        <v>193.61861404357347</v>
      </c>
      <c r="AI185" s="493">
        <v>173.9155251141523</v>
      </c>
    </row>
    <row r="186" spans="2:64" outlineLevel="1">
      <c r="B186" t="str">
        <f t="shared" si="19"/>
        <v>e-hydrogen - Finance cost - Europe - USD/ton fuel</v>
      </c>
      <c r="C186" t="s">
        <v>1370</v>
      </c>
      <c r="D186" t="s">
        <v>1366</v>
      </c>
      <c r="E186" t="s">
        <v>720</v>
      </c>
      <c r="F186" t="s">
        <v>1353</v>
      </c>
      <c r="G186" s="487" t="str">
        <f t="shared" si="20"/>
        <v>e-hydrogenEuropeFinance cost</v>
      </c>
      <c r="H186" s="493">
        <v>423.4664833247287</v>
      </c>
      <c r="I186" s="493">
        <v>407.9080597487058</v>
      </c>
      <c r="J186" s="493">
        <v>391.93778538812398</v>
      </c>
      <c r="K186" s="493">
        <v>383.67894989578463</v>
      </c>
      <c r="L186" s="493">
        <v>374.65498754747659</v>
      </c>
      <c r="M186" s="493">
        <v>364.86589834320779</v>
      </c>
      <c r="N186" s="493">
        <v>354.31168228298088</v>
      </c>
      <c r="O186" s="493">
        <v>342.99233936678479</v>
      </c>
      <c r="P186" s="493">
        <v>350.20750340232428</v>
      </c>
      <c r="Q186" s="493">
        <v>355.6383130013013</v>
      </c>
      <c r="R186" s="493">
        <v>359.28476816371159</v>
      </c>
      <c r="S186" s="493">
        <v>361.14686888954691</v>
      </c>
      <c r="T186" s="493">
        <v>361.22461517882164</v>
      </c>
      <c r="U186" s="493">
        <v>358.40192634457429</v>
      </c>
      <c r="V186" s="493">
        <v>354.10652475046084</v>
      </c>
      <c r="W186" s="493">
        <v>348.33841039649622</v>
      </c>
      <c r="X186" s="493">
        <v>341.09758328266571</v>
      </c>
      <c r="Y186" s="493">
        <v>332.38404340896386</v>
      </c>
      <c r="Z186" s="493">
        <v>321.22576094613464</v>
      </c>
      <c r="AA186" s="493">
        <v>308.95623454830633</v>
      </c>
      <c r="AB186" s="493">
        <v>295.57546421549114</v>
      </c>
      <c r="AC186" s="493">
        <v>281.08344994768112</v>
      </c>
      <c r="AD186" s="493">
        <v>265.48019174487365</v>
      </c>
      <c r="AE186" s="493">
        <v>248.55741402200647</v>
      </c>
      <c r="AF186" s="493">
        <v>230.93955849750063</v>
      </c>
      <c r="AG186" s="493">
        <v>212.62662517135635</v>
      </c>
      <c r="AH186" s="493">
        <v>193.61861404357347</v>
      </c>
      <c r="AI186" s="493">
        <v>173.9155251141523</v>
      </c>
    </row>
    <row r="187" spans="2:64" outlineLevel="1">
      <c r="B187" t="str">
        <f t="shared" si="19"/>
        <v>e-hydrogen - Finance cost - Middle East - USD/ton fuel</v>
      </c>
      <c r="C187" t="s">
        <v>1370</v>
      </c>
      <c r="D187" t="s">
        <v>1366</v>
      </c>
      <c r="E187" t="s">
        <v>826</v>
      </c>
      <c r="F187" t="s">
        <v>1353</v>
      </c>
      <c r="G187" s="487" t="str">
        <f t="shared" si="20"/>
        <v>e-hydrogenMiddle EastFinance cost</v>
      </c>
      <c r="H187" s="493">
        <v>423.4664833247287</v>
      </c>
      <c r="I187" s="493">
        <v>407.9080597487058</v>
      </c>
      <c r="J187" s="493">
        <v>391.93778538812398</v>
      </c>
      <c r="K187" s="493">
        <v>383.67894989578463</v>
      </c>
      <c r="L187" s="493">
        <v>374.65498754747659</v>
      </c>
      <c r="M187" s="493">
        <v>364.86589834320779</v>
      </c>
      <c r="N187" s="493">
        <v>354.31168228298088</v>
      </c>
      <c r="O187" s="493">
        <v>342.99233936678479</v>
      </c>
      <c r="P187" s="493">
        <v>350.20750340232428</v>
      </c>
      <c r="Q187" s="493">
        <v>355.6383130013013</v>
      </c>
      <c r="R187" s="493">
        <v>359.28476816371159</v>
      </c>
      <c r="S187" s="493">
        <v>361.14686888954691</v>
      </c>
      <c r="T187" s="493">
        <v>361.22461517882164</v>
      </c>
      <c r="U187" s="493">
        <v>358.40192634457429</v>
      </c>
      <c r="V187" s="493">
        <v>354.10652475046084</v>
      </c>
      <c r="W187" s="493">
        <v>348.33841039649622</v>
      </c>
      <c r="X187" s="493">
        <v>341.09758328266571</v>
      </c>
      <c r="Y187" s="493">
        <v>332.38404340896386</v>
      </c>
      <c r="Z187" s="493">
        <v>321.22576094613464</v>
      </c>
      <c r="AA187" s="493">
        <v>308.95623454830633</v>
      </c>
      <c r="AB187" s="493">
        <v>295.57546421549114</v>
      </c>
      <c r="AC187" s="493">
        <v>281.08344994768112</v>
      </c>
      <c r="AD187" s="493">
        <v>265.48019174487365</v>
      </c>
      <c r="AE187" s="493">
        <v>248.55741402200647</v>
      </c>
      <c r="AF187" s="493">
        <v>230.93955849750063</v>
      </c>
      <c r="AG187" s="493">
        <v>212.62662517135635</v>
      </c>
      <c r="AH187" s="493">
        <v>193.61861404357347</v>
      </c>
      <c r="AI187" s="493">
        <v>173.9155251141523</v>
      </c>
    </row>
    <row r="188" spans="2:64" ht="15" outlineLevel="1" thickBot="1">
      <c r="B188" t="str">
        <f t="shared" si="19"/>
        <v/>
      </c>
      <c r="G188" s="487" t="str">
        <f t="shared" si="20"/>
        <v/>
      </c>
      <c r="H188" s="498"/>
    </row>
    <row r="189" spans="2:64" ht="15" outlineLevel="1">
      <c r="B189" t="str">
        <f t="shared" si="19"/>
        <v>e-hydrogen (compressed) - Energy cost including feedstock energy cost - Africa - USD/ton fuel</v>
      </c>
      <c r="C189" s="494" t="str">
        <f>C158</f>
        <v>e-hydrogen (compressed)</v>
      </c>
      <c r="D189" s="494" t="s">
        <v>1367</v>
      </c>
      <c r="E189" s="494" t="s">
        <v>838</v>
      </c>
      <c r="F189" s="494" t="s">
        <v>1353</v>
      </c>
      <c r="G189" s="487" t="str">
        <f t="shared" si="20"/>
        <v>e-hydrogen (compressed)AfricaEnergy cost including feedstock energy cost</v>
      </c>
      <c r="H189" s="495">
        <v>3160.8705964644164</v>
      </c>
      <c r="I189" s="495">
        <v>2786.523241337979</v>
      </c>
      <c r="J189" s="495">
        <v>2412.5464202833837</v>
      </c>
      <c r="K189" s="495">
        <v>2304.7344628217015</v>
      </c>
      <c r="L189" s="495">
        <v>2196.6012206586379</v>
      </c>
      <c r="M189" s="495">
        <v>2088.2494806360514</v>
      </c>
      <c r="N189" s="495">
        <v>1979.7820295958466</v>
      </c>
      <c r="O189" s="495">
        <v>1871.3016543799013</v>
      </c>
      <c r="P189" s="495">
        <v>1802.6625730422293</v>
      </c>
      <c r="Q189" s="495">
        <v>1734.1917254836167</v>
      </c>
      <c r="R189" s="495">
        <v>1665.9444753405153</v>
      </c>
      <c r="S189" s="495">
        <v>1597.976186249457</v>
      </c>
      <c r="T189" s="495">
        <v>1530.3422218469802</v>
      </c>
      <c r="U189" s="495">
        <v>1491.8507805011832</v>
      </c>
      <c r="V189" s="495">
        <v>1453.4494587457298</v>
      </c>
      <c r="W189" s="495">
        <v>1415.1563219456079</v>
      </c>
      <c r="X189" s="495">
        <v>1376.9894354656967</v>
      </c>
      <c r="Y189" s="495">
        <v>1338.9668646709708</v>
      </c>
      <c r="Z189" s="495">
        <v>1296.9598763474942</v>
      </c>
      <c r="AA189" s="495">
        <v>1255.7747230782336</v>
      </c>
      <c r="AB189" s="495">
        <v>1215.4008407247393</v>
      </c>
      <c r="AC189" s="495">
        <v>1175.8276651485323</v>
      </c>
      <c r="AD189" s="495">
        <v>1137.0446322111472</v>
      </c>
      <c r="AE189" s="495">
        <v>1113.2241368658154</v>
      </c>
      <c r="AF189" s="495">
        <v>1089.8673860112274</v>
      </c>
      <c r="AG189" s="495">
        <v>1066.9677226950826</v>
      </c>
      <c r="AH189" s="495">
        <v>1044.5184899651035</v>
      </c>
      <c r="AI189" s="495">
        <v>1022.5130308690141</v>
      </c>
      <c r="AK189" s="499" t="b">
        <f t="shared" ref="AK189:BL189" si="26">H165+H169+H173+H189+H205=H159</f>
        <v>1</v>
      </c>
      <c r="AL189" s="500" t="b">
        <f t="shared" si="26"/>
        <v>1</v>
      </c>
      <c r="AM189" s="500" t="b">
        <f t="shared" si="26"/>
        <v>1</v>
      </c>
      <c r="AN189" s="500" t="b">
        <f t="shared" si="26"/>
        <v>1</v>
      </c>
      <c r="AO189" s="500" t="b">
        <f t="shared" si="26"/>
        <v>1</v>
      </c>
      <c r="AP189" s="500" t="b">
        <f t="shared" si="26"/>
        <v>1</v>
      </c>
      <c r="AQ189" s="500" t="b">
        <f t="shared" si="26"/>
        <v>1</v>
      </c>
      <c r="AR189" s="500" t="b">
        <f t="shared" si="26"/>
        <v>1</v>
      </c>
      <c r="AS189" s="500" t="b">
        <f t="shared" si="26"/>
        <v>1</v>
      </c>
      <c r="AT189" s="500" t="b">
        <f t="shared" si="26"/>
        <v>1</v>
      </c>
      <c r="AU189" s="500" t="b">
        <f t="shared" si="26"/>
        <v>1</v>
      </c>
      <c r="AV189" s="500" t="b">
        <f t="shared" si="26"/>
        <v>1</v>
      </c>
      <c r="AW189" s="500" t="b">
        <f t="shared" si="26"/>
        <v>1</v>
      </c>
      <c r="AX189" s="500" t="b">
        <f t="shared" si="26"/>
        <v>0</v>
      </c>
      <c r="AY189" s="500" t="b">
        <f t="shared" si="26"/>
        <v>1</v>
      </c>
      <c r="AZ189" s="500" t="b">
        <f t="shared" si="26"/>
        <v>1</v>
      </c>
      <c r="BA189" s="500" t="b">
        <f t="shared" si="26"/>
        <v>1</v>
      </c>
      <c r="BB189" s="500" t="b">
        <f t="shared" si="26"/>
        <v>1</v>
      </c>
      <c r="BC189" s="500" t="b">
        <f t="shared" si="26"/>
        <v>1</v>
      </c>
      <c r="BD189" s="500" t="b">
        <f t="shared" si="26"/>
        <v>1</v>
      </c>
      <c r="BE189" s="500" t="b">
        <f t="shared" si="26"/>
        <v>1</v>
      </c>
      <c r="BF189" s="500" t="b">
        <f t="shared" si="26"/>
        <v>1</v>
      </c>
      <c r="BG189" s="500" t="b">
        <f t="shared" si="26"/>
        <v>1</v>
      </c>
      <c r="BH189" s="500" t="b">
        <f t="shared" si="26"/>
        <v>1</v>
      </c>
      <c r="BI189" s="500" t="b">
        <f t="shared" si="26"/>
        <v>1</v>
      </c>
      <c r="BJ189" s="500" t="b">
        <f t="shared" si="26"/>
        <v>1</v>
      </c>
      <c r="BK189" s="500" t="b">
        <f t="shared" si="26"/>
        <v>1</v>
      </c>
      <c r="BL189" s="501" t="b">
        <f t="shared" si="26"/>
        <v>1</v>
      </c>
    </row>
    <row r="190" spans="2:64" ht="15" outlineLevel="1">
      <c r="B190" t="str">
        <f t="shared" si="19"/>
        <v>e-hydrogen (compressed) - Energy cost including feedstock energy cost - Americas - USD/ton fuel</v>
      </c>
      <c r="C190" s="22" t="str">
        <f>C158</f>
        <v>e-hydrogen (compressed)</v>
      </c>
      <c r="D190" s="22" t="s">
        <v>1367</v>
      </c>
      <c r="E190" s="22" t="s">
        <v>731</v>
      </c>
      <c r="F190" s="22" t="s">
        <v>1353</v>
      </c>
      <c r="G190" s="487" t="str">
        <f t="shared" si="20"/>
        <v>e-hydrogen (compressed)AmericasEnergy cost including feedstock energy cost</v>
      </c>
      <c r="H190" s="496">
        <v>1986.022029783622</v>
      </c>
      <c r="I190" s="496">
        <v>1942.6791108821419</v>
      </c>
      <c r="J190" s="496">
        <v>1899.0560032656203</v>
      </c>
      <c r="K190" s="496">
        <v>1826.0625747933959</v>
      </c>
      <c r="L190" s="496">
        <v>1752.7609736509025</v>
      </c>
      <c r="M190" s="496">
        <v>1679.2202631891889</v>
      </c>
      <c r="N190" s="496">
        <v>1605.5095067593863</v>
      </c>
      <c r="O190" s="496">
        <v>1531.6977677124719</v>
      </c>
      <c r="P190" s="496">
        <v>1489.0291478242557</v>
      </c>
      <c r="Q190" s="496">
        <v>1446.3126288296503</v>
      </c>
      <c r="R190" s="496">
        <v>1403.5802801551172</v>
      </c>
      <c r="S190" s="496">
        <v>1360.8641712271224</v>
      </c>
      <c r="T190" s="496">
        <v>1318.196371472189</v>
      </c>
      <c r="U190" s="496">
        <v>1281.5555815366356</v>
      </c>
      <c r="V190" s="496">
        <v>1245.0533507729108</v>
      </c>
      <c r="W190" s="496">
        <v>1208.7077012258628</v>
      </c>
      <c r="X190" s="496">
        <v>1172.5366549402484</v>
      </c>
      <c r="Y190" s="496">
        <v>1136.5582339608836</v>
      </c>
      <c r="Z190" s="496">
        <v>1112.3640919011295</v>
      </c>
      <c r="AA190" s="496">
        <v>1088.5763473760965</v>
      </c>
      <c r="AB190" s="496">
        <v>1065.1908713683672</v>
      </c>
      <c r="AC190" s="496">
        <v>1042.2035348604634</v>
      </c>
      <c r="AD190" s="496">
        <v>1019.61020883496</v>
      </c>
      <c r="AE190" s="496">
        <v>1001.6667447875999</v>
      </c>
      <c r="AF190" s="496">
        <v>984.06586194466854</v>
      </c>
      <c r="AG190" s="496">
        <v>966.80356105825501</v>
      </c>
      <c r="AH190" s="496">
        <v>949.87584288045787</v>
      </c>
      <c r="AI190" s="496">
        <v>933.27870816337509</v>
      </c>
      <c r="AK190" s="502" t="b">
        <f t="shared" ref="AK190:BL190" si="27">H165+H169+H174+H190+H205=H160</f>
        <v>1</v>
      </c>
      <c r="AL190" s="106" t="b">
        <f t="shared" si="27"/>
        <v>1</v>
      </c>
      <c r="AM190" s="106" t="b">
        <f t="shared" si="27"/>
        <v>1</v>
      </c>
      <c r="AN190" s="106" t="b">
        <f t="shared" si="27"/>
        <v>1</v>
      </c>
      <c r="AO190" s="106" t="b">
        <f t="shared" si="27"/>
        <v>1</v>
      </c>
      <c r="AP190" s="106" t="b">
        <f t="shared" si="27"/>
        <v>1</v>
      </c>
      <c r="AQ190" s="106" t="b">
        <f t="shared" si="27"/>
        <v>1</v>
      </c>
      <c r="AR190" s="106" t="b">
        <f t="shared" si="27"/>
        <v>1</v>
      </c>
      <c r="AS190" s="106" t="b">
        <f t="shared" si="27"/>
        <v>1</v>
      </c>
      <c r="AT190" s="106" t="b">
        <f t="shared" si="27"/>
        <v>1</v>
      </c>
      <c r="AU190" s="106" t="b">
        <f t="shared" si="27"/>
        <v>1</v>
      </c>
      <c r="AV190" s="106" t="b">
        <f t="shared" si="27"/>
        <v>1</v>
      </c>
      <c r="AW190" s="106" t="b">
        <f t="shared" si="27"/>
        <v>1</v>
      </c>
      <c r="AX190" s="106" t="b">
        <f t="shared" si="27"/>
        <v>1</v>
      </c>
      <c r="AY190" s="106" t="b">
        <f t="shared" si="27"/>
        <v>1</v>
      </c>
      <c r="AZ190" s="106" t="b">
        <f t="shared" si="27"/>
        <v>1</v>
      </c>
      <c r="BA190" s="106" t="b">
        <f t="shared" si="27"/>
        <v>1</v>
      </c>
      <c r="BB190" s="106" t="b">
        <f t="shared" si="27"/>
        <v>1</v>
      </c>
      <c r="BC190" s="106" t="b">
        <f t="shared" si="27"/>
        <v>1</v>
      </c>
      <c r="BD190" s="106" t="b">
        <f t="shared" si="27"/>
        <v>1</v>
      </c>
      <c r="BE190" s="106" t="b">
        <f t="shared" si="27"/>
        <v>1</v>
      </c>
      <c r="BF190" s="106" t="b">
        <f t="shared" si="27"/>
        <v>1</v>
      </c>
      <c r="BG190" s="106" t="b">
        <f t="shared" si="27"/>
        <v>1</v>
      </c>
      <c r="BH190" s="106" t="b">
        <f t="shared" si="27"/>
        <v>1</v>
      </c>
      <c r="BI190" s="106" t="b">
        <f t="shared" si="27"/>
        <v>1</v>
      </c>
      <c r="BJ190" s="106" t="b">
        <f t="shared" si="27"/>
        <v>1</v>
      </c>
      <c r="BK190" s="106" t="b">
        <f t="shared" si="27"/>
        <v>1</v>
      </c>
      <c r="BL190" s="503" t="b">
        <f t="shared" si="27"/>
        <v>1</v>
      </c>
    </row>
    <row r="191" spans="2:64" ht="15" outlineLevel="1">
      <c r="B191" t="str">
        <f t="shared" si="19"/>
        <v>e-hydrogen (compressed) - Energy cost including feedstock energy cost - Asia - USD/ton fuel</v>
      </c>
      <c r="C191" s="22" t="str">
        <f>C158</f>
        <v>e-hydrogen (compressed)</v>
      </c>
      <c r="D191" s="22" t="s">
        <v>1367</v>
      </c>
      <c r="E191" s="22" t="s">
        <v>750</v>
      </c>
      <c r="F191" s="22" t="s">
        <v>1353</v>
      </c>
      <c r="G191" s="487" t="str">
        <f t="shared" si="20"/>
        <v>e-hydrogen (compressed)AsiaEnergy cost including feedstock energy cost</v>
      </c>
      <c r="H191" s="496">
        <v>3515.5451368694994</v>
      </c>
      <c r="I191" s="496">
        <v>3202.9670075376002</v>
      </c>
      <c r="J191" s="496">
        <v>2890.5235227287494</v>
      </c>
      <c r="K191" s="496">
        <v>2774.4528840461521</v>
      </c>
      <c r="L191" s="496">
        <v>2657.9363122554146</v>
      </c>
      <c r="M191" s="496">
        <v>2541.0838854200356</v>
      </c>
      <c r="N191" s="496">
        <v>2424.0056816037468</v>
      </c>
      <c r="O191" s="496">
        <v>2306.8117788701561</v>
      </c>
      <c r="P191" s="496">
        <v>2218.1721303505983</v>
      </c>
      <c r="Q191" s="496">
        <v>2129.7951643580186</v>
      </c>
      <c r="R191" s="496">
        <v>2041.7530759339261</v>
      </c>
      <c r="S191" s="496">
        <v>1954.1180601197893</v>
      </c>
      <c r="T191" s="496">
        <v>1866.9623119572402</v>
      </c>
      <c r="U191" s="496">
        <v>1815.1787029276168</v>
      </c>
      <c r="V191" s="496">
        <v>1763.5893988725866</v>
      </c>
      <c r="W191" s="496">
        <v>1712.219846212882</v>
      </c>
      <c r="X191" s="496">
        <v>1661.0954913690473</v>
      </c>
      <c r="Y191" s="496">
        <v>1610.2417807617942</v>
      </c>
      <c r="Z191" s="496">
        <v>1553.9360314199</v>
      </c>
      <c r="AA191" s="496">
        <v>1498.7656644323729</v>
      </c>
      <c r="AB191" s="496">
        <v>1444.7155323228835</v>
      </c>
      <c r="AC191" s="496">
        <v>1391.7704876150719</v>
      </c>
      <c r="AD191" s="496">
        <v>1339.915382832598</v>
      </c>
      <c r="AE191" s="496">
        <v>1309.9831447130568</v>
      </c>
      <c r="AF191" s="496">
        <v>1280.6373127610934</v>
      </c>
      <c r="AG191" s="496">
        <v>1251.8689688243389</v>
      </c>
      <c r="AH191" s="496">
        <v>1223.6691947504187</v>
      </c>
      <c r="AI191" s="496">
        <v>1196.0290723869578</v>
      </c>
      <c r="AK191" s="502" t="b">
        <f t="shared" ref="AK191:BL191" si="28">H165+H169+H175+H191+H205=H161</f>
        <v>1</v>
      </c>
      <c r="AL191" s="106" t="b">
        <f t="shared" si="28"/>
        <v>1</v>
      </c>
      <c r="AM191" s="106" t="b">
        <f t="shared" si="28"/>
        <v>1</v>
      </c>
      <c r="AN191" s="106" t="b">
        <f t="shared" si="28"/>
        <v>0</v>
      </c>
      <c r="AO191" s="106" t="b">
        <f t="shared" si="28"/>
        <v>1</v>
      </c>
      <c r="AP191" s="106" t="b">
        <f t="shared" si="28"/>
        <v>1</v>
      </c>
      <c r="AQ191" s="106" t="b">
        <f t="shared" si="28"/>
        <v>1</v>
      </c>
      <c r="AR191" s="106" t="b">
        <f t="shared" si="28"/>
        <v>1</v>
      </c>
      <c r="AS191" s="106" t="b">
        <f t="shared" si="28"/>
        <v>1</v>
      </c>
      <c r="AT191" s="106" t="b">
        <f t="shared" si="28"/>
        <v>1</v>
      </c>
      <c r="AU191" s="106" t="b">
        <f t="shared" si="28"/>
        <v>1</v>
      </c>
      <c r="AV191" s="106" t="b">
        <f t="shared" si="28"/>
        <v>1</v>
      </c>
      <c r="AW191" s="106" t="b">
        <f t="shared" si="28"/>
        <v>1</v>
      </c>
      <c r="AX191" s="106" t="b">
        <f t="shared" si="28"/>
        <v>1</v>
      </c>
      <c r="AY191" s="106" t="b">
        <f t="shared" si="28"/>
        <v>1</v>
      </c>
      <c r="AZ191" s="106" t="b">
        <f t="shared" si="28"/>
        <v>1</v>
      </c>
      <c r="BA191" s="106" t="b">
        <f t="shared" si="28"/>
        <v>1</v>
      </c>
      <c r="BB191" s="106" t="b">
        <f t="shared" si="28"/>
        <v>1</v>
      </c>
      <c r="BC191" s="106" t="b">
        <f t="shared" si="28"/>
        <v>1</v>
      </c>
      <c r="BD191" s="106" t="b">
        <f t="shared" si="28"/>
        <v>1</v>
      </c>
      <c r="BE191" s="106" t="b">
        <f t="shared" si="28"/>
        <v>1</v>
      </c>
      <c r="BF191" s="106" t="b">
        <f t="shared" si="28"/>
        <v>0</v>
      </c>
      <c r="BG191" s="106" t="b">
        <f t="shared" si="28"/>
        <v>1</v>
      </c>
      <c r="BH191" s="106" t="b">
        <f t="shared" si="28"/>
        <v>1</v>
      </c>
      <c r="BI191" s="106" t="b">
        <f t="shared" si="28"/>
        <v>1</v>
      </c>
      <c r="BJ191" s="106" t="b">
        <f t="shared" si="28"/>
        <v>1</v>
      </c>
      <c r="BK191" s="106" t="b">
        <f t="shared" si="28"/>
        <v>1</v>
      </c>
      <c r="BL191" s="503" t="b">
        <f t="shared" si="28"/>
        <v>1</v>
      </c>
    </row>
    <row r="192" spans="2:64" ht="15" outlineLevel="1">
      <c r="B192" t="str">
        <f t="shared" si="19"/>
        <v>e-hydrogen (compressed) - Energy cost including feedstock energy cost - Europe - USD/ton fuel</v>
      </c>
      <c r="C192" s="22" t="str">
        <f>C158</f>
        <v>e-hydrogen (compressed)</v>
      </c>
      <c r="D192" s="22" t="s">
        <v>1367</v>
      </c>
      <c r="E192" s="22" t="s">
        <v>720</v>
      </c>
      <c r="F192" s="22" t="s">
        <v>1353</v>
      </c>
      <c r="G192" s="487" t="str">
        <f t="shared" si="20"/>
        <v>e-hydrogen (compressed)EuropeEnergy cost including feedstock energy cost</v>
      </c>
      <c r="H192" s="496">
        <v>2617.1329276426868</v>
      </c>
      <c r="I192" s="496">
        <v>2501.4832373426843</v>
      </c>
      <c r="J192" s="496">
        <v>2385.6208251448465</v>
      </c>
      <c r="K192" s="496">
        <v>2290.1360706240293</v>
      </c>
      <c r="L192" s="496">
        <v>2194.281827469511</v>
      </c>
      <c r="M192" s="496">
        <v>2098.1486352829556</v>
      </c>
      <c r="N192" s="496">
        <v>2001.8270336660016</v>
      </c>
      <c r="O192" s="496">
        <v>1905.4075622202831</v>
      </c>
      <c r="P192" s="496">
        <v>1855.9948612502078</v>
      </c>
      <c r="Q192" s="496">
        <v>1806.4722197363817</v>
      </c>
      <c r="R192" s="496">
        <v>1756.8759375972888</v>
      </c>
      <c r="S192" s="496">
        <v>1707.2423147514785</v>
      </c>
      <c r="T192" s="496">
        <v>1657.6076511175781</v>
      </c>
      <c r="U192" s="496">
        <v>1622.348781281504</v>
      </c>
      <c r="V192" s="496">
        <v>1587.0750484272664</v>
      </c>
      <c r="W192" s="496">
        <v>1551.8014774016065</v>
      </c>
      <c r="X192" s="496">
        <v>1516.5430930511313</v>
      </c>
      <c r="Y192" s="496">
        <v>1481.3149202225381</v>
      </c>
      <c r="Z192" s="496">
        <v>1440.8743847473047</v>
      </c>
      <c r="AA192" s="496">
        <v>1401.1898091614214</v>
      </c>
      <c r="AB192" s="496">
        <v>1362.2520523275218</v>
      </c>
      <c r="AC192" s="496">
        <v>1324.0519731081486</v>
      </c>
      <c r="AD192" s="496">
        <v>1286.5804303659243</v>
      </c>
      <c r="AE192" s="496">
        <v>1257.840458133481</v>
      </c>
      <c r="AF192" s="496">
        <v>1229.6635327190136</v>
      </c>
      <c r="AG192" s="496">
        <v>1202.0410914284364</v>
      </c>
      <c r="AH192" s="496">
        <v>1174.9645715676581</v>
      </c>
      <c r="AI192" s="496">
        <v>1148.4254104425868</v>
      </c>
      <c r="AK192" s="502" t="b">
        <f t="shared" ref="AK192:BL192" si="29">H165+H169+H176+H192+H205=H162</f>
        <v>1</v>
      </c>
      <c r="AL192" s="106" t="b">
        <f t="shared" si="29"/>
        <v>1</v>
      </c>
      <c r="AM192" s="106" t="b">
        <f t="shared" si="29"/>
        <v>1</v>
      </c>
      <c r="AN192" s="106" t="b">
        <f t="shared" si="29"/>
        <v>1</v>
      </c>
      <c r="AO192" s="106" t="b">
        <f t="shared" si="29"/>
        <v>1</v>
      </c>
      <c r="AP192" s="106" t="b">
        <f t="shared" si="29"/>
        <v>1</v>
      </c>
      <c r="AQ192" s="106" t="b">
        <f t="shared" si="29"/>
        <v>1</v>
      </c>
      <c r="AR192" s="106" t="b">
        <f t="shared" si="29"/>
        <v>1</v>
      </c>
      <c r="AS192" s="106" t="b">
        <f t="shared" si="29"/>
        <v>1</v>
      </c>
      <c r="AT192" s="106" t="b">
        <f t="shared" si="29"/>
        <v>1</v>
      </c>
      <c r="AU192" s="106" t="b">
        <f t="shared" si="29"/>
        <v>1</v>
      </c>
      <c r="AV192" s="106" t="b">
        <f t="shared" si="29"/>
        <v>1</v>
      </c>
      <c r="AW192" s="106" t="b">
        <f t="shared" si="29"/>
        <v>1</v>
      </c>
      <c r="AX192" s="106" t="b">
        <f t="shared" si="29"/>
        <v>1</v>
      </c>
      <c r="AY192" s="106" t="b">
        <f t="shared" si="29"/>
        <v>1</v>
      </c>
      <c r="AZ192" s="106" t="b">
        <f t="shared" si="29"/>
        <v>1</v>
      </c>
      <c r="BA192" s="106" t="b">
        <f t="shared" si="29"/>
        <v>1</v>
      </c>
      <c r="BB192" s="106" t="b">
        <f t="shared" si="29"/>
        <v>1</v>
      </c>
      <c r="BC192" s="106" t="b">
        <f t="shared" si="29"/>
        <v>1</v>
      </c>
      <c r="BD192" s="106" t="b">
        <f t="shared" si="29"/>
        <v>1</v>
      </c>
      <c r="BE192" s="106" t="b">
        <f t="shared" si="29"/>
        <v>1</v>
      </c>
      <c r="BF192" s="106" t="b">
        <f t="shared" si="29"/>
        <v>1</v>
      </c>
      <c r="BG192" s="106" t="b">
        <f t="shared" si="29"/>
        <v>1</v>
      </c>
      <c r="BH192" s="106" t="b">
        <f t="shared" si="29"/>
        <v>1</v>
      </c>
      <c r="BI192" s="106" t="b">
        <f t="shared" si="29"/>
        <v>1</v>
      </c>
      <c r="BJ192" s="106" t="b">
        <f t="shared" si="29"/>
        <v>1</v>
      </c>
      <c r="BK192" s="106" t="b">
        <f t="shared" si="29"/>
        <v>1</v>
      </c>
      <c r="BL192" s="503" t="b">
        <f t="shared" si="29"/>
        <v>1</v>
      </c>
    </row>
    <row r="193" spans="2:64" ht="15.75" outlineLevel="1" thickBot="1">
      <c r="B193" t="str">
        <f t="shared" si="19"/>
        <v>e-hydrogen (compressed) - Energy cost including feedstock energy cost - Middle East - USD/ton fuel</v>
      </c>
      <c r="C193" s="92" t="str">
        <f>C158</f>
        <v>e-hydrogen (compressed)</v>
      </c>
      <c r="D193" s="92" t="s">
        <v>1367</v>
      </c>
      <c r="E193" s="92" t="s">
        <v>826</v>
      </c>
      <c r="F193" s="92" t="s">
        <v>1353</v>
      </c>
      <c r="G193" s="487" t="str">
        <f t="shared" si="20"/>
        <v>e-hydrogen (compressed)Middle EastEnergy cost including feedstock energy cost</v>
      </c>
      <c r="H193" s="497">
        <v>2004.0557863679674</v>
      </c>
      <c r="I193" s="497">
        <v>1913.439994141396</v>
      </c>
      <c r="J193" s="497">
        <v>1822.6668128960132</v>
      </c>
      <c r="K193" s="497">
        <v>1760.7472131571581</v>
      </c>
      <c r="L193" s="497">
        <v>1698.4939504098782</v>
      </c>
      <c r="M193" s="497">
        <v>1635.9651897318304</v>
      </c>
      <c r="N193" s="497">
        <v>1573.2190962007282</v>
      </c>
      <c r="O193" s="497">
        <v>1510.3138348942052</v>
      </c>
      <c r="P193" s="497">
        <v>1460.1275067135082</v>
      </c>
      <c r="Q193" s="497">
        <v>1410.0053792603746</v>
      </c>
      <c r="R193" s="497">
        <v>1359.9870273294782</v>
      </c>
      <c r="S193" s="497">
        <v>1310.1120257155462</v>
      </c>
      <c r="T193" s="497">
        <v>1260.4199492133293</v>
      </c>
      <c r="U193" s="497">
        <v>1230.3082459572943</v>
      </c>
      <c r="V193" s="497">
        <v>1200.2429586961468</v>
      </c>
      <c r="W193" s="497">
        <v>1170.2378432658459</v>
      </c>
      <c r="X193" s="497">
        <v>1140.3066555022276</v>
      </c>
      <c r="Y193" s="497">
        <v>1110.4631512412213</v>
      </c>
      <c r="Z193" s="497">
        <v>1072.0767797388739</v>
      </c>
      <c r="AA193" s="497">
        <v>1034.4621299578357</v>
      </c>
      <c r="AB193" s="497">
        <v>997.60894300383222</v>
      </c>
      <c r="AC193" s="497">
        <v>961.50695998256094</v>
      </c>
      <c r="AD193" s="497">
        <v>926.14592199973754</v>
      </c>
      <c r="AE193" s="497">
        <v>905.45655143347608</v>
      </c>
      <c r="AF193" s="497">
        <v>885.17250940990675</v>
      </c>
      <c r="AG193" s="497">
        <v>865.287631560058</v>
      </c>
      <c r="AH193" s="497">
        <v>845.79575351497181</v>
      </c>
      <c r="AI193" s="497">
        <v>826.69071090569059</v>
      </c>
      <c r="AK193" s="504" t="b">
        <f t="shared" ref="AK193:BL193" si="30">H165+H169+H177+H193+H205=H163</f>
        <v>1</v>
      </c>
      <c r="AL193" s="505" t="b">
        <f t="shared" si="30"/>
        <v>1</v>
      </c>
      <c r="AM193" s="505" t="b">
        <f t="shared" si="30"/>
        <v>1</v>
      </c>
      <c r="AN193" s="505" t="b">
        <f t="shared" si="30"/>
        <v>1</v>
      </c>
      <c r="AO193" s="505" t="b">
        <f t="shared" si="30"/>
        <v>1</v>
      </c>
      <c r="AP193" s="505" t="b">
        <f t="shared" si="30"/>
        <v>1</v>
      </c>
      <c r="AQ193" s="505" t="b">
        <f t="shared" si="30"/>
        <v>1</v>
      </c>
      <c r="AR193" s="505" t="b">
        <f t="shared" si="30"/>
        <v>1</v>
      </c>
      <c r="AS193" s="505" t="b">
        <f t="shared" si="30"/>
        <v>1</v>
      </c>
      <c r="AT193" s="505" t="b">
        <f t="shared" si="30"/>
        <v>1</v>
      </c>
      <c r="AU193" s="505" t="b">
        <f t="shared" si="30"/>
        <v>1</v>
      </c>
      <c r="AV193" s="505" t="b">
        <f t="shared" si="30"/>
        <v>1</v>
      </c>
      <c r="AW193" s="505" t="b">
        <f t="shared" si="30"/>
        <v>1</v>
      </c>
      <c r="AX193" s="505" t="b">
        <f t="shared" si="30"/>
        <v>1</v>
      </c>
      <c r="AY193" s="505" t="b">
        <f t="shared" si="30"/>
        <v>1</v>
      </c>
      <c r="AZ193" s="505" t="b">
        <f t="shared" si="30"/>
        <v>1</v>
      </c>
      <c r="BA193" s="505" t="b">
        <f t="shared" si="30"/>
        <v>1</v>
      </c>
      <c r="BB193" s="505" t="b">
        <f t="shared" si="30"/>
        <v>1</v>
      </c>
      <c r="BC193" s="505" t="b">
        <f t="shared" si="30"/>
        <v>1</v>
      </c>
      <c r="BD193" s="505" t="b">
        <f t="shared" si="30"/>
        <v>1</v>
      </c>
      <c r="BE193" s="505" t="b">
        <f t="shared" si="30"/>
        <v>1</v>
      </c>
      <c r="BF193" s="505" t="b">
        <f t="shared" si="30"/>
        <v>1</v>
      </c>
      <c r="BG193" s="505" t="b">
        <f t="shared" si="30"/>
        <v>1</v>
      </c>
      <c r="BH193" s="505" t="b">
        <f t="shared" si="30"/>
        <v>1</v>
      </c>
      <c r="BI193" s="505" t="b">
        <f t="shared" si="30"/>
        <v>1</v>
      </c>
      <c r="BJ193" s="505" t="b">
        <f t="shared" si="30"/>
        <v>1</v>
      </c>
      <c r="BK193" s="505" t="b">
        <f t="shared" si="30"/>
        <v>1</v>
      </c>
      <c r="BL193" s="506" t="b">
        <f t="shared" si="30"/>
        <v>1</v>
      </c>
    </row>
    <row r="194" spans="2:64" outlineLevel="1">
      <c r="B194" t="str">
        <f t="shared" si="19"/>
        <v>e-hydrogen (compressed) - Energy cost - Africa - USD/ton fuel</v>
      </c>
      <c r="C194" t="str">
        <f>C158</f>
        <v>e-hydrogen (compressed)</v>
      </c>
      <c r="D194" t="s">
        <v>1368</v>
      </c>
      <c r="E194" t="s">
        <v>838</v>
      </c>
      <c r="F194" t="s">
        <v>1353</v>
      </c>
      <c r="G194" s="487" t="str">
        <f t="shared" si="20"/>
        <v>e-hydrogen (compressed)AfricaEnergy cost</v>
      </c>
      <c r="H194" s="493">
        <v>61.309297277039882</v>
      </c>
      <c r="I194" s="493">
        <v>54.10996105794257</v>
      </c>
      <c r="J194" s="493">
        <v>46.91062483884334</v>
      </c>
      <c r="K194" s="493">
        <v>44.903695919290797</v>
      </c>
      <c r="L194" s="493">
        <v>42.896766999738247</v>
      </c>
      <c r="M194" s="493">
        <v>40.889838080185704</v>
      </c>
      <c r="N194" s="493">
        <v>38.882909160632678</v>
      </c>
      <c r="O194" s="493">
        <v>36.875980241080129</v>
      </c>
      <c r="P194" s="493">
        <v>35.755709953348308</v>
      </c>
      <c r="Q194" s="493">
        <v>34.635439665616495</v>
      </c>
      <c r="R194" s="493">
        <v>33.515169377884199</v>
      </c>
      <c r="S194" s="493">
        <v>32.394899090152379</v>
      </c>
      <c r="T194" s="493">
        <v>31.274628802420679</v>
      </c>
      <c r="U194" s="493">
        <v>30.747335986398191</v>
      </c>
      <c r="V194" s="493">
        <v>30.220043170375824</v>
      </c>
      <c r="W194" s="493">
        <v>29.692750354353336</v>
      </c>
      <c r="X194" s="493">
        <v>29.165457538330852</v>
      </c>
      <c r="Y194" s="493">
        <v>28.638164722308602</v>
      </c>
      <c r="Z194" s="493">
        <v>28.095964731813559</v>
      </c>
      <c r="AA194" s="493">
        <v>27.553764741318517</v>
      </c>
      <c r="AB194" s="493">
        <v>27.011564750823233</v>
      </c>
      <c r="AC194" s="493">
        <v>26.46936476032819</v>
      </c>
      <c r="AD194" s="493">
        <v>25.927164769833027</v>
      </c>
      <c r="AE194" s="493">
        <v>25.661038493586712</v>
      </c>
      <c r="AF194" s="493">
        <v>25.394912217340519</v>
      </c>
      <c r="AG194" s="493">
        <v>25.128785941094204</v>
      </c>
      <c r="AH194" s="493">
        <v>24.862659664847889</v>
      </c>
      <c r="AI194" s="493">
        <v>24.596533388601696</v>
      </c>
    </row>
    <row r="195" spans="2:64" outlineLevel="1">
      <c r="B195" t="str">
        <f t="shared" si="19"/>
        <v>e-hydrogen (compressed) - Energy cost - Americas - USD/ton fuel</v>
      </c>
      <c r="C195" t="str">
        <f>C158</f>
        <v>e-hydrogen (compressed)</v>
      </c>
      <c r="D195" t="s">
        <v>1368</v>
      </c>
      <c r="E195" t="s">
        <v>731</v>
      </c>
      <c r="F195" t="s">
        <v>1353</v>
      </c>
      <c r="G195" s="487" t="str">
        <f t="shared" si="20"/>
        <v>e-hydrogen (compressed)AmericasEnergy cost</v>
      </c>
      <c r="H195" s="493">
        <v>38.521543766755386</v>
      </c>
      <c r="I195" s="493">
        <v>37.723816359571252</v>
      </c>
      <c r="J195" s="493">
        <v>36.926088952386884</v>
      </c>
      <c r="K195" s="493">
        <v>35.577616385243118</v>
      </c>
      <c r="L195" s="493">
        <v>34.229143818099352</v>
      </c>
      <c r="M195" s="493">
        <v>32.880671250955587</v>
      </c>
      <c r="N195" s="493">
        <v>31.532198683812297</v>
      </c>
      <c r="O195" s="493">
        <v>30.183726116668527</v>
      </c>
      <c r="P195" s="493">
        <v>29.534808742289375</v>
      </c>
      <c r="Q195" s="493">
        <v>28.885891367910222</v>
      </c>
      <c r="R195" s="493">
        <v>28.23697399353107</v>
      </c>
      <c r="S195" s="493">
        <v>27.588056619151917</v>
      </c>
      <c r="T195" s="493">
        <v>26.939139244772647</v>
      </c>
      <c r="U195" s="493">
        <v>26.41311085919267</v>
      </c>
      <c r="V195" s="493">
        <v>25.887082473612697</v>
      </c>
      <c r="W195" s="493">
        <v>25.361054088032603</v>
      </c>
      <c r="X195" s="493">
        <v>24.835025702452629</v>
      </c>
      <c r="Y195" s="493">
        <v>24.308997316872595</v>
      </c>
      <c r="Z195" s="493">
        <v>24.097077222623625</v>
      </c>
      <c r="AA195" s="493">
        <v>23.885157128374654</v>
      </c>
      <c r="AB195" s="493">
        <v>23.673237034125744</v>
      </c>
      <c r="AC195" s="493">
        <v>23.461316939876777</v>
      </c>
      <c r="AD195" s="493">
        <v>23.249396845627807</v>
      </c>
      <c r="AE195" s="493">
        <v>23.089518134332863</v>
      </c>
      <c r="AF195" s="493">
        <v>22.92963942303798</v>
      </c>
      <c r="AG195" s="493">
        <v>22.7697607117431</v>
      </c>
      <c r="AH195" s="493">
        <v>22.609882000448216</v>
      </c>
      <c r="AI195" s="493">
        <v>22.450003289153333</v>
      </c>
    </row>
    <row r="196" spans="2:64" outlineLevel="1">
      <c r="B196" t="str">
        <f t="shared" si="19"/>
        <v>e-hydrogen (compressed) - Energy cost - Asia - USD/ton fuel</v>
      </c>
      <c r="C196" t="str">
        <f>C158</f>
        <v>e-hydrogen (compressed)</v>
      </c>
      <c r="D196" t="s">
        <v>1368</v>
      </c>
      <c r="E196" t="s">
        <v>750</v>
      </c>
      <c r="F196" t="s">
        <v>1353</v>
      </c>
      <c r="G196" s="487" t="str">
        <f t="shared" si="20"/>
        <v>e-hydrogen (compressed)AsiaEnergy cost</v>
      </c>
      <c r="H196" s="493">
        <v>68.188682614299623</v>
      </c>
      <c r="I196" s="493">
        <v>62.196653333677752</v>
      </c>
      <c r="J196" s="493">
        <v>56.204624053058751</v>
      </c>
      <c r="K196" s="493">
        <v>54.055332905934762</v>
      </c>
      <c r="L196" s="493">
        <v>51.906041758811718</v>
      </c>
      <c r="M196" s="493">
        <v>49.756750611687721</v>
      </c>
      <c r="N196" s="493">
        <v>47.607459464563725</v>
      </c>
      <c r="O196" s="493">
        <v>45.458168317440688</v>
      </c>
      <c r="P196" s="493">
        <v>43.997318469627274</v>
      </c>
      <c r="Q196" s="493">
        <v>42.536468621814336</v>
      </c>
      <c r="R196" s="493">
        <v>41.075618774001875</v>
      </c>
      <c r="S196" s="493">
        <v>39.614768926188937</v>
      </c>
      <c r="T196" s="493">
        <v>38.153919078375999</v>
      </c>
      <c r="U196" s="493">
        <v>37.41118762261199</v>
      </c>
      <c r="V196" s="493">
        <v>36.668456166847982</v>
      </c>
      <c r="W196" s="493">
        <v>35.925724711084207</v>
      </c>
      <c r="X196" s="493">
        <v>35.182993255320199</v>
      </c>
      <c r="Y196" s="493">
        <v>34.440261799556666</v>
      </c>
      <c r="Z196" s="493">
        <v>33.662823908802409</v>
      </c>
      <c r="AA196" s="493">
        <v>32.885386018048393</v>
      </c>
      <c r="AB196" s="493">
        <v>32.107948127294144</v>
      </c>
      <c r="AC196" s="493">
        <v>31.330510236540125</v>
      </c>
      <c r="AD196" s="493">
        <v>30.553072345785871</v>
      </c>
      <c r="AE196" s="493">
        <v>30.196549633816854</v>
      </c>
      <c r="AF196" s="493">
        <v>29.840026921847716</v>
      </c>
      <c r="AG196" s="493">
        <v>29.483504209878699</v>
      </c>
      <c r="AH196" s="493">
        <v>29.126981497909682</v>
      </c>
      <c r="AI196" s="493">
        <v>28.770458785940544</v>
      </c>
    </row>
    <row r="197" spans="2:64" outlineLevel="1">
      <c r="B197" t="str">
        <f t="shared" si="19"/>
        <v>e-hydrogen (compressed) - Energy cost - Europe - USD/ton fuel</v>
      </c>
      <c r="C197" t="str">
        <f>C158</f>
        <v>e-hydrogen (compressed)</v>
      </c>
      <c r="D197" t="s">
        <v>1368</v>
      </c>
      <c r="E197" t="s">
        <v>720</v>
      </c>
      <c r="F197" t="s">
        <v>1353</v>
      </c>
      <c r="G197" s="487" t="str">
        <f t="shared" si="20"/>
        <v>e-hydrogen (compressed)EuropeEnergy cost</v>
      </c>
      <c r="H197" s="493">
        <v>50.762780625645114</v>
      </c>
      <c r="I197" s="493">
        <v>48.574926112841787</v>
      </c>
      <c r="J197" s="493">
        <v>46.38707160003846</v>
      </c>
      <c r="K197" s="493">
        <v>44.619271932610673</v>
      </c>
      <c r="L197" s="493">
        <v>42.851472265182409</v>
      </c>
      <c r="M197" s="493">
        <v>41.083672597754621</v>
      </c>
      <c r="N197" s="493">
        <v>39.31587293032635</v>
      </c>
      <c r="O197" s="493">
        <v>37.548073262898562</v>
      </c>
      <c r="P197" s="493">
        <v>36.81355286684191</v>
      </c>
      <c r="Q197" s="493">
        <v>36.079032470785968</v>
      </c>
      <c r="R197" s="493">
        <v>35.344512074729792</v>
      </c>
      <c r="S197" s="493">
        <v>34.609991678673616</v>
      </c>
      <c r="T197" s="493">
        <v>33.875471282617674</v>
      </c>
      <c r="U197" s="493">
        <v>33.436925272397559</v>
      </c>
      <c r="V197" s="493">
        <v>32.998379262177565</v>
      </c>
      <c r="W197" s="493">
        <v>32.559833251957571</v>
      </c>
      <c r="X197" s="493">
        <v>32.121287241737576</v>
      </c>
      <c r="Y197" s="493">
        <v>31.682741231517344</v>
      </c>
      <c r="Z197" s="493">
        <v>31.213576175418474</v>
      </c>
      <c r="AA197" s="493">
        <v>30.744411119319484</v>
      </c>
      <c r="AB197" s="493">
        <v>30.275246063220614</v>
      </c>
      <c r="AC197" s="493">
        <v>29.806081007121623</v>
      </c>
      <c r="AD197" s="493">
        <v>29.336915951022753</v>
      </c>
      <c r="AE197" s="493">
        <v>28.994603463978457</v>
      </c>
      <c r="AF197" s="493">
        <v>28.65229097693404</v>
      </c>
      <c r="AG197" s="493">
        <v>28.309978489889744</v>
      </c>
      <c r="AH197" s="493">
        <v>27.967666002845448</v>
      </c>
      <c r="AI197" s="493">
        <v>27.625353515801034</v>
      </c>
    </row>
    <row r="198" spans="2:64" outlineLevel="1">
      <c r="B198" t="str">
        <f t="shared" ref="B198:B261" si="31">_xlfn.TEXTJOIN(" - ",TRUE,C198:F198)</f>
        <v>e-hydrogen (compressed) - Energy cost - Middle East - USD/ton fuel</v>
      </c>
      <c r="C198" t="str">
        <f>C158</f>
        <v>e-hydrogen (compressed)</v>
      </c>
      <c r="D198" t="s">
        <v>1368</v>
      </c>
      <c r="E198" t="s">
        <v>826</v>
      </c>
      <c r="F198" t="s">
        <v>1353</v>
      </c>
      <c r="G198" s="487" t="str">
        <f t="shared" si="20"/>
        <v>e-hydrogen (compressed)Middle EastEnergy cost</v>
      </c>
      <c r="H198" s="493">
        <v>38.871332506822164</v>
      </c>
      <c r="I198" s="493">
        <v>37.156038045455809</v>
      </c>
      <c r="J198" s="493">
        <v>35.440743584088978</v>
      </c>
      <c r="K198" s="493">
        <v>34.305061483546822</v>
      </c>
      <c r="L198" s="493">
        <v>33.16937938300466</v>
      </c>
      <c r="M198" s="493">
        <v>32.033697282462505</v>
      </c>
      <c r="N198" s="493">
        <v>30.898015181920346</v>
      </c>
      <c r="O198" s="493">
        <v>29.762333081378188</v>
      </c>
      <c r="P198" s="493">
        <v>28.961546329131455</v>
      </c>
      <c r="Q198" s="493">
        <v>28.16075957688496</v>
      </c>
      <c r="R198" s="493">
        <v>27.359972824638227</v>
      </c>
      <c r="S198" s="493">
        <v>26.559186072391732</v>
      </c>
      <c r="T198" s="493">
        <v>25.758399320145237</v>
      </c>
      <c r="U198" s="493">
        <v>25.356893262861519</v>
      </c>
      <c r="V198" s="493">
        <v>24.955387205577804</v>
      </c>
      <c r="W198" s="493">
        <v>24.553881148294206</v>
      </c>
      <c r="X198" s="493">
        <v>24.152375091010487</v>
      </c>
      <c r="Y198" s="493">
        <v>23.750869033726769</v>
      </c>
      <c r="Z198" s="493">
        <v>23.224335573253569</v>
      </c>
      <c r="AA198" s="493">
        <v>22.69780211278049</v>
      </c>
      <c r="AB198" s="493">
        <v>22.171268652307287</v>
      </c>
      <c r="AC198" s="493">
        <v>21.644735191834208</v>
      </c>
      <c r="AD198" s="493">
        <v>21.118201731360948</v>
      </c>
      <c r="AE198" s="493">
        <v>20.871767554394459</v>
      </c>
      <c r="AF198" s="493">
        <v>20.625333377428031</v>
      </c>
      <c r="AG198" s="493">
        <v>20.378899200461543</v>
      </c>
      <c r="AH198" s="493">
        <v>20.132465023495055</v>
      </c>
      <c r="AI198" s="493">
        <v>19.886030846528623</v>
      </c>
    </row>
    <row r="199" spans="2:64" outlineLevel="1">
      <c r="B199" t="str">
        <f t="shared" si="31"/>
        <v>e-hydrogen - Energy cost - Africa - USD/ton fuel</v>
      </c>
      <c r="C199" t="s">
        <v>1370</v>
      </c>
      <c r="D199" t="s">
        <v>1368</v>
      </c>
      <c r="E199" t="s">
        <v>838</v>
      </c>
      <c r="F199" t="s">
        <v>1353</v>
      </c>
      <c r="G199" s="487" t="str">
        <f t="shared" si="20"/>
        <v>e-hydrogenAfricaEnergy cost</v>
      </c>
      <c r="H199" s="493">
        <v>3099.5612991873763</v>
      </c>
      <c r="I199" s="493">
        <v>2732.4132802800364</v>
      </c>
      <c r="J199" s="493">
        <v>2365.6357954445402</v>
      </c>
      <c r="K199" s="493">
        <v>2259.8307669024107</v>
      </c>
      <c r="L199" s="493">
        <v>2153.7044536588996</v>
      </c>
      <c r="M199" s="493">
        <v>2047.3596425558658</v>
      </c>
      <c r="N199" s="493">
        <v>1940.8991204352139</v>
      </c>
      <c r="O199" s="493">
        <v>1834.4256741388213</v>
      </c>
      <c r="P199" s="493">
        <v>1766.906863088881</v>
      </c>
      <c r="Q199" s="493">
        <v>1699.5562858180001</v>
      </c>
      <c r="R199" s="493">
        <v>1632.4293059626311</v>
      </c>
      <c r="S199" s="493">
        <v>1565.5812871593046</v>
      </c>
      <c r="T199" s="493">
        <v>1499.0675930445595</v>
      </c>
      <c r="U199" s="493">
        <v>1461.103444514785</v>
      </c>
      <c r="V199" s="493">
        <v>1423.2294155753539</v>
      </c>
      <c r="W199" s="493">
        <v>1385.4635715912545</v>
      </c>
      <c r="X199" s="493">
        <v>1347.8239779273658</v>
      </c>
      <c r="Y199" s="493">
        <v>1310.3286999486622</v>
      </c>
      <c r="Z199" s="493">
        <v>1268.8639116156805</v>
      </c>
      <c r="AA199" s="493">
        <v>1228.2209583369151</v>
      </c>
      <c r="AB199" s="493">
        <v>1188.389275973916</v>
      </c>
      <c r="AC199" s="493">
        <v>1149.358300388204</v>
      </c>
      <c r="AD199" s="493">
        <v>1111.1174674413141</v>
      </c>
      <c r="AE199" s="493">
        <v>1087.5630983722288</v>
      </c>
      <c r="AF199" s="493">
        <v>1064.4724737938868</v>
      </c>
      <c r="AG199" s="493">
        <v>1041.8389367539883</v>
      </c>
      <c r="AH199" s="493">
        <v>1019.6558303002557</v>
      </c>
      <c r="AI199" s="493">
        <v>997.91649748041243</v>
      </c>
    </row>
    <row r="200" spans="2:64" outlineLevel="1">
      <c r="B200" t="str">
        <f t="shared" si="31"/>
        <v>e-hydrogen - Energy cost - Americas - USD/ton fuel</v>
      </c>
      <c r="C200" t="s">
        <v>1370</v>
      </c>
      <c r="D200" t="s">
        <v>1368</v>
      </c>
      <c r="E200" t="s">
        <v>731</v>
      </c>
      <c r="F200" t="s">
        <v>1353</v>
      </c>
      <c r="G200" s="487" t="str">
        <f t="shared" ref="G200:G263" si="32">+C200&amp;E200&amp;D200</f>
        <v>e-hydrogenAmericasEnergy cost</v>
      </c>
      <c r="H200" s="493">
        <v>1947.5004860168665</v>
      </c>
      <c r="I200" s="493">
        <v>1904.9552945225707</v>
      </c>
      <c r="J200" s="493">
        <v>1862.1299143132335</v>
      </c>
      <c r="K200" s="493">
        <v>1790.4849584081528</v>
      </c>
      <c r="L200" s="493">
        <v>1718.5318298328032</v>
      </c>
      <c r="M200" s="493">
        <v>1646.3395919382333</v>
      </c>
      <c r="N200" s="493">
        <v>1573.977308075574</v>
      </c>
      <c r="O200" s="493">
        <v>1501.5140415958033</v>
      </c>
      <c r="P200" s="493">
        <v>1459.4943390819662</v>
      </c>
      <c r="Q200" s="493">
        <v>1417.42673746174</v>
      </c>
      <c r="R200" s="493">
        <v>1375.343306161586</v>
      </c>
      <c r="S200" s="493">
        <v>1333.2761146079704</v>
      </c>
      <c r="T200" s="493">
        <v>1291.2572322274164</v>
      </c>
      <c r="U200" s="493">
        <v>1255.142470677443</v>
      </c>
      <c r="V200" s="493">
        <v>1219.1662682992981</v>
      </c>
      <c r="W200" s="493">
        <v>1183.3466471378301</v>
      </c>
      <c r="X200" s="493">
        <v>1147.7016292377957</v>
      </c>
      <c r="Y200" s="493">
        <v>1112.249236644011</v>
      </c>
      <c r="Z200" s="493">
        <v>1088.267014678506</v>
      </c>
      <c r="AA200" s="493">
        <v>1064.6911902477218</v>
      </c>
      <c r="AB200" s="493">
        <v>1041.5176343342414</v>
      </c>
      <c r="AC200" s="493">
        <v>1018.7422179205867</v>
      </c>
      <c r="AD200" s="493">
        <v>996.36081198933221</v>
      </c>
      <c r="AE200" s="493">
        <v>978.57722665326708</v>
      </c>
      <c r="AF200" s="493">
        <v>961.13622252163054</v>
      </c>
      <c r="AG200" s="493">
        <v>944.03380034651195</v>
      </c>
      <c r="AH200" s="493">
        <v>927.26596088000963</v>
      </c>
      <c r="AI200" s="493">
        <v>910.82870487422178</v>
      </c>
    </row>
    <row r="201" spans="2:64" outlineLevel="1">
      <c r="B201" t="str">
        <f t="shared" si="31"/>
        <v>e-hydrogen - Energy cost - Asia - USD/ton fuel</v>
      </c>
      <c r="C201" t="s">
        <v>1370</v>
      </c>
      <c r="D201" t="s">
        <v>1368</v>
      </c>
      <c r="E201" t="s">
        <v>750</v>
      </c>
      <c r="F201" t="s">
        <v>1353</v>
      </c>
      <c r="G201" s="487" t="str">
        <f t="shared" si="32"/>
        <v>e-hydrogenAsiaEnergy cost</v>
      </c>
      <c r="H201" s="493">
        <v>3447.3564542551999</v>
      </c>
      <c r="I201" s="493">
        <v>3140.7703542039226</v>
      </c>
      <c r="J201" s="493">
        <v>2834.3188986756909</v>
      </c>
      <c r="K201" s="493">
        <v>2720.3975511402173</v>
      </c>
      <c r="L201" s="493">
        <v>2606.030270496603</v>
      </c>
      <c r="M201" s="493">
        <v>2491.3271348083481</v>
      </c>
      <c r="N201" s="493">
        <v>2376.398222139183</v>
      </c>
      <c r="O201" s="493">
        <v>2261.3536105527155</v>
      </c>
      <c r="P201" s="493">
        <v>2174.174811880971</v>
      </c>
      <c r="Q201" s="493">
        <v>2087.2586957362041</v>
      </c>
      <c r="R201" s="493">
        <v>2000.6774571599242</v>
      </c>
      <c r="S201" s="493">
        <v>1914.5032911936005</v>
      </c>
      <c r="T201" s="493">
        <v>1828.8083928788642</v>
      </c>
      <c r="U201" s="493">
        <v>1777.7675153050047</v>
      </c>
      <c r="V201" s="493">
        <v>1726.9209427057385</v>
      </c>
      <c r="W201" s="493">
        <v>1676.2941215017977</v>
      </c>
      <c r="X201" s="493">
        <v>1625.912498113727</v>
      </c>
      <c r="Y201" s="493">
        <v>1575.8015189622374</v>
      </c>
      <c r="Z201" s="493">
        <v>1520.2732075110976</v>
      </c>
      <c r="AA201" s="493">
        <v>1465.8802784143245</v>
      </c>
      <c r="AB201" s="493">
        <v>1412.6075841955894</v>
      </c>
      <c r="AC201" s="493">
        <v>1360.4399773785319</v>
      </c>
      <c r="AD201" s="493">
        <v>1309.362310486812</v>
      </c>
      <c r="AE201" s="493">
        <v>1279.78659507924</v>
      </c>
      <c r="AF201" s="493">
        <v>1250.7972858392457</v>
      </c>
      <c r="AG201" s="493">
        <v>1222.3854646144603</v>
      </c>
      <c r="AH201" s="493">
        <v>1194.5422132525091</v>
      </c>
      <c r="AI201" s="493">
        <v>1167.2586136010173</v>
      </c>
    </row>
    <row r="202" spans="2:64" outlineLevel="1">
      <c r="B202" t="str">
        <f t="shared" si="31"/>
        <v>e-hydrogen - Energy cost - Europe - USD/ton fuel</v>
      </c>
      <c r="C202" t="s">
        <v>1370</v>
      </c>
      <c r="D202" t="s">
        <v>1368</v>
      </c>
      <c r="E202" t="s">
        <v>720</v>
      </c>
      <c r="F202" t="s">
        <v>1353</v>
      </c>
      <c r="G202" s="487" t="str">
        <f t="shared" si="32"/>
        <v>e-hydrogenEuropeEnergy cost</v>
      </c>
      <c r="H202" s="493">
        <v>2566.3701470170417</v>
      </c>
      <c r="I202" s="493">
        <v>2452.9083112298426</v>
      </c>
      <c r="J202" s="493">
        <v>2339.2337535448082</v>
      </c>
      <c r="K202" s="493">
        <v>2245.5167986914189</v>
      </c>
      <c r="L202" s="493">
        <v>2151.4303552043284</v>
      </c>
      <c r="M202" s="493">
        <v>2057.064962685201</v>
      </c>
      <c r="N202" s="493">
        <v>1962.5111607356753</v>
      </c>
      <c r="O202" s="493">
        <v>1867.8594889573847</v>
      </c>
      <c r="P202" s="493">
        <v>1819.1813083833658</v>
      </c>
      <c r="Q202" s="493">
        <v>1770.3931872655958</v>
      </c>
      <c r="R202" s="493">
        <v>1721.5314255225589</v>
      </c>
      <c r="S202" s="493">
        <v>1672.6323230728049</v>
      </c>
      <c r="T202" s="493">
        <v>1623.7321798349606</v>
      </c>
      <c r="U202" s="493">
        <v>1588.9118560091065</v>
      </c>
      <c r="V202" s="493">
        <v>1554.0766691650888</v>
      </c>
      <c r="W202" s="493">
        <v>1519.2416441496489</v>
      </c>
      <c r="X202" s="493">
        <v>1484.4218058093938</v>
      </c>
      <c r="Y202" s="493">
        <v>1449.6321789910207</v>
      </c>
      <c r="Z202" s="493">
        <v>1409.6608085718863</v>
      </c>
      <c r="AA202" s="493">
        <v>1370.4453980421019</v>
      </c>
      <c r="AB202" s="493">
        <v>1331.9768062643011</v>
      </c>
      <c r="AC202" s="493">
        <v>1294.245892101027</v>
      </c>
      <c r="AD202" s="493">
        <v>1257.2435144149015</v>
      </c>
      <c r="AE202" s="493">
        <v>1228.8458546695026</v>
      </c>
      <c r="AF202" s="493">
        <v>1201.0112417420796</v>
      </c>
      <c r="AG202" s="493">
        <v>1173.7311129385466</v>
      </c>
      <c r="AH202" s="493">
        <v>1146.9969055648128</v>
      </c>
      <c r="AI202" s="493">
        <v>1120.8000569267858</v>
      </c>
    </row>
    <row r="203" spans="2:64" outlineLevel="1">
      <c r="B203" t="str">
        <f t="shared" si="31"/>
        <v>e-hydrogen - Energy cost - Middle East - USD/ton fuel</v>
      </c>
      <c r="C203" t="s">
        <v>1370</v>
      </c>
      <c r="D203" t="s">
        <v>1368</v>
      </c>
      <c r="E203" t="s">
        <v>826</v>
      </c>
      <c r="F203" t="s">
        <v>1353</v>
      </c>
      <c r="G203" s="487" t="str">
        <f t="shared" si="32"/>
        <v>e-hydrogenMiddle EastEnergy cost</v>
      </c>
      <c r="H203" s="493">
        <v>1965.1844538611451</v>
      </c>
      <c r="I203" s="493">
        <v>1876.2839560959403</v>
      </c>
      <c r="J203" s="493">
        <v>1787.2260693119242</v>
      </c>
      <c r="K203" s="493">
        <v>1726.4421516736113</v>
      </c>
      <c r="L203" s="493">
        <v>1665.3245710268734</v>
      </c>
      <c r="M203" s="493">
        <v>1603.9314924493679</v>
      </c>
      <c r="N203" s="493">
        <v>1542.3210810188079</v>
      </c>
      <c r="O203" s="493">
        <v>1480.5515018128272</v>
      </c>
      <c r="P203" s="493">
        <v>1431.1659603843768</v>
      </c>
      <c r="Q203" s="493">
        <v>1381.8446196834898</v>
      </c>
      <c r="R203" s="493">
        <v>1332.6270545048401</v>
      </c>
      <c r="S203" s="493">
        <v>1283.5528396431546</v>
      </c>
      <c r="T203" s="493">
        <v>1234.6615498931842</v>
      </c>
      <c r="U203" s="493">
        <v>1204.9513526944327</v>
      </c>
      <c r="V203" s="493">
        <v>1175.287571490569</v>
      </c>
      <c r="W203" s="493">
        <v>1145.6839621175516</v>
      </c>
      <c r="X203" s="493">
        <v>1116.1542804112171</v>
      </c>
      <c r="Y203" s="493">
        <v>1086.7122822074946</v>
      </c>
      <c r="Z203" s="493">
        <v>1048.8524441656205</v>
      </c>
      <c r="AA203" s="493">
        <v>1011.7643278450553</v>
      </c>
      <c r="AB203" s="493">
        <v>975.43767435152495</v>
      </c>
      <c r="AC203" s="493">
        <v>939.86222479072671</v>
      </c>
      <c r="AD203" s="493">
        <v>905.02772026837658</v>
      </c>
      <c r="AE203" s="493">
        <v>884.58478387908167</v>
      </c>
      <c r="AF203" s="493">
        <v>864.54717603247877</v>
      </c>
      <c r="AG203" s="493">
        <v>844.90873235959646</v>
      </c>
      <c r="AH203" s="493">
        <v>825.66328849147681</v>
      </c>
      <c r="AI203" s="493">
        <v>806.80468005916202</v>
      </c>
    </row>
    <row r="204" spans="2:64" outlineLevel="1">
      <c r="B204" t="str">
        <f t="shared" si="31"/>
        <v/>
      </c>
      <c r="G204" s="487" t="str">
        <f t="shared" si="32"/>
        <v/>
      </c>
    </row>
    <row r="205" spans="2:64" ht="15" outlineLevel="1">
      <c r="B205" t="str">
        <f t="shared" si="31"/>
        <v>e-hydrogen (compressed) - Feedstock cost including feedstock feedstock cost - Global - USD/ton fuel</v>
      </c>
      <c r="C205" s="491" t="str">
        <f>C158</f>
        <v>e-hydrogen (compressed)</v>
      </c>
      <c r="D205" s="491" t="s">
        <v>1369</v>
      </c>
      <c r="E205" s="491" t="s">
        <v>708</v>
      </c>
      <c r="F205" s="491" t="s">
        <v>1353</v>
      </c>
      <c r="G205" s="487" t="str">
        <f t="shared" si="32"/>
        <v>e-hydrogen (compressed)GlobalFeedstock cost including feedstock feedstock cost</v>
      </c>
      <c r="H205" s="492">
        <v>13.5</v>
      </c>
      <c r="I205" s="492">
        <v>13.500000000000048</v>
      </c>
      <c r="J205" s="492">
        <v>13.500000000000048</v>
      </c>
      <c r="K205" s="492">
        <v>13.500000000000048</v>
      </c>
      <c r="L205" s="492">
        <v>13.500000000000096</v>
      </c>
      <c r="M205" s="492">
        <v>13.5</v>
      </c>
      <c r="N205" s="492">
        <v>13.500000000000096</v>
      </c>
      <c r="O205" s="492">
        <v>13.5</v>
      </c>
      <c r="P205" s="492">
        <v>13.499999999999904</v>
      </c>
      <c r="Q205" s="492">
        <v>13.500000000000048</v>
      </c>
      <c r="R205" s="492">
        <v>13.500000000000192</v>
      </c>
      <c r="S205" s="492">
        <v>13.500000000000096</v>
      </c>
      <c r="T205" s="492">
        <v>13.500000000000192</v>
      </c>
      <c r="U205" s="492">
        <v>13.50000000000024</v>
      </c>
      <c r="V205" s="492">
        <v>13.500000000000121</v>
      </c>
      <c r="W205" s="492">
        <v>13.500000000000359</v>
      </c>
      <c r="X205" s="492">
        <v>13.50000000000024</v>
      </c>
      <c r="Y205" s="492">
        <v>13.499999999999904</v>
      </c>
      <c r="Z205" s="492">
        <v>13.5</v>
      </c>
      <c r="AA205" s="492">
        <v>13.499999999999952</v>
      </c>
      <c r="AB205" s="492">
        <v>13.500000000000048</v>
      </c>
      <c r="AC205" s="492">
        <v>13.5</v>
      </c>
      <c r="AD205" s="492">
        <v>13.5</v>
      </c>
      <c r="AE205" s="492">
        <v>13.5</v>
      </c>
      <c r="AF205" s="492">
        <v>13.5</v>
      </c>
      <c r="AG205" s="492">
        <v>13.5</v>
      </c>
      <c r="AH205" s="492">
        <v>13.5</v>
      </c>
      <c r="AI205" s="492">
        <v>13.5</v>
      </c>
    </row>
    <row r="206" spans="2:64" outlineLevel="1">
      <c r="B206" t="str">
        <f t="shared" si="31"/>
        <v>e-hydrogen - Feedstock cost - Global - USD/ton fuel</v>
      </c>
      <c r="C206" t="s">
        <v>1370</v>
      </c>
      <c r="D206" t="s">
        <v>1371</v>
      </c>
      <c r="E206" t="s">
        <v>708</v>
      </c>
      <c r="F206" t="s">
        <v>1353</v>
      </c>
      <c r="G206" s="487" t="str">
        <f t="shared" si="32"/>
        <v>e-hydrogenGlobalFeedstock cost</v>
      </c>
      <c r="H206" s="493">
        <v>13.5</v>
      </c>
      <c r="I206" s="493">
        <v>13.500000000000048</v>
      </c>
      <c r="J206" s="493">
        <v>13.500000000000048</v>
      </c>
      <c r="K206" s="493">
        <v>13.500000000000048</v>
      </c>
      <c r="L206" s="493">
        <v>13.500000000000096</v>
      </c>
      <c r="M206" s="493">
        <v>13.5</v>
      </c>
      <c r="N206" s="493">
        <v>13.500000000000096</v>
      </c>
      <c r="O206" s="493">
        <v>13.5</v>
      </c>
      <c r="P206" s="493">
        <v>13.499999999999904</v>
      </c>
      <c r="Q206" s="493">
        <v>13.500000000000048</v>
      </c>
      <c r="R206" s="493">
        <v>13.500000000000192</v>
      </c>
      <c r="S206" s="493">
        <v>13.500000000000096</v>
      </c>
      <c r="T206" s="493">
        <v>13.500000000000192</v>
      </c>
      <c r="U206" s="493">
        <v>13.50000000000024</v>
      </c>
      <c r="V206" s="493">
        <v>13.500000000000121</v>
      </c>
      <c r="W206" s="493">
        <v>13.500000000000359</v>
      </c>
      <c r="X206" s="493">
        <v>13.50000000000024</v>
      </c>
      <c r="Y206" s="493">
        <v>13.499999999999904</v>
      </c>
      <c r="Z206" s="493">
        <v>13.5</v>
      </c>
      <c r="AA206" s="493">
        <v>13.499999999999952</v>
      </c>
      <c r="AB206" s="493">
        <v>13.500000000000048</v>
      </c>
      <c r="AC206" s="493">
        <v>13.5</v>
      </c>
      <c r="AD206" s="493">
        <v>13.5</v>
      </c>
      <c r="AE206" s="493">
        <v>13.5</v>
      </c>
      <c r="AF206" s="493">
        <v>13.5</v>
      </c>
      <c r="AG206" s="493">
        <v>13.5</v>
      </c>
      <c r="AH206" s="493">
        <v>13.5</v>
      </c>
      <c r="AI206" s="493">
        <v>13.5</v>
      </c>
    </row>
    <row r="207" spans="2:64">
      <c r="B207" t="str">
        <f t="shared" si="31"/>
        <v/>
      </c>
      <c r="G207" s="487" t="str">
        <f t="shared" si="32"/>
        <v/>
      </c>
    </row>
    <row r="208" spans="2:64" ht="15">
      <c r="B208" t="str">
        <f t="shared" si="31"/>
        <v>e-ammonia - Item - Region - Unit</v>
      </c>
      <c r="C208" s="485" t="s">
        <v>121</v>
      </c>
      <c r="D208" s="485" t="s">
        <v>877</v>
      </c>
      <c r="E208" s="485" t="s">
        <v>171</v>
      </c>
      <c r="F208" s="485" t="s">
        <v>111</v>
      </c>
      <c r="G208" s="487" t="str">
        <f t="shared" si="32"/>
        <v>e-ammoniaRegionItem</v>
      </c>
      <c r="H208" s="486">
        <v>2023</v>
      </c>
      <c r="I208" s="486">
        <v>2024</v>
      </c>
      <c r="J208" s="486">
        <v>2025</v>
      </c>
      <c r="K208" s="486">
        <v>2026</v>
      </c>
      <c r="L208" s="486">
        <v>2027</v>
      </c>
      <c r="M208" s="486">
        <v>2028</v>
      </c>
      <c r="N208" s="486">
        <v>2029</v>
      </c>
      <c r="O208" s="486">
        <v>2030</v>
      </c>
      <c r="P208" s="486">
        <v>2031</v>
      </c>
      <c r="Q208" s="486">
        <v>2032</v>
      </c>
      <c r="R208" s="486">
        <v>2033</v>
      </c>
      <c r="S208" s="486">
        <v>2034</v>
      </c>
      <c r="T208" s="486">
        <v>2035</v>
      </c>
      <c r="U208" s="486">
        <v>2036</v>
      </c>
      <c r="V208" s="486">
        <v>2037</v>
      </c>
      <c r="W208" s="486">
        <v>2038</v>
      </c>
      <c r="X208" s="486">
        <v>2039</v>
      </c>
      <c r="Y208" s="486">
        <v>2040</v>
      </c>
      <c r="Z208" s="486">
        <v>2041</v>
      </c>
      <c r="AA208" s="486">
        <v>2042</v>
      </c>
      <c r="AB208" s="486">
        <v>2043</v>
      </c>
      <c r="AC208" s="486">
        <v>2044</v>
      </c>
      <c r="AD208" s="486">
        <v>2045</v>
      </c>
      <c r="AE208" s="486">
        <v>2046</v>
      </c>
      <c r="AF208" s="486">
        <v>2047</v>
      </c>
      <c r="AG208" s="486">
        <v>2048</v>
      </c>
      <c r="AH208" s="486">
        <v>2049</v>
      </c>
      <c r="AI208" s="486">
        <v>2050</v>
      </c>
    </row>
    <row r="209" spans="2:35" outlineLevel="1">
      <c r="B209" t="str">
        <f t="shared" si="31"/>
        <v>e-ammonia - Total cost - Africa - USD/ton fuel</v>
      </c>
      <c r="C209" s="487" t="str">
        <f>C208</f>
        <v>e-ammonia</v>
      </c>
      <c r="D209" s="487" t="s">
        <v>1362</v>
      </c>
      <c r="E209" s="487" t="s">
        <v>838</v>
      </c>
      <c r="F209" s="487" t="s">
        <v>1353</v>
      </c>
      <c r="G209" s="487" t="str">
        <f t="shared" si="32"/>
        <v>e-ammoniaAfricaTotal cost</v>
      </c>
      <c r="H209" s="488">
        <v>1180.8880060335732</v>
      </c>
      <c r="I209" s="488">
        <v>1068.0836080530823</v>
      </c>
      <c r="J209" s="488">
        <v>954.798333905493</v>
      </c>
      <c r="K209" s="488">
        <v>896.09627391291804</v>
      </c>
      <c r="L209" s="488">
        <v>836.47982625552982</v>
      </c>
      <c r="M209" s="488">
        <v>775.96749256486407</v>
      </c>
      <c r="N209" s="488">
        <v>714.57777447247167</v>
      </c>
      <c r="O209" s="488">
        <v>652.3291736098804</v>
      </c>
      <c r="P209" s="488">
        <v>640.36358493487569</v>
      </c>
      <c r="Q209" s="488">
        <v>627.03421205803454</v>
      </c>
      <c r="R209" s="488">
        <v>612.35102043391794</v>
      </c>
      <c r="S209" s="488">
        <v>596.32397551709539</v>
      </c>
      <c r="T209" s="488">
        <v>578.96304276215108</v>
      </c>
      <c r="U209" s="488">
        <v>566.60976604450286</v>
      </c>
      <c r="V209" s="488">
        <v>553.31847871799755</v>
      </c>
      <c r="W209" s="488">
        <v>539.09243254834212</v>
      </c>
      <c r="X209" s="488">
        <v>523.93487930120341</v>
      </c>
      <c r="Y209" s="488">
        <v>507.8490707422788</v>
      </c>
      <c r="Z209" s="488">
        <v>491.34536722709083</v>
      </c>
      <c r="AA209" s="488">
        <v>474.40610100736876</v>
      </c>
      <c r="AB209" s="488">
        <v>457.02937053819971</v>
      </c>
      <c r="AC209" s="488">
        <v>439.21327427465064</v>
      </c>
      <c r="AD209" s="488">
        <v>420.95591067180072</v>
      </c>
      <c r="AE209" s="488">
        <v>406.44307763457181</v>
      </c>
      <c r="AF209" s="488">
        <v>391.71190120005269</v>
      </c>
      <c r="AG209" s="488">
        <v>376.76118311682933</v>
      </c>
      <c r="AH209" s="488">
        <v>361.58972513349175</v>
      </c>
      <c r="AI209" s="488">
        <v>346.19632899863041</v>
      </c>
    </row>
    <row r="210" spans="2:35" outlineLevel="1">
      <c r="B210" t="str">
        <f t="shared" si="31"/>
        <v>e-ammonia - Total cost - Americas - USD/ton fuel</v>
      </c>
      <c r="C210" t="str">
        <f>C209</f>
        <v>e-ammonia</v>
      </c>
      <c r="D210" t="s">
        <v>1362</v>
      </c>
      <c r="E210" t="s">
        <v>731</v>
      </c>
      <c r="F210" t="s">
        <v>1353</v>
      </c>
      <c r="G210" s="487" t="str">
        <f t="shared" si="32"/>
        <v>e-ammoniaAmericasTotal cost</v>
      </c>
      <c r="H210" s="489">
        <v>960.06490620020099</v>
      </c>
      <c r="I210" s="489">
        <v>909.46803925498773</v>
      </c>
      <c r="J210" s="489">
        <v>858.27316604103771</v>
      </c>
      <c r="K210" s="489">
        <v>806.13782553740305</v>
      </c>
      <c r="L210" s="489">
        <v>753.08633371648523</v>
      </c>
      <c r="M210" s="489">
        <v>699.13112198147462</v>
      </c>
      <c r="N210" s="489">
        <v>644.28462173558285</v>
      </c>
      <c r="O210" s="489">
        <v>588.55926438197514</v>
      </c>
      <c r="P210" s="489">
        <v>581.45438605100912</v>
      </c>
      <c r="Q210" s="489">
        <v>572.94681959882564</v>
      </c>
      <c r="R210" s="489">
        <v>563.04233752218818</v>
      </c>
      <c r="S210" s="489">
        <v>551.74671231785373</v>
      </c>
      <c r="T210" s="489">
        <v>539.06571648260365</v>
      </c>
      <c r="U210" s="489">
        <v>527.04605604734718</v>
      </c>
      <c r="V210" s="489">
        <v>514.09710412790082</v>
      </c>
      <c r="W210" s="489">
        <v>500.2221046923467</v>
      </c>
      <c r="X210" s="489">
        <v>485.42430170872939</v>
      </c>
      <c r="Y210" s="489">
        <v>469.70693914511781</v>
      </c>
      <c r="Z210" s="489">
        <v>456.53989842311819</v>
      </c>
      <c r="AA210" s="489">
        <v>442.86251624307562</v>
      </c>
      <c r="AB210" s="489">
        <v>428.6740493818628</v>
      </c>
      <c r="AC210" s="489">
        <v>413.9737546163268</v>
      </c>
      <c r="AD210" s="489">
        <v>398.76088872333401</v>
      </c>
      <c r="AE210" s="489">
        <v>385.34785369204081</v>
      </c>
      <c r="AF210" s="489">
        <v>371.69466587192062</v>
      </c>
      <c r="AG210" s="489">
        <v>357.80060539834983</v>
      </c>
      <c r="AH210" s="489">
        <v>343.66495240670577</v>
      </c>
      <c r="AI210" s="489">
        <v>329.28698703236637</v>
      </c>
    </row>
    <row r="211" spans="2:35" outlineLevel="1">
      <c r="B211" t="str">
        <f t="shared" si="31"/>
        <v>e-ammonia - Total cost - Asia - USD/ton fuel</v>
      </c>
      <c r="C211" t="str">
        <f>C210</f>
        <v>e-ammonia</v>
      </c>
      <c r="D211" t="s">
        <v>1362</v>
      </c>
      <c r="E211" t="s">
        <v>750</v>
      </c>
      <c r="F211" t="s">
        <v>1353</v>
      </c>
      <c r="G211" s="487" t="str">
        <f t="shared" si="32"/>
        <v>e-ammoniaAsiaTotal cost</v>
      </c>
      <c r="H211" s="489">
        <v>1247.552198905255</v>
      </c>
      <c r="I211" s="489">
        <v>1146.3616483500407</v>
      </c>
      <c r="J211" s="489">
        <v>1044.647761508947</v>
      </c>
      <c r="K211" s="489">
        <v>984.37206658752257</v>
      </c>
      <c r="L211" s="489">
        <v>923.16043888236254</v>
      </c>
      <c r="M211" s="489">
        <v>861.03269244489718</v>
      </c>
      <c r="N211" s="489">
        <v>798.00864132660649</v>
      </c>
      <c r="O211" s="489">
        <v>734.1080995789298</v>
      </c>
      <c r="P211" s="489">
        <v>718.40799341147351</v>
      </c>
      <c r="Q211" s="489">
        <v>701.36110381680624</v>
      </c>
      <c r="R211" s="489">
        <v>682.98042590239959</v>
      </c>
      <c r="S211" s="489">
        <v>663.27895477571087</v>
      </c>
      <c r="T211" s="489">
        <v>642.26968554424161</v>
      </c>
      <c r="U211" s="489">
        <v>627.43879219368648</v>
      </c>
      <c r="V211" s="489">
        <v>611.68864160343935</v>
      </c>
      <c r="W211" s="489">
        <v>595.02381412924115</v>
      </c>
      <c r="X211" s="489">
        <v>577.44889012677822</v>
      </c>
      <c r="Y211" s="489">
        <v>558.96844995178094</v>
      </c>
      <c r="Z211" s="489">
        <v>539.79812889530876</v>
      </c>
      <c r="AA211" s="489">
        <v>520.24868364832992</v>
      </c>
      <c r="AB211" s="489">
        <v>500.31738766511285</v>
      </c>
      <c r="AC211" s="489">
        <v>480.00151439990617</v>
      </c>
      <c r="AD211" s="489">
        <v>459.29833730697129</v>
      </c>
      <c r="AE211" s="489">
        <v>443.64971411041938</v>
      </c>
      <c r="AF211" s="489">
        <v>427.80482661840745</v>
      </c>
      <c r="AG211" s="489">
        <v>411.76206956350904</v>
      </c>
      <c r="AH211" s="489">
        <v>395.51983767829688</v>
      </c>
      <c r="AI211" s="489">
        <v>379.07652569534326</v>
      </c>
    </row>
    <row r="212" spans="2:35" outlineLevel="1">
      <c r="B212" t="str">
        <f t="shared" si="31"/>
        <v>e-ammonia - Total cost - Europe - USD/ton fuel</v>
      </c>
      <c r="C212" t="str">
        <f>C211</f>
        <v>e-ammonia</v>
      </c>
      <c r="D212" t="s">
        <v>1362</v>
      </c>
      <c r="E212" t="s">
        <v>720</v>
      </c>
      <c r="F212" t="s">
        <v>1353</v>
      </c>
      <c r="G212" s="487" t="str">
        <f t="shared" si="32"/>
        <v>e-ammoniaEuropeTotal cost</v>
      </c>
      <c r="H212" s="489">
        <v>1078.6877387560555</v>
      </c>
      <c r="I212" s="489">
        <v>1014.5052507094081</v>
      </c>
      <c r="J212" s="489">
        <v>949.73690042112139</v>
      </c>
      <c r="K212" s="489">
        <v>893.35274803700088</v>
      </c>
      <c r="L212" s="489">
        <v>836.04403364790448</v>
      </c>
      <c r="M212" s="489">
        <v>777.82705438213372</v>
      </c>
      <c r="N212" s="489">
        <v>718.7181073679908</v>
      </c>
      <c r="O212" s="489">
        <v>658.73348973376005</v>
      </c>
      <c r="P212" s="489">
        <v>650.38089214883723</v>
      </c>
      <c r="Q212" s="489">
        <v>640.61443898397238</v>
      </c>
      <c r="R212" s="489">
        <v>629.44066422449202</v>
      </c>
      <c r="S212" s="489">
        <v>616.86610185572897</v>
      </c>
      <c r="T212" s="489">
        <v>602.89728586304318</v>
      </c>
      <c r="U212" s="489">
        <v>591.16089742316831</v>
      </c>
      <c r="V212" s="489">
        <v>578.46760150490513</v>
      </c>
      <c r="W212" s="489">
        <v>564.82010258067635</v>
      </c>
      <c r="X212" s="489">
        <v>550.2211051228594</v>
      </c>
      <c r="Y212" s="489">
        <v>534.67331360386208</v>
      </c>
      <c r="Z212" s="489">
        <v>518.48039605546603</v>
      </c>
      <c r="AA212" s="489">
        <v>501.84005827286035</v>
      </c>
      <c r="AB212" s="489">
        <v>484.75065485132671</v>
      </c>
      <c r="AC212" s="489">
        <v>467.21054038611607</v>
      </c>
      <c r="AD212" s="489">
        <v>449.21806947250349</v>
      </c>
      <c r="AE212" s="489">
        <v>433.78966243773289</v>
      </c>
      <c r="AF212" s="489">
        <v>418.16078642457376</v>
      </c>
      <c r="AG212" s="489">
        <v>402.32990014809093</v>
      </c>
      <c r="AH212" s="489">
        <v>386.29546232334798</v>
      </c>
      <c r="AI212" s="489">
        <v>370.05593166540814</v>
      </c>
    </row>
    <row r="213" spans="2:35" outlineLevel="1">
      <c r="B213" t="str">
        <f t="shared" si="31"/>
        <v>e-ammonia - Total cost - Middle East - USD/ton fuel</v>
      </c>
      <c r="C213" s="25" t="str">
        <f>C212</f>
        <v>e-ammonia</v>
      </c>
      <c r="D213" s="25" t="s">
        <v>1362</v>
      </c>
      <c r="E213" s="25" t="s">
        <v>826</v>
      </c>
      <c r="F213" s="25" t="s">
        <v>1353</v>
      </c>
      <c r="G213" s="487" t="str">
        <f t="shared" si="32"/>
        <v>e-ammoniaMiddle EastTotal cost</v>
      </c>
      <c r="H213" s="490">
        <v>963.4545090337358</v>
      </c>
      <c r="I213" s="490">
        <v>903.97202528084063</v>
      </c>
      <c r="J213" s="490">
        <v>843.91363920452977</v>
      </c>
      <c r="K213" s="490">
        <v>793.86288578256585</v>
      </c>
      <c r="L213" s="490">
        <v>742.89006010615708</v>
      </c>
      <c r="M213" s="490">
        <v>691.00563188928311</v>
      </c>
      <c r="N213" s="490">
        <v>638.22007084594054</v>
      </c>
      <c r="O213" s="490">
        <v>584.54384669009255</v>
      </c>
      <c r="P213" s="490">
        <v>576.02584308534836</v>
      </c>
      <c r="Q213" s="490">
        <v>566.12532932949819</v>
      </c>
      <c r="R213" s="490">
        <v>554.84942888558351</v>
      </c>
      <c r="S213" s="490">
        <v>542.20526521664863</v>
      </c>
      <c r="T213" s="490">
        <v>528.19996178575593</v>
      </c>
      <c r="U213" s="490">
        <v>517.40468176504692</v>
      </c>
      <c r="V213" s="490">
        <v>505.66352448829889</v>
      </c>
      <c r="W213" s="490">
        <v>492.97896600599358</v>
      </c>
      <c r="X213" s="490">
        <v>479.35348236856987</v>
      </c>
      <c r="Y213" s="490">
        <v>464.78954962649698</v>
      </c>
      <c r="Z213" s="490">
        <v>448.94374019629407</v>
      </c>
      <c r="AA213" s="490">
        <v>432.65334766163414</v>
      </c>
      <c r="AB213" s="490">
        <v>415.91652542155543</v>
      </c>
      <c r="AC213" s="490">
        <v>398.73142687507681</v>
      </c>
      <c r="AD213" s="490">
        <v>381.09620542122997</v>
      </c>
      <c r="AE213" s="490">
        <v>367.15474665941622</v>
      </c>
      <c r="AF213" s="490">
        <v>352.98442962966283</v>
      </c>
      <c r="AG213" s="490">
        <v>338.58414474555519</v>
      </c>
      <c r="AH213" s="490">
        <v>323.95278242068076</v>
      </c>
      <c r="AI213" s="490">
        <v>309.08923306862732</v>
      </c>
    </row>
    <row r="214" spans="2:35" ht="15" outlineLevel="1">
      <c r="B214" t="str">
        <f t="shared" si="31"/>
        <v/>
      </c>
      <c r="C214" s="22"/>
      <c r="G214" s="487" t="str">
        <f t="shared" si="32"/>
        <v/>
      </c>
    </row>
    <row r="215" spans="2:35" ht="15" outlineLevel="1">
      <c r="B215" t="str">
        <f t="shared" si="31"/>
        <v>e-ammonia - CAPEX including feedstock CAPEX - Global - USD/ton fuel</v>
      </c>
      <c r="C215" s="491" t="str">
        <f>C208</f>
        <v>e-ammonia</v>
      </c>
      <c r="D215" s="491" t="s">
        <v>1363</v>
      </c>
      <c r="E215" s="491" t="s">
        <v>708</v>
      </c>
      <c r="F215" s="491" t="s">
        <v>1353</v>
      </c>
      <c r="G215" s="487" t="str">
        <f t="shared" si="32"/>
        <v>e-ammoniaGlobalCAPEX including feedstock CAPEX</v>
      </c>
      <c r="H215" s="492">
        <v>129.77274363542494</v>
      </c>
      <c r="I215" s="492">
        <v>119.70092773016185</v>
      </c>
      <c r="J215" s="492">
        <v>109.58418264840139</v>
      </c>
      <c r="K215" s="492">
        <v>100.2538854431765</v>
      </c>
      <c r="L215" s="492">
        <v>90.840119853664106</v>
      </c>
      <c r="M215" s="492">
        <v>81.342885879865094</v>
      </c>
      <c r="N215" s="492">
        <v>71.762183521779733</v>
      </c>
      <c r="O215" s="492">
        <v>62.098012779406822</v>
      </c>
      <c r="P215" s="492">
        <v>62.594021583283855</v>
      </c>
      <c r="Q215" s="492">
        <v>62.895373539535903</v>
      </c>
      <c r="R215" s="492">
        <v>63.002068648162471</v>
      </c>
      <c r="S215" s="492">
        <v>62.91410690916269</v>
      </c>
      <c r="T215" s="492">
        <v>62.631488322538111</v>
      </c>
      <c r="U215" s="492">
        <v>62.032458631529316</v>
      </c>
      <c r="V215" s="492">
        <v>61.272769366716936</v>
      </c>
      <c r="W215" s="492">
        <v>60.35242052810262</v>
      </c>
      <c r="X215" s="492">
        <v>59.271412115684747</v>
      </c>
      <c r="Y215" s="492">
        <v>58.029744129462721</v>
      </c>
      <c r="Z215" s="492">
        <v>56.52137695169953</v>
      </c>
      <c r="AA215" s="492">
        <v>54.891783162845535</v>
      </c>
      <c r="AB215" s="492">
        <v>53.14096276290207</v>
      </c>
      <c r="AC215" s="492">
        <v>51.268915751868242</v>
      </c>
      <c r="AD215" s="492">
        <v>49.275642129743794</v>
      </c>
      <c r="AE215" s="492">
        <v>47.13842092361282</v>
      </c>
      <c r="AF215" s="492">
        <v>44.925373048212187</v>
      </c>
      <c r="AG215" s="492">
        <v>42.636498503541901</v>
      </c>
      <c r="AH215" s="492">
        <v>40.271797289601956</v>
      </c>
      <c r="AI215" s="492">
        <v>37.831269406392373</v>
      </c>
    </row>
    <row r="216" spans="2:35" outlineLevel="1">
      <c r="B216" t="str">
        <f t="shared" si="31"/>
        <v>e-ammonia - CAPEX - Global - USD/ton fuel</v>
      </c>
      <c r="C216" t="str">
        <f>C208</f>
        <v>e-ammonia</v>
      </c>
      <c r="D216" t="s">
        <v>446</v>
      </c>
      <c r="E216" t="s">
        <v>708</v>
      </c>
      <c r="F216" t="s">
        <v>1353</v>
      </c>
      <c r="G216" s="487" t="str">
        <f t="shared" si="32"/>
        <v>e-ammoniaGlobalCAPEX</v>
      </c>
      <c r="H216" s="493">
        <v>73</v>
      </c>
      <c r="I216" s="493">
        <v>65.666666666666671</v>
      </c>
      <c r="J216" s="493">
        <v>58.333333333333336</v>
      </c>
      <c r="K216" s="493">
        <v>51</v>
      </c>
      <c r="L216" s="493">
        <v>43.666666666666664</v>
      </c>
      <c r="M216" s="493">
        <v>36.333333333333336</v>
      </c>
      <c r="N216" s="493">
        <v>29</v>
      </c>
      <c r="O216" s="493">
        <v>21.666666666666668</v>
      </c>
      <c r="P216" s="493">
        <v>21.416666666666668</v>
      </c>
      <c r="Q216" s="493">
        <v>21.166666666666668</v>
      </c>
      <c r="R216" s="493">
        <v>20.916666666666668</v>
      </c>
      <c r="S216" s="493">
        <v>20.666666666666668</v>
      </c>
      <c r="T216" s="493">
        <v>20.416666666666668</v>
      </c>
      <c r="U216" s="493">
        <v>20.166666666666668</v>
      </c>
      <c r="V216" s="493">
        <v>19.916666666666668</v>
      </c>
      <c r="W216" s="493">
        <v>19.666666666666668</v>
      </c>
      <c r="X216" s="493">
        <v>19.416666666666668</v>
      </c>
      <c r="Y216" s="493">
        <v>19.166666666666668</v>
      </c>
      <c r="Z216" s="493">
        <v>18.916666666666668</v>
      </c>
      <c r="AA216" s="493">
        <v>18.666666666666668</v>
      </c>
      <c r="AB216" s="493">
        <v>18.416666666666668</v>
      </c>
      <c r="AC216" s="493">
        <v>18.166666666666668</v>
      </c>
      <c r="AD216" s="493">
        <v>17.916666666666668</v>
      </c>
      <c r="AE216" s="493">
        <v>17.666666666666668</v>
      </c>
      <c r="AF216" s="493">
        <v>17.416666666666668</v>
      </c>
      <c r="AG216" s="493">
        <v>17.166666666666668</v>
      </c>
      <c r="AH216" s="493">
        <v>16.916666666666668</v>
      </c>
      <c r="AI216" s="493">
        <v>16.666666666666668</v>
      </c>
    </row>
    <row r="217" spans="2:35" outlineLevel="1">
      <c r="B217" t="str">
        <f t="shared" si="31"/>
        <v>e-hydrogen (compressed) - CAPEX including feedstock CAPEX - Global - USD/ton fuel</v>
      </c>
      <c r="C217" t="s">
        <v>722</v>
      </c>
      <c r="D217" t="s">
        <v>1363</v>
      </c>
      <c r="E217" t="s">
        <v>708</v>
      </c>
      <c r="F217" t="s">
        <v>1353</v>
      </c>
      <c r="G217" s="487" t="str">
        <f t="shared" si="32"/>
        <v>e-hydrogen (compressed)GlobalCAPEX including feedstock CAPEX</v>
      </c>
      <c r="H217" s="507">
        <v>256.64635353013858</v>
      </c>
      <c r="I217" s="507">
        <v>247.21700590830653</v>
      </c>
      <c r="J217" s="507">
        <v>237.53805175037812</v>
      </c>
      <c r="K217" s="507">
        <v>232.53269690653616</v>
      </c>
      <c r="L217" s="507">
        <v>227.06362881665248</v>
      </c>
      <c r="M217" s="507">
        <v>221.13084748073197</v>
      </c>
      <c r="N217" s="507">
        <v>214.73435289877628</v>
      </c>
      <c r="O217" s="507">
        <v>207.87414507077864</v>
      </c>
      <c r="P217" s="507">
        <v>212.24697175898439</v>
      </c>
      <c r="Q217" s="507">
        <v>215.53837151594018</v>
      </c>
      <c r="R217" s="507">
        <v>217.74834434164336</v>
      </c>
      <c r="S217" s="507">
        <v>218.87689023608903</v>
      </c>
      <c r="T217" s="507">
        <v>218.92400919928582</v>
      </c>
      <c r="U217" s="507">
        <v>217.21328869368136</v>
      </c>
      <c r="V217" s="507">
        <v>214.61001500027928</v>
      </c>
      <c r="W217" s="507">
        <v>211.1141881190886</v>
      </c>
      <c r="X217" s="507">
        <v>206.72580805010043</v>
      </c>
      <c r="Y217" s="507">
        <v>201.44487479331141</v>
      </c>
      <c r="Z217" s="507">
        <v>194.68227936129369</v>
      </c>
      <c r="AA217" s="507">
        <v>187.24620275654928</v>
      </c>
      <c r="AB217" s="507">
        <v>179.13664497908553</v>
      </c>
      <c r="AC217" s="507">
        <v>170.35360602889762</v>
      </c>
      <c r="AD217" s="507">
        <v>160.89708590598403</v>
      </c>
      <c r="AE217" s="507">
        <v>150.64085698303418</v>
      </c>
      <c r="AF217" s="507">
        <v>139.96336878636401</v>
      </c>
      <c r="AG217" s="507">
        <v>128.86462131597352</v>
      </c>
      <c r="AH217" s="507">
        <v>117.34461457186269</v>
      </c>
      <c r="AI217" s="507">
        <v>105.40334855403168</v>
      </c>
    </row>
    <row r="218" spans="2:35" outlineLevel="1">
      <c r="B218" t="str">
        <f>_xlfn.TEXTJOIN(" - ",TRUE,C218:F218)</f>
        <v>Nitrogen - CAPEX - Global - USD/ton fuel</v>
      </c>
      <c r="C218" t="s">
        <v>1374</v>
      </c>
      <c r="D218" t="s">
        <v>446</v>
      </c>
      <c r="E218" t="s">
        <v>708</v>
      </c>
      <c r="F218" t="s">
        <v>1353</v>
      </c>
      <c r="G218" s="487" t="str">
        <f t="shared" si="32"/>
        <v>NitrogenGlobalCAPEX</v>
      </c>
      <c r="H218" s="493">
        <v>12.866666666666667</v>
      </c>
      <c r="I218" s="493">
        <v>11.6</v>
      </c>
      <c r="J218" s="493">
        <v>10.333333333333334</v>
      </c>
      <c r="K218" s="493">
        <v>9</v>
      </c>
      <c r="L218" s="493">
        <v>7.666666666666667</v>
      </c>
      <c r="M218" s="493">
        <v>6.333333333333333</v>
      </c>
      <c r="N218" s="493">
        <v>5</v>
      </c>
      <c r="O218" s="493">
        <v>3.6666666666666665</v>
      </c>
      <c r="P218" s="493">
        <v>3.6166666666666667</v>
      </c>
      <c r="Q218" s="493">
        <v>3.5666666666666669</v>
      </c>
      <c r="R218" s="493">
        <v>3.5166666666666666</v>
      </c>
      <c r="S218" s="493">
        <v>3.4666666666666668</v>
      </c>
      <c r="T218" s="493">
        <v>3.4166666666666665</v>
      </c>
      <c r="U218" s="493">
        <v>3.3666666666666667</v>
      </c>
      <c r="V218" s="493">
        <v>3.3166666666666669</v>
      </c>
      <c r="W218" s="493">
        <v>3.2666666666666666</v>
      </c>
      <c r="X218" s="493">
        <v>3.2166666666666668</v>
      </c>
      <c r="Y218" s="493">
        <v>3.1666666666666665</v>
      </c>
      <c r="Z218" s="493">
        <v>3.1166666666666667</v>
      </c>
      <c r="AA218" s="493">
        <v>3.0666666666666669</v>
      </c>
      <c r="AB218" s="493">
        <v>3.0166666666666666</v>
      </c>
      <c r="AC218" s="493">
        <v>2.9666666666666668</v>
      </c>
      <c r="AD218" s="493">
        <v>2.9166666666666665</v>
      </c>
      <c r="AE218" s="493">
        <v>2.8666666666666667</v>
      </c>
      <c r="AF218" s="493">
        <v>2.8166666666666669</v>
      </c>
      <c r="AG218" s="493">
        <v>2.7666666666666666</v>
      </c>
      <c r="AH218" s="493">
        <v>2.7166666666666668</v>
      </c>
      <c r="AI218" s="493">
        <v>2.6666666666666665</v>
      </c>
    </row>
    <row r="219" spans="2:35" outlineLevel="1">
      <c r="B219" t="str">
        <f t="shared" si="31"/>
        <v>e-ammonia - Conversion H2 -&gt; NH3 - Global - ton H2/ton NH3</v>
      </c>
      <c r="C219" t="str">
        <f>C208</f>
        <v>e-ammonia</v>
      </c>
      <c r="D219" t="s">
        <v>1375</v>
      </c>
      <c r="E219" t="s">
        <v>708</v>
      </c>
      <c r="F219" t="s">
        <v>1376</v>
      </c>
      <c r="G219" s="487" t="str">
        <f t="shared" si="32"/>
        <v>e-ammoniaGlobalConversion H2 -&gt; NH3</v>
      </c>
      <c r="H219" s="508">
        <v>0.18</v>
      </c>
      <c r="I219" s="508">
        <v>0.18</v>
      </c>
      <c r="J219" s="508">
        <v>0.18</v>
      </c>
      <c r="K219" s="508">
        <v>0.18</v>
      </c>
      <c r="L219" s="508">
        <v>0.18</v>
      </c>
      <c r="M219" s="508">
        <v>0.18</v>
      </c>
      <c r="N219" s="508">
        <v>0.18</v>
      </c>
      <c r="O219" s="508">
        <v>0.18</v>
      </c>
      <c r="P219" s="508">
        <v>0.18</v>
      </c>
      <c r="Q219" s="508">
        <v>0.18</v>
      </c>
      <c r="R219" s="508">
        <v>0.18</v>
      </c>
      <c r="S219" s="508">
        <v>0.18</v>
      </c>
      <c r="T219" s="508">
        <v>0.18</v>
      </c>
      <c r="U219" s="508">
        <v>0.18</v>
      </c>
      <c r="V219" s="508">
        <v>0.18</v>
      </c>
      <c r="W219" s="508">
        <v>0.18</v>
      </c>
      <c r="X219" s="508">
        <v>0.18</v>
      </c>
      <c r="Y219" s="508">
        <v>0.18</v>
      </c>
      <c r="Z219" s="508">
        <v>0.18</v>
      </c>
      <c r="AA219" s="508">
        <v>0.18</v>
      </c>
      <c r="AB219" s="508">
        <v>0.18</v>
      </c>
      <c r="AC219" s="508">
        <v>0.18</v>
      </c>
      <c r="AD219" s="508">
        <v>0.18</v>
      </c>
      <c r="AE219" s="508">
        <v>0.18</v>
      </c>
      <c r="AF219" s="508">
        <v>0.18</v>
      </c>
      <c r="AG219" s="508">
        <v>0.18</v>
      </c>
      <c r="AH219" s="508">
        <v>0.18</v>
      </c>
      <c r="AI219" s="508">
        <v>0.18</v>
      </c>
    </row>
    <row r="220" spans="2:35" outlineLevel="1">
      <c r="B220" t="str">
        <f t="shared" si="31"/>
        <v>e-ammonia - Conversion N2 -&gt; NH3 - Global - ton N2/ton NH3</v>
      </c>
      <c r="C220" t="str">
        <f>C208</f>
        <v>e-ammonia</v>
      </c>
      <c r="D220" t="s">
        <v>1377</v>
      </c>
      <c r="E220" t="s">
        <v>708</v>
      </c>
      <c r="F220" t="s">
        <v>1378</v>
      </c>
      <c r="G220" s="487" t="str">
        <f t="shared" si="32"/>
        <v>e-ammoniaGlobalConversion N2 -&gt; NH3</v>
      </c>
      <c r="H220" s="508">
        <v>0.82199999999999995</v>
      </c>
      <c r="I220" s="508">
        <v>0.82199999999999995</v>
      </c>
      <c r="J220" s="508">
        <v>0.82199999999999995</v>
      </c>
      <c r="K220" s="508">
        <v>0.82199999999999995</v>
      </c>
      <c r="L220" s="508">
        <v>0.82199999999999995</v>
      </c>
      <c r="M220" s="508">
        <v>0.82199999999999995</v>
      </c>
      <c r="N220" s="508">
        <v>0.82199999999999995</v>
      </c>
      <c r="O220" s="508">
        <v>0.82199999999999995</v>
      </c>
      <c r="P220" s="508">
        <v>0.82199999999999995</v>
      </c>
      <c r="Q220" s="508">
        <v>0.82199999999999995</v>
      </c>
      <c r="R220" s="508">
        <v>0.82199999999999995</v>
      </c>
      <c r="S220" s="508">
        <v>0.82199999999999995</v>
      </c>
      <c r="T220" s="508">
        <v>0.82199999999999995</v>
      </c>
      <c r="U220" s="508">
        <v>0.82199999999999995</v>
      </c>
      <c r="V220" s="508">
        <v>0.82199999999999995</v>
      </c>
      <c r="W220" s="508">
        <v>0.82199999999999995</v>
      </c>
      <c r="X220" s="508">
        <v>0.82199999999999995</v>
      </c>
      <c r="Y220" s="508">
        <v>0.82199999999999995</v>
      </c>
      <c r="Z220" s="508">
        <v>0.82199999999999995</v>
      </c>
      <c r="AA220" s="508">
        <v>0.82199999999999995</v>
      </c>
      <c r="AB220" s="508">
        <v>0.82199999999999995</v>
      </c>
      <c r="AC220" s="508">
        <v>0.82199999999999995</v>
      </c>
      <c r="AD220" s="508">
        <v>0.82199999999999995</v>
      </c>
      <c r="AE220" s="508">
        <v>0.82199999999999995</v>
      </c>
      <c r="AF220" s="508">
        <v>0.82199999999999995</v>
      </c>
      <c r="AG220" s="508">
        <v>0.82199999999999995</v>
      </c>
      <c r="AH220" s="508">
        <v>0.82199999999999995</v>
      </c>
      <c r="AI220" s="508">
        <v>0.82199999999999995</v>
      </c>
    </row>
    <row r="221" spans="2:35" outlineLevel="1">
      <c r="B221" t="str">
        <f t="shared" si="31"/>
        <v/>
      </c>
      <c r="G221" s="487" t="str">
        <f t="shared" si="32"/>
        <v/>
      </c>
      <c r="H221" s="493"/>
      <c r="I221" s="493"/>
      <c r="J221" s="493"/>
      <c r="K221" s="493"/>
      <c r="L221" s="493"/>
      <c r="M221" s="493"/>
      <c r="N221" s="493"/>
      <c r="O221" s="493"/>
      <c r="P221" s="493"/>
      <c r="Q221" s="493"/>
      <c r="R221" s="493"/>
      <c r="S221" s="493"/>
      <c r="T221" s="493"/>
      <c r="U221" s="493"/>
      <c r="V221" s="493"/>
      <c r="W221" s="493"/>
      <c r="X221" s="493"/>
      <c r="Y221" s="493"/>
      <c r="Z221" s="493"/>
      <c r="AA221" s="493"/>
      <c r="AB221" s="493"/>
      <c r="AC221" s="493"/>
      <c r="AD221" s="493"/>
      <c r="AE221" s="493"/>
      <c r="AF221" s="493"/>
      <c r="AG221" s="493"/>
      <c r="AH221" s="493"/>
      <c r="AI221" s="493"/>
    </row>
    <row r="222" spans="2:35" ht="15" outlineLevel="1">
      <c r="B222" t="str">
        <f t="shared" si="31"/>
        <v>e-ammonia - OPEX including feedstock OPEX - Global - USD/ton fuel</v>
      </c>
      <c r="C222" s="491" t="str">
        <f>C208</f>
        <v>e-ammonia</v>
      </c>
      <c r="D222" s="491" t="s">
        <v>1364</v>
      </c>
      <c r="E222" s="491" t="s">
        <v>708</v>
      </c>
      <c r="F222" s="491" t="s">
        <v>1353</v>
      </c>
      <c r="G222" s="487" t="str">
        <f t="shared" si="32"/>
        <v>e-ammoniaGlobalOPEX including feedstock OPEX</v>
      </c>
      <c r="H222" s="492">
        <v>240.4468636181596</v>
      </c>
      <c r="I222" s="492">
        <v>224.66936077283734</v>
      </c>
      <c r="J222" s="492">
        <v>208.46334794520382</v>
      </c>
      <c r="K222" s="492">
        <v>194.85683132565637</v>
      </c>
      <c r="L222" s="492">
        <v>180.60238039678705</v>
      </c>
      <c r="M222" s="492">
        <v>165.69999515859504</v>
      </c>
      <c r="N222" s="492">
        <v>150.14967561108747</v>
      </c>
      <c r="O222" s="492">
        <v>133.95142175425701</v>
      </c>
      <c r="P222" s="492">
        <v>133.46857772998405</v>
      </c>
      <c r="Q222" s="492">
        <v>132.10750806984998</v>
      </c>
      <c r="R222" s="492">
        <v>129.86821277385627</v>
      </c>
      <c r="S222" s="492">
        <v>126.75069184199859</v>
      </c>
      <c r="T222" s="492">
        <v>122.75494527427996</v>
      </c>
      <c r="U222" s="492">
        <v>119.12566157810522</v>
      </c>
      <c r="V222" s="492">
        <v>114.96789361739127</v>
      </c>
      <c r="W222" s="492">
        <v>110.28164139214255</v>
      </c>
      <c r="X222" s="492">
        <v>105.06690490235206</v>
      </c>
      <c r="Y222" s="492">
        <v>99.323684148023403</v>
      </c>
      <c r="Z222" s="492">
        <v>94.592399815048978</v>
      </c>
      <c r="AA222" s="492">
        <v>89.598872987172342</v>
      </c>
      <c r="AB222" s="492">
        <v>84.343103664397916</v>
      </c>
      <c r="AC222" s="492">
        <v>78.825091846721179</v>
      </c>
      <c r="AD222" s="492">
        <v>73.044837534145728</v>
      </c>
      <c r="AE222" s="492">
        <v>68.588361025682161</v>
      </c>
      <c r="AF222" s="492">
        <v>64.031007785159062</v>
      </c>
      <c r="AG222" s="492">
        <v>59.372777812576565</v>
      </c>
      <c r="AH222" s="492">
        <v>54.613671107934636</v>
      </c>
      <c r="AI222" s="492">
        <v>49.753687671233237</v>
      </c>
    </row>
    <row r="223" spans="2:35" outlineLevel="1">
      <c r="B223" t="str">
        <f t="shared" si="31"/>
        <v>e-ammonia - OPEX - Global - USD/ton fuel</v>
      </c>
      <c r="C223" t="str">
        <f>C208</f>
        <v>e-ammonia</v>
      </c>
      <c r="D223" t="s">
        <v>450</v>
      </c>
      <c r="E223" t="s">
        <v>708</v>
      </c>
      <c r="F223" t="s">
        <v>1353</v>
      </c>
      <c r="G223" s="487" t="str">
        <f t="shared" si="32"/>
        <v>e-ammoniaGlobalOPEX</v>
      </c>
      <c r="H223" s="493">
        <v>87.600000000000009</v>
      </c>
      <c r="I223" s="493">
        <v>78.8</v>
      </c>
      <c r="J223" s="493">
        <v>70</v>
      </c>
      <c r="K223" s="493">
        <v>61.2</v>
      </c>
      <c r="L223" s="493">
        <v>52.4</v>
      </c>
      <c r="M223" s="493">
        <v>43.6</v>
      </c>
      <c r="N223" s="493">
        <v>34.800000000000004</v>
      </c>
      <c r="O223" s="493">
        <v>26</v>
      </c>
      <c r="P223" s="493">
        <v>25.7</v>
      </c>
      <c r="Q223" s="493">
        <v>25.400000000000002</v>
      </c>
      <c r="R223" s="493">
        <v>25.1</v>
      </c>
      <c r="S223" s="493">
        <v>24.8</v>
      </c>
      <c r="T223" s="493">
        <v>24.5</v>
      </c>
      <c r="U223" s="493">
        <v>24.2</v>
      </c>
      <c r="V223" s="493">
        <v>23.900000000000002</v>
      </c>
      <c r="W223" s="493">
        <v>23.6</v>
      </c>
      <c r="X223" s="493">
        <v>23.3</v>
      </c>
      <c r="Y223" s="493">
        <v>23</v>
      </c>
      <c r="Z223" s="493">
        <v>22.7</v>
      </c>
      <c r="AA223" s="493">
        <v>22.400000000000002</v>
      </c>
      <c r="AB223" s="493">
        <v>22.1</v>
      </c>
      <c r="AC223" s="493">
        <v>21.8</v>
      </c>
      <c r="AD223" s="493">
        <v>21.5</v>
      </c>
      <c r="AE223" s="493">
        <v>21.2</v>
      </c>
      <c r="AF223" s="493">
        <v>20.900000000000002</v>
      </c>
      <c r="AG223" s="493">
        <v>20.6</v>
      </c>
      <c r="AH223" s="493">
        <v>20.3</v>
      </c>
      <c r="AI223" s="493">
        <v>20</v>
      </c>
    </row>
    <row r="224" spans="2:35" outlineLevel="1">
      <c r="B224" t="str">
        <f t="shared" si="31"/>
        <v>e-hydrogen (compressed) - OPEX including feedstock OPEX - Global - USD/ton fuel</v>
      </c>
      <c r="C224" t="s">
        <v>722</v>
      </c>
      <c r="D224" t="s">
        <v>1364</v>
      </c>
      <c r="E224" t="s">
        <v>708</v>
      </c>
      <c r="F224" t="s">
        <v>1353</v>
      </c>
      <c r="G224" s="487" t="str">
        <f t="shared" si="32"/>
        <v>e-hydrogen (compressed)GlobalOPEX including feedstock OPEX</v>
      </c>
      <c r="H224" s="507">
        <v>778.63990898977545</v>
      </c>
      <c r="I224" s="507">
        <v>746.81733762687418</v>
      </c>
      <c r="J224" s="507">
        <v>712.61415525113227</v>
      </c>
      <c r="K224" s="507">
        <v>693.21795180920219</v>
      </c>
      <c r="L224" s="507">
        <v>670.22211331548374</v>
      </c>
      <c r="M224" s="507">
        <v>643.6266397699726</v>
      </c>
      <c r="N224" s="507">
        <v>613.43153117270822</v>
      </c>
      <c r="O224" s="507">
        <v>579.63678752365013</v>
      </c>
      <c r="P224" s="507">
        <v>578.89498738880036</v>
      </c>
      <c r="Q224" s="507">
        <v>573.27415594361116</v>
      </c>
      <c r="R224" s="507">
        <v>562.77429318809038</v>
      </c>
      <c r="S224" s="507">
        <v>547.39539912221437</v>
      </c>
      <c r="T224" s="507">
        <v>527.13747374599984</v>
      </c>
      <c r="U224" s="507">
        <v>508.91545321169565</v>
      </c>
      <c r="V224" s="507">
        <v>487.75740898550708</v>
      </c>
      <c r="W224" s="507">
        <v>463.66334106745865</v>
      </c>
      <c r="X224" s="507">
        <v>436.63324945751151</v>
      </c>
      <c r="Y224" s="507">
        <v>406.66713415568563</v>
      </c>
      <c r="Z224" s="507">
        <v>382.32288786138321</v>
      </c>
      <c r="AA224" s="507">
        <v>356.52173881762411</v>
      </c>
      <c r="AB224" s="507">
        <v>329.2636870244329</v>
      </c>
      <c r="AC224" s="507">
        <v>300.54873248178433</v>
      </c>
      <c r="AD224" s="507">
        <v>270.37687518969852</v>
      </c>
      <c r="AE224" s="507">
        <v>247.55933903156756</v>
      </c>
      <c r="AF224" s="507">
        <v>224.18137658421693</v>
      </c>
      <c r="AG224" s="507">
        <v>200.24298784764761</v>
      </c>
      <c r="AH224" s="507">
        <v>175.74417282185905</v>
      </c>
      <c r="AI224" s="507">
        <v>150.68493150685131</v>
      </c>
    </row>
    <row r="225" spans="2:35" outlineLevel="1">
      <c r="B225" t="str">
        <f t="shared" si="31"/>
        <v>Nitrogen - OPEX - Global - USD/ton fuel</v>
      </c>
      <c r="C225" t="s">
        <v>1374</v>
      </c>
      <c r="D225" t="s">
        <v>450</v>
      </c>
      <c r="E225" t="s">
        <v>708</v>
      </c>
      <c r="F225" t="s">
        <v>1353</v>
      </c>
      <c r="G225" s="487" t="str">
        <f t="shared" si="32"/>
        <v>NitrogenGlobalOPEX</v>
      </c>
      <c r="H225" s="493">
        <v>15.44</v>
      </c>
      <c r="I225" s="493">
        <v>13.92</v>
      </c>
      <c r="J225" s="493">
        <v>12.4</v>
      </c>
      <c r="K225" s="493">
        <v>10.8</v>
      </c>
      <c r="L225" s="493">
        <v>9.2000000000000011</v>
      </c>
      <c r="M225" s="493">
        <v>7.6000000000000005</v>
      </c>
      <c r="N225" s="493">
        <v>6</v>
      </c>
      <c r="O225" s="493">
        <v>4.4000000000000004</v>
      </c>
      <c r="P225" s="493">
        <v>4.34</v>
      </c>
      <c r="Q225" s="493">
        <v>4.28</v>
      </c>
      <c r="R225" s="493">
        <v>4.22</v>
      </c>
      <c r="S225" s="493">
        <v>4.16</v>
      </c>
      <c r="T225" s="493">
        <v>4.0999999999999996</v>
      </c>
      <c r="U225" s="493">
        <v>4.04</v>
      </c>
      <c r="V225" s="493">
        <v>3.98</v>
      </c>
      <c r="W225" s="493">
        <v>3.92</v>
      </c>
      <c r="X225" s="493">
        <v>3.86</v>
      </c>
      <c r="Y225" s="493">
        <v>3.8000000000000003</v>
      </c>
      <c r="Z225" s="493">
        <v>3.74</v>
      </c>
      <c r="AA225" s="493">
        <v>3.68</v>
      </c>
      <c r="AB225" s="493">
        <v>3.62</v>
      </c>
      <c r="AC225" s="493">
        <v>3.56</v>
      </c>
      <c r="AD225" s="493">
        <v>3.5</v>
      </c>
      <c r="AE225" s="493">
        <v>3.44</v>
      </c>
      <c r="AF225" s="493">
        <v>3.38</v>
      </c>
      <c r="AG225" s="493">
        <v>3.3200000000000003</v>
      </c>
      <c r="AH225" s="493">
        <v>3.2600000000000002</v>
      </c>
      <c r="AI225" s="493">
        <v>3.2</v>
      </c>
    </row>
    <row r="226" spans="2:35" outlineLevel="1">
      <c r="B226" t="str">
        <f>_xlfn.TEXTJOIN(" - ",TRUE,C226:F226)</f>
        <v>e-ammonia - Conversion H2 -&gt; NH3 - Global - ton H2/ton NH3</v>
      </c>
      <c r="C226" t="str">
        <f>C208</f>
        <v>e-ammonia</v>
      </c>
      <c r="D226" t="s">
        <v>1375</v>
      </c>
      <c r="E226" t="s">
        <v>708</v>
      </c>
      <c r="F226" t="s">
        <v>1376</v>
      </c>
      <c r="G226" s="487" t="str">
        <f t="shared" si="32"/>
        <v>e-ammoniaGlobalConversion H2 -&gt; NH3</v>
      </c>
      <c r="H226" s="508">
        <v>0.18</v>
      </c>
      <c r="I226" s="508">
        <v>0.18</v>
      </c>
      <c r="J226" s="508">
        <v>0.18</v>
      </c>
      <c r="K226" s="508">
        <v>0.18</v>
      </c>
      <c r="L226" s="508">
        <v>0.18</v>
      </c>
      <c r="M226" s="508">
        <v>0.18</v>
      </c>
      <c r="N226" s="508">
        <v>0.18</v>
      </c>
      <c r="O226" s="508">
        <v>0.18</v>
      </c>
      <c r="P226" s="508">
        <v>0.18</v>
      </c>
      <c r="Q226" s="508">
        <v>0.18</v>
      </c>
      <c r="R226" s="508">
        <v>0.18</v>
      </c>
      <c r="S226" s="508">
        <v>0.18</v>
      </c>
      <c r="T226" s="508">
        <v>0.18</v>
      </c>
      <c r="U226" s="508">
        <v>0.18</v>
      </c>
      <c r="V226" s="508">
        <v>0.18</v>
      </c>
      <c r="W226" s="508">
        <v>0.18</v>
      </c>
      <c r="X226" s="508">
        <v>0.18</v>
      </c>
      <c r="Y226" s="508">
        <v>0.18</v>
      </c>
      <c r="Z226" s="508">
        <v>0.18</v>
      </c>
      <c r="AA226" s="508">
        <v>0.18</v>
      </c>
      <c r="AB226" s="508">
        <v>0.18</v>
      </c>
      <c r="AC226" s="508">
        <v>0.18</v>
      </c>
      <c r="AD226" s="508">
        <v>0.18</v>
      </c>
      <c r="AE226" s="508">
        <v>0.18</v>
      </c>
      <c r="AF226" s="508">
        <v>0.18</v>
      </c>
      <c r="AG226" s="508">
        <v>0.18</v>
      </c>
      <c r="AH226" s="508">
        <v>0.18</v>
      </c>
      <c r="AI226" s="508">
        <v>0.18</v>
      </c>
    </row>
    <row r="227" spans="2:35" outlineLevel="1">
      <c r="B227" t="str">
        <f>_xlfn.TEXTJOIN(" - ",TRUE,C227:F227)</f>
        <v>e-ammonia - Conversion N2 -&gt; NH3 - Global - ton N2/ton NH3</v>
      </c>
      <c r="C227" t="str">
        <f>C208</f>
        <v>e-ammonia</v>
      </c>
      <c r="D227" t="s">
        <v>1377</v>
      </c>
      <c r="E227" t="s">
        <v>708</v>
      </c>
      <c r="F227" t="s">
        <v>1378</v>
      </c>
      <c r="G227" s="487" t="str">
        <f t="shared" si="32"/>
        <v>e-ammoniaGlobalConversion N2 -&gt; NH3</v>
      </c>
      <c r="H227" s="508">
        <v>0.82199999999999995</v>
      </c>
      <c r="I227" s="508">
        <v>0.82199999999999995</v>
      </c>
      <c r="J227" s="508">
        <v>0.82199999999999995</v>
      </c>
      <c r="K227" s="508">
        <v>0.82199999999999995</v>
      </c>
      <c r="L227" s="508">
        <v>0.82199999999999995</v>
      </c>
      <c r="M227" s="508">
        <v>0.82199999999999995</v>
      </c>
      <c r="N227" s="508">
        <v>0.82199999999999995</v>
      </c>
      <c r="O227" s="508">
        <v>0.82199999999999995</v>
      </c>
      <c r="P227" s="508">
        <v>0.82199999999999995</v>
      </c>
      <c r="Q227" s="508">
        <v>0.82199999999999995</v>
      </c>
      <c r="R227" s="508">
        <v>0.82199999999999995</v>
      </c>
      <c r="S227" s="508">
        <v>0.82199999999999995</v>
      </c>
      <c r="T227" s="508">
        <v>0.82199999999999995</v>
      </c>
      <c r="U227" s="508">
        <v>0.82199999999999995</v>
      </c>
      <c r="V227" s="508">
        <v>0.82199999999999995</v>
      </c>
      <c r="W227" s="508">
        <v>0.82199999999999995</v>
      </c>
      <c r="X227" s="508">
        <v>0.82199999999999995</v>
      </c>
      <c r="Y227" s="508">
        <v>0.82199999999999995</v>
      </c>
      <c r="Z227" s="508">
        <v>0.82199999999999995</v>
      </c>
      <c r="AA227" s="508">
        <v>0.82199999999999995</v>
      </c>
      <c r="AB227" s="508">
        <v>0.82199999999999995</v>
      </c>
      <c r="AC227" s="508">
        <v>0.82199999999999995</v>
      </c>
      <c r="AD227" s="508">
        <v>0.82199999999999995</v>
      </c>
      <c r="AE227" s="508">
        <v>0.82199999999999995</v>
      </c>
      <c r="AF227" s="508">
        <v>0.82199999999999995</v>
      </c>
      <c r="AG227" s="508">
        <v>0.82199999999999995</v>
      </c>
      <c r="AH227" s="508">
        <v>0.82199999999999995</v>
      </c>
      <c r="AI227" s="508">
        <v>0.82199999999999995</v>
      </c>
    </row>
    <row r="228" spans="2:35" outlineLevel="1">
      <c r="B228" t="str">
        <f t="shared" si="31"/>
        <v/>
      </c>
      <c r="G228" s="487" t="str">
        <f t="shared" si="32"/>
        <v/>
      </c>
      <c r="H228" s="493"/>
      <c r="I228" s="493"/>
      <c r="J228" s="493"/>
      <c r="K228" s="493"/>
      <c r="L228" s="493"/>
      <c r="M228" s="493"/>
      <c r="N228" s="493"/>
      <c r="O228" s="493"/>
      <c r="P228" s="493"/>
      <c r="Q228" s="493"/>
      <c r="R228" s="493"/>
      <c r="S228" s="493"/>
      <c r="T228" s="493"/>
      <c r="U228" s="493"/>
      <c r="V228" s="493"/>
      <c r="W228" s="493"/>
      <c r="X228" s="493"/>
      <c r="Y228" s="493"/>
      <c r="Z228" s="493"/>
      <c r="AA228" s="493"/>
      <c r="AB228" s="493"/>
      <c r="AC228" s="493"/>
      <c r="AD228" s="493"/>
      <c r="AE228" s="493"/>
      <c r="AF228" s="493"/>
      <c r="AG228" s="493"/>
      <c r="AH228" s="493"/>
      <c r="AI228" s="493"/>
    </row>
    <row r="229" spans="2:35" ht="15" outlineLevel="1">
      <c r="B229" t="str">
        <f t="shared" si="31"/>
        <v>e-ammonia - Finance cost including feedstock finance cost - Africa - USD/ton fuel</v>
      </c>
      <c r="C229" s="494" t="str">
        <f>C212</f>
        <v>e-ammonia</v>
      </c>
      <c r="D229" s="494" t="s">
        <v>1365</v>
      </c>
      <c r="E229" s="494" t="s">
        <v>838</v>
      </c>
      <c r="F229" s="494" t="s">
        <v>1353</v>
      </c>
      <c r="G229" s="487" t="str">
        <f t="shared" si="32"/>
        <v>e-ammoniaAfricaFinance cost including feedstock finance cost</v>
      </c>
      <c r="H229" s="495">
        <v>214.1250269984512</v>
      </c>
      <c r="I229" s="495">
        <v>197.50653075476706</v>
      </c>
      <c r="J229" s="495">
        <v>180.81390136986232</v>
      </c>
      <c r="K229" s="495">
        <v>165.41891098124125</v>
      </c>
      <c r="L229" s="495">
        <v>149.88619775854579</v>
      </c>
      <c r="M229" s="495">
        <v>134.21576170177741</v>
      </c>
      <c r="N229" s="495">
        <v>118.40760281093657</v>
      </c>
      <c r="O229" s="495">
        <v>102.46172108602127</v>
      </c>
      <c r="P229" s="495">
        <v>103.28013561241838</v>
      </c>
      <c r="Q229" s="495">
        <v>103.77736634023424</v>
      </c>
      <c r="R229" s="495">
        <v>103.95341326946809</v>
      </c>
      <c r="S229" s="495">
        <v>103.80827640011844</v>
      </c>
      <c r="T229" s="495">
        <v>103.34195573218788</v>
      </c>
      <c r="U229" s="495">
        <v>102.35355674202337</v>
      </c>
      <c r="V229" s="495">
        <v>101.10006945508296</v>
      </c>
      <c r="W229" s="495">
        <v>99.581493871369318</v>
      </c>
      <c r="X229" s="495">
        <v>97.797829990879819</v>
      </c>
      <c r="Y229" s="495">
        <v>95.749077813613496</v>
      </c>
      <c r="Z229" s="495">
        <v>93.260271970304245</v>
      </c>
      <c r="AA229" s="495">
        <v>90.57144221869514</v>
      </c>
      <c r="AB229" s="495">
        <v>87.682588558788396</v>
      </c>
      <c r="AC229" s="495">
        <v>84.593710990582608</v>
      </c>
      <c r="AD229" s="495">
        <v>81.304809514077263</v>
      </c>
      <c r="AE229" s="495">
        <v>77.778394523961154</v>
      </c>
      <c r="AF229" s="495">
        <v>74.126865529550116</v>
      </c>
      <c r="AG229" s="495">
        <v>70.35022253084415</v>
      </c>
      <c r="AH229" s="495">
        <v>66.448465527843226</v>
      </c>
      <c r="AI229" s="495">
        <v>62.421594520547416</v>
      </c>
    </row>
    <row r="230" spans="2:35" ht="15" outlineLevel="1">
      <c r="B230" t="str">
        <f t="shared" si="31"/>
        <v>e-ammonia - Finance cost including feedstock finance cost - Americas - USD/ton fuel</v>
      </c>
      <c r="C230" s="22" t="str">
        <f>C212</f>
        <v>e-ammonia</v>
      </c>
      <c r="D230" s="22" t="s">
        <v>1365</v>
      </c>
      <c r="E230" s="22" t="s">
        <v>731</v>
      </c>
      <c r="F230" s="22" t="s">
        <v>1353</v>
      </c>
      <c r="G230" s="487" t="str">
        <f t="shared" si="32"/>
        <v>e-ammoniaAmericasFinance cost including feedstock finance cost</v>
      </c>
      <c r="H230" s="496">
        <v>214.1250269984512</v>
      </c>
      <c r="I230" s="496">
        <v>197.50653075476706</v>
      </c>
      <c r="J230" s="496">
        <v>180.81390136986232</v>
      </c>
      <c r="K230" s="496">
        <v>165.41891098124125</v>
      </c>
      <c r="L230" s="496">
        <v>149.88619775854579</v>
      </c>
      <c r="M230" s="496">
        <v>134.21576170177741</v>
      </c>
      <c r="N230" s="496">
        <v>118.40760281093657</v>
      </c>
      <c r="O230" s="496">
        <v>102.46172108602127</v>
      </c>
      <c r="P230" s="496">
        <v>103.28013561241838</v>
      </c>
      <c r="Q230" s="496">
        <v>103.77736634023424</v>
      </c>
      <c r="R230" s="496">
        <v>103.95341326946809</v>
      </c>
      <c r="S230" s="496">
        <v>103.80827640011844</v>
      </c>
      <c r="T230" s="496">
        <v>103.34195573218788</v>
      </c>
      <c r="U230" s="496">
        <v>102.35355674202337</v>
      </c>
      <c r="V230" s="496">
        <v>101.10006945508296</v>
      </c>
      <c r="W230" s="496">
        <v>99.581493871369318</v>
      </c>
      <c r="X230" s="496">
        <v>97.797829990879819</v>
      </c>
      <c r="Y230" s="496">
        <v>95.749077813613496</v>
      </c>
      <c r="Z230" s="496">
        <v>93.260271970304245</v>
      </c>
      <c r="AA230" s="496">
        <v>90.57144221869514</v>
      </c>
      <c r="AB230" s="496">
        <v>87.682588558788396</v>
      </c>
      <c r="AC230" s="496">
        <v>84.593710990582608</v>
      </c>
      <c r="AD230" s="496">
        <v>81.304809514077263</v>
      </c>
      <c r="AE230" s="496">
        <v>77.778394523961154</v>
      </c>
      <c r="AF230" s="496">
        <v>74.126865529550116</v>
      </c>
      <c r="AG230" s="496">
        <v>70.35022253084415</v>
      </c>
      <c r="AH230" s="496">
        <v>66.448465527843226</v>
      </c>
      <c r="AI230" s="496">
        <v>62.421594520547416</v>
      </c>
    </row>
    <row r="231" spans="2:35" ht="15" outlineLevel="1">
      <c r="B231" t="str">
        <f t="shared" si="31"/>
        <v>e-ammonia - Finance cost including feedstock finance cost - Asia - USD/ton fuel</v>
      </c>
      <c r="C231" s="22" t="str">
        <f>C212</f>
        <v>e-ammonia</v>
      </c>
      <c r="D231" s="22" t="s">
        <v>1365</v>
      </c>
      <c r="E231" s="22" t="s">
        <v>750</v>
      </c>
      <c r="F231" s="22" t="s">
        <v>1353</v>
      </c>
      <c r="G231" s="487" t="str">
        <f t="shared" si="32"/>
        <v>e-ammoniaAsiaFinance cost including feedstock finance cost</v>
      </c>
      <c r="H231" s="496">
        <v>214.1250269984512</v>
      </c>
      <c r="I231" s="496">
        <v>197.50653075476706</v>
      </c>
      <c r="J231" s="496">
        <v>180.81390136986232</v>
      </c>
      <c r="K231" s="496">
        <v>165.41891098124125</v>
      </c>
      <c r="L231" s="496">
        <v>149.88619775854579</v>
      </c>
      <c r="M231" s="496">
        <v>134.21576170177741</v>
      </c>
      <c r="N231" s="496">
        <v>118.40760281093657</v>
      </c>
      <c r="O231" s="496">
        <v>102.46172108602127</v>
      </c>
      <c r="P231" s="496">
        <v>103.28013561241838</v>
      </c>
      <c r="Q231" s="496">
        <v>103.77736634023424</v>
      </c>
      <c r="R231" s="496">
        <v>103.95341326946809</v>
      </c>
      <c r="S231" s="496">
        <v>103.80827640011844</v>
      </c>
      <c r="T231" s="496">
        <v>103.34195573218788</v>
      </c>
      <c r="U231" s="496">
        <v>102.35355674202337</v>
      </c>
      <c r="V231" s="496">
        <v>101.10006945508296</v>
      </c>
      <c r="W231" s="496">
        <v>99.581493871369318</v>
      </c>
      <c r="X231" s="496">
        <v>97.797829990879819</v>
      </c>
      <c r="Y231" s="496">
        <v>95.749077813613496</v>
      </c>
      <c r="Z231" s="496">
        <v>93.260271970304245</v>
      </c>
      <c r="AA231" s="496">
        <v>90.57144221869514</v>
      </c>
      <c r="AB231" s="496">
        <v>87.682588558788396</v>
      </c>
      <c r="AC231" s="496">
        <v>84.593710990582608</v>
      </c>
      <c r="AD231" s="496">
        <v>81.304809514077263</v>
      </c>
      <c r="AE231" s="496">
        <v>77.778394523961154</v>
      </c>
      <c r="AF231" s="496">
        <v>74.126865529550116</v>
      </c>
      <c r="AG231" s="496">
        <v>70.35022253084415</v>
      </c>
      <c r="AH231" s="496">
        <v>66.448465527843226</v>
      </c>
      <c r="AI231" s="496">
        <v>62.421594520547416</v>
      </c>
    </row>
    <row r="232" spans="2:35" ht="15" outlineLevel="1">
      <c r="B232" t="str">
        <f t="shared" si="31"/>
        <v>e-ammonia - Finance cost including feedstock finance cost - Europe - USD/ton fuel</v>
      </c>
      <c r="C232" s="22" t="str">
        <f>C212</f>
        <v>e-ammonia</v>
      </c>
      <c r="D232" s="22" t="s">
        <v>1365</v>
      </c>
      <c r="E232" s="22" t="s">
        <v>720</v>
      </c>
      <c r="F232" s="22" t="s">
        <v>1353</v>
      </c>
      <c r="G232" s="487" t="str">
        <f t="shared" si="32"/>
        <v>e-ammoniaEuropeFinance cost including feedstock finance cost</v>
      </c>
      <c r="H232" s="496">
        <v>214.1250269984512</v>
      </c>
      <c r="I232" s="496">
        <v>197.50653075476706</v>
      </c>
      <c r="J232" s="496">
        <v>180.81390136986232</v>
      </c>
      <c r="K232" s="496">
        <v>165.41891098124125</v>
      </c>
      <c r="L232" s="496">
        <v>149.88619775854579</v>
      </c>
      <c r="M232" s="496">
        <v>134.21576170177741</v>
      </c>
      <c r="N232" s="496">
        <v>118.40760281093657</v>
      </c>
      <c r="O232" s="496">
        <v>102.46172108602127</v>
      </c>
      <c r="P232" s="496">
        <v>103.28013561241838</v>
      </c>
      <c r="Q232" s="496">
        <v>103.77736634023424</v>
      </c>
      <c r="R232" s="496">
        <v>103.95341326946809</v>
      </c>
      <c r="S232" s="496">
        <v>103.80827640011844</v>
      </c>
      <c r="T232" s="496">
        <v>103.34195573218788</v>
      </c>
      <c r="U232" s="496">
        <v>102.35355674202337</v>
      </c>
      <c r="V232" s="496">
        <v>101.10006945508296</v>
      </c>
      <c r="W232" s="496">
        <v>99.581493871369318</v>
      </c>
      <c r="X232" s="496">
        <v>97.797829990879819</v>
      </c>
      <c r="Y232" s="496">
        <v>95.749077813613496</v>
      </c>
      <c r="Z232" s="496">
        <v>93.260271970304245</v>
      </c>
      <c r="AA232" s="496">
        <v>90.57144221869514</v>
      </c>
      <c r="AB232" s="496">
        <v>87.682588558788396</v>
      </c>
      <c r="AC232" s="496">
        <v>84.593710990582608</v>
      </c>
      <c r="AD232" s="496">
        <v>81.304809514077263</v>
      </c>
      <c r="AE232" s="496">
        <v>77.778394523961154</v>
      </c>
      <c r="AF232" s="496">
        <v>74.126865529550116</v>
      </c>
      <c r="AG232" s="496">
        <v>70.35022253084415</v>
      </c>
      <c r="AH232" s="496">
        <v>66.448465527843226</v>
      </c>
      <c r="AI232" s="496">
        <v>62.421594520547416</v>
      </c>
    </row>
    <row r="233" spans="2:35" ht="15" outlineLevel="1">
      <c r="B233" t="str">
        <f t="shared" si="31"/>
        <v>e-ammonia - Finance cost including feedstock finance cost - Middle East - USD/ton fuel</v>
      </c>
      <c r="C233" s="92" t="str">
        <f>C212</f>
        <v>e-ammonia</v>
      </c>
      <c r="D233" s="92" t="s">
        <v>1365</v>
      </c>
      <c r="E233" s="92" t="s">
        <v>826</v>
      </c>
      <c r="F233" s="92" t="s">
        <v>1353</v>
      </c>
      <c r="G233" s="487" t="str">
        <f t="shared" si="32"/>
        <v>e-ammoniaMiddle EastFinance cost including feedstock finance cost</v>
      </c>
      <c r="H233" s="497">
        <v>214.1250269984512</v>
      </c>
      <c r="I233" s="497">
        <v>197.50653075476706</v>
      </c>
      <c r="J233" s="497">
        <v>180.81390136986232</v>
      </c>
      <c r="K233" s="497">
        <v>165.41891098124125</v>
      </c>
      <c r="L233" s="497">
        <v>149.88619775854579</v>
      </c>
      <c r="M233" s="497">
        <v>134.21576170177741</v>
      </c>
      <c r="N233" s="497">
        <v>118.40760281093657</v>
      </c>
      <c r="O233" s="497">
        <v>102.46172108602127</v>
      </c>
      <c r="P233" s="497">
        <v>103.28013561241838</v>
      </c>
      <c r="Q233" s="497">
        <v>103.77736634023424</v>
      </c>
      <c r="R233" s="497">
        <v>103.95341326946809</v>
      </c>
      <c r="S233" s="497">
        <v>103.80827640011844</v>
      </c>
      <c r="T233" s="497">
        <v>103.34195573218788</v>
      </c>
      <c r="U233" s="497">
        <v>102.35355674202337</v>
      </c>
      <c r="V233" s="497">
        <v>101.10006945508296</v>
      </c>
      <c r="W233" s="497">
        <v>99.581493871369318</v>
      </c>
      <c r="X233" s="497">
        <v>97.797829990879819</v>
      </c>
      <c r="Y233" s="497">
        <v>95.749077813613496</v>
      </c>
      <c r="Z233" s="497">
        <v>93.260271970304245</v>
      </c>
      <c r="AA233" s="497">
        <v>90.57144221869514</v>
      </c>
      <c r="AB233" s="497">
        <v>87.682588558788396</v>
      </c>
      <c r="AC233" s="497">
        <v>84.593710990582608</v>
      </c>
      <c r="AD233" s="497">
        <v>81.304809514077263</v>
      </c>
      <c r="AE233" s="497">
        <v>77.778394523961154</v>
      </c>
      <c r="AF233" s="497">
        <v>74.126865529550116</v>
      </c>
      <c r="AG233" s="497">
        <v>70.35022253084415</v>
      </c>
      <c r="AH233" s="497">
        <v>66.448465527843226</v>
      </c>
      <c r="AI233" s="497">
        <v>62.421594520547416</v>
      </c>
    </row>
    <row r="234" spans="2:35" outlineLevel="1">
      <c r="B234" t="str">
        <f t="shared" si="31"/>
        <v>e-ammonia - Finance cost - Africa - USD/ton fuel</v>
      </c>
      <c r="C234" t="str">
        <f>C208</f>
        <v>e-ammonia</v>
      </c>
      <c r="D234" t="s">
        <v>1366</v>
      </c>
      <c r="E234" t="s">
        <v>838</v>
      </c>
      <c r="F234" t="s">
        <v>1353</v>
      </c>
      <c r="G234" s="487" t="str">
        <f t="shared" si="32"/>
        <v>e-ammoniaAfricaFinance cost</v>
      </c>
      <c r="H234" s="493">
        <v>120.45000000000002</v>
      </c>
      <c r="I234" s="493">
        <v>108.35000000000001</v>
      </c>
      <c r="J234" s="493">
        <v>96.250000000000014</v>
      </c>
      <c r="K234" s="493">
        <v>84.15</v>
      </c>
      <c r="L234" s="493">
        <v>72.050000000000011</v>
      </c>
      <c r="M234" s="493">
        <v>59.95000000000001</v>
      </c>
      <c r="N234" s="493">
        <v>47.850000000000009</v>
      </c>
      <c r="O234" s="493">
        <v>35.750000000000007</v>
      </c>
      <c r="P234" s="493">
        <v>35.337500000000006</v>
      </c>
      <c r="Q234" s="493">
        <v>34.925000000000004</v>
      </c>
      <c r="R234" s="493">
        <v>34.512500000000003</v>
      </c>
      <c r="S234" s="493">
        <v>34.1</v>
      </c>
      <c r="T234" s="493">
        <v>33.687500000000007</v>
      </c>
      <c r="U234" s="493">
        <v>33.275000000000006</v>
      </c>
      <c r="V234" s="493">
        <v>32.862500000000004</v>
      </c>
      <c r="W234" s="493">
        <v>32.450000000000003</v>
      </c>
      <c r="X234" s="493">
        <v>32.037500000000001</v>
      </c>
      <c r="Y234" s="493">
        <v>31.625000000000004</v>
      </c>
      <c r="Z234" s="493">
        <v>31.212500000000006</v>
      </c>
      <c r="AA234" s="493">
        <v>30.800000000000004</v>
      </c>
      <c r="AB234" s="493">
        <v>30.387500000000003</v>
      </c>
      <c r="AC234" s="493">
        <v>29.975000000000005</v>
      </c>
      <c r="AD234" s="493">
        <v>29.562500000000004</v>
      </c>
      <c r="AE234" s="493">
        <v>29.150000000000002</v>
      </c>
      <c r="AF234" s="493">
        <v>28.737500000000004</v>
      </c>
      <c r="AG234" s="493">
        <v>28.325000000000003</v>
      </c>
      <c r="AH234" s="493">
        <v>27.912500000000005</v>
      </c>
      <c r="AI234" s="493">
        <v>27.500000000000004</v>
      </c>
    </row>
    <row r="235" spans="2:35" outlineLevel="1">
      <c r="B235" t="str">
        <f t="shared" si="31"/>
        <v>e-ammonia - Finance cost - Americas - USD/ton fuel</v>
      </c>
      <c r="C235" t="str">
        <f>C208</f>
        <v>e-ammonia</v>
      </c>
      <c r="D235" t="s">
        <v>1366</v>
      </c>
      <c r="E235" t="s">
        <v>731</v>
      </c>
      <c r="F235" t="s">
        <v>1353</v>
      </c>
      <c r="G235" s="487" t="str">
        <f t="shared" si="32"/>
        <v>e-ammoniaAmericasFinance cost</v>
      </c>
      <c r="H235" s="493">
        <v>120.45000000000002</v>
      </c>
      <c r="I235" s="493">
        <v>108.35000000000001</v>
      </c>
      <c r="J235" s="493">
        <v>96.250000000000014</v>
      </c>
      <c r="K235" s="493">
        <v>84.15</v>
      </c>
      <c r="L235" s="493">
        <v>72.050000000000011</v>
      </c>
      <c r="M235" s="493">
        <v>59.95000000000001</v>
      </c>
      <c r="N235" s="493">
        <v>47.850000000000009</v>
      </c>
      <c r="O235" s="493">
        <v>35.750000000000007</v>
      </c>
      <c r="P235" s="493">
        <v>35.337500000000006</v>
      </c>
      <c r="Q235" s="493">
        <v>34.925000000000004</v>
      </c>
      <c r="R235" s="493">
        <v>34.512500000000003</v>
      </c>
      <c r="S235" s="493">
        <v>34.1</v>
      </c>
      <c r="T235" s="493">
        <v>33.687500000000007</v>
      </c>
      <c r="U235" s="493">
        <v>33.275000000000006</v>
      </c>
      <c r="V235" s="493">
        <v>32.862500000000004</v>
      </c>
      <c r="W235" s="493">
        <v>32.450000000000003</v>
      </c>
      <c r="X235" s="493">
        <v>32.037500000000001</v>
      </c>
      <c r="Y235" s="493">
        <v>31.625000000000004</v>
      </c>
      <c r="Z235" s="493">
        <v>31.212500000000006</v>
      </c>
      <c r="AA235" s="493">
        <v>30.800000000000004</v>
      </c>
      <c r="AB235" s="493">
        <v>30.387500000000003</v>
      </c>
      <c r="AC235" s="493">
        <v>29.975000000000005</v>
      </c>
      <c r="AD235" s="493">
        <v>29.562500000000004</v>
      </c>
      <c r="AE235" s="493">
        <v>29.150000000000002</v>
      </c>
      <c r="AF235" s="493">
        <v>28.737500000000004</v>
      </c>
      <c r="AG235" s="493">
        <v>28.325000000000003</v>
      </c>
      <c r="AH235" s="493">
        <v>27.912500000000005</v>
      </c>
      <c r="AI235" s="493">
        <v>27.500000000000004</v>
      </c>
    </row>
    <row r="236" spans="2:35" outlineLevel="1">
      <c r="B236" t="str">
        <f t="shared" si="31"/>
        <v>e-ammonia - Finance cost - Asia - USD/ton fuel</v>
      </c>
      <c r="C236" t="str">
        <f>C208</f>
        <v>e-ammonia</v>
      </c>
      <c r="D236" t="s">
        <v>1366</v>
      </c>
      <c r="E236" t="s">
        <v>750</v>
      </c>
      <c r="F236" t="s">
        <v>1353</v>
      </c>
      <c r="G236" s="487" t="str">
        <f t="shared" si="32"/>
        <v>e-ammoniaAsiaFinance cost</v>
      </c>
      <c r="H236" s="493">
        <v>120.45000000000002</v>
      </c>
      <c r="I236" s="493">
        <v>108.35000000000001</v>
      </c>
      <c r="J236" s="493">
        <v>96.250000000000014</v>
      </c>
      <c r="K236" s="493">
        <v>84.15</v>
      </c>
      <c r="L236" s="493">
        <v>72.050000000000011</v>
      </c>
      <c r="M236" s="493">
        <v>59.95000000000001</v>
      </c>
      <c r="N236" s="493">
        <v>47.850000000000009</v>
      </c>
      <c r="O236" s="493">
        <v>35.750000000000007</v>
      </c>
      <c r="P236" s="493">
        <v>35.337500000000006</v>
      </c>
      <c r="Q236" s="493">
        <v>34.925000000000004</v>
      </c>
      <c r="R236" s="493">
        <v>34.512500000000003</v>
      </c>
      <c r="S236" s="493">
        <v>34.1</v>
      </c>
      <c r="T236" s="493">
        <v>33.687500000000007</v>
      </c>
      <c r="U236" s="493">
        <v>33.275000000000006</v>
      </c>
      <c r="V236" s="493">
        <v>32.862500000000004</v>
      </c>
      <c r="W236" s="493">
        <v>32.450000000000003</v>
      </c>
      <c r="X236" s="493">
        <v>32.037500000000001</v>
      </c>
      <c r="Y236" s="493">
        <v>31.625000000000004</v>
      </c>
      <c r="Z236" s="493">
        <v>31.212500000000006</v>
      </c>
      <c r="AA236" s="493">
        <v>30.800000000000004</v>
      </c>
      <c r="AB236" s="493">
        <v>30.387500000000003</v>
      </c>
      <c r="AC236" s="493">
        <v>29.975000000000005</v>
      </c>
      <c r="AD236" s="493">
        <v>29.562500000000004</v>
      </c>
      <c r="AE236" s="493">
        <v>29.150000000000002</v>
      </c>
      <c r="AF236" s="493">
        <v>28.737500000000004</v>
      </c>
      <c r="AG236" s="493">
        <v>28.325000000000003</v>
      </c>
      <c r="AH236" s="493">
        <v>27.912500000000005</v>
      </c>
      <c r="AI236" s="493">
        <v>27.500000000000004</v>
      </c>
    </row>
    <row r="237" spans="2:35" outlineLevel="1">
      <c r="B237" t="str">
        <f t="shared" si="31"/>
        <v>e-ammonia - Finance cost - Europe - USD/ton fuel</v>
      </c>
      <c r="C237" t="str">
        <f>C208</f>
        <v>e-ammonia</v>
      </c>
      <c r="D237" t="s">
        <v>1366</v>
      </c>
      <c r="E237" t="s">
        <v>720</v>
      </c>
      <c r="F237" t="s">
        <v>1353</v>
      </c>
      <c r="G237" s="487" t="str">
        <f t="shared" si="32"/>
        <v>e-ammoniaEuropeFinance cost</v>
      </c>
      <c r="H237" s="493">
        <v>120.45000000000002</v>
      </c>
      <c r="I237" s="493">
        <v>108.35000000000001</v>
      </c>
      <c r="J237" s="493">
        <v>96.250000000000014</v>
      </c>
      <c r="K237" s="493">
        <v>84.15</v>
      </c>
      <c r="L237" s="493">
        <v>72.050000000000011</v>
      </c>
      <c r="M237" s="493">
        <v>59.95000000000001</v>
      </c>
      <c r="N237" s="493">
        <v>47.850000000000009</v>
      </c>
      <c r="O237" s="493">
        <v>35.750000000000007</v>
      </c>
      <c r="P237" s="493">
        <v>35.337500000000006</v>
      </c>
      <c r="Q237" s="493">
        <v>34.925000000000004</v>
      </c>
      <c r="R237" s="493">
        <v>34.512500000000003</v>
      </c>
      <c r="S237" s="493">
        <v>34.1</v>
      </c>
      <c r="T237" s="493">
        <v>33.687500000000007</v>
      </c>
      <c r="U237" s="493">
        <v>33.275000000000006</v>
      </c>
      <c r="V237" s="493">
        <v>32.862500000000004</v>
      </c>
      <c r="W237" s="493">
        <v>32.450000000000003</v>
      </c>
      <c r="X237" s="493">
        <v>32.037500000000001</v>
      </c>
      <c r="Y237" s="493">
        <v>31.625000000000004</v>
      </c>
      <c r="Z237" s="493">
        <v>31.212500000000006</v>
      </c>
      <c r="AA237" s="493">
        <v>30.800000000000004</v>
      </c>
      <c r="AB237" s="493">
        <v>30.387500000000003</v>
      </c>
      <c r="AC237" s="493">
        <v>29.975000000000005</v>
      </c>
      <c r="AD237" s="493">
        <v>29.562500000000004</v>
      </c>
      <c r="AE237" s="493">
        <v>29.150000000000002</v>
      </c>
      <c r="AF237" s="493">
        <v>28.737500000000004</v>
      </c>
      <c r="AG237" s="493">
        <v>28.325000000000003</v>
      </c>
      <c r="AH237" s="493">
        <v>27.912500000000005</v>
      </c>
      <c r="AI237" s="493">
        <v>27.500000000000004</v>
      </c>
    </row>
    <row r="238" spans="2:35" outlineLevel="1">
      <c r="B238" t="str">
        <f t="shared" si="31"/>
        <v>e-ammonia - Finance cost - Middle East - USD/ton fuel</v>
      </c>
      <c r="C238" t="str">
        <f>C208</f>
        <v>e-ammonia</v>
      </c>
      <c r="D238" t="s">
        <v>1366</v>
      </c>
      <c r="E238" t="s">
        <v>826</v>
      </c>
      <c r="F238" t="s">
        <v>1353</v>
      </c>
      <c r="G238" s="487" t="str">
        <f t="shared" si="32"/>
        <v>e-ammoniaMiddle EastFinance cost</v>
      </c>
      <c r="H238" s="493">
        <v>120.45000000000002</v>
      </c>
      <c r="I238" s="493">
        <v>108.35000000000001</v>
      </c>
      <c r="J238" s="493">
        <v>96.250000000000014</v>
      </c>
      <c r="K238" s="493">
        <v>84.15</v>
      </c>
      <c r="L238" s="493">
        <v>72.050000000000011</v>
      </c>
      <c r="M238" s="493">
        <v>59.95000000000001</v>
      </c>
      <c r="N238" s="493">
        <v>47.850000000000009</v>
      </c>
      <c r="O238" s="493">
        <v>35.750000000000007</v>
      </c>
      <c r="P238" s="493">
        <v>35.337500000000006</v>
      </c>
      <c r="Q238" s="493">
        <v>34.925000000000004</v>
      </c>
      <c r="R238" s="493">
        <v>34.512500000000003</v>
      </c>
      <c r="S238" s="493">
        <v>34.1</v>
      </c>
      <c r="T238" s="493">
        <v>33.687500000000007</v>
      </c>
      <c r="U238" s="493">
        <v>33.275000000000006</v>
      </c>
      <c r="V238" s="493">
        <v>32.862500000000004</v>
      </c>
      <c r="W238" s="493">
        <v>32.450000000000003</v>
      </c>
      <c r="X238" s="493">
        <v>32.037500000000001</v>
      </c>
      <c r="Y238" s="493">
        <v>31.625000000000004</v>
      </c>
      <c r="Z238" s="493">
        <v>31.212500000000006</v>
      </c>
      <c r="AA238" s="493">
        <v>30.800000000000004</v>
      </c>
      <c r="AB238" s="493">
        <v>30.387500000000003</v>
      </c>
      <c r="AC238" s="493">
        <v>29.975000000000005</v>
      </c>
      <c r="AD238" s="493">
        <v>29.562500000000004</v>
      </c>
      <c r="AE238" s="493">
        <v>29.150000000000002</v>
      </c>
      <c r="AF238" s="493">
        <v>28.737500000000004</v>
      </c>
      <c r="AG238" s="493">
        <v>28.325000000000003</v>
      </c>
      <c r="AH238" s="493">
        <v>27.912500000000005</v>
      </c>
      <c r="AI238" s="493">
        <v>27.500000000000004</v>
      </c>
    </row>
    <row r="239" spans="2:35" outlineLevel="1">
      <c r="B239" t="str">
        <f t="shared" si="31"/>
        <v>e-hydrogen (compressed) - Finance cost including feedstock finance cost - Africa - USD/ton fuel</v>
      </c>
      <c r="C239" t="s">
        <v>722</v>
      </c>
      <c r="D239" t="s">
        <v>1365</v>
      </c>
      <c r="E239" t="s">
        <v>838</v>
      </c>
      <c r="F239" t="s">
        <v>1353</v>
      </c>
      <c r="G239" s="487" t="str">
        <f t="shared" si="32"/>
        <v>e-hydrogen (compressed)AfricaFinance cost including feedstock finance cost</v>
      </c>
      <c r="H239" s="507">
        <v>423.4664833247287</v>
      </c>
      <c r="I239" s="507">
        <v>407.9080597487058</v>
      </c>
      <c r="J239" s="507">
        <v>391.93778538812398</v>
      </c>
      <c r="K239" s="507">
        <v>383.67894989578463</v>
      </c>
      <c r="L239" s="507">
        <v>374.65498754747659</v>
      </c>
      <c r="M239" s="507">
        <v>364.86589834320779</v>
      </c>
      <c r="N239" s="507">
        <v>354.31168228298088</v>
      </c>
      <c r="O239" s="507">
        <v>342.99233936678479</v>
      </c>
      <c r="P239" s="507">
        <v>350.20750340232428</v>
      </c>
      <c r="Q239" s="507">
        <v>355.6383130013013</v>
      </c>
      <c r="R239" s="507">
        <v>359.28476816371159</v>
      </c>
      <c r="S239" s="507">
        <v>361.14686888954691</v>
      </c>
      <c r="T239" s="507">
        <v>361.22461517882164</v>
      </c>
      <c r="U239" s="507">
        <v>358.40192634457429</v>
      </c>
      <c r="V239" s="507">
        <v>354.10652475046084</v>
      </c>
      <c r="W239" s="507">
        <v>348.33841039649622</v>
      </c>
      <c r="X239" s="507">
        <v>341.09758328266571</v>
      </c>
      <c r="Y239" s="507">
        <v>332.38404340896386</v>
      </c>
      <c r="Z239" s="507">
        <v>321.22576094613464</v>
      </c>
      <c r="AA239" s="507">
        <v>308.95623454830633</v>
      </c>
      <c r="AB239" s="507">
        <v>295.57546421549114</v>
      </c>
      <c r="AC239" s="507">
        <v>281.08344994768112</v>
      </c>
      <c r="AD239" s="507">
        <v>265.48019174487365</v>
      </c>
      <c r="AE239" s="507">
        <v>248.55741402200647</v>
      </c>
      <c r="AF239" s="507">
        <v>230.93955849750063</v>
      </c>
      <c r="AG239" s="507">
        <v>212.62662517135635</v>
      </c>
      <c r="AH239" s="507">
        <v>193.61861404357347</v>
      </c>
      <c r="AI239" s="507">
        <v>173.9155251141523</v>
      </c>
    </row>
    <row r="240" spans="2:35" outlineLevel="1">
      <c r="B240" t="str">
        <f t="shared" si="31"/>
        <v>e-hydrogen (compressed) - Finance cost including feedstock finance cost - Americas - USD/ton fuel</v>
      </c>
      <c r="C240" t="s">
        <v>722</v>
      </c>
      <c r="D240" t="s">
        <v>1365</v>
      </c>
      <c r="E240" t="s">
        <v>731</v>
      </c>
      <c r="F240" t="s">
        <v>1353</v>
      </c>
      <c r="G240" s="487" t="str">
        <f t="shared" si="32"/>
        <v>e-hydrogen (compressed)AmericasFinance cost including feedstock finance cost</v>
      </c>
      <c r="H240" s="507">
        <v>423.4664833247287</v>
      </c>
      <c r="I240" s="507">
        <v>407.9080597487058</v>
      </c>
      <c r="J240" s="507">
        <v>391.93778538812398</v>
      </c>
      <c r="K240" s="507">
        <v>383.67894989578463</v>
      </c>
      <c r="L240" s="507">
        <v>374.65498754747659</v>
      </c>
      <c r="M240" s="507">
        <v>364.86589834320779</v>
      </c>
      <c r="N240" s="507">
        <v>354.31168228298088</v>
      </c>
      <c r="O240" s="507">
        <v>342.99233936678479</v>
      </c>
      <c r="P240" s="507">
        <v>350.20750340232428</v>
      </c>
      <c r="Q240" s="507">
        <v>355.6383130013013</v>
      </c>
      <c r="R240" s="507">
        <v>359.28476816371159</v>
      </c>
      <c r="S240" s="507">
        <v>361.14686888954691</v>
      </c>
      <c r="T240" s="507">
        <v>361.22461517882164</v>
      </c>
      <c r="U240" s="507">
        <v>358.40192634457429</v>
      </c>
      <c r="V240" s="507">
        <v>354.10652475046084</v>
      </c>
      <c r="W240" s="507">
        <v>348.33841039649622</v>
      </c>
      <c r="X240" s="507">
        <v>341.09758328266571</v>
      </c>
      <c r="Y240" s="507">
        <v>332.38404340896386</v>
      </c>
      <c r="Z240" s="507">
        <v>321.22576094613464</v>
      </c>
      <c r="AA240" s="507">
        <v>308.95623454830633</v>
      </c>
      <c r="AB240" s="507">
        <v>295.57546421549114</v>
      </c>
      <c r="AC240" s="507">
        <v>281.08344994768112</v>
      </c>
      <c r="AD240" s="507">
        <v>265.48019174487365</v>
      </c>
      <c r="AE240" s="507">
        <v>248.55741402200647</v>
      </c>
      <c r="AF240" s="507">
        <v>230.93955849750063</v>
      </c>
      <c r="AG240" s="507">
        <v>212.62662517135635</v>
      </c>
      <c r="AH240" s="507">
        <v>193.61861404357347</v>
      </c>
      <c r="AI240" s="507">
        <v>173.9155251141523</v>
      </c>
    </row>
    <row r="241" spans="2:35" outlineLevel="1">
      <c r="B241" t="str">
        <f t="shared" si="31"/>
        <v>e-hydrogen (compressed) - Finance cost including feedstock finance cost - Asia - USD/ton fuel</v>
      </c>
      <c r="C241" t="s">
        <v>722</v>
      </c>
      <c r="D241" t="s">
        <v>1365</v>
      </c>
      <c r="E241" t="s">
        <v>750</v>
      </c>
      <c r="F241" t="s">
        <v>1353</v>
      </c>
      <c r="G241" s="487" t="str">
        <f t="shared" si="32"/>
        <v>e-hydrogen (compressed)AsiaFinance cost including feedstock finance cost</v>
      </c>
      <c r="H241" s="507">
        <v>423.4664833247287</v>
      </c>
      <c r="I241" s="507">
        <v>407.9080597487058</v>
      </c>
      <c r="J241" s="507">
        <v>391.93778538812398</v>
      </c>
      <c r="K241" s="507">
        <v>383.67894989578463</v>
      </c>
      <c r="L241" s="507">
        <v>374.65498754747659</v>
      </c>
      <c r="M241" s="507">
        <v>364.86589834320779</v>
      </c>
      <c r="N241" s="507">
        <v>354.31168228298088</v>
      </c>
      <c r="O241" s="507">
        <v>342.99233936678479</v>
      </c>
      <c r="P241" s="507">
        <v>350.20750340232428</v>
      </c>
      <c r="Q241" s="507">
        <v>355.6383130013013</v>
      </c>
      <c r="R241" s="507">
        <v>359.28476816371159</v>
      </c>
      <c r="S241" s="507">
        <v>361.14686888954691</v>
      </c>
      <c r="T241" s="507">
        <v>361.22461517882164</v>
      </c>
      <c r="U241" s="507">
        <v>358.40192634457429</v>
      </c>
      <c r="V241" s="507">
        <v>354.10652475046084</v>
      </c>
      <c r="W241" s="507">
        <v>348.33841039649622</v>
      </c>
      <c r="X241" s="507">
        <v>341.09758328266571</v>
      </c>
      <c r="Y241" s="507">
        <v>332.38404340896386</v>
      </c>
      <c r="Z241" s="507">
        <v>321.22576094613464</v>
      </c>
      <c r="AA241" s="507">
        <v>308.95623454830633</v>
      </c>
      <c r="AB241" s="507">
        <v>295.57546421549114</v>
      </c>
      <c r="AC241" s="507">
        <v>281.08344994768112</v>
      </c>
      <c r="AD241" s="507">
        <v>265.48019174487365</v>
      </c>
      <c r="AE241" s="507">
        <v>248.55741402200647</v>
      </c>
      <c r="AF241" s="507">
        <v>230.93955849750063</v>
      </c>
      <c r="AG241" s="507">
        <v>212.62662517135635</v>
      </c>
      <c r="AH241" s="507">
        <v>193.61861404357347</v>
      </c>
      <c r="AI241" s="507">
        <v>173.9155251141523</v>
      </c>
    </row>
    <row r="242" spans="2:35" outlineLevel="1">
      <c r="B242" t="str">
        <f t="shared" si="31"/>
        <v>e-hydrogen (compressed) - Finance cost including feedstock finance cost - Europe - USD/ton fuel</v>
      </c>
      <c r="C242" t="s">
        <v>722</v>
      </c>
      <c r="D242" t="s">
        <v>1365</v>
      </c>
      <c r="E242" t="s">
        <v>720</v>
      </c>
      <c r="F242" t="s">
        <v>1353</v>
      </c>
      <c r="G242" s="487" t="str">
        <f t="shared" si="32"/>
        <v>e-hydrogen (compressed)EuropeFinance cost including feedstock finance cost</v>
      </c>
      <c r="H242" s="507">
        <v>423.4664833247287</v>
      </c>
      <c r="I242" s="507">
        <v>407.9080597487058</v>
      </c>
      <c r="J242" s="507">
        <v>391.93778538812398</v>
      </c>
      <c r="K242" s="507">
        <v>383.67894989578463</v>
      </c>
      <c r="L242" s="507">
        <v>374.65498754747659</v>
      </c>
      <c r="M242" s="507">
        <v>364.86589834320779</v>
      </c>
      <c r="N242" s="507">
        <v>354.31168228298088</v>
      </c>
      <c r="O242" s="507">
        <v>342.99233936678479</v>
      </c>
      <c r="P242" s="507">
        <v>350.20750340232428</v>
      </c>
      <c r="Q242" s="507">
        <v>355.6383130013013</v>
      </c>
      <c r="R242" s="507">
        <v>359.28476816371159</v>
      </c>
      <c r="S242" s="507">
        <v>361.14686888954691</v>
      </c>
      <c r="T242" s="507">
        <v>361.22461517882164</v>
      </c>
      <c r="U242" s="507">
        <v>358.40192634457429</v>
      </c>
      <c r="V242" s="507">
        <v>354.10652475046084</v>
      </c>
      <c r="W242" s="507">
        <v>348.33841039649622</v>
      </c>
      <c r="X242" s="507">
        <v>341.09758328266571</v>
      </c>
      <c r="Y242" s="507">
        <v>332.38404340896386</v>
      </c>
      <c r="Z242" s="507">
        <v>321.22576094613464</v>
      </c>
      <c r="AA242" s="507">
        <v>308.95623454830633</v>
      </c>
      <c r="AB242" s="507">
        <v>295.57546421549114</v>
      </c>
      <c r="AC242" s="507">
        <v>281.08344994768112</v>
      </c>
      <c r="AD242" s="507">
        <v>265.48019174487365</v>
      </c>
      <c r="AE242" s="507">
        <v>248.55741402200647</v>
      </c>
      <c r="AF242" s="507">
        <v>230.93955849750063</v>
      </c>
      <c r="AG242" s="507">
        <v>212.62662517135635</v>
      </c>
      <c r="AH242" s="507">
        <v>193.61861404357347</v>
      </c>
      <c r="AI242" s="507">
        <v>173.9155251141523</v>
      </c>
    </row>
    <row r="243" spans="2:35" outlineLevel="1">
      <c r="B243" t="str">
        <f t="shared" si="31"/>
        <v>e-hydrogen (compressed) - Finance cost including feedstock finance cost - Middle East - USD/ton fuel</v>
      </c>
      <c r="C243" t="s">
        <v>722</v>
      </c>
      <c r="D243" t="s">
        <v>1365</v>
      </c>
      <c r="E243" t="s">
        <v>826</v>
      </c>
      <c r="F243" t="s">
        <v>1353</v>
      </c>
      <c r="G243" s="487" t="str">
        <f t="shared" si="32"/>
        <v>e-hydrogen (compressed)Middle EastFinance cost including feedstock finance cost</v>
      </c>
      <c r="H243" s="507">
        <v>423.4664833247287</v>
      </c>
      <c r="I243" s="507">
        <v>407.9080597487058</v>
      </c>
      <c r="J243" s="507">
        <v>391.93778538812398</v>
      </c>
      <c r="K243" s="507">
        <v>383.67894989578463</v>
      </c>
      <c r="L243" s="507">
        <v>374.65498754747659</v>
      </c>
      <c r="M243" s="507">
        <v>364.86589834320779</v>
      </c>
      <c r="N243" s="507">
        <v>354.31168228298088</v>
      </c>
      <c r="O243" s="507">
        <v>342.99233936678479</v>
      </c>
      <c r="P243" s="507">
        <v>350.20750340232428</v>
      </c>
      <c r="Q243" s="507">
        <v>355.6383130013013</v>
      </c>
      <c r="R243" s="507">
        <v>359.28476816371159</v>
      </c>
      <c r="S243" s="507">
        <v>361.14686888954691</v>
      </c>
      <c r="T243" s="507">
        <v>361.22461517882164</v>
      </c>
      <c r="U243" s="507">
        <v>358.40192634457429</v>
      </c>
      <c r="V243" s="507">
        <v>354.10652475046084</v>
      </c>
      <c r="W243" s="507">
        <v>348.33841039649622</v>
      </c>
      <c r="X243" s="507">
        <v>341.09758328266571</v>
      </c>
      <c r="Y243" s="507">
        <v>332.38404340896386</v>
      </c>
      <c r="Z243" s="507">
        <v>321.22576094613464</v>
      </c>
      <c r="AA243" s="507">
        <v>308.95623454830633</v>
      </c>
      <c r="AB243" s="507">
        <v>295.57546421549114</v>
      </c>
      <c r="AC243" s="507">
        <v>281.08344994768112</v>
      </c>
      <c r="AD243" s="507">
        <v>265.48019174487365</v>
      </c>
      <c r="AE243" s="507">
        <v>248.55741402200647</v>
      </c>
      <c r="AF243" s="507">
        <v>230.93955849750063</v>
      </c>
      <c r="AG243" s="507">
        <v>212.62662517135635</v>
      </c>
      <c r="AH243" s="507">
        <v>193.61861404357347</v>
      </c>
      <c r="AI243" s="507">
        <v>173.9155251141523</v>
      </c>
    </row>
    <row r="244" spans="2:35" outlineLevel="1">
      <c r="B244" t="str">
        <f t="shared" si="31"/>
        <v>Nitrogen - Finance cost - Africa - USD/ton fuel</v>
      </c>
      <c r="C244" t="s">
        <v>1374</v>
      </c>
      <c r="D244" t="s">
        <v>1366</v>
      </c>
      <c r="E244" t="s">
        <v>838</v>
      </c>
      <c r="F244" t="s">
        <v>1353</v>
      </c>
      <c r="G244" s="487" t="str">
        <f t="shared" si="32"/>
        <v>NitrogenAfricaFinance cost</v>
      </c>
      <c r="H244" s="493">
        <v>21.230000000000004</v>
      </c>
      <c r="I244" s="493">
        <v>19.140000000000004</v>
      </c>
      <c r="J244" s="493">
        <v>17.05</v>
      </c>
      <c r="K244" s="493">
        <v>14.850000000000001</v>
      </c>
      <c r="L244" s="493">
        <v>12.650000000000002</v>
      </c>
      <c r="M244" s="493">
        <v>10.450000000000001</v>
      </c>
      <c r="N244" s="493">
        <v>8.2500000000000018</v>
      </c>
      <c r="O244" s="493">
        <v>6.0500000000000007</v>
      </c>
      <c r="P244" s="493">
        <v>5.9675000000000011</v>
      </c>
      <c r="Q244" s="493">
        <v>5.8850000000000007</v>
      </c>
      <c r="R244" s="493">
        <v>5.8025000000000011</v>
      </c>
      <c r="S244" s="493">
        <v>5.7200000000000006</v>
      </c>
      <c r="T244" s="493">
        <v>5.6375000000000011</v>
      </c>
      <c r="U244" s="493">
        <v>5.5550000000000006</v>
      </c>
      <c r="V244" s="493">
        <v>5.472500000000001</v>
      </c>
      <c r="W244" s="493">
        <v>5.3900000000000006</v>
      </c>
      <c r="X244" s="493">
        <v>5.307500000000001</v>
      </c>
      <c r="Y244" s="493">
        <v>5.2250000000000005</v>
      </c>
      <c r="Z244" s="493">
        <v>5.142500000000001</v>
      </c>
      <c r="AA244" s="493">
        <v>5.0600000000000005</v>
      </c>
      <c r="AB244" s="493">
        <v>4.9775000000000009</v>
      </c>
      <c r="AC244" s="493">
        <v>4.8950000000000005</v>
      </c>
      <c r="AD244" s="493">
        <v>4.8125000000000009</v>
      </c>
      <c r="AE244" s="493">
        <v>4.7300000000000004</v>
      </c>
      <c r="AF244" s="493">
        <v>4.6475000000000009</v>
      </c>
      <c r="AG244" s="493">
        <v>4.5650000000000004</v>
      </c>
      <c r="AH244" s="493">
        <v>4.4825000000000008</v>
      </c>
      <c r="AI244" s="493">
        <v>4.4000000000000004</v>
      </c>
    </row>
    <row r="245" spans="2:35" outlineLevel="1">
      <c r="B245" t="str">
        <f t="shared" si="31"/>
        <v>Nitrogen - Finance cost - Americas - USD/ton fuel</v>
      </c>
      <c r="C245" t="s">
        <v>1374</v>
      </c>
      <c r="D245" t="s">
        <v>1366</v>
      </c>
      <c r="E245" t="s">
        <v>731</v>
      </c>
      <c r="F245" t="s">
        <v>1353</v>
      </c>
      <c r="G245" s="487" t="str">
        <f t="shared" si="32"/>
        <v>NitrogenAmericasFinance cost</v>
      </c>
      <c r="H245" s="493">
        <v>21.230000000000004</v>
      </c>
      <c r="I245" s="493">
        <v>19.140000000000004</v>
      </c>
      <c r="J245" s="493">
        <v>17.05</v>
      </c>
      <c r="K245" s="493">
        <v>14.850000000000001</v>
      </c>
      <c r="L245" s="493">
        <v>12.650000000000002</v>
      </c>
      <c r="M245" s="493">
        <v>10.450000000000001</v>
      </c>
      <c r="N245" s="493">
        <v>8.2500000000000018</v>
      </c>
      <c r="O245" s="493">
        <v>6.0500000000000007</v>
      </c>
      <c r="P245" s="493">
        <v>5.9675000000000011</v>
      </c>
      <c r="Q245" s="493">
        <v>5.8850000000000007</v>
      </c>
      <c r="R245" s="493">
        <v>5.8025000000000011</v>
      </c>
      <c r="S245" s="493">
        <v>5.7200000000000006</v>
      </c>
      <c r="T245" s="493">
        <v>5.6375000000000011</v>
      </c>
      <c r="U245" s="493">
        <v>5.5550000000000006</v>
      </c>
      <c r="V245" s="493">
        <v>5.472500000000001</v>
      </c>
      <c r="W245" s="493">
        <v>5.3900000000000006</v>
      </c>
      <c r="X245" s="493">
        <v>5.307500000000001</v>
      </c>
      <c r="Y245" s="493">
        <v>5.2250000000000005</v>
      </c>
      <c r="Z245" s="493">
        <v>5.142500000000001</v>
      </c>
      <c r="AA245" s="493">
        <v>5.0600000000000005</v>
      </c>
      <c r="AB245" s="493">
        <v>4.9775000000000009</v>
      </c>
      <c r="AC245" s="493">
        <v>4.8950000000000005</v>
      </c>
      <c r="AD245" s="493">
        <v>4.8125000000000009</v>
      </c>
      <c r="AE245" s="493">
        <v>4.7300000000000004</v>
      </c>
      <c r="AF245" s="493">
        <v>4.6475000000000009</v>
      </c>
      <c r="AG245" s="493">
        <v>4.5650000000000004</v>
      </c>
      <c r="AH245" s="493">
        <v>4.4825000000000008</v>
      </c>
      <c r="AI245" s="493">
        <v>4.4000000000000004</v>
      </c>
    </row>
    <row r="246" spans="2:35" outlineLevel="1">
      <c r="B246" t="str">
        <f t="shared" si="31"/>
        <v>Nitrogen - Finance cost - Asia - USD/ton fuel</v>
      </c>
      <c r="C246" t="s">
        <v>1374</v>
      </c>
      <c r="D246" t="s">
        <v>1366</v>
      </c>
      <c r="E246" t="s">
        <v>750</v>
      </c>
      <c r="F246" t="s">
        <v>1353</v>
      </c>
      <c r="G246" s="487" t="str">
        <f t="shared" si="32"/>
        <v>NitrogenAsiaFinance cost</v>
      </c>
      <c r="H246" s="493">
        <v>21.230000000000004</v>
      </c>
      <c r="I246" s="493">
        <v>19.140000000000004</v>
      </c>
      <c r="J246" s="493">
        <v>17.05</v>
      </c>
      <c r="K246" s="493">
        <v>14.850000000000001</v>
      </c>
      <c r="L246" s="493">
        <v>12.650000000000002</v>
      </c>
      <c r="M246" s="493">
        <v>10.450000000000001</v>
      </c>
      <c r="N246" s="493">
        <v>8.2500000000000018</v>
      </c>
      <c r="O246" s="493">
        <v>6.0500000000000007</v>
      </c>
      <c r="P246" s="493">
        <v>5.9675000000000011</v>
      </c>
      <c r="Q246" s="493">
        <v>5.8850000000000007</v>
      </c>
      <c r="R246" s="493">
        <v>5.8025000000000011</v>
      </c>
      <c r="S246" s="493">
        <v>5.7200000000000006</v>
      </c>
      <c r="T246" s="493">
        <v>5.6375000000000011</v>
      </c>
      <c r="U246" s="493">
        <v>5.5550000000000006</v>
      </c>
      <c r="V246" s="493">
        <v>5.472500000000001</v>
      </c>
      <c r="W246" s="493">
        <v>5.3900000000000006</v>
      </c>
      <c r="X246" s="493">
        <v>5.307500000000001</v>
      </c>
      <c r="Y246" s="493">
        <v>5.2250000000000005</v>
      </c>
      <c r="Z246" s="493">
        <v>5.142500000000001</v>
      </c>
      <c r="AA246" s="493">
        <v>5.0600000000000005</v>
      </c>
      <c r="AB246" s="493">
        <v>4.9775000000000009</v>
      </c>
      <c r="AC246" s="493">
        <v>4.8950000000000005</v>
      </c>
      <c r="AD246" s="493">
        <v>4.8125000000000009</v>
      </c>
      <c r="AE246" s="493">
        <v>4.7300000000000004</v>
      </c>
      <c r="AF246" s="493">
        <v>4.6475000000000009</v>
      </c>
      <c r="AG246" s="493">
        <v>4.5650000000000004</v>
      </c>
      <c r="AH246" s="493">
        <v>4.4825000000000008</v>
      </c>
      <c r="AI246" s="493">
        <v>4.4000000000000004</v>
      </c>
    </row>
    <row r="247" spans="2:35" outlineLevel="1">
      <c r="B247" t="str">
        <f t="shared" si="31"/>
        <v>Nitrogen - Finance cost - Europe - USD/ton fuel</v>
      </c>
      <c r="C247" t="s">
        <v>1374</v>
      </c>
      <c r="D247" t="s">
        <v>1366</v>
      </c>
      <c r="E247" t="s">
        <v>720</v>
      </c>
      <c r="F247" t="s">
        <v>1353</v>
      </c>
      <c r="G247" s="487" t="str">
        <f t="shared" si="32"/>
        <v>NitrogenEuropeFinance cost</v>
      </c>
      <c r="H247" s="493">
        <v>21.230000000000004</v>
      </c>
      <c r="I247" s="493">
        <v>19.140000000000004</v>
      </c>
      <c r="J247" s="493">
        <v>17.05</v>
      </c>
      <c r="K247" s="493">
        <v>14.850000000000001</v>
      </c>
      <c r="L247" s="493">
        <v>12.650000000000002</v>
      </c>
      <c r="M247" s="493">
        <v>10.450000000000001</v>
      </c>
      <c r="N247" s="493">
        <v>8.2500000000000018</v>
      </c>
      <c r="O247" s="493">
        <v>6.0500000000000007</v>
      </c>
      <c r="P247" s="493">
        <v>5.9675000000000011</v>
      </c>
      <c r="Q247" s="493">
        <v>5.8850000000000007</v>
      </c>
      <c r="R247" s="493">
        <v>5.8025000000000011</v>
      </c>
      <c r="S247" s="493">
        <v>5.7200000000000006</v>
      </c>
      <c r="T247" s="493">
        <v>5.6375000000000011</v>
      </c>
      <c r="U247" s="493">
        <v>5.5550000000000006</v>
      </c>
      <c r="V247" s="493">
        <v>5.472500000000001</v>
      </c>
      <c r="W247" s="493">
        <v>5.3900000000000006</v>
      </c>
      <c r="X247" s="493">
        <v>5.307500000000001</v>
      </c>
      <c r="Y247" s="493">
        <v>5.2250000000000005</v>
      </c>
      <c r="Z247" s="493">
        <v>5.142500000000001</v>
      </c>
      <c r="AA247" s="493">
        <v>5.0600000000000005</v>
      </c>
      <c r="AB247" s="493">
        <v>4.9775000000000009</v>
      </c>
      <c r="AC247" s="493">
        <v>4.8950000000000005</v>
      </c>
      <c r="AD247" s="493">
        <v>4.8125000000000009</v>
      </c>
      <c r="AE247" s="493">
        <v>4.7300000000000004</v>
      </c>
      <c r="AF247" s="493">
        <v>4.6475000000000009</v>
      </c>
      <c r="AG247" s="493">
        <v>4.5650000000000004</v>
      </c>
      <c r="AH247" s="493">
        <v>4.4825000000000008</v>
      </c>
      <c r="AI247" s="493">
        <v>4.4000000000000004</v>
      </c>
    </row>
    <row r="248" spans="2:35" outlineLevel="1">
      <c r="B248" t="str">
        <f t="shared" si="31"/>
        <v>Nitrogen - Finance cost - Middle East - USD/ton fuel</v>
      </c>
      <c r="C248" t="s">
        <v>1374</v>
      </c>
      <c r="D248" t="s">
        <v>1366</v>
      </c>
      <c r="E248" t="s">
        <v>826</v>
      </c>
      <c r="F248" t="s">
        <v>1353</v>
      </c>
      <c r="G248" s="487" t="str">
        <f t="shared" si="32"/>
        <v>NitrogenMiddle EastFinance cost</v>
      </c>
      <c r="H248" s="493">
        <v>21.230000000000004</v>
      </c>
      <c r="I248" s="493">
        <v>19.140000000000004</v>
      </c>
      <c r="J248" s="493">
        <v>17.05</v>
      </c>
      <c r="K248" s="493">
        <v>14.850000000000001</v>
      </c>
      <c r="L248" s="493">
        <v>12.650000000000002</v>
      </c>
      <c r="M248" s="493">
        <v>10.450000000000001</v>
      </c>
      <c r="N248" s="493">
        <v>8.2500000000000018</v>
      </c>
      <c r="O248" s="493">
        <v>6.0500000000000007</v>
      </c>
      <c r="P248" s="493">
        <v>5.9675000000000011</v>
      </c>
      <c r="Q248" s="493">
        <v>5.8850000000000007</v>
      </c>
      <c r="R248" s="493">
        <v>5.8025000000000011</v>
      </c>
      <c r="S248" s="493">
        <v>5.7200000000000006</v>
      </c>
      <c r="T248" s="493">
        <v>5.6375000000000011</v>
      </c>
      <c r="U248" s="493">
        <v>5.5550000000000006</v>
      </c>
      <c r="V248" s="493">
        <v>5.472500000000001</v>
      </c>
      <c r="W248" s="493">
        <v>5.3900000000000006</v>
      </c>
      <c r="X248" s="493">
        <v>5.307500000000001</v>
      </c>
      <c r="Y248" s="493">
        <v>5.2250000000000005</v>
      </c>
      <c r="Z248" s="493">
        <v>5.142500000000001</v>
      </c>
      <c r="AA248" s="493">
        <v>5.0600000000000005</v>
      </c>
      <c r="AB248" s="493">
        <v>4.9775000000000009</v>
      </c>
      <c r="AC248" s="493">
        <v>4.8950000000000005</v>
      </c>
      <c r="AD248" s="493">
        <v>4.8125000000000009</v>
      </c>
      <c r="AE248" s="493">
        <v>4.7300000000000004</v>
      </c>
      <c r="AF248" s="493">
        <v>4.6475000000000009</v>
      </c>
      <c r="AG248" s="493">
        <v>4.5650000000000004</v>
      </c>
      <c r="AH248" s="493">
        <v>4.4825000000000008</v>
      </c>
      <c r="AI248" s="493">
        <v>4.4000000000000004</v>
      </c>
    </row>
    <row r="249" spans="2:35" outlineLevel="1">
      <c r="B249" t="str">
        <f t="shared" si="31"/>
        <v>e-ammonia - Conversion H2 -&gt; NH3 - Global - ton H2/ton NH3</v>
      </c>
      <c r="C249" t="str">
        <f>C208</f>
        <v>e-ammonia</v>
      </c>
      <c r="D249" t="s">
        <v>1375</v>
      </c>
      <c r="E249" t="s">
        <v>708</v>
      </c>
      <c r="F249" t="s">
        <v>1376</v>
      </c>
      <c r="G249" s="487" t="str">
        <f t="shared" si="32"/>
        <v>e-ammoniaGlobalConversion H2 -&gt; NH3</v>
      </c>
      <c r="H249" s="508">
        <v>0.18</v>
      </c>
      <c r="I249" s="508">
        <v>0.18</v>
      </c>
      <c r="J249" s="508">
        <v>0.18</v>
      </c>
      <c r="K249" s="508">
        <v>0.18</v>
      </c>
      <c r="L249" s="508">
        <v>0.18</v>
      </c>
      <c r="M249" s="508">
        <v>0.18</v>
      </c>
      <c r="N249" s="508">
        <v>0.18</v>
      </c>
      <c r="O249" s="508">
        <v>0.18</v>
      </c>
      <c r="P249" s="508">
        <v>0.18</v>
      </c>
      <c r="Q249" s="508">
        <v>0.18</v>
      </c>
      <c r="R249" s="508">
        <v>0.18</v>
      </c>
      <c r="S249" s="508">
        <v>0.18</v>
      </c>
      <c r="T249" s="508">
        <v>0.18</v>
      </c>
      <c r="U249" s="508">
        <v>0.18</v>
      </c>
      <c r="V249" s="508">
        <v>0.18</v>
      </c>
      <c r="W249" s="508">
        <v>0.18</v>
      </c>
      <c r="X249" s="508">
        <v>0.18</v>
      </c>
      <c r="Y249" s="508">
        <v>0.18</v>
      </c>
      <c r="Z249" s="508">
        <v>0.18</v>
      </c>
      <c r="AA249" s="508">
        <v>0.18</v>
      </c>
      <c r="AB249" s="508">
        <v>0.18</v>
      </c>
      <c r="AC249" s="508">
        <v>0.18</v>
      </c>
      <c r="AD249" s="508">
        <v>0.18</v>
      </c>
      <c r="AE249" s="508">
        <v>0.18</v>
      </c>
      <c r="AF249" s="508">
        <v>0.18</v>
      </c>
      <c r="AG249" s="508">
        <v>0.18</v>
      </c>
      <c r="AH249" s="508">
        <v>0.18</v>
      </c>
      <c r="AI249" s="508">
        <v>0.18</v>
      </c>
    </row>
    <row r="250" spans="2:35" outlineLevel="1">
      <c r="B250" t="str">
        <f t="shared" si="31"/>
        <v>e-ammonia - Conversion N2 -&gt; NH3 - Global - ton N2/ton NH3</v>
      </c>
      <c r="C250" t="str">
        <f>C208</f>
        <v>e-ammonia</v>
      </c>
      <c r="D250" t="s">
        <v>1377</v>
      </c>
      <c r="E250" t="s">
        <v>708</v>
      </c>
      <c r="F250" t="s">
        <v>1378</v>
      </c>
      <c r="G250" s="487" t="str">
        <f t="shared" si="32"/>
        <v>e-ammoniaGlobalConversion N2 -&gt; NH3</v>
      </c>
      <c r="H250" s="508">
        <v>0.82199999999999995</v>
      </c>
      <c r="I250" s="508">
        <v>0.82199999999999995</v>
      </c>
      <c r="J250" s="508">
        <v>0.82199999999999995</v>
      </c>
      <c r="K250" s="508">
        <v>0.82199999999999995</v>
      </c>
      <c r="L250" s="508">
        <v>0.82199999999999995</v>
      </c>
      <c r="M250" s="508">
        <v>0.82199999999999995</v>
      </c>
      <c r="N250" s="508">
        <v>0.82199999999999995</v>
      </c>
      <c r="O250" s="508">
        <v>0.82199999999999995</v>
      </c>
      <c r="P250" s="508">
        <v>0.82199999999999995</v>
      </c>
      <c r="Q250" s="508">
        <v>0.82199999999999995</v>
      </c>
      <c r="R250" s="508">
        <v>0.82199999999999995</v>
      </c>
      <c r="S250" s="508">
        <v>0.82199999999999995</v>
      </c>
      <c r="T250" s="508">
        <v>0.82199999999999995</v>
      </c>
      <c r="U250" s="508">
        <v>0.82199999999999995</v>
      </c>
      <c r="V250" s="508">
        <v>0.82199999999999995</v>
      </c>
      <c r="W250" s="508">
        <v>0.82199999999999995</v>
      </c>
      <c r="X250" s="508">
        <v>0.82199999999999995</v>
      </c>
      <c r="Y250" s="508">
        <v>0.82199999999999995</v>
      </c>
      <c r="Z250" s="508">
        <v>0.82199999999999995</v>
      </c>
      <c r="AA250" s="508">
        <v>0.82199999999999995</v>
      </c>
      <c r="AB250" s="508">
        <v>0.82199999999999995</v>
      </c>
      <c r="AC250" s="508">
        <v>0.82199999999999995</v>
      </c>
      <c r="AD250" s="508">
        <v>0.82199999999999995</v>
      </c>
      <c r="AE250" s="508">
        <v>0.82199999999999995</v>
      </c>
      <c r="AF250" s="508">
        <v>0.82199999999999995</v>
      </c>
      <c r="AG250" s="508">
        <v>0.82199999999999995</v>
      </c>
      <c r="AH250" s="508">
        <v>0.82199999999999995</v>
      </c>
      <c r="AI250" s="508">
        <v>0.82199999999999995</v>
      </c>
    </row>
    <row r="251" spans="2:35" ht="14.25" customHeight="1" outlineLevel="1">
      <c r="B251" t="str">
        <f t="shared" si="31"/>
        <v/>
      </c>
      <c r="G251" s="487" t="str">
        <f t="shared" si="32"/>
        <v/>
      </c>
      <c r="H251" s="498"/>
    </row>
    <row r="252" spans="2:35" ht="15" outlineLevel="1">
      <c r="B252" t="str">
        <f t="shared" si="31"/>
        <v>e-ammonia - Energy cost including feedstock energy cost - Africa - USD/ton fuel</v>
      </c>
      <c r="C252" s="494" t="str">
        <f>C208</f>
        <v>e-ammonia</v>
      </c>
      <c r="D252" s="494" t="s">
        <v>1367</v>
      </c>
      <c r="E252" s="494" t="s">
        <v>838</v>
      </c>
      <c r="F252" s="494" t="s">
        <v>1353</v>
      </c>
      <c r="G252" s="487" t="str">
        <f t="shared" si="32"/>
        <v>e-ammoniaAfricaEnergy cost including feedstock energy cost</v>
      </c>
      <c r="H252" s="495">
        <v>594.11337178153758</v>
      </c>
      <c r="I252" s="495">
        <v>523.77678879531607</v>
      </c>
      <c r="J252" s="495">
        <v>453.50690194202548</v>
      </c>
      <c r="K252" s="495">
        <v>433.13664616284399</v>
      </c>
      <c r="L252" s="495">
        <v>412.72112824653283</v>
      </c>
      <c r="M252" s="495">
        <v>392.2788498246266</v>
      </c>
      <c r="N252" s="495">
        <v>371.82831252866794</v>
      </c>
      <c r="O252" s="495">
        <v>351.38801799019518</v>
      </c>
      <c r="P252" s="495">
        <v>338.59085000918941</v>
      </c>
      <c r="Q252" s="495">
        <v>325.82396410841432</v>
      </c>
      <c r="R252" s="495">
        <v>313.097325742431</v>
      </c>
      <c r="S252" s="495">
        <v>300.42090036581573</v>
      </c>
      <c r="T252" s="495">
        <v>287.80465343314512</v>
      </c>
      <c r="U252" s="495">
        <v>280.66808909284475</v>
      </c>
      <c r="V252" s="495">
        <v>273.54774627880636</v>
      </c>
      <c r="W252" s="495">
        <v>266.44687675672753</v>
      </c>
      <c r="X252" s="495">
        <v>259.36873229228661</v>
      </c>
      <c r="Y252" s="495">
        <v>252.31656465117922</v>
      </c>
      <c r="Z252" s="495">
        <v>244.54131849003801</v>
      </c>
      <c r="AA252" s="495">
        <v>236.91400263865575</v>
      </c>
      <c r="AB252" s="495">
        <v>229.43271555211129</v>
      </c>
      <c r="AC252" s="495">
        <v>222.09555568547867</v>
      </c>
      <c r="AD252" s="495">
        <v>214.90062149383391</v>
      </c>
      <c r="AE252" s="495">
        <v>210.50790116131566</v>
      </c>
      <c r="AF252" s="495">
        <v>206.1986548371313</v>
      </c>
      <c r="AG252" s="495">
        <v>201.97168426986667</v>
      </c>
      <c r="AH252" s="495">
        <v>197.82579120811192</v>
      </c>
      <c r="AI252" s="495">
        <v>193.75977740045732</v>
      </c>
    </row>
    <row r="253" spans="2:35" ht="15" outlineLevel="1">
      <c r="B253" t="str">
        <f t="shared" si="31"/>
        <v>e-ammonia - Energy cost including feedstock energy cost - Americas - USD/ton fuel</v>
      </c>
      <c r="C253" s="22" t="str">
        <f>C208</f>
        <v>e-ammonia</v>
      </c>
      <c r="D253" s="22" t="s">
        <v>1367</v>
      </c>
      <c r="E253" s="22" t="s">
        <v>731</v>
      </c>
      <c r="F253" s="22" t="s">
        <v>1353</v>
      </c>
      <c r="G253" s="487" t="str">
        <f t="shared" si="32"/>
        <v>e-ammoniaAmericasEnergy cost including feedstock energy cost</v>
      </c>
      <c r="H253" s="496">
        <v>373.29027194816518</v>
      </c>
      <c r="I253" s="496">
        <v>365.16121999722145</v>
      </c>
      <c r="J253" s="496">
        <v>356.98173407757014</v>
      </c>
      <c r="K253" s="496">
        <v>343.17819778732883</v>
      </c>
      <c r="L253" s="496">
        <v>329.32763570748824</v>
      </c>
      <c r="M253" s="496">
        <v>315.44247924123715</v>
      </c>
      <c r="N253" s="496">
        <v>301.53515979177922</v>
      </c>
      <c r="O253" s="496">
        <v>287.61810876229009</v>
      </c>
      <c r="P253" s="496">
        <v>279.68165112532284</v>
      </c>
      <c r="Q253" s="496">
        <v>271.73657164920559</v>
      </c>
      <c r="R253" s="496">
        <v>263.78864283070135</v>
      </c>
      <c r="S253" s="496">
        <v>255.84363716657398</v>
      </c>
      <c r="T253" s="496">
        <v>247.90732715359761</v>
      </c>
      <c r="U253" s="496">
        <v>241.1043790956891</v>
      </c>
      <c r="V253" s="496">
        <v>234.32637168870977</v>
      </c>
      <c r="W253" s="496">
        <v>227.57654890073215</v>
      </c>
      <c r="X253" s="496">
        <v>220.85815469981267</v>
      </c>
      <c r="Y253" s="496">
        <v>214.17443305401807</v>
      </c>
      <c r="Z253" s="496">
        <v>209.73584968606545</v>
      </c>
      <c r="AA253" s="496">
        <v>205.37041787436254</v>
      </c>
      <c r="AB253" s="496">
        <v>201.07739439577438</v>
      </c>
      <c r="AC253" s="496">
        <v>196.85603602715477</v>
      </c>
      <c r="AD253" s="496">
        <v>192.70559954536722</v>
      </c>
      <c r="AE253" s="496">
        <v>189.41267721878469</v>
      </c>
      <c r="AF253" s="496">
        <v>186.18141950899934</v>
      </c>
      <c r="AG253" s="496">
        <v>183.01110655138717</v>
      </c>
      <c r="AH253" s="496">
        <v>179.90101848132596</v>
      </c>
      <c r="AI253" s="496">
        <v>176.85043543419334</v>
      </c>
    </row>
    <row r="254" spans="2:35" ht="15" outlineLevel="1">
      <c r="B254" t="str">
        <f t="shared" si="31"/>
        <v>e-ammonia - Energy cost including feedstock energy cost - Asia - USD/ton fuel</v>
      </c>
      <c r="C254" s="22" t="str">
        <f>C208</f>
        <v>e-ammonia</v>
      </c>
      <c r="D254" s="22" t="s">
        <v>1367</v>
      </c>
      <c r="E254" s="22" t="s">
        <v>750</v>
      </c>
      <c r="F254" s="22" t="s">
        <v>1353</v>
      </c>
      <c r="G254" s="487" t="str">
        <f t="shared" si="32"/>
        <v>e-ammoniaAsiaEnergy cost including feedstock energy cost</v>
      </c>
      <c r="H254" s="496">
        <v>660.77756465321932</v>
      </c>
      <c r="I254" s="496">
        <v>602.05482909227442</v>
      </c>
      <c r="J254" s="496">
        <v>543.35632954547953</v>
      </c>
      <c r="K254" s="496">
        <v>521.41243883744858</v>
      </c>
      <c r="L254" s="496">
        <v>499.4017408733655</v>
      </c>
      <c r="M254" s="496">
        <v>477.3440497046596</v>
      </c>
      <c r="N254" s="496">
        <v>455.2591793828027</v>
      </c>
      <c r="O254" s="496">
        <v>433.16694395924463</v>
      </c>
      <c r="P254" s="496">
        <v>416.63525848578723</v>
      </c>
      <c r="Q254" s="496">
        <v>400.15085586718607</v>
      </c>
      <c r="R254" s="496">
        <v>383.72673121091276</v>
      </c>
      <c r="S254" s="496">
        <v>367.37587962443132</v>
      </c>
      <c r="T254" s="496">
        <v>351.1112962152356</v>
      </c>
      <c r="U254" s="496">
        <v>341.49711524202854</v>
      </c>
      <c r="V254" s="496">
        <v>331.91790916424821</v>
      </c>
      <c r="W254" s="496">
        <v>322.37825833762668</v>
      </c>
      <c r="X254" s="496">
        <v>312.88274311786154</v>
      </c>
      <c r="Y254" s="496">
        <v>303.43594386068133</v>
      </c>
      <c r="Z254" s="496">
        <v>292.994080158256</v>
      </c>
      <c r="AA254" s="496">
        <v>282.75658527961684</v>
      </c>
      <c r="AB254" s="496">
        <v>272.72073267902442</v>
      </c>
      <c r="AC254" s="496">
        <v>262.88379581073406</v>
      </c>
      <c r="AD254" s="496">
        <v>253.24304812900445</v>
      </c>
      <c r="AE254" s="496">
        <v>247.71453763716326</v>
      </c>
      <c r="AF254" s="496">
        <v>242.29158025548602</v>
      </c>
      <c r="AG254" s="496">
        <v>236.97257071654647</v>
      </c>
      <c r="AH254" s="496">
        <v>231.75590375291705</v>
      </c>
      <c r="AI254" s="496">
        <v>226.63997409717024</v>
      </c>
    </row>
    <row r="255" spans="2:35" ht="15" outlineLevel="1">
      <c r="B255" t="str">
        <f t="shared" si="31"/>
        <v>e-ammonia - Energy cost including feedstock energy cost - Europe - USD/ton fuel</v>
      </c>
      <c r="C255" s="22" t="str">
        <f>C208</f>
        <v>e-ammonia</v>
      </c>
      <c r="D255" s="22" t="s">
        <v>1367</v>
      </c>
      <c r="E255" s="22" t="s">
        <v>720</v>
      </c>
      <c r="F255" s="22" t="s">
        <v>1353</v>
      </c>
      <c r="G255" s="487" t="str">
        <f t="shared" si="32"/>
        <v>e-ammoniaEuropeEnergy cost including feedstock energy cost</v>
      </c>
      <c r="H255" s="496">
        <v>491.91310450401971</v>
      </c>
      <c r="I255" s="496">
        <v>470.19843145164197</v>
      </c>
      <c r="J255" s="496">
        <v>448.44546845765387</v>
      </c>
      <c r="K255" s="496">
        <v>430.39312028692677</v>
      </c>
      <c r="L255" s="496">
        <v>412.2853356389075</v>
      </c>
      <c r="M255" s="496">
        <v>394.13841164189614</v>
      </c>
      <c r="N255" s="496">
        <v>375.96864542418712</v>
      </c>
      <c r="O255" s="496">
        <v>357.79233411407489</v>
      </c>
      <c r="P255" s="496">
        <v>348.60815722315101</v>
      </c>
      <c r="Q255" s="496">
        <v>339.40419103435221</v>
      </c>
      <c r="R255" s="496">
        <v>330.18696953300537</v>
      </c>
      <c r="S255" s="496">
        <v>320.96302670444931</v>
      </c>
      <c r="T255" s="496">
        <v>311.73889653403717</v>
      </c>
      <c r="U255" s="496">
        <v>305.21922047151025</v>
      </c>
      <c r="V255" s="496">
        <v>298.69686906571405</v>
      </c>
      <c r="W255" s="496">
        <v>292.17454678906176</v>
      </c>
      <c r="X255" s="496">
        <v>285.65495811394277</v>
      </c>
      <c r="Y255" s="496">
        <v>279.14080751276236</v>
      </c>
      <c r="Z255" s="496">
        <v>271.67634731841332</v>
      </c>
      <c r="AA255" s="496">
        <v>264.34795990414727</v>
      </c>
      <c r="AB255" s="496">
        <v>257.15399986523835</v>
      </c>
      <c r="AC255" s="496">
        <v>250.09282179694407</v>
      </c>
      <c r="AD255" s="496">
        <v>243.16278029453667</v>
      </c>
      <c r="AE255" s="496">
        <v>237.85448596447671</v>
      </c>
      <c r="AF255" s="496">
        <v>232.64754006165242</v>
      </c>
      <c r="AG255" s="496">
        <v>227.54040130112836</v>
      </c>
      <c r="AH255" s="496">
        <v>222.53152839796815</v>
      </c>
      <c r="AI255" s="496">
        <v>217.61938006723508</v>
      </c>
    </row>
    <row r="256" spans="2:35" ht="15" outlineLevel="1">
      <c r="B256" t="str">
        <f t="shared" si="31"/>
        <v>e-ammonia - Energy cost including feedstock energy cost - Middle East - USD/ton fuel</v>
      </c>
      <c r="C256" s="92" t="str">
        <f>C208</f>
        <v>e-ammonia</v>
      </c>
      <c r="D256" s="92" t="s">
        <v>1367</v>
      </c>
      <c r="E256" s="92" t="s">
        <v>826</v>
      </c>
      <c r="F256" s="92" t="s">
        <v>1353</v>
      </c>
      <c r="G256" s="487" t="str">
        <f t="shared" si="32"/>
        <v>e-ammoniaMiddle EastEnergy cost including feedstock energy cost</v>
      </c>
      <c r="H256" s="497">
        <v>376.67987478170011</v>
      </c>
      <c r="I256" s="497">
        <v>359.66520602307429</v>
      </c>
      <c r="J256" s="497">
        <v>342.62220724106231</v>
      </c>
      <c r="K256" s="497">
        <v>330.90325803249164</v>
      </c>
      <c r="L256" s="497">
        <v>319.13136209716004</v>
      </c>
      <c r="M256" s="497">
        <v>307.31698914904558</v>
      </c>
      <c r="N256" s="497">
        <v>295.4706089021368</v>
      </c>
      <c r="O256" s="497">
        <v>283.6026910704075</v>
      </c>
      <c r="P256" s="497">
        <v>274.25310815966202</v>
      </c>
      <c r="Q256" s="497">
        <v>264.91508137987802</v>
      </c>
      <c r="R256" s="497">
        <v>255.59573419409662</v>
      </c>
      <c r="S256" s="497">
        <v>246.30219006536893</v>
      </c>
      <c r="T256" s="497">
        <v>237.04157245674992</v>
      </c>
      <c r="U256" s="497">
        <v>231.46300481338898</v>
      </c>
      <c r="V256" s="497">
        <v>225.89279204910778</v>
      </c>
      <c r="W256" s="497">
        <v>220.33341021437903</v>
      </c>
      <c r="X256" s="497">
        <v>214.7873353596531</v>
      </c>
      <c r="Y256" s="497">
        <v>209.25704353539734</v>
      </c>
      <c r="Z256" s="497">
        <v>202.13969145924139</v>
      </c>
      <c r="AA256" s="497">
        <v>195.1612492929211</v>
      </c>
      <c r="AB256" s="497">
        <v>188.31987043546707</v>
      </c>
      <c r="AC256" s="497">
        <v>181.61370828590486</v>
      </c>
      <c r="AD256" s="497">
        <v>175.04091624326321</v>
      </c>
      <c r="AE256" s="497">
        <v>171.21957018616007</v>
      </c>
      <c r="AF256" s="497">
        <v>167.47118326674149</v>
      </c>
      <c r="AG256" s="497">
        <v>163.79464589859259</v>
      </c>
      <c r="AH256" s="497">
        <v>160.18884849530099</v>
      </c>
      <c r="AI256" s="497">
        <v>156.65268147045424</v>
      </c>
    </row>
    <row r="257" spans="2:35" outlineLevel="1">
      <c r="B257" t="str">
        <f t="shared" si="31"/>
        <v>e-ammonia - Energy cost - Africa - USD/ton fuel</v>
      </c>
      <c r="C257" t="str">
        <f>C208</f>
        <v>e-ammonia</v>
      </c>
      <c r="D257" t="s">
        <v>1368</v>
      </c>
      <c r="E257" t="s">
        <v>838</v>
      </c>
      <c r="F257" t="s">
        <v>1353</v>
      </c>
      <c r="G257" s="487" t="str">
        <f t="shared" si="32"/>
        <v>e-ammoniaAfricaEnergy cost</v>
      </c>
      <c r="H257" s="493">
        <v>14.597451732628542</v>
      </c>
      <c r="I257" s="493">
        <v>12.883324061414896</v>
      </c>
      <c r="J257" s="493">
        <v>11.169196390200796</v>
      </c>
      <c r="K257" s="493">
        <v>10.691356171259713</v>
      </c>
      <c r="L257" s="493">
        <v>10.21351595231863</v>
      </c>
      <c r="M257" s="493">
        <v>9.7356757333775477</v>
      </c>
      <c r="N257" s="493">
        <v>9.2578355144363513</v>
      </c>
      <c r="O257" s="493">
        <v>8.7799952954952687</v>
      </c>
      <c r="P257" s="493">
        <v>8.5132642746067404</v>
      </c>
      <c r="Q257" s="493">
        <v>8.2465332537182121</v>
      </c>
      <c r="R257" s="493">
        <v>7.9798022328295701</v>
      </c>
      <c r="S257" s="493">
        <v>7.7130712119410418</v>
      </c>
      <c r="T257" s="493">
        <v>7.446340191052542</v>
      </c>
      <c r="U257" s="493">
        <v>7.3207942824757595</v>
      </c>
      <c r="V257" s="493">
        <v>7.1952483738990054</v>
      </c>
      <c r="W257" s="493">
        <v>7.0697024653222229</v>
      </c>
      <c r="X257" s="493">
        <v>6.9441565567454404</v>
      </c>
      <c r="Y257" s="493">
        <v>6.8186106481687148</v>
      </c>
      <c r="Z257" s="493">
        <v>6.6895154123365614</v>
      </c>
      <c r="AA257" s="493">
        <v>6.5604201765044081</v>
      </c>
      <c r="AB257" s="493">
        <v>6.431324940672198</v>
      </c>
      <c r="AC257" s="493">
        <v>6.3022297048400446</v>
      </c>
      <c r="AD257" s="493">
        <v>6.1731344690078629</v>
      </c>
      <c r="AE257" s="493">
        <v>6.1097710699015977</v>
      </c>
      <c r="AF257" s="493">
        <v>6.0464076707953609</v>
      </c>
      <c r="AG257" s="493">
        <v>5.9830442716890957</v>
      </c>
      <c r="AH257" s="493">
        <v>5.9196808725828305</v>
      </c>
      <c r="AI257" s="493">
        <v>5.8563174734765937</v>
      </c>
    </row>
    <row r="258" spans="2:35" outlineLevel="1">
      <c r="B258" t="str">
        <f t="shared" si="31"/>
        <v>e-ammonia - Energy cost - Americas - USD/ton fuel</v>
      </c>
      <c r="C258" t="str">
        <f>C208</f>
        <v>e-ammonia</v>
      </c>
      <c r="D258" t="s">
        <v>1368</v>
      </c>
      <c r="E258" t="s">
        <v>731</v>
      </c>
      <c r="F258" t="s">
        <v>1353</v>
      </c>
      <c r="G258" s="487" t="str">
        <f t="shared" si="32"/>
        <v>e-ammoniaAmericasEnergy cost</v>
      </c>
      <c r="H258" s="493">
        <v>9.1717961349417578</v>
      </c>
      <c r="I258" s="493">
        <v>8.9818610379931556</v>
      </c>
      <c r="J258" s="493">
        <v>8.7919259410444965</v>
      </c>
      <c r="K258" s="493">
        <v>8.4708610441055043</v>
      </c>
      <c r="L258" s="493">
        <v>8.1497961471665121</v>
      </c>
      <c r="M258" s="493">
        <v>7.8287312502275199</v>
      </c>
      <c r="N258" s="493">
        <v>7.5076663532886414</v>
      </c>
      <c r="O258" s="493">
        <v>7.1866014563496492</v>
      </c>
      <c r="P258" s="493">
        <v>7.0320973195927081</v>
      </c>
      <c r="Q258" s="493">
        <v>6.877593182835767</v>
      </c>
      <c r="R258" s="493">
        <v>6.723089046078826</v>
      </c>
      <c r="S258" s="493">
        <v>6.5685849093218849</v>
      </c>
      <c r="T258" s="493">
        <v>6.4140807725649154</v>
      </c>
      <c r="U258" s="493">
        <v>6.2888359188553977</v>
      </c>
      <c r="V258" s="493">
        <v>6.1635910651458801</v>
      </c>
      <c r="W258" s="493">
        <v>6.038346211436334</v>
      </c>
      <c r="X258" s="493">
        <v>5.9131013577268163</v>
      </c>
      <c r="Y258" s="493">
        <v>5.7878565040172845</v>
      </c>
      <c r="Z258" s="493">
        <v>5.7373993387199107</v>
      </c>
      <c r="AA258" s="493">
        <v>5.6869421734225369</v>
      </c>
      <c r="AB258" s="493">
        <v>5.6364850081251774</v>
      </c>
      <c r="AC258" s="493">
        <v>5.5860278428278036</v>
      </c>
      <c r="AD258" s="493">
        <v>5.5355706775304299</v>
      </c>
      <c r="AE258" s="493">
        <v>5.4975043176983007</v>
      </c>
      <c r="AF258" s="493">
        <v>5.4594379578661858</v>
      </c>
      <c r="AG258" s="493">
        <v>5.4213715980340709</v>
      </c>
      <c r="AH258" s="493">
        <v>5.3833052382019559</v>
      </c>
      <c r="AI258" s="493">
        <v>5.345238878369841</v>
      </c>
    </row>
    <row r="259" spans="2:35" outlineLevel="1">
      <c r="B259" t="str">
        <f t="shared" si="31"/>
        <v>e-ammonia - Energy cost - Asia - USD/ton fuel</v>
      </c>
      <c r="C259" t="str">
        <f>C208</f>
        <v>e-ammonia</v>
      </c>
      <c r="D259" t="s">
        <v>1368</v>
      </c>
      <c r="E259" t="s">
        <v>750</v>
      </c>
      <c r="F259" t="s">
        <v>1353</v>
      </c>
      <c r="G259" s="487" t="str">
        <f t="shared" si="32"/>
        <v>e-ammoniaAsiaEnergy cost</v>
      </c>
      <c r="H259" s="493">
        <v>16.235400622452289</v>
      </c>
      <c r="I259" s="493">
        <v>14.808726984208988</v>
      </c>
      <c r="J259" s="493">
        <v>13.382053345966369</v>
      </c>
      <c r="K259" s="493">
        <v>12.870317358555894</v>
      </c>
      <c r="L259" s="493">
        <v>12.358581371145647</v>
      </c>
      <c r="M259" s="493">
        <v>11.846845383735172</v>
      </c>
      <c r="N259" s="493">
        <v>11.335109396324697</v>
      </c>
      <c r="O259" s="493">
        <v>10.823373408914449</v>
      </c>
      <c r="P259" s="493">
        <v>10.475552016577922</v>
      </c>
      <c r="Q259" s="493">
        <v>10.127730624241508</v>
      </c>
      <c r="R259" s="493">
        <v>9.7799092319052079</v>
      </c>
      <c r="S259" s="493">
        <v>9.4320878395687942</v>
      </c>
      <c r="T259" s="493">
        <v>9.0842664472323804</v>
      </c>
      <c r="U259" s="493">
        <v>8.9074256244314256</v>
      </c>
      <c r="V259" s="493">
        <v>8.7305848016304708</v>
      </c>
      <c r="W259" s="493">
        <v>8.5537439788295728</v>
      </c>
      <c r="X259" s="493">
        <v>8.376903156028618</v>
      </c>
      <c r="Y259" s="493">
        <v>8.2000623332277769</v>
      </c>
      <c r="Z259" s="493">
        <v>8.0149580735243831</v>
      </c>
      <c r="AA259" s="493">
        <v>7.8298538138210461</v>
      </c>
      <c r="AB259" s="493">
        <v>7.6447495541176522</v>
      </c>
      <c r="AC259" s="493">
        <v>7.4596452944143152</v>
      </c>
      <c r="AD259" s="493">
        <v>7.2745410347109214</v>
      </c>
      <c r="AE259" s="493">
        <v>7.1896546747182981</v>
      </c>
      <c r="AF259" s="493">
        <v>7.1047683147256464</v>
      </c>
      <c r="AG259" s="493">
        <v>7.0198819547330231</v>
      </c>
      <c r="AH259" s="493">
        <v>6.9349955947403998</v>
      </c>
      <c r="AI259" s="493">
        <v>6.8501092347477481</v>
      </c>
    </row>
    <row r="260" spans="2:35" outlineLevel="1">
      <c r="B260" t="str">
        <f t="shared" si="31"/>
        <v>e-ammonia - Energy cost - Europe - USD/ton fuel</v>
      </c>
      <c r="C260" t="str">
        <f>C208</f>
        <v>e-ammonia</v>
      </c>
      <c r="D260" t="s">
        <v>1368</v>
      </c>
      <c r="E260" t="s">
        <v>720</v>
      </c>
      <c r="F260" t="s">
        <v>1353</v>
      </c>
      <c r="G260" s="487" t="str">
        <f t="shared" si="32"/>
        <v>e-ammoniaEuropeEnergy cost</v>
      </c>
      <c r="H260" s="493">
        <v>12.086376339439312</v>
      </c>
      <c r="I260" s="493">
        <v>11.565458598295663</v>
      </c>
      <c r="J260" s="493">
        <v>11.044540857152015</v>
      </c>
      <c r="K260" s="493">
        <v>10.623636174431113</v>
      </c>
      <c r="L260" s="493">
        <v>10.202731491710097</v>
      </c>
      <c r="M260" s="493">
        <v>9.7818268089891944</v>
      </c>
      <c r="N260" s="493">
        <v>9.3609221262681785</v>
      </c>
      <c r="O260" s="493">
        <v>8.9400174435472763</v>
      </c>
      <c r="P260" s="493">
        <v>8.7651316349623585</v>
      </c>
      <c r="Q260" s="493">
        <v>8.5902458263776111</v>
      </c>
      <c r="R260" s="493">
        <v>8.415360017792807</v>
      </c>
      <c r="S260" s="493">
        <v>8.2404742092080028</v>
      </c>
      <c r="T260" s="493">
        <v>8.0655884006232554</v>
      </c>
      <c r="U260" s="493">
        <v>7.9611726839041808</v>
      </c>
      <c r="V260" s="493">
        <v>7.8567569671851345</v>
      </c>
      <c r="W260" s="493">
        <v>7.7523412504660882</v>
      </c>
      <c r="X260" s="493">
        <v>7.647925533747042</v>
      </c>
      <c r="Y260" s="493">
        <v>7.5435098170279389</v>
      </c>
      <c r="Z260" s="493">
        <v>7.4318038512901126</v>
      </c>
      <c r="AA260" s="493">
        <v>7.3200978855522578</v>
      </c>
      <c r="AB260" s="493">
        <v>7.2083919198144315</v>
      </c>
      <c r="AC260" s="493">
        <v>7.0966859540765768</v>
      </c>
      <c r="AD260" s="493">
        <v>6.9849799883387504</v>
      </c>
      <c r="AE260" s="493">
        <v>6.9034770152329656</v>
      </c>
      <c r="AF260" s="493">
        <v>6.8219740421271524</v>
      </c>
      <c r="AG260" s="493">
        <v>6.7404710690213676</v>
      </c>
      <c r="AH260" s="493">
        <v>6.6589680959155828</v>
      </c>
      <c r="AI260" s="493">
        <v>6.5774651228097696</v>
      </c>
    </row>
    <row r="261" spans="2:35" outlineLevel="1">
      <c r="B261" t="str">
        <f t="shared" si="31"/>
        <v>e-ammonia - Energy cost - Middle East - USD/ton fuel</v>
      </c>
      <c r="C261" t="str">
        <f>C208</f>
        <v>e-ammonia</v>
      </c>
      <c r="D261" t="s">
        <v>1368</v>
      </c>
      <c r="E261" t="s">
        <v>826</v>
      </c>
      <c r="F261" t="s">
        <v>1353</v>
      </c>
      <c r="G261" s="487" t="str">
        <f t="shared" si="32"/>
        <v>e-ammoniaMiddle EastEnergy cost</v>
      </c>
      <c r="H261" s="493">
        <v>9.2550791682909903</v>
      </c>
      <c r="I261" s="493">
        <v>8.8466757251085255</v>
      </c>
      <c r="J261" s="493">
        <v>8.438272281925947</v>
      </c>
      <c r="K261" s="493">
        <v>8.1678717817968618</v>
      </c>
      <c r="L261" s="493">
        <v>7.8974712816677766</v>
      </c>
      <c r="M261" s="493">
        <v>7.6270707815386913</v>
      </c>
      <c r="N261" s="493">
        <v>7.3566702814096061</v>
      </c>
      <c r="O261" s="493">
        <v>7.0862697812805209</v>
      </c>
      <c r="P261" s="493">
        <v>6.8956062688408224</v>
      </c>
      <c r="Q261" s="493">
        <v>6.7049427564011808</v>
      </c>
      <c r="R261" s="493">
        <v>6.5142792439614823</v>
      </c>
      <c r="S261" s="493">
        <v>6.3236157315218406</v>
      </c>
      <c r="T261" s="493">
        <v>6.132952219082199</v>
      </c>
      <c r="U261" s="493">
        <v>6.0373555387765521</v>
      </c>
      <c r="V261" s="493">
        <v>5.9417588584709051</v>
      </c>
      <c r="W261" s="493">
        <v>5.8461621781652866</v>
      </c>
      <c r="X261" s="493">
        <v>5.7505654978596397</v>
      </c>
      <c r="Y261" s="493">
        <v>5.6549688175539927</v>
      </c>
      <c r="Z261" s="493">
        <v>5.5296037079175164</v>
      </c>
      <c r="AA261" s="493">
        <v>5.4042385982810686</v>
      </c>
      <c r="AB261" s="493">
        <v>5.2788734886445923</v>
      </c>
      <c r="AC261" s="493">
        <v>5.1535083790081444</v>
      </c>
      <c r="AD261" s="493">
        <v>5.0281432693716539</v>
      </c>
      <c r="AE261" s="493">
        <v>4.9694684653320138</v>
      </c>
      <c r="AF261" s="493">
        <v>4.9107936612923879</v>
      </c>
      <c r="AG261" s="493">
        <v>4.8521188572527478</v>
      </c>
      <c r="AH261" s="493">
        <v>4.7934440532131077</v>
      </c>
      <c r="AI261" s="493">
        <v>4.7347692491734819</v>
      </c>
    </row>
    <row r="262" spans="2:35" outlineLevel="1">
      <c r="B262" t="str">
        <f>_xlfn.TEXTJOIN(" - ",TRUE,C262:F262)</f>
        <v>e-hydrogen (compressed) - Energy cost including feedstock energy cost - Africa - USD/ton fuel</v>
      </c>
      <c r="C262" t="s">
        <v>722</v>
      </c>
      <c r="D262" t="s">
        <v>1367</v>
      </c>
      <c r="E262" t="s">
        <v>838</v>
      </c>
      <c r="F262" t="s">
        <v>1353</v>
      </c>
      <c r="G262" s="487" t="str">
        <f t="shared" si="32"/>
        <v>e-hydrogen (compressed)AfricaEnergy cost including feedstock energy cost</v>
      </c>
      <c r="H262" s="507">
        <v>3160.8705964644164</v>
      </c>
      <c r="I262" s="507">
        <v>2786.523241337979</v>
      </c>
      <c r="J262" s="507">
        <v>2412.5464202833837</v>
      </c>
      <c r="K262" s="507">
        <v>2304.7344628217015</v>
      </c>
      <c r="L262" s="507">
        <v>2196.6012206586379</v>
      </c>
      <c r="M262" s="507">
        <v>2088.2494806360514</v>
      </c>
      <c r="N262" s="507">
        <v>1979.7820295958466</v>
      </c>
      <c r="O262" s="507">
        <v>1871.3016543799013</v>
      </c>
      <c r="P262" s="507">
        <v>1802.6625730422293</v>
      </c>
      <c r="Q262" s="507">
        <v>1734.1917254836167</v>
      </c>
      <c r="R262" s="507">
        <v>1665.9444753405153</v>
      </c>
      <c r="S262" s="507">
        <v>1597.976186249457</v>
      </c>
      <c r="T262" s="507">
        <v>1530.3422218469802</v>
      </c>
      <c r="U262" s="507">
        <v>1491.8507805011832</v>
      </c>
      <c r="V262" s="507">
        <v>1453.4494587457298</v>
      </c>
      <c r="W262" s="507">
        <v>1415.1563219456079</v>
      </c>
      <c r="X262" s="507">
        <v>1376.9894354656967</v>
      </c>
      <c r="Y262" s="507">
        <v>1338.9668646709708</v>
      </c>
      <c r="Z262" s="507">
        <v>1296.9598763474942</v>
      </c>
      <c r="AA262" s="507">
        <v>1255.7747230782336</v>
      </c>
      <c r="AB262" s="507">
        <v>1215.4008407247393</v>
      </c>
      <c r="AC262" s="507">
        <v>1175.8276651485323</v>
      </c>
      <c r="AD262" s="507">
        <v>1137.0446322111472</v>
      </c>
      <c r="AE262" s="507">
        <v>1113.2241368658154</v>
      </c>
      <c r="AF262" s="507">
        <v>1089.8673860112274</v>
      </c>
      <c r="AG262" s="507">
        <v>1066.9677226950826</v>
      </c>
      <c r="AH262" s="507">
        <v>1044.5184899651035</v>
      </c>
      <c r="AI262" s="507">
        <v>1022.5130308690141</v>
      </c>
    </row>
    <row r="263" spans="2:35" outlineLevel="1">
      <c r="B263" t="str">
        <f>_xlfn.TEXTJOIN(" - ",TRUE,C263:F263)</f>
        <v>e-hydrogen (compressed) - Energy cost including feedstock energy cost - Americas - USD/ton fuel</v>
      </c>
      <c r="C263" t="s">
        <v>722</v>
      </c>
      <c r="D263" t="s">
        <v>1367</v>
      </c>
      <c r="E263" t="s">
        <v>731</v>
      </c>
      <c r="F263" t="s">
        <v>1353</v>
      </c>
      <c r="G263" s="487" t="str">
        <f t="shared" si="32"/>
        <v>e-hydrogen (compressed)AmericasEnergy cost including feedstock energy cost</v>
      </c>
      <c r="H263" s="507">
        <v>1986.022029783622</v>
      </c>
      <c r="I263" s="507">
        <v>1942.6791108821419</v>
      </c>
      <c r="J263" s="507">
        <v>1899.0560032656203</v>
      </c>
      <c r="K263" s="507">
        <v>1826.0625747933959</v>
      </c>
      <c r="L263" s="507">
        <v>1752.7609736509025</v>
      </c>
      <c r="M263" s="507">
        <v>1679.2202631891889</v>
      </c>
      <c r="N263" s="507">
        <v>1605.5095067593863</v>
      </c>
      <c r="O263" s="507">
        <v>1531.6977677124719</v>
      </c>
      <c r="P263" s="507">
        <v>1489.0291478242557</v>
      </c>
      <c r="Q263" s="507">
        <v>1446.3126288296503</v>
      </c>
      <c r="R263" s="507">
        <v>1403.5802801551172</v>
      </c>
      <c r="S263" s="507">
        <v>1360.8641712271224</v>
      </c>
      <c r="T263" s="507">
        <v>1318.196371472189</v>
      </c>
      <c r="U263" s="507">
        <v>1281.5555815366356</v>
      </c>
      <c r="V263" s="507">
        <v>1245.0533507729108</v>
      </c>
      <c r="W263" s="507">
        <v>1208.7077012258628</v>
      </c>
      <c r="X263" s="507">
        <v>1172.5366549402484</v>
      </c>
      <c r="Y263" s="507">
        <v>1136.5582339608836</v>
      </c>
      <c r="Z263" s="507">
        <v>1112.3640919011295</v>
      </c>
      <c r="AA263" s="507">
        <v>1088.5763473760965</v>
      </c>
      <c r="AB263" s="507">
        <v>1065.1908713683672</v>
      </c>
      <c r="AC263" s="507">
        <v>1042.2035348604634</v>
      </c>
      <c r="AD263" s="507">
        <v>1019.61020883496</v>
      </c>
      <c r="AE263" s="507">
        <v>1001.6667447875999</v>
      </c>
      <c r="AF263" s="507">
        <v>984.06586194466854</v>
      </c>
      <c r="AG263" s="507">
        <v>966.80356105825501</v>
      </c>
      <c r="AH263" s="507">
        <v>949.87584288045787</v>
      </c>
      <c r="AI263" s="507">
        <v>933.27870816337509</v>
      </c>
    </row>
    <row r="264" spans="2:35" outlineLevel="1">
      <c r="B264" t="str">
        <f>_xlfn.TEXTJOIN(" - ",TRUE,C264:F264)</f>
        <v>e-hydrogen (compressed) - Energy cost including feedstock energy cost - Asia - USD/ton fuel</v>
      </c>
      <c r="C264" t="s">
        <v>722</v>
      </c>
      <c r="D264" t="s">
        <v>1367</v>
      </c>
      <c r="E264" t="s">
        <v>750</v>
      </c>
      <c r="F264" t="s">
        <v>1353</v>
      </c>
      <c r="G264" s="487" t="str">
        <f t="shared" ref="G264:G327" si="33">+C264&amp;E264&amp;D264</f>
        <v>e-hydrogen (compressed)AsiaEnergy cost including feedstock energy cost</v>
      </c>
      <c r="H264" s="507">
        <v>3515.5451368694994</v>
      </c>
      <c r="I264" s="507">
        <v>3202.9670075376002</v>
      </c>
      <c r="J264" s="507">
        <v>2890.5235227287494</v>
      </c>
      <c r="K264" s="507">
        <v>2774.4528840461521</v>
      </c>
      <c r="L264" s="507">
        <v>2657.9363122554146</v>
      </c>
      <c r="M264" s="507">
        <v>2541.0838854200356</v>
      </c>
      <c r="N264" s="507">
        <v>2424.0056816037468</v>
      </c>
      <c r="O264" s="507">
        <v>2306.8117788701561</v>
      </c>
      <c r="P264" s="507">
        <v>2218.1721303505983</v>
      </c>
      <c r="Q264" s="507">
        <v>2129.7951643580186</v>
      </c>
      <c r="R264" s="507">
        <v>2041.7530759339261</v>
      </c>
      <c r="S264" s="507">
        <v>1954.1180601197893</v>
      </c>
      <c r="T264" s="507">
        <v>1866.9623119572402</v>
      </c>
      <c r="U264" s="507">
        <v>1815.1787029276168</v>
      </c>
      <c r="V264" s="507">
        <v>1763.5893988725866</v>
      </c>
      <c r="W264" s="507">
        <v>1712.219846212882</v>
      </c>
      <c r="X264" s="507">
        <v>1661.0954913690473</v>
      </c>
      <c r="Y264" s="507">
        <v>1610.2417807617942</v>
      </c>
      <c r="Z264" s="507">
        <v>1553.9360314199</v>
      </c>
      <c r="AA264" s="507">
        <v>1498.7656644323729</v>
      </c>
      <c r="AB264" s="507">
        <v>1444.7155323228835</v>
      </c>
      <c r="AC264" s="507">
        <v>1391.7704876150719</v>
      </c>
      <c r="AD264" s="507">
        <v>1339.915382832598</v>
      </c>
      <c r="AE264" s="507">
        <v>1309.9831447130568</v>
      </c>
      <c r="AF264" s="507">
        <v>1280.6373127610934</v>
      </c>
      <c r="AG264" s="507">
        <v>1251.8689688243389</v>
      </c>
      <c r="AH264" s="507">
        <v>1223.6691947504187</v>
      </c>
      <c r="AI264" s="507">
        <v>1196.0290723869578</v>
      </c>
    </row>
    <row r="265" spans="2:35" outlineLevel="1">
      <c r="B265" t="str">
        <f>_xlfn.TEXTJOIN(" - ",TRUE,C265:F265)</f>
        <v>e-hydrogen (compressed) - Energy cost including feedstock energy cost - Europe - USD/ton fuel</v>
      </c>
      <c r="C265" t="s">
        <v>722</v>
      </c>
      <c r="D265" t="s">
        <v>1367</v>
      </c>
      <c r="E265" t="s">
        <v>720</v>
      </c>
      <c r="F265" t="s">
        <v>1353</v>
      </c>
      <c r="G265" s="487" t="str">
        <f t="shared" si="33"/>
        <v>e-hydrogen (compressed)EuropeEnergy cost including feedstock energy cost</v>
      </c>
      <c r="H265" s="507">
        <v>2617.1329276426868</v>
      </c>
      <c r="I265" s="507">
        <v>2501.4832373426843</v>
      </c>
      <c r="J265" s="507">
        <v>2385.6208251448465</v>
      </c>
      <c r="K265" s="507">
        <v>2290.1360706240293</v>
      </c>
      <c r="L265" s="507">
        <v>2194.281827469511</v>
      </c>
      <c r="M265" s="507">
        <v>2098.1486352829556</v>
      </c>
      <c r="N265" s="507">
        <v>2001.8270336660016</v>
      </c>
      <c r="O265" s="507">
        <v>1905.4075622202831</v>
      </c>
      <c r="P265" s="507">
        <v>1855.9948612502078</v>
      </c>
      <c r="Q265" s="507">
        <v>1806.4722197363817</v>
      </c>
      <c r="R265" s="507">
        <v>1756.8759375972888</v>
      </c>
      <c r="S265" s="507">
        <v>1707.2423147514785</v>
      </c>
      <c r="T265" s="507">
        <v>1657.6076511175781</v>
      </c>
      <c r="U265" s="507">
        <v>1622.348781281504</v>
      </c>
      <c r="V265" s="507">
        <v>1587.0750484272664</v>
      </c>
      <c r="W265" s="507">
        <v>1551.8014774016065</v>
      </c>
      <c r="X265" s="507">
        <v>1516.5430930511313</v>
      </c>
      <c r="Y265" s="507">
        <v>1481.3149202225381</v>
      </c>
      <c r="Z265" s="507">
        <v>1440.8743847473047</v>
      </c>
      <c r="AA265" s="507">
        <v>1401.1898091614214</v>
      </c>
      <c r="AB265" s="507">
        <v>1362.2520523275218</v>
      </c>
      <c r="AC265" s="507">
        <v>1324.0519731081486</v>
      </c>
      <c r="AD265" s="507">
        <v>1286.5804303659243</v>
      </c>
      <c r="AE265" s="507">
        <v>1257.840458133481</v>
      </c>
      <c r="AF265" s="507">
        <v>1229.6635327190136</v>
      </c>
      <c r="AG265" s="507">
        <v>1202.0410914284364</v>
      </c>
      <c r="AH265" s="507">
        <v>1174.9645715676581</v>
      </c>
      <c r="AI265" s="507">
        <v>1148.4254104425868</v>
      </c>
    </row>
    <row r="266" spans="2:35" outlineLevel="1">
      <c r="B266" t="str">
        <f>_xlfn.TEXTJOIN(" - ",TRUE,C266:F266)</f>
        <v>e-hydrogen (compressed) - Energy cost including feedstock energy cost - Middle East - USD/ton fuel</v>
      </c>
      <c r="C266" t="s">
        <v>722</v>
      </c>
      <c r="D266" t="s">
        <v>1367</v>
      </c>
      <c r="E266" t="s">
        <v>826</v>
      </c>
      <c r="F266" t="s">
        <v>1353</v>
      </c>
      <c r="G266" s="487" t="str">
        <f t="shared" si="33"/>
        <v>e-hydrogen (compressed)Middle EastEnergy cost including feedstock energy cost</v>
      </c>
      <c r="H266" s="507">
        <v>2004.0557863679674</v>
      </c>
      <c r="I266" s="507">
        <v>1913.439994141396</v>
      </c>
      <c r="J266" s="507">
        <v>1822.6668128960132</v>
      </c>
      <c r="K266" s="507">
        <v>1760.7472131571581</v>
      </c>
      <c r="L266" s="507">
        <v>1698.4939504098782</v>
      </c>
      <c r="M266" s="507">
        <v>1635.9651897318304</v>
      </c>
      <c r="N266" s="507">
        <v>1573.2190962007282</v>
      </c>
      <c r="O266" s="507">
        <v>1510.3138348942052</v>
      </c>
      <c r="P266" s="507">
        <v>1460.1275067135082</v>
      </c>
      <c r="Q266" s="507">
        <v>1410.0053792603746</v>
      </c>
      <c r="R266" s="507">
        <v>1359.9870273294782</v>
      </c>
      <c r="S266" s="507">
        <v>1310.1120257155462</v>
      </c>
      <c r="T266" s="507">
        <v>1260.4199492133293</v>
      </c>
      <c r="U266" s="507">
        <v>1230.3082459572943</v>
      </c>
      <c r="V266" s="507">
        <v>1200.2429586961468</v>
      </c>
      <c r="W266" s="507">
        <v>1170.2378432658459</v>
      </c>
      <c r="X266" s="507">
        <v>1140.3066555022276</v>
      </c>
      <c r="Y266" s="507">
        <v>1110.4631512412213</v>
      </c>
      <c r="Z266" s="507">
        <v>1072.0767797388739</v>
      </c>
      <c r="AA266" s="507">
        <v>1034.4621299578357</v>
      </c>
      <c r="AB266" s="507">
        <v>997.60894300383222</v>
      </c>
      <c r="AC266" s="507">
        <v>961.50695998256094</v>
      </c>
      <c r="AD266" s="507">
        <v>926.14592199973754</v>
      </c>
      <c r="AE266" s="507">
        <v>905.45655143347608</v>
      </c>
      <c r="AF266" s="507">
        <v>885.17250940990675</v>
      </c>
      <c r="AG266" s="507">
        <v>865.287631560058</v>
      </c>
      <c r="AH266" s="507">
        <v>845.79575351497181</v>
      </c>
      <c r="AI266" s="507">
        <v>826.69071090569059</v>
      </c>
    </row>
    <row r="267" spans="2:35" outlineLevel="1">
      <c r="B267" t="str">
        <f t="shared" ref="B267:B276" si="34">_xlfn.TEXTJOIN(" - ",TRUE,C267:F267)</f>
        <v>Nitrogen - Energy cost - Africa - USD/ton fuel</v>
      </c>
      <c r="C267" t="s">
        <v>1374</v>
      </c>
      <c r="D267" t="s">
        <v>1368</v>
      </c>
      <c r="E267" t="s">
        <v>838</v>
      </c>
      <c r="F267" t="s">
        <v>1353</v>
      </c>
      <c r="G267" s="487" t="str">
        <f t="shared" si="33"/>
        <v>NitrogenAfricaEnergy cost</v>
      </c>
      <c r="H267" s="493">
        <v>12.845757524713116</v>
      </c>
      <c r="I267" s="493">
        <v>11.337325174045109</v>
      </c>
      <c r="J267" s="493">
        <v>9.8288928233767283</v>
      </c>
      <c r="K267" s="493">
        <v>9.2373317319683625</v>
      </c>
      <c r="L267" s="493">
        <v>8.6610615275661882</v>
      </c>
      <c r="M267" s="493">
        <v>8.1000822101701271</v>
      </c>
      <c r="N267" s="493">
        <v>7.554393779780086</v>
      </c>
      <c r="O267" s="493">
        <v>7.0239962363961901</v>
      </c>
      <c r="P267" s="493">
        <v>6.8106114196853929</v>
      </c>
      <c r="Q267" s="493">
        <v>6.5972266029745699</v>
      </c>
      <c r="R267" s="493">
        <v>6.3838417862636563</v>
      </c>
      <c r="S267" s="493">
        <v>6.1704569695528342</v>
      </c>
      <c r="T267" s="493">
        <v>5.9570721528420343</v>
      </c>
      <c r="U267" s="493">
        <v>5.8566354259806079</v>
      </c>
      <c r="V267" s="493">
        <v>5.7561986991192047</v>
      </c>
      <c r="W267" s="493">
        <v>5.6557619722577783</v>
      </c>
      <c r="X267" s="493">
        <v>5.5553252453963529</v>
      </c>
      <c r="Y267" s="493">
        <v>5.4548885185349718</v>
      </c>
      <c r="Z267" s="493">
        <v>5.3516123298692495</v>
      </c>
      <c r="AA267" s="493">
        <v>5.2483361412035272</v>
      </c>
      <c r="AB267" s="493">
        <v>5.1450599525377587</v>
      </c>
      <c r="AC267" s="493">
        <v>5.0417837638720364</v>
      </c>
      <c r="AD267" s="493">
        <v>4.938507575206291</v>
      </c>
      <c r="AE267" s="493">
        <v>4.8878168559212787</v>
      </c>
      <c r="AF267" s="493">
        <v>4.8371261366362894</v>
      </c>
      <c r="AG267" s="493">
        <v>4.7864354173512771</v>
      </c>
      <c r="AH267" s="493">
        <v>4.7357446980662647</v>
      </c>
      <c r="AI267" s="493">
        <v>4.6850539787812755</v>
      </c>
    </row>
    <row r="268" spans="2:35" outlineLevel="1">
      <c r="B268" t="str">
        <f t="shared" si="34"/>
        <v>Nitrogen - Energy cost - Americas - USD/ton fuel</v>
      </c>
      <c r="C268" t="s">
        <v>1374</v>
      </c>
      <c r="D268" t="s">
        <v>1368</v>
      </c>
      <c r="E268" t="s">
        <v>731</v>
      </c>
      <c r="F268" t="s">
        <v>1353</v>
      </c>
      <c r="G268" s="487" t="str">
        <f t="shared" si="33"/>
        <v>NitrogenAmericasEnergy cost</v>
      </c>
      <c r="H268" s="493">
        <v>8.0711805987487466</v>
      </c>
      <c r="I268" s="493">
        <v>7.9040377134339765</v>
      </c>
      <c r="J268" s="493">
        <v>7.7368948281191798</v>
      </c>
      <c r="K268" s="493">
        <v>7.3188239421071319</v>
      </c>
      <c r="L268" s="493">
        <v>6.9110271327971944</v>
      </c>
      <c r="M268" s="493">
        <v>6.5135044001893023</v>
      </c>
      <c r="N268" s="493">
        <v>6.1262557442835499</v>
      </c>
      <c r="O268" s="493">
        <v>5.7492811650796991</v>
      </c>
      <c r="P268" s="493">
        <v>5.6256778556741667</v>
      </c>
      <c r="Q268" s="493">
        <v>5.5020745462686138</v>
      </c>
      <c r="R268" s="493">
        <v>5.3784712368630609</v>
      </c>
      <c r="S268" s="493">
        <v>5.2548679274575081</v>
      </c>
      <c r="T268" s="493">
        <v>5.131264618051933</v>
      </c>
      <c r="U268" s="493">
        <v>5.0310687350843182</v>
      </c>
      <c r="V268" s="493">
        <v>4.9308728521167042</v>
      </c>
      <c r="W268" s="493">
        <v>4.8306769691490672</v>
      </c>
      <c r="X268" s="493">
        <v>4.7304810861814532</v>
      </c>
      <c r="Y268" s="493">
        <v>4.6302852032138277</v>
      </c>
      <c r="Z268" s="493">
        <v>4.5899194709759286</v>
      </c>
      <c r="AA268" s="493">
        <v>4.5495537387380294</v>
      </c>
      <c r="AB268" s="493">
        <v>4.5091880065001417</v>
      </c>
      <c r="AC268" s="493">
        <v>4.4688222742622434</v>
      </c>
      <c r="AD268" s="493">
        <v>4.4284565420243442</v>
      </c>
      <c r="AE268" s="493">
        <v>4.3980034541586406</v>
      </c>
      <c r="AF268" s="493">
        <v>4.3675503662929485</v>
      </c>
      <c r="AG268" s="493">
        <v>4.3370972784272572</v>
      </c>
      <c r="AH268" s="493">
        <v>4.3066441905615651</v>
      </c>
      <c r="AI268" s="493">
        <v>4.276191102695873</v>
      </c>
    </row>
    <row r="269" spans="2:35" outlineLevel="1">
      <c r="B269" t="str">
        <f t="shared" si="34"/>
        <v>Nitrogen - Energy cost - Asia - USD/ton fuel</v>
      </c>
      <c r="C269" t="s">
        <v>1374</v>
      </c>
      <c r="D269" t="s">
        <v>1368</v>
      </c>
      <c r="E269" t="s">
        <v>750</v>
      </c>
      <c r="F269" t="s">
        <v>1353</v>
      </c>
      <c r="G269" s="487" t="str">
        <f t="shared" si="33"/>
        <v>NitrogenAsiaEnergy cost</v>
      </c>
      <c r="H269" s="493">
        <v>14.287152547758014</v>
      </c>
      <c r="I269" s="493">
        <v>13.03167974610391</v>
      </c>
      <c r="J269" s="493">
        <v>11.77620694445044</v>
      </c>
      <c r="K269" s="493">
        <v>11.119954197792257</v>
      </c>
      <c r="L269" s="493">
        <v>10.480077002731496</v>
      </c>
      <c r="M269" s="493">
        <v>9.856575359267671</v>
      </c>
      <c r="N269" s="493">
        <v>9.2494492674009816</v>
      </c>
      <c r="O269" s="493">
        <v>8.6586987271315277</v>
      </c>
      <c r="P269" s="493">
        <v>8.3804416132623381</v>
      </c>
      <c r="Q269" s="493">
        <v>8.1021844993932071</v>
      </c>
      <c r="R269" s="493">
        <v>7.8239273855241667</v>
      </c>
      <c r="S269" s="493">
        <v>7.5456702716550357</v>
      </c>
      <c r="T269" s="493">
        <v>7.2674131577859047</v>
      </c>
      <c r="U269" s="493">
        <v>7.1259404995451412</v>
      </c>
      <c r="V269" s="493">
        <v>6.9844678413043768</v>
      </c>
      <c r="W269" s="493">
        <v>6.8429951830636586</v>
      </c>
      <c r="X269" s="493">
        <v>6.7015225248228951</v>
      </c>
      <c r="Y269" s="493">
        <v>6.5600498665822222</v>
      </c>
      <c r="Z269" s="493">
        <v>6.4119664588195064</v>
      </c>
      <c r="AA269" s="493">
        <v>6.2638830510568368</v>
      </c>
      <c r="AB269" s="493">
        <v>6.115799643294122</v>
      </c>
      <c r="AC269" s="493">
        <v>5.9677162355314524</v>
      </c>
      <c r="AD269" s="493">
        <v>5.8196328277687375</v>
      </c>
      <c r="AE269" s="493">
        <v>5.751723739774639</v>
      </c>
      <c r="AF269" s="493">
        <v>5.6838146517805175</v>
      </c>
      <c r="AG269" s="493">
        <v>5.615905563786419</v>
      </c>
      <c r="AH269" s="493">
        <v>5.5479964757923206</v>
      </c>
      <c r="AI269" s="493">
        <v>5.480087387798199</v>
      </c>
    </row>
    <row r="270" spans="2:35" outlineLevel="1">
      <c r="B270" t="str">
        <f t="shared" si="34"/>
        <v>Nitrogen - Energy cost - Europe - USD/ton fuel</v>
      </c>
      <c r="C270" t="s">
        <v>1374</v>
      </c>
      <c r="D270" t="s">
        <v>1368</v>
      </c>
      <c r="E270" t="s">
        <v>720</v>
      </c>
      <c r="F270" t="s">
        <v>1353</v>
      </c>
      <c r="G270" s="487" t="str">
        <f t="shared" si="33"/>
        <v>NitrogenEuropeEnergy cost</v>
      </c>
      <c r="H270" s="493">
        <v>10.636011178706594</v>
      </c>
      <c r="I270" s="493">
        <v>10.177603566500183</v>
      </c>
      <c r="J270" s="493">
        <v>9.7191959542938005</v>
      </c>
      <c r="K270" s="493">
        <v>9.178821654708452</v>
      </c>
      <c r="L270" s="493">
        <v>8.6519163049701522</v>
      </c>
      <c r="M270" s="493">
        <v>8.1384799050790164</v>
      </c>
      <c r="N270" s="493">
        <v>7.6385124550348573</v>
      </c>
      <c r="O270" s="493">
        <v>7.1520139548377957</v>
      </c>
      <c r="P270" s="493">
        <v>7.012105307969887</v>
      </c>
      <c r="Q270" s="493">
        <v>6.8721966611020893</v>
      </c>
      <c r="R270" s="493">
        <v>6.7322880142342463</v>
      </c>
      <c r="S270" s="493">
        <v>6.5923793673664024</v>
      </c>
      <c r="T270" s="493">
        <v>6.4524707204986047</v>
      </c>
      <c r="U270" s="493">
        <v>6.3689381471233446</v>
      </c>
      <c r="V270" s="493">
        <v>6.2854055737481076</v>
      </c>
      <c r="W270" s="493">
        <v>6.2018730003728706</v>
      </c>
      <c r="X270" s="493">
        <v>6.1183404269976336</v>
      </c>
      <c r="Y270" s="493">
        <v>6.0348078536223513</v>
      </c>
      <c r="Z270" s="493">
        <v>5.9454430810320904</v>
      </c>
      <c r="AA270" s="493">
        <v>5.8560783084418064</v>
      </c>
      <c r="AB270" s="493">
        <v>5.7667135358515456</v>
      </c>
      <c r="AC270" s="493">
        <v>5.6773487632612616</v>
      </c>
      <c r="AD270" s="493">
        <v>5.5879839906710007</v>
      </c>
      <c r="AE270" s="493">
        <v>5.5227816121863729</v>
      </c>
      <c r="AF270" s="493">
        <v>5.4575792337017219</v>
      </c>
      <c r="AG270" s="493">
        <v>5.3923768552170941</v>
      </c>
      <c r="AH270" s="493">
        <v>5.3271744767324662</v>
      </c>
      <c r="AI270" s="493">
        <v>5.2619720982478162</v>
      </c>
    </row>
    <row r="271" spans="2:35" outlineLevel="1">
      <c r="B271" t="str">
        <f t="shared" si="34"/>
        <v>Nitrogen - Energy cost - Middle East - USD/ton fuel</v>
      </c>
      <c r="C271" t="s">
        <v>1374</v>
      </c>
      <c r="D271" t="s">
        <v>1368</v>
      </c>
      <c r="E271" t="s">
        <v>826</v>
      </c>
      <c r="F271" t="s">
        <v>1353</v>
      </c>
      <c r="G271" s="487" t="str">
        <f t="shared" si="33"/>
        <v>NitrogenMiddle EastEnergy cost</v>
      </c>
      <c r="H271" s="493">
        <v>8.1444696680960718</v>
      </c>
      <c r="I271" s="493">
        <v>7.7850746380955025</v>
      </c>
      <c r="J271" s="493">
        <v>7.4256796080948551</v>
      </c>
      <c r="K271" s="493">
        <v>7.0570412194724659</v>
      </c>
      <c r="L271" s="493">
        <v>6.6970556468542668</v>
      </c>
      <c r="M271" s="493">
        <v>6.3457228902401965</v>
      </c>
      <c r="N271" s="493">
        <v>6.0030429496302569</v>
      </c>
      <c r="O271" s="493">
        <v>5.6690158250243963</v>
      </c>
      <c r="P271" s="493">
        <v>5.5164850150726581</v>
      </c>
      <c r="Q271" s="493">
        <v>5.3639542051209448</v>
      </c>
      <c r="R271" s="493">
        <v>5.2114233951691862</v>
      </c>
      <c r="S271" s="493">
        <v>5.0588925852174729</v>
      </c>
      <c r="T271" s="493">
        <v>4.9063617752657596</v>
      </c>
      <c r="U271" s="493">
        <v>4.8298844310212417</v>
      </c>
      <c r="V271" s="493">
        <v>4.7534070867767246</v>
      </c>
      <c r="W271" s="493">
        <v>4.6769297425322298</v>
      </c>
      <c r="X271" s="493">
        <v>4.6004523982877119</v>
      </c>
      <c r="Y271" s="493">
        <v>4.523975054043194</v>
      </c>
      <c r="Z271" s="493">
        <v>4.4236829663340131</v>
      </c>
      <c r="AA271" s="493">
        <v>4.3233908786248554</v>
      </c>
      <c r="AB271" s="493">
        <v>4.2230987909156736</v>
      </c>
      <c r="AC271" s="493">
        <v>4.1228067032065159</v>
      </c>
      <c r="AD271" s="493">
        <v>4.0225146154973235</v>
      </c>
      <c r="AE271" s="493">
        <v>3.9755747722656114</v>
      </c>
      <c r="AF271" s="493">
        <v>3.9286349290339104</v>
      </c>
      <c r="AG271" s="493">
        <v>3.8816950858021984</v>
      </c>
      <c r="AH271" s="493">
        <v>3.8347552425704863</v>
      </c>
      <c r="AI271" s="493">
        <v>3.7878153993387857</v>
      </c>
    </row>
    <row r="272" spans="2:35" outlineLevel="1">
      <c r="B272" t="str">
        <f t="shared" si="34"/>
        <v>e-ammonia - Conversion H2 -&gt; NH3 - Global - ton H2/ton NH3</v>
      </c>
      <c r="C272" t="str">
        <f>C208</f>
        <v>e-ammonia</v>
      </c>
      <c r="D272" t="s">
        <v>1375</v>
      </c>
      <c r="E272" t="s">
        <v>708</v>
      </c>
      <c r="F272" t="s">
        <v>1376</v>
      </c>
      <c r="G272" s="487" t="str">
        <f t="shared" si="33"/>
        <v>e-ammoniaGlobalConversion H2 -&gt; NH3</v>
      </c>
      <c r="H272" s="508">
        <v>0.18</v>
      </c>
      <c r="I272" s="508">
        <v>0.18</v>
      </c>
      <c r="J272" s="508">
        <v>0.18</v>
      </c>
      <c r="K272" s="508">
        <v>0.18</v>
      </c>
      <c r="L272" s="508">
        <v>0.18</v>
      </c>
      <c r="M272" s="508">
        <v>0.18</v>
      </c>
      <c r="N272" s="508">
        <v>0.18</v>
      </c>
      <c r="O272" s="508">
        <v>0.18</v>
      </c>
      <c r="P272" s="508">
        <v>0.18</v>
      </c>
      <c r="Q272" s="508">
        <v>0.18</v>
      </c>
      <c r="R272" s="508">
        <v>0.18</v>
      </c>
      <c r="S272" s="508">
        <v>0.18</v>
      </c>
      <c r="T272" s="508">
        <v>0.18</v>
      </c>
      <c r="U272" s="508">
        <v>0.18</v>
      </c>
      <c r="V272" s="508">
        <v>0.18</v>
      </c>
      <c r="W272" s="508">
        <v>0.18</v>
      </c>
      <c r="X272" s="508">
        <v>0.18</v>
      </c>
      <c r="Y272" s="508">
        <v>0.18</v>
      </c>
      <c r="Z272" s="508">
        <v>0.18</v>
      </c>
      <c r="AA272" s="508">
        <v>0.18</v>
      </c>
      <c r="AB272" s="508">
        <v>0.18</v>
      </c>
      <c r="AC272" s="508">
        <v>0.18</v>
      </c>
      <c r="AD272" s="508">
        <v>0.18</v>
      </c>
      <c r="AE272" s="508">
        <v>0.18</v>
      </c>
      <c r="AF272" s="508">
        <v>0.18</v>
      </c>
      <c r="AG272" s="508">
        <v>0.18</v>
      </c>
      <c r="AH272" s="508">
        <v>0.18</v>
      </c>
      <c r="AI272" s="508">
        <v>0.18</v>
      </c>
    </row>
    <row r="273" spans="2:35" outlineLevel="1">
      <c r="B273" t="str">
        <f t="shared" si="34"/>
        <v>e-ammonia - Conversion N2 -&gt; NH3 - Global - ton N2/ton NH3</v>
      </c>
      <c r="C273" t="str">
        <f>C208</f>
        <v>e-ammonia</v>
      </c>
      <c r="D273" t="s">
        <v>1377</v>
      </c>
      <c r="E273" t="s">
        <v>708</v>
      </c>
      <c r="F273" t="s">
        <v>1378</v>
      </c>
      <c r="G273" s="487" t="str">
        <f t="shared" si="33"/>
        <v>e-ammoniaGlobalConversion N2 -&gt; NH3</v>
      </c>
      <c r="H273" s="508">
        <v>0.82199999999999995</v>
      </c>
      <c r="I273" s="508">
        <v>0.82199999999999995</v>
      </c>
      <c r="J273" s="508">
        <v>0.82199999999999995</v>
      </c>
      <c r="K273" s="508">
        <v>0.82199999999999995</v>
      </c>
      <c r="L273" s="508">
        <v>0.82199999999999995</v>
      </c>
      <c r="M273" s="508">
        <v>0.82199999999999995</v>
      </c>
      <c r="N273" s="508">
        <v>0.82199999999999995</v>
      </c>
      <c r="O273" s="508">
        <v>0.82199999999999995</v>
      </c>
      <c r="P273" s="508">
        <v>0.82199999999999995</v>
      </c>
      <c r="Q273" s="508">
        <v>0.82199999999999995</v>
      </c>
      <c r="R273" s="508">
        <v>0.82199999999999995</v>
      </c>
      <c r="S273" s="508">
        <v>0.82199999999999995</v>
      </c>
      <c r="T273" s="508">
        <v>0.82199999999999995</v>
      </c>
      <c r="U273" s="508">
        <v>0.82199999999999995</v>
      </c>
      <c r="V273" s="508">
        <v>0.82199999999999995</v>
      </c>
      <c r="W273" s="508">
        <v>0.82199999999999995</v>
      </c>
      <c r="X273" s="508">
        <v>0.82199999999999995</v>
      </c>
      <c r="Y273" s="508">
        <v>0.82199999999999995</v>
      </c>
      <c r="Z273" s="508">
        <v>0.82199999999999995</v>
      </c>
      <c r="AA273" s="508">
        <v>0.82199999999999995</v>
      </c>
      <c r="AB273" s="508">
        <v>0.82199999999999995</v>
      </c>
      <c r="AC273" s="508">
        <v>0.82199999999999995</v>
      </c>
      <c r="AD273" s="508">
        <v>0.82199999999999995</v>
      </c>
      <c r="AE273" s="508">
        <v>0.82199999999999995</v>
      </c>
      <c r="AF273" s="508">
        <v>0.82199999999999995</v>
      </c>
      <c r="AG273" s="508">
        <v>0.82199999999999995</v>
      </c>
      <c r="AH273" s="508">
        <v>0.82199999999999995</v>
      </c>
      <c r="AI273" s="508">
        <v>0.82199999999999995</v>
      </c>
    </row>
    <row r="274" spans="2:35" outlineLevel="1">
      <c r="B274" t="str">
        <f t="shared" si="34"/>
        <v/>
      </c>
      <c r="G274" s="487" t="str">
        <f t="shared" si="33"/>
        <v/>
      </c>
    </row>
    <row r="275" spans="2:35" ht="15" outlineLevel="1">
      <c r="B275" t="str">
        <f>_xlfn.TEXTJOIN(" - ",TRUE,C275:F275)</f>
        <v>e-ammonia - Feedstock cost including feedstock feedstock cost - Global - USD/ton fuel</v>
      </c>
      <c r="C275" s="491" t="str">
        <f>C208</f>
        <v>e-ammonia</v>
      </c>
      <c r="D275" s="491" t="s">
        <v>1369</v>
      </c>
      <c r="E275" s="491" t="s">
        <v>708</v>
      </c>
      <c r="F275" s="491" t="s">
        <v>1353</v>
      </c>
      <c r="G275" s="487" t="str">
        <f t="shared" si="33"/>
        <v>e-ammoniaGlobalFeedstock cost including feedstock feedstock cost</v>
      </c>
      <c r="H275" s="492">
        <v>2.4299999999999997</v>
      </c>
      <c r="I275" s="492">
        <v>2.4300000000000086</v>
      </c>
      <c r="J275" s="492">
        <v>2.4300000000000086</v>
      </c>
      <c r="K275" s="492">
        <v>2.4300000000000086</v>
      </c>
      <c r="L275" s="492">
        <v>2.430000000000017</v>
      </c>
      <c r="M275" s="492">
        <v>2.4299999999999997</v>
      </c>
      <c r="N275" s="492">
        <v>2.430000000000017</v>
      </c>
      <c r="O275" s="492">
        <v>2.4299999999999997</v>
      </c>
      <c r="P275" s="492">
        <v>2.4299999999999828</v>
      </c>
      <c r="Q275" s="492">
        <v>2.4300000000000086</v>
      </c>
      <c r="R275" s="492">
        <v>2.4300000000000344</v>
      </c>
      <c r="S275" s="492">
        <v>2.430000000000017</v>
      </c>
      <c r="T275" s="492">
        <v>2.4300000000000344</v>
      </c>
      <c r="U275" s="492">
        <v>2.4300000000000432</v>
      </c>
      <c r="V275" s="492">
        <v>2.4300000000000215</v>
      </c>
      <c r="W275" s="492">
        <v>2.4300000000000646</v>
      </c>
      <c r="X275" s="492">
        <v>2.4300000000000432</v>
      </c>
      <c r="Y275" s="492">
        <v>2.4299999999999828</v>
      </c>
      <c r="Z275" s="492">
        <v>2.4299999999999997</v>
      </c>
      <c r="AA275" s="492">
        <v>2.4299999999999913</v>
      </c>
      <c r="AB275" s="492">
        <v>2.4300000000000086</v>
      </c>
      <c r="AC275" s="492">
        <v>2.4299999999999997</v>
      </c>
      <c r="AD275" s="492">
        <v>2.4299999999999997</v>
      </c>
      <c r="AE275" s="492">
        <v>2.4299999999999997</v>
      </c>
      <c r="AF275" s="492">
        <v>2.4299999999999997</v>
      </c>
      <c r="AG275" s="492">
        <v>2.4299999999999997</v>
      </c>
      <c r="AH275" s="492">
        <v>2.4299999999999997</v>
      </c>
      <c r="AI275" s="492">
        <v>2.4299999999999997</v>
      </c>
    </row>
    <row r="276" spans="2:35" outlineLevel="1">
      <c r="B276" t="str">
        <f t="shared" si="34"/>
        <v>e-hydrogen - Feedstock cost - Global - USD/ton fuel</v>
      </c>
      <c r="C276" t="s">
        <v>1370</v>
      </c>
      <c r="D276" t="s">
        <v>1371</v>
      </c>
      <c r="E276" t="s">
        <v>708</v>
      </c>
      <c r="F276" t="s">
        <v>1353</v>
      </c>
      <c r="G276" s="487" t="str">
        <f t="shared" si="33"/>
        <v>e-hydrogenGlobalFeedstock cost</v>
      </c>
      <c r="H276" s="493">
        <v>13.5</v>
      </c>
      <c r="I276" s="493">
        <v>13.500000000000048</v>
      </c>
      <c r="J276" s="493">
        <v>13.500000000000048</v>
      </c>
      <c r="K276" s="493">
        <v>13.500000000000048</v>
      </c>
      <c r="L276" s="493">
        <v>13.500000000000096</v>
      </c>
      <c r="M276" s="493">
        <v>13.5</v>
      </c>
      <c r="N276" s="493">
        <v>13.500000000000096</v>
      </c>
      <c r="O276" s="493">
        <v>13.5</v>
      </c>
      <c r="P276" s="493">
        <v>13.499999999999904</v>
      </c>
      <c r="Q276" s="493">
        <v>13.500000000000048</v>
      </c>
      <c r="R276" s="493">
        <v>13.500000000000192</v>
      </c>
      <c r="S276" s="493">
        <v>13.500000000000096</v>
      </c>
      <c r="T276" s="493">
        <v>13.500000000000192</v>
      </c>
      <c r="U276" s="493">
        <v>13.50000000000024</v>
      </c>
      <c r="V276" s="493">
        <v>13.500000000000121</v>
      </c>
      <c r="W276" s="493">
        <v>13.500000000000359</v>
      </c>
      <c r="X276" s="493">
        <v>13.50000000000024</v>
      </c>
      <c r="Y276" s="493">
        <v>13.499999999999904</v>
      </c>
      <c r="Z276" s="493">
        <v>13.5</v>
      </c>
      <c r="AA276" s="493">
        <v>13.499999999999952</v>
      </c>
      <c r="AB276" s="493">
        <v>13.500000000000048</v>
      </c>
      <c r="AC276" s="493">
        <v>13.5</v>
      </c>
      <c r="AD276" s="493">
        <v>13.5</v>
      </c>
      <c r="AE276" s="493">
        <v>13.5</v>
      </c>
      <c r="AF276" s="493">
        <v>13.5</v>
      </c>
      <c r="AG276" s="493">
        <v>13.5</v>
      </c>
      <c r="AH276" s="493">
        <v>13.5</v>
      </c>
      <c r="AI276" s="493">
        <v>13.5</v>
      </c>
    </row>
    <row r="277" spans="2:35" outlineLevel="1">
      <c r="B277" t="str">
        <f>_xlfn.TEXTJOIN(" - ",TRUE,C277:F277)</f>
        <v>e-ammonia - Conversion H2 -&gt; NH3 - Global - ton H2/ton NH3</v>
      </c>
      <c r="C277" t="str">
        <f>C208</f>
        <v>e-ammonia</v>
      </c>
      <c r="D277" t="s">
        <v>1375</v>
      </c>
      <c r="E277" t="s">
        <v>708</v>
      </c>
      <c r="F277" t="s">
        <v>1376</v>
      </c>
      <c r="G277" s="487" t="str">
        <f t="shared" si="33"/>
        <v>e-ammoniaGlobalConversion H2 -&gt; NH3</v>
      </c>
      <c r="H277" s="508">
        <v>0.18</v>
      </c>
      <c r="I277" s="508">
        <v>0.18</v>
      </c>
      <c r="J277" s="508">
        <v>0.18</v>
      </c>
      <c r="K277" s="508">
        <v>0.18</v>
      </c>
      <c r="L277" s="508">
        <v>0.18</v>
      </c>
      <c r="M277" s="508">
        <v>0.18</v>
      </c>
      <c r="N277" s="508">
        <v>0.18</v>
      </c>
      <c r="O277" s="508">
        <v>0.18</v>
      </c>
      <c r="P277" s="508">
        <v>0.18</v>
      </c>
      <c r="Q277" s="508">
        <v>0.18</v>
      </c>
      <c r="R277" s="508">
        <v>0.18</v>
      </c>
      <c r="S277" s="508">
        <v>0.18</v>
      </c>
      <c r="T277" s="508">
        <v>0.18</v>
      </c>
      <c r="U277" s="508">
        <v>0.18</v>
      </c>
      <c r="V277" s="508">
        <v>0.18</v>
      </c>
      <c r="W277" s="508">
        <v>0.18</v>
      </c>
      <c r="X277" s="508">
        <v>0.18</v>
      </c>
      <c r="Y277" s="508">
        <v>0.18</v>
      </c>
      <c r="Z277" s="508">
        <v>0.18</v>
      </c>
      <c r="AA277" s="508">
        <v>0.18</v>
      </c>
      <c r="AB277" s="508">
        <v>0.18</v>
      </c>
      <c r="AC277" s="508">
        <v>0.18</v>
      </c>
      <c r="AD277" s="508">
        <v>0.18</v>
      </c>
      <c r="AE277" s="508">
        <v>0.18</v>
      </c>
      <c r="AF277" s="508">
        <v>0.18</v>
      </c>
      <c r="AG277" s="508">
        <v>0.18</v>
      </c>
      <c r="AH277" s="508">
        <v>0.18</v>
      </c>
      <c r="AI277" s="508">
        <v>0.18</v>
      </c>
    </row>
    <row r="278" spans="2:35">
      <c r="G278" s="487" t="str">
        <f t="shared" si="33"/>
        <v/>
      </c>
    </row>
    <row r="279" spans="2:35" ht="15">
      <c r="B279" t="str">
        <f t="shared" ref="B279:B314" si="35">_xlfn.TEXTJOIN(" - ",TRUE,C279:F279)</f>
        <v>Carbon dioxide (DAC) - Item - Region - Unit</v>
      </c>
      <c r="C279" s="485" t="s">
        <v>1379</v>
      </c>
      <c r="D279" s="485" t="s">
        <v>877</v>
      </c>
      <c r="E279" s="485" t="s">
        <v>171</v>
      </c>
      <c r="F279" s="485" t="s">
        <v>111</v>
      </c>
      <c r="G279" s="487" t="str">
        <f t="shared" si="33"/>
        <v>Carbon dioxide (DAC)RegionItem</v>
      </c>
      <c r="H279" s="486">
        <v>2023</v>
      </c>
      <c r="I279" s="486">
        <v>2024</v>
      </c>
      <c r="J279" s="486">
        <v>2025</v>
      </c>
      <c r="K279" s="486">
        <v>2026</v>
      </c>
      <c r="L279" s="486">
        <v>2027</v>
      </c>
      <c r="M279" s="486">
        <v>2028</v>
      </c>
      <c r="N279" s="486">
        <v>2029</v>
      </c>
      <c r="O279" s="486">
        <v>2030</v>
      </c>
      <c r="P279" s="486">
        <v>2031</v>
      </c>
      <c r="Q279" s="486">
        <v>2032</v>
      </c>
      <c r="R279" s="486">
        <v>2033</v>
      </c>
      <c r="S279" s="486">
        <v>2034</v>
      </c>
      <c r="T279" s="486">
        <v>2035</v>
      </c>
      <c r="U279" s="486">
        <v>2036</v>
      </c>
      <c r="V279" s="486">
        <v>2037</v>
      </c>
      <c r="W279" s="486">
        <v>2038</v>
      </c>
      <c r="X279" s="486">
        <v>2039</v>
      </c>
      <c r="Y279" s="486">
        <v>2040</v>
      </c>
      <c r="Z279" s="486">
        <v>2041</v>
      </c>
      <c r="AA279" s="486">
        <v>2042</v>
      </c>
      <c r="AB279" s="486">
        <v>2043</v>
      </c>
      <c r="AC279" s="486">
        <v>2044</v>
      </c>
      <c r="AD279" s="486">
        <v>2045</v>
      </c>
      <c r="AE279" s="486">
        <v>2046</v>
      </c>
      <c r="AF279" s="486">
        <v>2047</v>
      </c>
      <c r="AG279" s="486">
        <v>2048</v>
      </c>
      <c r="AH279" s="486">
        <v>2049</v>
      </c>
      <c r="AI279" s="486">
        <v>2050</v>
      </c>
    </row>
    <row r="280" spans="2:35" outlineLevel="1">
      <c r="B280" t="str">
        <f t="shared" si="35"/>
        <v>Carbon dioxide (DAC) - Total cost - Africa - USD/ton fuel</v>
      </c>
      <c r="C280" s="487" t="str">
        <f>C279</f>
        <v>Carbon dioxide (DAC)</v>
      </c>
      <c r="D280" s="487" t="s">
        <v>1362</v>
      </c>
      <c r="E280" s="487" t="s">
        <v>838</v>
      </c>
      <c r="F280" s="487" t="s">
        <v>1353</v>
      </c>
      <c r="G280" s="487" t="str">
        <f t="shared" si="33"/>
        <v>Carbon dioxide (DAC)AfricaTotal cost</v>
      </c>
      <c r="H280" s="488">
        <v>296.62097893228963</v>
      </c>
      <c r="I280" s="488">
        <v>269.95608923406257</v>
      </c>
      <c r="J280" s="488">
        <v>243.88653979208223</v>
      </c>
      <c r="K280" s="488">
        <v>232.80947300688581</v>
      </c>
      <c r="L280" s="488">
        <v>221.91885106693803</v>
      </c>
      <c r="M280" s="488">
        <v>211.21467397223984</v>
      </c>
      <c r="N280" s="488">
        <v>200.69694172279128</v>
      </c>
      <c r="O280" s="488">
        <v>190.36565431859265</v>
      </c>
      <c r="P280" s="488">
        <v>183.00309152249926</v>
      </c>
      <c r="Q280" s="488">
        <v>175.74977399689323</v>
      </c>
      <c r="R280" s="488">
        <v>168.60570174177207</v>
      </c>
      <c r="S280" s="488">
        <v>161.57087475713939</v>
      </c>
      <c r="T280" s="488">
        <v>154.64529304299276</v>
      </c>
      <c r="U280" s="488">
        <v>149.68657367102458</v>
      </c>
      <c r="V280" s="488">
        <v>144.78817859510252</v>
      </c>
      <c r="W280" s="488">
        <v>139.95010781522603</v>
      </c>
      <c r="X280" s="488">
        <v>135.17236133139443</v>
      </c>
      <c r="Y280" s="488">
        <v>130.45493914360796</v>
      </c>
      <c r="Z280" s="488">
        <v>126.17618237922781</v>
      </c>
      <c r="AA280" s="488">
        <v>121.95014865552533</v>
      </c>
      <c r="AB280" s="488">
        <v>117.7768379725002</v>
      </c>
      <c r="AC280" s="488">
        <v>113.65625033015385</v>
      </c>
      <c r="AD280" s="488">
        <v>109.58838572848549</v>
      </c>
      <c r="AE280" s="488">
        <v>106.44467413105096</v>
      </c>
      <c r="AF280" s="488">
        <v>103.33236707160029</v>
      </c>
      <c r="AG280" s="488">
        <v>100.25146455013206</v>
      </c>
      <c r="AH280" s="488">
        <v>97.201966566647087</v>
      </c>
      <c r="AI280" s="488">
        <v>94.183873121146092</v>
      </c>
    </row>
    <row r="281" spans="2:35" outlineLevel="1">
      <c r="B281" t="str">
        <f t="shared" si="35"/>
        <v>Carbon dioxide (DAC) - Total cost - Americas - USD/ton fuel</v>
      </c>
      <c r="C281" t="str">
        <f>C280</f>
        <v>Carbon dioxide (DAC)</v>
      </c>
      <c r="D281" t="s">
        <v>1362</v>
      </c>
      <c r="E281" t="s">
        <v>731</v>
      </c>
      <c r="F281" t="s">
        <v>1353</v>
      </c>
      <c r="G281" s="487" t="str">
        <f t="shared" si="33"/>
        <v>Carbon dioxide (DAC)AmericasTotal cost</v>
      </c>
      <c r="H281" s="489">
        <v>234.16162121549769</v>
      </c>
      <c r="I281" s="489">
        <v>225.65135900419827</v>
      </c>
      <c r="J281" s="489">
        <v>217.2611107615316</v>
      </c>
      <c r="K281" s="489">
        <v>208.26363020202524</v>
      </c>
      <c r="L281" s="489">
        <v>199.40688523873763</v>
      </c>
      <c r="M281" s="489">
        <v>190.69087587166962</v>
      </c>
      <c r="N281" s="489">
        <v>182.11560210082365</v>
      </c>
      <c r="O281" s="489">
        <v>173.68106392619524</v>
      </c>
      <c r="P281" s="489">
        <v>167.69551175040382</v>
      </c>
      <c r="Q281" s="489">
        <v>161.78861356271622</v>
      </c>
      <c r="R281" s="489">
        <v>155.96036936313124</v>
      </c>
      <c r="S281" s="489">
        <v>150.21077915165029</v>
      </c>
      <c r="T281" s="489">
        <v>144.53984292827138</v>
      </c>
      <c r="U281" s="489">
        <v>139.71556520359152</v>
      </c>
      <c r="V281" s="489">
        <v>134.95153505279714</v>
      </c>
      <c r="W281" s="489">
        <v>130.24775247588798</v>
      </c>
      <c r="X281" s="489">
        <v>125.60421747286347</v>
      </c>
      <c r="Y281" s="489">
        <v>121.02093004372313</v>
      </c>
      <c r="Z281" s="489">
        <v>117.57533582239029</v>
      </c>
      <c r="AA281" s="489">
        <v>114.16372840295915</v>
      </c>
      <c r="AB281" s="489">
        <v>110.78610778543006</v>
      </c>
      <c r="AC281" s="489">
        <v>107.44247396980312</v>
      </c>
      <c r="AD281" s="489">
        <v>104.13282695607847</v>
      </c>
      <c r="AE281" s="489">
        <v>101.27377135396961</v>
      </c>
      <c r="AF281" s="489">
        <v>98.440485293336934</v>
      </c>
      <c r="AG281" s="489">
        <v>95.632968774179432</v>
      </c>
      <c r="AH281" s="489">
        <v>92.85122179649764</v>
      </c>
      <c r="AI281" s="489">
        <v>90.095244360292071</v>
      </c>
    </row>
    <row r="282" spans="2:35" outlineLevel="1">
      <c r="B282" t="str">
        <f t="shared" si="35"/>
        <v>Carbon dioxide (DAC) - Total cost - Asia - USD/ton fuel</v>
      </c>
      <c r="C282" t="str">
        <f>C281</f>
        <v>Carbon dioxide (DAC)</v>
      </c>
      <c r="D282" t="s">
        <v>1362</v>
      </c>
      <c r="E282" t="s">
        <v>750</v>
      </c>
      <c r="F282" t="s">
        <v>1353</v>
      </c>
      <c r="G282" s="487" t="str">
        <f t="shared" si="33"/>
        <v>Carbon dioxide (DAC)AsiaTotal cost</v>
      </c>
      <c r="H282" s="489">
        <v>315.4768082029388</v>
      </c>
      <c r="I282" s="489">
        <v>291.82082473612274</v>
      </c>
      <c r="J282" s="489">
        <v>268.67053769665677</v>
      </c>
      <c r="K282" s="489">
        <v>256.89619048138445</v>
      </c>
      <c r="L282" s="489">
        <v>245.31817072619225</v>
      </c>
      <c r="M282" s="489">
        <v>233.93647843107601</v>
      </c>
      <c r="N282" s="489">
        <v>222.75111359603954</v>
      </c>
      <c r="O282" s="489">
        <v>211.76207622108313</v>
      </c>
      <c r="P282" s="489">
        <v>203.28296344669053</v>
      </c>
      <c r="Q282" s="489">
        <v>194.93519990183995</v>
      </c>
      <c r="R282" s="489">
        <v>186.71878558652995</v>
      </c>
      <c r="S282" s="489">
        <v>178.63372050075947</v>
      </c>
      <c r="T282" s="489">
        <v>170.68000464452814</v>
      </c>
      <c r="U282" s="489">
        <v>165.01695433660979</v>
      </c>
      <c r="V282" s="489">
        <v>159.42730054865518</v>
      </c>
      <c r="W282" s="489">
        <v>153.91104328066464</v>
      </c>
      <c r="X282" s="489">
        <v>148.46818253263623</v>
      </c>
      <c r="Y282" s="489">
        <v>143.09871830457126</v>
      </c>
      <c r="Z282" s="489">
        <v>138.149437809587</v>
      </c>
      <c r="AA282" s="489">
        <v>133.26622501694061</v>
      </c>
      <c r="AB282" s="489">
        <v>128.44907992663133</v>
      </c>
      <c r="AC282" s="489">
        <v>123.69800253866052</v>
      </c>
      <c r="AD282" s="489">
        <v>119.01299285302716</v>
      </c>
      <c r="AE282" s="489">
        <v>115.56483803179665</v>
      </c>
      <c r="AF282" s="489">
        <v>112.15288205701032</v>
      </c>
      <c r="AG282" s="489">
        <v>108.7771249286678</v>
      </c>
      <c r="AH282" s="489">
        <v>105.43756664676937</v>
      </c>
      <c r="AI282" s="489">
        <v>102.13420721131533</v>
      </c>
    </row>
    <row r="283" spans="2:35" outlineLevel="1">
      <c r="B283" t="str">
        <f t="shared" si="35"/>
        <v>Carbon dioxide (DAC) - Total cost - Europe - USD/ton fuel</v>
      </c>
      <c r="C283" t="str">
        <f>C282</f>
        <v>Carbon dioxide (DAC)</v>
      </c>
      <c r="D283" t="s">
        <v>1362</v>
      </c>
      <c r="E283" t="s">
        <v>720</v>
      </c>
      <c r="F283" t="s">
        <v>1353</v>
      </c>
      <c r="G283" s="487" t="str">
        <f t="shared" si="33"/>
        <v>Carbon dioxide (DAC)EuropeTotal cost</v>
      </c>
      <c r="H283" s="489">
        <v>267.71384440942967</v>
      </c>
      <c r="I283" s="489">
        <v>254.99050492063122</v>
      </c>
      <c r="J283" s="489">
        <v>242.49039782193589</v>
      </c>
      <c r="K283" s="489">
        <v>232.06088122815453</v>
      </c>
      <c r="L283" s="489">
        <v>221.80120941418619</v>
      </c>
      <c r="M283" s="489">
        <v>211.71138238003414</v>
      </c>
      <c r="N283" s="489">
        <v>201.79140012569729</v>
      </c>
      <c r="O283" s="489">
        <v>192.04126265117594</v>
      </c>
      <c r="P283" s="489">
        <v>185.60609295834632</v>
      </c>
      <c r="Q283" s="489">
        <v>179.25513297659518</v>
      </c>
      <c r="R283" s="489">
        <v>172.98838270591881</v>
      </c>
      <c r="S283" s="489">
        <v>166.80584214631915</v>
      </c>
      <c r="T283" s="489">
        <v>160.70751129779512</v>
      </c>
      <c r="U283" s="489">
        <v>155.8740504996469</v>
      </c>
      <c r="V283" s="489">
        <v>151.09552908554008</v>
      </c>
      <c r="W283" s="489">
        <v>146.37194705547432</v>
      </c>
      <c r="X283" s="489">
        <v>141.70330440944861</v>
      </c>
      <c r="Y283" s="489">
        <v>137.08960114746228</v>
      </c>
      <c r="Z283" s="489">
        <v>132.88157171280233</v>
      </c>
      <c r="AA283" s="489">
        <v>128.72212216634401</v>
      </c>
      <c r="AB283" s="489">
        <v>124.61125250808806</v>
      </c>
      <c r="AC283" s="489">
        <v>120.54896273803433</v>
      </c>
      <c r="AD283" s="489">
        <v>116.53525285618329</v>
      </c>
      <c r="AE283" s="489">
        <v>113.14792277574824</v>
      </c>
      <c r="AF283" s="489">
        <v>109.79603788149367</v>
      </c>
      <c r="AG283" s="489">
        <v>106.47959817341915</v>
      </c>
      <c r="AH283" s="489">
        <v>103.198603651525</v>
      </c>
      <c r="AI283" s="489">
        <v>99.953054315811499</v>
      </c>
    </row>
    <row r="284" spans="2:35" outlineLevel="1">
      <c r="B284" t="str">
        <f t="shared" si="35"/>
        <v>Carbon dioxide (DAC) - Total cost - Middle East - USD/ton fuel</v>
      </c>
      <c r="C284" s="25" t="str">
        <f>C283</f>
        <v>Carbon dioxide (DAC)</v>
      </c>
      <c r="D284" s="25" t="s">
        <v>1362</v>
      </c>
      <c r="E284" s="25" t="s">
        <v>826</v>
      </c>
      <c r="F284" s="25" t="s">
        <v>1353</v>
      </c>
      <c r="G284" s="487" t="str">
        <f t="shared" si="33"/>
        <v>Carbon dioxide (DAC)Middle EastTotal cost</v>
      </c>
      <c r="H284" s="490">
        <v>235.12036337633754</v>
      </c>
      <c r="I284" s="490">
        <v>224.11620442694419</v>
      </c>
      <c r="J284" s="490">
        <v>213.30018977940381</v>
      </c>
      <c r="K284" s="490">
        <v>204.91432008049392</v>
      </c>
      <c r="L284" s="490">
        <v>196.65441431922051</v>
      </c>
      <c r="M284" s="490">
        <v>188.52047249558439</v>
      </c>
      <c r="N284" s="490">
        <v>180.51249460958695</v>
      </c>
      <c r="O284" s="490">
        <v>172.63048066122599</v>
      </c>
      <c r="P284" s="490">
        <v>166.28490260841022</v>
      </c>
      <c r="Q284" s="490">
        <v>160.02783502043238</v>
      </c>
      <c r="R284" s="490">
        <v>153.8592778972901</v>
      </c>
      <c r="S284" s="490">
        <v>147.77923123898591</v>
      </c>
      <c r="T284" s="490">
        <v>141.78769504551758</v>
      </c>
      <c r="U284" s="490">
        <v>137.28570651204271</v>
      </c>
      <c r="V284" s="490">
        <v>132.83640988017365</v>
      </c>
      <c r="W284" s="490">
        <v>128.43980514991077</v>
      </c>
      <c r="X284" s="490">
        <v>124.09589232125236</v>
      </c>
      <c r="Y284" s="490">
        <v>119.80467139419869</v>
      </c>
      <c r="Z284" s="490">
        <v>115.69823450540083</v>
      </c>
      <c r="AA284" s="490">
        <v>111.64363192063473</v>
      </c>
      <c r="AB284" s="490">
        <v>107.64086363990009</v>
      </c>
      <c r="AC284" s="490">
        <v>103.68992966319777</v>
      </c>
      <c r="AD284" s="490">
        <v>99.790829990527229</v>
      </c>
      <c r="AE284" s="490">
        <v>96.814241180930338</v>
      </c>
      <c r="AF284" s="490">
        <v>93.868012509751736</v>
      </c>
      <c r="AG284" s="490">
        <v>90.952143976990243</v>
      </c>
      <c r="AH284" s="490">
        <v>88.066635582646512</v>
      </c>
      <c r="AI284" s="490">
        <v>85.211487326721198</v>
      </c>
    </row>
    <row r="285" spans="2:35" ht="15" outlineLevel="1">
      <c r="B285" t="str">
        <f t="shared" si="35"/>
        <v/>
      </c>
      <c r="C285" s="22"/>
      <c r="G285" s="487" t="str">
        <f t="shared" si="33"/>
        <v/>
      </c>
    </row>
    <row r="286" spans="2:35" ht="15" outlineLevel="1">
      <c r="B286" t="str">
        <f t="shared" si="35"/>
        <v>Carbon dioxide (DAC) - CAPEX including feedstock CAPEX - Global - USD/ton fuel</v>
      </c>
      <c r="C286" s="491" t="str">
        <f>C279</f>
        <v>Carbon dioxide (DAC)</v>
      </c>
      <c r="D286" s="491" t="s">
        <v>1363</v>
      </c>
      <c r="E286" s="491" t="s">
        <v>708</v>
      </c>
      <c r="F286" s="491" t="s">
        <v>1353</v>
      </c>
      <c r="G286" s="487" t="str">
        <f t="shared" si="33"/>
        <v>Carbon dioxide (DAC)GlobalCAPEX including feedstock CAPEX</v>
      </c>
      <c r="H286" s="492">
        <v>30.508013847333252</v>
      </c>
      <c r="I286" s="492">
        <v>29.566240685333227</v>
      </c>
      <c r="J286" s="492">
        <v>28.624467523333198</v>
      </c>
      <c r="K286" s="492">
        <v>27.81573486463288</v>
      </c>
      <c r="L286" s="492">
        <v>27.00700220593232</v>
      </c>
      <c r="M286" s="492">
        <v>26.198269547231757</v>
      </c>
      <c r="N286" s="492">
        <v>25.389536888531438</v>
      </c>
      <c r="O286" s="492">
        <v>24.580804229830878</v>
      </c>
      <c r="P286" s="492">
        <v>23.886317978110068</v>
      </c>
      <c r="Q286" s="492">
        <v>23.191831726389257</v>
      </c>
      <c r="R286" s="492">
        <v>22.497345474668204</v>
      </c>
      <c r="S286" s="492">
        <v>21.802859222947397</v>
      </c>
      <c r="T286" s="492">
        <v>21.108372971226345</v>
      </c>
      <c r="U286" s="492">
        <v>20.511993996492674</v>
      </c>
      <c r="V286" s="492">
        <v>19.915615021759002</v>
      </c>
      <c r="W286" s="492">
        <v>19.319236047025576</v>
      </c>
      <c r="X286" s="492">
        <v>18.722857072291905</v>
      </c>
      <c r="Y286" s="492">
        <v>18.126478097558113</v>
      </c>
      <c r="Z286" s="492">
        <v>17.614347179742374</v>
      </c>
      <c r="AA286" s="492">
        <v>17.102216261926515</v>
      </c>
      <c r="AB286" s="492">
        <v>16.590085344110655</v>
      </c>
      <c r="AC286" s="492">
        <v>16.077954426294795</v>
      </c>
      <c r="AD286" s="492">
        <v>15.565823508479054</v>
      </c>
      <c r="AE286" s="492">
        <v>15.119325473449862</v>
      </c>
      <c r="AF286" s="492">
        <v>14.672827438420791</v>
      </c>
      <c r="AG286" s="492">
        <v>14.226329403391597</v>
      </c>
      <c r="AH286" s="492">
        <v>13.779831368362405</v>
      </c>
      <c r="AI286" s="492">
        <v>13.333333333333334</v>
      </c>
    </row>
    <row r="287" spans="2:35" outlineLevel="1">
      <c r="B287" t="str">
        <f t="shared" si="35"/>
        <v>Carbon dioxide (DAC) - CAPEX - Global - USD/ton fuel</v>
      </c>
      <c r="C287" t="str">
        <f>C279</f>
        <v>Carbon dioxide (DAC)</v>
      </c>
      <c r="D287" t="s">
        <v>446</v>
      </c>
      <c r="E287" t="s">
        <v>708</v>
      </c>
      <c r="F287" t="s">
        <v>1353</v>
      </c>
      <c r="G287" s="487" t="str">
        <f t="shared" si="33"/>
        <v>Carbon dioxide (DAC)GlobalCAPEX</v>
      </c>
      <c r="H287" s="493">
        <v>30.508013847333252</v>
      </c>
      <c r="I287" s="493">
        <v>29.566240685333227</v>
      </c>
      <c r="J287" s="493">
        <v>28.624467523333198</v>
      </c>
      <c r="K287" s="493">
        <v>27.81573486463288</v>
      </c>
      <c r="L287" s="493">
        <v>27.00700220593232</v>
      </c>
      <c r="M287" s="493">
        <v>26.198269547231757</v>
      </c>
      <c r="N287" s="493">
        <v>25.389536888531438</v>
      </c>
      <c r="O287" s="493">
        <v>24.580804229830878</v>
      </c>
      <c r="P287" s="493">
        <v>23.886317978110068</v>
      </c>
      <c r="Q287" s="493">
        <v>23.191831726389257</v>
      </c>
      <c r="R287" s="493">
        <v>22.497345474668204</v>
      </c>
      <c r="S287" s="493">
        <v>21.802859222947397</v>
      </c>
      <c r="T287" s="493">
        <v>21.108372971226345</v>
      </c>
      <c r="U287" s="493">
        <v>20.511993996492674</v>
      </c>
      <c r="V287" s="493">
        <v>19.915615021759002</v>
      </c>
      <c r="W287" s="493">
        <v>19.319236047025576</v>
      </c>
      <c r="X287" s="493">
        <v>18.722857072291905</v>
      </c>
      <c r="Y287" s="493">
        <v>18.126478097558113</v>
      </c>
      <c r="Z287" s="493">
        <v>17.614347179742374</v>
      </c>
      <c r="AA287" s="493">
        <v>17.102216261926515</v>
      </c>
      <c r="AB287" s="493">
        <v>16.590085344110655</v>
      </c>
      <c r="AC287" s="493">
        <v>16.077954426294795</v>
      </c>
      <c r="AD287" s="493">
        <v>15.565823508479054</v>
      </c>
      <c r="AE287" s="493">
        <v>15.119325473449862</v>
      </c>
      <c r="AF287" s="493">
        <v>14.672827438420791</v>
      </c>
      <c r="AG287" s="493">
        <v>14.226329403391597</v>
      </c>
      <c r="AH287" s="493">
        <v>13.779831368362405</v>
      </c>
      <c r="AI287" s="493">
        <v>13.333333333333334</v>
      </c>
    </row>
    <row r="288" spans="2:35" outlineLevel="1">
      <c r="B288" t="str">
        <f t="shared" si="35"/>
        <v/>
      </c>
      <c r="G288" s="487" t="str">
        <f t="shared" si="33"/>
        <v/>
      </c>
      <c r="H288" s="493"/>
      <c r="I288" s="493"/>
      <c r="J288" s="493"/>
      <c r="K288" s="493"/>
      <c r="L288" s="493"/>
      <c r="M288" s="493"/>
      <c r="N288" s="493"/>
      <c r="O288" s="493"/>
      <c r="P288" s="493"/>
      <c r="Q288" s="493"/>
      <c r="R288" s="493"/>
      <c r="S288" s="493"/>
      <c r="T288" s="493"/>
      <c r="U288" s="493"/>
      <c r="V288" s="493"/>
      <c r="W288" s="493"/>
      <c r="X288" s="493"/>
      <c r="Y288" s="493"/>
      <c r="Z288" s="493"/>
      <c r="AA288" s="493"/>
      <c r="AB288" s="493"/>
      <c r="AC288" s="493"/>
      <c r="AD288" s="493"/>
      <c r="AE288" s="493"/>
      <c r="AF288" s="493"/>
      <c r="AG288" s="493"/>
      <c r="AH288" s="493"/>
      <c r="AI288" s="493"/>
    </row>
    <row r="289" spans="2:64" ht="15" outlineLevel="1">
      <c r="B289" t="str">
        <f t="shared" si="35"/>
        <v>Carbon dioxide (DAC) - OPEX including feedstock OPEX - Global - USD/ton fuel</v>
      </c>
      <c r="C289" s="491" t="str">
        <f>C280</f>
        <v>Carbon dioxide (DAC)</v>
      </c>
      <c r="D289" s="491" t="s">
        <v>1364</v>
      </c>
      <c r="E289" s="491" t="s">
        <v>708</v>
      </c>
      <c r="F289" s="491" t="s">
        <v>1353</v>
      </c>
      <c r="G289" s="487" t="str">
        <f t="shared" si="33"/>
        <v>Carbon dioxide (DAC)GlobalOPEX including feedstock OPEX</v>
      </c>
      <c r="H289" s="492">
        <v>47.7310020645956</v>
      </c>
      <c r="I289" s="492">
        <v>45.303460746236098</v>
      </c>
      <c r="J289" s="492">
        <v>42.936701284999835</v>
      </c>
      <c r="K289" s="492">
        <v>40.913166813136101</v>
      </c>
      <c r="L289" s="492">
        <v>38.936758591699629</v>
      </c>
      <c r="M289" s="492">
        <v>37.007476620690611</v>
      </c>
      <c r="N289" s="492">
        <v>35.125320900109735</v>
      </c>
      <c r="O289" s="492">
        <v>33.290291429956135</v>
      </c>
      <c r="P289" s="492">
        <v>31.721376020274985</v>
      </c>
      <c r="Q289" s="492">
        <v>30.18899920260916</v>
      </c>
      <c r="R289" s="492">
        <v>28.693160976958509</v>
      </c>
      <c r="S289" s="492">
        <v>27.23386134332349</v>
      </c>
      <c r="T289" s="492">
        <v>25.811100301703355</v>
      </c>
      <c r="U289" s="492">
        <v>24.594666582900402</v>
      </c>
      <c r="V289" s="492">
        <v>23.406562482820661</v>
      </c>
      <c r="W289" s="492">
        <v>22.246788001464278</v>
      </c>
      <c r="X289" s="492">
        <v>21.115343138830685</v>
      </c>
      <c r="Y289" s="492">
        <v>20.012227894920034</v>
      </c>
      <c r="Z289" s="492">
        <v>19.069085273520873</v>
      </c>
      <c r="AA289" s="492">
        <v>18.147907573393375</v>
      </c>
      <c r="AB289" s="492">
        <v>17.248694794537446</v>
      </c>
      <c r="AC289" s="492">
        <v>16.371446936953305</v>
      </c>
      <c r="AD289" s="492">
        <v>15.516164000640968</v>
      </c>
      <c r="AE289" s="492">
        <v>14.778350924667834</v>
      </c>
      <c r="AF289" s="492">
        <v>14.057827986617346</v>
      </c>
      <c r="AG289" s="492">
        <v>13.354595186489069</v>
      </c>
      <c r="AH289" s="492">
        <v>12.668652524283226</v>
      </c>
      <c r="AI289" s="492">
        <v>12.000000000000011</v>
      </c>
    </row>
    <row r="290" spans="2:64" outlineLevel="1">
      <c r="B290" t="str">
        <f t="shared" si="35"/>
        <v>Carbon dioxide (DAC) - OPEX - Global - USD/ton fuel</v>
      </c>
      <c r="C290" t="str">
        <f>C279</f>
        <v>Carbon dioxide (DAC)</v>
      </c>
      <c r="D290" t="s">
        <v>450</v>
      </c>
      <c r="E290" t="s">
        <v>708</v>
      </c>
      <c r="F290" t="s">
        <v>1353</v>
      </c>
      <c r="G290" s="487" t="str">
        <f t="shared" si="33"/>
        <v>Carbon dioxide (DAC)GlobalOPEX</v>
      </c>
      <c r="H290" s="493">
        <v>47.7310020645956</v>
      </c>
      <c r="I290" s="493">
        <v>45.303460746236098</v>
      </c>
      <c r="J290" s="493">
        <v>42.936701284999835</v>
      </c>
      <c r="K290" s="493">
        <v>40.913166813136101</v>
      </c>
      <c r="L290" s="493">
        <v>38.936758591699629</v>
      </c>
      <c r="M290" s="493">
        <v>37.007476620690611</v>
      </c>
      <c r="N290" s="493">
        <v>35.125320900109735</v>
      </c>
      <c r="O290" s="493">
        <v>33.290291429956135</v>
      </c>
      <c r="P290" s="493">
        <v>31.721376020274985</v>
      </c>
      <c r="Q290" s="493">
        <v>30.18899920260916</v>
      </c>
      <c r="R290" s="493">
        <v>28.693160976958509</v>
      </c>
      <c r="S290" s="493">
        <v>27.23386134332349</v>
      </c>
      <c r="T290" s="493">
        <v>25.811100301703355</v>
      </c>
      <c r="U290" s="493">
        <v>24.594666582900402</v>
      </c>
      <c r="V290" s="493">
        <v>23.406562482820661</v>
      </c>
      <c r="W290" s="493">
        <v>22.246788001464278</v>
      </c>
      <c r="X290" s="493">
        <v>21.115343138830685</v>
      </c>
      <c r="Y290" s="493">
        <v>20.012227894920034</v>
      </c>
      <c r="Z290" s="493">
        <v>19.069085273520873</v>
      </c>
      <c r="AA290" s="493">
        <v>18.147907573393375</v>
      </c>
      <c r="AB290" s="493">
        <v>17.248694794537446</v>
      </c>
      <c r="AC290" s="493">
        <v>16.371446936953305</v>
      </c>
      <c r="AD290" s="493">
        <v>15.516164000640968</v>
      </c>
      <c r="AE290" s="493">
        <v>14.778350924667834</v>
      </c>
      <c r="AF290" s="493">
        <v>14.057827986617346</v>
      </c>
      <c r="AG290" s="493">
        <v>13.354595186489069</v>
      </c>
      <c r="AH290" s="493">
        <v>12.668652524283226</v>
      </c>
      <c r="AI290" s="493">
        <v>12.000000000000011</v>
      </c>
    </row>
    <row r="291" spans="2:64" outlineLevel="1">
      <c r="B291" t="str">
        <f t="shared" si="35"/>
        <v/>
      </c>
      <c r="G291" s="487" t="str">
        <f t="shared" si="33"/>
        <v/>
      </c>
      <c r="H291" s="493"/>
      <c r="I291" s="493"/>
      <c r="J291" s="493"/>
      <c r="K291" s="493"/>
      <c r="L291" s="493"/>
      <c r="M291" s="493"/>
      <c r="N291" s="493"/>
      <c r="O291" s="493"/>
      <c r="P291" s="493"/>
      <c r="Q291" s="493"/>
      <c r="R291" s="493"/>
      <c r="S291" s="493"/>
      <c r="T291" s="493"/>
      <c r="U291" s="493"/>
      <c r="V291" s="493"/>
      <c r="W291" s="493"/>
      <c r="X291" s="493"/>
      <c r="Y291" s="493"/>
      <c r="Z291" s="493"/>
      <c r="AA291" s="493"/>
      <c r="AB291" s="493"/>
      <c r="AC291" s="493"/>
      <c r="AD291" s="493"/>
      <c r="AE291" s="493"/>
      <c r="AF291" s="493"/>
      <c r="AG291" s="493"/>
      <c r="AH291" s="493"/>
      <c r="AI291" s="493"/>
    </row>
    <row r="292" spans="2:64" ht="15" outlineLevel="1">
      <c r="B292" t="str">
        <f t="shared" si="35"/>
        <v>Carbon dioxide (DAC) - Finance cost including feedstock finance cost - Africa - USD/ton fuel</v>
      </c>
      <c r="C292" s="494" t="str">
        <f>C283</f>
        <v>Carbon dioxide (DAC)</v>
      </c>
      <c r="D292" s="494" t="s">
        <v>1365</v>
      </c>
      <c r="E292" s="494" t="s">
        <v>838</v>
      </c>
      <c r="F292" s="494" t="s">
        <v>1353</v>
      </c>
      <c r="G292" s="487" t="str">
        <f t="shared" si="33"/>
        <v>Carbon dioxide (DAC)AfricaFinance cost including feedstock finance cost</v>
      </c>
      <c r="H292" s="495">
        <v>50.338222848099875</v>
      </c>
      <c r="I292" s="495">
        <v>48.784297130799828</v>
      </c>
      <c r="J292" s="495">
        <v>47.230371413499782</v>
      </c>
      <c r="K292" s="495">
        <v>45.895962526644261</v>
      </c>
      <c r="L292" s="495">
        <v>44.561553639788329</v>
      </c>
      <c r="M292" s="495">
        <v>43.227144752932404</v>
      </c>
      <c r="N292" s="495">
        <v>41.892735866076876</v>
      </c>
      <c r="O292" s="495">
        <v>40.558326979220951</v>
      </c>
      <c r="P292" s="495">
        <v>39.412424663881616</v>
      </c>
      <c r="Q292" s="495">
        <v>38.266522348542281</v>
      </c>
      <c r="R292" s="495">
        <v>37.120620033202542</v>
      </c>
      <c r="S292" s="495">
        <v>35.974717717863207</v>
      </c>
      <c r="T292" s="495">
        <v>34.828815402523475</v>
      </c>
      <c r="U292" s="495">
        <v>33.844790094212918</v>
      </c>
      <c r="V292" s="495">
        <v>32.860764785902361</v>
      </c>
      <c r="W292" s="495">
        <v>31.876739477592203</v>
      </c>
      <c r="X292" s="495">
        <v>30.89271416928165</v>
      </c>
      <c r="Y292" s="495">
        <v>29.908688860970891</v>
      </c>
      <c r="Z292" s="495">
        <v>29.063672846574921</v>
      </c>
      <c r="AA292" s="495">
        <v>28.218656832178752</v>
      </c>
      <c r="AB292" s="495">
        <v>27.373640817782583</v>
      </c>
      <c r="AC292" s="495">
        <v>26.528624803386414</v>
      </c>
      <c r="AD292" s="495">
        <v>25.683608788990444</v>
      </c>
      <c r="AE292" s="495">
        <v>24.946887031192276</v>
      </c>
      <c r="AF292" s="495">
        <v>24.210165273394306</v>
      </c>
      <c r="AG292" s="495">
        <v>23.473443515596138</v>
      </c>
      <c r="AH292" s="495">
        <v>22.736721757797969</v>
      </c>
      <c r="AI292" s="495">
        <v>22.000000000000004</v>
      </c>
    </row>
    <row r="293" spans="2:64" ht="15" outlineLevel="1">
      <c r="B293" t="str">
        <f t="shared" si="35"/>
        <v>Carbon dioxide (DAC) - Finance cost including feedstock finance cost - Americas - USD/ton fuel</v>
      </c>
      <c r="C293" s="22" t="str">
        <f>C283</f>
        <v>Carbon dioxide (DAC)</v>
      </c>
      <c r="D293" s="22" t="s">
        <v>1365</v>
      </c>
      <c r="E293" s="22" t="s">
        <v>731</v>
      </c>
      <c r="F293" s="22" t="s">
        <v>1353</v>
      </c>
      <c r="G293" s="487" t="str">
        <f t="shared" si="33"/>
        <v>Carbon dioxide (DAC)AmericasFinance cost including feedstock finance cost</v>
      </c>
      <c r="H293" s="496">
        <v>50.338222848099875</v>
      </c>
      <c r="I293" s="496">
        <v>48.784297130799828</v>
      </c>
      <c r="J293" s="496">
        <v>47.230371413499782</v>
      </c>
      <c r="K293" s="496">
        <v>45.895962526644261</v>
      </c>
      <c r="L293" s="496">
        <v>44.561553639788329</v>
      </c>
      <c r="M293" s="496">
        <v>43.227144752932404</v>
      </c>
      <c r="N293" s="496">
        <v>41.892735866076876</v>
      </c>
      <c r="O293" s="496">
        <v>40.558326979220951</v>
      </c>
      <c r="P293" s="496">
        <v>39.412424663881616</v>
      </c>
      <c r="Q293" s="496">
        <v>38.266522348542281</v>
      </c>
      <c r="R293" s="496">
        <v>37.120620033202542</v>
      </c>
      <c r="S293" s="496">
        <v>35.974717717863207</v>
      </c>
      <c r="T293" s="496">
        <v>34.828815402523475</v>
      </c>
      <c r="U293" s="496">
        <v>33.844790094212918</v>
      </c>
      <c r="V293" s="496">
        <v>32.860764785902361</v>
      </c>
      <c r="W293" s="496">
        <v>31.876739477592203</v>
      </c>
      <c r="X293" s="496">
        <v>30.89271416928165</v>
      </c>
      <c r="Y293" s="496">
        <v>29.908688860970891</v>
      </c>
      <c r="Z293" s="496">
        <v>29.063672846574921</v>
      </c>
      <c r="AA293" s="496">
        <v>28.218656832178752</v>
      </c>
      <c r="AB293" s="496">
        <v>27.373640817782583</v>
      </c>
      <c r="AC293" s="496">
        <v>26.528624803386414</v>
      </c>
      <c r="AD293" s="496">
        <v>25.683608788990444</v>
      </c>
      <c r="AE293" s="496">
        <v>24.946887031192276</v>
      </c>
      <c r="AF293" s="496">
        <v>24.210165273394306</v>
      </c>
      <c r="AG293" s="496">
        <v>23.473443515596138</v>
      </c>
      <c r="AH293" s="496">
        <v>22.736721757797969</v>
      </c>
      <c r="AI293" s="496">
        <v>22.000000000000004</v>
      </c>
    </row>
    <row r="294" spans="2:64" ht="15" outlineLevel="1">
      <c r="B294" t="str">
        <f t="shared" si="35"/>
        <v>Carbon dioxide (DAC) - Finance cost including feedstock finance cost - Asia - USD/ton fuel</v>
      </c>
      <c r="C294" s="22" t="str">
        <f>C283</f>
        <v>Carbon dioxide (DAC)</v>
      </c>
      <c r="D294" s="22" t="s">
        <v>1365</v>
      </c>
      <c r="E294" s="22" t="s">
        <v>750</v>
      </c>
      <c r="F294" s="22" t="s">
        <v>1353</v>
      </c>
      <c r="G294" s="487" t="str">
        <f t="shared" si="33"/>
        <v>Carbon dioxide (DAC)AsiaFinance cost including feedstock finance cost</v>
      </c>
      <c r="H294" s="496">
        <v>50.338222848099875</v>
      </c>
      <c r="I294" s="496">
        <v>48.784297130799828</v>
      </c>
      <c r="J294" s="496">
        <v>47.230371413499782</v>
      </c>
      <c r="K294" s="496">
        <v>45.895962526644261</v>
      </c>
      <c r="L294" s="496">
        <v>44.561553639788329</v>
      </c>
      <c r="M294" s="496">
        <v>43.227144752932404</v>
      </c>
      <c r="N294" s="496">
        <v>41.892735866076876</v>
      </c>
      <c r="O294" s="496">
        <v>40.558326979220951</v>
      </c>
      <c r="P294" s="496">
        <v>39.412424663881616</v>
      </c>
      <c r="Q294" s="496">
        <v>38.266522348542281</v>
      </c>
      <c r="R294" s="496">
        <v>37.120620033202542</v>
      </c>
      <c r="S294" s="496">
        <v>35.974717717863207</v>
      </c>
      <c r="T294" s="496">
        <v>34.828815402523475</v>
      </c>
      <c r="U294" s="496">
        <v>33.844790094212918</v>
      </c>
      <c r="V294" s="496">
        <v>32.860764785902361</v>
      </c>
      <c r="W294" s="496">
        <v>31.876739477592203</v>
      </c>
      <c r="X294" s="496">
        <v>30.89271416928165</v>
      </c>
      <c r="Y294" s="496">
        <v>29.908688860970891</v>
      </c>
      <c r="Z294" s="496">
        <v>29.063672846574921</v>
      </c>
      <c r="AA294" s="496">
        <v>28.218656832178752</v>
      </c>
      <c r="AB294" s="496">
        <v>27.373640817782583</v>
      </c>
      <c r="AC294" s="496">
        <v>26.528624803386414</v>
      </c>
      <c r="AD294" s="496">
        <v>25.683608788990444</v>
      </c>
      <c r="AE294" s="496">
        <v>24.946887031192276</v>
      </c>
      <c r="AF294" s="496">
        <v>24.210165273394306</v>
      </c>
      <c r="AG294" s="496">
        <v>23.473443515596138</v>
      </c>
      <c r="AH294" s="496">
        <v>22.736721757797969</v>
      </c>
      <c r="AI294" s="496">
        <v>22.000000000000004</v>
      </c>
    </row>
    <row r="295" spans="2:64" ht="15" outlineLevel="1">
      <c r="B295" t="str">
        <f t="shared" si="35"/>
        <v>Carbon dioxide (DAC) - Finance cost including feedstock finance cost - Europe - USD/ton fuel</v>
      </c>
      <c r="C295" s="22" t="str">
        <f>C283</f>
        <v>Carbon dioxide (DAC)</v>
      </c>
      <c r="D295" s="22" t="s">
        <v>1365</v>
      </c>
      <c r="E295" s="22" t="s">
        <v>720</v>
      </c>
      <c r="F295" s="22" t="s">
        <v>1353</v>
      </c>
      <c r="G295" s="487" t="str">
        <f t="shared" si="33"/>
        <v>Carbon dioxide (DAC)EuropeFinance cost including feedstock finance cost</v>
      </c>
      <c r="H295" s="496">
        <v>50.338222848099875</v>
      </c>
      <c r="I295" s="496">
        <v>48.784297130799828</v>
      </c>
      <c r="J295" s="496">
        <v>47.230371413499782</v>
      </c>
      <c r="K295" s="496">
        <v>45.895962526644261</v>
      </c>
      <c r="L295" s="496">
        <v>44.561553639788329</v>
      </c>
      <c r="M295" s="496">
        <v>43.227144752932404</v>
      </c>
      <c r="N295" s="496">
        <v>41.892735866076876</v>
      </c>
      <c r="O295" s="496">
        <v>40.558326979220951</v>
      </c>
      <c r="P295" s="496">
        <v>39.412424663881616</v>
      </c>
      <c r="Q295" s="496">
        <v>38.266522348542281</v>
      </c>
      <c r="R295" s="496">
        <v>37.120620033202542</v>
      </c>
      <c r="S295" s="496">
        <v>35.974717717863207</v>
      </c>
      <c r="T295" s="496">
        <v>34.828815402523475</v>
      </c>
      <c r="U295" s="496">
        <v>33.844790094212918</v>
      </c>
      <c r="V295" s="496">
        <v>32.860764785902361</v>
      </c>
      <c r="W295" s="496">
        <v>31.876739477592203</v>
      </c>
      <c r="X295" s="496">
        <v>30.89271416928165</v>
      </c>
      <c r="Y295" s="496">
        <v>29.908688860970891</v>
      </c>
      <c r="Z295" s="496">
        <v>29.063672846574921</v>
      </c>
      <c r="AA295" s="496">
        <v>28.218656832178752</v>
      </c>
      <c r="AB295" s="496">
        <v>27.373640817782583</v>
      </c>
      <c r="AC295" s="496">
        <v>26.528624803386414</v>
      </c>
      <c r="AD295" s="496">
        <v>25.683608788990444</v>
      </c>
      <c r="AE295" s="496">
        <v>24.946887031192276</v>
      </c>
      <c r="AF295" s="496">
        <v>24.210165273394306</v>
      </c>
      <c r="AG295" s="496">
        <v>23.473443515596138</v>
      </c>
      <c r="AH295" s="496">
        <v>22.736721757797969</v>
      </c>
      <c r="AI295" s="496">
        <v>22.000000000000004</v>
      </c>
    </row>
    <row r="296" spans="2:64" ht="15" outlineLevel="1">
      <c r="B296" t="str">
        <f t="shared" si="35"/>
        <v>Carbon dioxide (DAC) - Finance cost including feedstock finance cost - Middle East - USD/ton fuel</v>
      </c>
      <c r="C296" s="92" t="str">
        <f>C283</f>
        <v>Carbon dioxide (DAC)</v>
      </c>
      <c r="D296" s="92" t="s">
        <v>1365</v>
      </c>
      <c r="E296" s="92" t="s">
        <v>826</v>
      </c>
      <c r="F296" s="92" t="s">
        <v>1353</v>
      </c>
      <c r="G296" s="487" t="str">
        <f t="shared" si="33"/>
        <v>Carbon dioxide (DAC)Middle EastFinance cost including feedstock finance cost</v>
      </c>
      <c r="H296" s="497">
        <v>50.338222848099875</v>
      </c>
      <c r="I296" s="497">
        <v>48.784297130799828</v>
      </c>
      <c r="J296" s="497">
        <v>47.230371413499782</v>
      </c>
      <c r="K296" s="497">
        <v>45.895962526644261</v>
      </c>
      <c r="L296" s="497">
        <v>44.561553639788329</v>
      </c>
      <c r="M296" s="497">
        <v>43.227144752932404</v>
      </c>
      <c r="N296" s="497">
        <v>41.892735866076876</v>
      </c>
      <c r="O296" s="497">
        <v>40.558326979220951</v>
      </c>
      <c r="P296" s="497">
        <v>39.412424663881616</v>
      </c>
      <c r="Q296" s="497">
        <v>38.266522348542281</v>
      </c>
      <c r="R296" s="497">
        <v>37.120620033202542</v>
      </c>
      <c r="S296" s="497">
        <v>35.974717717863207</v>
      </c>
      <c r="T296" s="497">
        <v>34.828815402523475</v>
      </c>
      <c r="U296" s="497">
        <v>33.844790094212918</v>
      </c>
      <c r="V296" s="497">
        <v>32.860764785902361</v>
      </c>
      <c r="W296" s="497">
        <v>31.876739477592203</v>
      </c>
      <c r="X296" s="497">
        <v>30.89271416928165</v>
      </c>
      <c r="Y296" s="497">
        <v>29.908688860970891</v>
      </c>
      <c r="Z296" s="497">
        <v>29.063672846574921</v>
      </c>
      <c r="AA296" s="497">
        <v>28.218656832178752</v>
      </c>
      <c r="AB296" s="497">
        <v>27.373640817782583</v>
      </c>
      <c r="AC296" s="497">
        <v>26.528624803386414</v>
      </c>
      <c r="AD296" s="497">
        <v>25.683608788990444</v>
      </c>
      <c r="AE296" s="497">
        <v>24.946887031192276</v>
      </c>
      <c r="AF296" s="497">
        <v>24.210165273394306</v>
      </c>
      <c r="AG296" s="497">
        <v>23.473443515596138</v>
      </c>
      <c r="AH296" s="497">
        <v>22.736721757797969</v>
      </c>
      <c r="AI296" s="497">
        <v>22.000000000000004</v>
      </c>
    </row>
    <row r="297" spans="2:64" outlineLevel="1">
      <c r="B297" t="str">
        <f t="shared" si="35"/>
        <v>Carbon dioxide (DAC) - Finance cost - Africa - USD/ton fuel</v>
      </c>
      <c r="C297" t="str">
        <f>C279</f>
        <v>Carbon dioxide (DAC)</v>
      </c>
      <c r="D297" t="s">
        <v>1366</v>
      </c>
      <c r="E297" t="s">
        <v>838</v>
      </c>
      <c r="F297" t="s">
        <v>1353</v>
      </c>
      <c r="G297" s="487" t="str">
        <f t="shared" si="33"/>
        <v>Carbon dioxide (DAC)AfricaFinance cost</v>
      </c>
      <c r="H297" s="493">
        <v>50.338222848099875</v>
      </c>
      <c r="I297" s="493">
        <v>48.784297130799828</v>
      </c>
      <c r="J297" s="493">
        <v>47.230371413499782</v>
      </c>
      <c r="K297" s="493">
        <v>45.895962526644261</v>
      </c>
      <c r="L297" s="493">
        <v>44.561553639788329</v>
      </c>
      <c r="M297" s="493">
        <v>43.227144752932404</v>
      </c>
      <c r="N297" s="493">
        <v>41.892735866076876</v>
      </c>
      <c r="O297" s="493">
        <v>40.558326979220951</v>
      </c>
      <c r="P297" s="493">
        <v>39.412424663881616</v>
      </c>
      <c r="Q297" s="493">
        <v>38.266522348542281</v>
      </c>
      <c r="R297" s="493">
        <v>37.120620033202542</v>
      </c>
      <c r="S297" s="493">
        <v>35.974717717863207</v>
      </c>
      <c r="T297" s="493">
        <v>34.828815402523475</v>
      </c>
      <c r="U297" s="493">
        <v>33.844790094212918</v>
      </c>
      <c r="V297" s="493">
        <v>32.860764785902361</v>
      </c>
      <c r="W297" s="493">
        <v>31.876739477592203</v>
      </c>
      <c r="X297" s="493">
        <v>30.89271416928165</v>
      </c>
      <c r="Y297" s="493">
        <v>29.908688860970891</v>
      </c>
      <c r="Z297" s="493">
        <v>29.063672846574921</v>
      </c>
      <c r="AA297" s="493">
        <v>28.218656832178752</v>
      </c>
      <c r="AB297" s="493">
        <v>27.373640817782583</v>
      </c>
      <c r="AC297" s="493">
        <v>26.528624803386414</v>
      </c>
      <c r="AD297" s="493">
        <v>25.683608788990444</v>
      </c>
      <c r="AE297" s="493">
        <v>24.946887031192276</v>
      </c>
      <c r="AF297" s="493">
        <v>24.210165273394306</v>
      </c>
      <c r="AG297" s="493">
        <v>23.473443515596138</v>
      </c>
      <c r="AH297" s="493">
        <v>22.736721757797969</v>
      </c>
      <c r="AI297" s="493">
        <v>22.000000000000004</v>
      </c>
    </row>
    <row r="298" spans="2:64" outlineLevel="1">
      <c r="B298" t="str">
        <f t="shared" si="35"/>
        <v>Carbon dioxide (DAC) - Finance cost - Americas - USD/ton fuel</v>
      </c>
      <c r="C298" t="str">
        <f>C279</f>
        <v>Carbon dioxide (DAC)</v>
      </c>
      <c r="D298" t="s">
        <v>1366</v>
      </c>
      <c r="E298" t="s">
        <v>731</v>
      </c>
      <c r="F298" t="s">
        <v>1353</v>
      </c>
      <c r="G298" s="487" t="str">
        <f t="shared" si="33"/>
        <v>Carbon dioxide (DAC)AmericasFinance cost</v>
      </c>
      <c r="H298" s="493">
        <v>50.338222848099875</v>
      </c>
      <c r="I298" s="493">
        <v>48.784297130799828</v>
      </c>
      <c r="J298" s="493">
        <v>47.230371413499782</v>
      </c>
      <c r="K298" s="493">
        <v>45.895962526644261</v>
      </c>
      <c r="L298" s="493">
        <v>44.561553639788329</v>
      </c>
      <c r="M298" s="493">
        <v>43.227144752932404</v>
      </c>
      <c r="N298" s="493">
        <v>41.892735866076876</v>
      </c>
      <c r="O298" s="493">
        <v>40.558326979220951</v>
      </c>
      <c r="P298" s="493">
        <v>39.412424663881616</v>
      </c>
      <c r="Q298" s="493">
        <v>38.266522348542281</v>
      </c>
      <c r="R298" s="493">
        <v>37.120620033202542</v>
      </c>
      <c r="S298" s="493">
        <v>35.974717717863207</v>
      </c>
      <c r="T298" s="493">
        <v>34.828815402523475</v>
      </c>
      <c r="U298" s="493">
        <v>33.844790094212918</v>
      </c>
      <c r="V298" s="493">
        <v>32.860764785902361</v>
      </c>
      <c r="W298" s="493">
        <v>31.876739477592203</v>
      </c>
      <c r="X298" s="493">
        <v>30.89271416928165</v>
      </c>
      <c r="Y298" s="493">
        <v>29.908688860970891</v>
      </c>
      <c r="Z298" s="493">
        <v>29.063672846574921</v>
      </c>
      <c r="AA298" s="493">
        <v>28.218656832178752</v>
      </c>
      <c r="AB298" s="493">
        <v>27.373640817782583</v>
      </c>
      <c r="AC298" s="493">
        <v>26.528624803386414</v>
      </c>
      <c r="AD298" s="493">
        <v>25.683608788990444</v>
      </c>
      <c r="AE298" s="493">
        <v>24.946887031192276</v>
      </c>
      <c r="AF298" s="493">
        <v>24.210165273394306</v>
      </c>
      <c r="AG298" s="493">
        <v>23.473443515596138</v>
      </c>
      <c r="AH298" s="493">
        <v>22.736721757797969</v>
      </c>
      <c r="AI298" s="493">
        <v>22.000000000000004</v>
      </c>
    </row>
    <row r="299" spans="2:64" outlineLevel="1">
      <c r="B299" t="str">
        <f t="shared" si="35"/>
        <v>Carbon dioxide (DAC) - Finance cost - Asia - USD/ton fuel</v>
      </c>
      <c r="C299" t="str">
        <f>C279</f>
        <v>Carbon dioxide (DAC)</v>
      </c>
      <c r="D299" t="s">
        <v>1366</v>
      </c>
      <c r="E299" t="s">
        <v>750</v>
      </c>
      <c r="F299" t="s">
        <v>1353</v>
      </c>
      <c r="G299" s="487" t="str">
        <f t="shared" si="33"/>
        <v>Carbon dioxide (DAC)AsiaFinance cost</v>
      </c>
      <c r="H299" s="493">
        <v>50.338222848099875</v>
      </c>
      <c r="I299" s="493">
        <v>48.784297130799828</v>
      </c>
      <c r="J299" s="493">
        <v>47.230371413499782</v>
      </c>
      <c r="K299" s="493">
        <v>45.895962526644261</v>
      </c>
      <c r="L299" s="493">
        <v>44.561553639788329</v>
      </c>
      <c r="M299" s="493">
        <v>43.227144752932404</v>
      </c>
      <c r="N299" s="493">
        <v>41.892735866076876</v>
      </c>
      <c r="O299" s="493">
        <v>40.558326979220951</v>
      </c>
      <c r="P299" s="493">
        <v>39.412424663881616</v>
      </c>
      <c r="Q299" s="493">
        <v>38.266522348542281</v>
      </c>
      <c r="R299" s="493">
        <v>37.120620033202542</v>
      </c>
      <c r="S299" s="493">
        <v>35.974717717863207</v>
      </c>
      <c r="T299" s="493">
        <v>34.828815402523475</v>
      </c>
      <c r="U299" s="493">
        <v>33.844790094212918</v>
      </c>
      <c r="V299" s="493">
        <v>32.860764785902361</v>
      </c>
      <c r="W299" s="493">
        <v>31.876739477592203</v>
      </c>
      <c r="X299" s="493">
        <v>30.89271416928165</v>
      </c>
      <c r="Y299" s="493">
        <v>29.908688860970891</v>
      </c>
      <c r="Z299" s="493">
        <v>29.063672846574921</v>
      </c>
      <c r="AA299" s="493">
        <v>28.218656832178752</v>
      </c>
      <c r="AB299" s="493">
        <v>27.373640817782583</v>
      </c>
      <c r="AC299" s="493">
        <v>26.528624803386414</v>
      </c>
      <c r="AD299" s="493">
        <v>25.683608788990444</v>
      </c>
      <c r="AE299" s="493">
        <v>24.946887031192276</v>
      </c>
      <c r="AF299" s="493">
        <v>24.210165273394306</v>
      </c>
      <c r="AG299" s="493">
        <v>23.473443515596138</v>
      </c>
      <c r="AH299" s="493">
        <v>22.736721757797969</v>
      </c>
      <c r="AI299" s="493">
        <v>22.000000000000004</v>
      </c>
    </row>
    <row r="300" spans="2:64" outlineLevel="1">
      <c r="B300" t="str">
        <f t="shared" si="35"/>
        <v>Carbon dioxide (DAC) - Finance cost - Europe - USD/ton fuel</v>
      </c>
      <c r="C300" t="str">
        <f>C279</f>
        <v>Carbon dioxide (DAC)</v>
      </c>
      <c r="D300" t="s">
        <v>1366</v>
      </c>
      <c r="E300" t="s">
        <v>720</v>
      </c>
      <c r="F300" t="s">
        <v>1353</v>
      </c>
      <c r="G300" s="487" t="str">
        <f t="shared" si="33"/>
        <v>Carbon dioxide (DAC)EuropeFinance cost</v>
      </c>
      <c r="H300" s="493">
        <v>50.338222848099875</v>
      </c>
      <c r="I300" s="493">
        <v>48.784297130799828</v>
      </c>
      <c r="J300" s="493">
        <v>47.230371413499782</v>
      </c>
      <c r="K300" s="493">
        <v>45.895962526644261</v>
      </c>
      <c r="L300" s="493">
        <v>44.561553639788329</v>
      </c>
      <c r="M300" s="493">
        <v>43.227144752932404</v>
      </c>
      <c r="N300" s="493">
        <v>41.892735866076876</v>
      </c>
      <c r="O300" s="493">
        <v>40.558326979220951</v>
      </c>
      <c r="P300" s="493">
        <v>39.412424663881616</v>
      </c>
      <c r="Q300" s="493">
        <v>38.266522348542281</v>
      </c>
      <c r="R300" s="493">
        <v>37.120620033202542</v>
      </c>
      <c r="S300" s="493">
        <v>35.974717717863207</v>
      </c>
      <c r="T300" s="493">
        <v>34.828815402523475</v>
      </c>
      <c r="U300" s="493">
        <v>33.844790094212918</v>
      </c>
      <c r="V300" s="493">
        <v>32.860764785902361</v>
      </c>
      <c r="W300" s="493">
        <v>31.876739477592203</v>
      </c>
      <c r="X300" s="493">
        <v>30.89271416928165</v>
      </c>
      <c r="Y300" s="493">
        <v>29.908688860970891</v>
      </c>
      <c r="Z300" s="493">
        <v>29.063672846574921</v>
      </c>
      <c r="AA300" s="493">
        <v>28.218656832178752</v>
      </c>
      <c r="AB300" s="493">
        <v>27.373640817782583</v>
      </c>
      <c r="AC300" s="493">
        <v>26.528624803386414</v>
      </c>
      <c r="AD300" s="493">
        <v>25.683608788990444</v>
      </c>
      <c r="AE300" s="493">
        <v>24.946887031192276</v>
      </c>
      <c r="AF300" s="493">
        <v>24.210165273394306</v>
      </c>
      <c r="AG300" s="493">
        <v>23.473443515596138</v>
      </c>
      <c r="AH300" s="493">
        <v>22.736721757797969</v>
      </c>
      <c r="AI300" s="493">
        <v>22.000000000000004</v>
      </c>
    </row>
    <row r="301" spans="2:64" outlineLevel="1">
      <c r="B301" t="str">
        <f t="shared" si="35"/>
        <v>Carbon dioxide (DAC) - Finance cost - Middle East - USD/ton fuel</v>
      </c>
      <c r="C301" t="str">
        <f>C279</f>
        <v>Carbon dioxide (DAC)</v>
      </c>
      <c r="D301" t="s">
        <v>1366</v>
      </c>
      <c r="E301" t="s">
        <v>826</v>
      </c>
      <c r="F301" t="s">
        <v>1353</v>
      </c>
      <c r="G301" s="487" t="str">
        <f t="shared" si="33"/>
        <v>Carbon dioxide (DAC)Middle EastFinance cost</v>
      </c>
      <c r="H301" s="493">
        <v>50.338222848099875</v>
      </c>
      <c r="I301" s="493">
        <v>48.784297130799828</v>
      </c>
      <c r="J301" s="493">
        <v>47.230371413499782</v>
      </c>
      <c r="K301" s="493">
        <v>45.895962526644261</v>
      </c>
      <c r="L301" s="493">
        <v>44.561553639788329</v>
      </c>
      <c r="M301" s="493">
        <v>43.227144752932404</v>
      </c>
      <c r="N301" s="493">
        <v>41.892735866076876</v>
      </c>
      <c r="O301" s="493">
        <v>40.558326979220951</v>
      </c>
      <c r="P301" s="493">
        <v>39.412424663881616</v>
      </c>
      <c r="Q301" s="493">
        <v>38.266522348542281</v>
      </c>
      <c r="R301" s="493">
        <v>37.120620033202542</v>
      </c>
      <c r="S301" s="493">
        <v>35.974717717863207</v>
      </c>
      <c r="T301" s="493">
        <v>34.828815402523475</v>
      </c>
      <c r="U301" s="493">
        <v>33.844790094212918</v>
      </c>
      <c r="V301" s="493">
        <v>32.860764785902361</v>
      </c>
      <c r="W301" s="493">
        <v>31.876739477592203</v>
      </c>
      <c r="X301" s="493">
        <v>30.89271416928165</v>
      </c>
      <c r="Y301" s="493">
        <v>29.908688860970891</v>
      </c>
      <c r="Z301" s="493">
        <v>29.063672846574921</v>
      </c>
      <c r="AA301" s="493">
        <v>28.218656832178752</v>
      </c>
      <c r="AB301" s="493">
        <v>27.373640817782583</v>
      </c>
      <c r="AC301" s="493">
        <v>26.528624803386414</v>
      </c>
      <c r="AD301" s="493">
        <v>25.683608788990444</v>
      </c>
      <c r="AE301" s="493">
        <v>24.946887031192276</v>
      </c>
      <c r="AF301" s="493">
        <v>24.210165273394306</v>
      </c>
      <c r="AG301" s="493">
        <v>23.473443515596138</v>
      </c>
      <c r="AH301" s="493">
        <v>22.736721757797969</v>
      </c>
      <c r="AI301" s="493">
        <v>22.000000000000004</v>
      </c>
    </row>
    <row r="302" spans="2:64" ht="15" outlineLevel="1" thickBot="1">
      <c r="B302" t="str">
        <f t="shared" si="35"/>
        <v/>
      </c>
      <c r="G302" s="487" t="str">
        <f t="shared" si="33"/>
        <v/>
      </c>
      <c r="H302" s="498"/>
    </row>
    <row r="303" spans="2:64" ht="15" outlineLevel="1">
      <c r="B303" t="str">
        <f t="shared" si="35"/>
        <v>Carbon dioxide (DAC) - Energy cost including feedstock energy cost - Africa - USD/ton fuel</v>
      </c>
      <c r="C303" s="494" t="str">
        <f>C279</f>
        <v>Carbon dioxide (DAC)</v>
      </c>
      <c r="D303" s="494" t="s">
        <v>1367</v>
      </c>
      <c r="E303" s="494" t="s">
        <v>838</v>
      </c>
      <c r="F303" s="494" t="s">
        <v>1353</v>
      </c>
      <c r="G303" s="487" t="str">
        <f t="shared" si="33"/>
        <v>Carbon dioxide (DAC)AfricaEnergy cost including feedstock energy cost</v>
      </c>
      <c r="H303" s="495">
        <v>168.04374017226095</v>
      </c>
      <c r="I303" s="495">
        <v>146.30209067169341</v>
      </c>
      <c r="J303" s="495">
        <v>125.09499957024941</v>
      </c>
      <c r="K303" s="495">
        <v>118.18460880247255</v>
      </c>
      <c r="L303" s="495">
        <v>111.41353662951776</v>
      </c>
      <c r="M303" s="495">
        <v>104.78178305138506</v>
      </c>
      <c r="N303" s="495">
        <v>98.28934806807321</v>
      </c>
      <c r="O303" s="495">
        <v>91.936231679584665</v>
      </c>
      <c r="P303" s="495">
        <v>87.982972860232593</v>
      </c>
      <c r="Q303" s="495">
        <v>84.102420719352523</v>
      </c>
      <c r="R303" s="495">
        <v>80.294575256942807</v>
      </c>
      <c r="S303" s="495">
        <v>76.559436473005292</v>
      </c>
      <c r="T303" s="495">
        <v>72.89700436753958</v>
      </c>
      <c r="U303" s="495">
        <v>70.735122997418571</v>
      </c>
      <c r="V303" s="495">
        <v>68.605236304620504</v>
      </c>
      <c r="W303" s="495">
        <v>66.507344289144001</v>
      </c>
      <c r="X303" s="495">
        <v>64.441446950990169</v>
      </c>
      <c r="Y303" s="495">
        <v>62.40754429015891</v>
      </c>
      <c r="Z303" s="495">
        <v>60.429077079389643</v>
      </c>
      <c r="AA303" s="495">
        <v>58.481367988026683</v>
      </c>
      <c r="AB303" s="495">
        <v>56.564417016069513</v>
      </c>
      <c r="AC303" s="495">
        <v>54.678224163519339</v>
      </c>
      <c r="AD303" s="495">
        <v>52.822789430375032</v>
      </c>
      <c r="AE303" s="495">
        <v>51.600110701740995</v>
      </c>
      <c r="AF303" s="495">
        <v>50.391546373167834</v>
      </c>
      <c r="AG303" s="495">
        <v>49.197096444655244</v>
      </c>
      <c r="AH303" s="495">
        <v>48.016760916203474</v>
      </c>
      <c r="AI303" s="495">
        <v>46.85053978781275</v>
      </c>
      <c r="AK303" s="499" t="b">
        <f t="shared" ref="AK303:BL303" si="36">H286+H289+H292+H303+H314=H280</f>
        <v>1</v>
      </c>
      <c r="AL303" s="500" t="b">
        <f t="shared" si="36"/>
        <v>1</v>
      </c>
      <c r="AM303" s="500" t="b">
        <f t="shared" si="36"/>
        <v>1</v>
      </c>
      <c r="AN303" s="500" t="b">
        <f t="shared" si="36"/>
        <v>1</v>
      </c>
      <c r="AO303" s="500" t="b">
        <f t="shared" si="36"/>
        <v>1</v>
      </c>
      <c r="AP303" s="500" t="b">
        <f t="shared" si="36"/>
        <v>1</v>
      </c>
      <c r="AQ303" s="500" t="b">
        <f t="shared" si="36"/>
        <v>1</v>
      </c>
      <c r="AR303" s="500" t="b">
        <f t="shared" si="36"/>
        <v>1</v>
      </c>
      <c r="AS303" s="500" t="b">
        <f t="shared" si="36"/>
        <v>1</v>
      </c>
      <c r="AT303" s="500" t="b">
        <f t="shared" si="36"/>
        <v>1</v>
      </c>
      <c r="AU303" s="500" t="b">
        <f t="shared" si="36"/>
        <v>1</v>
      </c>
      <c r="AV303" s="500" t="b">
        <f t="shared" si="36"/>
        <v>1</v>
      </c>
      <c r="AW303" s="500" t="b">
        <f t="shared" si="36"/>
        <v>1</v>
      </c>
      <c r="AX303" s="500" t="b">
        <f t="shared" si="36"/>
        <v>1</v>
      </c>
      <c r="AY303" s="500" t="b">
        <f t="shared" si="36"/>
        <v>1</v>
      </c>
      <c r="AZ303" s="500" t="b">
        <f t="shared" si="36"/>
        <v>1</v>
      </c>
      <c r="BA303" s="500" t="b">
        <f t="shared" si="36"/>
        <v>1</v>
      </c>
      <c r="BB303" s="500" t="b">
        <f t="shared" si="36"/>
        <v>1</v>
      </c>
      <c r="BC303" s="500" t="b">
        <f t="shared" si="36"/>
        <v>1</v>
      </c>
      <c r="BD303" s="500" t="b">
        <f t="shared" si="36"/>
        <v>1</v>
      </c>
      <c r="BE303" s="500" t="b">
        <f t="shared" si="36"/>
        <v>1</v>
      </c>
      <c r="BF303" s="500" t="b">
        <f t="shared" si="36"/>
        <v>1</v>
      </c>
      <c r="BG303" s="500" t="b">
        <f t="shared" si="36"/>
        <v>1</v>
      </c>
      <c r="BH303" s="500" t="b">
        <f t="shared" si="36"/>
        <v>1</v>
      </c>
      <c r="BI303" s="500" t="b">
        <f t="shared" si="36"/>
        <v>1</v>
      </c>
      <c r="BJ303" s="500" t="b">
        <f t="shared" si="36"/>
        <v>1</v>
      </c>
      <c r="BK303" s="500" t="b">
        <f t="shared" si="36"/>
        <v>1</v>
      </c>
      <c r="BL303" s="501" t="b">
        <f t="shared" si="36"/>
        <v>1</v>
      </c>
    </row>
    <row r="304" spans="2:64" ht="15" outlineLevel="1">
      <c r="B304" t="str">
        <f t="shared" si="35"/>
        <v>Carbon dioxide (DAC) - Energy cost including feedstock energy cost - Americas - USD/ton fuel</v>
      </c>
      <c r="C304" s="22" t="str">
        <f>C279</f>
        <v>Carbon dioxide (DAC)</v>
      </c>
      <c r="D304" s="22" t="s">
        <v>1367</v>
      </c>
      <c r="E304" s="22" t="s">
        <v>731</v>
      </c>
      <c r="F304" s="22" t="s">
        <v>1353</v>
      </c>
      <c r="G304" s="487" t="str">
        <f t="shared" si="33"/>
        <v>Carbon dioxide (DAC)AmericasEnergy cost including feedstock energy cost</v>
      </c>
      <c r="H304" s="496">
        <v>105.58438245546897</v>
      </c>
      <c r="I304" s="496">
        <v>101.99736044182912</v>
      </c>
      <c r="J304" s="496">
        <v>98.469570539698765</v>
      </c>
      <c r="K304" s="496">
        <v>93.638765997611998</v>
      </c>
      <c r="L304" s="496">
        <v>88.901570801317362</v>
      </c>
      <c r="M304" s="496">
        <v>84.25798495081483</v>
      </c>
      <c r="N304" s="496">
        <v>79.708008446105609</v>
      </c>
      <c r="O304" s="496">
        <v>75.251641287187283</v>
      </c>
      <c r="P304" s="496">
        <v>72.675393088137156</v>
      </c>
      <c r="Q304" s="496">
        <v>70.14126028517552</v>
      </c>
      <c r="R304" s="496">
        <v>67.64924287830199</v>
      </c>
      <c r="S304" s="496">
        <v>65.19934086751617</v>
      </c>
      <c r="T304" s="496">
        <v>62.791554252818194</v>
      </c>
      <c r="U304" s="496">
        <v>60.764114529985541</v>
      </c>
      <c r="V304" s="496">
        <v>58.768592762315109</v>
      </c>
      <c r="W304" s="496">
        <v>56.804988949805931</v>
      </c>
      <c r="X304" s="496">
        <v>54.873303092459224</v>
      </c>
      <c r="Y304" s="496">
        <v>52.973535190274085</v>
      </c>
      <c r="Z304" s="496">
        <v>51.828230522552126</v>
      </c>
      <c r="AA304" s="496">
        <v>50.694947735460516</v>
      </c>
      <c r="AB304" s="496">
        <v>49.573686828999371</v>
      </c>
      <c r="AC304" s="496">
        <v>48.464447803168603</v>
      </c>
      <c r="AD304" s="496">
        <v>47.367230657968015</v>
      </c>
      <c r="AE304" s="496">
        <v>46.429207924659629</v>
      </c>
      <c r="AF304" s="496">
        <v>45.499664594904488</v>
      </c>
      <c r="AG304" s="496">
        <v>44.57860066870262</v>
      </c>
      <c r="AH304" s="496">
        <v>43.666016146054034</v>
      </c>
      <c r="AI304" s="496">
        <v>42.761911026958728</v>
      </c>
      <c r="AK304" s="502" t="b">
        <f t="shared" ref="AK304:BL304" si="37">H286+H289+H293+H304+H314=H281</f>
        <v>1</v>
      </c>
      <c r="AL304" s="106" t="b">
        <f t="shared" si="37"/>
        <v>1</v>
      </c>
      <c r="AM304" s="106" t="b">
        <f t="shared" si="37"/>
        <v>1</v>
      </c>
      <c r="AN304" s="106" t="b">
        <f t="shared" si="37"/>
        <v>1</v>
      </c>
      <c r="AO304" s="106" t="b">
        <f t="shared" si="37"/>
        <v>1</v>
      </c>
      <c r="AP304" s="106" t="b">
        <f t="shared" si="37"/>
        <v>1</v>
      </c>
      <c r="AQ304" s="106" t="b">
        <f t="shared" si="37"/>
        <v>1</v>
      </c>
      <c r="AR304" s="106" t="b">
        <f t="shared" si="37"/>
        <v>1</v>
      </c>
      <c r="AS304" s="106" t="b">
        <f t="shared" si="37"/>
        <v>1</v>
      </c>
      <c r="AT304" s="106" t="b">
        <f t="shared" si="37"/>
        <v>1</v>
      </c>
      <c r="AU304" s="106" t="b">
        <f t="shared" si="37"/>
        <v>1</v>
      </c>
      <c r="AV304" s="106" t="b">
        <f t="shared" si="37"/>
        <v>1</v>
      </c>
      <c r="AW304" s="106" t="b">
        <f t="shared" si="37"/>
        <v>1</v>
      </c>
      <c r="AX304" s="106" t="b">
        <f t="shared" si="37"/>
        <v>1</v>
      </c>
      <c r="AY304" s="106" t="b">
        <f t="shared" si="37"/>
        <v>1</v>
      </c>
      <c r="AZ304" s="106" t="b">
        <f t="shared" si="37"/>
        <v>1</v>
      </c>
      <c r="BA304" s="106" t="b">
        <f t="shared" si="37"/>
        <v>1</v>
      </c>
      <c r="BB304" s="106" t="b">
        <f t="shared" si="37"/>
        <v>1</v>
      </c>
      <c r="BC304" s="106" t="b">
        <f t="shared" si="37"/>
        <v>1</v>
      </c>
      <c r="BD304" s="106" t="b">
        <f t="shared" si="37"/>
        <v>1</v>
      </c>
      <c r="BE304" s="106" t="b">
        <f t="shared" si="37"/>
        <v>1</v>
      </c>
      <c r="BF304" s="106" t="b">
        <f t="shared" si="37"/>
        <v>1</v>
      </c>
      <c r="BG304" s="106" t="b">
        <f t="shared" si="37"/>
        <v>1</v>
      </c>
      <c r="BH304" s="106" t="b">
        <f t="shared" si="37"/>
        <v>1</v>
      </c>
      <c r="BI304" s="106" t="b">
        <f t="shared" si="37"/>
        <v>1</v>
      </c>
      <c r="BJ304" s="106" t="b">
        <f t="shared" si="37"/>
        <v>1</v>
      </c>
      <c r="BK304" s="106" t="b">
        <f t="shared" si="37"/>
        <v>1</v>
      </c>
      <c r="BL304" s="503" t="b">
        <f t="shared" si="37"/>
        <v>1</v>
      </c>
    </row>
    <row r="305" spans="2:64" ht="15" outlineLevel="1">
      <c r="B305" t="str">
        <f t="shared" si="35"/>
        <v>Carbon dioxide (DAC) - Energy cost including feedstock energy cost - Asia - USD/ton fuel</v>
      </c>
      <c r="C305" s="22" t="str">
        <f>C279</f>
        <v>Carbon dioxide (DAC)</v>
      </c>
      <c r="D305" s="22" t="s">
        <v>1367</v>
      </c>
      <c r="E305" s="22" t="s">
        <v>750</v>
      </c>
      <c r="F305" s="22" t="s">
        <v>1353</v>
      </c>
      <c r="G305" s="487" t="str">
        <f t="shared" si="33"/>
        <v>Carbon dioxide (DAC)AsiaEnergy cost including feedstock energy cost</v>
      </c>
      <c r="H305" s="496">
        <v>186.89956944291009</v>
      </c>
      <c r="I305" s="496">
        <v>168.16682617375361</v>
      </c>
      <c r="J305" s="496">
        <v>149.87899747482393</v>
      </c>
      <c r="K305" s="496">
        <v>142.27132627697122</v>
      </c>
      <c r="L305" s="496">
        <v>134.81285628877197</v>
      </c>
      <c r="M305" s="496">
        <v>127.50358751022122</v>
      </c>
      <c r="N305" s="496">
        <v>120.34351994132149</v>
      </c>
      <c r="O305" s="496">
        <v>113.33265358207515</v>
      </c>
      <c r="P305" s="496">
        <v>108.26284478442385</v>
      </c>
      <c r="Q305" s="496">
        <v>103.28784662429925</v>
      </c>
      <c r="R305" s="496">
        <v>98.407659101700688</v>
      </c>
      <c r="S305" s="496">
        <v>93.622282216625351</v>
      </c>
      <c r="T305" s="496">
        <v>88.931715969074972</v>
      </c>
      <c r="U305" s="496">
        <v>86.065503663003796</v>
      </c>
      <c r="V305" s="496">
        <v>83.244358258173165</v>
      </c>
      <c r="W305" s="496">
        <v>80.468279754582596</v>
      </c>
      <c r="X305" s="496">
        <v>77.737268152231991</v>
      </c>
      <c r="Y305" s="496">
        <v>75.051323451122215</v>
      </c>
      <c r="Z305" s="496">
        <v>72.402332509748831</v>
      </c>
      <c r="AA305" s="496">
        <v>69.797444349441975</v>
      </c>
      <c r="AB305" s="496">
        <v>67.236658970200637</v>
      </c>
      <c r="AC305" s="496">
        <v>64.719976372026011</v>
      </c>
      <c r="AD305" s="496">
        <v>62.247396554916683</v>
      </c>
      <c r="AE305" s="496">
        <v>60.720274602486676</v>
      </c>
      <c r="AF305" s="496">
        <v>59.212061358577877</v>
      </c>
      <c r="AG305" s="496">
        <v>57.722756823190991</v>
      </c>
      <c r="AH305" s="496">
        <v>56.25236099632577</v>
      </c>
      <c r="AI305" s="496">
        <v>54.800873877981985</v>
      </c>
      <c r="AK305" s="502" t="b">
        <f t="shared" ref="AK305:BL305" si="38">H286+H289+H294+H305+H314=H282</f>
        <v>1</v>
      </c>
      <c r="AL305" s="106" t="b">
        <f t="shared" si="38"/>
        <v>1</v>
      </c>
      <c r="AM305" s="106" t="b">
        <f t="shared" si="38"/>
        <v>1</v>
      </c>
      <c r="AN305" s="106" t="b">
        <f t="shared" si="38"/>
        <v>1</v>
      </c>
      <c r="AO305" s="106" t="b">
        <f t="shared" si="38"/>
        <v>1</v>
      </c>
      <c r="AP305" s="106" t="b">
        <f t="shared" si="38"/>
        <v>1</v>
      </c>
      <c r="AQ305" s="106" t="b">
        <f t="shared" si="38"/>
        <v>1</v>
      </c>
      <c r="AR305" s="106" t="b">
        <f t="shared" si="38"/>
        <v>1</v>
      </c>
      <c r="AS305" s="106" t="b">
        <f t="shared" si="38"/>
        <v>1</v>
      </c>
      <c r="AT305" s="106" t="b">
        <f t="shared" si="38"/>
        <v>1</v>
      </c>
      <c r="AU305" s="106" t="b">
        <f t="shared" si="38"/>
        <v>1</v>
      </c>
      <c r="AV305" s="106" t="b">
        <f t="shared" si="38"/>
        <v>1</v>
      </c>
      <c r="AW305" s="106" t="b">
        <f t="shared" si="38"/>
        <v>1</v>
      </c>
      <c r="AX305" s="106" t="b">
        <f t="shared" si="38"/>
        <v>1</v>
      </c>
      <c r="AY305" s="106" t="b">
        <f t="shared" si="38"/>
        <v>1</v>
      </c>
      <c r="AZ305" s="106" t="b">
        <f t="shared" si="38"/>
        <v>1</v>
      </c>
      <c r="BA305" s="106" t="b">
        <f t="shared" si="38"/>
        <v>1</v>
      </c>
      <c r="BB305" s="106" t="b">
        <f t="shared" si="38"/>
        <v>1</v>
      </c>
      <c r="BC305" s="106" t="b">
        <f t="shared" si="38"/>
        <v>1</v>
      </c>
      <c r="BD305" s="106" t="b">
        <f t="shared" si="38"/>
        <v>1</v>
      </c>
      <c r="BE305" s="106" t="b">
        <f t="shared" si="38"/>
        <v>1</v>
      </c>
      <c r="BF305" s="106" t="b">
        <f t="shared" si="38"/>
        <v>1</v>
      </c>
      <c r="BG305" s="106" t="b">
        <f t="shared" si="38"/>
        <v>1</v>
      </c>
      <c r="BH305" s="106" t="b">
        <f t="shared" si="38"/>
        <v>1</v>
      </c>
      <c r="BI305" s="106" t="b">
        <f t="shared" si="38"/>
        <v>1</v>
      </c>
      <c r="BJ305" s="106" t="b">
        <f t="shared" si="38"/>
        <v>1</v>
      </c>
      <c r="BK305" s="106" t="b">
        <f t="shared" si="38"/>
        <v>1</v>
      </c>
      <c r="BL305" s="503" t="b">
        <f t="shared" si="38"/>
        <v>1</v>
      </c>
    </row>
    <row r="306" spans="2:64" ht="15" outlineLevel="1">
      <c r="B306" t="str">
        <f t="shared" si="35"/>
        <v>Carbon dioxide (DAC) - Energy cost including feedstock energy cost - Europe - USD/ton fuel</v>
      </c>
      <c r="C306" s="22" t="str">
        <f>C279</f>
        <v>Carbon dioxide (DAC)</v>
      </c>
      <c r="D306" s="22" t="s">
        <v>1367</v>
      </c>
      <c r="E306" s="22" t="s">
        <v>720</v>
      </c>
      <c r="F306" s="22" t="s">
        <v>1353</v>
      </c>
      <c r="G306" s="487" t="str">
        <f t="shared" si="33"/>
        <v>Carbon dioxide (DAC)EuropeEnergy cost including feedstock energy cost</v>
      </c>
      <c r="H306" s="496">
        <v>139.13660564940096</v>
      </c>
      <c r="I306" s="496">
        <v>131.33650635826208</v>
      </c>
      <c r="J306" s="496">
        <v>123.69885760010307</v>
      </c>
      <c r="K306" s="496">
        <v>117.43601702374129</v>
      </c>
      <c r="L306" s="496">
        <v>111.29589497676589</v>
      </c>
      <c r="M306" s="496">
        <v>105.27849145917936</v>
      </c>
      <c r="N306" s="496">
        <v>99.383806470979252</v>
      </c>
      <c r="O306" s="496">
        <v>93.611840012167974</v>
      </c>
      <c r="P306" s="496">
        <v>90.585974296079655</v>
      </c>
      <c r="Q306" s="496">
        <v>87.607779699054461</v>
      </c>
      <c r="R306" s="496">
        <v>84.67725622108955</v>
      </c>
      <c r="S306" s="496">
        <v>81.794403862185035</v>
      </c>
      <c r="T306" s="496">
        <v>78.959222622341954</v>
      </c>
      <c r="U306" s="496">
        <v>76.922599826040909</v>
      </c>
      <c r="V306" s="496">
        <v>74.912586795058061</v>
      </c>
      <c r="W306" s="496">
        <v>72.929183529392262</v>
      </c>
      <c r="X306" s="496">
        <v>70.972390029044362</v>
      </c>
      <c r="Y306" s="496">
        <v>69.042206294013226</v>
      </c>
      <c r="Z306" s="496">
        <v>67.134466412964173</v>
      </c>
      <c r="AA306" s="496">
        <v>65.253341498845373</v>
      </c>
      <c r="AB306" s="496">
        <v>63.398831551657359</v>
      </c>
      <c r="AC306" s="496">
        <v>61.570936571399812</v>
      </c>
      <c r="AD306" s="496">
        <v>59.769656558072832</v>
      </c>
      <c r="AE306" s="496">
        <v>58.303359346438278</v>
      </c>
      <c r="AF306" s="496">
        <v>56.855217183061221</v>
      </c>
      <c r="AG306" s="496">
        <v>55.425230067942344</v>
      </c>
      <c r="AH306" s="496">
        <v>54.013398001081399</v>
      </c>
      <c r="AI306" s="496">
        <v>52.619720982478157</v>
      </c>
      <c r="AK306" s="502" t="b">
        <f t="shared" ref="AK306:BL306" si="39">H286+H289+H295+H306+H314=H283</f>
        <v>1</v>
      </c>
      <c r="AL306" s="106" t="b">
        <f t="shared" si="39"/>
        <v>1</v>
      </c>
      <c r="AM306" s="106" t="b">
        <f t="shared" si="39"/>
        <v>1</v>
      </c>
      <c r="AN306" s="106" t="b">
        <f t="shared" si="39"/>
        <v>1</v>
      </c>
      <c r="AO306" s="106" t="b">
        <f t="shared" si="39"/>
        <v>1</v>
      </c>
      <c r="AP306" s="106" t="b">
        <f t="shared" si="39"/>
        <v>1</v>
      </c>
      <c r="AQ306" s="106" t="b">
        <f t="shared" si="39"/>
        <v>1</v>
      </c>
      <c r="AR306" s="106" t="b">
        <f t="shared" si="39"/>
        <v>1</v>
      </c>
      <c r="AS306" s="106" t="b">
        <f t="shared" si="39"/>
        <v>1</v>
      </c>
      <c r="AT306" s="106" t="b">
        <f t="shared" si="39"/>
        <v>1</v>
      </c>
      <c r="AU306" s="106" t="b">
        <f t="shared" si="39"/>
        <v>1</v>
      </c>
      <c r="AV306" s="106" t="b">
        <f t="shared" si="39"/>
        <v>1</v>
      </c>
      <c r="AW306" s="106" t="b">
        <f t="shared" si="39"/>
        <v>1</v>
      </c>
      <c r="AX306" s="106" t="b">
        <f t="shared" si="39"/>
        <v>1</v>
      </c>
      <c r="AY306" s="106" t="b">
        <f t="shared" si="39"/>
        <v>1</v>
      </c>
      <c r="AZ306" s="106" t="b">
        <f t="shared" si="39"/>
        <v>1</v>
      </c>
      <c r="BA306" s="106" t="b">
        <f t="shared" si="39"/>
        <v>1</v>
      </c>
      <c r="BB306" s="106" t="b">
        <f t="shared" si="39"/>
        <v>1</v>
      </c>
      <c r="BC306" s="106" t="b">
        <f t="shared" si="39"/>
        <v>1</v>
      </c>
      <c r="BD306" s="106" t="b">
        <f t="shared" si="39"/>
        <v>1</v>
      </c>
      <c r="BE306" s="106" t="b">
        <f t="shared" si="39"/>
        <v>1</v>
      </c>
      <c r="BF306" s="106" t="b">
        <f t="shared" si="39"/>
        <v>1</v>
      </c>
      <c r="BG306" s="106" t="b">
        <f t="shared" si="39"/>
        <v>1</v>
      </c>
      <c r="BH306" s="106" t="b">
        <f t="shared" si="39"/>
        <v>1</v>
      </c>
      <c r="BI306" s="106" t="b">
        <f t="shared" si="39"/>
        <v>1</v>
      </c>
      <c r="BJ306" s="106" t="b">
        <f t="shared" si="39"/>
        <v>1</v>
      </c>
      <c r="BK306" s="106" t="b">
        <f t="shared" si="39"/>
        <v>1</v>
      </c>
      <c r="BL306" s="503" t="b">
        <f t="shared" si="39"/>
        <v>1</v>
      </c>
    </row>
    <row r="307" spans="2:64" ht="15.75" outlineLevel="1" thickBot="1">
      <c r="B307" t="str">
        <f t="shared" si="35"/>
        <v>Carbon dioxide (DAC) - Energy cost including feedstock energy cost - Middle East - USD/ton fuel</v>
      </c>
      <c r="C307" s="92" t="str">
        <f>C279</f>
        <v>Carbon dioxide (DAC)</v>
      </c>
      <c r="D307" s="92" t="s">
        <v>1367</v>
      </c>
      <c r="E307" s="92" t="s">
        <v>826</v>
      </c>
      <c r="F307" s="92" t="s">
        <v>1353</v>
      </c>
      <c r="G307" s="487" t="str">
        <f t="shared" si="33"/>
        <v>Carbon dioxide (DAC)Middle EastEnergy cost including feedstock energy cost</v>
      </c>
      <c r="H307" s="497">
        <v>106.54312461630884</v>
      </c>
      <c r="I307" s="497">
        <v>100.46220586457505</v>
      </c>
      <c r="J307" s="497">
        <v>94.50864955757099</v>
      </c>
      <c r="K307" s="497">
        <v>90.289455876080666</v>
      </c>
      <c r="L307" s="497">
        <v>86.149099881800211</v>
      </c>
      <c r="M307" s="497">
        <v>82.087581574729612</v>
      </c>
      <c r="N307" s="497">
        <v>78.104900954868882</v>
      </c>
      <c r="O307" s="497">
        <v>74.201058022218021</v>
      </c>
      <c r="P307" s="497">
        <v>71.264783946143552</v>
      </c>
      <c r="Q307" s="497">
        <v>68.380481742891675</v>
      </c>
      <c r="R307" s="497">
        <v>65.548151412460825</v>
      </c>
      <c r="S307" s="497">
        <v>62.767792954851807</v>
      </c>
      <c r="T307" s="497">
        <v>60.039406370064405</v>
      </c>
      <c r="U307" s="497">
        <v>58.334255838436711</v>
      </c>
      <c r="V307" s="497">
        <v>56.653467589691616</v>
      </c>
      <c r="W307" s="497">
        <v>54.997041623828714</v>
      </c>
      <c r="X307" s="497">
        <v>53.364977940848128</v>
      </c>
      <c r="Y307" s="497">
        <v>51.757276540749643</v>
      </c>
      <c r="Z307" s="497">
        <v>49.951129205562665</v>
      </c>
      <c r="AA307" s="497">
        <v>48.17485125313609</v>
      </c>
      <c r="AB307" s="497">
        <v>46.428442683469406</v>
      </c>
      <c r="AC307" s="497">
        <v>44.711903496563266</v>
      </c>
      <c r="AD307" s="497">
        <v>43.025233692416762</v>
      </c>
      <c r="AE307" s="497">
        <v>41.969677751620367</v>
      </c>
      <c r="AF307" s="497">
        <v>40.927191811319283</v>
      </c>
      <c r="AG307" s="497">
        <v>39.897775871513431</v>
      </c>
      <c r="AH307" s="497">
        <v>38.881429932202913</v>
      </c>
      <c r="AI307" s="497">
        <v>37.878153993387855</v>
      </c>
      <c r="AK307" s="504" t="b">
        <f t="shared" ref="AK307:BL307" si="40">H286+H289+H296+H307+H314=H284</f>
        <v>1</v>
      </c>
      <c r="AL307" s="505" t="b">
        <f t="shared" si="40"/>
        <v>1</v>
      </c>
      <c r="AM307" s="505" t="b">
        <f t="shared" si="40"/>
        <v>1</v>
      </c>
      <c r="AN307" s="505" t="b">
        <f t="shared" si="40"/>
        <v>1</v>
      </c>
      <c r="AO307" s="505" t="b">
        <f t="shared" si="40"/>
        <v>1</v>
      </c>
      <c r="AP307" s="505" t="b">
        <f t="shared" si="40"/>
        <v>1</v>
      </c>
      <c r="AQ307" s="505" t="b">
        <f t="shared" si="40"/>
        <v>1</v>
      </c>
      <c r="AR307" s="505" t="b">
        <f t="shared" si="40"/>
        <v>1</v>
      </c>
      <c r="AS307" s="505" t="b">
        <f t="shared" si="40"/>
        <v>1</v>
      </c>
      <c r="AT307" s="505" t="b">
        <f t="shared" si="40"/>
        <v>1</v>
      </c>
      <c r="AU307" s="505" t="b">
        <f t="shared" si="40"/>
        <v>1</v>
      </c>
      <c r="AV307" s="505" t="b">
        <f t="shared" si="40"/>
        <v>1</v>
      </c>
      <c r="AW307" s="505" t="b">
        <f t="shared" si="40"/>
        <v>1</v>
      </c>
      <c r="AX307" s="505" t="b">
        <f t="shared" si="40"/>
        <v>1</v>
      </c>
      <c r="AY307" s="505" t="b">
        <f t="shared" si="40"/>
        <v>1</v>
      </c>
      <c r="AZ307" s="505" t="b">
        <f t="shared" si="40"/>
        <v>1</v>
      </c>
      <c r="BA307" s="505" t="b">
        <f t="shared" si="40"/>
        <v>1</v>
      </c>
      <c r="BB307" s="505" t="b">
        <f t="shared" si="40"/>
        <v>1</v>
      </c>
      <c r="BC307" s="505" t="b">
        <f t="shared" si="40"/>
        <v>1</v>
      </c>
      <c r="BD307" s="505" t="b">
        <f t="shared" si="40"/>
        <v>1</v>
      </c>
      <c r="BE307" s="505" t="b">
        <f t="shared" si="40"/>
        <v>1</v>
      </c>
      <c r="BF307" s="505" t="b">
        <f t="shared" si="40"/>
        <v>1</v>
      </c>
      <c r="BG307" s="505" t="b">
        <f t="shared" si="40"/>
        <v>1</v>
      </c>
      <c r="BH307" s="505" t="b">
        <f t="shared" si="40"/>
        <v>1</v>
      </c>
      <c r="BI307" s="505" t="b">
        <f t="shared" si="40"/>
        <v>1</v>
      </c>
      <c r="BJ307" s="505" t="b">
        <f t="shared" si="40"/>
        <v>1</v>
      </c>
      <c r="BK307" s="505" t="b">
        <f t="shared" si="40"/>
        <v>1</v>
      </c>
      <c r="BL307" s="506" t="b">
        <f t="shared" si="40"/>
        <v>1</v>
      </c>
    </row>
    <row r="308" spans="2:64" outlineLevel="1">
      <c r="B308" t="str">
        <f t="shared" si="35"/>
        <v>Carbon dioxide (DAC) - Energy cost - Africa - USD/ton fuel</v>
      </c>
      <c r="C308" t="str">
        <f>C279</f>
        <v>Carbon dioxide (DAC)</v>
      </c>
      <c r="D308" t="s">
        <v>1368</v>
      </c>
      <c r="E308" t="s">
        <v>838</v>
      </c>
      <c r="F308" t="s">
        <v>1353</v>
      </c>
      <c r="G308" s="487" t="str">
        <f t="shared" si="33"/>
        <v>Carbon dioxide (DAC)AfricaEnergy cost</v>
      </c>
      <c r="H308" s="493">
        <v>168.04374017226095</v>
      </c>
      <c r="I308" s="493">
        <v>146.30209067169341</v>
      </c>
      <c r="J308" s="493">
        <v>125.09499957024941</v>
      </c>
      <c r="K308" s="493">
        <v>118.18460880247255</v>
      </c>
      <c r="L308" s="493">
        <v>111.41353662951776</v>
      </c>
      <c r="M308" s="493">
        <v>104.78178305138506</v>
      </c>
      <c r="N308" s="493">
        <v>98.28934806807321</v>
      </c>
      <c r="O308" s="493">
        <v>91.936231679584665</v>
      </c>
      <c r="P308" s="493">
        <v>87.982972860232593</v>
      </c>
      <c r="Q308" s="493">
        <v>84.102420719352523</v>
      </c>
      <c r="R308" s="493">
        <v>80.294575256942807</v>
      </c>
      <c r="S308" s="493">
        <v>76.559436473005292</v>
      </c>
      <c r="T308" s="493">
        <v>72.89700436753958</v>
      </c>
      <c r="U308" s="493">
        <v>70.735122997418571</v>
      </c>
      <c r="V308" s="493">
        <v>68.605236304620504</v>
      </c>
      <c r="W308" s="493">
        <v>66.507344289144001</v>
      </c>
      <c r="X308" s="493">
        <v>64.441446950990169</v>
      </c>
      <c r="Y308" s="493">
        <v>62.40754429015891</v>
      </c>
      <c r="Z308" s="493">
        <v>60.429077079389643</v>
      </c>
      <c r="AA308" s="493">
        <v>58.481367988026683</v>
      </c>
      <c r="AB308" s="493">
        <v>56.564417016069513</v>
      </c>
      <c r="AC308" s="493">
        <v>54.678224163519339</v>
      </c>
      <c r="AD308" s="493">
        <v>52.822789430375032</v>
      </c>
      <c r="AE308" s="493">
        <v>51.600110701740995</v>
      </c>
      <c r="AF308" s="493">
        <v>50.391546373167834</v>
      </c>
      <c r="AG308" s="493">
        <v>49.197096444655244</v>
      </c>
      <c r="AH308" s="493">
        <v>48.016760916203474</v>
      </c>
      <c r="AI308" s="493">
        <v>46.85053978781275</v>
      </c>
    </row>
    <row r="309" spans="2:64" outlineLevel="1">
      <c r="B309" t="str">
        <f t="shared" si="35"/>
        <v>Carbon dioxide (DAC) - Energy cost - Americas - USD/ton fuel</v>
      </c>
      <c r="C309" t="str">
        <f>C279</f>
        <v>Carbon dioxide (DAC)</v>
      </c>
      <c r="D309" t="s">
        <v>1368</v>
      </c>
      <c r="E309" t="s">
        <v>731</v>
      </c>
      <c r="F309" t="s">
        <v>1353</v>
      </c>
      <c r="G309" s="487" t="str">
        <f t="shared" si="33"/>
        <v>Carbon dioxide (DAC)AmericasEnergy cost</v>
      </c>
      <c r="H309" s="493">
        <v>105.58438245546897</v>
      </c>
      <c r="I309" s="493">
        <v>101.99736044182912</v>
      </c>
      <c r="J309" s="493">
        <v>98.469570539698765</v>
      </c>
      <c r="K309" s="493">
        <v>93.638765997611998</v>
      </c>
      <c r="L309" s="493">
        <v>88.901570801317362</v>
      </c>
      <c r="M309" s="493">
        <v>84.25798495081483</v>
      </c>
      <c r="N309" s="493">
        <v>79.708008446105609</v>
      </c>
      <c r="O309" s="493">
        <v>75.251641287187283</v>
      </c>
      <c r="P309" s="493">
        <v>72.675393088137156</v>
      </c>
      <c r="Q309" s="493">
        <v>70.14126028517552</v>
      </c>
      <c r="R309" s="493">
        <v>67.64924287830199</v>
      </c>
      <c r="S309" s="493">
        <v>65.19934086751617</v>
      </c>
      <c r="T309" s="493">
        <v>62.791554252818194</v>
      </c>
      <c r="U309" s="493">
        <v>60.764114529985541</v>
      </c>
      <c r="V309" s="493">
        <v>58.768592762315109</v>
      </c>
      <c r="W309" s="493">
        <v>56.804988949805931</v>
      </c>
      <c r="X309" s="493">
        <v>54.873303092459224</v>
      </c>
      <c r="Y309" s="493">
        <v>52.973535190274085</v>
      </c>
      <c r="Z309" s="493">
        <v>51.828230522552126</v>
      </c>
      <c r="AA309" s="493">
        <v>50.694947735460516</v>
      </c>
      <c r="AB309" s="493">
        <v>49.573686828999371</v>
      </c>
      <c r="AC309" s="493">
        <v>48.464447803168603</v>
      </c>
      <c r="AD309" s="493">
        <v>47.367230657968015</v>
      </c>
      <c r="AE309" s="493">
        <v>46.429207924659629</v>
      </c>
      <c r="AF309" s="493">
        <v>45.499664594904488</v>
      </c>
      <c r="AG309" s="493">
        <v>44.57860066870262</v>
      </c>
      <c r="AH309" s="493">
        <v>43.666016146054034</v>
      </c>
      <c r="AI309" s="493">
        <v>42.761911026958728</v>
      </c>
    </row>
    <row r="310" spans="2:64" outlineLevel="1">
      <c r="B310" t="str">
        <f t="shared" si="35"/>
        <v>Carbon dioxide (DAC) - Energy cost - Asia - USD/ton fuel</v>
      </c>
      <c r="C310" t="str">
        <f>C279</f>
        <v>Carbon dioxide (DAC)</v>
      </c>
      <c r="D310" t="s">
        <v>1368</v>
      </c>
      <c r="E310" t="s">
        <v>750</v>
      </c>
      <c r="F310" t="s">
        <v>1353</v>
      </c>
      <c r="G310" s="487" t="str">
        <f t="shared" si="33"/>
        <v>Carbon dioxide (DAC)AsiaEnergy cost</v>
      </c>
      <c r="H310" s="493">
        <v>186.89956944291009</v>
      </c>
      <c r="I310" s="493">
        <v>168.16682617375361</v>
      </c>
      <c r="J310" s="493">
        <v>149.87899747482393</v>
      </c>
      <c r="K310" s="493">
        <v>142.27132627697122</v>
      </c>
      <c r="L310" s="493">
        <v>134.81285628877197</v>
      </c>
      <c r="M310" s="493">
        <v>127.50358751022122</v>
      </c>
      <c r="N310" s="493">
        <v>120.34351994132149</v>
      </c>
      <c r="O310" s="493">
        <v>113.33265358207515</v>
      </c>
      <c r="P310" s="493">
        <v>108.26284478442385</v>
      </c>
      <c r="Q310" s="493">
        <v>103.28784662429925</v>
      </c>
      <c r="R310" s="493">
        <v>98.407659101700688</v>
      </c>
      <c r="S310" s="493">
        <v>93.622282216625351</v>
      </c>
      <c r="T310" s="493">
        <v>88.931715969074972</v>
      </c>
      <c r="U310" s="493">
        <v>86.065503663003796</v>
      </c>
      <c r="V310" s="493">
        <v>83.244358258173165</v>
      </c>
      <c r="W310" s="493">
        <v>80.468279754582596</v>
      </c>
      <c r="X310" s="493">
        <v>77.737268152231991</v>
      </c>
      <c r="Y310" s="493">
        <v>75.051323451122215</v>
      </c>
      <c r="Z310" s="493">
        <v>72.402332509748831</v>
      </c>
      <c r="AA310" s="493">
        <v>69.797444349441975</v>
      </c>
      <c r="AB310" s="493">
        <v>67.236658970200637</v>
      </c>
      <c r="AC310" s="493">
        <v>64.719976372026011</v>
      </c>
      <c r="AD310" s="493">
        <v>62.247396554916683</v>
      </c>
      <c r="AE310" s="493">
        <v>60.720274602486676</v>
      </c>
      <c r="AF310" s="493">
        <v>59.212061358577877</v>
      </c>
      <c r="AG310" s="493">
        <v>57.722756823190991</v>
      </c>
      <c r="AH310" s="493">
        <v>56.25236099632577</v>
      </c>
      <c r="AI310" s="493">
        <v>54.800873877981985</v>
      </c>
    </row>
    <row r="311" spans="2:64" outlineLevel="1">
      <c r="B311" t="str">
        <f t="shared" si="35"/>
        <v>Carbon dioxide (DAC) - Energy cost - Europe - USD/ton fuel</v>
      </c>
      <c r="C311" t="str">
        <f>C279</f>
        <v>Carbon dioxide (DAC)</v>
      </c>
      <c r="D311" t="s">
        <v>1368</v>
      </c>
      <c r="E311" t="s">
        <v>720</v>
      </c>
      <c r="F311" t="s">
        <v>1353</v>
      </c>
      <c r="G311" s="487" t="str">
        <f t="shared" si="33"/>
        <v>Carbon dioxide (DAC)EuropeEnergy cost</v>
      </c>
      <c r="H311" s="493">
        <v>139.13660564940096</v>
      </c>
      <c r="I311" s="493">
        <v>131.33650635826208</v>
      </c>
      <c r="J311" s="493">
        <v>123.69885760010307</v>
      </c>
      <c r="K311" s="493">
        <v>117.43601702374129</v>
      </c>
      <c r="L311" s="493">
        <v>111.29589497676589</v>
      </c>
      <c r="M311" s="493">
        <v>105.27849145917936</v>
      </c>
      <c r="N311" s="493">
        <v>99.383806470979252</v>
      </c>
      <c r="O311" s="493">
        <v>93.611840012167974</v>
      </c>
      <c r="P311" s="493">
        <v>90.585974296079655</v>
      </c>
      <c r="Q311" s="493">
        <v>87.607779699054461</v>
      </c>
      <c r="R311" s="493">
        <v>84.67725622108955</v>
      </c>
      <c r="S311" s="493">
        <v>81.794403862185035</v>
      </c>
      <c r="T311" s="493">
        <v>78.959222622341954</v>
      </c>
      <c r="U311" s="493">
        <v>76.922599826040909</v>
      </c>
      <c r="V311" s="493">
        <v>74.912586795058061</v>
      </c>
      <c r="W311" s="493">
        <v>72.929183529392262</v>
      </c>
      <c r="X311" s="493">
        <v>70.972390029044362</v>
      </c>
      <c r="Y311" s="493">
        <v>69.042206294013226</v>
      </c>
      <c r="Z311" s="493">
        <v>67.134466412964173</v>
      </c>
      <c r="AA311" s="493">
        <v>65.253341498845373</v>
      </c>
      <c r="AB311" s="493">
        <v>63.398831551657359</v>
      </c>
      <c r="AC311" s="493">
        <v>61.570936571399812</v>
      </c>
      <c r="AD311" s="493">
        <v>59.769656558072832</v>
      </c>
      <c r="AE311" s="493">
        <v>58.303359346438278</v>
      </c>
      <c r="AF311" s="493">
        <v>56.855217183061221</v>
      </c>
      <c r="AG311" s="493">
        <v>55.425230067942344</v>
      </c>
      <c r="AH311" s="493">
        <v>54.013398001081399</v>
      </c>
      <c r="AI311" s="493">
        <v>52.619720982478157</v>
      </c>
    </row>
    <row r="312" spans="2:64" outlineLevel="1">
      <c r="B312" t="str">
        <f t="shared" si="35"/>
        <v>Carbon dioxide (DAC) - Energy cost - Middle East - USD/ton fuel</v>
      </c>
      <c r="C312" t="str">
        <f>C279</f>
        <v>Carbon dioxide (DAC)</v>
      </c>
      <c r="D312" t="s">
        <v>1368</v>
      </c>
      <c r="E312" t="s">
        <v>826</v>
      </c>
      <c r="F312" t="s">
        <v>1353</v>
      </c>
      <c r="G312" s="487" t="str">
        <f t="shared" si="33"/>
        <v>Carbon dioxide (DAC)Middle EastEnergy cost</v>
      </c>
      <c r="H312" s="493">
        <v>106.54312461630884</v>
      </c>
      <c r="I312" s="493">
        <v>100.46220586457505</v>
      </c>
      <c r="J312" s="493">
        <v>94.50864955757099</v>
      </c>
      <c r="K312" s="493">
        <v>90.289455876080666</v>
      </c>
      <c r="L312" s="493">
        <v>86.149099881800211</v>
      </c>
      <c r="M312" s="493">
        <v>82.087581574729612</v>
      </c>
      <c r="N312" s="493">
        <v>78.104900954868882</v>
      </c>
      <c r="O312" s="493">
        <v>74.201058022218021</v>
      </c>
      <c r="P312" s="493">
        <v>71.264783946143552</v>
      </c>
      <c r="Q312" s="493">
        <v>68.380481742891675</v>
      </c>
      <c r="R312" s="493">
        <v>65.548151412460825</v>
      </c>
      <c r="S312" s="493">
        <v>62.767792954851807</v>
      </c>
      <c r="T312" s="493">
        <v>60.039406370064405</v>
      </c>
      <c r="U312" s="493">
        <v>58.334255838436711</v>
      </c>
      <c r="V312" s="493">
        <v>56.653467589691616</v>
      </c>
      <c r="W312" s="493">
        <v>54.997041623828714</v>
      </c>
      <c r="X312" s="493">
        <v>53.364977940848128</v>
      </c>
      <c r="Y312" s="493">
        <v>51.757276540749643</v>
      </c>
      <c r="Z312" s="493">
        <v>49.951129205562665</v>
      </c>
      <c r="AA312" s="493">
        <v>48.17485125313609</v>
      </c>
      <c r="AB312" s="493">
        <v>46.428442683469406</v>
      </c>
      <c r="AC312" s="493">
        <v>44.711903496563266</v>
      </c>
      <c r="AD312" s="493">
        <v>43.025233692416762</v>
      </c>
      <c r="AE312" s="493">
        <v>41.969677751620367</v>
      </c>
      <c r="AF312" s="493">
        <v>40.927191811319283</v>
      </c>
      <c r="AG312" s="493">
        <v>39.897775871513431</v>
      </c>
      <c r="AH312" s="493">
        <v>38.881429932202913</v>
      </c>
      <c r="AI312" s="493">
        <v>37.878153993387855</v>
      </c>
    </row>
    <row r="313" spans="2:64" outlineLevel="1">
      <c r="B313" t="str">
        <f t="shared" si="35"/>
        <v/>
      </c>
      <c r="G313" s="487" t="str">
        <f t="shared" si="33"/>
        <v/>
      </c>
    </row>
    <row r="314" spans="2:64" ht="15" outlineLevel="1">
      <c r="B314" t="str">
        <f t="shared" si="35"/>
        <v>Carbon dioxide (DAC) - Feedstock cost including feedstock feedstock cost - Global - USD/ton fuel</v>
      </c>
      <c r="C314" s="491" t="str">
        <f>C279</f>
        <v>Carbon dioxide (DAC)</v>
      </c>
      <c r="D314" s="491" t="s">
        <v>1369</v>
      </c>
      <c r="E314" s="491" t="s">
        <v>708</v>
      </c>
      <c r="F314" s="491" t="s">
        <v>1353</v>
      </c>
      <c r="G314" s="487" t="str">
        <f t="shared" si="33"/>
        <v>Carbon dioxide (DAC)GlobalFeedstock cost including feedstock feedstock cost</v>
      </c>
      <c r="H314" s="492">
        <v>0</v>
      </c>
      <c r="I314" s="492">
        <v>0</v>
      </c>
      <c r="J314" s="492">
        <v>0</v>
      </c>
      <c r="K314" s="492">
        <v>0</v>
      </c>
      <c r="L314" s="492">
        <v>0</v>
      </c>
      <c r="M314" s="492">
        <v>0</v>
      </c>
      <c r="N314" s="492">
        <v>0</v>
      </c>
      <c r="O314" s="492">
        <v>0</v>
      </c>
      <c r="P314" s="492">
        <v>0</v>
      </c>
      <c r="Q314" s="492">
        <v>0</v>
      </c>
      <c r="R314" s="492">
        <v>0</v>
      </c>
      <c r="S314" s="492">
        <v>0</v>
      </c>
      <c r="T314" s="492">
        <v>0</v>
      </c>
      <c r="U314" s="492">
        <v>0</v>
      </c>
      <c r="V314" s="492">
        <v>0</v>
      </c>
      <c r="W314" s="492">
        <v>0</v>
      </c>
      <c r="X314" s="492">
        <v>0</v>
      </c>
      <c r="Y314" s="492">
        <v>0</v>
      </c>
      <c r="Z314" s="492">
        <v>0</v>
      </c>
      <c r="AA314" s="492">
        <v>0</v>
      </c>
      <c r="AB314" s="492">
        <v>0</v>
      </c>
      <c r="AC314" s="492">
        <v>0</v>
      </c>
      <c r="AD314" s="492">
        <v>0</v>
      </c>
      <c r="AE314" s="492">
        <v>0</v>
      </c>
      <c r="AF314" s="492">
        <v>0</v>
      </c>
      <c r="AG314" s="492">
        <v>0</v>
      </c>
      <c r="AH314" s="492">
        <v>0</v>
      </c>
      <c r="AI314" s="492">
        <v>0</v>
      </c>
    </row>
    <row r="315" spans="2:64">
      <c r="G315" s="487" t="str">
        <f t="shared" si="33"/>
        <v/>
      </c>
    </row>
    <row r="316" spans="2:64" ht="15">
      <c r="B316" t="str">
        <f t="shared" ref="B316:B351" si="41">_xlfn.TEXTJOIN(" - ",TRUE,C316:F316)</f>
        <v>Carbon dioxide (PS) - Item - Region - Unit</v>
      </c>
      <c r="C316" s="485" t="s">
        <v>1380</v>
      </c>
      <c r="D316" s="485" t="s">
        <v>877</v>
      </c>
      <c r="E316" s="485" t="s">
        <v>171</v>
      </c>
      <c r="F316" s="485" t="s">
        <v>111</v>
      </c>
      <c r="G316" s="487" t="str">
        <f t="shared" si="33"/>
        <v>Carbon dioxide (PS)RegionItem</v>
      </c>
      <c r="H316" s="486">
        <v>2023</v>
      </c>
      <c r="I316" s="486">
        <v>2024</v>
      </c>
      <c r="J316" s="486">
        <v>2025</v>
      </c>
      <c r="K316" s="486">
        <v>2026</v>
      </c>
      <c r="L316" s="486">
        <v>2027</v>
      </c>
      <c r="M316" s="486">
        <v>2028</v>
      </c>
      <c r="N316" s="486">
        <v>2029</v>
      </c>
      <c r="O316" s="486">
        <v>2030</v>
      </c>
      <c r="P316" s="486">
        <v>2031</v>
      </c>
      <c r="Q316" s="486">
        <v>2032</v>
      </c>
      <c r="R316" s="486">
        <v>2033</v>
      </c>
      <c r="S316" s="486">
        <v>2034</v>
      </c>
      <c r="T316" s="486">
        <v>2035</v>
      </c>
      <c r="U316" s="486">
        <v>2036</v>
      </c>
      <c r="V316" s="486">
        <v>2037</v>
      </c>
      <c r="W316" s="486">
        <v>2038</v>
      </c>
      <c r="X316" s="486">
        <v>2039</v>
      </c>
      <c r="Y316" s="486">
        <v>2040</v>
      </c>
      <c r="Z316" s="486">
        <v>2041</v>
      </c>
      <c r="AA316" s="486">
        <v>2042</v>
      </c>
      <c r="AB316" s="486">
        <v>2043</v>
      </c>
      <c r="AC316" s="486">
        <v>2044</v>
      </c>
      <c r="AD316" s="486">
        <v>2045</v>
      </c>
      <c r="AE316" s="486">
        <v>2046</v>
      </c>
      <c r="AF316" s="486">
        <v>2047</v>
      </c>
      <c r="AG316" s="486">
        <v>2048</v>
      </c>
      <c r="AH316" s="486">
        <v>2049</v>
      </c>
      <c r="AI316" s="486">
        <v>2050</v>
      </c>
    </row>
    <row r="317" spans="2:64" outlineLevel="1">
      <c r="B317" t="str">
        <f t="shared" si="41"/>
        <v>Carbon dioxide (PS) - Total cost - Africa - USD/ton fuel</v>
      </c>
      <c r="C317" s="487" t="str">
        <f>C316</f>
        <v>Carbon dioxide (PS)</v>
      </c>
      <c r="D317" s="487" t="s">
        <v>1362</v>
      </c>
      <c r="E317" s="487" t="s">
        <v>838</v>
      </c>
      <c r="F317" s="487" t="s">
        <v>1353</v>
      </c>
      <c r="G317" s="487" t="str">
        <f t="shared" si="33"/>
        <v>Carbon dioxide (PS)AfricaTotal cost</v>
      </c>
      <c r="H317" s="488">
        <v>168.75874645206471</v>
      </c>
      <c r="I317" s="488">
        <v>160.13998331054682</v>
      </c>
      <c r="J317" s="488">
        <v>151.52122016902811</v>
      </c>
      <c r="K317" s="488">
        <v>145.12777444160082</v>
      </c>
      <c r="L317" s="488">
        <v>138.73432871417356</v>
      </c>
      <c r="M317" s="488">
        <v>132.34088298674627</v>
      </c>
      <c r="N317" s="488">
        <v>125.94743725931876</v>
      </c>
      <c r="O317" s="488">
        <v>119.55399153189148</v>
      </c>
      <c r="P317" s="488">
        <v>116.92970902762548</v>
      </c>
      <c r="Q317" s="488">
        <v>114.30542652335946</v>
      </c>
      <c r="R317" s="488">
        <v>111.68114401909322</v>
      </c>
      <c r="S317" s="488">
        <v>109.0568615148272</v>
      </c>
      <c r="T317" s="488">
        <v>106.43257901056124</v>
      </c>
      <c r="U317" s="488">
        <v>104.06242970845638</v>
      </c>
      <c r="V317" s="488">
        <v>101.69228040635156</v>
      </c>
      <c r="W317" s="488">
        <v>99.322131104246679</v>
      </c>
      <c r="X317" s="488">
        <v>96.951981802141802</v>
      </c>
      <c r="Y317" s="488">
        <v>94.581832500037024</v>
      </c>
      <c r="Z317" s="488">
        <v>92.20529440887249</v>
      </c>
      <c r="AA317" s="488">
        <v>89.828756317707942</v>
      </c>
      <c r="AB317" s="488">
        <v>87.452218226543295</v>
      </c>
      <c r="AC317" s="488">
        <v>85.075680135378761</v>
      </c>
      <c r="AD317" s="488">
        <v>82.699142044214156</v>
      </c>
      <c r="AE317" s="488">
        <v>80.440921259156212</v>
      </c>
      <c r="AF317" s="488">
        <v>78.182700474098326</v>
      </c>
      <c r="AG317" s="488">
        <v>75.924479689040368</v>
      </c>
      <c r="AH317" s="488">
        <v>73.666258903982438</v>
      </c>
      <c r="AI317" s="488">
        <v>71.408038118924537</v>
      </c>
    </row>
    <row r="318" spans="2:64" outlineLevel="1">
      <c r="B318" t="str">
        <f t="shared" si="41"/>
        <v>Carbon dioxide (PS) - Total cost - Americas - USD/ton fuel</v>
      </c>
      <c r="C318" t="str">
        <f>C317</f>
        <v>Carbon dioxide (PS)</v>
      </c>
      <c r="D318" t="s">
        <v>1362</v>
      </c>
      <c r="E318" t="s">
        <v>731</v>
      </c>
      <c r="F318" t="s">
        <v>1353</v>
      </c>
      <c r="G318" s="487" t="str">
        <f t="shared" si="33"/>
        <v>Carbon dioxide (PS)AmericasTotal cost</v>
      </c>
      <c r="H318" s="489">
        <v>158.99256637622852</v>
      </c>
      <c r="I318" s="489">
        <v>153.11734986838769</v>
      </c>
      <c r="J318" s="489">
        <v>147.24213336054677</v>
      </c>
      <c r="K318" s="489">
        <v>141.13088321272323</v>
      </c>
      <c r="L318" s="489">
        <v>135.01963306489972</v>
      </c>
      <c r="M318" s="489">
        <v>128.90838291707621</v>
      </c>
      <c r="N318" s="489">
        <v>122.79713276925288</v>
      </c>
      <c r="O318" s="489">
        <v>116.68588262142937</v>
      </c>
      <c r="P318" s="489">
        <v>114.26360850860023</v>
      </c>
      <c r="Q318" s="489">
        <v>111.84133439577106</v>
      </c>
      <c r="R318" s="489">
        <v>109.41906028294189</v>
      </c>
      <c r="S318" s="489">
        <v>106.99678617011273</v>
      </c>
      <c r="T318" s="489">
        <v>104.57451205728351</v>
      </c>
      <c r="U318" s="489">
        <v>102.20490465393972</v>
      </c>
      <c r="V318" s="489">
        <v>99.835297250595929</v>
      </c>
      <c r="W318" s="489">
        <v>97.465689847252079</v>
      </c>
      <c r="X318" s="489">
        <v>95.096082443908287</v>
      </c>
      <c r="Y318" s="489">
        <v>92.726475040564452</v>
      </c>
      <c r="Z318" s="489">
        <v>90.491485476362513</v>
      </c>
      <c r="AA318" s="489">
        <v>88.256495912160574</v>
      </c>
      <c r="AB318" s="489">
        <v>86.021506347958649</v>
      </c>
      <c r="AC318" s="489">
        <v>83.786516783756724</v>
      </c>
      <c r="AD318" s="489">
        <v>81.551527219554785</v>
      </c>
      <c r="AE318" s="489">
        <v>79.338841105190284</v>
      </c>
      <c r="AF318" s="489">
        <v>77.12615499082581</v>
      </c>
      <c r="AG318" s="489">
        <v>74.913468876461323</v>
      </c>
      <c r="AH318" s="489">
        <v>72.700782762096864</v>
      </c>
      <c r="AI318" s="489">
        <v>70.488096647732377</v>
      </c>
    </row>
    <row r="319" spans="2:64" outlineLevel="1">
      <c r="B319" t="str">
        <f t="shared" si="41"/>
        <v>Carbon dioxide (PS) - Total cost - Asia - USD/ton fuel</v>
      </c>
      <c r="C319" t="str">
        <f>C318</f>
        <v>Carbon dioxide (PS)</v>
      </c>
      <c r="D319" t="s">
        <v>1362</v>
      </c>
      <c r="E319" t="s">
        <v>750</v>
      </c>
      <c r="F319" t="s">
        <v>1353</v>
      </c>
      <c r="G319" s="487" t="str">
        <f t="shared" si="33"/>
        <v>Carbon dioxide (PS)AsiaTotal cost</v>
      </c>
      <c r="H319" s="489">
        <v>171.70705445374747</v>
      </c>
      <c r="I319" s="489">
        <v>163.6057085715762</v>
      </c>
      <c r="J319" s="489">
        <v>155.50436268940615</v>
      </c>
      <c r="K319" s="489">
        <v>149.04990457873393</v>
      </c>
      <c r="L319" s="489">
        <v>142.59544646806216</v>
      </c>
      <c r="M319" s="489">
        <v>136.14098835738997</v>
      </c>
      <c r="N319" s="489">
        <v>129.68653024671778</v>
      </c>
      <c r="O319" s="489">
        <v>123.23207213604601</v>
      </c>
      <c r="P319" s="489">
        <v>120.46182696317361</v>
      </c>
      <c r="Q319" s="489">
        <v>117.69158179030138</v>
      </c>
      <c r="R319" s="489">
        <v>114.92133661742938</v>
      </c>
      <c r="S319" s="489">
        <v>112.15109144455717</v>
      </c>
      <c r="T319" s="489">
        <v>109.38084627168496</v>
      </c>
      <c r="U319" s="489">
        <v>106.91836612397657</v>
      </c>
      <c r="V319" s="489">
        <v>104.45588597626819</v>
      </c>
      <c r="W319" s="489">
        <v>101.99340582855991</v>
      </c>
      <c r="X319" s="489">
        <v>99.530925680851524</v>
      </c>
      <c r="Y319" s="489">
        <v>97.068445533143333</v>
      </c>
      <c r="Z319" s="489">
        <v>94.591091199010563</v>
      </c>
      <c r="AA319" s="489">
        <v>92.113736864877893</v>
      </c>
      <c r="AB319" s="489">
        <v>89.636382530745109</v>
      </c>
      <c r="AC319" s="489">
        <v>87.159028196612454</v>
      </c>
      <c r="AD319" s="489">
        <v>84.68167386247967</v>
      </c>
      <c r="AE319" s="489">
        <v>82.384711747826273</v>
      </c>
      <c r="AF319" s="489">
        <v>80.087749633172848</v>
      </c>
      <c r="AG319" s="489">
        <v>77.790787518519437</v>
      </c>
      <c r="AH319" s="489">
        <v>75.493825403866055</v>
      </c>
      <c r="AI319" s="489">
        <v>73.196863289212615</v>
      </c>
    </row>
    <row r="320" spans="2:64" outlineLevel="1">
      <c r="B320" t="str">
        <f t="shared" si="41"/>
        <v>Carbon dioxide (PS) - Total cost - Europe - USD/ton fuel</v>
      </c>
      <c r="C320" t="str">
        <f>C319</f>
        <v>Carbon dioxide (PS)</v>
      </c>
      <c r="D320" t="s">
        <v>1362</v>
      </c>
      <c r="E320" t="s">
        <v>720</v>
      </c>
      <c r="F320" t="s">
        <v>1353</v>
      </c>
      <c r="G320" s="487" t="str">
        <f t="shared" si="33"/>
        <v>Carbon dioxide (PS)EuropeTotal cost</v>
      </c>
      <c r="H320" s="489">
        <v>164.2388107443241</v>
      </c>
      <c r="I320" s="489">
        <v>157.76782547693222</v>
      </c>
      <c r="J320" s="489">
        <v>151.29684020954031</v>
      </c>
      <c r="K320" s="489">
        <v>145.00587844730933</v>
      </c>
      <c r="L320" s="489">
        <v>138.71491668507818</v>
      </c>
      <c r="M320" s="489">
        <v>132.42395492284723</v>
      </c>
      <c r="N320" s="489">
        <v>126.13299316061605</v>
      </c>
      <c r="O320" s="489">
        <v>119.8420313983851</v>
      </c>
      <c r="P320" s="489">
        <v>117.3830702762656</v>
      </c>
      <c r="Q320" s="489">
        <v>114.92410915414638</v>
      </c>
      <c r="R320" s="489">
        <v>112.46514803202705</v>
      </c>
      <c r="S320" s="489">
        <v>110.00618690990774</v>
      </c>
      <c r="T320" s="489">
        <v>107.54722578778853</v>
      </c>
      <c r="U320" s="489">
        <v>105.21511083102753</v>
      </c>
      <c r="V320" s="489">
        <v>102.88299587426658</v>
      </c>
      <c r="W320" s="489">
        <v>100.55088091750564</v>
      </c>
      <c r="X320" s="489">
        <v>98.21876596074469</v>
      </c>
      <c r="Y320" s="489">
        <v>95.88665100398363</v>
      </c>
      <c r="Z320" s="489">
        <v>93.541413598988882</v>
      </c>
      <c r="AA320" s="489">
        <v>91.196176193994077</v>
      </c>
      <c r="AB320" s="489">
        <v>88.850938788999315</v>
      </c>
      <c r="AC320" s="489">
        <v>86.505701384004524</v>
      </c>
      <c r="AD320" s="489">
        <v>84.160463979009762</v>
      </c>
      <c r="AE320" s="489">
        <v>81.869591960752686</v>
      </c>
      <c r="AF320" s="489">
        <v>79.578719942495553</v>
      </c>
      <c r="AG320" s="489">
        <v>77.287847924238463</v>
      </c>
      <c r="AH320" s="489">
        <v>74.996975905981387</v>
      </c>
      <c r="AI320" s="489">
        <v>72.706103887724254</v>
      </c>
    </row>
    <row r="321" spans="2:35" outlineLevel="1">
      <c r="B321" t="str">
        <f t="shared" si="41"/>
        <v>Carbon dioxide (PS) - Total cost - Middle East - USD/ton fuel</v>
      </c>
      <c r="C321" s="25" t="str">
        <f>C320</f>
        <v>Carbon dioxide (PS)</v>
      </c>
      <c r="D321" s="25" t="s">
        <v>1362</v>
      </c>
      <c r="E321" s="25" t="s">
        <v>826</v>
      </c>
      <c r="F321" s="25" t="s">
        <v>1353</v>
      </c>
      <c r="G321" s="487" t="str">
        <f t="shared" si="33"/>
        <v>Carbon dioxide (PS)Middle EastTotal cost</v>
      </c>
      <c r="H321" s="490">
        <v>159.14247583625712</v>
      </c>
      <c r="I321" s="490">
        <v>152.87401630519537</v>
      </c>
      <c r="J321" s="490">
        <v>146.60555677413339</v>
      </c>
      <c r="K321" s="490">
        <v>140.58550254056769</v>
      </c>
      <c r="L321" s="490">
        <v>134.56544830700201</v>
      </c>
      <c r="M321" s="490">
        <v>128.54539407343631</v>
      </c>
      <c r="N321" s="490">
        <v>122.52533983987063</v>
      </c>
      <c r="O321" s="490">
        <v>116.50528560630494</v>
      </c>
      <c r="P321" s="490">
        <v>114.01792461724683</v>
      </c>
      <c r="Q321" s="490">
        <v>111.5305636281888</v>
      </c>
      <c r="R321" s="490">
        <v>109.04320263913067</v>
      </c>
      <c r="S321" s="490">
        <v>106.55584165007265</v>
      </c>
      <c r="T321" s="490">
        <v>104.06848066101463</v>
      </c>
      <c r="U321" s="490">
        <v>101.7522399697978</v>
      </c>
      <c r="V321" s="490">
        <v>99.435999278580965</v>
      </c>
      <c r="W321" s="490">
        <v>97.119758587364188</v>
      </c>
      <c r="X321" s="490">
        <v>94.803517896147369</v>
      </c>
      <c r="Y321" s="490">
        <v>92.487277204930521</v>
      </c>
      <c r="Z321" s="490">
        <v>90.117453340918203</v>
      </c>
      <c r="AA321" s="490">
        <v>87.747629476905928</v>
      </c>
      <c r="AB321" s="490">
        <v>85.377805612893596</v>
      </c>
      <c r="AC321" s="490">
        <v>83.007981748881349</v>
      </c>
      <c r="AD321" s="490">
        <v>80.638157884868988</v>
      </c>
      <c r="AE321" s="490">
        <v>78.388376570930973</v>
      </c>
      <c r="AF321" s="490">
        <v>76.138595256992971</v>
      </c>
      <c r="AG321" s="490">
        <v>73.888813943054942</v>
      </c>
      <c r="AH321" s="490">
        <v>71.639032629116926</v>
      </c>
      <c r="AI321" s="490">
        <v>69.389251315178939</v>
      </c>
    </row>
    <row r="322" spans="2:35" ht="15" outlineLevel="1">
      <c r="B322" t="str">
        <f t="shared" si="41"/>
        <v/>
      </c>
      <c r="C322" s="22"/>
      <c r="G322" s="487" t="str">
        <f t="shared" si="33"/>
        <v/>
      </c>
    </row>
    <row r="323" spans="2:35" ht="15" outlineLevel="1">
      <c r="B323" t="str">
        <f t="shared" si="41"/>
        <v>Carbon dioxide (PS) - CAPEX including feedstock CAPEX - Global - USD/ton fuel</v>
      </c>
      <c r="C323" s="491" t="str">
        <f>C316</f>
        <v>Carbon dioxide (PS)</v>
      </c>
      <c r="D323" s="491" t="s">
        <v>1363</v>
      </c>
      <c r="E323" s="491" t="s">
        <v>708</v>
      </c>
      <c r="F323" s="491" t="s">
        <v>1353</v>
      </c>
      <c r="G323" s="487" t="str">
        <f t="shared" si="33"/>
        <v>Carbon dioxide (PS)GlobalCAPEX including feedstock CAPEX</v>
      </c>
      <c r="H323" s="492">
        <v>34.333333333333336</v>
      </c>
      <c r="I323" s="492">
        <v>33</v>
      </c>
      <c r="J323" s="492">
        <v>31.666666666666668</v>
      </c>
      <c r="K323" s="492">
        <v>30.333333333333332</v>
      </c>
      <c r="L323" s="492">
        <v>29</v>
      </c>
      <c r="M323" s="492">
        <v>27.666666666666668</v>
      </c>
      <c r="N323" s="492">
        <v>26.333333333333332</v>
      </c>
      <c r="O323" s="492">
        <v>25</v>
      </c>
      <c r="P323" s="492">
        <v>24.483333333333334</v>
      </c>
      <c r="Q323" s="492">
        <v>23.966666666666665</v>
      </c>
      <c r="R323" s="492">
        <v>23.45</v>
      </c>
      <c r="S323" s="492">
        <v>22.933333333333334</v>
      </c>
      <c r="T323" s="492">
        <v>22.416666666666668</v>
      </c>
      <c r="U323" s="492">
        <v>21.9</v>
      </c>
      <c r="V323" s="492">
        <v>21.383333333333333</v>
      </c>
      <c r="W323" s="492">
        <v>20.866666666666667</v>
      </c>
      <c r="X323" s="492">
        <v>20.350000000000001</v>
      </c>
      <c r="Y323" s="492">
        <v>19.833333333333332</v>
      </c>
      <c r="Z323" s="492">
        <v>19.316666666666666</v>
      </c>
      <c r="AA323" s="492">
        <v>18.8</v>
      </c>
      <c r="AB323" s="492">
        <v>18.283333333333335</v>
      </c>
      <c r="AC323" s="492">
        <v>17.766666666666666</v>
      </c>
      <c r="AD323" s="492">
        <v>17.25</v>
      </c>
      <c r="AE323" s="492">
        <v>16.733333333333334</v>
      </c>
      <c r="AF323" s="492">
        <v>16.216666666666665</v>
      </c>
      <c r="AG323" s="492">
        <v>15.7</v>
      </c>
      <c r="AH323" s="492">
        <v>15.183333333333334</v>
      </c>
      <c r="AI323" s="492">
        <v>14.666666666666666</v>
      </c>
    </row>
    <row r="324" spans="2:35" outlineLevel="1">
      <c r="B324" t="str">
        <f t="shared" si="41"/>
        <v>Carbon dioxide (PS) - CAPEX - Global - USD/ton fuel</v>
      </c>
      <c r="C324" t="str">
        <f>C316</f>
        <v>Carbon dioxide (PS)</v>
      </c>
      <c r="D324" t="s">
        <v>446</v>
      </c>
      <c r="E324" t="s">
        <v>708</v>
      </c>
      <c r="F324" t="s">
        <v>1353</v>
      </c>
      <c r="G324" s="487" t="str">
        <f t="shared" si="33"/>
        <v>Carbon dioxide (PS)GlobalCAPEX</v>
      </c>
      <c r="H324" s="493">
        <v>34.333333333333336</v>
      </c>
      <c r="I324" s="493">
        <v>33</v>
      </c>
      <c r="J324" s="493">
        <v>31.666666666666668</v>
      </c>
      <c r="K324" s="493">
        <v>30.333333333333332</v>
      </c>
      <c r="L324" s="493">
        <v>29</v>
      </c>
      <c r="M324" s="493">
        <v>27.666666666666668</v>
      </c>
      <c r="N324" s="493">
        <v>26.333333333333332</v>
      </c>
      <c r="O324" s="493">
        <v>25</v>
      </c>
      <c r="P324" s="493">
        <v>24.483333333333334</v>
      </c>
      <c r="Q324" s="493">
        <v>23.966666666666665</v>
      </c>
      <c r="R324" s="493">
        <v>23.45</v>
      </c>
      <c r="S324" s="493">
        <v>22.933333333333334</v>
      </c>
      <c r="T324" s="493">
        <v>22.416666666666668</v>
      </c>
      <c r="U324" s="493">
        <v>21.9</v>
      </c>
      <c r="V324" s="493">
        <v>21.383333333333333</v>
      </c>
      <c r="W324" s="493">
        <v>20.866666666666667</v>
      </c>
      <c r="X324" s="493">
        <v>20.350000000000001</v>
      </c>
      <c r="Y324" s="493">
        <v>19.833333333333332</v>
      </c>
      <c r="Z324" s="493">
        <v>19.316666666666666</v>
      </c>
      <c r="AA324" s="493">
        <v>18.8</v>
      </c>
      <c r="AB324" s="493">
        <v>18.283333333333335</v>
      </c>
      <c r="AC324" s="493">
        <v>17.766666666666666</v>
      </c>
      <c r="AD324" s="493">
        <v>17.25</v>
      </c>
      <c r="AE324" s="493">
        <v>16.733333333333334</v>
      </c>
      <c r="AF324" s="493">
        <v>16.216666666666665</v>
      </c>
      <c r="AG324" s="493">
        <v>15.7</v>
      </c>
      <c r="AH324" s="493">
        <v>15.183333333333334</v>
      </c>
      <c r="AI324" s="493">
        <v>14.666666666666666</v>
      </c>
    </row>
    <row r="325" spans="2:35" outlineLevel="1">
      <c r="B325" t="str">
        <f t="shared" si="41"/>
        <v/>
      </c>
      <c r="G325" s="487" t="str">
        <f t="shared" si="33"/>
        <v/>
      </c>
      <c r="H325" s="493"/>
      <c r="I325" s="493"/>
      <c r="J325" s="493"/>
      <c r="K325" s="493"/>
      <c r="L325" s="493"/>
      <c r="M325" s="493"/>
      <c r="N325" s="493"/>
      <c r="O325" s="493"/>
      <c r="P325" s="493"/>
      <c r="Q325" s="493"/>
      <c r="R325" s="493"/>
      <c r="S325" s="493"/>
      <c r="T325" s="493"/>
      <c r="U325" s="493"/>
      <c r="V325" s="493"/>
      <c r="W325" s="493"/>
      <c r="X325" s="493"/>
      <c r="Y325" s="493"/>
      <c r="Z325" s="493"/>
      <c r="AA325" s="493"/>
      <c r="AB325" s="493"/>
      <c r="AC325" s="493"/>
      <c r="AD325" s="493"/>
      <c r="AE325" s="493"/>
      <c r="AF325" s="493"/>
      <c r="AG325" s="493"/>
      <c r="AH325" s="493"/>
      <c r="AI325" s="493"/>
    </row>
    <row r="326" spans="2:35" ht="15" outlineLevel="1">
      <c r="B326" t="str">
        <f t="shared" si="41"/>
        <v>Carbon dioxide (PS) - OPEX including feedstock OPEX - Global - USD/ton fuel</v>
      </c>
      <c r="C326" s="491" t="str">
        <f>C317</f>
        <v>Carbon dioxide (PS)</v>
      </c>
      <c r="D326" s="491" t="s">
        <v>1364</v>
      </c>
      <c r="E326" s="491" t="s">
        <v>708</v>
      </c>
      <c r="F326" s="491" t="s">
        <v>1353</v>
      </c>
      <c r="G326" s="487" t="str">
        <f t="shared" si="33"/>
        <v>Carbon dioxide (PS)GlobalOPEX including feedstock OPEX</v>
      </c>
      <c r="H326" s="492">
        <v>51.5</v>
      </c>
      <c r="I326" s="492">
        <v>49.5</v>
      </c>
      <c r="J326" s="492">
        <v>47.5</v>
      </c>
      <c r="K326" s="492">
        <v>45.5</v>
      </c>
      <c r="L326" s="492">
        <v>43.5</v>
      </c>
      <c r="M326" s="492">
        <v>41.5</v>
      </c>
      <c r="N326" s="492">
        <v>39.5</v>
      </c>
      <c r="O326" s="492">
        <v>37.5</v>
      </c>
      <c r="P326" s="492">
        <v>36.725000000000001</v>
      </c>
      <c r="Q326" s="492">
        <v>35.950000000000003</v>
      </c>
      <c r="R326" s="492">
        <v>35.175000000000004</v>
      </c>
      <c r="S326" s="492">
        <v>34.4</v>
      </c>
      <c r="T326" s="492">
        <v>33.625</v>
      </c>
      <c r="U326" s="492">
        <v>32.85</v>
      </c>
      <c r="V326" s="492">
        <v>32.075000000000003</v>
      </c>
      <c r="W326" s="492">
        <v>31.3</v>
      </c>
      <c r="X326" s="492">
        <v>30.525000000000002</v>
      </c>
      <c r="Y326" s="492">
        <v>29.75</v>
      </c>
      <c r="Z326" s="492">
        <v>28.975000000000001</v>
      </c>
      <c r="AA326" s="492">
        <v>28.200000000000003</v>
      </c>
      <c r="AB326" s="492">
        <v>27.425000000000001</v>
      </c>
      <c r="AC326" s="492">
        <v>26.650000000000002</v>
      </c>
      <c r="AD326" s="492">
        <v>25.875</v>
      </c>
      <c r="AE326" s="492">
        <v>25.1</v>
      </c>
      <c r="AF326" s="492">
        <v>24.325000000000003</v>
      </c>
      <c r="AG326" s="492">
        <v>23.55</v>
      </c>
      <c r="AH326" s="492">
        <v>22.775000000000002</v>
      </c>
      <c r="AI326" s="492">
        <v>22</v>
      </c>
    </row>
    <row r="327" spans="2:35" outlineLevel="1">
      <c r="B327" t="str">
        <f t="shared" si="41"/>
        <v>Carbon dioxide (PS) - OPEX - Global - USD/ton fuel</v>
      </c>
      <c r="C327" t="str">
        <f>C316</f>
        <v>Carbon dioxide (PS)</v>
      </c>
      <c r="D327" t="s">
        <v>450</v>
      </c>
      <c r="E327" t="s">
        <v>708</v>
      </c>
      <c r="F327" t="s">
        <v>1353</v>
      </c>
      <c r="G327" s="487" t="str">
        <f t="shared" si="33"/>
        <v>Carbon dioxide (PS)GlobalOPEX</v>
      </c>
      <c r="H327" s="493">
        <v>51.5</v>
      </c>
      <c r="I327" s="493">
        <v>49.5</v>
      </c>
      <c r="J327" s="493">
        <v>47.5</v>
      </c>
      <c r="K327" s="493">
        <v>45.5</v>
      </c>
      <c r="L327" s="493">
        <v>43.5</v>
      </c>
      <c r="M327" s="493">
        <v>41.5</v>
      </c>
      <c r="N327" s="493">
        <v>39.5</v>
      </c>
      <c r="O327" s="493">
        <v>37.5</v>
      </c>
      <c r="P327" s="493">
        <v>36.725000000000001</v>
      </c>
      <c r="Q327" s="493">
        <v>35.950000000000003</v>
      </c>
      <c r="R327" s="493">
        <v>35.175000000000004</v>
      </c>
      <c r="S327" s="493">
        <v>34.4</v>
      </c>
      <c r="T327" s="493">
        <v>33.625</v>
      </c>
      <c r="U327" s="493">
        <v>32.85</v>
      </c>
      <c r="V327" s="493">
        <v>32.075000000000003</v>
      </c>
      <c r="W327" s="493">
        <v>31.3</v>
      </c>
      <c r="X327" s="493">
        <v>30.525000000000002</v>
      </c>
      <c r="Y327" s="493">
        <v>29.75</v>
      </c>
      <c r="Z327" s="493">
        <v>28.975000000000001</v>
      </c>
      <c r="AA327" s="493">
        <v>28.200000000000003</v>
      </c>
      <c r="AB327" s="493">
        <v>27.425000000000001</v>
      </c>
      <c r="AC327" s="493">
        <v>26.650000000000002</v>
      </c>
      <c r="AD327" s="493">
        <v>25.875</v>
      </c>
      <c r="AE327" s="493">
        <v>25.1</v>
      </c>
      <c r="AF327" s="493">
        <v>24.325000000000003</v>
      </c>
      <c r="AG327" s="493">
        <v>23.55</v>
      </c>
      <c r="AH327" s="493">
        <v>22.775000000000002</v>
      </c>
      <c r="AI327" s="493">
        <v>22</v>
      </c>
    </row>
    <row r="328" spans="2:35" outlineLevel="1">
      <c r="B328" t="str">
        <f t="shared" si="41"/>
        <v/>
      </c>
      <c r="G328" s="487" t="str">
        <f t="shared" ref="G328:G391" si="42">+C328&amp;E328&amp;D328</f>
        <v/>
      </c>
      <c r="H328" s="493"/>
      <c r="I328" s="493"/>
      <c r="J328" s="493"/>
      <c r="K328" s="493"/>
      <c r="L328" s="493"/>
      <c r="M328" s="493"/>
      <c r="N328" s="493"/>
      <c r="O328" s="493"/>
      <c r="P328" s="493"/>
      <c r="Q328" s="493"/>
      <c r="R328" s="493"/>
      <c r="S328" s="493"/>
      <c r="T328" s="493"/>
      <c r="U328" s="493"/>
      <c r="V328" s="493"/>
      <c r="W328" s="493"/>
      <c r="X328" s="493"/>
      <c r="Y328" s="493"/>
      <c r="Z328" s="493"/>
      <c r="AA328" s="493"/>
      <c r="AB328" s="493"/>
      <c r="AC328" s="493"/>
      <c r="AD328" s="493"/>
      <c r="AE328" s="493"/>
      <c r="AF328" s="493"/>
      <c r="AG328" s="493"/>
      <c r="AH328" s="493"/>
      <c r="AI328" s="493"/>
    </row>
    <row r="329" spans="2:35" ht="15" outlineLevel="1">
      <c r="B329" t="str">
        <f t="shared" si="41"/>
        <v>Carbon dioxide (PS) - Finance cost including feedstock finance cost - Africa - USD/ton fuel</v>
      </c>
      <c r="C329" s="494" t="str">
        <f>C320</f>
        <v>Carbon dioxide (PS)</v>
      </c>
      <c r="D329" s="494" t="s">
        <v>1365</v>
      </c>
      <c r="E329" s="494" t="s">
        <v>838</v>
      </c>
      <c r="F329" s="494" t="s">
        <v>1353</v>
      </c>
      <c r="G329" s="487" t="str">
        <f t="shared" si="42"/>
        <v>Carbon dioxide (PS)AfricaFinance cost including feedstock finance cost</v>
      </c>
      <c r="H329" s="495">
        <v>56.650000000000006</v>
      </c>
      <c r="I329" s="495">
        <v>54.45000000000001</v>
      </c>
      <c r="J329" s="495">
        <v>52.250000000000007</v>
      </c>
      <c r="K329" s="495">
        <v>50.050000000000004</v>
      </c>
      <c r="L329" s="495">
        <v>47.850000000000009</v>
      </c>
      <c r="M329" s="495">
        <v>45.650000000000006</v>
      </c>
      <c r="N329" s="495">
        <v>43.45</v>
      </c>
      <c r="O329" s="495">
        <v>41.250000000000007</v>
      </c>
      <c r="P329" s="495">
        <v>40.397500000000008</v>
      </c>
      <c r="Q329" s="495">
        <v>39.545000000000002</v>
      </c>
      <c r="R329" s="495">
        <v>38.692500000000003</v>
      </c>
      <c r="S329" s="495">
        <v>37.840000000000003</v>
      </c>
      <c r="T329" s="495">
        <v>36.987500000000004</v>
      </c>
      <c r="U329" s="495">
        <v>36.135000000000005</v>
      </c>
      <c r="V329" s="495">
        <v>35.282500000000006</v>
      </c>
      <c r="W329" s="495">
        <v>34.430000000000007</v>
      </c>
      <c r="X329" s="495">
        <v>33.577500000000008</v>
      </c>
      <c r="Y329" s="495">
        <v>32.725000000000001</v>
      </c>
      <c r="Z329" s="495">
        <v>31.872500000000006</v>
      </c>
      <c r="AA329" s="495">
        <v>31.020000000000003</v>
      </c>
      <c r="AB329" s="495">
        <v>30.167500000000004</v>
      </c>
      <c r="AC329" s="495">
        <v>29.315000000000005</v>
      </c>
      <c r="AD329" s="495">
        <v>28.462500000000002</v>
      </c>
      <c r="AE329" s="495">
        <v>27.610000000000003</v>
      </c>
      <c r="AF329" s="495">
        <v>26.757500000000004</v>
      </c>
      <c r="AG329" s="495">
        <v>25.905000000000005</v>
      </c>
      <c r="AH329" s="495">
        <v>25.052500000000002</v>
      </c>
      <c r="AI329" s="495">
        <v>24.200000000000003</v>
      </c>
    </row>
    <row r="330" spans="2:35" ht="15" outlineLevel="1">
      <c r="B330" t="str">
        <f t="shared" si="41"/>
        <v>Carbon dioxide (PS) - Finance cost including feedstock finance cost - Americas - USD/ton fuel</v>
      </c>
      <c r="C330" s="22" t="str">
        <f>C320</f>
        <v>Carbon dioxide (PS)</v>
      </c>
      <c r="D330" s="22" t="s">
        <v>1365</v>
      </c>
      <c r="E330" s="22" t="s">
        <v>731</v>
      </c>
      <c r="F330" s="22" t="s">
        <v>1353</v>
      </c>
      <c r="G330" s="487" t="str">
        <f t="shared" si="42"/>
        <v>Carbon dioxide (PS)AmericasFinance cost including feedstock finance cost</v>
      </c>
      <c r="H330" s="496">
        <v>56.650000000000006</v>
      </c>
      <c r="I330" s="496">
        <v>54.45000000000001</v>
      </c>
      <c r="J330" s="496">
        <v>52.250000000000007</v>
      </c>
      <c r="K330" s="496">
        <v>50.050000000000004</v>
      </c>
      <c r="L330" s="496">
        <v>47.850000000000009</v>
      </c>
      <c r="M330" s="496">
        <v>45.650000000000006</v>
      </c>
      <c r="N330" s="496">
        <v>43.45</v>
      </c>
      <c r="O330" s="496">
        <v>41.250000000000007</v>
      </c>
      <c r="P330" s="496">
        <v>40.397500000000008</v>
      </c>
      <c r="Q330" s="496">
        <v>39.545000000000002</v>
      </c>
      <c r="R330" s="496">
        <v>38.692500000000003</v>
      </c>
      <c r="S330" s="496">
        <v>37.840000000000003</v>
      </c>
      <c r="T330" s="496">
        <v>36.987500000000004</v>
      </c>
      <c r="U330" s="496">
        <v>36.135000000000005</v>
      </c>
      <c r="V330" s="496">
        <v>35.282500000000006</v>
      </c>
      <c r="W330" s="496">
        <v>34.430000000000007</v>
      </c>
      <c r="X330" s="496">
        <v>33.577500000000008</v>
      </c>
      <c r="Y330" s="496">
        <v>32.725000000000001</v>
      </c>
      <c r="Z330" s="496">
        <v>31.872500000000006</v>
      </c>
      <c r="AA330" s="496">
        <v>31.020000000000003</v>
      </c>
      <c r="AB330" s="496">
        <v>30.167500000000004</v>
      </c>
      <c r="AC330" s="496">
        <v>29.315000000000005</v>
      </c>
      <c r="AD330" s="496">
        <v>28.462500000000002</v>
      </c>
      <c r="AE330" s="496">
        <v>27.610000000000003</v>
      </c>
      <c r="AF330" s="496">
        <v>26.757500000000004</v>
      </c>
      <c r="AG330" s="496">
        <v>25.905000000000005</v>
      </c>
      <c r="AH330" s="496">
        <v>25.052500000000002</v>
      </c>
      <c r="AI330" s="496">
        <v>24.200000000000003</v>
      </c>
    </row>
    <row r="331" spans="2:35" ht="15" outlineLevel="1">
      <c r="B331" t="str">
        <f t="shared" si="41"/>
        <v>Carbon dioxide (PS) - Finance cost including feedstock finance cost - Asia - USD/ton fuel</v>
      </c>
      <c r="C331" s="22" t="str">
        <f>C320</f>
        <v>Carbon dioxide (PS)</v>
      </c>
      <c r="D331" s="22" t="s">
        <v>1365</v>
      </c>
      <c r="E331" s="22" t="s">
        <v>750</v>
      </c>
      <c r="F331" s="22" t="s">
        <v>1353</v>
      </c>
      <c r="G331" s="487" t="str">
        <f t="shared" si="42"/>
        <v>Carbon dioxide (PS)AsiaFinance cost including feedstock finance cost</v>
      </c>
      <c r="H331" s="496">
        <v>56.650000000000006</v>
      </c>
      <c r="I331" s="496">
        <v>54.45000000000001</v>
      </c>
      <c r="J331" s="496">
        <v>52.250000000000007</v>
      </c>
      <c r="K331" s="496">
        <v>50.050000000000004</v>
      </c>
      <c r="L331" s="496">
        <v>47.850000000000009</v>
      </c>
      <c r="M331" s="496">
        <v>45.650000000000006</v>
      </c>
      <c r="N331" s="496">
        <v>43.45</v>
      </c>
      <c r="O331" s="496">
        <v>41.250000000000007</v>
      </c>
      <c r="P331" s="496">
        <v>40.397500000000008</v>
      </c>
      <c r="Q331" s="496">
        <v>39.545000000000002</v>
      </c>
      <c r="R331" s="496">
        <v>38.692500000000003</v>
      </c>
      <c r="S331" s="496">
        <v>37.840000000000003</v>
      </c>
      <c r="T331" s="496">
        <v>36.987500000000004</v>
      </c>
      <c r="U331" s="496">
        <v>36.135000000000005</v>
      </c>
      <c r="V331" s="496">
        <v>35.282500000000006</v>
      </c>
      <c r="W331" s="496">
        <v>34.430000000000007</v>
      </c>
      <c r="X331" s="496">
        <v>33.577500000000008</v>
      </c>
      <c r="Y331" s="496">
        <v>32.725000000000001</v>
      </c>
      <c r="Z331" s="496">
        <v>31.872500000000006</v>
      </c>
      <c r="AA331" s="496">
        <v>31.020000000000003</v>
      </c>
      <c r="AB331" s="496">
        <v>30.167500000000004</v>
      </c>
      <c r="AC331" s="496">
        <v>29.315000000000005</v>
      </c>
      <c r="AD331" s="496">
        <v>28.462500000000002</v>
      </c>
      <c r="AE331" s="496">
        <v>27.610000000000003</v>
      </c>
      <c r="AF331" s="496">
        <v>26.757500000000004</v>
      </c>
      <c r="AG331" s="496">
        <v>25.905000000000005</v>
      </c>
      <c r="AH331" s="496">
        <v>25.052500000000002</v>
      </c>
      <c r="AI331" s="496">
        <v>24.200000000000003</v>
      </c>
    </row>
    <row r="332" spans="2:35" ht="15" outlineLevel="1">
      <c r="B332" t="str">
        <f t="shared" si="41"/>
        <v>Carbon dioxide (PS) - Finance cost including feedstock finance cost - Europe - USD/ton fuel</v>
      </c>
      <c r="C332" s="22" t="str">
        <f>C320</f>
        <v>Carbon dioxide (PS)</v>
      </c>
      <c r="D332" s="22" t="s">
        <v>1365</v>
      </c>
      <c r="E332" s="22" t="s">
        <v>720</v>
      </c>
      <c r="F332" s="22" t="s">
        <v>1353</v>
      </c>
      <c r="G332" s="487" t="str">
        <f t="shared" si="42"/>
        <v>Carbon dioxide (PS)EuropeFinance cost including feedstock finance cost</v>
      </c>
      <c r="H332" s="496">
        <v>56.650000000000006</v>
      </c>
      <c r="I332" s="496">
        <v>54.45000000000001</v>
      </c>
      <c r="J332" s="496">
        <v>52.250000000000007</v>
      </c>
      <c r="K332" s="496">
        <v>50.050000000000004</v>
      </c>
      <c r="L332" s="496">
        <v>47.850000000000009</v>
      </c>
      <c r="M332" s="496">
        <v>45.650000000000006</v>
      </c>
      <c r="N332" s="496">
        <v>43.45</v>
      </c>
      <c r="O332" s="496">
        <v>41.250000000000007</v>
      </c>
      <c r="P332" s="496">
        <v>40.397500000000008</v>
      </c>
      <c r="Q332" s="496">
        <v>39.545000000000002</v>
      </c>
      <c r="R332" s="496">
        <v>38.692500000000003</v>
      </c>
      <c r="S332" s="496">
        <v>37.840000000000003</v>
      </c>
      <c r="T332" s="496">
        <v>36.987500000000004</v>
      </c>
      <c r="U332" s="496">
        <v>36.135000000000005</v>
      </c>
      <c r="V332" s="496">
        <v>35.282500000000006</v>
      </c>
      <c r="W332" s="496">
        <v>34.430000000000007</v>
      </c>
      <c r="X332" s="496">
        <v>33.577500000000008</v>
      </c>
      <c r="Y332" s="496">
        <v>32.725000000000001</v>
      </c>
      <c r="Z332" s="496">
        <v>31.872500000000006</v>
      </c>
      <c r="AA332" s="496">
        <v>31.020000000000003</v>
      </c>
      <c r="AB332" s="496">
        <v>30.167500000000004</v>
      </c>
      <c r="AC332" s="496">
        <v>29.315000000000005</v>
      </c>
      <c r="AD332" s="496">
        <v>28.462500000000002</v>
      </c>
      <c r="AE332" s="496">
        <v>27.610000000000003</v>
      </c>
      <c r="AF332" s="496">
        <v>26.757500000000004</v>
      </c>
      <c r="AG332" s="496">
        <v>25.905000000000005</v>
      </c>
      <c r="AH332" s="496">
        <v>25.052500000000002</v>
      </c>
      <c r="AI332" s="496">
        <v>24.200000000000003</v>
      </c>
    </row>
    <row r="333" spans="2:35" ht="15" outlineLevel="1">
      <c r="B333" t="str">
        <f t="shared" si="41"/>
        <v>Carbon dioxide (PS) - Finance cost including feedstock finance cost - Middle East - USD/ton fuel</v>
      </c>
      <c r="C333" s="92" t="str">
        <f>C320</f>
        <v>Carbon dioxide (PS)</v>
      </c>
      <c r="D333" s="92" t="s">
        <v>1365</v>
      </c>
      <c r="E333" s="92" t="s">
        <v>826</v>
      </c>
      <c r="F333" s="92" t="s">
        <v>1353</v>
      </c>
      <c r="G333" s="487" t="str">
        <f t="shared" si="42"/>
        <v>Carbon dioxide (PS)Middle EastFinance cost including feedstock finance cost</v>
      </c>
      <c r="H333" s="497">
        <v>56.650000000000006</v>
      </c>
      <c r="I333" s="497">
        <v>54.45000000000001</v>
      </c>
      <c r="J333" s="497">
        <v>52.250000000000007</v>
      </c>
      <c r="K333" s="497">
        <v>50.050000000000004</v>
      </c>
      <c r="L333" s="497">
        <v>47.850000000000009</v>
      </c>
      <c r="M333" s="497">
        <v>45.650000000000006</v>
      </c>
      <c r="N333" s="497">
        <v>43.45</v>
      </c>
      <c r="O333" s="497">
        <v>41.250000000000007</v>
      </c>
      <c r="P333" s="497">
        <v>40.397500000000008</v>
      </c>
      <c r="Q333" s="497">
        <v>39.545000000000002</v>
      </c>
      <c r="R333" s="497">
        <v>38.692500000000003</v>
      </c>
      <c r="S333" s="497">
        <v>37.840000000000003</v>
      </c>
      <c r="T333" s="497">
        <v>36.987500000000004</v>
      </c>
      <c r="U333" s="497">
        <v>36.135000000000005</v>
      </c>
      <c r="V333" s="497">
        <v>35.282500000000006</v>
      </c>
      <c r="W333" s="497">
        <v>34.430000000000007</v>
      </c>
      <c r="X333" s="497">
        <v>33.577500000000008</v>
      </c>
      <c r="Y333" s="497">
        <v>32.725000000000001</v>
      </c>
      <c r="Z333" s="497">
        <v>31.872500000000006</v>
      </c>
      <c r="AA333" s="497">
        <v>31.020000000000003</v>
      </c>
      <c r="AB333" s="497">
        <v>30.167500000000004</v>
      </c>
      <c r="AC333" s="497">
        <v>29.315000000000005</v>
      </c>
      <c r="AD333" s="497">
        <v>28.462500000000002</v>
      </c>
      <c r="AE333" s="497">
        <v>27.610000000000003</v>
      </c>
      <c r="AF333" s="497">
        <v>26.757500000000004</v>
      </c>
      <c r="AG333" s="497">
        <v>25.905000000000005</v>
      </c>
      <c r="AH333" s="497">
        <v>25.052500000000002</v>
      </c>
      <c r="AI333" s="497">
        <v>24.200000000000003</v>
      </c>
    </row>
    <row r="334" spans="2:35" outlineLevel="1">
      <c r="B334" t="str">
        <f t="shared" si="41"/>
        <v>Carbon dioxide (PS) - Finance cost - Africa - USD/ton fuel</v>
      </c>
      <c r="C334" t="str">
        <f>C316</f>
        <v>Carbon dioxide (PS)</v>
      </c>
      <c r="D334" t="s">
        <v>1366</v>
      </c>
      <c r="E334" t="s">
        <v>838</v>
      </c>
      <c r="F334" t="s">
        <v>1353</v>
      </c>
      <c r="G334" s="487" t="str">
        <f t="shared" si="42"/>
        <v>Carbon dioxide (PS)AfricaFinance cost</v>
      </c>
      <c r="H334" s="493">
        <v>56.650000000000006</v>
      </c>
      <c r="I334" s="493">
        <v>54.45000000000001</v>
      </c>
      <c r="J334" s="493">
        <v>52.250000000000007</v>
      </c>
      <c r="K334" s="493">
        <v>50.050000000000004</v>
      </c>
      <c r="L334" s="493">
        <v>47.850000000000009</v>
      </c>
      <c r="M334" s="493">
        <v>45.650000000000006</v>
      </c>
      <c r="N334" s="493">
        <v>43.45</v>
      </c>
      <c r="O334" s="493">
        <v>41.250000000000007</v>
      </c>
      <c r="P334" s="493">
        <v>40.397500000000008</v>
      </c>
      <c r="Q334" s="493">
        <v>39.545000000000002</v>
      </c>
      <c r="R334" s="493">
        <v>38.692500000000003</v>
      </c>
      <c r="S334" s="493">
        <v>37.840000000000003</v>
      </c>
      <c r="T334" s="493">
        <v>36.987500000000004</v>
      </c>
      <c r="U334" s="493">
        <v>36.135000000000005</v>
      </c>
      <c r="V334" s="493">
        <v>35.282500000000006</v>
      </c>
      <c r="W334" s="493">
        <v>34.430000000000007</v>
      </c>
      <c r="X334" s="493">
        <v>33.577500000000008</v>
      </c>
      <c r="Y334" s="493">
        <v>32.725000000000001</v>
      </c>
      <c r="Z334" s="493">
        <v>31.872500000000006</v>
      </c>
      <c r="AA334" s="493">
        <v>31.020000000000003</v>
      </c>
      <c r="AB334" s="493">
        <v>30.167500000000004</v>
      </c>
      <c r="AC334" s="493">
        <v>29.315000000000005</v>
      </c>
      <c r="AD334" s="493">
        <v>28.462500000000002</v>
      </c>
      <c r="AE334" s="493">
        <v>27.610000000000003</v>
      </c>
      <c r="AF334" s="493">
        <v>26.757500000000004</v>
      </c>
      <c r="AG334" s="493">
        <v>25.905000000000005</v>
      </c>
      <c r="AH334" s="493">
        <v>25.052500000000002</v>
      </c>
      <c r="AI334" s="493">
        <v>24.200000000000003</v>
      </c>
    </row>
    <row r="335" spans="2:35" outlineLevel="1">
      <c r="B335" t="str">
        <f t="shared" si="41"/>
        <v>Carbon dioxide (PS) - Finance cost - Americas - USD/ton fuel</v>
      </c>
      <c r="C335" t="str">
        <f>C316</f>
        <v>Carbon dioxide (PS)</v>
      </c>
      <c r="D335" t="s">
        <v>1366</v>
      </c>
      <c r="E335" t="s">
        <v>731</v>
      </c>
      <c r="F335" t="s">
        <v>1353</v>
      </c>
      <c r="G335" s="487" t="str">
        <f t="shared" si="42"/>
        <v>Carbon dioxide (PS)AmericasFinance cost</v>
      </c>
      <c r="H335" s="493">
        <v>56.650000000000006</v>
      </c>
      <c r="I335" s="493">
        <v>54.45000000000001</v>
      </c>
      <c r="J335" s="493">
        <v>52.250000000000007</v>
      </c>
      <c r="K335" s="493">
        <v>50.050000000000004</v>
      </c>
      <c r="L335" s="493">
        <v>47.850000000000009</v>
      </c>
      <c r="M335" s="493">
        <v>45.650000000000006</v>
      </c>
      <c r="N335" s="493">
        <v>43.45</v>
      </c>
      <c r="O335" s="493">
        <v>41.250000000000007</v>
      </c>
      <c r="P335" s="493">
        <v>40.397500000000008</v>
      </c>
      <c r="Q335" s="493">
        <v>39.545000000000002</v>
      </c>
      <c r="R335" s="493">
        <v>38.692500000000003</v>
      </c>
      <c r="S335" s="493">
        <v>37.840000000000003</v>
      </c>
      <c r="T335" s="493">
        <v>36.987500000000004</v>
      </c>
      <c r="U335" s="493">
        <v>36.135000000000005</v>
      </c>
      <c r="V335" s="493">
        <v>35.282500000000006</v>
      </c>
      <c r="W335" s="493">
        <v>34.430000000000007</v>
      </c>
      <c r="X335" s="493">
        <v>33.577500000000008</v>
      </c>
      <c r="Y335" s="493">
        <v>32.725000000000001</v>
      </c>
      <c r="Z335" s="493">
        <v>31.872500000000006</v>
      </c>
      <c r="AA335" s="493">
        <v>31.020000000000003</v>
      </c>
      <c r="AB335" s="493">
        <v>30.167500000000004</v>
      </c>
      <c r="AC335" s="493">
        <v>29.315000000000005</v>
      </c>
      <c r="AD335" s="493">
        <v>28.462500000000002</v>
      </c>
      <c r="AE335" s="493">
        <v>27.610000000000003</v>
      </c>
      <c r="AF335" s="493">
        <v>26.757500000000004</v>
      </c>
      <c r="AG335" s="493">
        <v>25.905000000000005</v>
      </c>
      <c r="AH335" s="493">
        <v>25.052500000000002</v>
      </c>
      <c r="AI335" s="493">
        <v>24.200000000000003</v>
      </c>
    </row>
    <row r="336" spans="2:35" outlineLevel="1">
      <c r="B336" t="str">
        <f t="shared" si="41"/>
        <v>Carbon dioxide (PS) - Finance cost - Asia - USD/ton fuel</v>
      </c>
      <c r="C336" t="str">
        <f>C316</f>
        <v>Carbon dioxide (PS)</v>
      </c>
      <c r="D336" t="s">
        <v>1366</v>
      </c>
      <c r="E336" t="s">
        <v>750</v>
      </c>
      <c r="F336" t="s">
        <v>1353</v>
      </c>
      <c r="G336" s="487" t="str">
        <f t="shared" si="42"/>
        <v>Carbon dioxide (PS)AsiaFinance cost</v>
      </c>
      <c r="H336" s="493">
        <v>56.650000000000006</v>
      </c>
      <c r="I336" s="493">
        <v>54.45000000000001</v>
      </c>
      <c r="J336" s="493">
        <v>52.250000000000007</v>
      </c>
      <c r="K336" s="493">
        <v>50.050000000000004</v>
      </c>
      <c r="L336" s="493">
        <v>47.850000000000009</v>
      </c>
      <c r="M336" s="493">
        <v>45.650000000000006</v>
      </c>
      <c r="N336" s="493">
        <v>43.45</v>
      </c>
      <c r="O336" s="493">
        <v>41.250000000000007</v>
      </c>
      <c r="P336" s="493">
        <v>40.397500000000008</v>
      </c>
      <c r="Q336" s="493">
        <v>39.545000000000002</v>
      </c>
      <c r="R336" s="493">
        <v>38.692500000000003</v>
      </c>
      <c r="S336" s="493">
        <v>37.840000000000003</v>
      </c>
      <c r="T336" s="493">
        <v>36.987500000000004</v>
      </c>
      <c r="U336" s="493">
        <v>36.135000000000005</v>
      </c>
      <c r="V336" s="493">
        <v>35.282500000000006</v>
      </c>
      <c r="W336" s="493">
        <v>34.430000000000007</v>
      </c>
      <c r="X336" s="493">
        <v>33.577500000000008</v>
      </c>
      <c r="Y336" s="493">
        <v>32.725000000000001</v>
      </c>
      <c r="Z336" s="493">
        <v>31.872500000000006</v>
      </c>
      <c r="AA336" s="493">
        <v>31.020000000000003</v>
      </c>
      <c r="AB336" s="493">
        <v>30.167500000000004</v>
      </c>
      <c r="AC336" s="493">
        <v>29.315000000000005</v>
      </c>
      <c r="AD336" s="493">
        <v>28.462500000000002</v>
      </c>
      <c r="AE336" s="493">
        <v>27.610000000000003</v>
      </c>
      <c r="AF336" s="493">
        <v>26.757500000000004</v>
      </c>
      <c r="AG336" s="493">
        <v>25.905000000000005</v>
      </c>
      <c r="AH336" s="493">
        <v>25.052500000000002</v>
      </c>
      <c r="AI336" s="493">
        <v>24.200000000000003</v>
      </c>
    </row>
    <row r="337" spans="2:64" outlineLevel="1">
      <c r="B337" t="str">
        <f t="shared" si="41"/>
        <v>Carbon dioxide (PS) - Finance cost - Europe - USD/ton fuel</v>
      </c>
      <c r="C337" t="str">
        <f>C316</f>
        <v>Carbon dioxide (PS)</v>
      </c>
      <c r="D337" t="s">
        <v>1366</v>
      </c>
      <c r="E337" t="s">
        <v>720</v>
      </c>
      <c r="F337" t="s">
        <v>1353</v>
      </c>
      <c r="G337" s="487" t="str">
        <f t="shared" si="42"/>
        <v>Carbon dioxide (PS)EuropeFinance cost</v>
      </c>
      <c r="H337" s="493">
        <v>56.650000000000006</v>
      </c>
      <c r="I337" s="493">
        <v>54.45000000000001</v>
      </c>
      <c r="J337" s="493">
        <v>52.250000000000007</v>
      </c>
      <c r="K337" s="493">
        <v>50.050000000000004</v>
      </c>
      <c r="L337" s="493">
        <v>47.850000000000009</v>
      </c>
      <c r="M337" s="493">
        <v>45.650000000000006</v>
      </c>
      <c r="N337" s="493">
        <v>43.45</v>
      </c>
      <c r="O337" s="493">
        <v>41.250000000000007</v>
      </c>
      <c r="P337" s="493">
        <v>40.397500000000008</v>
      </c>
      <c r="Q337" s="493">
        <v>39.545000000000002</v>
      </c>
      <c r="R337" s="493">
        <v>38.692500000000003</v>
      </c>
      <c r="S337" s="493">
        <v>37.840000000000003</v>
      </c>
      <c r="T337" s="493">
        <v>36.987500000000004</v>
      </c>
      <c r="U337" s="493">
        <v>36.135000000000005</v>
      </c>
      <c r="V337" s="493">
        <v>35.282500000000006</v>
      </c>
      <c r="W337" s="493">
        <v>34.430000000000007</v>
      </c>
      <c r="X337" s="493">
        <v>33.577500000000008</v>
      </c>
      <c r="Y337" s="493">
        <v>32.725000000000001</v>
      </c>
      <c r="Z337" s="493">
        <v>31.872500000000006</v>
      </c>
      <c r="AA337" s="493">
        <v>31.020000000000003</v>
      </c>
      <c r="AB337" s="493">
        <v>30.167500000000004</v>
      </c>
      <c r="AC337" s="493">
        <v>29.315000000000005</v>
      </c>
      <c r="AD337" s="493">
        <v>28.462500000000002</v>
      </c>
      <c r="AE337" s="493">
        <v>27.610000000000003</v>
      </c>
      <c r="AF337" s="493">
        <v>26.757500000000004</v>
      </c>
      <c r="AG337" s="493">
        <v>25.905000000000005</v>
      </c>
      <c r="AH337" s="493">
        <v>25.052500000000002</v>
      </c>
      <c r="AI337" s="493">
        <v>24.200000000000003</v>
      </c>
    </row>
    <row r="338" spans="2:64" outlineLevel="1">
      <c r="B338" t="str">
        <f t="shared" si="41"/>
        <v>Carbon dioxide (PS) - Finance cost - Middle East - USD/ton fuel</v>
      </c>
      <c r="C338" t="str">
        <f>C316</f>
        <v>Carbon dioxide (PS)</v>
      </c>
      <c r="D338" t="s">
        <v>1366</v>
      </c>
      <c r="E338" t="s">
        <v>826</v>
      </c>
      <c r="F338" t="s">
        <v>1353</v>
      </c>
      <c r="G338" s="487" t="str">
        <f t="shared" si="42"/>
        <v>Carbon dioxide (PS)Middle EastFinance cost</v>
      </c>
      <c r="H338" s="493">
        <v>56.650000000000006</v>
      </c>
      <c r="I338" s="493">
        <v>54.45000000000001</v>
      </c>
      <c r="J338" s="493">
        <v>52.250000000000007</v>
      </c>
      <c r="K338" s="493">
        <v>50.050000000000004</v>
      </c>
      <c r="L338" s="493">
        <v>47.850000000000009</v>
      </c>
      <c r="M338" s="493">
        <v>45.650000000000006</v>
      </c>
      <c r="N338" s="493">
        <v>43.45</v>
      </c>
      <c r="O338" s="493">
        <v>41.250000000000007</v>
      </c>
      <c r="P338" s="493">
        <v>40.397500000000008</v>
      </c>
      <c r="Q338" s="493">
        <v>39.545000000000002</v>
      </c>
      <c r="R338" s="493">
        <v>38.692500000000003</v>
      </c>
      <c r="S338" s="493">
        <v>37.840000000000003</v>
      </c>
      <c r="T338" s="493">
        <v>36.987500000000004</v>
      </c>
      <c r="U338" s="493">
        <v>36.135000000000005</v>
      </c>
      <c r="V338" s="493">
        <v>35.282500000000006</v>
      </c>
      <c r="W338" s="493">
        <v>34.430000000000007</v>
      </c>
      <c r="X338" s="493">
        <v>33.577500000000008</v>
      </c>
      <c r="Y338" s="493">
        <v>32.725000000000001</v>
      </c>
      <c r="Z338" s="493">
        <v>31.872500000000006</v>
      </c>
      <c r="AA338" s="493">
        <v>31.020000000000003</v>
      </c>
      <c r="AB338" s="493">
        <v>30.167500000000004</v>
      </c>
      <c r="AC338" s="493">
        <v>29.315000000000005</v>
      </c>
      <c r="AD338" s="493">
        <v>28.462500000000002</v>
      </c>
      <c r="AE338" s="493">
        <v>27.610000000000003</v>
      </c>
      <c r="AF338" s="493">
        <v>26.757500000000004</v>
      </c>
      <c r="AG338" s="493">
        <v>25.905000000000005</v>
      </c>
      <c r="AH338" s="493">
        <v>25.052500000000002</v>
      </c>
      <c r="AI338" s="493">
        <v>24.200000000000003</v>
      </c>
    </row>
    <row r="339" spans="2:64" ht="15" outlineLevel="1" thickBot="1">
      <c r="B339" t="str">
        <f t="shared" si="41"/>
        <v/>
      </c>
      <c r="G339" s="487" t="str">
        <f t="shared" si="42"/>
        <v/>
      </c>
      <c r="H339" s="498"/>
    </row>
    <row r="340" spans="2:64" ht="15" outlineLevel="1">
      <c r="B340" t="str">
        <f t="shared" si="41"/>
        <v>Carbon dioxide (PS) - Energy cost including feedstock energy cost - Africa - USD/ton fuel</v>
      </c>
      <c r="C340" s="494" t="str">
        <f>C316</f>
        <v>Carbon dioxide (PS)</v>
      </c>
      <c r="D340" s="494" t="s">
        <v>1367</v>
      </c>
      <c r="E340" s="494" t="s">
        <v>838</v>
      </c>
      <c r="F340" s="494" t="s">
        <v>1353</v>
      </c>
      <c r="G340" s="487" t="str">
        <f t="shared" si="42"/>
        <v>Carbon dioxide (PS)AfricaEnergy cost including feedstock energy cost</v>
      </c>
      <c r="H340" s="495">
        <v>26.275413118731375</v>
      </c>
      <c r="I340" s="495">
        <v>23.189983310546815</v>
      </c>
      <c r="J340" s="495">
        <v>20.104553502361433</v>
      </c>
      <c r="K340" s="495">
        <v>19.244441108267484</v>
      </c>
      <c r="L340" s="495">
        <v>18.384328714173535</v>
      </c>
      <c r="M340" s="495">
        <v>17.524216320079585</v>
      </c>
      <c r="N340" s="495">
        <v>16.664103925985433</v>
      </c>
      <c r="O340" s="495">
        <v>15.803991531891484</v>
      </c>
      <c r="P340" s="495">
        <v>15.323875694292132</v>
      </c>
      <c r="Q340" s="495">
        <v>14.843759856692783</v>
      </c>
      <c r="R340" s="495">
        <v>14.363644019093227</v>
      </c>
      <c r="S340" s="495">
        <v>13.883528181493876</v>
      </c>
      <c r="T340" s="495">
        <v>13.403412343894576</v>
      </c>
      <c r="U340" s="495">
        <v>13.177429708456367</v>
      </c>
      <c r="V340" s="495">
        <v>12.95144707301821</v>
      </c>
      <c r="W340" s="495">
        <v>12.725464437580001</v>
      </c>
      <c r="X340" s="495">
        <v>12.499481802141792</v>
      </c>
      <c r="Y340" s="495">
        <v>12.273499166703687</v>
      </c>
      <c r="Z340" s="495">
        <v>12.041127742205811</v>
      </c>
      <c r="AA340" s="495">
        <v>11.808756317707935</v>
      </c>
      <c r="AB340" s="495">
        <v>11.576384893209957</v>
      </c>
      <c r="AC340" s="495">
        <v>11.344013468712081</v>
      </c>
      <c r="AD340" s="495">
        <v>11.111642044214154</v>
      </c>
      <c r="AE340" s="495">
        <v>10.997587925822875</v>
      </c>
      <c r="AF340" s="495">
        <v>10.88353380743165</v>
      </c>
      <c r="AG340" s="495">
        <v>10.769479689040372</v>
      </c>
      <c r="AH340" s="495">
        <v>10.655425570649095</v>
      </c>
      <c r="AI340" s="495">
        <v>10.541371452257868</v>
      </c>
      <c r="AK340" s="499" t="b">
        <f t="shared" ref="AK340:BL340" si="43">H323+H326+H329+H340+H351=H317</f>
        <v>1</v>
      </c>
      <c r="AL340" s="500" t="b">
        <f t="shared" si="43"/>
        <v>1</v>
      </c>
      <c r="AM340" s="500" t="b">
        <f t="shared" si="43"/>
        <v>1</v>
      </c>
      <c r="AN340" s="500" t="b">
        <f t="shared" si="43"/>
        <v>1</v>
      </c>
      <c r="AO340" s="500" t="b">
        <f t="shared" si="43"/>
        <v>1</v>
      </c>
      <c r="AP340" s="500" t="b">
        <f t="shared" si="43"/>
        <v>1</v>
      </c>
      <c r="AQ340" s="500" t="b">
        <f t="shared" si="43"/>
        <v>1</v>
      </c>
      <c r="AR340" s="500" t="b">
        <f t="shared" si="43"/>
        <v>1</v>
      </c>
      <c r="AS340" s="500" t="b">
        <f t="shared" si="43"/>
        <v>1</v>
      </c>
      <c r="AT340" s="500" t="b">
        <f t="shared" si="43"/>
        <v>1</v>
      </c>
      <c r="AU340" s="500" t="b">
        <f t="shared" si="43"/>
        <v>1</v>
      </c>
      <c r="AV340" s="500" t="b">
        <f t="shared" si="43"/>
        <v>1</v>
      </c>
      <c r="AW340" s="500" t="b">
        <f t="shared" si="43"/>
        <v>1</v>
      </c>
      <c r="AX340" s="500" t="b">
        <f t="shared" si="43"/>
        <v>1</v>
      </c>
      <c r="AY340" s="500" t="b">
        <f t="shared" si="43"/>
        <v>1</v>
      </c>
      <c r="AZ340" s="500" t="b">
        <f t="shared" si="43"/>
        <v>1</v>
      </c>
      <c r="BA340" s="500" t="b">
        <f t="shared" si="43"/>
        <v>1</v>
      </c>
      <c r="BB340" s="500" t="b">
        <f t="shared" si="43"/>
        <v>1</v>
      </c>
      <c r="BC340" s="500" t="b">
        <f t="shared" si="43"/>
        <v>1</v>
      </c>
      <c r="BD340" s="500" t="b">
        <f t="shared" si="43"/>
        <v>1</v>
      </c>
      <c r="BE340" s="500" t="b">
        <f t="shared" si="43"/>
        <v>1</v>
      </c>
      <c r="BF340" s="500" t="b">
        <f t="shared" si="43"/>
        <v>1</v>
      </c>
      <c r="BG340" s="500" t="b">
        <f t="shared" si="43"/>
        <v>1</v>
      </c>
      <c r="BH340" s="500" t="b">
        <f t="shared" si="43"/>
        <v>1</v>
      </c>
      <c r="BI340" s="500" t="b">
        <f t="shared" si="43"/>
        <v>1</v>
      </c>
      <c r="BJ340" s="500" t="b">
        <f t="shared" si="43"/>
        <v>1</v>
      </c>
      <c r="BK340" s="500" t="b">
        <f t="shared" si="43"/>
        <v>1</v>
      </c>
      <c r="BL340" s="501" t="b">
        <f t="shared" si="43"/>
        <v>1</v>
      </c>
    </row>
    <row r="341" spans="2:64" ht="15" outlineLevel="1">
      <c r="B341" t="str">
        <f t="shared" si="41"/>
        <v>Carbon dioxide (PS) - Energy cost including feedstock energy cost - Americas - USD/ton fuel</v>
      </c>
      <c r="C341" s="22" t="str">
        <f>C316</f>
        <v>Carbon dioxide (PS)</v>
      </c>
      <c r="D341" s="22" t="s">
        <v>1367</v>
      </c>
      <c r="E341" s="22" t="s">
        <v>731</v>
      </c>
      <c r="F341" s="22" t="s">
        <v>1353</v>
      </c>
      <c r="G341" s="487" t="str">
        <f t="shared" si="42"/>
        <v>Carbon dioxide (PS)AmericasEnergy cost including feedstock energy cost</v>
      </c>
      <c r="H341" s="496">
        <v>16.509233042895165</v>
      </c>
      <c r="I341" s="496">
        <v>16.167349868387682</v>
      </c>
      <c r="J341" s="496">
        <v>15.825466693880093</v>
      </c>
      <c r="K341" s="496">
        <v>15.247549879389908</v>
      </c>
      <c r="L341" s="496">
        <v>14.669633064899722</v>
      </c>
      <c r="M341" s="496">
        <v>14.091716250409537</v>
      </c>
      <c r="N341" s="496">
        <v>13.513799435919555</v>
      </c>
      <c r="O341" s="496">
        <v>12.93588262142937</v>
      </c>
      <c r="P341" s="496">
        <v>12.657775175266876</v>
      </c>
      <c r="Q341" s="496">
        <v>12.379667729104382</v>
      </c>
      <c r="R341" s="496">
        <v>12.101560282941888</v>
      </c>
      <c r="S341" s="496">
        <v>11.823452836779394</v>
      </c>
      <c r="T341" s="496">
        <v>11.545345390616848</v>
      </c>
      <c r="U341" s="496">
        <v>11.319904653939716</v>
      </c>
      <c r="V341" s="496">
        <v>11.094463917262585</v>
      </c>
      <c r="W341" s="496">
        <v>10.869023180585401</v>
      </c>
      <c r="X341" s="496">
        <v>10.64358244390827</v>
      </c>
      <c r="Y341" s="496">
        <v>10.418141707231113</v>
      </c>
      <c r="Z341" s="496">
        <v>10.327318809695839</v>
      </c>
      <c r="AA341" s="496">
        <v>10.236495912160567</v>
      </c>
      <c r="AB341" s="496">
        <v>10.14567301462532</v>
      </c>
      <c r="AC341" s="496">
        <v>10.054850117090046</v>
      </c>
      <c r="AD341" s="496">
        <v>9.9640272195547741</v>
      </c>
      <c r="AE341" s="496">
        <v>9.8955077718569413</v>
      </c>
      <c r="AF341" s="496">
        <v>9.8269883241591351</v>
      </c>
      <c r="AG341" s="496">
        <v>9.7584688764613272</v>
      </c>
      <c r="AH341" s="496">
        <v>9.6899494287635211</v>
      </c>
      <c r="AI341" s="496">
        <v>9.6214299810657149</v>
      </c>
      <c r="AK341" s="502" t="b">
        <f t="shared" ref="AK341:BL341" si="44">H323+H326+H330+H341+H351=H318</f>
        <v>1</v>
      </c>
      <c r="AL341" s="106" t="b">
        <f t="shared" si="44"/>
        <v>1</v>
      </c>
      <c r="AM341" s="106" t="b">
        <f t="shared" si="44"/>
        <v>1</v>
      </c>
      <c r="AN341" s="106" t="b">
        <f t="shared" si="44"/>
        <v>1</v>
      </c>
      <c r="AO341" s="106" t="b">
        <f t="shared" si="44"/>
        <v>1</v>
      </c>
      <c r="AP341" s="106" t="b">
        <f t="shared" si="44"/>
        <v>1</v>
      </c>
      <c r="AQ341" s="106" t="b">
        <f t="shared" si="44"/>
        <v>1</v>
      </c>
      <c r="AR341" s="106" t="b">
        <f t="shared" si="44"/>
        <v>1</v>
      </c>
      <c r="AS341" s="106" t="b">
        <f t="shared" si="44"/>
        <v>1</v>
      </c>
      <c r="AT341" s="106" t="b">
        <f t="shared" si="44"/>
        <v>1</v>
      </c>
      <c r="AU341" s="106" t="b">
        <f t="shared" si="44"/>
        <v>1</v>
      </c>
      <c r="AV341" s="106" t="b">
        <f t="shared" si="44"/>
        <v>1</v>
      </c>
      <c r="AW341" s="106" t="b">
        <f t="shared" si="44"/>
        <v>1</v>
      </c>
      <c r="AX341" s="106" t="b">
        <f t="shared" si="44"/>
        <v>1</v>
      </c>
      <c r="AY341" s="106" t="b">
        <f t="shared" si="44"/>
        <v>1</v>
      </c>
      <c r="AZ341" s="106" t="b">
        <f t="shared" si="44"/>
        <v>1</v>
      </c>
      <c r="BA341" s="106" t="b">
        <f t="shared" si="44"/>
        <v>1</v>
      </c>
      <c r="BB341" s="106" t="b">
        <f t="shared" si="44"/>
        <v>1</v>
      </c>
      <c r="BC341" s="106" t="b">
        <f t="shared" si="44"/>
        <v>1</v>
      </c>
      <c r="BD341" s="106" t="b">
        <f t="shared" si="44"/>
        <v>1</v>
      </c>
      <c r="BE341" s="106" t="b">
        <f t="shared" si="44"/>
        <v>1</v>
      </c>
      <c r="BF341" s="106" t="b">
        <f t="shared" si="44"/>
        <v>1</v>
      </c>
      <c r="BG341" s="106" t="b">
        <f t="shared" si="44"/>
        <v>1</v>
      </c>
      <c r="BH341" s="106" t="b">
        <f t="shared" si="44"/>
        <v>1</v>
      </c>
      <c r="BI341" s="106" t="b">
        <f t="shared" si="44"/>
        <v>1</v>
      </c>
      <c r="BJ341" s="106" t="b">
        <f t="shared" si="44"/>
        <v>1</v>
      </c>
      <c r="BK341" s="106" t="b">
        <f t="shared" si="44"/>
        <v>1</v>
      </c>
      <c r="BL341" s="503" t="b">
        <f t="shared" si="44"/>
        <v>1</v>
      </c>
    </row>
    <row r="342" spans="2:64" ht="15" outlineLevel="1">
      <c r="B342" t="str">
        <f t="shared" si="41"/>
        <v>Carbon dioxide (PS) - Energy cost including feedstock energy cost - Asia - USD/ton fuel</v>
      </c>
      <c r="C342" s="22" t="str">
        <f>C316</f>
        <v>Carbon dioxide (PS)</v>
      </c>
      <c r="D342" s="22" t="s">
        <v>1367</v>
      </c>
      <c r="E342" s="22" t="s">
        <v>750</v>
      </c>
      <c r="F342" s="22" t="s">
        <v>1353</v>
      </c>
      <c r="G342" s="487" t="str">
        <f t="shared" si="42"/>
        <v>Carbon dioxide (PS)AsiaEnergy cost including feedstock energy cost</v>
      </c>
      <c r="H342" s="496">
        <v>29.223721120414123</v>
      </c>
      <c r="I342" s="496">
        <v>26.655708571576181</v>
      </c>
      <c r="J342" s="496">
        <v>24.087696022739465</v>
      </c>
      <c r="K342" s="496">
        <v>23.166571245400611</v>
      </c>
      <c r="L342" s="496">
        <v>22.245446468062166</v>
      </c>
      <c r="M342" s="496">
        <v>21.324321690723309</v>
      </c>
      <c r="N342" s="496">
        <v>20.403196913384456</v>
      </c>
      <c r="O342" s="496">
        <v>19.482072136046011</v>
      </c>
      <c r="P342" s="496">
        <v>18.85599362984026</v>
      </c>
      <c r="Q342" s="496">
        <v>18.229915123634715</v>
      </c>
      <c r="R342" s="496">
        <v>17.603836617429376</v>
      </c>
      <c r="S342" s="496">
        <v>16.977758111223832</v>
      </c>
      <c r="T342" s="496">
        <v>16.351679605018287</v>
      </c>
      <c r="U342" s="496">
        <v>16.033366123976567</v>
      </c>
      <c r="V342" s="496">
        <v>15.715052642934848</v>
      </c>
      <c r="W342" s="496">
        <v>15.396739161893231</v>
      </c>
      <c r="X342" s="496">
        <v>15.078425680851513</v>
      </c>
      <c r="Y342" s="496">
        <v>14.760112199809999</v>
      </c>
      <c r="Z342" s="496">
        <v>14.426924532343889</v>
      </c>
      <c r="AA342" s="496">
        <v>14.093736864877883</v>
      </c>
      <c r="AB342" s="496">
        <v>13.760549197411775</v>
      </c>
      <c r="AC342" s="496">
        <v>13.427361529945768</v>
      </c>
      <c r="AD342" s="496">
        <v>13.094173862479659</v>
      </c>
      <c r="AE342" s="496">
        <v>12.941378414492936</v>
      </c>
      <c r="AF342" s="496">
        <v>12.788582966506164</v>
      </c>
      <c r="AG342" s="496">
        <v>12.635787518519441</v>
      </c>
      <c r="AH342" s="496">
        <v>12.48299207053272</v>
      </c>
      <c r="AI342" s="496">
        <v>12.330196622545946</v>
      </c>
      <c r="AK342" s="502" t="b">
        <f t="shared" ref="AK342:BL342" si="45">H323+H326+H331+H342+H351=H319</f>
        <v>1</v>
      </c>
      <c r="AL342" s="106" t="b">
        <f t="shared" si="45"/>
        <v>1</v>
      </c>
      <c r="AM342" s="106" t="b">
        <f t="shared" si="45"/>
        <v>1</v>
      </c>
      <c r="AN342" s="106" t="b">
        <f t="shared" si="45"/>
        <v>1</v>
      </c>
      <c r="AO342" s="106" t="b">
        <f t="shared" si="45"/>
        <v>1</v>
      </c>
      <c r="AP342" s="106" t="b">
        <f t="shared" si="45"/>
        <v>1</v>
      </c>
      <c r="AQ342" s="106" t="b">
        <f t="shared" si="45"/>
        <v>1</v>
      </c>
      <c r="AR342" s="106" t="b">
        <f t="shared" si="45"/>
        <v>1</v>
      </c>
      <c r="AS342" s="106" t="b">
        <f t="shared" si="45"/>
        <v>1</v>
      </c>
      <c r="AT342" s="106" t="b">
        <f t="shared" si="45"/>
        <v>1</v>
      </c>
      <c r="AU342" s="106" t="b">
        <f t="shared" si="45"/>
        <v>1</v>
      </c>
      <c r="AV342" s="106" t="b">
        <f t="shared" si="45"/>
        <v>1</v>
      </c>
      <c r="AW342" s="106" t="b">
        <f t="shared" si="45"/>
        <v>1</v>
      </c>
      <c r="AX342" s="106" t="b">
        <f t="shared" si="45"/>
        <v>1</v>
      </c>
      <c r="AY342" s="106" t="b">
        <f t="shared" si="45"/>
        <v>1</v>
      </c>
      <c r="AZ342" s="106" t="b">
        <f t="shared" si="45"/>
        <v>1</v>
      </c>
      <c r="BA342" s="106" t="b">
        <f t="shared" si="45"/>
        <v>1</v>
      </c>
      <c r="BB342" s="106" t="b">
        <f t="shared" si="45"/>
        <v>1</v>
      </c>
      <c r="BC342" s="106" t="b">
        <f t="shared" si="45"/>
        <v>1</v>
      </c>
      <c r="BD342" s="106" t="b">
        <f t="shared" si="45"/>
        <v>1</v>
      </c>
      <c r="BE342" s="106" t="b">
        <f t="shared" si="45"/>
        <v>1</v>
      </c>
      <c r="BF342" s="106" t="b">
        <f t="shared" si="45"/>
        <v>1</v>
      </c>
      <c r="BG342" s="106" t="b">
        <f t="shared" si="45"/>
        <v>1</v>
      </c>
      <c r="BH342" s="106" t="b">
        <f t="shared" si="45"/>
        <v>1</v>
      </c>
      <c r="BI342" s="106" t="b">
        <f t="shared" si="45"/>
        <v>1</v>
      </c>
      <c r="BJ342" s="106" t="b">
        <f t="shared" si="45"/>
        <v>1</v>
      </c>
      <c r="BK342" s="106" t="b">
        <f t="shared" si="45"/>
        <v>1</v>
      </c>
      <c r="BL342" s="503" t="b">
        <f t="shared" si="45"/>
        <v>1</v>
      </c>
    </row>
    <row r="343" spans="2:64" ht="15" outlineLevel="1">
      <c r="B343" t="str">
        <f t="shared" si="41"/>
        <v>Carbon dioxide (PS) - Energy cost including feedstock energy cost - Europe - USD/ton fuel</v>
      </c>
      <c r="C343" s="22" t="str">
        <f>C316</f>
        <v>Carbon dioxide (PS)</v>
      </c>
      <c r="D343" s="22" t="s">
        <v>1367</v>
      </c>
      <c r="E343" s="22" t="s">
        <v>720</v>
      </c>
      <c r="F343" s="22" t="s">
        <v>1353</v>
      </c>
      <c r="G343" s="487" t="str">
        <f t="shared" si="42"/>
        <v>Carbon dioxide (PS)EuropeEnergy cost including feedstock energy cost</v>
      </c>
      <c r="H343" s="496">
        <v>21.75547741099076</v>
      </c>
      <c r="I343" s="496">
        <v>20.817825476932196</v>
      </c>
      <c r="J343" s="496">
        <v>19.880173542873628</v>
      </c>
      <c r="K343" s="496">
        <v>19.122545113976003</v>
      </c>
      <c r="L343" s="496">
        <v>18.364916685078175</v>
      </c>
      <c r="M343" s="496">
        <v>17.607288256180549</v>
      </c>
      <c r="N343" s="496">
        <v>16.849659827282721</v>
      </c>
      <c r="O343" s="496">
        <v>16.0920313983851</v>
      </c>
      <c r="P343" s="496">
        <v>15.777236942932246</v>
      </c>
      <c r="Q343" s="496">
        <v>15.4624424874797</v>
      </c>
      <c r="R343" s="496">
        <v>15.147648032027053</v>
      </c>
      <c r="S343" s="496">
        <v>14.832853576574406</v>
      </c>
      <c r="T343" s="496">
        <v>14.51805912112186</v>
      </c>
      <c r="U343" s="496">
        <v>14.330110831027525</v>
      </c>
      <c r="V343" s="496">
        <v>14.142162540933242</v>
      </c>
      <c r="W343" s="496">
        <v>13.954214250838959</v>
      </c>
      <c r="X343" s="496">
        <v>13.766265960744676</v>
      </c>
      <c r="Y343" s="496">
        <v>13.578317670650291</v>
      </c>
      <c r="Z343" s="496">
        <v>13.377246932322203</v>
      </c>
      <c r="AA343" s="496">
        <v>13.176176193994065</v>
      </c>
      <c r="AB343" s="496">
        <v>12.975105455665977</v>
      </c>
      <c r="AC343" s="496">
        <v>12.774034717337839</v>
      </c>
      <c r="AD343" s="496">
        <v>12.572963979009751</v>
      </c>
      <c r="AE343" s="496">
        <v>12.426258627419339</v>
      </c>
      <c r="AF343" s="496">
        <v>12.279553275828874</v>
      </c>
      <c r="AG343" s="496">
        <v>12.132847924238462</v>
      </c>
      <c r="AH343" s="496">
        <v>11.986142572648049</v>
      </c>
      <c r="AI343" s="496">
        <v>11.839437221057585</v>
      </c>
      <c r="AK343" s="502" t="b">
        <f t="shared" ref="AK343:BL343" si="46">H323+H326+H332+H343+H351=H320</f>
        <v>1</v>
      </c>
      <c r="AL343" s="106" t="b">
        <f t="shared" si="46"/>
        <v>1</v>
      </c>
      <c r="AM343" s="106" t="b">
        <f t="shared" si="46"/>
        <v>1</v>
      </c>
      <c r="AN343" s="106" t="b">
        <f t="shared" si="46"/>
        <v>1</v>
      </c>
      <c r="AO343" s="106" t="b">
        <f t="shared" si="46"/>
        <v>1</v>
      </c>
      <c r="AP343" s="106" t="b">
        <f t="shared" si="46"/>
        <v>1</v>
      </c>
      <c r="AQ343" s="106" t="b">
        <f t="shared" si="46"/>
        <v>1</v>
      </c>
      <c r="AR343" s="106" t="b">
        <f t="shared" si="46"/>
        <v>1</v>
      </c>
      <c r="AS343" s="106" t="b">
        <f t="shared" si="46"/>
        <v>1</v>
      </c>
      <c r="AT343" s="106" t="b">
        <f t="shared" si="46"/>
        <v>1</v>
      </c>
      <c r="AU343" s="106" t="b">
        <f t="shared" si="46"/>
        <v>1</v>
      </c>
      <c r="AV343" s="106" t="b">
        <f t="shared" si="46"/>
        <v>1</v>
      </c>
      <c r="AW343" s="106" t="b">
        <f t="shared" si="46"/>
        <v>1</v>
      </c>
      <c r="AX343" s="106" t="b">
        <f t="shared" si="46"/>
        <v>1</v>
      </c>
      <c r="AY343" s="106" t="b">
        <f t="shared" si="46"/>
        <v>1</v>
      </c>
      <c r="AZ343" s="106" t="b">
        <f t="shared" si="46"/>
        <v>1</v>
      </c>
      <c r="BA343" s="106" t="b">
        <f t="shared" si="46"/>
        <v>1</v>
      </c>
      <c r="BB343" s="106" t="b">
        <f t="shared" si="46"/>
        <v>1</v>
      </c>
      <c r="BC343" s="106" t="b">
        <f t="shared" si="46"/>
        <v>1</v>
      </c>
      <c r="BD343" s="106" t="b">
        <f t="shared" si="46"/>
        <v>1</v>
      </c>
      <c r="BE343" s="106" t="b">
        <f t="shared" si="46"/>
        <v>1</v>
      </c>
      <c r="BF343" s="106" t="b">
        <f t="shared" si="46"/>
        <v>1</v>
      </c>
      <c r="BG343" s="106" t="b">
        <f t="shared" si="46"/>
        <v>1</v>
      </c>
      <c r="BH343" s="106" t="b">
        <f t="shared" si="46"/>
        <v>1</v>
      </c>
      <c r="BI343" s="106" t="b">
        <f t="shared" si="46"/>
        <v>1</v>
      </c>
      <c r="BJ343" s="106" t="b">
        <f t="shared" si="46"/>
        <v>1</v>
      </c>
      <c r="BK343" s="106" t="b">
        <f t="shared" si="46"/>
        <v>1</v>
      </c>
      <c r="BL343" s="503" t="b">
        <f t="shared" si="46"/>
        <v>1</v>
      </c>
    </row>
    <row r="344" spans="2:64" ht="15.75" outlineLevel="1" thickBot="1">
      <c r="B344" t="str">
        <f t="shared" si="41"/>
        <v>Carbon dioxide (PS) - Energy cost including feedstock energy cost - Middle East - USD/ton fuel</v>
      </c>
      <c r="C344" s="92" t="str">
        <f>C316</f>
        <v>Carbon dioxide (PS)</v>
      </c>
      <c r="D344" s="92" t="s">
        <v>1367</v>
      </c>
      <c r="E344" s="92" t="s">
        <v>826</v>
      </c>
      <c r="F344" s="92" t="s">
        <v>1353</v>
      </c>
      <c r="G344" s="487" t="str">
        <f t="shared" si="42"/>
        <v>Carbon dioxide (PS)Middle EastEnergy cost including feedstock energy cost</v>
      </c>
      <c r="H344" s="497">
        <v>16.659142502923782</v>
      </c>
      <c r="I344" s="497">
        <v>15.924016305195346</v>
      </c>
      <c r="J344" s="497">
        <v>15.188890107466705</v>
      </c>
      <c r="K344" s="497">
        <v>14.702169207234352</v>
      </c>
      <c r="L344" s="497">
        <v>14.215448307001997</v>
      </c>
      <c r="M344" s="497">
        <v>13.728727406769645</v>
      </c>
      <c r="N344" s="497">
        <v>13.242006506537292</v>
      </c>
      <c r="O344" s="497">
        <v>12.755285606304938</v>
      </c>
      <c r="P344" s="497">
        <v>12.412091283913481</v>
      </c>
      <c r="Q344" s="497">
        <v>12.068896961522126</v>
      </c>
      <c r="R344" s="497">
        <v>11.725702639130668</v>
      </c>
      <c r="S344" s="497">
        <v>11.382508316739314</v>
      </c>
      <c r="T344" s="497">
        <v>11.039313994347959</v>
      </c>
      <c r="U344" s="497">
        <v>10.867239969797794</v>
      </c>
      <c r="V344" s="497">
        <v>10.695165945247629</v>
      </c>
      <c r="W344" s="497">
        <v>10.523091920697516</v>
      </c>
      <c r="X344" s="497">
        <v>10.351017896147352</v>
      </c>
      <c r="Y344" s="497">
        <v>10.178943871597188</v>
      </c>
      <c r="Z344" s="497">
        <v>9.9532866742515296</v>
      </c>
      <c r="AA344" s="497">
        <v>9.7276294769059231</v>
      </c>
      <c r="AB344" s="497">
        <v>9.5019722795602668</v>
      </c>
      <c r="AC344" s="497">
        <v>9.2763150822146603</v>
      </c>
      <c r="AD344" s="497">
        <v>9.0506578848689774</v>
      </c>
      <c r="AE344" s="497">
        <v>8.9450432375976252</v>
      </c>
      <c r="AF344" s="497">
        <v>8.8394285903262979</v>
      </c>
      <c r="AG344" s="497">
        <v>8.7338139430549457</v>
      </c>
      <c r="AH344" s="497">
        <v>8.6281992957835936</v>
      </c>
      <c r="AI344" s="497">
        <v>8.522584648512268</v>
      </c>
      <c r="AK344" s="504" t="b">
        <f t="shared" ref="AK344:BL344" si="47">H323+H326+H333+H344+H351=H321</f>
        <v>1</v>
      </c>
      <c r="AL344" s="505" t="b">
        <f t="shared" si="47"/>
        <v>1</v>
      </c>
      <c r="AM344" s="505" t="b">
        <f t="shared" si="47"/>
        <v>1</v>
      </c>
      <c r="AN344" s="505" t="b">
        <f t="shared" si="47"/>
        <v>1</v>
      </c>
      <c r="AO344" s="505" t="b">
        <f t="shared" si="47"/>
        <v>1</v>
      </c>
      <c r="AP344" s="505" t="b">
        <f t="shared" si="47"/>
        <v>1</v>
      </c>
      <c r="AQ344" s="505" t="b">
        <f t="shared" si="47"/>
        <v>1</v>
      </c>
      <c r="AR344" s="505" t="b">
        <f t="shared" si="47"/>
        <v>1</v>
      </c>
      <c r="AS344" s="505" t="b">
        <f t="shared" si="47"/>
        <v>1</v>
      </c>
      <c r="AT344" s="505" t="b">
        <f t="shared" si="47"/>
        <v>1</v>
      </c>
      <c r="AU344" s="505" t="b">
        <f t="shared" si="47"/>
        <v>1</v>
      </c>
      <c r="AV344" s="505" t="b">
        <f t="shared" si="47"/>
        <v>1</v>
      </c>
      <c r="AW344" s="505" t="b">
        <f t="shared" si="47"/>
        <v>1</v>
      </c>
      <c r="AX344" s="505" t="b">
        <f t="shared" si="47"/>
        <v>1</v>
      </c>
      <c r="AY344" s="505" t="b">
        <f t="shared" si="47"/>
        <v>1</v>
      </c>
      <c r="AZ344" s="505" t="b">
        <f t="shared" si="47"/>
        <v>1</v>
      </c>
      <c r="BA344" s="505" t="b">
        <f t="shared" si="47"/>
        <v>1</v>
      </c>
      <c r="BB344" s="505" t="b">
        <f t="shared" si="47"/>
        <v>1</v>
      </c>
      <c r="BC344" s="505" t="b">
        <f t="shared" si="47"/>
        <v>1</v>
      </c>
      <c r="BD344" s="505" t="b">
        <f t="shared" si="47"/>
        <v>1</v>
      </c>
      <c r="BE344" s="505" t="b">
        <f t="shared" si="47"/>
        <v>1</v>
      </c>
      <c r="BF344" s="505" t="b">
        <f t="shared" si="47"/>
        <v>1</v>
      </c>
      <c r="BG344" s="505" t="b">
        <f t="shared" si="47"/>
        <v>1</v>
      </c>
      <c r="BH344" s="505" t="b">
        <f t="shared" si="47"/>
        <v>1</v>
      </c>
      <c r="BI344" s="505" t="b">
        <f t="shared" si="47"/>
        <v>1</v>
      </c>
      <c r="BJ344" s="505" t="b">
        <f t="shared" si="47"/>
        <v>1</v>
      </c>
      <c r="BK344" s="505" t="b">
        <f t="shared" si="47"/>
        <v>1</v>
      </c>
      <c r="BL344" s="506" t="b">
        <f t="shared" si="47"/>
        <v>1</v>
      </c>
    </row>
    <row r="345" spans="2:64" outlineLevel="1">
      <c r="B345" t="str">
        <f t="shared" si="41"/>
        <v>Carbon dioxide (PS) - Energy cost - Africa - USD/ton fuel</v>
      </c>
      <c r="C345" t="str">
        <f>C316</f>
        <v>Carbon dioxide (PS)</v>
      </c>
      <c r="D345" t="s">
        <v>1368</v>
      </c>
      <c r="E345" t="s">
        <v>838</v>
      </c>
      <c r="F345" t="s">
        <v>1353</v>
      </c>
      <c r="G345" s="487" t="str">
        <f t="shared" si="42"/>
        <v>Carbon dioxide (PS)AfricaEnergy cost</v>
      </c>
      <c r="H345" s="493">
        <v>26.275413118731375</v>
      </c>
      <c r="I345" s="493">
        <v>23.189983310546815</v>
      </c>
      <c r="J345" s="493">
        <v>20.104553502361433</v>
      </c>
      <c r="K345" s="493">
        <v>19.244441108267484</v>
      </c>
      <c r="L345" s="493">
        <v>18.384328714173535</v>
      </c>
      <c r="M345" s="493">
        <v>17.524216320079585</v>
      </c>
      <c r="N345" s="493">
        <v>16.664103925985433</v>
      </c>
      <c r="O345" s="493">
        <v>15.803991531891484</v>
      </c>
      <c r="P345" s="493">
        <v>15.323875694292132</v>
      </c>
      <c r="Q345" s="493">
        <v>14.843759856692783</v>
      </c>
      <c r="R345" s="493">
        <v>14.363644019093227</v>
      </c>
      <c r="S345" s="493">
        <v>13.883528181493876</v>
      </c>
      <c r="T345" s="493">
        <v>13.403412343894576</v>
      </c>
      <c r="U345" s="493">
        <v>13.177429708456367</v>
      </c>
      <c r="V345" s="493">
        <v>12.95144707301821</v>
      </c>
      <c r="W345" s="493">
        <v>12.725464437580001</v>
      </c>
      <c r="X345" s="493">
        <v>12.499481802141792</v>
      </c>
      <c r="Y345" s="493">
        <v>12.273499166703687</v>
      </c>
      <c r="Z345" s="493">
        <v>12.041127742205811</v>
      </c>
      <c r="AA345" s="493">
        <v>11.808756317707935</v>
      </c>
      <c r="AB345" s="493">
        <v>11.576384893209957</v>
      </c>
      <c r="AC345" s="493">
        <v>11.344013468712081</v>
      </c>
      <c r="AD345" s="493">
        <v>11.111642044214154</v>
      </c>
      <c r="AE345" s="493">
        <v>10.997587925822875</v>
      </c>
      <c r="AF345" s="493">
        <v>10.88353380743165</v>
      </c>
      <c r="AG345" s="493">
        <v>10.769479689040372</v>
      </c>
      <c r="AH345" s="493">
        <v>10.655425570649095</v>
      </c>
      <c r="AI345" s="493">
        <v>10.541371452257868</v>
      </c>
    </row>
    <row r="346" spans="2:64" outlineLevel="1">
      <c r="B346" t="str">
        <f t="shared" si="41"/>
        <v>Carbon dioxide (PS) - Energy cost - Americas - USD/ton fuel</v>
      </c>
      <c r="C346" t="str">
        <f>C316</f>
        <v>Carbon dioxide (PS)</v>
      </c>
      <c r="D346" t="s">
        <v>1368</v>
      </c>
      <c r="E346" t="s">
        <v>731</v>
      </c>
      <c r="F346" t="s">
        <v>1353</v>
      </c>
      <c r="G346" s="487" t="str">
        <f t="shared" si="42"/>
        <v>Carbon dioxide (PS)AmericasEnergy cost</v>
      </c>
      <c r="H346" s="493">
        <v>16.509233042895165</v>
      </c>
      <c r="I346" s="493">
        <v>16.167349868387682</v>
      </c>
      <c r="J346" s="493">
        <v>15.825466693880093</v>
      </c>
      <c r="K346" s="493">
        <v>15.247549879389908</v>
      </c>
      <c r="L346" s="493">
        <v>14.669633064899722</v>
      </c>
      <c r="M346" s="493">
        <v>14.091716250409537</v>
      </c>
      <c r="N346" s="493">
        <v>13.513799435919555</v>
      </c>
      <c r="O346" s="493">
        <v>12.93588262142937</v>
      </c>
      <c r="P346" s="493">
        <v>12.657775175266876</v>
      </c>
      <c r="Q346" s="493">
        <v>12.379667729104382</v>
      </c>
      <c r="R346" s="493">
        <v>12.101560282941888</v>
      </c>
      <c r="S346" s="493">
        <v>11.823452836779394</v>
      </c>
      <c r="T346" s="493">
        <v>11.545345390616848</v>
      </c>
      <c r="U346" s="493">
        <v>11.319904653939716</v>
      </c>
      <c r="V346" s="493">
        <v>11.094463917262585</v>
      </c>
      <c r="W346" s="493">
        <v>10.869023180585401</v>
      </c>
      <c r="X346" s="493">
        <v>10.64358244390827</v>
      </c>
      <c r="Y346" s="493">
        <v>10.418141707231113</v>
      </c>
      <c r="Z346" s="493">
        <v>10.327318809695839</v>
      </c>
      <c r="AA346" s="493">
        <v>10.236495912160567</v>
      </c>
      <c r="AB346" s="493">
        <v>10.14567301462532</v>
      </c>
      <c r="AC346" s="493">
        <v>10.054850117090046</v>
      </c>
      <c r="AD346" s="493">
        <v>9.9640272195547741</v>
      </c>
      <c r="AE346" s="493">
        <v>9.8955077718569413</v>
      </c>
      <c r="AF346" s="493">
        <v>9.8269883241591351</v>
      </c>
      <c r="AG346" s="493">
        <v>9.7584688764613272</v>
      </c>
      <c r="AH346" s="493">
        <v>9.6899494287635211</v>
      </c>
      <c r="AI346" s="493">
        <v>9.6214299810657149</v>
      </c>
    </row>
    <row r="347" spans="2:64" outlineLevel="1">
      <c r="B347" t="str">
        <f t="shared" si="41"/>
        <v>Carbon dioxide (PS) - Energy cost - Asia - USD/ton fuel</v>
      </c>
      <c r="C347" t="str">
        <f>C316</f>
        <v>Carbon dioxide (PS)</v>
      </c>
      <c r="D347" t="s">
        <v>1368</v>
      </c>
      <c r="E347" t="s">
        <v>750</v>
      </c>
      <c r="F347" t="s">
        <v>1353</v>
      </c>
      <c r="G347" s="487" t="str">
        <f t="shared" si="42"/>
        <v>Carbon dioxide (PS)AsiaEnergy cost</v>
      </c>
      <c r="H347" s="493">
        <v>29.223721120414123</v>
      </c>
      <c r="I347" s="493">
        <v>26.655708571576181</v>
      </c>
      <c r="J347" s="493">
        <v>24.087696022739465</v>
      </c>
      <c r="K347" s="493">
        <v>23.166571245400611</v>
      </c>
      <c r="L347" s="493">
        <v>22.245446468062166</v>
      </c>
      <c r="M347" s="493">
        <v>21.324321690723309</v>
      </c>
      <c r="N347" s="493">
        <v>20.403196913384456</v>
      </c>
      <c r="O347" s="493">
        <v>19.482072136046011</v>
      </c>
      <c r="P347" s="493">
        <v>18.85599362984026</v>
      </c>
      <c r="Q347" s="493">
        <v>18.229915123634715</v>
      </c>
      <c r="R347" s="493">
        <v>17.603836617429376</v>
      </c>
      <c r="S347" s="493">
        <v>16.977758111223832</v>
      </c>
      <c r="T347" s="493">
        <v>16.351679605018287</v>
      </c>
      <c r="U347" s="493">
        <v>16.033366123976567</v>
      </c>
      <c r="V347" s="493">
        <v>15.715052642934848</v>
      </c>
      <c r="W347" s="493">
        <v>15.396739161893231</v>
      </c>
      <c r="X347" s="493">
        <v>15.078425680851513</v>
      </c>
      <c r="Y347" s="493">
        <v>14.760112199809999</v>
      </c>
      <c r="Z347" s="493">
        <v>14.426924532343889</v>
      </c>
      <c r="AA347" s="493">
        <v>14.093736864877883</v>
      </c>
      <c r="AB347" s="493">
        <v>13.760549197411775</v>
      </c>
      <c r="AC347" s="493">
        <v>13.427361529945768</v>
      </c>
      <c r="AD347" s="493">
        <v>13.094173862479659</v>
      </c>
      <c r="AE347" s="493">
        <v>12.941378414492936</v>
      </c>
      <c r="AF347" s="493">
        <v>12.788582966506164</v>
      </c>
      <c r="AG347" s="493">
        <v>12.635787518519441</v>
      </c>
      <c r="AH347" s="493">
        <v>12.48299207053272</v>
      </c>
      <c r="AI347" s="493">
        <v>12.330196622545946</v>
      </c>
    </row>
    <row r="348" spans="2:64" outlineLevel="1">
      <c r="B348" t="str">
        <f t="shared" si="41"/>
        <v>Carbon dioxide (PS) - Energy cost - Europe - USD/ton fuel</v>
      </c>
      <c r="C348" t="str">
        <f>C316</f>
        <v>Carbon dioxide (PS)</v>
      </c>
      <c r="D348" t="s">
        <v>1368</v>
      </c>
      <c r="E348" t="s">
        <v>720</v>
      </c>
      <c r="F348" t="s">
        <v>1353</v>
      </c>
      <c r="G348" s="487" t="str">
        <f t="shared" si="42"/>
        <v>Carbon dioxide (PS)EuropeEnergy cost</v>
      </c>
      <c r="H348" s="493">
        <v>21.75547741099076</v>
      </c>
      <c r="I348" s="493">
        <v>20.817825476932196</v>
      </c>
      <c r="J348" s="493">
        <v>19.880173542873628</v>
      </c>
      <c r="K348" s="493">
        <v>19.122545113976003</v>
      </c>
      <c r="L348" s="493">
        <v>18.364916685078175</v>
      </c>
      <c r="M348" s="493">
        <v>17.607288256180549</v>
      </c>
      <c r="N348" s="493">
        <v>16.849659827282721</v>
      </c>
      <c r="O348" s="493">
        <v>16.0920313983851</v>
      </c>
      <c r="P348" s="493">
        <v>15.777236942932246</v>
      </c>
      <c r="Q348" s="493">
        <v>15.4624424874797</v>
      </c>
      <c r="R348" s="493">
        <v>15.147648032027053</v>
      </c>
      <c r="S348" s="493">
        <v>14.832853576574406</v>
      </c>
      <c r="T348" s="493">
        <v>14.51805912112186</v>
      </c>
      <c r="U348" s="493">
        <v>14.330110831027525</v>
      </c>
      <c r="V348" s="493">
        <v>14.142162540933242</v>
      </c>
      <c r="W348" s="493">
        <v>13.954214250838959</v>
      </c>
      <c r="X348" s="493">
        <v>13.766265960744676</v>
      </c>
      <c r="Y348" s="493">
        <v>13.578317670650291</v>
      </c>
      <c r="Z348" s="493">
        <v>13.377246932322203</v>
      </c>
      <c r="AA348" s="493">
        <v>13.176176193994065</v>
      </c>
      <c r="AB348" s="493">
        <v>12.975105455665977</v>
      </c>
      <c r="AC348" s="493">
        <v>12.774034717337839</v>
      </c>
      <c r="AD348" s="493">
        <v>12.572963979009751</v>
      </c>
      <c r="AE348" s="493">
        <v>12.426258627419339</v>
      </c>
      <c r="AF348" s="493">
        <v>12.279553275828874</v>
      </c>
      <c r="AG348" s="493">
        <v>12.132847924238462</v>
      </c>
      <c r="AH348" s="493">
        <v>11.986142572648049</v>
      </c>
      <c r="AI348" s="493">
        <v>11.839437221057585</v>
      </c>
    </row>
    <row r="349" spans="2:64" outlineLevel="1">
      <c r="B349" t="str">
        <f t="shared" si="41"/>
        <v>Carbon dioxide (PS) - Energy cost - Middle East - USD/ton fuel</v>
      </c>
      <c r="C349" t="str">
        <f>C316</f>
        <v>Carbon dioxide (PS)</v>
      </c>
      <c r="D349" t="s">
        <v>1368</v>
      </c>
      <c r="E349" t="s">
        <v>826</v>
      </c>
      <c r="F349" t="s">
        <v>1353</v>
      </c>
      <c r="G349" s="487" t="str">
        <f t="shared" si="42"/>
        <v>Carbon dioxide (PS)Middle EastEnergy cost</v>
      </c>
      <c r="H349" s="493">
        <v>16.659142502923782</v>
      </c>
      <c r="I349" s="493">
        <v>15.924016305195346</v>
      </c>
      <c r="J349" s="493">
        <v>15.188890107466705</v>
      </c>
      <c r="K349" s="493">
        <v>14.702169207234352</v>
      </c>
      <c r="L349" s="493">
        <v>14.215448307001997</v>
      </c>
      <c r="M349" s="493">
        <v>13.728727406769645</v>
      </c>
      <c r="N349" s="493">
        <v>13.242006506537292</v>
      </c>
      <c r="O349" s="493">
        <v>12.755285606304938</v>
      </c>
      <c r="P349" s="493">
        <v>12.412091283913481</v>
      </c>
      <c r="Q349" s="493">
        <v>12.068896961522126</v>
      </c>
      <c r="R349" s="493">
        <v>11.725702639130668</v>
      </c>
      <c r="S349" s="493">
        <v>11.382508316739314</v>
      </c>
      <c r="T349" s="493">
        <v>11.039313994347959</v>
      </c>
      <c r="U349" s="493">
        <v>10.867239969797794</v>
      </c>
      <c r="V349" s="493">
        <v>10.695165945247629</v>
      </c>
      <c r="W349" s="493">
        <v>10.523091920697516</v>
      </c>
      <c r="X349" s="493">
        <v>10.351017896147352</v>
      </c>
      <c r="Y349" s="493">
        <v>10.178943871597188</v>
      </c>
      <c r="Z349" s="493">
        <v>9.9532866742515296</v>
      </c>
      <c r="AA349" s="493">
        <v>9.7276294769059231</v>
      </c>
      <c r="AB349" s="493">
        <v>9.5019722795602668</v>
      </c>
      <c r="AC349" s="493">
        <v>9.2763150822146603</v>
      </c>
      <c r="AD349" s="493">
        <v>9.0506578848689774</v>
      </c>
      <c r="AE349" s="493">
        <v>8.9450432375976252</v>
      </c>
      <c r="AF349" s="493">
        <v>8.8394285903262979</v>
      </c>
      <c r="AG349" s="493">
        <v>8.7338139430549457</v>
      </c>
      <c r="AH349" s="493">
        <v>8.6281992957835936</v>
      </c>
      <c r="AI349" s="493">
        <v>8.522584648512268</v>
      </c>
    </row>
    <row r="350" spans="2:64" outlineLevel="1">
      <c r="B350" t="str">
        <f t="shared" si="41"/>
        <v/>
      </c>
      <c r="G350" s="487" t="str">
        <f t="shared" si="42"/>
        <v/>
      </c>
    </row>
    <row r="351" spans="2:64" ht="15" outlineLevel="1">
      <c r="B351" t="str">
        <f t="shared" si="41"/>
        <v>Carbon dioxide (PS) - Feedstock cost including feedstock feedstock cost - Global - USD/ton fuel</v>
      </c>
      <c r="C351" s="491" t="str">
        <f>C316</f>
        <v>Carbon dioxide (PS)</v>
      </c>
      <c r="D351" s="491" t="s">
        <v>1369</v>
      </c>
      <c r="E351" s="491" t="s">
        <v>708</v>
      </c>
      <c r="F351" s="491" t="s">
        <v>1353</v>
      </c>
      <c r="G351" s="487" t="str">
        <f t="shared" si="42"/>
        <v>Carbon dioxide (PS)GlobalFeedstock cost including feedstock feedstock cost</v>
      </c>
      <c r="H351" s="492">
        <v>0</v>
      </c>
      <c r="I351" s="492">
        <v>0</v>
      </c>
      <c r="J351" s="492">
        <v>0</v>
      </c>
      <c r="K351" s="492">
        <v>0</v>
      </c>
      <c r="L351" s="492">
        <v>0</v>
      </c>
      <c r="M351" s="492">
        <v>0</v>
      </c>
      <c r="N351" s="492">
        <v>0</v>
      </c>
      <c r="O351" s="492">
        <v>0</v>
      </c>
      <c r="P351" s="492">
        <v>0</v>
      </c>
      <c r="Q351" s="492">
        <v>0</v>
      </c>
      <c r="R351" s="492">
        <v>0</v>
      </c>
      <c r="S351" s="492">
        <v>0</v>
      </c>
      <c r="T351" s="492">
        <v>0</v>
      </c>
      <c r="U351" s="492">
        <v>0</v>
      </c>
      <c r="V351" s="492">
        <v>0</v>
      </c>
      <c r="W351" s="492">
        <v>0</v>
      </c>
      <c r="X351" s="492">
        <v>0</v>
      </c>
      <c r="Y351" s="492">
        <v>0</v>
      </c>
      <c r="Z351" s="492">
        <v>0</v>
      </c>
      <c r="AA351" s="492">
        <v>0</v>
      </c>
      <c r="AB351" s="492">
        <v>0</v>
      </c>
      <c r="AC351" s="492">
        <v>0</v>
      </c>
      <c r="AD351" s="492">
        <v>0</v>
      </c>
      <c r="AE351" s="492">
        <v>0</v>
      </c>
      <c r="AF351" s="492">
        <v>0</v>
      </c>
      <c r="AG351" s="492">
        <v>0</v>
      </c>
      <c r="AH351" s="492">
        <v>0</v>
      </c>
      <c r="AI351" s="492">
        <v>0</v>
      </c>
    </row>
    <row r="352" spans="2:64">
      <c r="G352" s="487" t="str">
        <f t="shared" si="42"/>
        <v/>
      </c>
    </row>
    <row r="353" spans="2:35" ht="15">
      <c r="B353" t="str">
        <f t="shared" ref="B353:B416" si="48">_xlfn.TEXTJOIN(" - ",TRUE,C353:F353)</f>
        <v>e-methanol (DAC) - Item - Region - Unit</v>
      </c>
      <c r="C353" s="485" t="s">
        <v>733</v>
      </c>
      <c r="D353" s="485" t="s">
        <v>877</v>
      </c>
      <c r="E353" s="485" t="s">
        <v>171</v>
      </c>
      <c r="F353" s="485" t="s">
        <v>111</v>
      </c>
      <c r="G353" s="487" t="str">
        <f t="shared" si="42"/>
        <v>e-methanol (DAC)RegionItem</v>
      </c>
      <c r="H353" s="486">
        <v>2023</v>
      </c>
      <c r="I353" s="486">
        <v>2024</v>
      </c>
      <c r="J353" s="486">
        <v>2025</v>
      </c>
      <c r="K353" s="486">
        <v>2026</v>
      </c>
      <c r="L353" s="486">
        <v>2027</v>
      </c>
      <c r="M353" s="486">
        <v>2028</v>
      </c>
      <c r="N353" s="486">
        <v>2029</v>
      </c>
      <c r="O353" s="486">
        <v>2030</v>
      </c>
      <c r="P353" s="486">
        <v>2031</v>
      </c>
      <c r="Q353" s="486">
        <v>2032</v>
      </c>
      <c r="R353" s="486">
        <v>2033</v>
      </c>
      <c r="S353" s="486">
        <v>2034</v>
      </c>
      <c r="T353" s="486">
        <v>2035</v>
      </c>
      <c r="U353" s="486">
        <v>2036</v>
      </c>
      <c r="V353" s="486">
        <v>2037</v>
      </c>
      <c r="W353" s="486">
        <v>2038</v>
      </c>
      <c r="X353" s="486">
        <v>2039</v>
      </c>
      <c r="Y353" s="486">
        <v>2040</v>
      </c>
      <c r="Z353" s="486">
        <v>2041</v>
      </c>
      <c r="AA353" s="486">
        <v>2042</v>
      </c>
      <c r="AB353" s="486">
        <v>2043</v>
      </c>
      <c r="AC353" s="486">
        <v>2044</v>
      </c>
      <c r="AD353" s="486">
        <v>2045</v>
      </c>
      <c r="AE353" s="486">
        <v>2046</v>
      </c>
      <c r="AF353" s="486">
        <v>2047</v>
      </c>
      <c r="AG353" s="486">
        <v>2048</v>
      </c>
      <c r="AH353" s="486">
        <v>2049</v>
      </c>
      <c r="AI353" s="486">
        <v>2050</v>
      </c>
    </row>
    <row r="354" spans="2:35" outlineLevel="1">
      <c r="B354" t="str">
        <f t="shared" si="48"/>
        <v>e-methanol (DAC) - Total cost - Africa - USD/ton fuel</v>
      </c>
      <c r="C354" s="487" t="str">
        <f>C353</f>
        <v>e-methanol (DAC)</v>
      </c>
      <c r="D354" s="487" t="s">
        <v>1362</v>
      </c>
      <c r="E354" s="487" t="s">
        <v>838</v>
      </c>
      <c r="F354" s="487" t="s">
        <v>1353</v>
      </c>
      <c r="G354" s="487" t="str">
        <f t="shared" si="42"/>
        <v>e-methanol (DAC)AfricaTotal cost</v>
      </c>
      <c r="H354" s="488">
        <v>1763.6203312214197</v>
      </c>
      <c r="I354" s="488">
        <v>1615.9911189162126</v>
      </c>
      <c r="J354" s="488">
        <v>1468.6753541318485</v>
      </c>
      <c r="K354" s="488">
        <v>1405.7304404043591</v>
      </c>
      <c r="L354" s="488">
        <v>1342.069581668296</v>
      </c>
      <c r="M354" s="488">
        <v>1277.7121791726327</v>
      </c>
      <c r="N354" s="488">
        <v>1212.6776341663588</v>
      </c>
      <c r="O354" s="488">
        <v>1146.9853478984403</v>
      </c>
      <c r="P354" s="488">
        <v>1118.3754861410723</v>
      </c>
      <c r="Q354" s="488">
        <v>1088.4855774194839</v>
      </c>
      <c r="R354" s="488">
        <v>1057.3260717453195</v>
      </c>
      <c r="S354" s="488">
        <v>1024.9074191302432</v>
      </c>
      <c r="T354" s="488">
        <v>991.24006958592395</v>
      </c>
      <c r="U354" s="488">
        <v>966.24002238798425</v>
      </c>
      <c r="V354" s="488">
        <v>940.33921106206856</v>
      </c>
      <c r="W354" s="488">
        <v>913.54104548670273</v>
      </c>
      <c r="X354" s="488">
        <v>885.84893554037035</v>
      </c>
      <c r="Y354" s="488">
        <v>857.26629110158933</v>
      </c>
      <c r="Z354" s="488">
        <v>826.90497736982604</v>
      </c>
      <c r="AA354" s="488">
        <v>796.15933788273787</v>
      </c>
      <c r="AB354" s="488">
        <v>765.02737863529705</v>
      </c>
      <c r="AC354" s="488">
        <v>733.50710562245808</v>
      </c>
      <c r="AD354" s="488">
        <v>701.59652483918421</v>
      </c>
      <c r="AE354" s="488">
        <v>675.21460216387538</v>
      </c>
      <c r="AF354" s="488">
        <v>648.64685387118061</v>
      </c>
      <c r="AG354" s="488">
        <v>621.89202344628893</v>
      </c>
      <c r="AH354" s="488">
        <v>594.94885437439643</v>
      </c>
      <c r="AI354" s="488">
        <v>567.81609014070023</v>
      </c>
    </row>
    <row r="355" spans="2:35" outlineLevel="1">
      <c r="B355" t="str">
        <f t="shared" si="48"/>
        <v>e-methanol (DAC) - Total cost - Americas - USD/ton fuel</v>
      </c>
      <c r="C355" t="str">
        <f>C354</f>
        <v>e-methanol (DAC)</v>
      </c>
      <c r="D355" t="s">
        <v>1362</v>
      </c>
      <c r="E355" t="s">
        <v>731</v>
      </c>
      <c r="F355" t="s">
        <v>1353</v>
      </c>
      <c r="G355" s="487" t="str">
        <f t="shared" si="42"/>
        <v>e-methanol (DAC)AmericasTotal cost</v>
      </c>
      <c r="H355" s="489">
        <v>1419.1820099650438</v>
      </c>
      <c r="I355" s="489">
        <v>1369.3307016467138</v>
      </c>
      <c r="J355" s="489">
        <v>1319.0171501516143</v>
      </c>
      <c r="K355" s="489">
        <v>1266.5667167381032</v>
      </c>
      <c r="L355" s="489">
        <v>1213.3400311415078</v>
      </c>
      <c r="M355" s="489">
        <v>1159.3501292256085</v>
      </c>
      <c r="N355" s="489">
        <v>1104.6100468542099</v>
      </c>
      <c r="O355" s="489">
        <v>1049.1328198910569</v>
      </c>
      <c r="P355" s="489">
        <v>1028.0794218447854</v>
      </c>
      <c r="Q355" s="489">
        <v>1005.6631638379474</v>
      </c>
      <c r="R355" s="489">
        <v>981.89009904734917</v>
      </c>
      <c r="S355" s="489">
        <v>956.76628064979218</v>
      </c>
      <c r="T355" s="489">
        <v>930.29776182210003</v>
      </c>
      <c r="U355" s="489">
        <v>905.83373335416127</v>
      </c>
      <c r="V355" s="489">
        <v>880.47797846021683</v>
      </c>
      <c r="W355" s="489">
        <v>854.23389884201856</v>
      </c>
      <c r="X355" s="489">
        <v>827.10489620127953</v>
      </c>
      <c r="Y355" s="489">
        <v>799.09437223973748</v>
      </c>
      <c r="Z355" s="489">
        <v>773.77436931578313</v>
      </c>
      <c r="AA355" s="489">
        <v>747.96589145772509</v>
      </c>
      <c r="AB355" s="489">
        <v>721.66815930419216</v>
      </c>
      <c r="AC355" s="489">
        <v>694.88039349378539</v>
      </c>
      <c r="AD355" s="489">
        <v>667.60181466512677</v>
      </c>
      <c r="AE355" s="489">
        <v>642.89219260229174</v>
      </c>
      <c r="AF355" s="489">
        <v>617.96613535487961</v>
      </c>
      <c r="AG355" s="489">
        <v>592.82288805579719</v>
      </c>
      <c r="AH355" s="489">
        <v>567.46169583795449</v>
      </c>
      <c r="AI355" s="489">
        <v>541.88180383426231</v>
      </c>
    </row>
    <row r="356" spans="2:35" outlineLevel="1">
      <c r="B356" t="str">
        <f t="shared" si="48"/>
        <v>e-methanol (DAC) - Total cost - Asia - USD/ton fuel</v>
      </c>
      <c r="C356" t="str">
        <f>C355</f>
        <v>e-methanol (DAC)</v>
      </c>
      <c r="D356" t="s">
        <v>1362</v>
      </c>
      <c r="E356" t="s">
        <v>750</v>
      </c>
      <c r="F356" t="s">
        <v>1353</v>
      </c>
      <c r="G356" s="487" t="str">
        <f t="shared" si="42"/>
        <v>e-methanol (DAC)AsiaTotal cost</v>
      </c>
      <c r="H356" s="489">
        <v>1867.602671374962</v>
      </c>
      <c r="I356" s="489">
        <v>1737.7199897262658</v>
      </c>
      <c r="J356" s="489">
        <v>1607.98310423768</v>
      </c>
      <c r="K356" s="489">
        <v>1542.2911330355587</v>
      </c>
      <c r="L356" s="489">
        <v>1475.873263024062</v>
      </c>
      <c r="M356" s="489">
        <v>1408.7502716867357</v>
      </c>
      <c r="N356" s="489">
        <v>1340.9429365071931</v>
      </c>
      <c r="O356" s="489">
        <v>1272.4720349689999</v>
      </c>
      <c r="P356" s="489">
        <v>1238.0020140736829</v>
      </c>
      <c r="Q356" s="489">
        <v>1202.3001336327034</v>
      </c>
      <c r="R356" s="489">
        <v>1165.380020623496</v>
      </c>
      <c r="S356" s="489">
        <v>1127.2553020234814</v>
      </c>
      <c r="T356" s="489">
        <v>1087.9396048101273</v>
      </c>
      <c r="U356" s="489">
        <v>1059.1144200488134</v>
      </c>
      <c r="V356" s="489">
        <v>1029.4260912137822</v>
      </c>
      <c r="W356" s="489">
        <v>998.87942137453376</v>
      </c>
      <c r="X356" s="489">
        <v>967.47921360050691</v>
      </c>
      <c r="Y356" s="489">
        <v>935.23027096119245</v>
      </c>
      <c r="Z356" s="489">
        <v>900.86820147776314</v>
      </c>
      <c r="AA356" s="489">
        <v>866.19931802450913</v>
      </c>
      <c r="AB356" s="489">
        <v>831.22076148100632</v>
      </c>
      <c r="AC356" s="489">
        <v>795.92967272681358</v>
      </c>
      <c r="AD356" s="489">
        <v>760.32319264149885</v>
      </c>
      <c r="AE356" s="489">
        <v>732.223152812948</v>
      </c>
      <c r="AF356" s="489">
        <v>703.96702506555744</v>
      </c>
      <c r="AG356" s="489">
        <v>675.55312607788915</v>
      </c>
      <c r="AH356" s="489">
        <v>646.97977252850364</v>
      </c>
      <c r="AI356" s="489">
        <v>618.24528109596179</v>
      </c>
    </row>
    <row r="357" spans="2:35" outlineLevel="1">
      <c r="B357" t="str">
        <f t="shared" si="48"/>
        <v>e-methanol (DAC) - Total cost - Europe - USD/ton fuel</v>
      </c>
      <c r="C357" t="str">
        <f>C356</f>
        <v>e-methanol (DAC)</v>
      </c>
      <c r="D357" t="s">
        <v>1362</v>
      </c>
      <c r="E357" t="s">
        <v>720</v>
      </c>
      <c r="F357" t="s">
        <v>1353</v>
      </c>
      <c r="G357" s="487" t="str">
        <f t="shared" si="42"/>
        <v>e-methanol (DAC)EuropeTotal cost</v>
      </c>
      <c r="H357" s="489">
        <v>1604.2090716222949</v>
      </c>
      <c r="I357" s="489">
        <v>1532.6723118208797</v>
      </c>
      <c r="J357" s="489">
        <v>1460.8278148672684</v>
      </c>
      <c r="K357" s="489">
        <v>1401.4862667468321</v>
      </c>
      <c r="L357" s="489">
        <v>1341.3968746644941</v>
      </c>
      <c r="M357" s="489">
        <v>1280.5767281749359</v>
      </c>
      <c r="N357" s="489">
        <v>1219.0429168328319</v>
      </c>
      <c r="O357" s="489">
        <v>1156.8125301928419</v>
      </c>
      <c r="P357" s="489">
        <v>1133.7300221626997</v>
      </c>
      <c r="Q357" s="489">
        <v>1109.2805745500887</v>
      </c>
      <c r="R357" s="489">
        <v>1083.4710390467503</v>
      </c>
      <c r="S357" s="489">
        <v>1056.3082673444412</v>
      </c>
      <c r="T357" s="489">
        <v>1027.7991111349431</v>
      </c>
      <c r="U357" s="489">
        <v>1003.724948303012</v>
      </c>
      <c r="V357" s="489">
        <v>978.72280940896917</v>
      </c>
      <c r="W357" s="489">
        <v>952.79553042664247</v>
      </c>
      <c r="X357" s="489">
        <v>925.94594732981102</v>
      </c>
      <c r="Y357" s="489">
        <v>898.17689609228603</v>
      </c>
      <c r="Z357" s="489">
        <v>868.32664559487819</v>
      </c>
      <c r="AA357" s="489">
        <v>838.07394459532645</v>
      </c>
      <c r="AB357" s="489">
        <v>807.41706768327902</v>
      </c>
      <c r="AC357" s="489">
        <v>776.35428944835007</v>
      </c>
      <c r="AD357" s="489">
        <v>744.8838844801802</v>
      </c>
      <c r="AE357" s="489">
        <v>717.11543794198099</v>
      </c>
      <c r="AF357" s="489">
        <v>689.18545919511644</v>
      </c>
      <c r="AG357" s="489">
        <v>661.09233201170332</v>
      </c>
      <c r="AH357" s="489">
        <v>632.83444016385783</v>
      </c>
      <c r="AI357" s="489">
        <v>604.41016742369561</v>
      </c>
    </row>
    <row r="358" spans="2:35" outlineLevel="1">
      <c r="B358" t="str">
        <f t="shared" si="48"/>
        <v>e-methanol (DAC) - Total cost - Middle East - USD/ton fuel</v>
      </c>
      <c r="C358" s="25" t="str">
        <f>C357</f>
        <v>e-methanol (DAC)</v>
      </c>
      <c r="D358" s="25" t="s">
        <v>1362</v>
      </c>
      <c r="E358" s="25" t="s">
        <v>826</v>
      </c>
      <c r="F358" s="25" t="s">
        <v>1353</v>
      </c>
      <c r="G358" s="487" t="str">
        <f t="shared" si="42"/>
        <v>e-methanol (DAC)Middle EastTotal cost</v>
      </c>
      <c r="H358" s="490">
        <v>1424.4690886746062</v>
      </c>
      <c r="I358" s="490">
        <v>1360.7839422683342</v>
      </c>
      <c r="J358" s="490">
        <v>1296.7533090840134</v>
      </c>
      <c r="K358" s="490">
        <v>1247.5776572899963</v>
      </c>
      <c r="L358" s="490">
        <v>1197.6006529365341</v>
      </c>
      <c r="M358" s="490">
        <v>1146.833274813644</v>
      </c>
      <c r="N358" s="490">
        <v>1095.2865017113631</v>
      </c>
      <c r="O358" s="490">
        <v>1042.9713124196878</v>
      </c>
      <c r="P358" s="490">
        <v>1019.7585471096052</v>
      </c>
      <c r="Q358" s="490">
        <v>995.21761890333528</v>
      </c>
      <c r="R358" s="490">
        <v>969.35599763291327</v>
      </c>
      <c r="S358" s="490">
        <v>942.18115313038516</v>
      </c>
      <c r="T358" s="490">
        <v>913.70055522780831</v>
      </c>
      <c r="U358" s="490">
        <v>891.11318157522658</v>
      </c>
      <c r="V358" s="490">
        <v>867.60631147382003</v>
      </c>
      <c r="W358" s="490">
        <v>843.18254136876112</v>
      </c>
      <c r="X358" s="490">
        <v>817.84446770517343</v>
      </c>
      <c r="Y358" s="490">
        <v>791.59468692821645</v>
      </c>
      <c r="Z358" s="490">
        <v>762.17882070418636</v>
      </c>
      <c r="AA358" s="490">
        <v>732.36794903139139</v>
      </c>
      <c r="AB358" s="490">
        <v>702.1601355203328</v>
      </c>
      <c r="AC358" s="490">
        <v>671.55344378149277</v>
      </c>
      <c r="AD358" s="490">
        <v>640.54593742536474</v>
      </c>
      <c r="AE358" s="490">
        <v>615.01644886483643</v>
      </c>
      <c r="AF358" s="490">
        <v>589.2886740515471</v>
      </c>
      <c r="AG358" s="490">
        <v>563.36144944690329</v>
      </c>
      <c r="AH358" s="490">
        <v>537.23361151231779</v>
      </c>
      <c r="AI358" s="490">
        <v>510.90399670920277</v>
      </c>
    </row>
    <row r="359" spans="2:35" ht="15" outlineLevel="1">
      <c r="B359" t="str">
        <f t="shared" si="48"/>
        <v/>
      </c>
      <c r="C359" s="22"/>
      <c r="G359" s="487" t="str">
        <f t="shared" si="42"/>
        <v/>
      </c>
    </row>
    <row r="360" spans="2:35" ht="15" outlineLevel="1">
      <c r="B360" t="str">
        <f t="shared" si="48"/>
        <v>e-methanol (DAC) - CAPEX including feedstock CAPEX - Global - USD/ton fuel</v>
      </c>
      <c r="C360" s="491" t="str">
        <f>C353</f>
        <v>e-methanol (DAC)</v>
      </c>
      <c r="D360" s="491" t="s">
        <v>1363</v>
      </c>
      <c r="E360" s="491" t="s">
        <v>708</v>
      </c>
      <c r="F360" s="491" t="s">
        <v>1353</v>
      </c>
      <c r="G360" s="487" t="str">
        <f t="shared" si="42"/>
        <v>e-methanol (DAC)GlobalCAPEX including feedstock CAPEX</v>
      </c>
      <c r="H360" s="492">
        <v>189.67896829904754</v>
      </c>
      <c r="I360" s="492">
        <v>181.93895629574578</v>
      </c>
      <c r="J360" s="492">
        <v>174.15183049398229</v>
      </c>
      <c r="K360" s="492">
        <v>167.42958956837558</v>
      </c>
      <c r="L360" s="492">
        <v>160.61982171835496</v>
      </c>
      <c r="M360" s="492">
        <v>153.72252694392162</v>
      </c>
      <c r="N360" s="492">
        <v>146.73770524507626</v>
      </c>
      <c r="O360" s="492">
        <v>139.66535662181698</v>
      </c>
      <c r="P360" s="492">
        <v>138.03685390263701</v>
      </c>
      <c r="Q360" s="492">
        <v>136.20422940328726</v>
      </c>
      <c r="R360" s="492">
        <v>134.16748312376691</v>
      </c>
      <c r="S360" s="492">
        <v>131.92661506407572</v>
      </c>
      <c r="T360" s="492">
        <v>129.48162522421464</v>
      </c>
      <c r="U360" s="492">
        <v>126.83959051052869</v>
      </c>
      <c r="V360" s="492">
        <v>124.0290843631058</v>
      </c>
      <c r="W360" s="492">
        <v>121.05010678194797</v>
      </c>
      <c r="X360" s="492">
        <v>117.90265776705284</v>
      </c>
      <c r="Y360" s="492">
        <v>114.58673731841998</v>
      </c>
      <c r="Z360" s="492">
        <v>110.60686531087009</v>
      </c>
      <c r="AA360" s="492">
        <v>106.49987220811215</v>
      </c>
      <c r="AB360" s="492">
        <v>102.26575801014769</v>
      </c>
      <c r="AC360" s="492">
        <v>97.904522716975833</v>
      </c>
      <c r="AD360" s="492">
        <v>93.416166328596461</v>
      </c>
      <c r="AE360" s="492">
        <v>88.867010500382378</v>
      </c>
      <c r="AF360" s="492">
        <v>84.238341031089249</v>
      </c>
      <c r="AG360" s="492">
        <v>79.530157920716718</v>
      </c>
      <c r="AH360" s="492">
        <v>74.742461169264971</v>
      </c>
      <c r="AI360" s="492">
        <v>69.875250776734191</v>
      </c>
    </row>
    <row r="361" spans="2:35" outlineLevel="1">
      <c r="B361" t="str">
        <f t="shared" si="48"/>
        <v>e-methanol (DAC) - CAPEX - Global - USD/ton fuel</v>
      </c>
      <c r="C361" t="str">
        <f>C353</f>
        <v>e-methanol (DAC)</v>
      </c>
      <c r="D361" t="s">
        <v>446</v>
      </c>
      <c r="E361" t="s">
        <v>708</v>
      </c>
      <c r="F361" t="s">
        <v>1353</v>
      </c>
      <c r="G361" s="487" t="str">
        <f t="shared" si="42"/>
        <v>e-methanol (DAC)GlobalCAPEX</v>
      </c>
      <c r="H361" s="493">
        <v>99.333333333333329</v>
      </c>
      <c r="I361" s="493">
        <v>94.666666666666671</v>
      </c>
      <c r="J361" s="493">
        <v>90</v>
      </c>
      <c r="K361" s="493">
        <v>85.333333333333329</v>
      </c>
      <c r="L361" s="493">
        <v>80.666666666666671</v>
      </c>
      <c r="M361" s="493">
        <v>76</v>
      </c>
      <c r="N361" s="493">
        <v>71.333333333333329</v>
      </c>
      <c r="O361" s="493">
        <v>66.666666666666671</v>
      </c>
      <c r="P361" s="493">
        <v>65.166666666666671</v>
      </c>
      <c r="Q361" s="493">
        <v>63.666666666666664</v>
      </c>
      <c r="R361" s="493">
        <v>62.166666666666664</v>
      </c>
      <c r="S361" s="493">
        <v>60.666666666666664</v>
      </c>
      <c r="T361" s="493">
        <v>59.166666666666664</v>
      </c>
      <c r="U361" s="493">
        <v>57.666666666666664</v>
      </c>
      <c r="V361" s="493">
        <v>56.166666666666664</v>
      </c>
      <c r="W361" s="493">
        <v>54.666666666666664</v>
      </c>
      <c r="X361" s="493">
        <v>53.166666666666664</v>
      </c>
      <c r="Y361" s="493">
        <v>51.666666666666664</v>
      </c>
      <c r="Z361" s="493">
        <v>49.666666666666664</v>
      </c>
      <c r="AA361" s="493">
        <v>47.666666666666664</v>
      </c>
      <c r="AB361" s="493">
        <v>45.666666666666664</v>
      </c>
      <c r="AC361" s="493">
        <v>43.666666666666664</v>
      </c>
      <c r="AD361" s="493">
        <v>41.666666666666664</v>
      </c>
      <c r="AE361" s="493">
        <v>39.666666666666664</v>
      </c>
      <c r="AF361" s="493">
        <v>37.666666666666664</v>
      </c>
      <c r="AG361" s="493">
        <v>35.666666666666664</v>
      </c>
      <c r="AH361" s="493">
        <v>33.666666666666664</v>
      </c>
      <c r="AI361" s="493">
        <v>31.666666666666668</v>
      </c>
    </row>
    <row r="362" spans="2:35" outlineLevel="1">
      <c r="B362" t="str">
        <f t="shared" si="48"/>
        <v>e-hydrogen (compressed) - CAPEX including feedstock CAPEX - Global - USD/ton fuel</v>
      </c>
      <c r="C362" t="s">
        <v>722</v>
      </c>
      <c r="D362" t="s">
        <v>1363</v>
      </c>
      <c r="E362" t="s">
        <v>708</v>
      </c>
      <c r="F362" t="s">
        <v>1353</v>
      </c>
      <c r="G362" s="487" t="str">
        <f t="shared" si="42"/>
        <v>e-hydrogen (compressed)GlobalCAPEX including feedstock CAPEX</v>
      </c>
      <c r="H362" s="507">
        <v>256.64635353013858</v>
      </c>
      <c r="I362" s="507">
        <v>247.21700590830653</v>
      </c>
      <c r="J362" s="507">
        <v>237.53805175037812</v>
      </c>
      <c r="K362" s="507">
        <v>232.53269690653616</v>
      </c>
      <c r="L362" s="507">
        <v>227.06362881665248</v>
      </c>
      <c r="M362" s="507">
        <v>221.13084748073197</v>
      </c>
      <c r="N362" s="507">
        <v>214.73435289877628</v>
      </c>
      <c r="O362" s="507">
        <v>207.87414507077864</v>
      </c>
      <c r="P362" s="507">
        <v>212.24697175898439</v>
      </c>
      <c r="Q362" s="507">
        <v>215.53837151594018</v>
      </c>
      <c r="R362" s="507">
        <v>217.74834434164336</v>
      </c>
      <c r="S362" s="507">
        <v>218.87689023608903</v>
      </c>
      <c r="T362" s="507">
        <v>218.92400919928582</v>
      </c>
      <c r="U362" s="507">
        <v>217.21328869368136</v>
      </c>
      <c r="V362" s="507">
        <v>214.61001500027928</v>
      </c>
      <c r="W362" s="507">
        <v>211.1141881190886</v>
      </c>
      <c r="X362" s="507">
        <v>206.72580805010043</v>
      </c>
      <c r="Y362" s="507">
        <v>201.44487479331141</v>
      </c>
      <c r="Z362" s="507">
        <v>194.68227936129369</v>
      </c>
      <c r="AA362" s="507">
        <v>187.24620275654928</v>
      </c>
      <c r="AB362" s="507">
        <v>179.13664497908553</v>
      </c>
      <c r="AC362" s="507">
        <v>170.35360602889762</v>
      </c>
      <c r="AD362" s="507">
        <v>160.89708590598403</v>
      </c>
      <c r="AE362" s="507">
        <v>150.64085698303418</v>
      </c>
      <c r="AF362" s="507">
        <v>139.96336878636401</v>
      </c>
      <c r="AG362" s="507">
        <v>128.86462131597352</v>
      </c>
      <c r="AH362" s="507">
        <v>117.34461457186269</v>
      </c>
      <c r="AI362" s="507">
        <v>105.40334855403168</v>
      </c>
    </row>
    <row r="363" spans="2:35" outlineLevel="1">
      <c r="B363" t="str">
        <f t="shared" si="48"/>
        <v>Carbon dioxide (DAC) - CAPEX - Global - USD/ton fuel</v>
      </c>
      <c r="C363" t="s">
        <v>1379</v>
      </c>
      <c r="D363" t="s">
        <v>446</v>
      </c>
      <c r="E363" t="s">
        <v>708</v>
      </c>
      <c r="F363" t="s">
        <v>1353</v>
      </c>
      <c r="G363" s="487" t="str">
        <f t="shared" si="42"/>
        <v>Carbon dioxide (DAC)GlobalCAPEX</v>
      </c>
      <c r="H363" s="493">
        <v>30.508013847333252</v>
      </c>
      <c r="I363" s="493">
        <v>29.566240685333227</v>
      </c>
      <c r="J363" s="493">
        <v>28.624467523333198</v>
      </c>
      <c r="K363" s="493">
        <v>27.81573486463288</v>
      </c>
      <c r="L363" s="493">
        <v>27.00700220593232</v>
      </c>
      <c r="M363" s="493">
        <v>26.198269547231757</v>
      </c>
      <c r="N363" s="493">
        <v>25.389536888531438</v>
      </c>
      <c r="O363" s="493">
        <v>24.580804229830878</v>
      </c>
      <c r="P363" s="493">
        <v>23.886317978110068</v>
      </c>
      <c r="Q363" s="493">
        <v>23.191831726389257</v>
      </c>
      <c r="R363" s="493">
        <v>22.497345474668204</v>
      </c>
      <c r="S363" s="493">
        <v>21.802859222947397</v>
      </c>
      <c r="T363" s="493">
        <v>21.108372971226345</v>
      </c>
      <c r="U363" s="493">
        <v>20.511993996492674</v>
      </c>
      <c r="V363" s="493">
        <v>19.915615021759002</v>
      </c>
      <c r="W363" s="493">
        <v>19.319236047025576</v>
      </c>
      <c r="X363" s="493">
        <v>18.722857072291905</v>
      </c>
      <c r="Y363" s="493">
        <v>18.126478097558113</v>
      </c>
      <c r="Z363" s="493">
        <v>17.614347179742374</v>
      </c>
      <c r="AA363" s="493">
        <v>17.102216261926515</v>
      </c>
      <c r="AB363" s="493">
        <v>16.590085344110655</v>
      </c>
      <c r="AC363" s="493">
        <v>16.077954426294795</v>
      </c>
      <c r="AD363" s="493">
        <v>15.565823508479054</v>
      </c>
      <c r="AE363" s="493">
        <v>15.119325473449862</v>
      </c>
      <c r="AF363" s="493">
        <v>14.672827438420791</v>
      </c>
      <c r="AG363" s="493">
        <v>14.226329403391597</v>
      </c>
      <c r="AH363" s="493">
        <v>13.779831368362405</v>
      </c>
      <c r="AI363" s="493">
        <v>13.333333333333334</v>
      </c>
    </row>
    <row r="364" spans="2:35" outlineLevel="1">
      <c r="B364" t="str">
        <f t="shared" si="48"/>
        <v>e-methanol - Conversion H2 -&gt; MeOH - Global - ton H2/ton MeOH</v>
      </c>
      <c r="C364" t="s">
        <v>1381</v>
      </c>
      <c r="D364" t="s">
        <v>1382</v>
      </c>
      <c r="E364" t="s">
        <v>708</v>
      </c>
      <c r="F364" t="s">
        <v>1383</v>
      </c>
      <c r="G364" s="487" t="str">
        <f t="shared" si="42"/>
        <v>e-methanolGlobalConversion H2 -&gt; MeOH</v>
      </c>
      <c r="H364" s="508">
        <v>0.18875226265526496</v>
      </c>
      <c r="I364" s="508">
        <v>0.18875226265526496</v>
      </c>
      <c r="J364" s="508">
        <v>0.18875226265526496</v>
      </c>
      <c r="K364" s="508">
        <v>0.18875226265526496</v>
      </c>
      <c r="L364" s="508">
        <v>0.18875226265526496</v>
      </c>
      <c r="M364" s="508">
        <v>0.18875226265526496</v>
      </c>
      <c r="N364" s="508">
        <v>0.18875226265526496</v>
      </c>
      <c r="O364" s="508">
        <v>0.18875226265526496</v>
      </c>
      <c r="P364" s="508">
        <v>0.18875226265526496</v>
      </c>
      <c r="Q364" s="508">
        <v>0.18875226265526496</v>
      </c>
      <c r="R364" s="508">
        <v>0.18875226265526496</v>
      </c>
      <c r="S364" s="508">
        <v>0.18875226265526496</v>
      </c>
      <c r="T364" s="508">
        <v>0.18875226265526496</v>
      </c>
      <c r="U364" s="508">
        <v>0.18875226265526496</v>
      </c>
      <c r="V364" s="508">
        <v>0.18875226265526496</v>
      </c>
      <c r="W364" s="508">
        <v>0.18875226265526496</v>
      </c>
      <c r="X364" s="508">
        <v>0.18875226265526496</v>
      </c>
      <c r="Y364" s="508">
        <v>0.18875226265526496</v>
      </c>
      <c r="Z364" s="508">
        <v>0.18875226265526496</v>
      </c>
      <c r="AA364" s="508">
        <v>0.18875226265526496</v>
      </c>
      <c r="AB364" s="508">
        <v>0.18875226265526496</v>
      </c>
      <c r="AC364" s="508">
        <v>0.18875226265526496</v>
      </c>
      <c r="AD364" s="508">
        <v>0.18875226265526496</v>
      </c>
      <c r="AE364" s="508">
        <v>0.18875226265526496</v>
      </c>
      <c r="AF364" s="508">
        <v>0.18875226265526496</v>
      </c>
      <c r="AG364" s="508">
        <v>0.18875226265526496</v>
      </c>
      <c r="AH364" s="508">
        <v>0.18875226265526496</v>
      </c>
      <c r="AI364" s="508">
        <v>0.18875226265526496</v>
      </c>
    </row>
    <row r="365" spans="2:35" outlineLevel="1">
      <c r="B365" t="str">
        <f t="shared" si="48"/>
        <v>e-methanol - Conversion CO2 -&gt; MeOH - Global - ton CO2/ton MeOH</v>
      </c>
      <c r="C365" t="s">
        <v>1381</v>
      </c>
      <c r="D365" t="s">
        <v>1384</v>
      </c>
      <c r="E365" t="s">
        <v>708</v>
      </c>
      <c r="F365" t="s">
        <v>1385</v>
      </c>
      <c r="G365" s="487" t="str">
        <f t="shared" si="42"/>
        <v>e-methanolGlobalConversion CO2 -&gt; MeOH</v>
      </c>
      <c r="H365" s="508">
        <v>1.3735097684289368</v>
      </c>
      <c r="I365" s="508">
        <v>1.3735097684289368</v>
      </c>
      <c r="J365" s="508">
        <v>1.3735097684289368</v>
      </c>
      <c r="K365" s="508">
        <v>1.3735097684289368</v>
      </c>
      <c r="L365" s="508">
        <v>1.3735097684289368</v>
      </c>
      <c r="M365" s="508">
        <v>1.3735097684289368</v>
      </c>
      <c r="N365" s="508">
        <v>1.3735097684289368</v>
      </c>
      <c r="O365" s="508">
        <v>1.3735097684289368</v>
      </c>
      <c r="P365" s="508">
        <v>1.3735097684289368</v>
      </c>
      <c r="Q365" s="508">
        <v>1.3735097684289368</v>
      </c>
      <c r="R365" s="508">
        <v>1.3735097684289368</v>
      </c>
      <c r="S365" s="508">
        <v>1.3735097684289368</v>
      </c>
      <c r="T365" s="508">
        <v>1.3735097684289368</v>
      </c>
      <c r="U365" s="508">
        <v>1.3735097684289368</v>
      </c>
      <c r="V365" s="508">
        <v>1.3735097684289368</v>
      </c>
      <c r="W365" s="508">
        <v>1.3735097684289368</v>
      </c>
      <c r="X365" s="508">
        <v>1.3735097684289368</v>
      </c>
      <c r="Y365" s="508">
        <v>1.3735097684289368</v>
      </c>
      <c r="Z365" s="508">
        <v>1.3735097684289368</v>
      </c>
      <c r="AA365" s="508">
        <v>1.3735097684289368</v>
      </c>
      <c r="AB365" s="508">
        <v>1.3735097684289368</v>
      </c>
      <c r="AC365" s="508">
        <v>1.3735097684289368</v>
      </c>
      <c r="AD365" s="508">
        <v>1.3735097684289368</v>
      </c>
      <c r="AE365" s="508">
        <v>1.3735097684289368</v>
      </c>
      <c r="AF365" s="508">
        <v>1.3735097684289368</v>
      </c>
      <c r="AG365" s="508">
        <v>1.3735097684289368</v>
      </c>
      <c r="AH365" s="508">
        <v>1.3735097684289368</v>
      </c>
      <c r="AI365" s="508">
        <v>1.3735097684289368</v>
      </c>
    </row>
    <row r="366" spans="2:35" outlineLevel="1">
      <c r="B366" t="str">
        <f t="shared" si="48"/>
        <v/>
      </c>
      <c r="G366" s="487" t="str">
        <f t="shared" si="42"/>
        <v/>
      </c>
      <c r="H366" s="493"/>
      <c r="I366" s="493"/>
      <c r="J366" s="493"/>
      <c r="K366" s="493"/>
      <c r="L366" s="493"/>
      <c r="M366" s="493"/>
      <c r="N366" s="493"/>
      <c r="O366" s="493"/>
      <c r="P366" s="493"/>
      <c r="Q366" s="493"/>
      <c r="R366" s="493"/>
      <c r="S366" s="493"/>
      <c r="T366" s="493"/>
      <c r="U366" s="493"/>
      <c r="V366" s="493"/>
      <c r="W366" s="493"/>
      <c r="X366" s="493"/>
      <c r="Y366" s="493"/>
      <c r="Z366" s="493"/>
      <c r="AA366" s="493"/>
      <c r="AB366" s="493"/>
      <c r="AC366" s="493"/>
      <c r="AD366" s="493"/>
      <c r="AE366" s="493"/>
      <c r="AF366" s="493"/>
      <c r="AG366" s="493"/>
      <c r="AH366" s="493"/>
      <c r="AI366" s="493"/>
    </row>
    <row r="367" spans="2:35" ht="15" outlineLevel="1">
      <c r="B367" t="str">
        <f t="shared" si="48"/>
        <v>e-methanol (DAC) - OPEX including feedstock OPEX - Global - USD/ton fuel</v>
      </c>
      <c r="C367" s="491" t="str">
        <f>C353</f>
        <v>e-methanol (DAC)</v>
      </c>
      <c r="D367" s="491" t="s">
        <v>1364</v>
      </c>
      <c r="E367" s="491" t="s">
        <v>708</v>
      </c>
      <c r="F367" s="491" t="s">
        <v>1353</v>
      </c>
      <c r="G367" s="487" t="str">
        <f t="shared" si="42"/>
        <v>e-methanol (DAC)GlobalOPEX including feedstock OPEX</v>
      </c>
      <c r="H367" s="492">
        <v>331.72904220813354</v>
      </c>
      <c r="I367" s="492">
        <v>316.7882081458456</v>
      </c>
      <c r="J367" s="492">
        <v>301.48151284288406</v>
      </c>
      <c r="K367" s="492">
        <v>289.44109119244035</v>
      </c>
      <c r="L367" s="492">
        <v>276.78595864654972</v>
      </c>
      <c r="M367" s="492">
        <v>263.51611520521152</v>
      </c>
      <c r="N367" s="492">
        <v>249.63156086843421</v>
      </c>
      <c r="O367" s="492">
        <v>235.13229563620891</v>
      </c>
      <c r="P367" s="492">
        <v>231.03735854128223</v>
      </c>
      <c r="Q367" s="492">
        <v>226.07167936002088</v>
      </c>
      <c r="R367" s="492">
        <v>220.23525809242602</v>
      </c>
      <c r="S367" s="492">
        <v>213.52809473849382</v>
      </c>
      <c r="T367" s="492">
        <v>205.95018929822646</v>
      </c>
      <c r="U367" s="492">
        <v>199.03995809680364</v>
      </c>
      <c r="V367" s="492">
        <v>191.61445678838038</v>
      </c>
      <c r="W367" s="492">
        <v>183.6736853729615</v>
      </c>
      <c r="X367" s="492">
        <v>175.21764385053891</v>
      </c>
      <c r="Y367" s="492">
        <v>166.24633222111657</v>
      </c>
      <c r="Z367" s="492">
        <v>157.95588504691653</v>
      </c>
      <c r="AA367" s="492">
        <v>149.42061321621725</v>
      </c>
      <c r="AB367" s="492">
        <v>140.64051672902326</v>
      </c>
      <c r="AC367" s="492">
        <v>131.61559558533006</v>
      </c>
      <c r="AD367" s="492">
        <v>122.34584978514155</v>
      </c>
      <c r="AE367" s="492">
        <v>114.62559473995232</v>
      </c>
      <c r="AF367" s="492">
        <v>106.8233061379556</v>
      </c>
      <c r="AG367" s="492">
        <v>98.938983979151018</v>
      </c>
      <c r="AH367" s="492">
        <v>90.972628263538724</v>
      </c>
      <c r="AI367" s="492">
        <v>82.924238991119068</v>
      </c>
    </row>
    <row r="368" spans="2:35" outlineLevel="1">
      <c r="B368" t="str">
        <f t="shared" si="48"/>
        <v>e-methanol (DAC) - OPEX - Global - USD/ton fuel</v>
      </c>
      <c r="C368" t="str">
        <f>C353</f>
        <v>e-methanol (DAC)</v>
      </c>
      <c r="D368" t="s">
        <v>450</v>
      </c>
      <c r="E368" t="s">
        <v>708</v>
      </c>
      <c r="F368" t="s">
        <v>1353</v>
      </c>
      <c r="G368" s="487" t="str">
        <f t="shared" si="42"/>
        <v>e-methanol (DAC)GlobalOPEX</v>
      </c>
      <c r="H368" s="493">
        <v>119.2</v>
      </c>
      <c r="I368" s="493">
        <v>113.60000000000001</v>
      </c>
      <c r="J368" s="493">
        <v>108</v>
      </c>
      <c r="K368" s="493">
        <v>102.4</v>
      </c>
      <c r="L368" s="493">
        <v>96.8</v>
      </c>
      <c r="M368" s="493">
        <v>91.2</v>
      </c>
      <c r="N368" s="493">
        <v>85.600000000000009</v>
      </c>
      <c r="O368" s="493">
        <v>80</v>
      </c>
      <c r="P368" s="493">
        <v>78.2</v>
      </c>
      <c r="Q368" s="493">
        <v>76.400000000000006</v>
      </c>
      <c r="R368" s="493">
        <v>74.600000000000009</v>
      </c>
      <c r="S368" s="493">
        <v>72.8</v>
      </c>
      <c r="T368" s="493">
        <v>71</v>
      </c>
      <c r="U368" s="493">
        <v>69.2</v>
      </c>
      <c r="V368" s="493">
        <v>67.400000000000006</v>
      </c>
      <c r="W368" s="493">
        <v>65.599999999999994</v>
      </c>
      <c r="X368" s="493">
        <v>63.800000000000004</v>
      </c>
      <c r="Y368" s="493">
        <v>62</v>
      </c>
      <c r="Z368" s="493">
        <v>59.6</v>
      </c>
      <c r="AA368" s="493">
        <v>57.2</v>
      </c>
      <c r="AB368" s="493">
        <v>54.800000000000004</v>
      </c>
      <c r="AC368" s="493">
        <v>52.4</v>
      </c>
      <c r="AD368" s="493">
        <v>50</v>
      </c>
      <c r="AE368" s="493">
        <v>47.6</v>
      </c>
      <c r="AF368" s="493">
        <v>45.2</v>
      </c>
      <c r="AG368" s="493">
        <v>42.800000000000004</v>
      </c>
      <c r="AH368" s="493">
        <v>40.4</v>
      </c>
      <c r="AI368" s="493">
        <v>38</v>
      </c>
    </row>
    <row r="369" spans="2:35" outlineLevel="1">
      <c r="B369" t="str">
        <f t="shared" si="48"/>
        <v>e-hydrogen (compressed) - OPEX including feedstock OPEX - Global - USD/ton fuel</v>
      </c>
      <c r="C369" t="s">
        <v>722</v>
      </c>
      <c r="D369" t="s">
        <v>1364</v>
      </c>
      <c r="E369" t="s">
        <v>708</v>
      </c>
      <c r="F369" t="s">
        <v>1353</v>
      </c>
      <c r="G369" s="487" t="str">
        <f t="shared" si="42"/>
        <v>e-hydrogen (compressed)GlobalOPEX including feedstock OPEX</v>
      </c>
      <c r="H369" s="507">
        <v>778.63990898977545</v>
      </c>
      <c r="I369" s="507">
        <v>746.81733762687418</v>
      </c>
      <c r="J369" s="507">
        <v>712.61415525113227</v>
      </c>
      <c r="K369" s="507">
        <v>693.21795180920219</v>
      </c>
      <c r="L369" s="507">
        <v>670.22211331548374</v>
      </c>
      <c r="M369" s="507">
        <v>643.6266397699726</v>
      </c>
      <c r="N369" s="507">
        <v>613.43153117270822</v>
      </c>
      <c r="O369" s="507">
        <v>579.63678752365013</v>
      </c>
      <c r="P369" s="507">
        <v>578.89498738880036</v>
      </c>
      <c r="Q369" s="507">
        <v>573.27415594361116</v>
      </c>
      <c r="R369" s="507">
        <v>562.77429318809038</v>
      </c>
      <c r="S369" s="507">
        <v>547.39539912221437</v>
      </c>
      <c r="T369" s="507">
        <v>527.13747374599984</v>
      </c>
      <c r="U369" s="507">
        <v>508.91545321169565</v>
      </c>
      <c r="V369" s="507">
        <v>487.75740898550708</v>
      </c>
      <c r="W369" s="507">
        <v>463.66334106745865</v>
      </c>
      <c r="X369" s="507">
        <v>436.63324945751151</v>
      </c>
      <c r="Y369" s="507">
        <v>406.66713415568563</v>
      </c>
      <c r="Z369" s="507">
        <v>382.32288786138321</v>
      </c>
      <c r="AA369" s="507">
        <v>356.52173881762411</v>
      </c>
      <c r="AB369" s="507">
        <v>329.2636870244329</v>
      </c>
      <c r="AC369" s="507">
        <v>300.54873248178433</v>
      </c>
      <c r="AD369" s="507">
        <v>270.37687518969852</v>
      </c>
      <c r="AE369" s="507">
        <v>247.55933903156756</v>
      </c>
      <c r="AF369" s="507">
        <v>224.18137658421693</v>
      </c>
      <c r="AG369" s="507">
        <v>200.24298784764761</v>
      </c>
      <c r="AH369" s="507">
        <v>175.74417282185905</v>
      </c>
      <c r="AI369" s="507">
        <v>150.68493150685131</v>
      </c>
    </row>
    <row r="370" spans="2:35" outlineLevel="1">
      <c r="B370" t="str">
        <f t="shared" si="48"/>
        <v>Carbon dioxide (DAC) - OPEX - Global - USD/ton fuel</v>
      </c>
      <c r="C370" t="s">
        <v>1379</v>
      </c>
      <c r="D370" t="s">
        <v>450</v>
      </c>
      <c r="E370" t="s">
        <v>708</v>
      </c>
      <c r="F370" t="s">
        <v>1353</v>
      </c>
      <c r="G370" s="487" t="str">
        <f t="shared" si="42"/>
        <v>Carbon dioxide (DAC)GlobalOPEX</v>
      </c>
      <c r="H370" s="493">
        <v>47.7310020645956</v>
      </c>
      <c r="I370" s="493">
        <v>45.303460746236098</v>
      </c>
      <c r="J370" s="493">
        <v>42.936701284999835</v>
      </c>
      <c r="K370" s="493">
        <v>40.913166813136101</v>
      </c>
      <c r="L370" s="493">
        <v>38.936758591699629</v>
      </c>
      <c r="M370" s="493">
        <v>37.007476620690611</v>
      </c>
      <c r="N370" s="493">
        <v>35.125320900109735</v>
      </c>
      <c r="O370" s="493">
        <v>33.290291429956135</v>
      </c>
      <c r="P370" s="493">
        <v>31.721376020274985</v>
      </c>
      <c r="Q370" s="493">
        <v>30.18899920260916</v>
      </c>
      <c r="R370" s="493">
        <v>28.693160976958509</v>
      </c>
      <c r="S370" s="493">
        <v>27.23386134332349</v>
      </c>
      <c r="T370" s="493">
        <v>25.811100301703355</v>
      </c>
      <c r="U370" s="493">
        <v>24.594666582900402</v>
      </c>
      <c r="V370" s="493">
        <v>23.406562482820661</v>
      </c>
      <c r="W370" s="493">
        <v>22.246788001464278</v>
      </c>
      <c r="X370" s="493">
        <v>21.115343138830685</v>
      </c>
      <c r="Y370" s="493">
        <v>20.012227894920034</v>
      </c>
      <c r="Z370" s="493">
        <v>19.069085273520873</v>
      </c>
      <c r="AA370" s="493">
        <v>18.147907573393375</v>
      </c>
      <c r="AB370" s="493">
        <v>17.248694794537446</v>
      </c>
      <c r="AC370" s="493">
        <v>16.371446936953305</v>
      </c>
      <c r="AD370" s="493">
        <v>15.516164000640968</v>
      </c>
      <c r="AE370" s="493">
        <v>14.778350924667834</v>
      </c>
      <c r="AF370" s="493">
        <v>14.057827986617346</v>
      </c>
      <c r="AG370" s="493">
        <v>13.354595186489069</v>
      </c>
      <c r="AH370" s="493">
        <v>12.668652524283226</v>
      </c>
      <c r="AI370" s="493">
        <v>12.000000000000011</v>
      </c>
    </row>
    <row r="371" spans="2:35" outlineLevel="1">
      <c r="B371" t="str">
        <f t="shared" si="48"/>
        <v>e-methanol - Conversion H2 -&gt; MeOH - Global - ton H2/ton MeOH</v>
      </c>
      <c r="C371" t="s">
        <v>1381</v>
      </c>
      <c r="D371" t="s">
        <v>1382</v>
      </c>
      <c r="E371" t="s">
        <v>708</v>
      </c>
      <c r="F371" t="s">
        <v>1383</v>
      </c>
      <c r="G371" s="487" t="str">
        <f t="shared" si="42"/>
        <v>e-methanolGlobalConversion H2 -&gt; MeOH</v>
      </c>
      <c r="H371" s="508">
        <v>0.18875226265526496</v>
      </c>
      <c r="I371" s="508">
        <v>0.18875226265526496</v>
      </c>
      <c r="J371" s="508">
        <v>0.18875226265526496</v>
      </c>
      <c r="K371" s="508">
        <v>0.18875226265526496</v>
      </c>
      <c r="L371" s="508">
        <v>0.18875226265526496</v>
      </c>
      <c r="M371" s="508">
        <v>0.18875226265526496</v>
      </c>
      <c r="N371" s="508">
        <v>0.18875226265526496</v>
      </c>
      <c r="O371" s="508">
        <v>0.18875226265526496</v>
      </c>
      <c r="P371" s="508">
        <v>0.18875226265526496</v>
      </c>
      <c r="Q371" s="508">
        <v>0.18875226265526496</v>
      </c>
      <c r="R371" s="508">
        <v>0.18875226265526496</v>
      </c>
      <c r="S371" s="508">
        <v>0.18875226265526496</v>
      </c>
      <c r="T371" s="508">
        <v>0.18875226265526496</v>
      </c>
      <c r="U371" s="508">
        <v>0.18875226265526496</v>
      </c>
      <c r="V371" s="508">
        <v>0.18875226265526496</v>
      </c>
      <c r="W371" s="508">
        <v>0.18875226265526496</v>
      </c>
      <c r="X371" s="508">
        <v>0.18875226265526496</v>
      </c>
      <c r="Y371" s="508">
        <v>0.18875226265526496</v>
      </c>
      <c r="Z371" s="508">
        <v>0.18875226265526496</v>
      </c>
      <c r="AA371" s="508">
        <v>0.18875226265526496</v>
      </c>
      <c r="AB371" s="508">
        <v>0.18875226265526496</v>
      </c>
      <c r="AC371" s="508">
        <v>0.18875226265526496</v>
      </c>
      <c r="AD371" s="508">
        <v>0.18875226265526496</v>
      </c>
      <c r="AE371" s="508">
        <v>0.18875226265526496</v>
      </c>
      <c r="AF371" s="508">
        <v>0.18875226265526496</v>
      </c>
      <c r="AG371" s="508">
        <v>0.18875226265526496</v>
      </c>
      <c r="AH371" s="508">
        <v>0.18875226265526496</v>
      </c>
      <c r="AI371" s="508">
        <v>0.18875226265526496</v>
      </c>
    </row>
    <row r="372" spans="2:35" outlineLevel="1">
      <c r="B372" t="str">
        <f t="shared" si="48"/>
        <v>e-methanol - Conversion CO2 -&gt; MeOH - Global - ton CO2/ton MeOH</v>
      </c>
      <c r="C372" t="s">
        <v>1381</v>
      </c>
      <c r="D372" t="s">
        <v>1384</v>
      </c>
      <c r="E372" t="s">
        <v>708</v>
      </c>
      <c r="F372" t="s">
        <v>1385</v>
      </c>
      <c r="G372" s="487" t="str">
        <f t="shared" si="42"/>
        <v>e-methanolGlobalConversion CO2 -&gt; MeOH</v>
      </c>
      <c r="H372" s="508">
        <v>1.3735097684289368</v>
      </c>
      <c r="I372" s="508">
        <v>1.3735097684289368</v>
      </c>
      <c r="J372" s="508">
        <v>1.3735097684289368</v>
      </c>
      <c r="K372" s="508">
        <v>1.3735097684289368</v>
      </c>
      <c r="L372" s="508">
        <v>1.3735097684289368</v>
      </c>
      <c r="M372" s="508">
        <v>1.3735097684289368</v>
      </c>
      <c r="N372" s="508">
        <v>1.3735097684289368</v>
      </c>
      <c r="O372" s="508">
        <v>1.3735097684289368</v>
      </c>
      <c r="P372" s="508">
        <v>1.3735097684289368</v>
      </c>
      <c r="Q372" s="508">
        <v>1.3735097684289368</v>
      </c>
      <c r="R372" s="508">
        <v>1.3735097684289368</v>
      </c>
      <c r="S372" s="508">
        <v>1.3735097684289368</v>
      </c>
      <c r="T372" s="508">
        <v>1.3735097684289368</v>
      </c>
      <c r="U372" s="508">
        <v>1.3735097684289368</v>
      </c>
      <c r="V372" s="508">
        <v>1.3735097684289368</v>
      </c>
      <c r="W372" s="508">
        <v>1.3735097684289368</v>
      </c>
      <c r="X372" s="508">
        <v>1.3735097684289368</v>
      </c>
      <c r="Y372" s="508">
        <v>1.3735097684289368</v>
      </c>
      <c r="Z372" s="508">
        <v>1.3735097684289368</v>
      </c>
      <c r="AA372" s="508">
        <v>1.3735097684289368</v>
      </c>
      <c r="AB372" s="508">
        <v>1.3735097684289368</v>
      </c>
      <c r="AC372" s="508">
        <v>1.3735097684289368</v>
      </c>
      <c r="AD372" s="508">
        <v>1.3735097684289368</v>
      </c>
      <c r="AE372" s="508">
        <v>1.3735097684289368</v>
      </c>
      <c r="AF372" s="508">
        <v>1.3735097684289368</v>
      </c>
      <c r="AG372" s="508">
        <v>1.3735097684289368</v>
      </c>
      <c r="AH372" s="508">
        <v>1.3735097684289368</v>
      </c>
      <c r="AI372" s="508">
        <v>1.3735097684289368</v>
      </c>
    </row>
    <row r="373" spans="2:35" outlineLevel="1">
      <c r="B373" t="str">
        <f t="shared" si="48"/>
        <v/>
      </c>
      <c r="G373" s="487" t="str">
        <f t="shared" si="42"/>
        <v/>
      </c>
      <c r="H373" s="493"/>
      <c r="I373" s="493"/>
      <c r="J373" s="493"/>
      <c r="K373" s="493"/>
      <c r="L373" s="493"/>
      <c r="M373" s="493"/>
      <c r="N373" s="493"/>
      <c r="O373" s="493"/>
      <c r="P373" s="493"/>
      <c r="Q373" s="493"/>
      <c r="R373" s="493"/>
      <c r="S373" s="493"/>
      <c r="T373" s="493"/>
      <c r="U373" s="493"/>
      <c r="V373" s="493"/>
      <c r="W373" s="493"/>
      <c r="X373" s="493"/>
      <c r="Y373" s="493"/>
      <c r="Z373" s="493"/>
      <c r="AA373" s="493"/>
      <c r="AB373" s="493"/>
      <c r="AC373" s="493"/>
      <c r="AD373" s="493"/>
      <c r="AE373" s="493"/>
      <c r="AF373" s="493"/>
      <c r="AG373" s="493"/>
      <c r="AH373" s="493"/>
      <c r="AI373" s="493"/>
    </row>
    <row r="374" spans="2:35" ht="15" outlineLevel="1">
      <c r="B374" t="str">
        <f t="shared" si="48"/>
        <v>e-methanol (DAC) - Finance cost including feedstock finance cost - Africa - USD/ton fuel</v>
      </c>
      <c r="C374" s="494" t="str">
        <f>C357</f>
        <v>e-methanol (DAC)</v>
      </c>
      <c r="D374" s="494" t="s">
        <v>1365</v>
      </c>
      <c r="E374" s="494" t="s">
        <v>838</v>
      </c>
      <c r="F374" s="494" t="s">
        <v>1353</v>
      </c>
      <c r="G374" s="487" t="str">
        <f t="shared" si="42"/>
        <v>e-methanol (DAC)AfricaFinance cost including feedstock finance cost</v>
      </c>
      <c r="H374" s="495">
        <v>312.97029769342851</v>
      </c>
      <c r="I374" s="495">
        <v>300.19927788798054</v>
      </c>
      <c r="J374" s="495">
        <v>287.35052031507087</v>
      </c>
      <c r="K374" s="495">
        <v>276.25882278781972</v>
      </c>
      <c r="L374" s="495">
        <v>265.02270583528565</v>
      </c>
      <c r="M374" s="495">
        <v>253.64216945747069</v>
      </c>
      <c r="N374" s="495">
        <v>242.11721365437586</v>
      </c>
      <c r="O374" s="495">
        <v>230.44783842599804</v>
      </c>
      <c r="P374" s="495">
        <v>227.76080893935108</v>
      </c>
      <c r="Q374" s="495">
        <v>224.736978515424</v>
      </c>
      <c r="R374" s="495">
        <v>221.37634715421547</v>
      </c>
      <c r="S374" s="495">
        <v>217.67891485572494</v>
      </c>
      <c r="T374" s="495">
        <v>213.64468161995418</v>
      </c>
      <c r="U374" s="495">
        <v>209.28532434237238</v>
      </c>
      <c r="V374" s="495">
        <v>204.64798919912459</v>
      </c>
      <c r="W374" s="495">
        <v>199.73267619021416</v>
      </c>
      <c r="X374" s="495">
        <v>194.53938531563722</v>
      </c>
      <c r="Y374" s="495">
        <v>189.06811657539299</v>
      </c>
      <c r="Z374" s="495">
        <v>182.50132776293566</v>
      </c>
      <c r="AA374" s="495">
        <v>175.72478914338501</v>
      </c>
      <c r="AB374" s="495">
        <v>168.73850071674372</v>
      </c>
      <c r="AC374" s="495">
        <v>161.54246248301015</v>
      </c>
      <c r="AD374" s="495">
        <v>154.13667444218419</v>
      </c>
      <c r="AE374" s="495">
        <v>146.63056732563095</v>
      </c>
      <c r="AF374" s="495">
        <v>138.99326270129728</v>
      </c>
      <c r="AG374" s="495">
        <v>131.22476056918262</v>
      </c>
      <c r="AH374" s="495">
        <v>123.3250609292872</v>
      </c>
      <c r="AI374" s="495">
        <v>115.29416378161142</v>
      </c>
    </row>
    <row r="375" spans="2:35" ht="15" outlineLevel="1">
      <c r="B375" t="str">
        <f t="shared" si="48"/>
        <v>e-methanol (DAC) - Finance cost including feedstock finance cost - Americas - USD/ton fuel</v>
      </c>
      <c r="C375" s="22" t="str">
        <f>C357</f>
        <v>e-methanol (DAC)</v>
      </c>
      <c r="D375" s="22" t="s">
        <v>1365</v>
      </c>
      <c r="E375" s="22" t="s">
        <v>731</v>
      </c>
      <c r="F375" s="22" t="s">
        <v>1353</v>
      </c>
      <c r="G375" s="487" t="str">
        <f t="shared" si="42"/>
        <v>e-methanol (DAC)AmericasFinance cost including feedstock finance cost</v>
      </c>
      <c r="H375" s="496">
        <v>312.97029769342851</v>
      </c>
      <c r="I375" s="496">
        <v>300.19927788798054</v>
      </c>
      <c r="J375" s="496">
        <v>287.35052031507087</v>
      </c>
      <c r="K375" s="496">
        <v>276.25882278781972</v>
      </c>
      <c r="L375" s="496">
        <v>265.02270583528565</v>
      </c>
      <c r="M375" s="496">
        <v>253.64216945747069</v>
      </c>
      <c r="N375" s="496">
        <v>242.11721365437586</v>
      </c>
      <c r="O375" s="496">
        <v>230.44783842599804</v>
      </c>
      <c r="P375" s="496">
        <v>227.76080893935108</v>
      </c>
      <c r="Q375" s="496">
        <v>224.736978515424</v>
      </c>
      <c r="R375" s="496">
        <v>221.37634715421547</v>
      </c>
      <c r="S375" s="496">
        <v>217.67891485572494</v>
      </c>
      <c r="T375" s="496">
        <v>213.64468161995418</v>
      </c>
      <c r="U375" s="496">
        <v>209.28532434237238</v>
      </c>
      <c r="V375" s="496">
        <v>204.64798919912459</v>
      </c>
      <c r="W375" s="496">
        <v>199.73267619021416</v>
      </c>
      <c r="X375" s="496">
        <v>194.53938531563722</v>
      </c>
      <c r="Y375" s="496">
        <v>189.06811657539299</v>
      </c>
      <c r="Z375" s="496">
        <v>182.50132776293566</v>
      </c>
      <c r="AA375" s="496">
        <v>175.72478914338501</v>
      </c>
      <c r="AB375" s="496">
        <v>168.73850071674372</v>
      </c>
      <c r="AC375" s="496">
        <v>161.54246248301015</v>
      </c>
      <c r="AD375" s="496">
        <v>154.13667444218419</v>
      </c>
      <c r="AE375" s="496">
        <v>146.63056732563095</v>
      </c>
      <c r="AF375" s="496">
        <v>138.99326270129728</v>
      </c>
      <c r="AG375" s="496">
        <v>131.22476056918262</v>
      </c>
      <c r="AH375" s="496">
        <v>123.3250609292872</v>
      </c>
      <c r="AI375" s="496">
        <v>115.29416378161142</v>
      </c>
    </row>
    <row r="376" spans="2:35" ht="15" outlineLevel="1">
      <c r="B376" t="str">
        <f t="shared" si="48"/>
        <v>e-methanol (DAC) - Finance cost including feedstock finance cost - Asia - USD/ton fuel</v>
      </c>
      <c r="C376" s="22" t="str">
        <f>C357</f>
        <v>e-methanol (DAC)</v>
      </c>
      <c r="D376" s="22" t="s">
        <v>1365</v>
      </c>
      <c r="E376" s="22" t="s">
        <v>750</v>
      </c>
      <c r="F376" s="22" t="s">
        <v>1353</v>
      </c>
      <c r="G376" s="487" t="str">
        <f t="shared" si="42"/>
        <v>e-methanol (DAC)AsiaFinance cost including feedstock finance cost</v>
      </c>
      <c r="H376" s="496">
        <v>312.97029769342851</v>
      </c>
      <c r="I376" s="496">
        <v>300.19927788798054</v>
      </c>
      <c r="J376" s="496">
        <v>287.35052031507087</v>
      </c>
      <c r="K376" s="496">
        <v>276.25882278781972</v>
      </c>
      <c r="L376" s="496">
        <v>265.02270583528565</v>
      </c>
      <c r="M376" s="496">
        <v>253.64216945747069</v>
      </c>
      <c r="N376" s="496">
        <v>242.11721365437586</v>
      </c>
      <c r="O376" s="496">
        <v>230.44783842599804</v>
      </c>
      <c r="P376" s="496">
        <v>227.76080893935108</v>
      </c>
      <c r="Q376" s="496">
        <v>224.736978515424</v>
      </c>
      <c r="R376" s="496">
        <v>221.37634715421547</v>
      </c>
      <c r="S376" s="496">
        <v>217.67891485572494</v>
      </c>
      <c r="T376" s="496">
        <v>213.64468161995418</v>
      </c>
      <c r="U376" s="496">
        <v>209.28532434237238</v>
      </c>
      <c r="V376" s="496">
        <v>204.64798919912459</v>
      </c>
      <c r="W376" s="496">
        <v>199.73267619021416</v>
      </c>
      <c r="X376" s="496">
        <v>194.53938531563722</v>
      </c>
      <c r="Y376" s="496">
        <v>189.06811657539299</v>
      </c>
      <c r="Z376" s="496">
        <v>182.50132776293566</v>
      </c>
      <c r="AA376" s="496">
        <v>175.72478914338501</v>
      </c>
      <c r="AB376" s="496">
        <v>168.73850071674372</v>
      </c>
      <c r="AC376" s="496">
        <v>161.54246248301015</v>
      </c>
      <c r="AD376" s="496">
        <v>154.13667444218419</v>
      </c>
      <c r="AE376" s="496">
        <v>146.63056732563095</v>
      </c>
      <c r="AF376" s="496">
        <v>138.99326270129728</v>
      </c>
      <c r="AG376" s="496">
        <v>131.22476056918262</v>
      </c>
      <c r="AH376" s="496">
        <v>123.3250609292872</v>
      </c>
      <c r="AI376" s="496">
        <v>115.29416378161142</v>
      </c>
    </row>
    <row r="377" spans="2:35" ht="15" outlineLevel="1">
      <c r="B377" t="str">
        <f t="shared" si="48"/>
        <v>e-methanol (DAC) - Finance cost including feedstock finance cost - Europe - USD/ton fuel</v>
      </c>
      <c r="C377" s="22" t="str">
        <f>C357</f>
        <v>e-methanol (DAC)</v>
      </c>
      <c r="D377" s="22" t="s">
        <v>1365</v>
      </c>
      <c r="E377" s="22" t="s">
        <v>720</v>
      </c>
      <c r="F377" s="22" t="s">
        <v>1353</v>
      </c>
      <c r="G377" s="487" t="str">
        <f t="shared" si="42"/>
        <v>e-methanol (DAC)EuropeFinance cost including feedstock finance cost</v>
      </c>
      <c r="H377" s="496">
        <v>312.97029769342851</v>
      </c>
      <c r="I377" s="496">
        <v>300.19927788798054</v>
      </c>
      <c r="J377" s="496">
        <v>287.35052031507087</v>
      </c>
      <c r="K377" s="496">
        <v>276.25882278781972</v>
      </c>
      <c r="L377" s="496">
        <v>265.02270583528565</v>
      </c>
      <c r="M377" s="496">
        <v>253.64216945747069</v>
      </c>
      <c r="N377" s="496">
        <v>242.11721365437586</v>
      </c>
      <c r="O377" s="496">
        <v>230.44783842599804</v>
      </c>
      <c r="P377" s="496">
        <v>227.76080893935108</v>
      </c>
      <c r="Q377" s="496">
        <v>224.736978515424</v>
      </c>
      <c r="R377" s="496">
        <v>221.37634715421547</v>
      </c>
      <c r="S377" s="496">
        <v>217.67891485572494</v>
      </c>
      <c r="T377" s="496">
        <v>213.64468161995418</v>
      </c>
      <c r="U377" s="496">
        <v>209.28532434237238</v>
      </c>
      <c r="V377" s="496">
        <v>204.64798919912459</v>
      </c>
      <c r="W377" s="496">
        <v>199.73267619021416</v>
      </c>
      <c r="X377" s="496">
        <v>194.53938531563722</v>
      </c>
      <c r="Y377" s="496">
        <v>189.06811657539299</v>
      </c>
      <c r="Z377" s="496">
        <v>182.50132776293566</v>
      </c>
      <c r="AA377" s="496">
        <v>175.72478914338501</v>
      </c>
      <c r="AB377" s="496">
        <v>168.73850071674372</v>
      </c>
      <c r="AC377" s="496">
        <v>161.54246248301015</v>
      </c>
      <c r="AD377" s="496">
        <v>154.13667444218419</v>
      </c>
      <c r="AE377" s="496">
        <v>146.63056732563095</v>
      </c>
      <c r="AF377" s="496">
        <v>138.99326270129728</v>
      </c>
      <c r="AG377" s="496">
        <v>131.22476056918262</v>
      </c>
      <c r="AH377" s="496">
        <v>123.3250609292872</v>
      </c>
      <c r="AI377" s="496">
        <v>115.29416378161142</v>
      </c>
    </row>
    <row r="378" spans="2:35" ht="15" outlineLevel="1">
      <c r="B378" t="str">
        <f t="shared" si="48"/>
        <v>e-methanol (DAC) - Finance cost including feedstock finance cost - Middle East - USD/ton fuel</v>
      </c>
      <c r="C378" s="92" t="str">
        <f>C357</f>
        <v>e-methanol (DAC)</v>
      </c>
      <c r="D378" s="92" t="s">
        <v>1365</v>
      </c>
      <c r="E378" s="92" t="s">
        <v>826</v>
      </c>
      <c r="F378" s="92" t="s">
        <v>1353</v>
      </c>
      <c r="G378" s="487" t="str">
        <f t="shared" si="42"/>
        <v>e-methanol (DAC)Middle EastFinance cost including feedstock finance cost</v>
      </c>
      <c r="H378" s="497">
        <v>312.97029769342851</v>
      </c>
      <c r="I378" s="497">
        <v>300.19927788798054</v>
      </c>
      <c r="J378" s="497">
        <v>287.35052031507087</v>
      </c>
      <c r="K378" s="497">
        <v>276.25882278781972</v>
      </c>
      <c r="L378" s="497">
        <v>265.02270583528565</v>
      </c>
      <c r="M378" s="497">
        <v>253.64216945747069</v>
      </c>
      <c r="N378" s="497">
        <v>242.11721365437586</v>
      </c>
      <c r="O378" s="497">
        <v>230.44783842599804</v>
      </c>
      <c r="P378" s="497">
        <v>227.76080893935108</v>
      </c>
      <c r="Q378" s="497">
        <v>224.736978515424</v>
      </c>
      <c r="R378" s="497">
        <v>221.37634715421547</v>
      </c>
      <c r="S378" s="497">
        <v>217.67891485572494</v>
      </c>
      <c r="T378" s="497">
        <v>213.64468161995418</v>
      </c>
      <c r="U378" s="497">
        <v>209.28532434237238</v>
      </c>
      <c r="V378" s="497">
        <v>204.64798919912459</v>
      </c>
      <c r="W378" s="497">
        <v>199.73267619021416</v>
      </c>
      <c r="X378" s="497">
        <v>194.53938531563722</v>
      </c>
      <c r="Y378" s="497">
        <v>189.06811657539299</v>
      </c>
      <c r="Z378" s="497">
        <v>182.50132776293566</v>
      </c>
      <c r="AA378" s="497">
        <v>175.72478914338501</v>
      </c>
      <c r="AB378" s="497">
        <v>168.73850071674372</v>
      </c>
      <c r="AC378" s="497">
        <v>161.54246248301015</v>
      </c>
      <c r="AD378" s="497">
        <v>154.13667444218419</v>
      </c>
      <c r="AE378" s="497">
        <v>146.63056732563095</v>
      </c>
      <c r="AF378" s="497">
        <v>138.99326270129728</v>
      </c>
      <c r="AG378" s="497">
        <v>131.22476056918262</v>
      </c>
      <c r="AH378" s="497">
        <v>123.3250609292872</v>
      </c>
      <c r="AI378" s="497">
        <v>115.29416378161142</v>
      </c>
    </row>
    <row r="379" spans="2:35" outlineLevel="1">
      <c r="B379" t="str">
        <f t="shared" si="48"/>
        <v>e-methanol (DAC) - Finance cost - Africa - USD/ton fuel</v>
      </c>
      <c r="C379" t="str">
        <f>C353</f>
        <v>e-methanol (DAC)</v>
      </c>
      <c r="D379" t="s">
        <v>1366</v>
      </c>
      <c r="E379" t="s">
        <v>838</v>
      </c>
      <c r="F379" t="s">
        <v>1353</v>
      </c>
      <c r="G379" s="487" t="str">
        <f t="shared" si="42"/>
        <v>e-methanol (DAC)AfricaFinance cost</v>
      </c>
      <c r="H379" s="493">
        <v>163.90000000000003</v>
      </c>
      <c r="I379" s="493">
        <v>156.20000000000002</v>
      </c>
      <c r="J379" s="493">
        <v>148.50000000000003</v>
      </c>
      <c r="K379" s="493">
        <v>140.80000000000001</v>
      </c>
      <c r="L379" s="493">
        <v>133.10000000000002</v>
      </c>
      <c r="M379" s="493">
        <v>125.40000000000002</v>
      </c>
      <c r="N379" s="493">
        <v>117.70000000000002</v>
      </c>
      <c r="O379" s="493">
        <v>110.00000000000001</v>
      </c>
      <c r="P379" s="493">
        <v>107.52500000000002</v>
      </c>
      <c r="Q379" s="493">
        <v>105.05000000000001</v>
      </c>
      <c r="R379" s="493">
        <v>102.57500000000002</v>
      </c>
      <c r="S379" s="493">
        <v>100.10000000000001</v>
      </c>
      <c r="T379" s="493">
        <v>97.625000000000014</v>
      </c>
      <c r="U379" s="493">
        <v>95.15</v>
      </c>
      <c r="V379" s="493">
        <v>92.675000000000011</v>
      </c>
      <c r="W379" s="493">
        <v>90.200000000000017</v>
      </c>
      <c r="X379" s="493">
        <v>87.725000000000009</v>
      </c>
      <c r="Y379" s="493">
        <v>85.250000000000014</v>
      </c>
      <c r="Z379" s="493">
        <v>81.950000000000017</v>
      </c>
      <c r="AA379" s="493">
        <v>78.650000000000006</v>
      </c>
      <c r="AB379" s="493">
        <v>75.350000000000009</v>
      </c>
      <c r="AC379" s="493">
        <v>72.050000000000011</v>
      </c>
      <c r="AD379" s="493">
        <v>68.750000000000014</v>
      </c>
      <c r="AE379" s="493">
        <v>65.45</v>
      </c>
      <c r="AF379" s="493">
        <v>62.150000000000006</v>
      </c>
      <c r="AG379" s="493">
        <v>58.850000000000009</v>
      </c>
      <c r="AH379" s="493">
        <v>55.550000000000004</v>
      </c>
      <c r="AI379" s="493">
        <v>52.250000000000007</v>
      </c>
    </row>
    <row r="380" spans="2:35" outlineLevel="1">
      <c r="B380" t="str">
        <f t="shared" si="48"/>
        <v>e-methanol (DAC) - Finance cost - Americas - USD/ton fuel</v>
      </c>
      <c r="C380" t="str">
        <f>C353</f>
        <v>e-methanol (DAC)</v>
      </c>
      <c r="D380" t="s">
        <v>1366</v>
      </c>
      <c r="E380" t="s">
        <v>731</v>
      </c>
      <c r="F380" t="s">
        <v>1353</v>
      </c>
      <c r="G380" s="487" t="str">
        <f t="shared" si="42"/>
        <v>e-methanol (DAC)AmericasFinance cost</v>
      </c>
      <c r="H380" s="493">
        <v>163.90000000000003</v>
      </c>
      <c r="I380" s="493">
        <v>156.20000000000002</v>
      </c>
      <c r="J380" s="493">
        <v>148.50000000000003</v>
      </c>
      <c r="K380" s="493">
        <v>140.80000000000001</v>
      </c>
      <c r="L380" s="493">
        <v>133.10000000000002</v>
      </c>
      <c r="M380" s="493">
        <v>125.40000000000002</v>
      </c>
      <c r="N380" s="493">
        <v>117.70000000000002</v>
      </c>
      <c r="O380" s="493">
        <v>110.00000000000001</v>
      </c>
      <c r="P380" s="493">
        <v>107.52500000000002</v>
      </c>
      <c r="Q380" s="493">
        <v>105.05000000000001</v>
      </c>
      <c r="R380" s="493">
        <v>102.57500000000002</v>
      </c>
      <c r="S380" s="493">
        <v>100.10000000000001</v>
      </c>
      <c r="T380" s="493">
        <v>97.625000000000014</v>
      </c>
      <c r="U380" s="493">
        <v>95.15</v>
      </c>
      <c r="V380" s="493">
        <v>92.675000000000011</v>
      </c>
      <c r="W380" s="493">
        <v>90.200000000000017</v>
      </c>
      <c r="X380" s="493">
        <v>87.725000000000009</v>
      </c>
      <c r="Y380" s="493">
        <v>85.250000000000014</v>
      </c>
      <c r="Z380" s="493">
        <v>81.950000000000017</v>
      </c>
      <c r="AA380" s="493">
        <v>78.650000000000006</v>
      </c>
      <c r="AB380" s="493">
        <v>75.350000000000009</v>
      </c>
      <c r="AC380" s="493">
        <v>72.050000000000011</v>
      </c>
      <c r="AD380" s="493">
        <v>68.750000000000014</v>
      </c>
      <c r="AE380" s="493">
        <v>65.45</v>
      </c>
      <c r="AF380" s="493">
        <v>62.150000000000006</v>
      </c>
      <c r="AG380" s="493">
        <v>58.850000000000009</v>
      </c>
      <c r="AH380" s="493">
        <v>55.550000000000004</v>
      </c>
      <c r="AI380" s="493">
        <v>52.250000000000007</v>
      </c>
    </row>
    <row r="381" spans="2:35" outlineLevel="1">
      <c r="B381" t="str">
        <f t="shared" si="48"/>
        <v>e-methanol (DAC) - Finance cost - Asia - USD/ton fuel</v>
      </c>
      <c r="C381" t="str">
        <f>C353</f>
        <v>e-methanol (DAC)</v>
      </c>
      <c r="D381" t="s">
        <v>1366</v>
      </c>
      <c r="E381" t="s">
        <v>750</v>
      </c>
      <c r="F381" t="s">
        <v>1353</v>
      </c>
      <c r="G381" s="487" t="str">
        <f t="shared" si="42"/>
        <v>e-methanol (DAC)AsiaFinance cost</v>
      </c>
      <c r="H381" s="493">
        <v>163.90000000000003</v>
      </c>
      <c r="I381" s="493">
        <v>156.20000000000002</v>
      </c>
      <c r="J381" s="493">
        <v>148.50000000000003</v>
      </c>
      <c r="K381" s="493">
        <v>140.80000000000001</v>
      </c>
      <c r="L381" s="493">
        <v>133.10000000000002</v>
      </c>
      <c r="M381" s="493">
        <v>125.40000000000002</v>
      </c>
      <c r="N381" s="493">
        <v>117.70000000000002</v>
      </c>
      <c r="O381" s="493">
        <v>110.00000000000001</v>
      </c>
      <c r="P381" s="493">
        <v>107.52500000000002</v>
      </c>
      <c r="Q381" s="493">
        <v>105.05000000000001</v>
      </c>
      <c r="R381" s="493">
        <v>102.57500000000002</v>
      </c>
      <c r="S381" s="493">
        <v>100.10000000000001</v>
      </c>
      <c r="T381" s="493">
        <v>97.625000000000014</v>
      </c>
      <c r="U381" s="493">
        <v>95.15</v>
      </c>
      <c r="V381" s="493">
        <v>92.675000000000011</v>
      </c>
      <c r="W381" s="493">
        <v>90.200000000000017</v>
      </c>
      <c r="X381" s="493">
        <v>87.725000000000009</v>
      </c>
      <c r="Y381" s="493">
        <v>85.250000000000014</v>
      </c>
      <c r="Z381" s="493">
        <v>81.950000000000017</v>
      </c>
      <c r="AA381" s="493">
        <v>78.650000000000006</v>
      </c>
      <c r="AB381" s="493">
        <v>75.350000000000009</v>
      </c>
      <c r="AC381" s="493">
        <v>72.050000000000011</v>
      </c>
      <c r="AD381" s="493">
        <v>68.750000000000014</v>
      </c>
      <c r="AE381" s="493">
        <v>65.45</v>
      </c>
      <c r="AF381" s="493">
        <v>62.150000000000006</v>
      </c>
      <c r="AG381" s="493">
        <v>58.850000000000009</v>
      </c>
      <c r="AH381" s="493">
        <v>55.550000000000004</v>
      </c>
      <c r="AI381" s="493">
        <v>52.250000000000007</v>
      </c>
    </row>
    <row r="382" spans="2:35" outlineLevel="1">
      <c r="B382" t="str">
        <f t="shared" si="48"/>
        <v>e-methanol (DAC) - Finance cost - Europe - USD/ton fuel</v>
      </c>
      <c r="C382" t="str">
        <f>C353</f>
        <v>e-methanol (DAC)</v>
      </c>
      <c r="D382" t="s">
        <v>1366</v>
      </c>
      <c r="E382" t="s">
        <v>720</v>
      </c>
      <c r="F382" t="s">
        <v>1353</v>
      </c>
      <c r="G382" s="487" t="str">
        <f t="shared" si="42"/>
        <v>e-methanol (DAC)EuropeFinance cost</v>
      </c>
      <c r="H382" s="493">
        <v>163.90000000000003</v>
      </c>
      <c r="I382" s="493">
        <v>156.20000000000002</v>
      </c>
      <c r="J382" s="493">
        <v>148.50000000000003</v>
      </c>
      <c r="K382" s="493">
        <v>140.80000000000001</v>
      </c>
      <c r="L382" s="493">
        <v>133.10000000000002</v>
      </c>
      <c r="M382" s="493">
        <v>125.40000000000002</v>
      </c>
      <c r="N382" s="493">
        <v>117.70000000000002</v>
      </c>
      <c r="O382" s="493">
        <v>110.00000000000001</v>
      </c>
      <c r="P382" s="493">
        <v>107.52500000000002</v>
      </c>
      <c r="Q382" s="493">
        <v>105.05000000000001</v>
      </c>
      <c r="R382" s="493">
        <v>102.57500000000002</v>
      </c>
      <c r="S382" s="493">
        <v>100.10000000000001</v>
      </c>
      <c r="T382" s="493">
        <v>97.625000000000014</v>
      </c>
      <c r="U382" s="493">
        <v>95.15</v>
      </c>
      <c r="V382" s="493">
        <v>92.675000000000011</v>
      </c>
      <c r="W382" s="493">
        <v>90.200000000000017</v>
      </c>
      <c r="X382" s="493">
        <v>87.725000000000009</v>
      </c>
      <c r="Y382" s="493">
        <v>85.250000000000014</v>
      </c>
      <c r="Z382" s="493">
        <v>81.950000000000017</v>
      </c>
      <c r="AA382" s="493">
        <v>78.650000000000006</v>
      </c>
      <c r="AB382" s="493">
        <v>75.350000000000009</v>
      </c>
      <c r="AC382" s="493">
        <v>72.050000000000011</v>
      </c>
      <c r="AD382" s="493">
        <v>68.750000000000014</v>
      </c>
      <c r="AE382" s="493">
        <v>65.45</v>
      </c>
      <c r="AF382" s="493">
        <v>62.150000000000006</v>
      </c>
      <c r="AG382" s="493">
        <v>58.850000000000009</v>
      </c>
      <c r="AH382" s="493">
        <v>55.550000000000004</v>
      </c>
      <c r="AI382" s="493">
        <v>52.250000000000007</v>
      </c>
    </row>
    <row r="383" spans="2:35" outlineLevel="1">
      <c r="B383" t="str">
        <f t="shared" si="48"/>
        <v>e-methanol (DAC) - Finance cost - Middle East - USD/ton fuel</v>
      </c>
      <c r="C383" t="str">
        <f>C353</f>
        <v>e-methanol (DAC)</v>
      </c>
      <c r="D383" t="s">
        <v>1366</v>
      </c>
      <c r="E383" t="s">
        <v>826</v>
      </c>
      <c r="F383" t="s">
        <v>1353</v>
      </c>
      <c r="G383" s="487" t="str">
        <f t="shared" si="42"/>
        <v>e-methanol (DAC)Middle EastFinance cost</v>
      </c>
      <c r="H383" s="493">
        <v>163.90000000000003</v>
      </c>
      <c r="I383" s="493">
        <v>156.20000000000002</v>
      </c>
      <c r="J383" s="493">
        <v>148.50000000000003</v>
      </c>
      <c r="K383" s="493">
        <v>140.80000000000001</v>
      </c>
      <c r="L383" s="493">
        <v>133.10000000000002</v>
      </c>
      <c r="M383" s="493">
        <v>125.40000000000002</v>
      </c>
      <c r="N383" s="493">
        <v>117.70000000000002</v>
      </c>
      <c r="O383" s="493">
        <v>110.00000000000001</v>
      </c>
      <c r="P383" s="493">
        <v>107.52500000000002</v>
      </c>
      <c r="Q383" s="493">
        <v>105.05000000000001</v>
      </c>
      <c r="R383" s="493">
        <v>102.57500000000002</v>
      </c>
      <c r="S383" s="493">
        <v>100.10000000000001</v>
      </c>
      <c r="T383" s="493">
        <v>97.625000000000014</v>
      </c>
      <c r="U383" s="493">
        <v>95.15</v>
      </c>
      <c r="V383" s="493">
        <v>92.675000000000011</v>
      </c>
      <c r="W383" s="493">
        <v>90.200000000000017</v>
      </c>
      <c r="X383" s="493">
        <v>87.725000000000009</v>
      </c>
      <c r="Y383" s="493">
        <v>85.250000000000014</v>
      </c>
      <c r="Z383" s="493">
        <v>81.950000000000017</v>
      </c>
      <c r="AA383" s="493">
        <v>78.650000000000006</v>
      </c>
      <c r="AB383" s="493">
        <v>75.350000000000009</v>
      </c>
      <c r="AC383" s="493">
        <v>72.050000000000011</v>
      </c>
      <c r="AD383" s="493">
        <v>68.750000000000014</v>
      </c>
      <c r="AE383" s="493">
        <v>65.45</v>
      </c>
      <c r="AF383" s="493">
        <v>62.150000000000006</v>
      </c>
      <c r="AG383" s="493">
        <v>58.850000000000009</v>
      </c>
      <c r="AH383" s="493">
        <v>55.550000000000004</v>
      </c>
      <c r="AI383" s="493">
        <v>52.250000000000007</v>
      </c>
    </row>
    <row r="384" spans="2:35" outlineLevel="1">
      <c r="B384" t="str">
        <f t="shared" si="48"/>
        <v>e-hydrogen (compressed) - Finance cost including feedstock finance cost - Africa - USD/ton fuel</v>
      </c>
      <c r="C384" t="s">
        <v>722</v>
      </c>
      <c r="D384" t="s">
        <v>1365</v>
      </c>
      <c r="E384" t="s">
        <v>838</v>
      </c>
      <c r="F384" t="s">
        <v>1353</v>
      </c>
      <c r="G384" s="487" t="str">
        <f t="shared" si="42"/>
        <v>e-hydrogen (compressed)AfricaFinance cost including feedstock finance cost</v>
      </c>
      <c r="H384" s="507">
        <v>423.4664833247287</v>
      </c>
      <c r="I384" s="507">
        <v>407.9080597487058</v>
      </c>
      <c r="J384" s="507">
        <v>391.93778538812398</v>
      </c>
      <c r="K384" s="507">
        <v>383.67894989578463</v>
      </c>
      <c r="L384" s="507">
        <v>374.65498754747659</v>
      </c>
      <c r="M384" s="507">
        <v>364.86589834320779</v>
      </c>
      <c r="N384" s="507">
        <v>354.31168228298088</v>
      </c>
      <c r="O384" s="507">
        <v>342.99233936678479</v>
      </c>
      <c r="P384" s="507">
        <v>350.20750340232428</v>
      </c>
      <c r="Q384" s="507">
        <v>355.6383130013013</v>
      </c>
      <c r="R384" s="507">
        <v>359.28476816371159</v>
      </c>
      <c r="S384" s="507">
        <v>361.14686888954691</v>
      </c>
      <c r="T384" s="507">
        <v>361.22461517882164</v>
      </c>
      <c r="U384" s="507">
        <v>358.40192634457429</v>
      </c>
      <c r="V384" s="507">
        <v>354.10652475046084</v>
      </c>
      <c r="W384" s="507">
        <v>348.33841039649622</v>
      </c>
      <c r="X384" s="507">
        <v>341.09758328266571</v>
      </c>
      <c r="Y384" s="507">
        <v>332.38404340896386</v>
      </c>
      <c r="Z384" s="507">
        <v>321.22576094613464</v>
      </c>
      <c r="AA384" s="507">
        <v>308.95623454830633</v>
      </c>
      <c r="AB384" s="507">
        <v>295.57546421549114</v>
      </c>
      <c r="AC384" s="507">
        <v>281.08344994768112</v>
      </c>
      <c r="AD384" s="507">
        <v>265.48019174487365</v>
      </c>
      <c r="AE384" s="507">
        <v>248.55741402200647</v>
      </c>
      <c r="AF384" s="507">
        <v>230.93955849750063</v>
      </c>
      <c r="AG384" s="507">
        <v>212.62662517135635</v>
      </c>
      <c r="AH384" s="507">
        <v>193.61861404357347</v>
      </c>
      <c r="AI384" s="507">
        <v>173.9155251141523</v>
      </c>
    </row>
    <row r="385" spans="2:35" outlineLevel="1">
      <c r="B385" t="str">
        <f t="shared" si="48"/>
        <v>e-hydrogen (compressed) - Finance cost including feedstock finance cost - Americas - USD/ton fuel</v>
      </c>
      <c r="C385" t="s">
        <v>722</v>
      </c>
      <c r="D385" t="s">
        <v>1365</v>
      </c>
      <c r="E385" t="s">
        <v>731</v>
      </c>
      <c r="F385" t="s">
        <v>1353</v>
      </c>
      <c r="G385" s="487" t="str">
        <f t="shared" si="42"/>
        <v>e-hydrogen (compressed)AmericasFinance cost including feedstock finance cost</v>
      </c>
      <c r="H385" s="507">
        <v>423.4664833247287</v>
      </c>
      <c r="I385" s="507">
        <v>407.9080597487058</v>
      </c>
      <c r="J385" s="507">
        <v>391.93778538812398</v>
      </c>
      <c r="K385" s="507">
        <v>383.67894989578463</v>
      </c>
      <c r="L385" s="507">
        <v>374.65498754747659</v>
      </c>
      <c r="M385" s="507">
        <v>364.86589834320779</v>
      </c>
      <c r="N385" s="507">
        <v>354.31168228298088</v>
      </c>
      <c r="O385" s="507">
        <v>342.99233936678479</v>
      </c>
      <c r="P385" s="507">
        <v>350.20750340232428</v>
      </c>
      <c r="Q385" s="507">
        <v>355.6383130013013</v>
      </c>
      <c r="R385" s="507">
        <v>359.28476816371159</v>
      </c>
      <c r="S385" s="507">
        <v>361.14686888954691</v>
      </c>
      <c r="T385" s="507">
        <v>361.22461517882164</v>
      </c>
      <c r="U385" s="507">
        <v>358.40192634457429</v>
      </c>
      <c r="V385" s="507">
        <v>354.10652475046084</v>
      </c>
      <c r="W385" s="507">
        <v>348.33841039649622</v>
      </c>
      <c r="X385" s="507">
        <v>341.09758328266571</v>
      </c>
      <c r="Y385" s="507">
        <v>332.38404340896386</v>
      </c>
      <c r="Z385" s="507">
        <v>321.22576094613464</v>
      </c>
      <c r="AA385" s="507">
        <v>308.95623454830633</v>
      </c>
      <c r="AB385" s="507">
        <v>295.57546421549114</v>
      </c>
      <c r="AC385" s="507">
        <v>281.08344994768112</v>
      </c>
      <c r="AD385" s="507">
        <v>265.48019174487365</v>
      </c>
      <c r="AE385" s="507">
        <v>248.55741402200647</v>
      </c>
      <c r="AF385" s="507">
        <v>230.93955849750063</v>
      </c>
      <c r="AG385" s="507">
        <v>212.62662517135635</v>
      </c>
      <c r="AH385" s="507">
        <v>193.61861404357347</v>
      </c>
      <c r="AI385" s="507">
        <v>173.9155251141523</v>
      </c>
    </row>
    <row r="386" spans="2:35" outlineLevel="1">
      <c r="B386" t="str">
        <f t="shared" si="48"/>
        <v>e-hydrogen (compressed) - Finance cost including feedstock finance cost - Asia - USD/ton fuel</v>
      </c>
      <c r="C386" t="s">
        <v>722</v>
      </c>
      <c r="D386" t="s">
        <v>1365</v>
      </c>
      <c r="E386" t="s">
        <v>750</v>
      </c>
      <c r="F386" t="s">
        <v>1353</v>
      </c>
      <c r="G386" s="487" t="str">
        <f t="shared" si="42"/>
        <v>e-hydrogen (compressed)AsiaFinance cost including feedstock finance cost</v>
      </c>
      <c r="H386" s="507">
        <v>423.4664833247287</v>
      </c>
      <c r="I386" s="507">
        <v>407.9080597487058</v>
      </c>
      <c r="J386" s="507">
        <v>391.93778538812398</v>
      </c>
      <c r="K386" s="507">
        <v>383.67894989578463</v>
      </c>
      <c r="L386" s="507">
        <v>374.65498754747659</v>
      </c>
      <c r="M386" s="507">
        <v>364.86589834320779</v>
      </c>
      <c r="N386" s="507">
        <v>354.31168228298088</v>
      </c>
      <c r="O386" s="507">
        <v>342.99233936678479</v>
      </c>
      <c r="P386" s="507">
        <v>350.20750340232428</v>
      </c>
      <c r="Q386" s="507">
        <v>355.6383130013013</v>
      </c>
      <c r="R386" s="507">
        <v>359.28476816371159</v>
      </c>
      <c r="S386" s="507">
        <v>361.14686888954691</v>
      </c>
      <c r="T386" s="507">
        <v>361.22461517882164</v>
      </c>
      <c r="U386" s="507">
        <v>358.40192634457429</v>
      </c>
      <c r="V386" s="507">
        <v>354.10652475046084</v>
      </c>
      <c r="W386" s="507">
        <v>348.33841039649622</v>
      </c>
      <c r="X386" s="507">
        <v>341.09758328266571</v>
      </c>
      <c r="Y386" s="507">
        <v>332.38404340896386</v>
      </c>
      <c r="Z386" s="507">
        <v>321.22576094613464</v>
      </c>
      <c r="AA386" s="507">
        <v>308.95623454830633</v>
      </c>
      <c r="AB386" s="507">
        <v>295.57546421549114</v>
      </c>
      <c r="AC386" s="507">
        <v>281.08344994768112</v>
      </c>
      <c r="AD386" s="507">
        <v>265.48019174487365</v>
      </c>
      <c r="AE386" s="507">
        <v>248.55741402200647</v>
      </c>
      <c r="AF386" s="507">
        <v>230.93955849750063</v>
      </c>
      <c r="AG386" s="507">
        <v>212.62662517135635</v>
      </c>
      <c r="AH386" s="507">
        <v>193.61861404357347</v>
      </c>
      <c r="AI386" s="507">
        <v>173.9155251141523</v>
      </c>
    </row>
    <row r="387" spans="2:35" outlineLevel="1">
      <c r="B387" t="str">
        <f t="shared" si="48"/>
        <v>e-hydrogen (compressed) - Finance cost including feedstock finance cost - Europe - USD/ton fuel</v>
      </c>
      <c r="C387" t="s">
        <v>722</v>
      </c>
      <c r="D387" t="s">
        <v>1365</v>
      </c>
      <c r="E387" t="s">
        <v>720</v>
      </c>
      <c r="F387" t="s">
        <v>1353</v>
      </c>
      <c r="G387" s="487" t="str">
        <f t="shared" si="42"/>
        <v>e-hydrogen (compressed)EuropeFinance cost including feedstock finance cost</v>
      </c>
      <c r="H387" s="507">
        <v>423.4664833247287</v>
      </c>
      <c r="I387" s="507">
        <v>407.9080597487058</v>
      </c>
      <c r="J387" s="507">
        <v>391.93778538812398</v>
      </c>
      <c r="K387" s="507">
        <v>383.67894989578463</v>
      </c>
      <c r="L387" s="507">
        <v>374.65498754747659</v>
      </c>
      <c r="M387" s="507">
        <v>364.86589834320779</v>
      </c>
      <c r="N387" s="507">
        <v>354.31168228298088</v>
      </c>
      <c r="O387" s="507">
        <v>342.99233936678479</v>
      </c>
      <c r="P387" s="507">
        <v>350.20750340232428</v>
      </c>
      <c r="Q387" s="507">
        <v>355.6383130013013</v>
      </c>
      <c r="R387" s="507">
        <v>359.28476816371159</v>
      </c>
      <c r="S387" s="507">
        <v>361.14686888954691</v>
      </c>
      <c r="T387" s="507">
        <v>361.22461517882164</v>
      </c>
      <c r="U387" s="507">
        <v>358.40192634457429</v>
      </c>
      <c r="V387" s="507">
        <v>354.10652475046084</v>
      </c>
      <c r="W387" s="507">
        <v>348.33841039649622</v>
      </c>
      <c r="X387" s="507">
        <v>341.09758328266571</v>
      </c>
      <c r="Y387" s="507">
        <v>332.38404340896386</v>
      </c>
      <c r="Z387" s="507">
        <v>321.22576094613464</v>
      </c>
      <c r="AA387" s="507">
        <v>308.95623454830633</v>
      </c>
      <c r="AB387" s="507">
        <v>295.57546421549114</v>
      </c>
      <c r="AC387" s="507">
        <v>281.08344994768112</v>
      </c>
      <c r="AD387" s="507">
        <v>265.48019174487365</v>
      </c>
      <c r="AE387" s="507">
        <v>248.55741402200647</v>
      </c>
      <c r="AF387" s="507">
        <v>230.93955849750063</v>
      </c>
      <c r="AG387" s="507">
        <v>212.62662517135635</v>
      </c>
      <c r="AH387" s="507">
        <v>193.61861404357347</v>
      </c>
      <c r="AI387" s="507">
        <v>173.9155251141523</v>
      </c>
    </row>
    <row r="388" spans="2:35" outlineLevel="1">
      <c r="B388" t="str">
        <f t="shared" si="48"/>
        <v>e-hydrogen (compressed) - Finance cost including feedstock finance cost - Middle East - USD/ton fuel</v>
      </c>
      <c r="C388" t="s">
        <v>722</v>
      </c>
      <c r="D388" t="s">
        <v>1365</v>
      </c>
      <c r="E388" t="s">
        <v>826</v>
      </c>
      <c r="F388" t="s">
        <v>1353</v>
      </c>
      <c r="G388" s="487" t="str">
        <f t="shared" si="42"/>
        <v>e-hydrogen (compressed)Middle EastFinance cost including feedstock finance cost</v>
      </c>
      <c r="H388" s="507">
        <v>423.4664833247287</v>
      </c>
      <c r="I388" s="507">
        <v>407.9080597487058</v>
      </c>
      <c r="J388" s="507">
        <v>391.93778538812398</v>
      </c>
      <c r="K388" s="507">
        <v>383.67894989578463</v>
      </c>
      <c r="L388" s="507">
        <v>374.65498754747659</v>
      </c>
      <c r="M388" s="507">
        <v>364.86589834320779</v>
      </c>
      <c r="N388" s="507">
        <v>354.31168228298088</v>
      </c>
      <c r="O388" s="507">
        <v>342.99233936678479</v>
      </c>
      <c r="P388" s="507">
        <v>350.20750340232428</v>
      </c>
      <c r="Q388" s="507">
        <v>355.6383130013013</v>
      </c>
      <c r="R388" s="507">
        <v>359.28476816371159</v>
      </c>
      <c r="S388" s="507">
        <v>361.14686888954691</v>
      </c>
      <c r="T388" s="507">
        <v>361.22461517882164</v>
      </c>
      <c r="U388" s="507">
        <v>358.40192634457429</v>
      </c>
      <c r="V388" s="507">
        <v>354.10652475046084</v>
      </c>
      <c r="W388" s="507">
        <v>348.33841039649622</v>
      </c>
      <c r="X388" s="507">
        <v>341.09758328266571</v>
      </c>
      <c r="Y388" s="507">
        <v>332.38404340896386</v>
      </c>
      <c r="Z388" s="507">
        <v>321.22576094613464</v>
      </c>
      <c r="AA388" s="507">
        <v>308.95623454830633</v>
      </c>
      <c r="AB388" s="507">
        <v>295.57546421549114</v>
      </c>
      <c r="AC388" s="507">
        <v>281.08344994768112</v>
      </c>
      <c r="AD388" s="507">
        <v>265.48019174487365</v>
      </c>
      <c r="AE388" s="507">
        <v>248.55741402200647</v>
      </c>
      <c r="AF388" s="507">
        <v>230.93955849750063</v>
      </c>
      <c r="AG388" s="507">
        <v>212.62662517135635</v>
      </c>
      <c r="AH388" s="507">
        <v>193.61861404357347</v>
      </c>
      <c r="AI388" s="507">
        <v>173.9155251141523</v>
      </c>
    </row>
    <row r="389" spans="2:35" outlineLevel="1">
      <c r="B389" t="str">
        <f t="shared" si="48"/>
        <v>Carbon dioxide (DAC) - Finance cost - Africa - USD/ton fuel</v>
      </c>
      <c r="C389" t="s">
        <v>1379</v>
      </c>
      <c r="D389" t="s">
        <v>1366</v>
      </c>
      <c r="E389" t="s">
        <v>838</v>
      </c>
      <c r="F389" t="s">
        <v>1353</v>
      </c>
      <c r="G389" s="487" t="str">
        <f t="shared" si="42"/>
        <v>Carbon dioxide (DAC)AfricaFinance cost</v>
      </c>
      <c r="H389" s="493">
        <v>50.338222848099875</v>
      </c>
      <c r="I389" s="493">
        <v>48.784297130799828</v>
      </c>
      <c r="J389" s="493">
        <v>47.230371413499782</v>
      </c>
      <c r="K389" s="493">
        <v>45.895962526644261</v>
      </c>
      <c r="L389" s="493">
        <v>44.561553639788329</v>
      </c>
      <c r="M389" s="493">
        <v>43.227144752932404</v>
      </c>
      <c r="N389" s="493">
        <v>41.892735866076876</v>
      </c>
      <c r="O389" s="493">
        <v>40.558326979220951</v>
      </c>
      <c r="P389" s="493">
        <v>39.412424663881616</v>
      </c>
      <c r="Q389" s="493">
        <v>38.266522348542281</v>
      </c>
      <c r="R389" s="493">
        <v>37.120620033202542</v>
      </c>
      <c r="S389" s="493">
        <v>35.974717717863207</v>
      </c>
      <c r="T389" s="493">
        <v>34.828815402523475</v>
      </c>
      <c r="U389" s="493">
        <v>33.844790094212918</v>
      </c>
      <c r="V389" s="493">
        <v>32.860764785902361</v>
      </c>
      <c r="W389" s="493">
        <v>31.876739477592203</v>
      </c>
      <c r="X389" s="493">
        <v>30.89271416928165</v>
      </c>
      <c r="Y389" s="493">
        <v>29.908688860970891</v>
      </c>
      <c r="Z389" s="493">
        <v>29.063672846574921</v>
      </c>
      <c r="AA389" s="493">
        <v>28.218656832178752</v>
      </c>
      <c r="AB389" s="493">
        <v>27.373640817782583</v>
      </c>
      <c r="AC389" s="493">
        <v>26.528624803386414</v>
      </c>
      <c r="AD389" s="493">
        <v>25.683608788990444</v>
      </c>
      <c r="AE389" s="493">
        <v>24.946887031192276</v>
      </c>
      <c r="AF389" s="493">
        <v>24.210165273394306</v>
      </c>
      <c r="AG389" s="493">
        <v>23.473443515596138</v>
      </c>
      <c r="AH389" s="493">
        <v>22.736721757797969</v>
      </c>
      <c r="AI389" s="493">
        <v>22.000000000000004</v>
      </c>
    </row>
    <row r="390" spans="2:35" outlineLevel="1">
      <c r="B390" t="str">
        <f t="shared" si="48"/>
        <v>Carbon dioxide (DAC) - Finance cost - Americas - USD/ton fuel</v>
      </c>
      <c r="C390" t="s">
        <v>1379</v>
      </c>
      <c r="D390" t="s">
        <v>1366</v>
      </c>
      <c r="E390" t="s">
        <v>731</v>
      </c>
      <c r="F390" t="s">
        <v>1353</v>
      </c>
      <c r="G390" s="487" t="str">
        <f t="shared" si="42"/>
        <v>Carbon dioxide (DAC)AmericasFinance cost</v>
      </c>
      <c r="H390" s="493">
        <v>50.338222848099875</v>
      </c>
      <c r="I390" s="493">
        <v>48.784297130799828</v>
      </c>
      <c r="J390" s="493">
        <v>47.230371413499782</v>
      </c>
      <c r="K390" s="493">
        <v>45.895962526644261</v>
      </c>
      <c r="L390" s="493">
        <v>44.561553639788329</v>
      </c>
      <c r="M390" s="493">
        <v>43.227144752932404</v>
      </c>
      <c r="N390" s="493">
        <v>41.892735866076876</v>
      </c>
      <c r="O390" s="493">
        <v>40.558326979220951</v>
      </c>
      <c r="P390" s="493">
        <v>39.412424663881616</v>
      </c>
      <c r="Q390" s="493">
        <v>38.266522348542281</v>
      </c>
      <c r="R390" s="493">
        <v>37.120620033202542</v>
      </c>
      <c r="S390" s="493">
        <v>35.974717717863207</v>
      </c>
      <c r="T390" s="493">
        <v>34.828815402523475</v>
      </c>
      <c r="U390" s="493">
        <v>33.844790094212918</v>
      </c>
      <c r="V390" s="493">
        <v>32.860764785902361</v>
      </c>
      <c r="W390" s="493">
        <v>31.876739477592203</v>
      </c>
      <c r="X390" s="493">
        <v>30.89271416928165</v>
      </c>
      <c r="Y390" s="493">
        <v>29.908688860970891</v>
      </c>
      <c r="Z390" s="493">
        <v>29.063672846574921</v>
      </c>
      <c r="AA390" s="493">
        <v>28.218656832178752</v>
      </c>
      <c r="AB390" s="493">
        <v>27.373640817782583</v>
      </c>
      <c r="AC390" s="493">
        <v>26.528624803386414</v>
      </c>
      <c r="AD390" s="493">
        <v>25.683608788990444</v>
      </c>
      <c r="AE390" s="493">
        <v>24.946887031192276</v>
      </c>
      <c r="AF390" s="493">
        <v>24.210165273394306</v>
      </c>
      <c r="AG390" s="493">
        <v>23.473443515596138</v>
      </c>
      <c r="AH390" s="493">
        <v>22.736721757797969</v>
      </c>
      <c r="AI390" s="493">
        <v>22.000000000000004</v>
      </c>
    </row>
    <row r="391" spans="2:35" outlineLevel="1">
      <c r="B391" t="str">
        <f t="shared" si="48"/>
        <v>Carbon dioxide (DAC) - Finance cost - Asia - USD/ton fuel</v>
      </c>
      <c r="C391" t="s">
        <v>1379</v>
      </c>
      <c r="D391" t="s">
        <v>1366</v>
      </c>
      <c r="E391" t="s">
        <v>750</v>
      </c>
      <c r="F391" t="s">
        <v>1353</v>
      </c>
      <c r="G391" s="487" t="str">
        <f t="shared" si="42"/>
        <v>Carbon dioxide (DAC)AsiaFinance cost</v>
      </c>
      <c r="H391" s="493">
        <v>50.338222848099875</v>
      </c>
      <c r="I391" s="493">
        <v>48.784297130799828</v>
      </c>
      <c r="J391" s="493">
        <v>47.230371413499782</v>
      </c>
      <c r="K391" s="493">
        <v>45.895962526644261</v>
      </c>
      <c r="L391" s="493">
        <v>44.561553639788329</v>
      </c>
      <c r="M391" s="493">
        <v>43.227144752932404</v>
      </c>
      <c r="N391" s="493">
        <v>41.892735866076876</v>
      </c>
      <c r="O391" s="493">
        <v>40.558326979220951</v>
      </c>
      <c r="P391" s="493">
        <v>39.412424663881616</v>
      </c>
      <c r="Q391" s="493">
        <v>38.266522348542281</v>
      </c>
      <c r="R391" s="493">
        <v>37.120620033202542</v>
      </c>
      <c r="S391" s="493">
        <v>35.974717717863207</v>
      </c>
      <c r="T391" s="493">
        <v>34.828815402523475</v>
      </c>
      <c r="U391" s="493">
        <v>33.844790094212918</v>
      </c>
      <c r="V391" s="493">
        <v>32.860764785902361</v>
      </c>
      <c r="W391" s="493">
        <v>31.876739477592203</v>
      </c>
      <c r="X391" s="493">
        <v>30.89271416928165</v>
      </c>
      <c r="Y391" s="493">
        <v>29.908688860970891</v>
      </c>
      <c r="Z391" s="493">
        <v>29.063672846574921</v>
      </c>
      <c r="AA391" s="493">
        <v>28.218656832178752</v>
      </c>
      <c r="AB391" s="493">
        <v>27.373640817782583</v>
      </c>
      <c r="AC391" s="493">
        <v>26.528624803386414</v>
      </c>
      <c r="AD391" s="493">
        <v>25.683608788990444</v>
      </c>
      <c r="AE391" s="493">
        <v>24.946887031192276</v>
      </c>
      <c r="AF391" s="493">
        <v>24.210165273394306</v>
      </c>
      <c r="AG391" s="493">
        <v>23.473443515596138</v>
      </c>
      <c r="AH391" s="493">
        <v>22.736721757797969</v>
      </c>
      <c r="AI391" s="493">
        <v>22.000000000000004</v>
      </c>
    </row>
    <row r="392" spans="2:35" outlineLevel="1">
      <c r="B392" t="str">
        <f t="shared" si="48"/>
        <v>Carbon dioxide (DAC) - Finance cost - Europe - USD/ton fuel</v>
      </c>
      <c r="C392" t="s">
        <v>1379</v>
      </c>
      <c r="D392" t="s">
        <v>1366</v>
      </c>
      <c r="E392" t="s">
        <v>720</v>
      </c>
      <c r="F392" t="s">
        <v>1353</v>
      </c>
      <c r="G392" s="487" t="str">
        <f t="shared" ref="G392:G455" si="49">+C392&amp;E392&amp;D392</f>
        <v>Carbon dioxide (DAC)EuropeFinance cost</v>
      </c>
      <c r="H392" s="493">
        <v>50.338222848099875</v>
      </c>
      <c r="I392" s="493">
        <v>48.784297130799828</v>
      </c>
      <c r="J392" s="493">
        <v>47.230371413499782</v>
      </c>
      <c r="K392" s="493">
        <v>45.895962526644261</v>
      </c>
      <c r="L392" s="493">
        <v>44.561553639788329</v>
      </c>
      <c r="M392" s="493">
        <v>43.227144752932404</v>
      </c>
      <c r="N392" s="493">
        <v>41.892735866076876</v>
      </c>
      <c r="O392" s="493">
        <v>40.558326979220951</v>
      </c>
      <c r="P392" s="493">
        <v>39.412424663881616</v>
      </c>
      <c r="Q392" s="493">
        <v>38.266522348542281</v>
      </c>
      <c r="R392" s="493">
        <v>37.120620033202542</v>
      </c>
      <c r="S392" s="493">
        <v>35.974717717863207</v>
      </c>
      <c r="T392" s="493">
        <v>34.828815402523475</v>
      </c>
      <c r="U392" s="493">
        <v>33.844790094212918</v>
      </c>
      <c r="V392" s="493">
        <v>32.860764785902361</v>
      </c>
      <c r="W392" s="493">
        <v>31.876739477592203</v>
      </c>
      <c r="X392" s="493">
        <v>30.89271416928165</v>
      </c>
      <c r="Y392" s="493">
        <v>29.908688860970891</v>
      </c>
      <c r="Z392" s="493">
        <v>29.063672846574921</v>
      </c>
      <c r="AA392" s="493">
        <v>28.218656832178752</v>
      </c>
      <c r="AB392" s="493">
        <v>27.373640817782583</v>
      </c>
      <c r="AC392" s="493">
        <v>26.528624803386414</v>
      </c>
      <c r="AD392" s="493">
        <v>25.683608788990444</v>
      </c>
      <c r="AE392" s="493">
        <v>24.946887031192276</v>
      </c>
      <c r="AF392" s="493">
        <v>24.210165273394306</v>
      </c>
      <c r="AG392" s="493">
        <v>23.473443515596138</v>
      </c>
      <c r="AH392" s="493">
        <v>22.736721757797969</v>
      </c>
      <c r="AI392" s="493">
        <v>22.000000000000004</v>
      </c>
    </row>
    <row r="393" spans="2:35" outlineLevel="1">
      <c r="B393" t="str">
        <f t="shared" si="48"/>
        <v>Carbon dioxide (DAC) - Finance cost - Middle East - USD/ton fuel</v>
      </c>
      <c r="C393" t="s">
        <v>1379</v>
      </c>
      <c r="D393" t="s">
        <v>1366</v>
      </c>
      <c r="E393" t="s">
        <v>826</v>
      </c>
      <c r="F393" t="s">
        <v>1353</v>
      </c>
      <c r="G393" s="487" t="str">
        <f t="shared" si="49"/>
        <v>Carbon dioxide (DAC)Middle EastFinance cost</v>
      </c>
      <c r="H393" s="493">
        <v>50.338222848099875</v>
      </c>
      <c r="I393" s="493">
        <v>48.784297130799828</v>
      </c>
      <c r="J393" s="493">
        <v>47.230371413499782</v>
      </c>
      <c r="K393" s="493">
        <v>45.895962526644261</v>
      </c>
      <c r="L393" s="493">
        <v>44.561553639788329</v>
      </c>
      <c r="M393" s="493">
        <v>43.227144752932404</v>
      </c>
      <c r="N393" s="493">
        <v>41.892735866076876</v>
      </c>
      <c r="O393" s="493">
        <v>40.558326979220951</v>
      </c>
      <c r="P393" s="493">
        <v>39.412424663881616</v>
      </c>
      <c r="Q393" s="493">
        <v>38.266522348542281</v>
      </c>
      <c r="R393" s="493">
        <v>37.120620033202542</v>
      </c>
      <c r="S393" s="493">
        <v>35.974717717863207</v>
      </c>
      <c r="T393" s="493">
        <v>34.828815402523475</v>
      </c>
      <c r="U393" s="493">
        <v>33.844790094212918</v>
      </c>
      <c r="V393" s="493">
        <v>32.860764785902361</v>
      </c>
      <c r="W393" s="493">
        <v>31.876739477592203</v>
      </c>
      <c r="X393" s="493">
        <v>30.89271416928165</v>
      </c>
      <c r="Y393" s="493">
        <v>29.908688860970891</v>
      </c>
      <c r="Z393" s="493">
        <v>29.063672846574921</v>
      </c>
      <c r="AA393" s="493">
        <v>28.218656832178752</v>
      </c>
      <c r="AB393" s="493">
        <v>27.373640817782583</v>
      </c>
      <c r="AC393" s="493">
        <v>26.528624803386414</v>
      </c>
      <c r="AD393" s="493">
        <v>25.683608788990444</v>
      </c>
      <c r="AE393" s="493">
        <v>24.946887031192276</v>
      </c>
      <c r="AF393" s="493">
        <v>24.210165273394306</v>
      </c>
      <c r="AG393" s="493">
        <v>23.473443515596138</v>
      </c>
      <c r="AH393" s="493">
        <v>22.736721757797969</v>
      </c>
      <c r="AI393" s="493">
        <v>22.000000000000004</v>
      </c>
    </row>
    <row r="394" spans="2:35" outlineLevel="1">
      <c r="B394" t="str">
        <f t="shared" si="48"/>
        <v>e-methanol - Conversion H2 -&gt; MeOH - Global - ton H2/ton MeOH</v>
      </c>
      <c r="C394" t="s">
        <v>1381</v>
      </c>
      <c r="D394" t="s">
        <v>1382</v>
      </c>
      <c r="E394" t="s">
        <v>708</v>
      </c>
      <c r="F394" t="s">
        <v>1383</v>
      </c>
      <c r="G394" s="487" t="str">
        <f t="shared" si="49"/>
        <v>e-methanolGlobalConversion H2 -&gt; MeOH</v>
      </c>
      <c r="H394" s="508">
        <v>0.18875226265526496</v>
      </c>
      <c r="I394" s="508">
        <v>0.18875226265526496</v>
      </c>
      <c r="J394" s="508">
        <v>0.18875226265526496</v>
      </c>
      <c r="K394" s="508">
        <v>0.18875226265526496</v>
      </c>
      <c r="L394" s="508">
        <v>0.18875226265526496</v>
      </c>
      <c r="M394" s="508">
        <v>0.18875226265526496</v>
      </c>
      <c r="N394" s="508">
        <v>0.18875226265526496</v>
      </c>
      <c r="O394" s="508">
        <v>0.18875226265526496</v>
      </c>
      <c r="P394" s="508">
        <v>0.18875226265526496</v>
      </c>
      <c r="Q394" s="508">
        <v>0.18875226265526496</v>
      </c>
      <c r="R394" s="508">
        <v>0.18875226265526496</v>
      </c>
      <c r="S394" s="508">
        <v>0.18875226265526496</v>
      </c>
      <c r="T394" s="508">
        <v>0.18875226265526496</v>
      </c>
      <c r="U394" s="508">
        <v>0.18875226265526496</v>
      </c>
      <c r="V394" s="508">
        <v>0.18875226265526496</v>
      </c>
      <c r="W394" s="508">
        <v>0.18875226265526496</v>
      </c>
      <c r="X394" s="508">
        <v>0.18875226265526496</v>
      </c>
      <c r="Y394" s="508">
        <v>0.18875226265526496</v>
      </c>
      <c r="Z394" s="508">
        <v>0.18875226265526496</v>
      </c>
      <c r="AA394" s="508">
        <v>0.18875226265526496</v>
      </c>
      <c r="AB394" s="508">
        <v>0.18875226265526496</v>
      </c>
      <c r="AC394" s="508">
        <v>0.18875226265526496</v>
      </c>
      <c r="AD394" s="508">
        <v>0.18875226265526496</v>
      </c>
      <c r="AE394" s="508">
        <v>0.18875226265526496</v>
      </c>
      <c r="AF394" s="508">
        <v>0.18875226265526496</v>
      </c>
      <c r="AG394" s="508">
        <v>0.18875226265526496</v>
      </c>
      <c r="AH394" s="508">
        <v>0.18875226265526496</v>
      </c>
      <c r="AI394" s="508">
        <v>0.18875226265526496</v>
      </c>
    </row>
    <row r="395" spans="2:35" outlineLevel="1">
      <c r="B395" t="str">
        <f t="shared" si="48"/>
        <v>e-methanol - Conversion CO2 -&gt; MeOH - Global - ton CO2/ton MeOH</v>
      </c>
      <c r="C395" t="s">
        <v>1381</v>
      </c>
      <c r="D395" t="s">
        <v>1384</v>
      </c>
      <c r="E395" t="s">
        <v>708</v>
      </c>
      <c r="F395" t="s">
        <v>1385</v>
      </c>
      <c r="G395" s="487" t="str">
        <f t="shared" si="49"/>
        <v>e-methanolGlobalConversion CO2 -&gt; MeOH</v>
      </c>
      <c r="H395" s="508">
        <v>1.3735097684289368</v>
      </c>
      <c r="I395" s="508">
        <v>1.3735097684289368</v>
      </c>
      <c r="J395" s="508">
        <v>1.3735097684289368</v>
      </c>
      <c r="K395" s="508">
        <v>1.3735097684289368</v>
      </c>
      <c r="L395" s="508">
        <v>1.3735097684289368</v>
      </c>
      <c r="M395" s="508">
        <v>1.3735097684289368</v>
      </c>
      <c r="N395" s="508">
        <v>1.3735097684289368</v>
      </c>
      <c r="O395" s="508">
        <v>1.3735097684289368</v>
      </c>
      <c r="P395" s="508">
        <v>1.3735097684289368</v>
      </c>
      <c r="Q395" s="508">
        <v>1.3735097684289368</v>
      </c>
      <c r="R395" s="508">
        <v>1.3735097684289368</v>
      </c>
      <c r="S395" s="508">
        <v>1.3735097684289368</v>
      </c>
      <c r="T395" s="508">
        <v>1.3735097684289368</v>
      </c>
      <c r="U395" s="508">
        <v>1.3735097684289368</v>
      </c>
      <c r="V395" s="508">
        <v>1.3735097684289368</v>
      </c>
      <c r="W395" s="508">
        <v>1.3735097684289368</v>
      </c>
      <c r="X395" s="508">
        <v>1.3735097684289368</v>
      </c>
      <c r="Y395" s="508">
        <v>1.3735097684289368</v>
      </c>
      <c r="Z395" s="508">
        <v>1.3735097684289368</v>
      </c>
      <c r="AA395" s="508">
        <v>1.3735097684289368</v>
      </c>
      <c r="AB395" s="508">
        <v>1.3735097684289368</v>
      </c>
      <c r="AC395" s="508">
        <v>1.3735097684289368</v>
      </c>
      <c r="AD395" s="508">
        <v>1.3735097684289368</v>
      </c>
      <c r="AE395" s="508">
        <v>1.3735097684289368</v>
      </c>
      <c r="AF395" s="508">
        <v>1.3735097684289368</v>
      </c>
      <c r="AG395" s="508">
        <v>1.3735097684289368</v>
      </c>
      <c r="AH395" s="508">
        <v>1.3735097684289368</v>
      </c>
      <c r="AI395" s="508">
        <v>1.3735097684289368</v>
      </c>
    </row>
    <row r="396" spans="2:35" ht="14.25" customHeight="1" outlineLevel="1">
      <c r="B396" t="str">
        <f t="shared" si="48"/>
        <v/>
      </c>
      <c r="G396" s="487" t="str">
        <f t="shared" si="49"/>
        <v/>
      </c>
      <c r="H396" s="498"/>
    </row>
    <row r="397" spans="2:35" ht="15" outlineLevel="1">
      <c r="B397" t="str">
        <f t="shared" si="48"/>
        <v>e-methanol (DAC) - Energy cost including feedstock energy cost - Africa - USD/ton fuel</v>
      </c>
      <c r="C397" s="494" t="str">
        <f>C353</f>
        <v>e-methanol (DAC)</v>
      </c>
      <c r="D397" s="494" t="s">
        <v>1367</v>
      </c>
      <c r="E397" s="494" t="s">
        <v>838</v>
      </c>
      <c r="F397" s="494" t="s">
        <v>1353</v>
      </c>
      <c r="G397" s="487" t="str">
        <f t="shared" si="49"/>
        <v>e-methanol (DAC)AfricaEnergy cost including feedstock energy cost</v>
      </c>
      <c r="H397" s="495">
        <v>926.69386747496424</v>
      </c>
      <c r="I397" s="495">
        <v>814.51652104079471</v>
      </c>
      <c r="J397" s="495">
        <v>703.14333493406514</v>
      </c>
      <c r="K397" s="495">
        <v>670.05278130987745</v>
      </c>
      <c r="L397" s="495">
        <v>637.09293992225935</v>
      </c>
      <c r="M397" s="495">
        <v>604.28321202018287</v>
      </c>
      <c r="N397" s="495">
        <v>571.64299885262631</v>
      </c>
      <c r="O397" s="495">
        <v>539.1917016685702</v>
      </c>
      <c r="P397" s="495">
        <v>518.99230921195601</v>
      </c>
      <c r="Q397" s="495">
        <v>498.92453459490548</v>
      </c>
      <c r="R397" s="495">
        <v>478.99882782906491</v>
      </c>
      <c r="S397" s="495">
        <v>459.22563892610259</v>
      </c>
      <c r="T397" s="495">
        <v>439.61541789768279</v>
      </c>
      <c r="U397" s="495">
        <v>428.52699389243321</v>
      </c>
      <c r="V397" s="495">
        <v>417.49952516561166</v>
      </c>
      <c r="W397" s="495">
        <v>406.53642159573292</v>
      </c>
      <c r="X397" s="495">
        <v>395.64109306129535</v>
      </c>
      <c r="Y397" s="495">
        <v>384.81694944081374</v>
      </c>
      <c r="Z397" s="495">
        <v>373.29274370325766</v>
      </c>
      <c r="AA397" s="495">
        <v>361.96590776917731</v>
      </c>
      <c r="AB397" s="495">
        <v>350.83444763353623</v>
      </c>
      <c r="AC397" s="495">
        <v>339.89636929129597</v>
      </c>
      <c r="AD397" s="495">
        <v>329.14967873741597</v>
      </c>
      <c r="AE397" s="495">
        <v>322.54327405206362</v>
      </c>
      <c r="AF397" s="495">
        <v>316.04378845499247</v>
      </c>
      <c r="AG397" s="495">
        <v>309.6499654313925</v>
      </c>
      <c r="AH397" s="495">
        <v>303.36054846645948</v>
      </c>
      <c r="AI397" s="495">
        <v>297.17428104538942</v>
      </c>
    </row>
    <row r="398" spans="2:35" ht="15" outlineLevel="1">
      <c r="B398" t="str">
        <f t="shared" si="48"/>
        <v>e-methanol (DAC) - Energy cost including feedstock energy cost - Americas - USD/ton fuel</v>
      </c>
      <c r="C398" s="22" t="str">
        <f>C353</f>
        <v>e-methanol (DAC)</v>
      </c>
      <c r="D398" s="22" t="s">
        <v>1367</v>
      </c>
      <c r="E398" s="22" t="s">
        <v>731</v>
      </c>
      <c r="F398" s="22" t="s">
        <v>1353</v>
      </c>
      <c r="G398" s="487" t="str">
        <f t="shared" si="49"/>
        <v>e-methanol (DAC)AmericasEnergy cost including feedstock energy cost</v>
      </c>
      <c r="H398" s="496">
        <v>582.25554621858805</v>
      </c>
      <c r="I398" s="496">
        <v>567.85610377129558</v>
      </c>
      <c r="J398" s="496">
        <v>553.48513095383123</v>
      </c>
      <c r="K398" s="496">
        <v>530.88905764362141</v>
      </c>
      <c r="L398" s="496">
        <v>508.36338939547147</v>
      </c>
      <c r="M398" s="496">
        <v>485.9211620731586</v>
      </c>
      <c r="N398" s="496">
        <v>463.5754115404776</v>
      </c>
      <c r="O398" s="496">
        <v>441.33917366118715</v>
      </c>
      <c r="P398" s="496">
        <v>428.69624491566884</v>
      </c>
      <c r="Q398" s="496">
        <v>416.1021210133693</v>
      </c>
      <c r="R398" s="496">
        <v>403.56285513109452</v>
      </c>
      <c r="S398" s="496">
        <v>391.08450044565154</v>
      </c>
      <c r="T398" s="496">
        <v>378.67311013385859</v>
      </c>
      <c r="U398" s="496">
        <v>368.1207048586104</v>
      </c>
      <c r="V398" s="496">
        <v>357.6382925637601</v>
      </c>
      <c r="W398" s="496">
        <v>347.22927495104886</v>
      </c>
      <c r="X398" s="496">
        <v>336.89705372220442</v>
      </c>
      <c r="Y398" s="496">
        <v>326.64503057896178</v>
      </c>
      <c r="Z398" s="496">
        <v>320.1621356492148</v>
      </c>
      <c r="AA398" s="496">
        <v>313.77246134416458</v>
      </c>
      <c r="AB398" s="496">
        <v>307.47522830243133</v>
      </c>
      <c r="AC398" s="496">
        <v>301.26965716262328</v>
      </c>
      <c r="AD398" s="496">
        <v>295.15496856335852</v>
      </c>
      <c r="AE398" s="496">
        <v>290.22086449047993</v>
      </c>
      <c r="AF398" s="496">
        <v>285.36306993869141</v>
      </c>
      <c r="AG398" s="496">
        <v>280.58083004090071</v>
      </c>
      <c r="AH398" s="496">
        <v>275.87338993001754</v>
      </c>
      <c r="AI398" s="496">
        <v>271.23999473895157</v>
      </c>
    </row>
    <row r="399" spans="2:35" ht="15" outlineLevel="1">
      <c r="B399" t="str">
        <f t="shared" si="48"/>
        <v>e-methanol (DAC) - Energy cost including feedstock energy cost - Asia - USD/ton fuel</v>
      </c>
      <c r="C399" s="22" t="str">
        <f>C353</f>
        <v>e-methanol (DAC)</v>
      </c>
      <c r="D399" s="22" t="s">
        <v>1367</v>
      </c>
      <c r="E399" s="22" t="s">
        <v>750</v>
      </c>
      <c r="F399" s="22" t="s">
        <v>1353</v>
      </c>
      <c r="G399" s="487" t="str">
        <f t="shared" si="49"/>
        <v>e-methanol (DAC)AsiaEnergy cost including feedstock energy cost</v>
      </c>
      <c r="H399" s="496">
        <v>1030.6762076285063</v>
      </c>
      <c r="I399" s="496">
        <v>936.24539185084791</v>
      </c>
      <c r="J399" s="496">
        <v>842.45108503989661</v>
      </c>
      <c r="K399" s="496">
        <v>806.61347394107725</v>
      </c>
      <c r="L399" s="496">
        <v>770.89662127802546</v>
      </c>
      <c r="M399" s="496">
        <v>735.32130453428567</v>
      </c>
      <c r="N399" s="496">
        <v>699.90830119346049</v>
      </c>
      <c r="O399" s="496">
        <v>664.6783887391299</v>
      </c>
      <c r="P399" s="496">
        <v>638.61883714456656</v>
      </c>
      <c r="Q399" s="496">
        <v>612.73909080812496</v>
      </c>
      <c r="R399" s="496">
        <v>587.05277670724161</v>
      </c>
      <c r="S399" s="496">
        <v>561.57352181934073</v>
      </c>
      <c r="T399" s="496">
        <v>536.31495312188599</v>
      </c>
      <c r="U399" s="496">
        <v>521.40139155326256</v>
      </c>
      <c r="V399" s="496">
        <v>506.58640531732539</v>
      </c>
      <c r="W399" s="496">
        <v>491.87479748356401</v>
      </c>
      <c r="X399" s="496">
        <v>477.27137112143174</v>
      </c>
      <c r="Y399" s="496">
        <v>462.7809293004168</v>
      </c>
      <c r="Z399" s="496">
        <v>447.25596781119486</v>
      </c>
      <c r="AA399" s="496">
        <v>432.00588791094867</v>
      </c>
      <c r="AB399" s="496">
        <v>417.02783047924555</v>
      </c>
      <c r="AC399" s="496">
        <v>402.31893639565129</v>
      </c>
      <c r="AD399" s="496">
        <v>387.87634653973049</v>
      </c>
      <c r="AE399" s="496">
        <v>379.55182470113624</v>
      </c>
      <c r="AF399" s="496">
        <v>371.36395964936929</v>
      </c>
      <c r="AG399" s="496">
        <v>363.31106806299277</v>
      </c>
      <c r="AH399" s="496">
        <v>355.39146662056669</v>
      </c>
      <c r="AI399" s="496">
        <v>347.6034720006511</v>
      </c>
    </row>
    <row r="400" spans="2:35" ht="15" outlineLevel="1">
      <c r="B400" t="str">
        <f t="shared" si="48"/>
        <v>e-methanol (DAC) - Energy cost including feedstock energy cost - Europe - USD/ton fuel</v>
      </c>
      <c r="C400" s="22" t="str">
        <f>C353</f>
        <v>e-methanol (DAC)</v>
      </c>
      <c r="D400" s="22" t="s">
        <v>1367</v>
      </c>
      <c r="E400" s="22" t="s">
        <v>720</v>
      </c>
      <c r="F400" s="22" t="s">
        <v>1353</v>
      </c>
      <c r="G400" s="487" t="str">
        <f t="shared" si="49"/>
        <v>e-methanol (DAC)EuropeEnergy cost including feedstock energy cost</v>
      </c>
      <c r="H400" s="496">
        <v>767.28260787583929</v>
      </c>
      <c r="I400" s="496">
        <v>731.1977139454616</v>
      </c>
      <c r="J400" s="496">
        <v>695.29579566948519</v>
      </c>
      <c r="K400" s="496">
        <v>665.80860765235036</v>
      </c>
      <c r="L400" s="496">
        <v>636.4202329184576</v>
      </c>
      <c r="M400" s="496">
        <v>607.14776102248595</v>
      </c>
      <c r="N400" s="496">
        <v>578.00828151909968</v>
      </c>
      <c r="O400" s="496">
        <v>549.01888396297193</v>
      </c>
      <c r="P400" s="496">
        <v>534.34684523358328</v>
      </c>
      <c r="Q400" s="496">
        <v>519.71953172551036</v>
      </c>
      <c r="R400" s="496">
        <v>505.1437951304959</v>
      </c>
      <c r="S400" s="496">
        <v>490.6264871403007</v>
      </c>
      <c r="T400" s="496">
        <v>476.1744594467018</v>
      </c>
      <c r="U400" s="496">
        <v>466.01191980746114</v>
      </c>
      <c r="V400" s="496">
        <v>455.8831235125125</v>
      </c>
      <c r="W400" s="496">
        <v>445.7909065356726</v>
      </c>
      <c r="X400" s="496">
        <v>435.73810485073585</v>
      </c>
      <c r="Y400" s="496">
        <v>425.72755443151038</v>
      </c>
      <c r="Z400" s="496">
        <v>414.71441192830997</v>
      </c>
      <c r="AA400" s="496">
        <v>403.880514481766</v>
      </c>
      <c r="AB400" s="496">
        <v>393.2241366815183</v>
      </c>
      <c r="AC400" s="496">
        <v>382.7435531171879</v>
      </c>
      <c r="AD400" s="496">
        <v>372.43703837841196</v>
      </c>
      <c r="AE400" s="496">
        <v>364.44410983016928</v>
      </c>
      <c r="AF400" s="496">
        <v>356.58239377892818</v>
      </c>
      <c r="AG400" s="496">
        <v>348.85027399680689</v>
      </c>
      <c r="AH400" s="496">
        <v>341.24613425592077</v>
      </c>
      <c r="AI400" s="496">
        <v>333.76835832838486</v>
      </c>
    </row>
    <row r="401" spans="2:35" ht="15" outlineLevel="1">
      <c r="B401" t="str">
        <f t="shared" si="48"/>
        <v>e-methanol (DAC) - Energy cost including feedstock energy cost - Middle East - USD/ton fuel</v>
      </c>
      <c r="C401" s="92" t="str">
        <f>C353</f>
        <v>e-methanol (DAC)</v>
      </c>
      <c r="D401" s="92" t="s">
        <v>1367</v>
      </c>
      <c r="E401" s="92" t="s">
        <v>826</v>
      </c>
      <c r="F401" s="92" t="s">
        <v>1353</v>
      </c>
      <c r="G401" s="487" t="str">
        <f t="shared" si="49"/>
        <v>e-methanol (DAC)Middle EastEnergy cost including feedstock energy cost</v>
      </c>
      <c r="H401" s="497">
        <v>587.54262492815053</v>
      </c>
      <c r="I401" s="497">
        <v>559.30934439291605</v>
      </c>
      <c r="J401" s="497">
        <v>531.22128988623024</v>
      </c>
      <c r="K401" s="497">
        <v>511.89999819551463</v>
      </c>
      <c r="L401" s="497">
        <v>492.62401119049753</v>
      </c>
      <c r="M401" s="497">
        <v>473.40430766119425</v>
      </c>
      <c r="N401" s="497">
        <v>454.25186639763069</v>
      </c>
      <c r="O401" s="497">
        <v>435.17766618981784</v>
      </c>
      <c r="P401" s="497">
        <v>420.37537018048869</v>
      </c>
      <c r="Q401" s="497">
        <v>405.65657607875698</v>
      </c>
      <c r="R401" s="497">
        <v>391.02875371665868</v>
      </c>
      <c r="S401" s="497">
        <v>376.49937292624452</v>
      </c>
      <c r="T401" s="497">
        <v>362.07590353956704</v>
      </c>
      <c r="U401" s="497">
        <v>353.40015307967565</v>
      </c>
      <c r="V401" s="497">
        <v>344.76662557736324</v>
      </c>
      <c r="W401" s="497">
        <v>336.17791747779125</v>
      </c>
      <c r="X401" s="497">
        <v>327.63662522609837</v>
      </c>
      <c r="Y401" s="497">
        <v>319.14534526744086</v>
      </c>
      <c r="Z401" s="497">
        <v>308.56658703761798</v>
      </c>
      <c r="AA401" s="497">
        <v>298.17451891783094</v>
      </c>
      <c r="AB401" s="497">
        <v>287.96720451857203</v>
      </c>
      <c r="AC401" s="497">
        <v>277.94270745033066</v>
      </c>
      <c r="AD401" s="497">
        <v>268.0990913235965</v>
      </c>
      <c r="AE401" s="497">
        <v>262.34512075302479</v>
      </c>
      <c r="AF401" s="497">
        <v>256.68560863535873</v>
      </c>
      <c r="AG401" s="497">
        <v>251.11939143200692</v>
      </c>
      <c r="AH401" s="497">
        <v>245.64530560438078</v>
      </c>
      <c r="AI401" s="497">
        <v>240.26218761389205</v>
      </c>
    </row>
    <row r="402" spans="2:35" outlineLevel="1">
      <c r="B402" t="str">
        <f t="shared" si="48"/>
        <v>e-methanol (DAC) - Energy cost - Africa - USD/ton fuel</v>
      </c>
      <c r="C402" t="str">
        <f>C353</f>
        <v>e-methanol (DAC)</v>
      </c>
      <c r="D402" t="s">
        <v>1368</v>
      </c>
      <c r="E402" t="s">
        <v>838</v>
      </c>
      <c r="F402" t="s">
        <v>1353</v>
      </c>
      <c r="G402" s="487" t="str">
        <f t="shared" si="49"/>
        <v>e-methanol (DAC)AfricaEnergy cost</v>
      </c>
      <c r="H402" s="493">
        <v>99.26267178187409</v>
      </c>
      <c r="I402" s="493">
        <v>87.606603617621289</v>
      </c>
      <c r="J402" s="493">
        <v>75.950535453365404</v>
      </c>
      <c r="K402" s="493">
        <v>72.701221964566045</v>
      </c>
      <c r="L402" s="493">
        <v>69.451908475766686</v>
      </c>
      <c r="M402" s="493">
        <v>66.202594986967327</v>
      </c>
      <c r="N402" s="493">
        <v>62.953281498167186</v>
      </c>
      <c r="O402" s="493">
        <v>59.703968009367827</v>
      </c>
      <c r="P402" s="493">
        <v>57.890197067325836</v>
      </c>
      <c r="Q402" s="493">
        <v>56.076426125283838</v>
      </c>
      <c r="R402" s="493">
        <v>54.262655183241073</v>
      </c>
      <c r="S402" s="493">
        <v>52.448884241199082</v>
      </c>
      <c r="T402" s="493">
        <v>50.635113299157283</v>
      </c>
      <c r="U402" s="493">
        <v>49.781401120835163</v>
      </c>
      <c r="V402" s="493">
        <v>48.927688942513235</v>
      </c>
      <c r="W402" s="493">
        <v>48.073976764191116</v>
      </c>
      <c r="X402" s="493">
        <v>47.220264585868996</v>
      </c>
      <c r="Y402" s="493">
        <v>46.36655240754726</v>
      </c>
      <c r="Z402" s="493">
        <v>45.488704803888616</v>
      </c>
      <c r="AA402" s="493">
        <v>44.610857200229972</v>
      </c>
      <c r="AB402" s="493">
        <v>43.733009596570945</v>
      </c>
      <c r="AC402" s="493">
        <v>42.855161992912301</v>
      </c>
      <c r="AD402" s="493">
        <v>41.977314389253465</v>
      </c>
      <c r="AE402" s="493">
        <v>41.546443275330866</v>
      </c>
      <c r="AF402" s="493">
        <v>41.115572161408451</v>
      </c>
      <c r="AG402" s="493">
        <v>40.684701047485852</v>
      </c>
      <c r="AH402" s="493">
        <v>40.253829933563246</v>
      </c>
      <c r="AI402" s="493">
        <v>39.822958819640839</v>
      </c>
    </row>
    <row r="403" spans="2:35" outlineLevel="1">
      <c r="B403" t="str">
        <f t="shared" si="48"/>
        <v>e-methanol (DAC) - Energy cost - Americas - USD/ton fuel</v>
      </c>
      <c r="C403" t="str">
        <f>C353</f>
        <v>e-methanol (DAC)</v>
      </c>
      <c r="D403" t="s">
        <v>1368</v>
      </c>
      <c r="E403" t="s">
        <v>731</v>
      </c>
      <c r="F403" t="s">
        <v>1353</v>
      </c>
      <c r="G403" s="487" t="str">
        <f t="shared" si="49"/>
        <v>e-methanol (DAC)AmericasEnergy cost</v>
      </c>
      <c r="H403" s="493">
        <v>62.36821371760395</v>
      </c>
      <c r="I403" s="493">
        <v>61.07665505835346</v>
      </c>
      <c r="J403" s="493">
        <v>59.785096399102578</v>
      </c>
      <c r="K403" s="493">
        <v>57.601855099917429</v>
      </c>
      <c r="L403" s="493">
        <v>55.418613800732281</v>
      </c>
      <c r="M403" s="493">
        <v>53.235372501547133</v>
      </c>
      <c r="N403" s="493">
        <v>51.052131202362759</v>
      </c>
      <c r="O403" s="493">
        <v>48.86888990317761</v>
      </c>
      <c r="P403" s="493">
        <v>47.818261773230411</v>
      </c>
      <c r="Q403" s="493">
        <v>46.767633643283212</v>
      </c>
      <c r="R403" s="493">
        <v>45.717005513336012</v>
      </c>
      <c r="S403" s="493">
        <v>44.666377383388813</v>
      </c>
      <c r="T403" s="493">
        <v>43.615749253441422</v>
      </c>
      <c r="U403" s="493">
        <v>42.764084248216705</v>
      </c>
      <c r="V403" s="493">
        <v>41.91241924299198</v>
      </c>
      <c r="W403" s="493">
        <v>41.060754237767071</v>
      </c>
      <c r="X403" s="493">
        <v>40.209089232542347</v>
      </c>
      <c r="Y403" s="493">
        <v>39.35742422731753</v>
      </c>
      <c r="Z403" s="493">
        <v>39.014315503295393</v>
      </c>
      <c r="AA403" s="493">
        <v>38.671206779273248</v>
      </c>
      <c r="AB403" s="493">
        <v>38.328098055251203</v>
      </c>
      <c r="AC403" s="493">
        <v>37.984989331229066</v>
      </c>
      <c r="AD403" s="493">
        <v>37.641880607206922</v>
      </c>
      <c r="AE403" s="493">
        <v>37.383029360348445</v>
      </c>
      <c r="AF403" s="493">
        <v>37.124178113490061</v>
      </c>
      <c r="AG403" s="493">
        <v>36.865326866631683</v>
      </c>
      <c r="AH403" s="493">
        <v>36.606475619773299</v>
      </c>
      <c r="AI403" s="493">
        <v>36.347624372914915</v>
      </c>
    </row>
    <row r="404" spans="2:35" outlineLevel="1">
      <c r="B404" t="str">
        <f t="shared" si="48"/>
        <v>e-methanol (DAC) - Energy cost - Asia - USD/ton fuel</v>
      </c>
      <c r="C404" t="str">
        <f>C353</f>
        <v>e-methanol (DAC)</v>
      </c>
      <c r="D404" t="s">
        <v>1368</v>
      </c>
      <c r="E404" t="s">
        <v>750</v>
      </c>
      <c r="F404" t="s">
        <v>1353</v>
      </c>
      <c r="G404" s="487" t="str">
        <f t="shared" si="49"/>
        <v>e-methanol (DAC)AsiaEnergy cost</v>
      </c>
      <c r="H404" s="493">
        <v>110.40072423267556</v>
      </c>
      <c r="I404" s="493">
        <v>100.69934349262111</v>
      </c>
      <c r="J404" s="493">
        <v>90.997962752571311</v>
      </c>
      <c r="K404" s="493">
        <v>87.518158038180076</v>
      </c>
      <c r="L404" s="493">
        <v>84.038353323790389</v>
      </c>
      <c r="M404" s="493">
        <v>80.558548609399168</v>
      </c>
      <c r="N404" s="493">
        <v>77.078743895007932</v>
      </c>
      <c r="O404" s="493">
        <v>73.598939180618245</v>
      </c>
      <c r="P404" s="493">
        <v>71.233753712729865</v>
      </c>
      <c r="Q404" s="493">
        <v>68.868568244842251</v>
      </c>
      <c r="R404" s="493">
        <v>66.503382776955405</v>
      </c>
      <c r="S404" s="493">
        <v>64.138197309067792</v>
      </c>
      <c r="T404" s="493">
        <v>61.773011841180185</v>
      </c>
      <c r="U404" s="493">
        <v>60.570494246133691</v>
      </c>
      <c r="V404" s="493">
        <v>59.367976651087197</v>
      </c>
      <c r="W404" s="493">
        <v>58.165459056041094</v>
      </c>
      <c r="X404" s="493">
        <v>56.9629414609946</v>
      </c>
      <c r="Y404" s="493">
        <v>55.76042386594888</v>
      </c>
      <c r="Z404" s="493">
        <v>54.501714899965805</v>
      </c>
      <c r="AA404" s="493">
        <v>53.243005933983113</v>
      </c>
      <c r="AB404" s="493">
        <v>51.984296968000031</v>
      </c>
      <c r="AC404" s="493">
        <v>50.725588002017339</v>
      </c>
      <c r="AD404" s="493">
        <v>49.466879036034264</v>
      </c>
      <c r="AE404" s="493">
        <v>48.889651788084429</v>
      </c>
      <c r="AF404" s="493">
        <v>48.312424540134394</v>
      </c>
      <c r="AG404" s="493">
        <v>47.735197292184559</v>
      </c>
      <c r="AH404" s="493">
        <v>47.157970044234716</v>
      </c>
      <c r="AI404" s="493">
        <v>46.580742796284689</v>
      </c>
    </row>
    <row r="405" spans="2:35" outlineLevel="1">
      <c r="B405" t="str">
        <f t="shared" si="48"/>
        <v>e-methanol (DAC) - Energy cost - Europe - USD/ton fuel</v>
      </c>
      <c r="C405" t="str">
        <f>C353</f>
        <v>e-methanol (DAC)</v>
      </c>
      <c r="D405" t="s">
        <v>1368</v>
      </c>
      <c r="E405" t="s">
        <v>720</v>
      </c>
      <c r="F405" t="s">
        <v>1353</v>
      </c>
      <c r="G405" s="487" t="str">
        <f t="shared" si="49"/>
        <v>e-methanol (DAC)EuropeEnergy cost</v>
      </c>
      <c r="H405" s="493">
        <v>82.187359108187323</v>
      </c>
      <c r="I405" s="493">
        <v>78.645118468410502</v>
      </c>
      <c r="J405" s="493">
        <v>75.102877828633694</v>
      </c>
      <c r="K405" s="493">
        <v>72.240725986131565</v>
      </c>
      <c r="L405" s="493">
        <v>69.378574143628654</v>
      </c>
      <c r="M405" s="493">
        <v>66.516422301126525</v>
      </c>
      <c r="N405" s="493">
        <v>63.654270458623614</v>
      </c>
      <c r="O405" s="493">
        <v>60.792118616121478</v>
      </c>
      <c r="P405" s="493">
        <v>59.602895117744033</v>
      </c>
      <c r="Q405" s="493">
        <v>58.413671619367754</v>
      </c>
      <c r="R405" s="493">
        <v>57.224448120991084</v>
      </c>
      <c r="S405" s="493">
        <v>56.035224622614415</v>
      </c>
      <c r="T405" s="493">
        <v>54.846001124238136</v>
      </c>
      <c r="U405" s="493">
        <v>54.135974250548429</v>
      </c>
      <c r="V405" s="493">
        <v>53.425947376858915</v>
      </c>
      <c r="W405" s="493">
        <v>52.7159205031694</v>
      </c>
      <c r="X405" s="493">
        <v>52.005893629479885</v>
      </c>
      <c r="Y405" s="493">
        <v>51.29586675578998</v>
      </c>
      <c r="Z405" s="493">
        <v>50.536266188772764</v>
      </c>
      <c r="AA405" s="493">
        <v>49.776665621755349</v>
      </c>
      <c r="AB405" s="493">
        <v>49.017065054738133</v>
      </c>
      <c r="AC405" s="493">
        <v>48.257464487720718</v>
      </c>
      <c r="AD405" s="493">
        <v>47.497863920703502</v>
      </c>
      <c r="AE405" s="493">
        <v>46.943643703584165</v>
      </c>
      <c r="AF405" s="493">
        <v>46.389423486464636</v>
      </c>
      <c r="AG405" s="493">
        <v>45.8352032693453</v>
      </c>
      <c r="AH405" s="493">
        <v>45.280983052225963</v>
      </c>
      <c r="AI405" s="493">
        <v>44.726762835106435</v>
      </c>
    </row>
    <row r="406" spans="2:35" outlineLevel="1">
      <c r="B406" t="str">
        <f t="shared" si="48"/>
        <v>e-methanol (DAC) - Energy cost - Middle East - USD/ton fuel</v>
      </c>
      <c r="C406" t="str">
        <f>C353</f>
        <v>e-methanol (DAC)</v>
      </c>
      <c r="D406" t="s">
        <v>1368</v>
      </c>
      <c r="E406" t="s">
        <v>826</v>
      </c>
      <c r="F406" t="s">
        <v>1353</v>
      </c>
      <c r="G406" s="487" t="str">
        <f t="shared" si="49"/>
        <v>e-methanol (DAC)Middle EastEnergy cost</v>
      </c>
      <c r="H406" s="493">
        <v>62.93453834437873</v>
      </c>
      <c r="I406" s="493">
        <v>60.157394930737972</v>
      </c>
      <c r="J406" s="493">
        <v>57.38025151709644</v>
      </c>
      <c r="K406" s="493">
        <v>55.541528116218657</v>
      </c>
      <c r="L406" s="493">
        <v>53.702804715340882</v>
      </c>
      <c r="M406" s="493">
        <v>51.8640813144631</v>
      </c>
      <c r="N406" s="493">
        <v>50.025357913585317</v>
      </c>
      <c r="O406" s="493">
        <v>48.186634512707542</v>
      </c>
      <c r="P406" s="493">
        <v>46.890122628117588</v>
      </c>
      <c r="Q406" s="493">
        <v>45.593610743528025</v>
      </c>
      <c r="R406" s="493">
        <v>44.297098858938078</v>
      </c>
      <c r="S406" s="493">
        <v>43.000586974348515</v>
      </c>
      <c r="T406" s="493">
        <v>41.704075089758952</v>
      </c>
      <c r="U406" s="493">
        <v>41.054017663680554</v>
      </c>
      <c r="V406" s="493">
        <v>40.403960237602156</v>
      </c>
      <c r="W406" s="493">
        <v>39.75390281152395</v>
      </c>
      <c r="X406" s="493">
        <v>39.103845385445545</v>
      </c>
      <c r="Y406" s="493">
        <v>38.453787959367148</v>
      </c>
      <c r="Z406" s="493">
        <v>37.601305213839112</v>
      </c>
      <c r="AA406" s="493">
        <v>36.748822468311268</v>
      </c>
      <c r="AB406" s="493">
        <v>35.896339722783225</v>
      </c>
      <c r="AC406" s="493">
        <v>35.043856977255381</v>
      </c>
      <c r="AD406" s="493">
        <v>34.191374231727245</v>
      </c>
      <c r="AE406" s="493">
        <v>33.792385564257692</v>
      </c>
      <c r="AF406" s="493">
        <v>33.393396896788239</v>
      </c>
      <c r="AG406" s="493">
        <v>32.994408229318687</v>
      </c>
      <c r="AH406" s="493">
        <v>32.595419561849134</v>
      </c>
      <c r="AI406" s="493">
        <v>32.196430894379674</v>
      </c>
    </row>
    <row r="407" spans="2:35" outlineLevel="1">
      <c r="B407" t="str">
        <f t="shared" si="48"/>
        <v>e-hydrogen (compressed) - Energy cost including feedstock energy cost - Africa - USD/ton fuel</v>
      </c>
      <c r="C407" t="s">
        <v>722</v>
      </c>
      <c r="D407" t="s">
        <v>1367</v>
      </c>
      <c r="E407" t="s">
        <v>838</v>
      </c>
      <c r="F407" t="s">
        <v>1353</v>
      </c>
      <c r="G407" s="487" t="str">
        <f t="shared" si="49"/>
        <v>e-hydrogen (compressed)AfricaEnergy cost including feedstock energy cost</v>
      </c>
      <c r="H407" s="507">
        <v>3160.8705964644164</v>
      </c>
      <c r="I407" s="507">
        <v>2786.523241337979</v>
      </c>
      <c r="J407" s="507">
        <v>2412.5464202833837</v>
      </c>
      <c r="K407" s="507">
        <v>2304.7344628217015</v>
      </c>
      <c r="L407" s="507">
        <v>2196.6012206586379</v>
      </c>
      <c r="M407" s="507">
        <v>2088.2494806360514</v>
      </c>
      <c r="N407" s="507">
        <v>1979.7820295958466</v>
      </c>
      <c r="O407" s="507">
        <v>1871.3016543799013</v>
      </c>
      <c r="P407" s="507">
        <v>1802.6625730422293</v>
      </c>
      <c r="Q407" s="507">
        <v>1734.1917254836167</v>
      </c>
      <c r="R407" s="507">
        <v>1665.9444753405153</v>
      </c>
      <c r="S407" s="507">
        <v>1597.976186249457</v>
      </c>
      <c r="T407" s="507">
        <v>1530.3422218469802</v>
      </c>
      <c r="U407" s="507">
        <v>1491.8507805011832</v>
      </c>
      <c r="V407" s="507">
        <v>1453.4494587457298</v>
      </c>
      <c r="W407" s="507">
        <v>1415.1563219456079</v>
      </c>
      <c r="X407" s="507">
        <v>1376.9894354656967</v>
      </c>
      <c r="Y407" s="507">
        <v>1338.9668646709708</v>
      </c>
      <c r="Z407" s="507">
        <v>1296.9598763474942</v>
      </c>
      <c r="AA407" s="507">
        <v>1255.7747230782336</v>
      </c>
      <c r="AB407" s="507">
        <v>1215.4008407247393</v>
      </c>
      <c r="AC407" s="507">
        <v>1175.8276651485323</v>
      </c>
      <c r="AD407" s="507">
        <v>1137.0446322111472</v>
      </c>
      <c r="AE407" s="507">
        <v>1113.2241368658154</v>
      </c>
      <c r="AF407" s="507">
        <v>1089.8673860112274</v>
      </c>
      <c r="AG407" s="507">
        <v>1066.9677226950826</v>
      </c>
      <c r="AH407" s="507">
        <v>1044.5184899651035</v>
      </c>
      <c r="AI407" s="507">
        <v>1022.5130308690141</v>
      </c>
    </row>
    <row r="408" spans="2:35" outlineLevel="1">
      <c r="B408" t="str">
        <f t="shared" si="48"/>
        <v>e-hydrogen (compressed) - Energy cost including feedstock energy cost - Americas - USD/ton fuel</v>
      </c>
      <c r="C408" t="s">
        <v>722</v>
      </c>
      <c r="D408" t="s">
        <v>1367</v>
      </c>
      <c r="E408" t="s">
        <v>731</v>
      </c>
      <c r="F408" t="s">
        <v>1353</v>
      </c>
      <c r="G408" s="487" t="str">
        <f t="shared" si="49"/>
        <v>e-hydrogen (compressed)AmericasEnergy cost including feedstock energy cost</v>
      </c>
      <c r="H408" s="507">
        <v>1986.022029783622</v>
      </c>
      <c r="I408" s="507">
        <v>1942.6791108821419</v>
      </c>
      <c r="J408" s="507">
        <v>1899.0560032656203</v>
      </c>
      <c r="K408" s="507">
        <v>1826.0625747933959</v>
      </c>
      <c r="L408" s="507">
        <v>1752.7609736509025</v>
      </c>
      <c r="M408" s="507">
        <v>1679.2202631891889</v>
      </c>
      <c r="N408" s="507">
        <v>1605.5095067593863</v>
      </c>
      <c r="O408" s="507">
        <v>1531.6977677124719</v>
      </c>
      <c r="P408" s="507">
        <v>1489.0291478242557</v>
      </c>
      <c r="Q408" s="507">
        <v>1446.3126288296503</v>
      </c>
      <c r="R408" s="507">
        <v>1403.5802801551172</v>
      </c>
      <c r="S408" s="507">
        <v>1360.8641712271224</v>
      </c>
      <c r="T408" s="507">
        <v>1318.196371472189</v>
      </c>
      <c r="U408" s="507">
        <v>1281.5555815366356</v>
      </c>
      <c r="V408" s="507">
        <v>1245.0533507729108</v>
      </c>
      <c r="W408" s="507">
        <v>1208.7077012258628</v>
      </c>
      <c r="X408" s="507">
        <v>1172.5366549402484</v>
      </c>
      <c r="Y408" s="507">
        <v>1136.5582339608836</v>
      </c>
      <c r="Z408" s="507">
        <v>1112.3640919011295</v>
      </c>
      <c r="AA408" s="507">
        <v>1088.5763473760965</v>
      </c>
      <c r="AB408" s="507">
        <v>1065.1908713683672</v>
      </c>
      <c r="AC408" s="507">
        <v>1042.2035348604634</v>
      </c>
      <c r="AD408" s="507">
        <v>1019.61020883496</v>
      </c>
      <c r="AE408" s="507">
        <v>1001.6667447875999</v>
      </c>
      <c r="AF408" s="507">
        <v>984.06586194466854</v>
      </c>
      <c r="AG408" s="507">
        <v>966.80356105825501</v>
      </c>
      <c r="AH408" s="507">
        <v>949.87584288045787</v>
      </c>
      <c r="AI408" s="507">
        <v>933.27870816337509</v>
      </c>
    </row>
    <row r="409" spans="2:35" outlineLevel="1">
      <c r="B409" t="str">
        <f t="shared" si="48"/>
        <v>e-hydrogen (compressed) - Energy cost including feedstock energy cost - Asia - USD/ton fuel</v>
      </c>
      <c r="C409" t="s">
        <v>722</v>
      </c>
      <c r="D409" t="s">
        <v>1367</v>
      </c>
      <c r="E409" t="s">
        <v>750</v>
      </c>
      <c r="F409" t="s">
        <v>1353</v>
      </c>
      <c r="G409" s="487" t="str">
        <f t="shared" si="49"/>
        <v>e-hydrogen (compressed)AsiaEnergy cost including feedstock energy cost</v>
      </c>
      <c r="H409" s="507">
        <v>3515.5451368694994</v>
      </c>
      <c r="I409" s="507">
        <v>3202.9670075376002</v>
      </c>
      <c r="J409" s="507">
        <v>2890.5235227287494</v>
      </c>
      <c r="K409" s="507">
        <v>2774.4528840461521</v>
      </c>
      <c r="L409" s="507">
        <v>2657.9363122554146</v>
      </c>
      <c r="M409" s="507">
        <v>2541.0838854200356</v>
      </c>
      <c r="N409" s="507">
        <v>2424.0056816037468</v>
      </c>
      <c r="O409" s="507">
        <v>2306.8117788701561</v>
      </c>
      <c r="P409" s="507">
        <v>2218.1721303505983</v>
      </c>
      <c r="Q409" s="507">
        <v>2129.7951643580186</v>
      </c>
      <c r="R409" s="507">
        <v>2041.7530759339261</v>
      </c>
      <c r="S409" s="507">
        <v>1954.1180601197893</v>
      </c>
      <c r="T409" s="507">
        <v>1866.9623119572402</v>
      </c>
      <c r="U409" s="507">
        <v>1815.1787029276168</v>
      </c>
      <c r="V409" s="507">
        <v>1763.5893988725866</v>
      </c>
      <c r="W409" s="507">
        <v>1712.219846212882</v>
      </c>
      <c r="X409" s="507">
        <v>1661.0954913690473</v>
      </c>
      <c r="Y409" s="507">
        <v>1610.2417807617942</v>
      </c>
      <c r="Z409" s="507">
        <v>1553.9360314199</v>
      </c>
      <c r="AA409" s="507">
        <v>1498.7656644323729</v>
      </c>
      <c r="AB409" s="507">
        <v>1444.7155323228835</v>
      </c>
      <c r="AC409" s="507">
        <v>1391.7704876150719</v>
      </c>
      <c r="AD409" s="507">
        <v>1339.915382832598</v>
      </c>
      <c r="AE409" s="507">
        <v>1309.9831447130568</v>
      </c>
      <c r="AF409" s="507">
        <v>1280.6373127610934</v>
      </c>
      <c r="AG409" s="507">
        <v>1251.8689688243389</v>
      </c>
      <c r="AH409" s="507">
        <v>1223.6691947504187</v>
      </c>
      <c r="AI409" s="507">
        <v>1196.0290723869578</v>
      </c>
    </row>
    <row r="410" spans="2:35" outlineLevel="1">
      <c r="B410" t="str">
        <f t="shared" si="48"/>
        <v>e-hydrogen (compressed) - Energy cost including feedstock energy cost - Europe - USD/ton fuel</v>
      </c>
      <c r="C410" t="s">
        <v>722</v>
      </c>
      <c r="D410" t="s">
        <v>1367</v>
      </c>
      <c r="E410" t="s">
        <v>720</v>
      </c>
      <c r="F410" t="s">
        <v>1353</v>
      </c>
      <c r="G410" s="487" t="str">
        <f t="shared" si="49"/>
        <v>e-hydrogen (compressed)EuropeEnergy cost including feedstock energy cost</v>
      </c>
      <c r="H410" s="507">
        <v>2617.1329276426868</v>
      </c>
      <c r="I410" s="507">
        <v>2501.4832373426843</v>
      </c>
      <c r="J410" s="507">
        <v>2385.6208251448465</v>
      </c>
      <c r="K410" s="507">
        <v>2290.1360706240293</v>
      </c>
      <c r="L410" s="507">
        <v>2194.281827469511</v>
      </c>
      <c r="M410" s="507">
        <v>2098.1486352829556</v>
      </c>
      <c r="N410" s="507">
        <v>2001.8270336660016</v>
      </c>
      <c r="O410" s="507">
        <v>1905.4075622202831</v>
      </c>
      <c r="P410" s="507">
        <v>1855.9948612502078</v>
      </c>
      <c r="Q410" s="507">
        <v>1806.4722197363817</v>
      </c>
      <c r="R410" s="507">
        <v>1756.8759375972888</v>
      </c>
      <c r="S410" s="507">
        <v>1707.2423147514785</v>
      </c>
      <c r="T410" s="507">
        <v>1657.6076511175781</v>
      </c>
      <c r="U410" s="507">
        <v>1622.348781281504</v>
      </c>
      <c r="V410" s="507">
        <v>1587.0750484272664</v>
      </c>
      <c r="W410" s="507">
        <v>1551.8014774016065</v>
      </c>
      <c r="X410" s="507">
        <v>1516.5430930511313</v>
      </c>
      <c r="Y410" s="507">
        <v>1481.3149202225381</v>
      </c>
      <c r="Z410" s="507">
        <v>1440.8743847473047</v>
      </c>
      <c r="AA410" s="507">
        <v>1401.1898091614214</v>
      </c>
      <c r="AB410" s="507">
        <v>1362.2520523275218</v>
      </c>
      <c r="AC410" s="507">
        <v>1324.0519731081486</v>
      </c>
      <c r="AD410" s="507">
        <v>1286.5804303659243</v>
      </c>
      <c r="AE410" s="507">
        <v>1257.840458133481</v>
      </c>
      <c r="AF410" s="507">
        <v>1229.6635327190136</v>
      </c>
      <c r="AG410" s="507">
        <v>1202.0410914284364</v>
      </c>
      <c r="AH410" s="507">
        <v>1174.9645715676581</v>
      </c>
      <c r="AI410" s="507">
        <v>1148.4254104425868</v>
      </c>
    </row>
    <row r="411" spans="2:35" outlineLevel="1">
      <c r="B411" t="str">
        <f t="shared" si="48"/>
        <v>e-hydrogen (compressed) - Energy cost including feedstock energy cost - Middle East - USD/ton fuel</v>
      </c>
      <c r="C411" t="s">
        <v>722</v>
      </c>
      <c r="D411" t="s">
        <v>1367</v>
      </c>
      <c r="E411" t="s">
        <v>826</v>
      </c>
      <c r="F411" t="s">
        <v>1353</v>
      </c>
      <c r="G411" s="487" t="str">
        <f t="shared" si="49"/>
        <v>e-hydrogen (compressed)Middle EastEnergy cost including feedstock energy cost</v>
      </c>
      <c r="H411" s="507">
        <v>2004.0557863679674</v>
      </c>
      <c r="I411" s="507">
        <v>1913.439994141396</v>
      </c>
      <c r="J411" s="507">
        <v>1822.6668128960132</v>
      </c>
      <c r="K411" s="507">
        <v>1760.7472131571581</v>
      </c>
      <c r="L411" s="507">
        <v>1698.4939504098782</v>
      </c>
      <c r="M411" s="507">
        <v>1635.9651897318304</v>
      </c>
      <c r="N411" s="507">
        <v>1573.2190962007282</v>
      </c>
      <c r="O411" s="507">
        <v>1510.3138348942052</v>
      </c>
      <c r="P411" s="507">
        <v>1460.1275067135082</v>
      </c>
      <c r="Q411" s="507">
        <v>1410.0053792603746</v>
      </c>
      <c r="R411" s="507">
        <v>1359.9870273294782</v>
      </c>
      <c r="S411" s="507">
        <v>1310.1120257155462</v>
      </c>
      <c r="T411" s="507">
        <v>1260.4199492133293</v>
      </c>
      <c r="U411" s="507">
        <v>1230.3082459572943</v>
      </c>
      <c r="V411" s="507">
        <v>1200.2429586961468</v>
      </c>
      <c r="W411" s="507">
        <v>1170.2378432658459</v>
      </c>
      <c r="X411" s="507">
        <v>1140.3066555022276</v>
      </c>
      <c r="Y411" s="507">
        <v>1110.4631512412213</v>
      </c>
      <c r="Z411" s="507">
        <v>1072.0767797388739</v>
      </c>
      <c r="AA411" s="507">
        <v>1034.4621299578357</v>
      </c>
      <c r="AB411" s="507">
        <v>997.60894300383222</v>
      </c>
      <c r="AC411" s="507">
        <v>961.50695998256094</v>
      </c>
      <c r="AD411" s="507">
        <v>926.14592199973754</v>
      </c>
      <c r="AE411" s="507">
        <v>905.45655143347608</v>
      </c>
      <c r="AF411" s="507">
        <v>885.17250940990675</v>
      </c>
      <c r="AG411" s="507">
        <v>865.287631560058</v>
      </c>
      <c r="AH411" s="507">
        <v>845.79575351497181</v>
      </c>
      <c r="AI411" s="507">
        <v>826.69071090569059</v>
      </c>
    </row>
    <row r="412" spans="2:35" outlineLevel="1">
      <c r="B412" t="str">
        <f t="shared" si="48"/>
        <v>Carbon dioxide (DAC) - Energy cost - Africa - USD/ton fuel</v>
      </c>
      <c r="C412" t="s">
        <v>1379</v>
      </c>
      <c r="D412" t="s">
        <v>1368</v>
      </c>
      <c r="E412" t="s">
        <v>838</v>
      </c>
      <c r="F412" t="s">
        <v>1353</v>
      </c>
      <c r="G412" s="487" t="str">
        <f t="shared" si="49"/>
        <v>Carbon dioxide (DAC)AfricaEnergy cost</v>
      </c>
      <c r="H412" s="493">
        <v>168.04374017226095</v>
      </c>
      <c r="I412" s="493">
        <v>146.30209067169341</v>
      </c>
      <c r="J412" s="493">
        <v>125.09499957024941</v>
      </c>
      <c r="K412" s="493">
        <v>118.18460880247255</v>
      </c>
      <c r="L412" s="493">
        <v>111.41353662951776</v>
      </c>
      <c r="M412" s="493">
        <v>104.78178305138506</v>
      </c>
      <c r="N412" s="493">
        <v>98.28934806807321</v>
      </c>
      <c r="O412" s="493">
        <v>91.936231679584665</v>
      </c>
      <c r="P412" s="493">
        <v>87.982972860232593</v>
      </c>
      <c r="Q412" s="493">
        <v>84.102420719352523</v>
      </c>
      <c r="R412" s="493">
        <v>80.294575256942807</v>
      </c>
      <c r="S412" s="493">
        <v>76.559436473005292</v>
      </c>
      <c r="T412" s="493">
        <v>72.89700436753958</v>
      </c>
      <c r="U412" s="493">
        <v>70.735122997418571</v>
      </c>
      <c r="V412" s="493">
        <v>68.605236304620504</v>
      </c>
      <c r="W412" s="493">
        <v>66.507344289144001</v>
      </c>
      <c r="X412" s="493">
        <v>64.441446950990169</v>
      </c>
      <c r="Y412" s="493">
        <v>62.40754429015891</v>
      </c>
      <c r="Z412" s="493">
        <v>60.429077079389643</v>
      </c>
      <c r="AA412" s="493">
        <v>58.481367988026683</v>
      </c>
      <c r="AB412" s="493">
        <v>56.564417016069513</v>
      </c>
      <c r="AC412" s="493">
        <v>54.678224163519339</v>
      </c>
      <c r="AD412" s="493">
        <v>52.822789430375032</v>
      </c>
      <c r="AE412" s="493">
        <v>51.600110701740995</v>
      </c>
      <c r="AF412" s="493">
        <v>50.391546373167834</v>
      </c>
      <c r="AG412" s="493">
        <v>49.197096444655244</v>
      </c>
      <c r="AH412" s="493">
        <v>48.016760916203474</v>
      </c>
      <c r="AI412" s="493">
        <v>46.85053978781275</v>
      </c>
    </row>
    <row r="413" spans="2:35" outlineLevel="1">
      <c r="B413" t="str">
        <f t="shared" si="48"/>
        <v>Carbon dioxide (DAC) - Energy cost - Americas - USD/ton fuel</v>
      </c>
      <c r="C413" t="s">
        <v>1379</v>
      </c>
      <c r="D413" t="s">
        <v>1368</v>
      </c>
      <c r="E413" t="s">
        <v>731</v>
      </c>
      <c r="F413" t="s">
        <v>1353</v>
      </c>
      <c r="G413" s="487" t="str">
        <f t="shared" si="49"/>
        <v>Carbon dioxide (DAC)AmericasEnergy cost</v>
      </c>
      <c r="H413" s="493">
        <v>105.58438245546897</v>
      </c>
      <c r="I413" s="493">
        <v>101.99736044182912</v>
      </c>
      <c r="J413" s="493">
        <v>98.469570539698765</v>
      </c>
      <c r="K413" s="493">
        <v>93.638765997611998</v>
      </c>
      <c r="L413" s="493">
        <v>88.901570801317362</v>
      </c>
      <c r="M413" s="493">
        <v>84.25798495081483</v>
      </c>
      <c r="N413" s="493">
        <v>79.708008446105609</v>
      </c>
      <c r="O413" s="493">
        <v>75.251641287187283</v>
      </c>
      <c r="P413" s="493">
        <v>72.675393088137156</v>
      </c>
      <c r="Q413" s="493">
        <v>70.14126028517552</v>
      </c>
      <c r="R413" s="493">
        <v>67.64924287830199</v>
      </c>
      <c r="S413" s="493">
        <v>65.19934086751617</v>
      </c>
      <c r="T413" s="493">
        <v>62.791554252818194</v>
      </c>
      <c r="U413" s="493">
        <v>60.764114529985541</v>
      </c>
      <c r="V413" s="493">
        <v>58.768592762315109</v>
      </c>
      <c r="W413" s="493">
        <v>56.804988949805931</v>
      </c>
      <c r="X413" s="493">
        <v>54.873303092459224</v>
      </c>
      <c r="Y413" s="493">
        <v>52.973535190274085</v>
      </c>
      <c r="Z413" s="493">
        <v>51.828230522552126</v>
      </c>
      <c r="AA413" s="493">
        <v>50.694947735460516</v>
      </c>
      <c r="AB413" s="493">
        <v>49.573686828999371</v>
      </c>
      <c r="AC413" s="493">
        <v>48.464447803168603</v>
      </c>
      <c r="AD413" s="493">
        <v>47.367230657968015</v>
      </c>
      <c r="AE413" s="493">
        <v>46.429207924659629</v>
      </c>
      <c r="AF413" s="493">
        <v>45.499664594904488</v>
      </c>
      <c r="AG413" s="493">
        <v>44.57860066870262</v>
      </c>
      <c r="AH413" s="493">
        <v>43.666016146054034</v>
      </c>
      <c r="AI413" s="493">
        <v>42.761911026958728</v>
      </c>
    </row>
    <row r="414" spans="2:35" outlineLevel="1">
      <c r="B414" t="str">
        <f t="shared" si="48"/>
        <v>Carbon dioxide (DAC) - Energy cost - Asia - USD/ton fuel</v>
      </c>
      <c r="C414" t="s">
        <v>1379</v>
      </c>
      <c r="D414" t="s">
        <v>1368</v>
      </c>
      <c r="E414" t="s">
        <v>750</v>
      </c>
      <c r="F414" t="s">
        <v>1353</v>
      </c>
      <c r="G414" s="487" t="str">
        <f t="shared" si="49"/>
        <v>Carbon dioxide (DAC)AsiaEnergy cost</v>
      </c>
      <c r="H414" s="493">
        <v>186.89956944291009</v>
      </c>
      <c r="I414" s="493">
        <v>168.16682617375361</v>
      </c>
      <c r="J414" s="493">
        <v>149.87899747482393</v>
      </c>
      <c r="K414" s="493">
        <v>142.27132627697122</v>
      </c>
      <c r="L414" s="493">
        <v>134.81285628877197</v>
      </c>
      <c r="M414" s="493">
        <v>127.50358751022122</v>
      </c>
      <c r="N414" s="493">
        <v>120.34351994132149</v>
      </c>
      <c r="O414" s="493">
        <v>113.33265358207515</v>
      </c>
      <c r="P414" s="493">
        <v>108.26284478442385</v>
      </c>
      <c r="Q414" s="493">
        <v>103.28784662429925</v>
      </c>
      <c r="R414" s="493">
        <v>98.407659101700688</v>
      </c>
      <c r="S414" s="493">
        <v>93.622282216625351</v>
      </c>
      <c r="T414" s="493">
        <v>88.931715969074972</v>
      </c>
      <c r="U414" s="493">
        <v>86.065503663003796</v>
      </c>
      <c r="V414" s="493">
        <v>83.244358258173165</v>
      </c>
      <c r="W414" s="493">
        <v>80.468279754582596</v>
      </c>
      <c r="X414" s="493">
        <v>77.737268152231991</v>
      </c>
      <c r="Y414" s="493">
        <v>75.051323451122215</v>
      </c>
      <c r="Z414" s="493">
        <v>72.402332509748831</v>
      </c>
      <c r="AA414" s="493">
        <v>69.797444349441975</v>
      </c>
      <c r="AB414" s="493">
        <v>67.236658970200637</v>
      </c>
      <c r="AC414" s="493">
        <v>64.719976372026011</v>
      </c>
      <c r="AD414" s="493">
        <v>62.247396554916683</v>
      </c>
      <c r="AE414" s="493">
        <v>60.720274602486676</v>
      </c>
      <c r="AF414" s="493">
        <v>59.212061358577877</v>
      </c>
      <c r="AG414" s="493">
        <v>57.722756823190991</v>
      </c>
      <c r="AH414" s="493">
        <v>56.25236099632577</v>
      </c>
      <c r="AI414" s="493">
        <v>54.800873877981985</v>
      </c>
    </row>
    <row r="415" spans="2:35" outlineLevel="1">
      <c r="B415" t="str">
        <f t="shared" si="48"/>
        <v>Carbon dioxide (DAC) - Energy cost - Europe - USD/ton fuel</v>
      </c>
      <c r="C415" t="s">
        <v>1379</v>
      </c>
      <c r="D415" t="s">
        <v>1368</v>
      </c>
      <c r="E415" t="s">
        <v>720</v>
      </c>
      <c r="F415" t="s">
        <v>1353</v>
      </c>
      <c r="G415" s="487" t="str">
        <f t="shared" si="49"/>
        <v>Carbon dioxide (DAC)EuropeEnergy cost</v>
      </c>
      <c r="H415" s="493">
        <v>139.13660564940096</v>
      </c>
      <c r="I415" s="493">
        <v>131.33650635826208</v>
      </c>
      <c r="J415" s="493">
        <v>123.69885760010307</v>
      </c>
      <c r="K415" s="493">
        <v>117.43601702374129</v>
      </c>
      <c r="L415" s="493">
        <v>111.29589497676589</v>
      </c>
      <c r="M415" s="493">
        <v>105.27849145917936</v>
      </c>
      <c r="N415" s="493">
        <v>99.383806470979252</v>
      </c>
      <c r="O415" s="493">
        <v>93.611840012167974</v>
      </c>
      <c r="P415" s="493">
        <v>90.585974296079655</v>
      </c>
      <c r="Q415" s="493">
        <v>87.607779699054461</v>
      </c>
      <c r="R415" s="493">
        <v>84.67725622108955</v>
      </c>
      <c r="S415" s="493">
        <v>81.794403862185035</v>
      </c>
      <c r="T415" s="493">
        <v>78.959222622341954</v>
      </c>
      <c r="U415" s="493">
        <v>76.922599826040909</v>
      </c>
      <c r="V415" s="493">
        <v>74.912586795058061</v>
      </c>
      <c r="W415" s="493">
        <v>72.929183529392262</v>
      </c>
      <c r="X415" s="493">
        <v>70.972390029044362</v>
      </c>
      <c r="Y415" s="493">
        <v>69.042206294013226</v>
      </c>
      <c r="Z415" s="493">
        <v>67.134466412964173</v>
      </c>
      <c r="AA415" s="493">
        <v>65.253341498845373</v>
      </c>
      <c r="AB415" s="493">
        <v>63.398831551657359</v>
      </c>
      <c r="AC415" s="493">
        <v>61.570936571399812</v>
      </c>
      <c r="AD415" s="493">
        <v>59.769656558072832</v>
      </c>
      <c r="AE415" s="493">
        <v>58.303359346438278</v>
      </c>
      <c r="AF415" s="493">
        <v>56.855217183061221</v>
      </c>
      <c r="AG415" s="493">
        <v>55.425230067942344</v>
      </c>
      <c r="AH415" s="493">
        <v>54.013398001081399</v>
      </c>
      <c r="AI415" s="493">
        <v>52.619720982478157</v>
      </c>
    </row>
    <row r="416" spans="2:35" outlineLevel="1">
      <c r="B416" t="str">
        <f t="shared" si="48"/>
        <v>Carbon dioxide (DAC) - Energy cost - Middle East - USD/ton fuel</v>
      </c>
      <c r="C416" t="s">
        <v>1379</v>
      </c>
      <c r="D416" t="s">
        <v>1368</v>
      </c>
      <c r="E416" t="s">
        <v>826</v>
      </c>
      <c r="F416" t="s">
        <v>1353</v>
      </c>
      <c r="G416" s="487" t="str">
        <f t="shared" si="49"/>
        <v>Carbon dioxide (DAC)Middle EastEnergy cost</v>
      </c>
      <c r="H416" s="493">
        <v>106.54312461630884</v>
      </c>
      <c r="I416" s="493">
        <v>100.46220586457505</v>
      </c>
      <c r="J416" s="493">
        <v>94.50864955757099</v>
      </c>
      <c r="K416" s="493">
        <v>90.289455876080666</v>
      </c>
      <c r="L416" s="493">
        <v>86.149099881800211</v>
      </c>
      <c r="M416" s="493">
        <v>82.087581574729612</v>
      </c>
      <c r="N416" s="493">
        <v>78.104900954868882</v>
      </c>
      <c r="O416" s="493">
        <v>74.201058022218021</v>
      </c>
      <c r="P416" s="493">
        <v>71.264783946143552</v>
      </c>
      <c r="Q416" s="493">
        <v>68.380481742891675</v>
      </c>
      <c r="R416" s="493">
        <v>65.548151412460825</v>
      </c>
      <c r="S416" s="493">
        <v>62.767792954851807</v>
      </c>
      <c r="T416" s="493">
        <v>60.039406370064405</v>
      </c>
      <c r="U416" s="493">
        <v>58.334255838436711</v>
      </c>
      <c r="V416" s="493">
        <v>56.653467589691616</v>
      </c>
      <c r="W416" s="493">
        <v>54.997041623828714</v>
      </c>
      <c r="X416" s="493">
        <v>53.364977940848128</v>
      </c>
      <c r="Y416" s="493">
        <v>51.757276540749643</v>
      </c>
      <c r="Z416" s="493">
        <v>49.951129205562665</v>
      </c>
      <c r="AA416" s="493">
        <v>48.17485125313609</v>
      </c>
      <c r="AB416" s="493">
        <v>46.428442683469406</v>
      </c>
      <c r="AC416" s="493">
        <v>44.711903496563266</v>
      </c>
      <c r="AD416" s="493">
        <v>43.025233692416762</v>
      </c>
      <c r="AE416" s="493">
        <v>41.969677751620367</v>
      </c>
      <c r="AF416" s="493">
        <v>40.927191811319283</v>
      </c>
      <c r="AG416" s="493">
        <v>39.897775871513431</v>
      </c>
      <c r="AH416" s="493">
        <v>38.881429932202913</v>
      </c>
      <c r="AI416" s="493">
        <v>37.878153993387855</v>
      </c>
    </row>
    <row r="417" spans="2:35" outlineLevel="1">
      <c r="B417" t="str">
        <f t="shared" ref="B417:B422" si="50">_xlfn.TEXTJOIN(" - ",TRUE,C417:F417)</f>
        <v>e-methanol - Conversion H2 -&gt; MeOH - Global - ton H2/ton MeOH</v>
      </c>
      <c r="C417" t="s">
        <v>1381</v>
      </c>
      <c r="D417" t="s">
        <v>1382</v>
      </c>
      <c r="E417" t="s">
        <v>708</v>
      </c>
      <c r="F417" t="s">
        <v>1383</v>
      </c>
      <c r="G417" s="487" t="str">
        <f t="shared" si="49"/>
        <v>e-methanolGlobalConversion H2 -&gt; MeOH</v>
      </c>
      <c r="H417" s="508">
        <v>0.18875226265526496</v>
      </c>
      <c r="I417" s="508">
        <v>0.18875226265526496</v>
      </c>
      <c r="J417" s="508">
        <v>0.18875226265526496</v>
      </c>
      <c r="K417" s="508">
        <v>0.18875226265526496</v>
      </c>
      <c r="L417" s="508">
        <v>0.18875226265526496</v>
      </c>
      <c r="M417" s="508">
        <v>0.18875226265526496</v>
      </c>
      <c r="N417" s="508">
        <v>0.18875226265526496</v>
      </c>
      <c r="O417" s="508">
        <v>0.18875226265526496</v>
      </c>
      <c r="P417" s="508">
        <v>0.18875226265526496</v>
      </c>
      <c r="Q417" s="508">
        <v>0.18875226265526496</v>
      </c>
      <c r="R417" s="508">
        <v>0.18875226265526496</v>
      </c>
      <c r="S417" s="508">
        <v>0.18875226265526496</v>
      </c>
      <c r="T417" s="508">
        <v>0.18875226265526496</v>
      </c>
      <c r="U417" s="508">
        <v>0.18875226265526496</v>
      </c>
      <c r="V417" s="508">
        <v>0.18875226265526496</v>
      </c>
      <c r="W417" s="508">
        <v>0.18875226265526496</v>
      </c>
      <c r="X417" s="508">
        <v>0.18875226265526496</v>
      </c>
      <c r="Y417" s="508">
        <v>0.18875226265526496</v>
      </c>
      <c r="Z417" s="508">
        <v>0.18875226265526496</v>
      </c>
      <c r="AA417" s="508">
        <v>0.18875226265526496</v>
      </c>
      <c r="AB417" s="508">
        <v>0.18875226265526496</v>
      </c>
      <c r="AC417" s="508">
        <v>0.18875226265526496</v>
      </c>
      <c r="AD417" s="508">
        <v>0.18875226265526496</v>
      </c>
      <c r="AE417" s="508">
        <v>0.18875226265526496</v>
      </c>
      <c r="AF417" s="508">
        <v>0.18875226265526496</v>
      </c>
      <c r="AG417" s="508">
        <v>0.18875226265526496</v>
      </c>
      <c r="AH417" s="508">
        <v>0.18875226265526496</v>
      </c>
      <c r="AI417" s="508">
        <v>0.18875226265526496</v>
      </c>
    </row>
    <row r="418" spans="2:35" outlineLevel="1">
      <c r="B418" t="str">
        <f t="shared" si="50"/>
        <v>e-methanol - Conversion CO2 -&gt; MeOH - Global - ton CO2/ton MeOH</v>
      </c>
      <c r="C418" t="s">
        <v>1381</v>
      </c>
      <c r="D418" t="s">
        <v>1384</v>
      </c>
      <c r="E418" t="s">
        <v>708</v>
      </c>
      <c r="F418" t="s">
        <v>1385</v>
      </c>
      <c r="G418" s="487" t="str">
        <f t="shared" si="49"/>
        <v>e-methanolGlobalConversion CO2 -&gt; MeOH</v>
      </c>
      <c r="H418" s="508">
        <v>1.3735097684289368</v>
      </c>
      <c r="I418" s="508">
        <v>1.3735097684289368</v>
      </c>
      <c r="J418" s="508">
        <v>1.3735097684289368</v>
      </c>
      <c r="K418" s="508">
        <v>1.3735097684289368</v>
      </c>
      <c r="L418" s="508">
        <v>1.3735097684289368</v>
      </c>
      <c r="M418" s="508">
        <v>1.3735097684289368</v>
      </c>
      <c r="N418" s="508">
        <v>1.3735097684289368</v>
      </c>
      <c r="O418" s="508">
        <v>1.3735097684289368</v>
      </c>
      <c r="P418" s="508">
        <v>1.3735097684289368</v>
      </c>
      <c r="Q418" s="508">
        <v>1.3735097684289368</v>
      </c>
      <c r="R418" s="508">
        <v>1.3735097684289368</v>
      </c>
      <c r="S418" s="508">
        <v>1.3735097684289368</v>
      </c>
      <c r="T418" s="508">
        <v>1.3735097684289368</v>
      </c>
      <c r="U418" s="508">
        <v>1.3735097684289368</v>
      </c>
      <c r="V418" s="508">
        <v>1.3735097684289368</v>
      </c>
      <c r="W418" s="508">
        <v>1.3735097684289368</v>
      </c>
      <c r="X418" s="508">
        <v>1.3735097684289368</v>
      </c>
      <c r="Y418" s="508">
        <v>1.3735097684289368</v>
      </c>
      <c r="Z418" s="508">
        <v>1.3735097684289368</v>
      </c>
      <c r="AA418" s="508">
        <v>1.3735097684289368</v>
      </c>
      <c r="AB418" s="508">
        <v>1.3735097684289368</v>
      </c>
      <c r="AC418" s="508">
        <v>1.3735097684289368</v>
      </c>
      <c r="AD418" s="508">
        <v>1.3735097684289368</v>
      </c>
      <c r="AE418" s="508">
        <v>1.3735097684289368</v>
      </c>
      <c r="AF418" s="508">
        <v>1.3735097684289368</v>
      </c>
      <c r="AG418" s="508">
        <v>1.3735097684289368</v>
      </c>
      <c r="AH418" s="508">
        <v>1.3735097684289368</v>
      </c>
      <c r="AI418" s="508">
        <v>1.3735097684289368</v>
      </c>
    </row>
    <row r="419" spans="2:35" outlineLevel="1">
      <c r="B419" t="str">
        <f t="shared" si="50"/>
        <v/>
      </c>
      <c r="G419" s="487" t="str">
        <f t="shared" si="49"/>
        <v/>
      </c>
    </row>
    <row r="420" spans="2:35" ht="15" outlineLevel="1">
      <c r="B420" t="str">
        <f t="shared" si="50"/>
        <v>e-methanol (DAC) - Feedstock cost including feedstock feedstock cost - Global - USD/ton fuel</v>
      </c>
      <c r="C420" s="491" t="str">
        <f>C353</f>
        <v>e-methanol (DAC)</v>
      </c>
      <c r="D420" s="491" t="s">
        <v>1369</v>
      </c>
      <c r="E420" s="491" t="s">
        <v>708</v>
      </c>
      <c r="F420" s="491" t="s">
        <v>1353</v>
      </c>
      <c r="G420" s="487" t="str">
        <f t="shared" si="49"/>
        <v>e-methanol (DAC)GlobalFeedstock cost including feedstock feedstock cost</v>
      </c>
      <c r="H420" s="492">
        <v>2.5481555458460767</v>
      </c>
      <c r="I420" s="492">
        <v>2.5481555458460861</v>
      </c>
      <c r="J420" s="492">
        <v>2.5481555458460861</v>
      </c>
      <c r="K420" s="492">
        <v>2.5481555458460861</v>
      </c>
      <c r="L420" s="492">
        <v>2.5481555458460949</v>
      </c>
      <c r="M420" s="492">
        <v>2.5481555458460767</v>
      </c>
      <c r="N420" s="492">
        <v>2.5481555458460949</v>
      </c>
      <c r="O420" s="492">
        <v>2.5481555458460767</v>
      </c>
      <c r="P420" s="492">
        <v>2.548155545846059</v>
      </c>
      <c r="Q420" s="492">
        <v>2.5481555458460861</v>
      </c>
      <c r="R420" s="492">
        <v>2.5481555458461131</v>
      </c>
      <c r="S420" s="492">
        <v>2.5481555458460949</v>
      </c>
      <c r="T420" s="492">
        <v>2.5481555458461131</v>
      </c>
      <c r="U420" s="492">
        <v>2.548155545846122</v>
      </c>
      <c r="V420" s="492">
        <v>2.5481555458460998</v>
      </c>
      <c r="W420" s="492">
        <v>2.5481555458461447</v>
      </c>
      <c r="X420" s="492">
        <v>2.548155545846122</v>
      </c>
      <c r="Y420" s="492">
        <v>2.548155545846059</v>
      </c>
      <c r="Z420" s="492">
        <v>2.5481555458460767</v>
      </c>
      <c r="AA420" s="492">
        <v>2.5481555458460678</v>
      </c>
      <c r="AB420" s="492">
        <v>2.5481555458460861</v>
      </c>
      <c r="AC420" s="492">
        <v>2.5481555458460767</v>
      </c>
      <c r="AD420" s="492">
        <v>2.5481555458460767</v>
      </c>
      <c r="AE420" s="492">
        <v>2.5481555458460767</v>
      </c>
      <c r="AF420" s="492">
        <v>2.5481555458460767</v>
      </c>
      <c r="AG420" s="492">
        <v>2.5481555458460767</v>
      </c>
      <c r="AH420" s="492">
        <v>2.5481555458460767</v>
      </c>
      <c r="AI420" s="492">
        <v>2.5481555458460767</v>
      </c>
    </row>
    <row r="421" spans="2:35" outlineLevel="1">
      <c r="B421" t="str">
        <f t="shared" si="50"/>
        <v>e-hydrogen - Feedstock cost - Global - USD/ton fuel</v>
      </c>
      <c r="C421" t="s">
        <v>1370</v>
      </c>
      <c r="D421" t="s">
        <v>1371</v>
      </c>
      <c r="E421" t="s">
        <v>708</v>
      </c>
      <c r="F421" t="s">
        <v>1353</v>
      </c>
      <c r="G421" s="487" t="str">
        <f t="shared" si="49"/>
        <v>e-hydrogenGlobalFeedstock cost</v>
      </c>
      <c r="H421" s="493">
        <v>13.5</v>
      </c>
      <c r="I421" s="493">
        <v>13.500000000000048</v>
      </c>
      <c r="J421" s="493">
        <v>13.500000000000048</v>
      </c>
      <c r="K421" s="493">
        <v>13.500000000000048</v>
      </c>
      <c r="L421" s="493">
        <v>13.500000000000096</v>
      </c>
      <c r="M421" s="493">
        <v>13.5</v>
      </c>
      <c r="N421" s="493">
        <v>13.500000000000096</v>
      </c>
      <c r="O421" s="493">
        <v>13.5</v>
      </c>
      <c r="P421" s="493">
        <v>13.499999999999904</v>
      </c>
      <c r="Q421" s="493">
        <v>13.500000000000048</v>
      </c>
      <c r="R421" s="493">
        <v>13.500000000000192</v>
      </c>
      <c r="S421" s="493">
        <v>13.500000000000096</v>
      </c>
      <c r="T421" s="493">
        <v>13.500000000000192</v>
      </c>
      <c r="U421" s="493">
        <v>13.50000000000024</v>
      </c>
      <c r="V421" s="493">
        <v>13.500000000000121</v>
      </c>
      <c r="W421" s="493">
        <v>13.500000000000359</v>
      </c>
      <c r="X421" s="493">
        <v>13.50000000000024</v>
      </c>
      <c r="Y421" s="493">
        <v>13.499999999999904</v>
      </c>
      <c r="Z421" s="493">
        <v>13.5</v>
      </c>
      <c r="AA421" s="493">
        <v>13.499999999999952</v>
      </c>
      <c r="AB421" s="493">
        <v>13.500000000000048</v>
      </c>
      <c r="AC421" s="493">
        <v>13.5</v>
      </c>
      <c r="AD421" s="493">
        <v>13.5</v>
      </c>
      <c r="AE421" s="493">
        <v>13.5</v>
      </c>
      <c r="AF421" s="493">
        <v>13.5</v>
      </c>
      <c r="AG421" s="493">
        <v>13.5</v>
      </c>
      <c r="AH421" s="493">
        <v>13.5</v>
      </c>
      <c r="AI421" s="493">
        <v>13.5</v>
      </c>
    </row>
    <row r="422" spans="2:35" outlineLevel="1">
      <c r="B422" t="str">
        <f t="shared" si="50"/>
        <v>e-methanol - Conversion H2 -&gt; MeOH - Global - ton H2/ton MeOH</v>
      </c>
      <c r="C422" t="s">
        <v>1381</v>
      </c>
      <c r="D422" t="s">
        <v>1382</v>
      </c>
      <c r="E422" t="s">
        <v>708</v>
      </c>
      <c r="F422" t="s">
        <v>1383</v>
      </c>
      <c r="G422" s="487" t="str">
        <f t="shared" si="49"/>
        <v>e-methanolGlobalConversion H2 -&gt; MeOH</v>
      </c>
      <c r="H422" s="508">
        <v>0.18875226265526496</v>
      </c>
      <c r="I422" s="508">
        <v>0.18875226265526496</v>
      </c>
      <c r="J422" s="508">
        <v>0.18875226265526496</v>
      </c>
      <c r="K422" s="508">
        <v>0.18875226265526496</v>
      </c>
      <c r="L422" s="508">
        <v>0.18875226265526496</v>
      </c>
      <c r="M422" s="508">
        <v>0.18875226265526496</v>
      </c>
      <c r="N422" s="508">
        <v>0.18875226265526496</v>
      </c>
      <c r="O422" s="508">
        <v>0.18875226265526496</v>
      </c>
      <c r="P422" s="508">
        <v>0.18875226265526496</v>
      </c>
      <c r="Q422" s="508">
        <v>0.18875226265526496</v>
      </c>
      <c r="R422" s="508">
        <v>0.18875226265526496</v>
      </c>
      <c r="S422" s="508">
        <v>0.18875226265526496</v>
      </c>
      <c r="T422" s="508">
        <v>0.18875226265526496</v>
      </c>
      <c r="U422" s="508">
        <v>0.18875226265526496</v>
      </c>
      <c r="V422" s="508">
        <v>0.18875226265526496</v>
      </c>
      <c r="W422" s="508">
        <v>0.18875226265526496</v>
      </c>
      <c r="X422" s="508">
        <v>0.18875226265526496</v>
      </c>
      <c r="Y422" s="508">
        <v>0.18875226265526496</v>
      </c>
      <c r="Z422" s="508">
        <v>0.18875226265526496</v>
      </c>
      <c r="AA422" s="508">
        <v>0.18875226265526496</v>
      </c>
      <c r="AB422" s="508">
        <v>0.18875226265526496</v>
      </c>
      <c r="AC422" s="508">
        <v>0.18875226265526496</v>
      </c>
      <c r="AD422" s="508">
        <v>0.18875226265526496</v>
      </c>
      <c r="AE422" s="508">
        <v>0.18875226265526496</v>
      </c>
      <c r="AF422" s="508">
        <v>0.18875226265526496</v>
      </c>
      <c r="AG422" s="508">
        <v>0.18875226265526496</v>
      </c>
      <c r="AH422" s="508">
        <v>0.18875226265526496</v>
      </c>
      <c r="AI422" s="508">
        <v>0.18875226265526496</v>
      </c>
    </row>
    <row r="423" spans="2:35">
      <c r="G423" s="487" t="str">
        <f t="shared" si="49"/>
        <v/>
      </c>
    </row>
    <row r="424" spans="2:35" ht="15">
      <c r="B424" t="str">
        <f t="shared" ref="B424:B487" si="51">_xlfn.TEXTJOIN(" - ",TRUE,C424:F424)</f>
        <v>e-methanol (PS) - Item - Region - Unit</v>
      </c>
      <c r="C424" s="485" t="s">
        <v>742</v>
      </c>
      <c r="D424" s="485" t="s">
        <v>877</v>
      </c>
      <c r="E424" s="485" t="s">
        <v>171</v>
      </c>
      <c r="F424" s="485" t="s">
        <v>111</v>
      </c>
      <c r="G424" s="487" t="str">
        <f t="shared" si="49"/>
        <v>e-methanol (PS)RegionItem</v>
      </c>
      <c r="H424" s="486">
        <v>2023</v>
      </c>
      <c r="I424" s="486">
        <v>2024</v>
      </c>
      <c r="J424" s="486">
        <v>2025</v>
      </c>
      <c r="K424" s="486">
        <v>2026</v>
      </c>
      <c r="L424" s="486">
        <v>2027</v>
      </c>
      <c r="M424" s="486">
        <v>2028</v>
      </c>
      <c r="N424" s="486">
        <v>2029</v>
      </c>
      <c r="O424" s="486">
        <v>2030</v>
      </c>
      <c r="P424" s="486">
        <v>2031</v>
      </c>
      <c r="Q424" s="486">
        <v>2032</v>
      </c>
      <c r="R424" s="486">
        <v>2033</v>
      </c>
      <c r="S424" s="486">
        <v>2034</v>
      </c>
      <c r="T424" s="486">
        <v>2035</v>
      </c>
      <c r="U424" s="486">
        <v>2036</v>
      </c>
      <c r="V424" s="486">
        <v>2037</v>
      </c>
      <c r="W424" s="486">
        <v>2038</v>
      </c>
      <c r="X424" s="486">
        <v>2039</v>
      </c>
      <c r="Y424" s="486">
        <v>2040</v>
      </c>
      <c r="Z424" s="486">
        <v>2041</v>
      </c>
      <c r="AA424" s="486">
        <v>2042</v>
      </c>
      <c r="AB424" s="486">
        <v>2043</v>
      </c>
      <c r="AC424" s="486">
        <v>2044</v>
      </c>
      <c r="AD424" s="486">
        <v>2045</v>
      </c>
      <c r="AE424" s="486">
        <v>2046</v>
      </c>
      <c r="AF424" s="486">
        <v>2047</v>
      </c>
      <c r="AG424" s="486">
        <v>2048</v>
      </c>
      <c r="AH424" s="486">
        <v>2049</v>
      </c>
      <c r="AI424" s="486">
        <v>2050</v>
      </c>
    </row>
    <row r="425" spans="2:35" outlineLevel="1">
      <c r="B425" t="str">
        <f t="shared" si="51"/>
        <v>e-methanol (PS) - Total cost - Africa - USD/ton fuel</v>
      </c>
      <c r="C425" s="487" t="str">
        <f>C424</f>
        <v>e-methanol (PS)</v>
      </c>
      <c r="D425" s="487" t="s">
        <v>1362</v>
      </c>
      <c r="E425" s="487" t="s">
        <v>838</v>
      </c>
      <c r="F425" s="487" t="s">
        <v>1353</v>
      </c>
      <c r="G425" s="487" t="str">
        <f t="shared" si="49"/>
        <v>e-methanol (PS)AfricaTotal cost</v>
      </c>
      <c r="H425" s="488">
        <v>1588.000305896699</v>
      </c>
      <c r="I425" s="488">
        <v>1465.1576246994368</v>
      </c>
      <c r="J425" s="488">
        <v>1341.8106853655227</v>
      </c>
      <c r="K425" s="488">
        <v>1285.2987709124986</v>
      </c>
      <c r="L425" s="488">
        <v>1227.8148276346785</v>
      </c>
      <c r="M425" s="488">
        <v>1169.3782567810351</v>
      </c>
      <c r="N425" s="488">
        <v>1110.0084596005568</v>
      </c>
      <c r="O425" s="488">
        <v>1049.7248373422103</v>
      </c>
      <c r="P425" s="488">
        <v>1027.6230498512218</v>
      </c>
      <c r="Q425" s="488">
        <v>1004.0911659498433</v>
      </c>
      <c r="R425" s="488">
        <v>979.13963564972323</v>
      </c>
      <c r="S425" s="488">
        <v>952.77890896252086</v>
      </c>
      <c r="T425" s="488">
        <v>925.01943589990856</v>
      </c>
      <c r="U425" s="488">
        <v>903.57481497918866</v>
      </c>
      <c r="V425" s="488">
        <v>881.14657392060019</v>
      </c>
      <c r="W425" s="488">
        <v>857.73812260266925</v>
      </c>
      <c r="X425" s="488">
        <v>833.35287090388056</v>
      </c>
      <c r="Y425" s="488">
        <v>807.9942287027518</v>
      </c>
      <c r="Z425" s="488">
        <v>780.24563090033791</v>
      </c>
      <c r="AA425" s="488">
        <v>752.04029173120716</v>
      </c>
      <c r="AB425" s="488">
        <v>723.37621719033211</v>
      </c>
      <c r="AC425" s="488">
        <v>694.25141327266556</v>
      </c>
      <c r="AD425" s="488">
        <v>664.66388597317155</v>
      </c>
      <c r="AE425" s="488">
        <v>639.49819357851584</v>
      </c>
      <c r="AF425" s="488">
        <v>614.10354112678078</v>
      </c>
      <c r="AG425" s="488">
        <v>588.47867210315667</v>
      </c>
      <c r="AH425" s="488">
        <v>562.62232999283879</v>
      </c>
      <c r="AI425" s="488">
        <v>536.53325828102322</v>
      </c>
    </row>
    <row r="426" spans="2:35" outlineLevel="1">
      <c r="B426" t="str">
        <f t="shared" si="51"/>
        <v>e-methanol (PS) - Total cost - Americas - USD/ton fuel</v>
      </c>
      <c r="C426" t="str">
        <f>C425</f>
        <v>e-methanol (PS)</v>
      </c>
      <c r="D426" t="s">
        <v>1362</v>
      </c>
      <c r="E426" t="s">
        <v>731</v>
      </c>
      <c r="F426" t="s">
        <v>1353</v>
      </c>
      <c r="G426" s="487" t="str">
        <f t="shared" si="49"/>
        <v>e-methanol (PS)AmericasTotal cost</v>
      </c>
      <c r="H426" s="489">
        <v>1315.936578859737</v>
      </c>
      <c r="I426" s="489">
        <v>1269.7045315553642</v>
      </c>
      <c r="J426" s="489">
        <v>1222.8454007159567</v>
      </c>
      <c r="K426" s="489">
        <v>1174.3592329668286</v>
      </c>
      <c r="L426" s="489">
        <v>1124.9035113184441</v>
      </c>
      <c r="M426" s="489">
        <v>1074.4912716345825</v>
      </c>
      <c r="N426" s="489">
        <v>1023.135549779045</v>
      </c>
      <c r="O426" s="489">
        <v>970.84938161558273</v>
      </c>
      <c r="P426" s="489">
        <v>954.6901807964183</v>
      </c>
      <c r="Q426" s="489">
        <v>937.06008799570122</v>
      </c>
      <c r="R426" s="489">
        <v>917.96515639023869</v>
      </c>
      <c r="S426" s="489">
        <v>897.41143915683074</v>
      </c>
      <c r="T426" s="489">
        <v>875.40498947230367</v>
      </c>
      <c r="U426" s="489">
        <v>854.31247466899265</v>
      </c>
      <c r="V426" s="489">
        <v>832.24548280841998</v>
      </c>
      <c r="W426" s="489">
        <v>809.20741559233807</v>
      </c>
      <c r="X426" s="489">
        <v>785.20167472246055</v>
      </c>
      <c r="Y426" s="489">
        <v>760.23166190052598</v>
      </c>
      <c r="Z426" s="489">
        <v>736.57443629884665</v>
      </c>
      <c r="AA426" s="489">
        <v>712.38205455865364</v>
      </c>
      <c r="AB426" s="489">
        <v>687.65373731857585</v>
      </c>
      <c r="AC426" s="489">
        <v>662.3887052172139</v>
      </c>
      <c r="AD426" s="489">
        <v>636.58617889318975</v>
      </c>
      <c r="AE426" s="489">
        <v>612.76435163578594</v>
      </c>
      <c r="AF426" s="489">
        <v>588.69069447685968</v>
      </c>
      <c r="AG426" s="489">
        <v>564.36445254931903</v>
      </c>
      <c r="AH426" s="489">
        <v>539.78487098607332</v>
      </c>
      <c r="AI426" s="489">
        <v>514.95119492003244</v>
      </c>
    </row>
    <row r="427" spans="2:35" outlineLevel="1">
      <c r="B427" t="str">
        <f t="shared" si="51"/>
        <v>e-methanol (PS) - Total cost - Asia - USD/ton fuel</v>
      </c>
      <c r="C427" t="str">
        <f>C426</f>
        <v>e-methanol (PS)</v>
      </c>
      <c r="D427" t="s">
        <v>1362</v>
      </c>
      <c r="E427" t="s">
        <v>750</v>
      </c>
      <c r="F427" t="s">
        <v>1353</v>
      </c>
      <c r="G427" s="487" t="str">
        <f t="shared" si="49"/>
        <v>e-methanol (PS)AsiaTotal cost</v>
      </c>
      <c r="H427" s="489">
        <v>1670.1335101958248</v>
      </c>
      <c r="I427" s="489">
        <v>1561.6152752140101</v>
      </c>
      <c r="J427" s="489">
        <v>1452.5482574094826</v>
      </c>
      <c r="K427" s="489">
        <v>1394.1632058594882</v>
      </c>
      <c r="L427" s="489">
        <v>1334.782597815888</v>
      </c>
      <c r="M427" s="489">
        <v>1274.4272107622328</v>
      </c>
      <c r="N427" s="489">
        <v>1213.1178221821306</v>
      </c>
      <c r="O427" s="489">
        <v>1150.8752095591478</v>
      </c>
      <c r="P427" s="489">
        <v>1124.2463740811863</v>
      </c>
      <c r="Q427" s="489">
        <v>1096.2052696077108</v>
      </c>
      <c r="R427" s="489">
        <v>1066.7655231161584</v>
      </c>
      <c r="S427" s="489">
        <v>1035.94076158395</v>
      </c>
      <c r="T427" s="489">
        <v>1003.7446119885549</v>
      </c>
      <c r="U427" s="489">
        <v>979.31544160683143</v>
      </c>
      <c r="V427" s="489">
        <v>953.9223163142517</v>
      </c>
      <c r="W427" s="489">
        <v>927.57003918031592</v>
      </c>
      <c r="X427" s="489">
        <v>900.2634132744646</v>
      </c>
      <c r="Y427" s="489">
        <v>872.00724166618761</v>
      </c>
      <c r="Z427" s="489">
        <v>841.040386911523</v>
      </c>
      <c r="AA427" s="489">
        <v>809.67597355249495</v>
      </c>
      <c r="AB427" s="489">
        <v>777.91114246868017</v>
      </c>
      <c r="AC427" s="489">
        <v>745.74303453963626</v>
      </c>
      <c r="AD427" s="489">
        <v>713.16879064493196</v>
      </c>
      <c r="AE427" s="489">
        <v>686.64992524420893</v>
      </c>
      <c r="AF427" s="489">
        <v>659.92525245544925</v>
      </c>
      <c r="AG427" s="489">
        <v>632.99308895721538</v>
      </c>
      <c r="AH427" s="489">
        <v>605.85175142806759</v>
      </c>
      <c r="AI427" s="489">
        <v>578.49955654656605</v>
      </c>
    </row>
    <row r="428" spans="2:35" outlineLevel="1">
      <c r="B428" t="str">
        <f t="shared" si="51"/>
        <v>e-methanol (PS) - Total cost - Europe - USD/ton fuel</v>
      </c>
      <c r="C428" t="str">
        <f>C427</f>
        <v>e-methanol (PS)</v>
      </c>
      <c r="D428" t="s">
        <v>1362</v>
      </c>
      <c r="E428" t="s">
        <v>720</v>
      </c>
      <c r="F428" t="s">
        <v>1353</v>
      </c>
      <c r="G428" s="487" t="str">
        <f t="shared" si="49"/>
        <v>e-methanol (PS)EuropeTotal cost</v>
      </c>
      <c r="H428" s="489">
        <v>1462.0851020947593</v>
      </c>
      <c r="I428" s="489">
        <v>1399.1360118921239</v>
      </c>
      <c r="J428" s="489">
        <v>1335.5725726688561</v>
      </c>
      <c r="K428" s="489">
        <v>1281.9153700367328</v>
      </c>
      <c r="L428" s="489">
        <v>1227.2770399785179</v>
      </c>
      <c r="M428" s="489">
        <v>1171.6746720488891</v>
      </c>
      <c r="N428" s="489">
        <v>1115.125355802521</v>
      </c>
      <c r="O428" s="489">
        <v>1057.6461807940739</v>
      </c>
      <c r="P428" s="489">
        <v>1040.0250340771129</v>
      </c>
      <c r="Q428" s="489">
        <v>1020.9212849169206</v>
      </c>
      <c r="R428" s="489">
        <v>1000.3417850052431</v>
      </c>
      <c r="S428" s="489">
        <v>978.29338603383428</v>
      </c>
      <c r="T428" s="489">
        <v>954.78293969447782</v>
      </c>
      <c r="U428" s="489">
        <v>934.14439980991108</v>
      </c>
      <c r="V428" s="489">
        <v>912.50242408258055</v>
      </c>
      <c r="W428" s="489">
        <v>889.85984848631415</v>
      </c>
      <c r="X428" s="489">
        <v>866.21950899489252</v>
      </c>
      <c r="Y428" s="489">
        <v>841.58424158212767</v>
      </c>
      <c r="Z428" s="489">
        <v>814.29255413401654</v>
      </c>
      <c r="AA428" s="489">
        <v>786.53169123276734</v>
      </c>
      <c r="AB428" s="489">
        <v>758.29992746802736</v>
      </c>
      <c r="AC428" s="489">
        <v>729.5955374294108</v>
      </c>
      <c r="AD428" s="489">
        <v>700.41679570655788</v>
      </c>
      <c r="AE428" s="489">
        <v>674.15434502743278</v>
      </c>
      <c r="AF428" s="489">
        <v>647.68167783017964</v>
      </c>
      <c r="AG428" s="489">
        <v>620.99717788691578</v>
      </c>
      <c r="AH428" s="489">
        <v>594.09922896975706</v>
      </c>
      <c r="AI428" s="489">
        <v>566.98621485081878</v>
      </c>
    </row>
    <row r="429" spans="2:35" outlineLevel="1">
      <c r="B429" t="str">
        <f t="shared" si="51"/>
        <v>e-methanol (PS) - Total cost - Middle East - USD/ton fuel</v>
      </c>
      <c r="C429" s="25" t="str">
        <f>C428</f>
        <v>e-methanol (PS)</v>
      </c>
      <c r="D429" s="25" t="s">
        <v>1362</v>
      </c>
      <c r="E429" s="25" t="s">
        <v>826</v>
      </c>
      <c r="F429" s="25" t="s">
        <v>1353</v>
      </c>
      <c r="G429" s="487" t="str">
        <f t="shared" si="49"/>
        <v>e-methanol (PS)Middle EastTotal cost</v>
      </c>
      <c r="H429" s="490">
        <v>1320.1127179537104</v>
      </c>
      <c r="I429" s="490">
        <v>1262.9321009588602</v>
      </c>
      <c r="J429" s="490">
        <v>1205.1475791494915</v>
      </c>
      <c r="K429" s="490">
        <v>1159.2213980074248</v>
      </c>
      <c r="L429" s="490">
        <v>1112.3208516070997</v>
      </c>
      <c r="M429" s="490">
        <v>1064.4569187385323</v>
      </c>
      <c r="N429" s="490">
        <v>1015.6405781917572</v>
      </c>
      <c r="O429" s="490">
        <v>965.88280875677424</v>
      </c>
      <c r="P429" s="490">
        <v>947.96934227248198</v>
      </c>
      <c r="Q429" s="490">
        <v>928.6061429039396</v>
      </c>
      <c r="R429" s="490">
        <v>907.80068048318492</v>
      </c>
      <c r="S429" s="490">
        <v>885.560424842261</v>
      </c>
      <c r="T429" s="490">
        <v>861.89284581322818</v>
      </c>
      <c r="U429" s="490">
        <v>842.3076181733104</v>
      </c>
      <c r="V429" s="490">
        <v>821.730521242995</v>
      </c>
      <c r="W429" s="490">
        <v>800.16415146745408</v>
      </c>
      <c r="X429" s="490">
        <v>777.61110529181383</v>
      </c>
      <c r="Y429" s="490">
        <v>754.07397916123284</v>
      </c>
      <c r="Z429" s="490">
        <v>727.04336789072659</v>
      </c>
      <c r="AA429" s="490">
        <v>699.54655624852819</v>
      </c>
      <c r="AB429" s="490">
        <v>671.58160784513916</v>
      </c>
      <c r="AC429" s="490">
        <v>643.14658629104065</v>
      </c>
      <c r="AD429" s="490">
        <v>614.23955519672677</v>
      </c>
      <c r="AE429" s="490">
        <v>589.70834383125327</v>
      </c>
      <c r="AF429" s="490">
        <v>564.93714626633027</v>
      </c>
      <c r="AG429" s="490">
        <v>539.92479896336636</v>
      </c>
      <c r="AH429" s="490">
        <v>514.67013838377284</v>
      </c>
      <c r="AI429" s="490">
        <v>489.17200098896143</v>
      </c>
    </row>
    <row r="430" spans="2:35" ht="15" outlineLevel="1">
      <c r="B430" t="str">
        <f t="shared" si="51"/>
        <v/>
      </c>
      <c r="C430" s="22"/>
      <c r="G430" s="487" t="str">
        <f t="shared" si="49"/>
        <v/>
      </c>
    </row>
    <row r="431" spans="2:35" ht="15" outlineLevel="1">
      <c r="B431" t="str">
        <f t="shared" si="51"/>
        <v>e-methanol (PS) - CAPEX including feedstock CAPEX - Global - USD/ton fuel</v>
      </c>
      <c r="C431" s="491" t="str">
        <f>C424</f>
        <v>e-methanol (PS)</v>
      </c>
      <c r="D431" s="491" t="s">
        <v>1363</v>
      </c>
      <c r="E431" s="491" t="s">
        <v>708</v>
      </c>
      <c r="F431" s="491" t="s">
        <v>1353</v>
      </c>
      <c r="G431" s="487" t="str">
        <f t="shared" si="49"/>
        <v>e-methanol (PS)GlobalCAPEX including feedstock CAPEX</v>
      </c>
      <c r="H431" s="492">
        <v>194.93308198043022</v>
      </c>
      <c r="I431" s="492">
        <v>186.65525825687445</v>
      </c>
      <c r="J431" s="492">
        <v>178.33032073485697</v>
      </c>
      <c r="K431" s="492">
        <v>170.88753565811737</v>
      </c>
      <c r="L431" s="492">
        <v>163.35722365696421</v>
      </c>
      <c r="M431" s="492">
        <v>155.73938473139839</v>
      </c>
      <c r="N431" s="492">
        <v>148.03401888142017</v>
      </c>
      <c r="O431" s="492">
        <v>140.24112610702835</v>
      </c>
      <c r="P431" s="492">
        <v>138.85686032493822</v>
      </c>
      <c r="Q431" s="492">
        <v>137.26847276267833</v>
      </c>
      <c r="R431" s="492">
        <v>135.47596342024818</v>
      </c>
      <c r="S431" s="492">
        <v>133.47933229764681</v>
      </c>
      <c r="T431" s="492">
        <v>131.27857939487592</v>
      </c>
      <c r="U431" s="492">
        <v>128.74603031498401</v>
      </c>
      <c r="V431" s="492">
        <v>126.04500980135518</v>
      </c>
      <c r="W431" s="492">
        <v>123.17551785399105</v>
      </c>
      <c r="X431" s="492">
        <v>120.13755447288997</v>
      </c>
      <c r="Y431" s="492">
        <v>116.93111965805132</v>
      </c>
      <c r="Z431" s="492">
        <v>112.94501775514753</v>
      </c>
      <c r="AA431" s="492">
        <v>108.83179475703588</v>
      </c>
      <c r="AB431" s="492">
        <v>104.59145066371771</v>
      </c>
      <c r="AC431" s="492">
        <v>100.22398547519212</v>
      </c>
      <c r="AD431" s="492">
        <v>95.729399191458853</v>
      </c>
      <c r="AE431" s="492">
        <v>91.083866062253406</v>
      </c>
      <c r="AF431" s="492">
        <v>86.358819291968743</v>
      </c>
      <c r="AG431" s="492">
        <v>81.554258880604863</v>
      </c>
      <c r="AH431" s="492">
        <v>76.670184828161752</v>
      </c>
      <c r="AI431" s="492">
        <v>71.706597134639438</v>
      </c>
    </row>
    <row r="432" spans="2:35" outlineLevel="1">
      <c r="B432" t="str">
        <f t="shared" si="51"/>
        <v>e-methanol (PS) - CAPEX - Global - USD/ton fuel</v>
      </c>
      <c r="C432" t="str">
        <f>C424</f>
        <v>e-methanol (PS)</v>
      </c>
      <c r="D432" t="s">
        <v>446</v>
      </c>
      <c r="E432" t="s">
        <v>708</v>
      </c>
      <c r="F432" t="s">
        <v>1353</v>
      </c>
      <c r="G432" s="487" t="str">
        <f t="shared" si="49"/>
        <v>e-methanol (PS)GlobalCAPEX</v>
      </c>
      <c r="H432" s="493">
        <v>99.333333333333329</v>
      </c>
      <c r="I432" s="493">
        <v>94.666666666666671</v>
      </c>
      <c r="J432" s="493">
        <v>90</v>
      </c>
      <c r="K432" s="493">
        <v>85.333333333333329</v>
      </c>
      <c r="L432" s="493">
        <v>80.666666666666671</v>
      </c>
      <c r="M432" s="493">
        <v>76</v>
      </c>
      <c r="N432" s="493">
        <v>71.333333333333329</v>
      </c>
      <c r="O432" s="493">
        <v>66.666666666666671</v>
      </c>
      <c r="P432" s="493">
        <v>65.166666666666671</v>
      </c>
      <c r="Q432" s="493">
        <v>63.666666666666664</v>
      </c>
      <c r="R432" s="493">
        <v>62.166666666666664</v>
      </c>
      <c r="S432" s="493">
        <v>60.666666666666664</v>
      </c>
      <c r="T432" s="493">
        <v>59.166666666666664</v>
      </c>
      <c r="U432" s="493">
        <v>57.666666666666664</v>
      </c>
      <c r="V432" s="493">
        <v>56.166666666666664</v>
      </c>
      <c r="W432" s="493">
        <v>54.666666666666664</v>
      </c>
      <c r="X432" s="493">
        <v>53.166666666666664</v>
      </c>
      <c r="Y432" s="493">
        <v>51.666666666666664</v>
      </c>
      <c r="Z432" s="493">
        <v>49.666666666666664</v>
      </c>
      <c r="AA432" s="493">
        <v>47.666666666666664</v>
      </c>
      <c r="AB432" s="493">
        <v>45.666666666666664</v>
      </c>
      <c r="AC432" s="493">
        <v>43.666666666666664</v>
      </c>
      <c r="AD432" s="493">
        <v>41.666666666666664</v>
      </c>
      <c r="AE432" s="493">
        <v>39.666666666666664</v>
      </c>
      <c r="AF432" s="493">
        <v>37.666666666666664</v>
      </c>
      <c r="AG432" s="493">
        <v>35.666666666666664</v>
      </c>
      <c r="AH432" s="493">
        <v>33.666666666666664</v>
      </c>
      <c r="AI432" s="493">
        <v>31.666666666666668</v>
      </c>
    </row>
    <row r="433" spans="2:35" outlineLevel="1">
      <c r="B433" t="str">
        <f t="shared" si="51"/>
        <v>e-hydrogen (compressed) - CAPEX including feedstock CAPEX - Global - USD/ton fuel</v>
      </c>
      <c r="C433" t="s">
        <v>722</v>
      </c>
      <c r="D433" t="s">
        <v>1363</v>
      </c>
      <c r="E433" t="s">
        <v>708</v>
      </c>
      <c r="F433" t="s">
        <v>1353</v>
      </c>
      <c r="G433" s="487" t="str">
        <f t="shared" si="49"/>
        <v>e-hydrogen (compressed)GlobalCAPEX including feedstock CAPEX</v>
      </c>
      <c r="H433" s="507">
        <v>256.64635353013858</v>
      </c>
      <c r="I433" s="507">
        <v>247.21700590830653</v>
      </c>
      <c r="J433" s="507">
        <v>237.53805175037812</v>
      </c>
      <c r="K433" s="507">
        <v>232.53269690653616</v>
      </c>
      <c r="L433" s="507">
        <v>227.06362881665248</v>
      </c>
      <c r="M433" s="507">
        <v>221.13084748073197</v>
      </c>
      <c r="N433" s="507">
        <v>214.73435289877628</v>
      </c>
      <c r="O433" s="507">
        <v>207.87414507077864</v>
      </c>
      <c r="P433" s="507">
        <v>212.24697175898439</v>
      </c>
      <c r="Q433" s="507">
        <v>215.53837151594018</v>
      </c>
      <c r="R433" s="507">
        <v>217.74834434164336</v>
      </c>
      <c r="S433" s="507">
        <v>218.87689023608903</v>
      </c>
      <c r="T433" s="507">
        <v>218.92400919928582</v>
      </c>
      <c r="U433" s="507">
        <v>217.21328869368136</v>
      </c>
      <c r="V433" s="507">
        <v>214.61001500027928</v>
      </c>
      <c r="W433" s="507">
        <v>211.1141881190886</v>
      </c>
      <c r="X433" s="507">
        <v>206.72580805010043</v>
      </c>
      <c r="Y433" s="507">
        <v>201.44487479331141</v>
      </c>
      <c r="Z433" s="507">
        <v>194.68227936129369</v>
      </c>
      <c r="AA433" s="507">
        <v>187.24620275654928</v>
      </c>
      <c r="AB433" s="507">
        <v>179.13664497908553</v>
      </c>
      <c r="AC433" s="507">
        <v>170.35360602889762</v>
      </c>
      <c r="AD433" s="507">
        <v>160.89708590598403</v>
      </c>
      <c r="AE433" s="507">
        <v>150.64085698303418</v>
      </c>
      <c r="AF433" s="507">
        <v>139.96336878636401</v>
      </c>
      <c r="AG433" s="507">
        <v>128.86462131597352</v>
      </c>
      <c r="AH433" s="507">
        <v>117.34461457186269</v>
      </c>
      <c r="AI433" s="507">
        <v>105.40334855403168</v>
      </c>
    </row>
    <row r="434" spans="2:35" outlineLevel="1">
      <c r="B434" t="str">
        <f t="shared" si="51"/>
        <v>Carbon dioxide (PS) - CAPEX - Global - USD/ton fuel</v>
      </c>
      <c r="C434" t="s">
        <v>1380</v>
      </c>
      <c r="D434" t="s">
        <v>446</v>
      </c>
      <c r="E434" t="s">
        <v>708</v>
      </c>
      <c r="F434" t="s">
        <v>1353</v>
      </c>
      <c r="G434" s="487" t="str">
        <f t="shared" si="49"/>
        <v>Carbon dioxide (PS)GlobalCAPEX</v>
      </c>
      <c r="H434" s="493">
        <v>34.333333333333336</v>
      </c>
      <c r="I434" s="493">
        <v>33</v>
      </c>
      <c r="J434" s="493">
        <v>31.666666666666668</v>
      </c>
      <c r="K434" s="493">
        <v>30.333333333333332</v>
      </c>
      <c r="L434" s="493">
        <v>29</v>
      </c>
      <c r="M434" s="493">
        <v>27.666666666666668</v>
      </c>
      <c r="N434" s="493">
        <v>26.333333333333332</v>
      </c>
      <c r="O434" s="493">
        <v>25</v>
      </c>
      <c r="P434" s="493">
        <v>24.483333333333334</v>
      </c>
      <c r="Q434" s="493">
        <v>23.966666666666665</v>
      </c>
      <c r="R434" s="493">
        <v>23.45</v>
      </c>
      <c r="S434" s="493">
        <v>22.933333333333334</v>
      </c>
      <c r="T434" s="493">
        <v>22.416666666666668</v>
      </c>
      <c r="U434" s="493">
        <v>21.9</v>
      </c>
      <c r="V434" s="493">
        <v>21.383333333333333</v>
      </c>
      <c r="W434" s="493">
        <v>20.866666666666667</v>
      </c>
      <c r="X434" s="493">
        <v>20.350000000000001</v>
      </c>
      <c r="Y434" s="493">
        <v>19.833333333333332</v>
      </c>
      <c r="Z434" s="493">
        <v>19.316666666666666</v>
      </c>
      <c r="AA434" s="493">
        <v>18.8</v>
      </c>
      <c r="AB434" s="493">
        <v>18.283333333333335</v>
      </c>
      <c r="AC434" s="493">
        <v>17.766666666666666</v>
      </c>
      <c r="AD434" s="493">
        <v>17.25</v>
      </c>
      <c r="AE434" s="493">
        <v>16.733333333333334</v>
      </c>
      <c r="AF434" s="493">
        <v>16.216666666666665</v>
      </c>
      <c r="AG434" s="493">
        <v>15.7</v>
      </c>
      <c r="AH434" s="493">
        <v>15.183333333333334</v>
      </c>
      <c r="AI434" s="493">
        <v>14.666666666666666</v>
      </c>
    </row>
    <row r="435" spans="2:35" outlineLevel="1">
      <c r="B435" t="str">
        <f t="shared" si="51"/>
        <v>e-methanol - Conversion H2 -&gt; MeOH - Global - ton H2/ton MeOH</v>
      </c>
      <c r="C435" t="s">
        <v>1381</v>
      </c>
      <c r="D435" t="s">
        <v>1382</v>
      </c>
      <c r="E435" t="s">
        <v>708</v>
      </c>
      <c r="F435" t="s">
        <v>1383</v>
      </c>
      <c r="G435" s="487" t="str">
        <f t="shared" si="49"/>
        <v>e-methanolGlobalConversion H2 -&gt; MeOH</v>
      </c>
      <c r="H435" s="508">
        <v>0.18875226265526496</v>
      </c>
      <c r="I435" s="508">
        <v>0.18875226265526496</v>
      </c>
      <c r="J435" s="508">
        <v>0.18875226265526496</v>
      </c>
      <c r="K435" s="508">
        <v>0.18875226265526496</v>
      </c>
      <c r="L435" s="508">
        <v>0.18875226265526496</v>
      </c>
      <c r="M435" s="508">
        <v>0.18875226265526496</v>
      </c>
      <c r="N435" s="508">
        <v>0.18875226265526496</v>
      </c>
      <c r="O435" s="508">
        <v>0.18875226265526496</v>
      </c>
      <c r="P435" s="508">
        <v>0.18875226265526496</v>
      </c>
      <c r="Q435" s="508">
        <v>0.18875226265526496</v>
      </c>
      <c r="R435" s="508">
        <v>0.18875226265526496</v>
      </c>
      <c r="S435" s="508">
        <v>0.18875226265526496</v>
      </c>
      <c r="T435" s="508">
        <v>0.18875226265526496</v>
      </c>
      <c r="U435" s="508">
        <v>0.18875226265526496</v>
      </c>
      <c r="V435" s="508">
        <v>0.18875226265526496</v>
      </c>
      <c r="W435" s="508">
        <v>0.18875226265526496</v>
      </c>
      <c r="X435" s="508">
        <v>0.18875226265526496</v>
      </c>
      <c r="Y435" s="508">
        <v>0.18875226265526496</v>
      </c>
      <c r="Z435" s="508">
        <v>0.18875226265526496</v>
      </c>
      <c r="AA435" s="508">
        <v>0.18875226265526496</v>
      </c>
      <c r="AB435" s="508">
        <v>0.18875226265526496</v>
      </c>
      <c r="AC435" s="508">
        <v>0.18875226265526496</v>
      </c>
      <c r="AD435" s="508">
        <v>0.18875226265526496</v>
      </c>
      <c r="AE435" s="508">
        <v>0.18875226265526496</v>
      </c>
      <c r="AF435" s="508">
        <v>0.18875226265526496</v>
      </c>
      <c r="AG435" s="508">
        <v>0.18875226265526496</v>
      </c>
      <c r="AH435" s="508">
        <v>0.18875226265526496</v>
      </c>
      <c r="AI435" s="508">
        <v>0.18875226265526496</v>
      </c>
    </row>
    <row r="436" spans="2:35" outlineLevel="1">
      <c r="B436" t="str">
        <f t="shared" si="51"/>
        <v>e-methanol - Conversion CO2 -&gt; MeOH - Global - ton CO2/ton MeOH</v>
      </c>
      <c r="C436" t="s">
        <v>1381</v>
      </c>
      <c r="D436" t="s">
        <v>1384</v>
      </c>
      <c r="E436" t="s">
        <v>708</v>
      </c>
      <c r="F436" t="s">
        <v>1385</v>
      </c>
      <c r="G436" s="487" t="str">
        <f t="shared" si="49"/>
        <v>e-methanolGlobalConversion CO2 -&gt; MeOH</v>
      </c>
      <c r="H436" s="508">
        <v>1.3735097684289368</v>
      </c>
      <c r="I436" s="508">
        <v>1.3735097684289368</v>
      </c>
      <c r="J436" s="508">
        <v>1.3735097684289368</v>
      </c>
      <c r="K436" s="508">
        <v>1.3735097684289368</v>
      </c>
      <c r="L436" s="508">
        <v>1.3735097684289368</v>
      </c>
      <c r="M436" s="508">
        <v>1.3735097684289368</v>
      </c>
      <c r="N436" s="508">
        <v>1.3735097684289368</v>
      </c>
      <c r="O436" s="508">
        <v>1.3735097684289368</v>
      </c>
      <c r="P436" s="508">
        <v>1.3735097684289368</v>
      </c>
      <c r="Q436" s="508">
        <v>1.3735097684289368</v>
      </c>
      <c r="R436" s="508">
        <v>1.3735097684289368</v>
      </c>
      <c r="S436" s="508">
        <v>1.3735097684289368</v>
      </c>
      <c r="T436" s="508">
        <v>1.3735097684289368</v>
      </c>
      <c r="U436" s="508">
        <v>1.3735097684289368</v>
      </c>
      <c r="V436" s="508">
        <v>1.3735097684289368</v>
      </c>
      <c r="W436" s="508">
        <v>1.3735097684289368</v>
      </c>
      <c r="X436" s="508">
        <v>1.3735097684289368</v>
      </c>
      <c r="Y436" s="508">
        <v>1.3735097684289368</v>
      </c>
      <c r="Z436" s="508">
        <v>1.3735097684289368</v>
      </c>
      <c r="AA436" s="508">
        <v>1.3735097684289368</v>
      </c>
      <c r="AB436" s="508">
        <v>1.3735097684289368</v>
      </c>
      <c r="AC436" s="508">
        <v>1.3735097684289368</v>
      </c>
      <c r="AD436" s="508">
        <v>1.3735097684289368</v>
      </c>
      <c r="AE436" s="508">
        <v>1.3735097684289368</v>
      </c>
      <c r="AF436" s="508">
        <v>1.3735097684289368</v>
      </c>
      <c r="AG436" s="508">
        <v>1.3735097684289368</v>
      </c>
      <c r="AH436" s="508">
        <v>1.3735097684289368</v>
      </c>
      <c r="AI436" s="508">
        <v>1.3735097684289368</v>
      </c>
    </row>
    <row r="437" spans="2:35" outlineLevel="1">
      <c r="B437" t="str">
        <f t="shared" si="51"/>
        <v/>
      </c>
      <c r="G437" s="487" t="str">
        <f t="shared" si="49"/>
        <v/>
      </c>
      <c r="H437" s="493"/>
      <c r="I437" s="493"/>
      <c r="J437" s="493"/>
      <c r="K437" s="493"/>
      <c r="L437" s="493"/>
      <c r="M437" s="493"/>
      <c r="N437" s="493"/>
      <c r="O437" s="493"/>
      <c r="P437" s="493"/>
      <c r="Q437" s="493"/>
      <c r="R437" s="493"/>
      <c r="S437" s="493"/>
      <c r="T437" s="493"/>
      <c r="U437" s="493"/>
      <c r="V437" s="493"/>
      <c r="W437" s="493"/>
      <c r="X437" s="493"/>
      <c r="Y437" s="493"/>
      <c r="Z437" s="493"/>
      <c r="AA437" s="493"/>
      <c r="AB437" s="493"/>
      <c r="AC437" s="493"/>
      <c r="AD437" s="493"/>
      <c r="AE437" s="493"/>
      <c r="AF437" s="493"/>
      <c r="AG437" s="493"/>
      <c r="AH437" s="493"/>
      <c r="AI437" s="493"/>
    </row>
    <row r="438" spans="2:35" ht="15" outlineLevel="1">
      <c r="B438" t="str">
        <f t="shared" si="51"/>
        <v>e-methanol (PS) - OPEX including feedstock OPEX - Global - USD/ton fuel</v>
      </c>
      <c r="C438" s="491" t="str">
        <f>C424</f>
        <v>e-methanol (PS)</v>
      </c>
      <c r="D438" s="491" t="s">
        <v>1364</v>
      </c>
      <c r="E438" s="491" t="s">
        <v>708</v>
      </c>
      <c r="F438" s="491" t="s">
        <v>1353</v>
      </c>
      <c r="G438" s="487" t="str">
        <f t="shared" si="49"/>
        <v>e-methanol (PS)GlobalOPEX including feedstock OPEX</v>
      </c>
      <c r="H438" s="492">
        <v>336.90579768959992</v>
      </c>
      <c r="I438" s="492">
        <v>322.55219580448579</v>
      </c>
      <c r="J438" s="492">
        <v>307.74924820419596</v>
      </c>
      <c r="K438" s="492">
        <v>295.74115138075194</v>
      </c>
      <c r="L438" s="492">
        <v>283.05361529654971</v>
      </c>
      <c r="M438" s="492">
        <v>269.68663995158835</v>
      </c>
      <c r="N438" s="492">
        <v>255.64022534587539</v>
      </c>
      <c r="O438" s="492">
        <v>240.91437147940314</v>
      </c>
      <c r="P438" s="492">
        <v>237.90988495497982</v>
      </c>
      <c r="Q438" s="492">
        <v>233.9844702311641</v>
      </c>
      <c r="R438" s="492">
        <v>229.1381273079574</v>
      </c>
      <c r="S438" s="492">
        <v>223.37085618535522</v>
      </c>
      <c r="T438" s="492">
        <v>216.68265686336082</v>
      </c>
      <c r="U438" s="492">
        <v>210.37873918682777</v>
      </c>
      <c r="V438" s="492">
        <v>203.52064039524208</v>
      </c>
      <c r="W438" s="492">
        <v>196.10836048860835</v>
      </c>
      <c r="X438" s="492">
        <v>188.14189946691931</v>
      </c>
      <c r="Y438" s="492">
        <v>179.62125733017871</v>
      </c>
      <c r="Z438" s="492">
        <v>171.56175568895966</v>
      </c>
      <c r="AA438" s="492">
        <v>163.22726035731199</v>
      </c>
      <c r="AB438" s="492">
        <v>154.61777133524032</v>
      </c>
      <c r="AC438" s="492">
        <v>145.73328862273988</v>
      </c>
      <c r="AD438" s="492">
        <v>136.5738122198145</v>
      </c>
      <c r="AE438" s="492">
        <v>128.80248057121656</v>
      </c>
      <c r="AF438" s="492">
        <v>120.92536719247687</v>
      </c>
      <c r="AG438" s="492">
        <v>112.94247208359569</v>
      </c>
      <c r="AH438" s="492">
        <v>104.85379524457285</v>
      </c>
      <c r="AI438" s="492">
        <v>96.659336675408412</v>
      </c>
    </row>
    <row r="439" spans="2:35" outlineLevel="1">
      <c r="B439" t="str">
        <f t="shared" si="51"/>
        <v>e-methanol (PS) - OPEX - Global - USD/ton fuel</v>
      </c>
      <c r="C439" t="str">
        <f>C424</f>
        <v>e-methanol (PS)</v>
      </c>
      <c r="D439" t="s">
        <v>450</v>
      </c>
      <c r="E439" t="s">
        <v>708</v>
      </c>
      <c r="F439" t="s">
        <v>1353</v>
      </c>
      <c r="G439" s="487" t="str">
        <f t="shared" si="49"/>
        <v>e-methanol (PS)GlobalOPEX</v>
      </c>
      <c r="H439" s="493">
        <v>119.2</v>
      </c>
      <c r="I439" s="493">
        <v>113.60000000000001</v>
      </c>
      <c r="J439" s="493">
        <v>108</v>
      </c>
      <c r="K439" s="493">
        <v>102.4</v>
      </c>
      <c r="L439" s="493">
        <v>96.8</v>
      </c>
      <c r="M439" s="493">
        <v>91.2</v>
      </c>
      <c r="N439" s="493">
        <v>85.600000000000009</v>
      </c>
      <c r="O439" s="493">
        <v>80</v>
      </c>
      <c r="P439" s="493">
        <v>78.2</v>
      </c>
      <c r="Q439" s="493">
        <v>76.400000000000006</v>
      </c>
      <c r="R439" s="493">
        <v>74.600000000000009</v>
      </c>
      <c r="S439" s="493">
        <v>72.8</v>
      </c>
      <c r="T439" s="493">
        <v>71</v>
      </c>
      <c r="U439" s="493">
        <v>69.2</v>
      </c>
      <c r="V439" s="493">
        <v>67.400000000000006</v>
      </c>
      <c r="W439" s="493">
        <v>65.599999999999994</v>
      </c>
      <c r="X439" s="493">
        <v>63.800000000000004</v>
      </c>
      <c r="Y439" s="493">
        <v>62</v>
      </c>
      <c r="Z439" s="493">
        <v>59.6</v>
      </c>
      <c r="AA439" s="493">
        <v>57.2</v>
      </c>
      <c r="AB439" s="493">
        <v>54.800000000000004</v>
      </c>
      <c r="AC439" s="493">
        <v>52.4</v>
      </c>
      <c r="AD439" s="493">
        <v>50</v>
      </c>
      <c r="AE439" s="493">
        <v>47.6</v>
      </c>
      <c r="AF439" s="493">
        <v>45.2</v>
      </c>
      <c r="AG439" s="493">
        <v>42.800000000000004</v>
      </c>
      <c r="AH439" s="493">
        <v>40.4</v>
      </c>
      <c r="AI439" s="493">
        <v>38</v>
      </c>
    </row>
    <row r="440" spans="2:35" outlineLevel="1">
      <c r="B440" t="str">
        <f t="shared" si="51"/>
        <v>e-hydrogen (compressed) - OPEX including feedstock OPEX - Global - USD/ton fuel</v>
      </c>
      <c r="C440" t="s">
        <v>722</v>
      </c>
      <c r="D440" t="s">
        <v>1364</v>
      </c>
      <c r="E440" t="s">
        <v>708</v>
      </c>
      <c r="F440" t="s">
        <v>1353</v>
      </c>
      <c r="G440" s="487" t="str">
        <f t="shared" si="49"/>
        <v>e-hydrogen (compressed)GlobalOPEX including feedstock OPEX</v>
      </c>
      <c r="H440" s="507">
        <v>778.63990898977545</v>
      </c>
      <c r="I440" s="507">
        <v>746.81733762687418</v>
      </c>
      <c r="J440" s="507">
        <v>712.61415525113227</v>
      </c>
      <c r="K440" s="507">
        <v>693.21795180920219</v>
      </c>
      <c r="L440" s="507">
        <v>670.22211331548374</v>
      </c>
      <c r="M440" s="507">
        <v>643.6266397699726</v>
      </c>
      <c r="N440" s="507">
        <v>613.43153117270822</v>
      </c>
      <c r="O440" s="507">
        <v>579.63678752365013</v>
      </c>
      <c r="P440" s="507">
        <v>578.89498738880036</v>
      </c>
      <c r="Q440" s="507">
        <v>573.27415594361116</v>
      </c>
      <c r="R440" s="507">
        <v>562.77429318809038</v>
      </c>
      <c r="S440" s="507">
        <v>547.39539912221437</v>
      </c>
      <c r="T440" s="507">
        <v>527.13747374599984</v>
      </c>
      <c r="U440" s="507">
        <v>508.91545321169565</v>
      </c>
      <c r="V440" s="507">
        <v>487.75740898550708</v>
      </c>
      <c r="W440" s="507">
        <v>463.66334106745865</v>
      </c>
      <c r="X440" s="507">
        <v>436.63324945751151</v>
      </c>
      <c r="Y440" s="507">
        <v>406.66713415568563</v>
      </c>
      <c r="Z440" s="507">
        <v>382.32288786138321</v>
      </c>
      <c r="AA440" s="507">
        <v>356.52173881762411</v>
      </c>
      <c r="AB440" s="507">
        <v>329.2636870244329</v>
      </c>
      <c r="AC440" s="507">
        <v>300.54873248178433</v>
      </c>
      <c r="AD440" s="507">
        <v>270.37687518969852</v>
      </c>
      <c r="AE440" s="507">
        <v>247.55933903156756</v>
      </c>
      <c r="AF440" s="507">
        <v>224.18137658421693</v>
      </c>
      <c r="AG440" s="507">
        <v>200.24298784764761</v>
      </c>
      <c r="AH440" s="507">
        <v>175.74417282185905</v>
      </c>
      <c r="AI440" s="507">
        <v>150.68493150685131</v>
      </c>
    </row>
    <row r="441" spans="2:35" outlineLevel="1">
      <c r="B441" t="str">
        <f t="shared" si="51"/>
        <v>Carbon dioxide (PS) - OPEX - Global - USD/ton fuel</v>
      </c>
      <c r="C441" t="s">
        <v>1380</v>
      </c>
      <c r="D441" t="s">
        <v>450</v>
      </c>
      <c r="E441" t="s">
        <v>708</v>
      </c>
      <c r="F441" t="s">
        <v>1353</v>
      </c>
      <c r="G441" s="487" t="str">
        <f t="shared" si="49"/>
        <v>Carbon dioxide (PS)GlobalOPEX</v>
      </c>
      <c r="H441" s="493">
        <v>51.5</v>
      </c>
      <c r="I441" s="493">
        <v>49.5</v>
      </c>
      <c r="J441" s="493">
        <v>47.5</v>
      </c>
      <c r="K441" s="493">
        <v>45.5</v>
      </c>
      <c r="L441" s="493">
        <v>43.5</v>
      </c>
      <c r="M441" s="493">
        <v>41.5</v>
      </c>
      <c r="N441" s="493">
        <v>39.5</v>
      </c>
      <c r="O441" s="493">
        <v>37.5</v>
      </c>
      <c r="P441" s="493">
        <v>36.725000000000001</v>
      </c>
      <c r="Q441" s="493">
        <v>35.950000000000003</v>
      </c>
      <c r="R441" s="493">
        <v>35.175000000000004</v>
      </c>
      <c r="S441" s="493">
        <v>34.4</v>
      </c>
      <c r="T441" s="493">
        <v>33.625</v>
      </c>
      <c r="U441" s="493">
        <v>32.85</v>
      </c>
      <c r="V441" s="493">
        <v>32.075000000000003</v>
      </c>
      <c r="W441" s="493">
        <v>31.3</v>
      </c>
      <c r="X441" s="493">
        <v>30.525000000000002</v>
      </c>
      <c r="Y441" s="493">
        <v>29.75</v>
      </c>
      <c r="Z441" s="493">
        <v>28.975000000000001</v>
      </c>
      <c r="AA441" s="493">
        <v>28.200000000000003</v>
      </c>
      <c r="AB441" s="493">
        <v>27.425000000000001</v>
      </c>
      <c r="AC441" s="493">
        <v>26.650000000000002</v>
      </c>
      <c r="AD441" s="493">
        <v>25.875</v>
      </c>
      <c r="AE441" s="493">
        <v>25.1</v>
      </c>
      <c r="AF441" s="493">
        <v>24.325000000000003</v>
      </c>
      <c r="AG441" s="493">
        <v>23.55</v>
      </c>
      <c r="AH441" s="493">
        <v>22.775000000000002</v>
      </c>
      <c r="AI441" s="493">
        <v>22</v>
      </c>
    </row>
    <row r="442" spans="2:35" outlineLevel="1">
      <c r="B442" t="str">
        <f t="shared" si="51"/>
        <v>e-methanol - Conversion H2 -&gt; MeOH - Global - ton H2/ton MeOH</v>
      </c>
      <c r="C442" t="s">
        <v>1381</v>
      </c>
      <c r="D442" t="s">
        <v>1382</v>
      </c>
      <c r="E442" t="s">
        <v>708</v>
      </c>
      <c r="F442" t="s">
        <v>1383</v>
      </c>
      <c r="G442" s="487" t="str">
        <f t="shared" si="49"/>
        <v>e-methanolGlobalConversion H2 -&gt; MeOH</v>
      </c>
      <c r="H442" s="508">
        <v>0.18875226265526496</v>
      </c>
      <c r="I442" s="508">
        <v>0.18875226265526496</v>
      </c>
      <c r="J442" s="508">
        <v>0.18875226265526496</v>
      </c>
      <c r="K442" s="508">
        <v>0.18875226265526496</v>
      </c>
      <c r="L442" s="508">
        <v>0.18875226265526496</v>
      </c>
      <c r="M442" s="508">
        <v>0.18875226265526496</v>
      </c>
      <c r="N442" s="508">
        <v>0.18875226265526496</v>
      </c>
      <c r="O442" s="508">
        <v>0.18875226265526496</v>
      </c>
      <c r="P442" s="508">
        <v>0.18875226265526496</v>
      </c>
      <c r="Q442" s="508">
        <v>0.18875226265526496</v>
      </c>
      <c r="R442" s="508">
        <v>0.18875226265526496</v>
      </c>
      <c r="S442" s="508">
        <v>0.18875226265526496</v>
      </c>
      <c r="T442" s="508">
        <v>0.18875226265526496</v>
      </c>
      <c r="U442" s="508">
        <v>0.18875226265526496</v>
      </c>
      <c r="V442" s="508">
        <v>0.18875226265526496</v>
      </c>
      <c r="W442" s="508">
        <v>0.18875226265526496</v>
      </c>
      <c r="X442" s="508">
        <v>0.18875226265526496</v>
      </c>
      <c r="Y442" s="508">
        <v>0.18875226265526496</v>
      </c>
      <c r="Z442" s="508">
        <v>0.18875226265526496</v>
      </c>
      <c r="AA442" s="508">
        <v>0.18875226265526496</v>
      </c>
      <c r="AB442" s="508">
        <v>0.18875226265526496</v>
      </c>
      <c r="AC442" s="508">
        <v>0.18875226265526496</v>
      </c>
      <c r="AD442" s="508">
        <v>0.18875226265526496</v>
      </c>
      <c r="AE442" s="508">
        <v>0.18875226265526496</v>
      </c>
      <c r="AF442" s="508">
        <v>0.18875226265526496</v>
      </c>
      <c r="AG442" s="508">
        <v>0.18875226265526496</v>
      </c>
      <c r="AH442" s="508">
        <v>0.18875226265526496</v>
      </c>
      <c r="AI442" s="508">
        <v>0.18875226265526496</v>
      </c>
    </row>
    <row r="443" spans="2:35" outlineLevel="1">
      <c r="B443" t="str">
        <f t="shared" si="51"/>
        <v>e-methanol - Conversion CO2 -&gt; MeOH - Global - ton CO2/ton MeOH</v>
      </c>
      <c r="C443" t="s">
        <v>1381</v>
      </c>
      <c r="D443" t="s">
        <v>1384</v>
      </c>
      <c r="E443" t="s">
        <v>708</v>
      </c>
      <c r="F443" t="s">
        <v>1385</v>
      </c>
      <c r="G443" s="487" t="str">
        <f t="shared" si="49"/>
        <v>e-methanolGlobalConversion CO2 -&gt; MeOH</v>
      </c>
      <c r="H443" s="508">
        <v>1.3735097684289368</v>
      </c>
      <c r="I443" s="508">
        <v>1.3735097684289368</v>
      </c>
      <c r="J443" s="508">
        <v>1.3735097684289368</v>
      </c>
      <c r="K443" s="508">
        <v>1.3735097684289368</v>
      </c>
      <c r="L443" s="508">
        <v>1.3735097684289368</v>
      </c>
      <c r="M443" s="508">
        <v>1.3735097684289368</v>
      </c>
      <c r="N443" s="508">
        <v>1.3735097684289368</v>
      </c>
      <c r="O443" s="508">
        <v>1.3735097684289368</v>
      </c>
      <c r="P443" s="508">
        <v>1.3735097684289368</v>
      </c>
      <c r="Q443" s="508">
        <v>1.3735097684289368</v>
      </c>
      <c r="R443" s="508">
        <v>1.3735097684289368</v>
      </c>
      <c r="S443" s="508">
        <v>1.3735097684289368</v>
      </c>
      <c r="T443" s="508">
        <v>1.3735097684289368</v>
      </c>
      <c r="U443" s="508">
        <v>1.3735097684289368</v>
      </c>
      <c r="V443" s="508">
        <v>1.3735097684289368</v>
      </c>
      <c r="W443" s="508">
        <v>1.3735097684289368</v>
      </c>
      <c r="X443" s="508">
        <v>1.3735097684289368</v>
      </c>
      <c r="Y443" s="508">
        <v>1.3735097684289368</v>
      </c>
      <c r="Z443" s="508">
        <v>1.3735097684289368</v>
      </c>
      <c r="AA443" s="508">
        <v>1.3735097684289368</v>
      </c>
      <c r="AB443" s="508">
        <v>1.3735097684289368</v>
      </c>
      <c r="AC443" s="508">
        <v>1.3735097684289368</v>
      </c>
      <c r="AD443" s="508">
        <v>1.3735097684289368</v>
      </c>
      <c r="AE443" s="508">
        <v>1.3735097684289368</v>
      </c>
      <c r="AF443" s="508">
        <v>1.3735097684289368</v>
      </c>
      <c r="AG443" s="508">
        <v>1.3735097684289368</v>
      </c>
      <c r="AH443" s="508">
        <v>1.3735097684289368</v>
      </c>
      <c r="AI443" s="508">
        <v>1.3735097684289368</v>
      </c>
    </row>
    <row r="444" spans="2:35" outlineLevel="1">
      <c r="B444" t="str">
        <f t="shared" si="51"/>
        <v/>
      </c>
      <c r="G444" s="487" t="str">
        <f t="shared" si="49"/>
        <v/>
      </c>
      <c r="H444" s="493"/>
      <c r="I444" s="493"/>
      <c r="J444" s="493"/>
      <c r="K444" s="493"/>
      <c r="L444" s="493"/>
      <c r="M444" s="493"/>
      <c r="N444" s="493"/>
      <c r="O444" s="493"/>
      <c r="P444" s="493"/>
      <c r="Q444" s="493"/>
      <c r="R444" s="493"/>
      <c r="S444" s="493"/>
      <c r="T444" s="493"/>
      <c r="U444" s="493"/>
      <c r="V444" s="493"/>
      <c r="W444" s="493"/>
      <c r="X444" s="493"/>
      <c r="Y444" s="493"/>
      <c r="Z444" s="493"/>
      <c r="AA444" s="493"/>
      <c r="AB444" s="493"/>
      <c r="AC444" s="493"/>
      <c r="AD444" s="493"/>
      <c r="AE444" s="493"/>
      <c r="AF444" s="493"/>
      <c r="AG444" s="493"/>
      <c r="AH444" s="493"/>
      <c r="AI444" s="493"/>
    </row>
    <row r="445" spans="2:35" ht="15" outlineLevel="1">
      <c r="B445" t="str">
        <f t="shared" si="51"/>
        <v>e-methanol (PS) - Finance cost including feedstock finance cost - Africa - USD/ton fuel</v>
      </c>
      <c r="C445" s="494" t="str">
        <f>C428</f>
        <v>e-methanol (PS)</v>
      </c>
      <c r="D445" s="494" t="s">
        <v>1365</v>
      </c>
      <c r="E445" s="494" t="s">
        <v>838</v>
      </c>
      <c r="F445" s="494" t="s">
        <v>1353</v>
      </c>
      <c r="G445" s="487" t="str">
        <f t="shared" si="49"/>
        <v>e-methanol (PS)AfricaFinance cost including feedstock finance cost</v>
      </c>
      <c r="H445" s="495">
        <v>321.63958526770989</v>
      </c>
      <c r="I445" s="495">
        <v>307.98117612384283</v>
      </c>
      <c r="J445" s="495">
        <v>294.24502921251405</v>
      </c>
      <c r="K445" s="495">
        <v>281.96443383589371</v>
      </c>
      <c r="L445" s="495">
        <v>269.53941903399095</v>
      </c>
      <c r="M445" s="495">
        <v>256.96998480680736</v>
      </c>
      <c r="N445" s="495">
        <v>244.25613115434331</v>
      </c>
      <c r="O445" s="495">
        <v>231.3978580765968</v>
      </c>
      <c r="P445" s="495">
        <v>229.11381953614813</v>
      </c>
      <c r="Q445" s="495">
        <v>226.49298005841925</v>
      </c>
      <c r="R445" s="495">
        <v>223.53533964340951</v>
      </c>
      <c r="S445" s="495">
        <v>220.24089829111728</v>
      </c>
      <c r="T445" s="495">
        <v>216.60965600154526</v>
      </c>
      <c r="U445" s="495">
        <v>212.43095001972367</v>
      </c>
      <c r="V445" s="495">
        <v>207.97426617223607</v>
      </c>
      <c r="W445" s="495">
        <v>203.23960445908526</v>
      </c>
      <c r="X445" s="495">
        <v>198.2269648802685</v>
      </c>
      <c r="Y445" s="495">
        <v>192.93634743578471</v>
      </c>
      <c r="Z445" s="495">
        <v>186.35927929599347</v>
      </c>
      <c r="AA445" s="495">
        <v>179.57246134910918</v>
      </c>
      <c r="AB445" s="495">
        <v>172.57589359513423</v>
      </c>
      <c r="AC445" s="495">
        <v>165.36957603406702</v>
      </c>
      <c r="AD445" s="495">
        <v>157.95350866590712</v>
      </c>
      <c r="AE445" s="495">
        <v>150.28837900271816</v>
      </c>
      <c r="AF445" s="495">
        <v>142.49205183174846</v>
      </c>
      <c r="AG445" s="495">
        <v>134.56452715299804</v>
      </c>
      <c r="AH445" s="495">
        <v>126.50580496646688</v>
      </c>
      <c r="AI445" s="495">
        <v>118.31588527215509</v>
      </c>
    </row>
    <row r="446" spans="2:35" ht="15" outlineLevel="1">
      <c r="B446" t="str">
        <f t="shared" si="51"/>
        <v>e-methanol (PS) - Finance cost including feedstock finance cost - Americas - USD/ton fuel</v>
      </c>
      <c r="C446" s="22" t="str">
        <f>C428</f>
        <v>e-methanol (PS)</v>
      </c>
      <c r="D446" s="22" t="s">
        <v>1365</v>
      </c>
      <c r="E446" s="22" t="s">
        <v>731</v>
      </c>
      <c r="F446" s="22" t="s">
        <v>1353</v>
      </c>
      <c r="G446" s="487" t="str">
        <f t="shared" si="49"/>
        <v>e-methanol (PS)AmericasFinance cost including feedstock finance cost</v>
      </c>
      <c r="H446" s="496">
        <v>321.63958526770989</v>
      </c>
      <c r="I446" s="496">
        <v>307.98117612384283</v>
      </c>
      <c r="J446" s="496">
        <v>294.24502921251405</v>
      </c>
      <c r="K446" s="496">
        <v>281.96443383589371</v>
      </c>
      <c r="L446" s="496">
        <v>269.53941903399095</v>
      </c>
      <c r="M446" s="496">
        <v>256.96998480680736</v>
      </c>
      <c r="N446" s="496">
        <v>244.25613115434331</v>
      </c>
      <c r="O446" s="496">
        <v>231.3978580765968</v>
      </c>
      <c r="P446" s="496">
        <v>229.11381953614813</v>
      </c>
      <c r="Q446" s="496">
        <v>226.49298005841925</v>
      </c>
      <c r="R446" s="496">
        <v>223.53533964340951</v>
      </c>
      <c r="S446" s="496">
        <v>220.24089829111728</v>
      </c>
      <c r="T446" s="496">
        <v>216.60965600154526</v>
      </c>
      <c r="U446" s="496">
        <v>212.43095001972367</v>
      </c>
      <c r="V446" s="496">
        <v>207.97426617223607</v>
      </c>
      <c r="W446" s="496">
        <v>203.23960445908526</v>
      </c>
      <c r="X446" s="496">
        <v>198.2269648802685</v>
      </c>
      <c r="Y446" s="496">
        <v>192.93634743578471</v>
      </c>
      <c r="Z446" s="496">
        <v>186.35927929599347</v>
      </c>
      <c r="AA446" s="496">
        <v>179.57246134910918</v>
      </c>
      <c r="AB446" s="496">
        <v>172.57589359513423</v>
      </c>
      <c r="AC446" s="496">
        <v>165.36957603406702</v>
      </c>
      <c r="AD446" s="496">
        <v>157.95350866590712</v>
      </c>
      <c r="AE446" s="496">
        <v>150.28837900271816</v>
      </c>
      <c r="AF446" s="496">
        <v>142.49205183174846</v>
      </c>
      <c r="AG446" s="496">
        <v>134.56452715299804</v>
      </c>
      <c r="AH446" s="496">
        <v>126.50580496646688</v>
      </c>
      <c r="AI446" s="496">
        <v>118.31588527215509</v>
      </c>
    </row>
    <row r="447" spans="2:35" ht="15" outlineLevel="1">
      <c r="B447" t="str">
        <f t="shared" si="51"/>
        <v>e-methanol (PS) - Finance cost including feedstock finance cost - Asia - USD/ton fuel</v>
      </c>
      <c r="C447" s="22" t="str">
        <f>C428</f>
        <v>e-methanol (PS)</v>
      </c>
      <c r="D447" s="22" t="s">
        <v>1365</v>
      </c>
      <c r="E447" s="22" t="s">
        <v>750</v>
      </c>
      <c r="F447" s="22" t="s">
        <v>1353</v>
      </c>
      <c r="G447" s="487" t="str">
        <f t="shared" si="49"/>
        <v>e-methanol (PS)AsiaFinance cost including feedstock finance cost</v>
      </c>
      <c r="H447" s="496">
        <v>321.63958526770989</v>
      </c>
      <c r="I447" s="496">
        <v>307.98117612384283</v>
      </c>
      <c r="J447" s="496">
        <v>294.24502921251405</v>
      </c>
      <c r="K447" s="496">
        <v>281.96443383589371</v>
      </c>
      <c r="L447" s="496">
        <v>269.53941903399095</v>
      </c>
      <c r="M447" s="496">
        <v>256.96998480680736</v>
      </c>
      <c r="N447" s="496">
        <v>244.25613115434331</v>
      </c>
      <c r="O447" s="496">
        <v>231.3978580765968</v>
      </c>
      <c r="P447" s="496">
        <v>229.11381953614813</v>
      </c>
      <c r="Q447" s="496">
        <v>226.49298005841925</v>
      </c>
      <c r="R447" s="496">
        <v>223.53533964340951</v>
      </c>
      <c r="S447" s="496">
        <v>220.24089829111728</v>
      </c>
      <c r="T447" s="496">
        <v>216.60965600154526</v>
      </c>
      <c r="U447" s="496">
        <v>212.43095001972367</v>
      </c>
      <c r="V447" s="496">
        <v>207.97426617223607</v>
      </c>
      <c r="W447" s="496">
        <v>203.23960445908526</v>
      </c>
      <c r="X447" s="496">
        <v>198.2269648802685</v>
      </c>
      <c r="Y447" s="496">
        <v>192.93634743578471</v>
      </c>
      <c r="Z447" s="496">
        <v>186.35927929599347</v>
      </c>
      <c r="AA447" s="496">
        <v>179.57246134910918</v>
      </c>
      <c r="AB447" s="496">
        <v>172.57589359513423</v>
      </c>
      <c r="AC447" s="496">
        <v>165.36957603406702</v>
      </c>
      <c r="AD447" s="496">
        <v>157.95350866590712</v>
      </c>
      <c r="AE447" s="496">
        <v>150.28837900271816</v>
      </c>
      <c r="AF447" s="496">
        <v>142.49205183174846</v>
      </c>
      <c r="AG447" s="496">
        <v>134.56452715299804</v>
      </c>
      <c r="AH447" s="496">
        <v>126.50580496646688</v>
      </c>
      <c r="AI447" s="496">
        <v>118.31588527215509</v>
      </c>
    </row>
    <row r="448" spans="2:35" ht="15" outlineLevel="1">
      <c r="B448" t="str">
        <f t="shared" si="51"/>
        <v>e-methanol (PS) - Finance cost including feedstock finance cost - Europe - USD/ton fuel</v>
      </c>
      <c r="C448" s="22" t="str">
        <f>C428</f>
        <v>e-methanol (PS)</v>
      </c>
      <c r="D448" s="22" t="s">
        <v>1365</v>
      </c>
      <c r="E448" s="22" t="s">
        <v>720</v>
      </c>
      <c r="F448" s="22" t="s">
        <v>1353</v>
      </c>
      <c r="G448" s="487" t="str">
        <f t="shared" si="49"/>
        <v>e-methanol (PS)EuropeFinance cost including feedstock finance cost</v>
      </c>
      <c r="H448" s="496">
        <v>321.63958526770989</v>
      </c>
      <c r="I448" s="496">
        <v>307.98117612384283</v>
      </c>
      <c r="J448" s="496">
        <v>294.24502921251405</v>
      </c>
      <c r="K448" s="496">
        <v>281.96443383589371</v>
      </c>
      <c r="L448" s="496">
        <v>269.53941903399095</v>
      </c>
      <c r="M448" s="496">
        <v>256.96998480680736</v>
      </c>
      <c r="N448" s="496">
        <v>244.25613115434331</v>
      </c>
      <c r="O448" s="496">
        <v>231.3978580765968</v>
      </c>
      <c r="P448" s="496">
        <v>229.11381953614813</v>
      </c>
      <c r="Q448" s="496">
        <v>226.49298005841925</v>
      </c>
      <c r="R448" s="496">
        <v>223.53533964340951</v>
      </c>
      <c r="S448" s="496">
        <v>220.24089829111728</v>
      </c>
      <c r="T448" s="496">
        <v>216.60965600154526</v>
      </c>
      <c r="U448" s="496">
        <v>212.43095001972367</v>
      </c>
      <c r="V448" s="496">
        <v>207.97426617223607</v>
      </c>
      <c r="W448" s="496">
        <v>203.23960445908526</v>
      </c>
      <c r="X448" s="496">
        <v>198.2269648802685</v>
      </c>
      <c r="Y448" s="496">
        <v>192.93634743578471</v>
      </c>
      <c r="Z448" s="496">
        <v>186.35927929599347</v>
      </c>
      <c r="AA448" s="496">
        <v>179.57246134910918</v>
      </c>
      <c r="AB448" s="496">
        <v>172.57589359513423</v>
      </c>
      <c r="AC448" s="496">
        <v>165.36957603406702</v>
      </c>
      <c r="AD448" s="496">
        <v>157.95350866590712</v>
      </c>
      <c r="AE448" s="496">
        <v>150.28837900271816</v>
      </c>
      <c r="AF448" s="496">
        <v>142.49205183174846</v>
      </c>
      <c r="AG448" s="496">
        <v>134.56452715299804</v>
      </c>
      <c r="AH448" s="496">
        <v>126.50580496646688</v>
      </c>
      <c r="AI448" s="496">
        <v>118.31588527215509</v>
      </c>
    </row>
    <row r="449" spans="2:35" ht="15" outlineLevel="1">
      <c r="B449" t="str">
        <f t="shared" si="51"/>
        <v>e-methanol (PS) - Finance cost including feedstock finance cost - Middle East - USD/ton fuel</v>
      </c>
      <c r="C449" s="92" t="str">
        <f>C428</f>
        <v>e-methanol (PS)</v>
      </c>
      <c r="D449" s="92" t="s">
        <v>1365</v>
      </c>
      <c r="E449" s="92" t="s">
        <v>826</v>
      </c>
      <c r="F449" s="92" t="s">
        <v>1353</v>
      </c>
      <c r="G449" s="487" t="str">
        <f t="shared" si="49"/>
        <v>e-methanol (PS)Middle EastFinance cost including feedstock finance cost</v>
      </c>
      <c r="H449" s="497">
        <v>321.63958526770989</v>
      </c>
      <c r="I449" s="497">
        <v>307.98117612384283</v>
      </c>
      <c r="J449" s="497">
        <v>294.24502921251405</v>
      </c>
      <c r="K449" s="497">
        <v>281.96443383589371</v>
      </c>
      <c r="L449" s="497">
        <v>269.53941903399095</v>
      </c>
      <c r="M449" s="497">
        <v>256.96998480680736</v>
      </c>
      <c r="N449" s="497">
        <v>244.25613115434331</v>
      </c>
      <c r="O449" s="497">
        <v>231.3978580765968</v>
      </c>
      <c r="P449" s="497">
        <v>229.11381953614813</v>
      </c>
      <c r="Q449" s="497">
        <v>226.49298005841925</v>
      </c>
      <c r="R449" s="497">
        <v>223.53533964340951</v>
      </c>
      <c r="S449" s="497">
        <v>220.24089829111728</v>
      </c>
      <c r="T449" s="497">
        <v>216.60965600154526</v>
      </c>
      <c r="U449" s="497">
        <v>212.43095001972367</v>
      </c>
      <c r="V449" s="497">
        <v>207.97426617223607</v>
      </c>
      <c r="W449" s="497">
        <v>203.23960445908526</v>
      </c>
      <c r="X449" s="497">
        <v>198.2269648802685</v>
      </c>
      <c r="Y449" s="497">
        <v>192.93634743578471</v>
      </c>
      <c r="Z449" s="497">
        <v>186.35927929599347</v>
      </c>
      <c r="AA449" s="497">
        <v>179.57246134910918</v>
      </c>
      <c r="AB449" s="497">
        <v>172.57589359513423</v>
      </c>
      <c r="AC449" s="497">
        <v>165.36957603406702</v>
      </c>
      <c r="AD449" s="497">
        <v>157.95350866590712</v>
      </c>
      <c r="AE449" s="497">
        <v>150.28837900271816</v>
      </c>
      <c r="AF449" s="497">
        <v>142.49205183174846</v>
      </c>
      <c r="AG449" s="497">
        <v>134.56452715299804</v>
      </c>
      <c r="AH449" s="497">
        <v>126.50580496646688</v>
      </c>
      <c r="AI449" s="497">
        <v>118.31588527215509</v>
      </c>
    </row>
    <row r="450" spans="2:35" outlineLevel="1">
      <c r="B450" t="str">
        <f t="shared" si="51"/>
        <v>e-methanol (PS) - Finance cost - Africa - USD/ton fuel</v>
      </c>
      <c r="C450" t="str">
        <f>C424</f>
        <v>e-methanol (PS)</v>
      </c>
      <c r="D450" t="s">
        <v>1366</v>
      </c>
      <c r="E450" t="s">
        <v>838</v>
      </c>
      <c r="F450" t="s">
        <v>1353</v>
      </c>
      <c r="G450" s="487" t="str">
        <f t="shared" si="49"/>
        <v>e-methanol (PS)AfricaFinance cost</v>
      </c>
      <c r="H450" s="493">
        <v>163.90000000000003</v>
      </c>
      <c r="I450" s="493">
        <v>156.20000000000002</v>
      </c>
      <c r="J450" s="493">
        <v>148.50000000000003</v>
      </c>
      <c r="K450" s="493">
        <v>140.80000000000001</v>
      </c>
      <c r="L450" s="493">
        <v>133.10000000000002</v>
      </c>
      <c r="M450" s="493">
        <v>125.40000000000002</v>
      </c>
      <c r="N450" s="493">
        <v>117.70000000000002</v>
      </c>
      <c r="O450" s="493">
        <v>110.00000000000001</v>
      </c>
      <c r="P450" s="493">
        <v>107.52500000000002</v>
      </c>
      <c r="Q450" s="493">
        <v>105.05000000000001</v>
      </c>
      <c r="R450" s="493">
        <v>102.57500000000002</v>
      </c>
      <c r="S450" s="493">
        <v>100.10000000000001</v>
      </c>
      <c r="T450" s="493">
        <v>97.625000000000014</v>
      </c>
      <c r="U450" s="493">
        <v>95.15</v>
      </c>
      <c r="V450" s="493">
        <v>92.675000000000011</v>
      </c>
      <c r="W450" s="493">
        <v>90.200000000000017</v>
      </c>
      <c r="X450" s="493">
        <v>87.725000000000009</v>
      </c>
      <c r="Y450" s="493">
        <v>85.250000000000014</v>
      </c>
      <c r="Z450" s="493">
        <v>81.950000000000017</v>
      </c>
      <c r="AA450" s="493">
        <v>78.650000000000006</v>
      </c>
      <c r="AB450" s="493">
        <v>75.350000000000009</v>
      </c>
      <c r="AC450" s="493">
        <v>72.050000000000011</v>
      </c>
      <c r="AD450" s="493">
        <v>68.750000000000014</v>
      </c>
      <c r="AE450" s="493">
        <v>65.45</v>
      </c>
      <c r="AF450" s="493">
        <v>62.150000000000006</v>
      </c>
      <c r="AG450" s="493">
        <v>58.850000000000009</v>
      </c>
      <c r="AH450" s="493">
        <v>55.550000000000004</v>
      </c>
      <c r="AI450" s="493">
        <v>52.250000000000007</v>
      </c>
    </row>
    <row r="451" spans="2:35" outlineLevel="1">
      <c r="B451" t="str">
        <f t="shared" si="51"/>
        <v>e-methanol (PS) - Finance cost - Americas - USD/ton fuel</v>
      </c>
      <c r="C451" t="str">
        <f>C424</f>
        <v>e-methanol (PS)</v>
      </c>
      <c r="D451" t="s">
        <v>1366</v>
      </c>
      <c r="E451" t="s">
        <v>731</v>
      </c>
      <c r="F451" t="s">
        <v>1353</v>
      </c>
      <c r="G451" s="487" t="str">
        <f t="shared" si="49"/>
        <v>e-methanol (PS)AmericasFinance cost</v>
      </c>
      <c r="H451" s="493">
        <v>163.90000000000003</v>
      </c>
      <c r="I451" s="493">
        <v>156.20000000000002</v>
      </c>
      <c r="J451" s="493">
        <v>148.50000000000003</v>
      </c>
      <c r="K451" s="493">
        <v>140.80000000000001</v>
      </c>
      <c r="L451" s="493">
        <v>133.10000000000002</v>
      </c>
      <c r="M451" s="493">
        <v>125.40000000000002</v>
      </c>
      <c r="N451" s="493">
        <v>117.70000000000002</v>
      </c>
      <c r="O451" s="493">
        <v>110.00000000000001</v>
      </c>
      <c r="P451" s="493">
        <v>107.52500000000002</v>
      </c>
      <c r="Q451" s="493">
        <v>105.05000000000001</v>
      </c>
      <c r="R451" s="493">
        <v>102.57500000000002</v>
      </c>
      <c r="S451" s="493">
        <v>100.10000000000001</v>
      </c>
      <c r="T451" s="493">
        <v>97.625000000000014</v>
      </c>
      <c r="U451" s="493">
        <v>95.15</v>
      </c>
      <c r="V451" s="493">
        <v>92.675000000000011</v>
      </c>
      <c r="W451" s="493">
        <v>90.200000000000017</v>
      </c>
      <c r="X451" s="493">
        <v>87.725000000000009</v>
      </c>
      <c r="Y451" s="493">
        <v>85.250000000000014</v>
      </c>
      <c r="Z451" s="493">
        <v>81.950000000000017</v>
      </c>
      <c r="AA451" s="493">
        <v>78.650000000000006</v>
      </c>
      <c r="AB451" s="493">
        <v>75.350000000000009</v>
      </c>
      <c r="AC451" s="493">
        <v>72.050000000000011</v>
      </c>
      <c r="AD451" s="493">
        <v>68.750000000000014</v>
      </c>
      <c r="AE451" s="493">
        <v>65.45</v>
      </c>
      <c r="AF451" s="493">
        <v>62.150000000000006</v>
      </c>
      <c r="AG451" s="493">
        <v>58.850000000000009</v>
      </c>
      <c r="AH451" s="493">
        <v>55.550000000000004</v>
      </c>
      <c r="AI451" s="493">
        <v>52.250000000000007</v>
      </c>
    </row>
    <row r="452" spans="2:35" outlineLevel="1">
      <c r="B452" t="str">
        <f t="shared" si="51"/>
        <v>e-methanol (PS) - Finance cost - Asia - USD/ton fuel</v>
      </c>
      <c r="C452" t="str">
        <f>C424</f>
        <v>e-methanol (PS)</v>
      </c>
      <c r="D452" t="s">
        <v>1366</v>
      </c>
      <c r="E452" t="s">
        <v>750</v>
      </c>
      <c r="F452" t="s">
        <v>1353</v>
      </c>
      <c r="G452" s="487" t="str">
        <f t="shared" si="49"/>
        <v>e-methanol (PS)AsiaFinance cost</v>
      </c>
      <c r="H452" s="493">
        <v>163.90000000000003</v>
      </c>
      <c r="I452" s="493">
        <v>156.20000000000002</v>
      </c>
      <c r="J452" s="493">
        <v>148.50000000000003</v>
      </c>
      <c r="K452" s="493">
        <v>140.80000000000001</v>
      </c>
      <c r="L452" s="493">
        <v>133.10000000000002</v>
      </c>
      <c r="M452" s="493">
        <v>125.40000000000002</v>
      </c>
      <c r="N452" s="493">
        <v>117.70000000000002</v>
      </c>
      <c r="O452" s="493">
        <v>110.00000000000001</v>
      </c>
      <c r="P452" s="493">
        <v>107.52500000000002</v>
      </c>
      <c r="Q452" s="493">
        <v>105.05000000000001</v>
      </c>
      <c r="R452" s="493">
        <v>102.57500000000002</v>
      </c>
      <c r="S452" s="493">
        <v>100.10000000000001</v>
      </c>
      <c r="T452" s="493">
        <v>97.625000000000014</v>
      </c>
      <c r="U452" s="493">
        <v>95.15</v>
      </c>
      <c r="V452" s="493">
        <v>92.675000000000011</v>
      </c>
      <c r="W452" s="493">
        <v>90.200000000000017</v>
      </c>
      <c r="X452" s="493">
        <v>87.725000000000009</v>
      </c>
      <c r="Y452" s="493">
        <v>85.250000000000014</v>
      </c>
      <c r="Z452" s="493">
        <v>81.950000000000017</v>
      </c>
      <c r="AA452" s="493">
        <v>78.650000000000006</v>
      </c>
      <c r="AB452" s="493">
        <v>75.350000000000009</v>
      </c>
      <c r="AC452" s="493">
        <v>72.050000000000011</v>
      </c>
      <c r="AD452" s="493">
        <v>68.750000000000014</v>
      </c>
      <c r="AE452" s="493">
        <v>65.45</v>
      </c>
      <c r="AF452" s="493">
        <v>62.150000000000006</v>
      </c>
      <c r="AG452" s="493">
        <v>58.850000000000009</v>
      </c>
      <c r="AH452" s="493">
        <v>55.550000000000004</v>
      </c>
      <c r="AI452" s="493">
        <v>52.250000000000007</v>
      </c>
    </row>
    <row r="453" spans="2:35" outlineLevel="1">
      <c r="B453" t="str">
        <f t="shared" si="51"/>
        <v>e-methanol (PS) - Finance cost - Europe - USD/ton fuel</v>
      </c>
      <c r="C453" t="str">
        <f>C424</f>
        <v>e-methanol (PS)</v>
      </c>
      <c r="D453" t="s">
        <v>1366</v>
      </c>
      <c r="E453" t="s">
        <v>720</v>
      </c>
      <c r="F453" t="s">
        <v>1353</v>
      </c>
      <c r="G453" s="487" t="str">
        <f t="shared" si="49"/>
        <v>e-methanol (PS)EuropeFinance cost</v>
      </c>
      <c r="H453" s="493">
        <v>163.90000000000003</v>
      </c>
      <c r="I453" s="493">
        <v>156.20000000000002</v>
      </c>
      <c r="J453" s="493">
        <v>148.50000000000003</v>
      </c>
      <c r="K453" s="493">
        <v>140.80000000000001</v>
      </c>
      <c r="L453" s="493">
        <v>133.10000000000002</v>
      </c>
      <c r="M453" s="493">
        <v>125.40000000000002</v>
      </c>
      <c r="N453" s="493">
        <v>117.70000000000002</v>
      </c>
      <c r="O453" s="493">
        <v>110.00000000000001</v>
      </c>
      <c r="P453" s="493">
        <v>107.52500000000002</v>
      </c>
      <c r="Q453" s="493">
        <v>105.05000000000001</v>
      </c>
      <c r="R453" s="493">
        <v>102.57500000000002</v>
      </c>
      <c r="S453" s="493">
        <v>100.10000000000001</v>
      </c>
      <c r="T453" s="493">
        <v>97.625000000000014</v>
      </c>
      <c r="U453" s="493">
        <v>95.15</v>
      </c>
      <c r="V453" s="493">
        <v>92.675000000000011</v>
      </c>
      <c r="W453" s="493">
        <v>90.200000000000017</v>
      </c>
      <c r="X453" s="493">
        <v>87.725000000000009</v>
      </c>
      <c r="Y453" s="493">
        <v>85.250000000000014</v>
      </c>
      <c r="Z453" s="493">
        <v>81.950000000000017</v>
      </c>
      <c r="AA453" s="493">
        <v>78.650000000000006</v>
      </c>
      <c r="AB453" s="493">
        <v>75.350000000000009</v>
      </c>
      <c r="AC453" s="493">
        <v>72.050000000000011</v>
      </c>
      <c r="AD453" s="493">
        <v>68.750000000000014</v>
      </c>
      <c r="AE453" s="493">
        <v>65.45</v>
      </c>
      <c r="AF453" s="493">
        <v>62.150000000000006</v>
      </c>
      <c r="AG453" s="493">
        <v>58.850000000000009</v>
      </c>
      <c r="AH453" s="493">
        <v>55.550000000000004</v>
      </c>
      <c r="AI453" s="493">
        <v>52.250000000000007</v>
      </c>
    </row>
    <row r="454" spans="2:35" outlineLevel="1">
      <c r="B454" t="str">
        <f t="shared" si="51"/>
        <v>e-methanol (PS) - Finance cost - Middle East - USD/ton fuel</v>
      </c>
      <c r="C454" t="str">
        <f>C424</f>
        <v>e-methanol (PS)</v>
      </c>
      <c r="D454" t="s">
        <v>1366</v>
      </c>
      <c r="E454" t="s">
        <v>826</v>
      </c>
      <c r="F454" t="s">
        <v>1353</v>
      </c>
      <c r="G454" s="487" t="str">
        <f t="shared" si="49"/>
        <v>e-methanol (PS)Middle EastFinance cost</v>
      </c>
      <c r="H454" s="493">
        <v>163.90000000000003</v>
      </c>
      <c r="I454" s="493">
        <v>156.20000000000002</v>
      </c>
      <c r="J454" s="493">
        <v>148.50000000000003</v>
      </c>
      <c r="K454" s="493">
        <v>140.80000000000001</v>
      </c>
      <c r="L454" s="493">
        <v>133.10000000000002</v>
      </c>
      <c r="M454" s="493">
        <v>125.40000000000002</v>
      </c>
      <c r="N454" s="493">
        <v>117.70000000000002</v>
      </c>
      <c r="O454" s="493">
        <v>110.00000000000001</v>
      </c>
      <c r="P454" s="493">
        <v>107.52500000000002</v>
      </c>
      <c r="Q454" s="493">
        <v>105.05000000000001</v>
      </c>
      <c r="R454" s="493">
        <v>102.57500000000002</v>
      </c>
      <c r="S454" s="493">
        <v>100.10000000000001</v>
      </c>
      <c r="T454" s="493">
        <v>97.625000000000014</v>
      </c>
      <c r="U454" s="493">
        <v>95.15</v>
      </c>
      <c r="V454" s="493">
        <v>92.675000000000011</v>
      </c>
      <c r="W454" s="493">
        <v>90.200000000000017</v>
      </c>
      <c r="X454" s="493">
        <v>87.725000000000009</v>
      </c>
      <c r="Y454" s="493">
        <v>85.250000000000014</v>
      </c>
      <c r="Z454" s="493">
        <v>81.950000000000017</v>
      </c>
      <c r="AA454" s="493">
        <v>78.650000000000006</v>
      </c>
      <c r="AB454" s="493">
        <v>75.350000000000009</v>
      </c>
      <c r="AC454" s="493">
        <v>72.050000000000011</v>
      </c>
      <c r="AD454" s="493">
        <v>68.750000000000014</v>
      </c>
      <c r="AE454" s="493">
        <v>65.45</v>
      </c>
      <c r="AF454" s="493">
        <v>62.150000000000006</v>
      </c>
      <c r="AG454" s="493">
        <v>58.850000000000009</v>
      </c>
      <c r="AH454" s="493">
        <v>55.550000000000004</v>
      </c>
      <c r="AI454" s="493">
        <v>52.250000000000007</v>
      </c>
    </row>
    <row r="455" spans="2:35" outlineLevel="1">
      <c r="B455" t="str">
        <f t="shared" si="51"/>
        <v>e-hydrogen (compressed) - Finance cost including feedstock finance cost - Africa - USD/ton fuel</v>
      </c>
      <c r="C455" t="s">
        <v>722</v>
      </c>
      <c r="D455" t="s">
        <v>1365</v>
      </c>
      <c r="E455" t="s">
        <v>838</v>
      </c>
      <c r="F455" t="s">
        <v>1353</v>
      </c>
      <c r="G455" s="487" t="str">
        <f t="shared" si="49"/>
        <v>e-hydrogen (compressed)AfricaFinance cost including feedstock finance cost</v>
      </c>
      <c r="H455" s="507">
        <v>423.4664833247287</v>
      </c>
      <c r="I455" s="507">
        <v>407.9080597487058</v>
      </c>
      <c r="J455" s="507">
        <v>391.93778538812398</v>
      </c>
      <c r="K455" s="507">
        <v>383.67894989578463</v>
      </c>
      <c r="L455" s="507">
        <v>374.65498754747659</v>
      </c>
      <c r="M455" s="507">
        <v>364.86589834320779</v>
      </c>
      <c r="N455" s="507">
        <v>354.31168228298088</v>
      </c>
      <c r="O455" s="507">
        <v>342.99233936678479</v>
      </c>
      <c r="P455" s="507">
        <v>350.20750340232428</v>
      </c>
      <c r="Q455" s="507">
        <v>355.6383130013013</v>
      </c>
      <c r="R455" s="507">
        <v>359.28476816371159</v>
      </c>
      <c r="S455" s="507">
        <v>361.14686888954691</v>
      </c>
      <c r="T455" s="507">
        <v>361.22461517882164</v>
      </c>
      <c r="U455" s="507">
        <v>358.40192634457429</v>
      </c>
      <c r="V455" s="507">
        <v>354.10652475046084</v>
      </c>
      <c r="W455" s="507">
        <v>348.33841039649622</v>
      </c>
      <c r="X455" s="507">
        <v>341.09758328266571</v>
      </c>
      <c r="Y455" s="507">
        <v>332.38404340896386</v>
      </c>
      <c r="Z455" s="507">
        <v>321.22576094613464</v>
      </c>
      <c r="AA455" s="507">
        <v>308.95623454830633</v>
      </c>
      <c r="AB455" s="507">
        <v>295.57546421549114</v>
      </c>
      <c r="AC455" s="507">
        <v>281.08344994768112</v>
      </c>
      <c r="AD455" s="507">
        <v>265.48019174487365</v>
      </c>
      <c r="AE455" s="507">
        <v>248.55741402200647</v>
      </c>
      <c r="AF455" s="507">
        <v>230.93955849750063</v>
      </c>
      <c r="AG455" s="507">
        <v>212.62662517135635</v>
      </c>
      <c r="AH455" s="507">
        <v>193.61861404357347</v>
      </c>
      <c r="AI455" s="507">
        <v>173.9155251141523</v>
      </c>
    </row>
    <row r="456" spans="2:35" outlineLevel="1">
      <c r="B456" t="str">
        <f t="shared" si="51"/>
        <v>e-hydrogen (compressed) - Finance cost including feedstock finance cost - Americas - USD/ton fuel</v>
      </c>
      <c r="C456" t="s">
        <v>722</v>
      </c>
      <c r="D456" t="s">
        <v>1365</v>
      </c>
      <c r="E456" t="s">
        <v>731</v>
      </c>
      <c r="F456" t="s">
        <v>1353</v>
      </c>
      <c r="G456" s="487" t="str">
        <f t="shared" ref="G456:G519" si="52">+C456&amp;E456&amp;D456</f>
        <v>e-hydrogen (compressed)AmericasFinance cost including feedstock finance cost</v>
      </c>
      <c r="H456" s="507">
        <v>423.4664833247287</v>
      </c>
      <c r="I456" s="507">
        <v>407.9080597487058</v>
      </c>
      <c r="J456" s="507">
        <v>391.93778538812398</v>
      </c>
      <c r="K456" s="507">
        <v>383.67894989578463</v>
      </c>
      <c r="L456" s="507">
        <v>374.65498754747659</v>
      </c>
      <c r="M456" s="507">
        <v>364.86589834320779</v>
      </c>
      <c r="N456" s="507">
        <v>354.31168228298088</v>
      </c>
      <c r="O456" s="507">
        <v>342.99233936678479</v>
      </c>
      <c r="P456" s="507">
        <v>350.20750340232428</v>
      </c>
      <c r="Q456" s="507">
        <v>355.6383130013013</v>
      </c>
      <c r="R456" s="507">
        <v>359.28476816371159</v>
      </c>
      <c r="S456" s="507">
        <v>361.14686888954691</v>
      </c>
      <c r="T456" s="507">
        <v>361.22461517882164</v>
      </c>
      <c r="U456" s="507">
        <v>358.40192634457429</v>
      </c>
      <c r="V456" s="507">
        <v>354.10652475046084</v>
      </c>
      <c r="W456" s="507">
        <v>348.33841039649622</v>
      </c>
      <c r="X456" s="507">
        <v>341.09758328266571</v>
      </c>
      <c r="Y456" s="507">
        <v>332.38404340896386</v>
      </c>
      <c r="Z456" s="507">
        <v>321.22576094613464</v>
      </c>
      <c r="AA456" s="507">
        <v>308.95623454830633</v>
      </c>
      <c r="AB456" s="507">
        <v>295.57546421549114</v>
      </c>
      <c r="AC456" s="507">
        <v>281.08344994768112</v>
      </c>
      <c r="AD456" s="507">
        <v>265.48019174487365</v>
      </c>
      <c r="AE456" s="507">
        <v>248.55741402200647</v>
      </c>
      <c r="AF456" s="507">
        <v>230.93955849750063</v>
      </c>
      <c r="AG456" s="507">
        <v>212.62662517135635</v>
      </c>
      <c r="AH456" s="507">
        <v>193.61861404357347</v>
      </c>
      <c r="AI456" s="507">
        <v>173.9155251141523</v>
      </c>
    </row>
    <row r="457" spans="2:35" outlineLevel="1">
      <c r="B457" t="str">
        <f t="shared" si="51"/>
        <v>e-hydrogen (compressed) - Finance cost including feedstock finance cost - Asia - USD/ton fuel</v>
      </c>
      <c r="C457" t="s">
        <v>722</v>
      </c>
      <c r="D457" t="s">
        <v>1365</v>
      </c>
      <c r="E457" t="s">
        <v>750</v>
      </c>
      <c r="F457" t="s">
        <v>1353</v>
      </c>
      <c r="G457" s="487" t="str">
        <f t="shared" si="52"/>
        <v>e-hydrogen (compressed)AsiaFinance cost including feedstock finance cost</v>
      </c>
      <c r="H457" s="507">
        <v>423.4664833247287</v>
      </c>
      <c r="I457" s="507">
        <v>407.9080597487058</v>
      </c>
      <c r="J457" s="507">
        <v>391.93778538812398</v>
      </c>
      <c r="K457" s="507">
        <v>383.67894989578463</v>
      </c>
      <c r="L457" s="507">
        <v>374.65498754747659</v>
      </c>
      <c r="M457" s="507">
        <v>364.86589834320779</v>
      </c>
      <c r="N457" s="507">
        <v>354.31168228298088</v>
      </c>
      <c r="O457" s="507">
        <v>342.99233936678479</v>
      </c>
      <c r="P457" s="507">
        <v>350.20750340232428</v>
      </c>
      <c r="Q457" s="507">
        <v>355.6383130013013</v>
      </c>
      <c r="R457" s="507">
        <v>359.28476816371159</v>
      </c>
      <c r="S457" s="507">
        <v>361.14686888954691</v>
      </c>
      <c r="T457" s="507">
        <v>361.22461517882164</v>
      </c>
      <c r="U457" s="507">
        <v>358.40192634457429</v>
      </c>
      <c r="V457" s="507">
        <v>354.10652475046084</v>
      </c>
      <c r="W457" s="507">
        <v>348.33841039649622</v>
      </c>
      <c r="X457" s="507">
        <v>341.09758328266571</v>
      </c>
      <c r="Y457" s="507">
        <v>332.38404340896386</v>
      </c>
      <c r="Z457" s="507">
        <v>321.22576094613464</v>
      </c>
      <c r="AA457" s="507">
        <v>308.95623454830633</v>
      </c>
      <c r="AB457" s="507">
        <v>295.57546421549114</v>
      </c>
      <c r="AC457" s="507">
        <v>281.08344994768112</v>
      </c>
      <c r="AD457" s="507">
        <v>265.48019174487365</v>
      </c>
      <c r="AE457" s="507">
        <v>248.55741402200647</v>
      </c>
      <c r="AF457" s="507">
        <v>230.93955849750063</v>
      </c>
      <c r="AG457" s="507">
        <v>212.62662517135635</v>
      </c>
      <c r="AH457" s="507">
        <v>193.61861404357347</v>
      </c>
      <c r="AI457" s="507">
        <v>173.9155251141523</v>
      </c>
    </row>
    <row r="458" spans="2:35" outlineLevel="1">
      <c r="B458" t="str">
        <f t="shared" si="51"/>
        <v>e-hydrogen (compressed) - Finance cost including feedstock finance cost - Europe - USD/ton fuel</v>
      </c>
      <c r="C458" t="s">
        <v>722</v>
      </c>
      <c r="D458" t="s">
        <v>1365</v>
      </c>
      <c r="E458" t="s">
        <v>720</v>
      </c>
      <c r="F458" t="s">
        <v>1353</v>
      </c>
      <c r="G458" s="487" t="str">
        <f t="shared" si="52"/>
        <v>e-hydrogen (compressed)EuropeFinance cost including feedstock finance cost</v>
      </c>
      <c r="H458" s="507">
        <v>423.4664833247287</v>
      </c>
      <c r="I458" s="507">
        <v>407.9080597487058</v>
      </c>
      <c r="J458" s="507">
        <v>391.93778538812398</v>
      </c>
      <c r="K458" s="507">
        <v>383.67894989578463</v>
      </c>
      <c r="L458" s="507">
        <v>374.65498754747659</v>
      </c>
      <c r="M458" s="507">
        <v>364.86589834320779</v>
      </c>
      <c r="N458" s="507">
        <v>354.31168228298088</v>
      </c>
      <c r="O458" s="507">
        <v>342.99233936678479</v>
      </c>
      <c r="P458" s="507">
        <v>350.20750340232428</v>
      </c>
      <c r="Q458" s="507">
        <v>355.6383130013013</v>
      </c>
      <c r="R458" s="507">
        <v>359.28476816371159</v>
      </c>
      <c r="S458" s="507">
        <v>361.14686888954691</v>
      </c>
      <c r="T458" s="507">
        <v>361.22461517882164</v>
      </c>
      <c r="U458" s="507">
        <v>358.40192634457429</v>
      </c>
      <c r="V458" s="507">
        <v>354.10652475046084</v>
      </c>
      <c r="W458" s="507">
        <v>348.33841039649622</v>
      </c>
      <c r="X458" s="507">
        <v>341.09758328266571</v>
      </c>
      <c r="Y458" s="507">
        <v>332.38404340896386</v>
      </c>
      <c r="Z458" s="507">
        <v>321.22576094613464</v>
      </c>
      <c r="AA458" s="507">
        <v>308.95623454830633</v>
      </c>
      <c r="AB458" s="507">
        <v>295.57546421549114</v>
      </c>
      <c r="AC458" s="507">
        <v>281.08344994768112</v>
      </c>
      <c r="AD458" s="507">
        <v>265.48019174487365</v>
      </c>
      <c r="AE458" s="507">
        <v>248.55741402200647</v>
      </c>
      <c r="AF458" s="507">
        <v>230.93955849750063</v>
      </c>
      <c r="AG458" s="507">
        <v>212.62662517135635</v>
      </c>
      <c r="AH458" s="507">
        <v>193.61861404357347</v>
      </c>
      <c r="AI458" s="507">
        <v>173.9155251141523</v>
      </c>
    </row>
    <row r="459" spans="2:35" outlineLevel="1">
      <c r="B459" t="str">
        <f t="shared" si="51"/>
        <v>e-hydrogen (compressed) - Finance cost including feedstock finance cost - Middle East - USD/ton fuel</v>
      </c>
      <c r="C459" t="s">
        <v>722</v>
      </c>
      <c r="D459" t="s">
        <v>1365</v>
      </c>
      <c r="E459" t="s">
        <v>826</v>
      </c>
      <c r="F459" t="s">
        <v>1353</v>
      </c>
      <c r="G459" s="487" t="str">
        <f t="shared" si="52"/>
        <v>e-hydrogen (compressed)Middle EastFinance cost including feedstock finance cost</v>
      </c>
      <c r="H459" s="507">
        <v>423.4664833247287</v>
      </c>
      <c r="I459" s="507">
        <v>407.9080597487058</v>
      </c>
      <c r="J459" s="507">
        <v>391.93778538812398</v>
      </c>
      <c r="K459" s="507">
        <v>383.67894989578463</v>
      </c>
      <c r="L459" s="507">
        <v>374.65498754747659</v>
      </c>
      <c r="M459" s="507">
        <v>364.86589834320779</v>
      </c>
      <c r="N459" s="507">
        <v>354.31168228298088</v>
      </c>
      <c r="O459" s="507">
        <v>342.99233936678479</v>
      </c>
      <c r="P459" s="507">
        <v>350.20750340232428</v>
      </c>
      <c r="Q459" s="507">
        <v>355.6383130013013</v>
      </c>
      <c r="R459" s="507">
        <v>359.28476816371159</v>
      </c>
      <c r="S459" s="507">
        <v>361.14686888954691</v>
      </c>
      <c r="T459" s="507">
        <v>361.22461517882164</v>
      </c>
      <c r="U459" s="507">
        <v>358.40192634457429</v>
      </c>
      <c r="V459" s="507">
        <v>354.10652475046084</v>
      </c>
      <c r="W459" s="507">
        <v>348.33841039649622</v>
      </c>
      <c r="X459" s="507">
        <v>341.09758328266571</v>
      </c>
      <c r="Y459" s="507">
        <v>332.38404340896386</v>
      </c>
      <c r="Z459" s="507">
        <v>321.22576094613464</v>
      </c>
      <c r="AA459" s="507">
        <v>308.95623454830633</v>
      </c>
      <c r="AB459" s="507">
        <v>295.57546421549114</v>
      </c>
      <c r="AC459" s="507">
        <v>281.08344994768112</v>
      </c>
      <c r="AD459" s="507">
        <v>265.48019174487365</v>
      </c>
      <c r="AE459" s="507">
        <v>248.55741402200647</v>
      </c>
      <c r="AF459" s="507">
        <v>230.93955849750063</v>
      </c>
      <c r="AG459" s="507">
        <v>212.62662517135635</v>
      </c>
      <c r="AH459" s="507">
        <v>193.61861404357347</v>
      </c>
      <c r="AI459" s="507">
        <v>173.9155251141523</v>
      </c>
    </row>
    <row r="460" spans="2:35" outlineLevel="1">
      <c r="B460" t="str">
        <f t="shared" si="51"/>
        <v>Carbon dioxide (PS) - Finance cost - Africa - USD/ton fuel</v>
      </c>
      <c r="C460" t="s">
        <v>1380</v>
      </c>
      <c r="D460" t="s">
        <v>1366</v>
      </c>
      <c r="E460" t="s">
        <v>838</v>
      </c>
      <c r="F460" t="s">
        <v>1353</v>
      </c>
      <c r="G460" s="487" t="str">
        <f t="shared" si="52"/>
        <v>Carbon dioxide (PS)AfricaFinance cost</v>
      </c>
      <c r="H460" s="493">
        <v>56.650000000000006</v>
      </c>
      <c r="I460" s="493">
        <v>54.45000000000001</v>
      </c>
      <c r="J460" s="493">
        <v>52.250000000000007</v>
      </c>
      <c r="K460" s="493">
        <v>50.050000000000004</v>
      </c>
      <c r="L460" s="493">
        <v>47.850000000000009</v>
      </c>
      <c r="M460" s="493">
        <v>45.650000000000006</v>
      </c>
      <c r="N460" s="493">
        <v>43.45</v>
      </c>
      <c r="O460" s="493">
        <v>41.250000000000007</v>
      </c>
      <c r="P460" s="493">
        <v>40.397500000000008</v>
      </c>
      <c r="Q460" s="493">
        <v>39.545000000000002</v>
      </c>
      <c r="R460" s="493">
        <v>38.692500000000003</v>
      </c>
      <c r="S460" s="493">
        <v>37.840000000000003</v>
      </c>
      <c r="T460" s="493">
        <v>36.987500000000004</v>
      </c>
      <c r="U460" s="493">
        <v>36.135000000000005</v>
      </c>
      <c r="V460" s="493">
        <v>35.282500000000006</v>
      </c>
      <c r="W460" s="493">
        <v>34.430000000000007</v>
      </c>
      <c r="X460" s="493">
        <v>33.577500000000008</v>
      </c>
      <c r="Y460" s="493">
        <v>32.725000000000001</v>
      </c>
      <c r="Z460" s="493">
        <v>31.872500000000006</v>
      </c>
      <c r="AA460" s="493">
        <v>31.020000000000003</v>
      </c>
      <c r="AB460" s="493">
        <v>30.167500000000004</v>
      </c>
      <c r="AC460" s="493">
        <v>29.315000000000005</v>
      </c>
      <c r="AD460" s="493">
        <v>28.462500000000002</v>
      </c>
      <c r="AE460" s="493">
        <v>27.610000000000003</v>
      </c>
      <c r="AF460" s="493">
        <v>26.757500000000004</v>
      </c>
      <c r="AG460" s="493">
        <v>25.905000000000005</v>
      </c>
      <c r="AH460" s="493">
        <v>25.052500000000002</v>
      </c>
      <c r="AI460" s="493">
        <v>24.200000000000003</v>
      </c>
    </row>
    <row r="461" spans="2:35" outlineLevel="1">
      <c r="B461" t="str">
        <f t="shared" si="51"/>
        <v>Carbon dioxide (PS) - Finance cost - Americas - USD/ton fuel</v>
      </c>
      <c r="C461" t="s">
        <v>1380</v>
      </c>
      <c r="D461" t="s">
        <v>1366</v>
      </c>
      <c r="E461" t="s">
        <v>731</v>
      </c>
      <c r="F461" t="s">
        <v>1353</v>
      </c>
      <c r="G461" s="487" t="str">
        <f t="shared" si="52"/>
        <v>Carbon dioxide (PS)AmericasFinance cost</v>
      </c>
      <c r="H461" s="493">
        <v>56.650000000000006</v>
      </c>
      <c r="I461" s="493">
        <v>54.45000000000001</v>
      </c>
      <c r="J461" s="493">
        <v>52.250000000000007</v>
      </c>
      <c r="K461" s="493">
        <v>50.050000000000004</v>
      </c>
      <c r="L461" s="493">
        <v>47.850000000000009</v>
      </c>
      <c r="M461" s="493">
        <v>45.650000000000006</v>
      </c>
      <c r="N461" s="493">
        <v>43.45</v>
      </c>
      <c r="O461" s="493">
        <v>41.250000000000007</v>
      </c>
      <c r="P461" s="493">
        <v>40.397500000000008</v>
      </c>
      <c r="Q461" s="493">
        <v>39.545000000000002</v>
      </c>
      <c r="R461" s="493">
        <v>38.692500000000003</v>
      </c>
      <c r="S461" s="493">
        <v>37.840000000000003</v>
      </c>
      <c r="T461" s="493">
        <v>36.987500000000004</v>
      </c>
      <c r="U461" s="493">
        <v>36.135000000000005</v>
      </c>
      <c r="V461" s="493">
        <v>35.282500000000006</v>
      </c>
      <c r="W461" s="493">
        <v>34.430000000000007</v>
      </c>
      <c r="X461" s="493">
        <v>33.577500000000008</v>
      </c>
      <c r="Y461" s="493">
        <v>32.725000000000001</v>
      </c>
      <c r="Z461" s="493">
        <v>31.872500000000006</v>
      </c>
      <c r="AA461" s="493">
        <v>31.020000000000003</v>
      </c>
      <c r="AB461" s="493">
        <v>30.167500000000004</v>
      </c>
      <c r="AC461" s="493">
        <v>29.315000000000005</v>
      </c>
      <c r="AD461" s="493">
        <v>28.462500000000002</v>
      </c>
      <c r="AE461" s="493">
        <v>27.610000000000003</v>
      </c>
      <c r="AF461" s="493">
        <v>26.757500000000004</v>
      </c>
      <c r="AG461" s="493">
        <v>25.905000000000005</v>
      </c>
      <c r="AH461" s="493">
        <v>25.052500000000002</v>
      </c>
      <c r="AI461" s="493">
        <v>24.200000000000003</v>
      </c>
    </row>
    <row r="462" spans="2:35" outlineLevel="1">
      <c r="B462" t="str">
        <f t="shared" si="51"/>
        <v>Carbon dioxide (PS) - Finance cost - Asia - USD/ton fuel</v>
      </c>
      <c r="C462" t="s">
        <v>1380</v>
      </c>
      <c r="D462" t="s">
        <v>1366</v>
      </c>
      <c r="E462" t="s">
        <v>750</v>
      </c>
      <c r="F462" t="s">
        <v>1353</v>
      </c>
      <c r="G462" s="487" t="str">
        <f t="shared" si="52"/>
        <v>Carbon dioxide (PS)AsiaFinance cost</v>
      </c>
      <c r="H462" s="493">
        <v>56.650000000000006</v>
      </c>
      <c r="I462" s="493">
        <v>54.45000000000001</v>
      </c>
      <c r="J462" s="493">
        <v>52.250000000000007</v>
      </c>
      <c r="K462" s="493">
        <v>50.050000000000004</v>
      </c>
      <c r="L462" s="493">
        <v>47.850000000000009</v>
      </c>
      <c r="M462" s="493">
        <v>45.650000000000006</v>
      </c>
      <c r="N462" s="493">
        <v>43.45</v>
      </c>
      <c r="O462" s="493">
        <v>41.250000000000007</v>
      </c>
      <c r="P462" s="493">
        <v>40.397500000000008</v>
      </c>
      <c r="Q462" s="493">
        <v>39.545000000000002</v>
      </c>
      <c r="R462" s="493">
        <v>38.692500000000003</v>
      </c>
      <c r="S462" s="493">
        <v>37.840000000000003</v>
      </c>
      <c r="T462" s="493">
        <v>36.987500000000004</v>
      </c>
      <c r="U462" s="493">
        <v>36.135000000000005</v>
      </c>
      <c r="V462" s="493">
        <v>35.282500000000006</v>
      </c>
      <c r="W462" s="493">
        <v>34.430000000000007</v>
      </c>
      <c r="X462" s="493">
        <v>33.577500000000008</v>
      </c>
      <c r="Y462" s="493">
        <v>32.725000000000001</v>
      </c>
      <c r="Z462" s="493">
        <v>31.872500000000006</v>
      </c>
      <c r="AA462" s="493">
        <v>31.020000000000003</v>
      </c>
      <c r="AB462" s="493">
        <v>30.167500000000004</v>
      </c>
      <c r="AC462" s="493">
        <v>29.315000000000005</v>
      </c>
      <c r="AD462" s="493">
        <v>28.462500000000002</v>
      </c>
      <c r="AE462" s="493">
        <v>27.610000000000003</v>
      </c>
      <c r="AF462" s="493">
        <v>26.757500000000004</v>
      </c>
      <c r="AG462" s="493">
        <v>25.905000000000005</v>
      </c>
      <c r="AH462" s="493">
        <v>25.052500000000002</v>
      </c>
      <c r="AI462" s="493">
        <v>24.200000000000003</v>
      </c>
    </row>
    <row r="463" spans="2:35" outlineLevel="1">
      <c r="B463" t="str">
        <f t="shared" si="51"/>
        <v>Carbon dioxide (PS) - Finance cost - Europe - USD/ton fuel</v>
      </c>
      <c r="C463" t="s">
        <v>1380</v>
      </c>
      <c r="D463" t="s">
        <v>1366</v>
      </c>
      <c r="E463" t="s">
        <v>720</v>
      </c>
      <c r="F463" t="s">
        <v>1353</v>
      </c>
      <c r="G463" s="487" t="str">
        <f t="shared" si="52"/>
        <v>Carbon dioxide (PS)EuropeFinance cost</v>
      </c>
      <c r="H463" s="493">
        <v>56.650000000000006</v>
      </c>
      <c r="I463" s="493">
        <v>54.45000000000001</v>
      </c>
      <c r="J463" s="493">
        <v>52.250000000000007</v>
      </c>
      <c r="K463" s="493">
        <v>50.050000000000004</v>
      </c>
      <c r="L463" s="493">
        <v>47.850000000000009</v>
      </c>
      <c r="M463" s="493">
        <v>45.650000000000006</v>
      </c>
      <c r="N463" s="493">
        <v>43.45</v>
      </c>
      <c r="O463" s="493">
        <v>41.250000000000007</v>
      </c>
      <c r="P463" s="493">
        <v>40.397500000000008</v>
      </c>
      <c r="Q463" s="493">
        <v>39.545000000000002</v>
      </c>
      <c r="R463" s="493">
        <v>38.692500000000003</v>
      </c>
      <c r="S463" s="493">
        <v>37.840000000000003</v>
      </c>
      <c r="T463" s="493">
        <v>36.987500000000004</v>
      </c>
      <c r="U463" s="493">
        <v>36.135000000000005</v>
      </c>
      <c r="V463" s="493">
        <v>35.282500000000006</v>
      </c>
      <c r="W463" s="493">
        <v>34.430000000000007</v>
      </c>
      <c r="X463" s="493">
        <v>33.577500000000008</v>
      </c>
      <c r="Y463" s="493">
        <v>32.725000000000001</v>
      </c>
      <c r="Z463" s="493">
        <v>31.872500000000006</v>
      </c>
      <c r="AA463" s="493">
        <v>31.020000000000003</v>
      </c>
      <c r="AB463" s="493">
        <v>30.167500000000004</v>
      </c>
      <c r="AC463" s="493">
        <v>29.315000000000005</v>
      </c>
      <c r="AD463" s="493">
        <v>28.462500000000002</v>
      </c>
      <c r="AE463" s="493">
        <v>27.610000000000003</v>
      </c>
      <c r="AF463" s="493">
        <v>26.757500000000004</v>
      </c>
      <c r="AG463" s="493">
        <v>25.905000000000005</v>
      </c>
      <c r="AH463" s="493">
        <v>25.052500000000002</v>
      </c>
      <c r="AI463" s="493">
        <v>24.200000000000003</v>
      </c>
    </row>
    <row r="464" spans="2:35" outlineLevel="1">
      <c r="B464" t="str">
        <f t="shared" si="51"/>
        <v>Carbon dioxide (PS) - Finance cost - Middle East - USD/ton fuel</v>
      </c>
      <c r="C464" t="s">
        <v>1380</v>
      </c>
      <c r="D464" t="s">
        <v>1366</v>
      </c>
      <c r="E464" t="s">
        <v>826</v>
      </c>
      <c r="F464" t="s">
        <v>1353</v>
      </c>
      <c r="G464" s="487" t="str">
        <f t="shared" si="52"/>
        <v>Carbon dioxide (PS)Middle EastFinance cost</v>
      </c>
      <c r="H464" s="493">
        <v>56.650000000000006</v>
      </c>
      <c r="I464" s="493">
        <v>54.45000000000001</v>
      </c>
      <c r="J464" s="493">
        <v>52.250000000000007</v>
      </c>
      <c r="K464" s="493">
        <v>50.050000000000004</v>
      </c>
      <c r="L464" s="493">
        <v>47.850000000000009</v>
      </c>
      <c r="M464" s="493">
        <v>45.650000000000006</v>
      </c>
      <c r="N464" s="493">
        <v>43.45</v>
      </c>
      <c r="O464" s="493">
        <v>41.250000000000007</v>
      </c>
      <c r="P464" s="493">
        <v>40.397500000000008</v>
      </c>
      <c r="Q464" s="493">
        <v>39.545000000000002</v>
      </c>
      <c r="R464" s="493">
        <v>38.692500000000003</v>
      </c>
      <c r="S464" s="493">
        <v>37.840000000000003</v>
      </c>
      <c r="T464" s="493">
        <v>36.987500000000004</v>
      </c>
      <c r="U464" s="493">
        <v>36.135000000000005</v>
      </c>
      <c r="V464" s="493">
        <v>35.282500000000006</v>
      </c>
      <c r="W464" s="493">
        <v>34.430000000000007</v>
      </c>
      <c r="X464" s="493">
        <v>33.577500000000008</v>
      </c>
      <c r="Y464" s="493">
        <v>32.725000000000001</v>
      </c>
      <c r="Z464" s="493">
        <v>31.872500000000006</v>
      </c>
      <c r="AA464" s="493">
        <v>31.020000000000003</v>
      </c>
      <c r="AB464" s="493">
        <v>30.167500000000004</v>
      </c>
      <c r="AC464" s="493">
        <v>29.315000000000005</v>
      </c>
      <c r="AD464" s="493">
        <v>28.462500000000002</v>
      </c>
      <c r="AE464" s="493">
        <v>27.610000000000003</v>
      </c>
      <c r="AF464" s="493">
        <v>26.757500000000004</v>
      </c>
      <c r="AG464" s="493">
        <v>25.905000000000005</v>
      </c>
      <c r="AH464" s="493">
        <v>25.052500000000002</v>
      </c>
      <c r="AI464" s="493">
        <v>24.200000000000003</v>
      </c>
    </row>
    <row r="465" spans="2:35" outlineLevel="1">
      <c r="B465" t="str">
        <f t="shared" si="51"/>
        <v>e-methanol - Conversion H2 -&gt; MeOH - Global - ton H2/ton MeOH</v>
      </c>
      <c r="C465" t="s">
        <v>1381</v>
      </c>
      <c r="D465" t="s">
        <v>1382</v>
      </c>
      <c r="E465" t="s">
        <v>708</v>
      </c>
      <c r="F465" t="s">
        <v>1383</v>
      </c>
      <c r="G465" s="487" t="str">
        <f t="shared" si="52"/>
        <v>e-methanolGlobalConversion H2 -&gt; MeOH</v>
      </c>
      <c r="H465" s="508">
        <v>0.18875226265526496</v>
      </c>
      <c r="I465" s="508">
        <v>0.18875226265526496</v>
      </c>
      <c r="J465" s="508">
        <v>0.18875226265526496</v>
      </c>
      <c r="K465" s="508">
        <v>0.18875226265526496</v>
      </c>
      <c r="L465" s="508">
        <v>0.18875226265526496</v>
      </c>
      <c r="M465" s="508">
        <v>0.18875226265526496</v>
      </c>
      <c r="N465" s="508">
        <v>0.18875226265526496</v>
      </c>
      <c r="O465" s="508">
        <v>0.18875226265526496</v>
      </c>
      <c r="P465" s="508">
        <v>0.18875226265526496</v>
      </c>
      <c r="Q465" s="508">
        <v>0.18875226265526496</v>
      </c>
      <c r="R465" s="508">
        <v>0.18875226265526496</v>
      </c>
      <c r="S465" s="508">
        <v>0.18875226265526496</v>
      </c>
      <c r="T465" s="508">
        <v>0.18875226265526496</v>
      </c>
      <c r="U465" s="508">
        <v>0.18875226265526496</v>
      </c>
      <c r="V465" s="508">
        <v>0.18875226265526496</v>
      </c>
      <c r="W465" s="508">
        <v>0.18875226265526496</v>
      </c>
      <c r="X465" s="508">
        <v>0.18875226265526496</v>
      </c>
      <c r="Y465" s="508">
        <v>0.18875226265526496</v>
      </c>
      <c r="Z465" s="508">
        <v>0.18875226265526496</v>
      </c>
      <c r="AA465" s="508">
        <v>0.18875226265526496</v>
      </c>
      <c r="AB465" s="508">
        <v>0.18875226265526496</v>
      </c>
      <c r="AC465" s="508">
        <v>0.18875226265526496</v>
      </c>
      <c r="AD465" s="508">
        <v>0.18875226265526496</v>
      </c>
      <c r="AE465" s="508">
        <v>0.18875226265526496</v>
      </c>
      <c r="AF465" s="508">
        <v>0.18875226265526496</v>
      </c>
      <c r="AG465" s="508">
        <v>0.18875226265526496</v>
      </c>
      <c r="AH465" s="508">
        <v>0.18875226265526496</v>
      </c>
      <c r="AI465" s="508">
        <v>0.18875226265526496</v>
      </c>
    </row>
    <row r="466" spans="2:35" outlineLevel="1">
      <c r="B466" t="str">
        <f t="shared" si="51"/>
        <v>e-methanol - Conversion CO2 -&gt; MeOH - Global - ton CO2/ton MeOH</v>
      </c>
      <c r="C466" t="s">
        <v>1381</v>
      </c>
      <c r="D466" t="s">
        <v>1384</v>
      </c>
      <c r="E466" t="s">
        <v>708</v>
      </c>
      <c r="F466" t="s">
        <v>1385</v>
      </c>
      <c r="G466" s="487" t="str">
        <f t="shared" si="52"/>
        <v>e-methanolGlobalConversion CO2 -&gt; MeOH</v>
      </c>
      <c r="H466" s="508">
        <v>1.3735097684289368</v>
      </c>
      <c r="I466" s="508">
        <v>1.3735097684289368</v>
      </c>
      <c r="J466" s="508">
        <v>1.3735097684289368</v>
      </c>
      <c r="K466" s="508">
        <v>1.3735097684289368</v>
      </c>
      <c r="L466" s="508">
        <v>1.3735097684289368</v>
      </c>
      <c r="M466" s="508">
        <v>1.3735097684289368</v>
      </c>
      <c r="N466" s="508">
        <v>1.3735097684289368</v>
      </c>
      <c r="O466" s="508">
        <v>1.3735097684289368</v>
      </c>
      <c r="P466" s="508">
        <v>1.3735097684289368</v>
      </c>
      <c r="Q466" s="508">
        <v>1.3735097684289368</v>
      </c>
      <c r="R466" s="508">
        <v>1.3735097684289368</v>
      </c>
      <c r="S466" s="508">
        <v>1.3735097684289368</v>
      </c>
      <c r="T466" s="508">
        <v>1.3735097684289368</v>
      </c>
      <c r="U466" s="508">
        <v>1.3735097684289368</v>
      </c>
      <c r="V466" s="508">
        <v>1.3735097684289368</v>
      </c>
      <c r="W466" s="508">
        <v>1.3735097684289368</v>
      </c>
      <c r="X466" s="508">
        <v>1.3735097684289368</v>
      </c>
      <c r="Y466" s="508">
        <v>1.3735097684289368</v>
      </c>
      <c r="Z466" s="508">
        <v>1.3735097684289368</v>
      </c>
      <c r="AA466" s="508">
        <v>1.3735097684289368</v>
      </c>
      <c r="AB466" s="508">
        <v>1.3735097684289368</v>
      </c>
      <c r="AC466" s="508">
        <v>1.3735097684289368</v>
      </c>
      <c r="AD466" s="508">
        <v>1.3735097684289368</v>
      </c>
      <c r="AE466" s="508">
        <v>1.3735097684289368</v>
      </c>
      <c r="AF466" s="508">
        <v>1.3735097684289368</v>
      </c>
      <c r="AG466" s="508">
        <v>1.3735097684289368</v>
      </c>
      <c r="AH466" s="508">
        <v>1.3735097684289368</v>
      </c>
      <c r="AI466" s="508">
        <v>1.3735097684289368</v>
      </c>
    </row>
    <row r="467" spans="2:35" ht="14.25" customHeight="1" outlineLevel="1">
      <c r="B467" t="str">
        <f t="shared" si="51"/>
        <v/>
      </c>
      <c r="G467" s="487" t="str">
        <f t="shared" si="52"/>
        <v/>
      </c>
      <c r="H467" s="498"/>
    </row>
    <row r="468" spans="2:35" ht="15" outlineLevel="1">
      <c r="B468" t="str">
        <f t="shared" si="51"/>
        <v>e-methanol (PS) - Energy cost including feedstock energy cost - Africa - USD/ton fuel</v>
      </c>
      <c r="C468" s="494" t="str">
        <f>C424</f>
        <v>e-methanol (PS)</v>
      </c>
      <c r="D468" s="494" t="s">
        <v>1367</v>
      </c>
      <c r="E468" s="494" t="s">
        <v>838</v>
      </c>
      <c r="F468" s="494" t="s">
        <v>1353</v>
      </c>
      <c r="G468" s="487" t="str">
        <f t="shared" si="52"/>
        <v>e-methanol (PS)AfricaEnergy cost including feedstock energy cost</v>
      </c>
      <c r="H468" s="495">
        <v>731.97368541311312</v>
      </c>
      <c r="I468" s="495">
        <v>645.4208389683879</v>
      </c>
      <c r="J468" s="495">
        <v>558.93793166810951</v>
      </c>
      <c r="K468" s="495">
        <v>534.15749449188968</v>
      </c>
      <c r="L468" s="495">
        <v>509.31641410132744</v>
      </c>
      <c r="M468" s="495">
        <v>484.43409174539505</v>
      </c>
      <c r="N468" s="495">
        <v>459.52992867307194</v>
      </c>
      <c r="O468" s="495">
        <v>434.62332613333592</v>
      </c>
      <c r="P468" s="495">
        <v>419.19432948930944</v>
      </c>
      <c r="Q468" s="495">
        <v>403.79708735173546</v>
      </c>
      <c r="R468" s="495">
        <v>388.44204973226198</v>
      </c>
      <c r="S468" s="495">
        <v>373.13966664255548</v>
      </c>
      <c r="T468" s="495">
        <v>357.90038809428046</v>
      </c>
      <c r="U468" s="495">
        <v>349.47093991180697</v>
      </c>
      <c r="V468" s="495">
        <v>341.05850200592073</v>
      </c>
      <c r="W468" s="495">
        <v>332.66648425513836</v>
      </c>
      <c r="X468" s="495">
        <v>324.29829653795673</v>
      </c>
      <c r="Y468" s="495">
        <v>315.95734873289086</v>
      </c>
      <c r="Z468" s="495">
        <v>306.83142261439116</v>
      </c>
      <c r="AA468" s="495">
        <v>297.86061972190413</v>
      </c>
      <c r="AB468" s="495">
        <v>289.04294605039382</v>
      </c>
      <c r="AC468" s="495">
        <v>280.37640759482048</v>
      </c>
      <c r="AD468" s="495">
        <v>271.8590103501449</v>
      </c>
      <c r="AE468" s="495">
        <v>266.7753123964817</v>
      </c>
      <c r="AF468" s="495">
        <v>261.77914726474063</v>
      </c>
      <c r="AG468" s="495">
        <v>256.86925844011199</v>
      </c>
      <c r="AH468" s="495">
        <v>252.04438940779121</v>
      </c>
      <c r="AI468" s="495">
        <v>247.30328365297413</v>
      </c>
    </row>
    <row r="469" spans="2:35" ht="15" outlineLevel="1">
      <c r="B469" t="str">
        <f t="shared" si="51"/>
        <v>e-methanol (PS) - Energy cost including feedstock energy cost - Americas - USD/ton fuel</v>
      </c>
      <c r="C469" s="22" t="str">
        <f>C424</f>
        <v>e-methanol (PS)</v>
      </c>
      <c r="D469" s="22" t="s">
        <v>1367</v>
      </c>
      <c r="E469" s="22" t="s">
        <v>731</v>
      </c>
      <c r="F469" s="22" t="s">
        <v>1353</v>
      </c>
      <c r="G469" s="487" t="str">
        <f t="shared" si="52"/>
        <v>e-methanol (PS)AmericasEnergy cost including feedstock energy cost</v>
      </c>
      <c r="H469" s="496">
        <v>459.90995837615088</v>
      </c>
      <c r="I469" s="496">
        <v>449.96774582431487</v>
      </c>
      <c r="J469" s="496">
        <v>439.97264701854374</v>
      </c>
      <c r="K469" s="496">
        <v>423.21795654621945</v>
      </c>
      <c r="L469" s="496">
        <v>406.40509778509323</v>
      </c>
      <c r="M469" s="496">
        <v>389.54710659894238</v>
      </c>
      <c r="N469" s="496">
        <v>372.65701885156028</v>
      </c>
      <c r="O469" s="496">
        <v>355.7478704067085</v>
      </c>
      <c r="P469" s="496">
        <v>346.26146043450598</v>
      </c>
      <c r="Q469" s="496">
        <v>336.76600939759345</v>
      </c>
      <c r="R469" s="496">
        <v>327.26757047277738</v>
      </c>
      <c r="S469" s="496">
        <v>317.77219683686542</v>
      </c>
      <c r="T469" s="496">
        <v>308.28594166667546</v>
      </c>
      <c r="U469" s="496">
        <v>300.20859960161096</v>
      </c>
      <c r="V469" s="496">
        <v>292.15741089374075</v>
      </c>
      <c r="W469" s="496">
        <v>284.13577724480723</v>
      </c>
      <c r="X469" s="496">
        <v>276.14710035653661</v>
      </c>
      <c r="Y469" s="496">
        <v>268.19478193066516</v>
      </c>
      <c r="Z469" s="496">
        <v>263.16022801289984</v>
      </c>
      <c r="AA469" s="496">
        <v>258.2023825493506</v>
      </c>
      <c r="AB469" s="496">
        <v>253.32046617863753</v>
      </c>
      <c r="AC469" s="496">
        <v>248.51369953936884</v>
      </c>
      <c r="AD469" s="496">
        <v>243.78130327016314</v>
      </c>
      <c r="AE469" s="496">
        <v>240.04147045375171</v>
      </c>
      <c r="AF469" s="496">
        <v>236.36630061481952</v>
      </c>
      <c r="AG469" s="496">
        <v>232.75503888627432</v>
      </c>
      <c r="AH469" s="496">
        <v>229.20693040102577</v>
      </c>
      <c r="AI469" s="496">
        <v>225.72122029198346</v>
      </c>
    </row>
    <row r="470" spans="2:35" ht="15" outlineLevel="1">
      <c r="B470" t="str">
        <f t="shared" si="51"/>
        <v>e-methanol (PS) - Energy cost including feedstock energy cost - Asia - USD/ton fuel</v>
      </c>
      <c r="C470" s="22" t="str">
        <f>C424</f>
        <v>e-methanol (PS)</v>
      </c>
      <c r="D470" s="22" t="s">
        <v>1367</v>
      </c>
      <c r="E470" s="22" t="s">
        <v>750</v>
      </c>
      <c r="F470" s="22" t="s">
        <v>1353</v>
      </c>
      <c r="G470" s="487" t="str">
        <f t="shared" si="52"/>
        <v>e-methanol (PS)AsiaEnergy cost including feedstock energy cost</v>
      </c>
      <c r="H470" s="496">
        <v>814.10688971223851</v>
      </c>
      <c r="I470" s="496">
        <v>741.87848948296107</v>
      </c>
      <c r="J470" s="496">
        <v>669.67550371206949</v>
      </c>
      <c r="K470" s="496">
        <v>643.0219294388794</v>
      </c>
      <c r="L470" s="496">
        <v>616.28418428253713</v>
      </c>
      <c r="M470" s="496">
        <v>589.48304572659254</v>
      </c>
      <c r="N470" s="496">
        <v>562.63929125464551</v>
      </c>
      <c r="O470" s="496">
        <v>535.77369835027332</v>
      </c>
      <c r="P470" s="496">
        <v>515.81765371927406</v>
      </c>
      <c r="Q470" s="496">
        <v>495.91119100960293</v>
      </c>
      <c r="R470" s="496">
        <v>476.06793719869722</v>
      </c>
      <c r="S470" s="496">
        <v>456.30151926398463</v>
      </c>
      <c r="T470" s="496">
        <v>436.62556418292672</v>
      </c>
      <c r="U470" s="496">
        <v>425.21156653944979</v>
      </c>
      <c r="V470" s="496">
        <v>413.83424439957247</v>
      </c>
      <c r="W470" s="496">
        <v>402.49840083278508</v>
      </c>
      <c r="X470" s="496">
        <v>391.20883890854071</v>
      </c>
      <c r="Y470" s="496">
        <v>379.97036169632679</v>
      </c>
      <c r="Z470" s="496">
        <v>367.62617862557624</v>
      </c>
      <c r="AA470" s="496">
        <v>355.49630154319186</v>
      </c>
      <c r="AB470" s="496">
        <v>343.57787132874194</v>
      </c>
      <c r="AC470" s="496">
        <v>331.868028861791</v>
      </c>
      <c r="AD470" s="496">
        <v>320.36391502190537</v>
      </c>
      <c r="AE470" s="496">
        <v>313.92704406217473</v>
      </c>
      <c r="AF470" s="496">
        <v>307.6008585934091</v>
      </c>
      <c r="AG470" s="496">
        <v>301.38367529417076</v>
      </c>
      <c r="AH470" s="496">
        <v>295.27381084301999</v>
      </c>
      <c r="AI470" s="496">
        <v>289.26958191851702</v>
      </c>
    </row>
    <row r="471" spans="2:35" ht="15" outlineLevel="1">
      <c r="B471" t="str">
        <f t="shared" si="51"/>
        <v>e-methanol (PS) - Energy cost including feedstock energy cost - Europe - USD/ton fuel</v>
      </c>
      <c r="C471" s="22" t="str">
        <f>C424</f>
        <v>e-methanol (PS)</v>
      </c>
      <c r="D471" s="22" t="s">
        <v>1367</v>
      </c>
      <c r="E471" s="22" t="s">
        <v>720</v>
      </c>
      <c r="F471" s="22" t="s">
        <v>1353</v>
      </c>
      <c r="G471" s="487" t="str">
        <f t="shared" si="52"/>
        <v>e-methanol (PS)EuropeEnergy cost including feedstock energy cost</v>
      </c>
      <c r="H471" s="496">
        <v>606.05848161117319</v>
      </c>
      <c r="I471" s="496">
        <v>579.39922616107458</v>
      </c>
      <c r="J471" s="496">
        <v>552.69981897144305</v>
      </c>
      <c r="K471" s="496">
        <v>530.77409361612388</v>
      </c>
      <c r="L471" s="496">
        <v>508.77862644516705</v>
      </c>
      <c r="M471" s="496">
        <v>486.73050701324877</v>
      </c>
      <c r="N471" s="496">
        <v>464.64682487503615</v>
      </c>
      <c r="O471" s="496">
        <v>442.54466958519953</v>
      </c>
      <c r="P471" s="496">
        <v>431.59631371520067</v>
      </c>
      <c r="Q471" s="496">
        <v>420.62720631881274</v>
      </c>
      <c r="R471" s="496">
        <v>409.644199087782</v>
      </c>
      <c r="S471" s="496">
        <v>398.65414371386902</v>
      </c>
      <c r="T471" s="496">
        <v>387.66389188884972</v>
      </c>
      <c r="U471" s="496">
        <v>380.0405247425295</v>
      </c>
      <c r="V471" s="496">
        <v>372.41435216790131</v>
      </c>
      <c r="W471" s="496">
        <v>364.7882101387832</v>
      </c>
      <c r="X471" s="496">
        <v>357.16493462896852</v>
      </c>
      <c r="Y471" s="496">
        <v>349.5473616122668</v>
      </c>
      <c r="Z471" s="496">
        <v>340.8783458480699</v>
      </c>
      <c r="AA471" s="496">
        <v>332.3520192234642</v>
      </c>
      <c r="AB471" s="496">
        <v>323.96665632808907</v>
      </c>
      <c r="AC471" s="496">
        <v>315.72053175156572</v>
      </c>
      <c r="AD471" s="496">
        <v>307.61192008353129</v>
      </c>
      <c r="AE471" s="496">
        <v>301.43146384539858</v>
      </c>
      <c r="AF471" s="496">
        <v>295.35728396813937</v>
      </c>
      <c r="AG471" s="496">
        <v>289.38776422387116</v>
      </c>
      <c r="AH471" s="496">
        <v>283.52128838470946</v>
      </c>
      <c r="AI471" s="496">
        <v>277.75624022276975</v>
      </c>
    </row>
    <row r="472" spans="2:35" ht="15" outlineLevel="1">
      <c r="B472" t="str">
        <f t="shared" si="51"/>
        <v>e-methanol (PS) - Energy cost including feedstock energy cost - Middle East - USD/ton fuel</v>
      </c>
      <c r="C472" s="92" t="str">
        <f>C424</f>
        <v>e-methanol (PS)</v>
      </c>
      <c r="D472" s="92" t="s">
        <v>1367</v>
      </c>
      <c r="E472" s="92" t="s">
        <v>826</v>
      </c>
      <c r="F472" s="92" t="s">
        <v>1353</v>
      </c>
      <c r="G472" s="487" t="str">
        <f t="shared" si="52"/>
        <v>e-methanol (PS)Middle EastEnergy cost including feedstock energy cost</v>
      </c>
      <c r="H472" s="497">
        <v>464.08609747012434</v>
      </c>
      <c r="I472" s="497">
        <v>443.19531522781085</v>
      </c>
      <c r="J472" s="497">
        <v>422.27482545207857</v>
      </c>
      <c r="K472" s="497">
        <v>408.08012158681589</v>
      </c>
      <c r="L472" s="497">
        <v>393.82243807374863</v>
      </c>
      <c r="M472" s="497">
        <v>379.5127537028921</v>
      </c>
      <c r="N472" s="497">
        <v>365.16204726427225</v>
      </c>
      <c r="O472" s="497">
        <v>350.7812975478999</v>
      </c>
      <c r="P472" s="497">
        <v>339.54062191056971</v>
      </c>
      <c r="Q472" s="497">
        <v>328.31206430583165</v>
      </c>
      <c r="R472" s="497">
        <v>317.10309456572367</v>
      </c>
      <c r="S472" s="497">
        <v>305.92118252229557</v>
      </c>
      <c r="T472" s="497">
        <v>294.77379800760019</v>
      </c>
      <c r="U472" s="497">
        <v>288.20374310592871</v>
      </c>
      <c r="V472" s="497">
        <v>281.64244932831571</v>
      </c>
      <c r="W472" s="497">
        <v>275.09251311992335</v>
      </c>
      <c r="X472" s="497">
        <v>268.55653092588989</v>
      </c>
      <c r="Y472" s="497">
        <v>262.03709919137196</v>
      </c>
      <c r="Z472" s="497">
        <v>253.62915960477972</v>
      </c>
      <c r="AA472" s="497">
        <v>245.36688423922507</v>
      </c>
      <c r="AB472" s="497">
        <v>237.24833670520081</v>
      </c>
      <c r="AC472" s="497">
        <v>229.27158061319557</v>
      </c>
      <c r="AD472" s="497">
        <v>221.43467957370015</v>
      </c>
      <c r="AE472" s="497">
        <v>216.98546264921913</v>
      </c>
      <c r="AF472" s="497">
        <v>212.61275240429012</v>
      </c>
      <c r="AG472" s="497">
        <v>208.31538530032171</v>
      </c>
      <c r="AH472" s="497">
        <v>204.09219779872527</v>
      </c>
      <c r="AI472" s="497">
        <v>199.94202636091239</v>
      </c>
    </row>
    <row r="473" spans="2:35" outlineLevel="1">
      <c r="B473" t="str">
        <f t="shared" si="51"/>
        <v>e-methanol (PS) - Energy cost - Africa - USD/ton fuel</v>
      </c>
      <c r="C473" t="str">
        <f>C424</f>
        <v>e-methanol (PS)</v>
      </c>
      <c r="D473" t="s">
        <v>1368</v>
      </c>
      <c r="E473" t="s">
        <v>838</v>
      </c>
      <c r="F473" t="s">
        <v>1353</v>
      </c>
      <c r="G473" s="487" t="str">
        <f t="shared" si="52"/>
        <v>e-methanol (PS)AfricaEnergy cost</v>
      </c>
      <c r="H473" s="493">
        <v>99.26267178187409</v>
      </c>
      <c r="I473" s="493">
        <v>87.606603617621289</v>
      </c>
      <c r="J473" s="493">
        <v>75.950535453365404</v>
      </c>
      <c r="K473" s="493">
        <v>72.701221964566045</v>
      </c>
      <c r="L473" s="493">
        <v>69.451908475766686</v>
      </c>
      <c r="M473" s="493">
        <v>66.202594986967327</v>
      </c>
      <c r="N473" s="493">
        <v>62.953281498167186</v>
      </c>
      <c r="O473" s="493">
        <v>59.703968009367827</v>
      </c>
      <c r="P473" s="493">
        <v>57.890197067325836</v>
      </c>
      <c r="Q473" s="493">
        <v>56.076426125283838</v>
      </c>
      <c r="R473" s="493">
        <v>54.262655183241073</v>
      </c>
      <c r="S473" s="493">
        <v>52.448884241199082</v>
      </c>
      <c r="T473" s="493">
        <v>50.635113299157283</v>
      </c>
      <c r="U473" s="493">
        <v>49.781401120835163</v>
      </c>
      <c r="V473" s="493">
        <v>48.927688942513235</v>
      </c>
      <c r="W473" s="493">
        <v>48.073976764191116</v>
      </c>
      <c r="X473" s="493">
        <v>47.220264585868996</v>
      </c>
      <c r="Y473" s="493">
        <v>46.36655240754726</v>
      </c>
      <c r="Z473" s="493">
        <v>45.488704803888616</v>
      </c>
      <c r="AA473" s="493">
        <v>44.610857200229972</v>
      </c>
      <c r="AB473" s="493">
        <v>43.733009596570945</v>
      </c>
      <c r="AC473" s="493">
        <v>42.855161992912301</v>
      </c>
      <c r="AD473" s="493">
        <v>41.977314389253465</v>
      </c>
      <c r="AE473" s="493">
        <v>41.546443275330866</v>
      </c>
      <c r="AF473" s="493">
        <v>41.115572161408451</v>
      </c>
      <c r="AG473" s="493">
        <v>40.684701047485852</v>
      </c>
      <c r="AH473" s="493">
        <v>40.253829933563246</v>
      </c>
      <c r="AI473" s="493">
        <v>39.822958819640839</v>
      </c>
    </row>
    <row r="474" spans="2:35" outlineLevel="1">
      <c r="B474" t="str">
        <f t="shared" si="51"/>
        <v>e-methanol (PS) - Energy cost - Americas - USD/ton fuel</v>
      </c>
      <c r="C474" t="str">
        <f>C424</f>
        <v>e-methanol (PS)</v>
      </c>
      <c r="D474" t="s">
        <v>1368</v>
      </c>
      <c r="E474" t="s">
        <v>731</v>
      </c>
      <c r="F474" t="s">
        <v>1353</v>
      </c>
      <c r="G474" s="487" t="str">
        <f t="shared" si="52"/>
        <v>e-methanol (PS)AmericasEnergy cost</v>
      </c>
      <c r="H474" s="493">
        <v>62.36821371760395</v>
      </c>
      <c r="I474" s="493">
        <v>61.07665505835346</v>
      </c>
      <c r="J474" s="493">
        <v>59.785096399102578</v>
      </c>
      <c r="K474" s="493">
        <v>57.601855099917429</v>
      </c>
      <c r="L474" s="493">
        <v>55.418613800732281</v>
      </c>
      <c r="M474" s="493">
        <v>53.235372501547133</v>
      </c>
      <c r="N474" s="493">
        <v>51.052131202362759</v>
      </c>
      <c r="O474" s="493">
        <v>48.86888990317761</v>
      </c>
      <c r="P474" s="493">
        <v>47.818261773230411</v>
      </c>
      <c r="Q474" s="493">
        <v>46.767633643283212</v>
      </c>
      <c r="R474" s="493">
        <v>45.717005513336012</v>
      </c>
      <c r="S474" s="493">
        <v>44.666377383388813</v>
      </c>
      <c r="T474" s="493">
        <v>43.615749253441422</v>
      </c>
      <c r="U474" s="493">
        <v>42.764084248216705</v>
      </c>
      <c r="V474" s="493">
        <v>41.91241924299198</v>
      </c>
      <c r="W474" s="493">
        <v>41.060754237767071</v>
      </c>
      <c r="X474" s="493">
        <v>40.209089232542347</v>
      </c>
      <c r="Y474" s="493">
        <v>39.35742422731753</v>
      </c>
      <c r="Z474" s="493">
        <v>39.014315503295393</v>
      </c>
      <c r="AA474" s="493">
        <v>38.671206779273248</v>
      </c>
      <c r="AB474" s="493">
        <v>38.328098055251203</v>
      </c>
      <c r="AC474" s="493">
        <v>37.984989331229066</v>
      </c>
      <c r="AD474" s="493">
        <v>37.641880607206922</v>
      </c>
      <c r="AE474" s="493">
        <v>37.383029360348445</v>
      </c>
      <c r="AF474" s="493">
        <v>37.124178113490061</v>
      </c>
      <c r="AG474" s="493">
        <v>36.865326866631683</v>
      </c>
      <c r="AH474" s="493">
        <v>36.606475619773299</v>
      </c>
      <c r="AI474" s="493">
        <v>36.347624372914915</v>
      </c>
    </row>
    <row r="475" spans="2:35" outlineLevel="1">
      <c r="B475" t="str">
        <f t="shared" si="51"/>
        <v>e-methanol (PS) - Energy cost - Asia - USD/ton fuel</v>
      </c>
      <c r="C475" t="str">
        <f>C424</f>
        <v>e-methanol (PS)</v>
      </c>
      <c r="D475" t="s">
        <v>1368</v>
      </c>
      <c r="E475" t="s">
        <v>750</v>
      </c>
      <c r="F475" t="s">
        <v>1353</v>
      </c>
      <c r="G475" s="487" t="str">
        <f t="shared" si="52"/>
        <v>e-methanol (PS)AsiaEnergy cost</v>
      </c>
      <c r="H475" s="493">
        <v>110.40072423267556</v>
      </c>
      <c r="I475" s="493">
        <v>100.69934349262111</v>
      </c>
      <c r="J475" s="493">
        <v>90.997962752571311</v>
      </c>
      <c r="K475" s="493">
        <v>87.518158038180076</v>
      </c>
      <c r="L475" s="493">
        <v>84.038353323790389</v>
      </c>
      <c r="M475" s="493">
        <v>80.558548609399168</v>
      </c>
      <c r="N475" s="493">
        <v>77.078743895007932</v>
      </c>
      <c r="O475" s="493">
        <v>73.598939180618245</v>
      </c>
      <c r="P475" s="493">
        <v>71.233753712729865</v>
      </c>
      <c r="Q475" s="493">
        <v>68.868568244842251</v>
      </c>
      <c r="R475" s="493">
        <v>66.503382776955405</v>
      </c>
      <c r="S475" s="493">
        <v>64.138197309067792</v>
      </c>
      <c r="T475" s="493">
        <v>61.773011841180185</v>
      </c>
      <c r="U475" s="493">
        <v>60.570494246133691</v>
      </c>
      <c r="V475" s="493">
        <v>59.367976651087197</v>
      </c>
      <c r="W475" s="493">
        <v>58.165459056041094</v>
      </c>
      <c r="X475" s="493">
        <v>56.9629414609946</v>
      </c>
      <c r="Y475" s="493">
        <v>55.76042386594888</v>
      </c>
      <c r="Z475" s="493">
        <v>54.501714899965805</v>
      </c>
      <c r="AA475" s="493">
        <v>53.243005933983113</v>
      </c>
      <c r="AB475" s="493">
        <v>51.984296968000031</v>
      </c>
      <c r="AC475" s="493">
        <v>50.725588002017339</v>
      </c>
      <c r="AD475" s="493">
        <v>49.466879036034264</v>
      </c>
      <c r="AE475" s="493">
        <v>48.889651788084429</v>
      </c>
      <c r="AF475" s="493">
        <v>48.312424540134394</v>
      </c>
      <c r="AG475" s="493">
        <v>47.735197292184559</v>
      </c>
      <c r="AH475" s="493">
        <v>47.157970044234716</v>
      </c>
      <c r="AI475" s="493">
        <v>46.580742796284689</v>
      </c>
    </row>
    <row r="476" spans="2:35" outlineLevel="1">
      <c r="B476" t="str">
        <f t="shared" si="51"/>
        <v>e-methanol (PS) - Energy cost - Europe - USD/ton fuel</v>
      </c>
      <c r="C476" t="str">
        <f>C424</f>
        <v>e-methanol (PS)</v>
      </c>
      <c r="D476" t="s">
        <v>1368</v>
      </c>
      <c r="E476" t="s">
        <v>720</v>
      </c>
      <c r="F476" t="s">
        <v>1353</v>
      </c>
      <c r="G476" s="487" t="str">
        <f t="shared" si="52"/>
        <v>e-methanol (PS)EuropeEnergy cost</v>
      </c>
      <c r="H476" s="493">
        <v>82.187359108187323</v>
      </c>
      <c r="I476" s="493">
        <v>78.645118468410502</v>
      </c>
      <c r="J476" s="493">
        <v>75.102877828633694</v>
      </c>
      <c r="K476" s="493">
        <v>72.240725986131565</v>
      </c>
      <c r="L476" s="493">
        <v>69.378574143628654</v>
      </c>
      <c r="M476" s="493">
        <v>66.516422301126525</v>
      </c>
      <c r="N476" s="493">
        <v>63.654270458623614</v>
      </c>
      <c r="O476" s="493">
        <v>60.792118616121478</v>
      </c>
      <c r="P476" s="493">
        <v>59.602895117744033</v>
      </c>
      <c r="Q476" s="493">
        <v>58.413671619367754</v>
      </c>
      <c r="R476" s="493">
        <v>57.224448120991084</v>
      </c>
      <c r="S476" s="493">
        <v>56.035224622614415</v>
      </c>
      <c r="T476" s="493">
        <v>54.846001124238136</v>
      </c>
      <c r="U476" s="493">
        <v>54.135974250548429</v>
      </c>
      <c r="V476" s="493">
        <v>53.425947376858915</v>
      </c>
      <c r="W476" s="493">
        <v>52.7159205031694</v>
      </c>
      <c r="X476" s="493">
        <v>52.005893629479885</v>
      </c>
      <c r="Y476" s="493">
        <v>51.29586675578998</v>
      </c>
      <c r="Z476" s="493">
        <v>50.536266188772764</v>
      </c>
      <c r="AA476" s="493">
        <v>49.776665621755349</v>
      </c>
      <c r="AB476" s="493">
        <v>49.017065054738133</v>
      </c>
      <c r="AC476" s="493">
        <v>48.257464487720718</v>
      </c>
      <c r="AD476" s="493">
        <v>47.497863920703502</v>
      </c>
      <c r="AE476" s="493">
        <v>46.943643703584165</v>
      </c>
      <c r="AF476" s="493">
        <v>46.389423486464636</v>
      </c>
      <c r="AG476" s="493">
        <v>45.8352032693453</v>
      </c>
      <c r="AH476" s="493">
        <v>45.280983052225963</v>
      </c>
      <c r="AI476" s="493">
        <v>44.726762835106435</v>
      </c>
    </row>
    <row r="477" spans="2:35" outlineLevel="1">
      <c r="B477" t="str">
        <f t="shared" si="51"/>
        <v>e-methanol (PS) - Energy cost - Middle East - USD/ton fuel</v>
      </c>
      <c r="C477" t="str">
        <f>C424</f>
        <v>e-methanol (PS)</v>
      </c>
      <c r="D477" t="s">
        <v>1368</v>
      </c>
      <c r="E477" t="s">
        <v>826</v>
      </c>
      <c r="F477" t="s">
        <v>1353</v>
      </c>
      <c r="G477" s="487" t="str">
        <f t="shared" si="52"/>
        <v>e-methanol (PS)Middle EastEnergy cost</v>
      </c>
      <c r="H477" s="493">
        <v>62.93453834437873</v>
      </c>
      <c r="I477" s="493">
        <v>60.157394930737972</v>
      </c>
      <c r="J477" s="493">
        <v>57.38025151709644</v>
      </c>
      <c r="K477" s="493">
        <v>55.541528116218657</v>
      </c>
      <c r="L477" s="493">
        <v>53.702804715340882</v>
      </c>
      <c r="M477" s="493">
        <v>51.8640813144631</v>
      </c>
      <c r="N477" s="493">
        <v>50.025357913585317</v>
      </c>
      <c r="O477" s="493">
        <v>48.186634512707542</v>
      </c>
      <c r="P477" s="493">
        <v>46.890122628117588</v>
      </c>
      <c r="Q477" s="493">
        <v>45.593610743528025</v>
      </c>
      <c r="R477" s="493">
        <v>44.297098858938078</v>
      </c>
      <c r="S477" s="493">
        <v>43.000586974348515</v>
      </c>
      <c r="T477" s="493">
        <v>41.704075089758952</v>
      </c>
      <c r="U477" s="493">
        <v>41.054017663680554</v>
      </c>
      <c r="V477" s="493">
        <v>40.403960237602156</v>
      </c>
      <c r="W477" s="493">
        <v>39.75390281152395</v>
      </c>
      <c r="X477" s="493">
        <v>39.103845385445545</v>
      </c>
      <c r="Y477" s="493">
        <v>38.453787959367148</v>
      </c>
      <c r="Z477" s="493">
        <v>37.601305213839112</v>
      </c>
      <c r="AA477" s="493">
        <v>36.748822468311268</v>
      </c>
      <c r="AB477" s="493">
        <v>35.896339722783225</v>
      </c>
      <c r="AC477" s="493">
        <v>35.043856977255381</v>
      </c>
      <c r="AD477" s="493">
        <v>34.191374231727245</v>
      </c>
      <c r="AE477" s="493">
        <v>33.792385564257692</v>
      </c>
      <c r="AF477" s="493">
        <v>33.393396896788239</v>
      </c>
      <c r="AG477" s="493">
        <v>32.994408229318687</v>
      </c>
      <c r="AH477" s="493">
        <v>32.595419561849134</v>
      </c>
      <c r="AI477" s="493">
        <v>32.196430894379674</v>
      </c>
    </row>
    <row r="478" spans="2:35" outlineLevel="1">
      <c r="B478" t="str">
        <f t="shared" si="51"/>
        <v>e-hydrogen (compressed) - Energy cost including feedstock energy cost - Africa - USD/ton fuel</v>
      </c>
      <c r="C478" t="s">
        <v>722</v>
      </c>
      <c r="D478" t="s">
        <v>1367</v>
      </c>
      <c r="E478" t="s">
        <v>838</v>
      </c>
      <c r="F478" t="s">
        <v>1353</v>
      </c>
      <c r="G478" s="487" t="str">
        <f t="shared" si="52"/>
        <v>e-hydrogen (compressed)AfricaEnergy cost including feedstock energy cost</v>
      </c>
      <c r="H478" s="507">
        <v>3160.8705964644164</v>
      </c>
      <c r="I478" s="507">
        <v>2786.523241337979</v>
      </c>
      <c r="J478" s="507">
        <v>2412.5464202833837</v>
      </c>
      <c r="K478" s="507">
        <v>2304.7344628217015</v>
      </c>
      <c r="L478" s="507">
        <v>2196.6012206586379</v>
      </c>
      <c r="M478" s="507">
        <v>2088.2494806360514</v>
      </c>
      <c r="N478" s="507">
        <v>1979.7820295958466</v>
      </c>
      <c r="O478" s="507">
        <v>1871.3016543799013</v>
      </c>
      <c r="P478" s="507">
        <v>1802.6625730422293</v>
      </c>
      <c r="Q478" s="507">
        <v>1734.1917254836167</v>
      </c>
      <c r="R478" s="507">
        <v>1665.9444753405153</v>
      </c>
      <c r="S478" s="507">
        <v>1597.976186249457</v>
      </c>
      <c r="T478" s="507">
        <v>1530.3422218469802</v>
      </c>
      <c r="U478" s="507">
        <v>1491.8507805011832</v>
      </c>
      <c r="V478" s="507">
        <v>1453.4494587457298</v>
      </c>
      <c r="W478" s="507">
        <v>1415.1563219456079</v>
      </c>
      <c r="X478" s="507">
        <v>1376.9894354656967</v>
      </c>
      <c r="Y478" s="507">
        <v>1338.9668646709708</v>
      </c>
      <c r="Z478" s="507">
        <v>1296.9598763474942</v>
      </c>
      <c r="AA478" s="507">
        <v>1255.7747230782336</v>
      </c>
      <c r="AB478" s="507">
        <v>1215.4008407247393</v>
      </c>
      <c r="AC478" s="507">
        <v>1175.8276651485323</v>
      </c>
      <c r="AD478" s="507">
        <v>1137.0446322111472</v>
      </c>
      <c r="AE478" s="507">
        <v>1113.2241368658154</v>
      </c>
      <c r="AF478" s="507">
        <v>1089.8673860112274</v>
      </c>
      <c r="AG478" s="507">
        <v>1066.9677226950826</v>
      </c>
      <c r="AH478" s="507">
        <v>1044.5184899651035</v>
      </c>
      <c r="AI478" s="507">
        <v>1022.5130308690141</v>
      </c>
    </row>
    <row r="479" spans="2:35" outlineLevel="1">
      <c r="B479" t="str">
        <f t="shared" si="51"/>
        <v>e-hydrogen (compressed) - Energy cost including feedstock energy cost - Americas - USD/ton fuel</v>
      </c>
      <c r="C479" t="s">
        <v>722</v>
      </c>
      <c r="D479" t="s">
        <v>1367</v>
      </c>
      <c r="E479" t="s">
        <v>731</v>
      </c>
      <c r="F479" t="s">
        <v>1353</v>
      </c>
      <c r="G479" s="487" t="str">
        <f t="shared" si="52"/>
        <v>e-hydrogen (compressed)AmericasEnergy cost including feedstock energy cost</v>
      </c>
      <c r="H479" s="507">
        <v>1986.022029783622</v>
      </c>
      <c r="I479" s="507">
        <v>1942.6791108821419</v>
      </c>
      <c r="J479" s="507">
        <v>1899.0560032656203</v>
      </c>
      <c r="K479" s="507">
        <v>1826.0625747933959</v>
      </c>
      <c r="L479" s="507">
        <v>1752.7609736509025</v>
      </c>
      <c r="M479" s="507">
        <v>1679.2202631891889</v>
      </c>
      <c r="N479" s="507">
        <v>1605.5095067593863</v>
      </c>
      <c r="O479" s="507">
        <v>1531.6977677124719</v>
      </c>
      <c r="P479" s="507">
        <v>1489.0291478242557</v>
      </c>
      <c r="Q479" s="507">
        <v>1446.3126288296503</v>
      </c>
      <c r="R479" s="507">
        <v>1403.5802801551172</v>
      </c>
      <c r="S479" s="507">
        <v>1360.8641712271224</v>
      </c>
      <c r="T479" s="507">
        <v>1318.196371472189</v>
      </c>
      <c r="U479" s="507">
        <v>1281.5555815366356</v>
      </c>
      <c r="V479" s="507">
        <v>1245.0533507729108</v>
      </c>
      <c r="W479" s="507">
        <v>1208.7077012258628</v>
      </c>
      <c r="X479" s="507">
        <v>1172.5366549402484</v>
      </c>
      <c r="Y479" s="507">
        <v>1136.5582339608836</v>
      </c>
      <c r="Z479" s="507">
        <v>1112.3640919011295</v>
      </c>
      <c r="AA479" s="507">
        <v>1088.5763473760965</v>
      </c>
      <c r="AB479" s="507">
        <v>1065.1908713683672</v>
      </c>
      <c r="AC479" s="507">
        <v>1042.2035348604634</v>
      </c>
      <c r="AD479" s="507">
        <v>1019.61020883496</v>
      </c>
      <c r="AE479" s="507">
        <v>1001.6667447875999</v>
      </c>
      <c r="AF479" s="507">
        <v>984.06586194466854</v>
      </c>
      <c r="AG479" s="507">
        <v>966.80356105825501</v>
      </c>
      <c r="AH479" s="507">
        <v>949.87584288045787</v>
      </c>
      <c r="AI479" s="507">
        <v>933.27870816337509</v>
      </c>
    </row>
    <row r="480" spans="2:35" outlineLevel="1">
      <c r="B480" t="str">
        <f t="shared" si="51"/>
        <v>e-hydrogen (compressed) - Energy cost including feedstock energy cost - Asia - USD/ton fuel</v>
      </c>
      <c r="C480" t="s">
        <v>722</v>
      </c>
      <c r="D480" t="s">
        <v>1367</v>
      </c>
      <c r="E480" t="s">
        <v>750</v>
      </c>
      <c r="F480" t="s">
        <v>1353</v>
      </c>
      <c r="G480" s="487" t="str">
        <f t="shared" si="52"/>
        <v>e-hydrogen (compressed)AsiaEnergy cost including feedstock energy cost</v>
      </c>
      <c r="H480" s="507">
        <v>3515.5451368694994</v>
      </c>
      <c r="I480" s="507">
        <v>3202.9670075376002</v>
      </c>
      <c r="J480" s="507">
        <v>2890.5235227287494</v>
      </c>
      <c r="K480" s="507">
        <v>2774.4528840461521</v>
      </c>
      <c r="L480" s="507">
        <v>2657.9363122554146</v>
      </c>
      <c r="M480" s="507">
        <v>2541.0838854200356</v>
      </c>
      <c r="N480" s="507">
        <v>2424.0056816037468</v>
      </c>
      <c r="O480" s="507">
        <v>2306.8117788701561</v>
      </c>
      <c r="P480" s="507">
        <v>2218.1721303505983</v>
      </c>
      <c r="Q480" s="507">
        <v>2129.7951643580186</v>
      </c>
      <c r="R480" s="507">
        <v>2041.7530759339261</v>
      </c>
      <c r="S480" s="507">
        <v>1954.1180601197893</v>
      </c>
      <c r="T480" s="507">
        <v>1866.9623119572402</v>
      </c>
      <c r="U480" s="507">
        <v>1815.1787029276168</v>
      </c>
      <c r="V480" s="507">
        <v>1763.5893988725866</v>
      </c>
      <c r="W480" s="507">
        <v>1712.219846212882</v>
      </c>
      <c r="X480" s="507">
        <v>1661.0954913690473</v>
      </c>
      <c r="Y480" s="507">
        <v>1610.2417807617942</v>
      </c>
      <c r="Z480" s="507">
        <v>1553.9360314199</v>
      </c>
      <c r="AA480" s="507">
        <v>1498.7656644323729</v>
      </c>
      <c r="AB480" s="507">
        <v>1444.7155323228835</v>
      </c>
      <c r="AC480" s="507">
        <v>1391.7704876150719</v>
      </c>
      <c r="AD480" s="507">
        <v>1339.915382832598</v>
      </c>
      <c r="AE480" s="507">
        <v>1309.9831447130568</v>
      </c>
      <c r="AF480" s="507">
        <v>1280.6373127610934</v>
      </c>
      <c r="AG480" s="507">
        <v>1251.8689688243389</v>
      </c>
      <c r="AH480" s="507">
        <v>1223.6691947504187</v>
      </c>
      <c r="AI480" s="507">
        <v>1196.0290723869578</v>
      </c>
    </row>
    <row r="481" spans="2:35" outlineLevel="1">
      <c r="B481" t="str">
        <f t="shared" si="51"/>
        <v>e-hydrogen (compressed) - Energy cost including feedstock energy cost - Europe - USD/ton fuel</v>
      </c>
      <c r="C481" t="s">
        <v>722</v>
      </c>
      <c r="D481" t="s">
        <v>1367</v>
      </c>
      <c r="E481" t="s">
        <v>720</v>
      </c>
      <c r="F481" t="s">
        <v>1353</v>
      </c>
      <c r="G481" s="487" t="str">
        <f t="shared" si="52"/>
        <v>e-hydrogen (compressed)EuropeEnergy cost including feedstock energy cost</v>
      </c>
      <c r="H481" s="507">
        <v>2617.1329276426868</v>
      </c>
      <c r="I481" s="507">
        <v>2501.4832373426843</v>
      </c>
      <c r="J481" s="507">
        <v>2385.6208251448465</v>
      </c>
      <c r="K481" s="507">
        <v>2290.1360706240293</v>
      </c>
      <c r="L481" s="507">
        <v>2194.281827469511</v>
      </c>
      <c r="M481" s="507">
        <v>2098.1486352829556</v>
      </c>
      <c r="N481" s="507">
        <v>2001.8270336660016</v>
      </c>
      <c r="O481" s="507">
        <v>1905.4075622202831</v>
      </c>
      <c r="P481" s="507">
        <v>1855.9948612502078</v>
      </c>
      <c r="Q481" s="507">
        <v>1806.4722197363817</v>
      </c>
      <c r="R481" s="507">
        <v>1756.8759375972888</v>
      </c>
      <c r="S481" s="507">
        <v>1707.2423147514785</v>
      </c>
      <c r="T481" s="507">
        <v>1657.6076511175781</v>
      </c>
      <c r="U481" s="507">
        <v>1622.348781281504</v>
      </c>
      <c r="V481" s="507">
        <v>1587.0750484272664</v>
      </c>
      <c r="W481" s="507">
        <v>1551.8014774016065</v>
      </c>
      <c r="X481" s="507">
        <v>1516.5430930511313</v>
      </c>
      <c r="Y481" s="507">
        <v>1481.3149202225381</v>
      </c>
      <c r="Z481" s="507">
        <v>1440.8743847473047</v>
      </c>
      <c r="AA481" s="507">
        <v>1401.1898091614214</v>
      </c>
      <c r="AB481" s="507">
        <v>1362.2520523275218</v>
      </c>
      <c r="AC481" s="507">
        <v>1324.0519731081486</v>
      </c>
      <c r="AD481" s="507">
        <v>1286.5804303659243</v>
      </c>
      <c r="AE481" s="507">
        <v>1257.840458133481</v>
      </c>
      <c r="AF481" s="507">
        <v>1229.6635327190136</v>
      </c>
      <c r="AG481" s="507">
        <v>1202.0410914284364</v>
      </c>
      <c r="AH481" s="507">
        <v>1174.9645715676581</v>
      </c>
      <c r="AI481" s="507">
        <v>1148.4254104425868</v>
      </c>
    </row>
    <row r="482" spans="2:35" outlineLevel="1">
      <c r="B482" t="str">
        <f t="shared" si="51"/>
        <v>e-hydrogen (compressed) - Energy cost including feedstock energy cost - Middle East - USD/ton fuel</v>
      </c>
      <c r="C482" t="s">
        <v>722</v>
      </c>
      <c r="D482" t="s">
        <v>1367</v>
      </c>
      <c r="E482" t="s">
        <v>826</v>
      </c>
      <c r="F482" t="s">
        <v>1353</v>
      </c>
      <c r="G482" s="487" t="str">
        <f t="shared" si="52"/>
        <v>e-hydrogen (compressed)Middle EastEnergy cost including feedstock energy cost</v>
      </c>
      <c r="H482" s="507">
        <v>2004.0557863679674</v>
      </c>
      <c r="I482" s="507">
        <v>1913.439994141396</v>
      </c>
      <c r="J482" s="507">
        <v>1822.6668128960132</v>
      </c>
      <c r="K482" s="507">
        <v>1760.7472131571581</v>
      </c>
      <c r="L482" s="507">
        <v>1698.4939504098782</v>
      </c>
      <c r="M482" s="507">
        <v>1635.9651897318304</v>
      </c>
      <c r="N482" s="507">
        <v>1573.2190962007282</v>
      </c>
      <c r="O482" s="507">
        <v>1510.3138348942052</v>
      </c>
      <c r="P482" s="507">
        <v>1460.1275067135082</v>
      </c>
      <c r="Q482" s="507">
        <v>1410.0053792603746</v>
      </c>
      <c r="R482" s="507">
        <v>1359.9870273294782</v>
      </c>
      <c r="S482" s="507">
        <v>1310.1120257155462</v>
      </c>
      <c r="T482" s="507">
        <v>1260.4199492133293</v>
      </c>
      <c r="U482" s="507">
        <v>1230.3082459572943</v>
      </c>
      <c r="V482" s="507">
        <v>1200.2429586961468</v>
      </c>
      <c r="W482" s="507">
        <v>1170.2378432658459</v>
      </c>
      <c r="X482" s="507">
        <v>1140.3066555022276</v>
      </c>
      <c r="Y482" s="507">
        <v>1110.4631512412213</v>
      </c>
      <c r="Z482" s="507">
        <v>1072.0767797388739</v>
      </c>
      <c r="AA482" s="507">
        <v>1034.4621299578357</v>
      </c>
      <c r="AB482" s="507">
        <v>997.60894300383222</v>
      </c>
      <c r="AC482" s="507">
        <v>961.50695998256094</v>
      </c>
      <c r="AD482" s="507">
        <v>926.14592199973754</v>
      </c>
      <c r="AE482" s="507">
        <v>905.45655143347608</v>
      </c>
      <c r="AF482" s="507">
        <v>885.17250940990675</v>
      </c>
      <c r="AG482" s="507">
        <v>865.287631560058</v>
      </c>
      <c r="AH482" s="507">
        <v>845.79575351497181</v>
      </c>
      <c r="AI482" s="507">
        <v>826.69071090569059</v>
      </c>
    </row>
    <row r="483" spans="2:35" outlineLevel="1">
      <c r="B483" t="str">
        <f t="shared" si="51"/>
        <v>Carbon dioxide (PS) - Energy cost - Africa - USD/ton fuel</v>
      </c>
      <c r="C483" t="s">
        <v>1380</v>
      </c>
      <c r="D483" t="s">
        <v>1368</v>
      </c>
      <c r="E483" t="s">
        <v>838</v>
      </c>
      <c r="F483" t="s">
        <v>1353</v>
      </c>
      <c r="G483" s="487" t="str">
        <f t="shared" si="52"/>
        <v>Carbon dioxide (PS)AfricaEnergy cost</v>
      </c>
      <c r="H483" s="493">
        <v>26.275413118731375</v>
      </c>
      <c r="I483" s="493">
        <v>23.189983310546815</v>
      </c>
      <c r="J483" s="493">
        <v>20.104553502361433</v>
      </c>
      <c r="K483" s="493">
        <v>19.244441108267484</v>
      </c>
      <c r="L483" s="493">
        <v>18.384328714173535</v>
      </c>
      <c r="M483" s="493">
        <v>17.524216320079585</v>
      </c>
      <c r="N483" s="493">
        <v>16.664103925985433</v>
      </c>
      <c r="O483" s="493">
        <v>15.803991531891484</v>
      </c>
      <c r="P483" s="493">
        <v>15.323875694292132</v>
      </c>
      <c r="Q483" s="493">
        <v>14.843759856692783</v>
      </c>
      <c r="R483" s="493">
        <v>14.363644019093227</v>
      </c>
      <c r="S483" s="493">
        <v>13.883528181493876</v>
      </c>
      <c r="T483" s="493">
        <v>13.403412343894576</v>
      </c>
      <c r="U483" s="493">
        <v>13.177429708456367</v>
      </c>
      <c r="V483" s="493">
        <v>12.95144707301821</v>
      </c>
      <c r="W483" s="493">
        <v>12.725464437580001</v>
      </c>
      <c r="X483" s="493">
        <v>12.499481802141792</v>
      </c>
      <c r="Y483" s="493">
        <v>12.273499166703687</v>
      </c>
      <c r="Z483" s="493">
        <v>12.041127742205811</v>
      </c>
      <c r="AA483" s="493">
        <v>11.808756317707935</v>
      </c>
      <c r="AB483" s="493">
        <v>11.576384893209957</v>
      </c>
      <c r="AC483" s="493">
        <v>11.344013468712081</v>
      </c>
      <c r="AD483" s="493">
        <v>11.111642044214154</v>
      </c>
      <c r="AE483" s="493">
        <v>10.997587925822875</v>
      </c>
      <c r="AF483" s="493">
        <v>10.88353380743165</v>
      </c>
      <c r="AG483" s="493">
        <v>10.769479689040372</v>
      </c>
      <c r="AH483" s="493">
        <v>10.655425570649095</v>
      </c>
      <c r="AI483" s="493">
        <v>10.541371452257868</v>
      </c>
    </row>
    <row r="484" spans="2:35" outlineLevel="1">
      <c r="B484" t="str">
        <f t="shared" si="51"/>
        <v>Carbon dioxide (PS) - Energy cost - Americas - USD/ton fuel</v>
      </c>
      <c r="C484" t="s">
        <v>1380</v>
      </c>
      <c r="D484" t="s">
        <v>1368</v>
      </c>
      <c r="E484" t="s">
        <v>731</v>
      </c>
      <c r="F484" t="s">
        <v>1353</v>
      </c>
      <c r="G484" s="487" t="str">
        <f t="shared" si="52"/>
        <v>Carbon dioxide (PS)AmericasEnergy cost</v>
      </c>
      <c r="H484" s="493">
        <v>16.509233042895165</v>
      </c>
      <c r="I484" s="493">
        <v>16.167349868387682</v>
      </c>
      <c r="J484" s="493">
        <v>15.825466693880093</v>
      </c>
      <c r="K484" s="493">
        <v>15.247549879389908</v>
      </c>
      <c r="L484" s="493">
        <v>14.669633064899722</v>
      </c>
      <c r="M484" s="493">
        <v>14.091716250409537</v>
      </c>
      <c r="N484" s="493">
        <v>13.513799435919555</v>
      </c>
      <c r="O484" s="493">
        <v>12.93588262142937</v>
      </c>
      <c r="P484" s="493">
        <v>12.657775175266876</v>
      </c>
      <c r="Q484" s="493">
        <v>12.379667729104382</v>
      </c>
      <c r="R484" s="493">
        <v>12.101560282941888</v>
      </c>
      <c r="S484" s="493">
        <v>11.823452836779394</v>
      </c>
      <c r="T484" s="493">
        <v>11.545345390616848</v>
      </c>
      <c r="U484" s="493">
        <v>11.319904653939716</v>
      </c>
      <c r="V484" s="493">
        <v>11.094463917262585</v>
      </c>
      <c r="W484" s="493">
        <v>10.869023180585401</v>
      </c>
      <c r="X484" s="493">
        <v>10.64358244390827</v>
      </c>
      <c r="Y484" s="493">
        <v>10.418141707231113</v>
      </c>
      <c r="Z484" s="493">
        <v>10.327318809695839</v>
      </c>
      <c r="AA484" s="493">
        <v>10.236495912160567</v>
      </c>
      <c r="AB484" s="493">
        <v>10.14567301462532</v>
      </c>
      <c r="AC484" s="493">
        <v>10.054850117090046</v>
      </c>
      <c r="AD484" s="493">
        <v>9.9640272195547741</v>
      </c>
      <c r="AE484" s="493">
        <v>9.8955077718569413</v>
      </c>
      <c r="AF484" s="493">
        <v>9.8269883241591351</v>
      </c>
      <c r="AG484" s="493">
        <v>9.7584688764613272</v>
      </c>
      <c r="AH484" s="493">
        <v>9.6899494287635211</v>
      </c>
      <c r="AI484" s="493">
        <v>9.6214299810657149</v>
      </c>
    </row>
    <row r="485" spans="2:35" outlineLevel="1">
      <c r="B485" t="str">
        <f t="shared" si="51"/>
        <v>Carbon dioxide (PS) - Energy cost - Asia - USD/ton fuel</v>
      </c>
      <c r="C485" t="s">
        <v>1380</v>
      </c>
      <c r="D485" t="s">
        <v>1368</v>
      </c>
      <c r="E485" t="s">
        <v>750</v>
      </c>
      <c r="F485" t="s">
        <v>1353</v>
      </c>
      <c r="G485" s="487" t="str">
        <f t="shared" si="52"/>
        <v>Carbon dioxide (PS)AsiaEnergy cost</v>
      </c>
      <c r="H485" s="493">
        <v>29.223721120414123</v>
      </c>
      <c r="I485" s="493">
        <v>26.655708571576181</v>
      </c>
      <c r="J485" s="493">
        <v>24.087696022739465</v>
      </c>
      <c r="K485" s="493">
        <v>23.166571245400611</v>
      </c>
      <c r="L485" s="493">
        <v>22.245446468062166</v>
      </c>
      <c r="M485" s="493">
        <v>21.324321690723309</v>
      </c>
      <c r="N485" s="493">
        <v>20.403196913384456</v>
      </c>
      <c r="O485" s="493">
        <v>19.482072136046011</v>
      </c>
      <c r="P485" s="493">
        <v>18.85599362984026</v>
      </c>
      <c r="Q485" s="493">
        <v>18.229915123634715</v>
      </c>
      <c r="R485" s="493">
        <v>17.603836617429376</v>
      </c>
      <c r="S485" s="493">
        <v>16.977758111223832</v>
      </c>
      <c r="T485" s="493">
        <v>16.351679605018287</v>
      </c>
      <c r="U485" s="493">
        <v>16.033366123976567</v>
      </c>
      <c r="V485" s="493">
        <v>15.715052642934848</v>
      </c>
      <c r="W485" s="493">
        <v>15.396739161893231</v>
      </c>
      <c r="X485" s="493">
        <v>15.078425680851513</v>
      </c>
      <c r="Y485" s="493">
        <v>14.760112199809999</v>
      </c>
      <c r="Z485" s="493">
        <v>14.426924532343889</v>
      </c>
      <c r="AA485" s="493">
        <v>14.093736864877883</v>
      </c>
      <c r="AB485" s="493">
        <v>13.760549197411775</v>
      </c>
      <c r="AC485" s="493">
        <v>13.427361529945768</v>
      </c>
      <c r="AD485" s="493">
        <v>13.094173862479659</v>
      </c>
      <c r="AE485" s="493">
        <v>12.941378414492936</v>
      </c>
      <c r="AF485" s="493">
        <v>12.788582966506164</v>
      </c>
      <c r="AG485" s="493">
        <v>12.635787518519441</v>
      </c>
      <c r="AH485" s="493">
        <v>12.48299207053272</v>
      </c>
      <c r="AI485" s="493">
        <v>12.330196622545946</v>
      </c>
    </row>
    <row r="486" spans="2:35" outlineLevel="1">
      <c r="B486" t="str">
        <f t="shared" si="51"/>
        <v>Carbon dioxide (PS) - Energy cost - Europe - USD/ton fuel</v>
      </c>
      <c r="C486" t="s">
        <v>1380</v>
      </c>
      <c r="D486" t="s">
        <v>1368</v>
      </c>
      <c r="E486" t="s">
        <v>720</v>
      </c>
      <c r="F486" t="s">
        <v>1353</v>
      </c>
      <c r="G486" s="487" t="str">
        <f t="shared" si="52"/>
        <v>Carbon dioxide (PS)EuropeEnergy cost</v>
      </c>
      <c r="H486" s="493">
        <v>21.75547741099076</v>
      </c>
      <c r="I486" s="493">
        <v>20.817825476932196</v>
      </c>
      <c r="J486" s="493">
        <v>19.880173542873628</v>
      </c>
      <c r="K486" s="493">
        <v>19.122545113976003</v>
      </c>
      <c r="L486" s="493">
        <v>18.364916685078175</v>
      </c>
      <c r="M486" s="493">
        <v>17.607288256180549</v>
      </c>
      <c r="N486" s="493">
        <v>16.849659827282721</v>
      </c>
      <c r="O486" s="493">
        <v>16.0920313983851</v>
      </c>
      <c r="P486" s="493">
        <v>15.777236942932246</v>
      </c>
      <c r="Q486" s="493">
        <v>15.4624424874797</v>
      </c>
      <c r="R486" s="493">
        <v>15.147648032027053</v>
      </c>
      <c r="S486" s="493">
        <v>14.832853576574406</v>
      </c>
      <c r="T486" s="493">
        <v>14.51805912112186</v>
      </c>
      <c r="U486" s="493">
        <v>14.330110831027525</v>
      </c>
      <c r="V486" s="493">
        <v>14.142162540933242</v>
      </c>
      <c r="W486" s="493">
        <v>13.954214250838959</v>
      </c>
      <c r="X486" s="493">
        <v>13.766265960744676</v>
      </c>
      <c r="Y486" s="493">
        <v>13.578317670650291</v>
      </c>
      <c r="Z486" s="493">
        <v>13.377246932322203</v>
      </c>
      <c r="AA486" s="493">
        <v>13.176176193994065</v>
      </c>
      <c r="AB486" s="493">
        <v>12.975105455665977</v>
      </c>
      <c r="AC486" s="493">
        <v>12.774034717337839</v>
      </c>
      <c r="AD486" s="493">
        <v>12.572963979009751</v>
      </c>
      <c r="AE486" s="493">
        <v>12.426258627419339</v>
      </c>
      <c r="AF486" s="493">
        <v>12.279553275828874</v>
      </c>
      <c r="AG486" s="493">
        <v>12.132847924238462</v>
      </c>
      <c r="AH486" s="493">
        <v>11.986142572648049</v>
      </c>
      <c r="AI486" s="493">
        <v>11.839437221057585</v>
      </c>
    </row>
    <row r="487" spans="2:35" outlineLevel="1">
      <c r="B487" t="str">
        <f t="shared" si="51"/>
        <v>Carbon dioxide (PS) - Energy cost - Middle East - USD/ton fuel</v>
      </c>
      <c r="C487" t="s">
        <v>1380</v>
      </c>
      <c r="D487" t="s">
        <v>1368</v>
      </c>
      <c r="E487" t="s">
        <v>826</v>
      </c>
      <c r="F487" t="s">
        <v>1353</v>
      </c>
      <c r="G487" s="487" t="str">
        <f t="shared" si="52"/>
        <v>Carbon dioxide (PS)Middle EastEnergy cost</v>
      </c>
      <c r="H487" s="493">
        <v>16.659142502923782</v>
      </c>
      <c r="I487" s="493">
        <v>15.924016305195346</v>
      </c>
      <c r="J487" s="493">
        <v>15.188890107466705</v>
      </c>
      <c r="K487" s="493">
        <v>14.702169207234352</v>
      </c>
      <c r="L487" s="493">
        <v>14.215448307001997</v>
      </c>
      <c r="M487" s="493">
        <v>13.728727406769645</v>
      </c>
      <c r="N487" s="493">
        <v>13.242006506537292</v>
      </c>
      <c r="O487" s="493">
        <v>12.755285606304938</v>
      </c>
      <c r="P487" s="493">
        <v>12.412091283913481</v>
      </c>
      <c r="Q487" s="493">
        <v>12.068896961522126</v>
      </c>
      <c r="R487" s="493">
        <v>11.725702639130668</v>
      </c>
      <c r="S487" s="493">
        <v>11.382508316739314</v>
      </c>
      <c r="T487" s="493">
        <v>11.039313994347959</v>
      </c>
      <c r="U487" s="493">
        <v>10.867239969797794</v>
      </c>
      <c r="V487" s="493">
        <v>10.695165945247629</v>
      </c>
      <c r="W487" s="493">
        <v>10.523091920697516</v>
      </c>
      <c r="X487" s="493">
        <v>10.351017896147352</v>
      </c>
      <c r="Y487" s="493">
        <v>10.178943871597188</v>
      </c>
      <c r="Z487" s="493">
        <v>9.9532866742515296</v>
      </c>
      <c r="AA487" s="493">
        <v>9.7276294769059231</v>
      </c>
      <c r="AB487" s="493">
        <v>9.5019722795602668</v>
      </c>
      <c r="AC487" s="493">
        <v>9.2763150822146603</v>
      </c>
      <c r="AD487" s="493">
        <v>9.0506578848689774</v>
      </c>
      <c r="AE487" s="493">
        <v>8.9450432375976252</v>
      </c>
      <c r="AF487" s="493">
        <v>8.8394285903262979</v>
      </c>
      <c r="AG487" s="493">
        <v>8.7338139430549457</v>
      </c>
      <c r="AH487" s="493">
        <v>8.6281992957835936</v>
      </c>
      <c r="AI487" s="493">
        <v>8.522584648512268</v>
      </c>
    </row>
    <row r="488" spans="2:35" outlineLevel="1">
      <c r="B488" t="str">
        <f t="shared" ref="B488:B493" si="53">_xlfn.TEXTJOIN(" - ",TRUE,C488:F488)</f>
        <v>e-methanol - Conversion H2 -&gt; MeOH - Global - ton H2/ton MeOH</v>
      </c>
      <c r="C488" t="s">
        <v>1381</v>
      </c>
      <c r="D488" t="s">
        <v>1382</v>
      </c>
      <c r="E488" t="s">
        <v>708</v>
      </c>
      <c r="F488" t="s">
        <v>1383</v>
      </c>
      <c r="G488" s="487" t="str">
        <f t="shared" si="52"/>
        <v>e-methanolGlobalConversion H2 -&gt; MeOH</v>
      </c>
      <c r="H488" s="508">
        <v>0.18875226265526496</v>
      </c>
      <c r="I488" s="508">
        <v>0.18875226265526496</v>
      </c>
      <c r="J488" s="508">
        <v>0.18875226265526496</v>
      </c>
      <c r="K488" s="508">
        <v>0.18875226265526496</v>
      </c>
      <c r="L488" s="508">
        <v>0.18875226265526496</v>
      </c>
      <c r="M488" s="508">
        <v>0.18875226265526496</v>
      </c>
      <c r="N488" s="508">
        <v>0.18875226265526496</v>
      </c>
      <c r="O488" s="508">
        <v>0.18875226265526496</v>
      </c>
      <c r="P488" s="508">
        <v>0.18875226265526496</v>
      </c>
      <c r="Q488" s="508">
        <v>0.18875226265526496</v>
      </c>
      <c r="R488" s="508">
        <v>0.18875226265526496</v>
      </c>
      <c r="S488" s="508">
        <v>0.18875226265526496</v>
      </c>
      <c r="T488" s="508">
        <v>0.18875226265526496</v>
      </c>
      <c r="U488" s="508">
        <v>0.18875226265526496</v>
      </c>
      <c r="V488" s="508">
        <v>0.18875226265526496</v>
      </c>
      <c r="W488" s="508">
        <v>0.18875226265526496</v>
      </c>
      <c r="X488" s="508">
        <v>0.18875226265526496</v>
      </c>
      <c r="Y488" s="508">
        <v>0.18875226265526496</v>
      </c>
      <c r="Z488" s="508">
        <v>0.18875226265526496</v>
      </c>
      <c r="AA488" s="508">
        <v>0.18875226265526496</v>
      </c>
      <c r="AB488" s="508">
        <v>0.18875226265526496</v>
      </c>
      <c r="AC488" s="508">
        <v>0.18875226265526496</v>
      </c>
      <c r="AD488" s="508">
        <v>0.18875226265526496</v>
      </c>
      <c r="AE488" s="508">
        <v>0.18875226265526496</v>
      </c>
      <c r="AF488" s="508">
        <v>0.18875226265526496</v>
      </c>
      <c r="AG488" s="508">
        <v>0.18875226265526496</v>
      </c>
      <c r="AH488" s="508">
        <v>0.18875226265526496</v>
      </c>
      <c r="AI488" s="508">
        <v>0.18875226265526496</v>
      </c>
    </row>
    <row r="489" spans="2:35" outlineLevel="1">
      <c r="B489" t="str">
        <f t="shared" si="53"/>
        <v>e-methanol - Conversion CO2 -&gt; MeOH - Global - ton CO2/ton MeOH</v>
      </c>
      <c r="C489" t="s">
        <v>1381</v>
      </c>
      <c r="D489" t="s">
        <v>1384</v>
      </c>
      <c r="E489" t="s">
        <v>708</v>
      </c>
      <c r="F489" t="s">
        <v>1385</v>
      </c>
      <c r="G489" s="487" t="str">
        <f t="shared" si="52"/>
        <v>e-methanolGlobalConversion CO2 -&gt; MeOH</v>
      </c>
      <c r="H489" s="508">
        <v>1.3735097684289368</v>
      </c>
      <c r="I489" s="508">
        <v>1.3735097684289368</v>
      </c>
      <c r="J489" s="508">
        <v>1.3735097684289368</v>
      </c>
      <c r="K489" s="508">
        <v>1.3735097684289368</v>
      </c>
      <c r="L489" s="508">
        <v>1.3735097684289368</v>
      </c>
      <c r="M489" s="508">
        <v>1.3735097684289368</v>
      </c>
      <c r="N489" s="508">
        <v>1.3735097684289368</v>
      </c>
      <c r="O489" s="508">
        <v>1.3735097684289368</v>
      </c>
      <c r="P489" s="508">
        <v>1.3735097684289368</v>
      </c>
      <c r="Q489" s="508">
        <v>1.3735097684289368</v>
      </c>
      <c r="R489" s="508">
        <v>1.3735097684289368</v>
      </c>
      <c r="S489" s="508">
        <v>1.3735097684289368</v>
      </c>
      <c r="T489" s="508">
        <v>1.3735097684289368</v>
      </c>
      <c r="U489" s="508">
        <v>1.3735097684289368</v>
      </c>
      <c r="V489" s="508">
        <v>1.3735097684289368</v>
      </c>
      <c r="W489" s="508">
        <v>1.3735097684289368</v>
      </c>
      <c r="X489" s="508">
        <v>1.3735097684289368</v>
      </c>
      <c r="Y489" s="508">
        <v>1.3735097684289368</v>
      </c>
      <c r="Z489" s="508">
        <v>1.3735097684289368</v>
      </c>
      <c r="AA489" s="508">
        <v>1.3735097684289368</v>
      </c>
      <c r="AB489" s="508">
        <v>1.3735097684289368</v>
      </c>
      <c r="AC489" s="508">
        <v>1.3735097684289368</v>
      </c>
      <c r="AD489" s="508">
        <v>1.3735097684289368</v>
      </c>
      <c r="AE489" s="508">
        <v>1.3735097684289368</v>
      </c>
      <c r="AF489" s="508">
        <v>1.3735097684289368</v>
      </c>
      <c r="AG489" s="508">
        <v>1.3735097684289368</v>
      </c>
      <c r="AH489" s="508">
        <v>1.3735097684289368</v>
      </c>
      <c r="AI489" s="508">
        <v>1.3735097684289368</v>
      </c>
    </row>
    <row r="490" spans="2:35" outlineLevel="1">
      <c r="B490" t="str">
        <f t="shared" si="53"/>
        <v/>
      </c>
      <c r="G490" s="487" t="str">
        <f t="shared" si="52"/>
        <v/>
      </c>
    </row>
    <row r="491" spans="2:35" ht="15" outlineLevel="1">
      <c r="B491" t="str">
        <f t="shared" si="53"/>
        <v>e-methanol (PS) - Feedstock cost including feedstock feedstock cost - Global - USD/ton fuel</v>
      </c>
      <c r="C491" s="491" t="str">
        <f>C424</f>
        <v>e-methanol (PS)</v>
      </c>
      <c r="D491" s="491" t="s">
        <v>1369</v>
      </c>
      <c r="E491" s="491" t="s">
        <v>708</v>
      </c>
      <c r="F491" s="491" t="s">
        <v>1353</v>
      </c>
      <c r="G491" s="487" t="str">
        <f t="shared" si="52"/>
        <v>e-methanol (PS)GlobalFeedstock cost including feedstock feedstock cost</v>
      </c>
      <c r="H491" s="492">
        <v>2.5481555458460767</v>
      </c>
      <c r="I491" s="492">
        <v>2.5481555458460861</v>
      </c>
      <c r="J491" s="492">
        <v>2.5481555458460861</v>
      </c>
      <c r="K491" s="492">
        <v>2.5481555458460861</v>
      </c>
      <c r="L491" s="492">
        <v>2.5481555458460949</v>
      </c>
      <c r="M491" s="492">
        <v>2.5481555458460767</v>
      </c>
      <c r="N491" s="492">
        <v>2.5481555458460949</v>
      </c>
      <c r="O491" s="492">
        <v>2.5481555458460767</v>
      </c>
      <c r="P491" s="492">
        <v>2.548155545846059</v>
      </c>
      <c r="Q491" s="492">
        <v>2.5481555458460861</v>
      </c>
      <c r="R491" s="492">
        <v>2.5481555458461131</v>
      </c>
      <c r="S491" s="492">
        <v>2.5481555458460949</v>
      </c>
      <c r="T491" s="492">
        <v>2.5481555458461131</v>
      </c>
      <c r="U491" s="492">
        <v>2.548155545846122</v>
      </c>
      <c r="V491" s="492">
        <v>2.5481555458460998</v>
      </c>
      <c r="W491" s="492">
        <v>2.5481555458461447</v>
      </c>
      <c r="X491" s="492">
        <v>2.548155545846122</v>
      </c>
      <c r="Y491" s="492">
        <v>2.548155545846059</v>
      </c>
      <c r="Z491" s="492">
        <v>2.5481555458460767</v>
      </c>
      <c r="AA491" s="492">
        <v>2.5481555458460678</v>
      </c>
      <c r="AB491" s="492">
        <v>2.5481555458460861</v>
      </c>
      <c r="AC491" s="492">
        <v>2.5481555458460767</v>
      </c>
      <c r="AD491" s="492">
        <v>2.5481555458460767</v>
      </c>
      <c r="AE491" s="492">
        <v>2.5481555458460767</v>
      </c>
      <c r="AF491" s="492">
        <v>2.5481555458460767</v>
      </c>
      <c r="AG491" s="492">
        <v>2.5481555458460767</v>
      </c>
      <c r="AH491" s="492">
        <v>2.5481555458460767</v>
      </c>
      <c r="AI491" s="492">
        <v>2.5481555458460767</v>
      </c>
    </row>
    <row r="492" spans="2:35" outlineLevel="1">
      <c r="B492" t="str">
        <f t="shared" si="53"/>
        <v>e-hydrogen - Feedstock cost - Global - USD/ton fuel</v>
      </c>
      <c r="C492" t="s">
        <v>1370</v>
      </c>
      <c r="D492" t="s">
        <v>1371</v>
      </c>
      <c r="E492" t="s">
        <v>708</v>
      </c>
      <c r="F492" t="s">
        <v>1353</v>
      </c>
      <c r="G492" s="487" t="str">
        <f t="shared" si="52"/>
        <v>e-hydrogenGlobalFeedstock cost</v>
      </c>
      <c r="H492" s="493">
        <v>13.5</v>
      </c>
      <c r="I492" s="493">
        <v>13.500000000000048</v>
      </c>
      <c r="J492" s="493">
        <v>13.500000000000048</v>
      </c>
      <c r="K492" s="493">
        <v>13.500000000000048</v>
      </c>
      <c r="L492" s="493">
        <v>13.500000000000096</v>
      </c>
      <c r="M492" s="493">
        <v>13.5</v>
      </c>
      <c r="N492" s="493">
        <v>13.500000000000096</v>
      </c>
      <c r="O492" s="493">
        <v>13.5</v>
      </c>
      <c r="P492" s="493">
        <v>13.499999999999904</v>
      </c>
      <c r="Q492" s="493">
        <v>13.500000000000048</v>
      </c>
      <c r="R492" s="493">
        <v>13.500000000000192</v>
      </c>
      <c r="S492" s="493">
        <v>13.500000000000096</v>
      </c>
      <c r="T492" s="493">
        <v>13.500000000000192</v>
      </c>
      <c r="U492" s="493">
        <v>13.50000000000024</v>
      </c>
      <c r="V492" s="493">
        <v>13.500000000000121</v>
      </c>
      <c r="W492" s="493">
        <v>13.500000000000359</v>
      </c>
      <c r="X492" s="493">
        <v>13.50000000000024</v>
      </c>
      <c r="Y492" s="493">
        <v>13.499999999999904</v>
      </c>
      <c r="Z492" s="493">
        <v>13.5</v>
      </c>
      <c r="AA492" s="493">
        <v>13.499999999999952</v>
      </c>
      <c r="AB492" s="493">
        <v>13.500000000000048</v>
      </c>
      <c r="AC492" s="493">
        <v>13.5</v>
      </c>
      <c r="AD492" s="493">
        <v>13.5</v>
      </c>
      <c r="AE492" s="493">
        <v>13.5</v>
      </c>
      <c r="AF492" s="493">
        <v>13.5</v>
      </c>
      <c r="AG492" s="493">
        <v>13.5</v>
      </c>
      <c r="AH492" s="493">
        <v>13.5</v>
      </c>
      <c r="AI492" s="493">
        <v>13.5</v>
      </c>
    </row>
    <row r="493" spans="2:35" outlineLevel="1">
      <c r="B493" t="str">
        <f t="shared" si="53"/>
        <v>e-methanol - Conversion H2 -&gt; MeOH - Global - ton H2/ton MeOH</v>
      </c>
      <c r="C493" t="s">
        <v>1381</v>
      </c>
      <c r="D493" t="s">
        <v>1382</v>
      </c>
      <c r="E493" t="s">
        <v>708</v>
      </c>
      <c r="F493" t="s">
        <v>1383</v>
      </c>
      <c r="G493" s="487" t="str">
        <f t="shared" si="52"/>
        <v>e-methanolGlobalConversion H2 -&gt; MeOH</v>
      </c>
      <c r="H493" s="508">
        <v>0.18875226265526496</v>
      </c>
      <c r="I493" s="508">
        <v>0.18875226265526496</v>
      </c>
      <c r="J493" s="508">
        <v>0.18875226265526496</v>
      </c>
      <c r="K493" s="508">
        <v>0.18875226265526496</v>
      </c>
      <c r="L493" s="508">
        <v>0.18875226265526496</v>
      </c>
      <c r="M493" s="508">
        <v>0.18875226265526496</v>
      </c>
      <c r="N493" s="508">
        <v>0.18875226265526496</v>
      </c>
      <c r="O493" s="508">
        <v>0.18875226265526496</v>
      </c>
      <c r="P493" s="508">
        <v>0.18875226265526496</v>
      </c>
      <c r="Q493" s="508">
        <v>0.18875226265526496</v>
      </c>
      <c r="R493" s="508">
        <v>0.18875226265526496</v>
      </c>
      <c r="S493" s="508">
        <v>0.18875226265526496</v>
      </c>
      <c r="T493" s="508">
        <v>0.18875226265526496</v>
      </c>
      <c r="U493" s="508">
        <v>0.18875226265526496</v>
      </c>
      <c r="V493" s="508">
        <v>0.18875226265526496</v>
      </c>
      <c r="W493" s="508">
        <v>0.18875226265526496</v>
      </c>
      <c r="X493" s="508">
        <v>0.18875226265526496</v>
      </c>
      <c r="Y493" s="508">
        <v>0.18875226265526496</v>
      </c>
      <c r="Z493" s="508">
        <v>0.18875226265526496</v>
      </c>
      <c r="AA493" s="508">
        <v>0.18875226265526496</v>
      </c>
      <c r="AB493" s="508">
        <v>0.18875226265526496</v>
      </c>
      <c r="AC493" s="508">
        <v>0.18875226265526496</v>
      </c>
      <c r="AD493" s="508">
        <v>0.18875226265526496</v>
      </c>
      <c r="AE493" s="508">
        <v>0.18875226265526496</v>
      </c>
      <c r="AF493" s="508">
        <v>0.18875226265526496</v>
      </c>
      <c r="AG493" s="508">
        <v>0.18875226265526496</v>
      </c>
      <c r="AH493" s="508">
        <v>0.18875226265526496</v>
      </c>
      <c r="AI493" s="508">
        <v>0.18875226265526496</v>
      </c>
    </row>
    <row r="494" spans="2:35">
      <c r="G494" s="487" t="str">
        <f t="shared" si="52"/>
        <v/>
      </c>
      <c r="H494" s="508"/>
      <c r="I494" s="508"/>
      <c r="J494" s="508"/>
    </row>
    <row r="495" spans="2:35" ht="15">
      <c r="B495" t="str">
        <f t="shared" ref="B495:B558" si="54">_xlfn.TEXTJOIN(" - ",TRUE,C495:F495)</f>
        <v>e-methane (DAC) - Item - Region - Unit</v>
      </c>
      <c r="C495" s="485" t="s">
        <v>1386</v>
      </c>
      <c r="D495" s="485" t="s">
        <v>877</v>
      </c>
      <c r="E495" s="485" t="s">
        <v>171</v>
      </c>
      <c r="F495" s="485" t="s">
        <v>111</v>
      </c>
      <c r="G495" s="487" t="str">
        <f t="shared" si="52"/>
        <v>e-methane (DAC)RegionItem</v>
      </c>
      <c r="H495" s="486">
        <v>2023</v>
      </c>
      <c r="I495" s="486">
        <v>2024</v>
      </c>
      <c r="J495" s="486">
        <v>2025</v>
      </c>
      <c r="K495" s="486">
        <v>2026</v>
      </c>
      <c r="L495" s="486">
        <v>2027</v>
      </c>
      <c r="M495" s="486">
        <v>2028</v>
      </c>
      <c r="N495" s="486">
        <v>2029</v>
      </c>
      <c r="O495" s="486">
        <v>2030</v>
      </c>
      <c r="P495" s="486">
        <v>2031</v>
      </c>
      <c r="Q495" s="486">
        <v>2032</v>
      </c>
      <c r="R495" s="486">
        <v>2033</v>
      </c>
      <c r="S495" s="486">
        <v>2034</v>
      </c>
      <c r="T495" s="486">
        <v>2035</v>
      </c>
      <c r="U495" s="486">
        <v>2036</v>
      </c>
      <c r="V495" s="486">
        <v>2037</v>
      </c>
      <c r="W495" s="486">
        <v>2038</v>
      </c>
      <c r="X495" s="486">
        <v>2039</v>
      </c>
      <c r="Y495" s="486">
        <v>2040</v>
      </c>
      <c r="Z495" s="486">
        <v>2041</v>
      </c>
      <c r="AA495" s="486">
        <v>2042</v>
      </c>
      <c r="AB495" s="486">
        <v>2043</v>
      </c>
      <c r="AC495" s="486">
        <v>2044</v>
      </c>
      <c r="AD495" s="486">
        <v>2045</v>
      </c>
      <c r="AE495" s="486">
        <v>2046</v>
      </c>
      <c r="AF495" s="486">
        <v>2047</v>
      </c>
      <c r="AG495" s="486">
        <v>2048</v>
      </c>
      <c r="AH495" s="486">
        <v>2049</v>
      </c>
      <c r="AI495" s="486">
        <v>2050</v>
      </c>
    </row>
    <row r="496" spans="2:35" outlineLevel="1">
      <c r="B496" t="str">
        <f t="shared" si="54"/>
        <v>e-methane (DAC) - Total cost - Africa - USD/ton fuel</v>
      </c>
      <c r="C496" s="487" t="str">
        <f>C495</f>
        <v>e-methane (DAC)</v>
      </c>
      <c r="D496" s="487" t="s">
        <v>1362</v>
      </c>
      <c r="E496" s="487" t="s">
        <v>838</v>
      </c>
      <c r="F496" s="487" t="s">
        <v>1353</v>
      </c>
      <c r="G496" s="487" t="str">
        <f t="shared" si="52"/>
        <v>e-methane (DAC)AfricaTotal cost</v>
      </c>
      <c r="H496" s="488">
        <v>3415.1952859905314</v>
      </c>
      <c r="I496" s="488">
        <v>3109.068719536202</v>
      </c>
      <c r="J496" s="488">
        <v>2803.2435716557229</v>
      </c>
      <c r="K496" s="488">
        <v>2692.6909180262305</v>
      </c>
      <c r="L496" s="488">
        <v>2580.0761077935813</v>
      </c>
      <c r="M496" s="488">
        <v>2465.4505343787123</v>
      </c>
      <c r="N496" s="488">
        <v>2348.865591202597</v>
      </c>
      <c r="O496" s="488">
        <v>2230.3726716861461</v>
      </c>
      <c r="P496" s="488">
        <v>2177.4357423224128</v>
      </c>
      <c r="Q496" s="488">
        <v>2121.0109480029737</v>
      </c>
      <c r="R496" s="488">
        <v>2061.1259705460475</v>
      </c>
      <c r="S496" s="488">
        <v>1997.8084917698925</v>
      </c>
      <c r="T496" s="488">
        <v>1931.0861934927914</v>
      </c>
      <c r="U496" s="488">
        <v>1883.2587394895131</v>
      </c>
      <c r="V496" s="488">
        <v>1832.9915922757589</v>
      </c>
      <c r="W496" s="488">
        <v>1780.2937845340464</v>
      </c>
      <c r="X496" s="488">
        <v>1725.1743489467813</v>
      </c>
      <c r="Y496" s="488">
        <v>1667.6423181964578</v>
      </c>
      <c r="Z496" s="488">
        <v>1607.8097951274349</v>
      </c>
      <c r="AA496" s="488">
        <v>1546.9123640187918</v>
      </c>
      <c r="AB496" s="488">
        <v>1484.9447428013257</v>
      </c>
      <c r="AC496" s="488">
        <v>1421.9016494057817</v>
      </c>
      <c r="AD496" s="488">
        <v>1357.7778017629328</v>
      </c>
      <c r="AE496" s="488">
        <v>1306.3993610234443</v>
      </c>
      <c r="AF496" s="488">
        <v>1254.5007733264945</v>
      </c>
      <c r="AG496" s="488">
        <v>1202.0787101959293</v>
      </c>
      <c r="AH496" s="488">
        <v>1149.1298431556113</v>
      </c>
      <c r="AI496" s="488">
        <v>1095.6508437294058</v>
      </c>
    </row>
    <row r="497" spans="2:35" outlineLevel="1">
      <c r="B497" t="str">
        <f t="shared" si="54"/>
        <v>e-methane (DAC) - Total cost - Americas - USD/ton fuel</v>
      </c>
      <c r="C497" t="str">
        <f>C496</f>
        <v>e-methane (DAC)</v>
      </c>
      <c r="D497" t="s">
        <v>1362</v>
      </c>
      <c r="E497" t="s">
        <v>731</v>
      </c>
      <c r="F497" t="s">
        <v>1353</v>
      </c>
      <c r="G497" s="487" t="str">
        <f t="shared" si="52"/>
        <v>e-methane (DAC)AmericasTotal cost</v>
      </c>
      <c r="H497" s="489">
        <v>2647.3267199726579</v>
      </c>
      <c r="I497" s="489">
        <v>2559.066305338682</v>
      </c>
      <c r="J497" s="489">
        <v>2469.4748005941774</v>
      </c>
      <c r="K497" s="489">
        <v>2382.3011140952644</v>
      </c>
      <c r="L497" s="489">
        <v>2292.9461265739192</v>
      </c>
      <c r="M497" s="489">
        <v>2201.4443697056727</v>
      </c>
      <c r="N497" s="489">
        <v>2107.8303751661192</v>
      </c>
      <c r="O497" s="489">
        <v>2012.1386746307055</v>
      </c>
      <c r="P497" s="489">
        <v>1976.1533182121411</v>
      </c>
      <c r="Q497" s="489">
        <v>1936.4879043685914</v>
      </c>
      <c r="R497" s="489">
        <v>1893.1584678132851</v>
      </c>
      <c r="S497" s="489">
        <v>1846.1810432594398</v>
      </c>
      <c r="T497" s="489">
        <v>1795.5716654203318</v>
      </c>
      <c r="U497" s="489">
        <v>1749.039733340006</v>
      </c>
      <c r="V497" s="489">
        <v>1700.0921168540044</v>
      </c>
      <c r="W497" s="489">
        <v>1648.7378269847768</v>
      </c>
      <c r="X497" s="489">
        <v>1594.9858747546673</v>
      </c>
      <c r="Y497" s="489">
        <v>1538.8452711860887</v>
      </c>
      <c r="Z497" s="489">
        <v>1490.3361891551624</v>
      </c>
      <c r="AA497" s="489">
        <v>1440.5029556682352</v>
      </c>
      <c r="AB497" s="489">
        <v>1389.3435062166213</v>
      </c>
      <c r="AC497" s="489">
        <v>1336.855776291563</v>
      </c>
      <c r="AD497" s="489">
        <v>1283.0377013843558</v>
      </c>
      <c r="AE497" s="489">
        <v>1235.4210555438378</v>
      </c>
      <c r="AF497" s="489">
        <v>1187.2081848623043</v>
      </c>
      <c r="AG497" s="489">
        <v>1138.3970897157976</v>
      </c>
      <c r="AH497" s="489">
        <v>1088.9857704803683</v>
      </c>
      <c r="AI497" s="489">
        <v>1038.9722275320669</v>
      </c>
    </row>
    <row r="498" spans="2:35" outlineLevel="1">
      <c r="B498" t="str">
        <f t="shared" si="54"/>
        <v>e-methane (DAC) - Total cost - Asia - USD/ton fuel</v>
      </c>
      <c r="C498" t="str">
        <f>C497</f>
        <v>e-methane (DAC)</v>
      </c>
      <c r="D498" t="s">
        <v>1362</v>
      </c>
      <c r="E498" t="s">
        <v>750</v>
      </c>
      <c r="F498" t="s">
        <v>1353</v>
      </c>
      <c r="G498" s="487" t="str">
        <f t="shared" si="52"/>
        <v>e-methane (DAC)AsiaTotal cost</v>
      </c>
      <c r="H498" s="489">
        <v>3647.0068049110764</v>
      </c>
      <c r="I498" s="489">
        <v>3380.4992699431486</v>
      </c>
      <c r="J498" s="489">
        <v>3113.9286882452116</v>
      </c>
      <c r="K498" s="489">
        <v>2997.2749395930005</v>
      </c>
      <c r="L498" s="489">
        <v>2878.5238873250423</v>
      </c>
      <c r="M498" s="489">
        <v>2757.7305704730761</v>
      </c>
      <c r="N498" s="489">
        <v>2634.9500280690008</v>
      </c>
      <c r="O498" s="489">
        <v>2510.2372991445932</v>
      </c>
      <c r="P498" s="489">
        <v>2444.0998291552773</v>
      </c>
      <c r="Q498" s="489">
        <v>2374.5825044716153</v>
      </c>
      <c r="R498" s="489">
        <v>2301.7214226143578</v>
      </c>
      <c r="S498" s="489">
        <v>2225.5526811042187</v>
      </c>
      <c r="T498" s="489">
        <v>2146.1123774620314</v>
      </c>
      <c r="U498" s="489">
        <v>2089.619857680218</v>
      </c>
      <c r="V498" s="489">
        <v>2030.7756859958274</v>
      </c>
      <c r="W498" s="489">
        <v>1969.5925856192512</v>
      </c>
      <c r="X498" s="489">
        <v>1906.0832797607247</v>
      </c>
      <c r="Y498" s="489">
        <v>1840.2604916306129</v>
      </c>
      <c r="Z498" s="489">
        <v>1771.3450333550256</v>
      </c>
      <c r="AA498" s="489">
        <v>1701.5581385094599</v>
      </c>
      <c r="AB498" s="489">
        <v>1630.8922333557709</v>
      </c>
      <c r="AC498" s="489">
        <v>1559.3397441557636</v>
      </c>
      <c r="AD498" s="489">
        <v>1486.8930971712728</v>
      </c>
      <c r="AE498" s="489">
        <v>1431.5871294418225</v>
      </c>
      <c r="AF498" s="489">
        <v>1375.8355299415937</v>
      </c>
      <c r="AG498" s="489">
        <v>1319.633839594401</v>
      </c>
      <c r="AH498" s="489">
        <v>1262.9775993240573</v>
      </c>
      <c r="AI498" s="489">
        <v>1205.8623500543767</v>
      </c>
    </row>
    <row r="499" spans="2:35" outlineLevel="1">
      <c r="B499" t="str">
        <f t="shared" si="54"/>
        <v>e-methane (DAC) - Total cost - Europe - USD/ton fuel</v>
      </c>
      <c r="C499" t="str">
        <f>C498</f>
        <v>e-methane (DAC)</v>
      </c>
      <c r="D499" t="s">
        <v>1362</v>
      </c>
      <c r="E499" t="s">
        <v>720</v>
      </c>
      <c r="F499" t="s">
        <v>1353</v>
      </c>
      <c r="G499" s="487" t="str">
        <f t="shared" si="52"/>
        <v>e-methane (DAC)EuropeTotal cost</v>
      </c>
      <c r="H499" s="489">
        <v>3059.8141110126994</v>
      </c>
      <c r="I499" s="489">
        <v>2923.2847759356277</v>
      </c>
      <c r="J499" s="489">
        <v>2785.7419348156741</v>
      </c>
      <c r="K499" s="489">
        <v>2683.2247425409578</v>
      </c>
      <c r="L499" s="489">
        <v>2578.5756415169767</v>
      </c>
      <c r="M499" s="489">
        <v>2471.8399015445775</v>
      </c>
      <c r="N499" s="489">
        <v>2363.0627924245969</v>
      </c>
      <c r="O499" s="489">
        <v>2252.2895839578246</v>
      </c>
      <c r="P499" s="489">
        <v>2211.6631281515502</v>
      </c>
      <c r="Q499" s="489">
        <v>2167.3408724397914</v>
      </c>
      <c r="R499" s="489">
        <v>2119.3409667817787</v>
      </c>
      <c r="S499" s="489">
        <v>2067.6815611367747</v>
      </c>
      <c r="T499" s="489">
        <v>2012.3808054641099</v>
      </c>
      <c r="U499" s="489">
        <v>1966.5479066006703</v>
      </c>
      <c r="V499" s="489">
        <v>1918.2080147144882</v>
      </c>
      <c r="W499" s="489">
        <v>1867.3686422289588</v>
      </c>
      <c r="X499" s="489">
        <v>1814.0373015673504</v>
      </c>
      <c r="Y499" s="489">
        <v>1758.2215051530156</v>
      </c>
      <c r="Z499" s="489">
        <v>1699.3945314969951</v>
      </c>
      <c r="AA499" s="489">
        <v>1639.4583185496135</v>
      </c>
      <c r="AB499" s="489">
        <v>1578.4082957422111</v>
      </c>
      <c r="AC499" s="489">
        <v>1516.2398925060393</v>
      </c>
      <c r="AD499" s="489">
        <v>1452.9485382724197</v>
      </c>
      <c r="AE499" s="489">
        <v>1398.4113849427249</v>
      </c>
      <c r="AF499" s="489">
        <v>1343.4148476017253</v>
      </c>
      <c r="AG499" s="489">
        <v>1287.9546449023771</v>
      </c>
      <c r="AH499" s="489">
        <v>1232.0264954976353</v>
      </c>
      <c r="AI499" s="489">
        <v>1175.6261180404549</v>
      </c>
    </row>
    <row r="500" spans="2:35" outlineLevel="1">
      <c r="B500" t="str">
        <f t="shared" si="54"/>
        <v>e-methane (DAC) - Total cost - Middle East - USD/ton fuel</v>
      </c>
      <c r="C500" s="25" t="str">
        <f>C499</f>
        <v>e-methane (DAC)</v>
      </c>
      <c r="D500" s="25" t="s">
        <v>1362</v>
      </c>
      <c r="E500" s="25" t="s">
        <v>826</v>
      </c>
      <c r="F500" s="25" t="s">
        <v>1353</v>
      </c>
      <c r="G500" s="487" t="str">
        <f t="shared" si="52"/>
        <v>e-methane (DAC)Middle EastTotal cost</v>
      </c>
      <c r="H500" s="490">
        <v>2659.1133920604984</v>
      </c>
      <c r="I500" s="490">
        <v>2540.008775380245</v>
      </c>
      <c r="J500" s="490">
        <v>2419.8218268539326</v>
      </c>
      <c r="K500" s="490">
        <v>2339.9480476232402</v>
      </c>
      <c r="L500" s="490">
        <v>2257.8396001399369</v>
      </c>
      <c r="M500" s="490">
        <v>2173.525566942857</v>
      </c>
      <c r="N500" s="490">
        <v>2087.035030570883</v>
      </c>
      <c r="O500" s="490">
        <v>1998.3970735627965</v>
      </c>
      <c r="P500" s="490">
        <v>1957.6049368350821</v>
      </c>
      <c r="Q500" s="490">
        <v>1913.2158979103781</v>
      </c>
      <c r="R500" s="490">
        <v>1865.2497441860148</v>
      </c>
      <c r="S500" s="490">
        <v>1813.7262630593445</v>
      </c>
      <c r="T500" s="490">
        <v>1758.6652419277568</v>
      </c>
      <c r="U500" s="490">
        <v>1716.3315855404496</v>
      </c>
      <c r="V500" s="490">
        <v>1671.5153950602278</v>
      </c>
      <c r="W500" s="490">
        <v>1624.2235484050973</v>
      </c>
      <c r="X500" s="490">
        <v>1574.4629234929389</v>
      </c>
      <c r="Y500" s="490">
        <v>1522.2403982417238</v>
      </c>
      <c r="Z500" s="490">
        <v>1464.6980314430295</v>
      </c>
      <c r="AA500" s="490">
        <v>1406.0632559124863</v>
      </c>
      <c r="AB500" s="490">
        <v>1346.3309422029777</v>
      </c>
      <c r="AC500" s="490">
        <v>1285.4959608673355</v>
      </c>
      <c r="AD500" s="490">
        <v>1223.5531824584245</v>
      </c>
      <c r="AE500" s="490">
        <v>1174.2073935271317</v>
      </c>
      <c r="AF500" s="490">
        <v>1124.3093775655461</v>
      </c>
      <c r="AG500" s="490">
        <v>1073.8560523891788</v>
      </c>
      <c r="AH500" s="490">
        <v>1022.8443358135524</v>
      </c>
      <c r="AI500" s="490">
        <v>971.27114565419049</v>
      </c>
    </row>
    <row r="501" spans="2:35" ht="15" outlineLevel="1">
      <c r="B501" t="str">
        <f t="shared" si="54"/>
        <v/>
      </c>
      <c r="C501" s="22"/>
      <c r="G501" s="487" t="str">
        <f t="shared" si="52"/>
        <v/>
      </c>
    </row>
    <row r="502" spans="2:35" ht="15" outlineLevel="1">
      <c r="B502" t="str">
        <f t="shared" si="54"/>
        <v>e-methane (DAC) - CAPEX including feedstock CAPEX - Global - USD/ton fuel</v>
      </c>
      <c r="C502" s="491" t="str">
        <f>C495</f>
        <v>e-methane (DAC)</v>
      </c>
      <c r="D502" s="491" t="s">
        <v>1363</v>
      </c>
      <c r="E502" s="491" t="s">
        <v>708</v>
      </c>
      <c r="F502" s="491" t="s">
        <v>1353</v>
      </c>
      <c r="G502" s="487" t="str">
        <f t="shared" si="52"/>
        <v>e-methane (DAC)GlobalCAPEX including feedstock CAPEX</v>
      </c>
      <c r="H502" s="492">
        <v>263.62021484523575</v>
      </c>
      <c r="I502" s="492">
        <v>253.44899817215298</v>
      </c>
      <c r="J502" s="492">
        <v>243.15297823102202</v>
      </c>
      <c r="K502" s="492">
        <v>236.62628599767515</v>
      </c>
      <c r="L502" s="492">
        <v>229.8677371413068</v>
      </c>
      <c r="M502" s="492">
        <v>222.87733166191998</v>
      </c>
      <c r="N502" s="492">
        <v>215.65506955951628</v>
      </c>
      <c r="O502" s="492">
        <v>208.20095083409089</v>
      </c>
      <c r="P502" s="492">
        <v>207.81086031929487</v>
      </c>
      <c r="Q502" s="492">
        <v>206.88005633887389</v>
      </c>
      <c r="R502" s="492">
        <v>205.4085388928259</v>
      </c>
      <c r="S502" s="492">
        <v>203.39630798114985</v>
      </c>
      <c r="T502" s="492">
        <v>200.8433636038487</v>
      </c>
      <c r="U502" s="492">
        <v>197.6812945038622</v>
      </c>
      <c r="V502" s="492">
        <v>194.07294880997691</v>
      </c>
      <c r="W502" s="492">
        <v>190.01832652219795</v>
      </c>
      <c r="X502" s="492">
        <v>185.51742764051963</v>
      </c>
      <c r="Y502" s="492">
        <v>180.57025216494054</v>
      </c>
      <c r="Z502" s="492">
        <v>174.64726109160506</v>
      </c>
      <c r="AA502" s="492">
        <v>168.38752943190588</v>
      </c>
      <c r="AB502" s="492">
        <v>161.79105718584705</v>
      </c>
      <c r="AC502" s="492">
        <v>154.85784435342617</v>
      </c>
      <c r="AD502" s="492">
        <v>147.58789093464276</v>
      </c>
      <c r="AE502" s="492">
        <v>140.09857354350422</v>
      </c>
      <c r="AF502" s="492">
        <v>132.39862651550584</v>
      </c>
      <c r="AG502" s="492">
        <v>124.48804985064699</v>
      </c>
      <c r="AH502" s="492">
        <v>116.36684354892796</v>
      </c>
      <c r="AI502" s="492">
        <v>108.03500761034918</v>
      </c>
    </row>
    <row r="503" spans="2:35" outlineLevel="1">
      <c r="B503" t="str">
        <f t="shared" si="54"/>
        <v>e-methane (DAC) - CAPEX - Global - USD/ton fuel</v>
      </c>
      <c r="C503" t="str">
        <f>C495</f>
        <v>e-methane (DAC)</v>
      </c>
      <c r="D503" t="s">
        <v>446</v>
      </c>
      <c r="E503" t="s">
        <v>708</v>
      </c>
      <c r="F503" t="s">
        <v>1353</v>
      </c>
      <c r="G503" s="487" t="str">
        <f t="shared" si="52"/>
        <v>e-methane (DAC)GlobalCAPEX</v>
      </c>
      <c r="H503" s="493">
        <v>51.4</v>
      </c>
      <c r="I503" s="493">
        <v>48.533333333333331</v>
      </c>
      <c r="J503" s="493">
        <v>45.666666666666664</v>
      </c>
      <c r="K503" s="493">
        <v>43.866666666666667</v>
      </c>
      <c r="L503" s="493">
        <v>42.06666666666667</v>
      </c>
      <c r="M503" s="493">
        <v>40.266666666666666</v>
      </c>
      <c r="N503" s="493">
        <v>38.466666666666669</v>
      </c>
      <c r="O503" s="493">
        <v>36.666666666666664</v>
      </c>
      <c r="P503" s="493">
        <v>36</v>
      </c>
      <c r="Q503" s="493">
        <v>35.333333333333336</v>
      </c>
      <c r="R503" s="493">
        <v>34.666666666666664</v>
      </c>
      <c r="S503" s="493">
        <v>34</v>
      </c>
      <c r="T503" s="493">
        <v>33.333333333333336</v>
      </c>
      <c r="U503" s="493">
        <v>32.666666666666664</v>
      </c>
      <c r="V503" s="493">
        <v>32</v>
      </c>
      <c r="W503" s="493">
        <v>31.333333333333332</v>
      </c>
      <c r="X503" s="493">
        <v>30.666666666666668</v>
      </c>
      <c r="Y503" s="493">
        <v>30</v>
      </c>
      <c r="Z503" s="493">
        <v>28.866666666666667</v>
      </c>
      <c r="AA503" s="493">
        <v>27.733333333333334</v>
      </c>
      <c r="AB503" s="493">
        <v>26.6</v>
      </c>
      <c r="AC503" s="493">
        <v>25.466666666666665</v>
      </c>
      <c r="AD503" s="493">
        <v>24.333333333333332</v>
      </c>
      <c r="AE503" s="493">
        <v>23.2</v>
      </c>
      <c r="AF503" s="493">
        <v>22.066666666666666</v>
      </c>
      <c r="AG503" s="493">
        <v>20.933333333333334</v>
      </c>
      <c r="AH503" s="493">
        <v>19.8</v>
      </c>
      <c r="AI503" s="493">
        <v>18.666666666666668</v>
      </c>
    </row>
    <row r="504" spans="2:35" outlineLevel="1">
      <c r="B504" t="str">
        <f t="shared" si="54"/>
        <v>e-hydrogen (compressed) - CAPEX including feedstock CAPEX - Global - USD/ton fuel</v>
      </c>
      <c r="C504" t="s">
        <v>722</v>
      </c>
      <c r="D504" t="s">
        <v>1363</v>
      </c>
      <c r="E504" t="s">
        <v>708</v>
      </c>
      <c r="F504" t="s">
        <v>1353</v>
      </c>
      <c r="G504" s="487" t="str">
        <f t="shared" si="52"/>
        <v>e-hydrogen (compressed)GlobalCAPEX including feedstock CAPEX</v>
      </c>
      <c r="H504" s="507">
        <v>256.64635353013858</v>
      </c>
      <c r="I504" s="507">
        <v>247.21700590830653</v>
      </c>
      <c r="J504" s="507">
        <v>237.53805175037812</v>
      </c>
      <c r="K504" s="507">
        <v>232.53269690653616</v>
      </c>
      <c r="L504" s="507">
        <v>227.06362881665248</v>
      </c>
      <c r="M504" s="507">
        <v>221.13084748073197</v>
      </c>
      <c r="N504" s="507">
        <v>214.73435289877628</v>
      </c>
      <c r="O504" s="507">
        <v>207.87414507077864</v>
      </c>
      <c r="P504" s="507">
        <v>212.24697175898439</v>
      </c>
      <c r="Q504" s="507">
        <v>215.53837151594018</v>
      </c>
      <c r="R504" s="507">
        <v>217.74834434164336</v>
      </c>
      <c r="S504" s="507">
        <v>218.87689023608903</v>
      </c>
      <c r="T504" s="507">
        <v>218.92400919928582</v>
      </c>
      <c r="U504" s="507">
        <v>217.21328869368136</v>
      </c>
      <c r="V504" s="507">
        <v>214.61001500027928</v>
      </c>
      <c r="W504" s="507">
        <v>211.1141881190886</v>
      </c>
      <c r="X504" s="507">
        <v>206.72580805010043</v>
      </c>
      <c r="Y504" s="507">
        <v>201.44487479331141</v>
      </c>
      <c r="Z504" s="507">
        <v>194.68227936129369</v>
      </c>
      <c r="AA504" s="507">
        <v>187.24620275654928</v>
      </c>
      <c r="AB504" s="507">
        <v>179.13664497908553</v>
      </c>
      <c r="AC504" s="507">
        <v>170.35360602889762</v>
      </c>
      <c r="AD504" s="507">
        <v>160.89708590598403</v>
      </c>
      <c r="AE504" s="507">
        <v>150.64085698303418</v>
      </c>
      <c r="AF504" s="507">
        <v>139.96336878636401</v>
      </c>
      <c r="AG504" s="507">
        <v>128.86462131597352</v>
      </c>
      <c r="AH504" s="507">
        <v>117.34461457186269</v>
      </c>
      <c r="AI504" s="507">
        <v>105.40334855403168</v>
      </c>
    </row>
    <row r="505" spans="2:35" outlineLevel="1">
      <c r="B505" t="str">
        <f t="shared" si="54"/>
        <v>Carbon dioxide (DAC) - CAPEX - Global - USD/ton fuel</v>
      </c>
      <c r="C505" t="s">
        <v>1379</v>
      </c>
      <c r="D505" t="s">
        <v>446</v>
      </c>
      <c r="E505" t="s">
        <v>708</v>
      </c>
      <c r="F505" t="s">
        <v>1353</v>
      </c>
      <c r="G505" s="487" t="str">
        <f t="shared" si="52"/>
        <v>Carbon dioxide (DAC)GlobalCAPEX</v>
      </c>
      <c r="H505" s="493">
        <v>30.508013847333252</v>
      </c>
      <c r="I505" s="493">
        <v>29.566240685333227</v>
      </c>
      <c r="J505" s="493">
        <v>28.624467523333198</v>
      </c>
      <c r="K505" s="493">
        <v>27.81573486463288</v>
      </c>
      <c r="L505" s="493">
        <v>27.00700220593232</v>
      </c>
      <c r="M505" s="493">
        <v>26.198269547231757</v>
      </c>
      <c r="N505" s="493">
        <v>25.389536888531438</v>
      </c>
      <c r="O505" s="493">
        <v>24.580804229830878</v>
      </c>
      <c r="P505" s="493">
        <v>23.886317978110068</v>
      </c>
      <c r="Q505" s="493">
        <v>23.191831726389257</v>
      </c>
      <c r="R505" s="493">
        <v>22.497345474668204</v>
      </c>
      <c r="S505" s="493">
        <v>21.802859222947397</v>
      </c>
      <c r="T505" s="493">
        <v>21.108372971226345</v>
      </c>
      <c r="U505" s="493">
        <v>20.511993996492674</v>
      </c>
      <c r="V505" s="493">
        <v>19.915615021759002</v>
      </c>
      <c r="W505" s="493">
        <v>19.319236047025576</v>
      </c>
      <c r="X505" s="493">
        <v>18.722857072291905</v>
      </c>
      <c r="Y505" s="493">
        <v>18.126478097558113</v>
      </c>
      <c r="Z505" s="493">
        <v>17.614347179742374</v>
      </c>
      <c r="AA505" s="493">
        <v>17.102216261926515</v>
      </c>
      <c r="AB505" s="493">
        <v>16.590085344110655</v>
      </c>
      <c r="AC505" s="493">
        <v>16.077954426294795</v>
      </c>
      <c r="AD505" s="493">
        <v>15.565823508479054</v>
      </c>
      <c r="AE505" s="493">
        <v>15.119325473449862</v>
      </c>
      <c r="AF505" s="493">
        <v>14.672827438420791</v>
      </c>
      <c r="AG505" s="493">
        <v>14.226329403391597</v>
      </c>
      <c r="AH505" s="493">
        <v>13.779831368362405</v>
      </c>
      <c r="AI505" s="493">
        <v>13.333333333333334</v>
      </c>
    </row>
    <row r="506" spans="2:35" outlineLevel="1">
      <c r="B506" t="str">
        <f t="shared" si="54"/>
        <v>e-methane - Conversion H2 -&gt; CH4 - Global - ton H2/ton CH4</v>
      </c>
      <c r="C506" t="s">
        <v>1387</v>
      </c>
      <c r="D506" t="s">
        <v>1388</v>
      </c>
      <c r="E506" t="s">
        <v>708</v>
      </c>
      <c r="F506" t="s">
        <v>1389</v>
      </c>
      <c r="G506" s="487" t="str">
        <f t="shared" si="52"/>
        <v>e-methaneGlobalConversion H2 -&gt; CH4</v>
      </c>
      <c r="H506" s="508">
        <v>0.5</v>
      </c>
      <c r="I506" s="508">
        <v>0.5</v>
      </c>
      <c r="J506" s="508">
        <v>0.5</v>
      </c>
      <c r="K506" s="508">
        <v>0.5</v>
      </c>
      <c r="L506" s="508">
        <v>0.5</v>
      </c>
      <c r="M506" s="508">
        <v>0.5</v>
      </c>
      <c r="N506" s="508">
        <v>0.5</v>
      </c>
      <c r="O506" s="508">
        <v>0.5</v>
      </c>
      <c r="P506" s="508">
        <v>0.5</v>
      </c>
      <c r="Q506" s="508">
        <v>0.5</v>
      </c>
      <c r="R506" s="508">
        <v>0.5</v>
      </c>
      <c r="S506" s="508">
        <v>0.5</v>
      </c>
      <c r="T506" s="508">
        <v>0.5</v>
      </c>
      <c r="U506" s="508">
        <v>0.5</v>
      </c>
      <c r="V506" s="508">
        <v>0.5</v>
      </c>
      <c r="W506" s="508">
        <v>0.5</v>
      </c>
      <c r="X506" s="508">
        <v>0.5</v>
      </c>
      <c r="Y506" s="508">
        <v>0.5</v>
      </c>
      <c r="Z506" s="508">
        <v>0.5</v>
      </c>
      <c r="AA506" s="508">
        <v>0.5</v>
      </c>
      <c r="AB506" s="508">
        <v>0.5</v>
      </c>
      <c r="AC506" s="508">
        <v>0.5</v>
      </c>
      <c r="AD506" s="508">
        <v>0.5</v>
      </c>
      <c r="AE506" s="508">
        <v>0.5</v>
      </c>
      <c r="AF506" s="508">
        <v>0.5</v>
      </c>
      <c r="AG506" s="508">
        <v>0.5</v>
      </c>
      <c r="AH506" s="508">
        <v>0.5</v>
      </c>
      <c r="AI506" s="508">
        <v>0.5</v>
      </c>
    </row>
    <row r="507" spans="2:35" outlineLevel="1">
      <c r="B507" t="str">
        <f t="shared" si="54"/>
        <v>e-methane - Conversion CO2 -&gt; CH4 - Global - ton CO2/ton CH4</v>
      </c>
      <c r="C507" t="s">
        <v>1387</v>
      </c>
      <c r="D507" t="s">
        <v>1390</v>
      </c>
      <c r="E507" t="s">
        <v>708</v>
      </c>
      <c r="F507" t="s">
        <v>1391</v>
      </c>
      <c r="G507" s="487" t="str">
        <f t="shared" si="52"/>
        <v>e-methaneGlobalConversion CO2 -&gt; CH4</v>
      </c>
      <c r="H507" s="508">
        <v>2.75</v>
      </c>
      <c r="I507" s="508">
        <v>2.75</v>
      </c>
      <c r="J507" s="508">
        <v>2.75</v>
      </c>
      <c r="K507" s="508">
        <v>2.75</v>
      </c>
      <c r="L507" s="508">
        <v>2.75</v>
      </c>
      <c r="M507" s="508">
        <v>2.75</v>
      </c>
      <c r="N507" s="508">
        <v>2.75</v>
      </c>
      <c r="O507" s="508">
        <v>2.75</v>
      </c>
      <c r="P507" s="508">
        <v>2.75</v>
      </c>
      <c r="Q507" s="508">
        <v>2.75</v>
      </c>
      <c r="R507" s="508">
        <v>2.75</v>
      </c>
      <c r="S507" s="508">
        <v>2.75</v>
      </c>
      <c r="T507" s="508">
        <v>2.75</v>
      </c>
      <c r="U507" s="508">
        <v>2.75</v>
      </c>
      <c r="V507" s="508">
        <v>2.75</v>
      </c>
      <c r="W507" s="508">
        <v>2.75</v>
      </c>
      <c r="X507" s="508">
        <v>2.75</v>
      </c>
      <c r="Y507" s="508">
        <v>2.75</v>
      </c>
      <c r="Z507" s="508">
        <v>2.75</v>
      </c>
      <c r="AA507" s="508">
        <v>2.75</v>
      </c>
      <c r="AB507" s="508">
        <v>2.75</v>
      </c>
      <c r="AC507" s="508">
        <v>2.75</v>
      </c>
      <c r="AD507" s="508">
        <v>2.75</v>
      </c>
      <c r="AE507" s="508">
        <v>2.75</v>
      </c>
      <c r="AF507" s="508">
        <v>2.75</v>
      </c>
      <c r="AG507" s="508">
        <v>2.75</v>
      </c>
      <c r="AH507" s="508">
        <v>2.75</v>
      </c>
      <c r="AI507" s="508">
        <v>2.75</v>
      </c>
    </row>
    <row r="508" spans="2:35" outlineLevel="1">
      <c r="B508" t="str">
        <f t="shared" si="54"/>
        <v/>
      </c>
      <c r="G508" s="487" t="str">
        <f t="shared" si="52"/>
        <v/>
      </c>
      <c r="H508" s="493"/>
      <c r="I508" s="493"/>
      <c r="J508" s="493"/>
      <c r="K508" s="493"/>
      <c r="L508" s="493"/>
      <c r="M508" s="493"/>
      <c r="N508" s="493"/>
      <c r="O508" s="493"/>
      <c r="P508" s="493"/>
      <c r="Q508" s="493"/>
      <c r="R508" s="493"/>
      <c r="S508" s="493"/>
      <c r="T508" s="493"/>
      <c r="U508" s="493"/>
      <c r="V508" s="493"/>
      <c r="W508" s="493"/>
      <c r="X508" s="493"/>
      <c r="Y508" s="493"/>
      <c r="Z508" s="493"/>
      <c r="AA508" s="493"/>
      <c r="AB508" s="493"/>
      <c r="AC508" s="493"/>
      <c r="AD508" s="493"/>
      <c r="AE508" s="493"/>
      <c r="AF508" s="493"/>
      <c r="AG508" s="493"/>
      <c r="AH508" s="493"/>
      <c r="AI508" s="493"/>
    </row>
    <row r="509" spans="2:35" ht="15" outlineLevel="1">
      <c r="B509" t="str">
        <f t="shared" si="54"/>
        <v>e-methane (DAC) - OPEX including feedstock OPEX - Global - USD/ton fuel</v>
      </c>
      <c r="C509" s="491" t="str">
        <f>C495</f>
        <v>e-methane (DAC)</v>
      </c>
      <c r="D509" s="491" t="s">
        <v>1364</v>
      </c>
      <c r="E509" s="491" t="s">
        <v>708</v>
      </c>
      <c r="F509" s="491" t="s">
        <v>1353</v>
      </c>
      <c r="G509" s="487" t="str">
        <f t="shared" si="52"/>
        <v>e-methane (DAC)GlobalOPEX including feedstock OPEX</v>
      </c>
      <c r="H509" s="492">
        <v>643.94021017252567</v>
      </c>
      <c r="I509" s="492">
        <v>614.4731858655864</v>
      </c>
      <c r="J509" s="492">
        <v>583.98300615931566</v>
      </c>
      <c r="K509" s="492">
        <v>564.40018464072546</v>
      </c>
      <c r="L509" s="492">
        <v>543.1471427849159</v>
      </c>
      <c r="M509" s="492">
        <v>520.22388059188552</v>
      </c>
      <c r="N509" s="492">
        <v>495.63039806165585</v>
      </c>
      <c r="O509" s="492">
        <v>469.36669519420445</v>
      </c>
      <c r="P509" s="492">
        <v>463.0812777501564</v>
      </c>
      <c r="Q509" s="492">
        <v>454.45682577898077</v>
      </c>
      <c r="R509" s="492">
        <v>443.49333928068108</v>
      </c>
      <c r="S509" s="492">
        <v>430.19081825524682</v>
      </c>
      <c r="T509" s="492">
        <v>414.54926270268413</v>
      </c>
      <c r="U509" s="492">
        <v>400.49305970882392</v>
      </c>
      <c r="V509" s="492">
        <v>385.04675132051034</v>
      </c>
      <c r="W509" s="492">
        <v>368.21033753775606</v>
      </c>
      <c r="X509" s="492">
        <v>349.98381836054017</v>
      </c>
      <c r="Y509" s="492">
        <v>330.3671937888729</v>
      </c>
      <c r="Z509" s="492">
        <v>312.88142843287403</v>
      </c>
      <c r="AA509" s="492">
        <v>294.72761523564384</v>
      </c>
      <c r="AB509" s="492">
        <v>275.90575419719443</v>
      </c>
      <c r="AC509" s="492">
        <v>256.41584531751374</v>
      </c>
      <c r="AD509" s="492">
        <v>236.25788859661193</v>
      </c>
      <c r="AE509" s="492">
        <v>220.10013455862031</v>
      </c>
      <c r="AF509" s="492">
        <v>203.70971525530618</v>
      </c>
      <c r="AG509" s="492">
        <v>187.08663068666874</v>
      </c>
      <c r="AH509" s="492">
        <v>170.2308808527084</v>
      </c>
      <c r="AI509" s="492">
        <v>153.14246575342568</v>
      </c>
    </row>
    <row r="510" spans="2:35" outlineLevel="1">
      <c r="B510" t="str">
        <f t="shared" si="54"/>
        <v>e-methane (DAC) - OPEX - Global - USD/ton fuel</v>
      </c>
      <c r="C510" t="str">
        <f>C495</f>
        <v>e-methane (DAC)</v>
      </c>
      <c r="D510" t="s">
        <v>450</v>
      </c>
      <c r="E510" t="s">
        <v>708</v>
      </c>
      <c r="F510" t="s">
        <v>1353</v>
      </c>
      <c r="G510" s="487" t="str">
        <f t="shared" si="52"/>
        <v>e-methane (DAC)GlobalOPEX</v>
      </c>
      <c r="H510" s="493">
        <v>123.36</v>
      </c>
      <c r="I510" s="493">
        <v>116.48</v>
      </c>
      <c r="J510" s="493">
        <v>109.60000000000001</v>
      </c>
      <c r="K510" s="493">
        <v>105.28</v>
      </c>
      <c r="L510" s="493">
        <v>100.96000000000001</v>
      </c>
      <c r="M510" s="493">
        <v>96.64</v>
      </c>
      <c r="N510" s="493">
        <v>92.320000000000007</v>
      </c>
      <c r="O510" s="493">
        <v>88</v>
      </c>
      <c r="P510" s="493">
        <v>86.4</v>
      </c>
      <c r="Q510" s="493">
        <v>84.8</v>
      </c>
      <c r="R510" s="493">
        <v>83.2</v>
      </c>
      <c r="S510" s="493">
        <v>81.600000000000009</v>
      </c>
      <c r="T510" s="493">
        <v>80</v>
      </c>
      <c r="U510" s="493">
        <v>78.400000000000006</v>
      </c>
      <c r="V510" s="493">
        <v>76.8</v>
      </c>
      <c r="W510" s="493">
        <v>75.2</v>
      </c>
      <c r="X510" s="493">
        <v>73.600000000000009</v>
      </c>
      <c r="Y510" s="493">
        <v>72</v>
      </c>
      <c r="Z510" s="493">
        <v>69.28</v>
      </c>
      <c r="AA510" s="493">
        <v>66.56</v>
      </c>
      <c r="AB510" s="493">
        <v>63.84</v>
      </c>
      <c r="AC510" s="493">
        <v>61.120000000000005</v>
      </c>
      <c r="AD510" s="493">
        <v>58.4</v>
      </c>
      <c r="AE510" s="493">
        <v>55.68</v>
      </c>
      <c r="AF510" s="493">
        <v>52.96</v>
      </c>
      <c r="AG510" s="493">
        <v>50.24</v>
      </c>
      <c r="AH510" s="493">
        <v>47.52</v>
      </c>
      <c r="AI510" s="493">
        <v>44.800000000000004</v>
      </c>
    </row>
    <row r="511" spans="2:35" outlineLevel="1">
      <c r="B511" t="str">
        <f t="shared" si="54"/>
        <v>e-hydrogen (compressed) - OPEX including feedstock OPEX - Global - USD/ton fuel</v>
      </c>
      <c r="C511" t="s">
        <v>722</v>
      </c>
      <c r="D511" t="s">
        <v>1364</v>
      </c>
      <c r="E511" t="s">
        <v>708</v>
      </c>
      <c r="F511" t="s">
        <v>1353</v>
      </c>
      <c r="G511" s="487" t="str">
        <f t="shared" si="52"/>
        <v>e-hydrogen (compressed)GlobalOPEX including feedstock OPEX</v>
      </c>
      <c r="H511" s="507">
        <v>778.63990898977545</v>
      </c>
      <c r="I511" s="507">
        <v>746.81733762687418</v>
      </c>
      <c r="J511" s="507">
        <v>712.61415525113227</v>
      </c>
      <c r="K511" s="507">
        <v>693.21795180920219</v>
      </c>
      <c r="L511" s="507">
        <v>670.22211331548374</v>
      </c>
      <c r="M511" s="507">
        <v>643.6266397699726</v>
      </c>
      <c r="N511" s="507">
        <v>613.43153117270822</v>
      </c>
      <c r="O511" s="507">
        <v>579.63678752365013</v>
      </c>
      <c r="P511" s="507">
        <v>578.89498738880036</v>
      </c>
      <c r="Q511" s="507">
        <v>573.27415594361116</v>
      </c>
      <c r="R511" s="507">
        <v>562.77429318809038</v>
      </c>
      <c r="S511" s="507">
        <v>547.39539912221437</v>
      </c>
      <c r="T511" s="507">
        <v>527.13747374599984</v>
      </c>
      <c r="U511" s="507">
        <v>508.91545321169565</v>
      </c>
      <c r="V511" s="507">
        <v>487.75740898550708</v>
      </c>
      <c r="W511" s="507">
        <v>463.66334106745865</v>
      </c>
      <c r="X511" s="507">
        <v>436.63324945751151</v>
      </c>
      <c r="Y511" s="507">
        <v>406.66713415568563</v>
      </c>
      <c r="Z511" s="507">
        <v>382.32288786138321</v>
      </c>
      <c r="AA511" s="507">
        <v>356.52173881762411</v>
      </c>
      <c r="AB511" s="507">
        <v>329.2636870244329</v>
      </c>
      <c r="AC511" s="507">
        <v>300.54873248178433</v>
      </c>
      <c r="AD511" s="507">
        <v>270.37687518969852</v>
      </c>
      <c r="AE511" s="507">
        <v>247.55933903156756</v>
      </c>
      <c r="AF511" s="507">
        <v>224.18137658421693</v>
      </c>
      <c r="AG511" s="507">
        <v>200.24298784764761</v>
      </c>
      <c r="AH511" s="507">
        <v>175.74417282185905</v>
      </c>
      <c r="AI511" s="507">
        <v>150.68493150685131</v>
      </c>
    </row>
    <row r="512" spans="2:35" outlineLevel="1">
      <c r="B512" t="str">
        <f t="shared" si="54"/>
        <v>Carbon dioxide (DAC) - OPEX - Global - USD/ton fuel</v>
      </c>
      <c r="C512" t="s">
        <v>1379</v>
      </c>
      <c r="D512" t="s">
        <v>450</v>
      </c>
      <c r="E512" t="s">
        <v>708</v>
      </c>
      <c r="F512" t="s">
        <v>1353</v>
      </c>
      <c r="G512" s="487" t="str">
        <f t="shared" si="52"/>
        <v>Carbon dioxide (DAC)GlobalOPEX</v>
      </c>
      <c r="H512" s="493">
        <v>47.7310020645956</v>
      </c>
      <c r="I512" s="493">
        <v>45.303460746236098</v>
      </c>
      <c r="J512" s="493">
        <v>42.936701284999835</v>
      </c>
      <c r="K512" s="493">
        <v>40.913166813136101</v>
      </c>
      <c r="L512" s="493">
        <v>38.936758591699629</v>
      </c>
      <c r="M512" s="493">
        <v>37.007476620690611</v>
      </c>
      <c r="N512" s="493">
        <v>35.125320900109735</v>
      </c>
      <c r="O512" s="493">
        <v>33.290291429956135</v>
      </c>
      <c r="P512" s="493">
        <v>31.721376020274985</v>
      </c>
      <c r="Q512" s="493">
        <v>30.18899920260916</v>
      </c>
      <c r="R512" s="493">
        <v>28.693160976958509</v>
      </c>
      <c r="S512" s="493">
        <v>27.23386134332349</v>
      </c>
      <c r="T512" s="493">
        <v>25.811100301703355</v>
      </c>
      <c r="U512" s="493">
        <v>24.594666582900402</v>
      </c>
      <c r="V512" s="493">
        <v>23.406562482820661</v>
      </c>
      <c r="W512" s="493">
        <v>22.246788001464278</v>
      </c>
      <c r="X512" s="493">
        <v>21.115343138830685</v>
      </c>
      <c r="Y512" s="493">
        <v>20.012227894920034</v>
      </c>
      <c r="Z512" s="493">
        <v>19.069085273520873</v>
      </c>
      <c r="AA512" s="493">
        <v>18.147907573393375</v>
      </c>
      <c r="AB512" s="493">
        <v>17.248694794537446</v>
      </c>
      <c r="AC512" s="493">
        <v>16.371446936953305</v>
      </c>
      <c r="AD512" s="493">
        <v>15.516164000640968</v>
      </c>
      <c r="AE512" s="493">
        <v>14.778350924667834</v>
      </c>
      <c r="AF512" s="493">
        <v>14.057827986617346</v>
      </c>
      <c r="AG512" s="493">
        <v>13.354595186489069</v>
      </c>
      <c r="AH512" s="493">
        <v>12.668652524283226</v>
      </c>
      <c r="AI512" s="493">
        <v>12.000000000000011</v>
      </c>
    </row>
    <row r="513" spans="2:35" outlineLevel="1">
      <c r="B513" t="str">
        <f t="shared" si="54"/>
        <v>e-methane - Conversion H2 -&gt; CH4 - Global - ton H2/ton CH4</v>
      </c>
      <c r="C513" t="s">
        <v>1387</v>
      </c>
      <c r="D513" t="s">
        <v>1388</v>
      </c>
      <c r="E513" t="s">
        <v>708</v>
      </c>
      <c r="F513" t="s">
        <v>1389</v>
      </c>
      <c r="G513" s="487" t="str">
        <f t="shared" si="52"/>
        <v>e-methaneGlobalConversion H2 -&gt; CH4</v>
      </c>
      <c r="H513" s="508">
        <v>0.5</v>
      </c>
      <c r="I513" s="508">
        <v>0.5</v>
      </c>
      <c r="J513" s="508">
        <v>0.5</v>
      </c>
      <c r="K513" s="508">
        <v>0.5</v>
      </c>
      <c r="L513" s="508">
        <v>0.5</v>
      </c>
      <c r="M513" s="508">
        <v>0.5</v>
      </c>
      <c r="N513" s="508">
        <v>0.5</v>
      </c>
      <c r="O513" s="508">
        <v>0.5</v>
      </c>
      <c r="P513" s="508">
        <v>0.5</v>
      </c>
      <c r="Q513" s="508">
        <v>0.5</v>
      </c>
      <c r="R513" s="508">
        <v>0.5</v>
      </c>
      <c r="S513" s="508">
        <v>0.5</v>
      </c>
      <c r="T513" s="508">
        <v>0.5</v>
      </c>
      <c r="U513" s="508">
        <v>0.5</v>
      </c>
      <c r="V513" s="508">
        <v>0.5</v>
      </c>
      <c r="W513" s="508">
        <v>0.5</v>
      </c>
      <c r="X513" s="508">
        <v>0.5</v>
      </c>
      <c r="Y513" s="508">
        <v>0.5</v>
      </c>
      <c r="Z513" s="508">
        <v>0.5</v>
      </c>
      <c r="AA513" s="508">
        <v>0.5</v>
      </c>
      <c r="AB513" s="508">
        <v>0.5</v>
      </c>
      <c r="AC513" s="508">
        <v>0.5</v>
      </c>
      <c r="AD513" s="508">
        <v>0.5</v>
      </c>
      <c r="AE513" s="508">
        <v>0.5</v>
      </c>
      <c r="AF513" s="508">
        <v>0.5</v>
      </c>
      <c r="AG513" s="508">
        <v>0.5</v>
      </c>
      <c r="AH513" s="508">
        <v>0.5</v>
      </c>
      <c r="AI513" s="508">
        <v>0.5</v>
      </c>
    </row>
    <row r="514" spans="2:35" outlineLevel="1">
      <c r="B514" t="str">
        <f t="shared" si="54"/>
        <v>e-methane - Conversion CO2 -&gt; CH4 - Global - ton CO2/ton CH4</v>
      </c>
      <c r="C514" t="s">
        <v>1387</v>
      </c>
      <c r="D514" t="s">
        <v>1390</v>
      </c>
      <c r="E514" t="s">
        <v>708</v>
      </c>
      <c r="F514" t="s">
        <v>1391</v>
      </c>
      <c r="G514" s="487" t="str">
        <f t="shared" si="52"/>
        <v>e-methaneGlobalConversion CO2 -&gt; CH4</v>
      </c>
      <c r="H514" s="508">
        <v>2.75</v>
      </c>
      <c r="I514" s="508">
        <v>2.75</v>
      </c>
      <c r="J514" s="508">
        <v>2.75</v>
      </c>
      <c r="K514" s="508">
        <v>2.75</v>
      </c>
      <c r="L514" s="508">
        <v>2.75</v>
      </c>
      <c r="M514" s="508">
        <v>2.75</v>
      </c>
      <c r="N514" s="508">
        <v>2.75</v>
      </c>
      <c r="O514" s="508">
        <v>2.75</v>
      </c>
      <c r="P514" s="508">
        <v>2.75</v>
      </c>
      <c r="Q514" s="508">
        <v>2.75</v>
      </c>
      <c r="R514" s="508">
        <v>2.75</v>
      </c>
      <c r="S514" s="508">
        <v>2.75</v>
      </c>
      <c r="T514" s="508">
        <v>2.75</v>
      </c>
      <c r="U514" s="508">
        <v>2.75</v>
      </c>
      <c r="V514" s="508">
        <v>2.75</v>
      </c>
      <c r="W514" s="508">
        <v>2.75</v>
      </c>
      <c r="X514" s="508">
        <v>2.75</v>
      </c>
      <c r="Y514" s="508">
        <v>2.75</v>
      </c>
      <c r="Z514" s="508">
        <v>2.75</v>
      </c>
      <c r="AA514" s="508">
        <v>2.75</v>
      </c>
      <c r="AB514" s="508">
        <v>2.75</v>
      </c>
      <c r="AC514" s="508">
        <v>2.75</v>
      </c>
      <c r="AD514" s="508">
        <v>2.75</v>
      </c>
      <c r="AE514" s="508">
        <v>2.75</v>
      </c>
      <c r="AF514" s="508">
        <v>2.75</v>
      </c>
      <c r="AG514" s="508">
        <v>2.75</v>
      </c>
      <c r="AH514" s="508">
        <v>2.75</v>
      </c>
      <c r="AI514" s="508">
        <v>2.75</v>
      </c>
    </row>
    <row r="515" spans="2:35" outlineLevel="1">
      <c r="B515" t="str">
        <f t="shared" si="54"/>
        <v/>
      </c>
      <c r="G515" s="487" t="str">
        <f t="shared" si="52"/>
        <v/>
      </c>
      <c r="H515" s="493"/>
      <c r="I515" s="493"/>
      <c r="J515" s="493"/>
      <c r="K515" s="493"/>
      <c r="L515" s="493"/>
      <c r="M515" s="493"/>
      <c r="N515" s="493"/>
      <c r="O515" s="493"/>
      <c r="P515" s="493"/>
      <c r="Q515" s="493"/>
      <c r="R515" s="493"/>
      <c r="S515" s="493"/>
      <c r="T515" s="493"/>
      <c r="U515" s="493"/>
      <c r="V515" s="493"/>
      <c r="W515" s="493"/>
      <c r="X515" s="493"/>
      <c r="Y515" s="493"/>
      <c r="Z515" s="493"/>
      <c r="AA515" s="493"/>
      <c r="AB515" s="493"/>
      <c r="AC515" s="493"/>
      <c r="AD515" s="493"/>
      <c r="AE515" s="493"/>
      <c r="AF515" s="493"/>
      <c r="AG515" s="493"/>
      <c r="AH515" s="493"/>
      <c r="AI515" s="493"/>
    </row>
    <row r="516" spans="2:35" ht="15" outlineLevel="1">
      <c r="B516" t="str">
        <f t="shared" si="54"/>
        <v>e-methane (DAC) - Finance cost including feedstock finance cost - Africa - USD/ton fuel</v>
      </c>
      <c r="C516" s="494" t="str">
        <f>C499</f>
        <v>e-methane (DAC)</v>
      </c>
      <c r="D516" s="494" t="s">
        <v>1365</v>
      </c>
      <c r="E516" s="494" t="s">
        <v>838</v>
      </c>
      <c r="F516" s="494" t="s">
        <v>1353</v>
      </c>
      <c r="G516" s="487" t="str">
        <f t="shared" si="52"/>
        <v>e-methane (DAC)AfricaFinance cost including feedstock finance cost</v>
      </c>
      <c r="H516" s="495">
        <v>434.97335449463901</v>
      </c>
      <c r="I516" s="495">
        <v>418.19084698405243</v>
      </c>
      <c r="J516" s="495">
        <v>401.20241408118642</v>
      </c>
      <c r="K516" s="495">
        <v>390.43337189616403</v>
      </c>
      <c r="L516" s="495">
        <v>379.28176628315623</v>
      </c>
      <c r="M516" s="495">
        <v>367.74759724216801</v>
      </c>
      <c r="N516" s="495">
        <v>355.83086477320182</v>
      </c>
      <c r="O516" s="495">
        <v>343.53156887624999</v>
      </c>
      <c r="P516" s="495">
        <v>342.88791952683658</v>
      </c>
      <c r="Q516" s="495">
        <v>341.35209295914194</v>
      </c>
      <c r="R516" s="495">
        <v>338.92408917316277</v>
      </c>
      <c r="S516" s="495">
        <v>335.60390816889731</v>
      </c>
      <c r="T516" s="495">
        <v>331.39154994635038</v>
      </c>
      <c r="U516" s="495">
        <v>326.17413593137269</v>
      </c>
      <c r="V516" s="495">
        <v>320.22036553646194</v>
      </c>
      <c r="W516" s="495">
        <v>313.53023876162666</v>
      </c>
      <c r="X516" s="495">
        <v>306.10375560685742</v>
      </c>
      <c r="Y516" s="495">
        <v>297.94091607215188</v>
      </c>
      <c r="Z516" s="495">
        <v>288.16798080114836</v>
      </c>
      <c r="AA516" s="495">
        <v>277.83942356264475</v>
      </c>
      <c r="AB516" s="495">
        <v>266.95524435664765</v>
      </c>
      <c r="AC516" s="495">
        <v>255.5154431831532</v>
      </c>
      <c r="AD516" s="495">
        <v>243.52002004216055</v>
      </c>
      <c r="AE516" s="495">
        <v>231.162646346782</v>
      </c>
      <c r="AF516" s="495">
        <v>218.45773375058465</v>
      </c>
      <c r="AG516" s="495">
        <v>205.40528225356755</v>
      </c>
      <c r="AH516" s="495">
        <v>192.00529185573114</v>
      </c>
      <c r="AI516" s="495">
        <v>178.25776255707615</v>
      </c>
    </row>
    <row r="517" spans="2:35" ht="15" outlineLevel="1">
      <c r="B517" t="str">
        <f t="shared" si="54"/>
        <v>e-methane (DAC) - Finance cost including feedstock finance cost - Americas - USD/ton fuel</v>
      </c>
      <c r="C517" s="22" t="str">
        <f>C499</f>
        <v>e-methane (DAC)</v>
      </c>
      <c r="D517" s="22" t="s">
        <v>1365</v>
      </c>
      <c r="E517" s="22" t="s">
        <v>731</v>
      </c>
      <c r="F517" s="22" t="s">
        <v>1353</v>
      </c>
      <c r="G517" s="487" t="str">
        <f t="shared" si="52"/>
        <v>e-methane (DAC)AmericasFinance cost including feedstock finance cost</v>
      </c>
      <c r="H517" s="496">
        <v>434.97335449463901</v>
      </c>
      <c r="I517" s="496">
        <v>418.19084698405243</v>
      </c>
      <c r="J517" s="496">
        <v>401.20241408118642</v>
      </c>
      <c r="K517" s="496">
        <v>390.43337189616403</v>
      </c>
      <c r="L517" s="496">
        <v>379.28176628315623</v>
      </c>
      <c r="M517" s="496">
        <v>367.74759724216801</v>
      </c>
      <c r="N517" s="496">
        <v>355.83086477320182</v>
      </c>
      <c r="O517" s="496">
        <v>343.53156887624999</v>
      </c>
      <c r="P517" s="496">
        <v>342.88791952683658</v>
      </c>
      <c r="Q517" s="496">
        <v>341.35209295914194</v>
      </c>
      <c r="R517" s="496">
        <v>338.92408917316277</v>
      </c>
      <c r="S517" s="496">
        <v>335.60390816889731</v>
      </c>
      <c r="T517" s="496">
        <v>331.39154994635038</v>
      </c>
      <c r="U517" s="496">
        <v>326.17413593137269</v>
      </c>
      <c r="V517" s="496">
        <v>320.22036553646194</v>
      </c>
      <c r="W517" s="496">
        <v>313.53023876162666</v>
      </c>
      <c r="X517" s="496">
        <v>306.10375560685742</v>
      </c>
      <c r="Y517" s="496">
        <v>297.94091607215188</v>
      </c>
      <c r="Z517" s="496">
        <v>288.16798080114836</v>
      </c>
      <c r="AA517" s="496">
        <v>277.83942356264475</v>
      </c>
      <c r="AB517" s="496">
        <v>266.95524435664765</v>
      </c>
      <c r="AC517" s="496">
        <v>255.5154431831532</v>
      </c>
      <c r="AD517" s="496">
        <v>243.52002004216055</v>
      </c>
      <c r="AE517" s="496">
        <v>231.162646346782</v>
      </c>
      <c r="AF517" s="496">
        <v>218.45773375058465</v>
      </c>
      <c r="AG517" s="496">
        <v>205.40528225356755</v>
      </c>
      <c r="AH517" s="496">
        <v>192.00529185573114</v>
      </c>
      <c r="AI517" s="496">
        <v>178.25776255707615</v>
      </c>
    </row>
    <row r="518" spans="2:35" ht="15" outlineLevel="1">
      <c r="B518" t="str">
        <f t="shared" si="54"/>
        <v>e-methane (DAC) - Finance cost including feedstock finance cost - Asia - USD/ton fuel</v>
      </c>
      <c r="C518" s="22" t="str">
        <f>C499</f>
        <v>e-methane (DAC)</v>
      </c>
      <c r="D518" s="22" t="s">
        <v>1365</v>
      </c>
      <c r="E518" s="22" t="s">
        <v>750</v>
      </c>
      <c r="F518" s="22" t="s">
        <v>1353</v>
      </c>
      <c r="G518" s="487" t="str">
        <f t="shared" si="52"/>
        <v>e-methane (DAC)AsiaFinance cost including feedstock finance cost</v>
      </c>
      <c r="H518" s="496">
        <v>434.97335449463901</v>
      </c>
      <c r="I518" s="496">
        <v>418.19084698405243</v>
      </c>
      <c r="J518" s="496">
        <v>401.20241408118642</v>
      </c>
      <c r="K518" s="496">
        <v>390.43337189616403</v>
      </c>
      <c r="L518" s="496">
        <v>379.28176628315623</v>
      </c>
      <c r="M518" s="496">
        <v>367.74759724216801</v>
      </c>
      <c r="N518" s="496">
        <v>355.83086477320182</v>
      </c>
      <c r="O518" s="496">
        <v>343.53156887624999</v>
      </c>
      <c r="P518" s="496">
        <v>342.88791952683658</v>
      </c>
      <c r="Q518" s="496">
        <v>341.35209295914194</v>
      </c>
      <c r="R518" s="496">
        <v>338.92408917316277</v>
      </c>
      <c r="S518" s="496">
        <v>335.60390816889731</v>
      </c>
      <c r="T518" s="496">
        <v>331.39154994635038</v>
      </c>
      <c r="U518" s="496">
        <v>326.17413593137269</v>
      </c>
      <c r="V518" s="496">
        <v>320.22036553646194</v>
      </c>
      <c r="W518" s="496">
        <v>313.53023876162666</v>
      </c>
      <c r="X518" s="496">
        <v>306.10375560685742</v>
      </c>
      <c r="Y518" s="496">
        <v>297.94091607215188</v>
      </c>
      <c r="Z518" s="496">
        <v>288.16798080114836</v>
      </c>
      <c r="AA518" s="496">
        <v>277.83942356264475</v>
      </c>
      <c r="AB518" s="496">
        <v>266.95524435664765</v>
      </c>
      <c r="AC518" s="496">
        <v>255.5154431831532</v>
      </c>
      <c r="AD518" s="496">
        <v>243.52002004216055</v>
      </c>
      <c r="AE518" s="496">
        <v>231.162646346782</v>
      </c>
      <c r="AF518" s="496">
        <v>218.45773375058465</v>
      </c>
      <c r="AG518" s="496">
        <v>205.40528225356755</v>
      </c>
      <c r="AH518" s="496">
        <v>192.00529185573114</v>
      </c>
      <c r="AI518" s="496">
        <v>178.25776255707615</v>
      </c>
    </row>
    <row r="519" spans="2:35" ht="15" outlineLevel="1">
      <c r="B519" t="str">
        <f t="shared" si="54"/>
        <v>e-methane (DAC) - Finance cost including feedstock finance cost - Europe - USD/ton fuel</v>
      </c>
      <c r="C519" s="22" t="str">
        <f>C499</f>
        <v>e-methane (DAC)</v>
      </c>
      <c r="D519" s="22" t="s">
        <v>1365</v>
      </c>
      <c r="E519" s="22" t="s">
        <v>720</v>
      </c>
      <c r="F519" s="22" t="s">
        <v>1353</v>
      </c>
      <c r="G519" s="487" t="str">
        <f t="shared" si="52"/>
        <v>e-methane (DAC)EuropeFinance cost including feedstock finance cost</v>
      </c>
      <c r="H519" s="496">
        <v>434.97335449463901</v>
      </c>
      <c r="I519" s="496">
        <v>418.19084698405243</v>
      </c>
      <c r="J519" s="496">
        <v>401.20241408118642</v>
      </c>
      <c r="K519" s="496">
        <v>390.43337189616403</v>
      </c>
      <c r="L519" s="496">
        <v>379.28176628315623</v>
      </c>
      <c r="M519" s="496">
        <v>367.74759724216801</v>
      </c>
      <c r="N519" s="496">
        <v>355.83086477320182</v>
      </c>
      <c r="O519" s="496">
        <v>343.53156887624999</v>
      </c>
      <c r="P519" s="496">
        <v>342.88791952683658</v>
      </c>
      <c r="Q519" s="496">
        <v>341.35209295914194</v>
      </c>
      <c r="R519" s="496">
        <v>338.92408917316277</v>
      </c>
      <c r="S519" s="496">
        <v>335.60390816889731</v>
      </c>
      <c r="T519" s="496">
        <v>331.39154994635038</v>
      </c>
      <c r="U519" s="496">
        <v>326.17413593137269</v>
      </c>
      <c r="V519" s="496">
        <v>320.22036553646194</v>
      </c>
      <c r="W519" s="496">
        <v>313.53023876162666</v>
      </c>
      <c r="X519" s="496">
        <v>306.10375560685742</v>
      </c>
      <c r="Y519" s="496">
        <v>297.94091607215188</v>
      </c>
      <c r="Z519" s="496">
        <v>288.16798080114836</v>
      </c>
      <c r="AA519" s="496">
        <v>277.83942356264475</v>
      </c>
      <c r="AB519" s="496">
        <v>266.95524435664765</v>
      </c>
      <c r="AC519" s="496">
        <v>255.5154431831532</v>
      </c>
      <c r="AD519" s="496">
        <v>243.52002004216055</v>
      </c>
      <c r="AE519" s="496">
        <v>231.162646346782</v>
      </c>
      <c r="AF519" s="496">
        <v>218.45773375058465</v>
      </c>
      <c r="AG519" s="496">
        <v>205.40528225356755</v>
      </c>
      <c r="AH519" s="496">
        <v>192.00529185573114</v>
      </c>
      <c r="AI519" s="496">
        <v>178.25776255707615</v>
      </c>
    </row>
    <row r="520" spans="2:35" ht="15" outlineLevel="1">
      <c r="B520" t="str">
        <f t="shared" si="54"/>
        <v>e-methane (DAC) - Finance cost including feedstock finance cost - Middle East - USD/ton fuel</v>
      </c>
      <c r="C520" s="92" t="str">
        <f>C499</f>
        <v>e-methane (DAC)</v>
      </c>
      <c r="D520" s="92" t="s">
        <v>1365</v>
      </c>
      <c r="E520" s="92" t="s">
        <v>826</v>
      </c>
      <c r="F520" s="92" t="s">
        <v>1353</v>
      </c>
      <c r="G520" s="487" t="str">
        <f t="shared" ref="G520:G583" si="55">+C520&amp;E520&amp;D520</f>
        <v>e-methane (DAC)Middle EastFinance cost including feedstock finance cost</v>
      </c>
      <c r="H520" s="497">
        <v>434.97335449463901</v>
      </c>
      <c r="I520" s="497">
        <v>418.19084698405243</v>
      </c>
      <c r="J520" s="497">
        <v>401.20241408118642</v>
      </c>
      <c r="K520" s="497">
        <v>390.43337189616403</v>
      </c>
      <c r="L520" s="497">
        <v>379.28176628315623</v>
      </c>
      <c r="M520" s="497">
        <v>367.74759724216801</v>
      </c>
      <c r="N520" s="497">
        <v>355.83086477320182</v>
      </c>
      <c r="O520" s="497">
        <v>343.53156887624999</v>
      </c>
      <c r="P520" s="497">
        <v>342.88791952683658</v>
      </c>
      <c r="Q520" s="497">
        <v>341.35209295914194</v>
      </c>
      <c r="R520" s="497">
        <v>338.92408917316277</v>
      </c>
      <c r="S520" s="497">
        <v>335.60390816889731</v>
      </c>
      <c r="T520" s="497">
        <v>331.39154994635038</v>
      </c>
      <c r="U520" s="497">
        <v>326.17413593137269</v>
      </c>
      <c r="V520" s="497">
        <v>320.22036553646194</v>
      </c>
      <c r="W520" s="497">
        <v>313.53023876162666</v>
      </c>
      <c r="X520" s="497">
        <v>306.10375560685742</v>
      </c>
      <c r="Y520" s="497">
        <v>297.94091607215188</v>
      </c>
      <c r="Z520" s="497">
        <v>288.16798080114836</v>
      </c>
      <c r="AA520" s="497">
        <v>277.83942356264475</v>
      </c>
      <c r="AB520" s="497">
        <v>266.95524435664765</v>
      </c>
      <c r="AC520" s="497">
        <v>255.5154431831532</v>
      </c>
      <c r="AD520" s="497">
        <v>243.52002004216055</v>
      </c>
      <c r="AE520" s="497">
        <v>231.162646346782</v>
      </c>
      <c r="AF520" s="497">
        <v>218.45773375058465</v>
      </c>
      <c r="AG520" s="497">
        <v>205.40528225356755</v>
      </c>
      <c r="AH520" s="497">
        <v>192.00529185573114</v>
      </c>
      <c r="AI520" s="497">
        <v>178.25776255707615</v>
      </c>
    </row>
    <row r="521" spans="2:35" outlineLevel="1">
      <c r="B521" t="str">
        <f t="shared" si="54"/>
        <v>e-methane (DAC) - Finance cost - Africa - USD/ton fuel</v>
      </c>
      <c r="C521" t="str">
        <f>C495</f>
        <v>e-methane (DAC)</v>
      </c>
      <c r="D521" t="s">
        <v>1366</v>
      </c>
      <c r="E521" t="s">
        <v>838</v>
      </c>
      <c r="F521" t="s">
        <v>1353</v>
      </c>
      <c r="G521" s="487" t="str">
        <f t="shared" si="55"/>
        <v>e-methane (DAC)AfricaFinance cost</v>
      </c>
      <c r="H521" s="493">
        <v>84.810000000000016</v>
      </c>
      <c r="I521" s="493">
        <v>80.080000000000013</v>
      </c>
      <c r="J521" s="493">
        <v>75.350000000000009</v>
      </c>
      <c r="K521" s="493">
        <v>72.38000000000001</v>
      </c>
      <c r="L521" s="493">
        <v>69.410000000000011</v>
      </c>
      <c r="M521" s="493">
        <v>66.440000000000012</v>
      </c>
      <c r="N521" s="493">
        <v>63.470000000000006</v>
      </c>
      <c r="O521" s="493">
        <v>60.500000000000007</v>
      </c>
      <c r="P521" s="493">
        <v>59.400000000000006</v>
      </c>
      <c r="Q521" s="493">
        <v>58.300000000000004</v>
      </c>
      <c r="R521" s="493">
        <v>57.20000000000001</v>
      </c>
      <c r="S521" s="493">
        <v>56.100000000000009</v>
      </c>
      <c r="T521" s="493">
        <v>55.000000000000007</v>
      </c>
      <c r="U521" s="493">
        <v>53.900000000000006</v>
      </c>
      <c r="V521" s="493">
        <v>52.800000000000004</v>
      </c>
      <c r="W521" s="493">
        <v>51.70000000000001</v>
      </c>
      <c r="X521" s="493">
        <v>50.600000000000009</v>
      </c>
      <c r="Y521" s="493">
        <v>49.500000000000007</v>
      </c>
      <c r="Z521" s="493">
        <v>47.63000000000001</v>
      </c>
      <c r="AA521" s="493">
        <v>45.760000000000005</v>
      </c>
      <c r="AB521" s="493">
        <v>43.890000000000008</v>
      </c>
      <c r="AC521" s="493">
        <v>42.02</v>
      </c>
      <c r="AD521" s="493">
        <v>40.150000000000006</v>
      </c>
      <c r="AE521" s="493">
        <v>38.280000000000008</v>
      </c>
      <c r="AF521" s="493">
        <v>36.410000000000004</v>
      </c>
      <c r="AG521" s="493">
        <v>34.540000000000006</v>
      </c>
      <c r="AH521" s="493">
        <v>32.67</v>
      </c>
      <c r="AI521" s="493">
        <v>30.800000000000004</v>
      </c>
    </row>
    <row r="522" spans="2:35" outlineLevel="1">
      <c r="B522" t="str">
        <f t="shared" si="54"/>
        <v>e-methane (DAC) - Finance cost - Americas - USD/ton fuel</v>
      </c>
      <c r="C522" t="str">
        <f>C495</f>
        <v>e-methane (DAC)</v>
      </c>
      <c r="D522" t="s">
        <v>1366</v>
      </c>
      <c r="E522" t="s">
        <v>731</v>
      </c>
      <c r="F522" t="s">
        <v>1353</v>
      </c>
      <c r="G522" s="487" t="str">
        <f t="shared" si="55"/>
        <v>e-methane (DAC)AmericasFinance cost</v>
      </c>
      <c r="H522" s="493">
        <v>84.810000000000016</v>
      </c>
      <c r="I522" s="493">
        <v>80.080000000000013</v>
      </c>
      <c r="J522" s="493">
        <v>75.350000000000009</v>
      </c>
      <c r="K522" s="493">
        <v>72.38000000000001</v>
      </c>
      <c r="L522" s="493">
        <v>69.410000000000011</v>
      </c>
      <c r="M522" s="493">
        <v>66.440000000000012</v>
      </c>
      <c r="N522" s="493">
        <v>63.470000000000006</v>
      </c>
      <c r="O522" s="493">
        <v>60.500000000000007</v>
      </c>
      <c r="P522" s="493">
        <v>59.400000000000006</v>
      </c>
      <c r="Q522" s="493">
        <v>58.300000000000004</v>
      </c>
      <c r="R522" s="493">
        <v>57.20000000000001</v>
      </c>
      <c r="S522" s="493">
        <v>56.100000000000009</v>
      </c>
      <c r="T522" s="493">
        <v>55.000000000000007</v>
      </c>
      <c r="U522" s="493">
        <v>53.900000000000006</v>
      </c>
      <c r="V522" s="493">
        <v>52.800000000000004</v>
      </c>
      <c r="W522" s="493">
        <v>51.70000000000001</v>
      </c>
      <c r="X522" s="493">
        <v>50.600000000000009</v>
      </c>
      <c r="Y522" s="493">
        <v>49.500000000000007</v>
      </c>
      <c r="Z522" s="493">
        <v>47.63000000000001</v>
      </c>
      <c r="AA522" s="493">
        <v>45.760000000000005</v>
      </c>
      <c r="AB522" s="493">
        <v>43.890000000000008</v>
      </c>
      <c r="AC522" s="493">
        <v>42.02</v>
      </c>
      <c r="AD522" s="493">
        <v>40.150000000000006</v>
      </c>
      <c r="AE522" s="493">
        <v>38.280000000000008</v>
      </c>
      <c r="AF522" s="493">
        <v>36.410000000000004</v>
      </c>
      <c r="AG522" s="493">
        <v>34.540000000000006</v>
      </c>
      <c r="AH522" s="493">
        <v>32.67</v>
      </c>
      <c r="AI522" s="493">
        <v>30.800000000000004</v>
      </c>
    </row>
    <row r="523" spans="2:35" outlineLevel="1">
      <c r="B523" t="str">
        <f t="shared" si="54"/>
        <v>e-methane (DAC) - Finance cost - Asia - USD/ton fuel</v>
      </c>
      <c r="C523" t="str">
        <f>C495</f>
        <v>e-methane (DAC)</v>
      </c>
      <c r="D523" t="s">
        <v>1366</v>
      </c>
      <c r="E523" t="s">
        <v>750</v>
      </c>
      <c r="F523" t="s">
        <v>1353</v>
      </c>
      <c r="G523" s="487" t="str">
        <f t="shared" si="55"/>
        <v>e-methane (DAC)AsiaFinance cost</v>
      </c>
      <c r="H523" s="493">
        <v>84.810000000000016</v>
      </c>
      <c r="I523" s="493">
        <v>80.080000000000013</v>
      </c>
      <c r="J523" s="493">
        <v>75.350000000000009</v>
      </c>
      <c r="K523" s="493">
        <v>72.38000000000001</v>
      </c>
      <c r="L523" s="493">
        <v>69.410000000000011</v>
      </c>
      <c r="M523" s="493">
        <v>66.440000000000012</v>
      </c>
      <c r="N523" s="493">
        <v>63.470000000000006</v>
      </c>
      <c r="O523" s="493">
        <v>60.500000000000007</v>
      </c>
      <c r="P523" s="493">
        <v>59.400000000000006</v>
      </c>
      <c r="Q523" s="493">
        <v>58.300000000000004</v>
      </c>
      <c r="R523" s="493">
        <v>57.20000000000001</v>
      </c>
      <c r="S523" s="493">
        <v>56.100000000000009</v>
      </c>
      <c r="T523" s="493">
        <v>55.000000000000007</v>
      </c>
      <c r="U523" s="493">
        <v>53.900000000000006</v>
      </c>
      <c r="V523" s="493">
        <v>52.800000000000004</v>
      </c>
      <c r="W523" s="493">
        <v>51.70000000000001</v>
      </c>
      <c r="X523" s="493">
        <v>50.600000000000009</v>
      </c>
      <c r="Y523" s="493">
        <v>49.500000000000007</v>
      </c>
      <c r="Z523" s="493">
        <v>47.63000000000001</v>
      </c>
      <c r="AA523" s="493">
        <v>45.760000000000005</v>
      </c>
      <c r="AB523" s="493">
        <v>43.890000000000008</v>
      </c>
      <c r="AC523" s="493">
        <v>42.02</v>
      </c>
      <c r="AD523" s="493">
        <v>40.150000000000006</v>
      </c>
      <c r="AE523" s="493">
        <v>38.280000000000008</v>
      </c>
      <c r="AF523" s="493">
        <v>36.410000000000004</v>
      </c>
      <c r="AG523" s="493">
        <v>34.540000000000006</v>
      </c>
      <c r="AH523" s="493">
        <v>32.67</v>
      </c>
      <c r="AI523" s="493">
        <v>30.800000000000004</v>
      </c>
    </row>
    <row r="524" spans="2:35" outlineLevel="1">
      <c r="B524" t="str">
        <f t="shared" si="54"/>
        <v>e-methane (DAC) - Finance cost - Europe - USD/ton fuel</v>
      </c>
      <c r="C524" t="str">
        <f>C495</f>
        <v>e-methane (DAC)</v>
      </c>
      <c r="D524" t="s">
        <v>1366</v>
      </c>
      <c r="E524" t="s">
        <v>720</v>
      </c>
      <c r="F524" t="s">
        <v>1353</v>
      </c>
      <c r="G524" s="487" t="str">
        <f t="shared" si="55"/>
        <v>e-methane (DAC)EuropeFinance cost</v>
      </c>
      <c r="H524" s="493">
        <v>84.810000000000016</v>
      </c>
      <c r="I524" s="493">
        <v>80.080000000000013</v>
      </c>
      <c r="J524" s="493">
        <v>75.350000000000009</v>
      </c>
      <c r="K524" s="493">
        <v>72.38000000000001</v>
      </c>
      <c r="L524" s="493">
        <v>69.410000000000011</v>
      </c>
      <c r="M524" s="493">
        <v>66.440000000000012</v>
      </c>
      <c r="N524" s="493">
        <v>63.470000000000006</v>
      </c>
      <c r="O524" s="493">
        <v>60.500000000000007</v>
      </c>
      <c r="P524" s="493">
        <v>59.400000000000006</v>
      </c>
      <c r="Q524" s="493">
        <v>58.300000000000004</v>
      </c>
      <c r="R524" s="493">
        <v>57.20000000000001</v>
      </c>
      <c r="S524" s="493">
        <v>56.100000000000009</v>
      </c>
      <c r="T524" s="493">
        <v>55.000000000000007</v>
      </c>
      <c r="U524" s="493">
        <v>53.900000000000006</v>
      </c>
      <c r="V524" s="493">
        <v>52.800000000000004</v>
      </c>
      <c r="W524" s="493">
        <v>51.70000000000001</v>
      </c>
      <c r="X524" s="493">
        <v>50.600000000000009</v>
      </c>
      <c r="Y524" s="493">
        <v>49.500000000000007</v>
      </c>
      <c r="Z524" s="493">
        <v>47.63000000000001</v>
      </c>
      <c r="AA524" s="493">
        <v>45.760000000000005</v>
      </c>
      <c r="AB524" s="493">
        <v>43.890000000000008</v>
      </c>
      <c r="AC524" s="493">
        <v>42.02</v>
      </c>
      <c r="AD524" s="493">
        <v>40.150000000000006</v>
      </c>
      <c r="AE524" s="493">
        <v>38.280000000000008</v>
      </c>
      <c r="AF524" s="493">
        <v>36.410000000000004</v>
      </c>
      <c r="AG524" s="493">
        <v>34.540000000000006</v>
      </c>
      <c r="AH524" s="493">
        <v>32.67</v>
      </c>
      <c r="AI524" s="493">
        <v>30.800000000000004</v>
      </c>
    </row>
    <row r="525" spans="2:35" outlineLevel="1">
      <c r="B525" t="str">
        <f t="shared" si="54"/>
        <v>e-methane (DAC) - Finance cost - Middle East - USD/ton fuel</v>
      </c>
      <c r="C525" t="str">
        <f>C495</f>
        <v>e-methane (DAC)</v>
      </c>
      <c r="D525" t="s">
        <v>1366</v>
      </c>
      <c r="E525" t="s">
        <v>826</v>
      </c>
      <c r="F525" t="s">
        <v>1353</v>
      </c>
      <c r="G525" s="487" t="str">
        <f t="shared" si="55"/>
        <v>e-methane (DAC)Middle EastFinance cost</v>
      </c>
      <c r="H525" s="493">
        <v>84.810000000000016</v>
      </c>
      <c r="I525" s="493">
        <v>80.080000000000013</v>
      </c>
      <c r="J525" s="493">
        <v>75.350000000000009</v>
      </c>
      <c r="K525" s="493">
        <v>72.38000000000001</v>
      </c>
      <c r="L525" s="493">
        <v>69.410000000000011</v>
      </c>
      <c r="M525" s="493">
        <v>66.440000000000012</v>
      </c>
      <c r="N525" s="493">
        <v>63.470000000000006</v>
      </c>
      <c r="O525" s="493">
        <v>60.500000000000007</v>
      </c>
      <c r="P525" s="493">
        <v>59.400000000000006</v>
      </c>
      <c r="Q525" s="493">
        <v>58.300000000000004</v>
      </c>
      <c r="R525" s="493">
        <v>57.20000000000001</v>
      </c>
      <c r="S525" s="493">
        <v>56.100000000000009</v>
      </c>
      <c r="T525" s="493">
        <v>55.000000000000007</v>
      </c>
      <c r="U525" s="493">
        <v>53.900000000000006</v>
      </c>
      <c r="V525" s="493">
        <v>52.800000000000004</v>
      </c>
      <c r="W525" s="493">
        <v>51.70000000000001</v>
      </c>
      <c r="X525" s="493">
        <v>50.600000000000009</v>
      </c>
      <c r="Y525" s="493">
        <v>49.500000000000007</v>
      </c>
      <c r="Z525" s="493">
        <v>47.63000000000001</v>
      </c>
      <c r="AA525" s="493">
        <v>45.760000000000005</v>
      </c>
      <c r="AB525" s="493">
        <v>43.890000000000008</v>
      </c>
      <c r="AC525" s="493">
        <v>42.02</v>
      </c>
      <c r="AD525" s="493">
        <v>40.150000000000006</v>
      </c>
      <c r="AE525" s="493">
        <v>38.280000000000008</v>
      </c>
      <c r="AF525" s="493">
        <v>36.410000000000004</v>
      </c>
      <c r="AG525" s="493">
        <v>34.540000000000006</v>
      </c>
      <c r="AH525" s="493">
        <v>32.67</v>
      </c>
      <c r="AI525" s="493">
        <v>30.800000000000004</v>
      </c>
    </row>
    <row r="526" spans="2:35" outlineLevel="1">
      <c r="B526" t="str">
        <f t="shared" si="54"/>
        <v>e-hydrogen (compressed) - Finance cost including feedstock finance cost - Africa - USD/ton fuel</v>
      </c>
      <c r="C526" t="s">
        <v>722</v>
      </c>
      <c r="D526" t="s">
        <v>1365</v>
      </c>
      <c r="E526" t="s">
        <v>838</v>
      </c>
      <c r="F526" t="s">
        <v>1353</v>
      </c>
      <c r="G526" s="487" t="str">
        <f t="shared" si="55"/>
        <v>e-hydrogen (compressed)AfricaFinance cost including feedstock finance cost</v>
      </c>
      <c r="H526" s="507">
        <v>423.4664833247287</v>
      </c>
      <c r="I526" s="507">
        <v>407.9080597487058</v>
      </c>
      <c r="J526" s="507">
        <v>391.93778538812398</v>
      </c>
      <c r="K526" s="507">
        <v>383.67894989578463</v>
      </c>
      <c r="L526" s="507">
        <v>374.65498754747659</v>
      </c>
      <c r="M526" s="507">
        <v>364.86589834320779</v>
      </c>
      <c r="N526" s="507">
        <v>354.31168228298088</v>
      </c>
      <c r="O526" s="507">
        <v>342.99233936678479</v>
      </c>
      <c r="P526" s="507">
        <v>350.20750340232428</v>
      </c>
      <c r="Q526" s="507">
        <v>355.6383130013013</v>
      </c>
      <c r="R526" s="507">
        <v>359.28476816371159</v>
      </c>
      <c r="S526" s="507">
        <v>361.14686888954691</v>
      </c>
      <c r="T526" s="507">
        <v>361.22461517882164</v>
      </c>
      <c r="U526" s="507">
        <v>358.40192634457429</v>
      </c>
      <c r="V526" s="507">
        <v>354.10652475046084</v>
      </c>
      <c r="W526" s="507">
        <v>348.33841039649622</v>
      </c>
      <c r="X526" s="507">
        <v>341.09758328266571</v>
      </c>
      <c r="Y526" s="507">
        <v>332.38404340896386</v>
      </c>
      <c r="Z526" s="507">
        <v>321.22576094613464</v>
      </c>
      <c r="AA526" s="507">
        <v>308.95623454830633</v>
      </c>
      <c r="AB526" s="507">
        <v>295.57546421549114</v>
      </c>
      <c r="AC526" s="507">
        <v>281.08344994768112</v>
      </c>
      <c r="AD526" s="507">
        <v>265.48019174487365</v>
      </c>
      <c r="AE526" s="507">
        <v>248.55741402200647</v>
      </c>
      <c r="AF526" s="507">
        <v>230.93955849750063</v>
      </c>
      <c r="AG526" s="507">
        <v>212.62662517135635</v>
      </c>
      <c r="AH526" s="507">
        <v>193.61861404357347</v>
      </c>
      <c r="AI526" s="507">
        <v>173.9155251141523</v>
      </c>
    </row>
    <row r="527" spans="2:35" outlineLevel="1">
      <c r="B527" t="str">
        <f t="shared" si="54"/>
        <v>e-hydrogen (compressed) - Finance cost including feedstock finance cost - Americas - USD/ton fuel</v>
      </c>
      <c r="C527" t="s">
        <v>722</v>
      </c>
      <c r="D527" t="s">
        <v>1365</v>
      </c>
      <c r="E527" t="s">
        <v>731</v>
      </c>
      <c r="F527" t="s">
        <v>1353</v>
      </c>
      <c r="G527" s="487" t="str">
        <f t="shared" si="55"/>
        <v>e-hydrogen (compressed)AmericasFinance cost including feedstock finance cost</v>
      </c>
      <c r="H527" s="507">
        <v>423.4664833247287</v>
      </c>
      <c r="I527" s="507">
        <v>407.9080597487058</v>
      </c>
      <c r="J527" s="507">
        <v>391.93778538812398</v>
      </c>
      <c r="K527" s="507">
        <v>383.67894989578463</v>
      </c>
      <c r="L527" s="507">
        <v>374.65498754747659</v>
      </c>
      <c r="M527" s="507">
        <v>364.86589834320779</v>
      </c>
      <c r="N527" s="507">
        <v>354.31168228298088</v>
      </c>
      <c r="O527" s="507">
        <v>342.99233936678479</v>
      </c>
      <c r="P527" s="507">
        <v>350.20750340232428</v>
      </c>
      <c r="Q527" s="507">
        <v>355.6383130013013</v>
      </c>
      <c r="R527" s="507">
        <v>359.28476816371159</v>
      </c>
      <c r="S527" s="507">
        <v>361.14686888954691</v>
      </c>
      <c r="T527" s="507">
        <v>361.22461517882164</v>
      </c>
      <c r="U527" s="507">
        <v>358.40192634457429</v>
      </c>
      <c r="V527" s="507">
        <v>354.10652475046084</v>
      </c>
      <c r="W527" s="507">
        <v>348.33841039649622</v>
      </c>
      <c r="X527" s="507">
        <v>341.09758328266571</v>
      </c>
      <c r="Y527" s="507">
        <v>332.38404340896386</v>
      </c>
      <c r="Z527" s="507">
        <v>321.22576094613464</v>
      </c>
      <c r="AA527" s="507">
        <v>308.95623454830633</v>
      </c>
      <c r="AB527" s="507">
        <v>295.57546421549114</v>
      </c>
      <c r="AC527" s="507">
        <v>281.08344994768112</v>
      </c>
      <c r="AD527" s="507">
        <v>265.48019174487365</v>
      </c>
      <c r="AE527" s="507">
        <v>248.55741402200647</v>
      </c>
      <c r="AF527" s="507">
        <v>230.93955849750063</v>
      </c>
      <c r="AG527" s="507">
        <v>212.62662517135635</v>
      </c>
      <c r="AH527" s="507">
        <v>193.61861404357347</v>
      </c>
      <c r="AI527" s="507">
        <v>173.9155251141523</v>
      </c>
    </row>
    <row r="528" spans="2:35" outlineLevel="1">
      <c r="B528" t="str">
        <f t="shared" si="54"/>
        <v>e-hydrogen (compressed) - Finance cost including feedstock finance cost - Asia - USD/ton fuel</v>
      </c>
      <c r="C528" t="s">
        <v>722</v>
      </c>
      <c r="D528" t="s">
        <v>1365</v>
      </c>
      <c r="E528" t="s">
        <v>750</v>
      </c>
      <c r="F528" t="s">
        <v>1353</v>
      </c>
      <c r="G528" s="487" t="str">
        <f t="shared" si="55"/>
        <v>e-hydrogen (compressed)AsiaFinance cost including feedstock finance cost</v>
      </c>
      <c r="H528" s="507">
        <v>423.4664833247287</v>
      </c>
      <c r="I528" s="507">
        <v>407.9080597487058</v>
      </c>
      <c r="J528" s="507">
        <v>391.93778538812398</v>
      </c>
      <c r="K528" s="507">
        <v>383.67894989578463</v>
      </c>
      <c r="L528" s="507">
        <v>374.65498754747659</v>
      </c>
      <c r="M528" s="507">
        <v>364.86589834320779</v>
      </c>
      <c r="N528" s="507">
        <v>354.31168228298088</v>
      </c>
      <c r="O528" s="507">
        <v>342.99233936678479</v>
      </c>
      <c r="P528" s="507">
        <v>350.20750340232428</v>
      </c>
      <c r="Q528" s="507">
        <v>355.6383130013013</v>
      </c>
      <c r="R528" s="507">
        <v>359.28476816371159</v>
      </c>
      <c r="S528" s="507">
        <v>361.14686888954691</v>
      </c>
      <c r="T528" s="507">
        <v>361.22461517882164</v>
      </c>
      <c r="U528" s="507">
        <v>358.40192634457429</v>
      </c>
      <c r="V528" s="507">
        <v>354.10652475046084</v>
      </c>
      <c r="W528" s="507">
        <v>348.33841039649622</v>
      </c>
      <c r="X528" s="507">
        <v>341.09758328266571</v>
      </c>
      <c r="Y528" s="507">
        <v>332.38404340896386</v>
      </c>
      <c r="Z528" s="507">
        <v>321.22576094613464</v>
      </c>
      <c r="AA528" s="507">
        <v>308.95623454830633</v>
      </c>
      <c r="AB528" s="507">
        <v>295.57546421549114</v>
      </c>
      <c r="AC528" s="507">
        <v>281.08344994768112</v>
      </c>
      <c r="AD528" s="507">
        <v>265.48019174487365</v>
      </c>
      <c r="AE528" s="507">
        <v>248.55741402200647</v>
      </c>
      <c r="AF528" s="507">
        <v>230.93955849750063</v>
      </c>
      <c r="AG528" s="507">
        <v>212.62662517135635</v>
      </c>
      <c r="AH528" s="507">
        <v>193.61861404357347</v>
      </c>
      <c r="AI528" s="507">
        <v>173.9155251141523</v>
      </c>
    </row>
    <row r="529" spans="2:35" outlineLevel="1">
      <c r="B529" t="str">
        <f t="shared" si="54"/>
        <v>e-hydrogen (compressed) - Finance cost including feedstock finance cost - Europe - USD/ton fuel</v>
      </c>
      <c r="C529" t="s">
        <v>722</v>
      </c>
      <c r="D529" t="s">
        <v>1365</v>
      </c>
      <c r="E529" t="s">
        <v>720</v>
      </c>
      <c r="F529" t="s">
        <v>1353</v>
      </c>
      <c r="G529" s="487" t="str">
        <f t="shared" si="55"/>
        <v>e-hydrogen (compressed)EuropeFinance cost including feedstock finance cost</v>
      </c>
      <c r="H529" s="507">
        <v>423.4664833247287</v>
      </c>
      <c r="I529" s="507">
        <v>407.9080597487058</v>
      </c>
      <c r="J529" s="507">
        <v>391.93778538812398</v>
      </c>
      <c r="K529" s="507">
        <v>383.67894989578463</v>
      </c>
      <c r="L529" s="507">
        <v>374.65498754747659</v>
      </c>
      <c r="M529" s="507">
        <v>364.86589834320779</v>
      </c>
      <c r="N529" s="507">
        <v>354.31168228298088</v>
      </c>
      <c r="O529" s="507">
        <v>342.99233936678479</v>
      </c>
      <c r="P529" s="507">
        <v>350.20750340232428</v>
      </c>
      <c r="Q529" s="507">
        <v>355.6383130013013</v>
      </c>
      <c r="R529" s="507">
        <v>359.28476816371159</v>
      </c>
      <c r="S529" s="507">
        <v>361.14686888954691</v>
      </c>
      <c r="T529" s="507">
        <v>361.22461517882164</v>
      </c>
      <c r="U529" s="507">
        <v>358.40192634457429</v>
      </c>
      <c r="V529" s="507">
        <v>354.10652475046084</v>
      </c>
      <c r="W529" s="507">
        <v>348.33841039649622</v>
      </c>
      <c r="X529" s="507">
        <v>341.09758328266571</v>
      </c>
      <c r="Y529" s="507">
        <v>332.38404340896386</v>
      </c>
      <c r="Z529" s="507">
        <v>321.22576094613464</v>
      </c>
      <c r="AA529" s="507">
        <v>308.95623454830633</v>
      </c>
      <c r="AB529" s="507">
        <v>295.57546421549114</v>
      </c>
      <c r="AC529" s="507">
        <v>281.08344994768112</v>
      </c>
      <c r="AD529" s="507">
        <v>265.48019174487365</v>
      </c>
      <c r="AE529" s="507">
        <v>248.55741402200647</v>
      </c>
      <c r="AF529" s="507">
        <v>230.93955849750063</v>
      </c>
      <c r="AG529" s="507">
        <v>212.62662517135635</v>
      </c>
      <c r="AH529" s="507">
        <v>193.61861404357347</v>
      </c>
      <c r="AI529" s="507">
        <v>173.9155251141523</v>
      </c>
    </row>
    <row r="530" spans="2:35" outlineLevel="1">
      <c r="B530" t="str">
        <f t="shared" si="54"/>
        <v>e-hydrogen (compressed) - Finance cost including feedstock finance cost - Middle East - USD/ton fuel</v>
      </c>
      <c r="C530" t="s">
        <v>722</v>
      </c>
      <c r="D530" t="s">
        <v>1365</v>
      </c>
      <c r="E530" t="s">
        <v>826</v>
      </c>
      <c r="F530" t="s">
        <v>1353</v>
      </c>
      <c r="G530" s="487" t="str">
        <f t="shared" si="55"/>
        <v>e-hydrogen (compressed)Middle EastFinance cost including feedstock finance cost</v>
      </c>
      <c r="H530" s="507">
        <v>423.4664833247287</v>
      </c>
      <c r="I530" s="507">
        <v>407.9080597487058</v>
      </c>
      <c r="J530" s="507">
        <v>391.93778538812398</v>
      </c>
      <c r="K530" s="507">
        <v>383.67894989578463</v>
      </c>
      <c r="L530" s="507">
        <v>374.65498754747659</v>
      </c>
      <c r="M530" s="507">
        <v>364.86589834320779</v>
      </c>
      <c r="N530" s="507">
        <v>354.31168228298088</v>
      </c>
      <c r="O530" s="507">
        <v>342.99233936678479</v>
      </c>
      <c r="P530" s="507">
        <v>350.20750340232428</v>
      </c>
      <c r="Q530" s="507">
        <v>355.6383130013013</v>
      </c>
      <c r="R530" s="507">
        <v>359.28476816371159</v>
      </c>
      <c r="S530" s="507">
        <v>361.14686888954691</v>
      </c>
      <c r="T530" s="507">
        <v>361.22461517882164</v>
      </c>
      <c r="U530" s="507">
        <v>358.40192634457429</v>
      </c>
      <c r="V530" s="507">
        <v>354.10652475046084</v>
      </c>
      <c r="W530" s="507">
        <v>348.33841039649622</v>
      </c>
      <c r="X530" s="507">
        <v>341.09758328266571</v>
      </c>
      <c r="Y530" s="507">
        <v>332.38404340896386</v>
      </c>
      <c r="Z530" s="507">
        <v>321.22576094613464</v>
      </c>
      <c r="AA530" s="507">
        <v>308.95623454830633</v>
      </c>
      <c r="AB530" s="507">
        <v>295.57546421549114</v>
      </c>
      <c r="AC530" s="507">
        <v>281.08344994768112</v>
      </c>
      <c r="AD530" s="507">
        <v>265.48019174487365</v>
      </c>
      <c r="AE530" s="507">
        <v>248.55741402200647</v>
      </c>
      <c r="AF530" s="507">
        <v>230.93955849750063</v>
      </c>
      <c r="AG530" s="507">
        <v>212.62662517135635</v>
      </c>
      <c r="AH530" s="507">
        <v>193.61861404357347</v>
      </c>
      <c r="AI530" s="507">
        <v>173.9155251141523</v>
      </c>
    </row>
    <row r="531" spans="2:35" outlineLevel="1">
      <c r="B531" t="str">
        <f t="shared" si="54"/>
        <v>Carbon dioxide (DAC) - Finance cost - Africa - USD/ton fuel</v>
      </c>
      <c r="C531" t="s">
        <v>1379</v>
      </c>
      <c r="D531" t="s">
        <v>1366</v>
      </c>
      <c r="E531" t="s">
        <v>838</v>
      </c>
      <c r="F531" t="s">
        <v>1353</v>
      </c>
      <c r="G531" s="487" t="str">
        <f t="shared" si="55"/>
        <v>Carbon dioxide (DAC)AfricaFinance cost</v>
      </c>
      <c r="H531" s="493">
        <v>50.338222848099875</v>
      </c>
      <c r="I531" s="493">
        <v>48.784297130799828</v>
      </c>
      <c r="J531" s="493">
        <v>47.230371413499782</v>
      </c>
      <c r="K531" s="493">
        <v>45.895962526644261</v>
      </c>
      <c r="L531" s="493">
        <v>44.561553639788329</v>
      </c>
      <c r="M531" s="493">
        <v>43.227144752932404</v>
      </c>
      <c r="N531" s="493">
        <v>41.892735866076876</v>
      </c>
      <c r="O531" s="493">
        <v>40.558326979220951</v>
      </c>
      <c r="P531" s="493">
        <v>39.412424663881616</v>
      </c>
      <c r="Q531" s="493">
        <v>38.266522348542281</v>
      </c>
      <c r="R531" s="493">
        <v>37.120620033202542</v>
      </c>
      <c r="S531" s="493">
        <v>35.974717717863207</v>
      </c>
      <c r="T531" s="493">
        <v>34.828815402523475</v>
      </c>
      <c r="U531" s="493">
        <v>33.844790094212918</v>
      </c>
      <c r="V531" s="493">
        <v>32.860764785902361</v>
      </c>
      <c r="W531" s="493">
        <v>31.876739477592203</v>
      </c>
      <c r="X531" s="493">
        <v>30.89271416928165</v>
      </c>
      <c r="Y531" s="493">
        <v>29.908688860970891</v>
      </c>
      <c r="Z531" s="493">
        <v>29.063672846574921</v>
      </c>
      <c r="AA531" s="493">
        <v>28.218656832178752</v>
      </c>
      <c r="AB531" s="493">
        <v>27.373640817782583</v>
      </c>
      <c r="AC531" s="493">
        <v>26.528624803386414</v>
      </c>
      <c r="AD531" s="493">
        <v>25.683608788990444</v>
      </c>
      <c r="AE531" s="493">
        <v>24.946887031192276</v>
      </c>
      <c r="AF531" s="493">
        <v>24.210165273394306</v>
      </c>
      <c r="AG531" s="493">
        <v>23.473443515596138</v>
      </c>
      <c r="AH531" s="493">
        <v>22.736721757797969</v>
      </c>
      <c r="AI531" s="493">
        <v>22.000000000000004</v>
      </c>
    </row>
    <row r="532" spans="2:35" outlineLevel="1">
      <c r="B532" t="str">
        <f t="shared" si="54"/>
        <v>Carbon dioxide (DAC) - Finance cost - Americas - USD/ton fuel</v>
      </c>
      <c r="C532" t="s">
        <v>1379</v>
      </c>
      <c r="D532" t="s">
        <v>1366</v>
      </c>
      <c r="E532" t="s">
        <v>731</v>
      </c>
      <c r="F532" t="s">
        <v>1353</v>
      </c>
      <c r="G532" s="487" t="str">
        <f t="shared" si="55"/>
        <v>Carbon dioxide (DAC)AmericasFinance cost</v>
      </c>
      <c r="H532" s="493">
        <v>50.338222848099875</v>
      </c>
      <c r="I532" s="493">
        <v>48.784297130799828</v>
      </c>
      <c r="J532" s="493">
        <v>47.230371413499782</v>
      </c>
      <c r="K532" s="493">
        <v>45.895962526644261</v>
      </c>
      <c r="L532" s="493">
        <v>44.561553639788329</v>
      </c>
      <c r="M532" s="493">
        <v>43.227144752932404</v>
      </c>
      <c r="N532" s="493">
        <v>41.892735866076876</v>
      </c>
      <c r="O532" s="493">
        <v>40.558326979220951</v>
      </c>
      <c r="P532" s="493">
        <v>39.412424663881616</v>
      </c>
      <c r="Q532" s="493">
        <v>38.266522348542281</v>
      </c>
      <c r="R532" s="493">
        <v>37.120620033202542</v>
      </c>
      <c r="S532" s="493">
        <v>35.974717717863207</v>
      </c>
      <c r="T532" s="493">
        <v>34.828815402523475</v>
      </c>
      <c r="U532" s="493">
        <v>33.844790094212918</v>
      </c>
      <c r="V532" s="493">
        <v>32.860764785902361</v>
      </c>
      <c r="W532" s="493">
        <v>31.876739477592203</v>
      </c>
      <c r="X532" s="493">
        <v>30.89271416928165</v>
      </c>
      <c r="Y532" s="493">
        <v>29.908688860970891</v>
      </c>
      <c r="Z532" s="493">
        <v>29.063672846574921</v>
      </c>
      <c r="AA532" s="493">
        <v>28.218656832178752</v>
      </c>
      <c r="AB532" s="493">
        <v>27.373640817782583</v>
      </c>
      <c r="AC532" s="493">
        <v>26.528624803386414</v>
      </c>
      <c r="AD532" s="493">
        <v>25.683608788990444</v>
      </c>
      <c r="AE532" s="493">
        <v>24.946887031192276</v>
      </c>
      <c r="AF532" s="493">
        <v>24.210165273394306</v>
      </c>
      <c r="AG532" s="493">
        <v>23.473443515596138</v>
      </c>
      <c r="AH532" s="493">
        <v>22.736721757797969</v>
      </c>
      <c r="AI532" s="493">
        <v>22.000000000000004</v>
      </c>
    </row>
    <row r="533" spans="2:35" outlineLevel="1">
      <c r="B533" t="str">
        <f t="shared" si="54"/>
        <v>Carbon dioxide (DAC) - Finance cost - Asia - USD/ton fuel</v>
      </c>
      <c r="C533" t="s">
        <v>1379</v>
      </c>
      <c r="D533" t="s">
        <v>1366</v>
      </c>
      <c r="E533" t="s">
        <v>750</v>
      </c>
      <c r="F533" t="s">
        <v>1353</v>
      </c>
      <c r="G533" s="487" t="str">
        <f t="shared" si="55"/>
        <v>Carbon dioxide (DAC)AsiaFinance cost</v>
      </c>
      <c r="H533" s="493">
        <v>50.338222848099875</v>
      </c>
      <c r="I533" s="493">
        <v>48.784297130799828</v>
      </c>
      <c r="J533" s="493">
        <v>47.230371413499782</v>
      </c>
      <c r="K533" s="493">
        <v>45.895962526644261</v>
      </c>
      <c r="L533" s="493">
        <v>44.561553639788329</v>
      </c>
      <c r="M533" s="493">
        <v>43.227144752932404</v>
      </c>
      <c r="N533" s="493">
        <v>41.892735866076876</v>
      </c>
      <c r="O533" s="493">
        <v>40.558326979220951</v>
      </c>
      <c r="P533" s="493">
        <v>39.412424663881616</v>
      </c>
      <c r="Q533" s="493">
        <v>38.266522348542281</v>
      </c>
      <c r="R533" s="493">
        <v>37.120620033202542</v>
      </c>
      <c r="S533" s="493">
        <v>35.974717717863207</v>
      </c>
      <c r="T533" s="493">
        <v>34.828815402523475</v>
      </c>
      <c r="U533" s="493">
        <v>33.844790094212918</v>
      </c>
      <c r="V533" s="493">
        <v>32.860764785902361</v>
      </c>
      <c r="W533" s="493">
        <v>31.876739477592203</v>
      </c>
      <c r="X533" s="493">
        <v>30.89271416928165</v>
      </c>
      <c r="Y533" s="493">
        <v>29.908688860970891</v>
      </c>
      <c r="Z533" s="493">
        <v>29.063672846574921</v>
      </c>
      <c r="AA533" s="493">
        <v>28.218656832178752</v>
      </c>
      <c r="AB533" s="493">
        <v>27.373640817782583</v>
      </c>
      <c r="AC533" s="493">
        <v>26.528624803386414</v>
      </c>
      <c r="AD533" s="493">
        <v>25.683608788990444</v>
      </c>
      <c r="AE533" s="493">
        <v>24.946887031192276</v>
      </c>
      <c r="AF533" s="493">
        <v>24.210165273394306</v>
      </c>
      <c r="AG533" s="493">
        <v>23.473443515596138</v>
      </c>
      <c r="AH533" s="493">
        <v>22.736721757797969</v>
      </c>
      <c r="AI533" s="493">
        <v>22.000000000000004</v>
      </c>
    </row>
    <row r="534" spans="2:35" outlineLevel="1">
      <c r="B534" t="str">
        <f t="shared" si="54"/>
        <v>Carbon dioxide (DAC) - Finance cost - Europe - USD/ton fuel</v>
      </c>
      <c r="C534" t="s">
        <v>1379</v>
      </c>
      <c r="D534" t="s">
        <v>1366</v>
      </c>
      <c r="E534" t="s">
        <v>720</v>
      </c>
      <c r="F534" t="s">
        <v>1353</v>
      </c>
      <c r="G534" s="487" t="str">
        <f t="shared" si="55"/>
        <v>Carbon dioxide (DAC)EuropeFinance cost</v>
      </c>
      <c r="H534" s="493">
        <v>50.338222848099875</v>
      </c>
      <c r="I534" s="493">
        <v>48.784297130799828</v>
      </c>
      <c r="J534" s="493">
        <v>47.230371413499782</v>
      </c>
      <c r="K534" s="493">
        <v>45.895962526644261</v>
      </c>
      <c r="L534" s="493">
        <v>44.561553639788329</v>
      </c>
      <c r="M534" s="493">
        <v>43.227144752932404</v>
      </c>
      <c r="N534" s="493">
        <v>41.892735866076876</v>
      </c>
      <c r="O534" s="493">
        <v>40.558326979220951</v>
      </c>
      <c r="P534" s="493">
        <v>39.412424663881616</v>
      </c>
      <c r="Q534" s="493">
        <v>38.266522348542281</v>
      </c>
      <c r="R534" s="493">
        <v>37.120620033202542</v>
      </c>
      <c r="S534" s="493">
        <v>35.974717717863207</v>
      </c>
      <c r="T534" s="493">
        <v>34.828815402523475</v>
      </c>
      <c r="U534" s="493">
        <v>33.844790094212918</v>
      </c>
      <c r="V534" s="493">
        <v>32.860764785902361</v>
      </c>
      <c r="W534" s="493">
        <v>31.876739477592203</v>
      </c>
      <c r="X534" s="493">
        <v>30.89271416928165</v>
      </c>
      <c r="Y534" s="493">
        <v>29.908688860970891</v>
      </c>
      <c r="Z534" s="493">
        <v>29.063672846574921</v>
      </c>
      <c r="AA534" s="493">
        <v>28.218656832178752</v>
      </c>
      <c r="AB534" s="493">
        <v>27.373640817782583</v>
      </c>
      <c r="AC534" s="493">
        <v>26.528624803386414</v>
      </c>
      <c r="AD534" s="493">
        <v>25.683608788990444</v>
      </c>
      <c r="AE534" s="493">
        <v>24.946887031192276</v>
      </c>
      <c r="AF534" s="493">
        <v>24.210165273394306</v>
      </c>
      <c r="AG534" s="493">
        <v>23.473443515596138</v>
      </c>
      <c r="AH534" s="493">
        <v>22.736721757797969</v>
      </c>
      <c r="AI534" s="493">
        <v>22.000000000000004</v>
      </c>
    </row>
    <row r="535" spans="2:35" outlineLevel="1">
      <c r="B535" t="str">
        <f t="shared" si="54"/>
        <v>Carbon dioxide (DAC) - Finance cost - Middle East - USD/ton fuel</v>
      </c>
      <c r="C535" t="s">
        <v>1379</v>
      </c>
      <c r="D535" t="s">
        <v>1366</v>
      </c>
      <c r="E535" t="s">
        <v>826</v>
      </c>
      <c r="F535" t="s">
        <v>1353</v>
      </c>
      <c r="G535" s="487" t="str">
        <f t="shared" si="55"/>
        <v>Carbon dioxide (DAC)Middle EastFinance cost</v>
      </c>
      <c r="H535" s="493">
        <v>50.338222848099875</v>
      </c>
      <c r="I535" s="493">
        <v>48.784297130799828</v>
      </c>
      <c r="J535" s="493">
        <v>47.230371413499782</v>
      </c>
      <c r="K535" s="493">
        <v>45.895962526644261</v>
      </c>
      <c r="L535" s="493">
        <v>44.561553639788329</v>
      </c>
      <c r="M535" s="493">
        <v>43.227144752932404</v>
      </c>
      <c r="N535" s="493">
        <v>41.892735866076876</v>
      </c>
      <c r="O535" s="493">
        <v>40.558326979220951</v>
      </c>
      <c r="P535" s="493">
        <v>39.412424663881616</v>
      </c>
      <c r="Q535" s="493">
        <v>38.266522348542281</v>
      </c>
      <c r="R535" s="493">
        <v>37.120620033202542</v>
      </c>
      <c r="S535" s="493">
        <v>35.974717717863207</v>
      </c>
      <c r="T535" s="493">
        <v>34.828815402523475</v>
      </c>
      <c r="U535" s="493">
        <v>33.844790094212918</v>
      </c>
      <c r="V535" s="493">
        <v>32.860764785902361</v>
      </c>
      <c r="W535" s="493">
        <v>31.876739477592203</v>
      </c>
      <c r="X535" s="493">
        <v>30.89271416928165</v>
      </c>
      <c r="Y535" s="493">
        <v>29.908688860970891</v>
      </c>
      <c r="Z535" s="493">
        <v>29.063672846574921</v>
      </c>
      <c r="AA535" s="493">
        <v>28.218656832178752</v>
      </c>
      <c r="AB535" s="493">
        <v>27.373640817782583</v>
      </c>
      <c r="AC535" s="493">
        <v>26.528624803386414</v>
      </c>
      <c r="AD535" s="493">
        <v>25.683608788990444</v>
      </c>
      <c r="AE535" s="493">
        <v>24.946887031192276</v>
      </c>
      <c r="AF535" s="493">
        <v>24.210165273394306</v>
      </c>
      <c r="AG535" s="493">
        <v>23.473443515596138</v>
      </c>
      <c r="AH535" s="493">
        <v>22.736721757797969</v>
      </c>
      <c r="AI535" s="493">
        <v>22.000000000000004</v>
      </c>
    </row>
    <row r="536" spans="2:35" outlineLevel="1">
      <c r="B536" t="str">
        <f t="shared" si="54"/>
        <v>e-methane - Conversion H2 -&gt; CH4 - Global - ton H2/ton CH4</v>
      </c>
      <c r="C536" t="s">
        <v>1387</v>
      </c>
      <c r="D536" t="s">
        <v>1388</v>
      </c>
      <c r="E536" t="s">
        <v>708</v>
      </c>
      <c r="F536" t="s">
        <v>1389</v>
      </c>
      <c r="G536" s="487" t="str">
        <f t="shared" si="55"/>
        <v>e-methaneGlobalConversion H2 -&gt; CH4</v>
      </c>
      <c r="H536" s="508">
        <v>0.5</v>
      </c>
      <c r="I536" s="508">
        <v>0.5</v>
      </c>
      <c r="J536" s="508">
        <v>0.5</v>
      </c>
      <c r="K536" s="508">
        <v>0.5</v>
      </c>
      <c r="L536" s="508">
        <v>0.5</v>
      </c>
      <c r="M536" s="508">
        <v>0.5</v>
      </c>
      <c r="N536" s="508">
        <v>0.5</v>
      </c>
      <c r="O536" s="508">
        <v>0.5</v>
      </c>
      <c r="P536" s="508">
        <v>0.5</v>
      </c>
      <c r="Q536" s="508">
        <v>0.5</v>
      </c>
      <c r="R536" s="508">
        <v>0.5</v>
      </c>
      <c r="S536" s="508">
        <v>0.5</v>
      </c>
      <c r="T536" s="508">
        <v>0.5</v>
      </c>
      <c r="U536" s="508">
        <v>0.5</v>
      </c>
      <c r="V536" s="508">
        <v>0.5</v>
      </c>
      <c r="W536" s="508">
        <v>0.5</v>
      </c>
      <c r="X536" s="508">
        <v>0.5</v>
      </c>
      <c r="Y536" s="508">
        <v>0.5</v>
      </c>
      <c r="Z536" s="508">
        <v>0.5</v>
      </c>
      <c r="AA536" s="508">
        <v>0.5</v>
      </c>
      <c r="AB536" s="508">
        <v>0.5</v>
      </c>
      <c r="AC536" s="508">
        <v>0.5</v>
      </c>
      <c r="AD536" s="508">
        <v>0.5</v>
      </c>
      <c r="AE536" s="508">
        <v>0.5</v>
      </c>
      <c r="AF536" s="508">
        <v>0.5</v>
      </c>
      <c r="AG536" s="508">
        <v>0.5</v>
      </c>
      <c r="AH536" s="508">
        <v>0.5</v>
      </c>
      <c r="AI536" s="508">
        <v>0.5</v>
      </c>
    </row>
    <row r="537" spans="2:35" outlineLevel="1">
      <c r="B537" t="str">
        <f t="shared" si="54"/>
        <v>e-methane - Conversion CO2 -&gt; CH4 - Global - ton CO2/ton CH4</v>
      </c>
      <c r="C537" t="s">
        <v>1387</v>
      </c>
      <c r="D537" t="s">
        <v>1390</v>
      </c>
      <c r="E537" t="s">
        <v>708</v>
      </c>
      <c r="F537" t="s">
        <v>1391</v>
      </c>
      <c r="G537" s="487" t="str">
        <f t="shared" si="55"/>
        <v>e-methaneGlobalConversion CO2 -&gt; CH4</v>
      </c>
      <c r="H537" s="508">
        <v>2.75</v>
      </c>
      <c r="I537" s="508">
        <v>2.75</v>
      </c>
      <c r="J537" s="508">
        <v>2.75</v>
      </c>
      <c r="K537" s="508">
        <v>2.75</v>
      </c>
      <c r="L537" s="508">
        <v>2.75</v>
      </c>
      <c r="M537" s="508">
        <v>2.75</v>
      </c>
      <c r="N537" s="508">
        <v>2.75</v>
      </c>
      <c r="O537" s="508">
        <v>2.75</v>
      </c>
      <c r="P537" s="508">
        <v>2.75</v>
      </c>
      <c r="Q537" s="508">
        <v>2.75</v>
      </c>
      <c r="R537" s="508">
        <v>2.75</v>
      </c>
      <c r="S537" s="508">
        <v>2.75</v>
      </c>
      <c r="T537" s="508">
        <v>2.75</v>
      </c>
      <c r="U537" s="508">
        <v>2.75</v>
      </c>
      <c r="V537" s="508">
        <v>2.75</v>
      </c>
      <c r="W537" s="508">
        <v>2.75</v>
      </c>
      <c r="X537" s="508">
        <v>2.75</v>
      </c>
      <c r="Y537" s="508">
        <v>2.75</v>
      </c>
      <c r="Z537" s="508">
        <v>2.75</v>
      </c>
      <c r="AA537" s="508">
        <v>2.75</v>
      </c>
      <c r="AB537" s="508">
        <v>2.75</v>
      </c>
      <c r="AC537" s="508">
        <v>2.75</v>
      </c>
      <c r="AD537" s="508">
        <v>2.75</v>
      </c>
      <c r="AE537" s="508">
        <v>2.75</v>
      </c>
      <c r="AF537" s="508">
        <v>2.75</v>
      </c>
      <c r="AG537" s="508">
        <v>2.75</v>
      </c>
      <c r="AH537" s="508">
        <v>2.75</v>
      </c>
      <c r="AI537" s="508">
        <v>2.75</v>
      </c>
    </row>
    <row r="538" spans="2:35" ht="14.25" customHeight="1" outlineLevel="1">
      <c r="B538" t="str">
        <f t="shared" si="54"/>
        <v/>
      </c>
      <c r="G538" s="487" t="str">
        <f t="shared" si="55"/>
        <v/>
      </c>
      <c r="H538" s="498"/>
    </row>
    <row r="539" spans="2:35" ht="15" outlineLevel="1">
      <c r="B539" t="str">
        <f t="shared" si="54"/>
        <v>e-methane (DAC) - Energy cost including feedstock energy cost - Africa - USD/ton fuel</v>
      </c>
      <c r="C539" s="494" t="str">
        <f>C495</f>
        <v>e-methane (DAC)</v>
      </c>
      <c r="D539" s="494" t="s">
        <v>1367</v>
      </c>
      <c r="E539" s="494" t="s">
        <v>838</v>
      </c>
      <c r="F539" s="494" t="s">
        <v>1353</v>
      </c>
      <c r="G539" s="487" t="str">
        <f t="shared" si="55"/>
        <v>e-methane (DAC)AfricaEnergy cost including feedstock energy cost</v>
      </c>
      <c r="H539" s="495">
        <v>2065.9115064781317</v>
      </c>
      <c r="I539" s="495">
        <v>1816.2056885144102</v>
      </c>
      <c r="J539" s="495">
        <v>1568.1551731841992</v>
      </c>
      <c r="K539" s="495">
        <v>1494.4810754916657</v>
      </c>
      <c r="L539" s="495">
        <v>1421.0294615842026</v>
      </c>
      <c r="M539" s="495">
        <v>1347.8517248827388</v>
      </c>
      <c r="N539" s="495">
        <v>1274.9992588082227</v>
      </c>
      <c r="O539" s="495">
        <v>1202.523456781601</v>
      </c>
      <c r="P539" s="495">
        <v>1156.9056847261252</v>
      </c>
      <c r="Q539" s="495">
        <v>1111.571972925977</v>
      </c>
      <c r="R539" s="495">
        <v>1066.5500031993777</v>
      </c>
      <c r="S539" s="495">
        <v>1021.8674573645987</v>
      </c>
      <c r="T539" s="495">
        <v>977.55201723990808</v>
      </c>
      <c r="U539" s="495">
        <v>952.16024934545385</v>
      </c>
      <c r="V539" s="495">
        <v>926.9015266088096</v>
      </c>
      <c r="W539" s="495">
        <v>901.78488171246556</v>
      </c>
      <c r="X539" s="495">
        <v>876.81934733886408</v>
      </c>
      <c r="Y539" s="495">
        <v>852.01395617049229</v>
      </c>
      <c r="Z539" s="495">
        <v>825.36312480180709</v>
      </c>
      <c r="AA539" s="495">
        <v>799.2077957885972</v>
      </c>
      <c r="AB539" s="495">
        <v>773.54268706163634</v>
      </c>
      <c r="AC539" s="495">
        <v>748.36251655168849</v>
      </c>
      <c r="AD539" s="495">
        <v>723.66200218951758</v>
      </c>
      <c r="AE539" s="495">
        <v>708.28800657453803</v>
      </c>
      <c r="AF539" s="495">
        <v>693.18469780509781</v>
      </c>
      <c r="AG539" s="495">
        <v>678.34874740504574</v>
      </c>
      <c r="AH539" s="495">
        <v>663.77682689824383</v>
      </c>
      <c r="AI539" s="495">
        <v>649.46560780855475</v>
      </c>
    </row>
    <row r="540" spans="2:35" ht="15" outlineLevel="1">
      <c r="B540" t="str">
        <f t="shared" si="54"/>
        <v>e-methane (DAC) - Energy cost including feedstock energy cost - Americas - USD/ton fuel</v>
      </c>
      <c r="C540" s="22" t="str">
        <f>C495</f>
        <v>e-methane (DAC)</v>
      </c>
      <c r="D540" s="22" t="s">
        <v>1367</v>
      </c>
      <c r="E540" s="22" t="s">
        <v>731</v>
      </c>
      <c r="F540" s="22" t="s">
        <v>1353</v>
      </c>
      <c r="G540" s="487" t="str">
        <f t="shared" si="55"/>
        <v>e-methane (DAC)AmericasEnergy cost including feedstock energy cost</v>
      </c>
      <c r="H540" s="496">
        <v>1298.0429404602576</v>
      </c>
      <c r="I540" s="496">
        <v>1266.2032743168902</v>
      </c>
      <c r="J540" s="496">
        <v>1234.386402122653</v>
      </c>
      <c r="K540" s="496">
        <v>1184.0912715606996</v>
      </c>
      <c r="L540" s="496">
        <v>1133.8994803645403</v>
      </c>
      <c r="M540" s="496">
        <v>1083.8455602096992</v>
      </c>
      <c r="N540" s="496">
        <v>1033.9640427717454</v>
      </c>
      <c r="O540" s="496">
        <v>984.28945972616043</v>
      </c>
      <c r="P540" s="496">
        <v>955.62326061585327</v>
      </c>
      <c r="Q540" s="496">
        <v>927.04892929159496</v>
      </c>
      <c r="R540" s="496">
        <v>898.5825004666151</v>
      </c>
      <c r="S540" s="496">
        <v>870.24000885414569</v>
      </c>
      <c r="T540" s="496">
        <v>842.03748916744837</v>
      </c>
      <c r="U540" s="496">
        <v>817.94124319594664</v>
      </c>
      <c r="V540" s="496">
        <v>794.00205118705526</v>
      </c>
      <c r="W540" s="496">
        <v>770.22892416319587</v>
      </c>
      <c r="X540" s="496">
        <v>746.63087314674999</v>
      </c>
      <c r="Y540" s="496">
        <v>723.21690916012312</v>
      </c>
      <c r="Z540" s="496">
        <v>707.88951882953495</v>
      </c>
      <c r="AA540" s="496">
        <v>692.79838743804066</v>
      </c>
      <c r="AB540" s="496">
        <v>677.94145047693223</v>
      </c>
      <c r="AC540" s="496">
        <v>663.31664343746991</v>
      </c>
      <c r="AD540" s="496">
        <v>648.92190181094065</v>
      </c>
      <c r="AE540" s="496">
        <v>637.30970109493126</v>
      </c>
      <c r="AF540" s="496">
        <v>625.8921093409075</v>
      </c>
      <c r="AG540" s="496">
        <v>614.66712692491421</v>
      </c>
      <c r="AH540" s="496">
        <v>603.63275422300069</v>
      </c>
      <c r="AI540" s="496">
        <v>592.78699161121574</v>
      </c>
    </row>
    <row r="541" spans="2:35" ht="15" outlineLevel="1">
      <c r="B541" t="str">
        <f t="shared" si="54"/>
        <v>e-methane (DAC) - Energy cost including feedstock energy cost - Asia - USD/ton fuel</v>
      </c>
      <c r="C541" s="22" t="str">
        <f>C495</f>
        <v>e-methane (DAC)</v>
      </c>
      <c r="D541" s="22" t="s">
        <v>1367</v>
      </c>
      <c r="E541" s="22" t="s">
        <v>750</v>
      </c>
      <c r="F541" s="22" t="s">
        <v>1353</v>
      </c>
      <c r="G541" s="487" t="str">
        <f t="shared" si="55"/>
        <v>e-methane (DAC)AsiaEnergy cost including feedstock energy cost</v>
      </c>
      <c r="H541" s="496">
        <v>2297.7230253986763</v>
      </c>
      <c r="I541" s="496">
        <v>2087.6362389213568</v>
      </c>
      <c r="J541" s="496">
        <v>1878.8402897736867</v>
      </c>
      <c r="K541" s="496">
        <v>1799.0650970584363</v>
      </c>
      <c r="L541" s="496">
        <v>1719.4772411156632</v>
      </c>
      <c r="M541" s="496">
        <v>1640.1317609771024</v>
      </c>
      <c r="N541" s="496">
        <v>1561.0836956746271</v>
      </c>
      <c r="O541" s="496">
        <v>1482.3880842400479</v>
      </c>
      <c r="P541" s="496">
        <v>1423.5697715589893</v>
      </c>
      <c r="Q541" s="496">
        <v>1365.1435293946186</v>
      </c>
      <c r="R541" s="496">
        <v>1307.1454552676882</v>
      </c>
      <c r="S541" s="496">
        <v>1249.6116466989245</v>
      </c>
      <c r="T541" s="496">
        <v>1192.5782012091481</v>
      </c>
      <c r="U541" s="496">
        <v>1158.5213675361592</v>
      </c>
      <c r="V541" s="496">
        <v>1124.6856203288783</v>
      </c>
      <c r="W541" s="496">
        <v>1091.0836827976705</v>
      </c>
      <c r="X541" s="496">
        <v>1057.7282781528074</v>
      </c>
      <c r="Y541" s="496">
        <v>1024.6321296046476</v>
      </c>
      <c r="Z541" s="496">
        <v>988.8983630293983</v>
      </c>
      <c r="AA541" s="496">
        <v>953.85357027926557</v>
      </c>
      <c r="AB541" s="496">
        <v>919.49017761608172</v>
      </c>
      <c r="AC541" s="496">
        <v>885.80061130167041</v>
      </c>
      <c r="AD541" s="496">
        <v>852.77729759785734</v>
      </c>
      <c r="AE541" s="496">
        <v>833.47577499291606</v>
      </c>
      <c r="AF541" s="496">
        <v>814.51945442019689</v>
      </c>
      <c r="AG541" s="496">
        <v>795.90387680351751</v>
      </c>
      <c r="AH541" s="496">
        <v>777.62458306668987</v>
      </c>
      <c r="AI541" s="496">
        <v>759.67711413352572</v>
      </c>
    </row>
    <row r="542" spans="2:35" ht="15" outlineLevel="1">
      <c r="B542" t="str">
        <f t="shared" si="54"/>
        <v>e-methane (DAC) - Energy cost including feedstock energy cost - Europe - USD/ton fuel</v>
      </c>
      <c r="C542" s="22" t="str">
        <f>C495</f>
        <v>e-methane (DAC)</v>
      </c>
      <c r="D542" s="22" t="s">
        <v>1367</v>
      </c>
      <c r="E542" s="22" t="s">
        <v>720</v>
      </c>
      <c r="F542" s="22" t="s">
        <v>1353</v>
      </c>
      <c r="G542" s="487" t="str">
        <f t="shared" si="55"/>
        <v>e-methane (DAC)EuropeEnergy cost including feedstock energy cost</v>
      </c>
      <c r="H542" s="496">
        <v>1710.5303315002991</v>
      </c>
      <c r="I542" s="496">
        <v>1630.4217449138359</v>
      </c>
      <c r="J542" s="496">
        <v>1550.6535363441499</v>
      </c>
      <c r="K542" s="496">
        <v>1485.014900006393</v>
      </c>
      <c r="L542" s="496">
        <v>1419.5289953075978</v>
      </c>
      <c r="M542" s="496">
        <v>1354.2410920486038</v>
      </c>
      <c r="N542" s="496">
        <v>1289.1964600302229</v>
      </c>
      <c r="O542" s="496">
        <v>1224.440369053279</v>
      </c>
      <c r="P542" s="496">
        <v>1191.1330705552627</v>
      </c>
      <c r="Q542" s="496">
        <v>1157.9018973627947</v>
      </c>
      <c r="R542" s="496">
        <v>1124.7649994351091</v>
      </c>
      <c r="S542" s="496">
        <v>1091.7405267314809</v>
      </c>
      <c r="T542" s="496">
        <v>1058.8466292112266</v>
      </c>
      <c r="U542" s="496">
        <v>1035.4494164566113</v>
      </c>
      <c r="V542" s="496">
        <v>1012.1179490475391</v>
      </c>
      <c r="W542" s="496">
        <v>988.85973940737767</v>
      </c>
      <c r="X542" s="496">
        <v>965.68229995943295</v>
      </c>
      <c r="Y542" s="496">
        <v>942.5931431270501</v>
      </c>
      <c r="Z542" s="496">
        <v>916.947861171368</v>
      </c>
      <c r="AA542" s="496">
        <v>891.75375031941905</v>
      </c>
      <c r="AB542" s="496">
        <v>867.00624000252174</v>
      </c>
      <c r="AC542" s="496">
        <v>842.70075965194633</v>
      </c>
      <c r="AD542" s="496">
        <v>818.83273869900438</v>
      </c>
      <c r="AE542" s="496">
        <v>800.30003049381844</v>
      </c>
      <c r="AF542" s="496">
        <v>782.09877208032856</v>
      </c>
      <c r="AG542" s="496">
        <v>764.22468211149385</v>
      </c>
      <c r="AH542" s="496">
        <v>746.67347924026785</v>
      </c>
      <c r="AI542" s="496">
        <v>729.440882119604</v>
      </c>
    </row>
    <row r="543" spans="2:35" ht="15" outlineLevel="1">
      <c r="B543" t="str">
        <f t="shared" si="54"/>
        <v>e-methane (DAC) - Energy cost including feedstock energy cost - Middle East - USD/ton fuel</v>
      </c>
      <c r="C543" s="92" t="str">
        <f>C495</f>
        <v>e-methane (DAC)</v>
      </c>
      <c r="D543" s="92" t="s">
        <v>1367</v>
      </c>
      <c r="E543" s="92" t="s">
        <v>826</v>
      </c>
      <c r="F543" s="92" t="s">
        <v>1353</v>
      </c>
      <c r="G543" s="487" t="str">
        <f t="shared" si="55"/>
        <v>e-methane (DAC)Middle EastEnergy cost including feedstock energy cost</v>
      </c>
      <c r="H543" s="497">
        <v>1309.8296125480986</v>
      </c>
      <c r="I543" s="497">
        <v>1247.1457443584529</v>
      </c>
      <c r="J543" s="497">
        <v>1184.7334283824084</v>
      </c>
      <c r="K543" s="497">
        <v>1141.7382050886758</v>
      </c>
      <c r="L543" s="497">
        <v>1098.7929539305583</v>
      </c>
      <c r="M543" s="497">
        <v>1055.9267574468836</v>
      </c>
      <c r="N543" s="497">
        <v>1013.1686981765089</v>
      </c>
      <c r="O543" s="497">
        <v>970.54785865825102</v>
      </c>
      <c r="P543" s="497">
        <v>937.07487923879421</v>
      </c>
      <c r="Q543" s="497">
        <v>903.77692283338126</v>
      </c>
      <c r="R543" s="497">
        <v>870.67377683934467</v>
      </c>
      <c r="S543" s="497">
        <v>837.78522865405046</v>
      </c>
      <c r="T543" s="497">
        <v>805.1310656748733</v>
      </c>
      <c r="U543" s="497">
        <v>785.23309539639058</v>
      </c>
      <c r="V543" s="497">
        <v>765.42532939327884</v>
      </c>
      <c r="W543" s="497">
        <v>745.71464558351636</v>
      </c>
      <c r="X543" s="497">
        <v>726.1079218850216</v>
      </c>
      <c r="Y543" s="497">
        <v>706.61203621575862</v>
      </c>
      <c r="Z543" s="497">
        <v>682.25136111740233</v>
      </c>
      <c r="AA543" s="497">
        <v>658.35868768229193</v>
      </c>
      <c r="AB543" s="497">
        <v>634.92888646328834</v>
      </c>
      <c r="AC543" s="497">
        <v>611.95682801324256</v>
      </c>
      <c r="AD543" s="497">
        <v>589.43738288500958</v>
      </c>
      <c r="AE543" s="497">
        <v>576.09603907822532</v>
      </c>
      <c r="AF543" s="497">
        <v>562.99330204414923</v>
      </c>
      <c r="AG543" s="497">
        <v>550.12608959829527</v>
      </c>
      <c r="AH543" s="497">
        <v>537.49131955618486</v>
      </c>
      <c r="AI543" s="497">
        <v>525.08590973333946</v>
      </c>
    </row>
    <row r="544" spans="2:35" outlineLevel="1">
      <c r="B544" t="str">
        <f t="shared" si="54"/>
        <v>e-methane (DAC) - Energy cost - Africa - USD/ton fuel</v>
      </c>
      <c r="C544" t="str">
        <f>C495</f>
        <v>e-methane (DAC)</v>
      </c>
      <c r="D544" t="s">
        <v>1368</v>
      </c>
      <c r="E544" t="s">
        <v>838</v>
      </c>
      <c r="F544" t="s">
        <v>1353</v>
      </c>
      <c r="G544" s="487" t="str">
        <f t="shared" si="55"/>
        <v>e-methane (DAC)AfricaEnergy cost</v>
      </c>
      <c r="H544" s="493">
        <v>23.35592277220567</v>
      </c>
      <c r="I544" s="493">
        <v>20.613318498263837</v>
      </c>
      <c r="J544" s="493">
        <v>17.870714224321272</v>
      </c>
      <c r="K544" s="493">
        <v>17.106169874015542</v>
      </c>
      <c r="L544" s="493">
        <v>16.341625523709808</v>
      </c>
      <c r="M544" s="493">
        <v>15.577081173404077</v>
      </c>
      <c r="N544" s="493">
        <v>14.812536823098164</v>
      </c>
      <c r="O544" s="493">
        <v>14.04799247279243</v>
      </c>
      <c r="P544" s="493">
        <v>13.621222839370786</v>
      </c>
      <c r="Q544" s="493">
        <v>13.19445320594914</v>
      </c>
      <c r="R544" s="493">
        <v>12.767683572527313</v>
      </c>
      <c r="S544" s="493">
        <v>12.340913939105668</v>
      </c>
      <c r="T544" s="493">
        <v>11.914144305684069</v>
      </c>
      <c r="U544" s="493">
        <v>11.713270851961216</v>
      </c>
      <c r="V544" s="493">
        <v>11.512397398238409</v>
      </c>
      <c r="W544" s="493">
        <v>11.311523944515557</v>
      </c>
      <c r="X544" s="493">
        <v>11.110650490792706</v>
      </c>
      <c r="Y544" s="493">
        <v>10.909777037069944</v>
      </c>
      <c r="Z544" s="493">
        <v>10.703224659738499</v>
      </c>
      <c r="AA544" s="493">
        <v>10.496672282407054</v>
      </c>
      <c r="AB544" s="493">
        <v>10.290119905075517</v>
      </c>
      <c r="AC544" s="493">
        <v>10.083567527744073</v>
      </c>
      <c r="AD544" s="493">
        <v>9.877015150412582</v>
      </c>
      <c r="AE544" s="493">
        <v>9.7756337118425574</v>
      </c>
      <c r="AF544" s="493">
        <v>9.6742522732725789</v>
      </c>
      <c r="AG544" s="493">
        <v>9.5728708347025542</v>
      </c>
      <c r="AH544" s="493">
        <v>9.4714893961325295</v>
      </c>
      <c r="AI544" s="493">
        <v>9.370107957562551</v>
      </c>
    </row>
    <row r="545" spans="2:35" outlineLevel="1">
      <c r="B545" t="str">
        <f t="shared" si="54"/>
        <v>e-methane (DAC) - Energy cost - Americas - USD/ton fuel</v>
      </c>
      <c r="C545" t="str">
        <f>C495</f>
        <v>e-methane (DAC)</v>
      </c>
      <c r="D545" t="s">
        <v>1368</v>
      </c>
      <c r="E545" t="s">
        <v>731</v>
      </c>
      <c r="F545" t="s">
        <v>1353</v>
      </c>
      <c r="G545" s="487" t="str">
        <f t="shared" si="55"/>
        <v>e-methane (DAC)AmericasEnergy cost</v>
      </c>
      <c r="H545" s="493">
        <v>14.674873815906814</v>
      </c>
      <c r="I545" s="493">
        <v>14.37097766078905</v>
      </c>
      <c r="J545" s="493">
        <v>14.067081505671196</v>
      </c>
      <c r="K545" s="493">
        <v>13.553377670568807</v>
      </c>
      <c r="L545" s="493">
        <v>13.03967383546642</v>
      </c>
      <c r="M545" s="493">
        <v>12.525970000364033</v>
      </c>
      <c r="N545" s="493">
        <v>12.012266165261828</v>
      </c>
      <c r="O545" s="493">
        <v>11.498562330159439</v>
      </c>
      <c r="P545" s="493">
        <v>11.251355711348333</v>
      </c>
      <c r="Q545" s="493">
        <v>11.004149092537228</v>
      </c>
      <c r="R545" s="493">
        <v>10.756942473726122</v>
      </c>
      <c r="S545" s="493">
        <v>10.509735854915016</v>
      </c>
      <c r="T545" s="493">
        <v>10.262529236103866</v>
      </c>
      <c r="U545" s="493">
        <v>10.062137470168636</v>
      </c>
      <c r="V545" s="493">
        <v>9.8617457042334085</v>
      </c>
      <c r="W545" s="493">
        <v>9.6613539382981344</v>
      </c>
      <c r="X545" s="493">
        <v>9.4609621723629065</v>
      </c>
      <c r="Y545" s="493">
        <v>9.2605704064276555</v>
      </c>
      <c r="Z545" s="493">
        <v>9.1798389419518571</v>
      </c>
      <c r="AA545" s="493">
        <v>9.0991074774760587</v>
      </c>
      <c r="AB545" s="493">
        <v>9.0183760130002835</v>
      </c>
      <c r="AC545" s="493">
        <v>8.9376445485244869</v>
      </c>
      <c r="AD545" s="493">
        <v>8.8569130840486885</v>
      </c>
      <c r="AE545" s="493">
        <v>8.7960069083172812</v>
      </c>
      <c r="AF545" s="493">
        <v>8.7351007325858969</v>
      </c>
      <c r="AG545" s="493">
        <v>8.6741945568545145</v>
      </c>
      <c r="AH545" s="493">
        <v>8.6132883811231302</v>
      </c>
      <c r="AI545" s="493">
        <v>8.552382205391746</v>
      </c>
    </row>
    <row r="546" spans="2:35" outlineLevel="1">
      <c r="B546" t="str">
        <f t="shared" si="54"/>
        <v>e-methane (DAC) - Energy cost - Asia - USD/ton fuel</v>
      </c>
      <c r="C546" t="str">
        <f>C495</f>
        <v>e-methane (DAC)</v>
      </c>
      <c r="D546" t="s">
        <v>1368</v>
      </c>
      <c r="E546" t="s">
        <v>750</v>
      </c>
      <c r="F546" t="s">
        <v>1353</v>
      </c>
      <c r="G546" s="487" t="str">
        <f t="shared" si="55"/>
        <v>e-methane (DAC)AsiaEnergy cost</v>
      </c>
      <c r="H546" s="493">
        <v>25.976640995923663</v>
      </c>
      <c r="I546" s="493">
        <v>23.693963174734382</v>
      </c>
      <c r="J546" s="493">
        <v>21.411285353546191</v>
      </c>
      <c r="K546" s="493">
        <v>20.592507773689434</v>
      </c>
      <c r="L546" s="493">
        <v>19.773730193833035</v>
      </c>
      <c r="M546" s="493">
        <v>18.954952613976275</v>
      </c>
      <c r="N546" s="493">
        <v>18.136175034119514</v>
      </c>
      <c r="O546" s="493">
        <v>17.317397454263119</v>
      </c>
      <c r="P546" s="493">
        <v>16.760883226524676</v>
      </c>
      <c r="Q546" s="493">
        <v>16.204368998786414</v>
      </c>
      <c r="R546" s="493">
        <v>15.647854771048333</v>
      </c>
      <c r="S546" s="493">
        <v>15.091340543310071</v>
      </c>
      <c r="T546" s="493">
        <v>14.534826315571809</v>
      </c>
      <c r="U546" s="493">
        <v>14.251880999090282</v>
      </c>
      <c r="V546" s="493">
        <v>13.968935682608754</v>
      </c>
      <c r="W546" s="493">
        <v>13.685990366127317</v>
      </c>
      <c r="X546" s="493">
        <v>13.40304504964579</v>
      </c>
      <c r="Y546" s="493">
        <v>13.120099733164444</v>
      </c>
      <c r="Z546" s="493">
        <v>12.823932917639013</v>
      </c>
      <c r="AA546" s="493">
        <v>12.527766102113674</v>
      </c>
      <c r="AB546" s="493">
        <v>12.231599286588244</v>
      </c>
      <c r="AC546" s="493">
        <v>11.935432471062905</v>
      </c>
      <c r="AD546" s="493">
        <v>11.639265655537475</v>
      </c>
      <c r="AE546" s="493">
        <v>11.503447479549278</v>
      </c>
      <c r="AF546" s="493">
        <v>11.367629303561035</v>
      </c>
      <c r="AG546" s="493">
        <v>11.231811127572838</v>
      </c>
      <c r="AH546" s="493">
        <v>11.095992951584641</v>
      </c>
      <c r="AI546" s="493">
        <v>10.960174775596398</v>
      </c>
    </row>
    <row r="547" spans="2:35" outlineLevel="1">
      <c r="B547" t="str">
        <f t="shared" si="54"/>
        <v>e-methane (DAC) - Energy cost - Europe - USD/ton fuel</v>
      </c>
      <c r="C547" t="str">
        <f>C495</f>
        <v>e-methane (DAC)</v>
      </c>
      <c r="D547" t="s">
        <v>1368</v>
      </c>
      <c r="E547" t="s">
        <v>720</v>
      </c>
      <c r="F547" t="s">
        <v>1353</v>
      </c>
      <c r="G547" s="487" t="str">
        <f t="shared" si="55"/>
        <v>e-methane (DAC)EuropeEnergy cost</v>
      </c>
      <c r="H547" s="493">
        <v>19.338202143102901</v>
      </c>
      <c r="I547" s="493">
        <v>18.504733757273062</v>
      </c>
      <c r="J547" s="493">
        <v>17.671265371443223</v>
      </c>
      <c r="K547" s="493">
        <v>16.99781787908978</v>
      </c>
      <c r="L547" s="493">
        <v>16.324370386736156</v>
      </c>
      <c r="M547" s="493">
        <v>15.650922894382711</v>
      </c>
      <c r="N547" s="493">
        <v>14.977475402029086</v>
      </c>
      <c r="O547" s="493">
        <v>14.304027909675643</v>
      </c>
      <c r="P547" s="493">
        <v>14.024210615939774</v>
      </c>
      <c r="Q547" s="493">
        <v>13.744393322204179</v>
      </c>
      <c r="R547" s="493">
        <v>13.464576028468493</v>
      </c>
      <c r="S547" s="493">
        <v>13.184758734732805</v>
      </c>
      <c r="T547" s="493">
        <v>12.904941440997209</v>
      </c>
      <c r="U547" s="493">
        <v>12.737876294246689</v>
      </c>
      <c r="V547" s="493">
        <v>12.570811147496215</v>
      </c>
      <c r="W547" s="493">
        <v>12.403746000745741</v>
      </c>
      <c r="X547" s="493">
        <v>12.236680853995267</v>
      </c>
      <c r="Y547" s="493">
        <v>12.069615707244703</v>
      </c>
      <c r="Z547" s="493">
        <v>11.890886162064181</v>
      </c>
      <c r="AA547" s="493">
        <v>11.712156616883613</v>
      </c>
      <c r="AB547" s="493">
        <v>11.533427071703091</v>
      </c>
      <c r="AC547" s="493">
        <v>11.354697526522523</v>
      </c>
      <c r="AD547" s="493">
        <v>11.175967981342001</v>
      </c>
      <c r="AE547" s="493">
        <v>11.045563224372746</v>
      </c>
      <c r="AF547" s="493">
        <v>10.915158467403444</v>
      </c>
      <c r="AG547" s="493">
        <v>10.784753710434188</v>
      </c>
      <c r="AH547" s="493">
        <v>10.654348953464932</v>
      </c>
      <c r="AI547" s="493">
        <v>10.523944196495632</v>
      </c>
    </row>
    <row r="548" spans="2:35" outlineLevel="1">
      <c r="B548" t="str">
        <f t="shared" si="54"/>
        <v>e-methane (DAC) - Energy cost - Middle East - USD/ton fuel</v>
      </c>
      <c r="C548" t="str">
        <f>C495</f>
        <v>e-methane (DAC)</v>
      </c>
      <c r="D548" t="s">
        <v>1368</v>
      </c>
      <c r="E548" t="s">
        <v>826</v>
      </c>
      <c r="F548" t="s">
        <v>1353</v>
      </c>
      <c r="G548" s="487" t="str">
        <f t="shared" si="55"/>
        <v>e-methane (DAC)Middle EastEnergy cost</v>
      </c>
      <c r="H548" s="493">
        <v>14.808126669265585</v>
      </c>
      <c r="I548" s="493">
        <v>14.154681160173642</v>
      </c>
      <c r="J548" s="493">
        <v>13.501235651081515</v>
      </c>
      <c r="K548" s="493">
        <v>13.06859485087498</v>
      </c>
      <c r="L548" s="493">
        <v>12.635954050668444</v>
      </c>
      <c r="M548" s="493">
        <v>12.203313250461907</v>
      </c>
      <c r="N548" s="493">
        <v>11.77067245025537</v>
      </c>
      <c r="O548" s="493">
        <v>11.338031650048833</v>
      </c>
      <c r="P548" s="493">
        <v>11.032970030145316</v>
      </c>
      <c r="Q548" s="493">
        <v>10.72790841024189</v>
      </c>
      <c r="R548" s="493">
        <v>10.422846790338372</v>
      </c>
      <c r="S548" s="493">
        <v>10.117785170434946</v>
      </c>
      <c r="T548" s="493">
        <v>9.8127235505315191</v>
      </c>
      <c r="U548" s="493">
        <v>9.6597688620424833</v>
      </c>
      <c r="V548" s="493">
        <v>9.5068141735534493</v>
      </c>
      <c r="W548" s="493">
        <v>9.3538594850644596</v>
      </c>
      <c r="X548" s="493">
        <v>9.2009047965754238</v>
      </c>
      <c r="Y548" s="493">
        <v>9.047950108086388</v>
      </c>
      <c r="Z548" s="493">
        <v>8.8473659326680263</v>
      </c>
      <c r="AA548" s="493">
        <v>8.6467817572497108</v>
      </c>
      <c r="AB548" s="493">
        <v>8.4461975818313473</v>
      </c>
      <c r="AC548" s="493">
        <v>8.2456134064130318</v>
      </c>
      <c r="AD548" s="493">
        <v>8.045029230994647</v>
      </c>
      <c r="AE548" s="493">
        <v>7.9511495445312228</v>
      </c>
      <c r="AF548" s="493">
        <v>7.8572698580678209</v>
      </c>
      <c r="AG548" s="493">
        <v>7.7633901716043967</v>
      </c>
      <c r="AH548" s="493">
        <v>7.6695104851409726</v>
      </c>
      <c r="AI548" s="493">
        <v>7.5756307986775715</v>
      </c>
    </row>
    <row r="549" spans="2:35" outlineLevel="1">
      <c r="B549" t="str">
        <f t="shared" si="54"/>
        <v>e-hydrogen (compressed) - Energy cost including feedstock energy cost - Africa - USD/ton fuel</v>
      </c>
      <c r="C549" t="s">
        <v>722</v>
      </c>
      <c r="D549" t="s">
        <v>1367</v>
      </c>
      <c r="E549" t="s">
        <v>838</v>
      </c>
      <c r="F549" t="s">
        <v>1353</v>
      </c>
      <c r="G549" s="487" t="str">
        <f t="shared" si="55"/>
        <v>e-hydrogen (compressed)AfricaEnergy cost including feedstock energy cost</v>
      </c>
      <c r="H549" s="507">
        <v>3160.8705964644164</v>
      </c>
      <c r="I549" s="507">
        <v>2786.523241337979</v>
      </c>
      <c r="J549" s="507">
        <v>2412.5464202833837</v>
      </c>
      <c r="K549" s="507">
        <v>2304.7344628217015</v>
      </c>
      <c r="L549" s="507">
        <v>2196.6012206586379</v>
      </c>
      <c r="M549" s="507">
        <v>2088.2494806360514</v>
      </c>
      <c r="N549" s="507">
        <v>1979.7820295958466</v>
      </c>
      <c r="O549" s="507">
        <v>1871.3016543799013</v>
      </c>
      <c r="P549" s="507">
        <v>1802.6625730422293</v>
      </c>
      <c r="Q549" s="507">
        <v>1734.1917254836167</v>
      </c>
      <c r="R549" s="507">
        <v>1665.9444753405153</v>
      </c>
      <c r="S549" s="507">
        <v>1597.976186249457</v>
      </c>
      <c r="T549" s="507">
        <v>1530.3422218469802</v>
      </c>
      <c r="U549" s="507">
        <v>1491.8507805011832</v>
      </c>
      <c r="V549" s="507">
        <v>1453.4494587457298</v>
      </c>
      <c r="W549" s="507">
        <v>1415.1563219456079</v>
      </c>
      <c r="X549" s="507">
        <v>1376.9894354656967</v>
      </c>
      <c r="Y549" s="507">
        <v>1338.9668646709708</v>
      </c>
      <c r="Z549" s="507">
        <v>1296.9598763474942</v>
      </c>
      <c r="AA549" s="507">
        <v>1255.7747230782336</v>
      </c>
      <c r="AB549" s="507">
        <v>1215.4008407247393</v>
      </c>
      <c r="AC549" s="507">
        <v>1175.8276651485323</v>
      </c>
      <c r="AD549" s="507">
        <v>1137.0446322111472</v>
      </c>
      <c r="AE549" s="507">
        <v>1113.2241368658154</v>
      </c>
      <c r="AF549" s="507">
        <v>1089.8673860112274</v>
      </c>
      <c r="AG549" s="507">
        <v>1066.9677226950826</v>
      </c>
      <c r="AH549" s="507">
        <v>1044.5184899651035</v>
      </c>
      <c r="AI549" s="507">
        <v>1022.5130308690141</v>
      </c>
    </row>
    <row r="550" spans="2:35" outlineLevel="1">
      <c r="B550" t="str">
        <f t="shared" si="54"/>
        <v>e-hydrogen (compressed) - Energy cost including feedstock energy cost - Americas - USD/ton fuel</v>
      </c>
      <c r="C550" t="s">
        <v>722</v>
      </c>
      <c r="D550" t="s">
        <v>1367</v>
      </c>
      <c r="E550" t="s">
        <v>731</v>
      </c>
      <c r="F550" t="s">
        <v>1353</v>
      </c>
      <c r="G550" s="487" t="str">
        <f t="shared" si="55"/>
        <v>e-hydrogen (compressed)AmericasEnergy cost including feedstock energy cost</v>
      </c>
      <c r="H550" s="507">
        <v>1986.022029783622</v>
      </c>
      <c r="I550" s="507">
        <v>1942.6791108821419</v>
      </c>
      <c r="J550" s="507">
        <v>1899.0560032656203</v>
      </c>
      <c r="K550" s="507">
        <v>1826.0625747933959</v>
      </c>
      <c r="L550" s="507">
        <v>1752.7609736509025</v>
      </c>
      <c r="M550" s="507">
        <v>1679.2202631891889</v>
      </c>
      <c r="N550" s="507">
        <v>1605.5095067593863</v>
      </c>
      <c r="O550" s="507">
        <v>1531.6977677124719</v>
      </c>
      <c r="P550" s="507">
        <v>1489.0291478242557</v>
      </c>
      <c r="Q550" s="507">
        <v>1446.3126288296503</v>
      </c>
      <c r="R550" s="507">
        <v>1403.5802801551172</v>
      </c>
      <c r="S550" s="507">
        <v>1360.8641712271224</v>
      </c>
      <c r="T550" s="507">
        <v>1318.196371472189</v>
      </c>
      <c r="U550" s="507">
        <v>1281.5555815366356</v>
      </c>
      <c r="V550" s="507">
        <v>1245.0533507729108</v>
      </c>
      <c r="W550" s="507">
        <v>1208.7077012258628</v>
      </c>
      <c r="X550" s="507">
        <v>1172.5366549402484</v>
      </c>
      <c r="Y550" s="507">
        <v>1136.5582339608836</v>
      </c>
      <c r="Z550" s="507">
        <v>1112.3640919011295</v>
      </c>
      <c r="AA550" s="507">
        <v>1088.5763473760965</v>
      </c>
      <c r="AB550" s="507">
        <v>1065.1908713683672</v>
      </c>
      <c r="AC550" s="507">
        <v>1042.2035348604634</v>
      </c>
      <c r="AD550" s="507">
        <v>1019.61020883496</v>
      </c>
      <c r="AE550" s="507">
        <v>1001.6667447875999</v>
      </c>
      <c r="AF550" s="507">
        <v>984.06586194466854</v>
      </c>
      <c r="AG550" s="507">
        <v>966.80356105825501</v>
      </c>
      <c r="AH550" s="507">
        <v>949.87584288045787</v>
      </c>
      <c r="AI550" s="507">
        <v>933.27870816337509</v>
      </c>
    </row>
    <row r="551" spans="2:35" outlineLevel="1">
      <c r="B551" t="str">
        <f t="shared" si="54"/>
        <v>e-hydrogen (compressed) - Energy cost including feedstock energy cost - Asia - USD/ton fuel</v>
      </c>
      <c r="C551" t="s">
        <v>722</v>
      </c>
      <c r="D551" t="s">
        <v>1367</v>
      </c>
      <c r="E551" t="s">
        <v>750</v>
      </c>
      <c r="F551" t="s">
        <v>1353</v>
      </c>
      <c r="G551" s="487" t="str">
        <f t="shared" si="55"/>
        <v>e-hydrogen (compressed)AsiaEnergy cost including feedstock energy cost</v>
      </c>
      <c r="H551" s="507">
        <v>3515.5451368694994</v>
      </c>
      <c r="I551" s="507">
        <v>3202.9670075376002</v>
      </c>
      <c r="J551" s="507">
        <v>2890.5235227287494</v>
      </c>
      <c r="K551" s="507">
        <v>2774.4528840461521</v>
      </c>
      <c r="L551" s="507">
        <v>2657.9363122554146</v>
      </c>
      <c r="M551" s="507">
        <v>2541.0838854200356</v>
      </c>
      <c r="N551" s="507">
        <v>2424.0056816037468</v>
      </c>
      <c r="O551" s="507">
        <v>2306.8117788701561</v>
      </c>
      <c r="P551" s="507">
        <v>2218.1721303505983</v>
      </c>
      <c r="Q551" s="507">
        <v>2129.7951643580186</v>
      </c>
      <c r="R551" s="507">
        <v>2041.7530759339261</v>
      </c>
      <c r="S551" s="507">
        <v>1954.1180601197893</v>
      </c>
      <c r="T551" s="507">
        <v>1866.9623119572402</v>
      </c>
      <c r="U551" s="507">
        <v>1815.1787029276168</v>
      </c>
      <c r="V551" s="507">
        <v>1763.5893988725866</v>
      </c>
      <c r="W551" s="507">
        <v>1712.219846212882</v>
      </c>
      <c r="X551" s="507">
        <v>1661.0954913690473</v>
      </c>
      <c r="Y551" s="507">
        <v>1610.2417807617942</v>
      </c>
      <c r="Z551" s="507">
        <v>1553.9360314199</v>
      </c>
      <c r="AA551" s="507">
        <v>1498.7656644323729</v>
      </c>
      <c r="AB551" s="507">
        <v>1444.7155323228835</v>
      </c>
      <c r="AC551" s="507">
        <v>1391.7704876150719</v>
      </c>
      <c r="AD551" s="507">
        <v>1339.915382832598</v>
      </c>
      <c r="AE551" s="507">
        <v>1309.9831447130568</v>
      </c>
      <c r="AF551" s="507">
        <v>1280.6373127610934</v>
      </c>
      <c r="AG551" s="507">
        <v>1251.8689688243389</v>
      </c>
      <c r="AH551" s="507">
        <v>1223.6691947504187</v>
      </c>
      <c r="AI551" s="507">
        <v>1196.0290723869578</v>
      </c>
    </row>
    <row r="552" spans="2:35" outlineLevel="1">
      <c r="B552" t="str">
        <f t="shared" si="54"/>
        <v>e-hydrogen (compressed) - Energy cost including feedstock energy cost - Europe - USD/ton fuel</v>
      </c>
      <c r="C552" t="s">
        <v>722</v>
      </c>
      <c r="D552" t="s">
        <v>1367</v>
      </c>
      <c r="E552" t="s">
        <v>720</v>
      </c>
      <c r="F552" t="s">
        <v>1353</v>
      </c>
      <c r="G552" s="487" t="str">
        <f t="shared" si="55"/>
        <v>e-hydrogen (compressed)EuropeEnergy cost including feedstock energy cost</v>
      </c>
      <c r="H552" s="507">
        <v>2617.1329276426868</v>
      </c>
      <c r="I552" s="507">
        <v>2501.4832373426843</v>
      </c>
      <c r="J552" s="507">
        <v>2385.6208251448465</v>
      </c>
      <c r="K552" s="507">
        <v>2290.1360706240293</v>
      </c>
      <c r="L552" s="507">
        <v>2194.281827469511</v>
      </c>
      <c r="M552" s="507">
        <v>2098.1486352829556</v>
      </c>
      <c r="N552" s="507">
        <v>2001.8270336660016</v>
      </c>
      <c r="O552" s="507">
        <v>1905.4075622202831</v>
      </c>
      <c r="P552" s="507">
        <v>1855.9948612502078</v>
      </c>
      <c r="Q552" s="507">
        <v>1806.4722197363817</v>
      </c>
      <c r="R552" s="507">
        <v>1756.8759375972888</v>
      </c>
      <c r="S552" s="507">
        <v>1707.2423147514785</v>
      </c>
      <c r="T552" s="507">
        <v>1657.6076511175781</v>
      </c>
      <c r="U552" s="507">
        <v>1622.348781281504</v>
      </c>
      <c r="V552" s="507">
        <v>1587.0750484272664</v>
      </c>
      <c r="W552" s="507">
        <v>1551.8014774016065</v>
      </c>
      <c r="X552" s="507">
        <v>1516.5430930511313</v>
      </c>
      <c r="Y552" s="507">
        <v>1481.3149202225381</v>
      </c>
      <c r="Z552" s="507">
        <v>1440.8743847473047</v>
      </c>
      <c r="AA552" s="507">
        <v>1401.1898091614214</v>
      </c>
      <c r="AB552" s="507">
        <v>1362.2520523275218</v>
      </c>
      <c r="AC552" s="507">
        <v>1324.0519731081486</v>
      </c>
      <c r="AD552" s="507">
        <v>1286.5804303659243</v>
      </c>
      <c r="AE552" s="507">
        <v>1257.840458133481</v>
      </c>
      <c r="AF552" s="507">
        <v>1229.6635327190136</v>
      </c>
      <c r="AG552" s="507">
        <v>1202.0410914284364</v>
      </c>
      <c r="AH552" s="507">
        <v>1174.9645715676581</v>
      </c>
      <c r="AI552" s="507">
        <v>1148.4254104425868</v>
      </c>
    </row>
    <row r="553" spans="2:35" outlineLevel="1">
      <c r="B553" t="str">
        <f t="shared" si="54"/>
        <v>e-hydrogen (compressed) - Energy cost including feedstock energy cost - Middle East - USD/ton fuel</v>
      </c>
      <c r="C553" t="s">
        <v>722</v>
      </c>
      <c r="D553" t="s">
        <v>1367</v>
      </c>
      <c r="E553" t="s">
        <v>826</v>
      </c>
      <c r="F553" t="s">
        <v>1353</v>
      </c>
      <c r="G553" s="487" t="str">
        <f t="shared" si="55"/>
        <v>e-hydrogen (compressed)Middle EastEnergy cost including feedstock energy cost</v>
      </c>
      <c r="H553" s="507">
        <v>2004.0557863679674</v>
      </c>
      <c r="I553" s="507">
        <v>1913.439994141396</v>
      </c>
      <c r="J553" s="507">
        <v>1822.6668128960132</v>
      </c>
      <c r="K553" s="507">
        <v>1760.7472131571581</v>
      </c>
      <c r="L553" s="507">
        <v>1698.4939504098782</v>
      </c>
      <c r="M553" s="507">
        <v>1635.9651897318304</v>
      </c>
      <c r="N553" s="507">
        <v>1573.2190962007282</v>
      </c>
      <c r="O553" s="507">
        <v>1510.3138348942052</v>
      </c>
      <c r="P553" s="507">
        <v>1460.1275067135082</v>
      </c>
      <c r="Q553" s="507">
        <v>1410.0053792603746</v>
      </c>
      <c r="R553" s="507">
        <v>1359.9870273294782</v>
      </c>
      <c r="S553" s="507">
        <v>1310.1120257155462</v>
      </c>
      <c r="T553" s="507">
        <v>1260.4199492133293</v>
      </c>
      <c r="U553" s="507">
        <v>1230.3082459572943</v>
      </c>
      <c r="V553" s="507">
        <v>1200.2429586961468</v>
      </c>
      <c r="W553" s="507">
        <v>1170.2378432658459</v>
      </c>
      <c r="X553" s="507">
        <v>1140.3066555022276</v>
      </c>
      <c r="Y553" s="507">
        <v>1110.4631512412213</v>
      </c>
      <c r="Z553" s="507">
        <v>1072.0767797388739</v>
      </c>
      <c r="AA553" s="507">
        <v>1034.4621299578357</v>
      </c>
      <c r="AB553" s="507">
        <v>997.60894300383222</v>
      </c>
      <c r="AC553" s="507">
        <v>961.50695998256094</v>
      </c>
      <c r="AD553" s="507">
        <v>926.14592199973754</v>
      </c>
      <c r="AE553" s="507">
        <v>905.45655143347608</v>
      </c>
      <c r="AF553" s="507">
        <v>885.17250940990675</v>
      </c>
      <c r="AG553" s="507">
        <v>865.287631560058</v>
      </c>
      <c r="AH553" s="507">
        <v>845.79575351497181</v>
      </c>
      <c r="AI553" s="507">
        <v>826.69071090569059</v>
      </c>
    </row>
    <row r="554" spans="2:35" outlineLevel="1">
      <c r="B554" t="str">
        <f t="shared" si="54"/>
        <v>Carbon dioxide (DAC) - Energy cost - Africa - USD/ton fuel</v>
      </c>
      <c r="C554" t="s">
        <v>1379</v>
      </c>
      <c r="D554" t="s">
        <v>1368</v>
      </c>
      <c r="E554" t="s">
        <v>838</v>
      </c>
      <c r="F554" t="s">
        <v>1353</v>
      </c>
      <c r="G554" s="487" t="str">
        <f t="shared" si="55"/>
        <v>Carbon dioxide (DAC)AfricaEnergy cost</v>
      </c>
      <c r="H554" s="493">
        <v>168.04374017226095</v>
      </c>
      <c r="I554" s="493">
        <v>146.30209067169341</v>
      </c>
      <c r="J554" s="493">
        <v>125.09499957024941</v>
      </c>
      <c r="K554" s="493">
        <v>118.18460880247255</v>
      </c>
      <c r="L554" s="493">
        <v>111.41353662951776</v>
      </c>
      <c r="M554" s="493">
        <v>104.78178305138506</v>
      </c>
      <c r="N554" s="493">
        <v>98.28934806807321</v>
      </c>
      <c r="O554" s="493">
        <v>91.936231679584665</v>
      </c>
      <c r="P554" s="493">
        <v>87.982972860232593</v>
      </c>
      <c r="Q554" s="493">
        <v>84.102420719352523</v>
      </c>
      <c r="R554" s="493">
        <v>80.294575256942807</v>
      </c>
      <c r="S554" s="493">
        <v>76.559436473005292</v>
      </c>
      <c r="T554" s="493">
        <v>72.89700436753958</v>
      </c>
      <c r="U554" s="493">
        <v>70.735122997418571</v>
      </c>
      <c r="V554" s="493">
        <v>68.605236304620504</v>
      </c>
      <c r="W554" s="493">
        <v>66.507344289144001</v>
      </c>
      <c r="X554" s="493">
        <v>64.441446950990169</v>
      </c>
      <c r="Y554" s="493">
        <v>62.40754429015891</v>
      </c>
      <c r="Z554" s="493">
        <v>60.429077079389643</v>
      </c>
      <c r="AA554" s="493">
        <v>58.481367988026683</v>
      </c>
      <c r="AB554" s="493">
        <v>56.564417016069513</v>
      </c>
      <c r="AC554" s="493">
        <v>54.678224163519339</v>
      </c>
      <c r="AD554" s="493">
        <v>52.822789430375032</v>
      </c>
      <c r="AE554" s="493">
        <v>51.600110701740995</v>
      </c>
      <c r="AF554" s="493">
        <v>50.391546373167834</v>
      </c>
      <c r="AG554" s="493">
        <v>49.197096444655244</v>
      </c>
      <c r="AH554" s="493">
        <v>48.016760916203474</v>
      </c>
      <c r="AI554" s="493">
        <v>46.85053978781275</v>
      </c>
    </row>
    <row r="555" spans="2:35" outlineLevel="1">
      <c r="B555" t="str">
        <f t="shared" si="54"/>
        <v>Carbon dioxide (DAC) - Energy cost - Americas - USD/ton fuel</v>
      </c>
      <c r="C555" t="s">
        <v>1379</v>
      </c>
      <c r="D555" t="s">
        <v>1368</v>
      </c>
      <c r="E555" t="s">
        <v>731</v>
      </c>
      <c r="F555" t="s">
        <v>1353</v>
      </c>
      <c r="G555" s="487" t="str">
        <f t="shared" si="55"/>
        <v>Carbon dioxide (DAC)AmericasEnergy cost</v>
      </c>
      <c r="H555" s="493">
        <v>105.58438245546897</v>
      </c>
      <c r="I555" s="493">
        <v>101.99736044182912</v>
      </c>
      <c r="J555" s="493">
        <v>98.469570539698765</v>
      </c>
      <c r="K555" s="493">
        <v>93.638765997611998</v>
      </c>
      <c r="L555" s="493">
        <v>88.901570801317362</v>
      </c>
      <c r="M555" s="493">
        <v>84.25798495081483</v>
      </c>
      <c r="N555" s="493">
        <v>79.708008446105609</v>
      </c>
      <c r="O555" s="493">
        <v>75.251641287187283</v>
      </c>
      <c r="P555" s="493">
        <v>72.675393088137156</v>
      </c>
      <c r="Q555" s="493">
        <v>70.14126028517552</v>
      </c>
      <c r="R555" s="493">
        <v>67.64924287830199</v>
      </c>
      <c r="S555" s="493">
        <v>65.19934086751617</v>
      </c>
      <c r="T555" s="493">
        <v>62.791554252818194</v>
      </c>
      <c r="U555" s="493">
        <v>60.764114529985541</v>
      </c>
      <c r="V555" s="493">
        <v>58.768592762315109</v>
      </c>
      <c r="W555" s="493">
        <v>56.804988949805931</v>
      </c>
      <c r="X555" s="493">
        <v>54.873303092459224</v>
      </c>
      <c r="Y555" s="493">
        <v>52.973535190274085</v>
      </c>
      <c r="Z555" s="493">
        <v>51.828230522552126</v>
      </c>
      <c r="AA555" s="493">
        <v>50.694947735460516</v>
      </c>
      <c r="AB555" s="493">
        <v>49.573686828999371</v>
      </c>
      <c r="AC555" s="493">
        <v>48.464447803168603</v>
      </c>
      <c r="AD555" s="493">
        <v>47.367230657968015</v>
      </c>
      <c r="AE555" s="493">
        <v>46.429207924659629</v>
      </c>
      <c r="AF555" s="493">
        <v>45.499664594904488</v>
      </c>
      <c r="AG555" s="493">
        <v>44.57860066870262</v>
      </c>
      <c r="AH555" s="493">
        <v>43.666016146054034</v>
      </c>
      <c r="AI555" s="493">
        <v>42.761911026958728</v>
      </c>
    </row>
    <row r="556" spans="2:35" outlineLevel="1">
      <c r="B556" t="str">
        <f t="shared" si="54"/>
        <v>Carbon dioxide (DAC) - Energy cost - Asia - USD/ton fuel</v>
      </c>
      <c r="C556" t="s">
        <v>1379</v>
      </c>
      <c r="D556" t="s">
        <v>1368</v>
      </c>
      <c r="E556" t="s">
        <v>750</v>
      </c>
      <c r="F556" t="s">
        <v>1353</v>
      </c>
      <c r="G556" s="487" t="str">
        <f t="shared" si="55"/>
        <v>Carbon dioxide (DAC)AsiaEnergy cost</v>
      </c>
      <c r="H556" s="493">
        <v>186.89956944291009</v>
      </c>
      <c r="I556" s="493">
        <v>168.16682617375361</v>
      </c>
      <c r="J556" s="493">
        <v>149.87899747482393</v>
      </c>
      <c r="K556" s="493">
        <v>142.27132627697122</v>
      </c>
      <c r="L556" s="493">
        <v>134.81285628877197</v>
      </c>
      <c r="M556" s="493">
        <v>127.50358751022122</v>
      </c>
      <c r="N556" s="493">
        <v>120.34351994132149</v>
      </c>
      <c r="O556" s="493">
        <v>113.33265358207515</v>
      </c>
      <c r="P556" s="493">
        <v>108.26284478442385</v>
      </c>
      <c r="Q556" s="493">
        <v>103.28784662429925</v>
      </c>
      <c r="R556" s="493">
        <v>98.407659101700688</v>
      </c>
      <c r="S556" s="493">
        <v>93.622282216625351</v>
      </c>
      <c r="T556" s="493">
        <v>88.931715969074972</v>
      </c>
      <c r="U556" s="493">
        <v>86.065503663003796</v>
      </c>
      <c r="V556" s="493">
        <v>83.244358258173165</v>
      </c>
      <c r="W556" s="493">
        <v>80.468279754582596</v>
      </c>
      <c r="X556" s="493">
        <v>77.737268152231991</v>
      </c>
      <c r="Y556" s="493">
        <v>75.051323451122215</v>
      </c>
      <c r="Z556" s="493">
        <v>72.402332509748831</v>
      </c>
      <c r="AA556" s="493">
        <v>69.797444349441975</v>
      </c>
      <c r="AB556" s="493">
        <v>67.236658970200637</v>
      </c>
      <c r="AC556" s="493">
        <v>64.719976372026011</v>
      </c>
      <c r="AD556" s="493">
        <v>62.247396554916683</v>
      </c>
      <c r="AE556" s="493">
        <v>60.720274602486676</v>
      </c>
      <c r="AF556" s="493">
        <v>59.212061358577877</v>
      </c>
      <c r="AG556" s="493">
        <v>57.722756823190991</v>
      </c>
      <c r="AH556" s="493">
        <v>56.25236099632577</v>
      </c>
      <c r="AI556" s="493">
        <v>54.800873877981985</v>
      </c>
    </row>
    <row r="557" spans="2:35" outlineLevel="1">
      <c r="B557" t="str">
        <f t="shared" si="54"/>
        <v>Carbon dioxide (DAC) - Energy cost - Europe - USD/ton fuel</v>
      </c>
      <c r="C557" t="s">
        <v>1379</v>
      </c>
      <c r="D557" t="s">
        <v>1368</v>
      </c>
      <c r="E557" t="s">
        <v>720</v>
      </c>
      <c r="F557" t="s">
        <v>1353</v>
      </c>
      <c r="G557" s="487" t="str">
        <f t="shared" si="55"/>
        <v>Carbon dioxide (DAC)EuropeEnergy cost</v>
      </c>
      <c r="H557" s="493">
        <v>139.13660564940096</v>
      </c>
      <c r="I557" s="493">
        <v>131.33650635826208</v>
      </c>
      <c r="J557" s="493">
        <v>123.69885760010307</v>
      </c>
      <c r="K557" s="493">
        <v>117.43601702374129</v>
      </c>
      <c r="L557" s="493">
        <v>111.29589497676589</v>
      </c>
      <c r="M557" s="493">
        <v>105.27849145917936</v>
      </c>
      <c r="N557" s="493">
        <v>99.383806470979252</v>
      </c>
      <c r="O557" s="493">
        <v>93.611840012167974</v>
      </c>
      <c r="P557" s="493">
        <v>90.585974296079655</v>
      </c>
      <c r="Q557" s="493">
        <v>87.607779699054461</v>
      </c>
      <c r="R557" s="493">
        <v>84.67725622108955</v>
      </c>
      <c r="S557" s="493">
        <v>81.794403862185035</v>
      </c>
      <c r="T557" s="493">
        <v>78.959222622341954</v>
      </c>
      <c r="U557" s="493">
        <v>76.922599826040909</v>
      </c>
      <c r="V557" s="493">
        <v>74.912586795058061</v>
      </c>
      <c r="W557" s="493">
        <v>72.929183529392262</v>
      </c>
      <c r="X557" s="493">
        <v>70.972390029044362</v>
      </c>
      <c r="Y557" s="493">
        <v>69.042206294013226</v>
      </c>
      <c r="Z557" s="493">
        <v>67.134466412964173</v>
      </c>
      <c r="AA557" s="493">
        <v>65.253341498845373</v>
      </c>
      <c r="AB557" s="493">
        <v>63.398831551657359</v>
      </c>
      <c r="AC557" s="493">
        <v>61.570936571399812</v>
      </c>
      <c r="AD557" s="493">
        <v>59.769656558072832</v>
      </c>
      <c r="AE557" s="493">
        <v>58.303359346438278</v>
      </c>
      <c r="AF557" s="493">
        <v>56.855217183061221</v>
      </c>
      <c r="AG557" s="493">
        <v>55.425230067942344</v>
      </c>
      <c r="AH557" s="493">
        <v>54.013398001081399</v>
      </c>
      <c r="AI557" s="493">
        <v>52.619720982478157</v>
      </c>
    </row>
    <row r="558" spans="2:35" outlineLevel="1">
      <c r="B558" t="str">
        <f t="shared" si="54"/>
        <v>Carbon dioxide (DAC) - Energy cost - Middle East - USD/ton fuel</v>
      </c>
      <c r="C558" t="s">
        <v>1379</v>
      </c>
      <c r="D558" t="s">
        <v>1368</v>
      </c>
      <c r="E558" t="s">
        <v>826</v>
      </c>
      <c r="F558" t="s">
        <v>1353</v>
      </c>
      <c r="G558" s="487" t="str">
        <f t="shared" si="55"/>
        <v>Carbon dioxide (DAC)Middle EastEnergy cost</v>
      </c>
      <c r="H558" s="493">
        <v>106.54312461630884</v>
      </c>
      <c r="I558" s="493">
        <v>100.46220586457505</v>
      </c>
      <c r="J558" s="493">
        <v>94.50864955757099</v>
      </c>
      <c r="K558" s="493">
        <v>90.289455876080666</v>
      </c>
      <c r="L558" s="493">
        <v>86.149099881800211</v>
      </c>
      <c r="M558" s="493">
        <v>82.087581574729612</v>
      </c>
      <c r="N558" s="493">
        <v>78.104900954868882</v>
      </c>
      <c r="O558" s="493">
        <v>74.201058022218021</v>
      </c>
      <c r="P558" s="493">
        <v>71.264783946143552</v>
      </c>
      <c r="Q558" s="493">
        <v>68.380481742891675</v>
      </c>
      <c r="R558" s="493">
        <v>65.548151412460825</v>
      </c>
      <c r="S558" s="493">
        <v>62.767792954851807</v>
      </c>
      <c r="T558" s="493">
        <v>60.039406370064405</v>
      </c>
      <c r="U558" s="493">
        <v>58.334255838436711</v>
      </c>
      <c r="V558" s="493">
        <v>56.653467589691616</v>
      </c>
      <c r="W558" s="493">
        <v>54.997041623828714</v>
      </c>
      <c r="X558" s="493">
        <v>53.364977940848128</v>
      </c>
      <c r="Y558" s="493">
        <v>51.757276540749643</v>
      </c>
      <c r="Z558" s="493">
        <v>49.951129205562665</v>
      </c>
      <c r="AA558" s="493">
        <v>48.17485125313609</v>
      </c>
      <c r="AB558" s="493">
        <v>46.428442683469406</v>
      </c>
      <c r="AC558" s="493">
        <v>44.711903496563266</v>
      </c>
      <c r="AD558" s="493">
        <v>43.025233692416762</v>
      </c>
      <c r="AE558" s="493">
        <v>41.969677751620367</v>
      </c>
      <c r="AF558" s="493">
        <v>40.927191811319283</v>
      </c>
      <c r="AG558" s="493">
        <v>39.897775871513431</v>
      </c>
      <c r="AH558" s="493">
        <v>38.881429932202913</v>
      </c>
      <c r="AI558" s="493">
        <v>37.878153993387855</v>
      </c>
    </row>
    <row r="559" spans="2:35" outlineLevel="1">
      <c r="B559" t="str">
        <f t="shared" ref="B559:B564" si="56">_xlfn.TEXTJOIN(" - ",TRUE,C559:F559)</f>
        <v>e-methane - Conversion H2 -&gt; CH4 - Global - ton H2/ton CH4</v>
      </c>
      <c r="C559" t="s">
        <v>1387</v>
      </c>
      <c r="D559" t="s">
        <v>1388</v>
      </c>
      <c r="E559" t="s">
        <v>708</v>
      </c>
      <c r="F559" t="s">
        <v>1389</v>
      </c>
      <c r="G559" s="487" t="str">
        <f t="shared" si="55"/>
        <v>e-methaneGlobalConversion H2 -&gt; CH4</v>
      </c>
      <c r="H559" s="508">
        <v>0.5</v>
      </c>
      <c r="I559" s="508">
        <v>0.5</v>
      </c>
      <c r="J559" s="508">
        <v>0.5</v>
      </c>
      <c r="K559" s="508">
        <v>0.5</v>
      </c>
      <c r="L559" s="508">
        <v>0.5</v>
      </c>
      <c r="M559" s="508">
        <v>0.5</v>
      </c>
      <c r="N559" s="508">
        <v>0.5</v>
      </c>
      <c r="O559" s="508">
        <v>0.5</v>
      </c>
      <c r="P559" s="508">
        <v>0.5</v>
      </c>
      <c r="Q559" s="508">
        <v>0.5</v>
      </c>
      <c r="R559" s="508">
        <v>0.5</v>
      </c>
      <c r="S559" s="508">
        <v>0.5</v>
      </c>
      <c r="T559" s="508">
        <v>0.5</v>
      </c>
      <c r="U559" s="508">
        <v>0.5</v>
      </c>
      <c r="V559" s="508">
        <v>0.5</v>
      </c>
      <c r="W559" s="508">
        <v>0.5</v>
      </c>
      <c r="X559" s="508">
        <v>0.5</v>
      </c>
      <c r="Y559" s="508">
        <v>0.5</v>
      </c>
      <c r="Z559" s="508">
        <v>0.5</v>
      </c>
      <c r="AA559" s="508">
        <v>0.5</v>
      </c>
      <c r="AB559" s="508">
        <v>0.5</v>
      </c>
      <c r="AC559" s="508">
        <v>0.5</v>
      </c>
      <c r="AD559" s="508">
        <v>0.5</v>
      </c>
      <c r="AE559" s="508">
        <v>0.5</v>
      </c>
      <c r="AF559" s="508">
        <v>0.5</v>
      </c>
      <c r="AG559" s="508">
        <v>0.5</v>
      </c>
      <c r="AH559" s="508">
        <v>0.5</v>
      </c>
      <c r="AI559" s="508">
        <v>0.5</v>
      </c>
    </row>
    <row r="560" spans="2:35" outlineLevel="1">
      <c r="B560" t="str">
        <f t="shared" si="56"/>
        <v>e-methane - Conversion CO2 -&gt; CH4 - Global - ton CO2/ton CH4</v>
      </c>
      <c r="C560" t="s">
        <v>1387</v>
      </c>
      <c r="D560" t="s">
        <v>1390</v>
      </c>
      <c r="E560" t="s">
        <v>708</v>
      </c>
      <c r="F560" t="s">
        <v>1391</v>
      </c>
      <c r="G560" s="487" t="str">
        <f t="shared" si="55"/>
        <v>e-methaneGlobalConversion CO2 -&gt; CH4</v>
      </c>
      <c r="H560" s="508">
        <v>2.75</v>
      </c>
      <c r="I560" s="508">
        <v>2.75</v>
      </c>
      <c r="J560" s="508">
        <v>2.75</v>
      </c>
      <c r="K560" s="508">
        <v>2.75</v>
      </c>
      <c r="L560" s="508">
        <v>2.75</v>
      </c>
      <c r="M560" s="508">
        <v>2.75</v>
      </c>
      <c r="N560" s="508">
        <v>2.75</v>
      </c>
      <c r="O560" s="508">
        <v>2.75</v>
      </c>
      <c r="P560" s="508">
        <v>2.75</v>
      </c>
      <c r="Q560" s="508">
        <v>2.75</v>
      </c>
      <c r="R560" s="508">
        <v>2.75</v>
      </c>
      <c r="S560" s="508">
        <v>2.75</v>
      </c>
      <c r="T560" s="508">
        <v>2.75</v>
      </c>
      <c r="U560" s="508">
        <v>2.75</v>
      </c>
      <c r="V560" s="508">
        <v>2.75</v>
      </c>
      <c r="W560" s="508">
        <v>2.75</v>
      </c>
      <c r="X560" s="508">
        <v>2.75</v>
      </c>
      <c r="Y560" s="508">
        <v>2.75</v>
      </c>
      <c r="Z560" s="508">
        <v>2.75</v>
      </c>
      <c r="AA560" s="508">
        <v>2.75</v>
      </c>
      <c r="AB560" s="508">
        <v>2.75</v>
      </c>
      <c r="AC560" s="508">
        <v>2.75</v>
      </c>
      <c r="AD560" s="508">
        <v>2.75</v>
      </c>
      <c r="AE560" s="508">
        <v>2.75</v>
      </c>
      <c r="AF560" s="508">
        <v>2.75</v>
      </c>
      <c r="AG560" s="508">
        <v>2.75</v>
      </c>
      <c r="AH560" s="508">
        <v>2.75</v>
      </c>
      <c r="AI560" s="508">
        <v>2.75</v>
      </c>
    </row>
    <row r="561" spans="2:35" outlineLevel="1">
      <c r="B561" t="str">
        <f t="shared" si="56"/>
        <v/>
      </c>
      <c r="G561" s="487" t="str">
        <f t="shared" si="55"/>
        <v/>
      </c>
    </row>
    <row r="562" spans="2:35" ht="15" outlineLevel="1">
      <c r="B562" t="str">
        <f t="shared" si="56"/>
        <v>e-methane (DAC) - Feedstock cost including feedstock feedstock cost - Global - USD/ton fuel</v>
      </c>
      <c r="C562" s="491" t="str">
        <f>C495</f>
        <v>e-methane (DAC)</v>
      </c>
      <c r="D562" s="491" t="s">
        <v>1369</v>
      </c>
      <c r="E562" s="491" t="s">
        <v>708</v>
      </c>
      <c r="F562" s="491" t="s">
        <v>1353</v>
      </c>
      <c r="G562" s="487" t="str">
        <f t="shared" si="55"/>
        <v>e-methane (DAC)GlobalFeedstock cost including feedstock feedstock cost</v>
      </c>
      <c r="H562" s="492">
        <v>6.75</v>
      </c>
      <c r="I562" s="492">
        <v>6.750000000000024</v>
      </c>
      <c r="J562" s="492">
        <v>6.750000000000024</v>
      </c>
      <c r="K562" s="492">
        <v>6.750000000000024</v>
      </c>
      <c r="L562" s="492">
        <v>6.750000000000048</v>
      </c>
      <c r="M562" s="492">
        <v>6.75</v>
      </c>
      <c r="N562" s="492">
        <v>6.750000000000048</v>
      </c>
      <c r="O562" s="492">
        <v>6.75</v>
      </c>
      <c r="P562" s="492">
        <v>6.749999999999952</v>
      </c>
      <c r="Q562" s="492">
        <v>6.750000000000024</v>
      </c>
      <c r="R562" s="492">
        <v>6.7500000000000959</v>
      </c>
      <c r="S562" s="492">
        <v>6.750000000000048</v>
      </c>
      <c r="T562" s="492">
        <v>6.7500000000000959</v>
      </c>
      <c r="U562" s="492">
        <v>6.7500000000001199</v>
      </c>
      <c r="V562" s="492">
        <v>6.7500000000000604</v>
      </c>
      <c r="W562" s="492">
        <v>6.7500000000001794</v>
      </c>
      <c r="X562" s="492">
        <v>6.7500000000001199</v>
      </c>
      <c r="Y562" s="492">
        <v>6.749999999999952</v>
      </c>
      <c r="Z562" s="492">
        <v>6.75</v>
      </c>
      <c r="AA562" s="492">
        <v>6.749999999999976</v>
      </c>
      <c r="AB562" s="492">
        <v>6.750000000000024</v>
      </c>
      <c r="AC562" s="492">
        <v>6.75</v>
      </c>
      <c r="AD562" s="492">
        <v>6.75</v>
      </c>
      <c r="AE562" s="492">
        <v>6.75</v>
      </c>
      <c r="AF562" s="492">
        <v>6.75</v>
      </c>
      <c r="AG562" s="492">
        <v>6.75</v>
      </c>
      <c r="AH562" s="492">
        <v>6.75</v>
      </c>
      <c r="AI562" s="492">
        <v>6.75</v>
      </c>
    </row>
    <row r="563" spans="2:35" outlineLevel="1">
      <c r="B563" t="str">
        <f t="shared" si="56"/>
        <v>e-hydrogen - Feedstock cost - Global - USD/ton fuel</v>
      </c>
      <c r="C563" t="s">
        <v>1370</v>
      </c>
      <c r="D563" t="s">
        <v>1371</v>
      </c>
      <c r="E563" t="s">
        <v>708</v>
      </c>
      <c r="F563" t="s">
        <v>1353</v>
      </c>
      <c r="G563" s="487" t="str">
        <f t="shared" si="55"/>
        <v>e-hydrogenGlobalFeedstock cost</v>
      </c>
      <c r="H563" s="493">
        <v>13.5</v>
      </c>
      <c r="I563" s="493">
        <v>13.500000000000048</v>
      </c>
      <c r="J563" s="493">
        <v>13.500000000000048</v>
      </c>
      <c r="K563" s="493">
        <v>13.500000000000048</v>
      </c>
      <c r="L563" s="493">
        <v>13.500000000000096</v>
      </c>
      <c r="M563" s="493">
        <v>13.5</v>
      </c>
      <c r="N563" s="493">
        <v>13.500000000000096</v>
      </c>
      <c r="O563" s="493">
        <v>13.5</v>
      </c>
      <c r="P563" s="493">
        <v>13.499999999999904</v>
      </c>
      <c r="Q563" s="493">
        <v>13.500000000000048</v>
      </c>
      <c r="R563" s="493">
        <v>13.500000000000192</v>
      </c>
      <c r="S563" s="493">
        <v>13.500000000000096</v>
      </c>
      <c r="T563" s="493">
        <v>13.500000000000192</v>
      </c>
      <c r="U563" s="493">
        <v>13.50000000000024</v>
      </c>
      <c r="V563" s="493">
        <v>13.500000000000121</v>
      </c>
      <c r="W563" s="493">
        <v>13.500000000000359</v>
      </c>
      <c r="X563" s="493">
        <v>13.50000000000024</v>
      </c>
      <c r="Y563" s="493">
        <v>13.499999999999904</v>
      </c>
      <c r="Z563" s="493">
        <v>13.5</v>
      </c>
      <c r="AA563" s="493">
        <v>13.499999999999952</v>
      </c>
      <c r="AB563" s="493">
        <v>13.500000000000048</v>
      </c>
      <c r="AC563" s="493">
        <v>13.5</v>
      </c>
      <c r="AD563" s="493">
        <v>13.5</v>
      </c>
      <c r="AE563" s="493">
        <v>13.5</v>
      </c>
      <c r="AF563" s="493">
        <v>13.5</v>
      </c>
      <c r="AG563" s="493">
        <v>13.5</v>
      </c>
      <c r="AH563" s="493">
        <v>13.5</v>
      </c>
      <c r="AI563" s="493">
        <v>13.5</v>
      </c>
    </row>
    <row r="564" spans="2:35" outlineLevel="1">
      <c r="B564" t="str">
        <f t="shared" si="56"/>
        <v>e-methane - Conversion H2 -&gt; CH4 - Global - ton H2/ton CH4</v>
      </c>
      <c r="C564" t="s">
        <v>1387</v>
      </c>
      <c r="D564" t="s">
        <v>1388</v>
      </c>
      <c r="E564" t="s">
        <v>708</v>
      </c>
      <c r="F564" t="s">
        <v>1389</v>
      </c>
      <c r="G564" s="487" t="str">
        <f t="shared" si="55"/>
        <v>e-methaneGlobalConversion H2 -&gt; CH4</v>
      </c>
      <c r="H564" s="508">
        <v>0.5</v>
      </c>
      <c r="I564" s="508">
        <v>0.5</v>
      </c>
      <c r="J564" s="508">
        <v>0.5</v>
      </c>
      <c r="K564" s="508">
        <v>0.5</v>
      </c>
      <c r="L564" s="508">
        <v>0.5</v>
      </c>
      <c r="M564" s="508">
        <v>0.5</v>
      </c>
      <c r="N564" s="508">
        <v>0.5</v>
      </c>
      <c r="O564" s="508">
        <v>0.5</v>
      </c>
      <c r="P564" s="508">
        <v>0.5</v>
      </c>
      <c r="Q564" s="508">
        <v>0.5</v>
      </c>
      <c r="R564" s="508">
        <v>0.5</v>
      </c>
      <c r="S564" s="508">
        <v>0.5</v>
      </c>
      <c r="T564" s="508">
        <v>0.5</v>
      </c>
      <c r="U564" s="508">
        <v>0.5</v>
      </c>
      <c r="V564" s="508">
        <v>0.5</v>
      </c>
      <c r="W564" s="508">
        <v>0.5</v>
      </c>
      <c r="X564" s="508">
        <v>0.5</v>
      </c>
      <c r="Y564" s="508">
        <v>0.5</v>
      </c>
      <c r="Z564" s="508">
        <v>0.5</v>
      </c>
      <c r="AA564" s="508">
        <v>0.5</v>
      </c>
      <c r="AB564" s="508">
        <v>0.5</v>
      </c>
      <c r="AC564" s="508">
        <v>0.5</v>
      </c>
      <c r="AD564" s="508">
        <v>0.5</v>
      </c>
      <c r="AE564" s="508">
        <v>0.5</v>
      </c>
      <c r="AF564" s="508">
        <v>0.5</v>
      </c>
      <c r="AG564" s="508">
        <v>0.5</v>
      </c>
      <c r="AH564" s="508">
        <v>0.5</v>
      </c>
      <c r="AI564" s="508">
        <v>0.5</v>
      </c>
    </row>
    <row r="565" spans="2:35">
      <c r="G565" s="487" t="str">
        <f t="shared" si="55"/>
        <v/>
      </c>
      <c r="H565" s="508"/>
      <c r="I565" s="508"/>
      <c r="J565" s="508"/>
    </row>
    <row r="566" spans="2:35" ht="15">
      <c r="B566" t="str">
        <f t="shared" ref="B566:B629" si="57">_xlfn.TEXTJOIN(" - ",TRUE,C566:F566)</f>
        <v>e-methane (PS) - Item - Region - Unit</v>
      </c>
      <c r="C566" s="485" t="s">
        <v>1392</v>
      </c>
      <c r="D566" s="485" t="s">
        <v>877</v>
      </c>
      <c r="E566" s="485" t="s">
        <v>171</v>
      </c>
      <c r="F566" s="485" t="s">
        <v>111</v>
      </c>
      <c r="G566" s="487" t="str">
        <f t="shared" si="55"/>
        <v>e-methane (PS)RegionItem</v>
      </c>
      <c r="H566" s="486">
        <v>2023</v>
      </c>
      <c r="I566" s="486">
        <v>2024</v>
      </c>
      <c r="J566" s="486">
        <v>2025</v>
      </c>
      <c r="K566" s="486">
        <v>2026</v>
      </c>
      <c r="L566" s="486">
        <v>2027</v>
      </c>
      <c r="M566" s="486">
        <v>2028</v>
      </c>
      <c r="N566" s="486">
        <v>2029</v>
      </c>
      <c r="O566" s="486">
        <v>2030</v>
      </c>
      <c r="P566" s="486">
        <v>2031</v>
      </c>
      <c r="Q566" s="486">
        <v>2032</v>
      </c>
      <c r="R566" s="486">
        <v>2033</v>
      </c>
      <c r="S566" s="486">
        <v>2034</v>
      </c>
      <c r="T566" s="486">
        <v>2035</v>
      </c>
      <c r="U566" s="486">
        <v>2036</v>
      </c>
      <c r="V566" s="486">
        <v>2037</v>
      </c>
      <c r="W566" s="486">
        <v>2038</v>
      </c>
      <c r="X566" s="486">
        <v>2039</v>
      </c>
      <c r="Y566" s="486">
        <v>2040</v>
      </c>
      <c r="Z566" s="486">
        <v>2041</v>
      </c>
      <c r="AA566" s="486">
        <v>2042</v>
      </c>
      <c r="AB566" s="486">
        <v>2043</v>
      </c>
      <c r="AC566" s="486">
        <v>2044</v>
      </c>
      <c r="AD566" s="486">
        <v>2045</v>
      </c>
      <c r="AE566" s="486">
        <v>2046</v>
      </c>
      <c r="AF566" s="486">
        <v>2047</v>
      </c>
      <c r="AG566" s="486">
        <v>2048</v>
      </c>
      <c r="AH566" s="486">
        <v>2049</v>
      </c>
      <c r="AI566" s="486">
        <v>2050</v>
      </c>
    </row>
    <row r="567" spans="2:35" outlineLevel="1">
      <c r="B567" t="str">
        <f t="shared" si="57"/>
        <v>e-methane (PS) - Total cost - Africa - USD/ton fuel</v>
      </c>
      <c r="C567" s="487" t="str">
        <f>C566</f>
        <v>e-methane (PS)</v>
      </c>
      <c r="D567" s="487" t="s">
        <v>1362</v>
      </c>
      <c r="E567" s="487" t="s">
        <v>838</v>
      </c>
      <c r="F567" s="487" t="s">
        <v>1353</v>
      </c>
      <c r="G567" s="487" t="str">
        <f t="shared" si="55"/>
        <v>e-methane (PS)AfricaTotal cost</v>
      </c>
      <c r="H567" s="488">
        <v>3063.5741466699128</v>
      </c>
      <c r="I567" s="488">
        <v>2807.0744282465334</v>
      </c>
      <c r="J567" s="488">
        <v>2549.2389426923241</v>
      </c>
      <c r="K567" s="488">
        <v>2451.5662469716967</v>
      </c>
      <c r="L567" s="488">
        <v>2351.3186713234791</v>
      </c>
      <c r="M567" s="488">
        <v>2248.547609168605</v>
      </c>
      <c r="N567" s="488">
        <v>2143.3044539280472</v>
      </c>
      <c r="O567" s="488">
        <v>2035.6405990227183</v>
      </c>
      <c r="P567" s="488">
        <v>1995.73394046151</v>
      </c>
      <c r="Q567" s="488">
        <v>1952.0389924507556</v>
      </c>
      <c r="R567" s="488">
        <v>1904.5834368086807</v>
      </c>
      <c r="S567" s="488">
        <v>1853.394955353534</v>
      </c>
      <c r="T567" s="488">
        <v>1798.5012299036046</v>
      </c>
      <c r="U567" s="488">
        <v>1757.7923435924506</v>
      </c>
      <c r="V567" s="488">
        <v>1714.4778722566937</v>
      </c>
      <c r="W567" s="488">
        <v>1668.5668485788533</v>
      </c>
      <c r="X567" s="488">
        <v>1620.0683052413367</v>
      </c>
      <c r="Y567" s="488">
        <v>1568.9912749266377</v>
      </c>
      <c r="Z567" s="488">
        <v>1514.3898532089574</v>
      </c>
      <c r="AA567" s="488">
        <v>1458.5785350897941</v>
      </c>
      <c r="AB567" s="488">
        <v>1401.552038499944</v>
      </c>
      <c r="AC567" s="488">
        <v>1343.30508137015</v>
      </c>
      <c r="AD567" s="488">
        <v>1283.8323816311868</v>
      </c>
      <c r="AE567" s="488">
        <v>1234.8890406257337</v>
      </c>
      <c r="AF567" s="488">
        <v>1185.3391901833641</v>
      </c>
      <c r="AG567" s="488">
        <v>1135.179501827927</v>
      </c>
      <c r="AH567" s="488">
        <v>1084.4066470832836</v>
      </c>
      <c r="AI567" s="488">
        <v>1033.0172974732964</v>
      </c>
    </row>
    <row r="568" spans="2:35" outlineLevel="1">
      <c r="B568" t="str">
        <f t="shared" si="57"/>
        <v>e-methane (PS) - Total cost - Americas - USD/ton fuel</v>
      </c>
      <c r="C568" t="str">
        <f>C567</f>
        <v>e-methane (PS)</v>
      </c>
      <c r="D568" t="s">
        <v>1362</v>
      </c>
      <c r="E568" t="s">
        <v>731</v>
      </c>
      <c r="F568" t="s">
        <v>1353</v>
      </c>
      <c r="G568" s="487" t="str">
        <f t="shared" si="55"/>
        <v>e-methane (PS)AmericasTotal cost</v>
      </c>
      <c r="H568" s="489">
        <v>2440.6118191646678</v>
      </c>
      <c r="I568" s="489">
        <v>2359.5977802152029</v>
      </c>
      <c r="J568" s="489">
        <v>2276.922612741469</v>
      </c>
      <c r="K568" s="489">
        <v>2197.6860598746839</v>
      </c>
      <c r="L568" s="489">
        <v>2115.8811830958648</v>
      </c>
      <c r="M568" s="489">
        <v>2031.5425140805407</v>
      </c>
      <c r="N568" s="489">
        <v>1944.7045845042994</v>
      </c>
      <c r="O568" s="489">
        <v>1855.4019260425994</v>
      </c>
      <c r="P568" s="489">
        <v>1829.2155842971813</v>
      </c>
      <c r="Q568" s="489">
        <v>1799.1328866594922</v>
      </c>
      <c r="R568" s="489">
        <v>1765.1698678427645</v>
      </c>
      <c r="S568" s="489">
        <v>1727.3425625602113</v>
      </c>
      <c r="T568" s="489">
        <v>1685.6670055251152</v>
      </c>
      <c r="U568" s="489">
        <v>1645.8854168284633</v>
      </c>
      <c r="V568" s="489">
        <v>1603.5224628979511</v>
      </c>
      <c r="W568" s="489">
        <v>1558.587154756028</v>
      </c>
      <c r="X568" s="489">
        <v>1511.0885034250405</v>
      </c>
      <c r="Y568" s="489">
        <v>1461.0355199274022</v>
      </c>
      <c r="Z568" s="489">
        <v>1415.8556007035861</v>
      </c>
      <c r="AA568" s="489">
        <v>1369.258066318539</v>
      </c>
      <c r="AB568" s="489">
        <v>1321.2408522635749</v>
      </c>
      <c r="AC568" s="489">
        <v>1271.8018940299353</v>
      </c>
      <c r="AD568" s="489">
        <v>1220.9391271089157</v>
      </c>
      <c r="AE568" s="489">
        <v>1175.0999973596945</v>
      </c>
      <c r="AF568" s="489">
        <v>1128.5937765303986</v>
      </c>
      <c r="AG568" s="489">
        <v>1081.4184649970728</v>
      </c>
      <c r="AH568" s="489">
        <v>1033.572063135766</v>
      </c>
      <c r="AI568" s="489">
        <v>985.05257132252768</v>
      </c>
    </row>
    <row r="569" spans="2:35" outlineLevel="1">
      <c r="B569" t="str">
        <f t="shared" si="57"/>
        <v>e-methane (PS) - Total cost - Asia - USD/ton fuel</v>
      </c>
      <c r="C569" t="str">
        <f>C568</f>
        <v>e-methane (PS)</v>
      </c>
      <c r="D569" t="s">
        <v>1362</v>
      </c>
      <c r="E569" t="s">
        <v>750</v>
      </c>
      <c r="F569" t="s">
        <v>1353</v>
      </c>
      <c r="G569" s="487" t="str">
        <f t="shared" si="55"/>
        <v>e-methane (PS)AsiaTotal cost</v>
      </c>
      <c r="H569" s="489">
        <v>3251.6399821008004</v>
      </c>
      <c r="I569" s="489">
        <v>3027.9077004906458</v>
      </c>
      <c r="J569" s="489">
        <v>2802.7217069752719</v>
      </c>
      <c r="K569" s="489">
        <v>2700.6976533607121</v>
      </c>
      <c r="L569" s="489">
        <v>2596.0363956151846</v>
      </c>
      <c r="M569" s="489">
        <v>2488.7929727704395</v>
      </c>
      <c r="N569" s="489">
        <v>2379.022423858366</v>
      </c>
      <c r="O569" s="489">
        <v>2266.7797879107411</v>
      </c>
      <c r="P569" s="489">
        <v>2216.3417038256057</v>
      </c>
      <c r="Q569" s="489">
        <v>2162.1625546648843</v>
      </c>
      <c r="R569" s="489">
        <v>2104.2784379493314</v>
      </c>
      <c r="S569" s="489">
        <v>2042.7254511996621</v>
      </c>
      <c r="T569" s="489">
        <v>1977.5396919367126</v>
      </c>
      <c r="U569" s="489">
        <v>1929.8487400954768</v>
      </c>
      <c r="V569" s="489">
        <v>1879.6042959217632</v>
      </c>
      <c r="W569" s="489">
        <v>1826.8190826259631</v>
      </c>
      <c r="X569" s="489">
        <v>1771.5058234183166</v>
      </c>
      <c r="Y569" s="489">
        <v>1713.6772415091862</v>
      </c>
      <c r="Z569" s="489">
        <v>1651.5595801759405</v>
      </c>
      <c r="AA569" s="489">
        <v>1588.3887960912873</v>
      </c>
      <c r="AB569" s="489">
        <v>1524.1573155170838</v>
      </c>
      <c r="AC569" s="489">
        <v>1458.8575647151315</v>
      </c>
      <c r="AD569" s="489">
        <v>1392.4819699472671</v>
      </c>
      <c r="AE569" s="489">
        <v>1340.3417821609039</v>
      </c>
      <c r="AF569" s="489">
        <v>1287.6564157760406</v>
      </c>
      <c r="AG569" s="489">
        <v>1234.4214117164929</v>
      </c>
      <c r="AH569" s="489">
        <v>1180.6323109060731</v>
      </c>
      <c r="AI569" s="489">
        <v>1126.2846542685943</v>
      </c>
    </row>
    <row r="570" spans="2:35" outlineLevel="1">
      <c r="B570" t="str">
        <f t="shared" si="57"/>
        <v>e-methane (PS) - Total cost - Europe - USD/ton fuel</v>
      </c>
      <c r="C570" t="str">
        <f>C569</f>
        <v>e-methane (PS)</v>
      </c>
      <c r="D570" t="s">
        <v>1362</v>
      </c>
      <c r="E570" t="s">
        <v>720</v>
      </c>
      <c r="F570" t="s">
        <v>1353</v>
      </c>
      <c r="G570" s="487" t="str">
        <f t="shared" si="55"/>
        <v>e-methane (PS)EuropeTotal cost</v>
      </c>
      <c r="H570" s="489">
        <v>2775.2577684336588</v>
      </c>
      <c r="I570" s="489">
        <v>2655.9224074654558</v>
      </c>
      <c r="J570" s="489">
        <v>2534.9596513815864</v>
      </c>
      <c r="K570" s="489">
        <v>2443.8234848936331</v>
      </c>
      <c r="L570" s="489">
        <v>2350.0883365119298</v>
      </c>
      <c r="M570" s="489">
        <v>2253.7994760373135</v>
      </c>
      <c r="N570" s="489">
        <v>2155.0021732706236</v>
      </c>
      <c r="O570" s="489">
        <v>2053.7416980126495</v>
      </c>
      <c r="P570" s="489">
        <v>2024.0498157758284</v>
      </c>
      <c r="Q570" s="489">
        <v>1990.4305569280573</v>
      </c>
      <c r="R570" s="489">
        <v>1952.9020714285764</v>
      </c>
      <c r="S570" s="489">
        <v>1911.4825092366432</v>
      </c>
      <c r="T570" s="489">
        <v>1866.1900203115918</v>
      </c>
      <c r="U570" s="489">
        <v>1827.2358225119669</v>
      </c>
      <c r="V570" s="489">
        <v>1785.623548383486</v>
      </c>
      <c r="W570" s="489">
        <v>1741.3607103495449</v>
      </c>
      <c r="X570" s="489">
        <v>1694.4548208334145</v>
      </c>
      <c r="Y570" s="489">
        <v>1644.9133922584494</v>
      </c>
      <c r="Z570" s="489">
        <v>1591.2090966840083</v>
      </c>
      <c r="AA570" s="489">
        <v>1536.2619671256514</v>
      </c>
      <c r="AB570" s="489">
        <v>1480.0674330147169</v>
      </c>
      <c r="AC570" s="489">
        <v>1422.6209237824573</v>
      </c>
      <c r="AD570" s="489">
        <v>1363.9178688601924</v>
      </c>
      <c r="AE570" s="489">
        <v>1312.3959752014873</v>
      </c>
      <c r="AF570" s="489">
        <v>1260.3172232694806</v>
      </c>
      <c r="AG570" s="489">
        <v>1207.6773317171303</v>
      </c>
      <c r="AH570" s="489">
        <v>1154.4720191973904</v>
      </c>
      <c r="AI570" s="489">
        <v>1100.697004363215</v>
      </c>
    </row>
    <row r="571" spans="2:35" outlineLevel="1">
      <c r="B571" t="str">
        <f t="shared" si="57"/>
        <v>e-methane (PS) - Total cost - Middle East - USD/ton fuel</v>
      </c>
      <c r="C571" s="25" t="str">
        <f>C570</f>
        <v>e-methane (PS)</v>
      </c>
      <c r="D571" s="25" t="s">
        <v>1362</v>
      </c>
      <c r="E571" s="25" t="s">
        <v>826</v>
      </c>
      <c r="F571" s="25" t="s">
        <v>1353</v>
      </c>
      <c r="G571" s="487" t="str">
        <f t="shared" si="55"/>
        <v>e-methane (PS)Middle EastTotal cost</v>
      </c>
      <c r="H571" s="490">
        <v>2450.1742013252774</v>
      </c>
      <c r="I571" s="490">
        <v>2344.0927580454359</v>
      </c>
      <c r="J571" s="490">
        <v>2236.411586089439</v>
      </c>
      <c r="K571" s="490">
        <v>2163.0437993884434</v>
      </c>
      <c r="L571" s="490">
        <v>2087.0949436063361</v>
      </c>
      <c r="M571" s="490">
        <v>2008.5941012819499</v>
      </c>
      <c r="N571" s="490">
        <v>1927.5703549541633</v>
      </c>
      <c r="O571" s="490">
        <v>1844.0527871617635</v>
      </c>
      <c r="P571" s="490">
        <v>1813.8707473593829</v>
      </c>
      <c r="Q571" s="490">
        <v>1779.8484015817082</v>
      </c>
      <c r="R571" s="490">
        <v>1742.0055372260763</v>
      </c>
      <c r="S571" s="490">
        <v>1700.361941689833</v>
      </c>
      <c r="T571" s="490">
        <v>1654.9374023703735</v>
      </c>
      <c r="U571" s="490">
        <v>1618.6145525492761</v>
      </c>
      <c r="V571" s="490">
        <v>1579.664265905848</v>
      </c>
      <c r="W571" s="490">
        <v>1538.0934203580941</v>
      </c>
      <c r="X571" s="490">
        <v>1493.9088938239001</v>
      </c>
      <c r="Y571" s="490">
        <v>1447.1175642212363</v>
      </c>
      <c r="Z571" s="490">
        <v>1394.3508832407024</v>
      </c>
      <c r="AA571" s="490">
        <v>1340.349249192232</v>
      </c>
      <c r="AB571" s="490">
        <v>1285.1075326287098</v>
      </c>
      <c r="AC571" s="490">
        <v>1228.6206041029654</v>
      </c>
      <c r="AD571" s="490">
        <v>1170.8833341678644</v>
      </c>
      <c r="AE571" s="490">
        <v>1123.5362658496335</v>
      </c>
      <c r="AF571" s="490">
        <v>1075.5534801204594</v>
      </c>
      <c r="AG571" s="490">
        <v>1026.9318947958566</v>
      </c>
      <c r="AH571" s="490">
        <v>977.6684276913461</v>
      </c>
      <c r="AI571" s="490">
        <v>927.75999662244931</v>
      </c>
    </row>
    <row r="572" spans="2:35" ht="15" outlineLevel="1">
      <c r="B572" t="str">
        <f t="shared" si="57"/>
        <v/>
      </c>
      <c r="C572" s="22"/>
      <c r="G572" s="487" t="str">
        <f t="shared" si="55"/>
        <v/>
      </c>
    </row>
    <row r="573" spans="2:35" ht="15" outlineLevel="1">
      <c r="B573" t="str">
        <f t="shared" si="57"/>
        <v>e-methane (PS) - CAPEX including feedstock CAPEX - Global - USD/ton fuel</v>
      </c>
      <c r="C573" s="491" t="str">
        <f>C566</f>
        <v>e-methane (PS)</v>
      </c>
      <c r="D573" s="491" t="s">
        <v>1363</v>
      </c>
      <c r="E573" s="491" t="s">
        <v>708</v>
      </c>
      <c r="F573" s="491" t="s">
        <v>1353</v>
      </c>
      <c r="G573" s="487" t="str">
        <f t="shared" si="55"/>
        <v>e-methane (PS)GlobalCAPEX including feedstock CAPEX</v>
      </c>
      <c r="H573" s="492">
        <v>274.13984343173598</v>
      </c>
      <c r="I573" s="492">
        <v>262.89183628748663</v>
      </c>
      <c r="J573" s="492">
        <v>251.51902587518907</v>
      </c>
      <c r="K573" s="492">
        <v>243.54968178660141</v>
      </c>
      <c r="L573" s="492">
        <v>235.34848107499292</v>
      </c>
      <c r="M573" s="492">
        <v>226.91542374036598</v>
      </c>
      <c r="N573" s="492">
        <v>218.25050978272148</v>
      </c>
      <c r="O573" s="492">
        <v>209.35373920205598</v>
      </c>
      <c r="P573" s="492">
        <v>209.45265254615884</v>
      </c>
      <c r="Q573" s="492">
        <v>209.01085242463677</v>
      </c>
      <c r="R573" s="492">
        <v>208.02833883748832</v>
      </c>
      <c r="S573" s="492">
        <v>206.50511178471118</v>
      </c>
      <c r="T573" s="492">
        <v>204.4411712663096</v>
      </c>
      <c r="U573" s="492">
        <v>201.49831101350733</v>
      </c>
      <c r="V573" s="492">
        <v>198.10917416680633</v>
      </c>
      <c r="W573" s="492">
        <v>194.27376072621095</v>
      </c>
      <c r="X573" s="492">
        <v>189.99207069171689</v>
      </c>
      <c r="Y573" s="492">
        <v>185.26410406332238</v>
      </c>
      <c r="Z573" s="492">
        <v>179.32863968064686</v>
      </c>
      <c r="AA573" s="492">
        <v>173.05643471160798</v>
      </c>
      <c r="AB573" s="492">
        <v>166.44748915620943</v>
      </c>
      <c r="AC573" s="492">
        <v>159.5018030144488</v>
      </c>
      <c r="AD573" s="492">
        <v>152.21937628632534</v>
      </c>
      <c r="AE573" s="492">
        <v>144.53709515818377</v>
      </c>
      <c r="AF573" s="492">
        <v>136.644184393182</v>
      </c>
      <c r="AG573" s="492">
        <v>128.54064399132011</v>
      </c>
      <c r="AH573" s="492">
        <v>120.22647395259801</v>
      </c>
      <c r="AI573" s="492">
        <v>111.70167427701584</v>
      </c>
    </row>
    <row r="574" spans="2:35" outlineLevel="1">
      <c r="B574" t="str">
        <f t="shared" si="57"/>
        <v>e-methane (PS) - CAPEX - Global - USD/ton fuel</v>
      </c>
      <c r="C574" t="str">
        <f>C566</f>
        <v>e-methane (PS)</v>
      </c>
      <c r="D574" t="s">
        <v>446</v>
      </c>
      <c r="E574" t="s">
        <v>708</v>
      </c>
      <c r="F574" t="s">
        <v>1353</v>
      </c>
      <c r="G574" s="487" t="str">
        <f t="shared" si="55"/>
        <v>e-methane (PS)GlobalCAPEX</v>
      </c>
      <c r="H574" s="493">
        <v>51.4</v>
      </c>
      <c r="I574" s="493">
        <v>48.533333333333331</v>
      </c>
      <c r="J574" s="493">
        <v>45.666666666666664</v>
      </c>
      <c r="K574" s="493">
        <v>43.866666666666667</v>
      </c>
      <c r="L574" s="493">
        <v>42.06666666666667</v>
      </c>
      <c r="M574" s="493">
        <v>40.266666666666666</v>
      </c>
      <c r="N574" s="493">
        <v>38.466666666666669</v>
      </c>
      <c r="O574" s="493">
        <v>36.666666666666664</v>
      </c>
      <c r="P574" s="493">
        <v>36</v>
      </c>
      <c r="Q574" s="493">
        <v>35.333333333333336</v>
      </c>
      <c r="R574" s="493">
        <v>34.666666666666664</v>
      </c>
      <c r="S574" s="493">
        <v>34</v>
      </c>
      <c r="T574" s="493">
        <v>33.333333333333336</v>
      </c>
      <c r="U574" s="493">
        <v>32.666666666666664</v>
      </c>
      <c r="V574" s="493">
        <v>32</v>
      </c>
      <c r="W574" s="493">
        <v>31.333333333333332</v>
      </c>
      <c r="X574" s="493">
        <v>30.666666666666668</v>
      </c>
      <c r="Y574" s="493">
        <v>30</v>
      </c>
      <c r="Z574" s="493">
        <v>28.866666666666667</v>
      </c>
      <c r="AA574" s="493">
        <v>27.733333333333334</v>
      </c>
      <c r="AB574" s="493">
        <v>26.6</v>
      </c>
      <c r="AC574" s="493">
        <v>25.466666666666665</v>
      </c>
      <c r="AD574" s="493">
        <v>24.333333333333332</v>
      </c>
      <c r="AE574" s="493">
        <v>23.2</v>
      </c>
      <c r="AF574" s="493">
        <v>22.066666666666666</v>
      </c>
      <c r="AG574" s="493">
        <v>20.933333333333334</v>
      </c>
      <c r="AH574" s="493">
        <v>19.8</v>
      </c>
      <c r="AI574" s="493">
        <v>18.666666666666668</v>
      </c>
    </row>
    <row r="575" spans="2:35" outlineLevel="1">
      <c r="B575" t="str">
        <f t="shared" si="57"/>
        <v>e-hydrogen (compressed) - CAPEX including feedstock CAPEX - Global - USD/ton fuel</v>
      </c>
      <c r="C575" t="s">
        <v>722</v>
      </c>
      <c r="D575" t="s">
        <v>1363</v>
      </c>
      <c r="E575" t="s">
        <v>708</v>
      </c>
      <c r="F575" t="s">
        <v>1353</v>
      </c>
      <c r="G575" s="487" t="str">
        <f t="shared" si="55"/>
        <v>e-hydrogen (compressed)GlobalCAPEX including feedstock CAPEX</v>
      </c>
      <c r="H575" s="507">
        <v>256.64635353013858</v>
      </c>
      <c r="I575" s="507">
        <v>247.21700590830653</v>
      </c>
      <c r="J575" s="507">
        <v>237.53805175037812</v>
      </c>
      <c r="K575" s="507">
        <v>232.53269690653616</v>
      </c>
      <c r="L575" s="507">
        <v>227.06362881665248</v>
      </c>
      <c r="M575" s="507">
        <v>221.13084748073197</v>
      </c>
      <c r="N575" s="507">
        <v>214.73435289877628</v>
      </c>
      <c r="O575" s="507">
        <v>207.87414507077864</v>
      </c>
      <c r="P575" s="507">
        <v>212.24697175898439</v>
      </c>
      <c r="Q575" s="507">
        <v>215.53837151594018</v>
      </c>
      <c r="R575" s="507">
        <v>217.74834434164336</v>
      </c>
      <c r="S575" s="507">
        <v>218.87689023608903</v>
      </c>
      <c r="T575" s="507">
        <v>218.92400919928582</v>
      </c>
      <c r="U575" s="507">
        <v>217.21328869368136</v>
      </c>
      <c r="V575" s="507">
        <v>214.61001500027928</v>
      </c>
      <c r="W575" s="507">
        <v>211.1141881190886</v>
      </c>
      <c r="X575" s="507">
        <v>206.72580805010043</v>
      </c>
      <c r="Y575" s="507">
        <v>201.44487479331141</v>
      </c>
      <c r="Z575" s="507">
        <v>194.68227936129369</v>
      </c>
      <c r="AA575" s="507">
        <v>187.24620275654928</v>
      </c>
      <c r="AB575" s="507">
        <v>179.13664497908553</v>
      </c>
      <c r="AC575" s="507">
        <v>170.35360602889762</v>
      </c>
      <c r="AD575" s="507">
        <v>160.89708590598403</v>
      </c>
      <c r="AE575" s="507">
        <v>150.64085698303418</v>
      </c>
      <c r="AF575" s="507">
        <v>139.96336878636401</v>
      </c>
      <c r="AG575" s="507">
        <v>128.86462131597352</v>
      </c>
      <c r="AH575" s="507">
        <v>117.34461457186269</v>
      </c>
      <c r="AI575" s="507">
        <v>105.40334855403168</v>
      </c>
    </row>
    <row r="576" spans="2:35" outlineLevel="1">
      <c r="B576" t="str">
        <f t="shared" si="57"/>
        <v>Carbon dioxide (PS) - CAPEX - Global - USD/ton fuel</v>
      </c>
      <c r="C576" t="s">
        <v>1380</v>
      </c>
      <c r="D576" t="s">
        <v>446</v>
      </c>
      <c r="E576" t="s">
        <v>708</v>
      </c>
      <c r="F576" t="s">
        <v>1353</v>
      </c>
      <c r="G576" s="487" t="str">
        <f t="shared" si="55"/>
        <v>Carbon dioxide (PS)GlobalCAPEX</v>
      </c>
      <c r="H576" s="493">
        <v>34.333333333333336</v>
      </c>
      <c r="I576" s="493">
        <v>33</v>
      </c>
      <c r="J576" s="493">
        <v>31.666666666666668</v>
      </c>
      <c r="K576" s="493">
        <v>30.333333333333332</v>
      </c>
      <c r="L576" s="493">
        <v>29</v>
      </c>
      <c r="M576" s="493">
        <v>27.666666666666668</v>
      </c>
      <c r="N576" s="493">
        <v>26.333333333333332</v>
      </c>
      <c r="O576" s="493">
        <v>25</v>
      </c>
      <c r="P576" s="493">
        <v>24.483333333333334</v>
      </c>
      <c r="Q576" s="493">
        <v>23.966666666666665</v>
      </c>
      <c r="R576" s="493">
        <v>23.45</v>
      </c>
      <c r="S576" s="493">
        <v>22.933333333333334</v>
      </c>
      <c r="T576" s="493">
        <v>22.416666666666668</v>
      </c>
      <c r="U576" s="493">
        <v>21.9</v>
      </c>
      <c r="V576" s="493">
        <v>21.383333333333333</v>
      </c>
      <c r="W576" s="493">
        <v>20.866666666666667</v>
      </c>
      <c r="X576" s="493">
        <v>20.350000000000001</v>
      </c>
      <c r="Y576" s="493">
        <v>19.833333333333332</v>
      </c>
      <c r="Z576" s="493">
        <v>19.316666666666666</v>
      </c>
      <c r="AA576" s="493">
        <v>18.8</v>
      </c>
      <c r="AB576" s="493">
        <v>18.283333333333335</v>
      </c>
      <c r="AC576" s="493">
        <v>17.766666666666666</v>
      </c>
      <c r="AD576" s="493">
        <v>17.25</v>
      </c>
      <c r="AE576" s="493">
        <v>16.733333333333334</v>
      </c>
      <c r="AF576" s="493">
        <v>16.216666666666665</v>
      </c>
      <c r="AG576" s="493">
        <v>15.7</v>
      </c>
      <c r="AH576" s="493">
        <v>15.183333333333334</v>
      </c>
      <c r="AI576" s="493">
        <v>14.666666666666666</v>
      </c>
    </row>
    <row r="577" spans="2:35" outlineLevel="1">
      <c r="B577" t="str">
        <f t="shared" si="57"/>
        <v>e-methane - Conversion H2 -&gt; CH4 - Global - ton H2/ton CH4</v>
      </c>
      <c r="C577" t="s">
        <v>1387</v>
      </c>
      <c r="D577" t="s">
        <v>1388</v>
      </c>
      <c r="E577" t="s">
        <v>708</v>
      </c>
      <c r="F577" t="s">
        <v>1389</v>
      </c>
      <c r="G577" s="487" t="str">
        <f t="shared" si="55"/>
        <v>e-methaneGlobalConversion H2 -&gt; CH4</v>
      </c>
      <c r="H577" s="508">
        <v>0.5</v>
      </c>
      <c r="I577" s="508">
        <v>0.5</v>
      </c>
      <c r="J577" s="508">
        <v>0.5</v>
      </c>
      <c r="K577" s="508">
        <v>0.5</v>
      </c>
      <c r="L577" s="508">
        <v>0.5</v>
      </c>
      <c r="M577" s="508">
        <v>0.5</v>
      </c>
      <c r="N577" s="508">
        <v>0.5</v>
      </c>
      <c r="O577" s="508">
        <v>0.5</v>
      </c>
      <c r="P577" s="508">
        <v>0.5</v>
      </c>
      <c r="Q577" s="508">
        <v>0.5</v>
      </c>
      <c r="R577" s="508">
        <v>0.5</v>
      </c>
      <c r="S577" s="508">
        <v>0.5</v>
      </c>
      <c r="T577" s="508">
        <v>0.5</v>
      </c>
      <c r="U577" s="508">
        <v>0.5</v>
      </c>
      <c r="V577" s="508">
        <v>0.5</v>
      </c>
      <c r="W577" s="508">
        <v>0.5</v>
      </c>
      <c r="X577" s="508">
        <v>0.5</v>
      </c>
      <c r="Y577" s="508">
        <v>0.5</v>
      </c>
      <c r="Z577" s="508">
        <v>0.5</v>
      </c>
      <c r="AA577" s="508">
        <v>0.5</v>
      </c>
      <c r="AB577" s="508">
        <v>0.5</v>
      </c>
      <c r="AC577" s="508">
        <v>0.5</v>
      </c>
      <c r="AD577" s="508">
        <v>0.5</v>
      </c>
      <c r="AE577" s="508">
        <v>0.5</v>
      </c>
      <c r="AF577" s="508">
        <v>0.5</v>
      </c>
      <c r="AG577" s="508">
        <v>0.5</v>
      </c>
      <c r="AH577" s="508">
        <v>0.5</v>
      </c>
      <c r="AI577" s="508">
        <v>0.5</v>
      </c>
    </row>
    <row r="578" spans="2:35" outlineLevel="1">
      <c r="B578" t="str">
        <f t="shared" si="57"/>
        <v>e-methane - Conversion CO2 -&gt; CH4 - Global - ton CO2/ton CH4</v>
      </c>
      <c r="C578" t="s">
        <v>1387</v>
      </c>
      <c r="D578" t="s">
        <v>1390</v>
      </c>
      <c r="E578" t="s">
        <v>708</v>
      </c>
      <c r="F578" t="s">
        <v>1391</v>
      </c>
      <c r="G578" s="487" t="str">
        <f t="shared" si="55"/>
        <v>e-methaneGlobalConversion CO2 -&gt; CH4</v>
      </c>
      <c r="H578" s="508">
        <v>2.75</v>
      </c>
      <c r="I578" s="508">
        <v>2.75</v>
      </c>
      <c r="J578" s="508">
        <v>2.75</v>
      </c>
      <c r="K578" s="508">
        <v>2.75</v>
      </c>
      <c r="L578" s="508">
        <v>2.75</v>
      </c>
      <c r="M578" s="508">
        <v>2.75</v>
      </c>
      <c r="N578" s="508">
        <v>2.75</v>
      </c>
      <c r="O578" s="508">
        <v>2.75</v>
      </c>
      <c r="P578" s="508">
        <v>2.75</v>
      </c>
      <c r="Q578" s="508">
        <v>2.75</v>
      </c>
      <c r="R578" s="508">
        <v>2.75</v>
      </c>
      <c r="S578" s="508">
        <v>2.75</v>
      </c>
      <c r="T578" s="508">
        <v>2.75</v>
      </c>
      <c r="U578" s="508">
        <v>2.75</v>
      </c>
      <c r="V578" s="508">
        <v>2.75</v>
      </c>
      <c r="W578" s="508">
        <v>2.75</v>
      </c>
      <c r="X578" s="508">
        <v>2.75</v>
      </c>
      <c r="Y578" s="508">
        <v>2.75</v>
      </c>
      <c r="Z578" s="508">
        <v>2.75</v>
      </c>
      <c r="AA578" s="508">
        <v>2.75</v>
      </c>
      <c r="AB578" s="508">
        <v>2.75</v>
      </c>
      <c r="AC578" s="508">
        <v>2.75</v>
      </c>
      <c r="AD578" s="508">
        <v>2.75</v>
      </c>
      <c r="AE578" s="508">
        <v>2.75</v>
      </c>
      <c r="AF578" s="508">
        <v>2.75</v>
      </c>
      <c r="AG578" s="508">
        <v>2.75</v>
      </c>
      <c r="AH578" s="508">
        <v>2.75</v>
      </c>
      <c r="AI578" s="508">
        <v>2.75</v>
      </c>
    </row>
    <row r="579" spans="2:35" outlineLevel="1">
      <c r="B579" t="str">
        <f t="shared" si="57"/>
        <v/>
      </c>
      <c r="G579" s="487" t="str">
        <f t="shared" si="55"/>
        <v/>
      </c>
      <c r="H579" s="493"/>
      <c r="I579" s="493"/>
      <c r="J579" s="493"/>
      <c r="K579" s="493"/>
      <c r="L579" s="493"/>
      <c r="M579" s="493"/>
      <c r="N579" s="493"/>
      <c r="O579" s="493"/>
      <c r="P579" s="493"/>
      <c r="Q579" s="493"/>
      <c r="R579" s="493"/>
      <c r="S579" s="493"/>
      <c r="T579" s="493"/>
      <c r="U579" s="493"/>
      <c r="V579" s="493"/>
      <c r="W579" s="493"/>
      <c r="X579" s="493"/>
      <c r="Y579" s="493"/>
      <c r="Z579" s="493"/>
      <c r="AA579" s="493"/>
      <c r="AB579" s="493"/>
      <c r="AC579" s="493"/>
      <c r="AD579" s="493"/>
      <c r="AE579" s="493"/>
      <c r="AF579" s="493"/>
      <c r="AG579" s="493"/>
      <c r="AH579" s="493"/>
      <c r="AI579" s="493"/>
    </row>
    <row r="580" spans="2:35" ht="15" outlineLevel="1">
      <c r="B580" t="str">
        <f t="shared" si="57"/>
        <v>e-methane (PS) - OPEX including feedstock OPEX - Global - USD/ton fuel</v>
      </c>
      <c r="C580" s="491" t="str">
        <f>C566</f>
        <v>e-methane (PS)</v>
      </c>
      <c r="D580" s="491" t="s">
        <v>1364</v>
      </c>
      <c r="E580" s="491" t="s">
        <v>708</v>
      </c>
      <c r="F580" s="491" t="s">
        <v>1353</v>
      </c>
      <c r="G580" s="487" t="str">
        <f t="shared" si="55"/>
        <v>e-methane (PS)GlobalOPEX including feedstock OPEX</v>
      </c>
      <c r="H580" s="492">
        <v>654.30495449488774</v>
      </c>
      <c r="I580" s="492">
        <v>626.01366881343711</v>
      </c>
      <c r="J580" s="492">
        <v>596.53207762556622</v>
      </c>
      <c r="K580" s="492">
        <v>577.01397590460112</v>
      </c>
      <c r="L580" s="492">
        <v>555.69605665774191</v>
      </c>
      <c r="M580" s="492">
        <v>532.57831988498629</v>
      </c>
      <c r="N580" s="492">
        <v>507.6607655863541</v>
      </c>
      <c r="O580" s="492">
        <v>480.94339376182506</v>
      </c>
      <c r="P580" s="492">
        <v>476.84124369440019</v>
      </c>
      <c r="Q580" s="492">
        <v>470.2995779718056</v>
      </c>
      <c r="R580" s="492">
        <v>461.31839659404523</v>
      </c>
      <c r="S580" s="492">
        <v>449.89769956110717</v>
      </c>
      <c r="T580" s="492">
        <v>436.03748687299992</v>
      </c>
      <c r="U580" s="492">
        <v>423.19522660584778</v>
      </c>
      <c r="V580" s="492">
        <v>408.88495449275354</v>
      </c>
      <c r="W580" s="492">
        <v>393.1066705337293</v>
      </c>
      <c r="X580" s="492">
        <v>375.8603747287558</v>
      </c>
      <c r="Y580" s="492">
        <v>357.14606707784282</v>
      </c>
      <c r="Z580" s="492">
        <v>340.12269393069164</v>
      </c>
      <c r="AA580" s="492">
        <v>322.37086940881204</v>
      </c>
      <c r="AB580" s="492">
        <v>303.89059351221647</v>
      </c>
      <c r="AC580" s="492">
        <v>284.68186624089219</v>
      </c>
      <c r="AD580" s="492">
        <v>264.74468759484927</v>
      </c>
      <c r="AE580" s="492">
        <v>248.48466951578379</v>
      </c>
      <c r="AF580" s="492">
        <v>231.94443829210849</v>
      </c>
      <c r="AG580" s="492">
        <v>215.12399392382383</v>
      </c>
      <c r="AH580" s="492">
        <v>198.02333641092952</v>
      </c>
      <c r="AI580" s="492">
        <v>180.64246575342565</v>
      </c>
    </row>
    <row r="581" spans="2:35" outlineLevel="1">
      <c r="B581" t="str">
        <f t="shared" si="57"/>
        <v>e-methane (PS) - OPEX - Global - USD/ton fuel</v>
      </c>
      <c r="C581" t="str">
        <f>C566</f>
        <v>e-methane (PS)</v>
      </c>
      <c r="D581" t="s">
        <v>450</v>
      </c>
      <c r="E581" t="s">
        <v>708</v>
      </c>
      <c r="F581" t="s">
        <v>1353</v>
      </c>
      <c r="G581" s="487" t="str">
        <f t="shared" si="55"/>
        <v>e-methane (PS)GlobalOPEX</v>
      </c>
      <c r="H581" s="493">
        <v>123.36</v>
      </c>
      <c r="I581" s="493">
        <v>116.48</v>
      </c>
      <c r="J581" s="493">
        <v>109.60000000000001</v>
      </c>
      <c r="K581" s="493">
        <v>105.28</v>
      </c>
      <c r="L581" s="493">
        <v>100.96000000000001</v>
      </c>
      <c r="M581" s="493">
        <v>96.64</v>
      </c>
      <c r="N581" s="493">
        <v>92.320000000000007</v>
      </c>
      <c r="O581" s="493">
        <v>88</v>
      </c>
      <c r="P581" s="493">
        <v>86.4</v>
      </c>
      <c r="Q581" s="493">
        <v>84.8</v>
      </c>
      <c r="R581" s="493">
        <v>83.2</v>
      </c>
      <c r="S581" s="493">
        <v>81.600000000000009</v>
      </c>
      <c r="T581" s="493">
        <v>80</v>
      </c>
      <c r="U581" s="493">
        <v>78.400000000000006</v>
      </c>
      <c r="V581" s="493">
        <v>76.8</v>
      </c>
      <c r="W581" s="493">
        <v>75.2</v>
      </c>
      <c r="X581" s="493">
        <v>73.600000000000009</v>
      </c>
      <c r="Y581" s="493">
        <v>72</v>
      </c>
      <c r="Z581" s="493">
        <v>69.28</v>
      </c>
      <c r="AA581" s="493">
        <v>66.56</v>
      </c>
      <c r="AB581" s="493">
        <v>63.84</v>
      </c>
      <c r="AC581" s="493">
        <v>61.120000000000005</v>
      </c>
      <c r="AD581" s="493">
        <v>58.4</v>
      </c>
      <c r="AE581" s="493">
        <v>55.68</v>
      </c>
      <c r="AF581" s="493">
        <v>52.96</v>
      </c>
      <c r="AG581" s="493">
        <v>50.24</v>
      </c>
      <c r="AH581" s="493">
        <v>47.52</v>
      </c>
      <c r="AI581" s="493">
        <v>44.800000000000004</v>
      </c>
    </row>
    <row r="582" spans="2:35" outlineLevel="1">
      <c r="B582" t="str">
        <f t="shared" si="57"/>
        <v>e-hydrogen (compressed) - OPEX including feedstock OPEX - Global - USD/ton fuel</v>
      </c>
      <c r="C582" t="s">
        <v>722</v>
      </c>
      <c r="D582" t="s">
        <v>1364</v>
      </c>
      <c r="E582" t="s">
        <v>708</v>
      </c>
      <c r="F582" t="s">
        <v>1353</v>
      </c>
      <c r="G582" s="487" t="str">
        <f t="shared" si="55"/>
        <v>e-hydrogen (compressed)GlobalOPEX including feedstock OPEX</v>
      </c>
      <c r="H582" s="507">
        <v>778.63990898977545</v>
      </c>
      <c r="I582" s="507">
        <v>746.81733762687418</v>
      </c>
      <c r="J582" s="507">
        <v>712.61415525113227</v>
      </c>
      <c r="K582" s="507">
        <v>693.21795180920219</v>
      </c>
      <c r="L582" s="507">
        <v>670.22211331548374</v>
      </c>
      <c r="M582" s="507">
        <v>643.6266397699726</v>
      </c>
      <c r="N582" s="507">
        <v>613.43153117270822</v>
      </c>
      <c r="O582" s="507">
        <v>579.63678752365013</v>
      </c>
      <c r="P582" s="507">
        <v>578.89498738880036</v>
      </c>
      <c r="Q582" s="507">
        <v>573.27415594361116</v>
      </c>
      <c r="R582" s="507">
        <v>562.77429318809038</v>
      </c>
      <c r="S582" s="507">
        <v>547.39539912221437</v>
      </c>
      <c r="T582" s="507">
        <v>527.13747374599984</v>
      </c>
      <c r="U582" s="507">
        <v>508.91545321169565</v>
      </c>
      <c r="V582" s="507">
        <v>487.75740898550708</v>
      </c>
      <c r="W582" s="507">
        <v>463.66334106745865</v>
      </c>
      <c r="X582" s="507">
        <v>436.63324945751151</v>
      </c>
      <c r="Y582" s="507">
        <v>406.66713415568563</v>
      </c>
      <c r="Z582" s="507">
        <v>382.32288786138321</v>
      </c>
      <c r="AA582" s="507">
        <v>356.52173881762411</v>
      </c>
      <c r="AB582" s="507">
        <v>329.2636870244329</v>
      </c>
      <c r="AC582" s="507">
        <v>300.54873248178433</v>
      </c>
      <c r="AD582" s="507">
        <v>270.37687518969852</v>
      </c>
      <c r="AE582" s="507">
        <v>247.55933903156756</v>
      </c>
      <c r="AF582" s="507">
        <v>224.18137658421693</v>
      </c>
      <c r="AG582" s="507">
        <v>200.24298784764761</v>
      </c>
      <c r="AH582" s="507">
        <v>175.74417282185905</v>
      </c>
      <c r="AI582" s="507">
        <v>150.68493150685131</v>
      </c>
    </row>
    <row r="583" spans="2:35" outlineLevel="1">
      <c r="B583" t="str">
        <f t="shared" si="57"/>
        <v>Carbon dioxide (PS) - OPEX - Global - USD/ton fuel</v>
      </c>
      <c r="C583" t="s">
        <v>1380</v>
      </c>
      <c r="D583" t="s">
        <v>450</v>
      </c>
      <c r="E583" t="s">
        <v>708</v>
      </c>
      <c r="F583" t="s">
        <v>1353</v>
      </c>
      <c r="G583" s="487" t="str">
        <f t="shared" si="55"/>
        <v>Carbon dioxide (PS)GlobalOPEX</v>
      </c>
      <c r="H583" s="493">
        <v>51.5</v>
      </c>
      <c r="I583" s="493">
        <v>49.5</v>
      </c>
      <c r="J583" s="493">
        <v>47.5</v>
      </c>
      <c r="K583" s="493">
        <v>45.5</v>
      </c>
      <c r="L583" s="493">
        <v>43.5</v>
      </c>
      <c r="M583" s="493">
        <v>41.5</v>
      </c>
      <c r="N583" s="493">
        <v>39.5</v>
      </c>
      <c r="O583" s="493">
        <v>37.5</v>
      </c>
      <c r="P583" s="493">
        <v>36.725000000000001</v>
      </c>
      <c r="Q583" s="493">
        <v>35.950000000000003</v>
      </c>
      <c r="R583" s="493">
        <v>35.175000000000004</v>
      </c>
      <c r="S583" s="493">
        <v>34.4</v>
      </c>
      <c r="T583" s="493">
        <v>33.625</v>
      </c>
      <c r="U583" s="493">
        <v>32.85</v>
      </c>
      <c r="V583" s="493">
        <v>32.075000000000003</v>
      </c>
      <c r="W583" s="493">
        <v>31.3</v>
      </c>
      <c r="X583" s="493">
        <v>30.525000000000002</v>
      </c>
      <c r="Y583" s="493">
        <v>29.75</v>
      </c>
      <c r="Z583" s="493">
        <v>28.975000000000001</v>
      </c>
      <c r="AA583" s="493">
        <v>28.200000000000003</v>
      </c>
      <c r="AB583" s="493">
        <v>27.425000000000001</v>
      </c>
      <c r="AC583" s="493">
        <v>26.650000000000002</v>
      </c>
      <c r="AD583" s="493">
        <v>25.875</v>
      </c>
      <c r="AE583" s="493">
        <v>25.1</v>
      </c>
      <c r="AF583" s="493">
        <v>24.325000000000003</v>
      </c>
      <c r="AG583" s="493">
        <v>23.55</v>
      </c>
      <c r="AH583" s="493">
        <v>22.775000000000002</v>
      </c>
      <c r="AI583" s="493">
        <v>22</v>
      </c>
    </row>
    <row r="584" spans="2:35" outlineLevel="1">
      <c r="B584" t="str">
        <f t="shared" si="57"/>
        <v>e-methane - Conversion H2 -&gt; CH4 - Global - ton H2/ton CH4</v>
      </c>
      <c r="C584" t="s">
        <v>1387</v>
      </c>
      <c r="D584" t="s">
        <v>1388</v>
      </c>
      <c r="E584" t="s">
        <v>708</v>
      </c>
      <c r="F584" t="s">
        <v>1389</v>
      </c>
      <c r="G584" s="487" t="str">
        <f t="shared" ref="G584:G647" si="58">+C584&amp;E584&amp;D584</f>
        <v>e-methaneGlobalConversion H2 -&gt; CH4</v>
      </c>
      <c r="H584" s="508">
        <v>0.5</v>
      </c>
      <c r="I584" s="508">
        <v>0.5</v>
      </c>
      <c r="J584" s="508">
        <v>0.5</v>
      </c>
      <c r="K584" s="508">
        <v>0.5</v>
      </c>
      <c r="L584" s="508">
        <v>0.5</v>
      </c>
      <c r="M584" s="508">
        <v>0.5</v>
      </c>
      <c r="N584" s="508">
        <v>0.5</v>
      </c>
      <c r="O584" s="508">
        <v>0.5</v>
      </c>
      <c r="P584" s="508">
        <v>0.5</v>
      </c>
      <c r="Q584" s="508">
        <v>0.5</v>
      </c>
      <c r="R584" s="508">
        <v>0.5</v>
      </c>
      <c r="S584" s="508">
        <v>0.5</v>
      </c>
      <c r="T584" s="508">
        <v>0.5</v>
      </c>
      <c r="U584" s="508">
        <v>0.5</v>
      </c>
      <c r="V584" s="508">
        <v>0.5</v>
      </c>
      <c r="W584" s="508">
        <v>0.5</v>
      </c>
      <c r="X584" s="508">
        <v>0.5</v>
      </c>
      <c r="Y584" s="508">
        <v>0.5</v>
      </c>
      <c r="Z584" s="508">
        <v>0.5</v>
      </c>
      <c r="AA584" s="508">
        <v>0.5</v>
      </c>
      <c r="AB584" s="508">
        <v>0.5</v>
      </c>
      <c r="AC584" s="508">
        <v>0.5</v>
      </c>
      <c r="AD584" s="508">
        <v>0.5</v>
      </c>
      <c r="AE584" s="508">
        <v>0.5</v>
      </c>
      <c r="AF584" s="508">
        <v>0.5</v>
      </c>
      <c r="AG584" s="508">
        <v>0.5</v>
      </c>
      <c r="AH584" s="508">
        <v>0.5</v>
      </c>
      <c r="AI584" s="508">
        <v>0.5</v>
      </c>
    </row>
    <row r="585" spans="2:35" outlineLevel="1">
      <c r="B585" t="str">
        <f t="shared" si="57"/>
        <v>e-methane - Conversion CO2 -&gt; CH4 - Global - ton CO2/ton CH4</v>
      </c>
      <c r="C585" t="s">
        <v>1387</v>
      </c>
      <c r="D585" t="s">
        <v>1390</v>
      </c>
      <c r="E585" t="s">
        <v>708</v>
      </c>
      <c r="F585" t="s">
        <v>1391</v>
      </c>
      <c r="G585" s="487" t="str">
        <f t="shared" si="58"/>
        <v>e-methaneGlobalConversion CO2 -&gt; CH4</v>
      </c>
      <c r="H585" s="508">
        <v>2.75</v>
      </c>
      <c r="I585" s="508">
        <v>2.75</v>
      </c>
      <c r="J585" s="508">
        <v>2.75</v>
      </c>
      <c r="K585" s="508">
        <v>2.75</v>
      </c>
      <c r="L585" s="508">
        <v>2.75</v>
      </c>
      <c r="M585" s="508">
        <v>2.75</v>
      </c>
      <c r="N585" s="508">
        <v>2.75</v>
      </c>
      <c r="O585" s="508">
        <v>2.75</v>
      </c>
      <c r="P585" s="508">
        <v>2.75</v>
      </c>
      <c r="Q585" s="508">
        <v>2.75</v>
      </c>
      <c r="R585" s="508">
        <v>2.75</v>
      </c>
      <c r="S585" s="508">
        <v>2.75</v>
      </c>
      <c r="T585" s="508">
        <v>2.75</v>
      </c>
      <c r="U585" s="508">
        <v>2.75</v>
      </c>
      <c r="V585" s="508">
        <v>2.75</v>
      </c>
      <c r="W585" s="508">
        <v>2.75</v>
      </c>
      <c r="X585" s="508">
        <v>2.75</v>
      </c>
      <c r="Y585" s="508">
        <v>2.75</v>
      </c>
      <c r="Z585" s="508">
        <v>2.75</v>
      </c>
      <c r="AA585" s="508">
        <v>2.75</v>
      </c>
      <c r="AB585" s="508">
        <v>2.75</v>
      </c>
      <c r="AC585" s="508">
        <v>2.75</v>
      </c>
      <c r="AD585" s="508">
        <v>2.75</v>
      </c>
      <c r="AE585" s="508">
        <v>2.75</v>
      </c>
      <c r="AF585" s="508">
        <v>2.75</v>
      </c>
      <c r="AG585" s="508">
        <v>2.75</v>
      </c>
      <c r="AH585" s="508">
        <v>2.75</v>
      </c>
      <c r="AI585" s="508">
        <v>2.75</v>
      </c>
    </row>
    <row r="586" spans="2:35" outlineLevel="1">
      <c r="B586" t="str">
        <f t="shared" si="57"/>
        <v/>
      </c>
      <c r="G586" s="487" t="str">
        <f t="shared" si="58"/>
        <v/>
      </c>
      <c r="H586" s="493"/>
      <c r="I586" s="493"/>
      <c r="J586" s="493"/>
      <c r="K586" s="493"/>
      <c r="L586" s="493"/>
      <c r="M586" s="493"/>
      <c r="N586" s="493"/>
      <c r="O586" s="493"/>
      <c r="P586" s="493"/>
      <c r="Q586" s="493"/>
      <c r="R586" s="493"/>
      <c r="S586" s="493"/>
      <c r="T586" s="493"/>
      <c r="U586" s="493"/>
      <c r="V586" s="493"/>
      <c r="W586" s="493"/>
      <c r="X586" s="493"/>
      <c r="Y586" s="493"/>
      <c r="Z586" s="493"/>
      <c r="AA586" s="493"/>
      <c r="AB586" s="493"/>
      <c r="AC586" s="493"/>
      <c r="AD586" s="493"/>
      <c r="AE586" s="493"/>
      <c r="AF586" s="493"/>
      <c r="AG586" s="493"/>
      <c r="AH586" s="493"/>
      <c r="AI586" s="493"/>
    </row>
    <row r="587" spans="2:35" ht="15" outlineLevel="1">
      <c r="B587" t="str">
        <f t="shared" si="57"/>
        <v>e-methane (PS) - Finance cost including feedstock finance cost - Africa - USD/ton fuel</v>
      </c>
      <c r="C587" s="494" t="str">
        <f>C570</f>
        <v>e-methane (PS)</v>
      </c>
      <c r="D587" s="494" t="s">
        <v>1365</v>
      </c>
      <c r="E587" s="494" t="s">
        <v>838</v>
      </c>
      <c r="F587" s="494" t="s">
        <v>1353</v>
      </c>
      <c r="G587" s="487" t="str">
        <f t="shared" si="58"/>
        <v>e-methane (PS)AfricaFinance cost including feedstock finance cost</v>
      </c>
      <c r="H587" s="495">
        <v>452.3307416623644</v>
      </c>
      <c r="I587" s="495">
        <v>433.77152987435295</v>
      </c>
      <c r="J587" s="495">
        <v>415.00639269406201</v>
      </c>
      <c r="K587" s="495">
        <v>401.85697494789235</v>
      </c>
      <c r="L587" s="495">
        <v>388.32499377373836</v>
      </c>
      <c r="M587" s="495">
        <v>374.41044917160394</v>
      </c>
      <c r="N587" s="495">
        <v>360.11334114149042</v>
      </c>
      <c r="O587" s="495">
        <v>345.4336696833924</v>
      </c>
      <c r="P587" s="495">
        <v>345.59687670116216</v>
      </c>
      <c r="Q587" s="495">
        <v>344.86790650065063</v>
      </c>
      <c r="R587" s="495">
        <v>343.24675908185583</v>
      </c>
      <c r="S587" s="495">
        <v>340.73343444477348</v>
      </c>
      <c r="T587" s="495">
        <v>337.32793258941081</v>
      </c>
      <c r="U587" s="495">
        <v>332.47221317228718</v>
      </c>
      <c r="V587" s="495">
        <v>326.88013737523045</v>
      </c>
      <c r="W587" s="495">
        <v>320.55170519824816</v>
      </c>
      <c r="X587" s="495">
        <v>313.48691664133287</v>
      </c>
      <c r="Y587" s="495">
        <v>305.68577170448191</v>
      </c>
      <c r="Z587" s="495">
        <v>295.89225547306734</v>
      </c>
      <c r="AA587" s="495">
        <v>285.54311727415319</v>
      </c>
      <c r="AB587" s="495">
        <v>274.63835710774561</v>
      </c>
      <c r="AC587" s="495">
        <v>263.17797497384061</v>
      </c>
      <c r="AD587" s="495">
        <v>251.16197087243683</v>
      </c>
      <c r="AE587" s="495">
        <v>238.48620701100324</v>
      </c>
      <c r="AF587" s="495">
        <v>225.46290424875031</v>
      </c>
      <c r="AG587" s="495">
        <v>212.09206258567818</v>
      </c>
      <c r="AH587" s="495">
        <v>198.37368202178675</v>
      </c>
      <c r="AI587" s="495">
        <v>184.30776255707616</v>
      </c>
    </row>
    <row r="588" spans="2:35" ht="15" outlineLevel="1">
      <c r="B588" t="str">
        <f t="shared" si="57"/>
        <v>e-methane (PS) - Finance cost including feedstock finance cost - Americas - USD/ton fuel</v>
      </c>
      <c r="C588" s="22" t="str">
        <f>C570</f>
        <v>e-methane (PS)</v>
      </c>
      <c r="D588" s="22" t="s">
        <v>1365</v>
      </c>
      <c r="E588" s="22" t="s">
        <v>731</v>
      </c>
      <c r="F588" s="22" t="s">
        <v>1353</v>
      </c>
      <c r="G588" s="487" t="str">
        <f t="shared" si="58"/>
        <v>e-methane (PS)AmericasFinance cost including feedstock finance cost</v>
      </c>
      <c r="H588" s="496">
        <v>452.3307416623644</v>
      </c>
      <c r="I588" s="496">
        <v>433.77152987435295</v>
      </c>
      <c r="J588" s="496">
        <v>415.00639269406201</v>
      </c>
      <c r="K588" s="496">
        <v>401.85697494789235</v>
      </c>
      <c r="L588" s="496">
        <v>388.32499377373836</v>
      </c>
      <c r="M588" s="496">
        <v>374.41044917160394</v>
      </c>
      <c r="N588" s="496">
        <v>360.11334114149042</v>
      </c>
      <c r="O588" s="496">
        <v>345.4336696833924</v>
      </c>
      <c r="P588" s="496">
        <v>345.59687670116216</v>
      </c>
      <c r="Q588" s="496">
        <v>344.86790650065063</v>
      </c>
      <c r="R588" s="496">
        <v>343.24675908185583</v>
      </c>
      <c r="S588" s="496">
        <v>340.73343444477348</v>
      </c>
      <c r="T588" s="496">
        <v>337.32793258941081</v>
      </c>
      <c r="U588" s="496">
        <v>332.47221317228718</v>
      </c>
      <c r="V588" s="496">
        <v>326.88013737523045</v>
      </c>
      <c r="W588" s="496">
        <v>320.55170519824816</v>
      </c>
      <c r="X588" s="496">
        <v>313.48691664133287</v>
      </c>
      <c r="Y588" s="496">
        <v>305.68577170448191</v>
      </c>
      <c r="Z588" s="496">
        <v>295.89225547306734</v>
      </c>
      <c r="AA588" s="496">
        <v>285.54311727415319</v>
      </c>
      <c r="AB588" s="496">
        <v>274.63835710774561</v>
      </c>
      <c r="AC588" s="496">
        <v>263.17797497384061</v>
      </c>
      <c r="AD588" s="496">
        <v>251.16197087243683</v>
      </c>
      <c r="AE588" s="496">
        <v>238.48620701100324</v>
      </c>
      <c r="AF588" s="496">
        <v>225.46290424875031</v>
      </c>
      <c r="AG588" s="496">
        <v>212.09206258567818</v>
      </c>
      <c r="AH588" s="496">
        <v>198.37368202178675</v>
      </c>
      <c r="AI588" s="496">
        <v>184.30776255707616</v>
      </c>
    </row>
    <row r="589" spans="2:35" ht="15" outlineLevel="1">
      <c r="B589" t="str">
        <f t="shared" si="57"/>
        <v>e-methane (PS) - Finance cost including feedstock finance cost - Asia - USD/ton fuel</v>
      </c>
      <c r="C589" s="22" t="str">
        <f>C570</f>
        <v>e-methane (PS)</v>
      </c>
      <c r="D589" s="22" t="s">
        <v>1365</v>
      </c>
      <c r="E589" s="22" t="s">
        <v>750</v>
      </c>
      <c r="F589" s="22" t="s">
        <v>1353</v>
      </c>
      <c r="G589" s="487" t="str">
        <f t="shared" si="58"/>
        <v>e-methane (PS)AsiaFinance cost including feedstock finance cost</v>
      </c>
      <c r="H589" s="496">
        <v>452.3307416623644</v>
      </c>
      <c r="I589" s="496">
        <v>433.77152987435295</v>
      </c>
      <c r="J589" s="496">
        <v>415.00639269406201</v>
      </c>
      <c r="K589" s="496">
        <v>401.85697494789235</v>
      </c>
      <c r="L589" s="496">
        <v>388.32499377373836</v>
      </c>
      <c r="M589" s="496">
        <v>374.41044917160394</v>
      </c>
      <c r="N589" s="496">
        <v>360.11334114149042</v>
      </c>
      <c r="O589" s="496">
        <v>345.4336696833924</v>
      </c>
      <c r="P589" s="496">
        <v>345.59687670116216</v>
      </c>
      <c r="Q589" s="496">
        <v>344.86790650065063</v>
      </c>
      <c r="R589" s="496">
        <v>343.24675908185583</v>
      </c>
      <c r="S589" s="496">
        <v>340.73343444477348</v>
      </c>
      <c r="T589" s="496">
        <v>337.32793258941081</v>
      </c>
      <c r="U589" s="496">
        <v>332.47221317228718</v>
      </c>
      <c r="V589" s="496">
        <v>326.88013737523045</v>
      </c>
      <c r="W589" s="496">
        <v>320.55170519824816</v>
      </c>
      <c r="X589" s="496">
        <v>313.48691664133287</v>
      </c>
      <c r="Y589" s="496">
        <v>305.68577170448191</v>
      </c>
      <c r="Z589" s="496">
        <v>295.89225547306734</v>
      </c>
      <c r="AA589" s="496">
        <v>285.54311727415319</v>
      </c>
      <c r="AB589" s="496">
        <v>274.63835710774561</v>
      </c>
      <c r="AC589" s="496">
        <v>263.17797497384061</v>
      </c>
      <c r="AD589" s="496">
        <v>251.16197087243683</v>
      </c>
      <c r="AE589" s="496">
        <v>238.48620701100324</v>
      </c>
      <c r="AF589" s="496">
        <v>225.46290424875031</v>
      </c>
      <c r="AG589" s="496">
        <v>212.09206258567818</v>
      </c>
      <c r="AH589" s="496">
        <v>198.37368202178675</v>
      </c>
      <c r="AI589" s="496">
        <v>184.30776255707616</v>
      </c>
    </row>
    <row r="590" spans="2:35" ht="15" outlineLevel="1">
      <c r="B590" t="str">
        <f t="shared" si="57"/>
        <v>e-methane (PS) - Finance cost including feedstock finance cost - Europe - USD/ton fuel</v>
      </c>
      <c r="C590" s="22" t="str">
        <f>C570</f>
        <v>e-methane (PS)</v>
      </c>
      <c r="D590" s="22" t="s">
        <v>1365</v>
      </c>
      <c r="E590" s="22" t="s">
        <v>720</v>
      </c>
      <c r="F590" s="22" t="s">
        <v>1353</v>
      </c>
      <c r="G590" s="487" t="str">
        <f t="shared" si="58"/>
        <v>e-methane (PS)EuropeFinance cost including feedstock finance cost</v>
      </c>
      <c r="H590" s="496">
        <v>452.3307416623644</v>
      </c>
      <c r="I590" s="496">
        <v>433.77152987435295</v>
      </c>
      <c r="J590" s="496">
        <v>415.00639269406201</v>
      </c>
      <c r="K590" s="496">
        <v>401.85697494789235</v>
      </c>
      <c r="L590" s="496">
        <v>388.32499377373836</v>
      </c>
      <c r="M590" s="496">
        <v>374.41044917160394</v>
      </c>
      <c r="N590" s="496">
        <v>360.11334114149042</v>
      </c>
      <c r="O590" s="496">
        <v>345.4336696833924</v>
      </c>
      <c r="P590" s="496">
        <v>345.59687670116216</v>
      </c>
      <c r="Q590" s="496">
        <v>344.86790650065063</v>
      </c>
      <c r="R590" s="496">
        <v>343.24675908185583</v>
      </c>
      <c r="S590" s="496">
        <v>340.73343444477348</v>
      </c>
      <c r="T590" s="496">
        <v>337.32793258941081</v>
      </c>
      <c r="U590" s="496">
        <v>332.47221317228718</v>
      </c>
      <c r="V590" s="496">
        <v>326.88013737523045</v>
      </c>
      <c r="W590" s="496">
        <v>320.55170519824816</v>
      </c>
      <c r="X590" s="496">
        <v>313.48691664133287</v>
      </c>
      <c r="Y590" s="496">
        <v>305.68577170448191</v>
      </c>
      <c r="Z590" s="496">
        <v>295.89225547306734</v>
      </c>
      <c r="AA590" s="496">
        <v>285.54311727415319</v>
      </c>
      <c r="AB590" s="496">
        <v>274.63835710774561</v>
      </c>
      <c r="AC590" s="496">
        <v>263.17797497384061</v>
      </c>
      <c r="AD590" s="496">
        <v>251.16197087243683</v>
      </c>
      <c r="AE590" s="496">
        <v>238.48620701100324</v>
      </c>
      <c r="AF590" s="496">
        <v>225.46290424875031</v>
      </c>
      <c r="AG590" s="496">
        <v>212.09206258567818</v>
      </c>
      <c r="AH590" s="496">
        <v>198.37368202178675</v>
      </c>
      <c r="AI590" s="496">
        <v>184.30776255707616</v>
      </c>
    </row>
    <row r="591" spans="2:35" ht="15" outlineLevel="1">
      <c r="B591" t="str">
        <f t="shared" si="57"/>
        <v>e-methane (PS) - Finance cost including feedstock finance cost - Middle East - USD/ton fuel</v>
      </c>
      <c r="C591" s="92" t="str">
        <f>C570</f>
        <v>e-methane (PS)</v>
      </c>
      <c r="D591" s="92" t="s">
        <v>1365</v>
      </c>
      <c r="E591" s="92" t="s">
        <v>826</v>
      </c>
      <c r="F591" s="92" t="s">
        <v>1353</v>
      </c>
      <c r="G591" s="487" t="str">
        <f t="shared" si="58"/>
        <v>e-methane (PS)Middle EastFinance cost including feedstock finance cost</v>
      </c>
      <c r="H591" s="497">
        <v>452.3307416623644</v>
      </c>
      <c r="I591" s="497">
        <v>433.77152987435295</v>
      </c>
      <c r="J591" s="497">
        <v>415.00639269406201</v>
      </c>
      <c r="K591" s="497">
        <v>401.85697494789235</v>
      </c>
      <c r="L591" s="497">
        <v>388.32499377373836</v>
      </c>
      <c r="M591" s="497">
        <v>374.41044917160394</v>
      </c>
      <c r="N591" s="497">
        <v>360.11334114149042</v>
      </c>
      <c r="O591" s="497">
        <v>345.4336696833924</v>
      </c>
      <c r="P591" s="497">
        <v>345.59687670116216</v>
      </c>
      <c r="Q591" s="497">
        <v>344.86790650065063</v>
      </c>
      <c r="R591" s="497">
        <v>343.24675908185583</v>
      </c>
      <c r="S591" s="497">
        <v>340.73343444477348</v>
      </c>
      <c r="T591" s="497">
        <v>337.32793258941081</v>
      </c>
      <c r="U591" s="497">
        <v>332.47221317228718</v>
      </c>
      <c r="V591" s="497">
        <v>326.88013737523045</v>
      </c>
      <c r="W591" s="497">
        <v>320.55170519824816</v>
      </c>
      <c r="X591" s="497">
        <v>313.48691664133287</v>
      </c>
      <c r="Y591" s="497">
        <v>305.68577170448191</v>
      </c>
      <c r="Z591" s="497">
        <v>295.89225547306734</v>
      </c>
      <c r="AA591" s="497">
        <v>285.54311727415319</v>
      </c>
      <c r="AB591" s="497">
        <v>274.63835710774561</v>
      </c>
      <c r="AC591" s="497">
        <v>263.17797497384061</v>
      </c>
      <c r="AD591" s="497">
        <v>251.16197087243683</v>
      </c>
      <c r="AE591" s="497">
        <v>238.48620701100324</v>
      </c>
      <c r="AF591" s="497">
        <v>225.46290424875031</v>
      </c>
      <c r="AG591" s="497">
        <v>212.09206258567818</v>
      </c>
      <c r="AH591" s="497">
        <v>198.37368202178675</v>
      </c>
      <c r="AI591" s="497">
        <v>184.30776255707616</v>
      </c>
    </row>
    <row r="592" spans="2:35" outlineLevel="1">
      <c r="B592" t="str">
        <f t="shared" si="57"/>
        <v>e-methane (PS) - Finance cost - Africa - USD/ton fuel</v>
      </c>
      <c r="C592" t="str">
        <f>C566</f>
        <v>e-methane (PS)</v>
      </c>
      <c r="D592" t="s">
        <v>1366</v>
      </c>
      <c r="E592" t="s">
        <v>838</v>
      </c>
      <c r="F592" t="s">
        <v>1353</v>
      </c>
      <c r="G592" s="487" t="str">
        <f t="shared" si="58"/>
        <v>e-methane (PS)AfricaFinance cost</v>
      </c>
      <c r="H592" s="493">
        <v>84.810000000000016</v>
      </c>
      <c r="I592" s="493">
        <v>80.080000000000013</v>
      </c>
      <c r="J592" s="493">
        <v>75.350000000000009</v>
      </c>
      <c r="K592" s="493">
        <v>72.38000000000001</v>
      </c>
      <c r="L592" s="493">
        <v>69.410000000000011</v>
      </c>
      <c r="M592" s="493">
        <v>66.440000000000012</v>
      </c>
      <c r="N592" s="493">
        <v>63.470000000000006</v>
      </c>
      <c r="O592" s="493">
        <v>60.500000000000007</v>
      </c>
      <c r="P592" s="493">
        <v>59.400000000000006</v>
      </c>
      <c r="Q592" s="493">
        <v>58.300000000000004</v>
      </c>
      <c r="R592" s="493">
        <v>57.20000000000001</v>
      </c>
      <c r="S592" s="493">
        <v>56.100000000000009</v>
      </c>
      <c r="T592" s="493">
        <v>55.000000000000007</v>
      </c>
      <c r="U592" s="493">
        <v>53.900000000000006</v>
      </c>
      <c r="V592" s="493">
        <v>52.800000000000004</v>
      </c>
      <c r="W592" s="493">
        <v>51.70000000000001</v>
      </c>
      <c r="X592" s="493">
        <v>50.600000000000009</v>
      </c>
      <c r="Y592" s="493">
        <v>49.500000000000007</v>
      </c>
      <c r="Z592" s="493">
        <v>47.63000000000001</v>
      </c>
      <c r="AA592" s="493">
        <v>45.760000000000005</v>
      </c>
      <c r="AB592" s="493">
        <v>43.890000000000008</v>
      </c>
      <c r="AC592" s="493">
        <v>42.02</v>
      </c>
      <c r="AD592" s="493">
        <v>40.150000000000006</v>
      </c>
      <c r="AE592" s="493">
        <v>38.280000000000008</v>
      </c>
      <c r="AF592" s="493">
        <v>36.410000000000004</v>
      </c>
      <c r="AG592" s="493">
        <v>34.540000000000006</v>
      </c>
      <c r="AH592" s="493">
        <v>32.67</v>
      </c>
      <c r="AI592" s="493">
        <v>30.800000000000004</v>
      </c>
    </row>
    <row r="593" spans="2:35" outlineLevel="1">
      <c r="B593" t="str">
        <f t="shared" si="57"/>
        <v>e-methane (PS) - Finance cost - Americas - USD/ton fuel</v>
      </c>
      <c r="C593" t="str">
        <f>C566</f>
        <v>e-methane (PS)</v>
      </c>
      <c r="D593" t="s">
        <v>1366</v>
      </c>
      <c r="E593" t="s">
        <v>731</v>
      </c>
      <c r="F593" t="s">
        <v>1353</v>
      </c>
      <c r="G593" s="487" t="str">
        <f t="shared" si="58"/>
        <v>e-methane (PS)AmericasFinance cost</v>
      </c>
      <c r="H593" s="493">
        <v>84.810000000000016</v>
      </c>
      <c r="I593" s="493">
        <v>80.080000000000013</v>
      </c>
      <c r="J593" s="493">
        <v>75.350000000000009</v>
      </c>
      <c r="K593" s="493">
        <v>72.38000000000001</v>
      </c>
      <c r="L593" s="493">
        <v>69.410000000000011</v>
      </c>
      <c r="M593" s="493">
        <v>66.440000000000012</v>
      </c>
      <c r="N593" s="493">
        <v>63.470000000000006</v>
      </c>
      <c r="O593" s="493">
        <v>60.500000000000007</v>
      </c>
      <c r="P593" s="493">
        <v>59.400000000000006</v>
      </c>
      <c r="Q593" s="493">
        <v>58.300000000000004</v>
      </c>
      <c r="R593" s="493">
        <v>57.20000000000001</v>
      </c>
      <c r="S593" s="493">
        <v>56.100000000000009</v>
      </c>
      <c r="T593" s="493">
        <v>55.000000000000007</v>
      </c>
      <c r="U593" s="493">
        <v>53.900000000000006</v>
      </c>
      <c r="V593" s="493">
        <v>52.800000000000004</v>
      </c>
      <c r="W593" s="493">
        <v>51.70000000000001</v>
      </c>
      <c r="X593" s="493">
        <v>50.600000000000009</v>
      </c>
      <c r="Y593" s="493">
        <v>49.500000000000007</v>
      </c>
      <c r="Z593" s="493">
        <v>47.63000000000001</v>
      </c>
      <c r="AA593" s="493">
        <v>45.760000000000005</v>
      </c>
      <c r="AB593" s="493">
        <v>43.890000000000008</v>
      </c>
      <c r="AC593" s="493">
        <v>42.02</v>
      </c>
      <c r="AD593" s="493">
        <v>40.150000000000006</v>
      </c>
      <c r="AE593" s="493">
        <v>38.280000000000008</v>
      </c>
      <c r="AF593" s="493">
        <v>36.410000000000004</v>
      </c>
      <c r="AG593" s="493">
        <v>34.540000000000006</v>
      </c>
      <c r="AH593" s="493">
        <v>32.67</v>
      </c>
      <c r="AI593" s="493">
        <v>30.800000000000004</v>
      </c>
    </row>
    <row r="594" spans="2:35" outlineLevel="1">
      <c r="B594" t="str">
        <f t="shared" si="57"/>
        <v>e-methane (PS) - Finance cost - Asia - USD/ton fuel</v>
      </c>
      <c r="C594" t="str">
        <f>C566</f>
        <v>e-methane (PS)</v>
      </c>
      <c r="D594" t="s">
        <v>1366</v>
      </c>
      <c r="E594" t="s">
        <v>750</v>
      </c>
      <c r="F594" t="s">
        <v>1353</v>
      </c>
      <c r="G594" s="487" t="str">
        <f t="shared" si="58"/>
        <v>e-methane (PS)AsiaFinance cost</v>
      </c>
      <c r="H594" s="493">
        <v>84.810000000000016</v>
      </c>
      <c r="I594" s="493">
        <v>80.080000000000013</v>
      </c>
      <c r="J594" s="493">
        <v>75.350000000000009</v>
      </c>
      <c r="K594" s="493">
        <v>72.38000000000001</v>
      </c>
      <c r="L594" s="493">
        <v>69.410000000000011</v>
      </c>
      <c r="M594" s="493">
        <v>66.440000000000012</v>
      </c>
      <c r="N594" s="493">
        <v>63.470000000000006</v>
      </c>
      <c r="O594" s="493">
        <v>60.500000000000007</v>
      </c>
      <c r="P594" s="493">
        <v>59.400000000000006</v>
      </c>
      <c r="Q594" s="493">
        <v>58.300000000000004</v>
      </c>
      <c r="R594" s="493">
        <v>57.20000000000001</v>
      </c>
      <c r="S594" s="493">
        <v>56.100000000000009</v>
      </c>
      <c r="T594" s="493">
        <v>55.000000000000007</v>
      </c>
      <c r="U594" s="493">
        <v>53.900000000000006</v>
      </c>
      <c r="V594" s="493">
        <v>52.800000000000004</v>
      </c>
      <c r="W594" s="493">
        <v>51.70000000000001</v>
      </c>
      <c r="X594" s="493">
        <v>50.600000000000009</v>
      </c>
      <c r="Y594" s="493">
        <v>49.500000000000007</v>
      </c>
      <c r="Z594" s="493">
        <v>47.63000000000001</v>
      </c>
      <c r="AA594" s="493">
        <v>45.760000000000005</v>
      </c>
      <c r="AB594" s="493">
        <v>43.890000000000008</v>
      </c>
      <c r="AC594" s="493">
        <v>42.02</v>
      </c>
      <c r="AD594" s="493">
        <v>40.150000000000006</v>
      </c>
      <c r="AE594" s="493">
        <v>38.280000000000008</v>
      </c>
      <c r="AF594" s="493">
        <v>36.410000000000004</v>
      </c>
      <c r="AG594" s="493">
        <v>34.540000000000006</v>
      </c>
      <c r="AH594" s="493">
        <v>32.67</v>
      </c>
      <c r="AI594" s="493">
        <v>30.800000000000004</v>
      </c>
    </row>
    <row r="595" spans="2:35" outlineLevel="1">
      <c r="B595" t="str">
        <f t="shared" si="57"/>
        <v>e-methane (PS) - Finance cost - Europe - USD/ton fuel</v>
      </c>
      <c r="C595" t="str">
        <f>C566</f>
        <v>e-methane (PS)</v>
      </c>
      <c r="D595" t="s">
        <v>1366</v>
      </c>
      <c r="E595" t="s">
        <v>720</v>
      </c>
      <c r="F595" t="s">
        <v>1353</v>
      </c>
      <c r="G595" s="487" t="str">
        <f t="shared" si="58"/>
        <v>e-methane (PS)EuropeFinance cost</v>
      </c>
      <c r="H595" s="493">
        <v>84.810000000000016</v>
      </c>
      <c r="I595" s="493">
        <v>80.080000000000013</v>
      </c>
      <c r="J595" s="493">
        <v>75.350000000000009</v>
      </c>
      <c r="K595" s="493">
        <v>72.38000000000001</v>
      </c>
      <c r="L595" s="493">
        <v>69.410000000000011</v>
      </c>
      <c r="M595" s="493">
        <v>66.440000000000012</v>
      </c>
      <c r="N595" s="493">
        <v>63.470000000000006</v>
      </c>
      <c r="O595" s="493">
        <v>60.500000000000007</v>
      </c>
      <c r="P595" s="493">
        <v>59.400000000000006</v>
      </c>
      <c r="Q595" s="493">
        <v>58.300000000000004</v>
      </c>
      <c r="R595" s="493">
        <v>57.20000000000001</v>
      </c>
      <c r="S595" s="493">
        <v>56.100000000000009</v>
      </c>
      <c r="T595" s="493">
        <v>55.000000000000007</v>
      </c>
      <c r="U595" s="493">
        <v>53.900000000000006</v>
      </c>
      <c r="V595" s="493">
        <v>52.800000000000004</v>
      </c>
      <c r="W595" s="493">
        <v>51.70000000000001</v>
      </c>
      <c r="X595" s="493">
        <v>50.600000000000009</v>
      </c>
      <c r="Y595" s="493">
        <v>49.500000000000007</v>
      </c>
      <c r="Z595" s="493">
        <v>47.63000000000001</v>
      </c>
      <c r="AA595" s="493">
        <v>45.760000000000005</v>
      </c>
      <c r="AB595" s="493">
        <v>43.890000000000008</v>
      </c>
      <c r="AC595" s="493">
        <v>42.02</v>
      </c>
      <c r="AD595" s="493">
        <v>40.150000000000006</v>
      </c>
      <c r="AE595" s="493">
        <v>38.280000000000008</v>
      </c>
      <c r="AF595" s="493">
        <v>36.410000000000004</v>
      </c>
      <c r="AG595" s="493">
        <v>34.540000000000006</v>
      </c>
      <c r="AH595" s="493">
        <v>32.67</v>
      </c>
      <c r="AI595" s="493">
        <v>30.800000000000004</v>
      </c>
    </row>
    <row r="596" spans="2:35" outlineLevel="1">
      <c r="B596" t="str">
        <f t="shared" si="57"/>
        <v>e-methane (PS) - Finance cost - Middle East - USD/ton fuel</v>
      </c>
      <c r="C596" t="str">
        <f>C566</f>
        <v>e-methane (PS)</v>
      </c>
      <c r="D596" t="s">
        <v>1366</v>
      </c>
      <c r="E596" t="s">
        <v>826</v>
      </c>
      <c r="F596" t="s">
        <v>1353</v>
      </c>
      <c r="G596" s="487" t="str">
        <f t="shared" si="58"/>
        <v>e-methane (PS)Middle EastFinance cost</v>
      </c>
      <c r="H596" s="493">
        <v>84.810000000000016</v>
      </c>
      <c r="I596" s="493">
        <v>80.080000000000013</v>
      </c>
      <c r="J596" s="493">
        <v>75.350000000000009</v>
      </c>
      <c r="K596" s="493">
        <v>72.38000000000001</v>
      </c>
      <c r="L596" s="493">
        <v>69.410000000000011</v>
      </c>
      <c r="M596" s="493">
        <v>66.440000000000012</v>
      </c>
      <c r="N596" s="493">
        <v>63.470000000000006</v>
      </c>
      <c r="O596" s="493">
        <v>60.500000000000007</v>
      </c>
      <c r="P596" s="493">
        <v>59.400000000000006</v>
      </c>
      <c r="Q596" s="493">
        <v>58.300000000000004</v>
      </c>
      <c r="R596" s="493">
        <v>57.20000000000001</v>
      </c>
      <c r="S596" s="493">
        <v>56.100000000000009</v>
      </c>
      <c r="T596" s="493">
        <v>55.000000000000007</v>
      </c>
      <c r="U596" s="493">
        <v>53.900000000000006</v>
      </c>
      <c r="V596" s="493">
        <v>52.800000000000004</v>
      </c>
      <c r="W596" s="493">
        <v>51.70000000000001</v>
      </c>
      <c r="X596" s="493">
        <v>50.600000000000009</v>
      </c>
      <c r="Y596" s="493">
        <v>49.500000000000007</v>
      </c>
      <c r="Z596" s="493">
        <v>47.63000000000001</v>
      </c>
      <c r="AA596" s="493">
        <v>45.760000000000005</v>
      </c>
      <c r="AB596" s="493">
        <v>43.890000000000008</v>
      </c>
      <c r="AC596" s="493">
        <v>42.02</v>
      </c>
      <c r="AD596" s="493">
        <v>40.150000000000006</v>
      </c>
      <c r="AE596" s="493">
        <v>38.280000000000008</v>
      </c>
      <c r="AF596" s="493">
        <v>36.410000000000004</v>
      </c>
      <c r="AG596" s="493">
        <v>34.540000000000006</v>
      </c>
      <c r="AH596" s="493">
        <v>32.67</v>
      </c>
      <c r="AI596" s="493">
        <v>30.800000000000004</v>
      </c>
    </row>
    <row r="597" spans="2:35" outlineLevel="1">
      <c r="B597" t="str">
        <f t="shared" si="57"/>
        <v>e-hydrogen (compressed) - Finance cost including feedstock finance cost - Africa - USD/ton fuel</v>
      </c>
      <c r="C597" t="s">
        <v>722</v>
      </c>
      <c r="D597" t="s">
        <v>1365</v>
      </c>
      <c r="E597" t="s">
        <v>838</v>
      </c>
      <c r="F597" t="s">
        <v>1353</v>
      </c>
      <c r="G597" s="487" t="str">
        <f t="shared" si="58"/>
        <v>e-hydrogen (compressed)AfricaFinance cost including feedstock finance cost</v>
      </c>
      <c r="H597" s="507">
        <v>423.4664833247287</v>
      </c>
      <c r="I597" s="507">
        <v>407.9080597487058</v>
      </c>
      <c r="J597" s="507">
        <v>391.93778538812398</v>
      </c>
      <c r="K597" s="507">
        <v>383.67894989578463</v>
      </c>
      <c r="L597" s="507">
        <v>374.65498754747659</v>
      </c>
      <c r="M597" s="507">
        <v>364.86589834320779</v>
      </c>
      <c r="N597" s="507">
        <v>354.31168228298088</v>
      </c>
      <c r="O597" s="507">
        <v>342.99233936678479</v>
      </c>
      <c r="P597" s="507">
        <v>350.20750340232428</v>
      </c>
      <c r="Q597" s="507">
        <v>355.6383130013013</v>
      </c>
      <c r="R597" s="507">
        <v>359.28476816371159</v>
      </c>
      <c r="S597" s="507">
        <v>361.14686888954691</v>
      </c>
      <c r="T597" s="507">
        <v>361.22461517882164</v>
      </c>
      <c r="U597" s="507">
        <v>358.40192634457429</v>
      </c>
      <c r="V597" s="507">
        <v>354.10652475046084</v>
      </c>
      <c r="W597" s="507">
        <v>348.33841039649622</v>
      </c>
      <c r="X597" s="507">
        <v>341.09758328266571</v>
      </c>
      <c r="Y597" s="507">
        <v>332.38404340896386</v>
      </c>
      <c r="Z597" s="507">
        <v>321.22576094613464</v>
      </c>
      <c r="AA597" s="507">
        <v>308.95623454830633</v>
      </c>
      <c r="AB597" s="507">
        <v>295.57546421549114</v>
      </c>
      <c r="AC597" s="507">
        <v>281.08344994768112</v>
      </c>
      <c r="AD597" s="507">
        <v>265.48019174487365</v>
      </c>
      <c r="AE597" s="507">
        <v>248.55741402200647</v>
      </c>
      <c r="AF597" s="507">
        <v>230.93955849750063</v>
      </c>
      <c r="AG597" s="507">
        <v>212.62662517135635</v>
      </c>
      <c r="AH597" s="507">
        <v>193.61861404357347</v>
      </c>
      <c r="AI597" s="507">
        <v>173.9155251141523</v>
      </c>
    </row>
    <row r="598" spans="2:35" outlineLevel="1">
      <c r="B598" t="str">
        <f t="shared" si="57"/>
        <v>e-hydrogen (compressed) - Finance cost including feedstock finance cost - Americas - USD/ton fuel</v>
      </c>
      <c r="C598" t="s">
        <v>722</v>
      </c>
      <c r="D598" t="s">
        <v>1365</v>
      </c>
      <c r="E598" t="s">
        <v>731</v>
      </c>
      <c r="F598" t="s">
        <v>1353</v>
      </c>
      <c r="G598" s="487" t="str">
        <f t="shared" si="58"/>
        <v>e-hydrogen (compressed)AmericasFinance cost including feedstock finance cost</v>
      </c>
      <c r="H598" s="507">
        <v>423.4664833247287</v>
      </c>
      <c r="I598" s="507">
        <v>407.9080597487058</v>
      </c>
      <c r="J598" s="507">
        <v>391.93778538812398</v>
      </c>
      <c r="K598" s="507">
        <v>383.67894989578463</v>
      </c>
      <c r="L598" s="507">
        <v>374.65498754747659</v>
      </c>
      <c r="M598" s="507">
        <v>364.86589834320779</v>
      </c>
      <c r="N598" s="507">
        <v>354.31168228298088</v>
      </c>
      <c r="O598" s="507">
        <v>342.99233936678479</v>
      </c>
      <c r="P598" s="507">
        <v>350.20750340232428</v>
      </c>
      <c r="Q598" s="507">
        <v>355.6383130013013</v>
      </c>
      <c r="R598" s="507">
        <v>359.28476816371159</v>
      </c>
      <c r="S598" s="507">
        <v>361.14686888954691</v>
      </c>
      <c r="T598" s="507">
        <v>361.22461517882164</v>
      </c>
      <c r="U598" s="507">
        <v>358.40192634457429</v>
      </c>
      <c r="V598" s="507">
        <v>354.10652475046084</v>
      </c>
      <c r="W598" s="507">
        <v>348.33841039649622</v>
      </c>
      <c r="X598" s="507">
        <v>341.09758328266571</v>
      </c>
      <c r="Y598" s="507">
        <v>332.38404340896386</v>
      </c>
      <c r="Z598" s="507">
        <v>321.22576094613464</v>
      </c>
      <c r="AA598" s="507">
        <v>308.95623454830633</v>
      </c>
      <c r="AB598" s="507">
        <v>295.57546421549114</v>
      </c>
      <c r="AC598" s="507">
        <v>281.08344994768112</v>
      </c>
      <c r="AD598" s="507">
        <v>265.48019174487365</v>
      </c>
      <c r="AE598" s="507">
        <v>248.55741402200647</v>
      </c>
      <c r="AF598" s="507">
        <v>230.93955849750063</v>
      </c>
      <c r="AG598" s="507">
        <v>212.62662517135635</v>
      </c>
      <c r="AH598" s="507">
        <v>193.61861404357347</v>
      </c>
      <c r="AI598" s="507">
        <v>173.9155251141523</v>
      </c>
    </row>
    <row r="599" spans="2:35" outlineLevel="1">
      <c r="B599" t="str">
        <f t="shared" si="57"/>
        <v>e-hydrogen (compressed) - Finance cost including feedstock finance cost - Asia - USD/ton fuel</v>
      </c>
      <c r="C599" t="s">
        <v>722</v>
      </c>
      <c r="D599" t="s">
        <v>1365</v>
      </c>
      <c r="E599" t="s">
        <v>750</v>
      </c>
      <c r="F599" t="s">
        <v>1353</v>
      </c>
      <c r="G599" s="487" t="str">
        <f t="shared" si="58"/>
        <v>e-hydrogen (compressed)AsiaFinance cost including feedstock finance cost</v>
      </c>
      <c r="H599" s="507">
        <v>423.4664833247287</v>
      </c>
      <c r="I599" s="507">
        <v>407.9080597487058</v>
      </c>
      <c r="J599" s="507">
        <v>391.93778538812398</v>
      </c>
      <c r="K599" s="507">
        <v>383.67894989578463</v>
      </c>
      <c r="L599" s="507">
        <v>374.65498754747659</v>
      </c>
      <c r="M599" s="507">
        <v>364.86589834320779</v>
      </c>
      <c r="N599" s="507">
        <v>354.31168228298088</v>
      </c>
      <c r="O599" s="507">
        <v>342.99233936678479</v>
      </c>
      <c r="P599" s="507">
        <v>350.20750340232428</v>
      </c>
      <c r="Q599" s="507">
        <v>355.6383130013013</v>
      </c>
      <c r="R599" s="507">
        <v>359.28476816371159</v>
      </c>
      <c r="S599" s="507">
        <v>361.14686888954691</v>
      </c>
      <c r="T599" s="507">
        <v>361.22461517882164</v>
      </c>
      <c r="U599" s="507">
        <v>358.40192634457429</v>
      </c>
      <c r="V599" s="507">
        <v>354.10652475046084</v>
      </c>
      <c r="W599" s="507">
        <v>348.33841039649622</v>
      </c>
      <c r="X599" s="507">
        <v>341.09758328266571</v>
      </c>
      <c r="Y599" s="507">
        <v>332.38404340896386</v>
      </c>
      <c r="Z599" s="507">
        <v>321.22576094613464</v>
      </c>
      <c r="AA599" s="507">
        <v>308.95623454830633</v>
      </c>
      <c r="AB599" s="507">
        <v>295.57546421549114</v>
      </c>
      <c r="AC599" s="507">
        <v>281.08344994768112</v>
      </c>
      <c r="AD599" s="507">
        <v>265.48019174487365</v>
      </c>
      <c r="AE599" s="507">
        <v>248.55741402200647</v>
      </c>
      <c r="AF599" s="507">
        <v>230.93955849750063</v>
      </c>
      <c r="AG599" s="507">
        <v>212.62662517135635</v>
      </c>
      <c r="AH599" s="507">
        <v>193.61861404357347</v>
      </c>
      <c r="AI599" s="507">
        <v>173.9155251141523</v>
      </c>
    </row>
    <row r="600" spans="2:35" outlineLevel="1">
      <c r="B600" t="str">
        <f t="shared" si="57"/>
        <v>e-hydrogen (compressed) - Finance cost including feedstock finance cost - Europe - USD/ton fuel</v>
      </c>
      <c r="C600" t="s">
        <v>722</v>
      </c>
      <c r="D600" t="s">
        <v>1365</v>
      </c>
      <c r="E600" t="s">
        <v>720</v>
      </c>
      <c r="F600" t="s">
        <v>1353</v>
      </c>
      <c r="G600" s="487" t="str">
        <f t="shared" si="58"/>
        <v>e-hydrogen (compressed)EuropeFinance cost including feedstock finance cost</v>
      </c>
      <c r="H600" s="507">
        <v>423.4664833247287</v>
      </c>
      <c r="I600" s="507">
        <v>407.9080597487058</v>
      </c>
      <c r="J600" s="507">
        <v>391.93778538812398</v>
      </c>
      <c r="K600" s="507">
        <v>383.67894989578463</v>
      </c>
      <c r="L600" s="507">
        <v>374.65498754747659</v>
      </c>
      <c r="M600" s="507">
        <v>364.86589834320779</v>
      </c>
      <c r="N600" s="507">
        <v>354.31168228298088</v>
      </c>
      <c r="O600" s="507">
        <v>342.99233936678479</v>
      </c>
      <c r="P600" s="507">
        <v>350.20750340232428</v>
      </c>
      <c r="Q600" s="507">
        <v>355.6383130013013</v>
      </c>
      <c r="R600" s="507">
        <v>359.28476816371159</v>
      </c>
      <c r="S600" s="507">
        <v>361.14686888954691</v>
      </c>
      <c r="T600" s="507">
        <v>361.22461517882164</v>
      </c>
      <c r="U600" s="507">
        <v>358.40192634457429</v>
      </c>
      <c r="V600" s="507">
        <v>354.10652475046084</v>
      </c>
      <c r="W600" s="507">
        <v>348.33841039649622</v>
      </c>
      <c r="X600" s="507">
        <v>341.09758328266571</v>
      </c>
      <c r="Y600" s="507">
        <v>332.38404340896386</v>
      </c>
      <c r="Z600" s="507">
        <v>321.22576094613464</v>
      </c>
      <c r="AA600" s="507">
        <v>308.95623454830633</v>
      </c>
      <c r="AB600" s="507">
        <v>295.57546421549114</v>
      </c>
      <c r="AC600" s="507">
        <v>281.08344994768112</v>
      </c>
      <c r="AD600" s="507">
        <v>265.48019174487365</v>
      </c>
      <c r="AE600" s="507">
        <v>248.55741402200647</v>
      </c>
      <c r="AF600" s="507">
        <v>230.93955849750063</v>
      </c>
      <c r="AG600" s="507">
        <v>212.62662517135635</v>
      </c>
      <c r="AH600" s="507">
        <v>193.61861404357347</v>
      </c>
      <c r="AI600" s="507">
        <v>173.9155251141523</v>
      </c>
    </row>
    <row r="601" spans="2:35" outlineLevel="1">
      <c r="B601" t="str">
        <f t="shared" si="57"/>
        <v>e-hydrogen (compressed) - Finance cost including feedstock finance cost - Middle East - USD/ton fuel</v>
      </c>
      <c r="C601" t="s">
        <v>722</v>
      </c>
      <c r="D601" t="s">
        <v>1365</v>
      </c>
      <c r="E601" t="s">
        <v>826</v>
      </c>
      <c r="F601" t="s">
        <v>1353</v>
      </c>
      <c r="G601" s="487" t="str">
        <f t="shared" si="58"/>
        <v>e-hydrogen (compressed)Middle EastFinance cost including feedstock finance cost</v>
      </c>
      <c r="H601" s="507">
        <v>423.4664833247287</v>
      </c>
      <c r="I601" s="507">
        <v>407.9080597487058</v>
      </c>
      <c r="J601" s="507">
        <v>391.93778538812398</v>
      </c>
      <c r="K601" s="507">
        <v>383.67894989578463</v>
      </c>
      <c r="L601" s="507">
        <v>374.65498754747659</v>
      </c>
      <c r="M601" s="507">
        <v>364.86589834320779</v>
      </c>
      <c r="N601" s="507">
        <v>354.31168228298088</v>
      </c>
      <c r="O601" s="507">
        <v>342.99233936678479</v>
      </c>
      <c r="P601" s="507">
        <v>350.20750340232428</v>
      </c>
      <c r="Q601" s="507">
        <v>355.6383130013013</v>
      </c>
      <c r="R601" s="507">
        <v>359.28476816371159</v>
      </c>
      <c r="S601" s="507">
        <v>361.14686888954691</v>
      </c>
      <c r="T601" s="507">
        <v>361.22461517882164</v>
      </c>
      <c r="U601" s="507">
        <v>358.40192634457429</v>
      </c>
      <c r="V601" s="507">
        <v>354.10652475046084</v>
      </c>
      <c r="W601" s="507">
        <v>348.33841039649622</v>
      </c>
      <c r="X601" s="507">
        <v>341.09758328266571</v>
      </c>
      <c r="Y601" s="507">
        <v>332.38404340896386</v>
      </c>
      <c r="Z601" s="507">
        <v>321.22576094613464</v>
      </c>
      <c r="AA601" s="507">
        <v>308.95623454830633</v>
      </c>
      <c r="AB601" s="507">
        <v>295.57546421549114</v>
      </c>
      <c r="AC601" s="507">
        <v>281.08344994768112</v>
      </c>
      <c r="AD601" s="507">
        <v>265.48019174487365</v>
      </c>
      <c r="AE601" s="507">
        <v>248.55741402200647</v>
      </c>
      <c r="AF601" s="507">
        <v>230.93955849750063</v>
      </c>
      <c r="AG601" s="507">
        <v>212.62662517135635</v>
      </c>
      <c r="AH601" s="507">
        <v>193.61861404357347</v>
      </c>
      <c r="AI601" s="507">
        <v>173.9155251141523</v>
      </c>
    </row>
    <row r="602" spans="2:35" outlineLevel="1">
      <c r="B602" t="str">
        <f t="shared" si="57"/>
        <v>Carbon dioxide (PS) - Finance cost - Africa - USD/ton fuel</v>
      </c>
      <c r="C602" t="s">
        <v>1380</v>
      </c>
      <c r="D602" t="s">
        <v>1366</v>
      </c>
      <c r="E602" t="s">
        <v>838</v>
      </c>
      <c r="F602" t="s">
        <v>1353</v>
      </c>
      <c r="G602" s="487" t="str">
        <f t="shared" si="58"/>
        <v>Carbon dioxide (PS)AfricaFinance cost</v>
      </c>
      <c r="H602" s="493">
        <v>56.650000000000006</v>
      </c>
      <c r="I602" s="493">
        <v>54.45000000000001</v>
      </c>
      <c r="J602" s="493">
        <v>52.250000000000007</v>
      </c>
      <c r="K602" s="493">
        <v>50.050000000000004</v>
      </c>
      <c r="L602" s="493">
        <v>47.850000000000009</v>
      </c>
      <c r="M602" s="493">
        <v>45.650000000000006</v>
      </c>
      <c r="N602" s="493">
        <v>43.45</v>
      </c>
      <c r="O602" s="493">
        <v>41.250000000000007</v>
      </c>
      <c r="P602" s="493">
        <v>40.397500000000008</v>
      </c>
      <c r="Q602" s="493">
        <v>39.545000000000002</v>
      </c>
      <c r="R602" s="493">
        <v>38.692500000000003</v>
      </c>
      <c r="S602" s="493">
        <v>37.840000000000003</v>
      </c>
      <c r="T602" s="493">
        <v>36.987500000000004</v>
      </c>
      <c r="U602" s="493">
        <v>36.135000000000005</v>
      </c>
      <c r="V602" s="493">
        <v>35.282500000000006</v>
      </c>
      <c r="W602" s="493">
        <v>34.430000000000007</v>
      </c>
      <c r="X602" s="493">
        <v>33.577500000000008</v>
      </c>
      <c r="Y602" s="493">
        <v>32.725000000000001</v>
      </c>
      <c r="Z602" s="493">
        <v>31.872500000000006</v>
      </c>
      <c r="AA602" s="493">
        <v>31.020000000000003</v>
      </c>
      <c r="AB602" s="493">
        <v>30.167500000000004</v>
      </c>
      <c r="AC602" s="493">
        <v>29.315000000000005</v>
      </c>
      <c r="AD602" s="493">
        <v>28.462500000000002</v>
      </c>
      <c r="AE602" s="493">
        <v>27.610000000000003</v>
      </c>
      <c r="AF602" s="493">
        <v>26.757500000000004</v>
      </c>
      <c r="AG602" s="493">
        <v>25.905000000000005</v>
      </c>
      <c r="AH602" s="493">
        <v>25.052500000000002</v>
      </c>
      <c r="AI602" s="493">
        <v>24.200000000000003</v>
      </c>
    </row>
    <row r="603" spans="2:35" outlineLevel="1">
      <c r="B603" t="str">
        <f t="shared" si="57"/>
        <v>Carbon dioxide (PS) - Finance cost - Americas - USD/ton fuel</v>
      </c>
      <c r="C603" t="s">
        <v>1380</v>
      </c>
      <c r="D603" t="s">
        <v>1366</v>
      </c>
      <c r="E603" t="s">
        <v>731</v>
      </c>
      <c r="F603" t="s">
        <v>1353</v>
      </c>
      <c r="G603" s="487" t="str">
        <f t="shared" si="58"/>
        <v>Carbon dioxide (PS)AmericasFinance cost</v>
      </c>
      <c r="H603" s="493">
        <v>56.650000000000006</v>
      </c>
      <c r="I603" s="493">
        <v>54.45000000000001</v>
      </c>
      <c r="J603" s="493">
        <v>52.250000000000007</v>
      </c>
      <c r="K603" s="493">
        <v>50.050000000000004</v>
      </c>
      <c r="L603" s="493">
        <v>47.850000000000009</v>
      </c>
      <c r="M603" s="493">
        <v>45.650000000000006</v>
      </c>
      <c r="N603" s="493">
        <v>43.45</v>
      </c>
      <c r="O603" s="493">
        <v>41.250000000000007</v>
      </c>
      <c r="P603" s="493">
        <v>40.397500000000008</v>
      </c>
      <c r="Q603" s="493">
        <v>39.545000000000002</v>
      </c>
      <c r="R603" s="493">
        <v>38.692500000000003</v>
      </c>
      <c r="S603" s="493">
        <v>37.840000000000003</v>
      </c>
      <c r="T603" s="493">
        <v>36.987500000000004</v>
      </c>
      <c r="U603" s="493">
        <v>36.135000000000005</v>
      </c>
      <c r="V603" s="493">
        <v>35.282500000000006</v>
      </c>
      <c r="W603" s="493">
        <v>34.430000000000007</v>
      </c>
      <c r="X603" s="493">
        <v>33.577500000000008</v>
      </c>
      <c r="Y603" s="493">
        <v>32.725000000000001</v>
      </c>
      <c r="Z603" s="493">
        <v>31.872500000000006</v>
      </c>
      <c r="AA603" s="493">
        <v>31.020000000000003</v>
      </c>
      <c r="AB603" s="493">
        <v>30.167500000000004</v>
      </c>
      <c r="AC603" s="493">
        <v>29.315000000000005</v>
      </c>
      <c r="AD603" s="493">
        <v>28.462500000000002</v>
      </c>
      <c r="AE603" s="493">
        <v>27.610000000000003</v>
      </c>
      <c r="AF603" s="493">
        <v>26.757500000000004</v>
      </c>
      <c r="AG603" s="493">
        <v>25.905000000000005</v>
      </c>
      <c r="AH603" s="493">
        <v>25.052500000000002</v>
      </c>
      <c r="AI603" s="493">
        <v>24.200000000000003</v>
      </c>
    </row>
    <row r="604" spans="2:35" outlineLevel="1">
      <c r="B604" t="str">
        <f t="shared" si="57"/>
        <v>Carbon dioxide (PS) - Finance cost - Asia - USD/ton fuel</v>
      </c>
      <c r="C604" t="s">
        <v>1380</v>
      </c>
      <c r="D604" t="s">
        <v>1366</v>
      </c>
      <c r="E604" t="s">
        <v>750</v>
      </c>
      <c r="F604" t="s">
        <v>1353</v>
      </c>
      <c r="G604" s="487" t="str">
        <f t="shared" si="58"/>
        <v>Carbon dioxide (PS)AsiaFinance cost</v>
      </c>
      <c r="H604" s="493">
        <v>56.650000000000006</v>
      </c>
      <c r="I604" s="493">
        <v>54.45000000000001</v>
      </c>
      <c r="J604" s="493">
        <v>52.250000000000007</v>
      </c>
      <c r="K604" s="493">
        <v>50.050000000000004</v>
      </c>
      <c r="L604" s="493">
        <v>47.850000000000009</v>
      </c>
      <c r="M604" s="493">
        <v>45.650000000000006</v>
      </c>
      <c r="N604" s="493">
        <v>43.45</v>
      </c>
      <c r="O604" s="493">
        <v>41.250000000000007</v>
      </c>
      <c r="P604" s="493">
        <v>40.397500000000008</v>
      </c>
      <c r="Q604" s="493">
        <v>39.545000000000002</v>
      </c>
      <c r="R604" s="493">
        <v>38.692500000000003</v>
      </c>
      <c r="S604" s="493">
        <v>37.840000000000003</v>
      </c>
      <c r="T604" s="493">
        <v>36.987500000000004</v>
      </c>
      <c r="U604" s="493">
        <v>36.135000000000005</v>
      </c>
      <c r="V604" s="493">
        <v>35.282500000000006</v>
      </c>
      <c r="W604" s="493">
        <v>34.430000000000007</v>
      </c>
      <c r="X604" s="493">
        <v>33.577500000000008</v>
      </c>
      <c r="Y604" s="493">
        <v>32.725000000000001</v>
      </c>
      <c r="Z604" s="493">
        <v>31.872500000000006</v>
      </c>
      <c r="AA604" s="493">
        <v>31.020000000000003</v>
      </c>
      <c r="AB604" s="493">
        <v>30.167500000000004</v>
      </c>
      <c r="AC604" s="493">
        <v>29.315000000000005</v>
      </c>
      <c r="AD604" s="493">
        <v>28.462500000000002</v>
      </c>
      <c r="AE604" s="493">
        <v>27.610000000000003</v>
      </c>
      <c r="AF604" s="493">
        <v>26.757500000000004</v>
      </c>
      <c r="AG604" s="493">
        <v>25.905000000000005</v>
      </c>
      <c r="AH604" s="493">
        <v>25.052500000000002</v>
      </c>
      <c r="AI604" s="493">
        <v>24.200000000000003</v>
      </c>
    </row>
    <row r="605" spans="2:35" outlineLevel="1">
      <c r="B605" t="str">
        <f t="shared" si="57"/>
        <v>Carbon dioxide (PS) - Finance cost - Europe - USD/ton fuel</v>
      </c>
      <c r="C605" t="s">
        <v>1380</v>
      </c>
      <c r="D605" t="s">
        <v>1366</v>
      </c>
      <c r="E605" t="s">
        <v>720</v>
      </c>
      <c r="F605" t="s">
        <v>1353</v>
      </c>
      <c r="G605" s="487" t="str">
        <f t="shared" si="58"/>
        <v>Carbon dioxide (PS)EuropeFinance cost</v>
      </c>
      <c r="H605" s="493">
        <v>56.650000000000006</v>
      </c>
      <c r="I605" s="493">
        <v>54.45000000000001</v>
      </c>
      <c r="J605" s="493">
        <v>52.250000000000007</v>
      </c>
      <c r="K605" s="493">
        <v>50.050000000000004</v>
      </c>
      <c r="L605" s="493">
        <v>47.850000000000009</v>
      </c>
      <c r="M605" s="493">
        <v>45.650000000000006</v>
      </c>
      <c r="N605" s="493">
        <v>43.45</v>
      </c>
      <c r="O605" s="493">
        <v>41.250000000000007</v>
      </c>
      <c r="P605" s="493">
        <v>40.397500000000008</v>
      </c>
      <c r="Q605" s="493">
        <v>39.545000000000002</v>
      </c>
      <c r="R605" s="493">
        <v>38.692500000000003</v>
      </c>
      <c r="S605" s="493">
        <v>37.840000000000003</v>
      </c>
      <c r="T605" s="493">
        <v>36.987500000000004</v>
      </c>
      <c r="U605" s="493">
        <v>36.135000000000005</v>
      </c>
      <c r="V605" s="493">
        <v>35.282500000000006</v>
      </c>
      <c r="W605" s="493">
        <v>34.430000000000007</v>
      </c>
      <c r="X605" s="493">
        <v>33.577500000000008</v>
      </c>
      <c r="Y605" s="493">
        <v>32.725000000000001</v>
      </c>
      <c r="Z605" s="493">
        <v>31.872500000000006</v>
      </c>
      <c r="AA605" s="493">
        <v>31.020000000000003</v>
      </c>
      <c r="AB605" s="493">
        <v>30.167500000000004</v>
      </c>
      <c r="AC605" s="493">
        <v>29.315000000000005</v>
      </c>
      <c r="AD605" s="493">
        <v>28.462500000000002</v>
      </c>
      <c r="AE605" s="493">
        <v>27.610000000000003</v>
      </c>
      <c r="AF605" s="493">
        <v>26.757500000000004</v>
      </c>
      <c r="AG605" s="493">
        <v>25.905000000000005</v>
      </c>
      <c r="AH605" s="493">
        <v>25.052500000000002</v>
      </c>
      <c r="AI605" s="493">
        <v>24.200000000000003</v>
      </c>
    </row>
    <row r="606" spans="2:35" outlineLevel="1">
      <c r="B606" t="str">
        <f t="shared" si="57"/>
        <v>Carbon dioxide (PS) - Finance cost - Middle East - USD/ton fuel</v>
      </c>
      <c r="C606" t="s">
        <v>1380</v>
      </c>
      <c r="D606" t="s">
        <v>1366</v>
      </c>
      <c r="E606" t="s">
        <v>826</v>
      </c>
      <c r="F606" t="s">
        <v>1353</v>
      </c>
      <c r="G606" s="487" t="str">
        <f t="shared" si="58"/>
        <v>Carbon dioxide (PS)Middle EastFinance cost</v>
      </c>
      <c r="H606" s="493">
        <v>56.650000000000006</v>
      </c>
      <c r="I606" s="493">
        <v>54.45000000000001</v>
      </c>
      <c r="J606" s="493">
        <v>52.250000000000007</v>
      </c>
      <c r="K606" s="493">
        <v>50.050000000000004</v>
      </c>
      <c r="L606" s="493">
        <v>47.850000000000009</v>
      </c>
      <c r="M606" s="493">
        <v>45.650000000000006</v>
      </c>
      <c r="N606" s="493">
        <v>43.45</v>
      </c>
      <c r="O606" s="493">
        <v>41.250000000000007</v>
      </c>
      <c r="P606" s="493">
        <v>40.397500000000008</v>
      </c>
      <c r="Q606" s="493">
        <v>39.545000000000002</v>
      </c>
      <c r="R606" s="493">
        <v>38.692500000000003</v>
      </c>
      <c r="S606" s="493">
        <v>37.840000000000003</v>
      </c>
      <c r="T606" s="493">
        <v>36.987500000000004</v>
      </c>
      <c r="U606" s="493">
        <v>36.135000000000005</v>
      </c>
      <c r="V606" s="493">
        <v>35.282500000000006</v>
      </c>
      <c r="W606" s="493">
        <v>34.430000000000007</v>
      </c>
      <c r="X606" s="493">
        <v>33.577500000000008</v>
      </c>
      <c r="Y606" s="493">
        <v>32.725000000000001</v>
      </c>
      <c r="Z606" s="493">
        <v>31.872500000000006</v>
      </c>
      <c r="AA606" s="493">
        <v>31.020000000000003</v>
      </c>
      <c r="AB606" s="493">
        <v>30.167500000000004</v>
      </c>
      <c r="AC606" s="493">
        <v>29.315000000000005</v>
      </c>
      <c r="AD606" s="493">
        <v>28.462500000000002</v>
      </c>
      <c r="AE606" s="493">
        <v>27.610000000000003</v>
      </c>
      <c r="AF606" s="493">
        <v>26.757500000000004</v>
      </c>
      <c r="AG606" s="493">
        <v>25.905000000000005</v>
      </c>
      <c r="AH606" s="493">
        <v>25.052500000000002</v>
      </c>
      <c r="AI606" s="493">
        <v>24.200000000000003</v>
      </c>
    </row>
    <row r="607" spans="2:35" outlineLevel="1">
      <c r="B607" t="str">
        <f t="shared" si="57"/>
        <v>e-methane - Conversion H2 -&gt; CH4 - Global - ton H2/ton CH4</v>
      </c>
      <c r="C607" t="s">
        <v>1387</v>
      </c>
      <c r="D607" t="s">
        <v>1388</v>
      </c>
      <c r="E607" t="s">
        <v>708</v>
      </c>
      <c r="F607" t="s">
        <v>1389</v>
      </c>
      <c r="G607" s="487" t="str">
        <f t="shared" si="58"/>
        <v>e-methaneGlobalConversion H2 -&gt; CH4</v>
      </c>
      <c r="H607" s="508">
        <v>0.5</v>
      </c>
      <c r="I607" s="508">
        <v>0.5</v>
      </c>
      <c r="J607" s="508">
        <v>0.5</v>
      </c>
      <c r="K607" s="508">
        <v>0.5</v>
      </c>
      <c r="L607" s="508">
        <v>0.5</v>
      </c>
      <c r="M607" s="508">
        <v>0.5</v>
      </c>
      <c r="N607" s="508">
        <v>0.5</v>
      </c>
      <c r="O607" s="508">
        <v>0.5</v>
      </c>
      <c r="P607" s="508">
        <v>0.5</v>
      </c>
      <c r="Q607" s="508">
        <v>0.5</v>
      </c>
      <c r="R607" s="508">
        <v>0.5</v>
      </c>
      <c r="S607" s="508">
        <v>0.5</v>
      </c>
      <c r="T607" s="508">
        <v>0.5</v>
      </c>
      <c r="U607" s="508">
        <v>0.5</v>
      </c>
      <c r="V607" s="508">
        <v>0.5</v>
      </c>
      <c r="W607" s="508">
        <v>0.5</v>
      </c>
      <c r="X607" s="508">
        <v>0.5</v>
      </c>
      <c r="Y607" s="508">
        <v>0.5</v>
      </c>
      <c r="Z607" s="508">
        <v>0.5</v>
      </c>
      <c r="AA607" s="508">
        <v>0.5</v>
      </c>
      <c r="AB607" s="508">
        <v>0.5</v>
      </c>
      <c r="AC607" s="508">
        <v>0.5</v>
      </c>
      <c r="AD607" s="508">
        <v>0.5</v>
      </c>
      <c r="AE607" s="508">
        <v>0.5</v>
      </c>
      <c r="AF607" s="508">
        <v>0.5</v>
      </c>
      <c r="AG607" s="508">
        <v>0.5</v>
      </c>
      <c r="AH607" s="508">
        <v>0.5</v>
      </c>
      <c r="AI607" s="508">
        <v>0.5</v>
      </c>
    </row>
    <row r="608" spans="2:35" outlineLevel="1">
      <c r="B608" t="str">
        <f t="shared" si="57"/>
        <v>e-methane - Conversion CO2 -&gt; CH4 - Global - ton CO2/ton CH4</v>
      </c>
      <c r="C608" t="s">
        <v>1387</v>
      </c>
      <c r="D608" t="s">
        <v>1390</v>
      </c>
      <c r="E608" t="s">
        <v>708</v>
      </c>
      <c r="F608" t="s">
        <v>1391</v>
      </c>
      <c r="G608" s="487" t="str">
        <f t="shared" si="58"/>
        <v>e-methaneGlobalConversion CO2 -&gt; CH4</v>
      </c>
      <c r="H608" s="508">
        <v>2.75</v>
      </c>
      <c r="I608" s="508">
        <v>2.75</v>
      </c>
      <c r="J608" s="508">
        <v>2.75</v>
      </c>
      <c r="K608" s="508">
        <v>2.75</v>
      </c>
      <c r="L608" s="508">
        <v>2.75</v>
      </c>
      <c r="M608" s="508">
        <v>2.75</v>
      </c>
      <c r="N608" s="508">
        <v>2.75</v>
      </c>
      <c r="O608" s="508">
        <v>2.75</v>
      </c>
      <c r="P608" s="508">
        <v>2.75</v>
      </c>
      <c r="Q608" s="508">
        <v>2.75</v>
      </c>
      <c r="R608" s="508">
        <v>2.75</v>
      </c>
      <c r="S608" s="508">
        <v>2.75</v>
      </c>
      <c r="T608" s="508">
        <v>2.75</v>
      </c>
      <c r="U608" s="508">
        <v>2.75</v>
      </c>
      <c r="V608" s="508">
        <v>2.75</v>
      </c>
      <c r="W608" s="508">
        <v>2.75</v>
      </c>
      <c r="X608" s="508">
        <v>2.75</v>
      </c>
      <c r="Y608" s="508">
        <v>2.75</v>
      </c>
      <c r="Z608" s="508">
        <v>2.75</v>
      </c>
      <c r="AA608" s="508">
        <v>2.75</v>
      </c>
      <c r="AB608" s="508">
        <v>2.75</v>
      </c>
      <c r="AC608" s="508">
        <v>2.75</v>
      </c>
      <c r="AD608" s="508">
        <v>2.75</v>
      </c>
      <c r="AE608" s="508">
        <v>2.75</v>
      </c>
      <c r="AF608" s="508">
        <v>2.75</v>
      </c>
      <c r="AG608" s="508">
        <v>2.75</v>
      </c>
      <c r="AH608" s="508">
        <v>2.75</v>
      </c>
      <c r="AI608" s="508">
        <v>2.75</v>
      </c>
    </row>
    <row r="609" spans="2:35" ht="14.25" customHeight="1" outlineLevel="1">
      <c r="B609" t="str">
        <f t="shared" si="57"/>
        <v/>
      </c>
      <c r="G609" s="487" t="str">
        <f t="shared" si="58"/>
        <v/>
      </c>
      <c r="H609" s="498"/>
    </row>
    <row r="610" spans="2:35" ht="15" outlineLevel="1">
      <c r="B610" t="str">
        <f t="shared" si="57"/>
        <v>e-methane (PS) - Energy cost including feedstock energy cost - Africa - USD/ton fuel</v>
      </c>
      <c r="C610" s="494" t="str">
        <f>C566</f>
        <v>e-methane (PS)</v>
      </c>
      <c r="D610" s="494" t="s">
        <v>1367</v>
      </c>
      <c r="E610" s="494" t="s">
        <v>838</v>
      </c>
      <c r="F610" s="494" t="s">
        <v>1353</v>
      </c>
      <c r="G610" s="487" t="str">
        <f t="shared" si="58"/>
        <v>e-methane (PS)AfricaEnergy cost including feedstock energy cost</v>
      </c>
      <c r="H610" s="495">
        <v>1676.0486070809252</v>
      </c>
      <c r="I610" s="495">
        <v>1477.6473932712572</v>
      </c>
      <c r="J610" s="495">
        <v>1279.4314464975071</v>
      </c>
      <c r="K610" s="495">
        <v>1222.3956143326018</v>
      </c>
      <c r="L610" s="495">
        <v>1165.199139817006</v>
      </c>
      <c r="M610" s="495">
        <v>1107.8934163716488</v>
      </c>
      <c r="N610" s="495">
        <v>1050.5298374174813</v>
      </c>
      <c r="O610" s="495">
        <v>993.15979637544467</v>
      </c>
      <c r="P610" s="495">
        <v>957.09316751978884</v>
      </c>
      <c r="Q610" s="495">
        <v>921.11065555366258</v>
      </c>
      <c r="R610" s="495">
        <v>885.23994229529126</v>
      </c>
      <c r="S610" s="495">
        <v>849.50870956294239</v>
      </c>
      <c r="T610" s="495">
        <v>813.94463917488429</v>
      </c>
      <c r="U610" s="495">
        <v>793.87659280080777</v>
      </c>
      <c r="V610" s="495">
        <v>773.85360622190331</v>
      </c>
      <c r="W610" s="495">
        <v>753.88471212066452</v>
      </c>
      <c r="X610" s="495">
        <v>733.97894317953103</v>
      </c>
      <c r="Y610" s="495">
        <v>714.14533208099056</v>
      </c>
      <c r="Z610" s="495">
        <v>692.2962641245515</v>
      </c>
      <c r="AA610" s="495">
        <v>670.85811369522071</v>
      </c>
      <c r="AB610" s="495">
        <v>649.82559872377249</v>
      </c>
      <c r="AC610" s="495">
        <v>629.19343714096851</v>
      </c>
      <c r="AD610" s="495">
        <v>608.95634687757513</v>
      </c>
      <c r="AE610" s="495">
        <v>596.63106894076316</v>
      </c>
      <c r="AF610" s="495">
        <v>584.53766324932337</v>
      </c>
      <c r="AG610" s="495">
        <v>572.67280132710493</v>
      </c>
      <c r="AH610" s="495">
        <v>561.03315469796928</v>
      </c>
      <c r="AI610" s="495">
        <v>549.61539488577876</v>
      </c>
    </row>
    <row r="611" spans="2:35" ht="15" outlineLevel="1">
      <c r="B611" t="str">
        <f t="shared" si="57"/>
        <v>e-methane (PS) - Energy cost including feedstock energy cost - Americas - USD/ton fuel</v>
      </c>
      <c r="C611" s="22" t="str">
        <f>C566</f>
        <v>e-methane (PS)</v>
      </c>
      <c r="D611" s="22" t="s">
        <v>1367</v>
      </c>
      <c r="E611" s="22" t="s">
        <v>731</v>
      </c>
      <c r="F611" s="22" t="s">
        <v>1353</v>
      </c>
      <c r="G611" s="487" t="str">
        <f t="shared" si="58"/>
        <v>e-methane (PS)AmericasEnergy cost including feedstock energy cost</v>
      </c>
      <c r="H611" s="496">
        <v>1053.0862795756796</v>
      </c>
      <c r="I611" s="496">
        <v>1030.1707452399262</v>
      </c>
      <c r="J611" s="496">
        <v>1007.1151165466516</v>
      </c>
      <c r="K611" s="496">
        <v>968.51542723558896</v>
      </c>
      <c r="L611" s="496">
        <v>929.76165158939193</v>
      </c>
      <c r="M611" s="496">
        <v>890.88832128358479</v>
      </c>
      <c r="N611" s="496">
        <v>851.92996799373384</v>
      </c>
      <c r="O611" s="496">
        <v>812.92112339532616</v>
      </c>
      <c r="P611" s="496">
        <v>790.57481135546004</v>
      </c>
      <c r="Q611" s="496">
        <v>768.20454976239944</v>
      </c>
      <c r="R611" s="496">
        <v>745.82637332937486</v>
      </c>
      <c r="S611" s="496">
        <v>723.45631676961955</v>
      </c>
      <c r="T611" s="496">
        <v>701.11041479639471</v>
      </c>
      <c r="U611" s="496">
        <v>681.96966603682063</v>
      </c>
      <c r="V611" s="496">
        <v>662.89819686316093</v>
      </c>
      <c r="W611" s="496">
        <v>643.90501829783943</v>
      </c>
      <c r="X611" s="496">
        <v>624.9991413632348</v>
      </c>
      <c r="Y611" s="496">
        <v>606.18957708175503</v>
      </c>
      <c r="Z611" s="496">
        <v>593.76201161918016</v>
      </c>
      <c r="AA611" s="496">
        <v>581.5376449239659</v>
      </c>
      <c r="AB611" s="496">
        <v>569.51441248740355</v>
      </c>
      <c r="AC611" s="496">
        <v>557.6902498007538</v>
      </c>
      <c r="AD611" s="496">
        <v>546.06309235530432</v>
      </c>
      <c r="AE611" s="496">
        <v>536.8420256747238</v>
      </c>
      <c r="AF611" s="496">
        <v>527.79224959635781</v>
      </c>
      <c r="AG611" s="496">
        <v>518.91176449625061</v>
      </c>
      <c r="AH611" s="496">
        <v>510.19857075045178</v>
      </c>
      <c r="AI611" s="496">
        <v>501.65066873500996</v>
      </c>
    </row>
    <row r="612" spans="2:35" ht="15" outlineLevel="1">
      <c r="B612" t="str">
        <f t="shared" si="57"/>
        <v>e-methane (PS) - Energy cost including feedstock energy cost - Asia - USD/ton fuel</v>
      </c>
      <c r="C612" s="22" t="str">
        <f>C566</f>
        <v>e-methane (PS)</v>
      </c>
      <c r="D612" s="22" t="s">
        <v>1367</v>
      </c>
      <c r="E612" s="22" t="s">
        <v>750</v>
      </c>
      <c r="F612" s="22" t="s">
        <v>1353</v>
      </c>
      <c r="G612" s="487" t="str">
        <f t="shared" si="58"/>
        <v>e-methane (PS)AsiaEnergy cost including feedstock energy cost</v>
      </c>
      <c r="H612" s="496">
        <v>1864.1144425118121</v>
      </c>
      <c r="I612" s="496">
        <v>1698.4806655153689</v>
      </c>
      <c r="J612" s="496">
        <v>1532.9142107804544</v>
      </c>
      <c r="K612" s="496">
        <v>1471.5270207216172</v>
      </c>
      <c r="L612" s="496">
        <v>1409.9168641087113</v>
      </c>
      <c r="M612" s="496">
        <v>1348.1387799734832</v>
      </c>
      <c r="N612" s="496">
        <v>1286.2478073478003</v>
      </c>
      <c r="O612" s="496">
        <v>1224.2989852634676</v>
      </c>
      <c r="P612" s="496">
        <v>1177.7009308838844</v>
      </c>
      <c r="Q612" s="496">
        <v>1131.2342177677911</v>
      </c>
      <c r="R612" s="496">
        <v>1084.9349434359422</v>
      </c>
      <c r="S612" s="496">
        <v>1038.8392054090702</v>
      </c>
      <c r="T612" s="496">
        <v>992.98310120799215</v>
      </c>
      <c r="U612" s="496">
        <v>965.93298930383423</v>
      </c>
      <c r="V612" s="496">
        <v>938.98002988697283</v>
      </c>
      <c r="W612" s="496">
        <v>912.13694616777468</v>
      </c>
      <c r="X612" s="496">
        <v>885.41646135651115</v>
      </c>
      <c r="Y612" s="496">
        <v>858.83129866353909</v>
      </c>
      <c r="Z612" s="496">
        <v>829.46599109153476</v>
      </c>
      <c r="AA612" s="496">
        <v>800.6683746967143</v>
      </c>
      <c r="AB612" s="496">
        <v>772.43087574091237</v>
      </c>
      <c r="AC612" s="496">
        <v>744.74592048594968</v>
      </c>
      <c r="AD612" s="496">
        <v>717.60593519365545</v>
      </c>
      <c r="AE612" s="496">
        <v>702.08381047593332</v>
      </c>
      <c r="AF612" s="496">
        <v>686.8548888419997</v>
      </c>
      <c r="AG612" s="496">
        <v>671.91471121567076</v>
      </c>
      <c r="AH612" s="496">
        <v>657.25881852075895</v>
      </c>
      <c r="AI612" s="496">
        <v>642.88275168107668</v>
      </c>
    </row>
    <row r="613" spans="2:35" ht="15" outlineLevel="1">
      <c r="B613" t="str">
        <f t="shared" si="57"/>
        <v>e-methane (PS) - Energy cost including feedstock energy cost - Europe - USD/ton fuel</v>
      </c>
      <c r="C613" s="22" t="str">
        <f>C566</f>
        <v>e-methane (PS)</v>
      </c>
      <c r="D613" s="22" t="s">
        <v>1367</v>
      </c>
      <c r="E613" s="22" t="s">
        <v>720</v>
      </c>
      <c r="F613" s="22" t="s">
        <v>1353</v>
      </c>
      <c r="G613" s="487" t="str">
        <f t="shared" si="58"/>
        <v>e-methane (PS)EuropeEnergy cost including feedstock energy cost</v>
      </c>
      <c r="H613" s="496">
        <v>1387.732228844671</v>
      </c>
      <c r="I613" s="496">
        <v>1326.4953724901786</v>
      </c>
      <c r="J613" s="496">
        <v>1265.1521551867691</v>
      </c>
      <c r="K613" s="496">
        <v>1214.6528522545384</v>
      </c>
      <c r="L613" s="496">
        <v>1163.9688050054565</v>
      </c>
      <c r="M613" s="496">
        <v>1113.1452832403572</v>
      </c>
      <c r="N613" s="496">
        <v>1062.2275567600573</v>
      </c>
      <c r="O613" s="496">
        <v>1011.2608953653762</v>
      </c>
      <c r="P613" s="496">
        <v>985.40904283410737</v>
      </c>
      <c r="Q613" s="496">
        <v>959.50222003096417</v>
      </c>
      <c r="R613" s="496">
        <v>933.55857691518736</v>
      </c>
      <c r="S613" s="496">
        <v>907.59626344605169</v>
      </c>
      <c r="T613" s="496">
        <v>881.63342958287137</v>
      </c>
      <c r="U613" s="496">
        <v>863.32007172032434</v>
      </c>
      <c r="V613" s="496">
        <v>844.99928234869583</v>
      </c>
      <c r="W613" s="496">
        <v>826.67857389135611</v>
      </c>
      <c r="X613" s="496">
        <v>808.36545877160881</v>
      </c>
      <c r="Y613" s="496">
        <v>790.06744941280203</v>
      </c>
      <c r="Z613" s="496">
        <v>769.11550759960255</v>
      </c>
      <c r="AA613" s="496">
        <v>748.54154573107803</v>
      </c>
      <c r="AB613" s="496">
        <v>728.34099323854537</v>
      </c>
      <c r="AC613" s="496">
        <v>708.50927955327586</v>
      </c>
      <c r="AD613" s="496">
        <v>689.04183410658095</v>
      </c>
      <c r="AE613" s="496">
        <v>674.13800351651639</v>
      </c>
      <c r="AF613" s="496">
        <v>659.51569633543966</v>
      </c>
      <c r="AG613" s="496">
        <v>645.17063121630815</v>
      </c>
      <c r="AH613" s="496">
        <v>631.0985268120761</v>
      </c>
      <c r="AI613" s="496">
        <v>617.29510177569739</v>
      </c>
    </row>
    <row r="614" spans="2:35" ht="15" outlineLevel="1">
      <c r="B614" t="str">
        <f t="shared" si="57"/>
        <v>e-methane (PS) - Energy cost including feedstock energy cost - Middle East - USD/ton fuel</v>
      </c>
      <c r="C614" s="92" t="str">
        <f>C566</f>
        <v>e-methane (PS)</v>
      </c>
      <c r="D614" s="92" t="s">
        <v>1367</v>
      </c>
      <c r="E614" s="92" t="s">
        <v>826</v>
      </c>
      <c r="F614" s="92" t="s">
        <v>1353</v>
      </c>
      <c r="G614" s="487" t="str">
        <f t="shared" si="58"/>
        <v>e-methane (PS)Middle EastEnergy cost including feedstock energy cost</v>
      </c>
      <c r="H614" s="497">
        <v>1062.6486617362896</v>
      </c>
      <c r="I614" s="497">
        <v>1014.6657230701588</v>
      </c>
      <c r="J614" s="497">
        <v>966.60408989462155</v>
      </c>
      <c r="K614" s="497">
        <v>933.87316674934846</v>
      </c>
      <c r="L614" s="497">
        <v>900.97541209986309</v>
      </c>
      <c r="M614" s="497">
        <v>867.93990848499357</v>
      </c>
      <c r="N614" s="497">
        <v>834.79573844359697</v>
      </c>
      <c r="O614" s="497">
        <v>801.57198451449005</v>
      </c>
      <c r="P614" s="497">
        <v>775.22997441766142</v>
      </c>
      <c r="Q614" s="497">
        <v>748.920064684615</v>
      </c>
      <c r="R614" s="497">
        <v>722.6620427126868</v>
      </c>
      <c r="S614" s="497">
        <v>696.47569589924115</v>
      </c>
      <c r="T614" s="497">
        <v>670.38081164165305</v>
      </c>
      <c r="U614" s="497">
        <v>654.69880175763353</v>
      </c>
      <c r="V614" s="497">
        <v>639.03999987105794</v>
      </c>
      <c r="W614" s="497">
        <v>623.41128389990558</v>
      </c>
      <c r="X614" s="497">
        <v>607.81953176209447</v>
      </c>
      <c r="Y614" s="497">
        <v>592.27162137558935</v>
      </c>
      <c r="Z614" s="497">
        <v>572.25729415629667</v>
      </c>
      <c r="AA614" s="497">
        <v>552.62882779765891</v>
      </c>
      <c r="AB614" s="497">
        <v>533.38109285253825</v>
      </c>
      <c r="AC614" s="497">
        <v>514.50895987378385</v>
      </c>
      <c r="AD614" s="497">
        <v>496.00729941425311</v>
      </c>
      <c r="AE614" s="497">
        <v>485.27829416466273</v>
      </c>
      <c r="AF614" s="497">
        <v>474.75195318641852</v>
      </c>
      <c r="AG614" s="497">
        <v>464.42519429503449</v>
      </c>
      <c r="AH614" s="497">
        <v>454.29493530603173</v>
      </c>
      <c r="AI614" s="497">
        <v>444.35809403493164</v>
      </c>
    </row>
    <row r="615" spans="2:35" outlineLevel="1">
      <c r="B615" t="str">
        <f t="shared" si="57"/>
        <v>e-methane (PS) - Energy cost - Africa - USD/ton fuel</v>
      </c>
      <c r="C615" t="str">
        <f>C566</f>
        <v>e-methane (PS)</v>
      </c>
      <c r="D615" t="s">
        <v>1368</v>
      </c>
      <c r="E615" t="s">
        <v>838</v>
      </c>
      <c r="F615" t="s">
        <v>1353</v>
      </c>
      <c r="G615" s="487" t="str">
        <f t="shared" si="58"/>
        <v>e-methane (PS)AfricaEnergy cost</v>
      </c>
      <c r="H615" s="493">
        <v>23.35592277220567</v>
      </c>
      <c r="I615" s="493">
        <v>20.613318498263837</v>
      </c>
      <c r="J615" s="493">
        <v>17.870714224321272</v>
      </c>
      <c r="K615" s="493">
        <v>17.106169874015542</v>
      </c>
      <c r="L615" s="493">
        <v>16.341625523709808</v>
      </c>
      <c r="M615" s="493">
        <v>15.577081173404077</v>
      </c>
      <c r="N615" s="493">
        <v>14.812536823098164</v>
      </c>
      <c r="O615" s="493">
        <v>14.04799247279243</v>
      </c>
      <c r="P615" s="493">
        <v>13.621222839370786</v>
      </c>
      <c r="Q615" s="493">
        <v>13.19445320594914</v>
      </c>
      <c r="R615" s="493">
        <v>12.767683572527313</v>
      </c>
      <c r="S615" s="493">
        <v>12.340913939105668</v>
      </c>
      <c r="T615" s="493">
        <v>11.914144305684069</v>
      </c>
      <c r="U615" s="493">
        <v>11.713270851961216</v>
      </c>
      <c r="V615" s="493">
        <v>11.512397398238409</v>
      </c>
      <c r="W615" s="493">
        <v>11.311523944515557</v>
      </c>
      <c r="X615" s="493">
        <v>11.110650490792706</v>
      </c>
      <c r="Y615" s="493">
        <v>10.909777037069944</v>
      </c>
      <c r="Z615" s="493">
        <v>10.703224659738499</v>
      </c>
      <c r="AA615" s="493">
        <v>10.496672282407054</v>
      </c>
      <c r="AB615" s="493">
        <v>10.290119905075517</v>
      </c>
      <c r="AC615" s="493">
        <v>10.083567527744073</v>
      </c>
      <c r="AD615" s="493">
        <v>9.877015150412582</v>
      </c>
      <c r="AE615" s="493">
        <v>9.7756337118425574</v>
      </c>
      <c r="AF615" s="493">
        <v>9.6742522732725789</v>
      </c>
      <c r="AG615" s="493">
        <v>9.5728708347025542</v>
      </c>
      <c r="AH615" s="493">
        <v>9.4714893961325295</v>
      </c>
      <c r="AI615" s="493">
        <v>9.370107957562551</v>
      </c>
    </row>
    <row r="616" spans="2:35" outlineLevel="1">
      <c r="B616" t="str">
        <f t="shared" si="57"/>
        <v>e-methane (PS) - Energy cost - Americas - USD/ton fuel</v>
      </c>
      <c r="C616" t="str">
        <f>C566</f>
        <v>e-methane (PS)</v>
      </c>
      <c r="D616" t="s">
        <v>1368</v>
      </c>
      <c r="E616" t="s">
        <v>731</v>
      </c>
      <c r="F616" t="s">
        <v>1353</v>
      </c>
      <c r="G616" s="487" t="str">
        <f t="shared" si="58"/>
        <v>e-methane (PS)AmericasEnergy cost</v>
      </c>
      <c r="H616" s="493">
        <v>14.674873815906814</v>
      </c>
      <c r="I616" s="493">
        <v>14.37097766078905</v>
      </c>
      <c r="J616" s="493">
        <v>14.067081505671196</v>
      </c>
      <c r="K616" s="493">
        <v>13.553377670568807</v>
      </c>
      <c r="L616" s="493">
        <v>13.03967383546642</v>
      </c>
      <c r="M616" s="493">
        <v>12.525970000364033</v>
      </c>
      <c r="N616" s="493">
        <v>12.012266165261828</v>
      </c>
      <c r="O616" s="493">
        <v>11.498562330159439</v>
      </c>
      <c r="P616" s="493">
        <v>11.251355711348333</v>
      </c>
      <c r="Q616" s="493">
        <v>11.004149092537228</v>
      </c>
      <c r="R616" s="493">
        <v>10.756942473726122</v>
      </c>
      <c r="S616" s="493">
        <v>10.509735854915016</v>
      </c>
      <c r="T616" s="493">
        <v>10.262529236103866</v>
      </c>
      <c r="U616" s="493">
        <v>10.062137470168636</v>
      </c>
      <c r="V616" s="493">
        <v>9.8617457042334085</v>
      </c>
      <c r="W616" s="493">
        <v>9.6613539382981344</v>
      </c>
      <c r="X616" s="493">
        <v>9.4609621723629065</v>
      </c>
      <c r="Y616" s="493">
        <v>9.2605704064276555</v>
      </c>
      <c r="Z616" s="493">
        <v>9.1798389419518571</v>
      </c>
      <c r="AA616" s="493">
        <v>9.0991074774760587</v>
      </c>
      <c r="AB616" s="493">
        <v>9.0183760130002835</v>
      </c>
      <c r="AC616" s="493">
        <v>8.9376445485244869</v>
      </c>
      <c r="AD616" s="493">
        <v>8.8569130840486885</v>
      </c>
      <c r="AE616" s="493">
        <v>8.7960069083172812</v>
      </c>
      <c r="AF616" s="493">
        <v>8.7351007325858969</v>
      </c>
      <c r="AG616" s="493">
        <v>8.6741945568545145</v>
      </c>
      <c r="AH616" s="493">
        <v>8.6132883811231302</v>
      </c>
      <c r="AI616" s="493">
        <v>8.552382205391746</v>
      </c>
    </row>
    <row r="617" spans="2:35" outlineLevel="1">
      <c r="B617" t="str">
        <f t="shared" si="57"/>
        <v>e-methane (PS) - Energy cost - Asia - USD/ton fuel</v>
      </c>
      <c r="C617" t="str">
        <f>C566</f>
        <v>e-methane (PS)</v>
      </c>
      <c r="D617" t="s">
        <v>1368</v>
      </c>
      <c r="E617" t="s">
        <v>750</v>
      </c>
      <c r="F617" t="s">
        <v>1353</v>
      </c>
      <c r="G617" s="487" t="str">
        <f t="shared" si="58"/>
        <v>e-methane (PS)AsiaEnergy cost</v>
      </c>
      <c r="H617" s="493">
        <v>25.976640995923663</v>
      </c>
      <c r="I617" s="493">
        <v>23.693963174734382</v>
      </c>
      <c r="J617" s="493">
        <v>21.411285353546191</v>
      </c>
      <c r="K617" s="493">
        <v>20.592507773689434</v>
      </c>
      <c r="L617" s="493">
        <v>19.773730193833035</v>
      </c>
      <c r="M617" s="493">
        <v>18.954952613976275</v>
      </c>
      <c r="N617" s="493">
        <v>18.136175034119514</v>
      </c>
      <c r="O617" s="493">
        <v>17.317397454263119</v>
      </c>
      <c r="P617" s="493">
        <v>16.760883226524676</v>
      </c>
      <c r="Q617" s="493">
        <v>16.204368998786414</v>
      </c>
      <c r="R617" s="493">
        <v>15.647854771048333</v>
      </c>
      <c r="S617" s="493">
        <v>15.091340543310071</v>
      </c>
      <c r="T617" s="493">
        <v>14.534826315571809</v>
      </c>
      <c r="U617" s="493">
        <v>14.251880999090282</v>
      </c>
      <c r="V617" s="493">
        <v>13.968935682608754</v>
      </c>
      <c r="W617" s="493">
        <v>13.685990366127317</v>
      </c>
      <c r="X617" s="493">
        <v>13.40304504964579</v>
      </c>
      <c r="Y617" s="493">
        <v>13.120099733164444</v>
      </c>
      <c r="Z617" s="493">
        <v>12.823932917639013</v>
      </c>
      <c r="AA617" s="493">
        <v>12.527766102113674</v>
      </c>
      <c r="AB617" s="493">
        <v>12.231599286588244</v>
      </c>
      <c r="AC617" s="493">
        <v>11.935432471062905</v>
      </c>
      <c r="AD617" s="493">
        <v>11.639265655537475</v>
      </c>
      <c r="AE617" s="493">
        <v>11.503447479549278</v>
      </c>
      <c r="AF617" s="493">
        <v>11.367629303561035</v>
      </c>
      <c r="AG617" s="493">
        <v>11.231811127572838</v>
      </c>
      <c r="AH617" s="493">
        <v>11.095992951584641</v>
      </c>
      <c r="AI617" s="493">
        <v>10.960174775596398</v>
      </c>
    </row>
    <row r="618" spans="2:35" outlineLevel="1">
      <c r="B618" t="str">
        <f t="shared" si="57"/>
        <v>e-methane (PS) - Energy cost - Europe - USD/ton fuel</v>
      </c>
      <c r="C618" t="str">
        <f>C566</f>
        <v>e-methane (PS)</v>
      </c>
      <c r="D618" t="s">
        <v>1368</v>
      </c>
      <c r="E618" t="s">
        <v>720</v>
      </c>
      <c r="F618" t="s">
        <v>1353</v>
      </c>
      <c r="G618" s="487" t="str">
        <f t="shared" si="58"/>
        <v>e-methane (PS)EuropeEnergy cost</v>
      </c>
      <c r="H618" s="493">
        <v>19.338202143102901</v>
      </c>
      <c r="I618" s="493">
        <v>18.504733757273062</v>
      </c>
      <c r="J618" s="493">
        <v>17.671265371443223</v>
      </c>
      <c r="K618" s="493">
        <v>16.99781787908978</v>
      </c>
      <c r="L618" s="493">
        <v>16.324370386736156</v>
      </c>
      <c r="M618" s="493">
        <v>15.650922894382711</v>
      </c>
      <c r="N618" s="493">
        <v>14.977475402029086</v>
      </c>
      <c r="O618" s="493">
        <v>14.304027909675643</v>
      </c>
      <c r="P618" s="493">
        <v>14.024210615939774</v>
      </c>
      <c r="Q618" s="493">
        <v>13.744393322204179</v>
      </c>
      <c r="R618" s="493">
        <v>13.464576028468493</v>
      </c>
      <c r="S618" s="493">
        <v>13.184758734732805</v>
      </c>
      <c r="T618" s="493">
        <v>12.904941440997209</v>
      </c>
      <c r="U618" s="493">
        <v>12.737876294246689</v>
      </c>
      <c r="V618" s="493">
        <v>12.570811147496215</v>
      </c>
      <c r="W618" s="493">
        <v>12.403746000745741</v>
      </c>
      <c r="X618" s="493">
        <v>12.236680853995267</v>
      </c>
      <c r="Y618" s="493">
        <v>12.069615707244703</v>
      </c>
      <c r="Z618" s="493">
        <v>11.890886162064181</v>
      </c>
      <c r="AA618" s="493">
        <v>11.712156616883613</v>
      </c>
      <c r="AB618" s="493">
        <v>11.533427071703091</v>
      </c>
      <c r="AC618" s="493">
        <v>11.354697526522523</v>
      </c>
      <c r="AD618" s="493">
        <v>11.175967981342001</v>
      </c>
      <c r="AE618" s="493">
        <v>11.045563224372746</v>
      </c>
      <c r="AF618" s="493">
        <v>10.915158467403444</v>
      </c>
      <c r="AG618" s="493">
        <v>10.784753710434188</v>
      </c>
      <c r="AH618" s="493">
        <v>10.654348953464932</v>
      </c>
      <c r="AI618" s="493">
        <v>10.523944196495632</v>
      </c>
    </row>
    <row r="619" spans="2:35" outlineLevel="1">
      <c r="B619" t="str">
        <f t="shared" si="57"/>
        <v>e-methane (PS) - Energy cost - Middle East - USD/ton fuel</v>
      </c>
      <c r="C619" t="str">
        <f>C566</f>
        <v>e-methane (PS)</v>
      </c>
      <c r="D619" t="s">
        <v>1368</v>
      </c>
      <c r="E619" t="s">
        <v>826</v>
      </c>
      <c r="F619" t="s">
        <v>1353</v>
      </c>
      <c r="G619" s="487" t="str">
        <f t="shared" si="58"/>
        <v>e-methane (PS)Middle EastEnergy cost</v>
      </c>
      <c r="H619" s="493">
        <v>14.808126669265585</v>
      </c>
      <c r="I619" s="493">
        <v>14.154681160173642</v>
      </c>
      <c r="J619" s="493">
        <v>13.501235651081515</v>
      </c>
      <c r="K619" s="493">
        <v>13.06859485087498</v>
      </c>
      <c r="L619" s="493">
        <v>12.635954050668444</v>
      </c>
      <c r="M619" s="493">
        <v>12.203313250461907</v>
      </c>
      <c r="N619" s="493">
        <v>11.77067245025537</v>
      </c>
      <c r="O619" s="493">
        <v>11.338031650048833</v>
      </c>
      <c r="P619" s="493">
        <v>11.032970030145316</v>
      </c>
      <c r="Q619" s="493">
        <v>10.72790841024189</v>
      </c>
      <c r="R619" s="493">
        <v>10.422846790338372</v>
      </c>
      <c r="S619" s="493">
        <v>10.117785170434946</v>
      </c>
      <c r="T619" s="493">
        <v>9.8127235505315191</v>
      </c>
      <c r="U619" s="493">
        <v>9.6597688620424833</v>
      </c>
      <c r="V619" s="493">
        <v>9.5068141735534493</v>
      </c>
      <c r="W619" s="493">
        <v>9.3538594850644596</v>
      </c>
      <c r="X619" s="493">
        <v>9.2009047965754238</v>
      </c>
      <c r="Y619" s="493">
        <v>9.047950108086388</v>
      </c>
      <c r="Z619" s="493">
        <v>8.8473659326680263</v>
      </c>
      <c r="AA619" s="493">
        <v>8.6467817572497108</v>
      </c>
      <c r="AB619" s="493">
        <v>8.4461975818313473</v>
      </c>
      <c r="AC619" s="493">
        <v>8.2456134064130318</v>
      </c>
      <c r="AD619" s="493">
        <v>8.045029230994647</v>
      </c>
      <c r="AE619" s="493">
        <v>7.9511495445312228</v>
      </c>
      <c r="AF619" s="493">
        <v>7.8572698580678209</v>
      </c>
      <c r="AG619" s="493">
        <v>7.7633901716043967</v>
      </c>
      <c r="AH619" s="493">
        <v>7.6695104851409726</v>
      </c>
      <c r="AI619" s="493">
        <v>7.5756307986775715</v>
      </c>
    </row>
    <row r="620" spans="2:35" outlineLevel="1">
      <c r="B620" t="str">
        <f t="shared" si="57"/>
        <v>e-hydrogen (compressed) - Energy cost including feedstock energy cost - Africa - USD/ton fuel</v>
      </c>
      <c r="C620" t="s">
        <v>722</v>
      </c>
      <c r="D620" t="s">
        <v>1367</v>
      </c>
      <c r="E620" t="s">
        <v>838</v>
      </c>
      <c r="F620" t="s">
        <v>1353</v>
      </c>
      <c r="G620" s="487" t="str">
        <f t="shared" si="58"/>
        <v>e-hydrogen (compressed)AfricaEnergy cost including feedstock energy cost</v>
      </c>
      <c r="H620" s="507">
        <v>3160.8705964644164</v>
      </c>
      <c r="I620" s="507">
        <v>2786.523241337979</v>
      </c>
      <c r="J620" s="507">
        <v>2412.5464202833837</v>
      </c>
      <c r="K620" s="507">
        <v>2304.7344628217015</v>
      </c>
      <c r="L620" s="507">
        <v>2196.6012206586379</v>
      </c>
      <c r="M620" s="507">
        <v>2088.2494806360514</v>
      </c>
      <c r="N620" s="507">
        <v>1979.7820295958466</v>
      </c>
      <c r="O620" s="507">
        <v>1871.3016543799013</v>
      </c>
      <c r="P620" s="507">
        <v>1802.6625730422293</v>
      </c>
      <c r="Q620" s="507">
        <v>1734.1917254836167</v>
      </c>
      <c r="R620" s="507">
        <v>1665.9444753405153</v>
      </c>
      <c r="S620" s="507">
        <v>1597.976186249457</v>
      </c>
      <c r="T620" s="507">
        <v>1530.3422218469802</v>
      </c>
      <c r="U620" s="507">
        <v>1491.8507805011832</v>
      </c>
      <c r="V620" s="507">
        <v>1453.4494587457298</v>
      </c>
      <c r="W620" s="507">
        <v>1415.1563219456079</v>
      </c>
      <c r="X620" s="507">
        <v>1376.9894354656967</v>
      </c>
      <c r="Y620" s="507">
        <v>1338.9668646709708</v>
      </c>
      <c r="Z620" s="507">
        <v>1296.9598763474942</v>
      </c>
      <c r="AA620" s="507">
        <v>1255.7747230782336</v>
      </c>
      <c r="AB620" s="507">
        <v>1215.4008407247393</v>
      </c>
      <c r="AC620" s="507">
        <v>1175.8276651485323</v>
      </c>
      <c r="AD620" s="507">
        <v>1137.0446322111472</v>
      </c>
      <c r="AE620" s="507">
        <v>1113.2241368658154</v>
      </c>
      <c r="AF620" s="507">
        <v>1089.8673860112274</v>
      </c>
      <c r="AG620" s="507">
        <v>1066.9677226950826</v>
      </c>
      <c r="AH620" s="507">
        <v>1044.5184899651035</v>
      </c>
      <c r="AI620" s="507">
        <v>1022.5130308690141</v>
      </c>
    </row>
    <row r="621" spans="2:35" outlineLevel="1">
      <c r="B621" t="str">
        <f t="shared" si="57"/>
        <v>e-hydrogen (compressed) - Energy cost including feedstock energy cost - Americas - USD/ton fuel</v>
      </c>
      <c r="C621" t="s">
        <v>722</v>
      </c>
      <c r="D621" t="s">
        <v>1367</v>
      </c>
      <c r="E621" t="s">
        <v>731</v>
      </c>
      <c r="F621" t="s">
        <v>1353</v>
      </c>
      <c r="G621" s="487" t="str">
        <f t="shared" si="58"/>
        <v>e-hydrogen (compressed)AmericasEnergy cost including feedstock energy cost</v>
      </c>
      <c r="H621" s="507">
        <v>1986.022029783622</v>
      </c>
      <c r="I621" s="507">
        <v>1942.6791108821419</v>
      </c>
      <c r="J621" s="507">
        <v>1899.0560032656203</v>
      </c>
      <c r="K621" s="507">
        <v>1826.0625747933959</v>
      </c>
      <c r="L621" s="507">
        <v>1752.7609736509025</v>
      </c>
      <c r="M621" s="507">
        <v>1679.2202631891889</v>
      </c>
      <c r="N621" s="507">
        <v>1605.5095067593863</v>
      </c>
      <c r="O621" s="507">
        <v>1531.6977677124719</v>
      </c>
      <c r="P621" s="507">
        <v>1489.0291478242557</v>
      </c>
      <c r="Q621" s="507">
        <v>1446.3126288296503</v>
      </c>
      <c r="R621" s="507">
        <v>1403.5802801551172</v>
      </c>
      <c r="S621" s="507">
        <v>1360.8641712271224</v>
      </c>
      <c r="T621" s="507">
        <v>1318.196371472189</v>
      </c>
      <c r="U621" s="507">
        <v>1281.5555815366356</v>
      </c>
      <c r="V621" s="507">
        <v>1245.0533507729108</v>
      </c>
      <c r="W621" s="507">
        <v>1208.7077012258628</v>
      </c>
      <c r="X621" s="507">
        <v>1172.5366549402484</v>
      </c>
      <c r="Y621" s="507">
        <v>1136.5582339608836</v>
      </c>
      <c r="Z621" s="507">
        <v>1112.3640919011295</v>
      </c>
      <c r="AA621" s="507">
        <v>1088.5763473760965</v>
      </c>
      <c r="AB621" s="507">
        <v>1065.1908713683672</v>
      </c>
      <c r="AC621" s="507">
        <v>1042.2035348604634</v>
      </c>
      <c r="AD621" s="507">
        <v>1019.61020883496</v>
      </c>
      <c r="AE621" s="507">
        <v>1001.6667447875999</v>
      </c>
      <c r="AF621" s="507">
        <v>984.06586194466854</v>
      </c>
      <c r="AG621" s="507">
        <v>966.80356105825501</v>
      </c>
      <c r="AH621" s="507">
        <v>949.87584288045787</v>
      </c>
      <c r="AI621" s="507">
        <v>933.27870816337509</v>
      </c>
    </row>
    <row r="622" spans="2:35" outlineLevel="1">
      <c r="B622" t="str">
        <f t="shared" si="57"/>
        <v>e-hydrogen (compressed) - Energy cost including feedstock energy cost - Asia - USD/ton fuel</v>
      </c>
      <c r="C622" t="s">
        <v>722</v>
      </c>
      <c r="D622" t="s">
        <v>1367</v>
      </c>
      <c r="E622" t="s">
        <v>750</v>
      </c>
      <c r="F622" t="s">
        <v>1353</v>
      </c>
      <c r="G622" s="487" t="str">
        <f t="shared" si="58"/>
        <v>e-hydrogen (compressed)AsiaEnergy cost including feedstock energy cost</v>
      </c>
      <c r="H622" s="507">
        <v>3515.5451368694994</v>
      </c>
      <c r="I622" s="507">
        <v>3202.9670075376002</v>
      </c>
      <c r="J622" s="507">
        <v>2890.5235227287494</v>
      </c>
      <c r="K622" s="507">
        <v>2774.4528840461521</v>
      </c>
      <c r="L622" s="507">
        <v>2657.9363122554146</v>
      </c>
      <c r="M622" s="507">
        <v>2541.0838854200356</v>
      </c>
      <c r="N622" s="507">
        <v>2424.0056816037468</v>
      </c>
      <c r="O622" s="507">
        <v>2306.8117788701561</v>
      </c>
      <c r="P622" s="507">
        <v>2218.1721303505983</v>
      </c>
      <c r="Q622" s="507">
        <v>2129.7951643580186</v>
      </c>
      <c r="R622" s="507">
        <v>2041.7530759339261</v>
      </c>
      <c r="S622" s="507">
        <v>1954.1180601197893</v>
      </c>
      <c r="T622" s="507">
        <v>1866.9623119572402</v>
      </c>
      <c r="U622" s="507">
        <v>1815.1787029276168</v>
      </c>
      <c r="V622" s="507">
        <v>1763.5893988725866</v>
      </c>
      <c r="W622" s="507">
        <v>1712.219846212882</v>
      </c>
      <c r="X622" s="507">
        <v>1661.0954913690473</v>
      </c>
      <c r="Y622" s="507">
        <v>1610.2417807617942</v>
      </c>
      <c r="Z622" s="507">
        <v>1553.9360314199</v>
      </c>
      <c r="AA622" s="507">
        <v>1498.7656644323729</v>
      </c>
      <c r="AB622" s="507">
        <v>1444.7155323228835</v>
      </c>
      <c r="AC622" s="507">
        <v>1391.7704876150719</v>
      </c>
      <c r="AD622" s="507">
        <v>1339.915382832598</v>
      </c>
      <c r="AE622" s="507">
        <v>1309.9831447130568</v>
      </c>
      <c r="AF622" s="507">
        <v>1280.6373127610934</v>
      </c>
      <c r="AG622" s="507">
        <v>1251.8689688243389</v>
      </c>
      <c r="AH622" s="507">
        <v>1223.6691947504187</v>
      </c>
      <c r="AI622" s="507">
        <v>1196.0290723869578</v>
      </c>
    </row>
    <row r="623" spans="2:35" outlineLevel="1">
      <c r="B623" t="str">
        <f t="shared" si="57"/>
        <v>e-hydrogen (compressed) - Energy cost including feedstock energy cost - Europe - USD/ton fuel</v>
      </c>
      <c r="C623" t="s">
        <v>722</v>
      </c>
      <c r="D623" t="s">
        <v>1367</v>
      </c>
      <c r="E623" t="s">
        <v>720</v>
      </c>
      <c r="F623" t="s">
        <v>1353</v>
      </c>
      <c r="G623" s="487" t="str">
        <f t="shared" si="58"/>
        <v>e-hydrogen (compressed)EuropeEnergy cost including feedstock energy cost</v>
      </c>
      <c r="H623" s="507">
        <v>2617.1329276426868</v>
      </c>
      <c r="I623" s="507">
        <v>2501.4832373426843</v>
      </c>
      <c r="J623" s="507">
        <v>2385.6208251448465</v>
      </c>
      <c r="K623" s="507">
        <v>2290.1360706240293</v>
      </c>
      <c r="L623" s="507">
        <v>2194.281827469511</v>
      </c>
      <c r="M623" s="507">
        <v>2098.1486352829556</v>
      </c>
      <c r="N623" s="507">
        <v>2001.8270336660016</v>
      </c>
      <c r="O623" s="507">
        <v>1905.4075622202831</v>
      </c>
      <c r="P623" s="507">
        <v>1855.9948612502078</v>
      </c>
      <c r="Q623" s="507">
        <v>1806.4722197363817</v>
      </c>
      <c r="R623" s="507">
        <v>1756.8759375972888</v>
      </c>
      <c r="S623" s="507">
        <v>1707.2423147514785</v>
      </c>
      <c r="T623" s="507">
        <v>1657.6076511175781</v>
      </c>
      <c r="U623" s="507">
        <v>1622.348781281504</v>
      </c>
      <c r="V623" s="507">
        <v>1587.0750484272664</v>
      </c>
      <c r="W623" s="507">
        <v>1551.8014774016065</v>
      </c>
      <c r="X623" s="507">
        <v>1516.5430930511313</v>
      </c>
      <c r="Y623" s="507">
        <v>1481.3149202225381</v>
      </c>
      <c r="Z623" s="507">
        <v>1440.8743847473047</v>
      </c>
      <c r="AA623" s="507">
        <v>1401.1898091614214</v>
      </c>
      <c r="AB623" s="507">
        <v>1362.2520523275218</v>
      </c>
      <c r="AC623" s="507">
        <v>1324.0519731081486</v>
      </c>
      <c r="AD623" s="507">
        <v>1286.5804303659243</v>
      </c>
      <c r="AE623" s="507">
        <v>1257.840458133481</v>
      </c>
      <c r="AF623" s="507">
        <v>1229.6635327190136</v>
      </c>
      <c r="AG623" s="507">
        <v>1202.0410914284364</v>
      </c>
      <c r="AH623" s="507">
        <v>1174.9645715676581</v>
      </c>
      <c r="AI623" s="507">
        <v>1148.4254104425868</v>
      </c>
    </row>
    <row r="624" spans="2:35" outlineLevel="1">
      <c r="B624" t="str">
        <f t="shared" si="57"/>
        <v>e-hydrogen (compressed) - Energy cost including feedstock energy cost - Middle East - USD/ton fuel</v>
      </c>
      <c r="C624" t="s">
        <v>722</v>
      </c>
      <c r="D624" t="s">
        <v>1367</v>
      </c>
      <c r="E624" t="s">
        <v>826</v>
      </c>
      <c r="F624" t="s">
        <v>1353</v>
      </c>
      <c r="G624" s="487" t="str">
        <f t="shared" si="58"/>
        <v>e-hydrogen (compressed)Middle EastEnergy cost including feedstock energy cost</v>
      </c>
      <c r="H624" s="507">
        <v>2004.0557863679674</v>
      </c>
      <c r="I624" s="507">
        <v>1913.439994141396</v>
      </c>
      <c r="J624" s="507">
        <v>1822.6668128960132</v>
      </c>
      <c r="K624" s="507">
        <v>1760.7472131571581</v>
      </c>
      <c r="L624" s="507">
        <v>1698.4939504098782</v>
      </c>
      <c r="M624" s="507">
        <v>1635.9651897318304</v>
      </c>
      <c r="N624" s="507">
        <v>1573.2190962007282</v>
      </c>
      <c r="O624" s="507">
        <v>1510.3138348942052</v>
      </c>
      <c r="P624" s="507">
        <v>1460.1275067135082</v>
      </c>
      <c r="Q624" s="507">
        <v>1410.0053792603746</v>
      </c>
      <c r="R624" s="507">
        <v>1359.9870273294782</v>
      </c>
      <c r="S624" s="507">
        <v>1310.1120257155462</v>
      </c>
      <c r="T624" s="507">
        <v>1260.4199492133293</v>
      </c>
      <c r="U624" s="507">
        <v>1230.3082459572943</v>
      </c>
      <c r="V624" s="507">
        <v>1200.2429586961468</v>
      </c>
      <c r="W624" s="507">
        <v>1170.2378432658459</v>
      </c>
      <c r="X624" s="507">
        <v>1140.3066555022276</v>
      </c>
      <c r="Y624" s="507">
        <v>1110.4631512412213</v>
      </c>
      <c r="Z624" s="507">
        <v>1072.0767797388739</v>
      </c>
      <c r="AA624" s="507">
        <v>1034.4621299578357</v>
      </c>
      <c r="AB624" s="507">
        <v>997.60894300383222</v>
      </c>
      <c r="AC624" s="507">
        <v>961.50695998256094</v>
      </c>
      <c r="AD624" s="507">
        <v>926.14592199973754</v>
      </c>
      <c r="AE624" s="507">
        <v>905.45655143347608</v>
      </c>
      <c r="AF624" s="507">
        <v>885.17250940990675</v>
      </c>
      <c r="AG624" s="507">
        <v>865.287631560058</v>
      </c>
      <c r="AH624" s="507">
        <v>845.79575351497181</v>
      </c>
      <c r="AI624" s="507">
        <v>826.69071090569059</v>
      </c>
    </row>
    <row r="625" spans="2:35" outlineLevel="1">
      <c r="B625" t="str">
        <f t="shared" si="57"/>
        <v>Carbon dioxide (PS) - Energy cost - Africa - USD/ton fuel</v>
      </c>
      <c r="C625" t="s">
        <v>1380</v>
      </c>
      <c r="D625" t="s">
        <v>1368</v>
      </c>
      <c r="E625" t="s">
        <v>838</v>
      </c>
      <c r="F625" t="s">
        <v>1353</v>
      </c>
      <c r="G625" s="487" t="str">
        <f t="shared" si="58"/>
        <v>Carbon dioxide (PS)AfricaEnergy cost</v>
      </c>
      <c r="H625" s="493">
        <v>26.275413118731375</v>
      </c>
      <c r="I625" s="493">
        <v>23.189983310546815</v>
      </c>
      <c r="J625" s="493">
        <v>20.104553502361433</v>
      </c>
      <c r="K625" s="493">
        <v>19.244441108267484</v>
      </c>
      <c r="L625" s="493">
        <v>18.384328714173535</v>
      </c>
      <c r="M625" s="493">
        <v>17.524216320079585</v>
      </c>
      <c r="N625" s="493">
        <v>16.664103925985433</v>
      </c>
      <c r="O625" s="493">
        <v>15.803991531891484</v>
      </c>
      <c r="P625" s="493">
        <v>15.323875694292132</v>
      </c>
      <c r="Q625" s="493">
        <v>14.843759856692783</v>
      </c>
      <c r="R625" s="493">
        <v>14.363644019093227</v>
      </c>
      <c r="S625" s="493">
        <v>13.883528181493876</v>
      </c>
      <c r="T625" s="493">
        <v>13.403412343894576</v>
      </c>
      <c r="U625" s="493">
        <v>13.177429708456367</v>
      </c>
      <c r="V625" s="493">
        <v>12.95144707301821</v>
      </c>
      <c r="W625" s="493">
        <v>12.725464437580001</v>
      </c>
      <c r="X625" s="493">
        <v>12.499481802141792</v>
      </c>
      <c r="Y625" s="493">
        <v>12.273499166703687</v>
      </c>
      <c r="Z625" s="493">
        <v>12.041127742205811</v>
      </c>
      <c r="AA625" s="493">
        <v>11.808756317707935</v>
      </c>
      <c r="AB625" s="493">
        <v>11.576384893209957</v>
      </c>
      <c r="AC625" s="493">
        <v>11.344013468712081</v>
      </c>
      <c r="AD625" s="493">
        <v>11.111642044214154</v>
      </c>
      <c r="AE625" s="493">
        <v>10.997587925822875</v>
      </c>
      <c r="AF625" s="493">
        <v>10.88353380743165</v>
      </c>
      <c r="AG625" s="493">
        <v>10.769479689040372</v>
      </c>
      <c r="AH625" s="493">
        <v>10.655425570649095</v>
      </c>
      <c r="AI625" s="493">
        <v>10.541371452257868</v>
      </c>
    </row>
    <row r="626" spans="2:35" outlineLevel="1">
      <c r="B626" t="str">
        <f t="shared" si="57"/>
        <v>Carbon dioxide (PS) - Energy cost - Americas - USD/ton fuel</v>
      </c>
      <c r="C626" t="s">
        <v>1380</v>
      </c>
      <c r="D626" t="s">
        <v>1368</v>
      </c>
      <c r="E626" t="s">
        <v>731</v>
      </c>
      <c r="F626" t="s">
        <v>1353</v>
      </c>
      <c r="G626" s="487" t="str">
        <f t="shared" si="58"/>
        <v>Carbon dioxide (PS)AmericasEnergy cost</v>
      </c>
      <c r="H626" s="493">
        <v>16.509233042895165</v>
      </c>
      <c r="I626" s="493">
        <v>16.167349868387682</v>
      </c>
      <c r="J626" s="493">
        <v>15.825466693880093</v>
      </c>
      <c r="K626" s="493">
        <v>15.247549879389908</v>
      </c>
      <c r="L626" s="493">
        <v>14.669633064899722</v>
      </c>
      <c r="M626" s="493">
        <v>14.091716250409537</v>
      </c>
      <c r="N626" s="493">
        <v>13.513799435919555</v>
      </c>
      <c r="O626" s="493">
        <v>12.93588262142937</v>
      </c>
      <c r="P626" s="493">
        <v>12.657775175266876</v>
      </c>
      <c r="Q626" s="493">
        <v>12.379667729104382</v>
      </c>
      <c r="R626" s="493">
        <v>12.101560282941888</v>
      </c>
      <c r="S626" s="493">
        <v>11.823452836779394</v>
      </c>
      <c r="T626" s="493">
        <v>11.545345390616848</v>
      </c>
      <c r="U626" s="493">
        <v>11.319904653939716</v>
      </c>
      <c r="V626" s="493">
        <v>11.094463917262585</v>
      </c>
      <c r="W626" s="493">
        <v>10.869023180585401</v>
      </c>
      <c r="X626" s="493">
        <v>10.64358244390827</v>
      </c>
      <c r="Y626" s="493">
        <v>10.418141707231113</v>
      </c>
      <c r="Z626" s="493">
        <v>10.327318809695839</v>
      </c>
      <c r="AA626" s="493">
        <v>10.236495912160567</v>
      </c>
      <c r="AB626" s="493">
        <v>10.14567301462532</v>
      </c>
      <c r="AC626" s="493">
        <v>10.054850117090046</v>
      </c>
      <c r="AD626" s="493">
        <v>9.9640272195547741</v>
      </c>
      <c r="AE626" s="493">
        <v>9.8955077718569413</v>
      </c>
      <c r="AF626" s="493">
        <v>9.8269883241591351</v>
      </c>
      <c r="AG626" s="493">
        <v>9.7584688764613272</v>
      </c>
      <c r="AH626" s="493">
        <v>9.6899494287635211</v>
      </c>
      <c r="AI626" s="493">
        <v>9.6214299810657149</v>
      </c>
    </row>
    <row r="627" spans="2:35" outlineLevel="1">
      <c r="B627" t="str">
        <f t="shared" si="57"/>
        <v>Carbon dioxide (PS) - Energy cost - Asia - USD/ton fuel</v>
      </c>
      <c r="C627" t="s">
        <v>1380</v>
      </c>
      <c r="D627" t="s">
        <v>1368</v>
      </c>
      <c r="E627" t="s">
        <v>750</v>
      </c>
      <c r="F627" t="s">
        <v>1353</v>
      </c>
      <c r="G627" s="487" t="str">
        <f t="shared" si="58"/>
        <v>Carbon dioxide (PS)AsiaEnergy cost</v>
      </c>
      <c r="H627" s="493">
        <v>29.223721120414123</v>
      </c>
      <c r="I627" s="493">
        <v>26.655708571576181</v>
      </c>
      <c r="J627" s="493">
        <v>24.087696022739465</v>
      </c>
      <c r="K627" s="493">
        <v>23.166571245400611</v>
      </c>
      <c r="L627" s="493">
        <v>22.245446468062166</v>
      </c>
      <c r="M627" s="493">
        <v>21.324321690723309</v>
      </c>
      <c r="N627" s="493">
        <v>20.403196913384456</v>
      </c>
      <c r="O627" s="493">
        <v>19.482072136046011</v>
      </c>
      <c r="P627" s="493">
        <v>18.85599362984026</v>
      </c>
      <c r="Q627" s="493">
        <v>18.229915123634715</v>
      </c>
      <c r="R627" s="493">
        <v>17.603836617429376</v>
      </c>
      <c r="S627" s="493">
        <v>16.977758111223832</v>
      </c>
      <c r="T627" s="493">
        <v>16.351679605018287</v>
      </c>
      <c r="U627" s="493">
        <v>16.033366123976567</v>
      </c>
      <c r="V627" s="493">
        <v>15.715052642934848</v>
      </c>
      <c r="W627" s="493">
        <v>15.396739161893231</v>
      </c>
      <c r="X627" s="493">
        <v>15.078425680851513</v>
      </c>
      <c r="Y627" s="493">
        <v>14.760112199809999</v>
      </c>
      <c r="Z627" s="493">
        <v>14.426924532343889</v>
      </c>
      <c r="AA627" s="493">
        <v>14.093736864877883</v>
      </c>
      <c r="AB627" s="493">
        <v>13.760549197411775</v>
      </c>
      <c r="AC627" s="493">
        <v>13.427361529945768</v>
      </c>
      <c r="AD627" s="493">
        <v>13.094173862479659</v>
      </c>
      <c r="AE627" s="493">
        <v>12.941378414492936</v>
      </c>
      <c r="AF627" s="493">
        <v>12.788582966506164</v>
      </c>
      <c r="AG627" s="493">
        <v>12.635787518519441</v>
      </c>
      <c r="AH627" s="493">
        <v>12.48299207053272</v>
      </c>
      <c r="AI627" s="493">
        <v>12.330196622545946</v>
      </c>
    </row>
    <row r="628" spans="2:35" outlineLevel="1">
      <c r="B628" t="str">
        <f t="shared" si="57"/>
        <v>Carbon dioxide (PS) - Energy cost - Europe - USD/ton fuel</v>
      </c>
      <c r="C628" t="s">
        <v>1380</v>
      </c>
      <c r="D628" t="s">
        <v>1368</v>
      </c>
      <c r="E628" t="s">
        <v>720</v>
      </c>
      <c r="F628" t="s">
        <v>1353</v>
      </c>
      <c r="G628" s="487" t="str">
        <f t="shared" si="58"/>
        <v>Carbon dioxide (PS)EuropeEnergy cost</v>
      </c>
      <c r="H628" s="493">
        <v>21.75547741099076</v>
      </c>
      <c r="I628" s="493">
        <v>20.817825476932196</v>
      </c>
      <c r="J628" s="493">
        <v>19.880173542873628</v>
      </c>
      <c r="K628" s="493">
        <v>19.122545113976003</v>
      </c>
      <c r="L628" s="493">
        <v>18.364916685078175</v>
      </c>
      <c r="M628" s="493">
        <v>17.607288256180549</v>
      </c>
      <c r="N628" s="493">
        <v>16.849659827282721</v>
      </c>
      <c r="O628" s="493">
        <v>16.0920313983851</v>
      </c>
      <c r="P628" s="493">
        <v>15.777236942932246</v>
      </c>
      <c r="Q628" s="493">
        <v>15.4624424874797</v>
      </c>
      <c r="R628" s="493">
        <v>15.147648032027053</v>
      </c>
      <c r="S628" s="493">
        <v>14.832853576574406</v>
      </c>
      <c r="T628" s="493">
        <v>14.51805912112186</v>
      </c>
      <c r="U628" s="493">
        <v>14.330110831027525</v>
      </c>
      <c r="V628" s="493">
        <v>14.142162540933242</v>
      </c>
      <c r="W628" s="493">
        <v>13.954214250838959</v>
      </c>
      <c r="X628" s="493">
        <v>13.766265960744676</v>
      </c>
      <c r="Y628" s="493">
        <v>13.578317670650291</v>
      </c>
      <c r="Z628" s="493">
        <v>13.377246932322203</v>
      </c>
      <c r="AA628" s="493">
        <v>13.176176193994065</v>
      </c>
      <c r="AB628" s="493">
        <v>12.975105455665977</v>
      </c>
      <c r="AC628" s="493">
        <v>12.774034717337839</v>
      </c>
      <c r="AD628" s="493">
        <v>12.572963979009751</v>
      </c>
      <c r="AE628" s="493">
        <v>12.426258627419339</v>
      </c>
      <c r="AF628" s="493">
        <v>12.279553275828874</v>
      </c>
      <c r="AG628" s="493">
        <v>12.132847924238462</v>
      </c>
      <c r="AH628" s="493">
        <v>11.986142572648049</v>
      </c>
      <c r="AI628" s="493">
        <v>11.839437221057585</v>
      </c>
    </row>
    <row r="629" spans="2:35" outlineLevel="1">
      <c r="B629" t="str">
        <f t="shared" si="57"/>
        <v>Carbon dioxide (PS) - Energy cost - Middle East - USD/ton fuel</v>
      </c>
      <c r="C629" t="s">
        <v>1380</v>
      </c>
      <c r="D629" t="s">
        <v>1368</v>
      </c>
      <c r="E629" t="s">
        <v>826</v>
      </c>
      <c r="F629" t="s">
        <v>1353</v>
      </c>
      <c r="G629" s="487" t="str">
        <f t="shared" si="58"/>
        <v>Carbon dioxide (PS)Middle EastEnergy cost</v>
      </c>
      <c r="H629" s="493">
        <v>16.659142502923782</v>
      </c>
      <c r="I629" s="493">
        <v>15.924016305195346</v>
      </c>
      <c r="J629" s="493">
        <v>15.188890107466705</v>
      </c>
      <c r="K629" s="493">
        <v>14.702169207234352</v>
      </c>
      <c r="L629" s="493">
        <v>14.215448307001997</v>
      </c>
      <c r="M629" s="493">
        <v>13.728727406769645</v>
      </c>
      <c r="N629" s="493">
        <v>13.242006506537292</v>
      </c>
      <c r="O629" s="493">
        <v>12.755285606304938</v>
      </c>
      <c r="P629" s="493">
        <v>12.412091283913481</v>
      </c>
      <c r="Q629" s="493">
        <v>12.068896961522126</v>
      </c>
      <c r="R629" s="493">
        <v>11.725702639130668</v>
      </c>
      <c r="S629" s="493">
        <v>11.382508316739314</v>
      </c>
      <c r="T629" s="493">
        <v>11.039313994347959</v>
      </c>
      <c r="U629" s="493">
        <v>10.867239969797794</v>
      </c>
      <c r="V629" s="493">
        <v>10.695165945247629</v>
      </c>
      <c r="W629" s="493">
        <v>10.523091920697516</v>
      </c>
      <c r="X629" s="493">
        <v>10.351017896147352</v>
      </c>
      <c r="Y629" s="493">
        <v>10.178943871597188</v>
      </c>
      <c r="Z629" s="493">
        <v>9.9532866742515296</v>
      </c>
      <c r="AA629" s="493">
        <v>9.7276294769059231</v>
      </c>
      <c r="AB629" s="493">
        <v>9.5019722795602668</v>
      </c>
      <c r="AC629" s="493">
        <v>9.2763150822146603</v>
      </c>
      <c r="AD629" s="493">
        <v>9.0506578848689774</v>
      </c>
      <c r="AE629" s="493">
        <v>8.9450432375976252</v>
      </c>
      <c r="AF629" s="493">
        <v>8.8394285903262979</v>
      </c>
      <c r="AG629" s="493">
        <v>8.7338139430549457</v>
      </c>
      <c r="AH629" s="493">
        <v>8.6281992957835936</v>
      </c>
      <c r="AI629" s="493">
        <v>8.522584648512268</v>
      </c>
    </row>
    <row r="630" spans="2:35" outlineLevel="1">
      <c r="B630" t="str">
        <f t="shared" ref="B630:B635" si="59">_xlfn.TEXTJOIN(" - ",TRUE,C630:F630)</f>
        <v>e-methane - Conversion H2 -&gt; CH4 - Global - ton H2/ton CH4</v>
      </c>
      <c r="C630" t="s">
        <v>1387</v>
      </c>
      <c r="D630" t="s">
        <v>1388</v>
      </c>
      <c r="E630" t="s">
        <v>708</v>
      </c>
      <c r="F630" t="s">
        <v>1389</v>
      </c>
      <c r="G630" s="487" t="str">
        <f t="shared" si="58"/>
        <v>e-methaneGlobalConversion H2 -&gt; CH4</v>
      </c>
      <c r="H630" s="508">
        <v>0.5</v>
      </c>
      <c r="I630" s="508">
        <v>0.5</v>
      </c>
      <c r="J630" s="508">
        <v>0.5</v>
      </c>
      <c r="K630" s="508">
        <v>0.5</v>
      </c>
      <c r="L630" s="508">
        <v>0.5</v>
      </c>
      <c r="M630" s="508">
        <v>0.5</v>
      </c>
      <c r="N630" s="508">
        <v>0.5</v>
      </c>
      <c r="O630" s="508">
        <v>0.5</v>
      </c>
      <c r="P630" s="508">
        <v>0.5</v>
      </c>
      <c r="Q630" s="508">
        <v>0.5</v>
      </c>
      <c r="R630" s="508">
        <v>0.5</v>
      </c>
      <c r="S630" s="508">
        <v>0.5</v>
      </c>
      <c r="T630" s="508">
        <v>0.5</v>
      </c>
      <c r="U630" s="508">
        <v>0.5</v>
      </c>
      <c r="V630" s="508">
        <v>0.5</v>
      </c>
      <c r="W630" s="508">
        <v>0.5</v>
      </c>
      <c r="X630" s="508">
        <v>0.5</v>
      </c>
      <c r="Y630" s="508">
        <v>0.5</v>
      </c>
      <c r="Z630" s="508">
        <v>0.5</v>
      </c>
      <c r="AA630" s="508">
        <v>0.5</v>
      </c>
      <c r="AB630" s="508">
        <v>0.5</v>
      </c>
      <c r="AC630" s="508">
        <v>0.5</v>
      </c>
      <c r="AD630" s="508">
        <v>0.5</v>
      </c>
      <c r="AE630" s="508">
        <v>0.5</v>
      </c>
      <c r="AF630" s="508">
        <v>0.5</v>
      </c>
      <c r="AG630" s="508">
        <v>0.5</v>
      </c>
      <c r="AH630" s="508">
        <v>0.5</v>
      </c>
      <c r="AI630" s="508">
        <v>0.5</v>
      </c>
    </row>
    <row r="631" spans="2:35" outlineLevel="1">
      <c r="B631" t="str">
        <f t="shared" si="59"/>
        <v>e-methane - Conversion CO2 -&gt; CH4 - Global - ton CO2/ton CH4</v>
      </c>
      <c r="C631" t="s">
        <v>1387</v>
      </c>
      <c r="D631" t="s">
        <v>1390</v>
      </c>
      <c r="E631" t="s">
        <v>708</v>
      </c>
      <c r="F631" t="s">
        <v>1391</v>
      </c>
      <c r="G631" s="487" t="str">
        <f t="shared" si="58"/>
        <v>e-methaneGlobalConversion CO2 -&gt; CH4</v>
      </c>
      <c r="H631" s="508">
        <v>2.75</v>
      </c>
      <c r="I631" s="508">
        <v>2.75</v>
      </c>
      <c r="J631" s="508">
        <v>2.75</v>
      </c>
      <c r="K631" s="508">
        <v>2.75</v>
      </c>
      <c r="L631" s="508">
        <v>2.75</v>
      </c>
      <c r="M631" s="508">
        <v>2.75</v>
      </c>
      <c r="N631" s="508">
        <v>2.75</v>
      </c>
      <c r="O631" s="508">
        <v>2.75</v>
      </c>
      <c r="P631" s="508">
        <v>2.75</v>
      </c>
      <c r="Q631" s="508">
        <v>2.75</v>
      </c>
      <c r="R631" s="508">
        <v>2.75</v>
      </c>
      <c r="S631" s="508">
        <v>2.75</v>
      </c>
      <c r="T631" s="508">
        <v>2.75</v>
      </c>
      <c r="U631" s="508">
        <v>2.75</v>
      </c>
      <c r="V631" s="508">
        <v>2.75</v>
      </c>
      <c r="W631" s="508">
        <v>2.75</v>
      </c>
      <c r="X631" s="508">
        <v>2.75</v>
      </c>
      <c r="Y631" s="508">
        <v>2.75</v>
      </c>
      <c r="Z631" s="508">
        <v>2.75</v>
      </c>
      <c r="AA631" s="508">
        <v>2.75</v>
      </c>
      <c r="AB631" s="508">
        <v>2.75</v>
      </c>
      <c r="AC631" s="508">
        <v>2.75</v>
      </c>
      <c r="AD631" s="508">
        <v>2.75</v>
      </c>
      <c r="AE631" s="508">
        <v>2.75</v>
      </c>
      <c r="AF631" s="508">
        <v>2.75</v>
      </c>
      <c r="AG631" s="508">
        <v>2.75</v>
      </c>
      <c r="AH631" s="508">
        <v>2.75</v>
      </c>
      <c r="AI631" s="508">
        <v>2.75</v>
      </c>
    </row>
    <row r="632" spans="2:35" outlineLevel="1">
      <c r="B632" t="str">
        <f t="shared" si="59"/>
        <v/>
      </c>
      <c r="G632" s="487" t="str">
        <f t="shared" si="58"/>
        <v/>
      </c>
    </row>
    <row r="633" spans="2:35" ht="15" outlineLevel="1">
      <c r="B633" t="str">
        <f t="shared" si="59"/>
        <v>e-methane (PS) - Feedstock cost including feedstock feedstock cost - Global - USD/ton fuel</v>
      </c>
      <c r="C633" s="491" t="str">
        <f>C566</f>
        <v>e-methane (PS)</v>
      </c>
      <c r="D633" s="491" t="s">
        <v>1369</v>
      </c>
      <c r="E633" s="491" t="s">
        <v>708</v>
      </c>
      <c r="F633" s="491" t="s">
        <v>1353</v>
      </c>
      <c r="G633" s="487" t="str">
        <f t="shared" si="58"/>
        <v>e-methane (PS)GlobalFeedstock cost including feedstock feedstock cost</v>
      </c>
      <c r="H633" s="492">
        <v>6.75</v>
      </c>
      <c r="I633" s="492">
        <v>6.750000000000024</v>
      </c>
      <c r="J633" s="492">
        <v>6.750000000000024</v>
      </c>
      <c r="K633" s="492">
        <v>6.750000000000024</v>
      </c>
      <c r="L633" s="492">
        <v>6.750000000000048</v>
      </c>
      <c r="M633" s="492">
        <v>6.75</v>
      </c>
      <c r="N633" s="492">
        <v>6.750000000000048</v>
      </c>
      <c r="O633" s="492">
        <v>6.75</v>
      </c>
      <c r="P633" s="492">
        <v>6.749999999999952</v>
      </c>
      <c r="Q633" s="492">
        <v>6.750000000000024</v>
      </c>
      <c r="R633" s="492">
        <v>6.7500000000000959</v>
      </c>
      <c r="S633" s="492">
        <v>6.750000000000048</v>
      </c>
      <c r="T633" s="492">
        <v>6.7500000000000959</v>
      </c>
      <c r="U633" s="492">
        <v>6.7500000000001199</v>
      </c>
      <c r="V633" s="492">
        <v>6.7500000000000604</v>
      </c>
      <c r="W633" s="492">
        <v>6.7500000000001794</v>
      </c>
      <c r="X633" s="492">
        <v>6.7500000000001199</v>
      </c>
      <c r="Y633" s="492">
        <v>6.749999999999952</v>
      </c>
      <c r="Z633" s="492">
        <v>6.75</v>
      </c>
      <c r="AA633" s="492">
        <v>6.749999999999976</v>
      </c>
      <c r="AB633" s="492">
        <v>6.750000000000024</v>
      </c>
      <c r="AC633" s="492">
        <v>6.75</v>
      </c>
      <c r="AD633" s="492">
        <v>6.75</v>
      </c>
      <c r="AE633" s="492">
        <v>6.75</v>
      </c>
      <c r="AF633" s="492">
        <v>6.75</v>
      </c>
      <c r="AG633" s="492">
        <v>6.75</v>
      </c>
      <c r="AH633" s="492">
        <v>6.75</v>
      </c>
      <c r="AI633" s="492">
        <v>6.75</v>
      </c>
    </row>
    <row r="634" spans="2:35" outlineLevel="1">
      <c r="B634" t="str">
        <f t="shared" si="59"/>
        <v>e-hydrogen - Feedstock cost - Global - USD/ton fuel</v>
      </c>
      <c r="C634" t="s">
        <v>1370</v>
      </c>
      <c r="D634" t="s">
        <v>1371</v>
      </c>
      <c r="E634" t="s">
        <v>708</v>
      </c>
      <c r="F634" t="s">
        <v>1353</v>
      </c>
      <c r="G634" s="487" t="str">
        <f t="shared" si="58"/>
        <v>e-hydrogenGlobalFeedstock cost</v>
      </c>
      <c r="H634" s="493">
        <v>13.5</v>
      </c>
      <c r="I634" s="493">
        <v>13.500000000000048</v>
      </c>
      <c r="J634" s="493">
        <v>13.500000000000048</v>
      </c>
      <c r="K634" s="493">
        <v>13.500000000000048</v>
      </c>
      <c r="L634" s="493">
        <v>13.500000000000096</v>
      </c>
      <c r="M634" s="493">
        <v>13.5</v>
      </c>
      <c r="N634" s="493">
        <v>13.500000000000096</v>
      </c>
      <c r="O634" s="493">
        <v>13.5</v>
      </c>
      <c r="P634" s="493">
        <v>13.499999999999904</v>
      </c>
      <c r="Q634" s="493">
        <v>13.500000000000048</v>
      </c>
      <c r="R634" s="493">
        <v>13.500000000000192</v>
      </c>
      <c r="S634" s="493">
        <v>13.500000000000096</v>
      </c>
      <c r="T634" s="493">
        <v>13.500000000000192</v>
      </c>
      <c r="U634" s="493">
        <v>13.50000000000024</v>
      </c>
      <c r="V634" s="493">
        <v>13.500000000000121</v>
      </c>
      <c r="W634" s="493">
        <v>13.500000000000359</v>
      </c>
      <c r="X634" s="493">
        <v>13.50000000000024</v>
      </c>
      <c r="Y634" s="493">
        <v>13.499999999999904</v>
      </c>
      <c r="Z634" s="493">
        <v>13.5</v>
      </c>
      <c r="AA634" s="493">
        <v>13.499999999999952</v>
      </c>
      <c r="AB634" s="493">
        <v>13.500000000000048</v>
      </c>
      <c r="AC634" s="493">
        <v>13.5</v>
      </c>
      <c r="AD634" s="493">
        <v>13.5</v>
      </c>
      <c r="AE634" s="493">
        <v>13.5</v>
      </c>
      <c r="AF634" s="493">
        <v>13.5</v>
      </c>
      <c r="AG634" s="493">
        <v>13.5</v>
      </c>
      <c r="AH634" s="493">
        <v>13.5</v>
      </c>
      <c r="AI634" s="493">
        <v>13.5</v>
      </c>
    </row>
    <row r="635" spans="2:35" outlineLevel="1">
      <c r="B635" t="str">
        <f t="shared" si="59"/>
        <v>e-methane - Conversion H2 -&gt; CH4 - Global - ton H2/ton CH4</v>
      </c>
      <c r="C635" t="s">
        <v>1387</v>
      </c>
      <c r="D635" t="s">
        <v>1388</v>
      </c>
      <c r="E635" t="s">
        <v>708</v>
      </c>
      <c r="F635" t="s">
        <v>1389</v>
      </c>
      <c r="G635" s="487" t="str">
        <f t="shared" si="58"/>
        <v>e-methaneGlobalConversion H2 -&gt; CH4</v>
      </c>
      <c r="H635" s="508">
        <v>0.5</v>
      </c>
      <c r="I635" s="508">
        <v>0.5</v>
      </c>
      <c r="J635" s="508">
        <v>0.5</v>
      </c>
      <c r="K635" s="508">
        <v>0.5</v>
      </c>
      <c r="L635" s="508">
        <v>0.5</v>
      </c>
      <c r="M635" s="508">
        <v>0.5</v>
      </c>
      <c r="N635" s="508">
        <v>0.5</v>
      </c>
      <c r="O635" s="508">
        <v>0.5</v>
      </c>
      <c r="P635" s="508">
        <v>0.5</v>
      </c>
      <c r="Q635" s="508">
        <v>0.5</v>
      </c>
      <c r="R635" s="508">
        <v>0.5</v>
      </c>
      <c r="S635" s="508">
        <v>0.5</v>
      </c>
      <c r="T635" s="508">
        <v>0.5</v>
      </c>
      <c r="U635" s="508">
        <v>0.5</v>
      </c>
      <c r="V635" s="508">
        <v>0.5</v>
      </c>
      <c r="W635" s="508">
        <v>0.5</v>
      </c>
      <c r="X635" s="508">
        <v>0.5</v>
      </c>
      <c r="Y635" s="508">
        <v>0.5</v>
      </c>
      <c r="Z635" s="508">
        <v>0.5</v>
      </c>
      <c r="AA635" s="508">
        <v>0.5</v>
      </c>
      <c r="AB635" s="508">
        <v>0.5</v>
      </c>
      <c r="AC635" s="508">
        <v>0.5</v>
      </c>
      <c r="AD635" s="508">
        <v>0.5</v>
      </c>
      <c r="AE635" s="508">
        <v>0.5</v>
      </c>
      <c r="AF635" s="508">
        <v>0.5</v>
      </c>
      <c r="AG635" s="508">
        <v>0.5</v>
      </c>
      <c r="AH635" s="508">
        <v>0.5</v>
      </c>
      <c r="AI635" s="508">
        <v>0.5</v>
      </c>
    </row>
    <row r="636" spans="2:35">
      <c r="G636" s="487" t="str">
        <f t="shared" si="58"/>
        <v/>
      </c>
    </row>
    <row r="637" spans="2:35" ht="15">
      <c r="B637" t="str">
        <f t="shared" ref="B637:B682" si="60">_xlfn.TEXTJOIN(" - ",TRUE,C637:F637)</f>
        <v>e-methane liquefied (DAC) - Item - Region - Unit</v>
      </c>
      <c r="C637" s="485" t="s">
        <v>756</v>
      </c>
      <c r="D637" s="485" t="s">
        <v>877</v>
      </c>
      <c r="E637" s="485" t="s">
        <v>171</v>
      </c>
      <c r="F637" s="485" t="s">
        <v>111</v>
      </c>
      <c r="G637" s="487" t="str">
        <f t="shared" si="58"/>
        <v>e-methane liquefied (DAC)RegionItem</v>
      </c>
      <c r="H637" s="486">
        <v>2023</v>
      </c>
      <c r="I637" s="486">
        <v>2024</v>
      </c>
      <c r="J637" s="486">
        <v>2025</v>
      </c>
      <c r="K637" s="486">
        <v>2026</v>
      </c>
      <c r="L637" s="486">
        <v>2027</v>
      </c>
      <c r="M637" s="486">
        <v>2028</v>
      </c>
      <c r="N637" s="486">
        <v>2029</v>
      </c>
      <c r="O637" s="486">
        <v>2030</v>
      </c>
      <c r="P637" s="486">
        <v>2031</v>
      </c>
      <c r="Q637" s="486">
        <v>2032</v>
      </c>
      <c r="R637" s="486">
        <v>2033</v>
      </c>
      <c r="S637" s="486">
        <v>2034</v>
      </c>
      <c r="T637" s="486">
        <v>2035</v>
      </c>
      <c r="U637" s="486">
        <v>2036</v>
      </c>
      <c r="V637" s="486">
        <v>2037</v>
      </c>
      <c r="W637" s="486">
        <v>2038</v>
      </c>
      <c r="X637" s="486">
        <v>2039</v>
      </c>
      <c r="Y637" s="486">
        <v>2040</v>
      </c>
      <c r="Z637" s="486">
        <v>2041</v>
      </c>
      <c r="AA637" s="486">
        <v>2042</v>
      </c>
      <c r="AB637" s="486">
        <v>2043</v>
      </c>
      <c r="AC637" s="486">
        <v>2044</v>
      </c>
      <c r="AD637" s="486">
        <v>2045</v>
      </c>
      <c r="AE637" s="486">
        <v>2046</v>
      </c>
      <c r="AF637" s="486">
        <v>2047</v>
      </c>
      <c r="AG637" s="486">
        <v>2048</v>
      </c>
      <c r="AH637" s="486">
        <v>2049</v>
      </c>
      <c r="AI637" s="486">
        <v>2050</v>
      </c>
    </row>
    <row r="638" spans="2:35" outlineLevel="1">
      <c r="B638" t="str">
        <f t="shared" si="60"/>
        <v>e-methane liquefied (DAC) - Total cost - Africa - USD/ton fuel</v>
      </c>
      <c r="C638" s="487" t="str">
        <f>C637</f>
        <v>e-methane liquefied (DAC)</v>
      </c>
      <c r="D638" s="487" t="s">
        <v>1362</v>
      </c>
      <c r="E638" s="487" t="s">
        <v>838</v>
      </c>
      <c r="F638" s="487" t="s">
        <v>1353</v>
      </c>
      <c r="G638" s="487" t="str">
        <f t="shared" si="58"/>
        <v>e-methane liquefied (DAC)AfricaTotal cost</v>
      </c>
      <c r="H638" s="488">
        <v>3650.8741524642387</v>
      </c>
      <c r="I638" s="488">
        <v>3339.686188441297</v>
      </c>
      <c r="J638" s="488">
        <v>3028.799642992205</v>
      </c>
      <c r="K638" s="488">
        <v>2916.1747405207357</v>
      </c>
      <c r="L638" s="488">
        <v>2801.4876814461095</v>
      </c>
      <c r="M638" s="488">
        <v>2684.7898591892636</v>
      </c>
      <c r="N638" s="488">
        <v>2566.1326671711709</v>
      </c>
      <c r="O638" s="488">
        <v>2445.567498812743</v>
      </c>
      <c r="P638" s="488">
        <v>2391.086527964685</v>
      </c>
      <c r="Q638" s="488">
        <v>2333.1176921609208</v>
      </c>
      <c r="R638" s="488">
        <v>2271.6886732196699</v>
      </c>
      <c r="S638" s="488">
        <v>2206.8271529591898</v>
      </c>
      <c r="T638" s="488">
        <v>2138.5608131977638</v>
      </c>
      <c r="U638" s="488">
        <v>2089.5492056595058</v>
      </c>
      <c r="V638" s="488">
        <v>2038.0979049107718</v>
      </c>
      <c r="W638" s="488">
        <v>1984.2159436340794</v>
      </c>
      <c r="X638" s="488">
        <v>1927.9123545118343</v>
      </c>
      <c r="Y638" s="488">
        <v>1869.1961702265314</v>
      </c>
      <c r="Z638" s="488">
        <v>1808.1915289923504</v>
      </c>
      <c r="AA638" s="488">
        <v>1746.1219797185495</v>
      </c>
      <c r="AB638" s="488">
        <v>1682.9822403359251</v>
      </c>
      <c r="AC638" s="488">
        <v>1618.767028775223</v>
      </c>
      <c r="AD638" s="488">
        <v>1553.4710629672159</v>
      </c>
      <c r="AE638" s="488">
        <v>1501.0983357074729</v>
      </c>
      <c r="AF638" s="488">
        <v>1448.2054614902686</v>
      </c>
      <c r="AG638" s="488">
        <v>1394.7891118394489</v>
      </c>
      <c r="AH638" s="488">
        <v>1340.8459582788762</v>
      </c>
      <c r="AI638" s="488">
        <v>1286.3726723324162</v>
      </c>
    </row>
    <row r="639" spans="2:35" outlineLevel="1">
      <c r="B639" t="str">
        <f t="shared" si="60"/>
        <v>e-methane liquefied (DAC) - Total cost - Americas - USD/ton fuel</v>
      </c>
      <c r="C639" t="str">
        <f>C638</f>
        <v>e-methane liquefied (DAC)</v>
      </c>
      <c r="D639" t="s">
        <v>1362</v>
      </c>
      <c r="E639" t="s">
        <v>731</v>
      </c>
      <c r="F639" t="s">
        <v>1353</v>
      </c>
      <c r="G639" s="487" t="str">
        <f t="shared" si="58"/>
        <v>e-methane liquefied (DAC)AmericasTotal cost</v>
      </c>
      <c r="H639" s="489">
        <v>2869.9840130119169</v>
      </c>
      <c r="I639" s="489">
        <v>2780.320262987565</v>
      </c>
      <c r="J639" s="489">
        <v>2689.3254228526844</v>
      </c>
      <c r="K639" s="489">
        <v>2600.4557482845994</v>
      </c>
      <c r="L639" s="489">
        <v>2509.4047726940821</v>
      </c>
      <c r="M639" s="489">
        <v>2416.2070277566636</v>
      </c>
      <c r="N639" s="489">
        <v>2320.8970451479386</v>
      </c>
      <c r="O639" s="489">
        <v>2223.5093565433531</v>
      </c>
      <c r="P639" s="489">
        <v>2186.2493031623799</v>
      </c>
      <c r="Q639" s="489">
        <v>2145.3091923564207</v>
      </c>
      <c r="R639" s="489">
        <v>2100.7050588387056</v>
      </c>
      <c r="S639" s="489">
        <v>2052.4529373224509</v>
      </c>
      <c r="T639" s="489">
        <v>2000.5688625209339</v>
      </c>
      <c r="U639" s="489">
        <v>1952.8534994373099</v>
      </c>
      <c r="V639" s="489">
        <v>1902.7224519480098</v>
      </c>
      <c r="W639" s="489">
        <v>1850.1847310754838</v>
      </c>
      <c r="X639" s="489">
        <v>1795.2493478420756</v>
      </c>
      <c r="Y639" s="489">
        <v>1737.9253132701988</v>
      </c>
      <c r="Z639" s="489">
        <v>1688.4328444433979</v>
      </c>
      <c r="AA639" s="489">
        <v>1637.6162241605964</v>
      </c>
      <c r="AB639" s="489">
        <v>1585.4733879131079</v>
      </c>
      <c r="AC639" s="489">
        <v>1532.0022711921749</v>
      </c>
      <c r="AD639" s="489">
        <v>1477.200809489093</v>
      </c>
      <c r="AE639" s="489">
        <v>1428.6505900225784</v>
      </c>
      <c r="AF639" s="489">
        <v>1379.5041457150483</v>
      </c>
      <c r="AG639" s="489">
        <v>1329.759476942545</v>
      </c>
      <c r="AH639" s="489">
        <v>1279.4145840811191</v>
      </c>
      <c r="AI639" s="489">
        <v>1228.4674675068211</v>
      </c>
    </row>
    <row r="640" spans="2:35" outlineLevel="1">
      <c r="B640" t="str">
        <f t="shared" si="60"/>
        <v>e-methane liquefied (DAC) - Total cost - Asia - USD/ton fuel</v>
      </c>
      <c r="C640" t="str">
        <f>C639</f>
        <v>e-methane liquefied (DAC)</v>
      </c>
      <c r="D640" t="s">
        <v>1362</v>
      </c>
      <c r="E640" t="s">
        <v>750</v>
      </c>
      <c r="F640" t="s">
        <v>1353</v>
      </c>
      <c r="G640" s="487" t="str">
        <f t="shared" si="58"/>
        <v>e-methane liquefied (DAC)AsiaTotal cost</v>
      </c>
      <c r="H640" s="489">
        <v>3886.6167487203606</v>
      </c>
      <c r="I640" s="489">
        <v>3615.7377058629495</v>
      </c>
      <c r="J640" s="489">
        <v>3344.7956162755308</v>
      </c>
      <c r="K640" s="489">
        <v>3225.9882689370161</v>
      </c>
      <c r="L640" s="489">
        <v>3105.0836179827552</v>
      </c>
      <c r="M640" s="489">
        <v>2982.1367024444853</v>
      </c>
      <c r="N640" s="489">
        <v>2857.2025613541068</v>
      </c>
      <c r="O640" s="489">
        <v>2730.336233743396</v>
      </c>
      <c r="P640" s="489">
        <v>2662.4601053782803</v>
      </c>
      <c r="Q640" s="489">
        <v>2591.2041223188185</v>
      </c>
      <c r="R640" s="489">
        <v>2516.6043820857617</v>
      </c>
      <c r="S640" s="489">
        <v>2438.6969821998227</v>
      </c>
      <c r="T640" s="489">
        <v>2357.5180201818353</v>
      </c>
      <c r="U640" s="489">
        <v>2299.7182390709045</v>
      </c>
      <c r="V640" s="489">
        <v>2239.5668060573958</v>
      </c>
      <c r="W640" s="489">
        <v>2177.0764443517019</v>
      </c>
      <c r="X640" s="489">
        <v>2112.2598771640573</v>
      </c>
      <c r="Y640" s="489">
        <v>2045.1298277048284</v>
      </c>
      <c r="Z640" s="489">
        <v>1974.9078296067919</v>
      </c>
      <c r="AA640" s="489">
        <v>1903.8143949387775</v>
      </c>
      <c r="AB640" s="489">
        <v>1831.8419499626395</v>
      </c>
      <c r="AC640" s="489">
        <v>1758.9829209401832</v>
      </c>
      <c r="AD640" s="489">
        <v>1685.2297341332433</v>
      </c>
      <c r="AE640" s="489">
        <v>1628.8778247774112</v>
      </c>
      <c r="AF640" s="489">
        <v>1572.0802836508005</v>
      </c>
      <c r="AG640" s="489">
        <v>1514.8326516772261</v>
      </c>
      <c r="AH640" s="489">
        <v>1457.1304697805006</v>
      </c>
      <c r="AI640" s="489">
        <v>1398.9692788844382</v>
      </c>
    </row>
    <row r="641" spans="2:35" outlineLevel="1">
      <c r="B641" t="str">
        <f t="shared" si="60"/>
        <v>e-methane liquefied (DAC) - Total cost - Europe - USD/ton fuel</v>
      </c>
      <c r="C641" t="str">
        <f>C640</f>
        <v>e-methane liquefied (DAC)</v>
      </c>
      <c r="D641" t="s">
        <v>1362</v>
      </c>
      <c r="E641" t="s">
        <v>720</v>
      </c>
      <c r="F641" t="s">
        <v>1353</v>
      </c>
      <c r="G641" s="487" t="str">
        <f t="shared" si="58"/>
        <v>e-methane liquefied (DAC)EuropeTotal cost</v>
      </c>
      <c r="H641" s="489">
        <v>3289.4663965427526</v>
      </c>
      <c r="I641" s="489">
        <v>3150.7393677292366</v>
      </c>
      <c r="J641" s="489">
        <v>3010.9988328728391</v>
      </c>
      <c r="K641" s="489">
        <v>2906.5460370430742</v>
      </c>
      <c r="L641" s="489">
        <v>2799.9613324640441</v>
      </c>
      <c r="M641" s="489">
        <v>2691.2899889365967</v>
      </c>
      <c r="N641" s="489">
        <v>2580.577276261567</v>
      </c>
      <c r="O641" s="489">
        <v>2467.8684642397461</v>
      </c>
      <c r="P641" s="489">
        <v>2425.9183954586761</v>
      </c>
      <c r="Q641" s="489">
        <v>2380.2725267721212</v>
      </c>
      <c r="R641" s="489">
        <v>2330.9490081393128</v>
      </c>
      <c r="S641" s="489">
        <v>2277.9659895195127</v>
      </c>
      <c r="T641" s="489">
        <v>2221.3416208720519</v>
      </c>
      <c r="U641" s="489">
        <v>2174.3752809340913</v>
      </c>
      <c r="V641" s="489">
        <v>2124.9019479733879</v>
      </c>
      <c r="W641" s="489">
        <v>2072.9291344133371</v>
      </c>
      <c r="X641" s="489">
        <v>2018.4643526772072</v>
      </c>
      <c r="Y641" s="489">
        <v>1961.5151151883515</v>
      </c>
      <c r="Z641" s="489">
        <v>1901.5577576153992</v>
      </c>
      <c r="AA641" s="489">
        <v>1840.491160751086</v>
      </c>
      <c r="AB641" s="489">
        <v>1778.310754026752</v>
      </c>
      <c r="AC641" s="489">
        <v>1715.0119668736484</v>
      </c>
      <c r="AD641" s="489">
        <v>1650.590228723097</v>
      </c>
      <c r="AE641" s="489">
        <v>1595.0152538955488</v>
      </c>
      <c r="AF641" s="489">
        <v>1538.9808950566958</v>
      </c>
      <c r="AG641" s="489">
        <v>1482.4828708594941</v>
      </c>
      <c r="AH641" s="489">
        <v>1425.5168999568989</v>
      </c>
      <c r="AI641" s="489">
        <v>1368.0787010018651</v>
      </c>
    </row>
    <row r="642" spans="2:35" outlineLevel="1">
      <c r="B642" t="str">
        <f t="shared" si="60"/>
        <v>e-methane liquefied (DAC) - Total cost - Middle East - USD/ton fuel</v>
      </c>
      <c r="C642" s="25" t="str">
        <f>C641</f>
        <v>e-methane liquefied (DAC)</v>
      </c>
      <c r="D642" s="25" t="s">
        <v>1362</v>
      </c>
      <c r="E642" s="25" t="s">
        <v>826</v>
      </c>
      <c r="F642" s="25" t="s">
        <v>1353</v>
      </c>
      <c r="G642" s="487" t="str">
        <f t="shared" si="58"/>
        <v>e-methane liquefied (DAC)Middle EastTotal cost</v>
      </c>
      <c r="H642" s="490">
        <v>2881.9705643797956</v>
      </c>
      <c r="I642" s="490">
        <v>2760.9382882782047</v>
      </c>
      <c r="J642" s="490">
        <v>2638.8236803305549</v>
      </c>
      <c r="K642" s="490">
        <v>2557.3755075830345</v>
      </c>
      <c r="L642" s="490">
        <v>2473.6926665829028</v>
      </c>
      <c r="M642" s="490">
        <v>2387.804239868995</v>
      </c>
      <c r="N642" s="490">
        <v>2299.7393099801925</v>
      </c>
      <c r="O642" s="490">
        <v>2209.5269594552778</v>
      </c>
      <c r="P642" s="490">
        <v>2167.3733432635163</v>
      </c>
      <c r="Q642" s="490">
        <v>2121.6228248747643</v>
      </c>
      <c r="R642" s="490">
        <v>2072.2951916863535</v>
      </c>
      <c r="S642" s="490">
        <v>2019.4102310956357</v>
      </c>
      <c r="T642" s="490">
        <v>1962.9877305000005</v>
      </c>
      <c r="U642" s="490">
        <v>1919.5417987255641</v>
      </c>
      <c r="V642" s="490">
        <v>1873.6133328582132</v>
      </c>
      <c r="W642" s="490">
        <v>1825.2092108159536</v>
      </c>
      <c r="X642" s="490">
        <v>1774.3363105166661</v>
      </c>
      <c r="Y642" s="490">
        <v>1721.0015098783222</v>
      </c>
      <c r="Z642" s="490">
        <v>1662.2959772173394</v>
      </c>
      <c r="AA642" s="490">
        <v>1602.498035824508</v>
      </c>
      <c r="AB642" s="490">
        <v>1541.6025562527109</v>
      </c>
      <c r="AC642" s="490">
        <v>1479.6044090547803</v>
      </c>
      <c r="AD642" s="490">
        <v>1416.4984647835809</v>
      </c>
      <c r="AE642" s="490">
        <v>1366.1696419601933</v>
      </c>
      <c r="AF642" s="490">
        <v>1315.2885921065131</v>
      </c>
      <c r="AG642" s="490">
        <v>1263.8522330380511</v>
      </c>
      <c r="AH642" s="490">
        <v>1211.8574825703301</v>
      </c>
      <c r="AI642" s="490">
        <v>1159.3012585188735</v>
      </c>
    </row>
    <row r="643" spans="2:35" ht="15" outlineLevel="1">
      <c r="B643" t="str">
        <f t="shared" si="60"/>
        <v/>
      </c>
      <c r="C643" s="22"/>
      <c r="G643" s="487" t="str">
        <f t="shared" si="58"/>
        <v/>
      </c>
    </row>
    <row r="644" spans="2:35" ht="15" outlineLevel="1">
      <c r="B644" t="str">
        <f t="shared" si="60"/>
        <v>e-methane liquefied (DAC) - CAPEX including feedstock CAPEX - Global - USD/ton fuel</v>
      </c>
      <c r="C644" s="491" t="str">
        <f>C637</f>
        <v>e-methane liquefied (DAC)</v>
      </c>
      <c r="D644" s="491" t="s">
        <v>1363</v>
      </c>
      <c r="E644" s="491" t="s">
        <v>708</v>
      </c>
      <c r="F644" s="491" t="s">
        <v>1353</v>
      </c>
      <c r="G644" s="487" t="str">
        <f t="shared" si="58"/>
        <v>e-methane liquefied (DAC)GlobalCAPEX including feedstock CAPEX</v>
      </c>
      <c r="H644" s="492">
        <v>339.335302511424</v>
      </c>
      <c r="I644" s="492">
        <v>328.80654200524702</v>
      </c>
      <c r="J644" s="492">
        <v>318.15297823102202</v>
      </c>
      <c r="K644" s="492">
        <v>311.27706625559279</v>
      </c>
      <c r="L644" s="492">
        <v>304.16929765714201</v>
      </c>
      <c r="M644" s="492">
        <v>296.82967243567282</v>
      </c>
      <c r="N644" s="492">
        <v>289.25819059118669</v>
      </c>
      <c r="O644" s="492">
        <v>281.4548521236789</v>
      </c>
      <c r="P644" s="492">
        <v>280.72367216201792</v>
      </c>
      <c r="Q644" s="492">
        <v>279.45177873473182</v>
      </c>
      <c r="R644" s="492">
        <v>277.63917184181884</v>
      </c>
      <c r="S644" s="492">
        <v>275.28585148327767</v>
      </c>
      <c r="T644" s="492">
        <v>272.39181765911144</v>
      </c>
      <c r="U644" s="492">
        <v>268.89660012350407</v>
      </c>
      <c r="V644" s="492">
        <v>264.95510599399779</v>
      </c>
      <c r="W644" s="492">
        <v>260.56733527059782</v>
      </c>
      <c r="X644" s="492">
        <v>255.73328795329849</v>
      </c>
      <c r="Y644" s="492">
        <v>250.45296404209853</v>
      </c>
      <c r="Z644" s="492">
        <v>244.20458066719289</v>
      </c>
      <c r="AA644" s="492">
        <v>237.61945670592365</v>
      </c>
      <c r="AB644" s="492">
        <v>230.69759215829464</v>
      </c>
      <c r="AC644" s="492">
        <v>223.4389870243036</v>
      </c>
      <c r="AD644" s="492">
        <v>215.84364130394999</v>
      </c>
      <c r="AE644" s="492">
        <v>208.03650717228334</v>
      </c>
      <c r="AF644" s="492">
        <v>200.01874340375684</v>
      </c>
      <c r="AG644" s="492">
        <v>191.79034999836989</v>
      </c>
      <c r="AH644" s="492">
        <v>183.35132695612276</v>
      </c>
      <c r="AI644" s="492">
        <v>174.70167427701585</v>
      </c>
    </row>
    <row r="645" spans="2:35" outlineLevel="1">
      <c r="B645" t="str">
        <f t="shared" si="60"/>
        <v>e-methane liquefied (DAC) - CAPEX - Global - USD/ton fuel</v>
      </c>
      <c r="C645" t="str">
        <f>C637</f>
        <v>e-methane liquefied (DAC)</v>
      </c>
      <c r="D645" t="s">
        <v>446</v>
      </c>
      <c r="E645" t="s">
        <v>708</v>
      </c>
      <c r="F645" t="s">
        <v>1353</v>
      </c>
      <c r="G645" s="487" t="str">
        <f t="shared" si="58"/>
        <v>e-methane liquefied (DAC)GlobalCAPEX</v>
      </c>
      <c r="H645" s="493">
        <v>75.715087666188268</v>
      </c>
      <c r="I645" s="493">
        <v>75.35754383309407</v>
      </c>
      <c r="J645" s="493">
        <v>75</v>
      </c>
      <c r="K645" s="493">
        <v>74.650780257917603</v>
      </c>
      <c r="L645" s="493">
        <v>74.301560515835206</v>
      </c>
      <c r="M645" s="493">
        <v>73.952340773752809</v>
      </c>
      <c r="N645" s="493">
        <v>73.603121031670398</v>
      </c>
      <c r="O645" s="493">
        <v>73.253901289588001</v>
      </c>
      <c r="P645" s="493">
        <v>72.912811842723016</v>
      </c>
      <c r="Q645" s="493">
        <v>72.571722395857918</v>
      </c>
      <c r="R645" s="493">
        <v>72.230632948992934</v>
      </c>
      <c r="S645" s="493">
        <v>71.889543502127836</v>
      </c>
      <c r="T645" s="493">
        <v>71.548454055262724</v>
      </c>
      <c r="U645" s="493">
        <v>71.215305619641853</v>
      </c>
      <c r="V645" s="493">
        <v>70.882157184020855</v>
      </c>
      <c r="W645" s="493">
        <v>70.549008748399871</v>
      </c>
      <c r="X645" s="493">
        <v>70.215860312778872</v>
      </c>
      <c r="Y645" s="493">
        <v>69.882711877158002</v>
      </c>
      <c r="Z645" s="493">
        <v>69.557319575587826</v>
      </c>
      <c r="AA645" s="493">
        <v>69.231927274017778</v>
      </c>
      <c r="AB645" s="493">
        <v>68.906534972447602</v>
      </c>
      <c r="AC645" s="493">
        <v>68.581142670877426</v>
      </c>
      <c r="AD645" s="493">
        <v>68.25575036930725</v>
      </c>
      <c r="AE645" s="493">
        <v>67.937933628779135</v>
      </c>
      <c r="AF645" s="493">
        <v>67.620116888251019</v>
      </c>
      <c r="AG645" s="493">
        <v>67.302300147722903</v>
      </c>
      <c r="AH645" s="493">
        <v>66.984483407194787</v>
      </c>
      <c r="AI645" s="493">
        <v>66.666666666666671</v>
      </c>
    </row>
    <row r="646" spans="2:35" outlineLevel="1">
      <c r="B646" t="str">
        <f t="shared" si="60"/>
        <v>e-methane (DAC) - CAPEX including feedstock CAPEX - Global - USD/ton fuel</v>
      </c>
      <c r="C646" t="s">
        <v>1386</v>
      </c>
      <c r="D646" t="s">
        <v>1363</v>
      </c>
      <c r="E646" t="s">
        <v>708</v>
      </c>
      <c r="F646" t="s">
        <v>1353</v>
      </c>
      <c r="G646" s="487" t="str">
        <f t="shared" si="58"/>
        <v>e-methane (DAC)GlobalCAPEX including feedstock CAPEX</v>
      </c>
      <c r="H646" s="507">
        <v>263.62021484523575</v>
      </c>
      <c r="I646" s="507">
        <v>253.44899817215298</v>
      </c>
      <c r="J646" s="507">
        <v>243.15297823102202</v>
      </c>
      <c r="K646" s="507">
        <v>236.62628599767515</v>
      </c>
      <c r="L646" s="507">
        <v>229.8677371413068</v>
      </c>
      <c r="M646" s="507">
        <v>222.87733166191998</v>
      </c>
      <c r="N646" s="507">
        <v>215.65506955951628</v>
      </c>
      <c r="O646" s="507">
        <v>208.20095083409089</v>
      </c>
      <c r="P646" s="507">
        <v>207.81086031929487</v>
      </c>
      <c r="Q646" s="507">
        <v>206.88005633887389</v>
      </c>
      <c r="R646" s="507">
        <v>205.4085388928259</v>
      </c>
      <c r="S646" s="507">
        <v>203.39630798114985</v>
      </c>
      <c r="T646" s="507">
        <v>200.8433636038487</v>
      </c>
      <c r="U646" s="507">
        <v>197.6812945038622</v>
      </c>
      <c r="V646" s="507">
        <v>194.07294880997691</v>
      </c>
      <c r="W646" s="507">
        <v>190.01832652219795</v>
      </c>
      <c r="X646" s="507">
        <v>185.51742764051963</v>
      </c>
      <c r="Y646" s="507">
        <v>180.57025216494054</v>
      </c>
      <c r="Z646" s="507">
        <v>174.64726109160506</v>
      </c>
      <c r="AA646" s="507">
        <v>168.38752943190588</v>
      </c>
      <c r="AB646" s="507">
        <v>161.79105718584705</v>
      </c>
      <c r="AC646" s="507">
        <v>154.85784435342617</v>
      </c>
      <c r="AD646" s="507">
        <v>147.58789093464276</v>
      </c>
      <c r="AE646" s="507">
        <v>140.09857354350422</v>
      </c>
      <c r="AF646" s="507">
        <v>132.39862651550584</v>
      </c>
      <c r="AG646" s="507">
        <v>124.48804985064699</v>
      </c>
      <c r="AH646" s="507">
        <v>116.36684354892796</v>
      </c>
      <c r="AI646" s="507">
        <v>108.03500761034918</v>
      </c>
    </row>
    <row r="647" spans="2:35" outlineLevel="1">
      <c r="B647" t="str">
        <f t="shared" si="60"/>
        <v/>
      </c>
      <c r="G647" s="487" t="str">
        <f t="shared" si="58"/>
        <v/>
      </c>
      <c r="H647" s="493"/>
      <c r="I647" s="493"/>
      <c r="J647" s="493"/>
      <c r="K647" s="493"/>
      <c r="L647" s="493"/>
      <c r="M647" s="493"/>
      <c r="N647" s="493"/>
      <c r="O647" s="493"/>
      <c r="P647" s="493"/>
      <c r="Q647" s="493"/>
      <c r="R647" s="493"/>
      <c r="S647" s="493"/>
      <c r="T647" s="493"/>
      <c r="U647" s="493"/>
      <c r="V647" s="493"/>
      <c r="W647" s="493"/>
      <c r="X647" s="493"/>
      <c r="Y647" s="493"/>
      <c r="Z647" s="493"/>
      <c r="AA647" s="493"/>
      <c r="AB647" s="493"/>
      <c r="AC647" s="493"/>
      <c r="AD647" s="493"/>
      <c r="AE647" s="493"/>
      <c r="AF647" s="493"/>
      <c r="AG647" s="493"/>
      <c r="AH647" s="493"/>
      <c r="AI647" s="493"/>
    </row>
    <row r="648" spans="2:35" ht="15" outlineLevel="1">
      <c r="B648" t="str">
        <f t="shared" si="60"/>
        <v>e-methane liquefied (DAC) - OPEX including feedstock OPEX - Global - USD/ton fuel</v>
      </c>
      <c r="C648" s="491" t="str">
        <f>C637</f>
        <v>e-methane liquefied (DAC)</v>
      </c>
      <c r="D648" s="491" t="s">
        <v>1364</v>
      </c>
      <c r="E648" s="491" t="s">
        <v>708</v>
      </c>
      <c r="F648" s="491" t="s">
        <v>1353</v>
      </c>
      <c r="G648" s="487" t="str">
        <f t="shared" ref="G648:G711" si="61">+C648&amp;E648&amp;D648</f>
        <v>e-methane liquefied (DAC)GlobalOPEX including feedstock OPEX</v>
      </c>
      <c r="H648" s="492">
        <v>643.94021017252567</v>
      </c>
      <c r="I648" s="492">
        <v>614.4731858655864</v>
      </c>
      <c r="J648" s="492">
        <v>583.98300615931566</v>
      </c>
      <c r="K648" s="492">
        <v>564.40018464072546</v>
      </c>
      <c r="L648" s="492">
        <v>543.1471427849159</v>
      </c>
      <c r="M648" s="492">
        <v>520.22388059188552</v>
      </c>
      <c r="N648" s="492">
        <v>495.63039806165585</v>
      </c>
      <c r="O648" s="492">
        <v>469.36669519420445</v>
      </c>
      <c r="P648" s="492">
        <v>463.0812777501564</v>
      </c>
      <c r="Q648" s="492">
        <v>454.45682577898077</v>
      </c>
      <c r="R648" s="492">
        <v>443.49333928068108</v>
      </c>
      <c r="S648" s="492">
        <v>430.19081825524682</v>
      </c>
      <c r="T648" s="492">
        <v>414.54926270268413</v>
      </c>
      <c r="U648" s="492">
        <v>400.49305970882392</v>
      </c>
      <c r="V648" s="492">
        <v>385.04675132051034</v>
      </c>
      <c r="W648" s="492">
        <v>368.21033753775606</v>
      </c>
      <c r="X648" s="492">
        <v>349.98381836054017</v>
      </c>
      <c r="Y648" s="492">
        <v>330.3671937888729</v>
      </c>
      <c r="Z648" s="492">
        <v>312.88142843287403</v>
      </c>
      <c r="AA648" s="492">
        <v>294.72761523564384</v>
      </c>
      <c r="AB648" s="492">
        <v>275.90575419719443</v>
      </c>
      <c r="AC648" s="492">
        <v>256.41584531751374</v>
      </c>
      <c r="AD648" s="492">
        <v>236.25788859661193</v>
      </c>
      <c r="AE648" s="492">
        <v>220.10013455862031</v>
      </c>
      <c r="AF648" s="492">
        <v>203.70971525530618</v>
      </c>
      <c r="AG648" s="492">
        <v>187.08663068666874</v>
      </c>
      <c r="AH648" s="492">
        <v>170.2308808527084</v>
      </c>
      <c r="AI648" s="492">
        <v>153.14246575342568</v>
      </c>
    </row>
    <row r="649" spans="2:35" outlineLevel="1">
      <c r="B649" t="str">
        <f t="shared" si="60"/>
        <v>e-methane liquefied (DAC) - OPEX - Global - USD/ton fuel</v>
      </c>
      <c r="C649" t="str">
        <f>C637</f>
        <v>e-methane liquefied (DAC)</v>
      </c>
      <c r="D649" t="s">
        <v>450</v>
      </c>
      <c r="E649" t="s">
        <v>708</v>
      </c>
      <c r="F649" t="s">
        <v>1353</v>
      </c>
      <c r="G649" s="487" t="str">
        <f t="shared" si="61"/>
        <v>e-methane liquefied (DAC)GlobalOPEX</v>
      </c>
      <c r="H649" s="493">
        <v>0</v>
      </c>
      <c r="I649" s="493">
        <v>0</v>
      </c>
      <c r="J649" s="493">
        <v>0</v>
      </c>
      <c r="K649" s="493">
        <v>0</v>
      </c>
      <c r="L649" s="493">
        <v>0</v>
      </c>
      <c r="M649" s="493">
        <v>0</v>
      </c>
      <c r="N649" s="493">
        <v>0</v>
      </c>
      <c r="O649" s="493">
        <v>0</v>
      </c>
      <c r="P649" s="493">
        <v>0</v>
      </c>
      <c r="Q649" s="493">
        <v>0</v>
      </c>
      <c r="R649" s="493">
        <v>0</v>
      </c>
      <c r="S649" s="493">
        <v>0</v>
      </c>
      <c r="T649" s="493">
        <v>0</v>
      </c>
      <c r="U649" s="493">
        <v>0</v>
      </c>
      <c r="V649" s="493">
        <v>0</v>
      </c>
      <c r="W649" s="493">
        <v>0</v>
      </c>
      <c r="X649" s="493">
        <v>0</v>
      </c>
      <c r="Y649" s="493">
        <v>0</v>
      </c>
      <c r="Z649" s="493">
        <v>0</v>
      </c>
      <c r="AA649" s="493">
        <v>0</v>
      </c>
      <c r="AB649" s="493">
        <v>0</v>
      </c>
      <c r="AC649" s="493">
        <v>0</v>
      </c>
      <c r="AD649" s="493">
        <v>0</v>
      </c>
      <c r="AE649" s="493">
        <v>0</v>
      </c>
      <c r="AF649" s="493">
        <v>0</v>
      </c>
      <c r="AG649" s="493">
        <v>0</v>
      </c>
      <c r="AH649" s="493">
        <v>0</v>
      </c>
      <c r="AI649" s="493">
        <v>0</v>
      </c>
    </row>
    <row r="650" spans="2:35" outlineLevel="1">
      <c r="B650" t="str">
        <f t="shared" si="60"/>
        <v>e-methane (DAC) - OPEX including feedstock OPEX - Global - USD/ton fuel</v>
      </c>
      <c r="C650" t="s">
        <v>1386</v>
      </c>
      <c r="D650" t="s">
        <v>1364</v>
      </c>
      <c r="E650" t="s">
        <v>708</v>
      </c>
      <c r="F650" t="s">
        <v>1353</v>
      </c>
      <c r="G650" s="487" t="str">
        <f t="shared" si="61"/>
        <v>e-methane (DAC)GlobalOPEX including feedstock OPEX</v>
      </c>
      <c r="H650" s="507">
        <v>643.94021017252567</v>
      </c>
      <c r="I650" s="507">
        <v>614.4731858655864</v>
      </c>
      <c r="J650" s="507">
        <v>583.98300615931566</v>
      </c>
      <c r="K650" s="507">
        <v>564.40018464072546</v>
      </c>
      <c r="L650" s="507">
        <v>543.1471427849159</v>
      </c>
      <c r="M650" s="507">
        <v>520.22388059188552</v>
      </c>
      <c r="N650" s="507">
        <v>495.63039806165585</v>
      </c>
      <c r="O650" s="507">
        <v>469.36669519420445</v>
      </c>
      <c r="P650" s="507">
        <v>463.0812777501564</v>
      </c>
      <c r="Q650" s="507">
        <v>454.45682577898077</v>
      </c>
      <c r="R650" s="507">
        <v>443.49333928068108</v>
      </c>
      <c r="S650" s="507">
        <v>430.19081825524682</v>
      </c>
      <c r="T650" s="507">
        <v>414.54926270268413</v>
      </c>
      <c r="U650" s="507">
        <v>400.49305970882392</v>
      </c>
      <c r="V650" s="507">
        <v>385.04675132051034</v>
      </c>
      <c r="W650" s="507">
        <v>368.21033753775606</v>
      </c>
      <c r="X650" s="507">
        <v>349.98381836054017</v>
      </c>
      <c r="Y650" s="507">
        <v>330.3671937888729</v>
      </c>
      <c r="Z650" s="507">
        <v>312.88142843287403</v>
      </c>
      <c r="AA650" s="507">
        <v>294.72761523564384</v>
      </c>
      <c r="AB650" s="507">
        <v>275.90575419719443</v>
      </c>
      <c r="AC650" s="507">
        <v>256.41584531751374</v>
      </c>
      <c r="AD650" s="507">
        <v>236.25788859661193</v>
      </c>
      <c r="AE650" s="507">
        <v>220.10013455862031</v>
      </c>
      <c r="AF650" s="507">
        <v>203.70971525530618</v>
      </c>
      <c r="AG650" s="507">
        <v>187.08663068666874</v>
      </c>
      <c r="AH650" s="507">
        <v>170.2308808527084</v>
      </c>
      <c r="AI650" s="507">
        <v>153.14246575342568</v>
      </c>
    </row>
    <row r="651" spans="2:35" outlineLevel="1">
      <c r="B651" t="str">
        <f t="shared" si="60"/>
        <v/>
      </c>
      <c r="G651" s="487" t="str">
        <f t="shared" si="61"/>
        <v/>
      </c>
      <c r="H651" s="493"/>
      <c r="I651" s="493"/>
      <c r="J651" s="493"/>
      <c r="K651" s="493"/>
      <c r="L651" s="493"/>
      <c r="M651" s="493"/>
      <c r="N651" s="493"/>
      <c r="O651" s="493"/>
      <c r="P651" s="493"/>
      <c r="Q651" s="493"/>
      <c r="R651" s="493"/>
      <c r="S651" s="493"/>
      <c r="T651" s="493"/>
      <c r="U651" s="493"/>
      <c r="V651" s="493"/>
      <c r="W651" s="493"/>
      <c r="X651" s="493"/>
      <c r="Y651" s="493"/>
      <c r="Z651" s="493"/>
      <c r="AA651" s="493"/>
      <c r="AB651" s="493"/>
      <c r="AC651" s="493"/>
      <c r="AD651" s="493"/>
      <c r="AE651" s="493"/>
      <c r="AF651" s="493"/>
      <c r="AG651" s="493"/>
      <c r="AH651" s="493"/>
      <c r="AI651" s="493"/>
    </row>
    <row r="652" spans="2:35" ht="15" outlineLevel="1">
      <c r="B652" t="str">
        <f t="shared" si="60"/>
        <v>e-methane liquefied (DAC) - Finance cost including feedstock finance cost - Africa - USD/ton fuel</v>
      </c>
      <c r="C652" s="494" t="str">
        <f>C641</f>
        <v>e-methane liquefied (DAC)</v>
      </c>
      <c r="D652" s="494" t="s">
        <v>1365</v>
      </c>
      <c r="E652" s="494" t="s">
        <v>838</v>
      </c>
      <c r="F652" s="494" t="s">
        <v>1353</v>
      </c>
      <c r="G652" s="487" t="str">
        <f t="shared" si="61"/>
        <v>e-methane liquefied (DAC)AfricaFinance cost including feedstock finance cost</v>
      </c>
      <c r="H652" s="495">
        <v>559.90324914384962</v>
      </c>
      <c r="I652" s="495">
        <v>542.53079430865762</v>
      </c>
      <c r="J652" s="495">
        <v>524.95241408118648</v>
      </c>
      <c r="K652" s="495">
        <v>513.60715932172809</v>
      </c>
      <c r="L652" s="495">
        <v>501.87934113428435</v>
      </c>
      <c r="M652" s="495">
        <v>489.76895951886013</v>
      </c>
      <c r="N652" s="495">
        <v>477.276014475458</v>
      </c>
      <c r="O652" s="495">
        <v>464.40050600407022</v>
      </c>
      <c r="P652" s="495">
        <v>463.19405906732959</v>
      </c>
      <c r="Q652" s="495">
        <v>461.0954349123075</v>
      </c>
      <c r="R652" s="495">
        <v>458.10463353900116</v>
      </c>
      <c r="S652" s="495">
        <v>454.22165494740824</v>
      </c>
      <c r="T652" s="495">
        <v>449.44649913753392</v>
      </c>
      <c r="U652" s="495">
        <v>443.67939020378174</v>
      </c>
      <c r="V652" s="495">
        <v>437.17592489009638</v>
      </c>
      <c r="W652" s="495">
        <v>429.93610319648644</v>
      </c>
      <c r="X652" s="495">
        <v>421.95992512294259</v>
      </c>
      <c r="Y652" s="495">
        <v>413.24739066946256</v>
      </c>
      <c r="Z652" s="495">
        <v>402.93755810086827</v>
      </c>
      <c r="AA652" s="495">
        <v>392.07210356477412</v>
      </c>
      <c r="AB652" s="495">
        <v>380.6510270611862</v>
      </c>
      <c r="AC652" s="495">
        <v>368.67432859010097</v>
      </c>
      <c r="AD652" s="495">
        <v>356.14200815151753</v>
      </c>
      <c r="AE652" s="495">
        <v>343.26023683426757</v>
      </c>
      <c r="AF652" s="495">
        <v>330.03092661619883</v>
      </c>
      <c r="AG652" s="495">
        <v>316.45407749731032</v>
      </c>
      <c r="AH652" s="495">
        <v>302.52968947760257</v>
      </c>
      <c r="AI652" s="495">
        <v>288.25776255707615</v>
      </c>
    </row>
    <row r="653" spans="2:35" ht="15" outlineLevel="1">
      <c r="B653" t="str">
        <f t="shared" si="60"/>
        <v>e-methane liquefied (DAC) - Finance cost including feedstock finance cost - Americas - USD/ton fuel</v>
      </c>
      <c r="C653" s="22" t="str">
        <f>C641</f>
        <v>e-methane liquefied (DAC)</v>
      </c>
      <c r="D653" s="22" t="s">
        <v>1365</v>
      </c>
      <c r="E653" s="22" t="s">
        <v>731</v>
      </c>
      <c r="F653" s="22" t="s">
        <v>1353</v>
      </c>
      <c r="G653" s="487" t="str">
        <f t="shared" si="61"/>
        <v>e-methane liquefied (DAC)AmericasFinance cost including feedstock finance cost</v>
      </c>
      <c r="H653" s="496">
        <v>559.90324914384962</v>
      </c>
      <c r="I653" s="496">
        <v>542.53079430865762</v>
      </c>
      <c r="J653" s="496">
        <v>524.95241408118648</v>
      </c>
      <c r="K653" s="496">
        <v>513.60715932172809</v>
      </c>
      <c r="L653" s="496">
        <v>501.87934113428435</v>
      </c>
      <c r="M653" s="496">
        <v>489.76895951886013</v>
      </c>
      <c r="N653" s="496">
        <v>477.276014475458</v>
      </c>
      <c r="O653" s="496">
        <v>464.40050600407022</v>
      </c>
      <c r="P653" s="496">
        <v>463.19405906732959</v>
      </c>
      <c r="Q653" s="496">
        <v>461.0954349123075</v>
      </c>
      <c r="R653" s="496">
        <v>458.10463353900116</v>
      </c>
      <c r="S653" s="496">
        <v>454.22165494740824</v>
      </c>
      <c r="T653" s="496">
        <v>449.44649913753392</v>
      </c>
      <c r="U653" s="496">
        <v>443.67939020378174</v>
      </c>
      <c r="V653" s="496">
        <v>437.17592489009638</v>
      </c>
      <c r="W653" s="496">
        <v>429.93610319648644</v>
      </c>
      <c r="X653" s="496">
        <v>421.95992512294259</v>
      </c>
      <c r="Y653" s="496">
        <v>413.24739066946256</v>
      </c>
      <c r="Z653" s="496">
        <v>402.93755810086827</v>
      </c>
      <c r="AA653" s="496">
        <v>392.07210356477412</v>
      </c>
      <c r="AB653" s="496">
        <v>380.6510270611862</v>
      </c>
      <c r="AC653" s="496">
        <v>368.67432859010097</v>
      </c>
      <c r="AD653" s="496">
        <v>356.14200815151753</v>
      </c>
      <c r="AE653" s="496">
        <v>343.26023683426757</v>
      </c>
      <c r="AF653" s="496">
        <v>330.03092661619883</v>
      </c>
      <c r="AG653" s="496">
        <v>316.45407749731032</v>
      </c>
      <c r="AH653" s="496">
        <v>302.52968947760257</v>
      </c>
      <c r="AI653" s="496">
        <v>288.25776255707615</v>
      </c>
    </row>
    <row r="654" spans="2:35" ht="15" outlineLevel="1">
      <c r="B654" t="str">
        <f t="shared" si="60"/>
        <v>e-methane liquefied (DAC) - Finance cost including feedstock finance cost - Asia - USD/ton fuel</v>
      </c>
      <c r="C654" s="22" t="str">
        <f>C641</f>
        <v>e-methane liquefied (DAC)</v>
      </c>
      <c r="D654" s="22" t="s">
        <v>1365</v>
      </c>
      <c r="E654" s="22" t="s">
        <v>750</v>
      </c>
      <c r="F654" s="22" t="s">
        <v>1353</v>
      </c>
      <c r="G654" s="487" t="str">
        <f t="shared" si="61"/>
        <v>e-methane liquefied (DAC)AsiaFinance cost including feedstock finance cost</v>
      </c>
      <c r="H654" s="496">
        <v>559.90324914384962</v>
      </c>
      <c r="I654" s="496">
        <v>542.53079430865762</v>
      </c>
      <c r="J654" s="496">
        <v>524.95241408118648</v>
      </c>
      <c r="K654" s="496">
        <v>513.60715932172809</v>
      </c>
      <c r="L654" s="496">
        <v>501.87934113428435</v>
      </c>
      <c r="M654" s="496">
        <v>489.76895951886013</v>
      </c>
      <c r="N654" s="496">
        <v>477.276014475458</v>
      </c>
      <c r="O654" s="496">
        <v>464.40050600407022</v>
      </c>
      <c r="P654" s="496">
        <v>463.19405906732959</v>
      </c>
      <c r="Q654" s="496">
        <v>461.0954349123075</v>
      </c>
      <c r="R654" s="496">
        <v>458.10463353900116</v>
      </c>
      <c r="S654" s="496">
        <v>454.22165494740824</v>
      </c>
      <c r="T654" s="496">
        <v>449.44649913753392</v>
      </c>
      <c r="U654" s="496">
        <v>443.67939020378174</v>
      </c>
      <c r="V654" s="496">
        <v>437.17592489009638</v>
      </c>
      <c r="W654" s="496">
        <v>429.93610319648644</v>
      </c>
      <c r="X654" s="496">
        <v>421.95992512294259</v>
      </c>
      <c r="Y654" s="496">
        <v>413.24739066946256</v>
      </c>
      <c r="Z654" s="496">
        <v>402.93755810086827</v>
      </c>
      <c r="AA654" s="496">
        <v>392.07210356477412</v>
      </c>
      <c r="AB654" s="496">
        <v>380.6510270611862</v>
      </c>
      <c r="AC654" s="496">
        <v>368.67432859010097</v>
      </c>
      <c r="AD654" s="496">
        <v>356.14200815151753</v>
      </c>
      <c r="AE654" s="496">
        <v>343.26023683426757</v>
      </c>
      <c r="AF654" s="496">
        <v>330.03092661619883</v>
      </c>
      <c r="AG654" s="496">
        <v>316.45407749731032</v>
      </c>
      <c r="AH654" s="496">
        <v>302.52968947760257</v>
      </c>
      <c r="AI654" s="496">
        <v>288.25776255707615</v>
      </c>
    </row>
    <row r="655" spans="2:35" ht="15" outlineLevel="1">
      <c r="B655" t="str">
        <f t="shared" si="60"/>
        <v>e-methane liquefied (DAC) - Finance cost including feedstock finance cost - Europe - USD/ton fuel</v>
      </c>
      <c r="C655" s="22" t="str">
        <f>C641</f>
        <v>e-methane liquefied (DAC)</v>
      </c>
      <c r="D655" s="22" t="s">
        <v>1365</v>
      </c>
      <c r="E655" s="22" t="s">
        <v>720</v>
      </c>
      <c r="F655" s="22" t="s">
        <v>1353</v>
      </c>
      <c r="G655" s="487" t="str">
        <f t="shared" si="61"/>
        <v>e-methane liquefied (DAC)EuropeFinance cost including feedstock finance cost</v>
      </c>
      <c r="H655" s="496">
        <v>559.90324914384962</v>
      </c>
      <c r="I655" s="496">
        <v>542.53079430865762</v>
      </c>
      <c r="J655" s="496">
        <v>524.95241408118648</v>
      </c>
      <c r="K655" s="496">
        <v>513.60715932172809</v>
      </c>
      <c r="L655" s="496">
        <v>501.87934113428435</v>
      </c>
      <c r="M655" s="496">
        <v>489.76895951886013</v>
      </c>
      <c r="N655" s="496">
        <v>477.276014475458</v>
      </c>
      <c r="O655" s="496">
        <v>464.40050600407022</v>
      </c>
      <c r="P655" s="496">
        <v>463.19405906732959</v>
      </c>
      <c r="Q655" s="496">
        <v>461.0954349123075</v>
      </c>
      <c r="R655" s="496">
        <v>458.10463353900116</v>
      </c>
      <c r="S655" s="496">
        <v>454.22165494740824</v>
      </c>
      <c r="T655" s="496">
        <v>449.44649913753392</v>
      </c>
      <c r="U655" s="496">
        <v>443.67939020378174</v>
      </c>
      <c r="V655" s="496">
        <v>437.17592489009638</v>
      </c>
      <c r="W655" s="496">
        <v>429.93610319648644</v>
      </c>
      <c r="X655" s="496">
        <v>421.95992512294259</v>
      </c>
      <c r="Y655" s="496">
        <v>413.24739066946256</v>
      </c>
      <c r="Z655" s="496">
        <v>402.93755810086827</v>
      </c>
      <c r="AA655" s="496">
        <v>392.07210356477412</v>
      </c>
      <c r="AB655" s="496">
        <v>380.6510270611862</v>
      </c>
      <c r="AC655" s="496">
        <v>368.67432859010097</v>
      </c>
      <c r="AD655" s="496">
        <v>356.14200815151753</v>
      </c>
      <c r="AE655" s="496">
        <v>343.26023683426757</v>
      </c>
      <c r="AF655" s="496">
        <v>330.03092661619883</v>
      </c>
      <c r="AG655" s="496">
        <v>316.45407749731032</v>
      </c>
      <c r="AH655" s="496">
        <v>302.52968947760257</v>
      </c>
      <c r="AI655" s="496">
        <v>288.25776255707615</v>
      </c>
    </row>
    <row r="656" spans="2:35" ht="15" outlineLevel="1">
      <c r="B656" t="str">
        <f t="shared" si="60"/>
        <v>e-methane liquefied (DAC) - Finance cost including feedstock finance cost - Middle East - USD/ton fuel</v>
      </c>
      <c r="C656" s="92" t="str">
        <f>C641</f>
        <v>e-methane liquefied (DAC)</v>
      </c>
      <c r="D656" s="92" t="s">
        <v>1365</v>
      </c>
      <c r="E656" s="92" t="s">
        <v>826</v>
      </c>
      <c r="F656" s="92" t="s">
        <v>1353</v>
      </c>
      <c r="G656" s="487" t="str">
        <f t="shared" si="61"/>
        <v>e-methane liquefied (DAC)Middle EastFinance cost including feedstock finance cost</v>
      </c>
      <c r="H656" s="497">
        <v>559.90324914384962</v>
      </c>
      <c r="I656" s="497">
        <v>542.53079430865762</v>
      </c>
      <c r="J656" s="497">
        <v>524.95241408118648</v>
      </c>
      <c r="K656" s="497">
        <v>513.60715932172809</v>
      </c>
      <c r="L656" s="497">
        <v>501.87934113428435</v>
      </c>
      <c r="M656" s="497">
        <v>489.76895951886013</v>
      </c>
      <c r="N656" s="497">
        <v>477.276014475458</v>
      </c>
      <c r="O656" s="497">
        <v>464.40050600407022</v>
      </c>
      <c r="P656" s="497">
        <v>463.19405906732959</v>
      </c>
      <c r="Q656" s="497">
        <v>461.0954349123075</v>
      </c>
      <c r="R656" s="497">
        <v>458.10463353900116</v>
      </c>
      <c r="S656" s="497">
        <v>454.22165494740824</v>
      </c>
      <c r="T656" s="497">
        <v>449.44649913753392</v>
      </c>
      <c r="U656" s="497">
        <v>443.67939020378174</v>
      </c>
      <c r="V656" s="497">
        <v>437.17592489009638</v>
      </c>
      <c r="W656" s="497">
        <v>429.93610319648644</v>
      </c>
      <c r="X656" s="497">
        <v>421.95992512294259</v>
      </c>
      <c r="Y656" s="497">
        <v>413.24739066946256</v>
      </c>
      <c r="Z656" s="497">
        <v>402.93755810086827</v>
      </c>
      <c r="AA656" s="497">
        <v>392.07210356477412</v>
      </c>
      <c r="AB656" s="497">
        <v>380.6510270611862</v>
      </c>
      <c r="AC656" s="497">
        <v>368.67432859010097</v>
      </c>
      <c r="AD656" s="497">
        <v>356.14200815151753</v>
      </c>
      <c r="AE656" s="497">
        <v>343.26023683426757</v>
      </c>
      <c r="AF656" s="497">
        <v>330.03092661619883</v>
      </c>
      <c r="AG656" s="497">
        <v>316.45407749731032</v>
      </c>
      <c r="AH656" s="497">
        <v>302.52968947760257</v>
      </c>
      <c r="AI656" s="497">
        <v>288.25776255707615</v>
      </c>
    </row>
    <row r="657" spans="2:35" outlineLevel="1">
      <c r="B657" t="str">
        <f t="shared" si="60"/>
        <v>e-methane liquefied (DAC) - Finance cost - Africa - USD/ton fuel</v>
      </c>
      <c r="C657" t="str">
        <f>C637</f>
        <v>e-methane liquefied (DAC)</v>
      </c>
      <c r="D657" t="s">
        <v>1366</v>
      </c>
      <c r="E657" t="s">
        <v>838</v>
      </c>
      <c r="F657" t="s">
        <v>1353</v>
      </c>
      <c r="G657" s="487" t="str">
        <f t="shared" si="61"/>
        <v>e-methane liquefied (DAC)AfricaFinance cost</v>
      </c>
      <c r="H657" s="493">
        <v>124.92989464921065</v>
      </c>
      <c r="I657" s="493">
        <v>124.33994732460523</v>
      </c>
      <c r="J657" s="493">
        <v>123.75000000000001</v>
      </c>
      <c r="K657" s="493">
        <v>123.17378742556406</v>
      </c>
      <c r="L657" s="493">
        <v>122.5975748511281</v>
      </c>
      <c r="M657" s="493">
        <v>122.02136227669214</v>
      </c>
      <c r="N657" s="493">
        <v>121.44514970225619</v>
      </c>
      <c r="O657" s="493">
        <v>120.86893712782023</v>
      </c>
      <c r="P657" s="493">
        <v>120.30613954049301</v>
      </c>
      <c r="Q657" s="493">
        <v>119.74334195316558</v>
      </c>
      <c r="R657" s="493">
        <v>119.18054436583836</v>
      </c>
      <c r="S657" s="493">
        <v>118.61774677851093</v>
      </c>
      <c r="T657" s="493">
        <v>118.05494919118351</v>
      </c>
      <c r="U657" s="493">
        <v>117.50525427240908</v>
      </c>
      <c r="V657" s="493">
        <v>116.95555935363443</v>
      </c>
      <c r="W657" s="493">
        <v>116.40586443485979</v>
      </c>
      <c r="X657" s="493">
        <v>115.85616951608516</v>
      </c>
      <c r="Y657" s="493">
        <v>115.30647459731071</v>
      </c>
      <c r="Z657" s="493">
        <v>114.76957729971993</v>
      </c>
      <c r="AA657" s="493">
        <v>114.23268000212934</v>
      </c>
      <c r="AB657" s="493">
        <v>113.69578270453856</v>
      </c>
      <c r="AC657" s="493">
        <v>113.15888540694777</v>
      </c>
      <c r="AD657" s="493">
        <v>112.62198810935699</v>
      </c>
      <c r="AE657" s="493">
        <v>112.09759048748559</v>
      </c>
      <c r="AF657" s="493">
        <v>111.5731928656142</v>
      </c>
      <c r="AG657" s="493">
        <v>111.0487952437428</v>
      </c>
      <c r="AH657" s="493">
        <v>110.52439762187142</v>
      </c>
      <c r="AI657" s="493">
        <v>110.00000000000001</v>
      </c>
    </row>
    <row r="658" spans="2:35" outlineLevel="1">
      <c r="B658" t="str">
        <f t="shared" si="60"/>
        <v>e-methane liquefied (DAC) - Finance cost - Americas - USD/ton fuel</v>
      </c>
      <c r="C658" t="str">
        <f>C637</f>
        <v>e-methane liquefied (DAC)</v>
      </c>
      <c r="D658" t="s">
        <v>1366</v>
      </c>
      <c r="E658" t="s">
        <v>731</v>
      </c>
      <c r="F658" t="s">
        <v>1353</v>
      </c>
      <c r="G658" s="487" t="str">
        <f t="shared" si="61"/>
        <v>e-methane liquefied (DAC)AmericasFinance cost</v>
      </c>
      <c r="H658" s="493">
        <v>124.92989464921065</v>
      </c>
      <c r="I658" s="493">
        <v>124.33994732460523</v>
      </c>
      <c r="J658" s="493">
        <v>123.75000000000001</v>
      </c>
      <c r="K658" s="493">
        <v>123.17378742556406</v>
      </c>
      <c r="L658" s="493">
        <v>122.5975748511281</v>
      </c>
      <c r="M658" s="493">
        <v>122.02136227669214</v>
      </c>
      <c r="N658" s="493">
        <v>121.44514970225619</v>
      </c>
      <c r="O658" s="493">
        <v>120.86893712782023</v>
      </c>
      <c r="P658" s="493">
        <v>120.30613954049301</v>
      </c>
      <c r="Q658" s="493">
        <v>119.74334195316558</v>
      </c>
      <c r="R658" s="493">
        <v>119.18054436583836</v>
      </c>
      <c r="S658" s="493">
        <v>118.61774677851093</v>
      </c>
      <c r="T658" s="493">
        <v>118.05494919118351</v>
      </c>
      <c r="U658" s="493">
        <v>117.50525427240908</v>
      </c>
      <c r="V658" s="493">
        <v>116.95555935363443</v>
      </c>
      <c r="W658" s="493">
        <v>116.40586443485979</v>
      </c>
      <c r="X658" s="493">
        <v>115.85616951608516</v>
      </c>
      <c r="Y658" s="493">
        <v>115.30647459731071</v>
      </c>
      <c r="Z658" s="493">
        <v>114.76957729971993</v>
      </c>
      <c r="AA658" s="493">
        <v>114.23268000212934</v>
      </c>
      <c r="AB658" s="493">
        <v>113.69578270453856</v>
      </c>
      <c r="AC658" s="493">
        <v>113.15888540694777</v>
      </c>
      <c r="AD658" s="493">
        <v>112.62198810935699</v>
      </c>
      <c r="AE658" s="493">
        <v>112.09759048748559</v>
      </c>
      <c r="AF658" s="493">
        <v>111.5731928656142</v>
      </c>
      <c r="AG658" s="493">
        <v>111.0487952437428</v>
      </c>
      <c r="AH658" s="493">
        <v>110.52439762187142</v>
      </c>
      <c r="AI658" s="493">
        <v>110.00000000000001</v>
      </c>
    </row>
    <row r="659" spans="2:35" outlineLevel="1">
      <c r="B659" t="str">
        <f t="shared" si="60"/>
        <v>e-methane liquefied (DAC) - Finance cost - Asia - USD/ton fuel</v>
      </c>
      <c r="C659" t="str">
        <f>C637</f>
        <v>e-methane liquefied (DAC)</v>
      </c>
      <c r="D659" t="s">
        <v>1366</v>
      </c>
      <c r="E659" t="s">
        <v>750</v>
      </c>
      <c r="F659" t="s">
        <v>1353</v>
      </c>
      <c r="G659" s="487" t="str">
        <f t="shared" si="61"/>
        <v>e-methane liquefied (DAC)AsiaFinance cost</v>
      </c>
      <c r="H659" s="493">
        <v>124.92989464921065</v>
      </c>
      <c r="I659" s="493">
        <v>124.33994732460523</v>
      </c>
      <c r="J659" s="493">
        <v>123.75000000000001</v>
      </c>
      <c r="K659" s="493">
        <v>123.17378742556406</v>
      </c>
      <c r="L659" s="493">
        <v>122.5975748511281</v>
      </c>
      <c r="M659" s="493">
        <v>122.02136227669214</v>
      </c>
      <c r="N659" s="493">
        <v>121.44514970225619</v>
      </c>
      <c r="O659" s="493">
        <v>120.86893712782023</v>
      </c>
      <c r="P659" s="493">
        <v>120.30613954049301</v>
      </c>
      <c r="Q659" s="493">
        <v>119.74334195316558</v>
      </c>
      <c r="R659" s="493">
        <v>119.18054436583836</v>
      </c>
      <c r="S659" s="493">
        <v>118.61774677851093</v>
      </c>
      <c r="T659" s="493">
        <v>118.05494919118351</v>
      </c>
      <c r="U659" s="493">
        <v>117.50525427240908</v>
      </c>
      <c r="V659" s="493">
        <v>116.95555935363443</v>
      </c>
      <c r="W659" s="493">
        <v>116.40586443485979</v>
      </c>
      <c r="X659" s="493">
        <v>115.85616951608516</v>
      </c>
      <c r="Y659" s="493">
        <v>115.30647459731071</v>
      </c>
      <c r="Z659" s="493">
        <v>114.76957729971993</v>
      </c>
      <c r="AA659" s="493">
        <v>114.23268000212934</v>
      </c>
      <c r="AB659" s="493">
        <v>113.69578270453856</v>
      </c>
      <c r="AC659" s="493">
        <v>113.15888540694777</v>
      </c>
      <c r="AD659" s="493">
        <v>112.62198810935699</v>
      </c>
      <c r="AE659" s="493">
        <v>112.09759048748559</v>
      </c>
      <c r="AF659" s="493">
        <v>111.5731928656142</v>
      </c>
      <c r="AG659" s="493">
        <v>111.0487952437428</v>
      </c>
      <c r="AH659" s="493">
        <v>110.52439762187142</v>
      </c>
      <c r="AI659" s="493">
        <v>110.00000000000001</v>
      </c>
    </row>
    <row r="660" spans="2:35" outlineLevel="1">
      <c r="B660" t="str">
        <f t="shared" si="60"/>
        <v>e-methane liquefied (DAC) - Finance cost - Europe - USD/ton fuel</v>
      </c>
      <c r="C660" t="str">
        <f>C637</f>
        <v>e-methane liquefied (DAC)</v>
      </c>
      <c r="D660" t="s">
        <v>1366</v>
      </c>
      <c r="E660" t="s">
        <v>720</v>
      </c>
      <c r="F660" t="s">
        <v>1353</v>
      </c>
      <c r="G660" s="487" t="str">
        <f t="shared" si="61"/>
        <v>e-methane liquefied (DAC)EuropeFinance cost</v>
      </c>
      <c r="H660" s="493">
        <v>124.92989464921065</v>
      </c>
      <c r="I660" s="493">
        <v>124.33994732460523</v>
      </c>
      <c r="J660" s="493">
        <v>123.75000000000001</v>
      </c>
      <c r="K660" s="493">
        <v>123.17378742556406</v>
      </c>
      <c r="L660" s="493">
        <v>122.5975748511281</v>
      </c>
      <c r="M660" s="493">
        <v>122.02136227669214</v>
      </c>
      <c r="N660" s="493">
        <v>121.44514970225619</v>
      </c>
      <c r="O660" s="493">
        <v>120.86893712782023</v>
      </c>
      <c r="P660" s="493">
        <v>120.30613954049301</v>
      </c>
      <c r="Q660" s="493">
        <v>119.74334195316558</v>
      </c>
      <c r="R660" s="493">
        <v>119.18054436583836</v>
      </c>
      <c r="S660" s="493">
        <v>118.61774677851093</v>
      </c>
      <c r="T660" s="493">
        <v>118.05494919118351</v>
      </c>
      <c r="U660" s="493">
        <v>117.50525427240908</v>
      </c>
      <c r="V660" s="493">
        <v>116.95555935363443</v>
      </c>
      <c r="W660" s="493">
        <v>116.40586443485979</v>
      </c>
      <c r="X660" s="493">
        <v>115.85616951608516</v>
      </c>
      <c r="Y660" s="493">
        <v>115.30647459731071</v>
      </c>
      <c r="Z660" s="493">
        <v>114.76957729971993</v>
      </c>
      <c r="AA660" s="493">
        <v>114.23268000212934</v>
      </c>
      <c r="AB660" s="493">
        <v>113.69578270453856</v>
      </c>
      <c r="AC660" s="493">
        <v>113.15888540694777</v>
      </c>
      <c r="AD660" s="493">
        <v>112.62198810935699</v>
      </c>
      <c r="AE660" s="493">
        <v>112.09759048748559</v>
      </c>
      <c r="AF660" s="493">
        <v>111.5731928656142</v>
      </c>
      <c r="AG660" s="493">
        <v>111.0487952437428</v>
      </c>
      <c r="AH660" s="493">
        <v>110.52439762187142</v>
      </c>
      <c r="AI660" s="493">
        <v>110.00000000000001</v>
      </c>
    </row>
    <row r="661" spans="2:35" outlineLevel="1">
      <c r="B661" t="str">
        <f t="shared" si="60"/>
        <v>e-methane liquefied (DAC) - Finance cost - Middle East - USD/ton fuel</v>
      </c>
      <c r="C661" t="str">
        <f>C637</f>
        <v>e-methane liquefied (DAC)</v>
      </c>
      <c r="D661" t="s">
        <v>1366</v>
      </c>
      <c r="E661" t="s">
        <v>826</v>
      </c>
      <c r="F661" t="s">
        <v>1353</v>
      </c>
      <c r="G661" s="487" t="str">
        <f t="shared" si="61"/>
        <v>e-methane liquefied (DAC)Middle EastFinance cost</v>
      </c>
      <c r="H661" s="493">
        <v>124.92989464921065</v>
      </c>
      <c r="I661" s="493">
        <v>124.33994732460523</v>
      </c>
      <c r="J661" s="493">
        <v>123.75000000000001</v>
      </c>
      <c r="K661" s="493">
        <v>123.17378742556406</v>
      </c>
      <c r="L661" s="493">
        <v>122.5975748511281</v>
      </c>
      <c r="M661" s="493">
        <v>122.02136227669214</v>
      </c>
      <c r="N661" s="493">
        <v>121.44514970225619</v>
      </c>
      <c r="O661" s="493">
        <v>120.86893712782023</v>
      </c>
      <c r="P661" s="493">
        <v>120.30613954049301</v>
      </c>
      <c r="Q661" s="493">
        <v>119.74334195316558</v>
      </c>
      <c r="R661" s="493">
        <v>119.18054436583836</v>
      </c>
      <c r="S661" s="493">
        <v>118.61774677851093</v>
      </c>
      <c r="T661" s="493">
        <v>118.05494919118351</v>
      </c>
      <c r="U661" s="493">
        <v>117.50525427240908</v>
      </c>
      <c r="V661" s="493">
        <v>116.95555935363443</v>
      </c>
      <c r="W661" s="493">
        <v>116.40586443485979</v>
      </c>
      <c r="X661" s="493">
        <v>115.85616951608516</v>
      </c>
      <c r="Y661" s="493">
        <v>115.30647459731071</v>
      </c>
      <c r="Z661" s="493">
        <v>114.76957729971993</v>
      </c>
      <c r="AA661" s="493">
        <v>114.23268000212934</v>
      </c>
      <c r="AB661" s="493">
        <v>113.69578270453856</v>
      </c>
      <c r="AC661" s="493">
        <v>113.15888540694777</v>
      </c>
      <c r="AD661" s="493">
        <v>112.62198810935699</v>
      </c>
      <c r="AE661" s="493">
        <v>112.09759048748559</v>
      </c>
      <c r="AF661" s="493">
        <v>111.5731928656142</v>
      </c>
      <c r="AG661" s="493">
        <v>111.0487952437428</v>
      </c>
      <c r="AH661" s="493">
        <v>110.52439762187142</v>
      </c>
      <c r="AI661" s="493">
        <v>110.00000000000001</v>
      </c>
    </row>
    <row r="662" spans="2:35" outlineLevel="1">
      <c r="B662" t="str">
        <f t="shared" si="60"/>
        <v>e-methane (DAC) - Finance cost including feedstock finance cost - Africa - USD/ton fuel</v>
      </c>
      <c r="C662" t="s">
        <v>1386</v>
      </c>
      <c r="D662" t="s">
        <v>1365</v>
      </c>
      <c r="E662" t="s">
        <v>838</v>
      </c>
      <c r="F662" t="s">
        <v>1353</v>
      </c>
      <c r="G662" s="487" t="str">
        <f t="shared" si="61"/>
        <v>e-methane (DAC)AfricaFinance cost including feedstock finance cost</v>
      </c>
      <c r="H662" s="507">
        <v>434.97335449463901</v>
      </c>
      <c r="I662" s="507">
        <v>418.19084698405243</v>
      </c>
      <c r="J662" s="507">
        <v>401.20241408118642</v>
      </c>
      <c r="K662" s="507">
        <v>390.43337189616403</v>
      </c>
      <c r="L662" s="507">
        <v>379.28176628315623</v>
      </c>
      <c r="M662" s="507">
        <v>367.74759724216801</v>
      </c>
      <c r="N662" s="507">
        <v>355.83086477320182</v>
      </c>
      <c r="O662" s="507">
        <v>343.53156887624999</v>
      </c>
      <c r="P662" s="507">
        <v>342.88791952683658</v>
      </c>
      <c r="Q662" s="507">
        <v>341.35209295914194</v>
      </c>
      <c r="R662" s="507">
        <v>338.92408917316277</v>
      </c>
      <c r="S662" s="507">
        <v>335.60390816889731</v>
      </c>
      <c r="T662" s="507">
        <v>331.39154994635038</v>
      </c>
      <c r="U662" s="507">
        <v>326.17413593137269</v>
      </c>
      <c r="V662" s="507">
        <v>320.22036553646194</v>
      </c>
      <c r="W662" s="507">
        <v>313.53023876162666</v>
      </c>
      <c r="X662" s="507">
        <v>306.10375560685742</v>
      </c>
      <c r="Y662" s="507">
        <v>297.94091607215188</v>
      </c>
      <c r="Z662" s="507">
        <v>288.16798080114836</v>
      </c>
      <c r="AA662" s="507">
        <v>277.83942356264475</v>
      </c>
      <c r="AB662" s="507">
        <v>266.95524435664765</v>
      </c>
      <c r="AC662" s="507">
        <v>255.5154431831532</v>
      </c>
      <c r="AD662" s="507">
        <v>243.52002004216055</v>
      </c>
      <c r="AE662" s="507">
        <v>231.162646346782</v>
      </c>
      <c r="AF662" s="507">
        <v>218.45773375058465</v>
      </c>
      <c r="AG662" s="507">
        <v>205.40528225356755</v>
      </c>
      <c r="AH662" s="507">
        <v>192.00529185573114</v>
      </c>
      <c r="AI662" s="507">
        <v>178.25776255707615</v>
      </c>
    </row>
    <row r="663" spans="2:35" outlineLevel="1">
      <c r="B663" t="str">
        <f t="shared" si="60"/>
        <v>e-methane (DAC) - Finance cost including feedstock finance cost - Americas - USD/ton fuel</v>
      </c>
      <c r="C663" t="s">
        <v>1386</v>
      </c>
      <c r="D663" t="s">
        <v>1365</v>
      </c>
      <c r="E663" t="s">
        <v>731</v>
      </c>
      <c r="F663" t="s">
        <v>1353</v>
      </c>
      <c r="G663" s="487" t="str">
        <f t="shared" si="61"/>
        <v>e-methane (DAC)AmericasFinance cost including feedstock finance cost</v>
      </c>
      <c r="H663" s="507">
        <v>434.97335449463901</v>
      </c>
      <c r="I663" s="507">
        <v>418.19084698405243</v>
      </c>
      <c r="J663" s="507">
        <v>401.20241408118642</v>
      </c>
      <c r="K663" s="507">
        <v>390.43337189616403</v>
      </c>
      <c r="L663" s="507">
        <v>379.28176628315623</v>
      </c>
      <c r="M663" s="507">
        <v>367.74759724216801</v>
      </c>
      <c r="N663" s="507">
        <v>355.83086477320182</v>
      </c>
      <c r="O663" s="507">
        <v>343.53156887624999</v>
      </c>
      <c r="P663" s="507">
        <v>342.88791952683658</v>
      </c>
      <c r="Q663" s="507">
        <v>341.35209295914194</v>
      </c>
      <c r="R663" s="507">
        <v>338.92408917316277</v>
      </c>
      <c r="S663" s="507">
        <v>335.60390816889731</v>
      </c>
      <c r="T663" s="507">
        <v>331.39154994635038</v>
      </c>
      <c r="U663" s="507">
        <v>326.17413593137269</v>
      </c>
      <c r="V663" s="507">
        <v>320.22036553646194</v>
      </c>
      <c r="W663" s="507">
        <v>313.53023876162666</v>
      </c>
      <c r="X663" s="507">
        <v>306.10375560685742</v>
      </c>
      <c r="Y663" s="507">
        <v>297.94091607215188</v>
      </c>
      <c r="Z663" s="507">
        <v>288.16798080114836</v>
      </c>
      <c r="AA663" s="507">
        <v>277.83942356264475</v>
      </c>
      <c r="AB663" s="507">
        <v>266.95524435664765</v>
      </c>
      <c r="AC663" s="507">
        <v>255.5154431831532</v>
      </c>
      <c r="AD663" s="507">
        <v>243.52002004216055</v>
      </c>
      <c r="AE663" s="507">
        <v>231.162646346782</v>
      </c>
      <c r="AF663" s="507">
        <v>218.45773375058465</v>
      </c>
      <c r="AG663" s="507">
        <v>205.40528225356755</v>
      </c>
      <c r="AH663" s="507">
        <v>192.00529185573114</v>
      </c>
      <c r="AI663" s="507">
        <v>178.25776255707615</v>
      </c>
    </row>
    <row r="664" spans="2:35" outlineLevel="1">
      <c r="B664" t="str">
        <f t="shared" si="60"/>
        <v>e-methane (DAC) - Finance cost including feedstock finance cost - Asia - USD/ton fuel</v>
      </c>
      <c r="C664" t="s">
        <v>1386</v>
      </c>
      <c r="D664" t="s">
        <v>1365</v>
      </c>
      <c r="E664" t="s">
        <v>750</v>
      </c>
      <c r="F664" t="s">
        <v>1353</v>
      </c>
      <c r="G664" s="487" t="str">
        <f t="shared" si="61"/>
        <v>e-methane (DAC)AsiaFinance cost including feedstock finance cost</v>
      </c>
      <c r="H664" s="507">
        <v>434.97335449463901</v>
      </c>
      <c r="I664" s="507">
        <v>418.19084698405243</v>
      </c>
      <c r="J664" s="507">
        <v>401.20241408118642</v>
      </c>
      <c r="K664" s="507">
        <v>390.43337189616403</v>
      </c>
      <c r="L664" s="507">
        <v>379.28176628315623</v>
      </c>
      <c r="M664" s="507">
        <v>367.74759724216801</v>
      </c>
      <c r="N664" s="507">
        <v>355.83086477320182</v>
      </c>
      <c r="O664" s="507">
        <v>343.53156887624999</v>
      </c>
      <c r="P664" s="507">
        <v>342.88791952683658</v>
      </c>
      <c r="Q664" s="507">
        <v>341.35209295914194</v>
      </c>
      <c r="R664" s="507">
        <v>338.92408917316277</v>
      </c>
      <c r="S664" s="507">
        <v>335.60390816889731</v>
      </c>
      <c r="T664" s="507">
        <v>331.39154994635038</v>
      </c>
      <c r="U664" s="507">
        <v>326.17413593137269</v>
      </c>
      <c r="V664" s="507">
        <v>320.22036553646194</v>
      </c>
      <c r="W664" s="507">
        <v>313.53023876162666</v>
      </c>
      <c r="X664" s="507">
        <v>306.10375560685742</v>
      </c>
      <c r="Y664" s="507">
        <v>297.94091607215188</v>
      </c>
      <c r="Z664" s="507">
        <v>288.16798080114836</v>
      </c>
      <c r="AA664" s="507">
        <v>277.83942356264475</v>
      </c>
      <c r="AB664" s="507">
        <v>266.95524435664765</v>
      </c>
      <c r="AC664" s="507">
        <v>255.5154431831532</v>
      </c>
      <c r="AD664" s="507">
        <v>243.52002004216055</v>
      </c>
      <c r="AE664" s="507">
        <v>231.162646346782</v>
      </c>
      <c r="AF664" s="507">
        <v>218.45773375058465</v>
      </c>
      <c r="AG664" s="507">
        <v>205.40528225356755</v>
      </c>
      <c r="AH664" s="507">
        <v>192.00529185573114</v>
      </c>
      <c r="AI664" s="507">
        <v>178.25776255707615</v>
      </c>
    </row>
    <row r="665" spans="2:35" outlineLevel="1">
      <c r="B665" t="str">
        <f t="shared" si="60"/>
        <v>e-methane (DAC) - Finance cost including feedstock finance cost - Europe - USD/ton fuel</v>
      </c>
      <c r="C665" t="s">
        <v>1386</v>
      </c>
      <c r="D665" t="s">
        <v>1365</v>
      </c>
      <c r="E665" t="s">
        <v>720</v>
      </c>
      <c r="F665" t="s">
        <v>1353</v>
      </c>
      <c r="G665" s="487" t="str">
        <f t="shared" si="61"/>
        <v>e-methane (DAC)EuropeFinance cost including feedstock finance cost</v>
      </c>
      <c r="H665" s="507">
        <v>434.97335449463901</v>
      </c>
      <c r="I665" s="507">
        <v>418.19084698405243</v>
      </c>
      <c r="J665" s="507">
        <v>401.20241408118642</v>
      </c>
      <c r="K665" s="507">
        <v>390.43337189616403</v>
      </c>
      <c r="L665" s="507">
        <v>379.28176628315623</v>
      </c>
      <c r="M665" s="507">
        <v>367.74759724216801</v>
      </c>
      <c r="N665" s="507">
        <v>355.83086477320182</v>
      </c>
      <c r="O665" s="507">
        <v>343.53156887624999</v>
      </c>
      <c r="P665" s="507">
        <v>342.88791952683658</v>
      </c>
      <c r="Q665" s="507">
        <v>341.35209295914194</v>
      </c>
      <c r="R665" s="507">
        <v>338.92408917316277</v>
      </c>
      <c r="S665" s="507">
        <v>335.60390816889731</v>
      </c>
      <c r="T665" s="507">
        <v>331.39154994635038</v>
      </c>
      <c r="U665" s="507">
        <v>326.17413593137269</v>
      </c>
      <c r="V665" s="507">
        <v>320.22036553646194</v>
      </c>
      <c r="W665" s="507">
        <v>313.53023876162666</v>
      </c>
      <c r="X665" s="507">
        <v>306.10375560685742</v>
      </c>
      <c r="Y665" s="507">
        <v>297.94091607215188</v>
      </c>
      <c r="Z665" s="507">
        <v>288.16798080114836</v>
      </c>
      <c r="AA665" s="507">
        <v>277.83942356264475</v>
      </c>
      <c r="AB665" s="507">
        <v>266.95524435664765</v>
      </c>
      <c r="AC665" s="507">
        <v>255.5154431831532</v>
      </c>
      <c r="AD665" s="507">
        <v>243.52002004216055</v>
      </c>
      <c r="AE665" s="507">
        <v>231.162646346782</v>
      </c>
      <c r="AF665" s="507">
        <v>218.45773375058465</v>
      </c>
      <c r="AG665" s="507">
        <v>205.40528225356755</v>
      </c>
      <c r="AH665" s="507">
        <v>192.00529185573114</v>
      </c>
      <c r="AI665" s="507">
        <v>178.25776255707615</v>
      </c>
    </row>
    <row r="666" spans="2:35" outlineLevel="1">
      <c r="B666" t="str">
        <f t="shared" si="60"/>
        <v>e-methane (DAC) - Finance cost including feedstock finance cost - Middle East - USD/ton fuel</v>
      </c>
      <c r="C666" t="s">
        <v>1386</v>
      </c>
      <c r="D666" t="s">
        <v>1365</v>
      </c>
      <c r="E666" t="s">
        <v>826</v>
      </c>
      <c r="F666" t="s">
        <v>1353</v>
      </c>
      <c r="G666" s="487" t="str">
        <f t="shared" si="61"/>
        <v>e-methane (DAC)Middle EastFinance cost including feedstock finance cost</v>
      </c>
      <c r="H666" s="507">
        <v>434.97335449463901</v>
      </c>
      <c r="I666" s="507">
        <v>418.19084698405243</v>
      </c>
      <c r="J666" s="507">
        <v>401.20241408118642</v>
      </c>
      <c r="K666" s="507">
        <v>390.43337189616403</v>
      </c>
      <c r="L666" s="507">
        <v>379.28176628315623</v>
      </c>
      <c r="M666" s="507">
        <v>367.74759724216801</v>
      </c>
      <c r="N666" s="507">
        <v>355.83086477320182</v>
      </c>
      <c r="O666" s="507">
        <v>343.53156887624999</v>
      </c>
      <c r="P666" s="507">
        <v>342.88791952683658</v>
      </c>
      <c r="Q666" s="507">
        <v>341.35209295914194</v>
      </c>
      <c r="R666" s="507">
        <v>338.92408917316277</v>
      </c>
      <c r="S666" s="507">
        <v>335.60390816889731</v>
      </c>
      <c r="T666" s="507">
        <v>331.39154994635038</v>
      </c>
      <c r="U666" s="507">
        <v>326.17413593137269</v>
      </c>
      <c r="V666" s="507">
        <v>320.22036553646194</v>
      </c>
      <c r="W666" s="507">
        <v>313.53023876162666</v>
      </c>
      <c r="X666" s="507">
        <v>306.10375560685742</v>
      </c>
      <c r="Y666" s="507">
        <v>297.94091607215188</v>
      </c>
      <c r="Z666" s="507">
        <v>288.16798080114836</v>
      </c>
      <c r="AA666" s="507">
        <v>277.83942356264475</v>
      </c>
      <c r="AB666" s="507">
        <v>266.95524435664765</v>
      </c>
      <c r="AC666" s="507">
        <v>255.5154431831532</v>
      </c>
      <c r="AD666" s="507">
        <v>243.52002004216055</v>
      </c>
      <c r="AE666" s="507">
        <v>231.162646346782</v>
      </c>
      <c r="AF666" s="507">
        <v>218.45773375058465</v>
      </c>
      <c r="AG666" s="507">
        <v>205.40528225356755</v>
      </c>
      <c r="AH666" s="507">
        <v>192.00529185573114</v>
      </c>
      <c r="AI666" s="507">
        <v>178.25776255707615</v>
      </c>
    </row>
    <row r="667" spans="2:35" ht="14.25" customHeight="1" outlineLevel="1">
      <c r="B667" t="str">
        <f t="shared" si="60"/>
        <v/>
      </c>
      <c r="G667" s="487" t="str">
        <f t="shared" si="61"/>
        <v/>
      </c>
      <c r="H667" s="498"/>
    </row>
    <row r="668" spans="2:35" ht="15" outlineLevel="1">
      <c r="B668" t="str">
        <f t="shared" si="60"/>
        <v>e-methane liquefied (DAC) - Energy cost including feedstock energy cost - Africa - USD/ton fuel</v>
      </c>
      <c r="C668" s="494" t="str">
        <f>C637</f>
        <v>e-methane liquefied (DAC)</v>
      </c>
      <c r="D668" s="494" t="s">
        <v>1367</v>
      </c>
      <c r="E668" s="494" t="s">
        <v>838</v>
      </c>
      <c r="F668" s="494" t="s">
        <v>1353</v>
      </c>
      <c r="G668" s="487" t="str">
        <f t="shared" si="61"/>
        <v>e-methane liquefied (DAC)AfricaEnergy cost including feedstock energy cost</v>
      </c>
      <c r="H668" s="495">
        <v>2100.9453906364402</v>
      </c>
      <c r="I668" s="495">
        <v>1847.1256662618059</v>
      </c>
      <c r="J668" s="495">
        <v>1594.961244520681</v>
      </c>
      <c r="K668" s="495">
        <v>1520.1403303026891</v>
      </c>
      <c r="L668" s="495">
        <v>1445.5418998697673</v>
      </c>
      <c r="M668" s="495">
        <v>1371.2173466428449</v>
      </c>
      <c r="N668" s="495">
        <v>1297.2180640428701</v>
      </c>
      <c r="O668" s="495">
        <v>1223.5954454907896</v>
      </c>
      <c r="P668" s="495">
        <v>1177.3375189851813</v>
      </c>
      <c r="Q668" s="495">
        <v>1131.3636527349006</v>
      </c>
      <c r="R668" s="495">
        <v>1085.7015285581685</v>
      </c>
      <c r="S668" s="495">
        <v>1040.3788282732573</v>
      </c>
      <c r="T668" s="495">
        <v>995.42323369843416</v>
      </c>
      <c r="U668" s="495">
        <v>969.73015562339572</v>
      </c>
      <c r="V668" s="495">
        <v>944.17012270616726</v>
      </c>
      <c r="W668" s="495">
        <v>918.7521676292389</v>
      </c>
      <c r="X668" s="495">
        <v>893.48532307505309</v>
      </c>
      <c r="Y668" s="495">
        <v>868.37862172609721</v>
      </c>
      <c r="Z668" s="495">
        <v>841.41796179141488</v>
      </c>
      <c r="AA668" s="495">
        <v>814.95280421220775</v>
      </c>
      <c r="AB668" s="495">
        <v>788.97786691924966</v>
      </c>
      <c r="AC668" s="495">
        <v>763.48786784330457</v>
      </c>
      <c r="AD668" s="495">
        <v>738.47752491513643</v>
      </c>
      <c r="AE668" s="495">
        <v>722.95145714230182</v>
      </c>
      <c r="AF668" s="495">
        <v>707.69607621500666</v>
      </c>
      <c r="AG668" s="495">
        <v>692.70805365709953</v>
      </c>
      <c r="AH668" s="495">
        <v>677.98406099244266</v>
      </c>
      <c r="AI668" s="495">
        <v>663.52076974489853</v>
      </c>
    </row>
    <row r="669" spans="2:35" ht="15" outlineLevel="1">
      <c r="B669" t="str">
        <f t="shared" si="60"/>
        <v>e-methane liquefied (DAC) - Energy cost including feedstock energy cost - Americas - USD/ton fuel</v>
      </c>
      <c r="C669" s="22" t="str">
        <f>C637</f>
        <v>e-methane liquefied (DAC)</v>
      </c>
      <c r="D669" s="22" t="s">
        <v>1367</v>
      </c>
      <c r="E669" s="22" t="s">
        <v>731</v>
      </c>
      <c r="F669" s="22" t="s">
        <v>1353</v>
      </c>
      <c r="G669" s="487" t="str">
        <f t="shared" si="61"/>
        <v>e-methane liquefied (DAC)AmericasEnergy cost including feedstock energy cost</v>
      </c>
      <c r="H669" s="496">
        <v>1320.0552511841179</v>
      </c>
      <c r="I669" s="496">
        <v>1287.7597408080737</v>
      </c>
      <c r="J669" s="496">
        <v>1255.4870243811597</v>
      </c>
      <c r="K669" s="496">
        <v>1204.4213380665528</v>
      </c>
      <c r="L669" s="496">
        <v>1153.45899111774</v>
      </c>
      <c r="M669" s="496">
        <v>1102.6345152102454</v>
      </c>
      <c r="N669" s="496">
        <v>1051.9824420196383</v>
      </c>
      <c r="O669" s="496">
        <v>1001.5373032213996</v>
      </c>
      <c r="P669" s="496">
        <v>972.50029418287579</v>
      </c>
      <c r="Q669" s="496">
        <v>943.55515293040082</v>
      </c>
      <c r="R669" s="496">
        <v>914.71791417720431</v>
      </c>
      <c r="S669" s="496">
        <v>886.00461263651823</v>
      </c>
      <c r="T669" s="496">
        <v>857.43128302160414</v>
      </c>
      <c r="U669" s="496">
        <v>833.03444940119959</v>
      </c>
      <c r="V669" s="496">
        <v>808.79466974340539</v>
      </c>
      <c r="W669" s="496">
        <v>784.72095507064307</v>
      </c>
      <c r="X669" s="496">
        <v>760.82231640529437</v>
      </c>
      <c r="Y669" s="496">
        <v>737.10776476976457</v>
      </c>
      <c r="Z669" s="496">
        <v>721.65927724246274</v>
      </c>
      <c r="AA669" s="496">
        <v>706.44704865425479</v>
      </c>
      <c r="AB669" s="496">
        <v>691.46901449643269</v>
      </c>
      <c r="AC669" s="496">
        <v>676.72311026025659</v>
      </c>
      <c r="AD669" s="496">
        <v>662.20727143701367</v>
      </c>
      <c r="AE669" s="496">
        <v>650.50371145740723</v>
      </c>
      <c r="AF669" s="496">
        <v>638.99476043978632</v>
      </c>
      <c r="AG669" s="496">
        <v>627.678418760196</v>
      </c>
      <c r="AH669" s="496">
        <v>616.55268679468543</v>
      </c>
      <c r="AI669" s="496">
        <v>605.61556491930332</v>
      </c>
    </row>
    <row r="670" spans="2:35" ht="15" outlineLevel="1">
      <c r="B670" t="str">
        <f t="shared" si="60"/>
        <v>e-methane liquefied (DAC) - Energy cost including feedstock energy cost - Asia - USD/ton fuel</v>
      </c>
      <c r="C670" s="22" t="str">
        <f>C637</f>
        <v>e-methane liquefied (DAC)</v>
      </c>
      <c r="D670" s="22" t="s">
        <v>1367</v>
      </c>
      <c r="E670" s="22" t="s">
        <v>750</v>
      </c>
      <c r="F670" s="22" t="s">
        <v>1353</v>
      </c>
      <c r="G670" s="487" t="str">
        <f t="shared" si="61"/>
        <v>e-methane liquefied (DAC)AsiaEnergy cost including feedstock energy cost</v>
      </c>
      <c r="H670" s="496">
        <v>2336.6879868925616</v>
      </c>
      <c r="I670" s="496">
        <v>2123.1771836834582</v>
      </c>
      <c r="J670" s="496">
        <v>1910.9572178040059</v>
      </c>
      <c r="K670" s="496">
        <v>1829.9538587189704</v>
      </c>
      <c r="L670" s="496">
        <v>1749.1378364064128</v>
      </c>
      <c r="M670" s="496">
        <v>1668.5641898980668</v>
      </c>
      <c r="N670" s="496">
        <v>1588.2879582258063</v>
      </c>
      <c r="O670" s="496">
        <v>1508.3641804214426</v>
      </c>
      <c r="P670" s="496">
        <v>1448.7110963987764</v>
      </c>
      <c r="Q670" s="496">
        <v>1389.4500828927983</v>
      </c>
      <c r="R670" s="496">
        <v>1330.6172374242608</v>
      </c>
      <c r="S670" s="496">
        <v>1272.2486575138896</v>
      </c>
      <c r="T670" s="496">
        <v>1214.3804406825059</v>
      </c>
      <c r="U670" s="496">
        <v>1179.8991890347947</v>
      </c>
      <c r="V670" s="496">
        <v>1145.6390238527913</v>
      </c>
      <c r="W670" s="496">
        <v>1111.6126683468615</v>
      </c>
      <c r="X670" s="496">
        <v>1077.8328457272762</v>
      </c>
      <c r="Y670" s="496">
        <v>1044.3122792043944</v>
      </c>
      <c r="Z670" s="496">
        <v>1008.1342624058568</v>
      </c>
      <c r="AA670" s="496">
        <v>972.64521943243608</v>
      </c>
      <c r="AB670" s="496">
        <v>937.83757654596411</v>
      </c>
      <c r="AC670" s="496">
        <v>903.70376000826479</v>
      </c>
      <c r="AD670" s="496">
        <v>870.2361960811636</v>
      </c>
      <c r="AE670" s="496">
        <v>850.73094621223993</v>
      </c>
      <c r="AF670" s="496">
        <v>831.57089837553849</v>
      </c>
      <c r="AG670" s="496">
        <v>812.75159349487672</v>
      </c>
      <c r="AH670" s="496">
        <v>794.2685724940668</v>
      </c>
      <c r="AI670" s="496">
        <v>776.11737629692027</v>
      </c>
    </row>
    <row r="671" spans="2:35" ht="15" outlineLevel="1">
      <c r="B671" t="str">
        <f t="shared" si="60"/>
        <v>e-methane liquefied (DAC) - Energy cost including feedstock energy cost - Europe - USD/ton fuel</v>
      </c>
      <c r="C671" s="22" t="str">
        <f>C637</f>
        <v>e-methane liquefied (DAC)</v>
      </c>
      <c r="D671" s="22" t="s">
        <v>1367</v>
      </c>
      <c r="E671" s="22" t="s">
        <v>720</v>
      </c>
      <c r="F671" s="22" t="s">
        <v>1353</v>
      </c>
      <c r="G671" s="487" t="str">
        <f t="shared" si="61"/>
        <v>e-methane liquefied (DAC)EuropeEnergy cost including feedstock energy cost</v>
      </c>
      <c r="H671" s="496">
        <v>1739.5376347149534</v>
      </c>
      <c r="I671" s="496">
        <v>1658.1788455497456</v>
      </c>
      <c r="J671" s="496">
        <v>1577.1604344013147</v>
      </c>
      <c r="K671" s="496">
        <v>1510.5116268250276</v>
      </c>
      <c r="L671" s="496">
        <v>1444.0155508877021</v>
      </c>
      <c r="M671" s="496">
        <v>1377.7174763901778</v>
      </c>
      <c r="N671" s="496">
        <v>1311.6626731332665</v>
      </c>
      <c r="O671" s="496">
        <v>1245.8964109177925</v>
      </c>
      <c r="P671" s="496">
        <v>1212.1693864791723</v>
      </c>
      <c r="Q671" s="496">
        <v>1178.518487346101</v>
      </c>
      <c r="R671" s="496">
        <v>1144.9618634778119</v>
      </c>
      <c r="S671" s="496">
        <v>1111.5176648335801</v>
      </c>
      <c r="T671" s="496">
        <v>1078.2040413727225</v>
      </c>
      <c r="U671" s="496">
        <v>1054.5562308979813</v>
      </c>
      <c r="V671" s="496">
        <v>1030.9741657687835</v>
      </c>
      <c r="W671" s="496">
        <v>1007.4653584084963</v>
      </c>
      <c r="X671" s="496">
        <v>984.03732124042585</v>
      </c>
      <c r="Y671" s="496">
        <v>960.69756668791717</v>
      </c>
      <c r="Z671" s="496">
        <v>934.78419041446432</v>
      </c>
      <c r="AA671" s="496">
        <v>909.3219852447445</v>
      </c>
      <c r="AB671" s="496">
        <v>884.30638061007642</v>
      </c>
      <c r="AC671" s="496">
        <v>859.73280594173013</v>
      </c>
      <c r="AD671" s="496">
        <v>835.59669067101743</v>
      </c>
      <c r="AE671" s="496">
        <v>816.8683753303776</v>
      </c>
      <c r="AF671" s="496">
        <v>798.47150978143372</v>
      </c>
      <c r="AG671" s="496">
        <v>780.40181267714513</v>
      </c>
      <c r="AH671" s="496">
        <v>762.65500267046525</v>
      </c>
      <c r="AI671" s="496">
        <v>745.2267984143474</v>
      </c>
    </row>
    <row r="672" spans="2:35" ht="15" outlineLevel="1">
      <c r="B672" t="str">
        <f t="shared" si="60"/>
        <v>e-methane liquefied (DAC) - Energy cost including feedstock energy cost - Middle East - USD/ton fuel</v>
      </c>
      <c r="C672" s="92" t="str">
        <f>C637</f>
        <v>e-methane liquefied (DAC)</v>
      </c>
      <c r="D672" s="92" t="s">
        <v>1367</v>
      </c>
      <c r="E672" s="92" t="s">
        <v>826</v>
      </c>
      <c r="F672" s="92" t="s">
        <v>1353</v>
      </c>
      <c r="G672" s="487" t="str">
        <f t="shared" si="61"/>
        <v>e-methane liquefied (DAC)Middle EastEnergy cost including feedstock energy cost</v>
      </c>
      <c r="H672" s="497">
        <v>1332.0418025519969</v>
      </c>
      <c r="I672" s="497">
        <v>1268.3777660987134</v>
      </c>
      <c r="J672" s="497">
        <v>1204.9852818590307</v>
      </c>
      <c r="K672" s="497">
        <v>1161.3410973649884</v>
      </c>
      <c r="L672" s="497">
        <v>1117.7468850065609</v>
      </c>
      <c r="M672" s="497">
        <v>1074.2317273225765</v>
      </c>
      <c r="N672" s="497">
        <v>1030.824706851892</v>
      </c>
      <c r="O672" s="497">
        <v>987.55490613332427</v>
      </c>
      <c r="P672" s="497">
        <v>953.62433428401221</v>
      </c>
      <c r="Q672" s="497">
        <v>919.86878544874412</v>
      </c>
      <c r="R672" s="497">
        <v>886.30804702485227</v>
      </c>
      <c r="S672" s="497">
        <v>852.96190640970292</v>
      </c>
      <c r="T672" s="497">
        <v>819.85015100067062</v>
      </c>
      <c r="U672" s="497">
        <v>799.72274868945431</v>
      </c>
      <c r="V672" s="497">
        <v>779.68555065360897</v>
      </c>
      <c r="W672" s="497">
        <v>759.745434811113</v>
      </c>
      <c r="X672" s="497">
        <v>739.90927907988475</v>
      </c>
      <c r="Y672" s="497">
        <v>720.18396137788818</v>
      </c>
      <c r="Z672" s="497">
        <v>695.52241001640436</v>
      </c>
      <c r="AA672" s="497">
        <v>671.32886031816645</v>
      </c>
      <c r="AB672" s="497">
        <v>647.59818283603533</v>
      </c>
      <c r="AC672" s="497">
        <v>624.32524812286215</v>
      </c>
      <c r="AD672" s="497">
        <v>601.50492673150154</v>
      </c>
      <c r="AE672" s="497">
        <v>588.02276339502214</v>
      </c>
      <c r="AF672" s="497">
        <v>574.77920683125092</v>
      </c>
      <c r="AG672" s="497">
        <v>561.77117485570182</v>
      </c>
      <c r="AH672" s="497">
        <v>548.99558528389628</v>
      </c>
      <c r="AI672" s="497">
        <v>536.44935593135585</v>
      </c>
    </row>
    <row r="673" spans="2:35" outlineLevel="1">
      <c r="B673" t="str">
        <f t="shared" si="60"/>
        <v>e-methane liquefied (DAC) - Energy cost - Africa - USD/ton fuel</v>
      </c>
      <c r="C673" t="str">
        <f>C637</f>
        <v>e-methane liquefied (DAC)</v>
      </c>
      <c r="D673" t="s">
        <v>1368</v>
      </c>
      <c r="E673" t="s">
        <v>838</v>
      </c>
      <c r="F673" t="s">
        <v>1353</v>
      </c>
      <c r="G673" s="487" t="str">
        <f t="shared" si="61"/>
        <v>e-methane liquefied (DAC)AfricaEnergy cost</v>
      </c>
      <c r="H673" s="493">
        <v>35.033884158308503</v>
      </c>
      <c r="I673" s="493">
        <v>30.919977747395748</v>
      </c>
      <c r="J673" s="493">
        <v>26.80607133648191</v>
      </c>
      <c r="K673" s="493">
        <v>25.65925481102331</v>
      </c>
      <c r="L673" s="493">
        <v>24.512438285564713</v>
      </c>
      <c r="M673" s="493">
        <v>23.365621760106112</v>
      </c>
      <c r="N673" s="493">
        <v>22.218805234647242</v>
      </c>
      <c r="O673" s="493">
        <v>21.071988709188645</v>
      </c>
      <c r="P673" s="493">
        <v>20.431834259056178</v>
      </c>
      <c r="Q673" s="493">
        <v>19.791679808923707</v>
      </c>
      <c r="R673" s="493">
        <v>19.151525358790966</v>
      </c>
      <c r="S673" s="493">
        <v>18.511370908658499</v>
      </c>
      <c r="T673" s="493">
        <v>17.871216458526099</v>
      </c>
      <c r="U673" s="493">
        <v>17.569906277941822</v>
      </c>
      <c r="V673" s="493">
        <v>17.268596097357612</v>
      </c>
      <c r="W673" s="493">
        <v>16.967285916773335</v>
      </c>
      <c r="X673" s="493">
        <v>16.665975736189058</v>
      </c>
      <c r="Y673" s="493">
        <v>16.364665555604915</v>
      </c>
      <c r="Z673" s="493">
        <v>16.054836989607747</v>
      </c>
      <c r="AA673" s="493">
        <v>15.745008423610578</v>
      </c>
      <c r="AB673" s="493">
        <v>15.435179857613274</v>
      </c>
      <c r="AC673" s="493">
        <v>15.125351291616106</v>
      </c>
      <c r="AD673" s="493">
        <v>14.81552272561887</v>
      </c>
      <c r="AE673" s="493">
        <v>14.663450567763833</v>
      </c>
      <c r="AF673" s="493">
        <v>14.511378409908865</v>
      </c>
      <c r="AG673" s="493">
        <v>14.359306252053829</v>
      </c>
      <c r="AH673" s="493">
        <v>14.207234094198792</v>
      </c>
      <c r="AI673" s="493">
        <v>14.055161936343824</v>
      </c>
    </row>
    <row r="674" spans="2:35" outlineLevel="1">
      <c r="B674" t="str">
        <f t="shared" si="60"/>
        <v>e-methane liquefied (DAC) - Energy cost - Americas - USD/ton fuel</v>
      </c>
      <c r="C674" t="str">
        <f>C637</f>
        <v>e-methane liquefied (DAC)</v>
      </c>
      <c r="D674" t="s">
        <v>1368</v>
      </c>
      <c r="E674" t="s">
        <v>731</v>
      </c>
      <c r="F674" t="s">
        <v>1353</v>
      </c>
      <c r="G674" s="487" t="str">
        <f t="shared" si="61"/>
        <v>e-methane liquefied (DAC)AmericasEnergy cost</v>
      </c>
      <c r="H674" s="493">
        <v>22.012310723860217</v>
      </c>
      <c r="I674" s="493">
        <v>21.556466491183574</v>
      </c>
      <c r="J674" s="493">
        <v>21.100622258506792</v>
      </c>
      <c r="K674" s="493">
        <v>20.33006650585321</v>
      </c>
      <c r="L674" s="493">
        <v>19.559510753199628</v>
      </c>
      <c r="M674" s="493">
        <v>18.788955000546046</v>
      </c>
      <c r="N674" s="493">
        <v>18.018399247892738</v>
      </c>
      <c r="O674" s="493">
        <v>17.247843495239156</v>
      </c>
      <c r="P674" s="493">
        <v>16.877033567022497</v>
      </c>
      <c r="Q674" s="493">
        <v>16.506223638805839</v>
      </c>
      <c r="R674" s="493">
        <v>16.13541371058918</v>
      </c>
      <c r="S674" s="493">
        <v>15.764603782372523</v>
      </c>
      <c r="T674" s="493">
        <v>15.393793854155795</v>
      </c>
      <c r="U674" s="493">
        <v>15.093206205252955</v>
      </c>
      <c r="V674" s="493">
        <v>14.792618556350112</v>
      </c>
      <c r="W674" s="493">
        <v>14.492030907447202</v>
      </c>
      <c r="X674" s="493">
        <v>14.191443258544359</v>
      </c>
      <c r="Y674" s="493">
        <v>13.890855609641482</v>
      </c>
      <c r="Z674" s="493">
        <v>13.769758412927786</v>
      </c>
      <c r="AA674" s="493">
        <v>13.648661216214089</v>
      </c>
      <c r="AB674" s="493">
        <v>13.527564019500426</v>
      </c>
      <c r="AC674" s="493">
        <v>13.406466822786728</v>
      </c>
      <c r="AD674" s="493">
        <v>13.285369626073031</v>
      </c>
      <c r="AE674" s="493">
        <v>13.194010362475922</v>
      </c>
      <c r="AF674" s="493">
        <v>13.102651098878846</v>
      </c>
      <c r="AG674" s="493">
        <v>13.011291835281769</v>
      </c>
      <c r="AH674" s="493">
        <v>12.919932571684694</v>
      </c>
      <c r="AI674" s="493">
        <v>12.828573308087618</v>
      </c>
    </row>
    <row r="675" spans="2:35" outlineLevel="1">
      <c r="B675" t="str">
        <f t="shared" si="60"/>
        <v>e-methane liquefied (DAC) - Energy cost - Asia - USD/ton fuel</v>
      </c>
      <c r="C675" t="str">
        <f>C637</f>
        <v>e-methane liquefied (DAC)</v>
      </c>
      <c r="D675" t="s">
        <v>1368</v>
      </c>
      <c r="E675" t="s">
        <v>750</v>
      </c>
      <c r="F675" t="s">
        <v>1353</v>
      </c>
      <c r="G675" s="487" t="str">
        <f t="shared" si="61"/>
        <v>e-methane liquefied (DAC)AsiaEnergy cost</v>
      </c>
      <c r="H675" s="493">
        <v>38.96496149388549</v>
      </c>
      <c r="I675" s="493">
        <v>35.540944762101567</v>
      </c>
      <c r="J675" s="493">
        <v>32.116928030319286</v>
      </c>
      <c r="K675" s="493">
        <v>30.888761660534144</v>
      </c>
      <c r="L675" s="493">
        <v>29.660595290749551</v>
      </c>
      <c r="M675" s="493">
        <v>28.432428920964412</v>
      </c>
      <c r="N675" s="493">
        <v>27.204262551179273</v>
      </c>
      <c r="O675" s="493">
        <v>25.976096181394677</v>
      </c>
      <c r="P675" s="493">
        <v>25.141324839787011</v>
      </c>
      <c r="Q675" s="493">
        <v>24.306553498179618</v>
      </c>
      <c r="R675" s="493">
        <v>23.471782156572498</v>
      </c>
      <c r="S675" s="493">
        <v>22.637010814965105</v>
      </c>
      <c r="T675" s="493">
        <v>21.802239473357712</v>
      </c>
      <c r="U675" s="493">
        <v>21.37782149863542</v>
      </c>
      <c r="V675" s="493">
        <v>20.953403523913128</v>
      </c>
      <c r="W675" s="493">
        <v>20.528985549190974</v>
      </c>
      <c r="X675" s="493">
        <v>20.104567574468682</v>
      </c>
      <c r="Y675" s="493">
        <v>19.680149599746663</v>
      </c>
      <c r="Z675" s="493">
        <v>19.235899376458519</v>
      </c>
      <c r="AA675" s="493">
        <v>18.791649153170511</v>
      </c>
      <c r="AB675" s="493">
        <v>18.347398929882363</v>
      </c>
      <c r="AC675" s="493">
        <v>17.903148706594354</v>
      </c>
      <c r="AD675" s="493">
        <v>17.458898483306211</v>
      </c>
      <c r="AE675" s="493">
        <v>17.255171219323916</v>
      </c>
      <c r="AF675" s="493">
        <v>17.051443955341551</v>
      </c>
      <c r="AG675" s="493">
        <v>16.847716691359256</v>
      </c>
      <c r="AH675" s="493">
        <v>16.643989427376958</v>
      </c>
      <c r="AI675" s="493">
        <v>16.440262163394596</v>
      </c>
    </row>
    <row r="676" spans="2:35" outlineLevel="1">
      <c r="B676" t="str">
        <f t="shared" si="60"/>
        <v>e-methane liquefied (DAC) - Energy cost - Europe - USD/ton fuel</v>
      </c>
      <c r="C676" t="str">
        <f>C637</f>
        <v>e-methane liquefied (DAC)</v>
      </c>
      <c r="D676" t="s">
        <v>1368</v>
      </c>
      <c r="E676" t="s">
        <v>720</v>
      </c>
      <c r="F676" t="s">
        <v>1353</v>
      </c>
      <c r="G676" s="487" t="str">
        <f t="shared" si="61"/>
        <v>e-methane liquefied (DAC)EuropeEnergy cost</v>
      </c>
      <c r="H676" s="493">
        <v>29.007303214654346</v>
      </c>
      <c r="I676" s="493">
        <v>27.757100635909591</v>
      </c>
      <c r="J676" s="493">
        <v>26.506898057164836</v>
      </c>
      <c r="K676" s="493">
        <v>25.49672681863467</v>
      </c>
      <c r="L676" s="493">
        <v>24.486555580104231</v>
      </c>
      <c r="M676" s="493">
        <v>23.476384341574065</v>
      </c>
      <c r="N676" s="493">
        <v>22.466213103043629</v>
      </c>
      <c r="O676" s="493">
        <v>21.456041864513463</v>
      </c>
      <c r="P676" s="493">
        <v>21.036315923909658</v>
      </c>
      <c r="Q676" s="493">
        <v>20.616589983306266</v>
      </c>
      <c r="R676" s="493">
        <v>20.196864042702735</v>
      </c>
      <c r="S676" s="493">
        <v>19.777138102099205</v>
      </c>
      <c r="T676" s="493">
        <v>19.357412161495812</v>
      </c>
      <c r="U676" s="493">
        <v>19.106814441370034</v>
      </c>
      <c r="V676" s="493">
        <v>18.856216721244323</v>
      </c>
      <c r="W676" s="493">
        <v>18.605619001118612</v>
      </c>
      <c r="X676" s="493">
        <v>18.355021280992901</v>
      </c>
      <c r="Y676" s="493">
        <v>18.104423560867051</v>
      </c>
      <c r="Z676" s="493">
        <v>17.836329243096269</v>
      </c>
      <c r="AA676" s="493">
        <v>17.568234925325417</v>
      </c>
      <c r="AB676" s="493">
        <v>17.300140607554635</v>
      </c>
      <c r="AC676" s="493">
        <v>17.032046289783782</v>
      </c>
      <c r="AD676" s="493">
        <v>16.763951972013</v>
      </c>
      <c r="AE676" s="493">
        <v>16.568344836559117</v>
      </c>
      <c r="AF676" s="493">
        <v>16.372737701105166</v>
      </c>
      <c r="AG676" s="493">
        <v>16.177130565651282</v>
      </c>
      <c r="AH676" s="493">
        <v>15.981523430197399</v>
      </c>
      <c r="AI676" s="493">
        <v>15.785916294743446</v>
      </c>
    </row>
    <row r="677" spans="2:35" outlineLevel="1">
      <c r="B677" t="str">
        <f t="shared" si="60"/>
        <v>e-methane liquefied (DAC) - Energy cost - Middle East - USD/ton fuel</v>
      </c>
      <c r="C677" t="str">
        <f>C637</f>
        <v>e-methane liquefied (DAC)</v>
      </c>
      <c r="D677" t="s">
        <v>1368</v>
      </c>
      <c r="E677" t="s">
        <v>826</v>
      </c>
      <c r="F677" t="s">
        <v>1353</v>
      </c>
      <c r="G677" s="487" t="str">
        <f t="shared" si="61"/>
        <v>e-methane liquefied (DAC)Middle EastEnergy cost</v>
      </c>
      <c r="H677" s="493">
        <v>22.212190003898375</v>
      </c>
      <c r="I677" s="493">
        <v>21.232021740260461</v>
      </c>
      <c r="J677" s="493">
        <v>20.251853476622273</v>
      </c>
      <c r="K677" s="493">
        <v>19.602892276312467</v>
      </c>
      <c r="L677" s="493">
        <v>18.953931076002664</v>
      </c>
      <c r="M677" s="493">
        <v>18.304969875692858</v>
      </c>
      <c r="N677" s="493">
        <v>17.656008675383053</v>
      </c>
      <c r="O677" s="493">
        <v>17.00704747507325</v>
      </c>
      <c r="P677" s="493">
        <v>16.549455045217972</v>
      </c>
      <c r="Q677" s="493">
        <v>16.091862615362832</v>
      </c>
      <c r="R677" s="493">
        <v>15.634270185507557</v>
      </c>
      <c r="S677" s="493">
        <v>15.176677755652417</v>
      </c>
      <c r="T677" s="493">
        <v>14.719085325797277</v>
      </c>
      <c r="U677" s="493">
        <v>14.489653293063725</v>
      </c>
      <c r="V677" s="493">
        <v>14.260221260330171</v>
      </c>
      <c r="W677" s="493">
        <v>14.030789227596687</v>
      </c>
      <c r="X677" s="493">
        <v>13.801357194863135</v>
      </c>
      <c r="Y677" s="493">
        <v>13.571925162129583</v>
      </c>
      <c r="Z677" s="493">
        <v>13.271048899002039</v>
      </c>
      <c r="AA677" s="493">
        <v>12.970172635874563</v>
      </c>
      <c r="AB677" s="493">
        <v>12.669296372747022</v>
      </c>
      <c r="AC677" s="493">
        <v>12.368420109619546</v>
      </c>
      <c r="AD677" s="493">
        <v>12.067543846491969</v>
      </c>
      <c r="AE677" s="493">
        <v>11.926724316796832</v>
      </c>
      <c r="AF677" s="493">
        <v>11.78590478710173</v>
      </c>
      <c r="AG677" s="493">
        <v>11.645085257406594</v>
      </c>
      <c r="AH677" s="493">
        <v>11.504265727711458</v>
      </c>
      <c r="AI677" s="493">
        <v>11.363446198016357</v>
      </c>
    </row>
    <row r="678" spans="2:35" outlineLevel="1">
      <c r="B678" t="str">
        <f t="shared" si="60"/>
        <v>e-methane (DAC) - Energy cost including feedstock energy cost - Africa - USD/ton fuel</v>
      </c>
      <c r="C678" t="s">
        <v>1386</v>
      </c>
      <c r="D678" t="s">
        <v>1367</v>
      </c>
      <c r="E678" t="s">
        <v>838</v>
      </c>
      <c r="F678" t="s">
        <v>1353</v>
      </c>
      <c r="G678" s="487" t="str">
        <f t="shared" si="61"/>
        <v>e-methane (DAC)AfricaEnergy cost including feedstock energy cost</v>
      </c>
      <c r="H678" s="507">
        <v>2065.9115064781317</v>
      </c>
      <c r="I678" s="507">
        <v>1816.2056885144102</v>
      </c>
      <c r="J678" s="507">
        <v>1568.1551731841992</v>
      </c>
      <c r="K678" s="507">
        <v>1494.4810754916657</v>
      </c>
      <c r="L678" s="507">
        <v>1421.0294615842026</v>
      </c>
      <c r="M678" s="507">
        <v>1347.8517248827388</v>
      </c>
      <c r="N678" s="507">
        <v>1274.9992588082227</v>
      </c>
      <c r="O678" s="507">
        <v>1202.523456781601</v>
      </c>
      <c r="P678" s="507">
        <v>1156.9056847261252</v>
      </c>
      <c r="Q678" s="507">
        <v>1111.571972925977</v>
      </c>
      <c r="R678" s="507">
        <v>1066.5500031993777</v>
      </c>
      <c r="S678" s="507">
        <v>1021.8674573645987</v>
      </c>
      <c r="T678" s="507">
        <v>977.55201723990808</v>
      </c>
      <c r="U678" s="507">
        <v>952.16024934545385</v>
      </c>
      <c r="V678" s="507">
        <v>926.9015266088096</v>
      </c>
      <c r="W678" s="507">
        <v>901.78488171246556</v>
      </c>
      <c r="X678" s="507">
        <v>876.81934733886408</v>
      </c>
      <c r="Y678" s="507">
        <v>852.01395617049229</v>
      </c>
      <c r="Z678" s="507">
        <v>825.36312480180709</v>
      </c>
      <c r="AA678" s="507">
        <v>799.2077957885972</v>
      </c>
      <c r="AB678" s="507">
        <v>773.54268706163634</v>
      </c>
      <c r="AC678" s="507">
        <v>748.36251655168849</v>
      </c>
      <c r="AD678" s="507">
        <v>723.66200218951758</v>
      </c>
      <c r="AE678" s="507">
        <v>708.28800657453803</v>
      </c>
      <c r="AF678" s="507">
        <v>693.18469780509781</v>
      </c>
      <c r="AG678" s="507">
        <v>678.34874740504574</v>
      </c>
      <c r="AH678" s="507">
        <v>663.77682689824383</v>
      </c>
      <c r="AI678" s="507">
        <v>649.46560780855475</v>
      </c>
    </row>
    <row r="679" spans="2:35" outlineLevel="1">
      <c r="B679" t="str">
        <f t="shared" si="60"/>
        <v>e-methane (DAC) - Energy cost including feedstock energy cost - Americas - USD/ton fuel</v>
      </c>
      <c r="C679" t="s">
        <v>1386</v>
      </c>
      <c r="D679" t="s">
        <v>1367</v>
      </c>
      <c r="E679" t="s">
        <v>731</v>
      </c>
      <c r="F679" t="s">
        <v>1353</v>
      </c>
      <c r="G679" s="487" t="str">
        <f t="shared" si="61"/>
        <v>e-methane (DAC)AmericasEnergy cost including feedstock energy cost</v>
      </c>
      <c r="H679" s="507">
        <v>1298.0429404602576</v>
      </c>
      <c r="I679" s="507">
        <v>1266.2032743168902</v>
      </c>
      <c r="J679" s="507">
        <v>1234.386402122653</v>
      </c>
      <c r="K679" s="507">
        <v>1184.0912715606996</v>
      </c>
      <c r="L679" s="507">
        <v>1133.8994803645403</v>
      </c>
      <c r="M679" s="507">
        <v>1083.8455602096992</v>
      </c>
      <c r="N679" s="507">
        <v>1033.9640427717454</v>
      </c>
      <c r="O679" s="507">
        <v>984.28945972616043</v>
      </c>
      <c r="P679" s="507">
        <v>955.62326061585327</v>
      </c>
      <c r="Q679" s="507">
        <v>927.04892929159496</v>
      </c>
      <c r="R679" s="507">
        <v>898.5825004666151</v>
      </c>
      <c r="S679" s="507">
        <v>870.24000885414569</v>
      </c>
      <c r="T679" s="507">
        <v>842.03748916744837</v>
      </c>
      <c r="U679" s="507">
        <v>817.94124319594664</v>
      </c>
      <c r="V679" s="507">
        <v>794.00205118705526</v>
      </c>
      <c r="W679" s="507">
        <v>770.22892416319587</v>
      </c>
      <c r="X679" s="507">
        <v>746.63087314674999</v>
      </c>
      <c r="Y679" s="507">
        <v>723.21690916012312</v>
      </c>
      <c r="Z679" s="507">
        <v>707.88951882953495</v>
      </c>
      <c r="AA679" s="507">
        <v>692.79838743804066</v>
      </c>
      <c r="AB679" s="507">
        <v>677.94145047693223</v>
      </c>
      <c r="AC679" s="507">
        <v>663.31664343746991</v>
      </c>
      <c r="AD679" s="507">
        <v>648.92190181094065</v>
      </c>
      <c r="AE679" s="507">
        <v>637.30970109493126</v>
      </c>
      <c r="AF679" s="507">
        <v>625.8921093409075</v>
      </c>
      <c r="AG679" s="507">
        <v>614.66712692491421</v>
      </c>
      <c r="AH679" s="507">
        <v>603.63275422300069</v>
      </c>
      <c r="AI679" s="507">
        <v>592.78699161121574</v>
      </c>
    </row>
    <row r="680" spans="2:35" outlineLevel="1">
      <c r="B680" t="str">
        <f t="shared" si="60"/>
        <v>e-methane (DAC) - Energy cost including feedstock energy cost - Asia - USD/ton fuel</v>
      </c>
      <c r="C680" t="s">
        <v>1386</v>
      </c>
      <c r="D680" t="s">
        <v>1367</v>
      </c>
      <c r="E680" t="s">
        <v>750</v>
      </c>
      <c r="F680" t="s">
        <v>1353</v>
      </c>
      <c r="G680" s="487" t="str">
        <f t="shared" si="61"/>
        <v>e-methane (DAC)AsiaEnergy cost including feedstock energy cost</v>
      </c>
      <c r="H680" s="507">
        <v>2297.7230253986763</v>
      </c>
      <c r="I680" s="507">
        <v>2087.6362389213568</v>
      </c>
      <c r="J680" s="507">
        <v>1878.8402897736867</v>
      </c>
      <c r="K680" s="507">
        <v>1799.0650970584363</v>
      </c>
      <c r="L680" s="507">
        <v>1719.4772411156632</v>
      </c>
      <c r="M680" s="507">
        <v>1640.1317609771024</v>
      </c>
      <c r="N680" s="507">
        <v>1561.0836956746271</v>
      </c>
      <c r="O680" s="507">
        <v>1482.3880842400479</v>
      </c>
      <c r="P680" s="507">
        <v>1423.5697715589893</v>
      </c>
      <c r="Q680" s="507">
        <v>1365.1435293946186</v>
      </c>
      <c r="R680" s="507">
        <v>1307.1454552676882</v>
      </c>
      <c r="S680" s="507">
        <v>1249.6116466989245</v>
      </c>
      <c r="T680" s="507">
        <v>1192.5782012091481</v>
      </c>
      <c r="U680" s="507">
        <v>1158.5213675361592</v>
      </c>
      <c r="V680" s="507">
        <v>1124.6856203288783</v>
      </c>
      <c r="W680" s="507">
        <v>1091.0836827976705</v>
      </c>
      <c r="X680" s="507">
        <v>1057.7282781528074</v>
      </c>
      <c r="Y680" s="507">
        <v>1024.6321296046476</v>
      </c>
      <c r="Z680" s="507">
        <v>988.8983630293983</v>
      </c>
      <c r="AA680" s="507">
        <v>953.85357027926557</v>
      </c>
      <c r="AB680" s="507">
        <v>919.49017761608172</v>
      </c>
      <c r="AC680" s="507">
        <v>885.80061130167041</v>
      </c>
      <c r="AD680" s="507">
        <v>852.77729759785734</v>
      </c>
      <c r="AE680" s="507">
        <v>833.47577499291606</v>
      </c>
      <c r="AF680" s="507">
        <v>814.51945442019689</v>
      </c>
      <c r="AG680" s="507">
        <v>795.90387680351751</v>
      </c>
      <c r="AH680" s="507">
        <v>777.62458306668987</v>
      </c>
      <c r="AI680" s="507">
        <v>759.67711413352572</v>
      </c>
    </row>
    <row r="681" spans="2:35" outlineLevel="1">
      <c r="B681" t="str">
        <f t="shared" si="60"/>
        <v>e-methane (DAC) - Energy cost including feedstock energy cost - Europe - USD/ton fuel</v>
      </c>
      <c r="C681" t="s">
        <v>1386</v>
      </c>
      <c r="D681" t="s">
        <v>1367</v>
      </c>
      <c r="E681" t="s">
        <v>720</v>
      </c>
      <c r="F681" t="s">
        <v>1353</v>
      </c>
      <c r="G681" s="487" t="str">
        <f t="shared" si="61"/>
        <v>e-methane (DAC)EuropeEnergy cost including feedstock energy cost</v>
      </c>
      <c r="H681" s="507">
        <v>1710.5303315002991</v>
      </c>
      <c r="I681" s="507">
        <v>1630.4217449138359</v>
      </c>
      <c r="J681" s="507">
        <v>1550.6535363441499</v>
      </c>
      <c r="K681" s="507">
        <v>1485.014900006393</v>
      </c>
      <c r="L681" s="507">
        <v>1419.5289953075978</v>
      </c>
      <c r="M681" s="507">
        <v>1354.2410920486038</v>
      </c>
      <c r="N681" s="507">
        <v>1289.1964600302229</v>
      </c>
      <c r="O681" s="507">
        <v>1224.440369053279</v>
      </c>
      <c r="P681" s="507">
        <v>1191.1330705552627</v>
      </c>
      <c r="Q681" s="507">
        <v>1157.9018973627947</v>
      </c>
      <c r="R681" s="507">
        <v>1124.7649994351091</v>
      </c>
      <c r="S681" s="507">
        <v>1091.7405267314809</v>
      </c>
      <c r="T681" s="507">
        <v>1058.8466292112266</v>
      </c>
      <c r="U681" s="507">
        <v>1035.4494164566113</v>
      </c>
      <c r="V681" s="507">
        <v>1012.1179490475391</v>
      </c>
      <c r="W681" s="507">
        <v>988.85973940737767</v>
      </c>
      <c r="X681" s="507">
        <v>965.68229995943295</v>
      </c>
      <c r="Y681" s="507">
        <v>942.5931431270501</v>
      </c>
      <c r="Z681" s="507">
        <v>916.947861171368</v>
      </c>
      <c r="AA681" s="507">
        <v>891.75375031941905</v>
      </c>
      <c r="AB681" s="507">
        <v>867.00624000252174</v>
      </c>
      <c r="AC681" s="507">
        <v>842.70075965194633</v>
      </c>
      <c r="AD681" s="507">
        <v>818.83273869900438</v>
      </c>
      <c r="AE681" s="507">
        <v>800.30003049381844</v>
      </c>
      <c r="AF681" s="507">
        <v>782.09877208032856</v>
      </c>
      <c r="AG681" s="507">
        <v>764.22468211149385</v>
      </c>
      <c r="AH681" s="507">
        <v>746.67347924026785</v>
      </c>
      <c r="AI681" s="507">
        <v>729.440882119604</v>
      </c>
    </row>
    <row r="682" spans="2:35" outlineLevel="1">
      <c r="B682" t="str">
        <f t="shared" si="60"/>
        <v>e-methane (DAC) - Energy cost including feedstock energy cost - Middle East - USD/ton fuel</v>
      </c>
      <c r="C682" t="s">
        <v>1386</v>
      </c>
      <c r="D682" t="s">
        <v>1367</v>
      </c>
      <c r="E682" t="s">
        <v>826</v>
      </c>
      <c r="F682" t="s">
        <v>1353</v>
      </c>
      <c r="G682" s="487" t="str">
        <f t="shared" si="61"/>
        <v>e-methane (DAC)Middle EastEnergy cost including feedstock energy cost</v>
      </c>
      <c r="H682" s="507">
        <v>1309.8296125480986</v>
      </c>
      <c r="I682" s="507">
        <v>1247.1457443584529</v>
      </c>
      <c r="J682" s="507">
        <v>1184.7334283824084</v>
      </c>
      <c r="K682" s="507">
        <v>1141.7382050886758</v>
      </c>
      <c r="L682" s="507">
        <v>1098.7929539305583</v>
      </c>
      <c r="M682" s="507">
        <v>1055.9267574468836</v>
      </c>
      <c r="N682" s="507">
        <v>1013.1686981765089</v>
      </c>
      <c r="O682" s="507">
        <v>970.54785865825102</v>
      </c>
      <c r="P682" s="507">
        <v>937.07487923879421</v>
      </c>
      <c r="Q682" s="507">
        <v>903.77692283338126</v>
      </c>
      <c r="R682" s="507">
        <v>870.67377683934467</v>
      </c>
      <c r="S682" s="507">
        <v>837.78522865405046</v>
      </c>
      <c r="T682" s="507">
        <v>805.1310656748733</v>
      </c>
      <c r="U682" s="507">
        <v>785.23309539639058</v>
      </c>
      <c r="V682" s="507">
        <v>765.42532939327884</v>
      </c>
      <c r="W682" s="507">
        <v>745.71464558351636</v>
      </c>
      <c r="X682" s="507">
        <v>726.1079218850216</v>
      </c>
      <c r="Y682" s="507">
        <v>706.61203621575862</v>
      </c>
      <c r="Z682" s="507">
        <v>682.25136111740233</v>
      </c>
      <c r="AA682" s="507">
        <v>658.35868768229193</v>
      </c>
      <c r="AB682" s="507">
        <v>634.92888646328834</v>
      </c>
      <c r="AC682" s="507">
        <v>611.95682801324256</v>
      </c>
      <c r="AD682" s="507">
        <v>589.43738288500958</v>
      </c>
      <c r="AE682" s="507">
        <v>576.09603907822532</v>
      </c>
      <c r="AF682" s="507">
        <v>562.99330204414923</v>
      </c>
      <c r="AG682" s="507">
        <v>550.12608959829527</v>
      </c>
      <c r="AH682" s="507">
        <v>537.49131955618486</v>
      </c>
      <c r="AI682" s="507">
        <v>525.08590973333946</v>
      </c>
    </row>
    <row r="683" spans="2:35" outlineLevel="1">
      <c r="B683" t="str">
        <f>_xlfn.TEXTJOIN(" - ",TRUE,C683:F683)</f>
        <v/>
      </c>
      <c r="G683" s="487" t="str">
        <f t="shared" si="61"/>
        <v/>
      </c>
    </row>
    <row r="684" spans="2:35" ht="15" outlineLevel="1">
      <c r="B684" t="str">
        <f>_xlfn.TEXTJOIN(" - ",TRUE,C684:F684)</f>
        <v>e-methane liquefied (DAC) - Feedstock cost including feedstock feedstock cost - Global - USD/ton fuel</v>
      </c>
      <c r="C684" s="491" t="str">
        <f>C637</f>
        <v>e-methane liquefied (DAC)</v>
      </c>
      <c r="D684" s="491" t="s">
        <v>1369</v>
      </c>
      <c r="E684" s="491" t="s">
        <v>708</v>
      </c>
      <c r="F684" s="491" t="s">
        <v>1353</v>
      </c>
      <c r="G684" s="487" t="str">
        <f t="shared" si="61"/>
        <v>e-methane liquefied (DAC)GlobalFeedstock cost including feedstock feedstock cost</v>
      </c>
      <c r="H684" s="492">
        <v>6.75</v>
      </c>
      <c r="I684" s="492">
        <v>6.750000000000024</v>
      </c>
      <c r="J684" s="492">
        <v>6.750000000000024</v>
      </c>
      <c r="K684" s="492">
        <v>6.750000000000024</v>
      </c>
      <c r="L684" s="492">
        <v>6.750000000000048</v>
      </c>
      <c r="M684" s="492">
        <v>6.75</v>
      </c>
      <c r="N684" s="492">
        <v>6.750000000000048</v>
      </c>
      <c r="O684" s="492">
        <v>6.75</v>
      </c>
      <c r="P684" s="492">
        <v>6.749999999999952</v>
      </c>
      <c r="Q684" s="492">
        <v>6.750000000000024</v>
      </c>
      <c r="R684" s="492">
        <v>6.7500000000000959</v>
      </c>
      <c r="S684" s="492">
        <v>6.750000000000048</v>
      </c>
      <c r="T684" s="492">
        <v>6.7500000000000959</v>
      </c>
      <c r="U684" s="492">
        <v>6.7500000000001199</v>
      </c>
      <c r="V684" s="492">
        <v>6.7500000000000604</v>
      </c>
      <c r="W684" s="492">
        <v>6.7500000000001794</v>
      </c>
      <c r="X684" s="492">
        <v>6.7500000000001199</v>
      </c>
      <c r="Y684" s="492">
        <v>6.749999999999952</v>
      </c>
      <c r="Z684" s="492">
        <v>6.75</v>
      </c>
      <c r="AA684" s="492">
        <v>6.749999999999976</v>
      </c>
      <c r="AB684" s="492">
        <v>6.750000000000024</v>
      </c>
      <c r="AC684" s="492">
        <v>6.75</v>
      </c>
      <c r="AD684" s="492">
        <v>6.75</v>
      </c>
      <c r="AE684" s="492">
        <v>6.75</v>
      </c>
      <c r="AF684" s="492">
        <v>6.75</v>
      </c>
      <c r="AG684" s="492">
        <v>6.75</v>
      </c>
      <c r="AH684" s="492">
        <v>6.75</v>
      </c>
      <c r="AI684" s="492">
        <v>6.75</v>
      </c>
    </row>
    <row r="685" spans="2:35" outlineLevel="1">
      <c r="B685" t="str">
        <f>_xlfn.TEXTJOIN(" - ",TRUE,C685:F685)</f>
        <v>e-methane (DAC) - Feedstock cost - Global - USD/ton fuel</v>
      </c>
      <c r="C685" t="s">
        <v>1386</v>
      </c>
      <c r="D685" t="s">
        <v>1371</v>
      </c>
      <c r="E685" t="s">
        <v>708</v>
      </c>
      <c r="F685" t="s">
        <v>1353</v>
      </c>
      <c r="G685" s="487" t="str">
        <f t="shared" si="61"/>
        <v>e-methane (DAC)GlobalFeedstock cost</v>
      </c>
      <c r="H685" s="507">
        <v>6.75</v>
      </c>
      <c r="I685" s="507">
        <v>6.750000000000024</v>
      </c>
      <c r="J685" s="507">
        <v>6.750000000000024</v>
      </c>
      <c r="K685" s="507">
        <v>6.750000000000024</v>
      </c>
      <c r="L685" s="507">
        <v>6.750000000000048</v>
      </c>
      <c r="M685" s="507">
        <v>6.75</v>
      </c>
      <c r="N685" s="507">
        <v>6.750000000000048</v>
      </c>
      <c r="O685" s="507">
        <v>6.75</v>
      </c>
      <c r="P685" s="507">
        <v>6.749999999999952</v>
      </c>
      <c r="Q685" s="507">
        <v>6.750000000000024</v>
      </c>
      <c r="R685" s="507">
        <v>6.7500000000000959</v>
      </c>
      <c r="S685" s="507">
        <v>6.750000000000048</v>
      </c>
      <c r="T685" s="507">
        <v>6.7500000000000959</v>
      </c>
      <c r="U685" s="507">
        <v>6.7500000000001199</v>
      </c>
      <c r="V685" s="507">
        <v>6.7500000000000604</v>
      </c>
      <c r="W685" s="507">
        <v>6.7500000000001794</v>
      </c>
      <c r="X685" s="507">
        <v>6.7500000000001199</v>
      </c>
      <c r="Y685" s="507">
        <v>6.749999999999952</v>
      </c>
      <c r="Z685" s="507">
        <v>6.75</v>
      </c>
      <c r="AA685" s="507">
        <v>6.749999999999976</v>
      </c>
      <c r="AB685" s="507">
        <v>6.750000000000024</v>
      </c>
      <c r="AC685" s="507">
        <v>6.75</v>
      </c>
      <c r="AD685" s="507">
        <v>6.75</v>
      </c>
      <c r="AE685" s="507">
        <v>6.75</v>
      </c>
      <c r="AF685" s="507">
        <v>6.75</v>
      </c>
      <c r="AG685" s="507">
        <v>6.75</v>
      </c>
      <c r="AH685" s="507">
        <v>6.75</v>
      </c>
      <c r="AI685" s="507">
        <v>6.75</v>
      </c>
    </row>
    <row r="686" spans="2:35">
      <c r="G686" s="487" t="str">
        <f t="shared" si="61"/>
        <v/>
      </c>
    </row>
    <row r="687" spans="2:35" ht="15">
      <c r="B687" t="str">
        <f t="shared" ref="B687:B735" si="62">_xlfn.TEXTJOIN(" - ",TRUE,C687:F687)</f>
        <v>e-methane liquefied (PS) - Item - Region - Unit</v>
      </c>
      <c r="C687" s="485" t="s">
        <v>763</v>
      </c>
      <c r="D687" s="485" t="s">
        <v>877</v>
      </c>
      <c r="E687" s="485" t="s">
        <v>171</v>
      </c>
      <c r="F687" s="485" t="s">
        <v>111</v>
      </c>
      <c r="G687" s="487" t="str">
        <f t="shared" si="61"/>
        <v>e-methane liquefied (PS)RegionItem</v>
      </c>
      <c r="H687" s="486">
        <v>2023</v>
      </c>
      <c r="I687" s="486">
        <v>2024</v>
      </c>
      <c r="J687" s="486">
        <v>2025</v>
      </c>
      <c r="K687" s="486">
        <v>2026</v>
      </c>
      <c r="L687" s="486">
        <v>2027</v>
      </c>
      <c r="M687" s="486">
        <v>2028</v>
      </c>
      <c r="N687" s="486">
        <v>2029</v>
      </c>
      <c r="O687" s="486">
        <v>2030</v>
      </c>
      <c r="P687" s="486">
        <v>2031</v>
      </c>
      <c r="Q687" s="486">
        <v>2032</v>
      </c>
      <c r="R687" s="486">
        <v>2033</v>
      </c>
      <c r="S687" s="486">
        <v>2034</v>
      </c>
      <c r="T687" s="486">
        <v>2035</v>
      </c>
      <c r="U687" s="486">
        <v>2036</v>
      </c>
      <c r="V687" s="486">
        <v>2037</v>
      </c>
      <c r="W687" s="486">
        <v>2038</v>
      </c>
      <c r="X687" s="486">
        <v>2039</v>
      </c>
      <c r="Y687" s="486">
        <v>2040</v>
      </c>
      <c r="Z687" s="486">
        <v>2041</v>
      </c>
      <c r="AA687" s="486">
        <v>2042</v>
      </c>
      <c r="AB687" s="486">
        <v>2043</v>
      </c>
      <c r="AC687" s="486">
        <v>2044</v>
      </c>
      <c r="AD687" s="486">
        <v>2045</v>
      </c>
      <c r="AE687" s="486">
        <v>2046</v>
      </c>
      <c r="AF687" s="486">
        <v>2047</v>
      </c>
      <c r="AG687" s="486">
        <v>2048</v>
      </c>
      <c r="AH687" s="486">
        <v>2049</v>
      </c>
      <c r="AI687" s="486">
        <v>2050</v>
      </c>
    </row>
    <row r="688" spans="2:35" outlineLevel="1">
      <c r="B688" t="str">
        <f t="shared" si="62"/>
        <v>e-methane liquefied (PS) - Total cost - Africa - USD/ton fuel</v>
      </c>
      <c r="C688" s="487" t="str">
        <f>C687</f>
        <v>e-methane liquefied (PS)</v>
      </c>
      <c r="D688" s="487" t="s">
        <v>1362</v>
      </c>
      <c r="E688" s="487" t="s">
        <v>838</v>
      </c>
      <c r="F688" s="487" t="s">
        <v>1353</v>
      </c>
      <c r="G688" s="487" t="str">
        <f t="shared" si="61"/>
        <v>e-methane liquefied (PS)AfricaTotal cost</v>
      </c>
      <c r="H688" s="488">
        <v>3299.2530131436201</v>
      </c>
      <c r="I688" s="488">
        <v>3037.6918971516284</v>
      </c>
      <c r="J688" s="488">
        <v>2774.7950140288062</v>
      </c>
      <c r="K688" s="488">
        <v>2675.0500694662019</v>
      </c>
      <c r="L688" s="488">
        <v>2572.7302449760073</v>
      </c>
      <c r="M688" s="488">
        <v>2467.8869339791563</v>
      </c>
      <c r="N688" s="488">
        <v>2360.5715298966211</v>
      </c>
      <c r="O688" s="488">
        <v>2250.835426149315</v>
      </c>
      <c r="P688" s="488">
        <v>2209.3847261037822</v>
      </c>
      <c r="Q688" s="488">
        <v>2164.1457366087029</v>
      </c>
      <c r="R688" s="488">
        <v>2115.1461394823032</v>
      </c>
      <c r="S688" s="488">
        <v>2062.4136165428313</v>
      </c>
      <c r="T688" s="488">
        <v>2005.9758496085769</v>
      </c>
      <c r="U688" s="488">
        <v>1964.0828097624433</v>
      </c>
      <c r="V688" s="488">
        <v>1919.5841848917066</v>
      </c>
      <c r="W688" s="488">
        <v>1872.4890076788863</v>
      </c>
      <c r="X688" s="488">
        <v>1822.8063108063898</v>
      </c>
      <c r="Y688" s="488">
        <v>1770.5451269567113</v>
      </c>
      <c r="Z688" s="488">
        <v>1714.771587073873</v>
      </c>
      <c r="AA688" s="488">
        <v>1657.7881507895518</v>
      </c>
      <c r="AB688" s="488">
        <v>1599.5895360345435</v>
      </c>
      <c r="AC688" s="488">
        <v>1540.1704607395914</v>
      </c>
      <c r="AD688" s="488">
        <v>1479.5256428354699</v>
      </c>
      <c r="AE688" s="488">
        <v>1429.5880153097623</v>
      </c>
      <c r="AF688" s="488">
        <v>1379.0438783471382</v>
      </c>
      <c r="AG688" s="488">
        <v>1327.8899034714466</v>
      </c>
      <c r="AH688" s="488">
        <v>1276.1227622065485</v>
      </c>
      <c r="AI688" s="488">
        <v>1223.739126076307</v>
      </c>
    </row>
    <row r="689" spans="2:35" outlineLevel="1">
      <c r="B689" t="str">
        <f t="shared" si="62"/>
        <v>e-methane liquefied (PS) - Total cost - Americas - USD/ton fuel</v>
      </c>
      <c r="C689" t="str">
        <f>C688</f>
        <v>e-methane liquefied (PS)</v>
      </c>
      <c r="D689" t="s">
        <v>1362</v>
      </c>
      <c r="E689" t="s">
        <v>731</v>
      </c>
      <c r="F689" t="s">
        <v>1353</v>
      </c>
      <c r="G689" s="487" t="str">
        <f t="shared" si="61"/>
        <v>e-methane liquefied (PS)AmericasTotal cost</v>
      </c>
      <c r="H689" s="489">
        <v>2663.2691122039269</v>
      </c>
      <c r="I689" s="489">
        <v>2580.8517378640859</v>
      </c>
      <c r="J689" s="489">
        <v>2496.773234999976</v>
      </c>
      <c r="K689" s="489">
        <v>2415.8406940640189</v>
      </c>
      <c r="L689" s="489">
        <v>2332.3398292160277</v>
      </c>
      <c r="M689" s="489">
        <v>2246.3051721315319</v>
      </c>
      <c r="N689" s="489">
        <v>2157.7712544861188</v>
      </c>
      <c r="O689" s="489">
        <v>2066.7726079552467</v>
      </c>
      <c r="P689" s="489">
        <v>2039.3115692474198</v>
      </c>
      <c r="Q689" s="489">
        <v>2007.9541746473215</v>
      </c>
      <c r="R689" s="489">
        <v>1972.7164588681849</v>
      </c>
      <c r="S689" s="489">
        <v>1933.6144566232226</v>
      </c>
      <c r="T689" s="489">
        <v>1890.6642026257173</v>
      </c>
      <c r="U689" s="489">
        <v>1849.6991829257672</v>
      </c>
      <c r="V689" s="489">
        <v>1806.1527979919565</v>
      </c>
      <c r="W689" s="489">
        <v>1760.0340588467348</v>
      </c>
      <c r="X689" s="489">
        <v>1711.3519765124488</v>
      </c>
      <c r="Y689" s="489">
        <v>1660.1155620115123</v>
      </c>
      <c r="Z689" s="489">
        <v>1613.9522559918216</v>
      </c>
      <c r="AA689" s="489">
        <v>1566.3713348109002</v>
      </c>
      <c r="AB689" s="489">
        <v>1517.3707339600614</v>
      </c>
      <c r="AC689" s="489">
        <v>1466.9483889305473</v>
      </c>
      <c r="AD689" s="489">
        <v>1415.1022352136529</v>
      </c>
      <c r="AE689" s="489">
        <v>1368.3295318384351</v>
      </c>
      <c r="AF689" s="489">
        <v>1320.8897373831426</v>
      </c>
      <c r="AG689" s="489">
        <v>1272.7808522238201</v>
      </c>
      <c r="AH689" s="489">
        <v>1224.0008767365168</v>
      </c>
      <c r="AI689" s="489">
        <v>1174.5478112972819</v>
      </c>
    </row>
    <row r="690" spans="2:35" outlineLevel="1">
      <c r="B690" t="str">
        <f t="shared" si="62"/>
        <v>e-methane liquefied (PS) - Total cost - Asia - USD/ton fuel</v>
      </c>
      <c r="C690" t="str">
        <f>C689</f>
        <v>e-methane liquefied (PS)</v>
      </c>
      <c r="D690" t="s">
        <v>1362</v>
      </c>
      <c r="E690" t="s">
        <v>750</v>
      </c>
      <c r="F690" t="s">
        <v>1353</v>
      </c>
      <c r="G690" s="487" t="str">
        <f t="shared" si="61"/>
        <v>e-methane liquefied (PS)AsiaTotal cost</v>
      </c>
      <c r="H690" s="489">
        <v>3491.2499259100846</v>
      </c>
      <c r="I690" s="489">
        <v>3263.1461364104466</v>
      </c>
      <c r="J690" s="489">
        <v>3033.5886350055912</v>
      </c>
      <c r="K690" s="489">
        <v>2929.4109827047278</v>
      </c>
      <c r="L690" s="489">
        <v>2822.5961262728974</v>
      </c>
      <c r="M690" s="489">
        <v>2713.1991047418487</v>
      </c>
      <c r="N690" s="489">
        <v>2601.274957143472</v>
      </c>
      <c r="O690" s="489">
        <v>2486.8787225095439</v>
      </c>
      <c r="P690" s="489">
        <v>2434.7019800486087</v>
      </c>
      <c r="Q690" s="489">
        <v>2378.7841725120875</v>
      </c>
      <c r="R690" s="489">
        <v>2319.1613974207353</v>
      </c>
      <c r="S690" s="489">
        <v>2255.8697522952662</v>
      </c>
      <c r="T690" s="489">
        <v>2188.9453346565165</v>
      </c>
      <c r="U690" s="489">
        <v>2139.9471214861633</v>
      </c>
      <c r="V690" s="489">
        <v>2088.3954159833315</v>
      </c>
      <c r="W690" s="489">
        <v>2034.3029413584138</v>
      </c>
      <c r="X690" s="489">
        <v>1977.6824208216494</v>
      </c>
      <c r="Y690" s="489">
        <v>1918.5465775834016</v>
      </c>
      <c r="Z690" s="489">
        <v>1855.1223764277067</v>
      </c>
      <c r="AA690" s="489">
        <v>1790.6450525206048</v>
      </c>
      <c r="AB690" s="489">
        <v>1725.1070321239524</v>
      </c>
      <c r="AC690" s="489">
        <v>1658.5007414995512</v>
      </c>
      <c r="AD690" s="489">
        <v>1590.8186069092376</v>
      </c>
      <c r="AE690" s="489">
        <v>1537.6324774964926</v>
      </c>
      <c r="AF690" s="489">
        <v>1483.9011694852475</v>
      </c>
      <c r="AG690" s="489">
        <v>1429.620223799318</v>
      </c>
      <c r="AH690" s="489">
        <v>1374.7851813625164</v>
      </c>
      <c r="AI690" s="489">
        <v>1319.3915830986557</v>
      </c>
    </row>
    <row r="691" spans="2:35" outlineLevel="1">
      <c r="B691" t="str">
        <f t="shared" si="62"/>
        <v>e-methane liquefied (PS) - Total cost - Europe - USD/ton fuel</v>
      </c>
      <c r="C691" t="str">
        <f>C690</f>
        <v>e-methane liquefied (PS)</v>
      </c>
      <c r="D691" t="s">
        <v>1362</v>
      </c>
      <c r="E691" t="s">
        <v>720</v>
      </c>
      <c r="F691" t="s">
        <v>1353</v>
      </c>
      <c r="G691" s="487" t="str">
        <f t="shared" si="61"/>
        <v>e-methane liquefied (PS)EuropeTotal cost</v>
      </c>
      <c r="H691" s="489">
        <v>3004.910053963712</v>
      </c>
      <c r="I691" s="489">
        <v>2883.3769992590646</v>
      </c>
      <c r="J691" s="489">
        <v>2760.2165494387514</v>
      </c>
      <c r="K691" s="489">
        <v>2667.1447793957495</v>
      </c>
      <c r="L691" s="489">
        <v>2571.4740274589972</v>
      </c>
      <c r="M691" s="489">
        <v>2473.2495634293327</v>
      </c>
      <c r="N691" s="489">
        <v>2372.5166571075938</v>
      </c>
      <c r="O691" s="489">
        <v>2269.3205782945711</v>
      </c>
      <c r="P691" s="489">
        <v>2238.3050830829543</v>
      </c>
      <c r="Q691" s="489">
        <v>2203.3622112603871</v>
      </c>
      <c r="R691" s="489">
        <v>2164.5101127861103</v>
      </c>
      <c r="S691" s="489">
        <v>2121.7669376193812</v>
      </c>
      <c r="T691" s="489">
        <v>2075.1508357195339</v>
      </c>
      <c r="U691" s="489">
        <v>2035.0631968453879</v>
      </c>
      <c r="V691" s="489">
        <v>1992.3174816423857</v>
      </c>
      <c r="W691" s="489">
        <v>1946.9212025339232</v>
      </c>
      <c r="X691" s="489">
        <v>1898.8818719432713</v>
      </c>
      <c r="Y691" s="489">
        <v>1848.2070022937853</v>
      </c>
      <c r="Z691" s="489">
        <v>1793.3723228024123</v>
      </c>
      <c r="AA691" s="489">
        <v>1737.2948093271239</v>
      </c>
      <c r="AB691" s="489">
        <v>1679.9698912992576</v>
      </c>
      <c r="AC691" s="489">
        <v>1621.3929981500664</v>
      </c>
      <c r="AD691" s="489">
        <v>1561.5595593108696</v>
      </c>
      <c r="AE691" s="489">
        <v>1508.9998441543112</v>
      </c>
      <c r="AF691" s="489">
        <v>1455.883270724451</v>
      </c>
      <c r="AG691" s="489">
        <v>1402.2055576742473</v>
      </c>
      <c r="AH691" s="489">
        <v>1347.962423656654</v>
      </c>
      <c r="AI691" s="489">
        <v>1293.1495873246251</v>
      </c>
    </row>
    <row r="692" spans="2:35" outlineLevel="1">
      <c r="B692" t="str">
        <f t="shared" si="62"/>
        <v>e-methane liquefied (PS) - Total cost - Middle East - USD/ton fuel</v>
      </c>
      <c r="C692" s="25" t="str">
        <f>C691</f>
        <v>e-methane liquefied (PS)</v>
      </c>
      <c r="D692" s="25" t="s">
        <v>1362</v>
      </c>
      <c r="E692" s="25" t="s">
        <v>826</v>
      </c>
      <c r="F692" s="25" t="s">
        <v>1353</v>
      </c>
      <c r="G692" s="487" t="str">
        <f t="shared" si="61"/>
        <v>e-methane liquefied (PS)Middle EastTotal cost</v>
      </c>
      <c r="H692" s="490">
        <v>2673.0313736445746</v>
      </c>
      <c r="I692" s="490">
        <v>2565.0222709433956</v>
      </c>
      <c r="J692" s="490">
        <v>2455.4134395660612</v>
      </c>
      <c r="K692" s="490">
        <v>2380.4712593482377</v>
      </c>
      <c r="L692" s="490">
        <v>2302.948010049302</v>
      </c>
      <c r="M692" s="490">
        <v>2222.8727742080878</v>
      </c>
      <c r="N692" s="490">
        <v>2140.2746343634731</v>
      </c>
      <c r="O692" s="490">
        <v>2055.1826730542448</v>
      </c>
      <c r="P692" s="490">
        <v>2023.6391537878169</v>
      </c>
      <c r="Q692" s="490">
        <v>1988.2553285460945</v>
      </c>
      <c r="R692" s="490">
        <v>1949.0509847264152</v>
      </c>
      <c r="S692" s="490">
        <v>1906.0459097261241</v>
      </c>
      <c r="T692" s="490">
        <v>1859.2598909426169</v>
      </c>
      <c r="U692" s="490">
        <v>1821.8247657343909</v>
      </c>
      <c r="V692" s="490">
        <v>1781.7622037038334</v>
      </c>
      <c r="W692" s="490">
        <v>1739.0790827689505</v>
      </c>
      <c r="X692" s="490">
        <v>1693.7822808476274</v>
      </c>
      <c r="Y692" s="490">
        <v>1645.8786758578347</v>
      </c>
      <c r="Z692" s="490">
        <v>1591.9488290150121</v>
      </c>
      <c r="AA692" s="490">
        <v>1536.7840291042537</v>
      </c>
      <c r="AB692" s="490">
        <v>1480.379146678443</v>
      </c>
      <c r="AC692" s="490">
        <v>1422.7290522904102</v>
      </c>
      <c r="AD692" s="490">
        <v>1363.8286164930205</v>
      </c>
      <c r="AE692" s="490">
        <v>1315.4985142826952</v>
      </c>
      <c r="AF692" s="490">
        <v>1266.5326946614264</v>
      </c>
      <c r="AG692" s="490">
        <v>1216.9280754447288</v>
      </c>
      <c r="AH692" s="490">
        <v>1166.6815744481237</v>
      </c>
      <c r="AI692" s="490">
        <v>1115.7901094871324</v>
      </c>
    </row>
    <row r="693" spans="2:35" ht="15" outlineLevel="1">
      <c r="B693" t="str">
        <f t="shared" si="62"/>
        <v/>
      </c>
      <c r="C693" s="22"/>
      <c r="G693" s="487" t="str">
        <f t="shared" si="61"/>
        <v/>
      </c>
    </row>
    <row r="694" spans="2:35" ht="15" outlineLevel="1">
      <c r="B694" t="str">
        <f t="shared" si="62"/>
        <v>e-methane liquefied (PS) - CAPEX including feedstock CAPEX - Global - USD/ton fuel</v>
      </c>
      <c r="C694" s="491" t="str">
        <f>C687</f>
        <v>e-methane liquefied (PS)</v>
      </c>
      <c r="D694" s="491" t="s">
        <v>1363</v>
      </c>
      <c r="E694" s="491" t="s">
        <v>708</v>
      </c>
      <c r="F694" s="491" t="s">
        <v>1353</v>
      </c>
      <c r="G694" s="487" t="str">
        <f t="shared" si="61"/>
        <v>e-methane liquefied (PS)GlobalCAPEX including feedstock CAPEX</v>
      </c>
      <c r="H694" s="492">
        <v>349.85493109792424</v>
      </c>
      <c r="I694" s="492">
        <v>338.24938012058067</v>
      </c>
      <c r="J694" s="492">
        <v>326.51902587518907</v>
      </c>
      <c r="K694" s="492">
        <v>318.20046204451899</v>
      </c>
      <c r="L694" s="492">
        <v>309.6500415908281</v>
      </c>
      <c r="M694" s="492">
        <v>300.86776451411879</v>
      </c>
      <c r="N694" s="492">
        <v>291.85363081439186</v>
      </c>
      <c r="O694" s="492">
        <v>282.60764049164396</v>
      </c>
      <c r="P694" s="492">
        <v>282.36546438888183</v>
      </c>
      <c r="Q694" s="492">
        <v>281.5825748204947</v>
      </c>
      <c r="R694" s="492">
        <v>280.25897178648125</v>
      </c>
      <c r="S694" s="492">
        <v>278.394655286839</v>
      </c>
      <c r="T694" s="492">
        <v>275.9896253215723</v>
      </c>
      <c r="U694" s="492">
        <v>272.71361663314917</v>
      </c>
      <c r="V694" s="492">
        <v>268.99133135082718</v>
      </c>
      <c r="W694" s="492">
        <v>264.82276947461082</v>
      </c>
      <c r="X694" s="492">
        <v>260.20793100449578</v>
      </c>
      <c r="Y694" s="492">
        <v>255.14681594048039</v>
      </c>
      <c r="Z694" s="492">
        <v>248.88595925623468</v>
      </c>
      <c r="AA694" s="492">
        <v>242.28836198562576</v>
      </c>
      <c r="AB694" s="492">
        <v>235.35402412865704</v>
      </c>
      <c r="AC694" s="492">
        <v>228.08294568532622</v>
      </c>
      <c r="AD694" s="492">
        <v>220.47512665563261</v>
      </c>
      <c r="AE694" s="492">
        <v>212.47502878696292</v>
      </c>
      <c r="AF694" s="492">
        <v>204.26430128143301</v>
      </c>
      <c r="AG694" s="492">
        <v>195.84294413904303</v>
      </c>
      <c r="AH694" s="492">
        <v>187.21095735979281</v>
      </c>
      <c r="AI694" s="492">
        <v>178.36834094368251</v>
      </c>
    </row>
    <row r="695" spans="2:35" outlineLevel="1">
      <c r="B695" t="str">
        <f t="shared" si="62"/>
        <v>e-methane liquefied (PS) - CAPEX - Global - USD/ton fuel</v>
      </c>
      <c r="C695" t="str">
        <f>C687</f>
        <v>e-methane liquefied (PS)</v>
      </c>
      <c r="D695" t="s">
        <v>446</v>
      </c>
      <c r="E695" t="s">
        <v>708</v>
      </c>
      <c r="F695" t="s">
        <v>1353</v>
      </c>
      <c r="G695" s="487" t="str">
        <f t="shared" si="61"/>
        <v>e-methane liquefied (PS)GlobalCAPEX</v>
      </c>
      <c r="H695" s="493">
        <v>75.715087666188268</v>
      </c>
      <c r="I695" s="493">
        <v>75.35754383309407</v>
      </c>
      <c r="J695" s="493">
        <v>75</v>
      </c>
      <c r="K695" s="493">
        <v>74.650780257917603</v>
      </c>
      <c r="L695" s="493">
        <v>74.301560515835206</v>
      </c>
      <c r="M695" s="493">
        <v>73.952340773752809</v>
      </c>
      <c r="N695" s="493">
        <v>73.603121031670398</v>
      </c>
      <c r="O695" s="493">
        <v>73.253901289588001</v>
      </c>
      <c r="P695" s="493">
        <v>72.912811842723016</v>
      </c>
      <c r="Q695" s="493">
        <v>72.571722395857918</v>
      </c>
      <c r="R695" s="493">
        <v>72.230632948992934</v>
      </c>
      <c r="S695" s="493">
        <v>71.889543502127836</v>
      </c>
      <c r="T695" s="493">
        <v>71.548454055262724</v>
      </c>
      <c r="U695" s="493">
        <v>71.215305619641853</v>
      </c>
      <c r="V695" s="493">
        <v>70.882157184020855</v>
      </c>
      <c r="W695" s="493">
        <v>70.549008748399871</v>
      </c>
      <c r="X695" s="493">
        <v>70.215860312778872</v>
      </c>
      <c r="Y695" s="493">
        <v>69.882711877158002</v>
      </c>
      <c r="Z695" s="493">
        <v>69.557319575587826</v>
      </c>
      <c r="AA695" s="493">
        <v>69.231927274017778</v>
      </c>
      <c r="AB695" s="493">
        <v>68.906534972447602</v>
      </c>
      <c r="AC695" s="493">
        <v>68.581142670877426</v>
      </c>
      <c r="AD695" s="493">
        <v>68.25575036930725</v>
      </c>
      <c r="AE695" s="493">
        <v>67.937933628779135</v>
      </c>
      <c r="AF695" s="493">
        <v>67.620116888251019</v>
      </c>
      <c r="AG695" s="493">
        <v>67.302300147722903</v>
      </c>
      <c r="AH695" s="493">
        <v>66.984483407194787</v>
      </c>
      <c r="AI695" s="493">
        <v>66.666666666666671</v>
      </c>
    </row>
    <row r="696" spans="2:35" outlineLevel="1">
      <c r="B696" t="str">
        <f t="shared" si="62"/>
        <v>e-methane (PS) - CAPEX including feedstock CAPEX - Global - USD/ton fuel</v>
      </c>
      <c r="C696" t="s">
        <v>1392</v>
      </c>
      <c r="D696" t="s">
        <v>1363</v>
      </c>
      <c r="E696" t="s">
        <v>708</v>
      </c>
      <c r="F696" t="s">
        <v>1353</v>
      </c>
      <c r="G696" s="487" t="str">
        <f t="shared" si="61"/>
        <v>e-methane (PS)GlobalCAPEX including feedstock CAPEX</v>
      </c>
      <c r="H696" s="507">
        <v>274.13984343173598</v>
      </c>
      <c r="I696" s="507">
        <v>262.89183628748663</v>
      </c>
      <c r="J696" s="507">
        <v>251.51902587518907</v>
      </c>
      <c r="K696" s="507">
        <v>243.54968178660141</v>
      </c>
      <c r="L696" s="507">
        <v>235.34848107499292</v>
      </c>
      <c r="M696" s="507">
        <v>226.91542374036598</v>
      </c>
      <c r="N696" s="507">
        <v>218.25050978272148</v>
      </c>
      <c r="O696" s="507">
        <v>209.35373920205598</v>
      </c>
      <c r="P696" s="507">
        <v>209.45265254615884</v>
      </c>
      <c r="Q696" s="507">
        <v>209.01085242463677</v>
      </c>
      <c r="R696" s="507">
        <v>208.02833883748832</v>
      </c>
      <c r="S696" s="507">
        <v>206.50511178471118</v>
      </c>
      <c r="T696" s="507">
        <v>204.4411712663096</v>
      </c>
      <c r="U696" s="507">
        <v>201.49831101350733</v>
      </c>
      <c r="V696" s="507">
        <v>198.10917416680633</v>
      </c>
      <c r="W696" s="507">
        <v>194.27376072621095</v>
      </c>
      <c r="X696" s="507">
        <v>189.99207069171689</v>
      </c>
      <c r="Y696" s="507">
        <v>185.26410406332238</v>
      </c>
      <c r="Z696" s="507">
        <v>179.32863968064686</v>
      </c>
      <c r="AA696" s="507">
        <v>173.05643471160798</v>
      </c>
      <c r="AB696" s="507">
        <v>166.44748915620943</v>
      </c>
      <c r="AC696" s="507">
        <v>159.5018030144488</v>
      </c>
      <c r="AD696" s="507">
        <v>152.21937628632534</v>
      </c>
      <c r="AE696" s="507">
        <v>144.53709515818377</v>
      </c>
      <c r="AF696" s="507">
        <v>136.644184393182</v>
      </c>
      <c r="AG696" s="507">
        <v>128.54064399132011</v>
      </c>
      <c r="AH696" s="507">
        <v>120.22647395259801</v>
      </c>
      <c r="AI696" s="507">
        <v>111.70167427701584</v>
      </c>
    </row>
    <row r="697" spans="2:35" outlineLevel="1">
      <c r="B697" t="str">
        <f t="shared" si="62"/>
        <v/>
      </c>
      <c r="G697" s="487" t="str">
        <f t="shared" si="61"/>
        <v/>
      </c>
      <c r="H697" s="493"/>
      <c r="I697" s="493"/>
      <c r="J697" s="493"/>
      <c r="K697" s="493"/>
      <c r="L697" s="493"/>
      <c r="M697" s="493"/>
      <c r="N697" s="493"/>
      <c r="O697" s="493"/>
      <c r="P697" s="493"/>
      <c r="Q697" s="493"/>
      <c r="R697" s="493"/>
      <c r="S697" s="493"/>
      <c r="T697" s="493"/>
      <c r="U697" s="493"/>
      <c r="V697" s="493"/>
      <c r="W697" s="493"/>
      <c r="X697" s="493"/>
      <c r="Y697" s="493"/>
      <c r="Z697" s="493"/>
      <c r="AA697" s="493"/>
      <c r="AB697" s="493"/>
      <c r="AC697" s="493"/>
      <c r="AD697" s="493"/>
      <c r="AE697" s="493"/>
      <c r="AF697" s="493"/>
      <c r="AG697" s="493"/>
      <c r="AH697" s="493"/>
      <c r="AI697" s="493"/>
    </row>
    <row r="698" spans="2:35" ht="15" outlineLevel="1">
      <c r="B698" t="str">
        <f t="shared" si="62"/>
        <v>e-methane liquefied (PS) - OPEX including feedstock OPEX - Global - USD/ton fuel</v>
      </c>
      <c r="C698" s="491" t="str">
        <f>C687</f>
        <v>e-methane liquefied (PS)</v>
      </c>
      <c r="D698" s="491" t="s">
        <v>1364</v>
      </c>
      <c r="E698" s="491" t="s">
        <v>708</v>
      </c>
      <c r="F698" s="491" t="s">
        <v>1353</v>
      </c>
      <c r="G698" s="487" t="str">
        <f t="shared" si="61"/>
        <v>e-methane liquefied (PS)GlobalOPEX including feedstock OPEX</v>
      </c>
      <c r="H698" s="492">
        <v>654.30495449488774</v>
      </c>
      <c r="I698" s="492">
        <v>626.01366881343711</v>
      </c>
      <c r="J698" s="492">
        <v>596.53207762556622</v>
      </c>
      <c r="K698" s="492">
        <v>577.01397590460112</v>
      </c>
      <c r="L698" s="492">
        <v>555.69605665774191</v>
      </c>
      <c r="M698" s="492">
        <v>532.57831988498629</v>
      </c>
      <c r="N698" s="492">
        <v>507.6607655863541</v>
      </c>
      <c r="O698" s="492">
        <v>480.94339376182506</v>
      </c>
      <c r="P698" s="492">
        <v>476.84124369440019</v>
      </c>
      <c r="Q698" s="492">
        <v>470.2995779718056</v>
      </c>
      <c r="R698" s="492">
        <v>461.31839659404523</v>
      </c>
      <c r="S698" s="492">
        <v>449.89769956110717</v>
      </c>
      <c r="T698" s="492">
        <v>436.03748687299992</v>
      </c>
      <c r="U698" s="492">
        <v>423.19522660584778</v>
      </c>
      <c r="V698" s="492">
        <v>408.88495449275354</v>
      </c>
      <c r="W698" s="492">
        <v>393.1066705337293</v>
      </c>
      <c r="X698" s="492">
        <v>375.8603747287558</v>
      </c>
      <c r="Y698" s="492">
        <v>357.14606707784282</v>
      </c>
      <c r="Z698" s="492">
        <v>340.12269393069164</v>
      </c>
      <c r="AA698" s="492">
        <v>322.37086940881204</v>
      </c>
      <c r="AB698" s="492">
        <v>303.89059351221647</v>
      </c>
      <c r="AC698" s="492">
        <v>284.68186624089219</v>
      </c>
      <c r="AD698" s="492">
        <v>264.74468759484927</v>
      </c>
      <c r="AE698" s="492">
        <v>248.48466951578379</v>
      </c>
      <c r="AF698" s="492">
        <v>231.94443829210849</v>
      </c>
      <c r="AG698" s="492">
        <v>215.12399392382383</v>
      </c>
      <c r="AH698" s="492">
        <v>198.02333641092952</v>
      </c>
      <c r="AI698" s="492">
        <v>180.64246575342565</v>
      </c>
    </row>
    <row r="699" spans="2:35" outlineLevel="1">
      <c r="B699" t="str">
        <f t="shared" si="62"/>
        <v>e-methane liquefied (PS) - OPEX - Global - USD/ton fuel</v>
      </c>
      <c r="C699" t="str">
        <f>C687</f>
        <v>e-methane liquefied (PS)</v>
      </c>
      <c r="D699" t="s">
        <v>450</v>
      </c>
      <c r="E699" t="s">
        <v>708</v>
      </c>
      <c r="F699" t="s">
        <v>1353</v>
      </c>
      <c r="G699" s="487" t="str">
        <f t="shared" si="61"/>
        <v>e-methane liquefied (PS)GlobalOPEX</v>
      </c>
      <c r="H699" s="493">
        <v>0</v>
      </c>
      <c r="I699" s="493">
        <v>0</v>
      </c>
      <c r="J699" s="493">
        <v>0</v>
      </c>
      <c r="K699" s="493">
        <v>0</v>
      </c>
      <c r="L699" s="493">
        <v>0</v>
      </c>
      <c r="M699" s="493">
        <v>0</v>
      </c>
      <c r="N699" s="493">
        <v>0</v>
      </c>
      <c r="O699" s="493">
        <v>0</v>
      </c>
      <c r="P699" s="493">
        <v>0</v>
      </c>
      <c r="Q699" s="493">
        <v>0</v>
      </c>
      <c r="R699" s="493">
        <v>0</v>
      </c>
      <c r="S699" s="493">
        <v>0</v>
      </c>
      <c r="T699" s="493">
        <v>0</v>
      </c>
      <c r="U699" s="493">
        <v>0</v>
      </c>
      <c r="V699" s="493">
        <v>0</v>
      </c>
      <c r="W699" s="493">
        <v>0</v>
      </c>
      <c r="X699" s="493">
        <v>0</v>
      </c>
      <c r="Y699" s="493">
        <v>0</v>
      </c>
      <c r="Z699" s="493">
        <v>0</v>
      </c>
      <c r="AA699" s="493">
        <v>0</v>
      </c>
      <c r="AB699" s="493">
        <v>0</v>
      </c>
      <c r="AC699" s="493">
        <v>0</v>
      </c>
      <c r="AD699" s="493">
        <v>0</v>
      </c>
      <c r="AE699" s="493">
        <v>0</v>
      </c>
      <c r="AF699" s="493">
        <v>0</v>
      </c>
      <c r="AG699" s="493">
        <v>0</v>
      </c>
      <c r="AH699" s="493">
        <v>0</v>
      </c>
      <c r="AI699" s="493">
        <v>0</v>
      </c>
    </row>
    <row r="700" spans="2:35" outlineLevel="1">
      <c r="B700" t="str">
        <f t="shared" si="62"/>
        <v>e-methane (PS) - OPEX including feedstock OPEX - Global - USD/ton fuel</v>
      </c>
      <c r="C700" t="s">
        <v>1392</v>
      </c>
      <c r="D700" t="s">
        <v>1364</v>
      </c>
      <c r="E700" t="s">
        <v>708</v>
      </c>
      <c r="F700" t="s">
        <v>1353</v>
      </c>
      <c r="G700" s="487" t="str">
        <f t="shared" si="61"/>
        <v>e-methane (PS)GlobalOPEX including feedstock OPEX</v>
      </c>
      <c r="H700" s="507">
        <v>654.30495449488774</v>
      </c>
      <c r="I700" s="507">
        <v>626.01366881343711</v>
      </c>
      <c r="J700" s="507">
        <v>596.53207762556622</v>
      </c>
      <c r="K700" s="507">
        <v>577.01397590460112</v>
      </c>
      <c r="L700" s="507">
        <v>555.69605665774191</v>
      </c>
      <c r="M700" s="507">
        <v>532.57831988498629</v>
      </c>
      <c r="N700" s="507">
        <v>507.6607655863541</v>
      </c>
      <c r="O700" s="507">
        <v>480.94339376182506</v>
      </c>
      <c r="P700" s="507">
        <v>476.84124369440019</v>
      </c>
      <c r="Q700" s="507">
        <v>470.2995779718056</v>
      </c>
      <c r="R700" s="507">
        <v>461.31839659404523</v>
      </c>
      <c r="S700" s="507">
        <v>449.89769956110717</v>
      </c>
      <c r="T700" s="507">
        <v>436.03748687299992</v>
      </c>
      <c r="U700" s="507">
        <v>423.19522660584778</v>
      </c>
      <c r="V700" s="507">
        <v>408.88495449275354</v>
      </c>
      <c r="W700" s="507">
        <v>393.1066705337293</v>
      </c>
      <c r="X700" s="507">
        <v>375.8603747287558</v>
      </c>
      <c r="Y700" s="507">
        <v>357.14606707784282</v>
      </c>
      <c r="Z700" s="507">
        <v>340.12269393069164</v>
      </c>
      <c r="AA700" s="507">
        <v>322.37086940881204</v>
      </c>
      <c r="AB700" s="507">
        <v>303.89059351221647</v>
      </c>
      <c r="AC700" s="507">
        <v>284.68186624089219</v>
      </c>
      <c r="AD700" s="507">
        <v>264.74468759484927</v>
      </c>
      <c r="AE700" s="507">
        <v>248.48466951578379</v>
      </c>
      <c r="AF700" s="507">
        <v>231.94443829210849</v>
      </c>
      <c r="AG700" s="507">
        <v>215.12399392382383</v>
      </c>
      <c r="AH700" s="507">
        <v>198.02333641092952</v>
      </c>
      <c r="AI700" s="507">
        <v>180.64246575342565</v>
      </c>
    </row>
    <row r="701" spans="2:35" outlineLevel="1">
      <c r="B701" t="str">
        <f t="shared" si="62"/>
        <v/>
      </c>
      <c r="G701" s="487" t="str">
        <f t="shared" si="61"/>
        <v/>
      </c>
      <c r="H701" s="493"/>
      <c r="I701" s="493"/>
      <c r="J701" s="493"/>
      <c r="K701" s="493"/>
      <c r="L701" s="493"/>
      <c r="M701" s="493"/>
      <c r="N701" s="493"/>
      <c r="O701" s="493"/>
      <c r="P701" s="493"/>
      <c r="Q701" s="493"/>
      <c r="R701" s="493"/>
      <c r="S701" s="493"/>
      <c r="T701" s="493"/>
      <c r="U701" s="493"/>
      <c r="V701" s="493"/>
      <c r="W701" s="493"/>
      <c r="X701" s="493"/>
      <c r="Y701" s="493"/>
      <c r="Z701" s="493"/>
      <c r="AA701" s="493"/>
      <c r="AB701" s="493"/>
      <c r="AC701" s="493"/>
      <c r="AD701" s="493"/>
      <c r="AE701" s="493"/>
      <c r="AF701" s="493"/>
      <c r="AG701" s="493"/>
      <c r="AH701" s="493"/>
      <c r="AI701" s="493"/>
    </row>
    <row r="702" spans="2:35" ht="15" outlineLevel="1">
      <c r="B702" t="str">
        <f t="shared" si="62"/>
        <v>e-methane liquefied (PS) - Finance cost including feedstock finance cost - Africa - USD/ton fuel</v>
      </c>
      <c r="C702" s="494" t="str">
        <f>C691</f>
        <v>e-methane liquefied (PS)</v>
      </c>
      <c r="D702" s="494" t="s">
        <v>1365</v>
      </c>
      <c r="E702" s="494" t="s">
        <v>838</v>
      </c>
      <c r="F702" s="494" t="s">
        <v>1353</v>
      </c>
      <c r="G702" s="487" t="str">
        <f t="shared" si="61"/>
        <v>e-methane liquefied (PS)AfricaFinance cost including feedstock finance cost</v>
      </c>
      <c r="H702" s="495">
        <v>577.26063631157501</v>
      </c>
      <c r="I702" s="495">
        <v>558.11147719895814</v>
      </c>
      <c r="J702" s="495">
        <v>538.75639269406201</v>
      </c>
      <c r="K702" s="495">
        <v>525.03076237345635</v>
      </c>
      <c r="L702" s="495">
        <v>510.92256862486647</v>
      </c>
      <c r="M702" s="495">
        <v>496.43181144829612</v>
      </c>
      <c r="N702" s="495">
        <v>481.5584908437466</v>
      </c>
      <c r="O702" s="495">
        <v>466.30260681121263</v>
      </c>
      <c r="P702" s="495">
        <v>465.90301624165517</v>
      </c>
      <c r="Q702" s="495">
        <v>464.61124845381619</v>
      </c>
      <c r="R702" s="495">
        <v>462.42730344769416</v>
      </c>
      <c r="S702" s="495">
        <v>459.35118122328441</v>
      </c>
      <c r="T702" s="495">
        <v>455.38288178059429</v>
      </c>
      <c r="U702" s="495">
        <v>449.97746744469623</v>
      </c>
      <c r="V702" s="495">
        <v>443.83569672886489</v>
      </c>
      <c r="W702" s="495">
        <v>436.95756963310794</v>
      </c>
      <c r="X702" s="495">
        <v>429.34308615741804</v>
      </c>
      <c r="Y702" s="495">
        <v>420.99224630179265</v>
      </c>
      <c r="Z702" s="495">
        <v>410.66183277278725</v>
      </c>
      <c r="AA702" s="495">
        <v>399.77579727628256</v>
      </c>
      <c r="AB702" s="495">
        <v>388.33413981228415</v>
      </c>
      <c r="AC702" s="495">
        <v>376.33686038078838</v>
      </c>
      <c r="AD702" s="495">
        <v>363.78395898179383</v>
      </c>
      <c r="AE702" s="495">
        <v>350.58379749848882</v>
      </c>
      <c r="AF702" s="495">
        <v>337.03609711436451</v>
      </c>
      <c r="AG702" s="495">
        <v>323.14085782942095</v>
      </c>
      <c r="AH702" s="495">
        <v>308.89807964365815</v>
      </c>
      <c r="AI702" s="495">
        <v>294.30776255707616</v>
      </c>
    </row>
    <row r="703" spans="2:35" ht="15" outlineLevel="1">
      <c r="B703" t="str">
        <f t="shared" si="62"/>
        <v>e-methane liquefied (PS) - Finance cost including feedstock finance cost - Americas - USD/ton fuel</v>
      </c>
      <c r="C703" s="22" t="str">
        <f>C691</f>
        <v>e-methane liquefied (PS)</v>
      </c>
      <c r="D703" s="22" t="s">
        <v>1365</v>
      </c>
      <c r="E703" s="22" t="s">
        <v>731</v>
      </c>
      <c r="F703" s="22" t="s">
        <v>1353</v>
      </c>
      <c r="G703" s="487" t="str">
        <f t="shared" si="61"/>
        <v>e-methane liquefied (PS)AmericasFinance cost including feedstock finance cost</v>
      </c>
      <c r="H703" s="496">
        <v>577.26063631157501</v>
      </c>
      <c r="I703" s="496">
        <v>558.11147719895814</v>
      </c>
      <c r="J703" s="496">
        <v>538.75639269406201</v>
      </c>
      <c r="K703" s="496">
        <v>525.03076237345635</v>
      </c>
      <c r="L703" s="496">
        <v>510.92256862486647</v>
      </c>
      <c r="M703" s="496">
        <v>496.43181144829612</v>
      </c>
      <c r="N703" s="496">
        <v>481.5584908437466</v>
      </c>
      <c r="O703" s="496">
        <v>466.30260681121263</v>
      </c>
      <c r="P703" s="496">
        <v>465.90301624165517</v>
      </c>
      <c r="Q703" s="496">
        <v>464.61124845381619</v>
      </c>
      <c r="R703" s="496">
        <v>462.42730344769416</v>
      </c>
      <c r="S703" s="496">
        <v>459.35118122328441</v>
      </c>
      <c r="T703" s="496">
        <v>455.38288178059429</v>
      </c>
      <c r="U703" s="496">
        <v>449.97746744469623</v>
      </c>
      <c r="V703" s="496">
        <v>443.83569672886489</v>
      </c>
      <c r="W703" s="496">
        <v>436.95756963310794</v>
      </c>
      <c r="X703" s="496">
        <v>429.34308615741804</v>
      </c>
      <c r="Y703" s="496">
        <v>420.99224630179265</v>
      </c>
      <c r="Z703" s="496">
        <v>410.66183277278725</v>
      </c>
      <c r="AA703" s="496">
        <v>399.77579727628256</v>
      </c>
      <c r="AB703" s="496">
        <v>388.33413981228415</v>
      </c>
      <c r="AC703" s="496">
        <v>376.33686038078838</v>
      </c>
      <c r="AD703" s="496">
        <v>363.78395898179383</v>
      </c>
      <c r="AE703" s="496">
        <v>350.58379749848882</v>
      </c>
      <c r="AF703" s="496">
        <v>337.03609711436451</v>
      </c>
      <c r="AG703" s="496">
        <v>323.14085782942095</v>
      </c>
      <c r="AH703" s="496">
        <v>308.89807964365815</v>
      </c>
      <c r="AI703" s="496">
        <v>294.30776255707616</v>
      </c>
    </row>
    <row r="704" spans="2:35" ht="15" outlineLevel="1">
      <c r="B704" t="str">
        <f t="shared" si="62"/>
        <v>e-methane liquefied (PS) - Finance cost including feedstock finance cost - Asia - USD/ton fuel</v>
      </c>
      <c r="C704" s="22" t="str">
        <f>C691</f>
        <v>e-methane liquefied (PS)</v>
      </c>
      <c r="D704" s="22" t="s">
        <v>1365</v>
      </c>
      <c r="E704" s="22" t="s">
        <v>750</v>
      </c>
      <c r="F704" s="22" t="s">
        <v>1353</v>
      </c>
      <c r="G704" s="487" t="str">
        <f t="shared" si="61"/>
        <v>e-methane liquefied (PS)AsiaFinance cost including feedstock finance cost</v>
      </c>
      <c r="H704" s="496">
        <v>577.26063631157501</v>
      </c>
      <c r="I704" s="496">
        <v>558.11147719895814</v>
      </c>
      <c r="J704" s="496">
        <v>538.75639269406201</v>
      </c>
      <c r="K704" s="496">
        <v>525.03076237345635</v>
      </c>
      <c r="L704" s="496">
        <v>510.92256862486647</v>
      </c>
      <c r="M704" s="496">
        <v>496.43181144829612</v>
      </c>
      <c r="N704" s="496">
        <v>481.5584908437466</v>
      </c>
      <c r="O704" s="496">
        <v>466.30260681121263</v>
      </c>
      <c r="P704" s="496">
        <v>465.90301624165517</v>
      </c>
      <c r="Q704" s="496">
        <v>464.61124845381619</v>
      </c>
      <c r="R704" s="496">
        <v>462.42730344769416</v>
      </c>
      <c r="S704" s="496">
        <v>459.35118122328441</v>
      </c>
      <c r="T704" s="496">
        <v>455.38288178059429</v>
      </c>
      <c r="U704" s="496">
        <v>449.97746744469623</v>
      </c>
      <c r="V704" s="496">
        <v>443.83569672886489</v>
      </c>
      <c r="W704" s="496">
        <v>436.95756963310794</v>
      </c>
      <c r="X704" s="496">
        <v>429.34308615741804</v>
      </c>
      <c r="Y704" s="496">
        <v>420.99224630179265</v>
      </c>
      <c r="Z704" s="496">
        <v>410.66183277278725</v>
      </c>
      <c r="AA704" s="496">
        <v>399.77579727628256</v>
      </c>
      <c r="AB704" s="496">
        <v>388.33413981228415</v>
      </c>
      <c r="AC704" s="496">
        <v>376.33686038078838</v>
      </c>
      <c r="AD704" s="496">
        <v>363.78395898179383</v>
      </c>
      <c r="AE704" s="496">
        <v>350.58379749848882</v>
      </c>
      <c r="AF704" s="496">
        <v>337.03609711436451</v>
      </c>
      <c r="AG704" s="496">
        <v>323.14085782942095</v>
      </c>
      <c r="AH704" s="496">
        <v>308.89807964365815</v>
      </c>
      <c r="AI704" s="496">
        <v>294.30776255707616</v>
      </c>
    </row>
    <row r="705" spans="2:35" ht="15" outlineLevel="1">
      <c r="B705" t="str">
        <f t="shared" si="62"/>
        <v>e-methane liquefied (PS) - Finance cost including feedstock finance cost - Europe - USD/ton fuel</v>
      </c>
      <c r="C705" s="22" t="str">
        <f>C691</f>
        <v>e-methane liquefied (PS)</v>
      </c>
      <c r="D705" s="22" t="s">
        <v>1365</v>
      </c>
      <c r="E705" s="22" t="s">
        <v>720</v>
      </c>
      <c r="F705" s="22" t="s">
        <v>1353</v>
      </c>
      <c r="G705" s="487" t="str">
        <f t="shared" si="61"/>
        <v>e-methane liquefied (PS)EuropeFinance cost including feedstock finance cost</v>
      </c>
      <c r="H705" s="496">
        <v>577.26063631157501</v>
      </c>
      <c r="I705" s="496">
        <v>558.11147719895814</v>
      </c>
      <c r="J705" s="496">
        <v>538.75639269406201</v>
      </c>
      <c r="K705" s="496">
        <v>525.03076237345635</v>
      </c>
      <c r="L705" s="496">
        <v>510.92256862486647</v>
      </c>
      <c r="M705" s="496">
        <v>496.43181144829612</v>
      </c>
      <c r="N705" s="496">
        <v>481.5584908437466</v>
      </c>
      <c r="O705" s="496">
        <v>466.30260681121263</v>
      </c>
      <c r="P705" s="496">
        <v>465.90301624165517</v>
      </c>
      <c r="Q705" s="496">
        <v>464.61124845381619</v>
      </c>
      <c r="R705" s="496">
        <v>462.42730344769416</v>
      </c>
      <c r="S705" s="496">
        <v>459.35118122328441</v>
      </c>
      <c r="T705" s="496">
        <v>455.38288178059429</v>
      </c>
      <c r="U705" s="496">
        <v>449.97746744469623</v>
      </c>
      <c r="V705" s="496">
        <v>443.83569672886489</v>
      </c>
      <c r="W705" s="496">
        <v>436.95756963310794</v>
      </c>
      <c r="X705" s="496">
        <v>429.34308615741804</v>
      </c>
      <c r="Y705" s="496">
        <v>420.99224630179265</v>
      </c>
      <c r="Z705" s="496">
        <v>410.66183277278725</v>
      </c>
      <c r="AA705" s="496">
        <v>399.77579727628256</v>
      </c>
      <c r="AB705" s="496">
        <v>388.33413981228415</v>
      </c>
      <c r="AC705" s="496">
        <v>376.33686038078838</v>
      </c>
      <c r="AD705" s="496">
        <v>363.78395898179383</v>
      </c>
      <c r="AE705" s="496">
        <v>350.58379749848882</v>
      </c>
      <c r="AF705" s="496">
        <v>337.03609711436451</v>
      </c>
      <c r="AG705" s="496">
        <v>323.14085782942095</v>
      </c>
      <c r="AH705" s="496">
        <v>308.89807964365815</v>
      </c>
      <c r="AI705" s="496">
        <v>294.30776255707616</v>
      </c>
    </row>
    <row r="706" spans="2:35" ht="15" outlineLevel="1">
      <c r="B706" t="str">
        <f t="shared" si="62"/>
        <v>e-methane liquefied (PS) - Finance cost including feedstock finance cost - Middle East - USD/ton fuel</v>
      </c>
      <c r="C706" s="92" t="str">
        <f>C691</f>
        <v>e-methane liquefied (PS)</v>
      </c>
      <c r="D706" s="92" t="s">
        <v>1365</v>
      </c>
      <c r="E706" s="92" t="s">
        <v>826</v>
      </c>
      <c r="F706" s="92" t="s">
        <v>1353</v>
      </c>
      <c r="G706" s="487" t="str">
        <f t="shared" si="61"/>
        <v>e-methane liquefied (PS)Middle EastFinance cost including feedstock finance cost</v>
      </c>
      <c r="H706" s="497">
        <v>577.26063631157501</v>
      </c>
      <c r="I706" s="497">
        <v>558.11147719895814</v>
      </c>
      <c r="J706" s="497">
        <v>538.75639269406201</v>
      </c>
      <c r="K706" s="497">
        <v>525.03076237345635</v>
      </c>
      <c r="L706" s="497">
        <v>510.92256862486647</v>
      </c>
      <c r="M706" s="497">
        <v>496.43181144829612</v>
      </c>
      <c r="N706" s="497">
        <v>481.5584908437466</v>
      </c>
      <c r="O706" s="497">
        <v>466.30260681121263</v>
      </c>
      <c r="P706" s="497">
        <v>465.90301624165517</v>
      </c>
      <c r="Q706" s="497">
        <v>464.61124845381619</v>
      </c>
      <c r="R706" s="497">
        <v>462.42730344769416</v>
      </c>
      <c r="S706" s="497">
        <v>459.35118122328441</v>
      </c>
      <c r="T706" s="497">
        <v>455.38288178059429</v>
      </c>
      <c r="U706" s="497">
        <v>449.97746744469623</v>
      </c>
      <c r="V706" s="497">
        <v>443.83569672886489</v>
      </c>
      <c r="W706" s="497">
        <v>436.95756963310794</v>
      </c>
      <c r="X706" s="497">
        <v>429.34308615741804</v>
      </c>
      <c r="Y706" s="497">
        <v>420.99224630179265</v>
      </c>
      <c r="Z706" s="497">
        <v>410.66183277278725</v>
      </c>
      <c r="AA706" s="497">
        <v>399.77579727628256</v>
      </c>
      <c r="AB706" s="497">
        <v>388.33413981228415</v>
      </c>
      <c r="AC706" s="497">
        <v>376.33686038078838</v>
      </c>
      <c r="AD706" s="497">
        <v>363.78395898179383</v>
      </c>
      <c r="AE706" s="497">
        <v>350.58379749848882</v>
      </c>
      <c r="AF706" s="497">
        <v>337.03609711436451</v>
      </c>
      <c r="AG706" s="497">
        <v>323.14085782942095</v>
      </c>
      <c r="AH706" s="497">
        <v>308.89807964365815</v>
      </c>
      <c r="AI706" s="497">
        <v>294.30776255707616</v>
      </c>
    </row>
    <row r="707" spans="2:35" outlineLevel="1">
      <c r="B707" t="str">
        <f t="shared" si="62"/>
        <v>e-methane liquefied (PS) - Finance cost - Africa - USD/ton fuel</v>
      </c>
      <c r="C707" t="str">
        <f>C687</f>
        <v>e-methane liquefied (PS)</v>
      </c>
      <c r="D707" t="s">
        <v>1366</v>
      </c>
      <c r="E707" t="s">
        <v>838</v>
      </c>
      <c r="F707" t="s">
        <v>1353</v>
      </c>
      <c r="G707" s="487" t="str">
        <f t="shared" si="61"/>
        <v>e-methane liquefied (PS)AfricaFinance cost</v>
      </c>
      <c r="H707" s="493">
        <v>124.92989464921065</v>
      </c>
      <c r="I707" s="493">
        <v>124.33994732460523</v>
      </c>
      <c r="J707" s="493">
        <v>123.75000000000001</v>
      </c>
      <c r="K707" s="493">
        <v>123.17378742556406</v>
      </c>
      <c r="L707" s="493">
        <v>122.5975748511281</v>
      </c>
      <c r="M707" s="493">
        <v>122.02136227669214</v>
      </c>
      <c r="N707" s="493">
        <v>121.44514970225619</v>
      </c>
      <c r="O707" s="493">
        <v>120.86893712782023</v>
      </c>
      <c r="P707" s="493">
        <v>120.30613954049301</v>
      </c>
      <c r="Q707" s="493">
        <v>119.74334195316558</v>
      </c>
      <c r="R707" s="493">
        <v>119.18054436583836</v>
      </c>
      <c r="S707" s="493">
        <v>118.61774677851093</v>
      </c>
      <c r="T707" s="493">
        <v>118.05494919118351</v>
      </c>
      <c r="U707" s="493">
        <v>117.50525427240908</v>
      </c>
      <c r="V707" s="493">
        <v>116.95555935363443</v>
      </c>
      <c r="W707" s="493">
        <v>116.40586443485979</v>
      </c>
      <c r="X707" s="493">
        <v>115.85616951608516</v>
      </c>
      <c r="Y707" s="493">
        <v>115.30647459731071</v>
      </c>
      <c r="Z707" s="493">
        <v>114.76957729971993</v>
      </c>
      <c r="AA707" s="493">
        <v>114.23268000212934</v>
      </c>
      <c r="AB707" s="493">
        <v>113.69578270453856</v>
      </c>
      <c r="AC707" s="493">
        <v>113.15888540694777</v>
      </c>
      <c r="AD707" s="493">
        <v>112.62198810935699</v>
      </c>
      <c r="AE707" s="493">
        <v>112.09759048748559</v>
      </c>
      <c r="AF707" s="493">
        <v>111.5731928656142</v>
      </c>
      <c r="AG707" s="493">
        <v>111.0487952437428</v>
      </c>
      <c r="AH707" s="493">
        <v>110.52439762187142</v>
      </c>
      <c r="AI707" s="493">
        <v>110.00000000000001</v>
      </c>
    </row>
    <row r="708" spans="2:35" outlineLevel="1">
      <c r="B708" t="str">
        <f t="shared" si="62"/>
        <v>e-methane liquefied (PS) - Finance cost - Americas - USD/ton fuel</v>
      </c>
      <c r="C708" t="str">
        <f>C687</f>
        <v>e-methane liquefied (PS)</v>
      </c>
      <c r="D708" t="s">
        <v>1366</v>
      </c>
      <c r="E708" t="s">
        <v>731</v>
      </c>
      <c r="F708" t="s">
        <v>1353</v>
      </c>
      <c r="G708" s="487" t="str">
        <f t="shared" si="61"/>
        <v>e-methane liquefied (PS)AmericasFinance cost</v>
      </c>
      <c r="H708" s="493">
        <v>124.92989464921065</v>
      </c>
      <c r="I708" s="493">
        <v>124.33994732460523</v>
      </c>
      <c r="J708" s="493">
        <v>123.75000000000001</v>
      </c>
      <c r="K708" s="493">
        <v>123.17378742556406</v>
      </c>
      <c r="L708" s="493">
        <v>122.5975748511281</v>
      </c>
      <c r="M708" s="493">
        <v>122.02136227669214</v>
      </c>
      <c r="N708" s="493">
        <v>121.44514970225619</v>
      </c>
      <c r="O708" s="493">
        <v>120.86893712782023</v>
      </c>
      <c r="P708" s="493">
        <v>120.30613954049301</v>
      </c>
      <c r="Q708" s="493">
        <v>119.74334195316558</v>
      </c>
      <c r="R708" s="493">
        <v>119.18054436583836</v>
      </c>
      <c r="S708" s="493">
        <v>118.61774677851093</v>
      </c>
      <c r="T708" s="493">
        <v>118.05494919118351</v>
      </c>
      <c r="U708" s="493">
        <v>117.50525427240908</v>
      </c>
      <c r="V708" s="493">
        <v>116.95555935363443</v>
      </c>
      <c r="W708" s="493">
        <v>116.40586443485979</v>
      </c>
      <c r="X708" s="493">
        <v>115.85616951608516</v>
      </c>
      <c r="Y708" s="493">
        <v>115.30647459731071</v>
      </c>
      <c r="Z708" s="493">
        <v>114.76957729971993</v>
      </c>
      <c r="AA708" s="493">
        <v>114.23268000212934</v>
      </c>
      <c r="AB708" s="493">
        <v>113.69578270453856</v>
      </c>
      <c r="AC708" s="493">
        <v>113.15888540694777</v>
      </c>
      <c r="AD708" s="493">
        <v>112.62198810935699</v>
      </c>
      <c r="AE708" s="493">
        <v>112.09759048748559</v>
      </c>
      <c r="AF708" s="493">
        <v>111.5731928656142</v>
      </c>
      <c r="AG708" s="493">
        <v>111.0487952437428</v>
      </c>
      <c r="AH708" s="493">
        <v>110.52439762187142</v>
      </c>
      <c r="AI708" s="493">
        <v>110.00000000000001</v>
      </c>
    </row>
    <row r="709" spans="2:35" outlineLevel="1">
      <c r="B709" t="str">
        <f t="shared" si="62"/>
        <v>e-methane liquefied (PS) - Finance cost - Asia - USD/ton fuel</v>
      </c>
      <c r="C709" t="str">
        <f>C687</f>
        <v>e-methane liquefied (PS)</v>
      </c>
      <c r="D709" t="s">
        <v>1366</v>
      </c>
      <c r="E709" t="s">
        <v>750</v>
      </c>
      <c r="F709" t="s">
        <v>1353</v>
      </c>
      <c r="G709" s="487" t="str">
        <f t="shared" si="61"/>
        <v>e-methane liquefied (PS)AsiaFinance cost</v>
      </c>
      <c r="H709" s="493">
        <v>124.92989464921065</v>
      </c>
      <c r="I709" s="493">
        <v>124.33994732460523</v>
      </c>
      <c r="J709" s="493">
        <v>123.75000000000001</v>
      </c>
      <c r="K709" s="493">
        <v>123.17378742556406</v>
      </c>
      <c r="L709" s="493">
        <v>122.5975748511281</v>
      </c>
      <c r="M709" s="493">
        <v>122.02136227669214</v>
      </c>
      <c r="N709" s="493">
        <v>121.44514970225619</v>
      </c>
      <c r="O709" s="493">
        <v>120.86893712782023</v>
      </c>
      <c r="P709" s="493">
        <v>120.30613954049301</v>
      </c>
      <c r="Q709" s="493">
        <v>119.74334195316558</v>
      </c>
      <c r="R709" s="493">
        <v>119.18054436583836</v>
      </c>
      <c r="S709" s="493">
        <v>118.61774677851093</v>
      </c>
      <c r="T709" s="493">
        <v>118.05494919118351</v>
      </c>
      <c r="U709" s="493">
        <v>117.50525427240908</v>
      </c>
      <c r="V709" s="493">
        <v>116.95555935363443</v>
      </c>
      <c r="W709" s="493">
        <v>116.40586443485979</v>
      </c>
      <c r="X709" s="493">
        <v>115.85616951608516</v>
      </c>
      <c r="Y709" s="493">
        <v>115.30647459731071</v>
      </c>
      <c r="Z709" s="493">
        <v>114.76957729971993</v>
      </c>
      <c r="AA709" s="493">
        <v>114.23268000212934</v>
      </c>
      <c r="AB709" s="493">
        <v>113.69578270453856</v>
      </c>
      <c r="AC709" s="493">
        <v>113.15888540694777</v>
      </c>
      <c r="AD709" s="493">
        <v>112.62198810935699</v>
      </c>
      <c r="AE709" s="493">
        <v>112.09759048748559</v>
      </c>
      <c r="AF709" s="493">
        <v>111.5731928656142</v>
      </c>
      <c r="AG709" s="493">
        <v>111.0487952437428</v>
      </c>
      <c r="AH709" s="493">
        <v>110.52439762187142</v>
      </c>
      <c r="AI709" s="493">
        <v>110.00000000000001</v>
      </c>
    </row>
    <row r="710" spans="2:35" outlineLevel="1">
      <c r="B710" t="str">
        <f t="shared" si="62"/>
        <v>e-methane liquefied (PS) - Finance cost - Europe - USD/ton fuel</v>
      </c>
      <c r="C710" t="str">
        <f>C687</f>
        <v>e-methane liquefied (PS)</v>
      </c>
      <c r="D710" t="s">
        <v>1366</v>
      </c>
      <c r="E710" t="s">
        <v>720</v>
      </c>
      <c r="F710" t="s">
        <v>1353</v>
      </c>
      <c r="G710" s="487" t="str">
        <f t="shared" si="61"/>
        <v>e-methane liquefied (PS)EuropeFinance cost</v>
      </c>
      <c r="H710" s="493">
        <v>124.92989464921065</v>
      </c>
      <c r="I710" s="493">
        <v>124.33994732460523</v>
      </c>
      <c r="J710" s="493">
        <v>123.75000000000001</v>
      </c>
      <c r="K710" s="493">
        <v>123.17378742556406</v>
      </c>
      <c r="L710" s="493">
        <v>122.5975748511281</v>
      </c>
      <c r="M710" s="493">
        <v>122.02136227669214</v>
      </c>
      <c r="N710" s="493">
        <v>121.44514970225619</v>
      </c>
      <c r="O710" s="493">
        <v>120.86893712782023</v>
      </c>
      <c r="P710" s="493">
        <v>120.30613954049301</v>
      </c>
      <c r="Q710" s="493">
        <v>119.74334195316558</v>
      </c>
      <c r="R710" s="493">
        <v>119.18054436583836</v>
      </c>
      <c r="S710" s="493">
        <v>118.61774677851093</v>
      </c>
      <c r="T710" s="493">
        <v>118.05494919118351</v>
      </c>
      <c r="U710" s="493">
        <v>117.50525427240908</v>
      </c>
      <c r="V710" s="493">
        <v>116.95555935363443</v>
      </c>
      <c r="W710" s="493">
        <v>116.40586443485979</v>
      </c>
      <c r="X710" s="493">
        <v>115.85616951608516</v>
      </c>
      <c r="Y710" s="493">
        <v>115.30647459731071</v>
      </c>
      <c r="Z710" s="493">
        <v>114.76957729971993</v>
      </c>
      <c r="AA710" s="493">
        <v>114.23268000212934</v>
      </c>
      <c r="AB710" s="493">
        <v>113.69578270453856</v>
      </c>
      <c r="AC710" s="493">
        <v>113.15888540694777</v>
      </c>
      <c r="AD710" s="493">
        <v>112.62198810935699</v>
      </c>
      <c r="AE710" s="493">
        <v>112.09759048748559</v>
      </c>
      <c r="AF710" s="493">
        <v>111.5731928656142</v>
      </c>
      <c r="AG710" s="493">
        <v>111.0487952437428</v>
      </c>
      <c r="AH710" s="493">
        <v>110.52439762187142</v>
      </c>
      <c r="AI710" s="493">
        <v>110.00000000000001</v>
      </c>
    </row>
    <row r="711" spans="2:35" outlineLevel="1">
      <c r="B711" t="str">
        <f t="shared" si="62"/>
        <v>e-methane liquefied (PS) - Finance cost - Middle East - USD/ton fuel</v>
      </c>
      <c r="C711" t="str">
        <f>C687</f>
        <v>e-methane liquefied (PS)</v>
      </c>
      <c r="D711" t="s">
        <v>1366</v>
      </c>
      <c r="E711" t="s">
        <v>826</v>
      </c>
      <c r="F711" t="s">
        <v>1353</v>
      </c>
      <c r="G711" s="487" t="str">
        <f t="shared" si="61"/>
        <v>e-methane liquefied (PS)Middle EastFinance cost</v>
      </c>
      <c r="H711" s="493">
        <v>124.92989464921065</v>
      </c>
      <c r="I711" s="493">
        <v>124.33994732460523</v>
      </c>
      <c r="J711" s="493">
        <v>123.75000000000001</v>
      </c>
      <c r="K711" s="493">
        <v>123.17378742556406</v>
      </c>
      <c r="L711" s="493">
        <v>122.5975748511281</v>
      </c>
      <c r="M711" s="493">
        <v>122.02136227669214</v>
      </c>
      <c r="N711" s="493">
        <v>121.44514970225619</v>
      </c>
      <c r="O711" s="493">
        <v>120.86893712782023</v>
      </c>
      <c r="P711" s="493">
        <v>120.30613954049301</v>
      </c>
      <c r="Q711" s="493">
        <v>119.74334195316558</v>
      </c>
      <c r="R711" s="493">
        <v>119.18054436583836</v>
      </c>
      <c r="S711" s="493">
        <v>118.61774677851093</v>
      </c>
      <c r="T711" s="493">
        <v>118.05494919118351</v>
      </c>
      <c r="U711" s="493">
        <v>117.50525427240908</v>
      </c>
      <c r="V711" s="493">
        <v>116.95555935363443</v>
      </c>
      <c r="W711" s="493">
        <v>116.40586443485979</v>
      </c>
      <c r="X711" s="493">
        <v>115.85616951608516</v>
      </c>
      <c r="Y711" s="493">
        <v>115.30647459731071</v>
      </c>
      <c r="Z711" s="493">
        <v>114.76957729971993</v>
      </c>
      <c r="AA711" s="493">
        <v>114.23268000212934</v>
      </c>
      <c r="AB711" s="493">
        <v>113.69578270453856</v>
      </c>
      <c r="AC711" s="493">
        <v>113.15888540694777</v>
      </c>
      <c r="AD711" s="493">
        <v>112.62198810935699</v>
      </c>
      <c r="AE711" s="493">
        <v>112.09759048748559</v>
      </c>
      <c r="AF711" s="493">
        <v>111.5731928656142</v>
      </c>
      <c r="AG711" s="493">
        <v>111.0487952437428</v>
      </c>
      <c r="AH711" s="493">
        <v>110.52439762187142</v>
      </c>
      <c r="AI711" s="493">
        <v>110.00000000000001</v>
      </c>
    </row>
    <row r="712" spans="2:35" outlineLevel="1">
      <c r="B712" t="str">
        <f t="shared" si="62"/>
        <v>e-methane (PS) - Finance cost including feedstock finance cost - Africa - USD/ton fuel</v>
      </c>
      <c r="C712" t="s">
        <v>1392</v>
      </c>
      <c r="D712" t="s">
        <v>1365</v>
      </c>
      <c r="E712" t="s">
        <v>838</v>
      </c>
      <c r="F712" t="s">
        <v>1353</v>
      </c>
      <c r="G712" s="487" t="str">
        <f t="shared" ref="G712:G775" si="63">+C712&amp;E712&amp;D712</f>
        <v>e-methane (PS)AfricaFinance cost including feedstock finance cost</v>
      </c>
      <c r="H712" s="507">
        <v>452.3307416623644</v>
      </c>
      <c r="I712" s="507">
        <v>433.77152987435295</v>
      </c>
      <c r="J712" s="507">
        <v>415.00639269406201</v>
      </c>
      <c r="K712" s="507">
        <v>401.85697494789235</v>
      </c>
      <c r="L712" s="507">
        <v>388.32499377373836</v>
      </c>
      <c r="M712" s="507">
        <v>374.41044917160394</v>
      </c>
      <c r="N712" s="507">
        <v>360.11334114149042</v>
      </c>
      <c r="O712" s="507">
        <v>345.4336696833924</v>
      </c>
      <c r="P712" s="507">
        <v>345.59687670116216</v>
      </c>
      <c r="Q712" s="507">
        <v>344.86790650065063</v>
      </c>
      <c r="R712" s="507">
        <v>343.24675908185583</v>
      </c>
      <c r="S712" s="507">
        <v>340.73343444477348</v>
      </c>
      <c r="T712" s="507">
        <v>337.32793258941081</v>
      </c>
      <c r="U712" s="507">
        <v>332.47221317228718</v>
      </c>
      <c r="V712" s="507">
        <v>326.88013737523045</v>
      </c>
      <c r="W712" s="507">
        <v>320.55170519824816</v>
      </c>
      <c r="X712" s="507">
        <v>313.48691664133287</v>
      </c>
      <c r="Y712" s="507">
        <v>305.68577170448191</v>
      </c>
      <c r="Z712" s="507">
        <v>295.89225547306734</v>
      </c>
      <c r="AA712" s="507">
        <v>285.54311727415319</v>
      </c>
      <c r="AB712" s="507">
        <v>274.63835710774561</v>
      </c>
      <c r="AC712" s="507">
        <v>263.17797497384061</v>
      </c>
      <c r="AD712" s="507">
        <v>251.16197087243683</v>
      </c>
      <c r="AE712" s="507">
        <v>238.48620701100324</v>
      </c>
      <c r="AF712" s="507">
        <v>225.46290424875031</v>
      </c>
      <c r="AG712" s="507">
        <v>212.09206258567818</v>
      </c>
      <c r="AH712" s="507">
        <v>198.37368202178675</v>
      </c>
      <c r="AI712" s="507">
        <v>184.30776255707616</v>
      </c>
    </row>
    <row r="713" spans="2:35" outlineLevel="1">
      <c r="B713" t="str">
        <f t="shared" si="62"/>
        <v>e-methane (PS) - Finance cost including feedstock finance cost - Americas - USD/ton fuel</v>
      </c>
      <c r="C713" t="s">
        <v>1392</v>
      </c>
      <c r="D713" t="s">
        <v>1365</v>
      </c>
      <c r="E713" t="s">
        <v>731</v>
      </c>
      <c r="F713" t="s">
        <v>1353</v>
      </c>
      <c r="G713" s="487" t="str">
        <f t="shared" si="63"/>
        <v>e-methane (PS)AmericasFinance cost including feedstock finance cost</v>
      </c>
      <c r="H713" s="507">
        <v>452.3307416623644</v>
      </c>
      <c r="I713" s="507">
        <v>433.77152987435295</v>
      </c>
      <c r="J713" s="507">
        <v>415.00639269406201</v>
      </c>
      <c r="K713" s="507">
        <v>401.85697494789235</v>
      </c>
      <c r="L713" s="507">
        <v>388.32499377373836</v>
      </c>
      <c r="M713" s="507">
        <v>374.41044917160394</v>
      </c>
      <c r="N713" s="507">
        <v>360.11334114149042</v>
      </c>
      <c r="O713" s="507">
        <v>345.4336696833924</v>
      </c>
      <c r="P713" s="507">
        <v>345.59687670116216</v>
      </c>
      <c r="Q713" s="507">
        <v>344.86790650065063</v>
      </c>
      <c r="R713" s="507">
        <v>343.24675908185583</v>
      </c>
      <c r="S713" s="507">
        <v>340.73343444477348</v>
      </c>
      <c r="T713" s="507">
        <v>337.32793258941081</v>
      </c>
      <c r="U713" s="507">
        <v>332.47221317228718</v>
      </c>
      <c r="V713" s="507">
        <v>326.88013737523045</v>
      </c>
      <c r="W713" s="507">
        <v>320.55170519824816</v>
      </c>
      <c r="X713" s="507">
        <v>313.48691664133287</v>
      </c>
      <c r="Y713" s="507">
        <v>305.68577170448191</v>
      </c>
      <c r="Z713" s="507">
        <v>295.89225547306734</v>
      </c>
      <c r="AA713" s="507">
        <v>285.54311727415319</v>
      </c>
      <c r="AB713" s="507">
        <v>274.63835710774561</v>
      </c>
      <c r="AC713" s="507">
        <v>263.17797497384061</v>
      </c>
      <c r="AD713" s="507">
        <v>251.16197087243683</v>
      </c>
      <c r="AE713" s="507">
        <v>238.48620701100324</v>
      </c>
      <c r="AF713" s="507">
        <v>225.46290424875031</v>
      </c>
      <c r="AG713" s="507">
        <v>212.09206258567818</v>
      </c>
      <c r="AH713" s="507">
        <v>198.37368202178675</v>
      </c>
      <c r="AI713" s="507">
        <v>184.30776255707616</v>
      </c>
    </row>
    <row r="714" spans="2:35" outlineLevel="1">
      <c r="B714" t="str">
        <f t="shared" si="62"/>
        <v>e-methane (PS) - Finance cost including feedstock finance cost - Asia - USD/ton fuel</v>
      </c>
      <c r="C714" t="s">
        <v>1392</v>
      </c>
      <c r="D714" t="s">
        <v>1365</v>
      </c>
      <c r="E714" t="s">
        <v>750</v>
      </c>
      <c r="F714" t="s">
        <v>1353</v>
      </c>
      <c r="G714" s="487" t="str">
        <f t="shared" si="63"/>
        <v>e-methane (PS)AsiaFinance cost including feedstock finance cost</v>
      </c>
      <c r="H714" s="507">
        <v>452.3307416623644</v>
      </c>
      <c r="I714" s="507">
        <v>433.77152987435295</v>
      </c>
      <c r="J714" s="507">
        <v>415.00639269406201</v>
      </c>
      <c r="K714" s="507">
        <v>401.85697494789235</v>
      </c>
      <c r="L714" s="507">
        <v>388.32499377373836</v>
      </c>
      <c r="M714" s="507">
        <v>374.41044917160394</v>
      </c>
      <c r="N714" s="507">
        <v>360.11334114149042</v>
      </c>
      <c r="O714" s="507">
        <v>345.4336696833924</v>
      </c>
      <c r="P714" s="507">
        <v>345.59687670116216</v>
      </c>
      <c r="Q714" s="507">
        <v>344.86790650065063</v>
      </c>
      <c r="R714" s="507">
        <v>343.24675908185583</v>
      </c>
      <c r="S714" s="507">
        <v>340.73343444477348</v>
      </c>
      <c r="T714" s="507">
        <v>337.32793258941081</v>
      </c>
      <c r="U714" s="507">
        <v>332.47221317228718</v>
      </c>
      <c r="V714" s="507">
        <v>326.88013737523045</v>
      </c>
      <c r="W714" s="507">
        <v>320.55170519824816</v>
      </c>
      <c r="X714" s="507">
        <v>313.48691664133287</v>
      </c>
      <c r="Y714" s="507">
        <v>305.68577170448191</v>
      </c>
      <c r="Z714" s="507">
        <v>295.89225547306734</v>
      </c>
      <c r="AA714" s="507">
        <v>285.54311727415319</v>
      </c>
      <c r="AB714" s="507">
        <v>274.63835710774561</v>
      </c>
      <c r="AC714" s="507">
        <v>263.17797497384061</v>
      </c>
      <c r="AD714" s="507">
        <v>251.16197087243683</v>
      </c>
      <c r="AE714" s="507">
        <v>238.48620701100324</v>
      </c>
      <c r="AF714" s="507">
        <v>225.46290424875031</v>
      </c>
      <c r="AG714" s="507">
        <v>212.09206258567818</v>
      </c>
      <c r="AH714" s="507">
        <v>198.37368202178675</v>
      </c>
      <c r="AI714" s="507">
        <v>184.30776255707616</v>
      </c>
    </row>
    <row r="715" spans="2:35" outlineLevel="1">
      <c r="B715" t="str">
        <f t="shared" si="62"/>
        <v>e-methane (PS) - Finance cost including feedstock finance cost - Europe - USD/ton fuel</v>
      </c>
      <c r="C715" t="s">
        <v>1392</v>
      </c>
      <c r="D715" t="s">
        <v>1365</v>
      </c>
      <c r="E715" t="s">
        <v>720</v>
      </c>
      <c r="F715" t="s">
        <v>1353</v>
      </c>
      <c r="G715" s="487" t="str">
        <f t="shared" si="63"/>
        <v>e-methane (PS)EuropeFinance cost including feedstock finance cost</v>
      </c>
      <c r="H715" s="507">
        <v>452.3307416623644</v>
      </c>
      <c r="I715" s="507">
        <v>433.77152987435295</v>
      </c>
      <c r="J715" s="507">
        <v>415.00639269406201</v>
      </c>
      <c r="K715" s="507">
        <v>401.85697494789235</v>
      </c>
      <c r="L715" s="507">
        <v>388.32499377373836</v>
      </c>
      <c r="M715" s="507">
        <v>374.41044917160394</v>
      </c>
      <c r="N715" s="507">
        <v>360.11334114149042</v>
      </c>
      <c r="O715" s="507">
        <v>345.4336696833924</v>
      </c>
      <c r="P715" s="507">
        <v>345.59687670116216</v>
      </c>
      <c r="Q715" s="507">
        <v>344.86790650065063</v>
      </c>
      <c r="R715" s="507">
        <v>343.24675908185583</v>
      </c>
      <c r="S715" s="507">
        <v>340.73343444477348</v>
      </c>
      <c r="T715" s="507">
        <v>337.32793258941081</v>
      </c>
      <c r="U715" s="507">
        <v>332.47221317228718</v>
      </c>
      <c r="V715" s="507">
        <v>326.88013737523045</v>
      </c>
      <c r="W715" s="507">
        <v>320.55170519824816</v>
      </c>
      <c r="X715" s="507">
        <v>313.48691664133287</v>
      </c>
      <c r="Y715" s="507">
        <v>305.68577170448191</v>
      </c>
      <c r="Z715" s="507">
        <v>295.89225547306734</v>
      </c>
      <c r="AA715" s="507">
        <v>285.54311727415319</v>
      </c>
      <c r="AB715" s="507">
        <v>274.63835710774561</v>
      </c>
      <c r="AC715" s="507">
        <v>263.17797497384061</v>
      </c>
      <c r="AD715" s="507">
        <v>251.16197087243683</v>
      </c>
      <c r="AE715" s="507">
        <v>238.48620701100324</v>
      </c>
      <c r="AF715" s="507">
        <v>225.46290424875031</v>
      </c>
      <c r="AG715" s="507">
        <v>212.09206258567818</v>
      </c>
      <c r="AH715" s="507">
        <v>198.37368202178675</v>
      </c>
      <c r="AI715" s="507">
        <v>184.30776255707616</v>
      </c>
    </row>
    <row r="716" spans="2:35" outlineLevel="1">
      <c r="B716" t="str">
        <f t="shared" si="62"/>
        <v>e-methane (PS) - Finance cost including feedstock finance cost - Middle East - USD/ton fuel</v>
      </c>
      <c r="C716" t="s">
        <v>1392</v>
      </c>
      <c r="D716" t="s">
        <v>1365</v>
      </c>
      <c r="E716" t="s">
        <v>826</v>
      </c>
      <c r="F716" t="s">
        <v>1353</v>
      </c>
      <c r="G716" s="487" t="str">
        <f t="shared" si="63"/>
        <v>e-methane (PS)Middle EastFinance cost including feedstock finance cost</v>
      </c>
      <c r="H716" s="507">
        <v>452.3307416623644</v>
      </c>
      <c r="I716" s="507">
        <v>433.77152987435295</v>
      </c>
      <c r="J716" s="507">
        <v>415.00639269406201</v>
      </c>
      <c r="K716" s="507">
        <v>401.85697494789235</v>
      </c>
      <c r="L716" s="507">
        <v>388.32499377373836</v>
      </c>
      <c r="M716" s="507">
        <v>374.41044917160394</v>
      </c>
      <c r="N716" s="507">
        <v>360.11334114149042</v>
      </c>
      <c r="O716" s="507">
        <v>345.4336696833924</v>
      </c>
      <c r="P716" s="507">
        <v>345.59687670116216</v>
      </c>
      <c r="Q716" s="507">
        <v>344.86790650065063</v>
      </c>
      <c r="R716" s="507">
        <v>343.24675908185583</v>
      </c>
      <c r="S716" s="507">
        <v>340.73343444477348</v>
      </c>
      <c r="T716" s="507">
        <v>337.32793258941081</v>
      </c>
      <c r="U716" s="507">
        <v>332.47221317228718</v>
      </c>
      <c r="V716" s="507">
        <v>326.88013737523045</v>
      </c>
      <c r="W716" s="507">
        <v>320.55170519824816</v>
      </c>
      <c r="X716" s="507">
        <v>313.48691664133287</v>
      </c>
      <c r="Y716" s="507">
        <v>305.68577170448191</v>
      </c>
      <c r="Z716" s="507">
        <v>295.89225547306734</v>
      </c>
      <c r="AA716" s="507">
        <v>285.54311727415319</v>
      </c>
      <c r="AB716" s="507">
        <v>274.63835710774561</v>
      </c>
      <c r="AC716" s="507">
        <v>263.17797497384061</v>
      </c>
      <c r="AD716" s="507">
        <v>251.16197087243683</v>
      </c>
      <c r="AE716" s="507">
        <v>238.48620701100324</v>
      </c>
      <c r="AF716" s="507">
        <v>225.46290424875031</v>
      </c>
      <c r="AG716" s="507">
        <v>212.09206258567818</v>
      </c>
      <c r="AH716" s="507">
        <v>198.37368202178675</v>
      </c>
      <c r="AI716" s="507">
        <v>184.30776255707616</v>
      </c>
    </row>
    <row r="717" spans="2:35" ht="14.25" customHeight="1" outlineLevel="1">
      <c r="B717" t="str">
        <f t="shared" si="62"/>
        <v/>
      </c>
      <c r="G717" s="487" t="str">
        <f t="shared" si="63"/>
        <v/>
      </c>
      <c r="H717" s="498"/>
    </row>
    <row r="718" spans="2:35" ht="15" outlineLevel="1">
      <c r="B718" t="str">
        <f t="shared" si="62"/>
        <v>e-methane liquefied (PS) - Energy cost including feedstock energy cost - Africa - USD/ton fuel</v>
      </c>
      <c r="C718" s="494" t="str">
        <f>C687</f>
        <v>e-methane liquefied (PS)</v>
      </c>
      <c r="D718" s="494" t="s">
        <v>1367</v>
      </c>
      <c r="E718" s="494" t="s">
        <v>838</v>
      </c>
      <c r="F718" s="494" t="s">
        <v>1353</v>
      </c>
      <c r="G718" s="487" t="str">
        <f t="shared" si="63"/>
        <v>e-methane liquefied (PS)AfricaEnergy cost including feedstock energy cost</v>
      </c>
      <c r="H718" s="495">
        <v>1711.0824912392336</v>
      </c>
      <c r="I718" s="495">
        <v>1508.5673710186529</v>
      </c>
      <c r="J718" s="495">
        <v>1306.2375178339889</v>
      </c>
      <c r="K718" s="495">
        <v>1248.0548691436252</v>
      </c>
      <c r="L718" s="495">
        <v>1189.7115781025707</v>
      </c>
      <c r="M718" s="495">
        <v>1131.2590381317548</v>
      </c>
      <c r="N718" s="495">
        <v>1072.7486426521286</v>
      </c>
      <c r="O718" s="495">
        <v>1014.2317850846333</v>
      </c>
      <c r="P718" s="495">
        <v>977.52500177884497</v>
      </c>
      <c r="Q718" s="495">
        <v>940.90233536258631</v>
      </c>
      <c r="R718" s="495">
        <v>904.39146765408225</v>
      </c>
      <c r="S718" s="495">
        <v>868.02008047160086</v>
      </c>
      <c r="T718" s="495">
        <v>831.81585563341037</v>
      </c>
      <c r="U718" s="495">
        <v>811.44649907874964</v>
      </c>
      <c r="V718" s="495">
        <v>791.12220231926096</v>
      </c>
      <c r="W718" s="495">
        <v>770.85199803743785</v>
      </c>
      <c r="X718" s="495">
        <v>750.64491891572004</v>
      </c>
      <c r="Y718" s="495">
        <v>730.50999763659547</v>
      </c>
      <c r="Z718" s="495">
        <v>708.35110111415929</v>
      </c>
      <c r="AA718" s="495">
        <v>686.60312211883127</v>
      </c>
      <c r="AB718" s="495">
        <v>665.26077858138581</v>
      </c>
      <c r="AC718" s="495">
        <v>644.3187884325846</v>
      </c>
      <c r="AD718" s="495">
        <v>623.77186960319398</v>
      </c>
      <c r="AE718" s="495">
        <v>611.29451950852695</v>
      </c>
      <c r="AF718" s="495">
        <v>599.04904165923222</v>
      </c>
      <c r="AG718" s="495">
        <v>587.03210757915872</v>
      </c>
      <c r="AH718" s="495">
        <v>575.24038879216812</v>
      </c>
      <c r="AI718" s="495">
        <v>563.67055682212253</v>
      </c>
    </row>
    <row r="719" spans="2:35" ht="15" outlineLevel="1">
      <c r="B719" t="str">
        <f t="shared" si="62"/>
        <v>e-methane liquefied (PS) - Energy cost including feedstock energy cost - Americas - USD/ton fuel</v>
      </c>
      <c r="C719" s="22" t="str">
        <f>C687</f>
        <v>e-methane liquefied (PS)</v>
      </c>
      <c r="D719" s="22" t="s">
        <v>1367</v>
      </c>
      <c r="E719" s="22" t="s">
        <v>731</v>
      </c>
      <c r="F719" s="22" t="s">
        <v>1353</v>
      </c>
      <c r="G719" s="487" t="str">
        <f t="shared" si="63"/>
        <v>e-methane liquefied (PS)AmericasEnergy cost including feedstock energy cost</v>
      </c>
      <c r="H719" s="496">
        <v>1075.0985902995399</v>
      </c>
      <c r="I719" s="496">
        <v>1051.7272117311097</v>
      </c>
      <c r="J719" s="496">
        <v>1028.2157388051585</v>
      </c>
      <c r="K719" s="496">
        <v>988.84549374144217</v>
      </c>
      <c r="L719" s="496">
        <v>949.32116234259161</v>
      </c>
      <c r="M719" s="496">
        <v>909.67727628413081</v>
      </c>
      <c r="N719" s="496">
        <v>869.94836724162656</v>
      </c>
      <c r="O719" s="496">
        <v>830.16896689056534</v>
      </c>
      <c r="P719" s="496">
        <v>807.45184492248256</v>
      </c>
      <c r="Q719" s="496">
        <v>784.7107734012053</v>
      </c>
      <c r="R719" s="496">
        <v>761.96178703996407</v>
      </c>
      <c r="S719" s="496">
        <v>739.22092055199209</v>
      </c>
      <c r="T719" s="496">
        <v>716.50420865055048</v>
      </c>
      <c r="U719" s="496">
        <v>697.06287224207358</v>
      </c>
      <c r="V719" s="496">
        <v>677.69081541951107</v>
      </c>
      <c r="W719" s="496">
        <v>658.39704920528663</v>
      </c>
      <c r="X719" s="496">
        <v>639.19058462177918</v>
      </c>
      <c r="Y719" s="496">
        <v>620.08043269139648</v>
      </c>
      <c r="Z719" s="496">
        <v>607.53177003210794</v>
      </c>
      <c r="AA719" s="496">
        <v>595.18630614018002</v>
      </c>
      <c r="AB719" s="496">
        <v>583.04197650690401</v>
      </c>
      <c r="AC719" s="496">
        <v>571.09671662354049</v>
      </c>
      <c r="AD719" s="496">
        <v>559.34846198137734</v>
      </c>
      <c r="AE719" s="496">
        <v>550.03603603719966</v>
      </c>
      <c r="AF719" s="496">
        <v>540.89490069523663</v>
      </c>
      <c r="AG719" s="496">
        <v>531.92305633153239</v>
      </c>
      <c r="AH719" s="496">
        <v>523.11850332213646</v>
      </c>
      <c r="AI719" s="496">
        <v>514.47924204309754</v>
      </c>
    </row>
    <row r="720" spans="2:35" ht="15" outlineLevel="1">
      <c r="B720" t="str">
        <f t="shared" si="62"/>
        <v>e-methane liquefied (PS) - Energy cost including feedstock energy cost - Asia - USD/ton fuel</v>
      </c>
      <c r="C720" s="22" t="str">
        <f>C687</f>
        <v>e-methane liquefied (PS)</v>
      </c>
      <c r="D720" s="22" t="s">
        <v>1367</v>
      </c>
      <c r="E720" s="22" t="s">
        <v>750</v>
      </c>
      <c r="F720" s="22" t="s">
        <v>1353</v>
      </c>
      <c r="G720" s="487" t="str">
        <f t="shared" si="63"/>
        <v>e-methane liquefied (PS)AsiaEnergy cost including feedstock energy cost</v>
      </c>
      <c r="H720" s="496">
        <v>1903.0794040056976</v>
      </c>
      <c r="I720" s="496">
        <v>1734.0216102774705</v>
      </c>
      <c r="J720" s="496">
        <v>1565.0311388107737</v>
      </c>
      <c r="K720" s="496">
        <v>1502.4157823821513</v>
      </c>
      <c r="L720" s="496">
        <v>1439.5774593994608</v>
      </c>
      <c r="M720" s="496">
        <v>1376.5712088944476</v>
      </c>
      <c r="N720" s="496">
        <v>1313.4520698989795</v>
      </c>
      <c r="O720" s="496">
        <v>1250.2750814448623</v>
      </c>
      <c r="P720" s="496">
        <v>1202.8422557236715</v>
      </c>
      <c r="Q720" s="496">
        <v>1155.5407712659708</v>
      </c>
      <c r="R720" s="496">
        <v>1108.4067255925147</v>
      </c>
      <c r="S720" s="496">
        <v>1061.4762162240354</v>
      </c>
      <c r="T720" s="496">
        <v>1014.7853406813499</v>
      </c>
      <c r="U720" s="496">
        <v>987.31081080246963</v>
      </c>
      <c r="V720" s="496">
        <v>959.93343341088598</v>
      </c>
      <c r="W720" s="496">
        <v>932.6659317169657</v>
      </c>
      <c r="X720" s="496">
        <v>905.52102893097981</v>
      </c>
      <c r="Y720" s="496">
        <v>878.51144826328573</v>
      </c>
      <c r="Z720" s="496">
        <v>848.70189046799328</v>
      </c>
      <c r="AA720" s="496">
        <v>819.46002384988481</v>
      </c>
      <c r="AB720" s="496">
        <v>790.77827467079476</v>
      </c>
      <c r="AC720" s="496">
        <v>762.64906919254406</v>
      </c>
      <c r="AD720" s="496">
        <v>735.06483367696171</v>
      </c>
      <c r="AE720" s="496">
        <v>719.33898169525719</v>
      </c>
      <c r="AF720" s="496">
        <v>703.90633279734129</v>
      </c>
      <c r="AG720" s="496">
        <v>688.76242790702997</v>
      </c>
      <c r="AH720" s="496">
        <v>673.90280794813589</v>
      </c>
      <c r="AI720" s="496">
        <v>659.32301384447123</v>
      </c>
    </row>
    <row r="721" spans="2:35" ht="15" outlineLevel="1">
      <c r="B721" t="str">
        <f t="shared" si="62"/>
        <v>e-methane liquefied (PS) - Energy cost including feedstock energy cost - Europe - USD/ton fuel</v>
      </c>
      <c r="C721" s="22" t="str">
        <f>C687</f>
        <v>e-methane liquefied (PS)</v>
      </c>
      <c r="D721" s="22" t="s">
        <v>1367</v>
      </c>
      <c r="E721" s="22" t="s">
        <v>720</v>
      </c>
      <c r="F721" s="22" t="s">
        <v>1353</v>
      </c>
      <c r="G721" s="487" t="str">
        <f t="shared" si="63"/>
        <v>e-methane liquefied (PS)EuropeEnergy cost including feedstock energy cost</v>
      </c>
      <c r="H721" s="496">
        <v>1416.7395320593253</v>
      </c>
      <c r="I721" s="496">
        <v>1354.2524731260883</v>
      </c>
      <c r="J721" s="496">
        <v>1291.6590532439338</v>
      </c>
      <c r="K721" s="496">
        <v>1240.1495790731731</v>
      </c>
      <c r="L721" s="496">
        <v>1188.4553605855608</v>
      </c>
      <c r="M721" s="496">
        <v>1136.6216675819312</v>
      </c>
      <c r="N721" s="496">
        <v>1084.6937698631009</v>
      </c>
      <c r="O721" s="496">
        <v>1032.7169372298897</v>
      </c>
      <c r="P721" s="496">
        <v>1006.4453587580171</v>
      </c>
      <c r="Q721" s="496">
        <v>980.11881001427048</v>
      </c>
      <c r="R721" s="496">
        <v>953.75544095789007</v>
      </c>
      <c r="S721" s="496">
        <v>927.37340154815092</v>
      </c>
      <c r="T721" s="496">
        <v>900.99084174436723</v>
      </c>
      <c r="U721" s="496">
        <v>882.42688616169437</v>
      </c>
      <c r="V721" s="496">
        <v>863.85549906994015</v>
      </c>
      <c r="W721" s="496">
        <v>845.28419289247472</v>
      </c>
      <c r="X721" s="496">
        <v>826.72048005260172</v>
      </c>
      <c r="Y721" s="496">
        <v>808.17187297366911</v>
      </c>
      <c r="Z721" s="496">
        <v>786.95183684269887</v>
      </c>
      <c r="AA721" s="496">
        <v>766.10978065640347</v>
      </c>
      <c r="AB721" s="496">
        <v>745.64113384610005</v>
      </c>
      <c r="AC721" s="496">
        <v>725.54132584305967</v>
      </c>
      <c r="AD721" s="496">
        <v>705.805786078594</v>
      </c>
      <c r="AE721" s="496">
        <v>690.70634835307555</v>
      </c>
      <c r="AF721" s="496">
        <v>675.88843403654482</v>
      </c>
      <c r="AG721" s="496">
        <v>661.34776178195943</v>
      </c>
      <c r="AH721" s="496">
        <v>647.0800502422735</v>
      </c>
      <c r="AI721" s="496">
        <v>633.08101807044079</v>
      </c>
    </row>
    <row r="722" spans="2:35" ht="15" outlineLevel="1">
      <c r="B722" t="str">
        <f t="shared" si="62"/>
        <v>e-methane liquefied (PS) - Energy cost including feedstock energy cost - Middle East - USD/ton fuel</v>
      </c>
      <c r="C722" s="92" t="str">
        <f>C687</f>
        <v>e-methane liquefied (PS)</v>
      </c>
      <c r="D722" s="92" t="s">
        <v>1367</v>
      </c>
      <c r="E722" s="92" t="s">
        <v>826</v>
      </c>
      <c r="F722" s="92" t="s">
        <v>1353</v>
      </c>
      <c r="G722" s="487" t="str">
        <f t="shared" si="63"/>
        <v>e-methane liquefied (PS)Middle EastEnergy cost including feedstock energy cost</v>
      </c>
      <c r="H722" s="497">
        <v>1084.8608517401879</v>
      </c>
      <c r="I722" s="497">
        <v>1035.8977448104192</v>
      </c>
      <c r="J722" s="497">
        <v>986.85594337124382</v>
      </c>
      <c r="K722" s="497">
        <v>953.4760590256609</v>
      </c>
      <c r="L722" s="497">
        <v>919.92934317586571</v>
      </c>
      <c r="M722" s="497">
        <v>886.24487836068647</v>
      </c>
      <c r="N722" s="497">
        <v>852.45174711898005</v>
      </c>
      <c r="O722" s="497">
        <v>818.5790319895633</v>
      </c>
      <c r="P722" s="497">
        <v>791.77942946287942</v>
      </c>
      <c r="Q722" s="497">
        <v>765.01192729997786</v>
      </c>
      <c r="R722" s="497">
        <v>738.2963128981944</v>
      </c>
      <c r="S722" s="497">
        <v>711.65237365489361</v>
      </c>
      <c r="T722" s="497">
        <v>685.09989696745038</v>
      </c>
      <c r="U722" s="497">
        <v>669.18845505069726</v>
      </c>
      <c r="V722" s="497">
        <v>653.30022113138807</v>
      </c>
      <c r="W722" s="497">
        <v>637.44207312750223</v>
      </c>
      <c r="X722" s="497">
        <v>621.62088895695763</v>
      </c>
      <c r="Y722" s="497">
        <v>605.84354653771891</v>
      </c>
      <c r="Z722" s="497">
        <v>585.52834305529871</v>
      </c>
      <c r="AA722" s="497">
        <v>565.59900043353343</v>
      </c>
      <c r="AB722" s="497">
        <v>546.05038922528524</v>
      </c>
      <c r="AC722" s="497">
        <v>526.87737998340344</v>
      </c>
      <c r="AD722" s="497">
        <v>508.07484326074507</v>
      </c>
      <c r="AE722" s="497">
        <v>497.20501848145955</v>
      </c>
      <c r="AF722" s="497">
        <v>486.53785797352026</v>
      </c>
      <c r="AG722" s="497">
        <v>476.07027955244109</v>
      </c>
      <c r="AH722" s="497">
        <v>465.7992010337432</v>
      </c>
      <c r="AI722" s="497">
        <v>455.72154023294797</v>
      </c>
    </row>
    <row r="723" spans="2:35" outlineLevel="1">
      <c r="B723" t="str">
        <f t="shared" si="62"/>
        <v>e-methane liquefied (PS) - Energy cost - Africa - USD/ton fuel</v>
      </c>
      <c r="C723" t="str">
        <f>C687</f>
        <v>e-methane liquefied (PS)</v>
      </c>
      <c r="D723" t="s">
        <v>1368</v>
      </c>
      <c r="E723" t="s">
        <v>838</v>
      </c>
      <c r="F723" t="s">
        <v>1353</v>
      </c>
      <c r="G723" s="487" t="str">
        <f t="shared" si="63"/>
        <v>e-methane liquefied (PS)AfricaEnergy cost</v>
      </c>
      <c r="H723" s="493">
        <v>35.033884158308503</v>
      </c>
      <c r="I723" s="493">
        <v>30.919977747395748</v>
      </c>
      <c r="J723" s="493">
        <v>26.80607133648191</v>
      </c>
      <c r="K723" s="493">
        <v>25.65925481102331</v>
      </c>
      <c r="L723" s="493">
        <v>24.512438285564713</v>
      </c>
      <c r="M723" s="493">
        <v>23.365621760106112</v>
      </c>
      <c r="N723" s="493">
        <v>22.218805234647242</v>
      </c>
      <c r="O723" s="493">
        <v>21.071988709188645</v>
      </c>
      <c r="P723" s="493">
        <v>20.431834259056178</v>
      </c>
      <c r="Q723" s="493">
        <v>19.791679808923707</v>
      </c>
      <c r="R723" s="493">
        <v>19.151525358790966</v>
      </c>
      <c r="S723" s="493">
        <v>18.511370908658499</v>
      </c>
      <c r="T723" s="493">
        <v>17.871216458526099</v>
      </c>
      <c r="U723" s="493">
        <v>17.569906277941822</v>
      </c>
      <c r="V723" s="493">
        <v>17.268596097357612</v>
      </c>
      <c r="W723" s="493">
        <v>16.967285916773335</v>
      </c>
      <c r="X723" s="493">
        <v>16.665975736189058</v>
      </c>
      <c r="Y723" s="493">
        <v>16.364665555604915</v>
      </c>
      <c r="Z723" s="493">
        <v>16.054836989607747</v>
      </c>
      <c r="AA723" s="493">
        <v>15.745008423610578</v>
      </c>
      <c r="AB723" s="493">
        <v>15.435179857613274</v>
      </c>
      <c r="AC723" s="493">
        <v>15.125351291616106</v>
      </c>
      <c r="AD723" s="493">
        <v>14.81552272561887</v>
      </c>
      <c r="AE723" s="493">
        <v>14.663450567763833</v>
      </c>
      <c r="AF723" s="493">
        <v>14.511378409908865</v>
      </c>
      <c r="AG723" s="493">
        <v>14.359306252053829</v>
      </c>
      <c r="AH723" s="493">
        <v>14.207234094198792</v>
      </c>
      <c r="AI723" s="493">
        <v>14.055161936343824</v>
      </c>
    </row>
    <row r="724" spans="2:35" outlineLevel="1">
      <c r="B724" t="str">
        <f t="shared" si="62"/>
        <v>e-methane liquefied (PS) - Energy cost - Americas - USD/ton fuel</v>
      </c>
      <c r="C724" t="str">
        <f>C687</f>
        <v>e-methane liquefied (PS)</v>
      </c>
      <c r="D724" t="s">
        <v>1368</v>
      </c>
      <c r="E724" t="s">
        <v>731</v>
      </c>
      <c r="F724" t="s">
        <v>1353</v>
      </c>
      <c r="G724" s="487" t="str">
        <f t="shared" si="63"/>
        <v>e-methane liquefied (PS)AmericasEnergy cost</v>
      </c>
      <c r="H724" s="493">
        <v>22.012310723860217</v>
      </c>
      <c r="I724" s="493">
        <v>21.556466491183574</v>
      </c>
      <c r="J724" s="493">
        <v>21.100622258506792</v>
      </c>
      <c r="K724" s="493">
        <v>20.33006650585321</v>
      </c>
      <c r="L724" s="493">
        <v>19.559510753199628</v>
      </c>
      <c r="M724" s="493">
        <v>18.788955000546046</v>
      </c>
      <c r="N724" s="493">
        <v>18.018399247892738</v>
      </c>
      <c r="O724" s="493">
        <v>17.247843495239156</v>
      </c>
      <c r="P724" s="493">
        <v>16.877033567022497</v>
      </c>
      <c r="Q724" s="493">
        <v>16.506223638805839</v>
      </c>
      <c r="R724" s="493">
        <v>16.13541371058918</v>
      </c>
      <c r="S724" s="493">
        <v>15.764603782372523</v>
      </c>
      <c r="T724" s="493">
        <v>15.393793854155795</v>
      </c>
      <c r="U724" s="493">
        <v>15.093206205252955</v>
      </c>
      <c r="V724" s="493">
        <v>14.792618556350112</v>
      </c>
      <c r="W724" s="493">
        <v>14.492030907447202</v>
      </c>
      <c r="X724" s="493">
        <v>14.191443258544359</v>
      </c>
      <c r="Y724" s="493">
        <v>13.890855609641482</v>
      </c>
      <c r="Z724" s="493">
        <v>13.769758412927786</v>
      </c>
      <c r="AA724" s="493">
        <v>13.648661216214089</v>
      </c>
      <c r="AB724" s="493">
        <v>13.527564019500426</v>
      </c>
      <c r="AC724" s="493">
        <v>13.406466822786728</v>
      </c>
      <c r="AD724" s="493">
        <v>13.285369626073031</v>
      </c>
      <c r="AE724" s="493">
        <v>13.194010362475922</v>
      </c>
      <c r="AF724" s="493">
        <v>13.102651098878846</v>
      </c>
      <c r="AG724" s="493">
        <v>13.011291835281769</v>
      </c>
      <c r="AH724" s="493">
        <v>12.919932571684694</v>
      </c>
      <c r="AI724" s="493">
        <v>12.828573308087618</v>
      </c>
    </row>
    <row r="725" spans="2:35" outlineLevel="1">
      <c r="B725" t="str">
        <f t="shared" si="62"/>
        <v>e-methane liquefied (PS) - Energy cost - Asia - USD/ton fuel</v>
      </c>
      <c r="C725" t="str">
        <f>C687</f>
        <v>e-methane liquefied (PS)</v>
      </c>
      <c r="D725" t="s">
        <v>1368</v>
      </c>
      <c r="E725" t="s">
        <v>750</v>
      </c>
      <c r="F725" t="s">
        <v>1353</v>
      </c>
      <c r="G725" s="487" t="str">
        <f t="shared" si="63"/>
        <v>e-methane liquefied (PS)AsiaEnergy cost</v>
      </c>
      <c r="H725" s="493">
        <v>38.96496149388549</v>
      </c>
      <c r="I725" s="493">
        <v>35.540944762101567</v>
      </c>
      <c r="J725" s="493">
        <v>32.116928030319286</v>
      </c>
      <c r="K725" s="493">
        <v>30.888761660534144</v>
      </c>
      <c r="L725" s="493">
        <v>29.660595290749551</v>
      </c>
      <c r="M725" s="493">
        <v>28.432428920964412</v>
      </c>
      <c r="N725" s="493">
        <v>27.204262551179273</v>
      </c>
      <c r="O725" s="493">
        <v>25.976096181394677</v>
      </c>
      <c r="P725" s="493">
        <v>25.141324839787011</v>
      </c>
      <c r="Q725" s="493">
        <v>24.306553498179618</v>
      </c>
      <c r="R725" s="493">
        <v>23.471782156572498</v>
      </c>
      <c r="S725" s="493">
        <v>22.637010814965105</v>
      </c>
      <c r="T725" s="493">
        <v>21.802239473357712</v>
      </c>
      <c r="U725" s="493">
        <v>21.37782149863542</v>
      </c>
      <c r="V725" s="493">
        <v>20.953403523913128</v>
      </c>
      <c r="W725" s="493">
        <v>20.528985549190974</v>
      </c>
      <c r="X725" s="493">
        <v>20.104567574468682</v>
      </c>
      <c r="Y725" s="493">
        <v>19.680149599746663</v>
      </c>
      <c r="Z725" s="493">
        <v>19.235899376458519</v>
      </c>
      <c r="AA725" s="493">
        <v>18.791649153170511</v>
      </c>
      <c r="AB725" s="493">
        <v>18.347398929882363</v>
      </c>
      <c r="AC725" s="493">
        <v>17.903148706594354</v>
      </c>
      <c r="AD725" s="493">
        <v>17.458898483306211</v>
      </c>
      <c r="AE725" s="493">
        <v>17.255171219323916</v>
      </c>
      <c r="AF725" s="493">
        <v>17.051443955341551</v>
      </c>
      <c r="AG725" s="493">
        <v>16.847716691359256</v>
      </c>
      <c r="AH725" s="493">
        <v>16.643989427376958</v>
      </c>
      <c r="AI725" s="493">
        <v>16.440262163394596</v>
      </c>
    </row>
    <row r="726" spans="2:35" outlineLevel="1">
      <c r="B726" t="str">
        <f t="shared" si="62"/>
        <v>e-methane liquefied (PS) - Energy cost - Europe - USD/ton fuel</v>
      </c>
      <c r="C726" t="str">
        <f>C687</f>
        <v>e-methane liquefied (PS)</v>
      </c>
      <c r="D726" t="s">
        <v>1368</v>
      </c>
      <c r="E726" t="s">
        <v>720</v>
      </c>
      <c r="F726" t="s">
        <v>1353</v>
      </c>
      <c r="G726" s="487" t="str">
        <f t="shared" si="63"/>
        <v>e-methane liquefied (PS)EuropeEnergy cost</v>
      </c>
      <c r="H726" s="493">
        <v>29.007303214654346</v>
      </c>
      <c r="I726" s="493">
        <v>27.757100635909591</v>
      </c>
      <c r="J726" s="493">
        <v>26.506898057164836</v>
      </c>
      <c r="K726" s="493">
        <v>25.49672681863467</v>
      </c>
      <c r="L726" s="493">
        <v>24.486555580104231</v>
      </c>
      <c r="M726" s="493">
        <v>23.476384341574065</v>
      </c>
      <c r="N726" s="493">
        <v>22.466213103043629</v>
      </c>
      <c r="O726" s="493">
        <v>21.456041864513463</v>
      </c>
      <c r="P726" s="493">
        <v>21.036315923909658</v>
      </c>
      <c r="Q726" s="493">
        <v>20.616589983306266</v>
      </c>
      <c r="R726" s="493">
        <v>20.196864042702735</v>
      </c>
      <c r="S726" s="493">
        <v>19.777138102099205</v>
      </c>
      <c r="T726" s="493">
        <v>19.357412161495812</v>
      </c>
      <c r="U726" s="493">
        <v>19.106814441370034</v>
      </c>
      <c r="V726" s="493">
        <v>18.856216721244323</v>
      </c>
      <c r="W726" s="493">
        <v>18.605619001118612</v>
      </c>
      <c r="X726" s="493">
        <v>18.355021280992901</v>
      </c>
      <c r="Y726" s="493">
        <v>18.104423560867051</v>
      </c>
      <c r="Z726" s="493">
        <v>17.836329243096269</v>
      </c>
      <c r="AA726" s="493">
        <v>17.568234925325417</v>
      </c>
      <c r="AB726" s="493">
        <v>17.300140607554635</v>
      </c>
      <c r="AC726" s="493">
        <v>17.032046289783782</v>
      </c>
      <c r="AD726" s="493">
        <v>16.763951972013</v>
      </c>
      <c r="AE726" s="493">
        <v>16.568344836559117</v>
      </c>
      <c r="AF726" s="493">
        <v>16.372737701105166</v>
      </c>
      <c r="AG726" s="493">
        <v>16.177130565651282</v>
      </c>
      <c r="AH726" s="493">
        <v>15.981523430197399</v>
      </c>
      <c r="AI726" s="493">
        <v>15.785916294743446</v>
      </c>
    </row>
    <row r="727" spans="2:35" outlineLevel="1">
      <c r="B727" t="str">
        <f t="shared" si="62"/>
        <v>e-methane liquefied (PS) - Energy cost - Middle East - USD/ton fuel</v>
      </c>
      <c r="C727" t="str">
        <f>C687</f>
        <v>e-methane liquefied (PS)</v>
      </c>
      <c r="D727" t="s">
        <v>1368</v>
      </c>
      <c r="E727" t="s">
        <v>826</v>
      </c>
      <c r="F727" t="s">
        <v>1353</v>
      </c>
      <c r="G727" s="487" t="str">
        <f t="shared" si="63"/>
        <v>e-methane liquefied (PS)Middle EastEnergy cost</v>
      </c>
      <c r="H727" s="493">
        <v>22.212190003898375</v>
      </c>
      <c r="I727" s="493">
        <v>21.232021740260461</v>
      </c>
      <c r="J727" s="493">
        <v>20.251853476622273</v>
      </c>
      <c r="K727" s="493">
        <v>19.602892276312467</v>
      </c>
      <c r="L727" s="493">
        <v>18.953931076002664</v>
      </c>
      <c r="M727" s="493">
        <v>18.304969875692858</v>
      </c>
      <c r="N727" s="493">
        <v>17.656008675383053</v>
      </c>
      <c r="O727" s="493">
        <v>17.00704747507325</v>
      </c>
      <c r="P727" s="493">
        <v>16.549455045217972</v>
      </c>
      <c r="Q727" s="493">
        <v>16.091862615362832</v>
      </c>
      <c r="R727" s="493">
        <v>15.634270185507557</v>
      </c>
      <c r="S727" s="493">
        <v>15.176677755652417</v>
      </c>
      <c r="T727" s="493">
        <v>14.719085325797277</v>
      </c>
      <c r="U727" s="493">
        <v>14.489653293063725</v>
      </c>
      <c r="V727" s="493">
        <v>14.260221260330171</v>
      </c>
      <c r="W727" s="493">
        <v>14.030789227596687</v>
      </c>
      <c r="X727" s="493">
        <v>13.801357194863135</v>
      </c>
      <c r="Y727" s="493">
        <v>13.571925162129583</v>
      </c>
      <c r="Z727" s="493">
        <v>13.271048899002039</v>
      </c>
      <c r="AA727" s="493">
        <v>12.970172635874563</v>
      </c>
      <c r="AB727" s="493">
        <v>12.669296372747022</v>
      </c>
      <c r="AC727" s="493">
        <v>12.368420109619546</v>
      </c>
      <c r="AD727" s="493">
        <v>12.067543846491969</v>
      </c>
      <c r="AE727" s="493">
        <v>11.926724316796832</v>
      </c>
      <c r="AF727" s="493">
        <v>11.78590478710173</v>
      </c>
      <c r="AG727" s="493">
        <v>11.645085257406594</v>
      </c>
      <c r="AH727" s="493">
        <v>11.504265727711458</v>
      </c>
      <c r="AI727" s="493">
        <v>11.363446198016357</v>
      </c>
    </row>
    <row r="728" spans="2:35" outlineLevel="1">
      <c r="B728" t="str">
        <f t="shared" si="62"/>
        <v>e-methane (PS) - Energy cost including feedstock energy cost - Africa - USD/ton fuel</v>
      </c>
      <c r="C728" t="s">
        <v>1392</v>
      </c>
      <c r="D728" t="s">
        <v>1367</v>
      </c>
      <c r="E728" t="s">
        <v>838</v>
      </c>
      <c r="F728" t="s">
        <v>1353</v>
      </c>
      <c r="G728" s="487" t="str">
        <f t="shared" si="63"/>
        <v>e-methane (PS)AfricaEnergy cost including feedstock energy cost</v>
      </c>
      <c r="H728" s="507">
        <v>1676.0486070809252</v>
      </c>
      <c r="I728" s="507">
        <v>1477.6473932712572</v>
      </c>
      <c r="J728" s="507">
        <v>1279.4314464975071</v>
      </c>
      <c r="K728" s="507">
        <v>1222.3956143326018</v>
      </c>
      <c r="L728" s="507">
        <v>1165.199139817006</v>
      </c>
      <c r="M728" s="507">
        <v>1107.8934163716488</v>
      </c>
      <c r="N728" s="507">
        <v>1050.5298374174813</v>
      </c>
      <c r="O728" s="507">
        <v>993.15979637544467</v>
      </c>
      <c r="P728" s="507">
        <v>957.09316751978884</v>
      </c>
      <c r="Q728" s="507">
        <v>921.11065555366258</v>
      </c>
      <c r="R728" s="507">
        <v>885.23994229529126</v>
      </c>
      <c r="S728" s="507">
        <v>849.50870956294239</v>
      </c>
      <c r="T728" s="507">
        <v>813.94463917488429</v>
      </c>
      <c r="U728" s="507">
        <v>793.87659280080777</v>
      </c>
      <c r="V728" s="507">
        <v>773.85360622190331</v>
      </c>
      <c r="W728" s="507">
        <v>753.88471212066452</v>
      </c>
      <c r="X728" s="507">
        <v>733.97894317953103</v>
      </c>
      <c r="Y728" s="507">
        <v>714.14533208099056</v>
      </c>
      <c r="Z728" s="507">
        <v>692.2962641245515</v>
      </c>
      <c r="AA728" s="507">
        <v>670.85811369522071</v>
      </c>
      <c r="AB728" s="507">
        <v>649.82559872377249</v>
      </c>
      <c r="AC728" s="507">
        <v>629.19343714096851</v>
      </c>
      <c r="AD728" s="507">
        <v>608.95634687757513</v>
      </c>
      <c r="AE728" s="507">
        <v>596.63106894076316</v>
      </c>
      <c r="AF728" s="507">
        <v>584.53766324932337</v>
      </c>
      <c r="AG728" s="507">
        <v>572.67280132710493</v>
      </c>
      <c r="AH728" s="507">
        <v>561.03315469796928</v>
      </c>
      <c r="AI728" s="507">
        <v>549.61539488577876</v>
      </c>
    </row>
    <row r="729" spans="2:35" outlineLevel="1">
      <c r="B729" t="str">
        <f t="shared" si="62"/>
        <v>e-methane (PS) - Energy cost including feedstock energy cost - Americas - USD/ton fuel</v>
      </c>
      <c r="C729" t="s">
        <v>1392</v>
      </c>
      <c r="D729" t="s">
        <v>1367</v>
      </c>
      <c r="E729" t="s">
        <v>731</v>
      </c>
      <c r="F729" t="s">
        <v>1353</v>
      </c>
      <c r="G729" s="487" t="str">
        <f t="shared" si="63"/>
        <v>e-methane (PS)AmericasEnergy cost including feedstock energy cost</v>
      </c>
      <c r="H729" s="507">
        <v>1053.0862795756796</v>
      </c>
      <c r="I729" s="507">
        <v>1030.1707452399262</v>
      </c>
      <c r="J729" s="507">
        <v>1007.1151165466516</v>
      </c>
      <c r="K729" s="507">
        <v>968.51542723558896</v>
      </c>
      <c r="L729" s="507">
        <v>929.76165158939193</v>
      </c>
      <c r="M729" s="507">
        <v>890.88832128358479</v>
      </c>
      <c r="N729" s="507">
        <v>851.92996799373384</v>
      </c>
      <c r="O729" s="507">
        <v>812.92112339532616</v>
      </c>
      <c r="P729" s="507">
        <v>790.57481135546004</v>
      </c>
      <c r="Q729" s="507">
        <v>768.20454976239944</v>
      </c>
      <c r="R729" s="507">
        <v>745.82637332937486</v>
      </c>
      <c r="S729" s="507">
        <v>723.45631676961955</v>
      </c>
      <c r="T729" s="507">
        <v>701.11041479639471</v>
      </c>
      <c r="U729" s="507">
        <v>681.96966603682063</v>
      </c>
      <c r="V729" s="507">
        <v>662.89819686316093</v>
      </c>
      <c r="W729" s="507">
        <v>643.90501829783943</v>
      </c>
      <c r="X729" s="507">
        <v>624.9991413632348</v>
      </c>
      <c r="Y729" s="507">
        <v>606.18957708175503</v>
      </c>
      <c r="Z729" s="507">
        <v>593.76201161918016</v>
      </c>
      <c r="AA729" s="507">
        <v>581.5376449239659</v>
      </c>
      <c r="AB729" s="507">
        <v>569.51441248740355</v>
      </c>
      <c r="AC729" s="507">
        <v>557.6902498007538</v>
      </c>
      <c r="AD729" s="507">
        <v>546.06309235530432</v>
      </c>
      <c r="AE729" s="507">
        <v>536.8420256747238</v>
      </c>
      <c r="AF729" s="507">
        <v>527.79224959635781</v>
      </c>
      <c r="AG729" s="507">
        <v>518.91176449625061</v>
      </c>
      <c r="AH729" s="507">
        <v>510.19857075045178</v>
      </c>
      <c r="AI729" s="507">
        <v>501.65066873500996</v>
      </c>
    </row>
    <row r="730" spans="2:35" outlineLevel="1">
      <c r="B730" t="str">
        <f t="shared" si="62"/>
        <v>e-methane (PS) - Energy cost including feedstock energy cost - Asia - USD/ton fuel</v>
      </c>
      <c r="C730" t="s">
        <v>1392</v>
      </c>
      <c r="D730" t="s">
        <v>1367</v>
      </c>
      <c r="E730" t="s">
        <v>750</v>
      </c>
      <c r="F730" t="s">
        <v>1353</v>
      </c>
      <c r="G730" s="487" t="str">
        <f t="shared" si="63"/>
        <v>e-methane (PS)AsiaEnergy cost including feedstock energy cost</v>
      </c>
      <c r="H730" s="507">
        <v>1864.1144425118121</v>
      </c>
      <c r="I730" s="507">
        <v>1698.4806655153689</v>
      </c>
      <c r="J730" s="507">
        <v>1532.9142107804544</v>
      </c>
      <c r="K730" s="507">
        <v>1471.5270207216172</v>
      </c>
      <c r="L730" s="507">
        <v>1409.9168641087113</v>
      </c>
      <c r="M730" s="507">
        <v>1348.1387799734832</v>
      </c>
      <c r="N730" s="507">
        <v>1286.2478073478003</v>
      </c>
      <c r="O730" s="507">
        <v>1224.2989852634676</v>
      </c>
      <c r="P730" s="507">
        <v>1177.7009308838844</v>
      </c>
      <c r="Q730" s="507">
        <v>1131.2342177677911</v>
      </c>
      <c r="R730" s="507">
        <v>1084.9349434359422</v>
      </c>
      <c r="S730" s="507">
        <v>1038.8392054090702</v>
      </c>
      <c r="T730" s="507">
        <v>992.98310120799215</v>
      </c>
      <c r="U730" s="507">
        <v>965.93298930383423</v>
      </c>
      <c r="V730" s="507">
        <v>938.98002988697283</v>
      </c>
      <c r="W730" s="507">
        <v>912.13694616777468</v>
      </c>
      <c r="X730" s="507">
        <v>885.41646135651115</v>
      </c>
      <c r="Y730" s="507">
        <v>858.83129866353909</v>
      </c>
      <c r="Z730" s="507">
        <v>829.46599109153476</v>
      </c>
      <c r="AA730" s="507">
        <v>800.6683746967143</v>
      </c>
      <c r="AB730" s="507">
        <v>772.43087574091237</v>
      </c>
      <c r="AC730" s="507">
        <v>744.74592048594968</v>
      </c>
      <c r="AD730" s="507">
        <v>717.60593519365545</v>
      </c>
      <c r="AE730" s="507">
        <v>702.08381047593332</v>
      </c>
      <c r="AF730" s="507">
        <v>686.8548888419997</v>
      </c>
      <c r="AG730" s="507">
        <v>671.91471121567076</v>
      </c>
      <c r="AH730" s="507">
        <v>657.25881852075895</v>
      </c>
      <c r="AI730" s="507">
        <v>642.88275168107668</v>
      </c>
    </row>
    <row r="731" spans="2:35" outlineLevel="1">
      <c r="B731" t="str">
        <f t="shared" si="62"/>
        <v>e-methane (PS) - Energy cost including feedstock energy cost - Europe - USD/ton fuel</v>
      </c>
      <c r="C731" t="s">
        <v>1392</v>
      </c>
      <c r="D731" t="s">
        <v>1367</v>
      </c>
      <c r="E731" t="s">
        <v>720</v>
      </c>
      <c r="F731" t="s">
        <v>1353</v>
      </c>
      <c r="G731" s="487" t="str">
        <f t="shared" si="63"/>
        <v>e-methane (PS)EuropeEnergy cost including feedstock energy cost</v>
      </c>
      <c r="H731" s="507">
        <v>1387.732228844671</v>
      </c>
      <c r="I731" s="507">
        <v>1326.4953724901786</v>
      </c>
      <c r="J731" s="507">
        <v>1265.1521551867691</v>
      </c>
      <c r="K731" s="507">
        <v>1214.6528522545384</v>
      </c>
      <c r="L731" s="507">
        <v>1163.9688050054565</v>
      </c>
      <c r="M731" s="507">
        <v>1113.1452832403572</v>
      </c>
      <c r="N731" s="507">
        <v>1062.2275567600573</v>
      </c>
      <c r="O731" s="507">
        <v>1011.2608953653762</v>
      </c>
      <c r="P731" s="507">
        <v>985.40904283410737</v>
      </c>
      <c r="Q731" s="507">
        <v>959.50222003096417</v>
      </c>
      <c r="R731" s="507">
        <v>933.55857691518736</v>
      </c>
      <c r="S731" s="507">
        <v>907.59626344605169</v>
      </c>
      <c r="T731" s="507">
        <v>881.63342958287137</v>
      </c>
      <c r="U731" s="507">
        <v>863.32007172032434</v>
      </c>
      <c r="V731" s="507">
        <v>844.99928234869583</v>
      </c>
      <c r="W731" s="507">
        <v>826.67857389135611</v>
      </c>
      <c r="X731" s="507">
        <v>808.36545877160881</v>
      </c>
      <c r="Y731" s="507">
        <v>790.06744941280203</v>
      </c>
      <c r="Z731" s="507">
        <v>769.11550759960255</v>
      </c>
      <c r="AA731" s="507">
        <v>748.54154573107803</v>
      </c>
      <c r="AB731" s="507">
        <v>728.34099323854537</v>
      </c>
      <c r="AC731" s="507">
        <v>708.50927955327586</v>
      </c>
      <c r="AD731" s="507">
        <v>689.04183410658095</v>
      </c>
      <c r="AE731" s="507">
        <v>674.13800351651639</v>
      </c>
      <c r="AF731" s="507">
        <v>659.51569633543966</v>
      </c>
      <c r="AG731" s="507">
        <v>645.17063121630815</v>
      </c>
      <c r="AH731" s="507">
        <v>631.0985268120761</v>
      </c>
      <c r="AI731" s="507">
        <v>617.29510177569739</v>
      </c>
    </row>
    <row r="732" spans="2:35" outlineLevel="1">
      <c r="B732" t="str">
        <f t="shared" si="62"/>
        <v>e-methane (PS) - Energy cost including feedstock energy cost - Middle East - USD/ton fuel</v>
      </c>
      <c r="C732" t="s">
        <v>1392</v>
      </c>
      <c r="D732" t="s">
        <v>1367</v>
      </c>
      <c r="E732" t="s">
        <v>826</v>
      </c>
      <c r="F732" t="s">
        <v>1353</v>
      </c>
      <c r="G732" s="487" t="str">
        <f t="shared" si="63"/>
        <v>e-methane (PS)Middle EastEnergy cost including feedstock energy cost</v>
      </c>
      <c r="H732" s="507">
        <v>1062.6486617362896</v>
      </c>
      <c r="I732" s="507">
        <v>1014.6657230701588</v>
      </c>
      <c r="J732" s="507">
        <v>966.60408989462155</v>
      </c>
      <c r="K732" s="507">
        <v>933.87316674934846</v>
      </c>
      <c r="L732" s="507">
        <v>900.97541209986309</v>
      </c>
      <c r="M732" s="507">
        <v>867.93990848499357</v>
      </c>
      <c r="N732" s="507">
        <v>834.79573844359697</v>
      </c>
      <c r="O732" s="507">
        <v>801.57198451449005</v>
      </c>
      <c r="P732" s="507">
        <v>775.22997441766142</v>
      </c>
      <c r="Q732" s="507">
        <v>748.920064684615</v>
      </c>
      <c r="R732" s="507">
        <v>722.6620427126868</v>
      </c>
      <c r="S732" s="507">
        <v>696.47569589924115</v>
      </c>
      <c r="T732" s="507">
        <v>670.38081164165305</v>
      </c>
      <c r="U732" s="507">
        <v>654.69880175763353</v>
      </c>
      <c r="V732" s="507">
        <v>639.03999987105794</v>
      </c>
      <c r="W732" s="507">
        <v>623.41128389990558</v>
      </c>
      <c r="X732" s="507">
        <v>607.81953176209447</v>
      </c>
      <c r="Y732" s="507">
        <v>592.27162137558935</v>
      </c>
      <c r="Z732" s="507">
        <v>572.25729415629667</v>
      </c>
      <c r="AA732" s="507">
        <v>552.62882779765891</v>
      </c>
      <c r="AB732" s="507">
        <v>533.38109285253825</v>
      </c>
      <c r="AC732" s="507">
        <v>514.50895987378385</v>
      </c>
      <c r="AD732" s="507">
        <v>496.00729941425311</v>
      </c>
      <c r="AE732" s="507">
        <v>485.27829416466273</v>
      </c>
      <c r="AF732" s="507">
        <v>474.75195318641852</v>
      </c>
      <c r="AG732" s="507">
        <v>464.42519429503449</v>
      </c>
      <c r="AH732" s="507">
        <v>454.29493530603173</v>
      </c>
      <c r="AI732" s="507">
        <v>444.35809403493164</v>
      </c>
    </row>
    <row r="733" spans="2:35" outlineLevel="1">
      <c r="B733" t="str">
        <f t="shared" si="62"/>
        <v/>
      </c>
      <c r="G733" s="487" t="str">
        <f t="shared" si="63"/>
        <v/>
      </c>
    </row>
    <row r="734" spans="2:35" ht="15" outlineLevel="1">
      <c r="B734" t="str">
        <f t="shared" si="62"/>
        <v>e-methane liquefied (PS) - Feedstock cost including feedstock feedstock cost - Global - USD/ton fuel</v>
      </c>
      <c r="C734" s="491" t="str">
        <f>C687</f>
        <v>e-methane liquefied (PS)</v>
      </c>
      <c r="D734" s="491" t="s">
        <v>1369</v>
      </c>
      <c r="E734" s="491" t="s">
        <v>708</v>
      </c>
      <c r="F734" s="491" t="s">
        <v>1353</v>
      </c>
      <c r="G734" s="487" t="str">
        <f t="shared" si="63"/>
        <v>e-methane liquefied (PS)GlobalFeedstock cost including feedstock feedstock cost</v>
      </c>
      <c r="H734" s="492">
        <v>6.75</v>
      </c>
      <c r="I734" s="492">
        <v>6.750000000000024</v>
      </c>
      <c r="J734" s="492">
        <v>6.750000000000024</v>
      </c>
      <c r="K734" s="492">
        <v>6.750000000000024</v>
      </c>
      <c r="L734" s="492">
        <v>6.750000000000048</v>
      </c>
      <c r="M734" s="492">
        <v>6.75</v>
      </c>
      <c r="N734" s="492">
        <v>6.750000000000048</v>
      </c>
      <c r="O734" s="492">
        <v>6.75</v>
      </c>
      <c r="P734" s="492">
        <v>6.749999999999952</v>
      </c>
      <c r="Q734" s="492">
        <v>6.750000000000024</v>
      </c>
      <c r="R734" s="492">
        <v>6.7500000000000959</v>
      </c>
      <c r="S734" s="492">
        <v>6.750000000000048</v>
      </c>
      <c r="T734" s="492">
        <v>6.7500000000000959</v>
      </c>
      <c r="U734" s="492">
        <v>6.7500000000001199</v>
      </c>
      <c r="V734" s="492">
        <v>6.7500000000000604</v>
      </c>
      <c r="W734" s="492">
        <v>6.7500000000001794</v>
      </c>
      <c r="X734" s="492">
        <v>6.7500000000001199</v>
      </c>
      <c r="Y734" s="492">
        <v>6.749999999999952</v>
      </c>
      <c r="Z734" s="492">
        <v>6.75</v>
      </c>
      <c r="AA734" s="492">
        <v>6.749999999999976</v>
      </c>
      <c r="AB734" s="492">
        <v>6.750000000000024</v>
      </c>
      <c r="AC734" s="492">
        <v>6.75</v>
      </c>
      <c r="AD734" s="492">
        <v>6.75</v>
      </c>
      <c r="AE734" s="492">
        <v>6.75</v>
      </c>
      <c r="AF734" s="492">
        <v>6.75</v>
      </c>
      <c r="AG734" s="492">
        <v>6.75</v>
      </c>
      <c r="AH734" s="492">
        <v>6.75</v>
      </c>
      <c r="AI734" s="492">
        <v>6.75</v>
      </c>
    </row>
    <row r="735" spans="2:35" outlineLevel="1">
      <c r="B735" t="str">
        <f t="shared" si="62"/>
        <v>e-methane (PS) - Feedstock cost - Global - USD/ton fuel</v>
      </c>
      <c r="C735" t="s">
        <v>1392</v>
      </c>
      <c r="D735" t="s">
        <v>1371</v>
      </c>
      <c r="E735" t="s">
        <v>708</v>
      </c>
      <c r="F735" t="s">
        <v>1353</v>
      </c>
      <c r="G735" s="487" t="str">
        <f t="shared" si="63"/>
        <v>e-methane (PS)GlobalFeedstock cost</v>
      </c>
      <c r="H735" s="507">
        <v>6.75</v>
      </c>
      <c r="I735" s="507">
        <v>6.750000000000024</v>
      </c>
      <c r="J735" s="507">
        <v>6.750000000000024</v>
      </c>
      <c r="K735" s="507">
        <v>6.750000000000024</v>
      </c>
      <c r="L735" s="507">
        <v>6.750000000000048</v>
      </c>
      <c r="M735" s="507">
        <v>6.75</v>
      </c>
      <c r="N735" s="507">
        <v>6.750000000000048</v>
      </c>
      <c r="O735" s="507">
        <v>6.75</v>
      </c>
      <c r="P735" s="507">
        <v>6.749999999999952</v>
      </c>
      <c r="Q735" s="507">
        <v>6.750000000000024</v>
      </c>
      <c r="R735" s="507">
        <v>6.7500000000000959</v>
      </c>
      <c r="S735" s="507">
        <v>6.750000000000048</v>
      </c>
      <c r="T735" s="507">
        <v>6.7500000000000959</v>
      </c>
      <c r="U735" s="507">
        <v>6.7500000000001199</v>
      </c>
      <c r="V735" s="507">
        <v>6.7500000000000604</v>
      </c>
      <c r="W735" s="507">
        <v>6.7500000000001794</v>
      </c>
      <c r="X735" s="507">
        <v>6.7500000000001199</v>
      </c>
      <c r="Y735" s="507">
        <v>6.749999999999952</v>
      </c>
      <c r="Z735" s="507">
        <v>6.75</v>
      </c>
      <c r="AA735" s="507">
        <v>6.749999999999976</v>
      </c>
      <c r="AB735" s="507">
        <v>6.750000000000024</v>
      </c>
      <c r="AC735" s="507">
        <v>6.75</v>
      </c>
      <c r="AD735" s="507">
        <v>6.75</v>
      </c>
      <c r="AE735" s="507">
        <v>6.75</v>
      </c>
      <c r="AF735" s="507">
        <v>6.75</v>
      </c>
      <c r="AG735" s="507">
        <v>6.75</v>
      </c>
      <c r="AH735" s="507">
        <v>6.75</v>
      </c>
      <c r="AI735" s="507">
        <v>6.75</v>
      </c>
    </row>
    <row r="736" spans="2:35">
      <c r="G736" s="487" t="str">
        <f t="shared" si="63"/>
        <v/>
      </c>
    </row>
    <row r="737" spans="2:35" ht="15">
      <c r="B737" t="str">
        <f t="shared" ref="B737:B800" si="64">_xlfn.TEXTJOIN(" - ",TRUE,C737:F737)</f>
        <v>e-diesel (DAC) - Item - Region - Unit</v>
      </c>
      <c r="C737" s="485" t="s">
        <v>769</v>
      </c>
      <c r="D737" s="485" t="s">
        <v>877</v>
      </c>
      <c r="E737" s="485" t="s">
        <v>171</v>
      </c>
      <c r="F737" s="485" t="s">
        <v>111</v>
      </c>
      <c r="G737" s="487" t="str">
        <f t="shared" si="63"/>
        <v>e-diesel (DAC)RegionItem</v>
      </c>
      <c r="H737" s="486">
        <v>2023</v>
      </c>
      <c r="I737" s="486">
        <v>2024</v>
      </c>
      <c r="J737" s="486">
        <v>2025</v>
      </c>
      <c r="K737" s="486">
        <v>2026</v>
      </c>
      <c r="L737" s="486">
        <v>2027</v>
      </c>
      <c r="M737" s="486">
        <v>2028</v>
      </c>
      <c r="N737" s="486">
        <v>2029</v>
      </c>
      <c r="O737" s="486">
        <v>2030</v>
      </c>
      <c r="P737" s="486">
        <v>2031</v>
      </c>
      <c r="Q737" s="486">
        <v>2032</v>
      </c>
      <c r="R737" s="486">
        <v>2033</v>
      </c>
      <c r="S737" s="486">
        <v>2034</v>
      </c>
      <c r="T737" s="486">
        <v>2035</v>
      </c>
      <c r="U737" s="486">
        <v>2036</v>
      </c>
      <c r="V737" s="486">
        <v>2037</v>
      </c>
      <c r="W737" s="486">
        <v>2038</v>
      </c>
      <c r="X737" s="486">
        <v>2039</v>
      </c>
      <c r="Y737" s="486">
        <v>2040</v>
      </c>
      <c r="Z737" s="486">
        <v>2041</v>
      </c>
      <c r="AA737" s="486">
        <v>2042</v>
      </c>
      <c r="AB737" s="486">
        <v>2043</v>
      </c>
      <c r="AC737" s="486">
        <v>2044</v>
      </c>
      <c r="AD737" s="486">
        <v>2045</v>
      </c>
      <c r="AE737" s="486">
        <v>2046</v>
      </c>
      <c r="AF737" s="486">
        <v>2047</v>
      </c>
      <c r="AG737" s="486">
        <v>2048</v>
      </c>
      <c r="AH737" s="486">
        <v>2049</v>
      </c>
      <c r="AI737" s="486">
        <v>2050</v>
      </c>
    </row>
    <row r="738" spans="2:35" outlineLevel="1">
      <c r="B738" t="str">
        <f t="shared" si="64"/>
        <v>e-diesel (DAC) - Total cost - Africa - USD/ton fuel</v>
      </c>
      <c r="C738" s="487" t="str">
        <f>C737</f>
        <v>e-diesel (DAC)</v>
      </c>
      <c r="D738" s="487" t="s">
        <v>1362</v>
      </c>
      <c r="E738" s="487" t="s">
        <v>838</v>
      </c>
      <c r="F738" s="487" t="s">
        <v>1353</v>
      </c>
      <c r="G738" s="487" t="str">
        <f t="shared" si="63"/>
        <v>e-diesel (DAC)AfricaTotal cost</v>
      </c>
      <c r="H738" s="488">
        <v>4233.077834254419</v>
      </c>
      <c r="I738" s="488">
        <v>3889.5738294368539</v>
      </c>
      <c r="J738" s="488">
        <v>3548.1039542465574</v>
      </c>
      <c r="K738" s="488">
        <v>3395.9842661599296</v>
      </c>
      <c r="L738" s="488">
        <v>3243.3479239770163</v>
      </c>
      <c r="M738" s="488">
        <v>3090.2432375134867</v>
      </c>
      <c r="N738" s="488">
        <v>2936.7185165850583</v>
      </c>
      <c r="O738" s="488">
        <v>2782.8220710073783</v>
      </c>
      <c r="P738" s="488">
        <v>2721.786058335028</v>
      </c>
      <c r="Q738" s="488">
        <v>2657.5526594623793</v>
      </c>
      <c r="R738" s="488">
        <v>2590.1478952985631</v>
      </c>
      <c r="S738" s="488">
        <v>2519.5977867527426</v>
      </c>
      <c r="T738" s="488">
        <v>2445.9283547341033</v>
      </c>
      <c r="U738" s="488">
        <v>2391.2513161268125</v>
      </c>
      <c r="V738" s="488">
        <v>2334.3242515143338</v>
      </c>
      <c r="W738" s="488">
        <v>2275.155651618235</v>
      </c>
      <c r="X738" s="488">
        <v>2213.7540071599765</v>
      </c>
      <c r="Y738" s="488">
        <v>2150.1278088611007</v>
      </c>
      <c r="Z738" s="488">
        <v>2068.0341398898559</v>
      </c>
      <c r="AA738" s="488">
        <v>1985.5176761284154</v>
      </c>
      <c r="AB738" s="488">
        <v>1902.5734524317356</v>
      </c>
      <c r="AC738" s="488">
        <v>1819.1965036547149</v>
      </c>
      <c r="AD738" s="488">
        <v>1735.3818646522786</v>
      </c>
      <c r="AE738" s="488">
        <v>1664.6553695928048</v>
      </c>
      <c r="AF738" s="488">
        <v>1594.00193594862</v>
      </c>
      <c r="AG738" s="488">
        <v>1523.4184349521358</v>
      </c>
      <c r="AH738" s="488">
        <v>1452.9017378357842</v>
      </c>
      <c r="AI738" s="488">
        <v>1382.448715831998</v>
      </c>
    </row>
    <row r="739" spans="2:35" outlineLevel="1">
      <c r="B739" t="str">
        <f t="shared" si="64"/>
        <v>e-diesel (DAC) - Total cost - Americas - USD/ton fuel</v>
      </c>
      <c r="C739" t="str">
        <f>C738</f>
        <v>e-diesel (DAC)</v>
      </c>
      <c r="D739" t="s">
        <v>1362</v>
      </c>
      <c r="E739" t="s">
        <v>731</v>
      </c>
      <c r="F739" t="s">
        <v>1353</v>
      </c>
      <c r="G739" s="487" t="str">
        <f t="shared" si="63"/>
        <v>e-diesel (DAC)AmericasTotal cost</v>
      </c>
      <c r="H739" s="489">
        <v>3471.4109828354422</v>
      </c>
      <c r="I739" s="489">
        <v>3344.3942298431348</v>
      </c>
      <c r="J739" s="489">
        <v>3217.4921983414911</v>
      </c>
      <c r="K739" s="489">
        <v>3088.7221873790882</v>
      </c>
      <c r="L739" s="489">
        <v>2959.2866755882742</v>
      </c>
      <c r="M739" s="489">
        <v>2829.2181227440392</v>
      </c>
      <c r="N739" s="489">
        <v>2698.5489886214436</v>
      </c>
      <c r="O739" s="489">
        <v>2567.3117329953957</v>
      </c>
      <c r="P739" s="489">
        <v>2523.102677874791</v>
      </c>
      <c r="Q739" s="489">
        <v>2475.4910163973159</v>
      </c>
      <c r="R739" s="489">
        <v>2424.4918211934109</v>
      </c>
      <c r="S739" s="489">
        <v>2370.1201648935003</v>
      </c>
      <c r="T739" s="489">
        <v>2312.3911201280639</v>
      </c>
      <c r="U739" s="489">
        <v>2259.0387960031303</v>
      </c>
      <c r="V739" s="489">
        <v>2203.4589528104993</v>
      </c>
      <c r="W739" s="489">
        <v>2145.6600609112725</v>
      </c>
      <c r="X739" s="489">
        <v>2085.6505906664543</v>
      </c>
      <c r="Y739" s="489">
        <v>2023.4390124371096</v>
      </c>
      <c r="Z739" s="489">
        <v>1952.5084183176946</v>
      </c>
      <c r="AA739" s="489">
        <v>1880.896422147573</v>
      </c>
      <c r="AB739" s="489">
        <v>1808.6010832885884</v>
      </c>
      <c r="AC739" s="489">
        <v>1735.6204611025041</v>
      </c>
      <c r="AD739" s="489">
        <v>1661.9526149511391</v>
      </c>
      <c r="AE739" s="489">
        <v>1594.9422051678503</v>
      </c>
      <c r="AF739" s="489">
        <v>1527.9288748375207</v>
      </c>
      <c r="AG739" s="489">
        <v>1460.9107443136268</v>
      </c>
      <c r="AH739" s="489">
        <v>1393.8859339496553</v>
      </c>
      <c r="AI739" s="489">
        <v>1326.8525640990952</v>
      </c>
    </row>
    <row r="740" spans="2:35" outlineLevel="1">
      <c r="B740" t="str">
        <f t="shared" si="64"/>
        <v>e-diesel (DAC) - Total cost - Asia - USD/ton fuel</v>
      </c>
      <c r="C740" t="str">
        <f>C739</f>
        <v>e-diesel (DAC)</v>
      </c>
      <c r="D740" t="s">
        <v>1362</v>
      </c>
      <c r="E740" t="s">
        <v>750</v>
      </c>
      <c r="F740" t="s">
        <v>1353</v>
      </c>
      <c r="G740" s="487" t="str">
        <f t="shared" si="63"/>
        <v>e-diesel (DAC)AsiaTotal cost</v>
      </c>
      <c r="H740" s="489">
        <v>4463.0171201591793</v>
      </c>
      <c r="I740" s="489">
        <v>4158.6242826139915</v>
      </c>
      <c r="J740" s="489">
        <v>3855.850396798789</v>
      </c>
      <c r="K740" s="489">
        <v>3697.4990660818021</v>
      </c>
      <c r="L740" s="489">
        <v>3538.6060104799981</v>
      </c>
      <c r="M740" s="489">
        <v>3379.2229666832</v>
      </c>
      <c r="N740" s="489">
        <v>3219.4016713813953</v>
      </c>
      <c r="O740" s="489">
        <v>3059.1938612644444</v>
      </c>
      <c r="P740" s="489">
        <v>2985.00686588189</v>
      </c>
      <c r="Q740" s="489">
        <v>2907.7417594033059</v>
      </c>
      <c r="R740" s="489">
        <v>2827.4324734982042</v>
      </c>
      <c r="S740" s="489">
        <v>2744.1129398360531</v>
      </c>
      <c r="T740" s="489">
        <v>2657.8170900864375</v>
      </c>
      <c r="U740" s="489">
        <v>2594.527471078688</v>
      </c>
      <c r="V740" s="489">
        <v>2529.0810360795431</v>
      </c>
      <c r="W740" s="489">
        <v>2461.4897449067712</v>
      </c>
      <c r="X740" s="489">
        <v>2391.7655573779925</v>
      </c>
      <c r="Y740" s="489">
        <v>2319.9204333109487</v>
      </c>
      <c r="Z740" s="489">
        <v>2228.857724407871</v>
      </c>
      <c r="AA740" s="489">
        <v>2137.5647093827602</v>
      </c>
      <c r="AB740" s="489">
        <v>2046.0342689217675</v>
      </c>
      <c r="AC740" s="489">
        <v>1954.259283710986</v>
      </c>
      <c r="AD740" s="489">
        <v>1862.2326344365397</v>
      </c>
      <c r="AE740" s="489">
        <v>1787.6117493594509</v>
      </c>
      <c r="AF740" s="489">
        <v>1713.1377720295286</v>
      </c>
      <c r="AG740" s="489">
        <v>1638.806510915156</v>
      </c>
      <c r="AH740" s="489">
        <v>1564.6137744847167</v>
      </c>
      <c r="AI740" s="489">
        <v>1490.5553712065966</v>
      </c>
    </row>
    <row r="741" spans="2:35" outlineLevel="1">
      <c r="B741" t="str">
        <f t="shared" si="64"/>
        <v>e-diesel (DAC) - Total cost - Europe - USD/ton fuel</v>
      </c>
      <c r="C741" t="str">
        <f>C740</f>
        <v>e-diesel (DAC)</v>
      </c>
      <c r="D741" t="s">
        <v>1362</v>
      </c>
      <c r="E741" t="s">
        <v>720</v>
      </c>
      <c r="F741" t="s">
        <v>1353</v>
      </c>
      <c r="G741" s="487" t="str">
        <f t="shared" si="63"/>
        <v>e-diesel (DAC)EuropeTotal cost</v>
      </c>
      <c r="H741" s="489">
        <v>3880.5669065019192</v>
      </c>
      <c r="I741" s="489">
        <v>3705.4189723515742</v>
      </c>
      <c r="J741" s="489">
        <v>3530.7678599543974</v>
      </c>
      <c r="K741" s="489">
        <v>3386.6134791016143</v>
      </c>
      <c r="L741" s="489">
        <v>3241.8634940965585</v>
      </c>
      <c r="M741" s="489">
        <v>3096.5604585520168</v>
      </c>
      <c r="N741" s="489">
        <v>2950.7469260807752</v>
      </c>
      <c r="O741" s="489">
        <v>2804.4654502955664</v>
      </c>
      <c r="P741" s="489">
        <v>2755.5714857060948</v>
      </c>
      <c r="Q741" s="489">
        <v>2703.2645770630907</v>
      </c>
      <c r="R741" s="489">
        <v>2647.5617853282347</v>
      </c>
      <c r="S741" s="489">
        <v>2588.4801714632354</v>
      </c>
      <c r="T741" s="489">
        <v>2526.0367964298625</v>
      </c>
      <c r="U741" s="489">
        <v>2473.2953648698222</v>
      </c>
      <c r="V741" s="489">
        <v>2418.2363402680794</v>
      </c>
      <c r="W741" s="489">
        <v>2360.8667843026246</v>
      </c>
      <c r="X741" s="489">
        <v>2301.1937586513295</v>
      </c>
      <c r="Y741" s="489">
        <v>2239.2243249921439</v>
      </c>
      <c r="Z741" s="489">
        <v>2158.1002672256163</v>
      </c>
      <c r="AA741" s="489">
        <v>2076.5084443692385</v>
      </c>
      <c r="AB741" s="489">
        <v>1994.4445600884771</v>
      </c>
      <c r="AC741" s="489">
        <v>1911.9043180487063</v>
      </c>
      <c r="AD741" s="489">
        <v>1828.8834219153669</v>
      </c>
      <c r="AE741" s="489">
        <v>1755.0273404255074</v>
      </c>
      <c r="AF741" s="489">
        <v>1681.30464189744</v>
      </c>
      <c r="AG741" s="489">
        <v>1607.7113018649409</v>
      </c>
      <c r="AH741" s="489">
        <v>1534.2432958617883</v>
      </c>
      <c r="AI741" s="489">
        <v>1460.8965994217597</v>
      </c>
    </row>
    <row r="742" spans="2:35" outlineLevel="1">
      <c r="B742" t="str">
        <f t="shared" si="64"/>
        <v>e-diesel (DAC) - Total cost - Middle East - USD/ton fuel</v>
      </c>
      <c r="C742" s="25" t="str">
        <f>C741</f>
        <v>e-diesel (DAC)</v>
      </c>
      <c r="D742" s="25" t="s">
        <v>1362</v>
      </c>
      <c r="E742" s="25" t="s">
        <v>826</v>
      </c>
      <c r="F742" s="25" t="s">
        <v>1353</v>
      </c>
      <c r="G742" s="487" t="str">
        <f t="shared" si="63"/>
        <v>e-diesel (DAC)Middle EastTotal cost</v>
      </c>
      <c r="H742" s="490">
        <v>3483.1024594958426</v>
      </c>
      <c r="I742" s="490">
        <v>3325.5038099398962</v>
      </c>
      <c r="J742" s="490">
        <v>3168.3088766605561</v>
      </c>
      <c r="K742" s="490">
        <v>3046.7959028100513</v>
      </c>
      <c r="L742" s="490">
        <v>2924.5553539649845</v>
      </c>
      <c r="M742" s="490">
        <v>2801.6145677118502</v>
      </c>
      <c r="N742" s="490">
        <v>2678.0008816371992</v>
      </c>
      <c r="O742" s="490">
        <v>2553.7416333274759</v>
      </c>
      <c r="P742" s="490">
        <v>2504.7938010299813</v>
      </c>
      <c r="Q742" s="490">
        <v>2452.5294412479366</v>
      </c>
      <c r="R742" s="490">
        <v>2396.9671541348371</v>
      </c>
      <c r="S742" s="490">
        <v>2338.1255398441958</v>
      </c>
      <c r="T742" s="490">
        <v>2276.0231985295572</v>
      </c>
      <c r="U742" s="490">
        <v>2226.8196135399539</v>
      </c>
      <c r="V742" s="490">
        <v>2175.3196300505629</v>
      </c>
      <c r="W742" s="490">
        <v>2121.5297133043105</v>
      </c>
      <c r="X742" s="490">
        <v>2065.4563285440036</v>
      </c>
      <c r="Y742" s="490">
        <v>2007.1059410125333</v>
      </c>
      <c r="Z742" s="490">
        <v>1927.2953788016171</v>
      </c>
      <c r="AA742" s="490">
        <v>1847.0354635065855</v>
      </c>
      <c r="AB742" s="490">
        <v>1766.3213734471562</v>
      </c>
      <c r="AC742" s="490">
        <v>1685.1482869429888</v>
      </c>
      <c r="AD742" s="490">
        <v>1603.5113823137749</v>
      </c>
      <c r="AE742" s="490">
        <v>1534.8196359350538</v>
      </c>
      <c r="AF742" s="490">
        <v>1466.1699674573188</v>
      </c>
      <c r="AG742" s="490">
        <v>1397.5594796271464</v>
      </c>
      <c r="AH742" s="490">
        <v>1328.9852751911285</v>
      </c>
      <c r="AI742" s="490">
        <v>1260.4444568958568</v>
      </c>
    </row>
    <row r="743" spans="2:35" ht="15" outlineLevel="1">
      <c r="B743" t="str">
        <f t="shared" si="64"/>
        <v/>
      </c>
      <c r="C743" s="22"/>
      <c r="G743" s="487" t="str">
        <f t="shared" si="63"/>
        <v/>
      </c>
    </row>
    <row r="744" spans="2:35" ht="15" outlineLevel="1">
      <c r="B744" t="str">
        <f t="shared" si="64"/>
        <v>e-diesel (DAC) - CAPEX including feedstock CAPEX - Global - USD/ton fuel</v>
      </c>
      <c r="C744" s="491" t="str">
        <f>C737</f>
        <v>e-diesel (DAC)</v>
      </c>
      <c r="D744" s="491" t="s">
        <v>1363</v>
      </c>
      <c r="E744" s="491" t="s">
        <v>708</v>
      </c>
      <c r="F744" s="491" t="s">
        <v>1353</v>
      </c>
      <c r="G744" s="487" t="str">
        <f t="shared" si="63"/>
        <v>e-diesel (DAC)GlobalCAPEX including feedstock CAPEX</v>
      </c>
      <c r="H744" s="492">
        <v>422.55451060910485</v>
      </c>
      <c r="I744" s="492">
        <v>409.76629204349035</v>
      </c>
      <c r="J744" s="492">
        <v>396.86075840591059</v>
      </c>
      <c r="K744" s="492">
        <v>386.57887646154353</v>
      </c>
      <c r="L744" s="492">
        <v>376.07904929153608</v>
      </c>
      <c r="M744" s="492">
        <v>365.36127689589131</v>
      </c>
      <c r="N744" s="492">
        <v>354.42555927461081</v>
      </c>
      <c r="O744" s="492">
        <v>343.27189642768974</v>
      </c>
      <c r="P744" s="492">
        <v>340.93115743645598</v>
      </c>
      <c r="Q744" s="492">
        <v>338.08214778753472</v>
      </c>
      <c r="R744" s="492">
        <v>334.72486748092399</v>
      </c>
      <c r="S744" s="492">
        <v>330.85931651662298</v>
      </c>
      <c r="T744" s="492">
        <v>326.48549489463426</v>
      </c>
      <c r="U744" s="492">
        <v>321.60041308143832</v>
      </c>
      <c r="V744" s="492">
        <v>316.29583126997767</v>
      </c>
      <c r="W744" s="492">
        <v>310.57174946025708</v>
      </c>
      <c r="X744" s="492">
        <v>304.42816765227087</v>
      </c>
      <c r="Y744" s="492">
        <v>297.86508584601791</v>
      </c>
      <c r="Z744" s="492">
        <v>288.54272574678106</v>
      </c>
      <c r="AA744" s="492">
        <v>278.90382949636228</v>
      </c>
      <c r="AB744" s="492">
        <v>268.94839709476543</v>
      </c>
      <c r="AC744" s="492">
        <v>258.67642854198817</v>
      </c>
      <c r="AD744" s="492">
        <v>248.08792383803024</v>
      </c>
      <c r="AE744" s="492">
        <v>237.3342375518001</v>
      </c>
      <c r="AF744" s="492">
        <v>226.38255940692184</v>
      </c>
      <c r="AG744" s="492">
        <v>215.23288940339455</v>
      </c>
      <c r="AH744" s="492">
        <v>203.88522754121877</v>
      </c>
      <c r="AI744" s="492">
        <v>192.33957382039489</v>
      </c>
    </row>
    <row r="745" spans="2:35" outlineLevel="1">
      <c r="B745" t="str">
        <f t="shared" si="64"/>
        <v>e-diesel (DAC) - CAPEX - Global - USD/ton fuel</v>
      </c>
      <c r="C745" t="str">
        <f>C737</f>
        <v>e-diesel (DAC)</v>
      </c>
      <c r="D745" t="s">
        <v>446</v>
      </c>
      <c r="E745" t="s">
        <v>708</v>
      </c>
      <c r="F745" t="s">
        <v>1353</v>
      </c>
      <c r="G745" s="487" t="str">
        <f t="shared" si="63"/>
        <v>e-diesel (DAC)GlobalCAPEX</v>
      </c>
      <c r="H745" s="493">
        <v>204</v>
      </c>
      <c r="I745" s="493">
        <v>198.66666666666666</v>
      </c>
      <c r="J745" s="493">
        <v>193.33333333333334</v>
      </c>
      <c r="K745" s="493">
        <v>188</v>
      </c>
      <c r="L745" s="493">
        <v>182.66666666666666</v>
      </c>
      <c r="M745" s="493">
        <v>177.33333333333334</v>
      </c>
      <c r="N745" s="493">
        <v>172</v>
      </c>
      <c r="O745" s="493">
        <v>166.66666666666666</v>
      </c>
      <c r="P745" s="493">
        <v>164.5</v>
      </c>
      <c r="Q745" s="493">
        <v>162.33333333333334</v>
      </c>
      <c r="R745" s="493">
        <v>160.16666666666666</v>
      </c>
      <c r="S745" s="493">
        <v>158</v>
      </c>
      <c r="T745" s="493">
        <v>155.83333333333334</v>
      </c>
      <c r="U745" s="493">
        <v>153.66666666666666</v>
      </c>
      <c r="V745" s="493">
        <v>151.5</v>
      </c>
      <c r="W745" s="493">
        <v>149.33333333333334</v>
      </c>
      <c r="X745" s="493">
        <v>147.16666666666666</v>
      </c>
      <c r="Y745" s="493">
        <v>145</v>
      </c>
      <c r="Z745" s="493">
        <v>140.5</v>
      </c>
      <c r="AA745" s="493">
        <v>136</v>
      </c>
      <c r="AB745" s="493">
        <v>131.5</v>
      </c>
      <c r="AC745" s="493">
        <v>127</v>
      </c>
      <c r="AD745" s="493">
        <v>122.5</v>
      </c>
      <c r="AE745" s="493">
        <v>118</v>
      </c>
      <c r="AF745" s="493">
        <v>113.5</v>
      </c>
      <c r="AG745" s="493">
        <v>109</v>
      </c>
      <c r="AH745" s="493">
        <v>104.5</v>
      </c>
      <c r="AI745" s="493">
        <v>100</v>
      </c>
    </row>
    <row r="746" spans="2:35" outlineLevel="1">
      <c r="B746" t="str">
        <f t="shared" si="64"/>
        <v>e-hydrogen (compressed) - CAPEX including feedstock CAPEX - Global - USD/ton fuel</v>
      </c>
      <c r="C746" t="s">
        <v>722</v>
      </c>
      <c r="D746" t="s">
        <v>1363</v>
      </c>
      <c r="E746" t="s">
        <v>708</v>
      </c>
      <c r="F746" t="s">
        <v>1353</v>
      </c>
      <c r="G746" s="487" t="str">
        <f t="shared" si="63"/>
        <v>e-hydrogen (compressed)GlobalCAPEX including feedstock CAPEX</v>
      </c>
      <c r="H746" s="507">
        <v>256.64635353013858</v>
      </c>
      <c r="I746" s="507">
        <v>247.21700590830653</v>
      </c>
      <c r="J746" s="507">
        <v>237.53805175037812</v>
      </c>
      <c r="K746" s="507">
        <v>232.53269690653616</v>
      </c>
      <c r="L746" s="507">
        <v>227.06362881665248</v>
      </c>
      <c r="M746" s="507">
        <v>221.13084748073197</v>
      </c>
      <c r="N746" s="507">
        <v>214.73435289877628</v>
      </c>
      <c r="O746" s="507">
        <v>207.87414507077864</v>
      </c>
      <c r="P746" s="507">
        <v>212.24697175898439</v>
      </c>
      <c r="Q746" s="507">
        <v>215.53837151594018</v>
      </c>
      <c r="R746" s="507">
        <v>217.74834434164336</v>
      </c>
      <c r="S746" s="507">
        <v>218.87689023608903</v>
      </c>
      <c r="T746" s="507">
        <v>218.92400919928582</v>
      </c>
      <c r="U746" s="507">
        <v>217.21328869368136</v>
      </c>
      <c r="V746" s="507">
        <v>214.61001500027928</v>
      </c>
      <c r="W746" s="507">
        <v>211.1141881190886</v>
      </c>
      <c r="X746" s="507">
        <v>206.72580805010043</v>
      </c>
      <c r="Y746" s="507">
        <v>201.44487479331141</v>
      </c>
      <c r="Z746" s="507">
        <v>194.68227936129369</v>
      </c>
      <c r="AA746" s="507">
        <v>187.24620275654928</v>
      </c>
      <c r="AB746" s="507">
        <v>179.13664497908553</v>
      </c>
      <c r="AC746" s="507">
        <v>170.35360602889762</v>
      </c>
      <c r="AD746" s="507">
        <v>160.89708590598403</v>
      </c>
      <c r="AE746" s="507">
        <v>150.64085698303418</v>
      </c>
      <c r="AF746" s="507">
        <v>139.96336878636401</v>
      </c>
      <c r="AG746" s="507">
        <v>128.86462131597352</v>
      </c>
      <c r="AH746" s="507">
        <v>117.34461457186269</v>
      </c>
      <c r="AI746" s="507">
        <v>105.40334855403168</v>
      </c>
    </row>
    <row r="747" spans="2:35" outlineLevel="1">
      <c r="B747" t="str">
        <f t="shared" si="64"/>
        <v>Carbon dioxide (DAC) - CAPEX - Global - USD/ton fuel</v>
      </c>
      <c r="C747" t="s">
        <v>1379</v>
      </c>
      <c r="D747" t="s">
        <v>446</v>
      </c>
      <c r="E747" t="s">
        <v>708</v>
      </c>
      <c r="F747" t="s">
        <v>1353</v>
      </c>
      <c r="G747" s="487" t="str">
        <f t="shared" si="63"/>
        <v>Carbon dioxide (DAC)GlobalCAPEX</v>
      </c>
      <c r="H747" s="493">
        <v>30.508013847333252</v>
      </c>
      <c r="I747" s="493">
        <v>29.566240685333227</v>
      </c>
      <c r="J747" s="493">
        <v>28.624467523333198</v>
      </c>
      <c r="K747" s="493">
        <v>27.81573486463288</v>
      </c>
      <c r="L747" s="493">
        <v>27.00700220593232</v>
      </c>
      <c r="M747" s="493">
        <v>26.198269547231757</v>
      </c>
      <c r="N747" s="493">
        <v>25.389536888531438</v>
      </c>
      <c r="O747" s="493">
        <v>24.580804229830878</v>
      </c>
      <c r="P747" s="493">
        <v>23.886317978110068</v>
      </c>
      <c r="Q747" s="493">
        <v>23.191831726389257</v>
      </c>
      <c r="R747" s="493">
        <v>22.497345474668204</v>
      </c>
      <c r="S747" s="493">
        <v>21.802859222947397</v>
      </c>
      <c r="T747" s="493">
        <v>21.108372971226345</v>
      </c>
      <c r="U747" s="493">
        <v>20.511993996492674</v>
      </c>
      <c r="V747" s="493">
        <v>19.915615021759002</v>
      </c>
      <c r="W747" s="493">
        <v>19.319236047025576</v>
      </c>
      <c r="X747" s="493">
        <v>18.722857072291905</v>
      </c>
      <c r="Y747" s="493">
        <v>18.126478097558113</v>
      </c>
      <c r="Z747" s="493">
        <v>17.614347179742374</v>
      </c>
      <c r="AA747" s="493">
        <v>17.102216261926515</v>
      </c>
      <c r="AB747" s="493">
        <v>16.590085344110655</v>
      </c>
      <c r="AC747" s="493">
        <v>16.077954426294795</v>
      </c>
      <c r="AD747" s="493">
        <v>15.565823508479054</v>
      </c>
      <c r="AE747" s="493">
        <v>15.119325473449862</v>
      </c>
      <c r="AF747" s="493">
        <v>14.672827438420791</v>
      </c>
      <c r="AG747" s="493">
        <v>14.226329403391597</v>
      </c>
      <c r="AH747" s="493">
        <v>13.779831368362405</v>
      </c>
      <c r="AI747" s="493">
        <v>13.333333333333334</v>
      </c>
    </row>
    <row r="748" spans="2:35" outlineLevel="1">
      <c r="B748" t="str">
        <f t="shared" si="64"/>
        <v>e-diesel - Conversion H2 -&gt; diesel - Global - ton H2/ton diesel</v>
      </c>
      <c r="C748" t="s">
        <v>1393</v>
      </c>
      <c r="D748" t="s">
        <v>1394</v>
      </c>
      <c r="E748" t="s">
        <v>708</v>
      </c>
      <c r="F748" t="s">
        <v>1395</v>
      </c>
      <c r="G748" s="487" t="str">
        <f t="shared" si="63"/>
        <v>e-dieselGlobalConversion H2 -&gt; diesel</v>
      </c>
      <c r="H748" s="508">
        <v>0.47</v>
      </c>
      <c r="I748" s="508">
        <v>0.47</v>
      </c>
      <c r="J748" s="508">
        <v>0.47</v>
      </c>
      <c r="K748" s="508">
        <v>0.47</v>
      </c>
      <c r="L748" s="508">
        <v>0.47</v>
      </c>
      <c r="M748" s="508">
        <v>0.47</v>
      </c>
      <c r="N748" s="508">
        <v>0.47</v>
      </c>
      <c r="O748" s="508">
        <v>0.47</v>
      </c>
      <c r="P748" s="508">
        <v>0.47</v>
      </c>
      <c r="Q748" s="508">
        <v>0.47</v>
      </c>
      <c r="R748" s="508">
        <v>0.47</v>
      </c>
      <c r="S748" s="508">
        <v>0.47</v>
      </c>
      <c r="T748" s="508">
        <v>0.47</v>
      </c>
      <c r="U748" s="508">
        <v>0.47</v>
      </c>
      <c r="V748" s="508">
        <v>0.47</v>
      </c>
      <c r="W748" s="508">
        <v>0.47</v>
      </c>
      <c r="X748" s="508">
        <v>0.47</v>
      </c>
      <c r="Y748" s="508">
        <v>0.47</v>
      </c>
      <c r="Z748" s="508">
        <v>0.47</v>
      </c>
      <c r="AA748" s="508">
        <v>0.47</v>
      </c>
      <c r="AB748" s="508">
        <v>0.47</v>
      </c>
      <c r="AC748" s="508">
        <v>0.47</v>
      </c>
      <c r="AD748" s="508">
        <v>0.47</v>
      </c>
      <c r="AE748" s="508">
        <v>0.47</v>
      </c>
      <c r="AF748" s="508">
        <v>0.47</v>
      </c>
      <c r="AG748" s="508">
        <v>0.47</v>
      </c>
      <c r="AH748" s="508">
        <v>0.47</v>
      </c>
      <c r="AI748" s="508">
        <v>0.47</v>
      </c>
    </row>
    <row r="749" spans="2:35" outlineLevel="1">
      <c r="B749" t="str">
        <f t="shared" si="64"/>
        <v>e-diesel - Conversion CO2 -&gt; diesel - Global - ton CO2/ton diesel</v>
      </c>
      <c r="C749" t="s">
        <v>1393</v>
      </c>
      <c r="D749" t="s">
        <v>1396</v>
      </c>
      <c r="E749" t="s">
        <v>708</v>
      </c>
      <c r="F749" t="s">
        <v>1397</v>
      </c>
      <c r="G749" s="487" t="str">
        <f t="shared" si="63"/>
        <v>e-dieselGlobalConversion CO2 -&gt; diesel</v>
      </c>
      <c r="H749" s="508">
        <v>3.21</v>
      </c>
      <c r="I749" s="508">
        <v>3.21</v>
      </c>
      <c r="J749" s="508">
        <v>3.21</v>
      </c>
      <c r="K749" s="508">
        <v>3.21</v>
      </c>
      <c r="L749" s="508">
        <v>3.21</v>
      </c>
      <c r="M749" s="508">
        <v>3.21</v>
      </c>
      <c r="N749" s="508">
        <v>3.21</v>
      </c>
      <c r="O749" s="508">
        <v>3.21</v>
      </c>
      <c r="P749" s="508">
        <v>3.21</v>
      </c>
      <c r="Q749" s="508">
        <v>3.21</v>
      </c>
      <c r="R749" s="508">
        <v>3.21</v>
      </c>
      <c r="S749" s="508">
        <v>3.21</v>
      </c>
      <c r="T749" s="508">
        <v>3.21</v>
      </c>
      <c r="U749" s="508">
        <v>3.21</v>
      </c>
      <c r="V749" s="508">
        <v>3.21</v>
      </c>
      <c r="W749" s="508">
        <v>3.21</v>
      </c>
      <c r="X749" s="508">
        <v>3.21</v>
      </c>
      <c r="Y749" s="508">
        <v>3.21</v>
      </c>
      <c r="Z749" s="508">
        <v>3.21</v>
      </c>
      <c r="AA749" s="508">
        <v>3.21</v>
      </c>
      <c r="AB749" s="508">
        <v>3.21</v>
      </c>
      <c r="AC749" s="508">
        <v>3.21</v>
      </c>
      <c r="AD749" s="508">
        <v>3.21</v>
      </c>
      <c r="AE749" s="508">
        <v>3.21</v>
      </c>
      <c r="AF749" s="508">
        <v>3.21</v>
      </c>
      <c r="AG749" s="508">
        <v>3.21</v>
      </c>
      <c r="AH749" s="508">
        <v>3.21</v>
      </c>
      <c r="AI749" s="508">
        <v>3.21</v>
      </c>
    </row>
    <row r="750" spans="2:35" outlineLevel="1">
      <c r="B750" t="str">
        <f t="shared" si="64"/>
        <v/>
      </c>
      <c r="G750" s="487" t="str">
        <f t="shared" si="63"/>
        <v/>
      </c>
      <c r="H750" s="493"/>
      <c r="I750" s="493"/>
      <c r="J750" s="493"/>
      <c r="K750" s="493"/>
      <c r="L750" s="493"/>
      <c r="M750" s="493"/>
      <c r="N750" s="493"/>
      <c r="O750" s="493"/>
      <c r="P750" s="493"/>
      <c r="Q750" s="493"/>
      <c r="R750" s="493"/>
      <c r="S750" s="493"/>
      <c r="T750" s="493"/>
      <c r="U750" s="493"/>
      <c r="V750" s="493"/>
      <c r="W750" s="493"/>
      <c r="X750" s="493"/>
      <c r="Y750" s="493"/>
      <c r="Z750" s="493"/>
      <c r="AA750" s="493"/>
      <c r="AB750" s="493"/>
      <c r="AC750" s="493"/>
      <c r="AD750" s="493"/>
      <c r="AE750" s="493"/>
      <c r="AF750" s="493"/>
      <c r="AG750" s="493"/>
      <c r="AH750" s="493"/>
      <c r="AI750" s="493"/>
    </row>
    <row r="751" spans="2:35" ht="15" outlineLevel="1">
      <c r="B751" t="str">
        <f t="shared" si="64"/>
        <v>e-diesel (DAC) - OPEX including feedstock OPEX - Global - USD/ton fuel</v>
      </c>
      <c r="C751" s="491" t="str">
        <f>C737</f>
        <v>e-diesel (DAC)</v>
      </c>
      <c r="D751" s="491" t="s">
        <v>1364</v>
      </c>
      <c r="E751" s="491" t="s">
        <v>708</v>
      </c>
      <c r="F751" s="491" t="s">
        <v>1353</v>
      </c>
      <c r="G751" s="487" t="str">
        <f t="shared" si="63"/>
        <v>e-diesel (DAC)GlobalOPEX including feedstock OPEX</v>
      </c>
      <c r="H751" s="492">
        <v>1057.7372738525414</v>
      </c>
      <c r="I751" s="492">
        <v>997.06825768004649</v>
      </c>
      <c r="J751" s="492">
        <v>936.75546409288199</v>
      </c>
      <c r="K751" s="492">
        <v>885.78370282048479</v>
      </c>
      <c r="L751" s="492">
        <v>834.55138833762862</v>
      </c>
      <c r="M751" s="492">
        <v>783.05852064430189</v>
      </c>
      <c r="N751" s="492">
        <v>731.30509974052541</v>
      </c>
      <c r="O751" s="492">
        <v>679.29112562626824</v>
      </c>
      <c r="P751" s="492">
        <v>670.00626109781888</v>
      </c>
      <c r="Q751" s="492">
        <v>658.54554073387271</v>
      </c>
      <c r="R751" s="492">
        <v>644.90896453443929</v>
      </c>
      <c r="S751" s="492">
        <v>629.09653249950907</v>
      </c>
      <c r="T751" s="492">
        <v>611.10824462908761</v>
      </c>
      <c r="U751" s="492">
        <v>594.73914274060724</v>
      </c>
      <c r="V751" s="492">
        <v>577.08104779304267</v>
      </c>
      <c r="W751" s="492">
        <v>558.13395978640585</v>
      </c>
      <c r="X751" s="492">
        <v>537.89787872067689</v>
      </c>
      <c r="Y751" s="492">
        <v>516.37280459586384</v>
      </c>
      <c r="Z751" s="492">
        <v>485.37352102285138</v>
      </c>
      <c r="AA751" s="492">
        <v>454.30000055487267</v>
      </c>
      <c r="AB751" s="492">
        <v>423.15224319194624</v>
      </c>
      <c r="AC751" s="492">
        <v>391.9302489340572</v>
      </c>
      <c r="AD751" s="492">
        <v>360.63401778121511</v>
      </c>
      <c r="AE751" s="492">
        <v>333.71139581301748</v>
      </c>
      <c r="AF751" s="492">
        <v>307.12087483162151</v>
      </c>
      <c r="AG751" s="492">
        <v>280.86245483702299</v>
      </c>
      <c r="AH751" s="492">
        <v>254.93613582922234</v>
      </c>
      <c r="AI751" s="492">
        <v>229.34191780822027</v>
      </c>
    </row>
    <row r="752" spans="2:35" outlineLevel="1">
      <c r="B752" t="str">
        <f t="shared" si="64"/>
        <v>e-diesel (DAC) - OPEX - Global - USD/ton fuel</v>
      </c>
      <c r="C752" t="str">
        <f>C737</f>
        <v>e-diesel (DAC)</v>
      </c>
      <c r="D752" t="s">
        <v>450</v>
      </c>
      <c r="E752" t="s">
        <v>708</v>
      </c>
      <c r="F752" t="s">
        <v>1353</v>
      </c>
      <c r="G752" s="487" t="str">
        <f t="shared" si="63"/>
        <v>e-diesel (DAC)GlobalOPEX</v>
      </c>
      <c r="H752" s="493">
        <v>538.55999999999506</v>
      </c>
      <c r="I752" s="493">
        <v>500.63999999999783</v>
      </c>
      <c r="J752" s="493">
        <v>464.0000000000004</v>
      </c>
      <c r="K752" s="493">
        <v>428.63999999999288</v>
      </c>
      <c r="L752" s="493">
        <v>394.55999999999551</v>
      </c>
      <c r="M752" s="493">
        <v>361.75999999999794</v>
      </c>
      <c r="N752" s="493">
        <v>330.24000000000029</v>
      </c>
      <c r="O752" s="493">
        <v>299.99999999999363</v>
      </c>
      <c r="P752" s="493">
        <v>296.09999999999997</v>
      </c>
      <c r="Q752" s="493">
        <v>292.2</v>
      </c>
      <c r="R752" s="493">
        <v>288.3</v>
      </c>
      <c r="S752" s="493">
        <v>284.39999999999998</v>
      </c>
      <c r="T752" s="493">
        <v>280.5</v>
      </c>
      <c r="U752" s="493">
        <v>276.59999999999997</v>
      </c>
      <c r="V752" s="493">
        <v>272.7</v>
      </c>
      <c r="W752" s="493">
        <v>268.8</v>
      </c>
      <c r="X752" s="493">
        <v>264.89999999999998</v>
      </c>
      <c r="Y752" s="493">
        <v>260.99999999999829</v>
      </c>
      <c r="Z752" s="493">
        <v>244.46999999999929</v>
      </c>
      <c r="AA752" s="493">
        <v>228.47999999999658</v>
      </c>
      <c r="AB752" s="493">
        <v>213.02999999999756</v>
      </c>
      <c r="AC752" s="493">
        <v>198.11999999999847</v>
      </c>
      <c r="AD752" s="493">
        <v>183.74999999999935</v>
      </c>
      <c r="AE752" s="493">
        <v>169.919999999997</v>
      </c>
      <c r="AF752" s="493">
        <v>156.62999999999786</v>
      </c>
      <c r="AG752" s="493">
        <v>143.87999999999869</v>
      </c>
      <c r="AH752" s="493">
        <v>131.66999999999942</v>
      </c>
      <c r="AI752" s="493">
        <v>120.00000000000011</v>
      </c>
    </row>
    <row r="753" spans="2:35" outlineLevel="1">
      <c r="B753" t="str">
        <f t="shared" si="64"/>
        <v>e-hydrogen (compressed) - OPEX including feedstock OPEX - Global - USD/ton fuel</v>
      </c>
      <c r="C753" t="s">
        <v>722</v>
      </c>
      <c r="D753" t="s">
        <v>1364</v>
      </c>
      <c r="E753" t="s">
        <v>708</v>
      </c>
      <c r="F753" t="s">
        <v>1353</v>
      </c>
      <c r="G753" s="487" t="str">
        <f t="shared" si="63"/>
        <v>e-hydrogen (compressed)GlobalOPEX including feedstock OPEX</v>
      </c>
      <c r="H753" s="507">
        <v>778.63990898977545</v>
      </c>
      <c r="I753" s="507">
        <v>746.81733762687418</v>
      </c>
      <c r="J753" s="507">
        <v>712.61415525113227</v>
      </c>
      <c r="K753" s="507">
        <v>693.21795180920219</v>
      </c>
      <c r="L753" s="507">
        <v>670.22211331548374</v>
      </c>
      <c r="M753" s="507">
        <v>643.6266397699726</v>
      </c>
      <c r="N753" s="507">
        <v>613.43153117270822</v>
      </c>
      <c r="O753" s="507">
        <v>579.63678752365013</v>
      </c>
      <c r="P753" s="507">
        <v>578.89498738880036</v>
      </c>
      <c r="Q753" s="507">
        <v>573.27415594361116</v>
      </c>
      <c r="R753" s="507">
        <v>562.77429318809038</v>
      </c>
      <c r="S753" s="507">
        <v>547.39539912221437</v>
      </c>
      <c r="T753" s="507">
        <v>527.13747374599984</v>
      </c>
      <c r="U753" s="507">
        <v>508.91545321169565</v>
      </c>
      <c r="V753" s="507">
        <v>487.75740898550708</v>
      </c>
      <c r="W753" s="507">
        <v>463.66334106745865</v>
      </c>
      <c r="X753" s="507">
        <v>436.63324945751151</v>
      </c>
      <c r="Y753" s="507">
        <v>406.66713415568563</v>
      </c>
      <c r="Z753" s="507">
        <v>382.32288786138321</v>
      </c>
      <c r="AA753" s="507">
        <v>356.52173881762411</v>
      </c>
      <c r="AB753" s="507">
        <v>329.2636870244329</v>
      </c>
      <c r="AC753" s="507">
        <v>300.54873248178433</v>
      </c>
      <c r="AD753" s="507">
        <v>270.37687518969852</v>
      </c>
      <c r="AE753" s="507">
        <v>247.55933903156756</v>
      </c>
      <c r="AF753" s="507">
        <v>224.18137658421693</v>
      </c>
      <c r="AG753" s="507">
        <v>200.24298784764761</v>
      </c>
      <c r="AH753" s="507">
        <v>175.74417282185905</v>
      </c>
      <c r="AI753" s="507">
        <v>150.68493150685131</v>
      </c>
    </row>
    <row r="754" spans="2:35" outlineLevel="1">
      <c r="B754" t="str">
        <f t="shared" si="64"/>
        <v>Carbon dioxide (DAC) - OPEX - Global - USD/ton fuel</v>
      </c>
      <c r="C754" t="s">
        <v>1379</v>
      </c>
      <c r="D754" t="s">
        <v>450</v>
      </c>
      <c r="E754" t="s">
        <v>708</v>
      </c>
      <c r="F754" t="s">
        <v>1353</v>
      </c>
      <c r="G754" s="487" t="str">
        <f t="shared" si="63"/>
        <v>Carbon dioxide (DAC)GlobalOPEX</v>
      </c>
      <c r="H754" s="493">
        <v>47.7310020645956</v>
      </c>
      <c r="I754" s="493">
        <v>45.303460746236098</v>
      </c>
      <c r="J754" s="493">
        <v>42.936701284999835</v>
      </c>
      <c r="K754" s="493">
        <v>40.913166813136101</v>
      </c>
      <c r="L754" s="493">
        <v>38.936758591699629</v>
      </c>
      <c r="M754" s="493">
        <v>37.007476620690611</v>
      </c>
      <c r="N754" s="493">
        <v>35.125320900109735</v>
      </c>
      <c r="O754" s="493">
        <v>33.290291429956135</v>
      </c>
      <c r="P754" s="493">
        <v>31.721376020274985</v>
      </c>
      <c r="Q754" s="493">
        <v>30.18899920260916</v>
      </c>
      <c r="R754" s="493">
        <v>28.693160976958509</v>
      </c>
      <c r="S754" s="493">
        <v>27.23386134332349</v>
      </c>
      <c r="T754" s="493">
        <v>25.811100301703355</v>
      </c>
      <c r="U754" s="493">
        <v>24.594666582900402</v>
      </c>
      <c r="V754" s="493">
        <v>23.406562482820661</v>
      </c>
      <c r="W754" s="493">
        <v>22.246788001464278</v>
      </c>
      <c r="X754" s="493">
        <v>21.115343138830685</v>
      </c>
      <c r="Y754" s="493">
        <v>20.012227894920034</v>
      </c>
      <c r="Z754" s="493">
        <v>19.069085273520873</v>
      </c>
      <c r="AA754" s="493">
        <v>18.147907573393375</v>
      </c>
      <c r="AB754" s="493">
        <v>17.248694794537446</v>
      </c>
      <c r="AC754" s="493">
        <v>16.371446936953305</v>
      </c>
      <c r="AD754" s="493">
        <v>15.516164000640968</v>
      </c>
      <c r="AE754" s="493">
        <v>14.778350924667834</v>
      </c>
      <c r="AF754" s="493">
        <v>14.057827986617346</v>
      </c>
      <c r="AG754" s="493">
        <v>13.354595186489069</v>
      </c>
      <c r="AH754" s="493">
        <v>12.668652524283226</v>
      </c>
      <c r="AI754" s="493">
        <v>12.000000000000011</v>
      </c>
    </row>
    <row r="755" spans="2:35" outlineLevel="1">
      <c r="B755" t="str">
        <f t="shared" si="64"/>
        <v>e-diesel - Conversion H2 -&gt; diesel - Global - ton H2/ton diesel</v>
      </c>
      <c r="C755" t="s">
        <v>1393</v>
      </c>
      <c r="D755" t="s">
        <v>1394</v>
      </c>
      <c r="E755" t="s">
        <v>708</v>
      </c>
      <c r="F755" t="s">
        <v>1395</v>
      </c>
      <c r="G755" s="487" t="str">
        <f t="shared" si="63"/>
        <v>e-dieselGlobalConversion H2 -&gt; diesel</v>
      </c>
      <c r="H755" s="508">
        <v>0.47</v>
      </c>
      <c r="I755" s="508">
        <v>0.47</v>
      </c>
      <c r="J755" s="508">
        <v>0.47</v>
      </c>
      <c r="K755" s="508">
        <v>0.47</v>
      </c>
      <c r="L755" s="508">
        <v>0.47</v>
      </c>
      <c r="M755" s="508">
        <v>0.47</v>
      </c>
      <c r="N755" s="508">
        <v>0.47</v>
      </c>
      <c r="O755" s="508">
        <v>0.47</v>
      </c>
      <c r="P755" s="508">
        <v>0.47</v>
      </c>
      <c r="Q755" s="508">
        <v>0.47</v>
      </c>
      <c r="R755" s="508">
        <v>0.47</v>
      </c>
      <c r="S755" s="508">
        <v>0.47</v>
      </c>
      <c r="T755" s="508">
        <v>0.47</v>
      </c>
      <c r="U755" s="508">
        <v>0.47</v>
      </c>
      <c r="V755" s="508">
        <v>0.47</v>
      </c>
      <c r="W755" s="508">
        <v>0.47</v>
      </c>
      <c r="X755" s="508">
        <v>0.47</v>
      </c>
      <c r="Y755" s="508">
        <v>0.47</v>
      </c>
      <c r="Z755" s="508">
        <v>0.47</v>
      </c>
      <c r="AA755" s="508">
        <v>0.47</v>
      </c>
      <c r="AB755" s="508">
        <v>0.47</v>
      </c>
      <c r="AC755" s="508">
        <v>0.47</v>
      </c>
      <c r="AD755" s="508">
        <v>0.47</v>
      </c>
      <c r="AE755" s="508">
        <v>0.47</v>
      </c>
      <c r="AF755" s="508">
        <v>0.47</v>
      </c>
      <c r="AG755" s="508">
        <v>0.47</v>
      </c>
      <c r="AH755" s="508">
        <v>0.47</v>
      </c>
      <c r="AI755" s="508">
        <v>0.47</v>
      </c>
    </row>
    <row r="756" spans="2:35" outlineLevel="1">
      <c r="B756" t="str">
        <f t="shared" si="64"/>
        <v>e-diesel - Conversion CO2 -&gt; diesel - Global - ton CO2/ton diesel</v>
      </c>
      <c r="C756" t="s">
        <v>1393</v>
      </c>
      <c r="D756" t="s">
        <v>1396</v>
      </c>
      <c r="E756" t="s">
        <v>708</v>
      </c>
      <c r="F756" t="s">
        <v>1397</v>
      </c>
      <c r="G756" s="487" t="str">
        <f t="shared" si="63"/>
        <v>e-dieselGlobalConversion CO2 -&gt; diesel</v>
      </c>
      <c r="H756" s="508">
        <v>3.21</v>
      </c>
      <c r="I756" s="508">
        <v>3.21</v>
      </c>
      <c r="J756" s="508">
        <v>3.21</v>
      </c>
      <c r="K756" s="508">
        <v>3.21</v>
      </c>
      <c r="L756" s="508">
        <v>3.21</v>
      </c>
      <c r="M756" s="508">
        <v>3.21</v>
      </c>
      <c r="N756" s="508">
        <v>3.21</v>
      </c>
      <c r="O756" s="508">
        <v>3.21</v>
      </c>
      <c r="P756" s="508">
        <v>3.21</v>
      </c>
      <c r="Q756" s="508">
        <v>3.21</v>
      </c>
      <c r="R756" s="508">
        <v>3.21</v>
      </c>
      <c r="S756" s="508">
        <v>3.21</v>
      </c>
      <c r="T756" s="508">
        <v>3.21</v>
      </c>
      <c r="U756" s="508">
        <v>3.21</v>
      </c>
      <c r="V756" s="508">
        <v>3.21</v>
      </c>
      <c r="W756" s="508">
        <v>3.21</v>
      </c>
      <c r="X756" s="508">
        <v>3.21</v>
      </c>
      <c r="Y756" s="508">
        <v>3.21</v>
      </c>
      <c r="Z756" s="508">
        <v>3.21</v>
      </c>
      <c r="AA756" s="508">
        <v>3.21</v>
      </c>
      <c r="AB756" s="508">
        <v>3.21</v>
      </c>
      <c r="AC756" s="508">
        <v>3.21</v>
      </c>
      <c r="AD756" s="508">
        <v>3.21</v>
      </c>
      <c r="AE756" s="508">
        <v>3.21</v>
      </c>
      <c r="AF756" s="508">
        <v>3.21</v>
      </c>
      <c r="AG756" s="508">
        <v>3.21</v>
      </c>
      <c r="AH756" s="508">
        <v>3.21</v>
      </c>
      <c r="AI756" s="508">
        <v>3.21</v>
      </c>
    </row>
    <row r="757" spans="2:35" outlineLevel="1">
      <c r="B757" t="str">
        <f t="shared" si="64"/>
        <v/>
      </c>
      <c r="G757" s="487" t="str">
        <f t="shared" si="63"/>
        <v/>
      </c>
      <c r="H757" s="493"/>
      <c r="I757" s="493"/>
      <c r="J757" s="493"/>
      <c r="K757" s="493"/>
      <c r="L757" s="493"/>
      <c r="M757" s="493"/>
      <c r="N757" s="493"/>
      <c r="O757" s="493"/>
      <c r="P757" s="493"/>
      <c r="Q757" s="493"/>
      <c r="R757" s="493"/>
      <c r="S757" s="493"/>
      <c r="T757" s="493"/>
      <c r="U757" s="493"/>
      <c r="V757" s="493"/>
      <c r="W757" s="493"/>
      <c r="X757" s="493"/>
      <c r="Y757" s="493"/>
      <c r="Z757" s="493"/>
      <c r="AA757" s="493"/>
      <c r="AB757" s="493"/>
      <c r="AC757" s="493"/>
      <c r="AD757" s="493"/>
      <c r="AE757" s="493"/>
      <c r="AF757" s="493"/>
      <c r="AG757" s="493"/>
      <c r="AH757" s="493"/>
      <c r="AI757" s="493"/>
    </row>
    <row r="758" spans="2:35" ht="15" outlineLevel="1">
      <c r="B758" t="str">
        <f t="shared" si="64"/>
        <v>e-diesel (DAC) - Finance cost including feedstock finance cost - Africa - USD/ton fuel</v>
      </c>
      <c r="C758" s="494" t="str">
        <f>C741</f>
        <v>e-diesel (DAC)</v>
      </c>
      <c r="D758" s="494" t="s">
        <v>1365</v>
      </c>
      <c r="E758" s="494" t="s">
        <v>838</v>
      </c>
      <c r="F758" s="494" t="s">
        <v>1353</v>
      </c>
      <c r="G758" s="487" t="str">
        <f t="shared" si="63"/>
        <v>e-diesel (DAC)AfricaFinance cost including feedstock finance cost</v>
      </c>
      <c r="H758" s="495">
        <v>697.21494250502315</v>
      </c>
      <c r="I758" s="495">
        <v>676.11438187175918</v>
      </c>
      <c r="J758" s="495">
        <v>654.82025136975267</v>
      </c>
      <c r="K758" s="495">
        <v>637.85514616154694</v>
      </c>
      <c r="L758" s="495">
        <v>620.53043133103461</v>
      </c>
      <c r="M758" s="495">
        <v>602.84610687822067</v>
      </c>
      <c r="N758" s="495">
        <v>584.80217280310774</v>
      </c>
      <c r="O758" s="495">
        <v>566.39862910568809</v>
      </c>
      <c r="P758" s="495">
        <v>562.53640977015243</v>
      </c>
      <c r="Q758" s="495">
        <v>557.83554384943227</v>
      </c>
      <c r="R758" s="495">
        <v>552.29603134352465</v>
      </c>
      <c r="S758" s="495">
        <v>545.91787225242797</v>
      </c>
      <c r="T758" s="495">
        <v>538.70106657614656</v>
      </c>
      <c r="U758" s="495">
        <v>530.6406815843734</v>
      </c>
      <c r="V758" s="495">
        <v>521.88812159546319</v>
      </c>
      <c r="W758" s="495">
        <v>512.44338660942424</v>
      </c>
      <c r="X758" s="495">
        <v>502.30647662624705</v>
      </c>
      <c r="Y758" s="495">
        <v>491.47739164592957</v>
      </c>
      <c r="Z758" s="495">
        <v>476.09549748218876</v>
      </c>
      <c r="AA758" s="495">
        <v>460.19131866899784</v>
      </c>
      <c r="AB758" s="495">
        <v>443.76485520636299</v>
      </c>
      <c r="AC758" s="495">
        <v>426.81610709428054</v>
      </c>
      <c r="AD758" s="495">
        <v>409.34507433274996</v>
      </c>
      <c r="AE758" s="495">
        <v>391.60149196047024</v>
      </c>
      <c r="AF758" s="495">
        <v>373.53122302142106</v>
      </c>
      <c r="AG758" s="495">
        <v>355.1342675156011</v>
      </c>
      <c r="AH758" s="495">
        <v>336.41062544301104</v>
      </c>
      <c r="AI758" s="495">
        <v>317.36029680365164</v>
      </c>
    </row>
    <row r="759" spans="2:35" ht="15" outlineLevel="1">
      <c r="B759" t="str">
        <f t="shared" si="64"/>
        <v>e-diesel (DAC) - Finance cost including feedstock finance cost - Americas - USD/ton fuel</v>
      </c>
      <c r="C759" s="22" t="str">
        <f>C741</f>
        <v>e-diesel (DAC)</v>
      </c>
      <c r="D759" s="22" t="s">
        <v>1365</v>
      </c>
      <c r="E759" s="22" t="s">
        <v>731</v>
      </c>
      <c r="F759" s="22" t="s">
        <v>1353</v>
      </c>
      <c r="G759" s="487" t="str">
        <f t="shared" si="63"/>
        <v>e-diesel (DAC)AmericasFinance cost including feedstock finance cost</v>
      </c>
      <c r="H759" s="496">
        <v>697.21494250502315</v>
      </c>
      <c r="I759" s="496">
        <v>676.11438187175918</v>
      </c>
      <c r="J759" s="496">
        <v>654.82025136975267</v>
      </c>
      <c r="K759" s="496">
        <v>637.85514616154694</v>
      </c>
      <c r="L759" s="496">
        <v>620.53043133103461</v>
      </c>
      <c r="M759" s="496">
        <v>602.84610687822067</v>
      </c>
      <c r="N759" s="496">
        <v>584.80217280310774</v>
      </c>
      <c r="O759" s="496">
        <v>566.39862910568809</v>
      </c>
      <c r="P759" s="496">
        <v>562.53640977015243</v>
      </c>
      <c r="Q759" s="496">
        <v>557.83554384943227</v>
      </c>
      <c r="R759" s="496">
        <v>552.29603134352465</v>
      </c>
      <c r="S759" s="496">
        <v>545.91787225242797</v>
      </c>
      <c r="T759" s="496">
        <v>538.70106657614656</v>
      </c>
      <c r="U759" s="496">
        <v>530.6406815843734</v>
      </c>
      <c r="V759" s="496">
        <v>521.88812159546319</v>
      </c>
      <c r="W759" s="496">
        <v>512.44338660942424</v>
      </c>
      <c r="X759" s="496">
        <v>502.30647662624705</v>
      </c>
      <c r="Y759" s="496">
        <v>491.47739164592957</v>
      </c>
      <c r="Z759" s="496">
        <v>476.09549748218876</v>
      </c>
      <c r="AA759" s="496">
        <v>460.19131866899784</v>
      </c>
      <c r="AB759" s="496">
        <v>443.76485520636299</v>
      </c>
      <c r="AC759" s="496">
        <v>426.81610709428054</v>
      </c>
      <c r="AD759" s="496">
        <v>409.34507433274996</v>
      </c>
      <c r="AE759" s="496">
        <v>391.60149196047024</v>
      </c>
      <c r="AF759" s="496">
        <v>373.53122302142106</v>
      </c>
      <c r="AG759" s="496">
        <v>355.1342675156011</v>
      </c>
      <c r="AH759" s="496">
        <v>336.41062544301104</v>
      </c>
      <c r="AI759" s="496">
        <v>317.36029680365164</v>
      </c>
    </row>
    <row r="760" spans="2:35" ht="15" outlineLevel="1">
      <c r="B760" t="str">
        <f t="shared" si="64"/>
        <v>e-diesel (DAC) - Finance cost including feedstock finance cost - Asia - USD/ton fuel</v>
      </c>
      <c r="C760" s="22" t="str">
        <f>C741</f>
        <v>e-diesel (DAC)</v>
      </c>
      <c r="D760" s="22" t="s">
        <v>1365</v>
      </c>
      <c r="E760" s="22" t="s">
        <v>750</v>
      </c>
      <c r="F760" s="22" t="s">
        <v>1353</v>
      </c>
      <c r="G760" s="487" t="str">
        <f t="shared" si="63"/>
        <v>e-diesel (DAC)AsiaFinance cost including feedstock finance cost</v>
      </c>
      <c r="H760" s="496">
        <v>697.21494250502315</v>
      </c>
      <c r="I760" s="496">
        <v>676.11438187175918</v>
      </c>
      <c r="J760" s="496">
        <v>654.82025136975267</v>
      </c>
      <c r="K760" s="496">
        <v>637.85514616154694</v>
      </c>
      <c r="L760" s="496">
        <v>620.53043133103461</v>
      </c>
      <c r="M760" s="496">
        <v>602.84610687822067</v>
      </c>
      <c r="N760" s="496">
        <v>584.80217280310774</v>
      </c>
      <c r="O760" s="496">
        <v>566.39862910568809</v>
      </c>
      <c r="P760" s="496">
        <v>562.53640977015243</v>
      </c>
      <c r="Q760" s="496">
        <v>557.83554384943227</v>
      </c>
      <c r="R760" s="496">
        <v>552.29603134352465</v>
      </c>
      <c r="S760" s="496">
        <v>545.91787225242797</v>
      </c>
      <c r="T760" s="496">
        <v>538.70106657614656</v>
      </c>
      <c r="U760" s="496">
        <v>530.6406815843734</v>
      </c>
      <c r="V760" s="496">
        <v>521.88812159546319</v>
      </c>
      <c r="W760" s="496">
        <v>512.44338660942424</v>
      </c>
      <c r="X760" s="496">
        <v>502.30647662624705</v>
      </c>
      <c r="Y760" s="496">
        <v>491.47739164592957</v>
      </c>
      <c r="Z760" s="496">
        <v>476.09549748218876</v>
      </c>
      <c r="AA760" s="496">
        <v>460.19131866899784</v>
      </c>
      <c r="AB760" s="496">
        <v>443.76485520636299</v>
      </c>
      <c r="AC760" s="496">
        <v>426.81610709428054</v>
      </c>
      <c r="AD760" s="496">
        <v>409.34507433274996</v>
      </c>
      <c r="AE760" s="496">
        <v>391.60149196047024</v>
      </c>
      <c r="AF760" s="496">
        <v>373.53122302142106</v>
      </c>
      <c r="AG760" s="496">
        <v>355.1342675156011</v>
      </c>
      <c r="AH760" s="496">
        <v>336.41062544301104</v>
      </c>
      <c r="AI760" s="496">
        <v>317.36029680365164</v>
      </c>
    </row>
    <row r="761" spans="2:35" ht="15" outlineLevel="1">
      <c r="B761" t="str">
        <f t="shared" si="64"/>
        <v>e-diesel (DAC) - Finance cost including feedstock finance cost - Europe - USD/ton fuel</v>
      </c>
      <c r="C761" s="22" t="str">
        <f>C741</f>
        <v>e-diesel (DAC)</v>
      </c>
      <c r="D761" s="22" t="s">
        <v>1365</v>
      </c>
      <c r="E761" s="22" t="s">
        <v>720</v>
      </c>
      <c r="F761" s="22" t="s">
        <v>1353</v>
      </c>
      <c r="G761" s="487" t="str">
        <f t="shared" si="63"/>
        <v>e-diesel (DAC)EuropeFinance cost including feedstock finance cost</v>
      </c>
      <c r="H761" s="496">
        <v>697.21494250502315</v>
      </c>
      <c r="I761" s="496">
        <v>676.11438187175918</v>
      </c>
      <c r="J761" s="496">
        <v>654.82025136975267</v>
      </c>
      <c r="K761" s="496">
        <v>637.85514616154694</v>
      </c>
      <c r="L761" s="496">
        <v>620.53043133103461</v>
      </c>
      <c r="M761" s="496">
        <v>602.84610687822067</v>
      </c>
      <c r="N761" s="496">
        <v>584.80217280310774</v>
      </c>
      <c r="O761" s="496">
        <v>566.39862910568809</v>
      </c>
      <c r="P761" s="496">
        <v>562.53640977015243</v>
      </c>
      <c r="Q761" s="496">
        <v>557.83554384943227</v>
      </c>
      <c r="R761" s="496">
        <v>552.29603134352465</v>
      </c>
      <c r="S761" s="496">
        <v>545.91787225242797</v>
      </c>
      <c r="T761" s="496">
        <v>538.70106657614656</v>
      </c>
      <c r="U761" s="496">
        <v>530.6406815843734</v>
      </c>
      <c r="V761" s="496">
        <v>521.88812159546319</v>
      </c>
      <c r="W761" s="496">
        <v>512.44338660942424</v>
      </c>
      <c r="X761" s="496">
        <v>502.30647662624705</v>
      </c>
      <c r="Y761" s="496">
        <v>491.47739164592957</v>
      </c>
      <c r="Z761" s="496">
        <v>476.09549748218876</v>
      </c>
      <c r="AA761" s="496">
        <v>460.19131866899784</v>
      </c>
      <c r="AB761" s="496">
        <v>443.76485520636299</v>
      </c>
      <c r="AC761" s="496">
        <v>426.81610709428054</v>
      </c>
      <c r="AD761" s="496">
        <v>409.34507433274996</v>
      </c>
      <c r="AE761" s="496">
        <v>391.60149196047024</v>
      </c>
      <c r="AF761" s="496">
        <v>373.53122302142106</v>
      </c>
      <c r="AG761" s="496">
        <v>355.1342675156011</v>
      </c>
      <c r="AH761" s="496">
        <v>336.41062544301104</v>
      </c>
      <c r="AI761" s="496">
        <v>317.36029680365164</v>
      </c>
    </row>
    <row r="762" spans="2:35" ht="15" outlineLevel="1">
      <c r="B762" t="str">
        <f t="shared" si="64"/>
        <v>e-diesel (DAC) - Finance cost including feedstock finance cost - Middle East - USD/ton fuel</v>
      </c>
      <c r="C762" s="92" t="str">
        <f>C741</f>
        <v>e-diesel (DAC)</v>
      </c>
      <c r="D762" s="92" t="s">
        <v>1365</v>
      </c>
      <c r="E762" s="92" t="s">
        <v>826</v>
      </c>
      <c r="F762" s="92" t="s">
        <v>1353</v>
      </c>
      <c r="G762" s="487" t="str">
        <f t="shared" si="63"/>
        <v>e-diesel (DAC)Middle EastFinance cost including feedstock finance cost</v>
      </c>
      <c r="H762" s="497">
        <v>697.21494250502315</v>
      </c>
      <c r="I762" s="497">
        <v>676.11438187175918</v>
      </c>
      <c r="J762" s="497">
        <v>654.82025136975267</v>
      </c>
      <c r="K762" s="497">
        <v>637.85514616154694</v>
      </c>
      <c r="L762" s="497">
        <v>620.53043133103461</v>
      </c>
      <c r="M762" s="497">
        <v>602.84610687822067</v>
      </c>
      <c r="N762" s="497">
        <v>584.80217280310774</v>
      </c>
      <c r="O762" s="497">
        <v>566.39862910568809</v>
      </c>
      <c r="P762" s="497">
        <v>562.53640977015243</v>
      </c>
      <c r="Q762" s="497">
        <v>557.83554384943227</v>
      </c>
      <c r="R762" s="497">
        <v>552.29603134352465</v>
      </c>
      <c r="S762" s="497">
        <v>545.91787225242797</v>
      </c>
      <c r="T762" s="497">
        <v>538.70106657614656</v>
      </c>
      <c r="U762" s="497">
        <v>530.6406815843734</v>
      </c>
      <c r="V762" s="497">
        <v>521.88812159546319</v>
      </c>
      <c r="W762" s="497">
        <v>512.44338660942424</v>
      </c>
      <c r="X762" s="497">
        <v>502.30647662624705</v>
      </c>
      <c r="Y762" s="497">
        <v>491.47739164592957</v>
      </c>
      <c r="Z762" s="497">
        <v>476.09549748218876</v>
      </c>
      <c r="AA762" s="497">
        <v>460.19131866899784</v>
      </c>
      <c r="AB762" s="497">
        <v>443.76485520636299</v>
      </c>
      <c r="AC762" s="497">
        <v>426.81610709428054</v>
      </c>
      <c r="AD762" s="497">
        <v>409.34507433274996</v>
      </c>
      <c r="AE762" s="497">
        <v>391.60149196047024</v>
      </c>
      <c r="AF762" s="497">
        <v>373.53122302142106</v>
      </c>
      <c r="AG762" s="497">
        <v>355.1342675156011</v>
      </c>
      <c r="AH762" s="497">
        <v>336.41062544301104</v>
      </c>
      <c r="AI762" s="497">
        <v>317.36029680365164</v>
      </c>
    </row>
    <row r="763" spans="2:35" outlineLevel="1">
      <c r="B763" t="str">
        <f t="shared" si="64"/>
        <v>e-diesel (DAC) - Finance cost - Africa - USD/ton fuel</v>
      </c>
      <c r="C763" t="str">
        <f>C737</f>
        <v>e-diesel (DAC)</v>
      </c>
      <c r="D763" t="s">
        <v>1366</v>
      </c>
      <c r="E763" t="s">
        <v>838</v>
      </c>
      <c r="F763" t="s">
        <v>1353</v>
      </c>
      <c r="G763" s="487" t="str">
        <f t="shared" si="63"/>
        <v>e-diesel (DAC)AfricaFinance cost</v>
      </c>
      <c r="H763" s="493">
        <v>336.6</v>
      </c>
      <c r="I763" s="493">
        <v>327.80000000000007</v>
      </c>
      <c r="J763" s="493">
        <v>319.00000000000006</v>
      </c>
      <c r="K763" s="493">
        <v>310.20000000000005</v>
      </c>
      <c r="L763" s="493">
        <v>301.40000000000003</v>
      </c>
      <c r="M763" s="493">
        <v>292.60000000000002</v>
      </c>
      <c r="N763" s="493">
        <v>283.8</v>
      </c>
      <c r="O763" s="493">
        <v>275.00000000000006</v>
      </c>
      <c r="P763" s="493">
        <v>271.42500000000001</v>
      </c>
      <c r="Q763" s="493">
        <v>267.85000000000002</v>
      </c>
      <c r="R763" s="493">
        <v>264.27500000000003</v>
      </c>
      <c r="S763" s="493">
        <v>260.70000000000005</v>
      </c>
      <c r="T763" s="493">
        <v>257.12500000000006</v>
      </c>
      <c r="U763" s="493">
        <v>253.55000000000004</v>
      </c>
      <c r="V763" s="493">
        <v>249.97500000000002</v>
      </c>
      <c r="W763" s="493">
        <v>246.40000000000003</v>
      </c>
      <c r="X763" s="493">
        <v>242.82500000000005</v>
      </c>
      <c r="Y763" s="493">
        <v>239.25000000000003</v>
      </c>
      <c r="Z763" s="493">
        <v>231.82500000000002</v>
      </c>
      <c r="AA763" s="493">
        <v>224.40000000000003</v>
      </c>
      <c r="AB763" s="493">
        <v>216.97500000000002</v>
      </c>
      <c r="AC763" s="493">
        <v>209.55000000000004</v>
      </c>
      <c r="AD763" s="493">
        <v>202.12500000000003</v>
      </c>
      <c r="AE763" s="493">
        <v>194.70000000000002</v>
      </c>
      <c r="AF763" s="493">
        <v>187.27500000000003</v>
      </c>
      <c r="AG763" s="493">
        <v>179.85000000000002</v>
      </c>
      <c r="AH763" s="493">
        <v>172.42500000000001</v>
      </c>
      <c r="AI763" s="493">
        <v>165.00000000000003</v>
      </c>
    </row>
    <row r="764" spans="2:35" outlineLevel="1">
      <c r="B764" t="str">
        <f t="shared" si="64"/>
        <v>e-diesel (DAC) - Finance cost - Americas - USD/ton fuel</v>
      </c>
      <c r="C764" t="str">
        <f>C737</f>
        <v>e-diesel (DAC)</v>
      </c>
      <c r="D764" t="s">
        <v>1366</v>
      </c>
      <c r="E764" t="s">
        <v>731</v>
      </c>
      <c r="F764" t="s">
        <v>1353</v>
      </c>
      <c r="G764" s="487" t="str">
        <f t="shared" si="63"/>
        <v>e-diesel (DAC)AmericasFinance cost</v>
      </c>
      <c r="H764" s="493">
        <v>336.6</v>
      </c>
      <c r="I764" s="493">
        <v>327.80000000000007</v>
      </c>
      <c r="J764" s="493">
        <v>319.00000000000006</v>
      </c>
      <c r="K764" s="493">
        <v>310.20000000000005</v>
      </c>
      <c r="L764" s="493">
        <v>301.40000000000003</v>
      </c>
      <c r="M764" s="493">
        <v>292.60000000000002</v>
      </c>
      <c r="N764" s="493">
        <v>283.8</v>
      </c>
      <c r="O764" s="493">
        <v>275.00000000000006</v>
      </c>
      <c r="P764" s="493">
        <v>271.42500000000001</v>
      </c>
      <c r="Q764" s="493">
        <v>267.85000000000002</v>
      </c>
      <c r="R764" s="493">
        <v>264.27500000000003</v>
      </c>
      <c r="S764" s="493">
        <v>260.70000000000005</v>
      </c>
      <c r="T764" s="493">
        <v>257.12500000000006</v>
      </c>
      <c r="U764" s="493">
        <v>253.55000000000004</v>
      </c>
      <c r="V764" s="493">
        <v>249.97500000000002</v>
      </c>
      <c r="W764" s="493">
        <v>246.40000000000003</v>
      </c>
      <c r="X764" s="493">
        <v>242.82500000000005</v>
      </c>
      <c r="Y764" s="493">
        <v>239.25000000000003</v>
      </c>
      <c r="Z764" s="493">
        <v>231.82500000000002</v>
      </c>
      <c r="AA764" s="493">
        <v>224.40000000000003</v>
      </c>
      <c r="AB764" s="493">
        <v>216.97500000000002</v>
      </c>
      <c r="AC764" s="493">
        <v>209.55000000000004</v>
      </c>
      <c r="AD764" s="493">
        <v>202.12500000000003</v>
      </c>
      <c r="AE764" s="493">
        <v>194.70000000000002</v>
      </c>
      <c r="AF764" s="493">
        <v>187.27500000000003</v>
      </c>
      <c r="AG764" s="493">
        <v>179.85000000000002</v>
      </c>
      <c r="AH764" s="493">
        <v>172.42500000000001</v>
      </c>
      <c r="AI764" s="493">
        <v>165.00000000000003</v>
      </c>
    </row>
    <row r="765" spans="2:35" outlineLevel="1">
      <c r="B765" t="str">
        <f t="shared" si="64"/>
        <v>e-diesel (DAC) - Finance cost - Asia - USD/ton fuel</v>
      </c>
      <c r="C765" t="str">
        <f>C737</f>
        <v>e-diesel (DAC)</v>
      </c>
      <c r="D765" t="s">
        <v>1366</v>
      </c>
      <c r="E765" t="s">
        <v>750</v>
      </c>
      <c r="F765" t="s">
        <v>1353</v>
      </c>
      <c r="G765" s="487" t="str">
        <f t="shared" si="63"/>
        <v>e-diesel (DAC)AsiaFinance cost</v>
      </c>
      <c r="H765" s="493">
        <v>336.6</v>
      </c>
      <c r="I765" s="493">
        <v>327.80000000000007</v>
      </c>
      <c r="J765" s="493">
        <v>319.00000000000006</v>
      </c>
      <c r="K765" s="493">
        <v>310.20000000000005</v>
      </c>
      <c r="L765" s="493">
        <v>301.40000000000003</v>
      </c>
      <c r="M765" s="493">
        <v>292.60000000000002</v>
      </c>
      <c r="N765" s="493">
        <v>283.8</v>
      </c>
      <c r="O765" s="493">
        <v>275.00000000000006</v>
      </c>
      <c r="P765" s="493">
        <v>271.42500000000001</v>
      </c>
      <c r="Q765" s="493">
        <v>267.85000000000002</v>
      </c>
      <c r="R765" s="493">
        <v>264.27500000000003</v>
      </c>
      <c r="S765" s="493">
        <v>260.70000000000005</v>
      </c>
      <c r="T765" s="493">
        <v>257.12500000000006</v>
      </c>
      <c r="U765" s="493">
        <v>253.55000000000004</v>
      </c>
      <c r="V765" s="493">
        <v>249.97500000000002</v>
      </c>
      <c r="W765" s="493">
        <v>246.40000000000003</v>
      </c>
      <c r="X765" s="493">
        <v>242.82500000000005</v>
      </c>
      <c r="Y765" s="493">
        <v>239.25000000000003</v>
      </c>
      <c r="Z765" s="493">
        <v>231.82500000000002</v>
      </c>
      <c r="AA765" s="493">
        <v>224.40000000000003</v>
      </c>
      <c r="AB765" s="493">
        <v>216.97500000000002</v>
      </c>
      <c r="AC765" s="493">
        <v>209.55000000000004</v>
      </c>
      <c r="AD765" s="493">
        <v>202.12500000000003</v>
      </c>
      <c r="AE765" s="493">
        <v>194.70000000000002</v>
      </c>
      <c r="AF765" s="493">
        <v>187.27500000000003</v>
      </c>
      <c r="AG765" s="493">
        <v>179.85000000000002</v>
      </c>
      <c r="AH765" s="493">
        <v>172.42500000000001</v>
      </c>
      <c r="AI765" s="493">
        <v>165.00000000000003</v>
      </c>
    </row>
    <row r="766" spans="2:35" outlineLevel="1">
      <c r="B766" t="str">
        <f t="shared" si="64"/>
        <v>e-diesel (DAC) - Finance cost - Europe - USD/ton fuel</v>
      </c>
      <c r="C766" t="str">
        <f>C737</f>
        <v>e-diesel (DAC)</v>
      </c>
      <c r="D766" t="s">
        <v>1366</v>
      </c>
      <c r="E766" t="s">
        <v>720</v>
      </c>
      <c r="F766" t="s">
        <v>1353</v>
      </c>
      <c r="G766" s="487" t="str">
        <f t="shared" si="63"/>
        <v>e-diesel (DAC)EuropeFinance cost</v>
      </c>
      <c r="H766" s="493">
        <v>336.6</v>
      </c>
      <c r="I766" s="493">
        <v>327.80000000000007</v>
      </c>
      <c r="J766" s="493">
        <v>319.00000000000006</v>
      </c>
      <c r="K766" s="493">
        <v>310.20000000000005</v>
      </c>
      <c r="L766" s="493">
        <v>301.40000000000003</v>
      </c>
      <c r="M766" s="493">
        <v>292.60000000000002</v>
      </c>
      <c r="N766" s="493">
        <v>283.8</v>
      </c>
      <c r="O766" s="493">
        <v>275.00000000000006</v>
      </c>
      <c r="P766" s="493">
        <v>271.42500000000001</v>
      </c>
      <c r="Q766" s="493">
        <v>267.85000000000002</v>
      </c>
      <c r="R766" s="493">
        <v>264.27500000000003</v>
      </c>
      <c r="S766" s="493">
        <v>260.70000000000005</v>
      </c>
      <c r="T766" s="493">
        <v>257.12500000000006</v>
      </c>
      <c r="U766" s="493">
        <v>253.55000000000004</v>
      </c>
      <c r="V766" s="493">
        <v>249.97500000000002</v>
      </c>
      <c r="W766" s="493">
        <v>246.40000000000003</v>
      </c>
      <c r="X766" s="493">
        <v>242.82500000000005</v>
      </c>
      <c r="Y766" s="493">
        <v>239.25000000000003</v>
      </c>
      <c r="Z766" s="493">
        <v>231.82500000000002</v>
      </c>
      <c r="AA766" s="493">
        <v>224.40000000000003</v>
      </c>
      <c r="AB766" s="493">
        <v>216.97500000000002</v>
      </c>
      <c r="AC766" s="493">
        <v>209.55000000000004</v>
      </c>
      <c r="AD766" s="493">
        <v>202.12500000000003</v>
      </c>
      <c r="AE766" s="493">
        <v>194.70000000000002</v>
      </c>
      <c r="AF766" s="493">
        <v>187.27500000000003</v>
      </c>
      <c r="AG766" s="493">
        <v>179.85000000000002</v>
      </c>
      <c r="AH766" s="493">
        <v>172.42500000000001</v>
      </c>
      <c r="AI766" s="493">
        <v>165.00000000000003</v>
      </c>
    </row>
    <row r="767" spans="2:35" outlineLevel="1">
      <c r="B767" t="str">
        <f t="shared" si="64"/>
        <v>e-diesel (DAC) - Finance cost - Middle East - USD/ton fuel</v>
      </c>
      <c r="C767" t="str">
        <f>C737</f>
        <v>e-diesel (DAC)</v>
      </c>
      <c r="D767" t="s">
        <v>1366</v>
      </c>
      <c r="E767" t="s">
        <v>826</v>
      </c>
      <c r="F767" t="s">
        <v>1353</v>
      </c>
      <c r="G767" s="487" t="str">
        <f t="shared" si="63"/>
        <v>e-diesel (DAC)Middle EastFinance cost</v>
      </c>
      <c r="H767" s="493">
        <v>336.6</v>
      </c>
      <c r="I767" s="493">
        <v>327.80000000000007</v>
      </c>
      <c r="J767" s="493">
        <v>319.00000000000006</v>
      </c>
      <c r="K767" s="493">
        <v>310.20000000000005</v>
      </c>
      <c r="L767" s="493">
        <v>301.40000000000003</v>
      </c>
      <c r="M767" s="493">
        <v>292.60000000000002</v>
      </c>
      <c r="N767" s="493">
        <v>283.8</v>
      </c>
      <c r="O767" s="493">
        <v>275.00000000000006</v>
      </c>
      <c r="P767" s="493">
        <v>271.42500000000001</v>
      </c>
      <c r="Q767" s="493">
        <v>267.85000000000002</v>
      </c>
      <c r="R767" s="493">
        <v>264.27500000000003</v>
      </c>
      <c r="S767" s="493">
        <v>260.70000000000005</v>
      </c>
      <c r="T767" s="493">
        <v>257.12500000000006</v>
      </c>
      <c r="U767" s="493">
        <v>253.55000000000004</v>
      </c>
      <c r="V767" s="493">
        <v>249.97500000000002</v>
      </c>
      <c r="W767" s="493">
        <v>246.40000000000003</v>
      </c>
      <c r="X767" s="493">
        <v>242.82500000000005</v>
      </c>
      <c r="Y767" s="493">
        <v>239.25000000000003</v>
      </c>
      <c r="Z767" s="493">
        <v>231.82500000000002</v>
      </c>
      <c r="AA767" s="493">
        <v>224.40000000000003</v>
      </c>
      <c r="AB767" s="493">
        <v>216.97500000000002</v>
      </c>
      <c r="AC767" s="493">
        <v>209.55000000000004</v>
      </c>
      <c r="AD767" s="493">
        <v>202.12500000000003</v>
      </c>
      <c r="AE767" s="493">
        <v>194.70000000000002</v>
      </c>
      <c r="AF767" s="493">
        <v>187.27500000000003</v>
      </c>
      <c r="AG767" s="493">
        <v>179.85000000000002</v>
      </c>
      <c r="AH767" s="493">
        <v>172.42500000000001</v>
      </c>
      <c r="AI767" s="493">
        <v>165.00000000000003</v>
      </c>
    </row>
    <row r="768" spans="2:35" outlineLevel="1">
      <c r="B768" t="str">
        <f t="shared" si="64"/>
        <v>e-hydrogen (compressed) - Finance cost including feedstock finance cost - Africa - USD/ton fuel</v>
      </c>
      <c r="C768" t="s">
        <v>722</v>
      </c>
      <c r="D768" t="s">
        <v>1365</v>
      </c>
      <c r="E768" t="s">
        <v>838</v>
      </c>
      <c r="F768" t="s">
        <v>1353</v>
      </c>
      <c r="G768" s="487" t="str">
        <f t="shared" si="63"/>
        <v>e-hydrogen (compressed)AfricaFinance cost including feedstock finance cost</v>
      </c>
      <c r="H768" s="507">
        <v>423.4664833247287</v>
      </c>
      <c r="I768" s="507">
        <v>407.9080597487058</v>
      </c>
      <c r="J768" s="507">
        <v>391.93778538812398</v>
      </c>
      <c r="K768" s="507">
        <v>383.67894989578463</v>
      </c>
      <c r="L768" s="507">
        <v>374.65498754747659</v>
      </c>
      <c r="M768" s="507">
        <v>364.86589834320779</v>
      </c>
      <c r="N768" s="507">
        <v>354.31168228298088</v>
      </c>
      <c r="O768" s="507">
        <v>342.99233936678479</v>
      </c>
      <c r="P768" s="507">
        <v>350.20750340232428</v>
      </c>
      <c r="Q768" s="507">
        <v>355.6383130013013</v>
      </c>
      <c r="R768" s="507">
        <v>359.28476816371159</v>
      </c>
      <c r="S768" s="507">
        <v>361.14686888954691</v>
      </c>
      <c r="T768" s="507">
        <v>361.22461517882164</v>
      </c>
      <c r="U768" s="507">
        <v>358.40192634457429</v>
      </c>
      <c r="V768" s="507">
        <v>354.10652475046084</v>
      </c>
      <c r="W768" s="507">
        <v>348.33841039649622</v>
      </c>
      <c r="X768" s="507">
        <v>341.09758328266571</v>
      </c>
      <c r="Y768" s="507">
        <v>332.38404340896386</v>
      </c>
      <c r="Z768" s="507">
        <v>321.22576094613464</v>
      </c>
      <c r="AA768" s="507">
        <v>308.95623454830633</v>
      </c>
      <c r="AB768" s="507">
        <v>295.57546421549114</v>
      </c>
      <c r="AC768" s="507">
        <v>281.08344994768112</v>
      </c>
      <c r="AD768" s="507">
        <v>265.48019174487365</v>
      </c>
      <c r="AE768" s="507">
        <v>248.55741402200647</v>
      </c>
      <c r="AF768" s="507">
        <v>230.93955849750063</v>
      </c>
      <c r="AG768" s="507">
        <v>212.62662517135635</v>
      </c>
      <c r="AH768" s="507">
        <v>193.61861404357347</v>
      </c>
      <c r="AI768" s="507">
        <v>173.9155251141523</v>
      </c>
    </row>
    <row r="769" spans="2:35" outlineLevel="1">
      <c r="B769" t="str">
        <f t="shared" si="64"/>
        <v>e-hydrogen (compressed) - Finance cost including feedstock finance cost - Americas - USD/ton fuel</v>
      </c>
      <c r="C769" t="s">
        <v>722</v>
      </c>
      <c r="D769" t="s">
        <v>1365</v>
      </c>
      <c r="E769" t="s">
        <v>731</v>
      </c>
      <c r="F769" t="s">
        <v>1353</v>
      </c>
      <c r="G769" s="487" t="str">
        <f t="shared" si="63"/>
        <v>e-hydrogen (compressed)AmericasFinance cost including feedstock finance cost</v>
      </c>
      <c r="H769" s="507">
        <v>423.4664833247287</v>
      </c>
      <c r="I769" s="507">
        <v>407.9080597487058</v>
      </c>
      <c r="J769" s="507">
        <v>391.93778538812398</v>
      </c>
      <c r="K769" s="507">
        <v>383.67894989578463</v>
      </c>
      <c r="L769" s="507">
        <v>374.65498754747659</v>
      </c>
      <c r="M769" s="507">
        <v>364.86589834320779</v>
      </c>
      <c r="N769" s="507">
        <v>354.31168228298088</v>
      </c>
      <c r="O769" s="507">
        <v>342.99233936678479</v>
      </c>
      <c r="P769" s="507">
        <v>350.20750340232428</v>
      </c>
      <c r="Q769" s="507">
        <v>355.6383130013013</v>
      </c>
      <c r="R769" s="507">
        <v>359.28476816371159</v>
      </c>
      <c r="S769" s="507">
        <v>361.14686888954691</v>
      </c>
      <c r="T769" s="507">
        <v>361.22461517882164</v>
      </c>
      <c r="U769" s="507">
        <v>358.40192634457429</v>
      </c>
      <c r="V769" s="507">
        <v>354.10652475046084</v>
      </c>
      <c r="W769" s="507">
        <v>348.33841039649622</v>
      </c>
      <c r="X769" s="507">
        <v>341.09758328266571</v>
      </c>
      <c r="Y769" s="507">
        <v>332.38404340896386</v>
      </c>
      <c r="Z769" s="507">
        <v>321.22576094613464</v>
      </c>
      <c r="AA769" s="507">
        <v>308.95623454830633</v>
      </c>
      <c r="AB769" s="507">
        <v>295.57546421549114</v>
      </c>
      <c r="AC769" s="507">
        <v>281.08344994768112</v>
      </c>
      <c r="AD769" s="507">
        <v>265.48019174487365</v>
      </c>
      <c r="AE769" s="507">
        <v>248.55741402200647</v>
      </c>
      <c r="AF769" s="507">
        <v>230.93955849750063</v>
      </c>
      <c r="AG769" s="507">
        <v>212.62662517135635</v>
      </c>
      <c r="AH769" s="507">
        <v>193.61861404357347</v>
      </c>
      <c r="AI769" s="507">
        <v>173.9155251141523</v>
      </c>
    </row>
    <row r="770" spans="2:35" outlineLevel="1">
      <c r="B770" t="str">
        <f t="shared" si="64"/>
        <v>e-hydrogen (compressed) - Finance cost including feedstock finance cost - Asia - USD/ton fuel</v>
      </c>
      <c r="C770" t="s">
        <v>722</v>
      </c>
      <c r="D770" t="s">
        <v>1365</v>
      </c>
      <c r="E770" t="s">
        <v>750</v>
      </c>
      <c r="F770" t="s">
        <v>1353</v>
      </c>
      <c r="G770" s="487" t="str">
        <f t="shared" si="63"/>
        <v>e-hydrogen (compressed)AsiaFinance cost including feedstock finance cost</v>
      </c>
      <c r="H770" s="507">
        <v>423.4664833247287</v>
      </c>
      <c r="I770" s="507">
        <v>407.9080597487058</v>
      </c>
      <c r="J770" s="507">
        <v>391.93778538812398</v>
      </c>
      <c r="K770" s="507">
        <v>383.67894989578463</v>
      </c>
      <c r="L770" s="507">
        <v>374.65498754747659</v>
      </c>
      <c r="M770" s="507">
        <v>364.86589834320779</v>
      </c>
      <c r="N770" s="507">
        <v>354.31168228298088</v>
      </c>
      <c r="O770" s="507">
        <v>342.99233936678479</v>
      </c>
      <c r="P770" s="507">
        <v>350.20750340232428</v>
      </c>
      <c r="Q770" s="507">
        <v>355.6383130013013</v>
      </c>
      <c r="R770" s="507">
        <v>359.28476816371159</v>
      </c>
      <c r="S770" s="507">
        <v>361.14686888954691</v>
      </c>
      <c r="T770" s="507">
        <v>361.22461517882164</v>
      </c>
      <c r="U770" s="507">
        <v>358.40192634457429</v>
      </c>
      <c r="V770" s="507">
        <v>354.10652475046084</v>
      </c>
      <c r="W770" s="507">
        <v>348.33841039649622</v>
      </c>
      <c r="X770" s="507">
        <v>341.09758328266571</v>
      </c>
      <c r="Y770" s="507">
        <v>332.38404340896386</v>
      </c>
      <c r="Z770" s="507">
        <v>321.22576094613464</v>
      </c>
      <c r="AA770" s="507">
        <v>308.95623454830633</v>
      </c>
      <c r="AB770" s="507">
        <v>295.57546421549114</v>
      </c>
      <c r="AC770" s="507">
        <v>281.08344994768112</v>
      </c>
      <c r="AD770" s="507">
        <v>265.48019174487365</v>
      </c>
      <c r="AE770" s="507">
        <v>248.55741402200647</v>
      </c>
      <c r="AF770" s="507">
        <v>230.93955849750063</v>
      </c>
      <c r="AG770" s="507">
        <v>212.62662517135635</v>
      </c>
      <c r="AH770" s="507">
        <v>193.61861404357347</v>
      </c>
      <c r="AI770" s="507">
        <v>173.9155251141523</v>
      </c>
    </row>
    <row r="771" spans="2:35" outlineLevel="1">
      <c r="B771" t="str">
        <f t="shared" si="64"/>
        <v>e-hydrogen (compressed) - Finance cost including feedstock finance cost - Europe - USD/ton fuel</v>
      </c>
      <c r="C771" t="s">
        <v>722</v>
      </c>
      <c r="D771" t="s">
        <v>1365</v>
      </c>
      <c r="E771" t="s">
        <v>720</v>
      </c>
      <c r="F771" t="s">
        <v>1353</v>
      </c>
      <c r="G771" s="487" t="str">
        <f t="shared" si="63"/>
        <v>e-hydrogen (compressed)EuropeFinance cost including feedstock finance cost</v>
      </c>
      <c r="H771" s="507">
        <v>423.4664833247287</v>
      </c>
      <c r="I771" s="507">
        <v>407.9080597487058</v>
      </c>
      <c r="J771" s="507">
        <v>391.93778538812398</v>
      </c>
      <c r="K771" s="507">
        <v>383.67894989578463</v>
      </c>
      <c r="L771" s="507">
        <v>374.65498754747659</v>
      </c>
      <c r="M771" s="507">
        <v>364.86589834320779</v>
      </c>
      <c r="N771" s="507">
        <v>354.31168228298088</v>
      </c>
      <c r="O771" s="507">
        <v>342.99233936678479</v>
      </c>
      <c r="P771" s="507">
        <v>350.20750340232428</v>
      </c>
      <c r="Q771" s="507">
        <v>355.6383130013013</v>
      </c>
      <c r="R771" s="507">
        <v>359.28476816371159</v>
      </c>
      <c r="S771" s="507">
        <v>361.14686888954691</v>
      </c>
      <c r="T771" s="507">
        <v>361.22461517882164</v>
      </c>
      <c r="U771" s="507">
        <v>358.40192634457429</v>
      </c>
      <c r="V771" s="507">
        <v>354.10652475046084</v>
      </c>
      <c r="W771" s="507">
        <v>348.33841039649622</v>
      </c>
      <c r="X771" s="507">
        <v>341.09758328266571</v>
      </c>
      <c r="Y771" s="507">
        <v>332.38404340896386</v>
      </c>
      <c r="Z771" s="507">
        <v>321.22576094613464</v>
      </c>
      <c r="AA771" s="507">
        <v>308.95623454830633</v>
      </c>
      <c r="AB771" s="507">
        <v>295.57546421549114</v>
      </c>
      <c r="AC771" s="507">
        <v>281.08344994768112</v>
      </c>
      <c r="AD771" s="507">
        <v>265.48019174487365</v>
      </c>
      <c r="AE771" s="507">
        <v>248.55741402200647</v>
      </c>
      <c r="AF771" s="507">
        <v>230.93955849750063</v>
      </c>
      <c r="AG771" s="507">
        <v>212.62662517135635</v>
      </c>
      <c r="AH771" s="507">
        <v>193.61861404357347</v>
      </c>
      <c r="AI771" s="507">
        <v>173.9155251141523</v>
      </c>
    </row>
    <row r="772" spans="2:35" outlineLevel="1">
      <c r="B772" t="str">
        <f t="shared" si="64"/>
        <v>e-hydrogen (compressed) - Finance cost including feedstock finance cost - Middle East - USD/ton fuel</v>
      </c>
      <c r="C772" t="s">
        <v>722</v>
      </c>
      <c r="D772" t="s">
        <v>1365</v>
      </c>
      <c r="E772" t="s">
        <v>826</v>
      </c>
      <c r="F772" t="s">
        <v>1353</v>
      </c>
      <c r="G772" s="487" t="str">
        <f t="shared" si="63"/>
        <v>e-hydrogen (compressed)Middle EastFinance cost including feedstock finance cost</v>
      </c>
      <c r="H772" s="507">
        <v>423.4664833247287</v>
      </c>
      <c r="I772" s="507">
        <v>407.9080597487058</v>
      </c>
      <c r="J772" s="507">
        <v>391.93778538812398</v>
      </c>
      <c r="K772" s="507">
        <v>383.67894989578463</v>
      </c>
      <c r="L772" s="507">
        <v>374.65498754747659</v>
      </c>
      <c r="M772" s="507">
        <v>364.86589834320779</v>
      </c>
      <c r="N772" s="507">
        <v>354.31168228298088</v>
      </c>
      <c r="O772" s="507">
        <v>342.99233936678479</v>
      </c>
      <c r="P772" s="507">
        <v>350.20750340232428</v>
      </c>
      <c r="Q772" s="507">
        <v>355.6383130013013</v>
      </c>
      <c r="R772" s="507">
        <v>359.28476816371159</v>
      </c>
      <c r="S772" s="507">
        <v>361.14686888954691</v>
      </c>
      <c r="T772" s="507">
        <v>361.22461517882164</v>
      </c>
      <c r="U772" s="507">
        <v>358.40192634457429</v>
      </c>
      <c r="V772" s="507">
        <v>354.10652475046084</v>
      </c>
      <c r="W772" s="507">
        <v>348.33841039649622</v>
      </c>
      <c r="X772" s="507">
        <v>341.09758328266571</v>
      </c>
      <c r="Y772" s="507">
        <v>332.38404340896386</v>
      </c>
      <c r="Z772" s="507">
        <v>321.22576094613464</v>
      </c>
      <c r="AA772" s="507">
        <v>308.95623454830633</v>
      </c>
      <c r="AB772" s="507">
        <v>295.57546421549114</v>
      </c>
      <c r="AC772" s="507">
        <v>281.08344994768112</v>
      </c>
      <c r="AD772" s="507">
        <v>265.48019174487365</v>
      </c>
      <c r="AE772" s="507">
        <v>248.55741402200647</v>
      </c>
      <c r="AF772" s="507">
        <v>230.93955849750063</v>
      </c>
      <c r="AG772" s="507">
        <v>212.62662517135635</v>
      </c>
      <c r="AH772" s="507">
        <v>193.61861404357347</v>
      </c>
      <c r="AI772" s="507">
        <v>173.9155251141523</v>
      </c>
    </row>
    <row r="773" spans="2:35" outlineLevel="1">
      <c r="B773" t="str">
        <f t="shared" si="64"/>
        <v>Carbon dioxide (DAC) - Finance cost - Africa - USD/ton fuel</v>
      </c>
      <c r="C773" t="s">
        <v>1379</v>
      </c>
      <c r="D773" t="s">
        <v>1366</v>
      </c>
      <c r="E773" t="s">
        <v>838</v>
      </c>
      <c r="F773" t="s">
        <v>1353</v>
      </c>
      <c r="G773" s="487" t="str">
        <f t="shared" si="63"/>
        <v>Carbon dioxide (DAC)AfricaFinance cost</v>
      </c>
      <c r="H773" s="493">
        <v>50.338222848099875</v>
      </c>
      <c r="I773" s="493">
        <v>48.784297130799828</v>
      </c>
      <c r="J773" s="493">
        <v>47.230371413499782</v>
      </c>
      <c r="K773" s="493">
        <v>45.895962526644261</v>
      </c>
      <c r="L773" s="493">
        <v>44.561553639788329</v>
      </c>
      <c r="M773" s="493">
        <v>43.227144752932404</v>
      </c>
      <c r="N773" s="493">
        <v>41.892735866076876</v>
      </c>
      <c r="O773" s="493">
        <v>40.558326979220951</v>
      </c>
      <c r="P773" s="493">
        <v>39.412424663881616</v>
      </c>
      <c r="Q773" s="493">
        <v>38.266522348542281</v>
      </c>
      <c r="R773" s="493">
        <v>37.120620033202542</v>
      </c>
      <c r="S773" s="493">
        <v>35.974717717863207</v>
      </c>
      <c r="T773" s="493">
        <v>34.828815402523475</v>
      </c>
      <c r="U773" s="493">
        <v>33.844790094212918</v>
      </c>
      <c r="V773" s="493">
        <v>32.860764785902361</v>
      </c>
      <c r="W773" s="493">
        <v>31.876739477592203</v>
      </c>
      <c r="X773" s="493">
        <v>30.89271416928165</v>
      </c>
      <c r="Y773" s="493">
        <v>29.908688860970891</v>
      </c>
      <c r="Z773" s="493">
        <v>29.063672846574921</v>
      </c>
      <c r="AA773" s="493">
        <v>28.218656832178752</v>
      </c>
      <c r="AB773" s="493">
        <v>27.373640817782583</v>
      </c>
      <c r="AC773" s="493">
        <v>26.528624803386414</v>
      </c>
      <c r="AD773" s="493">
        <v>25.683608788990444</v>
      </c>
      <c r="AE773" s="493">
        <v>24.946887031192276</v>
      </c>
      <c r="AF773" s="493">
        <v>24.210165273394306</v>
      </c>
      <c r="AG773" s="493">
        <v>23.473443515596138</v>
      </c>
      <c r="AH773" s="493">
        <v>22.736721757797969</v>
      </c>
      <c r="AI773" s="493">
        <v>22.000000000000004</v>
      </c>
    </row>
    <row r="774" spans="2:35" outlineLevel="1">
      <c r="B774" t="str">
        <f t="shared" si="64"/>
        <v>Carbon dioxide (DAC) - Finance cost - Americas - USD/ton fuel</v>
      </c>
      <c r="C774" t="s">
        <v>1379</v>
      </c>
      <c r="D774" t="s">
        <v>1366</v>
      </c>
      <c r="E774" t="s">
        <v>731</v>
      </c>
      <c r="F774" t="s">
        <v>1353</v>
      </c>
      <c r="G774" s="487" t="str">
        <f t="shared" si="63"/>
        <v>Carbon dioxide (DAC)AmericasFinance cost</v>
      </c>
      <c r="H774" s="493">
        <v>50.338222848099875</v>
      </c>
      <c r="I774" s="493">
        <v>48.784297130799828</v>
      </c>
      <c r="J774" s="493">
        <v>47.230371413499782</v>
      </c>
      <c r="K774" s="493">
        <v>45.895962526644261</v>
      </c>
      <c r="L774" s="493">
        <v>44.561553639788329</v>
      </c>
      <c r="M774" s="493">
        <v>43.227144752932404</v>
      </c>
      <c r="N774" s="493">
        <v>41.892735866076876</v>
      </c>
      <c r="O774" s="493">
        <v>40.558326979220951</v>
      </c>
      <c r="P774" s="493">
        <v>39.412424663881616</v>
      </c>
      <c r="Q774" s="493">
        <v>38.266522348542281</v>
      </c>
      <c r="R774" s="493">
        <v>37.120620033202542</v>
      </c>
      <c r="S774" s="493">
        <v>35.974717717863207</v>
      </c>
      <c r="T774" s="493">
        <v>34.828815402523475</v>
      </c>
      <c r="U774" s="493">
        <v>33.844790094212918</v>
      </c>
      <c r="V774" s="493">
        <v>32.860764785902361</v>
      </c>
      <c r="W774" s="493">
        <v>31.876739477592203</v>
      </c>
      <c r="X774" s="493">
        <v>30.89271416928165</v>
      </c>
      <c r="Y774" s="493">
        <v>29.908688860970891</v>
      </c>
      <c r="Z774" s="493">
        <v>29.063672846574921</v>
      </c>
      <c r="AA774" s="493">
        <v>28.218656832178752</v>
      </c>
      <c r="AB774" s="493">
        <v>27.373640817782583</v>
      </c>
      <c r="AC774" s="493">
        <v>26.528624803386414</v>
      </c>
      <c r="AD774" s="493">
        <v>25.683608788990444</v>
      </c>
      <c r="AE774" s="493">
        <v>24.946887031192276</v>
      </c>
      <c r="AF774" s="493">
        <v>24.210165273394306</v>
      </c>
      <c r="AG774" s="493">
        <v>23.473443515596138</v>
      </c>
      <c r="AH774" s="493">
        <v>22.736721757797969</v>
      </c>
      <c r="AI774" s="493">
        <v>22.000000000000004</v>
      </c>
    </row>
    <row r="775" spans="2:35" outlineLevel="1">
      <c r="B775" t="str">
        <f t="shared" si="64"/>
        <v>Carbon dioxide (DAC) - Finance cost - Asia - USD/ton fuel</v>
      </c>
      <c r="C775" t="s">
        <v>1379</v>
      </c>
      <c r="D775" t="s">
        <v>1366</v>
      </c>
      <c r="E775" t="s">
        <v>750</v>
      </c>
      <c r="F775" t="s">
        <v>1353</v>
      </c>
      <c r="G775" s="487" t="str">
        <f t="shared" si="63"/>
        <v>Carbon dioxide (DAC)AsiaFinance cost</v>
      </c>
      <c r="H775" s="493">
        <v>50.338222848099875</v>
      </c>
      <c r="I775" s="493">
        <v>48.784297130799828</v>
      </c>
      <c r="J775" s="493">
        <v>47.230371413499782</v>
      </c>
      <c r="K775" s="493">
        <v>45.895962526644261</v>
      </c>
      <c r="L775" s="493">
        <v>44.561553639788329</v>
      </c>
      <c r="M775" s="493">
        <v>43.227144752932404</v>
      </c>
      <c r="N775" s="493">
        <v>41.892735866076876</v>
      </c>
      <c r="O775" s="493">
        <v>40.558326979220951</v>
      </c>
      <c r="P775" s="493">
        <v>39.412424663881616</v>
      </c>
      <c r="Q775" s="493">
        <v>38.266522348542281</v>
      </c>
      <c r="R775" s="493">
        <v>37.120620033202542</v>
      </c>
      <c r="S775" s="493">
        <v>35.974717717863207</v>
      </c>
      <c r="T775" s="493">
        <v>34.828815402523475</v>
      </c>
      <c r="U775" s="493">
        <v>33.844790094212918</v>
      </c>
      <c r="V775" s="493">
        <v>32.860764785902361</v>
      </c>
      <c r="W775" s="493">
        <v>31.876739477592203</v>
      </c>
      <c r="X775" s="493">
        <v>30.89271416928165</v>
      </c>
      <c r="Y775" s="493">
        <v>29.908688860970891</v>
      </c>
      <c r="Z775" s="493">
        <v>29.063672846574921</v>
      </c>
      <c r="AA775" s="493">
        <v>28.218656832178752</v>
      </c>
      <c r="AB775" s="493">
        <v>27.373640817782583</v>
      </c>
      <c r="AC775" s="493">
        <v>26.528624803386414</v>
      </c>
      <c r="AD775" s="493">
        <v>25.683608788990444</v>
      </c>
      <c r="AE775" s="493">
        <v>24.946887031192276</v>
      </c>
      <c r="AF775" s="493">
        <v>24.210165273394306</v>
      </c>
      <c r="AG775" s="493">
        <v>23.473443515596138</v>
      </c>
      <c r="AH775" s="493">
        <v>22.736721757797969</v>
      </c>
      <c r="AI775" s="493">
        <v>22.000000000000004</v>
      </c>
    </row>
    <row r="776" spans="2:35" outlineLevel="1">
      <c r="B776" t="str">
        <f t="shared" si="64"/>
        <v>Carbon dioxide (DAC) - Finance cost - Europe - USD/ton fuel</v>
      </c>
      <c r="C776" t="s">
        <v>1379</v>
      </c>
      <c r="D776" t="s">
        <v>1366</v>
      </c>
      <c r="E776" t="s">
        <v>720</v>
      </c>
      <c r="F776" t="s">
        <v>1353</v>
      </c>
      <c r="G776" s="487" t="str">
        <f t="shared" ref="G776:G839" si="65">+C776&amp;E776&amp;D776</f>
        <v>Carbon dioxide (DAC)EuropeFinance cost</v>
      </c>
      <c r="H776" s="493">
        <v>50.338222848099875</v>
      </c>
      <c r="I776" s="493">
        <v>48.784297130799828</v>
      </c>
      <c r="J776" s="493">
        <v>47.230371413499782</v>
      </c>
      <c r="K776" s="493">
        <v>45.895962526644261</v>
      </c>
      <c r="L776" s="493">
        <v>44.561553639788329</v>
      </c>
      <c r="M776" s="493">
        <v>43.227144752932404</v>
      </c>
      <c r="N776" s="493">
        <v>41.892735866076876</v>
      </c>
      <c r="O776" s="493">
        <v>40.558326979220951</v>
      </c>
      <c r="P776" s="493">
        <v>39.412424663881616</v>
      </c>
      <c r="Q776" s="493">
        <v>38.266522348542281</v>
      </c>
      <c r="R776" s="493">
        <v>37.120620033202542</v>
      </c>
      <c r="S776" s="493">
        <v>35.974717717863207</v>
      </c>
      <c r="T776" s="493">
        <v>34.828815402523475</v>
      </c>
      <c r="U776" s="493">
        <v>33.844790094212918</v>
      </c>
      <c r="V776" s="493">
        <v>32.860764785902361</v>
      </c>
      <c r="W776" s="493">
        <v>31.876739477592203</v>
      </c>
      <c r="X776" s="493">
        <v>30.89271416928165</v>
      </c>
      <c r="Y776" s="493">
        <v>29.908688860970891</v>
      </c>
      <c r="Z776" s="493">
        <v>29.063672846574921</v>
      </c>
      <c r="AA776" s="493">
        <v>28.218656832178752</v>
      </c>
      <c r="AB776" s="493">
        <v>27.373640817782583</v>
      </c>
      <c r="AC776" s="493">
        <v>26.528624803386414</v>
      </c>
      <c r="AD776" s="493">
        <v>25.683608788990444</v>
      </c>
      <c r="AE776" s="493">
        <v>24.946887031192276</v>
      </c>
      <c r="AF776" s="493">
        <v>24.210165273394306</v>
      </c>
      <c r="AG776" s="493">
        <v>23.473443515596138</v>
      </c>
      <c r="AH776" s="493">
        <v>22.736721757797969</v>
      </c>
      <c r="AI776" s="493">
        <v>22.000000000000004</v>
      </c>
    </row>
    <row r="777" spans="2:35" outlineLevel="1">
      <c r="B777" t="str">
        <f t="shared" si="64"/>
        <v>Carbon dioxide (DAC) - Finance cost - Middle East - USD/ton fuel</v>
      </c>
      <c r="C777" t="s">
        <v>1379</v>
      </c>
      <c r="D777" t="s">
        <v>1366</v>
      </c>
      <c r="E777" t="s">
        <v>826</v>
      </c>
      <c r="F777" t="s">
        <v>1353</v>
      </c>
      <c r="G777" s="487" t="str">
        <f t="shared" si="65"/>
        <v>Carbon dioxide (DAC)Middle EastFinance cost</v>
      </c>
      <c r="H777" s="493">
        <v>50.338222848099875</v>
      </c>
      <c r="I777" s="493">
        <v>48.784297130799828</v>
      </c>
      <c r="J777" s="493">
        <v>47.230371413499782</v>
      </c>
      <c r="K777" s="493">
        <v>45.895962526644261</v>
      </c>
      <c r="L777" s="493">
        <v>44.561553639788329</v>
      </c>
      <c r="M777" s="493">
        <v>43.227144752932404</v>
      </c>
      <c r="N777" s="493">
        <v>41.892735866076876</v>
      </c>
      <c r="O777" s="493">
        <v>40.558326979220951</v>
      </c>
      <c r="P777" s="493">
        <v>39.412424663881616</v>
      </c>
      <c r="Q777" s="493">
        <v>38.266522348542281</v>
      </c>
      <c r="R777" s="493">
        <v>37.120620033202542</v>
      </c>
      <c r="S777" s="493">
        <v>35.974717717863207</v>
      </c>
      <c r="T777" s="493">
        <v>34.828815402523475</v>
      </c>
      <c r="U777" s="493">
        <v>33.844790094212918</v>
      </c>
      <c r="V777" s="493">
        <v>32.860764785902361</v>
      </c>
      <c r="W777" s="493">
        <v>31.876739477592203</v>
      </c>
      <c r="X777" s="493">
        <v>30.89271416928165</v>
      </c>
      <c r="Y777" s="493">
        <v>29.908688860970891</v>
      </c>
      <c r="Z777" s="493">
        <v>29.063672846574921</v>
      </c>
      <c r="AA777" s="493">
        <v>28.218656832178752</v>
      </c>
      <c r="AB777" s="493">
        <v>27.373640817782583</v>
      </c>
      <c r="AC777" s="493">
        <v>26.528624803386414</v>
      </c>
      <c r="AD777" s="493">
        <v>25.683608788990444</v>
      </c>
      <c r="AE777" s="493">
        <v>24.946887031192276</v>
      </c>
      <c r="AF777" s="493">
        <v>24.210165273394306</v>
      </c>
      <c r="AG777" s="493">
        <v>23.473443515596138</v>
      </c>
      <c r="AH777" s="493">
        <v>22.736721757797969</v>
      </c>
      <c r="AI777" s="493">
        <v>22.000000000000004</v>
      </c>
    </row>
    <row r="778" spans="2:35" outlineLevel="1">
      <c r="B778" t="str">
        <f t="shared" si="64"/>
        <v>e-diesel - Conversion H2 -&gt; diesel - Global - ton H2/ton diesel</v>
      </c>
      <c r="C778" t="s">
        <v>1393</v>
      </c>
      <c r="D778" t="s">
        <v>1394</v>
      </c>
      <c r="E778" t="s">
        <v>708</v>
      </c>
      <c r="F778" t="s">
        <v>1395</v>
      </c>
      <c r="G778" s="487" t="str">
        <f t="shared" si="65"/>
        <v>e-dieselGlobalConversion H2 -&gt; diesel</v>
      </c>
      <c r="H778" s="508">
        <v>0.47</v>
      </c>
      <c r="I778" s="508">
        <v>0.47</v>
      </c>
      <c r="J778" s="508">
        <v>0.47</v>
      </c>
      <c r="K778" s="508">
        <v>0.47</v>
      </c>
      <c r="L778" s="508">
        <v>0.47</v>
      </c>
      <c r="M778" s="508">
        <v>0.47</v>
      </c>
      <c r="N778" s="508">
        <v>0.47</v>
      </c>
      <c r="O778" s="508">
        <v>0.47</v>
      </c>
      <c r="P778" s="508">
        <v>0.47</v>
      </c>
      <c r="Q778" s="508">
        <v>0.47</v>
      </c>
      <c r="R778" s="508">
        <v>0.47</v>
      </c>
      <c r="S778" s="508">
        <v>0.47</v>
      </c>
      <c r="T778" s="508">
        <v>0.47</v>
      </c>
      <c r="U778" s="508">
        <v>0.47</v>
      </c>
      <c r="V778" s="508">
        <v>0.47</v>
      </c>
      <c r="W778" s="508">
        <v>0.47</v>
      </c>
      <c r="X778" s="508">
        <v>0.47</v>
      </c>
      <c r="Y778" s="508">
        <v>0.47</v>
      </c>
      <c r="Z778" s="508">
        <v>0.47</v>
      </c>
      <c r="AA778" s="508">
        <v>0.47</v>
      </c>
      <c r="AB778" s="508">
        <v>0.47</v>
      </c>
      <c r="AC778" s="508">
        <v>0.47</v>
      </c>
      <c r="AD778" s="508">
        <v>0.47</v>
      </c>
      <c r="AE778" s="508">
        <v>0.47</v>
      </c>
      <c r="AF778" s="508">
        <v>0.47</v>
      </c>
      <c r="AG778" s="508">
        <v>0.47</v>
      </c>
      <c r="AH778" s="508">
        <v>0.47</v>
      </c>
      <c r="AI778" s="508">
        <v>0.47</v>
      </c>
    </row>
    <row r="779" spans="2:35" outlineLevel="1">
      <c r="B779" t="str">
        <f t="shared" si="64"/>
        <v>e-diesel - Conversion CO2 -&gt; diesel - Global - ton CO2/ton diesel</v>
      </c>
      <c r="C779" t="s">
        <v>1393</v>
      </c>
      <c r="D779" t="s">
        <v>1396</v>
      </c>
      <c r="E779" t="s">
        <v>708</v>
      </c>
      <c r="F779" t="s">
        <v>1397</v>
      </c>
      <c r="G779" s="487" t="str">
        <f t="shared" si="65"/>
        <v>e-dieselGlobalConversion CO2 -&gt; diesel</v>
      </c>
      <c r="H779" s="508">
        <v>3.21</v>
      </c>
      <c r="I779" s="508">
        <v>3.21</v>
      </c>
      <c r="J779" s="508">
        <v>3.21</v>
      </c>
      <c r="K779" s="508">
        <v>3.21</v>
      </c>
      <c r="L779" s="508">
        <v>3.21</v>
      </c>
      <c r="M779" s="508">
        <v>3.21</v>
      </c>
      <c r="N779" s="508">
        <v>3.21</v>
      </c>
      <c r="O779" s="508">
        <v>3.21</v>
      </c>
      <c r="P779" s="508">
        <v>3.21</v>
      </c>
      <c r="Q779" s="508">
        <v>3.21</v>
      </c>
      <c r="R779" s="508">
        <v>3.21</v>
      </c>
      <c r="S779" s="508">
        <v>3.21</v>
      </c>
      <c r="T779" s="508">
        <v>3.21</v>
      </c>
      <c r="U779" s="508">
        <v>3.21</v>
      </c>
      <c r="V779" s="508">
        <v>3.21</v>
      </c>
      <c r="W779" s="508">
        <v>3.21</v>
      </c>
      <c r="X779" s="508">
        <v>3.21</v>
      </c>
      <c r="Y779" s="508">
        <v>3.21</v>
      </c>
      <c r="Z779" s="508">
        <v>3.21</v>
      </c>
      <c r="AA779" s="508">
        <v>3.21</v>
      </c>
      <c r="AB779" s="508">
        <v>3.21</v>
      </c>
      <c r="AC779" s="508">
        <v>3.21</v>
      </c>
      <c r="AD779" s="508">
        <v>3.21</v>
      </c>
      <c r="AE779" s="508">
        <v>3.21</v>
      </c>
      <c r="AF779" s="508">
        <v>3.21</v>
      </c>
      <c r="AG779" s="508">
        <v>3.21</v>
      </c>
      <c r="AH779" s="508">
        <v>3.21</v>
      </c>
      <c r="AI779" s="508">
        <v>3.21</v>
      </c>
    </row>
    <row r="780" spans="2:35" ht="14.25" customHeight="1" outlineLevel="1">
      <c r="B780" t="str">
        <f t="shared" si="64"/>
        <v/>
      </c>
      <c r="G780" s="487" t="str">
        <f t="shared" si="65"/>
        <v/>
      </c>
      <c r="H780" s="498"/>
    </row>
    <row r="781" spans="2:35" ht="15" outlineLevel="1">
      <c r="B781" t="str">
        <f t="shared" si="64"/>
        <v>e-diesel (DAC) - Energy cost including feedstock energy cost - Africa - USD/ton fuel</v>
      </c>
      <c r="C781" s="494" t="str">
        <f>C737</f>
        <v>e-diesel (DAC)</v>
      </c>
      <c r="D781" s="494" t="s">
        <v>1367</v>
      </c>
      <c r="E781" s="494" t="s">
        <v>838</v>
      </c>
      <c r="F781" s="494" t="s">
        <v>1353</v>
      </c>
      <c r="G781" s="487" t="str">
        <f t="shared" si="65"/>
        <v>e-diesel (DAC)AfricaEnergy cost including feedstock energy cost</v>
      </c>
      <c r="H781" s="495">
        <v>2049.22610728775</v>
      </c>
      <c r="I781" s="495">
        <v>1800.2798978415581</v>
      </c>
      <c r="J781" s="495">
        <v>1553.3224803780122</v>
      </c>
      <c r="K781" s="495">
        <v>1479.4215407163545</v>
      </c>
      <c r="L781" s="495">
        <v>1405.8420550168166</v>
      </c>
      <c r="M781" s="495">
        <v>1332.6323330950731</v>
      </c>
      <c r="N781" s="495">
        <v>1259.8406847668145</v>
      </c>
      <c r="O781" s="495">
        <v>1187.5154198477317</v>
      </c>
      <c r="P781" s="495">
        <v>1141.9672300306011</v>
      </c>
      <c r="Q781" s="495">
        <v>1096.7444270915398</v>
      </c>
      <c r="R781" s="495">
        <v>1051.8730319396748</v>
      </c>
      <c r="S781" s="495">
        <v>1007.3790654841828</v>
      </c>
      <c r="T781" s="495">
        <v>963.28854863423476</v>
      </c>
      <c r="U781" s="495">
        <v>937.92607872039264</v>
      </c>
      <c r="V781" s="495">
        <v>912.71425085585031</v>
      </c>
      <c r="W781" s="495">
        <v>887.66155576214783</v>
      </c>
      <c r="X781" s="495">
        <v>862.77648416078148</v>
      </c>
      <c r="Y781" s="495">
        <v>838.06752677328961</v>
      </c>
      <c r="Z781" s="495">
        <v>811.67739563803434</v>
      </c>
      <c r="AA781" s="495">
        <v>785.77752740818255</v>
      </c>
      <c r="AB781" s="495">
        <v>760.362956938661</v>
      </c>
      <c r="AC781" s="495">
        <v>735.42871908438883</v>
      </c>
      <c r="AD781" s="495">
        <v>710.96984870028348</v>
      </c>
      <c r="AE781" s="495">
        <v>695.66324426751692</v>
      </c>
      <c r="AF781" s="495">
        <v>680.6222786886558</v>
      </c>
      <c r="AG781" s="495">
        <v>665.84382319611723</v>
      </c>
      <c r="AH781" s="495">
        <v>651.32474902233207</v>
      </c>
      <c r="AI781" s="495">
        <v>637.06192739973119</v>
      </c>
    </row>
    <row r="782" spans="2:35" ht="15" outlineLevel="1">
      <c r="B782" t="str">
        <f t="shared" si="64"/>
        <v>e-diesel (DAC) - Energy cost including feedstock energy cost - Americas - USD/ton fuel</v>
      </c>
      <c r="C782" s="22" t="str">
        <f>C737</f>
        <v>e-diesel (DAC)</v>
      </c>
      <c r="D782" s="22" t="s">
        <v>1367</v>
      </c>
      <c r="E782" s="22" t="s">
        <v>731</v>
      </c>
      <c r="F782" s="22" t="s">
        <v>1353</v>
      </c>
      <c r="G782" s="487" t="str">
        <f t="shared" si="65"/>
        <v>e-diesel (DAC)AmericasEnergy cost including feedstock energy cost</v>
      </c>
      <c r="H782" s="496">
        <v>1287.5592558687724</v>
      </c>
      <c r="I782" s="496">
        <v>1255.1002982478385</v>
      </c>
      <c r="J782" s="496">
        <v>1222.7107244729457</v>
      </c>
      <c r="K782" s="496">
        <v>1172.1594619355128</v>
      </c>
      <c r="L782" s="496">
        <v>1121.780806628075</v>
      </c>
      <c r="M782" s="496">
        <v>1071.6072183256256</v>
      </c>
      <c r="N782" s="496">
        <v>1021.6711568032001</v>
      </c>
      <c r="O782" s="496">
        <v>972.00508183574959</v>
      </c>
      <c r="P782" s="496">
        <v>943.28384957036405</v>
      </c>
      <c r="Q782" s="496">
        <v>914.6827840264765</v>
      </c>
      <c r="R782" s="496">
        <v>886.21695783452253</v>
      </c>
      <c r="S782" s="496">
        <v>857.90144362494016</v>
      </c>
      <c r="T782" s="496">
        <v>829.75131402819511</v>
      </c>
      <c r="U782" s="496">
        <v>805.71355859671098</v>
      </c>
      <c r="V782" s="496">
        <v>781.84895215201595</v>
      </c>
      <c r="W782" s="496">
        <v>758.16596505518555</v>
      </c>
      <c r="X782" s="496">
        <v>734.67306766725937</v>
      </c>
      <c r="Y782" s="496">
        <v>711.37873034929805</v>
      </c>
      <c r="Z782" s="496">
        <v>696.15167406587318</v>
      </c>
      <c r="AA782" s="496">
        <v>681.15627342734024</v>
      </c>
      <c r="AB782" s="496">
        <v>666.39058779551374</v>
      </c>
      <c r="AC782" s="496">
        <v>651.85267653217829</v>
      </c>
      <c r="AD782" s="496">
        <v>637.54059899914387</v>
      </c>
      <c r="AE782" s="496">
        <v>625.95007984256233</v>
      </c>
      <c r="AF782" s="496">
        <v>614.54921757755642</v>
      </c>
      <c r="AG782" s="496">
        <v>603.33613255760793</v>
      </c>
      <c r="AH782" s="496">
        <v>592.30894513620319</v>
      </c>
      <c r="AI782" s="496">
        <v>581.46577566682845</v>
      </c>
    </row>
    <row r="783" spans="2:35" ht="15" outlineLevel="1">
      <c r="B783" t="str">
        <f t="shared" si="64"/>
        <v>e-diesel (DAC) - Energy cost including feedstock energy cost - Asia - USD/ton fuel</v>
      </c>
      <c r="C783" s="22" t="str">
        <f>C737</f>
        <v>e-diesel (DAC)</v>
      </c>
      <c r="D783" s="22" t="s">
        <v>1367</v>
      </c>
      <c r="E783" s="22" t="s">
        <v>750</v>
      </c>
      <c r="F783" s="22" t="s">
        <v>1353</v>
      </c>
      <c r="G783" s="487" t="str">
        <f t="shared" si="65"/>
        <v>e-diesel (DAC)AsiaEnergy cost including feedstock energy cost</v>
      </c>
      <c r="H783" s="496">
        <v>2279.1653931925098</v>
      </c>
      <c r="I783" s="496">
        <v>2069.3303510186952</v>
      </c>
      <c r="J783" s="496">
        <v>1861.0689229302432</v>
      </c>
      <c r="K783" s="496">
        <v>1780.9363406382272</v>
      </c>
      <c r="L783" s="496">
        <v>1701.1001415197986</v>
      </c>
      <c r="M783" s="496">
        <v>1621.6120622647859</v>
      </c>
      <c r="N783" s="496">
        <v>1542.5238395631513</v>
      </c>
      <c r="O783" s="496">
        <v>1463.8872101047978</v>
      </c>
      <c r="P783" s="496">
        <v>1405.1880375774629</v>
      </c>
      <c r="Q783" s="496">
        <v>1346.9335270324666</v>
      </c>
      <c r="R783" s="496">
        <v>1289.1576101393164</v>
      </c>
      <c r="S783" s="496">
        <v>1231.8942185674928</v>
      </c>
      <c r="T783" s="496">
        <v>1175.1772839865689</v>
      </c>
      <c r="U783" s="496">
        <v>1141.2022336722689</v>
      </c>
      <c r="V783" s="496">
        <v>1107.4710354210597</v>
      </c>
      <c r="W783" s="496">
        <v>1073.9956490506841</v>
      </c>
      <c r="X783" s="496">
        <v>1040.7880343787974</v>
      </c>
      <c r="Y783" s="496">
        <v>1007.8601512231373</v>
      </c>
      <c r="Z783" s="496">
        <v>972.50098015604976</v>
      </c>
      <c r="AA783" s="496">
        <v>937.82456066252757</v>
      </c>
      <c r="AB783" s="496">
        <v>903.82377342869279</v>
      </c>
      <c r="AC783" s="496">
        <v>870.49149914065981</v>
      </c>
      <c r="AD783" s="496">
        <v>837.82061848454418</v>
      </c>
      <c r="AE783" s="496">
        <v>818.61962403416283</v>
      </c>
      <c r="AF783" s="496">
        <v>799.75811476956414</v>
      </c>
      <c r="AG783" s="496">
        <v>781.23189915913701</v>
      </c>
      <c r="AH783" s="496">
        <v>763.03678567126462</v>
      </c>
      <c r="AI783" s="496">
        <v>745.16858277432993</v>
      </c>
    </row>
    <row r="784" spans="2:35" ht="15" outlineLevel="1">
      <c r="B784" t="str">
        <f t="shared" si="64"/>
        <v>e-diesel (DAC) - Energy cost including feedstock energy cost - Europe - USD/ton fuel</v>
      </c>
      <c r="C784" s="22" t="str">
        <f>C737</f>
        <v>e-diesel (DAC)</v>
      </c>
      <c r="D784" s="22" t="s">
        <v>1367</v>
      </c>
      <c r="E784" s="22" t="s">
        <v>720</v>
      </c>
      <c r="F784" s="22" t="s">
        <v>1353</v>
      </c>
      <c r="G784" s="487" t="str">
        <f t="shared" si="65"/>
        <v>e-diesel (DAC)EuropeEnergy cost including feedstock energy cost</v>
      </c>
      <c r="H784" s="496">
        <v>1696.7151795352499</v>
      </c>
      <c r="I784" s="496">
        <v>1616.1250407562784</v>
      </c>
      <c r="J784" s="496">
        <v>1535.986386085852</v>
      </c>
      <c r="K784" s="496">
        <v>1470.0507536580394</v>
      </c>
      <c r="L784" s="496">
        <v>1404.3576251363597</v>
      </c>
      <c r="M784" s="496">
        <v>1338.949554133603</v>
      </c>
      <c r="N784" s="496">
        <v>1273.8690942625312</v>
      </c>
      <c r="O784" s="496">
        <v>1209.1587991359204</v>
      </c>
      <c r="P784" s="496">
        <v>1175.7526574016679</v>
      </c>
      <c r="Q784" s="496">
        <v>1142.4563446922509</v>
      </c>
      <c r="R784" s="496">
        <v>1109.2869219693471</v>
      </c>
      <c r="S784" s="496">
        <v>1076.2614501946753</v>
      </c>
      <c r="T784" s="496">
        <v>1043.396990329994</v>
      </c>
      <c r="U784" s="496">
        <v>1019.9701274634029</v>
      </c>
      <c r="V784" s="496">
        <v>996.6263396095959</v>
      </c>
      <c r="W784" s="496">
        <v>973.37268844653704</v>
      </c>
      <c r="X784" s="496">
        <v>950.2162356521344</v>
      </c>
      <c r="Y784" s="496">
        <v>927.1640429043324</v>
      </c>
      <c r="Z784" s="496">
        <v>901.74352297379528</v>
      </c>
      <c r="AA784" s="496">
        <v>876.76829564900561</v>
      </c>
      <c r="AB784" s="496">
        <v>852.23406459540251</v>
      </c>
      <c r="AC784" s="496">
        <v>828.13653347838033</v>
      </c>
      <c r="AD784" s="496">
        <v>804.47140596337192</v>
      </c>
      <c r="AE784" s="496">
        <v>786.03521510021938</v>
      </c>
      <c r="AF784" s="496">
        <v>767.92498463747552</v>
      </c>
      <c r="AG784" s="496">
        <v>750.13669010892227</v>
      </c>
      <c r="AH784" s="496">
        <v>732.66630704833597</v>
      </c>
      <c r="AI784" s="496">
        <v>715.50981098949285</v>
      </c>
    </row>
    <row r="785" spans="2:35" ht="15" outlineLevel="1">
      <c r="B785" t="str">
        <f t="shared" si="64"/>
        <v>e-diesel (DAC) - Energy cost including feedstock energy cost - Middle East - USD/ton fuel</v>
      </c>
      <c r="C785" s="92" t="str">
        <f>C737</f>
        <v>e-diesel (DAC)</v>
      </c>
      <c r="D785" s="92" t="s">
        <v>1367</v>
      </c>
      <c r="E785" s="92" t="s">
        <v>826</v>
      </c>
      <c r="F785" s="92" t="s">
        <v>1353</v>
      </c>
      <c r="G785" s="487" t="str">
        <f t="shared" si="65"/>
        <v>e-diesel (DAC)Middle EastEnergy cost including feedstock energy cost</v>
      </c>
      <c r="H785" s="497">
        <v>1299.2507325291738</v>
      </c>
      <c r="I785" s="497">
        <v>1236.2098783446002</v>
      </c>
      <c r="J785" s="497">
        <v>1173.5274027920104</v>
      </c>
      <c r="K785" s="497">
        <v>1130.233177366476</v>
      </c>
      <c r="L785" s="497">
        <v>1087.0494850047849</v>
      </c>
      <c r="M785" s="497">
        <v>1044.0036632934361</v>
      </c>
      <c r="N785" s="497">
        <v>1001.123049818955</v>
      </c>
      <c r="O785" s="497">
        <v>958.43498216782928</v>
      </c>
      <c r="P785" s="497">
        <v>924.97497272555381</v>
      </c>
      <c r="Q785" s="497">
        <v>891.72120887709673</v>
      </c>
      <c r="R785" s="497">
        <v>858.692290775949</v>
      </c>
      <c r="S785" s="497">
        <v>825.90681857563573</v>
      </c>
      <c r="T785" s="497">
        <v>793.38339242968846</v>
      </c>
      <c r="U785" s="497">
        <v>773.49437613353462</v>
      </c>
      <c r="V785" s="497">
        <v>753.70962939207982</v>
      </c>
      <c r="W785" s="497">
        <v>734.03561744822332</v>
      </c>
      <c r="X785" s="497">
        <v>714.47880554480867</v>
      </c>
      <c r="Y785" s="497">
        <v>695.04565892472192</v>
      </c>
      <c r="Z785" s="497">
        <v>670.93863454979589</v>
      </c>
      <c r="AA785" s="497">
        <v>647.29531478635272</v>
      </c>
      <c r="AB785" s="497">
        <v>624.11087795408162</v>
      </c>
      <c r="AC785" s="497">
        <v>601.38050237266282</v>
      </c>
      <c r="AD785" s="497">
        <v>579.0993663617794</v>
      </c>
      <c r="AE785" s="497">
        <v>565.82751060976602</v>
      </c>
      <c r="AF785" s="497">
        <v>552.79031019735453</v>
      </c>
      <c r="AG785" s="497">
        <v>539.98486787112779</v>
      </c>
      <c r="AH785" s="497">
        <v>527.40828637767618</v>
      </c>
      <c r="AI785" s="497">
        <v>515.05766846358995</v>
      </c>
    </row>
    <row r="786" spans="2:35" outlineLevel="1">
      <c r="B786" t="str">
        <f t="shared" si="64"/>
        <v>e-diesel (DAC) - Energy cost - Africa - USD/ton fuel</v>
      </c>
      <c r="C786" t="str">
        <f>C737</f>
        <v>e-diesel (DAC)</v>
      </c>
      <c r="D786" t="s">
        <v>1368</v>
      </c>
      <c r="E786" t="s">
        <v>838</v>
      </c>
      <c r="F786" t="s">
        <v>1353</v>
      </c>
      <c r="G786" s="487" t="str">
        <f t="shared" si="65"/>
        <v>e-diesel (DAC)AfricaEnergy cost</v>
      </c>
      <c r="H786" s="493">
        <v>24.196520996516455</v>
      </c>
      <c r="I786" s="493">
        <v>20.984263356572239</v>
      </c>
      <c r="J786" s="493">
        <v>17.87071422432129</v>
      </c>
      <c r="K786" s="493">
        <v>16.823748934217715</v>
      </c>
      <c r="L786" s="493">
        <v>15.802028726504963</v>
      </c>
      <c r="M786" s="493">
        <v>14.805553601183036</v>
      </c>
      <c r="N786" s="493">
        <v>13.834323558251761</v>
      </c>
      <c r="O786" s="493">
        <v>12.888338597711485</v>
      </c>
      <c r="P786" s="493">
        <v>12.290477819406663</v>
      </c>
      <c r="Q786" s="493">
        <v>11.705545605118326</v>
      </c>
      <c r="R786" s="493">
        <v>11.133541954846319</v>
      </c>
      <c r="S786" s="493">
        <v>10.574466868590962</v>
      </c>
      <c r="T786" s="493">
        <v>10.02832034635213</v>
      </c>
      <c r="U786" s="493">
        <v>9.6964670631229843</v>
      </c>
      <c r="V786" s="493">
        <v>9.3701967075256007</v>
      </c>
      <c r="W786" s="493">
        <v>9.0495092795597998</v>
      </c>
      <c r="X786" s="493">
        <v>8.7344047792256703</v>
      </c>
      <c r="Y786" s="493">
        <v>8.424883206523333</v>
      </c>
      <c r="Z786" s="493">
        <v>8.1289163298713785</v>
      </c>
      <c r="AA786" s="493">
        <v>7.8382163198470858</v>
      </c>
      <c r="AB786" s="493">
        <v>7.552783176450439</v>
      </c>
      <c r="AC786" s="493">
        <v>7.2726168996816174</v>
      </c>
      <c r="AD786" s="493">
        <v>6.997717489540431</v>
      </c>
      <c r="AE786" s="493">
        <v>6.8115445879951633</v>
      </c>
      <c r="AF786" s="493">
        <v>6.6277434055101123</v>
      </c>
      <c r="AG786" s="493">
        <v>6.4463139420851272</v>
      </c>
      <c r="AH786" s="493">
        <v>6.2672561977202834</v>
      </c>
      <c r="AI786" s="493">
        <v>6.090570172415652</v>
      </c>
    </row>
    <row r="787" spans="2:35" outlineLevel="1">
      <c r="B787" t="str">
        <f t="shared" si="64"/>
        <v>e-diesel (DAC) - Energy cost - Americas - USD/ton fuel</v>
      </c>
      <c r="C787" t="str">
        <f>C737</f>
        <v>e-diesel (DAC)</v>
      </c>
      <c r="D787" t="s">
        <v>1368</v>
      </c>
      <c r="E787" t="s">
        <v>731</v>
      </c>
      <c r="F787" t="s">
        <v>1353</v>
      </c>
      <c r="G787" s="487" t="str">
        <f t="shared" si="65"/>
        <v>e-diesel (DAC)AmericasEnergy cost</v>
      </c>
      <c r="H787" s="493">
        <v>15.203034188414808</v>
      </c>
      <c r="I787" s="493">
        <v>14.629589114960471</v>
      </c>
      <c r="J787" s="493">
        <v>14.067081505671206</v>
      </c>
      <c r="K787" s="493">
        <v>13.329612930282243</v>
      </c>
      <c r="L787" s="493">
        <v>12.609106739922293</v>
      </c>
      <c r="M787" s="493">
        <v>11.905562934591353</v>
      </c>
      <c r="N787" s="493">
        <v>11.218981514289597</v>
      </c>
      <c r="O787" s="493">
        <v>10.549362479016679</v>
      </c>
      <c r="P787" s="493">
        <v>10.15213828004366</v>
      </c>
      <c r="Q787" s="493">
        <v>9.7624029611274885</v>
      </c>
      <c r="R787" s="493">
        <v>9.3801565222681607</v>
      </c>
      <c r="S787" s="493">
        <v>9.0053989634656801</v>
      </c>
      <c r="T787" s="493">
        <v>8.6381302847200061</v>
      </c>
      <c r="U787" s="493">
        <v>8.3296276332387222</v>
      </c>
      <c r="V787" s="493">
        <v>8.0266945217164203</v>
      </c>
      <c r="W787" s="493">
        <v>7.7293309501529768</v>
      </c>
      <c r="X787" s="493">
        <v>7.437536918548509</v>
      </c>
      <c r="Y787" s="493">
        <v>7.1513124269030035</v>
      </c>
      <c r="Z787" s="493">
        <v>6.9719308949500096</v>
      </c>
      <c r="AA787" s="493">
        <v>6.7946079297467135</v>
      </c>
      <c r="AB787" s="493">
        <v>6.6193435312931719</v>
      </c>
      <c r="AC787" s="493">
        <v>6.4461376995893911</v>
      </c>
      <c r="AD787" s="493">
        <v>6.2749904346353098</v>
      </c>
      <c r="AE787" s="493">
        <v>6.1289523542329727</v>
      </c>
      <c r="AF787" s="493">
        <v>5.9843391139187769</v>
      </c>
      <c r="AG787" s="493">
        <v>5.8411507136926293</v>
      </c>
      <c r="AH787" s="493">
        <v>5.699387153554567</v>
      </c>
      <c r="AI787" s="493">
        <v>5.5590484335046302</v>
      </c>
    </row>
    <row r="788" spans="2:35" outlineLevel="1">
      <c r="B788" t="str">
        <f t="shared" si="64"/>
        <v>e-diesel (DAC) - Energy cost - Asia - USD/ton fuel</v>
      </c>
      <c r="C788" t="str">
        <f>C737</f>
        <v>e-diesel (DAC)</v>
      </c>
      <c r="D788" t="s">
        <v>1368</v>
      </c>
      <c r="E788" t="s">
        <v>750</v>
      </c>
      <c r="F788" t="s">
        <v>1353</v>
      </c>
      <c r="G788" s="487" t="str">
        <f t="shared" si="65"/>
        <v>e-diesel (DAC)AsiaEnergy cost</v>
      </c>
      <c r="H788" s="493">
        <v>26.911560952103585</v>
      </c>
      <c r="I788" s="493">
        <v>24.120345458273867</v>
      </c>
      <c r="J788" s="493">
        <v>21.411285353546209</v>
      </c>
      <c r="K788" s="493">
        <v>20.252527787458053</v>
      </c>
      <c r="L788" s="493">
        <v>19.120806072795972</v>
      </c>
      <c r="M788" s="493">
        <v>18.016120209559258</v>
      </c>
      <c r="N788" s="493">
        <v>16.93847019774827</v>
      </c>
      <c r="O788" s="493">
        <v>15.88785603736334</v>
      </c>
      <c r="P788" s="493">
        <v>15.123404554681125</v>
      </c>
      <c r="Q788" s="493">
        <v>14.375812120197313</v>
      </c>
      <c r="R788" s="493">
        <v>13.645078733911902</v>
      </c>
      <c r="S788" s="493">
        <v>12.931204395824565</v>
      </c>
      <c r="T788" s="493">
        <v>12.234189105935469</v>
      </c>
      <c r="U788" s="493">
        <v>11.797976538046914</v>
      </c>
      <c r="V788" s="493">
        <v>11.369627942208288</v>
      </c>
      <c r="W788" s="493">
        <v>10.949143318419541</v>
      </c>
      <c r="X788" s="493">
        <v>10.53652266668059</v>
      </c>
      <c r="Y788" s="493">
        <v>10.131765986991704</v>
      </c>
      <c r="Z788" s="493">
        <v>9.7395580324030853</v>
      </c>
      <c r="AA788" s="493">
        <v>9.3549020176036937</v>
      </c>
      <c r="AB788" s="493">
        <v>8.9777979425934493</v>
      </c>
      <c r="AC788" s="493">
        <v>8.6082458073725423</v>
      </c>
      <c r="AD788" s="493">
        <v>8.2462456119407292</v>
      </c>
      <c r="AE788" s="493">
        <v>8.0154645450439599</v>
      </c>
      <c r="AF788" s="493">
        <v>7.7878608108152818</v>
      </c>
      <c r="AG788" s="493">
        <v>7.5634344092546586</v>
      </c>
      <c r="AH788" s="493">
        <v>7.3421853403621089</v>
      </c>
      <c r="AI788" s="493">
        <v>7.1241136041376523</v>
      </c>
    </row>
    <row r="789" spans="2:35" outlineLevel="1">
      <c r="B789" t="str">
        <f t="shared" si="64"/>
        <v>e-diesel (DAC) - Energy cost - Europe - USD/ton fuel</v>
      </c>
      <c r="C789" t="str">
        <f>C737</f>
        <v>e-diesel (DAC)</v>
      </c>
      <c r="D789" t="s">
        <v>1368</v>
      </c>
      <c r="E789" t="s">
        <v>720</v>
      </c>
      <c r="F789" t="s">
        <v>1353</v>
      </c>
      <c r="G789" s="487" t="str">
        <f t="shared" si="65"/>
        <v>e-diesel (DAC)EuropeEnergy cost</v>
      </c>
      <c r="H789" s="493">
        <v>20.03419940861022</v>
      </c>
      <c r="I789" s="493">
        <v>18.837733795195369</v>
      </c>
      <c r="J789" s="493">
        <v>17.671265371443241</v>
      </c>
      <c r="K789" s="493">
        <v>16.717185818536183</v>
      </c>
      <c r="L789" s="493">
        <v>15.78534335027101</v>
      </c>
      <c r="M789" s="493">
        <v>14.875737966648074</v>
      </c>
      <c r="N789" s="493">
        <v>13.988369667667028</v>
      </c>
      <c r="O789" s="493">
        <v>13.123238453328213</v>
      </c>
      <c r="P789" s="493">
        <v>12.654095123654653</v>
      </c>
      <c r="Q789" s="493">
        <v>12.193428582186671</v>
      </c>
      <c r="R789" s="493">
        <v>11.741238828923938</v>
      </c>
      <c r="S789" s="493">
        <v>11.297525863866536</v>
      </c>
      <c r="T789" s="493">
        <v>10.862289687014542</v>
      </c>
      <c r="U789" s="493">
        <v>10.544654819504814</v>
      </c>
      <c r="V789" s="493">
        <v>10.231663236644277</v>
      </c>
      <c r="W789" s="493">
        <v>9.9233149384327817</v>
      </c>
      <c r="X789" s="493">
        <v>9.6196099248703852</v>
      </c>
      <c r="Y789" s="493">
        <v>9.3205481959570715</v>
      </c>
      <c r="Z789" s="493">
        <v>9.0309249569471994</v>
      </c>
      <c r="AA789" s="493">
        <v>8.7458591318438703</v>
      </c>
      <c r="AB789" s="493">
        <v>8.4653507206472032</v>
      </c>
      <c r="AC789" s="493">
        <v>8.189399723357182</v>
      </c>
      <c r="AD789" s="493">
        <v>7.9180061399737713</v>
      </c>
      <c r="AE789" s="493">
        <v>7.6964162754164303</v>
      </c>
      <c r="AF789" s="493">
        <v>7.477877101912612</v>
      </c>
      <c r="AG789" s="493">
        <v>7.262388619462282</v>
      </c>
      <c r="AH789" s="493">
        <v>7.049950828065457</v>
      </c>
      <c r="AI789" s="493">
        <v>6.8405637277221549</v>
      </c>
    </row>
    <row r="790" spans="2:35" outlineLevel="1">
      <c r="B790" t="str">
        <f t="shared" si="64"/>
        <v>e-diesel (DAC) - Energy cost - Middle East - USD/ton fuel</v>
      </c>
      <c r="C790" t="str">
        <f>C737</f>
        <v>e-diesel (DAC)</v>
      </c>
      <c r="D790" t="s">
        <v>1368</v>
      </c>
      <c r="E790" t="s">
        <v>826</v>
      </c>
      <c r="F790" t="s">
        <v>1353</v>
      </c>
      <c r="G790" s="487" t="str">
        <f t="shared" si="65"/>
        <v>e-diesel (DAC)Middle EastEnergy cost</v>
      </c>
      <c r="H790" s="493">
        <v>15.341082917877907</v>
      </c>
      <c r="I790" s="493">
        <v>14.409400272858166</v>
      </c>
      <c r="J790" s="493">
        <v>13.501235651081528</v>
      </c>
      <c r="K790" s="493">
        <v>12.85283382039278</v>
      </c>
      <c r="L790" s="493">
        <v>12.218717691563548</v>
      </c>
      <c r="M790" s="493">
        <v>11.598887264593834</v>
      </c>
      <c r="N790" s="493">
        <v>10.993342539483638</v>
      </c>
      <c r="O790" s="493">
        <v>10.402083516232958</v>
      </c>
      <c r="P790" s="493">
        <v>9.9550881030842415</v>
      </c>
      <c r="Q790" s="493">
        <v>9.5173342300383421</v>
      </c>
      <c r="R790" s="493">
        <v>9.0888218970950945</v>
      </c>
      <c r="S790" s="493">
        <v>8.669551104254662</v>
      </c>
      <c r="T790" s="493">
        <v>8.2595218515169613</v>
      </c>
      <c r="U790" s="493">
        <v>7.9965392922245107</v>
      </c>
      <c r="V790" s="493">
        <v>7.737807841980775</v>
      </c>
      <c r="W790" s="493">
        <v>7.4833275007857054</v>
      </c>
      <c r="X790" s="493">
        <v>7.2330982686392709</v>
      </c>
      <c r="Y790" s="493">
        <v>6.9871201455415495</v>
      </c>
      <c r="Z790" s="493">
        <v>6.719423322668999</v>
      </c>
      <c r="AA790" s="493">
        <v>6.4568411836030739</v>
      </c>
      <c r="AB790" s="493">
        <v>6.199373728343744</v>
      </c>
      <c r="AC790" s="493">
        <v>5.947020956891115</v>
      </c>
      <c r="AD790" s="493">
        <v>5.6997828692450287</v>
      </c>
      <c r="AE790" s="493">
        <v>5.540265853330915</v>
      </c>
      <c r="AF790" s="493">
        <v>5.3829450603634372</v>
      </c>
      <c r="AG790" s="493">
        <v>5.227820490342495</v>
      </c>
      <c r="AH790" s="493">
        <v>5.0748921432681389</v>
      </c>
      <c r="AI790" s="493">
        <v>4.9241600191404169</v>
      </c>
    </row>
    <row r="791" spans="2:35" outlineLevel="1">
      <c r="B791" t="str">
        <f t="shared" si="64"/>
        <v>e-hydrogen (compressed) - Energy cost including feedstock energy cost - Africa - USD/ton fuel</v>
      </c>
      <c r="C791" t="s">
        <v>722</v>
      </c>
      <c r="D791" t="s">
        <v>1367</v>
      </c>
      <c r="E791" t="s">
        <v>838</v>
      </c>
      <c r="F791" t="s">
        <v>1353</v>
      </c>
      <c r="G791" s="487" t="str">
        <f t="shared" si="65"/>
        <v>e-hydrogen (compressed)AfricaEnergy cost including feedstock energy cost</v>
      </c>
      <c r="H791" s="507">
        <v>3160.8705964644164</v>
      </c>
      <c r="I791" s="507">
        <v>2786.523241337979</v>
      </c>
      <c r="J791" s="507">
        <v>2412.5464202833837</v>
      </c>
      <c r="K791" s="507">
        <v>2304.7344628217015</v>
      </c>
      <c r="L791" s="507">
        <v>2196.6012206586379</v>
      </c>
      <c r="M791" s="507">
        <v>2088.2494806360514</v>
      </c>
      <c r="N791" s="507">
        <v>1979.7820295958466</v>
      </c>
      <c r="O791" s="507">
        <v>1871.3016543799013</v>
      </c>
      <c r="P791" s="507">
        <v>1802.6625730422293</v>
      </c>
      <c r="Q791" s="507">
        <v>1734.1917254836167</v>
      </c>
      <c r="R791" s="507">
        <v>1665.9444753405153</v>
      </c>
      <c r="S791" s="507">
        <v>1597.976186249457</v>
      </c>
      <c r="T791" s="507">
        <v>1530.3422218469802</v>
      </c>
      <c r="U791" s="507">
        <v>1491.8507805011832</v>
      </c>
      <c r="V791" s="507">
        <v>1453.4494587457298</v>
      </c>
      <c r="W791" s="507">
        <v>1415.1563219456079</v>
      </c>
      <c r="X791" s="507">
        <v>1376.9894354656967</v>
      </c>
      <c r="Y791" s="507">
        <v>1338.9668646709708</v>
      </c>
      <c r="Z791" s="507">
        <v>1296.9598763474942</v>
      </c>
      <c r="AA791" s="507">
        <v>1255.7747230782336</v>
      </c>
      <c r="AB791" s="507">
        <v>1215.4008407247393</v>
      </c>
      <c r="AC791" s="507">
        <v>1175.8276651485323</v>
      </c>
      <c r="AD791" s="507">
        <v>1137.0446322111472</v>
      </c>
      <c r="AE791" s="507">
        <v>1113.2241368658154</v>
      </c>
      <c r="AF791" s="507">
        <v>1089.8673860112274</v>
      </c>
      <c r="AG791" s="507">
        <v>1066.9677226950826</v>
      </c>
      <c r="AH791" s="507">
        <v>1044.5184899651035</v>
      </c>
      <c r="AI791" s="507">
        <v>1022.5130308690141</v>
      </c>
    </row>
    <row r="792" spans="2:35" outlineLevel="1">
      <c r="B792" t="str">
        <f t="shared" si="64"/>
        <v>e-hydrogen (compressed) - Energy cost including feedstock energy cost - Americas - USD/ton fuel</v>
      </c>
      <c r="C792" t="s">
        <v>722</v>
      </c>
      <c r="D792" t="s">
        <v>1367</v>
      </c>
      <c r="E792" t="s">
        <v>731</v>
      </c>
      <c r="F792" t="s">
        <v>1353</v>
      </c>
      <c r="G792" s="487" t="str">
        <f t="shared" si="65"/>
        <v>e-hydrogen (compressed)AmericasEnergy cost including feedstock energy cost</v>
      </c>
      <c r="H792" s="507">
        <v>1986.022029783622</v>
      </c>
      <c r="I792" s="507">
        <v>1942.6791108821419</v>
      </c>
      <c r="J792" s="507">
        <v>1899.0560032656203</v>
      </c>
      <c r="K792" s="507">
        <v>1826.0625747933959</v>
      </c>
      <c r="L792" s="507">
        <v>1752.7609736509025</v>
      </c>
      <c r="M792" s="507">
        <v>1679.2202631891889</v>
      </c>
      <c r="N792" s="507">
        <v>1605.5095067593863</v>
      </c>
      <c r="O792" s="507">
        <v>1531.6977677124719</v>
      </c>
      <c r="P792" s="507">
        <v>1489.0291478242557</v>
      </c>
      <c r="Q792" s="507">
        <v>1446.3126288296503</v>
      </c>
      <c r="R792" s="507">
        <v>1403.5802801551172</v>
      </c>
      <c r="S792" s="507">
        <v>1360.8641712271224</v>
      </c>
      <c r="T792" s="507">
        <v>1318.196371472189</v>
      </c>
      <c r="U792" s="507">
        <v>1281.5555815366356</v>
      </c>
      <c r="V792" s="507">
        <v>1245.0533507729108</v>
      </c>
      <c r="W792" s="507">
        <v>1208.7077012258628</v>
      </c>
      <c r="X792" s="507">
        <v>1172.5366549402484</v>
      </c>
      <c r="Y792" s="507">
        <v>1136.5582339608836</v>
      </c>
      <c r="Z792" s="507">
        <v>1112.3640919011295</v>
      </c>
      <c r="AA792" s="507">
        <v>1088.5763473760965</v>
      </c>
      <c r="AB792" s="507">
        <v>1065.1908713683672</v>
      </c>
      <c r="AC792" s="507">
        <v>1042.2035348604634</v>
      </c>
      <c r="AD792" s="507">
        <v>1019.61020883496</v>
      </c>
      <c r="AE792" s="507">
        <v>1001.6667447875999</v>
      </c>
      <c r="AF792" s="507">
        <v>984.06586194466854</v>
      </c>
      <c r="AG792" s="507">
        <v>966.80356105825501</v>
      </c>
      <c r="AH792" s="507">
        <v>949.87584288045787</v>
      </c>
      <c r="AI792" s="507">
        <v>933.27870816337509</v>
      </c>
    </row>
    <row r="793" spans="2:35" outlineLevel="1">
      <c r="B793" t="str">
        <f t="shared" si="64"/>
        <v>e-hydrogen (compressed) - Energy cost including feedstock energy cost - Asia - USD/ton fuel</v>
      </c>
      <c r="C793" t="s">
        <v>722</v>
      </c>
      <c r="D793" t="s">
        <v>1367</v>
      </c>
      <c r="E793" t="s">
        <v>750</v>
      </c>
      <c r="F793" t="s">
        <v>1353</v>
      </c>
      <c r="G793" s="487" t="str">
        <f t="shared" si="65"/>
        <v>e-hydrogen (compressed)AsiaEnergy cost including feedstock energy cost</v>
      </c>
      <c r="H793" s="507">
        <v>3515.5451368694994</v>
      </c>
      <c r="I793" s="507">
        <v>3202.9670075376002</v>
      </c>
      <c r="J793" s="507">
        <v>2890.5235227287494</v>
      </c>
      <c r="K793" s="507">
        <v>2774.4528840461521</v>
      </c>
      <c r="L793" s="507">
        <v>2657.9363122554146</v>
      </c>
      <c r="M793" s="507">
        <v>2541.0838854200356</v>
      </c>
      <c r="N793" s="507">
        <v>2424.0056816037468</v>
      </c>
      <c r="O793" s="507">
        <v>2306.8117788701561</v>
      </c>
      <c r="P793" s="507">
        <v>2218.1721303505983</v>
      </c>
      <c r="Q793" s="507">
        <v>2129.7951643580186</v>
      </c>
      <c r="R793" s="507">
        <v>2041.7530759339261</v>
      </c>
      <c r="S793" s="507">
        <v>1954.1180601197893</v>
      </c>
      <c r="T793" s="507">
        <v>1866.9623119572402</v>
      </c>
      <c r="U793" s="507">
        <v>1815.1787029276168</v>
      </c>
      <c r="V793" s="507">
        <v>1763.5893988725866</v>
      </c>
      <c r="W793" s="507">
        <v>1712.219846212882</v>
      </c>
      <c r="X793" s="507">
        <v>1661.0954913690473</v>
      </c>
      <c r="Y793" s="507">
        <v>1610.2417807617942</v>
      </c>
      <c r="Z793" s="507">
        <v>1553.9360314199</v>
      </c>
      <c r="AA793" s="507">
        <v>1498.7656644323729</v>
      </c>
      <c r="AB793" s="507">
        <v>1444.7155323228835</v>
      </c>
      <c r="AC793" s="507">
        <v>1391.7704876150719</v>
      </c>
      <c r="AD793" s="507">
        <v>1339.915382832598</v>
      </c>
      <c r="AE793" s="507">
        <v>1309.9831447130568</v>
      </c>
      <c r="AF793" s="507">
        <v>1280.6373127610934</v>
      </c>
      <c r="AG793" s="507">
        <v>1251.8689688243389</v>
      </c>
      <c r="AH793" s="507">
        <v>1223.6691947504187</v>
      </c>
      <c r="AI793" s="507">
        <v>1196.0290723869578</v>
      </c>
    </row>
    <row r="794" spans="2:35" outlineLevel="1">
      <c r="B794" t="str">
        <f t="shared" si="64"/>
        <v>e-hydrogen (compressed) - Energy cost including feedstock energy cost - Europe - USD/ton fuel</v>
      </c>
      <c r="C794" t="s">
        <v>722</v>
      </c>
      <c r="D794" t="s">
        <v>1367</v>
      </c>
      <c r="E794" t="s">
        <v>720</v>
      </c>
      <c r="F794" t="s">
        <v>1353</v>
      </c>
      <c r="G794" s="487" t="str">
        <f t="shared" si="65"/>
        <v>e-hydrogen (compressed)EuropeEnergy cost including feedstock energy cost</v>
      </c>
      <c r="H794" s="507">
        <v>2617.1329276426868</v>
      </c>
      <c r="I794" s="507">
        <v>2501.4832373426843</v>
      </c>
      <c r="J794" s="507">
        <v>2385.6208251448465</v>
      </c>
      <c r="K794" s="507">
        <v>2290.1360706240293</v>
      </c>
      <c r="L794" s="507">
        <v>2194.281827469511</v>
      </c>
      <c r="M794" s="507">
        <v>2098.1486352829556</v>
      </c>
      <c r="N794" s="507">
        <v>2001.8270336660016</v>
      </c>
      <c r="O794" s="507">
        <v>1905.4075622202831</v>
      </c>
      <c r="P794" s="507">
        <v>1855.9948612502078</v>
      </c>
      <c r="Q794" s="507">
        <v>1806.4722197363817</v>
      </c>
      <c r="R794" s="507">
        <v>1756.8759375972888</v>
      </c>
      <c r="S794" s="507">
        <v>1707.2423147514785</v>
      </c>
      <c r="T794" s="507">
        <v>1657.6076511175781</v>
      </c>
      <c r="U794" s="507">
        <v>1622.348781281504</v>
      </c>
      <c r="V794" s="507">
        <v>1587.0750484272664</v>
      </c>
      <c r="W794" s="507">
        <v>1551.8014774016065</v>
      </c>
      <c r="X794" s="507">
        <v>1516.5430930511313</v>
      </c>
      <c r="Y794" s="507">
        <v>1481.3149202225381</v>
      </c>
      <c r="Z794" s="507">
        <v>1440.8743847473047</v>
      </c>
      <c r="AA794" s="507">
        <v>1401.1898091614214</v>
      </c>
      <c r="AB794" s="507">
        <v>1362.2520523275218</v>
      </c>
      <c r="AC794" s="507">
        <v>1324.0519731081486</v>
      </c>
      <c r="AD794" s="507">
        <v>1286.5804303659243</v>
      </c>
      <c r="AE794" s="507">
        <v>1257.840458133481</v>
      </c>
      <c r="AF794" s="507">
        <v>1229.6635327190136</v>
      </c>
      <c r="AG794" s="507">
        <v>1202.0410914284364</v>
      </c>
      <c r="AH794" s="507">
        <v>1174.9645715676581</v>
      </c>
      <c r="AI794" s="507">
        <v>1148.4254104425868</v>
      </c>
    </row>
    <row r="795" spans="2:35" outlineLevel="1">
      <c r="B795" t="str">
        <f t="shared" si="64"/>
        <v>e-hydrogen (compressed) - Energy cost including feedstock energy cost - Middle East - USD/ton fuel</v>
      </c>
      <c r="C795" t="s">
        <v>722</v>
      </c>
      <c r="D795" t="s">
        <v>1367</v>
      </c>
      <c r="E795" t="s">
        <v>826</v>
      </c>
      <c r="F795" t="s">
        <v>1353</v>
      </c>
      <c r="G795" s="487" t="str">
        <f t="shared" si="65"/>
        <v>e-hydrogen (compressed)Middle EastEnergy cost including feedstock energy cost</v>
      </c>
      <c r="H795" s="507">
        <v>2004.0557863679674</v>
      </c>
      <c r="I795" s="507">
        <v>1913.439994141396</v>
      </c>
      <c r="J795" s="507">
        <v>1822.6668128960132</v>
      </c>
      <c r="K795" s="507">
        <v>1760.7472131571581</v>
      </c>
      <c r="L795" s="507">
        <v>1698.4939504098782</v>
      </c>
      <c r="M795" s="507">
        <v>1635.9651897318304</v>
      </c>
      <c r="N795" s="507">
        <v>1573.2190962007282</v>
      </c>
      <c r="O795" s="507">
        <v>1510.3138348942052</v>
      </c>
      <c r="P795" s="507">
        <v>1460.1275067135082</v>
      </c>
      <c r="Q795" s="507">
        <v>1410.0053792603746</v>
      </c>
      <c r="R795" s="507">
        <v>1359.9870273294782</v>
      </c>
      <c r="S795" s="507">
        <v>1310.1120257155462</v>
      </c>
      <c r="T795" s="507">
        <v>1260.4199492133293</v>
      </c>
      <c r="U795" s="507">
        <v>1230.3082459572943</v>
      </c>
      <c r="V795" s="507">
        <v>1200.2429586961468</v>
      </c>
      <c r="W795" s="507">
        <v>1170.2378432658459</v>
      </c>
      <c r="X795" s="507">
        <v>1140.3066555022276</v>
      </c>
      <c r="Y795" s="507">
        <v>1110.4631512412213</v>
      </c>
      <c r="Z795" s="507">
        <v>1072.0767797388739</v>
      </c>
      <c r="AA795" s="507">
        <v>1034.4621299578357</v>
      </c>
      <c r="AB795" s="507">
        <v>997.60894300383222</v>
      </c>
      <c r="AC795" s="507">
        <v>961.50695998256094</v>
      </c>
      <c r="AD795" s="507">
        <v>926.14592199973754</v>
      </c>
      <c r="AE795" s="507">
        <v>905.45655143347608</v>
      </c>
      <c r="AF795" s="507">
        <v>885.17250940990675</v>
      </c>
      <c r="AG795" s="507">
        <v>865.287631560058</v>
      </c>
      <c r="AH795" s="507">
        <v>845.79575351497181</v>
      </c>
      <c r="AI795" s="507">
        <v>826.69071090569059</v>
      </c>
    </row>
    <row r="796" spans="2:35" outlineLevel="1">
      <c r="B796" t="str">
        <f t="shared" si="64"/>
        <v>Carbon dioxide (DAC) - Energy cost - Africa - USD/ton fuel</v>
      </c>
      <c r="C796" t="s">
        <v>1379</v>
      </c>
      <c r="D796" t="s">
        <v>1368</v>
      </c>
      <c r="E796" t="s">
        <v>838</v>
      </c>
      <c r="F796" t="s">
        <v>1353</v>
      </c>
      <c r="G796" s="487" t="str">
        <f t="shared" si="65"/>
        <v>Carbon dioxide (DAC)AfricaEnergy cost</v>
      </c>
      <c r="H796" s="493">
        <v>168.04374017226095</v>
      </c>
      <c r="I796" s="493">
        <v>146.30209067169341</v>
      </c>
      <c r="J796" s="493">
        <v>125.09499957024941</v>
      </c>
      <c r="K796" s="493">
        <v>118.18460880247255</v>
      </c>
      <c r="L796" s="493">
        <v>111.41353662951776</v>
      </c>
      <c r="M796" s="493">
        <v>104.78178305138506</v>
      </c>
      <c r="N796" s="493">
        <v>98.28934806807321</v>
      </c>
      <c r="O796" s="493">
        <v>91.936231679584665</v>
      </c>
      <c r="P796" s="493">
        <v>87.982972860232593</v>
      </c>
      <c r="Q796" s="493">
        <v>84.102420719352523</v>
      </c>
      <c r="R796" s="493">
        <v>80.294575256942807</v>
      </c>
      <c r="S796" s="493">
        <v>76.559436473005292</v>
      </c>
      <c r="T796" s="493">
        <v>72.89700436753958</v>
      </c>
      <c r="U796" s="493">
        <v>70.735122997418571</v>
      </c>
      <c r="V796" s="493">
        <v>68.605236304620504</v>
      </c>
      <c r="W796" s="493">
        <v>66.507344289144001</v>
      </c>
      <c r="X796" s="493">
        <v>64.441446950990169</v>
      </c>
      <c r="Y796" s="493">
        <v>62.40754429015891</v>
      </c>
      <c r="Z796" s="493">
        <v>60.429077079389643</v>
      </c>
      <c r="AA796" s="493">
        <v>58.481367988026683</v>
      </c>
      <c r="AB796" s="493">
        <v>56.564417016069513</v>
      </c>
      <c r="AC796" s="493">
        <v>54.678224163519339</v>
      </c>
      <c r="AD796" s="493">
        <v>52.822789430375032</v>
      </c>
      <c r="AE796" s="493">
        <v>51.600110701740995</v>
      </c>
      <c r="AF796" s="493">
        <v>50.391546373167834</v>
      </c>
      <c r="AG796" s="493">
        <v>49.197096444655244</v>
      </c>
      <c r="AH796" s="493">
        <v>48.016760916203474</v>
      </c>
      <c r="AI796" s="493">
        <v>46.85053978781275</v>
      </c>
    </row>
    <row r="797" spans="2:35" outlineLevel="1">
      <c r="B797" t="str">
        <f t="shared" si="64"/>
        <v>Carbon dioxide (DAC) - Energy cost - Americas - USD/ton fuel</v>
      </c>
      <c r="C797" t="s">
        <v>1379</v>
      </c>
      <c r="D797" t="s">
        <v>1368</v>
      </c>
      <c r="E797" t="s">
        <v>731</v>
      </c>
      <c r="F797" t="s">
        <v>1353</v>
      </c>
      <c r="G797" s="487" t="str">
        <f t="shared" si="65"/>
        <v>Carbon dioxide (DAC)AmericasEnergy cost</v>
      </c>
      <c r="H797" s="493">
        <v>105.58438245546897</v>
      </c>
      <c r="I797" s="493">
        <v>101.99736044182912</v>
      </c>
      <c r="J797" s="493">
        <v>98.469570539698765</v>
      </c>
      <c r="K797" s="493">
        <v>93.638765997611998</v>
      </c>
      <c r="L797" s="493">
        <v>88.901570801317362</v>
      </c>
      <c r="M797" s="493">
        <v>84.25798495081483</v>
      </c>
      <c r="N797" s="493">
        <v>79.708008446105609</v>
      </c>
      <c r="O797" s="493">
        <v>75.251641287187283</v>
      </c>
      <c r="P797" s="493">
        <v>72.675393088137156</v>
      </c>
      <c r="Q797" s="493">
        <v>70.14126028517552</v>
      </c>
      <c r="R797" s="493">
        <v>67.64924287830199</v>
      </c>
      <c r="S797" s="493">
        <v>65.19934086751617</v>
      </c>
      <c r="T797" s="493">
        <v>62.791554252818194</v>
      </c>
      <c r="U797" s="493">
        <v>60.764114529985541</v>
      </c>
      <c r="V797" s="493">
        <v>58.768592762315109</v>
      </c>
      <c r="W797" s="493">
        <v>56.804988949805931</v>
      </c>
      <c r="X797" s="493">
        <v>54.873303092459224</v>
      </c>
      <c r="Y797" s="493">
        <v>52.973535190274085</v>
      </c>
      <c r="Z797" s="493">
        <v>51.828230522552126</v>
      </c>
      <c r="AA797" s="493">
        <v>50.694947735460516</v>
      </c>
      <c r="AB797" s="493">
        <v>49.573686828999371</v>
      </c>
      <c r="AC797" s="493">
        <v>48.464447803168603</v>
      </c>
      <c r="AD797" s="493">
        <v>47.367230657968015</v>
      </c>
      <c r="AE797" s="493">
        <v>46.429207924659629</v>
      </c>
      <c r="AF797" s="493">
        <v>45.499664594904488</v>
      </c>
      <c r="AG797" s="493">
        <v>44.57860066870262</v>
      </c>
      <c r="AH797" s="493">
        <v>43.666016146054034</v>
      </c>
      <c r="AI797" s="493">
        <v>42.761911026958728</v>
      </c>
    </row>
    <row r="798" spans="2:35" outlineLevel="1">
      <c r="B798" t="str">
        <f t="shared" si="64"/>
        <v>Carbon dioxide (DAC) - Energy cost - Asia - USD/ton fuel</v>
      </c>
      <c r="C798" t="s">
        <v>1379</v>
      </c>
      <c r="D798" t="s">
        <v>1368</v>
      </c>
      <c r="E798" t="s">
        <v>750</v>
      </c>
      <c r="F798" t="s">
        <v>1353</v>
      </c>
      <c r="G798" s="487" t="str">
        <f t="shared" si="65"/>
        <v>Carbon dioxide (DAC)AsiaEnergy cost</v>
      </c>
      <c r="H798" s="493">
        <v>186.89956944291009</v>
      </c>
      <c r="I798" s="493">
        <v>168.16682617375361</v>
      </c>
      <c r="J798" s="493">
        <v>149.87899747482393</v>
      </c>
      <c r="K798" s="493">
        <v>142.27132627697122</v>
      </c>
      <c r="L798" s="493">
        <v>134.81285628877197</v>
      </c>
      <c r="M798" s="493">
        <v>127.50358751022122</v>
      </c>
      <c r="N798" s="493">
        <v>120.34351994132149</v>
      </c>
      <c r="O798" s="493">
        <v>113.33265358207515</v>
      </c>
      <c r="P798" s="493">
        <v>108.26284478442385</v>
      </c>
      <c r="Q798" s="493">
        <v>103.28784662429925</v>
      </c>
      <c r="R798" s="493">
        <v>98.407659101700688</v>
      </c>
      <c r="S798" s="493">
        <v>93.622282216625351</v>
      </c>
      <c r="T798" s="493">
        <v>88.931715969074972</v>
      </c>
      <c r="U798" s="493">
        <v>86.065503663003796</v>
      </c>
      <c r="V798" s="493">
        <v>83.244358258173165</v>
      </c>
      <c r="W798" s="493">
        <v>80.468279754582596</v>
      </c>
      <c r="X798" s="493">
        <v>77.737268152231991</v>
      </c>
      <c r="Y798" s="493">
        <v>75.051323451122215</v>
      </c>
      <c r="Z798" s="493">
        <v>72.402332509748831</v>
      </c>
      <c r="AA798" s="493">
        <v>69.797444349441975</v>
      </c>
      <c r="AB798" s="493">
        <v>67.236658970200637</v>
      </c>
      <c r="AC798" s="493">
        <v>64.719976372026011</v>
      </c>
      <c r="AD798" s="493">
        <v>62.247396554916683</v>
      </c>
      <c r="AE798" s="493">
        <v>60.720274602486676</v>
      </c>
      <c r="AF798" s="493">
        <v>59.212061358577877</v>
      </c>
      <c r="AG798" s="493">
        <v>57.722756823190991</v>
      </c>
      <c r="AH798" s="493">
        <v>56.25236099632577</v>
      </c>
      <c r="AI798" s="493">
        <v>54.800873877981985</v>
      </c>
    </row>
    <row r="799" spans="2:35" outlineLevel="1">
      <c r="B799" t="str">
        <f t="shared" si="64"/>
        <v>Carbon dioxide (DAC) - Energy cost - Europe - USD/ton fuel</v>
      </c>
      <c r="C799" t="s">
        <v>1379</v>
      </c>
      <c r="D799" t="s">
        <v>1368</v>
      </c>
      <c r="E799" t="s">
        <v>720</v>
      </c>
      <c r="F799" t="s">
        <v>1353</v>
      </c>
      <c r="G799" s="487" t="str">
        <f t="shared" si="65"/>
        <v>Carbon dioxide (DAC)EuropeEnergy cost</v>
      </c>
      <c r="H799" s="493">
        <v>139.13660564940096</v>
      </c>
      <c r="I799" s="493">
        <v>131.33650635826208</v>
      </c>
      <c r="J799" s="493">
        <v>123.69885760010307</v>
      </c>
      <c r="K799" s="493">
        <v>117.43601702374129</v>
      </c>
      <c r="L799" s="493">
        <v>111.29589497676589</v>
      </c>
      <c r="M799" s="493">
        <v>105.27849145917936</v>
      </c>
      <c r="N799" s="493">
        <v>99.383806470979252</v>
      </c>
      <c r="O799" s="493">
        <v>93.611840012167974</v>
      </c>
      <c r="P799" s="493">
        <v>90.585974296079655</v>
      </c>
      <c r="Q799" s="493">
        <v>87.607779699054461</v>
      </c>
      <c r="R799" s="493">
        <v>84.67725622108955</v>
      </c>
      <c r="S799" s="493">
        <v>81.794403862185035</v>
      </c>
      <c r="T799" s="493">
        <v>78.959222622341954</v>
      </c>
      <c r="U799" s="493">
        <v>76.922599826040909</v>
      </c>
      <c r="V799" s="493">
        <v>74.912586795058061</v>
      </c>
      <c r="W799" s="493">
        <v>72.929183529392262</v>
      </c>
      <c r="X799" s="493">
        <v>70.972390029044362</v>
      </c>
      <c r="Y799" s="493">
        <v>69.042206294013226</v>
      </c>
      <c r="Z799" s="493">
        <v>67.134466412964173</v>
      </c>
      <c r="AA799" s="493">
        <v>65.253341498845373</v>
      </c>
      <c r="AB799" s="493">
        <v>63.398831551657359</v>
      </c>
      <c r="AC799" s="493">
        <v>61.570936571399812</v>
      </c>
      <c r="AD799" s="493">
        <v>59.769656558072832</v>
      </c>
      <c r="AE799" s="493">
        <v>58.303359346438278</v>
      </c>
      <c r="AF799" s="493">
        <v>56.855217183061221</v>
      </c>
      <c r="AG799" s="493">
        <v>55.425230067942344</v>
      </c>
      <c r="AH799" s="493">
        <v>54.013398001081399</v>
      </c>
      <c r="AI799" s="493">
        <v>52.619720982478157</v>
      </c>
    </row>
    <row r="800" spans="2:35" outlineLevel="1">
      <c r="B800" t="str">
        <f t="shared" si="64"/>
        <v>Carbon dioxide (DAC) - Energy cost - Middle East - USD/ton fuel</v>
      </c>
      <c r="C800" t="s">
        <v>1379</v>
      </c>
      <c r="D800" t="s">
        <v>1368</v>
      </c>
      <c r="E800" t="s">
        <v>826</v>
      </c>
      <c r="F800" t="s">
        <v>1353</v>
      </c>
      <c r="G800" s="487" t="str">
        <f t="shared" si="65"/>
        <v>Carbon dioxide (DAC)Middle EastEnergy cost</v>
      </c>
      <c r="H800" s="493">
        <v>106.54312461630884</v>
      </c>
      <c r="I800" s="493">
        <v>100.46220586457505</v>
      </c>
      <c r="J800" s="493">
        <v>94.50864955757099</v>
      </c>
      <c r="K800" s="493">
        <v>90.289455876080666</v>
      </c>
      <c r="L800" s="493">
        <v>86.149099881800211</v>
      </c>
      <c r="M800" s="493">
        <v>82.087581574729612</v>
      </c>
      <c r="N800" s="493">
        <v>78.104900954868882</v>
      </c>
      <c r="O800" s="493">
        <v>74.201058022218021</v>
      </c>
      <c r="P800" s="493">
        <v>71.264783946143552</v>
      </c>
      <c r="Q800" s="493">
        <v>68.380481742891675</v>
      </c>
      <c r="R800" s="493">
        <v>65.548151412460825</v>
      </c>
      <c r="S800" s="493">
        <v>62.767792954851807</v>
      </c>
      <c r="T800" s="493">
        <v>60.039406370064405</v>
      </c>
      <c r="U800" s="493">
        <v>58.334255838436711</v>
      </c>
      <c r="V800" s="493">
        <v>56.653467589691616</v>
      </c>
      <c r="W800" s="493">
        <v>54.997041623828714</v>
      </c>
      <c r="X800" s="493">
        <v>53.364977940848128</v>
      </c>
      <c r="Y800" s="493">
        <v>51.757276540749643</v>
      </c>
      <c r="Z800" s="493">
        <v>49.951129205562665</v>
      </c>
      <c r="AA800" s="493">
        <v>48.17485125313609</v>
      </c>
      <c r="AB800" s="493">
        <v>46.428442683469406</v>
      </c>
      <c r="AC800" s="493">
        <v>44.711903496563266</v>
      </c>
      <c r="AD800" s="493">
        <v>43.025233692416762</v>
      </c>
      <c r="AE800" s="493">
        <v>41.969677751620367</v>
      </c>
      <c r="AF800" s="493">
        <v>40.927191811319283</v>
      </c>
      <c r="AG800" s="493">
        <v>39.897775871513431</v>
      </c>
      <c r="AH800" s="493">
        <v>38.881429932202913</v>
      </c>
      <c r="AI800" s="493">
        <v>37.878153993387855</v>
      </c>
    </row>
    <row r="801" spans="2:35" outlineLevel="1">
      <c r="B801" t="str">
        <f t="shared" ref="B801:B806" si="66">_xlfn.TEXTJOIN(" - ",TRUE,C801:F801)</f>
        <v>e-diesel - Conversion H2 -&gt; diesel - Global - ton H2/ton diesel</v>
      </c>
      <c r="C801" t="s">
        <v>1393</v>
      </c>
      <c r="D801" t="s">
        <v>1394</v>
      </c>
      <c r="E801" t="s">
        <v>708</v>
      </c>
      <c r="F801" t="s">
        <v>1395</v>
      </c>
      <c r="G801" s="487" t="str">
        <f t="shared" si="65"/>
        <v>e-dieselGlobalConversion H2 -&gt; diesel</v>
      </c>
      <c r="H801" s="508">
        <v>0.47</v>
      </c>
      <c r="I801" s="508">
        <v>0.47</v>
      </c>
      <c r="J801" s="508">
        <v>0.47</v>
      </c>
      <c r="K801" s="508">
        <v>0.47</v>
      </c>
      <c r="L801" s="508">
        <v>0.47</v>
      </c>
      <c r="M801" s="508">
        <v>0.47</v>
      </c>
      <c r="N801" s="508">
        <v>0.47</v>
      </c>
      <c r="O801" s="508">
        <v>0.47</v>
      </c>
      <c r="P801" s="508">
        <v>0.47</v>
      </c>
      <c r="Q801" s="508">
        <v>0.47</v>
      </c>
      <c r="R801" s="508">
        <v>0.47</v>
      </c>
      <c r="S801" s="508">
        <v>0.47</v>
      </c>
      <c r="T801" s="508">
        <v>0.47</v>
      </c>
      <c r="U801" s="508">
        <v>0.47</v>
      </c>
      <c r="V801" s="508">
        <v>0.47</v>
      </c>
      <c r="W801" s="508">
        <v>0.47</v>
      </c>
      <c r="X801" s="508">
        <v>0.47</v>
      </c>
      <c r="Y801" s="508">
        <v>0.47</v>
      </c>
      <c r="Z801" s="508">
        <v>0.47</v>
      </c>
      <c r="AA801" s="508">
        <v>0.47</v>
      </c>
      <c r="AB801" s="508">
        <v>0.47</v>
      </c>
      <c r="AC801" s="508">
        <v>0.47</v>
      </c>
      <c r="AD801" s="508">
        <v>0.47</v>
      </c>
      <c r="AE801" s="508">
        <v>0.47</v>
      </c>
      <c r="AF801" s="508">
        <v>0.47</v>
      </c>
      <c r="AG801" s="508">
        <v>0.47</v>
      </c>
      <c r="AH801" s="508">
        <v>0.47</v>
      </c>
      <c r="AI801" s="508">
        <v>0.47</v>
      </c>
    </row>
    <row r="802" spans="2:35" outlineLevel="1">
      <c r="B802" t="str">
        <f t="shared" si="66"/>
        <v>e-diesel - Conversion CO2 -&gt; diesel - Global - ton CO2/ton diesel</v>
      </c>
      <c r="C802" t="s">
        <v>1393</v>
      </c>
      <c r="D802" t="s">
        <v>1396</v>
      </c>
      <c r="E802" t="s">
        <v>708</v>
      </c>
      <c r="F802" t="s">
        <v>1397</v>
      </c>
      <c r="G802" s="487" t="str">
        <f t="shared" si="65"/>
        <v>e-dieselGlobalConversion CO2 -&gt; diesel</v>
      </c>
      <c r="H802" s="508">
        <v>3.21</v>
      </c>
      <c r="I802" s="508">
        <v>3.21</v>
      </c>
      <c r="J802" s="508">
        <v>3.21</v>
      </c>
      <c r="K802" s="508">
        <v>3.21</v>
      </c>
      <c r="L802" s="508">
        <v>3.21</v>
      </c>
      <c r="M802" s="508">
        <v>3.21</v>
      </c>
      <c r="N802" s="508">
        <v>3.21</v>
      </c>
      <c r="O802" s="508">
        <v>3.21</v>
      </c>
      <c r="P802" s="508">
        <v>3.21</v>
      </c>
      <c r="Q802" s="508">
        <v>3.21</v>
      </c>
      <c r="R802" s="508">
        <v>3.21</v>
      </c>
      <c r="S802" s="508">
        <v>3.21</v>
      </c>
      <c r="T802" s="508">
        <v>3.21</v>
      </c>
      <c r="U802" s="508">
        <v>3.21</v>
      </c>
      <c r="V802" s="508">
        <v>3.21</v>
      </c>
      <c r="W802" s="508">
        <v>3.21</v>
      </c>
      <c r="X802" s="508">
        <v>3.21</v>
      </c>
      <c r="Y802" s="508">
        <v>3.21</v>
      </c>
      <c r="Z802" s="508">
        <v>3.21</v>
      </c>
      <c r="AA802" s="508">
        <v>3.21</v>
      </c>
      <c r="AB802" s="508">
        <v>3.21</v>
      </c>
      <c r="AC802" s="508">
        <v>3.21</v>
      </c>
      <c r="AD802" s="508">
        <v>3.21</v>
      </c>
      <c r="AE802" s="508">
        <v>3.21</v>
      </c>
      <c r="AF802" s="508">
        <v>3.21</v>
      </c>
      <c r="AG802" s="508">
        <v>3.21</v>
      </c>
      <c r="AH802" s="508">
        <v>3.21</v>
      </c>
      <c r="AI802" s="508">
        <v>3.21</v>
      </c>
    </row>
    <row r="803" spans="2:35" outlineLevel="1">
      <c r="B803" t="str">
        <f t="shared" si="66"/>
        <v/>
      </c>
      <c r="G803" s="487" t="str">
        <f t="shared" si="65"/>
        <v/>
      </c>
    </row>
    <row r="804" spans="2:35" ht="15" outlineLevel="1">
      <c r="B804" t="str">
        <f t="shared" si="66"/>
        <v>e-diesel (DAC) - Feedstock cost including feedstock feedstock cost - Global - USD/ton fuel</v>
      </c>
      <c r="C804" s="491" t="str">
        <f>C737</f>
        <v>e-diesel (DAC)</v>
      </c>
      <c r="D804" s="491" t="s">
        <v>1369</v>
      </c>
      <c r="E804" s="491" t="s">
        <v>708</v>
      </c>
      <c r="F804" s="491" t="s">
        <v>1353</v>
      </c>
      <c r="G804" s="487" t="str">
        <f t="shared" si="65"/>
        <v>e-diesel (DAC)GlobalFeedstock cost including feedstock feedstock cost</v>
      </c>
      <c r="H804" s="492">
        <v>6.3449999999999998</v>
      </c>
      <c r="I804" s="492">
        <v>6.345000000000022</v>
      </c>
      <c r="J804" s="492">
        <v>6.345000000000022</v>
      </c>
      <c r="K804" s="492">
        <v>6.345000000000022</v>
      </c>
      <c r="L804" s="492">
        <v>6.345000000000045</v>
      </c>
      <c r="M804" s="492">
        <v>6.3449999999999998</v>
      </c>
      <c r="N804" s="492">
        <v>6.345000000000045</v>
      </c>
      <c r="O804" s="492">
        <v>6.3449999999999998</v>
      </c>
      <c r="P804" s="492">
        <v>6.3449999999999545</v>
      </c>
      <c r="Q804" s="492">
        <v>6.345000000000022</v>
      </c>
      <c r="R804" s="492">
        <v>6.3450000000000895</v>
      </c>
      <c r="S804" s="492">
        <v>6.345000000000045</v>
      </c>
      <c r="T804" s="492">
        <v>6.3450000000000895</v>
      </c>
      <c r="U804" s="492">
        <v>6.3450000000001125</v>
      </c>
      <c r="V804" s="492">
        <v>6.3450000000000566</v>
      </c>
      <c r="W804" s="492">
        <v>6.3450000000001685</v>
      </c>
      <c r="X804" s="492">
        <v>6.3450000000001125</v>
      </c>
      <c r="Y804" s="492">
        <v>6.3449999999999545</v>
      </c>
      <c r="Z804" s="492">
        <v>6.3449999999999998</v>
      </c>
      <c r="AA804" s="492">
        <v>6.3449999999999767</v>
      </c>
      <c r="AB804" s="492">
        <v>6.345000000000022</v>
      </c>
      <c r="AC804" s="492">
        <v>6.3449999999999998</v>
      </c>
      <c r="AD804" s="492">
        <v>6.3449999999999998</v>
      </c>
      <c r="AE804" s="492">
        <v>6.3449999999999998</v>
      </c>
      <c r="AF804" s="492">
        <v>6.3449999999999998</v>
      </c>
      <c r="AG804" s="492">
        <v>6.3449999999999998</v>
      </c>
      <c r="AH804" s="492">
        <v>6.3449999999999998</v>
      </c>
      <c r="AI804" s="492">
        <v>6.3449999999999998</v>
      </c>
    </row>
    <row r="805" spans="2:35" outlineLevel="1">
      <c r="B805" t="str">
        <f t="shared" si="66"/>
        <v>e-hydrogen - Feedstock cost - Global - USD/ton fuel</v>
      </c>
      <c r="C805" t="s">
        <v>1370</v>
      </c>
      <c r="D805" t="s">
        <v>1371</v>
      </c>
      <c r="E805" t="s">
        <v>708</v>
      </c>
      <c r="F805" t="s">
        <v>1353</v>
      </c>
      <c r="G805" s="487" t="str">
        <f t="shared" si="65"/>
        <v>e-hydrogenGlobalFeedstock cost</v>
      </c>
      <c r="H805" s="493">
        <v>13.5</v>
      </c>
      <c r="I805" s="493">
        <v>13.500000000000048</v>
      </c>
      <c r="J805" s="493">
        <v>13.500000000000048</v>
      </c>
      <c r="K805" s="493">
        <v>13.500000000000048</v>
      </c>
      <c r="L805" s="493">
        <v>13.500000000000096</v>
      </c>
      <c r="M805" s="493">
        <v>13.5</v>
      </c>
      <c r="N805" s="493">
        <v>13.500000000000096</v>
      </c>
      <c r="O805" s="493">
        <v>13.5</v>
      </c>
      <c r="P805" s="493">
        <v>13.499999999999904</v>
      </c>
      <c r="Q805" s="493">
        <v>13.500000000000048</v>
      </c>
      <c r="R805" s="493">
        <v>13.500000000000192</v>
      </c>
      <c r="S805" s="493">
        <v>13.500000000000096</v>
      </c>
      <c r="T805" s="493">
        <v>13.500000000000192</v>
      </c>
      <c r="U805" s="493">
        <v>13.50000000000024</v>
      </c>
      <c r="V805" s="493">
        <v>13.500000000000121</v>
      </c>
      <c r="W805" s="493">
        <v>13.500000000000359</v>
      </c>
      <c r="X805" s="493">
        <v>13.50000000000024</v>
      </c>
      <c r="Y805" s="493">
        <v>13.499999999999904</v>
      </c>
      <c r="Z805" s="493">
        <v>13.5</v>
      </c>
      <c r="AA805" s="493">
        <v>13.499999999999952</v>
      </c>
      <c r="AB805" s="493">
        <v>13.500000000000048</v>
      </c>
      <c r="AC805" s="493">
        <v>13.5</v>
      </c>
      <c r="AD805" s="493">
        <v>13.5</v>
      </c>
      <c r="AE805" s="493">
        <v>13.5</v>
      </c>
      <c r="AF805" s="493">
        <v>13.5</v>
      </c>
      <c r="AG805" s="493">
        <v>13.5</v>
      </c>
      <c r="AH805" s="493">
        <v>13.5</v>
      </c>
      <c r="AI805" s="493">
        <v>13.5</v>
      </c>
    </row>
    <row r="806" spans="2:35" outlineLevel="1">
      <c r="B806" t="str">
        <f t="shared" si="66"/>
        <v>e-diesel - Conversion H2 -&gt; diesel - Global - ton H2/ton diesel</v>
      </c>
      <c r="C806" t="s">
        <v>1393</v>
      </c>
      <c r="D806" t="s">
        <v>1394</v>
      </c>
      <c r="E806" t="s">
        <v>708</v>
      </c>
      <c r="F806" t="s">
        <v>1395</v>
      </c>
      <c r="G806" s="487" t="str">
        <f t="shared" si="65"/>
        <v>e-dieselGlobalConversion H2 -&gt; diesel</v>
      </c>
      <c r="H806" s="508">
        <v>0.47</v>
      </c>
      <c r="I806" s="508">
        <v>0.47</v>
      </c>
      <c r="J806" s="508">
        <v>0.47</v>
      </c>
      <c r="K806" s="508">
        <v>0.47</v>
      </c>
      <c r="L806" s="508">
        <v>0.47</v>
      </c>
      <c r="M806" s="508">
        <v>0.47</v>
      </c>
      <c r="N806" s="508">
        <v>0.47</v>
      </c>
      <c r="O806" s="508">
        <v>0.47</v>
      </c>
      <c r="P806" s="508">
        <v>0.47</v>
      </c>
      <c r="Q806" s="508">
        <v>0.47</v>
      </c>
      <c r="R806" s="508">
        <v>0.47</v>
      </c>
      <c r="S806" s="508">
        <v>0.47</v>
      </c>
      <c r="T806" s="508">
        <v>0.47</v>
      </c>
      <c r="U806" s="508">
        <v>0.47</v>
      </c>
      <c r="V806" s="508">
        <v>0.47</v>
      </c>
      <c r="W806" s="508">
        <v>0.47</v>
      </c>
      <c r="X806" s="508">
        <v>0.47</v>
      </c>
      <c r="Y806" s="508">
        <v>0.47</v>
      </c>
      <c r="Z806" s="508">
        <v>0.47</v>
      </c>
      <c r="AA806" s="508">
        <v>0.47</v>
      </c>
      <c r="AB806" s="508">
        <v>0.47</v>
      </c>
      <c r="AC806" s="508">
        <v>0.47</v>
      </c>
      <c r="AD806" s="508">
        <v>0.47</v>
      </c>
      <c r="AE806" s="508">
        <v>0.47</v>
      </c>
      <c r="AF806" s="508">
        <v>0.47</v>
      </c>
      <c r="AG806" s="508">
        <v>0.47</v>
      </c>
      <c r="AH806" s="508">
        <v>0.47</v>
      </c>
      <c r="AI806" s="508">
        <v>0.47</v>
      </c>
    </row>
    <row r="807" spans="2:35">
      <c r="G807" s="487" t="str">
        <f t="shared" si="65"/>
        <v/>
      </c>
    </row>
    <row r="808" spans="2:35" ht="15">
      <c r="B808" t="str">
        <f t="shared" ref="B808:B871" si="67">_xlfn.TEXTJOIN(" - ",TRUE,C808:F808)</f>
        <v>e-diesel (PS) - Item - Region - Unit</v>
      </c>
      <c r="C808" s="485" t="s">
        <v>778</v>
      </c>
      <c r="D808" s="485" t="s">
        <v>877</v>
      </c>
      <c r="E808" s="485" t="s">
        <v>171</v>
      </c>
      <c r="F808" s="485" t="s">
        <v>111</v>
      </c>
      <c r="G808" s="487" t="str">
        <f t="shared" si="65"/>
        <v>e-diesel (PS)RegionItem</v>
      </c>
      <c r="H808" s="486">
        <v>2023</v>
      </c>
      <c r="I808" s="486">
        <v>2024</v>
      </c>
      <c r="J808" s="486">
        <v>2025</v>
      </c>
      <c r="K808" s="486">
        <v>2026</v>
      </c>
      <c r="L808" s="486">
        <v>2027</v>
      </c>
      <c r="M808" s="486">
        <v>2028</v>
      </c>
      <c r="N808" s="486">
        <v>2029</v>
      </c>
      <c r="O808" s="486">
        <v>2030</v>
      </c>
      <c r="P808" s="486">
        <v>2031</v>
      </c>
      <c r="Q808" s="486">
        <v>2032</v>
      </c>
      <c r="R808" s="486">
        <v>2033</v>
      </c>
      <c r="S808" s="486">
        <v>2034</v>
      </c>
      <c r="T808" s="486">
        <v>2035</v>
      </c>
      <c r="U808" s="486">
        <v>2036</v>
      </c>
      <c r="V808" s="486">
        <v>2037</v>
      </c>
      <c r="W808" s="486">
        <v>2038</v>
      </c>
      <c r="X808" s="486">
        <v>2039</v>
      </c>
      <c r="Y808" s="486">
        <v>2040</v>
      </c>
      <c r="Z808" s="486">
        <v>2041</v>
      </c>
      <c r="AA808" s="486">
        <v>2042</v>
      </c>
      <c r="AB808" s="486">
        <v>2043</v>
      </c>
      <c r="AC808" s="486">
        <v>2044</v>
      </c>
      <c r="AD808" s="486">
        <v>2045</v>
      </c>
      <c r="AE808" s="486">
        <v>2046</v>
      </c>
      <c r="AF808" s="486">
        <v>2047</v>
      </c>
      <c r="AG808" s="486">
        <v>2048</v>
      </c>
      <c r="AH808" s="486">
        <v>2049</v>
      </c>
      <c r="AI808" s="486">
        <v>2050</v>
      </c>
    </row>
    <row r="809" spans="2:35" outlineLevel="1">
      <c r="B809" t="str">
        <f t="shared" si="67"/>
        <v>e-diesel (PS) - Total cost - Africa - USD/ton fuel</v>
      </c>
      <c r="C809" s="487" t="str">
        <f>C808</f>
        <v>e-diesel (PS)</v>
      </c>
      <c r="D809" s="487" t="s">
        <v>1362</v>
      </c>
      <c r="E809" s="487" t="s">
        <v>838</v>
      </c>
      <c r="F809" s="487" t="s">
        <v>1353</v>
      </c>
      <c r="G809" s="487" t="str">
        <f t="shared" si="65"/>
        <v>e-diesel (PS)AfricaTotal cost</v>
      </c>
      <c r="H809" s="488">
        <v>3822.6400679928965</v>
      </c>
      <c r="I809" s="488">
        <v>3537.0641294223688</v>
      </c>
      <c r="J809" s="488">
        <v>3251.6112782565538</v>
      </c>
      <c r="K809" s="488">
        <v>3114.5260137653645</v>
      </c>
      <c r="L809" s="488">
        <v>2976.3256072246422</v>
      </c>
      <c r="M809" s="488">
        <v>2837.0583684500525</v>
      </c>
      <c r="N809" s="488">
        <v>2696.7726072573118</v>
      </c>
      <c r="O809" s="488">
        <v>2555.5166334620671</v>
      </c>
      <c r="P809" s="488">
        <v>2509.6905005264834</v>
      </c>
      <c r="Q809" s="488">
        <v>2460.3163040723357</v>
      </c>
      <c r="R809" s="488">
        <v>2407.4200650087641</v>
      </c>
      <c r="S809" s="488">
        <v>2351.0278042449208</v>
      </c>
      <c r="T809" s="488">
        <v>2291.1655426899979</v>
      </c>
      <c r="U809" s="488">
        <v>2244.7978140069686</v>
      </c>
      <c r="V809" s="488">
        <v>2195.9864183284431</v>
      </c>
      <c r="W809" s="488">
        <v>2144.739846375991</v>
      </c>
      <c r="X809" s="488">
        <v>2091.0665888710755</v>
      </c>
      <c r="Y809" s="488">
        <v>2034.9751365352383</v>
      </c>
      <c r="Z809" s="488">
        <v>1958.987589505015</v>
      </c>
      <c r="AA809" s="488">
        <v>1882.4080067240216</v>
      </c>
      <c r="AB809" s="488">
        <v>1805.2314230472139</v>
      </c>
      <c r="AC809" s="488">
        <v>1727.4528733294865</v>
      </c>
      <c r="AD809" s="488">
        <v>1649.0673924257676</v>
      </c>
      <c r="AE809" s="488">
        <v>1581.1833228740227</v>
      </c>
      <c r="AF809" s="488">
        <v>1513.2715061706388</v>
      </c>
      <c r="AG809" s="488">
        <v>1445.3288135480316</v>
      </c>
      <c r="AH809" s="488">
        <v>1377.3521162386305</v>
      </c>
      <c r="AI809" s="488">
        <v>1309.3382854748668</v>
      </c>
    </row>
    <row r="810" spans="2:35" outlineLevel="1">
      <c r="B810" t="str">
        <f t="shared" si="67"/>
        <v>e-diesel (PS) - Total cost - Americas - USD/ton fuel</v>
      </c>
      <c r="C810" t="str">
        <f>C809</f>
        <v>e-diesel (PS)</v>
      </c>
      <c r="D810" t="s">
        <v>1362</v>
      </c>
      <c r="E810" t="s">
        <v>731</v>
      </c>
      <c r="F810" t="s">
        <v>1353</v>
      </c>
      <c r="G810" s="487" t="str">
        <f t="shared" si="65"/>
        <v>e-diesel (PS)AmericasTotal cost</v>
      </c>
      <c r="H810" s="489">
        <v>3230.1183168013877</v>
      </c>
      <c r="I810" s="489">
        <v>3111.560060517183</v>
      </c>
      <c r="J810" s="489">
        <v>2992.7312808843299</v>
      </c>
      <c r="K810" s="489">
        <v>2873.2260695434284</v>
      </c>
      <c r="L810" s="489">
        <v>2752.6035961102548</v>
      </c>
      <c r="M810" s="489">
        <v>2630.8963203597946</v>
      </c>
      <c r="N810" s="489">
        <v>2508.1367020671014</v>
      </c>
      <c r="O810" s="489">
        <v>2384.3572010070975</v>
      </c>
      <c r="P810" s="489">
        <v>2351.5862684686017</v>
      </c>
      <c r="Q810" s="489">
        <v>2315.1602502714222</v>
      </c>
      <c r="R810" s="489">
        <v>2275.0942190460028</v>
      </c>
      <c r="S810" s="489">
        <v>2231.4032474227647</v>
      </c>
      <c r="T810" s="489">
        <v>2184.1024080321927</v>
      </c>
      <c r="U810" s="489">
        <v>2138.6295756387481</v>
      </c>
      <c r="V810" s="489">
        <v>2090.7358294654337</v>
      </c>
      <c r="W810" s="489">
        <v>2040.4296398733513</v>
      </c>
      <c r="X810" s="489">
        <v>1987.719477223508</v>
      </c>
      <c r="Y810" s="489">
        <v>1932.6138118769702</v>
      </c>
      <c r="Z810" s="489">
        <v>1865.5692587069452</v>
      </c>
      <c r="AA810" s="489">
        <v>1797.7342058521097</v>
      </c>
      <c r="AB810" s="489">
        <v>1729.1067126743051</v>
      </c>
      <c r="AC810" s="489">
        <v>1659.6848385352953</v>
      </c>
      <c r="AD810" s="489">
        <v>1589.466642796898</v>
      </c>
      <c r="AE810" s="489">
        <v>1524.5310790692688</v>
      </c>
      <c r="AF810" s="489">
        <v>1459.50987456646</v>
      </c>
      <c r="AG810" s="489">
        <v>1394.4011496419516</v>
      </c>
      <c r="AH810" s="489">
        <v>1329.2030246492288</v>
      </c>
      <c r="AI810" s="489">
        <v>1263.9136199417785</v>
      </c>
    </row>
    <row r="811" spans="2:35" outlineLevel="1">
      <c r="B811" t="str">
        <f t="shared" si="67"/>
        <v>e-diesel (PS) - Total cost - Asia - USD/ton fuel</v>
      </c>
      <c r="C811" t="str">
        <f>C810</f>
        <v>e-diesel (PS)</v>
      </c>
      <c r="D811" t="s">
        <v>1362</v>
      </c>
      <c r="E811" t="s">
        <v>750</v>
      </c>
      <c r="F811" t="s">
        <v>1353</v>
      </c>
      <c r="G811" s="487" t="str">
        <f t="shared" si="65"/>
        <v>e-diesel (PS)AsiaTotal cost</v>
      </c>
      <c r="H811" s="489">
        <v>4001.5162106242751</v>
      </c>
      <c r="I811" s="489">
        <v>3747.0537597257967</v>
      </c>
      <c r="J811" s="489">
        <v>3492.5869750255142</v>
      </c>
      <c r="K811" s="489">
        <v>3351.3124883342939</v>
      </c>
      <c r="L811" s="489">
        <v>3208.8660656114007</v>
      </c>
      <c r="M811" s="489">
        <v>3065.299443546668</v>
      </c>
      <c r="N811" s="489">
        <v>2920.6643588300726</v>
      </c>
      <c r="O811" s="489">
        <v>2775.0125481514751</v>
      </c>
      <c r="P811" s="489">
        <v>2719.1510177698005</v>
      </c>
      <c r="Q811" s="489">
        <v>2659.7897452652678</v>
      </c>
      <c r="R811" s="489">
        <v>2596.9626623073914</v>
      </c>
      <c r="S811" s="489">
        <v>2530.7037005656439</v>
      </c>
      <c r="T811" s="489">
        <v>2461.0467917096112</v>
      </c>
      <c r="U811" s="489">
        <v>2408.0310029161355</v>
      </c>
      <c r="V811" s="489">
        <v>2352.6227953021807</v>
      </c>
      <c r="W811" s="489">
        <v>2294.8341286855148</v>
      </c>
      <c r="X811" s="489">
        <v>2234.6769628837637</v>
      </c>
      <c r="Y811" s="489">
        <v>2172.1632577146647</v>
      </c>
      <c r="Z811" s="489">
        <v>2089.035431787921</v>
      </c>
      <c r="AA811" s="489">
        <v>2005.4652224146389</v>
      </c>
      <c r="AB811" s="489">
        <v>1921.4455102809727</v>
      </c>
      <c r="AC811" s="489">
        <v>1836.9691760730116</v>
      </c>
      <c r="AD811" s="489">
        <v>1752.0291004768824</v>
      </c>
      <c r="AE811" s="489">
        <v>1681.1035439879058</v>
      </c>
      <c r="AF811" s="489">
        <v>1610.2086969490101</v>
      </c>
      <c r="AG811" s="489">
        <v>1539.3403678285797</v>
      </c>
      <c r="AH811" s="489">
        <v>1468.4943650949972</v>
      </c>
      <c r="AI811" s="489">
        <v>1397.666497216647</v>
      </c>
    </row>
    <row r="812" spans="2:35" outlineLevel="1">
      <c r="B812" t="str">
        <f t="shared" si="67"/>
        <v>e-diesel (PS) - Total cost - Europe - USD/ton fuel</v>
      </c>
      <c r="C812" t="str">
        <f>C811</f>
        <v>e-diesel (PS)</v>
      </c>
      <c r="D812" t="s">
        <v>1362</v>
      </c>
      <c r="E812" t="s">
        <v>720</v>
      </c>
      <c r="F812" t="s">
        <v>1353</v>
      </c>
      <c r="G812" s="487" t="str">
        <f t="shared" si="65"/>
        <v>e-diesel (PS)EuropeTotal cost</v>
      </c>
      <c r="H812" s="489">
        <v>3548.4120484369305</v>
      </c>
      <c r="I812" s="489">
        <v>3393.3341713373006</v>
      </c>
      <c r="J812" s="489">
        <v>3238.0365400186074</v>
      </c>
      <c r="K812" s="489">
        <v>3107.1669201751015</v>
      </c>
      <c r="L812" s="489">
        <v>2975.1564944361226</v>
      </c>
      <c r="M812" s="489">
        <v>2842.047816414447</v>
      </c>
      <c r="N812" s="489">
        <v>2707.8834397228643</v>
      </c>
      <c r="O812" s="489">
        <v>2572.7059179741082</v>
      </c>
      <c r="P812" s="489">
        <v>2536.5755828966157</v>
      </c>
      <c r="Q812" s="489">
        <v>2496.7619905930301</v>
      </c>
      <c r="R812" s="489">
        <v>2453.2822020250424</v>
      </c>
      <c r="S812" s="489">
        <v>2406.1532781543547</v>
      </c>
      <c r="T812" s="489">
        <v>2355.3922799427414</v>
      </c>
      <c r="U812" s="489">
        <v>2310.680168533554</v>
      </c>
      <c r="V812" s="489">
        <v>2263.4741086598915</v>
      </c>
      <c r="W812" s="489">
        <v>2213.7811619997451</v>
      </c>
      <c r="X812" s="489">
        <v>2161.6083902309897</v>
      </c>
      <c r="Y812" s="489">
        <v>2106.9628550315774</v>
      </c>
      <c r="Z812" s="489">
        <v>2031.8183596802751</v>
      </c>
      <c r="AA812" s="489">
        <v>1956.0501577979949</v>
      </c>
      <c r="AB812" s="489">
        <v>1879.6539530502023</v>
      </c>
      <c r="AC812" s="489">
        <v>1802.6254491022705</v>
      </c>
      <c r="AD812" s="489">
        <v>1724.9603496196401</v>
      </c>
      <c r="AE812" s="489">
        <v>1654.6238985093717</v>
      </c>
      <c r="AF812" s="489">
        <v>1584.3070513132559</v>
      </c>
      <c r="AG812" s="489">
        <v>1514.0057835650709</v>
      </c>
      <c r="AH812" s="489">
        <v>1443.7160707985931</v>
      </c>
      <c r="AI812" s="489">
        <v>1373.4338885475995</v>
      </c>
    </row>
    <row r="813" spans="2:35" outlineLevel="1">
      <c r="B813" t="str">
        <f t="shared" si="67"/>
        <v>e-diesel (PS) - Total cost - Middle East - USD/ton fuel</v>
      </c>
      <c r="C813" s="25" t="str">
        <f>C812</f>
        <v>e-diesel (PS)</v>
      </c>
      <c r="D813" s="25" t="s">
        <v>1362</v>
      </c>
      <c r="E813" s="25" t="s">
        <v>826</v>
      </c>
      <c r="F813" s="25" t="s">
        <v>1353</v>
      </c>
      <c r="G813" s="487" t="str">
        <f t="shared" si="65"/>
        <v>e-diesel (PS)Middle EastTotal cost</v>
      </c>
      <c r="H813" s="490">
        <v>3239.2134404921853</v>
      </c>
      <c r="I813" s="490">
        <v>3096.8163860690825</v>
      </c>
      <c r="J813" s="490">
        <v>2954.2191047136375</v>
      </c>
      <c r="K813" s="490">
        <v>2840.3003985068881</v>
      </c>
      <c r="L813" s="490">
        <v>2725.2497730657628</v>
      </c>
      <c r="M813" s="490">
        <v>2609.0945659767549</v>
      </c>
      <c r="N813" s="490">
        <v>2491.8621148264097</v>
      </c>
      <c r="O813" s="490">
        <v>2373.5797572011788</v>
      </c>
      <c r="P813" s="490">
        <v>2337.0168016783464</v>
      </c>
      <c r="Q813" s="490">
        <v>2296.8532000788346</v>
      </c>
      <c r="R813" s="490">
        <v>2253.1075525561455</v>
      </c>
      <c r="S813" s="490">
        <v>2205.798459263784</v>
      </c>
      <c r="T813" s="490">
        <v>2154.9445203553028</v>
      </c>
      <c r="U813" s="490">
        <v>2112.7571859393479</v>
      </c>
      <c r="V813" s="490">
        <v>2068.1043120194504</v>
      </c>
      <c r="W813" s="490">
        <v>2020.992363838536</v>
      </c>
      <c r="X813" s="490">
        <v>1971.4278066394168</v>
      </c>
      <c r="Y813" s="490">
        <v>1919.4171056649825</v>
      </c>
      <c r="Z813" s="490">
        <v>1845.1810712636279</v>
      </c>
      <c r="AA813" s="490">
        <v>1770.3292956622161</v>
      </c>
      <c r="AB813" s="490">
        <v>1694.8569571804655</v>
      </c>
      <c r="AC813" s="490">
        <v>1618.7592341380328</v>
      </c>
      <c r="AD813" s="490">
        <v>1542.0313048546118</v>
      </c>
      <c r="AE813" s="490">
        <v>1475.672610536956</v>
      </c>
      <c r="AF813" s="490">
        <v>1409.2585380759633</v>
      </c>
      <c r="AG813" s="490">
        <v>1342.7861902182142</v>
      </c>
      <c r="AH813" s="490">
        <v>1276.2526697102985</v>
      </c>
      <c r="AI813" s="490">
        <v>1209.6550792988062</v>
      </c>
    </row>
    <row r="814" spans="2:35" ht="15" outlineLevel="1">
      <c r="B814" t="str">
        <f t="shared" si="67"/>
        <v/>
      </c>
      <c r="C814" s="22"/>
      <c r="G814" s="487" t="str">
        <f t="shared" si="65"/>
        <v/>
      </c>
    </row>
    <row r="815" spans="2:35" ht="15" outlineLevel="1">
      <c r="B815" t="str">
        <f t="shared" si="67"/>
        <v>e-diesel (PS) - CAPEX including feedstock CAPEX - Global - USD/ton fuel</v>
      </c>
      <c r="C815" s="491" t="str">
        <f>C808</f>
        <v>e-diesel (PS)</v>
      </c>
      <c r="D815" s="491" t="s">
        <v>1363</v>
      </c>
      <c r="E815" s="491" t="s">
        <v>708</v>
      </c>
      <c r="F815" s="491" t="s">
        <v>1353</v>
      </c>
      <c r="G815" s="487" t="str">
        <f t="shared" si="65"/>
        <v>e-diesel (PS)GlobalCAPEX including feedstock CAPEX</v>
      </c>
      <c r="H815" s="492">
        <v>434.83378615916513</v>
      </c>
      <c r="I815" s="492">
        <v>420.78865944357074</v>
      </c>
      <c r="J815" s="492">
        <v>406.62621765601102</v>
      </c>
      <c r="K815" s="492">
        <v>394.660367546072</v>
      </c>
      <c r="L815" s="492">
        <v>382.47657221049337</v>
      </c>
      <c r="M815" s="492">
        <v>370.07483164927737</v>
      </c>
      <c r="N815" s="492">
        <v>357.45514586242484</v>
      </c>
      <c r="O815" s="492">
        <v>344.6175148499326</v>
      </c>
      <c r="P815" s="492">
        <v>342.84757672672265</v>
      </c>
      <c r="Q815" s="492">
        <v>340.56936794582521</v>
      </c>
      <c r="R815" s="492">
        <v>337.78288850723902</v>
      </c>
      <c r="S815" s="492">
        <v>334.48813841096182</v>
      </c>
      <c r="T815" s="492">
        <v>330.68511765699765</v>
      </c>
      <c r="U815" s="492">
        <v>326.05591235269685</v>
      </c>
      <c r="V815" s="492">
        <v>321.00720705013123</v>
      </c>
      <c r="W815" s="492">
        <v>315.53900174930493</v>
      </c>
      <c r="X815" s="492">
        <v>309.65129645021386</v>
      </c>
      <c r="Y815" s="492">
        <v>303.34409115285632</v>
      </c>
      <c r="Z815" s="492">
        <v>294.00717129980802</v>
      </c>
      <c r="AA815" s="492">
        <v>284.35371529557818</v>
      </c>
      <c r="AB815" s="492">
        <v>274.38372314017022</v>
      </c>
      <c r="AC815" s="492">
        <v>264.09719483358185</v>
      </c>
      <c r="AD815" s="492">
        <v>253.49413037581249</v>
      </c>
      <c r="AE815" s="492">
        <v>242.51520278202605</v>
      </c>
      <c r="AF815" s="492">
        <v>231.33828332959109</v>
      </c>
      <c r="AG815" s="492">
        <v>219.96337201850753</v>
      </c>
      <c r="AH815" s="492">
        <v>208.39046884877547</v>
      </c>
      <c r="AI815" s="492">
        <v>196.61957382039486</v>
      </c>
    </row>
    <row r="816" spans="2:35" outlineLevel="1">
      <c r="B816" t="str">
        <f t="shared" si="67"/>
        <v>e-diesel (PS) - CAPEX - Global - USD/ton fuel</v>
      </c>
      <c r="C816" t="str">
        <f>C808</f>
        <v>e-diesel (PS)</v>
      </c>
      <c r="D816" t="s">
        <v>446</v>
      </c>
      <c r="E816" t="s">
        <v>708</v>
      </c>
      <c r="F816" t="s">
        <v>1353</v>
      </c>
      <c r="G816" s="487" t="str">
        <f t="shared" si="65"/>
        <v>e-diesel (PS)GlobalCAPEX</v>
      </c>
      <c r="H816" s="493">
        <v>204</v>
      </c>
      <c r="I816" s="493">
        <v>198.66666666666666</v>
      </c>
      <c r="J816" s="493">
        <v>193.33333333333334</v>
      </c>
      <c r="K816" s="493">
        <v>188</v>
      </c>
      <c r="L816" s="493">
        <v>182.66666666666666</v>
      </c>
      <c r="M816" s="493">
        <v>177.33333333333334</v>
      </c>
      <c r="N816" s="493">
        <v>172</v>
      </c>
      <c r="O816" s="493">
        <v>166.66666666666666</v>
      </c>
      <c r="P816" s="493">
        <v>164.5</v>
      </c>
      <c r="Q816" s="493">
        <v>162.33333333333334</v>
      </c>
      <c r="R816" s="493">
        <v>160.16666666666666</v>
      </c>
      <c r="S816" s="493">
        <v>158</v>
      </c>
      <c r="T816" s="493">
        <v>155.83333333333334</v>
      </c>
      <c r="U816" s="493">
        <v>153.66666666666666</v>
      </c>
      <c r="V816" s="493">
        <v>151.5</v>
      </c>
      <c r="W816" s="493">
        <v>149.33333333333334</v>
      </c>
      <c r="X816" s="493">
        <v>147.16666666666666</v>
      </c>
      <c r="Y816" s="493">
        <v>145</v>
      </c>
      <c r="Z816" s="493">
        <v>140.5</v>
      </c>
      <c r="AA816" s="493">
        <v>136</v>
      </c>
      <c r="AB816" s="493">
        <v>131.5</v>
      </c>
      <c r="AC816" s="493">
        <v>127</v>
      </c>
      <c r="AD816" s="493">
        <v>122.5</v>
      </c>
      <c r="AE816" s="493">
        <v>118</v>
      </c>
      <c r="AF816" s="493">
        <v>113.5</v>
      </c>
      <c r="AG816" s="493">
        <v>109</v>
      </c>
      <c r="AH816" s="493">
        <v>104.5</v>
      </c>
      <c r="AI816" s="493">
        <v>100</v>
      </c>
    </row>
    <row r="817" spans="2:35" outlineLevel="1">
      <c r="B817" t="str">
        <f t="shared" si="67"/>
        <v>e-hydrogen (compressed) - CAPEX including feedstock CAPEX - Global - USD/ton fuel</v>
      </c>
      <c r="C817" t="s">
        <v>722</v>
      </c>
      <c r="D817" t="s">
        <v>1363</v>
      </c>
      <c r="E817" t="s">
        <v>708</v>
      </c>
      <c r="F817" t="s">
        <v>1353</v>
      </c>
      <c r="G817" s="487" t="str">
        <f t="shared" si="65"/>
        <v>e-hydrogen (compressed)GlobalCAPEX including feedstock CAPEX</v>
      </c>
      <c r="H817" s="507">
        <v>256.64635353013858</v>
      </c>
      <c r="I817" s="507">
        <v>247.21700590830653</v>
      </c>
      <c r="J817" s="507">
        <v>237.53805175037812</v>
      </c>
      <c r="K817" s="507">
        <v>232.53269690653616</v>
      </c>
      <c r="L817" s="507">
        <v>227.06362881665248</v>
      </c>
      <c r="M817" s="507">
        <v>221.13084748073197</v>
      </c>
      <c r="N817" s="507">
        <v>214.73435289877628</v>
      </c>
      <c r="O817" s="507">
        <v>207.87414507077864</v>
      </c>
      <c r="P817" s="507">
        <v>212.24697175898439</v>
      </c>
      <c r="Q817" s="507">
        <v>215.53837151594018</v>
      </c>
      <c r="R817" s="507">
        <v>217.74834434164336</v>
      </c>
      <c r="S817" s="507">
        <v>218.87689023608903</v>
      </c>
      <c r="T817" s="507">
        <v>218.92400919928582</v>
      </c>
      <c r="U817" s="507">
        <v>217.21328869368136</v>
      </c>
      <c r="V817" s="507">
        <v>214.61001500027928</v>
      </c>
      <c r="W817" s="507">
        <v>211.1141881190886</v>
      </c>
      <c r="X817" s="507">
        <v>206.72580805010043</v>
      </c>
      <c r="Y817" s="507">
        <v>201.44487479331141</v>
      </c>
      <c r="Z817" s="507">
        <v>194.68227936129369</v>
      </c>
      <c r="AA817" s="507">
        <v>187.24620275654928</v>
      </c>
      <c r="AB817" s="507">
        <v>179.13664497908553</v>
      </c>
      <c r="AC817" s="507">
        <v>170.35360602889762</v>
      </c>
      <c r="AD817" s="507">
        <v>160.89708590598403</v>
      </c>
      <c r="AE817" s="507">
        <v>150.64085698303418</v>
      </c>
      <c r="AF817" s="507">
        <v>139.96336878636401</v>
      </c>
      <c r="AG817" s="507">
        <v>128.86462131597352</v>
      </c>
      <c r="AH817" s="507">
        <v>117.34461457186269</v>
      </c>
      <c r="AI817" s="507">
        <v>105.40334855403168</v>
      </c>
    </row>
    <row r="818" spans="2:35" outlineLevel="1">
      <c r="B818" t="str">
        <f t="shared" si="67"/>
        <v>Carbon dioxide (PS) - CAPEX - Global - USD/ton fuel</v>
      </c>
      <c r="C818" t="s">
        <v>1380</v>
      </c>
      <c r="D818" t="s">
        <v>446</v>
      </c>
      <c r="E818" t="s">
        <v>708</v>
      </c>
      <c r="F818" t="s">
        <v>1353</v>
      </c>
      <c r="G818" s="487" t="str">
        <f t="shared" si="65"/>
        <v>Carbon dioxide (PS)GlobalCAPEX</v>
      </c>
      <c r="H818" s="493">
        <v>34.333333333333336</v>
      </c>
      <c r="I818" s="493">
        <v>33</v>
      </c>
      <c r="J818" s="493">
        <v>31.666666666666668</v>
      </c>
      <c r="K818" s="493">
        <v>30.333333333333332</v>
      </c>
      <c r="L818" s="493">
        <v>29</v>
      </c>
      <c r="M818" s="493">
        <v>27.666666666666668</v>
      </c>
      <c r="N818" s="493">
        <v>26.333333333333332</v>
      </c>
      <c r="O818" s="493">
        <v>25</v>
      </c>
      <c r="P818" s="493">
        <v>24.483333333333334</v>
      </c>
      <c r="Q818" s="493">
        <v>23.966666666666665</v>
      </c>
      <c r="R818" s="493">
        <v>23.45</v>
      </c>
      <c r="S818" s="493">
        <v>22.933333333333334</v>
      </c>
      <c r="T818" s="493">
        <v>22.416666666666668</v>
      </c>
      <c r="U818" s="493">
        <v>21.9</v>
      </c>
      <c r="V818" s="493">
        <v>21.383333333333333</v>
      </c>
      <c r="W818" s="493">
        <v>20.866666666666667</v>
      </c>
      <c r="X818" s="493">
        <v>20.350000000000001</v>
      </c>
      <c r="Y818" s="493">
        <v>19.833333333333332</v>
      </c>
      <c r="Z818" s="493">
        <v>19.316666666666666</v>
      </c>
      <c r="AA818" s="493">
        <v>18.8</v>
      </c>
      <c r="AB818" s="493">
        <v>18.283333333333335</v>
      </c>
      <c r="AC818" s="493">
        <v>17.766666666666666</v>
      </c>
      <c r="AD818" s="493">
        <v>17.25</v>
      </c>
      <c r="AE818" s="493">
        <v>16.733333333333334</v>
      </c>
      <c r="AF818" s="493">
        <v>16.216666666666665</v>
      </c>
      <c r="AG818" s="493">
        <v>15.7</v>
      </c>
      <c r="AH818" s="493">
        <v>15.183333333333334</v>
      </c>
      <c r="AI818" s="493">
        <v>14.666666666666666</v>
      </c>
    </row>
    <row r="819" spans="2:35" outlineLevel="1">
      <c r="B819" t="str">
        <f t="shared" si="67"/>
        <v>e-diesel - Conversion H2 -&gt; diesel - Global - ton H2/ton diesel</v>
      </c>
      <c r="C819" t="s">
        <v>1393</v>
      </c>
      <c r="D819" t="s">
        <v>1394</v>
      </c>
      <c r="E819" t="s">
        <v>708</v>
      </c>
      <c r="F819" t="s">
        <v>1395</v>
      </c>
      <c r="G819" s="487" t="str">
        <f t="shared" si="65"/>
        <v>e-dieselGlobalConversion H2 -&gt; diesel</v>
      </c>
      <c r="H819" s="508">
        <v>0.47</v>
      </c>
      <c r="I819" s="508">
        <v>0.47</v>
      </c>
      <c r="J819" s="508">
        <v>0.47</v>
      </c>
      <c r="K819" s="508">
        <v>0.47</v>
      </c>
      <c r="L819" s="508">
        <v>0.47</v>
      </c>
      <c r="M819" s="508">
        <v>0.47</v>
      </c>
      <c r="N819" s="508">
        <v>0.47</v>
      </c>
      <c r="O819" s="508">
        <v>0.47</v>
      </c>
      <c r="P819" s="508">
        <v>0.47</v>
      </c>
      <c r="Q819" s="508">
        <v>0.47</v>
      </c>
      <c r="R819" s="508">
        <v>0.47</v>
      </c>
      <c r="S819" s="508">
        <v>0.47</v>
      </c>
      <c r="T819" s="508">
        <v>0.47</v>
      </c>
      <c r="U819" s="508">
        <v>0.47</v>
      </c>
      <c r="V819" s="508">
        <v>0.47</v>
      </c>
      <c r="W819" s="508">
        <v>0.47</v>
      </c>
      <c r="X819" s="508">
        <v>0.47</v>
      </c>
      <c r="Y819" s="508">
        <v>0.47</v>
      </c>
      <c r="Z819" s="508">
        <v>0.47</v>
      </c>
      <c r="AA819" s="508">
        <v>0.47</v>
      </c>
      <c r="AB819" s="508">
        <v>0.47</v>
      </c>
      <c r="AC819" s="508">
        <v>0.47</v>
      </c>
      <c r="AD819" s="508">
        <v>0.47</v>
      </c>
      <c r="AE819" s="508">
        <v>0.47</v>
      </c>
      <c r="AF819" s="508">
        <v>0.47</v>
      </c>
      <c r="AG819" s="508">
        <v>0.47</v>
      </c>
      <c r="AH819" s="508">
        <v>0.47</v>
      </c>
      <c r="AI819" s="508">
        <v>0.47</v>
      </c>
    </row>
    <row r="820" spans="2:35" outlineLevel="1">
      <c r="B820" t="str">
        <f t="shared" si="67"/>
        <v>e-diesel - Conversion CO2 -&gt; diesel - Global - ton CO2/ton diesel</v>
      </c>
      <c r="C820" t="s">
        <v>1393</v>
      </c>
      <c r="D820" t="s">
        <v>1396</v>
      </c>
      <c r="E820" t="s">
        <v>708</v>
      </c>
      <c r="F820" t="s">
        <v>1397</v>
      </c>
      <c r="G820" s="487" t="str">
        <f t="shared" si="65"/>
        <v>e-dieselGlobalConversion CO2 -&gt; diesel</v>
      </c>
      <c r="H820" s="508">
        <v>3.21</v>
      </c>
      <c r="I820" s="508">
        <v>3.21</v>
      </c>
      <c r="J820" s="508">
        <v>3.21</v>
      </c>
      <c r="K820" s="508">
        <v>3.21</v>
      </c>
      <c r="L820" s="508">
        <v>3.21</v>
      </c>
      <c r="M820" s="508">
        <v>3.21</v>
      </c>
      <c r="N820" s="508">
        <v>3.21</v>
      </c>
      <c r="O820" s="508">
        <v>3.21</v>
      </c>
      <c r="P820" s="508">
        <v>3.21</v>
      </c>
      <c r="Q820" s="508">
        <v>3.21</v>
      </c>
      <c r="R820" s="508">
        <v>3.21</v>
      </c>
      <c r="S820" s="508">
        <v>3.21</v>
      </c>
      <c r="T820" s="508">
        <v>3.21</v>
      </c>
      <c r="U820" s="508">
        <v>3.21</v>
      </c>
      <c r="V820" s="508">
        <v>3.21</v>
      </c>
      <c r="W820" s="508">
        <v>3.21</v>
      </c>
      <c r="X820" s="508">
        <v>3.21</v>
      </c>
      <c r="Y820" s="508">
        <v>3.21</v>
      </c>
      <c r="Z820" s="508">
        <v>3.21</v>
      </c>
      <c r="AA820" s="508">
        <v>3.21</v>
      </c>
      <c r="AB820" s="508">
        <v>3.21</v>
      </c>
      <c r="AC820" s="508">
        <v>3.21</v>
      </c>
      <c r="AD820" s="508">
        <v>3.21</v>
      </c>
      <c r="AE820" s="508">
        <v>3.21</v>
      </c>
      <c r="AF820" s="508">
        <v>3.21</v>
      </c>
      <c r="AG820" s="508">
        <v>3.21</v>
      </c>
      <c r="AH820" s="508">
        <v>3.21</v>
      </c>
      <c r="AI820" s="508">
        <v>3.21</v>
      </c>
    </row>
    <row r="821" spans="2:35" outlineLevel="1">
      <c r="B821" t="str">
        <f t="shared" si="67"/>
        <v/>
      </c>
      <c r="G821" s="487" t="str">
        <f t="shared" si="65"/>
        <v/>
      </c>
      <c r="H821" s="493"/>
      <c r="I821" s="493"/>
      <c r="J821" s="493"/>
      <c r="K821" s="493"/>
      <c r="L821" s="493"/>
      <c r="M821" s="493"/>
      <c r="N821" s="493"/>
      <c r="O821" s="493"/>
      <c r="P821" s="493"/>
      <c r="Q821" s="493"/>
      <c r="R821" s="493"/>
      <c r="S821" s="493"/>
      <c r="T821" s="493"/>
      <c r="U821" s="493"/>
      <c r="V821" s="493"/>
      <c r="W821" s="493"/>
      <c r="X821" s="493"/>
      <c r="Y821" s="493"/>
      <c r="Z821" s="493"/>
      <c r="AA821" s="493"/>
      <c r="AB821" s="493"/>
      <c r="AC821" s="493"/>
      <c r="AD821" s="493"/>
      <c r="AE821" s="493"/>
      <c r="AF821" s="493"/>
      <c r="AG821" s="493"/>
      <c r="AH821" s="493"/>
      <c r="AI821" s="493"/>
    </row>
    <row r="822" spans="2:35" ht="15" outlineLevel="1">
      <c r="B822" t="str">
        <f t="shared" si="67"/>
        <v>e-diesel (PS) - OPEX including feedstock OPEX - Global - USD/ton fuel</v>
      </c>
      <c r="C822" s="491" t="str">
        <f>C808</f>
        <v>e-diesel (PS)</v>
      </c>
      <c r="D822" s="491" t="s">
        <v>1364</v>
      </c>
      <c r="E822" s="491" t="s">
        <v>708</v>
      </c>
      <c r="F822" s="491" t="s">
        <v>1353</v>
      </c>
      <c r="G822" s="487" t="str">
        <f t="shared" si="65"/>
        <v>e-diesel (PS)GlobalOPEX including feedstock OPEX</v>
      </c>
      <c r="H822" s="492">
        <v>1069.8357572251896</v>
      </c>
      <c r="I822" s="492">
        <v>1010.5391486846286</v>
      </c>
      <c r="J822" s="492">
        <v>951.40365296803259</v>
      </c>
      <c r="K822" s="492">
        <v>900.50743735031801</v>
      </c>
      <c r="L822" s="492">
        <v>849.19939325827283</v>
      </c>
      <c r="M822" s="492">
        <v>797.47952069188511</v>
      </c>
      <c r="N822" s="492">
        <v>745.34781965117315</v>
      </c>
      <c r="O822" s="492">
        <v>692.8042901361091</v>
      </c>
      <c r="P822" s="492">
        <v>686.06789407273618</v>
      </c>
      <c r="Q822" s="492">
        <v>677.03835329349727</v>
      </c>
      <c r="R822" s="492">
        <v>665.71566779840248</v>
      </c>
      <c r="S822" s="492">
        <v>652.09983758744067</v>
      </c>
      <c r="T822" s="492">
        <v>636.19086266061981</v>
      </c>
      <c r="U822" s="492">
        <v>621.23876300949689</v>
      </c>
      <c r="V822" s="492">
        <v>604.90673222318833</v>
      </c>
      <c r="W822" s="492">
        <v>587.19477030170549</v>
      </c>
      <c r="X822" s="492">
        <v>568.10287724503041</v>
      </c>
      <c r="Y822" s="492">
        <v>547.63105305317049</v>
      </c>
      <c r="Z822" s="492">
        <v>517.17150729484933</v>
      </c>
      <c r="AA822" s="492">
        <v>486.5672172442799</v>
      </c>
      <c r="AB822" s="492">
        <v>455.81818290148101</v>
      </c>
      <c r="AC822" s="492">
        <v>424.92440426643714</v>
      </c>
      <c r="AD822" s="492">
        <v>393.88588133915766</v>
      </c>
      <c r="AE822" s="492">
        <v>366.84388934483377</v>
      </c>
      <c r="AF822" s="492">
        <v>340.07849699457984</v>
      </c>
      <c r="AG822" s="492">
        <v>313.58970428839308</v>
      </c>
      <c r="AH822" s="492">
        <v>287.37751122627321</v>
      </c>
      <c r="AI822" s="492">
        <v>261.44191780822024</v>
      </c>
    </row>
    <row r="823" spans="2:35" outlineLevel="1">
      <c r="B823" t="str">
        <f t="shared" si="67"/>
        <v>e-diesel (PS) - OPEX - Global - USD/ton fuel</v>
      </c>
      <c r="C823" t="str">
        <f>C808</f>
        <v>e-diesel (PS)</v>
      </c>
      <c r="D823" t="s">
        <v>450</v>
      </c>
      <c r="E823" t="s">
        <v>708</v>
      </c>
      <c r="F823" t="s">
        <v>1353</v>
      </c>
      <c r="G823" s="487" t="str">
        <f t="shared" si="65"/>
        <v>e-diesel (PS)GlobalOPEX</v>
      </c>
      <c r="H823" s="493">
        <v>538.55999999999506</v>
      </c>
      <c r="I823" s="493">
        <v>500.63999999999783</v>
      </c>
      <c r="J823" s="493">
        <v>464.0000000000004</v>
      </c>
      <c r="K823" s="493">
        <v>428.63999999999288</v>
      </c>
      <c r="L823" s="493">
        <v>394.55999999999551</v>
      </c>
      <c r="M823" s="493">
        <v>361.75999999999794</v>
      </c>
      <c r="N823" s="493">
        <v>330.24000000000029</v>
      </c>
      <c r="O823" s="493">
        <v>299.99999999999363</v>
      </c>
      <c r="P823" s="493">
        <v>296.09999999999997</v>
      </c>
      <c r="Q823" s="493">
        <v>292.2</v>
      </c>
      <c r="R823" s="493">
        <v>288.3</v>
      </c>
      <c r="S823" s="493">
        <v>284.39999999999998</v>
      </c>
      <c r="T823" s="493">
        <v>280.5</v>
      </c>
      <c r="U823" s="493">
        <v>276.59999999999997</v>
      </c>
      <c r="V823" s="493">
        <v>272.7</v>
      </c>
      <c r="W823" s="493">
        <v>268.8</v>
      </c>
      <c r="X823" s="493">
        <v>264.89999999999998</v>
      </c>
      <c r="Y823" s="493">
        <v>260.99999999999829</v>
      </c>
      <c r="Z823" s="493">
        <v>244.46999999999929</v>
      </c>
      <c r="AA823" s="493">
        <v>228.47999999999658</v>
      </c>
      <c r="AB823" s="493">
        <v>213.02999999999756</v>
      </c>
      <c r="AC823" s="493">
        <v>198.11999999999847</v>
      </c>
      <c r="AD823" s="493">
        <v>183.74999999999935</v>
      </c>
      <c r="AE823" s="493">
        <v>169.919999999997</v>
      </c>
      <c r="AF823" s="493">
        <v>156.62999999999786</v>
      </c>
      <c r="AG823" s="493">
        <v>143.87999999999869</v>
      </c>
      <c r="AH823" s="493">
        <v>131.66999999999942</v>
      </c>
      <c r="AI823" s="493">
        <v>120.00000000000011</v>
      </c>
    </row>
    <row r="824" spans="2:35" outlineLevel="1">
      <c r="B824" t="str">
        <f t="shared" si="67"/>
        <v>e-hydrogen (compressed) - OPEX including feedstock OPEX - Global - USD/ton fuel</v>
      </c>
      <c r="C824" t="s">
        <v>722</v>
      </c>
      <c r="D824" t="s">
        <v>1364</v>
      </c>
      <c r="E824" t="s">
        <v>708</v>
      </c>
      <c r="F824" t="s">
        <v>1353</v>
      </c>
      <c r="G824" s="487" t="str">
        <f t="shared" si="65"/>
        <v>e-hydrogen (compressed)GlobalOPEX including feedstock OPEX</v>
      </c>
      <c r="H824" s="507">
        <v>778.63990898977545</v>
      </c>
      <c r="I824" s="507">
        <v>746.81733762687418</v>
      </c>
      <c r="J824" s="507">
        <v>712.61415525113227</v>
      </c>
      <c r="K824" s="507">
        <v>693.21795180920219</v>
      </c>
      <c r="L824" s="507">
        <v>670.22211331548374</v>
      </c>
      <c r="M824" s="507">
        <v>643.6266397699726</v>
      </c>
      <c r="N824" s="507">
        <v>613.43153117270822</v>
      </c>
      <c r="O824" s="507">
        <v>579.63678752365013</v>
      </c>
      <c r="P824" s="507">
        <v>578.89498738880036</v>
      </c>
      <c r="Q824" s="507">
        <v>573.27415594361116</v>
      </c>
      <c r="R824" s="507">
        <v>562.77429318809038</v>
      </c>
      <c r="S824" s="507">
        <v>547.39539912221437</v>
      </c>
      <c r="T824" s="507">
        <v>527.13747374599984</v>
      </c>
      <c r="U824" s="507">
        <v>508.91545321169565</v>
      </c>
      <c r="V824" s="507">
        <v>487.75740898550708</v>
      </c>
      <c r="W824" s="507">
        <v>463.66334106745865</v>
      </c>
      <c r="X824" s="507">
        <v>436.63324945751151</v>
      </c>
      <c r="Y824" s="507">
        <v>406.66713415568563</v>
      </c>
      <c r="Z824" s="507">
        <v>382.32288786138321</v>
      </c>
      <c r="AA824" s="507">
        <v>356.52173881762411</v>
      </c>
      <c r="AB824" s="507">
        <v>329.2636870244329</v>
      </c>
      <c r="AC824" s="507">
        <v>300.54873248178433</v>
      </c>
      <c r="AD824" s="507">
        <v>270.37687518969852</v>
      </c>
      <c r="AE824" s="507">
        <v>247.55933903156756</v>
      </c>
      <c r="AF824" s="507">
        <v>224.18137658421693</v>
      </c>
      <c r="AG824" s="507">
        <v>200.24298784764761</v>
      </c>
      <c r="AH824" s="507">
        <v>175.74417282185905</v>
      </c>
      <c r="AI824" s="507">
        <v>150.68493150685131</v>
      </c>
    </row>
    <row r="825" spans="2:35" outlineLevel="1">
      <c r="B825" t="str">
        <f t="shared" si="67"/>
        <v>Carbon dioxide (PS) - OPEX - Global - USD/ton fuel</v>
      </c>
      <c r="C825" t="s">
        <v>1380</v>
      </c>
      <c r="D825" t="s">
        <v>450</v>
      </c>
      <c r="E825" t="s">
        <v>708</v>
      </c>
      <c r="F825" t="s">
        <v>1353</v>
      </c>
      <c r="G825" s="487" t="str">
        <f t="shared" si="65"/>
        <v>Carbon dioxide (PS)GlobalOPEX</v>
      </c>
      <c r="H825" s="493">
        <v>51.5</v>
      </c>
      <c r="I825" s="493">
        <v>49.5</v>
      </c>
      <c r="J825" s="493">
        <v>47.5</v>
      </c>
      <c r="K825" s="493">
        <v>45.5</v>
      </c>
      <c r="L825" s="493">
        <v>43.5</v>
      </c>
      <c r="M825" s="493">
        <v>41.5</v>
      </c>
      <c r="N825" s="493">
        <v>39.5</v>
      </c>
      <c r="O825" s="493">
        <v>37.5</v>
      </c>
      <c r="P825" s="493">
        <v>36.725000000000001</v>
      </c>
      <c r="Q825" s="493">
        <v>35.950000000000003</v>
      </c>
      <c r="R825" s="493">
        <v>35.175000000000004</v>
      </c>
      <c r="S825" s="493">
        <v>34.4</v>
      </c>
      <c r="T825" s="493">
        <v>33.625</v>
      </c>
      <c r="U825" s="493">
        <v>32.85</v>
      </c>
      <c r="V825" s="493">
        <v>32.075000000000003</v>
      </c>
      <c r="W825" s="493">
        <v>31.3</v>
      </c>
      <c r="X825" s="493">
        <v>30.525000000000002</v>
      </c>
      <c r="Y825" s="493">
        <v>29.75</v>
      </c>
      <c r="Z825" s="493">
        <v>28.975000000000001</v>
      </c>
      <c r="AA825" s="493">
        <v>28.200000000000003</v>
      </c>
      <c r="AB825" s="493">
        <v>27.425000000000001</v>
      </c>
      <c r="AC825" s="493">
        <v>26.650000000000002</v>
      </c>
      <c r="AD825" s="493">
        <v>25.875</v>
      </c>
      <c r="AE825" s="493">
        <v>25.1</v>
      </c>
      <c r="AF825" s="493">
        <v>24.325000000000003</v>
      </c>
      <c r="AG825" s="493">
        <v>23.55</v>
      </c>
      <c r="AH825" s="493">
        <v>22.775000000000002</v>
      </c>
      <c r="AI825" s="493">
        <v>22</v>
      </c>
    </row>
    <row r="826" spans="2:35" outlineLevel="1">
      <c r="B826" t="str">
        <f t="shared" si="67"/>
        <v>e-diesel - Conversion H2 -&gt; diesel - Global - ton H2/ton diesel</v>
      </c>
      <c r="C826" t="s">
        <v>1393</v>
      </c>
      <c r="D826" t="s">
        <v>1394</v>
      </c>
      <c r="E826" t="s">
        <v>708</v>
      </c>
      <c r="F826" t="s">
        <v>1395</v>
      </c>
      <c r="G826" s="487" t="str">
        <f t="shared" si="65"/>
        <v>e-dieselGlobalConversion H2 -&gt; diesel</v>
      </c>
      <c r="H826" s="508">
        <v>0.47</v>
      </c>
      <c r="I826" s="508">
        <v>0.47</v>
      </c>
      <c r="J826" s="508">
        <v>0.47</v>
      </c>
      <c r="K826" s="508">
        <v>0.47</v>
      </c>
      <c r="L826" s="508">
        <v>0.47</v>
      </c>
      <c r="M826" s="508">
        <v>0.47</v>
      </c>
      <c r="N826" s="508">
        <v>0.47</v>
      </c>
      <c r="O826" s="508">
        <v>0.47</v>
      </c>
      <c r="P826" s="508">
        <v>0.47</v>
      </c>
      <c r="Q826" s="508">
        <v>0.47</v>
      </c>
      <c r="R826" s="508">
        <v>0.47</v>
      </c>
      <c r="S826" s="508">
        <v>0.47</v>
      </c>
      <c r="T826" s="508">
        <v>0.47</v>
      </c>
      <c r="U826" s="508">
        <v>0.47</v>
      </c>
      <c r="V826" s="508">
        <v>0.47</v>
      </c>
      <c r="W826" s="508">
        <v>0.47</v>
      </c>
      <c r="X826" s="508">
        <v>0.47</v>
      </c>
      <c r="Y826" s="508">
        <v>0.47</v>
      </c>
      <c r="Z826" s="508">
        <v>0.47</v>
      </c>
      <c r="AA826" s="508">
        <v>0.47</v>
      </c>
      <c r="AB826" s="508">
        <v>0.47</v>
      </c>
      <c r="AC826" s="508">
        <v>0.47</v>
      </c>
      <c r="AD826" s="508">
        <v>0.47</v>
      </c>
      <c r="AE826" s="508">
        <v>0.47</v>
      </c>
      <c r="AF826" s="508">
        <v>0.47</v>
      </c>
      <c r="AG826" s="508">
        <v>0.47</v>
      </c>
      <c r="AH826" s="508">
        <v>0.47</v>
      </c>
      <c r="AI826" s="508">
        <v>0.47</v>
      </c>
    </row>
    <row r="827" spans="2:35" outlineLevel="1">
      <c r="B827" t="str">
        <f t="shared" si="67"/>
        <v>e-diesel - Conversion CO2 -&gt; diesel - Global - ton CO2/ton diesel</v>
      </c>
      <c r="C827" t="s">
        <v>1393</v>
      </c>
      <c r="D827" t="s">
        <v>1396</v>
      </c>
      <c r="E827" t="s">
        <v>708</v>
      </c>
      <c r="F827" t="s">
        <v>1397</v>
      </c>
      <c r="G827" s="487" t="str">
        <f t="shared" si="65"/>
        <v>e-dieselGlobalConversion CO2 -&gt; diesel</v>
      </c>
      <c r="H827" s="508">
        <v>3.21</v>
      </c>
      <c r="I827" s="508">
        <v>3.21</v>
      </c>
      <c r="J827" s="508">
        <v>3.21</v>
      </c>
      <c r="K827" s="508">
        <v>3.21</v>
      </c>
      <c r="L827" s="508">
        <v>3.21</v>
      </c>
      <c r="M827" s="508">
        <v>3.21</v>
      </c>
      <c r="N827" s="508">
        <v>3.21</v>
      </c>
      <c r="O827" s="508">
        <v>3.21</v>
      </c>
      <c r="P827" s="508">
        <v>3.21</v>
      </c>
      <c r="Q827" s="508">
        <v>3.21</v>
      </c>
      <c r="R827" s="508">
        <v>3.21</v>
      </c>
      <c r="S827" s="508">
        <v>3.21</v>
      </c>
      <c r="T827" s="508">
        <v>3.21</v>
      </c>
      <c r="U827" s="508">
        <v>3.21</v>
      </c>
      <c r="V827" s="508">
        <v>3.21</v>
      </c>
      <c r="W827" s="508">
        <v>3.21</v>
      </c>
      <c r="X827" s="508">
        <v>3.21</v>
      </c>
      <c r="Y827" s="508">
        <v>3.21</v>
      </c>
      <c r="Z827" s="508">
        <v>3.21</v>
      </c>
      <c r="AA827" s="508">
        <v>3.21</v>
      </c>
      <c r="AB827" s="508">
        <v>3.21</v>
      </c>
      <c r="AC827" s="508">
        <v>3.21</v>
      </c>
      <c r="AD827" s="508">
        <v>3.21</v>
      </c>
      <c r="AE827" s="508">
        <v>3.21</v>
      </c>
      <c r="AF827" s="508">
        <v>3.21</v>
      </c>
      <c r="AG827" s="508">
        <v>3.21</v>
      </c>
      <c r="AH827" s="508">
        <v>3.21</v>
      </c>
      <c r="AI827" s="508">
        <v>3.21</v>
      </c>
    </row>
    <row r="828" spans="2:35" outlineLevel="1">
      <c r="B828" t="str">
        <f t="shared" si="67"/>
        <v/>
      </c>
      <c r="G828" s="487" t="str">
        <f t="shared" si="65"/>
        <v/>
      </c>
      <c r="H828" s="493"/>
      <c r="I828" s="493"/>
      <c r="J828" s="493"/>
      <c r="K828" s="493"/>
      <c r="L828" s="493"/>
      <c r="M828" s="493"/>
      <c r="N828" s="493"/>
      <c r="O828" s="493"/>
      <c r="P828" s="493"/>
      <c r="Q828" s="493"/>
      <c r="R828" s="493"/>
      <c r="S828" s="493"/>
      <c r="T828" s="493"/>
      <c r="U828" s="493"/>
      <c r="V828" s="493"/>
      <c r="W828" s="493"/>
      <c r="X828" s="493"/>
      <c r="Y828" s="493"/>
      <c r="Z828" s="493"/>
      <c r="AA828" s="493"/>
      <c r="AB828" s="493"/>
      <c r="AC828" s="493"/>
      <c r="AD828" s="493"/>
      <c r="AE828" s="493"/>
      <c r="AF828" s="493"/>
      <c r="AG828" s="493"/>
      <c r="AH828" s="493"/>
      <c r="AI828" s="493"/>
    </row>
    <row r="829" spans="2:35" ht="15" outlineLevel="1">
      <c r="B829" t="str">
        <f t="shared" si="67"/>
        <v>e-diesel (PS) - Finance cost including feedstock finance cost - Africa - USD/ton fuel</v>
      </c>
      <c r="C829" s="494" t="str">
        <f>C812</f>
        <v>e-diesel (PS)</v>
      </c>
      <c r="D829" s="494" t="s">
        <v>1365</v>
      </c>
      <c r="E829" s="494" t="s">
        <v>838</v>
      </c>
      <c r="F829" s="494" t="s">
        <v>1353</v>
      </c>
      <c r="G829" s="487" t="str">
        <f t="shared" si="65"/>
        <v>e-diesel (PS)AfricaFinance cost including feedstock finance cost</v>
      </c>
      <c r="H829" s="495">
        <v>717.4757471626225</v>
      </c>
      <c r="I829" s="495">
        <v>694.3012880818917</v>
      </c>
      <c r="J829" s="495">
        <v>670.93325913241836</v>
      </c>
      <c r="K829" s="495">
        <v>651.18960645101879</v>
      </c>
      <c r="L829" s="495">
        <v>631.08634414731409</v>
      </c>
      <c r="M829" s="495">
        <v>610.62347222130768</v>
      </c>
      <c r="N829" s="495">
        <v>589.80099067300102</v>
      </c>
      <c r="O829" s="495">
        <v>568.6188995023889</v>
      </c>
      <c r="P829" s="495">
        <v>565.69850159909242</v>
      </c>
      <c r="Q829" s="495">
        <v>561.93945711061156</v>
      </c>
      <c r="R829" s="495">
        <v>557.34176603694448</v>
      </c>
      <c r="S829" s="495">
        <v>551.90542837808709</v>
      </c>
      <c r="T829" s="495">
        <v>545.63044413404623</v>
      </c>
      <c r="U829" s="495">
        <v>537.99225538194992</v>
      </c>
      <c r="V829" s="495">
        <v>529.66189163271667</v>
      </c>
      <c r="W829" s="495">
        <v>520.63935288635321</v>
      </c>
      <c r="X829" s="495">
        <v>510.92463914285293</v>
      </c>
      <c r="Y829" s="495">
        <v>500.51775040221304</v>
      </c>
      <c r="Z829" s="495">
        <v>485.11183264468332</v>
      </c>
      <c r="AA829" s="495">
        <v>469.18363023770405</v>
      </c>
      <c r="AB829" s="495">
        <v>452.73314318128087</v>
      </c>
      <c r="AC829" s="495">
        <v>435.76037147541018</v>
      </c>
      <c r="AD829" s="495">
        <v>418.26531512009063</v>
      </c>
      <c r="AE829" s="495">
        <v>400.15008459034306</v>
      </c>
      <c r="AF829" s="495">
        <v>381.70816749382539</v>
      </c>
      <c r="AG829" s="495">
        <v>362.93956383053751</v>
      </c>
      <c r="AH829" s="495">
        <v>343.84427360047954</v>
      </c>
      <c r="AI829" s="495">
        <v>324.42229680365159</v>
      </c>
    </row>
    <row r="830" spans="2:35" ht="15" outlineLevel="1">
      <c r="B830" t="str">
        <f t="shared" si="67"/>
        <v>e-diesel (PS) - Finance cost including feedstock finance cost - Americas - USD/ton fuel</v>
      </c>
      <c r="C830" s="22" t="str">
        <f>C812</f>
        <v>e-diesel (PS)</v>
      </c>
      <c r="D830" s="22" t="s">
        <v>1365</v>
      </c>
      <c r="E830" s="22" t="s">
        <v>731</v>
      </c>
      <c r="F830" s="22" t="s">
        <v>1353</v>
      </c>
      <c r="G830" s="487" t="str">
        <f t="shared" si="65"/>
        <v>e-diesel (PS)AmericasFinance cost including feedstock finance cost</v>
      </c>
      <c r="H830" s="496">
        <v>717.4757471626225</v>
      </c>
      <c r="I830" s="496">
        <v>694.3012880818917</v>
      </c>
      <c r="J830" s="496">
        <v>670.93325913241836</v>
      </c>
      <c r="K830" s="496">
        <v>651.18960645101879</v>
      </c>
      <c r="L830" s="496">
        <v>631.08634414731409</v>
      </c>
      <c r="M830" s="496">
        <v>610.62347222130768</v>
      </c>
      <c r="N830" s="496">
        <v>589.80099067300102</v>
      </c>
      <c r="O830" s="496">
        <v>568.6188995023889</v>
      </c>
      <c r="P830" s="496">
        <v>565.69850159909242</v>
      </c>
      <c r="Q830" s="496">
        <v>561.93945711061156</v>
      </c>
      <c r="R830" s="496">
        <v>557.34176603694448</v>
      </c>
      <c r="S830" s="496">
        <v>551.90542837808709</v>
      </c>
      <c r="T830" s="496">
        <v>545.63044413404623</v>
      </c>
      <c r="U830" s="496">
        <v>537.99225538194992</v>
      </c>
      <c r="V830" s="496">
        <v>529.66189163271667</v>
      </c>
      <c r="W830" s="496">
        <v>520.63935288635321</v>
      </c>
      <c r="X830" s="496">
        <v>510.92463914285293</v>
      </c>
      <c r="Y830" s="496">
        <v>500.51775040221304</v>
      </c>
      <c r="Z830" s="496">
        <v>485.11183264468332</v>
      </c>
      <c r="AA830" s="496">
        <v>469.18363023770405</v>
      </c>
      <c r="AB830" s="496">
        <v>452.73314318128087</v>
      </c>
      <c r="AC830" s="496">
        <v>435.76037147541018</v>
      </c>
      <c r="AD830" s="496">
        <v>418.26531512009063</v>
      </c>
      <c r="AE830" s="496">
        <v>400.15008459034306</v>
      </c>
      <c r="AF830" s="496">
        <v>381.70816749382539</v>
      </c>
      <c r="AG830" s="496">
        <v>362.93956383053751</v>
      </c>
      <c r="AH830" s="496">
        <v>343.84427360047954</v>
      </c>
      <c r="AI830" s="496">
        <v>324.42229680365159</v>
      </c>
    </row>
    <row r="831" spans="2:35" ht="15" outlineLevel="1">
      <c r="B831" t="str">
        <f t="shared" si="67"/>
        <v>e-diesel (PS) - Finance cost including feedstock finance cost - Asia - USD/ton fuel</v>
      </c>
      <c r="C831" s="22" t="str">
        <f>C812</f>
        <v>e-diesel (PS)</v>
      </c>
      <c r="D831" s="22" t="s">
        <v>1365</v>
      </c>
      <c r="E831" s="22" t="s">
        <v>750</v>
      </c>
      <c r="F831" s="22" t="s">
        <v>1353</v>
      </c>
      <c r="G831" s="487" t="str">
        <f t="shared" si="65"/>
        <v>e-diesel (PS)AsiaFinance cost including feedstock finance cost</v>
      </c>
      <c r="H831" s="496">
        <v>717.4757471626225</v>
      </c>
      <c r="I831" s="496">
        <v>694.3012880818917</v>
      </c>
      <c r="J831" s="496">
        <v>670.93325913241836</v>
      </c>
      <c r="K831" s="496">
        <v>651.18960645101879</v>
      </c>
      <c r="L831" s="496">
        <v>631.08634414731409</v>
      </c>
      <c r="M831" s="496">
        <v>610.62347222130768</v>
      </c>
      <c r="N831" s="496">
        <v>589.80099067300102</v>
      </c>
      <c r="O831" s="496">
        <v>568.6188995023889</v>
      </c>
      <c r="P831" s="496">
        <v>565.69850159909242</v>
      </c>
      <c r="Q831" s="496">
        <v>561.93945711061156</v>
      </c>
      <c r="R831" s="496">
        <v>557.34176603694448</v>
      </c>
      <c r="S831" s="496">
        <v>551.90542837808709</v>
      </c>
      <c r="T831" s="496">
        <v>545.63044413404623</v>
      </c>
      <c r="U831" s="496">
        <v>537.99225538194992</v>
      </c>
      <c r="V831" s="496">
        <v>529.66189163271667</v>
      </c>
      <c r="W831" s="496">
        <v>520.63935288635321</v>
      </c>
      <c r="X831" s="496">
        <v>510.92463914285293</v>
      </c>
      <c r="Y831" s="496">
        <v>500.51775040221304</v>
      </c>
      <c r="Z831" s="496">
        <v>485.11183264468332</v>
      </c>
      <c r="AA831" s="496">
        <v>469.18363023770405</v>
      </c>
      <c r="AB831" s="496">
        <v>452.73314318128087</v>
      </c>
      <c r="AC831" s="496">
        <v>435.76037147541018</v>
      </c>
      <c r="AD831" s="496">
        <v>418.26531512009063</v>
      </c>
      <c r="AE831" s="496">
        <v>400.15008459034306</v>
      </c>
      <c r="AF831" s="496">
        <v>381.70816749382539</v>
      </c>
      <c r="AG831" s="496">
        <v>362.93956383053751</v>
      </c>
      <c r="AH831" s="496">
        <v>343.84427360047954</v>
      </c>
      <c r="AI831" s="496">
        <v>324.42229680365159</v>
      </c>
    </row>
    <row r="832" spans="2:35" ht="15" outlineLevel="1">
      <c r="B832" t="str">
        <f t="shared" si="67"/>
        <v>e-diesel (PS) - Finance cost including feedstock finance cost - Europe - USD/ton fuel</v>
      </c>
      <c r="C832" s="22" t="str">
        <f>C812</f>
        <v>e-diesel (PS)</v>
      </c>
      <c r="D832" s="22" t="s">
        <v>1365</v>
      </c>
      <c r="E832" s="22" t="s">
        <v>720</v>
      </c>
      <c r="F832" s="22" t="s">
        <v>1353</v>
      </c>
      <c r="G832" s="487" t="str">
        <f t="shared" si="65"/>
        <v>e-diesel (PS)EuropeFinance cost including feedstock finance cost</v>
      </c>
      <c r="H832" s="496">
        <v>717.4757471626225</v>
      </c>
      <c r="I832" s="496">
        <v>694.3012880818917</v>
      </c>
      <c r="J832" s="496">
        <v>670.93325913241836</v>
      </c>
      <c r="K832" s="496">
        <v>651.18960645101879</v>
      </c>
      <c r="L832" s="496">
        <v>631.08634414731409</v>
      </c>
      <c r="M832" s="496">
        <v>610.62347222130768</v>
      </c>
      <c r="N832" s="496">
        <v>589.80099067300102</v>
      </c>
      <c r="O832" s="496">
        <v>568.6188995023889</v>
      </c>
      <c r="P832" s="496">
        <v>565.69850159909242</v>
      </c>
      <c r="Q832" s="496">
        <v>561.93945711061156</v>
      </c>
      <c r="R832" s="496">
        <v>557.34176603694448</v>
      </c>
      <c r="S832" s="496">
        <v>551.90542837808709</v>
      </c>
      <c r="T832" s="496">
        <v>545.63044413404623</v>
      </c>
      <c r="U832" s="496">
        <v>537.99225538194992</v>
      </c>
      <c r="V832" s="496">
        <v>529.66189163271667</v>
      </c>
      <c r="W832" s="496">
        <v>520.63935288635321</v>
      </c>
      <c r="X832" s="496">
        <v>510.92463914285293</v>
      </c>
      <c r="Y832" s="496">
        <v>500.51775040221304</v>
      </c>
      <c r="Z832" s="496">
        <v>485.11183264468332</v>
      </c>
      <c r="AA832" s="496">
        <v>469.18363023770405</v>
      </c>
      <c r="AB832" s="496">
        <v>452.73314318128087</v>
      </c>
      <c r="AC832" s="496">
        <v>435.76037147541018</v>
      </c>
      <c r="AD832" s="496">
        <v>418.26531512009063</v>
      </c>
      <c r="AE832" s="496">
        <v>400.15008459034306</v>
      </c>
      <c r="AF832" s="496">
        <v>381.70816749382539</v>
      </c>
      <c r="AG832" s="496">
        <v>362.93956383053751</v>
      </c>
      <c r="AH832" s="496">
        <v>343.84427360047954</v>
      </c>
      <c r="AI832" s="496">
        <v>324.42229680365159</v>
      </c>
    </row>
    <row r="833" spans="2:35" ht="15" outlineLevel="1">
      <c r="B833" t="str">
        <f t="shared" si="67"/>
        <v>e-diesel (PS) - Finance cost including feedstock finance cost - Middle East - USD/ton fuel</v>
      </c>
      <c r="C833" s="92" t="str">
        <f>C812</f>
        <v>e-diesel (PS)</v>
      </c>
      <c r="D833" s="92" t="s">
        <v>1365</v>
      </c>
      <c r="E833" s="92" t="s">
        <v>826</v>
      </c>
      <c r="F833" s="92" t="s">
        <v>1353</v>
      </c>
      <c r="G833" s="487" t="str">
        <f t="shared" si="65"/>
        <v>e-diesel (PS)Middle EastFinance cost including feedstock finance cost</v>
      </c>
      <c r="H833" s="497">
        <v>717.4757471626225</v>
      </c>
      <c r="I833" s="497">
        <v>694.3012880818917</v>
      </c>
      <c r="J833" s="497">
        <v>670.93325913241836</v>
      </c>
      <c r="K833" s="497">
        <v>651.18960645101879</v>
      </c>
      <c r="L833" s="497">
        <v>631.08634414731409</v>
      </c>
      <c r="M833" s="497">
        <v>610.62347222130768</v>
      </c>
      <c r="N833" s="497">
        <v>589.80099067300102</v>
      </c>
      <c r="O833" s="497">
        <v>568.6188995023889</v>
      </c>
      <c r="P833" s="497">
        <v>565.69850159909242</v>
      </c>
      <c r="Q833" s="497">
        <v>561.93945711061156</v>
      </c>
      <c r="R833" s="497">
        <v>557.34176603694448</v>
      </c>
      <c r="S833" s="497">
        <v>551.90542837808709</v>
      </c>
      <c r="T833" s="497">
        <v>545.63044413404623</v>
      </c>
      <c r="U833" s="497">
        <v>537.99225538194992</v>
      </c>
      <c r="V833" s="497">
        <v>529.66189163271667</v>
      </c>
      <c r="W833" s="497">
        <v>520.63935288635321</v>
      </c>
      <c r="X833" s="497">
        <v>510.92463914285293</v>
      </c>
      <c r="Y833" s="497">
        <v>500.51775040221304</v>
      </c>
      <c r="Z833" s="497">
        <v>485.11183264468332</v>
      </c>
      <c r="AA833" s="497">
        <v>469.18363023770405</v>
      </c>
      <c r="AB833" s="497">
        <v>452.73314318128087</v>
      </c>
      <c r="AC833" s="497">
        <v>435.76037147541018</v>
      </c>
      <c r="AD833" s="497">
        <v>418.26531512009063</v>
      </c>
      <c r="AE833" s="497">
        <v>400.15008459034306</v>
      </c>
      <c r="AF833" s="497">
        <v>381.70816749382539</v>
      </c>
      <c r="AG833" s="497">
        <v>362.93956383053751</v>
      </c>
      <c r="AH833" s="497">
        <v>343.84427360047954</v>
      </c>
      <c r="AI833" s="497">
        <v>324.42229680365159</v>
      </c>
    </row>
    <row r="834" spans="2:35" outlineLevel="1">
      <c r="B834" t="str">
        <f t="shared" si="67"/>
        <v>e-diesel (PS) - Finance cost - Africa - USD/ton fuel</v>
      </c>
      <c r="C834" t="str">
        <f>C808</f>
        <v>e-diesel (PS)</v>
      </c>
      <c r="D834" t="s">
        <v>1366</v>
      </c>
      <c r="E834" t="s">
        <v>838</v>
      </c>
      <c r="F834" t="s">
        <v>1353</v>
      </c>
      <c r="G834" s="487" t="str">
        <f t="shared" si="65"/>
        <v>e-diesel (PS)AfricaFinance cost</v>
      </c>
      <c r="H834" s="493">
        <v>336.6</v>
      </c>
      <c r="I834" s="493">
        <v>327.80000000000007</v>
      </c>
      <c r="J834" s="493">
        <v>319.00000000000006</v>
      </c>
      <c r="K834" s="493">
        <v>310.20000000000005</v>
      </c>
      <c r="L834" s="493">
        <v>301.40000000000003</v>
      </c>
      <c r="M834" s="493">
        <v>292.60000000000002</v>
      </c>
      <c r="N834" s="493">
        <v>283.8</v>
      </c>
      <c r="O834" s="493">
        <v>275.00000000000006</v>
      </c>
      <c r="P834" s="493">
        <v>271.42500000000001</v>
      </c>
      <c r="Q834" s="493">
        <v>267.85000000000002</v>
      </c>
      <c r="R834" s="493">
        <v>264.27500000000003</v>
      </c>
      <c r="S834" s="493">
        <v>260.70000000000005</v>
      </c>
      <c r="T834" s="493">
        <v>257.12500000000006</v>
      </c>
      <c r="U834" s="493">
        <v>253.55000000000004</v>
      </c>
      <c r="V834" s="493">
        <v>249.97500000000002</v>
      </c>
      <c r="W834" s="493">
        <v>246.40000000000003</v>
      </c>
      <c r="X834" s="493">
        <v>242.82500000000005</v>
      </c>
      <c r="Y834" s="493">
        <v>239.25000000000003</v>
      </c>
      <c r="Z834" s="493">
        <v>231.82500000000002</v>
      </c>
      <c r="AA834" s="493">
        <v>224.40000000000003</v>
      </c>
      <c r="AB834" s="493">
        <v>216.97500000000002</v>
      </c>
      <c r="AC834" s="493">
        <v>209.55000000000004</v>
      </c>
      <c r="AD834" s="493">
        <v>202.12500000000003</v>
      </c>
      <c r="AE834" s="493">
        <v>194.70000000000002</v>
      </c>
      <c r="AF834" s="493">
        <v>187.27500000000003</v>
      </c>
      <c r="AG834" s="493">
        <v>179.85000000000002</v>
      </c>
      <c r="AH834" s="493">
        <v>172.42500000000001</v>
      </c>
      <c r="AI834" s="493">
        <v>165.00000000000003</v>
      </c>
    </row>
    <row r="835" spans="2:35" outlineLevel="1">
      <c r="B835" t="str">
        <f t="shared" si="67"/>
        <v>e-diesel (PS) - Finance cost - Americas - USD/ton fuel</v>
      </c>
      <c r="C835" t="str">
        <f>C808</f>
        <v>e-diesel (PS)</v>
      </c>
      <c r="D835" t="s">
        <v>1366</v>
      </c>
      <c r="E835" t="s">
        <v>731</v>
      </c>
      <c r="F835" t="s">
        <v>1353</v>
      </c>
      <c r="G835" s="487" t="str">
        <f t="shared" si="65"/>
        <v>e-diesel (PS)AmericasFinance cost</v>
      </c>
      <c r="H835" s="493">
        <v>336.6</v>
      </c>
      <c r="I835" s="493">
        <v>327.80000000000007</v>
      </c>
      <c r="J835" s="493">
        <v>319.00000000000006</v>
      </c>
      <c r="K835" s="493">
        <v>310.20000000000005</v>
      </c>
      <c r="L835" s="493">
        <v>301.40000000000003</v>
      </c>
      <c r="M835" s="493">
        <v>292.60000000000002</v>
      </c>
      <c r="N835" s="493">
        <v>283.8</v>
      </c>
      <c r="O835" s="493">
        <v>275.00000000000006</v>
      </c>
      <c r="P835" s="493">
        <v>271.42500000000001</v>
      </c>
      <c r="Q835" s="493">
        <v>267.85000000000002</v>
      </c>
      <c r="R835" s="493">
        <v>264.27500000000003</v>
      </c>
      <c r="S835" s="493">
        <v>260.70000000000005</v>
      </c>
      <c r="T835" s="493">
        <v>257.12500000000006</v>
      </c>
      <c r="U835" s="493">
        <v>253.55000000000004</v>
      </c>
      <c r="V835" s="493">
        <v>249.97500000000002</v>
      </c>
      <c r="W835" s="493">
        <v>246.40000000000003</v>
      </c>
      <c r="X835" s="493">
        <v>242.82500000000005</v>
      </c>
      <c r="Y835" s="493">
        <v>239.25000000000003</v>
      </c>
      <c r="Z835" s="493">
        <v>231.82500000000002</v>
      </c>
      <c r="AA835" s="493">
        <v>224.40000000000003</v>
      </c>
      <c r="AB835" s="493">
        <v>216.97500000000002</v>
      </c>
      <c r="AC835" s="493">
        <v>209.55000000000004</v>
      </c>
      <c r="AD835" s="493">
        <v>202.12500000000003</v>
      </c>
      <c r="AE835" s="493">
        <v>194.70000000000002</v>
      </c>
      <c r="AF835" s="493">
        <v>187.27500000000003</v>
      </c>
      <c r="AG835" s="493">
        <v>179.85000000000002</v>
      </c>
      <c r="AH835" s="493">
        <v>172.42500000000001</v>
      </c>
      <c r="AI835" s="493">
        <v>165.00000000000003</v>
      </c>
    </row>
    <row r="836" spans="2:35" outlineLevel="1">
      <c r="B836" t="str">
        <f t="shared" si="67"/>
        <v>e-diesel (PS) - Finance cost - Asia - USD/ton fuel</v>
      </c>
      <c r="C836" t="str">
        <f>C808</f>
        <v>e-diesel (PS)</v>
      </c>
      <c r="D836" t="s">
        <v>1366</v>
      </c>
      <c r="E836" t="s">
        <v>750</v>
      </c>
      <c r="F836" t="s">
        <v>1353</v>
      </c>
      <c r="G836" s="487" t="str">
        <f t="shared" si="65"/>
        <v>e-diesel (PS)AsiaFinance cost</v>
      </c>
      <c r="H836" s="493">
        <v>336.6</v>
      </c>
      <c r="I836" s="493">
        <v>327.80000000000007</v>
      </c>
      <c r="J836" s="493">
        <v>319.00000000000006</v>
      </c>
      <c r="K836" s="493">
        <v>310.20000000000005</v>
      </c>
      <c r="L836" s="493">
        <v>301.40000000000003</v>
      </c>
      <c r="M836" s="493">
        <v>292.60000000000002</v>
      </c>
      <c r="N836" s="493">
        <v>283.8</v>
      </c>
      <c r="O836" s="493">
        <v>275.00000000000006</v>
      </c>
      <c r="P836" s="493">
        <v>271.42500000000001</v>
      </c>
      <c r="Q836" s="493">
        <v>267.85000000000002</v>
      </c>
      <c r="R836" s="493">
        <v>264.27500000000003</v>
      </c>
      <c r="S836" s="493">
        <v>260.70000000000005</v>
      </c>
      <c r="T836" s="493">
        <v>257.12500000000006</v>
      </c>
      <c r="U836" s="493">
        <v>253.55000000000004</v>
      </c>
      <c r="V836" s="493">
        <v>249.97500000000002</v>
      </c>
      <c r="W836" s="493">
        <v>246.40000000000003</v>
      </c>
      <c r="X836" s="493">
        <v>242.82500000000005</v>
      </c>
      <c r="Y836" s="493">
        <v>239.25000000000003</v>
      </c>
      <c r="Z836" s="493">
        <v>231.82500000000002</v>
      </c>
      <c r="AA836" s="493">
        <v>224.40000000000003</v>
      </c>
      <c r="AB836" s="493">
        <v>216.97500000000002</v>
      </c>
      <c r="AC836" s="493">
        <v>209.55000000000004</v>
      </c>
      <c r="AD836" s="493">
        <v>202.12500000000003</v>
      </c>
      <c r="AE836" s="493">
        <v>194.70000000000002</v>
      </c>
      <c r="AF836" s="493">
        <v>187.27500000000003</v>
      </c>
      <c r="AG836" s="493">
        <v>179.85000000000002</v>
      </c>
      <c r="AH836" s="493">
        <v>172.42500000000001</v>
      </c>
      <c r="AI836" s="493">
        <v>165.00000000000003</v>
      </c>
    </row>
    <row r="837" spans="2:35" outlineLevel="1">
      <c r="B837" t="str">
        <f t="shared" si="67"/>
        <v>e-diesel (PS) - Finance cost - Europe - USD/ton fuel</v>
      </c>
      <c r="C837" t="str">
        <f>C808</f>
        <v>e-diesel (PS)</v>
      </c>
      <c r="D837" t="s">
        <v>1366</v>
      </c>
      <c r="E837" t="s">
        <v>720</v>
      </c>
      <c r="F837" t="s">
        <v>1353</v>
      </c>
      <c r="G837" s="487" t="str">
        <f t="shared" si="65"/>
        <v>e-diesel (PS)EuropeFinance cost</v>
      </c>
      <c r="H837" s="493">
        <v>336.6</v>
      </c>
      <c r="I837" s="493">
        <v>327.80000000000007</v>
      </c>
      <c r="J837" s="493">
        <v>319.00000000000006</v>
      </c>
      <c r="K837" s="493">
        <v>310.20000000000005</v>
      </c>
      <c r="L837" s="493">
        <v>301.40000000000003</v>
      </c>
      <c r="M837" s="493">
        <v>292.60000000000002</v>
      </c>
      <c r="N837" s="493">
        <v>283.8</v>
      </c>
      <c r="O837" s="493">
        <v>275.00000000000006</v>
      </c>
      <c r="P837" s="493">
        <v>271.42500000000001</v>
      </c>
      <c r="Q837" s="493">
        <v>267.85000000000002</v>
      </c>
      <c r="R837" s="493">
        <v>264.27500000000003</v>
      </c>
      <c r="S837" s="493">
        <v>260.70000000000005</v>
      </c>
      <c r="T837" s="493">
        <v>257.12500000000006</v>
      </c>
      <c r="U837" s="493">
        <v>253.55000000000004</v>
      </c>
      <c r="V837" s="493">
        <v>249.97500000000002</v>
      </c>
      <c r="W837" s="493">
        <v>246.40000000000003</v>
      </c>
      <c r="X837" s="493">
        <v>242.82500000000005</v>
      </c>
      <c r="Y837" s="493">
        <v>239.25000000000003</v>
      </c>
      <c r="Z837" s="493">
        <v>231.82500000000002</v>
      </c>
      <c r="AA837" s="493">
        <v>224.40000000000003</v>
      </c>
      <c r="AB837" s="493">
        <v>216.97500000000002</v>
      </c>
      <c r="AC837" s="493">
        <v>209.55000000000004</v>
      </c>
      <c r="AD837" s="493">
        <v>202.12500000000003</v>
      </c>
      <c r="AE837" s="493">
        <v>194.70000000000002</v>
      </c>
      <c r="AF837" s="493">
        <v>187.27500000000003</v>
      </c>
      <c r="AG837" s="493">
        <v>179.85000000000002</v>
      </c>
      <c r="AH837" s="493">
        <v>172.42500000000001</v>
      </c>
      <c r="AI837" s="493">
        <v>165.00000000000003</v>
      </c>
    </row>
    <row r="838" spans="2:35" outlineLevel="1">
      <c r="B838" t="str">
        <f t="shared" si="67"/>
        <v>e-diesel (PS) - Finance cost - Middle East - USD/ton fuel</v>
      </c>
      <c r="C838" t="str">
        <f>C808</f>
        <v>e-diesel (PS)</v>
      </c>
      <c r="D838" t="s">
        <v>1366</v>
      </c>
      <c r="E838" t="s">
        <v>826</v>
      </c>
      <c r="F838" t="s">
        <v>1353</v>
      </c>
      <c r="G838" s="487" t="str">
        <f t="shared" si="65"/>
        <v>e-diesel (PS)Middle EastFinance cost</v>
      </c>
      <c r="H838" s="493">
        <v>336.6</v>
      </c>
      <c r="I838" s="493">
        <v>327.80000000000007</v>
      </c>
      <c r="J838" s="493">
        <v>319.00000000000006</v>
      </c>
      <c r="K838" s="493">
        <v>310.20000000000005</v>
      </c>
      <c r="L838" s="493">
        <v>301.40000000000003</v>
      </c>
      <c r="M838" s="493">
        <v>292.60000000000002</v>
      </c>
      <c r="N838" s="493">
        <v>283.8</v>
      </c>
      <c r="O838" s="493">
        <v>275.00000000000006</v>
      </c>
      <c r="P838" s="493">
        <v>271.42500000000001</v>
      </c>
      <c r="Q838" s="493">
        <v>267.85000000000002</v>
      </c>
      <c r="R838" s="493">
        <v>264.27500000000003</v>
      </c>
      <c r="S838" s="493">
        <v>260.70000000000005</v>
      </c>
      <c r="T838" s="493">
        <v>257.12500000000006</v>
      </c>
      <c r="U838" s="493">
        <v>253.55000000000004</v>
      </c>
      <c r="V838" s="493">
        <v>249.97500000000002</v>
      </c>
      <c r="W838" s="493">
        <v>246.40000000000003</v>
      </c>
      <c r="X838" s="493">
        <v>242.82500000000005</v>
      </c>
      <c r="Y838" s="493">
        <v>239.25000000000003</v>
      </c>
      <c r="Z838" s="493">
        <v>231.82500000000002</v>
      </c>
      <c r="AA838" s="493">
        <v>224.40000000000003</v>
      </c>
      <c r="AB838" s="493">
        <v>216.97500000000002</v>
      </c>
      <c r="AC838" s="493">
        <v>209.55000000000004</v>
      </c>
      <c r="AD838" s="493">
        <v>202.12500000000003</v>
      </c>
      <c r="AE838" s="493">
        <v>194.70000000000002</v>
      </c>
      <c r="AF838" s="493">
        <v>187.27500000000003</v>
      </c>
      <c r="AG838" s="493">
        <v>179.85000000000002</v>
      </c>
      <c r="AH838" s="493">
        <v>172.42500000000001</v>
      </c>
      <c r="AI838" s="493">
        <v>165.00000000000003</v>
      </c>
    </row>
    <row r="839" spans="2:35" outlineLevel="1">
      <c r="B839" t="str">
        <f t="shared" si="67"/>
        <v>e-hydrogen (compressed) - Finance cost including feedstock finance cost - Africa - USD/ton fuel</v>
      </c>
      <c r="C839" t="s">
        <v>722</v>
      </c>
      <c r="D839" t="s">
        <v>1365</v>
      </c>
      <c r="E839" t="s">
        <v>838</v>
      </c>
      <c r="F839" t="s">
        <v>1353</v>
      </c>
      <c r="G839" s="487" t="str">
        <f t="shared" si="65"/>
        <v>e-hydrogen (compressed)AfricaFinance cost including feedstock finance cost</v>
      </c>
      <c r="H839" s="507">
        <v>423.4664833247287</v>
      </c>
      <c r="I839" s="507">
        <v>407.9080597487058</v>
      </c>
      <c r="J839" s="507">
        <v>391.93778538812398</v>
      </c>
      <c r="K839" s="507">
        <v>383.67894989578463</v>
      </c>
      <c r="L839" s="507">
        <v>374.65498754747659</v>
      </c>
      <c r="M839" s="507">
        <v>364.86589834320779</v>
      </c>
      <c r="N839" s="507">
        <v>354.31168228298088</v>
      </c>
      <c r="O839" s="507">
        <v>342.99233936678479</v>
      </c>
      <c r="P839" s="507">
        <v>350.20750340232428</v>
      </c>
      <c r="Q839" s="507">
        <v>355.6383130013013</v>
      </c>
      <c r="R839" s="507">
        <v>359.28476816371159</v>
      </c>
      <c r="S839" s="507">
        <v>361.14686888954691</v>
      </c>
      <c r="T839" s="507">
        <v>361.22461517882164</v>
      </c>
      <c r="U839" s="507">
        <v>358.40192634457429</v>
      </c>
      <c r="V839" s="507">
        <v>354.10652475046084</v>
      </c>
      <c r="W839" s="507">
        <v>348.33841039649622</v>
      </c>
      <c r="X839" s="507">
        <v>341.09758328266571</v>
      </c>
      <c r="Y839" s="507">
        <v>332.38404340896386</v>
      </c>
      <c r="Z839" s="507">
        <v>321.22576094613464</v>
      </c>
      <c r="AA839" s="507">
        <v>308.95623454830633</v>
      </c>
      <c r="AB839" s="507">
        <v>295.57546421549114</v>
      </c>
      <c r="AC839" s="507">
        <v>281.08344994768112</v>
      </c>
      <c r="AD839" s="507">
        <v>265.48019174487365</v>
      </c>
      <c r="AE839" s="507">
        <v>248.55741402200647</v>
      </c>
      <c r="AF839" s="507">
        <v>230.93955849750063</v>
      </c>
      <c r="AG839" s="507">
        <v>212.62662517135635</v>
      </c>
      <c r="AH839" s="507">
        <v>193.61861404357347</v>
      </c>
      <c r="AI839" s="507">
        <v>173.9155251141523</v>
      </c>
    </row>
    <row r="840" spans="2:35" outlineLevel="1">
      <c r="B840" t="str">
        <f t="shared" si="67"/>
        <v>e-hydrogen (compressed) - Finance cost including feedstock finance cost - Americas - USD/ton fuel</v>
      </c>
      <c r="C840" t="s">
        <v>722</v>
      </c>
      <c r="D840" t="s">
        <v>1365</v>
      </c>
      <c r="E840" t="s">
        <v>731</v>
      </c>
      <c r="F840" t="s">
        <v>1353</v>
      </c>
      <c r="G840" s="487" t="str">
        <f t="shared" ref="G840:G903" si="68">+C840&amp;E840&amp;D840</f>
        <v>e-hydrogen (compressed)AmericasFinance cost including feedstock finance cost</v>
      </c>
      <c r="H840" s="507">
        <v>423.4664833247287</v>
      </c>
      <c r="I840" s="507">
        <v>407.9080597487058</v>
      </c>
      <c r="J840" s="507">
        <v>391.93778538812398</v>
      </c>
      <c r="K840" s="507">
        <v>383.67894989578463</v>
      </c>
      <c r="L840" s="507">
        <v>374.65498754747659</v>
      </c>
      <c r="M840" s="507">
        <v>364.86589834320779</v>
      </c>
      <c r="N840" s="507">
        <v>354.31168228298088</v>
      </c>
      <c r="O840" s="507">
        <v>342.99233936678479</v>
      </c>
      <c r="P840" s="507">
        <v>350.20750340232428</v>
      </c>
      <c r="Q840" s="507">
        <v>355.6383130013013</v>
      </c>
      <c r="R840" s="507">
        <v>359.28476816371159</v>
      </c>
      <c r="S840" s="507">
        <v>361.14686888954691</v>
      </c>
      <c r="T840" s="507">
        <v>361.22461517882164</v>
      </c>
      <c r="U840" s="507">
        <v>358.40192634457429</v>
      </c>
      <c r="V840" s="507">
        <v>354.10652475046084</v>
      </c>
      <c r="W840" s="507">
        <v>348.33841039649622</v>
      </c>
      <c r="X840" s="507">
        <v>341.09758328266571</v>
      </c>
      <c r="Y840" s="507">
        <v>332.38404340896386</v>
      </c>
      <c r="Z840" s="507">
        <v>321.22576094613464</v>
      </c>
      <c r="AA840" s="507">
        <v>308.95623454830633</v>
      </c>
      <c r="AB840" s="507">
        <v>295.57546421549114</v>
      </c>
      <c r="AC840" s="507">
        <v>281.08344994768112</v>
      </c>
      <c r="AD840" s="507">
        <v>265.48019174487365</v>
      </c>
      <c r="AE840" s="507">
        <v>248.55741402200647</v>
      </c>
      <c r="AF840" s="507">
        <v>230.93955849750063</v>
      </c>
      <c r="AG840" s="507">
        <v>212.62662517135635</v>
      </c>
      <c r="AH840" s="507">
        <v>193.61861404357347</v>
      </c>
      <c r="AI840" s="507">
        <v>173.9155251141523</v>
      </c>
    </row>
    <row r="841" spans="2:35" outlineLevel="1">
      <c r="B841" t="str">
        <f t="shared" si="67"/>
        <v>e-hydrogen (compressed) - Finance cost including feedstock finance cost - Asia - USD/ton fuel</v>
      </c>
      <c r="C841" t="s">
        <v>722</v>
      </c>
      <c r="D841" t="s">
        <v>1365</v>
      </c>
      <c r="E841" t="s">
        <v>750</v>
      </c>
      <c r="F841" t="s">
        <v>1353</v>
      </c>
      <c r="G841" s="487" t="str">
        <f t="shared" si="68"/>
        <v>e-hydrogen (compressed)AsiaFinance cost including feedstock finance cost</v>
      </c>
      <c r="H841" s="507">
        <v>423.4664833247287</v>
      </c>
      <c r="I841" s="507">
        <v>407.9080597487058</v>
      </c>
      <c r="J841" s="507">
        <v>391.93778538812398</v>
      </c>
      <c r="K841" s="507">
        <v>383.67894989578463</v>
      </c>
      <c r="L841" s="507">
        <v>374.65498754747659</v>
      </c>
      <c r="M841" s="507">
        <v>364.86589834320779</v>
      </c>
      <c r="N841" s="507">
        <v>354.31168228298088</v>
      </c>
      <c r="O841" s="507">
        <v>342.99233936678479</v>
      </c>
      <c r="P841" s="507">
        <v>350.20750340232428</v>
      </c>
      <c r="Q841" s="507">
        <v>355.6383130013013</v>
      </c>
      <c r="R841" s="507">
        <v>359.28476816371159</v>
      </c>
      <c r="S841" s="507">
        <v>361.14686888954691</v>
      </c>
      <c r="T841" s="507">
        <v>361.22461517882164</v>
      </c>
      <c r="U841" s="507">
        <v>358.40192634457429</v>
      </c>
      <c r="V841" s="507">
        <v>354.10652475046084</v>
      </c>
      <c r="W841" s="507">
        <v>348.33841039649622</v>
      </c>
      <c r="X841" s="507">
        <v>341.09758328266571</v>
      </c>
      <c r="Y841" s="507">
        <v>332.38404340896386</v>
      </c>
      <c r="Z841" s="507">
        <v>321.22576094613464</v>
      </c>
      <c r="AA841" s="507">
        <v>308.95623454830633</v>
      </c>
      <c r="AB841" s="507">
        <v>295.57546421549114</v>
      </c>
      <c r="AC841" s="507">
        <v>281.08344994768112</v>
      </c>
      <c r="AD841" s="507">
        <v>265.48019174487365</v>
      </c>
      <c r="AE841" s="507">
        <v>248.55741402200647</v>
      </c>
      <c r="AF841" s="507">
        <v>230.93955849750063</v>
      </c>
      <c r="AG841" s="507">
        <v>212.62662517135635</v>
      </c>
      <c r="AH841" s="507">
        <v>193.61861404357347</v>
      </c>
      <c r="AI841" s="507">
        <v>173.9155251141523</v>
      </c>
    </row>
    <row r="842" spans="2:35" outlineLevel="1">
      <c r="B842" t="str">
        <f t="shared" si="67"/>
        <v>e-hydrogen (compressed) - Finance cost including feedstock finance cost - Europe - USD/ton fuel</v>
      </c>
      <c r="C842" t="s">
        <v>722</v>
      </c>
      <c r="D842" t="s">
        <v>1365</v>
      </c>
      <c r="E842" t="s">
        <v>720</v>
      </c>
      <c r="F842" t="s">
        <v>1353</v>
      </c>
      <c r="G842" s="487" t="str">
        <f t="shared" si="68"/>
        <v>e-hydrogen (compressed)EuropeFinance cost including feedstock finance cost</v>
      </c>
      <c r="H842" s="507">
        <v>423.4664833247287</v>
      </c>
      <c r="I842" s="507">
        <v>407.9080597487058</v>
      </c>
      <c r="J842" s="507">
        <v>391.93778538812398</v>
      </c>
      <c r="K842" s="507">
        <v>383.67894989578463</v>
      </c>
      <c r="L842" s="507">
        <v>374.65498754747659</v>
      </c>
      <c r="M842" s="507">
        <v>364.86589834320779</v>
      </c>
      <c r="N842" s="507">
        <v>354.31168228298088</v>
      </c>
      <c r="O842" s="507">
        <v>342.99233936678479</v>
      </c>
      <c r="P842" s="507">
        <v>350.20750340232428</v>
      </c>
      <c r="Q842" s="507">
        <v>355.6383130013013</v>
      </c>
      <c r="R842" s="507">
        <v>359.28476816371159</v>
      </c>
      <c r="S842" s="507">
        <v>361.14686888954691</v>
      </c>
      <c r="T842" s="507">
        <v>361.22461517882164</v>
      </c>
      <c r="U842" s="507">
        <v>358.40192634457429</v>
      </c>
      <c r="V842" s="507">
        <v>354.10652475046084</v>
      </c>
      <c r="W842" s="507">
        <v>348.33841039649622</v>
      </c>
      <c r="X842" s="507">
        <v>341.09758328266571</v>
      </c>
      <c r="Y842" s="507">
        <v>332.38404340896386</v>
      </c>
      <c r="Z842" s="507">
        <v>321.22576094613464</v>
      </c>
      <c r="AA842" s="507">
        <v>308.95623454830633</v>
      </c>
      <c r="AB842" s="507">
        <v>295.57546421549114</v>
      </c>
      <c r="AC842" s="507">
        <v>281.08344994768112</v>
      </c>
      <c r="AD842" s="507">
        <v>265.48019174487365</v>
      </c>
      <c r="AE842" s="507">
        <v>248.55741402200647</v>
      </c>
      <c r="AF842" s="507">
        <v>230.93955849750063</v>
      </c>
      <c r="AG842" s="507">
        <v>212.62662517135635</v>
      </c>
      <c r="AH842" s="507">
        <v>193.61861404357347</v>
      </c>
      <c r="AI842" s="507">
        <v>173.9155251141523</v>
      </c>
    </row>
    <row r="843" spans="2:35" outlineLevel="1">
      <c r="B843" t="str">
        <f t="shared" si="67"/>
        <v>e-hydrogen (compressed) - Finance cost including feedstock finance cost - Middle East - USD/ton fuel</v>
      </c>
      <c r="C843" t="s">
        <v>722</v>
      </c>
      <c r="D843" t="s">
        <v>1365</v>
      </c>
      <c r="E843" t="s">
        <v>826</v>
      </c>
      <c r="F843" t="s">
        <v>1353</v>
      </c>
      <c r="G843" s="487" t="str">
        <f t="shared" si="68"/>
        <v>e-hydrogen (compressed)Middle EastFinance cost including feedstock finance cost</v>
      </c>
      <c r="H843" s="507">
        <v>423.4664833247287</v>
      </c>
      <c r="I843" s="507">
        <v>407.9080597487058</v>
      </c>
      <c r="J843" s="507">
        <v>391.93778538812398</v>
      </c>
      <c r="K843" s="507">
        <v>383.67894989578463</v>
      </c>
      <c r="L843" s="507">
        <v>374.65498754747659</v>
      </c>
      <c r="M843" s="507">
        <v>364.86589834320779</v>
      </c>
      <c r="N843" s="507">
        <v>354.31168228298088</v>
      </c>
      <c r="O843" s="507">
        <v>342.99233936678479</v>
      </c>
      <c r="P843" s="507">
        <v>350.20750340232428</v>
      </c>
      <c r="Q843" s="507">
        <v>355.6383130013013</v>
      </c>
      <c r="R843" s="507">
        <v>359.28476816371159</v>
      </c>
      <c r="S843" s="507">
        <v>361.14686888954691</v>
      </c>
      <c r="T843" s="507">
        <v>361.22461517882164</v>
      </c>
      <c r="U843" s="507">
        <v>358.40192634457429</v>
      </c>
      <c r="V843" s="507">
        <v>354.10652475046084</v>
      </c>
      <c r="W843" s="507">
        <v>348.33841039649622</v>
      </c>
      <c r="X843" s="507">
        <v>341.09758328266571</v>
      </c>
      <c r="Y843" s="507">
        <v>332.38404340896386</v>
      </c>
      <c r="Z843" s="507">
        <v>321.22576094613464</v>
      </c>
      <c r="AA843" s="507">
        <v>308.95623454830633</v>
      </c>
      <c r="AB843" s="507">
        <v>295.57546421549114</v>
      </c>
      <c r="AC843" s="507">
        <v>281.08344994768112</v>
      </c>
      <c r="AD843" s="507">
        <v>265.48019174487365</v>
      </c>
      <c r="AE843" s="507">
        <v>248.55741402200647</v>
      </c>
      <c r="AF843" s="507">
        <v>230.93955849750063</v>
      </c>
      <c r="AG843" s="507">
        <v>212.62662517135635</v>
      </c>
      <c r="AH843" s="507">
        <v>193.61861404357347</v>
      </c>
      <c r="AI843" s="507">
        <v>173.9155251141523</v>
      </c>
    </row>
    <row r="844" spans="2:35" outlineLevel="1">
      <c r="B844" t="str">
        <f t="shared" si="67"/>
        <v>Carbon dioxide (PS) - Finance cost - Africa - USD/ton fuel</v>
      </c>
      <c r="C844" t="s">
        <v>1380</v>
      </c>
      <c r="D844" t="s">
        <v>1366</v>
      </c>
      <c r="E844" t="s">
        <v>838</v>
      </c>
      <c r="F844" t="s">
        <v>1353</v>
      </c>
      <c r="G844" s="487" t="str">
        <f t="shared" si="68"/>
        <v>Carbon dioxide (PS)AfricaFinance cost</v>
      </c>
      <c r="H844" s="493">
        <v>56.650000000000006</v>
      </c>
      <c r="I844" s="493">
        <v>54.45000000000001</v>
      </c>
      <c r="J844" s="493">
        <v>52.250000000000007</v>
      </c>
      <c r="K844" s="493">
        <v>50.050000000000004</v>
      </c>
      <c r="L844" s="493">
        <v>47.850000000000009</v>
      </c>
      <c r="M844" s="493">
        <v>45.650000000000006</v>
      </c>
      <c r="N844" s="493">
        <v>43.45</v>
      </c>
      <c r="O844" s="493">
        <v>41.250000000000007</v>
      </c>
      <c r="P844" s="493">
        <v>40.397500000000008</v>
      </c>
      <c r="Q844" s="493">
        <v>39.545000000000002</v>
      </c>
      <c r="R844" s="493">
        <v>38.692500000000003</v>
      </c>
      <c r="S844" s="493">
        <v>37.840000000000003</v>
      </c>
      <c r="T844" s="493">
        <v>36.987500000000004</v>
      </c>
      <c r="U844" s="493">
        <v>36.135000000000005</v>
      </c>
      <c r="V844" s="493">
        <v>35.282500000000006</v>
      </c>
      <c r="W844" s="493">
        <v>34.430000000000007</v>
      </c>
      <c r="X844" s="493">
        <v>33.577500000000008</v>
      </c>
      <c r="Y844" s="493">
        <v>32.725000000000001</v>
      </c>
      <c r="Z844" s="493">
        <v>31.872500000000006</v>
      </c>
      <c r="AA844" s="493">
        <v>31.020000000000003</v>
      </c>
      <c r="AB844" s="493">
        <v>30.167500000000004</v>
      </c>
      <c r="AC844" s="493">
        <v>29.315000000000005</v>
      </c>
      <c r="AD844" s="493">
        <v>28.462500000000002</v>
      </c>
      <c r="AE844" s="493">
        <v>27.610000000000003</v>
      </c>
      <c r="AF844" s="493">
        <v>26.757500000000004</v>
      </c>
      <c r="AG844" s="493">
        <v>25.905000000000005</v>
      </c>
      <c r="AH844" s="493">
        <v>25.052500000000002</v>
      </c>
      <c r="AI844" s="493">
        <v>24.200000000000003</v>
      </c>
    </row>
    <row r="845" spans="2:35" outlineLevel="1">
      <c r="B845" t="str">
        <f t="shared" si="67"/>
        <v>Carbon dioxide (PS) - Finance cost - Americas - USD/ton fuel</v>
      </c>
      <c r="C845" t="s">
        <v>1380</v>
      </c>
      <c r="D845" t="s">
        <v>1366</v>
      </c>
      <c r="E845" t="s">
        <v>731</v>
      </c>
      <c r="F845" t="s">
        <v>1353</v>
      </c>
      <c r="G845" s="487" t="str">
        <f t="shared" si="68"/>
        <v>Carbon dioxide (PS)AmericasFinance cost</v>
      </c>
      <c r="H845" s="493">
        <v>56.650000000000006</v>
      </c>
      <c r="I845" s="493">
        <v>54.45000000000001</v>
      </c>
      <c r="J845" s="493">
        <v>52.250000000000007</v>
      </c>
      <c r="K845" s="493">
        <v>50.050000000000004</v>
      </c>
      <c r="L845" s="493">
        <v>47.850000000000009</v>
      </c>
      <c r="M845" s="493">
        <v>45.650000000000006</v>
      </c>
      <c r="N845" s="493">
        <v>43.45</v>
      </c>
      <c r="O845" s="493">
        <v>41.250000000000007</v>
      </c>
      <c r="P845" s="493">
        <v>40.397500000000008</v>
      </c>
      <c r="Q845" s="493">
        <v>39.545000000000002</v>
      </c>
      <c r="R845" s="493">
        <v>38.692500000000003</v>
      </c>
      <c r="S845" s="493">
        <v>37.840000000000003</v>
      </c>
      <c r="T845" s="493">
        <v>36.987500000000004</v>
      </c>
      <c r="U845" s="493">
        <v>36.135000000000005</v>
      </c>
      <c r="V845" s="493">
        <v>35.282500000000006</v>
      </c>
      <c r="W845" s="493">
        <v>34.430000000000007</v>
      </c>
      <c r="X845" s="493">
        <v>33.577500000000008</v>
      </c>
      <c r="Y845" s="493">
        <v>32.725000000000001</v>
      </c>
      <c r="Z845" s="493">
        <v>31.872500000000006</v>
      </c>
      <c r="AA845" s="493">
        <v>31.020000000000003</v>
      </c>
      <c r="AB845" s="493">
        <v>30.167500000000004</v>
      </c>
      <c r="AC845" s="493">
        <v>29.315000000000005</v>
      </c>
      <c r="AD845" s="493">
        <v>28.462500000000002</v>
      </c>
      <c r="AE845" s="493">
        <v>27.610000000000003</v>
      </c>
      <c r="AF845" s="493">
        <v>26.757500000000004</v>
      </c>
      <c r="AG845" s="493">
        <v>25.905000000000005</v>
      </c>
      <c r="AH845" s="493">
        <v>25.052500000000002</v>
      </c>
      <c r="AI845" s="493">
        <v>24.200000000000003</v>
      </c>
    </row>
    <row r="846" spans="2:35" outlineLevel="1">
      <c r="B846" t="str">
        <f t="shared" si="67"/>
        <v>Carbon dioxide (PS) - Finance cost - Asia - USD/ton fuel</v>
      </c>
      <c r="C846" t="s">
        <v>1380</v>
      </c>
      <c r="D846" t="s">
        <v>1366</v>
      </c>
      <c r="E846" t="s">
        <v>750</v>
      </c>
      <c r="F846" t="s">
        <v>1353</v>
      </c>
      <c r="G846" s="487" t="str">
        <f t="shared" si="68"/>
        <v>Carbon dioxide (PS)AsiaFinance cost</v>
      </c>
      <c r="H846" s="493">
        <v>56.650000000000006</v>
      </c>
      <c r="I846" s="493">
        <v>54.45000000000001</v>
      </c>
      <c r="J846" s="493">
        <v>52.250000000000007</v>
      </c>
      <c r="K846" s="493">
        <v>50.050000000000004</v>
      </c>
      <c r="L846" s="493">
        <v>47.850000000000009</v>
      </c>
      <c r="M846" s="493">
        <v>45.650000000000006</v>
      </c>
      <c r="N846" s="493">
        <v>43.45</v>
      </c>
      <c r="O846" s="493">
        <v>41.250000000000007</v>
      </c>
      <c r="P846" s="493">
        <v>40.397500000000008</v>
      </c>
      <c r="Q846" s="493">
        <v>39.545000000000002</v>
      </c>
      <c r="R846" s="493">
        <v>38.692500000000003</v>
      </c>
      <c r="S846" s="493">
        <v>37.840000000000003</v>
      </c>
      <c r="T846" s="493">
        <v>36.987500000000004</v>
      </c>
      <c r="U846" s="493">
        <v>36.135000000000005</v>
      </c>
      <c r="V846" s="493">
        <v>35.282500000000006</v>
      </c>
      <c r="W846" s="493">
        <v>34.430000000000007</v>
      </c>
      <c r="X846" s="493">
        <v>33.577500000000008</v>
      </c>
      <c r="Y846" s="493">
        <v>32.725000000000001</v>
      </c>
      <c r="Z846" s="493">
        <v>31.872500000000006</v>
      </c>
      <c r="AA846" s="493">
        <v>31.020000000000003</v>
      </c>
      <c r="AB846" s="493">
        <v>30.167500000000004</v>
      </c>
      <c r="AC846" s="493">
        <v>29.315000000000005</v>
      </c>
      <c r="AD846" s="493">
        <v>28.462500000000002</v>
      </c>
      <c r="AE846" s="493">
        <v>27.610000000000003</v>
      </c>
      <c r="AF846" s="493">
        <v>26.757500000000004</v>
      </c>
      <c r="AG846" s="493">
        <v>25.905000000000005</v>
      </c>
      <c r="AH846" s="493">
        <v>25.052500000000002</v>
      </c>
      <c r="AI846" s="493">
        <v>24.200000000000003</v>
      </c>
    </row>
    <row r="847" spans="2:35" outlineLevel="1">
      <c r="B847" t="str">
        <f t="shared" si="67"/>
        <v>Carbon dioxide (PS) - Finance cost - Europe - USD/ton fuel</v>
      </c>
      <c r="C847" t="s">
        <v>1380</v>
      </c>
      <c r="D847" t="s">
        <v>1366</v>
      </c>
      <c r="E847" t="s">
        <v>720</v>
      </c>
      <c r="F847" t="s">
        <v>1353</v>
      </c>
      <c r="G847" s="487" t="str">
        <f t="shared" si="68"/>
        <v>Carbon dioxide (PS)EuropeFinance cost</v>
      </c>
      <c r="H847" s="493">
        <v>56.650000000000006</v>
      </c>
      <c r="I847" s="493">
        <v>54.45000000000001</v>
      </c>
      <c r="J847" s="493">
        <v>52.250000000000007</v>
      </c>
      <c r="K847" s="493">
        <v>50.050000000000004</v>
      </c>
      <c r="L847" s="493">
        <v>47.850000000000009</v>
      </c>
      <c r="M847" s="493">
        <v>45.650000000000006</v>
      </c>
      <c r="N847" s="493">
        <v>43.45</v>
      </c>
      <c r="O847" s="493">
        <v>41.250000000000007</v>
      </c>
      <c r="P847" s="493">
        <v>40.397500000000008</v>
      </c>
      <c r="Q847" s="493">
        <v>39.545000000000002</v>
      </c>
      <c r="R847" s="493">
        <v>38.692500000000003</v>
      </c>
      <c r="S847" s="493">
        <v>37.840000000000003</v>
      </c>
      <c r="T847" s="493">
        <v>36.987500000000004</v>
      </c>
      <c r="U847" s="493">
        <v>36.135000000000005</v>
      </c>
      <c r="V847" s="493">
        <v>35.282500000000006</v>
      </c>
      <c r="W847" s="493">
        <v>34.430000000000007</v>
      </c>
      <c r="X847" s="493">
        <v>33.577500000000008</v>
      </c>
      <c r="Y847" s="493">
        <v>32.725000000000001</v>
      </c>
      <c r="Z847" s="493">
        <v>31.872500000000006</v>
      </c>
      <c r="AA847" s="493">
        <v>31.020000000000003</v>
      </c>
      <c r="AB847" s="493">
        <v>30.167500000000004</v>
      </c>
      <c r="AC847" s="493">
        <v>29.315000000000005</v>
      </c>
      <c r="AD847" s="493">
        <v>28.462500000000002</v>
      </c>
      <c r="AE847" s="493">
        <v>27.610000000000003</v>
      </c>
      <c r="AF847" s="493">
        <v>26.757500000000004</v>
      </c>
      <c r="AG847" s="493">
        <v>25.905000000000005</v>
      </c>
      <c r="AH847" s="493">
        <v>25.052500000000002</v>
      </c>
      <c r="AI847" s="493">
        <v>24.200000000000003</v>
      </c>
    </row>
    <row r="848" spans="2:35" outlineLevel="1">
      <c r="B848" t="str">
        <f t="shared" si="67"/>
        <v>Carbon dioxide (PS) - Finance cost - Middle East - USD/ton fuel</v>
      </c>
      <c r="C848" t="s">
        <v>1380</v>
      </c>
      <c r="D848" t="s">
        <v>1366</v>
      </c>
      <c r="E848" t="s">
        <v>826</v>
      </c>
      <c r="F848" t="s">
        <v>1353</v>
      </c>
      <c r="G848" s="487" t="str">
        <f t="shared" si="68"/>
        <v>Carbon dioxide (PS)Middle EastFinance cost</v>
      </c>
      <c r="H848" s="493">
        <v>56.650000000000006</v>
      </c>
      <c r="I848" s="493">
        <v>54.45000000000001</v>
      </c>
      <c r="J848" s="493">
        <v>52.250000000000007</v>
      </c>
      <c r="K848" s="493">
        <v>50.050000000000004</v>
      </c>
      <c r="L848" s="493">
        <v>47.850000000000009</v>
      </c>
      <c r="M848" s="493">
        <v>45.650000000000006</v>
      </c>
      <c r="N848" s="493">
        <v>43.45</v>
      </c>
      <c r="O848" s="493">
        <v>41.250000000000007</v>
      </c>
      <c r="P848" s="493">
        <v>40.397500000000008</v>
      </c>
      <c r="Q848" s="493">
        <v>39.545000000000002</v>
      </c>
      <c r="R848" s="493">
        <v>38.692500000000003</v>
      </c>
      <c r="S848" s="493">
        <v>37.840000000000003</v>
      </c>
      <c r="T848" s="493">
        <v>36.987500000000004</v>
      </c>
      <c r="U848" s="493">
        <v>36.135000000000005</v>
      </c>
      <c r="V848" s="493">
        <v>35.282500000000006</v>
      </c>
      <c r="W848" s="493">
        <v>34.430000000000007</v>
      </c>
      <c r="X848" s="493">
        <v>33.577500000000008</v>
      </c>
      <c r="Y848" s="493">
        <v>32.725000000000001</v>
      </c>
      <c r="Z848" s="493">
        <v>31.872500000000006</v>
      </c>
      <c r="AA848" s="493">
        <v>31.020000000000003</v>
      </c>
      <c r="AB848" s="493">
        <v>30.167500000000004</v>
      </c>
      <c r="AC848" s="493">
        <v>29.315000000000005</v>
      </c>
      <c r="AD848" s="493">
        <v>28.462500000000002</v>
      </c>
      <c r="AE848" s="493">
        <v>27.610000000000003</v>
      </c>
      <c r="AF848" s="493">
        <v>26.757500000000004</v>
      </c>
      <c r="AG848" s="493">
        <v>25.905000000000005</v>
      </c>
      <c r="AH848" s="493">
        <v>25.052500000000002</v>
      </c>
      <c r="AI848" s="493">
        <v>24.200000000000003</v>
      </c>
    </row>
    <row r="849" spans="2:35" outlineLevel="1">
      <c r="B849" t="str">
        <f t="shared" si="67"/>
        <v>e-diesel - Conversion H2 -&gt; diesel - Global - ton H2/ton diesel</v>
      </c>
      <c r="C849" t="s">
        <v>1393</v>
      </c>
      <c r="D849" t="s">
        <v>1394</v>
      </c>
      <c r="E849" t="s">
        <v>708</v>
      </c>
      <c r="F849" t="s">
        <v>1395</v>
      </c>
      <c r="G849" s="487" t="str">
        <f t="shared" si="68"/>
        <v>e-dieselGlobalConversion H2 -&gt; diesel</v>
      </c>
      <c r="H849" s="508">
        <v>0.47</v>
      </c>
      <c r="I849" s="508">
        <v>0.47</v>
      </c>
      <c r="J849" s="508">
        <v>0.47</v>
      </c>
      <c r="K849" s="508">
        <v>0.47</v>
      </c>
      <c r="L849" s="508">
        <v>0.47</v>
      </c>
      <c r="M849" s="508">
        <v>0.47</v>
      </c>
      <c r="N849" s="508">
        <v>0.47</v>
      </c>
      <c r="O849" s="508">
        <v>0.47</v>
      </c>
      <c r="P849" s="508">
        <v>0.47</v>
      </c>
      <c r="Q849" s="508">
        <v>0.47</v>
      </c>
      <c r="R849" s="508">
        <v>0.47</v>
      </c>
      <c r="S849" s="508">
        <v>0.47</v>
      </c>
      <c r="T849" s="508">
        <v>0.47</v>
      </c>
      <c r="U849" s="508">
        <v>0.47</v>
      </c>
      <c r="V849" s="508">
        <v>0.47</v>
      </c>
      <c r="W849" s="508">
        <v>0.47</v>
      </c>
      <c r="X849" s="508">
        <v>0.47</v>
      </c>
      <c r="Y849" s="508">
        <v>0.47</v>
      </c>
      <c r="Z849" s="508">
        <v>0.47</v>
      </c>
      <c r="AA849" s="508">
        <v>0.47</v>
      </c>
      <c r="AB849" s="508">
        <v>0.47</v>
      </c>
      <c r="AC849" s="508">
        <v>0.47</v>
      </c>
      <c r="AD849" s="508">
        <v>0.47</v>
      </c>
      <c r="AE849" s="508">
        <v>0.47</v>
      </c>
      <c r="AF849" s="508">
        <v>0.47</v>
      </c>
      <c r="AG849" s="508">
        <v>0.47</v>
      </c>
      <c r="AH849" s="508">
        <v>0.47</v>
      </c>
      <c r="AI849" s="508">
        <v>0.47</v>
      </c>
    </row>
    <row r="850" spans="2:35" outlineLevel="1">
      <c r="B850" t="str">
        <f t="shared" si="67"/>
        <v>e-diesel - Conversion CO2 -&gt; diesel - Global - ton CO2/ton diesel</v>
      </c>
      <c r="C850" t="s">
        <v>1393</v>
      </c>
      <c r="D850" t="s">
        <v>1396</v>
      </c>
      <c r="E850" t="s">
        <v>708</v>
      </c>
      <c r="F850" t="s">
        <v>1397</v>
      </c>
      <c r="G850" s="487" t="str">
        <f t="shared" si="68"/>
        <v>e-dieselGlobalConversion CO2 -&gt; diesel</v>
      </c>
      <c r="H850" s="508">
        <v>3.21</v>
      </c>
      <c r="I850" s="508">
        <v>3.21</v>
      </c>
      <c r="J850" s="508">
        <v>3.21</v>
      </c>
      <c r="K850" s="508">
        <v>3.21</v>
      </c>
      <c r="L850" s="508">
        <v>3.21</v>
      </c>
      <c r="M850" s="508">
        <v>3.21</v>
      </c>
      <c r="N850" s="508">
        <v>3.21</v>
      </c>
      <c r="O850" s="508">
        <v>3.21</v>
      </c>
      <c r="P850" s="508">
        <v>3.21</v>
      </c>
      <c r="Q850" s="508">
        <v>3.21</v>
      </c>
      <c r="R850" s="508">
        <v>3.21</v>
      </c>
      <c r="S850" s="508">
        <v>3.21</v>
      </c>
      <c r="T850" s="508">
        <v>3.21</v>
      </c>
      <c r="U850" s="508">
        <v>3.21</v>
      </c>
      <c r="V850" s="508">
        <v>3.21</v>
      </c>
      <c r="W850" s="508">
        <v>3.21</v>
      </c>
      <c r="X850" s="508">
        <v>3.21</v>
      </c>
      <c r="Y850" s="508">
        <v>3.21</v>
      </c>
      <c r="Z850" s="508">
        <v>3.21</v>
      </c>
      <c r="AA850" s="508">
        <v>3.21</v>
      </c>
      <c r="AB850" s="508">
        <v>3.21</v>
      </c>
      <c r="AC850" s="508">
        <v>3.21</v>
      </c>
      <c r="AD850" s="508">
        <v>3.21</v>
      </c>
      <c r="AE850" s="508">
        <v>3.21</v>
      </c>
      <c r="AF850" s="508">
        <v>3.21</v>
      </c>
      <c r="AG850" s="508">
        <v>3.21</v>
      </c>
      <c r="AH850" s="508">
        <v>3.21</v>
      </c>
      <c r="AI850" s="508">
        <v>3.21</v>
      </c>
    </row>
    <row r="851" spans="2:35" ht="14.25" customHeight="1" outlineLevel="1">
      <c r="B851" t="str">
        <f t="shared" si="67"/>
        <v/>
      </c>
      <c r="G851" s="487" t="str">
        <f t="shared" si="68"/>
        <v/>
      </c>
      <c r="H851" s="498"/>
    </row>
    <row r="852" spans="2:35" ht="15" outlineLevel="1">
      <c r="B852" t="str">
        <f t="shared" si="67"/>
        <v>e-diesel (PS) - Energy cost including feedstock energy cost - Africa - USD/ton fuel</v>
      </c>
      <c r="C852" s="494" t="str">
        <f>C808</f>
        <v>e-diesel (PS)</v>
      </c>
      <c r="D852" s="494" t="s">
        <v>1367</v>
      </c>
      <c r="E852" s="494" t="s">
        <v>838</v>
      </c>
      <c r="F852" s="494" t="s">
        <v>1353</v>
      </c>
      <c r="G852" s="487" t="str">
        <f t="shared" si="68"/>
        <v>e-diesel (PS)AfricaEnergy cost including feedstock energy cost</v>
      </c>
      <c r="H852" s="495">
        <v>1594.1497774459199</v>
      </c>
      <c r="I852" s="495">
        <v>1405.0900332122774</v>
      </c>
      <c r="J852" s="495">
        <v>1216.3031485000918</v>
      </c>
      <c r="K852" s="495">
        <v>1161.8236024179562</v>
      </c>
      <c r="L852" s="495">
        <v>1107.2182976085617</v>
      </c>
      <c r="M852" s="495">
        <v>1052.5355438875827</v>
      </c>
      <c r="N852" s="495">
        <v>997.8236510707128</v>
      </c>
      <c r="O852" s="495">
        <v>943.13092897363663</v>
      </c>
      <c r="P852" s="495">
        <v>908.73152812793205</v>
      </c>
      <c r="Q852" s="495">
        <v>874.42412572240198</v>
      </c>
      <c r="R852" s="495">
        <v>840.23474266617768</v>
      </c>
      <c r="S852" s="495">
        <v>806.18939986843111</v>
      </c>
      <c r="T852" s="495">
        <v>772.31411823833434</v>
      </c>
      <c r="U852" s="495">
        <v>753.16588326282397</v>
      </c>
      <c r="V852" s="495">
        <v>734.06558742240691</v>
      </c>
      <c r="W852" s="495">
        <v>715.02172143862742</v>
      </c>
      <c r="X852" s="495">
        <v>696.04277603297817</v>
      </c>
      <c r="Y852" s="495">
        <v>677.1372419269984</v>
      </c>
      <c r="Z852" s="495">
        <v>656.35207826567421</v>
      </c>
      <c r="AA852" s="495">
        <v>635.9584439464594</v>
      </c>
      <c r="AB852" s="495">
        <v>615.95137382428186</v>
      </c>
      <c r="AC852" s="495">
        <v>596.32590275405755</v>
      </c>
      <c r="AD852" s="495">
        <v>577.07706559070698</v>
      </c>
      <c r="AE852" s="495">
        <v>565.32914615681977</v>
      </c>
      <c r="AF852" s="495">
        <v>553.80155835264259</v>
      </c>
      <c r="AG852" s="495">
        <v>542.49117341059343</v>
      </c>
      <c r="AH852" s="495">
        <v>531.39486256310249</v>
      </c>
      <c r="AI852" s="495">
        <v>520.50949704259995</v>
      </c>
    </row>
    <row r="853" spans="2:35" ht="15" outlineLevel="1">
      <c r="B853" t="str">
        <f t="shared" si="67"/>
        <v>e-diesel (PS) - Energy cost including feedstock energy cost - Americas - USD/ton fuel</v>
      </c>
      <c r="C853" s="22" t="str">
        <f>C808</f>
        <v>e-diesel (PS)</v>
      </c>
      <c r="D853" s="22" t="s">
        <v>1367</v>
      </c>
      <c r="E853" s="22" t="s">
        <v>731</v>
      </c>
      <c r="F853" s="22" t="s">
        <v>1353</v>
      </c>
      <c r="G853" s="487" t="str">
        <f t="shared" si="68"/>
        <v>e-diesel (PS)AmericasEnergy cost including feedstock energy cost</v>
      </c>
      <c r="H853" s="496">
        <v>1001.6280262544105</v>
      </c>
      <c r="I853" s="496">
        <v>979.58596430709156</v>
      </c>
      <c r="J853" s="496">
        <v>957.42315112786775</v>
      </c>
      <c r="K853" s="496">
        <v>920.52365819601994</v>
      </c>
      <c r="L853" s="496">
        <v>883.49628649417446</v>
      </c>
      <c r="M853" s="496">
        <v>846.37349579732461</v>
      </c>
      <c r="N853" s="496">
        <v>809.1877458805028</v>
      </c>
      <c r="O853" s="496">
        <v>771.97149651866675</v>
      </c>
      <c r="P853" s="496">
        <v>750.62729607005053</v>
      </c>
      <c r="Q853" s="496">
        <v>729.26807192148817</v>
      </c>
      <c r="R853" s="496">
        <v>707.90889670341664</v>
      </c>
      <c r="S853" s="496">
        <v>686.56484304627509</v>
      </c>
      <c r="T853" s="496">
        <v>665.2509835805289</v>
      </c>
      <c r="U853" s="496">
        <v>646.99764489460392</v>
      </c>
      <c r="V853" s="496">
        <v>628.8149985593974</v>
      </c>
      <c r="W853" s="496">
        <v>610.71151493598757</v>
      </c>
      <c r="X853" s="496">
        <v>592.69566438541074</v>
      </c>
      <c r="Y853" s="496">
        <v>574.77591726873015</v>
      </c>
      <c r="Z853" s="496">
        <v>562.93374746760446</v>
      </c>
      <c r="AA853" s="496">
        <v>551.28464307454738</v>
      </c>
      <c r="AB853" s="496">
        <v>539.82666345137295</v>
      </c>
      <c r="AC853" s="496">
        <v>528.55786795986614</v>
      </c>
      <c r="AD853" s="496">
        <v>517.47631596183726</v>
      </c>
      <c r="AE853" s="496">
        <v>508.67690235206567</v>
      </c>
      <c r="AF853" s="496">
        <v>500.03992674846381</v>
      </c>
      <c r="AG853" s="496">
        <v>491.56350950451332</v>
      </c>
      <c r="AH853" s="496">
        <v>483.24577097370059</v>
      </c>
      <c r="AI853" s="496">
        <v>475.08483150951184</v>
      </c>
    </row>
    <row r="854" spans="2:35" ht="15" outlineLevel="1">
      <c r="B854" t="str">
        <f t="shared" si="67"/>
        <v>e-diesel (PS) - Energy cost including feedstock energy cost - Asia - USD/ton fuel</v>
      </c>
      <c r="C854" s="22" t="str">
        <f>C808</f>
        <v>e-diesel (PS)</v>
      </c>
      <c r="D854" s="22" t="s">
        <v>1367</v>
      </c>
      <c r="E854" s="22" t="s">
        <v>750</v>
      </c>
      <c r="F854" s="22" t="s">
        <v>1353</v>
      </c>
      <c r="G854" s="487" t="str">
        <f t="shared" si="68"/>
        <v>e-diesel (PS)AsiaEnergy cost including feedstock energy cost</v>
      </c>
      <c r="H854" s="496">
        <v>1773.0259200772978</v>
      </c>
      <c r="I854" s="496">
        <v>1615.0796635157055</v>
      </c>
      <c r="J854" s="496">
        <v>1457.278845269052</v>
      </c>
      <c r="K854" s="496">
        <v>1398.6100769868854</v>
      </c>
      <c r="L854" s="496">
        <v>1339.7587559953201</v>
      </c>
      <c r="M854" s="496">
        <v>1280.7766189841975</v>
      </c>
      <c r="N854" s="496">
        <v>1221.7154026434735</v>
      </c>
      <c r="O854" s="496">
        <v>1162.6268436630444</v>
      </c>
      <c r="P854" s="496">
        <v>1118.1920453712494</v>
      </c>
      <c r="Q854" s="496">
        <v>1073.8975669153335</v>
      </c>
      <c r="R854" s="496">
        <v>1029.7773399648054</v>
      </c>
      <c r="S854" s="496">
        <v>985.86529618915404</v>
      </c>
      <c r="T854" s="496">
        <v>942.19536725794705</v>
      </c>
      <c r="U854" s="496">
        <v>916.39907217199152</v>
      </c>
      <c r="V854" s="496">
        <v>890.70196439614472</v>
      </c>
      <c r="W854" s="496">
        <v>865.11600374815123</v>
      </c>
      <c r="X854" s="496">
        <v>839.65315004566617</v>
      </c>
      <c r="Y854" s="496">
        <v>814.32536310642502</v>
      </c>
      <c r="Z854" s="496">
        <v>786.39992054857998</v>
      </c>
      <c r="AA854" s="496">
        <v>759.01565963707685</v>
      </c>
      <c r="AB854" s="496">
        <v>732.16546105804059</v>
      </c>
      <c r="AC854" s="496">
        <v>705.84220549758231</v>
      </c>
      <c r="AD854" s="496">
        <v>680.03877364182142</v>
      </c>
      <c r="AE854" s="496">
        <v>665.24936727070292</v>
      </c>
      <c r="AF854" s="496">
        <v>650.73874913101395</v>
      </c>
      <c r="AG854" s="496">
        <v>636.50272769114133</v>
      </c>
      <c r="AH854" s="496">
        <v>622.53711141946894</v>
      </c>
      <c r="AI854" s="496">
        <v>608.8377087843802</v>
      </c>
    </row>
    <row r="855" spans="2:35" ht="15" outlineLevel="1">
      <c r="B855" t="str">
        <f t="shared" si="67"/>
        <v>e-diesel (PS) - Energy cost including feedstock energy cost - Europe - USD/ton fuel</v>
      </c>
      <c r="C855" s="22" t="str">
        <f>C808</f>
        <v>e-diesel (PS)</v>
      </c>
      <c r="D855" s="22" t="s">
        <v>1367</v>
      </c>
      <c r="E855" s="22" t="s">
        <v>720</v>
      </c>
      <c r="F855" s="22" t="s">
        <v>1353</v>
      </c>
      <c r="G855" s="487" t="str">
        <f t="shared" si="68"/>
        <v>e-diesel (PS)EuropeEnergy cost including feedstock energy cost</v>
      </c>
      <c r="H855" s="496">
        <v>1319.9217578899531</v>
      </c>
      <c r="I855" s="496">
        <v>1261.3600751272093</v>
      </c>
      <c r="J855" s="496">
        <v>1202.7284102621454</v>
      </c>
      <c r="K855" s="496">
        <v>1154.464508827693</v>
      </c>
      <c r="L855" s="496">
        <v>1106.049184820042</v>
      </c>
      <c r="M855" s="496">
        <v>1057.5249918519767</v>
      </c>
      <c r="N855" s="496">
        <v>1008.9344835362652</v>
      </c>
      <c r="O855" s="496">
        <v>960.32021348567741</v>
      </c>
      <c r="P855" s="496">
        <v>935.6166104980648</v>
      </c>
      <c r="Q855" s="496">
        <v>910.86981224309591</v>
      </c>
      <c r="R855" s="496">
        <v>886.09687968245646</v>
      </c>
      <c r="S855" s="496">
        <v>861.31487377786527</v>
      </c>
      <c r="T855" s="496">
        <v>836.54085549107742</v>
      </c>
      <c r="U855" s="496">
        <v>819.04823778941</v>
      </c>
      <c r="V855" s="496">
        <v>801.55327775385524</v>
      </c>
      <c r="W855" s="496">
        <v>784.06303706238089</v>
      </c>
      <c r="X855" s="496">
        <v>766.58457739289247</v>
      </c>
      <c r="Y855" s="496">
        <v>749.12496042333737</v>
      </c>
      <c r="Z855" s="496">
        <v>729.18284844093455</v>
      </c>
      <c r="AA855" s="496">
        <v>709.60059502043293</v>
      </c>
      <c r="AB855" s="496">
        <v>690.37390382727017</v>
      </c>
      <c r="AC855" s="496">
        <v>671.49847852684138</v>
      </c>
      <c r="AD855" s="496">
        <v>652.97002278457944</v>
      </c>
      <c r="AE855" s="496">
        <v>638.76972179216864</v>
      </c>
      <c r="AF855" s="496">
        <v>624.83710349525973</v>
      </c>
      <c r="AG855" s="496">
        <v>611.1681434276328</v>
      </c>
      <c r="AH855" s="496">
        <v>597.758817123065</v>
      </c>
      <c r="AI855" s="496">
        <v>584.60510011533279</v>
      </c>
    </row>
    <row r="856" spans="2:35" ht="15" outlineLevel="1">
      <c r="B856" t="str">
        <f t="shared" si="67"/>
        <v>e-diesel (PS) - Energy cost including feedstock energy cost - Middle East - USD/ton fuel</v>
      </c>
      <c r="C856" s="92" t="str">
        <f>C808</f>
        <v>e-diesel (PS)</v>
      </c>
      <c r="D856" s="92" t="s">
        <v>1367</v>
      </c>
      <c r="E856" s="92" t="s">
        <v>826</v>
      </c>
      <c r="F856" s="92" t="s">
        <v>1353</v>
      </c>
      <c r="G856" s="487" t="str">
        <f t="shared" si="68"/>
        <v>e-diesel (PS)Middle EastEnergy cost including feedstock energy cost</v>
      </c>
      <c r="H856" s="497">
        <v>1010.7231499452078</v>
      </c>
      <c r="I856" s="497">
        <v>964.84228985899131</v>
      </c>
      <c r="J856" s="497">
        <v>918.91097495717577</v>
      </c>
      <c r="K856" s="497">
        <v>887.59798715947932</v>
      </c>
      <c r="L856" s="497">
        <v>856.14246344968274</v>
      </c>
      <c r="M856" s="497">
        <v>824.57174141428459</v>
      </c>
      <c r="N856" s="497">
        <v>792.9131586398106</v>
      </c>
      <c r="O856" s="497">
        <v>761.19405271274832</v>
      </c>
      <c r="P856" s="497">
        <v>736.05782927979533</v>
      </c>
      <c r="Q856" s="497">
        <v>710.9610217289005</v>
      </c>
      <c r="R856" s="497">
        <v>685.92223021355926</v>
      </c>
      <c r="S856" s="497">
        <v>660.96005488729463</v>
      </c>
      <c r="T856" s="497">
        <v>636.09309590363864</v>
      </c>
      <c r="U856" s="497">
        <v>621.12525519520364</v>
      </c>
      <c r="V856" s="497">
        <v>606.18348111341459</v>
      </c>
      <c r="W856" s="497">
        <v>591.27423890117223</v>
      </c>
      <c r="X856" s="497">
        <v>576.40399380131919</v>
      </c>
      <c r="Y856" s="497">
        <v>561.57921105674245</v>
      </c>
      <c r="Z856" s="497">
        <v>542.54556002428717</v>
      </c>
      <c r="AA856" s="497">
        <v>523.87973288465378</v>
      </c>
      <c r="AB856" s="497">
        <v>505.57690795753331</v>
      </c>
      <c r="AC856" s="497">
        <v>487.63226356260378</v>
      </c>
      <c r="AD856" s="497">
        <v>470.04097801955106</v>
      </c>
      <c r="AE856" s="497">
        <v>459.81843381975301</v>
      </c>
      <c r="AF856" s="497">
        <v>449.78859025796703</v>
      </c>
      <c r="AG856" s="497">
        <v>439.9485500807761</v>
      </c>
      <c r="AH856" s="497">
        <v>430.2954160347702</v>
      </c>
      <c r="AI856" s="497">
        <v>420.82629086653935</v>
      </c>
    </row>
    <row r="857" spans="2:35" outlineLevel="1">
      <c r="B857" t="str">
        <f t="shared" si="67"/>
        <v>e-diesel (PS) - Energy cost - Africa - USD/ton fuel</v>
      </c>
      <c r="C857" t="str">
        <f>C808</f>
        <v>e-diesel (PS)</v>
      </c>
      <c r="D857" t="s">
        <v>1368</v>
      </c>
      <c r="E857" t="s">
        <v>838</v>
      </c>
      <c r="F857" t="s">
        <v>1353</v>
      </c>
      <c r="G857" s="487" t="str">
        <f t="shared" si="68"/>
        <v>e-diesel (PS)AfricaEnergy cost</v>
      </c>
      <c r="H857" s="493">
        <v>24.196520996516455</v>
      </c>
      <c r="I857" s="493">
        <v>20.984263356572239</v>
      </c>
      <c r="J857" s="493">
        <v>17.87071422432129</v>
      </c>
      <c r="K857" s="493">
        <v>16.823748934217715</v>
      </c>
      <c r="L857" s="493">
        <v>15.802028726504963</v>
      </c>
      <c r="M857" s="493">
        <v>14.805553601183036</v>
      </c>
      <c r="N857" s="493">
        <v>13.834323558251761</v>
      </c>
      <c r="O857" s="493">
        <v>12.888338597711485</v>
      </c>
      <c r="P857" s="493">
        <v>12.290477819406663</v>
      </c>
      <c r="Q857" s="493">
        <v>11.705545605118326</v>
      </c>
      <c r="R857" s="493">
        <v>11.133541954846319</v>
      </c>
      <c r="S857" s="493">
        <v>10.574466868590962</v>
      </c>
      <c r="T857" s="493">
        <v>10.02832034635213</v>
      </c>
      <c r="U857" s="493">
        <v>9.6964670631229843</v>
      </c>
      <c r="V857" s="493">
        <v>9.3701967075256007</v>
      </c>
      <c r="W857" s="493">
        <v>9.0495092795597998</v>
      </c>
      <c r="X857" s="493">
        <v>8.7344047792256703</v>
      </c>
      <c r="Y857" s="493">
        <v>8.424883206523333</v>
      </c>
      <c r="Z857" s="493">
        <v>8.1289163298713785</v>
      </c>
      <c r="AA857" s="493">
        <v>7.8382163198470858</v>
      </c>
      <c r="AB857" s="493">
        <v>7.552783176450439</v>
      </c>
      <c r="AC857" s="493">
        <v>7.2726168996816174</v>
      </c>
      <c r="AD857" s="493">
        <v>6.997717489540431</v>
      </c>
      <c r="AE857" s="493">
        <v>6.8115445879951633</v>
      </c>
      <c r="AF857" s="493">
        <v>6.6277434055101123</v>
      </c>
      <c r="AG857" s="493">
        <v>6.4463139420851272</v>
      </c>
      <c r="AH857" s="493">
        <v>6.2672561977202834</v>
      </c>
      <c r="AI857" s="493">
        <v>6.090570172415652</v>
      </c>
    </row>
    <row r="858" spans="2:35" outlineLevel="1">
      <c r="B858" t="str">
        <f t="shared" si="67"/>
        <v>e-diesel (PS) - Energy cost - Americas - USD/ton fuel</v>
      </c>
      <c r="C858" t="str">
        <f>C808</f>
        <v>e-diesel (PS)</v>
      </c>
      <c r="D858" t="s">
        <v>1368</v>
      </c>
      <c r="E858" t="s">
        <v>731</v>
      </c>
      <c r="F858" t="s">
        <v>1353</v>
      </c>
      <c r="G858" s="487" t="str">
        <f t="shared" si="68"/>
        <v>e-diesel (PS)AmericasEnergy cost</v>
      </c>
      <c r="H858" s="493">
        <v>15.203034188414808</v>
      </c>
      <c r="I858" s="493">
        <v>14.629589114960471</v>
      </c>
      <c r="J858" s="493">
        <v>14.067081505671206</v>
      </c>
      <c r="K858" s="493">
        <v>13.329612930282243</v>
      </c>
      <c r="L858" s="493">
        <v>12.609106739922293</v>
      </c>
      <c r="M858" s="493">
        <v>11.905562934591353</v>
      </c>
      <c r="N858" s="493">
        <v>11.218981514289597</v>
      </c>
      <c r="O858" s="493">
        <v>10.549362479016679</v>
      </c>
      <c r="P858" s="493">
        <v>10.15213828004366</v>
      </c>
      <c r="Q858" s="493">
        <v>9.7624029611274885</v>
      </c>
      <c r="R858" s="493">
        <v>9.3801565222681607</v>
      </c>
      <c r="S858" s="493">
        <v>9.0053989634656801</v>
      </c>
      <c r="T858" s="493">
        <v>8.6381302847200061</v>
      </c>
      <c r="U858" s="493">
        <v>8.3296276332387222</v>
      </c>
      <c r="V858" s="493">
        <v>8.0266945217164203</v>
      </c>
      <c r="W858" s="493">
        <v>7.7293309501529768</v>
      </c>
      <c r="X858" s="493">
        <v>7.437536918548509</v>
      </c>
      <c r="Y858" s="493">
        <v>7.1513124269030035</v>
      </c>
      <c r="Z858" s="493">
        <v>6.9719308949500096</v>
      </c>
      <c r="AA858" s="493">
        <v>6.7946079297467135</v>
      </c>
      <c r="AB858" s="493">
        <v>6.6193435312931719</v>
      </c>
      <c r="AC858" s="493">
        <v>6.4461376995893911</v>
      </c>
      <c r="AD858" s="493">
        <v>6.2749904346353098</v>
      </c>
      <c r="AE858" s="493">
        <v>6.1289523542329727</v>
      </c>
      <c r="AF858" s="493">
        <v>5.9843391139187769</v>
      </c>
      <c r="AG858" s="493">
        <v>5.8411507136926293</v>
      </c>
      <c r="AH858" s="493">
        <v>5.699387153554567</v>
      </c>
      <c r="AI858" s="493">
        <v>5.5590484335046302</v>
      </c>
    </row>
    <row r="859" spans="2:35" outlineLevel="1">
      <c r="B859" t="str">
        <f t="shared" si="67"/>
        <v>e-diesel (PS) - Energy cost - Asia - USD/ton fuel</v>
      </c>
      <c r="C859" t="str">
        <f>C808</f>
        <v>e-diesel (PS)</v>
      </c>
      <c r="D859" t="s">
        <v>1368</v>
      </c>
      <c r="E859" t="s">
        <v>750</v>
      </c>
      <c r="F859" t="s">
        <v>1353</v>
      </c>
      <c r="G859" s="487" t="str">
        <f t="shared" si="68"/>
        <v>e-diesel (PS)AsiaEnergy cost</v>
      </c>
      <c r="H859" s="493">
        <v>26.911560952103585</v>
      </c>
      <c r="I859" s="493">
        <v>24.120345458273867</v>
      </c>
      <c r="J859" s="493">
        <v>21.411285353546209</v>
      </c>
      <c r="K859" s="493">
        <v>20.252527787458053</v>
      </c>
      <c r="L859" s="493">
        <v>19.120806072795972</v>
      </c>
      <c r="M859" s="493">
        <v>18.016120209559258</v>
      </c>
      <c r="N859" s="493">
        <v>16.93847019774827</v>
      </c>
      <c r="O859" s="493">
        <v>15.88785603736334</v>
      </c>
      <c r="P859" s="493">
        <v>15.123404554681125</v>
      </c>
      <c r="Q859" s="493">
        <v>14.375812120197313</v>
      </c>
      <c r="R859" s="493">
        <v>13.645078733911902</v>
      </c>
      <c r="S859" s="493">
        <v>12.931204395824565</v>
      </c>
      <c r="T859" s="493">
        <v>12.234189105935469</v>
      </c>
      <c r="U859" s="493">
        <v>11.797976538046914</v>
      </c>
      <c r="V859" s="493">
        <v>11.369627942208288</v>
      </c>
      <c r="W859" s="493">
        <v>10.949143318419541</v>
      </c>
      <c r="X859" s="493">
        <v>10.53652266668059</v>
      </c>
      <c r="Y859" s="493">
        <v>10.131765986991704</v>
      </c>
      <c r="Z859" s="493">
        <v>9.7395580324030853</v>
      </c>
      <c r="AA859" s="493">
        <v>9.3549020176036937</v>
      </c>
      <c r="AB859" s="493">
        <v>8.9777979425934493</v>
      </c>
      <c r="AC859" s="493">
        <v>8.6082458073725423</v>
      </c>
      <c r="AD859" s="493">
        <v>8.2462456119407292</v>
      </c>
      <c r="AE859" s="493">
        <v>8.0154645450439599</v>
      </c>
      <c r="AF859" s="493">
        <v>7.7878608108152818</v>
      </c>
      <c r="AG859" s="493">
        <v>7.5634344092546586</v>
      </c>
      <c r="AH859" s="493">
        <v>7.3421853403621089</v>
      </c>
      <c r="AI859" s="493">
        <v>7.1241136041376523</v>
      </c>
    </row>
    <row r="860" spans="2:35" outlineLevel="1">
      <c r="B860" t="str">
        <f t="shared" si="67"/>
        <v>e-diesel (PS) - Energy cost - Europe - USD/ton fuel</v>
      </c>
      <c r="C860" t="str">
        <f>C808</f>
        <v>e-diesel (PS)</v>
      </c>
      <c r="D860" t="s">
        <v>1368</v>
      </c>
      <c r="E860" t="s">
        <v>720</v>
      </c>
      <c r="F860" t="s">
        <v>1353</v>
      </c>
      <c r="G860" s="487" t="str">
        <f t="shared" si="68"/>
        <v>e-diesel (PS)EuropeEnergy cost</v>
      </c>
      <c r="H860" s="493">
        <v>20.03419940861022</v>
      </c>
      <c r="I860" s="493">
        <v>18.837733795195369</v>
      </c>
      <c r="J860" s="493">
        <v>17.671265371443241</v>
      </c>
      <c r="K860" s="493">
        <v>16.717185818536183</v>
      </c>
      <c r="L860" s="493">
        <v>15.78534335027101</v>
      </c>
      <c r="M860" s="493">
        <v>14.875737966648074</v>
      </c>
      <c r="N860" s="493">
        <v>13.988369667667028</v>
      </c>
      <c r="O860" s="493">
        <v>13.123238453328213</v>
      </c>
      <c r="P860" s="493">
        <v>12.654095123654653</v>
      </c>
      <c r="Q860" s="493">
        <v>12.193428582186671</v>
      </c>
      <c r="R860" s="493">
        <v>11.741238828923938</v>
      </c>
      <c r="S860" s="493">
        <v>11.297525863866536</v>
      </c>
      <c r="T860" s="493">
        <v>10.862289687014542</v>
      </c>
      <c r="U860" s="493">
        <v>10.544654819504814</v>
      </c>
      <c r="V860" s="493">
        <v>10.231663236644277</v>
      </c>
      <c r="W860" s="493">
        <v>9.9233149384327817</v>
      </c>
      <c r="X860" s="493">
        <v>9.6196099248703852</v>
      </c>
      <c r="Y860" s="493">
        <v>9.3205481959570715</v>
      </c>
      <c r="Z860" s="493">
        <v>9.0309249569471994</v>
      </c>
      <c r="AA860" s="493">
        <v>8.7458591318438703</v>
      </c>
      <c r="AB860" s="493">
        <v>8.4653507206472032</v>
      </c>
      <c r="AC860" s="493">
        <v>8.189399723357182</v>
      </c>
      <c r="AD860" s="493">
        <v>7.9180061399737713</v>
      </c>
      <c r="AE860" s="493">
        <v>7.6964162754164303</v>
      </c>
      <c r="AF860" s="493">
        <v>7.477877101912612</v>
      </c>
      <c r="AG860" s="493">
        <v>7.262388619462282</v>
      </c>
      <c r="AH860" s="493">
        <v>7.049950828065457</v>
      </c>
      <c r="AI860" s="493">
        <v>6.8405637277221549</v>
      </c>
    </row>
    <row r="861" spans="2:35" outlineLevel="1">
      <c r="B861" t="str">
        <f t="shared" si="67"/>
        <v>e-diesel (PS) - Energy cost - Middle East - USD/ton fuel</v>
      </c>
      <c r="C861" t="str">
        <f>C808</f>
        <v>e-diesel (PS)</v>
      </c>
      <c r="D861" t="s">
        <v>1368</v>
      </c>
      <c r="E861" t="s">
        <v>826</v>
      </c>
      <c r="F861" t="s">
        <v>1353</v>
      </c>
      <c r="G861" s="487" t="str">
        <f t="shared" si="68"/>
        <v>e-diesel (PS)Middle EastEnergy cost</v>
      </c>
      <c r="H861" s="493">
        <v>15.341082917877907</v>
      </c>
      <c r="I861" s="493">
        <v>14.409400272858166</v>
      </c>
      <c r="J861" s="493">
        <v>13.501235651081528</v>
      </c>
      <c r="K861" s="493">
        <v>12.85283382039278</v>
      </c>
      <c r="L861" s="493">
        <v>12.218717691563548</v>
      </c>
      <c r="M861" s="493">
        <v>11.598887264593834</v>
      </c>
      <c r="N861" s="493">
        <v>10.993342539483638</v>
      </c>
      <c r="O861" s="493">
        <v>10.402083516232958</v>
      </c>
      <c r="P861" s="493">
        <v>9.9550881030842415</v>
      </c>
      <c r="Q861" s="493">
        <v>9.5173342300383421</v>
      </c>
      <c r="R861" s="493">
        <v>9.0888218970950945</v>
      </c>
      <c r="S861" s="493">
        <v>8.669551104254662</v>
      </c>
      <c r="T861" s="493">
        <v>8.2595218515169613</v>
      </c>
      <c r="U861" s="493">
        <v>7.9965392922245107</v>
      </c>
      <c r="V861" s="493">
        <v>7.737807841980775</v>
      </c>
      <c r="W861" s="493">
        <v>7.4833275007857054</v>
      </c>
      <c r="X861" s="493">
        <v>7.2330982686392709</v>
      </c>
      <c r="Y861" s="493">
        <v>6.9871201455415495</v>
      </c>
      <c r="Z861" s="493">
        <v>6.719423322668999</v>
      </c>
      <c r="AA861" s="493">
        <v>6.4568411836030739</v>
      </c>
      <c r="AB861" s="493">
        <v>6.199373728343744</v>
      </c>
      <c r="AC861" s="493">
        <v>5.947020956891115</v>
      </c>
      <c r="AD861" s="493">
        <v>5.6997828692450287</v>
      </c>
      <c r="AE861" s="493">
        <v>5.540265853330915</v>
      </c>
      <c r="AF861" s="493">
        <v>5.3829450603634372</v>
      </c>
      <c r="AG861" s="493">
        <v>5.227820490342495</v>
      </c>
      <c r="AH861" s="493">
        <v>5.0748921432681389</v>
      </c>
      <c r="AI861" s="493">
        <v>4.9241600191404169</v>
      </c>
    </row>
    <row r="862" spans="2:35" outlineLevel="1">
      <c r="B862" t="str">
        <f t="shared" si="67"/>
        <v>e-hydrogen (compressed) - Energy cost including feedstock energy cost - Africa - USD/ton fuel</v>
      </c>
      <c r="C862" t="s">
        <v>722</v>
      </c>
      <c r="D862" t="s">
        <v>1367</v>
      </c>
      <c r="E862" t="s">
        <v>838</v>
      </c>
      <c r="F862" t="s">
        <v>1353</v>
      </c>
      <c r="G862" s="487" t="str">
        <f t="shared" si="68"/>
        <v>e-hydrogen (compressed)AfricaEnergy cost including feedstock energy cost</v>
      </c>
      <c r="H862" s="507">
        <v>3160.8705964644164</v>
      </c>
      <c r="I862" s="507">
        <v>2786.523241337979</v>
      </c>
      <c r="J862" s="507">
        <v>2412.5464202833837</v>
      </c>
      <c r="K862" s="507">
        <v>2304.7344628217015</v>
      </c>
      <c r="L862" s="507">
        <v>2196.6012206586379</v>
      </c>
      <c r="M862" s="507">
        <v>2088.2494806360514</v>
      </c>
      <c r="N862" s="507">
        <v>1979.7820295958466</v>
      </c>
      <c r="O862" s="507">
        <v>1871.3016543799013</v>
      </c>
      <c r="P862" s="507">
        <v>1802.6625730422293</v>
      </c>
      <c r="Q862" s="507">
        <v>1734.1917254836167</v>
      </c>
      <c r="R862" s="507">
        <v>1665.9444753405153</v>
      </c>
      <c r="S862" s="507">
        <v>1597.976186249457</v>
      </c>
      <c r="T862" s="507">
        <v>1530.3422218469802</v>
      </c>
      <c r="U862" s="507">
        <v>1491.8507805011832</v>
      </c>
      <c r="V862" s="507">
        <v>1453.4494587457298</v>
      </c>
      <c r="W862" s="507">
        <v>1415.1563219456079</v>
      </c>
      <c r="X862" s="507">
        <v>1376.9894354656967</v>
      </c>
      <c r="Y862" s="507">
        <v>1338.9668646709708</v>
      </c>
      <c r="Z862" s="507">
        <v>1296.9598763474942</v>
      </c>
      <c r="AA862" s="507">
        <v>1255.7747230782336</v>
      </c>
      <c r="AB862" s="507">
        <v>1215.4008407247393</v>
      </c>
      <c r="AC862" s="507">
        <v>1175.8276651485323</v>
      </c>
      <c r="AD862" s="507">
        <v>1137.0446322111472</v>
      </c>
      <c r="AE862" s="507">
        <v>1113.2241368658154</v>
      </c>
      <c r="AF862" s="507">
        <v>1089.8673860112274</v>
      </c>
      <c r="AG862" s="507">
        <v>1066.9677226950826</v>
      </c>
      <c r="AH862" s="507">
        <v>1044.5184899651035</v>
      </c>
      <c r="AI862" s="507">
        <v>1022.5130308690141</v>
      </c>
    </row>
    <row r="863" spans="2:35" outlineLevel="1">
      <c r="B863" t="str">
        <f t="shared" si="67"/>
        <v>e-hydrogen (compressed) - Energy cost including feedstock energy cost - Americas - USD/ton fuel</v>
      </c>
      <c r="C863" t="s">
        <v>722</v>
      </c>
      <c r="D863" t="s">
        <v>1367</v>
      </c>
      <c r="E863" t="s">
        <v>731</v>
      </c>
      <c r="F863" t="s">
        <v>1353</v>
      </c>
      <c r="G863" s="487" t="str">
        <f t="shared" si="68"/>
        <v>e-hydrogen (compressed)AmericasEnergy cost including feedstock energy cost</v>
      </c>
      <c r="H863" s="507">
        <v>1986.022029783622</v>
      </c>
      <c r="I863" s="507">
        <v>1942.6791108821419</v>
      </c>
      <c r="J863" s="507">
        <v>1899.0560032656203</v>
      </c>
      <c r="K863" s="507">
        <v>1826.0625747933959</v>
      </c>
      <c r="L863" s="507">
        <v>1752.7609736509025</v>
      </c>
      <c r="M863" s="507">
        <v>1679.2202631891889</v>
      </c>
      <c r="N863" s="507">
        <v>1605.5095067593863</v>
      </c>
      <c r="O863" s="507">
        <v>1531.6977677124719</v>
      </c>
      <c r="P863" s="507">
        <v>1489.0291478242557</v>
      </c>
      <c r="Q863" s="507">
        <v>1446.3126288296503</v>
      </c>
      <c r="R863" s="507">
        <v>1403.5802801551172</v>
      </c>
      <c r="S863" s="507">
        <v>1360.8641712271224</v>
      </c>
      <c r="T863" s="507">
        <v>1318.196371472189</v>
      </c>
      <c r="U863" s="507">
        <v>1281.5555815366356</v>
      </c>
      <c r="V863" s="507">
        <v>1245.0533507729108</v>
      </c>
      <c r="W863" s="507">
        <v>1208.7077012258628</v>
      </c>
      <c r="X863" s="507">
        <v>1172.5366549402484</v>
      </c>
      <c r="Y863" s="507">
        <v>1136.5582339608836</v>
      </c>
      <c r="Z863" s="507">
        <v>1112.3640919011295</v>
      </c>
      <c r="AA863" s="507">
        <v>1088.5763473760965</v>
      </c>
      <c r="AB863" s="507">
        <v>1065.1908713683672</v>
      </c>
      <c r="AC863" s="507">
        <v>1042.2035348604634</v>
      </c>
      <c r="AD863" s="507">
        <v>1019.61020883496</v>
      </c>
      <c r="AE863" s="507">
        <v>1001.6667447875999</v>
      </c>
      <c r="AF863" s="507">
        <v>984.06586194466854</v>
      </c>
      <c r="AG863" s="507">
        <v>966.80356105825501</v>
      </c>
      <c r="AH863" s="507">
        <v>949.87584288045787</v>
      </c>
      <c r="AI863" s="507">
        <v>933.27870816337509</v>
      </c>
    </row>
    <row r="864" spans="2:35" outlineLevel="1">
      <c r="B864" t="str">
        <f t="shared" si="67"/>
        <v>e-hydrogen (compressed) - Energy cost including feedstock energy cost - Asia - USD/ton fuel</v>
      </c>
      <c r="C864" t="s">
        <v>722</v>
      </c>
      <c r="D864" t="s">
        <v>1367</v>
      </c>
      <c r="E864" t="s">
        <v>750</v>
      </c>
      <c r="F864" t="s">
        <v>1353</v>
      </c>
      <c r="G864" s="487" t="str">
        <f t="shared" si="68"/>
        <v>e-hydrogen (compressed)AsiaEnergy cost including feedstock energy cost</v>
      </c>
      <c r="H864" s="507">
        <v>3515.5451368694994</v>
      </c>
      <c r="I864" s="507">
        <v>3202.9670075376002</v>
      </c>
      <c r="J864" s="507">
        <v>2890.5235227287494</v>
      </c>
      <c r="K864" s="507">
        <v>2774.4528840461521</v>
      </c>
      <c r="L864" s="507">
        <v>2657.9363122554146</v>
      </c>
      <c r="M864" s="507">
        <v>2541.0838854200356</v>
      </c>
      <c r="N864" s="507">
        <v>2424.0056816037468</v>
      </c>
      <c r="O864" s="507">
        <v>2306.8117788701561</v>
      </c>
      <c r="P864" s="507">
        <v>2218.1721303505983</v>
      </c>
      <c r="Q864" s="507">
        <v>2129.7951643580186</v>
      </c>
      <c r="R864" s="507">
        <v>2041.7530759339261</v>
      </c>
      <c r="S864" s="507">
        <v>1954.1180601197893</v>
      </c>
      <c r="T864" s="507">
        <v>1866.9623119572402</v>
      </c>
      <c r="U864" s="507">
        <v>1815.1787029276168</v>
      </c>
      <c r="V864" s="507">
        <v>1763.5893988725866</v>
      </c>
      <c r="W864" s="507">
        <v>1712.219846212882</v>
      </c>
      <c r="X864" s="507">
        <v>1661.0954913690473</v>
      </c>
      <c r="Y864" s="507">
        <v>1610.2417807617942</v>
      </c>
      <c r="Z864" s="507">
        <v>1553.9360314199</v>
      </c>
      <c r="AA864" s="507">
        <v>1498.7656644323729</v>
      </c>
      <c r="AB864" s="507">
        <v>1444.7155323228835</v>
      </c>
      <c r="AC864" s="507">
        <v>1391.7704876150719</v>
      </c>
      <c r="AD864" s="507">
        <v>1339.915382832598</v>
      </c>
      <c r="AE864" s="507">
        <v>1309.9831447130568</v>
      </c>
      <c r="AF864" s="507">
        <v>1280.6373127610934</v>
      </c>
      <c r="AG864" s="507">
        <v>1251.8689688243389</v>
      </c>
      <c r="AH864" s="507">
        <v>1223.6691947504187</v>
      </c>
      <c r="AI864" s="507">
        <v>1196.0290723869578</v>
      </c>
    </row>
    <row r="865" spans="2:35" outlineLevel="1">
      <c r="B865" t="str">
        <f t="shared" si="67"/>
        <v>e-hydrogen (compressed) - Energy cost including feedstock energy cost - Europe - USD/ton fuel</v>
      </c>
      <c r="C865" t="s">
        <v>722</v>
      </c>
      <c r="D865" t="s">
        <v>1367</v>
      </c>
      <c r="E865" t="s">
        <v>720</v>
      </c>
      <c r="F865" t="s">
        <v>1353</v>
      </c>
      <c r="G865" s="487" t="str">
        <f t="shared" si="68"/>
        <v>e-hydrogen (compressed)EuropeEnergy cost including feedstock energy cost</v>
      </c>
      <c r="H865" s="507">
        <v>2617.1329276426868</v>
      </c>
      <c r="I865" s="507">
        <v>2501.4832373426843</v>
      </c>
      <c r="J865" s="507">
        <v>2385.6208251448465</v>
      </c>
      <c r="K865" s="507">
        <v>2290.1360706240293</v>
      </c>
      <c r="L865" s="507">
        <v>2194.281827469511</v>
      </c>
      <c r="M865" s="507">
        <v>2098.1486352829556</v>
      </c>
      <c r="N865" s="507">
        <v>2001.8270336660016</v>
      </c>
      <c r="O865" s="507">
        <v>1905.4075622202831</v>
      </c>
      <c r="P865" s="507">
        <v>1855.9948612502078</v>
      </c>
      <c r="Q865" s="507">
        <v>1806.4722197363817</v>
      </c>
      <c r="R865" s="507">
        <v>1756.8759375972888</v>
      </c>
      <c r="S865" s="507">
        <v>1707.2423147514785</v>
      </c>
      <c r="T865" s="507">
        <v>1657.6076511175781</v>
      </c>
      <c r="U865" s="507">
        <v>1622.348781281504</v>
      </c>
      <c r="V865" s="507">
        <v>1587.0750484272664</v>
      </c>
      <c r="W865" s="507">
        <v>1551.8014774016065</v>
      </c>
      <c r="X865" s="507">
        <v>1516.5430930511313</v>
      </c>
      <c r="Y865" s="507">
        <v>1481.3149202225381</v>
      </c>
      <c r="Z865" s="507">
        <v>1440.8743847473047</v>
      </c>
      <c r="AA865" s="507">
        <v>1401.1898091614214</v>
      </c>
      <c r="AB865" s="507">
        <v>1362.2520523275218</v>
      </c>
      <c r="AC865" s="507">
        <v>1324.0519731081486</v>
      </c>
      <c r="AD865" s="507">
        <v>1286.5804303659243</v>
      </c>
      <c r="AE865" s="507">
        <v>1257.840458133481</v>
      </c>
      <c r="AF865" s="507">
        <v>1229.6635327190136</v>
      </c>
      <c r="AG865" s="507">
        <v>1202.0410914284364</v>
      </c>
      <c r="AH865" s="507">
        <v>1174.9645715676581</v>
      </c>
      <c r="AI865" s="507">
        <v>1148.4254104425868</v>
      </c>
    </row>
    <row r="866" spans="2:35" outlineLevel="1">
      <c r="B866" t="str">
        <f t="shared" si="67"/>
        <v>e-hydrogen (compressed) - Energy cost including feedstock energy cost - Middle East - USD/ton fuel</v>
      </c>
      <c r="C866" t="s">
        <v>722</v>
      </c>
      <c r="D866" t="s">
        <v>1367</v>
      </c>
      <c r="E866" t="s">
        <v>826</v>
      </c>
      <c r="F866" t="s">
        <v>1353</v>
      </c>
      <c r="G866" s="487" t="str">
        <f t="shared" si="68"/>
        <v>e-hydrogen (compressed)Middle EastEnergy cost including feedstock energy cost</v>
      </c>
      <c r="H866" s="507">
        <v>2004.0557863679674</v>
      </c>
      <c r="I866" s="507">
        <v>1913.439994141396</v>
      </c>
      <c r="J866" s="507">
        <v>1822.6668128960132</v>
      </c>
      <c r="K866" s="507">
        <v>1760.7472131571581</v>
      </c>
      <c r="L866" s="507">
        <v>1698.4939504098782</v>
      </c>
      <c r="M866" s="507">
        <v>1635.9651897318304</v>
      </c>
      <c r="N866" s="507">
        <v>1573.2190962007282</v>
      </c>
      <c r="O866" s="507">
        <v>1510.3138348942052</v>
      </c>
      <c r="P866" s="507">
        <v>1460.1275067135082</v>
      </c>
      <c r="Q866" s="507">
        <v>1410.0053792603746</v>
      </c>
      <c r="R866" s="507">
        <v>1359.9870273294782</v>
      </c>
      <c r="S866" s="507">
        <v>1310.1120257155462</v>
      </c>
      <c r="T866" s="507">
        <v>1260.4199492133293</v>
      </c>
      <c r="U866" s="507">
        <v>1230.3082459572943</v>
      </c>
      <c r="V866" s="507">
        <v>1200.2429586961468</v>
      </c>
      <c r="W866" s="507">
        <v>1170.2378432658459</v>
      </c>
      <c r="X866" s="507">
        <v>1140.3066555022276</v>
      </c>
      <c r="Y866" s="507">
        <v>1110.4631512412213</v>
      </c>
      <c r="Z866" s="507">
        <v>1072.0767797388739</v>
      </c>
      <c r="AA866" s="507">
        <v>1034.4621299578357</v>
      </c>
      <c r="AB866" s="507">
        <v>997.60894300383222</v>
      </c>
      <c r="AC866" s="507">
        <v>961.50695998256094</v>
      </c>
      <c r="AD866" s="507">
        <v>926.14592199973754</v>
      </c>
      <c r="AE866" s="507">
        <v>905.45655143347608</v>
      </c>
      <c r="AF866" s="507">
        <v>885.17250940990675</v>
      </c>
      <c r="AG866" s="507">
        <v>865.287631560058</v>
      </c>
      <c r="AH866" s="507">
        <v>845.79575351497181</v>
      </c>
      <c r="AI866" s="507">
        <v>826.69071090569059</v>
      </c>
    </row>
    <row r="867" spans="2:35" outlineLevel="1">
      <c r="B867" t="str">
        <f t="shared" si="67"/>
        <v>Carbon dioxide (PS) - Energy cost - Africa - USD/ton fuel</v>
      </c>
      <c r="C867" t="s">
        <v>1380</v>
      </c>
      <c r="D867" t="s">
        <v>1368</v>
      </c>
      <c r="E867" t="s">
        <v>838</v>
      </c>
      <c r="F867" t="s">
        <v>1353</v>
      </c>
      <c r="G867" s="487" t="str">
        <f t="shared" si="68"/>
        <v>Carbon dioxide (PS)AfricaEnergy cost</v>
      </c>
      <c r="H867" s="493">
        <v>26.275413118731375</v>
      </c>
      <c r="I867" s="493">
        <v>23.189983310546815</v>
      </c>
      <c r="J867" s="493">
        <v>20.104553502361433</v>
      </c>
      <c r="K867" s="493">
        <v>19.244441108267484</v>
      </c>
      <c r="L867" s="493">
        <v>18.384328714173535</v>
      </c>
      <c r="M867" s="493">
        <v>17.524216320079585</v>
      </c>
      <c r="N867" s="493">
        <v>16.664103925985433</v>
      </c>
      <c r="O867" s="493">
        <v>15.803991531891484</v>
      </c>
      <c r="P867" s="493">
        <v>15.323875694292132</v>
      </c>
      <c r="Q867" s="493">
        <v>14.843759856692783</v>
      </c>
      <c r="R867" s="493">
        <v>14.363644019093227</v>
      </c>
      <c r="S867" s="493">
        <v>13.883528181493876</v>
      </c>
      <c r="T867" s="493">
        <v>13.403412343894576</v>
      </c>
      <c r="U867" s="493">
        <v>13.177429708456367</v>
      </c>
      <c r="V867" s="493">
        <v>12.95144707301821</v>
      </c>
      <c r="W867" s="493">
        <v>12.725464437580001</v>
      </c>
      <c r="X867" s="493">
        <v>12.499481802141792</v>
      </c>
      <c r="Y867" s="493">
        <v>12.273499166703687</v>
      </c>
      <c r="Z867" s="493">
        <v>12.041127742205811</v>
      </c>
      <c r="AA867" s="493">
        <v>11.808756317707935</v>
      </c>
      <c r="AB867" s="493">
        <v>11.576384893209957</v>
      </c>
      <c r="AC867" s="493">
        <v>11.344013468712081</v>
      </c>
      <c r="AD867" s="493">
        <v>11.111642044214154</v>
      </c>
      <c r="AE867" s="493">
        <v>10.997587925822875</v>
      </c>
      <c r="AF867" s="493">
        <v>10.88353380743165</v>
      </c>
      <c r="AG867" s="493">
        <v>10.769479689040372</v>
      </c>
      <c r="AH867" s="493">
        <v>10.655425570649095</v>
      </c>
      <c r="AI867" s="493">
        <v>10.541371452257868</v>
      </c>
    </row>
    <row r="868" spans="2:35" outlineLevel="1">
      <c r="B868" t="str">
        <f t="shared" si="67"/>
        <v>Carbon dioxide (PS) - Energy cost - Americas - USD/ton fuel</v>
      </c>
      <c r="C868" t="s">
        <v>1380</v>
      </c>
      <c r="D868" t="s">
        <v>1368</v>
      </c>
      <c r="E868" t="s">
        <v>731</v>
      </c>
      <c r="F868" t="s">
        <v>1353</v>
      </c>
      <c r="G868" s="487" t="str">
        <f t="shared" si="68"/>
        <v>Carbon dioxide (PS)AmericasEnergy cost</v>
      </c>
      <c r="H868" s="493">
        <v>16.509233042895165</v>
      </c>
      <c r="I868" s="493">
        <v>16.167349868387682</v>
      </c>
      <c r="J868" s="493">
        <v>15.825466693880093</v>
      </c>
      <c r="K868" s="493">
        <v>15.247549879389908</v>
      </c>
      <c r="L868" s="493">
        <v>14.669633064899722</v>
      </c>
      <c r="M868" s="493">
        <v>14.091716250409537</v>
      </c>
      <c r="N868" s="493">
        <v>13.513799435919555</v>
      </c>
      <c r="O868" s="493">
        <v>12.93588262142937</v>
      </c>
      <c r="P868" s="493">
        <v>12.657775175266876</v>
      </c>
      <c r="Q868" s="493">
        <v>12.379667729104382</v>
      </c>
      <c r="R868" s="493">
        <v>12.101560282941888</v>
      </c>
      <c r="S868" s="493">
        <v>11.823452836779394</v>
      </c>
      <c r="T868" s="493">
        <v>11.545345390616848</v>
      </c>
      <c r="U868" s="493">
        <v>11.319904653939716</v>
      </c>
      <c r="V868" s="493">
        <v>11.094463917262585</v>
      </c>
      <c r="W868" s="493">
        <v>10.869023180585401</v>
      </c>
      <c r="X868" s="493">
        <v>10.64358244390827</v>
      </c>
      <c r="Y868" s="493">
        <v>10.418141707231113</v>
      </c>
      <c r="Z868" s="493">
        <v>10.327318809695839</v>
      </c>
      <c r="AA868" s="493">
        <v>10.236495912160567</v>
      </c>
      <c r="AB868" s="493">
        <v>10.14567301462532</v>
      </c>
      <c r="AC868" s="493">
        <v>10.054850117090046</v>
      </c>
      <c r="AD868" s="493">
        <v>9.9640272195547741</v>
      </c>
      <c r="AE868" s="493">
        <v>9.8955077718569413</v>
      </c>
      <c r="AF868" s="493">
        <v>9.8269883241591351</v>
      </c>
      <c r="AG868" s="493">
        <v>9.7584688764613272</v>
      </c>
      <c r="AH868" s="493">
        <v>9.6899494287635211</v>
      </c>
      <c r="AI868" s="493">
        <v>9.6214299810657149</v>
      </c>
    </row>
    <row r="869" spans="2:35" outlineLevel="1">
      <c r="B869" t="str">
        <f t="shared" si="67"/>
        <v>Carbon dioxide (PS) - Energy cost - Asia - USD/ton fuel</v>
      </c>
      <c r="C869" t="s">
        <v>1380</v>
      </c>
      <c r="D869" t="s">
        <v>1368</v>
      </c>
      <c r="E869" t="s">
        <v>750</v>
      </c>
      <c r="F869" t="s">
        <v>1353</v>
      </c>
      <c r="G869" s="487" t="str">
        <f t="shared" si="68"/>
        <v>Carbon dioxide (PS)AsiaEnergy cost</v>
      </c>
      <c r="H869" s="493">
        <v>29.223721120414123</v>
      </c>
      <c r="I869" s="493">
        <v>26.655708571576181</v>
      </c>
      <c r="J869" s="493">
        <v>24.087696022739465</v>
      </c>
      <c r="K869" s="493">
        <v>23.166571245400611</v>
      </c>
      <c r="L869" s="493">
        <v>22.245446468062166</v>
      </c>
      <c r="M869" s="493">
        <v>21.324321690723309</v>
      </c>
      <c r="N869" s="493">
        <v>20.403196913384456</v>
      </c>
      <c r="O869" s="493">
        <v>19.482072136046011</v>
      </c>
      <c r="P869" s="493">
        <v>18.85599362984026</v>
      </c>
      <c r="Q869" s="493">
        <v>18.229915123634715</v>
      </c>
      <c r="R869" s="493">
        <v>17.603836617429376</v>
      </c>
      <c r="S869" s="493">
        <v>16.977758111223832</v>
      </c>
      <c r="T869" s="493">
        <v>16.351679605018287</v>
      </c>
      <c r="U869" s="493">
        <v>16.033366123976567</v>
      </c>
      <c r="V869" s="493">
        <v>15.715052642934848</v>
      </c>
      <c r="W869" s="493">
        <v>15.396739161893231</v>
      </c>
      <c r="X869" s="493">
        <v>15.078425680851513</v>
      </c>
      <c r="Y869" s="493">
        <v>14.760112199809999</v>
      </c>
      <c r="Z869" s="493">
        <v>14.426924532343889</v>
      </c>
      <c r="AA869" s="493">
        <v>14.093736864877883</v>
      </c>
      <c r="AB869" s="493">
        <v>13.760549197411775</v>
      </c>
      <c r="AC869" s="493">
        <v>13.427361529945768</v>
      </c>
      <c r="AD869" s="493">
        <v>13.094173862479659</v>
      </c>
      <c r="AE869" s="493">
        <v>12.941378414492936</v>
      </c>
      <c r="AF869" s="493">
        <v>12.788582966506164</v>
      </c>
      <c r="AG869" s="493">
        <v>12.635787518519441</v>
      </c>
      <c r="AH869" s="493">
        <v>12.48299207053272</v>
      </c>
      <c r="AI869" s="493">
        <v>12.330196622545946</v>
      </c>
    </row>
    <row r="870" spans="2:35" outlineLevel="1">
      <c r="B870" t="str">
        <f t="shared" si="67"/>
        <v>Carbon dioxide (PS) - Energy cost - Europe - USD/ton fuel</v>
      </c>
      <c r="C870" t="s">
        <v>1380</v>
      </c>
      <c r="D870" t="s">
        <v>1368</v>
      </c>
      <c r="E870" t="s">
        <v>720</v>
      </c>
      <c r="F870" t="s">
        <v>1353</v>
      </c>
      <c r="G870" s="487" t="str">
        <f t="shared" si="68"/>
        <v>Carbon dioxide (PS)EuropeEnergy cost</v>
      </c>
      <c r="H870" s="493">
        <v>21.75547741099076</v>
      </c>
      <c r="I870" s="493">
        <v>20.817825476932196</v>
      </c>
      <c r="J870" s="493">
        <v>19.880173542873628</v>
      </c>
      <c r="K870" s="493">
        <v>19.122545113976003</v>
      </c>
      <c r="L870" s="493">
        <v>18.364916685078175</v>
      </c>
      <c r="M870" s="493">
        <v>17.607288256180549</v>
      </c>
      <c r="N870" s="493">
        <v>16.849659827282721</v>
      </c>
      <c r="O870" s="493">
        <v>16.0920313983851</v>
      </c>
      <c r="P870" s="493">
        <v>15.777236942932246</v>
      </c>
      <c r="Q870" s="493">
        <v>15.4624424874797</v>
      </c>
      <c r="R870" s="493">
        <v>15.147648032027053</v>
      </c>
      <c r="S870" s="493">
        <v>14.832853576574406</v>
      </c>
      <c r="T870" s="493">
        <v>14.51805912112186</v>
      </c>
      <c r="U870" s="493">
        <v>14.330110831027525</v>
      </c>
      <c r="V870" s="493">
        <v>14.142162540933242</v>
      </c>
      <c r="W870" s="493">
        <v>13.954214250838959</v>
      </c>
      <c r="X870" s="493">
        <v>13.766265960744676</v>
      </c>
      <c r="Y870" s="493">
        <v>13.578317670650291</v>
      </c>
      <c r="Z870" s="493">
        <v>13.377246932322203</v>
      </c>
      <c r="AA870" s="493">
        <v>13.176176193994065</v>
      </c>
      <c r="AB870" s="493">
        <v>12.975105455665977</v>
      </c>
      <c r="AC870" s="493">
        <v>12.774034717337839</v>
      </c>
      <c r="AD870" s="493">
        <v>12.572963979009751</v>
      </c>
      <c r="AE870" s="493">
        <v>12.426258627419339</v>
      </c>
      <c r="AF870" s="493">
        <v>12.279553275828874</v>
      </c>
      <c r="AG870" s="493">
        <v>12.132847924238462</v>
      </c>
      <c r="AH870" s="493">
        <v>11.986142572648049</v>
      </c>
      <c r="AI870" s="493">
        <v>11.839437221057585</v>
      </c>
    </row>
    <row r="871" spans="2:35" outlineLevel="1">
      <c r="B871" t="str">
        <f t="shared" si="67"/>
        <v>Carbon dioxide (PS) - Energy cost - Middle East - USD/ton fuel</v>
      </c>
      <c r="C871" t="s">
        <v>1380</v>
      </c>
      <c r="D871" t="s">
        <v>1368</v>
      </c>
      <c r="E871" t="s">
        <v>826</v>
      </c>
      <c r="F871" t="s">
        <v>1353</v>
      </c>
      <c r="G871" s="487" t="str">
        <f t="shared" si="68"/>
        <v>Carbon dioxide (PS)Middle EastEnergy cost</v>
      </c>
      <c r="H871" s="493">
        <v>16.659142502923782</v>
      </c>
      <c r="I871" s="493">
        <v>15.924016305195346</v>
      </c>
      <c r="J871" s="493">
        <v>15.188890107466705</v>
      </c>
      <c r="K871" s="493">
        <v>14.702169207234352</v>
      </c>
      <c r="L871" s="493">
        <v>14.215448307001997</v>
      </c>
      <c r="M871" s="493">
        <v>13.728727406769645</v>
      </c>
      <c r="N871" s="493">
        <v>13.242006506537292</v>
      </c>
      <c r="O871" s="493">
        <v>12.755285606304938</v>
      </c>
      <c r="P871" s="493">
        <v>12.412091283913481</v>
      </c>
      <c r="Q871" s="493">
        <v>12.068896961522126</v>
      </c>
      <c r="R871" s="493">
        <v>11.725702639130668</v>
      </c>
      <c r="S871" s="493">
        <v>11.382508316739314</v>
      </c>
      <c r="T871" s="493">
        <v>11.039313994347959</v>
      </c>
      <c r="U871" s="493">
        <v>10.867239969797794</v>
      </c>
      <c r="V871" s="493">
        <v>10.695165945247629</v>
      </c>
      <c r="W871" s="493">
        <v>10.523091920697516</v>
      </c>
      <c r="X871" s="493">
        <v>10.351017896147352</v>
      </c>
      <c r="Y871" s="493">
        <v>10.178943871597188</v>
      </c>
      <c r="Z871" s="493">
        <v>9.9532866742515296</v>
      </c>
      <c r="AA871" s="493">
        <v>9.7276294769059231</v>
      </c>
      <c r="AB871" s="493">
        <v>9.5019722795602668</v>
      </c>
      <c r="AC871" s="493">
        <v>9.2763150822146603</v>
      </c>
      <c r="AD871" s="493">
        <v>9.0506578848689774</v>
      </c>
      <c r="AE871" s="493">
        <v>8.9450432375976252</v>
      </c>
      <c r="AF871" s="493">
        <v>8.8394285903262979</v>
      </c>
      <c r="AG871" s="493">
        <v>8.7338139430549457</v>
      </c>
      <c r="AH871" s="493">
        <v>8.6281992957835936</v>
      </c>
      <c r="AI871" s="493">
        <v>8.522584648512268</v>
      </c>
    </row>
    <row r="872" spans="2:35" outlineLevel="1">
      <c r="B872" t="str">
        <f t="shared" ref="B872:B877" si="69">_xlfn.TEXTJOIN(" - ",TRUE,C872:F872)</f>
        <v>e-diesel - Conversion H2 -&gt; diesel - Global - ton H2/ton diesel</v>
      </c>
      <c r="C872" t="s">
        <v>1393</v>
      </c>
      <c r="D872" t="s">
        <v>1394</v>
      </c>
      <c r="E872" t="s">
        <v>708</v>
      </c>
      <c r="F872" t="s">
        <v>1395</v>
      </c>
      <c r="G872" s="487" t="str">
        <f t="shared" si="68"/>
        <v>e-dieselGlobalConversion H2 -&gt; diesel</v>
      </c>
      <c r="H872" s="508">
        <v>0.47</v>
      </c>
      <c r="I872" s="508">
        <v>0.47</v>
      </c>
      <c r="J872" s="508">
        <v>0.47</v>
      </c>
      <c r="K872" s="508">
        <v>0.47</v>
      </c>
      <c r="L872" s="508">
        <v>0.47</v>
      </c>
      <c r="M872" s="508">
        <v>0.47</v>
      </c>
      <c r="N872" s="508">
        <v>0.47</v>
      </c>
      <c r="O872" s="508">
        <v>0.47</v>
      </c>
      <c r="P872" s="508">
        <v>0.47</v>
      </c>
      <c r="Q872" s="508">
        <v>0.47</v>
      </c>
      <c r="R872" s="508">
        <v>0.47</v>
      </c>
      <c r="S872" s="508">
        <v>0.47</v>
      </c>
      <c r="T872" s="508">
        <v>0.47</v>
      </c>
      <c r="U872" s="508">
        <v>0.47</v>
      </c>
      <c r="V872" s="508">
        <v>0.47</v>
      </c>
      <c r="W872" s="508">
        <v>0.47</v>
      </c>
      <c r="X872" s="508">
        <v>0.47</v>
      </c>
      <c r="Y872" s="508">
        <v>0.47</v>
      </c>
      <c r="Z872" s="508">
        <v>0.47</v>
      </c>
      <c r="AA872" s="508">
        <v>0.47</v>
      </c>
      <c r="AB872" s="508">
        <v>0.47</v>
      </c>
      <c r="AC872" s="508">
        <v>0.47</v>
      </c>
      <c r="AD872" s="508">
        <v>0.47</v>
      </c>
      <c r="AE872" s="508">
        <v>0.47</v>
      </c>
      <c r="AF872" s="508">
        <v>0.47</v>
      </c>
      <c r="AG872" s="508">
        <v>0.47</v>
      </c>
      <c r="AH872" s="508">
        <v>0.47</v>
      </c>
      <c r="AI872" s="508">
        <v>0.47</v>
      </c>
    </row>
    <row r="873" spans="2:35" outlineLevel="1">
      <c r="B873" t="str">
        <f t="shared" si="69"/>
        <v>e-diesel - Conversion CO2 -&gt; diesel - Global - ton CO2/ton diesel</v>
      </c>
      <c r="C873" t="s">
        <v>1393</v>
      </c>
      <c r="D873" t="s">
        <v>1396</v>
      </c>
      <c r="E873" t="s">
        <v>708</v>
      </c>
      <c r="F873" t="s">
        <v>1397</v>
      </c>
      <c r="G873" s="487" t="str">
        <f t="shared" si="68"/>
        <v>e-dieselGlobalConversion CO2 -&gt; diesel</v>
      </c>
      <c r="H873" s="508">
        <v>3.21</v>
      </c>
      <c r="I873" s="508">
        <v>3.21</v>
      </c>
      <c r="J873" s="508">
        <v>3.21</v>
      </c>
      <c r="K873" s="508">
        <v>3.21</v>
      </c>
      <c r="L873" s="508">
        <v>3.21</v>
      </c>
      <c r="M873" s="508">
        <v>3.21</v>
      </c>
      <c r="N873" s="508">
        <v>3.21</v>
      </c>
      <c r="O873" s="508">
        <v>3.21</v>
      </c>
      <c r="P873" s="508">
        <v>3.21</v>
      </c>
      <c r="Q873" s="508">
        <v>3.21</v>
      </c>
      <c r="R873" s="508">
        <v>3.21</v>
      </c>
      <c r="S873" s="508">
        <v>3.21</v>
      </c>
      <c r="T873" s="508">
        <v>3.21</v>
      </c>
      <c r="U873" s="508">
        <v>3.21</v>
      </c>
      <c r="V873" s="508">
        <v>3.21</v>
      </c>
      <c r="W873" s="508">
        <v>3.21</v>
      </c>
      <c r="X873" s="508">
        <v>3.21</v>
      </c>
      <c r="Y873" s="508">
        <v>3.21</v>
      </c>
      <c r="Z873" s="508">
        <v>3.21</v>
      </c>
      <c r="AA873" s="508">
        <v>3.21</v>
      </c>
      <c r="AB873" s="508">
        <v>3.21</v>
      </c>
      <c r="AC873" s="508">
        <v>3.21</v>
      </c>
      <c r="AD873" s="508">
        <v>3.21</v>
      </c>
      <c r="AE873" s="508">
        <v>3.21</v>
      </c>
      <c r="AF873" s="508">
        <v>3.21</v>
      </c>
      <c r="AG873" s="508">
        <v>3.21</v>
      </c>
      <c r="AH873" s="508">
        <v>3.21</v>
      </c>
      <c r="AI873" s="508">
        <v>3.21</v>
      </c>
    </row>
    <row r="874" spans="2:35" outlineLevel="1">
      <c r="B874" t="str">
        <f t="shared" si="69"/>
        <v/>
      </c>
      <c r="G874" s="487" t="str">
        <f t="shared" si="68"/>
        <v/>
      </c>
    </row>
    <row r="875" spans="2:35" ht="15" outlineLevel="1">
      <c r="B875" t="str">
        <f t="shared" si="69"/>
        <v>e-diesel (PS) - Feedstock cost including feedstock feedstock cost - Global - USD/ton fuel</v>
      </c>
      <c r="C875" s="491" t="str">
        <f>C808</f>
        <v>e-diesel (PS)</v>
      </c>
      <c r="D875" s="491" t="s">
        <v>1369</v>
      </c>
      <c r="E875" s="491" t="s">
        <v>708</v>
      </c>
      <c r="F875" s="491" t="s">
        <v>1353</v>
      </c>
      <c r="G875" s="487" t="str">
        <f t="shared" si="68"/>
        <v>e-diesel (PS)GlobalFeedstock cost including feedstock feedstock cost</v>
      </c>
      <c r="H875" s="492">
        <v>6.3449999999999998</v>
      </c>
      <c r="I875" s="492">
        <v>6.345000000000022</v>
      </c>
      <c r="J875" s="492">
        <v>6.345000000000022</v>
      </c>
      <c r="K875" s="492">
        <v>6.345000000000022</v>
      </c>
      <c r="L875" s="492">
        <v>6.345000000000045</v>
      </c>
      <c r="M875" s="492">
        <v>6.3449999999999998</v>
      </c>
      <c r="N875" s="492">
        <v>6.345000000000045</v>
      </c>
      <c r="O875" s="492">
        <v>6.3449999999999998</v>
      </c>
      <c r="P875" s="492">
        <v>6.3449999999999545</v>
      </c>
      <c r="Q875" s="492">
        <v>6.345000000000022</v>
      </c>
      <c r="R875" s="492">
        <v>6.3450000000000895</v>
      </c>
      <c r="S875" s="492">
        <v>6.345000000000045</v>
      </c>
      <c r="T875" s="492">
        <v>6.3450000000000895</v>
      </c>
      <c r="U875" s="492">
        <v>6.3450000000001125</v>
      </c>
      <c r="V875" s="492">
        <v>6.3450000000000566</v>
      </c>
      <c r="W875" s="492">
        <v>6.3450000000001685</v>
      </c>
      <c r="X875" s="492">
        <v>6.3450000000001125</v>
      </c>
      <c r="Y875" s="492">
        <v>6.3449999999999545</v>
      </c>
      <c r="Z875" s="492">
        <v>6.3449999999999998</v>
      </c>
      <c r="AA875" s="492">
        <v>6.3449999999999767</v>
      </c>
      <c r="AB875" s="492">
        <v>6.345000000000022</v>
      </c>
      <c r="AC875" s="492">
        <v>6.3449999999999998</v>
      </c>
      <c r="AD875" s="492">
        <v>6.3449999999999998</v>
      </c>
      <c r="AE875" s="492">
        <v>6.3449999999999998</v>
      </c>
      <c r="AF875" s="492">
        <v>6.3449999999999998</v>
      </c>
      <c r="AG875" s="492">
        <v>6.3449999999999998</v>
      </c>
      <c r="AH875" s="492">
        <v>6.3449999999999998</v>
      </c>
      <c r="AI875" s="492">
        <v>6.3449999999999998</v>
      </c>
    </row>
    <row r="876" spans="2:35" outlineLevel="1">
      <c r="B876" t="str">
        <f t="shared" si="69"/>
        <v>e-hydrogen - Feedstock cost - Global - USD/ton fuel</v>
      </c>
      <c r="C876" t="s">
        <v>1370</v>
      </c>
      <c r="D876" t="s">
        <v>1371</v>
      </c>
      <c r="E876" t="s">
        <v>708</v>
      </c>
      <c r="F876" t="s">
        <v>1353</v>
      </c>
      <c r="G876" s="487" t="str">
        <f t="shared" si="68"/>
        <v>e-hydrogenGlobalFeedstock cost</v>
      </c>
      <c r="H876" s="493">
        <v>13.5</v>
      </c>
      <c r="I876" s="493">
        <v>13.500000000000048</v>
      </c>
      <c r="J876" s="493">
        <v>13.500000000000048</v>
      </c>
      <c r="K876" s="493">
        <v>13.500000000000048</v>
      </c>
      <c r="L876" s="493">
        <v>13.500000000000096</v>
      </c>
      <c r="M876" s="493">
        <v>13.5</v>
      </c>
      <c r="N876" s="493">
        <v>13.500000000000096</v>
      </c>
      <c r="O876" s="493">
        <v>13.5</v>
      </c>
      <c r="P876" s="493">
        <v>13.499999999999904</v>
      </c>
      <c r="Q876" s="493">
        <v>13.500000000000048</v>
      </c>
      <c r="R876" s="493">
        <v>13.500000000000192</v>
      </c>
      <c r="S876" s="493">
        <v>13.500000000000096</v>
      </c>
      <c r="T876" s="493">
        <v>13.500000000000192</v>
      </c>
      <c r="U876" s="493">
        <v>13.50000000000024</v>
      </c>
      <c r="V876" s="493">
        <v>13.500000000000121</v>
      </c>
      <c r="W876" s="493">
        <v>13.500000000000359</v>
      </c>
      <c r="X876" s="493">
        <v>13.50000000000024</v>
      </c>
      <c r="Y876" s="493">
        <v>13.499999999999904</v>
      </c>
      <c r="Z876" s="493">
        <v>13.5</v>
      </c>
      <c r="AA876" s="493">
        <v>13.499999999999952</v>
      </c>
      <c r="AB876" s="493">
        <v>13.500000000000048</v>
      </c>
      <c r="AC876" s="493">
        <v>13.5</v>
      </c>
      <c r="AD876" s="493">
        <v>13.5</v>
      </c>
      <c r="AE876" s="493">
        <v>13.5</v>
      </c>
      <c r="AF876" s="493">
        <v>13.5</v>
      </c>
      <c r="AG876" s="493">
        <v>13.5</v>
      </c>
      <c r="AH876" s="493">
        <v>13.5</v>
      </c>
      <c r="AI876" s="493">
        <v>13.5</v>
      </c>
    </row>
    <row r="877" spans="2:35" outlineLevel="1">
      <c r="B877" t="str">
        <f t="shared" si="69"/>
        <v>e-diesel - Conversion H2 -&gt; diesel - Global - ton H2/ton diesel</v>
      </c>
      <c r="C877" t="s">
        <v>1393</v>
      </c>
      <c r="D877" t="s">
        <v>1394</v>
      </c>
      <c r="E877" t="s">
        <v>708</v>
      </c>
      <c r="F877" t="s">
        <v>1395</v>
      </c>
      <c r="G877" s="487" t="str">
        <f t="shared" si="68"/>
        <v>e-dieselGlobalConversion H2 -&gt; diesel</v>
      </c>
      <c r="H877" s="508">
        <v>0.47</v>
      </c>
      <c r="I877" s="508">
        <v>0.47</v>
      </c>
      <c r="J877" s="508">
        <v>0.47</v>
      </c>
      <c r="K877" s="508">
        <v>0.47</v>
      </c>
      <c r="L877" s="508">
        <v>0.47</v>
      </c>
      <c r="M877" s="508">
        <v>0.47</v>
      </c>
      <c r="N877" s="508">
        <v>0.47</v>
      </c>
      <c r="O877" s="508">
        <v>0.47</v>
      </c>
      <c r="P877" s="508">
        <v>0.47</v>
      </c>
      <c r="Q877" s="508">
        <v>0.47</v>
      </c>
      <c r="R877" s="508">
        <v>0.47</v>
      </c>
      <c r="S877" s="508">
        <v>0.47</v>
      </c>
      <c r="T877" s="508">
        <v>0.47</v>
      </c>
      <c r="U877" s="508">
        <v>0.47</v>
      </c>
      <c r="V877" s="508">
        <v>0.47</v>
      </c>
      <c r="W877" s="508">
        <v>0.47</v>
      </c>
      <c r="X877" s="508">
        <v>0.47</v>
      </c>
      <c r="Y877" s="508">
        <v>0.47</v>
      </c>
      <c r="Z877" s="508">
        <v>0.47</v>
      </c>
      <c r="AA877" s="508">
        <v>0.47</v>
      </c>
      <c r="AB877" s="508">
        <v>0.47</v>
      </c>
      <c r="AC877" s="508">
        <v>0.47</v>
      </c>
      <c r="AD877" s="508">
        <v>0.47</v>
      </c>
      <c r="AE877" s="508">
        <v>0.47</v>
      </c>
      <c r="AF877" s="508">
        <v>0.47</v>
      </c>
      <c r="AG877" s="508">
        <v>0.47</v>
      </c>
      <c r="AH877" s="508">
        <v>0.47</v>
      </c>
      <c r="AI877" s="508">
        <v>0.47</v>
      </c>
    </row>
    <row r="878" spans="2:35">
      <c r="G878" s="487" t="str">
        <f t="shared" si="68"/>
        <v/>
      </c>
    </row>
    <row r="879" spans="2:35" ht="15">
      <c r="B879" t="str">
        <f t="shared" ref="B879:B914" si="70">_xlfn.TEXTJOIN(" - ",TRUE,C879:F879)</f>
        <v>Carbon capture - Item - Region - Unit</v>
      </c>
      <c r="C879" s="509" t="s">
        <v>1398</v>
      </c>
      <c r="D879" s="509" t="s">
        <v>877</v>
      </c>
      <c r="E879" s="509" t="s">
        <v>171</v>
      </c>
      <c r="F879" s="509" t="s">
        <v>111</v>
      </c>
      <c r="G879" s="487" t="str">
        <f t="shared" si="68"/>
        <v>Carbon captureRegionItem</v>
      </c>
      <c r="H879" s="510">
        <v>2023</v>
      </c>
      <c r="I879" s="510">
        <v>2024</v>
      </c>
      <c r="J879" s="510">
        <v>2025</v>
      </c>
      <c r="K879" s="510">
        <v>2026</v>
      </c>
      <c r="L879" s="510">
        <v>2027</v>
      </c>
      <c r="M879" s="510">
        <v>2028</v>
      </c>
      <c r="N879" s="510">
        <v>2029</v>
      </c>
      <c r="O879" s="510">
        <v>2030</v>
      </c>
      <c r="P879" s="510">
        <v>2031</v>
      </c>
      <c r="Q879" s="510">
        <v>2032</v>
      </c>
      <c r="R879" s="510">
        <v>2033</v>
      </c>
      <c r="S879" s="510">
        <v>2034</v>
      </c>
      <c r="T879" s="510">
        <v>2035</v>
      </c>
      <c r="U879" s="510">
        <v>2036</v>
      </c>
      <c r="V879" s="510">
        <v>2037</v>
      </c>
      <c r="W879" s="510">
        <v>2038</v>
      </c>
      <c r="X879" s="510">
        <v>2039</v>
      </c>
      <c r="Y879" s="510">
        <v>2040</v>
      </c>
      <c r="Z879" s="510">
        <v>2041</v>
      </c>
      <c r="AA879" s="510">
        <v>2042</v>
      </c>
      <c r="AB879" s="510">
        <v>2043</v>
      </c>
      <c r="AC879" s="510">
        <v>2044</v>
      </c>
      <c r="AD879" s="510">
        <v>2045</v>
      </c>
      <c r="AE879" s="510">
        <v>2046</v>
      </c>
      <c r="AF879" s="510">
        <v>2047</v>
      </c>
      <c r="AG879" s="510">
        <v>2048</v>
      </c>
      <c r="AH879" s="510">
        <v>2049</v>
      </c>
      <c r="AI879" s="510">
        <v>2050</v>
      </c>
    </row>
    <row r="880" spans="2:35" outlineLevel="1">
      <c r="B880" t="str">
        <f t="shared" si="70"/>
        <v>Carbon capture - Total cost - Africa - USD/ton fuel</v>
      </c>
      <c r="C880" s="487" t="str">
        <f>C879</f>
        <v>Carbon capture</v>
      </c>
      <c r="D880" s="487" t="s">
        <v>1362</v>
      </c>
      <c r="E880" s="487" t="s">
        <v>838</v>
      </c>
      <c r="F880" s="487" t="s">
        <v>1353</v>
      </c>
      <c r="G880" s="487" t="str">
        <f t="shared" si="68"/>
        <v>Carbon captureAfricaTotal cost</v>
      </c>
      <c r="H880" s="488">
        <v>25</v>
      </c>
      <c r="I880" s="488">
        <v>25</v>
      </c>
      <c r="J880" s="488">
        <v>25</v>
      </c>
      <c r="K880" s="488">
        <v>25</v>
      </c>
      <c r="L880" s="488">
        <v>25</v>
      </c>
      <c r="M880" s="488">
        <v>25</v>
      </c>
      <c r="N880" s="488">
        <v>25</v>
      </c>
      <c r="O880" s="488">
        <v>25</v>
      </c>
      <c r="P880" s="488">
        <v>25</v>
      </c>
      <c r="Q880" s="488">
        <v>25</v>
      </c>
      <c r="R880" s="488">
        <v>25</v>
      </c>
      <c r="S880" s="488">
        <v>25</v>
      </c>
      <c r="T880" s="488">
        <v>25</v>
      </c>
      <c r="U880" s="488">
        <v>25</v>
      </c>
      <c r="V880" s="488">
        <v>25</v>
      </c>
      <c r="W880" s="488">
        <v>25</v>
      </c>
      <c r="X880" s="488">
        <v>25</v>
      </c>
      <c r="Y880" s="488">
        <v>25</v>
      </c>
      <c r="Z880" s="488">
        <v>25</v>
      </c>
      <c r="AA880" s="488">
        <v>25</v>
      </c>
      <c r="AB880" s="488">
        <v>25</v>
      </c>
      <c r="AC880" s="488">
        <v>25</v>
      </c>
      <c r="AD880" s="488">
        <v>25</v>
      </c>
      <c r="AE880" s="488">
        <v>25</v>
      </c>
      <c r="AF880" s="488">
        <v>25</v>
      </c>
      <c r="AG880" s="488">
        <v>25</v>
      </c>
      <c r="AH880" s="488">
        <v>25</v>
      </c>
      <c r="AI880" s="488">
        <v>25</v>
      </c>
    </row>
    <row r="881" spans="2:35" outlineLevel="1">
      <c r="B881" t="str">
        <f t="shared" si="70"/>
        <v>Carbon capture - Total cost - Americas - USD/ton fuel</v>
      </c>
      <c r="C881" t="str">
        <f>C880</f>
        <v>Carbon capture</v>
      </c>
      <c r="D881" t="s">
        <v>1362</v>
      </c>
      <c r="E881" t="s">
        <v>731</v>
      </c>
      <c r="F881" t="s">
        <v>1353</v>
      </c>
      <c r="G881" s="487" t="str">
        <f t="shared" si="68"/>
        <v>Carbon captureAmericasTotal cost</v>
      </c>
      <c r="H881" s="489">
        <v>25</v>
      </c>
      <c r="I881" s="489">
        <v>25</v>
      </c>
      <c r="J881" s="489">
        <v>25</v>
      </c>
      <c r="K881" s="489">
        <v>25</v>
      </c>
      <c r="L881" s="489">
        <v>25</v>
      </c>
      <c r="M881" s="489">
        <v>25</v>
      </c>
      <c r="N881" s="489">
        <v>25</v>
      </c>
      <c r="O881" s="489">
        <v>25</v>
      </c>
      <c r="P881" s="489">
        <v>25</v>
      </c>
      <c r="Q881" s="489">
        <v>25</v>
      </c>
      <c r="R881" s="489">
        <v>25</v>
      </c>
      <c r="S881" s="489">
        <v>25</v>
      </c>
      <c r="T881" s="489">
        <v>25</v>
      </c>
      <c r="U881" s="489">
        <v>25</v>
      </c>
      <c r="V881" s="489">
        <v>25</v>
      </c>
      <c r="W881" s="489">
        <v>25</v>
      </c>
      <c r="X881" s="489">
        <v>25</v>
      </c>
      <c r="Y881" s="489">
        <v>25</v>
      </c>
      <c r="Z881" s="489">
        <v>25</v>
      </c>
      <c r="AA881" s="489">
        <v>25</v>
      </c>
      <c r="AB881" s="489">
        <v>25</v>
      </c>
      <c r="AC881" s="489">
        <v>25</v>
      </c>
      <c r="AD881" s="489">
        <v>25</v>
      </c>
      <c r="AE881" s="489">
        <v>25</v>
      </c>
      <c r="AF881" s="489">
        <v>25</v>
      </c>
      <c r="AG881" s="489">
        <v>25</v>
      </c>
      <c r="AH881" s="489">
        <v>25</v>
      </c>
      <c r="AI881" s="489">
        <v>25</v>
      </c>
    </row>
    <row r="882" spans="2:35" outlineLevel="1">
      <c r="B882" t="str">
        <f t="shared" si="70"/>
        <v>Carbon capture - Total cost - Asia - USD/ton fuel</v>
      </c>
      <c r="C882" t="str">
        <f>C881</f>
        <v>Carbon capture</v>
      </c>
      <c r="D882" t="s">
        <v>1362</v>
      </c>
      <c r="E882" t="s">
        <v>750</v>
      </c>
      <c r="F882" t="s">
        <v>1353</v>
      </c>
      <c r="G882" s="487" t="str">
        <f t="shared" si="68"/>
        <v>Carbon captureAsiaTotal cost</v>
      </c>
      <c r="H882" s="489">
        <v>25</v>
      </c>
      <c r="I882" s="489">
        <v>25</v>
      </c>
      <c r="J882" s="489">
        <v>25</v>
      </c>
      <c r="K882" s="489">
        <v>25</v>
      </c>
      <c r="L882" s="489">
        <v>25</v>
      </c>
      <c r="M882" s="489">
        <v>25</v>
      </c>
      <c r="N882" s="489">
        <v>25</v>
      </c>
      <c r="O882" s="489">
        <v>25</v>
      </c>
      <c r="P882" s="489">
        <v>25</v>
      </c>
      <c r="Q882" s="489">
        <v>25</v>
      </c>
      <c r="R882" s="489">
        <v>25</v>
      </c>
      <c r="S882" s="489">
        <v>25</v>
      </c>
      <c r="T882" s="489">
        <v>25</v>
      </c>
      <c r="U882" s="489">
        <v>25</v>
      </c>
      <c r="V882" s="489">
        <v>25</v>
      </c>
      <c r="W882" s="489">
        <v>25</v>
      </c>
      <c r="X882" s="489">
        <v>25</v>
      </c>
      <c r="Y882" s="489">
        <v>25</v>
      </c>
      <c r="Z882" s="489">
        <v>25</v>
      </c>
      <c r="AA882" s="489">
        <v>25</v>
      </c>
      <c r="AB882" s="489">
        <v>25</v>
      </c>
      <c r="AC882" s="489">
        <v>25</v>
      </c>
      <c r="AD882" s="489">
        <v>25</v>
      </c>
      <c r="AE882" s="489">
        <v>25</v>
      </c>
      <c r="AF882" s="489">
        <v>25</v>
      </c>
      <c r="AG882" s="489">
        <v>25</v>
      </c>
      <c r="AH882" s="489">
        <v>25</v>
      </c>
      <c r="AI882" s="489">
        <v>25</v>
      </c>
    </row>
    <row r="883" spans="2:35" outlineLevel="1">
      <c r="B883" t="str">
        <f t="shared" si="70"/>
        <v>Carbon capture - Total cost - Europe - USD/ton fuel</v>
      </c>
      <c r="C883" t="str">
        <f>C882</f>
        <v>Carbon capture</v>
      </c>
      <c r="D883" t="s">
        <v>1362</v>
      </c>
      <c r="E883" t="s">
        <v>720</v>
      </c>
      <c r="F883" t="s">
        <v>1353</v>
      </c>
      <c r="G883" s="487" t="str">
        <f t="shared" si="68"/>
        <v>Carbon captureEuropeTotal cost</v>
      </c>
      <c r="H883" s="489">
        <v>25</v>
      </c>
      <c r="I883" s="489">
        <v>25</v>
      </c>
      <c r="J883" s="489">
        <v>25</v>
      </c>
      <c r="K883" s="489">
        <v>25</v>
      </c>
      <c r="L883" s="489">
        <v>25</v>
      </c>
      <c r="M883" s="489">
        <v>25</v>
      </c>
      <c r="N883" s="489">
        <v>25</v>
      </c>
      <c r="O883" s="489">
        <v>25</v>
      </c>
      <c r="P883" s="489">
        <v>25</v>
      </c>
      <c r="Q883" s="489">
        <v>25</v>
      </c>
      <c r="R883" s="489">
        <v>25</v>
      </c>
      <c r="S883" s="489">
        <v>25</v>
      </c>
      <c r="T883" s="489">
        <v>25</v>
      </c>
      <c r="U883" s="489">
        <v>25</v>
      </c>
      <c r="V883" s="489">
        <v>25</v>
      </c>
      <c r="W883" s="489">
        <v>25</v>
      </c>
      <c r="X883" s="489">
        <v>25</v>
      </c>
      <c r="Y883" s="489">
        <v>25</v>
      </c>
      <c r="Z883" s="489">
        <v>25</v>
      </c>
      <c r="AA883" s="489">
        <v>25</v>
      </c>
      <c r="AB883" s="489">
        <v>25</v>
      </c>
      <c r="AC883" s="489">
        <v>25</v>
      </c>
      <c r="AD883" s="489">
        <v>25</v>
      </c>
      <c r="AE883" s="489">
        <v>25</v>
      </c>
      <c r="AF883" s="489">
        <v>25</v>
      </c>
      <c r="AG883" s="489">
        <v>25</v>
      </c>
      <c r="AH883" s="489">
        <v>25</v>
      </c>
      <c r="AI883" s="489">
        <v>25</v>
      </c>
    </row>
    <row r="884" spans="2:35" outlineLevel="1">
      <c r="B884" t="str">
        <f t="shared" si="70"/>
        <v>Carbon capture - Total cost - Middle East - USD/ton fuel</v>
      </c>
      <c r="C884" s="25" t="str">
        <f>C883</f>
        <v>Carbon capture</v>
      </c>
      <c r="D884" s="25" t="s">
        <v>1362</v>
      </c>
      <c r="E884" s="25" t="s">
        <v>826</v>
      </c>
      <c r="F884" s="25" t="s">
        <v>1353</v>
      </c>
      <c r="G884" s="487" t="str">
        <f t="shared" si="68"/>
        <v>Carbon captureMiddle EastTotal cost</v>
      </c>
      <c r="H884" s="490">
        <v>25</v>
      </c>
      <c r="I884" s="490">
        <v>25</v>
      </c>
      <c r="J884" s="490">
        <v>25</v>
      </c>
      <c r="K884" s="490">
        <v>25</v>
      </c>
      <c r="L884" s="490">
        <v>25</v>
      </c>
      <c r="M884" s="490">
        <v>25</v>
      </c>
      <c r="N884" s="490">
        <v>25</v>
      </c>
      <c r="O884" s="490">
        <v>25</v>
      </c>
      <c r="P884" s="490">
        <v>25</v>
      </c>
      <c r="Q884" s="490">
        <v>25</v>
      </c>
      <c r="R884" s="490">
        <v>25</v>
      </c>
      <c r="S884" s="490">
        <v>25</v>
      </c>
      <c r="T884" s="490">
        <v>25</v>
      </c>
      <c r="U884" s="490">
        <v>25</v>
      </c>
      <c r="V884" s="490">
        <v>25</v>
      </c>
      <c r="W884" s="490">
        <v>25</v>
      </c>
      <c r="X884" s="490">
        <v>25</v>
      </c>
      <c r="Y884" s="490">
        <v>25</v>
      </c>
      <c r="Z884" s="490">
        <v>25</v>
      </c>
      <c r="AA884" s="490">
        <v>25</v>
      </c>
      <c r="AB884" s="490">
        <v>25</v>
      </c>
      <c r="AC884" s="490">
        <v>25</v>
      </c>
      <c r="AD884" s="490">
        <v>25</v>
      </c>
      <c r="AE884" s="490">
        <v>25</v>
      </c>
      <c r="AF884" s="490">
        <v>25</v>
      </c>
      <c r="AG884" s="490">
        <v>25</v>
      </c>
      <c r="AH884" s="490">
        <v>25</v>
      </c>
      <c r="AI884" s="490">
        <v>25</v>
      </c>
    </row>
    <row r="885" spans="2:35" ht="15" outlineLevel="1">
      <c r="B885" t="str">
        <f t="shared" si="70"/>
        <v/>
      </c>
      <c r="C885" s="22"/>
      <c r="G885" s="487" t="str">
        <f t="shared" si="68"/>
        <v/>
      </c>
    </row>
    <row r="886" spans="2:35" ht="15" outlineLevel="1">
      <c r="B886" t="str">
        <f t="shared" si="70"/>
        <v>Carbon capture - CAPEX including feedstock CAPEX - Global - USD/ton fuel</v>
      </c>
      <c r="C886" s="491" t="str">
        <f>C879</f>
        <v>Carbon capture</v>
      </c>
      <c r="D886" s="491" t="s">
        <v>1363</v>
      </c>
      <c r="E886" s="491" t="s">
        <v>708</v>
      </c>
      <c r="F886" s="491" t="s">
        <v>1353</v>
      </c>
      <c r="G886" s="487" t="str">
        <f t="shared" si="68"/>
        <v>Carbon captureGlobalCAPEX including feedstock CAPEX</v>
      </c>
      <c r="H886" s="492">
        <v>0</v>
      </c>
      <c r="I886" s="492">
        <v>0</v>
      </c>
      <c r="J886" s="492">
        <v>0</v>
      </c>
      <c r="K886" s="492">
        <v>0</v>
      </c>
      <c r="L886" s="492">
        <v>0</v>
      </c>
      <c r="M886" s="492">
        <v>0</v>
      </c>
      <c r="N886" s="492">
        <v>0</v>
      </c>
      <c r="O886" s="492">
        <v>0</v>
      </c>
      <c r="P886" s="492">
        <v>0</v>
      </c>
      <c r="Q886" s="492">
        <v>0</v>
      </c>
      <c r="R886" s="492">
        <v>0</v>
      </c>
      <c r="S886" s="492">
        <v>0</v>
      </c>
      <c r="T886" s="492">
        <v>0</v>
      </c>
      <c r="U886" s="492">
        <v>0</v>
      </c>
      <c r="V886" s="492">
        <v>0</v>
      </c>
      <c r="W886" s="492">
        <v>0</v>
      </c>
      <c r="X886" s="492">
        <v>0</v>
      </c>
      <c r="Y886" s="492">
        <v>0</v>
      </c>
      <c r="Z886" s="492">
        <v>0</v>
      </c>
      <c r="AA886" s="492">
        <v>0</v>
      </c>
      <c r="AB886" s="492">
        <v>0</v>
      </c>
      <c r="AC886" s="492">
        <v>0</v>
      </c>
      <c r="AD886" s="492">
        <v>0</v>
      </c>
      <c r="AE886" s="492">
        <v>0</v>
      </c>
      <c r="AF886" s="492">
        <v>0</v>
      </c>
      <c r="AG886" s="492">
        <v>0</v>
      </c>
      <c r="AH886" s="492">
        <v>0</v>
      </c>
      <c r="AI886" s="492">
        <v>0</v>
      </c>
    </row>
    <row r="887" spans="2:35" outlineLevel="1">
      <c r="B887" t="str">
        <f t="shared" si="70"/>
        <v>Carbon capture - CAPEX - Global - USD/ton fuel</v>
      </c>
      <c r="C887" t="str">
        <f>C879</f>
        <v>Carbon capture</v>
      </c>
      <c r="D887" t="s">
        <v>446</v>
      </c>
      <c r="E887" t="s">
        <v>708</v>
      </c>
      <c r="F887" t="s">
        <v>1353</v>
      </c>
      <c r="G887" s="487" t="str">
        <f t="shared" si="68"/>
        <v>Carbon captureGlobalCAPEX</v>
      </c>
      <c r="H887" s="493">
        <v>0</v>
      </c>
      <c r="I887" s="493">
        <v>0</v>
      </c>
      <c r="J887" s="493">
        <v>0</v>
      </c>
      <c r="K887" s="493">
        <v>0</v>
      </c>
      <c r="L887" s="493">
        <v>0</v>
      </c>
      <c r="M887" s="493">
        <v>0</v>
      </c>
      <c r="N887" s="493">
        <v>0</v>
      </c>
      <c r="O887" s="493">
        <v>0</v>
      </c>
      <c r="P887" s="493">
        <v>0</v>
      </c>
      <c r="Q887" s="493">
        <v>0</v>
      </c>
      <c r="R887" s="493">
        <v>0</v>
      </c>
      <c r="S887" s="493">
        <v>0</v>
      </c>
      <c r="T887" s="493">
        <v>0</v>
      </c>
      <c r="U887" s="493">
        <v>0</v>
      </c>
      <c r="V887" s="493">
        <v>0</v>
      </c>
      <c r="W887" s="493">
        <v>0</v>
      </c>
      <c r="X887" s="493">
        <v>0</v>
      </c>
      <c r="Y887" s="493">
        <v>0</v>
      </c>
      <c r="Z887" s="493">
        <v>0</v>
      </c>
      <c r="AA887" s="493">
        <v>0</v>
      </c>
      <c r="AB887" s="493">
        <v>0</v>
      </c>
      <c r="AC887" s="493">
        <v>0</v>
      </c>
      <c r="AD887" s="493">
        <v>0</v>
      </c>
      <c r="AE887" s="493">
        <v>0</v>
      </c>
      <c r="AF887" s="493">
        <v>0</v>
      </c>
      <c r="AG887" s="493">
        <v>0</v>
      </c>
      <c r="AH887" s="493">
        <v>0</v>
      </c>
      <c r="AI887" s="493">
        <v>0</v>
      </c>
    </row>
    <row r="888" spans="2:35" outlineLevel="1">
      <c r="B888" t="str">
        <f t="shared" si="70"/>
        <v/>
      </c>
      <c r="G888" s="487" t="str">
        <f t="shared" si="68"/>
        <v/>
      </c>
      <c r="H888" s="493"/>
      <c r="I888" s="493"/>
      <c r="J888" s="493"/>
      <c r="K888" s="493"/>
      <c r="L888" s="493"/>
      <c r="M888" s="493"/>
      <c r="N888" s="493"/>
      <c r="O888" s="493"/>
      <c r="P888" s="493"/>
      <c r="Q888" s="493"/>
      <c r="R888" s="493"/>
      <c r="S888" s="493"/>
      <c r="T888" s="493"/>
      <c r="U888" s="493"/>
      <c r="V888" s="493"/>
      <c r="W888" s="493"/>
      <c r="X888" s="493"/>
      <c r="Y888" s="493"/>
      <c r="Z888" s="493"/>
      <c r="AA888" s="493"/>
      <c r="AB888" s="493"/>
      <c r="AC888" s="493"/>
      <c r="AD888" s="493"/>
      <c r="AE888" s="493"/>
      <c r="AF888" s="493"/>
      <c r="AG888" s="493"/>
      <c r="AH888" s="493"/>
      <c r="AI888" s="493"/>
    </row>
    <row r="889" spans="2:35" ht="15" outlineLevel="1">
      <c r="B889" t="str">
        <f t="shared" si="70"/>
        <v>Carbon capture - OPEX including feedstock OPEX - Global - USD/ton fuel</v>
      </c>
      <c r="C889" s="491" t="str">
        <f>C880</f>
        <v>Carbon capture</v>
      </c>
      <c r="D889" s="491" t="s">
        <v>1364</v>
      </c>
      <c r="E889" s="491" t="s">
        <v>708</v>
      </c>
      <c r="F889" s="491" t="s">
        <v>1353</v>
      </c>
      <c r="G889" s="487" t="str">
        <f t="shared" si="68"/>
        <v>Carbon captureGlobalOPEX including feedstock OPEX</v>
      </c>
      <c r="H889" s="492">
        <v>25</v>
      </c>
      <c r="I889" s="492">
        <v>25</v>
      </c>
      <c r="J889" s="492">
        <v>25</v>
      </c>
      <c r="K889" s="492">
        <v>25</v>
      </c>
      <c r="L889" s="492">
        <v>25</v>
      </c>
      <c r="M889" s="492">
        <v>25</v>
      </c>
      <c r="N889" s="492">
        <v>25</v>
      </c>
      <c r="O889" s="492">
        <v>25</v>
      </c>
      <c r="P889" s="492">
        <v>25</v>
      </c>
      <c r="Q889" s="492">
        <v>25</v>
      </c>
      <c r="R889" s="492">
        <v>25</v>
      </c>
      <c r="S889" s="492">
        <v>25</v>
      </c>
      <c r="T889" s="492">
        <v>25</v>
      </c>
      <c r="U889" s="492">
        <v>25</v>
      </c>
      <c r="V889" s="492">
        <v>25</v>
      </c>
      <c r="W889" s="492">
        <v>25</v>
      </c>
      <c r="X889" s="492">
        <v>25</v>
      </c>
      <c r="Y889" s="492">
        <v>25</v>
      </c>
      <c r="Z889" s="492">
        <v>25</v>
      </c>
      <c r="AA889" s="492">
        <v>25</v>
      </c>
      <c r="AB889" s="492">
        <v>25</v>
      </c>
      <c r="AC889" s="492">
        <v>25</v>
      </c>
      <c r="AD889" s="492">
        <v>25</v>
      </c>
      <c r="AE889" s="492">
        <v>25</v>
      </c>
      <c r="AF889" s="492">
        <v>25</v>
      </c>
      <c r="AG889" s="492">
        <v>25</v>
      </c>
      <c r="AH889" s="492">
        <v>25</v>
      </c>
      <c r="AI889" s="492">
        <v>25</v>
      </c>
    </row>
    <row r="890" spans="2:35" outlineLevel="1">
      <c r="B890" t="str">
        <f t="shared" si="70"/>
        <v>Carbon capture - OPEX - Global - USD/ton fuel</v>
      </c>
      <c r="C890" t="str">
        <f>C879</f>
        <v>Carbon capture</v>
      </c>
      <c r="D890" t="s">
        <v>450</v>
      </c>
      <c r="E890" t="s">
        <v>708</v>
      </c>
      <c r="F890" t="s">
        <v>1353</v>
      </c>
      <c r="G890" s="487" t="str">
        <f t="shared" si="68"/>
        <v>Carbon captureGlobalOPEX</v>
      </c>
      <c r="H890" s="493">
        <v>25</v>
      </c>
      <c r="I890" s="493">
        <v>25</v>
      </c>
      <c r="J890" s="493">
        <v>25</v>
      </c>
      <c r="K890" s="493">
        <v>25</v>
      </c>
      <c r="L890" s="493">
        <v>25</v>
      </c>
      <c r="M890" s="493">
        <v>25</v>
      </c>
      <c r="N890" s="493">
        <v>25</v>
      </c>
      <c r="O890" s="493">
        <v>25</v>
      </c>
      <c r="P890" s="493">
        <v>25</v>
      </c>
      <c r="Q890" s="493">
        <v>25</v>
      </c>
      <c r="R890" s="493">
        <v>25</v>
      </c>
      <c r="S890" s="493">
        <v>25</v>
      </c>
      <c r="T890" s="493">
        <v>25</v>
      </c>
      <c r="U890" s="493">
        <v>25</v>
      </c>
      <c r="V890" s="493">
        <v>25</v>
      </c>
      <c r="W890" s="493">
        <v>25</v>
      </c>
      <c r="X890" s="493">
        <v>25</v>
      </c>
      <c r="Y890" s="493">
        <v>25</v>
      </c>
      <c r="Z890" s="493">
        <v>25</v>
      </c>
      <c r="AA890" s="493">
        <v>25</v>
      </c>
      <c r="AB890" s="493">
        <v>25</v>
      </c>
      <c r="AC890" s="493">
        <v>25</v>
      </c>
      <c r="AD890" s="493">
        <v>25</v>
      </c>
      <c r="AE890" s="493">
        <v>25</v>
      </c>
      <c r="AF890" s="493">
        <v>25</v>
      </c>
      <c r="AG890" s="493">
        <v>25</v>
      </c>
      <c r="AH890" s="493">
        <v>25</v>
      </c>
      <c r="AI890" s="493">
        <v>25</v>
      </c>
    </row>
    <row r="891" spans="2:35" outlineLevel="1">
      <c r="B891" t="str">
        <f t="shared" si="70"/>
        <v/>
      </c>
      <c r="G891" s="487" t="str">
        <f t="shared" si="68"/>
        <v/>
      </c>
      <c r="H891" s="493"/>
      <c r="I891" s="493"/>
      <c r="J891" s="493"/>
      <c r="K891" s="493"/>
      <c r="L891" s="493"/>
      <c r="M891" s="493"/>
      <c r="N891" s="493"/>
      <c r="O891" s="493"/>
      <c r="P891" s="493"/>
      <c r="Q891" s="493"/>
      <c r="R891" s="493"/>
      <c r="S891" s="493"/>
      <c r="T891" s="493"/>
      <c r="U891" s="493"/>
      <c r="V891" s="493"/>
      <c r="W891" s="493"/>
      <c r="X891" s="493"/>
      <c r="Y891" s="493"/>
      <c r="Z891" s="493"/>
      <c r="AA891" s="493"/>
      <c r="AB891" s="493"/>
      <c r="AC891" s="493"/>
      <c r="AD891" s="493"/>
      <c r="AE891" s="493"/>
      <c r="AF891" s="493"/>
      <c r="AG891" s="493"/>
      <c r="AH891" s="493"/>
      <c r="AI891" s="493"/>
    </row>
    <row r="892" spans="2:35" ht="15" outlineLevel="1">
      <c r="B892" t="str">
        <f t="shared" si="70"/>
        <v>Carbon capture - Finance cost including feedstock finance cost - Africa - USD/ton fuel</v>
      </c>
      <c r="C892" s="494" t="str">
        <f>C883</f>
        <v>Carbon capture</v>
      </c>
      <c r="D892" s="494" t="s">
        <v>1365</v>
      </c>
      <c r="E892" s="494" t="s">
        <v>838</v>
      </c>
      <c r="F892" s="494" t="s">
        <v>1353</v>
      </c>
      <c r="G892" s="487" t="str">
        <f t="shared" si="68"/>
        <v>Carbon captureAfricaFinance cost including feedstock finance cost</v>
      </c>
      <c r="H892" s="495">
        <v>0</v>
      </c>
      <c r="I892" s="495">
        <v>0</v>
      </c>
      <c r="J892" s="495">
        <v>0</v>
      </c>
      <c r="K892" s="495">
        <v>0</v>
      </c>
      <c r="L892" s="495">
        <v>0</v>
      </c>
      <c r="M892" s="495">
        <v>0</v>
      </c>
      <c r="N892" s="495">
        <v>0</v>
      </c>
      <c r="O892" s="495">
        <v>0</v>
      </c>
      <c r="P892" s="495">
        <v>0</v>
      </c>
      <c r="Q892" s="495">
        <v>0</v>
      </c>
      <c r="R892" s="495">
        <v>0</v>
      </c>
      <c r="S892" s="495">
        <v>0</v>
      </c>
      <c r="T892" s="495">
        <v>0</v>
      </c>
      <c r="U892" s="495">
        <v>0</v>
      </c>
      <c r="V892" s="495">
        <v>0</v>
      </c>
      <c r="W892" s="495">
        <v>0</v>
      </c>
      <c r="X892" s="495">
        <v>0</v>
      </c>
      <c r="Y892" s="495">
        <v>0</v>
      </c>
      <c r="Z892" s="495">
        <v>0</v>
      </c>
      <c r="AA892" s="495">
        <v>0</v>
      </c>
      <c r="AB892" s="495">
        <v>0</v>
      </c>
      <c r="AC892" s="495">
        <v>0</v>
      </c>
      <c r="AD892" s="495">
        <v>0</v>
      </c>
      <c r="AE892" s="495">
        <v>0</v>
      </c>
      <c r="AF892" s="495">
        <v>0</v>
      </c>
      <c r="AG892" s="495">
        <v>0</v>
      </c>
      <c r="AH892" s="495">
        <v>0</v>
      </c>
      <c r="AI892" s="495">
        <v>0</v>
      </c>
    </row>
    <row r="893" spans="2:35" ht="15" outlineLevel="1">
      <c r="B893" t="str">
        <f t="shared" si="70"/>
        <v>Carbon capture - Finance cost including feedstock finance cost - Americas - USD/ton fuel</v>
      </c>
      <c r="C893" s="22" t="str">
        <f>C883</f>
        <v>Carbon capture</v>
      </c>
      <c r="D893" s="22" t="s">
        <v>1365</v>
      </c>
      <c r="E893" s="22" t="s">
        <v>731</v>
      </c>
      <c r="F893" s="22" t="s">
        <v>1353</v>
      </c>
      <c r="G893" s="487" t="str">
        <f t="shared" si="68"/>
        <v>Carbon captureAmericasFinance cost including feedstock finance cost</v>
      </c>
      <c r="H893" s="496">
        <v>0</v>
      </c>
      <c r="I893" s="496">
        <v>0</v>
      </c>
      <c r="J893" s="496">
        <v>0</v>
      </c>
      <c r="K893" s="496">
        <v>0</v>
      </c>
      <c r="L893" s="496">
        <v>0</v>
      </c>
      <c r="M893" s="496">
        <v>0</v>
      </c>
      <c r="N893" s="496">
        <v>0</v>
      </c>
      <c r="O893" s="496">
        <v>0</v>
      </c>
      <c r="P893" s="496">
        <v>0</v>
      </c>
      <c r="Q893" s="496">
        <v>0</v>
      </c>
      <c r="R893" s="496">
        <v>0</v>
      </c>
      <c r="S893" s="496">
        <v>0</v>
      </c>
      <c r="T893" s="496">
        <v>0</v>
      </c>
      <c r="U893" s="496">
        <v>0</v>
      </c>
      <c r="V893" s="496">
        <v>0</v>
      </c>
      <c r="W893" s="496">
        <v>0</v>
      </c>
      <c r="X893" s="496">
        <v>0</v>
      </c>
      <c r="Y893" s="496">
        <v>0</v>
      </c>
      <c r="Z893" s="496">
        <v>0</v>
      </c>
      <c r="AA893" s="496">
        <v>0</v>
      </c>
      <c r="AB893" s="496">
        <v>0</v>
      </c>
      <c r="AC893" s="496">
        <v>0</v>
      </c>
      <c r="AD893" s="496">
        <v>0</v>
      </c>
      <c r="AE893" s="496">
        <v>0</v>
      </c>
      <c r="AF893" s="496">
        <v>0</v>
      </c>
      <c r="AG893" s="496">
        <v>0</v>
      </c>
      <c r="AH893" s="496">
        <v>0</v>
      </c>
      <c r="AI893" s="496">
        <v>0</v>
      </c>
    </row>
    <row r="894" spans="2:35" ht="15" outlineLevel="1">
      <c r="B894" t="str">
        <f t="shared" si="70"/>
        <v>Carbon capture - Finance cost including feedstock finance cost - Asia - USD/ton fuel</v>
      </c>
      <c r="C894" s="22" t="str">
        <f>C883</f>
        <v>Carbon capture</v>
      </c>
      <c r="D894" s="22" t="s">
        <v>1365</v>
      </c>
      <c r="E894" s="22" t="s">
        <v>750</v>
      </c>
      <c r="F894" s="22" t="s">
        <v>1353</v>
      </c>
      <c r="G894" s="487" t="str">
        <f t="shared" si="68"/>
        <v>Carbon captureAsiaFinance cost including feedstock finance cost</v>
      </c>
      <c r="H894" s="496">
        <v>0</v>
      </c>
      <c r="I894" s="496">
        <v>0</v>
      </c>
      <c r="J894" s="496">
        <v>0</v>
      </c>
      <c r="K894" s="496">
        <v>0</v>
      </c>
      <c r="L894" s="496">
        <v>0</v>
      </c>
      <c r="M894" s="496">
        <v>0</v>
      </c>
      <c r="N894" s="496">
        <v>0</v>
      </c>
      <c r="O894" s="496">
        <v>0</v>
      </c>
      <c r="P894" s="496">
        <v>0</v>
      </c>
      <c r="Q894" s="496">
        <v>0</v>
      </c>
      <c r="R894" s="496">
        <v>0</v>
      </c>
      <c r="S894" s="496">
        <v>0</v>
      </c>
      <c r="T894" s="496">
        <v>0</v>
      </c>
      <c r="U894" s="496">
        <v>0</v>
      </c>
      <c r="V894" s="496">
        <v>0</v>
      </c>
      <c r="W894" s="496">
        <v>0</v>
      </c>
      <c r="X894" s="496">
        <v>0</v>
      </c>
      <c r="Y894" s="496">
        <v>0</v>
      </c>
      <c r="Z894" s="496">
        <v>0</v>
      </c>
      <c r="AA894" s="496">
        <v>0</v>
      </c>
      <c r="AB894" s="496">
        <v>0</v>
      </c>
      <c r="AC894" s="496">
        <v>0</v>
      </c>
      <c r="AD894" s="496">
        <v>0</v>
      </c>
      <c r="AE894" s="496">
        <v>0</v>
      </c>
      <c r="AF894" s="496">
        <v>0</v>
      </c>
      <c r="AG894" s="496">
        <v>0</v>
      </c>
      <c r="AH894" s="496">
        <v>0</v>
      </c>
      <c r="AI894" s="496">
        <v>0</v>
      </c>
    </row>
    <row r="895" spans="2:35" ht="15" outlineLevel="1">
      <c r="B895" t="str">
        <f t="shared" si="70"/>
        <v>Carbon capture - Finance cost including feedstock finance cost - Europe - USD/ton fuel</v>
      </c>
      <c r="C895" s="22" t="str">
        <f>C883</f>
        <v>Carbon capture</v>
      </c>
      <c r="D895" s="22" t="s">
        <v>1365</v>
      </c>
      <c r="E895" s="22" t="s">
        <v>720</v>
      </c>
      <c r="F895" s="22" t="s">
        <v>1353</v>
      </c>
      <c r="G895" s="487" t="str">
        <f t="shared" si="68"/>
        <v>Carbon captureEuropeFinance cost including feedstock finance cost</v>
      </c>
      <c r="H895" s="496">
        <v>0</v>
      </c>
      <c r="I895" s="496">
        <v>0</v>
      </c>
      <c r="J895" s="496">
        <v>0</v>
      </c>
      <c r="K895" s="496">
        <v>0</v>
      </c>
      <c r="L895" s="496">
        <v>0</v>
      </c>
      <c r="M895" s="496">
        <v>0</v>
      </c>
      <c r="N895" s="496">
        <v>0</v>
      </c>
      <c r="O895" s="496">
        <v>0</v>
      </c>
      <c r="P895" s="496">
        <v>0</v>
      </c>
      <c r="Q895" s="496">
        <v>0</v>
      </c>
      <c r="R895" s="496">
        <v>0</v>
      </c>
      <c r="S895" s="496">
        <v>0</v>
      </c>
      <c r="T895" s="496">
        <v>0</v>
      </c>
      <c r="U895" s="496">
        <v>0</v>
      </c>
      <c r="V895" s="496">
        <v>0</v>
      </c>
      <c r="W895" s="496">
        <v>0</v>
      </c>
      <c r="X895" s="496">
        <v>0</v>
      </c>
      <c r="Y895" s="496">
        <v>0</v>
      </c>
      <c r="Z895" s="496">
        <v>0</v>
      </c>
      <c r="AA895" s="496">
        <v>0</v>
      </c>
      <c r="AB895" s="496">
        <v>0</v>
      </c>
      <c r="AC895" s="496">
        <v>0</v>
      </c>
      <c r="AD895" s="496">
        <v>0</v>
      </c>
      <c r="AE895" s="496">
        <v>0</v>
      </c>
      <c r="AF895" s="496">
        <v>0</v>
      </c>
      <c r="AG895" s="496">
        <v>0</v>
      </c>
      <c r="AH895" s="496">
        <v>0</v>
      </c>
      <c r="AI895" s="496">
        <v>0</v>
      </c>
    </row>
    <row r="896" spans="2:35" ht="15" outlineLevel="1">
      <c r="B896" t="str">
        <f t="shared" si="70"/>
        <v>Carbon capture - Finance cost including feedstock finance cost - Middle East - USD/ton fuel</v>
      </c>
      <c r="C896" s="92" t="str">
        <f>C883</f>
        <v>Carbon capture</v>
      </c>
      <c r="D896" s="92" t="s">
        <v>1365</v>
      </c>
      <c r="E896" s="92" t="s">
        <v>826</v>
      </c>
      <c r="F896" s="92" t="s">
        <v>1353</v>
      </c>
      <c r="G896" s="487" t="str">
        <f t="shared" si="68"/>
        <v>Carbon captureMiddle EastFinance cost including feedstock finance cost</v>
      </c>
      <c r="H896" s="497">
        <v>0</v>
      </c>
      <c r="I896" s="497">
        <v>0</v>
      </c>
      <c r="J896" s="497">
        <v>0</v>
      </c>
      <c r="K896" s="497">
        <v>0</v>
      </c>
      <c r="L896" s="497">
        <v>0</v>
      </c>
      <c r="M896" s="497">
        <v>0</v>
      </c>
      <c r="N896" s="497">
        <v>0</v>
      </c>
      <c r="O896" s="497">
        <v>0</v>
      </c>
      <c r="P896" s="497">
        <v>0</v>
      </c>
      <c r="Q896" s="497">
        <v>0</v>
      </c>
      <c r="R896" s="497">
        <v>0</v>
      </c>
      <c r="S896" s="497">
        <v>0</v>
      </c>
      <c r="T896" s="497">
        <v>0</v>
      </c>
      <c r="U896" s="497">
        <v>0</v>
      </c>
      <c r="V896" s="497">
        <v>0</v>
      </c>
      <c r="W896" s="497">
        <v>0</v>
      </c>
      <c r="X896" s="497">
        <v>0</v>
      </c>
      <c r="Y896" s="497">
        <v>0</v>
      </c>
      <c r="Z896" s="497">
        <v>0</v>
      </c>
      <c r="AA896" s="497">
        <v>0</v>
      </c>
      <c r="AB896" s="497">
        <v>0</v>
      </c>
      <c r="AC896" s="497">
        <v>0</v>
      </c>
      <c r="AD896" s="497">
        <v>0</v>
      </c>
      <c r="AE896" s="497">
        <v>0</v>
      </c>
      <c r="AF896" s="497">
        <v>0</v>
      </c>
      <c r="AG896" s="497">
        <v>0</v>
      </c>
      <c r="AH896" s="497">
        <v>0</v>
      </c>
      <c r="AI896" s="497">
        <v>0</v>
      </c>
    </row>
    <row r="897" spans="2:64" outlineLevel="1">
      <c r="B897" t="str">
        <f t="shared" si="70"/>
        <v>Carbon capture - Finance cost - Africa - USD/ton fuel</v>
      </c>
      <c r="C897" t="str">
        <f>C879</f>
        <v>Carbon capture</v>
      </c>
      <c r="D897" t="s">
        <v>1366</v>
      </c>
      <c r="E897" t="s">
        <v>838</v>
      </c>
      <c r="F897" t="s">
        <v>1353</v>
      </c>
      <c r="G897" s="487" t="str">
        <f t="shared" si="68"/>
        <v>Carbon captureAfricaFinance cost</v>
      </c>
      <c r="H897" s="493">
        <v>0</v>
      </c>
      <c r="I897" s="493">
        <v>0</v>
      </c>
      <c r="J897" s="493">
        <v>0</v>
      </c>
      <c r="K897" s="493">
        <v>0</v>
      </c>
      <c r="L897" s="493">
        <v>0</v>
      </c>
      <c r="M897" s="493">
        <v>0</v>
      </c>
      <c r="N897" s="493">
        <v>0</v>
      </c>
      <c r="O897" s="493">
        <v>0</v>
      </c>
      <c r="P897" s="493">
        <v>0</v>
      </c>
      <c r="Q897" s="493">
        <v>0</v>
      </c>
      <c r="R897" s="493">
        <v>0</v>
      </c>
      <c r="S897" s="493">
        <v>0</v>
      </c>
      <c r="T897" s="493">
        <v>0</v>
      </c>
      <c r="U897" s="493">
        <v>0</v>
      </c>
      <c r="V897" s="493">
        <v>0</v>
      </c>
      <c r="W897" s="493">
        <v>0</v>
      </c>
      <c r="X897" s="493">
        <v>0</v>
      </c>
      <c r="Y897" s="493">
        <v>0</v>
      </c>
      <c r="Z897" s="493">
        <v>0</v>
      </c>
      <c r="AA897" s="493">
        <v>0</v>
      </c>
      <c r="AB897" s="493">
        <v>0</v>
      </c>
      <c r="AC897" s="493">
        <v>0</v>
      </c>
      <c r="AD897" s="493">
        <v>0</v>
      </c>
      <c r="AE897" s="493">
        <v>0</v>
      </c>
      <c r="AF897" s="493">
        <v>0</v>
      </c>
      <c r="AG897" s="493">
        <v>0</v>
      </c>
      <c r="AH897" s="493">
        <v>0</v>
      </c>
      <c r="AI897" s="493">
        <v>0</v>
      </c>
    </row>
    <row r="898" spans="2:64" outlineLevel="1">
      <c r="B898" t="str">
        <f t="shared" si="70"/>
        <v>Carbon capture - Finance cost - Americas - USD/ton fuel</v>
      </c>
      <c r="C898" t="str">
        <f>C879</f>
        <v>Carbon capture</v>
      </c>
      <c r="D898" t="s">
        <v>1366</v>
      </c>
      <c r="E898" t="s">
        <v>731</v>
      </c>
      <c r="F898" t="s">
        <v>1353</v>
      </c>
      <c r="G898" s="487" t="str">
        <f t="shared" si="68"/>
        <v>Carbon captureAmericasFinance cost</v>
      </c>
      <c r="H898" s="493">
        <v>0</v>
      </c>
      <c r="I898" s="493">
        <v>0</v>
      </c>
      <c r="J898" s="493">
        <v>0</v>
      </c>
      <c r="K898" s="493">
        <v>0</v>
      </c>
      <c r="L898" s="493">
        <v>0</v>
      </c>
      <c r="M898" s="493">
        <v>0</v>
      </c>
      <c r="N898" s="493">
        <v>0</v>
      </c>
      <c r="O898" s="493">
        <v>0</v>
      </c>
      <c r="P898" s="493">
        <v>0</v>
      </c>
      <c r="Q898" s="493">
        <v>0</v>
      </c>
      <c r="R898" s="493">
        <v>0</v>
      </c>
      <c r="S898" s="493">
        <v>0</v>
      </c>
      <c r="T898" s="493">
        <v>0</v>
      </c>
      <c r="U898" s="493">
        <v>0</v>
      </c>
      <c r="V898" s="493">
        <v>0</v>
      </c>
      <c r="W898" s="493">
        <v>0</v>
      </c>
      <c r="X898" s="493">
        <v>0</v>
      </c>
      <c r="Y898" s="493">
        <v>0</v>
      </c>
      <c r="Z898" s="493">
        <v>0</v>
      </c>
      <c r="AA898" s="493">
        <v>0</v>
      </c>
      <c r="AB898" s="493">
        <v>0</v>
      </c>
      <c r="AC898" s="493">
        <v>0</v>
      </c>
      <c r="AD898" s="493">
        <v>0</v>
      </c>
      <c r="AE898" s="493">
        <v>0</v>
      </c>
      <c r="AF898" s="493">
        <v>0</v>
      </c>
      <c r="AG898" s="493">
        <v>0</v>
      </c>
      <c r="AH898" s="493">
        <v>0</v>
      </c>
      <c r="AI898" s="493">
        <v>0</v>
      </c>
    </row>
    <row r="899" spans="2:64" outlineLevel="1">
      <c r="B899" t="str">
        <f t="shared" si="70"/>
        <v>Carbon capture - Finance cost - Asia - USD/ton fuel</v>
      </c>
      <c r="C899" t="str">
        <f>C879</f>
        <v>Carbon capture</v>
      </c>
      <c r="D899" t="s">
        <v>1366</v>
      </c>
      <c r="E899" t="s">
        <v>750</v>
      </c>
      <c r="F899" t="s">
        <v>1353</v>
      </c>
      <c r="G899" s="487" t="str">
        <f t="shared" si="68"/>
        <v>Carbon captureAsiaFinance cost</v>
      </c>
      <c r="H899" s="493">
        <v>0</v>
      </c>
      <c r="I899" s="493">
        <v>0</v>
      </c>
      <c r="J899" s="493">
        <v>0</v>
      </c>
      <c r="K899" s="493">
        <v>0</v>
      </c>
      <c r="L899" s="493">
        <v>0</v>
      </c>
      <c r="M899" s="493">
        <v>0</v>
      </c>
      <c r="N899" s="493">
        <v>0</v>
      </c>
      <c r="O899" s="493">
        <v>0</v>
      </c>
      <c r="P899" s="493">
        <v>0</v>
      </c>
      <c r="Q899" s="493">
        <v>0</v>
      </c>
      <c r="R899" s="493">
        <v>0</v>
      </c>
      <c r="S899" s="493">
        <v>0</v>
      </c>
      <c r="T899" s="493">
        <v>0</v>
      </c>
      <c r="U899" s="493">
        <v>0</v>
      </c>
      <c r="V899" s="493">
        <v>0</v>
      </c>
      <c r="W899" s="493">
        <v>0</v>
      </c>
      <c r="X899" s="493">
        <v>0</v>
      </c>
      <c r="Y899" s="493">
        <v>0</v>
      </c>
      <c r="Z899" s="493">
        <v>0</v>
      </c>
      <c r="AA899" s="493">
        <v>0</v>
      </c>
      <c r="AB899" s="493">
        <v>0</v>
      </c>
      <c r="AC899" s="493">
        <v>0</v>
      </c>
      <c r="AD899" s="493">
        <v>0</v>
      </c>
      <c r="AE899" s="493">
        <v>0</v>
      </c>
      <c r="AF899" s="493">
        <v>0</v>
      </c>
      <c r="AG899" s="493">
        <v>0</v>
      </c>
      <c r="AH899" s="493">
        <v>0</v>
      </c>
      <c r="AI899" s="493">
        <v>0</v>
      </c>
    </row>
    <row r="900" spans="2:64" outlineLevel="1">
      <c r="B900" t="str">
        <f t="shared" si="70"/>
        <v>Carbon capture - Finance cost - Europe - USD/ton fuel</v>
      </c>
      <c r="C900" t="str">
        <f>C879</f>
        <v>Carbon capture</v>
      </c>
      <c r="D900" t="s">
        <v>1366</v>
      </c>
      <c r="E900" t="s">
        <v>720</v>
      </c>
      <c r="F900" t="s">
        <v>1353</v>
      </c>
      <c r="G900" s="487" t="str">
        <f t="shared" si="68"/>
        <v>Carbon captureEuropeFinance cost</v>
      </c>
      <c r="H900" s="493">
        <v>0</v>
      </c>
      <c r="I900" s="493">
        <v>0</v>
      </c>
      <c r="J900" s="493">
        <v>0</v>
      </c>
      <c r="K900" s="493">
        <v>0</v>
      </c>
      <c r="L900" s="493">
        <v>0</v>
      </c>
      <c r="M900" s="493">
        <v>0</v>
      </c>
      <c r="N900" s="493">
        <v>0</v>
      </c>
      <c r="O900" s="493">
        <v>0</v>
      </c>
      <c r="P900" s="493">
        <v>0</v>
      </c>
      <c r="Q900" s="493">
        <v>0</v>
      </c>
      <c r="R900" s="493">
        <v>0</v>
      </c>
      <c r="S900" s="493">
        <v>0</v>
      </c>
      <c r="T900" s="493">
        <v>0</v>
      </c>
      <c r="U900" s="493">
        <v>0</v>
      </c>
      <c r="V900" s="493">
        <v>0</v>
      </c>
      <c r="W900" s="493">
        <v>0</v>
      </c>
      <c r="X900" s="493">
        <v>0</v>
      </c>
      <c r="Y900" s="493">
        <v>0</v>
      </c>
      <c r="Z900" s="493">
        <v>0</v>
      </c>
      <c r="AA900" s="493">
        <v>0</v>
      </c>
      <c r="AB900" s="493">
        <v>0</v>
      </c>
      <c r="AC900" s="493">
        <v>0</v>
      </c>
      <c r="AD900" s="493">
        <v>0</v>
      </c>
      <c r="AE900" s="493">
        <v>0</v>
      </c>
      <c r="AF900" s="493">
        <v>0</v>
      </c>
      <c r="AG900" s="493">
        <v>0</v>
      </c>
      <c r="AH900" s="493">
        <v>0</v>
      </c>
      <c r="AI900" s="493">
        <v>0</v>
      </c>
    </row>
    <row r="901" spans="2:64" outlineLevel="1">
      <c r="B901" t="str">
        <f t="shared" si="70"/>
        <v>Carbon capture - Finance cost - Middle East - USD/ton fuel</v>
      </c>
      <c r="C901" t="str">
        <f>C879</f>
        <v>Carbon capture</v>
      </c>
      <c r="D901" t="s">
        <v>1366</v>
      </c>
      <c r="E901" t="s">
        <v>826</v>
      </c>
      <c r="F901" t="s">
        <v>1353</v>
      </c>
      <c r="G901" s="487" t="str">
        <f t="shared" si="68"/>
        <v>Carbon captureMiddle EastFinance cost</v>
      </c>
      <c r="H901" s="493">
        <v>0</v>
      </c>
      <c r="I901" s="493">
        <v>0</v>
      </c>
      <c r="J901" s="493">
        <v>0</v>
      </c>
      <c r="K901" s="493">
        <v>0</v>
      </c>
      <c r="L901" s="493">
        <v>0</v>
      </c>
      <c r="M901" s="493">
        <v>0</v>
      </c>
      <c r="N901" s="493">
        <v>0</v>
      </c>
      <c r="O901" s="493">
        <v>0</v>
      </c>
      <c r="P901" s="493">
        <v>0</v>
      </c>
      <c r="Q901" s="493">
        <v>0</v>
      </c>
      <c r="R901" s="493">
        <v>0</v>
      </c>
      <c r="S901" s="493">
        <v>0</v>
      </c>
      <c r="T901" s="493">
        <v>0</v>
      </c>
      <c r="U901" s="493">
        <v>0</v>
      </c>
      <c r="V901" s="493">
        <v>0</v>
      </c>
      <c r="W901" s="493">
        <v>0</v>
      </c>
      <c r="X901" s="493">
        <v>0</v>
      </c>
      <c r="Y901" s="493">
        <v>0</v>
      </c>
      <c r="Z901" s="493">
        <v>0</v>
      </c>
      <c r="AA901" s="493">
        <v>0</v>
      </c>
      <c r="AB901" s="493">
        <v>0</v>
      </c>
      <c r="AC901" s="493">
        <v>0</v>
      </c>
      <c r="AD901" s="493">
        <v>0</v>
      </c>
      <c r="AE901" s="493">
        <v>0</v>
      </c>
      <c r="AF901" s="493">
        <v>0</v>
      </c>
      <c r="AG901" s="493">
        <v>0</v>
      </c>
      <c r="AH901" s="493">
        <v>0</v>
      </c>
      <c r="AI901" s="493">
        <v>0</v>
      </c>
    </row>
    <row r="902" spans="2:64" ht="15" outlineLevel="1" thickBot="1">
      <c r="B902" t="str">
        <f t="shared" si="70"/>
        <v/>
      </c>
      <c r="G902" s="487" t="str">
        <f t="shared" si="68"/>
        <v/>
      </c>
      <c r="H902" s="498"/>
    </row>
    <row r="903" spans="2:64" ht="15" outlineLevel="1">
      <c r="B903" t="str">
        <f t="shared" si="70"/>
        <v>Carbon capture - Energy cost including feedstock energy cost - Africa - USD/ton fuel</v>
      </c>
      <c r="C903" s="494" t="str">
        <f>C879</f>
        <v>Carbon capture</v>
      </c>
      <c r="D903" s="494" t="s">
        <v>1367</v>
      </c>
      <c r="E903" s="494" t="s">
        <v>838</v>
      </c>
      <c r="F903" s="494" t="s">
        <v>1353</v>
      </c>
      <c r="G903" s="487" t="str">
        <f t="shared" si="68"/>
        <v>Carbon captureAfricaEnergy cost including feedstock energy cost</v>
      </c>
      <c r="H903" s="495">
        <v>0</v>
      </c>
      <c r="I903" s="495">
        <v>0</v>
      </c>
      <c r="J903" s="495">
        <v>0</v>
      </c>
      <c r="K903" s="495">
        <v>0</v>
      </c>
      <c r="L903" s="495">
        <v>0</v>
      </c>
      <c r="M903" s="495">
        <v>0</v>
      </c>
      <c r="N903" s="495">
        <v>0</v>
      </c>
      <c r="O903" s="495">
        <v>0</v>
      </c>
      <c r="P903" s="495">
        <v>0</v>
      </c>
      <c r="Q903" s="495">
        <v>0</v>
      </c>
      <c r="R903" s="495">
        <v>0</v>
      </c>
      <c r="S903" s="495">
        <v>0</v>
      </c>
      <c r="T903" s="495">
        <v>0</v>
      </c>
      <c r="U903" s="495">
        <v>0</v>
      </c>
      <c r="V903" s="495">
        <v>0</v>
      </c>
      <c r="W903" s="495">
        <v>0</v>
      </c>
      <c r="X903" s="495">
        <v>0</v>
      </c>
      <c r="Y903" s="495">
        <v>0</v>
      </c>
      <c r="Z903" s="495">
        <v>0</v>
      </c>
      <c r="AA903" s="495">
        <v>0</v>
      </c>
      <c r="AB903" s="495">
        <v>0</v>
      </c>
      <c r="AC903" s="495">
        <v>0</v>
      </c>
      <c r="AD903" s="495">
        <v>0</v>
      </c>
      <c r="AE903" s="495">
        <v>0</v>
      </c>
      <c r="AF903" s="495">
        <v>0</v>
      </c>
      <c r="AG903" s="495">
        <v>0</v>
      </c>
      <c r="AH903" s="495">
        <v>0</v>
      </c>
      <c r="AI903" s="495">
        <v>0</v>
      </c>
      <c r="AK903" s="499" t="b">
        <f t="shared" ref="AK903:BL903" si="71">H886+H889+H892+H903+H914=H880</f>
        <v>1</v>
      </c>
      <c r="AL903" s="500" t="b">
        <f t="shared" si="71"/>
        <v>1</v>
      </c>
      <c r="AM903" s="500" t="b">
        <f t="shared" si="71"/>
        <v>1</v>
      </c>
      <c r="AN903" s="500" t="b">
        <f t="shared" si="71"/>
        <v>1</v>
      </c>
      <c r="AO903" s="500" t="b">
        <f t="shared" si="71"/>
        <v>1</v>
      </c>
      <c r="AP903" s="500" t="b">
        <f t="shared" si="71"/>
        <v>1</v>
      </c>
      <c r="AQ903" s="500" t="b">
        <f t="shared" si="71"/>
        <v>1</v>
      </c>
      <c r="AR903" s="500" t="b">
        <f t="shared" si="71"/>
        <v>1</v>
      </c>
      <c r="AS903" s="500" t="b">
        <f t="shared" si="71"/>
        <v>1</v>
      </c>
      <c r="AT903" s="500" t="b">
        <f t="shared" si="71"/>
        <v>1</v>
      </c>
      <c r="AU903" s="500" t="b">
        <f t="shared" si="71"/>
        <v>1</v>
      </c>
      <c r="AV903" s="500" t="b">
        <f t="shared" si="71"/>
        <v>1</v>
      </c>
      <c r="AW903" s="500" t="b">
        <f t="shared" si="71"/>
        <v>1</v>
      </c>
      <c r="AX903" s="500" t="b">
        <f t="shared" si="71"/>
        <v>1</v>
      </c>
      <c r="AY903" s="500" t="b">
        <f t="shared" si="71"/>
        <v>1</v>
      </c>
      <c r="AZ903" s="500" t="b">
        <f t="shared" si="71"/>
        <v>1</v>
      </c>
      <c r="BA903" s="500" t="b">
        <f t="shared" si="71"/>
        <v>1</v>
      </c>
      <c r="BB903" s="500" t="b">
        <f t="shared" si="71"/>
        <v>1</v>
      </c>
      <c r="BC903" s="500" t="b">
        <f t="shared" si="71"/>
        <v>1</v>
      </c>
      <c r="BD903" s="500" t="b">
        <f t="shared" si="71"/>
        <v>1</v>
      </c>
      <c r="BE903" s="500" t="b">
        <f t="shared" si="71"/>
        <v>1</v>
      </c>
      <c r="BF903" s="500" t="b">
        <f t="shared" si="71"/>
        <v>1</v>
      </c>
      <c r="BG903" s="500" t="b">
        <f t="shared" si="71"/>
        <v>1</v>
      </c>
      <c r="BH903" s="500" t="b">
        <f t="shared" si="71"/>
        <v>1</v>
      </c>
      <c r="BI903" s="500" t="b">
        <f t="shared" si="71"/>
        <v>1</v>
      </c>
      <c r="BJ903" s="500" t="b">
        <f t="shared" si="71"/>
        <v>1</v>
      </c>
      <c r="BK903" s="500" t="b">
        <f t="shared" si="71"/>
        <v>1</v>
      </c>
      <c r="BL903" s="501" t="b">
        <f t="shared" si="71"/>
        <v>1</v>
      </c>
    </row>
    <row r="904" spans="2:64" ht="15" outlineLevel="1">
      <c r="B904" t="str">
        <f t="shared" si="70"/>
        <v>Carbon capture - Energy cost including feedstock energy cost - Americas - USD/ton fuel</v>
      </c>
      <c r="C904" s="22" t="str">
        <f>C879</f>
        <v>Carbon capture</v>
      </c>
      <c r="D904" s="22" t="s">
        <v>1367</v>
      </c>
      <c r="E904" s="22" t="s">
        <v>731</v>
      </c>
      <c r="F904" s="22" t="s">
        <v>1353</v>
      </c>
      <c r="G904" s="487" t="str">
        <f t="shared" ref="G904:G967" si="72">+C904&amp;E904&amp;D904</f>
        <v>Carbon captureAmericasEnergy cost including feedstock energy cost</v>
      </c>
      <c r="H904" s="496">
        <v>0</v>
      </c>
      <c r="I904" s="496">
        <v>0</v>
      </c>
      <c r="J904" s="496">
        <v>0</v>
      </c>
      <c r="K904" s="496">
        <v>0</v>
      </c>
      <c r="L904" s="496">
        <v>0</v>
      </c>
      <c r="M904" s="496">
        <v>0</v>
      </c>
      <c r="N904" s="496">
        <v>0</v>
      </c>
      <c r="O904" s="496">
        <v>0</v>
      </c>
      <c r="P904" s="496">
        <v>0</v>
      </c>
      <c r="Q904" s="496">
        <v>0</v>
      </c>
      <c r="R904" s="496">
        <v>0</v>
      </c>
      <c r="S904" s="496">
        <v>0</v>
      </c>
      <c r="T904" s="496">
        <v>0</v>
      </c>
      <c r="U904" s="496">
        <v>0</v>
      </c>
      <c r="V904" s="496">
        <v>0</v>
      </c>
      <c r="W904" s="496">
        <v>0</v>
      </c>
      <c r="X904" s="496">
        <v>0</v>
      </c>
      <c r="Y904" s="496">
        <v>0</v>
      </c>
      <c r="Z904" s="496">
        <v>0</v>
      </c>
      <c r="AA904" s="496">
        <v>0</v>
      </c>
      <c r="AB904" s="496">
        <v>0</v>
      </c>
      <c r="AC904" s="496">
        <v>0</v>
      </c>
      <c r="AD904" s="496">
        <v>0</v>
      </c>
      <c r="AE904" s="496">
        <v>0</v>
      </c>
      <c r="AF904" s="496">
        <v>0</v>
      </c>
      <c r="AG904" s="496">
        <v>0</v>
      </c>
      <c r="AH904" s="496">
        <v>0</v>
      </c>
      <c r="AI904" s="496">
        <v>0</v>
      </c>
      <c r="AK904" s="502" t="b">
        <f t="shared" ref="AK904:BL904" si="73">H886+H889+H893+H904+H914=H881</f>
        <v>1</v>
      </c>
      <c r="AL904" s="106" t="b">
        <f t="shared" si="73"/>
        <v>1</v>
      </c>
      <c r="AM904" s="106" t="b">
        <f t="shared" si="73"/>
        <v>1</v>
      </c>
      <c r="AN904" s="106" t="b">
        <f t="shared" si="73"/>
        <v>1</v>
      </c>
      <c r="AO904" s="106" t="b">
        <f t="shared" si="73"/>
        <v>1</v>
      </c>
      <c r="AP904" s="106" t="b">
        <f t="shared" si="73"/>
        <v>1</v>
      </c>
      <c r="AQ904" s="106" t="b">
        <f t="shared" si="73"/>
        <v>1</v>
      </c>
      <c r="AR904" s="106" t="b">
        <f t="shared" si="73"/>
        <v>1</v>
      </c>
      <c r="AS904" s="106" t="b">
        <f t="shared" si="73"/>
        <v>1</v>
      </c>
      <c r="AT904" s="106" t="b">
        <f t="shared" si="73"/>
        <v>1</v>
      </c>
      <c r="AU904" s="106" t="b">
        <f t="shared" si="73"/>
        <v>1</v>
      </c>
      <c r="AV904" s="106" t="b">
        <f t="shared" si="73"/>
        <v>1</v>
      </c>
      <c r="AW904" s="106" t="b">
        <f t="shared" si="73"/>
        <v>1</v>
      </c>
      <c r="AX904" s="106" t="b">
        <f t="shared" si="73"/>
        <v>1</v>
      </c>
      <c r="AY904" s="106" t="b">
        <f t="shared" si="73"/>
        <v>1</v>
      </c>
      <c r="AZ904" s="106" t="b">
        <f t="shared" si="73"/>
        <v>1</v>
      </c>
      <c r="BA904" s="106" t="b">
        <f t="shared" si="73"/>
        <v>1</v>
      </c>
      <c r="BB904" s="106" t="b">
        <f t="shared" si="73"/>
        <v>1</v>
      </c>
      <c r="BC904" s="106" t="b">
        <f t="shared" si="73"/>
        <v>1</v>
      </c>
      <c r="BD904" s="106" t="b">
        <f t="shared" si="73"/>
        <v>1</v>
      </c>
      <c r="BE904" s="106" t="b">
        <f t="shared" si="73"/>
        <v>1</v>
      </c>
      <c r="BF904" s="106" t="b">
        <f t="shared" si="73"/>
        <v>1</v>
      </c>
      <c r="BG904" s="106" t="b">
        <f t="shared" si="73"/>
        <v>1</v>
      </c>
      <c r="BH904" s="106" t="b">
        <f t="shared" si="73"/>
        <v>1</v>
      </c>
      <c r="BI904" s="106" t="b">
        <f t="shared" si="73"/>
        <v>1</v>
      </c>
      <c r="BJ904" s="106" t="b">
        <f t="shared" si="73"/>
        <v>1</v>
      </c>
      <c r="BK904" s="106" t="b">
        <f t="shared" si="73"/>
        <v>1</v>
      </c>
      <c r="BL904" s="503" t="b">
        <f t="shared" si="73"/>
        <v>1</v>
      </c>
    </row>
    <row r="905" spans="2:64" ht="15" outlineLevel="1">
      <c r="B905" t="str">
        <f t="shared" si="70"/>
        <v>Carbon capture - Energy cost including feedstock energy cost - Asia - USD/ton fuel</v>
      </c>
      <c r="C905" s="22" t="str">
        <f>C879</f>
        <v>Carbon capture</v>
      </c>
      <c r="D905" s="22" t="s">
        <v>1367</v>
      </c>
      <c r="E905" s="22" t="s">
        <v>750</v>
      </c>
      <c r="F905" s="22" t="s">
        <v>1353</v>
      </c>
      <c r="G905" s="487" t="str">
        <f t="shared" si="72"/>
        <v>Carbon captureAsiaEnergy cost including feedstock energy cost</v>
      </c>
      <c r="H905" s="496">
        <v>0</v>
      </c>
      <c r="I905" s="496">
        <v>0</v>
      </c>
      <c r="J905" s="496">
        <v>0</v>
      </c>
      <c r="K905" s="496">
        <v>0</v>
      </c>
      <c r="L905" s="496">
        <v>0</v>
      </c>
      <c r="M905" s="496">
        <v>0</v>
      </c>
      <c r="N905" s="496">
        <v>0</v>
      </c>
      <c r="O905" s="496">
        <v>0</v>
      </c>
      <c r="P905" s="496">
        <v>0</v>
      </c>
      <c r="Q905" s="496">
        <v>0</v>
      </c>
      <c r="R905" s="496">
        <v>0</v>
      </c>
      <c r="S905" s="496">
        <v>0</v>
      </c>
      <c r="T905" s="496">
        <v>0</v>
      </c>
      <c r="U905" s="496">
        <v>0</v>
      </c>
      <c r="V905" s="496">
        <v>0</v>
      </c>
      <c r="W905" s="496">
        <v>0</v>
      </c>
      <c r="X905" s="496">
        <v>0</v>
      </c>
      <c r="Y905" s="496">
        <v>0</v>
      </c>
      <c r="Z905" s="496">
        <v>0</v>
      </c>
      <c r="AA905" s="496">
        <v>0</v>
      </c>
      <c r="AB905" s="496">
        <v>0</v>
      </c>
      <c r="AC905" s="496">
        <v>0</v>
      </c>
      <c r="AD905" s="496">
        <v>0</v>
      </c>
      <c r="AE905" s="496">
        <v>0</v>
      </c>
      <c r="AF905" s="496">
        <v>0</v>
      </c>
      <c r="AG905" s="496">
        <v>0</v>
      </c>
      <c r="AH905" s="496">
        <v>0</v>
      </c>
      <c r="AI905" s="496">
        <v>0</v>
      </c>
      <c r="AK905" s="502" t="b">
        <f t="shared" ref="AK905:BL905" si="74">H886+H889+H894+H905+H914=H882</f>
        <v>1</v>
      </c>
      <c r="AL905" s="106" t="b">
        <f t="shared" si="74"/>
        <v>1</v>
      </c>
      <c r="AM905" s="106" t="b">
        <f t="shared" si="74"/>
        <v>1</v>
      </c>
      <c r="AN905" s="106" t="b">
        <f t="shared" si="74"/>
        <v>1</v>
      </c>
      <c r="AO905" s="106" t="b">
        <f t="shared" si="74"/>
        <v>1</v>
      </c>
      <c r="AP905" s="106" t="b">
        <f t="shared" si="74"/>
        <v>1</v>
      </c>
      <c r="AQ905" s="106" t="b">
        <f t="shared" si="74"/>
        <v>1</v>
      </c>
      <c r="AR905" s="106" t="b">
        <f t="shared" si="74"/>
        <v>1</v>
      </c>
      <c r="AS905" s="106" t="b">
        <f t="shared" si="74"/>
        <v>1</v>
      </c>
      <c r="AT905" s="106" t="b">
        <f t="shared" si="74"/>
        <v>1</v>
      </c>
      <c r="AU905" s="106" t="b">
        <f t="shared" si="74"/>
        <v>1</v>
      </c>
      <c r="AV905" s="106" t="b">
        <f t="shared" si="74"/>
        <v>1</v>
      </c>
      <c r="AW905" s="106" t="b">
        <f t="shared" si="74"/>
        <v>1</v>
      </c>
      <c r="AX905" s="106" t="b">
        <f t="shared" si="74"/>
        <v>1</v>
      </c>
      <c r="AY905" s="106" t="b">
        <f t="shared" si="74"/>
        <v>1</v>
      </c>
      <c r="AZ905" s="106" t="b">
        <f t="shared" si="74"/>
        <v>1</v>
      </c>
      <c r="BA905" s="106" t="b">
        <f t="shared" si="74"/>
        <v>1</v>
      </c>
      <c r="BB905" s="106" t="b">
        <f t="shared" si="74"/>
        <v>1</v>
      </c>
      <c r="BC905" s="106" t="b">
        <f t="shared" si="74"/>
        <v>1</v>
      </c>
      <c r="BD905" s="106" t="b">
        <f t="shared" si="74"/>
        <v>1</v>
      </c>
      <c r="BE905" s="106" t="b">
        <f t="shared" si="74"/>
        <v>1</v>
      </c>
      <c r="BF905" s="106" t="b">
        <f t="shared" si="74"/>
        <v>1</v>
      </c>
      <c r="BG905" s="106" t="b">
        <f t="shared" si="74"/>
        <v>1</v>
      </c>
      <c r="BH905" s="106" t="b">
        <f t="shared" si="74"/>
        <v>1</v>
      </c>
      <c r="BI905" s="106" t="b">
        <f t="shared" si="74"/>
        <v>1</v>
      </c>
      <c r="BJ905" s="106" t="b">
        <f t="shared" si="74"/>
        <v>1</v>
      </c>
      <c r="BK905" s="106" t="b">
        <f t="shared" si="74"/>
        <v>1</v>
      </c>
      <c r="BL905" s="503" t="b">
        <f t="shared" si="74"/>
        <v>1</v>
      </c>
    </row>
    <row r="906" spans="2:64" ht="15" outlineLevel="1">
      <c r="B906" t="str">
        <f t="shared" si="70"/>
        <v>Carbon capture - Energy cost including feedstock energy cost - Europe - USD/ton fuel</v>
      </c>
      <c r="C906" s="22" t="str">
        <f>C879</f>
        <v>Carbon capture</v>
      </c>
      <c r="D906" s="22" t="s">
        <v>1367</v>
      </c>
      <c r="E906" s="22" t="s">
        <v>720</v>
      </c>
      <c r="F906" s="22" t="s">
        <v>1353</v>
      </c>
      <c r="G906" s="487" t="str">
        <f t="shared" si="72"/>
        <v>Carbon captureEuropeEnergy cost including feedstock energy cost</v>
      </c>
      <c r="H906" s="496">
        <v>0</v>
      </c>
      <c r="I906" s="496">
        <v>0</v>
      </c>
      <c r="J906" s="496">
        <v>0</v>
      </c>
      <c r="K906" s="496">
        <v>0</v>
      </c>
      <c r="L906" s="496">
        <v>0</v>
      </c>
      <c r="M906" s="496">
        <v>0</v>
      </c>
      <c r="N906" s="496">
        <v>0</v>
      </c>
      <c r="O906" s="496">
        <v>0</v>
      </c>
      <c r="P906" s="496">
        <v>0</v>
      </c>
      <c r="Q906" s="496">
        <v>0</v>
      </c>
      <c r="R906" s="496">
        <v>0</v>
      </c>
      <c r="S906" s="496">
        <v>0</v>
      </c>
      <c r="T906" s="496">
        <v>0</v>
      </c>
      <c r="U906" s="496">
        <v>0</v>
      </c>
      <c r="V906" s="496">
        <v>0</v>
      </c>
      <c r="W906" s="496">
        <v>0</v>
      </c>
      <c r="X906" s="496">
        <v>0</v>
      </c>
      <c r="Y906" s="496">
        <v>0</v>
      </c>
      <c r="Z906" s="496">
        <v>0</v>
      </c>
      <c r="AA906" s="496">
        <v>0</v>
      </c>
      <c r="AB906" s="496">
        <v>0</v>
      </c>
      <c r="AC906" s="496">
        <v>0</v>
      </c>
      <c r="AD906" s="496">
        <v>0</v>
      </c>
      <c r="AE906" s="496">
        <v>0</v>
      </c>
      <c r="AF906" s="496">
        <v>0</v>
      </c>
      <c r="AG906" s="496">
        <v>0</v>
      </c>
      <c r="AH906" s="496">
        <v>0</v>
      </c>
      <c r="AI906" s="496">
        <v>0</v>
      </c>
      <c r="AK906" s="502" t="b">
        <f t="shared" ref="AK906:BL906" si="75">H886+H889+H895+H906+H914=H883</f>
        <v>1</v>
      </c>
      <c r="AL906" s="106" t="b">
        <f t="shared" si="75"/>
        <v>1</v>
      </c>
      <c r="AM906" s="106" t="b">
        <f t="shared" si="75"/>
        <v>1</v>
      </c>
      <c r="AN906" s="106" t="b">
        <f t="shared" si="75"/>
        <v>1</v>
      </c>
      <c r="AO906" s="106" t="b">
        <f t="shared" si="75"/>
        <v>1</v>
      </c>
      <c r="AP906" s="106" t="b">
        <f t="shared" si="75"/>
        <v>1</v>
      </c>
      <c r="AQ906" s="106" t="b">
        <f t="shared" si="75"/>
        <v>1</v>
      </c>
      <c r="AR906" s="106" t="b">
        <f t="shared" si="75"/>
        <v>1</v>
      </c>
      <c r="AS906" s="106" t="b">
        <f t="shared" si="75"/>
        <v>1</v>
      </c>
      <c r="AT906" s="106" t="b">
        <f t="shared" si="75"/>
        <v>1</v>
      </c>
      <c r="AU906" s="106" t="b">
        <f t="shared" si="75"/>
        <v>1</v>
      </c>
      <c r="AV906" s="106" t="b">
        <f t="shared" si="75"/>
        <v>1</v>
      </c>
      <c r="AW906" s="106" t="b">
        <f t="shared" si="75"/>
        <v>1</v>
      </c>
      <c r="AX906" s="106" t="b">
        <f t="shared" si="75"/>
        <v>1</v>
      </c>
      <c r="AY906" s="106" t="b">
        <f t="shared" si="75"/>
        <v>1</v>
      </c>
      <c r="AZ906" s="106" t="b">
        <f t="shared" si="75"/>
        <v>1</v>
      </c>
      <c r="BA906" s="106" t="b">
        <f t="shared" si="75"/>
        <v>1</v>
      </c>
      <c r="BB906" s="106" t="b">
        <f t="shared" si="75"/>
        <v>1</v>
      </c>
      <c r="BC906" s="106" t="b">
        <f t="shared" si="75"/>
        <v>1</v>
      </c>
      <c r="BD906" s="106" t="b">
        <f t="shared" si="75"/>
        <v>1</v>
      </c>
      <c r="BE906" s="106" t="b">
        <f t="shared" si="75"/>
        <v>1</v>
      </c>
      <c r="BF906" s="106" t="b">
        <f t="shared" si="75"/>
        <v>1</v>
      </c>
      <c r="BG906" s="106" t="b">
        <f t="shared" si="75"/>
        <v>1</v>
      </c>
      <c r="BH906" s="106" t="b">
        <f t="shared" si="75"/>
        <v>1</v>
      </c>
      <c r="BI906" s="106" t="b">
        <f t="shared" si="75"/>
        <v>1</v>
      </c>
      <c r="BJ906" s="106" t="b">
        <f t="shared" si="75"/>
        <v>1</v>
      </c>
      <c r="BK906" s="106" t="b">
        <f t="shared" si="75"/>
        <v>1</v>
      </c>
      <c r="BL906" s="503" t="b">
        <f t="shared" si="75"/>
        <v>1</v>
      </c>
    </row>
    <row r="907" spans="2:64" ht="15.75" outlineLevel="1" thickBot="1">
      <c r="B907" t="str">
        <f t="shared" si="70"/>
        <v>Carbon capture - Energy cost including feedstock energy cost - Middle East - USD/ton fuel</v>
      </c>
      <c r="C907" s="92" t="str">
        <f>C879</f>
        <v>Carbon capture</v>
      </c>
      <c r="D907" s="92" t="s">
        <v>1367</v>
      </c>
      <c r="E907" s="92" t="s">
        <v>826</v>
      </c>
      <c r="F907" s="92" t="s">
        <v>1353</v>
      </c>
      <c r="G907" s="487" t="str">
        <f t="shared" si="72"/>
        <v>Carbon captureMiddle EastEnergy cost including feedstock energy cost</v>
      </c>
      <c r="H907" s="497">
        <v>0</v>
      </c>
      <c r="I907" s="497">
        <v>0</v>
      </c>
      <c r="J907" s="497">
        <v>0</v>
      </c>
      <c r="K907" s="497">
        <v>0</v>
      </c>
      <c r="L907" s="497">
        <v>0</v>
      </c>
      <c r="M907" s="497">
        <v>0</v>
      </c>
      <c r="N907" s="497">
        <v>0</v>
      </c>
      <c r="O907" s="497">
        <v>0</v>
      </c>
      <c r="P907" s="497">
        <v>0</v>
      </c>
      <c r="Q907" s="497">
        <v>0</v>
      </c>
      <c r="R907" s="497">
        <v>0</v>
      </c>
      <c r="S907" s="497">
        <v>0</v>
      </c>
      <c r="T907" s="497">
        <v>0</v>
      </c>
      <c r="U907" s="497">
        <v>0</v>
      </c>
      <c r="V907" s="497">
        <v>0</v>
      </c>
      <c r="W907" s="497">
        <v>0</v>
      </c>
      <c r="X907" s="497">
        <v>0</v>
      </c>
      <c r="Y907" s="497">
        <v>0</v>
      </c>
      <c r="Z907" s="497">
        <v>0</v>
      </c>
      <c r="AA907" s="497">
        <v>0</v>
      </c>
      <c r="AB907" s="497">
        <v>0</v>
      </c>
      <c r="AC907" s="497">
        <v>0</v>
      </c>
      <c r="AD907" s="497">
        <v>0</v>
      </c>
      <c r="AE907" s="497">
        <v>0</v>
      </c>
      <c r="AF907" s="497">
        <v>0</v>
      </c>
      <c r="AG907" s="497">
        <v>0</v>
      </c>
      <c r="AH907" s="497">
        <v>0</v>
      </c>
      <c r="AI907" s="497">
        <v>0</v>
      </c>
      <c r="AK907" s="504" t="b">
        <f t="shared" ref="AK907:BL907" si="76">H886+H889+H896+H907+H914=H884</f>
        <v>1</v>
      </c>
      <c r="AL907" s="505" t="b">
        <f t="shared" si="76"/>
        <v>1</v>
      </c>
      <c r="AM907" s="505" t="b">
        <f t="shared" si="76"/>
        <v>1</v>
      </c>
      <c r="AN907" s="505" t="b">
        <f t="shared" si="76"/>
        <v>1</v>
      </c>
      <c r="AO907" s="505" t="b">
        <f t="shared" si="76"/>
        <v>1</v>
      </c>
      <c r="AP907" s="505" t="b">
        <f t="shared" si="76"/>
        <v>1</v>
      </c>
      <c r="AQ907" s="505" t="b">
        <f t="shared" si="76"/>
        <v>1</v>
      </c>
      <c r="AR907" s="505" t="b">
        <f t="shared" si="76"/>
        <v>1</v>
      </c>
      <c r="AS907" s="505" t="b">
        <f t="shared" si="76"/>
        <v>1</v>
      </c>
      <c r="AT907" s="505" t="b">
        <f t="shared" si="76"/>
        <v>1</v>
      </c>
      <c r="AU907" s="505" t="b">
        <f t="shared" si="76"/>
        <v>1</v>
      </c>
      <c r="AV907" s="505" t="b">
        <f t="shared" si="76"/>
        <v>1</v>
      </c>
      <c r="AW907" s="505" t="b">
        <f t="shared" si="76"/>
        <v>1</v>
      </c>
      <c r="AX907" s="505" t="b">
        <f t="shared" si="76"/>
        <v>1</v>
      </c>
      <c r="AY907" s="505" t="b">
        <f t="shared" si="76"/>
        <v>1</v>
      </c>
      <c r="AZ907" s="505" t="b">
        <f t="shared" si="76"/>
        <v>1</v>
      </c>
      <c r="BA907" s="505" t="b">
        <f t="shared" si="76"/>
        <v>1</v>
      </c>
      <c r="BB907" s="505" t="b">
        <f t="shared" si="76"/>
        <v>1</v>
      </c>
      <c r="BC907" s="505" t="b">
        <f t="shared" si="76"/>
        <v>1</v>
      </c>
      <c r="BD907" s="505" t="b">
        <f t="shared" si="76"/>
        <v>1</v>
      </c>
      <c r="BE907" s="505" t="b">
        <f t="shared" si="76"/>
        <v>1</v>
      </c>
      <c r="BF907" s="505" t="b">
        <f t="shared" si="76"/>
        <v>1</v>
      </c>
      <c r="BG907" s="505" t="b">
        <f t="shared" si="76"/>
        <v>1</v>
      </c>
      <c r="BH907" s="505" t="b">
        <f t="shared" si="76"/>
        <v>1</v>
      </c>
      <c r="BI907" s="505" t="b">
        <f t="shared" si="76"/>
        <v>1</v>
      </c>
      <c r="BJ907" s="505" t="b">
        <f t="shared" si="76"/>
        <v>1</v>
      </c>
      <c r="BK907" s="505" t="b">
        <f t="shared" si="76"/>
        <v>1</v>
      </c>
      <c r="BL907" s="506" t="b">
        <f t="shared" si="76"/>
        <v>1</v>
      </c>
    </row>
    <row r="908" spans="2:64" outlineLevel="1">
      <c r="B908" t="str">
        <f t="shared" si="70"/>
        <v>Carbon capture - Energy cost - Africa - USD/ton fuel</v>
      </c>
      <c r="C908" t="str">
        <f>C879</f>
        <v>Carbon capture</v>
      </c>
      <c r="D908" t="s">
        <v>1368</v>
      </c>
      <c r="E908" t="s">
        <v>838</v>
      </c>
      <c r="F908" t="s">
        <v>1353</v>
      </c>
      <c r="G908" s="487" t="str">
        <f t="shared" si="72"/>
        <v>Carbon captureAfricaEnergy cost</v>
      </c>
      <c r="H908" s="493">
        <v>0</v>
      </c>
      <c r="I908" s="493">
        <v>0</v>
      </c>
      <c r="J908" s="493">
        <v>0</v>
      </c>
      <c r="K908" s="493">
        <v>0</v>
      </c>
      <c r="L908" s="493">
        <v>0</v>
      </c>
      <c r="M908" s="493">
        <v>0</v>
      </c>
      <c r="N908" s="493">
        <v>0</v>
      </c>
      <c r="O908" s="493">
        <v>0</v>
      </c>
      <c r="P908" s="493">
        <v>0</v>
      </c>
      <c r="Q908" s="493">
        <v>0</v>
      </c>
      <c r="R908" s="493">
        <v>0</v>
      </c>
      <c r="S908" s="493">
        <v>0</v>
      </c>
      <c r="T908" s="493">
        <v>0</v>
      </c>
      <c r="U908" s="493">
        <v>0</v>
      </c>
      <c r="V908" s="493">
        <v>0</v>
      </c>
      <c r="W908" s="493">
        <v>0</v>
      </c>
      <c r="X908" s="493">
        <v>0</v>
      </c>
      <c r="Y908" s="493">
        <v>0</v>
      </c>
      <c r="Z908" s="493">
        <v>0</v>
      </c>
      <c r="AA908" s="493">
        <v>0</v>
      </c>
      <c r="AB908" s="493">
        <v>0</v>
      </c>
      <c r="AC908" s="493">
        <v>0</v>
      </c>
      <c r="AD908" s="493">
        <v>0</v>
      </c>
      <c r="AE908" s="493">
        <v>0</v>
      </c>
      <c r="AF908" s="493">
        <v>0</v>
      </c>
      <c r="AG908" s="493">
        <v>0</v>
      </c>
      <c r="AH908" s="493">
        <v>0</v>
      </c>
      <c r="AI908" s="493">
        <v>0</v>
      </c>
    </row>
    <row r="909" spans="2:64" outlineLevel="1">
      <c r="B909" t="str">
        <f t="shared" si="70"/>
        <v>Carbon capture - Energy cost - Americas - USD/ton fuel</v>
      </c>
      <c r="C909" t="str">
        <f>C879</f>
        <v>Carbon capture</v>
      </c>
      <c r="D909" t="s">
        <v>1368</v>
      </c>
      <c r="E909" t="s">
        <v>731</v>
      </c>
      <c r="F909" t="s">
        <v>1353</v>
      </c>
      <c r="G909" s="487" t="str">
        <f t="shared" si="72"/>
        <v>Carbon captureAmericasEnergy cost</v>
      </c>
      <c r="H909" s="493">
        <v>0</v>
      </c>
      <c r="I909" s="493">
        <v>0</v>
      </c>
      <c r="J909" s="493">
        <v>0</v>
      </c>
      <c r="K909" s="493">
        <v>0</v>
      </c>
      <c r="L909" s="493">
        <v>0</v>
      </c>
      <c r="M909" s="493">
        <v>0</v>
      </c>
      <c r="N909" s="493">
        <v>0</v>
      </c>
      <c r="O909" s="493">
        <v>0</v>
      </c>
      <c r="P909" s="493">
        <v>0</v>
      </c>
      <c r="Q909" s="493">
        <v>0</v>
      </c>
      <c r="R909" s="493">
        <v>0</v>
      </c>
      <c r="S909" s="493">
        <v>0</v>
      </c>
      <c r="T909" s="493">
        <v>0</v>
      </c>
      <c r="U909" s="493">
        <v>0</v>
      </c>
      <c r="V909" s="493">
        <v>0</v>
      </c>
      <c r="W909" s="493">
        <v>0</v>
      </c>
      <c r="X909" s="493">
        <v>0</v>
      </c>
      <c r="Y909" s="493">
        <v>0</v>
      </c>
      <c r="Z909" s="493">
        <v>0</v>
      </c>
      <c r="AA909" s="493">
        <v>0</v>
      </c>
      <c r="AB909" s="493">
        <v>0</v>
      </c>
      <c r="AC909" s="493">
        <v>0</v>
      </c>
      <c r="AD909" s="493">
        <v>0</v>
      </c>
      <c r="AE909" s="493">
        <v>0</v>
      </c>
      <c r="AF909" s="493">
        <v>0</v>
      </c>
      <c r="AG909" s="493">
        <v>0</v>
      </c>
      <c r="AH909" s="493">
        <v>0</v>
      </c>
      <c r="AI909" s="493">
        <v>0</v>
      </c>
    </row>
    <row r="910" spans="2:64" outlineLevel="1">
      <c r="B910" t="str">
        <f t="shared" si="70"/>
        <v>Carbon capture - Energy cost - Asia - USD/ton fuel</v>
      </c>
      <c r="C910" t="str">
        <f>C879</f>
        <v>Carbon capture</v>
      </c>
      <c r="D910" t="s">
        <v>1368</v>
      </c>
      <c r="E910" t="s">
        <v>750</v>
      </c>
      <c r="F910" t="s">
        <v>1353</v>
      </c>
      <c r="G910" s="487" t="str">
        <f t="shared" si="72"/>
        <v>Carbon captureAsiaEnergy cost</v>
      </c>
      <c r="H910" s="493">
        <v>0</v>
      </c>
      <c r="I910" s="493">
        <v>0</v>
      </c>
      <c r="J910" s="493">
        <v>0</v>
      </c>
      <c r="K910" s="493">
        <v>0</v>
      </c>
      <c r="L910" s="493">
        <v>0</v>
      </c>
      <c r="M910" s="493">
        <v>0</v>
      </c>
      <c r="N910" s="493">
        <v>0</v>
      </c>
      <c r="O910" s="493">
        <v>0</v>
      </c>
      <c r="P910" s="493">
        <v>0</v>
      </c>
      <c r="Q910" s="493">
        <v>0</v>
      </c>
      <c r="R910" s="493">
        <v>0</v>
      </c>
      <c r="S910" s="493">
        <v>0</v>
      </c>
      <c r="T910" s="493">
        <v>0</v>
      </c>
      <c r="U910" s="493">
        <v>0</v>
      </c>
      <c r="V910" s="493">
        <v>0</v>
      </c>
      <c r="W910" s="493">
        <v>0</v>
      </c>
      <c r="X910" s="493">
        <v>0</v>
      </c>
      <c r="Y910" s="493">
        <v>0</v>
      </c>
      <c r="Z910" s="493">
        <v>0</v>
      </c>
      <c r="AA910" s="493">
        <v>0</v>
      </c>
      <c r="AB910" s="493">
        <v>0</v>
      </c>
      <c r="AC910" s="493">
        <v>0</v>
      </c>
      <c r="AD910" s="493">
        <v>0</v>
      </c>
      <c r="AE910" s="493">
        <v>0</v>
      </c>
      <c r="AF910" s="493">
        <v>0</v>
      </c>
      <c r="AG910" s="493">
        <v>0</v>
      </c>
      <c r="AH910" s="493">
        <v>0</v>
      </c>
      <c r="AI910" s="493">
        <v>0</v>
      </c>
    </row>
    <row r="911" spans="2:64" outlineLevel="1">
      <c r="B911" t="str">
        <f t="shared" si="70"/>
        <v>Carbon capture - Energy cost - Europe - USD/ton fuel</v>
      </c>
      <c r="C911" t="str">
        <f>C879</f>
        <v>Carbon capture</v>
      </c>
      <c r="D911" t="s">
        <v>1368</v>
      </c>
      <c r="E911" t="s">
        <v>720</v>
      </c>
      <c r="F911" t="s">
        <v>1353</v>
      </c>
      <c r="G911" s="487" t="str">
        <f t="shared" si="72"/>
        <v>Carbon captureEuropeEnergy cost</v>
      </c>
      <c r="H911" s="493">
        <v>0</v>
      </c>
      <c r="I911" s="493">
        <v>0</v>
      </c>
      <c r="J911" s="493">
        <v>0</v>
      </c>
      <c r="K911" s="493">
        <v>0</v>
      </c>
      <c r="L911" s="493">
        <v>0</v>
      </c>
      <c r="M911" s="493">
        <v>0</v>
      </c>
      <c r="N911" s="493">
        <v>0</v>
      </c>
      <c r="O911" s="493">
        <v>0</v>
      </c>
      <c r="P911" s="493">
        <v>0</v>
      </c>
      <c r="Q911" s="493">
        <v>0</v>
      </c>
      <c r="R911" s="493">
        <v>0</v>
      </c>
      <c r="S911" s="493">
        <v>0</v>
      </c>
      <c r="T911" s="493">
        <v>0</v>
      </c>
      <c r="U911" s="493">
        <v>0</v>
      </c>
      <c r="V911" s="493">
        <v>0</v>
      </c>
      <c r="W911" s="493">
        <v>0</v>
      </c>
      <c r="X911" s="493">
        <v>0</v>
      </c>
      <c r="Y911" s="493">
        <v>0</v>
      </c>
      <c r="Z911" s="493">
        <v>0</v>
      </c>
      <c r="AA911" s="493">
        <v>0</v>
      </c>
      <c r="AB911" s="493">
        <v>0</v>
      </c>
      <c r="AC911" s="493">
        <v>0</v>
      </c>
      <c r="AD911" s="493">
        <v>0</v>
      </c>
      <c r="AE911" s="493">
        <v>0</v>
      </c>
      <c r="AF911" s="493">
        <v>0</v>
      </c>
      <c r="AG911" s="493">
        <v>0</v>
      </c>
      <c r="AH911" s="493">
        <v>0</v>
      </c>
      <c r="AI911" s="493">
        <v>0</v>
      </c>
    </row>
    <row r="912" spans="2:64" outlineLevel="1">
      <c r="B912" t="str">
        <f t="shared" si="70"/>
        <v>Carbon capture - Energy cost - Middle East - USD/ton fuel</v>
      </c>
      <c r="C912" t="str">
        <f>C879</f>
        <v>Carbon capture</v>
      </c>
      <c r="D912" t="s">
        <v>1368</v>
      </c>
      <c r="E912" t="s">
        <v>826</v>
      </c>
      <c r="F912" t="s">
        <v>1353</v>
      </c>
      <c r="G912" s="487" t="str">
        <f t="shared" si="72"/>
        <v>Carbon captureMiddle EastEnergy cost</v>
      </c>
      <c r="H912" s="493">
        <v>0</v>
      </c>
      <c r="I912" s="493">
        <v>0</v>
      </c>
      <c r="J912" s="493">
        <v>0</v>
      </c>
      <c r="K912" s="493">
        <v>0</v>
      </c>
      <c r="L912" s="493">
        <v>0</v>
      </c>
      <c r="M912" s="493">
        <v>0</v>
      </c>
      <c r="N912" s="493">
        <v>0</v>
      </c>
      <c r="O912" s="493">
        <v>0</v>
      </c>
      <c r="P912" s="493">
        <v>0</v>
      </c>
      <c r="Q912" s="493">
        <v>0</v>
      </c>
      <c r="R912" s="493">
        <v>0</v>
      </c>
      <c r="S912" s="493">
        <v>0</v>
      </c>
      <c r="T912" s="493">
        <v>0</v>
      </c>
      <c r="U912" s="493">
        <v>0</v>
      </c>
      <c r="V912" s="493">
        <v>0</v>
      </c>
      <c r="W912" s="493">
        <v>0</v>
      </c>
      <c r="X912" s="493">
        <v>0</v>
      </c>
      <c r="Y912" s="493">
        <v>0</v>
      </c>
      <c r="Z912" s="493">
        <v>0</v>
      </c>
      <c r="AA912" s="493">
        <v>0</v>
      </c>
      <c r="AB912" s="493">
        <v>0</v>
      </c>
      <c r="AC912" s="493">
        <v>0</v>
      </c>
      <c r="AD912" s="493">
        <v>0</v>
      </c>
      <c r="AE912" s="493">
        <v>0</v>
      </c>
      <c r="AF912" s="493">
        <v>0</v>
      </c>
      <c r="AG912" s="493">
        <v>0</v>
      </c>
      <c r="AH912" s="493">
        <v>0</v>
      </c>
      <c r="AI912" s="493">
        <v>0</v>
      </c>
    </row>
    <row r="913" spans="2:35" outlineLevel="1">
      <c r="B913" t="str">
        <f t="shared" si="70"/>
        <v/>
      </c>
      <c r="G913" s="487" t="str">
        <f t="shared" si="72"/>
        <v/>
      </c>
    </row>
    <row r="914" spans="2:35" ht="15" outlineLevel="1">
      <c r="B914" t="str">
        <f t="shared" si="70"/>
        <v>Carbon capture - Feedstock cost including feedstock feedstock cost - Global - USD/ton fuel</v>
      </c>
      <c r="C914" s="491" t="str">
        <f>C879</f>
        <v>Carbon capture</v>
      </c>
      <c r="D914" s="491" t="s">
        <v>1369</v>
      </c>
      <c r="E914" s="491" t="s">
        <v>708</v>
      </c>
      <c r="F914" s="491" t="s">
        <v>1353</v>
      </c>
      <c r="G914" s="487" t="str">
        <f t="shared" si="72"/>
        <v>Carbon captureGlobalFeedstock cost including feedstock feedstock cost</v>
      </c>
      <c r="H914" s="492">
        <v>0</v>
      </c>
      <c r="I914" s="492">
        <v>0</v>
      </c>
      <c r="J914" s="492">
        <v>0</v>
      </c>
      <c r="K914" s="492">
        <v>0</v>
      </c>
      <c r="L914" s="492">
        <v>0</v>
      </c>
      <c r="M914" s="492">
        <v>0</v>
      </c>
      <c r="N914" s="492">
        <v>0</v>
      </c>
      <c r="O914" s="492">
        <v>0</v>
      </c>
      <c r="P914" s="492">
        <v>0</v>
      </c>
      <c r="Q914" s="492">
        <v>0</v>
      </c>
      <c r="R914" s="492">
        <v>0</v>
      </c>
      <c r="S914" s="492">
        <v>0</v>
      </c>
      <c r="T914" s="492">
        <v>0</v>
      </c>
      <c r="U914" s="492">
        <v>0</v>
      </c>
      <c r="V914" s="492">
        <v>0</v>
      </c>
      <c r="W914" s="492">
        <v>0</v>
      </c>
      <c r="X914" s="492">
        <v>0</v>
      </c>
      <c r="Y914" s="492">
        <v>0</v>
      </c>
      <c r="Z914" s="492">
        <v>0</v>
      </c>
      <c r="AA914" s="492">
        <v>0</v>
      </c>
      <c r="AB914" s="492">
        <v>0</v>
      </c>
      <c r="AC914" s="492">
        <v>0</v>
      </c>
      <c r="AD914" s="492">
        <v>0</v>
      </c>
      <c r="AE914" s="492">
        <v>0</v>
      </c>
      <c r="AF914" s="492">
        <v>0</v>
      </c>
      <c r="AG914" s="492">
        <v>0</v>
      </c>
      <c r="AH914" s="492">
        <v>0</v>
      </c>
      <c r="AI914" s="492">
        <v>0</v>
      </c>
    </row>
    <row r="915" spans="2:35">
      <c r="G915" s="487" t="str">
        <f t="shared" si="72"/>
        <v/>
      </c>
    </row>
    <row r="916" spans="2:35" ht="15">
      <c r="B916" t="str">
        <f t="shared" ref="B916:B951" si="77">_xlfn.TEXTJOIN(" - ",TRUE,C916:F916)</f>
        <v>Carbon storage - Item - Region - Unit</v>
      </c>
      <c r="C916" s="509" t="s">
        <v>1399</v>
      </c>
      <c r="D916" s="509" t="s">
        <v>877</v>
      </c>
      <c r="E916" s="509" t="s">
        <v>171</v>
      </c>
      <c r="F916" s="509" t="s">
        <v>111</v>
      </c>
      <c r="G916" s="487" t="str">
        <f t="shared" si="72"/>
        <v>Carbon storageRegionItem</v>
      </c>
      <c r="H916" s="510">
        <v>2023</v>
      </c>
      <c r="I916" s="510">
        <v>2024</v>
      </c>
      <c r="J916" s="510">
        <v>2025</v>
      </c>
      <c r="K916" s="510">
        <v>2026</v>
      </c>
      <c r="L916" s="510">
        <v>2027</v>
      </c>
      <c r="M916" s="510">
        <v>2028</v>
      </c>
      <c r="N916" s="510">
        <v>2029</v>
      </c>
      <c r="O916" s="510">
        <v>2030</v>
      </c>
      <c r="P916" s="510">
        <v>2031</v>
      </c>
      <c r="Q916" s="510">
        <v>2032</v>
      </c>
      <c r="R916" s="510">
        <v>2033</v>
      </c>
      <c r="S916" s="510">
        <v>2034</v>
      </c>
      <c r="T916" s="510">
        <v>2035</v>
      </c>
      <c r="U916" s="510">
        <v>2036</v>
      </c>
      <c r="V916" s="510">
        <v>2037</v>
      </c>
      <c r="W916" s="510">
        <v>2038</v>
      </c>
      <c r="X916" s="510">
        <v>2039</v>
      </c>
      <c r="Y916" s="510">
        <v>2040</v>
      </c>
      <c r="Z916" s="510">
        <v>2041</v>
      </c>
      <c r="AA916" s="510">
        <v>2042</v>
      </c>
      <c r="AB916" s="510">
        <v>2043</v>
      </c>
      <c r="AC916" s="510">
        <v>2044</v>
      </c>
      <c r="AD916" s="510">
        <v>2045</v>
      </c>
      <c r="AE916" s="510">
        <v>2046</v>
      </c>
      <c r="AF916" s="510">
        <v>2047</v>
      </c>
      <c r="AG916" s="510">
        <v>2048</v>
      </c>
      <c r="AH916" s="510">
        <v>2049</v>
      </c>
      <c r="AI916" s="510">
        <v>2050</v>
      </c>
    </row>
    <row r="917" spans="2:35" outlineLevel="1">
      <c r="B917" t="str">
        <f t="shared" si="77"/>
        <v>Carbon storage - Total cost - Africa - USD/ton fuel</v>
      </c>
      <c r="C917" s="487" t="str">
        <f>C916</f>
        <v>Carbon storage</v>
      </c>
      <c r="D917" s="487" t="s">
        <v>1362</v>
      </c>
      <c r="E917" s="487" t="s">
        <v>838</v>
      </c>
      <c r="F917" s="487" t="s">
        <v>1353</v>
      </c>
      <c r="G917" s="487" t="str">
        <f t="shared" si="72"/>
        <v>Carbon storageAfricaTotal cost</v>
      </c>
      <c r="H917" s="488">
        <v>50</v>
      </c>
      <c r="I917" s="488">
        <v>50</v>
      </c>
      <c r="J917" s="488">
        <v>50</v>
      </c>
      <c r="K917" s="488">
        <v>50</v>
      </c>
      <c r="L917" s="488">
        <v>50</v>
      </c>
      <c r="M917" s="488">
        <v>50</v>
      </c>
      <c r="N917" s="488">
        <v>50</v>
      </c>
      <c r="O917" s="488">
        <v>50</v>
      </c>
      <c r="P917" s="488">
        <v>50</v>
      </c>
      <c r="Q917" s="488">
        <v>50</v>
      </c>
      <c r="R917" s="488">
        <v>50</v>
      </c>
      <c r="S917" s="488">
        <v>50</v>
      </c>
      <c r="T917" s="488">
        <v>50</v>
      </c>
      <c r="U917" s="488">
        <v>50</v>
      </c>
      <c r="V917" s="488">
        <v>50</v>
      </c>
      <c r="W917" s="488">
        <v>50</v>
      </c>
      <c r="X917" s="488">
        <v>50</v>
      </c>
      <c r="Y917" s="488">
        <v>50</v>
      </c>
      <c r="Z917" s="488">
        <v>50</v>
      </c>
      <c r="AA917" s="488">
        <v>50</v>
      </c>
      <c r="AB917" s="488">
        <v>50</v>
      </c>
      <c r="AC917" s="488">
        <v>50</v>
      </c>
      <c r="AD917" s="488">
        <v>50</v>
      </c>
      <c r="AE917" s="488">
        <v>50</v>
      </c>
      <c r="AF917" s="488">
        <v>50</v>
      </c>
      <c r="AG917" s="488">
        <v>50</v>
      </c>
      <c r="AH917" s="488">
        <v>50</v>
      </c>
      <c r="AI917" s="488">
        <v>50</v>
      </c>
    </row>
    <row r="918" spans="2:35" outlineLevel="1">
      <c r="B918" t="str">
        <f t="shared" si="77"/>
        <v>Carbon storage - Total cost - Americas - USD/ton fuel</v>
      </c>
      <c r="C918" t="str">
        <f>C917</f>
        <v>Carbon storage</v>
      </c>
      <c r="D918" t="s">
        <v>1362</v>
      </c>
      <c r="E918" t="s">
        <v>731</v>
      </c>
      <c r="F918" t="s">
        <v>1353</v>
      </c>
      <c r="G918" s="487" t="str">
        <f t="shared" si="72"/>
        <v>Carbon storageAmericasTotal cost</v>
      </c>
      <c r="H918" s="489">
        <v>50</v>
      </c>
      <c r="I918" s="489">
        <v>50</v>
      </c>
      <c r="J918" s="489">
        <v>50</v>
      </c>
      <c r="K918" s="489">
        <v>50</v>
      </c>
      <c r="L918" s="489">
        <v>50</v>
      </c>
      <c r="M918" s="489">
        <v>50</v>
      </c>
      <c r="N918" s="489">
        <v>50</v>
      </c>
      <c r="O918" s="489">
        <v>50</v>
      </c>
      <c r="P918" s="489">
        <v>50</v>
      </c>
      <c r="Q918" s="489">
        <v>50</v>
      </c>
      <c r="R918" s="489">
        <v>50</v>
      </c>
      <c r="S918" s="489">
        <v>50</v>
      </c>
      <c r="T918" s="489">
        <v>50</v>
      </c>
      <c r="U918" s="489">
        <v>50</v>
      </c>
      <c r="V918" s="489">
        <v>50</v>
      </c>
      <c r="W918" s="489">
        <v>50</v>
      </c>
      <c r="X918" s="489">
        <v>50</v>
      </c>
      <c r="Y918" s="489">
        <v>50</v>
      </c>
      <c r="Z918" s="489">
        <v>50</v>
      </c>
      <c r="AA918" s="489">
        <v>50</v>
      </c>
      <c r="AB918" s="489">
        <v>50</v>
      </c>
      <c r="AC918" s="489">
        <v>50</v>
      </c>
      <c r="AD918" s="489">
        <v>50</v>
      </c>
      <c r="AE918" s="489">
        <v>50</v>
      </c>
      <c r="AF918" s="489">
        <v>50</v>
      </c>
      <c r="AG918" s="489">
        <v>50</v>
      </c>
      <c r="AH918" s="489">
        <v>50</v>
      </c>
      <c r="AI918" s="489">
        <v>50</v>
      </c>
    </row>
    <row r="919" spans="2:35" outlineLevel="1">
      <c r="B919" t="str">
        <f t="shared" si="77"/>
        <v>Carbon storage - Total cost - Asia - USD/ton fuel</v>
      </c>
      <c r="C919" t="str">
        <f>C918</f>
        <v>Carbon storage</v>
      </c>
      <c r="D919" t="s">
        <v>1362</v>
      </c>
      <c r="E919" t="s">
        <v>750</v>
      </c>
      <c r="F919" t="s">
        <v>1353</v>
      </c>
      <c r="G919" s="487" t="str">
        <f t="shared" si="72"/>
        <v>Carbon storageAsiaTotal cost</v>
      </c>
      <c r="H919" s="489">
        <v>50</v>
      </c>
      <c r="I919" s="489">
        <v>50</v>
      </c>
      <c r="J919" s="489">
        <v>50</v>
      </c>
      <c r="K919" s="489">
        <v>50</v>
      </c>
      <c r="L919" s="489">
        <v>50</v>
      </c>
      <c r="M919" s="489">
        <v>50</v>
      </c>
      <c r="N919" s="489">
        <v>50</v>
      </c>
      <c r="O919" s="489">
        <v>50</v>
      </c>
      <c r="P919" s="489">
        <v>50</v>
      </c>
      <c r="Q919" s="489">
        <v>50</v>
      </c>
      <c r="R919" s="489">
        <v>50</v>
      </c>
      <c r="S919" s="489">
        <v>50</v>
      </c>
      <c r="T919" s="489">
        <v>50</v>
      </c>
      <c r="U919" s="489">
        <v>50</v>
      </c>
      <c r="V919" s="489">
        <v>50</v>
      </c>
      <c r="W919" s="489">
        <v>50</v>
      </c>
      <c r="X919" s="489">
        <v>50</v>
      </c>
      <c r="Y919" s="489">
        <v>50</v>
      </c>
      <c r="Z919" s="489">
        <v>50</v>
      </c>
      <c r="AA919" s="489">
        <v>50</v>
      </c>
      <c r="AB919" s="489">
        <v>50</v>
      </c>
      <c r="AC919" s="489">
        <v>50</v>
      </c>
      <c r="AD919" s="489">
        <v>50</v>
      </c>
      <c r="AE919" s="489">
        <v>50</v>
      </c>
      <c r="AF919" s="489">
        <v>50</v>
      </c>
      <c r="AG919" s="489">
        <v>50</v>
      </c>
      <c r="AH919" s="489">
        <v>50</v>
      </c>
      <c r="AI919" s="489">
        <v>50</v>
      </c>
    </row>
    <row r="920" spans="2:35" outlineLevel="1">
      <c r="B920" t="str">
        <f t="shared" si="77"/>
        <v>Carbon storage - Total cost - Europe - USD/ton fuel</v>
      </c>
      <c r="C920" t="str">
        <f>C919</f>
        <v>Carbon storage</v>
      </c>
      <c r="D920" t="s">
        <v>1362</v>
      </c>
      <c r="E920" t="s">
        <v>720</v>
      </c>
      <c r="F920" t="s">
        <v>1353</v>
      </c>
      <c r="G920" s="487" t="str">
        <f t="shared" si="72"/>
        <v>Carbon storageEuropeTotal cost</v>
      </c>
      <c r="H920" s="489">
        <v>50</v>
      </c>
      <c r="I920" s="489">
        <v>50</v>
      </c>
      <c r="J920" s="489">
        <v>50</v>
      </c>
      <c r="K920" s="489">
        <v>50</v>
      </c>
      <c r="L920" s="489">
        <v>50</v>
      </c>
      <c r="M920" s="489">
        <v>50</v>
      </c>
      <c r="N920" s="489">
        <v>50</v>
      </c>
      <c r="O920" s="489">
        <v>50</v>
      </c>
      <c r="P920" s="489">
        <v>50</v>
      </c>
      <c r="Q920" s="489">
        <v>50</v>
      </c>
      <c r="R920" s="489">
        <v>50</v>
      </c>
      <c r="S920" s="489">
        <v>50</v>
      </c>
      <c r="T920" s="489">
        <v>50</v>
      </c>
      <c r="U920" s="489">
        <v>50</v>
      </c>
      <c r="V920" s="489">
        <v>50</v>
      </c>
      <c r="W920" s="489">
        <v>50</v>
      </c>
      <c r="X920" s="489">
        <v>50</v>
      </c>
      <c r="Y920" s="489">
        <v>50</v>
      </c>
      <c r="Z920" s="489">
        <v>50</v>
      </c>
      <c r="AA920" s="489">
        <v>50</v>
      </c>
      <c r="AB920" s="489">
        <v>50</v>
      </c>
      <c r="AC920" s="489">
        <v>50</v>
      </c>
      <c r="AD920" s="489">
        <v>50</v>
      </c>
      <c r="AE920" s="489">
        <v>50</v>
      </c>
      <c r="AF920" s="489">
        <v>50</v>
      </c>
      <c r="AG920" s="489">
        <v>50</v>
      </c>
      <c r="AH920" s="489">
        <v>50</v>
      </c>
      <c r="AI920" s="489">
        <v>50</v>
      </c>
    </row>
    <row r="921" spans="2:35" outlineLevel="1">
      <c r="B921" t="str">
        <f t="shared" si="77"/>
        <v>Carbon storage - Total cost - Middle East - USD/ton fuel</v>
      </c>
      <c r="C921" s="25" t="str">
        <f>C920</f>
        <v>Carbon storage</v>
      </c>
      <c r="D921" s="25" t="s">
        <v>1362</v>
      </c>
      <c r="E921" s="25" t="s">
        <v>826</v>
      </c>
      <c r="F921" s="25" t="s">
        <v>1353</v>
      </c>
      <c r="G921" s="487" t="str">
        <f t="shared" si="72"/>
        <v>Carbon storageMiddle EastTotal cost</v>
      </c>
      <c r="H921" s="490">
        <v>50</v>
      </c>
      <c r="I921" s="490">
        <v>50</v>
      </c>
      <c r="J921" s="490">
        <v>50</v>
      </c>
      <c r="K921" s="490">
        <v>50</v>
      </c>
      <c r="L921" s="490">
        <v>50</v>
      </c>
      <c r="M921" s="490">
        <v>50</v>
      </c>
      <c r="N921" s="490">
        <v>50</v>
      </c>
      <c r="O921" s="490">
        <v>50</v>
      </c>
      <c r="P921" s="490">
        <v>50</v>
      </c>
      <c r="Q921" s="490">
        <v>50</v>
      </c>
      <c r="R921" s="490">
        <v>50</v>
      </c>
      <c r="S921" s="490">
        <v>50</v>
      </c>
      <c r="T921" s="490">
        <v>50</v>
      </c>
      <c r="U921" s="490">
        <v>50</v>
      </c>
      <c r="V921" s="490">
        <v>50</v>
      </c>
      <c r="W921" s="490">
        <v>50</v>
      </c>
      <c r="X921" s="490">
        <v>50</v>
      </c>
      <c r="Y921" s="490">
        <v>50</v>
      </c>
      <c r="Z921" s="490">
        <v>50</v>
      </c>
      <c r="AA921" s="490">
        <v>50</v>
      </c>
      <c r="AB921" s="490">
        <v>50</v>
      </c>
      <c r="AC921" s="490">
        <v>50</v>
      </c>
      <c r="AD921" s="490">
        <v>50</v>
      </c>
      <c r="AE921" s="490">
        <v>50</v>
      </c>
      <c r="AF921" s="490">
        <v>50</v>
      </c>
      <c r="AG921" s="490">
        <v>50</v>
      </c>
      <c r="AH921" s="490">
        <v>50</v>
      </c>
      <c r="AI921" s="490">
        <v>50</v>
      </c>
    </row>
    <row r="922" spans="2:35" ht="15" outlineLevel="1">
      <c r="B922" t="str">
        <f t="shared" si="77"/>
        <v/>
      </c>
      <c r="C922" s="22"/>
      <c r="G922" s="487" t="str">
        <f t="shared" si="72"/>
        <v/>
      </c>
    </row>
    <row r="923" spans="2:35" ht="15" outlineLevel="1">
      <c r="B923" t="str">
        <f t="shared" si="77"/>
        <v>Carbon storage - CAPEX including feedstock CAPEX - Global - USD/ton fuel</v>
      </c>
      <c r="C923" s="491" t="str">
        <f>C916</f>
        <v>Carbon storage</v>
      </c>
      <c r="D923" s="491" t="s">
        <v>1363</v>
      </c>
      <c r="E923" s="491" t="s">
        <v>708</v>
      </c>
      <c r="F923" s="491" t="s">
        <v>1353</v>
      </c>
      <c r="G923" s="487" t="str">
        <f t="shared" si="72"/>
        <v>Carbon storageGlobalCAPEX including feedstock CAPEX</v>
      </c>
      <c r="H923" s="492">
        <v>0</v>
      </c>
      <c r="I923" s="492">
        <v>0</v>
      </c>
      <c r="J923" s="492">
        <v>0</v>
      </c>
      <c r="K923" s="492">
        <v>0</v>
      </c>
      <c r="L923" s="492">
        <v>0</v>
      </c>
      <c r="M923" s="492">
        <v>0</v>
      </c>
      <c r="N923" s="492">
        <v>0</v>
      </c>
      <c r="O923" s="492">
        <v>0</v>
      </c>
      <c r="P923" s="492">
        <v>0</v>
      </c>
      <c r="Q923" s="492">
        <v>0</v>
      </c>
      <c r="R923" s="492">
        <v>0</v>
      </c>
      <c r="S923" s="492">
        <v>0</v>
      </c>
      <c r="T923" s="492">
        <v>0</v>
      </c>
      <c r="U923" s="492">
        <v>0</v>
      </c>
      <c r="V923" s="492">
        <v>0</v>
      </c>
      <c r="W923" s="492">
        <v>0</v>
      </c>
      <c r="X923" s="492">
        <v>0</v>
      </c>
      <c r="Y923" s="492">
        <v>0</v>
      </c>
      <c r="Z923" s="492">
        <v>0</v>
      </c>
      <c r="AA923" s="492">
        <v>0</v>
      </c>
      <c r="AB923" s="492">
        <v>0</v>
      </c>
      <c r="AC923" s="492">
        <v>0</v>
      </c>
      <c r="AD923" s="492">
        <v>0</v>
      </c>
      <c r="AE923" s="492">
        <v>0</v>
      </c>
      <c r="AF923" s="492">
        <v>0</v>
      </c>
      <c r="AG923" s="492">
        <v>0</v>
      </c>
      <c r="AH923" s="492">
        <v>0</v>
      </c>
      <c r="AI923" s="492">
        <v>0</v>
      </c>
    </row>
    <row r="924" spans="2:35" outlineLevel="1">
      <c r="B924" t="str">
        <f t="shared" si="77"/>
        <v>Carbon storage - CAPEX - Global - USD/ton fuel</v>
      </c>
      <c r="C924" t="str">
        <f>C916</f>
        <v>Carbon storage</v>
      </c>
      <c r="D924" t="s">
        <v>446</v>
      </c>
      <c r="E924" t="s">
        <v>708</v>
      </c>
      <c r="F924" t="s">
        <v>1353</v>
      </c>
      <c r="G924" s="487" t="str">
        <f t="shared" si="72"/>
        <v>Carbon storageGlobalCAPEX</v>
      </c>
      <c r="H924" s="493">
        <v>0</v>
      </c>
      <c r="I924" s="493">
        <v>0</v>
      </c>
      <c r="J924" s="493">
        <v>0</v>
      </c>
      <c r="K924" s="493">
        <v>0</v>
      </c>
      <c r="L924" s="493">
        <v>0</v>
      </c>
      <c r="M924" s="493">
        <v>0</v>
      </c>
      <c r="N924" s="493">
        <v>0</v>
      </c>
      <c r="O924" s="493">
        <v>0</v>
      </c>
      <c r="P924" s="493">
        <v>0</v>
      </c>
      <c r="Q924" s="493">
        <v>0</v>
      </c>
      <c r="R924" s="493">
        <v>0</v>
      </c>
      <c r="S924" s="493">
        <v>0</v>
      </c>
      <c r="T924" s="493">
        <v>0</v>
      </c>
      <c r="U924" s="493">
        <v>0</v>
      </c>
      <c r="V924" s="493">
        <v>0</v>
      </c>
      <c r="W924" s="493">
        <v>0</v>
      </c>
      <c r="X924" s="493">
        <v>0</v>
      </c>
      <c r="Y924" s="493">
        <v>0</v>
      </c>
      <c r="Z924" s="493">
        <v>0</v>
      </c>
      <c r="AA924" s="493">
        <v>0</v>
      </c>
      <c r="AB924" s="493">
        <v>0</v>
      </c>
      <c r="AC924" s="493">
        <v>0</v>
      </c>
      <c r="AD924" s="493">
        <v>0</v>
      </c>
      <c r="AE924" s="493">
        <v>0</v>
      </c>
      <c r="AF924" s="493">
        <v>0</v>
      </c>
      <c r="AG924" s="493">
        <v>0</v>
      </c>
      <c r="AH924" s="493">
        <v>0</v>
      </c>
      <c r="AI924" s="493">
        <v>0</v>
      </c>
    </row>
    <row r="925" spans="2:35" outlineLevel="1">
      <c r="B925" t="str">
        <f t="shared" si="77"/>
        <v/>
      </c>
      <c r="G925" s="487" t="str">
        <f t="shared" si="72"/>
        <v/>
      </c>
      <c r="H925" s="493"/>
      <c r="I925" s="493"/>
      <c r="J925" s="493"/>
      <c r="K925" s="493"/>
      <c r="L925" s="493"/>
      <c r="M925" s="493"/>
      <c r="N925" s="493"/>
      <c r="O925" s="493"/>
      <c r="P925" s="493"/>
      <c r="Q925" s="493"/>
      <c r="R925" s="493"/>
      <c r="S925" s="493"/>
      <c r="T925" s="493"/>
      <c r="U925" s="493"/>
      <c r="V925" s="493"/>
      <c r="W925" s="493"/>
      <c r="X925" s="493"/>
      <c r="Y925" s="493"/>
      <c r="Z925" s="493"/>
      <c r="AA925" s="493"/>
      <c r="AB925" s="493"/>
      <c r="AC925" s="493"/>
      <c r="AD925" s="493"/>
      <c r="AE925" s="493"/>
      <c r="AF925" s="493"/>
      <c r="AG925" s="493"/>
      <c r="AH925" s="493"/>
      <c r="AI925" s="493"/>
    </row>
    <row r="926" spans="2:35" ht="15" outlineLevel="1">
      <c r="B926" t="str">
        <f t="shared" si="77"/>
        <v>Carbon storage - OPEX including feedstock OPEX - Global - USD/ton fuel</v>
      </c>
      <c r="C926" s="491" t="str">
        <f>C917</f>
        <v>Carbon storage</v>
      </c>
      <c r="D926" s="491" t="s">
        <v>1364</v>
      </c>
      <c r="E926" s="491" t="s">
        <v>708</v>
      </c>
      <c r="F926" s="491" t="s">
        <v>1353</v>
      </c>
      <c r="G926" s="487" t="str">
        <f t="shared" si="72"/>
        <v>Carbon storageGlobalOPEX including feedstock OPEX</v>
      </c>
      <c r="H926" s="492">
        <v>50</v>
      </c>
      <c r="I926" s="492">
        <v>50</v>
      </c>
      <c r="J926" s="492">
        <v>50</v>
      </c>
      <c r="K926" s="492">
        <v>50</v>
      </c>
      <c r="L926" s="492">
        <v>50</v>
      </c>
      <c r="M926" s="492">
        <v>50</v>
      </c>
      <c r="N926" s="492">
        <v>50</v>
      </c>
      <c r="O926" s="492">
        <v>50</v>
      </c>
      <c r="P926" s="492">
        <v>50</v>
      </c>
      <c r="Q926" s="492">
        <v>50</v>
      </c>
      <c r="R926" s="492">
        <v>50</v>
      </c>
      <c r="S926" s="492">
        <v>50</v>
      </c>
      <c r="T926" s="492">
        <v>50</v>
      </c>
      <c r="U926" s="492">
        <v>50</v>
      </c>
      <c r="V926" s="492">
        <v>50</v>
      </c>
      <c r="W926" s="492">
        <v>50</v>
      </c>
      <c r="X926" s="492">
        <v>50</v>
      </c>
      <c r="Y926" s="492">
        <v>50</v>
      </c>
      <c r="Z926" s="492">
        <v>50</v>
      </c>
      <c r="AA926" s="492">
        <v>50</v>
      </c>
      <c r="AB926" s="492">
        <v>50</v>
      </c>
      <c r="AC926" s="492">
        <v>50</v>
      </c>
      <c r="AD926" s="492">
        <v>50</v>
      </c>
      <c r="AE926" s="492">
        <v>50</v>
      </c>
      <c r="AF926" s="492">
        <v>50</v>
      </c>
      <c r="AG926" s="492">
        <v>50</v>
      </c>
      <c r="AH926" s="492">
        <v>50</v>
      </c>
      <c r="AI926" s="492">
        <v>50</v>
      </c>
    </row>
    <row r="927" spans="2:35" outlineLevel="1">
      <c r="B927" t="str">
        <f t="shared" si="77"/>
        <v>Carbon storage - OPEX - Global - USD/ton fuel</v>
      </c>
      <c r="C927" t="str">
        <f>C916</f>
        <v>Carbon storage</v>
      </c>
      <c r="D927" t="s">
        <v>450</v>
      </c>
      <c r="E927" t="s">
        <v>708</v>
      </c>
      <c r="F927" t="s">
        <v>1353</v>
      </c>
      <c r="G927" s="487" t="str">
        <f t="shared" si="72"/>
        <v>Carbon storageGlobalOPEX</v>
      </c>
      <c r="H927" s="493">
        <v>50</v>
      </c>
      <c r="I927" s="493">
        <v>50</v>
      </c>
      <c r="J927" s="493">
        <v>50</v>
      </c>
      <c r="K927" s="493">
        <v>50</v>
      </c>
      <c r="L927" s="493">
        <v>50</v>
      </c>
      <c r="M927" s="493">
        <v>50</v>
      </c>
      <c r="N927" s="493">
        <v>50</v>
      </c>
      <c r="O927" s="493">
        <v>50</v>
      </c>
      <c r="P927" s="493">
        <v>50</v>
      </c>
      <c r="Q927" s="493">
        <v>50</v>
      </c>
      <c r="R927" s="493">
        <v>50</v>
      </c>
      <c r="S927" s="493">
        <v>50</v>
      </c>
      <c r="T927" s="493">
        <v>50</v>
      </c>
      <c r="U927" s="493">
        <v>50</v>
      </c>
      <c r="V927" s="493">
        <v>50</v>
      </c>
      <c r="W927" s="493">
        <v>50</v>
      </c>
      <c r="X927" s="493">
        <v>50</v>
      </c>
      <c r="Y927" s="493">
        <v>50</v>
      </c>
      <c r="Z927" s="493">
        <v>50</v>
      </c>
      <c r="AA927" s="493">
        <v>50</v>
      </c>
      <c r="AB927" s="493">
        <v>50</v>
      </c>
      <c r="AC927" s="493">
        <v>50</v>
      </c>
      <c r="AD927" s="493">
        <v>50</v>
      </c>
      <c r="AE927" s="493">
        <v>50</v>
      </c>
      <c r="AF927" s="493">
        <v>50</v>
      </c>
      <c r="AG927" s="493">
        <v>50</v>
      </c>
      <c r="AH927" s="493">
        <v>50</v>
      </c>
      <c r="AI927" s="493">
        <v>50</v>
      </c>
    </row>
    <row r="928" spans="2:35" outlineLevel="1">
      <c r="B928" t="str">
        <f t="shared" si="77"/>
        <v/>
      </c>
      <c r="G928" s="487" t="str">
        <f t="shared" si="72"/>
        <v/>
      </c>
      <c r="H928" s="493"/>
      <c r="I928" s="493"/>
      <c r="J928" s="493"/>
      <c r="K928" s="493"/>
      <c r="L928" s="493"/>
      <c r="M928" s="493"/>
      <c r="N928" s="493"/>
      <c r="O928" s="493"/>
      <c r="P928" s="493"/>
      <c r="Q928" s="493"/>
      <c r="R928" s="493"/>
      <c r="S928" s="493"/>
      <c r="T928" s="493"/>
      <c r="U928" s="493"/>
      <c r="V928" s="493"/>
      <c r="W928" s="493"/>
      <c r="X928" s="493"/>
      <c r="Y928" s="493"/>
      <c r="Z928" s="493"/>
      <c r="AA928" s="493"/>
      <c r="AB928" s="493"/>
      <c r="AC928" s="493"/>
      <c r="AD928" s="493"/>
      <c r="AE928" s="493"/>
      <c r="AF928" s="493"/>
      <c r="AG928" s="493"/>
      <c r="AH928" s="493"/>
      <c r="AI928" s="493"/>
    </row>
    <row r="929" spans="2:64" ht="15" outlineLevel="1">
      <c r="B929" t="str">
        <f t="shared" si="77"/>
        <v>Carbon storage - Finance cost including feedstock finance cost - Africa - USD/ton fuel</v>
      </c>
      <c r="C929" s="494" t="str">
        <f>C920</f>
        <v>Carbon storage</v>
      </c>
      <c r="D929" s="494" t="s">
        <v>1365</v>
      </c>
      <c r="E929" s="494" t="s">
        <v>838</v>
      </c>
      <c r="F929" s="494" t="s">
        <v>1353</v>
      </c>
      <c r="G929" s="487" t="str">
        <f t="shared" si="72"/>
        <v>Carbon storageAfricaFinance cost including feedstock finance cost</v>
      </c>
      <c r="H929" s="495">
        <v>0</v>
      </c>
      <c r="I929" s="495">
        <v>0</v>
      </c>
      <c r="J929" s="495">
        <v>0</v>
      </c>
      <c r="K929" s="495">
        <v>0</v>
      </c>
      <c r="L929" s="495">
        <v>0</v>
      </c>
      <c r="M929" s="495">
        <v>0</v>
      </c>
      <c r="N929" s="495">
        <v>0</v>
      </c>
      <c r="O929" s="495">
        <v>0</v>
      </c>
      <c r="P929" s="495">
        <v>0</v>
      </c>
      <c r="Q929" s="495">
        <v>0</v>
      </c>
      <c r="R929" s="495">
        <v>0</v>
      </c>
      <c r="S929" s="495">
        <v>0</v>
      </c>
      <c r="T929" s="495">
        <v>0</v>
      </c>
      <c r="U929" s="495">
        <v>0</v>
      </c>
      <c r="V929" s="495">
        <v>0</v>
      </c>
      <c r="W929" s="495">
        <v>0</v>
      </c>
      <c r="X929" s="495">
        <v>0</v>
      </c>
      <c r="Y929" s="495">
        <v>0</v>
      </c>
      <c r="Z929" s="495">
        <v>0</v>
      </c>
      <c r="AA929" s="495">
        <v>0</v>
      </c>
      <c r="AB929" s="495">
        <v>0</v>
      </c>
      <c r="AC929" s="495">
        <v>0</v>
      </c>
      <c r="AD929" s="495">
        <v>0</v>
      </c>
      <c r="AE929" s="495">
        <v>0</v>
      </c>
      <c r="AF929" s="495">
        <v>0</v>
      </c>
      <c r="AG929" s="495">
        <v>0</v>
      </c>
      <c r="AH929" s="495">
        <v>0</v>
      </c>
      <c r="AI929" s="495">
        <v>0</v>
      </c>
    </row>
    <row r="930" spans="2:64" ht="15" outlineLevel="1">
      <c r="B930" t="str">
        <f t="shared" si="77"/>
        <v>Carbon storage - Finance cost including feedstock finance cost - Americas - USD/ton fuel</v>
      </c>
      <c r="C930" s="22" t="str">
        <f>C920</f>
        <v>Carbon storage</v>
      </c>
      <c r="D930" s="22" t="s">
        <v>1365</v>
      </c>
      <c r="E930" s="22" t="s">
        <v>731</v>
      </c>
      <c r="F930" s="22" t="s">
        <v>1353</v>
      </c>
      <c r="G930" s="487" t="str">
        <f t="shared" si="72"/>
        <v>Carbon storageAmericasFinance cost including feedstock finance cost</v>
      </c>
      <c r="H930" s="496">
        <v>0</v>
      </c>
      <c r="I930" s="496">
        <v>0</v>
      </c>
      <c r="J930" s="496">
        <v>0</v>
      </c>
      <c r="K930" s="496">
        <v>0</v>
      </c>
      <c r="L930" s="496">
        <v>0</v>
      </c>
      <c r="M930" s="496">
        <v>0</v>
      </c>
      <c r="N930" s="496">
        <v>0</v>
      </c>
      <c r="O930" s="496">
        <v>0</v>
      </c>
      <c r="P930" s="496">
        <v>0</v>
      </c>
      <c r="Q930" s="496">
        <v>0</v>
      </c>
      <c r="R930" s="496">
        <v>0</v>
      </c>
      <c r="S930" s="496">
        <v>0</v>
      </c>
      <c r="T930" s="496">
        <v>0</v>
      </c>
      <c r="U930" s="496">
        <v>0</v>
      </c>
      <c r="V930" s="496">
        <v>0</v>
      </c>
      <c r="W930" s="496">
        <v>0</v>
      </c>
      <c r="X930" s="496">
        <v>0</v>
      </c>
      <c r="Y930" s="496">
        <v>0</v>
      </c>
      <c r="Z930" s="496">
        <v>0</v>
      </c>
      <c r="AA930" s="496">
        <v>0</v>
      </c>
      <c r="AB930" s="496">
        <v>0</v>
      </c>
      <c r="AC930" s="496">
        <v>0</v>
      </c>
      <c r="AD930" s="496">
        <v>0</v>
      </c>
      <c r="AE930" s="496">
        <v>0</v>
      </c>
      <c r="AF930" s="496">
        <v>0</v>
      </c>
      <c r="AG930" s="496">
        <v>0</v>
      </c>
      <c r="AH930" s="496">
        <v>0</v>
      </c>
      <c r="AI930" s="496">
        <v>0</v>
      </c>
    </row>
    <row r="931" spans="2:64" ht="15" outlineLevel="1">
      <c r="B931" t="str">
        <f t="shared" si="77"/>
        <v>Carbon storage - Finance cost including feedstock finance cost - Asia - USD/ton fuel</v>
      </c>
      <c r="C931" s="22" t="str">
        <f>C920</f>
        <v>Carbon storage</v>
      </c>
      <c r="D931" s="22" t="s">
        <v>1365</v>
      </c>
      <c r="E931" s="22" t="s">
        <v>750</v>
      </c>
      <c r="F931" s="22" t="s">
        <v>1353</v>
      </c>
      <c r="G931" s="487" t="str">
        <f t="shared" si="72"/>
        <v>Carbon storageAsiaFinance cost including feedstock finance cost</v>
      </c>
      <c r="H931" s="496">
        <v>0</v>
      </c>
      <c r="I931" s="496">
        <v>0</v>
      </c>
      <c r="J931" s="496">
        <v>0</v>
      </c>
      <c r="K931" s="496">
        <v>0</v>
      </c>
      <c r="L931" s="496">
        <v>0</v>
      </c>
      <c r="M931" s="496">
        <v>0</v>
      </c>
      <c r="N931" s="496">
        <v>0</v>
      </c>
      <c r="O931" s="496">
        <v>0</v>
      </c>
      <c r="P931" s="496">
        <v>0</v>
      </c>
      <c r="Q931" s="496">
        <v>0</v>
      </c>
      <c r="R931" s="496">
        <v>0</v>
      </c>
      <c r="S931" s="496">
        <v>0</v>
      </c>
      <c r="T931" s="496">
        <v>0</v>
      </c>
      <c r="U931" s="496">
        <v>0</v>
      </c>
      <c r="V931" s="496">
        <v>0</v>
      </c>
      <c r="W931" s="496">
        <v>0</v>
      </c>
      <c r="X931" s="496">
        <v>0</v>
      </c>
      <c r="Y931" s="496">
        <v>0</v>
      </c>
      <c r="Z931" s="496">
        <v>0</v>
      </c>
      <c r="AA931" s="496">
        <v>0</v>
      </c>
      <c r="AB931" s="496">
        <v>0</v>
      </c>
      <c r="AC931" s="496">
        <v>0</v>
      </c>
      <c r="AD931" s="496">
        <v>0</v>
      </c>
      <c r="AE931" s="496">
        <v>0</v>
      </c>
      <c r="AF931" s="496">
        <v>0</v>
      </c>
      <c r="AG931" s="496">
        <v>0</v>
      </c>
      <c r="AH931" s="496">
        <v>0</v>
      </c>
      <c r="AI931" s="496">
        <v>0</v>
      </c>
    </row>
    <row r="932" spans="2:64" ht="15" outlineLevel="1">
      <c r="B932" t="str">
        <f t="shared" si="77"/>
        <v>Carbon storage - Finance cost including feedstock finance cost - Europe - USD/ton fuel</v>
      </c>
      <c r="C932" s="22" t="str">
        <f>C920</f>
        <v>Carbon storage</v>
      </c>
      <c r="D932" s="22" t="s">
        <v>1365</v>
      </c>
      <c r="E932" s="22" t="s">
        <v>720</v>
      </c>
      <c r="F932" s="22" t="s">
        <v>1353</v>
      </c>
      <c r="G932" s="487" t="str">
        <f t="shared" si="72"/>
        <v>Carbon storageEuropeFinance cost including feedstock finance cost</v>
      </c>
      <c r="H932" s="496">
        <v>0</v>
      </c>
      <c r="I932" s="496">
        <v>0</v>
      </c>
      <c r="J932" s="496">
        <v>0</v>
      </c>
      <c r="K932" s="496">
        <v>0</v>
      </c>
      <c r="L932" s="496">
        <v>0</v>
      </c>
      <c r="M932" s="496">
        <v>0</v>
      </c>
      <c r="N932" s="496">
        <v>0</v>
      </c>
      <c r="O932" s="496">
        <v>0</v>
      </c>
      <c r="P932" s="496">
        <v>0</v>
      </c>
      <c r="Q932" s="496">
        <v>0</v>
      </c>
      <c r="R932" s="496">
        <v>0</v>
      </c>
      <c r="S932" s="496">
        <v>0</v>
      </c>
      <c r="T932" s="496">
        <v>0</v>
      </c>
      <c r="U932" s="496">
        <v>0</v>
      </c>
      <c r="V932" s="496">
        <v>0</v>
      </c>
      <c r="W932" s="496">
        <v>0</v>
      </c>
      <c r="X932" s="496">
        <v>0</v>
      </c>
      <c r="Y932" s="496">
        <v>0</v>
      </c>
      <c r="Z932" s="496">
        <v>0</v>
      </c>
      <c r="AA932" s="496">
        <v>0</v>
      </c>
      <c r="AB932" s="496">
        <v>0</v>
      </c>
      <c r="AC932" s="496">
        <v>0</v>
      </c>
      <c r="AD932" s="496">
        <v>0</v>
      </c>
      <c r="AE932" s="496">
        <v>0</v>
      </c>
      <c r="AF932" s="496">
        <v>0</v>
      </c>
      <c r="AG932" s="496">
        <v>0</v>
      </c>
      <c r="AH932" s="496">
        <v>0</v>
      </c>
      <c r="AI932" s="496">
        <v>0</v>
      </c>
    </row>
    <row r="933" spans="2:64" ht="15" outlineLevel="1">
      <c r="B933" t="str">
        <f t="shared" si="77"/>
        <v>Carbon storage - Finance cost including feedstock finance cost - Middle East - USD/ton fuel</v>
      </c>
      <c r="C933" s="92" t="str">
        <f>C920</f>
        <v>Carbon storage</v>
      </c>
      <c r="D933" s="92" t="s">
        <v>1365</v>
      </c>
      <c r="E933" s="92" t="s">
        <v>826</v>
      </c>
      <c r="F933" s="92" t="s">
        <v>1353</v>
      </c>
      <c r="G933" s="487" t="str">
        <f t="shared" si="72"/>
        <v>Carbon storageMiddle EastFinance cost including feedstock finance cost</v>
      </c>
      <c r="H933" s="497">
        <v>0</v>
      </c>
      <c r="I933" s="497">
        <v>0</v>
      </c>
      <c r="J933" s="497">
        <v>0</v>
      </c>
      <c r="K933" s="497">
        <v>0</v>
      </c>
      <c r="L933" s="497">
        <v>0</v>
      </c>
      <c r="M933" s="497">
        <v>0</v>
      </c>
      <c r="N933" s="497">
        <v>0</v>
      </c>
      <c r="O933" s="497">
        <v>0</v>
      </c>
      <c r="P933" s="497">
        <v>0</v>
      </c>
      <c r="Q933" s="497">
        <v>0</v>
      </c>
      <c r="R933" s="497">
        <v>0</v>
      </c>
      <c r="S933" s="497">
        <v>0</v>
      </c>
      <c r="T933" s="497">
        <v>0</v>
      </c>
      <c r="U933" s="497">
        <v>0</v>
      </c>
      <c r="V933" s="497">
        <v>0</v>
      </c>
      <c r="W933" s="497">
        <v>0</v>
      </c>
      <c r="X933" s="497">
        <v>0</v>
      </c>
      <c r="Y933" s="497">
        <v>0</v>
      </c>
      <c r="Z933" s="497">
        <v>0</v>
      </c>
      <c r="AA933" s="497">
        <v>0</v>
      </c>
      <c r="AB933" s="497">
        <v>0</v>
      </c>
      <c r="AC933" s="497">
        <v>0</v>
      </c>
      <c r="AD933" s="497">
        <v>0</v>
      </c>
      <c r="AE933" s="497">
        <v>0</v>
      </c>
      <c r="AF933" s="497">
        <v>0</v>
      </c>
      <c r="AG933" s="497">
        <v>0</v>
      </c>
      <c r="AH933" s="497">
        <v>0</v>
      </c>
      <c r="AI933" s="497">
        <v>0</v>
      </c>
    </row>
    <row r="934" spans="2:64" outlineLevel="1">
      <c r="B934" t="str">
        <f t="shared" si="77"/>
        <v>Carbon storage - Finance cost - Africa - USD/ton fuel</v>
      </c>
      <c r="C934" t="str">
        <f>C916</f>
        <v>Carbon storage</v>
      </c>
      <c r="D934" t="s">
        <v>1366</v>
      </c>
      <c r="E934" t="s">
        <v>838</v>
      </c>
      <c r="F934" t="s">
        <v>1353</v>
      </c>
      <c r="G934" s="487" t="str">
        <f t="shared" si="72"/>
        <v>Carbon storageAfricaFinance cost</v>
      </c>
      <c r="H934" s="493">
        <v>0</v>
      </c>
      <c r="I934" s="493">
        <v>0</v>
      </c>
      <c r="J934" s="493">
        <v>0</v>
      </c>
      <c r="K934" s="493">
        <v>0</v>
      </c>
      <c r="L934" s="493">
        <v>0</v>
      </c>
      <c r="M934" s="493">
        <v>0</v>
      </c>
      <c r="N934" s="493">
        <v>0</v>
      </c>
      <c r="O934" s="493">
        <v>0</v>
      </c>
      <c r="P934" s="493">
        <v>0</v>
      </c>
      <c r="Q934" s="493">
        <v>0</v>
      </c>
      <c r="R934" s="493">
        <v>0</v>
      </c>
      <c r="S934" s="493">
        <v>0</v>
      </c>
      <c r="T934" s="493">
        <v>0</v>
      </c>
      <c r="U934" s="493">
        <v>0</v>
      </c>
      <c r="V934" s="493">
        <v>0</v>
      </c>
      <c r="W934" s="493">
        <v>0</v>
      </c>
      <c r="X934" s="493">
        <v>0</v>
      </c>
      <c r="Y934" s="493">
        <v>0</v>
      </c>
      <c r="Z934" s="493">
        <v>0</v>
      </c>
      <c r="AA934" s="493">
        <v>0</v>
      </c>
      <c r="AB934" s="493">
        <v>0</v>
      </c>
      <c r="AC934" s="493">
        <v>0</v>
      </c>
      <c r="AD934" s="493">
        <v>0</v>
      </c>
      <c r="AE934" s="493">
        <v>0</v>
      </c>
      <c r="AF934" s="493">
        <v>0</v>
      </c>
      <c r="AG934" s="493">
        <v>0</v>
      </c>
      <c r="AH934" s="493">
        <v>0</v>
      </c>
      <c r="AI934" s="493">
        <v>0</v>
      </c>
    </row>
    <row r="935" spans="2:64" outlineLevel="1">
      <c r="B935" t="str">
        <f t="shared" si="77"/>
        <v>Carbon storage - Finance cost - Americas - USD/ton fuel</v>
      </c>
      <c r="C935" t="str">
        <f>C916</f>
        <v>Carbon storage</v>
      </c>
      <c r="D935" t="s">
        <v>1366</v>
      </c>
      <c r="E935" t="s">
        <v>731</v>
      </c>
      <c r="F935" t="s">
        <v>1353</v>
      </c>
      <c r="G935" s="487" t="str">
        <f t="shared" si="72"/>
        <v>Carbon storageAmericasFinance cost</v>
      </c>
      <c r="H935" s="493">
        <v>0</v>
      </c>
      <c r="I935" s="493">
        <v>0</v>
      </c>
      <c r="J935" s="493">
        <v>0</v>
      </c>
      <c r="K935" s="493">
        <v>0</v>
      </c>
      <c r="L935" s="493">
        <v>0</v>
      </c>
      <c r="M935" s="493">
        <v>0</v>
      </c>
      <c r="N935" s="493">
        <v>0</v>
      </c>
      <c r="O935" s="493">
        <v>0</v>
      </c>
      <c r="P935" s="493">
        <v>0</v>
      </c>
      <c r="Q935" s="493">
        <v>0</v>
      </c>
      <c r="R935" s="493">
        <v>0</v>
      </c>
      <c r="S935" s="493">
        <v>0</v>
      </c>
      <c r="T935" s="493">
        <v>0</v>
      </c>
      <c r="U935" s="493">
        <v>0</v>
      </c>
      <c r="V935" s="493">
        <v>0</v>
      </c>
      <c r="W935" s="493">
        <v>0</v>
      </c>
      <c r="X935" s="493">
        <v>0</v>
      </c>
      <c r="Y935" s="493">
        <v>0</v>
      </c>
      <c r="Z935" s="493">
        <v>0</v>
      </c>
      <c r="AA935" s="493">
        <v>0</v>
      </c>
      <c r="AB935" s="493">
        <v>0</v>
      </c>
      <c r="AC935" s="493">
        <v>0</v>
      </c>
      <c r="AD935" s="493">
        <v>0</v>
      </c>
      <c r="AE935" s="493">
        <v>0</v>
      </c>
      <c r="AF935" s="493">
        <v>0</v>
      </c>
      <c r="AG935" s="493">
        <v>0</v>
      </c>
      <c r="AH935" s="493">
        <v>0</v>
      </c>
      <c r="AI935" s="493">
        <v>0</v>
      </c>
    </row>
    <row r="936" spans="2:64" outlineLevel="1">
      <c r="B936" t="str">
        <f t="shared" si="77"/>
        <v>Carbon storage - Finance cost - Asia - USD/ton fuel</v>
      </c>
      <c r="C936" t="str">
        <f>C916</f>
        <v>Carbon storage</v>
      </c>
      <c r="D936" t="s">
        <v>1366</v>
      </c>
      <c r="E936" t="s">
        <v>750</v>
      </c>
      <c r="F936" t="s">
        <v>1353</v>
      </c>
      <c r="G936" s="487" t="str">
        <f t="shared" si="72"/>
        <v>Carbon storageAsiaFinance cost</v>
      </c>
      <c r="H936" s="493">
        <v>0</v>
      </c>
      <c r="I936" s="493">
        <v>0</v>
      </c>
      <c r="J936" s="493">
        <v>0</v>
      </c>
      <c r="K936" s="493">
        <v>0</v>
      </c>
      <c r="L936" s="493">
        <v>0</v>
      </c>
      <c r="M936" s="493">
        <v>0</v>
      </c>
      <c r="N936" s="493">
        <v>0</v>
      </c>
      <c r="O936" s="493">
        <v>0</v>
      </c>
      <c r="P936" s="493">
        <v>0</v>
      </c>
      <c r="Q936" s="493">
        <v>0</v>
      </c>
      <c r="R936" s="493">
        <v>0</v>
      </c>
      <c r="S936" s="493">
        <v>0</v>
      </c>
      <c r="T936" s="493">
        <v>0</v>
      </c>
      <c r="U936" s="493">
        <v>0</v>
      </c>
      <c r="V936" s="493">
        <v>0</v>
      </c>
      <c r="W936" s="493">
        <v>0</v>
      </c>
      <c r="X936" s="493">
        <v>0</v>
      </c>
      <c r="Y936" s="493">
        <v>0</v>
      </c>
      <c r="Z936" s="493">
        <v>0</v>
      </c>
      <c r="AA936" s="493">
        <v>0</v>
      </c>
      <c r="AB936" s="493">
        <v>0</v>
      </c>
      <c r="AC936" s="493">
        <v>0</v>
      </c>
      <c r="AD936" s="493">
        <v>0</v>
      </c>
      <c r="AE936" s="493">
        <v>0</v>
      </c>
      <c r="AF936" s="493">
        <v>0</v>
      </c>
      <c r="AG936" s="493">
        <v>0</v>
      </c>
      <c r="AH936" s="493">
        <v>0</v>
      </c>
      <c r="AI936" s="493">
        <v>0</v>
      </c>
    </row>
    <row r="937" spans="2:64" outlineLevel="1">
      <c r="B937" t="str">
        <f t="shared" si="77"/>
        <v>Carbon storage - Finance cost - Europe - USD/ton fuel</v>
      </c>
      <c r="C937" t="str">
        <f>C916</f>
        <v>Carbon storage</v>
      </c>
      <c r="D937" t="s">
        <v>1366</v>
      </c>
      <c r="E937" t="s">
        <v>720</v>
      </c>
      <c r="F937" t="s">
        <v>1353</v>
      </c>
      <c r="G937" s="487" t="str">
        <f t="shared" si="72"/>
        <v>Carbon storageEuropeFinance cost</v>
      </c>
      <c r="H937" s="493">
        <v>0</v>
      </c>
      <c r="I937" s="493">
        <v>0</v>
      </c>
      <c r="J937" s="493">
        <v>0</v>
      </c>
      <c r="K937" s="493">
        <v>0</v>
      </c>
      <c r="L937" s="493">
        <v>0</v>
      </c>
      <c r="M937" s="493">
        <v>0</v>
      </c>
      <c r="N937" s="493">
        <v>0</v>
      </c>
      <c r="O937" s="493">
        <v>0</v>
      </c>
      <c r="P937" s="493">
        <v>0</v>
      </c>
      <c r="Q937" s="493">
        <v>0</v>
      </c>
      <c r="R937" s="493">
        <v>0</v>
      </c>
      <c r="S937" s="493">
        <v>0</v>
      </c>
      <c r="T937" s="493">
        <v>0</v>
      </c>
      <c r="U937" s="493">
        <v>0</v>
      </c>
      <c r="V937" s="493">
        <v>0</v>
      </c>
      <c r="W937" s="493">
        <v>0</v>
      </c>
      <c r="X937" s="493">
        <v>0</v>
      </c>
      <c r="Y937" s="493">
        <v>0</v>
      </c>
      <c r="Z937" s="493">
        <v>0</v>
      </c>
      <c r="AA937" s="493">
        <v>0</v>
      </c>
      <c r="AB937" s="493">
        <v>0</v>
      </c>
      <c r="AC937" s="493">
        <v>0</v>
      </c>
      <c r="AD937" s="493">
        <v>0</v>
      </c>
      <c r="AE937" s="493">
        <v>0</v>
      </c>
      <c r="AF937" s="493">
        <v>0</v>
      </c>
      <c r="AG937" s="493">
        <v>0</v>
      </c>
      <c r="AH937" s="493">
        <v>0</v>
      </c>
      <c r="AI937" s="493">
        <v>0</v>
      </c>
    </row>
    <row r="938" spans="2:64" outlineLevel="1">
      <c r="B938" t="str">
        <f t="shared" si="77"/>
        <v>Carbon storage - Finance cost - Middle East - USD/ton fuel</v>
      </c>
      <c r="C938" t="str">
        <f>C916</f>
        <v>Carbon storage</v>
      </c>
      <c r="D938" t="s">
        <v>1366</v>
      </c>
      <c r="E938" t="s">
        <v>826</v>
      </c>
      <c r="F938" t="s">
        <v>1353</v>
      </c>
      <c r="G938" s="487" t="str">
        <f t="shared" si="72"/>
        <v>Carbon storageMiddle EastFinance cost</v>
      </c>
      <c r="H938" s="493">
        <v>0</v>
      </c>
      <c r="I938" s="493">
        <v>0</v>
      </c>
      <c r="J938" s="493">
        <v>0</v>
      </c>
      <c r="K938" s="493">
        <v>0</v>
      </c>
      <c r="L938" s="493">
        <v>0</v>
      </c>
      <c r="M938" s="493">
        <v>0</v>
      </c>
      <c r="N938" s="493">
        <v>0</v>
      </c>
      <c r="O938" s="493">
        <v>0</v>
      </c>
      <c r="P938" s="493">
        <v>0</v>
      </c>
      <c r="Q938" s="493">
        <v>0</v>
      </c>
      <c r="R938" s="493">
        <v>0</v>
      </c>
      <c r="S938" s="493">
        <v>0</v>
      </c>
      <c r="T938" s="493">
        <v>0</v>
      </c>
      <c r="U938" s="493">
        <v>0</v>
      </c>
      <c r="V938" s="493">
        <v>0</v>
      </c>
      <c r="W938" s="493">
        <v>0</v>
      </c>
      <c r="X938" s="493">
        <v>0</v>
      </c>
      <c r="Y938" s="493">
        <v>0</v>
      </c>
      <c r="Z938" s="493">
        <v>0</v>
      </c>
      <c r="AA938" s="493">
        <v>0</v>
      </c>
      <c r="AB938" s="493">
        <v>0</v>
      </c>
      <c r="AC938" s="493">
        <v>0</v>
      </c>
      <c r="AD938" s="493">
        <v>0</v>
      </c>
      <c r="AE938" s="493">
        <v>0</v>
      </c>
      <c r="AF938" s="493">
        <v>0</v>
      </c>
      <c r="AG938" s="493">
        <v>0</v>
      </c>
      <c r="AH938" s="493">
        <v>0</v>
      </c>
      <c r="AI938" s="493">
        <v>0</v>
      </c>
    </row>
    <row r="939" spans="2:64" ht="15" outlineLevel="1" thickBot="1">
      <c r="B939" t="str">
        <f t="shared" si="77"/>
        <v/>
      </c>
      <c r="G939" s="487" t="str">
        <f t="shared" si="72"/>
        <v/>
      </c>
      <c r="H939" s="498"/>
    </row>
    <row r="940" spans="2:64" ht="15" outlineLevel="1">
      <c r="B940" t="str">
        <f t="shared" si="77"/>
        <v>Carbon storage - Energy cost including feedstock energy cost - Africa - USD/ton fuel</v>
      </c>
      <c r="C940" s="494" t="str">
        <f>C916</f>
        <v>Carbon storage</v>
      </c>
      <c r="D940" s="494" t="s">
        <v>1367</v>
      </c>
      <c r="E940" s="494" t="s">
        <v>838</v>
      </c>
      <c r="F940" s="494" t="s">
        <v>1353</v>
      </c>
      <c r="G940" s="487" t="str">
        <f t="shared" si="72"/>
        <v>Carbon storageAfricaEnergy cost including feedstock energy cost</v>
      </c>
      <c r="H940" s="495">
        <v>0</v>
      </c>
      <c r="I940" s="495">
        <v>0</v>
      </c>
      <c r="J940" s="495">
        <v>0</v>
      </c>
      <c r="K940" s="495">
        <v>0</v>
      </c>
      <c r="L940" s="495">
        <v>0</v>
      </c>
      <c r="M940" s="495">
        <v>0</v>
      </c>
      <c r="N940" s="495">
        <v>0</v>
      </c>
      <c r="O940" s="495">
        <v>0</v>
      </c>
      <c r="P940" s="495">
        <v>0</v>
      </c>
      <c r="Q940" s="495">
        <v>0</v>
      </c>
      <c r="R940" s="495">
        <v>0</v>
      </c>
      <c r="S940" s="495">
        <v>0</v>
      </c>
      <c r="T940" s="495">
        <v>0</v>
      </c>
      <c r="U940" s="495">
        <v>0</v>
      </c>
      <c r="V940" s="495">
        <v>0</v>
      </c>
      <c r="W940" s="495">
        <v>0</v>
      </c>
      <c r="X940" s="495">
        <v>0</v>
      </c>
      <c r="Y940" s="495">
        <v>0</v>
      </c>
      <c r="Z940" s="495">
        <v>0</v>
      </c>
      <c r="AA940" s="495">
        <v>0</v>
      </c>
      <c r="AB940" s="495">
        <v>0</v>
      </c>
      <c r="AC940" s="495">
        <v>0</v>
      </c>
      <c r="AD940" s="495">
        <v>0</v>
      </c>
      <c r="AE940" s="495">
        <v>0</v>
      </c>
      <c r="AF940" s="495">
        <v>0</v>
      </c>
      <c r="AG940" s="495">
        <v>0</v>
      </c>
      <c r="AH940" s="495">
        <v>0</v>
      </c>
      <c r="AI940" s="495">
        <v>0</v>
      </c>
      <c r="AK940" s="499" t="b">
        <f t="shared" ref="AK940:BL940" si="78">H923+H926+H929+H940+H951=H917</f>
        <v>1</v>
      </c>
      <c r="AL940" s="500" t="b">
        <f t="shared" si="78"/>
        <v>1</v>
      </c>
      <c r="AM940" s="500" t="b">
        <f t="shared" si="78"/>
        <v>1</v>
      </c>
      <c r="AN940" s="500" t="b">
        <f t="shared" si="78"/>
        <v>1</v>
      </c>
      <c r="AO940" s="500" t="b">
        <f t="shared" si="78"/>
        <v>1</v>
      </c>
      <c r="AP940" s="500" t="b">
        <f t="shared" si="78"/>
        <v>1</v>
      </c>
      <c r="AQ940" s="500" t="b">
        <f t="shared" si="78"/>
        <v>1</v>
      </c>
      <c r="AR940" s="500" t="b">
        <f t="shared" si="78"/>
        <v>1</v>
      </c>
      <c r="AS940" s="500" t="b">
        <f t="shared" si="78"/>
        <v>1</v>
      </c>
      <c r="AT940" s="500" t="b">
        <f t="shared" si="78"/>
        <v>1</v>
      </c>
      <c r="AU940" s="500" t="b">
        <f t="shared" si="78"/>
        <v>1</v>
      </c>
      <c r="AV940" s="500" t="b">
        <f t="shared" si="78"/>
        <v>1</v>
      </c>
      <c r="AW940" s="500" t="b">
        <f t="shared" si="78"/>
        <v>1</v>
      </c>
      <c r="AX940" s="500" t="b">
        <f t="shared" si="78"/>
        <v>1</v>
      </c>
      <c r="AY940" s="500" t="b">
        <f t="shared" si="78"/>
        <v>1</v>
      </c>
      <c r="AZ940" s="500" t="b">
        <f t="shared" si="78"/>
        <v>1</v>
      </c>
      <c r="BA940" s="500" t="b">
        <f t="shared" si="78"/>
        <v>1</v>
      </c>
      <c r="BB940" s="500" t="b">
        <f t="shared" si="78"/>
        <v>1</v>
      </c>
      <c r="BC940" s="500" t="b">
        <f t="shared" si="78"/>
        <v>1</v>
      </c>
      <c r="BD940" s="500" t="b">
        <f t="shared" si="78"/>
        <v>1</v>
      </c>
      <c r="BE940" s="500" t="b">
        <f t="shared" si="78"/>
        <v>1</v>
      </c>
      <c r="BF940" s="500" t="b">
        <f t="shared" si="78"/>
        <v>1</v>
      </c>
      <c r="BG940" s="500" t="b">
        <f t="shared" si="78"/>
        <v>1</v>
      </c>
      <c r="BH940" s="500" t="b">
        <f t="shared" si="78"/>
        <v>1</v>
      </c>
      <c r="BI940" s="500" t="b">
        <f t="shared" si="78"/>
        <v>1</v>
      </c>
      <c r="BJ940" s="500" t="b">
        <f t="shared" si="78"/>
        <v>1</v>
      </c>
      <c r="BK940" s="500" t="b">
        <f t="shared" si="78"/>
        <v>1</v>
      </c>
      <c r="BL940" s="501" t="b">
        <f t="shared" si="78"/>
        <v>1</v>
      </c>
    </row>
    <row r="941" spans="2:64" ht="15" outlineLevel="1">
      <c r="B941" t="str">
        <f t="shared" si="77"/>
        <v>Carbon storage - Energy cost including feedstock energy cost - Americas - USD/ton fuel</v>
      </c>
      <c r="C941" s="22" t="str">
        <f>C916</f>
        <v>Carbon storage</v>
      </c>
      <c r="D941" s="22" t="s">
        <v>1367</v>
      </c>
      <c r="E941" s="22" t="s">
        <v>731</v>
      </c>
      <c r="F941" s="22" t="s">
        <v>1353</v>
      </c>
      <c r="G941" s="487" t="str">
        <f t="shared" si="72"/>
        <v>Carbon storageAmericasEnergy cost including feedstock energy cost</v>
      </c>
      <c r="H941" s="496">
        <v>0</v>
      </c>
      <c r="I941" s="496">
        <v>0</v>
      </c>
      <c r="J941" s="496">
        <v>0</v>
      </c>
      <c r="K941" s="496">
        <v>0</v>
      </c>
      <c r="L941" s="496">
        <v>0</v>
      </c>
      <c r="M941" s="496">
        <v>0</v>
      </c>
      <c r="N941" s="496">
        <v>0</v>
      </c>
      <c r="O941" s="496">
        <v>0</v>
      </c>
      <c r="P941" s="496">
        <v>0</v>
      </c>
      <c r="Q941" s="496">
        <v>0</v>
      </c>
      <c r="R941" s="496">
        <v>0</v>
      </c>
      <c r="S941" s="496">
        <v>0</v>
      </c>
      <c r="T941" s="496">
        <v>0</v>
      </c>
      <c r="U941" s="496">
        <v>0</v>
      </c>
      <c r="V941" s="496">
        <v>0</v>
      </c>
      <c r="W941" s="496">
        <v>0</v>
      </c>
      <c r="X941" s="496">
        <v>0</v>
      </c>
      <c r="Y941" s="496">
        <v>0</v>
      </c>
      <c r="Z941" s="496">
        <v>0</v>
      </c>
      <c r="AA941" s="496">
        <v>0</v>
      </c>
      <c r="AB941" s="496">
        <v>0</v>
      </c>
      <c r="AC941" s="496">
        <v>0</v>
      </c>
      <c r="AD941" s="496">
        <v>0</v>
      </c>
      <c r="AE941" s="496">
        <v>0</v>
      </c>
      <c r="AF941" s="496">
        <v>0</v>
      </c>
      <c r="AG941" s="496">
        <v>0</v>
      </c>
      <c r="AH941" s="496">
        <v>0</v>
      </c>
      <c r="AI941" s="496">
        <v>0</v>
      </c>
      <c r="AK941" s="502" t="b">
        <f t="shared" ref="AK941:BL941" si="79">H923+H926+H930+H941+H951=H918</f>
        <v>1</v>
      </c>
      <c r="AL941" s="106" t="b">
        <f t="shared" si="79"/>
        <v>1</v>
      </c>
      <c r="AM941" s="106" t="b">
        <f t="shared" si="79"/>
        <v>1</v>
      </c>
      <c r="AN941" s="106" t="b">
        <f t="shared" si="79"/>
        <v>1</v>
      </c>
      <c r="AO941" s="106" t="b">
        <f t="shared" si="79"/>
        <v>1</v>
      </c>
      <c r="AP941" s="106" t="b">
        <f t="shared" si="79"/>
        <v>1</v>
      </c>
      <c r="AQ941" s="106" t="b">
        <f t="shared" si="79"/>
        <v>1</v>
      </c>
      <c r="AR941" s="106" t="b">
        <f t="shared" si="79"/>
        <v>1</v>
      </c>
      <c r="AS941" s="106" t="b">
        <f t="shared" si="79"/>
        <v>1</v>
      </c>
      <c r="AT941" s="106" t="b">
        <f t="shared" si="79"/>
        <v>1</v>
      </c>
      <c r="AU941" s="106" t="b">
        <f t="shared" si="79"/>
        <v>1</v>
      </c>
      <c r="AV941" s="106" t="b">
        <f t="shared" si="79"/>
        <v>1</v>
      </c>
      <c r="AW941" s="106" t="b">
        <f t="shared" si="79"/>
        <v>1</v>
      </c>
      <c r="AX941" s="106" t="b">
        <f t="shared" si="79"/>
        <v>1</v>
      </c>
      <c r="AY941" s="106" t="b">
        <f t="shared" si="79"/>
        <v>1</v>
      </c>
      <c r="AZ941" s="106" t="b">
        <f t="shared" si="79"/>
        <v>1</v>
      </c>
      <c r="BA941" s="106" t="b">
        <f t="shared" si="79"/>
        <v>1</v>
      </c>
      <c r="BB941" s="106" t="b">
        <f t="shared" si="79"/>
        <v>1</v>
      </c>
      <c r="BC941" s="106" t="b">
        <f t="shared" si="79"/>
        <v>1</v>
      </c>
      <c r="BD941" s="106" t="b">
        <f t="shared" si="79"/>
        <v>1</v>
      </c>
      <c r="BE941" s="106" t="b">
        <f t="shared" si="79"/>
        <v>1</v>
      </c>
      <c r="BF941" s="106" t="b">
        <f t="shared" si="79"/>
        <v>1</v>
      </c>
      <c r="BG941" s="106" t="b">
        <f t="shared" si="79"/>
        <v>1</v>
      </c>
      <c r="BH941" s="106" t="b">
        <f t="shared" si="79"/>
        <v>1</v>
      </c>
      <c r="BI941" s="106" t="b">
        <f t="shared" si="79"/>
        <v>1</v>
      </c>
      <c r="BJ941" s="106" t="b">
        <f t="shared" si="79"/>
        <v>1</v>
      </c>
      <c r="BK941" s="106" t="b">
        <f t="shared" si="79"/>
        <v>1</v>
      </c>
      <c r="BL941" s="503" t="b">
        <f t="shared" si="79"/>
        <v>1</v>
      </c>
    </row>
    <row r="942" spans="2:64" ht="15" outlineLevel="1">
      <c r="B942" t="str">
        <f t="shared" si="77"/>
        <v>Carbon storage - Energy cost including feedstock energy cost - Asia - USD/ton fuel</v>
      </c>
      <c r="C942" s="22" t="str">
        <f>C916</f>
        <v>Carbon storage</v>
      </c>
      <c r="D942" s="22" t="s">
        <v>1367</v>
      </c>
      <c r="E942" s="22" t="s">
        <v>750</v>
      </c>
      <c r="F942" s="22" t="s">
        <v>1353</v>
      </c>
      <c r="G942" s="487" t="str">
        <f t="shared" si="72"/>
        <v>Carbon storageAsiaEnergy cost including feedstock energy cost</v>
      </c>
      <c r="H942" s="496">
        <v>0</v>
      </c>
      <c r="I942" s="496">
        <v>0</v>
      </c>
      <c r="J942" s="496">
        <v>0</v>
      </c>
      <c r="K942" s="496">
        <v>0</v>
      </c>
      <c r="L942" s="496">
        <v>0</v>
      </c>
      <c r="M942" s="496">
        <v>0</v>
      </c>
      <c r="N942" s="496">
        <v>0</v>
      </c>
      <c r="O942" s="496">
        <v>0</v>
      </c>
      <c r="P942" s="496">
        <v>0</v>
      </c>
      <c r="Q942" s="496">
        <v>0</v>
      </c>
      <c r="R942" s="496">
        <v>0</v>
      </c>
      <c r="S942" s="496">
        <v>0</v>
      </c>
      <c r="T942" s="496">
        <v>0</v>
      </c>
      <c r="U942" s="496">
        <v>0</v>
      </c>
      <c r="V942" s="496">
        <v>0</v>
      </c>
      <c r="W942" s="496">
        <v>0</v>
      </c>
      <c r="X942" s="496">
        <v>0</v>
      </c>
      <c r="Y942" s="496">
        <v>0</v>
      </c>
      <c r="Z942" s="496">
        <v>0</v>
      </c>
      <c r="AA942" s="496">
        <v>0</v>
      </c>
      <c r="AB942" s="496">
        <v>0</v>
      </c>
      <c r="AC942" s="496">
        <v>0</v>
      </c>
      <c r="AD942" s="496">
        <v>0</v>
      </c>
      <c r="AE942" s="496">
        <v>0</v>
      </c>
      <c r="AF942" s="496">
        <v>0</v>
      </c>
      <c r="AG942" s="496">
        <v>0</v>
      </c>
      <c r="AH942" s="496">
        <v>0</v>
      </c>
      <c r="AI942" s="496">
        <v>0</v>
      </c>
      <c r="AK942" s="502" t="b">
        <f t="shared" ref="AK942:BL942" si="80">H923+H926+H931+H942+H951=H919</f>
        <v>1</v>
      </c>
      <c r="AL942" s="106" t="b">
        <f t="shared" si="80"/>
        <v>1</v>
      </c>
      <c r="AM942" s="106" t="b">
        <f t="shared" si="80"/>
        <v>1</v>
      </c>
      <c r="AN942" s="106" t="b">
        <f t="shared" si="80"/>
        <v>1</v>
      </c>
      <c r="AO942" s="106" t="b">
        <f t="shared" si="80"/>
        <v>1</v>
      </c>
      <c r="AP942" s="106" t="b">
        <f t="shared" si="80"/>
        <v>1</v>
      </c>
      <c r="AQ942" s="106" t="b">
        <f t="shared" si="80"/>
        <v>1</v>
      </c>
      <c r="AR942" s="106" t="b">
        <f t="shared" si="80"/>
        <v>1</v>
      </c>
      <c r="AS942" s="106" t="b">
        <f t="shared" si="80"/>
        <v>1</v>
      </c>
      <c r="AT942" s="106" t="b">
        <f t="shared" si="80"/>
        <v>1</v>
      </c>
      <c r="AU942" s="106" t="b">
        <f t="shared" si="80"/>
        <v>1</v>
      </c>
      <c r="AV942" s="106" t="b">
        <f t="shared" si="80"/>
        <v>1</v>
      </c>
      <c r="AW942" s="106" t="b">
        <f t="shared" si="80"/>
        <v>1</v>
      </c>
      <c r="AX942" s="106" t="b">
        <f t="shared" si="80"/>
        <v>1</v>
      </c>
      <c r="AY942" s="106" t="b">
        <f t="shared" si="80"/>
        <v>1</v>
      </c>
      <c r="AZ942" s="106" t="b">
        <f t="shared" si="80"/>
        <v>1</v>
      </c>
      <c r="BA942" s="106" t="b">
        <f t="shared" si="80"/>
        <v>1</v>
      </c>
      <c r="BB942" s="106" t="b">
        <f t="shared" si="80"/>
        <v>1</v>
      </c>
      <c r="BC942" s="106" t="b">
        <f t="shared" si="80"/>
        <v>1</v>
      </c>
      <c r="BD942" s="106" t="b">
        <f t="shared" si="80"/>
        <v>1</v>
      </c>
      <c r="BE942" s="106" t="b">
        <f t="shared" si="80"/>
        <v>1</v>
      </c>
      <c r="BF942" s="106" t="b">
        <f t="shared" si="80"/>
        <v>1</v>
      </c>
      <c r="BG942" s="106" t="b">
        <f t="shared" si="80"/>
        <v>1</v>
      </c>
      <c r="BH942" s="106" t="b">
        <f t="shared" si="80"/>
        <v>1</v>
      </c>
      <c r="BI942" s="106" t="b">
        <f t="shared" si="80"/>
        <v>1</v>
      </c>
      <c r="BJ942" s="106" t="b">
        <f t="shared" si="80"/>
        <v>1</v>
      </c>
      <c r="BK942" s="106" t="b">
        <f t="shared" si="80"/>
        <v>1</v>
      </c>
      <c r="BL942" s="503" t="b">
        <f t="shared" si="80"/>
        <v>1</v>
      </c>
    </row>
    <row r="943" spans="2:64" ht="15" outlineLevel="1">
      <c r="B943" t="str">
        <f t="shared" si="77"/>
        <v>Carbon storage - Energy cost including feedstock energy cost - Europe - USD/ton fuel</v>
      </c>
      <c r="C943" s="22" t="str">
        <f>C916</f>
        <v>Carbon storage</v>
      </c>
      <c r="D943" s="22" t="s">
        <v>1367</v>
      </c>
      <c r="E943" s="22" t="s">
        <v>720</v>
      </c>
      <c r="F943" s="22" t="s">
        <v>1353</v>
      </c>
      <c r="G943" s="487" t="str">
        <f t="shared" si="72"/>
        <v>Carbon storageEuropeEnergy cost including feedstock energy cost</v>
      </c>
      <c r="H943" s="496">
        <v>0</v>
      </c>
      <c r="I943" s="496">
        <v>0</v>
      </c>
      <c r="J943" s="496">
        <v>0</v>
      </c>
      <c r="K943" s="496">
        <v>0</v>
      </c>
      <c r="L943" s="496">
        <v>0</v>
      </c>
      <c r="M943" s="496">
        <v>0</v>
      </c>
      <c r="N943" s="496">
        <v>0</v>
      </c>
      <c r="O943" s="496">
        <v>0</v>
      </c>
      <c r="P943" s="496">
        <v>0</v>
      </c>
      <c r="Q943" s="496">
        <v>0</v>
      </c>
      <c r="R943" s="496">
        <v>0</v>
      </c>
      <c r="S943" s="496">
        <v>0</v>
      </c>
      <c r="T943" s="496">
        <v>0</v>
      </c>
      <c r="U943" s="496">
        <v>0</v>
      </c>
      <c r="V943" s="496">
        <v>0</v>
      </c>
      <c r="W943" s="496">
        <v>0</v>
      </c>
      <c r="X943" s="496">
        <v>0</v>
      </c>
      <c r="Y943" s="496">
        <v>0</v>
      </c>
      <c r="Z943" s="496">
        <v>0</v>
      </c>
      <c r="AA943" s="496">
        <v>0</v>
      </c>
      <c r="AB943" s="496">
        <v>0</v>
      </c>
      <c r="AC943" s="496">
        <v>0</v>
      </c>
      <c r="AD943" s="496">
        <v>0</v>
      </c>
      <c r="AE943" s="496">
        <v>0</v>
      </c>
      <c r="AF943" s="496">
        <v>0</v>
      </c>
      <c r="AG943" s="496">
        <v>0</v>
      </c>
      <c r="AH943" s="496">
        <v>0</v>
      </c>
      <c r="AI943" s="496">
        <v>0</v>
      </c>
      <c r="AK943" s="502" t="b">
        <f t="shared" ref="AK943:BL943" si="81">H923+H926+H932+H943+H951=H920</f>
        <v>1</v>
      </c>
      <c r="AL943" s="106" t="b">
        <f t="shared" si="81"/>
        <v>1</v>
      </c>
      <c r="AM943" s="106" t="b">
        <f t="shared" si="81"/>
        <v>1</v>
      </c>
      <c r="AN943" s="106" t="b">
        <f t="shared" si="81"/>
        <v>1</v>
      </c>
      <c r="AO943" s="106" t="b">
        <f t="shared" si="81"/>
        <v>1</v>
      </c>
      <c r="AP943" s="106" t="b">
        <f t="shared" si="81"/>
        <v>1</v>
      </c>
      <c r="AQ943" s="106" t="b">
        <f t="shared" si="81"/>
        <v>1</v>
      </c>
      <c r="AR943" s="106" t="b">
        <f t="shared" si="81"/>
        <v>1</v>
      </c>
      <c r="AS943" s="106" t="b">
        <f t="shared" si="81"/>
        <v>1</v>
      </c>
      <c r="AT943" s="106" t="b">
        <f t="shared" si="81"/>
        <v>1</v>
      </c>
      <c r="AU943" s="106" t="b">
        <f t="shared" si="81"/>
        <v>1</v>
      </c>
      <c r="AV943" s="106" t="b">
        <f t="shared" si="81"/>
        <v>1</v>
      </c>
      <c r="AW943" s="106" t="b">
        <f t="shared" si="81"/>
        <v>1</v>
      </c>
      <c r="AX943" s="106" t="b">
        <f t="shared" si="81"/>
        <v>1</v>
      </c>
      <c r="AY943" s="106" t="b">
        <f t="shared" si="81"/>
        <v>1</v>
      </c>
      <c r="AZ943" s="106" t="b">
        <f t="shared" si="81"/>
        <v>1</v>
      </c>
      <c r="BA943" s="106" t="b">
        <f t="shared" si="81"/>
        <v>1</v>
      </c>
      <c r="BB943" s="106" t="b">
        <f t="shared" si="81"/>
        <v>1</v>
      </c>
      <c r="BC943" s="106" t="b">
        <f t="shared" si="81"/>
        <v>1</v>
      </c>
      <c r="BD943" s="106" t="b">
        <f t="shared" si="81"/>
        <v>1</v>
      </c>
      <c r="BE943" s="106" t="b">
        <f t="shared" si="81"/>
        <v>1</v>
      </c>
      <c r="BF943" s="106" t="b">
        <f t="shared" si="81"/>
        <v>1</v>
      </c>
      <c r="BG943" s="106" t="b">
        <f t="shared" si="81"/>
        <v>1</v>
      </c>
      <c r="BH943" s="106" t="b">
        <f t="shared" si="81"/>
        <v>1</v>
      </c>
      <c r="BI943" s="106" t="b">
        <f t="shared" si="81"/>
        <v>1</v>
      </c>
      <c r="BJ943" s="106" t="b">
        <f t="shared" si="81"/>
        <v>1</v>
      </c>
      <c r="BK943" s="106" t="b">
        <f t="shared" si="81"/>
        <v>1</v>
      </c>
      <c r="BL943" s="503" t="b">
        <f t="shared" si="81"/>
        <v>1</v>
      </c>
    </row>
    <row r="944" spans="2:64" ht="15.75" outlineLevel="1" thickBot="1">
      <c r="B944" t="str">
        <f t="shared" si="77"/>
        <v>Carbon storage - Energy cost including feedstock energy cost - Middle East - USD/ton fuel</v>
      </c>
      <c r="C944" s="92" t="str">
        <f>C916</f>
        <v>Carbon storage</v>
      </c>
      <c r="D944" s="92" t="s">
        <v>1367</v>
      </c>
      <c r="E944" s="92" t="s">
        <v>826</v>
      </c>
      <c r="F944" s="92" t="s">
        <v>1353</v>
      </c>
      <c r="G944" s="487" t="str">
        <f t="shared" si="72"/>
        <v>Carbon storageMiddle EastEnergy cost including feedstock energy cost</v>
      </c>
      <c r="H944" s="497">
        <v>0</v>
      </c>
      <c r="I944" s="497">
        <v>0</v>
      </c>
      <c r="J944" s="497">
        <v>0</v>
      </c>
      <c r="K944" s="497">
        <v>0</v>
      </c>
      <c r="L944" s="497">
        <v>0</v>
      </c>
      <c r="M944" s="497">
        <v>0</v>
      </c>
      <c r="N944" s="497">
        <v>0</v>
      </c>
      <c r="O944" s="497">
        <v>0</v>
      </c>
      <c r="P944" s="497">
        <v>0</v>
      </c>
      <c r="Q944" s="497">
        <v>0</v>
      </c>
      <c r="R944" s="497">
        <v>0</v>
      </c>
      <c r="S944" s="497">
        <v>0</v>
      </c>
      <c r="T944" s="497">
        <v>0</v>
      </c>
      <c r="U944" s="497">
        <v>0</v>
      </c>
      <c r="V944" s="497">
        <v>0</v>
      </c>
      <c r="W944" s="497">
        <v>0</v>
      </c>
      <c r="X944" s="497">
        <v>0</v>
      </c>
      <c r="Y944" s="497">
        <v>0</v>
      </c>
      <c r="Z944" s="497">
        <v>0</v>
      </c>
      <c r="AA944" s="497">
        <v>0</v>
      </c>
      <c r="AB944" s="497">
        <v>0</v>
      </c>
      <c r="AC944" s="497">
        <v>0</v>
      </c>
      <c r="AD944" s="497">
        <v>0</v>
      </c>
      <c r="AE944" s="497">
        <v>0</v>
      </c>
      <c r="AF944" s="497">
        <v>0</v>
      </c>
      <c r="AG944" s="497">
        <v>0</v>
      </c>
      <c r="AH944" s="497">
        <v>0</v>
      </c>
      <c r="AI944" s="497">
        <v>0</v>
      </c>
      <c r="AK944" s="504" t="b">
        <f t="shared" ref="AK944:BL944" si="82">H923+H926+H933+H944+H951=H921</f>
        <v>1</v>
      </c>
      <c r="AL944" s="505" t="b">
        <f t="shared" si="82"/>
        <v>1</v>
      </c>
      <c r="AM944" s="505" t="b">
        <f t="shared" si="82"/>
        <v>1</v>
      </c>
      <c r="AN944" s="505" t="b">
        <f t="shared" si="82"/>
        <v>1</v>
      </c>
      <c r="AO944" s="505" t="b">
        <f t="shared" si="82"/>
        <v>1</v>
      </c>
      <c r="AP944" s="505" t="b">
        <f t="shared" si="82"/>
        <v>1</v>
      </c>
      <c r="AQ944" s="505" t="b">
        <f t="shared" si="82"/>
        <v>1</v>
      </c>
      <c r="AR944" s="505" t="b">
        <f t="shared" si="82"/>
        <v>1</v>
      </c>
      <c r="AS944" s="505" t="b">
        <f t="shared" si="82"/>
        <v>1</v>
      </c>
      <c r="AT944" s="505" t="b">
        <f t="shared" si="82"/>
        <v>1</v>
      </c>
      <c r="AU944" s="505" t="b">
        <f t="shared" si="82"/>
        <v>1</v>
      </c>
      <c r="AV944" s="505" t="b">
        <f t="shared" si="82"/>
        <v>1</v>
      </c>
      <c r="AW944" s="505" t="b">
        <f t="shared" si="82"/>
        <v>1</v>
      </c>
      <c r="AX944" s="505" t="b">
        <f t="shared" si="82"/>
        <v>1</v>
      </c>
      <c r="AY944" s="505" t="b">
        <f t="shared" si="82"/>
        <v>1</v>
      </c>
      <c r="AZ944" s="505" t="b">
        <f t="shared" si="82"/>
        <v>1</v>
      </c>
      <c r="BA944" s="505" t="b">
        <f t="shared" si="82"/>
        <v>1</v>
      </c>
      <c r="BB944" s="505" t="b">
        <f t="shared" si="82"/>
        <v>1</v>
      </c>
      <c r="BC944" s="505" t="b">
        <f t="shared" si="82"/>
        <v>1</v>
      </c>
      <c r="BD944" s="505" t="b">
        <f t="shared" si="82"/>
        <v>1</v>
      </c>
      <c r="BE944" s="505" t="b">
        <f t="shared" si="82"/>
        <v>1</v>
      </c>
      <c r="BF944" s="505" t="b">
        <f t="shared" si="82"/>
        <v>1</v>
      </c>
      <c r="BG944" s="505" t="b">
        <f t="shared" si="82"/>
        <v>1</v>
      </c>
      <c r="BH944" s="505" t="b">
        <f t="shared" si="82"/>
        <v>1</v>
      </c>
      <c r="BI944" s="505" t="b">
        <f t="shared" si="82"/>
        <v>1</v>
      </c>
      <c r="BJ944" s="505" t="b">
        <f t="shared" si="82"/>
        <v>1</v>
      </c>
      <c r="BK944" s="505" t="b">
        <f t="shared" si="82"/>
        <v>1</v>
      </c>
      <c r="BL944" s="506" t="b">
        <f t="shared" si="82"/>
        <v>1</v>
      </c>
    </row>
    <row r="945" spans="2:35" outlineLevel="1">
      <c r="B945" t="str">
        <f t="shared" si="77"/>
        <v>Carbon storage - Energy cost - Africa - USD/ton fuel</v>
      </c>
      <c r="C945" t="str">
        <f>C916</f>
        <v>Carbon storage</v>
      </c>
      <c r="D945" t="s">
        <v>1368</v>
      </c>
      <c r="E945" t="s">
        <v>838</v>
      </c>
      <c r="F945" t="s">
        <v>1353</v>
      </c>
      <c r="G945" s="487" t="str">
        <f t="shared" si="72"/>
        <v>Carbon storageAfricaEnergy cost</v>
      </c>
      <c r="H945" s="493">
        <v>0</v>
      </c>
      <c r="I945" s="493">
        <v>0</v>
      </c>
      <c r="J945" s="493">
        <v>0</v>
      </c>
      <c r="K945" s="493">
        <v>0</v>
      </c>
      <c r="L945" s="493">
        <v>0</v>
      </c>
      <c r="M945" s="493">
        <v>0</v>
      </c>
      <c r="N945" s="493">
        <v>0</v>
      </c>
      <c r="O945" s="493">
        <v>0</v>
      </c>
      <c r="P945" s="493">
        <v>0</v>
      </c>
      <c r="Q945" s="493">
        <v>0</v>
      </c>
      <c r="R945" s="493">
        <v>0</v>
      </c>
      <c r="S945" s="493">
        <v>0</v>
      </c>
      <c r="T945" s="493">
        <v>0</v>
      </c>
      <c r="U945" s="493">
        <v>0</v>
      </c>
      <c r="V945" s="493">
        <v>0</v>
      </c>
      <c r="W945" s="493">
        <v>0</v>
      </c>
      <c r="X945" s="493">
        <v>0</v>
      </c>
      <c r="Y945" s="493">
        <v>0</v>
      </c>
      <c r="Z945" s="493">
        <v>0</v>
      </c>
      <c r="AA945" s="493">
        <v>0</v>
      </c>
      <c r="AB945" s="493">
        <v>0</v>
      </c>
      <c r="AC945" s="493">
        <v>0</v>
      </c>
      <c r="AD945" s="493">
        <v>0</v>
      </c>
      <c r="AE945" s="493">
        <v>0</v>
      </c>
      <c r="AF945" s="493">
        <v>0</v>
      </c>
      <c r="AG945" s="493">
        <v>0</v>
      </c>
      <c r="AH945" s="493">
        <v>0</v>
      </c>
      <c r="AI945" s="493">
        <v>0</v>
      </c>
    </row>
    <row r="946" spans="2:35" outlineLevel="1">
      <c r="B946" t="str">
        <f t="shared" si="77"/>
        <v>Carbon storage - Energy cost - Americas - USD/ton fuel</v>
      </c>
      <c r="C946" t="str">
        <f>C916</f>
        <v>Carbon storage</v>
      </c>
      <c r="D946" t="s">
        <v>1368</v>
      </c>
      <c r="E946" t="s">
        <v>731</v>
      </c>
      <c r="F946" t="s">
        <v>1353</v>
      </c>
      <c r="G946" s="487" t="str">
        <f t="shared" si="72"/>
        <v>Carbon storageAmericasEnergy cost</v>
      </c>
      <c r="H946" s="493">
        <v>0</v>
      </c>
      <c r="I946" s="493">
        <v>0</v>
      </c>
      <c r="J946" s="493">
        <v>0</v>
      </c>
      <c r="K946" s="493">
        <v>0</v>
      </c>
      <c r="L946" s="493">
        <v>0</v>
      </c>
      <c r="M946" s="493">
        <v>0</v>
      </c>
      <c r="N946" s="493">
        <v>0</v>
      </c>
      <c r="O946" s="493">
        <v>0</v>
      </c>
      <c r="P946" s="493">
        <v>0</v>
      </c>
      <c r="Q946" s="493">
        <v>0</v>
      </c>
      <c r="R946" s="493">
        <v>0</v>
      </c>
      <c r="S946" s="493">
        <v>0</v>
      </c>
      <c r="T946" s="493">
        <v>0</v>
      </c>
      <c r="U946" s="493">
        <v>0</v>
      </c>
      <c r="V946" s="493">
        <v>0</v>
      </c>
      <c r="W946" s="493">
        <v>0</v>
      </c>
      <c r="X946" s="493">
        <v>0</v>
      </c>
      <c r="Y946" s="493">
        <v>0</v>
      </c>
      <c r="Z946" s="493">
        <v>0</v>
      </c>
      <c r="AA946" s="493">
        <v>0</v>
      </c>
      <c r="AB946" s="493">
        <v>0</v>
      </c>
      <c r="AC946" s="493">
        <v>0</v>
      </c>
      <c r="AD946" s="493">
        <v>0</v>
      </c>
      <c r="AE946" s="493">
        <v>0</v>
      </c>
      <c r="AF946" s="493">
        <v>0</v>
      </c>
      <c r="AG946" s="493">
        <v>0</v>
      </c>
      <c r="AH946" s="493">
        <v>0</v>
      </c>
      <c r="AI946" s="493">
        <v>0</v>
      </c>
    </row>
    <row r="947" spans="2:35" outlineLevel="1">
      <c r="B947" t="str">
        <f t="shared" si="77"/>
        <v>Carbon storage - Energy cost - Asia - USD/ton fuel</v>
      </c>
      <c r="C947" t="str">
        <f>C916</f>
        <v>Carbon storage</v>
      </c>
      <c r="D947" t="s">
        <v>1368</v>
      </c>
      <c r="E947" t="s">
        <v>750</v>
      </c>
      <c r="F947" t="s">
        <v>1353</v>
      </c>
      <c r="G947" s="487" t="str">
        <f t="shared" si="72"/>
        <v>Carbon storageAsiaEnergy cost</v>
      </c>
      <c r="H947" s="493">
        <v>0</v>
      </c>
      <c r="I947" s="493">
        <v>0</v>
      </c>
      <c r="J947" s="493">
        <v>0</v>
      </c>
      <c r="K947" s="493">
        <v>0</v>
      </c>
      <c r="L947" s="493">
        <v>0</v>
      </c>
      <c r="M947" s="493">
        <v>0</v>
      </c>
      <c r="N947" s="493">
        <v>0</v>
      </c>
      <c r="O947" s="493">
        <v>0</v>
      </c>
      <c r="P947" s="493">
        <v>0</v>
      </c>
      <c r="Q947" s="493">
        <v>0</v>
      </c>
      <c r="R947" s="493">
        <v>0</v>
      </c>
      <c r="S947" s="493">
        <v>0</v>
      </c>
      <c r="T947" s="493">
        <v>0</v>
      </c>
      <c r="U947" s="493">
        <v>0</v>
      </c>
      <c r="V947" s="493">
        <v>0</v>
      </c>
      <c r="W947" s="493">
        <v>0</v>
      </c>
      <c r="X947" s="493">
        <v>0</v>
      </c>
      <c r="Y947" s="493">
        <v>0</v>
      </c>
      <c r="Z947" s="493">
        <v>0</v>
      </c>
      <c r="AA947" s="493">
        <v>0</v>
      </c>
      <c r="AB947" s="493">
        <v>0</v>
      </c>
      <c r="AC947" s="493">
        <v>0</v>
      </c>
      <c r="AD947" s="493">
        <v>0</v>
      </c>
      <c r="AE947" s="493">
        <v>0</v>
      </c>
      <c r="AF947" s="493">
        <v>0</v>
      </c>
      <c r="AG947" s="493">
        <v>0</v>
      </c>
      <c r="AH947" s="493">
        <v>0</v>
      </c>
      <c r="AI947" s="493">
        <v>0</v>
      </c>
    </row>
    <row r="948" spans="2:35" outlineLevel="1">
      <c r="B948" t="str">
        <f t="shared" si="77"/>
        <v>Carbon storage - Energy cost - Europe - USD/ton fuel</v>
      </c>
      <c r="C948" t="str">
        <f>C916</f>
        <v>Carbon storage</v>
      </c>
      <c r="D948" t="s">
        <v>1368</v>
      </c>
      <c r="E948" t="s">
        <v>720</v>
      </c>
      <c r="F948" t="s">
        <v>1353</v>
      </c>
      <c r="G948" s="487" t="str">
        <f t="shared" si="72"/>
        <v>Carbon storageEuropeEnergy cost</v>
      </c>
      <c r="H948" s="493">
        <v>0</v>
      </c>
      <c r="I948" s="493">
        <v>0</v>
      </c>
      <c r="J948" s="493">
        <v>0</v>
      </c>
      <c r="K948" s="493">
        <v>0</v>
      </c>
      <c r="L948" s="493">
        <v>0</v>
      </c>
      <c r="M948" s="493">
        <v>0</v>
      </c>
      <c r="N948" s="493">
        <v>0</v>
      </c>
      <c r="O948" s="493">
        <v>0</v>
      </c>
      <c r="P948" s="493">
        <v>0</v>
      </c>
      <c r="Q948" s="493">
        <v>0</v>
      </c>
      <c r="R948" s="493">
        <v>0</v>
      </c>
      <c r="S948" s="493">
        <v>0</v>
      </c>
      <c r="T948" s="493">
        <v>0</v>
      </c>
      <c r="U948" s="493">
        <v>0</v>
      </c>
      <c r="V948" s="493">
        <v>0</v>
      </c>
      <c r="W948" s="493">
        <v>0</v>
      </c>
      <c r="X948" s="493">
        <v>0</v>
      </c>
      <c r="Y948" s="493">
        <v>0</v>
      </c>
      <c r="Z948" s="493">
        <v>0</v>
      </c>
      <c r="AA948" s="493">
        <v>0</v>
      </c>
      <c r="AB948" s="493">
        <v>0</v>
      </c>
      <c r="AC948" s="493">
        <v>0</v>
      </c>
      <c r="AD948" s="493">
        <v>0</v>
      </c>
      <c r="AE948" s="493">
        <v>0</v>
      </c>
      <c r="AF948" s="493">
        <v>0</v>
      </c>
      <c r="AG948" s="493">
        <v>0</v>
      </c>
      <c r="AH948" s="493">
        <v>0</v>
      </c>
      <c r="AI948" s="493">
        <v>0</v>
      </c>
    </row>
    <row r="949" spans="2:35" outlineLevel="1">
      <c r="B949" t="str">
        <f t="shared" si="77"/>
        <v>Carbon storage - Energy cost - Middle East - USD/ton fuel</v>
      </c>
      <c r="C949" t="str">
        <f>C916</f>
        <v>Carbon storage</v>
      </c>
      <c r="D949" t="s">
        <v>1368</v>
      </c>
      <c r="E949" t="s">
        <v>826</v>
      </c>
      <c r="F949" t="s">
        <v>1353</v>
      </c>
      <c r="G949" s="487" t="str">
        <f t="shared" si="72"/>
        <v>Carbon storageMiddle EastEnergy cost</v>
      </c>
      <c r="H949" s="493">
        <v>0</v>
      </c>
      <c r="I949" s="493">
        <v>0</v>
      </c>
      <c r="J949" s="493">
        <v>0</v>
      </c>
      <c r="K949" s="493">
        <v>0</v>
      </c>
      <c r="L949" s="493">
        <v>0</v>
      </c>
      <c r="M949" s="493">
        <v>0</v>
      </c>
      <c r="N949" s="493">
        <v>0</v>
      </c>
      <c r="O949" s="493">
        <v>0</v>
      </c>
      <c r="P949" s="493">
        <v>0</v>
      </c>
      <c r="Q949" s="493">
        <v>0</v>
      </c>
      <c r="R949" s="493">
        <v>0</v>
      </c>
      <c r="S949" s="493">
        <v>0</v>
      </c>
      <c r="T949" s="493">
        <v>0</v>
      </c>
      <c r="U949" s="493">
        <v>0</v>
      </c>
      <c r="V949" s="493">
        <v>0</v>
      </c>
      <c r="W949" s="493">
        <v>0</v>
      </c>
      <c r="X949" s="493">
        <v>0</v>
      </c>
      <c r="Y949" s="493">
        <v>0</v>
      </c>
      <c r="Z949" s="493">
        <v>0</v>
      </c>
      <c r="AA949" s="493">
        <v>0</v>
      </c>
      <c r="AB949" s="493">
        <v>0</v>
      </c>
      <c r="AC949" s="493">
        <v>0</v>
      </c>
      <c r="AD949" s="493">
        <v>0</v>
      </c>
      <c r="AE949" s="493">
        <v>0</v>
      </c>
      <c r="AF949" s="493">
        <v>0</v>
      </c>
      <c r="AG949" s="493">
        <v>0</v>
      </c>
      <c r="AH949" s="493">
        <v>0</v>
      </c>
      <c r="AI949" s="493">
        <v>0</v>
      </c>
    </row>
    <row r="950" spans="2:35" outlineLevel="1">
      <c r="B950" t="str">
        <f t="shared" si="77"/>
        <v/>
      </c>
      <c r="G950" s="487" t="str">
        <f t="shared" si="72"/>
        <v/>
      </c>
    </row>
    <row r="951" spans="2:35" ht="15" outlineLevel="1">
      <c r="B951" t="str">
        <f t="shared" si="77"/>
        <v>Carbon storage - Feedstock cost including feedstock feedstock cost - Global - USD/ton fuel</v>
      </c>
      <c r="C951" s="491" t="str">
        <f>C916</f>
        <v>Carbon storage</v>
      </c>
      <c r="D951" s="491" t="s">
        <v>1369</v>
      </c>
      <c r="E951" s="491" t="s">
        <v>708</v>
      </c>
      <c r="F951" s="491" t="s">
        <v>1353</v>
      </c>
      <c r="G951" s="487" t="str">
        <f t="shared" si="72"/>
        <v>Carbon storageGlobalFeedstock cost including feedstock feedstock cost</v>
      </c>
      <c r="H951" s="492">
        <v>0</v>
      </c>
      <c r="I951" s="492">
        <v>0</v>
      </c>
      <c r="J951" s="492">
        <v>0</v>
      </c>
      <c r="K951" s="492">
        <v>0</v>
      </c>
      <c r="L951" s="492">
        <v>0</v>
      </c>
      <c r="M951" s="492">
        <v>0</v>
      </c>
      <c r="N951" s="492">
        <v>0</v>
      </c>
      <c r="O951" s="492">
        <v>0</v>
      </c>
      <c r="P951" s="492">
        <v>0</v>
      </c>
      <c r="Q951" s="492">
        <v>0</v>
      </c>
      <c r="R951" s="492">
        <v>0</v>
      </c>
      <c r="S951" s="492">
        <v>0</v>
      </c>
      <c r="T951" s="492">
        <v>0</v>
      </c>
      <c r="U951" s="492">
        <v>0</v>
      </c>
      <c r="V951" s="492">
        <v>0</v>
      </c>
      <c r="W951" s="492">
        <v>0</v>
      </c>
      <c r="X951" s="492">
        <v>0</v>
      </c>
      <c r="Y951" s="492">
        <v>0</v>
      </c>
      <c r="Z951" s="492">
        <v>0</v>
      </c>
      <c r="AA951" s="492">
        <v>0</v>
      </c>
      <c r="AB951" s="492">
        <v>0</v>
      </c>
      <c r="AC951" s="492">
        <v>0</v>
      </c>
      <c r="AD951" s="492">
        <v>0</v>
      </c>
      <c r="AE951" s="492">
        <v>0</v>
      </c>
      <c r="AF951" s="492">
        <v>0</v>
      </c>
      <c r="AG951" s="492">
        <v>0</v>
      </c>
      <c r="AH951" s="492">
        <v>0</v>
      </c>
      <c r="AI951" s="492">
        <v>0</v>
      </c>
    </row>
    <row r="952" spans="2:35">
      <c r="G952" s="487" t="str">
        <f t="shared" si="72"/>
        <v/>
      </c>
    </row>
    <row r="953" spans="2:35" ht="15">
      <c r="B953" t="str">
        <f t="shared" ref="B953:B1031" si="83">_xlfn.TEXTJOIN(" - ",TRUE,C953:F953)</f>
        <v>Blue ammonia (CCS) - Item - Region - Unit</v>
      </c>
      <c r="C953" s="509" t="s">
        <v>746</v>
      </c>
      <c r="D953" s="509" t="s">
        <v>877</v>
      </c>
      <c r="E953" s="509" t="s">
        <v>171</v>
      </c>
      <c r="F953" s="509" t="s">
        <v>111</v>
      </c>
      <c r="G953" s="487" t="str">
        <f t="shared" si="72"/>
        <v>Blue ammonia (CCS)RegionItem</v>
      </c>
      <c r="H953" s="510">
        <v>2023</v>
      </c>
      <c r="I953" s="510">
        <v>2024</v>
      </c>
      <c r="J953" s="510">
        <v>2025</v>
      </c>
      <c r="K953" s="510">
        <v>2026</v>
      </c>
      <c r="L953" s="510">
        <v>2027</v>
      </c>
      <c r="M953" s="510">
        <v>2028</v>
      </c>
      <c r="N953" s="510">
        <v>2029</v>
      </c>
      <c r="O953" s="510">
        <v>2030</v>
      </c>
      <c r="P953" s="510">
        <v>2031</v>
      </c>
      <c r="Q953" s="510">
        <v>2032</v>
      </c>
      <c r="R953" s="510">
        <v>2033</v>
      </c>
      <c r="S953" s="510">
        <v>2034</v>
      </c>
      <c r="T953" s="510">
        <v>2035</v>
      </c>
      <c r="U953" s="510">
        <v>2036</v>
      </c>
      <c r="V953" s="510">
        <v>2037</v>
      </c>
      <c r="W953" s="510">
        <v>2038</v>
      </c>
      <c r="X953" s="510">
        <v>2039</v>
      </c>
      <c r="Y953" s="510">
        <v>2040</v>
      </c>
      <c r="Z953" s="510">
        <v>2041</v>
      </c>
      <c r="AA953" s="510">
        <v>2042</v>
      </c>
      <c r="AB953" s="510">
        <v>2043</v>
      </c>
      <c r="AC953" s="510">
        <v>2044</v>
      </c>
      <c r="AD953" s="510">
        <v>2045</v>
      </c>
      <c r="AE953" s="510">
        <v>2046</v>
      </c>
      <c r="AF953" s="510">
        <v>2047</v>
      </c>
      <c r="AG953" s="510">
        <v>2048</v>
      </c>
      <c r="AH953" s="510">
        <v>2049</v>
      </c>
      <c r="AI953" s="510">
        <v>2050</v>
      </c>
    </row>
    <row r="954" spans="2:35" outlineLevel="1">
      <c r="B954" t="str">
        <f t="shared" si="83"/>
        <v>Blue ammonia (CCS) - Total cost - Africa - USD/ton fuel</v>
      </c>
      <c r="C954" s="487" t="str">
        <f>C953</f>
        <v>Blue ammonia (CCS)</v>
      </c>
      <c r="D954" s="487" t="s">
        <v>1362</v>
      </c>
      <c r="E954" s="487" t="s">
        <v>838</v>
      </c>
      <c r="F954" s="487" t="s">
        <v>1353</v>
      </c>
      <c r="G954" s="487" t="str">
        <f t="shared" si="72"/>
        <v>Blue ammonia (CCS)AfricaTotal cost</v>
      </c>
      <c r="H954" s="488">
        <v>985.20803360605169</v>
      </c>
      <c r="I954" s="488">
        <v>859.01325653672848</v>
      </c>
      <c r="J954" s="488">
        <v>732.79105342466482</v>
      </c>
      <c r="K954" s="488">
        <v>701.02699918541009</v>
      </c>
      <c r="L954" s="488">
        <v>669.26786861177175</v>
      </c>
      <c r="M954" s="488">
        <v>637.51366170374922</v>
      </c>
      <c r="N954" s="488">
        <v>605.7643784613424</v>
      </c>
      <c r="O954" s="488">
        <v>574.02001888455175</v>
      </c>
      <c r="P954" s="488">
        <v>572.06187197267491</v>
      </c>
      <c r="Q954" s="488">
        <v>570.09945736446389</v>
      </c>
      <c r="R954" s="488">
        <v>568.13277505991846</v>
      </c>
      <c r="S954" s="488">
        <v>566.16182505903896</v>
      </c>
      <c r="T954" s="488">
        <v>564.18660736182551</v>
      </c>
      <c r="U954" s="488">
        <v>562.48745912728384</v>
      </c>
      <c r="V954" s="488">
        <v>560.7863021582051</v>
      </c>
      <c r="W954" s="488">
        <v>559.08313645458895</v>
      </c>
      <c r="X954" s="488">
        <v>557.37796201643562</v>
      </c>
      <c r="Y954" s="488">
        <v>555.67077884374521</v>
      </c>
      <c r="Z954" s="488">
        <v>553.95439741922894</v>
      </c>
      <c r="AA954" s="488">
        <v>552.23595047093931</v>
      </c>
      <c r="AB954" s="488">
        <v>550.51543799887634</v>
      </c>
      <c r="AC954" s="488">
        <v>548.79286000304023</v>
      </c>
      <c r="AD954" s="488">
        <v>547.06821648343055</v>
      </c>
      <c r="AE954" s="488">
        <v>545.47728312198888</v>
      </c>
      <c r="AF954" s="488">
        <v>543.88533594616138</v>
      </c>
      <c r="AG954" s="488">
        <v>542.29237495594805</v>
      </c>
      <c r="AH954" s="488">
        <v>540.69840015134912</v>
      </c>
      <c r="AI954" s="488">
        <v>539.10341153236448</v>
      </c>
    </row>
    <row r="955" spans="2:35" outlineLevel="1">
      <c r="B955" t="str">
        <f t="shared" si="83"/>
        <v>Blue ammonia (CCS) - Total cost - Americas - USD/ton fuel</v>
      </c>
      <c r="C955" t="str">
        <f>C954</f>
        <v>Blue ammonia (CCS)</v>
      </c>
      <c r="D955" t="s">
        <v>1362</v>
      </c>
      <c r="E955" t="s">
        <v>731</v>
      </c>
      <c r="F955" t="s">
        <v>1353</v>
      </c>
      <c r="G955" s="487" t="str">
        <f t="shared" si="72"/>
        <v>Blue ammonia (CCS)AmericasTotal cost</v>
      </c>
      <c r="H955" s="489">
        <v>503.12232892134028</v>
      </c>
      <c r="I955" s="489">
        <v>484.02449179925031</v>
      </c>
      <c r="J955" s="489">
        <v>464.92361571560912</v>
      </c>
      <c r="K955" s="489">
        <v>457.55880786345574</v>
      </c>
      <c r="L955" s="489">
        <v>450.19730826400058</v>
      </c>
      <c r="M955" s="489">
        <v>442.83911691724325</v>
      </c>
      <c r="N955" s="489">
        <v>435.48423382318424</v>
      </c>
      <c r="O955" s="489">
        <v>428.13265898182323</v>
      </c>
      <c r="P955" s="489">
        <v>429.74011354499953</v>
      </c>
      <c r="Q955" s="489">
        <v>431.34509604198797</v>
      </c>
      <c r="R955" s="489">
        <v>432.94760647278815</v>
      </c>
      <c r="S955" s="489">
        <v>434.5476448374003</v>
      </c>
      <c r="T955" s="489">
        <v>436.14521113582441</v>
      </c>
      <c r="U955" s="489">
        <v>434.43840260047921</v>
      </c>
      <c r="V955" s="489">
        <v>432.72959014747482</v>
      </c>
      <c r="W955" s="489">
        <v>431.01877377681103</v>
      </c>
      <c r="X955" s="489">
        <v>429.30595348848783</v>
      </c>
      <c r="Y955" s="489">
        <v>427.59112928250534</v>
      </c>
      <c r="Z955" s="489">
        <v>426.02579110051107</v>
      </c>
      <c r="AA955" s="489">
        <v>424.4596456038721</v>
      </c>
      <c r="AB955" s="489">
        <v>422.89269279258838</v>
      </c>
      <c r="AC955" s="489">
        <v>421.32493266665995</v>
      </c>
      <c r="AD955" s="489">
        <v>419.75636522608659</v>
      </c>
      <c r="AE955" s="489">
        <v>418.21258491863773</v>
      </c>
      <c r="AF955" s="489">
        <v>416.6681955494314</v>
      </c>
      <c r="AG955" s="489">
        <v>415.12319711846777</v>
      </c>
      <c r="AH955" s="489">
        <v>413.57758962574678</v>
      </c>
      <c r="AI955" s="489">
        <v>412.0313730712686</v>
      </c>
    </row>
    <row r="956" spans="2:35" outlineLevel="1">
      <c r="B956" t="str">
        <f t="shared" si="83"/>
        <v>Blue ammonia (CCS) - Total cost - Asia - USD/ton fuel</v>
      </c>
      <c r="C956" t="str">
        <f>C955</f>
        <v>Blue ammonia (CCS)</v>
      </c>
      <c r="D956" t="s">
        <v>1362</v>
      </c>
      <c r="E956" t="s">
        <v>750</v>
      </c>
      <c r="F956" t="s">
        <v>1353</v>
      </c>
      <c r="G956" s="487" t="str">
        <f t="shared" si="72"/>
        <v>Blue ammonia (CCS)AsiaTotal cost</v>
      </c>
      <c r="H956" s="489">
        <v>963.19770975613881</v>
      </c>
      <c r="I956" s="489">
        <v>857.17811239584307</v>
      </c>
      <c r="J956" s="489">
        <v>751.13568825733671</v>
      </c>
      <c r="K956" s="489">
        <v>702.49385841406297</v>
      </c>
      <c r="L956" s="489">
        <v>653.85730149840435</v>
      </c>
      <c r="M956" s="489">
        <v>605.22601751035927</v>
      </c>
      <c r="N956" s="489">
        <v>556.60000644992863</v>
      </c>
      <c r="O956" s="489">
        <v>507.97926831711283</v>
      </c>
      <c r="P956" s="489">
        <v>505.87969900345399</v>
      </c>
      <c r="Q956" s="489">
        <v>503.7745645475182</v>
      </c>
      <c r="R956" s="489">
        <v>501.66386494930526</v>
      </c>
      <c r="S956" s="489">
        <v>499.54760020881463</v>
      </c>
      <c r="T956" s="489">
        <v>497.42577032604686</v>
      </c>
      <c r="U956" s="489">
        <v>495.63787431987106</v>
      </c>
      <c r="V956" s="489">
        <v>493.84714886053052</v>
      </c>
      <c r="W956" s="489">
        <v>492.05359394802542</v>
      </c>
      <c r="X956" s="489">
        <v>490.25720958235513</v>
      </c>
      <c r="Y956" s="489">
        <v>488.45799576352044</v>
      </c>
      <c r="Z956" s="489">
        <v>486.63921407373107</v>
      </c>
      <c r="AA956" s="489">
        <v>484.8174707157865</v>
      </c>
      <c r="AB956" s="489">
        <v>482.99276568968662</v>
      </c>
      <c r="AC956" s="489">
        <v>481.16509899543166</v>
      </c>
      <c r="AD956" s="489">
        <v>479.33447063302123</v>
      </c>
      <c r="AE956" s="489">
        <v>477.70789069609827</v>
      </c>
      <c r="AF956" s="489">
        <v>476.07995257741516</v>
      </c>
      <c r="AG956" s="489">
        <v>474.45065627697238</v>
      </c>
      <c r="AH956" s="489">
        <v>472.82000179476961</v>
      </c>
      <c r="AI956" s="489">
        <v>471.18798913080684</v>
      </c>
    </row>
    <row r="957" spans="2:35" outlineLevel="1">
      <c r="B957" t="str">
        <f t="shared" si="83"/>
        <v>Blue ammonia (CCS) - Total cost - Europe - USD/ton fuel</v>
      </c>
      <c r="C957" t="str">
        <f>C956</f>
        <v>Blue ammonia (CCS)</v>
      </c>
      <c r="D957" t="s">
        <v>1362</v>
      </c>
      <c r="E957" t="s">
        <v>720</v>
      </c>
      <c r="F957" t="s">
        <v>1353</v>
      </c>
      <c r="G957" s="487" t="str">
        <f t="shared" si="72"/>
        <v>Blue ammonia (CCS)EuropeTotal cost</v>
      </c>
      <c r="H957" s="489">
        <v>980.31806582837066</v>
      </c>
      <c r="I957" s="489">
        <v>856.43635512476351</v>
      </c>
      <c r="J957" s="489">
        <v>732.5463097372982</v>
      </c>
      <c r="K957" s="489">
        <v>700.89438934586042</v>
      </c>
      <c r="L957" s="489">
        <v>669.24680595627342</v>
      </c>
      <c r="M957" s="489">
        <v>637.60355956853732</v>
      </c>
      <c r="N957" s="489">
        <v>605.96465018265189</v>
      </c>
      <c r="O957" s="489">
        <v>574.33007779861725</v>
      </c>
      <c r="P957" s="489">
        <v>572.55190510898274</v>
      </c>
      <c r="Q957" s="489">
        <v>570.77093424641134</v>
      </c>
      <c r="R957" s="489">
        <v>568.98716521090228</v>
      </c>
      <c r="S957" s="489">
        <v>567.20059800245599</v>
      </c>
      <c r="T957" s="489">
        <v>565.4112326210726</v>
      </c>
      <c r="U957" s="489">
        <v>563.75899448116013</v>
      </c>
      <c r="V957" s="489">
        <v>562.10508568978025</v>
      </c>
      <c r="W957" s="489">
        <v>560.44950624693297</v>
      </c>
      <c r="X957" s="489">
        <v>558.79225615261805</v>
      </c>
      <c r="Y957" s="489">
        <v>557.13333540683561</v>
      </c>
      <c r="Z957" s="489">
        <v>555.45797688117318</v>
      </c>
      <c r="AA957" s="489">
        <v>553.78083106005909</v>
      </c>
      <c r="AB957" s="489">
        <v>552.10189794349321</v>
      </c>
      <c r="AC957" s="489">
        <v>550.42117753147534</v>
      </c>
      <c r="AD957" s="489">
        <v>548.73866982400591</v>
      </c>
      <c r="AE957" s="489">
        <v>547.11676212266525</v>
      </c>
      <c r="AF957" s="489">
        <v>545.49355037375494</v>
      </c>
      <c r="AG957" s="489">
        <v>543.86903457727487</v>
      </c>
      <c r="AH957" s="489">
        <v>542.24321473322516</v>
      </c>
      <c r="AI957" s="489">
        <v>540.61609084160568</v>
      </c>
    </row>
    <row r="958" spans="2:35" outlineLevel="1">
      <c r="B958" t="str">
        <f t="shared" si="83"/>
        <v>Blue ammonia (CCS) - Total cost - Middle East - USD/ton fuel</v>
      </c>
      <c r="C958" s="25" t="str">
        <f>C957</f>
        <v>Blue ammonia (CCS)</v>
      </c>
      <c r="D958" s="25" t="s">
        <v>1362</v>
      </c>
      <c r="E958" s="25" t="s">
        <v>826</v>
      </c>
      <c r="F958" s="25" t="s">
        <v>1353</v>
      </c>
      <c r="G958" s="487" t="str">
        <f t="shared" si="72"/>
        <v>Blue ammonia (CCS)Middle EastTotal cost</v>
      </c>
      <c r="H958" s="490">
        <v>837.60451096916336</v>
      </c>
      <c r="I958" s="490">
        <v>733.52015584584831</v>
      </c>
      <c r="J958" s="490">
        <v>629.42926626744213</v>
      </c>
      <c r="K958" s="490">
        <v>580.72549186608887</v>
      </c>
      <c r="L958" s="490">
        <v>532.02450367148901</v>
      </c>
      <c r="M958" s="490">
        <v>483.32630168364244</v>
      </c>
      <c r="N958" s="490">
        <v>434.63088590254915</v>
      </c>
      <c r="O958" s="490">
        <v>385.93825632820926</v>
      </c>
      <c r="P958" s="490">
        <v>384.11455655665674</v>
      </c>
      <c r="Q958" s="490">
        <v>382.28780616890538</v>
      </c>
      <c r="R958" s="490">
        <v>380.45800516495478</v>
      </c>
      <c r="S958" s="490">
        <v>378.62515354480536</v>
      </c>
      <c r="T958" s="490">
        <v>376.78925130845698</v>
      </c>
      <c r="U958" s="490">
        <v>375.13906315779468</v>
      </c>
      <c r="V958" s="490">
        <v>373.48734546024764</v>
      </c>
      <c r="W958" s="490">
        <v>371.83409821581569</v>
      </c>
      <c r="X958" s="490">
        <v>370.17932142449877</v>
      </c>
      <c r="Y958" s="490">
        <v>368.52301508629699</v>
      </c>
      <c r="Z958" s="490">
        <v>366.80488027075774</v>
      </c>
      <c r="AA958" s="490">
        <v>365.08473961346436</v>
      </c>
      <c r="AB958" s="490">
        <v>363.36259311441682</v>
      </c>
      <c r="AC958" s="490">
        <v>361.63844077361512</v>
      </c>
      <c r="AD958" s="490">
        <v>359.91228259105912</v>
      </c>
      <c r="AE958" s="490">
        <v>358.32187406198989</v>
      </c>
      <c r="AF958" s="490">
        <v>356.73052673605594</v>
      </c>
      <c r="AG958" s="490">
        <v>355.13824061325738</v>
      </c>
      <c r="AH958" s="490">
        <v>353.54501569359411</v>
      </c>
      <c r="AI958" s="490">
        <v>351.95085197706629</v>
      </c>
    </row>
    <row r="959" spans="2:35" ht="15" outlineLevel="1">
      <c r="B959" t="str">
        <f t="shared" si="83"/>
        <v/>
      </c>
      <c r="C959" s="22"/>
      <c r="G959" s="487" t="str">
        <f t="shared" si="72"/>
        <v/>
      </c>
    </row>
    <row r="960" spans="2:35" ht="15" outlineLevel="1">
      <c r="B960" t="str">
        <f t="shared" si="83"/>
        <v>Blue ammonia (CCS) - CAPEX including feedstock CAPEX - Global - USD/ton fuel</v>
      </c>
      <c r="C960" s="491" t="str">
        <f>C953</f>
        <v>Blue ammonia (CCS)</v>
      </c>
      <c r="D960" s="491" t="s">
        <v>1363</v>
      </c>
      <c r="E960" s="491" t="s">
        <v>708</v>
      </c>
      <c r="F960" s="491" t="s">
        <v>1353</v>
      </c>
      <c r="G960" s="487" t="str">
        <f t="shared" si="72"/>
        <v>Blue ammonia (CCS)GlobalCAPEX including feedstock CAPEX</v>
      </c>
      <c r="H960" s="492">
        <v>51.376399999999997</v>
      </c>
      <c r="I960" s="492">
        <v>49.935199999999995</v>
      </c>
      <c r="J960" s="492">
        <v>48.494</v>
      </c>
      <c r="K960" s="492">
        <v>46.998000000000005</v>
      </c>
      <c r="L960" s="492">
        <v>45.502000000000002</v>
      </c>
      <c r="M960" s="492">
        <v>44.006</v>
      </c>
      <c r="N960" s="492">
        <v>42.51</v>
      </c>
      <c r="O960" s="492">
        <v>41.014000000000003</v>
      </c>
      <c r="P960" s="492">
        <v>40.572900000000004</v>
      </c>
      <c r="Q960" s="492">
        <v>40.131800000000005</v>
      </c>
      <c r="R960" s="492">
        <v>39.6907</v>
      </c>
      <c r="S960" s="492">
        <v>39.249600000000001</v>
      </c>
      <c r="T960" s="492">
        <v>38.808500000000002</v>
      </c>
      <c r="U960" s="492">
        <v>38.367400000000004</v>
      </c>
      <c r="V960" s="492">
        <v>37.926300000000005</v>
      </c>
      <c r="W960" s="492">
        <v>37.485199999999999</v>
      </c>
      <c r="X960" s="492">
        <v>37.0441</v>
      </c>
      <c r="Y960" s="492">
        <v>36.603000000000002</v>
      </c>
      <c r="Z960" s="492">
        <v>36.161900000000003</v>
      </c>
      <c r="AA960" s="492">
        <v>35.720800000000004</v>
      </c>
      <c r="AB960" s="492">
        <v>35.279699999999998</v>
      </c>
      <c r="AC960" s="492">
        <v>34.8386</v>
      </c>
      <c r="AD960" s="492">
        <v>34.397500000000001</v>
      </c>
      <c r="AE960" s="492">
        <v>33.956400000000002</v>
      </c>
      <c r="AF960" s="492">
        <v>33.515299999999996</v>
      </c>
      <c r="AG960" s="492">
        <v>33.074199999999998</v>
      </c>
      <c r="AH960" s="492">
        <v>32.633099999999999</v>
      </c>
      <c r="AI960" s="492">
        <v>32.192</v>
      </c>
    </row>
    <row r="961" spans="2:35" outlineLevel="1">
      <c r="B961" t="str">
        <f t="shared" si="83"/>
        <v>Blue ammonia (CCS) - CAPEX - Global - USD/ton fuel</v>
      </c>
      <c r="C961" t="str">
        <f>C953</f>
        <v>Blue ammonia (CCS)</v>
      </c>
      <c r="D961" t="s">
        <v>446</v>
      </c>
      <c r="E961" t="s">
        <v>708</v>
      </c>
      <c r="F961" t="s">
        <v>1353</v>
      </c>
      <c r="G961" s="487" t="str">
        <f t="shared" si="72"/>
        <v>Blue ammonia (CCS)GlobalCAPEX</v>
      </c>
      <c r="H961" s="493">
        <v>40.799999999999997</v>
      </c>
      <c r="I961" s="493">
        <v>40.4</v>
      </c>
      <c r="J961" s="493">
        <v>40</v>
      </c>
      <c r="K961" s="493">
        <v>39.6</v>
      </c>
      <c r="L961" s="493">
        <v>39.200000000000003</v>
      </c>
      <c r="M961" s="493">
        <v>38.799999999999997</v>
      </c>
      <c r="N961" s="493">
        <v>38.4</v>
      </c>
      <c r="O961" s="493">
        <v>38</v>
      </c>
      <c r="P961" s="493">
        <v>37.6</v>
      </c>
      <c r="Q961" s="493">
        <v>37.200000000000003</v>
      </c>
      <c r="R961" s="493">
        <v>36.799999999999997</v>
      </c>
      <c r="S961" s="493">
        <v>36.4</v>
      </c>
      <c r="T961" s="493">
        <v>36</v>
      </c>
      <c r="U961" s="493">
        <v>35.6</v>
      </c>
      <c r="V961" s="493">
        <v>35.200000000000003</v>
      </c>
      <c r="W961" s="493">
        <v>34.799999999999997</v>
      </c>
      <c r="X961" s="493">
        <v>34.4</v>
      </c>
      <c r="Y961" s="493">
        <v>34</v>
      </c>
      <c r="Z961" s="493">
        <v>33.6</v>
      </c>
      <c r="AA961" s="493">
        <v>33.200000000000003</v>
      </c>
      <c r="AB961" s="493">
        <v>32.799999999999997</v>
      </c>
      <c r="AC961" s="493">
        <v>32.4</v>
      </c>
      <c r="AD961" s="493">
        <v>32</v>
      </c>
      <c r="AE961" s="493">
        <v>31.6</v>
      </c>
      <c r="AF961" s="493">
        <v>31.2</v>
      </c>
      <c r="AG961" s="493">
        <v>30.8</v>
      </c>
      <c r="AH961" s="493">
        <v>30.4</v>
      </c>
      <c r="AI961" s="493">
        <v>30</v>
      </c>
    </row>
    <row r="962" spans="2:35" outlineLevel="1">
      <c r="B962" t="str">
        <f>_xlfn.TEXTJOIN(" - ",TRUE,C962:F962)</f>
        <v>Nitrogen - CAPEX - Global - USD/ton fuel</v>
      </c>
      <c r="C962" t="s">
        <v>1374</v>
      </c>
      <c r="D962" t="s">
        <v>446</v>
      </c>
      <c r="E962" t="s">
        <v>708</v>
      </c>
      <c r="F962" t="s">
        <v>1353</v>
      </c>
      <c r="G962" s="487" t="str">
        <f t="shared" si="72"/>
        <v>NitrogenGlobalCAPEX</v>
      </c>
      <c r="H962" s="493">
        <v>12.866666666666667</v>
      </c>
      <c r="I962" s="493">
        <v>11.6</v>
      </c>
      <c r="J962" s="493">
        <v>10.333333333333334</v>
      </c>
      <c r="K962" s="493">
        <v>9</v>
      </c>
      <c r="L962" s="493">
        <v>7.666666666666667</v>
      </c>
      <c r="M962" s="493">
        <v>6.333333333333333</v>
      </c>
      <c r="N962" s="493">
        <v>5</v>
      </c>
      <c r="O962" s="493">
        <v>3.6666666666666665</v>
      </c>
      <c r="P962" s="493">
        <v>3.6166666666666667</v>
      </c>
      <c r="Q962" s="493">
        <v>3.5666666666666669</v>
      </c>
      <c r="R962" s="493">
        <v>3.5166666666666666</v>
      </c>
      <c r="S962" s="493">
        <v>3.4666666666666668</v>
      </c>
      <c r="T962" s="493">
        <v>3.4166666666666665</v>
      </c>
      <c r="U962" s="493">
        <v>3.3666666666666667</v>
      </c>
      <c r="V962" s="493">
        <v>3.3166666666666669</v>
      </c>
      <c r="W962" s="493">
        <v>3.2666666666666666</v>
      </c>
      <c r="X962" s="493">
        <v>3.2166666666666668</v>
      </c>
      <c r="Y962" s="493">
        <v>3.1666666666666665</v>
      </c>
      <c r="Z962" s="493">
        <v>3.1166666666666667</v>
      </c>
      <c r="AA962" s="493">
        <v>3.0666666666666669</v>
      </c>
      <c r="AB962" s="493">
        <v>3.0166666666666666</v>
      </c>
      <c r="AC962" s="493">
        <v>2.9666666666666668</v>
      </c>
      <c r="AD962" s="493">
        <v>2.9166666666666665</v>
      </c>
      <c r="AE962" s="493">
        <v>2.8666666666666667</v>
      </c>
      <c r="AF962" s="493">
        <v>2.8166666666666669</v>
      </c>
      <c r="AG962" s="493">
        <v>2.7666666666666666</v>
      </c>
      <c r="AH962" s="493">
        <v>2.7166666666666668</v>
      </c>
      <c r="AI962" s="493">
        <v>2.6666666666666665</v>
      </c>
    </row>
    <row r="963" spans="2:35" outlineLevel="1">
      <c r="B963" t="str">
        <f t="shared" si="83"/>
        <v>Carbon capture - CAPEX including feedstock CAPEX - Global - USD/ton fuel</v>
      </c>
      <c r="C963" t="s">
        <v>1398</v>
      </c>
      <c r="D963" t="s">
        <v>1363</v>
      </c>
      <c r="E963" t="s">
        <v>708</v>
      </c>
      <c r="F963" t="s">
        <v>1353</v>
      </c>
      <c r="G963" s="487" t="str">
        <f t="shared" si="72"/>
        <v>Carbon captureGlobalCAPEX including feedstock CAPEX</v>
      </c>
      <c r="H963" s="507">
        <v>0</v>
      </c>
      <c r="I963" s="507">
        <v>0</v>
      </c>
      <c r="J963" s="507">
        <v>0</v>
      </c>
      <c r="K963" s="507">
        <v>0</v>
      </c>
      <c r="L963" s="507">
        <v>0</v>
      </c>
      <c r="M963" s="507">
        <v>0</v>
      </c>
      <c r="N963" s="507">
        <v>0</v>
      </c>
      <c r="O963" s="507">
        <v>0</v>
      </c>
      <c r="P963" s="507">
        <v>0</v>
      </c>
      <c r="Q963" s="507">
        <v>0</v>
      </c>
      <c r="R963" s="507">
        <v>0</v>
      </c>
      <c r="S963" s="507">
        <v>0</v>
      </c>
      <c r="T963" s="507">
        <v>0</v>
      </c>
      <c r="U963" s="507">
        <v>0</v>
      </c>
      <c r="V963" s="507">
        <v>0</v>
      </c>
      <c r="W963" s="507">
        <v>0</v>
      </c>
      <c r="X963" s="507">
        <v>0</v>
      </c>
      <c r="Y963" s="507">
        <v>0</v>
      </c>
      <c r="Z963" s="507">
        <v>0</v>
      </c>
      <c r="AA963" s="507">
        <v>0</v>
      </c>
      <c r="AB963" s="507">
        <v>0</v>
      </c>
      <c r="AC963" s="507">
        <v>0</v>
      </c>
      <c r="AD963" s="507">
        <v>0</v>
      </c>
      <c r="AE963" s="507">
        <v>0</v>
      </c>
      <c r="AF963" s="507">
        <v>0</v>
      </c>
      <c r="AG963" s="507">
        <v>0</v>
      </c>
      <c r="AH963" s="507">
        <v>0</v>
      </c>
      <c r="AI963" s="507">
        <v>0</v>
      </c>
    </row>
    <row r="964" spans="2:35" outlineLevel="1">
      <c r="B964" t="str">
        <f t="shared" si="83"/>
        <v>Carbon storage - CAPEX - Global - USD/ton fuel</v>
      </c>
      <c r="C964" t="s">
        <v>1399</v>
      </c>
      <c r="D964" t="s">
        <v>446</v>
      </c>
      <c r="E964" t="s">
        <v>708</v>
      </c>
      <c r="F964" t="s">
        <v>1353</v>
      </c>
      <c r="G964" s="487" t="str">
        <f t="shared" si="72"/>
        <v>Carbon storageGlobalCAPEX</v>
      </c>
      <c r="H964" s="507">
        <v>0</v>
      </c>
      <c r="I964" s="507">
        <v>0</v>
      </c>
      <c r="J964" s="507">
        <v>0</v>
      </c>
      <c r="K964" s="507">
        <v>0</v>
      </c>
      <c r="L964" s="507">
        <v>0</v>
      </c>
      <c r="M964" s="507">
        <v>0</v>
      </c>
      <c r="N964" s="507">
        <v>0</v>
      </c>
      <c r="O964" s="507">
        <v>0</v>
      </c>
      <c r="P964" s="507">
        <v>0</v>
      </c>
      <c r="Q964" s="507">
        <v>0</v>
      </c>
      <c r="R964" s="507">
        <v>0</v>
      </c>
      <c r="S964" s="507">
        <v>0</v>
      </c>
      <c r="T964" s="507">
        <v>0</v>
      </c>
      <c r="U964" s="507">
        <v>0</v>
      </c>
      <c r="V964" s="507">
        <v>0</v>
      </c>
      <c r="W964" s="507">
        <v>0</v>
      </c>
      <c r="X964" s="507">
        <v>0</v>
      </c>
      <c r="Y964" s="507">
        <v>0</v>
      </c>
      <c r="Z964" s="507">
        <v>0</v>
      </c>
      <c r="AA964" s="507">
        <v>0</v>
      </c>
      <c r="AB964" s="507">
        <v>0</v>
      </c>
      <c r="AC964" s="507">
        <v>0</v>
      </c>
      <c r="AD964" s="507">
        <v>0</v>
      </c>
      <c r="AE964" s="507">
        <v>0</v>
      </c>
      <c r="AF964" s="507">
        <v>0</v>
      </c>
      <c r="AG964" s="507">
        <v>0</v>
      </c>
      <c r="AH964" s="507">
        <v>0</v>
      </c>
      <c r="AI964" s="507">
        <v>0</v>
      </c>
    </row>
    <row r="965" spans="2:35" outlineLevel="1">
      <c r="B965" t="str">
        <f t="shared" si="83"/>
        <v>Blue ammonia (CCS) - Conversion N2 -&gt; NH3 - Global - ton N2/ton NH3</v>
      </c>
      <c r="C965" t="str">
        <f>C953</f>
        <v>Blue ammonia (CCS)</v>
      </c>
      <c r="D965" t="s">
        <v>1377</v>
      </c>
      <c r="E965" t="s">
        <v>708</v>
      </c>
      <c r="F965" t="s">
        <v>1378</v>
      </c>
      <c r="G965" s="487" t="str">
        <f t="shared" si="72"/>
        <v>Blue ammonia (CCS)GlobalConversion N2 -&gt; NH3</v>
      </c>
      <c r="H965" s="508">
        <v>0.82199999999999995</v>
      </c>
      <c r="I965" s="508">
        <v>0.82199999999999995</v>
      </c>
      <c r="J965" s="508">
        <v>0.82199999999999995</v>
      </c>
      <c r="K965" s="508">
        <v>0.82199999999999995</v>
      </c>
      <c r="L965" s="508">
        <v>0.82199999999999995</v>
      </c>
      <c r="M965" s="508">
        <v>0.82199999999999995</v>
      </c>
      <c r="N965" s="508">
        <v>0.82199999999999995</v>
      </c>
      <c r="O965" s="508">
        <v>0.82199999999999995</v>
      </c>
      <c r="P965" s="508">
        <v>0.82199999999999995</v>
      </c>
      <c r="Q965" s="508">
        <v>0.82199999999999995</v>
      </c>
      <c r="R965" s="508">
        <v>0.82199999999999995</v>
      </c>
      <c r="S965" s="508">
        <v>0.82199999999999995</v>
      </c>
      <c r="T965" s="508">
        <v>0.82199999999999995</v>
      </c>
      <c r="U965" s="508">
        <v>0.82199999999999995</v>
      </c>
      <c r="V965" s="508">
        <v>0.82199999999999995</v>
      </c>
      <c r="W965" s="508">
        <v>0.82199999999999995</v>
      </c>
      <c r="X965" s="508">
        <v>0.82199999999999995</v>
      </c>
      <c r="Y965" s="508">
        <v>0.82199999999999995</v>
      </c>
      <c r="Z965" s="508">
        <v>0.82199999999999995</v>
      </c>
      <c r="AA965" s="508">
        <v>0.82199999999999995</v>
      </c>
      <c r="AB965" s="508">
        <v>0.82199999999999995</v>
      </c>
      <c r="AC965" s="508">
        <v>0.82199999999999995</v>
      </c>
      <c r="AD965" s="508">
        <v>0.82199999999999995</v>
      </c>
      <c r="AE965" s="508">
        <v>0.82199999999999995</v>
      </c>
      <c r="AF965" s="508">
        <v>0.82199999999999995</v>
      </c>
      <c r="AG965" s="508">
        <v>0.82199999999999995</v>
      </c>
      <c r="AH965" s="508">
        <v>0.82199999999999995</v>
      </c>
      <c r="AI965" s="508">
        <v>0.82199999999999995</v>
      </c>
    </row>
    <row r="966" spans="2:35" outlineLevel="1">
      <c r="B966" t="str">
        <f t="shared" si="83"/>
        <v>Carbon capture &amp; storage (CCS) - Conversion NG -&gt; CO2 -&gt; NH3 - Global - ton CO2/ton NH3</v>
      </c>
      <c r="C966" t="s">
        <v>1400</v>
      </c>
      <c r="D966" t="s">
        <v>1401</v>
      </c>
      <c r="E966" t="s">
        <v>708</v>
      </c>
      <c r="F966" t="s">
        <v>1402</v>
      </c>
      <c r="G966" s="487" t="str">
        <f t="shared" si="72"/>
        <v>Carbon capture &amp; storage (CCS)GlobalConversion NG -&gt; CO2 -&gt; NH3</v>
      </c>
      <c r="H966" s="508">
        <v>1.8880000000000001</v>
      </c>
      <c r="I966" s="508">
        <v>1.8880000000000001</v>
      </c>
      <c r="J966" s="508">
        <v>1.8880000000000001</v>
      </c>
      <c r="K966" s="508">
        <v>1.8880000000000001</v>
      </c>
      <c r="L966" s="508">
        <v>1.8880000000000001</v>
      </c>
      <c r="M966" s="508">
        <v>1.8880000000000001</v>
      </c>
      <c r="N966" s="508">
        <v>1.8880000000000001</v>
      </c>
      <c r="O966" s="508">
        <v>1.8880000000000001</v>
      </c>
      <c r="P966" s="508">
        <v>1.8880000000000001</v>
      </c>
      <c r="Q966" s="508">
        <v>1.8880000000000001</v>
      </c>
      <c r="R966" s="508">
        <v>1.8880000000000001</v>
      </c>
      <c r="S966" s="508">
        <v>1.8880000000000001</v>
      </c>
      <c r="T966" s="508">
        <v>1.8880000000000001</v>
      </c>
      <c r="U966" s="508">
        <v>1.8880000000000001</v>
      </c>
      <c r="V966" s="508">
        <v>1.8880000000000001</v>
      </c>
      <c r="W966" s="508">
        <v>1.8880000000000001</v>
      </c>
      <c r="X966" s="508">
        <v>1.8880000000000001</v>
      </c>
      <c r="Y966" s="508">
        <v>1.8880000000000001</v>
      </c>
      <c r="Z966" s="508">
        <v>1.8880000000000001</v>
      </c>
      <c r="AA966" s="508">
        <v>1.8880000000000001</v>
      </c>
      <c r="AB966" s="508">
        <v>1.8880000000000001</v>
      </c>
      <c r="AC966" s="508">
        <v>1.8880000000000001</v>
      </c>
      <c r="AD966" s="508">
        <v>1.8880000000000001</v>
      </c>
      <c r="AE966" s="508">
        <v>1.8880000000000001</v>
      </c>
      <c r="AF966" s="508">
        <v>1.8880000000000001</v>
      </c>
      <c r="AG966" s="508">
        <v>1.8880000000000001</v>
      </c>
      <c r="AH966" s="508">
        <v>1.8880000000000001</v>
      </c>
      <c r="AI966" s="508">
        <v>1.8880000000000001</v>
      </c>
    </row>
    <row r="967" spans="2:35" outlineLevel="1">
      <c r="B967" t="str">
        <f>_xlfn.TEXTJOIN(" - ",TRUE,C967:F967)</f>
        <v>Carbon storage - Carbon to store - Global - ton CO2/ton NH3</v>
      </c>
      <c r="C967" t="s">
        <v>1399</v>
      </c>
      <c r="D967" t="s">
        <v>1403</v>
      </c>
      <c r="E967" t="s">
        <v>708</v>
      </c>
      <c r="F967" t="s">
        <v>1402</v>
      </c>
      <c r="G967" s="487" t="str">
        <f t="shared" si="72"/>
        <v>Carbon storageGlobalCarbon to store</v>
      </c>
      <c r="H967" s="508">
        <v>1.6916480000000007</v>
      </c>
      <c r="I967" s="508">
        <v>1.6954240000000003</v>
      </c>
      <c r="J967" s="508">
        <v>1.6992000000000007</v>
      </c>
      <c r="K967" s="508">
        <v>1.7029760000000003</v>
      </c>
      <c r="L967" s="508">
        <v>1.7067520000000016</v>
      </c>
      <c r="M967" s="508">
        <v>1.7105280000000012</v>
      </c>
      <c r="N967" s="508">
        <v>1.7143040000000007</v>
      </c>
      <c r="O967" s="508">
        <v>1.718080000000002</v>
      </c>
      <c r="P967" s="508">
        <v>1.7218560000000001</v>
      </c>
      <c r="Q967" s="508">
        <v>1.7256319999999996</v>
      </c>
      <c r="R967" s="508">
        <v>1.7294079999999992</v>
      </c>
      <c r="S967" s="508">
        <v>1.7331839999999987</v>
      </c>
      <c r="T967" s="508">
        <v>1.7369600000000001</v>
      </c>
      <c r="U967" s="508">
        <v>1.7407359999999996</v>
      </c>
      <c r="V967" s="508">
        <v>1.7445120000000007</v>
      </c>
      <c r="W967" s="508">
        <v>1.7482880000000005</v>
      </c>
      <c r="X967" s="508">
        <v>1.7520640000000001</v>
      </c>
      <c r="Y967" s="508">
        <v>1.7558400000000005</v>
      </c>
      <c r="Z967" s="508">
        <v>1.7596160000000001</v>
      </c>
      <c r="AA967" s="508">
        <v>1.7633919999999996</v>
      </c>
      <c r="AB967" s="508">
        <v>1.7671680000000007</v>
      </c>
      <c r="AC967" s="508">
        <v>1.7709440000000005</v>
      </c>
      <c r="AD967" s="508">
        <v>1.7747200000000001</v>
      </c>
      <c r="AE967" s="508">
        <v>1.7784960000000012</v>
      </c>
      <c r="AF967" s="508">
        <v>1.782272000000001</v>
      </c>
      <c r="AG967" s="508">
        <v>1.7860480000000005</v>
      </c>
      <c r="AH967" s="508">
        <v>1.7898240000000001</v>
      </c>
      <c r="AI967" s="508">
        <v>1.7935999999999996</v>
      </c>
    </row>
    <row r="968" spans="2:35" outlineLevel="1">
      <c r="B968" t="str">
        <f t="shared" si="83"/>
        <v/>
      </c>
      <c r="G968" s="487" t="str">
        <f t="shared" ref="G968:G1031" si="84">+C968&amp;E968&amp;D968</f>
        <v/>
      </c>
      <c r="H968" s="493"/>
      <c r="I968" s="493"/>
      <c r="J968" s="493"/>
      <c r="K968" s="493"/>
      <c r="L968" s="493"/>
      <c r="M968" s="493"/>
      <c r="N968" s="493"/>
      <c r="O968" s="493"/>
      <c r="P968" s="493"/>
      <c r="Q968" s="493"/>
      <c r="R968" s="493"/>
      <c r="S968" s="493"/>
      <c r="T968" s="493"/>
      <c r="U968" s="493"/>
      <c r="V968" s="493"/>
      <c r="W968" s="493"/>
      <c r="X968" s="493"/>
      <c r="Y968" s="493"/>
      <c r="Z968" s="493"/>
      <c r="AA968" s="493"/>
      <c r="AB968" s="493"/>
      <c r="AC968" s="493"/>
      <c r="AD968" s="493"/>
      <c r="AE968" s="493"/>
      <c r="AF968" s="493"/>
      <c r="AG968" s="493"/>
      <c r="AH968" s="493"/>
      <c r="AI968" s="493"/>
    </row>
    <row r="969" spans="2:35" ht="15" outlineLevel="1">
      <c r="B969" t="str">
        <f t="shared" si="83"/>
        <v>Blue ammonia (CCS) - OPEX including feedstock OPEX - Global - USD/ton fuel</v>
      </c>
      <c r="C969" s="491" t="str">
        <f>C953</f>
        <v>Blue ammonia (CCS)</v>
      </c>
      <c r="D969" s="491" t="s">
        <v>1364</v>
      </c>
      <c r="E969" s="491" t="s">
        <v>708</v>
      </c>
      <c r="F969" s="491" t="s">
        <v>1353</v>
      </c>
      <c r="G969" s="487" t="str">
        <f t="shared" si="84"/>
        <v>Blue ammonia (CCS)GlobalOPEX including feedstock OPEX</v>
      </c>
      <c r="H969" s="492">
        <v>193.43408000000005</v>
      </c>
      <c r="I969" s="492">
        <v>191.89344</v>
      </c>
      <c r="J969" s="492">
        <v>190.35280000000003</v>
      </c>
      <c r="K969" s="492">
        <v>188.74639999999999</v>
      </c>
      <c r="L969" s="492">
        <v>187.1400000000001</v>
      </c>
      <c r="M969" s="492">
        <v>185.53360000000006</v>
      </c>
      <c r="N969" s="492">
        <v>183.92720000000003</v>
      </c>
      <c r="O969" s="492">
        <v>182.32080000000008</v>
      </c>
      <c r="P969" s="492">
        <v>181.98027999999999</v>
      </c>
      <c r="Q969" s="492">
        <v>181.63975999999997</v>
      </c>
      <c r="R969" s="492">
        <v>181.29923999999997</v>
      </c>
      <c r="S969" s="492">
        <v>180.95871999999994</v>
      </c>
      <c r="T969" s="492">
        <v>180.6182</v>
      </c>
      <c r="U969" s="492">
        <v>180.27767999999998</v>
      </c>
      <c r="V969" s="492">
        <v>179.93716000000006</v>
      </c>
      <c r="W969" s="492">
        <v>179.59664000000004</v>
      </c>
      <c r="X969" s="492">
        <v>179.25612000000001</v>
      </c>
      <c r="Y969" s="492">
        <v>178.91560000000004</v>
      </c>
      <c r="Z969" s="492">
        <v>178.57508000000001</v>
      </c>
      <c r="AA969" s="492">
        <v>178.23455999999999</v>
      </c>
      <c r="AB969" s="492">
        <v>177.89404000000002</v>
      </c>
      <c r="AC969" s="492">
        <v>177.55352000000005</v>
      </c>
      <c r="AD969" s="492">
        <v>177.21300000000002</v>
      </c>
      <c r="AE969" s="492">
        <v>176.87248000000005</v>
      </c>
      <c r="AF969" s="492">
        <v>176.53196000000005</v>
      </c>
      <c r="AG969" s="492">
        <v>176.19144</v>
      </c>
      <c r="AH969" s="492">
        <v>175.85092000000003</v>
      </c>
      <c r="AI969" s="492">
        <v>175.51039999999998</v>
      </c>
    </row>
    <row r="970" spans="2:35" outlineLevel="1">
      <c r="B970" t="str">
        <f t="shared" si="83"/>
        <v>Blue ammonia (CCS) - OPEX - Global - USD/ton fuel</v>
      </c>
      <c r="C970" t="str">
        <f>C953</f>
        <v>Blue ammonia (CCS)</v>
      </c>
      <c r="D970" t="s">
        <v>450</v>
      </c>
      <c r="E970" t="s">
        <v>708</v>
      </c>
      <c r="F970" t="s">
        <v>1353</v>
      </c>
      <c r="G970" s="487" t="str">
        <f t="shared" si="84"/>
        <v>Blue ammonia (CCS)GlobalOPEX</v>
      </c>
      <c r="H970" s="493">
        <v>48.96</v>
      </c>
      <c r="I970" s="493">
        <v>48.480000000000004</v>
      </c>
      <c r="J970" s="493">
        <v>48</v>
      </c>
      <c r="K970" s="493">
        <v>47.52</v>
      </c>
      <c r="L970" s="493">
        <v>47.04</v>
      </c>
      <c r="M970" s="493">
        <v>46.56</v>
      </c>
      <c r="N970" s="493">
        <v>46.08</v>
      </c>
      <c r="O970" s="493">
        <v>45.6</v>
      </c>
      <c r="P970" s="493">
        <v>45.12</v>
      </c>
      <c r="Q970" s="493">
        <v>44.64</v>
      </c>
      <c r="R970" s="493">
        <v>44.160000000000004</v>
      </c>
      <c r="S970" s="493">
        <v>43.68</v>
      </c>
      <c r="T970" s="493">
        <v>43.2</v>
      </c>
      <c r="U970" s="493">
        <v>42.72</v>
      </c>
      <c r="V970" s="493">
        <v>42.24</v>
      </c>
      <c r="W970" s="493">
        <v>41.76</v>
      </c>
      <c r="X970" s="493">
        <v>41.28</v>
      </c>
      <c r="Y970" s="493">
        <v>40.800000000000004</v>
      </c>
      <c r="Z970" s="493">
        <v>40.32</v>
      </c>
      <c r="AA970" s="493">
        <v>39.840000000000003</v>
      </c>
      <c r="AB970" s="493">
        <v>39.36</v>
      </c>
      <c r="AC970" s="493">
        <v>38.880000000000003</v>
      </c>
      <c r="AD970" s="493">
        <v>38.4</v>
      </c>
      <c r="AE970" s="493">
        <v>37.92</v>
      </c>
      <c r="AF970" s="493">
        <v>37.44</v>
      </c>
      <c r="AG970" s="493">
        <v>36.96</v>
      </c>
      <c r="AH970" s="493">
        <v>36.480000000000004</v>
      </c>
      <c r="AI970" s="493">
        <v>36</v>
      </c>
    </row>
    <row r="971" spans="2:35" outlineLevel="1">
      <c r="B971" t="str">
        <f t="shared" si="83"/>
        <v>Nitrogen - OPEX - Global - USD/ton fuel</v>
      </c>
      <c r="C971" t="s">
        <v>1374</v>
      </c>
      <c r="D971" t="s">
        <v>450</v>
      </c>
      <c r="E971" t="s">
        <v>708</v>
      </c>
      <c r="F971" t="s">
        <v>1353</v>
      </c>
      <c r="G971" s="487" t="str">
        <f t="shared" si="84"/>
        <v>NitrogenGlobalOPEX</v>
      </c>
      <c r="H971" s="493">
        <v>15.44</v>
      </c>
      <c r="I971" s="493">
        <v>13.92</v>
      </c>
      <c r="J971" s="493">
        <v>12.4</v>
      </c>
      <c r="K971" s="493">
        <v>10.8</v>
      </c>
      <c r="L971" s="493">
        <v>9.2000000000000011</v>
      </c>
      <c r="M971" s="493">
        <v>7.6000000000000005</v>
      </c>
      <c r="N971" s="493">
        <v>6</v>
      </c>
      <c r="O971" s="493">
        <v>4.4000000000000004</v>
      </c>
      <c r="P971" s="493">
        <v>4.34</v>
      </c>
      <c r="Q971" s="493">
        <v>4.28</v>
      </c>
      <c r="R971" s="493">
        <v>4.22</v>
      </c>
      <c r="S971" s="493">
        <v>4.16</v>
      </c>
      <c r="T971" s="493">
        <v>4.0999999999999996</v>
      </c>
      <c r="U971" s="493">
        <v>4.04</v>
      </c>
      <c r="V971" s="493">
        <v>3.98</v>
      </c>
      <c r="W971" s="493">
        <v>3.92</v>
      </c>
      <c r="X971" s="493">
        <v>3.86</v>
      </c>
      <c r="Y971" s="493">
        <v>3.8000000000000003</v>
      </c>
      <c r="Z971" s="493">
        <v>3.74</v>
      </c>
      <c r="AA971" s="493">
        <v>3.68</v>
      </c>
      <c r="AB971" s="493">
        <v>3.62</v>
      </c>
      <c r="AC971" s="493">
        <v>3.56</v>
      </c>
      <c r="AD971" s="493">
        <v>3.5</v>
      </c>
      <c r="AE971" s="493">
        <v>3.44</v>
      </c>
      <c r="AF971" s="493">
        <v>3.38</v>
      </c>
      <c r="AG971" s="493">
        <v>3.3200000000000003</v>
      </c>
      <c r="AH971" s="493">
        <v>3.2600000000000002</v>
      </c>
      <c r="AI971" s="493">
        <v>3.2</v>
      </c>
    </row>
    <row r="972" spans="2:35" outlineLevel="1">
      <c r="B972" t="str">
        <f t="shared" si="83"/>
        <v>Carbon capture - OPEX including feedstock OPEX - Global - USD/ton fuel</v>
      </c>
      <c r="C972" t="s">
        <v>1398</v>
      </c>
      <c r="D972" t="s">
        <v>1364</v>
      </c>
      <c r="E972" t="s">
        <v>708</v>
      </c>
      <c r="F972" t="s">
        <v>1353</v>
      </c>
      <c r="G972" s="487" t="str">
        <f t="shared" si="84"/>
        <v>Carbon captureGlobalOPEX including feedstock OPEX</v>
      </c>
      <c r="H972" s="507">
        <v>25</v>
      </c>
      <c r="I972" s="507">
        <v>25</v>
      </c>
      <c r="J972" s="507">
        <v>25</v>
      </c>
      <c r="K972" s="507">
        <v>25</v>
      </c>
      <c r="L972" s="507">
        <v>25</v>
      </c>
      <c r="M972" s="507">
        <v>25</v>
      </c>
      <c r="N972" s="507">
        <v>25</v>
      </c>
      <c r="O972" s="507">
        <v>25</v>
      </c>
      <c r="P972" s="507">
        <v>25</v>
      </c>
      <c r="Q972" s="507">
        <v>25</v>
      </c>
      <c r="R972" s="507">
        <v>25</v>
      </c>
      <c r="S972" s="507">
        <v>25</v>
      </c>
      <c r="T972" s="507">
        <v>25</v>
      </c>
      <c r="U972" s="507">
        <v>25</v>
      </c>
      <c r="V972" s="507">
        <v>25</v>
      </c>
      <c r="W972" s="507">
        <v>25</v>
      </c>
      <c r="X972" s="507">
        <v>25</v>
      </c>
      <c r="Y972" s="507">
        <v>25</v>
      </c>
      <c r="Z972" s="507">
        <v>25</v>
      </c>
      <c r="AA972" s="507">
        <v>25</v>
      </c>
      <c r="AB972" s="507">
        <v>25</v>
      </c>
      <c r="AC972" s="507">
        <v>25</v>
      </c>
      <c r="AD972" s="507">
        <v>25</v>
      </c>
      <c r="AE972" s="507">
        <v>25</v>
      </c>
      <c r="AF972" s="507">
        <v>25</v>
      </c>
      <c r="AG972" s="507">
        <v>25</v>
      </c>
      <c r="AH972" s="507">
        <v>25</v>
      </c>
      <c r="AI972" s="507">
        <v>25</v>
      </c>
    </row>
    <row r="973" spans="2:35" outlineLevel="1">
      <c r="B973" t="str">
        <f t="shared" si="83"/>
        <v>Carbon storage - OPEX - Global - USD/ton fuel</v>
      </c>
      <c r="C973" t="s">
        <v>1399</v>
      </c>
      <c r="D973" t="s">
        <v>450</v>
      </c>
      <c r="E973" t="s">
        <v>708</v>
      </c>
      <c r="F973" t="s">
        <v>1353</v>
      </c>
      <c r="G973" s="487" t="str">
        <f t="shared" si="84"/>
        <v>Carbon storageGlobalOPEX</v>
      </c>
      <c r="H973" s="507">
        <v>50</v>
      </c>
      <c r="I973" s="507">
        <v>50</v>
      </c>
      <c r="J973" s="507">
        <v>50</v>
      </c>
      <c r="K973" s="507">
        <v>50</v>
      </c>
      <c r="L973" s="507">
        <v>50</v>
      </c>
      <c r="M973" s="507">
        <v>50</v>
      </c>
      <c r="N973" s="507">
        <v>50</v>
      </c>
      <c r="O973" s="507">
        <v>50</v>
      </c>
      <c r="P973" s="507">
        <v>50</v>
      </c>
      <c r="Q973" s="507">
        <v>50</v>
      </c>
      <c r="R973" s="507">
        <v>50</v>
      </c>
      <c r="S973" s="507">
        <v>50</v>
      </c>
      <c r="T973" s="507">
        <v>50</v>
      </c>
      <c r="U973" s="507">
        <v>50</v>
      </c>
      <c r="V973" s="507">
        <v>50</v>
      </c>
      <c r="W973" s="507">
        <v>50</v>
      </c>
      <c r="X973" s="507">
        <v>50</v>
      </c>
      <c r="Y973" s="507">
        <v>50</v>
      </c>
      <c r="Z973" s="507">
        <v>50</v>
      </c>
      <c r="AA973" s="507">
        <v>50</v>
      </c>
      <c r="AB973" s="507">
        <v>50</v>
      </c>
      <c r="AC973" s="507">
        <v>50</v>
      </c>
      <c r="AD973" s="507">
        <v>50</v>
      </c>
      <c r="AE973" s="507">
        <v>50</v>
      </c>
      <c r="AF973" s="507">
        <v>50</v>
      </c>
      <c r="AG973" s="507">
        <v>50</v>
      </c>
      <c r="AH973" s="507">
        <v>50</v>
      </c>
      <c r="AI973" s="507">
        <v>50</v>
      </c>
    </row>
    <row r="974" spans="2:35" outlineLevel="1">
      <c r="B974" t="str">
        <f>_xlfn.TEXTJOIN(" - ",TRUE,C974:F974)</f>
        <v>Blue ammonia (CCS) - Conversion N2 -&gt; NH3 - Global - ton N2/ton NH3</v>
      </c>
      <c r="C974" t="str">
        <f>C961</f>
        <v>Blue ammonia (CCS)</v>
      </c>
      <c r="D974" t="s">
        <v>1377</v>
      </c>
      <c r="E974" t="s">
        <v>708</v>
      </c>
      <c r="F974" t="s">
        <v>1378</v>
      </c>
      <c r="G974" s="487" t="str">
        <f t="shared" si="84"/>
        <v>Blue ammonia (CCS)GlobalConversion N2 -&gt; NH3</v>
      </c>
      <c r="H974" s="508">
        <v>0.82199999999999995</v>
      </c>
      <c r="I974" s="508">
        <v>0.82199999999999995</v>
      </c>
      <c r="J974" s="508">
        <v>0.82199999999999995</v>
      </c>
      <c r="K974" s="508">
        <v>0.82199999999999995</v>
      </c>
      <c r="L974" s="508">
        <v>0.82199999999999995</v>
      </c>
      <c r="M974" s="508">
        <v>0.82199999999999995</v>
      </c>
      <c r="N974" s="508">
        <v>0.82199999999999995</v>
      </c>
      <c r="O974" s="508">
        <v>0.82199999999999995</v>
      </c>
      <c r="P974" s="508">
        <v>0.82199999999999995</v>
      </c>
      <c r="Q974" s="508">
        <v>0.82199999999999995</v>
      </c>
      <c r="R974" s="508">
        <v>0.82199999999999995</v>
      </c>
      <c r="S974" s="508">
        <v>0.82199999999999995</v>
      </c>
      <c r="T974" s="508">
        <v>0.82199999999999995</v>
      </c>
      <c r="U974" s="508">
        <v>0.82199999999999995</v>
      </c>
      <c r="V974" s="508">
        <v>0.82199999999999995</v>
      </c>
      <c r="W974" s="508">
        <v>0.82199999999999995</v>
      </c>
      <c r="X974" s="508">
        <v>0.82199999999999995</v>
      </c>
      <c r="Y974" s="508">
        <v>0.82199999999999995</v>
      </c>
      <c r="Z974" s="508">
        <v>0.82199999999999995</v>
      </c>
      <c r="AA974" s="508">
        <v>0.82199999999999995</v>
      </c>
      <c r="AB974" s="508">
        <v>0.82199999999999995</v>
      </c>
      <c r="AC974" s="508">
        <v>0.82199999999999995</v>
      </c>
      <c r="AD974" s="508">
        <v>0.82199999999999995</v>
      </c>
      <c r="AE974" s="508">
        <v>0.82199999999999995</v>
      </c>
      <c r="AF974" s="508">
        <v>0.82199999999999995</v>
      </c>
      <c r="AG974" s="508">
        <v>0.82199999999999995</v>
      </c>
      <c r="AH974" s="508">
        <v>0.82199999999999995</v>
      </c>
      <c r="AI974" s="508">
        <v>0.82199999999999995</v>
      </c>
    </row>
    <row r="975" spans="2:35" outlineLevel="1">
      <c r="B975" t="str">
        <f t="shared" si="83"/>
        <v>Carbon capture &amp; storage (CCS) - Conversion NG -&gt; CO2 -&gt; NH3 - Global - ton CO2/ton NH3</v>
      </c>
      <c r="C975" t="s">
        <v>1400</v>
      </c>
      <c r="D975" t="s">
        <v>1401</v>
      </c>
      <c r="E975" t="s">
        <v>708</v>
      </c>
      <c r="F975" t="s">
        <v>1402</v>
      </c>
      <c r="G975" s="487" t="str">
        <f t="shared" si="84"/>
        <v>Carbon capture &amp; storage (CCS)GlobalConversion NG -&gt; CO2 -&gt; NH3</v>
      </c>
      <c r="H975" s="508">
        <v>1.8880000000000001</v>
      </c>
      <c r="I975" s="508">
        <v>1.8880000000000001</v>
      </c>
      <c r="J975" s="508">
        <v>1.8880000000000001</v>
      </c>
      <c r="K975" s="508">
        <v>1.8880000000000001</v>
      </c>
      <c r="L975" s="508">
        <v>1.8880000000000001</v>
      </c>
      <c r="M975" s="508">
        <v>1.8880000000000001</v>
      </c>
      <c r="N975" s="508">
        <v>1.8880000000000001</v>
      </c>
      <c r="O975" s="508">
        <v>1.8880000000000001</v>
      </c>
      <c r="P975" s="508">
        <v>1.8880000000000001</v>
      </c>
      <c r="Q975" s="508">
        <v>1.8880000000000001</v>
      </c>
      <c r="R975" s="508">
        <v>1.8880000000000001</v>
      </c>
      <c r="S975" s="508">
        <v>1.8880000000000001</v>
      </c>
      <c r="T975" s="508">
        <v>1.8880000000000001</v>
      </c>
      <c r="U975" s="508">
        <v>1.8880000000000001</v>
      </c>
      <c r="V975" s="508">
        <v>1.8880000000000001</v>
      </c>
      <c r="W975" s="508">
        <v>1.8880000000000001</v>
      </c>
      <c r="X975" s="508">
        <v>1.8880000000000001</v>
      </c>
      <c r="Y975" s="508">
        <v>1.8880000000000001</v>
      </c>
      <c r="Z975" s="508">
        <v>1.8880000000000001</v>
      </c>
      <c r="AA975" s="508">
        <v>1.8880000000000001</v>
      </c>
      <c r="AB975" s="508">
        <v>1.8880000000000001</v>
      </c>
      <c r="AC975" s="508">
        <v>1.8880000000000001</v>
      </c>
      <c r="AD975" s="508">
        <v>1.8880000000000001</v>
      </c>
      <c r="AE975" s="508">
        <v>1.8880000000000001</v>
      </c>
      <c r="AF975" s="508">
        <v>1.8880000000000001</v>
      </c>
      <c r="AG975" s="508">
        <v>1.8880000000000001</v>
      </c>
      <c r="AH975" s="508">
        <v>1.8880000000000001</v>
      </c>
      <c r="AI975" s="508">
        <v>1.8880000000000001</v>
      </c>
    </row>
    <row r="976" spans="2:35" outlineLevel="1">
      <c r="B976" t="str">
        <f t="shared" si="83"/>
        <v>Carbon storage - Carbon to store - Global - ton CO2/ton NH3</v>
      </c>
      <c r="C976" t="s">
        <v>1399</v>
      </c>
      <c r="D976" t="s">
        <v>1403</v>
      </c>
      <c r="E976" t="s">
        <v>708</v>
      </c>
      <c r="F976" t="s">
        <v>1402</v>
      </c>
      <c r="G976" s="487" t="str">
        <f t="shared" si="84"/>
        <v>Carbon storageGlobalCarbon to store</v>
      </c>
      <c r="H976" s="508">
        <v>1.6916480000000007</v>
      </c>
      <c r="I976" s="508">
        <v>1.6954240000000003</v>
      </c>
      <c r="J976" s="508">
        <v>1.6992000000000007</v>
      </c>
      <c r="K976" s="508">
        <v>1.7029760000000003</v>
      </c>
      <c r="L976" s="508">
        <v>1.7067520000000016</v>
      </c>
      <c r="M976" s="508">
        <v>1.7105280000000012</v>
      </c>
      <c r="N976" s="508">
        <v>1.7143040000000007</v>
      </c>
      <c r="O976" s="508">
        <v>1.718080000000002</v>
      </c>
      <c r="P976" s="508">
        <v>1.7218560000000001</v>
      </c>
      <c r="Q976" s="508">
        <v>1.7256319999999996</v>
      </c>
      <c r="R976" s="508">
        <v>1.7294079999999992</v>
      </c>
      <c r="S976" s="508">
        <v>1.7331839999999987</v>
      </c>
      <c r="T976" s="508">
        <v>1.7369600000000001</v>
      </c>
      <c r="U976" s="508">
        <v>1.7407359999999996</v>
      </c>
      <c r="V976" s="508">
        <v>1.7445120000000007</v>
      </c>
      <c r="W976" s="508">
        <v>1.7482880000000005</v>
      </c>
      <c r="X976" s="508">
        <v>1.7520640000000001</v>
      </c>
      <c r="Y976" s="508">
        <v>1.7558400000000005</v>
      </c>
      <c r="Z976" s="508">
        <v>1.7596160000000001</v>
      </c>
      <c r="AA976" s="508">
        <v>1.7633919999999996</v>
      </c>
      <c r="AB976" s="508">
        <v>1.7671680000000007</v>
      </c>
      <c r="AC976" s="508">
        <v>1.7709440000000005</v>
      </c>
      <c r="AD976" s="508">
        <v>1.7747200000000001</v>
      </c>
      <c r="AE976" s="508">
        <v>1.7784960000000012</v>
      </c>
      <c r="AF976" s="508">
        <v>1.782272000000001</v>
      </c>
      <c r="AG976" s="508">
        <v>1.7860480000000005</v>
      </c>
      <c r="AH976" s="508">
        <v>1.7898240000000001</v>
      </c>
      <c r="AI976" s="508">
        <v>1.7935999999999996</v>
      </c>
    </row>
    <row r="977" spans="2:35" outlineLevel="1">
      <c r="B977" t="str">
        <f t="shared" si="83"/>
        <v/>
      </c>
      <c r="G977" s="487" t="str">
        <f t="shared" si="84"/>
        <v/>
      </c>
      <c r="H977" s="493"/>
      <c r="I977" s="493"/>
      <c r="J977" s="493"/>
      <c r="K977" s="493"/>
      <c r="L977" s="493"/>
      <c r="M977" s="493"/>
      <c r="N977" s="493"/>
      <c r="O977" s="493"/>
      <c r="P977" s="493"/>
      <c r="Q977" s="493"/>
      <c r="R977" s="493"/>
      <c r="S977" s="493"/>
      <c r="T977" s="493"/>
      <c r="U977" s="493"/>
      <c r="V977" s="493"/>
      <c r="W977" s="493"/>
      <c r="X977" s="493"/>
      <c r="Y977" s="493"/>
      <c r="Z977" s="493"/>
      <c r="AA977" s="493"/>
      <c r="AB977" s="493"/>
      <c r="AC977" s="493"/>
      <c r="AD977" s="493"/>
      <c r="AE977" s="493"/>
      <c r="AF977" s="493"/>
      <c r="AG977" s="493"/>
      <c r="AH977" s="493"/>
      <c r="AI977" s="493"/>
    </row>
    <row r="978" spans="2:35" ht="15" outlineLevel="1">
      <c r="B978" t="str">
        <f t="shared" si="83"/>
        <v>Blue ammonia (CCS) - Finance cost including feedstock finance cost - Africa - USD/ton fuel</v>
      </c>
      <c r="C978" s="494" t="str">
        <f>C957</f>
        <v>Blue ammonia (CCS)</v>
      </c>
      <c r="D978" s="494" t="s">
        <v>1365</v>
      </c>
      <c r="E978" s="494" t="s">
        <v>838</v>
      </c>
      <c r="F978" s="494" t="s">
        <v>1353</v>
      </c>
      <c r="G978" s="487" t="str">
        <f t="shared" si="84"/>
        <v>Blue ammonia (CCS)AfricaFinance cost including feedstock finance cost</v>
      </c>
      <c r="H978" s="495">
        <v>84.771060000000006</v>
      </c>
      <c r="I978" s="495">
        <v>82.393080000000012</v>
      </c>
      <c r="J978" s="495">
        <v>80.015100000000018</v>
      </c>
      <c r="K978" s="495">
        <v>77.546700000000001</v>
      </c>
      <c r="L978" s="495">
        <v>75.078300000000013</v>
      </c>
      <c r="M978" s="495">
        <v>72.60990000000001</v>
      </c>
      <c r="N978" s="495">
        <v>70.141500000000008</v>
      </c>
      <c r="O978" s="495">
        <v>67.673100000000005</v>
      </c>
      <c r="P978" s="495">
        <v>66.945285000000013</v>
      </c>
      <c r="Q978" s="495">
        <v>66.217470000000006</v>
      </c>
      <c r="R978" s="495">
        <v>65.489654999999999</v>
      </c>
      <c r="S978" s="495">
        <v>64.761840000000007</v>
      </c>
      <c r="T978" s="495">
        <v>64.034025</v>
      </c>
      <c r="U978" s="495">
        <v>63.306210000000007</v>
      </c>
      <c r="V978" s="495">
        <v>62.578395000000008</v>
      </c>
      <c r="W978" s="495">
        <v>61.850580000000008</v>
      </c>
      <c r="X978" s="495">
        <v>61.122765000000008</v>
      </c>
      <c r="Y978" s="495">
        <v>60.394950000000009</v>
      </c>
      <c r="Z978" s="495">
        <v>59.667135000000002</v>
      </c>
      <c r="AA978" s="495">
        <v>58.939320000000009</v>
      </c>
      <c r="AB978" s="495">
        <v>58.211505000000002</v>
      </c>
      <c r="AC978" s="495">
        <v>57.48369000000001</v>
      </c>
      <c r="AD978" s="495">
        <v>56.755875000000003</v>
      </c>
      <c r="AE978" s="495">
        <v>56.028060000000011</v>
      </c>
      <c r="AF978" s="495">
        <v>55.300245000000004</v>
      </c>
      <c r="AG978" s="495">
        <v>54.572430000000004</v>
      </c>
      <c r="AH978" s="495">
        <v>53.844615000000005</v>
      </c>
      <c r="AI978" s="495">
        <v>53.116800000000005</v>
      </c>
    </row>
    <row r="979" spans="2:35" ht="15" outlineLevel="1">
      <c r="B979" t="str">
        <f t="shared" si="83"/>
        <v>Blue ammonia (CCS) - Finance cost including feedstock finance cost - Americas - USD/ton fuel</v>
      </c>
      <c r="C979" s="22" t="str">
        <f>C957</f>
        <v>Blue ammonia (CCS)</v>
      </c>
      <c r="D979" s="22" t="s">
        <v>1365</v>
      </c>
      <c r="E979" s="22" t="s">
        <v>731</v>
      </c>
      <c r="F979" s="22" t="s">
        <v>1353</v>
      </c>
      <c r="G979" s="487" t="str">
        <f t="shared" si="84"/>
        <v>Blue ammonia (CCS)AmericasFinance cost including feedstock finance cost</v>
      </c>
      <c r="H979" s="496">
        <v>84.771060000000006</v>
      </c>
      <c r="I979" s="496">
        <v>82.393080000000012</v>
      </c>
      <c r="J979" s="496">
        <v>80.015100000000018</v>
      </c>
      <c r="K979" s="496">
        <v>77.546700000000001</v>
      </c>
      <c r="L979" s="496">
        <v>75.078300000000013</v>
      </c>
      <c r="M979" s="496">
        <v>72.60990000000001</v>
      </c>
      <c r="N979" s="496">
        <v>70.141500000000008</v>
      </c>
      <c r="O979" s="496">
        <v>67.673100000000005</v>
      </c>
      <c r="P979" s="496">
        <v>66.945285000000013</v>
      </c>
      <c r="Q979" s="496">
        <v>66.217470000000006</v>
      </c>
      <c r="R979" s="496">
        <v>65.489654999999999</v>
      </c>
      <c r="S979" s="496">
        <v>64.761840000000007</v>
      </c>
      <c r="T979" s="496">
        <v>64.034025</v>
      </c>
      <c r="U979" s="496">
        <v>63.306210000000007</v>
      </c>
      <c r="V979" s="496">
        <v>62.578395000000008</v>
      </c>
      <c r="W979" s="496">
        <v>61.850580000000008</v>
      </c>
      <c r="X979" s="496">
        <v>61.122765000000008</v>
      </c>
      <c r="Y979" s="496">
        <v>60.394950000000009</v>
      </c>
      <c r="Z979" s="496">
        <v>59.667135000000002</v>
      </c>
      <c r="AA979" s="496">
        <v>58.939320000000009</v>
      </c>
      <c r="AB979" s="496">
        <v>58.211505000000002</v>
      </c>
      <c r="AC979" s="496">
        <v>57.48369000000001</v>
      </c>
      <c r="AD979" s="496">
        <v>56.755875000000003</v>
      </c>
      <c r="AE979" s="496">
        <v>56.028060000000011</v>
      </c>
      <c r="AF979" s="496">
        <v>55.300245000000004</v>
      </c>
      <c r="AG979" s="496">
        <v>54.572430000000004</v>
      </c>
      <c r="AH979" s="496">
        <v>53.844615000000005</v>
      </c>
      <c r="AI979" s="496">
        <v>53.116800000000005</v>
      </c>
    </row>
    <row r="980" spans="2:35" ht="15" outlineLevel="1">
      <c r="B980" t="str">
        <f t="shared" si="83"/>
        <v>Blue ammonia (CCS) - Finance cost including feedstock finance cost - Asia - USD/ton fuel</v>
      </c>
      <c r="C980" s="22" t="str">
        <f>C957</f>
        <v>Blue ammonia (CCS)</v>
      </c>
      <c r="D980" s="22" t="s">
        <v>1365</v>
      </c>
      <c r="E980" s="22" t="s">
        <v>750</v>
      </c>
      <c r="F980" s="22" t="s">
        <v>1353</v>
      </c>
      <c r="G980" s="487" t="str">
        <f t="shared" si="84"/>
        <v>Blue ammonia (CCS)AsiaFinance cost including feedstock finance cost</v>
      </c>
      <c r="H980" s="496">
        <v>84.771060000000006</v>
      </c>
      <c r="I980" s="496">
        <v>82.393080000000012</v>
      </c>
      <c r="J980" s="496">
        <v>80.015100000000018</v>
      </c>
      <c r="K980" s="496">
        <v>77.546700000000001</v>
      </c>
      <c r="L980" s="496">
        <v>75.078300000000013</v>
      </c>
      <c r="M980" s="496">
        <v>72.60990000000001</v>
      </c>
      <c r="N980" s="496">
        <v>70.141500000000008</v>
      </c>
      <c r="O980" s="496">
        <v>67.673100000000005</v>
      </c>
      <c r="P980" s="496">
        <v>66.945285000000013</v>
      </c>
      <c r="Q980" s="496">
        <v>66.217470000000006</v>
      </c>
      <c r="R980" s="496">
        <v>65.489654999999999</v>
      </c>
      <c r="S980" s="496">
        <v>64.761840000000007</v>
      </c>
      <c r="T980" s="496">
        <v>64.034025</v>
      </c>
      <c r="U980" s="496">
        <v>63.306210000000007</v>
      </c>
      <c r="V980" s="496">
        <v>62.578395000000008</v>
      </c>
      <c r="W980" s="496">
        <v>61.850580000000008</v>
      </c>
      <c r="X980" s="496">
        <v>61.122765000000008</v>
      </c>
      <c r="Y980" s="496">
        <v>60.394950000000009</v>
      </c>
      <c r="Z980" s="496">
        <v>59.667135000000002</v>
      </c>
      <c r="AA980" s="496">
        <v>58.939320000000009</v>
      </c>
      <c r="AB980" s="496">
        <v>58.211505000000002</v>
      </c>
      <c r="AC980" s="496">
        <v>57.48369000000001</v>
      </c>
      <c r="AD980" s="496">
        <v>56.755875000000003</v>
      </c>
      <c r="AE980" s="496">
        <v>56.028060000000011</v>
      </c>
      <c r="AF980" s="496">
        <v>55.300245000000004</v>
      </c>
      <c r="AG980" s="496">
        <v>54.572430000000004</v>
      </c>
      <c r="AH980" s="496">
        <v>53.844615000000005</v>
      </c>
      <c r="AI980" s="496">
        <v>53.116800000000005</v>
      </c>
    </row>
    <row r="981" spans="2:35" ht="15" outlineLevel="1">
      <c r="B981" t="str">
        <f t="shared" si="83"/>
        <v>Blue ammonia (CCS) - Finance cost including feedstock finance cost - Europe - USD/ton fuel</v>
      </c>
      <c r="C981" s="22" t="str">
        <f>C957</f>
        <v>Blue ammonia (CCS)</v>
      </c>
      <c r="D981" s="22" t="s">
        <v>1365</v>
      </c>
      <c r="E981" s="22" t="s">
        <v>720</v>
      </c>
      <c r="F981" s="22" t="s">
        <v>1353</v>
      </c>
      <c r="G981" s="487" t="str">
        <f t="shared" si="84"/>
        <v>Blue ammonia (CCS)EuropeFinance cost including feedstock finance cost</v>
      </c>
      <c r="H981" s="496">
        <v>84.771060000000006</v>
      </c>
      <c r="I981" s="496">
        <v>82.393080000000012</v>
      </c>
      <c r="J981" s="496">
        <v>80.015100000000018</v>
      </c>
      <c r="K981" s="496">
        <v>77.546700000000001</v>
      </c>
      <c r="L981" s="496">
        <v>75.078300000000013</v>
      </c>
      <c r="M981" s="496">
        <v>72.60990000000001</v>
      </c>
      <c r="N981" s="496">
        <v>70.141500000000008</v>
      </c>
      <c r="O981" s="496">
        <v>67.673100000000005</v>
      </c>
      <c r="P981" s="496">
        <v>66.945285000000013</v>
      </c>
      <c r="Q981" s="496">
        <v>66.217470000000006</v>
      </c>
      <c r="R981" s="496">
        <v>65.489654999999999</v>
      </c>
      <c r="S981" s="496">
        <v>64.761840000000007</v>
      </c>
      <c r="T981" s="496">
        <v>64.034025</v>
      </c>
      <c r="U981" s="496">
        <v>63.306210000000007</v>
      </c>
      <c r="V981" s="496">
        <v>62.578395000000008</v>
      </c>
      <c r="W981" s="496">
        <v>61.850580000000008</v>
      </c>
      <c r="X981" s="496">
        <v>61.122765000000008</v>
      </c>
      <c r="Y981" s="496">
        <v>60.394950000000009</v>
      </c>
      <c r="Z981" s="496">
        <v>59.667135000000002</v>
      </c>
      <c r="AA981" s="496">
        <v>58.939320000000009</v>
      </c>
      <c r="AB981" s="496">
        <v>58.211505000000002</v>
      </c>
      <c r="AC981" s="496">
        <v>57.48369000000001</v>
      </c>
      <c r="AD981" s="496">
        <v>56.755875000000003</v>
      </c>
      <c r="AE981" s="496">
        <v>56.028060000000011</v>
      </c>
      <c r="AF981" s="496">
        <v>55.300245000000004</v>
      </c>
      <c r="AG981" s="496">
        <v>54.572430000000004</v>
      </c>
      <c r="AH981" s="496">
        <v>53.844615000000005</v>
      </c>
      <c r="AI981" s="496">
        <v>53.116800000000005</v>
      </c>
    </row>
    <row r="982" spans="2:35" ht="15" outlineLevel="1">
      <c r="B982" t="str">
        <f t="shared" si="83"/>
        <v>Blue ammonia (CCS) - Finance cost including feedstock finance cost - Middle East - USD/ton fuel</v>
      </c>
      <c r="C982" s="92" t="str">
        <f>C957</f>
        <v>Blue ammonia (CCS)</v>
      </c>
      <c r="D982" s="92" t="s">
        <v>1365</v>
      </c>
      <c r="E982" s="92" t="s">
        <v>826</v>
      </c>
      <c r="F982" s="92" t="s">
        <v>1353</v>
      </c>
      <c r="G982" s="487" t="str">
        <f t="shared" si="84"/>
        <v>Blue ammonia (CCS)Middle EastFinance cost including feedstock finance cost</v>
      </c>
      <c r="H982" s="497">
        <v>84.771060000000006</v>
      </c>
      <c r="I982" s="497">
        <v>82.393080000000012</v>
      </c>
      <c r="J982" s="497">
        <v>80.015100000000018</v>
      </c>
      <c r="K982" s="497">
        <v>77.546700000000001</v>
      </c>
      <c r="L982" s="497">
        <v>75.078300000000013</v>
      </c>
      <c r="M982" s="497">
        <v>72.60990000000001</v>
      </c>
      <c r="N982" s="497">
        <v>70.141500000000008</v>
      </c>
      <c r="O982" s="497">
        <v>67.673100000000005</v>
      </c>
      <c r="P982" s="497">
        <v>66.945285000000013</v>
      </c>
      <c r="Q982" s="497">
        <v>66.217470000000006</v>
      </c>
      <c r="R982" s="497">
        <v>65.489654999999999</v>
      </c>
      <c r="S982" s="497">
        <v>64.761840000000007</v>
      </c>
      <c r="T982" s="497">
        <v>64.034025</v>
      </c>
      <c r="U982" s="497">
        <v>63.306210000000007</v>
      </c>
      <c r="V982" s="497">
        <v>62.578395000000008</v>
      </c>
      <c r="W982" s="497">
        <v>61.850580000000008</v>
      </c>
      <c r="X982" s="497">
        <v>61.122765000000008</v>
      </c>
      <c r="Y982" s="497">
        <v>60.394950000000009</v>
      </c>
      <c r="Z982" s="497">
        <v>59.667135000000002</v>
      </c>
      <c r="AA982" s="497">
        <v>58.939320000000009</v>
      </c>
      <c r="AB982" s="497">
        <v>58.211505000000002</v>
      </c>
      <c r="AC982" s="497">
        <v>57.48369000000001</v>
      </c>
      <c r="AD982" s="497">
        <v>56.755875000000003</v>
      </c>
      <c r="AE982" s="497">
        <v>56.028060000000011</v>
      </c>
      <c r="AF982" s="497">
        <v>55.300245000000004</v>
      </c>
      <c r="AG982" s="497">
        <v>54.572430000000004</v>
      </c>
      <c r="AH982" s="497">
        <v>53.844615000000005</v>
      </c>
      <c r="AI982" s="497">
        <v>53.116800000000005</v>
      </c>
    </row>
    <row r="983" spans="2:35" outlineLevel="1">
      <c r="B983" t="str">
        <f t="shared" si="83"/>
        <v>Blue ammonia (CCS) - Finance cost - Africa - USD/ton fuel</v>
      </c>
      <c r="C983" t="str">
        <f>C953</f>
        <v>Blue ammonia (CCS)</v>
      </c>
      <c r="D983" t="s">
        <v>1366</v>
      </c>
      <c r="E983" t="s">
        <v>838</v>
      </c>
      <c r="F983" t="s">
        <v>1353</v>
      </c>
      <c r="G983" s="487" t="str">
        <f t="shared" si="84"/>
        <v>Blue ammonia (CCS)AfricaFinance cost</v>
      </c>
      <c r="H983" s="493">
        <v>67.320000000000007</v>
      </c>
      <c r="I983" s="493">
        <v>66.660000000000011</v>
      </c>
      <c r="J983" s="493">
        <v>66.000000000000014</v>
      </c>
      <c r="K983" s="493">
        <v>65.34</v>
      </c>
      <c r="L983" s="493">
        <v>64.680000000000007</v>
      </c>
      <c r="M983" s="493">
        <v>64.02000000000001</v>
      </c>
      <c r="N983" s="493">
        <v>63.360000000000007</v>
      </c>
      <c r="O983" s="493">
        <v>62.70000000000001</v>
      </c>
      <c r="P983" s="493">
        <v>62.040000000000006</v>
      </c>
      <c r="Q983" s="493">
        <v>61.38000000000001</v>
      </c>
      <c r="R983" s="493">
        <v>60.720000000000006</v>
      </c>
      <c r="S983" s="493">
        <v>60.060000000000009</v>
      </c>
      <c r="T983" s="493">
        <v>59.400000000000006</v>
      </c>
      <c r="U983" s="493">
        <v>58.740000000000009</v>
      </c>
      <c r="V983" s="493">
        <v>58.080000000000005</v>
      </c>
      <c r="W983" s="493">
        <v>57.420000000000009</v>
      </c>
      <c r="X983" s="493">
        <v>56.760000000000005</v>
      </c>
      <c r="Y983" s="493">
        <v>56.100000000000009</v>
      </c>
      <c r="Z983" s="493">
        <v>55.440000000000005</v>
      </c>
      <c r="AA983" s="493">
        <v>54.780000000000008</v>
      </c>
      <c r="AB983" s="493">
        <v>54.120000000000005</v>
      </c>
      <c r="AC983" s="493">
        <v>53.460000000000008</v>
      </c>
      <c r="AD983" s="493">
        <v>52.800000000000004</v>
      </c>
      <c r="AE983" s="493">
        <v>52.140000000000008</v>
      </c>
      <c r="AF983" s="493">
        <v>51.480000000000004</v>
      </c>
      <c r="AG983" s="493">
        <v>50.820000000000007</v>
      </c>
      <c r="AH983" s="493">
        <v>50.160000000000004</v>
      </c>
      <c r="AI983" s="493">
        <v>49.500000000000007</v>
      </c>
    </row>
    <row r="984" spans="2:35" outlineLevel="1">
      <c r="B984" t="str">
        <f t="shared" si="83"/>
        <v>Blue ammonia (CCS) - Finance cost - Americas - USD/ton fuel</v>
      </c>
      <c r="C984" t="str">
        <f>C953</f>
        <v>Blue ammonia (CCS)</v>
      </c>
      <c r="D984" t="s">
        <v>1366</v>
      </c>
      <c r="E984" t="s">
        <v>731</v>
      </c>
      <c r="F984" t="s">
        <v>1353</v>
      </c>
      <c r="G984" s="487" t="str">
        <f t="shared" si="84"/>
        <v>Blue ammonia (CCS)AmericasFinance cost</v>
      </c>
      <c r="H984" s="493">
        <v>67.320000000000007</v>
      </c>
      <c r="I984" s="493">
        <v>66.660000000000011</v>
      </c>
      <c r="J984" s="493">
        <v>66.000000000000014</v>
      </c>
      <c r="K984" s="493">
        <v>65.34</v>
      </c>
      <c r="L984" s="493">
        <v>64.680000000000007</v>
      </c>
      <c r="M984" s="493">
        <v>64.02000000000001</v>
      </c>
      <c r="N984" s="493">
        <v>63.360000000000007</v>
      </c>
      <c r="O984" s="493">
        <v>62.70000000000001</v>
      </c>
      <c r="P984" s="493">
        <v>62.040000000000006</v>
      </c>
      <c r="Q984" s="493">
        <v>61.38000000000001</v>
      </c>
      <c r="R984" s="493">
        <v>60.720000000000006</v>
      </c>
      <c r="S984" s="493">
        <v>60.060000000000009</v>
      </c>
      <c r="T984" s="493">
        <v>59.400000000000006</v>
      </c>
      <c r="U984" s="493">
        <v>58.740000000000009</v>
      </c>
      <c r="V984" s="493">
        <v>58.080000000000005</v>
      </c>
      <c r="W984" s="493">
        <v>57.420000000000009</v>
      </c>
      <c r="X984" s="493">
        <v>56.760000000000005</v>
      </c>
      <c r="Y984" s="493">
        <v>56.100000000000009</v>
      </c>
      <c r="Z984" s="493">
        <v>55.440000000000005</v>
      </c>
      <c r="AA984" s="493">
        <v>54.780000000000008</v>
      </c>
      <c r="AB984" s="493">
        <v>54.120000000000005</v>
      </c>
      <c r="AC984" s="493">
        <v>53.460000000000008</v>
      </c>
      <c r="AD984" s="493">
        <v>52.800000000000004</v>
      </c>
      <c r="AE984" s="493">
        <v>52.140000000000008</v>
      </c>
      <c r="AF984" s="493">
        <v>51.480000000000004</v>
      </c>
      <c r="AG984" s="493">
        <v>50.820000000000007</v>
      </c>
      <c r="AH984" s="493">
        <v>50.160000000000004</v>
      </c>
      <c r="AI984" s="493">
        <v>49.500000000000007</v>
      </c>
    </row>
    <row r="985" spans="2:35" outlineLevel="1">
      <c r="B985" t="str">
        <f t="shared" si="83"/>
        <v>Blue ammonia (CCS) - Finance cost - Asia - USD/ton fuel</v>
      </c>
      <c r="C985" t="str">
        <f>C953</f>
        <v>Blue ammonia (CCS)</v>
      </c>
      <c r="D985" t="s">
        <v>1366</v>
      </c>
      <c r="E985" t="s">
        <v>750</v>
      </c>
      <c r="F985" t="s">
        <v>1353</v>
      </c>
      <c r="G985" s="487" t="str">
        <f t="shared" si="84"/>
        <v>Blue ammonia (CCS)AsiaFinance cost</v>
      </c>
      <c r="H985" s="493">
        <v>67.320000000000007</v>
      </c>
      <c r="I985" s="493">
        <v>66.660000000000011</v>
      </c>
      <c r="J985" s="493">
        <v>66.000000000000014</v>
      </c>
      <c r="K985" s="493">
        <v>65.34</v>
      </c>
      <c r="L985" s="493">
        <v>64.680000000000007</v>
      </c>
      <c r="M985" s="493">
        <v>64.02000000000001</v>
      </c>
      <c r="N985" s="493">
        <v>63.360000000000007</v>
      </c>
      <c r="O985" s="493">
        <v>62.70000000000001</v>
      </c>
      <c r="P985" s="493">
        <v>62.040000000000006</v>
      </c>
      <c r="Q985" s="493">
        <v>61.38000000000001</v>
      </c>
      <c r="R985" s="493">
        <v>60.720000000000006</v>
      </c>
      <c r="S985" s="493">
        <v>60.060000000000009</v>
      </c>
      <c r="T985" s="493">
        <v>59.400000000000006</v>
      </c>
      <c r="U985" s="493">
        <v>58.740000000000009</v>
      </c>
      <c r="V985" s="493">
        <v>58.080000000000005</v>
      </c>
      <c r="W985" s="493">
        <v>57.420000000000009</v>
      </c>
      <c r="X985" s="493">
        <v>56.760000000000005</v>
      </c>
      <c r="Y985" s="493">
        <v>56.100000000000009</v>
      </c>
      <c r="Z985" s="493">
        <v>55.440000000000005</v>
      </c>
      <c r="AA985" s="493">
        <v>54.780000000000008</v>
      </c>
      <c r="AB985" s="493">
        <v>54.120000000000005</v>
      </c>
      <c r="AC985" s="493">
        <v>53.460000000000008</v>
      </c>
      <c r="AD985" s="493">
        <v>52.800000000000004</v>
      </c>
      <c r="AE985" s="493">
        <v>52.140000000000008</v>
      </c>
      <c r="AF985" s="493">
        <v>51.480000000000004</v>
      </c>
      <c r="AG985" s="493">
        <v>50.820000000000007</v>
      </c>
      <c r="AH985" s="493">
        <v>50.160000000000004</v>
      </c>
      <c r="AI985" s="493">
        <v>49.500000000000007</v>
      </c>
    </row>
    <row r="986" spans="2:35" outlineLevel="1">
      <c r="B986" t="str">
        <f t="shared" si="83"/>
        <v>Blue ammonia (CCS) - Finance cost - Europe - USD/ton fuel</v>
      </c>
      <c r="C986" t="str">
        <f>C953</f>
        <v>Blue ammonia (CCS)</v>
      </c>
      <c r="D986" t="s">
        <v>1366</v>
      </c>
      <c r="E986" t="s">
        <v>720</v>
      </c>
      <c r="F986" t="s">
        <v>1353</v>
      </c>
      <c r="G986" s="487" t="str">
        <f t="shared" si="84"/>
        <v>Blue ammonia (CCS)EuropeFinance cost</v>
      </c>
      <c r="H986" s="493">
        <v>67.320000000000007</v>
      </c>
      <c r="I986" s="493">
        <v>66.660000000000011</v>
      </c>
      <c r="J986" s="493">
        <v>66.000000000000014</v>
      </c>
      <c r="K986" s="493">
        <v>65.34</v>
      </c>
      <c r="L986" s="493">
        <v>64.680000000000007</v>
      </c>
      <c r="M986" s="493">
        <v>64.02000000000001</v>
      </c>
      <c r="N986" s="493">
        <v>63.360000000000007</v>
      </c>
      <c r="O986" s="493">
        <v>62.70000000000001</v>
      </c>
      <c r="P986" s="493">
        <v>62.040000000000006</v>
      </c>
      <c r="Q986" s="493">
        <v>61.38000000000001</v>
      </c>
      <c r="R986" s="493">
        <v>60.720000000000006</v>
      </c>
      <c r="S986" s="493">
        <v>60.060000000000009</v>
      </c>
      <c r="T986" s="493">
        <v>59.400000000000006</v>
      </c>
      <c r="U986" s="493">
        <v>58.740000000000009</v>
      </c>
      <c r="V986" s="493">
        <v>58.080000000000005</v>
      </c>
      <c r="W986" s="493">
        <v>57.420000000000009</v>
      </c>
      <c r="X986" s="493">
        <v>56.760000000000005</v>
      </c>
      <c r="Y986" s="493">
        <v>56.100000000000009</v>
      </c>
      <c r="Z986" s="493">
        <v>55.440000000000005</v>
      </c>
      <c r="AA986" s="493">
        <v>54.780000000000008</v>
      </c>
      <c r="AB986" s="493">
        <v>54.120000000000005</v>
      </c>
      <c r="AC986" s="493">
        <v>53.460000000000008</v>
      </c>
      <c r="AD986" s="493">
        <v>52.800000000000004</v>
      </c>
      <c r="AE986" s="493">
        <v>52.140000000000008</v>
      </c>
      <c r="AF986" s="493">
        <v>51.480000000000004</v>
      </c>
      <c r="AG986" s="493">
        <v>50.820000000000007</v>
      </c>
      <c r="AH986" s="493">
        <v>50.160000000000004</v>
      </c>
      <c r="AI986" s="493">
        <v>49.500000000000007</v>
      </c>
    </row>
    <row r="987" spans="2:35" outlineLevel="1">
      <c r="B987" t="str">
        <f t="shared" si="83"/>
        <v>Blue ammonia (CCS) - Finance cost - Middle East - USD/ton fuel</v>
      </c>
      <c r="C987" t="str">
        <f>C953</f>
        <v>Blue ammonia (CCS)</v>
      </c>
      <c r="D987" t="s">
        <v>1366</v>
      </c>
      <c r="E987" t="s">
        <v>826</v>
      </c>
      <c r="F987" t="s">
        <v>1353</v>
      </c>
      <c r="G987" s="487" t="str">
        <f t="shared" si="84"/>
        <v>Blue ammonia (CCS)Middle EastFinance cost</v>
      </c>
      <c r="H987" s="493">
        <v>67.320000000000007</v>
      </c>
      <c r="I987" s="493">
        <v>66.660000000000011</v>
      </c>
      <c r="J987" s="493">
        <v>66.000000000000014</v>
      </c>
      <c r="K987" s="493">
        <v>65.34</v>
      </c>
      <c r="L987" s="493">
        <v>64.680000000000007</v>
      </c>
      <c r="M987" s="493">
        <v>64.02000000000001</v>
      </c>
      <c r="N987" s="493">
        <v>63.360000000000007</v>
      </c>
      <c r="O987" s="493">
        <v>62.70000000000001</v>
      </c>
      <c r="P987" s="493">
        <v>62.040000000000006</v>
      </c>
      <c r="Q987" s="493">
        <v>61.38000000000001</v>
      </c>
      <c r="R987" s="493">
        <v>60.720000000000006</v>
      </c>
      <c r="S987" s="493">
        <v>60.060000000000009</v>
      </c>
      <c r="T987" s="493">
        <v>59.400000000000006</v>
      </c>
      <c r="U987" s="493">
        <v>58.740000000000009</v>
      </c>
      <c r="V987" s="493">
        <v>58.080000000000005</v>
      </c>
      <c r="W987" s="493">
        <v>57.420000000000009</v>
      </c>
      <c r="X987" s="493">
        <v>56.760000000000005</v>
      </c>
      <c r="Y987" s="493">
        <v>56.100000000000009</v>
      </c>
      <c r="Z987" s="493">
        <v>55.440000000000005</v>
      </c>
      <c r="AA987" s="493">
        <v>54.780000000000008</v>
      </c>
      <c r="AB987" s="493">
        <v>54.120000000000005</v>
      </c>
      <c r="AC987" s="493">
        <v>53.460000000000008</v>
      </c>
      <c r="AD987" s="493">
        <v>52.800000000000004</v>
      </c>
      <c r="AE987" s="493">
        <v>52.140000000000008</v>
      </c>
      <c r="AF987" s="493">
        <v>51.480000000000004</v>
      </c>
      <c r="AG987" s="493">
        <v>50.820000000000007</v>
      </c>
      <c r="AH987" s="493">
        <v>50.160000000000004</v>
      </c>
      <c r="AI987" s="493">
        <v>49.500000000000007</v>
      </c>
    </row>
    <row r="988" spans="2:35" outlineLevel="1">
      <c r="B988" t="str">
        <f>_xlfn.TEXTJOIN(" - ",TRUE,C988:F988)</f>
        <v>Nitrogen - Finance cost - Africa - USD/ton fuel</v>
      </c>
      <c r="C988" t="s">
        <v>1374</v>
      </c>
      <c r="D988" t="s">
        <v>1366</v>
      </c>
      <c r="E988" t="s">
        <v>838</v>
      </c>
      <c r="F988" t="s">
        <v>1353</v>
      </c>
      <c r="G988" s="487" t="str">
        <f t="shared" si="84"/>
        <v>NitrogenAfricaFinance cost</v>
      </c>
      <c r="H988" s="493">
        <v>21.230000000000004</v>
      </c>
      <c r="I988" s="493">
        <v>19.140000000000004</v>
      </c>
      <c r="J988" s="493">
        <v>17.05</v>
      </c>
      <c r="K988" s="493">
        <v>14.850000000000001</v>
      </c>
      <c r="L988" s="493">
        <v>12.650000000000002</v>
      </c>
      <c r="M988" s="493">
        <v>10.450000000000001</v>
      </c>
      <c r="N988" s="493">
        <v>8.2500000000000018</v>
      </c>
      <c r="O988" s="493">
        <v>6.0500000000000007</v>
      </c>
      <c r="P988" s="493">
        <v>5.9675000000000011</v>
      </c>
      <c r="Q988" s="493">
        <v>5.8850000000000007</v>
      </c>
      <c r="R988" s="493">
        <v>5.8025000000000011</v>
      </c>
      <c r="S988" s="493">
        <v>5.7200000000000006</v>
      </c>
      <c r="T988" s="493">
        <v>5.6375000000000011</v>
      </c>
      <c r="U988" s="493">
        <v>5.5550000000000006</v>
      </c>
      <c r="V988" s="493">
        <v>5.472500000000001</v>
      </c>
      <c r="W988" s="493">
        <v>5.3900000000000006</v>
      </c>
      <c r="X988" s="493">
        <v>5.307500000000001</v>
      </c>
      <c r="Y988" s="493">
        <v>5.2250000000000005</v>
      </c>
      <c r="Z988" s="493">
        <v>5.142500000000001</v>
      </c>
      <c r="AA988" s="493">
        <v>5.0600000000000005</v>
      </c>
      <c r="AB988" s="493">
        <v>4.9775000000000009</v>
      </c>
      <c r="AC988" s="493">
        <v>4.8950000000000005</v>
      </c>
      <c r="AD988" s="493">
        <v>4.8125000000000009</v>
      </c>
      <c r="AE988" s="493">
        <v>4.7300000000000004</v>
      </c>
      <c r="AF988" s="493">
        <v>4.6475000000000009</v>
      </c>
      <c r="AG988" s="493">
        <v>4.5650000000000004</v>
      </c>
      <c r="AH988" s="493">
        <v>4.4825000000000008</v>
      </c>
      <c r="AI988" s="493">
        <v>4.4000000000000004</v>
      </c>
    </row>
    <row r="989" spans="2:35" outlineLevel="1">
      <c r="B989" t="str">
        <f>_xlfn.TEXTJOIN(" - ",TRUE,C989:F989)</f>
        <v>Nitrogen - Finance cost - Americas - USD/ton fuel</v>
      </c>
      <c r="C989" t="s">
        <v>1374</v>
      </c>
      <c r="D989" t="s">
        <v>1366</v>
      </c>
      <c r="E989" t="s">
        <v>731</v>
      </c>
      <c r="F989" t="s">
        <v>1353</v>
      </c>
      <c r="G989" s="487" t="str">
        <f t="shared" si="84"/>
        <v>NitrogenAmericasFinance cost</v>
      </c>
      <c r="H989" s="493">
        <v>21.230000000000004</v>
      </c>
      <c r="I989" s="493">
        <v>19.140000000000004</v>
      </c>
      <c r="J989" s="493">
        <v>17.05</v>
      </c>
      <c r="K989" s="493">
        <v>14.850000000000001</v>
      </c>
      <c r="L989" s="493">
        <v>12.650000000000002</v>
      </c>
      <c r="M989" s="493">
        <v>10.450000000000001</v>
      </c>
      <c r="N989" s="493">
        <v>8.2500000000000018</v>
      </c>
      <c r="O989" s="493">
        <v>6.0500000000000007</v>
      </c>
      <c r="P989" s="493">
        <v>5.9675000000000011</v>
      </c>
      <c r="Q989" s="493">
        <v>5.8850000000000007</v>
      </c>
      <c r="R989" s="493">
        <v>5.8025000000000011</v>
      </c>
      <c r="S989" s="493">
        <v>5.7200000000000006</v>
      </c>
      <c r="T989" s="493">
        <v>5.6375000000000011</v>
      </c>
      <c r="U989" s="493">
        <v>5.5550000000000006</v>
      </c>
      <c r="V989" s="493">
        <v>5.472500000000001</v>
      </c>
      <c r="W989" s="493">
        <v>5.3900000000000006</v>
      </c>
      <c r="X989" s="493">
        <v>5.307500000000001</v>
      </c>
      <c r="Y989" s="493">
        <v>5.2250000000000005</v>
      </c>
      <c r="Z989" s="493">
        <v>5.142500000000001</v>
      </c>
      <c r="AA989" s="493">
        <v>5.0600000000000005</v>
      </c>
      <c r="AB989" s="493">
        <v>4.9775000000000009</v>
      </c>
      <c r="AC989" s="493">
        <v>4.8950000000000005</v>
      </c>
      <c r="AD989" s="493">
        <v>4.8125000000000009</v>
      </c>
      <c r="AE989" s="493">
        <v>4.7300000000000004</v>
      </c>
      <c r="AF989" s="493">
        <v>4.6475000000000009</v>
      </c>
      <c r="AG989" s="493">
        <v>4.5650000000000004</v>
      </c>
      <c r="AH989" s="493">
        <v>4.4825000000000008</v>
      </c>
      <c r="AI989" s="493">
        <v>4.4000000000000004</v>
      </c>
    </row>
    <row r="990" spans="2:35" outlineLevel="1">
      <c r="B990" t="str">
        <f>_xlfn.TEXTJOIN(" - ",TRUE,C990:F990)</f>
        <v>Nitrogen - Finance cost - Asia - USD/ton fuel</v>
      </c>
      <c r="C990" t="s">
        <v>1374</v>
      </c>
      <c r="D990" t="s">
        <v>1366</v>
      </c>
      <c r="E990" t="s">
        <v>750</v>
      </c>
      <c r="F990" t="s">
        <v>1353</v>
      </c>
      <c r="G990" s="487" t="str">
        <f t="shared" si="84"/>
        <v>NitrogenAsiaFinance cost</v>
      </c>
      <c r="H990" s="493">
        <v>21.230000000000004</v>
      </c>
      <c r="I990" s="493">
        <v>19.140000000000004</v>
      </c>
      <c r="J990" s="493">
        <v>17.05</v>
      </c>
      <c r="K990" s="493">
        <v>14.850000000000001</v>
      </c>
      <c r="L990" s="493">
        <v>12.650000000000002</v>
      </c>
      <c r="M990" s="493">
        <v>10.450000000000001</v>
      </c>
      <c r="N990" s="493">
        <v>8.2500000000000018</v>
      </c>
      <c r="O990" s="493">
        <v>6.0500000000000007</v>
      </c>
      <c r="P990" s="493">
        <v>5.9675000000000011</v>
      </c>
      <c r="Q990" s="493">
        <v>5.8850000000000007</v>
      </c>
      <c r="R990" s="493">
        <v>5.8025000000000011</v>
      </c>
      <c r="S990" s="493">
        <v>5.7200000000000006</v>
      </c>
      <c r="T990" s="493">
        <v>5.6375000000000011</v>
      </c>
      <c r="U990" s="493">
        <v>5.5550000000000006</v>
      </c>
      <c r="V990" s="493">
        <v>5.472500000000001</v>
      </c>
      <c r="W990" s="493">
        <v>5.3900000000000006</v>
      </c>
      <c r="X990" s="493">
        <v>5.307500000000001</v>
      </c>
      <c r="Y990" s="493">
        <v>5.2250000000000005</v>
      </c>
      <c r="Z990" s="493">
        <v>5.142500000000001</v>
      </c>
      <c r="AA990" s="493">
        <v>5.0600000000000005</v>
      </c>
      <c r="AB990" s="493">
        <v>4.9775000000000009</v>
      </c>
      <c r="AC990" s="493">
        <v>4.8950000000000005</v>
      </c>
      <c r="AD990" s="493">
        <v>4.8125000000000009</v>
      </c>
      <c r="AE990" s="493">
        <v>4.7300000000000004</v>
      </c>
      <c r="AF990" s="493">
        <v>4.6475000000000009</v>
      </c>
      <c r="AG990" s="493">
        <v>4.5650000000000004</v>
      </c>
      <c r="AH990" s="493">
        <v>4.4825000000000008</v>
      </c>
      <c r="AI990" s="493">
        <v>4.4000000000000004</v>
      </c>
    </row>
    <row r="991" spans="2:35" outlineLevel="1">
      <c r="B991" t="str">
        <f>_xlfn.TEXTJOIN(" - ",TRUE,C991:F991)</f>
        <v>Nitrogen - Finance cost - Europe - USD/ton fuel</v>
      </c>
      <c r="C991" t="s">
        <v>1374</v>
      </c>
      <c r="D991" t="s">
        <v>1366</v>
      </c>
      <c r="E991" t="s">
        <v>720</v>
      </c>
      <c r="F991" t="s">
        <v>1353</v>
      </c>
      <c r="G991" s="487" t="str">
        <f t="shared" si="84"/>
        <v>NitrogenEuropeFinance cost</v>
      </c>
      <c r="H991" s="493">
        <v>21.230000000000004</v>
      </c>
      <c r="I991" s="493">
        <v>19.140000000000004</v>
      </c>
      <c r="J991" s="493">
        <v>17.05</v>
      </c>
      <c r="K991" s="493">
        <v>14.850000000000001</v>
      </c>
      <c r="L991" s="493">
        <v>12.650000000000002</v>
      </c>
      <c r="M991" s="493">
        <v>10.450000000000001</v>
      </c>
      <c r="N991" s="493">
        <v>8.2500000000000018</v>
      </c>
      <c r="O991" s="493">
        <v>6.0500000000000007</v>
      </c>
      <c r="P991" s="493">
        <v>5.9675000000000011</v>
      </c>
      <c r="Q991" s="493">
        <v>5.8850000000000007</v>
      </c>
      <c r="R991" s="493">
        <v>5.8025000000000011</v>
      </c>
      <c r="S991" s="493">
        <v>5.7200000000000006</v>
      </c>
      <c r="T991" s="493">
        <v>5.6375000000000011</v>
      </c>
      <c r="U991" s="493">
        <v>5.5550000000000006</v>
      </c>
      <c r="V991" s="493">
        <v>5.472500000000001</v>
      </c>
      <c r="W991" s="493">
        <v>5.3900000000000006</v>
      </c>
      <c r="X991" s="493">
        <v>5.307500000000001</v>
      </c>
      <c r="Y991" s="493">
        <v>5.2250000000000005</v>
      </c>
      <c r="Z991" s="493">
        <v>5.142500000000001</v>
      </c>
      <c r="AA991" s="493">
        <v>5.0600000000000005</v>
      </c>
      <c r="AB991" s="493">
        <v>4.9775000000000009</v>
      </c>
      <c r="AC991" s="493">
        <v>4.8950000000000005</v>
      </c>
      <c r="AD991" s="493">
        <v>4.8125000000000009</v>
      </c>
      <c r="AE991" s="493">
        <v>4.7300000000000004</v>
      </c>
      <c r="AF991" s="493">
        <v>4.6475000000000009</v>
      </c>
      <c r="AG991" s="493">
        <v>4.5650000000000004</v>
      </c>
      <c r="AH991" s="493">
        <v>4.4825000000000008</v>
      </c>
      <c r="AI991" s="493">
        <v>4.4000000000000004</v>
      </c>
    </row>
    <row r="992" spans="2:35" outlineLevel="1">
      <c r="B992" t="str">
        <f>_xlfn.TEXTJOIN(" - ",TRUE,C992:F992)</f>
        <v>Nitrogen - Finance cost - Middle East - USD/ton fuel</v>
      </c>
      <c r="C992" t="s">
        <v>1374</v>
      </c>
      <c r="D992" t="s">
        <v>1366</v>
      </c>
      <c r="E992" t="s">
        <v>826</v>
      </c>
      <c r="F992" t="s">
        <v>1353</v>
      </c>
      <c r="G992" s="487" t="str">
        <f t="shared" si="84"/>
        <v>NitrogenMiddle EastFinance cost</v>
      </c>
      <c r="H992" s="493">
        <v>21.230000000000004</v>
      </c>
      <c r="I992" s="493">
        <v>19.140000000000004</v>
      </c>
      <c r="J992" s="493">
        <v>17.05</v>
      </c>
      <c r="K992" s="493">
        <v>14.850000000000001</v>
      </c>
      <c r="L992" s="493">
        <v>12.650000000000002</v>
      </c>
      <c r="M992" s="493">
        <v>10.450000000000001</v>
      </c>
      <c r="N992" s="493">
        <v>8.2500000000000018</v>
      </c>
      <c r="O992" s="493">
        <v>6.0500000000000007</v>
      </c>
      <c r="P992" s="493">
        <v>5.9675000000000011</v>
      </c>
      <c r="Q992" s="493">
        <v>5.8850000000000007</v>
      </c>
      <c r="R992" s="493">
        <v>5.8025000000000011</v>
      </c>
      <c r="S992" s="493">
        <v>5.7200000000000006</v>
      </c>
      <c r="T992" s="493">
        <v>5.6375000000000011</v>
      </c>
      <c r="U992" s="493">
        <v>5.5550000000000006</v>
      </c>
      <c r="V992" s="493">
        <v>5.472500000000001</v>
      </c>
      <c r="W992" s="493">
        <v>5.3900000000000006</v>
      </c>
      <c r="X992" s="493">
        <v>5.307500000000001</v>
      </c>
      <c r="Y992" s="493">
        <v>5.2250000000000005</v>
      </c>
      <c r="Z992" s="493">
        <v>5.142500000000001</v>
      </c>
      <c r="AA992" s="493">
        <v>5.0600000000000005</v>
      </c>
      <c r="AB992" s="493">
        <v>4.9775000000000009</v>
      </c>
      <c r="AC992" s="493">
        <v>4.8950000000000005</v>
      </c>
      <c r="AD992" s="493">
        <v>4.8125000000000009</v>
      </c>
      <c r="AE992" s="493">
        <v>4.7300000000000004</v>
      </c>
      <c r="AF992" s="493">
        <v>4.6475000000000009</v>
      </c>
      <c r="AG992" s="493">
        <v>4.5650000000000004</v>
      </c>
      <c r="AH992" s="493">
        <v>4.4825000000000008</v>
      </c>
      <c r="AI992" s="493">
        <v>4.4000000000000004</v>
      </c>
    </row>
    <row r="993" spans="2:35" outlineLevel="1">
      <c r="B993" t="str">
        <f t="shared" si="83"/>
        <v>Carbon capture - Finance cost - Africa - USD/ton fuel</v>
      </c>
      <c r="C993" t="s">
        <v>1398</v>
      </c>
      <c r="D993" t="s">
        <v>1366</v>
      </c>
      <c r="E993" t="s">
        <v>838</v>
      </c>
      <c r="F993" t="s">
        <v>1353</v>
      </c>
      <c r="G993" s="487" t="str">
        <f t="shared" si="84"/>
        <v>Carbon captureAfricaFinance cost</v>
      </c>
      <c r="H993" s="493">
        <v>0</v>
      </c>
      <c r="I993" s="493">
        <v>0</v>
      </c>
      <c r="J993" s="493">
        <v>0</v>
      </c>
      <c r="K993" s="493">
        <v>0</v>
      </c>
      <c r="L993" s="493">
        <v>0</v>
      </c>
      <c r="M993" s="493">
        <v>0</v>
      </c>
      <c r="N993" s="493">
        <v>0</v>
      </c>
      <c r="O993" s="493">
        <v>0</v>
      </c>
      <c r="P993" s="493">
        <v>0</v>
      </c>
      <c r="Q993" s="493">
        <v>0</v>
      </c>
      <c r="R993" s="493">
        <v>0</v>
      </c>
      <c r="S993" s="493">
        <v>0</v>
      </c>
      <c r="T993" s="493">
        <v>0</v>
      </c>
      <c r="U993" s="493">
        <v>0</v>
      </c>
      <c r="V993" s="493">
        <v>0</v>
      </c>
      <c r="W993" s="493">
        <v>0</v>
      </c>
      <c r="X993" s="493">
        <v>0</v>
      </c>
      <c r="Y993" s="493">
        <v>0</v>
      </c>
      <c r="Z993" s="493">
        <v>0</v>
      </c>
      <c r="AA993" s="493">
        <v>0</v>
      </c>
      <c r="AB993" s="493">
        <v>0</v>
      </c>
      <c r="AC993" s="493">
        <v>0</v>
      </c>
      <c r="AD993" s="493">
        <v>0</v>
      </c>
      <c r="AE993" s="493">
        <v>0</v>
      </c>
      <c r="AF993" s="493">
        <v>0</v>
      </c>
      <c r="AG993" s="493">
        <v>0</v>
      </c>
      <c r="AH993" s="493">
        <v>0</v>
      </c>
      <c r="AI993" s="493">
        <v>0</v>
      </c>
    </row>
    <row r="994" spans="2:35" outlineLevel="1">
      <c r="B994" t="str">
        <f t="shared" si="83"/>
        <v>Carbon capture - Finance cost - Americas - USD/ton fuel</v>
      </c>
      <c r="C994" t="s">
        <v>1398</v>
      </c>
      <c r="D994" t="s">
        <v>1366</v>
      </c>
      <c r="E994" t="s">
        <v>731</v>
      </c>
      <c r="F994" t="s">
        <v>1353</v>
      </c>
      <c r="G994" s="487" t="str">
        <f t="shared" si="84"/>
        <v>Carbon captureAmericasFinance cost</v>
      </c>
      <c r="H994" s="493">
        <v>0</v>
      </c>
      <c r="I994" s="493">
        <v>0</v>
      </c>
      <c r="J994" s="493">
        <v>0</v>
      </c>
      <c r="K994" s="493">
        <v>0</v>
      </c>
      <c r="L994" s="493">
        <v>0</v>
      </c>
      <c r="M994" s="493">
        <v>0</v>
      </c>
      <c r="N994" s="493">
        <v>0</v>
      </c>
      <c r="O994" s="493">
        <v>0</v>
      </c>
      <c r="P994" s="493">
        <v>0</v>
      </c>
      <c r="Q994" s="493">
        <v>0</v>
      </c>
      <c r="R994" s="493">
        <v>0</v>
      </c>
      <c r="S994" s="493">
        <v>0</v>
      </c>
      <c r="T994" s="493">
        <v>0</v>
      </c>
      <c r="U994" s="493">
        <v>0</v>
      </c>
      <c r="V994" s="493">
        <v>0</v>
      </c>
      <c r="W994" s="493">
        <v>0</v>
      </c>
      <c r="X994" s="493">
        <v>0</v>
      </c>
      <c r="Y994" s="493">
        <v>0</v>
      </c>
      <c r="Z994" s="493">
        <v>0</v>
      </c>
      <c r="AA994" s="493">
        <v>0</v>
      </c>
      <c r="AB994" s="493">
        <v>0</v>
      </c>
      <c r="AC994" s="493">
        <v>0</v>
      </c>
      <c r="AD994" s="493">
        <v>0</v>
      </c>
      <c r="AE994" s="493">
        <v>0</v>
      </c>
      <c r="AF994" s="493">
        <v>0</v>
      </c>
      <c r="AG994" s="493">
        <v>0</v>
      </c>
      <c r="AH994" s="493">
        <v>0</v>
      </c>
      <c r="AI994" s="493">
        <v>0</v>
      </c>
    </row>
    <row r="995" spans="2:35" outlineLevel="1">
      <c r="B995" t="str">
        <f t="shared" si="83"/>
        <v>Carbon capture - Finance cost - Asia - USD/ton fuel</v>
      </c>
      <c r="C995" t="s">
        <v>1398</v>
      </c>
      <c r="D995" t="s">
        <v>1366</v>
      </c>
      <c r="E995" t="s">
        <v>750</v>
      </c>
      <c r="F995" t="s">
        <v>1353</v>
      </c>
      <c r="G995" s="487" t="str">
        <f t="shared" si="84"/>
        <v>Carbon captureAsiaFinance cost</v>
      </c>
      <c r="H995" s="493">
        <v>0</v>
      </c>
      <c r="I995" s="493">
        <v>0</v>
      </c>
      <c r="J995" s="493">
        <v>0</v>
      </c>
      <c r="K995" s="493">
        <v>0</v>
      </c>
      <c r="L995" s="493">
        <v>0</v>
      </c>
      <c r="M995" s="493">
        <v>0</v>
      </c>
      <c r="N995" s="493">
        <v>0</v>
      </c>
      <c r="O995" s="493">
        <v>0</v>
      </c>
      <c r="P995" s="493">
        <v>0</v>
      </c>
      <c r="Q995" s="493">
        <v>0</v>
      </c>
      <c r="R995" s="493">
        <v>0</v>
      </c>
      <c r="S995" s="493">
        <v>0</v>
      </c>
      <c r="T995" s="493">
        <v>0</v>
      </c>
      <c r="U995" s="493">
        <v>0</v>
      </c>
      <c r="V995" s="493">
        <v>0</v>
      </c>
      <c r="W995" s="493">
        <v>0</v>
      </c>
      <c r="X995" s="493">
        <v>0</v>
      </c>
      <c r="Y995" s="493">
        <v>0</v>
      </c>
      <c r="Z995" s="493">
        <v>0</v>
      </c>
      <c r="AA995" s="493">
        <v>0</v>
      </c>
      <c r="AB995" s="493">
        <v>0</v>
      </c>
      <c r="AC995" s="493">
        <v>0</v>
      </c>
      <c r="AD995" s="493">
        <v>0</v>
      </c>
      <c r="AE995" s="493">
        <v>0</v>
      </c>
      <c r="AF995" s="493">
        <v>0</v>
      </c>
      <c r="AG995" s="493">
        <v>0</v>
      </c>
      <c r="AH995" s="493">
        <v>0</v>
      </c>
      <c r="AI995" s="493">
        <v>0</v>
      </c>
    </row>
    <row r="996" spans="2:35" outlineLevel="1">
      <c r="B996" t="str">
        <f t="shared" si="83"/>
        <v>Carbon capture - Finance cost - Europe - USD/ton fuel</v>
      </c>
      <c r="C996" t="s">
        <v>1398</v>
      </c>
      <c r="D996" t="s">
        <v>1366</v>
      </c>
      <c r="E996" t="s">
        <v>720</v>
      </c>
      <c r="F996" t="s">
        <v>1353</v>
      </c>
      <c r="G996" s="487" t="str">
        <f t="shared" si="84"/>
        <v>Carbon captureEuropeFinance cost</v>
      </c>
      <c r="H996" s="493">
        <v>0</v>
      </c>
      <c r="I996" s="493">
        <v>0</v>
      </c>
      <c r="J996" s="493">
        <v>0</v>
      </c>
      <c r="K996" s="493">
        <v>0</v>
      </c>
      <c r="L996" s="493">
        <v>0</v>
      </c>
      <c r="M996" s="493">
        <v>0</v>
      </c>
      <c r="N996" s="493">
        <v>0</v>
      </c>
      <c r="O996" s="493">
        <v>0</v>
      </c>
      <c r="P996" s="493">
        <v>0</v>
      </c>
      <c r="Q996" s="493">
        <v>0</v>
      </c>
      <c r="R996" s="493">
        <v>0</v>
      </c>
      <c r="S996" s="493">
        <v>0</v>
      </c>
      <c r="T996" s="493">
        <v>0</v>
      </c>
      <c r="U996" s="493">
        <v>0</v>
      </c>
      <c r="V996" s="493">
        <v>0</v>
      </c>
      <c r="W996" s="493">
        <v>0</v>
      </c>
      <c r="X996" s="493">
        <v>0</v>
      </c>
      <c r="Y996" s="493">
        <v>0</v>
      </c>
      <c r="Z996" s="493">
        <v>0</v>
      </c>
      <c r="AA996" s="493">
        <v>0</v>
      </c>
      <c r="AB996" s="493">
        <v>0</v>
      </c>
      <c r="AC996" s="493">
        <v>0</v>
      </c>
      <c r="AD996" s="493">
        <v>0</v>
      </c>
      <c r="AE996" s="493">
        <v>0</v>
      </c>
      <c r="AF996" s="493">
        <v>0</v>
      </c>
      <c r="AG996" s="493">
        <v>0</v>
      </c>
      <c r="AH996" s="493">
        <v>0</v>
      </c>
      <c r="AI996" s="493">
        <v>0</v>
      </c>
    </row>
    <row r="997" spans="2:35" outlineLevel="1">
      <c r="B997" t="str">
        <f t="shared" si="83"/>
        <v>Carbon capture - Finance cost - Middle East - USD/ton fuel</v>
      </c>
      <c r="C997" t="s">
        <v>1398</v>
      </c>
      <c r="D997" t="s">
        <v>1366</v>
      </c>
      <c r="E997" t="s">
        <v>826</v>
      </c>
      <c r="F997" t="s">
        <v>1353</v>
      </c>
      <c r="G997" s="487" t="str">
        <f t="shared" si="84"/>
        <v>Carbon captureMiddle EastFinance cost</v>
      </c>
      <c r="H997" s="493">
        <v>0</v>
      </c>
      <c r="I997" s="493">
        <v>0</v>
      </c>
      <c r="J997" s="493">
        <v>0</v>
      </c>
      <c r="K997" s="493">
        <v>0</v>
      </c>
      <c r="L997" s="493">
        <v>0</v>
      </c>
      <c r="M997" s="493">
        <v>0</v>
      </c>
      <c r="N997" s="493">
        <v>0</v>
      </c>
      <c r="O997" s="493">
        <v>0</v>
      </c>
      <c r="P997" s="493">
        <v>0</v>
      </c>
      <c r="Q997" s="493">
        <v>0</v>
      </c>
      <c r="R997" s="493">
        <v>0</v>
      </c>
      <c r="S997" s="493">
        <v>0</v>
      </c>
      <c r="T997" s="493">
        <v>0</v>
      </c>
      <c r="U997" s="493">
        <v>0</v>
      </c>
      <c r="V997" s="493">
        <v>0</v>
      </c>
      <c r="W997" s="493">
        <v>0</v>
      </c>
      <c r="X997" s="493">
        <v>0</v>
      </c>
      <c r="Y997" s="493">
        <v>0</v>
      </c>
      <c r="Z997" s="493">
        <v>0</v>
      </c>
      <c r="AA997" s="493">
        <v>0</v>
      </c>
      <c r="AB997" s="493">
        <v>0</v>
      </c>
      <c r="AC997" s="493">
        <v>0</v>
      </c>
      <c r="AD997" s="493">
        <v>0</v>
      </c>
      <c r="AE997" s="493">
        <v>0</v>
      </c>
      <c r="AF997" s="493">
        <v>0</v>
      </c>
      <c r="AG997" s="493">
        <v>0</v>
      </c>
      <c r="AH997" s="493">
        <v>0</v>
      </c>
      <c r="AI997" s="493">
        <v>0</v>
      </c>
    </row>
    <row r="998" spans="2:35" outlineLevel="1">
      <c r="B998" t="str">
        <f t="shared" si="83"/>
        <v>Carbon storage - Finance cost - Africa - USD/ton fuel</v>
      </c>
      <c r="C998" t="s">
        <v>1399</v>
      </c>
      <c r="D998" t="s">
        <v>1366</v>
      </c>
      <c r="E998" t="s">
        <v>838</v>
      </c>
      <c r="F998" t="s">
        <v>1353</v>
      </c>
      <c r="G998" s="487" t="str">
        <f t="shared" si="84"/>
        <v>Carbon storageAfricaFinance cost</v>
      </c>
      <c r="H998" s="493">
        <v>0</v>
      </c>
      <c r="I998" s="493">
        <v>0</v>
      </c>
      <c r="J998" s="493">
        <v>0</v>
      </c>
      <c r="K998" s="493">
        <v>0</v>
      </c>
      <c r="L998" s="493">
        <v>0</v>
      </c>
      <c r="M998" s="493">
        <v>0</v>
      </c>
      <c r="N998" s="493">
        <v>0</v>
      </c>
      <c r="O998" s="493">
        <v>0</v>
      </c>
      <c r="P998" s="493">
        <v>0</v>
      </c>
      <c r="Q998" s="493">
        <v>0</v>
      </c>
      <c r="R998" s="493">
        <v>0</v>
      </c>
      <c r="S998" s="493">
        <v>0</v>
      </c>
      <c r="T998" s="493">
        <v>0</v>
      </c>
      <c r="U998" s="493">
        <v>0</v>
      </c>
      <c r="V998" s="493">
        <v>0</v>
      </c>
      <c r="W998" s="493">
        <v>0</v>
      </c>
      <c r="X998" s="493">
        <v>0</v>
      </c>
      <c r="Y998" s="493">
        <v>0</v>
      </c>
      <c r="Z998" s="493">
        <v>0</v>
      </c>
      <c r="AA998" s="493">
        <v>0</v>
      </c>
      <c r="AB998" s="493">
        <v>0</v>
      </c>
      <c r="AC998" s="493">
        <v>0</v>
      </c>
      <c r="AD998" s="493">
        <v>0</v>
      </c>
      <c r="AE998" s="493">
        <v>0</v>
      </c>
      <c r="AF998" s="493">
        <v>0</v>
      </c>
      <c r="AG998" s="493">
        <v>0</v>
      </c>
      <c r="AH998" s="493">
        <v>0</v>
      </c>
      <c r="AI998" s="493">
        <v>0</v>
      </c>
    </row>
    <row r="999" spans="2:35" outlineLevel="1">
      <c r="B999" t="str">
        <f t="shared" si="83"/>
        <v>Carbon storage - Finance cost - Americas - USD/ton fuel</v>
      </c>
      <c r="C999" t="s">
        <v>1399</v>
      </c>
      <c r="D999" t="s">
        <v>1366</v>
      </c>
      <c r="E999" t="s">
        <v>731</v>
      </c>
      <c r="F999" t="s">
        <v>1353</v>
      </c>
      <c r="G999" s="487" t="str">
        <f t="shared" si="84"/>
        <v>Carbon storageAmericasFinance cost</v>
      </c>
      <c r="H999" s="493">
        <v>0</v>
      </c>
      <c r="I999" s="493">
        <v>0</v>
      </c>
      <c r="J999" s="493">
        <v>0</v>
      </c>
      <c r="K999" s="493">
        <v>0</v>
      </c>
      <c r="L999" s="493">
        <v>0</v>
      </c>
      <c r="M999" s="493">
        <v>0</v>
      </c>
      <c r="N999" s="493">
        <v>0</v>
      </c>
      <c r="O999" s="493">
        <v>0</v>
      </c>
      <c r="P999" s="493">
        <v>0</v>
      </c>
      <c r="Q999" s="493">
        <v>0</v>
      </c>
      <c r="R999" s="493">
        <v>0</v>
      </c>
      <c r="S999" s="493">
        <v>0</v>
      </c>
      <c r="T999" s="493">
        <v>0</v>
      </c>
      <c r="U999" s="493">
        <v>0</v>
      </c>
      <c r="V999" s="493">
        <v>0</v>
      </c>
      <c r="W999" s="493">
        <v>0</v>
      </c>
      <c r="X999" s="493">
        <v>0</v>
      </c>
      <c r="Y999" s="493">
        <v>0</v>
      </c>
      <c r="Z999" s="493">
        <v>0</v>
      </c>
      <c r="AA999" s="493">
        <v>0</v>
      </c>
      <c r="AB999" s="493">
        <v>0</v>
      </c>
      <c r="AC999" s="493">
        <v>0</v>
      </c>
      <c r="AD999" s="493">
        <v>0</v>
      </c>
      <c r="AE999" s="493">
        <v>0</v>
      </c>
      <c r="AF999" s="493">
        <v>0</v>
      </c>
      <c r="AG999" s="493">
        <v>0</v>
      </c>
      <c r="AH999" s="493">
        <v>0</v>
      </c>
      <c r="AI999" s="493">
        <v>0</v>
      </c>
    </row>
    <row r="1000" spans="2:35" outlineLevel="1">
      <c r="B1000" t="str">
        <f t="shared" si="83"/>
        <v>Carbon storage - Finance cost - Asia - USD/ton fuel</v>
      </c>
      <c r="C1000" t="s">
        <v>1399</v>
      </c>
      <c r="D1000" t="s">
        <v>1366</v>
      </c>
      <c r="E1000" t="s">
        <v>750</v>
      </c>
      <c r="F1000" t="s">
        <v>1353</v>
      </c>
      <c r="G1000" s="487" t="str">
        <f t="shared" si="84"/>
        <v>Carbon storageAsiaFinance cost</v>
      </c>
      <c r="H1000" s="493">
        <v>0</v>
      </c>
      <c r="I1000" s="493">
        <v>0</v>
      </c>
      <c r="J1000" s="493">
        <v>0</v>
      </c>
      <c r="K1000" s="493">
        <v>0</v>
      </c>
      <c r="L1000" s="493">
        <v>0</v>
      </c>
      <c r="M1000" s="493">
        <v>0</v>
      </c>
      <c r="N1000" s="493">
        <v>0</v>
      </c>
      <c r="O1000" s="493">
        <v>0</v>
      </c>
      <c r="P1000" s="493">
        <v>0</v>
      </c>
      <c r="Q1000" s="493">
        <v>0</v>
      </c>
      <c r="R1000" s="493">
        <v>0</v>
      </c>
      <c r="S1000" s="493">
        <v>0</v>
      </c>
      <c r="T1000" s="493">
        <v>0</v>
      </c>
      <c r="U1000" s="493">
        <v>0</v>
      </c>
      <c r="V1000" s="493">
        <v>0</v>
      </c>
      <c r="W1000" s="493">
        <v>0</v>
      </c>
      <c r="X1000" s="493">
        <v>0</v>
      </c>
      <c r="Y1000" s="493">
        <v>0</v>
      </c>
      <c r="Z1000" s="493">
        <v>0</v>
      </c>
      <c r="AA1000" s="493">
        <v>0</v>
      </c>
      <c r="AB1000" s="493">
        <v>0</v>
      </c>
      <c r="AC1000" s="493">
        <v>0</v>
      </c>
      <c r="AD1000" s="493">
        <v>0</v>
      </c>
      <c r="AE1000" s="493">
        <v>0</v>
      </c>
      <c r="AF1000" s="493">
        <v>0</v>
      </c>
      <c r="AG1000" s="493">
        <v>0</v>
      </c>
      <c r="AH1000" s="493">
        <v>0</v>
      </c>
      <c r="AI1000" s="493">
        <v>0</v>
      </c>
    </row>
    <row r="1001" spans="2:35" outlineLevel="1">
      <c r="B1001" t="str">
        <f t="shared" si="83"/>
        <v>Carbon storage - Finance cost - Europe - USD/ton fuel</v>
      </c>
      <c r="C1001" t="s">
        <v>1399</v>
      </c>
      <c r="D1001" t="s">
        <v>1366</v>
      </c>
      <c r="E1001" t="s">
        <v>720</v>
      </c>
      <c r="F1001" t="s">
        <v>1353</v>
      </c>
      <c r="G1001" s="487" t="str">
        <f t="shared" si="84"/>
        <v>Carbon storageEuropeFinance cost</v>
      </c>
      <c r="H1001" s="493">
        <v>0</v>
      </c>
      <c r="I1001" s="493">
        <v>0</v>
      </c>
      <c r="J1001" s="493">
        <v>0</v>
      </c>
      <c r="K1001" s="493">
        <v>0</v>
      </c>
      <c r="L1001" s="493">
        <v>0</v>
      </c>
      <c r="M1001" s="493">
        <v>0</v>
      </c>
      <c r="N1001" s="493">
        <v>0</v>
      </c>
      <c r="O1001" s="493">
        <v>0</v>
      </c>
      <c r="P1001" s="493">
        <v>0</v>
      </c>
      <c r="Q1001" s="493">
        <v>0</v>
      </c>
      <c r="R1001" s="493">
        <v>0</v>
      </c>
      <c r="S1001" s="493">
        <v>0</v>
      </c>
      <c r="T1001" s="493">
        <v>0</v>
      </c>
      <c r="U1001" s="493">
        <v>0</v>
      </c>
      <c r="V1001" s="493">
        <v>0</v>
      </c>
      <c r="W1001" s="493">
        <v>0</v>
      </c>
      <c r="X1001" s="493">
        <v>0</v>
      </c>
      <c r="Y1001" s="493">
        <v>0</v>
      </c>
      <c r="Z1001" s="493">
        <v>0</v>
      </c>
      <c r="AA1001" s="493">
        <v>0</v>
      </c>
      <c r="AB1001" s="493">
        <v>0</v>
      </c>
      <c r="AC1001" s="493">
        <v>0</v>
      </c>
      <c r="AD1001" s="493">
        <v>0</v>
      </c>
      <c r="AE1001" s="493">
        <v>0</v>
      </c>
      <c r="AF1001" s="493">
        <v>0</v>
      </c>
      <c r="AG1001" s="493">
        <v>0</v>
      </c>
      <c r="AH1001" s="493">
        <v>0</v>
      </c>
      <c r="AI1001" s="493">
        <v>0</v>
      </c>
    </row>
    <row r="1002" spans="2:35" outlineLevel="1">
      <c r="B1002" t="str">
        <f t="shared" si="83"/>
        <v>Carbon storage - Finance cost - Middle East - USD/ton fuel</v>
      </c>
      <c r="C1002" t="s">
        <v>1399</v>
      </c>
      <c r="D1002" t="s">
        <v>1366</v>
      </c>
      <c r="E1002" t="s">
        <v>826</v>
      </c>
      <c r="F1002" t="s">
        <v>1353</v>
      </c>
      <c r="G1002" s="487" t="str">
        <f t="shared" si="84"/>
        <v>Carbon storageMiddle EastFinance cost</v>
      </c>
      <c r="H1002" s="493">
        <v>0</v>
      </c>
      <c r="I1002" s="493">
        <v>0</v>
      </c>
      <c r="J1002" s="493">
        <v>0</v>
      </c>
      <c r="K1002" s="493">
        <v>0</v>
      </c>
      <c r="L1002" s="493">
        <v>0</v>
      </c>
      <c r="M1002" s="493">
        <v>0</v>
      </c>
      <c r="N1002" s="493">
        <v>0</v>
      </c>
      <c r="O1002" s="493">
        <v>0</v>
      </c>
      <c r="P1002" s="493">
        <v>0</v>
      </c>
      <c r="Q1002" s="493">
        <v>0</v>
      </c>
      <c r="R1002" s="493">
        <v>0</v>
      </c>
      <c r="S1002" s="493">
        <v>0</v>
      </c>
      <c r="T1002" s="493">
        <v>0</v>
      </c>
      <c r="U1002" s="493">
        <v>0</v>
      </c>
      <c r="V1002" s="493">
        <v>0</v>
      </c>
      <c r="W1002" s="493">
        <v>0</v>
      </c>
      <c r="X1002" s="493">
        <v>0</v>
      </c>
      <c r="Y1002" s="493">
        <v>0</v>
      </c>
      <c r="Z1002" s="493">
        <v>0</v>
      </c>
      <c r="AA1002" s="493">
        <v>0</v>
      </c>
      <c r="AB1002" s="493">
        <v>0</v>
      </c>
      <c r="AC1002" s="493">
        <v>0</v>
      </c>
      <c r="AD1002" s="493">
        <v>0</v>
      </c>
      <c r="AE1002" s="493">
        <v>0</v>
      </c>
      <c r="AF1002" s="493">
        <v>0</v>
      </c>
      <c r="AG1002" s="493">
        <v>0</v>
      </c>
      <c r="AH1002" s="493">
        <v>0</v>
      </c>
      <c r="AI1002" s="493">
        <v>0</v>
      </c>
    </row>
    <row r="1003" spans="2:35" outlineLevel="1">
      <c r="B1003" t="str">
        <f t="shared" si="83"/>
        <v>Blue ammonia (CCS) - Conversion N2 -&gt; NH3 - Global - ton N2/ton NH3</v>
      </c>
      <c r="C1003" t="str">
        <f>C985</f>
        <v>Blue ammonia (CCS)</v>
      </c>
      <c r="D1003" t="s">
        <v>1377</v>
      </c>
      <c r="E1003" t="s">
        <v>708</v>
      </c>
      <c r="F1003" t="s">
        <v>1378</v>
      </c>
      <c r="G1003" s="487" t="str">
        <f t="shared" si="84"/>
        <v>Blue ammonia (CCS)GlobalConversion N2 -&gt; NH3</v>
      </c>
      <c r="H1003" s="508">
        <v>0.82199999999999995</v>
      </c>
      <c r="I1003" s="508">
        <v>0.82199999999999995</v>
      </c>
      <c r="J1003" s="508">
        <v>0.82199999999999995</v>
      </c>
      <c r="K1003" s="508">
        <v>0.82199999999999995</v>
      </c>
      <c r="L1003" s="508">
        <v>0.82199999999999995</v>
      </c>
      <c r="M1003" s="508">
        <v>0.82199999999999995</v>
      </c>
      <c r="N1003" s="508">
        <v>0.82199999999999995</v>
      </c>
      <c r="O1003" s="508">
        <v>0.82199999999999995</v>
      </c>
      <c r="P1003" s="508">
        <v>0.82199999999999995</v>
      </c>
      <c r="Q1003" s="508">
        <v>0.82199999999999995</v>
      </c>
      <c r="R1003" s="508">
        <v>0.82199999999999995</v>
      </c>
      <c r="S1003" s="508">
        <v>0.82199999999999995</v>
      </c>
      <c r="T1003" s="508">
        <v>0.82199999999999995</v>
      </c>
      <c r="U1003" s="508">
        <v>0.82199999999999995</v>
      </c>
      <c r="V1003" s="508">
        <v>0.82199999999999995</v>
      </c>
      <c r="W1003" s="508">
        <v>0.82199999999999995</v>
      </c>
      <c r="X1003" s="508">
        <v>0.82199999999999995</v>
      </c>
      <c r="Y1003" s="508">
        <v>0.82199999999999995</v>
      </c>
      <c r="Z1003" s="508">
        <v>0.82199999999999995</v>
      </c>
      <c r="AA1003" s="508">
        <v>0.82199999999999995</v>
      </c>
      <c r="AB1003" s="508">
        <v>0.82199999999999995</v>
      </c>
      <c r="AC1003" s="508">
        <v>0.82199999999999995</v>
      </c>
      <c r="AD1003" s="508">
        <v>0.82199999999999995</v>
      </c>
      <c r="AE1003" s="508">
        <v>0.82199999999999995</v>
      </c>
      <c r="AF1003" s="508">
        <v>0.82199999999999995</v>
      </c>
      <c r="AG1003" s="508">
        <v>0.82199999999999995</v>
      </c>
      <c r="AH1003" s="508">
        <v>0.82199999999999995</v>
      </c>
      <c r="AI1003" s="508">
        <v>0.82199999999999995</v>
      </c>
    </row>
    <row r="1004" spans="2:35" outlineLevel="1">
      <c r="B1004" t="str">
        <f t="shared" si="83"/>
        <v>Carbon capture &amp; storage (CCS) - Conversion NG -&gt; CO2 -&gt; NH3 - Global - ton CO2/ton NH3</v>
      </c>
      <c r="C1004" t="s">
        <v>1400</v>
      </c>
      <c r="D1004" t="s">
        <v>1401</v>
      </c>
      <c r="E1004" t="s">
        <v>708</v>
      </c>
      <c r="F1004" t="s">
        <v>1402</v>
      </c>
      <c r="G1004" s="487" t="str">
        <f t="shared" si="84"/>
        <v>Carbon capture &amp; storage (CCS)GlobalConversion NG -&gt; CO2 -&gt; NH3</v>
      </c>
      <c r="H1004" s="508">
        <v>1.8880000000000001</v>
      </c>
      <c r="I1004" s="508">
        <v>1.8880000000000001</v>
      </c>
      <c r="J1004" s="508">
        <v>1.8880000000000001</v>
      </c>
      <c r="K1004" s="508">
        <v>1.8880000000000001</v>
      </c>
      <c r="L1004" s="508">
        <v>1.8880000000000001</v>
      </c>
      <c r="M1004" s="508">
        <v>1.8880000000000001</v>
      </c>
      <c r="N1004" s="508">
        <v>1.8880000000000001</v>
      </c>
      <c r="O1004" s="508">
        <v>1.8880000000000001</v>
      </c>
      <c r="P1004" s="508">
        <v>1.8880000000000001</v>
      </c>
      <c r="Q1004" s="508">
        <v>1.8880000000000001</v>
      </c>
      <c r="R1004" s="508">
        <v>1.8880000000000001</v>
      </c>
      <c r="S1004" s="508">
        <v>1.8880000000000001</v>
      </c>
      <c r="T1004" s="508">
        <v>1.8880000000000001</v>
      </c>
      <c r="U1004" s="508">
        <v>1.8880000000000001</v>
      </c>
      <c r="V1004" s="508">
        <v>1.8880000000000001</v>
      </c>
      <c r="W1004" s="508">
        <v>1.8880000000000001</v>
      </c>
      <c r="X1004" s="508">
        <v>1.8880000000000001</v>
      </c>
      <c r="Y1004" s="508">
        <v>1.8880000000000001</v>
      </c>
      <c r="Z1004" s="508">
        <v>1.8880000000000001</v>
      </c>
      <c r="AA1004" s="508">
        <v>1.8880000000000001</v>
      </c>
      <c r="AB1004" s="508">
        <v>1.8880000000000001</v>
      </c>
      <c r="AC1004" s="508">
        <v>1.8880000000000001</v>
      </c>
      <c r="AD1004" s="508">
        <v>1.8880000000000001</v>
      </c>
      <c r="AE1004" s="508">
        <v>1.8880000000000001</v>
      </c>
      <c r="AF1004" s="508">
        <v>1.8880000000000001</v>
      </c>
      <c r="AG1004" s="508">
        <v>1.8880000000000001</v>
      </c>
      <c r="AH1004" s="508">
        <v>1.8880000000000001</v>
      </c>
      <c r="AI1004" s="508">
        <v>1.8880000000000001</v>
      </c>
    </row>
    <row r="1005" spans="2:35" outlineLevel="1">
      <c r="B1005" t="str">
        <f t="shared" si="83"/>
        <v>Carbon storage - Carbon to store - Global - ton CO2/ton NH3</v>
      </c>
      <c r="C1005" t="s">
        <v>1399</v>
      </c>
      <c r="D1005" t="s">
        <v>1403</v>
      </c>
      <c r="E1005" t="s">
        <v>708</v>
      </c>
      <c r="F1005" t="s">
        <v>1402</v>
      </c>
      <c r="G1005" s="487" t="str">
        <f t="shared" si="84"/>
        <v>Carbon storageGlobalCarbon to store</v>
      </c>
      <c r="H1005" s="508">
        <v>1.6916480000000007</v>
      </c>
      <c r="I1005" s="508">
        <v>1.6954240000000003</v>
      </c>
      <c r="J1005" s="508">
        <v>1.6992000000000007</v>
      </c>
      <c r="K1005" s="508">
        <v>1.7029760000000003</v>
      </c>
      <c r="L1005" s="508">
        <v>1.7067520000000016</v>
      </c>
      <c r="M1005" s="508">
        <v>1.7105280000000012</v>
      </c>
      <c r="N1005" s="508">
        <v>1.7143040000000007</v>
      </c>
      <c r="O1005" s="508">
        <v>1.718080000000002</v>
      </c>
      <c r="P1005" s="508">
        <v>1.7218560000000001</v>
      </c>
      <c r="Q1005" s="508">
        <v>1.7256319999999996</v>
      </c>
      <c r="R1005" s="508">
        <v>1.7294079999999992</v>
      </c>
      <c r="S1005" s="508">
        <v>1.7331839999999987</v>
      </c>
      <c r="T1005" s="508">
        <v>1.7369600000000001</v>
      </c>
      <c r="U1005" s="508">
        <v>1.7407359999999996</v>
      </c>
      <c r="V1005" s="508">
        <v>1.7445120000000007</v>
      </c>
      <c r="W1005" s="508">
        <v>1.7482880000000005</v>
      </c>
      <c r="X1005" s="508">
        <v>1.7520640000000001</v>
      </c>
      <c r="Y1005" s="508">
        <v>1.7558400000000005</v>
      </c>
      <c r="Z1005" s="508">
        <v>1.7596160000000001</v>
      </c>
      <c r="AA1005" s="508">
        <v>1.7633919999999996</v>
      </c>
      <c r="AB1005" s="508">
        <v>1.7671680000000007</v>
      </c>
      <c r="AC1005" s="508">
        <v>1.7709440000000005</v>
      </c>
      <c r="AD1005" s="508">
        <v>1.7747200000000001</v>
      </c>
      <c r="AE1005" s="508">
        <v>1.7784960000000012</v>
      </c>
      <c r="AF1005" s="508">
        <v>1.782272000000001</v>
      </c>
      <c r="AG1005" s="508">
        <v>1.7860480000000005</v>
      </c>
      <c r="AH1005" s="508">
        <v>1.7898240000000001</v>
      </c>
      <c r="AI1005" s="508">
        <v>1.7935999999999996</v>
      </c>
    </row>
    <row r="1006" spans="2:35" ht="14.25" customHeight="1" outlineLevel="1">
      <c r="B1006" t="str">
        <f t="shared" si="83"/>
        <v/>
      </c>
      <c r="G1006" s="487" t="str">
        <f t="shared" si="84"/>
        <v/>
      </c>
      <c r="H1006" s="498"/>
    </row>
    <row r="1007" spans="2:35" ht="15" outlineLevel="1">
      <c r="B1007" t="str">
        <f t="shared" si="83"/>
        <v>Blue ammonia (CCS) - Energy cost including feedstock energy cost - Africa - USD/ton fuel</v>
      </c>
      <c r="C1007" s="494" t="str">
        <f>C953</f>
        <v>Blue ammonia (CCS)</v>
      </c>
      <c r="D1007" s="494" t="s">
        <v>1367</v>
      </c>
      <c r="E1007" s="494" t="s">
        <v>838</v>
      </c>
      <c r="F1007" s="494" t="s">
        <v>1353</v>
      </c>
      <c r="G1007" s="487" t="str">
        <f t="shared" si="84"/>
        <v>Blue ammonia (CCS)AfricaEnergy cost including feedstock energy cost</v>
      </c>
      <c r="H1007" s="495">
        <v>28.426493606051544</v>
      </c>
      <c r="I1007" s="495">
        <v>25.191536536728243</v>
      </c>
      <c r="J1007" s="495">
        <v>21.929153424664658</v>
      </c>
      <c r="K1007" s="495">
        <v>20.935899185410108</v>
      </c>
      <c r="L1007" s="495">
        <v>19.947568611771626</v>
      </c>
      <c r="M1007" s="495">
        <v>18.964161703749078</v>
      </c>
      <c r="N1007" s="495">
        <v>17.985678461342271</v>
      </c>
      <c r="O1007" s="495">
        <v>17.012118884551636</v>
      </c>
      <c r="P1007" s="495">
        <v>16.563406972674876</v>
      </c>
      <c r="Q1007" s="495">
        <v>16.110427364463895</v>
      </c>
      <c r="R1007" s="495">
        <v>15.653180059918473</v>
      </c>
      <c r="S1007" s="495">
        <v>15.191665059039059</v>
      </c>
      <c r="T1007" s="495">
        <v>14.725882361825509</v>
      </c>
      <c r="U1007" s="495">
        <v>14.536169127283863</v>
      </c>
      <c r="V1007" s="495">
        <v>14.344447158205046</v>
      </c>
      <c r="W1007" s="495">
        <v>14.15071645458897</v>
      </c>
      <c r="X1007" s="495">
        <v>13.95497701643564</v>
      </c>
      <c r="Y1007" s="495">
        <v>13.757228843745194</v>
      </c>
      <c r="Z1007" s="495">
        <v>13.550282419228928</v>
      </c>
      <c r="AA1007" s="495">
        <v>13.341270470939349</v>
      </c>
      <c r="AB1007" s="495">
        <v>13.130192998876362</v>
      </c>
      <c r="AC1007" s="495">
        <v>12.917050003040153</v>
      </c>
      <c r="AD1007" s="495">
        <v>12.701841483430581</v>
      </c>
      <c r="AE1007" s="495">
        <v>12.620343121988759</v>
      </c>
      <c r="AF1007" s="495">
        <v>12.537830946161273</v>
      </c>
      <c r="AG1007" s="495">
        <v>12.454304955948029</v>
      </c>
      <c r="AH1007" s="495">
        <v>12.369765151349085</v>
      </c>
      <c r="AI1007" s="495">
        <v>12.284211532364502</v>
      </c>
    </row>
    <row r="1008" spans="2:35" ht="15" outlineLevel="1">
      <c r="B1008" t="str">
        <f t="shared" si="83"/>
        <v>Blue ammonia (CCS) - Energy cost including feedstock energy cost - Americas - USD/ton fuel</v>
      </c>
      <c r="C1008" s="22" t="str">
        <f>C953</f>
        <v>Blue ammonia (CCS)</v>
      </c>
      <c r="D1008" s="22" t="s">
        <v>1367</v>
      </c>
      <c r="E1008" s="22" t="s">
        <v>731</v>
      </c>
      <c r="F1008" s="22" t="s">
        <v>1353</v>
      </c>
      <c r="G1008" s="487" t="str">
        <f t="shared" si="84"/>
        <v>Blue ammonia (CCS)AmericasEnergy cost including feedstock energy cost</v>
      </c>
      <c r="H1008" s="496">
        <v>17.860788921340198</v>
      </c>
      <c r="I1008" s="496">
        <v>17.562771799250307</v>
      </c>
      <c r="J1008" s="496">
        <v>17.261715715609142</v>
      </c>
      <c r="K1008" s="496">
        <v>16.587707863455726</v>
      </c>
      <c r="L1008" s="496">
        <v>15.917008264000451</v>
      </c>
      <c r="M1008" s="496">
        <v>15.249616917243202</v>
      </c>
      <c r="N1008" s="496">
        <v>14.585533823184232</v>
      </c>
      <c r="O1008" s="496">
        <v>13.924758981823086</v>
      </c>
      <c r="P1008" s="496">
        <v>13.681648544999575</v>
      </c>
      <c r="Q1008" s="496">
        <v>13.436066041987949</v>
      </c>
      <c r="R1008" s="496">
        <v>13.188011472788215</v>
      </c>
      <c r="S1008" s="496">
        <v>12.937484837400369</v>
      </c>
      <c r="T1008" s="496">
        <v>12.684486135824379</v>
      </c>
      <c r="U1008" s="496">
        <v>12.487112600479275</v>
      </c>
      <c r="V1008" s="496">
        <v>12.287735147474816</v>
      </c>
      <c r="W1008" s="496">
        <v>12.086353776810974</v>
      </c>
      <c r="X1008" s="496">
        <v>11.882968488487812</v>
      </c>
      <c r="Y1008" s="496">
        <v>11.67757928250527</v>
      </c>
      <c r="Z1008" s="496">
        <v>11.621676100511042</v>
      </c>
      <c r="AA1008" s="496">
        <v>11.564965603872057</v>
      </c>
      <c r="AB1008" s="496">
        <v>11.507447792588364</v>
      </c>
      <c r="AC1008" s="496">
        <v>11.449122666659864</v>
      </c>
      <c r="AD1008" s="496">
        <v>11.389990226086613</v>
      </c>
      <c r="AE1008" s="496">
        <v>11.355644918637626</v>
      </c>
      <c r="AF1008" s="496">
        <v>11.320690549431335</v>
      </c>
      <c r="AG1008" s="496">
        <v>11.285127118467729</v>
      </c>
      <c r="AH1008" s="496">
        <v>11.248954625746808</v>
      </c>
      <c r="AI1008" s="496">
        <v>11.212173071268575</v>
      </c>
    </row>
    <row r="1009" spans="2:35" ht="15" outlineLevel="1">
      <c r="B1009" t="str">
        <f t="shared" si="83"/>
        <v>Blue ammonia (CCS) - Energy cost including feedstock energy cost - Asia - USD/ton fuel</v>
      </c>
      <c r="C1009" s="22" t="str">
        <f>C953</f>
        <v>Blue ammonia (CCS)</v>
      </c>
      <c r="D1009" s="22" t="s">
        <v>1367</v>
      </c>
      <c r="E1009" s="22" t="s">
        <v>750</v>
      </c>
      <c r="F1009" s="22" t="s">
        <v>1353</v>
      </c>
      <c r="G1009" s="487" t="str">
        <f t="shared" si="84"/>
        <v>Blue ammonia (CCS)AsiaEnergy cost including feedstock energy cost</v>
      </c>
      <c r="H1009" s="496">
        <v>31.616169756138721</v>
      </c>
      <c r="I1009" s="496">
        <v>28.956392395842904</v>
      </c>
      <c r="J1009" s="496">
        <v>26.273788257336562</v>
      </c>
      <c r="K1009" s="496">
        <v>25.202758414062984</v>
      </c>
      <c r="L1009" s="496">
        <v>24.137001498404246</v>
      </c>
      <c r="M1009" s="496">
        <v>23.076517510359295</v>
      </c>
      <c r="N1009" s="496">
        <v>22.021306449928623</v>
      </c>
      <c r="O1009" s="496">
        <v>20.971368317112642</v>
      </c>
      <c r="P1009" s="496">
        <v>20.381234003454008</v>
      </c>
      <c r="Q1009" s="496">
        <v>19.785534547518203</v>
      </c>
      <c r="R1009" s="496">
        <v>19.184269949305239</v>
      </c>
      <c r="S1009" s="496">
        <v>18.577440208814675</v>
      </c>
      <c r="T1009" s="496">
        <v>17.965045326046756</v>
      </c>
      <c r="U1009" s="496">
        <v>17.686584319871034</v>
      </c>
      <c r="V1009" s="496">
        <v>17.405293860530492</v>
      </c>
      <c r="W1009" s="496">
        <v>17.121173948025284</v>
      </c>
      <c r="X1009" s="496">
        <v>16.834224582355112</v>
      </c>
      <c r="Y1009" s="496">
        <v>16.544445763520358</v>
      </c>
      <c r="Z1009" s="496">
        <v>16.235099073730979</v>
      </c>
      <c r="AA1009" s="496">
        <v>15.922790715786462</v>
      </c>
      <c r="AB1009" s="496">
        <v>15.607520689686602</v>
      </c>
      <c r="AC1009" s="496">
        <v>15.289288995431576</v>
      </c>
      <c r="AD1009" s="496">
        <v>14.968095633021195</v>
      </c>
      <c r="AE1009" s="496">
        <v>14.850950696098138</v>
      </c>
      <c r="AF1009" s="496">
        <v>14.732447577415115</v>
      </c>
      <c r="AG1009" s="496">
        <v>14.612586276972269</v>
      </c>
      <c r="AH1009" s="496">
        <v>14.491366794769544</v>
      </c>
      <c r="AI1009" s="496">
        <v>14.368789130806872</v>
      </c>
    </row>
    <row r="1010" spans="2:35" ht="15" outlineLevel="1">
      <c r="B1010" t="str">
        <f t="shared" si="83"/>
        <v>Blue ammonia (CCS) - Energy cost including feedstock energy cost - Europe - USD/ton fuel</v>
      </c>
      <c r="C1010" s="22" t="str">
        <f>C953</f>
        <v>Blue ammonia (CCS)</v>
      </c>
      <c r="D1010" s="22" t="s">
        <v>1367</v>
      </c>
      <c r="E1010" s="22" t="s">
        <v>720</v>
      </c>
      <c r="F1010" s="22" t="s">
        <v>1353</v>
      </c>
      <c r="G1010" s="487" t="str">
        <f t="shared" si="84"/>
        <v>Blue ammonia (CCS)EuropeEnergy cost including feedstock energy cost</v>
      </c>
      <c r="H1010" s="496">
        <v>23.536525828370561</v>
      </c>
      <c r="I1010" s="496">
        <v>22.614635124763417</v>
      </c>
      <c r="J1010" s="496">
        <v>21.684409737298004</v>
      </c>
      <c r="K1010" s="496">
        <v>20.803289345860367</v>
      </c>
      <c r="L1010" s="496">
        <v>19.926505956273367</v>
      </c>
      <c r="M1010" s="496">
        <v>19.054059568537305</v>
      </c>
      <c r="N1010" s="496">
        <v>18.18595018265178</v>
      </c>
      <c r="O1010" s="496">
        <v>17.322177798617208</v>
      </c>
      <c r="P1010" s="496">
        <v>17.053440108982766</v>
      </c>
      <c r="Q1010" s="496">
        <v>16.781904246411294</v>
      </c>
      <c r="R1010" s="496">
        <v>16.507570210902358</v>
      </c>
      <c r="S1010" s="496">
        <v>16.230438002456061</v>
      </c>
      <c r="T1010" s="496">
        <v>15.950507621072553</v>
      </c>
      <c r="U1010" s="496">
        <v>15.807704481160137</v>
      </c>
      <c r="V1010" s="496">
        <v>15.663230689780271</v>
      </c>
      <c r="W1010" s="496">
        <v>15.51708624693293</v>
      </c>
      <c r="X1010" s="496">
        <v>15.369271152618058</v>
      </c>
      <c r="Y1010" s="496">
        <v>15.219785406835564</v>
      </c>
      <c r="Z1010" s="496">
        <v>15.053861881173241</v>
      </c>
      <c r="AA1010" s="496">
        <v>14.886151060059053</v>
      </c>
      <c r="AB1010" s="496">
        <v>14.716652943493145</v>
      </c>
      <c r="AC1010" s="496">
        <v>14.545367531475346</v>
      </c>
      <c r="AD1010" s="496">
        <v>14.372294824005817</v>
      </c>
      <c r="AE1010" s="496">
        <v>14.259822122665234</v>
      </c>
      <c r="AF1010" s="496">
        <v>14.146045373754877</v>
      </c>
      <c r="AG1010" s="496">
        <v>14.030964577274888</v>
      </c>
      <c r="AH1010" s="496">
        <v>13.914579733225203</v>
      </c>
      <c r="AI1010" s="496">
        <v>13.796890841605769</v>
      </c>
    </row>
    <row r="1011" spans="2:35" ht="15" outlineLevel="1">
      <c r="B1011" t="str">
        <f t="shared" si="83"/>
        <v>Blue ammonia (CCS) - Energy cost including feedstock energy cost - Middle East - USD/ton fuel</v>
      </c>
      <c r="C1011" s="92" t="str">
        <f>C953</f>
        <v>Blue ammonia (CCS)</v>
      </c>
      <c r="D1011" s="92" t="s">
        <v>1367</v>
      </c>
      <c r="E1011" s="92" t="s">
        <v>826</v>
      </c>
      <c r="F1011" s="92" t="s">
        <v>1353</v>
      </c>
      <c r="G1011" s="487" t="str">
        <f t="shared" si="84"/>
        <v>Blue ammonia (CCS)Middle EastEnergy cost including feedstock energy cost</v>
      </c>
      <c r="H1011" s="497">
        <v>18.022970969163161</v>
      </c>
      <c r="I1011" s="497">
        <v>17.298435845848218</v>
      </c>
      <c r="J1011" s="497">
        <v>16.567366267442146</v>
      </c>
      <c r="K1011" s="497">
        <v>15.994391866088844</v>
      </c>
      <c r="L1011" s="497">
        <v>15.42420367148895</v>
      </c>
      <c r="M1011" s="497">
        <v>14.856801683642356</v>
      </c>
      <c r="N1011" s="497">
        <v>14.292185902549093</v>
      </c>
      <c r="O1011" s="497">
        <v>13.73035632820914</v>
      </c>
      <c r="P1011" s="497">
        <v>13.416091556656706</v>
      </c>
      <c r="Q1011" s="497">
        <v>13.098776168905342</v>
      </c>
      <c r="R1011" s="497">
        <v>12.778410164954833</v>
      </c>
      <c r="S1011" s="497">
        <v>12.454993544805401</v>
      </c>
      <c r="T1011" s="497">
        <v>12.128526308456959</v>
      </c>
      <c r="U1011" s="497">
        <v>11.987773157794717</v>
      </c>
      <c r="V1011" s="497">
        <v>11.845490460247589</v>
      </c>
      <c r="W1011" s="497">
        <v>11.701678215815646</v>
      </c>
      <c r="X1011" s="497">
        <v>11.556336424498735</v>
      </c>
      <c r="Y1011" s="497">
        <v>11.409465086296933</v>
      </c>
      <c r="Z1011" s="497">
        <v>11.200765270757714</v>
      </c>
      <c r="AA1011" s="497">
        <v>10.990059613464368</v>
      </c>
      <c r="AB1011" s="497">
        <v>10.777348114416801</v>
      </c>
      <c r="AC1011" s="497">
        <v>10.562630773615091</v>
      </c>
      <c r="AD1011" s="497">
        <v>10.345907591059117</v>
      </c>
      <c r="AE1011" s="497">
        <v>10.264934061989823</v>
      </c>
      <c r="AF1011" s="497">
        <v>10.183021736055906</v>
      </c>
      <c r="AG1011" s="497">
        <v>10.100170613257326</v>
      </c>
      <c r="AH1011" s="497">
        <v>10.016380693594112</v>
      </c>
      <c r="AI1011" s="497">
        <v>9.9316519770662932</v>
      </c>
    </row>
    <row r="1012" spans="2:35" outlineLevel="1">
      <c r="B1012" t="str">
        <f t="shared" si="83"/>
        <v>Blue ammonia (CCS) - Energy cost - Africa - USD/ton fuel</v>
      </c>
      <c r="C1012" t="str">
        <f>C953</f>
        <v>Blue ammonia (CCS)</v>
      </c>
      <c r="D1012" t="s">
        <v>1368</v>
      </c>
      <c r="E1012" t="s">
        <v>838</v>
      </c>
      <c r="F1012" t="s">
        <v>1353</v>
      </c>
      <c r="G1012" s="487" t="str">
        <f t="shared" si="84"/>
        <v>Blue ammonia (CCS)AfricaEnergy cost</v>
      </c>
      <c r="H1012" s="493">
        <v>17.867280920737365</v>
      </c>
      <c r="I1012" s="493">
        <v>15.872255243663167</v>
      </c>
      <c r="J1012" s="493">
        <v>13.849803523848989</v>
      </c>
      <c r="K1012" s="493">
        <v>13.342812501732114</v>
      </c>
      <c r="L1012" s="493">
        <v>12.82817603611222</v>
      </c>
      <c r="M1012" s="493">
        <v>12.305894126989232</v>
      </c>
      <c r="N1012" s="493">
        <v>11.775966774363042</v>
      </c>
      <c r="O1012" s="493">
        <v>11.238393978233969</v>
      </c>
      <c r="P1012" s="493">
        <v>10.965084385693483</v>
      </c>
      <c r="Q1012" s="493">
        <v>10.687507096818798</v>
      </c>
      <c r="R1012" s="493">
        <v>10.405662111609747</v>
      </c>
      <c r="S1012" s="493">
        <v>10.119549430066629</v>
      </c>
      <c r="T1012" s="493">
        <v>9.8291690521893571</v>
      </c>
      <c r="U1012" s="493">
        <v>9.7220148071278043</v>
      </c>
      <c r="V1012" s="493">
        <v>9.6128518275290613</v>
      </c>
      <c r="W1012" s="493">
        <v>9.5016801133930766</v>
      </c>
      <c r="X1012" s="493">
        <v>9.3884996647198378</v>
      </c>
      <c r="Y1012" s="493">
        <v>9.2733104815094478</v>
      </c>
      <c r="Z1012" s="493">
        <v>9.1512570840764056</v>
      </c>
      <c r="AA1012" s="493">
        <v>9.0271381628700507</v>
      </c>
      <c r="AB1012" s="493">
        <v>8.9009537178903244</v>
      </c>
      <c r="AC1012" s="493">
        <v>8.7727037491373387</v>
      </c>
      <c r="AD1012" s="493">
        <v>8.6423882566110102</v>
      </c>
      <c r="AE1012" s="493">
        <v>8.6025576664214682</v>
      </c>
      <c r="AF1012" s="493">
        <v>8.5617132618462435</v>
      </c>
      <c r="AG1012" s="493">
        <v>8.5198550428852791</v>
      </c>
      <c r="AH1012" s="493">
        <v>8.4769830095386158</v>
      </c>
      <c r="AI1012" s="493">
        <v>8.4330971618062929</v>
      </c>
    </row>
    <row r="1013" spans="2:35" outlineLevel="1">
      <c r="B1013" t="str">
        <f t="shared" si="83"/>
        <v>Blue ammonia (CCS) - Energy cost - Americas - USD/ton fuel</v>
      </c>
      <c r="C1013" t="str">
        <f>C953</f>
        <v>Blue ammonia (CCS)</v>
      </c>
      <c r="D1013" t="s">
        <v>1368</v>
      </c>
      <c r="E1013" t="s">
        <v>731</v>
      </c>
      <c r="F1013" t="s">
        <v>1353</v>
      </c>
      <c r="G1013" s="487" t="str">
        <f t="shared" si="84"/>
        <v>Blue ammonia (CCS)AmericasEnergy cost</v>
      </c>
      <c r="H1013" s="493">
        <v>11.226278469168729</v>
      </c>
      <c r="I1013" s="493">
        <v>11.065652798807578</v>
      </c>
      <c r="J1013" s="493">
        <v>10.901988166895178</v>
      </c>
      <c r="K1013" s="493">
        <v>10.571634583043664</v>
      </c>
      <c r="L1013" s="493">
        <v>10.236143960841156</v>
      </c>
      <c r="M1013" s="493">
        <v>9.8955163002875945</v>
      </c>
      <c r="N1013" s="493">
        <v>9.5497516013831536</v>
      </c>
      <c r="O1013" s="493">
        <v>9.1988498641275722</v>
      </c>
      <c r="P1013" s="493">
        <v>9.0573413476354094</v>
      </c>
      <c r="Q1013" s="493">
        <v>8.913360764955149</v>
      </c>
      <c r="R1013" s="493">
        <v>8.7669081160867783</v>
      </c>
      <c r="S1013" s="493">
        <v>8.6179834010302976</v>
      </c>
      <c r="T1013" s="493">
        <v>8.4665866197856907</v>
      </c>
      <c r="U1013" s="493">
        <v>8.351574100239965</v>
      </c>
      <c r="V1013" s="493">
        <v>8.2345576630348862</v>
      </c>
      <c r="W1013" s="493">
        <v>8.1155373081704401</v>
      </c>
      <c r="X1013" s="493">
        <v>7.9945130356466576</v>
      </c>
      <c r="Y1013" s="493">
        <v>7.8714848454635034</v>
      </c>
      <c r="Z1013" s="493">
        <v>7.8487622953688296</v>
      </c>
      <c r="AA1013" s="493">
        <v>7.8252324306293977</v>
      </c>
      <c r="AB1013" s="493">
        <v>7.8008952512452474</v>
      </c>
      <c r="AC1013" s="493">
        <v>7.7757507572162998</v>
      </c>
      <c r="AD1013" s="493">
        <v>7.7497989485426038</v>
      </c>
      <c r="AE1013" s="493">
        <v>7.7404860793192238</v>
      </c>
      <c r="AF1013" s="493">
        <v>7.730564148338531</v>
      </c>
      <c r="AG1013" s="493">
        <v>7.7200331556005235</v>
      </c>
      <c r="AH1013" s="493">
        <v>7.7088931011052031</v>
      </c>
      <c r="AI1013" s="493">
        <v>7.697143984852568</v>
      </c>
    </row>
    <row r="1014" spans="2:35" outlineLevel="1">
      <c r="B1014" t="str">
        <f t="shared" si="83"/>
        <v>Blue ammonia (CCS) - Energy cost - Asia - USD/ton fuel</v>
      </c>
      <c r="C1014" t="str">
        <f>C953</f>
        <v>Blue ammonia (CCS)</v>
      </c>
      <c r="D1014" t="s">
        <v>1368</v>
      </c>
      <c r="E1014" t="s">
        <v>750</v>
      </c>
      <c r="F1014" t="s">
        <v>1353</v>
      </c>
      <c r="G1014" s="487" t="str">
        <f t="shared" si="84"/>
        <v>Blue ammonia (CCS)AsiaEnergy cost</v>
      </c>
      <c r="H1014" s="493">
        <v>19.872130361881634</v>
      </c>
      <c r="I1014" s="493">
        <v>18.244351644545489</v>
      </c>
      <c r="J1014" s="493">
        <v>16.593746148998299</v>
      </c>
      <c r="K1014" s="493">
        <v>16.062156063477747</v>
      </c>
      <c r="L1014" s="493">
        <v>15.522378202158958</v>
      </c>
      <c r="M1014" s="493">
        <v>14.97441256504127</v>
      </c>
      <c r="N1014" s="493">
        <v>14.418259152125017</v>
      </c>
      <c r="O1014" s="493">
        <v>13.853917963410526</v>
      </c>
      <c r="P1014" s="493">
        <v>13.492510997352365</v>
      </c>
      <c r="Q1014" s="493">
        <v>13.125538889016989</v>
      </c>
      <c r="R1014" s="493">
        <v>12.753001638404376</v>
      </c>
      <c r="S1014" s="493">
        <v>12.374899245514236</v>
      </c>
      <c r="T1014" s="493">
        <v>11.991231710346744</v>
      </c>
      <c r="U1014" s="493">
        <v>11.829061229244928</v>
      </c>
      <c r="V1014" s="493">
        <v>11.664061294978296</v>
      </c>
      <c r="W1014" s="493">
        <v>11.496231907546957</v>
      </c>
      <c r="X1014" s="493">
        <v>11.325573066950694</v>
      </c>
      <c r="Y1014" s="493">
        <v>11.152084773189772</v>
      </c>
      <c r="Z1014" s="493">
        <v>10.964462644581344</v>
      </c>
      <c r="AA1014" s="493">
        <v>10.773878847817741</v>
      </c>
      <c r="AB1014" s="493">
        <v>10.580333382898834</v>
      </c>
      <c r="AC1014" s="493">
        <v>10.383826249824724</v>
      </c>
      <c r="AD1014" s="493">
        <v>10.184357448595293</v>
      </c>
      <c r="AE1014" s="493">
        <v>10.123033782003386</v>
      </c>
      <c r="AF1014" s="493">
        <v>10.06035193365153</v>
      </c>
      <c r="AG1014" s="493">
        <v>9.9963119035398336</v>
      </c>
      <c r="AH1014" s="493">
        <v>9.9309136916682554</v>
      </c>
      <c r="AI1014" s="493">
        <v>9.8641572980367531</v>
      </c>
    </row>
    <row r="1015" spans="2:35" outlineLevel="1">
      <c r="B1015" t="str">
        <f t="shared" si="83"/>
        <v>Blue ammonia (CCS) - Energy cost - Europe - USD/ton fuel</v>
      </c>
      <c r="C1015" t="str">
        <f>C953</f>
        <v>Blue ammonia (CCS)</v>
      </c>
      <c r="D1015" t="s">
        <v>1368</v>
      </c>
      <c r="E1015" t="s">
        <v>720</v>
      </c>
      <c r="F1015" t="s">
        <v>1353</v>
      </c>
      <c r="G1015" s="487" t="str">
        <f t="shared" si="84"/>
        <v>Blue ammonia (CCS)EuropeEnergy cost</v>
      </c>
      <c r="H1015" s="493">
        <v>14.793724639473741</v>
      </c>
      <c r="I1015" s="493">
        <v>14.248644993100269</v>
      </c>
      <c r="J1015" s="493">
        <v>13.6952306628685</v>
      </c>
      <c r="K1015" s="493">
        <v>13.258297945690021</v>
      </c>
      <c r="L1015" s="493">
        <v>12.814630753587902</v>
      </c>
      <c r="M1015" s="493">
        <v>12.364229086562352</v>
      </c>
      <c r="N1015" s="493">
        <v>11.907092944613126</v>
      </c>
      <c r="O1015" s="493">
        <v>11.443222327740539</v>
      </c>
      <c r="P1015" s="493">
        <v>11.28948954583152</v>
      </c>
      <c r="Q1015" s="493">
        <v>11.132958590985378</v>
      </c>
      <c r="R1015" s="493">
        <v>10.973629463201808</v>
      </c>
      <c r="S1015" s="493">
        <v>10.811502162480879</v>
      </c>
      <c r="T1015" s="493">
        <v>10.6465766888227</v>
      </c>
      <c r="U1015" s="493">
        <v>10.572437324224747</v>
      </c>
      <c r="V1015" s="493">
        <v>10.496627308159328</v>
      </c>
      <c r="W1015" s="493">
        <v>10.419146640626431</v>
      </c>
      <c r="X1015" s="493">
        <v>10.339995321626002</v>
      </c>
      <c r="Y1015" s="493">
        <v>10.259173351157992</v>
      </c>
      <c r="Z1015" s="493">
        <v>10.166707668564863</v>
      </c>
      <c r="AA1015" s="493">
        <v>10.072454690519889</v>
      </c>
      <c r="AB1015" s="493">
        <v>9.9764144170231752</v>
      </c>
      <c r="AC1015" s="493">
        <v>9.8785868480745904</v>
      </c>
      <c r="AD1015" s="493">
        <v>9.7789719836742535</v>
      </c>
      <c r="AE1015" s="493">
        <v>9.7200956374480363</v>
      </c>
      <c r="AF1015" s="493">
        <v>9.6599152436520619</v>
      </c>
      <c r="AG1015" s="493">
        <v>9.5984308022864369</v>
      </c>
      <c r="AH1015" s="493">
        <v>9.5356423133511168</v>
      </c>
      <c r="AI1015" s="493">
        <v>9.4715497768460644</v>
      </c>
    </row>
    <row r="1016" spans="2:35" outlineLevel="1">
      <c r="B1016" t="str">
        <f t="shared" si="83"/>
        <v>Blue ammonia (CCS) - Energy cost - Middle East - USD/ton fuel</v>
      </c>
      <c r="C1016" t="str">
        <f>C953</f>
        <v>Blue ammonia (CCS)</v>
      </c>
      <c r="D1016" t="s">
        <v>1368</v>
      </c>
      <c r="E1016" t="s">
        <v>826</v>
      </c>
      <c r="F1016" t="s">
        <v>1353</v>
      </c>
      <c r="G1016" s="487" t="str">
        <f t="shared" si="84"/>
        <v>Blue ammonia (CCS)Middle EastEnergy cost</v>
      </c>
      <c r="H1016" s="493">
        <v>11.32821690198819</v>
      </c>
      <c r="I1016" s="493">
        <v>10.899104493333713</v>
      </c>
      <c r="J1016" s="493">
        <v>10.463457629588175</v>
      </c>
      <c r="K1016" s="493">
        <v>10.193503983682477</v>
      </c>
      <c r="L1016" s="493">
        <v>9.9192239297747431</v>
      </c>
      <c r="M1016" s="493">
        <v>9.6406174678649137</v>
      </c>
      <c r="N1016" s="493">
        <v>9.3576845979530212</v>
      </c>
      <c r="O1016" s="493">
        <v>9.070425320039087</v>
      </c>
      <c r="P1016" s="493">
        <v>8.8815408742669817</v>
      </c>
      <c r="Q1016" s="493">
        <v>8.6896058122959268</v>
      </c>
      <c r="R1016" s="493">
        <v>8.4946201341257623</v>
      </c>
      <c r="S1016" s="493">
        <v>8.2965838397566394</v>
      </c>
      <c r="T1016" s="493">
        <v>8.0954969291885046</v>
      </c>
      <c r="U1016" s="493">
        <v>8.0176081554952567</v>
      </c>
      <c r="V1016" s="493">
        <v>7.9381898349171207</v>
      </c>
      <c r="W1016" s="493">
        <v>7.8572419674541525</v>
      </c>
      <c r="X1016" s="493">
        <v>7.7747645531062348</v>
      </c>
      <c r="Y1016" s="493">
        <v>7.6907575918734272</v>
      </c>
      <c r="Z1016" s="493">
        <v>7.5644978724311542</v>
      </c>
      <c r="AA1016" s="493">
        <v>7.4362323112347379</v>
      </c>
      <c r="AB1016" s="493">
        <v>7.3059609082841179</v>
      </c>
      <c r="AC1016" s="493">
        <v>7.1736836635793342</v>
      </c>
      <c r="AD1016" s="493">
        <v>7.0394005771203174</v>
      </c>
      <c r="AE1016" s="493">
        <v>6.9970115991874904</v>
      </c>
      <c r="AF1016" s="493">
        <v>6.9536838243900316</v>
      </c>
      <c r="AG1016" s="493">
        <v>6.909417252727919</v>
      </c>
      <c r="AH1016" s="493">
        <v>6.8642118842011719</v>
      </c>
      <c r="AI1016" s="493">
        <v>6.8180677188098118</v>
      </c>
    </row>
    <row r="1017" spans="2:35" outlineLevel="1">
      <c r="B1017" t="str">
        <f>_xlfn.TEXTJOIN(" - ",TRUE,C1017:F1017)</f>
        <v>Nitrogen - Energy cost - Africa - USD/ton fuel</v>
      </c>
      <c r="C1017" t="s">
        <v>1374</v>
      </c>
      <c r="D1017" t="s">
        <v>1368</v>
      </c>
      <c r="E1017" t="s">
        <v>838</v>
      </c>
      <c r="F1017" t="s">
        <v>1353</v>
      </c>
      <c r="G1017" s="487" t="str">
        <f t="shared" si="84"/>
        <v>NitrogenAfricaEnergy cost</v>
      </c>
      <c r="H1017" s="493">
        <v>12.845757524713116</v>
      </c>
      <c r="I1017" s="493">
        <v>11.337325174045109</v>
      </c>
      <c r="J1017" s="493">
        <v>9.8288928233767283</v>
      </c>
      <c r="K1017" s="493">
        <v>9.2373317319683625</v>
      </c>
      <c r="L1017" s="493">
        <v>8.6610615275661882</v>
      </c>
      <c r="M1017" s="493">
        <v>8.1000822101701271</v>
      </c>
      <c r="N1017" s="493">
        <v>7.554393779780086</v>
      </c>
      <c r="O1017" s="493">
        <v>7.0239962363961901</v>
      </c>
      <c r="P1017" s="493">
        <v>6.8106114196853929</v>
      </c>
      <c r="Q1017" s="493">
        <v>6.5972266029745699</v>
      </c>
      <c r="R1017" s="493">
        <v>6.3838417862636563</v>
      </c>
      <c r="S1017" s="493">
        <v>6.1704569695528342</v>
      </c>
      <c r="T1017" s="493">
        <v>5.9570721528420343</v>
      </c>
      <c r="U1017" s="493">
        <v>5.8566354259806079</v>
      </c>
      <c r="V1017" s="493">
        <v>5.7561986991192047</v>
      </c>
      <c r="W1017" s="493">
        <v>5.6557619722577783</v>
      </c>
      <c r="X1017" s="493">
        <v>5.5553252453963529</v>
      </c>
      <c r="Y1017" s="493">
        <v>5.4548885185349718</v>
      </c>
      <c r="Z1017" s="493">
        <v>5.3516123298692495</v>
      </c>
      <c r="AA1017" s="493">
        <v>5.2483361412035272</v>
      </c>
      <c r="AB1017" s="493">
        <v>5.1450599525377587</v>
      </c>
      <c r="AC1017" s="493">
        <v>5.0417837638720364</v>
      </c>
      <c r="AD1017" s="493">
        <v>4.938507575206291</v>
      </c>
      <c r="AE1017" s="493">
        <v>4.8878168559212787</v>
      </c>
      <c r="AF1017" s="493">
        <v>4.8371261366362894</v>
      </c>
      <c r="AG1017" s="493">
        <v>4.7864354173512771</v>
      </c>
      <c r="AH1017" s="493">
        <v>4.7357446980662647</v>
      </c>
      <c r="AI1017" s="493">
        <v>4.6850539787812755</v>
      </c>
    </row>
    <row r="1018" spans="2:35" outlineLevel="1">
      <c r="B1018" t="str">
        <f>_xlfn.TEXTJOIN(" - ",TRUE,C1018:F1018)</f>
        <v>Nitrogen - Energy cost - Americas - USD/ton fuel</v>
      </c>
      <c r="C1018" t="s">
        <v>1374</v>
      </c>
      <c r="D1018" t="s">
        <v>1368</v>
      </c>
      <c r="E1018" t="s">
        <v>731</v>
      </c>
      <c r="F1018" t="s">
        <v>1353</v>
      </c>
      <c r="G1018" s="487" t="str">
        <f t="shared" si="84"/>
        <v>NitrogenAmericasEnergy cost</v>
      </c>
      <c r="H1018" s="493">
        <v>8.0711805987487466</v>
      </c>
      <c r="I1018" s="493">
        <v>7.9040377134339765</v>
      </c>
      <c r="J1018" s="493">
        <v>7.7368948281191798</v>
      </c>
      <c r="K1018" s="493">
        <v>7.3188239421071319</v>
      </c>
      <c r="L1018" s="493">
        <v>6.9110271327971944</v>
      </c>
      <c r="M1018" s="493">
        <v>6.5135044001893023</v>
      </c>
      <c r="N1018" s="493">
        <v>6.1262557442835499</v>
      </c>
      <c r="O1018" s="493">
        <v>5.7492811650796991</v>
      </c>
      <c r="P1018" s="493">
        <v>5.6256778556741667</v>
      </c>
      <c r="Q1018" s="493">
        <v>5.5020745462686138</v>
      </c>
      <c r="R1018" s="493">
        <v>5.3784712368630609</v>
      </c>
      <c r="S1018" s="493">
        <v>5.2548679274575081</v>
      </c>
      <c r="T1018" s="493">
        <v>5.131264618051933</v>
      </c>
      <c r="U1018" s="493">
        <v>5.0310687350843182</v>
      </c>
      <c r="V1018" s="493">
        <v>4.9308728521167042</v>
      </c>
      <c r="W1018" s="493">
        <v>4.8306769691490672</v>
      </c>
      <c r="X1018" s="493">
        <v>4.7304810861814532</v>
      </c>
      <c r="Y1018" s="493">
        <v>4.6302852032138277</v>
      </c>
      <c r="Z1018" s="493">
        <v>4.5899194709759286</v>
      </c>
      <c r="AA1018" s="493">
        <v>4.5495537387380294</v>
      </c>
      <c r="AB1018" s="493">
        <v>4.5091880065001417</v>
      </c>
      <c r="AC1018" s="493">
        <v>4.4688222742622434</v>
      </c>
      <c r="AD1018" s="493">
        <v>4.4284565420243442</v>
      </c>
      <c r="AE1018" s="493">
        <v>4.3980034541586406</v>
      </c>
      <c r="AF1018" s="493">
        <v>4.3675503662929485</v>
      </c>
      <c r="AG1018" s="493">
        <v>4.3370972784272572</v>
      </c>
      <c r="AH1018" s="493">
        <v>4.3066441905615651</v>
      </c>
      <c r="AI1018" s="493">
        <v>4.276191102695873</v>
      </c>
    </row>
    <row r="1019" spans="2:35" outlineLevel="1">
      <c r="B1019" t="str">
        <f>_xlfn.TEXTJOIN(" - ",TRUE,C1019:F1019)</f>
        <v>Nitrogen - Energy cost - Asia - USD/ton fuel</v>
      </c>
      <c r="C1019" t="s">
        <v>1374</v>
      </c>
      <c r="D1019" t="s">
        <v>1368</v>
      </c>
      <c r="E1019" t="s">
        <v>750</v>
      </c>
      <c r="F1019" t="s">
        <v>1353</v>
      </c>
      <c r="G1019" s="487" t="str">
        <f t="shared" si="84"/>
        <v>NitrogenAsiaEnergy cost</v>
      </c>
      <c r="H1019" s="493">
        <v>14.287152547758014</v>
      </c>
      <c r="I1019" s="493">
        <v>13.03167974610391</v>
      </c>
      <c r="J1019" s="493">
        <v>11.77620694445044</v>
      </c>
      <c r="K1019" s="493">
        <v>11.119954197792257</v>
      </c>
      <c r="L1019" s="493">
        <v>10.480077002731496</v>
      </c>
      <c r="M1019" s="493">
        <v>9.856575359267671</v>
      </c>
      <c r="N1019" s="493">
        <v>9.2494492674009816</v>
      </c>
      <c r="O1019" s="493">
        <v>8.6586987271315277</v>
      </c>
      <c r="P1019" s="493">
        <v>8.3804416132623381</v>
      </c>
      <c r="Q1019" s="493">
        <v>8.1021844993932071</v>
      </c>
      <c r="R1019" s="493">
        <v>7.8239273855241667</v>
      </c>
      <c r="S1019" s="493">
        <v>7.5456702716550357</v>
      </c>
      <c r="T1019" s="493">
        <v>7.2674131577859047</v>
      </c>
      <c r="U1019" s="493">
        <v>7.1259404995451412</v>
      </c>
      <c r="V1019" s="493">
        <v>6.9844678413043768</v>
      </c>
      <c r="W1019" s="493">
        <v>6.8429951830636586</v>
      </c>
      <c r="X1019" s="493">
        <v>6.7015225248228951</v>
      </c>
      <c r="Y1019" s="493">
        <v>6.5600498665822222</v>
      </c>
      <c r="Z1019" s="493">
        <v>6.4119664588195064</v>
      </c>
      <c r="AA1019" s="493">
        <v>6.2638830510568368</v>
      </c>
      <c r="AB1019" s="493">
        <v>6.115799643294122</v>
      </c>
      <c r="AC1019" s="493">
        <v>5.9677162355314524</v>
      </c>
      <c r="AD1019" s="493">
        <v>5.8196328277687375</v>
      </c>
      <c r="AE1019" s="493">
        <v>5.751723739774639</v>
      </c>
      <c r="AF1019" s="493">
        <v>5.6838146517805175</v>
      </c>
      <c r="AG1019" s="493">
        <v>5.615905563786419</v>
      </c>
      <c r="AH1019" s="493">
        <v>5.5479964757923206</v>
      </c>
      <c r="AI1019" s="493">
        <v>5.480087387798199</v>
      </c>
    </row>
    <row r="1020" spans="2:35" outlineLevel="1">
      <c r="B1020" t="str">
        <f>_xlfn.TEXTJOIN(" - ",TRUE,C1020:F1020)</f>
        <v>Nitrogen - Energy cost - Europe - USD/ton fuel</v>
      </c>
      <c r="C1020" t="s">
        <v>1374</v>
      </c>
      <c r="D1020" t="s">
        <v>1368</v>
      </c>
      <c r="E1020" t="s">
        <v>720</v>
      </c>
      <c r="F1020" t="s">
        <v>1353</v>
      </c>
      <c r="G1020" s="487" t="str">
        <f t="shared" si="84"/>
        <v>NitrogenEuropeEnergy cost</v>
      </c>
      <c r="H1020" s="493">
        <v>10.636011178706594</v>
      </c>
      <c r="I1020" s="493">
        <v>10.177603566500183</v>
      </c>
      <c r="J1020" s="493">
        <v>9.7191959542938005</v>
      </c>
      <c r="K1020" s="493">
        <v>9.178821654708452</v>
      </c>
      <c r="L1020" s="493">
        <v>8.6519163049701522</v>
      </c>
      <c r="M1020" s="493">
        <v>8.1384799050790164</v>
      </c>
      <c r="N1020" s="493">
        <v>7.6385124550348573</v>
      </c>
      <c r="O1020" s="493">
        <v>7.1520139548377957</v>
      </c>
      <c r="P1020" s="493">
        <v>7.012105307969887</v>
      </c>
      <c r="Q1020" s="493">
        <v>6.8721966611020893</v>
      </c>
      <c r="R1020" s="493">
        <v>6.7322880142342463</v>
      </c>
      <c r="S1020" s="493">
        <v>6.5923793673664024</v>
      </c>
      <c r="T1020" s="493">
        <v>6.4524707204986047</v>
      </c>
      <c r="U1020" s="493">
        <v>6.3689381471233446</v>
      </c>
      <c r="V1020" s="493">
        <v>6.2854055737481076</v>
      </c>
      <c r="W1020" s="493">
        <v>6.2018730003728706</v>
      </c>
      <c r="X1020" s="493">
        <v>6.1183404269976336</v>
      </c>
      <c r="Y1020" s="493">
        <v>6.0348078536223513</v>
      </c>
      <c r="Z1020" s="493">
        <v>5.9454430810320904</v>
      </c>
      <c r="AA1020" s="493">
        <v>5.8560783084418064</v>
      </c>
      <c r="AB1020" s="493">
        <v>5.7667135358515456</v>
      </c>
      <c r="AC1020" s="493">
        <v>5.6773487632612616</v>
      </c>
      <c r="AD1020" s="493">
        <v>5.5879839906710007</v>
      </c>
      <c r="AE1020" s="493">
        <v>5.5227816121863729</v>
      </c>
      <c r="AF1020" s="493">
        <v>5.4575792337017219</v>
      </c>
      <c r="AG1020" s="493">
        <v>5.3923768552170941</v>
      </c>
      <c r="AH1020" s="493">
        <v>5.3271744767324662</v>
      </c>
      <c r="AI1020" s="493">
        <v>5.2619720982478162</v>
      </c>
    </row>
    <row r="1021" spans="2:35" outlineLevel="1">
      <c r="B1021" t="str">
        <f>_xlfn.TEXTJOIN(" - ",TRUE,C1021:F1021)</f>
        <v>Nitrogen - Energy cost - Middle East - USD/ton fuel</v>
      </c>
      <c r="C1021" t="s">
        <v>1374</v>
      </c>
      <c r="D1021" t="s">
        <v>1368</v>
      </c>
      <c r="E1021" t="s">
        <v>826</v>
      </c>
      <c r="F1021" t="s">
        <v>1353</v>
      </c>
      <c r="G1021" s="487" t="str">
        <f t="shared" si="84"/>
        <v>NitrogenMiddle EastEnergy cost</v>
      </c>
      <c r="H1021" s="493">
        <v>8.1444696680960718</v>
      </c>
      <c r="I1021" s="493">
        <v>7.7850746380955025</v>
      </c>
      <c r="J1021" s="493">
        <v>7.4256796080948551</v>
      </c>
      <c r="K1021" s="493">
        <v>7.0570412194724659</v>
      </c>
      <c r="L1021" s="493">
        <v>6.6970556468542668</v>
      </c>
      <c r="M1021" s="493">
        <v>6.3457228902401965</v>
      </c>
      <c r="N1021" s="493">
        <v>6.0030429496302569</v>
      </c>
      <c r="O1021" s="493">
        <v>5.6690158250243963</v>
      </c>
      <c r="P1021" s="493">
        <v>5.5164850150726581</v>
      </c>
      <c r="Q1021" s="493">
        <v>5.3639542051209448</v>
      </c>
      <c r="R1021" s="493">
        <v>5.2114233951691862</v>
      </c>
      <c r="S1021" s="493">
        <v>5.0588925852174729</v>
      </c>
      <c r="T1021" s="493">
        <v>4.9063617752657596</v>
      </c>
      <c r="U1021" s="493">
        <v>4.8298844310212417</v>
      </c>
      <c r="V1021" s="493">
        <v>4.7534070867767246</v>
      </c>
      <c r="W1021" s="493">
        <v>4.6769297425322298</v>
      </c>
      <c r="X1021" s="493">
        <v>4.6004523982877119</v>
      </c>
      <c r="Y1021" s="493">
        <v>4.523975054043194</v>
      </c>
      <c r="Z1021" s="493">
        <v>4.4236829663340131</v>
      </c>
      <c r="AA1021" s="493">
        <v>4.3233908786248554</v>
      </c>
      <c r="AB1021" s="493">
        <v>4.2230987909156736</v>
      </c>
      <c r="AC1021" s="493">
        <v>4.1228067032065159</v>
      </c>
      <c r="AD1021" s="493">
        <v>4.0225146154973235</v>
      </c>
      <c r="AE1021" s="493">
        <v>3.9755747722656114</v>
      </c>
      <c r="AF1021" s="493">
        <v>3.9286349290339104</v>
      </c>
      <c r="AG1021" s="493">
        <v>3.8816950858021984</v>
      </c>
      <c r="AH1021" s="493">
        <v>3.8347552425704863</v>
      </c>
      <c r="AI1021" s="493">
        <v>3.7878153993387857</v>
      </c>
    </row>
    <row r="1022" spans="2:35" outlineLevel="1">
      <c r="B1022" t="str">
        <f t="shared" si="83"/>
        <v>Carbon capture - Energy cost - Africa - USD/ton fuel</v>
      </c>
      <c r="C1022" t="s">
        <v>1398</v>
      </c>
      <c r="D1022" t="s">
        <v>1368</v>
      </c>
      <c r="E1022" t="s">
        <v>838</v>
      </c>
      <c r="F1022" t="s">
        <v>1353</v>
      </c>
      <c r="G1022" s="487" t="str">
        <f t="shared" si="84"/>
        <v>Carbon captureAfricaEnergy cost</v>
      </c>
      <c r="H1022" s="493">
        <v>0</v>
      </c>
      <c r="I1022" s="493">
        <v>0</v>
      </c>
      <c r="J1022" s="493">
        <v>0</v>
      </c>
      <c r="K1022" s="493">
        <v>0</v>
      </c>
      <c r="L1022" s="493">
        <v>0</v>
      </c>
      <c r="M1022" s="493">
        <v>0</v>
      </c>
      <c r="N1022" s="493">
        <v>0</v>
      </c>
      <c r="O1022" s="493">
        <v>0</v>
      </c>
      <c r="P1022" s="493">
        <v>0</v>
      </c>
      <c r="Q1022" s="493">
        <v>0</v>
      </c>
      <c r="R1022" s="493">
        <v>0</v>
      </c>
      <c r="S1022" s="493">
        <v>0</v>
      </c>
      <c r="T1022" s="493">
        <v>0</v>
      </c>
      <c r="U1022" s="493">
        <v>0</v>
      </c>
      <c r="V1022" s="493">
        <v>0</v>
      </c>
      <c r="W1022" s="493">
        <v>0</v>
      </c>
      <c r="X1022" s="493">
        <v>0</v>
      </c>
      <c r="Y1022" s="493">
        <v>0</v>
      </c>
      <c r="Z1022" s="493">
        <v>0</v>
      </c>
      <c r="AA1022" s="493">
        <v>0</v>
      </c>
      <c r="AB1022" s="493">
        <v>0</v>
      </c>
      <c r="AC1022" s="493">
        <v>0</v>
      </c>
      <c r="AD1022" s="493">
        <v>0</v>
      </c>
      <c r="AE1022" s="493">
        <v>0</v>
      </c>
      <c r="AF1022" s="493">
        <v>0</v>
      </c>
      <c r="AG1022" s="493">
        <v>0</v>
      </c>
      <c r="AH1022" s="493">
        <v>0</v>
      </c>
      <c r="AI1022" s="493">
        <v>0</v>
      </c>
    </row>
    <row r="1023" spans="2:35" outlineLevel="1">
      <c r="B1023" t="str">
        <f t="shared" si="83"/>
        <v>Carbon capture - Energy cost - Americas - USD/ton fuel</v>
      </c>
      <c r="C1023" t="s">
        <v>1398</v>
      </c>
      <c r="D1023" t="s">
        <v>1368</v>
      </c>
      <c r="E1023" t="s">
        <v>731</v>
      </c>
      <c r="F1023" t="s">
        <v>1353</v>
      </c>
      <c r="G1023" s="487" t="str">
        <f t="shared" si="84"/>
        <v>Carbon captureAmericasEnergy cost</v>
      </c>
      <c r="H1023" s="493">
        <v>0</v>
      </c>
      <c r="I1023" s="493">
        <v>0</v>
      </c>
      <c r="J1023" s="493">
        <v>0</v>
      </c>
      <c r="K1023" s="493">
        <v>0</v>
      </c>
      <c r="L1023" s="493">
        <v>0</v>
      </c>
      <c r="M1023" s="493">
        <v>0</v>
      </c>
      <c r="N1023" s="493">
        <v>0</v>
      </c>
      <c r="O1023" s="493">
        <v>0</v>
      </c>
      <c r="P1023" s="493">
        <v>0</v>
      </c>
      <c r="Q1023" s="493">
        <v>0</v>
      </c>
      <c r="R1023" s="493">
        <v>0</v>
      </c>
      <c r="S1023" s="493">
        <v>0</v>
      </c>
      <c r="T1023" s="493">
        <v>0</v>
      </c>
      <c r="U1023" s="493">
        <v>0</v>
      </c>
      <c r="V1023" s="493">
        <v>0</v>
      </c>
      <c r="W1023" s="493">
        <v>0</v>
      </c>
      <c r="X1023" s="493">
        <v>0</v>
      </c>
      <c r="Y1023" s="493">
        <v>0</v>
      </c>
      <c r="Z1023" s="493">
        <v>0</v>
      </c>
      <c r="AA1023" s="493">
        <v>0</v>
      </c>
      <c r="AB1023" s="493">
        <v>0</v>
      </c>
      <c r="AC1023" s="493">
        <v>0</v>
      </c>
      <c r="AD1023" s="493">
        <v>0</v>
      </c>
      <c r="AE1023" s="493">
        <v>0</v>
      </c>
      <c r="AF1023" s="493">
        <v>0</v>
      </c>
      <c r="AG1023" s="493">
        <v>0</v>
      </c>
      <c r="AH1023" s="493">
        <v>0</v>
      </c>
      <c r="AI1023" s="493">
        <v>0</v>
      </c>
    </row>
    <row r="1024" spans="2:35" outlineLevel="1">
      <c r="B1024" t="str">
        <f t="shared" si="83"/>
        <v>Carbon capture - Energy cost - Asia - USD/ton fuel</v>
      </c>
      <c r="C1024" t="s">
        <v>1398</v>
      </c>
      <c r="D1024" t="s">
        <v>1368</v>
      </c>
      <c r="E1024" t="s">
        <v>750</v>
      </c>
      <c r="F1024" t="s">
        <v>1353</v>
      </c>
      <c r="G1024" s="487" t="str">
        <f t="shared" si="84"/>
        <v>Carbon captureAsiaEnergy cost</v>
      </c>
      <c r="H1024" s="493">
        <v>0</v>
      </c>
      <c r="I1024" s="493">
        <v>0</v>
      </c>
      <c r="J1024" s="493">
        <v>0</v>
      </c>
      <c r="K1024" s="493">
        <v>0</v>
      </c>
      <c r="L1024" s="493">
        <v>0</v>
      </c>
      <c r="M1024" s="493">
        <v>0</v>
      </c>
      <c r="N1024" s="493">
        <v>0</v>
      </c>
      <c r="O1024" s="493">
        <v>0</v>
      </c>
      <c r="P1024" s="493">
        <v>0</v>
      </c>
      <c r="Q1024" s="493">
        <v>0</v>
      </c>
      <c r="R1024" s="493">
        <v>0</v>
      </c>
      <c r="S1024" s="493">
        <v>0</v>
      </c>
      <c r="T1024" s="493">
        <v>0</v>
      </c>
      <c r="U1024" s="493">
        <v>0</v>
      </c>
      <c r="V1024" s="493">
        <v>0</v>
      </c>
      <c r="W1024" s="493">
        <v>0</v>
      </c>
      <c r="X1024" s="493">
        <v>0</v>
      </c>
      <c r="Y1024" s="493">
        <v>0</v>
      </c>
      <c r="Z1024" s="493">
        <v>0</v>
      </c>
      <c r="AA1024" s="493">
        <v>0</v>
      </c>
      <c r="AB1024" s="493">
        <v>0</v>
      </c>
      <c r="AC1024" s="493">
        <v>0</v>
      </c>
      <c r="AD1024" s="493">
        <v>0</v>
      </c>
      <c r="AE1024" s="493">
        <v>0</v>
      </c>
      <c r="AF1024" s="493">
        <v>0</v>
      </c>
      <c r="AG1024" s="493">
        <v>0</v>
      </c>
      <c r="AH1024" s="493">
        <v>0</v>
      </c>
      <c r="AI1024" s="493">
        <v>0</v>
      </c>
    </row>
    <row r="1025" spans="2:35" outlineLevel="1">
      <c r="B1025" t="str">
        <f t="shared" si="83"/>
        <v>Carbon capture - Energy cost - Europe - USD/ton fuel</v>
      </c>
      <c r="C1025" t="s">
        <v>1398</v>
      </c>
      <c r="D1025" t="s">
        <v>1368</v>
      </c>
      <c r="E1025" t="s">
        <v>720</v>
      </c>
      <c r="F1025" t="s">
        <v>1353</v>
      </c>
      <c r="G1025" s="487" t="str">
        <f t="shared" si="84"/>
        <v>Carbon captureEuropeEnergy cost</v>
      </c>
      <c r="H1025" s="493">
        <v>0</v>
      </c>
      <c r="I1025" s="493">
        <v>0</v>
      </c>
      <c r="J1025" s="493">
        <v>0</v>
      </c>
      <c r="K1025" s="493">
        <v>0</v>
      </c>
      <c r="L1025" s="493">
        <v>0</v>
      </c>
      <c r="M1025" s="493">
        <v>0</v>
      </c>
      <c r="N1025" s="493">
        <v>0</v>
      </c>
      <c r="O1025" s="493">
        <v>0</v>
      </c>
      <c r="P1025" s="493">
        <v>0</v>
      </c>
      <c r="Q1025" s="493">
        <v>0</v>
      </c>
      <c r="R1025" s="493">
        <v>0</v>
      </c>
      <c r="S1025" s="493">
        <v>0</v>
      </c>
      <c r="T1025" s="493">
        <v>0</v>
      </c>
      <c r="U1025" s="493">
        <v>0</v>
      </c>
      <c r="V1025" s="493">
        <v>0</v>
      </c>
      <c r="W1025" s="493">
        <v>0</v>
      </c>
      <c r="X1025" s="493">
        <v>0</v>
      </c>
      <c r="Y1025" s="493">
        <v>0</v>
      </c>
      <c r="Z1025" s="493">
        <v>0</v>
      </c>
      <c r="AA1025" s="493">
        <v>0</v>
      </c>
      <c r="AB1025" s="493">
        <v>0</v>
      </c>
      <c r="AC1025" s="493">
        <v>0</v>
      </c>
      <c r="AD1025" s="493">
        <v>0</v>
      </c>
      <c r="AE1025" s="493">
        <v>0</v>
      </c>
      <c r="AF1025" s="493">
        <v>0</v>
      </c>
      <c r="AG1025" s="493">
        <v>0</v>
      </c>
      <c r="AH1025" s="493">
        <v>0</v>
      </c>
      <c r="AI1025" s="493">
        <v>0</v>
      </c>
    </row>
    <row r="1026" spans="2:35" outlineLevel="1">
      <c r="B1026" t="str">
        <f t="shared" si="83"/>
        <v>Carbon capture - Energy cost - Middle East - USD/ton fuel</v>
      </c>
      <c r="C1026" t="s">
        <v>1398</v>
      </c>
      <c r="D1026" t="s">
        <v>1368</v>
      </c>
      <c r="E1026" t="s">
        <v>826</v>
      </c>
      <c r="F1026" t="s">
        <v>1353</v>
      </c>
      <c r="G1026" s="487" t="str">
        <f t="shared" si="84"/>
        <v>Carbon captureMiddle EastEnergy cost</v>
      </c>
      <c r="H1026" s="493">
        <v>0</v>
      </c>
      <c r="I1026" s="493">
        <v>0</v>
      </c>
      <c r="J1026" s="493">
        <v>0</v>
      </c>
      <c r="K1026" s="493">
        <v>0</v>
      </c>
      <c r="L1026" s="493">
        <v>0</v>
      </c>
      <c r="M1026" s="493">
        <v>0</v>
      </c>
      <c r="N1026" s="493">
        <v>0</v>
      </c>
      <c r="O1026" s="493">
        <v>0</v>
      </c>
      <c r="P1026" s="493">
        <v>0</v>
      </c>
      <c r="Q1026" s="493">
        <v>0</v>
      </c>
      <c r="R1026" s="493">
        <v>0</v>
      </c>
      <c r="S1026" s="493">
        <v>0</v>
      </c>
      <c r="T1026" s="493">
        <v>0</v>
      </c>
      <c r="U1026" s="493">
        <v>0</v>
      </c>
      <c r="V1026" s="493">
        <v>0</v>
      </c>
      <c r="W1026" s="493">
        <v>0</v>
      </c>
      <c r="X1026" s="493">
        <v>0</v>
      </c>
      <c r="Y1026" s="493">
        <v>0</v>
      </c>
      <c r="Z1026" s="493">
        <v>0</v>
      </c>
      <c r="AA1026" s="493">
        <v>0</v>
      </c>
      <c r="AB1026" s="493">
        <v>0</v>
      </c>
      <c r="AC1026" s="493">
        <v>0</v>
      </c>
      <c r="AD1026" s="493">
        <v>0</v>
      </c>
      <c r="AE1026" s="493">
        <v>0</v>
      </c>
      <c r="AF1026" s="493">
        <v>0</v>
      </c>
      <c r="AG1026" s="493">
        <v>0</v>
      </c>
      <c r="AH1026" s="493">
        <v>0</v>
      </c>
      <c r="AI1026" s="493">
        <v>0</v>
      </c>
    </row>
    <row r="1027" spans="2:35" outlineLevel="1">
      <c r="B1027" t="str">
        <f t="shared" si="83"/>
        <v>Carbon storage - Energy cost - Africa - USD/ton fuel</v>
      </c>
      <c r="C1027" t="s">
        <v>1399</v>
      </c>
      <c r="D1027" t="s">
        <v>1368</v>
      </c>
      <c r="E1027" t="s">
        <v>838</v>
      </c>
      <c r="F1027" t="s">
        <v>1353</v>
      </c>
      <c r="G1027" s="487" t="str">
        <f t="shared" si="84"/>
        <v>Carbon storageAfricaEnergy cost</v>
      </c>
      <c r="H1027" s="493">
        <v>0</v>
      </c>
      <c r="I1027" s="493">
        <v>0</v>
      </c>
      <c r="J1027" s="493">
        <v>0</v>
      </c>
      <c r="K1027" s="493">
        <v>0</v>
      </c>
      <c r="L1027" s="493">
        <v>0</v>
      </c>
      <c r="M1027" s="493">
        <v>0</v>
      </c>
      <c r="N1027" s="493">
        <v>0</v>
      </c>
      <c r="O1027" s="493">
        <v>0</v>
      </c>
      <c r="P1027" s="493">
        <v>0</v>
      </c>
      <c r="Q1027" s="493">
        <v>0</v>
      </c>
      <c r="R1027" s="493">
        <v>0</v>
      </c>
      <c r="S1027" s="493">
        <v>0</v>
      </c>
      <c r="T1027" s="493">
        <v>0</v>
      </c>
      <c r="U1027" s="493">
        <v>0</v>
      </c>
      <c r="V1027" s="493">
        <v>0</v>
      </c>
      <c r="W1027" s="493">
        <v>0</v>
      </c>
      <c r="X1027" s="493">
        <v>0</v>
      </c>
      <c r="Y1027" s="493">
        <v>0</v>
      </c>
      <c r="Z1027" s="493">
        <v>0</v>
      </c>
      <c r="AA1027" s="493">
        <v>0</v>
      </c>
      <c r="AB1027" s="493">
        <v>0</v>
      </c>
      <c r="AC1027" s="493">
        <v>0</v>
      </c>
      <c r="AD1027" s="493">
        <v>0</v>
      </c>
      <c r="AE1027" s="493">
        <v>0</v>
      </c>
      <c r="AF1027" s="493">
        <v>0</v>
      </c>
      <c r="AG1027" s="493">
        <v>0</v>
      </c>
      <c r="AH1027" s="493">
        <v>0</v>
      </c>
      <c r="AI1027" s="493">
        <v>0</v>
      </c>
    </row>
    <row r="1028" spans="2:35" outlineLevel="1">
      <c r="B1028" t="str">
        <f t="shared" si="83"/>
        <v>Carbon storage - Energy cost - Americas - USD/ton fuel</v>
      </c>
      <c r="C1028" t="s">
        <v>1399</v>
      </c>
      <c r="D1028" t="s">
        <v>1368</v>
      </c>
      <c r="E1028" t="s">
        <v>731</v>
      </c>
      <c r="F1028" t="s">
        <v>1353</v>
      </c>
      <c r="G1028" s="487" t="str">
        <f t="shared" si="84"/>
        <v>Carbon storageAmericasEnergy cost</v>
      </c>
      <c r="H1028" s="493">
        <v>0</v>
      </c>
      <c r="I1028" s="493">
        <v>0</v>
      </c>
      <c r="J1028" s="493">
        <v>0</v>
      </c>
      <c r="K1028" s="493">
        <v>0</v>
      </c>
      <c r="L1028" s="493">
        <v>0</v>
      </c>
      <c r="M1028" s="493">
        <v>0</v>
      </c>
      <c r="N1028" s="493">
        <v>0</v>
      </c>
      <c r="O1028" s="493">
        <v>0</v>
      </c>
      <c r="P1028" s="493">
        <v>0</v>
      </c>
      <c r="Q1028" s="493">
        <v>0</v>
      </c>
      <c r="R1028" s="493">
        <v>0</v>
      </c>
      <c r="S1028" s="493">
        <v>0</v>
      </c>
      <c r="T1028" s="493">
        <v>0</v>
      </c>
      <c r="U1028" s="493">
        <v>0</v>
      </c>
      <c r="V1028" s="493">
        <v>0</v>
      </c>
      <c r="W1028" s="493">
        <v>0</v>
      </c>
      <c r="X1028" s="493">
        <v>0</v>
      </c>
      <c r="Y1028" s="493">
        <v>0</v>
      </c>
      <c r="Z1028" s="493">
        <v>0</v>
      </c>
      <c r="AA1028" s="493">
        <v>0</v>
      </c>
      <c r="AB1028" s="493">
        <v>0</v>
      </c>
      <c r="AC1028" s="493">
        <v>0</v>
      </c>
      <c r="AD1028" s="493">
        <v>0</v>
      </c>
      <c r="AE1028" s="493">
        <v>0</v>
      </c>
      <c r="AF1028" s="493">
        <v>0</v>
      </c>
      <c r="AG1028" s="493">
        <v>0</v>
      </c>
      <c r="AH1028" s="493">
        <v>0</v>
      </c>
      <c r="AI1028" s="493">
        <v>0</v>
      </c>
    </row>
    <row r="1029" spans="2:35" outlineLevel="1">
      <c r="B1029" t="str">
        <f t="shared" si="83"/>
        <v>Carbon storage - Energy cost - Asia - USD/ton fuel</v>
      </c>
      <c r="C1029" t="s">
        <v>1399</v>
      </c>
      <c r="D1029" t="s">
        <v>1368</v>
      </c>
      <c r="E1029" t="s">
        <v>750</v>
      </c>
      <c r="F1029" t="s">
        <v>1353</v>
      </c>
      <c r="G1029" s="487" t="str">
        <f t="shared" si="84"/>
        <v>Carbon storageAsiaEnergy cost</v>
      </c>
      <c r="H1029" s="493">
        <v>0</v>
      </c>
      <c r="I1029" s="493">
        <v>0</v>
      </c>
      <c r="J1029" s="493">
        <v>0</v>
      </c>
      <c r="K1029" s="493">
        <v>0</v>
      </c>
      <c r="L1029" s="493">
        <v>0</v>
      </c>
      <c r="M1029" s="493">
        <v>0</v>
      </c>
      <c r="N1029" s="493">
        <v>0</v>
      </c>
      <c r="O1029" s="493">
        <v>0</v>
      </c>
      <c r="P1029" s="493">
        <v>0</v>
      </c>
      <c r="Q1029" s="493">
        <v>0</v>
      </c>
      <c r="R1029" s="493">
        <v>0</v>
      </c>
      <c r="S1029" s="493">
        <v>0</v>
      </c>
      <c r="T1029" s="493">
        <v>0</v>
      </c>
      <c r="U1029" s="493">
        <v>0</v>
      </c>
      <c r="V1029" s="493">
        <v>0</v>
      </c>
      <c r="W1029" s="493">
        <v>0</v>
      </c>
      <c r="X1029" s="493">
        <v>0</v>
      </c>
      <c r="Y1029" s="493">
        <v>0</v>
      </c>
      <c r="Z1029" s="493">
        <v>0</v>
      </c>
      <c r="AA1029" s="493">
        <v>0</v>
      </c>
      <c r="AB1029" s="493">
        <v>0</v>
      </c>
      <c r="AC1029" s="493">
        <v>0</v>
      </c>
      <c r="AD1029" s="493">
        <v>0</v>
      </c>
      <c r="AE1029" s="493">
        <v>0</v>
      </c>
      <c r="AF1029" s="493">
        <v>0</v>
      </c>
      <c r="AG1029" s="493">
        <v>0</v>
      </c>
      <c r="AH1029" s="493">
        <v>0</v>
      </c>
      <c r="AI1029" s="493">
        <v>0</v>
      </c>
    </row>
    <row r="1030" spans="2:35" outlineLevel="1">
      <c r="B1030" t="str">
        <f t="shared" si="83"/>
        <v>Carbon storage - Energy cost - Europe - USD/ton fuel</v>
      </c>
      <c r="C1030" t="s">
        <v>1399</v>
      </c>
      <c r="D1030" t="s">
        <v>1368</v>
      </c>
      <c r="E1030" t="s">
        <v>720</v>
      </c>
      <c r="F1030" t="s">
        <v>1353</v>
      </c>
      <c r="G1030" s="487" t="str">
        <f t="shared" si="84"/>
        <v>Carbon storageEuropeEnergy cost</v>
      </c>
      <c r="H1030" s="493">
        <v>0</v>
      </c>
      <c r="I1030" s="493">
        <v>0</v>
      </c>
      <c r="J1030" s="493">
        <v>0</v>
      </c>
      <c r="K1030" s="493">
        <v>0</v>
      </c>
      <c r="L1030" s="493">
        <v>0</v>
      </c>
      <c r="M1030" s="493">
        <v>0</v>
      </c>
      <c r="N1030" s="493">
        <v>0</v>
      </c>
      <c r="O1030" s="493">
        <v>0</v>
      </c>
      <c r="P1030" s="493">
        <v>0</v>
      </c>
      <c r="Q1030" s="493">
        <v>0</v>
      </c>
      <c r="R1030" s="493">
        <v>0</v>
      </c>
      <c r="S1030" s="493">
        <v>0</v>
      </c>
      <c r="T1030" s="493">
        <v>0</v>
      </c>
      <c r="U1030" s="493">
        <v>0</v>
      </c>
      <c r="V1030" s="493">
        <v>0</v>
      </c>
      <c r="W1030" s="493">
        <v>0</v>
      </c>
      <c r="X1030" s="493">
        <v>0</v>
      </c>
      <c r="Y1030" s="493">
        <v>0</v>
      </c>
      <c r="Z1030" s="493">
        <v>0</v>
      </c>
      <c r="AA1030" s="493">
        <v>0</v>
      </c>
      <c r="AB1030" s="493">
        <v>0</v>
      </c>
      <c r="AC1030" s="493">
        <v>0</v>
      </c>
      <c r="AD1030" s="493">
        <v>0</v>
      </c>
      <c r="AE1030" s="493">
        <v>0</v>
      </c>
      <c r="AF1030" s="493">
        <v>0</v>
      </c>
      <c r="AG1030" s="493">
        <v>0</v>
      </c>
      <c r="AH1030" s="493">
        <v>0</v>
      </c>
      <c r="AI1030" s="493">
        <v>0</v>
      </c>
    </row>
    <row r="1031" spans="2:35" outlineLevel="1">
      <c r="B1031" t="str">
        <f t="shared" si="83"/>
        <v>Carbon storage - Energy cost - Middle East - USD/ton fuel</v>
      </c>
      <c r="C1031" t="s">
        <v>1399</v>
      </c>
      <c r="D1031" t="s">
        <v>1368</v>
      </c>
      <c r="E1031" t="s">
        <v>826</v>
      </c>
      <c r="F1031" t="s">
        <v>1353</v>
      </c>
      <c r="G1031" s="487" t="str">
        <f t="shared" si="84"/>
        <v>Carbon storageMiddle EastEnergy cost</v>
      </c>
      <c r="H1031" s="493">
        <v>0</v>
      </c>
      <c r="I1031" s="493">
        <v>0</v>
      </c>
      <c r="J1031" s="493">
        <v>0</v>
      </c>
      <c r="K1031" s="493">
        <v>0</v>
      </c>
      <c r="L1031" s="493">
        <v>0</v>
      </c>
      <c r="M1031" s="493">
        <v>0</v>
      </c>
      <c r="N1031" s="493">
        <v>0</v>
      </c>
      <c r="O1031" s="493">
        <v>0</v>
      </c>
      <c r="P1031" s="493">
        <v>0</v>
      </c>
      <c r="Q1031" s="493">
        <v>0</v>
      </c>
      <c r="R1031" s="493">
        <v>0</v>
      </c>
      <c r="S1031" s="493">
        <v>0</v>
      </c>
      <c r="T1031" s="493">
        <v>0</v>
      </c>
      <c r="U1031" s="493">
        <v>0</v>
      </c>
      <c r="V1031" s="493">
        <v>0</v>
      </c>
      <c r="W1031" s="493">
        <v>0</v>
      </c>
      <c r="X1031" s="493">
        <v>0</v>
      </c>
      <c r="Y1031" s="493">
        <v>0</v>
      </c>
      <c r="Z1031" s="493">
        <v>0</v>
      </c>
      <c r="AA1031" s="493">
        <v>0</v>
      </c>
      <c r="AB1031" s="493">
        <v>0</v>
      </c>
      <c r="AC1031" s="493">
        <v>0</v>
      </c>
      <c r="AD1031" s="493">
        <v>0</v>
      </c>
      <c r="AE1031" s="493">
        <v>0</v>
      </c>
      <c r="AF1031" s="493">
        <v>0</v>
      </c>
      <c r="AG1031" s="493">
        <v>0</v>
      </c>
      <c r="AH1031" s="493">
        <v>0</v>
      </c>
      <c r="AI1031" s="493">
        <v>0</v>
      </c>
    </row>
    <row r="1032" spans="2:35" outlineLevel="1">
      <c r="B1032" t="str">
        <f>_xlfn.TEXTJOIN(" - ",TRUE,C1032:F1032)</f>
        <v>Blue ammonia (CCS) - Conversion N2 -&gt; NH3 - Global - ton N2/ton NH3</v>
      </c>
      <c r="C1032" t="str">
        <f>C1014</f>
        <v>Blue ammonia (CCS)</v>
      </c>
      <c r="D1032" t="s">
        <v>1377</v>
      </c>
      <c r="E1032" t="s">
        <v>708</v>
      </c>
      <c r="F1032" t="s">
        <v>1378</v>
      </c>
      <c r="G1032" s="487" t="str">
        <f t="shared" ref="G1032:G1095" si="85">+C1032&amp;E1032&amp;D1032</f>
        <v>Blue ammonia (CCS)GlobalConversion N2 -&gt; NH3</v>
      </c>
      <c r="H1032" s="508">
        <v>0.82199999999999995</v>
      </c>
      <c r="I1032" s="508">
        <v>0.82199999999999995</v>
      </c>
      <c r="J1032" s="508">
        <v>0.82199999999999995</v>
      </c>
      <c r="K1032" s="508">
        <v>0.82199999999999995</v>
      </c>
      <c r="L1032" s="508">
        <v>0.82199999999999995</v>
      </c>
      <c r="M1032" s="508">
        <v>0.82199999999999995</v>
      </c>
      <c r="N1032" s="508">
        <v>0.82199999999999995</v>
      </c>
      <c r="O1032" s="508">
        <v>0.82199999999999995</v>
      </c>
      <c r="P1032" s="508">
        <v>0.82199999999999995</v>
      </c>
      <c r="Q1032" s="508">
        <v>0.82199999999999995</v>
      </c>
      <c r="R1032" s="508">
        <v>0.82199999999999995</v>
      </c>
      <c r="S1032" s="508">
        <v>0.82199999999999995</v>
      </c>
      <c r="T1032" s="508">
        <v>0.82199999999999995</v>
      </c>
      <c r="U1032" s="508">
        <v>0.82199999999999995</v>
      </c>
      <c r="V1032" s="508">
        <v>0.82199999999999995</v>
      </c>
      <c r="W1032" s="508">
        <v>0.82199999999999995</v>
      </c>
      <c r="X1032" s="508">
        <v>0.82199999999999995</v>
      </c>
      <c r="Y1032" s="508">
        <v>0.82199999999999995</v>
      </c>
      <c r="Z1032" s="508">
        <v>0.82199999999999995</v>
      </c>
      <c r="AA1032" s="508">
        <v>0.82199999999999995</v>
      </c>
      <c r="AB1032" s="508">
        <v>0.82199999999999995</v>
      </c>
      <c r="AC1032" s="508">
        <v>0.82199999999999995</v>
      </c>
      <c r="AD1032" s="508">
        <v>0.82199999999999995</v>
      </c>
      <c r="AE1032" s="508">
        <v>0.82199999999999995</v>
      </c>
      <c r="AF1032" s="508">
        <v>0.82199999999999995</v>
      </c>
      <c r="AG1032" s="508">
        <v>0.82199999999999995</v>
      </c>
      <c r="AH1032" s="508">
        <v>0.82199999999999995</v>
      </c>
      <c r="AI1032" s="508">
        <v>0.82199999999999995</v>
      </c>
    </row>
    <row r="1033" spans="2:35" outlineLevel="1">
      <c r="B1033" t="str">
        <f t="shared" ref="B1033:B1050" si="86">_xlfn.TEXTJOIN(" - ",TRUE,C1033:F1033)</f>
        <v>Carbon capture &amp; storage (CCS) - Conversion NG -&gt; CO2 -&gt; NH3 - Global - ton CO2/ton NH3</v>
      </c>
      <c r="C1033" t="s">
        <v>1400</v>
      </c>
      <c r="D1033" t="s">
        <v>1401</v>
      </c>
      <c r="E1033" t="s">
        <v>708</v>
      </c>
      <c r="F1033" t="s">
        <v>1402</v>
      </c>
      <c r="G1033" s="487" t="str">
        <f t="shared" si="85"/>
        <v>Carbon capture &amp; storage (CCS)GlobalConversion NG -&gt; CO2 -&gt; NH3</v>
      </c>
      <c r="H1033" s="508">
        <v>1.8880000000000001</v>
      </c>
      <c r="I1033" s="508">
        <v>1.8880000000000001</v>
      </c>
      <c r="J1033" s="508">
        <v>1.8880000000000001</v>
      </c>
      <c r="K1033" s="508">
        <v>1.8880000000000001</v>
      </c>
      <c r="L1033" s="508">
        <v>1.8880000000000001</v>
      </c>
      <c r="M1033" s="508">
        <v>1.8880000000000001</v>
      </c>
      <c r="N1033" s="508">
        <v>1.8880000000000001</v>
      </c>
      <c r="O1033" s="508">
        <v>1.8880000000000001</v>
      </c>
      <c r="P1033" s="508">
        <v>1.8880000000000001</v>
      </c>
      <c r="Q1033" s="508">
        <v>1.8880000000000001</v>
      </c>
      <c r="R1033" s="508">
        <v>1.8880000000000001</v>
      </c>
      <c r="S1033" s="508">
        <v>1.8880000000000001</v>
      </c>
      <c r="T1033" s="508">
        <v>1.8880000000000001</v>
      </c>
      <c r="U1033" s="508">
        <v>1.8880000000000001</v>
      </c>
      <c r="V1033" s="508">
        <v>1.8880000000000001</v>
      </c>
      <c r="W1033" s="508">
        <v>1.8880000000000001</v>
      </c>
      <c r="X1033" s="508">
        <v>1.8880000000000001</v>
      </c>
      <c r="Y1033" s="508">
        <v>1.8880000000000001</v>
      </c>
      <c r="Z1033" s="508">
        <v>1.8880000000000001</v>
      </c>
      <c r="AA1033" s="508">
        <v>1.8880000000000001</v>
      </c>
      <c r="AB1033" s="508">
        <v>1.8880000000000001</v>
      </c>
      <c r="AC1033" s="508">
        <v>1.8880000000000001</v>
      </c>
      <c r="AD1033" s="508">
        <v>1.8880000000000001</v>
      </c>
      <c r="AE1033" s="508">
        <v>1.8880000000000001</v>
      </c>
      <c r="AF1033" s="508">
        <v>1.8880000000000001</v>
      </c>
      <c r="AG1033" s="508">
        <v>1.8880000000000001</v>
      </c>
      <c r="AH1033" s="508">
        <v>1.8880000000000001</v>
      </c>
      <c r="AI1033" s="508">
        <v>1.8880000000000001</v>
      </c>
    </row>
    <row r="1034" spans="2:35" outlineLevel="1">
      <c r="B1034" t="str">
        <f t="shared" si="86"/>
        <v>Carbon storage - Carbon to store - Global - ton CO2/ton NH3</v>
      </c>
      <c r="C1034" t="s">
        <v>1399</v>
      </c>
      <c r="D1034" t="s">
        <v>1403</v>
      </c>
      <c r="E1034" t="s">
        <v>708</v>
      </c>
      <c r="F1034" t="s">
        <v>1402</v>
      </c>
      <c r="G1034" s="487" t="str">
        <f t="shared" si="85"/>
        <v>Carbon storageGlobalCarbon to store</v>
      </c>
      <c r="H1034" s="508">
        <v>1.6916480000000007</v>
      </c>
      <c r="I1034" s="508">
        <v>1.6954240000000003</v>
      </c>
      <c r="J1034" s="508">
        <v>1.6992000000000007</v>
      </c>
      <c r="K1034" s="508">
        <v>1.7029760000000003</v>
      </c>
      <c r="L1034" s="508">
        <v>1.7067520000000016</v>
      </c>
      <c r="M1034" s="508">
        <v>1.7105280000000012</v>
      </c>
      <c r="N1034" s="508">
        <v>1.7143040000000007</v>
      </c>
      <c r="O1034" s="508">
        <v>1.718080000000002</v>
      </c>
      <c r="P1034" s="508">
        <v>1.7218560000000001</v>
      </c>
      <c r="Q1034" s="508">
        <v>1.7256319999999996</v>
      </c>
      <c r="R1034" s="508">
        <v>1.7294079999999992</v>
      </c>
      <c r="S1034" s="508">
        <v>1.7331839999999987</v>
      </c>
      <c r="T1034" s="508">
        <v>1.7369600000000001</v>
      </c>
      <c r="U1034" s="508">
        <v>1.7407359999999996</v>
      </c>
      <c r="V1034" s="508">
        <v>1.7445120000000007</v>
      </c>
      <c r="W1034" s="508">
        <v>1.7482880000000005</v>
      </c>
      <c r="X1034" s="508">
        <v>1.7520640000000001</v>
      </c>
      <c r="Y1034" s="508">
        <v>1.7558400000000005</v>
      </c>
      <c r="Z1034" s="508">
        <v>1.7596160000000001</v>
      </c>
      <c r="AA1034" s="508">
        <v>1.7633919999999996</v>
      </c>
      <c r="AB1034" s="508">
        <v>1.7671680000000007</v>
      </c>
      <c r="AC1034" s="508">
        <v>1.7709440000000005</v>
      </c>
      <c r="AD1034" s="508">
        <v>1.7747200000000001</v>
      </c>
      <c r="AE1034" s="508">
        <v>1.7784960000000012</v>
      </c>
      <c r="AF1034" s="508">
        <v>1.782272000000001</v>
      </c>
      <c r="AG1034" s="508">
        <v>1.7860480000000005</v>
      </c>
      <c r="AH1034" s="508">
        <v>1.7898240000000001</v>
      </c>
      <c r="AI1034" s="508">
        <v>1.7935999999999996</v>
      </c>
    </row>
    <row r="1035" spans="2:35" outlineLevel="1">
      <c r="B1035" t="str">
        <f t="shared" si="86"/>
        <v/>
      </c>
      <c r="G1035" s="487" t="str">
        <f t="shared" si="85"/>
        <v/>
      </c>
    </row>
    <row r="1036" spans="2:35" ht="15" outlineLevel="1">
      <c r="B1036" t="str">
        <f t="shared" si="86"/>
        <v>Blue ammonia (CCS) - Feedstock cost including feedstock feedstock cost - Africa - USD/ton fuel</v>
      </c>
      <c r="C1036" s="494" t="str">
        <f>C953</f>
        <v>Blue ammonia (CCS)</v>
      </c>
      <c r="D1036" s="494" t="s">
        <v>1369</v>
      </c>
      <c r="E1036" s="494" t="s">
        <v>838</v>
      </c>
      <c r="F1036" s="494" t="s">
        <v>1353</v>
      </c>
      <c r="G1036" s="487" t="str">
        <f t="shared" si="85"/>
        <v>Blue ammonia (CCS)AfricaFeedstock cost including feedstock feedstock cost</v>
      </c>
      <c r="H1036" s="495">
        <v>627.20000000000005</v>
      </c>
      <c r="I1036" s="495">
        <v>509.6</v>
      </c>
      <c r="J1036" s="495">
        <v>392.00000000000006</v>
      </c>
      <c r="K1036" s="495">
        <v>366.8</v>
      </c>
      <c r="L1036" s="495">
        <v>341.6</v>
      </c>
      <c r="M1036" s="495">
        <v>316.40000000000003</v>
      </c>
      <c r="N1036" s="495">
        <v>291.20000000000005</v>
      </c>
      <c r="O1036" s="495">
        <v>266</v>
      </c>
      <c r="P1036" s="495">
        <v>266</v>
      </c>
      <c r="Q1036" s="495">
        <v>266</v>
      </c>
      <c r="R1036" s="495">
        <v>266</v>
      </c>
      <c r="S1036" s="495">
        <v>266</v>
      </c>
      <c r="T1036" s="495">
        <v>266</v>
      </c>
      <c r="U1036" s="495">
        <v>266</v>
      </c>
      <c r="V1036" s="495">
        <v>266</v>
      </c>
      <c r="W1036" s="495">
        <v>266</v>
      </c>
      <c r="X1036" s="495">
        <v>266</v>
      </c>
      <c r="Y1036" s="495">
        <v>266</v>
      </c>
      <c r="Z1036" s="495">
        <v>266</v>
      </c>
      <c r="AA1036" s="495">
        <v>266</v>
      </c>
      <c r="AB1036" s="495">
        <v>266</v>
      </c>
      <c r="AC1036" s="495">
        <v>266</v>
      </c>
      <c r="AD1036" s="495">
        <v>266</v>
      </c>
      <c r="AE1036" s="495">
        <v>266</v>
      </c>
      <c r="AF1036" s="495">
        <v>266</v>
      </c>
      <c r="AG1036" s="495">
        <v>266</v>
      </c>
      <c r="AH1036" s="495">
        <v>266</v>
      </c>
      <c r="AI1036" s="495">
        <v>266</v>
      </c>
    </row>
    <row r="1037" spans="2:35" ht="15" outlineLevel="1">
      <c r="B1037" t="str">
        <f t="shared" si="86"/>
        <v>Blue ammonia (CCS) - Feedstock cost including feedstock feedstock cost - Americas - USD/ton fuel</v>
      </c>
      <c r="C1037" s="22" t="str">
        <f>C953</f>
        <v>Blue ammonia (CCS)</v>
      </c>
      <c r="D1037" s="22" t="s">
        <v>1369</v>
      </c>
      <c r="E1037" s="22" t="s">
        <v>731</v>
      </c>
      <c r="F1037" s="22" t="s">
        <v>1353</v>
      </c>
      <c r="G1037" s="487" t="str">
        <f t="shared" si="85"/>
        <v>Blue ammonia (CCS)AmericasFeedstock cost including feedstock feedstock cost</v>
      </c>
      <c r="H1037" s="496">
        <v>155.68</v>
      </c>
      <c r="I1037" s="496">
        <v>142.24</v>
      </c>
      <c r="J1037" s="496">
        <v>128.80000000000001</v>
      </c>
      <c r="K1037" s="496">
        <v>127.68</v>
      </c>
      <c r="L1037" s="496">
        <v>126.56000000000002</v>
      </c>
      <c r="M1037" s="496">
        <v>125.44000000000001</v>
      </c>
      <c r="N1037" s="496">
        <v>124.32000000000001</v>
      </c>
      <c r="O1037" s="496">
        <v>123.20000000000002</v>
      </c>
      <c r="P1037" s="496">
        <v>126.56000000000002</v>
      </c>
      <c r="Q1037" s="496">
        <v>129.92000000000002</v>
      </c>
      <c r="R1037" s="496">
        <v>133.28</v>
      </c>
      <c r="S1037" s="496">
        <v>136.64000000000001</v>
      </c>
      <c r="T1037" s="496">
        <v>140</v>
      </c>
      <c r="U1037" s="496">
        <v>140</v>
      </c>
      <c r="V1037" s="496">
        <v>140</v>
      </c>
      <c r="W1037" s="496">
        <v>140</v>
      </c>
      <c r="X1037" s="496">
        <v>140</v>
      </c>
      <c r="Y1037" s="496">
        <v>140</v>
      </c>
      <c r="Z1037" s="496">
        <v>140</v>
      </c>
      <c r="AA1037" s="496">
        <v>140</v>
      </c>
      <c r="AB1037" s="496">
        <v>140</v>
      </c>
      <c r="AC1037" s="496">
        <v>140</v>
      </c>
      <c r="AD1037" s="496">
        <v>140</v>
      </c>
      <c r="AE1037" s="496">
        <v>140</v>
      </c>
      <c r="AF1037" s="496">
        <v>140</v>
      </c>
      <c r="AG1037" s="496">
        <v>140</v>
      </c>
      <c r="AH1037" s="496">
        <v>140</v>
      </c>
      <c r="AI1037" s="496">
        <v>140</v>
      </c>
    </row>
    <row r="1038" spans="2:35" ht="15" outlineLevel="1">
      <c r="B1038" t="str">
        <f>_xlfn.TEXTJOIN(" - ",TRUE,C1038:F1038)</f>
        <v>Blue ammonia (CCS) - Feedstock cost including feedstock feedstock cost - Asia - USD/ton fuel</v>
      </c>
      <c r="C1038" s="22" t="str">
        <f>C953</f>
        <v>Blue ammonia (CCS)</v>
      </c>
      <c r="D1038" s="22" t="s">
        <v>1369</v>
      </c>
      <c r="E1038" s="22" t="s">
        <v>750</v>
      </c>
      <c r="F1038" s="22" t="s">
        <v>1353</v>
      </c>
      <c r="G1038" s="487" t="str">
        <f t="shared" si="85"/>
        <v>Blue ammonia (CCS)AsiaFeedstock cost including feedstock feedstock cost</v>
      </c>
      <c r="H1038" s="496">
        <v>602.00000000000011</v>
      </c>
      <c r="I1038" s="496">
        <v>504.00000000000006</v>
      </c>
      <c r="J1038" s="496">
        <v>406.00000000000006</v>
      </c>
      <c r="K1038" s="496">
        <v>364.00000000000006</v>
      </c>
      <c r="L1038" s="496">
        <v>322.00000000000006</v>
      </c>
      <c r="M1038" s="496">
        <v>280</v>
      </c>
      <c r="N1038" s="496">
        <v>238.00000000000003</v>
      </c>
      <c r="O1038" s="496">
        <v>196.00000000000003</v>
      </c>
      <c r="P1038" s="496">
        <v>196.00000000000003</v>
      </c>
      <c r="Q1038" s="496">
        <v>196.00000000000003</v>
      </c>
      <c r="R1038" s="496">
        <v>196.00000000000003</v>
      </c>
      <c r="S1038" s="496">
        <v>196.00000000000003</v>
      </c>
      <c r="T1038" s="496">
        <v>196.00000000000003</v>
      </c>
      <c r="U1038" s="496">
        <v>196.00000000000003</v>
      </c>
      <c r="V1038" s="496">
        <v>196.00000000000003</v>
      </c>
      <c r="W1038" s="496">
        <v>196.00000000000003</v>
      </c>
      <c r="X1038" s="496">
        <v>196.00000000000003</v>
      </c>
      <c r="Y1038" s="496">
        <v>196.00000000000003</v>
      </c>
      <c r="Z1038" s="496">
        <v>196.00000000000003</v>
      </c>
      <c r="AA1038" s="496">
        <v>196.00000000000003</v>
      </c>
      <c r="AB1038" s="496">
        <v>196.00000000000003</v>
      </c>
      <c r="AC1038" s="496">
        <v>196.00000000000003</v>
      </c>
      <c r="AD1038" s="496">
        <v>196.00000000000003</v>
      </c>
      <c r="AE1038" s="496">
        <v>196.00000000000003</v>
      </c>
      <c r="AF1038" s="496">
        <v>196.00000000000003</v>
      </c>
      <c r="AG1038" s="496">
        <v>196.00000000000003</v>
      </c>
      <c r="AH1038" s="496">
        <v>196.00000000000003</v>
      </c>
      <c r="AI1038" s="496">
        <v>196.00000000000003</v>
      </c>
    </row>
    <row r="1039" spans="2:35" ht="15" outlineLevel="1">
      <c r="B1039" t="str">
        <f t="shared" si="86"/>
        <v>Blue ammonia (CCS) - Feedstock cost including feedstock feedstock cost - Europe - USD/ton fuel</v>
      </c>
      <c r="C1039" s="22" t="str">
        <f>C953</f>
        <v>Blue ammonia (CCS)</v>
      </c>
      <c r="D1039" s="22" t="s">
        <v>1369</v>
      </c>
      <c r="E1039" s="22" t="s">
        <v>720</v>
      </c>
      <c r="F1039" s="22" t="s">
        <v>1353</v>
      </c>
      <c r="G1039" s="487" t="str">
        <f t="shared" si="85"/>
        <v>Blue ammonia (CCS)EuropeFeedstock cost including feedstock feedstock cost</v>
      </c>
      <c r="H1039" s="496">
        <v>627.20000000000005</v>
      </c>
      <c r="I1039" s="496">
        <v>509.6</v>
      </c>
      <c r="J1039" s="496">
        <v>392.00000000000006</v>
      </c>
      <c r="K1039" s="496">
        <v>366.8</v>
      </c>
      <c r="L1039" s="496">
        <v>341.6</v>
      </c>
      <c r="M1039" s="496">
        <v>316.40000000000003</v>
      </c>
      <c r="N1039" s="496">
        <v>291.20000000000005</v>
      </c>
      <c r="O1039" s="496">
        <v>266</v>
      </c>
      <c r="P1039" s="496">
        <v>266</v>
      </c>
      <c r="Q1039" s="496">
        <v>266</v>
      </c>
      <c r="R1039" s="496">
        <v>266</v>
      </c>
      <c r="S1039" s="496">
        <v>266</v>
      </c>
      <c r="T1039" s="496">
        <v>266</v>
      </c>
      <c r="U1039" s="496">
        <v>266</v>
      </c>
      <c r="V1039" s="496">
        <v>266</v>
      </c>
      <c r="W1039" s="496">
        <v>266</v>
      </c>
      <c r="X1039" s="496">
        <v>266</v>
      </c>
      <c r="Y1039" s="496">
        <v>266</v>
      </c>
      <c r="Z1039" s="496">
        <v>266</v>
      </c>
      <c r="AA1039" s="496">
        <v>266</v>
      </c>
      <c r="AB1039" s="496">
        <v>266</v>
      </c>
      <c r="AC1039" s="496">
        <v>266</v>
      </c>
      <c r="AD1039" s="496">
        <v>266</v>
      </c>
      <c r="AE1039" s="496">
        <v>266</v>
      </c>
      <c r="AF1039" s="496">
        <v>266</v>
      </c>
      <c r="AG1039" s="496">
        <v>266</v>
      </c>
      <c r="AH1039" s="496">
        <v>266</v>
      </c>
      <c r="AI1039" s="496">
        <v>266</v>
      </c>
    </row>
    <row r="1040" spans="2:35" ht="15" outlineLevel="1">
      <c r="B1040" t="str">
        <f>_xlfn.TEXTJOIN(" - ",TRUE,C1040:F1040)</f>
        <v>Blue ammonia (CCS) - Feedstock cost including feedstock feedstock cost - Middle East - USD/ton fuel</v>
      </c>
      <c r="C1040" s="92" t="str">
        <f>C953</f>
        <v>Blue ammonia (CCS)</v>
      </c>
      <c r="D1040" s="92" t="s">
        <v>1369</v>
      </c>
      <c r="E1040" s="92" t="s">
        <v>826</v>
      </c>
      <c r="F1040" s="92" t="s">
        <v>1353</v>
      </c>
      <c r="G1040" s="487" t="str">
        <f t="shared" si="85"/>
        <v>Blue ammonia (CCS)Middle EastFeedstock cost including feedstock feedstock cost</v>
      </c>
      <c r="H1040" s="497">
        <v>490.00000000000006</v>
      </c>
      <c r="I1040" s="497">
        <v>392.00000000000006</v>
      </c>
      <c r="J1040" s="497">
        <v>294</v>
      </c>
      <c r="K1040" s="497">
        <v>251.44000000000003</v>
      </c>
      <c r="L1040" s="497">
        <v>208.88000000000002</v>
      </c>
      <c r="M1040" s="497">
        <v>166.32000000000002</v>
      </c>
      <c r="N1040" s="497">
        <v>123.76</v>
      </c>
      <c r="O1040" s="497">
        <v>81.2</v>
      </c>
      <c r="P1040" s="497">
        <v>81.2</v>
      </c>
      <c r="Q1040" s="497">
        <v>81.2</v>
      </c>
      <c r="R1040" s="497">
        <v>81.2</v>
      </c>
      <c r="S1040" s="497">
        <v>81.2</v>
      </c>
      <c r="T1040" s="497">
        <v>81.2</v>
      </c>
      <c r="U1040" s="497">
        <v>81.2</v>
      </c>
      <c r="V1040" s="497">
        <v>81.2</v>
      </c>
      <c r="W1040" s="497">
        <v>81.2</v>
      </c>
      <c r="X1040" s="497">
        <v>81.2</v>
      </c>
      <c r="Y1040" s="497">
        <v>81.2</v>
      </c>
      <c r="Z1040" s="497">
        <v>81.2</v>
      </c>
      <c r="AA1040" s="497">
        <v>81.2</v>
      </c>
      <c r="AB1040" s="497">
        <v>81.2</v>
      </c>
      <c r="AC1040" s="497">
        <v>81.2</v>
      </c>
      <c r="AD1040" s="497">
        <v>81.2</v>
      </c>
      <c r="AE1040" s="497">
        <v>81.2</v>
      </c>
      <c r="AF1040" s="497">
        <v>81.2</v>
      </c>
      <c r="AG1040" s="497">
        <v>81.2</v>
      </c>
      <c r="AH1040" s="497">
        <v>81.2</v>
      </c>
      <c r="AI1040" s="497">
        <v>81.2</v>
      </c>
    </row>
    <row r="1041" spans="2:35" outlineLevel="1">
      <c r="B1041" t="str">
        <f t="shared" si="86"/>
        <v>Natural gas - Price - Africa - USD/ton</v>
      </c>
      <c r="C1041" t="s">
        <v>1404</v>
      </c>
      <c r="D1041" t="s">
        <v>1405</v>
      </c>
      <c r="E1041" t="s">
        <v>838</v>
      </c>
      <c r="F1041" t="s">
        <v>589</v>
      </c>
      <c r="G1041" s="487" t="str">
        <f t="shared" si="85"/>
        <v>Natural gasAfricaPrice</v>
      </c>
      <c r="H1041" s="493">
        <v>1120</v>
      </c>
      <c r="I1041" s="493">
        <v>910</v>
      </c>
      <c r="J1041" s="493">
        <v>700</v>
      </c>
      <c r="K1041" s="493">
        <v>655</v>
      </c>
      <c r="L1041" s="493">
        <v>610</v>
      </c>
      <c r="M1041" s="493">
        <v>565</v>
      </c>
      <c r="N1041" s="493">
        <v>520</v>
      </c>
      <c r="O1041" s="493">
        <v>475</v>
      </c>
      <c r="P1041" s="493">
        <v>475</v>
      </c>
      <c r="Q1041" s="493">
        <v>475</v>
      </c>
      <c r="R1041" s="493">
        <v>475</v>
      </c>
      <c r="S1041" s="493">
        <v>475</v>
      </c>
      <c r="T1041" s="493">
        <v>475</v>
      </c>
      <c r="U1041" s="493">
        <v>475</v>
      </c>
      <c r="V1041" s="493">
        <v>475</v>
      </c>
      <c r="W1041" s="493">
        <v>475</v>
      </c>
      <c r="X1041" s="493">
        <v>475</v>
      </c>
      <c r="Y1041" s="493">
        <v>475</v>
      </c>
      <c r="Z1041" s="493">
        <v>475</v>
      </c>
      <c r="AA1041" s="493">
        <v>475</v>
      </c>
      <c r="AB1041" s="493">
        <v>475</v>
      </c>
      <c r="AC1041" s="493">
        <v>475</v>
      </c>
      <c r="AD1041" s="493">
        <v>475</v>
      </c>
      <c r="AE1041" s="493">
        <v>475</v>
      </c>
      <c r="AF1041" s="493">
        <v>475</v>
      </c>
      <c r="AG1041" s="493">
        <v>475</v>
      </c>
      <c r="AH1041" s="493">
        <v>475</v>
      </c>
      <c r="AI1041" s="493">
        <v>475</v>
      </c>
    </row>
    <row r="1042" spans="2:35" outlineLevel="1">
      <c r="B1042" t="str">
        <f t="shared" si="86"/>
        <v>Natural gas - Price - Americas - USD/ton</v>
      </c>
      <c r="C1042" t="s">
        <v>1404</v>
      </c>
      <c r="D1042" t="s">
        <v>1405</v>
      </c>
      <c r="E1042" t="s">
        <v>731</v>
      </c>
      <c r="F1042" t="s">
        <v>589</v>
      </c>
      <c r="G1042" s="487" t="str">
        <f t="shared" si="85"/>
        <v>Natural gasAmericasPrice</v>
      </c>
      <c r="H1042" s="493">
        <v>278</v>
      </c>
      <c r="I1042" s="493">
        <v>254</v>
      </c>
      <c r="J1042" s="493">
        <v>230</v>
      </c>
      <c r="K1042" s="493">
        <v>228</v>
      </c>
      <c r="L1042" s="493">
        <v>226</v>
      </c>
      <c r="M1042" s="493">
        <v>224</v>
      </c>
      <c r="N1042" s="493">
        <v>222</v>
      </c>
      <c r="O1042" s="493">
        <v>220</v>
      </c>
      <c r="P1042" s="493">
        <v>226</v>
      </c>
      <c r="Q1042" s="493">
        <v>232</v>
      </c>
      <c r="R1042" s="493">
        <v>238</v>
      </c>
      <c r="S1042" s="493">
        <v>244</v>
      </c>
      <c r="T1042" s="493">
        <v>250</v>
      </c>
      <c r="U1042" s="493">
        <v>250</v>
      </c>
      <c r="V1042" s="493">
        <v>250</v>
      </c>
      <c r="W1042" s="493">
        <v>250</v>
      </c>
      <c r="X1042" s="493">
        <v>250</v>
      </c>
      <c r="Y1042" s="493">
        <v>250</v>
      </c>
      <c r="Z1042" s="493">
        <v>250</v>
      </c>
      <c r="AA1042" s="493">
        <v>250</v>
      </c>
      <c r="AB1042" s="493">
        <v>250</v>
      </c>
      <c r="AC1042" s="493">
        <v>250</v>
      </c>
      <c r="AD1042" s="493">
        <v>250</v>
      </c>
      <c r="AE1042" s="493">
        <v>250</v>
      </c>
      <c r="AF1042" s="493">
        <v>250</v>
      </c>
      <c r="AG1042" s="493">
        <v>250</v>
      </c>
      <c r="AH1042" s="493">
        <v>250</v>
      </c>
      <c r="AI1042" s="493">
        <v>250</v>
      </c>
    </row>
    <row r="1043" spans="2:35" outlineLevel="1">
      <c r="B1043" t="str">
        <f>_xlfn.TEXTJOIN(" - ",TRUE,C1043:F1043)</f>
        <v>Natural gas - Price - Asia - USD/ton</v>
      </c>
      <c r="C1043" t="s">
        <v>1404</v>
      </c>
      <c r="D1043" t="s">
        <v>1405</v>
      </c>
      <c r="E1043" t="s">
        <v>750</v>
      </c>
      <c r="F1043" t="s">
        <v>589</v>
      </c>
      <c r="G1043" s="487" t="str">
        <f t="shared" si="85"/>
        <v>Natural gasAsiaPrice</v>
      </c>
      <c r="H1043" s="493">
        <v>1075</v>
      </c>
      <c r="I1043" s="493">
        <v>900</v>
      </c>
      <c r="J1043" s="493">
        <v>725</v>
      </c>
      <c r="K1043" s="493">
        <v>650</v>
      </c>
      <c r="L1043" s="493">
        <v>575</v>
      </c>
      <c r="M1043" s="493">
        <v>500</v>
      </c>
      <c r="N1043" s="493">
        <v>425</v>
      </c>
      <c r="O1043" s="493">
        <v>350</v>
      </c>
      <c r="P1043" s="493">
        <v>350</v>
      </c>
      <c r="Q1043" s="493">
        <v>350</v>
      </c>
      <c r="R1043" s="493">
        <v>350</v>
      </c>
      <c r="S1043" s="493">
        <v>350</v>
      </c>
      <c r="T1043" s="493">
        <v>350</v>
      </c>
      <c r="U1043" s="493">
        <v>350</v>
      </c>
      <c r="V1043" s="493">
        <v>350</v>
      </c>
      <c r="W1043" s="493">
        <v>350</v>
      </c>
      <c r="X1043" s="493">
        <v>350</v>
      </c>
      <c r="Y1043" s="493">
        <v>350</v>
      </c>
      <c r="Z1043" s="493">
        <v>350</v>
      </c>
      <c r="AA1043" s="493">
        <v>350</v>
      </c>
      <c r="AB1043" s="493">
        <v>350</v>
      </c>
      <c r="AC1043" s="493">
        <v>350</v>
      </c>
      <c r="AD1043" s="493">
        <v>350</v>
      </c>
      <c r="AE1043" s="493">
        <v>350</v>
      </c>
      <c r="AF1043" s="493">
        <v>350</v>
      </c>
      <c r="AG1043" s="493">
        <v>350</v>
      </c>
      <c r="AH1043" s="493">
        <v>350</v>
      </c>
      <c r="AI1043" s="493">
        <v>350</v>
      </c>
    </row>
    <row r="1044" spans="2:35" outlineLevel="1">
      <c r="B1044" t="str">
        <f t="shared" si="86"/>
        <v>Natural gas - Price - Europe - USD/ton</v>
      </c>
      <c r="C1044" t="s">
        <v>1404</v>
      </c>
      <c r="D1044" t="s">
        <v>1405</v>
      </c>
      <c r="E1044" t="s">
        <v>720</v>
      </c>
      <c r="F1044" t="s">
        <v>589</v>
      </c>
      <c r="G1044" s="487" t="str">
        <f t="shared" si="85"/>
        <v>Natural gasEuropePrice</v>
      </c>
      <c r="H1044" s="493">
        <v>1120</v>
      </c>
      <c r="I1044" s="493">
        <v>910</v>
      </c>
      <c r="J1044" s="493">
        <v>700</v>
      </c>
      <c r="K1044" s="493">
        <v>655</v>
      </c>
      <c r="L1044" s="493">
        <v>610</v>
      </c>
      <c r="M1044" s="493">
        <v>565</v>
      </c>
      <c r="N1044" s="493">
        <v>520</v>
      </c>
      <c r="O1044" s="493">
        <v>475</v>
      </c>
      <c r="P1044" s="493">
        <v>475</v>
      </c>
      <c r="Q1044" s="493">
        <v>475</v>
      </c>
      <c r="R1044" s="493">
        <v>475</v>
      </c>
      <c r="S1044" s="493">
        <v>475</v>
      </c>
      <c r="T1044" s="493">
        <v>475</v>
      </c>
      <c r="U1044" s="493">
        <v>475</v>
      </c>
      <c r="V1044" s="493">
        <v>475</v>
      </c>
      <c r="W1044" s="493">
        <v>475</v>
      </c>
      <c r="X1044" s="493">
        <v>475</v>
      </c>
      <c r="Y1044" s="493">
        <v>475</v>
      </c>
      <c r="Z1044" s="493">
        <v>475</v>
      </c>
      <c r="AA1044" s="493">
        <v>475</v>
      </c>
      <c r="AB1044" s="493">
        <v>475</v>
      </c>
      <c r="AC1044" s="493">
        <v>475</v>
      </c>
      <c r="AD1044" s="493">
        <v>475</v>
      </c>
      <c r="AE1044" s="493">
        <v>475</v>
      </c>
      <c r="AF1044" s="493">
        <v>475</v>
      </c>
      <c r="AG1044" s="493">
        <v>475</v>
      </c>
      <c r="AH1044" s="493">
        <v>475</v>
      </c>
      <c r="AI1044" s="493">
        <v>475</v>
      </c>
    </row>
    <row r="1045" spans="2:35" outlineLevel="1">
      <c r="B1045" t="str">
        <f>_xlfn.TEXTJOIN(" - ",TRUE,C1045:F1045)</f>
        <v>Natural gas - Price - Middle East - USD/ton</v>
      </c>
      <c r="C1045" t="s">
        <v>1404</v>
      </c>
      <c r="D1045" t="s">
        <v>1405</v>
      </c>
      <c r="E1045" t="s">
        <v>826</v>
      </c>
      <c r="F1045" t="s">
        <v>589</v>
      </c>
      <c r="G1045" s="487" t="str">
        <f t="shared" si="85"/>
        <v>Natural gasMiddle EastPrice</v>
      </c>
      <c r="H1045" s="493">
        <v>875</v>
      </c>
      <c r="I1045" s="493">
        <v>700</v>
      </c>
      <c r="J1045" s="493">
        <v>525</v>
      </c>
      <c r="K1045" s="493">
        <v>449</v>
      </c>
      <c r="L1045" s="493">
        <v>373</v>
      </c>
      <c r="M1045" s="493">
        <v>297</v>
      </c>
      <c r="N1045" s="493">
        <v>221</v>
      </c>
      <c r="O1045" s="493">
        <v>145</v>
      </c>
      <c r="P1045" s="493">
        <v>145</v>
      </c>
      <c r="Q1045" s="493">
        <v>145</v>
      </c>
      <c r="R1045" s="493">
        <v>145</v>
      </c>
      <c r="S1045" s="493">
        <v>145</v>
      </c>
      <c r="T1045" s="493">
        <v>145</v>
      </c>
      <c r="U1045" s="493">
        <v>145</v>
      </c>
      <c r="V1045" s="493">
        <v>145</v>
      </c>
      <c r="W1045" s="493">
        <v>145</v>
      </c>
      <c r="X1045" s="493">
        <v>145</v>
      </c>
      <c r="Y1045" s="493">
        <v>145</v>
      </c>
      <c r="Z1045" s="493">
        <v>145</v>
      </c>
      <c r="AA1045" s="493">
        <v>145</v>
      </c>
      <c r="AB1045" s="493">
        <v>145</v>
      </c>
      <c r="AC1045" s="493">
        <v>145</v>
      </c>
      <c r="AD1045" s="493">
        <v>145</v>
      </c>
      <c r="AE1045" s="493">
        <v>145</v>
      </c>
      <c r="AF1045" s="493">
        <v>145</v>
      </c>
      <c r="AG1045" s="493">
        <v>145</v>
      </c>
      <c r="AH1045" s="493">
        <v>145</v>
      </c>
      <c r="AI1045" s="493">
        <v>145</v>
      </c>
    </row>
    <row r="1046" spans="2:35" outlineLevel="1">
      <c r="B1046" t="str">
        <f>_xlfn.TEXTJOIN(" - ",TRUE,C1046:F1046)</f>
        <v>Nitrogen - Feedstock cost - Global - USD/ton fuel</v>
      </c>
      <c r="C1046" t="s">
        <v>1374</v>
      </c>
      <c r="D1046" t="s">
        <v>1371</v>
      </c>
      <c r="E1046" t="s">
        <v>708</v>
      </c>
      <c r="F1046" t="s">
        <v>1353</v>
      </c>
      <c r="G1046" s="487" t="str">
        <f t="shared" si="85"/>
        <v>NitrogenGlobalFeedstock cost</v>
      </c>
      <c r="H1046" s="511">
        <v>0</v>
      </c>
      <c r="I1046" s="511">
        <v>0</v>
      </c>
      <c r="J1046" s="511">
        <v>0</v>
      </c>
      <c r="K1046" s="511">
        <v>0</v>
      </c>
      <c r="L1046" s="511">
        <v>0</v>
      </c>
      <c r="M1046" s="511">
        <v>0</v>
      </c>
      <c r="N1046" s="511">
        <v>0</v>
      </c>
      <c r="O1046" s="511">
        <v>0</v>
      </c>
      <c r="P1046" s="511">
        <v>0</v>
      </c>
      <c r="Q1046" s="511">
        <v>0</v>
      </c>
      <c r="R1046" s="511">
        <v>0</v>
      </c>
      <c r="S1046" s="511">
        <v>0</v>
      </c>
      <c r="T1046" s="511">
        <v>0</v>
      </c>
      <c r="U1046" s="511">
        <v>0</v>
      </c>
      <c r="V1046" s="511">
        <v>0</v>
      </c>
      <c r="W1046" s="511">
        <v>0</v>
      </c>
      <c r="X1046" s="511">
        <v>0</v>
      </c>
      <c r="Y1046" s="511">
        <v>0</v>
      </c>
      <c r="Z1046" s="511">
        <v>0</v>
      </c>
      <c r="AA1046" s="511">
        <v>0</v>
      </c>
      <c r="AB1046" s="511">
        <v>0</v>
      </c>
      <c r="AC1046" s="511">
        <v>0</v>
      </c>
      <c r="AD1046" s="511">
        <v>0</v>
      </c>
      <c r="AE1046" s="511">
        <v>0</v>
      </c>
      <c r="AF1046" s="511">
        <v>0</v>
      </c>
      <c r="AG1046" s="511">
        <v>0</v>
      </c>
      <c r="AH1046" s="511">
        <v>0</v>
      </c>
      <c r="AI1046" s="511">
        <v>0</v>
      </c>
    </row>
    <row r="1047" spans="2:35" outlineLevel="1">
      <c r="B1047" t="str">
        <f>_xlfn.TEXTJOIN(" - ",TRUE,C1047:F1047)</f>
        <v>Carbon capture - Feedstock cost - Global - USD/ton fuel</v>
      </c>
      <c r="C1047" t="s">
        <v>1398</v>
      </c>
      <c r="D1047" t="s">
        <v>1371</v>
      </c>
      <c r="E1047" t="s">
        <v>708</v>
      </c>
      <c r="F1047" t="s">
        <v>1353</v>
      </c>
      <c r="G1047" s="487" t="str">
        <f t="shared" si="85"/>
        <v>Carbon captureGlobalFeedstock cost</v>
      </c>
      <c r="H1047" s="493">
        <v>0</v>
      </c>
      <c r="I1047" s="493">
        <v>0</v>
      </c>
      <c r="J1047" s="493">
        <v>0</v>
      </c>
      <c r="K1047" s="493">
        <v>0</v>
      </c>
      <c r="L1047" s="493">
        <v>0</v>
      </c>
      <c r="M1047" s="493">
        <v>0</v>
      </c>
      <c r="N1047" s="493">
        <v>0</v>
      </c>
      <c r="O1047" s="493">
        <v>0</v>
      </c>
      <c r="P1047" s="493">
        <v>0</v>
      </c>
      <c r="Q1047" s="493">
        <v>0</v>
      </c>
      <c r="R1047" s="493">
        <v>0</v>
      </c>
      <c r="S1047" s="493">
        <v>0</v>
      </c>
      <c r="T1047" s="493">
        <v>0</v>
      </c>
      <c r="U1047" s="493">
        <v>0</v>
      </c>
      <c r="V1047" s="493">
        <v>0</v>
      </c>
      <c r="W1047" s="493">
        <v>0</v>
      </c>
      <c r="X1047" s="493">
        <v>0</v>
      </c>
      <c r="Y1047" s="493">
        <v>0</v>
      </c>
      <c r="Z1047" s="493">
        <v>0</v>
      </c>
      <c r="AA1047" s="493">
        <v>0</v>
      </c>
      <c r="AB1047" s="493">
        <v>0</v>
      </c>
      <c r="AC1047" s="493">
        <v>0</v>
      </c>
      <c r="AD1047" s="493">
        <v>0</v>
      </c>
      <c r="AE1047" s="493">
        <v>0</v>
      </c>
      <c r="AF1047" s="493">
        <v>0</v>
      </c>
      <c r="AG1047" s="493">
        <v>0</v>
      </c>
      <c r="AH1047" s="493">
        <v>0</v>
      </c>
      <c r="AI1047" s="493">
        <v>0</v>
      </c>
    </row>
    <row r="1048" spans="2:35" outlineLevel="1">
      <c r="B1048" t="str">
        <f>_xlfn.TEXTJOIN(" - ",TRUE,C1048:F1048)</f>
        <v>Carbon storage - Feedstock cost - Global - USD/ton fuel</v>
      </c>
      <c r="C1048" t="s">
        <v>1399</v>
      </c>
      <c r="D1048" t="s">
        <v>1371</v>
      </c>
      <c r="E1048" t="s">
        <v>708</v>
      </c>
      <c r="F1048" t="s">
        <v>1353</v>
      </c>
      <c r="G1048" s="487" t="str">
        <f t="shared" si="85"/>
        <v>Carbon storageGlobalFeedstock cost</v>
      </c>
      <c r="H1048" s="493">
        <v>0</v>
      </c>
      <c r="I1048" s="493">
        <v>0</v>
      </c>
      <c r="J1048" s="493">
        <v>0</v>
      </c>
      <c r="K1048" s="493">
        <v>0</v>
      </c>
      <c r="L1048" s="493">
        <v>0</v>
      </c>
      <c r="M1048" s="493">
        <v>0</v>
      </c>
      <c r="N1048" s="493">
        <v>0</v>
      </c>
      <c r="O1048" s="493">
        <v>0</v>
      </c>
      <c r="P1048" s="493">
        <v>0</v>
      </c>
      <c r="Q1048" s="493">
        <v>0</v>
      </c>
      <c r="R1048" s="493">
        <v>0</v>
      </c>
      <c r="S1048" s="493">
        <v>0</v>
      </c>
      <c r="T1048" s="493">
        <v>0</v>
      </c>
      <c r="U1048" s="493">
        <v>0</v>
      </c>
      <c r="V1048" s="493">
        <v>0</v>
      </c>
      <c r="W1048" s="493">
        <v>0</v>
      </c>
      <c r="X1048" s="493">
        <v>0</v>
      </c>
      <c r="Y1048" s="493">
        <v>0</v>
      </c>
      <c r="Z1048" s="493">
        <v>0</v>
      </c>
      <c r="AA1048" s="493">
        <v>0</v>
      </c>
      <c r="AB1048" s="493">
        <v>0</v>
      </c>
      <c r="AC1048" s="493">
        <v>0</v>
      </c>
      <c r="AD1048" s="493">
        <v>0</v>
      </c>
      <c r="AE1048" s="493">
        <v>0</v>
      </c>
      <c r="AF1048" s="493">
        <v>0</v>
      </c>
      <c r="AG1048" s="493">
        <v>0</v>
      </c>
      <c r="AH1048" s="493">
        <v>0</v>
      </c>
      <c r="AI1048" s="493">
        <v>0</v>
      </c>
    </row>
    <row r="1049" spans="2:35" outlineLevel="1">
      <c r="B1049" t="str">
        <f>_xlfn.TEXTJOIN(" - ",TRUE,C1049:F1049)</f>
        <v>Blue ammonia (CCS) - Conversion NG -&gt; NH3 - Global - ton NG/ton NH3</v>
      </c>
      <c r="C1049" t="str">
        <f>C953</f>
        <v>Blue ammonia (CCS)</v>
      </c>
      <c r="D1049" t="s">
        <v>1406</v>
      </c>
      <c r="E1049" t="s">
        <v>708</v>
      </c>
      <c r="F1049" t="s">
        <v>1407</v>
      </c>
      <c r="G1049" s="487" t="str">
        <f t="shared" si="85"/>
        <v>Blue ammonia (CCS)GlobalConversion NG -&gt; NH3</v>
      </c>
      <c r="H1049" s="508">
        <v>0.56000000000000005</v>
      </c>
      <c r="I1049" s="508">
        <v>0.56000000000000005</v>
      </c>
      <c r="J1049" s="508">
        <v>0.56000000000000005</v>
      </c>
      <c r="K1049" s="508">
        <v>0.56000000000000005</v>
      </c>
      <c r="L1049" s="508">
        <v>0.56000000000000005</v>
      </c>
      <c r="M1049" s="508">
        <v>0.56000000000000005</v>
      </c>
      <c r="N1049" s="508">
        <v>0.56000000000000005</v>
      </c>
      <c r="O1049" s="508">
        <v>0.56000000000000005</v>
      </c>
      <c r="P1049" s="508">
        <v>0.56000000000000005</v>
      </c>
      <c r="Q1049" s="508">
        <v>0.56000000000000005</v>
      </c>
      <c r="R1049" s="508">
        <v>0.56000000000000005</v>
      </c>
      <c r="S1049" s="508">
        <v>0.56000000000000005</v>
      </c>
      <c r="T1049" s="508">
        <v>0.56000000000000005</v>
      </c>
      <c r="U1049" s="508">
        <v>0.56000000000000005</v>
      </c>
      <c r="V1049" s="508">
        <v>0.56000000000000005</v>
      </c>
      <c r="W1049" s="508">
        <v>0.56000000000000005</v>
      </c>
      <c r="X1049" s="508">
        <v>0.56000000000000005</v>
      </c>
      <c r="Y1049" s="508">
        <v>0.56000000000000005</v>
      </c>
      <c r="Z1049" s="508">
        <v>0.56000000000000005</v>
      </c>
      <c r="AA1049" s="508">
        <v>0.56000000000000005</v>
      </c>
      <c r="AB1049" s="508">
        <v>0.56000000000000005</v>
      </c>
      <c r="AC1049" s="508">
        <v>0.56000000000000005</v>
      </c>
      <c r="AD1049" s="508">
        <v>0.56000000000000005</v>
      </c>
      <c r="AE1049" s="508">
        <v>0.56000000000000005</v>
      </c>
      <c r="AF1049" s="508">
        <v>0.56000000000000005</v>
      </c>
      <c r="AG1049" s="508">
        <v>0.56000000000000005</v>
      </c>
      <c r="AH1049" s="508">
        <v>0.56000000000000005</v>
      </c>
      <c r="AI1049" s="508">
        <v>0.56000000000000005</v>
      </c>
    </row>
    <row r="1050" spans="2:35" outlineLevel="1">
      <c r="B1050" t="str">
        <f t="shared" si="86"/>
        <v>Blue ammonia (CCS) - Conversion N2 -&gt; NH3 - Global - ton N2/ton NH3</v>
      </c>
      <c r="C1050" t="str">
        <f>C953</f>
        <v>Blue ammonia (CCS)</v>
      </c>
      <c r="D1050" t="s">
        <v>1377</v>
      </c>
      <c r="E1050" t="s">
        <v>708</v>
      </c>
      <c r="F1050" t="s">
        <v>1378</v>
      </c>
      <c r="G1050" s="487" t="str">
        <f t="shared" si="85"/>
        <v>Blue ammonia (CCS)GlobalConversion N2 -&gt; NH3</v>
      </c>
      <c r="H1050" s="508">
        <v>0.82199999999999995</v>
      </c>
      <c r="I1050" s="508">
        <v>0.82199999999999995</v>
      </c>
      <c r="J1050" s="508">
        <v>0.82199999999999995</v>
      </c>
      <c r="K1050" s="508">
        <v>0.82199999999999995</v>
      </c>
      <c r="L1050" s="508">
        <v>0.82199999999999995</v>
      </c>
      <c r="M1050" s="508">
        <v>0.82199999999999995</v>
      </c>
      <c r="N1050" s="508">
        <v>0.82199999999999995</v>
      </c>
      <c r="O1050" s="508">
        <v>0.82199999999999995</v>
      </c>
      <c r="P1050" s="508">
        <v>0.82199999999999995</v>
      </c>
      <c r="Q1050" s="508">
        <v>0.82199999999999995</v>
      </c>
      <c r="R1050" s="508">
        <v>0.82199999999999995</v>
      </c>
      <c r="S1050" s="508">
        <v>0.82199999999999995</v>
      </c>
      <c r="T1050" s="508">
        <v>0.82199999999999995</v>
      </c>
      <c r="U1050" s="508">
        <v>0.82199999999999995</v>
      </c>
      <c r="V1050" s="508">
        <v>0.82199999999999995</v>
      </c>
      <c r="W1050" s="508">
        <v>0.82199999999999995</v>
      </c>
      <c r="X1050" s="508">
        <v>0.82199999999999995</v>
      </c>
      <c r="Y1050" s="508">
        <v>0.82199999999999995</v>
      </c>
      <c r="Z1050" s="508">
        <v>0.82199999999999995</v>
      </c>
      <c r="AA1050" s="508">
        <v>0.82199999999999995</v>
      </c>
      <c r="AB1050" s="508">
        <v>0.82199999999999995</v>
      </c>
      <c r="AC1050" s="508">
        <v>0.82199999999999995</v>
      </c>
      <c r="AD1050" s="508">
        <v>0.82199999999999995</v>
      </c>
      <c r="AE1050" s="508">
        <v>0.82199999999999995</v>
      </c>
      <c r="AF1050" s="508">
        <v>0.82199999999999995</v>
      </c>
      <c r="AG1050" s="508">
        <v>0.82199999999999995</v>
      </c>
      <c r="AH1050" s="508">
        <v>0.82199999999999995</v>
      </c>
      <c r="AI1050" s="508">
        <v>0.82199999999999995</v>
      </c>
    </row>
    <row r="1051" spans="2:35" outlineLevel="1">
      <c r="B1051" t="str">
        <f>_xlfn.TEXTJOIN(" - ",TRUE,C1051:F1051)</f>
        <v>Carbon capture &amp; storage (CCS) - Conversion NG -&gt; CO2 -&gt; NH3 - Global - ton CO2/ton NH3</v>
      </c>
      <c r="C1051" t="s">
        <v>1400</v>
      </c>
      <c r="D1051" t="s">
        <v>1401</v>
      </c>
      <c r="E1051" t="s">
        <v>708</v>
      </c>
      <c r="F1051" t="s">
        <v>1402</v>
      </c>
      <c r="G1051" s="487" t="str">
        <f t="shared" si="85"/>
        <v>Carbon capture &amp; storage (CCS)GlobalConversion NG -&gt; CO2 -&gt; NH3</v>
      </c>
      <c r="H1051" s="508">
        <v>1.8880000000000001</v>
      </c>
      <c r="I1051" s="508">
        <v>1.8880000000000001</v>
      </c>
      <c r="J1051" s="508">
        <v>1.8880000000000001</v>
      </c>
      <c r="K1051" s="508">
        <v>1.8880000000000001</v>
      </c>
      <c r="L1051" s="508">
        <v>1.8880000000000001</v>
      </c>
      <c r="M1051" s="508">
        <v>1.8880000000000001</v>
      </c>
      <c r="N1051" s="508">
        <v>1.8880000000000001</v>
      </c>
      <c r="O1051" s="508">
        <v>1.8880000000000001</v>
      </c>
      <c r="P1051" s="508">
        <v>1.8880000000000001</v>
      </c>
      <c r="Q1051" s="508">
        <v>1.8880000000000001</v>
      </c>
      <c r="R1051" s="508">
        <v>1.8880000000000001</v>
      </c>
      <c r="S1051" s="508">
        <v>1.8880000000000001</v>
      </c>
      <c r="T1051" s="508">
        <v>1.8880000000000001</v>
      </c>
      <c r="U1051" s="508">
        <v>1.8880000000000001</v>
      </c>
      <c r="V1051" s="508">
        <v>1.8880000000000001</v>
      </c>
      <c r="W1051" s="508">
        <v>1.8880000000000001</v>
      </c>
      <c r="X1051" s="508">
        <v>1.8880000000000001</v>
      </c>
      <c r="Y1051" s="508">
        <v>1.8880000000000001</v>
      </c>
      <c r="Z1051" s="508">
        <v>1.8880000000000001</v>
      </c>
      <c r="AA1051" s="508">
        <v>1.8880000000000001</v>
      </c>
      <c r="AB1051" s="508">
        <v>1.8880000000000001</v>
      </c>
      <c r="AC1051" s="508">
        <v>1.8880000000000001</v>
      </c>
      <c r="AD1051" s="508">
        <v>1.8880000000000001</v>
      </c>
      <c r="AE1051" s="508">
        <v>1.8880000000000001</v>
      </c>
      <c r="AF1051" s="508">
        <v>1.8880000000000001</v>
      </c>
      <c r="AG1051" s="508">
        <v>1.8880000000000001</v>
      </c>
      <c r="AH1051" s="508">
        <v>1.8880000000000001</v>
      </c>
      <c r="AI1051" s="508">
        <v>1.8880000000000001</v>
      </c>
    </row>
    <row r="1052" spans="2:35" outlineLevel="1">
      <c r="B1052" t="str">
        <f>_xlfn.TEXTJOIN(" - ",TRUE,C1052:F1052)</f>
        <v>Carbon storage - Carbon to store - Global - ton CO2/ton NH3</v>
      </c>
      <c r="C1052" t="s">
        <v>1399</v>
      </c>
      <c r="D1052" t="s">
        <v>1403</v>
      </c>
      <c r="E1052" t="s">
        <v>708</v>
      </c>
      <c r="F1052" t="s">
        <v>1402</v>
      </c>
      <c r="G1052" s="487" t="str">
        <f t="shared" si="85"/>
        <v>Carbon storageGlobalCarbon to store</v>
      </c>
      <c r="H1052" s="508">
        <v>1.6916480000000007</v>
      </c>
      <c r="I1052" s="508">
        <v>1.6954240000000003</v>
      </c>
      <c r="J1052" s="508">
        <v>1.6992000000000007</v>
      </c>
      <c r="K1052" s="508">
        <v>1.7029760000000003</v>
      </c>
      <c r="L1052" s="508">
        <v>1.7067520000000016</v>
      </c>
      <c r="M1052" s="508">
        <v>1.7105280000000012</v>
      </c>
      <c r="N1052" s="508">
        <v>1.7143040000000007</v>
      </c>
      <c r="O1052" s="508">
        <v>1.718080000000002</v>
      </c>
      <c r="P1052" s="508">
        <v>1.7218560000000001</v>
      </c>
      <c r="Q1052" s="508">
        <v>1.7256319999999996</v>
      </c>
      <c r="R1052" s="508">
        <v>1.7294079999999992</v>
      </c>
      <c r="S1052" s="508">
        <v>1.7331839999999987</v>
      </c>
      <c r="T1052" s="508">
        <v>1.7369600000000001</v>
      </c>
      <c r="U1052" s="508">
        <v>1.7407359999999996</v>
      </c>
      <c r="V1052" s="508">
        <v>1.7445120000000007</v>
      </c>
      <c r="W1052" s="508">
        <v>1.7482880000000005</v>
      </c>
      <c r="X1052" s="508">
        <v>1.7520640000000001</v>
      </c>
      <c r="Y1052" s="508">
        <v>1.7558400000000005</v>
      </c>
      <c r="Z1052" s="508">
        <v>1.7596160000000001</v>
      </c>
      <c r="AA1052" s="508">
        <v>1.7633919999999996</v>
      </c>
      <c r="AB1052" s="508">
        <v>1.7671680000000007</v>
      </c>
      <c r="AC1052" s="508">
        <v>1.7709440000000005</v>
      </c>
      <c r="AD1052" s="508">
        <v>1.7747200000000001</v>
      </c>
      <c r="AE1052" s="508">
        <v>1.7784960000000012</v>
      </c>
      <c r="AF1052" s="508">
        <v>1.782272000000001</v>
      </c>
      <c r="AG1052" s="508">
        <v>1.7860480000000005</v>
      </c>
      <c r="AH1052" s="508">
        <v>1.7898240000000001</v>
      </c>
      <c r="AI1052" s="508">
        <v>1.7935999999999996</v>
      </c>
    </row>
    <row r="1053" spans="2:35">
      <c r="G1053" s="487" t="str">
        <f t="shared" si="85"/>
        <v/>
      </c>
    </row>
    <row r="1054" spans="2:35" ht="15">
      <c r="B1054" t="str">
        <f t="shared" ref="B1054:B1097" si="87">_xlfn.TEXTJOIN(" - ",TRUE,C1054:F1054)</f>
        <v>Bio-methanol - Item - Region - Unit</v>
      </c>
      <c r="C1054" s="512" t="s">
        <v>752</v>
      </c>
      <c r="D1054" s="512" t="s">
        <v>877</v>
      </c>
      <c r="E1054" s="512" t="s">
        <v>171</v>
      </c>
      <c r="F1054" s="512" t="s">
        <v>111</v>
      </c>
      <c r="G1054" s="487" t="str">
        <f t="shared" si="85"/>
        <v>Bio-methanolRegionItem</v>
      </c>
      <c r="H1054" s="513">
        <v>2023</v>
      </c>
      <c r="I1054" s="513">
        <v>2024</v>
      </c>
      <c r="J1054" s="513">
        <v>2025</v>
      </c>
      <c r="K1054" s="513">
        <v>2026</v>
      </c>
      <c r="L1054" s="513">
        <v>2027</v>
      </c>
      <c r="M1054" s="513">
        <v>2028</v>
      </c>
      <c r="N1054" s="513">
        <v>2029</v>
      </c>
      <c r="O1054" s="513">
        <v>2030</v>
      </c>
      <c r="P1054" s="513">
        <v>2031</v>
      </c>
      <c r="Q1054" s="513">
        <v>2032</v>
      </c>
      <c r="R1054" s="513">
        <v>2033</v>
      </c>
      <c r="S1054" s="513">
        <v>2034</v>
      </c>
      <c r="T1054" s="513">
        <v>2035</v>
      </c>
      <c r="U1054" s="513">
        <v>2036</v>
      </c>
      <c r="V1054" s="513">
        <v>2037</v>
      </c>
      <c r="W1054" s="513">
        <v>2038</v>
      </c>
      <c r="X1054" s="513">
        <v>2039</v>
      </c>
      <c r="Y1054" s="513">
        <v>2040</v>
      </c>
      <c r="Z1054" s="513">
        <v>2041</v>
      </c>
      <c r="AA1054" s="513">
        <v>2042</v>
      </c>
      <c r="AB1054" s="513">
        <v>2043</v>
      </c>
      <c r="AC1054" s="513">
        <v>2044</v>
      </c>
      <c r="AD1054" s="513">
        <v>2045</v>
      </c>
      <c r="AE1054" s="513">
        <v>2046</v>
      </c>
      <c r="AF1054" s="513">
        <v>2047</v>
      </c>
      <c r="AG1054" s="513">
        <v>2048</v>
      </c>
      <c r="AH1054" s="513">
        <v>2049</v>
      </c>
      <c r="AI1054" s="513">
        <v>2050</v>
      </c>
    </row>
    <row r="1055" spans="2:35" outlineLevel="1">
      <c r="B1055" t="str">
        <f t="shared" si="87"/>
        <v>Bio-methanol - Total cost - Africa - USD/ton fuel</v>
      </c>
      <c r="C1055" s="487" t="str">
        <f>C1054</f>
        <v>Bio-methanol</v>
      </c>
      <c r="D1055" s="487" t="s">
        <v>1362</v>
      </c>
      <c r="E1055" s="487" t="s">
        <v>838</v>
      </c>
      <c r="F1055" s="487" t="s">
        <v>1353</v>
      </c>
      <c r="G1055" s="487" t="str">
        <f t="shared" si="85"/>
        <v>Bio-methanolAfricaTotal cost</v>
      </c>
      <c r="H1055" s="488">
        <v>858.21344695589153</v>
      </c>
      <c r="I1055" s="488">
        <v>796.48236676736951</v>
      </c>
      <c r="J1055" s="488">
        <v>734.75128657884659</v>
      </c>
      <c r="K1055" s="488">
        <v>712.69159441187378</v>
      </c>
      <c r="L1055" s="488">
        <v>690.63315150037511</v>
      </c>
      <c r="M1055" s="488">
        <v>668.57595784435102</v>
      </c>
      <c r="N1055" s="488">
        <v>646.52001344380096</v>
      </c>
      <c r="O1055" s="488">
        <v>624.46531829872549</v>
      </c>
      <c r="P1055" s="488">
        <v>615.70487426522914</v>
      </c>
      <c r="Q1055" s="488">
        <v>606.94512756773474</v>
      </c>
      <c r="R1055" s="488">
        <v>598.18607820624288</v>
      </c>
      <c r="S1055" s="488">
        <v>589.42772618075355</v>
      </c>
      <c r="T1055" s="488">
        <v>580.67007149126619</v>
      </c>
      <c r="U1055" s="488">
        <v>571.96623817144518</v>
      </c>
      <c r="V1055" s="488">
        <v>563.26273307622091</v>
      </c>
      <c r="W1055" s="488">
        <v>554.55955620559507</v>
      </c>
      <c r="X1055" s="488">
        <v>545.85670755956676</v>
      </c>
      <c r="Y1055" s="488">
        <v>537.1541871381354</v>
      </c>
      <c r="Z1055" s="488">
        <v>532.15293219358728</v>
      </c>
      <c r="AA1055" s="488">
        <v>527.15201475292292</v>
      </c>
      <c r="AB1055" s="488">
        <v>522.15143481614382</v>
      </c>
      <c r="AC1055" s="488">
        <v>517.15119238324928</v>
      </c>
      <c r="AD1055" s="488">
        <v>512.1512874542384</v>
      </c>
      <c r="AE1055" s="488">
        <v>507.28826227939737</v>
      </c>
      <c r="AF1055" s="488">
        <v>502.4254027605009</v>
      </c>
      <c r="AG1055" s="488">
        <v>497.56270889755064</v>
      </c>
      <c r="AH1055" s="488">
        <v>492.70018069054578</v>
      </c>
      <c r="AI1055" s="488">
        <v>487.83781813948548</v>
      </c>
    </row>
    <row r="1056" spans="2:35" outlineLevel="1">
      <c r="B1056" t="str">
        <f t="shared" si="87"/>
        <v>Bio-methanol - Total cost - Americas - USD/ton fuel</v>
      </c>
      <c r="C1056" t="str">
        <f>C1055</f>
        <v>Bio-methanol</v>
      </c>
      <c r="D1056" t="s">
        <v>1362</v>
      </c>
      <c r="E1056" t="s">
        <v>731</v>
      </c>
      <c r="F1056" t="s">
        <v>1353</v>
      </c>
      <c r="G1056" s="487" t="str">
        <f t="shared" si="85"/>
        <v>Bio-methanolAmericasTotal cost</v>
      </c>
      <c r="H1056" s="489">
        <v>808.55799888990725</v>
      </c>
      <c r="I1056" s="489">
        <v>749.79290668200815</v>
      </c>
      <c r="J1056" s="489">
        <v>691.02781447410894</v>
      </c>
      <c r="K1056" s="489">
        <v>669.30099197910613</v>
      </c>
      <c r="L1056" s="489">
        <v>647.5750088694549</v>
      </c>
      <c r="M1056" s="489">
        <v>625.84986514515492</v>
      </c>
      <c r="N1056" s="489">
        <v>604.12556080620675</v>
      </c>
      <c r="O1056" s="489">
        <v>582.40209585260982</v>
      </c>
      <c r="P1056" s="489">
        <v>573.39505986205722</v>
      </c>
      <c r="Q1056" s="489">
        <v>564.38842780388723</v>
      </c>
      <c r="R1056" s="489">
        <v>555.38219967810164</v>
      </c>
      <c r="S1056" s="489">
        <v>546.37637548469979</v>
      </c>
      <c r="T1056" s="489">
        <v>537.37095522368065</v>
      </c>
      <c r="U1056" s="489">
        <v>528.42710056778697</v>
      </c>
      <c r="V1056" s="489">
        <v>519.48357334941829</v>
      </c>
      <c r="W1056" s="489">
        <v>510.54037356857646</v>
      </c>
      <c r="X1056" s="489">
        <v>501.59750122526066</v>
      </c>
      <c r="Y1056" s="489">
        <v>492.65495631947005</v>
      </c>
      <c r="Z1056" s="489">
        <v>487.81891462033531</v>
      </c>
      <c r="AA1056" s="489">
        <v>482.98300483535741</v>
      </c>
      <c r="AB1056" s="489">
        <v>478.14722696453805</v>
      </c>
      <c r="AC1056" s="489">
        <v>473.31158100787633</v>
      </c>
      <c r="AD1056" s="489">
        <v>468.47606696537127</v>
      </c>
      <c r="AE1056" s="489">
        <v>463.424423787058</v>
      </c>
      <c r="AF1056" s="489">
        <v>458.37288012863849</v>
      </c>
      <c r="AG1056" s="489">
        <v>453.32143599011488</v>
      </c>
      <c r="AH1056" s="489">
        <v>448.27009137148627</v>
      </c>
      <c r="AI1056" s="489">
        <v>443.21884627275182</v>
      </c>
    </row>
    <row r="1057" spans="2:35" outlineLevel="1">
      <c r="B1057" t="str">
        <f t="shared" si="87"/>
        <v>Bio-methanol - Total cost - Asia - USD/ton fuel</v>
      </c>
      <c r="C1057" t="str">
        <f>C1056</f>
        <v>Bio-methanol</v>
      </c>
      <c r="D1057" t="s">
        <v>1362</v>
      </c>
      <c r="E1057" t="s">
        <v>750</v>
      </c>
      <c r="F1057" t="s">
        <v>1353</v>
      </c>
      <c r="G1057" s="487" t="str">
        <f t="shared" si="85"/>
        <v>Bio-methanolAsiaTotal cost</v>
      </c>
      <c r="H1057" s="489">
        <v>803.58085933681252</v>
      </c>
      <c r="I1057" s="489">
        <v>742.45478739877046</v>
      </c>
      <c r="J1057" s="489">
        <v>681.32871546072988</v>
      </c>
      <c r="K1057" s="489">
        <v>658.95283411271248</v>
      </c>
      <c r="L1057" s="489">
        <v>636.57829063655799</v>
      </c>
      <c r="M1057" s="489">
        <v>614.20508503226552</v>
      </c>
      <c r="N1057" s="489">
        <v>591.8332172998355</v>
      </c>
      <c r="O1057" s="489">
        <v>569.46268743926851</v>
      </c>
      <c r="P1057" s="489">
        <v>560.2875363642936</v>
      </c>
      <c r="Q1057" s="489">
        <v>551.11329462629135</v>
      </c>
      <c r="R1057" s="489">
        <v>541.9399622252638</v>
      </c>
      <c r="S1057" s="489">
        <v>532.76753916120936</v>
      </c>
      <c r="T1057" s="489">
        <v>523.59602543412745</v>
      </c>
      <c r="U1057" s="489">
        <v>514.78282753350845</v>
      </c>
      <c r="V1057" s="489">
        <v>505.97009196183706</v>
      </c>
      <c r="W1057" s="489">
        <v>497.15781871911508</v>
      </c>
      <c r="X1057" s="489">
        <v>488.34600780534157</v>
      </c>
      <c r="Y1057" s="489">
        <v>479.53465922051589</v>
      </c>
      <c r="Z1057" s="489">
        <v>474.17288696465397</v>
      </c>
      <c r="AA1057" s="489">
        <v>468.81159864149618</v>
      </c>
      <c r="AB1057" s="489">
        <v>463.45079425104416</v>
      </c>
      <c r="AC1057" s="489">
        <v>458.09047379329746</v>
      </c>
      <c r="AD1057" s="489">
        <v>452.73063726825478</v>
      </c>
      <c r="AE1057" s="489">
        <v>447.82146351629279</v>
      </c>
      <c r="AF1057" s="489">
        <v>442.91251168945405</v>
      </c>
      <c r="AG1057" s="489">
        <v>438.00378178774031</v>
      </c>
      <c r="AH1057" s="489">
        <v>433.09527381115083</v>
      </c>
      <c r="AI1057" s="489">
        <v>428.18698775968454</v>
      </c>
    </row>
    <row r="1058" spans="2:35" outlineLevel="1">
      <c r="B1058" t="str">
        <f t="shared" si="87"/>
        <v>Bio-methanol - Total cost - Europe - USD/ton fuel</v>
      </c>
      <c r="C1058" t="str">
        <f>C1057</f>
        <v>Bio-methanol</v>
      </c>
      <c r="D1058" t="s">
        <v>1362</v>
      </c>
      <c r="E1058" t="s">
        <v>720</v>
      </c>
      <c r="F1058" t="s">
        <v>1353</v>
      </c>
      <c r="G1058" s="487" t="str">
        <f t="shared" si="85"/>
        <v>Bio-methanolEuropeTotal cost</v>
      </c>
      <c r="H1058" s="489">
        <v>827.51835384114952</v>
      </c>
      <c r="I1058" s="489">
        <v>768.29863814728151</v>
      </c>
      <c r="J1058" s="489">
        <v>709.07892245341361</v>
      </c>
      <c r="K1058" s="489">
        <v>687.13915177461377</v>
      </c>
      <c r="L1058" s="489">
        <v>665.20048150021307</v>
      </c>
      <c r="M1058" s="489">
        <v>643.26291163021187</v>
      </c>
      <c r="N1058" s="489">
        <v>621.32644216460972</v>
      </c>
      <c r="O1058" s="489">
        <v>599.39107310340705</v>
      </c>
      <c r="P1058" s="489">
        <v>590.58100735166727</v>
      </c>
      <c r="Q1058" s="489">
        <v>581.77139881772734</v>
      </c>
      <c r="R1058" s="489">
        <v>572.96224750158831</v>
      </c>
      <c r="S1058" s="489">
        <v>564.15355340324959</v>
      </c>
      <c r="T1058" s="489">
        <v>555.34531652271016</v>
      </c>
      <c r="U1058" s="489">
        <v>546.44284288554036</v>
      </c>
      <c r="V1058" s="489">
        <v>537.54064223063529</v>
      </c>
      <c r="W1058" s="489">
        <v>528.6387145579971</v>
      </c>
      <c r="X1058" s="489">
        <v>519.73705986762479</v>
      </c>
      <c r="Y1058" s="489">
        <v>510.83567815951739</v>
      </c>
      <c r="Z1058" s="489">
        <v>505.8697113606604</v>
      </c>
      <c r="AA1058" s="489">
        <v>500.90403660354298</v>
      </c>
      <c r="AB1058" s="489">
        <v>495.93865388816693</v>
      </c>
      <c r="AC1058" s="489">
        <v>490.9735632145314</v>
      </c>
      <c r="AD1058" s="489">
        <v>486.00876458263542</v>
      </c>
      <c r="AE1058" s="489">
        <v>481.10699752304504</v>
      </c>
      <c r="AF1058" s="489">
        <v>476.20544354312199</v>
      </c>
      <c r="AG1058" s="489">
        <v>471.30410264286809</v>
      </c>
      <c r="AH1058" s="489">
        <v>466.40297482228243</v>
      </c>
      <c r="AI1058" s="489">
        <v>461.50206008136411</v>
      </c>
    </row>
    <row r="1059" spans="2:35" outlineLevel="1">
      <c r="B1059" t="str">
        <f t="shared" si="87"/>
        <v>Bio-methanol - Total cost - Middle East - USD/ton fuel</v>
      </c>
      <c r="C1059" s="25" t="str">
        <f>C1058</f>
        <v>Bio-methanol</v>
      </c>
      <c r="D1059" s="25" t="s">
        <v>1362</v>
      </c>
      <c r="E1059" s="25" t="s">
        <v>826</v>
      </c>
      <c r="F1059" s="25" t="s">
        <v>1353</v>
      </c>
      <c r="G1059" s="487" t="str">
        <f t="shared" si="85"/>
        <v>Bio-methanolMiddle EastTotal cost</v>
      </c>
      <c r="H1059" s="490">
        <v>840.19328577588544</v>
      </c>
      <c r="I1059" s="490">
        <v>780.96838039168699</v>
      </c>
      <c r="J1059" s="490">
        <v>721.74347500748831</v>
      </c>
      <c r="K1059" s="490">
        <v>699.88168259331417</v>
      </c>
      <c r="L1059" s="490">
        <v>678.0205971085519</v>
      </c>
      <c r="M1059" s="490">
        <v>656.16021855320173</v>
      </c>
      <c r="N1059" s="490">
        <v>634.30054692726367</v>
      </c>
      <c r="O1059" s="490">
        <v>612.44158223073759</v>
      </c>
      <c r="P1059" s="490">
        <v>603.35885588627025</v>
      </c>
      <c r="Q1059" s="490">
        <v>594.27662800850112</v>
      </c>
      <c r="R1059" s="490">
        <v>585.1948985974318</v>
      </c>
      <c r="S1059" s="490">
        <v>576.11366765306184</v>
      </c>
      <c r="T1059" s="490">
        <v>567.03293517539021</v>
      </c>
      <c r="U1059" s="490">
        <v>558.3934225912576</v>
      </c>
      <c r="V1059" s="490">
        <v>549.7541599330857</v>
      </c>
      <c r="W1059" s="490">
        <v>541.11514720087621</v>
      </c>
      <c r="X1059" s="490">
        <v>532.47638439462821</v>
      </c>
      <c r="Y1059" s="490">
        <v>523.83787151434103</v>
      </c>
      <c r="Z1059" s="490">
        <v>518.60391049974453</v>
      </c>
      <c r="AA1059" s="490">
        <v>513.37027723706763</v>
      </c>
      <c r="AB1059" s="490">
        <v>508.13697172631197</v>
      </c>
      <c r="AC1059" s="490">
        <v>502.90399396747716</v>
      </c>
      <c r="AD1059" s="490">
        <v>497.6713439605619</v>
      </c>
      <c r="AE1059" s="490">
        <v>492.57755494687012</v>
      </c>
      <c r="AF1059" s="490">
        <v>487.4839193313577</v>
      </c>
      <c r="AG1059" s="490">
        <v>482.39043711402655</v>
      </c>
      <c r="AH1059" s="490">
        <v>477.29710829487601</v>
      </c>
      <c r="AI1059" s="490">
        <v>472.20393287390516</v>
      </c>
    </row>
    <row r="1060" spans="2:35" ht="15" outlineLevel="1">
      <c r="B1060" t="str">
        <f t="shared" si="87"/>
        <v/>
      </c>
      <c r="C1060" s="22"/>
      <c r="G1060" s="487" t="str">
        <f t="shared" si="85"/>
        <v/>
      </c>
    </row>
    <row r="1061" spans="2:35" ht="15" outlineLevel="1">
      <c r="B1061" t="str">
        <f t="shared" si="87"/>
        <v>Bio-methanol - CAPEX including feedstock CAPEX - Global - USD/ton fuel</v>
      </c>
      <c r="C1061" s="491" t="str">
        <f>C1054</f>
        <v>Bio-methanol</v>
      </c>
      <c r="D1061" s="491" t="s">
        <v>1363</v>
      </c>
      <c r="E1061" s="491" t="s">
        <v>708</v>
      </c>
      <c r="F1061" s="491" t="s">
        <v>1353</v>
      </c>
      <c r="G1061" s="487" t="str">
        <f t="shared" si="85"/>
        <v>Bio-methanolGlobalCAPEX including feedstock CAPEX</v>
      </c>
      <c r="H1061" s="492">
        <v>140</v>
      </c>
      <c r="I1061" s="492">
        <v>126.66666666666667</v>
      </c>
      <c r="J1061" s="492">
        <v>113.33333333333333</v>
      </c>
      <c r="K1061" s="492">
        <v>108.33333333333333</v>
      </c>
      <c r="L1061" s="492">
        <v>103.33333333333333</v>
      </c>
      <c r="M1061" s="492">
        <v>98.333333333333329</v>
      </c>
      <c r="N1061" s="492">
        <v>93.333333333333329</v>
      </c>
      <c r="O1061" s="492">
        <v>88.333333333333329</v>
      </c>
      <c r="P1061" s="492">
        <v>86.166666666666671</v>
      </c>
      <c r="Q1061" s="492">
        <v>84</v>
      </c>
      <c r="R1061" s="492">
        <v>81.833333333333329</v>
      </c>
      <c r="S1061" s="492">
        <v>79.666666666666671</v>
      </c>
      <c r="T1061" s="492">
        <v>77.5</v>
      </c>
      <c r="U1061" s="492">
        <v>75.333333333333329</v>
      </c>
      <c r="V1061" s="492">
        <v>73.166666666666671</v>
      </c>
      <c r="W1061" s="492">
        <v>71</v>
      </c>
      <c r="X1061" s="492">
        <v>68.833333333333329</v>
      </c>
      <c r="Y1061" s="492">
        <v>66.666666666666671</v>
      </c>
      <c r="Z1061" s="492">
        <v>65.333333333333329</v>
      </c>
      <c r="AA1061" s="492">
        <v>64</v>
      </c>
      <c r="AB1061" s="492">
        <v>62.666666666666664</v>
      </c>
      <c r="AC1061" s="492">
        <v>61.333333333333336</v>
      </c>
      <c r="AD1061" s="492">
        <v>60</v>
      </c>
      <c r="AE1061" s="492">
        <v>58.666666666666664</v>
      </c>
      <c r="AF1061" s="492">
        <v>57.333333333333336</v>
      </c>
      <c r="AG1061" s="492">
        <v>56</v>
      </c>
      <c r="AH1061" s="492">
        <v>54.666666666666664</v>
      </c>
      <c r="AI1061" s="492">
        <v>53.333333333333336</v>
      </c>
    </row>
    <row r="1062" spans="2:35" outlineLevel="1">
      <c r="B1062" t="str">
        <f t="shared" si="87"/>
        <v>Bio-methanol - CAPEX - Global - USD/ton fuel</v>
      </c>
      <c r="C1062" t="str">
        <f>C1054</f>
        <v>Bio-methanol</v>
      </c>
      <c r="D1062" t="s">
        <v>446</v>
      </c>
      <c r="E1062" t="s">
        <v>708</v>
      </c>
      <c r="F1062" t="s">
        <v>1353</v>
      </c>
      <c r="G1062" s="487" t="str">
        <f t="shared" si="85"/>
        <v>Bio-methanolGlobalCAPEX</v>
      </c>
      <c r="H1062" s="493">
        <v>140</v>
      </c>
      <c r="I1062" s="493">
        <v>126.66666666666667</v>
      </c>
      <c r="J1062" s="493">
        <v>113.33333333333333</v>
      </c>
      <c r="K1062" s="493">
        <v>108.33333333333333</v>
      </c>
      <c r="L1062" s="493">
        <v>103.33333333333333</v>
      </c>
      <c r="M1062" s="493">
        <v>98.333333333333329</v>
      </c>
      <c r="N1062" s="493">
        <v>93.333333333333329</v>
      </c>
      <c r="O1062" s="493">
        <v>88.333333333333329</v>
      </c>
      <c r="P1062" s="493">
        <v>86.166666666666671</v>
      </c>
      <c r="Q1062" s="493">
        <v>84</v>
      </c>
      <c r="R1062" s="493">
        <v>81.833333333333329</v>
      </c>
      <c r="S1062" s="493">
        <v>79.666666666666671</v>
      </c>
      <c r="T1062" s="493">
        <v>77.5</v>
      </c>
      <c r="U1062" s="493">
        <v>75.333333333333329</v>
      </c>
      <c r="V1062" s="493">
        <v>73.166666666666671</v>
      </c>
      <c r="W1062" s="493">
        <v>71</v>
      </c>
      <c r="X1062" s="493">
        <v>68.833333333333329</v>
      </c>
      <c r="Y1062" s="493">
        <v>66.666666666666671</v>
      </c>
      <c r="Z1062" s="493">
        <v>65.333333333333329</v>
      </c>
      <c r="AA1062" s="493">
        <v>64</v>
      </c>
      <c r="AB1062" s="493">
        <v>62.666666666666664</v>
      </c>
      <c r="AC1062" s="493">
        <v>61.333333333333336</v>
      </c>
      <c r="AD1062" s="493">
        <v>60</v>
      </c>
      <c r="AE1062" s="493">
        <v>58.666666666666664</v>
      </c>
      <c r="AF1062" s="493">
        <v>57.333333333333336</v>
      </c>
      <c r="AG1062" s="493">
        <v>56</v>
      </c>
      <c r="AH1062" s="493">
        <v>54.666666666666664</v>
      </c>
      <c r="AI1062" s="493">
        <v>53.333333333333336</v>
      </c>
    </row>
    <row r="1063" spans="2:35" outlineLevel="1">
      <c r="B1063" t="str">
        <f t="shared" si="87"/>
        <v/>
      </c>
      <c r="G1063" s="487" t="str">
        <f t="shared" si="85"/>
        <v/>
      </c>
      <c r="H1063" s="493"/>
      <c r="I1063" s="493"/>
      <c r="J1063" s="493"/>
      <c r="K1063" s="493"/>
      <c r="L1063" s="493"/>
      <c r="M1063" s="493"/>
      <c r="N1063" s="493"/>
      <c r="O1063" s="493"/>
      <c r="P1063" s="493"/>
      <c r="Q1063" s="493"/>
      <c r="R1063" s="493"/>
      <c r="S1063" s="493"/>
      <c r="T1063" s="493"/>
      <c r="U1063" s="493"/>
      <c r="V1063" s="493"/>
      <c r="W1063" s="493"/>
      <c r="X1063" s="493"/>
      <c r="Y1063" s="493"/>
      <c r="Z1063" s="493"/>
      <c r="AA1063" s="493"/>
      <c r="AB1063" s="493"/>
      <c r="AC1063" s="493"/>
      <c r="AD1063" s="493"/>
      <c r="AE1063" s="493"/>
      <c r="AF1063" s="493"/>
      <c r="AG1063" s="493"/>
      <c r="AH1063" s="493"/>
      <c r="AI1063" s="493"/>
    </row>
    <row r="1064" spans="2:35" ht="15" outlineLevel="1">
      <c r="B1064" t="str">
        <f t="shared" si="87"/>
        <v>Bio-methanol - OPEX including feedstock OPEX - Global - USD/ton fuel</v>
      </c>
      <c r="C1064" s="491" t="str">
        <f>C1055</f>
        <v>Bio-methanol</v>
      </c>
      <c r="D1064" s="491" t="s">
        <v>1364</v>
      </c>
      <c r="E1064" s="491" t="s">
        <v>708</v>
      </c>
      <c r="F1064" s="491" t="s">
        <v>1353</v>
      </c>
      <c r="G1064" s="487" t="str">
        <f t="shared" si="85"/>
        <v>Bio-methanolGlobalOPEX including feedstock OPEX</v>
      </c>
      <c r="H1064" s="492">
        <v>252</v>
      </c>
      <c r="I1064" s="492">
        <v>228</v>
      </c>
      <c r="J1064" s="492">
        <v>204</v>
      </c>
      <c r="K1064" s="492">
        <v>195</v>
      </c>
      <c r="L1064" s="492">
        <v>186</v>
      </c>
      <c r="M1064" s="492">
        <v>177</v>
      </c>
      <c r="N1064" s="492">
        <v>168</v>
      </c>
      <c r="O1064" s="492">
        <v>159</v>
      </c>
      <c r="P1064" s="492">
        <v>155.10000000000036</v>
      </c>
      <c r="Q1064" s="492">
        <v>151.19999999999982</v>
      </c>
      <c r="R1064" s="492">
        <v>147.30000000000018</v>
      </c>
      <c r="S1064" s="492">
        <v>143.40000000000055</v>
      </c>
      <c r="T1064" s="492">
        <v>139.5</v>
      </c>
      <c r="U1064" s="492">
        <v>135.60000000000036</v>
      </c>
      <c r="V1064" s="492">
        <v>131.69999999999982</v>
      </c>
      <c r="W1064" s="492">
        <v>127.80000000000018</v>
      </c>
      <c r="X1064" s="492">
        <v>123.90000000000055</v>
      </c>
      <c r="Y1064" s="492">
        <v>120</v>
      </c>
      <c r="Z1064" s="492">
        <v>117.60000000000036</v>
      </c>
      <c r="AA1064" s="492">
        <v>115.19999999999982</v>
      </c>
      <c r="AB1064" s="492">
        <v>112.80000000000018</v>
      </c>
      <c r="AC1064" s="492">
        <v>110.40000000000055</v>
      </c>
      <c r="AD1064" s="492">
        <v>108</v>
      </c>
      <c r="AE1064" s="492">
        <v>105.60000000000036</v>
      </c>
      <c r="AF1064" s="492">
        <v>103.19999999999982</v>
      </c>
      <c r="AG1064" s="492">
        <v>100.80000000000018</v>
      </c>
      <c r="AH1064" s="492">
        <v>98.400000000000546</v>
      </c>
      <c r="AI1064" s="492">
        <v>96</v>
      </c>
    </row>
    <row r="1065" spans="2:35" outlineLevel="1">
      <c r="B1065" t="str">
        <f t="shared" si="87"/>
        <v>Bio-methanol - OPEX - Global - USD/ton fuel</v>
      </c>
      <c r="C1065" t="str">
        <f>C1054</f>
        <v>Bio-methanol</v>
      </c>
      <c r="D1065" t="s">
        <v>450</v>
      </c>
      <c r="E1065" t="s">
        <v>708</v>
      </c>
      <c r="F1065" t="s">
        <v>1353</v>
      </c>
      <c r="G1065" s="487" t="str">
        <f t="shared" si="85"/>
        <v>Bio-methanolGlobalOPEX</v>
      </c>
      <c r="H1065" s="493">
        <v>252</v>
      </c>
      <c r="I1065" s="493">
        <v>228</v>
      </c>
      <c r="J1065" s="493">
        <v>204</v>
      </c>
      <c r="K1065" s="493">
        <v>195</v>
      </c>
      <c r="L1065" s="493">
        <v>186</v>
      </c>
      <c r="M1065" s="493">
        <v>177</v>
      </c>
      <c r="N1065" s="493">
        <v>168</v>
      </c>
      <c r="O1065" s="493">
        <v>159</v>
      </c>
      <c r="P1065" s="493">
        <v>155.10000000000036</v>
      </c>
      <c r="Q1065" s="493">
        <v>151.19999999999982</v>
      </c>
      <c r="R1065" s="493">
        <v>147.30000000000018</v>
      </c>
      <c r="S1065" s="493">
        <v>143.40000000000055</v>
      </c>
      <c r="T1065" s="493">
        <v>139.5</v>
      </c>
      <c r="U1065" s="493">
        <v>135.60000000000036</v>
      </c>
      <c r="V1065" s="493">
        <v>131.69999999999982</v>
      </c>
      <c r="W1065" s="493">
        <v>127.80000000000018</v>
      </c>
      <c r="X1065" s="493">
        <v>123.90000000000055</v>
      </c>
      <c r="Y1065" s="493">
        <v>120</v>
      </c>
      <c r="Z1065" s="493">
        <v>117.60000000000036</v>
      </c>
      <c r="AA1065" s="493">
        <v>115.19999999999982</v>
      </c>
      <c r="AB1065" s="493">
        <v>112.80000000000018</v>
      </c>
      <c r="AC1065" s="493">
        <v>110.40000000000055</v>
      </c>
      <c r="AD1065" s="493">
        <v>108</v>
      </c>
      <c r="AE1065" s="493">
        <v>105.60000000000036</v>
      </c>
      <c r="AF1065" s="493">
        <v>103.19999999999982</v>
      </c>
      <c r="AG1065" s="493">
        <v>100.80000000000018</v>
      </c>
      <c r="AH1065" s="493">
        <v>98.400000000000546</v>
      </c>
      <c r="AI1065" s="493">
        <v>96</v>
      </c>
    </row>
    <row r="1066" spans="2:35" outlineLevel="1">
      <c r="B1066" t="str">
        <f t="shared" si="87"/>
        <v/>
      </c>
      <c r="G1066" s="487" t="str">
        <f t="shared" si="85"/>
        <v/>
      </c>
      <c r="H1066" s="493"/>
      <c r="I1066" s="493"/>
      <c r="J1066" s="493"/>
      <c r="K1066" s="493"/>
      <c r="L1066" s="493"/>
      <c r="M1066" s="493"/>
      <c r="N1066" s="493"/>
      <c r="O1066" s="493"/>
      <c r="P1066" s="493"/>
      <c r="Q1066" s="493"/>
      <c r="R1066" s="493"/>
      <c r="S1066" s="493"/>
      <c r="T1066" s="493"/>
      <c r="U1066" s="493"/>
      <c r="V1066" s="493"/>
      <c r="W1066" s="493"/>
      <c r="X1066" s="493"/>
      <c r="Y1066" s="493"/>
      <c r="Z1066" s="493"/>
      <c r="AA1066" s="493"/>
      <c r="AB1066" s="493"/>
      <c r="AC1066" s="493"/>
      <c r="AD1066" s="493"/>
      <c r="AE1066" s="493"/>
      <c r="AF1066" s="493"/>
      <c r="AG1066" s="493"/>
      <c r="AH1066" s="493"/>
      <c r="AI1066" s="493"/>
    </row>
    <row r="1067" spans="2:35" ht="15" outlineLevel="1">
      <c r="B1067" t="str">
        <f t="shared" si="87"/>
        <v>Bio-methanol - Finance cost including feedstock finance cost - Africa - USD/ton fuel</v>
      </c>
      <c r="C1067" s="494" t="str">
        <f>C1058</f>
        <v>Bio-methanol</v>
      </c>
      <c r="D1067" s="494" t="s">
        <v>1365</v>
      </c>
      <c r="E1067" s="494" t="s">
        <v>838</v>
      </c>
      <c r="F1067" s="494" t="s">
        <v>1353</v>
      </c>
      <c r="G1067" s="487" t="str">
        <f t="shared" si="85"/>
        <v>Bio-methanolAfricaFinance cost including feedstock finance cost</v>
      </c>
      <c r="H1067" s="495">
        <v>231.00000000000003</v>
      </c>
      <c r="I1067" s="495">
        <v>209.00000000000003</v>
      </c>
      <c r="J1067" s="495">
        <v>187.00000000000003</v>
      </c>
      <c r="K1067" s="495">
        <v>178.75000000000003</v>
      </c>
      <c r="L1067" s="495">
        <v>170.50000000000003</v>
      </c>
      <c r="M1067" s="495">
        <v>162.25000000000003</v>
      </c>
      <c r="N1067" s="495">
        <v>154.00000000000003</v>
      </c>
      <c r="O1067" s="495">
        <v>145.75000000000003</v>
      </c>
      <c r="P1067" s="495">
        <v>142.17500000000001</v>
      </c>
      <c r="Q1067" s="495">
        <v>138.60000000000002</v>
      </c>
      <c r="R1067" s="495">
        <v>135.02500000000001</v>
      </c>
      <c r="S1067" s="495">
        <v>131.45000000000002</v>
      </c>
      <c r="T1067" s="495">
        <v>127.87500000000001</v>
      </c>
      <c r="U1067" s="495">
        <v>124.30000000000001</v>
      </c>
      <c r="V1067" s="495">
        <v>120.72500000000002</v>
      </c>
      <c r="W1067" s="495">
        <v>117.15000000000002</v>
      </c>
      <c r="X1067" s="495">
        <v>113.57500000000002</v>
      </c>
      <c r="Y1067" s="495">
        <v>110.00000000000001</v>
      </c>
      <c r="Z1067" s="495">
        <v>107.80000000000001</v>
      </c>
      <c r="AA1067" s="495">
        <v>105.60000000000001</v>
      </c>
      <c r="AB1067" s="495">
        <v>103.40000000000002</v>
      </c>
      <c r="AC1067" s="495">
        <v>101.20000000000002</v>
      </c>
      <c r="AD1067" s="495">
        <v>99.000000000000014</v>
      </c>
      <c r="AE1067" s="495">
        <v>96.800000000000011</v>
      </c>
      <c r="AF1067" s="495">
        <v>94.600000000000009</v>
      </c>
      <c r="AG1067" s="495">
        <v>92.4</v>
      </c>
      <c r="AH1067" s="495">
        <v>90.200000000000017</v>
      </c>
      <c r="AI1067" s="495">
        <v>88.000000000000014</v>
      </c>
    </row>
    <row r="1068" spans="2:35" ht="15" outlineLevel="1">
      <c r="B1068" t="str">
        <f t="shared" si="87"/>
        <v>Bio-methanol - Finance cost including feedstock finance cost - Americas - USD/ton fuel</v>
      </c>
      <c r="C1068" s="22" t="str">
        <f>C1058</f>
        <v>Bio-methanol</v>
      </c>
      <c r="D1068" s="22" t="s">
        <v>1365</v>
      </c>
      <c r="E1068" s="22" t="s">
        <v>731</v>
      </c>
      <c r="F1068" s="22" t="s">
        <v>1353</v>
      </c>
      <c r="G1068" s="487" t="str">
        <f t="shared" si="85"/>
        <v>Bio-methanolAmericasFinance cost including feedstock finance cost</v>
      </c>
      <c r="H1068" s="496">
        <v>231.00000000000003</v>
      </c>
      <c r="I1068" s="496">
        <v>209.00000000000003</v>
      </c>
      <c r="J1068" s="496">
        <v>187.00000000000003</v>
      </c>
      <c r="K1068" s="496">
        <v>178.75000000000003</v>
      </c>
      <c r="L1068" s="496">
        <v>170.50000000000003</v>
      </c>
      <c r="M1068" s="496">
        <v>162.25000000000003</v>
      </c>
      <c r="N1068" s="496">
        <v>154.00000000000003</v>
      </c>
      <c r="O1068" s="496">
        <v>145.75000000000003</v>
      </c>
      <c r="P1068" s="496">
        <v>142.17500000000001</v>
      </c>
      <c r="Q1068" s="496">
        <v>138.60000000000002</v>
      </c>
      <c r="R1068" s="496">
        <v>135.02500000000001</v>
      </c>
      <c r="S1068" s="496">
        <v>131.45000000000002</v>
      </c>
      <c r="T1068" s="496">
        <v>127.87500000000001</v>
      </c>
      <c r="U1068" s="496">
        <v>124.30000000000001</v>
      </c>
      <c r="V1068" s="496">
        <v>120.72500000000002</v>
      </c>
      <c r="W1068" s="496">
        <v>117.15000000000002</v>
      </c>
      <c r="X1068" s="496">
        <v>113.57500000000002</v>
      </c>
      <c r="Y1068" s="496">
        <v>110.00000000000001</v>
      </c>
      <c r="Z1068" s="496">
        <v>107.80000000000001</v>
      </c>
      <c r="AA1068" s="496">
        <v>105.60000000000001</v>
      </c>
      <c r="AB1068" s="496">
        <v>103.40000000000002</v>
      </c>
      <c r="AC1068" s="496">
        <v>101.20000000000002</v>
      </c>
      <c r="AD1068" s="496">
        <v>99.000000000000014</v>
      </c>
      <c r="AE1068" s="496">
        <v>96.800000000000011</v>
      </c>
      <c r="AF1068" s="496">
        <v>94.600000000000009</v>
      </c>
      <c r="AG1068" s="496">
        <v>92.4</v>
      </c>
      <c r="AH1068" s="496">
        <v>90.200000000000017</v>
      </c>
      <c r="AI1068" s="496">
        <v>88.000000000000014</v>
      </c>
    </row>
    <row r="1069" spans="2:35" ht="15" outlineLevel="1">
      <c r="B1069" t="str">
        <f t="shared" si="87"/>
        <v>Bio-methanol - Finance cost including feedstock finance cost - Asia - USD/ton fuel</v>
      </c>
      <c r="C1069" s="22" t="str">
        <f>C1058</f>
        <v>Bio-methanol</v>
      </c>
      <c r="D1069" s="22" t="s">
        <v>1365</v>
      </c>
      <c r="E1069" s="22" t="s">
        <v>750</v>
      </c>
      <c r="F1069" s="22" t="s">
        <v>1353</v>
      </c>
      <c r="G1069" s="487" t="str">
        <f t="shared" si="85"/>
        <v>Bio-methanolAsiaFinance cost including feedstock finance cost</v>
      </c>
      <c r="H1069" s="496">
        <v>231.00000000000003</v>
      </c>
      <c r="I1069" s="496">
        <v>209.00000000000003</v>
      </c>
      <c r="J1069" s="496">
        <v>187.00000000000003</v>
      </c>
      <c r="K1069" s="496">
        <v>178.75000000000003</v>
      </c>
      <c r="L1069" s="496">
        <v>170.50000000000003</v>
      </c>
      <c r="M1069" s="496">
        <v>162.25000000000003</v>
      </c>
      <c r="N1069" s="496">
        <v>154.00000000000003</v>
      </c>
      <c r="O1069" s="496">
        <v>145.75000000000003</v>
      </c>
      <c r="P1069" s="496">
        <v>142.17500000000001</v>
      </c>
      <c r="Q1069" s="496">
        <v>138.60000000000002</v>
      </c>
      <c r="R1069" s="496">
        <v>135.02500000000001</v>
      </c>
      <c r="S1069" s="496">
        <v>131.45000000000002</v>
      </c>
      <c r="T1069" s="496">
        <v>127.87500000000001</v>
      </c>
      <c r="U1069" s="496">
        <v>124.30000000000001</v>
      </c>
      <c r="V1069" s="496">
        <v>120.72500000000002</v>
      </c>
      <c r="W1069" s="496">
        <v>117.15000000000002</v>
      </c>
      <c r="X1069" s="496">
        <v>113.57500000000002</v>
      </c>
      <c r="Y1069" s="496">
        <v>110.00000000000001</v>
      </c>
      <c r="Z1069" s="496">
        <v>107.80000000000001</v>
      </c>
      <c r="AA1069" s="496">
        <v>105.60000000000001</v>
      </c>
      <c r="AB1069" s="496">
        <v>103.40000000000002</v>
      </c>
      <c r="AC1069" s="496">
        <v>101.20000000000002</v>
      </c>
      <c r="AD1069" s="496">
        <v>99.000000000000014</v>
      </c>
      <c r="AE1069" s="496">
        <v>96.800000000000011</v>
      </c>
      <c r="AF1069" s="496">
        <v>94.600000000000009</v>
      </c>
      <c r="AG1069" s="496">
        <v>92.4</v>
      </c>
      <c r="AH1069" s="496">
        <v>90.200000000000017</v>
      </c>
      <c r="AI1069" s="496">
        <v>88.000000000000014</v>
      </c>
    </row>
    <row r="1070" spans="2:35" ht="15" outlineLevel="1">
      <c r="B1070" t="str">
        <f t="shared" si="87"/>
        <v>Bio-methanol - Finance cost including feedstock finance cost - Europe - USD/ton fuel</v>
      </c>
      <c r="C1070" s="22" t="str">
        <f>C1058</f>
        <v>Bio-methanol</v>
      </c>
      <c r="D1070" s="22" t="s">
        <v>1365</v>
      </c>
      <c r="E1070" s="22" t="s">
        <v>720</v>
      </c>
      <c r="F1070" s="22" t="s">
        <v>1353</v>
      </c>
      <c r="G1070" s="487" t="str">
        <f t="shared" si="85"/>
        <v>Bio-methanolEuropeFinance cost including feedstock finance cost</v>
      </c>
      <c r="H1070" s="496">
        <v>231.00000000000003</v>
      </c>
      <c r="I1070" s="496">
        <v>209.00000000000003</v>
      </c>
      <c r="J1070" s="496">
        <v>187.00000000000003</v>
      </c>
      <c r="K1070" s="496">
        <v>178.75000000000003</v>
      </c>
      <c r="L1070" s="496">
        <v>170.50000000000003</v>
      </c>
      <c r="M1070" s="496">
        <v>162.25000000000003</v>
      </c>
      <c r="N1070" s="496">
        <v>154.00000000000003</v>
      </c>
      <c r="O1070" s="496">
        <v>145.75000000000003</v>
      </c>
      <c r="P1070" s="496">
        <v>142.17500000000001</v>
      </c>
      <c r="Q1070" s="496">
        <v>138.60000000000002</v>
      </c>
      <c r="R1070" s="496">
        <v>135.02500000000001</v>
      </c>
      <c r="S1070" s="496">
        <v>131.45000000000002</v>
      </c>
      <c r="T1070" s="496">
        <v>127.87500000000001</v>
      </c>
      <c r="U1070" s="496">
        <v>124.30000000000001</v>
      </c>
      <c r="V1070" s="496">
        <v>120.72500000000002</v>
      </c>
      <c r="W1070" s="496">
        <v>117.15000000000002</v>
      </c>
      <c r="X1070" s="496">
        <v>113.57500000000002</v>
      </c>
      <c r="Y1070" s="496">
        <v>110.00000000000001</v>
      </c>
      <c r="Z1070" s="496">
        <v>107.80000000000001</v>
      </c>
      <c r="AA1070" s="496">
        <v>105.60000000000001</v>
      </c>
      <c r="AB1070" s="496">
        <v>103.40000000000002</v>
      </c>
      <c r="AC1070" s="496">
        <v>101.20000000000002</v>
      </c>
      <c r="AD1070" s="496">
        <v>99.000000000000014</v>
      </c>
      <c r="AE1070" s="496">
        <v>96.800000000000011</v>
      </c>
      <c r="AF1070" s="496">
        <v>94.600000000000009</v>
      </c>
      <c r="AG1070" s="496">
        <v>92.4</v>
      </c>
      <c r="AH1070" s="496">
        <v>90.200000000000017</v>
      </c>
      <c r="AI1070" s="496">
        <v>88.000000000000014</v>
      </c>
    </row>
    <row r="1071" spans="2:35" ht="15" outlineLevel="1">
      <c r="B1071" t="str">
        <f t="shared" si="87"/>
        <v>Bio-methanol - Finance cost including feedstock finance cost - Middle East - USD/ton fuel</v>
      </c>
      <c r="C1071" s="92" t="str">
        <f>C1058</f>
        <v>Bio-methanol</v>
      </c>
      <c r="D1071" s="92" t="s">
        <v>1365</v>
      </c>
      <c r="E1071" s="92" t="s">
        <v>826</v>
      </c>
      <c r="F1071" s="92" t="s">
        <v>1353</v>
      </c>
      <c r="G1071" s="487" t="str">
        <f t="shared" si="85"/>
        <v>Bio-methanolMiddle EastFinance cost including feedstock finance cost</v>
      </c>
      <c r="H1071" s="497">
        <v>231.00000000000003</v>
      </c>
      <c r="I1071" s="497">
        <v>209.00000000000003</v>
      </c>
      <c r="J1071" s="497">
        <v>187.00000000000003</v>
      </c>
      <c r="K1071" s="497">
        <v>178.75000000000003</v>
      </c>
      <c r="L1071" s="497">
        <v>170.50000000000003</v>
      </c>
      <c r="M1071" s="497">
        <v>162.25000000000003</v>
      </c>
      <c r="N1071" s="497">
        <v>154.00000000000003</v>
      </c>
      <c r="O1071" s="497">
        <v>145.75000000000003</v>
      </c>
      <c r="P1071" s="497">
        <v>142.17500000000001</v>
      </c>
      <c r="Q1071" s="497">
        <v>138.60000000000002</v>
      </c>
      <c r="R1071" s="497">
        <v>135.02500000000001</v>
      </c>
      <c r="S1071" s="497">
        <v>131.45000000000002</v>
      </c>
      <c r="T1071" s="497">
        <v>127.87500000000001</v>
      </c>
      <c r="U1071" s="497">
        <v>124.30000000000001</v>
      </c>
      <c r="V1071" s="497">
        <v>120.72500000000002</v>
      </c>
      <c r="W1071" s="497">
        <v>117.15000000000002</v>
      </c>
      <c r="X1071" s="497">
        <v>113.57500000000002</v>
      </c>
      <c r="Y1071" s="497">
        <v>110.00000000000001</v>
      </c>
      <c r="Z1071" s="497">
        <v>107.80000000000001</v>
      </c>
      <c r="AA1071" s="497">
        <v>105.60000000000001</v>
      </c>
      <c r="AB1071" s="497">
        <v>103.40000000000002</v>
      </c>
      <c r="AC1071" s="497">
        <v>101.20000000000002</v>
      </c>
      <c r="AD1071" s="497">
        <v>99.000000000000014</v>
      </c>
      <c r="AE1071" s="497">
        <v>96.800000000000011</v>
      </c>
      <c r="AF1071" s="497">
        <v>94.600000000000009</v>
      </c>
      <c r="AG1071" s="497">
        <v>92.4</v>
      </c>
      <c r="AH1071" s="497">
        <v>90.200000000000017</v>
      </c>
      <c r="AI1071" s="497">
        <v>88.000000000000014</v>
      </c>
    </row>
    <row r="1072" spans="2:35" outlineLevel="1">
      <c r="B1072" t="str">
        <f t="shared" si="87"/>
        <v>Bio-methanol - Finance cost - Africa - USD/ton fuel</v>
      </c>
      <c r="C1072" t="str">
        <f>C1054</f>
        <v>Bio-methanol</v>
      </c>
      <c r="D1072" t="s">
        <v>1366</v>
      </c>
      <c r="E1072" t="s">
        <v>838</v>
      </c>
      <c r="F1072" t="s">
        <v>1353</v>
      </c>
      <c r="G1072" s="487" t="str">
        <f t="shared" si="85"/>
        <v>Bio-methanolAfricaFinance cost</v>
      </c>
      <c r="H1072" s="493">
        <v>231.00000000000003</v>
      </c>
      <c r="I1072" s="493">
        <v>209.00000000000003</v>
      </c>
      <c r="J1072" s="493">
        <v>187.00000000000003</v>
      </c>
      <c r="K1072" s="493">
        <v>178.75000000000003</v>
      </c>
      <c r="L1072" s="493">
        <v>170.50000000000003</v>
      </c>
      <c r="M1072" s="493">
        <v>162.25000000000003</v>
      </c>
      <c r="N1072" s="493">
        <v>154.00000000000003</v>
      </c>
      <c r="O1072" s="493">
        <v>145.75000000000003</v>
      </c>
      <c r="P1072" s="493">
        <v>142.17500000000001</v>
      </c>
      <c r="Q1072" s="493">
        <v>138.60000000000002</v>
      </c>
      <c r="R1072" s="493">
        <v>135.02500000000001</v>
      </c>
      <c r="S1072" s="493">
        <v>131.45000000000002</v>
      </c>
      <c r="T1072" s="493">
        <v>127.87500000000001</v>
      </c>
      <c r="U1072" s="493">
        <v>124.30000000000001</v>
      </c>
      <c r="V1072" s="493">
        <v>120.72500000000002</v>
      </c>
      <c r="W1072" s="493">
        <v>117.15000000000002</v>
      </c>
      <c r="X1072" s="493">
        <v>113.57500000000002</v>
      </c>
      <c r="Y1072" s="493">
        <v>110.00000000000001</v>
      </c>
      <c r="Z1072" s="493">
        <v>107.80000000000001</v>
      </c>
      <c r="AA1072" s="493">
        <v>105.60000000000001</v>
      </c>
      <c r="AB1072" s="493">
        <v>103.40000000000002</v>
      </c>
      <c r="AC1072" s="493">
        <v>101.20000000000002</v>
      </c>
      <c r="AD1072" s="493">
        <v>99.000000000000014</v>
      </c>
      <c r="AE1072" s="493">
        <v>96.800000000000011</v>
      </c>
      <c r="AF1072" s="493">
        <v>94.600000000000009</v>
      </c>
      <c r="AG1072" s="493">
        <v>92.4</v>
      </c>
      <c r="AH1072" s="493">
        <v>90.200000000000017</v>
      </c>
      <c r="AI1072" s="493">
        <v>88.000000000000014</v>
      </c>
    </row>
    <row r="1073" spans="2:64" outlineLevel="1">
      <c r="B1073" t="str">
        <f t="shared" si="87"/>
        <v>Bio-methanol - Finance cost - Americas - USD/ton fuel</v>
      </c>
      <c r="C1073" t="str">
        <f>C1054</f>
        <v>Bio-methanol</v>
      </c>
      <c r="D1073" t="s">
        <v>1366</v>
      </c>
      <c r="E1073" t="s">
        <v>731</v>
      </c>
      <c r="F1073" t="s">
        <v>1353</v>
      </c>
      <c r="G1073" s="487" t="str">
        <f t="shared" si="85"/>
        <v>Bio-methanolAmericasFinance cost</v>
      </c>
      <c r="H1073" s="493">
        <v>231.00000000000003</v>
      </c>
      <c r="I1073" s="493">
        <v>209.00000000000003</v>
      </c>
      <c r="J1073" s="493">
        <v>187.00000000000003</v>
      </c>
      <c r="K1073" s="493">
        <v>178.75000000000003</v>
      </c>
      <c r="L1073" s="493">
        <v>170.50000000000003</v>
      </c>
      <c r="M1073" s="493">
        <v>162.25000000000003</v>
      </c>
      <c r="N1073" s="493">
        <v>154.00000000000003</v>
      </c>
      <c r="O1073" s="493">
        <v>145.75000000000003</v>
      </c>
      <c r="P1073" s="493">
        <v>142.17500000000001</v>
      </c>
      <c r="Q1073" s="493">
        <v>138.60000000000002</v>
      </c>
      <c r="R1073" s="493">
        <v>135.02500000000001</v>
      </c>
      <c r="S1073" s="493">
        <v>131.45000000000002</v>
      </c>
      <c r="T1073" s="493">
        <v>127.87500000000001</v>
      </c>
      <c r="U1073" s="493">
        <v>124.30000000000001</v>
      </c>
      <c r="V1073" s="493">
        <v>120.72500000000002</v>
      </c>
      <c r="W1073" s="493">
        <v>117.15000000000002</v>
      </c>
      <c r="X1073" s="493">
        <v>113.57500000000002</v>
      </c>
      <c r="Y1073" s="493">
        <v>110.00000000000001</v>
      </c>
      <c r="Z1073" s="493">
        <v>107.80000000000001</v>
      </c>
      <c r="AA1073" s="493">
        <v>105.60000000000001</v>
      </c>
      <c r="AB1073" s="493">
        <v>103.40000000000002</v>
      </c>
      <c r="AC1073" s="493">
        <v>101.20000000000002</v>
      </c>
      <c r="AD1073" s="493">
        <v>99.000000000000014</v>
      </c>
      <c r="AE1073" s="493">
        <v>96.800000000000011</v>
      </c>
      <c r="AF1073" s="493">
        <v>94.600000000000009</v>
      </c>
      <c r="AG1073" s="493">
        <v>92.4</v>
      </c>
      <c r="AH1073" s="493">
        <v>90.200000000000017</v>
      </c>
      <c r="AI1073" s="493">
        <v>88.000000000000014</v>
      </c>
    </row>
    <row r="1074" spans="2:64" outlineLevel="1">
      <c r="B1074" t="str">
        <f t="shared" si="87"/>
        <v>Bio-methanol - Finance cost - Asia - USD/ton fuel</v>
      </c>
      <c r="C1074" t="str">
        <f>C1054</f>
        <v>Bio-methanol</v>
      </c>
      <c r="D1074" t="s">
        <v>1366</v>
      </c>
      <c r="E1074" t="s">
        <v>750</v>
      </c>
      <c r="F1074" t="s">
        <v>1353</v>
      </c>
      <c r="G1074" s="487" t="str">
        <f t="shared" si="85"/>
        <v>Bio-methanolAsiaFinance cost</v>
      </c>
      <c r="H1074" s="493">
        <v>231.00000000000003</v>
      </c>
      <c r="I1074" s="493">
        <v>209.00000000000003</v>
      </c>
      <c r="J1074" s="493">
        <v>187.00000000000003</v>
      </c>
      <c r="K1074" s="493">
        <v>178.75000000000003</v>
      </c>
      <c r="L1074" s="493">
        <v>170.50000000000003</v>
      </c>
      <c r="M1074" s="493">
        <v>162.25000000000003</v>
      </c>
      <c r="N1074" s="493">
        <v>154.00000000000003</v>
      </c>
      <c r="O1074" s="493">
        <v>145.75000000000003</v>
      </c>
      <c r="P1074" s="493">
        <v>142.17500000000001</v>
      </c>
      <c r="Q1074" s="493">
        <v>138.60000000000002</v>
      </c>
      <c r="R1074" s="493">
        <v>135.02500000000001</v>
      </c>
      <c r="S1074" s="493">
        <v>131.45000000000002</v>
      </c>
      <c r="T1074" s="493">
        <v>127.87500000000001</v>
      </c>
      <c r="U1074" s="493">
        <v>124.30000000000001</v>
      </c>
      <c r="V1074" s="493">
        <v>120.72500000000002</v>
      </c>
      <c r="W1074" s="493">
        <v>117.15000000000002</v>
      </c>
      <c r="X1074" s="493">
        <v>113.57500000000002</v>
      </c>
      <c r="Y1074" s="493">
        <v>110.00000000000001</v>
      </c>
      <c r="Z1074" s="493">
        <v>107.80000000000001</v>
      </c>
      <c r="AA1074" s="493">
        <v>105.60000000000001</v>
      </c>
      <c r="AB1074" s="493">
        <v>103.40000000000002</v>
      </c>
      <c r="AC1074" s="493">
        <v>101.20000000000002</v>
      </c>
      <c r="AD1074" s="493">
        <v>99.000000000000014</v>
      </c>
      <c r="AE1074" s="493">
        <v>96.800000000000011</v>
      </c>
      <c r="AF1074" s="493">
        <v>94.600000000000009</v>
      </c>
      <c r="AG1074" s="493">
        <v>92.4</v>
      </c>
      <c r="AH1074" s="493">
        <v>90.200000000000017</v>
      </c>
      <c r="AI1074" s="493">
        <v>88.000000000000014</v>
      </c>
    </row>
    <row r="1075" spans="2:64" outlineLevel="1">
      <c r="B1075" t="str">
        <f t="shared" si="87"/>
        <v>Bio-methanol - Finance cost - Europe - USD/ton fuel</v>
      </c>
      <c r="C1075" t="str">
        <f>C1054</f>
        <v>Bio-methanol</v>
      </c>
      <c r="D1075" t="s">
        <v>1366</v>
      </c>
      <c r="E1075" t="s">
        <v>720</v>
      </c>
      <c r="F1075" t="s">
        <v>1353</v>
      </c>
      <c r="G1075" s="487" t="str">
        <f t="shared" si="85"/>
        <v>Bio-methanolEuropeFinance cost</v>
      </c>
      <c r="H1075" s="493">
        <v>231.00000000000003</v>
      </c>
      <c r="I1075" s="493">
        <v>209.00000000000003</v>
      </c>
      <c r="J1075" s="493">
        <v>187.00000000000003</v>
      </c>
      <c r="K1075" s="493">
        <v>178.75000000000003</v>
      </c>
      <c r="L1075" s="493">
        <v>170.50000000000003</v>
      </c>
      <c r="M1075" s="493">
        <v>162.25000000000003</v>
      </c>
      <c r="N1075" s="493">
        <v>154.00000000000003</v>
      </c>
      <c r="O1075" s="493">
        <v>145.75000000000003</v>
      </c>
      <c r="P1075" s="493">
        <v>142.17500000000001</v>
      </c>
      <c r="Q1075" s="493">
        <v>138.60000000000002</v>
      </c>
      <c r="R1075" s="493">
        <v>135.02500000000001</v>
      </c>
      <c r="S1075" s="493">
        <v>131.45000000000002</v>
      </c>
      <c r="T1075" s="493">
        <v>127.87500000000001</v>
      </c>
      <c r="U1075" s="493">
        <v>124.30000000000001</v>
      </c>
      <c r="V1075" s="493">
        <v>120.72500000000002</v>
      </c>
      <c r="W1075" s="493">
        <v>117.15000000000002</v>
      </c>
      <c r="X1075" s="493">
        <v>113.57500000000002</v>
      </c>
      <c r="Y1075" s="493">
        <v>110.00000000000001</v>
      </c>
      <c r="Z1075" s="493">
        <v>107.80000000000001</v>
      </c>
      <c r="AA1075" s="493">
        <v>105.60000000000001</v>
      </c>
      <c r="AB1075" s="493">
        <v>103.40000000000002</v>
      </c>
      <c r="AC1075" s="493">
        <v>101.20000000000002</v>
      </c>
      <c r="AD1075" s="493">
        <v>99.000000000000014</v>
      </c>
      <c r="AE1075" s="493">
        <v>96.800000000000011</v>
      </c>
      <c r="AF1075" s="493">
        <v>94.600000000000009</v>
      </c>
      <c r="AG1075" s="493">
        <v>92.4</v>
      </c>
      <c r="AH1075" s="493">
        <v>90.200000000000017</v>
      </c>
      <c r="AI1075" s="493">
        <v>88.000000000000014</v>
      </c>
    </row>
    <row r="1076" spans="2:64" outlineLevel="1">
      <c r="B1076" t="str">
        <f t="shared" si="87"/>
        <v>Bio-methanol - Finance cost - Middle East - USD/ton fuel</v>
      </c>
      <c r="C1076" t="str">
        <f>C1054</f>
        <v>Bio-methanol</v>
      </c>
      <c r="D1076" t="s">
        <v>1366</v>
      </c>
      <c r="E1076" t="s">
        <v>826</v>
      </c>
      <c r="F1076" t="s">
        <v>1353</v>
      </c>
      <c r="G1076" s="487" t="str">
        <f t="shared" si="85"/>
        <v>Bio-methanolMiddle EastFinance cost</v>
      </c>
      <c r="H1076" s="493">
        <v>231.00000000000003</v>
      </c>
      <c r="I1076" s="493">
        <v>209.00000000000003</v>
      </c>
      <c r="J1076" s="493">
        <v>187.00000000000003</v>
      </c>
      <c r="K1076" s="493">
        <v>178.75000000000003</v>
      </c>
      <c r="L1076" s="493">
        <v>170.50000000000003</v>
      </c>
      <c r="M1076" s="493">
        <v>162.25000000000003</v>
      </c>
      <c r="N1076" s="493">
        <v>154.00000000000003</v>
      </c>
      <c r="O1076" s="493">
        <v>145.75000000000003</v>
      </c>
      <c r="P1076" s="493">
        <v>142.17500000000001</v>
      </c>
      <c r="Q1076" s="493">
        <v>138.60000000000002</v>
      </c>
      <c r="R1076" s="493">
        <v>135.02500000000001</v>
      </c>
      <c r="S1076" s="493">
        <v>131.45000000000002</v>
      </c>
      <c r="T1076" s="493">
        <v>127.87500000000001</v>
      </c>
      <c r="U1076" s="493">
        <v>124.30000000000001</v>
      </c>
      <c r="V1076" s="493">
        <v>120.72500000000002</v>
      </c>
      <c r="W1076" s="493">
        <v>117.15000000000002</v>
      </c>
      <c r="X1076" s="493">
        <v>113.57500000000002</v>
      </c>
      <c r="Y1076" s="493">
        <v>110.00000000000001</v>
      </c>
      <c r="Z1076" s="493">
        <v>107.80000000000001</v>
      </c>
      <c r="AA1076" s="493">
        <v>105.60000000000001</v>
      </c>
      <c r="AB1076" s="493">
        <v>103.40000000000002</v>
      </c>
      <c r="AC1076" s="493">
        <v>101.20000000000002</v>
      </c>
      <c r="AD1076" s="493">
        <v>99.000000000000014</v>
      </c>
      <c r="AE1076" s="493">
        <v>96.800000000000011</v>
      </c>
      <c r="AF1076" s="493">
        <v>94.600000000000009</v>
      </c>
      <c r="AG1076" s="493">
        <v>92.4</v>
      </c>
      <c r="AH1076" s="493">
        <v>90.200000000000017</v>
      </c>
      <c r="AI1076" s="493">
        <v>88.000000000000014</v>
      </c>
    </row>
    <row r="1077" spans="2:64" ht="15" outlineLevel="1" thickBot="1">
      <c r="B1077" t="str">
        <f t="shared" si="87"/>
        <v/>
      </c>
      <c r="G1077" s="487" t="str">
        <f t="shared" si="85"/>
        <v/>
      </c>
      <c r="H1077" s="498"/>
    </row>
    <row r="1078" spans="2:64" ht="15" outlineLevel="1">
      <c r="B1078" t="str">
        <f t="shared" si="87"/>
        <v>Bio-methanol - Energy cost including feedstock energy cost - Africa - USD/ton fuel</v>
      </c>
      <c r="C1078" s="494" t="str">
        <f>C1054</f>
        <v>Bio-methanol</v>
      </c>
      <c r="D1078" s="494" t="s">
        <v>1367</v>
      </c>
      <c r="E1078" s="494" t="s">
        <v>838</v>
      </c>
      <c r="F1078" s="494" t="s">
        <v>1353</v>
      </c>
      <c r="G1078" s="487" t="str">
        <f t="shared" si="85"/>
        <v>Bio-methanolAfricaEnergy cost including feedstock energy cost</v>
      </c>
      <c r="H1078" s="495">
        <v>30.723446955891486</v>
      </c>
      <c r="I1078" s="495">
        <v>27.115700100702867</v>
      </c>
      <c r="J1078" s="495">
        <v>23.507953245513288</v>
      </c>
      <c r="K1078" s="495">
        <v>22.488261078540386</v>
      </c>
      <c r="L1078" s="495">
        <v>21.469818167041836</v>
      </c>
      <c r="M1078" s="495">
        <v>20.452624511017646</v>
      </c>
      <c r="N1078" s="495">
        <v>19.43668011046757</v>
      </c>
      <c r="O1078" s="495">
        <v>18.421984965392092</v>
      </c>
      <c r="P1078" s="495">
        <v>17.851207598562304</v>
      </c>
      <c r="Q1078" s="495">
        <v>17.281127567734838</v>
      </c>
      <c r="R1078" s="495">
        <v>16.711744872909456</v>
      </c>
      <c r="S1078" s="495">
        <v>16.143059514086637</v>
      </c>
      <c r="T1078" s="495">
        <v>15.575071491266204</v>
      </c>
      <c r="U1078" s="495">
        <v>15.302904838111498</v>
      </c>
      <c r="V1078" s="495">
        <v>15.031066409554443</v>
      </c>
      <c r="W1078" s="495">
        <v>14.759556205594913</v>
      </c>
      <c r="X1078" s="495">
        <v>14.48837422623297</v>
      </c>
      <c r="Y1078" s="495">
        <v>14.217520471468733</v>
      </c>
      <c r="Z1078" s="495">
        <v>13.939598860253643</v>
      </c>
      <c r="AA1078" s="495">
        <v>13.66201475292308</v>
      </c>
      <c r="AB1078" s="495">
        <v>13.384768149476928</v>
      </c>
      <c r="AC1078" s="495">
        <v>13.107859049915422</v>
      </c>
      <c r="AD1078" s="495">
        <v>12.831287454238387</v>
      </c>
      <c r="AE1078" s="495">
        <v>12.691595612730355</v>
      </c>
      <c r="AF1078" s="495">
        <v>12.552069427167757</v>
      </c>
      <c r="AG1078" s="495">
        <v>12.412708897550477</v>
      </c>
      <c r="AH1078" s="495">
        <v>12.273514023878572</v>
      </c>
      <c r="AI1078" s="495">
        <v>12.134484806152102</v>
      </c>
      <c r="AK1078" s="499" t="e">
        <f>H1061+H1064+H1067+H1078+#REF!=H1055</f>
        <v>#REF!</v>
      </c>
      <c r="AL1078" s="500" t="e">
        <f>I1061+I1064+I1067+I1078+#REF!=I1055</f>
        <v>#REF!</v>
      </c>
      <c r="AM1078" s="500" t="e">
        <f>J1061+J1064+J1067+J1078+#REF!=J1055</f>
        <v>#REF!</v>
      </c>
      <c r="AN1078" s="500" t="e">
        <f>K1061+K1064+K1067+K1078+#REF!=K1055</f>
        <v>#REF!</v>
      </c>
      <c r="AO1078" s="500" t="e">
        <f>L1061+L1064+L1067+L1078+#REF!=L1055</f>
        <v>#REF!</v>
      </c>
      <c r="AP1078" s="500" t="e">
        <f>M1061+M1064+M1067+M1078+#REF!=M1055</f>
        <v>#REF!</v>
      </c>
      <c r="AQ1078" s="500" t="e">
        <f>N1061+N1064+N1067+N1078+#REF!=N1055</f>
        <v>#REF!</v>
      </c>
      <c r="AR1078" s="500" t="e">
        <f>O1061+O1064+O1067+O1078+#REF!=O1055</f>
        <v>#REF!</v>
      </c>
      <c r="AS1078" s="500" t="e">
        <f>P1061+P1064+P1067+P1078+#REF!=P1055</f>
        <v>#REF!</v>
      </c>
      <c r="AT1078" s="500" t="e">
        <f>Q1061+Q1064+Q1067+Q1078+#REF!=Q1055</f>
        <v>#REF!</v>
      </c>
      <c r="AU1078" s="500" t="e">
        <f>R1061+R1064+R1067+R1078+#REF!=R1055</f>
        <v>#REF!</v>
      </c>
      <c r="AV1078" s="500" t="e">
        <f>S1061+S1064+S1067+S1078+#REF!=S1055</f>
        <v>#REF!</v>
      </c>
      <c r="AW1078" s="500" t="e">
        <f>T1061+T1064+T1067+T1078+#REF!=T1055</f>
        <v>#REF!</v>
      </c>
      <c r="AX1078" s="500" t="e">
        <f>U1061+U1064+U1067+U1078+#REF!=U1055</f>
        <v>#REF!</v>
      </c>
      <c r="AY1078" s="500" t="e">
        <f>V1061+V1064+V1067+V1078+#REF!=V1055</f>
        <v>#REF!</v>
      </c>
      <c r="AZ1078" s="500" t="e">
        <f>W1061+W1064+W1067+W1078+#REF!=W1055</f>
        <v>#REF!</v>
      </c>
      <c r="BA1078" s="500" t="e">
        <f>X1061+X1064+X1067+X1078+#REF!=X1055</f>
        <v>#REF!</v>
      </c>
      <c r="BB1078" s="500" t="e">
        <f>Y1061+Y1064+Y1067+Y1078+#REF!=Y1055</f>
        <v>#REF!</v>
      </c>
      <c r="BC1078" s="500" t="e">
        <f>Z1061+Z1064+Z1067+Z1078+#REF!=Z1055</f>
        <v>#REF!</v>
      </c>
      <c r="BD1078" s="500" t="e">
        <f>AA1061+AA1064+AA1067+AA1078+#REF!=AA1055</f>
        <v>#REF!</v>
      </c>
      <c r="BE1078" s="500" t="e">
        <f>AB1061+AB1064+AB1067+AB1078+#REF!=AB1055</f>
        <v>#REF!</v>
      </c>
      <c r="BF1078" s="500" t="e">
        <f>AC1061+AC1064+AC1067+AC1078+#REF!=AC1055</f>
        <v>#REF!</v>
      </c>
      <c r="BG1078" s="500" t="e">
        <f>AD1061+AD1064+AD1067+AD1078+#REF!=AD1055</f>
        <v>#REF!</v>
      </c>
      <c r="BH1078" s="500" t="e">
        <f>AE1061+AE1064+AE1067+AE1078+#REF!=AE1055</f>
        <v>#REF!</v>
      </c>
      <c r="BI1078" s="500" t="e">
        <f>AF1061+AF1064+AF1067+AF1078+#REF!=AF1055</f>
        <v>#REF!</v>
      </c>
      <c r="BJ1078" s="500" t="e">
        <f>AG1061+AG1064+AG1067+AG1078+#REF!=AG1055</f>
        <v>#REF!</v>
      </c>
      <c r="BK1078" s="500" t="e">
        <f>AH1061+AH1064+AH1067+AH1078+#REF!=AH1055</f>
        <v>#REF!</v>
      </c>
      <c r="BL1078" s="501" t="e">
        <f>AI1061+AI1064+AI1067+AI1078+#REF!=AI1055</f>
        <v>#REF!</v>
      </c>
    </row>
    <row r="1079" spans="2:64" ht="15" outlineLevel="1">
      <c r="B1079" t="str">
        <f t="shared" si="87"/>
        <v>Bio-methanol - Energy cost including feedstock energy cost - Americas - USD/ton fuel</v>
      </c>
      <c r="C1079" s="22" t="str">
        <f>C1054</f>
        <v>Bio-methanol</v>
      </c>
      <c r="D1079" s="22" t="s">
        <v>1367</v>
      </c>
      <c r="E1079" s="22" t="s">
        <v>731</v>
      </c>
      <c r="F1079" s="22" t="s">
        <v>1353</v>
      </c>
      <c r="G1079" s="487" t="str">
        <f t="shared" si="85"/>
        <v>Bio-methanolAmericasEnergy cost including feedstock energy cost</v>
      </c>
      <c r="H1079" s="496">
        <v>19.303998889907085</v>
      </c>
      <c r="I1079" s="496">
        <v>18.904240015341401</v>
      </c>
      <c r="J1079" s="496">
        <v>18.504481140775592</v>
      </c>
      <c r="K1079" s="496">
        <v>17.817658645772781</v>
      </c>
      <c r="L1079" s="496">
        <v>17.131675536121442</v>
      </c>
      <c r="M1079" s="496">
        <v>16.446531811821576</v>
      </c>
      <c r="N1079" s="496">
        <v>15.762227472873425</v>
      </c>
      <c r="O1079" s="496">
        <v>15.078762519276511</v>
      </c>
      <c r="P1079" s="496">
        <v>14.745393195389994</v>
      </c>
      <c r="Q1079" s="496">
        <v>14.412427803887153</v>
      </c>
      <c r="R1079" s="496">
        <v>14.079866344767993</v>
      </c>
      <c r="S1079" s="496">
        <v>13.74770881803251</v>
      </c>
      <c r="T1079" s="496">
        <v>13.415955223680649</v>
      </c>
      <c r="U1079" s="496">
        <v>13.145767234453128</v>
      </c>
      <c r="V1079" s="496">
        <v>12.875906682751648</v>
      </c>
      <c r="W1079" s="496">
        <v>12.606373568576146</v>
      </c>
      <c r="X1079" s="496">
        <v>12.33716789192674</v>
      </c>
      <c r="Y1079" s="496">
        <v>12.068289652803344</v>
      </c>
      <c r="Z1079" s="496">
        <v>11.955581287001642</v>
      </c>
      <c r="AA1079" s="496">
        <v>11.843004835357581</v>
      </c>
      <c r="AB1079" s="496">
        <v>11.730560297871191</v>
      </c>
      <c r="AC1079" s="496">
        <v>11.61824767454241</v>
      </c>
      <c r="AD1079" s="496">
        <v>11.50606696537127</v>
      </c>
      <c r="AE1079" s="496">
        <v>11.41975712039071</v>
      </c>
      <c r="AF1079" s="496">
        <v>11.333546795305164</v>
      </c>
      <c r="AG1079" s="496">
        <v>11.247435990114605</v>
      </c>
      <c r="AH1079" s="496">
        <v>11.16142470481903</v>
      </c>
      <c r="AI1079" s="496">
        <v>11.075512939418443</v>
      </c>
      <c r="AK1079" s="502" t="e">
        <f>H1061+H1064+H1068+H1079+#REF!=H1056</f>
        <v>#REF!</v>
      </c>
      <c r="AL1079" s="106" t="e">
        <f>I1061+I1064+I1068+I1079+#REF!=I1056</f>
        <v>#REF!</v>
      </c>
      <c r="AM1079" s="106" t="e">
        <f>J1061+J1064+J1068+J1079+#REF!=J1056</f>
        <v>#REF!</v>
      </c>
      <c r="AN1079" s="106" t="e">
        <f>K1061+K1064+K1068+K1079+#REF!=K1056</f>
        <v>#REF!</v>
      </c>
      <c r="AO1079" s="106" t="e">
        <f>L1061+L1064+L1068+L1079+#REF!=L1056</f>
        <v>#REF!</v>
      </c>
      <c r="AP1079" s="106" t="e">
        <f>M1061+M1064+M1068+M1079+#REF!=M1056</f>
        <v>#REF!</v>
      </c>
      <c r="AQ1079" s="106" t="e">
        <f>N1061+N1064+N1068+N1079+#REF!=N1056</f>
        <v>#REF!</v>
      </c>
      <c r="AR1079" s="106" t="e">
        <f>O1061+O1064+O1068+O1079+#REF!=O1056</f>
        <v>#REF!</v>
      </c>
      <c r="AS1079" s="106" t="e">
        <f>P1061+P1064+P1068+P1079+#REF!=P1056</f>
        <v>#REF!</v>
      </c>
      <c r="AT1079" s="106" t="e">
        <f>Q1061+Q1064+Q1068+Q1079+#REF!=Q1056</f>
        <v>#REF!</v>
      </c>
      <c r="AU1079" s="106" t="e">
        <f>R1061+R1064+R1068+R1079+#REF!=R1056</f>
        <v>#REF!</v>
      </c>
      <c r="AV1079" s="106" t="e">
        <f>S1061+S1064+S1068+S1079+#REF!=S1056</f>
        <v>#REF!</v>
      </c>
      <c r="AW1079" s="106" t="e">
        <f>T1061+T1064+T1068+T1079+#REF!=T1056</f>
        <v>#REF!</v>
      </c>
      <c r="AX1079" s="106" t="e">
        <f>U1061+U1064+U1068+U1079+#REF!=U1056</f>
        <v>#REF!</v>
      </c>
      <c r="AY1079" s="106" t="e">
        <f>V1061+V1064+V1068+V1079+#REF!=V1056</f>
        <v>#REF!</v>
      </c>
      <c r="AZ1079" s="106" t="e">
        <f>W1061+W1064+W1068+W1079+#REF!=W1056</f>
        <v>#REF!</v>
      </c>
      <c r="BA1079" s="106" t="e">
        <f>X1061+X1064+X1068+X1079+#REF!=X1056</f>
        <v>#REF!</v>
      </c>
      <c r="BB1079" s="106" t="e">
        <f>Y1061+Y1064+Y1068+Y1079+#REF!=Y1056</f>
        <v>#REF!</v>
      </c>
      <c r="BC1079" s="106" t="e">
        <f>Z1061+Z1064+Z1068+Z1079+#REF!=Z1056</f>
        <v>#REF!</v>
      </c>
      <c r="BD1079" s="106" t="e">
        <f>AA1061+AA1064+AA1068+AA1079+#REF!=AA1056</f>
        <v>#REF!</v>
      </c>
      <c r="BE1079" s="106" t="e">
        <f>AB1061+AB1064+AB1068+AB1079+#REF!=AB1056</f>
        <v>#REF!</v>
      </c>
      <c r="BF1079" s="106" t="e">
        <f>AC1061+AC1064+AC1068+AC1079+#REF!=AC1056</f>
        <v>#REF!</v>
      </c>
      <c r="BG1079" s="106" t="e">
        <f>AD1061+AD1064+AD1068+AD1079+#REF!=AD1056</f>
        <v>#REF!</v>
      </c>
      <c r="BH1079" s="106" t="e">
        <f>AE1061+AE1064+AE1068+AE1079+#REF!=AE1056</f>
        <v>#REF!</v>
      </c>
      <c r="BI1079" s="106" t="e">
        <f>AF1061+AF1064+AF1068+AF1079+#REF!=AF1056</f>
        <v>#REF!</v>
      </c>
      <c r="BJ1079" s="106" t="e">
        <f>AG1061+AG1064+AG1068+AG1079+#REF!=AG1056</f>
        <v>#REF!</v>
      </c>
      <c r="BK1079" s="106" t="e">
        <f>AH1061+AH1064+AH1068+AH1079+#REF!=AH1056</f>
        <v>#REF!</v>
      </c>
      <c r="BL1079" s="503" t="e">
        <f>AI1061+AI1064+AI1068+AI1079+#REF!=AI1056</f>
        <v>#REF!</v>
      </c>
    </row>
    <row r="1080" spans="2:64" ht="15" outlineLevel="1">
      <c r="B1080" t="str">
        <f t="shared" si="87"/>
        <v>Bio-methanol - Energy cost including feedstock energy cost - Asia - USD/ton fuel</v>
      </c>
      <c r="C1080" s="22" t="str">
        <f>C1054</f>
        <v>Bio-methanol</v>
      </c>
      <c r="D1080" s="22" t="s">
        <v>1367</v>
      </c>
      <c r="E1080" s="22" t="s">
        <v>750</v>
      </c>
      <c r="F1080" s="22" t="s">
        <v>1353</v>
      </c>
      <c r="G1080" s="487" t="str">
        <f t="shared" si="85"/>
        <v>Bio-methanolAsiaEnergy cost including feedstock energy cost</v>
      </c>
      <c r="H1080" s="496">
        <v>34.170859336812548</v>
      </c>
      <c r="I1080" s="496">
        <v>31.168120732103766</v>
      </c>
      <c r="J1080" s="496">
        <v>28.165382127396416</v>
      </c>
      <c r="K1080" s="496">
        <v>27.071500779378947</v>
      </c>
      <c r="L1080" s="496">
        <v>25.978957303224462</v>
      </c>
      <c r="M1080" s="496">
        <v>24.887751698932011</v>
      </c>
      <c r="N1080" s="496">
        <v>23.797883966502074</v>
      </c>
      <c r="O1080" s="496">
        <v>22.709354105935123</v>
      </c>
      <c r="P1080" s="496">
        <v>21.965869697626502</v>
      </c>
      <c r="Q1080" s="496">
        <v>21.223294626291548</v>
      </c>
      <c r="R1080" s="496">
        <v>20.48162889193026</v>
      </c>
      <c r="S1080" s="496">
        <v>19.740872494542163</v>
      </c>
      <c r="T1080" s="496">
        <v>19.001025434127499</v>
      </c>
      <c r="U1080" s="496">
        <v>18.619494200174767</v>
      </c>
      <c r="V1080" s="496">
        <v>18.23842529517054</v>
      </c>
      <c r="W1080" s="496">
        <v>17.857818719114928</v>
      </c>
      <c r="X1080" s="496">
        <v>17.477674472007699</v>
      </c>
      <c r="Y1080" s="496">
        <v>17.097992553849206</v>
      </c>
      <c r="Z1080" s="496">
        <v>16.701553631320063</v>
      </c>
      <c r="AA1080" s="496">
        <v>16.305598641496143</v>
      </c>
      <c r="AB1080" s="496">
        <v>15.910127584377216</v>
      </c>
      <c r="AC1080" s="496">
        <v>15.515140459963511</v>
      </c>
      <c r="AD1080" s="496">
        <v>15.120637268254796</v>
      </c>
      <c r="AE1080" s="496">
        <v>14.934796849625767</v>
      </c>
      <c r="AF1080" s="496">
        <v>14.749178356120842</v>
      </c>
      <c r="AG1080" s="496">
        <v>14.56378178774014</v>
      </c>
      <c r="AH1080" s="496">
        <v>14.378607144483603</v>
      </c>
      <c r="AI1080" s="496">
        <v>14.19365442635117</v>
      </c>
      <c r="AK1080" s="502" t="e">
        <f>H1061+H1064+H1069+H1080+#REF!=H1057</f>
        <v>#REF!</v>
      </c>
      <c r="AL1080" s="106" t="e">
        <f>I1061+I1064+I1069+I1080+#REF!=I1057</f>
        <v>#REF!</v>
      </c>
      <c r="AM1080" s="106" t="e">
        <f>J1061+J1064+J1069+J1080+#REF!=J1057</f>
        <v>#REF!</v>
      </c>
      <c r="AN1080" s="106" t="e">
        <f>K1061+K1064+K1069+K1080+#REF!=K1057</f>
        <v>#REF!</v>
      </c>
      <c r="AO1080" s="106" t="e">
        <f>L1061+L1064+L1069+L1080+#REF!=L1057</f>
        <v>#REF!</v>
      </c>
      <c r="AP1080" s="106" t="e">
        <f>M1061+M1064+M1069+M1080+#REF!=M1057</f>
        <v>#REF!</v>
      </c>
      <c r="AQ1080" s="106" t="e">
        <f>N1061+N1064+N1069+N1080+#REF!=N1057</f>
        <v>#REF!</v>
      </c>
      <c r="AR1080" s="106" t="e">
        <f>O1061+O1064+O1069+O1080+#REF!=O1057</f>
        <v>#REF!</v>
      </c>
      <c r="AS1080" s="106" t="e">
        <f>P1061+P1064+P1069+P1080+#REF!=P1057</f>
        <v>#REF!</v>
      </c>
      <c r="AT1080" s="106" t="e">
        <f>Q1061+Q1064+Q1069+Q1080+#REF!=Q1057</f>
        <v>#REF!</v>
      </c>
      <c r="AU1080" s="106" t="e">
        <f>R1061+R1064+R1069+R1080+#REF!=R1057</f>
        <v>#REF!</v>
      </c>
      <c r="AV1080" s="106" t="e">
        <f>S1061+S1064+S1069+S1080+#REF!=S1057</f>
        <v>#REF!</v>
      </c>
      <c r="AW1080" s="106" t="e">
        <f>T1061+T1064+T1069+T1080+#REF!=T1057</f>
        <v>#REF!</v>
      </c>
      <c r="AX1080" s="106" t="e">
        <f>U1061+U1064+U1069+U1080+#REF!=U1057</f>
        <v>#REF!</v>
      </c>
      <c r="AY1080" s="106" t="e">
        <f>V1061+V1064+V1069+V1080+#REF!=V1057</f>
        <v>#REF!</v>
      </c>
      <c r="AZ1080" s="106" t="e">
        <f>W1061+W1064+W1069+W1080+#REF!=W1057</f>
        <v>#REF!</v>
      </c>
      <c r="BA1080" s="106" t="e">
        <f>X1061+X1064+X1069+X1080+#REF!=X1057</f>
        <v>#REF!</v>
      </c>
      <c r="BB1080" s="106" t="e">
        <f>Y1061+Y1064+Y1069+Y1080+#REF!=Y1057</f>
        <v>#REF!</v>
      </c>
      <c r="BC1080" s="106" t="e">
        <f>Z1061+Z1064+Z1069+Z1080+#REF!=Z1057</f>
        <v>#REF!</v>
      </c>
      <c r="BD1080" s="106" t="e">
        <f>AA1061+AA1064+AA1069+AA1080+#REF!=AA1057</f>
        <v>#REF!</v>
      </c>
      <c r="BE1080" s="106" t="e">
        <f>AB1061+AB1064+AB1069+AB1080+#REF!=AB1057</f>
        <v>#REF!</v>
      </c>
      <c r="BF1080" s="106" t="e">
        <f>AC1061+AC1064+AC1069+AC1080+#REF!=AC1057</f>
        <v>#REF!</v>
      </c>
      <c r="BG1080" s="106" t="e">
        <f>AD1061+AD1064+AD1069+AD1080+#REF!=AD1057</f>
        <v>#REF!</v>
      </c>
      <c r="BH1080" s="106" t="e">
        <f>AE1061+AE1064+AE1069+AE1080+#REF!=AE1057</f>
        <v>#REF!</v>
      </c>
      <c r="BI1080" s="106" t="e">
        <f>AF1061+AF1064+AF1069+AF1080+#REF!=AF1057</f>
        <v>#REF!</v>
      </c>
      <c r="BJ1080" s="106" t="e">
        <f>AG1061+AG1064+AG1069+AG1080+#REF!=AG1057</f>
        <v>#REF!</v>
      </c>
      <c r="BK1080" s="106" t="e">
        <f>AH1061+AH1064+AH1069+AH1080+#REF!=AH1057</f>
        <v>#REF!</v>
      </c>
      <c r="BL1080" s="503" t="e">
        <f>AI1061+AI1064+AI1069+AI1080+#REF!=AI1057</f>
        <v>#REF!</v>
      </c>
    </row>
    <row r="1081" spans="2:64" ht="15" outlineLevel="1">
      <c r="B1081" t="str">
        <f t="shared" si="87"/>
        <v>Bio-methanol - Energy cost including feedstock energy cost - Europe - USD/ton fuel</v>
      </c>
      <c r="C1081" s="22" t="str">
        <f>C1054</f>
        <v>Bio-methanol</v>
      </c>
      <c r="D1081" s="22" t="s">
        <v>1367</v>
      </c>
      <c r="E1081" s="22" t="s">
        <v>720</v>
      </c>
      <c r="F1081" s="22" t="s">
        <v>1353</v>
      </c>
      <c r="G1081" s="487" t="str">
        <f t="shared" si="85"/>
        <v>Bio-methanolEuropeEnergy cost including feedstock energy cost</v>
      </c>
      <c r="H1081" s="496">
        <v>25.438353841149492</v>
      </c>
      <c r="I1081" s="496">
        <v>24.341971480614855</v>
      </c>
      <c r="J1081" s="496">
        <v>23.245589120080215</v>
      </c>
      <c r="K1081" s="496">
        <v>22.345818441280453</v>
      </c>
      <c r="L1081" s="496">
        <v>21.447148166879721</v>
      </c>
      <c r="M1081" s="496">
        <v>20.549578296878501</v>
      </c>
      <c r="N1081" s="496">
        <v>19.65310883127631</v>
      </c>
      <c r="O1081" s="496">
        <v>18.757739770073631</v>
      </c>
      <c r="P1081" s="496">
        <v>18.379340685000258</v>
      </c>
      <c r="Q1081" s="496">
        <v>18.001398817727466</v>
      </c>
      <c r="R1081" s="496">
        <v>17.623914168254778</v>
      </c>
      <c r="S1081" s="496">
        <v>17.246886736582312</v>
      </c>
      <c r="T1081" s="496">
        <v>16.870316522710187</v>
      </c>
      <c r="U1081" s="496">
        <v>16.641509552206404</v>
      </c>
      <c r="V1081" s="496">
        <v>16.412975563968619</v>
      </c>
      <c r="W1081" s="496">
        <v>16.184714557996763</v>
      </c>
      <c r="X1081" s="496">
        <v>15.956726534290841</v>
      </c>
      <c r="Y1081" s="496">
        <v>15.729011492850731</v>
      </c>
      <c r="Z1081" s="496">
        <v>15.486378027326708</v>
      </c>
      <c r="AA1081" s="496">
        <v>15.244036603543117</v>
      </c>
      <c r="AB1081" s="496">
        <v>15.001987221500077</v>
      </c>
      <c r="AC1081" s="496">
        <v>14.760229881197468</v>
      </c>
      <c r="AD1081" s="496">
        <v>14.518764582635409</v>
      </c>
      <c r="AE1081" s="496">
        <v>14.340330856378007</v>
      </c>
      <c r="AF1081" s="496">
        <v>14.162110209788796</v>
      </c>
      <c r="AG1081" s="496">
        <v>13.984102642867894</v>
      </c>
      <c r="AH1081" s="496">
        <v>13.806308155615245</v>
      </c>
      <c r="AI1081" s="496">
        <v>13.628726748030784</v>
      </c>
      <c r="AK1081" s="502" t="e">
        <f>H1061+H1064+H1070+H1081+#REF!=H1058</f>
        <v>#REF!</v>
      </c>
      <c r="AL1081" s="106" t="e">
        <f>I1061+I1064+I1070+I1081+#REF!=I1058</f>
        <v>#REF!</v>
      </c>
      <c r="AM1081" s="106" t="e">
        <f>J1061+J1064+J1070+J1081+#REF!=J1058</f>
        <v>#REF!</v>
      </c>
      <c r="AN1081" s="106" t="e">
        <f>K1061+K1064+K1070+K1081+#REF!=K1058</f>
        <v>#REF!</v>
      </c>
      <c r="AO1081" s="106" t="e">
        <f>L1061+L1064+L1070+L1081+#REF!=L1058</f>
        <v>#REF!</v>
      </c>
      <c r="AP1081" s="106" t="e">
        <f>M1061+M1064+M1070+M1081+#REF!=M1058</f>
        <v>#REF!</v>
      </c>
      <c r="AQ1081" s="106" t="e">
        <f>N1061+N1064+N1070+N1081+#REF!=N1058</f>
        <v>#REF!</v>
      </c>
      <c r="AR1081" s="106" t="e">
        <f>O1061+O1064+O1070+O1081+#REF!=O1058</f>
        <v>#REF!</v>
      </c>
      <c r="AS1081" s="106" t="e">
        <f>P1061+P1064+P1070+P1081+#REF!=P1058</f>
        <v>#REF!</v>
      </c>
      <c r="AT1081" s="106" t="e">
        <f>Q1061+Q1064+Q1070+Q1081+#REF!=Q1058</f>
        <v>#REF!</v>
      </c>
      <c r="AU1081" s="106" t="e">
        <f>R1061+R1064+R1070+R1081+#REF!=R1058</f>
        <v>#REF!</v>
      </c>
      <c r="AV1081" s="106" t="e">
        <f>S1061+S1064+S1070+S1081+#REF!=S1058</f>
        <v>#REF!</v>
      </c>
      <c r="AW1081" s="106" t="e">
        <f>T1061+T1064+T1070+T1081+#REF!=T1058</f>
        <v>#REF!</v>
      </c>
      <c r="AX1081" s="106" t="e">
        <f>U1061+U1064+U1070+U1081+#REF!=U1058</f>
        <v>#REF!</v>
      </c>
      <c r="AY1081" s="106" t="e">
        <f>V1061+V1064+V1070+V1081+#REF!=V1058</f>
        <v>#REF!</v>
      </c>
      <c r="AZ1081" s="106" t="e">
        <f>W1061+W1064+W1070+W1081+#REF!=W1058</f>
        <v>#REF!</v>
      </c>
      <c r="BA1081" s="106" t="e">
        <f>X1061+X1064+X1070+X1081+#REF!=X1058</f>
        <v>#REF!</v>
      </c>
      <c r="BB1081" s="106" t="e">
        <f>Y1061+Y1064+Y1070+Y1081+#REF!=Y1058</f>
        <v>#REF!</v>
      </c>
      <c r="BC1081" s="106" t="e">
        <f>Z1061+Z1064+Z1070+Z1081+#REF!=Z1058</f>
        <v>#REF!</v>
      </c>
      <c r="BD1081" s="106" t="e">
        <f>AA1061+AA1064+AA1070+AA1081+#REF!=AA1058</f>
        <v>#REF!</v>
      </c>
      <c r="BE1081" s="106" t="e">
        <f>AB1061+AB1064+AB1070+AB1081+#REF!=AB1058</f>
        <v>#REF!</v>
      </c>
      <c r="BF1081" s="106" t="e">
        <f>AC1061+AC1064+AC1070+AC1081+#REF!=AC1058</f>
        <v>#REF!</v>
      </c>
      <c r="BG1081" s="106" t="e">
        <f>AD1061+AD1064+AD1070+AD1081+#REF!=AD1058</f>
        <v>#REF!</v>
      </c>
      <c r="BH1081" s="106" t="e">
        <f>AE1061+AE1064+AE1070+AE1081+#REF!=AE1058</f>
        <v>#REF!</v>
      </c>
      <c r="BI1081" s="106" t="e">
        <f>AF1061+AF1064+AF1070+AF1081+#REF!=AF1058</f>
        <v>#REF!</v>
      </c>
      <c r="BJ1081" s="106" t="e">
        <f>AG1061+AG1064+AG1070+AG1081+#REF!=AG1058</f>
        <v>#REF!</v>
      </c>
      <c r="BK1081" s="106" t="e">
        <f>AH1061+AH1064+AH1070+AH1081+#REF!=AH1058</f>
        <v>#REF!</v>
      </c>
      <c r="BL1081" s="503" t="e">
        <f>AI1061+AI1064+AI1070+AI1081+#REF!=AI1058</f>
        <v>#REF!</v>
      </c>
    </row>
    <row r="1082" spans="2:64" ht="15.75" outlineLevel="1" thickBot="1">
      <c r="B1082" t="str">
        <f t="shared" si="87"/>
        <v>Bio-methanol - Energy cost including feedstock energy cost - Middle East - USD/ton fuel</v>
      </c>
      <c r="C1082" s="92" t="str">
        <f>C1054</f>
        <v>Bio-methanol</v>
      </c>
      <c r="D1082" s="92" t="s">
        <v>1367</v>
      </c>
      <c r="E1082" s="92" t="s">
        <v>826</v>
      </c>
      <c r="F1082" s="92" t="s">
        <v>1353</v>
      </c>
      <c r="G1082" s="487" t="str">
        <f t="shared" si="85"/>
        <v>Bio-methanolMiddle EastEnergy cost including feedstock energy cost</v>
      </c>
      <c r="H1082" s="497">
        <v>19.479285775885376</v>
      </c>
      <c r="I1082" s="497">
        <v>18.619713725020272</v>
      </c>
      <c r="J1082" s="497">
        <v>17.760141674154923</v>
      </c>
      <c r="K1082" s="497">
        <v>17.180349259980584</v>
      </c>
      <c r="L1082" s="497">
        <v>16.601263775218349</v>
      </c>
      <c r="M1082" s="497">
        <v>16.022885219868215</v>
      </c>
      <c r="N1082" s="497">
        <v>15.445213593930184</v>
      </c>
      <c r="O1082" s="497">
        <v>14.868248897404253</v>
      </c>
      <c r="P1082" s="497">
        <v>14.459189219603001</v>
      </c>
      <c r="Q1082" s="497">
        <v>14.050628008501056</v>
      </c>
      <c r="R1082" s="497">
        <v>13.642565264098181</v>
      </c>
      <c r="S1082" s="497">
        <v>13.235000986394613</v>
      </c>
      <c r="T1082" s="497">
        <v>12.827935175390236</v>
      </c>
      <c r="U1082" s="497">
        <v>12.620089257923889</v>
      </c>
      <c r="V1082" s="497">
        <v>12.412493266419126</v>
      </c>
      <c r="W1082" s="497">
        <v>12.205147200876008</v>
      </c>
      <c r="X1082" s="497">
        <v>11.998051061294412</v>
      </c>
      <c r="Y1082" s="497">
        <v>11.7912048476744</v>
      </c>
      <c r="Z1082" s="497">
        <v>11.522577166410642</v>
      </c>
      <c r="AA1082" s="497">
        <v>11.25427723706756</v>
      </c>
      <c r="AB1082" s="497">
        <v>10.986305059645039</v>
      </c>
      <c r="AC1082" s="497">
        <v>10.718660634143193</v>
      </c>
      <c r="AD1082" s="497">
        <v>10.451343960561879</v>
      </c>
      <c r="AE1082" s="497">
        <v>10.32288828020285</v>
      </c>
      <c r="AF1082" s="497">
        <v>10.194585998024348</v>
      </c>
      <c r="AG1082" s="497">
        <v>10.066437114026311</v>
      </c>
      <c r="AH1082" s="497">
        <v>9.9384416282087713</v>
      </c>
      <c r="AI1082" s="497">
        <v>9.8105995405717543</v>
      </c>
      <c r="AK1082" s="504" t="e">
        <f>H1061+H1064+H1071+H1082+#REF!=H1059</f>
        <v>#REF!</v>
      </c>
      <c r="AL1082" s="505" t="e">
        <f>I1061+I1064+I1071+I1082+#REF!=I1059</f>
        <v>#REF!</v>
      </c>
      <c r="AM1082" s="505" t="e">
        <f>J1061+J1064+J1071+J1082+#REF!=J1059</f>
        <v>#REF!</v>
      </c>
      <c r="AN1082" s="505" t="e">
        <f>K1061+K1064+K1071+K1082+#REF!=K1059</f>
        <v>#REF!</v>
      </c>
      <c r="AO1082" s="505" t="e">
        <f>L1061+L1064+L1071+L1082+#REF!=L1059</f>
        <v>#REF!</v>
      </c>
      <c r="AP1082" s="505" t="e">
        <f>M1061+M1064+M1071+M1082+#REF!=M1059</f>
        <v>#REF!</v>
      </c>
      <c r="AQ1082" s="505" t="e">
        <f>N1061+N1064+N1071+N1082+#REF!=N1059</f>
        <v>#REF!</v>
      </c>
      <c r="AR1082" s="505" t="e">
        <f>O1061+O1064+O1071+O1082+#REF!=O1059</f>
        <v>#REF!</v>
      </c>
      <c r="AS1082" s="505" t="e">
        <f>P1061+P1064+P1071+P1082+#REF!=P1059</f>
        <v>#REF!</v>
      </c>
      <c r="AT1082" s="505" t="e">
        <f>Q1061+Q1064+Q1071+Q1082+#REF!=Q1059</f>
        <v>#REF!</v>
      </c>
      <c r="AU1082" s="505" t="e">
        <f>R1061+R1064+R1071+R1082+#REF!=R1059</f>
        <v>#REF!</v>
      </c>
      <c r="AV1082" s="505" t="e">
        <f>S1061+S1064+S1071+S1082+#REF!=S1059</f>
        <v>#REF!</v>
      </c>
      <c r="AW1082" s="505" t="e">
        <f>T1061+T1064+T1071+T1082+#REF!=T1059</f>
        <v>#REF!</v>
      </c>
      <c r="AX1082" s="505" t="e">
        <f>U1061+U1064+U1071+U1082+#REF!=U1059</f>
        <v>#REF!</v>
      </c>
      <c r="AY1082" s="505" t="e">
        <f>V1061+V1064+V1071+V1082+#REF!=V1059</f>
        <v>#REF!</v>
      </c>
      <c r="AZ1082" s="505" t="e">
        <f>W1061+W1064+W1071+W1082+#REF!=W1059</f>
        <v>#REF!</v>
      </c>
      <c r="BA1082" s="505" t="e">
        <f>X1061+X1064+X1071+X1082+#REF!=X1059</f>
        <v>#REF!</v>
      </c>
      <c r="BB1082" s="505" t="e">
        <f>Y1061+Y1064+Y1071+Y1082+#REF!=Y1059</f>
        <v>#REF!</v>
      </c>
      <c r="BC1082" s="505" t="e">
        <f>Z1061+Z1064+Z1071+Z1082+#REF!=Z1059</f>
        <v>#REF!</v>
      </c>
      <c r="BD1082" s="505" t="e">
        <f>AA1061+AA1064+AA1071+AA1082+#REF!=AA1059</f>
        <v>#REF!</v>
      </c>
      <c r="BE1082" s="505" t="e">
        <f>AB1061+AB1064+AB1071+AB1082+#REF!=AB1059</f>
        <v>#REF!</v>
      </c>
      <c r="BF1082" s="505" t="e">
        <f>AC1061+AC1064+AC1071+AC1082+#REF!=AC1059</f>
        <v>#REF!</v>
      </c>
      <c r="BG1082" s="505" t="e">
        <f>AD1061+AD1064+AD1071+AD1082+#REF!=AD1059</f>
        <v>#REF!</v>
      </c>
      <c r="BH1082" s="505" t="e">
        <f>AE1061+AE1064+AE1071+AE1082+#REF!=AE1059</f>
        <v>#REF!</v>
      </c>
      <c r="BI1082" s="505" t="e">
        <f>AF1061+AF1064+AF1071+AF1082+#REF!=AF1059</f>
        <v>#REF!</v>
      </c>
      <c r="BJ1082" s="505" t="e">
        <f>AG1061+AG1064+AG1071+AG1082+#REF!=AG1059</f>
        <v>#REF!</v>
      </c>
      <c r="BK1082" s="505" t="e">
        <f>AH1061+AH1064+AH1071+AH1082+#REF!=AH1059</f>
        <v>#REF!</v>
      </c>
      <c r="BL1082" s="506" t="e">
        <f>AI1061+AI1064+AI1071+AI1082+#REF!=AI1059</f>
        <v>#REF!</v>
      </c>
    </row>
    <row r="1083" spans="2:64" outlineLevel="1">
      <c r="B1083" t="str">
        <f t="shared" si="87"/>
        <v>Bio-methanol - Energy cost - Africa - USD/ton fuel</v>
      </c>
      <c r="C1083" t="str">
        <f>C1054</f>
        <v>Bio-methanol</v>
      </c>
      <c r="D1083" t="s">
        <v>1368</v>
      </c>
      <c r="E1083" t="s">
        <v>838</v>
      </c>
      <c r="F1083" t="s">
        <v>1353</v>
      </c>
      <c r="G1083" s="487" t="str">
        <f t="shared" si="85"/>
        <v>Bio-methanolAfricaEnergy cost</v>
      </c>
      <c r="H1083" s="493">
        <v>30.723446955891486</v>
      </c>
      <c r="I1083" s="493">
        <v>27.115700100702867</v>
      </c>
      <c r="J1083" s="493">
        <v>23.507953245513288</v>
      </c>
      <c r="K1083" s="493">
        <v>22.488261078540386</v>
      </c>
      <c r="L1083" s="493">
        <v>21.469818167041836</v>
      </c>
      <c r="M1083" s="493">
        <v>20.452624511017646</v>
      </c>
      <c r="N1083" s="493">
        <v>19.43668011046757</v>
      </c>
      <c r="O1083" s="493">
        <v>18.421984965392092</v>
      </c>
      <c r="P1083" s="493">
        <v>17.851207598562304</v>
      </c>
      <c r="Q1083" s="493">
        <v>17.281127567734838</v>
      </c>
      <c r="R1083" s="493">
        <v>16.711744872909456</v>
      </c>
      <c r="S1083" s="493">
        <v>16.143059514086637</v>
      </c>
      <c r="T1083" s="493">
        <v>15.575071491266204</v>
      </c>
      <c r="U1083" s="493">
        <v>15.302904838111498</v>
      </c>
      <c r="V1083" s="493">
        <v>15.031066409554443</v>
      </c>
      <c r="W1083" s="493">
        <v>14.759556205594913</v>
      </c>
      <c r="X1083" s="493">
        <v>14.48837422623297</v>
      </c>
      <c r="Y1083" s="493">
        <v>14.217520471468733</v>
      </c>
      <c r="Z1083" s="493">
        <v>13.939598860253643</v>
      </c>
      <c r="AA1083" s="493">
        <v>13.66201475292308</v>
      </c>
      <c r="AB1083" s="493">
        <v>13.384768149476928</v>
      </c>
      <c r="AC1083" s="493">
        <v>13.107859049915422</v>
      </c>
      <c r="AD1083" s="493">
        <v>12.831287454238387</v>
      </c>
      <c r="AE1083" s="493">
        <v>12.691595612730355</v>
      </c>
      <c r="AF1083" s="493">
        <v>12.552069427167757</v>
      </c>
      <c r="AG1083" s="493">
        <v>12.412708897550477</v>
      </c>
      <c r="AH1083" s="493">
        <v>12.273514023878572</v>
      </c>
      <c r="AI1083" s="493">
        <v>12.134484806152102</v>
      </c>
    </row>
    <row r="1084" spans="2:64" outlineLevel="1">
      <c r="B1084" t="str">
        <f t="shared" si="87"/>
        <v>Bio-methanol - Energy cost - Americas - USD/ton fuel</v>
      </c>
      <c r="C1084" t="str">
        <f>C1054</f>
        <v>Bio-methanol</v>
      </c>
      <c r="D1084" t="s">
        <v>1368</v>
      </c>
      <c r="E1084" t="s">
        <v>731</v>
      </c>
      <c r="F1084" t="s">
        <v>1353</v>
      </c>
      <c r="G1084" s="487" t="str">
        <f t="shared" si="85"/>
        <v>Bio-methanolAmericasEnergy cost</v>
      </c>
      <c r="H1084" s="493">
        <v>19.303998889907085</v>
      </c>
      <c r="I1084" s="493">
        <v>18.904240015341401</v>
      </c>
      <c r="J1084" s="493">
        <v>18.504481140775592</v>
      </c>
      <c r="K1084" s="493">
        <v>17.817658645772781</v>
      </c>
      <c r="L1084" s="493">
        <v>17.131675536121442</v>
      </c>
      <c r="M1084" s="493">
        <v>16.446531811821576</v>
      </c>
      <c r="N1084" s="493">
        <v>15.762227472873425</v>
      </c>
      <c r="O1084" s="493">
        <v>15.078762519276511</v>
      </c>
      <c r="P1084" s="493">
        <v>14.745393195389994</v>
      </c>
      <c r="Q1084" s="493">
        <v>14.412427803887153</v>
      </c>
      <c r="R1084" s="493">
        <v>14.079866344767993</v>
      </c>
      <c r="S1084" s="493">
        <v>13.74770881803251</v>
      </c>
      <c r="T1084" s="493">
        <v>13.415955223680649</v>
      </c>
      <c r="U1084" s="493">
        <v>13.145767234453128</v>
      </c>
      <c r="V1084" s="493">
        <v>12.875906682751648</v>
      </c>
      <c r="W1084" s="493">
        <v>12.606373568576146</v>
      </c>
      <c r="X1084" s="493">
        <v>12.33716789192674</v>
      </c>
      <c r="Y1084" s="493">
        <v>12.068289652803344</v>
      </c>
      <c r="Z1084" s="493">
        <v>11.955581287001642</v>
      </c>
      <c r="AA1084" s="493">
        <v>11.843004835357581</v>
      </c>
      <c r="AB1084" s="493">
        <v>11.730560297871191</v>
      </c>
      <c r="AC1084" s="493">
        <v>11.61824767454241</v>
      </c>
      <c r="AD1084" s="493">
        <v>11.50606696537127</v>
      </c>
      <c r="AE1084" s="493">
        <v>11.41975712039071</v>
      </c>
      <c r="AF1084" s="493">
        <v>11.333546795305164</v>
      </c>
      <c r="AG1084" s="493">
        <v>11.247435990114605</v>
      </c>
      <c r="AH1084" s="493">
        <v>11.16142470481903</v>
      </c>
      <c r="AI1084" s="493">
        <v>11.075512939418443</v>
      </c>
    </row>
    <row r="1085" spans="2:64" outlineLevel="1">
      <c r="B1085" t="str">
        <f t="shared" si="87"/>
        <v>Bio-methanol - Energy cost - Asia - USD/ton fuel</v>
      </c>
      <c r="C1085" t="str">
        <f>C1054</f>
        <v>Bio-methanol</v>
      </c>
      <c r="D1085" t="s">
        <v>1368</v>
      </c>
      <c r="E1085" t="s">
        <v>750</v>
      </c>
      <c r="F1085" t="s">
        <v>1353</v>
      </c>
      <c r="G1085" s="487" t="str">
        <f t="shared" si="85"/>
        <v>Bio-methanolAsiaEnergy cost</v>
      </c>
      <c r="H1085" s="493">
        <v>34.170859336812548</v>
      </c>
      <c r="I1085" s="493">
        <v>31.168120732103766</v>
      </c>
      <c r="J1085" s="493">
        <v>28.165382127396416</v>
      </c>
      <c r="K1085" s="493">
        <v>27.071500779378947</v>
      </c>
      <c r="L1085" s="493">
        <v>25.978957303224462</v>
      </c>
      <c r="M1085" s="493">
        <v>24.887751698932011</v>
      </c>
      <c r="N1085" s="493">
        <v>23.797883966502074</v>
      </c>
      <c r="O1085" s="493">
        <v>22.709354105935123</v>
      </c>
      <c r="P1085" s="493">
        <v>21.965869697626502</v>
      </c>
      <c r="Q1085" s="493">
        <v>21.223294626291548</v>
      </c>
      <c r="R1085" s="493">
        <v>20.48162889193026</v>
      </c>
      <c r="S1085" s="493">
        <v>19.740872494542163</v>
      </c>
      <c r="T1085" s="493">
        <v>19.001025434127499</v>
      </c>
      <c r="U1085" s="493">
        <v>18.619494200174767</v>
      </c>
      <c r="V1085" s="493">
        <v>18.23842529517054</v>
      </c>
      <c r="W1085" s="493">
        <v>17.857818719114928</v>
      </c>
      <c r="X1085" s="493">
        <v>17.477674472007699</v>
      </c>
      <c r="Y1085" s="493">
        <v>17.097992553849206</v>
      </c>
      <c r="Z1085" s="493">
        <v>16.701553631320063</v>
      </c>
      <c r="AA1085" s="493">
        <v>16.305598641496143</v>
      </c>
      <c r="AB1085" s="493">
        <v>15.910127584377216</v>
      </c>
      <c r="AC1085" s="493">
        <v>15.515140459963511</v>
      </c>
      <c r="AD1085" s="493">
        <v>15.120637268254796</v>
      </c>
      <c r="AE1085" s="493">
        <v>14.934796849625767</v>
      </c>
      <c r="AF1085" s="493">
        <v>14.749178356120842</v>
      </c>
      <c r="AG1085" s="493">
        <v>14.56378178774014</v>
      </c>
      <c r="AH1085" s="493">
        <v>14.378607144483603</v>
      </c>
      <c r="AI1085" s="493">
        <v>14.19365442635117</v>
      </c>
    </row>
    <row r="1086" spans="2:64" outlineLevel="1">
      <c r="B1086" t="str">
        <f t="shared" si="87"/>
        <v>Bio-methanol - Energy cost - Europe - USD/ton fuel</v>
      </c>
      <c r="C1086" t="str">
        <f>C1054</f>
        <v>Bio-methanol</v>
      </c>
      <c r="D1086" t="s">
        <v>1368</v>
      </c>
      <c r="E1086" t="s">
        <v>720</v>
      </c>
      <c r="F1086" t="s">
        <v>1353</v>
      </c>
      <c r="G1086" s="487" t="str">
        <f t="shared" si="85"/>
        <v>Bio-methanolEuropeEnergy cost</v>
      </c>
      <c r="H1086" s="493">
        <v>25.438353841149492</v>
      </c>
      <c r="I1086" s="493">
        <v>24.341971480614855</v>
      </c>
      <c r="J1086" s="493">
        <v>23.245589120080215</v>
      </c>
      <c r="K1086" s="493">
        <v>22.345818441280453</v>
      </c>
      <c r="L1086" s="493">
        <v>21.447148166879721</v>
      </c>
      <c r="M1086" s="493">
        <v>20.549578296878501</v>
      </c>
      <c r="N1086" s="493">
        <v>19.65310883127631</v>
      </c>
      <c r="O1086" s="493">
        <v>18.757739770073631</v>
      </c>
      <c r="P1086" s="493">
        <v>18.379340685000258</v>
      </c>
      <c r="Q1086" s="493">
        <v>18.001398817727466</v>
      </c>
      <c r="R1086" s="493">
        <v>17.623914168254778</v>
      </c>
      <c r="S1086" s="493">
        <v>17.246886736582312</v>
      </c>
      <c r="T1086" s="493">
        <v>16.870316522710187</v>
      </c>
      <c r="U1086" s="493">
        <v>16.641509552206404</v>
      </c>
      <c r="V1086" s="493">
        <v>16.412975563968619</v>
      </c>
      <c r="W1086" s="493">
        <v>16.184714557996763</v>
      </c>
      <c r="X1086" s="493">
        <v>15.956726534290841</v>
      </c>
      <c r="Y1086" s="493">
        <v>15.729011492850731</v>
      </c>
      <c r="Z1086" s="493">
        <v>15.486378027326708</v>
      </c>
      <c r="AA1086" s="493">
        <v>15.244036603543117</v>
      </c>
      <c r="AB1086" s="493">
        <v>15.001987221500077</v>
      </c>
      <c r="AC1086" s="493">
        <v>14.760229881197468</v>
      </c>
      <c r="AD1086" s="493">
        <v>14.518764582635409</v>
      </c>
      <c r="AE1086" s="493">
        <v>14.340330856378007</v>
      </c>
      <c r="AF1086" s="493">
        <v>14.162110209788796</v>
      </c>
      <c r="AG1086" s="493">
        <v>13.984102642867894</v>
      </c>
      <c r="AH1086" s="493">
        <v>13.806308155615245</v>
      </c>
      <c r="AI1086" s="493">
        <v>13.628726748030784</v>
      </c>
    </row>
    <row r="1087" spans="2:64" outlineLevel="1">
      <c r="B1087" t="str">
        <f t="shared" si="87"/>
        <v>Bio-methanol - Energy cost - Middle East - USD/ton fuel</v>
      </c>
      <c r="C1087" t="str">
        <f>C1054</f>
        <v>Bio-methanol</v>
      </c>
      <c r="D1087" t="s">
        <v>1368</v>
      </c>
      <c r="E1087" t="s">
        <v>826</v>
      </c>
      <c r="F1087" t="s">
        <v>1353</v>
      </c>
      <c r="G1087" s="487" t="str">
        <f t="shared" si="85"/>
        <v>Bio-methanolMiddle EastEnergy cost</v>
      </c>
      <c r="H1087" s="493">
        <v>19.479285775885376</v>
      </c>
      <c r="I1087" s="493">
        <v>18.619713725020272</v>
      </c>
      <c r="J1087" s="493">
        <v>17.760141674154923</v>
      </c>
      <c r="K1087" s="493">
        <v>17.180349259980584</v>
      </c>
      <c r="L1087" s="493">
        <v>16.601263775218349</v>
      </c>
      <c r="M1087" s="493">
        <v>16.022885219868215</v>
      </c>
      <c r="N1087" s="493">
        <v>15.445213593930184</v>
      </c>
      <c r="O1087" s="493">
        <v>14.868248897404253</v>
      </c>
      <c r="P1087" s="493">
        <v>14.459189219603001</v>
      </c>
      <c r="Q1087" s="493">
        <v>14.050628008501056</v>
      </c>
      <c r="R1087" s="493">
        <v>13.642565264098181</v>
      </c>
      <c r="S1087" s="493">
        <v>13.235000986394613</v>
      </c>
      <c r="T1087" s="493">
        <v>12.827935175390236</v>
      </c>
      <c r="U1087" s="493">
        <v>12.620089257923889</v>
      </c>
      <c r="V1087" s="493">
        <v>12.412493266419126</v>
      </c>
      <c r="W1087" s="493">
        <v>12.205147200876008</v>
      </c>
      <c r="X1087" s="493">
        <v>11.998051061294412</v>
      </c>
      <c r="Y1087" s="493">
        <v>11.7912048476744</v>
      </c>
      <c r="Z1087" s="493">
        <v>11.522577166410642</v>
      </c>
      <c r="AA1087" s="493">
        <v>11.25427723706756</v>
      </c>
      <c r="AB1087" s="493">
        <v>10.986305059645039</v>
      </c>
      <c r="AC1087" s="493">
        <v>10.718660634143193</v>
      </c>
      <c r="AD1087" s="493">
        <v>10.451343960561879</v>
      </c>
      <c r="AE1087" s="493">
        <v>10.32288828020285</v>
      </c>
      <c r="AF1087" s="493">
        <v>10.194585998024348</v>
      </c>
      <c r="AG1087" s="493">
        <v>10.066437114026311</v>
      </c>
      <c r="AH1087" s="493">
        <v>9.9384416282087713</v>
      </c>
      <c r="AI1087" s="493">
        <v>9.8105995405717543</v>
      </c>
    </row>
    <row r="1088" spans="2:64" ht="15" outlineLevel="1" thickBot="1">
      <c r="B1088" t="str">
        <f t="shared" si="87"/>
        <v/>
      </c>
      <c r="G1088" s="487" t="str">
        <f t="shared" si="85"/>
        <v/>
      </c>
    </row>
    <row r="1089" spans="2:64" ht="15" outlineLevel="1">
      <c r="B1089" t="str">
        <f>_xlfn.TEXTJOIN(" - ",TRUE,C1089:F1089)</f>
        <v>Bio-methanol - Feedstock cost including feedstock feedstock cost - Africa - USD/ton fuel</v>
      </c>
      <c r="C1089" s="494" t="str">
        <f>C1065</f>
        <v>Bio-methanol</v>
      </c>
      <c r="D1089" s="494" t="s">
        <v>1369</v>
      </c>
      <c r="E1089" s="494" t="s">
        <v>838</v>
      </c>
      <c r="F1089" s="494" t="s">
        <v>1353</v>
      </c>
      <c r="G1089" s="487" t="str">
        <f t="shared" si="85"/>
        <v>Bio-methanolAfricaFeedstock cost including feedstock feedstock cost</v>
      </c>
      <c r="H1089" s="495">
        <v>204.49</v>
      </c>
      <c r="I1089" s="495">
        <v>205.7</v>
      </c>
      <c r="J1089" s="495">
        <v>206.91</v>
      </c>
      <c r="K1089" s="495">
        <v>208.12</v>
      </c>
      <c r="L1089" s="495">
        <v>209.32999999999998</v>
      </c>
      <c r="M1089" s="495">
        <v>210.54</v>
      </c>
      <c r="N1089" s="495">
        <v>211.75</v>
      </c>
      <c r="O1089" s="495">
        <v>212.96</v>
      </c>
      <c r="P1089" s="495">
        <v>214.41199999999978</v>
      </c>
      <c r="Q1089" s="495">
        <v>215.86400000000012</v>
      </c>
      <c r="R1089" s="495">
        <v>217.31599999999989</v>
      </c>
      <c r="S1089" s="495">
        <v>218.76799999999966</v>
      </c>
      <c r="T1089" s="495">
        <v>220.22</v>
      </c>
      <c r="U1089" s="495">
        <v>221.43</v>
      </c>
      <c r="V1089" s="495">
        <v>222.64</v>
      </c>
      <c r="W1089" s="495">
        <v>223.85</v>
      </c>
      <c r="X1089" s="495">
        <v>225.06</v>
      </c>
      <c r="Y1089" s="495">
        <v>226.26999999999998</v>
      </c>
      <c r="Z1089" s="495">
        <v>227.48</v>
      </c>
      <c r="AA1089" s="495">
        <v>228.69</v>
      </c>
      <c r="AB1089" s="495">
        <v>229.9</v>
      </c>
      <c r="AC1089" s="495">
        <v>231.10999999999999</v>
      </c>
      <c r="AD1089" s="495">
        <v>232.32</v>
      </c>
      <c r="AE1089" s="495">
        <v>233.53</v>
      </c>
      <c r="AF1089" s="495">
        <v>234.74</v>
      </c>
      <c r="AG1089" s="495">
        <v>235.95</v>
      </c>
      <c r="AH1089" s="495">
        <v>237.16</v>
      </c>
      <c r="AI1089" s="495">
        <v>238.37</v>
      </c>
      <c r="AK1089" s="499" t="b">
        <f t="shared" ref="AK1089:BL1089" si="88">H1072+H1075+H1078+H1089+H1192=H1066</f>
        <v>0</v>
      </c>
      <c r="AL1089" s="500" t="b">
        <f t="shared" si="88"/>
        <v>0</v>
      </c>
      <c r="AM1089" s="500" t="b">
        <f t="shared" si="88"/>
        <v>0</v>
      </c>
      <c r="AN1089" s="500" t="b">
        <f t="shared" si="88"/>
        <v>0</v>
      </c>
      <c r="AO1089" s="500" t="b">
        <f t="shared" si="88"/>
        <v>0</v>
      </c>
      <c r="AP1089" s="500" t="b">
        <f t="shared" si="88"/>
        <v>0</v>
      </c>
      <c r="AQ1089" s="500" t="b">
        <f t="shared" si="88"/>
        <v>0</v>
      </c>
      <c r="AR1089" s="500" t="b">
        <f t="shared" si="88"/>
        <v>0</v>
      </c>
      <c r="AS1089" s="500" t="b">
        <f t="shared" si="88"/>
        <v>0</v>
      </c>
      <c r="AT1089" s="500" t="b">
        <f t="shared" si="88"/>
        <v>0</v>
      </c>
      <c r="AU1089" s="500" t="b">
        <f t="shared" si="88"/>
        <v>0</v>
      </c>
      <c r="AV1089" s="500" t="b">
        <f t="shared" si="88"/>
        <v>0</v>
      </c>
      <c r="AW1089" s="500" t="b">
        <f t="shared" si="88"/>
        <v>0</v>
      </c>
      <c r="AX1089" s="500" t="b">
        <f t="shared" si="88"/>
        <v>0</v>
      </c>
      <c r="AY1089" s="500" t="b">
        <f t="shared" si="88"/>
        <v>0</v>
      </c>
      <c r="AZ1089" s="500" t="b">
        <f t="shared" si="88"/>
        <v>0</v>
      </c>
      <c r="BA1089" s="500" t="b">
        <f t="shared" si="88"/>
        <v>0</v>
      </c>
      <c r="BB1089" s="500" t="b">
        <f t="shared" si="88"/>
        <v>0</v>
      </c>
      <c r="BC1089" s="500" t="b">
        <f t="shared" si="88"/>
        <v>0</v>
      </c>
      <c r="BD1089" s="500" t="b">
        <f t="shared" si="88"/>
        <v>0</v>
      </c>
      <c r="BE1089" s="500" t="b">
        <f t="shared" si="88"/>
        <v>0</v>
      </c>
      <c r="BF1089" s="500" t="b">
        <f t="shared" si="88"/>
        <v>0</v>
      </c>
      <c r="BG1089" s="500" t="b">
        <f t="shared" si="88"/>
        <v>0</v>
      </c>
      <c r="BH1089" s="500" t="b">
        <f t="shared" si="88"/>
        <v>0</v>
      </c>
      <c r="BI1089" s="500" t="b">
        <f t="shared" si="88"/>
        <v>0</v>
      </c>
      <c r="BJ1089" s="500" t="b">
        <f t="shared" si="88"/>
        <v>0</v>
      </c>
      <c r="BK1089" s="500" t="b">
        <f t="shared" si="88"/>
        <v>0</v>
      </c>
      <c r="BL1089" s="501" t="b">
        <f t="shared" si="88"/>
        <v>0</v>
      </c>
    </row>
    <row r="1090" spans="2:64" ht="15" outlineLevel="1">
      <c r="B1090" t="str">
        <f>_xlfn.TEXTJOIN(" - ",TRUE,C1090:F1090)</f>
        <v>Bio-methanol - Feedstock cost including feedstock feedstock cost - Americas - USD/ton fuel</v>
      </c>
      <c r="C1090" s="22" t="str">
        <f>C1065</f>
        <v>Bio-methanol</v>
      </c>
      <c r="D1090" s="22" t="s">
        <v>1369</v>
      </c>
      <c r="E1090" s="22" t="s">
        <v>731</v>
      </c>
      <c r="F1090" s="22" t="s">
        <v>1353</v>
      </c>
      <c r="G1090" s="487" t="str">
        <f t="shared" si="85"/>
        <v>Bio-methanolAmericasFeedstock cost including feedstock feedstock cost</v>
      </c>
      <c r="H1090" s="496">
        <v>166.2540000000001</v>
      </c>
      <c r="I1090" s="496">
        <v>167.22200000000004</v>
      </c>
      <c r="J1090" s="496">
        <v>168.19</v>
      </c>
      <c r="K1090" s="496">
        <v>169.39999999999998</v>
      </c>
      <c r="L1090" s="496">
        <v>170.61</v>
      </c>
      <c r="M1090" s="496">
        <v>171.82</v>
      </c>
      <c r="N1090" s="496">
        <v>173.03</v>
      </c>
      <c r="O1090" s="496">
        <v>174.24</v>
      </c>
      <c r="P1090" s="496">
        <v>175.2080000000002</v>
      </c>
      <c r="Q1090" s="496">
        <v>176.17600000000016</v>
      </c>
      <c r="R1090" s="496">
        <v>177.14400000000012</v>
      </c>
      <c r="S1090" s="496">
        <v>178.11200000000005</v>
      </c>
      <c r="T1090" s="496">
        <v>179.07999999999998</v>
      </c>
      <c r="U1090" s="496">
        <v>180.04800000000023</v>
      </c>
      <c r="V1090" s="496">
        <v>181.01600000000016</v>
      </c>
      <c r="W1090" s="496">
        <v>181.98400000000009</v>
      </c>
      <c r="X1090" s="496">
        <v>182.95200000000006</v>
      </c>
      <c r="Y1090" s="496">
        <v>183.92000000000002</v>
      </c>
      <c r="Z1090" s="496">
        <v>185.13</v>
      </c>
      <c r="AA1090" s="496">
        <v>186.34</v>
      </c>
      <c r="AB1090" s="496">
        <v>187.55</v>
      </c>
      <c r="AC1090" s="496">
        <v>188.76</v>
      </c>
      <c r="AD1090" s="496">
        <v>189.97</v>
      </c>
      <c r="AE1090" s="496">
        <v>190.93800000000022</v>
      </c>
      <c r="AF1090" s="496">
        <v>191.90600000000015</v>
      </c>
      <c r="AG1090" s="496">
        <v>192.87400000000011</v>
      </c>
      <c r="AH1090" s="496">
        <v>193.84200000000004</v>
      </c>
      <c r="AI1090" s="496">
        <v>194.81</v>
      </c>
      <c r="AK1090" s="502" t="b">
        <f t="shared" ref="AK1090:BL1090" si="89">H1072+H1075+H1079+H1090+H1192=H1067</f>
        <v>0</v>
      </c>
      <c r="AL1090" s="106" t="b">
        <f t="shared" si="89"/>
        <v>0</v>
      </c>
      <c r="AM1090" s="106" t="b">
        <f t="shared" si="89"/>
        <v>0</v>
      </c>
      <c r="AN1090" s="106" t="b">
        <f t="shared" si="89"/>
        <v>0</v>
      </c>
      <c r="AO1090" s="106" t="b">
        <f t="shared" si="89"/>
        <v>0</v>
      </c>
      <c r="AP1090" s="106" t="b">
        <f t="shared" si="89"/>
        <v>0</v>
      </c>
      <c r="AQ1090" s="106" t="b">
        <f t="shared" si="89"/>
        <v>0</v>
      </c>
      <c r="AR1090" s="106" t="b">
        <f t="shared" si="89"/>
        <v>0</v>
      </c>
      <c r="AS1090" s="106" t="b">
        <f t="shared" si="89"/>
        <v>0</v>
      </c>
      <c r="AT1090" s="106" t="b">
        <f t="shared" si="89"/>
        <v>0</v>
      </c>
      <c r="AU1090" s="106" t="b">
        <f t="shared" si="89"/>
        <v>0</v>
      </c>
      <c r="AV1090" s="106" t="b">
        <f t="shared" si="89"/>
        <v>0</v>
      </c>
      <c r="AW1090" s="106" t="b">
        <f t="shared" si="89"/>
        <v>0</v>
      </c>
      <c r="AX1090" s="106" t="b">
        <f t="shared" si="89"/>
        <v>0</v>
      </c>
      <c r="AY1090" s="106" t="b">
        <f t="shared" si="89"/>
        <v>0</v>
      </c>
      <c r="AZ1090" s="106" t="b">
        <f t="shared" si="89"/>
        <v>0</v>
      </c>
      <c r="BA1090" s="106" t="b">
        <f t="shared" si="89"/>
        <v>0</v>
      </c>
      <c r="BB1090" s="106" t="b">
        <f t="shared" si="89"/>
        <v>0</v>
      </c>
      <c r="BC1090" s="106" t="b">
        <f t="shared" si="89"/>
        <v>0</v>
      </c>
      <c r="BD1090" s="106" t="b">
        <f t="shared" si="89"/>
        <v>0</v>
      </c>
      <c r="BE1090" s="106" t="b">
        <f t="shared" si="89"/>
        <v>0</v>
      </c>
      <c r="BF1090" s="106" t="b">
        <f t="shared" si="89"/>
        <v>0</v>
      </c>
      <c r="BG1090" s="106" t="b">
        <f t="shared" si="89"/>
        <v>0</v>
      </c>
      <c r="BH1090" s="106" t="b">
        <f t="shared" si="89"/>
        <v>0</v>
      </c>
      <c r="BI1090" s="106" t="b">
        <f t="shared" si="89"/>
        <v>0</v>
      </c>
      <c r="BJ1090" s="106" t="b">
        <f t="shared" si="89"/>
        <v>0</v>
      </c>
      <c r="BK1090" s="106" t="b">
        <f t="shared" si="89"/>
        <v>0</v>
      </c>
      <c r="BL1090" s="503" t="b">
        <f t="shared" si="89"/>
        <v>0</v>
      </c>
    </row>
    <row r="1091" spans="2:64" ht="15" outlineLevel="1">
      <c r="B1091" t="str">
        <f>_xlfn.TEXTJOIN(" - ",TRUE,C1091:F1091)</f>
        <v>Bio-methanol - Feedstock cost including feedstock feedstock cost - Asia - USD/ton fuel</v>
      </c>
      <c r="C1091" s="22" t="str">
        <f>C1065</f>
        <v>Bio-methanol</v>
      </c>
      <c r="D1091" s="22" t="s">
        <v>1369</v>
      </c>
      <c r="E1091" s="22" t="s">
        <v>750</v>
      </c>
      <c r="F1091" s="22" t="s">
        <v>1353</v>
      </c>
      <c r="G1091" s="487" t="str">
        <f t="shared" si="85"/>
        <v>Bio-methanolAsiaFeedstock cost including feedstock feedstock cost</v>
      </c>
      <c r="H1091" s="496">
        <v>146.41</v>
      </c>
      <c r="I1091" s="496">
        <v>147.62</v>
      </c>
      <c r="J1091" s="496">
        <v>148.82999999999998</v>
      </c>
      <c r="K1091" s="496">
        <v>149.79800000000023</v>
      </c>
      <c r="L1091" s="496">
        <v>150.76600000000016</v>
      </c>
      <c r="M1091" s="496">
        <v>151.73400000000009</v>
      </c>
      <c r="N1091" s="496">
        <v>152.70200000000006</v>
      </c>
      <c r="O1091" s="496">
        <v>153.67000000000002</v>
      </c>
      <c r="P1091" s="496">
        <v>154.88</v>
      </c>
      <c r="Q1091" s="496">
        <v>156.09</v>
      </c>
      <c r="R1091" s="496">
        <v>157.30000000000001</v>
      </c>
      <c r="S1091" s="496">
        <v>158.51</v>
      </c>
      <c r="T1091" s="496">
        <v>159.72</v>
      </c>
      <c r="U1091" s="496">
        <v>160.93</v>
      </c>
      <c r="V1091" s="496">
        <v>162.13999999999999</v>
      </c>
      <c r="W1091" s="496">
        <v>163.35</v>
      </c>
      <c r="X1091" s="496">
        <v>164.56</v>
      </c>
      <c r="Y1091" s="496">
        <v>165.76999999999998</v>
      </c>
      <c r="Z1091" s="496">
        <v>166.73800000000023</v>
      </c>
      <c r="AA1091" s="496">
        <v>167.70600000000016</v>
      </c>
      <c r="AB1091" s="496">
        <v>168.67400000000009</v>
      </c>
      <c r="AC1091" s="496">
        <v>169.64200000000005</v>
      </c>
      <c r="AD1091" s="496">
        <v>170.61</v>
      </c>
      <c r="AE1091" s="496">
        <v>171.82</v>
      </c>
      <c r="AF1091" s="496">
        <v>173.03</v>
      </c>
      <c r="AG1091" s="496">
        <v>174.24</v>
      </c>
      <c r="AH1091" s="496">
        <v>175.45</v>
      </c>
      <c r="AI1091" s="496">
        <v>176.66</v>
      </c>
      <c r="AK1091" s="502" t="b">
        <f t="shared" ref="AK1091:BL1091" si="90">H1072+H1075+H1080+H1091+H1192=H1068</f>
        <v>0</v>
      </c>
      <c r="AL1091" s="106" t="b">
        <f t="shared" si="90"/>
        <v>0</v>
      </c>
      <c r="AM1091" s="106" t="b">
        <f t="shared" si="90"/>
        <v>0</v>
      </c>
      <c r="AN1091" s="106" t="b">
        <f t="shared" si="90"/>
        <v>0</v>
      </c>
      <c r="AO1091" s="106" t="b">
        <f t="shared" si="90"/>
        <v>0</v>
      </c>
      <c r="AP1091" s="106" t="b">
        <f t="shared" si="90"/>
        <v>0</v>
      </c>
      <c r="AQ1091" s="106" t="b">
        <f t="shared" si="90"/>
        <v>0</v>
      </c>
      <c r="AR1091" s="106" t="b">
        <f t="shared" si="90"/>
        <v>0</v>
      </c>
      <c r="AS1091" s="106" t="b">
        <f t="shared" si="90"/>
        <v>0</v>
      </c>
      <c r="AT1091" s="106" t="b">
        <f t="shared" si="90"/>
        <v>0</v>
      </c>
      <c r="AU1091" s="106" t="b">
        <f t="shared" si="90"/>
        <v>0</v>
      </c>
      <c r="AV1091" s="106" t="b">
        <f t="shared" si="90"/>
        <v>0</v>
      </c>
      <c r="AW1091" s="106" t="b">
        <f t="shared" si="90"/>
        <v>0</v>
      </c>
      <c r="AX1091" s="106" t="b">
        <f t="shared" si="90"/>
        <v>0</v>
      </c>
      <c r="AY1091" s="106" t="b">
        <f t="shared" si="90"/>
        <v>0</v>
      </c>
      <c r="AZ1091" s="106" t="b">
        <f t="shared" si="90"/>
        <v>0</v>
      </c>
      <c r="BA1091" s="106" t="b">
        <f t="shared" si="90"/>
        <v>0</v>
      </c>
      <c r="BB1091" s="106" t="b">
        <f t="shared" si="90"/>
        <v>0</v>
      </c>
      <c r="BC1091" s="106" t="b">
        <f t="shared" si="90"/>
        <v>0</v>
      </c>
      <c r="BD1091" s="106" t="b">
        <f t="shared" si="90"/>
        <v>0</v>
      </c>
      <c r="BE1091" s="106" t="b">
        <f t="shared" si="90"/>
        <v>0</v>
      </c>
      <c r="BF1091" s="106" t="b">
        <f t="shared" si="90"/>
        <v>0</v>
      </c>
      <c r="BG1091" s="106" t="b">
        <f t="shared" si="90"/>
        <v>0</v>
      </c>
      <c r="BH1091" s="106" t="b">
        <f t="shared" si="90"/>
        <v>0</v>
      </c>
      <c r="BI1091" s="106" t="b">
        <f t="shared" si="90"/>
        <v>0</v>
      </c>
      <c r="BJ1091" s="106" t="b">
        <f t="shared" si="90"/>
        <v>0</v>
      </c>
      <c r="BK1091" s="106" t="b">
        <f t="shared" si="90"/>
        <v>0</v>
      </c>
      <c r="BL1091" s="503" t="b">
        <f t="shared" si="90"/>
        <v>0</v>
      </c>
    </row>
    <row r="1092" spans="2:64" ht="15" outlineLevel="1">
      <c r="B1092" t="str">
        <f>_xlfn.TEXTJOIN(" - ",TRUE,C1092:F1092)</f>
        <v>Bio-methanol - Feedstock cost including feedstock feedstock cost - Europe - USD/ton fuel</v>
      </c>
      <c r="C1092" s="22" t="str">
        <f>C1065</f>
        <v>Bio-methanol</v>
      </c>
      <c r="D1092" s="22" t="s">
        <v>1369</v>
      </c>
      <c r="E1092" s="22" t="s">
        <v>720</v>
      </c>
      <c r="F1092" s="22" t="s">
        <v>1353</v>
      </c>
      <c r="G1092" s="487" t="str">
        <f t="shared" si="85"/>
        <v>Bio-methanolEuropeFeedstock cost including feedstock feedstock cost</v>
      </c>
      <c r="H1092" s="496">
        <v>179.07999999999998</v>
      </c>
      <c r="I1092" s="496">
        <v>180.29</v>
      </c>
      <c r="J1092" s="496">
        <v>181.5</v>
      </c>
      <c r="K1092" s="496">
        <v>182.70999999999998</v>
      </c>
      <c r="L1092" s="496">
        <v>183.92000000000002</v>
      </c>
      <c r="M1092" s="496">
        <v>185.13</v>
      </c>
      <c r="N1092" s="496">
        <v>186.34</v>
      </c>
      <c r="O1092" s="496">
        <v>187.55</v>
      </c>
      <c r="P1092" s="496">
        <v>188.76</v>
      </c>
      <c r="Q1092" s="496">
        <v>189.97</v>
      </c>
      <c r="R1092" s="496">
        <v>191.18</v>
      </c>
      <c r="S1092" s="496">
        <v>192.39</v>
      </c>
      <c r="T1092" s="496">
        <v>193.6</v>
      </c>
      <c r="U1092" s="496">
        <v>194.56800000000021</v>
      </c>
      <c r="V1092" s="496">
        <v>195.53600000000017</v>
      </c>
      <c r="W1092" s="496">
        <v>196.5040000000001</v>
      </c>
      <c r="X1092" s="496">
        <v>197.47200000000004</v>
      </c>
      <c r="Y1092" s="496">
        <v>198.44</v>
      </c>
      <c r="Z1092" s="496">
        <v>199.65</v>
      </c>
      <c r="AA1092" s="496">
        <v>200.85999999999999</v>
      </c>
      <c r="AB1092" s="496">
        <v>202.07</v>
      </c>
      <c r="AC1092" s="496">
        <v>203.28</v>
      </c>
      <c r="AD1092" s="496">
        <v>204.49</v>
      </c>
      <c r="AE1092" s="496">
        <v>205.7</v>
      </c>
      <c r="AF1092" s="496">
        <v>206.91</v>
      </c>
      <c r="AG1092" s="496">
        <v>208.12</v>
      </c>
      <c r="AH1092" s="496">
        <v>209.32999999999998</v>
      </c>
      <c r="AI1092" s="496">
        <v>210.54</v>
      </c>
      <c r="AK1092" s="502" t="b">
        <f t="shared" ref="AK1092:BL1092" si="91">H1072+H1075+H1081+H1092+H1192=H1069</f>
        <v>0</v>
      </c>
      <c r="AL1092" s="106" t="b">
        <f t="shared" si="91"/>
        <v>0</v>
      </c>
      <c r="AM1092" s="106" t="b">
        <f t="shared" si="91"/>
        <v>0</v>
      </c>
      <c r="AN1092" s="106" t="b">
        <f t="shared" si="91"/>
        <v>0</v>
      </c>
      <c r="AO1092" s="106" t="b">
        <f t="shared" si="91"/>
        <v>0</v>
      </c>
      <c r="AP1092" s="106" t="b">
        <f t="shared" si="91"/>
        <v>0</v>
      </c>
      <c r="AQ1092" s="106" t="b">
        <f t="shared" si="91"/>
        <v>0</v>
      </c>
      <c r="AR1092" s="106" t="b">
        <f t="shared" si="91"/>
        <v>0</v>
      </c>
      <c r="AS1092" s="106" t="b">
        <f t="shared" si="91"/>
        <v>0</v>
      </c>
      <c r="AT1092" s="106" t="b">
        <f t="shared" si="91"/>
        <v>0</v>
      </c>
      <c r="AU1092" s="106" t="b">
        <f t="shared" si="91"/>
        <v>0</v>
      </c>
      <c r="AV1092" s="106" t="b">
        <f t="shared" si="91"/>
        <v>0</v>
      </c>
      <c r="AW1092" s="106" t="b">
        <f t="shared" si="91"/>
        <v>0</v>
      </c>
      <c r="AX1092" s="106" t="b">
        <f t="shared" si="91"/>
        <v>0</v>
      </c>
      <c r="AY1092" s="106" t="b">
        <f t="shared" si="91"/>
        <v>0</v>
      </c>
      <c r="AZ1092" s="106" t="b">
        <f t="shared" si="91"/>
        <v>0</v>
      </c>
      <c r="BA1092" s="106" t="b">
        <f t="shared" si="91"/>
        <v>0</v>
      </c>
      <c r="BB1092" s="106" t="b">
        <f t="shared" si="91"/>
        <v>0</v>
      </c>
      <c r="BC1092" s="106" t="b">
        <f t="shared" si="91"/>
        <v>0</v>
      </c>
      <c r="BD1092" s="106" t="b">
        <f t="shared" si="91"/>
        <v>0</v>
      </c>
      <c r="BE1092" s="106" t="b">
        <f t="shared" si="91"/>
        <v>0</v>
      </c>
      <c r="BF1092" s="106" t="b">
        <f t="shared" si="91"/>
        <v>0</v>
      </c>
      <c r="BG1092" s="106" t="b">
        <f t="shared" si="91"/>
        <v>0</v>
      </c>
      <c r="BH1092" s="106" t="b">
        <f t="shared" si="91"/>
        <v>0</v>
      </c>
      <c r="BI1092" s="106" t="b">
        <f t="shared" si="91"/>
        <v>0</v>
      </c>
      <c r="BJ1092" s="106" t="b">
        <f t="shared" si="91"/>
        <v>0</v>
      </c>
      <c r="BK1092" s="106" t="b">
        <f t="shared" si="91"/>
        <v>0</v>
      </c>
      <c r="BL1092" s="503" t="b">
        <f t="shared" si="91"/>
        <v>0</v>
      </c>
    </row>
    <row r="1093" spans="2:64" ht="15.75" outlineLevel="1" thickBot="1">
      <c r="B1093" t="str">
        <f>_xlfn.TEXTJOIN(" - ",TRUE,C1093:F1093)</f>
        <v>Bio-methanol - Feedstock cost including feedstock feedstock cost - Middle East - USD/ton fuel</v>
      </c>
      <c r="C1093" s="92" t="str">
        <f>C1065</f>
        <v>Bio-methanol</v>
      </c>
      <c r="D1093" s="92" t="s">
        <v>1369</v>
      </c>
      <c r="E1093" s="92" t="s">
        <v>826</v>
      </c>
      <c r="F1093" s="92" t="s">
        <v>1353</v>
      </c>
      <c r="G1093" s="487" t="str">
        <f t="shared" si="85"/>
        <v>Bio-methanolMiddle EastFeedstock cost including feedstock feedstock cost</v>
      </c>
      <c r="H1093" s="497">
        <v>197.71400000000011</v>
      </c>
      <c r="I1093" s="497">
        <v>198.68200000000004</v>
      </c>
      <c r="J1093" s="497">
        <v>199.65</v>
      </c>
      <c r="K1093" s="497">
        <v>200.61800000000022</v>
      </c>
      <c r="L1093" s="497">
        <v>201.58600000000015</v>
      </c>
      <c r="M1093" s="497">
        <v>202.55400000000012</v>
      </c>
      <c r="N1093" s="497">
        <v>203.52200000000005</v>
      </c>
      <c r="O1093" s="497">
        <v>204.49</v>
      </c>
      <c r="P1093" s="497">
        <v>205.45800000000023</v>
      </c>
      <c r="Q1093" s="497">
        <v>206.42600000000016</v>
      </c>
      <c r="R1093" s="497">
        <v>207.39400000000012</v>
      </c>
      <c r="S1093" s="497">
        <v>208.36200000000005</v>
      </c>
      <c r="T1093" s="497">
        <v>209.32999999999998</v>
      </c>
      <c r="U1093" s="497">
        <v>210.54</v>
      </c>
      <c r="V1093" s="497">
        <v>211.75</v>
      </c>
      <c r="W1093" s="497">
        <v>212.96</v>
      </c>
      <c r="X1093" s="497">
        <v>214.17</v>
      </c>
      <c r="Y1093" s="497">
        <v>215.38</v>
      </c>
      <c r="Z1093" s="497">
        <v>216.34800000000021</v>
      </c>
      <c r="AA1093" s="497">
        <v>217.31600000000017</v>
      </c>
      <c r="AB1093" s="497">
        <v>218.28400000000011</v>
      </c>
      <c r="AC1093" s="497">
        <v>219.25200000000004</v>
      </c>
      <c r="AD1093" s="497">
        <v>220.22</v>
      </c>
      <c r="AE1093" s="497">
        <v>221.18800000000022</v>
      </c>
      <c r="AF1093" s="497">
        <v>222.15600000000015</v>
      </c>
      <c r="AG1093" s="497">
        <v>223.12400000000011</v>
      </c>
      <c r="AH1093" s="497">
        <v>224.09200000000004</v>
      </c>
      <c r="AI1093" s="497">
        <v>225.06</v>
      </c>
      <c r="AK1093" s="504" t="b">
        <f t="shared" ref="AK1093:BL1093" si="92">H1072+H1075+H1082+H1093+H1192=H1070</f>
        <v>0</v>
      </c>
      <c r="AL1093" s="505" t="b">
        <f t="shared" si="92"/>
        <v>0</v>
      </c>
      <c r="AM1093" s="505" t="b">
        <f t="shared" si="92"/>
        <v>0</v>
      </c>
      <c r="AN1093" s="505" t="b">
        <f t="shared" si="92"/>
        <v>0</v>
      </c>
      <c r="AO1093" s="505" t="b">
        <f t="shared" si="92"/>
        <v>0</v>
      </c>
      <c r="AP1093" s="505" t="b">
        <f t="shared" si="92"/>
        <v>0</v>
      </c>
      <c r="AQ1093" s="505" t="b">
        <f t="shared" si="92"/>
        <v>0</v>
      </c>
      <c r="AR1093" s="505" t="b">
        <f t="shared" si="92"/>
        <v>0</v>
      </c>
      <c r="AS1093" s="505" t="b">
        <f t="shared" si="92"/>
        <v>0</v>
      </c>
      <c r="AT1093" s="505" t="b">
        <f t="shared" si="92"/>
        <v>0</v>
      </c>
      <c r="AU1093" s="505" t="b">
        <f t="shared" si="92"/>
        <v>0</v>
      </c>
      <c r="AV1093" s="505" t="b">
        <f t="shared" si="92"/>
        <v>0</v>
      </c>
      <c r="AW1093" s="505" t="b">
        <f t="shared" si="92"/>
        <v>0</v>
      </c>
      <c r="AX1093" s="505" t="b">
        <f t="shared" si="92"/>
        <v>0</v>
      </c>
      <c r="AY1093" s="505" t="b">
        <f t="shared" si="92"/>
        <v>0</v>
      </c>
      <c r="AZ1093" s="505" t="b">
        <f t="shared" si="92"/>
        <v>0</v>
      </c>
      <c r="BA1093" s="505" t="b">
        <f t="shared" si="92"/>
        <v>0</v>
      </c>
      <c r="BB1093" s="505" t="b">
        <f t="shared" si="92"/>
        <v>0</v>
      </c>
      <c r="BC1093" s="505" t="b">
        <f t="shared" si="92"/>
        <v>0</v>
      </c>
      <c r="BD1093" s="505" t="b">
        <f t="shared" si="92"/>
        <v>0</v>
      </c>
      <c r="BE1093" s="505" t="b">
        <f t="shared" si="92"/>
        <v>0</v>
      </c>
      <c r="BF1093" s="505" t="b">
        <f t="shared" si="92"/>
        <v>0</v>
      </c>
      <c r="BG1093" s="505" t="b">
        <f t="shared" si="92"/>
        <v>0</v>
      </c>
      <c r="BH1093" s="505" t="b">
        <f t="shared" si="92"/>
        <v>0</v>
      </c>
      <c r="BI1093" s="505" t="b">
        <f t="shared" si="92"/>
        <v>0</v>
      </c>
      <c r="BJ1093" s="505" t="b">
        <f t="shared" si="92"/>
        <v>0</v>
      </c>
      <c r="BK1093" s="505" t="b">
        <f t="shared" si="92"/>
        <v>0</v>
      </c>
      <c r="BL1093" s="506" t="b">
        <f t="shared" si="92"/>
        <v>0</v>
      </c>
    </row>
    <row r="1094" spans="2:64" outlineLevel="1">
      <c r="B1094" t="str">
        <f t="shared" si="87"/>
        <v>Bio-methanol - Feedstock cost - Africa - USD/ton fuel</v>
      </c>
      <c r="C1094" t="str">
        <f>C1065</f>
        <v>Bio-methanol</v>
      </c>
      <c r="D1094" t="s">
        <v>1371</v>
      </c>
      <c r="E1094" t="s">
        <v>838</v>
      </c>
      <c r="F1094" t="s">
        <v>1353</v>
      </c>
      <c r="G1094" s="487" t="str">
        <f t="shared" si="85"/>
        <v>Bio-methanolAfricaFeedstock cost</v>
      </c>
      <c r="H1094" s="493">
        <v>204.49</v>
      </c>
      <c r="I1094" s="493">
        <v>205.7</v>
      </c>
      <c r="J1094" s="493">
        <v>206.91</v>
      </c>
      <c r="K1094" s="493">
        <v>208.12</v>
      </c>
      <c r="L1094" s="493">
        <v>209.32999999999998</v>
      </c>
      <c r="M1094" s="493">
        <v>210.54</v>
      </c>
      <c r="N1094" s="493">
        <v>211.75</v>
      </c>
      <c r="O1094" s="493">
        <v>212.96</v>
      </c>
      <c r="P1094" s="493">
        <v>214.41199999999978</v>
      </c>
      <c r="Q1094" s="493">
        <v>215.86400000000012</v>
      </c>
      <c r="R1094" s="493">
        <v>217.31599999999989</v>
      </c>
      <c r="S1094" s="493">
        <v>218.76799999999966</v>
      </c>
      <c r="T1094" s="493">
        <v>220.22</v>
      </c>
      <c r="U1094" s="493">
        <v>221.43</v>
      </c>
      <c r="V1094" s="493">
        <v>222.64</v>
      </c>
      <c r="W1094" s="493">
        <v>223.85</v>
      </c>
      <c r="X1094" s="493">
        <v>225.06</v>
      </c>
      <c r="Y1094" s="493">
        <v>226.26999999999998</v>
      </c>
      <c r="Z1094" s="493">
        <v>227.48</v>
      </c>
      <c r="AA1094" s="493">
        <v>228.69</v>
      </c>
      <c r="AB1094" s="493">
        <v>229.9</v>
      </c>
      <c r="AC1094" s="493">
        <v>231.10999999999999</v>
      </c>
      <c r="AD1094" s="493">
        <v>232.32</v>
      </c>
      <c r="AE1094" s="493">
        <v>233.53</v>
      </c>
      <c r="AF1094" s="493">
        <v>234.74</v>
      </c>
      <c r="AG1094" s="493">
        <v>235.95</v>
      </c>
      <c r="AH1094" s="493">
        <v>237.16</v>
      </c>
      <c r="AI1094" s="493">
        <v>238.37</v>
      </c>
    </row>
    <row r="1095" spans="2:64" outlineLevel="1">
      <c r="B1095" t="str">
        <f t="shared" si="87"/>
        <v>Bio-methanol - Feedstock cost - Americas - USD/ton fuel</v>
      </c>
      <c r="C1095" t="str">
        <f>C1065</f>
        <v>Bio-methanol</v>
      </c>
      <c r="D1095" t="s">
        <v>1371</v>
      </c>
      <c r="E1095" t="s">
        <v>731</v>
      </c>
      <c r="F1095" t="s">
        <v>1353</v>
      </c>
      <c r="G1095" s="487" t="str">
        <f t="shared" si="85"/>
        <v>Bio-methanolAmericasFeedstock cost</v>
      </c>
      <c r="H1095" s="493">
        <v>166.2540000000001</v>
      </c>
      <c r="I1095" s="493">
        <v>167.22200000000004</v>
      </c>
      <c r="J1095" s="493">
        <v>168.19</v>
      </c>
      <c r="K1095" s="493">
        <v>169.39999999999998</v>
      </c>
      <c r="L1095" s="493">
        <v>170.61</v>
      </c>
      <c r="M1095" s="493">
        <v>171.82</v>
      </c>
      <c r="N1095" s="493">
        <v>173.03</v>
      </c>
      <c r="O1095" s="493">
        <v>174.24</v>
      </c>
      <c r="P1095" s="493">
        <v>175.2080000000002</v>
      </c>
      <c r="Q1095" s="493">
        <v>176.17600000000016</v>
      </c>
      <c r="R1095" s="493">
        <v>177.14400000000012</v>
      </c>
      <c r="S1095" s="493">
        <v>178.11200000000005</v>
      </c>
      <c r="T1095" s="493">
        <v>179.07999999999998</v>
      </c>
      <c r="U1095" s="493">
        <v>180.04800000000023</v>
      </c>
      <c r="V1095" s="493">
        <v>181.01600000000016</v>
      </c>
      <c r="W1095" s="493">
        <v>181.98400000000009</v>
      </c>
      <c r="X1095" s="493">
        <v>182.95200000000006</v>
      </c>
      <c r="Y1095" s="493">
        <v>183.92000000000002</v>
      </c>
      <c r="Z1095" s="493">
        <v>185.13</v>
      </c>
      <c r="AA1095" s="493">
        <v>186.34</v>
      </c>
      <c r="AB1095" s="493">
        <v>187.55</v>
      </c>
      <c r="AC1095" s="493">
        <v>188.76</v>
      </c>
      <c r="AD1095" s="493">
        <v>189.97</v>
      </c>
      <c r="AE1095" s="493">
        <v>190.93800000000022</v>
      </c>
      <c r="AF1095" s="493">
        <v>191.90600000000015</v>
      </c>
      <c r="AG1095" s="493">
        <v>192.87400000000011</v>
      </c>
      <c r="AH1095" s="493">
        <v>193.84200000000004</v>
      </c>
      <c r="AI1095" s="493">
        <v>194.81</v>
      </c>
    </row>
    <row r="1096" spans="2:64" outlineLevel="1">
      <c r="B1096" t="str">
        <f>_xlfn.TEXTJOIN(" - ",TRUE,C1096:F1096)</f>
        <v>Bio-methanol - Feedstock cost - Asia - USD/ton fuel</v>
      </c>
      <c r="C1096" t="str">
        <f>C1065</f>
        <v>Bio-methanol</v>
      </c>
      <c r="D1096" t="s">
        <v>1371</v>
      </c>
      <c r="E1096" t="s">
        <v>750</v>
      </c>
      <c r="F1096" t="s">
        <v>1353</v>
      </c>
      <c r="G1096" s="487" t="str">
        <f t="shared" ref="G1096:G1159" si="93">+C1096&amp;E1096&amp;D1096</f>
        <v>Bio-methanolAsiaFeedstock cost</v>
      </c>
      <c r="H1096" s="493">
        <v>146.41</v>
      </c>
      <c r="I1096" s="493">
        <v>147.62</v>
      </c>
      <c r="J1096" s="493">
        <v>148.82999999999998</v>
      </c>
      <c r="K1096" s="493">
        <v>149.79800000000023</v>
      </c>
      <c r="L1096" s="493">
        <v>150.76600000000016</v>
      </c>
      <c r="M1096" s="493">
        <v>151.73400000000009</v>
      </c>
      <c r="N1096" s="493">
        <v>152.70200000000006</v>
      </c>
      <c r="O1096" s="493">
        <v>153.67000000000002</v>
      </c>
      <c r="P1096" s="493">
        <v>154.88</v>
      </c>
      <c r="Q1096" s="493">
        <v>156.09</v>
      </c>
      <c r="R1096" s="493">
        <v>157.30000000000001</v>
      </c>
      <c r="S1096" s="493">
        <v>158.51</v>
      </c>
      <c r="T1096" s="493">
        <v>159.72</v>
      </c>
      <c r="U1096" s="493">
        <v>160.93</v>
      </c>
      <c r="V1096" s="493">
        <v>162.13999999999999</v>
      </c>
      <c r="W1096" s="493">
        <v>163.35</v>
      </c>
      <c r="X1096" s="493">
        <v>164.56</v>
      </c>
      <c r="Y1096" s="493">
        <v>165.76999999999998</v>
      </c>
      <c r="Z1096" s="493">
        <v>166.73800000000023</v>
      </c>
      <c r="AA1096" s="493">
        <v>167.70600000000016</v>
      </c>
      <c r="AB1096" s="493">
        <v>168.67400000000009</v>
      </c>
      <c r="AC1096" s="493">
        <v>169.64200000000005</v>
      </c>
      <c r="AD1096" s="493">
        <v>170.61</v>
      </c>
      <c r="AE1096" s="493">
        <v>171.82</v>
      </c>
      <c r="AF1096" s="493">
        <v>173.03</v>
      </c>
      <c r="AG1096" s="493">
        <v>174.24</v>
      </c>
      <c r="AH1096" s="493">
        <v>175.45</v>
      </c>
      <c r="AI1096" s="493">
        <v>176.66</v>
      </c>
    </row>
    <row r="1097" spans="2:64" outlineLevel="1">
      <c r="B1097" t="str">
        <f t="shared" si="87"/>
        <v>Bio-methanol - Feedstock cost - Europe - USD/ton fuel</v>
      </c>
      <c r="C1097" t="str">
        <f>C1065</f>
        <v>Bio-methanol</v>
      </c>
      <c r="D1097" t="s">
        <v>1371</v>
      </c>
      <c r="E1097" t="s">
        <v>720</v>
      </c>
      <c r="F1097" t="s">
        <v>1353</v>
      </c>
      <c r="G1097" s="487" t="str">
        <f t="shared" si="93"/>
        <v>Bio-methanolEuropeFeedstock cost</v>
      </c>
      <c r="H1097" s="493">
        <v>179.07999999999998</v>
      </c>
      <c r="I1097" s="493">
        <v>180.29</v>
      </c>
      <c r="J1097" s="493">
        <v>181.5</v>
      </c>
      <c r="K1097" s="493">
        <v>182.70999999999998</v>
      </c>
      <c r="L1097" s="493">
        <v>183.92000000000002</v>
      </c>
      <c r="M1097" s="493">
        <v>185.13</v>
      </c>
      <c r="N1097" s="493">
        <v>186.34</v>
      </c>
      <c r="O1097" s="493">
        <v>187.55</v>
      </c>
      <c r="P1097" s="493">
        <v>188.76</v>
      </c>
      <c r="Q1097" s="493">
        <v>189.97</v>
      </c>
      <c r="R1097" s="493">
        <v>191.18</v>
      </c>
      <c r="S1097" s="493">
        <v>192.39</v>
      </c>
      <c r="T1097" s="493">
        <v>193.6</v>
      </c>
      <c r="U1097" s="493">
        <v>194.56800000000021</v>
      </c>
      <c r="V1097" s="493">
        <v>195.53600000000017</v>
      </c>
      <c r="W1097" s="493">
        <v>196.5040000000001</v>
      </c>
      <c r="X1097" s="493">
        <v>197.47200000000004</v>
      </c>
      <c r="Y1097" s="493">
        <v>198.44</v>
      </c>
      <c r="Z1097" s="493">
        <v>199.65</v>
      </c>
      <c r="AA1097" s="493">
        <v>200.85999999999999</v>
      </c>
      <c r="AB1097" s="493">
        <v>202.07</v>
      </c>
      <c r="AC1097" s="493">
        <v>203.28</v>
      </c>
      <c r="AD1097" s="493">
        <v>204.49</v>
      </c>
      <c r="AE1097" s="493">
        <v>205.7</v>
      </c>
      <c r="AF1097" s="493">
        <v>206.91</v>
      </c>
      <c r="AG1097" s="493">
        <v>208.12</v>
      </c>
      <c r="AH1097" s="493">
        <v>209.32999999999998</v>
      </c>
      <c r="AI1097" s="493">
        <v>210.54</v>
      </c>
    </row>
    <row r="1098" spans="2:64" outlineLevel="1">
      <c r="B1098" t="str">
        <f>_xlfn.TEXTJOIN(" - ",TRUE,C1098:F1098)</f>
        <v>Bio-methanol - Feedstock cost - Middle East - USD/ton fuel</v>
      </c>
      <c r="C1098" t="str">
        <f>C1065</f>
        <v>Bio-methanol</v>
      </c>
      <c r="D1098" t="s">
        <v>1371</v>
      </c>
      <c r="E1098" t="s">
        <v>826</v>
      </c>
      <c r="F1098" t="s">
        <v>1353</v>
      </c>
      <c r="G1098" s="487" t="str">
        <f t="shared" si="93"/>
        <v>Bio-methanolMiddle EastFeedstock cost</v>
      </c>
      <c r="H1098" s="493">
        <v>197.71400000000011</v>
      </c>
      <c r="I1098" s="493">
        <v>198.68200000000004</v>
      </c>
      <c r="J1098" s="493">
        <v>199.65</v>
      </c>
      <c r="K1098" s="493">
        <v>200.61800000000022</v>
      </c>
      <c r="L1098" s="493">
        <v>201.58600000000015</v>
      </c>
      <c r="M1098" s="493">
        <v>202.55400000000012</v>
      </c>
      <c r="N1098" s="493">
        <v>203.52200000000005</v>
      </c>
      <c r="O1098" s="493">
        <v>204.49</v>
      </c>
      <c r="P1098" s="493">
        <v>205.45800000000023</v>
      </c>
      <c r="Q1098" s="493">
        <v>206.42600000000016</v>
      </c>
      <c r="R1098" s="493">
        <v>207.39400000000012</v>
      </c>
      <c r="S1098" s="493">
        <v>208.36200000000005</v>
      </c>
      <c r="T1098" s="493">
        <v>209.32999999999998</v>
      </c>
      <c r="U1098" s="493">
        <v>210.54</v>
      </c>
      <c r="V1098" s="493">
        <v>211.75</v>
      </c>
      <c r="W1098" s="493">
        <v>212.96</v>
      </c>
      <c r="X1098" s="493">
        <v>214.17</v>
      </c>
      <c r="Y1098" s="493">
        <v>215.38</v>
      </c>
      <c r="Z1098" s="493">
        <v>216.34800000000021</v>
      </c>
      <c r="AA1098" s="493">
        <v>217.31600000000017</v>
      </c>
      <c r="AB1098" s="493">
        <v>218.28400000000011</v>
      </c>
      <c r="AC1098" s="493">
        <v>219.25200000000004</v>
      </c>
      <c r="AD1098" s="493">
        <v>220.22</v>
      </c>
      <c r="AE1098" s="493">
        <v>221.18800000000022</v>
      </c>
      <c r="AF1098" s="493">
        <v>222.15600000000015</v>
      </c>
      <c r="AG1098" s="493">
        <v>223.12400000000011</v>
      </c>
      <c r="AH1098" s="493">
        <v>224.09200000000004</v>
      </c>
      <c r="AI1098" s="493">
        <v>225.06</v>
      </c>
    </row>
    <row r="1099" spans="2:64">
      <c r="G1099" s="487" t="str">
        <f t="shared" si="93"/>
        <v/>
      </c>
      <c r="J1099" s="67"/>
    </row>
    <row r="1100" spans="2:64" ht="15">
      <c r="B1100" t="str">
        <f t="shared" ref="B1100:B1144" si="94">_xlfn.TEXTJOIN(" - ",TRUE,C1100:F1100)</f>
        <v>Bio-methane (liquefied) - Item - Region - Unit</v>
      </c>
      <c r="C1100" s="512" t="s">
        <v>784</v>
      </c>
      <c r="D1100" s="512" t="s">
        <v>877</v>
      </c>
      <c r="E1100" s="512" t="s">
        <v>171</v>
      </c>
      <c r="F1100" s="512" t="s">
        <v>111</v>
      </c>
      <c r="G1100" s="487" t="str">
        <f t="shared" si="93"/>
        <v>Bio-methane (liquefied)RegionItem</v>
      </c>
      <c r="H1100" s="513">
        <v>2023</v>
      </c>
      <c r="I1100" s="513">
        <v>2024</v>
      </c>
      <c r="J1100" s="513">
        <v>2025</v>
      </c>
      <c r="K1100" s="513">
        <v>2026</v>
      </c>
      <c r="L1100" s="513">
        <v>2027</v>
      </c>
      <c r="M1100" s="513">
        <v>2028</v>
      </c>
      <c r="N1100" s="513">
        <v>2029</v>
      </c>
      <c r="O1100" s="513">
        <v>2030</v>
      </c>
      <c r="P1100" s="513">
        <v>2031</v>
      </c>
      <c r="Q1100" s="513">
        <v>2032</v>
      </c>
      <c r="R1100" s="513">
        <v>2033</v>
      </c>
      <c r="S1100" s="513">
        <v>2034</v>
      </c>
      <c r="T1100" s="513">
        <v>2035</v>
      </c>
      <c r="U1100" s="513">
        <v>2036</v>
      </c>
      <c r="V1100" s="513">
        <v>2037</v>
      </c>
      <c r="W1100" s="513">
        <v>2038</v>
      </c>
      <c r="X1100" s="513">
        <v>2039</v>
      </c>
      <c r="Y1100" s="513">
        <v>2040</v>
      </c>
      <c r="Z1100" s="513">
        <v>2041</v>
      </c>
      <c r="AA1100" s="513">
        <v>2042</v>
      </c>
      <c r="AB1100" s="513">
        <v>2043</v>
      </c>
      <c r="AC1100" s="513">
        <v>2044</v>
      </c>
      <c r="AD1100" s="513">
        <v>2045</v>
      </c>
      <c r="AE1100" s="513">
        <v>2046</v>
      </c>
      <c r="AF1100" s="513">
        <v>2047</v>
      </c>
      <c r="AG1100" s="513">
        <v>2048</v>
      </c>
      <c r="AH1100" s="513">
        <v>2049</v>
      </c>
      <c r="AI1100" s="513">
        <v>2050</v>
      </c>
    </row>
    <row r="1101" spans="2:64" outlineLevel="1">
      <c r="B1101" t="str">
        <f t="shared" si="94"/>
        <v>Bio-methane (liquefied) - Total cost - Africa - USD/ton fuel</v>
      </c>
      <c r="C1101" s="487" t="str">
        <f>C1100</f>
        <v>Bio-methane (liquefied)</v>
      </c>
      <c r="D1101" s="487" t="s">
        <v>1362</v>
      </c>
      <c r="E1101" s="487" t="s">
        <v>838</v>
      </c>
      <c r="F1101" s="487" t="s">
        <v>1353</v>
      </c>
      <c r="G1101" s="487" t="str">
        <f t="shared" si="93"/>
        <v>Bio-methane (liquefied)AfricaTotal cost</v>
      </c>
      <c r="H1101" s="488">
        <v>1200.2217290434762</v>
      </c>
      <c r="I1101" s="488">
        <v>1173.2232453023753</v>
      </c>
      <c r="J1101" s="488">
        <v>1146.6166680786971</v>
      </c>
      <c r="K1101" s="488">
        <v>1130.3192719326091</v>
      </c>
      <c r="L1101" s="488">
        <v>1114.1040442836015</v>
      </c>
      <c r="M1101" s="488">
        <v>1097.9709851316732</v>
      </c>
      <c r="N1101" s="488">
        <v>1081.9200944768238</v>
      </c>
      <c r="O1101" s="488">
        <v>1065.9513723190544</v>
      </c>
      <c r="P1101" s="488">
        <v>1051.9457363592455</v>
      </c>
      <c r="Q1101" s="488">
        <v>1037.9357288444971</v>
      </c>
      <c r="R1101" s="488">
        <v>1023.9213497748094</v>
      </c>
      <c r="S1101" s="488">
        <v>1009.9025991501869</v>
      </c>
      <c r="T1101" s="488">
        <v>995.8794769706227</v>
      </c>
      <c r="U1101" s="488">
        <v>982.54387889973668</v>
      </c>
      <c r="V1101" s="488">
        <v>969.20622320977532</v>
      </c>
      <c r="W1101" s="488">
        <v>955.86650990073758</v>
      </c>
      <c r="X1101" s="488">
        <v>942.52473897262439</v>
      </c>
      <c r="Y1101" s="488">
        <v>929.18091042543642</v>
      </c>
      <c r="Z1101" s="488">
        <v>915.81748489977872</v>
      </c>
      <c r="AA1101" s="488">
        <v>902.4519435837866</v>
      </c>
      <c r="AB1101" s="488">
        <v>889.08428647746052</v>
      </c>
      <c r="AC1101" s="488">
        <v>875.71451358080321</v>
      </c>
      <c r="AD1101" s="488">
        <v>862.34262489381013</v>
      </c>
      <c r="AE1101" s="488">
        <v>849.29613419117811</v>
      </c>
      <c r="AF1101" s="488">
        <v>836.24860500198542</v>
      </c>
      <c r="AG1101" s="488">
        <v>823.20003732623263</v>
      </c>
      <c r="AH1101" s="488">
        <v>810.15043116391985</v>
      </c>
      <c r="AI1101" s="488">
        <v>797.09978651504741</v>
      </c>
    </row>
    <row r="1102" spans="2:64" outlineLevel="1">
      <c r="B1102" t="str">
        <f t="shared" si="94"/>
        <v>Bio-methane (liquefied) - Total cost - Americas - USD/ton fuel</v>
      </c>
      <c r="C1102" t="str">
        <f>C1101</f>
        <v>Bio-methane (liquefied)</v>
      </c>
      <c r="D1102" t="s">
        <v>1362</v>
      </c>
      <c r="E1102" t="s">
        <v>731</v>
      </c>
      <c r="F1102" t="s">
        <v>1353</v>
      </c>
      <c r="G1102" s="487" t="str">
        <f t="shared" si="93"/>
        <v>Bio-methane (liquefied)AmericasTotal cost</v>
      </c>
      <c r="H1102" s="489">
        <v>1151.4766114670608</v>
      </c>
      <c r="I1102" s="489">
        <v>1137.4312830390195</v>
      </c>
      <c r="J1102" s="489">
        <v>1123.4308416932929</v>
      </c>
      <c r="K1102" s="489">
        <v>1109.3714147856035</v>
      </c>
      <c r="L1102" s="489">
        <v>1095.3107258246628</v>
      </c>
      <c r="M1102" s="489">
        <v>1081.2487748104695</v>
      </c>
      <c r="N1102" s="489">
        <v>1067.1855617430244</v>
      </c>
      <c r="O1102" s="489">
        <v>1053.1210866223271</v>
      </c>
      <c r="P1102" s="489">
        <v>1040.0167771460774</v>
      </c>
      <c r="Q1102" s="489">
        <v>1026.8979354434671</v>
      </c>
      <c r="R1102" s="489">
        <v>1013.764561514497</v>
      </c>
      <c r="S1102" s="489">
        <v>1000.6166553591706</v>
      </c>
      <c r="T1102" s="489">
        <v>987.45421697748077</v>
      </c>
      <c r="U1102" s="489">
        <v>974.33663522063205</v>
      </c>
      <c r="V1102" s="489">
        <v>961.21700077880928</v>
      </c>
      <c r="W1102" s="489">
        <v>948.09531365201155</v>
      </c>
      <c r="X1102" s="489">
        <v>934.97157384023978</v>
      </c>
      <c r="Y1102" s="489">
        <v>921.84578134349442</v>
      </c>
      <c r="Z1102" s="489">
        <v>909.08750708349351</v>
      </c>
      <c r="AA1102" s="489">
        <v>896.32840586204861</v>
      </c>
      <c r="AB1102" s="489">
        <v>883.56847767915986</v>
      </c>
      <c r="AC1102" s="489">
        <v>870.80772253482974</v>
      </c>
      <c r="AD1102" s="489">
        <v>858.04614042905416</v>
      </c>
      <c r="AE1102" s="489">
        <v>845.34546947340425</v>
      </c>
      <c r="AF1102" s="489">
        <v>832.64417463387667</v>
      </c>
      <c r="AG1102" s="489">
        <v>819.94225591047245</v>
      </c>
      <c r="AH1102" s="489">
        <v>807.23971330319159</v>
      </c>
      <c r="AI1102" s="489">
        <v>794.53654681203409</v>
      </c>
    </row>
    <row r="1103" spans="2:64" outlineLevel="1">
      <c r="B1103" t="str">
        <f t="shared" si="94"/>
        <v>Bio-methane (liquefied) - Total cost - Asia - USD/ton fuel</v>
      </c>
      <c r="C1103" t="str">
        <f>C1102</f>
        <v>Bio-methane (liquefied)</v>
      </c>
      <c r="D1103" t="s">
        <v>1362</v>
      </c>
      <c r="E1103" t="s">
        <v>750</v>
      </c>
      <c r="F1103" t="s">
        <v>1353</v>
      </c>
      <c r="G1103" s="487" t="str">
        <f t="shared" si="93"/>
        <v>Bio-methane (liquefied)AsiaTotal cost</v>
      </c>
      <c r="H1103" s="489">
        <v>1206.8592144049742</v>
      </c>
      <c r="I1103" s="489">
        <v>1182.2095911697229</v>
      </c>
      <c r="J1103" s="489">
        <v>1157.8865856440714</v>
      </c>
      <c r="K1103" s="489">
        <v>1140.6989902827318</v>
      </c>
      <c r="L1103" s="489">
        <v>1123.6530078879864</v>
      </c>
      <c r="M1103" s="489">
        <v>1106.7486384598317</v>
      </c>
      <c r="N1103" s="489">
        <v>1089.9858819982687</v>
      </c>
      <c r="O1103" s="489">
        <v>1073.3647385032991</v>
      </c>
      <c r="P1103" s="489">
        <v>1059.1067762252405</v>
      </c>
      <c r="Q1103" s="489">
        <v>1044.8431133716713</v>
      </c>
      <c r="R1103" s="489">
        <v>1030.5737499425927</v>
      </c>
      <c r="S1103" s="489">
        <v>1016.2986859380069</v>
      </c>
      <c r="T1103" s="489">
        <v>1002.0179213579079</v>
      </c>
      <c r="U1103" s="489">
        <v>988.56936830710424</v>
      </c>
      <c r="V1103" s="489">
        <v>975.1179169455994</v>
      </c>
      <c r="W1103" s="489">
        <v>961.6635672733928</v>
      </c>
      <c r="X1103" s="489">
        <v>948.20631929048466</v>
      </c>
      <c r="Y1103" s="489">
        <v>934.74617299687623</v>
      </c>
      <c r="Z1103" s="489">
        <v>921.24229378385553</v>
      </c>
      <c r="AA1103" s="489">
        <v>907.73538082756045</v>
      </c>
      <c r="AB1103" s="489">
        <v>894.22543412799098</v>
      </c>
      <c r="AC1103" s="489">
        <v>880.71245368514997</v>
      </c>
      <c r="AD1103" s="489">
        <v>867.19643949903252</v>
      </c>
      <c r="AE1103" s="489">
        <v>854.1767347229918</v>
      </c>
      <c r="AF1103" s="489">
        <v>841.15563871249594</v>
      </c>
      <c r="AG1103" s="489">
        <v>828.13315146754599</v>
      </c>
      <c r="AH1103" s="489">
        <v>815.10927298814158</v>
      </c>
      <c r="AI1103" s="489">
        <v>802.08400327428308</v>
      </c>
    </row>
    <row r="1104" spans="2:64" outlineLevel="1">
      <c r="B1104" t="str">
        <f t="shared" si="94"/>
        <v>Bio-methane (liquefied) - Total cost - Europe - USD/ton fuel</v>
      </c>
      <c r="C1104" t="str">
        <f>C1103</f>
        <v>Bio-methane (liquefied)</v>
      </c>
      <c r="D1104" t="s">
        <v>1362</v>
      </c>
      <c r="E1104" t="s">
        <v>720</v>
      </c>
      <c r="F1104" t="s">
        <v>1353</v>
      </c>
      <c r="G1104" s="487" t="str">
        <f t="shared" si="93"/>
        <v>Bio-methane (liquefied)EuropeTotal cost</v>
      </c>
      <c r="H1104" s="489">
        <v>1188.1833907966961</v>
      </c>
      <c r="I1104" s="489">
        <v>1166.8944713432345</v>
      </c>
      <c r="J1104" s="489">
        <v>1146.0170143731493</v>
      </c>
      <c r="K1104" s="489">
        <v>1129.9929508868204</v>
      </c>
      <c r="L1104" s="489">
        <v>1114.0519890354708</v>
      </c>
      <c r="M1104" s="489">
        <v>1098.1941288191003</v>
      </c>
      <c r="N1104" s="489">
        <v>1082.4193702377086</v>
      </c>
      <c r="O1104" s="489">
        <v>1066.7277132912959</v>
      </c>
      <c r="P1104" s="489">
        <v>1053.1697246347271</v>
      </c>
      <c r="Q1104" s="489">
        <v>1039.6088697089194</v>
      </c>
      <c r="R1104" s="489">
        <v>1026.0451485138726</v>
      </c>
      <c r="S1104" s="489">
        <v>1012.4785610495902</v>
      </c>
      <c r="T1104" s="489">
        <v>998.90910731606607</v>
      </c>
      <c r="U1104" s="489">
        <v>985.6821349932261</v>
      </c>
      <c r="V1104" s="489">
        <v>972.4534513619659</v>
      </c>
      <c r="W1104" s="489">
        <v>959.22305642228457</v>
      </c>
      <c r="X1104" s="489">
        <v>945.9909501741829</v>
      </c>
      <c r="Y1104" s="489">
        <v>932.75713261766077</v>
      </c>
      <c r="Z1104" s="489">
        <v>919.48557825030389</v>
      </c>
      <c r="AA1104" s="489">
        <v>906.21219309189496</v>
      </c>
      <c r="AB1104" s="489">
        <v>892.93697714243478</v>
      </c>
      <c r="AC1104" s="489">
        <v>879.65993040192552</v>
      </c>
      <c r="AD1104" s="489">
        <v>866.38105287036308</v>
      </c>
      <c r="AE1104" s="489">
        <v>853.25083320920658</v>
      </c>
      <c r="AF1104" s="489">
        <v>840.11927776519394</v>
      </c>
      <c r="AG1104" s="489">
        <v>826.98638653832631</v>
      </c>
      <c r="AH1104" s="489">
        <v>813.85215952860369</v>
      </c>
      <c r="AI1104" s="489">
        <v>800.71659673602596</v>
      </c>
    </row>
    <row r="1105" spans="2:35" outlineLevel="1">
      <c r="B1105" t="str">
        <f t="shared" si="94"/>
        <v>Bio-methane (liquefied) - Total cost - Middle East - USD/ton fuel</v>
      </c>
      <c r="C1105" s="25" t="str">
        <f>C1104</f>
        <v>Bio-methane (liquefied)</v>
      </c>
      <c r="D1105" s="25" t="s">
        <v>1362</v>
      </c>
      <c r="E1105" s="25" t="s">
        <v>826</v>
      </c>
      <c r="F1105" s="25" t="s">
        <v>1353</v>
      </c>
      <c r="G1105" s="487" t="str">
        <f t="shared" si="93"/>
        <v>Bio-methane (liquefied)Middle EastTotal cost</v>
      </c>
      <c r="H1105" s="490">
        <v>1167.9948783821023</v>
      </c>
      <c r="I1105" s="490">
        <v>1148.3780837756763</v>
      </c>
      <c r="J1105" s="490">
        <v>1129.1045956917378</v>
      </c>
      <c r="K1105" s="490">
        <v>1113.2154062568147</v>
      </c>
      <c r="L1105" s="490">
        <v>1097.4737851264795</v>
      </c>
      <c r="M1105" s="490">
        <v>1081.8797323007304</v>
      </c>
      <c r="N1105" s="490">
        <v>1066.4332477795683</v>
      </c>
      <c r="O1105" s="490">
        <v>1051.1343315629933</v>
      </c>
      <c r="P1105" s="490">
        <v>1037.8144778380899</v>
      </c>
      <c r="Q1105" s="490">
        <v>1024.4914992572299</v>
      </c>
      <c r="R1105" s="490">
        <v>1011.1653958204129</v>
      </c>
      <c r="S1105" s="490">
        <v>997.83616752764306</v>
      </c>
      <c r="T1105" s="490">
        <v>984.50381437891326</v>
      </c>
      <c r="U1105" s="490">
        <v>971.63422351933934</v>
      </c>
      <c r="V1105" s="490">
        <v>958.7630658898471</v>
      </c>
      <c r="W1105" s="490">
        <v>945.89034149043596</v>
      </c>
      <c r="X1105" s="490">
        <v>933.01605032110592</v>
      </c>
      <c r="Y1105" s="490">
        <v>920.14019238185824</v>
      </c>
      <c r="Z1105" s="490">
        <v>907.11566397020329</v>
      </c>
      <c r="AA1105" s="490">
        <v>894.08908090265413</v>
      </c>
      <c r="AB1105" s="490">
        <v>881.06044317921112</v>
      </c>
      <c r="AC1105" s="490">
        <v>868.02975079987675</v>
      </c>
      <c r="AD1105" s="490">
        <v>854.99700376464648</v>
      </c>
      <c r="AE1105" s="490">
        <v>842.29449149079016</v>
      </c>
      <c r="AF1105" s="490">
        <v>829.59101757351937</v>
      </c>
      <c r="AG1105" s="490">
        <v>816.88658201283511</v>
      </c>
      <c r="AH1105" s="490">
        <v>804.18118480873738</v>
      </c>
      <c r="AI1105" s="490">
        <v>791.47482596122632</v>
      </c>
    </row>
    <row r="1106" spans="2:35" ht="15" outlineLevel="1">
      <c r="B1106" t="str">
        <f t="shared" si="94"/>
        <v/>
      </c>
      <c r="C1106" s="22"/>
      <c r="G1106" s="487" t="str">
        <f t="shared" si="93"/>
        <v/>
      </c>
    </row>
    <row r="1107" spans="2:35" ht="15" outlineLevel="1">
      <c r="B1107" t="str">
        <f t="shared" si="94"/>
        <v>Bio-methane (liquefied) - CAPEX including feedstock CAPEX - Global - USD/ton fuel</v>
      </c>
      <c r="C1107" s="491" t="str">
        <f>C1100</f>
        <v>Bio-methane (liquefied)</v>
      </c>
      <c r="D1107" s="491" t="s">
        <v>1363</v>
      </c>
      <c r="E1107" s="491" t="s">
        <v>708</v>
      </c>
      <c r="F1107" s="491" t="s">
        <v>1353</v>
      </c>
      <c r="G1107" s="487" t="str">
        <f t="shared" si="93"/>
        <v>Bio-methane (liquefied)GlobalCAPEX including feedstock CAPEX</v>
      </c>
      <c r="H1107" s="492">
        <v>207.65791535428338</v>
      </c>
      <c r="I1107" s="492">
        <v>204.81163652903632</v>
      </c>
      <c r="J1107" s="492">
        <v>201.96535770378833</v>
      </c>
      <c r="K1107" s="492">
        <v>199.11907887854031</v>
      </c>
      <c r="L1107" s="492">
        <v>196.27280005329231</v>
      </c>
      <c r="M1107" s="492">
        <v>193.42652122804429</v>
      </c>
      <c r="N1107" s="492">
        <v>190.58024240279627</v>
      </c>
      <c r="O1107" s="492">
        <v>187.73396357754828</v>
      </c>
      <c r="P1107" s="492">
        <v>184.88768475230026</v>
      </c>
      <c r="Q1107" s="492">
        <v>182.04140592705227</v>
      </c>
      <c r="R1107" s="492">
        <v>179.19512710180425</v>
      </c>
      <c r="S1107" s="492">
        <v>176.34884827655722</v>
      </c>
      <c r="T1107" s="492">
        <v>173.5025694513092</v>
      </c>
      <c r="U1107" s="492">
        <v>170.65629062606118</v>
      </c>
      <c r="V1107" s="492">
        <v>167.81001180081319</v>
      </c>
      <c r="W1107" s="492">
        <v>164.96373297556516</v>
      </c>
      <c r="X1107" s="492">
        <v>162.11745415031717</v>
      </c>
      <c r="Y1107" s="492">
        <v>159.27117532506915</v>
      </c>
      <c r="Z1107" s="492">
        <v>156.42489649982113</v>
      </c>
      <c r="AA1107" s="492">
        <v>153.57861767457314</v>
      </c>
      <c r="AB1107" s="492">
        <v>150.73233884932512</v>
      </c>
      <c r="AC1107" s="492">
        <v>147.88606002407809</v>
      </c>
      <c r="AD1107" s="492">
        <v>145.03978119883007</v>
      </c>
      <c r="AE1107" s="492">
        <v>142.19350237358205</v>
      </c>
      <c r="AF1107" s="492">
        <v>139.34722354833406</v>
      </c>
      <c r="AG1107" s="492">
        <v>136.50094472308604</v>
      </c>
      <c r="AH1107" s="492">
        <v>133.65466589783804</v>
      </c>
      <c r="AI1107" s="492">
        <v>130.80838707259002</v>
      </c>
    </row>
    <row r="1108" spans="2:35" outlineLevel="1">
      <c r="B1108" t="str">
        <f t="shared" si="94"/>
        <v>Bio-methane (liquefied) - CAPEX - Global - USD/ton fuel</v>
      </c>
      <c r="C1108" t="str">
        <f>C1100</f>
        <v>Bio-methane (liquefied)</v>
      </c>
      <c r="D1108" t="s">
        <v>446</v>
      </c>
      <c r="E1108" t="s">
        <v>708</v>
      </c>
      <c r="F1108" t="s">
        <v>1353</v>
      </c>
      <c r="G1108" s="487" t="str">
        <f t="shared" si="93"/>
        <v>Bio-methane (liquefied)GlobalCAPEX</v>
      </c>
      <c r="H1108" s="493">
        <v>207.65791535428338</v>
      </c>
      <c r="I1108" s="493">
        <v>204.81163652903632</v>
      </c>
      <c r="J1108" s="493">
        <v>201.96535770378833</v>
      </c>
      <c r="K1108" s="493">
        <v>199.11907887854031</v>
      </c>
      <c r="L1108" s="493">
        <v>196.27280005329231</v>
      </c>
      <c r="M1108" s="493">
        <v>193.42652122804429</v>
      </c>
      <c r="N1108" s="493">
        <v>190.58024240279627</v>
      </c>
      <c r="O1108" s="493">
        <v>187.73396357754828</v>
      </c>
      <c r="P1108" s="493">
        <v>184.88768475230026</v>
      </c>
      <c r="Q1108" s="493">
        <v>182.04140592705227</v>
      </c>
      <c r="R1108" s="493">
        <v>179.19512710180425</v>
      </c>
      <c r="S1108" s="493">
        <v>176.34884827655722</v>
      </c>
      <c r="T1108" s="493">
        <v>173.5025694513092</v>
      </c>
      <c r="U1108" s="493">
        <v>170.65629062606118</v>
      </c>
      <c r="V1108" s="493">
        <v>167.81001180081319</v>
      </c>
      <c r="W1108" s="493">
        <v>164.96373297556516</v>
      </c>
      <c r="X1108" s="493">
        <v>162.11745415031717</v>
      </c>
      <c r="Y1108" s="493">
        <v>159.27117532506915</v>
      </c>
      <c r="Z1108" s="493">
        <v>156.42489649982113</v>
      </c>
      <c r="AA1108" s="493">
        <v>153.57861767457314</v>
      </c>
      <c r="AB1108" s="493">
        <v>150.73233884932512</v>
      </c>
      <c r="AC1108" s="493">
        <v>147.88606002407809</v>
      </c>
      <c r="AD1108" s="493">
        <v>145.03978119883007</v>
      </c>
      <c r="AE1108" s="493">
        <v>142.19350237358205</v>
      </c>
      <c r="AF1108" s="493">
        <v>139.34722354833406</v>
      </c>
      <c r="AG1108" s="493">
        <v>136.50094472308604</v>
      </c>
      <c r="AH1108" s="493">
        <v>133.65466589783804</v>
      </c>
      <c r="AI1108" s="493">
        <v>130.80838707259002</v>
      </c>
    </row>
    <row r="1109" spans="2:35" outlineLevel="1">
      <c r="B1109" t="str">
        <f t="shared" si="94"/>
        <v/>
      </c>
      <c r="G1109" s="487" t="str">
        <f t="shared" si="93"/>
        <v/>
      </c>
      <c r="H1109" s="493"/>
      <c r="I1109" s="493"/>
      <c r="J1109" s="493"/>
      <c r="K1109" s="493"/>
      <c r="L1109" s="493"/>
      <c r="M1109" s="493"/>
      <c r="N1109" s="493"/>
      <c r="O1109" s="493"/>
      <c r="P1109" s="493"/>
      <c r="Q1109" s="493"/>
      <c r="R1109" s="493"/>
      <c r="S1109" s="493"/>
      <c r="T1109" s="493"/>
      <c r="U1109" s="493"/>
      <c r="V1109" s="493"/>
      <c r="W1109" s="493"/>
      <c r="X1109" s="493"/>
      <c r="Y1109" s="493"/>
      <c r="Z1109" s="493"/>
      <c r="AA1109" s="493"/>
      <c r="AB1109" s="493"/>
      <c r="AC1109" s="493"/>
      <c r="AD1109" s="493"/>
      <c r="AE1109" s="493"/>
      <c r="AF1109" s="493"/>
      <c r="AG1109" s="493"/>
      <c r="AH1109" s="493"/>
      <c r="AI1109" s="493"/>
    </row>
    <row r="1110" spans="2:35" ht="15" outlineLevel="1">
      <c r="B1110" t="str">
        <f t="shared" si="94"/>
        <v>Bio-methane (liquefied) - OPEX including feedstock OPEX - Global - USD/ton fuel</v>
      </c>
      <c r="C1110" s="491" t="str">
        <f>C1101</f>
        <v>Bio-methane (liquefied)</v>
      </c>
      <c r="D1110" s="491" t="s">
        <v>1364</v>
      </c>
      <c r="E1110" s="491" t="s">
        <v>708</v>
      </c>
      <c r="F1110" s="491" t="s">
        <v>1353</v>
      </c>
      <c r="G1110" s="487" t="str">
        <f t="shared" si="93"/>
        <v>Bio-methane (liquefied)GlobalOPEX including feedstock OPEX</v>
      </c>
      <c r="H1110" s="492">
        <v>330.60377619559495</v>
      </c>
      <c r="I1110" s="492">
        <v>327.11905046348147</v>
      </c>
      <c r="J1110" s="492">
        <v>323.63432473136709</v>
      </c>
      <c r="K1110" s="492">
        <v>320.14959899925361</v>
      </c>
      <c r="L1110" s="492">
        <v>316.66487326714105</v>
      </c>
      <c r="M1110" s="492">
        <v>313.18014753502757</v>
      </c>
      <c r="N1110" s="492">
        <v>309.6954218029141</v>
      </c>
      <c r="O1110" s="492">
        <v>306.21069607080062</v>
      </c>
      <c r="P1110" s="492">
        <v>302.72597033868715</v>
      </c>
      <c r="Q1110" s="492">
        <v>299.24124460657367</v>
      </c>
      <c r="R1110" s="492">
        <v>295.7565188744602</v>
      </c>
      <c r="S1110" s="492">
        <v>292.27179314234763</v>
      </c>
      <c r="T1110" s="492">
        <v>288.78706741023416</v>
      </c>
      <c r="U1110" s="492">
        <v>285.30234167812068</v>
      </c>
      <c r="V1110" s="492">
        <v>281.81761594600721</v>
      </c>
      <c r="W1110" s="492">
        <v>278.33289021389373</v>
      </c>
      <c r="X1110" s="492">
        <v>274.84816448178026</v>
      </c>
      <c r="Y1110" s="492">
        <v>271.36343874966769</v>
      </c>
      <c r="Z1110" s="492">
        <v>267.87871301755422</v>
      </c>
      <c r="AA1110" s="492">
        <v>264.39398728544074</v>
      </c>
      <c r="AB1110" s="492">
        <v>260.90926155332727</v>
      </c>
      <c r="AC1110" s="492">
        <v>257.42453582121379</v>
      </c>
      <c r="AD1110" s="492">
        <v>253.93981008910123</v>
      </c>
      <c r="AE1110" s="492">
        <v>250.45508435698866</v>
      </c>
      <c r="AF1110" s="492">
        <v>246.97035862487519</v>
      </c>
      <c r="AG1110" s="492">
        <v>243.48563289276171</v>
      </c>
      <c r="AH1110" s="492">
        <v>240.00090716064824</v>
      </c>
      <c r="AI1110" s="492">
        <v>236.51618142853476</v>
      </c>
    </row>
    <row r="1111" spans="2:35" outlineLevel="1">
      <c r="B1111" t="str">
        <f t="shared" si="94"/>
        <v>Bio-methane (liquefied) - OPEX - Global - USD/ton fuel</v>
      </c>
      <c r="C1111" t="str">
        <f>C1100</f>
        <v>Bio-methane (liquefied)</v>
      </c>
      <c r="D1111" t="s">
        <v>450</v>
      </c>
      <c r="E1111" t="s">
        <v>708</v>
      </c>
      <c r="F1111" t="s">
        <v>1353</v>
      </c>
      <c r="G1111" s="487" t="str">
        <f t="shared" si="93"/>
        <v>Bio-methane (liquefied)GlobalOPEX</v>
      </c>
      <c r="H1111" s="493">
        <v>330.60377619559495</v>
      </c>
      <c r="I1111" s="493">
        <v>327.11905046348147</v>
      </c>
      <c r="J1111" s="493">
        <v>323.63432473136709</v>
      </c>
      <c r="K1111" s="493">
        <v>320.14959899925361</v>
      </c>
      <c r="L1111" s="493">
        <v>316.66487326714105</v>
      </c>
      <c r="M1111" s="493">
        <v>313.18014753502757</v>
      </c>
      <c r="N1111" s="493">
        <v>309.6954218029141</v>
      </c>
      <c r="O1111" s="493">
        <v>306.21069607080062</v>
      </c>
      <c r="P1111" s="493">
        <v>302.72597033868715</v>
      </c>
      <c r="Q1111" s="493">
        <v>299.24124460657367</v>
      </c>
      <c r="R1111" s="493">
        <v>295.7565188744602</v>
      </c>
      <c r="S1111" s="493">
        <v>292.27179314234763</v>
      </c>
      <c r="T1111" s="493">
        <v>288.78706741023416</v>
      </c>
      <c r="U1111" s="493">
        <v>285.30234167812068</v>
      </c>
      <c r="V1111" s="493">
        <v>281.81761594600721</v>
      </c>
      <c r="W1111" s="493">
        <v>278.33289021389373</v>
      </c>
      <c r="X1111" s="493">
        <v>274.84816448178026</v>
      </c>
      <c r="Y1111" s="493">
        <v>271.36343874966769</v>
      </c>
      <c r="Z1111" s="493">
        <v>267.87871301755422</v>
      </c>
      <c r="AA1111" s="493">
        <v>264.39398728544074</v>
      </c>
      <c r="AB1111" s="493">
        <v>260.90926155332727</v>
      </c>
      <c r="AC1111" s="493">
        <v>257.42453582121379</v>
      </c>
      <c r="AD1111" s="493">
        <v>253.93981008910123</v>
      </c>
      <c r="AE1111" s="493">
        <v>250.45508435698866</v>
      </c>
      <c r="AF1111" s="493">
        <v>246.97035862487519</v>
      </c>
      <c r="AG1111" s="493">
        <v>243.48563289276171</v>
      </c>
      <c r="AH1111" s="493">
        <v>240.00090716064824</v>
      </c>
      <c r="AI1111" s="493">
        <v>236.51618142853476</v>
      </c>
    </row>
    <row r="1112" spans="2:35" outlineLevel="1">
      <c r="B1112" t="str">
        <f t="shared" si="94"/>
        <v/>
      </c>
      <c r="G1112" s="487" t="str">
        <f t="shared" si="93"/>
        <v/>
      </c>
      <c r="H1112" s="493"/>
      <c r="I1112" s="493"/>
      <c r="J1112" s="493"/>
      <c r="K1112" s="493"/>
      <c r="L1112" s="493"/>
      <c r="M1112" s="493"/>
      <c r="N1112" s="493"/>
      <c r="O1112" s="493"/>
      <c r="P1112" s="493"/>
      <c r="Q1112" s="493"/>
      <c r="R1112" s="493"/>
      <c r="S1112" s="493"/>
      <c r="T1112" s="493"/>
      <c r="U1112" s="493"/>
      <c r="V1112" s="493"/>
      <c r="W1112" s="493"/>
      <c r="X1112" s="493"/>
      <c r="Y1112" s="493"/>
      <c r="Z1112" s="493"/>
      <c r="AA1112" s="493"/>
      <c r="AB1112" s="493"/>
      <c r="AC1112" s="493"/>
      <c r="AD1112" s="493"/>
      <c r="AE1112" s="493"/>
      <c r="AF1112" s="493"/>
      <c r="AG1112" s="493"/>
      <c r="AH1112" s="493"/>
      <c r="AI1112" s="493"/>
    </row>
    <row r="1113" spans="2:35" ht="15" outlineLevel="1">
      <c r="B1113" t="str">
        <f t="shared" si="94"/>
        <v>Bio-methane (liquefied) - Finance cost including feedstock finance cost - Africa - USD/ton fuel</v>
      </c>
      <c r="C1113" s="494" t="str">
        <f>C1104</f>
        <v>Bio-methane (liquefied)</v>
      </c>
      <c r="D1113" s="494" t="s">
        <v>1365</v>
      </c>
      <c r="E1113" s="494" t="s">
        <v>838</v>
      </c>
      <c r="F1113" s="494" t="s">
        <v>1353</v>
      </c>
      <c r="G1113" s="487" t="str">
        <f t="shared" si="93"/>
        <v>Bio-methane (liquefied)AfricaFinance cost including feedstock finance cost</v>
      </c>
      <c r="H1113" s="495">
        <v>342.63556033456763</v>
      </c>
      <c r="I1113" s="495">
        <v>337.93920027291</v>
      </c>
      <c r="J1113" s="495">
        <v>333.24284021125078</v>
      </c>
      <c r="K1113" s="495">
        <v>328.54648014959156</v>
      </c>
      <c r="L1113" s="495">
        <v>323.85012008793234</v>
      </c>
      <c r="M1113" s="495">
        <v>319.15376002627312</v>
      </c>
      <c r="N1113" s="495">
        <v>314.4573999646139</v>
      </c>
      <c r="O1113" s="495">
        <v>309.76103990295468</v>
      </c>
      <c r="P1113" s="495">
        <v>305.06467984129546</v>
      </c>
      <c r="Q1113" s="495">
        <v>300.36831977963624</v>
      </c>
      <c r="R1113" s="495">
        <v>295.67195971797702</v>
      </c>
      <c r="S1113" s="495">
        <v>290.97559965631945</v>
      </c>
      <c r="T1113" s="495">
        <v>286.27923959466023</v>
      </c>
      <c r="U1113" s="495">
        <v>281.58287953300101</v>
      </c>
      <c r="V1113" s="495">
        <v>276.88651947134178</v>
      </c>
      <c r="W1113" s="495">
        <v>272.19015940968256</v>
      </c>
      <c r="X1113" s="495">
        <v>267.49379934802334</v>
      </c>
      <c r="Y1113" s="495">
        <v>262.79743928636412</v>
      </c>
      <c r="Z1113" s="495">
        <v>258.1010792247049</v>
      </c>
      <c r="AA1113" s="495">
        <v>253.40471916304571</v>
      </c>
      <c r="AB1113" s="495">
        <v>248.70835910138649</v>
      </c>
      <c r="AC1113" s="495">
        <v>244.01199903972886</v>
      </c>
      <c r="AD1113" s="495">
        <v>239.31563897806964</v>
      </c>
      <c r="AE1113" s="495">
        <v>234.61927891641042</v>
      </c>
      <c r="AF1113" s="495">
        <v>229.92291885475123</v>
      </c>
      <c r="AG1113" s="495">
        <v>225.22655879309201</v>
      </c>
      <c r="AH1113" s="495">
        <v>220.53019873143279</v>
      </c>
      <c r="AI1113" s="495">
        <v>215.83383866977357</v>
      </c>
    </row>
    <row r="1114" spans="2:35" ht="15" outlineLevel="1">
      <c r="B1114" t="str">
        <f t="shared" si="94"/>
        <v>Bio-methane (liquefied) - Finance cost including feedstock finance cost - Americas - USD/ton fuel</v>
      </c>
      <c r="C1114" s="22" t="str">
        <f>C1104</f>
        <v>Bio-methane (liquefied)</v>
      </c>
      <c r="D1114" s="22" t="s">
        <v>1365</v>
      </c>
      <c r="E1114" s="22" t="s">
        <v>731</v>
      </c>
      <c r="F1114" s="22" t="s">
        <v>1353</v>
      </c>
      <c r="G1114" s="487" t="str">
        <f t="shared" si="93"/>
        <v>Bio-methane (liquefied)AmericasFinance cost including feedstock finance cost</v>
      </c>
      <c r="H1114" s="496">
        <v>342.63556033456763</v>
      </c>
      <c r="I1114" s="496">
        <v>337.93920027291</v>
      </c>
      <c r="J1114" s="496">
        <v>333.24284021125078</v>
      </c>
      <c r="K1114" s="496">
        <v>328.54648014959156</v>
      </c>
      <c r="L1114" s="496">
        <v>323.85012008793234</v>
      </c>
      <c r="M1114" s="496">
        <v>319.15376002627312</v>
      </c>
      <c r="N1114" s="496">
        <v>314.4573999646139</v>
      </c>
      <c r="O1114" s="496">
        <v>309.76103990295468</v>
      </c>
      <c r="P1114" s="496">
        <v>305.06467984129546</v>
      </c>
      <c r="Q1114" s="496">
        <v>300.36831977963624</v>
      </c>
      <c r="R1114" s="496">
        <v>295.67195971797702</v>
      </c>
      <c r="S1114" s="496">
        <v>290.97559965631945</v>
      </c>
      <c r="T1114" s="496">
        <v>286.27923959466023</v>
      </c>
      <c r="U1114" s="496">
        <v>281.58287953300101</v>
      </c>
      <c r="V1114" s="496">
        <v>276.88651947134178</v>
      </c>
      <c r="W1114" s="496">
        <v>272.19015940968256</v>
      </c>
      <c r="X1114" s="496">
        <v>267.49379934802334</v>
      </c>
      <c r="Y1114" s="496">
        <v>262.79743928636412</v>
      </c>
      <c r="Z1114" s="496">
        <v>258.1010792247049</v>
      </c>
      <c r="AA1114" s="496">
        <v>253.40471916304571</v>
      </c>
      <c r="AB1114" s="496">
        <v>248.70835910138649</v>
      </c>
      <c r="AC1114" s="496">
        <v>244.01199903972886</v>
      </c>
      <c r="AD1114" s="496">
        <v>239.31563897806964</v>
      </c>
      <c r="AE1114" s="496">
        <v>234.61927891641042</v>
      </c>
      <c r="AF1114" s="496">
        <v>229.92291885475123</v>
      </c>
      <c r="AG1114" s="496">
        <v>225.22655879309201</v>
      </c>
      <c r="AH1114" s="496">
        <v>220.53019873143279</v>
      </c>
      <c r="AI1114" s="496">
        <v>215.83383866977357</v>
      </c>
    </row>
    <row r="1115" spans="2:35" ht="15" outlineLevel="1">
      <c r="B1115" t="str">
        <f t="shared" si="94"/>
        <v>Bio-methane (liquefied) - Finance cost including feedstock finance cost - Asia - USD/ton fuel</v>
      </c>
      <c r="C1115" s="22" t="str">
        <f>C1104</f>
        <v>Bio-methane (liquefied)</v>
      </c>
      <c r="D1115" s="22" t="s">
        <v>1365</v>
      </c>
      <c r="E1115" s="22" t="s">
        <v>750</v>
      </c>
      <c r="F1115" s="22" t="s">
        <v>1353</v>
      </c>
      <c r="G1115" s="487" t="str">
        <f t="shared" si="93"/>
        <v>Bio-methane (liquefied)AsiaFinance cost including feedstock finance cost</v>
      </c>
      <c r="H1115" s="496">
        <v>342.63556033456763</v>
      </c>
      <c r="I1115" s="496">
        <v>337.93920027291</v>
      </c>
      <c r="J1115" s="496">
        <v>333.24284021125078</v>
      </c>
      <c r="K1115" s="496">
        <v>328.54648014959156</v>
      </c>
      <c r="L1115" s="496">
        <v>323.85012008793234</v>
      </c>
      <c r="M1115" s="496">
        <v>319.15376002627312</v>
      </c>
      <c r="N1115" s="496">
        <v>314.4573999646139</v>
      </c>
      <c r="O1115" s="496">
        <v>309.76103990295468</v>
      </c>
      <c r="P1115" s="496">
        <v>305.06467984129546</v>
      </c>
      <c r="Q1115" s="496">
        <v>300.36831977963624</v>
      </c>
      <c r="R1115" s="496">
        <v>295.67195971797702</v>
      </c>
      <c r="S1115" s="496">
        <v>290.97559965631945</v>
      </c>
      <c r="T1115" s="496">
        <v>286.27923959466023</v>
      </c>
      <c r="U1115" s="496">
        <v>281.58287953300101</v>
      </c>
      <c r="V1115" s="496">
        <v>276.88651947134178</v>
      </c>
      <c r="W1115" s="496">
        <v>272.19015940968256</v>
      </c>
      <c r="X1115" s="496">
        <v>267.49379934802334</v>
      </c>
      <c r="Y1115" s="496">
        <v>262.79743928636412</v>
      </c>
      <c r="Z1115" s="496">
        <v>258.1010792247049</v>
      </c>
      <c r="AA1115" s="496">
        <v>253.40471916304571</v>
      </c>
      <c r="AB1115" s="496">
        <v>248.70835910138649</v>
      </c>
      <c r="AC1115" s="496">
        <v>244.01199903972886</v>
      </c>
      <c r="AD1115" s="496">
        <v>239.31563897806964</v>
      </c>
      <c r="AE1115" s="496">
        <v>234.61927891641042</v>
      </c>
      <c r="AF1115" s="496">
        <v>229.92291885475123</v>
      </c>
      <c r="AG1115" s="496">
        <v>225.22655879309201</v>
      </c>
      <c r="AH1115" s="496">
        <v>220.53019873143279</v>
      </c>
      <c r="AI1115" s="496">
        <v>215.83383866977357</v>
      </c>
    </row>
    <row r="1116" spans="2:35" ht="15" outlineLevel="1">
      <c r="B1116" t="str">
        <f t="shared" si="94"/>
        <v>Bio-methane (liquefied) - Finance cost including feedstock finance cost - Europe - USD/ton fuel</v>
      </c>
      <c r="C1116" s="22" t="str">
        <f>C1104</f>
        <v>Bio-methane (liquefied)</v>
      </c>
      <c r="D1116" s="22" t="s">
        <v>1365</v>
      </c>
      <c r="E1116" s="22" t="s">
        <v>720</v>
      </c>
      <c r="F1116" s="22" t="s">
        <v>1353</v>
      </c>
      <c r="G1116" s="487" t="str">
        <f t="shared" si="93"/>
        <v>Bio-methane (liquefied)EuropeFinance cost including feedstock finance cost</v>
      </c>
      <c r="H1116" s="496">
        <v>342.63556033456763</v>
      </c>
      <c r="I1116" s="496">
        <v>337.93920027291</v>
      </c>
      <c r="J1116" s="496">
        <v>333.24284021125078</v>
      </c>
      <c r="K1116" s="496">
        <v>328.54648014959156</v>
      </c>
      <c r="L1116" s="496">
        <v>323.85012008793234</v>
      </c>
      <c r="M1116" s="496">
        <v>319.15376002627312</v>
      </c>
      <c r="N1116" s="496">
        <v>314.4573999646139</v>
      </c>
      <c r="O1116" s="496">
        <v>309.76103990295468</v>
      </c>
      <c r="P1116" s="496">
        <v>305.06467984129546</v>
      </c>
      <c r="Q1116" s="496">
        <v>300.36831977963624</v>
      </c>
      <c r="R1116" s="496">
        <v>295.67195971797702</v>
      </c>
      <c r="S1116" s="496">
        <v>290.97559965631945</v>
      </c>
      <c r="T1116" s="496">
        <v>286.27923959466023</v>
      </c>
      <c r="U1116" s="496">
        <v>281.58287953300101</v>
      </c>
      <c r="V1116" s="496">
        <v>276.88651947134178</v>
      </c>
      <c r="W1116" s="496">
        <v>272.19015940968256</v>
      </c>
      <c r="X1116" s="496">
        <v>267.49379934802334</v>
      </c>
      <c r="Y1116" s="496">
        <v>262.79743928636412</v>
      </c>
      <c r="Z1116" s="496">
        <v>258.1010792247049</v>
      </c>
      <c r="AA1116" s="496">
        <v>253.40471916304571</v>
      </c>
      <c r="AB1116" s="496">
        <v>248.70835910138649</v>
      </c>
      <c r="AC1116" s="496">
        <v>244.01199903972886</v>
      </c>
      <c r="AD1116" s="496">
        <v>239.31563897806964</v>
      </c>
      <c r="AE1116" s="496">
        <v>234.61927891641042</v>
      </c>
      <c r="AF1116" s="496">
        <v>229.92291885475123</v>
      </c>
      <c r="AG1116" s="496">
        <v>225.22655879309201</v>
      </c>
      <c r="AH1116" s="496">
        <v>220.53019873143279</v>
      </c>
      <c r="AI1116" s="496">
        <v>215.83383866977357</v>
      </c>
    </row>
    <row r="1117" spans="2:35" ht="15" outlineLevel="1">
      <c r="B1117" t="str">
        <f t="shared" si="94"/>
        <v>Bio-methane (liquefied) - Finance cost including feedstock finance cost - Middle East - USD/ton fuel</v>
      </c>
      <c r="C1117" s="92" t="str">
        <f>C1104</f>
        <v>Bio-methane (liquefied)</v>
      </c>
      <c r="D1117" s="92" t="s">
        <v>1365</v>
      </c>
      <c r="E1117" s="92" t="s">
        <v>826</v>
      </c>
      <c r="F1117" s="92" t="s">
        <v>1353</v>
      </c>
      <c r="G1117" s="487" t="str">
        <f t="shared" si="93"/>
        <v>Bio-methane (liquefied)Middle EastFinance cost including feedstock finance cost</v>
      </c>
      <c r="H1117" s="497">
        <v>342.63556033456763</v>
      </c>
      <c r="I1117" s="497">
        <v>337.93920027291</v>
      </c>
      <c r="J1117" s="497">
        <v>333.24284021125078</v>
      </c>
      <c r="K1117" s="497">
        <v>328.54648014959156</v>
      </c>
      <c r="L1117" s="497">
        <v>323.85012008793234</v>
      </c>
      <c r="M1117" s="497">
        <v>319.15376002627312</v>
      </c>
      <c r="N1117" s="497">
        <v>314.4573999646139</v>
      </c>
      <c r="O1117" s="497">
        <v>309.76103990295468</v>
      </c>
      <c r="P1117" s="497">
        <v>305.06467984129546</v>
      </c>
      <c r="Q1117" s="497">
        <v>300.36831977963624</v>
      </c>
      <c r="R1117" s="497">
        <v>295.67195971797702</v>
      </c>
      <c r="S1117" s="497">
        <v>290.97559965631945</v>
      </c>
      <c r="T1117" s="497">
        <v>286.27923959466023</v>
      </c>
      <c r="U1117" s="497">
        <v>281.58287953300101</v>
      </c>
      <c r="V1117" s="497">
        <v>276.88651947134178</v>
      </c>
      <c r="W1117" s="497">
        <v>272.19015940968256</v>
      </c>
      <c r="X1117" s="497">
        <v>267.49379934802334</v>
      </c>
      <c r="Y1117" s="497">
        <v>262.79743928636412</v>
      </c>
      <c r="Z1117" s="497">
        <v>258.1010792247049</v>
      </c>
      <c r="AA1117" s="497">
        <v>253.40471916304571</v>
      </c>
      <c r="AB1117" s="497">
        <v>248.70835910138649</v>
      </c>
      <c r="AC1117" s="497">
        <v>244.01199903972886</v>
      </c>
      <c r="AD1117" s="497">
        <v>239.31563897806964</v>
      </c>
      <c r="AE1117" s="497">
        <v>234.61927891641042</v>
      </c>
      <c r="AF1117" s="497">
        <v>229.92291885475123</v>
      </c>
      <c r="AG1117" s="497">
        <v>225.22655879309201</v>
      </c>
      <c r="AH1117" s="497">
        <v>220.53019873143279</v>
      </c>
      <c r="AI1117" s="497">
        <v>215.83383866977357</v>
      </c>
    </row>
    <row r="1118" spans="2:35" outlineLevel="1">
      <c r="B1118" t="str">
        <f t="shared" si="94"/>
        <v>Bio-methane (liquefied) - Finance cost - Africa - USD/ton fuel</v>
      </c>
      <c r="C1118" t="str">
        <f>C1100</f>
        <v>Bio-methane (liquefied)</v>
      </c>
      <c r="D1118" t="s">
        <v>1366</v>
      </c>
      <c r="E1118" t="s">
        <v>838</v>
      </c>
      <c r="F1118" t="s">
        <v>1353</v>
      </c>
      <c r="G1118" s="487" t="str">
        <f t="shared" si="93"/>
        <v>Bio-methane (liquefied)AfricaFinance cost</v>
      </c>
      <c r="H1118" s="493">
        <v>342.63556033456763</v>
      </c>
      <c r="I1118" s="493">
        <v>337.93920027291</v>
      </c>
      <c r="J1118" s="493">
        <v>333.24284021125078</v>
      </c>
      <c r="K1118" s="493">
        <v>328.54648014959156</v>
      </c>
      <c r="L1118" s="493">
        <v>323.85012008793234</v>
      </c>
      <c r="M1118" s="493">
        <v>319.15376002627312</v>
      </c>
      <c r="N1118" s="493">
        <v>314.4573999646139</v>
      </c>
      <c r="O1118" s="493">
        <v>309.76103990295468</v>
      </c>
      <c r="P1118" s="493">
        <v>305.06467984129546</v>
      </c>
      <c r="Q1118" s="493">
        <v>300.36831977963624</v>
      </c>
      <c r="R1118" s="493">
        <v>295.67195971797702</v>
      </c>
      <c r="S1118" s="493">
        <v>290.97559965631945</v>
      </c>
      <c r="T1118" s="493">
        <v>286.27923959466023</v>
      </c>
      <c r="U1118" s="493">
        <v>281.58287953300101</v>
      </c>
      <c r="V1118" s="493">
        <v>276.88651947134178</v>
      </c>
      <c r="W1118" s="493">
        <v>272.19015940968256</v>
      </c>
      <c r="X1118" s="493">
        <v>267.49379934802334</v>
      </c>
      <c r="Y1118" s="493">
        <v>262.79743928636412</v>
      </c>
      <c r="Z1118" s="493">
        <v>258.1010792247049</v>
      </c>
      <c r="AA1118" s="493">
        <v>253.40471916304571</v>
      </c>
      <c r="AB1118" s="493">
        <v>248.70835910138649</v>
      </c>
      <c r="AC1118" s="493">
        <v>244.01199903972886</v>
      </c>
      <c r="AD1118" s="493">
        <v>239.31563897806964</v>
      </c>
      <c r="AE1118" s="493">
        <v>234.61927891641042</v>
      </c>
      <c r="AF1118" s="493">
        <v>229.92291885475123</v>
      </c>
      <c r="AG1118" s="493">
        <v>225.22655879309201</v>
      </c>
      <c r="AH1118" s="493">
        <v>220.53019873143279</v>
      </c>
      <c r="AI1118" s="493">
        <v>215.83383866977357</v>
      </c>
    </row>
    <row r="1119" spans="2:35" outlineLevel="1">
      <c r="B1119" t="str">
        <f t="shared" si="94"/>
        <v>Bio-methane (liquefied) - Finance cost - Americas - USD/ton fuel</v>
      </c>
      <c r="C1119" t="str">
        <f>C1100</f>
        <v>Bio-methane (liquefied)</v>
      </c>
      <c r="D1119" t="s">
        <v>1366</v>
      </c>
      <c r="E1119" t="s">
        <v>731</v>
      </c>
      <c r="F1119" t="s">
        <v>1353</v>
      </c>
      <c r="G1119" s="487" t="str">
        <f t="shared" si="93"/>
        <v>Bio-methane (liquefied)AmericasFinance cost</v>
      </c>
      <c r="H1119" s="493">
        <v>342.63556033456763</v>
      </c>
      <c r="I1119" s="493">
        <v>337.93920027291</v>
      </c>
      <c r="J1119" s="493">
        <v>333.24284021125078</v>
      </c>
      <c r="K1119" s="493">
        <v>328.54648014959156</v>
      </c>
      <c r="L1119" s="493">
        <v>323.85012008793234</v>
      </c>
      <c r="M1119" s="493">
        <v>319.15376002627312</v>
      </c>
      <c r="N1119" s="493">
        <v>314.4573999646139</v>
      </c>
      <c r="O1119" s="493">
        <v>309.76103990295468</v>
      </c>
      <c r="P1119" s="493">
        <v>305.06467984129546</v>
      </c>
      <c r="Q1119" s="493">
        <v>300.36831977963624</v>
      </c>
      <c r="R1119" s="493">
        <v>295.67195971797702</v>
      </c>
      <c r="S1119" s="493">
        <v>290.97559965631945</v>
      </c>
      <c r="T1119" s="493">
        <v>286.27923959466023</v>
      </c>
      <c r="U1119" s="493">
        <v>281.58287953300101</v>
      </c>
      <c r="V1119" s="493">
        <v>276.88651947134178</v>
      </c>
      <c r="W1119" s="493">
        <v>272.19015940968256</v>
      </c>
      <c r="X1119" s="493">
        <v>267.49379934802334</v>
      </c>
      <c r="Y1119" s="493">
        <v>262.79743928636412</v>
      </c>
      <c r="Z1119" s="493">
        <v>258.1010792247049</v>
      </c>
      <c r="AA1119" s="493">
        <v>253.40471916304571</v>
      </c>
      <c r="AB1119" s="493">
        <v>248.70835910138649</v>
      </c>
      <c r="AC1119" s="493">
        <v>244.01199903972886</v>
      </c>
      <c r="AD1119" s="493">
        <v>239.31563897806964</v>
      </c>
      <c r="AE1119" s="493">
        <v>234.61927891641042</v>
      </c>
      <c r="AF1119" s="493">
        <v>229.92291885475123</v>
      </c>
      <c r="AG1119" s="493">
        <v>225.22655879309201</v>
      </c>
      <c r="AH1119" s="493">
        <v>220.53019873143279</v>
      </c>
      <c r="AI1119" s="493">
        <v>215.83383866977357</v>
      </c>
    </row>
    <row r="1120" spans="2:35" outlineLevel="1">
      <c r="B1120" t="str">
        <f t="shared" si="94"/>
        <v>Bio-methane (liquefied) - Finance cost - Asia - USD/ton fuel</v>
      </c>
      <c r="C1120" t="str">
        <f>C1100</f>
        <v>Bio-methane (liquefied)</v>
      </c>
      <c r="D1120" t="s">
        <v>1366</v>
      </c>
      <c r="E1120" t="s">
        <v>750</v>
      </c>
      <c r="F1120" t="s">
        <v>1353</v>
      </c>
      <c r="G1120" s="487" t="str">
        <f t="shared" si="93"/>
        <v>Bio-methane (liquefied)AsiaFinance cost</v>
      </c>
      <c r="H1120" s="493">
        <v>342.63556033456763</v>
      </c>
      <c r="I1120" s="493">
        <v>337.93920027291</v>
      </c>
      <c r="J1120" s="493">
        <v>333.24284021125078</v>
      </c>
      <c r="K1120" s="493">
        <v>328.54648014959156</v>
      </c>
      <c r="L1120" s="493">
        <v>323.85012008793234</v>
      </c>
      <c r="M1120" s="493">
        <v>319.15376002627312</v>
      </c>
      <c r="N1120" s="493">
        <v>314.4573999646139</v>
      </c>
      <c r="O1120" s="493">
        <v>309.76103990295468</v>
      </c>
      <c r="P1120" s="493">
        <v>305.06467984129546</v>
      </c>
      <c r="Q1120" s="493">
        <v>300.36831977963624</v>
      </c>
      <c r="R1120" s="493">
        <v>295.67195971797702</v>
      </c>
      <c r="S1120" s="493">
        <v>290.97559965631945</v>
      </c>
      <c r="T1120" s="493">
        <v>286.27923959466023</v>
      </c>
      <c r="U1120" s="493">
        <v>281.58287953300101</v>
      </c>
      <c r="V1120" s="493">
        <v>276.88651947134178</v>
      </c>
      <c r="W1120" s="493">
        <v>272.19015940968256</v>
      </c>
      <c r="X1120" s="493">
        <v>267.49379934802334</v>
      </c>
      <c r="Y1120" s="493">
        <v>262.79743928636412</v>
      </c>
      <c r="Z1120" s="493">
        <v>258.1010792247049</v>
      </c>
      <c r="AA1120" s="493">
        <v>253.40471916304571</v>
      </c>
      <c r="AB1120" s="493">
        <v>248.70835910138649</v>
      </c>
      <c r="AC1120" s="493">
        <v>244.01199903972886</v>
      </c>
      <c r="AD1120" s="493">
        <v>239.31563897806964</v>
      </c>
      <c r="AE1120" s="493">
        <v>234.61927891641042</v>
      </c>
      <c r="AF1120" s="493">
        <v>229.92291885475123</v>
      </c>
      <c r="AG1120" s="493">
        <v>225.22655879309201</v>
      </c>
      <c r="AH1120" s="493">
        <v>220.53019873143279</v>
      </c>
      <c r="AI1120" s="493">
        <v>215.83383866977357</v>
      </c>
    </row>
    <row r="1121" spans="2:64" outlineLevel="1">
      <c r="B1121" t="str">
        <f t="shared" si="94"/>
        <v>Bio-methane (liquefied) - Finance cost - Europe - USD/ton fuel</v>
      </c>
      <c r="C1121" t="str">
        <f>C1100</f>
        <v>Bio-methane (liquefied)</v>
      </c>
      <c r="D1121" t="s">
        <v>1366</v>
      </c>
      <c r="E1121" t="s">
        <v>720</v>
      </c>
      <c r="F1121" t="s">
        <v>1353</v>
      </c>
      <c r="G1121" s="487" t="str">
        <f t="shared" si="93"/>
        <v>Bio-methane (liquefied)EuropeFinance cost</v>
      </c>
      <c r="H1121" s="493">
        <v>342.63556033456763</v>
      </c>
      <c r="I1121" s="493">
        <v>337.93920027291</v>
      </c>
      <c r="J1121" s="493">
        <v>333.24284021125078</v>
      </c>
      <c r="K1121" s="493">
        <v>328.54648014959156</v>
      </c>
      <c r="L1121" s="493">
        <v>323.85012008793234</v>
      </c>
      <c r="M1121" s="493">
        <v>319.15376002627312</v>
      </c>
      <c r="N1121" s="493">
        <v>314.4573999646139</v>
      </c>
      <c r="O1121" s="493">
        <v>309.76103990295468</v>
      </c>
      <c r="P1121" s="493">
        <v>305.06467984129546</v>
      </c>
      <c r="Q1121" s="493">
        <v>300.36831977963624</v>
      </c>
      <c r="R1121" s="493">
        <v>295.67195971797702</v>
      </c>
      <c r="S1121" s="493">
        <v>290.97559965631945</v>
      </c>
      <c r="T1121" s="493">
        <v>286.27923959466023</v>
      </c>
      <c r="U1121" s="493">
        <v>281.58287953300101</v>
      </c>
      <c r="V1121" s="493">
        <v>276.88651947134178</v>
      </c>
      <c r="W1121" s="493">
        <v>272.19015940968256</v>
      </c>
      <c r="X1121" s="493">
        <v>267.49379934802334</v>
      </c>
      <c r="Y1121" s="493">
        <v>262.79743928636412</v>
      </c>
      <c r="Z1121" s="493">
        <v>258.1010792247049</v>
      </c>
      <c r="AA1121" s="493">
        <v>253.40471916304571</v>
      </c>
      <c r="AB1121" s="493">
        <v>248.70835910138649</v>
      </c>
      <c r="AC1121" s="493">
        <v>244.01199903972886</v>
      </c>
      <c r="AD1121" s="493">
        <v>239.31563897806964</v>
      </c>
      <c r="AE1121" s="493">
        <v>234.61927891641042</v>
      </c>
      <c r="AF1121" s="493">
        <v>229.92291885475123</v>
      </c>
      <c r="AG1121" s="493">
        <v>225.22655879309201</v>
      </c>
      <c r="AH1121" s="493">
        <v>220.53019873143279</v>
      </c>
      <c r="AI1121" s="493">
        <v>215.83383866977357</v>
      </c>
    </row>
    <row r="1122" spans="2:64" outlineLevel="1">
      <c r="B1122" t="str">
        <f t="shared" si="94"/>
        <v>Bio-methane (liquefied) - Finance cost - Middle East - USD/ton fuel</v>
      </c>
      <c r="C1122" t="str">
        <f>C1100</f>
        <v>Bio-methane (liquefied)</v>
      </c>
      <c r="D1122" t="s">
        <v>1366</v>
      </c>
      <c r="E1122" t="s">
        <v>826</v>
      </c>
      <c r="F1122" t="s">
        <v>1353</v>
      </c>
      <c r="G1122" s="487" t="str">
        <f t="shared" si="93"/>
        <v>Bio-methane (liquefied)Middle EastFinance cost</v>
      </c>
      <c r="H1122" s="493">
        <v>342.63556033456763</v>
      </c>
      <c r="I1122" s="493">
        <v>337.93920027291</v>
      </c>
      <c r="J1122" s="493">
        <v>333.24284021125078</v>
      </c>
      <c r="K1122" s="493">
        <v>328.54648014959156</v>
      </c>
      <c r="L1122" s="493">
        <v>323.85012008793234</v>
      </c>
      <c r="M1122" s="493">
        <v>319.15376002627312</v>
      </c>
      <c r="N1122" s="493">
        <v>314.4573999646139</v>
      </c>
      <c r="O1122" s="493">
        <v>309.76103990295468</v>
      </c>
      <c r="P1122" s="493">
        <v>305.06467984129546</v>
      </c>
      <c r="Q1122" s="493">
        <v>300.36831977963624</v>
      </c>
      <c r="R1122" s="493">
        <v>295.67195971797702</v>
      </c>
      <c r="S1122" s="493">
        <v>290.97559965631945</v>
      </c>
      <c r="T1122" s="493">
        <v>286.27923959466023</v>
      </c>
      <c r="U1122" s="493">
        <v>281.58287953300101</v>
      </c>
      <c r="V1122" s="493">
        <v>276.88651947134178</v>
      </c>
      <c r="W1122" s="493">
        <v>272.19015940968256</v>
      </c>
      <c r="X1122" s="493">
        <v>267.49379934802334</v>
      </c>
      <c r="Y1122" s="493">
        <v>262.79743928636412</v>
      </c>
      <c r="Z1122" s="493">
        <v>258.1010792247049</v>
      </c>
      <c r="AA1122" s="493">
        <v>253.40471916304571</v>
      </c>
      <c r="AB1122" s="493">
        <v>248.70835910138649</v>
      </c>
      <c r="AC1122" s="493">
        <v>244.01199903972886</v>
      </c>
      <c r="AD1122" s="493">
        <v>239.31563897806964</v>
      </c>
      <c r="AE1122" s="493">
        <v>234.61927891641042</v>
      </c>
      <c r="AF1122" s="493">
        <v>229.92291885475123</v>
      </c>
      <c r="AG1122" s="493">
        <v>225.22655879309201</v>
      </c>
      <c r="AH1122" s="493">
        <v>220.53019873143279</v>
      </c>
      <c r="AI1122" s="493">
        <v>215.83383866977357</v>
      </c>
    </row>
    <row r="1123" spans="2:64" ht="15" outlineLevel="1" thickBot="1">
      <c r="B1123" t="str">
        <f t="shared" si="94"/>
        <v/>
      </c>
      <c r="G1123" s="487" t="str">
        <f t="shared" si="93"/>
        <v/>
      </c>
      <c r="H1123" s="498"/>
    </row>
    <row r="1124" spans="2:64" ht="15" outlineLevel="1">
      <c r="B1124" t="str">
        <f t="shared" si="94"/>
        <v>Bio-methane (liquefied) - Energy cost including feedstock energy cost - Africa - USD/ton fuel</v>
      </c>
      <c r="C1124" s="494" t="str">
        <f>C1100</f>
        <v>Bio-methane (liquefied)</v>
      </c>
      <c r="D1124" s="494" t="s">
        <v>1367</v>
      </c>
      <c r="E1124" s="494" t="s">
        <v>838</v>
      </c>
      <c r="F1124" s="494" t="s">
        <v>1353</v>
      </c>
      <c r="G1124" s="487" t="str">
        <f t="shared" si="93"/>
        <v>Bio-methane (liquefied)AfricaEnergy cost including feedstock energy cost</v>
      </c>
      <c r="H1124" s="495">
        <v>69.981595126557124</v>
      </c>
      <c r="I1124" s="495">
        <v>61.869476140659096</v>
      </c>
      <c r="J1124" s="495">
        <v>53.7292636721874</v>
      </c>
      <c r="K1124" s="495">
        <v>51.518232281304975</v>
      </c>
      <c r="L1124" s="495">
        <v>49.299369387502331</v>
      </c>
      <c r="M1124" s="495">
        <v>47.072674990779397</v>
      </c>
      <c r="N1124" s="495">
        <v>44.838149091135655</v>
      </c>
      <c r="O1124" s="495">
        <v>42.595791688572248</v>
      </c>
      <c r="P1124" s="495">
        <v>41.371520483968219</v>
      </c>
      <c r="Q1124" s="495">
        <v>40.142877724425517</v>
      </c>
      <c r="R1124" s="495">
        <v>38.909863409943561</v>
      </c>
      <c r="S1124" s="495">
        <v>37.672477540523481</v>
      </c>
      <c r="T1124" s="495">
        <v>36.430720116164863</v>
      </c>
      <c r="U1124" s="495">
        <v>35.876486800484471</v>
      </c>
      <c r="V1124" s="495">
        <v>35.320195865728472</v>
      </c>
      <c r="W1124" s="495">
        <v>34.761847311896595</v>
      </c>
      <c r="X1124" s="495">
        <v>34.201441138989011</v>
      </c>
      <c r="Y1124" s="495">
        <v>33.638977347005977</v>
      </c>
      <c r="Z1124" s="495">
        <v>33.056916576553654</v>
      </c>
      <c r="AA1124" s="495">
        <v>32.4727400157674</v>
      </c>
      <c r="AB1124" s="495">
        <v>31.886447664646887</v>
      </c>
      <c r="AC1124" s="495">
        <v>31.298039523192703</v>
      </c>
      <c r="AD1124" s="495">
        <v>30.707515591404441</v>
      </c>
      <c r="AE1124" s="495">
        <v>30.442389643977016</v>
      </c>
      <c r="AF1124" s="495">
        <v>30.17622520998988</v>
      </c>
      <c r="AG1124" s="495">
        <v>29.909022289442703</v>
      </c>
      <c r="AH1124" s="495">
        <v>29.640780882335655</v>
      </c>
      <c r="AI1124" s="495">
        <v>29.371500988668895</v>
      </c>
      <c r="AK1124" s="499" t="e">
        <f>H1107+H1110+H1113+H1124+#REF!=H1101</f>
        <v>#REF!</v>
      </c>
      <c r="AL1124" s="500" t="e">
        <f>I1107+I1110+I1113+I1124+#REF!=I1101</f>
        <v>#REF!</v>
      </c>
      <c r="AM1124" s="500" t="e">
        <f>J1107+J1110+J1113+J1124+#REF!=J1101</f>
        <v>#REF!</v>
      </c>
      <c r="AN1124" s="500" t="e">
        <f>K1107+K1110+K1113+K1124+#REF!=K1101</f>
        <v>#REF!</v>
      </c>
      <c r="AO1124" s="500" t="e">
        <f>L1107+L1110+L1113+L1124+#REF!=L1101</f>
        <v>#REF!</v>
      </c>
      <c r="AP1124" s="500" t="e">
        <f>M1107+M1110+M1113+M1124+#REF!=M1101</f>
        <v>#REF!</v>
      </c>
      <c r="AQ1124" s="500" t="e">
        <f>N1107+N1110+N1113+N1124+#REF!=N1101</f>
        <v>#REF!</v>
      </c>
      <c r="AR1124" s="500" t="e">
        <f>O1107+O1110+O1113+O1124+#REF!=O1101</f>
        <v>#REF!</v>
      </c>
      <c r="AS1124" s="500" t="e">
        <f>P1107+P1110+P1113+P1124+#REF!=P1101</f>
        <v>#REF!</v>
      </c>
      <c r="AT1124" s="500" t="e">
        <f>Q1107+Q1110+Q1113+Q1124+#REF!=Q1101</f>
        <v>#REF!</v>
      </c>
      <c r="AU1124" s="500" t="e">
        <f>R1107+R1110+R1113+R1124+#REF!=R1101</f>
        <v>#REF!</v>
      </c>
      <c r="AV1124" s="500" t="e">
        <f>S1107+S1110+S1113+S1124+#REF!=S1101</f>
        <v>#REF!</v>
      </c>
      <c r="AW1124" s="500" t="e">
        <f>T1107+T1110+T1113+T1124+#REF!=T1101</f>
        <v>#REF!</v>
      </c>
      <c r="AX1124" s="500" t="e">
        <f>U1107+U1110+U1113+U1124+#REF!=U1101</f>
        <v>#REF!</v>
      </c>
      <c r="AY1124" s="500" t="e">
        <f>V1107+V1110+V1113+V1124+#REF!=V1101</f>
        <v>#REF!</v>
      </c>
      <c r="AZ1124" s="500" t="e">
        <f>W1107+W1110+W1113+W1124+#REF!=W1101</f>
        <v>#REF!</v>
      </c>
      <c r="BA1124" s="500" t="e">
        <f>X1107+X1110+X1113+X1124+#REF!=X1101</f>
        <v>#REF!</v>
      </c>
      <c r="BB1124" s="500" t="e">
        <f>Y1107+Y1110+Y1113+Y1124+#REF!=Y1101</f>
        <v>#REF!</v>
      </c>
      <c r="BC1124" s="500" t="e">
        <f>Z1107+Z1110+Z1113+Z1124+#REF!=Z1101</f>
        <v>#REF!</v>
      </c>
      <c r="BD1124" s="500" t="e">
        <f>AA1107+AA1110+AA1113+AA1124+#REF!=AA1101</f>
        <v>#REF!</v>
      </c>
      <c r="BE1124" s="500" t="e">
        <f>AB1107+AB1110+AB1113+AB1124+#REF!=AB1101</f>
        <v>#REF!</v>
      </c>
      <c r="BF1124" s="500" t="e">
        <f>AC1107+AC1110+AC1113+AC1124+#REF!=AC1101</f>
        <v>#REF!</v>
      </c>
      <c r="BG1124" s="500" t="e">
        <f>AD1107+AD1110+AD1113+AD1124+#REF!=AD1101</f>
        <v>#REF!</v>
      </c>
      <c r="BH1124" s="500" t="e">
        <f>AE1107+AE1110+AE1113+AE1124+#REF!=AE1101</f>
        <v>#REF!</v>
      </c>
      <c r="BI1124" s="500" t="e">
        <f>AF1107+AF1110+AF1113+AF1124+#REF!=AF1101</f>
        <v>#REF!</v>
      </c>
      <c r="BJ1124" s="500" t="e">
        <f>AG1107+AG1110+AG1113+AG1124+#REF!=AG1101</f>
        <v>#REF!</v>
      </c>
      <c r="BK1124" s="500" t="e">
        <f>AH1107+AH1110+AH1113+AH1124+#REF!=AH1101</f>
        <v>#REF!</v>
      </c>
      <c r="BL1124" s="501" t="e">
        <f>AI1107+AI1110+AI1113+AI1124+#REF!=AI1101</f>
        <v>#REF!</v>
      </c>
    </row>
    <row r="1125" spans="2:64" ht="15" outlineLevel="1">
      <c r="B1125" t="str">
        <f t="shared" si="94"/>
        <v>Bio-methane (liquefied) - Energy cost including feedstock energy cost - Americas - USD/ton fuel</v>
      </c>
      <c r="C1125" s="22" t="str">
        <f>C1100</f>
        <v>Bio-methane (liquefied)</v>
      </c>
      <c r="D1125" s="22" t="s">
        <v>1367</v>
      </c>
      <c r="E1125" s="22" t="s">
        <v>731</v>
      </c>
      <c r="F1125" s="22" t="s">
        <v>1353</v>
      </c>
      <c r="G1125" s="487" t="str">
        <f t="shared" si="93"/>
        <v>Bio-methane (liquefied)AmericasEnergy cost including feedstock energy cost</v>
      </c>
      <c r="H1125" s="496">
        <v>43.970477550141368</v>
      </c>
      <c r="I1125" s="496">
        <v>43.133513877303159</v>
      </c>
      <c r="J1125" s="496">
        <v>42.29343728678333</v>
      </c>
      <c r="K1125" s="496">
        <v>40.818375134299309</v>
      </c>
      <c r="L1125" s="496">
        <v>39.338050928563419</v>
      </c>
      <c r="M1125" s="496">
        <v>37.852464669575596</v>
      </c>
      <c r="N1125" s="496">
        <v>36.361616357336416</v>
      </c>
      <c r="O1125" s="496">
        <v>34.86550599184482</v>
      </c>
      <c r="P1125" s="496">
        <v>34.173561270800185</v>
      </c>
      <c r="Q1125" s="496">
        <v>33.479084323395696</v>
      </c>
      <c r="R1125" s="496">
        <v>32.782075149631332</v>
      </c>
      <c r="S1125" s="496">
        <v>32.082533749507107</v>
      </c>
      <c r="T1125" s="496">
        <v>31.380460123022885</v>
      </c>
      <c r="U1125" s="496">
        <v>30.819243121379898</v>
      </c>
      <c r="V1125" s="496">
        <v>30.25597343476251</v>
      </c>
      <c r="W1125" s="496">
        <v>29.690651063170606</v>
      </c>
      <c r="X1125" s="496">
        <v>29.123276006604488</v>
      </c>
      <c r="Y1125" s="496">
        <v>28.553848265063923</v>
      </c>
      <c r="Z1125" s="496">
        <v>28.35193876026846</v>
      </c>
      <c r="AA1125" s="496">
        <v>28.149202294029187</v>
      </c>
      <c r="AB1125" s="496">
        <v>27.94563886634614</v>
      </c>
      <c r="AC1125" s="496">
        <v>27.741248477219195</v>
      </c>
      <c r="AD1125" s="496">
        <v>27.536031126648442</v>
      </c>
      <c r="AE1125" s="496">
        <v>27.391724926203018</v>
      </c>
      <c r="AF1125" s="496">
        <v>27.246794841881083</v>
      </c>
      <c r="AG1125" s="496">
        <v>27.101240873682528</v>
      </c>
      <c r="AH1125" s="496">
        <v>26.955063021607373</v>
      </c>
      <c r="AI1125" s="496">
        <v>26.808261285655636</v>
      </c>
      <c r="AK1125" s="502" t="e">
        <f>H1107+H1110+H1114+H1125+#REF!=H1102</f>
        <v>#REF!</v>
      </c>
      <c r="AL1125" s="106" t="e">
        <f>I1107+I1110+I1114+I1125+#REF!=I1102</f>
        <v>#REF!</v>
      </c>
      <c r="AM1125" s="106" t="e">
        <f>J1107+J1110+J1114+J1125+#REF!=J1102</f>
        <v>#REF!</v>
      </c>
      <c r="AN1125" s="106" t="e">
        <f>K1107+K1110+K1114+K1125+#REF!=K1102</f>
        <v>#REF!</v>
      </c>
      <c r="AO1125" s="106" t="e">
        <f>L1107+L1110+L1114+L1125+#REF!=L1102</f>
        <v>#REF!</v>
      </c>
      <c r="AP1125" s="106" t="e">
        <f>M1107+M1110+M1114+M1125+#REF!=M1102</f>
        <v>#REF!</v>
      </c>
      <c r="AQ1125" s="106" t="e">
        <f>N1107+N1110+N1114+N1125+#REF!=N1102</f>
        <v>#REF!</v>
      </c>
      <c r="AR1125" s="106" t="e">
        <f>O1107+O1110+O1114+O1125+#REF!=O1102</f>
        <v>#REF!</v>
      </c>
      <c r="AS1125" s="106" t="e">
        <f>P1107+P1110+P1114+P1125+#REF!=P1102</f>
        <v>#REF!</v>
      </c>
      <c r="AT1125" s="106" t="e">
        <f>Q1107+Q1110+Q1114+Q1125+#REF!=Q1102</f>
        <v>#REF!</v>
      </c>
      <c r="AU1125" s="106" t="e">
        <f>R1107+R1110+R1114+R1125+#REF!=R1102</f>
        <v>#REF!</v>
      </c>
      <c r="AV1125" s="106" t="e">
        <f>S1107+S1110+S1114+S1125+#REF!=S1102</f>
        <v>#REF!</v>
      </c>
      <c r="AW1125" s="106" t="e">
        <f>T1107+T1110+T1114+T1125+#REF!=T1102</f>
        <v>#REF!</v>
      </c>
      <c r="AX1125" s="106" t="e">
        <f>U1107+U1110+U1114+U1125+#REF!=U1102</f>
        <v>#REF!</v>
      </c>
      <c r="AY1125" s="106" t="e">
        <f>V1107+V1110+V1114+V1125+#REF!=V1102</f>
        <v>#REF!</v>
      </c>
      <c r="AZ1125" s="106" t="e">
        <f>W1107+W1110+W1114+W1125+#REF!=W1102</f>
        <v>#REF!</v>
      </c>
      <c r="BA1125" s="106" t="e">
        <f>X1107+X1110+X1114+X1125+#REF!=X1102</f>
        <v>#REF!</v>
      </c>
      <c r="BB1125" s="106" t="e">
        <f>Y1107+Y1110+Y1114+Y1125+#REF!=Y1102</f>
        <v>#REF!</v>
      </c>
      <c r="BC1125" s="106" t="e">
        <f>Z1107+Z1110+Z1114+Z1125+#REF!=Z1102</f>
        <v>#REF!</v>
      </c>
      <c r="BD1125" s="106" t="e">
        <f>AA1107+AA1110+AA1114+AA1125+#REF!=AA1102</f>
        <v>#REF!</v>
      </c>
      <c r="BE1125" s="106" t="e">
        <f>AB1107+AB1110+AB1114+AB1125+#REF!=AB1102</f>
        <v>#REF!</v>
      </c>
      <c r="BF1125" s="106" t="e">
        <f>AC1107+AC1110+AC1114+AC1125+#REF!=AC1102</f>
        <v>#REF!</v>
      </c>
      <c r="BG1125" s="106" t="e">
        <f>AD1107+AD1110+AD1114+AD1125+#REF!=AD1102</f>
        <v>#REF!</v>
      </c>
      <c r="BH1125" s="106" t="e">
        <f>AE1107+AE1110+AE1114+AE1125+#REF!=AE1102</f>
        <v>#REF!</v>
      </c>
      <c r="BI1125" s="106" t="e">
        <f>AF1107+AF1110+AF1114+AF1125+#REF!=AF1102</f>
        <v>#REF!</v>
      </c>
      <c r="BJ1125" s="106" t="e">
        <f>AG1107+AG1110+AG1114+AG1125+#REF!=AG1102</f>
        <v>#REF!</v>
      </c>
      <c r="BK1125" s="106" t="e">
        <f>AH1107+AH1110+AH1114+AH1125+#REF!=AH1102</f>
        <v>#REF!</v>
      </c>
      <c r="BL1125" s="503" t="e">
        <f>AI1107+AI1110+AI1114+AI1125+#REF!=AI1102</f>
        <v>#REF!</v>
      </c>
    </row>
    <row r="1126" spans="2:64" ht="15" outlineLevel="1">
      <c r="B1126" t="str">
        <f t="shared" si="94"/>
        <v>Bio-methane (liquefied) - Energy cost including feedstock energy cost - Asia - USD/ton fuel</v>
      </c>
      <c r="C1126" s="22" t="str">
        <f>C1100</f>
        <v>Bio-methane (liquefied)</v>
      </c>
      <c r="D1126" s="22" t="s">
        <v>1367</v>
      </c>
      <c r="E1126" s="22" t="s">
        <v>750</v>
      </c>
      <c r="F1126" s="22" t="s">
        <v>1353</v>
      </c>
      <c r="G1126" s="487" t="str">
        <f t="shared" si="93"/>
        <v>Bio-methane (liquefied)AsiaEnergy cost including feedstock energy cost</v>
      </c>
      <c r="H1126" s="496">
        <v>77.834080488055108</v>
      </c>
      <c r="I1126" s="496">
        <v>71.115822008006759</v>
      </c>
      <c r="J1126" s="496">
        <v>64.374181237561601</v>
      </c>
      <c r="K1126" s="496">
        <v>62.017950631427631</v>
      </c>
      <c r="L1126" s="496">
        <v>59.653332991887112</v>
      </c>
      <c r="M1126" s="496">
        <v>57.280328318937748</v>
      </c>
      <c r="N1126" s="496">
        <v>54.898936612580677</v>
      </c>
      <c r="O1126" s="496">
        <v>52.509157872817042</v>
      </c>
      <c r="P1126" s="496">
        <v>50.90756034996317</v>
      </c>
      <c r="Q1126" s="496">
        <v>49.300262251599818</v>
      </c>
      <c r="R1126" s="496">
        <v>47.687263577726945</v>
      </c>
      <c r="S1126" s="496">
        <v>46.06856432834347</v>
      </c>
      <c r="T1126" s="496">
        <v>44.444164503449962</v>
      </c>
      <c r="U1126" s="496">
        <v>43.651976207852059</v>
      </c>
      <c r="V1126" s="496">
        <v>42.856889601552574</v>
      </c>
      <c r="W1126" s="496">
        <v>42.058904684551834</v>
      </c>
      <c r="X1126" s="496">
        <v>41.258021456849292</v>
      </c>
      <c r="Y1126" s="496">
        <v>40.454239918445765</v>
      </c>
      <c r="Z1126" s="496">
        <v>39.606725460630514</v>
      </c>
      <c r="AA1126" s="496">
        <v>38.756177259541239</v>
      </c>
      <c r="AB1126" s="496">
        <v>37.902595315177329</v>
      </c>
      <c r="AC1126" s="496">
        <v>37.04597962753936</v>
      </c>
      <c r="AD1126" s="496">
        <v>36.186330196626805</v>
      </c>
      <c r="AE1126" s="496">
        <v>35.822990175790714</v>
      </c>
      <c r="AF1126" s="496">
        <v>35.458258920500349</v>
      </c>
      <c r="AG1126" s="496">
        <v>35.09213643075595</v>
      </c>
      <c r="AH1126" s="496">
        <v>34.72462270655739</v>
      </c>
      <c r="AI1126" s="496">
        <v>34.355717747904563</v>
      </c>
      <c r="AK1126" s="502" t="e">
        <f>H1107+H1110+H1115+H1126+#REF!=H1103</f>
        <v>#REF!</v>
      </c>
      <c r="AL1126" s="106" t="e">
        <f>I1107+I1110+I1115+I1126+#REF!=I1103</f>
        <v>#REF!</v>
      </c>
      <c r="AM1126" s="106" t="e">
        <f>J1107+J1110+J1115+J1126+#REF!=J1103</f>
        <v>#REF!</v>
      </c>
      <c r="AN1126" s="106" t="e">
        <f>K1107+K1110+K1115+K1126+#REF!=K1103</f>
        <v>#REF!</v>
      </c>
      <c r="AO1126" s="106" t="e">
        <f>L1107+L1110+L1115+L1126+#REF!=L1103</f>
        <v>#REF!</v>
      </c>
      <c r="AP1126" s="106" t="e">
        <f>M1107+M1110+M1115+M1126+#REF!=M1103</f>
        <v>#REF!</v>
      </c>
      <c r="AQ1126" s="106" t="e">
        <f>N1107+N1110+N1115+N1126+#REF!=N1103</f>
        <v>#REF!</v>
      </c>
      <c r="AR1126" s="106" t="e">
        <f>O1107+O1110+O1115+O1126+#REF!=O1103</f>
        <v>#REF!</v>
      </c>
      <c r="AS1126" s="106" t="e">
        <f>P1107+P1110+P1115+P1126+#REF!=P1103</f>
        <v>#REF!</v>
      </c>
      <c r="AT1126" s="106" t="e">
        <f>Q1107+Q1110+Q1115+Q1126+#REF!=Q1103</f>
        <v>#REF!</v>
      </c>
      <c r="AU1126" s="106" t="e">
        <f>R1107+R1110+R1115+R1126+#REF!=R1103</f>
        <v>#REF!</v>
      </c>
      <c r="AV1126" s="106" t="e">
        <f>S1107+S1110+S1115+S1126+#REF!=S1103</f>
        <v>#REF!</v>
      </c>
      <c r="AW1126" s="106" t="e">
        <f>T1107+T1110+T1115+T1126+#REF!=T1103</f>
        <v>#REF!</v>
      </c>
      <c r="AX1126" s="106" t="e">
        <f>U1107+U1110+U1115+U1126+#REF!=U1103</f>
        <v>#REF!</v>
      </c>
      <c r="AY1126" s="106" t="e">
        <f>V1107+V1110+V1115+V1126+#REF!=V1103</f>
        <v>#REF!</v>
      </c>
      <c r="AZ1126" s="106" t="e">
        <f>W1107+W1110+W1115+W1126+#REF!=W1103</f>
        <v>#REF!</v>
      </c>
      <c r="BA1126" s="106" t="e">
        <f>X1107+X1110+X1115+X1126+#REF!=X1103</f>
        <v>#REF!</v>
      </c>
      <c r="BB1126" s="106" t="e">
        <f>Y1107+Y1110+Y1115+Y1126+#REF!=Y1103</f>
        <v>#REF!</v>
      </c>
      <c r="BC1126" s="106" t="e">
        <f>Z1107+Z1110+Z1115+Z1126+#REF!=Z1103</f>
        <v>#REF!</v>
      </c>
      <c r="BD1126" s="106" t="e">
        <f>AA1107+AA1110+AA1115+AA1126+#REF!=AA1103</f>
        <v>#REF!</v>
      </c>
      <c r="BE1126" s="106" t="e">
        <f>AB1107+AB1110+AB1115+AB1126+#REF!=AB1103</f>
        <v>#REF!</v>
      </c>
      <c r="BF1126" s="106" t="e">
        <f>AC1107+AC1110+AC1115+AC1126+#REF!=AC1103</f>
        <v>#REF!</v>
      </c>
      <c r="BG1126" s="106" t="e">
        <f>AD1107+AD1110+AD1115+AD1126+#REF!=AD1103</f>
        <v>#REF!</v>
      </c>
      <c r="BH1126" s="106" t="e">
        <f>AE1107+AE1110+AE1115+AE1126+#REF!=AE1103</f>
        <v>#REF!</v>
      </c>
      <c r="BI1126" s="106" t="e">
        <f>AF1107+AF1110+AF1115+AF1126+#REF!=AF1103</f>
        <v>#REF!</v>
      </c>
      <c r="BJ1126" s="106" t="e">
        <f>AG1107+AG1110+AG1115+AG1126+#REF!=AG1103</f>
        <v>#REF!</v>
      </c>
      <c r="BK1126" s="106" t="e">
        <f>AH1107+AH1110+AH1115+AH1126+#REF!=AH1103</f>
        <v>#REF!</v>
      </c>
      <c r="BL1126" s="503" t="e">
        <f>AI1107+AI1110+AI1115+AI1126+#REF!=AI1103</f>
        <v>#REF!</v>
      </c>
    </row>
    <row r="1127" spans="2:64" ht="15" outlineLevel="1">
      <c r="B1127" t="str">
        <f t="shared" si="94"/>
        <v>Bio-methane (liquefied) - Energy cost including feedstock energy cost - Europe - USD/ton fuel</v>
      </c>
      <c r="C1127" s="22" t="str">
        <f>C1100</f>
        <v>Bio-methane (liquefied)</v>
      </c>
      <c r="D1127" s="22" t="s">
        <v>1367</v>
      </c>
      <c r="E1127" s="22" t="s">
        <v>720</v>
      </c>
      <c r="F1127" s="22" t="s">
        <v>1353</v>
      </c>
      <c r="G1127" s="487" t="str">
        <f t="shared" si="93"/>
        <v>Bio-methane (liquefied)EuropeEnergy cost including feedstock energy cost</v>
      </c>
      <c r="H1127" s="496">
        <v>57.943256879776996</v>
      </c>
      <c r="I1127" s="496">
        <v>55.540702181518348</v>
      </c>
      <c r="J1127" s="496">
        <v>53.129609966639606</v>
      </c>
      <c r="K1127" s="496">
        <v>51.191911235516265</v>
      </c>
      <c r="L1127" s="496">
        <v>49.247314139371603</v>
      </c>
      <c r="M1127" s="496">
        <v>47.295818678206651</v>
      </c>
      <c r="N1127" s="496">
        <v>45.337424852020348</v>
      </c>
      <c r="O1127" s="496">
        <v>43.372132660813818</v>
      </c>
      <c r="P1127" s="496">
        <v>42.595508759449871</v>
      </c>
      <c r="Q1127" s="496">
        <v>41.816018588847896</v>
      </c>
      <c r="R1127" s="496">
        <v>41.033662149006759</v>
      </c>
      <c r="S1127" s="496">
        <v>40.248439439926756</v>
      </c>
      <c r="T1127" s="496">
        <v>39.460350461608165</v>
      </c>
      <c r="U1127" s="496">
        <v>39.014742893973903</v>
      </c>
      <c r="V1127" s="496">
        <v>38.567424017919087</v>
      </c>
      <c r="W1127" s="496">
        <v>38.118393833443605</v>
      </c>
      <c r="X1127" s="496">
        <v>37.667652340547491</v>
      </c>
      <c r="Y1127" s="496">
        <v>37.215199539230433</v>
      </c>
      <c r="Z1127" s="496">
        <v>36.725009927078887</v>
      </c>
      <c r="AA1127" s="496">
        <v>36.232989523875723</v>
      </c>
      <c r="AB1127" s="496">
        <v>35.739138329621177</v>
      </c>
      <c r="AC1127" s="496">
        <v>35.243456344314978</v>
      </c>
      <c r="AD1127" s="496">
        <v>34.745943567957454</v>
      </c>
      <c r="AE1127" s="496">
        <v>34.397088662005487</v>
      </c>
      <c r="AF1127" s="496">
        <v>34.046897973198419</v>
      </c>
      <c r="AG1127" s="496">
        <v>33.695371501536471</v>
      </c>
      <c r="AH1127" s="496">
        <v>33.342509247019528</v>
      </c>
      <c r="AI1127" s="496">
        <v>32.988311209647478</v>
      </c>
      <c r="AK1127" s="502" t="e">
        <f>H1107+H1110+H1116+H1127+#REF!=H1104</f>
        <v>#REF!</v>
      </c>
      <c r="AL1127" s="106" t="e">
        <f>I1107+I1110+I1116+I1127+#REF!=I1104</f>
        <v>#REF!</v>
      </c>
      <c r="AM1127" s="106" t="e">
        <f>J1107+J1110+J1116+J1127+#REF!=J1104</f>
        <v>#REF!</v>
      </c>
      <c r="AN1127" s="106" t="e">
        <f>K1107+K1110+K1116+K1127+#REF!=K1104</f>
        <v>#REF!</v>
      </c>
      <c r="AO1127" s="106" t="e">
        <f>L1107+L1110+L1116+L1127+#REF!=L1104</f>
        <v>#REF!</v>
      </c>
      <c r="AP1127" s="106" t="e">
        <f>M1107+M1110+M1116+M1127+#REF!=M1104</f>
        <v>#REF!</v>
      </c>
      <c r="AQ1127" s="106" t="e">
        <f>N1107+N1110+N1116+N1127+#REF!=N1104</f>
        <v>#REF!</v>
      </c>
      <c r="AR1127" s="106" t="e">
        <f>O1107+O1110+O1116+O1127+#REF!=O1104</f>
        <v>#REF!</v>
      </c>
      <c r="AS1127" s="106" t="e">
        <f>P1107+P1110+P1116+P1127+#REF!=P1104</f>
        <v>#REF!</v>
      </c>
      <c r="AT1127" s="106" t="e">
        <f>Q1107+Q1110+Q1116+Q1127+#REF!=Q1104</f>
        <v>#REF!</v>
      </c>
      <c r="AU1127" s="106" t="e">
        <f>R1107+R1110+R1116+R1127+#REF!=R1104</f>
        <v>#REF!</v>
      </c>
      <c r="AV1127" s="106" t="e">
        <f>S1107+S1110+S1116+S1127+#REF!=S1104</f>
        <v>#REF!</v>
      </c>
      <c r="AW1127" s="106" t="e">
        <f>T1107+T1110+T1116+T1127+#REF!=T1104</f>
        <v>#REF!</v>
      </c>
      <c r="AX1127" s="106" t="e">
        <f>U1107+U1110+U1116+U1127+#REF!=U1104</f>
        <v>#REF!</v>
      </c>
      <c r="AY1127" s="106" t="e">
        <f>V1107+V1110+V1116+V1127+#REF!=V1104</f>
        <v>#REF!</v>
      </c>
      <c r="AZ1127" s="106" t="e">
        <f>W1107+W1110+W1116+W1127+#REF!=W1104</f>
        <v>#REF!</v>
      </c>
      <c r="BA1127" s="106" t="e">
        <f>X1107+X1110+X1116+X1127+#REF!=X1104</f>
        <v>#REF!</v>
      </c>
      <c r="BB1127" s="106" t="e">
        <f>Y1107+Y1110+Y1116+Y1127+#REF!=Y1104</f>
        <v>#REF!</v>
      </c>
      <c r="BC1127" s="106" t="e">
        <f>Z1107+Z1110+Z1116+Z1127+#REF!=Z1104</f>
        <v>#REF!</v>
      </c>
      <c r="BD1127" s="106" t="e">
        <f>AA1107+AA1110+AA1116+AA1127+#REF!=AA1104</f>
        <v>#REF!</v>
      </c>
      <c r="BE1127" s="106" t="e">
        <f>AB1107+AB1110+AB1116+AB1127+#REF!=AB1104</f>
        <v>#REF!</v>
      </c>
      <c r="BF1127" s="106" t="e">
        <f>AC1107+AC1110+AC1116+AC1127+#REF!=AC1104</f>
        <v>#REF!</v>
      </c>
      <c r="BG1127" s="106" t="e">
        <f>AD1107+AD1110+AD1116+AD1127+#REF!=AD1104</f>
        <v>#REF!</v>
      </c>
      <c r="BH1127" s="106" t="e">
        <f>AE1107+AE1110+AE1116+AE1127+#REF!=AE1104</f>
        <v>#REF!</v>
      </c>
      <c r="BI1127" s="106" t="e">
        <f>AF1107+AF1110+AF1116+AF1127+#REF!=AF1104</f>
        <v>#REF!</v>
      </c>
      <c r="BJ1127" s="106" t="e">
        <f>AG1107+AG1110+AG1116+AG1127+#REF!=AG1104</f>
        <v>#REF!</v>
      </c>
      <c r="BK1127" s="106" t="e">
        <f>AH1107+AH1110+AH1116+AH1127+#REF!=AH1104</f>
        <v>#REF!</v>
      </c>
      <c r="BL1127" s="503" t="e">
        <f>AI1107+AI1110+AI1116+AI1127+#REF!=AI1104</f>
        <v>#REF!</v>
      </c>
    </row>
    <row r="1128" spans="2:64" ht="15.75" outlineLevel="1" thickBot="1">
      <c r="B1128" t="str">
        <f t="shared" si="94"/>
        <v>Bio-methane (liquefied) - Energy cost including feedstock energy cost - Middle East - USD/ton fuel</v>
      </c>
      <c r="C1128" s="92" t="str">
        <f>C1100</f>
        <v>Bio-methane (liquefied)</v>
      </c>
      <c r="D1128" s="92" t="s">
        <v>1367</v>
      </c>
      <c r="E1128" s="92" t="s">
        <v>826</v>
      </c>
      <c r="F1128" s="92" t="s">
        <v>1353</v>
      </c>
      <c r="G1128" s="487" t="str">
        <f t="shared" si="93"/>
        <v>Bio-methane (liquefied)Middle EastEnergy cost including feedstock energy cost</v>
      </c>
      <c r="H1128" s="497">
        <v>44.369744465183125</v>
      </c>
      <c r="I1128" s="497">
        <v>42.484314613959889</v>
      </c>
      <c r="J1128" s="497">
        <v>40.592191285228083</v>
      </c>
      <c r="K1128" s="497">
        <v>39.358366605510518</v>
      </c>
      <c r="L1128" s="497">
        <v>38.120110230380043</v>
      </c>
      <c r="M1128" s="497">
        <v>36.877422159836598</v>
      </c>
      <c r="N1128" s="497">
        <v>35.630302393880221</v>
      </c>
      <c r="O1128" s="497">
        <v>34.378750932510926</v>
      </c>
      <c r="P1128" s="497">
        <v>33.510261962812841</v>
      </c>
      <c r="Q1128" s="497">
        <v>32.638648137158455</v>
      </c>
      <c r="R1128" s="497">
        <v>31.763909455547182</v>
      </c>
      <c r="S1128" s="497">
        <v>30.88604591797959</v>
      </c>
      <c r="T1128" s="497">
        <v>30.00505752445541</v>
      </c>
      <c r="U1128" s="497">
        <v>29.586831420087236</v>
      </c>
      <c r="V1128" s="497">
        <v>29.167038545800349</v>
      </c>
      <c r="W1128" s="497">
        <v>28.745678901594903</v>
      </c>
      <c r="X1128" s="497">
        <v>28.322752487470645</v>
      </c>
      <c r="Y1128" s="497">
        <v>27.89825930342769</v>
      </c>
      <c r="Z1128" s="497">
        <v>27.325095646978163</v>
      </c>
      <c r="AA1128" s="497">
        <v>26.749877334634842</v>
      </c>
      <c r="AB1128" s="497">
        <v>26.172604366397408</v>
      </c>
      <c r="AC1128" s="497">
        <v>25.593276742266163</v>
      </c>
      <c r="AD1128" s="497">
        <v>25.011894462240768</v>
      </c>
      <c r="AE1128" s="497">
        <v>24.760746943588863</v>
      </c>
      <c r="AF1128" s="497">
        <v>24.508637781523692</v>
      </c>
      <c r="AG1128" s="497">
        <v>24.255566976045078</v>
      </c>
      <c r="AH1128" s="497">
        <v>24.001534527153105</v>
      </c>
      <c r="AI1128" s="497">
        <v>23.746540434847862</v>
      </c>
      <c r="AK1128" s="504" t="e">
        <f>H1107+H1110+H1117+H1128+#REF!=H1105</f>
        <v>#REF!</v>
      </c>
      <c r="AL1128" s="505" t="e">
        <f>I1107+I1110+I1117+I1128+#REF!=I1105</f>
        <v>#REF!</v>
      </c>
      <c r="AM1128" s="505" t="e">
        <f>J1107+J1110+J1117+J1128+#REF!=J1105</f>
        <v>#REF!</v>
      </c>
      <c r="AN1128" s="505" t="e">
        <f>K1107+K1110+K1117+K1128+#REF!=K1105</f>
        <v>#REF!</v>
      </c>
      <c r="AO1128" s="505" t="e">
        <f>L1107+L1110+L1117+L1128+#REF!=L1105</f>
        <v>#REF!</v>
      </c>
      <c r="AP1128" s="505" t="e">
        <f>M1107+M1110+M1117+M1128+#REF!=M1105</f>
        <v>#REF!</v>
      </c>
      <c r="AQ1128" s="505" t="e">
        <f>N1107+N1110+N1117+N1128+#REF!=N1105</f>
        <v>#REF!</v>
      </c>
      <c r="AR1128" s="505" t="e">
        <f>O1107+O1110+O1117+O1128+#REF!=O1105</f>
        <v>#REF!</v>
      </c>
      <c r="AS1128" s="505" t="e">
        <f>P1107+P1110+P1117+P1128+#REF!=P1105</f>
        <v>#REF!</v>
      </c>
      <c r="AT1128" s="505" t="e">
        <f>Q1107+Q1110+Q1117+Q1128+#REF!=Q1105</f>
        <v>#REF!</v>
      </c>
      <c r="AU1128" s="505" t="e">
        <f>R1107+R1110+R1117+R1128+#REF!=R1105</f>
        <v>#REF!</v>
      </c>
      <c r="AV1128" s="505" t="e">
        <f>S1107+S1110+S1117+S1128+#REF!=S1105</f>
        <v>#REF!</v>
      </c>
      <c r="AW1128" s="505" t="e">
        <f>T1107+T1110+T1117+T1128+#REF!=T1105</f>
        <v>#REF!</v>
      </c>
      <c r="AX1128" s="505" t="e">
        <f>U1107+U1110+U1117+U1128+#REF!=U1105</f>
        <v>#REF!</v>
      </c>
      <c r="AY1128" s="505" t="e">
        <f>V1107+V1110+V1117+V1128+#REF!=V1105</f>
        <v>#REF!</v>
      </c>
      <c r="AZ1128" s="505" t="e">
        <f>W1107+W1110+W1117+W1128+#REF!=W1105</f>
        <v>#REF!</v>
      </c>
      <c r="BA1128" s="505" t="e">
        <f>X1107+X1110+X1117+X1128+#REF!=X1105</f>
        <v>#REF!</v>
      </c>
      <c r="BB1128" s="505" t="e">
        <f>Y1107+Y1110+Y1117+Y1128+#REF!=Y1105</f>
        <v>#REF!</v>
      </c>
      <c r="BC1128" s="505" t="e">
        <f>Z1107+Z1110+Z1117+Z1128+#REF!=Z1105</f>
        <v>#REF!</v>
      </c>
      <c r="BD1128" s="505" t="e">
        <f>AA1107+AA1110+AA1117+AA1128+#REF!=AA1105</f>
        <v>#REF!</v>
      </c>
      <c r="BE1128" s="505" t="e">
        <f>AB1107+AB1110+AB1117+AB1128+#REF!=AB1105</f>
        <v>#REF!</v>
      </c>
      <c r="BF1128" s="505" t="e">
        <f>AC1107+AC1110+AC1117+AC1128+#REF!=AC1105</f>
        <v>#REF!</v>
      </c>
      <c r="BG1128" s="505" t="e">
        <f>AD1107+AD1110+AD1117+AD1128+#REF!=AD1105</f>
        <v>#REF!</v>
      </c>
      <c r="BH1128" s="505" t="e">
        <f>AE1107+AE1110+AE1117+AE1128+#REF!=AE1105</f>
        <v>#REF!</v>
      </c>
      <c r="BI1128" s="505" t="e">
        <f>AF1107+AF1110+AF1117+AF1128+#REF!=AF1105</f>
        <v>#REF!</v>
      </c>
      <c r="BJ1128" s="505" t="e">
        <f>AG1107+AG1110+AG1117+AG1128+#REF!=AG1105</f>
        <v>#REF!</v>
      </c>
      <c r="BK1128" s="505" t="e">
        <f>AH1107+AH1110+AH1117+AH1128+#REF!=AH1105</f>
        <v>#REF!</v>
      </c>
      <c r="BL1128" s="506" t="e">
        <f>AI1107+AI1110+AI1117+AI1128+#REF!=AI1105</f>
        <v>#REF!</v>
      </c>
    </row>
    <row r="1129" spans="2:64" outlineLevel="1">
      <c r="B1129" t="str">
        <f t="shared" si="94"/>
        <v>Bio-methane (liquefied) - Energy cost - Africa - USD/ton fuel</v>
      </c>
      <c r="C1129" t="str">
        <f>C1100</f>
        <v>Bio-methane (liquefied)</v>
      </c>
      <c r="D1129" t="s">
        <v>1368</v>
      </c>
      <c r="E1129" t="s">
        <v>838</v>
      </c>
      <c r="F1129" t="s">
        <v>1353</v>
      </c>
      <c r="G1129" s="487" t="str">
        <f t="shared" si="93"/>
        <v>Bio-methane (liquefied)AfricaEnergy cost</v>
      </c>
      <c r="H1129" s="493">
        <v>69.981595126557124</v>
      </c>
      <c r="I1129" s="493">
        <v>61.869476140659096</v>
      </c>
      <c r="J1129" s="493">
        <v>53.7292636721874</v>
      </c>
      <c r="K1129" s="493">
        <v>51.518232281304975</v>
      </c>
      <c r="L1129" s="493">
        <v>49.299369387502331</v>
      </c>
      <c r="M1129" s="493">
        <v>47.072674990779397</v>
      </c>
      <c r="N1129" s="493">
        <v>44.838149091135655</v>
      </c>
      <c r="O1129" s="493">
        <v>42.595791688572248</v>
      </c>
      <c r="P1129" s="493">
        <v>41.371520483968219</v>
      </c>
      <c r="Q1129" s="493">
        <v>40.142877724425517</v>
      </c>
      <c r="R1129" s="493">
        <v>38.909863409943561</v>
      </c>
      <c r="S1129" s="493">
        <v>37.672477540523481</v>
      </c>
      <c r="T1129" s="493">
        <v>36.430720116164863</v>
      </c>
      <c r="U1129" s="493">
        <v>35.876486800484471</v>
      </c>
      <c r="V1129" s="493">
        <v>35.320195865728472</v>
      </c>
      <c r="W1129" s="493">
        <v>34.761847311896595</v>
      </c>
      <c r="X1129" s="493">
        <v>34.201441138989011</v>
      </c>
      <c r="Y1129" s="493">
        <v>33.638977347005977</v>
      </c>
      <c r="Z1129" s="493">
        <v>33.056916576553654</v>
      </c>
      <c r="AA1129" s="493">
        <v>32.4727400157674</v>
      </c>
      <c r="AB1129" s="493">
        <v>31.886447664646887</v>
      </c>
      <c r="AC1129" s="493">
        <v>31.298039523192703</v>
      </c>
      <c r="AD1129" s="493">
        <v>30.707515591404441</v>
      </c>
      <c r="AE1129" s="493">
        <v>30.442389643977016</v>
      </c>
      <c r="AF1129" s="493">
        <v>30.17622520998988</v>
      </c>
      <c r="AG1129" s="493">
        <v>29.909022289442703</v>
      </c>
      <c r="AH1129" s="493">
        <v>29.640780882335655</v>
      </c>
      <c r="AI1129" s="493">
        <v>29.371500988668895</v>
      </c>
    </row>
    <row r="1130" spans="2:64" outlineLevel="1">
      <c r="B1130" t="str">
        <f t="shared" si="94"/>
        <v>Bio-methane (liquefied) - Energy cost - Americas - USD/ton fuel</v>
      </c>
      <c r="C1130" t="str">
        <f>C1100</f>
        <v>Bio-methane (liquefied)</v>
      </c>
      <c r="D1130" t="s">
        <v>1368</v>
      </c>
      <c r="E1130" t="s">
        <v>731</v>
      </c>
      <c r="F1130" t="s">
        <v>1353</v>
      </c>
      <c r="G1130" s="487" t="str">
        <f t="shared" si="93"/>
        <v>Bio-methane (liquefied)AmericasEnergy cost</v>
      </c>
      <c r="H1130" s="493">
        <v>43.970477550141368</v>
      </c>
      <c r="I1130" s="493">
        <v>43.133513877303159</v>
      </c>
      <c r="J1130" s="493">
        <v>42.29343728678333</v>
      </c>
      <c r="K1130" s="493">
        <v>40.818375134299309</v>
      </c>
      <c r="L1130" s="493">
        <v>39.338050928563419</v>
      </c>
      <c r="M1130" s="493">
        <v>37.852464669575596</v>
      </c>
      <c r="N1130" s="493">
        <v>36.361616357336416</v>
      </c>
      <c r="O1130" s="493">
        <v>34.86550599184482</v>
      </c>
      <c r="P1130" s="493">
        <v>34.173561270800185</v>
      </c>
      <c r="Q1130" s="493">
        <v>33.479084323395696</v>
      </c>
      <c r="R1130" s="493">
        <v>32.782075149631332</v>
      </c>
      <c r="S1130" s="493">
        <v>32.082533749507107</v>
      </c>
      <c r="T1130" s="493">
        <v>31.380460123022885</v>
      </c>
      <c r="U1130" s="493">
        <v>30.819243121379898</v>
      </c>
      <c r="V1130" s="493">
        <v>30.25597343476251</v>
      </c>
      <c r="W1130" s="493">
        <v>29.690651063170606</v>
      </c>
      <c r="X1130" s="493">
        <v>29.123276006604488</v>
      </c>
      <c r="Y1130" s="493">
        <v>28.553848265063923</v>
      </c>
      <c r="Z1130" s="493">
        <v>28.35193876026846</v>
      </c>
      <c r="AA1130" s="493">
        <v>28.149202294029187</v>
      </c>
      <c r="AB1130" s="493">
        <v>27.94563886634614</v>
      </c>
      <c r="AC1130" s="493">
        <v>27.741248477219195</v>
      </c>
      <c r="AD1130" s="493">
        <v>27.536031126648442</v>
      </c>
      <c r="AE1130" s="493">
        <v>27.391724926203018</v>
      </c>
      <c r="AF1130" s="493">
        <v>27.246794841881083</v>
      </c>
      <c r="AG1130" s="493">
        <v>27.101240873682528</v>
      </c>
      <c r="AH1130" s="493">
        <v>26.955063021607373</v>
      </c>
      <c r="AI1130" s="493">
        <v>26.808261285655636</v>
      </c>
    </row>
    <row r="1131" spans="2:64" outlineLevel="1">
      <c r="B1131" t="str">
        <f t="shared" si="94"/>
        <v>Bio-methane (liquefied) - Energy cost - Asia - USD/ton fuel</v>
      </c>
      <c r="C1131" t="str">
        <f>C1100</f>
        <v>Bio-methane (liquefied)</v>
      </c>
      <c r="D1131" t="s">
        <v>1368</v>
      </c>
      <c r="E1131" t="s">
        <v>750</v>
      </c>
      <c r="F1131" t="s">
        <v>1353</v>
      </c>
      <c r="G1131" s="487" t="str">
        <f t="shared" si="93"/>
        <v>Bio-methane (liquefied)AsiaEnergy cost</v>
      </c>
      <c r="H1131" s="493">
        <v>77.834080488055108</v>
      </c>
      <c r="I1131" s="493">
        <v>71.115822008006759</v>
      </c>
      <c r="J1131" s="493">
        <v>64.374181237561601</v>
      </c>
      <c r="K1131" s="493">
        <v>62.017950631427631</v>
      </c>
      <c r="L1131" s="493">
        <v>59.653332991887112</v>
      </c>
      <c r="M1131" s="493">
        <v>57.280328318937748</v>
      </c>
      <c r="N1131" s="493">
        <v>54.898936612580677</v>
      </c>
      <c r="O1131" s="493">
        <v>52.509157872817042</v>
      </c>
      <c r="P1131" s="493">
        <v>50.90756034996317</v>
      </c>
      <c r="Q1131" s="493">
        <v>49.300262251599818</v>
      </c>
      <c r="R1131" s="493">
        <v>47.687263577726945</v>
      </c>
      <c r="S1131" s="493">
        <v>46.06856432834347</v>
      </c>
      <c r="T1131" s="493">
        <v>44.444164503449962</v>
      </c>
      <c r="U1131" s="493">
        <v>43.651976207852059</v>
      </c>
      <c r="V1131" s="493">
        <v>42.856889601552574</v>
      </c>
      <c r="W1131" s="493">
        <v>42.058904684551834</v>
      </c>
      <c r="X1131" s="493">
        <v>41.258021456849292</v>
      </c>
      <c r="Y1131" s="493">
        <v>40.454239918445765</v>
      </c>
      <c r="Z1131" s="493">
        <v>39.606725460630514</v>
      </c>
      <c r="AA1131" s="493">
        <v>38.756177259541239</v>
      </c>
      <c r="AB1131" s="493">
        <v>37.902595315177329</v>
      </c>
      <c r="AC1131" s="493">
        <v>37.04597962753936</v>
      </c>
      <c r="AD1131" s="493">
        <v>36.186330196626805</v>
      </c>
      <c r="AE1131" s="493">
        <v>35.822990175790714</v>
      </c>
      <c r="AF1131" s="493">
        <v>35.458258920500349</v>
      </c>
      <c r="AG1131" s="493">
        <v>35.09213643075595</v>
      </c>
      <c r="AH1131" s="493">
        <v>34.72462270655739</v>
      </c>
      <c r="AI1131" s="493">
        <v>34.355717747904563</v>
      </c>
    </row>
    <row r="1132" spans="2:64" outlineLevel="1">
      <c r="B1132" t="str">
        <f t="shared" si="94"/>
        <v>Bio-methane (liquefied) - Energy cost - Europe - USD/ton fuel</v>
      </c>
      <c r="C1132" t="str">
        <f>C1100</f>
        <v>Bio-methane (liquefied)</v>
      </c>
      <c r="D1132" t="s">
        <v>1368</v>
      </c>
      <c r="E1132" t="s">
        <v>720</v>
      </c>
      <c r="F1132" t="s">
        <v>1353</v>
      </c>
      <c r="G1132" s="487" t="str">
        <f t="shared" si="93"/>
        <v>Bio-methane (liquefied)EuropeEnergy cost</v>
      </c>
      <c r="H1132" s="493">
        <v>57.943256879776996</v>
      </c>
      <c r="I1132" s="493">
        <v>55.540702181518348</v>
      </c>
      <c r="J1132" s="493">
        <v>53.129609966639606</v>
      </c>
      <c r="K1132" s="493">
        <v>51.191911235516265</v>
      </c>
      <c r="L1132" s="493">
        <v>49.247314139371603</v>
      </c>
      <c r="M1132" s="493">
        <v>47.295818678206651</v>
      </c>
      <c r="N1132" s="493">
        <v>45.337424852020348</v>
      </c>
      <c r="O1132" s="493">
        <v>43.372132660813818</v>
      </c>
      <c r="P1132" s="493">
        <v>42.595508759449871</v>
      </c>
      <c r="Q1132" s="493">
        <v>41.816018588847896</v>
      </c>
      <c r="R1132" s="493">
        <v>41.033662149006759</v>
      </c>
      <c r="S1132" s="493">
        <v>40.248439439926756</v>
      </c>
      <c r="T1132" s="493">
        <v>39.460350461608165</v>
      </c>
      <c r="U1132" s="493">
        <v>39.014742893973903</v>
      </c>
      <c r="V1132" s="493">
        <v>38.567424017919087</v>
      </c>
      <c r="W1132" s="493">
        <v>38.118393833443605</v>
      </c>
      <c r="X1132" s="493">
        <v>37.667652340547491</v>
      </c>
      <c r="Y1132" s="493">
        <v>37.215199539230433</v>
      </c>
      <c r="Z1132" s="493">
        <v>36.725009927078887</v>
      </c>
      <c r="AA1132" s="493">
        <v>36.232989523875723</v>
      </c>
      <c r="AB1132" s="493">
        <v>35.739138329621177</v>
      </c>
      <c r="AC1132" s="493">
        <v>35.243456344314978</v>
      </c>
      <c r="AD1132" s="493">
        <v>34.745943567957454</v>
      </c>
      <c r="AE1132" s="493">
        <v>34.397088662005487</v>
      </c>
      <c r="AF1132" s="493">
        <v>34.046897973198419</v>
      </c>
      <c r="AG1132" s="493">
        <v>33.695371501536471</v>
      </c>
      <c r="AH1132" s="493">
        <v>33.342509247019528</v>
      </c>
      <c r="AI1132" s="493">
        <v>32.988311209647478</v>
      </c>
    </row>
    <row r="1133" spans="2:64" outlineLevel="1">
      <c r="B1133" t="str">
        <f t="shared" si="94"/>
        <v>Bio-methane (liquefied) - Energy cost - Middle East - USD/ton fuel</v>
      </c>
      <c r="C1133" t="str">
        <f>C1100</f>
        <v>Bio-methane (liquefied)</v>
      </c>
      <c r="D1133" t="s">
        <v>1368</v>
      </c>
      <c r="E1133" t="s">
        <v>826</v>
      </c>
      <c r="F1133" t="s">
        <v>1353</v>
      </c>
      <c r="G1133" s="487" t="str">
        <f t="shared" si="93"/>
        <v>Bio-methane (liquefied)Middle EastEnergy cost</v>
      </c>
      <c r="H1133" s="493">
        <v>44.369744465183125</v>
      </c>
      <c r="I1133" s="493">
        <v>42.484314613959889</v>
      </c>
      <c r="J1133" s="493">
        <v>40.592191285228083</v>
      </c>
      <c r="K1133" s="493">
        <v>39.358366605510518</v>
      </c>
      <c r="L1133" s="493">
        <v>38.120110230380043</v>
      </c>
      <c r="M1133" s="493">
        <v>36.877422159836598</v>
      </c>
      <c r="N1133" s="493">
        <v>35.630302393880221</v>
      </c>
      <c r="O1133" s="493">
        <v>34.378750932510926</v>
      </c>
      <c r="P1133" s="493">
        <v>33.510261962812841</v>
      </c>
      <c r="Q1133" s="493">
        <v>32.638648137158455</v>
      </c>
      <c r="R1133" s="493">
        <v>31.763909455547182</v>
      </c>
      <c r="S1133" s="493">
        <v>30.88604591797959</v>
      </c>
      <c r="T1133" s="493">
        <v>30.00505752445541</v>
      </c>
      <c r="U1133" s="493">
        <v>29.586831420087236</v>
      </c>
      <c r="V1133" s="493">
        <v>29.167038545800349</v>
      </c>
      <c r="W1133" s="493">
        <v>28.745678901594903</v>
      </c>
      <c r="X1133" s="493">
        <v>28.322752487470645</v>
      </c>
      <c r="Y1133" s="493">
        <v>27.89825930342769</v>
      </c>
      <c r="Z1133" s="493">
        <v>27.325095646978163</v>
      </c>
      <c r="AA1133" s="493">
        <v>26.749877334634842</v>
      </c>
      <c r="AB1133" s="493">
        <v>26.172604366397408</v>
      </c>
      <c r="AC1133" s="493">
        <v>25.593276742266163</v>
      </c>
      <c r="AD1133" s="493">
        <v>25.011894462240768</v>
      </c>
      <c r="AE1133" s="493">
        <v>24.760746943588863</v>
      </c>
      <c r="AF1133" s="493">
        <v>24.508637781523692</v>
      </c>
      <c r="AG1133" s="493">
        <v>24.255566976045078</v>
      </c>
      <c r="AH1133" s="493">
        <v>24.001534527153105</v>
      </c>
      <c r="AI1133" s="493">
        <v>23.746540434847862</v>
      </c>
    </row>
    <row r="1134" spans="2:64" ht="15" outlineLevel="1" thickBot="1">
      <c r="B1134" t="str">
        <f t="shared" si="94"/>
        <v/>
      </c>
      <c r="G1134" s="487" t="str">
        <f t="shared" si="93"/>
        <v/>
      </c>
    </row>
    <row r="1135" spans="2:64" ht="15" outlineLevel="1">
      <c r="B1135" t="str">
        <f t="shared" si="94"/>
        <v>Bio-methane (liquefied) - Feedstock cost including feedstock feedstock cost - Africa - USD/ton fuel</v>
      </c>
      <c r="C1135" s="494" t="str">
        <f>C1111</f>
        <v>Bio-methane (liquefied)</v>
      </c>
      <c r="D1135" s="494" t="s">
        <v>1369</v>
      </c>
      <c r="E1135" s="494" t="s">
        <v>838</v>
      </c>
      <c r="F1135" s="494" t="s">
        <v>1353</v>
      </c>
      <c r="G1135" s="487" t="str">
        <f t="shared" si="93"/>
        <v>Bio-methane (liquefied)AfricaFeedstock cost including feedstock feedstock cost</v>
      </c>
      <c r="H1135" s="495">
        <v>249.3428820324732</v>
      </c>
      <c r="I1135" s="495">
        <v>241.48388189628835</v>
      </c>
      <c r="J1135" s="495">
        <v>234.04488176010346</v>
      </c>
      <c r="K1135" s="495">
        <v>230.9858816239186</v>
      </c>
      <c r="L1135" s="495">
        <v>228.01688148773368</v>
      </c>
      <c r="M1135" s="495">
        <v>225.13788135154877</v>
      </c>
      <c r="N1135" s="495">
        <v>222.34888121536383</v>
      </c>
      <c r="O1135" s="495">
        <v>219.64988107917867</v>
      </c>
      <c r="P1135" s="495">
        <v>217.8958809429943</v>
      </c>
      <c r="Q1135" s="495">
        <v>216.14188080680935</v>
      </c>
      <c r="R1135" s="495">
        <v>214.38788067062438</v>
      </c>
      <c r="S1135" s="495">
        <v>212.63388053443921</v>
      </c>
      <c r="T1135" s="495">
        <v>210.87988039825427</v>
      </c>
      <c r="U1135" s="495">
        <v>209.12588026206933</v>
      </c>
      <c r="V1135" s="495">
        <v>207.3718801258847</v>
      </c>
      <c r="W1135" s="495">
        <v>205.61787998969956</v>
      </c>
      <c r="X1135" s="495">
        <v>203.86387985351459</v>
      </c>
      <c r="Y1135" s="495">
        <v>202.10987971732942</v>
      </c>
      <c r="Z1135" s="495">
        <v>200.35587958114482</v>
      </c>
      <c r="AA1135" s="495">
        <v>198.60187944495965</v>
      </c>
      <c r="AB1135" s="495">
        <v>196.84787930877471</v>
      </c>
      <c r="AC1135" s="495">
        <v>195.09387917258977</v>
      </c>
      <c r="AD1135" s="495">
        <v>193.3398790364048</v>
      </c>
      <c r="AE1135" s="495">
        <v>191.58587890022</v>
      </c>
      <c r="AF1135" s="495">
        <v>189.83187876403505</v>
      </c>
      <c r="AG1135" s="495">
        <v>188.07787862785011</v>
      </c>
      <c r="AH1135" s="495">
        <v>186.32387849166514</v>
      </c>
      <c r="AI1135" s="495">
        <v>184.5698783554802</v>
      </c>
      <c r="AK1135" s="499" t="b">
        <f t="shared" ref="AK1135:BL1135" si="95">H1118+H1121+H1124+H1135+H1405=H1112</f>
        <v>0</v>
      </c>
      <c r="AL1135" s="500" t="b">
        <f t="shared" si="95"/>
        <v>0</v>
      </c>
      <c r="AM1135" s="500" t="b">
        <f t="shared" si="95"/>
        <v>0</v>
      </c>
      <c r="AN1135" s="500" t="b">
        <f t="shared" si="95"/>
        <v>0</v>
      </c>
      <c r="AO1135" s="500" t="b">
        <f t="shared" si="95"/>
        <v>0</v>
      </c>
      <c r="AP1135" s="500" t="b">
        <f t="shared" si="95"/>
        <v>0</v>
      </c>
      <c r="AQ1135" s="500" t="b">
        <f t="shared" si="95"/>
        <v>0</v>
      </c>
      <c r="AR1135" s="500" t="b">
        <f t="shared" si="95"/>
        <v>0</v>
      </c>
      <c r="AS1135" s="500" t="b">
        <f t="shared" si="95"/>
        <v>0</v>
      </c>
      <c r="AT1135" s="500" t="b">
        <f t="shared" si="95"/>
        <v>0</v>
      </c>
      <c r="AU1135" s="500" t="b">
        <f t="shared" si="95"/>
        <v>0</v>
      </c>
      <c r="AV1135" s="500" t="b">
        <f t="shared" si="95"/>
        <v>0</v>
      </c>
      <c r="AW1135" s="500" t="b">
        <f t="shared" si="95"/>
        <v>0</v>
      </c>
      <c r="AX1135" s="500" t="b">
        <f t="shared" si="95"/>
        <v>0</v>
      </c>
      <c r="AY1135" s="500" t="b">
        <f t="shared" si="95"/>
        <v>0</v>
      </c>
      <c r="AZ1135" s="500" t="b">
        <f t="shared" si="95"/>
        <v>0</v>
      </c>
      <c r="BA1135" s="500" t="b">
        <f t="shared" si="95"/>
        <v>0</v>
      </c>
      <c r="BB1135" s="500" t="b">
        <f t="shared" si="95"/>
        <v>0</v>
      </c>
      <c r="BC1135" s="500" t="b">
        <f t="shared" si="95"/>
        <v>0</v>
      </c>
      <c r="BD1135" s="500" t="b">
        <f t="shared" si="95"/>
        <v>0</v>
      </c>
      <c r="BE1135" s="500" t="b">
        <f t="shared" si="95"/>
        <v>0</v>
      </c>
      <c r="BF1135" s="500" t="b">
        <f t="shared" si="95"/>
        <v>0</v>
      </c>
      <c r="BG1135" s="500" t="b">
        <f t="shared" si="95"/>
        <v>0</v>
      </c>
      <c r="BH1135" s="500" t="b">
        <f t="shared" si="95"/>
        <v>0</v>
      </c>
      <c r="BI1135" s="500" t="b">
        <f t="shared" si="95"/>
        <v>0</v>
      </c>
      <c r="BJ1135" s="500" t="b">
        <f t="shared" si="95"/>
        <v>0</v>
      </c>
      <c r="BK1135" s="500" t="b">
        <f t="shared" si="95"/>
        <v>0</v>
      </c>
      <c r="BL1135" s="501" t="b">
        <f t="shared" si="95"/>
        <v>0</v>
      </c>
    </row>
    <row r="1136" spans="2:64" ht="15" outlineLevel="1">
      <c r="B1136" t="str">
        <f t="shared" si="94"/>
        <v>Bio-methane (liquefied) - Feedstock cost including feedstock feedstock cost - Americas - USD/ton fuel</v>
      </c>
      <c r="C1136" s="22" t="str">
        <f>C1111</f>
        <v>Bio-methane (liquefied)</v>
      </c>
      <c r="D1136" s="22" t="s">
        <v>1369</v>
      </c>
      <c r="E1136" s="22" t="s">
        <v>731</v>
      </c>
      <c r="F1136" s="22" t="s">
        <v>1353</v>
      </c>
      <c r="G1136" s="487" t="str">
        <f t="shared" si="93"/>
        <v>Bio-methane (liquefied)AmericasFeedstock cost including feedstock feedstock cost</v>
      </c>
      <c r="H1136" s="496">
        <v>226.60888203247345</v>
      </c>
      <c r="I1136" s="496">
        <v>224.42788189628848</v>
      </c>
      <c r="J1136" s="496">
        <v>222.29488176010349</v>
      </c>
      <c r="K1136" s="496">
        <v>220.73788162391878</v>
      </c>
      <c r="L1136" s="496">
        <v>219.1848814877338</v>
      </c>
      <c r="M1136" s="496">
        <v>217.63588135154885</v>
      </c>
      <c r="N1136" s="496">
        <v>216.09088121536385</v>
      </c>
      <c r="O1136" s="496">
        <v>214.54988107917876</v>
      </c>
      <c r="P1136" s="496">
        <v>213.16488094299427</v>
      </c>
      <c r="Q1136" s="496">
        <v>211.76788080680927</v>
      </c>
      <c r="R1136" s="496">
        <v>210.3588806706243</v>
      </c>
      <c r="S1136" s="496">
        <v>208.93788053443922</v>
      </c>
      <c r="T1136" s="496">
        <v>207.50488039825424</v>
      </c>
      <c r="U1136" s="496">
        <v>205.97588026206927</v>
      </c>
      <c r="V1136" s="496">
        <v>204.44688012588463</v>
      </c>
      <c r="W1136" s="496">
        <v>202.91787998969954</v>
      </c>
      <c r="X1136" s="496">
        <v>201.38887985351457</v>
      </c>
      <c r="Y1136" s="496">
        <v>199.85987971732948</v>
      </c>
      <c r="Z1136" s="496">
        <v>198.33087958114484</v>
      </c>
      <c r="AA1136" s="496">
        <v>196.80187944495975</v>
      </c>
      <c r="AB1136" s="496">
        <v>195.27287930877478</v>
      </c>
      <c r="AC1136" s="496">
        <v>193.7438791725898</v>
      </c>
      <c r="AD1136" s="496">
        <v>192.21487903640482</v>
      </c>
      <c r="AE1136" s="496">
        <v>190.6858789002201</v>
      </c>
      <c r="AF1136" s="496">
        <v>189.15687876403513</v>
      </c>
      <c r="AG1136" s="496">
        <v>187.62787862785015</v>
      </c>
      <c r="AH1136" s="496">
        <v>186.09887849166518</v>
      </c>
      <c r="AI1136" s="496">
        <v>184.5698783554802</v>
      </c>
      <c r="AK1136" s="502" t="b">
        <f t="shared" ref="AK1136:BL1136" si="96">H1118+H1121+H1125+H1136+H1405=H1113</f>
        <v>0</v>
      </c>
      <c r="AL1136" s="106" t="b">
        <f t="shared" si="96"/>
        <v>0</v>
      </c>
      <c r="AM1136" s="106" t="b">
        <f t="shared" si="96"/>
        <v>0</v>
      </c>
      <c r="AN1136" s="106" t="b">
        <f t="shared" si="96"/>
        <v>0</v>
      </c>
      <c r="AO1136" s="106" t="b">
        <f t="shared" si="96"/>
        <v>0</v>
      </c>
      <c r="AP1136" s="106" t="b">
        <f t="shared" si="96"/>
        <v>0</v>
      </c>
      <c r="AQ1136" s="106" t="b">
        <f t="shared" si="96"/>
        <v>0</v>
      </c>
      <c r="AR1136" s="106" t="b">
        <f t="shared" si="96"/>
        <v>0</v>
      </c>
      <c r="AS1136" s="106" t="b">
        <f t="shared" si="96"/>
        <v>0</v>
      </c>
      <c r="AT1136" s="106" t="b">
        <f t="shared" si="96"/>
        <v>0</v>
      </c>
      <c r="AU1136" s="106" t="b">
        <f t="shared" si="96"/>
        <v>0</v>
      </c>
      <c r="AV1136" s="106" t="b">
        <f t="shared" si="96"/>
        <v>0</v>
      </c>
      <c r="AW1136" s="106" t="b">
        <f t="shared" si="96"/>
        <v>0</v>
      </c>
      <c r="AX1136" s="106" t="b">
        <f t="shared" si="96"/>
        <v>0</v>
      </c>
      <c r="AY1136" s="106" t="b">
        <f t="shared" si="96"/>
        <v>0</v>
      </c>
      <c r="AZ1136" s="106" t="b">
        <f t="shared" si="96"/>
        <v>0</v>
      </c>
      <c r="BA1136" s="106" t="b">
        <f t="shared" si="96"/>
        <v>0</v>
      </c>
      <c r="BB1136" s="106" t="b">
        <f t="shared" si="96"/>
        <v>0</v>
      </c>
      <c r="BC1136" s="106" t="b">
        <f t="shared" si="96"/>
        <v>0</v>
      </c>
      <c r="BD1136" s="106" t="b">
        <f t="shared" si="96"/>
        <v>0</v>
      </c>
      <c r="BE1136" s="106" t="b">
        <f t="shared" si="96"/>
        <v>0</v>
      </c>
      <c r="BF1136" s="106" t="b">
        <f t="shared" si="96"/>
        <v>0</v>
      </c>
      <c r="BG1136" s="106" t="b">
        <f t="shared" si="96"/>
        <v>0</v>
      </c>
      <c r="BH1136" s="106" t="b">
        <f t="shared" si="96"/>
        <v>0</v>
      </c>
      <c r="BI1136" s="106" t="b">
        <f t="shared" si="96"/>
        <v>0</v>
      </c>
      <c r="BJ1136" s="106" t="b">
        <f t="shared" si="96"/>
        <v>0</v>
      </c>
      <c r="BK1136" s="106" t="b">
        <f t="shared" si="96"/>
        <v>0</v>
      </c>
      <c r="BL1136" s="503" t="b">
        <f t="shared" si="96"/>
        <v>0</v>
      </c>
    </row>
    <row r="1137" spans="2:64" ht="15" outlineLevel="1">
      <c r="B1137" t="str">
        <f t="shared" si="94"/>
        <v>Bio-methane (liquefied) - Feedstock cost including feedstock feedstock cost - Asia - USD/ton fuel</v>
      </c>
      <c r="C1137" s="22" t="str">
        <f>C1111</f>
        <v>Bio-methane (liquefied)</v>
      </c>
      <c r="D1137" s="22" t="s">
        <v>1369</v>
      </c>
      <c r="E1137" s="22" t="s">
        <v>750</v>
      </c>
      <c r="F1137" s="22" t="s">
        <v>1353</v>
      </c>
      <c r="G1137" s="487" t="str">
        <f t="shared" si="93"/>
        <v>Bio-methane (liquefied)AsiaFeedstock cost including feedstock feedstock cost</v>
      </c>
      <c r="H1137" s="496">
        <v>248.1278820324732</v>
      </c>
      <c r="I1137" s="496">
        <v>241.22388189628833</v>
      </c>
      <c r="J1137" s="496">
        <v>234.66988176010346</v>
      </c>
      <c r="K1137" s="496">
        <v>230.8658816239186</v>
      </c>
      <c r="L1137" s="496">
        <v>227.21188148773371</v>
      </c>
      <c r="M1137" s="496">
        <v>223.70788135154876</v>
      </c>
      <c r="N1137" s="496">
        <v>220.35388121536383</v>
      </c>
      <c r="O1137" s="496">
        <v>217.14988107917873</v>
      </c>
      <c r="P1137" s="496">
        <v>215.52088094299427</v>
      </c>
      <c r="Q1137" s="496">
        <v>213.89188080680933</v>
      </c>
      <c r="R1137" s="496">
        <v>212.26288067062436</v>
      </c>
      <c r="S1137" s="496">
        <v>210.63388053443921</v>
      </c>
      <c r="T1137" s="496">
        <v>209.00488039825427</v>
      </c>
      <c r="U1137" s="496">
        <v>207.3758802620693</v>
      </c>
      <c r="V1137" s="496">
        <v>205.74688012588467</v>
      </c>
      <c r="W1137" s="496">
        <v>204.11787998969956</v>
      </c>
      <c r="X1137" s="496">
        <v>202.48887985351459</v>
      </c>
      <c r="Y1137" s="496">
        <v>200.85987971732945</v>
      </c>
      <c r="Z1137" s="496">
        <v>199.23087958114485</v>
      </c>
      <c r="AA1137" s="496">
        <v>197.60187944495971</v>
      </c>
      <c r="AB1137" s="496">
        <v>195.97287930877474</v>
      </c>
      <c r="AC1137" s="496">
        <v>194.34387917258979</v>
      </c>
      <c r="AD1137" s="496">
        <v>192.71487903640482</v>
      </c>
      <c r="AE1137" s="496">
        <v>191.08587890022005</v>
      </c>
      <c r="AF1137" s="496">
        <v>189.45687876403511</v>
      </c>
      <c r="AG1137" s="496">
        <v>187.82787862785014</v>
      </c>
      <c r="AH1137" s="496">
        <v>186.19887849166517</v>
      </c>
      <c r="AI1137" s="496">
        <v>184.5698783554802</v>
      </c>
      <c r="AK1137" s="502" t="b">
        <f t="shared" ref="AK1137:BL1137" si="97">H1118+H1121+H1126+H1137+H1405=H1114</f>
        <v>0</v>
      </c>
      <c r="AL1137" s="106" t="b">
        <f t="shared" si="97"/>
        <v>0</v>
      </c>
      <c r="AM1137" s="106" t="b">
        <f t="shared" si="97"/>
        <v>0</v>
      </c>
      <c r="AN1137" s="106" t="b">
        <f t="shared" si="97"/>
        <v>0</v>
      </c>
      <c r="AO1137" s="106" t="b">
        <f t="shared" si="97"/>
        <v>0</v>
      </c>
      <c r="AP1137" s="106" t="b">
        <f t="shared" si="97"/>
        <v>0</v>
      </c>
      <c r="AQ1137" s="106" t="b">
        <f t="shared" si="97"/>
        <v>0</v>
      </c>
      <c r="AR1137" s="106" t="b">
        <f t="shared" si="97"/>
        <v>0</v>
      </c>
      <c r="AS1137" s="106" t="b">
        <f t="shared" si="97"/>
        <v>0</v>
      </c>
      <c r="AT1137" s="106" t="b">
        <f t="shared" si="97"/>
        <v>0</v>
      </c>
      <c r="AU1137" s="106" t="b">
        <f t="shared" si="97"/>
        <v>0</v>
      </c>
      <c r="AV1137" s="106" t="b">
        <f t="shared" si="97"/>
        <v>0</v>
      </c>
      <c r="AW1137" s="106" t="b">
        <f t="shared" si="97"/>
        <v>0</v>
      </c>
      <c r="AX1137" s="106" t="b">
        <f t="shared" si="97"/>
        <v>0</v>
      </c>
      <c r="AY1137" s="106" t="b">
        <f t="shared" si="97"/>
        <v>0</v>
      </c>
      <c r="AZ1137" s="106" t="b">
        <f t="shared" si="97"/>
        <v>0</v>
      </c>
      <c r="BA1137" s="106" t="b">
        <f t="shared" si="97"/>
        <v>0</v>
      </c>
      <c r="BB1137" s="106" t="b">
        <f t="shared" si="97"/>
        <v>0</v>
      </c>
      <c r="BC1137" s="106" t="b">
        <f t="shared" si="97"/>
        <v>0</v>
      </c>
      <c r="BD1137" s="106" t="b">
        <f t="shared" si="97"/>
        <v>0</v>
      </c>
      <c r="BE1137" s="106" t="b">
        <f t="shared" si="97"/>
        <v>0</v>
      </c>
      <c r="BF1137" s="106" t="b">
        <f t="shared" si="97"/>
        <v>0</v>
      </c>
      <c r="BG1137" s="106" t="b">
        <f t="shared" si="97"/>
        <v>0</v>
      </c>
      <c r="BH1137" s="106" t="b">
        <f t="shared" si="97"/>
        <v>0</v>
      </c>
      <c r="BI1137" s="106" t="b">
        <f t="shared" si="97"/>
        <v>0</v>
      </c>
      <c r="BJ1137" s="106" t="b">
        <f t="shared" si="97"/>
        <v>0</v>
      </c>
      <c r="BK1137" s="106" t="b">
        <f t="shared" si="97"/>
        <v>0</v>
      </c>
      <c r="BL1137" s="503" t="b">
        <f t="shared" si="97"/>
        <v>0</v>
      </c>
    </row>
    <row r="1138" spans="2:64" ht="15" outlineLevel="1">
      <c r="B1138" t="str">
        <f t="shared" si="94"/>
        <v>Bio-methane (liquefied) - Feedstock cost including feedstock feedstock cost - Europe - USD/ton fuel</v>
      </c>
      <c r="C1138" s="22" t="str">
        <f>C1111</f>
        <v>Bio-methane (liquefied)</v>
      </c>
      <c r="D1138" s="22" t="s">
        <v>1369</v>
      </c>
      <c r="E1138" s="22" t="s">
        <v>720</v>
      </c>
      <c r="F1138" s="22" t="s">
        <v>1353</v>
      </c>
      <c r="G1138" s="487" t="str">
        <f t="shared" si="93"/>
        <v>Bio-methane (liquefied)EuropeFeedstock cost including feedstock feedstock cost</v>
      </c>
      <c r="H1138" s="496">
        <v>249.3428820324732</v>
      </c>
      <c r="I1138" s="496">
        <v>241.48388189628835</v>
      </c>
      <c r="J1138" s="496">
        <v>234.04488176010346</v>
      </c>
      <c r="K1138" s="496">
        <v>230.9858816239186</v>
      </c>
      <c r="L1138" s="496">
        <v>228.01688148773368</v>
      </c>
      <c r="M1138" s="496">
        <v>225.13788135154877</v>
      </c>
      <c r="N1138" s="496">
        <v>222.34888121536383</v>
      </c>
      <c r="O1138" s="496">
        <v>219.64988107917867</v>
      </c>
      <c r="P1138" s="496">
        <v>217.8958809429943</v>
      </c>
      <c r="Q1138" s="496">
        <v>216.14188080680935</v>
      </c>
      <c r="R1138" s="496">
        <v>214.38788067062438</v>
      </c>
      <c r="S1138" s="496">
        <v>212.63388053443921</v>
      </c>
      <c r="T1138" s="496">
        <v>210.87988039825427</v>
      </c>
      <c r="U1138" s="496">
        <v>209.12588026206933</v>
      </c>
      <c r="V1138" s="496">
        <v>207.3718801258847</v>
      </c>
      <c r="W1138" s="496">
        <v>205.61787998969956</v>
      </c>
      <c r="X1138" s="496">
        <v>203.86387985351459</v>
      </c>
      <c r="Y1138" s="496">
        <v>202.10987971732942</v>
      </c>
      <c r="Z1138" s="496">
        <v>200.35587958114482</v>
      </c>
      <c r="AA1138" s="496">
        <v>198.60187944495965</v>
      </c>
      <c r="AB1138" s="496">
        <v>196.84787930877471</v>
      </c>
      <c r="AC1138" s="496">
        <v>195.09387917258977</v>
      </c>
      <c r="AD1138" s="496">
        <v>193.3398790364048</v>
      </c>
      <c r="AE1138" s="496">
        <v>191.58587890022</v>
      </c>
      <c r="AF1138" s="496">
        <v>189.83187876403505</v>
      </c>
      <c r="AG1138" s="496">
        <v>188.07787862785011</v>
      </c>
      <c r="AH1138" s="496">
        <v>186.32387849166514</v>
      </c>
      <c r="AI1138" s="496">
        <v>184.5698783554802</v>
      </c>
      <c r="AK1138" s="502" t="b">
        <f t="shared" ref="AK1138:BL1138" si="98">H1118+H1121+H1127+H1138+H1405=H1115</f>
        <v>0</v>
      </c>
      <c r="AL1138" s="106" t="b">
        <f t="shared" si="98"/>
        <v>0</v>
      </c>
      <c r="AM1138" s="106" t="b">
        <f t="shared" si="98"/>
        <v>0</v>
      </c>
      <c r="AN1138" s="106" t="b">
        <f t="shared" si="98"/>
        <v>0</v>
      </c>
      <c r="AO1138" s="106" t="b">
        <f t="shared" si="98"/>
        <v>0</v>
      </c>
      <c r="AP1138" s="106" t="b">
        <f t="shared" si="98"/>
        <v>0</v>
      </c>
      <c r="AQ1138" s="106" t="b">
        <f t="shared" si="98"/>
        <v>0</v>
      </c>
      <c r="AR1138" s="106" t="b">
        <f t="shared" si="98"/>
        <v>0</v>
      </c>
      <c r="AS1138" s="106" t="b">
        <f t="shared" si="98"/>
        <v>0</v>
      </c>
      <c r="AT1138" s="106" t="b">
        <f t="shared" si="98"/>
        <v>0</v>
      </c>
      <c r="AU1138" s="106" t="b">
        <f t="shared" si="98"/>
        <v>0</v>
      </c>
      <c r="AV1138" s="106" t="b">
        <f t="shared" si="98"/>
        <v>0</v>
      </c>
      <c r="AW1138" s="106" t="b">
        <f t="shared" si="98"/>
        <v>0</v>
      </c>
      <c r="AX1138" s="106" t="b">
        <f t="shared" si="98"/>
        <v>0</v>
      </c>
      <c r="AY1138" s="106" t="b">
        <f t="shared" si="98"/>
        <v>0</v>
      </c>
      <c r="AZ1138" s="106" t="b">
        <f t="shared" si="98"/>
        <v>0</v>
      </c>
      <c r="BA1138" s="106" t="b">
        <f t="shared" si="98"/>
        <v>0</v>
      </c>
      <c r="BB1138" s="106" t="b">
        <f t="shared" si="98"/>
        <v>0</v>
      </c>
      <c r="BC1138" s="106" t="b">
        <f t="shared" si="98"/>
        <v>0</v>
      </c>
      <c r="BD1138" s="106" t="b">
        <f t="shared" si="98"/>
        <v>0</v>
      </c>
      <c r="BE1138" s="106" t="b">
        <f t="shared" si="98"/>
        <v>0</v>
      </c>
      <c r="BF1138" s="106" t="b">
        <f t="shared" si="98"/>
        <v>0</v>
      </c>
      <c r="BG1138" s="106" t="b">
        <f t="shared" si="98"/>
        <v>0</v>
      </c>
      <c r="BH1138" s="106" t="b">
        <f t="shared" si="98"/>
        <v>0</v>
      </c>
      <c r="BI1138" s="106" t="b">
        <f t="shared" si="98"/>
        <v>0</v>
      </c>
      <c r="BJ1138" s="106" t="b">
        <f t="shared" si="98"/>
        <v>0</v>
      </c>
      <c r="BK1138" s="106" t="b">
        <f t="shared" si="98"/>
        <v>0</v>
      </c>
      <c r="BL1138" s="503" t="b">
        <f t="shared" si="98"/>
        <v>0</v>
      </c>
    </row>
    <row r="1139" spans="2:64" ht="15.75" outlineLevel="1" thickBot="1">
      <c r="B1139" t="str">
        <f t="shared" si="94"/>
        <v>Bio-methane (liquefied) - Feedstock cost including feedstock feedstock cost - Middle East - USD/ton fuel</v>
      </c>
      <c r="C1139" s="92" t="str">
        <f>C1111</f>
        <v>Bio-methane (liquefied)</v>
      </c>
      <c r="D1139" s="92" t="s">
        <v>1369</v>
      </c>
      <c r="E1139" s="92" t="s">
        <v>826</v>
      </c>
      <c r="F1139" s="92" t="s">
        <v>1353</v>
      </c>
      <c r="G1139" s="487" t="str">
        <f t="shared" si="93"/>
        <v>Bio-methane (liquefied)Middle EastFeedstock cost including feedstock feedstock cost</v>
      </c>
      <c r="H1139" s="497">
        <v>242.72788203247325</v>
      </c>
      <c r="I1139" s="497">
        <v>236.0238818962884</v>
      </c>
      <c r="J1139" s="497">
        <v>229.66988176010346</v>
      </c>
      <c r="K1139" s="497">
        <v>226.0418816239187</v>
      </c>
      <c r="L1139" s="497">
        <v>222.56588148773378</v>
      </c>
      <c r="M1139" s="497">
        <v>219.24188135154881</v>
      </c>
      <c r="N1139" s="497">
        <v>216.06988121536386</v>
      </c>
      <c r="O1139" s="497">
        <v>213.04988107917882</v>
      </c>
      <c r="P1139" s="497">
        <v>211.62588094299426</v>
      </c>
      <c r="Q1139" s="497">
        <v>210.20188080680927</v>
      </c>
      <c r="R1139" s="497">
        <v>208.77788067062428</v>
      </c>
      <c r="S1139" s="497">
        <v>207.35388053443921</v>
      </c>
      <c r="T1139" s="497">
        <v>205.92988039825423</v>
      </c>
      <c r="U1139" s="497">
        <v>204.50588026206924</v>
      </c>
      <c r="V1139" s="497">
        <v>203.0818801258846</v>
      </c>
      <c r="W1139" s="497">
        <v>201.65787998969955</v>
      </c>
      <c r="X1139" s="497">
        <v>200.23387985351457</v>
      </c>
      <c r="Y1139" s="497">
        <v>198.80987971732949</v>
      </c>
      <c r="Z1139" s="497">
        <v>197.38587958114485</v>
      </c>
      <c r="AA1139" s="497">
        <v>195.96187944495981</v>
      </c>
      <c r="AB1139" s="497">
        <v>194.53787930877482</v>
      </c>
      <c r="AC1139" s="497">
        <v>193.11387917258983</v>
      </c>
      <c r="AD1139" s="497">
        <v>191.68987903640485</v>
      </c>
      <c r="AE1139" s="497">
        <v>190.26587890022014</v>
      </c>
      <c r="AF1139" s="497">
        <v>188.84187876403516</v>
      </c>
      <c r="AG1139" s="497">
        <v>187.41787862785017</v>
      </c>
      <c r="AH1139" s="497">
        <v>185.99387849166519</v>
      </c>
      <c r="AI1139" s="497">
        <v>184.5698783554802</v>
      </c>
      <c r="AK1139" s="504" t="b">
        <f t="shared" ref="AK1139:BL1139" si="99">H1118+H1121+H1128+H1139+H1405=H1116</f>
        <v>0</v>
      </c>
      <c r="AL1139" s="505" t="b">
        <f t="shared" si="99"/>
        <v>0</v>
      </c>
      <c r="AM1139" s="505" t="b">
        <f t="shared" si="99"/>
        <v>0</v>
      </c>
      <c r="AN1139" s="505" t="b">
        <f t="shared" si="99"/>
        <v>0</v>
      </c>
      <c r="AO1139" s="505" t="b">
        <f t="shared" si="99"/>
        <v>0</v>
      </c>
      <c r="AP1139" s="505" t="b">
        <f t="shared" si="99"/>
        <v>0</v>
      </c>
      <c r="AQ1139" s="505" t="b">
        <f t="shared" si="99"/>
        <v>0</v>
      </c>
      <c r="AR1139" s="505" t="b">
        <f t="shared" si="99"/>
        <v>0</v>
      </c>
      <c r="AS1139" s="505" t="b">
        <f t="shared" si="99"/>
        <v>0</v>
      </c>
      <c r="AT1139" s="505" t="b">
        <f t="shared" si="99"/>
        <v>0</v>
      </c>
      <c r="AU1139" s="505" t="b">
        <f t="shared" si="99"/>
        <v>0</v>
      </c>
      <c r="AV1139" s="505" t="b">
        <f t="shared" si="99"/>
        <v>0</v>
      </c>
      <c r="AW1139" s="505" t="b">
        <f t="shared" si="99"/>
        <v>0</v>
      </c>
      <c r="AX1139" s="505" t="b">
        <f t="shared" si="99"/>
        <v>0</v>
      </c>
      <c r="AY1139" s="505" t="b">
        <f t="shared" si="99"/>
        <v>0</v>
      </c>
      <c r="AZ1139" s="505" t="b">
        <f t="shared" si="99"/>
        <v>0</v>
      </c>
      <c r="BA1139" s="505" t="b">
        <f t="shared" si="99"/>
        <v>0</v>
      </c>
      <c r="BB1139" s="505" t="b">
        <f t="shared" si="99"/>
        <v>0</v>
      </c>
      <c r="BC1139" s="505" t="b">
        <f t="shared" si="99"/>
        <v>0</v>
      </c>
      <c r="BD1139" s="505" t="b">
        <f t="shared" si="99"/>
        <v>0</v>
      </c>
      <c r="BE1139" s="505" t="b">
        <f t="shared" si="99"/>
        <v>0</v>
      </c>
      <c r="BF1139" s="505" t="b">
        <f t="shared" si="99"/>
        <v>0</v>
      </c>
      <c r="BG1139" s="505" t="b">
        <f t="shared" si="99"/>
        <v>0</v>
      </c>
      <c r="BH1139" s="505" t="b">
        <f t="shared" si="99"/>
        <v>0</v>
      </c>
      <c r="BI1139" s="505" t="b">
        <f t="shared" si="99"/>
        <v>0</v>
      </c>
      <c r="BJ1139" s="505" t="b">
        <f t="shared" si="99"/>
        <v>0</v>
      </c>
      <c r="BK1139" s="505" t="b">
        <f t="shared" si="99"/>
        <v>0</v>
      </c>
      <c r="BL1139" s="506" t="b">
        <f t="shared" si="99"/>
        <v>0</v>
      </c>
    </row>
    <row r="1140" spans="2:64" outlineLevel="1">
      <c r="B1140" t="str">
        <f t="shared" si="94"/>
        <v>Bio-methane (liquefied) - Feedstock cost - Africa - USD/ton fuel</v>
      </c>
      <c r="C1140" t="str">
        <f>C1111</f>
        <v>Bio-methane (liquefied)</v>
      </c>
      <c r="D1140" t="s">
        <v>1371</v>
      </c>
      <c r="E1140" t="s">
        <v>838</v>
      </c>
      <c r="F1140" t="s">
        <v>1353</v>
      </c>
      <c r="G1140" s="487" t="str">
        <f t="shared" si="93"/>
        <v>Bio-methane (liquefied)AfricaFeedstock cost</v>
      </c>
      <c r="H1140" s="493">
        <v>249.3428820324732</v>
      </c>
      <c r="I1140" s="493">
        <v>241.48388189628835</v>
      </c>
      <c r="J1140" s="493">
        <v>234.04488176010346</v>
      </c>
      <c r="K1140" s="493">
        <v>230.9858816239186</v>
      </c>
      <c r="L1140" s="493">
        <v>228.01688148773368</v>
      </c>
      <c r="M1140" s="493">
        <v>225.13788135154877</v>
      </c>
      <c r="N1140" s="493">
        <v>222.34888121536383</v>
      </c>
      <c r="O1140" s="493">
        <v>219.64988107917867</v>
      </c>
      <c r="P1140" s="493">
        <v>217.8958809429943</v>
      </c>
      <c r="Q1140" s="493">
        <v>216.14188080680935</v>
      </c>
      <c r="R1140" s="493">
        <v>214.38788067062438</v>
      </c>
      <c r="S1140" s="493">
        <v>212.63388053443921</v>
      </c>
      <c r="T1140" s="493">
        <v>210.87988039825427</v>
      </c>
      <c r="U1140" s="493">
        <v>209.12588026206933</v>
      </c>
      <c r="V1140" s="493">
        <v>207.3718801258847</v>
      </c>
      <c r="W1140" s="493">
        <v>205.61787998969956</v>
      </c>
      <c r="X1140" s="493">
        <v>203.86387985351459</v>
      </c>
      <c r="Y1140" s="493">
        <v>202.10987971732942</v>
      </c>
      <c r="Z1140" s="493">
        <v>200.35587958114482</v>
      </c>
      <c r="AA1140" s="493">
        <v>198.60187944495965</v>
      </c>
      <c r="AB1140" s="493">
        <v>196.84787930877471</v>
      </c>
      <c r="AC1140" s="493">
        <v>195.09387917258977</v>
      </c>
      <c r="AD1140" s="493">
        <v>193.3398790364048</v>
      </c>
      <c r="AE1140" s="493">
        <v>191.58587890022</v>
      </c>
      <c r="AF1140" s="493">
        <v>189.83187876403505</v>
      </c>
      <c r="AG1140" s="493">
        <v>188.07787862785011</v>
      </c>
      <c r="AH1140" s="493">
        <v>186.32387849166514</v>
      </c>
      <c r="AI1140" s="493">
        <v>184.5698783554802</v>
      </c>
    </row>
    <row r="1141" spans="2:64" outlineLevel="1">
      <c r="B1141" t="str">
        <f t="shared" si="94"/>
        <v>Bio-methane (liquefied) - Feedstock cost - Americas - USD/ton fuel</v>
      </c>
      <c r="C1141" t="str">
        <f>C1111</f>
        <v>Bio-methane (liquefied)</v>
      </c>
      <c r="D1141" t="s">
        <v>1371</v>
      </c>
      <c r="E1141" t="s">
        <v>731</v>
      </c>
      <c r="F1141" t="s">
        <v>1353</v>
      </c>
      <c r="G1141" s="487" t="str">
        <f t="shared" si="93"/>
        <v>Bio-methane (liquefied)AmericasFeedstock cost</v>
      </c>
      <c r="H1141" s="493">
        <v>226.60888203247345</v>
      </c>
      <c r="I1141" s="493">
        <v>224.42788189628848</v>
      </c>
      <c r="J1141" s="493">
        <v>222.29488176010349</v>
      </c>
      <c r="K1141" s="493">
        <v>220.73788162391878</v>
      </c>
      <c r="L1141" s="493">
        <v>219.1848814877338</v>
      </c>
      <c r="M1141" s="493">
        <v>217.63588135154885</v>
      </c>
      <c r="N1141" s="493">
        <v>216.09088121536385</v>
      </c>
      <c r="O1141" s="493">
        <v>214.54988107917876</v>
      </c>
      <c r="P1141" s="493">
        <v>213.16488094299427</v>
      </c>
      <c r="Q1141" s="493">
        <v>211.76788080680927</v>
      </c>
      <c r="R1141" s="493">
        <v>210.3588806706243</v>
      </c>
      <c r="S1141" s="493">
        <v>208.93788053443922</v>
      </c>
      <c r="T1141" s="493">
        <v>207.50488039825424</v>
      </c>
      <c r="U1141" s="493">
        <v>205.97588026206927</v>
      </c>
      <c r="V1141" s="493">
        <v>204.44688012588463</v>
      </c>
      <c r="W1141" s="493">
        <v>202.91787998969954</v>
      </c>
      <c r="X1141" s="493">
        <v>201.38887985351457</v>
      </c>
      <c r="Y1141" s="493">
        <v>199.85987971732948</v>
      </c>
      <c r="Z1141" s="493">
        <v>198.33087958114484</v>
      </c>
      <c r="AA1141" s="493">
        <v>196.80187944495975</v>
      </c>
      <c r="AB1141" s="493">
        <v>195.27287930877478</v>
      </c>
      <c r="AC1141" s="493">
        <v>193.7438791725898</v>
      </c>
      <c r="AD1141" s="493">
        <v>192.21487903640482</v>
      </c>
      <c r="AE1141" s="493">
        <v>190.6858789002201</v>
      </c>
      <c r="AF1141" s="493">
        <v>189.15687876403513</v>
      </c>
      <c r="AG1141" s="493">
        <v>187.62787862785015</v>
      </c>
      <c r="AH1141" s="493">
        <v>186.09887849166518</v>
      </c>
      <c r="AI1141" s="493">
        <v>184.5698783554802</v>
      </c>
    </row>
    <row r="1142" spans="2:64" outlineLevel="1">
      <c r="B1142" t="str">
        <f t="shared" si="94"/>
        <v>Bio-methane (liquefied) - Feedstock cost - Asia - USD/ton fuel</v>
      </c>
      <c r="C1142" t="str">
        <f>C1111</f>
        <v>Bio-methane (liquefied)</v>
      </c>
      <c r="D1142" t="s">
        <v>1371</v>
      </c>
      <c r="E1142" t="s">
        <v>750</v>
      </c>
      <c r="F1142" t="s">
        <v>1353</v>
      </c>
      <c r="G1142" s="487" t="str">
        <f t="shared" si="93"/>
        <v>Bio-methane (liquefied)AsiaFeedstock cost</v>
      </c>
      <c r="H1142" s="493">
        <v>248.1278820324732</v>
      </c>
      <c r="I1142" s="493">
        <v>241.22388189628833</v>
      </c>
      <c r="J1142" s="493">
        <v>234.66988176010346</v>
      </c>
      <c r="K1142" s="493">
        <v>230.8658816239186</v>
      </c>
      <c r="L1142" s="493">
        <v>227.21188148773371</v>
      </c>
      <c r="M1142" s="493">
        <v>223.70788135154876</v>
      </c>
      <c r="N1142" s="493">
        <v>220.35388121536383</v>
      </c>
      <c r="O1142" s="493">
        <v>217.14988107917873</v>
      </c>
      <c r="P1142" s="493">
        <v>215.52088094299427</v>
      </c>
      <c r="Q1142" s="493">
        <v>213.89188080680933</v>
      </c>
      <c r="R1142" s="493">
        <v>212.26288067062436</v>
      </c>
      <c r="S1142" s="493">
        <v>210.63388053443921</v>
      </c>
      <c r="T1142" s="493">
        <v>209.00488039825427</v>
      </c>
      <c r="U1142" s="493">
        <v>207.3758802620693</v>
      </c>
      <c r="V1142" s="493">
        <v>205.74688012588467</v>
      </c>
      <c r="W1142" s="493">
        <v>204.11787998969956</v>
      </c>
      <c r="X1142" s="493">
        <v>202.48887985351459</v>
      </c>
      <c r="Y1142" s="493">
        <v>200.85987971732945</v>
      </c>
      <c r="Z1142" s="493">
        <v>199.23087958114485</v>
      </c>
      <c r="AA1142" s="493">
        <v>197.60187944495971</v>
      </c>
      <c r="AB1142" s="493">
        <v>195.97287930877474</v>
      </c>
      <c r="AC1142" s="493">
        <v>194.34387917258979</v>
      </c>
      <c r="AD1142" s="493">
        <v>192.71487903640482</v>
      </c>
      <c r="AE1142" s="493">
        <v>191.08587890022005</v>
      </c>
      <c r="AF1142" s="493">
        <v>189.45687876403511</v>
      </c>
      <c r="AG1142" s="493">
        <v>187.82787862785014</v>
      </c>
      <c r="AH1142" s="493">
        <v>186.19887849166517</v>
      </c>
      <c r="AI1142" s="493">
        <v>184.5698783554802</v>
      </c>
    </row>
    <row r="1143" spans="2:64" outlineLevel="1">
      <c r="B1143" t="str">
        <f t="shared" si="94"/>
        <v>Bio-methane (liquefied) - Feedstock cost - Europe - USD/ton fuel</v>
      </c>
      <c r="C1143" t="str">
        <f>C1111</f>
        <v>Bio-methane (liquefied)</v>
      </c>
      <c r="D1143" t="s">
        <v>1371</v>
      </c>
      <c r="E1143" t="s">
        <v>720</v>
      </c>
      <c r="F1143" t="s">
        <v>1353</v>
      </c>
      <c r="G1143" s="487" t="str">
        <f t="shared" si="93"/>
        <v>Bio-methane (liquefied)EuropeFeedstock cost</v>
      </c>
      <c r="H1143" s="493">
        <v>249.3428820324732</v>
      </c>
      <c r="I1143" s="493">
        <v>241.48388189628835</v>
      </c>
      <c r="J1143" s="493">
        <v>234.04488176010346</v>
      </c>
      <c r="K1143" s="493">
        <v>230.9858816239186</v>
      </c>
      <c r="L1143" s="493">
        <v>228.01688148773368</v>
      </c>
      <c r="M1143" s="493">
        <v>225.13788135154877</v>
      </c>
      <c r="N1143" s="493">
        <v>222.34888121536383</v>
      </c>
      <c r="O1143" s="493">
        <v>219.64988107917867</v>
      </c>
      <c r="P1143" s="493">
        <v>217.8958809429943</v>
      </c>
      <c r="Q1143" s="493">
        <v>216.14188080680935</v>
      </c>
      <c r="R1143" s="493">
        <v>214.38788067062438</v>
      </c>
      <c r="S1143" s="493">
        <v>212.63388053443921</v>
      </c>
      <c r="T1143" s="493">
        <v>210.87988039825427</v>
      </c>
      <c r="U1143" s="493">
        <v>209.12588026206933</v>
      </c>
      <c r="V1143" s="493">
        <v>207.3718801258847</v>
      </c>
      <c r="W1143" s="493">
        <v>205.61787998969956</v>
      </c>
      <c r="X1143" s="493">
        <v>203.86387985351459</v>
      </c>
      <c r="Y1143" s="493">
        <v>202.10987971732942</v>
      </c>
      <c r="Z1143" s="493">
        <v>200.35587958114482</v>
      </c>
      <c r="AA1143" s="493">
        <v>198.60187944495965</v>
      </c>
      <c r="AB1143" s="493">
        <v>196.84787930877471</v>
      </c>
      <c r="AC1143" s="493">
        <v>195.09387917258977</v>
      </c>
      <c r="AD1143" s="493">
        <v>193.3398790364048</v>
      </c>
      <c r="AE1143" s="493">
        <v>191.58587890022</v>
      </c>
      <c r="AF1143" s="493">
        <v>189.83187876403505</v>
      </c>
      <c r="AG1143" s="493">
        <v>188.07787862785011</v>
      </c>
      <c r="AH1143" s="493">
        <v>186.32387849166514</v>
      </c>
      <c r="AI1143" s="493">
        <v>184.5698783554802</v>
      </c>
    </row>
    <row r="1144" spans="2:64" outlineLevel="1">
      <c r="B1144" t="str">
        <f t="shared" si="94"/>
        <v>Bio-methane (liquefied) - Feedstock cost - Middle East - USD/ton fuel</v>
      </c>
      <c r="C1144" t="str">
        <f>C1111</f>
        <v>Bio-methane (liquefied)</v>
      </c>
      <c r="D1144" t="s">
        <v>1371</v>
      </c>
      <c r="E1144" t="s">
        <v>826</v>
      </c>
      <c r="F1144" t="s">
        <v>1353</v>
      </c>
      <c r="G1144" s="487" t="str">
        <f t="shared" si="93"/>
        <v>Bio-methane (liquefied)Middle EastFeedstock cost</v>
      </c>
      <c r="H1144" s="493">
        <v>242.72788203247325</v>
      </c>
      <c r="I1144" s="493">
        <v>236.0238818962884</v>
      </c>
      <c r="J1144" s="493">
        <v>229.66988176010346</v>
      </c>
      <c r="K1144" s="493">
        <v>226.0418816239187</v>
      </c>
      <c r="L1144" s="493">
        <v>222.56588148773378</v>
      </c>
      <c r="M1144" s="493">
        <v>219.24188135154881</v>
      </c>
      <c r="N1144" s="493">
        <v>216.06988121536386</v>
      </c>
      <c r="O1144" s="493">
        <v>213.04988107917882</v>
      </c>
      <c r="P1144" s="493">
        <v>211.62588094299426</v>
      </c>
      <c r="Q1144" s="493">
        <v>210.20188080680927</v>
      </c>
      <c r="R1144" s="493">
        <v>208.77788067062428</v>
      </c>
      <c r="S1144" s="493">
        <v>207.35388053443921</v>
      </c>
      <c r="T1144" s="493">
        <v>205.92988039825423</v>
      </c>
      <c r="U1144" s="493">
        <v>204.50588026206924</v>
      </c>
      <c r="V1144" s="493">
        <v>203.0818801258846</v>
      </c>
      <c r="W1144" s="493">
        <v>201.65787998969955</v>
      </c>
      <c r="X1144" s="493">
        <v>200.23387985351457</v>
      </c>
      <c r="Y1144" s="493">
        <v>198.80987971732949</v>
      </c>
      <c r="Z1144" s="493">
        <v>197.38587958114485</v>
      </c>
      <c r="AA1144" s="493">
        <v>195.96187944495981</v>
      </c>
      <c r="AB1144" s="493">
        <v>194.53787930877482</v>
      </c>
      <c r="AC1144" s="493">
        <v>193.11387917258983</v>
      </c>
      <c r="AD1144" s="493">
        <v>191.68987903640485</v>
      </c>
      <c r="AE1144" s="493">
        <v>190.26587890022014</v>
      </c>
      <c r="AF1144" s="493">
        <v>188.84187876403516</v>
      </c>
      <c r="AG1144" s="493">
        <v>187.41787862785017</v>
      </c>
      <c r="AH1144" s="493">
        <v>185.99387849166519</v>
      </c>
      <c r="AI1144" s="493">
        <v>184.5698783554802</v>
      </c>
    </row>
    <row r="1145" spans="2:64">
      <c r="G1145" s="487" t="str">
        <f t="shared" si="93"/>
        <v/>
      </c>
      <c r="J1145" s="67"/>
    </row>
    <row r="1146" spans="2:64" ht="15">
      <c r="B1146" t="str">
        <f t="shared" ref="B1146:B1190" si="100">_xlfn.TEXTJOIN(" - ",TRUE,C1146:F1146)</f>
        <v>Bio-oil (HTL) - Item - Region - Unit</v>
      </c>
      <c r="C1146" s="512" t="s">
        <v>1408</v>
      </c>
      <c r="D1146" s="512" t="s">
        <v>877</v>
      </c>
      <c r="E1146" s="512" t="s">
        <v>171</v>
      </c>
      <c r="F1146" s="512" t="s">
        <v>111</v>
      </c>
      <c r="G1146" s="487" t="str">
        <f t="shared" si="93"/>
        <v>Bio-oil (HTL)RegionItem</v>
      </c>
      <c r="H1146" s="513">
        <v>2023</v>
      </c>
      <c r="I1146" s="513">
        <v>2024</v>
      </c>
      <c r="J1146" s="513">
        <v>2025</v>
      </c>
      <c r="K1146" s="513">
        <v>2026</v>
      </c>
      <c r="L1146" s="513">
        <v>2027</v>
      </c>
      <c r="M1146" s="513">
        <v>2028</v>
      </c>
      <c r="N1146" s="513">
        <v>2029</v>
      </c>
      <c r="O1146" s="513">
        <v>2030</v>
      </c>
      <c r="P1146" s="513">
        <v>2031</v>
      </c>
      <c r="Q1146" s="513">
        <v>2032</v>
      </c>
      <c r="R1146" s="513">
        <v>2033</v>
      </c>
      <c r="S1146" s="513">
        <v>2034</v>
      </c>
      <c r="T1146" s="513">
        <v>2035</v>
      </c>
      <c r="U1146" s="513">
        <v>2036</v>
      </c>
      <c r="V1146" s="513">
        <v>2037</v>
      </c>
      <c r="W1146" s="513">
        <v>2038</v>
      </c>
      <c r="X1146" s="513">
        <v>2039</v>
      </c>
      <c r="Y1146" s="513">
        <v>2040</v>
      </c>
      <c r="Z1146" s="513">
        <v>2041</v>
      </c>
      <c r="AA1146" s="513">
        <v>2042</v>
      </c>
      <c r="AB1146" s="513">
        <v>2043</v>
      </c>
      <c r="AC1146" s="513">
        <v>2044</v>
      </c>
      <c r="AD1146" s="513">
        <v>2045</v>
      </c>
      <c r="AE1146" s="513">
        <v>2046</v>
      </c>
      <c r="AF1146" s="513">
        <v>2047</v>
      </c>
      <c r="AG1146" s="513">
        <v>2048</v>
      </c>
      <c r="AH1146" s="513">
        <v>2049</v>
      </c>
      <c r="AI1146" s="513">
        <v>2050</v>
      </c>
    </row>
    <row r="1147" spans="2:64" outlineLevel="1">
      <c r="B1147" t="str">
        <f t="shared" si="100"/>
        <v>Bio-oil (HTL) - Total cost - Africa - USD/ton fuel</v>
      </c>
      <c r="C1147" s="487" t="str">
        <f>C1146</f>
        <v>Bio-oil (HTL)</v>
      </c>
      <c r="D1147" s="487" t="s">
        <v>1362</v>
      </c>
      <c r="E1147" s="487" t="s">
        <v>838</v>
      </c>
      <c r="F1147" s="487" t="s">
        <v>1353</v>
      </c>
      <c r="G1147" s="487" t="str">
        <f t="shared" si="93"/>
        <v>Bio-oil (HTL)AfricaTotal cost</v>
      </c>
      <c r="H1147" s="514">
        <v>0</v>
      </c>
      <c r="I1147" s="514">
        <v>0</v>
      </c>
      <c r="J1147" s="514">
        <v>0</v>
      </c>
      <c r="K1147" s="514">
        <v>0</v>
      </c>
      <c r="L1147" s="514">
        <v>0</v>
      </c>
      <c r="M1147" s="514">
        <v>0</v>
      </c>
      <c r="N1147" s="514">
        <v>0</v>
      </c>
      <c r="O1147" s="488">
        <v>1093.4070590911426</v>
      </c>
      <c r="P1147" s="488">
        <v>1083.210451997054</v>
      </c>
      <c r="Q1147" s="488">
        <v>1072.5415584484999</v>
      </c>
      <c r="R1147" s="488">
        <v>1061.4038386727352</v>
      </c>
      <c r="S1147" s="488">
        <v>1049.8007528970429</v>
      </c>
      <c r="T1147" s="488">
        <v>1037.7357613487077</v>
      </c>
      <c r="U1147" s="488">
        <v>1031.0676229604751</v>
      </c>
      <c r="V1147" s="488">
        <v>1024.0743746699904</v>
      </c>
      <c r="W1147" s="488">
        <v>1016.75714556257</v>
      </c>
      <c r="X1147" s="488">
        <v>1009.1170647235149</v>
      </c>
      <c r="Y1147" s="488">
        <v>1001.1552612381367</v>
      </c>
      <c r="Z1147" s="488">
        <v>993.03975525447072</v>
      </c>
      <c r="AA1147" s="488">
        <v>984.77361707626528</v>
      </c>
      <c r="AB1147" s="488">
        <v>976.35618644486794</v>
      </c>
      <c r="AC1147" s="488">
        <v>967.78680310162315</v>
      </c>
      <c r="AD1147" s="488">
        <v>959.06480678787739</v>
      </c>
      <c r="AE1147" s="488">
        <v>951.81299267977693</v>
      </c>
      <c r="AF1147" s="488">
        <v>944.4856617714122</v>
      </c>
      <c r="AG1147" s="488">
        <v>937.0823980032626</v>
      </c>
      <c r="AH1147" s="488">
        <v>929.60278531581196</v>
      </c>
      <c r="AI1147" s="488">
        <v>922.04640764954365</v>
      </c>
    </row>
    <row r="1148" spans="2:64" outlineLevel="1">
      <c r="B1148" t="str">
        <f t="shared" si="100"/>
        <v>Bio-oil (HTL) - Total cost - Americas - USD/ton fuel</v>
      </c>
      <c r="C1148" t="str">
        <f>C1147</f>
        <v>Bio-oil (HTL)</v>
      </c>
      <c r="D1148" t="s">
        <v>1362</v>
      </c>
      <c r="E1148" t="s">
        <v>731</v>
      </c>
      <c r="F1148" t="s">
        <v>1353</v>
      </c>
      <c r="G1148" s="487" t="str">
        <f t="shared" si="93"/>
        <v>Bio-oil (HTL)AmericasTotal cost</v>
      </c>
      <c r="H1148" s="515">
        <v>0</v>
      </c>
      <c r="I1148" s="515">
        <v>0</v>
      </c>
      <c r="J1148" s="515">
        <v>0</v>
      </c>
      <c r="K1148" s="515">
        <v>0</v>
      </c>
      <c r="L1148" s="515">
        <v>0</v>
      </c>
      <c r="M1148" s="515">
        <v>0</v>
      </c>
      <c r="N1148" s="515">
        <v>0</v>
      </c>
      <c r="O1148" s="489">
        <v>1032.4724200402782</v>
      </c>
      <c r="P1148" s="489">
        <v>1023.8276190138519</v>
      </c>
      <c r="Q1148" s="489">
        <v>1014.6964974060115</v>
      </c>
      <c r="R1148" s="489">
        <v>1005.0810595558892</v>
      </c>
      <c r="S1148" s="489">
        <v>994.98330980263779</v>
      </c>
      <c r="T1148" s="489">
        <v>984.40525248541542</v>
      </c>
      <c r="U1148" s="489">
        <v>977.63973948673549</v>
      </c>
      <c r="V1148" s="489">
        <v>970.55214264910069</v>
      </c>
      <c r="W1148" s="489">
        <v>963.14358835031828</v>
      </c>
      <c r="X1148" s="489">
        <v>955.41520296818214</v>
      </c>
      <c r="Y1148" s="489">
        <v>947.3681128804933</v>
      </c>
      <c r="Z1148" s="489">
        <v>940.6171591207933</v>
      </c>
      <c r="AA1148" s="489">
        <v>933.68923987513892</v>
      </c>
      <c r="AB1148" s="489">
        <v>926.58409707994292</v>
      </c>
      <c r="AC1148" s="489">
        <v>919.30147267161124</v>
      </c>
      <c r="AD1148" s="489">
        <v>911.84110858655617</v>
      </c>
      <c r="AE1148" s="489">
        <v>904.8214389752668</v>
      </c>
      <c r="AF1148" s="489">
        <v>897.71856133297592</v>
      </c>
      <c r="AG1148" s="489">
        <v>890.532225706688</v>
      </c>
      <c r="AH1148" s="489">
        <v>883.26218214340963</v>
      </c>
      <c r="AI1148" s="489">
        <v>875.9081806901479</v>
      </c>
    </row>
    <row r="1149" spans="2:64" outlineLevel="1">
      <c r="B1149" t="str">
        <f t="shared" si="100"/>
        <v>Bio-oil (HTL) - Total cost - Asia - USD/ton fuel</v>
      </c>
      <c r="C1149" t="str">
        <f>C1148</f>
        <v>Bio-oil (HTL)</v>
      </c>
      <c r="D1149" t="s">
        <v>1362</v>
      </c>
      <c r="E1149" t="s">
        <v>750</v>
      </c>
      <c r="F1149" t="s">
        <v>1353</v>
      </c>
      <c r="G1149" s="487" t="str">
        <f t="shared" si="93"/>
        <v>Bio-oil (HTL)AsiaTotal cost</v>
      </c>
      <c r="H1149" s="515">
        <v>0</v>
      </c>
      <c r="I1149" s="515">
        <v>0</v>
      </c>
      <c r="J1149" s="515">
        <v>0</v>
      </c>
      <c r="K1149" s="515">
        <v>0</v>
      </c>
      <c r="L1149" s="515">
        <v>0</v>
      </c>
      <c r="M1149" s="515">
        <v>0</v>
      </c>
      <c r="N1149" s="515">
        <v>0</v>
      </c>
      <c r="O1149" s="489">
        <v>1074.1233568142111</v>
      </c>
      <c r="P1149" s="489">
        <v>1062.1970184661764</v>
      </c>
      <c r="Q1149" s="489">
        <v>1049.8046766467421</v>
      </c>
      <c r="R1149" s="489">
        <v>1036.9508435459798</v>
      </c>
      <c r="S1149" s="489">
        <v>1023.6400313539801</v>
      </c>
      <c r="T1149" s="489">
        <v>1009.8767522608453</v>
      </c>
      <c r="U1149" s="489">
        <v>1002.2111028263073</v>
      </c>
      <c r="V1149" s="489">
        <v>994.2270954103742</v>
      </c>
      <c r="W1149" s="489">
        <v>985.92632041434615</v>
      </c>
      <c r="X1149" s="489">
        <v>977.31036823950308</v>
      </c>
      <c r="Y1149" s="489">
        <v>968.38082928714016</v>
      </c>
      <c r="Z1149" s="489">
        <v>958.97477025433864</v>
      </c>
      <c r="AA1149" s="489">
        <v>949.43793815482525</v>
      </c>
      <c r="AB1149" s="489">
        <v>939.76938627133063</v>
      </c>
      <c r="AC1149" s="489">
        <v>929.96816788658123</v>
      </c>
      <c r="AD1149" s="489">
        <v>920.03333628330643</v>
      </c>
      <c r="AE1149" s="489">
        <v>912.32910497268438</v>
      </c>
      <c r="AF1149" s="489">
        <v>904.55712405908503</v>
      </c>
      <c r="AG1149" s="489">
        <v>896.71683615798406</v>
      </c>
      <c r="AH1149" s="489">
        <v>888.80768388485876</v>
      </c>
      <c r="AI1149" s="489">
        <v>880.82910985518618</v>
      </c>
    </row>
    <row r="1150" spans="2:64" outlineLevel="1">
      <c r="B1150" t="str">
        <f t="shared" si="100"/>
        <v>Bio-oil (HTL) - Total cost - Europe - USD/ton fuel</v>
      </c>
      <c r="C1150" t="str">
        <f>C1149</f>
        <v>Bio-oil (HTL)</v>
      </c>
      <c r="D1150" t="s">
        <v>1362</v>
      </c>
      <c r="E1150" t="s">
        <v>720</v>
      </c>
      <c r="F1150" t="s">
        <v>1353</v>
      </c>
      <c r="G1150" s="487" t="str">
        <f t="shared" si="93"/>
        <v>Bio-oil (HTL)EuropeTotal cost</v>
      </c>
      <c r="H1150" s="515">
        <v>0</v>
      </c>
      <c r="I1150" s="515">
        <v>0</v>
      </c>
      <c r="J1150" s="515">
        <v>0</v>
      </c>
      <c r="K1150" s="515">
        <v>0</v>
      </c>
      <c r="L1150" s="515">
        <v>0</v>
      </c>
      <c r="M1150" s="515">
        <v>0</v>
      </c>
      <c r="N1150" s="515">
        <v>0</v>
      </c>
      <c r="O1150" s="489">
        <v>1073.3256144107522</v>
      </c>
      <c r="P1150" s="489">
        <v>1064.4066441185987</v>
      </c>
      <c r="Q1150" s="489">
        <v>1054.9975711503496</v>
      </c>
      <c r="R1150" s="489">
        <v>1045.1006642508876</v>
      </c>
      <c r="S1150" s="489">
        <v>1034.7181921651204</v>
      </c>
      <c r="T1150" s="489">
        <v>1023.8524236379635</v>
      </c>
      <c r="U1150" s="489">
        <v>1017.2355653660223</v>
      </c>
      <c r="V1150" s="489">
        <v>1010.2869367765707</v>
      </c>
      <c r="W1150" s="489">
        <v>1003.0074769225342</v>
      </c>
      <c r="X1150" s="489">
        <v>995.39812485682205</v>
      </c>
      <c r="Y1150" s="489">
        <v>987.45981963235317</v>
      </c>
      <c r="Z1150" s="489">
        <v>979.49554365480037</v>
      </c>
      <c r="AA1150" s="489">
        <v>971.37643681018392</v>
      </c>
      <c r="AB1150" s="489">
        <v>963.10192777741986</v>
      </c>
      <c r="AC1150" s="489">
        <v>954.67144523541538</v>
      </c>
      <c r="AD1150" s="489">
        <v>946.08441786308549</v>
      </c>
      <c r="AE1150" s="489">
        <v>938.46604794449604</v>
      </c>
      <c r="AF1150" s="489">
        <v>930.77845261124594</v>
      </c>
      <c r="AG1150" s="489">
        <v>923.02109669495417</v>
      </c>
      <c r="AH1150" s="489">
        <v>915.19344502724027</v>
      </c>
      <c r="AI1150" s="489">
        <v>907.29496243972437</v>
      </c>
    </row>
    <row r="1151" spans="2:64" outlineLevel="1">
      <c r="B1151" t="str">
        <f t="shared" si="100"/>
        <v>Bio-oil (HTL) - Total cost - Middle East - USD/ton fuel</v>
      </c>
      <c r="C1151" s="25" t="str">
        <f>C1150</f>
        <v>Bio-oil (HTL)</v>
      </c>
      <c r="D1151" s="25" t="s">
        <v>1362</v>
      </c>
      <c r="E1151" s="25" t="s">
        <v>826</v>
      </c>
      <c r="F1151" s="25" t="s">
        <v>1353</v>
      </c>
      <c r="G1151" s="487" t="str">
        <f t="shared" si="93"/>
        <v>Bio-oil (HTL)Middle EastTotal cost</v>
      </c>
      <c r="H1151" s="516">
        <v>0</v>
      </c>
      <c r="I1151" s="516">
        <v>0</v>
      </c>
      <c r="J1151" s="516">
        <v>0</v>
      </c>
      <c r="K1151" s="516">
        <v>0</v>
      </c>
      <c r="L1151" s="516">
        <v>0</v>
      </c>
      <c r="M1151" s="516">
        <v>0</v>
      </c>
      <c r="N1151" s="516">
        <v>0</v>
      </c>
      <c r="O1151" s="490">
        <v>1057.8676995165365</v>
      </c>
      <c r="P1151" s="490">
        <v>1048.638010481242</v>
      </c>
      <c r="Q1151" s="490">
        <v>1038.9291765232856</v>
      </c>
      <c r="R1151" s="490">
        <v>1028.7436710673119</v>
      </c>
      <c r="S1151" s="490">
        <v>1018.0839675379905</v>
      </c>
      <c r="T1151" s="490">
        <v>1006.9525393599938</v>
      </c>
      <c r="U1151" s="490">
        <v>1000.9063306525518</v>
      </c>
      <c r="V1151" s="490">
        <v>994.53214024569172</v>
      </c>
      <c r="W1151" s="490">
        <v>987.83082787916555</v>
      </c>
      <c r="X1151" s="490">
        <v>980.80325329270931</v>
      </c>
      <c r="Y1151" s="490">
        <v>973.45027622606858</v>
      </c>
      <c r="Z1151" s="490">
        <v>965.3591733473761</v>
      </c>
      <c r="AA1151" s="490">
        <v>957.11428871391126</v>
      </c>
      <c r="AB1151" s="490">
        <v>948.714981144783</v>
      </c>
      <c r="AC1151" s="490">
        <v>940.16060945909624</v>
      </c>
      <c r="AD1151" s="490">
        <v>931.45053247595922</v>
      </c>
      <c r="AE1151" s="490">
        <v>924.19546249376276</v>
      </c>
      <c r="AF1151" s="490">
        <v>916.86120274686562</v>
      </c>
      <c r="AG1151" s="490">
        <v>909.44736796220582</v>
      </c>
      <c r="AH1151" s="490">
        <v>901.95357286672424</v>
      </c>
      <c r="AI1151" s="490">
        <v>894.379432187362</v>
      </c>
    </row>
    <row r="1152" spans="2:64" ht="15" outlineLevel="1">
      <c r="B1152" t="str">
        <f t="shared" si="100"/>
        <v/>
      </c>
      <c r="C1152" s="22"/>
      <c r="G1152" s="487" t="str">
        <f t="shared" si="93"/>
        <v/>
      </c>
      <c r="H1152" s="209"/>
      <c r="I1152" s="209"/>
      <c r="J1152" s="209"/>
      <c r="K1152" s="209"/>
      <c r="L1152" s="209"/>
      <c r="M1152" s="209"/>
      <c r="N1152" s="209"/>
    </row>
    <row r="1153" spans="2:35" ht="15" outlineLevel="1">
      <c r="B1153" t="str">
        <f t="shared" si="100"/>
        <v>Bio-oil (HTL) - CAPEX including feedstock CAPEX - Global - USD/ton fuel</v>
      </c>
      <c r="C1153" s="491" t="str">
        <f>C1146</f>
        <v>Bio-oil (HTL)</v>
      </c>
      <c r="D1153" s="491" t="s">
        <v>1363</v>
      </c>
      <c r="E1153" s="491" t="s">
        <v>708</v>
      </c>
      <c r="F1153" s="491" t="s">
        <v>1353</v>
      </c>
      <c r="G1153" s="487" t="str">
        <f t="shared" si="93"/>
        <v>Bio-oil (HTL)GlobalCAPEX including feedstock CAPEX</v>
      </c>
      <c r="H1153" s="517" t="e">
        <v>#DIV/0!</v>
      </c>
      <c r="I1153" s="517" t="e">
        <v>#DIV/0!</v>
      </c>
      <c r="J1153" s="517" t="e">
        <v>#DIV/0!</v>
      </c>
      <c r="K1153" s="517" t="e">
        <v>#DIV/0!</v>
      </c>
      <c r="L1153" s="517" t="e">
        <v>#DIV/0!</v>
      </c>
      <c r="M1153" s="517" t="e">
        <v>#DIV/0!</v>
      </c>
      <c r="N1153" s="517" t="e">
        <v>#DIV/0!</v>
      </c>
      <c r="O1153" s="492">
        <v>99.222248599135</v>
      </c>
      <c r="P1153" s="492">
        <v>98.031581615943281</v>
      </c>
      <c r="Q1153" s="492">
        <v>96.84091463275351</v>
      </c>
      <c r="R1153" s="492">
        <v>95.650247649563724</v>
      </c>
      <c r="S1153" s="492">
        <v>94.459580666374436</v>
      </c>
      <c r="T1153" s="492">
        <v>93.268913683184891</v>
      </c>
      <c r="U1153" s="492">
        <v>92.673580191590247</v>
      </c>
      <c r="V1153" s="492">
        <v>92.078246699995361</v>
      </c>
      <c r="W1153" s="492">
        <v>91.482913208400475</v>
      </c>
      <c r="X1153" s="492">
        <v>90.887579716805831</v>
      </c>
      <c r="Y1153" s="492">
        <v>90.292246225211173</v>
      </c>
      <c r="Z1153" s="492">
        <v>89.696912733616287</v>
      </c>
      <c r="AA1153" s="492">
        <v>89.101579242021643</v>
      </c>
      <c r="AB1153" s="492">
        <v>88.506245750426757</v>
      </c>
      <c r="AC1153" s="492">
        <v>87.910912258831857</v>
      </c>
      <c r="AD1153" s="492">
        <v>87.315578767237213</v>
      </c>
      <c r="AE1153" s="492">
        <v>86.720245275642327</v>
      </c>
      <c r="AF1153" s="492">
        <v>86.124911784047683</v>
      </c>
      <c r="AG1153" s="492">
        <v>85.529578292452783</v>
      </c>
      <c r="AH1153" s="492">
        <v>84.934244800857897</v>
      </c>
      <c r="AI1153" s="492">
        <v>84.338911309263253</v>
      </c>
    </row>
    <row r="1154" spans="2:35" outlineLevel="1">
      <c r="B1154" t="str">
        <f t="shared" si="100"/>
        <v>Bio-oil (HTL) - CAPEX - Global - USD/ton fuel</v>
      </c>
      <c r="C1154" t="str">
        <f>C1146</f>
        <v>Bio-oil (HTL)</v>
      </c>
      <c r="D1154" t="s">
        <v>446</v>
      </c>
      <c r="E1154" t="s">
        <v>708</v>
      </c>
      <c r="F1154" t="s">
        <v>1353</v>
      </c>
      <c r="G1154" s="487" t="str">
        <f t="shared" si="93"/>
        <v>Bio-oil (HTL)GlobalCAPEX</v>
      </c>
      <c r="H1154" s="518" t="e">
        <v>#DIV/0!</v>
      </c>
      <c r="I1154" s="518" t="e">
        <v>#DIV/0!</v>
      </c>
      <c r="J1154" s="518" t="e">
        <v>#DIV/0!</v>
      </c>
      <c r="K1154" s="518" t="e">
        <v>#DIV/0!</v>
      </c>
      <c r="L1154" s="518" t="e">
        <v>#DIV/0!</v>
      </c>
      <c r="M1154" s="518" t="e">
        <v>#DIV/0!</v>
      </c>
      <c r="N1154" s="518" t="e">
        <v>#DIV/0!</v>
      </c>
      <c r="O1154" s="493">
        <v>99.222248599135</v>
      </c>
      <c r="P1154" s="493">
        <v>98.031581615943281</v>
      </c>
      <c r="Q1154" s="493">
        <v>96.84091463275351</v>
      </c>
      <c r="R1154" s="493">
        <v>95.650247649563724</v>
      </c>
      <c r="S1154" s="493">
        <v>94.459580666374436</v>
      </c>
      <c r="T1154" s="493">
        <v>93.268913683184891</v>
      </c>
      <c r="U1154" s="493">
        <v>92.673580191590247</v>
      </c>
      <c r="V1154" s="493">
        <v>92.078246699995361</v>
      </c>
      <c r="W1154" s="493">
        <v>91.482913208400475</v>
      </c>
      <c r="X1154" s="493">
        <v>90.887579716805831</v>
      </c>
      <c r="Y1154" s="493">
        <v>90.292246225211173</v>
      </c>
      <c r="Z1154" s="493">
        <v>89.696912733616287</v>
      </c>
      <c r="AA1154" s="493">
        <v>89.101579242021643</v>
      </c>
      <c r="AB1154" s="493">
        <v>88.506245750426757</v>
      </c>
      <c r="AC1154" s="493">
        <v>87.910912258831857</v>
      </c>
      <c r="AD1154" s="493">
        <v>87.315578767237213</v>
      </c>
      <c r="AE1154" s="493">
        <v>86.720245275642327</v>
      </c>
      <c r="AF1154" s="493">
        <v>86.124911784047683</v>
      </c>
      <c r="AG1154" s="493">
        <v>85.529578292452783</v>
      </c>
      <c r="AH1154" s="493">
        <v>84.934244800857897</v>
      </c>
      <c r="AI1154" s="493">
        <v>84.338911309263253</v>
      </c>
    </row>
    <row r="1155" spans="2:35" outlineLevel="1">
      <c r="B1155" t="str">
        <f t="shared" si="100"/>
        <v/>
      </c>
      <c r="G1155" s="487" t="str">
        <f t="shared" si="93"/>
        <v/>
      </c>
      <c r="H1155" s="518"/>
      <c r="I1155" s="518"/>
      <c r="J1155" s="518"/>
      <c r="K1155" s="518"/>
      <c r="L1155" s="518"/>
      <c r="M1155" s="518"/>
      <c r="N1155" s="518"/>
      <c r="O1155" s="493"/>
      <c r="P1155" s="493"/>
      <c r="Q1155" s="493"/>
      <c r="R1155" s="493"/>
      <c r="S1155" s="493"/>
      <c r="T1155" s="493"/>
      <c r="U1155" s="493"/>
      <c r="V1155" s="493"/>
      <c r="W1155" s="493"/>
      <c r="X1155" s="493"/>
      <c r="Y1155" s="493"/>
      <c r="Z1155" s="493"/>
      <c r="AA1155" s="493"/>
      <c r="AB1155" s="493"/>
      <c r="AC1155" s="493"/>
      <c r="AD1155" s="493"/>
      <c r="AE1155" s="493"/>
      <c r="AF1155" s="493"/>
      <c r="AG1155" s="493"/>
      <c r="AH1155" s="493"/>
      <c r="AI1155" s="493"/>
    </row>
    <row r="1156" spans="2:35" ht="15" outlineLevel="1">
      <c r="B1156" t="str">
        <f t="shared" si="100"/>
        <v>Bio-oil (HTL) - OPEX including feedstock OPEX - Global - USD/ton fuel</v>
      </c>
      <c r="C1156" s="491" t="str">
        <f>C1147</f>
        <v>Bio-oil (HTL)</v>
      </c>
      <c r="D1156" s="491" t="s">
        <v>1364</v>
      </c>
      <c r="E1156" s="491" t="s">
        <v>708</v>
      </c>
      <c r="F1156" s="491" t="s">
        <v>1353</v>
      </c>
      <c r="G1156" s="487" t="str">
        <f t="shared" si="93"/>
        <v>Bio-oil (HTL)GlobalOPEX including feedstock OPEX</v>
      </c>
      <c r="H1156" s="517">
        <v>0</v>
      </c>
      <c r="I1156" s="517">
        <v>0</v>
      </c>
      <c r="J1156" s="517">
        <v>0</v>
      </c>
      <c r="K1156" s="517">
        <v>0</v>
      </c>
      <c r="L1156" s="517">
        <v>0</v>
      </c>
      <c r="M1156" s="517">
        <v>0</v>
      </c>
      <c r="N1156" s="517">
        <v>0</v>
      </c>
      <c r="O1156" s="492">
        <v>321.41145340894582</v>
      </c>
      <c r="P1156" s="492">
        <v>317.55451596802141</v>
      </c>
      <c r="Q1156" s="492">
        <v>313.69757852711427</v>
      </c>
      <c r="R1156" s="492">
        <v>309.84064108620714</v>
      </c>
      <c r="S1156" s="492">
        <v>305.98370364530001</v>
      </c>
      <c r="T1156" s="492">
        <v>302.12676620439288</v>
      </c>
      <c r="U1156" s="492">
        <v>300.19829748393931</v>
      </c>
      <c r="V1156" s="492">
        <v>298.26982876348575</v>
      </c>
      <c r="W1156" s="492">
        <v>296.34136004303218</v>
      </c>
      <c r="X1156" s="492">
        <v>294.41289132257862</v>
      </c>
      <c r="Y1156" s="492">
        <v>292.48442260212505</v>
      </c>
      <c r="Z1156" s="492">
        <v>290.55595388167148</v>
      </c>
      <c r="AA1156" s="492">
        <v>288.62748516121792</v>
      </c>
      <c r="AB1156" s="492">
        <v>286.69901644076435</v>
      </c>
      <c r="AC1156" s="492">
        <v>284.77054772031079</v>
      </c>
      <c r="AD1156" s="492">
        <v>282.84207899985677</v>
      </c>
      <c r="AE1156" s="492">
        <v>280.9136102794032</v>
      </c>
      <c r="AF1156" s="492">
        <v>278.98514155894964</v>
      </c>
      <c r="AG1156" s="492">
        <v>277.05667283849607</v>
      </c>
      <c r="AH1156" s="492">
        <v>275.1282041180425</v>
      </c>
      <c r="AI1156" s="492">
        <v>273.19973539758894</v>
      </c>
    </row>
    <row r="1157" spans="2:35" outlineLevel="1">
      <c r="B1157" t="str">
        <f t="shared" si="100"/>
        <v>Bio-oil (HTL) - OPEX - Global - USD/ton fuel</v>
      </c>
      <c r="C1157" t="str">
        <f>C1146</f>
        <v>Bio-oil (HTL)</v>
      </c>
      <c r="D1157" t="s">
        <v>450</v>
      </c>
      <c r="E1157" t="s">
        <v>708</v>
      </c>
      <c r="F1157" t="s">
        <v>1353</v>
      </c>
      <c r="G1157" s="487" t="str">
        <f t="shared" si="93"/>
        <v>Bio-oil (HTL)GlobalOPEX</v>
      </c>
      <c r="H1157" s="518">
        <v>0</v>
      </c>
      <c r="I1157" s="518">
        <v>0</v>
      </c>
      <c r="J1157" s="518">
        <v>0</v>
      </c>
      <c r="K1157" s="518">
        <v>0</v>
      </c>
      <c r="L1157" s="518">
        <v>0</v>
      </c>
      <c r="M1157" s="518">
        <v>0</v>
      </c>
      <c r="N1157" s="518">
        <v>0</v>
      </c>
      <c r="O1157" s="493">
        <v>321.41145340894582</v>
      </c>
      <c r="P1157" s="493">
        <v>317.55451596802141</v>
      </c>
      <c r="Q1157" s="493">
        <v>313.69757852711427</v>
      </c>
      <c r="R1157" s="493">
        <v>309.84064108620714</v>
      </c>
      <c r="S1157" s="493">
        <v>305.98370364530001</v>
      </c>
      <c r="T1157" s="493">
        <v>302.12676620439288</v>
      </c>
      <c r="U1157" s="493">
        <v>300.19829748393931</v>
      </c>
      <c r="V1157" s="493">
        <v>298.26982876348575</v>
      </c>
      <c r="W1157" s="493">
        <v>296.34136004303218</v>
      </c>
      <c r="X1157" s="493">
        <v>294.41289132257862</v>
      </c>
      <c r="Y1157" s="493">
        <v>292.48442260212505</v>
      </c>
      <c r="Z1157" s="493">
        <v>290.55595388167148</v>
      </c>
      <c r="AA1157" s="493">
        <v>288.62748516121792</v>
      </c>
      <c r="AB1157" s="493">
        <v>286.69901644076435</v>
      </c>
      <c r="AC1157" s="493">
        <v>284.77054772031079</v>
      </c>
      <c r="AD1157" s="493">
        <v>282.84207899985677</v>
      </c>
      <c r="AE1157" s="493">
        <v>280.9136102794032</v>
      </c>
      <c r="AF1157" s="493">
        <v>278.98514155894964</v>
      </c>
      <c r="AG1157" s="493">
        <v>277.05667283849607</v>
      </c>
      <c r="AH1157" s="493">
        <v>275.1282041180425</v>
      </c>
      <c r="AI1157" s="493">
        <v>273.19973539758894</v>
      </c>
    </row>
    <row r="1158" spans="2:35" outlineLevel="1">
      <c r="B1158" t="str">
        <f t="shared" si="100"/>
        <v/>
      </c>
      <c r="G1158" s="487" t="str">
        <f t="shared" si="93"/>
        <v/>
      </c>
      <c r="H1158" s="518"/>
      <c r="I1158" s="518"/>
      <c r="J1158" s="518"/>
      <c r="K1158" s="518"/>
      <c r="L1158" s="518"/>
      <c r="M1158" s="518"/>
      <c r="N1158" s="518"/>
      <c r="O1158" s="493"/>
      <c r="P1158" s="493"/>
      <c r="Q1158" s="493"/>
      <c r="R1158" s="493"/>
      <c r="S1158" s="493"/>
      <c r="T1158" s="493"/>
      <c r="U1158" s="493"/>
      <c r="V1158" s="493"/>
      <c r="W1158" s="493"/>
      <c r="X1158" s="493"/>
      <c r="Y1158" s="493"/>
      <c r="Z1158" s="493"/>
      <c r="AA1158" s="493"/>
      <c r="AB1158" s="493"/>
      <c r="AC1158" s="493"/>
      <c r="AD1158" s="493"/>
      <c r="AE1158" s="493"/>
      <c r="AF1158" s="493"/>
      <c r="AG1158" s="493"/>
      <c r="AH1158" s="493"/>
      <c r="AI1158" s="493"/>
    </row>
    <row r="1159" spans="2:35" ht="15" outlineLevel="1">
      <c r="B1159" t="str">
        <f t="shared" si="100"/>
        <v>Bio-oil (HTL) - Finance cost including feedstock finance cost - Africa - USD/ton fuel</v>
      </c>
      <c r="C1159" s="494" t="str">
        <f>C1150</f>
        <v>Bio-oil (HTL)</v>
      </c>
      <c r="D1159" s="494" t="s">
        <v>1365</v>
      </c>
      <c r="E1159" s="494" t="s">
        <v>838</v>
      </c>
      <c r="F1159" s="494" t="s">
        <v>1353</v>
      </c>
      <c r="G1159" s="487" t="str">
        <f t="shared" si="93"/>
        <v>Bio-oil (HTL)AfricaFinance cost including feedstock finance cost</v>
      </c>
      <c r="H1159" s="519">
        <v>0</v>
      </c>
      <c r="I1159" s="519">
        <v>0</v>
      </c>
      <c r="J1159" s="519">
        <v>0</v>
      </c>
      <c r="K1159" s="519">
        <v>0</v>
      </c>
      <c r="L1159" s="519">
        <v>0</v>
      </c>
      <c r="M1159" s="519">
        <v>0</v>
      </c>
      <c r="N1159" s="519">
        <v>0</v>
      </c>
      <c r="O1159" s="495">
        <v>163.71671018857279</v>
      </c>
      <c r="P1159" s="495">
        <v>161.75210966630644</v>
      </c>
      <c r="Q1159" s="495">
        <v>159.7875091440433</v>
      </c>
      <c r="R1159" s="495">
        <v>157.82290862178019</v>
      </c>
      <c r="S1159" s="495">
        <v>155.85830809951784</v>
      </c>
      <c r="T1159" s="495">
        <v>153.8937075772551</v>
      </c>
      <c r="U1159" s="495">
        <v>152.91140731612393</v>
      </c>
      <c r="V1159" s="495">
        <v>151.92910705499236</v>
      </c>
      <c r="W1159" s="495">
        <v>150.94680679386079</v>
      </c>
      <c r="X1159" s="495">
        <v>149.96450653272964</v>
      </c>
      <c r="Y1159" s="495">
        <v>148.98220627159847</v>
      </c>
      <c r="Z1159" s="495">
        <v>147.9999060104669</v>
      </c>
      <c r="AA1159" s="495">
        <v>147.01760574933573</v>
      </c>
      <c r="AB1159" s="495">
        <v>146.03530548820416</v>
      </c>
      <c r="AC1159" s="495">
        <v>145.05300522707259</v>
      </c>
      <c r="AD1159" s="495">
        <v>144.07070496594142</v>
      </c>
      <c r="AE1159" s="495">
        <v>143.08840470480985</v>
      </c>
      <c r="AF1159" s="495">
        <v>142.10610444367867</v>
      </c>
      <c r="AG1159" s="495">
        <v>141.12380418254713</v>
      </c>
      <c r="AH1159" s="495">
        <v>140.14150392141556</v>
      </c>
      <c r="AI1159" s="495">
        <v>139.15920366028439</v>
      </c>
    </row>
    <row r="1160" spans="2:35" ht="15" outlineLevel="1">
      <c r="B1160" t="str">
        <f t="shared" si="100"/>
        <v>Bio-oil (HTL) - Finance cost including feedstock finance cost - Americas - USD/ton fuel</v>
      </c>
      <c r="C1160" s="22" t="str">
        <f>C1150</f>
        <v>Bio-oil (HTL)</v>
      </c>
      <c r="D1160" s="22" t="s">
        <v>1365</v>
      </c>
      <c r="E1160" s="22" t="s">
        <v>731</v>
      </c>
      <c r="F1160" s="22" t="s">
        <v>1353</v>
      </c>
      <c r="G1160" s="487" t="str">
        <f t="shared" ref="G1160:G1223" si="101">+C1160&amp;E1160&amp;D1160</f>
        <v>Bio-oil (HTL)AmericasFinance cost including feedstock finance cost</v>
      </c>
      <c r="H1160" s="520">
        <v>0</v>
      </c>
      <c r="I1160" s="520">
        <v>0</v>
      </c>
      <c r="J1160" s="520">
        <v>0</v>
      </c>
      <c r="K1160" s="520">
        <v>0</v>
      </c>
      <c r="L1160" s="520">
        <v>0</v>
      </c>
      <c r="M1160" s="520">
        <v>0</v>
      </c>
      <c r="N1160" s="520">
        <v>0</v>
      </c>
      <c r="O1160" s="496">
        <v>163.71671018857279</v>
      </c>
      <c r="P1160" s="496">
        <v>161.75210966630644</v>
      </c>
      <c r="Q1160" s="496">
        <v>159.7875091440433</v>
      </c>
      <c r="R1160" s="496">
        <v>157.82290862178019</v>
      </c>
      <c r="S1160" s="496">
        <v>155.85830809951784</v>
      </c>
      <c r="T1160" s="496">
        <v>153.8937075772551</v>
      </c>
      <c r="U1160" s="496">
        <v>152.91140731612393</v>
      </c>
      <c r="V1160" s="496">
        <v>151.92910705499236</v>
      </c>
      <c r="W1160" s="496">
        <v>150.94680679386079</v>
      </c>
      <c r="X1160" s="496">
        <v>149.96450653272964</v>
      </c>
      <c r="Y1160" s="496">
        <v>148.98220627159847</v>
      </c>
      <c r="Z1160" s="496">
        <v>147.9999060104669</v>
      </c>
      <c r="AA1160" s="496">
        <v>147.01760574933573</v>
      </c>
      <c r="AB1160" s="496">
        <v>146.03530548820416</v>
      </c>
      <c r="AC1160" s="496">
        <v>145.05300522707259</v>
      </c>
      <c r="AD1160" s="496">
        <v>144.07070496594142</v>
      </c>
      <c r="AE1160" s="496">
        <v>143.08840470480985</v>
      </c>
      <c r="AF1160" s="496">
        <v>142.10610444367867</v>
      </c>
      <c r="AG1160" s="496">
        <v>141.12380418254713</v>
      </c>
      <c r="AH1160" s="496">
        <v>140.14150392141556</v>
      </c>
      <c r="AI1160" s="496">
        <v>139.15920366028439</v>
      </c>
    </row>
    <row r="1161" spans="2:35" ht="15" outlineLevel="1">
      <c r="B1161" t="str">
        <f t="shared" si="100"/>
        <v>Bio-oil (HTL) - Finance cost including feedstock finance cost - Asia - USD/ton fuel</v>
      </c>
      <c r="C1161" s="22" t="str">
        <f>C1150</f>
        <v>Bio-oil (HTL)</v>
      </c>
      <c r="D1161" s="22" t="s">
        <v>1365</v>
      </c>
      <c r="E1161" s="22" t="s">
        <v>750</v>
      </c>
      <c r="F1161" s="22" t="s">
        <v>1353</v>
      </c>
      <c r="G1161" s="487" t="str">
        <f t="shared" si="101"/>
        <v>Bio-oil (HTL)AsiaFinance cost including feedstock finance cost</v>
      </c>
      <c r="H1161" s="520">
        <v>0</v>
      </c>
      <c r="I1161" s="520">
        <v>0</v>
      </c>
      <c r="J1161" s="520">
        <v>0</v>
      </c>
      <c r="K1161" s="520">
        <v>0</v>
      </c>
      <c r="L1161" s="520">
        <v>0</v>
      </c>
      <c r="M1161" s="520">
        <v>0</v>
      </c>
      <c r="N1161" s="520">
        <v>0</v>
      </c>
      <c r="O1161" s="496">
        <v>163.71671018857279</v>
      </c>
      <c r="P1161" s="496">
        <v>161.75210966630644</v>
      </c>
      <c r="Q1161" s="496">
        <v>159.7875091440433</v>
      </c>
      <c r="R1161" s="496">
        <v>157.82290862178019</v>
      </c>
      <c r="S1161" s="496">
        <v>155.85830809951784</v>
      </c>
      <c r="T1161" s="496">
        <v>153.8937075772551</v>
      </c>
      <c r="U1161" s="496">
        <v>152.91140731612393</v>
      </c>
      <c r="V1161" s="496">
        <v>151.92910705499236</v>
      </c>
      <c r="W1161" s="496">
        <v>150.94680679386079</v>
      </c>
      <c r="X1161" s="496">
        <v>149.96450653272964</v>
      </c>
      <c r="Y1161" s="496">
        <v>148.98220627159847</v>
      </c>
      <c r="Z1161" s="496">
        <v>147.9999060104669</v>
      </c>
      <c r="AA1161" s="496">
        <v>147.01760574933573</v>
      </c>
      <c r="AB1161" s="496">
        <v>146.03530548820416</v>
      </c>
      <c r="AC1161" s="496">
        <v>145.05300522707259</v>
      </c>
      <c r="AD1161" s="496">
        <v>144.07070496594142</v>
      </c>
      <c r="AE1161" s="496">
        <v>143.08840470480985</v>
      </c>
      <c r="AF1161" s="496">
        <v>142.10610444367867</v>
      </c>
      <c r="AG1161" s="496">
        <v>141.12380418254713</v>
      </c>
      <c r="AH1161" s="496">
        <v>140.14150392141556</v>
      </c>
      <c r="AI1161" s="496">
        <v>139.15920366028439</v>
      </c>
    </row>
    <row r="1162" spans="2:35" ht="15" outlineLevel="1">
      <c r="B1162" t="str">
        <f t="shared" si="100"/>
        <v>Bio-oil (HTL) - Finance cost including feedstock finance cost - Europe - USD/ton fuel</v>
      </c>
      <c r="C1162" s="22" t="str">
        <f>C1150</f>
        <v>Bio-oil (HTL)</v>
      </c>
      <c r="D1162" s="22" t="s">
        <v>1365</v>
      </c>
      <c r="E1162" s="22" t="s">
        <v>720</v>
      </c>
      <c r="F1162" s="22" t="s">
        <v>1353</v>
      </c>
      <c r="G1162" s="487" t="str">
        <f t="shared" si="101"/>
        <v>Bio-oil (HTL)EuropeFinance cost including feedstock finance cost</v>
      </c>
      <c r="H1162" s="520">
        <v>0</v>
      </c>
      <c r="I1162" s="520">
        <v>0</v>
      </c>
      <c r="J1162" s="520">
        <v>0</v>
      </c>
      <c r="K1162" s="520">
        <v>0</v>
      </c>
      <c r="L1162" s="520">
        <v>0</v>
      </c>
      <c r="M1162" s="520">
        <v>0</v>
      </c>
      <c r="N1162" s="520">
        <v>0</v>
      </c>
      <c r="O1162" s="496">
        <v>163.71671018857279</v>
      </c>
      <c r="P1162" s="496">
        <v>161.75210966630644</v>
      </c>
      <c r="Q1162" s="496">
        <v>159.7875091440433</v>
      </c>
      <c r="R1162" s="496">
        <v>157.82290862178019</v>
      </c>
      <c r="S1162" s="496">
        <v>155.85830809951784</v>
      </c>
      <c r="T1162" s="496">
        <v>153.8937075772551</v>
      </c>
      <c r="U1162" s="496">
        <v>152.91140731612393</v>
      </c>
      <c r="V1162" s="496">
        <v>151.92910705499236</v>
      </c>
      <c r="W1162" s="496">
        <v>150.94680679386079</v>
      </c>
      <c r="X1162" s="496">
        <v>149.96450653272964</v>
      </c>
      <c r="Y1162" s="496">
        <v>148.98220627159847</v>
      </c>
      <c r="Z1162" s="496">
        <v>147.9999060104669</v>
      </c>
      <c r="AA1162" s="496">
        <v>147.01760574933573</v>
      </c>
      <c r="AB1162" s="496">
        <v>146.03530548820416</v>
      </c>
      <c r="AC1162" s="496">
        <v>145.05300522707259</v>
      </c>
      <c r="AD1162" s="496">
        <v>144.07070496594142</v>
      </c>
      <c r="AE1162" s="496">
        <v>143.08840470480985</v>
      </c>
      <c r="AF1162" s="496">
        <v>142.10610444367867</v>
      </c>
      <c r="AG1162" s="496">
        <v>141.12380418254713</v>
      </c>
      <c r="AH1162" s="496">
        <v>140.14150392141556</v>
      </c>
      <c r="AI1162" s="496">
        <v>139.15920366028439</v>
      </c>
    </row>
    <row r="1163" spans="2:35" ht="15" outlineLevel="1">
      <c r="B1163" t="str">
        <f t="shared" si="100"/>
        <v>Bio-oil (HTL) - Finance cost including feedstock finance cost - Middle East - USD/ton fuel</v>
      </c>
      <c r="C1163" s="92" t="str">
        <f>C1150</f>
        <v>Bio-oil (HTL)</v>
      </c>
      <c r="D1163" s="92" t="s">
        <v>1365</v>
      </c>
      <c r="E1163" s="92" t="s">
        <v>826</v>
      </c>
      <c r="F1163" s="92" t="s">
        <v>1353</v>
      </c>
      <c r="G1163" s="487" t="str">
        <f t="shared" si="101"/>
        <v>Bio-oil (HTL)Middle EastFinance cost including feedstock finance cost</v>
      </c>
      <c r="H1163" s="521">
        <v>0</v>
      </c>
      <c r="I1163" s="521">
        <v>0</v>
      </c>
      <c r="J1163" s="521">
        <v>0</v>
      </c>
      <c r="K1163" s="521">
        <v>0</v>
      </c>
      <c r="L1163" s="521">
        <v>0</v>
      </c>
      <c r="M1163" s="521">
        <v>0</v>
      </c>
      <c r="N1163" s="521">
        <v>0</v>
      </c>
      <c r="O1163" s="497">
        <v>163.71671018857279</v>
      </c>
      <c r="P1163" s="497">
        <v>161.75210966630644</v>
      </c>
      <c r="Q1163" s="497">
        <v>159.7875091440433</v>
      </c>
      <c r="R1163" s="497">
        <v>157.82290862178019</v>
      </c>
      <c r="S1163" s="497">
        <v>155.85830809951784</v>
      </c>
      <c r="T1163" s="497">
        <v>153.8937075772551</v>
      </c>
      <c r="U1163" s="497">
        <v>152.91140731612393</v>
      </c>
      <c r="V1163" s="497">
        <v>151.92910705499236</v>
      </c>
      <c r="W1163" s="497">
        <v>150.94680679386079</v>
      </c>
      <c r="X1163" s="497">
        <v>149.96450653272964</v>
      </c>
      <c r="Y1163" s="497">
        <v>148.98220627159847</v>
      </c>
      <c r="Z1163" s="497">
        <v>147.9999060104669</v>
      </c>
      <c r="AA1163" s="497">
        <v>147.01760574933573</v>
      </c>
      <c r="AB1163" s="497">
        <v>146.03530548820416</v>
      </c>
      <c r="AC1163" s="497">
        <v>145.05300522707259</v>
      </c>
      <c r="AD1163" s="497">
        <v>144.07070496594142</v>
      </c>
      <c r="AE1163" s="497">
        <v>143.08840470480985</v>
      </c>
      <c r="AF1163" s="497">
        <v>142.10610444367867</v>
      </c>
      <c r="AG1163" s="497">
        <v>141.12380418254713</v>
      </c>
      <c r="AH1163" s="497">
        <v>140.14150392141556</v>
      </c>
      <c r="AI1163" s="497">
        <v>139.15920366028439</v>
      </c>
    </row>
    <row r="1164" spans="2:35" outlineLevel="1">
      <c r="B1164" t="str">
        <f t="shared" si="100"/>
        <v>Bio-oil (HTL) - Finance cost - Africa - USD/ton fuel</v>
      </c>
      <c r="C1164" t="str">
        <f>C1146</f>
        <v>Bio-oil (HTL)</v>
      </c>
      <c r="D1164" t="s">
        <v>1366</v>
      </c>
      <c r="E1164" t="s">
        <v>838</v>
      </c>
      <c r="F1164" t="s">
        <v>1353</v>
      </c>
      <c r="G1164" s="487" t="str">
        <f t="shared" si="101"/>
        <v>Bio-oil (HTL)AfricaFinance cost</v>
      </c>
      <c r="H1164" s="518">
        <v>0</v>
      </c>
      <c r="I1164" s="518">
        <v>0</v>
      </c>
      <c r="J1164" s="518">
        <v>0</v>
      </c>
      <c r="K1164" s="518">
        <v>0</v>
      </c>
      <c r="L1164" s="518">
        <v>0</v>
      </c>
      <c r="M1164" s="518">
        <v>0</v>
      </c>
      <c r="N1164" s="518">
        <v>0</v>
      </c>
      <c r="O1164" s="493">
        <v>163.71671018857279</v>
      </c>
      <c r="P1164" s="493">
        <v>161.75210966630644</v>
      </c>
      <c r="Q1164" s="493">
        <v>159.7875091440433</v>
      </c>
      <c r="R1164" s="493">
        <v>157.82290862178019</v>
      </c>
      <c r="S1164" s="493">
        <v>155.85830809951784</v>
      </c>
      <c r="T1164" s="493">
        <v>153.8937075772551</v>
      </c>
      <c r="U1164" s="493">
        <v>152.91140731612393</v>
      </c>
      <c r="V1164" s="493">
        <v>151.92910705499236</v>
      </c>
      <c r="W1164" s="493">
        <v>150.94680679386079</v>
      </c>
      <c r="X1164" s="493">
        <v>149.96450653272964</v>
      </c>
      <c r="Y1164" s="493">
        <v>148.98220627159847</v>
      </c>
      <c r="Z1164" s="493">
        <v>147.9999060104669</v>
      </c>
      <c r="AA1164" s="493">
        <v>147.01760574933573</v>
      </c>
      <c r="AB1164" s="493">
        <v>146.03530548820416</v>
      </c>
      <c r="AC1164" s="493">
        <v>145.05300522707259</v>
      </c>
      <c r="AD1164" s="493">
        <v>144.07070496594142</v>
      </c>
      <c r="AE1164" s="493">
        <v>143.08840470480985</v>
      </c>
      <c r="AF1164" s="493">
        <v>142.10610444367867</v>
      </c>
      <c r="AG1164" s="493">
        <v>141.12380418254713</v>
      </c>
      <c r="AH1164" s="493">
        <v>140.14150392141556</v>
      </c>
      <c r="AI1164" s="493">
        <v>139.15920366028439</v>
      </c>
    </row>
    <row r="1165" spans="2:35" outlineLevel="1">
      <c r="B1165" t="str">
        <f t="shared" si="100"/>
        <v>Bio-oil (HTL) - Finance cost - Americas - USD/ton fuel</v>
      </c>
      <c r="C1165" t="str">
        <f>C1146</f>
        <v>Bio-oil (HTL)</v>
      </c>
      <c r="D1165" t="s">
        <v>1366</v>
      </c>
      <c r="E1165" t="s">
        <v>731</v>
      </c>
      <c r="F1165" t="s">
        <v>1353</v>
      </c>
      <c r="G1165" s="487" t="str">
        <f t="shared" si="101"/>
        <v>Bio-oil (HTL)AmericasFinance cost</v>
      </c>
      <c r="H1165" s="518">
        <v>0</v>
      </c>
      <c r="I1165" s="518">
        <v>0</v>
      </c>
      <c r="J1165" s="518">
        <v>0</v>
      </c>
      <c r="K1165" s="518">
        <v>0</v>
      </c>
      <c r="L1165" s="518">
        <v>0</v>
      </c>
      <c r="M1165" s="518">
        <v>0</v>
      </c>
      <c r="N1165" s="518">
        <v>0</v>
      </c>
      <c r="O1165" s="493">
        <v>163.71671018857279</v>
      </c>
      <c r="P1165" s="493">
        <v>161.75210966630644</v>
      </c>
      <c r="Q1165" s="493">
        <v>159.7875091440433</v>
      </c>
      <c r="R1165" s="493">
        <v>157.82290862178019</v>
      </c>
      <c r="S1165" s="493">
        <v>155.85830809951784</v>
      </c>
      <c r="T1165" s="493">
        <v>153.8937075772551</v>
      </c>
      <c r="U1165" s="493">
        <v>152.91140731612393</v>
      </c>
      <c r="V1165" s="493">
        <v>151.92910705499236</v>
      </c>
      <c r="W1165" s="493">
        <v>150.94680679386079</v>
      </c>
      <c r="X1165" s="493">
        <v>149.96450653272964</v>
      </c>
      <c r="Y1165" s="493">
        <v>148.98220627159847</v>
      </c>
      <c r="Z1165" s="493">
        <v>147.9999060104669</v>
      </c>
      <c r="AA1165" s="493">
        <v>147.01760574933573</v>
      </c>
      <c r="AB1165" s="493">
        <v>146.03530548820416</v>
      </c>
      <c r="AC1165" s="493">
        <v>145.05300522707259</v>
      </c>
      <c r="AD1165" s="493">
        <v>144.07070496594142</v>
      </c>
      <c r="AE1165" s="493">
        <v>143.08840470480985</v>
      </c>
      <c r="AF1165" s="493">
        <v>142.10610444367867</v>
      </c>
      <c r="AG1165" s="493">
        <v>141.12380418254713</v>
      </c>
      <c r="AH1165" s="493">
        <v>140.14150392141556</v>
      </c>
      <c r="AI1165" s="493">
        <v>139.15920366028439</v>
      </c>
    </row>
    <row r="1166" spans="2:35" outlineLevel="1">
      <c r="B1166" t="str">
        <f t="shared" si="100"/>
        <v>Bio-oil (HTL) - Finance cost - Asia - USD/ton fuel</v>
      </c>
      <c r="C1166" t="str">
        <f>C1146</f>
        <v>Bio-oil (HTL)</v>
      </c>
      <c r="D1166" t="s">
        <v>1366</v>
      </c>
      <c r="E1166" t="s">
        <v>750</v>
      </c>
      <c r="F1166" t="s">
        <v>1353</v>
      </c>
      <c r="G1166" s="487" t="str">
        <f t="shared" si="101"/>
        <v>Bio-oil (HTL)AsiaFinance cost</v>
      </c>
      <c r="H1166" s="518">
        <v>0</v>
      </c>
      <c r="I1166" s="518">
        <v>0</v>
      </c>
      <c r="J1166" s="518">
        <v>0</v>
      </c>
      <c r="K1166" s="518">
        <v>0</v>
      </c>
      <c r="L1166" s="518">
        <v>0</v>
      </c>
      <c r="M1166" s="518">
        <v>0</v>
      </c>
      <c r="N1166" s="518">
        <v>0</v>
      </c>
      <c r="O1166" s="493">
        <v>163.71671018857279</v>
      </c>
      <c r="P1166" s="493">
        <v>161.75210966630644</v>
      </c>
      <c r="Q1166" s="493">
        <v>159.7875091440433</v>
      </c>
      <c r="R1166" s="493">
        <v>157.82290862178019</v>
      </c>
      <c r="S1166" s="493">
        <v>155.85830809951784</v>
      </c>
      <c r="T1166" s="493">
        <v>153.8937075772551</v>
      </c>
      <c r="U1166" s="493">
        <v>152.91140731612393</v>
      </c>
      <c r="V1166" s="493">
        <v>151.92910705499236</v>
      </c>
      <c r="W1166" s="493">
        <v>150.94680679386079</v>
      </c>
      <c r="X1166" s="493">
        <v>149.96450653272964</v>
      </c>
      <c r="Y1166" s="493">
        <v>148.98220627159847</v>
      </c>
      <c r="Z1166" s="493">
        <v>147.9999060104669</v>
      </c>
      <c r="AA1166" s="493">
        <v>147.01760574933573</v>
      </c>
      <c r="AB1166" s="493">
        <v>146.03530548820416</v>
      </c>
      <c r="AC1166" s="493">
        <v>145.05300522707259</v>
      </c>
      <c r="AD1166" s="493">
        <v>144.07070496594142</v>
      </c>
      <c r="AE1166" s="493">
        <v>143.08840470480985</v>
      </c>
      <c r="AF1166" s="493">
        <v>142.10610444367867</v>
      </c>
      <c r="AG1166" s="493">
        <v>141.12380418254713</v>
      </c>
      <c r="AH1166" s="493">
        <v>140.14150392141556</v>
      </c>
      <c r="AI1166" s="493">
        <v>139.15920366028439</v>
      </c>
    </row>
    <row r="1167" spans="2:35" outlineLevel="1">
      <c r="B1167" t="str">
        <f t="shared" si="100"/>
        <v>Bio-oil (HTL) - Finance cost - Europe - USD/ton fuel</v>
      </c>
      <c r="C1167" t="str">
        <f>C1146</f>
        <v>Bio-oil (HTL)</v>
      </c>
      <c r="D1167" t="s">
        <v>1366</v>
      </c>
      <c r="E1167" t="s">
        <v>720</v>
      </c>
      <c r="F1167" t="s">
        <v>1353</v>
      </c>
      <c r="G1167" s="487" t="str">
        <f t="shared" si="101"/>
        <v>Bio-oil (HTL)EuropeFinance cost</v>
      </c>
      <c r="H1167" s="518">
        <v>0</v>
      </c>
      <c r="I1167" s="518">
        <v>0</v>
      </c>
      <c r="J1167" s="518">
        <v>0</v>
      </c>
      <c r="K1167" s="518">
        <v>0</v>
      </c>
      <c r="L1167" s="518">
        <v>0</v>
      </c>
      <c r="M1167" s="518">
        <v>0</v>
      </c>
      <c r="N1167" s="518">
        <v>0</v>
      </c>
      <c r="O1167" s="493">
        <v>163.71671018857279</v>
      </c>
      <c r="P1167" s="493">
        <v>161.75210966630644</v>
      </c>
      <c r="Q1167" s="493">
        <v>159.7875091440433</v>
      </c>
      <c r="R1167" s="493">
        <v>157.82290862178019</v>
      </c>
      <c r="S1167" s="493">
        <v>155.85830809951784</v>
      </c>
      <c r="T1167" s="493">
        <v>153.8937075772551</v>
      </c>
      <c r="U1167" s="493">
        <v>152.91140731612393</v>
      </c>
      <c r="V1167" s="493">
        <v>151.92910705499236</v>
      </c>
      <c r="W1167" s="493">
        <v>150.94680679386079</v>
      </c>
      <c r="X1167" s="493">
        <v>149.96450653272964</v>
      </c>
      <c r="Y1167" s="493">
        <v>148.98220627159847</v>
      </c>
      <c r="Z1167" s="493">
        <v>147.9999060104669</v>
      </c>
      <c r="AA1167" s="493">
        <v>147.01760574933573</v>
      </c>
      <c r="AB1167" s="493">
        <v>146.03530548820416</v>
      </c>
      <c r="AC1167" s="493">
        <v>145.05300522707259</v>
      </c>
      <c r="AD1167" s="493">
        <v>144.07070496594142</v>
      </c>
      <c r="AE1167" s="493">
        <v>143.08840470480985</v>
      </c>
      <c r="AF1167" s="493">
        <v>142.10610444367867</v>
      </c>
      <c r="AG1167" s="493">
        <v>141.12380418254713</v>
      </c>
      <c r="AH1167" s="493">
        <v>140.14150392141556</v>
      </c>
      <c r="AI1167" s="493">
        <v>139.15920366028439</v>
      </c>
    </row>
    <row r="1168" spans="2:35" outlineLevel="1">
      <c r="B1168" t="str">
        <f t="shared" si="100"/>
        <v>Bio-oil (HTL) - Finance cost - Middle East - USD/ton fuel</v>
      </c>
      <c r="C1168" t="str">
        <f>C1146</f>
        <v>Bio-oil (HTL)</v>
      </c>
      <c r="D1168" t="s">
        <v>1366</v>
      </c>
      <c r="E1168" t="s">
        <v>826</v>
      </c>
      <c r="F1168" t="s">
        <v>1353</v>
      </c>
      <c r="G1168" s="487" t="str">
        <f t="shared" si="101"/>
        <v>Bio-oil (HTL)Middle EastFinance cost</v>
      </c>
      <c r="H1168" s="518">
        <v>0</v>
      </c>
      <c r="I1168" s="518">
        <v>0</v>
      </c>
      <c r="J1168" s="518">
        <v>0</v>
      </c>
      <c r="K1168" s="518">
        <v>0</v>
      </c>
      <c r="L1168" s="518">
        <v>0</v>
      </c>
      <c r="M1168" s="518">
        <v>0</v>
      </c>
      <c r="N1168" s="518">
        <v>0</v>
      </c>
      <c r="O1168" s="493">
        <v>163.71671018857279</v>
      </c>
      <c r="P1168" s="493">
        <v>161.75210966630644</v>
      </c>
      <c r="Q1168" s="493">
        <v>159.7875091440433</v>
      </c>
      <c r="R1168" s="493">
        <v>157.82290862178019</v>
      </c>
      <c r="S1168" s="493">
        <v>155.85830809951784</v>
      </c>
      <c r="T1168" s="493">
        <v>153.8937075772551</v>
      </c>
      <c r="U1168" s="493">
        <v>152.91140731612393</v>
      </c>
      <c r="V1168" s="493">
        <v>151.92910705499236</v>
      </c>
      <c r="W1168" s="493">
        <v>150.94680679386079</v>
      </c>
      <c r="X1168" s="493">
        <v>149.96450653272964</v>
      </c>
      <c r="Y1168" s="493">
        <v>148.98220627159847</v>
      </c>
      <c r="Z1168" s="493">
        <v>147.9999060104669</v>
      </c>
      <c r="AA1168" s="493">
        <v>147.01760574933573</v>
      </c>
      <c r="AB1168" s="493">
        <v>146.03530548820416</v>
      </c>
      <c r="AC1168" s="493">
        <v>145.05300522707259</v>
      </c>
      <c r="AD1168" s="493">
        <v>144.07070496594142</v>
      </c>
      <c r="AE1168" s="493">
        <v>143.08840470480985</v>
      </c>
      <c r="AF1168" s="493">
        <v>142.10610444367867</v>
      </c>
      <c r="AG1168" s="493">
        <v>141.12380418254713</v>
      </c>
      <c r="AH1168" s="493">
        <v>140.14150392141556</v>
      </c>
      <c r="AI1168" s="493">
        <v>139.15920366028439</v>
      </c>
    </row>
    <row r="1169" spans="2:64" ht="15" outlineLevel="1" thickBot="1">
      <c r="B1169" t="str">
        <f t="shared" si="100"/>
        <v/>
      </c>
      <c r="G1169" s="487" t="str">
        <f t="shared" si="101"/>
        <v/>
      </c>
      <c r="H1169" s="522"/>
      <c r="I1169" s="209"/>
      <c r="J1169" s="209"/>
      <c r="K1169" s="209"/>
      <c r="L1169" s="209"/>
      <c r="M1169" s="209"/>
      <c r="N1169" s="209"/>
    </row>
    <row r="1170" spans="2:64" ht="15" outlineLevel="1">
      <c r="B1170" t="str">
        <f t="shared" si="100"/>
        <v>Bio-oil (HTL) - Energy cost including feedstock energy cost - Africa - USD/ton fuel</v>
      </c>
      <c r="C1170" s="494" t="str">
        <f>C1146</f>
        <v>Bio-oil (HTL)</v>
      </c>
      <c r="D1170" s="494" t="s">
        <v>1367</v>
      </c>
      <c r="E1170" s="494" t="s">
        <v>838</v>
      </c>
      <c r="F1170" s="494" t="s">
        <v>1353</v>
      </c>
      <c r="G1170" s="487" t="str">
        <f t="shared" si="101"/>
        <v>Bio-oil (HTL)AfricaEnergy cost including feedstock energy cost</v>
      </c>
      <c r="H1170" s="519">
        <v>0</v>
      </c>
      <c r="I1170" s="519">
        <v>0</v>
      </c>
      <c r="J1170" s="519">
        <v>0</v>
      </c>
      <c r="K1170" s="519">
        <v>0</v>
      </c>
      <c r="L1170" s="519">
        <v>0</v>
      </c>
      <c r="M1170" s="519">
        <v>0</v>
      </c>
      <c r="N1170" s="519">
        <v>0</v>
      </c>
      <c r="O1170" s="495">
        <v>28.008812897662576</v>
      </c>
      <c r="P1170" s="495">
        <v>27.137978077940755</v>
      </c>
      <c r="Q1170" s="495">
        <v>26.268392984923963</v>
      </c>
      <c r="R1170" s="495">
        <v>25.400057618611843</v>
      </c>
      <c r="S1170" s="495">
        <v>24.532971979005112</v>
      </c>
      <c r="T1170" s="495">
        <v>23.667136066103495</v>
      </c>
      <c r="U1170" s="495">
        <v>23.250955982451714</v>
      </c>
      <c r="V1170" s="495">
        <v>22.835364124624419</v>
      </c>
      <c r="W1170" s="495">
        <v>22.420360492621437</v>
      </c>
      <c r="X1170" s="495">
        <v>22.005945086442861</v>
      </c>
      <c r="Y1170" s="495">
        <v>21.592117906088863</v>
      </c>
      <c r="Z1170" s="495">
        <v>21.167647807796744</v>
      </c>
      <c r="AA1170" s="495">
        <v>20.743782565149747</v>
      </c>
      <c r="AB1170" s="495">
        <v>20.32052217814768</v>
      </c>
      <c r="AC1170" s="495">
        <v>19.897866646790909</v>
      </c>
      <c r="AD1170" s="495">
        <v>19.475815971079165</v>
      </c>
      <c r="AE1170" s="495">
        <v>19.261595600643414</v>
      </c>
      <c r="AF1170" s="495">
        <v>19.047672109557293</v>
      </c>
      <c r="AG1170" s="495">
        <v>18.834045497820629</v>
      </c>
      <c r="AH1170" s="495">
        <v>18.620715765433513</v>
      </c>
      <c r="AI1170" s="495">
        <v>18.40768291239602</v>
      </c>
      <c r="AK1170" s="499" t="e">
        <f>H1153+H1156+H1159+H1170+#REF!=H1147</f>
        <v>#DIV/0!</v>
      </c>
      <c r="AL1170" s="500" t="e">
        <f>I1153+I1156+I1159+I1170+#REF!=I1147</f>
        <v>#DIV/0!</v>
      </c>
      <c r="AM1170" s="500" t="e">
        <f>J1153+J1156+J1159+J1170+#REF!=J1147</f>
        <v>#DIV/0!</v>
      </c>
      <c r="AN1170" s="500" t="e">
        <f>K1153+K1156+K1159+K1170+#REF!=K1147</f>
        <v>#DIV/0!</v>
      </c>
      <c r="AO1170" s="500" t="e">
        <f>L1153+L1156+L1159+L1170+#REF!=L1147</f>
        <v>#DIV/0!</v>
      </c>
      <c r="AP1170" s="500" t="e">
        <f>M1153+M1156+M1159+M1170+#REF!=M1147</f>
        <v>#DIV/0!</v>
      </c>
      <c r="AQ1170" s="500" t="e">
        <f>N1153+N1156+N1159+N1170+#REF!=N1147</f>
        <v>#DIV/0!</v>
      </c>
      <c r="AR1170" s="500" t="e">
        <f>O1153+O1156+O1159+O1170+#REF!=O1147</f>
        <v>#REF!</v>
      </c>
      <c r="AS1170" s="500" t="e">
        <f>P1153+P1156+P1159+P1170+#REF!=P1147</f>
        <v>#REF!</v>
      </c>
      <c r="AT1170" s="500" t="e">
        <f>Q1153+Q1156+Q1159+Q1170+#REF!=Q1147</f>
        <v>#REF!</v>
      </c>
      <c r="AU1170" s="500" t="e">
        <f>R1153+R1156+R1159+R1170+#REF!=R1147</f>
        <v>#REF!</v>
      </c>
      <c r="AV1170" s="500" t="e">
        <f>S1153+S1156+S1159+S1170+#REF!=S1147</f>
        <v>#REF!</v>
      </c>
      <c r="AW1170" s="500" t="e">
        <f>T1153+T1156+T1159+T1170+#REF!=T1147</f>
        <v>#REF!</v>
      </c>
      <c r="AX1170" s="500" t="e">
        <f>U1153+U1156+U1159+U1170+#REF!=U1147</f>
        <v>#REF!</v>
      </c>
      <c r="AY1170" s="500" t="e">
        <f>V1153+V1156+V1159+V1170+#REF!=V1147</f>
        <v>#REF!</v>
      </c>
      <c r="AZ1170" s="500" t="e">
        <f>W1153+W1156+W1159+W1170+#REF!=W1147</f>
        <v>#REF!</v>
      </c>
      <c r="BA1170" s="500" t="e">
        <f>X1153+X1156+X1159+X1170+#REF!=X1147</f>
        <v>#REF!</v>
      </c>
      <c r="BB1170" s="500" t="e">
        <f>Y1153+Y1156+Y1159+Y1170+#REF!=Y1147</f>
        <v>#REF!</v>
      </c>
      <c r="BC1170" s="500" t="e">
        <f>Z1153+Z1156+Z1159+Z1170+#REF!=Z1147</f>
        <v>#REF!</v>
      </c>
      <c r="BD1170" s="500" t="e">
        <f>AA1153+AA1156+AA1159+AA1170+#REF!=AA1147</f>
        <v>#REF!</v>
      </c>
      <c r="BE1170" s="500" t="e">
        <f>AB1153+AB1156+AB1159+AB1170+#REF!=AB1147</f>
        <v>#REF!</v>
      </c>
      <c r="BF1170" s="500" t="e">
        <f>AC1153+AC1156+AC1159+AC1170+#REF!=AC1147</f>
        <v>#REF!</v>
      </c>
      <c r="BG1170" s="500" t="e">
        <f>AD1153+AD1156+AD1159+AD1170+#REF!=AD1147</f>
        <v>#REF!</v>
      </c>
      <c r="BH1170" s="500" t="e">
        <f>AE1153+AE1156+AE1159+AE1170+#REF!=AE1147</f>
        <v>#REF!</v>
      </c>
      <c r="BI1170" s="500" t="e">
        <f>AF1153+AF1156+AF1159+AF1170+#REF!=AF1147</f>
        <v>#REF!</v>
      </c>
      <c r="BJ1170" s="500" t="e">
        <f>AG1153+AG1156+AG1159+AG1170+#REF!=AG1147</f>
        <v>#REF!</v>
      </c>
      <c r="BK1170" s="500" t="e">
        <f>AH1153+AH1156+AH1159+AH1170+#REF!=AH1147</f>
        <v>#REF!</v>
      </c>
      <c r="BL1170" s="501" t="e">
        <f>AI1153+AI1156+AI1159+AI1170+#REF!=AI1147</f>
        <v>#REF!</v>
      </c>
    </row>
    <row r="1171" spans="2:64" ht="15" outlineLevel="1">
      <c r="B1171" t="str">
        <f t="shared" si="100"/>
        <v>Bio-oil (HTL) - Energy cost including feedstock energy cost - Americas - USD/ton fuel</v>
      </c>
      <c r="C1171" s="22" t="str">
        <f>C1146</f>
        <v>Bio-oil (HTL)</v>
      </c>
      <c r="D1171" s="22" t="s">
        <v>1367</v>
      </c>
      <c r="E1171" s="22" t="s">
        <v>731</v>
      </c>
      <c r="F1171" s="22" t="s">
        <v>1353</v>
      </c>
      <c r="G1171" s="487" t="str">
        <f t="shared" si="101"/>
        <v>Bio-oil (HTL)AmericasEnergy cost including feedstock energy cost</v>
      </c>
      <c r="H1171" s="520">
        <v>0</v>
      </c>
      <c r="I1171" s="520">
        <v>0</v>
      </c>
      <c r="J1171" s="520">
        <v>0</v>
      </c>
      <c r="K1171" s="520">
        <v>0</v>
      </c>
      <c r="L1171" s="520">
        <v>0</v>
      </c>
      <c r="M1171" s="520">
        <v>0</v>
      </c>
      <c r="N1171" s="520">
        <v>0</v>
      </c>
      <c r="O1171" s="496">
        <v>22.925772598561775</v>
      </c>
      <c r="P1171" s="496">
        <v>22.416419453849073</v>
      </c>
      <c r="Q1171" s="496">
        <v>21.907790214234101</v>
      </c>
      <c r="R1171" s="496">
        <v>21.399884879716854</v>
      </c>
      <c r="S1171" s="496">
        <v>20.892703450297333</v>
      </c>
      <c r="T1171" s="496">
        <v>20.386245925975444</v>
      </c>
      <c r="U1171" s="496">
        <v>19.973440242705291</v>
      </c>
      <c r="V1171" s="496">
        <v>19.561221374713785</v>
      </c>
      <c r="W1171" s="496">
        <v>19.14958932200085</v>
      </c>
      <c r="X1171" s="496">
        <v>18.738544084566659</v>
      </c>
      <c r="Y1171" s="496">
        <v>18.328085662411073</v>
      </c>
      <c r="Z1171" s="496">
        <v>18.154864896602287</v>
      </c>
      <c r="AA1171" s="496">
        <v>17.981880539992265</v>
      </c>
      <c r="AB1171" s="496">
        <v>17.809132592581044</v>
      </c>
      <c r="AC1171" s="496">
        <v>17.636621054368536</v>
      </c>
      <c r="AD1171" s="496">
        <v>17.464345925354785</v>
      </c>
      <c r="AE1171" s="496">
        <v>17.331370319575854</v>
      </c>
      <c r="AF1171" s="496">
        <v>17.198573067804258</v>
      </c>
      <c r="AG1171" s="496">
        <v>17.065954170039962</v>
      </c>
      <c r="AH1171" s="496">
        <v>16.933513626282959</v>
      </c>
      <c r="AI1171" s="496">
        <v>16.801251436533249</v>
      </c>
      <c r="AK1171" s="502" t="e">
        <f>H1153+H1156+H1160+H1171+#REF!=H1148</f>
        <v>#DIV/0!</v>
      </c>
      <c r="AL1171" s="106" t="e">
        <f>I1153+I1156+I1160+I1171+#REF!=I1148</f>
        <v>#DIV/0!</v>
      </c>
      <c r="AM1171" s="106" t="e">
        <f>J1153+J1156+J1160+J1171+#REF!=J1148</f>
        <v>#DIV/0!</v>
      </c>
      <c r="AN1171" s="106" t="e">
        <f>K1153+K1156+K1160+K1171+#REF!=K1148</f>
        <v>#DIV/0!</v>
      </c>
      <c r="AO1171" s="106" t="e">
        <f>L1153+L1156+L1160+L1171+#REF!=L1148</f>
        <v>#DIV/0!</v>
      </c>
      <c r="AP1171" s="106" t="e">
        <f>M1153+M1156+M1160+M1171+#REF!=M1148</f>
        <v>#DIV/0!</v>
      </c>
      <c r="AQ1171" s="106" t="e">
        <f>N1153+N1156+N1160+N1171+#REF!=N1148</f>
        <v>#DIV/0!</v>
      </c>
      <c r="AR1171" s="106" t="e">
        <f>O1153+O1156+O1160+O1171+#REF!=O1148</f>
        <v>#REF!</v>
      </c>
      <c r="AS1171" s="106" t="e">
        <f>P1153+P1156+P1160+P1171+#REF!=P1148</f>
        <v>#REF!</v>
      </c>
      <c r="AT1171" s="106" t="e">
        <f>Q1153+Q1156+Q1160+Q1171+#REF!=Q1148</f>
        <v>#REF!</v>
      </c>
      <c r="AU1171" s="106" t="e">
        <f>R1153+R1156+R1160+R1171+#REF!=R1148</f>
        <v>#REF!</v>
      </c>
      <c r="AV1171" s="106" t="e">
        <f>S1153+S1156+S1160+S1171+#REF!=S1148</f>
        <v>#REF!</v>
      </c>
      <c r="AW1171" s="106" t="e">
        <f>T1153+T1156+T1160+T1171+#REF!=T1148</f>
        <v>#REF!</v>
      </c>
      <c r="AX1171" s="106" t="e">
        <f>U1153+U1156+U1160+U1171+#REF!=U1148</f>
        <v>#REF!</v>
      </c>
      <c r="AY1171" s="106" t="e">
        <f>V1153+V1156+V1160+V1171+#REF!=V1148</f>
        <v>#REF!</v>
      </c>
      <c r="AZ1171" s="106" t="e">
        <f>W1153+W1156+W1160+W1171+#REF!=W1148</f>
        <v>#REF!</v>
      </c>
      <c r="BA1171" s="106" t="e">
        <f>X1153+X1156+X1160+X1171+#REF!=X1148</f>
        <v>#REF!</v>
      </c>
      <c r="BB1171" s="106" t="e">
        <f>Y1153+Y1156+Y1160+Y1171+#REF!=Y1148</f>
        <v>#REF!</v>
      </c>
      <c r="BC1171" s="106" t="e">
        <f>Z1153+Z1156+Z1160+Z1171+#REF!=Z1148</f>
        <v>#REF!</v>
      </c>
      <c r="BD1171" s="106" t="e">
        <f>AA1153+AA1156+AA1160+AA1171+#REF!=AA1148</f>
        <v>#REF!</v>
      </c>
      <c r="BE1171" s="106" t="e">
        <f>AB1153+AB1156+AB1160+AB1171+#REF!=AB1148</f>
        <v>#REF!</v>
      </c>
      <c r="BF1171" s="106" t="e">
        <f>AC1153+AC1156+AC1160+AC1171+#REF!=AC1148</f>
        <v>#REF!</v>
      </c>
      <c r="BG1171" s="106" t="e">
        <f>AD1153+AD1156+AD1160+AD1171+#REF!=AD1148</f>
        <v>#REF!</v>
      </c>
      <c r="BH1171" s="106" t="e">
        <f>AE1153+AE1156+AE1160+AE1171+#REF!=AE1148</f>
        <v>#REF!</v>
      </c>
      <c r="BI1171" s="106" t="e">
        <f>AF1153+AF1156+AF1160+AF1171+#REF!=AF1148</f>
        <v>#REF!</v>
      </c>
      <c r="BJ1171" s="106" t="e">
        <f>AG1153+AG1156+AG1160+AG1171+#REF!=AG1148</f>
        <v>#REF!</v>
      </c>
      <c r="BK1171" s="106" t="e">
        <f>AH1153+AH1156+AH1160+AH1171+#REF!=AH1148</f>
        <v>#REF!</v>
      </c>
      <c r="BL1171" s="503" t="e">
        <f>AI1153+AI1156+AI1160+AI1171+#REF!=AI1148</f>
        <v>#REF!</v>
      </c>
    </row>
    <row r="1172" spans="2:64" ht="15" outlineLevel="1">
      <c r="B1172" t="str">
        <f t="shared" si="100"/>
        <v>Bio-oil (HTL) - Energy cost including feedstock energy cost - Asia - USD/ton fuel</v>
      </c>
      <c r="C1172" s="22" t="str">
        <f>C1146</f>
        <v>Bio-oil (HTL)</v>
      </c>
      <c r="D1172" s="22" t="s">
        <v>1367</v>
      </c>
      <c r="E1172" s="22" t="s">
        <v>750</v>
      </c>
      <c r="F1172" s="22" t="s">
        <v>1353</v>
      </c>
      <c r="G1172" s="487" t="str">
        <f t="shared" si="101"/>
        <v>Bio-oil (HTL)AsiaEnergy cost including feedstock energy cost</v>
      </c>
      <c r="H1172" s="520">
        <v>0</v>
      </c>
      <c r="I1172" s="520">
        <v>0</v>
      </c>
      <c r="J1172" s="520">
        <v>0</v>
      </c>
      <c r="K1172" s="520">
        <v>0</v>
      </c>
      <c r="L1172" s="520">
        <v>0</v>
      </c>
      <c r="M1172" s="520">
        <v>0</v>
      </c>
      <c r="N1172" s="520">
        <v>0</v>
      </c>
      <c r="O1172" s="496">
        <v>34.527335212509463</v>
      </c>
      <c r="P1172" s="496">
        <v>33.393219311678408</v>
      </c>
      <c r="Q1172" s="496">
        <v>32.260733073873553</v>
      </c>
      <c r="R1172" s="496">
        <v>31.129876499094891</v>
      </c>
      <c r="S1172" s="496">
        <v>30.000649587341687</v>
      </c>
      <c r="T1172" s="496">
        <v>28.873052338614315</v>
      </c>
      <c r="U1172" s="496">
        <v>28.29012168889658</v>
      </c>
      <c r="V1172" s="496">
        <v>27.708019599344272</v>
      </c>
      <c r="W1172" s="496">
        <v>27.126746069957587</v>
      </c>
      <c r="X1172" s="496">
        <v>26.546301100736152</v>
      </c>
      <c r="Y1172" s="496">
        <v>25.966684691680509</v>
      </c>
      <c r="Z1172" s="496">
        <v>25.361748831872703</v>
      </c>
      <c r="AA1172" s="496">
        <v>24.757680249278636</v>
      </c>
      <c r="AB1172" s="496">
        <v>24.154478943897953</v>
      </c>
      <c r="AC1172" s="496">
        <v>23.552144915731006</v>
      </c>
      <c r="AD1172" s="496">
        <v>22.950678164777436</v>
      </c>
      <c r="AE1172" s="496">
        <v>22.666024515208182</v>
      </c>
      <c r="AF1172" s="496">
        <v>22.381768587473442</v>
      </c>
      <c r="AG1172" s="496">
        <v>22.09791038157341</v>
      </c>
      <c r="AH1172" s="496">
        <v>21.814449897507988</v>
      </c>
      <c r="AI1172" s="496">
        <v>21.531387135277079</v>
      </c>
      <c r="AK1172" s="502" t="e">
        <f>H1153+H1156+H1161+H1172+#REF!=H1149</f>
        <v>#DIV/0!</v>
      </c>
      <c r="AL1172" s="106" t="e">
        <f>I1153+I1156+I1161+I1172+#REF!=I1149</f>
        <v>#DIV/0!</v>
      </c>
      <c r="AM1172" s="106" t="e">
        <f>J1153+J1156+J1161+J1172+#REF!=J1149</f>
        <v>#DIV/0!</v>
      </c>
      <c r="AN1172" s="106" t="e">
        <f>K1153+K1156+K1161+K1172+#REF!=K1149</f>
        <v>#DIV/0!</v>
      </c>
      <c r="AO1172" s="106" t="e">
        <f>L1153+L1156+L1161+L1172+#REF!=L1149</f>
        <v>#DIV/0!</v>
      </c>
      <c r="AP1172" s="106" t="e">
        <f>M1153+M1156+M1161+M1172+#REF!=M1149</f>
        <v>#DIV/0!</v>
      </c>
      <c r="AQ1172" s="106" t="e">
        <f>N1153+N1156+N1161+N1172+#REF!=N1149</f>
        <v>#DIV/0!</v>
      </c>
      <c r="AR1172" s="106" t="e">
        <f>O1153+O1156+O1161+O1172+#REF!=O1149</f>
        <v>#REF!</v>
      </c>
      <c r="AS1172" s="106" t="e">
        <f>P1153+P1156+P1161+P1172+#REF!=P1149</f>
        <v>#REF!</v>
      </c>
      <c r="AT1172" s="106" t="e">
        <f>Q1153+Q1156+Q1161+Q1172+#REF!=Q1149</f>
        <v>#REF!</v>
      </c>
      <c r="AU1172" s="106" t="e">
        <f>R1153+R1156+R1161+R1172+#REF!=R1149</f>
        <v>#REF!</v>
      </c>
      <c r="AV1172" s="106" t="e">
        <f>S1153+S1156+S1161+S1172+#REF!=S1149</f>
        <v>#REF!</v>
      </c>
      <c r="AW1172" s="106" t="e">
        <f>T1153+T1156+T1161+T1172+#REF!=T1149</f>
        <v>#REF!</v>
      </c>
      <c r="AX1172" s="106" t="e">
        <f>U1153+U1156+U1161+U1172+#REF!=U1149</f>
        <v>#REF!</v>
      </c>
      <c r="AY1172" s="106" t="e">
        <f>V1153+V1156+V1161+V1172+#REF!=V1149</f>
        <v>#REF!</v>
      </c>
      <c r="AZ1172" s="106" t="e">
        <f>W1153+W1156+W1161+W1172+#REF!=W1149</f>
        <v>#REF!</v>
      </c>
      <c r="BA1172" s="106" t="e">
        <f>X1153+X1156+X1161+X1172+#REF!=X1149</f>
        <v>#REF!</v>
      </c>
      <c r="BB1172" s="106" t="e">
        <f>Y1153+Y1156+Y1161+Y1172+#REF!=Y1149</f>
        <v>#REF!</v>
      </c>
      <c r="BC1172" s="106" t="e">
        <f>Z1153+Z1156+Z1161+Z1172+#REF!=Z1149</f>
        <v>#REF!</v>
      </c>
      <c r="BD1172" s="106" t="e">
        <f>AA1153+AA1156+AA1161+AA1172+#REF!=AA1149</f>
        <v>#REF!</v>
      </c>
      <c r="BE1172" s="106" t="e">
        <f>AB1153+AB1156+AB1161+AB1172+#REF!=AB1149</f>
        <v>#REF!</v>
      </c>
      <c r="BF1172" s="106" t="e">
        <f>AC1153+AC1156+AC1161+AC1172+#REF!=AC1149</f>
        <v>#REF!</v>
      </c>
      <c r="BG1172" s="106" t="e">
        <f>AD1153+AD1156+AD1161+AD1172+#REF!=AD1149</f>
        <v>#REF!</v>
      </c>
      <c r="BH1172" s="106" t="e">
        <f>AE1153+AE1156+AE1161+AE1172+#REF!=AE1149</f>
        <v>#REF!</v>
      </c>
      <c r="BI1172" s="106" t="e">
        <f>AF1153+AF1156+AF1161+AF1172+#REF!=AF1149</f>
        <v>#REF!</v>
      </c>
      <c r="BJ1172" s="106" t="e">
        <f>AG1153+AG1156+AG1161+AG1172+#REF!=AG1149</f>
        <v>#REF!</v>
      </c>
      <c r="BK1172" s="106" t="e">
        <f>AH1153+AH1156+AH1161+AH1172+#REF!=AH1149</f>
        <v>#REF!</v>
      </c>
      <c r="BL1172" s="503" t="e">
        <f>AI1153+AI1156+AI1161+AI1172+#REF!=AI1149</f>
        <v>#REF!</v>
      </c>
    </row>
    <row r="1173" spans="2:64" ht="15" outlineLevel="1">
      <c r="B1173" t="str">
        <f t="shared" si="100"/>
        <v>Bio-oil (HTL) - Energy cost including feedstock energy cost - Europe - USD/ton fuel</v>
      </c>
      <c r="C1173" s="22" t="str">
        <f>C1146</f>
        <v>Bio-oil (HTL)</v>
      </c>
      <c r="D1173" s="22" t="s">
        <v>1367</v>
      </c>
      <c r="E1173" s="22" t="s">
        <v>720</v>
      </c>
      <c r="F1173" s="22" t="s">
        <v>1353</v>
      </c>
      <c r="G1173" s="487" t="str">
        <f t="shared" si="101"/>
        <v>Bio-oil (HTL)EuropeEnergy cost including feedstock energy cost</v>
      </c>
      <c r="H1173" s="520">
        <v>0</v>
      </c>
      <c r="I1173" s="520">
        <v>0</v>
      </c>
      <c r="J1173" s="520">
        <v>0</v>
      </c>
      <c r="K1173" s="520">
        <v>0</v>
      </c>
      <c r="L1173" s="520">
        <v>0</v>
      </c>
      <c r="M1173" s="520">
        <v>0</v>
      </c>
      <c r="N1173" s="520">
        <v>0</v>
      </c>
      <c r="O1173" s="496">
        <v>28.519294993999274</v>
      </c>
      <c r="P1173" s="496">
        <v>27.940862927206791</v>
      </c>
      <c r="Q1173" s="496">
        <v>27.363250260665311</v>
      </c>
      <c r="R1173" s="496">
        <v>26.786456994374099</v>
      </c>
      <c r="S1173" s="496">
        <v>26.210483128333337</v>
      </c>
      <c r="T1173" s="496">
        <v>25.635328662543206</v>
      </c>
      <c r="U1173" s="496">
        <v>25.284807699794289</v>
      </c>
      <c r="V1173" s="496">
        <v>24.934775960642973</v>
      </c>
      <c r="W1173" s="496">
        <v>24.585233445089184</v>
      </c>
      <c r="X1173" s="496">
        <v>24.23618015313291</v>
      </c>
      <c r="Y1173" s="496">
        <v>23.887616084773974</v>
      </c>
      <c r="Z1173" s="496">
        <v>23.516472689579896</v>
      </c>
      <c r="AA1173" s="496">
        <v>23.145852675310945</v>
      </c>
      <c r="AB1173" s="496">
        <v>22.775756041967284</v>
      </c>
      <c r="AC1173" s="496">
        <v>22.40618278954874</v>
      </c>
      <c r="AD1173" s="496">
        <v>22.037132918055491</v>
      </c>
      <c r="AE1173" s="496">
        <v>21.763824042575106</v>
      </c>
      <c r="AF1173" s="496">
        <v>21.490897036596305</v>
      </c>
      <c r="AG1173" s="496">
        <v>21.218351900119281</v>
      </c>
      <c r="AH1173" s="496">
        <v>20.946188633143937</v>
      </c>
      <c r="AI1173" s="496">
        <v>20.674407235670177</v>
      </c>
      <c r="AK1173" s="502" t="e">
        <f>H1153+H1156+H1162+H1173+#REF!=H1150</f>
        <v>#DIV/0!</v>
      </c>
      <c r="AL1173" s="106" t="e">
        <f>I1153+I1156+I1162+I1173+#REF!=I1150</f>
        <v>#DIV/0!</v>
      </c>
      <c r="AM1173" s="106" t="e">
        <f>J1153+J1156+J1162+J1173+#REF!=J1150</f>
        <v>#DIV/0!</v>
      </c>
      <c r="AN1173" s="106" t="e">
        <f>K1153+K1156+K1162+K1173+#REF!=K1150</f>
        <v>#DIV/0!</v>
      </c>
      <c r="AO1173" s="106" t="e">
        <f>L1153+L1156+L1162+L1173+#REF!=L1150</f>
        <v>#DIV/0!</v>
      </c>
      <c r="AP1173" s="106" t="e">
        <f>M1153+M1156+M1162+M1173+#REF!=M1150</f>
        <v>#DIV/0!</v>
      </c>
      <c r="AQ1173" s="106" t="e">
        <f>N1153+N1156+N1162+N1173+#REF!=N1150</f>
        <v>#DIV/0!</v>
      </c>
      <c r="AR1173" s="106" t="e">
        <f>O1153+O1156+O1162+O1173+#REF!=O1150</f>
        <v>#REF!</v>
      </c>
      <c r="AS1173" s="106" t="e">
        <f>P1153+P1156+P1162+P1173+#REF!=P1150</f>
        <v>#REF!</v>
      </c>
      <c r="AT1173" s="106" t="e">
        <f>Q1153+Q1156+Q1162+Q1173+#REF!=Q1150</f>
        <v>#REF!</v>
      </c>
      <c r="AU1173" s="106" t="e">
        <f>R1153+R1156+R1162+R1173+#REF!=R1150</f>
        <v>#REF!</v>
      </c>
      <c r="AV1173" s="106" t="e">
        <f>S1153+S1156+S1162+S1173+#REF!=S1150</f>
        <v>#REF!</v>
      </c>
      <c r="AW1173" s="106" t="e">
        <f>T1153+T1156+T1162+T1173+#REF!=T1150</f>
        <v>#REF!</v>
      </c>
      <c r="AX1173" s="106" t="e">
        <f>U1153+U1156+U1162+U1173+#REF!=U1150</f>
        <v>#REF!</v>
      </c>
      <c r="AY1173" s="106" t="e">
        <f>V1153+V1156+V1162+V1173+#REF!=V1150</f>
        <v>#REF!</v>
      </c>
      <c r="AZ1173" s="106" t="e">
        <f>W1153+W1156+W1162+W1173+#REF!=W1150</f>
        <v>#REF!</v>
      </c>
      <c r="BA1173" s="106" t="e">
        <f>X1153+X1156+X1162+X1173+#REF!=X1150</f>
        <v>#REF!</v>
      </c>
      <c r="BB1173" s="106" t="e">
        <f>Y1153+Y1156+Y1162+Y1173+#REF!=Y1150</f>
        <v>#REF!</v>
      </c>
      <c r="BC1173" s="106" t="e">
        <f>Z1153+Z1156+Z1162+Z1173+#REF!=Z1150</f>
        <v>#REF!</v>
      </c>
      <c r="BD1173" s="106" t="e">
        <f>AA1153+AA1156+AA1162+AA1173+#REF!=AA1150</f>
        <v>#REF!</v>
      </c>
      <c r="BE1173" s="106" t="e">
        <f>AB1153+AB1156+AB1162+AB1173+#REF!=AB1150</f>
        <v>#REF!</v>
      </c>
      <c r="BF1173" s="106" t="e">
        <f>AC1153+AC1156+AC1162+AC1173+#REF!=AC1150</f>
        <v>#REF!</v>
      </c>
      <c r="BG1173" s="106" t="e">
        <f>AD1153+AD1156+AD1162+AD1173+#REF!=AD1150</f>
        <v>#REF!</v>
      </c>
      <c r="BH1173" s="106" t="e">
        <f>AE1153+AE1156+AE1162+AE1173+#REF!=AE1150</f>
        <v>#REF!</v>
      </c>
      <c r="BI1173" s="106" t="e">
        <f>AF1153+AF1156+AF1162+AF1173+#REF!=AF1150</f>
        <v>#REF!</v>
      </c>
      <c r="BJ1173" s="106" t="e">
        <f>AG1153+AG1156+AG1162+AG1173+#REF!=AG1150</f>
        <v>#REF!</v>
      </c>
      <c r="BK1173" s="106" t="e">
        <f>AH1153+AH1156+AH1162+AH1173+#REF!=AH1150</f>
        <v>#REF!</v>
      </c>
      <c r="BL1173" s="503" t="e">
        <f>AI1153+AI1156+AI1162+AI1173+#REF!=AI1150</f>
        <v>#REF!</v>
      </c>
    </row>
    <row r="1174" spans="2:64" ht="15.75" outlineLevel="1" thickBot="1">
      <c r="B1174" t="str">
        <f t="shared" si="100"/>
        <v>Bio-oil (HTL) - Energy cost including feedstock energy cost - Middle East - USD/ton fuel</v>
      </c>
      <c r="C1174" s="92" t="str">
        <f>C1146</f>
        <v>Bio-oil (HTL)</v>
      </c>
      <c r="D1174" s="92" t="s">
        <v>1367</v>
      </c>
      <c r="E1174" s="92" t="s">
        <v>826</v>
      </c>
      <c r="F1174" s="92" t="s">
        <v>1353</v>
      </c>
      <c r="G1174" s="487" t="str">
        <f t="shared" si="101"/>
        <v>Bio-oil (HTL)Middle EastEnergy cost including feedstock energy cost</v>
      </c>
      <c r="H1174" s="521">
        <v>0</v>
      </c>
      <c r="I1174" s="521">
        <v>0</v>
      </c>
      <c r="J1174" s="521">
        <v>0</v>
      </c>
      <c r="K1174" s="521">
        <v>0</v>
      </c>
      <c r="L1174" s="521">
        <v>0</v>
      </c>
      <c r="M1174" s="521">
        <v>0</v>
      </c>
      <c r="N1174" s="521">
        <v>0</v>
      </c>
      <c r="O1174" s="497">
        <v>22.605707379829585</v>
      </c>
      <c r="P1174" s="497">
        <v>21.981322994528728</v>
      </c>
      <c r="Q1174" s="497">
        <v>21.3578319334555</v>
      </c>
      <c r="R1174" s="497">
        <v>20.735234196609536</v>
      </c>
      <c r="S1174" s="497">
        <v>20.113529783991197</v>
      </c>
      <c r="T1174" s="497">
        <v>19.492718695600299</v>
      </c>
      <c r="U1174" s="497">
        <v>19.174734662129126</v>
      </c>
      <c r="V1174" s="497">
        <v>18.85719853203226</v>
      </c>
      <c r="W1174" s="497">
        <v>18.540110305309806</v>
      </c>
      <c r="X1174" s="497">
        <v>18.223469981961575</v>
      </c>
      <c r="Y1174" s="497">
        <v>17.907277561987655</v>
      </c>
      <c r="Z1174" s="497">
        <v>17.497336741317316</v>
      </c>
      <c r="AA1174" s="497">
        <v>17.087983299366162</v>
      </c>
      <c r="AB1174" s="497">
        <v>16.679217236134008</v>
      </c>
      <c r="AC1174" s="497">
        <v>16.271038551621039</v>
      </c>
      <c r="AD1174" s="497">
        <v>15.863447245827025</v>
      </c>
      <c r="AE1174" s="497">
        <v>15.666690426572224</v>
      </c>
      <c r="AF1174" s="497">
        <v>15.470208518984192</v>
      </c>
      <c r="AG1174" s="497">
        <v>15.274001523062848</v>
      </c>
      <c r="AH1174" s="497">
        <v>15.078069438808232</v>
      </c>
      <c r="AI1174" s="497">
        <v>14.882412266220385</v>
      </c>
      <c r="AK1174" s="504" t="e">
        <f>H1153+H1156+H1163+H1174+#REF!=H1151</f>
        <v>#DIV/0!</v>
      </c>
      <c r="AL1174" s="505" t="e">
        <f>I1153+I1156+I1163+I1174+#REF!=I1151</f>
        <v>#DIV/0!</v>
      </c>
      <c r="AM1174" s="505" t="e">
        <f>J1153+J1156+J1163+J1174+#REF!=J1151</f>
        <v>#DIV/0!</v>
      </c>
      <c r="AN1174" s="505" t="e">
        <f>K1153+K1156+K1163+K1174+#REF!=K1151</f>
        <v>#DIV/0!</v>
      </c>
      <c r="AO1174" s="505" t="e">
        <f>L1153+L1156+L1163+L1174+#REF!=L1151</f>
        <v>#DIV/0!</v>
      </c>
      <c r="AP1174" s="505" t="e">
        <f>M1153+M1156+M1163+M1174+#REF!=M1151</f>
        <v>#DIV/0!</v>
      </c>
      <c r="AQ1174" s="505" t="e">
        <f>N1153+N1156+N1163+N1174+#REF!=N1151</f>
        <v>#DIV/0!</v>
      </c>
      <c r="AR1174" s="505" t="e">
        <f>O1153+O1156+O1163+O1174+#REF!=O1151</f>
        <v>#REF!</v>
      </c>
      <c r="AS1174" s="505" t="e">
        <f>P1153+P1156+P1163+P1174+#REF!=P1151</f>
        <v>#REF!</v>
      </c>
      <c r="AT1174" s="505" t="e">
        <f>Q1153+Q1156+Q1163+Q1174+#REF!=Q1151</f>
        <v>#REF!</v>
      </c>
      <c r="AU1174" s="505" t="e">
        <f>R1153+R1156+R1163+R1174+#REF!=R1151</f>
        <v>#REF!</v>
      </c>
      <c r="AV1174" s="505" t="e">
        <f>S1153+S1156+S1163+S1174+#REF!=S1151</f>
        <v>#REF!</v>
      </c>
      <c r="AW1174" s="505" t="e">
        <f>T1153+T1156+T1163+T1174+#REF!=T1151</f>
        <v>#REF!</v>
      </c>
      <c r="AX1174" s="505" t="e">
        <f>U1153+U1156+U1163+U1174+#REF!=U1151</f>
        <v>#REF!</v>
      </c>
      <c r="AY1174" s="505" t="e">
        <f>V1153+V1156+V1163+V1174+#REF!=V1151</f>
        <v>#REF!</v>
      </c>
      <c r="AZ1174" s="505" t="e">
        <f>W1153+W1156+W1163+W1174+#REF!=W1151</f>
        <v>#REF!</v>
      </c>
      <c r="BA1174" s="505" t="e">
        <f>X1153+X1156+X1163+X1174+#REF!=X1151</f>
        <v>#REF!</v>
      </c>
      <c r="BB1174" s="505" t="e">
        <f>Y1153+Y1156+Y1163+Y1174+#REF!=Y1151</f>
        <v>#REF!</v>
      </c>
      <c r="BC1174" s="505" t="e">
        <f>Z1153+Z1156+Z1163+Z1174+#REF!=Z1151</f>
        <v>#REF!</v>
      </c>
      <c r="BD1174" s="505" t="e">
        <f>AA1153+AA1156+AA1163+AA1174+#REF!=AA1151</f>
        <v>#REF!</v>
      </c>
      <c r="BE1174" s="505" t="e">
        <f>AB1153+AB1156+AB1163+AB1174+#REF!=AB1151</f>
        <v>#REF!</v>
      </c>
      <c r="BF1174" s="505" t="e">
        <f>AC1153+AC1156+AC1163+AC1174+#REF!=AC1151</f>
        <v>#REF!</v>
      </c>
      <c r="BG1174" s="505" t="e">
        <f>AD1153+AD1156+AD1163+AD1174+#REF!=AD1151</f>
        <v>#REF!</v>
      </c>
      <c r="BH1174" s="505" t="e">
        <f>AE1153+AE1156+AE1163+AE1174+#REF!=AE1151</f>
        <v>#REF!</v>
      </c>
      <c r="BI1174" s="505" t="e">
        <f>AF1153+AF1156+AF1163+AF1174+#REF!=AF1151</f>
        <v>#REF!</v>
      </c>
      <c r="BJ1174" s="505" t="e">
        <f>AG1153+AG1156+AG1163+AG1174+#REF!=AG1151</f>
        <v>#REF!</v>
      </c>
      <c r="BK1174" s="505" t="e">
        <f>AH1153+AH1156+AH1163+AH1174+#REF!=AH1151</f>
        <v>#REF!</v>
      </c>
      <c r="BL1174" s="506" t="e">
        <f>AI1153+AI1156+AI1163+AI1174+#REF!=AI1151</f>
        <v>#REF!</v>
      </c>
    </row>
    <row r="1175" spans="2:64" outlineLevel="1">
      <c r="B1175" t="str">
        <f t="shared" si="100"/>
        <v>Bio-oil (HTL) - Energy cost - Africa - USD/ton fuel</v>
      </c>
      <c r="C1175" t="str">
        <f>C1146</f>
        <v>Bio-oil (HTL)</v>
      </c>
      <c r="D1175" t="s">
        <v>1368</v>
      </c>
      <c r="E1175" t="s">
        <v>838</v>
      </c>
      <c r="F1175" t="s">
        <v>1353</v>
      </c>
      <c r="G1175" s="487" t="str">
        <f t="shared" si="101"/>
        <v>Bio-oil (HTL)AfricaEnergy cost</v>
      </c>
      <c r="H1175" s="518">
        <v>0</v>
      </c>
      <c r="I1175" s="518">
        <v>0</v>
      </c>
      <c r="J1175" s="518">
        <v>0</v>
      </c>
      <c r="K1175" s="518">
        <v>0</v>
      </c>
      <c r="L1175" s="518">
        <v>0</v>
      </c>
      <c r="M1175" s="518">
        <v>0</v>
      </c>
      <c r="N1175" s="518">
        <v>0</v>
      </c>
      <c r="O1175" s="493">
        <v>28.008812897662576</v>
      </c>
      <c r="P1175" s="493">
        <v>27.137978077940755</v>
      </c>
      <c r="Q1175" s="493">
        <v>26.268392984923963</v>
      </c>
      <c r="R1175" s="493">
        <v>25.400057618611843</v>
      </c>
      <c r="S1175" s="493">
        <v>24.532971979005112</v>
      </c>
      <c r="T1175" s="493">
        <v>23.667136066103495</v>
      </c>
      <c r="U1175" s="493">
        <v>23.250955982451714</v>
      </c>
      <c r="V1175" s="493">
        <v>22.835364124624419</v>
      </c>
      <c r="W1175" s="493">
        <v>22.420360492621437</v>
      </c>
      <c r="X1175" s="493">
        <v>22.005945086442861</v>
      </c>
      <c r="Y1175" s="493">
        <v>21.592117906088863</v>
      </c>
      <c r="Z1175" s="493">
        <v>21.167647807796744</v>
      </c>
      <c r="AA1175" s="493">
        <v>20.743782565149747</v>
      </c>
      <c r="AB1175" s="493">
        <v>20.32052217814768</v>
      </c>
      <c r="AC1175" s="493">
        <v>19.897866646790909</v>
      </c>
      <c r="AD1175" s="493">
        <v>19.475815971079165</v>
      </c>
      <c r="AE1175" s="493">
        <v>19.261595600643414</v>
      </c>
      <c r="AF1175" s="493">
        <v>19.047672109557293</v>
      </c>
      <c r="AG1175" s="493">
        <v>18.834045497820629</v>
      </c>
      <c r="AH1175" s="493">
        <v>18.620715765433513</v>
      </c>
      <c r="AI1175" s="493">
        <v>18.40768291239602</v>
      </c>
    </row>
    <row r="1176" spans="2:64" outlineLevel="1">
      <c r="B1176" t="str">
        <f t="shared" si="100"/>
        <v>Bio-oil (HTL) - Energy cost - Americas - USD/ton fuel</v>
      </c>
      <c r="C1176" t="str">
        <f>C1146</f>
        <v>Bio-oil (HTL)</v>
      </c>
      <c r="D1176" t="s">
        <v>1368</v>
      </c>
      <c r="E1176" t="s">
        <v>731</v>
      </c>
      <c r="F1176" t="s">
        <v>1353</v>
      </c>
      <c r="G1176" s="487" t="str">
        <f t="shared" si="101"/>
        <v>Bio-oil (HTL)AmericasEnergy cost</v>
      </c>
      <c r="H1176" s="518">
        <v>0</v>
      </c>
      <c r="I1176" s="518">
        <v>0</v>
      </c>
      <c r="J1176" s="518">
        <v>0</v>
      </c>
      <c r="K1176" s="518">
        <v>0</v>
      </c>
      <c r="L1176" s="518">
        <v>0</v>
      </c>
      <c r="M1176" s="518">
        <v>0</v>
      </c>
      <c r="N1176" s="518">
        <v>0</v>
      </c>
      <c r="O1176" s="493">
        <v>22.925772598561775</v>
      </c>
      <c r="P1176" s="493">
        <v>22.416419453849073</v>
      </c>
      <c r="Q1176" s="493">
        <v>21.907790214234101</v>
      </c>
      <c r="R1176" s="493">
        <v>21.399884879716854</v>
      </c>
      <c r="S1176" s="493">
        <v>20.892703450297333</v>
      </c>
      <c r="T1176" s="493">
        <v>20.386245925975444</v>
      </c>
      <c r="U1176" s="493">
        <v>19.973440242705291</v>
      </c>
      <c r="V1176" s="493">
        <v>19.561221374713785</v>
      </c>
      <c r="W1176" s="493">
        <v>19.14958932200085</v>
      </c>
      <c r="X1176" s="493">
        <v>18.738544084566659</v>
      </c>
      <c r="Y1176" s="493">
        <v>18.328085662411073</v>
      </c>
      <c r="Z1176" s="493">
        <v>18.154864896602287</v>
      </c>
      <c r="AA1176" s="493">
        <v>17.981880539992265</v>
      </c>
      <c r="AB1176" s="493">
        <v>17.809132592581044</v>
      </c>
      <c r="AC1176" s="493">
        <v>17.636621054368536</v>
      </c>
      <c r="AD1176" s="493">
        <v>17.464345925354785</v>
      </c>
      <c r="AE1176" s="493">
        <v>17.331370319575854</v>
      </c>
      <c r="AF1176" s="493">
        <v>17.198573067804258</v>
      </c>
      <c r="AG1176" s="493">
        <v>17.065954170039962</v>
      </c>
      <c r="AH1176" s="493">
        <v>16.933513626282959</v>
      </c>
      <c r="AI1176" s="493">
        <v>16.801251436533249</v>
      </c>
    </row>
    <row r="1177" spans="2:64" outlineLevel="1">
      <c r="B1177" t="str">
        <f t="shared" si="100"/>
        <v>Bio-oil (HTL) - Energy cost - Asia - USD/ton fuel</v>
      </c>
      <c r="C1177" t="str">
        <f>C1146</f>
        <v>Bio-oil (HTL)</v>
      </c>
      <c r="D1177" t="s">
        <v>1368</v>
      </c>
      <c r="E1177" t="s">
        <v>750</v>
      </c>
      <c r="F1177" t="s">
        <v>1353</v>
      </c>
      <c r="G1177" s="487" t="str">
        <f t="shared" si="101"/>
        <v>Bio-oil (HTL)AsiaEnergy cost</v>
      </c>
      <c r="H1177" s="518">
        <v>0</v>
      </c>
      <c r="I1177" s="518">
        <v>0</v>
      </c>
      <c r="J1177" s="518">
        <v>0</v>
      </c>
      <c r="K1177" s="518">
        <v>0</v>
      </c>
      <c r="L1177" s="518">
        <v>0</v>
      </c>
      <c r="M1177" s="518">
        <v>0</v>
      </c>
      <c r="N1177" s="518">
        <v>0</v>
      </c>
      <c r="O1177" s="493">
        <v>34.527335212509463</v>
      </c>
      <c r="P1177" s="493">
        <v>33.393219311678408</v>
      </c>
      <c r="Q1177" s="493">
        <v>32.260733073873553</v>
      </c>
      <c r="R1177" s="493">
        <v>31.129876499094891</v>
      </c>
      <c r="S1177" s="493">
        <v>30.000649587341687</v>
      </c>
      <c r="T1177" s="493">
        <v>28.873052338614315</v>
      </c>
      <c r="U1177" s="493">
        <v>28.29012168889658</v>
      </c>
      <c r="V1177" s="493">
        <v>27.708019599344272</v>
      </c>
      <c r="W1177" s="493">
        <v>27.126746069957587</v>
      </c>
      <c r="X1177" s="493">
        <v>26.546301100736152</v>
      </c>
      <c r="Y1177" s="493">
        <v>25.966684691680509</v>
      </c>
      <c r="Z1177" s="493">
        <v>25.361748831872703</v>
      </c>
      <c r="AA1177" s="493">
        <v>24.757680249278636</v>
      </c>
      <c r="AB1177" s="493">
        <v>24.154478943897953</v>
      </c>
      <c r="AC1177" s="493">
        <v>23.552144915731006</v>
      </c>
      <c r="AD1177" s="493">
        <v>22.950678164777436</v>
      </c>
      <c r="AE1177" s="493">
        <v>22.666024515208182</v>
      </c>
      <c r="AF1177" s="493">
        <v>22.381768587473442</v>
      </c>
      <c r="AG1177" s="493">
        <v>22.09791038157341</v>
      </c>
      <c r="AH1177" s="493">
        <v>21.814449897507988</v>
      </c>
      <c r="AI1177" s="493">
        <v>21.531387135277079</v>
      </c>
    </row>
    <row r="1178" spans="2:64" outlineLevel="1">
      <c r="B1178" t="str">
        <f t="shared" si="100"/>
        <v>Bio-oil (HTL) - Energy cost - Europe - USD/ton fuel</v>
      </c>
      <c r="C1178" t="str">
        <f>C1146</f>
        <v>Bio-oil (HTL)</v>
      </c>
      <c r="D1178" t="s">
        <v>1368</v>
      </c>
      <c r="E1178" t="s">
        <v>720</v>
      </c>
      <c r="F1178" t="s">
        <v>1353</v>
      </c>
      <c r="G1178" s="487" t="str">
        <f t="shared" si="101"/>
        <v>Bio-oil (HTL)EuropeEnergy cost</v>
      </c>
      <c r="H1178" s="518">
        <v>0</v>
      </c>
      <c r="I1178" s="518">
        <v>0</v>
      </c>
      <c r="J1178" s="518">
        <v>0</v>
      </c>
      <c r="K1178" s="518">
        <v>0</v>
      </c>
      <c r="L1178" s="518">
        <v>0</v>
      </c>
      <c r="M1178" s="518">
        <v>0</v>
      </c>
      <c r="N1178" s="518">
        <v>0</v>
      </c>
      <c r="O1178" s="493">
        <v>28.519294993999274</v>
      </c>
      <c r="P1178" s="493">
        <v>27.940862927206791</v>
      </c>
      <c r="Q1178" s="493">
        <v>27.363250260665311</v>
      </c>
      <c r="R1178" s="493">
        <v>26.786456994374099</v>
      </c>
      <c r="S1178" s="493">
        <v>26.210483128333337</v>
      </c>
      <c r="T1178" s="493">
        <v>25.635328662543206</v>
      </c>
      <c r="U1178" s="493">
        <v>25.284807699794289</v>
      </c>
      <c r="V1178" s="493">
        <v>24.934775960642973</v>
      </c>
      <c r="W1178" s="493">
        <v>24.585233445089184</v>
      </c>
      <c r="X1178" s="493">
        <v>24.23618015313291</v>
      </c>
      <c r="Y1178" s="493">
        <v>23.887616084773974</v>
      </c>
      <c r="Z1178" s="493">
        <v>23.516472689579896</v>
      </c>
      <c r="AA1178" s="493">
        <v>23.145852675310945</v>
      </c>
      <c r="AB1178" s="493">
        <v>22.775756041967284</v>
      </c>
      <c r="AC1178" s="493">
        <v>22.40618278954874</v>
      </c>
      <c r="AD1178" s="493">
        <v>22.037132918055491</v>
      </c>
      <c r="AE1178" s="493">
        <v>21.763824042575106</v>
      </c>
      <c r="AF1178" s="493">
        <v>21.490897036596305</v>
      </c>
      <c r="AG1178" s="493">
        <v>21.218351900119281</v>
      </c>
      <c r="AH1178" s="493">
        <v>20.946188633143937</v>
      </c>
      <c r="AI1178" s="493">
        <v>20.674407235670177</v>
      </c>
    </row>
    <row r="1179" spans="2:64" outlineLevel="1">
      <c r="B1179" t="str">
        <f t="shared" si="100"/>
        <v>Bio-oil (HTL) - Energy cost - Middle East - USD/ton fuel</v>
      </c>
      <c r="C1179" t="str">
        <f>C1146</f>
        <v>Bio-oil (HTL)</v>
      </c>
      <c r="D1179" t="s">
        <v>1368</v>
      </c>
      <c r="E1179" t="s">
        <v>826</v>
      </c>
      <c r="F1179" t="s">
        <v>1353</v>
      </c>
      <c r="G1179" s="487" t="str">
        <f t="shared" si="101"/>
        <v>Bio-oil (HTL)Middle EastEnergy cost</v>
      </c>
      <c r="H1179" s="518">
        <v>0</v>
      </c>
      <c r="I1179" s="518">
        <v>0</v>
      </c>
      <c r="J1179" s="518">
        <v>0</v>
      </c>
      <c r="K1179" s="518">
        <v>0</v>
      </c>
      <c r="L1179" s="518">
        <v>0</v>
      </c>
      <c r="M1179" s="518">
        <v>0</v>
      </c>
      <c r="N1179" s="518">
        <v>0</v>
      </c>
      <c r="O1179" s="493">
        <v>22.605707379829585</v>
      </c>
      <c r="P1179" s="493">
        <v>21.981322994528728</v>
      </c>
      <c r="Q1179" s="493">
        <v>21.3578319334555</v>
      </c>
      <c r="R1179" s="493">
        <v>20.735234196609536</v>
      </c>
      <c r="S1179" s="493">
        <v>20.113529783991197</v>
      </c>
      <c r="T1179" s="493">
        <v>19.492718695600299</v>
      </c>
      <c r="U1179" s="493">
        <v>19.174734662129126</v>
      </c>
      <c r="V1179" s="493">
        <v>18.85719853203226</v>
      </c>
      <c r="W1179" s="493">
        <v>18.540110305309806</v>
      </c>
      <c r="X1179" s="493">
        <v>18.223469981961575</v>
      </c>
      <c r="Y1179" s="493">
        <v>17.907277561987655</v>
      </c>
      <c r="Z1179" s="493">
        <v>17.497336741317316</v>
      </c>
      <c r="AA1179" s="493">
        <v>17.087983299366162</v>
      </c>
      <c r="AB1179" s="493">
        <v>16.679217236134008</v>
      </c>
      <c r="AC1179" s="493">
        <v>16.271038551621039</v>
      </c>
      <c r="AD1179" s="493">
        <v>15.863447245827025</v>
      </c>
      <c r="AE1179" s="493">
        <v>15.666690426572224</v>
      </c>
      <c r="AF1179" s="493">
        <v>15.470208518984192</v>
      </c>
      <c r="AG1179" s="493">
        <v>15.274001523062848</v>
      </c>
      <c r="AH1179" s="493">
        <v>15.078069438808232</v>
      </c>
      <c r="AI1179" s="493">
        <v>14.882412266220385</v>
      </c>
    </row>
    <row r="1180" spans="2:64" ht="15" outlineLevel="1" thickBot="1">
      <c r="B1180" t="str">
        <f t="shared" si="100"/>
        <v/>
      </c>
      <c r="G1180" s="487" t="str">
        <f t="shared" si="101"/>
        <v/>
      </c>
      <c r="H1180" s="209"/>
      <c r="I1180" s="209"/>
      <c r="J1180" s="209"/>
      <c r="K1180" s="209"/>
      <c r="L1180" s="209"/>
      <c r="M1180" s="209"/>
      <c r="N1180" s="209"/>
    </row>
    <row r="1181" spans="2:64" ht="15" outlineLevel="1">
      <c r="B1181" t="str">
        <f t="shared" si="100"/>
        <v>Bio-oil (HTL) - Feedstock cost including feedstock feedstock cost - Africa - USD/ton fuel</v>
      </c>
      <c r="C1181" s="494" t="str">
        <f>C1157</f>
        <v>Bio-oil (HTL)</v>
      </c>
      <c r="D1181" s="494" t="s">
        <v>1369</v>
      </c>
      <c r="E1181" s="494" t="s">
        <v>838</v>
      </c>
      <c r="F1181" s="494" t="s">
        <v>1353</v>
      </c>
      <c r="G1181" s="487" t="str">
        <f t="shared" si="101"/>
        <v>Bio-oil (HTL)AfricaFeedstock cost including feedstock feedstock cost</v>
      </c>
      <c r="H1181" s="519">
        <v>0</v>
      </c>
      <c r="I1181" s="519">
        <v>0</v>
      </c>
      <c r="J1181" s="519">
        <v>0</v>
      </c>
      <c r="K1181" s="519">
        <v>0</v>
      </c>
      <c r="L1181" s="519">
        <v>0</v>
      </c>
      <c r="M1181" s="519">
        <v>0</v>
      </c>
      <c r="N1181" s="519">
        <v>0</v>
      </c>
      <c r="O1181" s="495">
        <v>481.0478339968264</v>
      </c>
      <c r="P1181" s="495">
        <v>478.734266668842</v>
      </c>
      <c r="Q1181" s="495">
        <v>475.94716315966485</v>
      </c>
      <c r="R1181" s="495">
        <v>472.6899836965722</v>
      </c>
      <c r="S1181" s="495">
        <v>468.96618850684553</v>
      </c>
      <c r="T1181" s="495">
        <v>464.77923781777139</v>
      </c>
      <c r="U1181" s="495">
        <v>462.0333819863697</v>
      </c>
      <c r="V1181" s="495">
        <v>458.96182802689265</v>
      </c>
      <c r="W1181" s="495">
        <v>455.56570502465507</v>
      </c>
      <c r="X1181" s="495">
        <v>451.84614206495809</v>
      </c>
      <c r="Y1181" s="495">
        <v>447.80426823311319</v>
      </c>
      <c r="Z1181" s="495">
        <v>443.61933482091933</v>
      </c>
      <c r="AA1181" s="495">
        <v>439.28316435854009</v>
      </c>
      <c r="AB1181" s="495">
        <v>434.79509658732508</v>
      </c>
      <c r="AC1181" s="495">
        <v>430.15447124861703</v>
      </c>
      <c r="AD1181" s="495">
        <v>425.36062808376283</v>
      </c>
      <c r="AE1181" s="495">
        <v>421.82913681927812</v>
      </c>
      <c r="AF1181" s="495">
        <v>418.22183187517879</v>
      </c>
      <c r="AG1181" s="495">
        <v>414.53829719194601</v>
      </c>
      <c r="AH1181" s="495">
        <v>410.77811671006248</v>
      </c>
      <c r="AI1181" s="495">
        <v>406.94087437001093</v>
      </c>
      <c r="AK1181" s="499" t="b">
        <f t="shared" ref="AK1181:BL1181" si="102">H1164+H1167+H1170+H1181+H1451=H1158</f>
        <v>1</v>
      </c>
      <c r="AL1181" s="500" t="b">
        <f t="shared" si="102"/>
        <v>1</v>
      </c>
      <c r="AM1181" s="500" t="b">
        <f t="shared" si="102"/>
        <v>1</v>
      </c>
      <c r="AN1181" s="500" t="b">
        <f t="shared" si="102"/>
        <v>1</v>
      </c>
      <c r="AO1181" s="500" t="b">
        <f t="shared" si="102"/>
        <v>1</v>
      </c>
      <c r="AP1181" s="500" t="b">
        <f t="shared" si="102"/>
        <v>1</v>
      </c>
      <c r="AQ1181" s="500" t="b">
        <f t="shared" si="102"/>
        <v>1</v>
      </c>
      <c r="AR1181" s="500" t="b">
        <f t="shared" si="102"/>
        <v>0</v>
      </c>
      <c r="AS1181" s="500" t="b">
        <f t="shared" si="102"/>
        <v>0</v>
      </c>
      <c r="AT1181" s="500" t="b">
        <f t="shared" si="102"/>
        <v>0</v>
      </c>
      <c r="AU1181" s="500" t="b">
        <f t="shared" si="102"/>
        <v>0</v>
      </c>
      <c r="AV1181" s="500" t="b">
        <f t="shared" si="102"/>
        <v>0</v>
      </c>
      <c r="AW1181" s="500" t="b">
        <f t="shared" si="102"/>
        <v>0</v>
      </c>
      <c r="AX1181" s="500" t="b">
        <f t="shared" si="102"/>
        <v>0</v>
      </c>
      <c r="AY1181" s="500" t="b">
        <f t="shared" si="102"/>
        <v>0</v>
      </c>
      <c r="AZ1181" s="500" t="b">
        <f t="shared" si="102"/>
        <v>0</v>
      </c>
      <c r="BA1181" s="500" t="b">
        <f t="shared" si="102"/>
        <v>0</v>
      </c>
      <c r="BB1181" s="500" t="b">
        <f t="shared" si="102"/>
        <v>0</v>
      </c>
      <c r="BC1181" s="500" t="b">
        <f t="shared" si="102"/>
        <v>0</v>
      </c>
      <c r="BD1181" s="500" t="b">
        <f t="shared" si="102"/>
        <v>0</v>
      </c>
      <c r="BE1181" s="500" t="b">
        <f t="shared" si="102"/>
        <v>0</v>
      </c>
      <c r="BF1181" s="500" t="b">
        <f t="shared" si="102"/>
        <v>0</v>
      </c>
      <c r="BG1181" s="500" t="b">
        <f t="shared" si="102"/>
        <v>0</v>
      </c>
      <c r="BH1181" s="500" t="b">
        <f t="shared" si="102"/>
        <v>0</v>
      </c>
      <c r="BI1181" s="500" t="b">
        <f t="shared" si="102"/>
        <v>0</v>
      </c>
      <c r="BJ1181" s="500" t="b">
        <f t="shared" si="102"/>
        <v>0</v>
      </c>
      <c r="BK1181" s="500" t="b">
        <f t="shared" si="102"/>
        <v>0</v>
      </c>
      <c r="BL1181" s="501" t="b">
        <f t="shared" si="102"/>
        <v>0</v>
      </c>
    </row>
    <row r="1182" spans="2:64" ht="15" outlineLevel="1">
      <c r="B1182" t="str">
        <f t="shared" si="100"/>
        <v>Bio-oil (HTL) - Feedstock cost including feedstock feedstock cost - Americas - USD/ton fuel</v>
      </c>
      <c r="C1182" s="22" t="str">
        <f>C1157</f>
        <v>Bio-oil (HTL)</v>
      </c>
      <c r="D1182" s="22" t="s">
        <v>1369</v>
      </c>
      <c r="E1182" s="22" t="s">
        <v>731</v>
      </c>
      <c r="F1182" s="22" t="s">
        <v>1353</v>
      </c>
      <c r="G1182" s="487" t="str">
        <f t="shared" si="101"/>
        <v>Bio-oil (HTL)AmericasFeedstock cost including feedstock feedstock cost</v>
      </c>
      <c r="H1182" s="520">
        <v>0</v>
      </c>
      <c r="I1182" s="520">
        <v>0</v>
      </c>
      <c r="J1182" s="520">
        <v>0</v>
      </c>
      <c r="K1182" s="520">
        <v>0</v>
      </c>
      <c r="L1182" s="520">
        <v>0</v>
      </c>
      <c r="M1182" s="520">
        <v>0</v>
      </c>
      <c r="N1182" s="520">
        <v>0</v>
      </c>
      <c r="O1182" s="496">
        <v>425.19623524506272</v>
      </c>
      <c r="P1182" s="496">
        <v>424.0729923097316</v>
      </c>
      <c r="Q1182" s="496">
        <v>422.46270488786644</v>
      </c>
      <c r="R1182" s="496">
        <v>420.36737731862132</v>
      </c>
      <c r="S1182" s="496">
        <v>417.78901394114814</v>
      </c>
      <c r="T1182" s="496">
        <v>414.72961909460707</v>
      </c>
      <c r="U1182" s="496">
        <v>411.88301425237671</v>
      </c>
      <c r="V1182" s="496">
        <v>408.71373875591348</v>
      </c>
      <c r="W1182" s="496">
        <v>405.22291898302399</v>
      </c>
      <c r="X1182" s="496">
        <v>401.41168131150141</v>
      </c>
      <c r="Y1182" s="496">
        <v>397.28115211914752</v>
      </c>
      <c r="Z1182" s="496">
        <v>394.20952159843631</v>
      </c>
      <c r="AA1182" s="496">
        <v>390.96068918257129</v>
      </c>
      <c r="AB1182" s="496">
        <v>387.53439680796663</v>
      </c>
      <c r="AC1182" s="496">
        <v>383.93038641102754</v>
      </c>
      <c r="AD1182" s="496">
        <v>380.14839992816593</v>
      </c>
      <c r="AE1182" s="496">
        <v>376.76780839583563</v>
      </c>
      <c r="AF1182" s="496">
        <v>373.30383047849568</v>
      </c>
      <c r="AG1182" s="496">
        <v>369.75621622315202</v>
      </c>
      <c r="AH1182" s="496">
        <v>366.12471567681075</v>
      </c>
      <c r="AI1182" s="496">
        <v>362.40907888647797</v>
      </c>
      <c r="AK1182" s="502" t="b">
        <f t="shared" ref="AK1182:BL1182" si="103">H1164+H1167+H1171+H1182+H1451=H1159</f>
        <v>1</v>
      </c>
      <c r="AL1182" s="106" t="b">
        <f t="shared" si="103"/>
        <v>1</v>
      </c>
      <c r="AM1182" s="106" t="b">
        <f t="shared" si="103"/>
        <v>1</v>
      </c>
      <c r="AN1182" s="106" t="b">
        <f t="shared" si="103"/>
        <v>1</v>
      </c>
      <c r="AO1182" s="106" t="b">
        <f t="shared" si="103"/>
        <v>1</v>
      </c>
      <c r="AP1182" s="106" t="b">
        <f t="shared" si="103"/>
        <v>1</v>
      </c>
      <c r="AQ1182" s="106" t="b">
        <f t="shared" si="103"/>
        <v>1</v>
      </c>
      <c r="AR1182" s="106" t="b">
        <f t="shared" si="103"/>
        <v>0</v>
      </c>
      <c r="AS1182" s="106" t="b">
        <f t="shared" si="103"/>
        <v>0</v>
      </c>
      <c r="AT1182" s="106" t="b">
        <f t="shared" si="103"/>
        <v>0</v>
      </c>
      <c r="AU1182" s="106" t="b">
        <f t="shared" si="103"/>
        <v>0</v>
      </c>
      <c r="AV1182" s="106" t="b">
        <f t="shared" si="103"/>
        <v>0</v>
      </c>
      <c r="AW1182" s="106" t="b">
        <f t="shared" si="103"/>
        <v>0</v>
      </c>
      <c r="AX1182" s="106" t="b">
        <f t="shared" si="103"/>
        <v>0</v>
      </c>
      <c r="AY1182" s="106" t="b">
        <f t="shared" si="103"/>
        <v>0</v>
      </c>
      <c r="AZ1182" s="106" t="b">
        <f t="shared" si="103"/>
        <v>0</v>
      </c>
      <c r="BA1182" s="106" t="b">
        <f t="shared" si="103"/>
        <v>0</v>
      </c>
      <c r="BB1182" s="106" t="b">
        <f t="shared" si="103"/>
        <v>0</v>
      </c>
      <c r="BC1182" s="106" t="b">
        <f t="shared" si="103"/>
        <v>0</v>
      </c>
      <c r="BD1182" s="106" t="b">
        <f t="shared" si="103"/>
        <v>0</v>
      </c>
      <c r="BE1182" s="106" t="b">
        <f t="shared" si="103"/>
        <v>0</v>
      </c>
      <c r="BF1182" s="106" t="b">
        <f t="shared" si="103"/>
        <v>0</v>
      </c>
      <c r="BG1182" s="106" t="b">
        <f t="shared" si="103"/>
        <v>0</v>
      </c>
      <c r="BH1182" s="106" t="b">
        <f t="shared" si="103"/>
        <v>0</v>
      </c>
      <c r="BI1182" s="106" t="b">
        <f t="shared" si="103"/>
        <v>0</v>
      </c>
      <c r="BJ1182" s="106" t="b">
        <f t="shared" si="103"/>
        <v>0</v>
      </c>
      <c r="BK1182" s="106" t="b">
        <f t="shared" si="103"/>
        <v>0</v>
      </c>
      <c r="BL1182" s="503" t="b">
        <f t="shared" si="103"/>
        <v>0</v>
      </c>
    </row>
    <row r="1183" spans="2:64" ht="15" outlineLevel="1">
      <c r="B1183" t="str">
        <f t="shared" si="100"/>
        <v>Bio-oil (HTL) - Feedstock cost including feedstock feedstock cost - Asia - USD/ton fuel</v>
      </c>
      <c r="C1183" s="22" t="str">
        <f>C1157</f>
        <v>Bio-oil (HTL)</v>
      </c>
      <c r="D1183" s="22" t="s">
        <v>1369</v>
      </c>
      <c r="E1183" s="22" t="s">
        <v>750</v>
      </c>
      <c r="F1183" s="22" t="s">
        <v>1353</v>
      </c>
      <c r="G1183" s="487" t="str">
        <f t="shared" si="101"/>
        <v>Bio-oil (HTL)AsiaFeedstock cost including feedstock feedstock cost</v>
      </c>
      <c r="H1183" s="520">
        <v>0</v>
      </c>
      <c r="I1183" s="520">
        <v>0</v>
      </c>
      <c r="J1183" s="520">
        <v>0</v>
      </c>
      <c r="K1183" s="520">
        <v>0</v>
      </c>
      <c r="L1183" s="520">
        <v>0</v>
      </c>
      <c r="M1183" s="520">
        <v>0</v>
      </c>
      <c r="N1183" s="520">
        <v>0</v>
      </c>
      <c r="O1183" s="496">
        <v>455.24560940504801</v>
      </c>
      <c r="P1183" s="496">
        <v>451.46559190422693</v>
      </c>
      <c r="Q1183" s="496">
        <v>447.21794126895747</v>
      </c>
      <c r="R1183" s="496">
        <v>442.50716968933398</v>
      </c>
      <c r="S1183" s="496">
        <v>437.33778935544603</v>
      </c>
      <c r="T1183" s="496">
        <v>431.71431245739808</v>
      </c>
      <c r="U1183" s="496">
        <v>428.13769614575722</v>
      </c>
      <c r="V1183" s="496">
        <v>424.24189329255654</v>
      </c>
      <c r="W1183" s="496">
        <v>420.02849429909509</v>
      </c>
      <c r="X1183" s="496">
        <v>415.49908956665286</v>
      </c>
      <c r="Y1183" s="496">
        <v>410.65526949652502</v>
      </c>
      <c r="Z1183" s="496">
        <v>405.36024879671123</v>
      </c>
      <c r="AA1183" s="496">
        <v>399.93358775297122</v>
      </c>
      <c r="AB1183" s="496">
        <v>394.37433964803745</v>
      </c>
      <c r="AC1183" s="496">
        <v>388.68155776463504</v>
      </c>
      <c r="AD1183" s="496">
        <v>382.85429538549363</v>
      </c>
      <c r="AE1183" s="496">
        <v>378.94082019762084</v>
      </c>
      <c r="AF1183" s="496">
        <v>374.95919768493553</v>
      </c>
      <c r="AG1183" s="496">
        <v>370.90887046291465</v>
      </c>
      <c r="AH1183" s="496">
        <v>366.78928114703479</v>
      </c>
      <c r="AI1183" s="496">
        <v>362.59987235277254</v>
      </c>
      <c r="AK1183" s="502" t="b">
        <f t="shared" ref="AK1183:BL1183" si="104">H1164+H1167+H1172+H1183+H1451=H1160</f>
        <v>1</v>
      </c>
      <c r="AL1183" s="106" t="b">
        <f t="shared" si="104"/>
        <v>1</v>
      </c>
      <c r="AM1183" s="106" t="b">
        <f t="shared" si="104"/>
        <v>1</v>
      </c>
      <c r="AN1183" s="106" t="b">
        <f t="shared" si="104"/>
        <v>1</v>
      </c>
      <c r="AO1183" s="106" t="b">
        <f t="shared" si="104"/>
        <v>1</v>
      </c>
      <c r="AP1183" s="106" t="b">
        <f t="shared" si="104"/>
        <v>1</v>
      </c>
      <c r="AQ1183" s="106" t="b">
        <f t="shared" si="104"/>
        <v>1</v>
      </c>
      <c r="AR1183" s="106" t="b">
        <f t="shared" si="104"/>
        <v>0</v>
      </c>
      <c r="AS1183" s="106" t="b">
        <f t="shared" si="104"/>
        <v>0</v>
      </c>
      <c r="AT1183" s="106" t="b">
        <f t="shared" si="104"/>
        <v>0</v>
      </c>
      <c r="AU1183" s="106" t="b">
        <f t="shared" si="104"/>
        <v>0</v>
      </c>
      <c r="AV1183" s="106" t="b">
        <f t="shared" si="104"/>
        <v>0</v>
      </c>
      <c r="AW1183" s="106" t="b">
        <f t="shared" si="104"/>
        <v>0</v>
      </c>
      <c r="AX1183" s="106" t="b">
        <f t="shared" si="104"/>
        <v>0</v>
      </c>
      <c r="AY1183" s="106" t="b">
        <f t="shared" si="104"/>
        <v>0</v>
      </c>
      <c r="AZ1183" s="106" t="b">
        <f t="shared" si="104"/>
        <v>0</v>
      </c>
      <c r="BA1183" s="106" t="b">
        <f t="shared" si="104"/>
        <v>0</v>
      </c>
      <c r="BB1183" s="106" t="b">
        <f t="shared" si="104"/>
        <v>0</v>
      </c>
      <c r="BC1183" s="106" t="b">
        <f t="shared" si="104"/>
        <v>0</v>
      </c>
      <c r="BD1183" s="106" t="b">
        <f t="shared" si="104"/>
        <v>0</v>
      </c>
      <c r="BE1183" s="106" t="b">
        <f t="shared" si="104"/>
        <v>0</v>
      </c>
      <c r="BF1183" s="106" t="b">
        <f t="shared" si="104"/>
        <v>0</v>
      </c>
      <c r="BG1183" s="106" t="b">
        <f t="shared" si="104"/>
        <v>0</v>
      </c>
      <c r="BH1183" s="106" t="b">
        <f t="shared" si="104"/>
        <v>0</v>
      </c>
      <c r="BI1183" s="106" t="b">
        <f t="shared" si="104"/>
        <v>0</v>
      </c>
      <c r="BJ1183" s="106" t="b">
        <f t="shared" si="104"/>
        <v>0</v>
      </c>
      <c r="BK1183" s="106" t="b">
        <f t="shared" si="104"/>
        <v>0</v>
      </c>
      <c r="BL1183" s="503" t="b">
        <f t="shared" si="104"/>
        <v>0</v>
      </c>
    </row>
    <row r="1184" spans="2:64" ht="15" outlineLevel="1">
      <c r="B1184" t="str">
        <f t="shared" si="100"/>
        <v>Bio-oil (HTL) - Feedstock cost including feedstock feedstock cost - Europe - USD/ton fuel</v>
      </c>
      <c r="C1184" s="22" t="str">
        <f>C1157</f>
        <v>Bio-oil (HTL)</v>
      </c>
      <c r="D1184" s="22" t="s">
        <v>1369</v>
      </c>
      <c r="E1184" s="22" t="s">
        <v>720</v>
      </c>
      <c r="F1184" s="22" t="s">
        <v>1353</v>
      </c>
      <c r="G1184" s="487" t="str">
        <f t="shared" si="101"/>
        <v>Bio-oil (HTL)EuropeFeedstock cost including feedstock feedstock cost</v>
      </c>
      <c r="H1184" s="520">
        <v>0</v>
      </c>
      <c r="I1184" s="520">
        <v>0</v>
      </c>
      <c r="J1184" s="520">
        <v>0</v>
      </c>
      <c r="K1184" s="520">
        <v>0</v>
      </c>
      <c r="L1184" s="520">
        <v>0</v>
      </c>
      <c r="M1184" s="520">
        <v>0</v>
      </c>
      <c r="N1184" s="520">
        <v>0</v>
      </c>
      <c r="O1184" s="496">
        <v>460.45590722009916</v>
      </c>
      <c r="P1184" s="496">
        <v>459.12757394112066</v>
      </c>
      <c r="Q1184" s="496">
        <v>457.30831858577329</v>
      </c>
      <c r="R1184" s="496">
        <v>455.00040989896235</v>
      </c>
      <c r="S1184" s="496">
        <v>452.2061166255948</v>
      </c>
      <c r="T1184" s="496">
        <v>448.92770751058737</v>
      </c>
      <c r="U1184" s="496">
        <v>446.16747267457447</v>
      </c>
      <c r="V1184" s="496">
        <v>443.07497829745427</v>
      </c>
      <c r="W1184" s="496">
        <v>439.65116343215152</v>
      </c>
      <c r="X1184" s="496">
        <v>435.89696713157514</v>
      </c>
      <c r="Y1184" s="496">
        <v>431.81332844864443</v>
      </c>
      <c r="Z1184" s="496">
        <v>427.72629833946576</v>
      </c>
      <c r="AA1184" s="496">
        <v>423.48391398229762</v>
      </c>
      <c r="AB1184" s="496">
        <v>419.08560405605732</v>
      </c>
      <c r="AC1184" s="496">
        <v>414.53079723965135</v>
      </c>
      <c r="AD1184" s="496">
        <v>409.81892221199467</v>
      </c>
      <c r="AE1184" s="496">
        <v>405.97996364206551</v>
      </c>
      <c r="AF1184" s="496">
        <v>402.07139778797369</v>
      </c>
      <c r="AG1184" s="496">
        <v>398.09268948133888</v>
      </c>
      <c r="AH1184" s="496">
        <v>394.04330355378045</v>
      </c>
      <c r="AI1184" s="496">
        <v>389.92270483691755</v>
      </c>
      <c r="AK1184" s="502" t="b">
        <f t="shared" ref="AK1184:BL1184" si="105">H1164+H1167+H1173+H1184+H1451=H1161</f>
        <v>1</v>
      </c>
      <c r="AL1184" s="106" t="b">
        <f t="shared" si="105"/>
        <v>1</v>
      </c>
      <c r="AM1184" s="106" t="b">
        <f t="shared" si="105"/>
        <v>1</v>
      </c>
      <c r="AN1184" s="106" t="b">
        <f t="shared" si="105"/>
        <v>1</v>
      </c>
      <c r="AO1184" s="106" t="b">
        <f t="shared" si="105"/>
        <v>1</v>
      </c>
      <c r="AP1184" s="106" t="b">
        <f t="shared" si="105"/>
        <v>1</v>
      </c>
      <c r="AQ1184" s="106" t="b">
        <f t="shared" si="105"/>
        <v>1</v>
      </c>
      <c r="AR1184" s="106" t="b">
        <f t="shared" si="105"/>
        <v>0</v>
      </c>
      <c r="AS1184" s="106" t="b">
        <f t="shared" si="105"/>
        <v>0</v>
      </c>
      <c r="AT1184" s="106" t="b">
        <f t="shared" si="105"/>
        <v>0</v>
      </c>
      <c r="AU1184" s="106" t="b">
        <f t="shared" si="105"/>
        <v>0</v>
      </c>
      <c r="AV1184" s="106" t="b">
        <f t="shared" si="105"/>
        <v>0</v>
      </c>
      <c r="AW1184" s="106" t="b">
        <f t="shared" si="105"/>
        <v>0</v>
      </c>
      <c r="AX1184" s="106" t="b">
        <f t="shared" si="105"/>
        <v>0</v>
      </c>
      <c r="AY1184" s="106" t="b">
        <f t="shared" si="105"/>
        <v>0</v>
      </c>
      <c r="AZ1184" s="106" t="b">
        <f t="shared" si="105"/>
        <v>0</v>
      </c>
      <c r="BA1184" s="106" t="b">
        <f t="shared" si="105"/>
        <v>0</v>
      </c>
      <c r="BB1184" s="106" t="b">
        <f t="shared" si="105"/>
        <v>0</v>
      </c>
      <c r="BC1184" s="106" t="b">
        <f t="shared" si="105"/>
        <v>0</v>
      </c>
      <c r="BD1184" s="106" t="b">
        <f t="shared" si="105"/>
        <v>0</v>
      </c>
      <c r="BE1184" s="106" t="b">
        <f t="shared" si="105"/>
        <v>0</v>
      </c>
      <c r="BF1184" s="106" t="b">
        <f t="shared" si="105"/>
        <v>0</v>
      </c>
      <c r="BG1184" s="106" t="b">
        <f t="shared" si="105"/>
        <v>0</v>
      </c>
      <c r="BH1184" s="106" t="b">
        <f t="shared" si="105"/>
        <v>0</v>
      </c>
      <c r="BI1184" s="106" t="b">
        <f t="shared" si="105"/>
        <v>0</v>
      </c>
      <c r="BJ1184" s="106" t="b">
        <f t="shared" si="105"/>
        <v>0</v>
      </c>
      <c r="BK1184" s="106" t="b">
        <f t="shared" si="105"/>
        <v>0</v>
      </c>
      <c r="BL1184" s="503" t="b">
        <f t="shared" si="105"/>
        <v>0</v>
      </c>
    </row>
    <row r="1185" spans="2:64" ht="15.75" outlineLevel="1" thickBot="1">
      <c r="B1185" t="str">
        <f t="shared" si="100"/>
        <v>Bio-oil (HTL) - Feedstock cost including feedstock feedstock cost - Middle East - USD/ton fuel</v>
      </c>
      <c r="C1185" s="92" t="str">
        <f>C1157</f>
        <v>Bio-oil (HTL)</v>
      </c>
      <c r="D1185" s="92" t="s">
        <v>1369</v>
      </c>
      <c r="E1185" s="92" t="s">
        <v>826</v>
      </c>
      <c r="F1185" s="92" t="s">
        <v>1353</v>
      </c>
      <c r="G1185" s="487" t="str">
        <f t="shared" si="101"/>
        <v>Bio-oil (HTL)Middle EastFeedstock cost including feedstock feedstock cost</v>
      </c>
      <c r="H1185" s="521">
        <v>0</v>
      </c>
      <c r="I1185" s="521">
        <v>0</v>
      </c>
      <c r="J1185" s="521">
        <v>0</v>
      </c>
      <c r="K1185" s="521">
        <v>0</v>
      </c>
      <c r="L1185" s="521">
        <v>0</v>
      </c>
      <c r="M1185" s="521">
        <v>0</v>
      </c>
      <c r="N1185" s="521">
        <v>0</v>
      </c>
      <c r="O1185" s="497">
        <v>450.91157994005334</v>
      </c>
      <c r="P1185" s="497">
        <v>449.31848023644221</v>
      </c>
      <c r="Q1185" s="497">
        <v>447.24534228591898</v>
      </c>
      <c r="R1185" s="497">
        <v>444.69463951315123</v>
      </c>
      <c r="S1185" s="497">
        <v>441.66884534280695</v>
      </c>
      <c r="T1185" s="497">
        <v>438.17043319956065</v>
      </c>
      <c r="U1185" s="497">
        <v>435.94831099876905</v>
      </c>
      <c r="V1185" s="497">
        <v>433.39775919518604</v>
      </c>
      <c r="W1185" s="497">
        <v>430.51963752856233</v>
      </c>
      <c r="X1185" s="497">
        <v>427.31480573863365</v>
      </c>
      <c r="Y1185" s="497">
        <v>423.78412356514622</v>
      </c>
      <c r="Z1185" s="497">
        <v>419.60906398030409</v>
      </c>
      <c r="AA1185" s="497">
        <v>415.27963526196964</v>
      </c>
      <c r="AB1185" s="497">
        <v>410.79519622925375</v>
      </c>
      <c r="AC1185" s="497">
        <v>406.15510570126003</v>
      </c>
      <c r="AD1185" s="497">
        <v>401.35872249709678</v>
      </c>
      <c r="AE1185" s="497">
        <v>397.80651180733514</v>
      </c>
      <c r="AF1185" s="497">
        <v>394.17483644120534</v>
      </c>
      <c r="AG1185" s="497">
        <v>390.46331112564695</v>
      </c>
      <c r="AH1185" s="497">
        <v>386.67155058760017</v>
      </c>
      <c r="AI1185" s="497">
        <v>382.799169554005</v>
      </c>
      <c r="AK1185" s="504" t="b">
        <f t="shared" ref="AK1185:BL1185" si="106">H1164+H1167+H1174+H1185+H1451=H1162</f>
        <v>1</v>
      </c>
      <c r="AL1185" s="505" t="b">
        <f t="shared" si="106"/>
        <v>1</v>
      </c>
      <c r="AM1185" s="505" t="b">
        <f t="shared" si="106"/>
        <v>1</v>
      </c>
      <c r="AN1185" s="505" t="b">
        <f t="shared" si="106"/>
        <v>1</v>
      </c>
      <c r="AO1185" s="505" t="b">
        <f t="shared" si="106"/>
        <v>1</v>
      </c>
      <c r="AP1185" s="505" t="b">
        <f t="shared" si="106"/>
        <v>1</v>
      </c>
      <c r="AQ1185" s="505" t="b">
        <f t="shared" si="106"/>
        <v>1</v>
      </c>
      <c r="AR1185" s="505" t="b">
        <f t="shared" si="106"/>
        <v>0</v>
      </c>
      <c r="AS1185" s="505" t="b">
        <f t="shared" si="106"/>
        <v>0</v>
      </c>
      <c r="AT1185" s="505" t="b">
        <f t="shared" si="106"/>
        <v>0</v>
      </c>
      <c r="AU1185" s="505" t="b">
        <f t="shared" si="106"/>
        <v>0</v>
      </c>
      <c r="AV1185" s="505" t="b">
        <f t="shared" si="106"/>
        <v>0</v>
      </c>
      <c r="AW1185" s="505" t="b">
        <f t="shared" si="106"/>
        <v>0</v>
      </c>
      <c r="AX1185" s="505" t="b">
        <f t="shared" si="106"/>
        <v>0</v>
      </c>
      <c r="AY1185" s="505" t="b">
        <f t="shared" si="106"/>
        <v>0</v>
      </c>
      <c r="AZ1185" s="505" t="b">
        <f t="shared" si="106"/>
        <v>0</v>
      </c>
      <c r="BA1185" s="505" t="b">
        <f t="shared" si="106"/>
        <v>0</v>
      </c>
      <c r="BB1185" s="505" t="b">
        <f t="shared" si="106"/>
        <v>0</v>
      </c>
      <c r="BC1185" s="505" t="b">
        <f t="shared" si="106"/>
        <v>0</v>
      </c>
      <c r="BD1185" s="505" t="b">
        <f t="shared" si="106"/>
        <v>0</v>
      </c>
      <c r="BE1185" s="505" t="b">
        <f t="shared" si="106"/>
        <v>0</v>
      </c>
      <c r="BF1185" s="505" t="b">
        <f t="shared" si="106"/>
        <v>0</v>
      </c>
      <c r="BG1185" s="505" t="b">
        <f t="shared" si="106"/>
        <v>0</v>
      </c>
      <c r="BH1185" s="505" t="b">
        <f t="shared" si="106"/>
        <v>0</v>
      </c>
      <c r="BI1185" s="505" t="b">
        <f t="shared" si="106"/>
        <v>0</v>
      </c>
      <c r="BJ1185" s="505" t="b">
        <f t="shared" si="106"/>
        <v>0</v>
      </c>
      <c r="BK1185" s="505" t="b">
        <f t="shared" si="106"/>
        <v>0</v>
      </c>
      <c r="BL1185" s="506" t="b">
        <f t="shared" si="106"/>
        <v>0</v>
      </c>
    </row>
    <row r="1186" spans="2:64" outlineLevel="1">
      <c r="B1186" t="str">
        <f t="shared" si="100"/>
        <v>Bio-oil (HTL) - Feedstock cost - Africa - USD/ton fuel</v>
      </c>
      <c r="C1186" t="str">
        <f>C1157</f>
        <v>Bio-oil (HTL)</v>
      </c>
      <c r="D1186" t="s">
        <v>1371</v>
      </c>
      <c r="E1186" t="s">
        <v>838</v>
      </c>
      <c r="F1186" t="s">
        <v>1353</v>
      </c>
      <c r="G1186" s="487" t="str">
        <f t="shared" si="101"/>
        <v>Bio-oil (HTL)AfricaFeedstock cost</v>
      </c>
      <c r="H1186" s="518">
        <v>0</v>
      </c>
      <c r="I1186" s="518">
        <v>0</v>
      </c>
      <c r="J1186" s="518">
        <v>0</v>
      </c>
      <c r="K1186" s="518">
        <v>0</v>
      </c>
      <c r="L1186" s="518">
        <v>0</v>
      </c>
      <c r="M1186" s="518">
        <v>0</v>
      </c>
      <c r="N1186" s="518">
        <v>0</v>
      </c>
      <c r="O1186" s="493">
        <v>481.0478339968264</v>
      </c>
      <c r="P1186" s="493">
        <v>478.734266668842</v>
      </c>
      <c r="Q1186" s="493">
        <v>475.94716315966485</v>
      </c>
      <c r="R1186" s="493">
        <v>472.6899836965722</v>
      </c>
      <c r="S1186" s="493">
        <v>468.96618850684553</v>
      </c>
      <c r="T1186" s="493">
        <v>464.77923781777139</v>
      </c>
      <c r="U1186" s="493">
        <v>462.0333819863697</v>
      </c>
      <c r="V1186" s="493">
        <v>458.96182802689265</v>
      </c>
      <c r="W1186" s="493">
        <v>455.56570502465507</v>
      </c>
      <c r="X1186" s="493">
        <v>451.84614206495809</v>
      </c>
      <c r="Y1186" s="493">
        <v>447.80426823311319</v>
      </c>
      <c r="Z1186" s="493">
        <v>443.61933482091933</v>
      </c>
      <c r="AA1186" s="493">
        <v>439.28316435854009</v>
      </c>
      <c r="AB1186" s="493">
        <v>434.79509658732508</v>
      </c>
      <c r="AC1186" s="493">
        <v>430.15447124861703</v>
      </c>
      <c r="AD1186" s="493">
        <v>425.36062808376283</v>
      </c>
      <c r="AE1186" s="493">
        <v>421.82913681927812</v>
      </c>
      <c r="AF1186" s="493">
        <v>418.22183187517879</v>
      </c>
      <c r="AG1186" s="493">
        <v>414.53829719194601</v>
      </c>
      <c r="AH1186" s="493">
        <v>410.77811671006248</v>
      </c>
      <c r="AI1186" s="493">
        <v>406.94087437001093</v>
      </c>
    </row>
    <row r="1187" spans="2:64" outlineLevel="1">
      <c r="B1187" t="str">
        <f t="shared" si="100"/>
        <v>Bio-oil (HTL) - Feedstock cost - Americas - USD/ton fuel</v>
      </c>
      <c r="C1187" t="str">
        <f>C1157</f>
        <v>Bio-oil (HTL)</v>
      </c>
      <c r="D1187" t="s">
        <v>1371</v>
      </c>
      <c r="E1187" t="s">
        <v>731</v>
      </c>
      <c r="F1187" t="s">
        <v>1353</v>
      </c>
      <c r="G1187" s="487" t="str">
        <f t="shared" si="101"/>
        <v>Bio-oil (HTL)AmericasFeedstock cost</v>
      </c>
      <c r="H1187" s="518">
        <v>0</v>
      </c>
      <c r="I1187" s="518">
        <v>0</v>
      </c>
      <c r="J1187" s="518">
        <v>0</v>
      </c>
      <c r="K1187" s="518">
        <v>0</v>
      </c>
      <c r="L1187" s="518">
        <v>0</v>
      </c>
      <c r="M1187" s="518">
        <v>0</v>
      </c>
      <c r="N1187" s="518">
        <v>0</v>
      </c>
      <c r="O1187" s="493">
        <v>425.19623524506272</v>
      </c>
      <c r="P1187" s="493">
        <v>424.0729923097316</v>
      </c>
      <c r="Q1187" s="493">
        <v>422.46270488786644</v>
      </c>
      <c r="R1187" s="493">
        <v>420.36737731862132</v>
      </c>
      <c r="S1187" s="493">
        <v>417.78901394114814</v>
      </c>
      <c r="T1187" s="493">
        <v>414.72961909460707</v>
      </c>
      <c r="U1187" s="493">
        <v>411.88301425237671</v>
      </c>
      <c r="V1187" s="493">
        <v>408.71373875591348</v>
      </c>
      <c r="W1187" s="493">
        <v>405.22291898302399</v>
      </c>
      <c r="X1187" s="493">
        <v>401.41168131150141</v>
      </c>
      <c r="Y1187" s="493">
        <v>397.28115211914752</v>
      </c>
      <c r="Z1187" s="493">
        <v>394.20952159843631</v>
      </c>
      <c r="AA1187" s="493">
        <v>390.96068918257129</v>
      </c>
      <c r="AB1187" s="493">
        <v>387.53439680796663</v>
      </c>
      <c r="AC1187" s="493">
        <v>383.93038641102754</v>
      </c>
      <c r="AD1187" s="493">
        <v>380.14839992816593</v>
      </c>
      <c r="AE1187" s="493">
        <v>376.76780839583563</v>
      </c>
      <c r="AF1187" s="493">
        <v>373.30383047849568</v>
      </c>
      <c r="AG1187" s="493">
        <v>369.75621622315202</v>
      </c>
      <c r="AH1187" s="493">
        <v>366.12471567681075</v>
      </c>
      <c r="AI1187" s="493">
        <v>362.40907888647797</v>
      </c>
    </row>
    <row r="1188" spans="2:64" outlineLevel="1">
      <c r="B1188" t="str">
        <f t="shared" si="100"/>
        <v>Bio-oil (HTL) - Feedstock cost - Asia - USD/ton fuel</v>
      </c>
      <c r="C1188" t="str">
        <f>C1157</f>
        <v>Bio-oil (HTL)</v>
      </c>
      <c r="D1188" t="s">
        <v>1371</v>
      </c>
      <c r="E1188" t="s">
        <v>750</v>
      </c>
      <c r="F1188" t="s">
        <v>1353</v>
      </c>
      <c r="G1188" s="487" t="str">
        <f t="shared" si="101"/>
        <v>Bio-oil (HTL)AsiaFeedstock cost</v>
      </c>
      <c r="H1188" s="518">
        <v>0</v>
      </c>
      <c r="I1188" s="518">
        <v>0</v>
      </c>
      <c r="J1188" s="518">
        <v>0</v>
      </c>
      <c r="K1188" s="518">
        <v>0</v>
      </c>
      <c r="L1188" s="518">
        <v>0</v>
      </c>
      <c r="M1188" s="518">
        <v>0</v>
      </c>
      <c r="N1188" s="518">
        <v>0</v>
      </c>
      <c r="O1188" s="493">
        <v>455.24560940504801</v>
      </c>
      <c r="P1188" s="493">
        <v>451.46559190422693</v>
      </c>
      <c r="Q1188" s="493">
        <v>447.21794126895747</v>
      </c>
      <c r="R1188" s="493">
        <v>442.50716968933398</v>
      </c>
      <c r="S1188" s="493">
        <v>437.33778935544603</v>
      </c>
      <c r="T1188" s="493">
        <v>431.71431245739808</v>
      </c>
      <c r="U1188" s="493">
        <v>428.13769614575722</v>
      </c>
      <c r="V1188" s="493">
        <v>424.24189329255654</v>
      </c>
      <c r="W1188" s="493">
        <v>420.02849429909509</v>
      </c>
      <c r="X1188" s="493">
        <v>415.49908956665286</v>
      </c>
      <c r="Y1188" s="493">
        <v>410.65526949652502</v>
      </c>
      <c r="Z1188" s="493">
        <v>405.36024879671123</v>
      </c>
      <c r="AA1188" s="493">
        <v>399.93358775297122</v>
      </c>
      <c r="AB1188" s="493">
        <v>394.37433964803745</v>
      </c>
      <c r="AC1188" s="493">
        <v>388.68155776463504</v>
      </c>
      <c r="AD1188" s="493">
        <v>382.85429538549363</v>
      </c>
      <c r="AE1188" s="493">
        <v>378.94082019762084</v>
      </c>
      <c r="AF1188" s="493">
        <v>374.95919768493553</v>
      </c>
      <c r="AG1188" s="493">
        <v>370.90887046291465</v>
      </c>
      <c r="AH1188" s="493">
        <v>366.78928114703479</v>
      </c>
      <c r="AI1188" s="493">
        <v>362.59987235277254</v>
      </c>
    </row>
    <row r="1189" spans="2:64" outlineLevel="1">
      <c r="B1189" t="str">
        <f t="shared" si="100"/>
        <v>Bio-oil (HTL) - Feedstock cost - Europe - USD/ton fuel</v>
      </c>
      <c r="C1189" t="str">
        <f>C1157</f>
        <v>Bio-oil (HTL)</v>
      </c>
      <c r="D1189" t="s">
        <v>1371</v>
      </c>
      <c r="E1189" t="s">
        <v>720</v>
      </c>
      <c r="F1189" t="s">
        <v>1353</v>
      </c>
      <c r="G1189" s="487" t="str">
        <f t="shared" si="101"/>
        <v>Bio-oil (HTL)EuropeFeedstock cost</v>
      </c>
      <c r="H1189" s="518">
        <v>0</v>
      </c>
      <c r="I1189" s="518">
        <v>0</v>
      </c>
      <c r="J1189" s="518">
        <v>0</v>
      </c>
      <c r="K1189" s="518">
        <v>0</v>
      </c>
      <c r="L1189" s="518">
        <v>0</v>
      </c>
      <c r="M1189" s="518">
        <v>0</v>
      </c>
      <c r="N1189" s="518">
        <v>0</v>
      </c>
      <c r="O1189" s="493">
        <v>460.45590722009916</v>
      </c>
      <c r="P1189" s="493">
        <v>459.12757394112066</v>
      </c>
      <c r="Q1189" s="493">
        <v>457.30831858577329</v>
      </c>
      <c r="R1189" s="493">
        <v>455.00040989896235</v>
      </c>
      <c r="S1189" s="493">
        <v>452.2061166255948</v>
      </c>
      <c r="T1189" s="493">
        <v>448.92770751058737</v>
      </c>
      <c r="U1189" s="493">
        <v>446.16747267457447</v>
      </c>
      <c r="V1189" s="493">
        <v>443.07497829745427</v>
      </c>
      <c r="W1189" s="493">
        <v>439.65116343215152</v>
      </c>
      <c r="X1189" s="493">
        <v>435.89696713157514</v>
      </c>
      <c r="Y1189" s="493">
        <v>431.81332844864443</v>
      </c>
      <c r="Z1189" s="493">
        <v>427.72629833946576</v>
      </c>
      <c r="AA1189" s="493">
        <v>423.48391398229762</v>
      </c>
      <c r="AB1189" s="493">
        <v>419.08560405605732</v>
      </c>
      <c r="AC1189" s="493">
        <v>414.53079723965135</v>
      </c>
      <c r="AD1189" s="493">
        <v>409.81892221199467</v>
      </c>
      <c r="AE1189" s="493">
        <v>405.97996364206551</v>
      </c>
      <c r="AF1189" s="493">
        <v>402.07139778797369</v>
      </c>
      <c r="AG1189" s="493">
        <v>398.09268948133888</v>
      </c>
      <c r="AH1189" s="493">
        <v>394.04330355378045</v>
      </c>
      <c r="AI1189" s="493">
        <v>389.92270483691755</v>
      </c>
    </row>
    <row r="1190" spans="2:64" outlineLevel="1">
      <c r="B1190" t="str">
        <f t="shared" si="100"/>
        <v>Bio-oil (HTL) - Feedstock cost - Middle East - USD/ton fuel</v>
      </c>
      <c r="C1190" t="str">
        <f>C1157</f>
        <v>Bio-oil (HTL)</v>
      </c>
      <c r="D1190" t="s">
        <v>1371</v>
      </c>
      <c r="E1190" t="s">
        <v>826</v>
      </c>
      <c r="F1190" t="s">
        <v>1353</v>
      </c>
      <c r="G1190" s="487" t="str">
        <f t="shared" si="101"/>
        <v>Bio-oil (HTL)Middle EastFeedstock cost</v>
      </c>
      <c r="H1190" s="518">
        <v>0</v>
      </c>
      <c r="I1190" s="518">
        <v>0</v>
      </c>
      <c r="J1190" s="518">
        <v>0</v>
      </c>
      <c r="K1190" s="518">
        <v>0</v>
      </c>
      <c r="L1190" s="518">
        <v>0</v>
      </c>
      <c r="M1190" s="518">
        <v>0</v>
      </c>
      <c r="N1190" s="518">
        <v>0</v>
      </c>
      <c r="O1190" s="493">
        <v>450.91157994005334</v>
      </c>
      <c r="P1190" s="493">
        <v>449.31848023644221</v>
      </c>
      <c r="Q1190" s="493">
        <v>447.24534228591898</v>
      </c>
      <c r="R1190" s="493">
        <v>444.69463951315123</v>
      </c>
      <c r="S1190" s="493">
        <v>441.66884534280695</v>
      </c>
      <c r="T1190" s="493">
        <v>438.17043319956065</v>
      </c>
      <c r="U1190" s="493">
        <v>435.94831099876905</v>
      </c>
      <c r="V1190" s="493">
        <v>433.39775919518604</v>
      </c>
      <c r="W1190" s="493">
        <v>430.51963752856233</v>
      </c>
      <c r="X1190" s="493">
        <v>427.31480573863365</v>
      </c>
      <c r="Y1190" s="493">
        <v>423.78412356514622</v>
      </c>
      <c r="Z1190" s="493">
        <v>419.60906398030409</v>
      </c>
      <c r="AA1190" s="493">
        <v>415.27963526196964</v>
      </c>
      <c r="AB1190" s="493">
        <v>410.79519622925375</v>
      </c>
      <c r="AC1190" s="493">
        <v>406.15510570126003</v>
      </c>
      <c r="AD1190" s="493">
        <v>401.35872249709678</v>
      </c>
      <c r="AE1190" s="493">
        <v>397.80651180733514</v>
      </c>
      <c r="AF1190" s="493">
        <v>394.17483644120534</v>
      </c>
      <c r="AG1190" s="493">
        <v>390.46331112564695</v>
      </c>
      <c r="AH1190" s="493">
        <v>386.67155058760017</v>
      </c>
      <c r="AI1190" s="493">
        <v>382.799169554005</v>
      </c>
    </row>
    <row r="1191" spans="2:64">
      <c r="G1191" s="487" t="str">
        <f t="shared" si="101"/>
        <v/>
      </c>
      <c r="J1191" s="67"/>
    </row>
    <row r="1192" spans="2:64" ht="15">
      <c r="B1192" t="str">
        <f t="shared" ref="B1192:B1236" si="107">_xlfn.TEXTJOIN(" - ",TRUE,C1192:F1192)</f>
        <v>Bio-oil (Pyrolysis) - Item - Region - Unit</v>
      </c>
      <c r="C1192" s="512" t="s">
        <v>1409</v>
      </c>
      <c r="D1192" s="512" t="s">
        <v>877</v>
      </c>
      <c r="E1192" s="512" t="s">
        <v>171</v>
      </c>
      <c r="F1192" s="512" t="s">
        <v>111</v>
      </c>
      <c r="G1192" s="487" t="str">
        <f t="shared" si="101"/>
        <v>Bio-oil (Pyrolysis)RegionItem</v>
      </c>
      <c r="H1192" s="513">
        <v>2023</v>
      </c>
      <c r="I1192" s="513">
        <v>2024</v>
      </c>
      <c r="J1192" s="513">
        <v>2025</v>
      </c>
      <c r="K1192" s="513">
        <v>2026</v>
      </c>
      <c r="L1192" s="513">
        <v>2027</v>
      </c>
      <c r="M1192" s="513">
        <v>2028</v>
      </c>
      <c r="N1192" s="513">
        <v>2029</v>
      </c>
      <c r="O1192" s="513">
        <v>2030</v>
      </c>
      <c r="P1192" s="513">
        <v>2031</v>
      </c>
      <c r="Q1192" s="513">
        <v>2032</v>
      </c>
      <c r="R1192" s="513">
        <v>2033</v>
      </c>
      <c r="S1192" s="513">
        <v>2034</v>
      </c>
      <c r="T1192" s="513">
        <v>2035</v>
      </c>
      <c r="U1192" s="513">
        <v>2036</v>
      </c>
      <c r="V1192" s="513">
        <v>2037</v>
      </c>
      <c r="W1192" s="513">
        <v>2038</v>
      </c>
      <c r="X1192" s="513">
        <v>2039</v>
      </c>
      <c r="Y1192" s="513">
        <v>2040</v>
      </c>
      <c r="Z1192" s="513">
        <v>2041</v>
      </c>
      <c r="AA1192" s="513">
        <v>2042</v>
      </c>
      <c r="AB1192" s="513">
        <v>2043</v>
      </c>
      <c r="AC1192" s="513">
        <v>2044</v>
      </c>
      <c r="AD1192" s="513">
        <v>2045</v>
      </c>
      <c r="AE1192" s="513">
        <v>2046</v>
      </c>
      <c r="AF1192" s="513">
        <v>2047</v>
      </c>
      <c r="AG1192" s="513">
        <v>2048</v>
      </c>
      <c r="AH1192" s="513">
        <v>2049</v>
      </c>
      <c r="AI1192" s="513">
        <v>2050</v>
      </c>
    </row>
    <row r="1193" spans="2:64" outlineLevel="1">
      <c r="B1193" t="str">
        <f t="shared" si="107"/>
        <v>Bio-oil (Pyrolysis) - Total cost - Africa - USD/ton fuel</v>
      </c>
      <c r="C1193" s="487" t="str">
        <f>C1192</f>
        <v>Bio-oil (Pyrolysis)</v>
      </c>
      <c r="D1193" s="487" t="s">
        <v>1362</v>
      </c>
      <c r="E1193" s="487" t="s">
        <v>838</v>
      </c>
      <c r="F1193" s="487" t="s">
        <v>1353</v>
      </c>
      <c r="G1193" s="487" t="str">
        <f t="shared" si="101"/>
        <v>Bio-oil (Pyrolysis)AfricaTotal cost</v>
      </c>
      <c r="H1193" s="514">
        <v>0</v>
      </c>
      <c r="I1193" s="514">
        <v>0</v>
      </c>
      <c r="J1193" s="514">
        <v>0</v>
      </c>
      <c r="K1193" s="514">
        <v>0</v>
      </c>
      <c r="L1193" s="514">
        <v>0</v>
      </c>
      <c r="M1193" s="514">
        <v>0</v>
      </c>
      <c r="N1193" s="514">
        <v>0</v>
      </c>
      <c r="O1193" s="488">
        <v>1205.8572347903994</v>
      </c>
      <c r="P1193" s="488">
        <v>1196.5101819418062</v>
      </c>
      <c r="Q1193" s="488">
        <v>1186.1781738363345</v>
      </c>
      <c r="R1193" s="488">
        <v>1174.8684077467158</v>
      </c>
      <c r="S1193" s="488">
        <v>1162.5880809456987</v>
      </c>
      <c r="T1193" s="488">
        <v>1149.3443907060403</v>
      </c>
      <c r="U1193" s="488">
        <v>1143.0493417595849</v>
      </c>
      <c r="V1193" s="488">
        <v>1136.0768407067326</v>
      </c>
      <c r="W1193" s="488">
        <v>1128.4292360449385</v>
      </c>
      <c r="X1193" s="488">
        <v>1120.108876271629</v>
      </c>
      <c r="Y1193" s="488">
        <v>1111.1181098842517</v>
      </c>
      <c r="Z1193" s="488">
        <v>1101.8214945291136</v>
      </c>
      <c r="AA1193" s="488">
        <v>1092.2103061095904</v>
      </c>
      <c r="AB1193" s="488">
        <v>1082.2831712876882</v>
      </c>
      <c r="AC1193" s="488">
        <v>1072.0387167254005</v>
      </c>
      <c r="AD1193" s="488">
        <v>1061.4755690847292</v>
      </c>
      <c r="AE1193" s="488">
        <v>1053.6915483717087</v>
      </c>
      <c r="AF1193" s="488">
        <v>1045.7498352050902</v>
      </c>
      <c r="AG1193" s="488">
        <v>1037.6495641810736</v>
      </c>
      <c r="AH1193" s="488">
        <v>1029.3898698958633</v>
      </c>
      <c r="AI1193" s="488">
        <v>1020.9698869456644</v>
      </c>
    </row>
    <row r="1194" spans="2:64" outlineLevel="1">
      <c r="B1194" t="str">
        <f t="shared" si="107"/>
        <v>Bio-oil (Pyrolysis) - Total cost - Americas - USD/ton fuel</v>
      </c>
      <c r="C1194" t="str">
        <f>C1193</f>
        <v>Bio-oil (Pyrolysis)</v>
      </c>
      <c r="D1194" t="s">
        <v>1362</v>
      </c>
      <c r="E1194" t="s">
        <v>731</v>
      </c>
      <c r="F1194" t="s">
        <v>1353</v>
      </c>
      <c r="G1194" s="487" t="str">
        <f t="shared" si="101"/>
        <v>Bio-oil (Pyrolysis)AmericasTotal cost</v>
      </c>
      <c r="H1194" s="515">
        <v>0</v>
      </c>
      <c r="I1194" s="515">
        <v>0</v>
      </c>
      <c r="J1194" s="515">
        <v>0</v>
      </c>
      <c r="K1194" s="515">
        <v>0</v>
      </c>
      <c r="L1194" s="515">
        <v>0</v>
      </c>
      <c r="M1194" s="515">
        <v>0</v>
      </c>
      <c r="N1194" s="515">
        <v>0</v>
      </c>
      <c r="O1194" s="489">
        <v>1031.9153760178683</v>
      </c>
      <c r="P1194" s="489">
        <v>1024.6305249622953</v>
      </c>
      <c r="Q1194" s="489">
        <v>1016.332621374733</v>
      </c>
      <c r="R1194" s="489">
        <v>1007.0258342806187</v>
      </c>
      <c r="S1194" s="489">
        <v>996.71433270538978</v>
      </c>
      <c r="T1194" s="489">
        <v>985.40228567450015</v>
      </c>
      <c r="U1194" s="489">
        <v>978.56056187949434</v>
      </c>
      <c r="V1194" s="489">
        <v>971.04768312368378</v>
      </c>
      <c r="W1194" s="489">
        <v>962.86599227290606</v>
      </c>
      <c r="X1194" s="489">
        <v>954.01783219297215</v>
      </c>
      <c r="Y1194" s="489">
        <v>944.50554574970852</v>
      </c>
      <c r="Z1194" s="489">
        <v>937.70816184541729</v>
      </c>
      <c r="AA1194" s="489">
        <v>930.54219799920634</v>
      </c>
      <c r="AB1194" s="489">
        <v>923.00711743881675</v>
      </c>
      <c r="AC1194" s="489">
        <v>915.1023833919711</v>
      </c>
      <c r="AD1194" s="489">
        <v>906.82745908640732</v>
      </c>
      <c r="AE1194" s="489">
        <v>899.07853995226299</v>
      </c>
      <c r="AF1194" s="489">
        <v>891.15617713729887</v>
      </c>
      <c r="AG1194" s="489">
        <v>883.0598507392865</v>
      </c>
      <c r="AH1194" s="489">
        <v>874.78904085599902</v>
      </c>
      <c r="AI1194" s="489">
        <v>866.34322758520989</v>
      </c>
    </row>
    <row r="1195" spans="2:64" outlineLevel="1">
      <c r="B1195" t="str">
        <f t="shared" si="107"/>
        <v>Bio-oil (Pyrolysis) - Total cost - Asia - USD/ton fuel</v>
      </c>
      <c r="C1195" t="str">
        <f>C1194</f>
        <v>Bio-oil (Pyrolysis)</v>
      </c>
      <c r="D1195" t="s">
        <v>1362</v>
      </c>
      <c r="E1195" t="s">
        <v>750</v>
      </c>
      <c r="F1195" t="s">
        <v>1353</v>
      </c>
      <c r="G1195" s="487" t="str">
        <f t="shared" si="101"/>
        <v>Bio-oil (Pyrolysis)AsiaTotal cost</v>
      </c>
      <c r="H1195" s="515">
        <v>0</v>
      </c>
      <c r="I1195" s="515">
        <v>0</v>
      </c>
      <c r="J1195" s="515">
        <v>0</v>
      </c>
      <c r="K1195" s="515">
        <v>0</v>
      </c>
      <c r="L1195" s="515">
        <v>0</v>
      </c>
      <c r="M1195" s="515">
        <v>0</v>
      </c>
      <c r="N1195" s="515">
        <v>0</v>
      </c>
      <c r="O1195" s="489">
        <v>1074.1925634144241</v>
      </c>
      <c r="P1195" s="489">
        <v>1061.2681888247887</v>
      </c>
      <c r="Q1195" s="489">
        <v>1047.3711373155029</v>
      </c>
      <c r="R1195" s="489">
        <v>1032.5107942419595</v>
      </c>
      <c r="S1195" s="489">
        <v>1016.6965449595452</v>
      </c>
      <c r="T1195" s="489">
        <v>999.93777482367886</v>
      </c>
      <c r="U1195" s="489">
        <v>991.79500858533493</v>
      </c>
      <c r="V1195" s="489">
        <v>982.98833434054654</v>
      </c>
      <c r="W1195" s="489">
        <v>973.52106012401543</v>
      </c>
      <c r="X1195" s="489">
        <v>963.39649397040489</v>
      </c>
      <c r="Y1195" s="489">
        <v>952.61794391440799</v>
      </c>
      <c r="Z1195" s="489">
        <v>940.54378792104512</v>
      </c>
      <c r="AA1195" s="489">
        <v>928.19582001231583</v>
      </c>
      <c r="AB1195" s="489">
        <v>915.57207101630274</v>
      </c>
      <c r="AC1195" s="489">
        <v>902.67057176107505</v>
      </c>
      <c r="AD1195" s="489">
        <v>889.48935307471083</v>
      </c>
      <c r="AE1195" s="489">
        <v>880.86056568715776</v>
      </c>
      <c r="AF1195" s="489">
        <v>872.09003186399514</v>
      </c>
      <c r="AG1195" s="489">
        <v>863.17659224541399</v>
      </c>
      <c r="AH1195" s="489">
        <v>854.11908747160624</v>
      </c>
      <c r="AI1195" s="489">
        <v>844.91635818276359</v>
      </c>
    </row>
    <row r="1196" spans="2:64" outlineLevel="1">
      <c r="B1196" t="str">
        <f t="shared" si="107"/>
        <v>Bio-oil (Pyrolysis) - Total cost - Europe - USD/ton fuel</v>
      </c>
      <c r="C1196" t="str">
        <f>C1195</f>
        <v>Bio-oil (Pyrolysis)</v>
      </c>
      <c r="D1196" t="s">
        <v>1362</v>
      </c>
      <c r="E1196" t="s">
        <v>720</v>
      </c>
      <c r="F1196" t="s">
        <v>1353</v>
      </c>
      <c r="G1196" s="487" t="str">
        <f t="shared" si="101"/>
        <v>Bio-oil (Pyrolysis)EuropeTotal cost</v>
      </c>
      <c r="H1196" s="515">
        <v>0</v>
      </c>
      <c r="I1196" s="515">
        <v>0</v>
      </c>
      <c r="J1196" s="515">
        <v>0</v>
      </c>
      <c r="K1196" s="515">
        <v>0</v>
      </c>
      <c r="L1196" s="515">
        <v>0</v>
      </c>
      <c r="M1196" s="515">
        <v>0</v>
      </c>
      <c r="N1196" s="515">
        <v>0</v>
      </c>
      <c r="O1196" s="489">
        <v>1127.9284970918402</v>
      </c>
      <c r="P1196" s="489">
        <v>1120.5073017144762</v>
      </c>
      <c r="Q1196" s="489">
        <v>1112.0649884182671</v>
      </c>
      <c r="R1196" s="489">
        <v>1102.6062761926114</v>
      </c>
      <c r="S1196" s="489">
        <v>1092.1358840269183</v>
      </c>
      <c r="T1196" s="489">
        <v>1080.6585309106149</v>
      </c>
      <c r="U1196" s="489">
        <v>1074.0450772794061</v>
      </c>
      <c r="V1196" s="489">
        <v>1066.7405238026934</v>
      </c>
      <c r="W1196" s="489">
        <v>1058.7468237105609</v>
      </c>
      <c r="X1196" s="489">
        <v>1050.0659302330598</v>
      </c>
      <c r="Y1196" s="489">
        <v>1040.6997966002609</v>
      </c>
      <c r="Z1196" s="489">
        <v>1031.6474111341922</v>
      </c>
      <c r="AA1196" s="489">
        <v>1022.2718888323058</v>
      </c>
      <c r="AB1196" s="489">
        <v>1012.5720413467486</v>
      </c>
      <c r="AC1196" s="489">
        <v>1002.546680329647</v>
      </c>
      <c r="AD1196" s="489">
        <v>992.19461743314446</v>
      </c>
      <c r="AE1196" s="489">
        <v>983.72872230414555</v>
      </c>
      <c r="AF1196" s="489">
        <v>975.1180440240887</v>
      </c>
      <c r="AG1196" s="489">
        <v>966.36146944274219</v>
      </c>
      <c r="AH1196" s="489">
        <v>957.45788540987428</v>
      </c>
      <c r="AI1196" s="489">
        <v>948.40617877525358</v>
      </c>
    </row>
    <row r="1197" spans="2:64" outlineLevel="1">
      <c r="B1197" t="str">
        <f t="shared" si="107"/>
        <v>Bio-oil (Pyrolysis) - Total cost - Middle East - USD/ton fuel</v>
      </c>
      <c r="C1197" s="25" t="str">
        <f>C1196</f>
        <v>Bio-oil (Pyrolysis)</v>
      </c>
      <c r="D1197" s="25" t="s">
        <v>1362</v>
      </c>
      <c r="E1197" s="25" t="s">
        <v>826</v>
      </c>
      <c r="F1197" s="25" t="s">
        <v>1353</v>
      </c>
      <c r="G1197" s="487" t="str">
        <f t="shared" si="101"/>
        <v>Bio-oil (Pyrolysis)Middle EastTotal cost</v>
      </c>
      <c r="H1197" s="516">
        <v>0</v>
      </c>
      <c r="I1197" s="516">
        <v>0</v>
      </c>
      <c r="J1197" s="516">
        <v>0</v>
      </c>
      <c r="K1197" s="516">
        <v>0</v>
      </c>
      <c r="L1197" s="516">
        <v>0</v>
      </c>
      <c r="M1197" s="516">
        <v>0</v>
      </c>
      <c r="N1197" s="516">
        <v>0</v>
      </c>
      <c r="O1197" s="490">
        <v>1127.396548774869</v>
      </c>
      <c r="P1197" s="490">
        <v>1119.0499903792877</v>
      </c>
      <c r="Q1197" s="490">
        <v>1109.7049524301312</v>
      </c>
      <c r="R1197" s="490">
        <v>1099.3665796507039</v>
      </c>
      <c r="S1197" s="490">
        <v>1088.0400167643174</v>
      </c>
      <c r="T1197" s="490">
        <v>1075.7304084942953</v>
      </c>
      <c r="U1197" s="490">
        <v>1070.5946346838011</v>
      </c>
      <c r="V1197" s="490">
        <v>1064.7757272995009</v>
      </c>
      <c r="W1197" s="490">
        <v>1058.2754746000755</v>
      </c>
      <c r="X1197" s="490">
        <v>1051.0956648441766</v>
      </c>
      <c r="Y1197" s="490">
        <v>1043.2380862904747</v>
      </c>
      <c r="Z1197" s="490">
        <v>1033.6328959226428</v>
      </c>
      <c r="AA1197" s="490">
        <v>1023.7066177571471</v>
      </c>
      <c r="AB1197" s="490">
        <v>1013.4579181377374</v>
      </c>
      <c r="AC1197" s="490">
        <v>1002.8854634081499</v>
      </c>
      <c r="AD1197" s="490">
        <v>991.98791991213011</v>
      </c>
      <c r="AE1197" s="490">
        <v>983.83392753325302</v>
      </c>
      <c r="AF1197" s="490">
        <v>975.51464862753039</v>
      </c>
      <c r="AG1197" s="490">
        <v>967.02928182699588</v>
      </c>
      <c r="AH1197" s="490">
        <v>958.37702576368542</v>
      </c>
      <c r="AI1197" s="490">
        <v>949.55707906963494</v>
      </c>
    </row>
    <row r="1198" spans="2:64" ht="15" outlineLevel="1">
      <c r="B1198" t="str">
        <f t="shared" si="107"/>
        <v/>
      </c>
      <c r="C1198" s="22"/>
      <c r="G1198" s="487" t="str">
        <f t="shared" si="101"/>
        <v/>
      </c>
      <c r="H1198" s="209"/>
      <c r="I1198" s="209"/>
      <c r="J1198" s="209"/>
      <c r="K1198" s="209"/>
      <c r="L1198" s="209"/>
      <c r="M1198" s="209"/>
      <c r="N1198" s="209"/>
    </row>
    <row r="1199" spans="2:64" ht="15" outlineLevel="1">
      <c r="B1199" t="str">
        <f t="shared" si="107"/>
        <v>Bio-oil (Pyrolysis) - CAPEX including feedstock CAPEX - Global - USD/ton fuel</v>
      </c>
      <c r="C1199" s="491" t="str">
        <f>C1192</f>
        <v>Bio-oil (Pyrolysis)</v>
      </c>
      <c r="D1199" s="491" t="s">
        <v>1363</v>
      </c>
      <c r="E1199" s="491" t="s">
        <v>708</v>
      </c>
      <c r="F1199" s="491" t="s">
        <v>1353</v>
      </c>
      <c r="G1199" s="487" t="str">
        <f t="shared" si="101"/>
        <v>Bio-oil (Pyrolysis)GlobalCAPEX including feedstock CAPEX</v>
      </c>
      <c r="H1199" s="517" t="e">
        <v>#DIV/0!</v>
      </c>
      <c r="I1199" s="517" t="e">
        <v>#DIV/0!</v>
      </c>
      <c r="J1199" s="517" t="e">
        <v>#DIV/0!</v>
      </c>
      <c r="K1199" s="517" t="e">
        <v>#DIV/0!</v>
      </c>
      <c r="L1199" s="517" t="e">
        <v>#DIV/0!</v>
      </c>
      <c r="M1199" s="517" t="e">
        <v>#DIV/0!</v>
      </c>
      <c r="N1199" s="517" t="e">
        <v>#DIV/0!</v>
      </c>
      <c r="O1199" s="492">
        <v>77.533333333333331</v>
      </c>
      <c r="P1199" s="492">
        <v>75.982666666666532</v>
      </c>
      <c r="Q1199" s="492">
        <v>74.432000000000215</v>
      </c>
      <c r="R1199" s="492">
        <v>72.881333333333416</v>
      </c>
      <c r="S1199" s="492">
        <v>71.330666666666602</v>
      </c>
      <c r="T1199" s="492">
        <v>69.77999999999993</v>
      </c>
      <c r="U1199" s="492">
        <v>69.263111111111115</v>
      </c>
      <c r="V1199" s="492">
        <v>68.746222222222187</v>
      </c>
      <c r="W1199" s="492">
        <v>68.229333333333244</v>
      </c>
      <c r="X1199" s="492">
        <v>67.712444444444429</v>
      </c>
      <c r="Y1199" s="492">
        <v>67.195555555555501</v>
      </c>
      <c r="Z1199" s="492">
        <v>66.678666666666558</v>
      </c>
      <c r="AA1199" s="492">
        <v>66.161777777777758</v>
      </c>
      <c r="AB1199" s="492">
        <v>65.644888888888815</v>
      </c>
      <c r="AC1199" s="492">
        <v>65.127999999999886</v>
      </c>
      <c r="AD1199" s="492">
        <v>64.611111111111072</v>
      </c>
      <c r="AE1199" s="492">
        <v>64.094222222222143</v>
      </c>
      <c r="AF1199" s="492">
        <v>63.577333333333321</v>
      </c>
      <c r="AG1199" s="492">
        <v>63.060444444444393</v>
      </c>
      <c r="AH1199" s="492">
        <v>62.543555555555457</v>
      </c>
      <c r="AI1199" s="492">
        <v>62.026666666666642</v>
      </c>
    </row>
    <row r="1200" spans="2:64" outlineLevel="1">
      <c r="B1200" t="str">
        <f t="shared" si="107"/>
        <v>Bio-oil (Pyrolysis) - CAPEX - Global - USD/ton fuel</v>
      </c>
      <c r="C1200" t="str">
        <f>C1192</f>
        <v>Bio-oil (Pyrolysis)</v>
      </c>
      <c r="D1200" t="s">
        <v>446</v>
      </c>
      <c r="E1200" t="s">
        <v>708</v>
      </c>
      <c r="F1200" t="s">
        <v>1353</v>
      </c>
      <c r="G1200" s="487" t="str">
        <f t="shared" si="101"/>
        <v>Bio-oil (Pyrolysis)GlobalCAPEX</v>
      </c>
      <c r="H1200" s="518" t="e">
        <v>#DIV/0!</v>
      </c>
      <c r="I1200" s="518" t="e">
        <v>#DIV/0!</v>
      </c>
      <c r="J1200" s="518" t="e">
        <v>#DIV/0!</v>
      </c>
      <c r="K1200" s="518" t="e">
        <v>#DIV/0!</v>
      </c>
      <c r="L1200" s="518" t="e">
        <v>#DIV/0!</v>
      </c>
      <c r="M1200" s="518" t="e">
        <v>#DIV/0!</v>
      </c>
      <c r="N1200" s="518" t="e">
        <v>#DIV/0!</v>
      </c>
      <c r="O1200" s="493">
        <v>77.533333333333331</v>
      </c>
      <c r="P1200" s="493">
        <v>75.982666666666532</v>
      </c>
      <c r="Q1200" s="493">
        <v>74.432000000000215</v>
      </c>
      <c r="R1200" s="493">
        <v>72.881333333333416</v>
      </c>
      <c r="S1200" s="493">
        <v>71.330666666666602</v>
      </c>
      <c r="T1200" s="493">
        <v>69.77999999999993</v>
      </c>
      <c r="U1200" s="493">
        <v>69.263111111111115</v>
      </c>
      <c r="V1200" s="493">
        <v>68.746222222222187</v>
      </c>
      <c r="W1200" s="493">
        <v>68.229333333333244</v>
      </c>
      <c r="X1200" s="493">
        <v>67.712444444444429</v>
      </c>
      <c r="Y1200" s="493">
        <v>67.195555555555501</v>
      </c>
      <c r="Z1200" s="493">
        <v>66.678666666666558</v>
      </c>
      <c r="AA1200" s="493">
        <v>66.161777777777758</v>
      </c>
      <c r="AB1200" s="493">
        <v>65.644888888888815</v>
      </c>
      <c r="AC1200" s="493">
        <v>65.127999999999886</v>
      </c>
      <c r="AD1200" s="493">
        <v>64.611111111111072</v>
      </c>
      <c r="AE1200" s="493">
        <v>64.094222222222143</v>
      </c>
      <c r="AF1200" s="493">
        <v>63.577333333333321</v>
      </c>
      <c r="AG1200" s="493">
        <v>63.060444444444393</v>
      </c>
      <c r="AH1200" s="493">
        <v>62.543555555555457</v>
      </c>
      <c r="AI1200" s="493">
        <v>62.026666666666642</v>
      </c>
    </row>
    <row r="1201" spans="2:64" outlineLevel="1">
      <c r="B1201" t="str">
        <f t="shared" si="107"/>
        <v/>
      </c>
      <c r="G1201" s="487" t="str">
        <f t="shared" si="101"/>
        <v/>
      </c>
      <c r="H1201" s="518"/>
      <c r="I1201" s="518"/>
      <c r="J1201" s="518"/>
      <c r="K1201" s="518"/>
      <c r="L1201" s="518"/>
      <c r="M1201" s="518"/>
      <c r="N1201" s="518"/>
      <c r="O1201" s="493"/>
      <c r="P1201" s="493"/>
      <c r="Q1201" s="493"/>
      <c r="R1201" s="493"/>
      <c r="S1201" s="493"/>
      <c r="T1201" s="493"/>
      <c r="U1201" s="493"/>
      <c r="V1201" s="493"/>
      <c r="W1201" s="493"/>
      <c r="X1201" s="493"/>
      <c r="Y1201" s="493"/>
      <c r="Z1201" s="493"/>
      <c r="AA1201" s="493"/>
      <c r="AB1201" s="493"/>
      <c r="AC1201" s="493"/>
      <c r="AD1201" s="493"/>
      <c r="AE1201" s="493"/>
      <c r="AF1201" s="493"/>
      <c r="AG1201" s="493"/>
      <c r="AH1201" s="493"/>
      <c r="AI1201" s="493"/>
    </row>
    <row r="1202" spans="2:64" ht="15" outlineLevel="1">
      <c r="B1202" t="str">
        <f t="shared" si="107"/>
        <v>Bio-oil (Pyrolysis) - OPEX including feedstock OPEX - Global - USD/ton fuel</v>
      </c>
      <c r="C1202" s="491" t="str">
        <f>C1193</f>
        <v>Bio-oil (Pyrolysis)</v>
      </c>
      <c r="D1202" s="491" t="s">
        <v>1364</v>
      </c>
      <c r="E1202" s="491" t="s">
        <v>708</v>
      </c>
      <c r="F1202" s="491" t="s">
        <v>1353</v>
      </c>
      <c r="G1202" s="487" t="str">
        <f t="shared" si="101"/>
        <v>Bio-oil (Pyrolysis)GlobalOPEX including feedstock OPEX</v>
      </c>
      <c r="H1202" s="517">
        <v>0</v>
      </c>
      <c r="I1202" s="517">
        <v>0</v>
      </c>
      <c r="J1202" s="517">
        <v>0</v>
      </c>
      <c r="K1202" s="517">
        <v>0</v>
      </c>
      <c r="L1202" s="517">
        <v>0</v>
      </c>
      <c r="M1202" s="517">
        <v>0</v>
      </c>
      <c r="N1202" s="517">
        <v>0</v>
      </c>
      <c r="O1202" s="492">
        <v>91.493268053855545</v>
      </c>
      <c r="P1202" s="492">
        <v>89.663402692778277</v>
      </c>
      <c r="Q1202" s="492">
        <v>87.833537331701578</v>
      </c>
      <c r="R1202" s="492">
        <v>86.003671970624296</v>
      </c>
      <c r="S1202" s="492">
        <v>84.173806609547029</v>
      </c>
      <c r="T1202" s="492">
        <v>82.343941248469903</v>
      </c>
      <c r="U1202" s="492">
        <v>81.733986128110956</v>
      </c>
      <c r="V1202" s="492">
        <v>81.124031007751867</v>
      </c>
      <c r="W1202" s="492">
        <v>80.514075887392778</v>
      </c>
      <c r="X1202" s="492">
        <v>79.904120767033831</v>
      </c>
      <c r="Y1202" s="492">
        <v>79.294165646674742</v>
      </c>
      <c r="Z1202" s="492">
        <v>78.684210526315653</v>
      </c>
      <c r="AA1202" s="492">
        <v>78.074255405956706</v>
      </c>
      <c r="AB1202" s="492">
        <v>77.464300285597616</v>
      </c>
      <c r="AC1202" s="492">
        <v>76.854345165238513</v>
      </c>
      <c r="AD1202" s="492">
        <v>76.244390044879566</v>
      </c>
      <c r="AE1202" s="492">
        <v>75.634434924520477</v>
      </c>
      <c r="AF1202" s="492">
        <v>75.02447980416153</v>
      </c>
      <c r="AG1202" s="492">
        <v>74.414524683802441</v>
      </c>
      <c r="AH1202" s="492">
        <v>73.804569563443351</v>
      </c>
      <c r="AI1202" s="492">
        <v>73.194614443084404</v>
      </c>
    </row>
    <row r="1203" spans="2:64" outlineLevel="1">
      <c r="B1203" t="str">
        <f t="shared" si="107"/>
        <v>Bio-oil (Pyrolysis) - OPEX - Global - USD/ton fuel</v>
      </c>
      <c r="C1203" t="str">
        <f>C1192</f>
        <v>Bio-oil (Pyrolysis)</v>
      </c>
      <c r="D1203" t="s">
        <v>450</v>
      </c>
      <c r="E1203" t="s">
        <v>708</v>
      </c>
      <c r="F1203" t="s">
        <v>1353</v>
      </c>
      <c r="G1203" s="487" t="str">
        <f t="shared" si="101"/>
        <v>Bio-oil (Pyrolysis)GlobalOPEX</v>
      </c>
      <c r="H1203" s="518">
        <v>0</v>
      </c>
      <c r="I1203" s="518">
        <v>0</v>
      </c>
      <c r="J1203" s="518">
        <v>0</v>
      </c>
      <c r="K1203" s="518">
        <v>0</v>
      </c>
      <c r="L1203" s="518">
        <v>0</v>
      </c>
      <c r="M1203" s="518">
        <v>0</v>
      </c>
      <c r="N1203" s="518">
        <v>0</v>
      </c>
      <c r="O1203" s="493">
        <v>91.493268053855545</v>
      </c>
      <c r="P1203" s="493">
        <v>89.663402692778277</v>
      </c>
      <c r="Q1203" s="493">
        <v>87.833537331701578</v>
      </c>
      <c r="R1203" s="493">
        <v>86.003671970624296</v>
      </c>
      <c r="S1203" s="493">
        <v>84.173806609547029</v>
      </c>
      <c r="T1203" s="493">
        <v>82.343941248469903</v>
      </c>
      <c r="U1203" s="493">
        <v>81.733986128110956</v>
      </c>
      <c r="V1203" s="493">
        <v>81.124031007751867</v>
      </c>
      <c r="W1203" s="493">
        <v>80.514075887392778</v>
      </c>
      <c r="X1203" s="493">
        <v>79.904120767033831</v>
      </c>
      <c r="Y1203" s="493">
        <v>79.294165646674742</v>
      </c>
      <c r="Z1203" s="493">
        <v>78.684210526315653</v>
      </c>
      <c r="AA1203" s="493">
        <v>78.074255405956706</v>
      </c>
      <c r="AB1203" s="493">
        <v>77.464300285597616</v>
      </c>
      <c r="AC1203" s="493">
        <v>76.854345165238513</v>
      </c>
      <c r="AD1203" s="493">
        <v>76.244390044879566</v>
      </c>
      <c r="AE1203" s="493">
        <v>75.634434924520477</v>
      </c>
      <c r="AF1203" s="493">
        <v>75.02447980416153</v>
      </c>
      <c r="AG1203" s="493">
        <v>74.414524683802441</v>
      </c>
      <c r="AH1203" s="493">
        <v>73.804569563443351</v>
      </c>
      <c r="AI1203" s="493">
        <v>73.194614443084404</v>
      </c>
    </row>
    <row r="1204" spans="2:64" outlineLevel="1">
      <c r="B1204" t="str">
        <f t="shared" si="107"/>
        <v/>
      </c>
      <c r="G1204" s="487" t="str">
        <f t="shared" si="101"/>
        <v/>
      </c>
      <c r="H1204" s="518"/>
      <c r="I1204" s="518"/>
      <c r="J1204" s="518"/>
      <c r="K1204" s="518"/>
      <c r="L1204" s="518"/>
      <c r="M1204" s="518"/>
      <c r="N1204" s="518"/>
      <c r="O1204" s="493"/>
      <c r="P1204" s="493"/>
      <c r="Q1204" s="493"/>
      <c r="R1204" s="493"/>
      <c r="S1204" s="493"/>
      <c r="T1204" s="493"/>
      <c r="U1204" s="493"/>
      <c r="V1204" s="493"/>
      <c r="W1204" s="493"/>
      <c r="X1204" s="493"/>
      <c r="Y1204" s="493"/>
      <c r="Z1204" s="493"/>
      <c r="AA1204" s="493"/>
      <c r="AB1204" s="493"/>
      <c r="AC1204" s="493"/>
      <c r="AD1204" s="493"/>
      <c r="AE1204" s="493"/>
      <c r="AF1204" s="493"/>
      <c r="AG1204" s="493"/>
      <c r="AH1204" s="493"/>
      <c r="AI1204" s="493"/>
    </row>
    <row r="1205" spans="2:64" ht="15" outlineLevel="1">
      <c r="B1205" t="str">
        <f t="shared" si="107"/>
        <v>Bio-oil (Pyrolysis) - Finance cost including feedstock finance cost - Africa - USD/ton fuel</v>
      </c>
      <c r="C1205" s="494" t="str">
        <f>C1196</f>
        <v>Bio-oil (Pyrolysis)</v>
      </c>
      <c r="D1205" s="494" t="s">
        <v>1365</v>
      </c>
      <c r="E1205" s="494" t="s">
        <v>838</v>
      </c>
      <c r="F1205" s="494" t="s">
        <v>1353</v>
      </c>
      <c r="G1205" s="487" t="str">
        <f t="shared" si="101"/>
        <v>Bio-oil (Pyrolysis)AfricaFinance cost including feedstock finance cost</v>
      </c>
      <c r="H1205" s="519">
        <v>0</v>
      </c>
      <c r="I1205" s="519">
        <v>0</v>
      </c>
      <c r="J1205" s="519">
        <v>0</v>
      </c>
      <c r="K1205" s="519">
        <v>0</v>
      </c>
      <c r="L1205" s="519">
        <v>0</v>
      </c>
      <c r="M1205" s="519">
        <v>0</v>
      </c>
      <c r="N1205" s="519">
        <v>0</v>
      </c>
      <c r="O1205" s="495">
        <v>127.93000000000002</v>
      </c>
      <c r="P1205" s="495">
        <v>125.3713999999998</v>
      </c>
      <c r="Q1205" s="495">
        <v>122.81280000000037</v>
      </c>
      <c r="R1205" s="495">
        <v>120.25420000000014</v>
      </c>
      <c r="S1205" s="495">
        <v>117.69559999999991</v>
      </c>
      <c r="T1205" s="495">
        <v>115.1369999999999</v>
      </c>
      <c r="U1205" s="495">
        <v>114.28413333333336</v>
      </c>
      <c r="V1205" s="495">
        <v>113.43126666666662</v>
      </c>
      <c r="W1205" s="495">
        <v>112.57839999999987</v>
      </c>
      <c r="X1205" s="495">
        <v>111.72553333333333</v>
      </c>
      <c r="Y1205" s="495">
        <v>110.87266666666659</v>
      </c>
      <c r="Z1205" s="495">
        <v>110.01979999999985</v>
      </c>
      <c r="AA1205" s="495">
        <v>109.1669333333333</v>
      </c>
      <c r="AB1205" s="495">
        <v>108.31406666666656</v>
      </c>
      <c r="AC1205" s="495">
        <v>107.46119999999982</v>
      </c>
      <c r="AD1205" s="495">
        <v>106.60833333333328</v>
      </c>
      <c r="AE1205" s="495">
        <v>105.75546666666654</v>
      </c>
      <c r="AF1205" s="495">
        <v>104.90259999999999</v>
      </c>
      <c r="AG1205" s="495">
        <v>104.04973333333325</v>
      </c>
      <c r="AH1205" s="495">
        <v>103.19686666666651</v>
      </c>
      <c r="AI1205" s="495">
        <v>102.34399999999998</v>
      </c>
    </row>
    <row r="1206" spans="2:64" ht="15" outlineLevel="1">
      <c r="B1206" t="str">
        <f t="shared" si="107"/>
        <v>Bio-oil (Pyrolysis) - Finance cost including feedstock finance cost - Americas - USD/ton fuel</v>
      </c>
      <c r="C1206" s="22" t="str">
        <f>C1196</f>
        <v>Bio-oil (Pyrolysis)</v>
      </c>
      <c r="D1206" s="22" t="s">
        <v>1365</v>
      </c>
      <c r="E1206" s="22" t="s">
        <v>731</v>
      </c>
      <c r="F1206" s="22" t="s">
        <v>1353</v>
      </c>
      <c r="G1206" s="487" t="str">
        <f t="shared" si="101"/>
        <v>Bio-oil (Pyrolysis)AmericasFinance cost including feedstock finance cost</v>
      </c>
      <c r="H1206" s="520">
        <v>0</v>
      </c>
      <c r="I1206" s="520">
        <v>0</v>
      </c>
      <c r="J1206" s="520">
        <v>0</v>
      </c>
      <c r="K1206" s="520">
        <v>0</v>
      </c>
      <c r="L1206" s="520">
        <v>0</v>
      </c>
      <c r="M1206" s="520">
        <v>0</v>
      </c>
      <c r="N1206" s="520">
        <v>0</v>
      </c>
      <c r="O1206" s="496">
        <v>127.93000000000002</v>
      </c>
      <c r="P1206" s="496">
        <v>125.3713999999998</v>
      </c>
      <c r="Q1206" s="496">
        <v>122.81280000000037</v>
      </c>
      <c r="R1206" s="496">
        <v>120.25420000000014</v>
      </c>
      <c r="S1206" s="496">
        <v>117.69559999999991</v>
      </c>
      <c r="T1206" s="496">
        <v>115.1369999999999</v>
      </c>
      <c r="U1206" s="496">
        <v>114.28413333333336</v>
      </c>
      <c r="V1206" s="496">
        <v>113.43126666666662</v>
      </c>
      <c r="W1206" s="496">
        <v>112.57839999999987</v>
      </c>
      <c r="X1206" s="496">
        <v>111.72553333333333</v>
      </c>
      <c r="Y1206" s="496">
        <v>110.87266666666659</v>
      </c>
      <c r="Z1206" s="496">
        <v>110.01979999999985</v>
      </c>
      <c r="AA1206" s="496">
        <v>109.1669333333333</v>
      </c>
      <c r="AB1206" s="496">
        <v>108.31406666666656</v>
      </c>
      <c r="AC1206" s="496">
        <v>107.46119999999982</v>
      </c>
      <c r="AD1206" s="496">
        <v>106.60833333333328</v>
      </c>
      <c r="AE1206" s="496">
        <v>105.75546666666654</v>
      </c>
      <c r="AF1206" s="496">
        <v>104.90259999999999</v>
      </c>
      <c r="AG1206" s="496">
        <v>104.04973333333325</v>
      </c>
      <c r="AH1206" s="496">
        <v>103.19686666666651</v>
      </c>
      <c r="AI1206" s="496">
        <v>102.34399999999998</v>
      </c>
    </row>
    <row r="1207" spans="2:64" ht="15" outlineLevel="1">
      <c r="B1207" t="str">
        <f t="shared" si="107"/>
        <v>Bio-oil (Pyrolysis) - Finance cost including feedstock finance cost - Asia - USD/ton fuel</v>
      </c>
      <c r="C1207" s="22" t="str">
        <f>C1196</f>
        <v>Bio-oil (Pyrolysis)</v>
      </c>
      <c r="D1207" s="22" t="s">
        <v>1365</v>
      </c>
      <c r="E1207" s="22" t="s">
        <v>750</v>
      </c>
      <c r="F1207" s="22" t="s">
        <v>1353</v>
      </c>
      <c r="G1207" s="487" t="str">
        <f t="shared" si="101"/>
        <v>Bio-oil (Pyrolysis)AsiaFinance cost including feedstock finance cost</v>
      </c>
      <c r="H1207" s="520">
        <v>0</v>
      </c>
      <c r="I1207" s="520">
        <v>0</v>
      </c>
      <c r="J1207" s="520">
        <v>0</v>
      </c>
      <c r="K1207" s="520">
        <v>0</v>
      </c>
      <c r="L1207" s="520">
        <v>0</v>
      </c>
      <c r="M1207" s="520">
        <v>0</v>
      </c>
      <c r="N1207" s="520">
        <v>0</v>
      </c>
      <c r="O1207" s="496">
        <v>127.93000000000002</v>
      </c>
      <c r="P1207" s="496">
        <v>125.3713999999998</v>
      </c>
      <c r="Q1207" s="496">
        <v>122.81280000000037</v>
      </c>
      <c r="R1207" s="496">
        <v>120.25420000000014</v>
      </c>
      <c r="S1207" s="496">
        <v>117.69559999999991</v>
      </c>
      <c r="T1207" s="496">
        <v>115.1369999999999</v>
      </c>
      <c r="U1207" s="496">
        <v>114.28413333333336</v>
      </c>
      <c r="V1207" s="496">
        <v>113.43126666666662</v>
      </c>
      <c r="W1207" s="496">
        <v>112.57839999999987</v>
      </c>
      <c r="X1207" s="496">
        <v>111.72553333333333</v>
      </c>
      <c r="Y1207" s="496">
        <v>110.87266666666659</v>
      </c>
      <c r="Z1207" s="496">
        <v>110.01979999999985</v>
      </c>
      <c r="AA1207" s="496">
        <v>109.1669333333333</v>
      </c>
      <c r="AB1207" s="496">
        <v>108.31406666666656</v>
      </c>
      <c r="AC1207" s="496">
        <v>107.46119999999982</v>
      </c>
      <c r="AD1207" s="496">
        <v>106.60833333333328</v>
      </c>
      <c r="AE1207" s="496">
        <v>105.75546666666654</v>
      </c>
      <c r="AF1207" s="496">
        <v>104.90259999999999</v>
      </c>
      <c r="AG1207" s="496">
        <v>104.04973333333325</v>
      </c>
      <c r="AH1207" s="496">
        <v>103.19686666666651</v>
      </c>
      <c r="AI1207" s="496">
        <v>102.34399999999998</v>
      </c>
    </row>
    <row r="1208" spans="2:64" ht="15" outlineLevel="1">
      <c r="B1208" t="str">
        <f t="shared" si="107"/>
        <v>Bio-oil (Pyrolysis) - Finance cost including feedstock finance cost - Europe - USD/ton fuel</v>
      </c>
      <c r="C1208" s="22" t="str">
        <f>C1196</f>
        <v>Bio-oil (Pyrolysis)</v>
      </c>
      <c r="D1208" s="22" t="s">
        <v>1365</v>
      </c>
      <c r="E1208" s="22" t="s">
        <v>720</v>
      </c>
      <c r="F1208" s="22" t="s">
        <v>1353</v>
      </c>
      <c r="G1208" s="487" t="str">
        <f t="shared" si="101"/>
        <v>Bio-oil (Pyrolysis)EuropeFinance cost including feedstock finance cost</v>
      </c>
      <c r="H1208" s="520">
        <v>0</v>
      </c>
      <c r="I1208" s="520">
        <v>0</v>
      </c>
      <c r="J1208" s="520">
        <v>0</v>
      </c>
      <c r="K1208" s="520">
        <v>0</v>
      </c>
      <c r="L1208" s="520">
        <v>0</v>
      </c>
      <c r="M1208" s="520">
        <v>0</v>
      </c>
      <c r="N1208" s="520">
        <v>0</v>
      </c>
      <c r="O1208" s="496">
        <v>127.93000000000002</v>
      </c>
      <c r="P1208" s="496">
        <v>125.3713999999998</v>
      </c>
      <c r="Q1208" s="496">
        <v>122.81280000000037</v>
      </c>
      <c r="R1208" s="496">
        <v>120.25420000000014</v>
      </c>
      <c r="S1208" s="496">
        <v>117.69559999999991</v>
      </c>
      <c r="T1208" s="496">
        <v>115.1369999999999</v>
      </c>
      <c r="U1208" s="496">
        <v>114.28413333333336</v>
      </c>
      <c r="V1208" s="496">
        <v>113.43126666666662</v>
      </c>
      <c r="W1208" s="496">
        <v>112.57839999999987</v>
      </c>
      <c r="X1208" s="496">
        <v>111.72553333333333</v>
      </c>
      <c r="Y1208" s="496">
        <v>110.87266666666659</v>
      </c>
      <c r="Z1208" s="496">
        <v>110.01979999999985</v>
      </c>
      <c r="AA1208" s="496">
        <v>109.1669333333333</v>
      </c>
      <c r="AB1208" s="496">
        <v>108.31406666666656</v>
      </c>
      <c r="AC1208" s="496">
        <v>107.46119999999982</v>
      </c>
      <c r="AD1208" s="496">
        <v>106.60833333333328</v>
      </c>
      <c r="AE1208" s="496">
        <v>105.75546666666654</v>
      </c>
      <c r="AF1208" s="496">
        <v>104.90259999999999</v>
      </c>
      <c r="AG1208" s="496">
        <v>104.04973333333325</v>
      </c>
      <c r="AH1208" s="496">
        <v>103.19686666666651</v>
      </c>
      <c r="AI1208" s="496">
        <v>102.34399999999998</v>
      </c>
    </row>
    <row r="1209" spans="2:64" ht="15" outlineLevel="1">
      <c r="B1209" t="str">
        <f t="shared" si="107"/>
        <v>Bio-oil (Pyrolysis) - Finance cost including feedstock finance cost - Middle East - USD/ton fuel</v>
      </c>
      <c r="C1209" s="92" t="str">
        <f>C1196</f>
        <v>Bio-oil (Pyrolysis)</v>
      </c>
      <c r="D1209" s="92" t="s">
        <v>1365</v>
      </c>
      <c r="E1209" s="92" t="s">
        <v>826</v>
      </c>
      <c r="F1209" s="92" t="s">
        <v>1353</v>
      </c>
      <c r="G1209" s="487" t="str">
        <f t="shared" si="101"/>
        <v>Bio-oil (Pyrolysis)Middle EastFinance cost including feedstock finance cost</v>
      </c>
      <c r="H1209" s="521">
        <v>0</v>
      </c>
      <c r="I1209" s="521">
        <v>0</v>
      </c>
      <c r="J1209" s="521">
        <v>0</v>
      </c>
      <c r="K1209" s="521">
        <v>0</v>
      </c>
      <c r="L1209" s="521">
        <v>0</v>
      </c>
      <c r="M1209" s="521">
        <v>0</v>
      </c>
      <c r="N1209" s="521">
        <v>0</v>
      </c>
      <c r="O1209" s="497">
        <v>127.93000000000002</v>
      </c>
      <c r="P1209" s="497">
        <v>125.3713999999998</v>
      </c>
      <c r="Q1209" s="497">
        <v>122.81280000000037</v>
      </c>
      <c r="R1209" s="497">
        <v>120.25420000000014</v>
      </c>
      <c r="S1209" s="497">
        <v>117.69559999999991</v>
      </c>
      <c r="T1209" s="497">
        <v>115.1369999999999</v>
      </c>
      <c r="U1209" s="497">
        <v>114.28413333333336</v>
      </c>
      <c r="V1209" s="497">
        <v>113.43126666666662</v>
      </c>
      <c r="W1209" s="497">
        <v>112.57839999999987</v>
      </c>
      <c r="X1209" s="497">
        <v>111.72553333333333</v>
      </c>
      <c r="Y1209" s="497">
        <v>110.87266666666659</v>
      </c>
      <c r="Z1209" s="497">
        <v>110.01979999999985</v>
      </c>
      <c r="AA1209" s="497">
        <v>109.1669333333333</v>
      </c>
      <c r="AB1209" s="497">
        <v>108.31406666666656</v>
      </c>
      <c r="AC1209" s="497">
        <v>107.46119999999982</v>
      </c>
      <c r="AD1209" s="497">
        <v>106.60833333333328</v>
      </c>
      <c r="AE1209" s="497">
        <v>105.75546666666654</v>
      </c>
      <c r="AF1209" s="497">
        <v>104.90259999999999</v>
      </c>
      <c r="AG1209" s="497">
        <v>104.04973333333325</v>
      </c>
      <c r="AH1209" s="497">
        <v>103.19686666666651</v>
      </c>
      <c r="AI1209" s="497">
        <v>102.34399999999998</v>
      </c>
    </row>
    <row r="1210" spans="2:64" outlineLevel="1">
      <c r="B1210" t="str">
        <f t="shared" si="107"/>
        <v>Bio-oil (Pyrolysis) - Finance cost - Africa - USD/ton fuel</v>
      </c>
      <c r="C1210" t="str">
        <f>C1192</f>
        <v>Bio-oil (Pyrolysis)</v>
      </c>
      <c r="D1210" t="s">
        <v>1366</v>
      </c>
      <c r="E1210" t="s">
        <v>838</v>
      </c>
      <c r="F1210" t="s">
        <v>1353</v>
      </c>
      <c r="G1210" s="487" t="str">
        <f t="shared" si="101"/>
        <v>Bio-oil (Pyrolysis)AfricaFinance cost</v>
      </c>
      <c r="H1210" s="518">
        <v>0</v>
      </c>
      <c r="I1210" s="518">
        <v>0</v>
      </c>
      <c r="J1210" s="518">
        <v>0</v>
      </c>
      <c r="K1210" s="518">
        <v>0</v>
      </c>
      <c r="L1210" s="518">
        <v>0</v>
      </c>
      <c r="M1210" s="518">
        <v>0</v>
      </c>
      <c r="N1210" s="518">
        <v>0</v>
      </c>
      <c r="O1210" s="493">
        <v>127.93000000000002</v>
      </c>
      <c r="P1210" s="493">
        <v>125.3713999999998</v>
      </c>
      <c r="Q1210" s="493">
        <v>122.81280000000037</v>
      </c>
      <c r="R1210" s="493">
        <v>120.25420000000014</v>
      </c>
      <c r="S1210" s="493">
        <v>117.69559999999991</v>
      </c>
      <c r="T1210" s="493">
        <v>115.1369999999999</v>
      </c>
      <c r="U1210" s="493">
        <v>114.28413333333336</v>
      </c>
      <c r="V1210" s="493">
        <v>113.43126666666662</v>
      </c>
      <c r="W1210" s="493">
        <v>112.57839999999987</v>
      </c>
      <c r="X1210" s="493">
        <v>111.72553333333333</v>
      </c>
      <c r="Y1210" s="493">
        <v>110.87266666666659</v>
      </c>
      <c r="Z1210" s="493">
        <v>110.01979999999985</v>
      </c>
      <c r="AA1210" s="493">
        <v>109.1669333333333</v>
      </c>
      <c r="AB1210" s="493">
        <v>108.31406666666656</v>
      </c>
      <c r="AC1210" s="493">
        <v>107.46119999999982</v>
      </c>
      <c r="AD1210" s="493">
        <v>106.60833333333328</v>
      </c>
      <c r="AE1210" s="493">
        <v>105.75546666666654</v>
      </c>
      <c r="AF1210" s="493">
        <v>104.90259999999999</v>
      </c>
      <c r="AG1210" s="493">
        <v>104.04973333333325</v>
      </c>
      <c r="AH1210" s="493">
        <v>103.19686666666651</v>
      </c>
      <c r="AI1210" s="493">
        <v>102.34399999999998</v>
      </c>
    </row>
    <row r="1211" spans="2:64" outlineLevel="1">
      <c r="B1211" t="str">
        <f t="shared" si="107"/>
        <v>Bio-oil (Pyrolysis) - Finance cost - Americas - USD/ton fuel</v>
      </c>
      <c r="C1211" t="str">
        <f>C1192</f>
        <v>Bio-oil (Pyrolysis)</v>
      </c>
      <c r="D1211" t="s">
        <v>1366</v>
      </c>
      <c r="E1211" t="s">
        <v>731</v>
      </c>
      <c r="F1211" t="s">
        <v>1353</v>
      </c>
      <c r="G1211" s="487" t="str">
        <f t="shared" si="101"/>
        <v>Bio-oil (Pyrolysis)AmericasFinance cost</v>
      </c>
      <c r="H1211" s="518">
        <v>0</v>
      </c>
      <c r="I1211" s="518">
        <v>0</v>
      </c>
      <c r="J1211" s="518">
        <v>0</v>
      </c>
      <c r="K1211" s="518">
        <v>0</v>
      </c>
      <c r="L1211" s="518">
        <v>0</v>
      </c>
      <c r="M1211" s="518">
        <v>0</v>
      </c>
      <c r="N1211" s="518">
        <v>0</v>
      </c>
      <c r="O1211" s="493">
        <v>127.93000000000002</v>
      </c>
      <c r="P1211" s="493">
        <v>125.3713999999998</v>
      </c>
      <c r="Q1211" s="493">
        <v>122.81280000000037</v>
      </c>
      <c r="R1211" s="493">
        <v>120.25420000000014</v>
      </c>
      <c r="S1211" s="493">
        <v>117.69559999999991</v>
      </c>
      <c r="T1211" s="493">
        <v>115.1369999999999</v>
      </c>
      <c r="U1211" s="493">
        <v>114.28413333333336</v>
      </c>
      <c r="V1211" s="493">
        <v>113.43126666666662</v>
      </c>
      <c r="W1211" s="493">
        <v>112.57839999999987</v>
      </c>
      <c r="X1211" s="493">
        <v>111.72553333333333</v>
      </c>
      <c r="Y1211" s="493">
        <v>110.87266666666659</v>
      </c>
      <c r="Z1211" s="493">
        <v>110.01979999999985</v>
      </c>
      <c r="AA1211" s="493">
        <v>109.1669333333333</v>
      </c>
      <c r="AB1211" s="493">
        <v>108.31406666666656</v>
      </c>
      <c r="AC1211" s="493">
        <v>107.46119999999982</v>
      </c>
      <c r="AD1211" s="493">
        <v>106.60833333333328</v>
      </c>
      <c r="AE1211" s="493">
        <v>105.75546666666654</v>
      </c>
      <c r="AF1211" s="493">
        <v>104.90259999999999</v>
      </c>
      <c r="AG1211" s="493">
        <v>104.04973333333325</v>
      </c>
      <c r="AH1211" s="493">
        <v>103.19686666666651</v>
      </c>
      <c r="AI1211" s="493">
        <v>102.34399999999998</v>
      </c>
    </row>
    <row r="1212" spans="2:64" outlineLevel="1">
      <c r="B1212" t="str">
        <f t="shared" si="107"/>
        <v>Bio-oil (Pyrolysis) - Finance cost - Asia - USD/ton fuel</v>
      </c>
      <c r="C1212" t="str">
        <f>C1192</f>
        <v>Bio-oil (Pyrolysis)</v>
      </c>
      <c r="D1212" t="s">
        <v>1366</v>
      </c>
      <c r="E1212" t="s">
        <v>750</v>
      </c>
      <c r="F1212" t="s">
        <v>1353</v>
      </c>
      <c r="G1212" s="487" t="str">
        <f t="shared" si="101"/>
        <v>Bio-oil (Pyrolysis)AsiaFinance cost</v>
      </c>
      <c r="H1212" s="518">
        <v>0</v>
      </c>
      <c r="I1212" s="518">
        <v>0</v>
      </c>
      <c r="J1212" s="518">
        <v>0</v>
      </c>
      <c r="K1212" s="518">
        <v>0</v>
      </c>
      <c r="L1212" s="518">
        <v>0</v>
      </c>
      <c r="M1212" s="518">
        <v>0</v>
      </c>
      <c r="N1212" s="518">
        <v>0</v>
      </c>
      <c r="O1212" s="493">
        <v>127.93000000000002</v>
      </c>
      <c r="P1212" s="493">
        <v>125.3713999999998</v>
      </c>
      <c r="Q1212" s="493">
        <v>122.81280000000037</v>
      </c>
      <c r="R1212" s="493">
        <v>120.25420000000014</v>
      </c>
      <c r="S1212" s="493">
        <v>117.69559999999991</v>
      </c>
      <c r="T1212" s="493">
        <v>115.1369999999999</v>
      </c>
      <c r="U1212" s="493">
        <v>114.28413333333336</v>
      </c>
      <c r="V1212" s="493">
        <v>113.43126666666662</v>
      </c>
      <c r="W1212" s="493">
        <v>112.57839999999987</v>
      </c>
      <c r="X1212" s="493">
        <v>111.72553333333333</v>
      </c>
      <c r="Y1212" s="493">
        <v>110.87266666666659</v>
      </c>
      <c r="Z1212" s="493">
        <v>110.01979999999985</v>
      </c>
      <c r="AA1212" s="493">
        <v>109.1669333333333</v>
      </c>
      <c r="AB1212" s="493">
        <v>108.31406666666656</v>
      </c>
      <c r="AC1212" s="493">
        <v>107.46119999999982</v>
      </c>
      <c r="AD1212" s="493">
        <v>106.60833333333328</v>
      </c>
      <c r="AE1212" s="493">
        <v>105.75546666666654</v>
      </c>
      <c r="AF1212" s="493">
        <v>104.90259999999999</v>
      </c>
      <c r="AG1212" s="493">
        <v>104.04973333333325</v>
      </c>
      <c r="AH1212" s="493">
        <v>103.19686666666651</v>
      </c>
      <c r="AI1212" s="493">
        <v>102.34399999999998</v>
      </c>
    </row>
    <row r="1213" spans="2:64" outlineLevel="1">
      <c r="B1213" t="str">
        <f t="shared" si="107"/>
        <v>Bio-oil (Pyrolysis) - Finance cost - Europe - USD/ton fuel</v>
      </c>
      <c r="C1213" t="str">
        <f>C1192</f>
        <v>Bio-oil (Pyrolysis)</v>
      </c>
      <c r="D1213" t="s">
        <v>1366</v>
      </c>
      <c r="E1213" t="s">
        <v>720</v>
      </c>
      <c r="F1213" t="s">
        <v>1353</v>
      </c>
      <c r="G1213" s="487" t="str">
        <f t="shared" si="101"/>
        <v>Bio-oil (Pyrolysis)EuropeFinance cost</v>
      </c>
      <c r="H1213" s="518">
        <v>0</v>
      </c>
      <c r="I1213" s="518">
        <v>0</v>
      </c>
      <c r="J1213" s="518">
        <v>0</v>
      </c>
      <c r="K1213" s="518">
        <v>0</v>
      </c>
      <c r="L1213" s="518">
        <v>0</v>
      </c>
      <c r="M1213" s="518">
        <v>0</v>
      </c>
      <c r="N1213" s="518">
        <v>0</v>
      </c>
      <c r="O1213" s="493">
        <v>127.93000000000002</v>
      </c>
      <c r="P1213" s="493">
        <v>125.3713999999998</v>
      </c>
      <c r="Q1213" s="493">
        <v>122.81280000000037</v>
      </c>
      <c r="R1213" s="493">
        <v>120.25420000000014</v>
      </c>
      <c r="S1213" s="493">
        <v>117.69559999999991</v>
      </c>
      <c r="T1213" s="493">
        <v>115.1369999999999</v>
      </c>
      <c r="U1213" s="493">
        <v>114.28413333333336</v>
      </c>
      <c r="V1213" s="493">
        <v>113.43126666666662</v>
      </c>
      <c r="W1213" s="493">
        <v>112.57839999999987</v>
      </c>
      <c r="X1213" s="493">
        <v>111.72553333333333</v>
      </c>
      <c r="Y1213" s="493">
        <v>110.87266666666659</v>
      </c>
      <c r="Z1213" s="493">
        <v>110.01979999999985</v>
      </c>
      <c r="AA1213" s="493">
        <v>109.1669333333333</v>
      </c>
      <c r="AB1213" s="493">
        <v>108.31406666666656</v>
      </c>
      <c r="AC1213" s="493">
        <v>107.46119999999982</v>
      </c>
      <c r="AD1213" s="493">
        <v>106.60833333333328</v>
      </c>
      <c r="AE1213" s="493">
        <v>105.75546666666654</v>
      </c>
      <c r="AF1213" s="493">
        <v>104.90259999999999</v>
      </c>
      <c r="AG1213" s="493">
        <v>104.04973333333325</v>
      </c>
      <c r="AH1213" s="493">
        <v>103.19686666666651</v>
      </c>
      <c r="AI1213" s="493">
        <v>102.34399999999998</v>
      </c>
    </row>
    <row r="1214" spans="2:64" outlineLevel="1">
      <c r="B1214" t="str">
        <f t="shared" si="107"/>
        <v>Bio-oil (Pyrolysis) - Finance cost - Middle East - USD/ton fuel</v>
      </c>
      <c r="C1214" t="str">
        <f>C1192</f>
        <v>Bio-oil (Pyrolysis)</v>
      </c>
      <c r="D1214" t="s">
        <v>1366</v>
      </c>
      <c r="E1214" t="s">
        <v>826</v>
      </c>
      <c r="F1214" t="s">
        <v>1353</v>
      </c>
      <c r="G1214" s="487" t="str">
        <f t="shared" si="101"/>
        <v>Bio-oil (Pyrolysis)Middle EastFinance cost</v>
      </c>
      <c r="H1214" s="518">
        <v>0</v>
      </c>
      <c r="I1214" s="518">
        <v>0</v>
      </c>
      <c r="J1214" s="518">
        <v>0</v>
      </c>
      <c r="K1214" s="518">
        <v>0</v>
      </c>
      <c r="L1214" s="518">
        <v>0</v>
      </c>
      <c r="M1214" s="518">
        <v>0</v>
      </c>
      <c r="N1214" s="518">
        <v>0</v>
      </c>
      <c r="O1214" s="493">
        <v>127.93000000000002</v>
      </c>
      <c r="P1214" s="493">
        <v>125.3713999999998</v>
      </c>
      <c r="Q1214" s="493">
        <v>122.81280000000037</v>
      </c>
      <c r="R1214" s="493">
        <v>120.25420000000014</v>
      </c>
      <c r="S1214" s="493">
        <v>117.69559999999991</v>
      </c>
      <c r="T1214" s="493">
        <v>115.1369999999999</v>
      </c>
      <c r="U1214" s="493">
        <v>114.28413333333336</v>
      </c>
      <c r="V1214" s="493">
        <v>113.43126666666662</v>
      </c>
      <c r="W1214" s="493">
        <v>112.57839999999987</v>
      </c>
      <c r="X1214" s="493">
        <v>111.72553333333333</v>
      </c>
      <c r="Y1214" s="493">
        <v>110.87266666666659</v>
      </c>
      <c r="Z1214" s="493">
        <v>110.01979999999985</v>
      </c>
      <c r="AA1214" s="493">
        <v>109.1669333333333</v>
      </c>
      <c r="AB1214" s="493">
        <v>108.31406666666656</v>
      </c>
      <c r="AC1214" s="493">
        <v>107.46119999999982</v>
      </c>
      <c r="AD1214" s="493">
        <v>106.60833333333328</v>
      </c>
      <c r="AE1214" s="493">
        <v>105.75546666666654</v>
      </c>
      <c r="AF1214" s="493">
        <v>104.90259999999999</v>
      </c>
      <c r="AG1214" s="493">
        <v>104.04973333333325</v>
      </c>
      <c r="AH1214" s="493">
        <v>103.19686666666651</v>
      </c>
      <c r="AI1214" s="493">
        <v>102.34399999999998</v>
      </c>
    </row>
    <row r="1215" spans="2:64" ht="15" outlineLevel="1" thickBot="1">
      <c r="B1215" t="str">
        <f t="shared" si="107"/>
        <v/>
      </c>
      <c r="G1215" s="487" t="str">
        <f t="shared" si="101"/>
        <v/>
      </c>
      <c r="H1215" s="522"/>
      <c r="I1215" s="209"/>
      <c r="J1215" s="209"/>
      <c r="K1215" s="209"/>
      <c r="L1215" s="209"/>
      <c r="M1215" s="209"/>
      <c r="N1215" s="209"/>
    </row>
    <row r="1216" spans="2:64" ht="15" outlineLevel="1">
      <c r="B1216" t="str">
        <f t="shared" si="107"/>
        <v>Bio-oil (Pyrolysis) - Energy cost including feedstock energy cost - Africa - USD/ton fuel</v>
      </c>
      <c r="C1216" s="494" t="str">
        <f>C1192</f>
        <v>Bio-oil (Pyrolysis)</v>
      </c>
      <c r="D1216" s="494" t="s">
        <v>1367</v>
      </c>
      <c r="E1216" s="494" t="s">
        <v>838</v>
      </c>
      <c r="F1216" s="494" t="s">
        <v>1353</v>
      </c>
      <c r="G1216" s="487" t="str">
        <f t="shared" si="101"/>
        <v>Bio-oil (Pyrolysis)AfricaEnergy cost including feedstock energy cost</v>
      </c>
      <c r="H1216" s="519">
        <v>0</v>
      </c>
      <c r="I1216" s="519">
        <v>0</v>
      </c>
      <c r="J1216" s="519">
        <v>0</v>
      </c>
      <c r="K1216" s="519">
        <v>0</v>
      </c>
      <c r="L1216" s="519">
        <v>0</v>
      </c>
      <c r="M1216" s="519">
        <v>0</v>
      </c>
      <c r="N1216" s="519">
        <v>0</v>
      </c>
      <c r="O1216" s="495">
        <v>20.494762123430423</v>
      </c>
      <c r="P1216" s="495">
        <v>19.872143472728538</v>
      </c>
      <c r="Q1216" s="495">
        <v>19.249524822026657</v>
      </c>
      <c r="R1216" s="495">
        <v>18.62690617132451</v>
      </c>
      <c r="S1216" s="495">
        <v>18.004287520622629</v>
      </c>
      <c r="T1216" s="495">
        <v>17.381668869920812</v>
      </c>
      <c r="U1216" s="495">
        <v>17.088612501978194</v>
      </c>
      <c r="V1216" s="495">
        <v>16.795556134035646</v>
      </c>
      <c r="W1216" s="495">
        <v>16.502499766093031</v>
      </c>
      <c r="X1216" s="495">
        <v>16.209443398150412</v>
      </c>
      <c r="Y1216" s="495">
        <v>15.916387030207929</v>
      </c>
      <c r="Z1216" s="495">
        <v>15.615045621630456</v>
      </c>
      <c r="AA1216" s="495">
        <v>15.313704213052983</v>
      </c>
      <c r="AB1216" s="495">
        <v>15.012362804475377</v>
      </c>
      <c r="AC1216" s="495">
        <v>14.711021395897903</v>
      </c>
      <c r="AD1216" s="495">
        <v>14.409679987320365</v>
      </c>
      <c r="AE1216" s="495">
        <v>14.261773553625442</v>
      </c>
      <c r="AF1216" s="495">
        <v>14.113867119930589</v>
      </c>
      <c r="AG1216" s="495">
        <v>13.965960686235666</v>
      </c>
      <c r="AH1216" s="495">
        <v>13.818054252540746</v>
      </c>
      <c r="AI1216" s="495">
        <v>13.670147818845892</v>
      </c>
      <c r="AK1216" s="499" t="e">
        <f>H1199+H1202+H1205+H1216+#REF!=H1193</f>
        <v>#DIV/0!</v>
      </c>
      <c r="AL1216" s="500" t="e">
        <f>I1199+I1202+I1205+I1216+#REF!=I1193</f>
        <v>#DIV/0!</v>
      </c>
      <c r="AM1216" s="500" t="e">
        <f>J1199+J1202+J1205+J1216+#REF!=J1193</f>
        <v>#DIV/0!</v>
      </c>
      <c r="AN1216" s="500" t="e">
        <f>K1199+K1202+K1205+K1216+#REF!=K1193</f>
        <v>#DIV/0!</v>
      </c>
      <c r="AO1216" s="500" t="e">
        <f>L1199+L1202+L1205+L1216+#REF!=L1193</f>
        <v>#DIV/0!</v>
      </c>
      <c r="AP1216" s="500" t="e">
        <f>M1199+M1202+M1205+M1216+#REF!=M1193</f>
        <v>#DIV/0!</v>
      </c>
      <c r="AQ1216" s="500" t="e">
        <f>N1199+N1202+N1205+N1216+#REF!=N1193</f>
        <v>#DIV/0!</v>
      </c>
      <c r="AR1216" s="500" t="e">
        <f>O1199+O1202+O1205+O1216+#REF!=O1193</f>
        <v>#REF!</v>
      </c>
      <c r="AS1216" s="500" t="e">
        <f>P1199+P1202+P1205+P1216+#REF!=P1193</f>
        <v>#REF!</v>
      </c>
      <c r="AT1216" s="500" t="e">
        <f>Q1199+Q1202+Q1205+Q1216+#REF!=Q1193</f>
        <v>#REF!</v>
      </c>
      <c r="AU1216" s="500" t="e">
        <f>R1199+R1202+R1205+R1216+#REF!=R1193</f>
        <v>#REF!</v>
      </c>
      <c r="AV1216" s="500" t="e">
        <f>S1199+S1202+S1205+S1216+#REF!=S1193</f>
        <v>#REF!</v>
      </c>
      <c r="AW1216" s="500" t="e">
        <f>T1199+T1202+T1205+T1216+#REF!=T1193</f>
        <v>#REF!</v>
      </c>
      <c r="AX1216" s="500" t="e">
        <f>U1199+U1202+U1205+U1216+#REF!=U1193</f>
        <v>#REF!</v>
      </c>
      <c r="AY1216" s="500" t="e">
        <f>V1199+V1202+V1205+V1216+#REF!=V1193</f>
        <v>#REF!</v>
      </c>
      <c r="AZ1216" s="500" t="e">
        <f>W1199+W1202+W1205+W1216+#REF!=W1193</f>
        <v>#REF!</v>
      </c>
      <c r="BA1216" s="500" t="e">
        <f>X1199+X1202+X1205+X1216+#REF!=X1193</f>
        <v>#REF!</v>
      </c>
      <c r="BB1216" s="500" t="e">
        <f>Y1199+Y1202+Y1205+Y1216+#REF!=Y1193</f>
        <v>#REF!</v>
      </c>
      <c r="BC1216" s="500" t="e">
        <f>Z1199+Z1202+Z1205+Z1216+#REF!=Z1193</f>
        <v>#REF!</v>
      </c>
      <c r="BD1216" s="500" t="e">
        <f>AA1199+AA1202+AA1205+AA1216+#REF!=AA1193</f>
        <v>#REF!</v>
      </c>
      <c r="BE1216" s="500" t="e">
        <f>AB1199+AB1202+AB1205+AB1216+#REF!=AB1193</f>
        <v>#REF!</v>
      </c>
      <c r="BF1216" s="500" t="e">
        <f>AC1199+AC1202+AC1205+AC1216+#REF!=AC1193</f>
        <v>#REF!</v>
      </c>
      <c r="BG1216" s="500" t="e">
        <f>AD1199+AD1202+AD1205+AD1216+#REF!=AD1193</f>
        <v>#REF!</v>
      </c>
      <c r="BH1216" s="500" t="e">
        <f>AE1199+AE1202+AE1205+AE1216+#REF!=AE1193</f>
        <v>#REF!</v>
      </c>
      <c r="BI1216" s="500" t="e">
        <f>AF1199+AF1202+AF1205+AF1216+#REF!=AF1193</f>
        <v>#REF!</v>
      </c>
      <c r="BJ1216" s="500" t="e">
        <f>AG1199+AG1202+AG1205+AG1216+#REF!=AG1193</f>
        <v>#REF!</v>
      </c>
      <c r="BK1216" s="500" t="e">
        <f>AH1199+AH1202+AH1205+AH1216+#REF!=AH1193</f>
        <v>#REF!</v>
      </c>
      <c r="BL1216" s="501" t="e">
        <f>AI1199+AI1202+AI1205+AI1216+#REF!=AI1193</f>
        <v>#REF!</v>
      </c>
    </row>
    <row r="1217" spans="2:64" ht="15" outlineLevel="1">
      <c r="B1217" t="str">
        <f t="shared" si="107"/>
        <v>Bio-oil (Pyrolysis) - Energy cost including feedstock energy cost - Americas - USD/ton fuel</v>
      </c>
      <c r="C1217" s="22" t="str">
        <f>C1192</f>
        <v>Bio-oil (Pyrolysis)</v>
      </c>
      <c r="D1217" s="22" t="s">
        <v>1367</v>
      </c>
      <c r="E1217" s="22" t="s">
        <v>731</v>
      </c>
      <c r="F1217" s="22" t="s">
        <v>1353</v>
      </c>
      <c r="G1217" s="487" t="str">
        <f t="shared" si="101"/>
        <v>Bio-oil (Pyrolysis)AmericasEnergy cost including feedstock energy cost</v>
      </c>
      <c r="H1217" s="520">
        <v>0</v>
      </c>
      <c r="I1217" s="520">
        <v>0</v>
      </c>
      <c r="J1217" s="520">
        <v>0</v>
      </c>
      <c r="K1217" s="520">
        <v>0</v>
      </c>
      <c r="L1217" s="520">
        <v>0</v>
      </c>
      <c r="M1217" s="520">
        <v>0</v>
      </c>
      <c r="N1217" s="520">
        <v>0</v>
      </c>
      <c r="O1217" s="496">
        <v>16.775372009521831</v>
      </c>
      <c r="P1217" s="496">
        <v>16.414719705807716</v>
      </c>
      <c r="Q1217" s="496">
        <v>16.054067402093601</v>
      </c>
      <c r="R1217" s="496">
        <v>15.693415098379484</v>
      </c>
      <c r="S1217" s="496">
        <v>15.332762794665367</v>
      </c>
      <c r="T1217" s="496">
        <v>14.972110490951186</v>
      </c>
      <c r="U1217" s="496">
        <v>14.679756862324826</v>
      </c>
      <c r="V1217" s="496">
        <v>14.387403233698466</v>
      </c>
      <c r="W1217" s="496">
        <v>14.09504960507204</v>
      </c>
      <c r="X1217" s="496">
        <v>13.802695976445682</v>
      </c>
      <c r="Y1217" s="496">
        <v>13.510342347819289</v>
      </c>
      <c r="Z1217" s="496">
        <v>13.392562375804628</v>
      </c>
      <c r="AA1217" s="496">
        <v>13.274782403789969</v>
      </c>
      <c r="AB1217" s="496">
        <v>13.157002431775341</v>
      </c>
      <c r="AC1217" s="496">
        <v>13.03922245976068</v>
      </c>
      <c r="AD1217" s="496">
        <v>12.921442487746019</v>
      </c>
      <c r="AE1217" s="496">
        <v>12.832585835389422</v>
      </c>
      <c r="AF1217" s="496">
        <v>12.743729183032855</v>
      </c>
      <c r="AG1217" s="496">
        <v>12.65487253067629</v>
      </c>
      <c r="AH1217" s="496">
        <v>12.566015878319725</v>
      </c>
      <c r="AI1217" s="496">
        <v>12.47715922596316</v>
      </c>
      <c r="AK1217" s="502" t="e">
        <f>H1199+H1202+H1206+H1217+#REF!=H1194</f>
        <v>#DIV/0!</v>
      </c>
      <c r="AL1217" s="106" t="e">
        <f>I1199+I1202+I1206+I1217+#REF!=I1194</f>
        <v>#DIV/0!</v>
      </c>
      <c r="AM1217" s="106" t="e">
        <f>J1199+J1202+J1206+J1217+#REF!=J1194</f>
        <v>#DIV/0!</v>
      </c>
      <c r="AN1217" s="106" t="e">
        <f>K1199+K1202+K1206+K1217+#REF!=K1194</f>
        <v>#DIV/0!</v>
      </c>
      <c r="AO1217" s="106" t="e">
        <f>L1199+L1202+L1206+L1217+#REF!=L1194</f>
        <v>#DIV/0!</v>
      </c>
      <c r="AP1217" s="106" t="e">
        <f>M1199+M1202+M1206+M1217+#REF!=M1194</f>
        <v>#DIV/0!</v>
      </c>
      <c r="AQ1217" s="106" t="e">
        <f>N1199+N1202+N1206+N1217+#REF!=N1194</f>
        <v>#DIV/0!</v>
      </c>
      <c r="AR1217" s="106" t="e">
        <f>O1199+O1202+O1206+O1217+#REF!=O1194</f>
        <v>#REF!</v>
      </c>
      <c r="AS1217" s="106" t="e">
        <f>P1199+P1202+P1206+P1217+#REF!=P1194</f>
        <v>#REF!</v>
      </c>
      <c r="AT1217" s="106" t="e">
        <f>Q1199+Q1202+Q1206+Q1217+#REF!=Q1194</f>
        <v>#REF!</v>
      </c>
      <c r="AU1217" s="106" t="e">
        <f>R1199+R1202+R1206+R1217+#REF!=R1194</f>
        <v>#REF!</v>
      </c>
      <c r="AV1217" s="106" t="e">
        <f>S1199+S1202+S1206+S1217+#REF!=S1194</f>
        <v>#REF!</v>
      </c>
      <c r="AW1217" s="106" t="e">
        <f>T1199+T1202+T1206+T1217+#REF!=T1194</f>
        <v>#REF!</v>
      </c>
      <c r="AX1217" s="106" t="e">
        <f>U1199+U1202+U1206+U1217+#REF!=U1194</f>
        <v>#REF!</v>
      </c>
      <c r="AY1217" s="106" t="e">
        <f>V1199+V1202+V1206+V1217+#REF!=V1194</f>
        <v>#REF!</v>
      </c>
      <c r="AZ1217" s="106" t="e">
        <f>W1199+W1202+W1206+W1217+#REF!=W1194</f>
        <v>#REF!</v>
      </c>
      <c r="BA1217" s="106" t="e">
        <f>X1199+X1202+X1206+X1217+#REF!=X1194</f>
        <v>#REF!</v>
      </c>
      <c r="BB1217" s="106" t="e">
        <f>Y1199+Y1202+Y1206+Y1217+#REF!=Y1194</f>
        <v>#REF!</v>
      </c>
      <c r="BC1217" s="106" t="e">
        <f>Z1199+Z1202+Z1206+Z1217+#REF!=Z1194</f>
        <v>#REF!</v>
      </c>
      <c r="BD1217" s="106" t="e">
        <f>AA1199+AA1202+AA1206+AA1217+#REF!=AA1194</f>
        <v>#REF!</v>
      </c>
      <c r="BE1217" s="106" t="e">
        <f>AB1199+AB1202+AB1206+AB1217+#REF!=AB1194</f>
        <v>#REF!</v>
      </c>
      <c r="BF1217" s="106" t="e">
        <f>AC1199+AC1202+AC1206+AC1217+#REF!=AC1194</f>
        <v>#REF!</v>
      </c>
      <c r="BG1217" s="106" t="e">
        <f>AD1199+AD1202+AD1206+AD1217+#REF!=AD1194</f>
        <v>#REF!</v>
      </c>
      <c r="BH1217" s="106" t="e">
        <f>AE1199+AE1202+AE1206+AE1217+#REF!=AE1194</f>
        <v>#REF!</v>
      </c>
      <c r="BI1217" s="106" t="e">
        <f>AF1199+AF1202+AF1206+AF1217+#REF!=AF1194</f>
        <v>#REF!</v>
      </c>
      <c r="BJ1217" s="106" t="e">
        <f>AG1199+AG1202+AG1206+AG1217+#REF!=AG1194</f>
        <v>#REF!</v>
      </c>
      <c r="BK1217" s="106" t="e">
        <f>AH1199+AH1202+AH1206+AH1217+#REF!=AH1194</f>
        <v>#REF!</v>
      </c>
      <c r="BL1217" s="503" t="e">
        <f>AI1199+AI1202+AI1206+AI1217+#REF!=AI1194</f>
        <v>#REF!</v>
      </c>
    </row>
    <row r="1218" spans="2:64" ht="15" outlineLevel="1">
      <c r="B1218" t="str">
        <f t="shared" si="107"/>
        <v>Bio-oil (Pyrolysis) - Energy cost including feedstock energy cost - Asia - USD/ton fuel</v>
      </c>
      <c r="C1218" s="22" t="str">
        <f>C1192</f>
        <v>Bio-oil (Pyrolysis)</v>
      </c>
      <c r="D1218" s="22" t="s">
        <v>1367</v>
      </c>
      <c r="E1218" s="22" t="s">
        <v>750</v>
      </c>
      <c r="F1218" s="22" t="s">
        <v>1353</v>
      </c>
      <c r="G1218" s="487" t="str">
        <f t="shared" si="101"/>
        <v>Bio-oil (Pyrolysis)AsiaEnergy cost including feedstock energy cost</v>
      </c>
      <c r="H1218" s="520">
        <v>0</v>
      </c>
      <c r="I1218" s="520">
        <v>0</v>
      </c>
      <c r="J1218" s="520">
        <v>0</v>
      </c>
      <c r="K1218" s="520">
        <v>0</v>
      </c>
      <c r="L1218" s="520">
        <v>0</v>
      </c>
      <c r="M1218" s="520">
        <v>0</v>
      </c>
      <c r="N1218" s="520">
        <v>0</v>
      </c>
      <c r="O1218" s="496">
        <v>25.264531007502224</v>
      </c>
      <c r="P1218" s="496">
        <v>24.452626620601823</v>
      </c>
      <c r="Q1218" s="496">
        <v>23.640722233701684</v>
      </c>
      <c r="R1218" s="496">
        <v>22.828817846801815</v>
      </c>
      <c r="S1218" s="496">
        <v>22.01691345990168</v>
      </c>
      <c r="T1218" s="496">
        <v>21.205009073001541</v>
      </c>
      <c r="U1218" s="496">
        <v>20.792217212067769</v>
      </c>
      <c r="V1218" s="496">
        <v>20.379425351133992</v>
      </c>
      <c r="W1218" s="496">
        <v>19.966633490200351</v>
      </c>
      <c r="X1218" s="496">
        <v>19.553841629266575</v>
      </c>
      <c r="Y1218" s="496">
        <v>19.141049768333065</v>
      </c>
      <c r="Z1218" s="496">
        <v>18.708968925123372</v>
      </c>
      <c r="AA1218" s="496">
        <v>18.27688808191381</v>
      </c>
      <c r="AB1218" s="496">
        <v>17.844807238704117</v>
      </c>
      <c r="AC1218" s="496">
        <v>17.412726395494555</v>
      </c>
      <c r="AD1218" s="496">
        <v>16.980645552284862</v>
      </c>
      <c r="AE1218" s="496">
        <v>16.782499004704672</v>
      </c>
      <c r="AF1218" s="496">
        <v>16.584352457124414</v>
      </c>
      <c r="AG1218" s="496">
        <v>16.386205909544227</v>
      </c>
      <c r="AH1218" s="496">
        <v>16.188059361964036</v>
      </c>
      <c r="AI1218" s="496">
        <v>15.98991281438378</v>
      </c>
      <c r="AK1218" s="502" t="e">
        <f>H1199+H1202+H1207+H1218+#REF!=H1195</f>
        <v>#DIV/0!</v>
      </c>
      <c r="AL1218" s="106" t="e">
        <f>I1199+I1202+I1207+I1218+#REF!=I1195</f>
        <v>#DIV/0!</v>
      </c>
      <c r="AM1218" s="106" t="e">
        <f>J1199+J1202+J1207+J1218+#REF!=J1195</f>
        <v>#DIV/0!</v>
      </c>
      <c r="AN1218" s="106" t="e">
        <f>K1199+K1202+K1207+K1218+#REF!=K1195</f>
        <v>#DIV/0!</v>
      </c>
      <c r="AO1218" s="106" t="e">
        <f>L1199+L1202+L1207+L1218+#REF!=L1195</f>
        <v>#DIV/0!</v>
      </c>
      <c r="AP1218" s="106" t="e">
        <f>M1199+M1202+M1207+M1218+#REF!=M1195</f>
        <v>#DIV/0!</v>
      </c>
      <c r="AQ1218" s="106" t="e">
        <f>N1199+N1202+N1207+N1218+#REF!=N1195</f>
        <v>#DIV/0!</v>
      </c>
      <c r="AR1218" s="106" t="e">
        <f>O1199+O1202+O1207+O1218+#REF!=O1195</f>
        <v>#REF!</v>
      </c>
      <c r="AS1218" s="106" t="e">
        <f>P1199+P1202+P1207+P1218+#REF!=P1195</f>
        <v>#REF!</v>
      </c>
      <c r="AT1218" s="106" t="e">
        <f>Q1199+Q1202+Q1207+Q1218+#REF!=Q1195</f>
        <v>#REF!</v>
      </c>
      <c r="AU1218" s="106" t="e">
        <f>R1199+R1202+R1207+R1218+#REF!=R1195</f>
        <v>#REF!</v>
      </c>
      <c r="AV1218" s="106" t="e">
        <f>S1199+S1202+S1207+S1218+#REF!=S1195</f>
        <v>#REF!</v>
      </c>
      <c r="AW1218" s="106" t="e">
        <f>T1199+T1202+T1207+T1218+#REF!=T1195</f>
        <v>#REF!</v>
      </c>
      <c r="AX1218" s="106" t="e">
        <f>U1199+U1202+U1207+U1218+#REF!=U1195</f>
        <v>#REF!</v>
      </c>
      <c r="AY1218" s="106" t="e">
        <f>V1199+V1202+V1207+V1218+#REF!=V1195</f>
        <v>#REF!</v>
      </c>
      <c r="AZ1218" s="106" t="e">
        <f>W1199+W1202+W1207+W1218+#REF!=W1195</f>
        <v>#REF!</v>
      </c>
      <c r="BA1218" s="106" t="e">
        <f>X1199+X1202+X1207+X1218+#REF!=X1195</f>
        <v>#REF!</v>
      </c>
      <c r="BB1218" s="106" t="e">
        <f>Y1199+Y1202+Y1207+Y1218+#REF!=Y1195</f>
        <v>#REF!</v>
      </c>
      <c r="BC1218" s="106" t="e">
        <f>Z1199+Z1202+Z1207+Z1218+#REF!=Z1195</f>
        <v>#REF!</v>
      </c>
      <c r="BD1218" s="106" t="e">
        <f>AA1199+AA1202+AA1207+AA1218+#REF!=AA1195</f>
        <v>#REF!</v>
      </c>
      <c r="BE1218" s="106" t="e">
        <f>AB1199+AB1202+AB1207+AB1218+#REF!=AB1195</f>
        <v>#REF!</v>
      </c>
      <c r="BF1218" s="106" t="e">
        <f>AC1199+AC1202+AC1207+AC1218+#REF!=AC1195</f>
        <v>#REF!</v>
      </c>
      <c r="BG1218" s="106" t="e">
        <f>AD1199+AD1202+AD1207+AD1218+#REF!=AD1195</f>
        <v>#REF!</v>
      </c>
      <c r="BH1218" s="106" t="e">
        <f>AE1199+AE1202+AE1207+AE1218+#REF!=AE1195</f>
        <v>#REF!</v>
      </c>
      <c r="BI1218" s="106" t="e">
        <f>AF1199+AF1202+AF1207+AF1218+#REF!=AF1195</f>
        <v>#REF!</v>
      </c>
      <c r="BJ1218" s="106" t="e">
        <f>AG1199+AG1202+AG1207+AG1218+#REF!=AG1195</f>
        <v>#REF!</v>
      </c>
      <c r="BK1218" s="106" t="e">
        <f>AH1199+AH1202+AH1207+AH1218+#REF!=AH1195</f>
        <v>#REF!</v>
      </c>
      <c r="BL1218" s="503" t="e">
        <f>AI1199+AI1202+AI1207+AI1218+#REF!=AI1195</f>
        <v>#REF!</v>
      </c>
    </row>
    <row r="1219" spans="2:64" ht="15" outlineLevel="1">
      <c r="B1219" t="str">
        <f t="shared" si="107"/>
        <v>Bio-oil (Pyrolysis) - Energy cost including feedstock energy cost - Europe - USD/ton fuel</v>
      </c>
      <c r="C1219" s="22" t="str">
        <f>C1192</f>
        <v>Bio-oil (Pyrolysis)</v>
      </c>
      <c r="D1219" s="22" t="s">
        <v>1367</v>
      </c>
      <c r="E1219" s="22" t="s">
        <v>720</v>
      </c>
      <c r="F1219" s="22" t="s">
        <v>1353</v>
      </c>
      <c r="G1219" s="487" t="str">
        <f t="shared" si="101"/>
        <v>Bio-oil (Pyrolysis)EuropeEnergy cost including feedstock energy cost</v>
      </c>
      <c r="H1219" s="520">
        <v>0</v>
      </c>
      <c r="I1219" s="520">
        <v>0</v>
      </c>
      <c r="J1219" s="520">
        <v>0</v>
      </c>
      <c r="K1219" s="520">
        <v>0</v>
      </c>
      <c r="L1219" s="520">
        <v>0</v>
      </c>
      <c r="M1219" s="520">
        <v>0</v>
      </c>
      <c r="N1219" s="520">
        <v>0</v>
      </c>
      <c r="O1219" s="496">
        <v>20.868294881527561</v>
      </c>
      <c r="P1219" s="496">
        <v>20.460066525465614</v>
      </c>
      <c r="Q1219" s="496">
        <v>20.051838169404064</v>
      </c>
      <c r="R1219" s="496">
        <v>19.64360981334238</v>
      </c>
      <c r="S1219" s="496">
        <v>19.235381457280695</v>
      </c>
      <c r="T1219" s="496">
        <v>18.827153101219146</v>
      </c>
      <c r="U1219" s="496">
        <v>18.583420023457375</v>
      </c>
      <c r="V1219" s="496">
        <v>18.339686945695668</v>
      </c>
      <c r="W1219" s="496">
        <v>18.095953867933964</v>
      </c>
      <c r="X1219" s="496">
        <v>17.852220790172261</v>
      </c>
      <c r="Y1219" s="496">
        <v>17.608487712410422</v>
      </c>
      <c r="Z1219" s="496">
        <v>17.347737322630667</v>
      </c>
      <c r="AA1219" s="496">
        <v>17.086986932850841</v>
      </c>
      <c r="AB1219" s="496">
        <v>16.826236543071087</v>
      </c>
      <c r="AC1219" s="496">
        <v>16.565486153291264</v>
      </c>
      <c r="AD1219" s="496">
        <v>16.304735763511509</v>
      </c>
      <c r="AE1219" s="496">
        <v>16.114486909162757</v>
      </c>
      <c r="AF1219" s="496">
        <v>15.924238054813937</v>
      </c>
      <c r="AG1219" s="496">
        <v>15.733989200465185</v>
      </c>
      <c r="AH1219" s="496">
        <v>15.543740346116433</v>
      </c>
      <c r="AI1219" s="496">
        <v>15.353491491767615</v>
      </c>
      <c r="AK1219" s="502" t="e">
        <f>H1199+H1202+H1208+H1219+#REF!=H1196</f>
        <v>#DIV/0!</v>
      </c>
      <c r="AL1219" s="106" t="e">
        <f>I1199+I1202+I1208+I1219+#REF!=I1196</f>
        <v>#DIV/0!</v>
      </c>
      <c r="AM1219" s="106" t="e">
        <f>J1199+J1202+J1208+J1219+#REF!=J1196</f>
        <v>#DIV/0!</v>
      </c>
      <c r="AN1219" s="106" t="e">
        <f>K1199+K1202+K1208+K1219+#REF!=K1196</f>
        <v>#DIV/0!</v>
      </c>
      <c r="AO1219" s="106" t="e">
        <f>L1199+L1202+L1208+L1219+#REF!=L1196</f>
        <v>#DIV/0!</v>
      </c>
      <c r="AP1219" s="106" t="e">
        <f>M1199+M1202+M1208+M1219+#REF!=M1196</f>
        <v>#DIV/0!</v>
      </c>
      <c r="AQ1219" s="106" t="e">
        <f>N1199+N1202+N1208+N1219+#REF!=N1196</f>
        <v>#DIV/0!</v>
      </c>
      <c r="AR1219" s="106" t="e">
        <f>O1199+O1202+O1208+O1219+#REF!=O1196</f>
        <v>#REF!</v>
      </c>
      <c r="AS1219" s="106" t="e">
        <f>P1199+P1202+P1208+P1219+#REF!=P1196</f>
        <v>#REF!</v>
      </c>
      <c r="AT1219" s="106" t="e">
        <f>Q1199+Q1202+Q1208+Q1219+#REF!=Q1196</f>
        <v>#REF!</v>
      </c>
      <c r="AU1219" s="106" t="e">
        <f>R1199+R1202+R1208+R1219+#REF!=R1196</f>
        <v>#REF!</v>
      </c>
      <c r="AV1219" s="106" t="e">
        <f>S1199+S1202+S1208+S1219+#REF!=S1196</f>
        <v>#REF!</v>
      </c>
      <c r="AW1219" s="106" t="e">
        <f>T1199+T1202+T1208+T1219+#REF!=T1196</f>
        <v>#REF!</v>
      </c>
      <c r="AX1219" s="106" t="e">
        <f>U1199+U1202+U1208+U1219+#REF!=U1196</f>
        <v>#REF!</v>
      </c>
      <c r="AY1219" s="106" t="e">
        <f>V1199+V1202+V1208+V1219+#REF!=V1196</f>
        <v>#REF!</v>
      </c>
      <c r="AZ1219" s="106" t="e">
        <f>W1199+W1202+W1208+W1219+#REF!=W1196</f>
        <v>#REF!</v>
      </c>
      <c r="BA1219" s="106" t="e">
        <f>X1199+X1202+X1208+X1219+#REF!=X1196</f>
        <v>#REF!</v>
      </c>
      <c r="BB1219" s="106" t="e">
        <f>Y1199+Y1202+Y1208+Y1219+#REF!=Y1196</f>
        <v>#REF!</v>
      </c>
      <c r="BC1219" s="106" t="e">
        <f>Z1199+Z1202+Z1208+Z1219+#REF!=Z1196</f>
        <v>#REF!</v>
      </c>
      <c r="BD1219" s="106" t="e">
        <f>AA1199+AA1202+AA1208+AA1219+#REF!=AA1196</f>
        <v>#REF!</v>
      </c>
      <c r="BE1219" s="106" t="e">
        <f>AB1199+AB1202+AB1208+AB1219+#REF!=AB1196</f>
        <v>#REF!</v>
      </c>
      <c r="BF1219" s="106" t="e">
        <f>AC1199+AC1202+AC1208+AC1219+#REF!=AC1196</f>
        <v>#REF!</v>
      </c>
      <c r="BG1219" s="106" t="e">
        <f>AD1199+AD1202+AD1208+AD1219+#REF!=AD1196</f>
        <v>#REF!</v>
      </c>
      <c r="BH1219" s="106" t="e">
        <f>AE1199+AE1202+AE1208+AE1219+#REF!=AE1196</f>
        <v>#REF!</v>
      </c>
      <c r="BI1219" s="106" t="e">
        <f>AF1199+AF1202+AF1208+AF1219+#REF!=AF1196</f>
        <v>#REF!</v>
      </c>
      <c r="BJ1219" s="106" t="e">
        <f>AG1199+AG1202+AG1208+AG1219+#REF!=AG1196</f>
        <v>#REF!</v>
      </c>
      <c r="BK1219" s="106" t="e">
        <f>AH1199+AH1202+AH1208+AH1219+#REF!=AH1196</f>
        <v>#REF!</v>
      </c>
      <c r="BL1219" s="503" t="e">
        <f>AI1199+AI1202+AI1208+AI1219+#REF!=AI1196</f>
        <v>#REF!</v>
      </c>
    </row>
    <row r="1220" spans="2:64" ht="15.75" outlineLevel="1" thickBot="1">
      <c r="B1220" t="str">
        <f t="shared" si="107"/>
        <v>Bio-oil (Pyrolysis) - Energy cost including feedstock energy cost - Middle East - USD/ton fuel</v>
      </c>
      <c r="C1220" s="92" t="str">
        <f>C1192</f>
        <v>Bio-oil (Pyrolysis)</v>
      </c>
      <c r="D1220" s="92" t="s">
        <v>1367</v>
      </c>
      <c r="E1220" s="92" t="s">
        <v>826</v>
      </c>
      <c r="F1220" s="92" t="s">
        <v>1353</v>
      </c>
      <c r="G1220" s="487" t="str">
        <f t="shared" si="101"/>
        <v>Bio-oil (Pyrolysis)Middle EastEnergy cost including feedstock energy cost</v>
      </c>
      <c r="H1220" s="521">
        <v>0</v>
      </c>
      <c r="I1220" s="521">
        <v>0</v>
      </c>
      <c r="J1220" s="521">
        <v>0</v>
      </c>
      <c r="K1220" s="521">
        <v>0</v>
      </c>
      <c r="L1220" s="521">
        <v>0</v>
      </c>
      <c r="M1220" s="521">
        <v>0</v>
      </c>
      <c r="N1220" s="521">
        <v>0</v>
      </c>
      <c r="O1220" s="497">
        <v>16.54117213300913</v>
      </c>
      <c r="P1220" s="497">
        <v>16.096114567309272</v>
      </c>
      <c r="Q1220" s="497">
        <v>15.651057001609544</v>
      </c>
      <c r="R1220" s="497">
        <v>15.205999435909686</v>
      </c>
      <c r="S1220" s="497">
        <v>14.76094187020996</v>
      </c>
      <c r="T1220" s="497">
        <v>14.315884304510233</v>
      </c>
      <c r="U1220" s="497">
        <v>14.092737120859796</v>
      </c>
      <c r="V1220" s="497">
        <v>13.869589937209359</v>
      </c>
      <c r="W1220" s="497">
        <v>13.646442753558988</v>
      </c>
      <c r="X1220" s="497">
        <v>13.42329556990855</v>
      </c>
      <c r="Y1220" s="497">
        <v>13.200148386258112</v>
      </c>
      <c r="Z1220" s="497">
        <v>12.907514049438412</v>
      </c>
      <c r="AA1220" s="497">
        <v>12.614879712618777</v>
      </c>
      <c r="AB1220" s="497">
        <v>12.322245375799074</v>
      </c>
      <c r="AC1220" s="497">
        <v>12.029611038979439</v>
      </c>
      <c r="AD1220" s="497">
        <v>11.736976702159705</v>
      </c>
      <c r="AE1220" s="497">
        <v>11.600014652527594</v>
      </c>
      <c r="AF1220" s="497">
        <v>11.463052602895518</v>
      </c>
      <c r="AG1220" s="497">
        <v>11.326090553263407</v>
      </c>
      <c r="AH1220" s="497">
        <v>11.189128503631297</v>
      </c>
      <c r="AI1220" s="497">
        <v>11.05216645399922</v>
      </c>
      <c r="AK1220" s="504" t="e">
        <f>H1199+H1202+H1209+H1220+#REF!=H1197</f>
        <v>#DIV/0!</v>
      </c>
      <c r="AL1220" s="505" t="e">
        <f>I1199+I1202+I1209+I1220+#REF!=I1197</f>
        <v>#DIV/0!</v>
      </c>
      <c r="AM1220" s="505" t="e">
        <f>J1199+J1202+J1209+J1220+#REF!=J1197</f>
        <v>#DIV/0!</v>
      </c>
      <c r="AN1220" s="505" t="e">
        <f>K1199+K1202+K1209+K1220+#REF!=K1197</f>
        <v>#DIV/0!</v>
      </c>
      <c r="AO1220" s="505" t="e">
        <f>L1199+L1202+L1209+L1220+#REF!=L1197</f>
        <v>#DIV/0!</v>
      </c>
      <c r="AP1220" s="505" t="e">
        <f>M1199+M1202+M1209+M1220+#REF!=M1197</f>
        <v>#DIV/0!</v>
      </c>
      <c r="AQ1220" s="505" t="e">
        <f>N1199+N1202+N1209+N1220+#REF!=N1197</f>
        <v>#DIV/0!</v>
      </c>
      <c r="AR1220" s="505" t="e">
        <f>O1199+O1202+O1209+O1220+#REF!=O1197</f>
        <v>#REF!</v>
      </c>
      <c r="AS1220" s="505" t="e">
        <f>P1199+P1202+P1209+P1220+#REF!=P1197</f>
        <v>#REF!</v>
      </c>
      <c r="AT1220" s="505" t="e">
        <f>Q1199+Q1202+Q1209+Q1220+#REF!=Q1197</f>
        <v>#REF!</v>
      </c>
      <c r="AU1220" s="505" t="e">
        <f>R1199+R1202+R1209+R1220+#REF!=R1197</f>
        <v>#REF!</v>
      </c>
      <c r="AV1220" s="505" t="e">
        <f>S1199+S1202+S1209+S1220+#REF!=S1197</f>
        <v>#REF!</v>
      </c>
      <c r="AW1220" s="505" t="e">
        <f>T1199+T1202+T1209+T1220+#REF!=T1197</f>
        <v>#REF!</v>
      </c>
      <c r="AX1220" s="505" t="e">
        <f>U1199+U1202+U1209+U1220+#REF!=U1197</f>
        <v>#REF!</v>
      </c>
      <c r="AY1220" s="505" t="e">
        <f>V1199+V1202+V1209+V1220+#REF!=V1197</f>
        <v>#REF!</v>
      </c>
      <c r="AZ1220" s="505" t="e">
        <f>W1199+W1202+W1209+W1220+#REF!=W1197</f>
        <v>#REF!</v>
      </c>
      <c r="BA1220" s="505" t="e">
        <f>X1199+X1202+X1209+X1220+#REF!=X1197</f>
        <v>#REF!</v>
      </c>
      <c r="BB1220" s="505" t="e">
        <f>Y1199+Y1202+Y1209+Y1220+#REF!=Y1197</f>
        <v>#REF!</v>
      </c>
      <c r="BC1220" s="505" t="e">
        <f>Z1199+Z1202+Z1209+Z1220+#REF!=Z1197</f>
        <v>#REF!</v>
      </c>
      <c r="BD1220" s="505" t="e">
        <f>AA1199+AA1202+AA1209+AA1220+#REF!=AA1197</f>
        <v>#REF!</v>
      </c>
      <c r="BE1220" s="505" t="e">
        <f>AB1199+AB1202+AB1209+AB1220+#REF!=AB1197</f>
        <v>#REF!</v>
      </c>
      <c r="BF1220" s="505" t="e">
        <f>AC1199+AC1202+AC1209+AC1220+#REF!=AC1197</f>
        <v>#REF!</v>
      </c>
      <c r="BG1220" s="505" t="e">
        <f>AD1199+AD1202+AD1209+AD1220+#REF!=AD1197</f>
        <v>#REF!</v>
      </c>
      <c r="BH1220" s="505" t="e">
        <f>AE1199+AE1202+AE1209+AE1220+#REF!=AE1197</f>
        <v>#REF!</v>
      </c>
      <c r="BI1220" s="505" t="e">
        <f>AF1199+AF1202+AF1209+AF1220+#REF!=AF1197</f>
        <v>#REF!</v>
      </c>
      <c r="BJ1220" s="505" t="e">
        <f>AG1199+AG1202+AG1209+AG1220+#REF!=AG1197</f>
        <v>#REF!</v>
      </c>
      <c r="BK1220" s="505" t="e">
        <f>AH1199+AH1202+AH1209+AH1220+#REF!=AH1197</f>
        <v>#REF!</v>
      </c>
      <c r="BL1220" s="506" t="e">
        <f>AI1199+AI1202+AI1209+AI1220+#REF!=AI1197</f>
        <v>#REF!</v>
      </c>
    </row>
    <row r="1221" spans="2:64" outlineLevel="1">
      <c r="B1221" t="str">
        <f t="shared" si="107"/>
        <v>Bio-oil (Pyrolysis) - Energy cost - Africa - USD/ton fuel</v>
      </c>
      <c r="C1221" t="str">
        <f>C1192</f>
        <v>Bio-oil (Pyrolysis)</v>
      </c>
      <c r="D1221" t="s">
        <v>1368</v>
      </c>
      <c r="E1221" t="s">
        <v>838</v>
      </c>
      <c r="F1221" t="s">
        <v>1353</v>
      </c>
      <c r="G1221" s="487" t="str">
        <f t="shared" si="101"/>
        <v>Bio-oil (Pyrolysis)AfricaEnergy cost</v>
      </c>
      <c r="H1221" s="518">
        <v>0</v>
      </c>
      <c r="I1221" s="518">
        <v>0</v>
      </c>
      <c r="J1221" s="518">
        <v>0</v>
      </c>
      <c r="K1221" s="518">
        <v>0</v>
      </c>
      <c r="L1221" s="518">
        <v>0</v>
      </c>
      <c r="M1221" s="518">
        <v>0</v>
      </c>
      <c r="N1221" s="518">
        <v>0</v>
      </c>
      <c r="O1221" s="493">
        <v>20.494762123430423</v>
      </c>
      <c r="P1221" s="493">
        <v>19.872143472728538</v>
      </c>
      <c r="Q1221" s="493">
        <v>19.249524822026657</v>
      </c>
      <c r="R1221" s="493">
        <v>18.62690617132451</v>
      </c>
      <c r="S1221" s="493">
        <v>18.004287520622629</v>
      </c>
      <c r="T1221" s="493">
        <v>17.381668869920812</v>
      </c>
      <c r="U1221" s="493">
        <v>17.088612501978194</v>
      </c>
      <c r="V1221" s="493">
        <v>16.795556134035646</v>
      </c>
      <c r="W1221" s="493">
        <v>16.502499766093031</v>
      </c>
      <c r="X1221" s="493">
        <v>16.209443398150412</v>
      </c>
      <c r="Y1221" s="493">
        <v>15.916387030207929</v>
      </c>
      <c r="Z1221" s="493">
        <v>15.615045621630456</v>
      </c>
      <c r="AA1221" s="493">
        <v>15.313704213052983</v>
      </c>
      <c r="AB1221" s="493">
        <v>15.012362804475377</v>
      </c>
      <c r="AC1221" s="493">
        <v>14.711021395897903</v>
      </c>
      <c r="AD1221" s="493">
        <v>14.409679987320365</v>
      </c>
      <c r="AE1221" s="493">
        <v>14.261773553625442</v>
      </c>
      <c r="AF1221" s="493">
        <v>14.113867119930589</v>
      </c>
      <c r="AG1221" s="493">
        <v>13.965960686235666</v>
      </c>
      <c r="AH1221" s="493">
        <v>13.818054252540746</v>
      </c>
      <c r="AI1221" s="493">
        <v>13.670147818845892</v>
      </c>
    </row>
    <row r="1222" spans="2:64" outlineLevel="1">
      <c r="B1222" t="str">
        <f t="shared" si="107"/>
        <v>Bio-oil (Pyrolysis) - Energy cost - Americas - USD/ton fuel</v>
      </c>
      <c r="C1222" t="str">
        <f>C1192</f>
        <v>Bio-oil (Pyrolysis)</v>
      </c>
      <c r="D1222" t="s">
        <v>1368</v>
      </c>
      <c r="E1222" t="s">
        <v>731</v>
      </c>
      <c r="F1222" t="s">
        <v>1353</v>
      </c>
      <c r="G1222" s="487" t="str">
        <f t="shared" si="101"/>
        <v>Bio-oil (Pyrolysis)AmericasEnergy cost</v>
      </c>
      <c r="H1222" s="518">
        <v>0</v>
      </c>
      <c r="I1222" s="518">
        <v>0</v>
      </c>
      <c r="J1222" s="518">
        <v>0</v>
      </c>
      <c r="K1222" s="518">
        <v>0</v>
      </c>
      <c r="L1222" s="518">
        <v>0</v>
      </c>
      <c r="M1222" s="518">
        <v>0</v>
      </c>
      <c r="N1222" s="518">
        <v>0</v>
      </c>
      <c r="O1222" s="493">
        <v>16.775372009521831</v>
      </c>
      <c r="P1222" s="493">
        <v>16.414719705807716</v>
      </c>
      <c r="Q1222" s="493">
        <v>16.054067402093601</v>
      </c>
      <c r="R1222" s="493">
        <v>15.693415098379484</v>
      </c>
      <c r="S1222" s="493">
        <v>15.332762794665367</v>
      </c>
      <c r="T1222" s="493">
        <v>14.972110490951186</v>
      </c>
      <c r="U1222" s="493">
        <v>14.679756862324826</v>
      </c>
      <c r="V1222" s="493">
        <v>14.387403233698466</v>
      </c>
      <c r="W1222" s="493">
        <v>14.09504960507204</v>
      </c>
      <c r="X1222" s="493">
        <v>13.802695976445682</v>
      </c>
      <c r="Y1222" s="493">
        <v>13.510342347819289</v>
      </c>
      <c r="Z1222" s="493">
        <v>13.392562375804628</v>
      </c>
      <c r="AA1222" s="493">
        <v>13.274782403789969</v>
      </c>
      <c r="AB1222" s="493">
        <v>13.157002431775341</v>
      </c>
      <c r="AC1222" s="493">
        <v>13.03922245976068</v>
      </c>
      <c r="AD1222" s="493">
        <v>12.921442487746019</v>
      </c>
      <c r="AE1222" s="493">
        <v>12.832585835389422</v>
      </c>
      <c r="AF1222" s="493">
        <v>12.743729183032855</v>
      </c>
      <c r="AG1222" s="493">
        <v>12.65487253067629</v>
      </c>
      <c r="AH1222" s="493">
        <v>12.566015878319725</v>
      </c>
      <c r="AI1222" s="493">
        <v>12.47715922596316</v>
      </c>
    </row>
    <row r="1223" spans="2:64" outlineLevel="1">
      <c r="B1223" t="str">
        <f t="shared" si="107"/>
        <v>Bio-oil (Pyrolysis) - Energy cost - Asia - USD/ton fuel</v>
      </c>
      <c r="C1223" t="str">
        <f>C1192</f>
        <v>Bio-oil (Pyrolysis)</v>
      </c>
      <c r="D1223" t="s">
        <v>1368</v>
      </c>
      <c r="E1223" t="s">
        <v>750</v>
      </c>
      <c r="F1223" t="s">
        <v>1353</v>
      </c>
      <c r="G1223" s="487" t="str">
        <f t="shared" si="101"/>
        <v>Bio-oil (Pyrolysis)AsiaEnergy cost</v>
      </c>
      <c r="H1223" s="518">
        <v>0</v>
      </c>
      <c r="I1223" s="518">
        <v>0</v>
      </c>
      <c r="J1223" s="518">
        <v>0</v>
      </c>
      <c r="K1223" s="518">
        <v>0</v>
      </c>
      <c r="L1223" s="518">
        <v>0</v>
      </c>
      <c r="M1223" s="518">
        <v>0</v>
      </c>
      <c r="N1223" s="518">
        <v>0</v>
      </c>
      <c r="O1223" s="493">
        <v>25.264531007502224</v>
      </c>
      <c r="P1223" s="493">
        <v>24.452626620601823</v>
      </c>
      <c r="Q1223" s="493">
        <v>23.640722233701684</v>
      </c>
      <c r="R1223" s="493">
        <v>22.828817846801815</v>
      </c>
      <c r="S1223" s="493">
        <v>22.01691345990168</v>
      </c>
      <c r="T1223" s="493">
        <v>21.205009073001541</v>
      </c>
      <c r="U1223" s="493">
        <v>20.792217212067769</v>
      </c>
      <c r="V1223" s="493">
        <v>20.379425351133992</v>
      </c>
      <c r="W1223" s="493">
        <v>19.966633490200351</v>
      </c>
      <c r="X1223" s="493">
        <v>19.553841629266575</v>
      </c>
      <c r="Y1223" s="493">
        <v>19.141049768333065</v>
      </c>
      <c r="Z1223" s="493">
        <v>18.708968925123372</v>
      </c>
      <c r="AA1223" s="493">
        <v>18.27688808191381</v>
      </c>
      <c r="AB1223" s="493">
        <v>17.844807238704117</v>
      </c>
      <c r="AC1223" s="493">
        <v>17.412726395494555</v>
      </c>
      <c r="AD1223" s="493">
        <v>16.980645552284862</v>
      </c>
      <c r="AE1223" s="493">
        <v>16.782499004704672</v>
      </c>
      <c r="AF1223" s="493">
        <v>16.584352457124414</v>
      </c>
      <c r="AG1223" s="493">
        <v>16.386205909544227</v>
      </c>
      <c r="AH1223" s="493">
        <v>16.188059361964036</v>
      </c>
      <c r="AI1223" s="493">
        <v>15.98991281438378</v>
      </c>
    </row>
    <row r="1224" spans="2:64" outlineLevel="1">
      <c r="B1224" t="str">
        <f t="shared" si="107"/>
        <v>Bio-oil (Pyrolysis) - Energy cost - Europe - USD/ton fuel</v>
      </c>
      <c r="C1224" t="str">
        <f>C1192</f>
        <v>Bio-oil (Pyrolysis)</v>
      </c>
      <c r="D1224" t="s">
        <v>1368</v>
      </c>
      <c r="E1224" t="s">
        <v>720</v>
      </c>
      <c r="F1224" t="s">
        <v>1353</v>
      </c>
      <c r="G1224" s="487" t="str">
        <f t="shared" ref="G1224:G1287" si="108">+C1224&amp;E1224&amp;D1224</f>
        <v>Bio-oil (Pyrolysis)EuropeEnergy cost</v>
      </c>
      <c r="H1224" s="518">
        <v>0</v>
      </c>
      <c r="I1224" s="518">
        <v>0</v>
      </c>
      <c r="J1224" s="518">
        <v>0</v>
      </c>
      <c r="K1224" s="518">
        <v>0</v>
      </c>
      <c r="L1224" s="518">
        <v>0</v>
      </c>
      <c r="M1224" s="518">
        <v>0</v>
      </c>
      <c r="N1224" s="518">
        <v>0</v>
      </c>
      <c r="O1224" s="493">
        <v>20.868294881527561</v>
      </c>
      <c r="P1224" s="493">
        <v>20.460066525465614</v>
      </c>
      <c r="Q1224" s="493">
        <v>20.051838169404064</v>
      </c>
      <c r="R1224" s="493">
        <v>19.64360981334238</v>
      </c>
      <c r="S1224" s="493">
        <v>19.235381457280695</v>
      </c>
      <c r="T1224" s="493">
        <v>18.827153101219146</v>
      </c>
      <c r="U1224" s="493">
        <v>18.583420023457375</v>
      </c>
      <c r="V1224" s="493">
        <v>18.339686945695668</v>
      </c>
      <c r="W1224" s="493">
        <v>18.095953867933964</v>
      </c>
      <c r="X1224" s="493">
        <v>17.852220790172261</v>
      </c>
      <c r="Y1224" s="493">
        <v>17.608487712410422</v>
      </c>
      <c r="Z1224" s="493">
        <v>17.347737322630667</v>
      </c>
      <c r="AA1224" s="493">
        <v>17.086986932850841</v>
      </c>
      <c r="AB1224" s="493">
        <v>16.826236543071087</v>
      </c>
      <c r="AC1224" s="493">
        <v>16.565486153291264</v>
      </c>
      <c r="AD1224" s="493">
        <v>16.304735763511509</v>
      </c>
      <c r="AE1224" s="493">
        <v>16.114486909162757</v>
      </c>
      <c r="AF1224" s="493">
        <v>15.924238054813937</v>
      </c>
      <c r="AG1224" s="493">
        <v>15.733989200465185</v>
      </c>
      <c r="AH1224" s="493">
        <v>15.543740346116433</v>
      </c>
      <c r="AI1224" s="493">
        <v>15.353491491767615</v>
      </c>
    </row>
    <row r="1225" spans="2:64" outlineLevel="1">
      <c r="B1225" t="str">
        <f t="shared" si="107"/>
        <v>Bio-oil (Pyrolysis) - Energy cost - Middle East - USD/ton fuel</v>
      </c>
      <c r="C1225" t="str">
        <f>C1192</f>
        <v>Bio-oil (Pyrolysis)</v>
      </c>
      <c r="D1225" t="s">
        <v>1368</v>
      </c>
      <c r="E1225" t="s">
        <v>826</v>
      </c>
      <c r="F1225" t="s">
        <v>1353</v>
      </c>
      <c r="G1225" s="487" t="str">
        <f t="shared" si="108"/>
        <v>Bio-oil (Pyrolysis)Middle EastEnergy cost</v>
      </c>
      <c r="H1225" s="518">
        <v>0</v>
      </c>
      <c r="I1225" s="518">
        <v>0</v>
      </c>
      <c r="J1225" s="518">
        <v>0</v>
      </c>
      <c r="K1225" s="518">
        <v>0</v>
      </c>
      <c r="L1225" s="518">
        <v>0</v>
      </c>
      <c r="M1225" s="518">
        <v>0</v>
      </c>
      <c r="N1225" s="518">
        <v>0</v>
      </c>
      <c r="O1225" s="493">
        <v>16.54117213300913</v>
      </c>
      <c r="P1225" s="493">
        <v>16.096114567309272</v>
      </c>
      <c r="Q1225" s="493">
        <v>15.651057001609544</v>
      </c>
      <c r="R1225" s="493">
        <v>15.205999435909686</v>
      </c>
      <c r="S1225" s="493">
        <v>14.76094187020996</v>
      </c>
      <c r="T1225" s="493">
        <v>14.315884304510233</v>
      </c>
      <c r="U1225" s="493">
        <v>14.092737120859796</v>
      </c>
      <c r="V1225" s="493">
        <v>13.869589937209359</v>
      </c>
      <c r="W1225" s="493">
        <v>13.646442753558988</v>
      </c>
      <c r="X1225" s="493">
        <v>13.42329556990855</v>
      </c>
      <c r="Y1225" s="493">
        <v>13.200148386258112</v>
      </c>
      <c r="Z1225" s="493">
        <v>12.907514049438412</v>
      </c>
      <c r="AA1225" s="493">
        <v>12.614879712618777</v>
      </c>
      <c r="AB1225" s="493">
        <v>12.322245375799074</v>
      </c>
      <c r="AC1225" s="493">
        <v>12.029611038979439</v>
      </c>
      <c r="AD1225" s="493">
        <v>11.736976702159705</v>
      </c>
      <c r="AE1225" s="493">
        <v>11.600014652527594</v>
      </c>
      <c r="AF1225" s="493">
        <v>11.463052602895518</v>
      </c>
      <c r="AG1225" s="493">
        <v>11.326090553263407</v>
      </c>
      <c r="AH1225" s="493">
        <v>11.189128503631297</v>
      </c>
      <c r="AI1225" s="493">
        <v>11.05216645399922</v>
      </c>
    </row>
    <row r="1226" spans="2:64" ht="15" outlineLevel="1" thickBot="1">
      <c r="B1226" t="str">
        <f t="shared" si="107"/>
        <v/>
      </c>
      <c r="G1226" s="487" t="str">
        <f t="shared" si="108"/>
        <v/>
      </c>
      <c r="H1226" s="209"/>
      <c r="I1226" s="209"/>
      <c r="J1226" s="209"/>
      <c r="K1226" s="209"/>
      <c r="L1226" s="209"/>
      <c r="M1226" s="209"/>
      <c r="N1226" s="209"/>
    </row>
    <row r="1227" spans="2:64" ht="15" outlineLevel="1">
      <c r="B1227" t="str">
        <f t="shared" si="107"/>
        <v>Bio-oil (Pyrolysis) - Feedstock cost including feedstock feedstock cost - Africa - USD/ton fuel</v>
      </c>
      <c r="C1227" s="494" t="str">
        <f>C1203</f>
        <v>Bio-oil (Pyrolysis)</v>
      </c>
      <c r="D1227" s="494" t="s">
        <v>1369</v>
      </c>
      <c r="E1227" s="494" t="s">
        <v>838</v>
      </c>
      <c r="F1227" s="494" t="s">
        <v>1353</v>
      </c>
      <c r="G1227" s="487" t="str">
        <f t="shared" si="108"/>
        <v>Bio-oil (Pyrolysis)AfricaFeedstock cost including feedstock feedstock cost</v>
      </c>
      <c r="H1227" s="519">
        <v>0</v>
      </c>
      <c r="I1227" s="519">
        <v>0</v>
      </c>
      <c r="J1227" s="519">
        <v>0</v>
      </c>
      <c r="K1227" s="519">
        <v>0</v>
      </c>
      <c r="L1227" s="519">
        <v>0</v>
      </c>
      <c r="M1227" s="519">
        <v>0</v>
      </c>
      <c r="N1227" s="519">
        <v>0</v>
      </c>
      <c r="O1227" s="495">
        <v>888.40587127978006</v>
      </c>
      <c r="P1227" s="495">
        <v>885.62056910963304</v>
      </c>
      <c r="Q1227" s="495">
        <v>881.85031168260571</v>
      </c>
      <c r="R1227" s="495">
        <v>877.10229627143349</v>
      </c>
      <c r="S1227" s="495">
        <v>871.38372014886249</v>
      </c>
      <c r="T1227" s="495">
        <v>864.70178058764964</v>
      </c>
      <c r="U1227" s="495">
        <v>860.67949868505139</v>
      </c>
      <c r="V1227" s="495">
        <v>855.97976467605633</v>
      </c>
      <c r="W1227" s="495">
        <v>850.60492705811953</v>
      </c>
      <c r="X1227" s="495">
        <v>844.55733432866714</v>
      </c>
      <c r="Y1227" s="495">
        <v>837.83933498514693</v>
      </c>
      <c r="Z1227" s="495">
        <v>830.82377171450116</v>
      </c>
      <c r="AA1227" s="495">
        <v>823.49363537946965</v>
      </c>
      <c r="AB1227" s="495">
        <v>815.84755264205978</v>
      </c>
      <c r="AC1227" s="495">
        <v>807.88415016426438</v>
      </c>
      <c r="AD1227" s="495">
        <v>799.60205460808493</v>
      </c>
      <c r="AE1227" s="495">
        <v>793.945651004674</v>
      </c>
      <c r="AF1227" s="495">
        <v>788.13155494766465</v>
      </c>
      <c r="AG1227" s="495">
        <v>782.15890103325785</v>
      </c>
      <c r="AH1227" s="495">
        <v>776.02682385765729</v>
      </c>
      <c r="AI1227" s="495">
        <v>769.73445801706748</v>
      </c>
      <c r="AK1227" s="499" t="b">
        <f t="shared" ref="AK1227:BL1227" si="109">H1210+H1213+H1216+H1227+H1497=H1204</f>
        <v>1</v>
      </c>
      <c r="AL1227" s="500" t="b">
        <f t="shared" si="109"/>
        <v>1</v>
      </c>
      <c r="AM1227" s="500" t="b">
        <f t="shared" si="109"/>
        <v>1</v>
      </c>
      <c r="AN1227" s="500" t="b">
        <f t="shared" si="109"/>
        <v>1</v>
      </c>
      <c r="AO1227" s="500" t="b">
        <f t="shared" si="109"/>
        <v>1</v>
      </c>
      <c r="AP1227" s="500" t="b">
        <f t="shared" si="109"/>
        <v>1</v>
      </c>
      <c r="AQ1227" s="500" t="b">
        <f t="shared" si="109"/>
        <v>1</v>
      </c>
      <c r="AR1227" s="500" t="b">
        <f t="shared" si="109"/>
        <v>0</v>
      </c>
      <c r="AS1227" s="500" t="b">
        <f t="shared" si="109"/>
        <v>0</v>
      </c>
      <c r="AT1227" s="500" t="b">
        <f t="shared" si="109"/>
        <v>0</v>
      </c>
      <c r="AU1227" s="500" t="b">
        <f t="shared" si="109"/>
        <v>0</v>
      </c>
      <c r="AV1227" s="500" t="b">
        <f t="shared" si="109"/>
        <v>0</v>
      </c>
      <c r="AW1227" s="500" t="b">
        <f t="shared" si="109"/>
        <v>0</v>
      </c>
      <c r="AX1227" s="500" t="b">
        <f t="shared" si="109"/>
        <v>0</v>
      </c>
      <c r="AY1227" s="500" t="b">
        <f t="shared" si="109"/>
        <v>0</v>
      </c>
      <c r="AZ1227" s="500" t="b">
        <f t="shared" si="109"/>
        <v>0</v>
      </c>
      <c r="BA1227" s="500" t="b">
        <f t="shared" si="109"/>
        <v>0</v>
      </c>
      <c r="BB1227" s="500" t="b">
        <f t="shared" si="109"/>
        <v>0</v>
      </c>
      <c r="BC1227" s="500" t="b">
        <f t="shared" si="109"/>
        <v>0</v>
      </c>
      <c r="BD1227" s="500" t="b">
        <f t="shared" si="109"/>
        <v>0</v>
      </c>
      <c r="BE1227" s="500" t="b">
        <f t="shared" si="109"/>
        <v>0</v>
      </c>
      <c r="BF1227" s="500" t="b">
        <f t="shared" si="109"/>
        <v>0</v>
      </c>
      <c r="BG1227" s="500" t="b">
        <f t="shared" si="109"/>
        <v>0</v>
      </c>
      <c r="BH1227" s="500" t="b">
        <f t="shared" si="109"/>
        <v>0</v>
      </c>
      <c r="BI1227" s="500" t="b">
        <f t="shared" si="109"/>
        <v>0</v>
      </c>
      <c r="BJ1227" s="500" t="b">
        <f t="shared" si="109"/>
        <v>0</v>
      </c>
      <c r="BK1227" s="500" t="b">
        <f t="shared" si="109"/>
        <v>0</v>
      </c>
      <c r="BL1227" s="501" t="b">
        <f t="shared" si="109"/>
        <v>0</v>
      </c>
    </row>
    <row r="1228" spans="2:64" ht="15" outlineLevel="1">
      <c r="B1228" t="str">
        <f t="shared" si="107"/>
        <v>Bio-oil (Pyrolysis) - Feedstock cost including feedstock feedstock cost - Americas - USD/ton fuel</v>
      </c>
      <c r="C1228" s="22" t="str">
        <f>C1203</f>
        <v>Bio-oil (Pyrolysis)</v>
      </c>
      <c r="D1228" s="22" t="s">
        <v>1369</v>
      </c>
      <c r="E1228" s="22" t="s">
        <v>731</v>
      </c>
      <c r="F1228" s="22" t="s">
        <v>1353</v>
      </c>
      <c r="G1228" s="487" t="str">
        <f t="shared" si="108"/>
        <v>Bio-oil (Pyrolysis)AmericasFeedstock cost including feedstock feedstock cost</v>
      </c>
      <c r="H1228" s="520">
        <v>0</v>
      </c>
      <c r="I1228" s="520">
        <v>0</v>
      </c>
      <c r="J1228" s="520">
        <v>0</v>
      </c>
      <c r="K1228" s="520">
        <v>0</v>
      </c>
      <c r="L1228" s="520">
        <v>0</v>
      </c>
      <c r="M1228" s="520">
        <v>0</v>
      </c>
      <c r="N1228" s="520">
        <v>0</v>
      </c>
      <c r="O1228" s="496">
        <v>718.18340262115771</v>
      </c>
      <c r="P1228" s="496">
        <v>717.19833589704308</v>
      </c>
      <c r="Q1228" s="496">
        <v>715.20021664093724</v>
      </c>
      <c r="R1228" s="496">
        <v>712.19321387828131</v>
      </c>
      <c r="S1228" s="496">
        <v>708.18149663451084</v>
      </c>
      <c r="T1228" s="496">
        <v>703.16923393507921</v>
      </c>
      <c r="U1228" s="496">
        <v>698.59957444461418</v>
      </c>
      <c r="V1228" s="496">
        <v>693.35875999334462</v>
      </c>
      <c r="W1228" s="496">
        <v>687.44913344710812</v>
      </c>
      <c r="X1228" s="496">
        <v>680.87303767171488</v>
      </c>
      <c r="Y1228" s="496">
        <v>673.63281553299248</v>
      </c>
      <c r="Z1228" s="496">
        <v>668.93292227663062</v>
      </c>
      <c r="AA1228" s="496">
        <v>663.86444907834868</v>
      </c>
      <c r="AB1228" s="496">
        <v>658.42685916588835</v>
      </c>
      <c r="AC1228" s="496">
        <v>652.61961576697217</v>
      </c>
      <c r="AD1228" s="496">
        <v>646.44218210933741</v>
      </c>
      <c r="AE1228" s="496">
        <v>640.76183030346442</v>
      </c>
      <c r="AF1228" s="496">
        <v>634.90803481677119</v>
      </c>
      <c r="AG1228" s="496">
        <v>628.88027574703017</v>
      </c>
      <c r="AH1228" s="496">
        <v>622.67803319201403</v>
      </c>
      <c r="AI1228" s="496">
        <v>616.30078724949567</v>
      </c>
      <c r="AK1228" s="502" t="b">
        <f t="shared" ref="AK1228:BL1228" si="110">H1210+H1213+H1217+H1228+H1497=H1205</f>
        <v>1</v>
      </c>
      <c r="AL1228" s="106" t="b">
        <f t="shared" si="110"/>
        <v>1</v>
      </c>
      <c r="AM1228" s="106" t="b">
        <f t="shared" si="110"/>
        <v>1</v>
      </c>
      <c r="AN1228" s="106" t="b">
        <f t="shared" si="110"/>
        <v>1</v>
      </c>
      <c r="AO1228" s="106" t="b">
        <f t="shared" si="110"/>
        <v>1</v>
      </c>
      <c r="AP1228" s="106" t="b">
        <f t="shared" si="110"/>
        <v>1</v>
      </c>
      <c r="AQ1228" s="106" t="b">
        <f t="shared" si="110"/>
        <v>1</v>
      </c>
      <c r="AR1228" s="106" t="b">
        <f t="shared" si="110"/>
        <v>0</v>
      </c>
      <c r="AS1228" s="106" t="b">
        <f t="shared" si="110"/>
        <v>0</v>
      </c>
      <c r="AT1228" s="106" t="b">
        <f t="shared" si="110"/>
        <v>0</v>
      </c>
      <c r="AU1228" s="106" t="b">
        <f t="shared" si="110"/>
        <v>0</v>
      </c>
      <c r="AV1228" s="106" t="b">
        <f t="shared" si="110"/>
        <v>0</v>
      </c>
      <c r="AW1228" s="106" t="b">
        <f t="shared" si="110"/>
        <v>0</v>
      </c>
      <c r="AX1228" s="106" t="b">
        <f t="shared" si="110"/>
        <v>0</v>
      </c>
      <c r="AY1228" s="106" t="b">
        <f t="shared" si="110"/>
        <v>0</v>
      </c>
      <c r="AZ1228" s="106" t="b">
        <f t="shared" si="110"/>
        <v>0</v>
      </c>
      <c r="BA1228" s="106" t="b">
        <f t="shared" si="110"/>
        <v>0</v>
      </c>
      <c r="BB1228" s="106" t="b">
        <f t="shared" si="110"/>
        <v>0</v>
      </c>
      <c r="BC1228" s="106" t="b">
        <f t="shared" si="110"/>
        <v>0</v>
      </c>
      <c r="BD1228" s="106" t="b">
        <f t="shared" si="110"/>
        <v>0</v>
      </c>
      <c r="BE1228" s="106" t="b">
        <f t="shared" si="110"/>
        <v>0</v>
      </c>
      <c r="BF1228" s="106" t="b">
        <f t="shared" si="110"/>
        <v>0</v>
      </c>
      <c r="BG1228" s="106" t="b">
        <f t="shared" si="110"/>
        <v>0</v>
      </c>
      <c r="BH1228" s="106" t="b">
        <f t="shared" si="110"/>
        <v>0</v>
      </c>
      <c r="BI1228" s="106" t="b">
        <f t="shared" si="110"/>
        <v>0</v>
      </c>
      <c r="BJ1228" s="106" t="b">
        <f t="shared" si="110"/>
        <v>0</v>
      </c>
      <c r="BK1228" s="106" t="b">
        <f t="shared" si="110"/>
        <v>0</v>
      </c>
      <c r="BL1228" s="503" t="b">
        <f t="shared" si="110"/>
        <v>0</v>
      </c>
    </row>
    <row r="1229" spans="2:64" ht="15" outlineLevel="1">
      <c r="B1229" t="str">
        <f t="shared" si="107"/>
        <v>Bio-oil (Pyrolysis) - Feedstock cost including feedstock feedstock cost - Asia - USD/ton fuel</v>
      </c>
      <c r="C1229" s="22" t="str">
        <f>C1203</f>
        <v>Bio-oil (Pyrolysis)</v>
      </c>
      <c r="D1229" s="22" t="s">
        <v>1369</v>
      </c>
      <c r="E1229" s="22" t="s">
        <v>750</v>
      </c>
      <c r="F1229" s="22" t="s">
        <v>1353</v>
      </c>
      <c r="G1229" s="487" t="str">
        <f t="shared" si="108"/>
        <v>Bio-oil (Pyrolysis)AsiaFeedstock cost including feedstock feedstock cost</v>
      </c>
      <c r="H1229" s="520">
        <v>0</v>
      </c>
      <c r="I1229" s="520">
        <v>0</v>
      </c>
      <c r="J1229" s="520">
        <v>0</v>
      </c>
      <c r="K1229" s="520">
        <v>0</v>
      </c>
      <c r="L1229" s="520">
        <v>0</v>
      </c>
      <c r="M1229" s="520">
        <v>0</v>
      </c>
      <c r="N1229" s="520">
        <v>0</v>
      </c>
      <c r="O1229" s="496">
        <v>751.9714310197329</v>
      </c>
      <c r="P1229" s="496">
        <v>745.79809284474231</v>
      </c>
      <c r="Q1229" s="496">
        <v>738.65207775009912</v>
      </c>
      <c r="R1229" s="496">
        <v>730.54277109119971</v>
      </c>
      <c r="S1229" s="496">
        <v>721.4795582234301</v>
      </c>
      <c r="T1229" s="496">
        <v>711.4718245022076</v>
      </c>
      <c r="U1229" s="496">
        <v>705.72156080071181</v>
      </c>
      <c r="V1229" s="496">
        <v>699.30738909277181</v>
      </c>
      <c r="W1229" s="496">
        <v>692.2326174130892</v>
      </c>
      <c r="X1229" s="496">
        <v>684.50055379632681</v>
      </c>
      <c r="Y1229" s="496">
        <v>676.11450627717818</v>
      </c>
      <c r="Z1229" s="496">
        <v>666.45214180293965</v>
      </c>
      <c r="AA1229" s="496">
        <v>656.51596541333424</v>
      </c>
      <c r="AB1229" s="496">
        <v>646.30400793644571</v>
      </c>
      <c r="AC1229" s="496">
        <v>635.81430020034236</v>
      </c>
      <c r="AD1229" s="496">
        <v>625.04487303310214</v>
      </c>
      <c r="AE1229" s="496">
        <v>618.59394286904399</v>
      </c>
      <c r="AF1229" s="496">
        <v>612.00126626937583</v>
      </c>
      <c r="AG1229" s="496">
        <v>605.26568387428972</v>
      </c>
      <c r="AH1229" s="496">
        <v>598.3860363239769</v>
      </c>
      <c r="AI1229" s="496">
        <v>591.36116425862872</v>
      </c>
      <c r="AK1229" s="502" t="b">
        <f t="shared" ref="AK1229:BL1229" si="111">H1210+H1213+H1218+H1229+H1497=H1206</f>
        <v>1</v>
      </c>
      <c r="AL1229" s="106" t="b">
        <f t="shared" si="111"/>
        <v>1</v>
      </c>
      <c r="AM1229" s="106" t="b">
        <f t="shared" si="111"/>
        <v>1</v>
      </c>
      <c r="AN1229" s="106" t="b">
        <f t="shared" si="111"/>
        <v>1</v>
      </c>
      <c r="AO1229" s="106" t="b">
        <f t="shared" si="111"/>
        <v>1</v>
      </c>
      <c r="AP1229" s="106" t="b">
        <f t="shared" si="111"/>
        <v>1</v>
      </c>
      <c r="AQ1229" s="106" t="b">
        <f t="shared" si="111"/>
        <v>1</v>
      </c>
      <c r="AR1229" s="106" t="b">
        <f t="shared" si="111"/>
        <v>0</v>
      </c>
      <c r="AS1229" s="106" t="b">
        <f t="shared" si="111"/>
        <v>0</v>
      </c>
      <c r="AT1229" s="106" t="b">
        <f t="shared" si="111"/>
        <v>0</v>
      </c>
      <c r="AU1229" s="106" t="b">
        <f t="shared" si="111"/>
        <v>0</v>
      </c>
      <c r="AV1229" s="106" t="b">
        <f t="shared" si="111"/>
        <v>0</v>
      </c>
      <c r="AW1229" s="106" t="b">
        <f t="shared" si="111"/>
        <v>0</v>
      </c>
      <c r="AX1229" s="106" t="b">
        <f t="shared" si="111"/>
        <v>0</v>
      </c>
      <c r="AY1229" s="106" t="b">
        <f t="shared" si="111"/>
        <v>0</v>
      </c>
      <c r="AZ1229" s="106" t="b">
        <f t="shared" si="111"/>
        <v>0</v>
      </c>
      <c r="BA1229" s="106" t="b">
        <f t="shared" si="111"/>
        <v>0</v>
      </c>
      <c r="BB1229" s="106" t="b">
        <f t="shared" si="111"/>
        <v>0</v>
      </c>
      <c r="BC1229" s="106" t="b">
        <f t="shared" si="111"/>
        <v>0</v>
      </c>
      <c r="BD1229" s="106" t="b">
        <f t="shared" si="111"/>
        <v>0</v>
      </c>
      <c r="BE1229" s="106" t="b">
        <f t="shared" si="111"/>
        <v>0</v>
      </c>
      <c r="BF1229" s="106" t="b">
        <f t="shared" si="111"/>
        <v>0</v>
      </c>
      <c r="BG1229" s="106" t="b">
        <f t="shared" si="111"/>
        <v>0</v>
      </c>
      <c r="BH1229" s="106" t="b">
        <f t="shared" si="111"/>
        <v>0</v>
      </c>
      <c r="BI1229" s="106" t="b">
        <f t="shared" si="111"/>
        <v>0</v>
      </c>
      <c r="BJ1229" s="106" t="b">
        <f t="shared" si="111"/>
        <v>0</v>
      </c>
      <c r="BK1229" s="106" t="b">
        <f t="shared" si="111"/>
        <v>0</v>
      </c>
      <c r="BL1229" s="503" t="b">
        <f t="shared" si="111"/>
        <v>0</v>
      </c>
    </row>
    <row r="1230" spans="2:64" ht="15" outlineLevel="1">
      <c r="B1230" t="str">
        <f t="shared" si="107"/>
        <v>Bio-oil (Pyrolysis) - Feedstock cost including feedstock feedstock cost - Europe - USD/ton fuel</v>
      </c>
      <c r="C1230" s="22" t="str">
        <f>C1203</f>
        <v>Bio-oil (Pyrolysis)</v>
      </c>
      <c r="D1230" s="22" t="s">
        <v>1369</v>
      </c>
      <c r="E1230" s="22" t="s">
        <v>720</v>
      </c>
      <c r="F1230" s="22" t="s">
        <v>1353</v>
      </c>
      <c r="G1230" s="487" t="str">
        <f t="shared" si="108"/>
        <v>Bio-oil (Pyrolysis)EuropeFeedstock cost including feedstock feedstock cost</v>
      </c>
      <c r="H1230" s="520">
        <v>0</v>
      </c>
      <c r="I1230" s="520">
        <v>0</v>
      </c>
      <c r="J1230" s="520">
        <v>0</v>
      </c>
      <c r="K1230" s="520">
        <v>0</v>
      </c>
      <c r="L1230" s="520">
        <v>0</v>
      </c>
      <c r="M1230" s="520">
        <v>0</v>
      </c>
      <c r="N1230" s="520">
        <v>0</v>
      </c>
      <c r="O1230" s="496">
        <v>810.10360082312388</v>
      </c>
      <c r="P1230" s="496">
        <v>809.02976582956603</v>
      </c>
      <c r="Q1230" s="496">
        <v>806.9348129171608</v>
      </c>
      <c r="R1230" s="496">
        <v>803.82346107531123</v>
      </c>
      <c r="S1230" s="496">
        <v>799.70042929342412</v>
      </c>
      <c r="T1230" s="496">
        <v>794.57043656092594</v>
      </c>
      <c r="U1230" s="496">
        <v>790.18042668339331</v>
      </c>
      <c r="V1230" s="496">
        <v>785.09931696035699</v>
      </c>
      <c r="W1230" s="496">
        <v>779.32906062190114</v>
      </c>
      <c r="X1230" s="496">
        <v>772.87161089807591</v>
      </c>
      <c r="Y1230" s="496">
        <v>765.72892101895377</v>
      </c>
      <c r="Z1230" s="496">
        <v>758.91699661857956</v>
      </c>
      <c r="AA1230" s="496">
        <v>751.78193538238713</v>
      </c>
      <c r="AB1230" s="496">
        <v>744.32254896252448</v>
      </c>
      <c r="AC1230" s="496">
        <v>736.53764901111754</v>
      </c>
      <c r="AD1230" s="496">
        <v>728.42604718030896</v>
      </c>
      <c r="AE1230" s="496">
        <v>722.1301115815736</v>
      </c>
      <c r="AF1230" s="496">
        <v>715.68939283177997</v>
      </c>
      <c r="AG1230" s="496">
        <v>709.1027777806969</v>
      </c>
      <c r="AH1230" s="496">
        <v>702.36915327809254</v>
      </c>
      <c r="AI1230" s="496">
        <v>695.48740617373494</v>
      </c>
      <c r="AK1230" s="502" t="b">
        <f t="shared" ref="AK1230:BL1230" si="112">H1210+H1213+H1219+H1230+H1497=H1207</f>
        <v>1</v>
      </c>
      <c r="AL1230" s="106" t="b">
        <f t="shared" si="112"/>
        <v>1</v>
      </c>
      <c r="AM1230" s="106" t="b">
        <f t="shared" si="112"/>
        <v>1</v>
      </c>
      <c r="AN1230" s="106" t="b">
        <f t="shared" si="112"/>
        <v>1</v>
      </c>
      <c r="AO1230" s="106" t="b">
        <f t="shared" si="112"/>
        <v>1</v>
      </c>
      <c r="AP1230" s="106" t="b">
        <f t="shared" si="112"/>
        <v>1</v>
      </c>
      <c r="AQ1230" s="106" t="b">
        <f t="shared" si="112"/>
        <v>1</v>
      </c>
      <c r="AR1230" s="106" t="b">
        <f t="shared" si="112"/>
        <v>0</v>
      </c>
      <c r="AS1230" s="106" t="b">
        <f t="shared" si="112"/>
        <v>0</v>
      </c>
      <c r="AT1230" s="106" t="b">
        <f t="shared" si="112"/>
        <v>0</v>
      </c>
      <c r="AU1230" s="106" t="b">
        <f t="shared" si="112"/>
        <v>0</v>
      </c>
      <c r="AV1230" s="106" t="b">
        <f t="shared" si="112"/>
        <v>0</v>
      </c>
      <c r="AW1230" s="106" t="b">
        <f t="shared" si="112"/>
        <v>0</v>
      </c>
      <c r="AX1230" s="106" t="b">
        <f t="shared" si="112"/>
        <v>0</v>
      </c>
      <c r="AY1230" s="106" t="b">
        <f t="shared" si="112"/>
        <v>0</v>
      </c>
      <c r="AZ1230" s="106" t="b">
        <f t="shared" si="112"/>
        <v>0</v>
      </c>
      <c r="BA1230" s="106" t="b">
        <f t="shared" si="112"/>
        <v>0</v>
      </c>
      <c r="BB1230" s="106" t="b">
        <f t="shared" si="112"/>
        <v>0</v>
      </c>
      <c r="BC1230" s="106" t="b">
        <f t="shared" si="112"/>
        <v>0</v>
      </c>
      <c r="BD1230" s="106" t="b">
        <f t="shared" si="112"/>
        <v>0</v>
      </c>
      <c r="BE1230" s="106" t="b">
        <f t="shared" si="112"/>
        <v>0</v>
      </c>
      <c r="BF1230" s="106" t="b">
        <f t="shared" si="112"/>
        <v>0</v>
      </c>
      <c r="BG1230" s="106" t="b">
        <f t="shared" si="112"/>
        <v>0</v>
      </c>
      <c r="BH1230" s="106" t="b">
        <f t="shared" si="112"/>
        <v>0</v>
      </c>
      <c r="BI1230" s="106" t="b">
        <f t="shared" si="112"/>
        <v>0</v>
      </c>
      <c r="BJ1230" s="106" t="b">
        <f t="shared" si="112"/>
        <v>0</v>
      </c>
      <c r="BK1230" s="106" t="b">
        <f t="shared" si="112"/>
        <v>0</v>
      </c>
      <c r="BL1230" s="503" t="b">
        <f t="shared" si="112"/>
        <v>0</v>
      </c>
    </row>
    <row r="1231" spans="2:64" ht="15.75" outlineLevel="1" thickBot="1">
      <c r="B1231" t="str">
        <f t="shared" si="107"/>
        <v>Bio-oil (Pyrolysis) - Feedstock cost including feedstock feedstock cost - Middle East - USD/ton fuel</v>
      </c>
      <c r="C1231" s="92" t="str">
        <f>C1203</f>
        <v>Bio-oil (Pyrolysis)</v>
      </c>
      <c r="D1231" s="92" t="s">
        <v>1369</v>
      </c>
      <c r="E1231" s="92" t="s">
        <v>826</v>
      </c>
      <c r="F1231" s="92" t="s">
        <v>1353</v>
      </c>
      <c r="G1231" s="487" t="str">
        <f t="shared" si="108"/>
        <v>Bio-oil (Pyrolysis)Middle EastFeedstock cost including feedstock feedstock cost</v>
      </c>
      <c r="H1231" s="521">
        <v>0</v>
      </c>
      <c r="I1231" s="521">
        <v>0</v>
      </c>
      <c r="J1231" s="521">
        <v>0</v>
      </c>
      <c r="K1231" s="521">
        <v>0</v>
      </c>
      <c r="L1231" s="521">
        <v>0</v>
      </c>
      <c r="M1231" s="521">
        <v>0</v>
      </c>
      <c r="N1231" s="521">
        <v>0</v>
      </c>
      <c r="O1231" s="497">
        <v>813.89877525467091</v>
      </c>
      <c r="P1231" s="497">
        <v>811.9364064525339</v>
      </c>
      <c r="Q1231" s="497">
        <v>808.97555809681944</v>
      </c>
      <c r="R1231" s="497">
        <v>805.02137491083624</v>
      </c>
      <c r="S1231" s="497">
        <v>800.07900161789394</v>
      </c>
      <c r="T1231" s="497">
        <v>794.15358294131534</v>
      </c>
      <c r="U1231" s="497">
        <v>791.22066699038601</v>
      </c>
      <c r="V1231" s="497">
        <v>787.60461746565079</v>
      </c>
      <c r="W1231" s="497">
        <v>783.30722262579081</v>
      </c>
      <c r="X1231" s="497">
        <v>778.3302707294564</v>
      </c>
      <c r="Y1231" s="497">
        <v>772.67555003531993</v>
      </c>
      <c r="Z1231" s="497">
        <v>765.34270468022237</v>
      </c>
      <c r="AA1231" s="497">
        <v>757.68877152746052</v>
      </c>
      <c r="AB1231" s="497">
        <v>749.71241692078524</v>
      </c>
      <c r="AC1231" s="497">
        <v>741.41230720393219</v>
      </c>
      <c r="AD1231" s="497">
        <v>732.78710872064642</v>
      </c>
      <c r="AE1231" s="497">
        <v>726.74978906731621</v>
      </c>
      <c r="AF1231" s="497">
        <v>720.54718288714002</v>
      </c>
      <c r="AG1231" s="497">
        <v>714.17848881215241</v>
      </c>
      <c r="AH1231" s="497">
        <v>707.64290547438884</v>
      </c>
      <c r="AI1231" s="497">
        <v>700.93963150588468</v>
      </c>
      <c r="AK1231" s="504" t="b">
        <f t="shared" ref="AK1231:BL1231" si="113">H1210+H1213+H1220+H1231+H1497=H1208</f>
        <v>1</v>
      </c>
      <c r="AL1231" s="505" t="b">
        <f t="shared" si="113"/>
        <v>1</v>
      </c>
      <c r="AM1231" s="505" t="b">
        <f t="shared" si="113"/>
        <v>1</v>
      </c>
      <c r="AN1231" s="505" t="b">
        <f t="shared" si="113"/>
        <v>1</v>
      </c>
      <c r="AO1231" s="505" t="b">
        <f t="shared" si="113"/>
        <v>1</v>
      </c>
      <c r="AP1231" s="505" t="b">
        <f t="shared" si="113"/>
        <v>1</v>
      </c>
      <c r="AQ1231" s="505" t="b">
        <f t="shared" si="113"/>
        <v>1</v>
      </c>
      <c r="AR1231" s="505" t="b">
        <f t="shared" si="113"/>
        <v>0</v>
      </c>
      <c r="AS1231" s="505" t="b">
        <f t="shared" si="113"/>
        <v>0</v>
      </c>
      <c r="AT1231" s="505" t="b">
        <f t="shared" si="113"/>
        <v>0</v>
      </c>
      <c r="AU1231" s="505" t="b">
        <f t="shared" si="113"/>
        <v>0</v>
      </c>
      <c r="AV1231" s="505" t="b">
        <f t="shared" si="113"/>
        <v>0</v>
      </c>
      <c r="AW1231" s="505" t="b">
        <f t="shared" si="113"/>
        <v>0</v>
      </c>
      <c r="AX1231" s="505" t="b">
        <f t="shared" si="113"/>
        <v>0</v>
      </c>
      <c r="AY1231" s="505" t="b">
        <f t="shared" si="113"/>
        <v>0</v>
      </c>
      <c r="AZ1231" s="505" t="b">
        <f t="shared" si="113"/>
        <v>0</v>
      </c>
      <c r="BA1231" s="505" t="b">
        <f t="shared" si="113"/>
        <v>0</v>
      </c>
      <c r="BB1231" s="505" t="b">
        <f t="shared" si="113"/>
        <v>0</v>
      </c>
      <c r="BC1231" s="505" t="b">
        <f t="shared" si="113"/>
        <v>0</v>
      </c>
      <c r="BD1231" s="505" t="b">
        <f t="shared" si="113"/>
        <v>0</v>
      </c>
      <c r="BE1231" s="505" t="b">
        <f t="shared" si="113"/>
        <v>0</v>
      </c>
      <c r="BF1231" s="505" t="b">
        <f t="shared" si="113"/>
        <v>0</v>
      </c>
      <c r="BG1231" s="505" t="b">
        <f t="shared" si="113"/>
        <v>0</v>
      </c>
      <c r="BH1231" s="505" t="b">
        <f t="shared" si="113"/>
        <v>0</v>
      </c>
      <c r="BI1231" s="505" t="b">
        <f t="shared" si="113"/>
        <v>0</v>
      </c>
      <c r="BJ1231" s="505" t="b">
        <f t="shared" si="113"/>
        <v>0</v>
      </c>
      <c r="BK1231" s="505" t="b">
        <f t="shared" si="113"/>
        <v>0</v>
      </c>
      <c r="BL1231" s="506" t="b">
        <f t="shared" si="113"/>
        <v>0</v>
      </c>
    </row>
    <row r="1232" spans="2:64" outlineLevel="1">
      <c r="B1232" t="str">
        <f t="shared" si="107"/>
        <v>Bio-oil (Pyrolysis) - Feedstock cost - Africa - USD/ton fuel</v>
      </c>
      <c r="C1232" t="str">
        <f>C1203</f>
        <v>Bio-oil (Pyrolysis)</v>
      </c>
      <c r="D1232" t="s">
        <v>1371</v>
      </c>
      <c r="E1232" t="s">
        <v>838</v>
      </c>
      <c r="F1232" t="s">
        <v>1353</v>
      </c>
      <c r="G1232" s="487" t="str">
        <f t="shared" si="108"/>
        <v>Bio-oil (Pyrolysis)AfricaFeedstock cost</v>
      </c>
      <c r="H1232" s="518">
        <v>0</v>
      </c>
      <c r="I1232" s="518">
        <v>0</v>
      </c>
      <c r="J1232" s="518">
        <v>0</v>
      </c>
      <c r="K1232" s="518">
        <v>0</v>
      </c>
      <c r="L1232" s="518">
        <v>0</v>
      </c>
      <c r="M1232" s="518">
        <v>0</v>
      </c>
      <c r="N1232" s="518">
        <v>0</v>
      </c>
      <c r="O1232" s="493">
        <v>888.40587127978006</v>
      </c>
      <c r="P1232" s="493">
        <v>885.62056910963304</v>
      </c>
      <c r="Q1232" s="493">
        <v>881.85031168260571</v>
      </c>
      <c r="R1232" s="493">
        <v>877.10229627143349</v>
      </c>
      <c r="S1232" s="493">
        <v>871.38372014886249</v>
      </c>
      <c r="T1232" s="493">
        <v>864.70178058764964</v>
      </c>
      <c r="U1232" s="493">
        <v>860.67949868505139</v>
      </c>
      <c r="V1232" s="493">
        <v>855.97976467605633</v>
      </c>
      <c r="W1232" s="493">
        <v>850.60492705811953</v>
      </c>
      <c r="X1232" s="493">
        <v>844.55733432866714</v>
      </c>
      <c r="Y1232" s="493">
        <v>837.83933498514693</v>
      </c>
      <c r="Z1232" s="493">
        <v>830.82377171450116</v>
      </c>
      <c r="AA1232" s="493">
        <v>823.49363537946965</v>
      </c>
      <c r="AB1232" s="493">
        <v>815.84755264205978</v>
      </c>
      <c r="AC1232" s="493">
        <v>807.88415016426438</v>
      </c>
      <c r="AD1232" s="493">
        <v>799.60205460808493</v>
      </c>
      <c r="AE1232" s="493">
        <v>793.945651004674</v>
      </c>
      <c r="AF1232" s="493">
        <v>788.13155494766465</v>
      </c>
      <c r="AG1232" s="493">
        <v>782.15890103325785</v>
      </c>
      <c r="AH1232" s="493">
        <v>776.02682385765729</v>
      </c>
      <c r="AI1232" s="493">
        <v>769.73445801706748</v>
      </c>
    </row>
    <row r="1233" spans="2:35" outlineLevel="1">
      <c r="B1233" t="str">
        <f t="shared" si="107"/>
        <v>Bio-oil (Pyrolysis) - Feedstock cost - Americas - USD/ton fuel</v>
      </c>
      <c r="C1233" t="str">
        <f>C1203</f>
        <v>Bio-oil (Pyrolysis)</v>
      </c>
      <c r="D1233" t="s">
        <v>1371</v>
      </c>
      <c r="E1233" t="s">
        <v>731</v>
      </c>
      <c r="F1233" t="s">
        <v>1353</v>
      </c>
      <c r="G1233" s="487" t="str">
        <f t="shared" si="108"/>
        <v>Bio-oil (Pyrolysis)AmericasFeedstock cost</v>
      </c>
      <c r="H1233" s="518">
        <v>0</v>
      </c>
      <c r="I1233" s="518">
        <v>0</v>
      </c>
      <c r="J1233" s="518">
        <v>0</v>
      </c>
      <c r="K1233" s="518">
        <v>0</v>
      </c>
      <c r="L1233" s="518">
        <v>0</v>
      </c>
      <c r="M1233" s="518">
        <v>0</v>
      </c>
      <c r="N1233" s="518">
        <v>0</v>
      </c>
      <c r="O1233" s="493">
        <v>718.18340262115771</v>
      </c>
      <c r="P1233" s="493">
        <v>717.19833589704308</v>
      </c>
      <c r="Q1233" s="493">
        <v>715.20021664093724</v>
      </c>
      <c r="R1233" s="493">
        <v>712.19321387828131</v>
      </c>
      <c r="S1233" s="493">
        <v>708.18149663451084</v>
      </c>
      <c r="T1233" s="493">
        <v>703.16923393507921</v>
      </c>
      <c r="U1233" s="493">
        <v>698.59957444461418</v>
      </c>
      <c r="V1233" s="493">
        <v>693.35875999334462</v>
      </c>
      <c r="W1233" s="493">
        <v>687.44913344710812</v>
      </c>
      <c r="X1233" s="493">
        <v>680.87303767171488</v>
      </c>
      <c r="Y1233" s="493">
        <v>673.63281553299248</v>
      </c>
      <c r="Z1233" s="493">
        <v>668.93292227663062</v>
      </c>
      <c r="AA1233" s="493">
        <v>663.86444907834868</v>
      </c>
      <c r="AB1233" s="493">
        <v>658.42685916588835</v>
      </c>
      <c r="AC1233" s="493">
        <v>652.61961576697217</v>
      </c>
      <c r="AD1233" s="493">
        <v>646.44218210933741</v>
      </c>
      <c r="AE1233" s="493">
        <v>640.76183030346442</v>
      </c>
      <c r="AF1233" s="493">
        <v>634.90803481677119</v>
      </c>
      <c r="AG1233" s="493">
        <v>628.88027574703017</v>
      </c>
      <c r="AH1233" s="493">
        <v>622.67803319201403</v>
      </c>
      <c r="AI1233" s="493">
        <v>616.30078724949567</v>
      </c>
    </row>
    <row r="1234" spans="2:35" outlineLevel="1">
      <c r="B1234" t="str">
        <f t="shared" si="107"/>
        <v>Bio-oil (Pyrolysis) - Feedstock cost - Asia - USD/ton fuel</v>
      </c>
      <c r="C1234" t="str">
        <f>C1203</f>
        <v>Bio-oil (Pyrolysis)</v>
      </c>
      <c r="D1234" t="s">
        <v>1371</v>
      </c>
      <c r="E1234" t="s">
        <v>750</v>
      </c>
      <c r="F1234" t="s">
        <v>1353</v>
      </c>
      <c r="G1234" s="487" t="str">
        <f t="shared" si="108"/>
        <v>Bio-oil (Pyrolysis)AsiaFeedstock cost</v>
      </c>
      <c r="H1234" s="518">
        <v>0</v>
      </c>
      <c r="I1234" s="518">
        <v>0</v>
      </c>
      <c r="J1234" s="518">
        <v>0</v>
      </c>
      <c r="K1234" s="518">
        <v>0</v>
      </c>
      <c r="L1234" s="518">
        <v>0</v>
      </c>
      <c r="M1234" s="518">
        <v>0</v>
      </c>
      <c r="N1234" s="518">
        <v>0</v>
      </c>
      <c r="O1234" s="493">
        <v>751.9714310197329</v>
      </c>
      <c r="P1234" s="493">
        <v>745.79809284474231</v>
      </c>
      <c r="Q1234" s="493">
        <v>738.65207775009912</v>
      </c>
      <c r="R1234" s="493">
        <v>730.54277109119971</v>
      </c>
      <c r="S1234" s="493">
        <v>721.4795582234301</v>
      </c>
      <c r="T1234" s="493">
        <v>711.4718245022076</v>
      </c>
      <c r="U1234" s="493">
        <v>705.72156080071181</v>
      </c>
      <c r="V1234" s="493">
        <v>699.30738909277181</v>
      </c>
      <c r="W1234" s="493">
        <v>692.2326174130892</v>
      </c>
      <c r="X1234" s="493">
        <v>684.50055379632681</v>
      </c>
      <c r="Y1234" s="493">
        <v>676.11450627717818</v>
      </c>
      <c r="Z1234" s="493">
        <v>666.45214180293965</v>
      </c>
      <c r="AA1234" s="493">
        <v>656.51596541333424</v>
      </c>
      <c r="AB1234" s="493">
        <v>646.30400793644571</v>
      </c>
      <c r="AC1234" s="493">
        <v>635.81430020034236</v>
      </c>
      <c r="AD1234" s="493">
        <v>625.04487303310214</v>
      </c>
      <c r="AE1234" s="493">
        <v>618.59394286904399</v>
      </c>
      <c r="AF1234" s="493">
        <v>612.00126626937583</v>
      </c>
      <c r="AG1234" s="493">
        <v>605.26568387428972</v>
      </c>
      <c r="AH1234" s="493">
        <v>598.3860363239769</v>
      </c>
      <c r="AI1234" s="493">
        <v>591.36116425862872</v>
      </c>
    </row>
    <row r="1235" spans="2:35" outlineLevel="1">
      <c r="B1235" t="str">
        <f t="shared" si="107"/>
        <v>Bio-oil (Pyrolysis) - Feedstock cost - Europe - USD/ton fuel</v>
      </c>
      <c r="C1235" t="str">
        <f>C1203</f>
        <v>Bio-oil (Pyrolysis)</v>
      </c>
      <c r="D1235" t="s">
        <v>1371</v>
      </c>
      <c r="E1235" t="s">
        <v>720</v>
      </c>
      <c r="F1235" t="s">
        <v>1353</v>
      </c>
      <c r="G1235" s="487" t="str">
        <f t="shared" si="108"/>
        <v>Bio-oil (Pyrolysis)EuropeFeedstock cost</v>
      </c>
      <c r="H1235" s="518">
        <v>0</v>
      </c>
      <c r="I1235" s="518">
        <v>0</v>
      </c>
      <c r="J1235" s="518">
        <v>0</v>
      </c>
      <c r="K1235" s="518">
        <v>0</v>
      </c>
      <c r="L1235" s="518">
        <v>0</v>
      </c>
      <c r="M1235" s="518">
        <v>0</v>
      </c>
      <c r="N1235" s="518">
        <v>0</v>
      </c>
      <c r="O1235" s="493">
        <v>810.10360082312388</v>
      </c>
      <c r="P1235" s="493">
        <v>809.02976582956603</v>
      </c>
      <c r="Q1235" s="493">
        <v>806.9348129171608</v>
      </c>
      <c r="R1235" s="493">
        <v>803.82346107531123</v>
      </c>
      <c r="S1235" s="493">
        <v>799.70042929342412</v>
      </c>
      <c r="T1235" s="493">
        <v>794.57043656092594</v>
      </c>
      <c r="U1235" s="493">
        <v>790.18042668339331</v>
      </c>
      <c r="V1235" s="493">
        <v>785.09931696035699</v>
      </c>
      <c r="W1235" s="493">
        <v>779.32906062190114</v>
      </c>
      <c r="X1235" s="493">
        <v>772.87161089807591</v>
      </c>
      <c r="Y1235" s="493">
        <v>765.72892101895377</v>
      </c>
      <c r="Z1235" s="493">
        <v>758.91699661857956</v>
      </c>
      <c r="AA1235" s="493">
        <v>751.78193538238713</v>
      </c>
      <c r="AB1235" s="493">
        <v>744.32254896252448</v>
      </c>
      <c r="AC1235" s="493">
        <v>736.53764901111754</v>
      </c>
      <c r="AD1235" s="493">
        <v>728.42604718030896</v>
      </c>
      <c r="AE1235" s="493">
        <v>722.1301115815736</v>
      </c>
      <c r="AF1235" s="493">
        <v>715.68939283177997</v>
      </c>
      <c r="AG1235" s="493">
        <v>709.1027777806969</v>
      </c>
      <c r="AH1235" s="493">
        <v>702.36915327809254</v>
      </c>
      <c r="AI1235" s="493">
        <v>695.48740617373494</v>
      </c>
    </row>
    <row r="1236" spans="2:35" outlineLevel="1">
      <c r="B1236" t="str">
        <f t="shared" si="107"/>
        <v>Bio-oil (Pyrolysis) - Feedstock cost - Middle East - USD/ton fuel</v>
      </c>
      <c r="C1236" t="str">
        <f>C1203</f>
        <v>Bio-oil (Pyrolysis)</v>
      </c>
      <c r="D1236" t="s">
        <v>1371</v>
      </c>
      <c r="E1236" t="s">
        <v>826</v>
      </c>
      <c r="F1236" t="s">
        <v>1353</v>
      </c>
      <c r="G1236" s="487" t="str">
        <f t="shared" si="108"/>
        <v>Bio-oil (Pyrolysis)Middle EastFeedstock cost</v>
      </c>
      <c r="H1236" s="518">
        <v>0</v>
      </c>
      <c r="I1236" s="518">
        <v>0</v>
      </c>
      <c r="J1236" s="518">
        <v>0</v>
      </c>
      <c r="K1236" s="518">
        <v>0</v>
      </c>
      <c r="L1236" s="518">
        <v>0</v>
      </c>
      <c r="M1236" s="518">
        <v>0</v>
      </c>
      <c r="N1236" s="518">
        <v>0</v>
      </c>
      <c r="O1236" s="493">
        <v>813.89877525467091</v>
      </c>
      <c r="P1236" s="493">
        <v>811.9364064525339</v>
      </c>
      <c r="Q1236" s="493">
        <v>808.97555809681944</v>
      </c>
      <c r="R1236" s="493">
        <v>805.02137491083624</v>
      </c>
      <c r="S1236" s="493">
        <v>800.07900161789394</v>
      </c>
      <c r="T1236" s="493">
        <v>794.15358294131534</v>
      </c>
      <c r="U1236" s="493">
        <v>791.22066699038601</v>
      </c>
      <c r="V1236" s="493">
        <v>787.60461746565079</v>
      </c>
      <c r="W1236" s="493">
        <v>783.30722262579081</v>
      </c>
      <c r="X1236" s="493">
        <v>778.3302707294564</v>
      </c>
      <c r="Y1236" s="493">
        <v>772.67555003531993</v>
      </c>
      <c r="Z1236" s="493">
        <v>765.34270468022237</v>
      </c>
      <c r="AA1236" s="493">
        <v>757.68877152746052</v>
      </c>
      <c r="AB1236" s="493">
        <v>749.71241692078524</v>
      </c>
      <c r="AC1236" s="493">
        <v>741.41230720393219</v>
      </c>
      <c r="AD1236" s="493">
        <v>732.78710872064642</v>
      </c>
      <c r="AE1236" s="493">
        <v>726.74978906731621</v>
      </c>
      <c r="AF1236" s="493">
        <v>720.54718288714002</v>
      </c>
      <c r="AG1236" s="493">
        <v>714.17848881215241</v>
      </c>
      <c r="AH1236" s="493">
        <v>707.64290547438884</v>
      </c>
      <c r="AI1236" s="493">
        <v>700.93963150588468</v>
      </c>
    </row>
    <row r="1237" spans="2:35">
      <c r="E1237" t="s">
        <v>5</v>
      </c>
      <c r="G1237" s="487" t="str">
        <f t="shared" si="108"/>
        <v xml:space="preserve">  </v>
      </c>
    </row>
    <row r="1238" spans="2:35" ht="15">
      <c r="B1238" t="str">
        <f t="shared" ref="B1238:B1273" si="114">_xlfn.TEXTJOIN(" - ",TRUE,C1238:F1238)</f>
        <v>Nitrogen - Item - Region - Unit</v>
      </c>
      <c r="C1238" s="523" t="s">
        <v>1374</v>
      </c>
      <c r="D1238" s="523" t="s">
        <v>877</v>
      </c>
      <c r="E1238" s="523" t="s">
        <v>171</v>
      </c>
      <c r="F1238" s="523" t="s">
        <v>111</v>
      </c>
      <c r="G1238" s="487" t="str">
        <f t="shared" si="108"/>
        <v>NitrogenRegionItem</v>
      </c>
      <c r="H1238" s="484">
        <v>2023</v>
      </c>
      <c r="I1238" s="484">
        <v>2024</v>
      </c>
      <c r="J1238" s="484">
        <v>2025</v>
      </c>
      <c r="K1238" s="484">
        <v>2026</v>
      </c>
      <c r="L1238" s="484">
        <v>2027</v>
      </c>
      <c r="M1238" s="484">
        <v>2028</v>
      </c>
      <c r="N1238" s="484">
        <v>2029</v>
      </c>
      <c r="O1238" s="484">
        <v>2030</v>
      </c>
      <c r="P1238" s="484">
        <v>2031</v>
      </c>
      <c r="Q1238" s="484">
        <v>2032</v>
      </c>
      <c r="R1238" s="484">
        <v>2033</v>
      </c>
      <c r="S1238" s="484">
        <v>2034</v>
      </c>
      <c r="T1238" s="484">
        <v>2035</v>
      </c>
      <c r="U1238" s="484">
        <v>2036</v>
      </c>
      <c r="V1238" s="484">
        <v>2037</v>
      </c>
      <c r="W1238" s="484">
        <v>2038</v>
      </c>
      <c r="X1238" s="484">
        <v>2039</v>
      </c>
      <c r="Y1238" s="484">
        <v>2040</v>
      </c>
      <c r="Z1238" s="484">
        <v>2041</v>
      </c>
      <c r="AA1238" s="484">
        <v>2042</v>
      </c>
      <c r="AB1238" s="484">
        <v>2043</v>
      </c>
      <c r="AC1238" s="484">
        <v>2044</v>
      </c>
      <c r="AD1238" s="484">
        <v>2045</v>
      </c>
      <c r="AE1238" s="484">
        <v>2046</v>
      </c>
      <c r="AF1238" s="484">
        <v>2047</v>
      </c>
      <c r="AG1238" s="484">
        <v>2048</v>
      </c>
      <c r="AH1238" s="484">
        <v>2049</v>
      </c>
      <c r="AI1238" s="484">
        <v>2050</v>
      </c>
    </row>
    <row r="1239" spans="2:35" outlineLevel="1">
      <c r="B1239" t="str">
        <f t="shared" si="114"/>
        <v>Nitrogen - Total cost - Africa - USD/ton fuel</v>
      </c>
      <c r="C1239" s="487" t="str">
        <f>C1238</f>
        <v>Nitrogen</v>
      </c>
      <c r="D1239" s="487" t="s">
        <v>1362</v>
      </c>
      <c r="E1239" s="487" t="s">
        <v>838</v>
      </c>
      <c r="F1239" s="487" t="s">
        <v>1353</v>
      </c>
      <c r="G1239" s="487" t="str">
        <f t="shared" si="108"/>
        <v>NitrogenAfricaTotal cost</v>
      </c>
      <c r="H1239" s="488">
        <v>62.382424191379783</v>
      </c>
      <c r="I1239" s="488">
        <v>55.997325174045116</v>
      </c>
      <c r="J1239" s="488">
        <v>49.612226156710058</v>
      </c>
      <c r="K1239" s="488">
        <v>43.887331731968366</v>
      </c>
      <c r="L1239" s="488">
        <v>38.177728194232856</v>
      </c>
      <c r="M1239" s="488">
        <v>32.483415543503462</v>
      </c>
      <c r="N1239" s="488">
        <v>26.804393779780085</v>
      </c>
      <c r="O1239" s="488">
        <v>21.140662903062857</v>
      </c>
      <c r="P1239" s="488">
        <v>20.734778086352062</v>
      </c>
      <c r="Q1239" s="488">
        <v>20.328893269641238</v>
      </c>
      <c r="R1239" s="488">
        <v>19.923008452930322</v>
      </c>
      <c r="S1239" s="488">
        <v>19.517123636219502</v>
      </c>
      <c r="T1239" s="488">
        <v>19.111238819508699</v>
      </c>
      <c r="U1239" s="488">
        <v>18.818302092647272</v>
      </c>
      <c r="V1239" s="488">
        <v>18.525365365785873</v>
      </c>
      <c r="W1239" s="488">
        <v>18.232428638924446</v>
      </c>
      <c r="X1239" s="488">
        <v>17.939491912063019</v>
      </c>
      <c r="Y1239" s="488">
        <v>17.646555185201638</v>
      </c>
      <c r="Z1239" s="488">
        <v>17.350778996535915</v>
      </c>
      <c r="AA1239" s="488">
        <v>17.055002807870196</v>
      </c>
      <c r="AB1239" s="488">
        <v>16.759226619204426</v>
      </c>
      <c r="AC1239" s="488">
        <v>16.463450430538703</v>
      </c>
      <c r="AD1239" s="488">
        <v>16.167674241872959</v>
      </c>
      <c r="AE1239" s="488">
        <v>15.924483522587945</v>
      </c>
      <c r="AF1239" s="488">
        <v>15.681292803302957</v>
      </c>
      <c r="AG1239" s="488">
        <v>15.438102084017945</v>
      </c>
      <c r="AH1239" s="488">
        <v>15.194911364732933</v>
      </c>
      <c r="AI1239" s="488">
        <v>14.951720645447942</v>
      </c>
    </row>
    <row r="1240" spans="2:35" outlineLevel="1">
      <c r="B1240" t="str">
        <f t="shared" si="114"/>
        <v>Nitrogen - Total cost - Americas - USD/ton fuel</v>
      </c>
      <c r="C1240" t="str">
        <f>C1239</f>
        <v>Nitrogen</v>
      </c>
      <c r="D1240" t="s">
        <v>1362</v>
      </c>
      <c r="E1240" t="s">
        <v>731</v>
      </c>
      <c r="F1240" t="s">
        <v>1353</v>
      </c>
      <c r="G1240" s="487" t="str">
        <f t="shared" si="108"/>
        <v>NitrogenAmericasTotal cost</v>
      </c>
      <c r="H1240" s="489">
        <v>57.607847265415415</v>
      </c>
      <c r="I1240" s="489">
        <v>52.564037713433983</v>
      </c>
      <c r="J1240" s="489">
        <v>47.520228161452508</v>
      </c>
      <c r="K1240" s="489">
        <v>41.968823942107136</v>
      </c>
      <c r="L1240" s="489">
        <v>36.427693799463867</v>
      </c>
      <c r="M1240" s="489">
        <v>30.896837733522634</v>
      </c>
      <c r="N1240" s="489">
        <v>25.376255744283551</v>
      </c>
      <c r="O1240" s="489">
        <v>19.865947831746368</v>
      </c>
      <c r="P1240" s="489">
        <v>19.549844522340834</v>
      </c>
      <c r="Q1240" s="489">
        <v>19.233741212935282</v>
      </c>
      <c r="R1240" s="489">
        <v>18.917637903529727</v>
      </c>
      <c r="S1240" s="489">
        <v>18.601534594124175</v>
      </c>
      <c r="T1240" s="489">
        <v>18.285431284718598</v>
      </c>
      <c r="U1240" s="489">
        <v>17.992735401750984</v>
      </c>
      <c r="V1240" s="489">
        <v>17.70003951878337</v>
      </c>
      <c r="W1240" s="489">
        <v>17.407343635815735</v>
      </c>
      <c r="X1240" s="489">
        <v>17.114647752848121</v>
      </c>
      <c r="Y1240" s="489">
        <v>16.821951869880493</v>
      </c>
      <c r="Z1240" s="489">
        <v>16.589086137642596</v>
      </c>
      <c r="AA1240" s="489">
        <v>16.356220405404699</v>
      </c>
      <c r="AB1240" s="489">
        <v>16.123354673166808</v>
      </c>
      <c r="AC1240" s="489">
        <v>15.890488940928911</v>
      </c>
      <c r="AD1240" s="489">
        <v>15.657623208691012</v>
      </c>
      <c r="AE1240" s="489">
        <v>15.434670120825308</v>
      </c>
      <c r="AF1240" s="489">
        <v>15.211717032959616</v>
      </c>
      <c r="AG1240" s="489">
        <v>14.988763945093925</v>
      </c>
      <c r="AH1240" s="489">
        <v>14.765810857228233</v>
      </c>
      <c r="AI1240" s="489">
        <v>14.542857769362541</v>
      </c>
    </row>
    <row r="1241" spans="2:35" outlineLevel="1">
      <c r="B1241" t="str">
        <f t="shared" si="114"/>
        <v>Nitrogen - Total cost - Asia - USD/ton fuel</v>
      </c>
      <c r="C1241" t="str">
        <f>C1240</f>
        <v>Nitrogen</v>
      </c>
      <c r="D1241" t="s">
        <v>1362</v>
      </c>
      <c r="E1241" t="s">
        <v>750</v>
      </c>
      <c r="F1241" t="s">
        <v>1353</v>
      </c>
      <c r="G1241" s="487" t="str">
        <f t="shared" si="108"/>
        <v>NitrogenAsiaTotal cost</v>
      </c>
      <c r="H1241" s="489">
        <v>63.823819214424681</v>
      </c>
      <c r="I1241" s="489">
        <v>57.691679746103915</v>
      </c>
      <c r="J1241" s="489">
        <v>51.559540277783768</v>
      </c>
      <c r="K1241" s="489">
        <v>45.769954197792259</v>
      </c>
      <c r="L1241" s="489">
        <v>39.996743669398164</v>
      </c>
      <c r="M1241" s="489">
        <v>34.239908692601006</v>
      </c>
      <c r="N1241" s="489">
        <v>28.499449267400983</v>
      </c>
      <c r="O1241" s="489">
        <v>22.775365393798197</v>
      </c>
      <c r="P1241" s="489">
        <v>22.304608279929006</v>
      </c>
      <c r="Q1241" s="489">
        <v>21.833851166059876</v>
      </c>
      <c r="R1241" s="489">
        <v>21.363094052190831</v>
      </c>
      <c r="S1241" s="489">
        <v>20.892336938321705</v>
      </c>
      <c r="T1241" s="489">
        <v>20.421579824452571</v>
      </c>
      <c r="U1241" s="489">
        <v>20.087607166211807</v>
      </c>
      <c r="V1241" s="489">
        <v>19.753634507971043</v>
      </c>
      <c r="W1241" s="489">
        <v>19.419661849730325</v>
      </c>
      <c r="X1241" s="489">
        <v>19.085689191489564</v>
      </c>
      <c r="Y1241" s="489">
        <v>18.751716533248889</v>
      </c>
      <c r="Z1241" s="489">
        <v>18.411133125486174</v>
      </c>
      <c r="AA1241" s="489">
        <v>18.070549717723505</v>
      </c>
      <c r="AB1241" s="489">
        <v>17.72996630996079</v>
      </c>
      <c r="AC1241" s="489">
        <v>17.389382902198118</v>
      </c>
      <c r="AD1241" s="489">
        <v>17.048799494435407</v>
      </c>
      <c r="AE1241" s="489">
        <v>16.788390406441305</v>
      </c>
      <c r="AF1241" s="489">
        <v>16.527981318447186</v>
      </c>
      <c r="AG1241" s="489">
        <v>16.267572230453087</v>
      </c>
      <c r="AH1241" s="489">
        <v>16.007163142458989</v>
      </c>
      <c r="AI1241" s="489">
        <v>15.746754054464866</v>
      </c>
    </row>
    <row r="1242" spans="2:35" outlineLevel="1">
      <c r="B1242" t="str">
        <f t="shared" si="114"/>
        <v>Nitrogen - Total cost - Europe - USD/ton fuel</v>
      </c>
      <c r="C1242" t="str">
        <f>C1241</f>
        <v>Nitrogen</v>
      </c>
      <c r="D1242" t="s">
        <v>1362</v>
      </c>
      <c r="E1242" t="s">
        <v>720</v>
      </c>
      <c r="F1242" t="s">
        <v>1353</v>
      </c>
      <c r="G1242" s="487" t="str">
        <f t="shared" si="108"/>
        <v>NitrogenEuropeTotal cost</v>
      </c>
      <c r="H1242" s="489">
        <v>60.172677845373265</v>
      </c>
      <c r="I1242" s="489">
        <v>54.837603566500185</v>
      </c>
      <c r="J1242" s="489">
        <v>49.502529287627134</v>
      </c>
      <c r="K1242" s="489">
        <v>43.828821654708456</v>
      </c>
      <c r="L1242" s="489">
        <v>38.168582971636823</v>
      </c>
      <c r="M1242" s="489">
        <v>32.521813238412349</v>
      </c>
      <c r="N1242" s="489">
        <v>26.888512455034856</v>
      </c>
      <c r="O1242" s="489">
        <v>21.268680621504462</v>
      </c>
      <c r="P1242" s="489">
        <v>20.936271974636554</v>
      </c>
      <c r="Q1242" s="489">
        <v>20.603863327768757</v>
      </c>
      <c r="R1242" s="489">
        <v>20.271454680900913</v>
      </c>
      <c r="S1242" s="489">
        <v>19.939046034033069</v>
      </c>
      <c r="T1242" s="489">
        <v>19.606637387165271</v>
      </c>
      <c r="U1242" s="489">
        <v>19.330604813790011</v>
      </c>
      <c r="V1242" s="489">
        <v>19.054572240414775</v>
      </c>
      <c r="W1242" s="489">
        <v>18.778539667039539</v>
      </c>
      <c r="X1242" s="489">
        <v>18.502507093664299</v>
      </c>
      <c r="Y1242" s="489">
        <v>18.226474520289017</v>
      </c>
      <c r="Z1242" s="489">
        <v>17.944609747698756</v>
      </c>
      <c r="AA1242" s="489">
        <v>17.662744975108474</v>
      </c>
      <c r="AB1242" s="489">
        <v>17.380880202518213</v>
      </c>
      <c r="AC1242" s="489">
        <v>17.099015429927928</v>
      </c>
      <c r="AD1242" s="489">
        <v>16.81715065733767</v>
      </c>
      <c r="AE1242" s="489">
        <v>16.55944827885304</v>
      </c>
      <c r="AF1242" s="489">
        <v>16.301745900368388</v>
      </c>
      <c r="AG1242" s="489">
        <v>16.044043521883761</v>
      </c>
      <c r="AH1242" s="489">
        <v>15.786341143399135</v>
      </c>
      <c r="AI1242" s="489">
        <v>15.528638764914483</v>
      </c>
    </row>
    <row r="1243" spans="2:35" outlineLevel="1">
      <c r="B1243" t="str">
        <f t="shared" si="114"/>
        <v>Nitrogen - Total cost - Middle East - USD/ton fuel</v>
      </c>
      <c r="C1243" s="25" t="str">
        <f>C1242</f>
        <v>Nitrogen</v>
      </c>
      <c r="D1243" s="25" t="s">
        <v>1362</v>
      </c>
      <c r="E1243" s="25" t="s">
        <v>826</v>
      </c>
      <c r="F1243" s="25" t="s">
        <v>1353</v>
      </c>
      <c r="G1243" s="487" t="str">
        <f t="shared" si="108"/>
        <v>NitrogenMiddle EastTotal cost</v>
      </c>
      <c r="H1243" s="490">
        <v>57.681136334762741</v>
      </c>
      <c r="I1243" s="490">
        <v>52.445074638095505</v>
      </c>
      <c r="J1243" s="490">
        <v>47.209012941428185</v>
      </c>
      <c r="K1243" s="490">
        <v>41.707041219472472</v>
      </c>
      <c r="L1243" s="490">
        <v>36.213722313520933</v>
      </c>
      <c r="M1243" s="490">
        <v>30.729056223573529</v>
      </c>
      <c r="N1243" s="490">
        <v>25.253042949630256</v>
      </c>
      <c r="O1243" s="490">
        <v>19.785682491691063</v>
      </c>
      <c r="P1243" s="490">
        <v>19.440651681739325</v>
      </c>
      <c r="Q1243" s="490">
        <v>19.095620871787613</v>
      </c>
      <c r="R1243" s="490">
        <v>18.750590061835851</v>
      </c>
      <c r="S1243" s="490">
        <v>18.405559251884142</v>
      </c>
      <c r="T1243" s="490">
        <v>18.060528441932426</v>
      </c>
      <c r="U1243" s="490">
        <v>17.791551097687908</v>
      </c>
      <c r="V1243" s="490">
        <v>17.522573753443393</v>
      </c>
      <c r="W1243" s="490">
        <v>17.253596409198899</v>
      </c>
      <c r="X1243" s="490">
        <v>16.98461906495438</v>
      </c>
      <c r="Y1243" s="490">
        <v>16.715641720709861</v>
      </c>
      <c r="Z1243" s="490">
        <v>16.422849633000681</v>
      </c>
      <c r="AA1243" s="490">
        <v>16.130057545291525</v>
      </c>
      <c r="AB1243" s="490">
        <v>15.83726545758234</v>
      </c>
      <c r="AC1243" s="490">
        <v>15.544473369873183</v>
      </c>
      <c r="AD1243" s="490">
        <v>15.251681282163991</v>
      </c>
      <c r="AE1243" s="490">
        <v>15.012241438932278</v>
      </c>
      <c r="AF1243" s="490">
        <v>14.772801595700578</v>
      </c>
      <c r="AG1243" s="490">
        <v>14.533361752468865</v>
      </c>
      <c r="AH1243" s="490">
        <v>14.293921909237154</v>
      </c>
      <c r="AI1243" s="490">
        <v>14.054482066005454</v>
      </c>
    </row>
    <row r="1244" spans="2:35" ht="15" outlineLevel="1">
      <c r="B1244" t="str">
        <f t="shared" si="114"/>
        <v/>
      </c>
      <c r="C1244" s="22"/>
      <c r="G1244" s="487" t="str">
        <f t="shared" si="108"/>
        <v/>
      </c>
    </row>
    <row r="1245" spans="2:35" ht="15" outlineLevel="1">
      <c r="B1245" t="str">
        <f t="shared" si="114"/>
        <v>Nitrogen - CAPEX including feedstock CAPEX - Global - USD/ton fuel</v>
      </c>
      <c r="C1245" s="491" t="str">
        <f>C1238</f>
        <v>Nitrogen</v>
      </c>
      <c r="D1245" s="491" t="s">
        <v>1363</v>
      </c>
      <c r="E1245" s="491" t="s">
        <v>708</v>
      </c>
      <c r="F1245" s="491" t="s">
        <v>1353</v>
      </c>
      <c r="G1245" s="487" t="str">
        <f t="shared" si="108"/>
        <v>NitrogenGlobalCAPEX including feedstock CAPEX</v>
      </c>
      <c r="H1245" s="492">
        <v>12.866666666666667</v>
      </c>
      <c r="I1245" s="492">
        <v>11.6</v>
      </c>
      <c r="J1245" s="492">
        <v>10.333333333333334</v>
      </c>
      <c r="K1245" s="492">
        <v>9</v>
      </c>
      <c r="L1245" s="492">
        <v>7.666666666666667</v>
      </c>
      <c r="M1245" s="492">
        <v>6.333333333333333</v>
      </c>
      <c r="N1245" s="492">
        <v>5</v>
      </c>
      <c r="O1245" s="492">
        <v>3.6666666666666665</v>
      </c>
      <c r="P1245" s="492">
        <v>3.6166666666666667</v>
      </c>
      <c r="Q1245" s="492">
        <v>3.5666666666666669</v>
      </c>
      <c r="R1245" s="492">
        <v>3.5166666666666666</v>
      </c>
      <c r="S1245" s="492">
        <v>3.4666666666666668</v>
      </c>
      <c r="T1245" s="492">
        <v>3.4166666666666665</v>
      </c>
      <c r="U1245" s="492">
        <v>3.3666666666666667</v>
      </c>
      <c r="V1245" s="492">
        <v>3.3166666666666669</v>
      </c>
      <c r="W1245" s="492">
        <v>3.2666666666666666</v>
      </c>
      <c r="X1245" s="492">
        <v>3.2166666666666668</v>
      </c>
      <c r="Y1245" s="492">
        <v>3.1666666666666665</v>
      </c>
      <c r="Z1245" s="492">
        <v>3.1166666666666667</v>
      </c>
      <c r="AA1245" s="492">
        <v>3.0666666666666669</v>
      </c>
      <c r="AB1245" s="492">
        <v>3.0166666666666666</v>
      </c>
      <c r="AC1245" s="492">
        <v>2.9666666666666668</v>
      </c>
      <c r="AD1245" s="492">
        <v>2.9166666666666665</v>
      </c>
      <c r="AE1245" s="492">
        <v>2.8666666666666667</v>
      </c>
      <c r="AF1245" s="492">
        <v>2.8166666666666669</v>
      </c>
      <c r="AG1245" s="492">
        <v>2.7666666666666666</v>
      </c>
      <c r="AH1245" s="492">
        <v>2.7166666666666668</v>
      </c>
      <c r="AI1245" s="492">
        <v>2.6666666666666665</v>
      </c>
    </row>
    <row r="1246" spans="2:35" outlineLevel="1">
      <c r="B1246" t="str">
        <f t="shared" si="114"/>
        <v>Nitrogen - CAPEX - Global - USD/ton fuel</v>
      </c>
      <c r="C1246" t="str">
        <f>C1238</f>
        <v>Nitrogen</v>
      </c>
      <c r="D1246" t="s">
        <v>446</v>
      </c>
      <c r="E1246" t="s">
        <v>708</v>
      </c>
      <c r="F1246" t="s">
        <v>1353</v>
      </c>
      <c r="G1246" s="487" t="str">
        <f t="shared" si="108"/>
        <v>NitrogenGlobalCAPEX</v>
      </c>
      <c r="H1246" s="493">
        <v>12.866666666666667</v>
      </c>
      <c r="I1246" s="493">
        <v>11.6</v>
      </c>
      <c r="J1246" s="493">
        <v>10.333333333333334</v>
      </c>
      <c r="K1246" s="493">
        <v>9</v>
      </c>
      <c r="L1246" s="493">
        <v>7.666666666666667</v>
      </c>
      <c r="M1246" s="493">
        <v>6.333333333333333</v>
      </c>
      <c r="N1246" s="493">
        <v>5</v>
      </c>
      <c r="O1246" s="493">
        <v>3.6666666666666665</v>
      </c>
      <c r="P1246" s="493">
        <v>3.6166666666666667</v>
      </c>
      <c r="Q1246" s="493">
        <v>3.5666666666666669</v>
      </c>
      <c r="R1246" s="493">
        <v>3.5166666666666666</v>
      </c>
      <c r="S1246" s="493">
        <v>3.4666666666666668</v>
      </c>
      <c r="T1246" s="493">
        <v>3.4166666666666665</v>
      </c>
      <c r="U1246" s="493">
        <v>3.3666666666666667</v>
      </c>
      <c r="V1246" s="493">
        <v>3.3166666666666669</v>
      </c>
      <c r="W1246" s="493">
        <v>3.2666666666666666</v>
      </c>
      <c r="X1246" s="493">
        <v>3.2166666666666668</v>
      </c>
      <c r="Y1246" s="493">
        <v>3.1666666666666665</v>
      </c>
      <c r="Z1246" s="493">
        <v>3.1166666666666667</v>
      </c>
      <c r="AA1246" s="493">
        <v>3.0666666666666669</v>
      </c>
      <c r="AB1246" s="493">
        <v>3.0166666666666666</v>
      </c>
      <c r="AC1246" s="493">
        <v>2.9666666666666668</v>
      </c>
      <c r="AD1246" s="493">
        <v>2.9166666666666665</v>
      </c>
      <c r="AE1246" s="493">
        <v>2.8666666666666667</v>
      </c>
      <c r="AF1246" s="493">
        <v>2.8166666666666669</v>
      </c>
      <c r="AG1246" s="493">
        <v>2.7666666666666666</v>
      </c>
      <c r="AH1246" s="493">
        <v>2.7166666666666668</v>
      </c>
      <c r="AI1246" s="493">
        <v>2.6666666666666665</v>
      </c>
    </row>
    <row r="1247" spans="2:35" outlineLevel="1">
      <c r="B1247" t="str">
        <f t="shared" si="114"/>
        <v/>
      </c>
      <c r="G1247" s="487" t="str">
        <f t="shared" si="108"/>
        <v/>
      </c>
      <c r="H1247" s="493"/>
      <c r="I1247" s="493"/>
      <c r="J1247" s="493"/>
      <c r="K1247" s="493"/>
      <c r="L1247" s="493"/>
      <c r="M1247" s="493"/>
      <c r="N1247" s="493"/>
      <c r="O1247" s="493"/>
      <c r="P1247" s="493"/>
      <c r="Q1247" s="493"/>
      <c r="R1247" s="493"/>
      <c r="S1247" s="493"/>
      <c r="T1247" s="493"/>
      <c r="U1247" s="493"/>
      <c r="V1247" s="493"/>
      <c r="W1247" s="493"/>
      <c r="X1247" s="493"/>
      <c r="Y1247" s="493"/>
      <c r="Z1247" s="493"/>
      <c r="AA1247" s="493"/>
      <c r="AB1247" s="493"/>
      <c r="AC1247" s="493"/>
      <c r="AD1247" s="493"/>
      <c r="AE1247" s="493"/>
      <c r="AF1247" s="493"/>
      <c r="AG1247" s="493"/>
      <c r="AH1247" s="493"/>
      <c r="AI1247" s="493"/>
    </row>
    <row r="1248" spans="2:35" ht="15" outlineLevel="1">
      <c r="B1248" t="str">
        <f t="shared" si="114"/>
        <v>Nitrogen - OPEX including feedstock OPEX - Global - USD/ton fuel</v>
      </c>
      <c r="C1248" s="491" t="str">
        <f>C1239</f>
        <v>Nitrogen</v>
      </c>
      <c r="D1248" s="491" t="s">
        <v>1364</v>
      </c>
      <c r="E1248" s="491" t="s">
        <v>708</v>
      </c>
      <c r="F1248" s="491" t="s">
        <v>1353</v>
      </c>
      <c r="G1248" s="487" t="str">
        <f t="shared" si="108"/>
        <v>NitrogenGlobalOPEX including feedstock OPEX</v>
      </c>
      <c r="H1248" s="492">
        <v>15.44</v>
      </c>
      <c r="I1248" s="492">
        <v>13.92</v>
      </c>
      <c r="J1248" s="492">
        <v>12.4</v>
      </c>
      <c r="K1248" s="492">
        <v>10.8</v>
      </c>
      <c r="L1248" s="492">
        <v>9.2000000000000011</v>
      </c>
      <c r="M1248" s="492">
        <v>7.6000000000000005</v>
      </c>
      <c r="N1248" s="492">
        <v>6</v>
      </c>
      <c r="O1248" s="492">
        <v>4.4000000000000004</v>
      </c>
      <c r="P1248" s="492">
        <v>4.34</v>
      </c>
      <c r="Q1248" s="492">
        <v>4.28</v>
      </c>
      <c r="R1248" s="492">
        <v>4.22</v>
      </c>
      <c r="S1248" s="492">
        <v>4.16</v>
      </c>
      <c r="T1248" s="492">
        <v>4.0999999999999996</v>
      </c>
      <c r="U1248" s="492">
        <v>4.04</v>
      </c>
      <c r="V1248" s="492">
        <v>3.98</v>
      </c>
      <c r="W1248" s="492">
        <v>3.92</v>
      </c>
      <c r="X1248" s="492">
        <v>3.86</v>
      </c>
      <c r="Y1248" s="492">
        <v>3.8000000000000003</v>
      </c>
      <c r="Z1248" s="492">
        <v>3.74</v>
      </c>
      <c r="AA1248" s="492">
        <v>3.68</v>
      </c>
      <c r="AB1248" s="492">
        <v>3.62</v>
      </c>
      <c r="AC1248" s="492">
        <v>3.56</v>
      </c>
      <c r="AD1248" s="492">
        <v>3.5</v>
      </c>
      <c r="AE1248" s="492">
        <v>3.44</v>
      </c>
      <c r="AF1248" s="492">
        <v>3.38</v>
      </c>
      <c r="AG1248" s="492">
        <v>3.3200000000000003</v>
      </c>
      <c r="AH1248" s="492">
        <v>3.2600000000000002</v>
      </c>
      <c r="AI1248" s="492">
        <v>3.2</v>
      </c>
    </row>
    <row r="1249" spans="2:64" outlineLevel="1">
      <c r="B1249" t="str">
        <f t="shared" si="114"/>
        <v>Nitrogen - OPEX - Global - USD/ton fuel</v>
      </c>
      <c r="C1249" t="str">
        <f>C1238</f>
        <v>Nitrogen</v>
      </c>
      <c r="D1249" t="s">
        <v>450</v>
      </c>
      <c r="E1249" t="s">
        <v>708</v>
      </c>
      <c r="F1249" t="s">
        <v>1353</v>
      </c>
      <c r="G1249" s="487" t="str">
        <f t="shared" si="108"/>
        <v>NitrogenGlobalOPEX</v>
      </c>
      <c r="H1249" s="493">
        <v>15.44</v>
      </c>
      <c r="I1249" s="493">
        <v>13.92</v>
      </c>
      <c r="J1249" s="493">
        <v>12.4</v>
      </c>
      <c r="K1249" s="493">
        <v>10.8</v>
      </c>
      <c r="L1249" s="493">
        <v>9.2000000000000011</v>
      </c>
      <c r="M1249" s="493">
        <v>7.6000000000000005</v>
      </c>
      <c r="N1249" s="493">
        <v>6</v>
      </c>
      <c r="O1249" s="493">
        <v>4.4000000000000004</v>
      </c>
      <c r="P1249" s="493">
        <v>4.34</v>
      </c>
      <c r="Q1249" s="493">
        <v>4.28</v>
      </c>
      <c r="R1249" s="493">
        <v>4.22</v>
      </c>
      <c r="S1249" s="493">
        <v>4.16</v>
      </c>
      <c r="T1249" s="493">
        <v>4.0999999999999996</v>
      </c>
      <c r="U1249" s="493">
        <v>4.04</v>
      </c>
      <c r="V1249" s="493">
        <v>3.98</v>
      </c>
      <c r="W1249" s="493">
        <v>3.92</v>
      </c>
      <c r="X1249" s="493">
        <v>3.86</v>
      </c>
      <c r="Y1249" s="493">
        <v>3.8000000000000003</v>
      </c>
      <c r="Z1249" s="493">
        <v>3.74</v>
      </c>
      <c r="AA1249" s="493">
        <v>3.68</v>
      </c>
      <c r="AB1249" s="493">
        <v>3.62</v>
      </c>
      <c r="AC1249" s="493">
        <v>3.56</v>
      </c>
      <c r="AD1249" s="493">
        <v>3.5</v>
      </c>
      <c r="AE1249" s="493">
        <v>3.44</v>
      </c>
      <c r="AF1249" s="493">
        <v>3.38</v>
      </c>
      <c r="AG1249" s="493">
        <v>3.3200000000000003</v>
      </c>
      <c r="AH1249" s="493">
        <v>3.2600000000000002</v>
      </c>
      <c r="AI1249" s="493">
        <v>3.2</v>
      </c>
    </row>
    <row r="1250" spans="2:64" outlineLevel="1">
      <c r="B1250" t="str">
        <f t="shared" si="114"/>
        <v/>
      </c>
      <c r="G1250" s="487" t="str">
        <f t="shared" si="108"/>
        <v/>
      </c>
      <c r="H1250" s="493"/>
      <c r="I1250" s="493"/>
      <c r="J1250" s="493"/>
      <c r="K1250" s="493"/>
      <c r="L1250" s="493"/>
      <c r="M1250" s="493"/>
      <c r="N1250" s="493"/>
      <c r="O1250" s="493"/>
      <c r="P1250" s="493"/>
      <c r="Q1250" s="493"/>
      <c r="R1250" s="493"/>
      <c r="S1250" s="493"/>
      <c r="T1250" s="493"/>
      <c r="U1250" s="493"/>
      <c r="V1250" s="493"/>
      <c r="W1250" s="493"/>
      <c r="X1250" s="493"/>
      <c r="Y1250" s="493"/>
      <c r="Z1250" s="493"/>
      <c r="AA1250" s="493"/>
      <c r="AB1250" s="493"/>
      <c r="AC1250" s="493"/>
      <c r="AD1250" s="493"/>
      <c r="AE1250" s="493"/>
      <c r="AF1250" s="493"/>
      <c r="AG1250" s="493"/>
      <c r="AH1250" s="493"/>
      <c r="AI1250" s="493"/>
    </row>
    <row r="1251" spans="2:64" ht="15" outlineLevel="1">
      <c r="B1251" t="str">
        <f t="shared" si="114"/>
        <v>Nitrogen - Finance cost including feedstock finance cost - Africa - USD/ton fuel</v>
      </c>
      <c r="C1251" s="494" t="str">
        <f>C1242</f>
        <v>Nitrogen</v>
      </c>
      <c r="D1251" s="494" t="s">
        <v>1365</v>
      </c>
      <c r="E1251" s="494" t="s">
        <v>838</v>
      </c>
      <c r="F1251" s="494" t="s">
        <v>1353</v>
      </c>
      <c r="G1251" s="487" t="str">
        <f t="shared" si="108"/>
        <v>NitrogenAfricaFinance cost including feedstock finance cost</v>
      </c>
      <c r="H1251" s="495">
        <v>21.230000000000004</v>
      </c>
      <c r="I1251" s="495">
        <v>19.140000000000004</v>
      </c>
      <c r="J1251" s="495">
        <v>17.05</v>
      </c>
      <c r="K1251" s="495">
        <v>14.850000000000001</v>
      </c>
      <c r="L1251" s="495">
        <v>12.650000000000002</v>
      </c>
      <c r="M1251" s="495">
        <v>10.450000000000001</v>
      </c>
      <c r="N1251" s="495">
        <v>8.2500000000000018</v>
      </c>
      <c r="O1251" s="495">
        <v>6.0500000000000007</v>
      </c>
      <c r="P1251" s="495">
        <v>5.9675000000000011</v>
      </c>
      <c r="Q1251" s="495">
        <v>5.8850000000000007</v>
      </c>
      <c r="R1251" s="495">
        <v>5.8025000000000011</v>
      </c>
      <c r="S1251" s="495">
        <v>5.7200000000000006</v>
      </c>
      <c r="T1251" s="495">
        <v>5.6375000000000011</v>
      </c>
      <c r="U1251" s="495">
        <v>5.5550000000000006</v>
      </c>
      <c r="V1251" s="495">
        <v>5.472500000000001</v>
      </c>
      <c r="W1251" s="495">
        <v>5.3900000000000006</v>
      </c>
      <c r="X1251" s="495">
        <v>5.307500000000001</v>
      </c>
      <c r="Y1251" s="495">
        <v>5.2250000000000005</v>
      </c>
      <c r="Z1251" s="495">
        <v>5.142500000000001</v>
      </c>
      <c r="AA1251" s="495">
        <v>5.0600000000000005</v>
      </c>
      <c r="AB1251" s="495">
        <v>4.9775000000000009</v>
      </c>
      <c r="AC1251" s="495">
        <v>4.8950000000000005</v>
      </c>
      <c r="AD1251" s="495">
        <v>4.8125000000000009</v>
      </c>
      <c r="AE1251" s="495">
        <v>4.7300000000000004</v>
      </c>
      <c r="AF1251" s="495">
        <v>4.6475000000000009</v>
      </c>
      <c r="AG1251" s="495">
        <v>4.5650000000000004</v>
      </c>
      <c r="AH1251" s="495">
        <v>4.4825000000000008</v>
      </c>
      <c r="AI1251" s="495">
        <v>4.4000000000000004</v>
      </c>
    </row>
    <row r="1252" spans="2:64" ht="15" outlineLevel="1">
      <c r="B1252" t="str">
        <f t="shared" si="114"/>
        <v>Nitrogen - Finance cost including feedstock finance cost - Americas - USD/ton fuel</v>
      </c>
      <c r="C1252" s="22" t="str">
        <f>C1242</f>
        <v>Nitrogen</v>
      </c>
      <c r="D1252" s="22" t="s">
        <v>1365</v>
      </c>
      <c r="E1252" s="22" t="s">
        <v>731</v>
      </c>
      <c r="F1252" s="22" t="s">
        <v>1353</v>
      </c>
      <c r="G1252" s="487" t="str">
        <f t="shared" si="108"/>
        <v>NitrogenAmericasFinance cost including feedstock finance cost</v>
      </c>
      <c r="H1252" s="496">
        <v>21.230000000000004</v>
      </c>
      <c r="I1252" s="496">
        <v>19.140000000000004</v>
      </c>
      <c r="J1252" s="496">
        <v>17.05</v>
      </c>
      <c r="K1252" s="496">
        <v>14.850000000000001</v>
      </c>
      <c r="L1252" s="496">
        <v>12.650000000000002</v>
      </c>
      <c r="M1252" s="496">
        <v>10.450000000000001</v>
      </c>
      <c r="N1252" s="496">
        <v>8.2500000000000018</v>
      </c>
      <c r="O1252" s="496">
        <v>6.0500000000000007</v>
      </c>
      <c r="P1252" s="496">
        <v>5.9675000000000011</v>
      </c>
      <c r="Q1252" s="496">
        <v>5.8850000000000007</v>
      </c>
      <c r="R1252" s="496">
        <v>5.8025000000000011</v>
      </c>
      <c r="S1252" s="496">
        <v>5.7200000000000006</v>
      </c>
      <c r="T1252" s="496">
        <v>5.6375000000000011</v>
      </c>
      <c r="U1252" s="496">
        <v>5.5550000000000006</v>
      </c>
      <c r="V1252" s="496">
        <v>5.472500000000001</v>
      </c>
      <c r="W1252" s="496">
        <v>5.3900000000000006</v>
      </c>
      <c r="X1252" s="496">
        <v>5.307500000000001</v>
      </c>
      <c r="Y1252" s="496">
        <v>5.2250000000000005</v>
      </c>
      <c r="Z1252" s="496">
        <v>5.142500000000001</v>
      </c>
      <c r="AA1252" s="496">
        <v>5.0600000000000005</v>
      </c>
      <c r="AB1252" s="496">
        <v>4.9775000000000009</v>
      </c>
      <c r="AC1252" s="496">
        <v>4.8950000000000005</v>
      </c>
      <c r="AD1252" s="496">
        <v>4.8125000000000009</v>
      </c>
      <c r="AE1252" s="496">
        <v>4.7300000000000004</v>
      </c>
      <c r="AF1252" s="496">
        <v>4.6475000000000009</v>
      </c>
      <c r="AG1252" s="496">
        <v>4.5650000000000004</v>
      </c>
      <c r="AH1252" s="496">
        <v>4.4825000000000008</v>
      </c>
      <c r="AI1252" s="496">
        <v>4.4000000000000004</v>
      </c>
    </row>
    <row r="1253" spans="2:64" ht="15" outlineLevel="1">
      <c r="B1253" t="str">
        <f t="shared" si="114"/>
        <v>Nitrogen - Finance cost including feedstock finance cost - Asia - USD/ton fuel</v>
      </c>
      <c r="C1253" s="22" t="str">
        <f>C1242</f>
        <v>Nitrogen</v>
      </c>
      <c r="D1253" s="22" t="s">
        <v>1365</v>
      </c>
      <c r="E1253" s="22" t="s">
        <v>750</v>
      </c>
      <c r="F1253" s="22" t="s">
        <v>1353</v>
      </c>
      <c r="G1253" s="487" t="str">
        <f t="shared" si="108"/>
        <v>NitrogenAsiaFinance cost including feedstock finance cost</v>
      </c>
      <c r="H1253" s="496">
        <v>21.230000000000004</v>
      </c>
      <c r="I1253" s="496">
        <v>19.140000000000004</v>
      </c>
      <c r="J1253" s="496">
        <v>17.05</v>
      </c>
      <c r="K1253" s="496">
        <v>14.850000000000001</v>
      </c>
      <c r="L1253" s="496">
        <v>12.650000000000002</v>
      </c>
      <c r="M1253" s="496">
        <v>10.450000000000001</v>
      </c>
      <c r="N1253" s="496">
        <v>8.2500000000000018</v>
      </c>
      <c r="O1253" s="496">
        <v>6.0500000000000007</v>
      </c>
      <c r="P1253" s="496">
        <v>5.9675000000000011</v>
      </c>
      <c r="Q1253" s="496">
        <v>5.8850000000000007</v>
      </c>
      <c r="R1253" s="496">
        <v>5.8025000000000011</v>
      </c>
      <c r="S1253" s="496">
        <v>5.7200000000000006</v>
      </c>
      <c r="T1253" s="496">
        <v>5.6375000000000011</v>
      </c>
      <c r="U1253" s="496">
        <v>5.5550000000000006</v>
      </c>
      <c r="V1253" s="496">
        <v>5.472500000000001</v>
      </c>
      <c r="W1253" s="496">
        <v>5.3900000000000006</v>
      </c>
      <c r="X1253" s="496">
        <v>5.307500000000001</v>
      </c>
      <c r="Y1253" s="496">
        <v>5.2250000000000005</v>
      </c>
      <c r="Z1253" s="496">
        <v>5.142500000000001</v>
      </c>
      <c r="AA1253" s="496">
        <v>5.0600000000000005</v>
      </c>
      <c r="AB1253" s="496">
        <v>4.9775000000000009</v>
      </c>
      <c r="AC1253" s="496">
        <v>4.8950000000000005</v>
      </c>
      <c r="AD1253" s="496">
        <v>4.8125000000000009</v>
      </c>
      <c r="AE1253" s="496">
        <v>4.7300000000000004</v>
      </c>
      <c r="AF1253" s="496">
        <v>4.6475000000000009</v>
      </c>
      <c r="AG1253" s="496">
        <v>4.5650000000000004</v>
      </c>
      <c r="AH1253" s="496">
        <v>4.4825000000000008</v>
      </c>
      <c r="AI1253" s="496">
        <v>4.4000000000000004</v>
      </c>
    </row>
    <row r="1254" spans="2:64" ht="15" outlineLevel="1">
      <c r="B1254" t="str">
        <f t="shared" si="114"/>
        <v>Nitrogen - Finance cost including feedstock finance cost - Europe - USD/ton fuel</v>
      </c>
      <c r="C1254" s="22" t="str">
        <f>C1242</f>
        <v>Nitrogen</v>
      </c>
      <c r="D1254" s="22" t="s">
        <v>1365</v>
      </c>
      <c r="E1254" s="22" t="s">
        <v>720</v>
      </c>
      <c r="F1254" s="22" t="s">
        <v>1353</v>
      </c>
      <c r="G1254" s="487" t="str">
        <f t="shared" si="108"/>
        <v>NitrogenEuropeFinance cost including feedstock finance cost</v>
      </c>
      <c r="H1254" s="496">
        <v>21.230000000000004</v>
      </c>
      <c r="I1254" s="496">
        <v>19.140000000000004</v>
      </c>
      <c r="J1254" s="496">
        <v>17.05</v>
      </c>
      <c r="K1254" s="496">
        <v>14.850000000000001</v>
      </c>
      <c r="L1254" s="496">
        <v>12.650000000000002</v>
      </c>
      <c r="M1254" s="496">
        <v>10.450000000000001</v>
      </c>
      <c r="N1254" s="496">
        <v>8.2500000000000018</v>
      </c>
      <c r="O1254" s="496">
        <v>6.0500000000000007</v>
      </c>
      <c r="P1254" s="496">
        <v>5.9675000000000011</v>
      </c>
      <c r="Q1254" s="496">
        <v>5.8850000000000007</v>
      </c>
      <c r="R1254" s="496">
        <v>5.8025000000000011</v>
      </c>
      <c r="S1254" s="496">
        <v>5.7200000000000006</v>
      </c>
      <c r="T1254" s="496">
        <v>5.6375000000000011</v>
      </c>
      <c r="U1254" s="496">
        <v>5.5550000000000006</v>
      </c>
      <c r="V1254" s="496">
        <v>5.472500000000001</v>
      </c>
      <c r="W1254" s="496">
        <v>5.3900000000000006</v>
      </c>
      <c r="X1254" s="496">
        <v>5.307500000000001</v>
      </c>
      <c r="Y1254" s="496">
        <v>5.2250000000000005</v>
      </c>
      <c r="Z1254" s="496">
        <v>5.142500000000001</v>
      </c>
      <c r="AA1254" s="496">
        <v>5.0600000000000005</v>
      </c>
      <c r="AB1254" s="496">
        <v>4.9775000000000009</v>
      </c>
      <c r="AC1254" s="496">
        <v>4.8950000000000005</v>
      </c>
      <c r="AD1254" s="496">
        <v>4.8125000000000009</v>
      </c>
      <c r="AE1254" s="496">
        <v>4.7300000000000004</v>
      </c>
      <c r="AF1254" s="496">
        <v>4.6475000000000009</v>
      </c>
      <c r="AG1254" s="496">
        <v>4.5650000000000004</v>
      </c>
      <c r="AH1254" s="496">
        <v>4.4825000000000008</v>
      </c>
      <c r="AI1254" s="496">
        <v>4.4000000000000004</v>
      </c>
    </row>
    <row r="1255" spans="2:64" ht="15" outlineLevel="1">
      <c r="B1255" t="str">
        <f t="shared" si="114"/>
        <v>Nitrogen - Finance cost including feedstock finance cost - Middle East - USD/ton fuel</v>
      </c>
      <c r="C1255" s="92" t="str">
        <f>C1242</f>
        <v>Nitrogen</v>
      </c>
      <c r="D1255" s="92" t="s">
        <v>1365</v>
      </c>
      <c r="E1255" s="92" t="s">
        <v>826</v>
      </c>
      <c r="F1255" s="92" t="s">
        <v>1353</v>
      </c>
      <c r="G1255" s="487" t="str">
        <f t="shared" si="108"/>
        <v>NitrogenMiddle EastFinance cost including feedstock finance cost</v>
      </c>
      <c r="H1255" s="497">
        <v>21.230000000000004</v>
      </c>
      <c r="I1255" s="497">
        <v>19.140000000000004</v>
      </c>
      <c r="J1255" s="497">
        <v>17.05</v>
      </c>
      <c r="K1255" s="497">
        <v>14.850000000000001</v>
      </c>
      <c r="L1255" s="497">
        <v>12.650000000000002</v>
      </c>
      <c r="M1255" s="497">
        <v>10.450000000000001</v>
      </c>
      <c r="N1255" s="497">
        <v>8.2500000000000018</v>
      </c>
      <c r="O1255" s="497">
        <v>6.0500000000000007</v>
      </c>
      <c r="P1255" s="497">
        <v>5.9675000000000011</v>
      </c>
      <c r="Q1255" s="497">
        <v>5.8850000000000007</v>
      </c>
      <c r="R1255" s="497">
        <v>5.8025000000000011</v>
      </c>
      <c r="S1255" s="497">
        <v>5.7200000000000006</v>
      </c>
      <c r="T1255" s="497">
        <v>5.6375000000000011</v>
      </c>
      <c r="U1255" s="497">
        <v>5.5550000000000006</v>
      </c>
      <c r="V1255" s="497">
        <v>5.472500000000001</v>
      </c>
      <c r="W1255" s="497">
        <v>5.3900000000000006</v>
      </c>
      <c r="X1255" s="497">
        <v>5.307500000000001</v>
      </c>
      <c r="Y1255" s="497">
        <v>5.2250000000000005</v>
      </c>
      <c r="Z1255" s="497">
        <v>5.142500000000001</v>
      </c>
      <c r="AA1255" s="497">
        <v>5.0600000000000005</v>
      </c>
      <c r="AB1255" s="497">
        <v>4.9775000000000009</v>
      </c>
      <c r="AC1255" s="497">
        <v>4.8950000000000005</v>
      </c>
      <c r="AD1255" s="497">
        <v>4.8125000000000009</v>
      </c>
      <c r="AE1255" s="497">
        <v>4.7300000000000004</v>
      </c>
      <c r="AF1255" s="497">
        <v>4.6475000000000009</v>
      </c>
      <c r="AG1255" s="497">
        <v>4.5650000000000004</v>
      </c>
      <c r="AH1255" s="497">
        <v>4.4825000000000008</v>
      </c>
      <c r="AI1255" s="497">
        <v>4.4000000000000004</v>
      </c>
    </row>
    <row r="1256" spans="2:64" outlineLevel="1">
      <c r="B1256" t="str">
        <f t="shared" si="114"/>
        <v>Nitrogen - Finance cost - Africa - USD/ton fuel</v>
      </c>
      <c r="C1256" t="str">
        <f>C1238</f>
        <v>Nitrogen</v>
      </c>
      <c r="D1256" t="s">
        <v>1366</v>
      </c>
      <c r="E1256" t="s">
        <v>838</v>
      </c>
      <c r="F1256" t="s">
        <v>1353</v>
      </c>
      <c r="G1256" s="487" t="str">
        <f t="shared" si="108"/>
        <v>NitrogenAfricaFinance cost</v>
      </c>
      <c r="H1256" s="493">
        <v>21.230000000000004</v>
      </c>
      <c r="I1256" s="493">
        <v>19.140000000000004</v>
      </c>
      <c r="J1256" s="493">
        <v>17.05</v>
      </c>
      <c r="K1256" s="493">
        <v>14.850000000000001</v>
      </c>
      <c r="L1256" s="493">
        <v>12.650000000000002</v>
      </c>
      <c r="M1256" s="493">
        <v>10.450000000000001</v>
      </c>
      <c r="N1256" s="493">
        <v>8.2500000000000018</v>
      </c>
      <c r="O1256" s="493">
        <v>6.0500000000000007</v>
      </c>
      <c r="P1256" s="493">
        <v>5.9675000000000011</v>
      </c>
      <c r="Q1256" s="493">
        <v>5.8850000000000007</v>
      </c>
      <c r="R1256" s="493">
        <v>5.8025000000000011</v>
      </c>
      <c r="S1256" s="493">
        <v>5.7200000000000006</v>
      </c>
      <c r="T1256" s="493">
        <v>5.6375000000000011</v>
      </c>
      <c r="U1256" s="493">
        <v>5.5550000000000006</v>
      </c>
      <c r="V1256" s="493">
        <v>5.472500000000001</v>
      </c>
      <c r="W1256" s="493">
        <v>5.3900000000000006</v>
      </c>
      <c r="X1256" s="493">
        <v>5.307500000000001</v>
      </c>
      <c r="Y1256" s="493">
        <v>5.2250000000000005</v>
      </c>
      <c r="Z1256" s="493">
        <v>5.142500000000001</v>
      </c>
      <c r="AA1256" s="493">
        <v>5.0600000000000005</v>
      </c>
      <c r="AB1256" s="493">
        <v>4.9775000000000009</v>
      </c>
      <c r="AC1256" s="493">
        <v>4.8950000000000005</v>
      </c>
      <c r="AD1256" s="493">
        <v>4.8125000000000009</v>
      </c>
      <c r="AE1256" s="493">
        <v>4.7300000000000004</v>
      </c>
      <c r="AF1256" s="493">
        <v>4.6475000000000009</v>
      </c>
      <c r="AG1256" s="493">
        <v>4.5650000000000004</v>
      </c>
      <c r="AH1256" s="493">
        <v>4.4825000000000008</v>
      </c>
      <c r="AI1256" s="493">
        <v>4.4000000000000004</v>
      </c>
    </row>
    <row r="1257" spans="2:64" outlineLevel="1">
      <c r="B1257" t="str">
        <f t="shared" si="114"/>
        <v>Nitrogen - Finance cost - Americas - USD/ton fuel</v>
      </c>
      <c r="C1257" t="str">
        <f>C1238</f>
        <v>Nitrogen</v>
      </c>
      <c r="D1257" t="s">
        <v>1366</v>
      </c>
      <c r="E1257" t="s">
        <v>731</v>
      </c>
      <c r="F1257" t="s">
        <v>1353</v>
      </c>
      <c r="G1257" s="487" t="str">
        <f t="shared" si="108"/>
        <v>NitrogenAmericasFinance cost</v>
      </c>
      <c r="H1257" s="493">
        <v>21.230000000000004</v>
      </c>
      <c r="I1257" s="493">
        <v>19.140000000000004</v>
      </c>
      <c r="J1257" s="493">
        <v>17.05</v>
      </c>
      <c r="K1257" s="493">
        <v>14.850000000000001</v>
      </c>
      <c r="L1257" s="493">
        <v>12.650000000000002</v>
      </c>
      <c r="M1257" s="493">
        <v>10.450000000000001</v>
      </c>
      <c r="N1257" s="493">
        <v>8.2500000000000018</v>
      </c>
      <c r="O1257" s="493">
        <v>6.0500000000000007</v>
      </c>
      <c r="P1257" s="493">
        <v>5.9675000000000011</v>
      </c>
      <c r="Q1257" s="493">
        <v>5.8850000000000007</v>
      </c>
      <c r="R1257" s="493">
        <v>5.8025000000000011</v>
      </c>
      <c r="S1257" s="493">
        <v>5.7200000000000006</v>
      </c>
      <c r="T1257" s="493">
        <v>5.6375000000000011</v>
      </c>
      <c r="U1257" s="493">
        <v>5.5550000000000006</v>
      </c>
      <c r="V1257" s="493">
        <v>5.472500000000001</v>
      </c>
      <c r="W1257" s="493">
        <v>5.3900000000000006</v>
      </c>
      <c r="X1257" s="493">
        <v>5.307500000000001</v>
      </c>
      <c r="Y1257" s="493">
        <v>5.2250000000000005</v>
      </c>
      <c r="Z1257" s="493">
        <v>5.142500000000001</v>
      </c>
      <c r="AA1257" s="493">
        <v>5.0600000000000005</v>
      </c>
      <c r="AB1257" s="493">
        <v>4.9775000000000009</v>
      </c>
      <c r="AC1257" s="493">
        <v>4.8950000000000005</v>
      </c>
      <c r="AD1257" s="493">
        <v>4.8125000000000009</v>
      </c>
      <c r="AE1257" s="493">
        <v>4.7300000000000004</v>
      </c>
      <c r="AF1257" s="493">
        <v>4.6475000000000009</v>
      </c>
      <c r="AG1257" s="493">
        <v>4.5650000000000004</v>
      </c>
      <c r="AH1257" s="493">
        <v>4.4825000000000008</v>
      </c>
      <c r="AI1257" s="493">
        <v>4.4000000000000004</v>
      </c>
    </row>
    <row r="1258" spans="2:64" outlineLevel="1">
      <c r="B1258" t="str">
        <f t="shared" si="114"/>
        <v>Nitrogen - Finance cost - Asia - USD/ton fuel</v>
      </c>
      <c r="C1258" t="str">
        <f>C1238</f>
        <v>Nitrogen</v>
      </c>
      <c r="D1258" t="s">
        <v>1366</v>
      </c>
      <c r="E1258" t="s">
        <v>750</v>
      </c>
      <c r="F1258" t="s">
        <v>1353</v>
      </c>
      <c r="G1258" s="487" t="str">
        <f t="shared" si="108"/>
        <v>NitrogenAsiaFinance cost</v>
      </c>
      <c r="H1258" s="493">
        <v>21.230000000000004</v>
      </c>
      <c r="I1258" s="493">
        <v>19.140000000000004</v>
      </c>
      <c r="J1258" s="493">
        <v>17.05</v>
      </c>
      <c r="K1258" s="493">
        <v>14.850000000000001</v>
      </c>
      <c r="L1258" s="493">
        <v>12.650000000000002</v>
      </c>
      <c r="M1258" s="493">
        <v>10.450000000000001</v>
      </c>
      <c r="N1258" s="493">
        <v>8.2500000000000018</v>
      </c>
      <c r="O1258" s="493">
        <v>6.0500000000000007</v>
      </c>
      <c r="P1258" s="493">
        <v>5.9675000000000011</v>
      </c>
      <c r="Q1258" s="493">
        <v>5.8850000000000007</v>
      </c>
      <c r="R1258" s="493">
        <v>5.8025000000000011</v>
      </c>
      <c r="S1258" s="493">
        <v>5.7200000000000006</v>
      </c>
      <c r="T1258" s="493">
        <v>5.6375000000000011</v>
      </c>
      <c r="U1258" s="493">
        <v>5.5550000000000006</v>
      </c>
      <c r="V1258" s="493">
        <v>5.472500000000001</v>
      </c>
      <c r="W1258" s="493">
        <v>5.3900000000000006</v>
      </c>
      <c r="X1258" s="493">
        <v>5.307500000000001</v>
      </c>
      <c r="Y1258" s="493">
        <v>5.2250000000000005</v>
      </c>
      <c r="Z1258" s="493">
        <v>5.142500000000001</v>
      </c>
      <c r="AA1258" s="493">
        <v>5.0600000000000005</v>
      </c>
      <c r="AB1258" s="493">
        <v>4.9775000000000009</v>
      </c>
      <c r="AC1258" s="493">
        <v>4.8950000000000005</v>
      </c>
      <c r="AD1258" s="493">
        <v>4.8125000000000009</v>
      </c>
      <c r="AE1258" s="493">
        <v>4.7300000000000004</v>
      </c>
      <c r="AF1258" s="493">
        <v>4.6475000000000009</v>
      </c>
      <c r="AG1258" s="493">
        <v>4.5650000000000004</v>
      </c>
      <c r="AH1258" s="493">
        <v>4.4825000000000008</v>
      </c>
      <c r="AI1258" s="493">
        <v>4.4000000000000004</v>
      </c>
    </row>
    <row r="1259" spans="2:64" outlineLevel="1">
      <c r="B1259" t="str">
        <f t="shared" si="114"/>
        <v>Nitrogen - Finance cost - Europe - USD/ton fuel</v>
      </c>
      <c r="C1259" t="str">
        <f>C1238</f>
        <v>Nitrogen</v>
      </c>
      <c r="D1259" t="s">
        <v>1366</v>
      </c>
      <c r="E1259" t="s">
        <v>720</v>
      </c>
      <c r="F1259" t="s">
        <v>1353</v>
      </c>
      <c r="G1259" s="487" t="str">
        <f t="shared" si="108"/>
        <v>NitrogenEuropeFinance cost</v>
      </c>
      <c r="H1259" s="493">
        <v>21.230000000000004</v>
      </c>
      <c r="I1259" s="493">
        <v>19.140000000000004</v>
      </c>
      <c r="J1259" s="493">
        <v>17.05</v>
      </c>
      <c r="K1259" s="493">
        <v>14.850000000000001</v>
      </c>
      <c r="L1259" s="493">
        <v>12.650000000000002</v>
      </c>
      <c r="M1259" s="493">
        <v>10.450000000000001</v>
      </c>
      <c r="N1259" s="493">
        <v>8.2500000000000018</v>
      </c>
      <c r="O1259" s="493">
        <v>6.0500000000000007</v>
      </c>
      <c r="P1259" s="493">
        <v>5.9675000000000011</v>
      </c>
      <c r="Q1259" s="493">
        <v>5.8850000000000007</v>
      </c>
      <c r="R1259" s="493">
        <v>5.8025000000000011</v>
      </c>
      <c r="S1259" s="493">
        <v>5.7200000000000006</v>
      </c>
      <c r="T1259" s="493">
        <v>5.6375000000000011</v>
      </c>
      <c r="U1259" s="493">
        <v>5.5550000000000006</v>
      </c>
      <c r="V1259" s="493">
        <v>5.472500000000001</v>
      </c>
      <c r="W1259" s="493">
        <v>5.3900000000000006</v>
      </c>
      <c r="X1259" s="493">
        <v>5.307500000000001</v>
      </c>
      <c r="Y1259" s="493">
        <v>5.2250000000000005</v>
      </c>
      <c r="Z1259" s="493">
        <v>5.142500000000001</v>
      </c>
      <c r="AA1259" s="493">
        <v>5.0600000000000005</v>
      </c>
      <c r="AB1259" s="493">
        <v>4.9775000000000009</v>
      </c>
      <c r="AC1259" s="493">
        <v>4.8950000000000005</v>
      </c>
      <c r="AD1259" s="493">
        <v>4.8125000000000009</v>
      </c>
      <c r="AE1259" s="493">
        <v>4.7300000000000004</v>
      </c>
      <c r="AF1259" s="493">
        <v>4.6475000000000009</v>
      </c>
      <c r="AG1259" s="493">
        <v>4.5650000000000004</v>
      </c>
      <c r="AH1259" s="493">
        <v>4.4825000000000008</v>
      </c>
      <c r="AI1259" s="493">
        <v>4.4000000000000004</v>
      </c>
    </row>
    <row r="1260" spans="2:64" outlineLevel="1">
      <c r="B1260" t="str">
        <f t="shared" si="114"/>
        <v>Nitrogen - Finance cost - Middle East - USD/ton fuel</v>
      </c>
      <c r="C1260" t="str">
        <f>C1238</f>
        <v>Nitrogen</v>
      </c>
      <c r="D1260" t="s">
        <v>1366</v>
      </c>
      <c r="E1260" t="s">
        <v>826</v>
      </c>
      <c r="F1260" t="s">
        <v>1353</v>
      </c>
      <c r="G1260" s="487" t="str">
        <f t="shared" si="108"/>
        <v>NitrogenMiddle EastFinance cost</v>
      </c>
      <c r="H1260" s="493">
        <v>21.230000000000004</v>
      </c>
      <c r="I1260" s="493">
        <v>19.140000000000004</v>
      </c>
      <c r="J1260" s="493">
        <v>17.05</v>
      </c>
      <c r="K1260" s="493">
        <v>14.850000000000001</v>
      </c>
      <c r="L1260" s="493">
        <v>12.650000000000002</v>
      </c>
      <c r="M1260" s="493">
        <v>10.450000000000001</v>
      </c>
      <c r="N1260" s="493">
        <v>8.2500000000000018</v>
      </c>
      <c r="O1260" s="493">
        <v>6.0500000000000007</v>
      </c>
      <c r="P1260" s="493">
        <v>5.9675000000000011</v>
      </c>
      <c r="Q1260" s="493">
        <v>5.8850000000000007</v>
      </c>
      <c r="R1260" s="493">
        <v>5.8025000000000011</v>
      </c>
      <c r="S1260" s="493">
        <v>5.7200000000000006</v>
      </c>
      <c r="T1260" s="493">
        <v>5.6375000000000011</v>
      </c>
      <c r="U1260" s="493">
        <v>5.5550000000000006</v>
      </c>
      <c r="V1260" s="493">
        <v>5.472500000000001</v>
      </c>
      <c r="W1260" s="493">
        <v>5.3900000000000006</v>
      </c>
      <c r="X1260" s="493">
        <v>5.307500000000001</v>
      </c>
      <c r="Y1260" s="493">
        <v>5.2250000000000005</v>
      </c>
      <c r="Z1260" s="493">
        <v>5.142500000000001</v>
      </c>
      <c r="AA1260" s="493">
        <v>5.0600000000000005</v>
      </c>
      <c r="AB1260" s="493">
        <v>4.9775000000000009</v>
      </c>
      <c r="AC1260" s="493">
        <v>4.8950000000000005</v>
      </c>
      <c r="AD1260" s="493">
        <v>4.8125000000000009</v>
      </c>
      <c r="AE1260" s="493">
        <v>4.7300000000000004</v>
      </c>
      <c r="AF1260" s="493">
        <v>4.6475000000000009</v>
      </c>
      <c r="AG1260" s="493">
        <v>4.5650000000000004</v>
      </c>
      <c r="AH1260" s="493">
        <v>4.4825000000000008</v>
      </c>
      <c r="AI1260" s="493">
        <v>4.4000000000000004</v>
      </c>
    </row>
    <row r="1261" spans="2:64" ht="15" outlineLevel="1" thickBot="1">
      <c r="B1261" t="str">
        <f t="shared" si="114"/>
        <v/>
      </c>
      <c r="G1261" s="487" t="str">
        <f t="shared" si="108"/>
        <v/>
      </c>
      <c r="H1261" s="498"/>
    </row>
    <row r="1262" spans="2:64" ht="15" outlineLevel="1">
      <c r="B1262" t="str">
        <f t="shared" si="114"/>
        <v>Nitrogen - Energy cost including feedstock energy cost - Africa - USD/ton fuel</v>
      </c>
      <c r="C1262" s="494" t="str">
        <f>C1238</f>
        <v>Nitrogen</v>
      </c>
      <c r="D1262" s="494" t="s">
        <v>1367</v>
      </c>
      <c r="E1262" s="494" t="s">
        <v>838</v>
      </c>
      <c r="F1262" s="494" t="s">
        <v>1353</v>
      </c>
      <c r="G1262" s="487" t="str">
        <f t="shared" si="108"/>
        <v>NitrogenAfricaEnergy cost including feedstock energy cost</v>
      </c>
      <c r="H1262" s="495">
        <v>12.845757524713116</v>
      </c>
      <c r="I1262" s="495">
        <v>11.337325174045109</v>
      </c>
      <c r="J1262" s="495">
        <v>9.8288928233767283</v>
      </c>
      <c r="K1262" s="495">
        <v>9.2373317319683625</v>
      </c>
      <c r="L1262" s="495">
        <v>8.6610615275661882</v>
      </c>
      <c r="M1262" s="495">
        <v>8.1000822101701271</v>
      </c>
      <c r="N1262" s="495">
        <v>7.554393779780086</v>
      </c>
      <c r="O1262" s="495">
        <v>7.0239962363961901</v>
      </c>
      <c r="P1262" s="495">
        <v>6.8106114196853929</v>
      </c>
      <c r="Q1262" s="495">
        <v>6.5972266029745699</v>
      </c>
      <c r="R1262" s="495">
        <v>6.3838417862636563</v>
      </c>
      <c r="S1262" s="495">
        <v>6.1704569695528342</v>
      </c>
      <c r="T1262" s="495">
        <v>5.9570721528420343</v>
      </c>
      <c r="U1262" s="495">
        <v>5.8566354259806079</v>
      </c>
      <c r="V1262" s="495">
        <v>5.7561986991192047</v>
      </c>
      <c r="W1262" s="495">
        <v>5.6557619722577783</v>
      </c>
      <c r="X1262" s="495">
        <v>5.5553252453963529</v>
      </c>
      <c r="Y1262" s="495">
        <v>5.4548885185349718</v>
      </c>
      <c r="Z1262" s="495">
        <v>5.3516123298692495</v>
      </c>
      <c r="AA1262" s="495">
        <v>5.2483361412035272</v>
      </c>
      <c r="AB1262" s="495">
        <v>5.1450599525377587</v>
      </c>
      <c r="AC1262" s="495">
        <v>5.0417837638720364</v>
      </c>
      <c r="AD1262" s="495">
        <v>4.938507575206291</v>
      </c>
      <c r="AE1262" s="495">
        <v>4.8878168559212787</v>
      </c>
      <c r="AF1262" s="495">
        <v>4.8371261366362894</v>
      </c>
      <c r="AG1262" s="495">
        <v>4.7864354173512771</v>
      </c>
      <c r="AH1262" s="495">
        <v>4.7357446980662647</v>
      </c>
      <c r="AI1262" s="495">
        <v>4.6850539787812755</v>
      </c>
      <c r="AK1262" s="499" t="e">
        <f>H1245+H1248+H1251+H1262+#REF!=H1239</f>
        <v>#REF!</v>
      </c>
      <c r="AL1262" s="500" t="e">
        <f>I1245+I1248+I1251+I1262+#REF!=I1239</f>
        <v>#REF!</v>
      </c>
      <c r="AM1262" s="500" t="e">
        <f>J1245+J1248+J1251+J1262+#REF!=J1239</f>
        <v>#REF!</v>
      </c>
      <c r="AN1262" s="500" t="e">
        <f>K1245+K1248+K1251+K1262+#REF!=K1239</f>
        <v>#REF!</v>
      </c>
      <c r="AO1262" s="500" t="e">
        <f>L1245+L1248+L1251+L1262+#REF!=L1239</f>
        <v>#REF!</v>
      </c>
      <c r="AP1262" s="500" t="e">
        <f>M1245+M1248+M1251+M1262+#REF!=M1239</f>
        <v>#REF!</v>
      </c>
      <c r="AQ1262" s="500" t="e">
        <f>N1245+N1248+N1251+N1262+#REF!=N1239</f>
        <v>#REF!</v>
      </c>
      <c r="AR1262" s="500" t="e">
        <f>O1245+O1248+O1251+O1262+#REF!=O1239</f>
        <v>#REF!</v>
      </c>
      <c r="AS1262" s="500" t="e">
        <f>P1245+P1248+P1251+P1262+#REF!=P1239</f>
        <v>#REF!</v>
      </c>
      <c r="AT1262" s="500" t="e">
        <f>Q1245+Q1248+Q1251+Q1262+#REF!=Q1239</f>
        <v>#REF!</v>
      </c>
      <c r="AU1262" s="500" t="e">
        <f>R1245+R1248+R1251+R1262+#REF!=R1239</f>
        <v>#REF!</v>
      </c>
      <c r="AV1262" s="500" t="e">
        <f>S1245+S1248+S1251+S1262+#REF!=S1239</f>
        <v>#REF!</v>
      </c>
      <c r="AW1262" s="500" t="e">
        <f>T1245+T1248+T1251+T1262+#REF!=T1239</f>
        <v>#REF!</v>
      </c>
      <c r="AX1262" s="500" t="e">
        <f>U1245+U1248+U1251+U1262+#REF!=U1239</f>
        <v>#REF!</v>
      </c>
      <c r="AY1262" s="500" t="e">
        <f>V1245+V1248+V1251+V1262+#REF!=V1239</f>
        <v>#REF!</v>
      </c>
      <c r="AZ1262" s="500" t="e">
        <f>W1245+W1248+W1251+W1262+#REF!=W1239</f>
        <v>#REF!</v>
      </c>
      <c r="BA1262" s="500" t="e">
        <f>X1245+X1248+X1251+X1262+#REF!=X1239</f>
        <v>#REF!</v>
      </c>
      <c r="BB1262" s="500" t="e">
        <f>Y1245+Y1248+Y1251+Y1262+#REF!=Y1239</f>
        <v>#REF!</v>
      </c>
      <c r="BC1262" s="500" t="e">
        <f>Z1245+Z1248+Z1251+Z1262+#REF!=Z1239</f>
        <v>#REF!</v>
      </c>
      <c r="BD1262" s="500" t="e">
        <f>AA1245+AA1248+AA1251+AA1262+#REF!=AA1239</f>
        <v>#REF!</v>
      </c>
      <c r="BE1262" s="500" t="e">
        <f>AB1245+AB1248+AB1251+AB1262+#REF!=AB1239</f>
        <v>#REF!</v>
      </c>
      <c r="BF1262" s="500" t="e">
        <f>AC1245+AC1248+AC1251+AC1262+#REF!=AC1239</f>
        <v>#REF!</v>
      </c>
      <c r="BG1262" s="500" t="e">
        <f>AD1245+AD1248+AD1251+AD1262+#REF!=AD1239</f>
        <v>#REF!</v>
      </c>
      <c r="BH1262" s="500" t="e">
        <f>AE1245+AE1248+AE1251+AE1262+#REF!=AE1239</f>
        <v>#REF!</v>
      </c>
      <c r="BI1262" s="500" t="e">
        <f>AF1245+AF1248+AF1251+AF1262+#REF!=AF1239</f>
        <v>#REF!</v>
      </c>
      <c r="BJ1262" s="500" t="e">
        <f>AG1245+AG1248+AG1251+AG1262+#REF!=AG1239</f>
        <v>#REF!</v>
      </c>
      <c r="BK1262" s="500" t="e">
        <f>AH1245+AH1248+AH1251+AH1262+#REF!=AH1239</f>
        <v>#REF!</v>
      </c>
      <c r="BL1262" s="501" t="e">
        <f>AI1245+AI1248+AI1251+AI1262+#REF!=AI1239</f>
        <v>#REF!</v>
      </c>
    </row>
    <row r="1263" spans="2:64" ht="15" outlineLevel="1">
      <c r="B1263" t="str">
        <f t="shared" si="114"/>
        <v>Nitrogen - Energy cost including feedstock energy cost - Americas - USD/ton fuel</v>
      </c>
      <c r="C1263" s="22" t="str">
        <f>C1238</f>
        <v>Nitrogen</v>
      </c>
      <c r="D1263" s="22" t="s">
        <v>1367</v>
      </c>
      <c r="E1263" s="22" t="s">
        <v>731</v>
      </c>
      <c r="F1263" s="22" t="s">
        <v>1353</v>
      </c>
      <c r="G1263" s="487" t="str">
        <f t="shared" si="108"/>
        <v>NitrogenAmericasEnergy cost including feedstock energy cost</v>
      </c>
      <c r="H1263" s="496">
        <v>8.0711805987487466</v>
      </c>
      <c r="I1263" s="496">
        <v>7.9040377134339765</v>
      </c>
      <c r="J1263" s="496">
        <v>7.7368948281191798</v>
      </c>
      <c r="K1263" s="496">
        <v>7.3188239421071319</v>
      </c>
      <c r="L1263" s="496">
        <v>6.9110271327971944</v>
      </c>
      <c r="M1263" s="496">
        <v>6.5135044001893023</v>
      </c>
      <c r="N1263" s="496">
        <v>6.1262557442835499</v>
      </c>
      <c r="O1263" s="496">
        <v>5.7492811650796991</v>
      </c>
      <c r="P1263" s="496">
        <v>5.6256778556741667</v>
      </c>
      <c r="Q1263" s="496">
        <v>5.5020745462686138</v>
      </c>
      <c r="R1263" s="496">
        <v>5.3784712368630609</v>
      </c>
      <c r="S1263" s="496">
        <v>5.2548679274575081</v>
      </c>
      <c r="T1263" s="496">
        <v>5.131264618051933</v>
      </c>
      <c r="U1263" s="496">
        <v>5.0310687350843182</v>
      </c>
      <c r="V1263" s="496">
        <v>4.9308728521167042</v>
      </c>
      <c r="W1263" s="496">
        <v>4.8306769691490672</v>
      </c>
      <c r="X1263" s="496">
        <v>4.7304810861814532</v>
      </c>
      <c r="Y1263" s="496">
        <v>4.6302852032138277</v>
      </c>
      <c r="Z1263" s="496">
        <v>4.5899194709759286</v>
      </c>
      <c r="AA1263" s="496">
        <v>4.5495537387380294</v>
      </c>
      <c r="AB1263" s="496">
        <v>4.5091880065001417</v>
      </c>
      <c r="AC1263" s="496">
        <v>4.4688222742622434</v>
      </c>
      <c r="AD1263" s="496">
        <v>4.4284565420243442</v>
      </c>
      <c r="AE1263" s="496">
        <v>4.3980034541586406</v>
      </c>
      <c r="AF1263" s="496">
        <v>4.3675503662929485</v>
      </c>
      <c r="AG1263" s="496">
        <v>4.3370972784272572</v>
      </c>
      <c r="AH1263" s="496">
        <v>4.3066441905615651</v>
      </c>
      <c r="AI1263" s="496">
        <v>4.276191102695873</v>
      </c>
      <c r="AK1263" s="502" t="e">
        <f>H1245+H1248+H1252+H1263+#REF!=H1240</f>
        <v>#REF!</v>
      </c>
      <c r="AL1263" s="106" t="e">
        <f>I1245+I1248+I1252+I1263+#REF!=I1240</f>
        <v>#REF!</v>
      </c>
      <c r="AM1263" s="106" t="e">
        <f>J1245+J1248+J1252+J1263+#REF!=J1240</f>
        <v>#REF!</v>
      </c>
      <c r="AN1263" s="106" t="e">
        <f>K1245+K1248+K1252+K1263+#REF!=K1240</f>
        <v>#REF!</v>
      </c>
      <c r="AO1263" s="106" t="e">
        <f>L1245+L1248+L1252+L1263+#REF!=L1240</f>
        <v>#REF!</v>
      </c>
      <c r="AP1263" s="106" t="e">
        <f>M1245+M1248+M1252+M1263+#REF!=M1240</f>
        <v>#REF!</v>
      </c>
      <c r="AQ1263" s="106" t="e">
        <f>N1245+N1248+N1252+N1263+#REF!=N1240</f>
        <v>#REF!</v>
      </c>
      <c r="AR1263" s="106" t="e">
        <f>O1245+O1248+O1252+O1263+#REF!=O1240</f>
        <v>#REF!</v>
      </c>
      <c r="AS1263" s="106" t="e">
        <f>P1245+P1248+P1252+P1263+#REF!=P1240</f>
        <v>#REF!</v>
      </c>
      <c r="AT1263" s="106" t="e">
        <f>Q1245+Q1248+Q1252+Q1263+#REF!=Q1240</f>
        <v>#REF!</v>
      </c>
      <c r="AU1263" s="106" t="e">
        <f>R1245+R1248+R1252+R1263+#REF!=R1240</f>
        <v>#REF!</v>
      </c>
      <c r="AV1263" s="106" t="e">
        <f>S1245+S1248+S1252+S1263+#REF!=S1240</f>
        <v>#REF!</v>
      </c>
      <c r="AW1263" s="106" t="e">
        <f>T1245+T1248+T1252+T1263+#REF!=T1240</f>
        <v>#REF!</v>
      </c>
      <c r="AX1263" s="106" t="e">
        <f>U1245+U1248+U1252+U1263+#REF!=U1240</f>
        <v>#REF!</v>
      </c>
      <c r="AY1263" s="106" t="e">
        <f>V1245+V1248+V1252+V1263+#REF!=V1240</f>
        <v>#REF!</v>
      </c>
      <c r="AZ1263" s="106" t="e">
        <f>W1245+W1248+W1252+W1263+#REF!=W1240</f>
        <v>#REF!</v>
      </c>
      <c r="BA1263" s="106" t="e">
        <f>X1245+X1248+X1252+X1263+#REF!=X1240</f>
        <v>#REF!</v>
      </c>
      <c r="BB1263" s="106" t="e">
        <f>Y1245+Y1248+Y1252+Y1263+#REF!=Y1240</f>
        <v>#REF!</v>
      </c>
      <c r="BC1263" s="106" t="e">
        <f>Z1245+Z1248+Z1252+Z1263+#REF!=Z1240</f>
        <v>#REF!</v>
      </c>
      <c r="BD1263" s="106" t="e">
        <f>AA1245+AA1248+AA1252+AA1263+#REF!=AA1240</f>
        <v>#REF!</v>
      </c>
      <c r="BE1263" s="106" t="e">
        <f>AB1245+AB1248+AB1252+AB1263+#REF!=AB1240</f>
        <v>#REF!</v>
      </c>
      <c r="BF1263" s="106" t="e">
        <f>AC1245+AC1248+AC1252+AC1263+#REF!=AC1240</f>
        <v>#REF!</v>
      </c>
      <c r="BG1263" s="106" t="e">
        <f>AD1245+AD1248+AD1252+AD1263+#REF!=AD1240</f>
        <v>#REF!</v>
      </c>
      <c r="BH1263" s="106" t="e">
        <f>AE1245+AE1248+AE1252+AE1263+#REF!=AE1240</f>
        <v>#REF!</v>
      </c>
      <c r="BI1263" s="106" t="e">
        <f>AF1245+AF1248+AF1252+AF1263+#REF!=AF1240</f>
        <v>#REF!</v>
      </c>
      <c r="BJ1263" s="106" t="e">
        <f>AG1245+AG1248+AG1252+AG1263+#REF!=AG1240</f>
        <v>#REF!</v>
      </c>
      <c r="BK1263" s="106" t="e">
        <f>AH1245+AH1248+AH1252+AH1263+#REF!=AH1240</f>
        <v>#REF!</v>
      </c>
      <c r="BL1263" s="503" t="e">
        <f>AI1245+AI1248+AI1252+AI1263+#REF!=AI1240</f>
        <v>#REF!</v>
      </c>
    </row>
    <row r="1264" spans="2:64" ht="15" outlineLevel="1">
      <c r="B1264" t="str">
        <f t="shared" si="114"/>
        <v>Nitrogen - Energy cost including feedstock energy cost - Asia - USD/ton fuel</v>
      </c>
      <c r="C1264" s="22" t="str">
        <f>C1238</f>
        <v>Nitrogen</v>
      </c>
      <c r="D1264" s="22" t="s">
        <v>1367</v>
      </c>
      <c r="E1264" s="22" t="s">
        <v>750</v>
      </c>
      <c r="F1264" s="22" t="s">
        <v>1353</v>
      </c>
      <c r="G1264" s="487" t="str">
        <f t="shared" si="108"/>
        <v>NitrogenAsiaEnergy cost including feedstock energy cost</v>
      </c>
      <c r="H1264" s="496">
        <v>14.287152547758014</v>
      </c>
      <c r="I1264" s="496">
        <v>13.03167974610391</v>
      </c>
      <c r="J1264" s="496">
        <v>11.77620694445044</v>
      </c>
      <c r="K1264" s="496">
        <v>11.119954197792257</v>
      </c>
      <c r="L1264" s="496">
        <v>10.480077002731496</v>
      </c>
      <c r="M1264" s="496">
        <v>9.856575359267671</v>
      </c>
      <c r="N1264" s="496">
        <v>9.2494492674009816</v>
      </c>
      <c r="O1264" s="496">
        <v>8.6586987271315277</v>
      </c>
      <c r="P1264" s="496">
        <v>8.3804416132623381</v>
      </c>
      <c r="Q1264" s="496">
        <v>8.1021844993932071</v>
      </c>
      <c r="R1264" s="496">
        <v>7.8239273855241667</v>
      </c>
      <c r="S1264" s="496">
        <v>7.5456702716550357</v>
      </c>
      <c r="T1264" s="496">
        <v>7.2674131577859047</v>
      </c>
      <c r="U1264" s="496">
        <v>7.1259404995451412</v>
      </c>
      <c r="V1264" s="496">
        <v>6.9844678413043768</v>
      </c>
      <c r="W1264" s="496">
        <v>6.8429951830636586</v>
      </c>
      <c r="X1264" s="496">
        <v>6.7015225248228951</v>
      </c>
      <c r="Y1264" s="496">
        <v>6.5600498665822222</v>
      </c>
      <c r="Z1264" s="496">
        <v>6.4119664588195064</v>
      </c>
      <c r="AA1264" s="496">
        <v>6.2638830510568368</v>
      </c>
      <c r="AB1264" s="496">
        <v>6.115799643294122</v>
      </c>
      <c r="AC1264" s="496">
        <v>5.9677162355314524</v>
      </c>
      <c r="AD1264" s="496">
        <v>5.8196328277687375</v>
      </c>
      <c r="AE1264" s="496">
        <v>5.751723739774639</v>
      </c>
      <c r="AF1264" s="496">
        <v>5.6838146517805175</v>
      </c>
      <c r="AG1264" s="496">
        <v>5.615905563786419</v>
      </c>
      <c r="AH1264" s="496">
        <v>5.5479964757923206</v>
      </c>
      <c r="AI1264" s="496">
        <v>5.480087387798199</v>
      </c>
      <c r="AK1264" s="502" t="e">
        <f>H1245+H1248+H1253+H1264+#REF!=H1241</f>
        <v>#REF!</v>
      </c>
      <c r="AL1264" s="106" t="e">
        <f>I1245+I1248+I1253+I1264+#REF!=I1241</f>
        <v>#REF!</v>
      </c>
      <c r="AM1264" s="106" t="e">
        <f>J1245+J1248+J1253+J1264+#REF!=J1241</f>
        <v>#REF!</v>
      </c>
      <c r="AN1264" s="106" t="e">
        <f>K1245+K1248+K1253+K1264+#REF!=K1241</f>
        <v>#REF!</v>
      </c>
      <c r="AO1264" s="106" t="e">
        <f>L1245+L1248+L1253+L1264+#REF!=L1241</f>
        <v>#REF!</v>
      </c>
      <c r="AP1264" s="106" t="e">
        <f>M1245+M1248+M1253+M1264+#REF!=M1241</f>
        <v>#REF!</v>
      </c>
      <c r="AQ1264" s="106" t="e">
        <f>N1245+N1248+N1253+N1264+#REF!=N1241</f>
        <v>#REF!</v>
      </c>
      <c r="AR1264" s="106" t="e">
        <f>O1245+O1248+O1253+O1264+#REF!=O1241</f>
        <v>#REF!</v>
      </c>
      <c r="AS1264" s="106" t="e">
        <f>P1245+P1248+P1253+P1264+#REF!=P1241</f>
        <v>#REF!</v>
      </c>
      <c r="AT1264" s="106" t="e">
        <f>Q1245+Q1248+Q1253+Q1264+#REF!=Q1241</f>
        <v>#REF!</v>
      </c>
      <c r="AU1264" s="106" t="e">
        <f>R1245+R1248+R1253+R1264+#REF!=R1241</f>
        <v>#REF!</v>
      </c>
      <c r="AV1264" s="106" t="e">
        <f>S1245+S1248+S1253+S1264+#REF!=S1241</f>
        <v>#REF!</v>
      </c>
      <c r="AW1264" s="106" t="e">
        <f>T1245+T1248+T1253+T1264+#REF!=T1241</f>
        <v>#REF!</v>
      </c>
      <c r="AX1264" s="106" t="e">
        <f>U1245+U1248+U1253+U1264+#REF!=U1241</f>
        <v>#REF!</v>
      </c>
      <c r="AY1264" s="106" t="e">
        <f>V1245+V1248+V1253+V1264+#REF!=V1241</f>
        <v>#REF!</v>
      </c>
      <c r="AZ1264" s="106" t="e">
        <f>W1245+W1248+W1253+W1264+#REF!=W1241</f>
        <v>#REF!</v>
      </c>
      <c r="BA1264" s="106" t="e">
        <f>X1245+X1248+X1253+X1264+#REF!=X1241</f>
        <v>#REF!</v>
      </c>
      <c r="BB1264" s="106" t="e">
        <f>Y1245+Y1248+Y1253+Y1264+#REF!=Y1241</f>
        <v>#REF!</v>
      </c>
      <c r="BC1264" s="106" t="e">
        <f>Z1245+Z1248+Z1253+Z1264+#REF!=Z1241</f>
        <v>#REF!</v>
      </c>
      <c r="BD1264" s="106" t="e">
        <f>AA1245+AA1248+AA1253+AA1264+#REF!=AA1241</f>
        <v>#REF!</v>
      </c>
      <c r="BE1264" s="106" t="e">
        <f>AB1245+AB1248+AB1253+AB1264+#REF!=AB1241</f>
        <v>#REF!</v>
      </c>
      <c r="BF1264" s="106" t="e">
        <f>AC1245+AC1248+AC1253+AC1264+#REF!=AC1241</f>
        <v>#REF!</v>
      </c>
      <c r="BG1264" s="106" t="e">
        <f>AD1245+AD1248+AD1253+AD1264+#REF!=AD1241</f>
        <v>#REF!</v>
      </c>
      <c r="BH1264" s="106" t="e">
        <f>AE1245+AE1248+AE1253+AE1264+#REF!=AE1241</f>
        <v>#REF!</v>
      </c>
      <c r="BI1264" s="106" t="e">
        <f>AF1245+AF1248+AF1253+AF1264+#REF!=AF1241</f>
        <v>#REF!</v>
      </c>
      <c r="BJ1264" s="106" t="e">
        <f>AG1245+AG1248+AG1253+AG1264+#REF!=AG1241</f>
        <v>#REF!</v>
      </c>
      <c r="BK1264" s="106" t="e">
        <f>AH1245+AH1248+AH1253+AH1264+#REF!=AH1241</f>
        <v>#REF!</v>
      </c>
      <c r="BL1264" s="503" t="e">
        <f>AI1245+AI1248+AI1253+AI1264+#REF!=AI1241</f>
        <v>#REF!</v>
      </c>
    </row>
    <row r="1265" spans="2:64" ht="15" outlineLevel="1">
      <c r="B1265" t="str">
        <f t="shared" si="114"/>
        <v>Nitrogen - Energy cost including feedstock energy cost - Europe - USD/ton fuel</v>
      </c>
      <c r="C1265" s="22" t="str">
        <f>C1238</f>
        <v>Nitrogen</v>
      </c>
      <c r="D1265" s="22" t="s">
        <v>1367</v>
      </c>
      <c r="E1265" s="22" t="s">
        <v>720</v>
      </c>
      <c r="F1265" s="22" t="s">
        <v>1353</v>
      </c>
      <c r="G1265" s="487" t="str">
        <f t="shared" si="108"/>
        <v>NitrogenEuropeEnergy cost including feedstock energy cost</v>
      </c>
      <c r="H1265" s="496">
        <v>10.636011178706594</v>
      </c>
      <c r="I1265" s="496">
        <v>10.177603566500183</v>
      </c>
      <c r="J1265" s="496">
        <v>9.7191959542938005</v>
      </c>
      <c r="K1265" s="496">
        <v>9.178821654708452</v>
      </c>
      <c r="L1265" s="496">
        <v>8.6519163049701522</v>
      </c>
      <c r="M1265" s="496">
        <v>8.1384799050790164</v>
      </c>
      <c r="N1265" s="496">
        <v>7.6385124550348573</v>
      </c>
      <c r="O1265" s="496">
        <v>7.1520139548377957</v>
      </c>
      <c r="P1265" s="496">
        <v>7.012105307969887</v>
      </c>
      <c r="Q1265" s="496">
        <v>6.8721966611020893</v>
      </c>
      <c r="R1265" s="496">
        <v>6.7322880142342463</v>
      </c>
      <c r="S1265" s="496">
        <v>6.5923793673664024</v>
      </c>
      <c r="T1265" s="496">
        <v>6.4524707204986047</v>
      </c>
      <c r="U1265" s="496">
        <v>6.3689381471233446</v>
      </c>
      <c r="V1265" s="496">
        <v>6.2854055737481076</v>
      </c>
      <c r="W1265" s="496">
        <v>6.2018730003728706</v>
      </c>
      <c r="X1265" s="496">
        <v>6.1183404269976336</v>
      </c>
      <c r="Y1265" s="496">
        <v>6.0348078536223513</v>
      </c>
      <c r="Z1265" s="496">
        <v>5.9454430810320904</v>
      </c>
      <c r="AA1265" s="496">
        <v>5.8560783084418064</v>
      </c>
      <c r="AB1265" s="496">
        <v>5.7667135358515456</v>
      </c>
      <c r="AC1265" s="496">
        <v>5.6773487632612616</v>
      </c>
      <c r="AD1265" s="496">
        <v>5.5879839906710007</v>
      </c>
      <c r="AE1265" s="496">
        <v>5.5227816121863729</v>
      </c>
      <c r="AF1265" s="496">
        <v>5.4575792337017219</v>
      </c>
      <c r="AG1265" s="496">
        <v>5.3923768552170941</v>
      </c>
      <c r="AH1265" s="496">
        <v>5.3271744767324662</v>
      </c>
      <c r="AI1265" s="496">
        <v>5.2619720982478162</v>
      </c>
      <c r="AK1265" s="502" t="e">
        <f>H1245+H1248+H1254+H1265+#REF!=H1242</f>
        <v>#REF!</v>
      </c>
      <c r="AL1265" s="106" t="e">
        <f>I1245+I1248+I1254+I1265+#REF!=I1242</f>
        <v>#REF!</v>
      </c>
      <c r="AM1265" s="106" t="e">
        <f>J1245+J1248+J1254+J1265+#REF!=J1242</f>
        <v>#REF!</v>
      </c>
      <c r="AN1265" s="106" t="e">
        <f>K1245+K1248+K1254+K1265+#REF!=K1242</f>
        <v>#REF!</v>
      </c>
      <c r="AO1265" s="106" t="e">
        <f>L1245+L1248+L1254+L1265+#REF!=L1242</f>
        <v>#REF!</v>
      </c>
      <c r="AP1265" s="106" t="e">
        <f>M1245+M1248+M1254+M1265+#REF!=M1242</f>
        <v>#REF!</v>
      </c>
      <c r="AQ1265" s="106" t="e">
        <f>N1245+N1248+N1254+N1265+#REF!=N1242</f>
        <v>#REF!</v>
      </c>
      <c r="AR1265" s="106" t="e">
        <f>O1245+O1248+O1254+O1265+#REF!=O1242</f>
        <v>#REF!</v>
      </c>
      <c r="AS1265" s="106" t="e">
        <f>P1245+P1248+P1254+P1265+#REF!=P1242</f>
        <v>#REF!</v>
      </c>
      <c r="AT1265" s="106" t="e">
        <f>Q1245+Q1248+Q1254+Q1265+#REF!=Q1242</f>
        <v>#REF!</v>
      </c>
      <c r="AU1265" s="106" t="e">
        <f>R1245+R1248+R1254+R1265+#REF!=R1242</f>
        <v>#REF!</v>
      </c>
      <c r="AV1265" s="106" t="e">
        <f>S1245+S1248+S1254+S1265+#REF!=S1242</f>
        <v>#REF!</v>
      </c>
      <c r="AW1265" s="106" t="e">
        <f>T1245+T1248+T1254+T1265+#REF!=T1242</f>
        <v>#REF!</v>
      </c>
      <c r="AX1265" s="106" t="e">
        <f>U1245+U1248+U1254+U1265+#REF!=U1242</f>
        <v>#REF!</v>
      </c>
      <c r="AY1265" s="106" t="e">
        <f>V1245+V1248+V1254+V1265+#REF!=V1242</f>
        <v>#REF!</v>
      </c>
      <c r="AZ1265" s="106" t="e">
        <f>W1245+W1248+W1254+W1265+#REF!=W1242</f>
        <v>#REF!</v>
      </c>
      <c r="BA1265" s="106" t="e">
        <f>X1245+X1248+X1254+X1265+#REF!=X1242</f>
        <v>#REF!</v>
      </c>
      <c r="BB1265" s="106" t="e">
        <f>Y1245+Y1248+Y1254+Y1265+#REF!=Y1242</f>
        <v>#REF!</v>
      </c>
      <c r="BC1265" s="106" t="e">
        <f>Z1245+Z1248+Z1254+Z1265+#REF!=Z1242</f>
        <v>#REF!</v>
      </c>
      <c r="BD1265" s="106" t="e">
        <f>AA1245+AA1248+AA1254+AA1265+#REF!=AA1242</f>
        <v>#REF!</v>
      </c>
      <c r="BE1265" s="106" t="e">
        <f>AB1245+AB1248+AB1254+AB1265+#REF!=AB1242</f>
        <v>#REF!</v>
      </c>
      <c r="BF1265" s="106" t="e">
        <f>AC1245+AC1248+AC1254+AC1265+#REF!=AC1242</f>
        <v>#REF!</v>
      </c>
      <c r="BG1265" s="106" t="e">
        <f>AD1245+AD1248+AD1254+AD1265+#REF!=AD1242</f>
        <v>#REF!</v>
      </c>
      <c r="BH1265" s="106" t="e">
        <f>AE1245+AE1248+AE1254+AE1265+#REF!=AE1242</f>
        <v>#REF!</v>
      </c>
      <c r="BI1265" s="106" t="e">
        <f>AF1245+AF1248+AF1254+AF1265+#REF!=AF1242</f>
        <v>#REF!</v>
      </c>
      <c r="BJ1265" s="106" t="e">
        <f>AG1245+AG1248+AG1254+AG1265+#REF!=AG1242</f>
        <v>#REF!</v>
      </c>
      <c r="BK1265" s="106" t="e">
        <f>AH1245+AH1248+AH1254+AH1265+#REF!=AH1242</f>
        <v>#REF!</v>
      </c>
      <c r="BL1265" s="503" t="e">
        <f>AI1245+AI1248+AI1254+AI1265+#REF!=AI1242</f>
        <v>#REF!</v>
      </c>
    </row>
    <row r="1266" spans="2:64" ht="15.75" outlineLevel="1" thickBot="1">
      <c r="B1266" t="str">
        <f t="shared" si="114"/>
        <v>Nitrogen - Energy cost including feedstock energy cost - Middle East - USD/ton fuel</v>
      </c>
      <c r="C1266" s="92" t="str">
        <f>C1238</f>
        <v>Nitrogen</v>
      </c>
      <c r="D1266" s="92" t="s">
        <v>1367</v>
      </c>
      <c r="E1266" s="92" t="s">
        <v>826</v>
      </c>
      <c r="F1266" s="92" t="s">
        <v>1353</v>
      </c>
      <c r="G1266" s="487" t="str">
        <f t="shared" si="108"/>
        <v>NitrogenMiddle EastEnergy cost including feedstock energy cost</v>
      </c>
      <c r="H1266" s="497">
        <v>8.1444696680960718</v>
      </c>
      <c r="I1266" s="497">
        <v>7.7850746380955025</v>
      </c>
      <c r="J1266" s="497">
        <v>7.4256796080948551</v>
      </c>
      <c r="K1266" s="497">
        <v>7.0570412194724659</v>
      </c>
      <c r="L1266" s="497">
        <v>6.6970556468542668</v>
      </c>
      <c r="M1266" s="497">
        <v>6.3457228902401965</v>
      </c>
      <c r="N1266" s="497">
        <v>6.0030429496302569</v>
      </c>
      <c r="O1266" s="497">
        <v>5.6690158250243963</v>
      </c>
      <c r="P1266" s="497">
        <v>5.5164850150726581</v>
      </c>
      <c r="Q1266" s="497">
        <v>5.3639542051209448</v>
      </c>
      <c r="R1266" s="497">
        <v>5.2114233951691862</v>
      </c>
      <c r="S1266" s="497">
        <v>5.0588925852174729</v>
      </c>
      <c r="T1266" s="497">
        <v>4.9063617752657596</v>
      </c>
      <c r="U1266" s="497">
        <v>4.8298844310212417</v>
      </c>
      <c r="V1266" s="497">
        <v>4.7534070867767246</v>
      </c>
      <c r="W1266" s="497">
        <v>4.6769297425322298</v>
      </c>
      <c r="X1266" s="497">
        <v>4.6004523982877119</v>
      </c>
      <c r="Y1266" s="497">
        <v>4.523975054043194</v>
      </c>
      <c r="Z1266" s="497">
        <v>4.4236829663340131</v>
      </c>
      <c r="AA1266" s="497">
        <v>4.3233908786248554</v>
      </c>
      <c r="AB1266" s="497">
        <v>4.2230987909156736</v>
      </c>
      <c r="AC1266" s="497">
        <v>4.1228067032065159</v>
      </c>
      <c r="AD1266" s="497">
        <v>4.0225146154973235</v>
      </c>
      <c r="AE1266" s="497">
        <v>3.9755747722656114</v>
      </c>
      <c r="AF1266" s="497">
        <v>3.9286349290339104</v>
      </c>
      <c r="AG1266" s="497">
        <v>3.8816950858021984</v>
      </c>
      <c r="AH1266" s="497">
        <v>3.8347552425704863</v>
      </c>
      <c r="AI1266" s="497">
        <v>3.7878153993387857</v>
      </c>
      <c r="AK1266" s="504" t="e">
        <f>H1245+H1248+H1255+H1266+#REF!=H1243</f>
        <v>#REF!</v>
      </c>
      <c r="AL1266" s="505" t="e">
        <f>I1245+I1248+I1255+I1266+#REF!=I1243</f>
        <v>#REF!</v>
      </c>
      <c r="AM1266" s="505" t="e">
        <f>J1245+J1248+J1255+J1266+#REF!=J1243</f>
        <v>#REF!</v>
      </c>
      <c r="AN1266" s="505" t="e">
        <f>K1245+K1248+K1255+K1266+#REF!=K1243</f>
        <v>#REF!</v>
      </c>
      <c r="AO1266" s="505" t="e">
        <f>L1245+L1248+L1255+L1266+#REF!=L1243</f>
        <v>#REF!</v>
      </c>
      <c r="AP1266" s="505" t="e">
        <f>M1245+M1248+M1255+M1266+#REF!=M1243</f>
        <v>#REF!</v>
      </c>
      <c r="AQ1266" s="505" t="e">
        <f>N1245+N1248+N1255+N1266+#REF!=N1243</f>
        <v>#REF!</v>
      </c>
      <c r="AR1266" s="505" t="e">
        <f>O1245+O1248+O1255+O1266+#REF!=O1243</f>
        <v>#REF!</v>
      </c>
      <c r="AS1266" s="505" t="e">
        <f>P1245+P1248+P1255+P1266+#REF!=P1243</f>
        <v>#REF!</v>
      </c>
      <c r="AT1266" s="505" t="e">
        <f>Q1245+Q1248+Q1255+Q1266+#REF!=Q1243</f>
        <v>#REF!</v>
      </c>
      <c r="AU1266" s="505" t="e">
        <f>R1245+R1248+R1255+R1266+#REF!=R1243</f>
        <v>#REF!</v>
      </c>
      <c r="AV1266" s="505" t="e">
        <f>S1245+S1248+S1255+S1266+#REF!=S1243</f>
        <v>#REF!</v>
      </c>
      <c r="AW1266" s="505" t="e">
        <f>T1245+T1248+T1255+T1266+#REF!=T1243</f>
        <v>#REF!</v>
      </c>
      <c r="AX1266" s="505" t="e">
        <f>U1245+U1248+U1255+U1266+#REF!=U1243</f>
        <v>#REF!</v>
      </c>
      <c r="AY1266" s="505" t="e">
        <f>V1245+V1248+V1255+V1266+#REF!=V1243</f>
        <v>#REF!</v>
      </c>
      <c r="AZ1266" s="505" t="e">
        <f>W1245+W1248+W1255+W1266+#REF!=W1243</f>
        <v>#REF!</v>
      </c>
      <c r="BA1266" s="505" t="e">
        <f>X1245+X1248+X1255+X1266+#REF!=X1243</f>
        <v>#REF!</v>
      </c>
      <c r="BB1266" s="505" t="e">
        <f>Y1245+Y1248+Y1255+Y1266+#REF!=Y1243</f>
        <v>#REF!</v>
      </c>
      <c r="BC1266" s="505" t="e">
        <f>Z1245+Z1248+Z1255+Z1266+#REF!=Z1243</f>
        <v>#REF!</v>
      </c>
      <c r="BD1266" s="505" t="e">
        <f>AA1245+AA1248+AA1255+AA1266+#REF!=AA1243</f>
        <v>#REF!</v>
      </c>
      <c r="BE1266" s="505" t="e">
        <f>AB1245+AB1248+AB1255+AB1266+#REF!=AB1243</f>
        <v>#REF!</v>
      </c>
      <c r="BF1266" s="505" t="e">
        <f>AC1245+AC1248+AC1255+AC1266+#REF!=AC1243</f>
        <v>#REF!</v>
      </c>
      <c r="BG1266" s="505" t="e">
        <f>AD1245+AD1248+AD1255+AD1266+#REF!=AD1243</f>
        <v>#REF!</v>
      </c>
      <c r="BH1266" s="505" t="e">
        <f>AE1245+AE1248+AE1255+AE1266+#REF!=AE1243</f>
        <v>#REF!</v>
      </c>
      <c r="BI1266" s="505" t="e">
        <f>AF1245+AF1248+AF1255+AF1266+#REF!=AF1243</f>
        <v>#REF!</v>
      </c>
      <c r="BJ1266" s="505" t="e">
        <f>AG1245+AG1248+AG1255+AG1266+#REF!=AG1243</f>
        <v>#REF!</v>
      </c>
      <c r="BK1266" s="505" t="e">
        <f>AH1245+AH1248+AH1255+AH1266+#REF!=AH1243</f>
        <v>#REF!</v>
      </c>
      <c r="BL1266" s="506" t="e">
        <f>AI1245+AI1248+AI1255+AI1266+#REF!=AI1243</f>
        <v>#REF!</v>
      </c>
    </row>
    <row r="1267" spans="2:64" outlineLevel="1">
      <c r="B1267" t="str">
        <f t="shared" si="114"/>
        <v>Nitrogen - Energy cost - Africa - USD/ton fuel</v>
      </c>
      <c r="C1267" t="str">
        <f>C1238</f>
        <v>Nitrogen</v>
      </c>
      <c r="D1267" t="s">
        <v>1368</v>
      </c>
      <c r="E1267" t="s">
        <v>838</v>
      </c>
      <c r="F1267" t="s">
        <v>1353</v>
      </c>
      <c r="G1267" s="487" t="str">
        <f t="shared" si="108"/>
        <v>NitrogenAfricaEnergy cost</v>
      </c>
      <c r="H1267" s="493">
        <v>12.845757524713116</v>
      </c>
      <c r="I1267" s="493">
        <v>11.337325174045109</v>
      </c>
      <c r="J1267" s="493">
        <v>9.8288928233767283</v>
      </c>
      <c r="K1267" s="493">
        <v>9.2373317319683625</v>
      </c>
      <c r="L1267" s="493">
        <v>8.6610615275661882</v>
      </c>
      <c r="M1267" s="493">
        <v>8.1000822101701271</v>
      </c>
      <c r="N1267" s="493">
        <v>7.554393779780086</v>
      </c>
      <c r="O1267" s="493">
        <v>7.0239962363961901</v>
      </c>
      <c r="P1267" s="493">
        <v>6.8106114196853929</v>
      </c>
      <c r="Q1267" s="493">
        <v>6.5972266029745699</v>
      </c>
      <c r="R1267" s="493">
        <v>6.3838417862636563</v>
      </c>
      <c r="S1267" s="493">
        <v>6.1704569695528342</v>
      </c>
      <c r="T1267" s="493">
        <v>5.9570721528420343</v>
      </c>
      <c r="U1267" s="493">
        <v>5.8566354259806079</v>
      </c>
      <c r="V1267" s="493">
        <v>5.7561986991192047</v>
      </c>
      <c r="W1267" s="493">
        <v>5.6557619722577783</v>
      </c>
      <c r="X1267" s="493">
        <v>5.5553252453963529</v>
      </c>
      <c r="Y1267" s="493">
        <v>5.4548885185349718</v>
      </c>
      <c r="Z1267" s="493">
        <v>5.3516123298692495</v>
      </c>
      <c r="AA1267" s="493">
        <v>5.2483361412035272</v>
      </c>
      <c r="AB1267" s="493">
        <v>5.1450599525377587</v>
      </c>
      <c r="AC1267" s="493">
        <v>5.0417837638720364</v>
      </c>
      <c r="AD1267" s="493">
        <v>4.938507575206291</v>
      </c>
      <c r="AE1267" s="493">
        <v>4.8878168559212787</v>
      </c>
      <c r="AF1267" s="493">
        <v>4.8371261366362894</v>
      </c>
      <c r="AG1267" s="493">
        <v>4.7864354173512771</v>
      </c>
      <c r="AH1267" s="493">
        <v>4.7357446980662647</v>
      </c>
      <c r="AI1267" s="493">
        <v>4.6850539787812755</v>
      </c>
    </row>
    <row r="1268" spans="2:64" outlineLevel="1">
      <c r="B1268" t="str">
        <f t="shared" si="114"/>
        <v>Nitrogen - Energy cost - Americas - USD/ton fuel</v>
      </c>
      <c r="C1268" t="str">
        <f>C1238</f>
        <v>Nitrogen</v>
      </c>
      <c r="D1268" t="s">
        <v>1368</v>
      </c>
      <c r="E1268" t="s">
        <v>731</v>
      </c>
      <c r="F1268" t="s">
        <v>1353</v>
      </c>
      <c r="G1268" s="487" t="str">
        <f t="shared" si="108"/>
        <v>NitrogenAmericasEnergy cost</v>
      </c>
      <c r="H1268" s="493">
        <v>8.0711805987487466</v>
      </c>
      <c r="I1268" s="493">
        <v>7.9040377134339765</v>
      </c>
      <c r="J1268" s="493">
        <v>7.7368948281191798</v>
      </c>
      <c r="K1268" s="493">
        <v>7.3188239421071319</v>
      </c>
      <c r="L1268" s="493">
        <v>6.9110271327971944</v>
      </c>
      <c r="M1268" s="493">
        <v>6.5135044001893023</v>
      </c>
      <c r="N1268" s="493">
        <v>6.1262557442835499</v>
      </c>
      <c r="O1268" s="493">
        <v>5.7492811650796991</v>
      </c>
      <c r="P1268" s="493">
        <v>5.6256778556741667</v>
      </c>
      <c r="Q1268" s="493">
        <v>5.5020745462686138</v>
      </c>
      <c r="R1268" s="493">
        <v>5.3784712368630609</v>
      </c>
      <c r="S1268" s="493">
        <v>5.2548679274575081</v>
      </c>
      <c r="T1268" s="493">
        <v>5.131264618051933</v>
      </c>
      <c r="U1268" s="493">
        <v>5.0310687350843182</v>
      </c>
      <c r="V1268" s="493">
        <v>4.9308728521167042</v>
      </c>
      <c r="W1268" s="493">
        <v>4.8306769691490672</v>
      </c>
      <c r="X1268" s="493">
        <v>4.7304810861814532</v>
      </c>
      <c r="Y1268" s="493">
        <v>4.6302852032138277</v>
      </c>
      <c r="Z1268" s="493">
        <v>4.5899194709759286</v>
      </c>
      <c r="AA1268" s="493">
        <v>4.5495537387380294</v>
      </c>
      <c r="AB1268" s="493">
        <v>4.5091880065001417</v>
      </c>
      <c r="AC1268" s="493">
        <v>4.4688222742622434</v>
      </c>
      <c r="AD1268" s="493">
        <v>4.4284565420243442</v>
      </c>
      <c r="AE1268" s="493">
        <v>4.3980034541586406</v>
      </c>
      <c r="AF1268" s="493">
        <v>4.3675503662929485</v>
      </c>
      <c r="AG1268" s="493">
        <v>4.3370972784272572</v>
      </c>
      <c r="AH1268" s="493">
        <v>4.3066441905615651</v>
      </c>
      <c r="AI1268" s="493">
        <v>4.276191102695873</v>
      </c>
    </row>
    <row r="1269" spans="2:64" outlineLevel="1">
      <c r="B1269" t="str">
        <f t="shared" si="114"/>
        <v>Nitrogen - Energy cost - Asia - USD/ton fuel</v>
      </c>
      <c r="C1269" t="str">
        <f>C1238</f>
        <v>Nitrogen</v>
      </c>
      <c r="D1269" t="s">
        <v>1368</v>
      </c>
      <c r="E1269" t="s">
        <v>750</v>
      </c>
      <c r="F1269" t="s">
        <v>1353</v>
      </c>
      <c r="G1269" s="487" t="str">
        <f t="shared" si="108"/>
        <v>NitrogenAsiaEnergy cost</v>
      </c>
      <c r="H1269" s="493">
        <v>14.287152547758014</v>
      </c>
      <c r="I1269" s="493">
        <v>13.03167974610391</v>
      </c>
      <c r="J1269" s="493">
        <v>11.77620694445044</v>
      </c>
      <c r="K1269" s="493">
        <v>11.119954197792257</v>
      </c>
      <c r="L1269" s="493">
        <v>10.480077002731496</v>
      </c>
      <c r="M1269" s="493">
        <v>9.856575359267671</v>
      </c>
      <c r="N1269" s="493">
        <v>9.2494492674009816</v>
      </c>
      <c r="O1269" s="493">
        <v>8.6586987271315277</v>
      </c>
      <c r="P1269" s="493">
        <v>8.3804416132623381</v>
      </c>
      <c r="Q1269" s="493">
        <v>8.1021844993932071</v>
      </c>
      <c r="R1269" s="493">
        <v>7.8239273855241667</v>
      </c>
      <c r="S1269" s="493">
        <v>7.5456702716550357</v>
      </c>
      <c r="T1269" s="493">
        <v>7.2674131577859047</v>
      </c>
      <c r="U1269" s="493">
        <v>7.1259404995451412</v>
      </c>
      <c r="V1269" s="493">
        <v>6.9844678413043768</v>
      </c>
      <c r="W1269" s="493">
        <v>6.8429951830636586</v>
      </c>
      <c r="X1269" s="493">
        <v>6.7015225248228951</v>
      </c>
      <c r="Y1269" s="493">
        <v>6.5600498665822222</v>
      </c>
      <c r="Z1269" s="493">
        <v>6.4119664588195064</v>
      </c>
      <c r="AA1269" s="493">
        <v>6.2638830510568368</v>
      </c>
      <c r="AB1269" s="493">
        <v>6.115799643294122</v>
      </c>
      <c r="AC1269" s="493">
        <v>5.9677162355314524</v>
      </c>
      <c r="AD1269" s="493">
        <v>5.8196328277687375</v>
      </c>
      <c r="AE1269" s="493">
        <v>5.751723739774639</v>
      </c>
      <c r="AF1269" s="493">
        <v>5.6838146517805175</v>
      </c>
      <c r="AG1269" s="493">
        <v>5.615905563786419</v>
      </c>
      <c r="AH1269" s="493">
        <v>5.5479964757923206</v>
      </c>
      <c r="AI1269" s="493">
        <v>5.480087387798199</v>
      </c>
    </row>
    <row r="1270" spans="2:64" outlineLevel="1">
      <c r="B1270" t="str">
        <f t="shared" si="114"/>
        <v>Nitrogen - Energy cost - Europe - USD/ton fuel</v>
      </c>
      <c r="C1270" t="str">
        <f>C1238</f>
        <v>Nitrogen</v>
      </c>
      <c r="D1270" t="s">
        <v>1368</v>
      </c>
      <c r="E1270" t="s">
        <v>720</v>
      </c>
      <c r="F1270" t="s">
        <v>1353</v>
      </c>
      <c r="G1270" s="487" t="str">
        <f t="shared" si="108"/>
        <v>NitrogenEuropeEnergy cost</v>
      </c>
      <c r="H1270" s="493">
        <v>10.636011178706594</v>
      </c>
      <c r="I1270" s="493">
        <v>10.177603566500183</v>
      </c>
      <c r="J1270" s="493">
        <v>9.7191959542938005</v>
      </c>
      <c r="K1270" s="493">
        <v>9.178821654708452</v>
      </c>
      <c r="L1270" s="493">
        <v>8.6519163049701522</v>
      </c>
      <c r="M1270" s="493">
        <v>8.1384799050790164</v>
      </c>
      <c r="N1270" s="493">
        <v>7.6385124550348573</v>
      </c>
      <c r="O1270" s="493">
        <v>7.1520139548377957</v>
      </c>
      <c r="P1270" s="493">
        <v>7.012105307969887</v>
      </c>
      <c r="Q1270" s="493">
        <v>6.8721966611020893</v>
      </c>
      <c r="R1270" s="493">
        <v>6.7322880142342463</v>
      </c>
      <c r="S1270" s="493">
        <v>6.5923793673664024</v>
      </c>
      <c r="T1270" s="493">
        <v>6.4524707204986047</v>
      </c>
      <c r="U1270" s="493">
        <v>6.3689381471233446</v>
      </c>
      <c r="V1270" s="493">
        <v>6.2854055737481076</v>
      </c>
      <c r="W1270" s="493">
        <v>6.2018730003728706</v>
      </c>
      <c r="X1270" s="493">
        <v>6.1183404269976336</v>
      </c>
      <c r="Y1270" s="493">
        <v>6.0348078536223513</v>
      </c>
      <c r="Z1270" s="493">
        <v>5.9454430810320904</v>
      </c>
      <c r="AA1270" s="493">
        <v>5.8560783084418064</v>
      </c>
      <c r="AB1270" s="493">
        <v>5.7667135358515456</v>
      </c>
      <c r="AC1270" s="493">
        <v>5.6773487632612616</v>
      </c>
      <c r="AD1270" s="493">
        <v>5.5879839906710007</v>
      </c>
      <c r="AE1270" s="493">
        <v>5.5227816121863729</v>
      </c>
      <c r="AF1270" s="493">
        <v>5.4575792337017219</v>
      </c>
      <c r="AG1270" s="493">
        <v>5.3923768552170941</v>
      </c>
      <c r="AH1270" s="493">
        <v>5.3271744767324662</v>
      </c>
      <c r="AI1270" s="493">
        <v>5.2619720982478162</v>
      </c>
    </row>
    <row r="1271" spans="2:64" outlineLevel="1">
      <c r="B1271" t="str">
        <f t="shared" si="114"/>
        <v>Nitrogen - Energy cost - Middle East - USD/ton fuel</v>
      </c>
      <c r="C1271" t="str">
        <f>C1238</f>
        <v>Nitrogen</v>
      </c>
      <c r="D1271" t="s">
        <v>1368</v>
      </c>
      <c r="E1271" t="s">
        <v>826</v>
      </c>
      <c r="F1271" t="s">
        <v>1353</v>
      </c>
      <c r="G1271" s="487" t="str">
        <f t="shared" si="108"/>
        <v>NitrogenMiddle EastEnergy cost</v>
      </c>
      <c r="H1271" s="493">
        <v>8.1444696680960718</v>
      </c>
      <c r="I1271" s="493">
        <v>7.7850746380955025</v>
      </c>
      <c r="J1271" s="493">
        <v>7.4256796080948551</v>
      </c>
      <c r="K1271" s="493">
        <v>7.0570412194724659</v>
      </c>
      <c r="L1271" s="493">
        <v>6.6970556468542668</v>
      </c>
      <c r="M1271" s="493">
        <v>6.3457228902401965</v>
      </c>
      <c r="N1271" s="493">
        <v>6.0030429496302569</v>
      </c>
      <c r="O1271" s="493">
        <v>5.6690158250243963</v>
      </c>
      <c r="P1271" s="493">
        <v>5.5164850150726581</v>
      </c>
      <c r="Q1271" s="493">
        <v>5.3639542051209448</v>
      </c>
      <c r="R1271" s="493">
        <v>5.2114233951691862</v>
      </c>
      <c r="S1271" s="493">
        <v>5.0588925852174729</v>
      </c>
      <c r="T1271" s="493">
        <v>4.9063617752657596</v>
      </c>
      <c r="U1271" s="493">
        <v>4.8298844310212417</v>
      </c>
      <c r="V1271" s="493">
        <v>4.7534070867767246</v>
      </c>
      <c r="W1271" s="493">
        <v>4.6769297425322298</v>
      </c>
      <c r="X1271" s="493">
        <v>4.6004523982877119</v>
      </c>
      <c r="Y1271" s="493">
        <v>4.523975054043194</v>
      </c>
      <c r="Z1271" s="493">
        <v>4.4236829663340131</v>
      </c>
      <c r="AA1271" s="493">
        <v>4.3233908786248554</v>
      </c>
      <c r="AB1271" s="493">
        <v>4.2230987909156736</v>
      </c>
      <c r="AC1271" s="493">
        <v>4.1228067032065159</v>
      </c>
      <c r="AD1271" s="493">
        <v>4.0225146154973235</v>
      </c>
      <c r="AE1271" s="493">
        <v>3.9755747722656114</v>
      </c>
      <c r="AF1271" s="493">
        <v>3.9286349290339104</v>
      </c>
      <c r="AG1271" s="493">
        <v>3.8816950858021984</v>
      </c>
      <c r="AH1271" s="493">
        <v>3.8347552425704863</v>
      </c>
      <c r="AI1271" s="493">
        <v>3.7878153993387857</v>
      </c>
    </row>
    <row r="1272" spans="2:64" ht="15" outlineLevel="1" thickBot="1">
      <c r="B1272" t="str">
        <f t="shared" si="114"/>
        <v/>
      </c>
      <c r="G1272" s="487" t="str">
        <f t="shared" si="108"/>
        <v/>
      </c>
    </row>
    <row r="1273" spans="2:64" ht="15" outlineLevel="1">
      <c r="B1273" t="str">
        <f t="shared" si="114"/>
        <v>Nitrogen - Feedstock cost including feedstock feedstock cost - Global - USD/ton fuel</v>
      </c>
      <c r="C1273" s="491" t="str">
        <f>C1249</f>
        <v>Nitrogen</v>
      </c>
      <c r="D1273" s="491" t="s">
        <v>1369</v>
      </c>
      <c r="E1273" s="491" t="s">
        <v>708</v>
      </c>
      <c r="F1273" s="491" t="s">
        <v>1353</v>
      </c>
      <c r="G1273" s="487" t="str">
        <f t="shared" si="108"/>
        <v>NitrogenGlobalFeedstock cost including feedstock feedstock cost</v>
      </c>
      <c r="H1273" s="492">
        <v>0</v>
      </c>
      <c r="I1273" s="492">
        <v>0</v>
      </c>
      <c r="J1273" s="492">
        <v>0</v>
      </c>
      <c r="K1273" s="492">
        <v>0</v>
      </c>
      <c r="L1273" s="492">
        <v>0</v>
      </c>
      <c r="M1273" s="492">
        <v>0</v>
      </c>
      <c r="N1273" s="492">
        <v>0</v>
      </c>
      <c r="O1273" s="492">
        <v>0</v>
      </c>
      <c r="P1273" s="492">
        <v>0</v>
      </c>
      <c r="Q1273" s="492">
        <v>0</v>
      </c>
      <c r="R1273" s="492">
        <v>0</v>
      </c>
      <c r="S1273" s="492">
        <v>0</v>
      </c>
      <c r="T1273" s="492">
        <v>0</v>
      </c>
      <c r="U1273" s="492">
        <v>0</v>
      </c>
      <c r="V1273" s="492">
        <v>0</v>
      </c>
      <c r="W1273" s="492">
        <v>0</v>
      </c>
      <c r="X1273" s="492">
        <v>0</v>
      </c>
      <c r="Y1273" s="492">
        <v>0</v>
      </c>
      <c r="Z1273" s="492">
        <v>0</v>
      </c>
      <c r="AA1273" s="492">
        <v>0</v>
      </c>
      <c r="AB1273" s="492">
        <v>0</v>
      </c>
      <c r="AC1273" s="492">
        <v>0</v>
      </c>
      <c r="AD1273" s="492">
        <v>0</v>
      </c>
      <c r="AE1273" s="492">
        <v>0</v>
      </c>
      <c r="AF1273" s="492">
        <v>0</v>
      </c>
      <c r="AG1273" s="492">
        <v>0</v>
      </c>
      <c r="AH1273" s="492">
        <v>0</v>
      </c>
      <c r="AI1273" s="492">
        <v>0</v>
      </c>
      <c r="AK1273" s="499" t="b">
        <f t="shared" ref="AK1273:BL1273" si="115">H1256+H1259+H1262+H1273+H1543=H1250</f>
        <v>0</v>
      </c>
      <c r="AL1273" s="500" t="b">
        <f t="shared" si="115"/>
        <v>0</v>
      </c>
      <c r="AM1273" s="500" t="b">
        <f t="shared" si="115"/>
        <v>0</v>
      </c>
      <c r="AN1273" s="500" t="b">
        <f t="shared" si="115"/>
        <v>0</v>
      </c>
      <c r="AO1273" s="500" t="b">
        <f t="shared" si="115"/>
        <v>0</v>
      </c>
      <c r="AP1273" s="500" t="b">
        <f t="shared" si="115"/>
        <v>0</v>
      </c>
      <c r="AQ1273" s="500" t="b">
        <f t="shared" si="115"/>
        <v>0</v>
      </c>
      <c r="AR1273" s="500" t="b">
        <f t="shared" si="115"/>
        <v>0</v>
      </c>
      <c r="AS1273" s="500" t="b">
        <f t="shared" si="115"/>
        <v>0</v>
      </c>
      <c r="AT1273" s="500" t="b">
        <f t="shared" si="115"/>
        <v>0</v>
      </c>
      <c r="AU1273" s="500" t="b">
        <f t="shared" si="115"/>
        <v>0</v>
      </c>
      <c r="AV1273" s="500" t="b">
        <f t="shared" si="115"/>
        <v>0</v>
      </c>
      <c r="AW1273" s="500" t="b">
        <f t="shared" si="115"/>
        <v>0</v>
      </c>
      <c r="AX1273" s="500" t="b">
        <f t="shared" si="115"/>
        <v>0</v>
      </c>
      <c r="AY1273" s="500" t="b">
        <f t="shared" si="115"/>
        <v>0</v>
      </c>
      <c r="AZ1273" s="500" t="b">
        <f t="shared" si="115"/>
        <v>0</v>
      </c>
      <c r="BA1273" s="500" t="b">
        <f t="shared" si="115"/>
        <v>0</v>
      </c>
      <c r="BB1273" s="500" t="b">
        <f t="shared" si="115"/>
        <v>0</v>
      </c>
      <c r="BC1273" s="500" t="b">
        <f t="shared" si="115"/>
        <v>0</v>
      </c>
      <c r="BD1273" s="500" t="b">
        <f t="shared" si="115"/>
        <v>0</v>
      </c>
      <c r="BE1273" s="500" t="b">
        <f t="shared" si="115"/>
        <v>0</v>
      </c>
      <c r="BF1273" s="500" t="b">
        <f t="shared" si="115"/>
        <v>0</v>
      </c>
      <c r="BG1273" s="500" t="b">
        <f t="shared" si="115"/>
        <v>0</v>
      </c>
      <c r="BH1273" s="500" t="b">
        <f t="shared" si="115"/>
        <v>0</v>
      </c>
      <c r="BI1273" s="500" t="b">
        <f t="shared" si="115"/>
        <v>0</v>
      </c>
      <c r="BJ1273" s="500" t="b">
        <f t="shared" si="115"/>
        <v>0</v>
      </c>
      <c r="BK1273" s="500" t="b">
        <f t="shared" si="115"/>
        <v>0</v>
      </c>
      <c r="BL1273" s="501" t="b">
        <f t="shared" si="115"/>
        <v>0</v>
      </c>
    </row>
    <row r="1274" spans="2:64">
      <c r="G1274" s="487" t="str">
        <f t="shared" si="108"/>
        <v/>
      </c>
      <c r="H1274" s="508"/>
      <c r="I1274" s="508"/>
      <c r="J1274" s="508"/>
      <c r="K1274" s="508"/>
      <c r="L1274" s="508"/>
      <c r="M1274" s="508"/>
      <c r="N1274" s="508"/>
      <c r="O1274" s="508"/>
      <c r="P1274" s="508"/>
      <c r="Q1274" s="508"/>
      <c r="R1274" s="508"/>
      <c r="S1274" s="508"/>
      <c r="T1274" s="508"/>
      <c r="U1274" s="508"/>
      <c r="V1274" s="508"/>
      <c r="W1274" s="508"/>
      <c r="X1274" s="508"/>
      <c r="Y1274" s="508"/>
      <c r="Z1274" s="508"/>
      <c r="AA1274" s="508"/>
      <c r="AB1274" s="508"/>
      <c r="AC1274" s="508"/>
      <c r="AD1274" s="508"/>
      <c r="AE1274" s="508"/>
      <c r="AF1274" s="508"/>
      <c r="AG1274" s="508"/>
      <c r="AH1274" s="508"/>
      <c r="AI1274" s="508"/>
    </row>
    <row r="1275" spans="2:64" ht="15">
      <c r="B1275" t="str">
        <f t="shared" ref="B1275:B1319" si="116">_xlfn.TEXTJOIN(" - ",TRUE,C1275:F1275)</f>
        <v>LNG - Item - Region - Unit</v>
      </c>
      <c r="C1275" s="523" t="s">
        <v>805</v>
      </c>
      <c r="D1275" s="523" t="s">
        <v>877</v>
      </c>
      <c r="E1275" s="523" t="s">
        <v>171</v>
      </c>
      <c r="F1275" s="523" t="s">
        <v>111</v>
      </c>
      <c r="G1275" s="487" t="str">
        <f t="shared" si="108"/>
        <v>LNGRegionItem</v>
      </c>
      <c r="H1275" s="484">
        <v>2023</v>
      </c>
      <c r="I1275" s="484">
        <v>2024</v>
      </c>
      <c r="J1275" s="484">
        <v>2025</v>
      </c>
      <c r="K1275" s="484">
        <v>2026</v>
      </c>
      <c r="L1275" s="484">
        <v>2027</v>
      </c>
      <c r="M1275" s="484">
        <v>2028</v>
      </c>
      <c r="N1275" s="484">
        <v>2029</v>
      </c>
      <c r="O1275" s="484">
        <v>2030</v>
      </c>
      <c r="P1275" s="484">
        <v>2031</v>
      </c>
      <c r="Q1275" s="484">
        <v>2032</v>
      </c>
      <c r="R1275" s="484">
        <v>2033</v>
      </c>
      <c r="S1275" s="484">
        <v>2034</v>
      </c>
      <c r="T1275" s="484">
        <v>2035</v>
      </c>
      <c r="U1275" s="484">
        <v>2036</v>
      </c>
      <c r="V1275" s="484">
        <v>2037</v>
      </c>
      <c r="W1275" s="484">
        <v>2038</v>
      </c>
      <c r="X1275" s="484">
        <v>2039</v>
      </c>
      <c r="Y1275" s="484">
        <v>2040</v>
      </c>
      <c r="Z1275" s="484">
        <v>2041</v>
      </c>
      <c r="AA1275" s="484">
        <v>2042</v>
      </c>
      <c r="AB1275" s="484">
        <v>2043</v>
      </c>
      <c r="AC1275" s="484">
        <v>2044</v>
      </c>
      <c r="AD1275" s="484">
        <v>2045</v>
      </c>
      <c r="AE1275" s="484">
        <v>2046</v>
      </c>
      <c r="AF1275" s="484">
        <v>2047</v>
      </c>
      <c r="AG1275" s="484">
        <v>2048</v>
      </c>
      <c r="AH1275" s="484">
        <v>2049</v>
      </c>
      <c r="AI1275" s="484">
        <v>2050</v>
      </c>
    </row>
    <row r="1276" spans="2:64" outlineLevel="1">
      <c r="B1276" t="str">
        <f t="shared" si="116"/>
        <v>LNG - Total cost - Africa - USD/ton fuel</v>
      </c>
      <c r="C1276" s="487" t="str">
        <f>C1275</f>
        <v>LNG</v>
      </c>
      <c r="D1276" s="487" t="s">
        <v>1362</v>
      </c>
      <c r="E1276" s="487" t="s">
        <v>838</v>
      </c>
      <c r="F1276" s="487" t="s">
        <v>1353</v>
      </c>
      <c r="G1276" s="487" t="str">
        <f t="shared" si="108"/>
        <v>LNGAfricaTotal cost</v>
      </c>
      <c r="H1276" s="488">
        <v>1355.6788664737073</v>
      </c>
      <c r="I1276" s="488">
        <v>1140.6174689050949</v>
      </c>
      <c r="J1276" s="488">
        <v>925.55607133648186</v>
      </c>
      <c r="K1276" s="488">
        <v>878.48382249450492</v>
      </c>
      <c r="L1276" s="488">
        <v>831.41157365252798</v>
      </c>
      <c r="M1276" s="488">
        <v>784.33932481055103</v>
      </c>
      <c r="N1276" s="488">
        <v>737.26707596857386</v>
      </c>
      <c r="O1276" s="488">
        <v>690.19482712659692</v>
      </c>
      <c r="P1276" s="488">
        <v>688.65078564227224</v>
      </c>
      <c r="Q1276" s="488">
        <v>687.10674415794722</v>
      </c>
      <c r="R1276" s="488">
        <v>685.5627026736222</v>
      </c>
      <c r="S1276" s="488">
        <v>684.01866118929729</v>
      </c>
      <c r="T1276" s="488">
        <v>682.47461970497238</v>
      </c>
      <c r="U1276" s="488">
        <v>681.29046616999267</v>
      </c>
      <c r="V1276" s="488">
        <v>680.10631263501296</v>
      </c>
      <c r="W1276" s="488">
        <v>678.92215910003301</v>
      </c>
      <c r="X1276" s="488">
        <v>677.73800556505307</v>
      </c>
      <c r="Y1276" s="488">
        <v>676.55385203007359</v>
      </c>
      <c r="Z1276" s="488">
        <v>675.38173386491553</v>
      </c>
      <c r="AA1276" s="488">
        <v>674.20961569975771</v>
      </c>
      <c r="AB1276" s="488">
        <v>673.03749753459942</v>
      </c>
      <c r="AC1276" s="488">
        <v>671.86537936944137</v>
      </c>
      <c r="AD1276" s="488">
        <v>670.69326120428309</v>
      </c>
      <c r="AE1276" s="488">
        <v>669.6989746840286</v>
      </c>
      <c r="AF1276" s="488">
        <v>668.70468816377411</v>
      </c>
      <c r="AG1276" s="488">
        <v>667.71040164351962</v>
      </c>
      <c r="AH1276" s="488">
        <v>666.71611512326501</v>
      </c>
      <c r="AI1276" s="488">
        <v>665.72182860301052</v>
      </c>
    </row>
    <row r="1277" spans="2:64" outlineLevel="1">
      <c r="B1277" t="str">
        <f t="shared" si="116"/>
        <v>LNG - Total cost - Americas - USD/ton fuel</v>
      </c>
      <c r="C1277" t="str">
        <f>C1276</f>
        <v>LNG</v>
      </c>
      <c r="D1277" t="s">
        <v>1362</v>
      </c>
      <c r="E1277" t="s">
        <v>731</v>
      </c>
      <c r="F1277" t="s">
        <v>1353</v>
      </c>
      <c r="G1277" s="487" t="str">
        <f t="shared" si="108"/>
        <v>LNGAmericasTotal cost</v>
      </c>
      <c r="H1277" s="489">
        <v>500.65729303925912</v>
      </c>
      <c r="I1277" s="489">
        <v>475.25395764888287</v>
      </c>
      <c r="J1277" s="489">
        <v>449.8506222585068</v>
      </c>
      <c r="K1277" s="489">
        <v>446.15463418933484</v>
      </c>
      <c r="L1277" s="489">
        <v>442.45864612016294</v>
      </c>
      <c r="M1277" s="489">
        <v>438.76265805099104</v>
      </c>
      <c r="N1277" s="489">
        <v>435.06666998181936</v>
      </c>
      <c r="O1277" s="489">
        <v>431.37068191264734</v>
      </c>
      <c r="P1277" s="489">
        <v>436.09598495023852</v>
      </c>
      <c r="Q1277" s="489">
        <v>440.82128798782935</v>
      </c>
      <c r="R1277" s="489">
        <v>445.54659102542047</v>
      </c>
      <c r="S1277" s="489">
        <v>450.27189406301125</v>
      </c>
      <c r="T1277" s="489">
        <v>454.99719710060208</v>
      </c>
      <c r="U1277" s="489">
        <v>453.81376609730387</v>
      </c>
      <c r="V1277" s="489">
        <v>452.63033509400543</v>
      </c>
      <c r="W1277" s="489">
        <v>451.44690409070688</v>
      </c>
      <c r="X1277" s="489">
        <v>450.26347308740839</v>
      </c>
      <c r="Y1277" s="489">
        <v>449.08004208411023</v>
      </c>
      <c r="Z1277" s="489">
        <v>448.09665528823552</v>
      </c>
      <c r="AA1277" s="489">
        <v>447.11326849236121</v>
      </c>
      <c r="AB1277" s="489">
        <v>446.12988169648656</v>
      </c>
      <c r="AC1277" s="489">
        <v>445.14649490061197</v>
      </c>
      <c r="AD1277" s="489">
        <v>444.16310810473726</v>
      </c>
      <c r="AE1277" s="489">
        <v>443.22953447874067</v>
      </c>
      <c r="AF1277" s="489">
        <v>442.29596085274409</v>
      </c>
      <c r="AG1277" s="489">
        <v>441.3623872267475</v>
      </c>
      <c r="AH1277" s="489">
        <v>440.42881360075091</v>
      </c>
      <c r="AI1277" s="489">
        <v>439.49523997475433</v>
      </c>
    </row>
    <row r="1278" spans="2:64" outlineLevel="1">
      <c r="B1278" t="str">
        <f t="shared" si="116"/>
        <v>LNG - Total cost - Asia - USD/ton fuel</v>
      </c>
      <c r="C1278" t="str">
        <f>C1277</f>
        <v>LNG</v>
      </c>
      <c r="D1278" t="s">
        <v>1362</v>
      </c>
      <c r="E1278" t="s">
        <v>750</v>
      </c>
      <c r="F1278" t="s">
        <v>1353</v>
      </c>
      <c r="G1278" s="487" t="str">
        <f t="shared" si="108"/>
        <v>LNGAsiaTotal cost</v>
      </c>
      <c r="H1278" s="489">
        <v>1314.6099438092845</v>
      </c>
      <c r="I1278" s="489">
        <v>1135.2384359198008</v>
      </c>
      <c r="J1278" s="489">
        <v>955.86692803031929</v>
      </c>
      <c r="K1278" s="489">
        <v>878.71332934401585</v>
      </c>
      <c r="L1278" s="489">
        <v>801.55973065771286</v>
      </c>
      <c r="M1278" s="489">
        <v>724.40613197140942</v>
      </c>
      <c r="N1278" s="489">
        <v>647.25253328510587</v>
      </c>
      <c r="O1278" s="489">
        <v>570.09893459880288</v>
      </c>
      <c r="P1278" s="489">
        <v>568.36027622300298</v>
      </c>
      <c r="Q1278" s="489">
        <v>566.62161784720308</v>
      </c>
      <c r="R1278" s="489">
        <v>564.88295947140375</v>
      </c>
      <c r="S1278" s="489">
        <v>563.14430109560385</v>
      </c>
      <c r="T1278" s="489">
        <v>561.40564271980395</v>
      </c>
      <c r="U1278" s="489">
        <v>560.09838139068631</v>
      </c>
      <c r="V1278" s="489">
        <v>558.79112006156845</v>
      </c>
      <c r="W1278" s="489">
        <v>557.4838587324507</v>
      </c>
      <c r="X1278" s="489">
        <v>556.17659740333272</v>
      </c>
      <c r="Y1278" s="489">
        <v>554.86933607421543</v>
      </c>
      <c r="Z1278" s="489">
        <v>553.56279625176626</v>
      </c>
      <c r="AA1278" s="489">
        <v>552.25625642931766</v>
      </c>
      <c r="AB1278" s="489">
        <v>550.94971660686849</v>
      </c>
      <c r="AC1278" s="489">
        <v>549.64317678441955</v>
      </c>
      <c r="AD1278" s="489">
        <v>548.3366369619705</v>
      </c>
      <c r="AE1278" s="489">
        <v>547.29069533558868</v>
      </c>
      <c r="AF1278" s="489">
        <v>546.24475370920675</v>
      </c>
      <c r="AG1278" s="489">
        <v>545.19881208282504</v>
      </c>
      <c r="AH1278" s="489">
        <v>544.15287045644322</v>
      </c>
      <c r="AI1278" s="489">
        <v>543.10692883006129</v>
      </c>
    </row>
    <row r="1279" spans="2:64" outlineLevel="1">
      <c r="B1279" t="str">
        <f t="shared" si="116"/>
        <v>LNG - Total cost - Europe - USD/ton fuel</v>
      </c>
      <c r="C1279" t="str">
        <f>C1278</f>
        <v>LNG</v>
      </c>
      <c r="D1279" t="s">
        <v>1362</v>
      </c>
      <c r="E1279" t="s">
        <v>720</v>
      </c>
      <c r="F1279" t="s">
        <v>1353</v>
      </c>
      <c r="G1279" s="487" t="str">
        <f t="shared" si="108"/>
        <v>LNGEuropeTotal cost</v>
      </c>
      <c r="H1279" s="489">
        <v>1349.6522855300532</v>
      </c>
      <c r="I1279" s="489">
        <v>1137.4545917936089</v>
      </c>
      <c r="J1279" s="489">
        <v>925.25689805716479</v>
      </c>
      <c r="K1279" s="489">
        <v>878.3212945021163</v>
      </c>
      <c r="L1279" s="489">
        <v>831.38569094706759</v>
      </c>
      <c r="M1279" s="489">
        <v>784.45008739201899</v>
      </c>
      <c r="N1279" s="489">
        <v>737.51448383697016</v>
      </c>
      <c r="O1279" s="489">
        <v>690.57888028192167</v>
      </c>
      <c r="P1279" s="489">
        <v>689.25526730712568</v>
      </c>
      <c r="Q1279" s="489">
        <v>687.9316543323298</v>
      </c>
      <c r="R1279" s="489">
        <v>686.60804135753403</v>
      </c>
      <c r="S1279" s="489">
        <v>685.28442838273793</v>
      </c>
      <c r="T1279" s="489">
        <v>683.96081540794205</v>
      </c>
      <c r="U1279" s="489">
        <v>682.82737433342095</v>
      </c>
      <c r="V1279" s="489">
        <v>681.69393325889962</v>
      </c>
      <c r="W1279" s="489">
        <v>680.56049218437829</v>
      </c>
      <c r="X1279" s="489">
        <v>679.42705110985696</v>
      </c>
      <c r="Y1279" s="489">
        <v>678.29361003533575</v>
      </c>
      <c r="Z1279" s="489">
        <v>677.16322611840405</v>
      </c>
      <c r="AA1279" s="489">
        <v>676.03284220147248</v>
      </c>
      <c r="AB1279" s="489">
        <v>674.90245828454078</v>
      </c>
      <c r="AC1279" s="489">
        <v>673.77207436760898</v>
      </c>
      <c r="AD1279" s="489">
        <v>672.64169045067729</v>
      </c>
      <c r="AE1279" s="489">
        <v>671.60386895282386</v>
      </c>
      <c r="AF1279" s="489">
        <v>670.56604745497043</v>
      </c>
      <c r="AG1279" s="489">
        <v>669.528225957117</v>
      </c>
      <c r="AH1279" s="489">
        <v>668.49040445926357</v>
      </c>
      <c r="AI1279" s="489">
        <v>667.45258296141014</v>
      </c>
    </row>
    <row r="1280" spans="2:64" outlineLevel="1">
      <c r="B1280" t="str">
        <f t="shared" si="116"/>
        <v>LNG - Total cost - Middle East - USD/ton fuel</v>
      </c>
      <c r="C1280" s="25" t="str">
        <f>C1279</f>
        <v>LNG</v>
      </c>
      <c r="D1280" s="25" t="s">
        <v>1362</v>
      </c>
      <c r="E1280" s="25" t="s">
        <v>826</v>
      </c>
      <c r="F1280" s="25" t="s">
        <v>1353</v>
      </c>
      <c r="G1280" s="487" t="str">
        <f t="shared" si="108"/>
        <v>LNGMiddle EastTotal cost</v>
      </c>
      <c r="H1280" s="490">
        <v>1097.8571723192972</v>
      </c>
      <c r="I1280" s="490">
        <v>920.92951289795974</v>
      </c>
      <c r="J1280" s="490">
        <v>744.00185347662227</v>
      </c>
      <c r="K1280" s="490">
        <v>666.42745995979408</v>
      </c>
      <c r="L1280" s="490">
        <v>588.853066442966</v>
      </c>
      <c r="M1280" s="490">
        <v>511.2786729261378</v>
      </c>
      <c r="N1280" s="490">
        <v>433.70427940930961</v>
      </c>
      <c r="O1280" s="490">
        <v>356.12988589248147</v>
      </c>
      <c r="P1280" s="490">
        <v>354.76840642843399</v>
      </c>
      <c r="Q1280" s="490">
        <v>353.40692696438634</v>
      </c>
      <c r="R1280" s="490">
        <v>352.04544750033881</v>
      </c>
      <c r="S1280" s="490">
        <v>350.68396803629116</v>
      </c>
      <c r="T1280" s="490">
        <v>349.32248857224351</v>
      </c>
      <c r="U1280" s="490">
        <v>348.21021318511464</v>
      </c>
      <c r="V1280" s="490">
        <v>347.09793779798548</v>
      </c>
      <c r="W1280" s="490">
        <v>345.98566241085638</v>
      </c>
      <c r="X1280" s="490">
        <v>344.87338702372716</v>
      </c>
      <c r="Y1280" s="490">
        <v>343.76111163659834</v>
      </c>
      <c r="Z1280" s="490">
        <v>342.59794577430978</v>
      </c>
      <c r="AA1280" s="490">
        <v>341.43477991202167</v>
      </c>
      <c r="AB1280" s="490">
        <v>340.27161404973322</v>
      </c>
      <c r="AC1280" s="490">
        <v>339.10844818744476</v>
      </c>
      <c r="AD1280" s="490">
        <v>337.9452823251562</v>
      </c>
      <c r="AE1280" s="490">
        <v>336.96224843306152</v>
      </c>
      <c r="AF1280" s="490">
        <v>335.97921454096695</v>
      </c>
      <c r="AG1280" s="490">
        <v>334.99618064887233</v>
      </c>
      <c r="AH1280" s="490">
        <v>334.0131467567777</v>
      </c>
      <c r="AI1280" s="490">
        <v>333.03011286468302</v>
      </c>
    </row>
    <row r="1281" spans="2:35" ht="15" outlineLevel="1">
      <c r="B1281" t="str">
        <f t="shared" si="116"/>
        <v/>
      </c>
      <c r="C1281" s="22"/>
      <c r="G1281" s="487" t="str">
        <f t="shared" si="108"/>
        <v/>
      </c>
    </row>
    <row r="1282" spans="2:35" ht="15" outlineLevel="1">
      <c r="B1282" t="str">
        <f t="shared" si="116"/>
        <v>LNG - CAPEX including feedstock CAPEX - Global - USD/ton fuel</v>
      </c>
      <c r="C1282" s="491" t="str">
        <f>C1275</f>
        <v>LNG</v>
      </c>
      <c r="D1282" s="491" t="s">
        <v>1363</v>
      </c>
      <c r="E1282" s="491" t="s">
        <v>708</v>
      </c>
      <c r="F1282" s="491" t="s">
        <v>1353</v>
      </c>
      <c r="G1282" s="487" t="str">
        <f t="shared" si="108"/>
        <v>LNGGlobalCAPEX including feedstock CAPEX</v>
      </c>
      <c r="H1282" s="492">
        <v>75.715087666188268</v>
      </c>
      <c r="I1282" s="492">
        <v>75.35754383309407</v>
      </c>
      <c r="J1282" s="492">
        <v>75</v>
      </c>
      <c r="K1282" s="492">
        <v>74.650780257917603</v>
      </c>
      <c r="L1282" s="492">
        <v>74.301560515835206</v>
      </c>
      <c r="M1282" s="492">
        <v>73.952340773752809</v>
      </c>
      <c r="N1282" s="492">
        <v>73.603121031670398</v>
      </c>
      <c r="O1282" s="492">
        <v>73.253901289588001</v>
      </c>
      <c r="P1282" s="492">
        <v>72.912811842723016</v>
      </c>
      <c r="Q1282" s="492">
        <v>72.571722395857918</v>
      </c>
      <c r="R1282" s="492">
        <v>72.230632948992934</v>
      </c>
      <c r="S1282" s="492">
        <v>71.889543502127836</v>
      </c>
      <c r="T1282" s="492">
        <v>71.548454055262724</v>
      </c>
      <c r="U1282" s="492">
        <v>71.215305619641853</v>
      </c>
      <c r="V1282" s="492">
        <v>70.882157184020855</v>
      </c>
      <c r="W1282" s="492">
        <v>70.549008748399871</v>
      </c>
      <c r="X1282" s="492">
        <v>70.215860312778872</v>
      </c>
      <c r="Y1282" s="492">
        <v>69.882711877158002</v>
      </c>
      <c r="Z1282" s="492">
        <v>69.557319575587826</v>
      </c>
      <c r="AA1282" s="492">
        <v>69.231927274017778</v>
      </c>
      <c r="AB1282" s="492">
        <v>68.906534972447602</v>
      </c>
      <c r="AC1282" s="492">
        <v>68.581142670877426</v>
      </c>
      <c r="AD1282" s="492">
        <v>68.25575036930725</v>
      </c>
      <c r="AE1282" s="492">
        <v>67.937933628779135</v>
      </c>
      <c r="AF1282" s="492">
        <v>67.620116888251019</v>
      </c>
      <c r="AG1282" s="492">
        <v>67.302300147722903</v>
      </c>
      <c r="AH1282" s="492">
        <v>66.984483407194787</v>
      </c>
      <c r="AI1282" s="492">
        <v>66.666666666666671</v>
      </c>
    </row>
    <row r="1283" spans="2:35" outlineLevel="1">
      <c r="B1283" t="str">
        <f t="shared" si="116"/>
        <v>LNG - CAPEX - Global - USD/ton fuel</v>
      </c>
      <c r="C1283" t="str">
        <f>C1275</f>
        <v>LNG</v>
      </c>
      <c r="D1283" t="s">
        <v>446</v>
      </c>
      <c r="E1283" t="s">
        <v>708</v>
      </c>
      <c r="F1283" t="s">
        <v>1353</v>
      </c>
      <c r="G1283" s="487" t="str">
        <f t="shared" si="108"/>
        <v>LNGGlobalCAPEX</v>
      </c>
      <c r="H1283" s="493">
        <v>75.715087666188268</v>
      </c>
      <c r="I1283" s="493">
        <v>75.35754383309407</v>
      </c>
      <c r="J1283" s="493">
        <v>75</v>
      </c>
      <c r="K1283" s="493">
        <v>74.650780257917603</v>
      </c>
      <c r="L1283" s="493">
        <v>74.301560515835206</v>
      </c>
      <c r="M1283" s="493">
        <v>73.952340773752809</v>
      </c>
      <c r="N1283" s="493">
        <v>73.603121031670398</v>
      </c>
      <c r="O1283" s="493">
        <v>73.253901289588001</v>
      </c>
      <c r="P1283" s="493">
        <v>72.912811842723016</v>
      </c>
      <c r="Q1283" s="493">
        <v>72.571722395857918</v>
      </c>
      <c r="R1283" s="493">
        <v>72.230632948992934</v>
      </c>
      <c r="S1283" s="493">
        <v>71.889543502127836</v>
      </c>
      <c r="T1283" s="493">
        <v>71.548454055262724</v>
      </c>
      <c r="U1283" s="493">
        <v>71.215305619641853</v>
      </c>
      <c r="V1283" s="493">
        <v>70.882157184020855</v>
      </c>
      <c r="W1283" s="493">
        <v>70.549008748399871</v>
      </c>
      <c r="X1283" s="493">
        <v>70.215860312778872</v>
      </c>
      <c r="Y1283" s="493">
        <v>69.882711877158002</v>
      </c>
      <c r="Z1283" s="493">
        <v>69.557319575587826</v>
      </c>
      <c r="AA1283" s="493">
        <v>69.231927274017778</v>
      </c>
      <c r="AB1283" s="493">
        <v>68.906534972447602</v>
      </c>
      <c r="AC1283" s="493">
        <v>68.581142670877426</v>
      </c>
      <c r="AD1283" s="493">
        <v>68.25575036930725</v>
      </c>
      <c r="AE1283" s="493">
        <v>67.937933628779135</v>
      </c>
      <c r="AF1283" s="493">
        <v>67.620116888251019</v>
      </c>
      <c r="AG1283" s="493">
        <v>67.302300147722903</v>
      </c>
      <c r="AH1283" s="493">
        <v>66.984483407194787</v>
      </c>
      <c r="AI1283" s="493">
        <v>66.666666666666671</v>
      </c>
    </row>
    <row r="1284" spans="2:35" outlineLevel="1">
      <c r="B1284" t="str">
        <f t="shared" si="116"/>
        <v/>
      </c>
      <c r="G1284" s="487" t="str">
        <f t="shared" si="108"/>
        <v/>
      </c>
      <c r="H1284" s="493"/>
      <c r="I1284" s="493"/>
      <c r="J1284" s="493"/>
      <c r="K1284" s="493"/>
      <c r="L1284" s="493"/>
      <c r="M1284" s="493"/>
      <c r="N1284" s="493"/>
      <c r="O1284" s="493"/>
      <c r="P1284" s="493"/>
      <c r="Q1284" s="493"/>
      <c r="R1284" s="493"/>
      <c r="S1284" s="493"/>
      <c r="T1284" s="493"/>
      <c r="U1284" s="493"/>
      <c r="V1284" s="493"/>
      <c r="W1284" s="493"/>
      <c r="X1284" s="493"/>
      <c r="Y1284" s="493"/>
      <c r="Z1284" s="493"/>
      <c r="AA1284" s="493"/>
      <c r="AB1284" s="493"/>
      <c r="AC1284" s="493"/>
      <c r="AD1284" s="493"/>
      <c r="AE1284" s="493"/>
      <c r="AF1284" s="493"/>
      <c r="AG1284" s="493"/>
      <c r="AH1284" s="493"/>
      <c r="AI1284" s="493"/>
    </row>
    <row r="1285" spans="2:35" ht="15" outlineLevel="1">
      <c r="B1285" t="str">
        <f t="shared" si="116"/>
        <v>LNG - OPEX including feedstock OPEX - Global - USD/ton fuel</v>
      </c>
      <c r="C1285" s="491" t="str">
        <f>C1276</f>
        <v>LNG</v>
      </c>
      <c r="D1285" s="491" t="s">
        <v>1364</v>
      </c>
      <c r="E1285" s="491" t="s">
        <v>708</v>
      </c>
      <c r="F1285" s="491" t="s">
        <v>1353</v>
      </c>
      <c r="G1285" s="487" t="str">
        <f t="shared" si="108"/>
        <v>LNGGlobalOPEX including feedstock OPEX</v>
      </c>
      <c r="H1285" s="492">
        <v>0</v>
      </c>
      <c r="I1285" s="492">
        <v>0</v>
      </c>
      <c r="J1285" s="492">
        <v>0</v>
      </c>
      <c r="K1285" s="492">
        <v>0</v>
      </c>
      <c r="L1285" s="492">
        <v>0</v>
      </c>
      <c r="M1285" s="492">
        <v>0</v>
      </c>
      <c r="N1285" s="492">
        <v>0</v>
      </c>
      <c r="O1285" s="492">
        <v>0</v>
      </c>
      <c r="P1285" s="492">
        <v>0</v>
      </c>
      <c r="Q1285" s="492">
        <v>0</v>
      </c>
      <c r="R1285" s="492">
        <v>0</v>
      </c>
      <c r="S1285" s="492">
        <v>0</v>
      </c>
      <c r="T1285" s="492">
        <v>0</v>
      </c>
      <c r="U1285" s="492">
        <v>0</v>
      </c>
      <c r="V1285" s="492">
        <v>0</v>
      </c>
      <c r="W1285" s="492">
        <v>0</v>
      </c>
      <c r="X1285" s="492">
        <v>0</v>
      </c>
      <c r="Y1285" s="492">
        <v>0</v>
      </c>
      <c r="Z1285" s="492">
        <v>0</v>
      </c>
      <c r="AA1285" s="492">
        <v>0</v>
      </c>
      <c r="AB1285" s="492">
        <v>0</v>
      </c>
      <c r="AC1285" s="492">
        <v>0</v>
      </c>
      <c r="AD1285" s="492">
        <v>0</v>
      </c>
      <c r="AE1285" s="492">
        <v>0</v>
      </c>
      <c r="AF1285" s="492">
        <v>0</v>
      </c>
      <c r="AG1285" s="492">
        <v>0</v>
      </c>
      <c r="AH1285" s="492">
        <v>0</v>
      </c>
      <c r="AI1285" s="492">
        <v>0</v>
      </c>
    </row>
    <row r="1286" spans="2:35" outlineLevel="1">
      <c r="B1286" t="str">
        <f t="shared" si="116"/>
        <v>LNG - OPEX - Global - USD/ton fuel</v>
      </c>
      <c r="C1286" t="str">
        <f>C1275</f>
        <v>LNG</v>
      </c>
      <c r="D1286" t="s">
        <v>450</v>
      </c>
      <c r="E1286" t="s">
        <v>708</v>
      </c>
      <c r="F1286" t="s">
        <v>1353</v>
      </c>
      <c r="G1286" s="487" t="str">
        <f t="shared" si="108"/>
        <v>LNGGlobalOPEX</v>
      </c>
      <c r="H1286" s="493">
        <v>0</v>
      </c>
      <c r="I1286" s="493">
        <v>0</v>
      </c>
      <c r="J1286" s="493">
        <v>0</v>
      </c>
      <c r="K1286" s="493">
        <v>0</v>
      </c>
      <c r="L1286" s="493">
        <v>0</v>
      </c>
      <c r="M1286" s="493">
        <v>0</v>
      </c>
      <c r="N1286" s="493">
        <v>0</v>
      </c>
      <c r="O1286" s="493">
        <v>0</v>
      </c>
      <c r="P1286" s="493">
        <v>0</v>
      </c>
      <c r="Q1286" s="493">
        <v>0</v>
      </c>
      <c r="R1286" s="493">
        <v>0</v>
      </c>
      <c r="S1286" s="493">
        <v>0</v>
      </c>
      <c r="T1286" s="493">
        <v>0</v>
      </c>
      <c r="U1286" s="493">
        <v>0</v>
      </c>
      <c r="V1286" s="493">
        <v>0</v>
      </c>
      <c r="W1286" s="493">
        <v>0</v>
      </c>
      <c r="X1286" s="493">
        <v>0</v>
      </c>
      <c r="Y1286" s="493">
        <v>0</v>
      </c>
      <c r="Z1286" s="493">
        <v>0</v>
      </c>
      <c r="AA1286" s="493">
        <v>0</v>
      </c>
      <c r="AB1286" s="493">
        <v>0</v>
      </c>
      <c r="AC1286" s="493">
        <v>0</v>
      </c>
      <c r="AD1286" s="493">
        <v>0</v>
      </c>
      <c r="AE1286" s="493">
        <v>0</v>
      </c>
      <c r="AF1286" s="493">
        <v>0</v>
      </c>
      <c r="AG1286" s="493">
        <v>0</v>
      </c>
      <c r="AH1286" s="493">
        <v>0</v>
      </c>
      <c r="AI1286" s="493">
        <v>0</v>
      </c>
    </row>
    <row r="1287" spans="2:35" outlineLevel="1">
      <c r="B1287" t="str">
        <f t="shared" si="116"/>
        <v/>
      </c>
      <c r="G1287" s="487" t="str">
        <f t="shared" si="108"/>
        <v/>
      </c>
      <c r="H1287" s="493"/>
      <c r="I1287" s="493"/>
      <c r="J1287" s="493"/>
      <c r="K1287" s="493"/>
      <c r="L1287" s="493"/>
      <c r="M1287" s="493"/>
      <c r="N1287" s="493"/>
      <c r="O1287" s="493"/>
      <c r="P1287" s="493"/>
      <c r="Q1287" s="493"/>
      <c r="R1287" s="493"/>
      <c r="S1287" s="493"/>
      <c r="T1287" s="493"/>
      <c r="U1287" s="493"/>
      <c r="V1287" s="493"/>
      <c r="W1287" s="493"/>
      <c r="X1287" s="493"/>
      <c r="Y1287" s="493"/>
      <c r="Z1287" s="493"/>
      <c r="AA1287" s="493"/>
      <c r="AB1287" s="493"/>
      <c r="AC1287" s="493"/>
      <c r="AD1287" s="493"/>
      <c r="AE1287" s="493"/>
      <c r="AF1287" s="493"/>
      <c r="AG1287" s="493"/>
      <c r="AH1287" s="493"/>
      <c r="AI1287" s="493"/>
    </row>
    <row r="1288" spans="2:35" ht="15" outlineLevel="1">
      <c r="B1288" t="str">
        <f t="shared" si="116"/>
        <v>LNG - Finance cost including feedstock finance cost - Africa - USD/ton fuel</v>
      </c>
      <c r="C1288" s="494" t="str">
        <f>C1279</f>
        <v>LNG</v>
      </c>
      <c r="D1288" s="494" t="s">
        <v>1365</v>
      </c>
      <c r="E1288" s="494" t="s">
        <v>838</v>
      </c>
      <c r="F1288" s="494" t="s">
        <v>1353</v>
      </c>
      <c r="G1288" s="487" t="str">
        <f t="shared" ref="G1288:G1351" si="117">+C1288&amp;E1288&amp;D1288</f>
        <v>LNGAfricaFinance cost including feedstock finance cost</v>
      </c>
      <c r="H1288" s="495">
        <v>124.92989464921065</v>
      </c>
      <c r="I1288" s="495">
        <v>124.33994732460523</v>
      </c>
      <c r="J1288" s="495">
        <v>123.75000000000001</v>
      </c>
      <c r="K1288" s="495">
        <v>123.17378742556406</v>
      </c>
      <c r="L1288" s="495">
        <v>122.5975748511281</v>
      </c>
      <c r="M1288" s="495">
        <v>122.02136227669214</v>
      </c>
      <c r="N1288" s="495">
        <v>121.44514970225619</v>
      </c>
      <c r="O1288" s="495">
        <v>120.86893712782023</v>
      </c>
      <c r="P1288" s="495">
        <v>120.30613954049301</v>
      </c>
      <c r="Q1288" s="495">
        <v>119.74334195316558</v>
      </c>
      <c r="R1288" s="495">
        <v>119.18054436583836</v>
      </c>
      <c r="S1288" s="495">
        <v>118.61774677851093</v>
      </c>
      <c r="T1288" s="495">
        <v>118.05494919118351</v>
      </c>
      <c r="U1288" s="495">
        <v>117.50525427240908</v>
      </c>
      <c r="V1288" s="495">
        <v>116.95555935363443</v>
      </c>
      <c r="W1288" s="495">
        <v>116.40586443485979</v>
      </c>
      <c r="X1288" s="495">
        <v>115.85616951608516</v>
      </c>
      <c r="Y1288" s="495">
        <v>115.30647459731071</v>
      </c>
      <c r="Z1288" s="495">
        <v>114.76957729971993</v>
      </c>
      <c r="AA1288" s="495">
        <v>114.23268000212934</v>
      </c>
      <c r="AB1288" s="495">
        <v>113.69578270453856</v>
      </c>
      <c r="AC1288" s="495">
        <v>113.15888540694777</v>
      </c>
      <c r="AD1288" s="495">
        <v>112.62198810935699</v>
      </c>
      <c r="AE1288" s="495">
        <v>112.09759048748559</v>
      </c>
      <c r="AF1288" s="495">
        <v>111.5731928656142</v>
      </c>
      <c r="AG1288" s="495">
        <v>111.0487952437428</v>
      </c>
      <c r="AH1288" s="495">
        <v>110.52439762187142</v>
      </c>
      <c r="AI1288" s="495">
        <v>110.00000000000001</v>
      </c>
    </row>
    <row r="1289" spans="2:35" ht="15" outlineLevel="1">
      <c r="B1289" t="str">
        <f t="shared" si="116"/>
        <v>LNG - Finance cost including feedstock finance cost - Americas - USD/ton fuel</v>
      </c>
      <c r="C1289" s="22" t="str">
        <f>C1279</f>
        <v>LNG</v>
      </c>
      <c r="D1289" s="22" t="s">
        <v>1365</v>
      </c>
      <c r="E1289" s="22" t="s">
        <v>731</v>
      </c>
      <c r="F1289" s="22" t="s">
        <v>1353</v>
      </c>
      <c r="G1289" s="487" t="str">
        <f t="shared" si="117"/>
        <v>LNGAmericasFinance cost including feedstock finance cost</v>
      </c>
      <c r="H1289" s="496">
        <v>124.92989464921065</v>
      </c>
      <c r="I1289" s="496">
        <v>124.33994732460523</v>
      </c>
      <c r="J1289" s="496">
        <v>123.75000000000001</v>
      </c>
      <c r="K1289" s="496">
        <v>123.17378742556406</v>
      </c>
      <c r="L1289" s="496">
        <v>122.5975748511281</v>
      </c>
      <c r="M1289" s="496">
        <v>122.02136227669214</v>
      </c>
      <c r="N1289" s="496">
        <v>121.44514970225619</v>
      </c>
      <c r="O1289" s="496">
        <v>120.86893712782023</v>
      </c>
      <c r="P1289" s="496">
        <v>120.30613954049301</v>
      </c>
      <c r="Q1289" s="496">
        <v>119.74334195316558</v>
      </c>
      <c r="R1289" s="496">
        <v>119.18054436583836</v>
      </c>
      <c r="S1289" s="496">
        <v>118.61774677851093</v>
      </c>
      <c r="T1289" s="496">
        <v>118.05494919118351</v>
      </c>
      <c r="U1289" s="496">
        <v>117.50525427240908</v>
      </c>
      <c r="V1289" s="496">
        <v>116.95555935363443</v>
      </c>
      <c r="W1289" s="496">
        <v>116.40586443485979</v>
      </c>
      <c r="X1289" s="496">
        <v>115.85616951608516</v>
      </c>
      <c r="Y1289" s="496">
        <v>115.30647459731071</v>
      </c>
      <c r="Z1289" s="496">
        <v>114.76957729971993</v>
      </c>
      <c r="AA1289" s="496">
        <v>114.23268000212934</v>
      </c>
      <c r="AB1289" s="496">
        <v>113.69578270453856</v>
      </c>
      <c r="AC1289" s="496">
        <v>113.15888540694777</v>
      </c>
      <c r="AD1289" s="496">
        <v>112.62198810935699</v>
      </c>
      <c r="AE1289" s="496">
        <v>112.09759048748559</v>
      </c>
      <c r="AF1289" s="496">
        <v>111.5731928656142</v>
      </c>
      <c r="AG1289" s="496">
        <v>111.0487952437428</v>
      </c>
      <c r="AH1289" s="496">
        <v>110.52439762187142</v>
      </c>
      <c r="AI1289" s="496">
        <v>110.00000000000001</v>
      </c>
    </row>
    <row r="1290" spans="2:35" ht="15" outlineLevel="1">
      <c r="B1290" t="str">
        <f t="shared" si="116"/>
        <v>LNG - Finance cost including feedstock finance cost - Asia - USD/ton fuel</v>
      </c>
      <c r="C1290" s="22" t="str">
        <f>C1279</f>
        <v>LNG</v>
      </c>
      <c r="D1290" s="22" t="s">
        <v>1365</v>
      </c>
      <c r="E1290" s="22" t="s">
        <v>750</v>
      </c>
      <c r="F1290" s="22" t="s">
        <v>1353</v>
      </c>
      <c r="G1290" s="487" t="str">
        <f t="shared" si="117"/>
        <v>LNGAsiaFinance cost including feedstock finance cost</v>
      </c>
      <c r="H1290" s="496">
        <v>124.92989464921065</v>
      </c>
      <c r="I1290" s="496">
        <v>124.33994732460523</v>
      </c>
      <c r="J1290" s="496">
        <v>123.75000000000001</v>
      </c>
      <c r="K1290" s="496">
        <v>123.17378742556406</v>
      </c>
      <c r="L1290" s="496">
        <v>122.5975748511281</v>
      </c>
      <c r="M1290" s="496">
        <v>122.02136227669214</v>
      </c>
      <c r="N1290" s="496">
        <v>121.44514970225619</v>
      </c>
      <c r="O1290" s="496">
        <v>120.86893712782023</v>
      </c>
      <c r="P1290" s="496">
        <v>120.30613954049301</v>
      </c>
      <c r="Q1290" s="496">
        <v>119.74334195316558</v>
      </c>
      <c r="R1290" s="496">
        <v>119.18054436583836</v>
      </c>
      <c r="S1290" s="496">
        <v>118.61774677851093</v>
      </c>
      <c r="T1290" s="496">
        <v>118.05494919118351</v>
      </c>
      <c r="U1290" s="496">
        <v>117.50525427240908</v>
      </c>
      <c r="V1290" s="496">
        <v>116.95555935363443</v>
      </c>
      <c r="W1290" s="496">
        <v>116.40586443485979</v>
      </c>
      <c r="X1290" s="496">
        <v>115.85616951608516</v>
      </c>
      <c r="Y1290" s="496">
        <v>115.30647459731071</v>
      </c>
      <c r="Z1290" s="496">
        <v>114.76957729971993</v>
      </c>
      <c r="AA1290" s="496">
        <v>114.23268000212934</v>
      </c>
      <c r="AB1290" s="496">
        <v>113.69578270453856</v>
      </c>
      <c r="AC1290" s="496">
        <v>113.15888540694777</v>
      </c>
      <c r="AD1290" s="496">
        <v>112.62198810935699</v>
      </c>
      <c r="AE1290" s="496">
        <v>112.09759048748559</v>
      </c>
      <c r="AF1290" s="496">
        <v>111.5731928656142</v>
      </c>
      <c r="AG1290" s="496">
        <v>111.0487952437428</v>
      </c>
      <c r="AH1290" s="496">
        <v>110.52439762187142</v>
      </c>
      <c r="AI1290" s="496">
        <v>110.00000000000001</v>
      </c>
    </row>
    <row r="1291" spans="2:35" ht="15" outlineLevel="1">
      <c r="B1291" t="str">
        <f t="shared" si="116"/>
        <v>LNG - Finance cost including feedstock finance cost - Europe - USD/ton fuel</v>
      </c>
      <c r="C1291" s="22" t="str">
        <f>C1279</f>
        <v>LNG</v>
      </c>
      <c r="D1291" s="22" t="s">
        <v>1365</v>
      </c>
      <c r="E1291" s="22" t="s">
        <v>720</v>
      </c>
      <c r="F1291" s="22" t="s">
        <v>1353</v>
      </c>
      <c r="G1291" s="487" t="str">
        <f t="shared" si="117"/>
        <v>LNGEuropeFinance cost including feedstock finance cost</v>
      </c>
      <c r="H1291" s="496">
        <v>124.92989464921065</v>
      </c>
      <c r="I1291" s="496">
        <v>124.33994732460523</v>
      </c>
      <c r="J1291" s="496">
        <v>123.75000000000001</v>
      </c>
      <c r="K1291" s="496">
        <v>123.17378742556406</v>
      </c>
      <c r="L1291" s="496">
        <v>122.5975748511281</v>
      </c>
      <c r="M1291" s="496">
        <v>122.02136227669214</v>
      </c>
      <c r="N1291" s="496">
        <v>121.44514970225619</v>
      </c>
      <c r="O1291" s="496">
        <v>120.86893712782023</v>
      </c>
      <c r="P1291" s="496">
        <v>120.30613954049301</v>
      </c>
      <c r="Q1291" s="496">
        <v>119.74334195316558</v>
      </c>
      <c r="R1291" s="496">
        <v>119.18054436583836</v>
      </c>
      <c r="S1291" s="496">
        <v>118.61774677851093</v>
      </c>
      <c r="T1291" s="496">
        <v>118.05494919118351</v>
      </c>
      <c r="U1291" s="496">
        <v>117.50525427240908</v>
      </c>
      <c r="V1291" s="496">
        <v>116.95555935363443</v>
      </c>
      <c r="W1291" s="496">
        <v>116.40586443485979</v>
      </c>
      <c r="X1291" s="496">
        <v>115.85616951608516</v>
      </c>
      <c r="Y1291" s="496">
        <v>115.30647459731071</v>
      </c>
      <c r="Z1291" s="496">
        <v>114.76957729971993</v>
      </c>
      <c r="AA1291" s="496">
        <v>114.23268000212934</v>
      </c>
      <c r="AB1291" s="496">
        <v>113.69578270453856</v>
      </c>
      <c r="AC1291" s="496">
        <v>113.15888540694777</v>
      </c>
      <c r="AD1291" s="496">
        <v>112.62198810935699</v>
      </c>
      <c r="AE1291" s="496">
        <v>112.09759048748559</v>
      </c>
      <c r="AF1291" s="496">
        <v>111.5731928656142</v>
      </c>
      <c r="AG1291" s="496">
        <v>111.0487952437428</v>
      </c>
      <c r="AH1291" s="496">
        <v>110.52439762187142</v>
      </c>
      <c r="AI1291" s="496">
        <v>110.00000000000001</v>
      </c>
    </row>
    <row r="1292" spans="2:35" ht="15" outlineLevel="1">
      <c r="B1292" t="str">
        <f t="shared" si="116"/>
        <v>LNG - Finance cost including feedstock finance cost - Middle East - USD/ton fuel</v>
      </c>
      <c r="C1292" s="92" t="str">
        <f>C1279</f>
        <v>LNG</v>
      </c>
      <c r="D1292" s="92" t="s">
        <v>1365</v>
      </c>
      <c r="E1292" s="92" t="s">
        <v>826</v>
      </c>
      <c r="F1292" s="92" t="s">
        <v>1353</v>
      </c>
      <c r="G1292" s="487" t="str">
        <f t="shared" si="117"/>
        <v>LNGMiddle EastFinance cost including feedstock finance cost</v>
      </c>
      <c r="H1292" s="497">
        <v>124.92989464921065</v>
      </c>
      <c r="I1292" s="497">
        <v>124.33994732460523</v>
      </c>
      <c r="J1292" s="497">
        <v>123.75000000000001</v>
      </c>
      <c r="K1292" s="497">
        <v>123.17378742556406</v>
      </c>
      <c r="L1292" s="497">
        <v>122.5975748511281</v>
      </c>
      <c r="M1292" s="497">
        <v>122.02136227669214</v>
      </c>
      <c r="N1292" s="497">
        <v>121.44514970225619</v>
      </c>
      <c r="O1292" s="497">
        <v>120.86893712782023</v>
      </c>
      <c r="P1292" s="497">
        <v>120.30613954049301</v>
      </c>
      <c r="Q1292" s="497">
        <v>119.74334195316558</v>
      </c>
      <c r="R1292" s="497">
        <v>119.18054436583836</v>
      </c>
      <c r="S1292" s="497">
        <v>118.61774677851093</v>
      </c>
      <c r="T1292" s="497">
        <v>118.05494919118351</v>
      </c>
      <c r="U1292" s="497">
        <v>117.50525427240908</v>
      </c>
      <c r="V1292" s="497">
        <v>116.95555935363443</v>
      </c>
      <c r="W1292" s="497">
        <v>116.40586443485979</v>
      </c>
      <c r="X1292" s="497">
        <v>115.85616951608516</v>
      </c>
      <c r="Y1292" s="497">
        <v>115.30647459731071</v>
      </c>
      <c r="Z1292" s="497">
        <v>114.76957729971993</v>
      </c>
      <c r="AA1292" s="497">
        <v>114.23268000212934</v>
      </c>
      <c r="AB1292" s="497">
        <v>113.69578270453856</v>
      </c>
      <c r="AC1292" s="497">
        <v>113.15888540694777</v>
      </c>
      <c r="AD1292" s="497">
        <v>112.62198810935699</v>
      </c>
      <c r="AE1292" s="497">
        <v>112.09759048748559</v>
      </c>
      <c r="AF1292" s="497">
        <v>111.5731928656142</v>
      </c>
      <c r="AG1292" s="497">
        <v>111.0487952437428</v>
      </c>
      <c r="AH1292" s="497">
        <v>110.52439762187142</v>
      </c>
      <c r="AI1292" s="497">
        <v>110.00000000000001</v>
      </c>
    </row>
    <row r="1293" spans="2:35" outlineLevel="1">
      <c r="B1293" t="str">
        <f t="shared" si="116"/>
        <v>LNG - Finance cost - Africa - USD/ton fuel</v>
      </c>
      <c r="C1293" t="str">
        <f>C1275</f>
        <v>LNG</v>
      </c>
      <c r="D1293" t="s">
        <v>1366</v>
      </c>
      <c r="E1293" t="s">
        <v>838</v>
      </c>
      <c r="F1293" t="s">
        <v>1353</v>
      </c>
      <c r="G1293" s="487" t="str">
        <f t="shared" si="117"/>
        <v>LNGAfricaFinance cost</v>
      </c>
      <c r="H1293" s="493">
        <v>124.92989464921065</v>
      </c>
      <c r="I1293" s="493">
        <v>124.33994732460523</v>
      </c>
      <c r="J1293" s="493">
        <v>123.75000000000001</v>
      </c>
      <c r="K1293" s="493">
        <v>123.17378742556406</v>
      </c>
      <c r="L1293" s="493">
        <v>122.5975748511281</v>
      </c>
      <c r="M1293" s="493">
        <v>122.02136227669214</v>
      </c>
      <c r="N1293" s="493">
        <v>121.44514970225619</v>
      </c>
      <c r="O1293" s="493">
        <v>120.86893712782023</v>
      </c>
      <c r="P1293" s="493">
        <v>120.30613954049301</v>
      </c>
      <c r="Q1293" s="493">
        <v>119.74334195316558</v>
      </c>
      <c r="R1293" s="493">
        <v>119.18054436583836</v>
      </c>
      <c r="S1293" s="493">
        <v>118.61774677851093</v>
      </c>
      <c r="T1293" s="493">
        <v>118.05494919118351</v>
      </c>
      <c r="U1293" s="493">
        <v>117.50525427240908</v>
      </c>
      <c r="V1293" s="493">
        <v>116.95555935363443</v>
      </c>
      <c r="W1293" s="493">
        <v>116.40586443485979</v>
      </c>
      <c r="X1293" s="493">
        <v>115.85616951608516</v>
      </c>
      <c r="Y1293" s="493">
        <v>115.30647459731071</v>
      </c>
      <c r="Z1293" s="493">
        <v>114.76957729971993</v>
      </c>
      <c r="AA1293" s="493">
        <v>114.23268000212934</v>
      </c>
      <c r="AB1293" s="493">
        <v>113.69578270453856</v>
      </c>
      <c r="AC1293" s="493">
        <v>113.15888540694777</v>
      </c>
      <c r="AD1293" s="493">
        <v>112.62198810935699</v>
      </c>
      <c r="AE1293" s="493">
        <v>112.09759048748559</v>
      </c>
      <c r="AF1293" s="493">
        <v>111.5731928656142</v>
      </c>
      <c r="AG1293" s="493">
        <v>111.0487952437428</v>
      </c>
      <c r="AH1293" s="493">
        <v>110.52439762187142</v>
      </c>
      <c r="AI1293" s="493">
        <v>110.00000000000001</v>
      </c>
    </row>
    <row r="1294" spans="2:35" outlineLevel="1">
      <c r="B1294" t="str">
        <f t="shared" si="116"/>
        <v>LNG - Finance cost - Americas - USD/ton fuel</v>
      </c>
      <c r="C1294" t="str">
        <f>C1275</f>
        <v>LNG</v>
      </c>
      <c r="D1294" t="s">
        <v>1366</v>
      </c>
      <c r="E1294" t="s">
        <v>731</v>
      </c>
      <c r="F1294" t="s">
        <v>1353</v>
      </c>
      <c r="G1294" s="487" t="str">
        <f t="shared" si="117"/>
        <v>LNGAmericasFinance cost</v>
      </c>
      <c r="H1294" s="493">
        <v>124.92989464921065</v>
      </c>
      <c r="I1294" s="493">
        <v>124.33994732460523</v>
      </c>
      <c r="J1294" s="493">
        <v>123.75000000000001</v>
      </c>
      <c r="K1294" s="493">
        <v>123.17378742556406</v>
      </c>
      <c r="L1294" s="493">
        <v>122.5975748511281</v>
      </c>
      <c r="M1294" s="493">
        <v>122.02136227669214</v>
      </c>
      <c r="N1294" s="493">
        <v>121.44514970225619</v>
      </c>
      <c r="O1294" s="493">
        <v>120.86893712782023</v>
      </c>
      <c r="P1294" s="493">
        <v>120.30613954049301</v>
      </c>
      <c r="Q1294" s="493">
        <v>119.74334195316558</v>
      </c>
      <c r="R1294" s="493">
        <v>119.18054436583836</v>
      </c>
      <c r="S1294" s="493">
        <v>118.61774677851093</v>
      </c>
      <c r="T1294" s="493">
        <v>118.05494919118351</v>
      </c>
      <c r="U1294" s="493">
        <v>117.50525427240908</v>
      </c>
      <c r="V1294" s="493">
        <v>116.95555935363443</v>
      </c>
      <c r="W1294" s="493">
        <v>116.40586443485979</v>
      </c>
      <c r="X1294" s="493">
        <v>115.85616951608516</v>
      </c>
      <c r="Y1294" s="493">
        <v>115.30647459731071</v>
      </c>
      <c r="Z1294" s="493">
        <v>114.76957729971993</v>
      </c>
      <c r="AA1294" s="493">
        <v>114.23268000212934</v>
      </c>
      <c r="AB1294" s="493">
        <v>113.69578270453856</v>
      </c>
      <c r="AC1294" s="493">
        <v>113.15888540694777</v>
      </c>
      <c r="AD1294" s="493">
        <v>112.62198810935699</v>
      </c>
      <c r="AE1294" s="493">
        <v>112.09759048748559</v>
      </c>
      <c r="AF1294" s="493">
        <v>111.5731928656142</v>
      </c>
      <c r="AG1294" s="493">
        <v>111.0487952437428</v>
      </c>
      <c r="AH1294" s="493">
        <v>110.52439762187142</v>
      </c>
      <c r="AI1294" s="493">
        <v>110.00000000000001</v>
      </c>
    </row>
    <row r="1295" spans="2:35" outlineLevel="1">
      <c r="B1295" t="str">
        <f t="shared" si="116"/>
        <v>LNG - Finance cost - Asia - USD/ton fuel</v>
      </c>
      <c r="C1295" t="str">
        <f>C1275</f>
        <v>LNG</v>
      </c>
      <c r="D1295" t="s">
        <v>1366</v>
      </c>
      <c r="E1295" t="s">
        <v>750</v>
      </c>
      <c r="F1295" t="s">
        <v>1353</v>
      </c>
      <c r="G1295" s="487" t="str">
        <f t="shared" si="117"/>
        <v>LNGAsiaFinance cost</v>
      </c>
      <c r="H1295" s="493">
        <v>124.92989464921065</v>
      </c>
      <c r="I1295" s="493">
        <v>124.33994732460523</v>
      </c>
      <c r="J1295" s="493">
        <v>123.75000000000001</v>
      </c>
      <c r="K1295" s="493">
        <v>123.17378742556406</v>
      </c>
      <c r="L1295" s="493">
        <v>122.5975748511281</v>
      </c>
      <c r="M1295" s="493">
        <v>122.02136227669214</v>
      </c>
      <c r="N1295" s="493">
        <v>121.44514970225619</v>
      </c>
      <c r="O1295" s="493">
        <v>120.86893712782023</v>
      </c>
      <c r="P1295" s="493">
        <v>120.30613954049301</v>
      </c>
      <c r="Q1295" s="493">
        <v>119.74334195316558</v>
      </c>
      <c r="R1295" s="493">
        <v>119.18054436583836</v>
      </c>
      <c r="S1295" s="493">
        <v>118.61774677851093</v>
      </c>
      <c r="T1295" s="493">
        <v>118.05494919118351</v>
      </c>
      <c r="U1295" s="493">
        <v>117.50525427240908</v>
      </c>
      <c r="V1295" s="493">
        <v>116.95555935363443</v>
      </c>
      <c r="W1295" s="493">
        <v>116.40586443485979</v>
      </c>
      <c r="X1295" s="493">
        <v>115.85616951608516</v>
      </c>
      <c r="Y1295" s="493">
        <v>115.30647459731071</v>
      </c>
      <c r="Z1295" s="493">
        <v>114.76957729971993</v>
      </c>
      <c r="AA1295" s="493">
        <v>114.23268000212934</v>
      </c>
      <c r="AB1295" s="493">
        <v>113.69578270453856</v>
      </c>
      <c r="AC1295" s="493">
        <v>113.15888540694777</v>
      </c>
      <c r="AD1295" s="493">
        <v>112.62198810935699</v>
      </c>
      <c r="AE1295" s="493">
        <v>112.09759048748559</v>
      </c>
      <c r="AF1295" s="493">
        <v>111.5731928656142</v>
      </c>
      <c r="AG1295" s="493">
        <v>111.0487952437428</v>
      </c>
      <c r="AH1295" s="493">
        <v>110.52439762187142</v>
      </c>
      <c r="AI1295" s="493">
        <v>110.00000000000001</v>
      </c>
    </row>
    <row r="1296" spans="2:35" outlineLevel="1">
      <c r="B1296" t="str">
        <f t="shared" si="116"/>
        <v>LNG - Finance cost - Europe - USD/ton fuel</v>
      </c>
      <c r="C1296" t="str">
        <f>C1275</f>
        <v>LNG</v>
      </c>
      <c r="D1296" t="s">
        <v>1366</v>
      </c>
      <c r="E1296" t="s">
        <v>720</v>
      </c>
      <c r="F1296" t="s">
        <v>1353</v>
      </c>
      <c r="G1296" s="487" t="str">
        <f t="shared" si="117"/>
        <v>LNGEuropeFinance cost</v>
      </c>
      <c r="H1296" s="493">
        <v>124.92989464921065</v>
      </c>
      <c r="I1296" s="493">
        <v>124.33994732460523</v>
      </c>
      <c r="J1296" s="493">
        <v>123.75000000000001</v>
      </c>
      <c r="K1296" s="493">
        <v>123.17378742556406</v>
      </c>
      <c r="L1296" s="493">
        <v>122.5975748511281</v>
      </c>
      <c r="M1296" s="493">
        <v>122.02136227669214</v>
      </c>
      <c r="N1296" s="493">
        <v>121.44514970225619</v>
      </c>
      <c r="O1296" s="493">
        <v>120.86893712782023</v>
      </c>
      <c r="P1296" s="493">
        <v>120.30613954049301</v>
      </c>
      <c r="Q1296" s="493">
        <v>119.74334195316558</v>
      </c>
      <c r="R1296" s="493">
        <v>119.18054436583836</v>
      </c>
      <c r="S1296" s="493">
        <v>118.61774677851093</v>
      </c>
      <c r="T1296" s="493">
        <v>118.05494919118351</v>
      </c>
      <c r="U1296" s="493">
        <v>117.50525427240908</v>
      </c>
      <c r="V1296" s="493">
        <v>116.95555935363443</v>
      </c>
      <c r="W1296" s="493">
        <v>116.40586443485979</v>
      </c>
      <c r="X1296" s="493">
        <v>115.85616951608516</v>
      </c>
      <c r="Y1296" s="493">
        <v>115.30647459731071</v>
      </c>
      <c r="Z1296" s="493">
        <v>114.76957729971993</v>
      </c>
      <c r="AA1296" s="493">
        <v>114.23268000212934</v>
      </c>
      <c r="AB1296" s="493">
        <v>113.69578270453856</v>
      </c>
      <c r="AC1296" s="493">
        <v>113.15888540694777</v>
      </c>
      <c r="AD1296" s="493">
        <v>112.62198810935699</v>
      </c>
      <c r="AE1296" s="493">
        <v>112.09759048748559</v>
      </c>
      <c r="AF1296" s="493">
        <v>111.5731928656142</v>
      </c>
      <c r="AG1296" s="493">
        <v>111.0487952437428</v>
      </c>
      <c r="AH1296" s="493">
        <v>110.52439762187142</v>
      </c>
      <c r="AI1296" s="493">
        <v>110.00000000000001</v>
      </c>
    </row>
    <row r="1297" spans="2:64" outlineLevel="1">
      <c r="B1297" t="str">
        <f t="shared" si="116"/>
        <v>LNG - Finance cost - Middle East - USD/ton fuel</v>
      </c>
      <c r="C1297" t="str">
        <f>C1275</f>
        <v>LNG</v>
      </c>
      <c r="D1297" t="s">
        <v>1366</v>
      </c>
      <c r="E1297" t="s">
        <v>826</v>
      </c>
      <c r="F1297" t="s">
        <v>1353</v>
      </c>
      <c r="G1297" s="487" t="str">
        <f t="shared" si="117"/>
        <v>LNGMiddle EastFinance cost</v>
      </c>
      <c r="H1297" s="493">
        <v>124.92989464921065</v>
      </c>
      <c r="I1297" s="493">
        <v>124.33994732460523</v>
      </c>
      <c r="J1297" s="493">
        <v>123.75000000000001</v>
      </c>
      <c r="K1297" s="493">
        <v>123.17378742556406</v>
      </c>
      <c r="L1297" s="493">
        <v>122.5975748511281</v>
      </c>
      <c r="M1297" s="493">
        <v>122.02136227669214</v>
      </c>
      <c r="N1297" s="493">
        <v>121.44514970225619</v>
      </c>
      <c r="O1297" s="493">
        <v>120.86893712782023</v>
      </c>
      <c r="P1297" s="493">
        <v>120.30613954049301</v>
      </c>
      <c r="Q1297" s="493">
        <v>119.74334195316558</v>
      </c>
      <c r="R1297" s="493">
        <v>119.18054436583836</v>
      </c>
      <c r="S1297" s="493">
        <v>118.61774677851093</v>
      </c>
      <c r="T1297" s="493">
        <v>118.05494919118351</v>
      </c>
      <c r="U1297" s="493">
        <v>117.50525427240908</v>
      </c>
      <c r="V1297" s="493">
        <v>116.95555935363443</v>
      </c>
      <c r="W1297" s="493">
        <v>116.40586443485979</v>
      </c>
      <c r="X1297" s="493">
        <v>115.85616951608516</v>
      </c>
      <c r="Y1297" s="493">
        <v>115.30647459731071</v>
      </c>
      <c r="Z1297" s="493">
        <v>114.76957729971993</v>
      </c>
      <c r="AA1297" s="493">
        <v>114.23268000212934</v>
      </c>
      <c r="AB1297" s="493">
        <v>113.69578270453856</v>
      </c>
      <c r="AC1297" s="493">
        <v>113.15888540694777</v>
      </c>
      <c r="AD1297" s="493">
        <v>112.62198810935699</v>
      </c>
      <c r="AE1297" s="493">
        <v>112.09759048748559</v>
      </c>
      <c r="AF1297" s="493">
        <v>111.5731928656142</v>
      </c>
      <c r="AG1297" s="493">
        <v>111.0487952437428</v>
      </c>
      <c r="AH1297" s="493">
        <v>110.52439762187142</v>
      </c>
      <c r="AI1297" s="493">
        <v>110.00000000000001</v>
      </c>
    </row>
    <row r="1298" spans="2:64" ht="15" outlineLevel="1" thickBot="1">
      <c r="B1298" t="str">
        <f t="shared" si="116"/>
        <v/>
      </c>
      <c r="G1298" s="487" t="str">
        <f t="shared" si="117"/>
        <v/>
      </c>
      <c r="H1298" s="498"/>
    </row>
    <row r="1299" spans="2:64" ht="15" outlineLevel="1">
      <c r="B1299" t="str">
        <f t="shared" si="116"/>
        <v>LNG - Energy cost including feedstock energy cost - Africa - USD/ton fuel</v>
      </c>
      <c r="C1299" s="494" t="str">
        <f>C1275</f>
        <v>LNG</v>
      </c>
      <c r="D1299" s="494" t="s">
        <v>1367</v>
      </c>
      <c r="E1299" s="494" t="s">
        <v>838</v>
      </c>
      <c r="F1299" s="494" t="s">
        <v>1353</v>
      </c>
      <c r="G1299" s="487" t="str">
        <f t="shared" si="117"/>
        <v>LNGAfricaEnergy cost including feedstock energy cost</v>
      </c>
      <c r="H1299" s="495">
        <v>35.033884158308503</v>
      </c>
      <c r="I1299" s="495">
        <v>30.919977747395748</v>
      </c>
      <c r="J1299" s="495">
        <v>26.80607133648191</v>
      </c>
      <c r="K1299" s="495">
        <v>25.65925481102331</v>
      </c>
      <c r="L1299" s="495">
        <v>24.512438285564713</v>
      </c>
      <c r="M1299" s="495">
        <v>23.365621760106112</v>
      </c>
      <c r="N1299" s="495">
        <v>22.218805234647242</v>
      </c>
      <c r="O1299" s="495">
        <v>21.071988709188645</v>
      </c>
      <c r="P1299" s="495">
        <v>20.431834259056178</v>
      </c>
      <c r="Q1299" s="495">
        <v>19.791679808923707</v>
      </c>
      <c r="R1299" s="495">
        <v>19.151525358790966</v>
      </c>
      <c r="S1299" s="495">
        <v>18.511370908658499</v>
      </c>
      <c r="T1299" s="495">
        <v>17.871216458526099</v>
      </c>
      <c r="U1299" s="495">
        <v>17.569906277941822</v>
      </c>
      <c r="V1299" s="495">
        <v>17.268596097357612</v>
      </c>
      <c r="W1299" s="495">
        <v>16.967285916773335</v>
      </c>
      <c r="X1299" s="495">
        <v>16.665975736189058</v>
      </c>
      <c r="Y1299" s="495">
        <v>16.364665555604915</v>
      </c>
      <c r="Z1299" s="495">
        <v>16.054836989607747</v>
      </c>
      <c r="AA1299" s="495">
        <v>15.745008423610578</v>
      </c>
      <c r="AB1299" s="495">
        <v>15.435179857613274</v>
      </c>
      <c r="AC1299" s="495">
        <v>15.125351291616106</v>
      </c>
      <c r="AD1299" s="495">
        <v>14.81552272561887</v>
      </c>
      <c r="AE1299" s="495">
        <v>14.663450567763833</v>
      </c>
      <c r="AF1299" s="495">
        <v>14.511378409908865</v>
      </c>
      <c r="AG1299" s="495">
        <v>14.359306252053829</v>
      </c>
      <c r="AH1299" s="495">
        <v>14.207234094198792</v>
      </c>
      <c r="AI1299" s="495">
        <v>14.055161936343824</v>
      </c>
      <c r="AK1299" s="499" t="e">
        <f>H1282+H1285+H1288+H1299+#REF!=H1276</f>
        <v>#REF!</v>
      </c>
      <c r="AL1299" s="500" t="e">
        <f>I1282+I1285+I1288+I1299+#REF!=I1276</f>
        <v>#REF!</v>
      </c>
      <c r="AM1299" s="500" t="e">
        <f>J1282+J1285+J1288+J1299+#REF!=J1276</f>
        <v>#REF!</v>
      </c>
      <c r="AN1299" s="500" t="e">
        <f>K1282+K1285+K1288+K1299+#REF!=K1276</f>
        <v>#REF!</v>
      </c>
      <c r="AO1299" s="500" t="e">
        <f>L1282+L1285+L1288+L1299+#REF!=L1276</f>
        <v>#REF!</v>
      </c>
      <c r="AP1299" s="500" t="e">
        <f>M1282+M1285+M1288+M1299+#REF!=M1276</f>
        <v>#REF!</v>
      </c>
      <c r="AQ1299" s="500" t="e">
        <f>N1282+N1285+N1288+N1299+#REF!=N1276</f>
        <v>#REF!</v>
      </c>
      <c r="AR1299" s="500" t="e">
        <f>O1282+O1285+O1288+O1299+#REF!=O1276</f>
        <v>#REF!</v>
      </c>
      <c r="AS1299" s="500" t="e">
        <f>P1282+P1285+P1288+P1299+#REF!=P1276</f>
        <v>#REF!</v>
      </c>
      <c r="AT1299" s="500" t="e">
        <f>Q1282+Q1285+Q1288+Q1299+#REF!=Q1276</f>
        <v>#REF!</v>
      </c>
      <c r="AU1299" s="500" t="e">
        <f>R1282+R1285+R1288+R1299+#REF!=R1276</f>
        <v>#REF!</v>
      </c>
      <c r="AV1299" s="500" t="e">
        <f>S1282+S1285+S1288+S1299+#REF!=S1276</f>
        <v>#REF!</v>
      </c>
      <c r="AW1299" s="500" t="e">
        <f>T1282+T1285+T1288+T1299+#REF!=T1276</f>
        <v>#REF!</v>
      </c>
      <c r="AX1299" s="500" t="e">
        <f>U1282+U1285+U1288+U1299+#REF!=U1276</f>
        <v>#REF!</v>
      </c>
      <c r="AY1299" s="500" t="e">
        <f>V1282+V1285+V1288+V1299+#REF!=V1276</f>
        <v>#REF!</v>
      </c>
      <c r="AZ1299" s="500" t="e">
        <f>W1282+W1285+W1288+W1299+#REF!=W1276</f>
        <v>#REF!</v>
      </c>
      <c r="BA1299" s="500" t="e">
        <f>X1282+X1285+X1288+X1299+#REF!=X1276</f>
        <v>#REF!</v>
      </c>
      <c r="BB1299" s="500" t="e">
        <f>Y1282+Y1285+Y1288+Y1299+#REF!=Y1276</f>
        <v>#REF!</v>
      </c>
      <c r="BC1299" s="500" t="e">
        <f>Z1282+Z1285+Z1288+Z1299+#REF!=Z1276</f>
        <v>#REF!</v>
      </c>
      <c r="BD1299" s="500" t="e">
        <f>AA1282+AA1285+AA1288+AA1299+#REF!=AA1276</f>
        <v>#REF!</v>
      </c>
      <c r="BE1299" s="500" t="e">
        <f>AB1282+AB1285+AB1288+AB1299+#REF!=AB1276</f>
        <v>#REF!</v>
      </c>
      <c r="BF1299" s="500" t="e">
        <f>AC1282+AC1285+AC1288+AC1299+#REF!=AC1276</f>
        <v>#REF!</v>
      </c>
      <c r="BG1299" s="500" t="e">
        <f>AD1282+AD1285+AD1288+AD1299+#REF!=AD1276</f>
        <v>#REF!</v>
      </c>
      <c r="BH1299" s="500" t="e">
        <f>AE1282+AE1285+AE1288+AE1299+#REF!=AE1276</f>
        <v>#REF!</v>
      </c>
      <c r="BI1299" s="500" t="e">
        <f>AF1282+AF1285+AF1288+AF1299+#REF!=AF1276</f>
        <v>#REF!</v>
      </c>
      <c r="BJ1299" s="500" t="e">
        <f>AG1282+AG1285+AG1288+AG1299+#REF!=AG1276</f>
        <v>#REF!</v>
      </c>
      <c r="BK1299" s="500" t="e">
        <f>AH1282+AH1285+AH1288+AH1299+#REF!=AH1276</f>
        <v>#REF!</v>
      </c>
      <c r="BL1299" s="501" t="e">
        <f>AI1282+AI1285+AI1288+AI1299+#REF!=AI1276</f>
        <v>#REF!</v>
      </c>
    </row>
    <row r="1300" spans="2:64" ht="15" outlineLevel="1">
      <c r="B1300" t="str">
        <f t="shared" si="116"/>
        <v>LNG - Energy cost including feedstock energy cost - Americas - USD/ton fuel</v>
      </c>
      <c r="C1300" s="22" t="str">
        <f>C1275</f>
        <v>LNG</v>
      </c>
      <c r="D1300" s="22" t="s">
        <v>1367</v>
      </c>
      <c r="E1300" s="22" t="s">
        <v>731</v>
      </c>
      <c r="F1300" s="22" t="s">
        <v>1353</v>
      </c>
      <c r="G1300" s="487" t="str">
        <f t="shared" si="117"/>
        <v>LNGAmericasEnergy cost including feedstock energy cost</v>
      </c>
      <c r="H1300" s="496">
        <v>22.012310723860217</v>
      </c>
      <c r="I1300" s="496">
        <v>21.556466491183574</v>
      </c>
      <c r="J1300" s="496">
        <v>21.100622258506792</v>
      </c>
      <c r="K1300" s="496">
        <v>20.33006650585321</v>
      </c>
      <c r="L1300" s="496">
        <v>19.559510753199628</v>
      </c>
      <c r="M1300" s="496">
        <v>18.788955000546046</v>
      </c>
      <c r="N1300" s="496">
        <v>18.018399247892738</v>
      </c>
      <c r="O1300" s="496">
        <v>17.247843495239156</v>
      </c>
      <c r="P1300" s="496">
        <v>16.877033567022497</v>
      </c>
      <c r="Q1300" s="496">
        <v>16.506223638805839</v>
      </c>
      <c r="R1300" s="496">
        <v>16.13541371058918</v>
      </c>
      <c r="S1300" s="496">
        <v>15.764603782372523</v>
      </c>
      <c r="T1300" s="496">
        <v>15.393793854155795</v>
      </c>
      <c r="U1300" s="496">
        <v>15.093206205252955</v>
      </c>
      <c r="V1300" s="496">
        <v>14.792618556350112</v>
      </c>
      <c r="W1300" s="496">
        <v>14.492030907447202</v>
      </c>
      <c r="X1300" s="496">
        <v>14.191443258544359</v>
      </c>
      <c r="Y1300" s="496">
        <v>13.890855609641482</v>
      </c>
      <c r="Z1300" s="496">
        <v>13.769758412927786</v>
      </c>
      <c r="AA1300" s="496">
        <v>13.648661216214089</v>
      </c>
      <c r="AB1300" s="496">
        <v>13.527564019500426</v>
      </c>
      <c r="AC1300" s="496">
        <v>13.406466822786728</v>
      </c>
      <c r="AD1300" s="496">
        <v>13.285369626073031</v>
      </c>
      <c r="AE1300" s="496">
        <v>13.194010362475922</v>
      </c>
      <c r="AF1300" s="496">
        <v>13.102651098878846</v>
      </c>
      <c r="AG1300" s="496">
        <v>13.011291835281769</v>
      </c>
      <c r="AH1300" s="496">
        <v>12.919932571684694</v>
      </c>
      <c r="AI1300" s="496">
        <v>12.828573308087618</v>
      </c>
      <c r="AK1300" s="502" t="e">
        <f>H1282+H1285+H1289+H1300+#REF!=H1277</f>
        <v>#REF!</v>
      </c>
      <c r="AL1300" s="106" t="e">
        <f>I1282+I1285+I1289+I1300+#REF!=I1277</f>
        <v>#REF!</v>
      </c>
      <c r="AM1300" s="106" t="e">
        <f>J1282+J1285+J1289+J1300+#REF!=J1277</f>
        <v>#REF!</v>
      </c>
      <c r="AN1300" s="106" t="e">
        <f>K1282+K1285+K1289+K1300+#REF!=K1277</f>
        <v>#REF!</v>
      </c>
      <c r="AO1300" s="106" t="e">
        <f>L1282+L1285+L1289+L1300+#REF!=L1277</f>
        <v>#REF!</v>
      </c>
      <c r="AP1300" s="106" t="e">
        <f>M1282+M1285+M1289+M1300+#REF!=M1277</f>
        <v>#REF!</v>
      </c>
      <c r="AQ1300" s="106" t="e">
        <f>N1282+N1285+N1289+N1300+#REF!=N1277</f>
        <v>#REF!</v>
      </c>
      <c r="AR1300" s="106" t="e">
        <f>O1282+O1285+O1289+O1300+#REF!=O1277</f>
        <v>#REF!</v>
      </c>
      <c r="AS1300" s="106" t="e">
        <f>P1282+P1285+P1289+P1300+#REF!=P1277</f>
        <v>#REF!</v>
      </c>
      <c r="AT1300" s="106" t="e">
        <f>Q1282+Q1285+Q1289+Q1300+#REF!=Q1277</f>
        <v>#REF!</v>
      </c>
      <c r="AU1300" s="106" t="e">
        <f>R1282+R1285+R1289+R1300+#REF!=R1277</f>
        <v>#REF!</v>
      </c>
      <c r="AV1300" s="106" t="e">
        <f>S1282+S1285+S1289+S1300+#REF!=S1277</f>
        <v>#REF!</v>
      </c>
      <c r="AW1300" s="106" t="e">
        <f>T1282+T1285+T1289+T1300+#REF!=T1277</f>
        <v>#REF!</v>
      </c>
      <c r="AX1300" s="106" t="e">
        <f>U1282+U1285+U1289+U1300+#REF!=U1277</f>
        <v>#REF!</v>
      </c>
      <c r="AY1300" s="106" t="e">
        <f>V1282+V1285+V1289+V1300+#REF!=V1277</f>
        <v>#REF!</v>
      </c>
      <c r="AZ1300" s="106" t="e">
        <f>W1282+W1285+W1289+W1300+#REF!=W1277</f>
        <v>#REF!</v>
      </c>
      <c r="BA1300" s="106" t="e">
        <f>X1282+X1285+X1289+X1300+#REF!=X1277</f>
        <v>#REF!</v>
      </c>
      <c r="BB1300" s="106" t="e">
        <f>Y1282+Y1285+Y1289+Y1300+#REF!=Y1277</f>
        <v>#REF!</v>
      </c>
      <c r="BC1300" s="106" t="e">
        <f>Z1282+Z1285+Z1289+Z1300+#REF!=Z1277</f>
        <v>#REF!</v>
      </c>
      <c r="BD1300" s="106" t="e">
        <f>AA1282+AA1285+AA1289+AA1300+#REF!=AA1277</f>
        <v>#REF!</v>
      </c>
      <c r="BE1300" s="106" t="e">
        <f>AB1282+AB1285+AB1289+AB1300+#REF!=AB1277</f>
        <v>#REF!</v>
      </c>
      <c r="BF1300" s="106" t="e">
        <f>AC1282+AC1285+AC1289+AC1300+#REF!=AC1277</f>
        <v>#REF!</v>
      </c>
      <c r="BG1300" s="106" t="e">
        <f>AD1282+AD1285+AD1289+AD1300+#REF!=AD1277</f>
        <v>#REF!</v>
      </c>
      <c r="BH1300" s="106" t="e">
        <f>AE1282+AE1285+AE1289+AE1300+#REF!=AE1277</f>
        <v>#REF!</v>
      </c>
      <c r="BI1300" s="106" t="e">
        <f>AF1282+AF1285+AF1289+AF1300+#REF!=AF1277</f>
        <v>#REF!</v>
      </c>
      <c r="BJ1300" s="106" t="e">
        <f>AG1282+AG1285+AG1289+AG1300+#REF!=AG1277</f>
        <v>#REF!</v>
      </c>
      <c r="BK1300" s="106" t="e">
        <f>AH1282+AH1285+AH1289+AH1300+#REF!=AH1277</f>
        <v>#REF!</v>
      </c>
      <c r="BL1300" s="503" t="e">
        <f>AI1282+AI1285+AI1289+AI1300+#REF!=AI1277</f>
        <v>#REF!</v>
      </c>
    </row>
    <row r="1301" spans="2:64" ht="15" outlineLevel="1">
      <c r="B1301" t="str">
        <f t="shared" si="116"/>
        <v>LNG - Energy cost including feedstock energy cost - Asia - USD/ton fuel</v>
      </c>
      <c r="C1301" s="22" t="str">
        <f>C1275</f>
        <v>LNG</v>
      </c>
      <c r="D1301" s="22" t="s">
        <v>1367</v>
      </c>
      <c r="E1301" s="22" t="s">
        <v>750</v>
      </c>
      <c r="F1301" s="22" t="s">
        <v>1353</v>
      </c>
      <c r="G1301" s="487" t="str">
        <f t="shared" si="117"/>
        <v>LNGAsiaEnergy cost including feedstock energy cost</v>
      </c>
      <c r="H1301" s="496">
        <v>38.96496149388549</v>
      </c>
      <c r="I1301" s="496">
        <v>35.540944762101567</v>
      </c>
      <c r="J1301" s="496">
        <v>32.116928030319286</v>
      </c>
      <c r="K1301" s="496">
        <v>30.888761660534144</v>
      </c>
      <c r="L1301" s="496">
        <v>29.660595290749551</v>
      </c>
      <c r="M1301" s="496">
        <v>28.432428920964412</v>
      </c>
      <c r="N1301" s="496">
        <v>27.204262551179273</v>
      </c>
      <c r="O1301" s="496">
        <v>25.976096181394677</v>
      </c>
      <c r="P1301" s="496">
        <v>25.141324839787011</v>
      </c>
      <c r="Q1301" s="496">
        <v>24.306553498179618</v>
      </c>
      <c r="R1301" s="496">
        <v>23.471782156572498</v>
      </c>
      <c r="S1301" s="496">
        <v>22.637010814965105</v>
      </c>
      <c r="T1301" s="496">
        <v>21.802239473357712</v>
      </c>
      <c r="U1301" s="496">
        <v>21.37782149863542</v>
      </c>
      <c r="V1301" s="496">
        <v>20.953403523913128</v>
      </c>
      <c r="W1301" s="496">
        <v>20.528985549190974</v>
      </c>
      <c r="X1301" s="496">
        <v>20.104567574468682</v>
      </c>
      <c r="Y1301" s="496">
        <v>19.680149599746663</v>
      </c>
      <c r="Z1301" s="496">
        <v>19.235899376458519</v>
      </c>
      <c r="AA1301" s="496">
        <v>18.791649153170511</v>
      </c>
      <c r="AB1301" s="496">
        <v>18.347398929882363</v>
      </c>
      <c r="AC1301" s="496">
        <v>17.903148706594354</v>
      </c>
      <c r="AD1301" s="496">
        <v>17.458898483306211</v>
      </c>
      <c r="AE1301" s="496">
        <v>17.255171219323916</v>
      </c>
      <c r="AF1301" s="496">
        <v>17.051443955341551</v>
      </c>
      <c r="AG1301" s="496">
        <v>16.847716691359256</v>
      </c>
      <c r="AH1301" s="496">
        <v>16.643989427376958</v>
      </c>
      <c r="AI1301" s="496">
        <v>16.440262163394596</v>
      </c>
      <c r="AK1301" s="502" t="e">
        <f>H1282+H1285+H1290+H1301+#REF!=H1278</f>
        <v>#REF!</v>
      </c>
      <c r="AL1301" s="106" t="e">
        <f>I1282+I1285+I1290+I1301+#REF!=I1278</f>
        <v>#REF!</v>
      </c>
      <c r="AM1301" s="106" t="e">
        <f>J1282+J1285+J1290+J1301+#REF!=J1278</f>
        <v>#REF!</v>
      </c>
      <c r="AN1301" s="106" t="e">
        <f>K1282+K1285+K1290+K1301+#REF!=K1278</f>
        <v>#REF!</v>
      </c>
      <c r="AO1301" s="106" t="e">
        <f>L1282+L1285+L1290+L1301+#REF!=L1278</f>
        <v>#REF!</v>
      </c>
      <c r="AP1301" s="106" t="e">
        <f>M1282+M1285+M1290+M1301+#REF!=M1278</f>
        <v>#REF!</v>
      </c>
      <c r="AQ1301" s="106" t="e">
        <f>N1282+N1285+N1290+N1301+#REF!=N1278</f>
        <v>#REF!</v>
      </c>
      <c r="AR1301" s="106" t="e">
        <f>O1282+O1285+O1290+O1301+#REF!=O1278</f>
        <v>#REF!</v>
      </c>
      <c r="AS1301" s="106" t="e">
        <f>P1282+P1285+P1290+P1301+#REF!=P1278</f>
        <v>#REF!</v>
      </c>
      <c r="AT1301" s="106" t="e">
        <f>Q1282+Q1285+Q1290+Q1301+#REF!=Q1278</f>
        <v>#REF!</v>
      </c>
      <c r="AU1301" s="106" t="e">
        <f>R1282+R1285+R1290+R1301+#REF!=R1278</f>
        <v>#REF!</v>
      </c>
      <c r="AV1301" s="106" t="e">
        <f>S1282+S1285+S1290+S1301+#REF!=S1278</f>
        <v>#REF!</v>
      </c>
      <c r="AW1301" s="106" t="e">
        <f>T1282+T1285+T1290+T1301+#REF!=T1278</f>
        <v>#REF!</v>
      </c>
      <c r="AX1301" s="106" t="e">
        <f>U1282+U1285+U1290+U1301+#REF!=U1278</f>
        <v>#REF!</v>
      </c>
      <c r="AY1301" s="106" t="e">
        <f>V1282+V1285+V1290+V1301+#REF!=V1278</f>
        <v>#REF!</v>
      </c>
      <c r="AZ1301" s="106" t="e">
        <f>W1282+W1285+W1290+W1301+#REF!=W1278</f>
        <v>#REF!</v>
      </c>
      <c r="BA1301" s="106" t="e">
        <f>X1282+X1285+X1290+X1301+#REF!=X1278</f>
        <v>#REF!</v>
      </c>
      <c r="BB1301" s="106" t="e">
        <f>Y1282+Y1285+Y1290+Y1301+#REF!=Y1278</f>
        <v>#REF!</v>
      </c>
      <c r="BC1301" s="106" t="e">
        <f>Z1282+Z1285+Z1290+Z1301+#REF!=Z1278</f>
        <v>#REF!</v>
      </c>
      <c r="BD1301" s="106" t="e">
        <f>AA1282+AA1285+AA1290+AA1301+#REF!=AA1278</f>
        <v>#REF!</v>
      </c>
      <c r="BE1301" s="106" t="e">
        <f>AB1282+AB1285+AB1290+AB1301+#REF!=AB1278</f>
        <v>#REF!</v>
      </c>
      <c r="BF1301" s="106" t="e">
        <f>AC1282+AC1285+AC1290+AC1301+#REF!=AC1278</f>
        <v>#REF!</v>
      </c>
      <c r="BG1301" s="106" t="e">
        <f>AD1282+AD1285+AD1290+AD1301+#REF!=AD1278</f>
        <v>#REF!</v>
      </c>
      <c r="BH1301" s="106" t="e">
        <f>AE1282+AE1285+AE1290+AE1301+#REF!=AE1278</f>
        <v>#REF!</v>
      </c>
      <c r="BI1301" s="106" t="e">
        <f>AF1282+AF1285+AF1290+AF1301+#REF!=AF1278</f>
        <v>#REF!</v>
      </c>
      <c r="BJ1301" s="106" t="e">
        <f>AG1282+AG1285+AG1290+AG1301+#REF!=AG1278</f>
        <v>#REF!</v>
      </c>
      <c r="BK1301" s="106" t="e">
        <f>AH1282+AH1285+AH1290+AH1301+#REF!=AH1278</f>
        <v>#REF!</v>
      </c>
      <c r="BL1301" s="503" t="e">
        <f>AI1282+AI1285+AI1290+AI1301+#REF!=AI1278</f>
        <v>#REF!</v>
      </c>
    </row>
    <row r="1302" spans="2:64" ht="15" outlineLevel="1">
      <c r="B1302" t="str">
        <f t="shared" si="116"/>
        <v>LNG - Energy cost including feedstock energy cost - Europe - USD/ton fuel</v>
      </c>
      <c r="C1302" s="22" t="str">
        <f>C1275</f>
        <v>LNG</v>
      </c>
      <c r="D1302" s="22" t="s">
        <v>1367</v>
      </c>
      <c r="E1302" s="22" t="s">
        <v>720</v>
      </c>
      <c r="F1302" s="22" t="s">
        <v>1353</v>
      </c>
      <c r="G1302" s="487" t="str">
        <f t="shared" si="117"/>
        <v>LNGEuropeEnergy cost including feedstock energy cost</v>
      </c>
      <c r="H1302" s="496">
        <v>29.007303214654346</v>
      </c>
      <c r="I1302" s="496">
        <v>27.757100635909591</v>
      </c>
      <c r="J1302" s="496">
        <v>26.506898057164836</v>
      </c>
      <c r="K1302" s="496">
        <v>25.49672681863467</v>
      </c>
      <c r="L1302" s="496">
        <v>24.486555580104231</v>
      </c>
      <c r="M1302" s="496">
        <v>23.476384341574065</v>
      </c>
      <c r="N1302" s="496">
        <v>22.466213103043629</v>
      </c>
      <c r="O1302" s="496">
        <v>21.456041864513463</v>
      </c>
      <c r="P1302" s="496">
        <v>21.036315923909658</v>
      </c>
      <c r="Q1302" s="496">
        <v>20.616589983306266</v>
      </c>
      <c r="R1302" s="496">
        <v>20.196864042702735</v>
      </c>
      <c r="S1302" s="496">
        <v>19.777138102099205</v>
      </c>
      <c r="T1302" s="496">
        <v>19.357412161495812</v>
      </c>
      <c r="U1302" s="496">
        <v>19.106814441370034</v>
      </c>
      <c r="V1302" s="496">
        <v>18.856216721244323</v>
      </c>
      <c r="W1302" s="496">
        <v>18.605619001118612</v>
      </c>
      <c r="X1302" s="496">
        <v>18.355021280992901</v>
      </c>
      <c r="Y1302" s="496">
        <v>18.104423560867051</v>
      </c>
      <c r="Z1302" s="496">
        <v>17.836329243096269</v>
      </c>
      <c r="AA1302" s="496">
        <v>17.568234925325417</v>
      </c>
      <c r="AB1302" s="496">
        <v>17.300140607554635</v>
      </c>
      <c r="AC1302" s="496">
        <v>17.032046289783782</v>
      </c>
      <c r="AD1302" s="496">
        <v>16.763951972013</v>
      </c>
      <c r="AE1302" s="496">
        <v>16.568344836559117</v>
      </c>
      <c r="AF1302" s="496">
        <v>16.372737701105166</v>
      </c>
      <c r="AG1302" s="496">
        <v>16.177130565651282</v>
      </c>
      <c r="AH1302" s="496">
        <v>15.981523430197399</v>
      </c>
      <c r="AI1302" s="496">
        <v>15.785916294743446</v>
      </c>
      <c r="AK1302" s="502" t="e">
        <f>H1282+H1285+H1291+H1302+#REF!=H1279</f>
        <v>#REF!</v>
      </c>
      <c r="AL1302" s="106" t="e">
        <f>I1282+I1285+I1291+I1302+#REF!=I1279</f>
        <v>#REF!</v>
      </c>
      <c r="AM1302" s="106" t="e">
        <f>J1282+J1285+J1291+J1302+#REF!=J1279</f>
        <v>#REF!</v>
      </c>
      <c r="AN1302" s="106" t="e">
        <f>K1282+K1285+K1291+K1302+#REF!=K1279</f>
        <v>#REF!</v>
      </c>
      <c r="AO1302" s="106" t="e">
        <f>L1282+L1285+L1291+L1302+#REF!=L1279</f>
        <v>#REF!</v>
      </c>
      <c r="AP1302" s="106" t="e">
        <f>M1282+M1285+M1291+M1302+#REF!=M1279</f>
        <v>#REF!</v>
      </c>
      <c r="AQ1302" s="106" t="e">
        <f>N1282+N1285+N1291+N1302+#REF!=N1279</f>
        <v>#REF!</v>
      </c>
      <c r="AR1302" s="106" t="e">
        <f>O1282+O1285+O1291+O1302+#REF!=O1279</f>
        <v>#REF!</v>
      </c>
      <c r="AS1302" s="106" t="e">
        <f>P1282+P1285+P1291+P1302+#REF!=P1279</f>
        <v>#REF!</v>
      </c>
      <c r="AT1302" s="106" t="e">
        <f>Q1282+Q1285+Q1291+Q1302+#REF!=Q1279</f>
        <v>#REF!</v>
      </c>
      <c r="AU1302" s="106" t="e">
        <f>R1282+R1285+R1291+R1302+#REF!=R1279</f>
        <v>#REF!</v>
      </c>
      <c r="AV1302" s="106" t="e">
        <f>S1282+S1285+S1291+S1302+#REF!=S1279</f>
        <v>#REF!</v>
      </c>
      <c r="AW1302" s="106" t="e">
        <f>T1282+T1285+T1291+T1302+#REF!=T1279</f>
        <v>#REF!</v>
      </c>
      <c r="AX1302" s="106" t="e">
        <f>U1282+U1285+U1291+U1302+#REF!=U1279</f>
        <v>#REF!</v>
      </c>
      <c r="AY1302" s="106" t="e">
        <f>V1282+V1285+V1291+V1302+#REF!=V1279</f>
        <v>#REF!</v>
      </c>
      <c r="AZ1302" s="106" t="e">
        <f>W1282+W1285+W1291+W1302+#REF!=W1279</f>
        <v>#REF!</v>
      </c>
      <c r="BA1302" s="106" t="e">
        <f>X1282+X1285+X1291+X1302+#REF!=X1279</f>
        <v>#REF!</v>
      </c>
      <c r="BB1302" s="106" t="e">
        <f>Y1282+Y1285+Y1291+Y1302+#REF!=Y1279</f>
        <v>#REF!</v>
      </c>
      <c r="BC1302" s="106" t="e">
        <f>Z1282+Z1285+Z1291+Z1302+#REF!=Z1279</f>
        <v>#REF!</v>
      </c>
      <c r="BD1302" s="106" t="e">
        <f>AA1282+AA1285+AA1291+AA1302+#REF!=AA1279</f>
        <v>#REF!</v>
      </c>
      <c r="BE1302" s="106" t="e">
        <f>AB1282+AB1285+AB1291+AB1302+#REF!=AB1279</f>
        <v>#REF!</v>
      </c>
      <c r="BF1302" s="106" t="e">
        <f>AC1282+AC1285+AC1291+AC1302+#REF!=AC1279</f>
        <v>#REF!</v>
      </c>
      <c r="BG1302" s="106" t="e">
        <f>AD1282+AD1285+AD1291+AD1302+#REF!=AD1279</f>
        <v>#REF!</v>
      </c>
      <c r="BH1302" s="106" t="e">
        <f>AE1282+AE1285+AE1291+AE1302+#REF!=AE1279</f>
        <v>#REF!</v>
      </c>
      <c r="BI1302" s="106" t="e">
        <f>AF1282+AF1285+AF1291+AF1302+#REF!=AF1279</f>
        <v>#REF!</v>
      </c>
      <c r="BJ1302" s="106" t="e">
        <f>AG1282+AG1285+AG1291+AG1302+#REF!=AG1279</f>
        <v>#REF!</v>
      </c>
      <c r="BK1302" s="106" t="e">
        <f>AH1282+AH1285+AH1291+AH1302+#REF!=AH1279</f>
        <v>#REF!</v>
      </c>
      <c r="BL1302" s="503" t="e">
        <f>AI1282+AI1285+AI1291+AI1302+#REF!=AI1279</f>
        <v>#REF!</v>
      </c>
    </row>
    <row r="1303" spans="2:64" ht="15.75" outlineLevel="1" thickBot="1">
      <c r="B1303" t="str">
        <f t="shared" si="116"/>
        <v>LNG - Energy cost including feedstock energy cost - Middle East - USD/ton fuel</v>
      </c>
      <c r="C1303" s="92" t="str">
        <f>C1275</f>
        <v>LNG</v>
      </c>
      <c r="D1303" s="92" t="s">
        <v>1367</v>
      </c>
      <c r="E1303" s="92" t="s">
        <v>826</v>
      </c>
      <c r="F1303" s="92" t="s">
        <v>1353</v>
      </c>
      <c r="G1303" s="487" t="str">
        <f t="shared" si="117"/>
        <v>LNGMiddle EastEnergy cost including feedstock energy cost</v>
      </c>
      <c r="H1303" s="497">
        <v>22.212190003898375</v>
      </c>
      <c r="I1303" s="497">
        <v>21.232021740260461</v>
      </c>
      <c r="J1303" s="497">
        <v>20.251853476622273</v>
      </c>
      <c r="K1303" s="497">
        <v>19.602892276312467</v>
      </c>
      <c r="L1303" s="497">
        <v>18.953931076002664</v>
      </c>
      <c r="M1303" s="497">
        <v>18.304969875692858</v>
      </c>
      <c r="N1303" s="497">
        <v>17.656008675383053</v>
      </c>
      <c r="O1303" s="497">
        <v>17.00704747507325</v>
      </c>
      <c r="P1303" s="497">
        <v>16.549455045217972</v>
      </c>
      <c r="Q1303" s="497">
        <v>16.091862615362832</v>
      </c>
      <c r="R1303" s="497">
        <v>15.634270185507557</v>
      </c>
      <c r="S1303" s="497">
        <v>15.176677755652417</v>
      </c>
      <c r="T1303" s="497">
        <v>14.719085325797277</v>
      </c>
      <c r="U1303" s="497">
        <v>14.489653293063725</v>
      </c>
      <c r="V1303" s="497">
        <v>14.260221260330171</v>
      </c>
      <c r="W1303" s="497">
        <v>14.030789227596687</v>
      </c>
      <c r="X1303" s="497">
        <v>13.801357194863135</v>
      </c>
      <c r="Y1303" s="497">
        <v>13.571925162129583</v>
      </c>
      <c r="Z1303" s="497">
        <v>13.271048899002039</v>
      </c>
      <c r="AA1303" s="497">
        <v>12.970172635874563</v>
      </c>
      <c r="AB1303" s="497">
        <v>12.669296372747022</v>
      </c>
      <c r="AC1303" s="497">
        <v>12.368420109619546</v>
      </c>
      <c r="AD1303" s="497">
        <v>12.067543846491969</v>
      </c>
      <c r="AE1303" s="497">
        <v>11.926724316796832</v>
      </c>
      <c r="AF1303" s="497">
        <v>11.78590478710173</v>
      </c>
      <c r="AG1303" s="497">
        <v>11.645085257406594</v>
      </c>
      <c r="AH1303" s="497">
        <v>11.504265727711458</v>
      </c>
      <c r="AI1303" s="497">
        <v>11.363446198016357</v>
      </c>
      <c r="AK1303" s="504" t="e">
        <f>H1282+H1285+H1292+H1303+#REF!=H1280</f>
        <v>#REF!</v>
      </c>
      <c r="AL1303" s="505" t="e">
        <f>I1282+I1285+I1292+I1303+#REF!=I1280</f>
        <v>#REF!</v>
      </c>
      <c r="AM1303" s="505" t="e">
        <f>J1282+J1285+J1292+J1303+#REF!=J1280</f>
        <v>#REF!</v>
      </c>
      <c r="AN1303" s="505" t="e">
        <f>K1282+K1285+K1292+K1303+#REF!=K1280</f>
        <v>#REF!</v>
      </c>
      <c r="AO1303" s="505" t="e">
        <f>L1282+L1285+L1292+L1303+#REF!=L1280</f>
        <v>#REF!</v>
      </c>
      <c r="AP1303" s="505" t="e">
        <f>M1282+M1285+M1292+M1303+#REF!=M1280</f>
        <v>#REF!</v>
      </c>
      <c r="AQ1303" s="505" t="e">
        <f>N1282+N1285+N1292+N1303+#REF!=N1280</f>
        <v>#REF!</v>
      </c>
      <c r="AR1303" s="505" t="e">
        <f>O1282+O1285+O1292+O1303+#REF!=O1280</f>
        <v>#REF!</v>
      </c>
      <c r="AS1303" s="505" t="e">
        <f>P1282+P1285+P1292+P1303+#REF!=P1280</f>
        <v>#REF!</v>
      </c>
      <c r="AT1303" s="505" t="e">
        <f>Q1282+Q1285+Q1292+Q1303+#REF!=Q1280</f>
        <v>#REF!</v>
      </c>
      <c r="AU1303" s="505" t="e">
        <f>R1282+R1285+R1292+R1303+#REF!=R1280</f>
        <v>#REF!</v>
      </c>
      <c r="AV1303" s="505" t="e">
        <f>S1282+S1285+S1292+S1303+#REF!=S1280</f>
        <v>#REF!</v>
      </c>
      <c r="AW1303" s="505" t="e">
        <f>T1282+T1285+T1292+T1303+#REF!=T1280</f>
        <v>#REF!</v>
      </c>
      <c r="AX1303" s="505" t="e">
        <f>U1282+U1285+U1292+U1303+#REF!=U1280</f>
        <v>#REF!</v>
      </c>
      <c r="AY1303" s="505" t="e">
        <f>V1282+V1285+V1292+V1303+#REF!=V1280</f>
        <v>#REF!</v>
      </c>
      <c r="AZ1303" s="505" t="e">
        <f>W1282+W1285+W1292+W1303+#REF!=W1280</f>
        <v>#REF!</v>
      </c>
      <c r="BA1303" s="505" t="e">
        <f>X1282+X1285+X1292+X1303+#REF!=X1280</f>
        <v>#REF!</v>
      </c>
      <c r="BB1303" s="505" t="e">
        <f>Y1282+Y1285+Y1292+Y1303+#REF!=Y1280</f>
        <v>#REF!</v>
      </c>
      <c r="BC1303" s="505" t="e">
        <f>Z1282+Z1285+Z1292+Z1303+#REF!=Z1280</f>
        <v>#REF!</v>
      </c>
      <c r="BD1303" s="505" t="e">
        <f>AA1282+AA1285+AA1292+AA1303+#REF!=AA1280</f>
        <v>#REF!</v>
      </c>
      <c r="BE1303" s="505" t="e">
        <f>AB1282+AB1285+AB1292+AB1303+#REF!=AB1280</f>
        <v>#REF!</v>
      </c>
      <c r="BF1303" s="505" t="e">
        <f>AC1282+AC1285+AC1292+AC1303+#REF!=AC1280</f>
        <v>#REF!</v>
      </c>
      <c r="BG1303" s="505" t="e">
        <f>AD1282+AD1285+AD1292+AD1303+#REF!=AD1280</f>
        <v>#REF!</v>
      </c>
      <c r="BH1303" s="505" t="e">
        <f>AE1282+AE1285+AE1292+AE1303+#REF!=AE1280</f>
        <v>#REF!</v>
      </c>
      <c r="BI1303" s="505" t="e">
        <f>AF1282+AF1285+AF1292+AF1303+#REF!=AF1280</f>
        <v>#REF!</v>
      </c>
      <c r="BJ1303" s="505" t="e">
        <f>AG1282+AG1285+AG1292+AG1303+#REF!=AG1280</f>
        <v>#REF!</v>
      </c>
      <c r="BK1303" s="505" t="e">
        <f>AH1282+AH1285+AH1292+AH1303+#REF!=AH1280</f>
        <v>#REF!</v>
      </c>
      <c r="BL1303" s="506" t="e">
        <f>AI1282+AI1285+AI1292+AI1303+#REF!=AI1280</f>
        <v>#REF!</v>
      </c>
    </row>
    <row r="1304" spans="2:64" outlineLevel="1">
      <c r="B1304" t="str">
        <f t="shared" si="116"/>
        <v>LNG - Energy cost - Africa - USD/ton fuel</v>
      </c>
      <c r="C1304" t="str">
        <f>C1275</f>
        <v>LNG</v>
      </c>
      <c r="D1304" t="s">
        <v>1368</v>
      </c>
      <c r="E1304" t="s">
        <v>838</v>
      </c>
      <c r="F1304" t="s">
        <v>1353</v>
      </c>
      <c r="G1304" s="487" t="str">
        <f t="shared" si="117"/>
        <v>LNGAfricaEnergy cost</v>
      </c>
      <c r="H1304" s="493">
        <v>35.033884158308503</v>
      </c>
      <c r="I1304" s="493">
        <v>30.919977747395748</v>
      </c>
      <c r="J1304" s="493">
        <v>26.80607133648191</v>
      </c>
      <c r="K1304" s="493">
        <v>25.65925481102331</v>
      </c>
      <c r="L1304" s="493">
        <v>24.512438285564713</v>
      </c>
      <c r="M1304" s="493">
        <v>23.365621760106112</v>
      </c>
      <c r="N1304" s="493">
        <v>22.218805234647242</v>
      </c>
      <c r="O1304" s="493">
        <v>21.071988709188645</v>
      </c>
      <c r="P1304" s="493">
        <v>20.431834259056178</v>
      </c>
      <c r="Q1304" s="493">
        <v>19.791679808923707</v>
      </c>
      <c r="R1304" s="493">
        <v>19.151525358790966</v>
      </c>
      <c r="S1304" s="493">
        <v>18.511370908658499</v>
      </c>
      <c r="T1304" s="493">
        <v>17.871216458526099</v>
      </c>
      <c r="U1304" s="493">
        <v>17.569906277941822</v>
      </c>
      <c r="V1304" s="493">
        <v>17.268596097357612</v>
      </c>
      <c r="W1304" s="493">
        <v>16.967285916773335</v>
      </c>
      <c r="X1304" s="493">
        <v>16.665975736189058</v>
      </c>
      <c r="Y1304" s="493">
        <v>16.364665555604915</v>
      </c>
      <c r="Z1304" s="493">
        <v>16.054836989607747</v>
      </c>
      <c r="AA1304" s="493">
        <v>15.745008423610578</v>
      </c>
      <c r="AB1304" s="493">
        <v>15.435179857613274</v>
      </c>
      <c r="AC1304" s="493">
        <v>15.125351291616106</v>
      </c>
      <c r="AD1304" s="493">
        <v>14.81552272561887</v>
      </c>
      <c r="AE1304" s="493">
        <v>14.663450567763833</v>
      </c>
      <c r="AF1304" s="493">
        <v>14.511378409908865</v>
      </c>
      <c r="AG1304" s="493">
        <v>14.359306252053829</v>
      </c>
      <c r="AH1304" s="493">
        <v>14.207234094198792</v>
      </c>
      <c r="AI1304" s="493">
        <v>14.055161936343824</v>
      </c>
    </row>
    <row r="1305" spans="2:64" outlineLevel="1">
      <c r="B1305" t="str">
        <f t="shared" si="116"/>
        <v>LNG - Energy cost - Americas - USD/ton fuel</v>
      </c>
      <c r="C1305" t="str">
        <f>C1275</f>
        <v>LNG</v>
      </c>
      <c r="D1305" t="s">
        <v>1368</v>
      </c>
      <c r="E1305" t="s">
        <v>731</v>
      </c>
      <c r="F1305" t="s">
        <v>1353</v>
      </c>
      <c r="G1305" s="487" t="str">
        <f t="shared" si="117"/>
        <v>LNGAmericasEnergy cost</v>
      </c>
      <c r="H1305" s="493">
        <v>22.012310723860217</v>
      </c>
      <c r="I1305" s="493">
        <v>21.556466491183574</v>
      </c>
      <c r="J1305" s="493">
        <v>21.100622258506792</v>
      </c>
      <c r="K1305" s="493">
        <v>20.33006650585321</v>
      </c>
      <c r="L1305" s="493">
        <v>19.559510753199628</v>
      </c>
      <c r="M1305" s="493">
        <v>18.788955000546046</v>
      </c>
      <c r="N1305" s="493">
        <v>18.018399247892738</v>
      </c>
      <c r="O1305" s="493">
        <v>17.247843495239156</v>
      </c>
      <c r="P1305" s="493">
        <v>16.877033567022497</v>
      </c>
      <c r="Q1305" s="493">
        <v>16.506223638805839</v>
      </c>
      <c r="R1305" s="493">
        <v>16.13541371058918</v>
      </c>
      <c r="S1305" s="493">
        <v>15.764603782372523</v>
      </c>
      <c r="T1305" s="493">
        <v>15.393793854155795</v>
      </c>
      <c r="U1305" s="493">
        <v>15.093206205252955</v>
      </c>
      <c r="V1305" s="493">
        <v>14.792618556350112</v>
      </c>
      <c r="W1305" s="493">
        <v>14.492030907447202</v>
      </c>
      <c r="X1305" s="493">
        <v>14.191443258544359</v>
      </c>
      <c r="Y1305" s="493">
        <v>13.890855609641482</v>
      </c>
      <c r="Z1305" s="493">
        <v>13.769758412927786</v>
      </c>
      <c r="AA1305" s="493">
        <v>13.648661216214089</v>
      </c>
      <c r="AB1305" s="493">
        <v>13.527564019500426</v>
      </c>
      <c r="AC1305" s="493">
        <v>13.406466822786728</v>
      </c>
      <c r="AD1305" s="493">
        <v>13.285369626073031</v>
      </c>
      <c r="AE1305" s="493">
        <v>13.194010362475922</v>
      </c>
      <c r="AF1305" s="493">
        <v>13.102651098878846</v>
      </c>
      <c r="AG1305" s="493">
        <v>13.011291835281769</v>
      </c>
      <c r="AH1305" s="493">
        <v>12.919932571684694</v>
      </c>
      <c r="AI1305" s="493">
        <v>12.828573308087618</v>
      </c>
    </row>
    <row r="1306" spans="2:64" outlineLevel="1">
      <c r="B1306" t="str">
        <f t="shared" si="116"/>
        <v>LNG - Energy cost - Asia - USD/ton fuel</v>
      </c>
      <c r="C1306" t="str">
        <f>C1275</f>
        <v>LNG</v>
      </c>
      <c r="D1306" t="s">
        <v>1368</v>
      </c>
      <c r="E1306" t="s">
        <v>750</v>
      </c>
      <c r="F1306" t="s">
        <v>1353</v>
      </c>
      <c r="G1306" s="487" t="str">
        <f t="shared" si="117"/>
        <v>LNGAsiaEnergy cost</v>
      </c>
      <c r="H1306" s="493">
        <v>38.96496149388549</v>
      </c>
      <c r="I1306" s="493">
        <v>35.540944762101567</v>
      </c>
      <c r="J1306" s="493">
        <v>32.116928030319286</v>
      </c>
      <c r="K1306" s="493">
        <v>30.888761660534144</v>
      </c>
      <c r="L1306" s="493">
        <v>29.660595290749551</v>
      </c>
      <c r="M1306" s="493">
        <v>28.432428920964412</v>
      </c>
      <c r="N1306" s="493">
        <v>27.204262551179273</v>
      </c>
      <c r="O1306" s="493">
        <v>25.976096181394677</v>
      </c>
      <c r="P1306" s="493">
        <v>25.141324839787011</v>
      </c>
      <c r="Q1306" s="493">
        <v>24.306553498179618</v>
      </c>
      <c r="R1306" s="493">
        <v>23.471782156572498</v>
      </c>
      <c r="S1306" s="493">
        <v>22.637010814965105</v>
      </c>
      <c r="T1306" s="493">
        <v>21.802239473357712</v>
      </c>
      <c r="U1306" s="493">
        <v>21.37782149863542</v>
      </c>
      <c r="V1306" s="493">
        <v>20.953403523913128</v>
      </c>
      <c r="W1306" s="493">
        <v>20.528985549190974</v>
      </c>
      <c r="X1306" s="493">
        <v>20.104567574468682</v>
      </c>
      <c r="Y1306" s="493">
        <v>19.680149599746663</v>
      </c>
      <c r="Z1306" s="493">
        <v>19.235899376458519</v>
      </c>
      <c r="AA1306" s="493">
        <v>18.791649153170511</v>
      </c>
      <c r="AB1306" s="493">
        <v>18.347398929882363</v>
      </c>
      <c r="AC1306" s="493">
        <v>17.903148706594354</v>
      </c>
      <c r="AD1306" s="493">
        <v>17.458898483306211</v>
      </c>
      <c r="AE1306" s="493">
        <v>17.255171219323916</v>
      </c>
      <c r="AF1306" s="493">
        <v>17.051443955341551</v>
      </c>
      <c r="AG1306" s="493">
        <v>16.847716691359256</v>
      </c>
      <c r="AH1306" s="493">
        <v>16.643989427376958</v>
      </c>
      <c r="AI1306" s="493">
        <v>16.440262163394596</v>
      </c>
    </row>
    <row r="1307" spans="2:64" outlineLevel="1">
      <c r="B1307" t="str">
        <f t="shared" si="116"/>
        <v>LNG - Energy cost - Europe - USD/ton fuel</v>
      </c>
      <c r="C1307" t="str">
        <f>C1275</f>
        <v>LNG</v>
      </c>
      <c r="D1307" t="s">
        <v>1368</v>
      </c>
      <c r="E1307" t="s">
        <v>720</v>
      </c>
      <c r="F1307" t="s">
        <v>1353</v>
      </c>
      <c r="G1307" s="487" t="str">
        <f t="shared" si="117"/>
        <v>LNGEuropeEnergy cost</v>
      </c>
      <c r="H1307" s="493">
        <v>29.007303214654346</v>
      </c>
      <c r="I1307" s="493">
        <v>27.757100635909591</v>
      </c>
      <c r="J1307" s="493">
        <v>26.506898057164836</v>
      </c>
      <c r="K1307" s="493">
        <v>25.49672681863467</v>
      </c>
      <c r="L1307" s="493">
        <v>24.486555580104231</v>
      </c>
      <c r="M1307" s="493">
        <v>23.476384341574065</v>
      </c>
      <c r="N1307" s="493">
        <v>22.466213103043629</v>
      </c>
      <c r="O1307" s="493">
        <v>21.456041864513463</v>
      </c>
      <c r="P1307" s="493">
        <v>21.036315923909658</v>
      </c>
      <c r="Q1307" s="493">
        <v>20.616589983306266</v>
      </c>
      <c r="R1307" s="493">
        <v>20.196864042702735</v>
      </c>
      <c r="S1307" s="493">
        <v>19.777138102099205</v>
      </c>
      <c r="T1307" s="493">
        <v>19.357412161495812</v>
      </c>
      <c r="U1307" s="493">
        <v>19.106814441370034</v>
      </c>
      <c r="V1307" s="493">
        <v>18.856216721244323</v>
      </c>
      <c r="W1307" s="493">
        <v>18.605619001118612</v>
      </c>
      <c r="X1307" s="493">
        <v>18.355021280992901</v>
      </c>
      <c r="Y1307" s="493">
        <v>18.104423560867051</v>
      </c>
      <c r="Z1307" s="493">
        <v>17.836329243096269</v>
      </c>
      <c r="AA1307" s="493">
        <v>17.568234925325417</v>
      </c>
      <c r="AB1307" s="493">
        <v>17.300140607554635</v>
      </c>
      <c r="AC1307" s="493">
        <v>17.032046289783782</v>
      </c>
      <c r="AD1307" s="493">
        <v>16.763951972013</v>
      </c>
      <c r="AE1307" s="493">
        <v>16.568344836559117</v>
      </c>
      <c r="AF1307" s="493">
        <v>16.372737701105166</v>
      </c>
      <c r="AG1307" s="493">
        <v>16.177130565651282</v>
      </c>
      <c r="AH1307" s="493">
        <v>15.981523430197399</v>
      </c>
      <c r="AI1307" s="493">
        <v>15.785916294743446</v>
      </c>
    </row>
    <row r="1308" spans="2:64" outlineLevel="1">
      <c r="B1308" t="str">
        <f t="shared" si="116"/>
        <v>LNG - Energy cost - Middle East - USD/ton fuel</v>
      </c>
      <c r="C1308" t="str">
        <f>C1275</f>
        <v>LNG</v>
      </c>
      <c r="D1308" t="s">
        <v>1368</v>
      </c>
      <c r="E1308" t="s">
        <v>826</v>
      </c>
      <c r="F1308" t="s">
        <v>1353</v>
      </c>
      <c r="G1308" s="487" t="str">
        <f t="shared" si="117"/>
        <v>LNGMiddle EastEnergy cost</v>
      </c>
      <c r="H1308" s="493">
        <v>22.212190003898375</v>
      </c>
      <c r="I1308" s="493">
        <v>21.232021740260461</v>
      </c>
      <c r="J1308" s="493">
        <v>20.251853476622273</v>
      </c>
      <c r="K1308" s="493">
        <v>19.602892276312467</v>
      </c>
      <c r="L1308" s="493">
        <v>18.953931076002664</v>
      </c>
      <c r="M1308" s="493">
        <v>18.304969875692858</v>
      </c>
      <c r="N1308" s="493">
        <v>17.656008675383053</v>
      </c>
      <c r="O1308" s="493">
        <v>17.00704747507325</v>
      </c>
      <c r="P1308" s="493">
        <v>16.549455045217972</v>
      </c>
      <c r="Q1308" s="493">
        <v>16.091862615362832</v>
      </c>
      <c r="R1308" s="493">
        <v>15.634270185507557</v>
      </c>
      <c r="S1308" s="493">
        <v>15.176677755652417</v>
      </c>
      <c r="T1308" s="493">
        <v>14.719085325797277</v>
      </c>
      <c r="U1308" s="493">
        <v>14.489653293063725</v>
      </c>
      <c r="V1308" s="493">
        <v>14.260221260330171</v>
      </c>
      <c r="W1308" s="493">
        <v>14.030789227596687</v>
      </c>
      <c r="X1308" s="493">
        <v>13.801357194863135</v>
      </c>
      <c r="Y1308" s="493">
        <v>13.571925162129583</v>
      </c>
      <c r="Z1308" s="493">
        <v>13.271048899002039</v>
      </c>
      <c r="AA1308" s="493">
        <v>12.970172635874563</v>
      </c>
      <c r="AB1308" s="493">
        <v>12.669296372747022</v>
      </c>
      <c r="AC1308" s="493">
        <v>12.368420109619546</v>
      </c>
      <c r="AD1308" s="493">
        <v>12.067543846491969</v>
      </c>
      <c r="AE1308" s="493">
        <v>11.926724316796832</v>
      </c>
      <c r="AF1308" s="493">
        <v>11.78590478710173</v>
      </c>
      <c r="AG1308" s="493">
        <v>11.645085257406594</v>
      </c>
      <c r="AH1308" s="493">
        <v>11.504265727711458</v>
      </c>
      <c r="AI1308" s="493">
        <v>11.363446198016357</v>
      </c>
    </row>
    <row r="1309" spans="2:64" ht="15" outlineLevel="1" thickBot="1">
      <c r="B1309" t="str">
        <f t="shared" si="116"/>
        <v/>
      </c>
      <c r="G1309" s="487" t="str">
        <f t="shared" si="117"/>
        <v/>
      </c>
    </row>
    <row r="1310" spans="2:64" ht="15" outlineLevel="1">
      <c r="B1310" t="str">
        <f t="shared" si="116"/>
        <v>LNG - Feedstock cost including feedstock feedstock cost - Africa - USD/ton fuel</v>
      </c>
      <c r="C1310" s="494" t="str">
        <f>C1286</f>
        <v>LNG</v>
      </c>
      <c r="D1310" s="494" t="s">
        <v>1369</v>
      </c>
      <c r="E1310" s="494" t="s">
        <v>838</v>
      </c>
      <c r="F1310" s="494" t="s">
        <v>1353</v>
      </c>
      <c r="G1310" s="487" t="str">
        <f t="shared" si="117"/>
        <v>LNGAfricaFeedstock cost including feedstock feedstock cost</v>
      </c>
      <c r="H1310" s="495">
        <v>1120</v>
      </c>
      <c r="I1310" s="495">
        <v>910</v>
      </c>
      <c r="J1310" s="495">
        <v>700</v>
      </c>
      <c r="K1310" s="495">
        <v>655</v>
      </c>
      <c r="L1310" s="495">
        <v>610</v>
      </c>
      <c r="M1310" s="495">
        <v>565</v>
      </c>
      <c r="N1310" s="495">
        <v>520</v>
      </c>
      <c r="O1310" s="495">
        <v>475</v>
      </c>
      <c r="P1310" s="495">
        <v>475</v>
      </c>
      <c r="Q1310" s="495">
        <v>475</v>
      </c>
      <c r="R1310" s="495">
        <v>475</v>
      </c>
      <c r="S1310" s="495">
        <v>475</v>
      </c>
      <c r="T1310" s="495">
        <v>475</v>
      </c>
      <c r="U1310" s="495">
        <v>475</v>
      </c>
      <c r="V1310" s="495">
        <v>475</v>
      </c>
      <c r="W1310" s="495">
        <v>475</v>
      </c>
      <c r="X1310" s="495">
        <v>475</v>
      </c>
      <c r="Y1310" s="495">
        <v>475</v>
      </c>
      <c r="Z1310" s="495">
        <v>475</v>
      </c>
      <c r="AA1310" s="495">
        <v>475</v>
      </c>
      <c r="AB1310" s="495">
        <v>475</v>
      </c>
      <c r="AC1310" s="495">
        <v>475</v>
      </c>
      <c r="AD1310" s="495">
        <v>475</v>
      </c>
      <c r="AE1310" s="495">
        <v>475</v>
      </c>
      <c r="AF1310" s="495">
        <v>475</v>
      </c>
      <c r="AG1310" s="495">
        <v>475</v>
      </c>
      <c r="AH1310" s="495">
        <v>475</v>
      </c>
      <c r="AI1310" s="495">
        <v>475</v>
      </c>
      <c r="AK1310" s="499" t="b">
        <f t="shared" ref="AK1310:BL1310" si="118">H1293+H1296+H1299+H1310+H1580=H1287</f>
        <v>0</v>
      </c>
      <c r="AL1310" s="500" t="b">
        <f t="shared" si="118"/>
        <v>0</v>
      </c>
      <c r="AM1310" s="500" t="b">
        <f t="shared" si="118"/>
        <v>0</v>
      </c>
      <c r="AN1310" s="500" t="b">
        <f t="shared" si="118"/>
        <v>0</v>
      </c>
      <c r="AO1310" s="500" t="b">
        <f t="shared" si="118"/>
        <v>0</v>
      </c>
      <c r="AP1310" s="500" t="b">
        <f t="shared" si="118"/>
        <v>0</v>
      </c>
      <c r="AQ1310" s="500" t="b">
        <f t="shared" si="118"/>
        <v>0</v>
      </c>
      <c r="AR1310" s="500" t="b">
        <f t="shared" si="118"/>
        <v>0</v>
      </c>
      <c r="AS1310" s="500" t="b">
        <f t="shared" si="118"/>
        <v>0</v>
      </c>
      <c r="AT1310" s="500" t="b">
        <f t="shared" si="118"/>
        <v>0</v>
      </c>
      <c r="AU1310" s="500" t="b">
        <f t="shared" si="118"/>
        <v>0</v>
      </c>
      <c r="AV1310" s="500" t="b">
        <f t="shared" si="118"/>
        <v>0</v>
      </c>
      <c r="AW1310" s="500" t="b">
        <f t="shared" si="118"/>
        <v>0</v>
      </c>
      <c r="AX1310" s="500" t="b">
        <f t="shared" si="118"/>
        <v>0</v>
      </c>
      <c r="AY1310" s="500" t="b">
        <f t="shared" si="118"/>
        <v>0</v>
      </c>
      <c r="AZ1310" s="500" t="b">
        <f t="shared" si="118"/>
        <v>0</v>
      </c>
      <c r="BA1310" s="500" t="b">
        <f t="shared" si="118"/>
        <v>0</v>
      </c>
      <c r="BB1310" s="500" t="b">
        <f t="shared" si="118"/>
        <v>0</v>
      </c>
      <c r="BC1310" s="500" t="b">
        <f t="shared" si="118"/>
        <v>0</v>
      </c>
      <c r="BD1310" s="500" t="b">
        <f t="shared" si="118"/>
        <v>0</v>
      </c>
      <c r="BE1310" s="500" t="b">
        <f t="shared" si="118"/>
        <v>0</v>
      </c>
      <c r="BF1310" s="500" t="b">
        <f t="shared" si="118"/>
        <v>0</v>
      </c>
      <c r="BG1310" s="500" t="b">
        <f t="shared" si="118"/>
        <v>0</v>
      </c>
      <c r="BH1310" s="500" t="b">
        <f t="shared" si="118"/>
        <v>0</v>
      </c>
      <c r="BI1310" s="500" t="b">
        <f t="shared" si="118"/>
        <v>0</v>
      </c>
      <c r="BJ1310" s="500" t="b">
        <f t="shared" si="118"/>
        <v>0</v>
      </c>
      <c r="BK1310" s="500" t="b">
        <f t="shared" si="118"/>
        <v>0</v>
      </c>
      <c r="BL1310" s="501" t="b">
        <f t="shared" si="118"/>
        <v>0</v>
      </c>
    </row>
    <row r="1311" spans="2:64" ht="15" outlineLevel="1">
      <c r="B1311" t="str">
        <f t="shared" si="116"/>
        <v>LNG - Feedstock cost including feedstock feedstock cost - Americas - USD/ton fuel</v>
      </c>
      <c r="C1311" s="22" t="str">
        <f>C1286</f>
        <v>LNG</v>
      </c>
      <c r="D1311" s="22" t="s">
        <v>1369</v>
      </c>
      <c r="E1311" s="22" t="s">
        <v>731</v>
      </c>
      <c r="F1311" s="22" t="s">
        <v>1353</v>
      </c>
      <c r="G1311" s="487" t="str">
        <f t="shared" si="117"/>
        <v>LNGAmericasFeedstock cost including feedstock feedstock cost</v>
      </c>
      <c r="H1311" s="496">
        <v>278</v>
      </c>
      <c r="I1311" s="496">
        <v>254</v>
      </c>
      <c r="J1311" s="496">
        <v>230</v>
      </c>
      <c r="K1311" s="496">
        <v>228</v>
      </c>
      <c r="L1311" s="496">
        <v>226</v>
      </c>
      <c r="M1311" s="496">
        <v>224</v>
      </c>
      <c r="N1311" s="496">
        <v>222</v>
      </c>
      <c r="O1311" s="496">
        <v>220</v>
      </c>
      <c r="P1311" s="496">
        <v>226</v>
      </c>
      <c r="Q1311" s="496">
        <v>232</v>
      </c>
      <c r="R1311" s="496">
        <v>238</v>
      </c>
      <c r="S1311" s="496">
        <v>244</v>
      </c>
      <c r="T1311" s="496">
        <v>250</v>
      </c>
      <c r="U1311" s="496">
        <v>250</v>
      </c>
      <c r="V1311" s="496">
        <v>250</v>
      </c>
      <c r="W1311" s="496">
        <v>250</v>
      </c>
      <c r="X1311" s="496">
        <v>250</v>
      </c>
      <c r="Y1311" s="496">
        <v>250</v>
      </c>
      <c r="Z1311" s="496">
        <v>250</v>
      </c>
      <c r="AA1311" s="496">
        <v>250</v>
      </c>
      <c r="AB1311" s="496">
        <v>250</v>
      </c>
      <c r="AC1311" s="496">
        <v>250</v>
      </c>
      <c r="AD1311" s="496">
        <v>250</v>
      </c>
      <c r="AE1311" s="496">
        <v>250</v>
      </c>
      <c r="AF1311" s="496">
        <v>250</v>
      </c>
      <c r="AG1311" s="496">
        <v>250</v>
      </c>
      <c r="AH1311" s="496">
        <v>250</v>
      </c>
      <c r="AI1311" s="496">
        <v>250</v>
      </c>
      <c r="AK1311" s="502" t="b">
        <f t="shared" ref="AK1311:BL1311" si="119">H1293+H1296+H1300+H1311+H1580=H1288</f>
        <v>0</v>
      </c>
      <c r="AL1311" s="106" t="b">
        <f t="shared" si="119"/>
        <v>0</v>
      </c>
      <c r="AM1311" s="106" t="b">
        <f t="shared" si="119"/>
        <v>0</v>
      </c>
      <c r="AN1311" s="106" t="b">
        <f t="shared" si="119"/>
        <v>0</v>
      </c>
      <c r="AO1311" s="106" t="b">
        <f t="shared" si="119"/>
        <v>0</v>
      </c>
      <c r="AP1311" s="106" t="b">
        <f t="shared" si="119"/>
        <v>0</v>
      </c>
      <c r="AQ1311" s="106" t="b">
        <f t="shared" si="119"/>
        <v>0</v>
      </c>
      <c r="AR1311" s="106" t="b">
        <f t="shared" si="119"/>
        <v>0</v>
      </c>
      <c r="AS1311" s="106" t="b">
        <f t="shared" si="119"/>
        <v>0</v>
      </c>
      <c r="AT1311" s="106" t="b">
        <f t="shared" si="119"/>
        <v>0</v>
      </c>
      <c r="AU1311" s="106" t="b">
        <f t="shared" si="119"/>
        <v>0</v>
      </c>
      <c r="AV1311" s="106" t="b">
        <f t="shared" si="119"/>
        <v>0</v>
      </c>
      <c r="AW1311" s="106" t="b">
        <f t="shared" si="119"/>
        <v>0</v>
      </c>
      <c r="AX1311" s="106" t="b">
        <f t="shared" si="119"/>
        <v>0</v>
      </c>
      <c r="AY1311" s="106" t="b">
        <f t="shared" si="119"/>
        <v>0</v>
      </c>
      <c r="AZ1311" s="106" t="b">
        <f t="shared" si="119"/>
        <v>0</v>
      </c>
      <c r="BA1311" s="106" t="b">
        <f t="shared" si="119"/>
        <v>0</v>
      </c>
      <c r="BB1311" s="106" t="b">
        <f t="shared" si="119"/>
        <v>0</v>
      </c>
      <c r="BC1311" s="106" t="b">
        <f t="shared" si="119"/>
        <v>0</v>
      </c>
      <c r="BD1311" s="106" t="b">
        <f t="shared" si="119"/>
        <v>0</v>
      </c>
      <c r="BE1311" s="106" t="b">
        <f t="shared" si="119"/>
        <v>0</v>
      </c>
      <c r="BF1311" s="106" t="b">
        <f t="shared" si="119"/>
        <v>0</v>
      </c>
      <c r="BG1311" s="106" t="b">
        <f t="shared" si="119"/>
        <v>0</v>
      </c>
      <c r="BH1311" s="106" t="b">
        <f t="shared" si="119"/>
        <v>0</v>
      </c>
      <c r="BI1311" s="106" t="b">
        <f t="shared" si="119"/>
        <v>0</v>
      </c>
      <c r="BJ1311" s="106" t="b">
        <f t="shared" si="119"/>
        <v>0</v>
      </c>
      <c r="BK1311" s="106" t="b">
        <f t="shared" si="119"/>
        <v>0</v>
      </c>
      <c r="BL1311" s="503" t="b">
        <f t="shared" si="119"/>
        <v>0</v>
      </c>
    </row>
    <row r="1312" spans="2:64" ht="15" outlineLevel="1">
      <c r="B1312" t="str">
        <f t="shared" si="116"/>
        <v>LNG - Feedstock cost including feedstock feedstock cost - Asia - USD/ton fuel</v>
      </c>
      <c r="C1312" s="22" t="str">
        <f>C1286</f>
        <v>LNG</v>
      </c>
      <c r="D1312" s="22" t="s">
        <v>1369</v>
      </c>
      <c r="E1312" s="22" t="s">
        <v>750</v>
      </c>
      <c r="F1312" s="22" t="s">
        <v>1353</v>
      </c>
      <c r="G1312" s="487" t="str">
        <f t="shared" si="117"/>
        <v>LNGAsiaFeedstock cost including feedstock feedstock cost</v>
      </c>
      <c r="H1312" s="496">
        <v>1075</v>
      </c>
      <c r="I1312" s="496">
        <v>900</v>
      </c>
      <c r="J1312" s="496">
        <v>725</v>
      </c>
      <c r="K1312" s="496">
        <v>650</v>
      </c>
      <c r="L1312" s="496">
        <v>575</v>
      </c>
      <c r="M1312" s="496">
        <v>500</v>
      </c>
      <c r="N1312" s="496">
        <v>425</v>
      </c>
      <c r="O1312" s="496">
        <v>350</v>
      </c>
      <c r="P1312" s="496">
        <v>350</v>
      </c>
      <c r="Q1312" s="496">
        <v>350</v>
      </c>
      <c r="R1312" s="496">
        <v>350</v>
      </c>
      <c r="S1312" s="496">
        <v>350</v>
      </c>
      <c r="T1312" s="496">
        <v>350</v>
      </c>
      <c r="U1312" s="496">
        <v>350</v>
      </c>
      <c r="V1312" s="496">
        <v>350</v>
      </c>
      <c r="W1312" s="496">
        <v>350</v>
      </c>
      <c r="X1312" s="496">
        <v>350</v>
      </c>
      <c r="Y1312" s="496">
        <v>350</v>
      </c>
      <c r="Z1312" s="496">
        <v>350</v>
      </c>
      <c r="AA1312" s="496">
        <v>350</v>
      </c>
      <c r="AB1312" s="496">
        <v>350</v>
      </c>
      <c r="AC1312" s="496">
        <v>350</v>
      </c>
      <c r="AD1312" s="496">
        <v>350</v>
      </c>
      <c r="AE1312" s="496">
        <v>350</v>
      </c>
      <c r="AF1312" s="496">
        <v>350</v>
      </c>
      <c r="AG1312" s="496">
        <v>350</v>
      </c>
      <c r="AH1312" s="496">
        <v>350</v>
      </c>
      <c r="AI1312" s="496">
        <v>350</v>
      </c>
      <c r="AK1312" s="502" t="b">
        <f t="shared" ref="AK1312:BL1312" si="120">H1293+H1296+H1301+H1312+H1580=H1289</f>
        <v>0</v>
      </c>
      <c r="AL1312" s="106" t="b">
        <f t="shared" si="120"/>
        <v>0</v>
      </c>
      <c r="AM1312" s="106" t="b">
        <f t="shared" si="120"/>
        <v>0</v>
      </c>
      <c r="AN1312" s="106" t="b">
        <f t="shared" si="120"/>
        <v>0</v>
      </c>
      <c r="AO1312" s="106" t="b">
        <f t="shared" si="120"/>
        <v>0</v>
      </c>
      <c r="AP1312" s="106" t="b">
        <f t="shared" si="120"/>
        <v>0</v>
      </c>
      <c r="AQ1312" s="106" t="b">
        <f t="shared" si="120"/>
        <v>0</v>
      </c>
      <c r="AR1312" s="106" t="b">
        <f t="shared" si="120"/>
        <v>0</v>
      </c>
      <c r="AS1312" s="106" t="b">
        <f t="shared" si="120"/>
        <v>0</v>
      </c>
      <c r="AT1312" s="106" t="b">
        <f t="shared" si="120"/>
        <v>0</v>
      </c>
      <c r="AU1312" s="106" t="b">
        <f t="shared" si="120"/>
        <v>0</v>
      </c>
      <c r="AV1312" s="106" t="b">
        <f t="shared" si="120"/>
        <v>0</v>
      </c>
      <c r="AW1312" s="106" t="b">
        <f t="shared" si="120"/>
        <v>0</v>
      </c>
      <c r="AX1312" s="106" t="b">
        <f t="shared" si="120"/>
        <v>0</v>
      </c>
      <c r="AY1312" s="106" t="b">
        <f t="shared" si="120"/>
        <v>0</v>
      </c>
      <c r="AZ1312" s="106" t="b">
        <f t="shared" si="120"/>
        <v>0</v>
      </c>
      <c r="BA1312" s="106" t="b">
        <f t="shared" si="120"/>
        <v>0</v>
      </c>
      <c r="BB1312" s="106" t="b">
        <f t="shared" si="120"/>
        <v>0</v>
      </c>
      <c r="BC1312" s="106" t="b">
        <f t="shared" si="120"/>
        <v>0</v>
      </c>
      <c r="BD1312" s="106" t="b">
        <f t="shared" si="120"/>
        <v>0</v>
      </c>
      <c r="BE1312" s="106" t="b">
        <f t="shared" si="120"/>
        <v>0</v>
      </c>
      <c r="BF1312" s="106" t="b">
        <f t="shared" si="120"/>
        <v>0</v>
      </c>
      <c r="BG1312" s="106" t="b">
        <f t="shared" si="120"/>
        <v>0</v>
      </c>
      <c r="BH1312" s="106" t="b">
        <f t="shared" si="120"/>
        <v>0</v>
      </c>
      <c r="BI1312" s="106" t="b">
        <f t="shared" si="120"/>
        <v>0</v>
      </c>
      <c r="BJ1312" s="106" t="b">
        <f t="shared" si="120"/>
        <v>0</v>
      </c>
      <c r="BK1312" s="106" t="b">
        <f t="shared" si="120"/>
        <v>0</v>
      </c>
      <c r="BL1312" s="503" t="b">
        <f t="shared" si="120"/>
        <v>0</v>
      </c>
    </row>
    <row r="1313" spans="2:64" ht="15" outlineLevel="1">
      <c r="B1313" t="str">
        <f t="shared" si="116"/>
        <v>LNG - Feedstock cost including feedstock feedstock cost - Europe - USD/ton fuel</v>
      </c>
      <c r="C1313" s="22" t="str">
        <f>C1286</f>
        <v>LNG</v>
      </c>
      <c r="D1313" s="22" t="s">
        <v>1369</v>
      </c>
      <c r="E1313" s="22" t="s">
        <v>720</v>
      </c>
      <c r="F1313" s="22" t="s">
        <v>1353</v>
      </c>
      <c r="G1313" s="487" t="str">
        <f t="shared" si="117"/>
        <v>LNGEuropeFeedstock cost including feedstock feedstock cost</v>
      </c>
      <c r="H1313" s="496">
        <v>1120</v>
      </c>
      <c r="I1313" s="496">
        <v>910</v>
      </c>
      <c r="J1313" s="496">
        <v>700</v>
      </c>
      <c r="K1313" s="496">
        <v>655</v>
      </c>
      <c r="L1313" s="496">
        <v>610</v>
      </c>
      <c r="M1313" s="496">
        <v>565</v>
      </c>
      <c r="N1313" s="496">
        <v>520</v>
      </c>
      <c r="O1313" s="496">
        <v>475</v>
      </c>
      <c r="P1313" s="496">
        <v>475</v>
      </c>
      <c r="Q1313" s="496">
        <v>475</v>
      </c>
      <c r="R1313" s="496">
        <v>475</v>
      </c>
      <c r="S1313" s="496">
        <v>475</v>
      </c>
      <c r="T1313" s="496">
        <v>475</v>
      </c>
      <c r="U1313" s="496">
        <v>475</v>
      </c>
      <c r="V1313" s="496">
        <v>475</v>
      </c>
      <c r="W1313" s="496">
        <v>475</v>
      </c>
      <c r="X1313" s="496">
        <v>475</v>
      </c>
      <c r="Y1313" s="496">
        <v>475</v>
      </c>
      <c r="Z1313" s="496">
        <v>475</v>
      </c>
      <c r="AA1313" s="496">
        <v>475</v>
      </c>
      <c r="AB1313" s="496">
        <v>475</v>
      </c>
      <c r="AC1313" s="496">
        <v>475</v>
      </c>
      <c r="AD1313" s="496">
        <v>475</v>
      </c>
      <c r="AE1313" s="496">
        <v>475</v>
      </c>
      <c r="AF1313" s="496">
        <v>475</v>
      </c>
      <c r="AG1313" s="496">
        <v>475</v>
      </c>
      <c r="AH1313" s="496">
        <v>475</v>
      </c>
      <c r="AI1313" s="496">
        <v>475</v>
      </c>
      <c r="AK1313" s="502" t="b">
        <f t="shared" ref="AK1313:BL1313" si="121">H1293+H1296+H1302+H1313+H1580=H1290</f>
        <v>0</v>
      </c>
      <c r="AL1313" s="106" t="b">
        <f t="shared" si="121"/>
        <v>0</v>
      </c>
      <c r="AM1313" s="106" t="b">
        <f t="shared" si="121"/>
        <v>0</v>
      </c>
      <c r="AN1313" s="106" t="b">
        <f t="shared" si="121"/>
        <v>0</v>
      </c>
      <c r="AO1313" s="106" t="b">
        <f t="shared" si="121"/>
        <v>0</v>
      </c>
      <c r="AP1313" s="106" t="b">
        <f t="shared" si="121"/>
        <v>0</v>
      </c>
      <c r="AQ1313" s="106" t="b">
        <f t="shared" si="121"/>
        <v>0</v>
      </c>
      <c r="AR1313" s="106" t="b">
        <f t="shared" si="121"/>
        <v>0</v>
      </c>
      <c r="AS1313" s="106" t="b">
        <f t="shared" si="121"/>
        <v>0</v>
      </c>
      <c r="AT1313" s="106" t="b">
        <f t="shared" si="121"/>
        <v>0</v>
      </c>
      <c r="AU1313" s="106" t="b">
        <f t="shared" si="121"/>
        <v>0</v>
      </c>
      <c r="AV1313" s="106" t="b">
        <f t="shared" si="121"/>
        <v>0</v>
      </c>
      <c r="AW1313" s="106" t="b">
        <f t="shared" si="121"/>
        <v>0</v>
      </c>
      <c r="AX1313" s="106" t="b">
        <f t="shared" si="121"/>
        <v>0</v>
      </c>
      <c r="AY1313" s="106" t="b">
        <f t="shared" si="121"/>
        <v>0</v>
      </c>
      <c r="AZ1313" s="106" t="b">
        <f t="shared" si="121"/>
        <v>0</v>
      </c>
      <c r="BA1313" s="106" t="b">
        <f t="shared" si="121"/>
        <v>0</v>
      </c>
      <c r="BB1313" s="106" t="b">
        <f t="shared" si="121"/>
        <v>0</v>
      </c>
      <c r="BC1313" s="106" t="b">
        <f t="shared" si="121"/>
        <v>0</v>
      </c>
      <c r="BD1313" s="106" t="b">
        <f t="shared" si="121"/>
        <v>0</v>
      </c>
      <c r="BE1313" s="106" t="b">
        <f t="shared" si="121"/>
        <v>0</v>
      </c>
      <c r="BF1313" s="106" t="b">
        <f t="shared" si="121"/>
        <v>0</v>
      </c>
      <c r="BG1313" s="106" t="b">
        <f t="shared" si="121"/>
        <v>0</v>
      </c>
      <c r="BH1313" s="106" t="b">
        <f t="shared" si="121"/>
        <v>0</v>
      </c>
      <c r="BI1313" s="106" t="b">
        <f t="shared" si="121"/>
        <v>0</v>
      </c>
      <c r="BJ1313" s="106" t="b">
        <f t="shared" si="121"/>
        <v>0</v>
      </c>
      <c r="BK1313" s="106" t="b">
        <f t="shared" si="121"/>
        <v>0</v>
      </c>
      <c r="BL1313" s="503" t="b">
        <f t="shared" si="121"/>
        <v>0</v>
      </c>
    </row>
    <row r="1314" spans="2:64" ht="15.75" outlineLevel="1" thickBot="1">
      <c r="B1314" t="str">
        <f t="shared" si="116"/>
        <v>LNG - Feedstock cost including feedstock feedstock cost - Middle East - USD/ton fuel</v>
      </c>
      <c r="C1314" s="92" t="str">
        <f>C1286</f>
        <v>LNG</v>
      </c>
      <c r="D1314" s="92" t="s">
        <v>1369</v>
      </c>
      <c r="E1314" s="92" t="s">
        <v>826</v>
      </c>
      <c r="F1314" s="92" t="s">
        <v>1353</v>
      </c>
      <c r="G1314" s="487" t="str">
        <f t="shared" si="117"/>
        <v>LNGMiddle EastFeedstock cost including feedstock feedstock cost</v>
      </c>
      <c r="H1314" s="497">
        <v>875</v>
      </c>
      <c r="I1314" s="497">
        <v>700</v>
      </c>
      <c r="J1314" s="497">
        <v>525</v>
      </c>
      <c r="K1314" s="497">
        <v>449</v>
      </c>
      <c r="L1314" s="497">
        <v>373</v>
      </c>
      <c r="M1314" s="497">
        <v>297</v>
      </c>
      <c r="N1314" s="497">
        <v>221</v>
      </c>
      <c r="O1314" s="497">
        <v>145</v>
      </c>
      <c r="P1314" s="497">
        <v>145</v>
      </c>
      <c r="Q1314" s="497">
        <v>145</v>
      </c>
      <c r="R1314" s="497">
        <v>145</v>
      </c>
      <c r="S1314" s="497">
        <v>145</v>
      </c>
      <c r="T1314" s="497">
        <v>145</v>
      </c>
      <c r="U1314" s="497">
        <v>145</v>
      </c>
      <c r="V1314" s="497">
        <v>145</v>
      </c>
      <c r="W1314" s="497">
        <v>145</v>
      </c>
      <c r="X1314" s="497">
        <v>145</v>
      </c>
      <c r="Y1314" s="497">
        <v>145</v>
      </c>
      <c r="Z1314" s="497">
        <v>145</v>
      </c>
      <c r="AA1314" s="497">
        <v>145</v>
      </c>
      <c r="AB1314" s="497">
        <v>145</v>
      </c>
      <c r="AC1314" s="497">
        <v>145</v>
      </c>
      <c r="AD1314" s="497">
        <v>145</v>
      </c>
      <c r="AE1314" s="497">
        <v>145</v>
      </c>
      <c r="AF1314" s="497">
        <v>145</v>
      </c>
      <c r="AG1314" s="497">
        <v>145</v>
      </c>
      <c r="AH1314" s="497">
        <v>145</v>
      </c>
      <c r="AI1314" s="497">
        <v>145</v>
      </c>
      <c r="AK1314" s="504" t="b">
        <f t="shared" ref="AK1314:BL1314" si="122">H1293+H1296+H1303+H1314+H1580=H1291</f>
        <v>0</v>
      </c>
      <c r="AL1314" s="505" t="b">
        <f t="shared" si="122"/>
        <v>0</v>
      </c>
      <c r="AM1314" s="505" t="b">
        <f t="shared" si="122"/>
        <v>0</v>
      </c>
      <c r="AN1314" s="505" t="b">
        <f t="shared" si="122"/>
        <v>0</v>
      </c>
      <c r="AO1314" s="505" t="b">
        <f t="shared" si="122"/>
        <v>0</v>
      </c>
      <c r="AP1314" s="505" t="b">
        <f t="shared" si="122"/>
        <v>0</v>
      </c>
      <c r="AQ1314" s="505" t="b">
        <f t="shared" si="122"/>
        <v>0</v>
      </c>
      <c r="AR1314" s="505" t="b">
        <f t="shared" si="122"/>
        <v>0</v>
      </c>
      <c r="AS1314" s="505" t="b">
        <f t="shared" si="122"/>
        <v>0</v>
      </c>
      <c r="AT1314" s="505" t="b">
        <f t="shared" si="122"/>
        <v>0</v>
      </c>
      <c r="AU1314" s="505" t="b">
        <f t="shared" si="122"/>
        <v>0</v>
      </c>
      <c r="AV1314" s="505" t="b">
        <f t="shared" si="122"/>
        <v>0</v>
      </c>
      <c r="AW1314" s="505" t="b">
        <f t="shared" si="122"/>
        <v>0</v>
      </c>
      <c r="AX1314" s="505" t="b">
        <f t="shared" si="122"/>
        <v>0</v>
      </c>
      <c r="AY1314" s="505" t="b">
        <f t="shared" si="122"/>
        <v>0</v>
      </c>
      <c r="AZ1314" s="505" t="b">
        <f t="shared" si="122"/>
        <v>0</v>
      </c>
      <c r="BA1314" s="505" t="b">
        <f t="shared" si="122"/>
        <v>0</v>
      </c>
      <c r="BB1314" s="505" t="b">
        <f t="shared" si="122"/>
        <v>0</v>
      </c>
      <c r="BC1314" s="505" t="b">
        <f t="shared" si="122"/>
        <v>0</v>
      </c>
      <c r="BD1314" s="505" t="b">
        <f t="shared" si="122"/>
        <v>0</v>
      </c>
      <c r="BE1314" s="505" t="b">
        <f t="shared" si="122"/>
        <v>0</v>
      </c>
      <c r="BF1314" s="505" t="b">
        <f t="shared" si="122"/>
        <v>0</v>
      </c>
      <c r="BG1314" s="505" t="b">
        <f t="shared" si="122"/>
        <v>0</v>
      </c>
      <c r="BH1314" s="505" t="b">
        <f t="shared" si="122"/>
        <v>0</v>
      </c>
      <c r="BI1314" s="505" t="b">
        <f t="shared" si="122"/>
        <v>0</v>
      </c>
      <c r="BJ1314" s="505" t="b">
        <f t="shared" si="122"/>
        <v>0</v>
      </c>
      <c r="BK1314" s="505" t="b">
        <f t="shared" si="122"/>
        <v>0</v>
      </c>
      <c r="BL1314" s="506" t="b">
        <f t="shared" si="122"/>
        <v>0</v>
      </c>
    </row>
    <row r="1315" spans="2:64" outlineLevel="1">
      <c r="B1315" t="str">
        <f t="shared" si="116"/>
        <v>LNG - Feedstock cost - Africa - USD/ton fuel</v>
      </c>
      <c r="C1315" t="str">
        <f>C1286</f>
        <v>LNG</v>
      </c>
      <c r="D1315" t="s">
        <v>1371</v>
      </c>
      <c r="E1315" t="s">
        <v>838</v>
      </c>
      <c r="F1315" t="s">
        <v>1353</v>
      </c>
      <c r="G1315" s="487" t="str">
        <f t="shared" si="117"/>
        <v>LNGAfricaFeedstock cost</v>
      </c>
      <c r="H1315" s="493">
        <v>1120</v>
      </c>
      <c r="I1315" s="493">
        <v>910</v>
      </c>
      <c r="J1315" s="493">
        <v>700</v>
      </c>
      <c r="K1315" s="493">
        <v>655</v>
      </c>
      <c r="L1315" s="493">
        <v>610</v>
      </c>
      <c r="M1315" s="493">
        <v>565</v>
      </c>
      <c r="N1315" s="493">
        <v>520</v>
      </c>
      <c r="O1315" s="493">
        <v>475</v>
      </c>
      <c r="P1315" s="493">
        <v>475</v>
      </c>
      <c r="Q1315" s="493">
        <v>475</v>
      </c>
      <c r="R1315" s="493">
        <v>475</v>
      </c>
      <c r="S1315" s="493">
        <v>475</v>
      </c>
      <c r="T1315" s="493">
        <v>475</v>
      </c>
      <c r="U1315" s="493">
        <v>475</v>
      </c>
      <c r="V1315" s="493">
        <v>475</v>
      </c>
      <c r="W1315" s="493">
        <v>475</v>
      </c>
      <c r="X1315" s="493">
        <v>475</v>
      </c>
      <c r="Y1315" s="493">
        <v>475</v>
      </c>
      <c r="Z1315" s="493">
        <v>475</v>
      </c>
      <c r="AA1315" s="493">
        <v>475</v>
      </c>
      <c r="AB1315" s="493">
        <v>475</v>
      </c>
      <c r="AC1315" s="493">
        <v>475</v>
      </c>
      <c r="AD1315" s="493">
        <v>475</v>
      </c>
      <c r="AE1315" s="493">
        <v>475</v>
      </c>
      <c r="AF1315" s="493">
        <v>475</v>
      </c>
      <c r="AG1315" s="493">
        <v>475</v>
      </c>
      <c r="AH1315" s="493">
        <v>475</v>
      </c>
      <c r="AI1315" s="493">
        <v>475</v>
      </c>
    </row>
    <row r="1316" spans="2:64" outlineLevel="1">
      <c r="B1316" t="str">
        <f t="shared" si="116"/>
        <v>LNG - Feedstock cost - Americas - USD/ton fuel</v>
      </c>
      <c r="C1316" t="str">
        <f>C1286</f>
        <v>LNG</v>
      </c>
      <c r="D1316" t="s">
        <v>1371</v>
      </c>
      <c r="E1316" t="s">
        <v>731</v>
      </c>
      <c r="F1316" t="s">
        <v>1353</v>
      </c>
      <c r="G1316" s="487" t="str">
        <f t="shared" si="117"/>
        <v>LNGAmericasFeedstock cost</v>
      </c>
      <c r="H1316" s="493">
        <v>278</v>
      </c>
      <c r="I1316" s="493">
        <v>254</v>
      </c>
      <c r="J1316" s="493">
        <v>230</v>
      </c>
      <c r="K1316" s="493">
        <v>228</v>
      </c>
      <c r="L1316" s="493">
        <v>226</v>
      </c>
      <c r="M1316" s="493">
        <v>224</v>
      </c>
      <c r="N1316" s="493">
        <v>222</v>
      </c>
      <c r="O1316" s="493">
        <v>220</v>
      </c>
      <c r="P1316" s="493">
        <v>226</v>
      </c>
      <c r="Q1316" s="493">
        <v>232</v>
      </c>
      <c r="R1316" s="493">
        <v>238</v>
      </c>
      <c r="S1316" s="493">
        <v>244</v>
      </c>
      <c r="T1316" s="493">
        <v>250</v>
      </c>
      <c r="U1316" s="493">
        <v>250</v>
      </c>
      <c r="V1316" s="493">
        <v>250</v>
      </c>
      <c r="W1316" s="493">
        <v>250</v>
      </c>
      <c r="X1316" s="493">
        <v>250</v>
      </c>
      <c r="Y1316" s="493">
        <v>250</v>
      </c>
      <c r="Z1316" s="493">
        <v>250</v>
      </c>
      <c r="AA1316" s="493">
        <v>250</v>
      </c>
      <c r="AB1316" s="493">
        <v>250</v>
      </c>
      <c r="AC1316" s="493">
        <v>250</v>
      </c>
      <c r="AD1316" s="493">
        <v>250</v>
      </c>
      <c r="AE1316" s="493">
        <v>250</v>
      </c>
      <c r="AF1316" s="493">
        <v>250</v>
      </c>
      <c r="AG1316" s="493">
        <v>250</v>
      </c>
      <c r="AH1316" s="493">
        <v>250</v>
      </c>
      <c r="AI1316" s="493">
        <v>250</v>
      </c>
    </row>
    <row r="1317" spans="2:64" outlineLevel="1">
      <c r="B1317" t="str">
        <f t="shared" si="116"/>
        <v>LNG - Feedstock cost - Asia - USD/ton fuel</v>
      </c>
      <c r="C1317" t="str">
        <f>C1286</f>
        <v>LNG</v>
      </c>
      <c r="D1317" t="s">
        <v>1371</v>
      </c>
      <c r="E1317" t="s">
        <v>750</v>
      </c>
      <c r="F1317" t="s">
        <v>1353</v>
      </c>
      <c r="G1317" s="487" t="str">
        <f t="shared" si="117"/>
        <v>LNGAsiaFeedstock cost</v>
      </c>
      <c r="H1317" s="493">
        <v>1075</v>
      </c>
      <c r="I1317" s="493">
        <v>900</v>
      </c>
      <c r="J1317" s="493">
        <v>725</v>
      </c>
      <c r="K1317" s="493">
        <v>650</v>
      </c>
      <c r="L1317" s="493">
        <v>575</v>
      </c>
      <c r="M1317" s="493">
        <v>500</v>
      </c>
      <c r="N1317" s="493">
        <v>425</v>
      </c>
      <c r="O1317" s="493">
        <v>350</v>
      </c>
      <c r="P1317" s="493">
        <v>350</v>
      </c>
      <c r="Q1317" s="493">
        <v>350</v>
      </c>
      <c r="R1317" s="493">
        <v>350</v>
      </c>
      <c r="S1317" s="493">
        <v>350</v>
      </c>
      <c r="T1317" s="493">
        <v>350</v>
      </c>
      <c r="U1317" s="493">
        <v>350</v>
      </c>
      <c r="V1317" s="493">
        <v>350</v>
      </c>
      <c r="W1317" s="493">
        <v>350</v>
      </c>
      <c r="X1317" s="493">
        <v>350</v>
      </c>
      <c r="Y1317" s="493">
        <v>350</v>
      </c>
      <c r="Z1317" s="493">
        <v>350</v>
      </c>
      <c r="AA1317" s="493">
        <v>350</v>
      </c>
      <c r="AB1317" s="493">
        <v>350</v>
      </c>
      <c r="AC1317" s="493">
        <v>350</v>
      </c>
      <c r="AD1317" s="493">
        <v>350</v>
      </c>
      <c r="AE1317" s="493">
        <v>350</v>
      </c>
      <c r="AF1317" s="493">
        <v>350</v>
      </c>
      <c r="AG1317" s="493">
        <v>350</v>
      </c>
      <c r="AH1317" s="493">
        <v>350</v>
      </c>
      <c r="AI1317" s="493">
        <v>350</v>
      </c>
    </row>
    <row r="1318" spans="2:64" outlineLevel="1">
      <c r="B1318" t="str">
        <f t="shared" si="116"/>
        <v>LNG - Feedstock cost - Europe - USD/ton fuel</v>
      </c>
      <c r="C1318" t="str">
        <f>C1286</f>
        <v>LNG</v>
      </c>
      <c r="D1318" t="s">
        <v>1371</v>
      </c>
      <c r="E1318" t="s">
        <v>720</v>
      </c>
      <c r="F1318" t="s">
        <v>1353</v>
      </c>
      <c r="G1318" s="487" t="str">
        <f t="shared" si="117"/>
        <v>LNGEuropeFeedstock cost</v>
      </c>
      <c r="H1318" s="493">
        <v>1120</v>
      </c>
      <c r="I1318" s="493">
        <v>910</v>
      </c>
      <c r="J1318" s="493">
        <v>700</v>
      </c>
      <c r="K1318" s="493">
        <v>655</v>
      </c>
      <c r="L1318" s="493">
        <v>610</v>
      </c>
      <c r="M1318" s="493">
        <v>565</v>
      </c>
      <c r="N1318" s="493">
        <v>520</v>
      </c>
      <c r="O1318" s="493">
        <v>475</v>
      </c>
      <c r="P1318" s="493">
        <v>475</v>
      </c>
      <c r="Q1318" s="493">
        <v>475</v>
      </c>
      <c r="R1318" s="493">
        <v>475</v>
      </c>
      <c r="S1318" s="493">
        <v>475</v>
      </c>
      <c r="T1318" s="493">
        <v>475</v>
      </c>
      <c r="U1318" s="493">
        <v>475</v>
      </c>
      <c r="V1318" s="493">
        <v>475</v>
      </c>
      <c r="W1318" s="493">
        <v>475</v>
      </c>
      <c r="X1318" s="493">
        <v>475</v>
      </c>
      <c r="Y1318" s="493">
        <v>475</v>
      </c>
      <c r="Z1318" s="493">
        <v>475</v>
      </c>
      <c r="AA1318" s="493">
        <v>475</v>
      </c>
      <c r="AB1318" s="493">
        <v>475</v>
      </c>
      <c r="AC1318" s="493">
        <v>475</v>
      </c>
      <c r="AD1318" s="493">
        <v>475</v>
      </c>
      <c r="AE1318" s="493">
        <v>475</v>
      </c>
      <c r="AF1318" s="493">
        <v>475</v>
      </c>
      <c r="AG1318" s="493">
        <v>475</v>
      </c>
      <c r="AH1318" s="493">
        <v>475</v>
      </c>
      <c r="AI1318" s="493">
        <v>475</v>
      </c>
    </row>
    <row r="1319" spans="2:64" outlineLevel="1">
      <c r="B1319" t="str">
        <f t="shared" si="116"/>
        <v>LNG - Feedstock cost - Middle East - USD/ton fuel</v>
      </c>
      <c r="C1319" t="str">
        <f>C1286</f>
        <v>LNG</v>
      </c>
      <c r="D1319" t="s">
        <v>1371</v>
      </c>
      <c r="E1319" t="s">
        <v>826</v>
      </c>
      <c r="F1319" t="s">
        <v>1353</v>
      </c>
      <c r="G1319" s="487" t="str">
        <f t="shared" si="117"/>
        <v>LNGMiddle EastFeedstock cost</v>
      </c>
      <c r="H1319" s="493">
        <v>875</v>
      </c>
      <c r="I1319" s="493">
        <v>700</v>
      </c>
      <c r="J1319" s="493">
        <v>525</v>
      </c>
      <c r="K1319" s="493">
        <v>449</v>
      </c>
      <c r="L1319" s="493">
        <v>373</v>
      </c>
      <c r="M1319" s="493">
        <v>297</v>
      </c>
      <c r="N1319" s="493">
        <v>221</v>
      </c>
      <c r="O1319" s="493">
        <v>145</v>
      </c>
      <c r="P1319" s="493">
        <v>145</v>
      </c>
      <c r="Q1319" s="493">
        <v>145</v>
      </c>
      <c r="R1319" s="493">
        <v>145</v>
      </c>
      <c r="S1319" s="493">
        <v>145</v>
      </c>
      <c r="T1319" s="493">
        <v>145</v>
      </c>
      <c r="U1319" s="493">
        <v>145</v>
      </c>
      <c r="V1319" s="493">
        <v>145</v>
      </c>
      <c r="W1319" s="493">
        <v>145</v>
      </c>
      <c r="X1319" s="493">
        <v>145</v>
      </c>
      <c r="Y1319" s="493">
        <v>145</v>
      </c>
      <c r="Z1319" s="493">
        <v>145</v>
      </c>
      <c r="AA1319" s="493">
        <v>145</v>
      </c>
      <c r="AB1319" s="493">
        <v>145</v>
      </c>
      <c r="AC1319" s="493">
        <v>145</v>
      </c>
      <c r="AD1319" s="493">
        <v>145</v>
      </c>
      <c r="AE1319" s="493">
        <v>145</v>
      </c>
      <c r="AF1319" s="493">
        <v>145</v>
      </c>
      <c r="AG1319" s="493">
        <v>145</v>
      </c>
      <c r="AH1319" s="493">
        <v>145</v>
      </c>
      <c r="AI1319" s="493">
        <v>145</v>
      </c>
    </row>
    <row r="1320" spans="2:64">
      <c r="G1320" s="487" t="str">
        <f t="shared" si="117"/>
        <v/>
      </c>
    </row>
    <row r="1321" spans="2:64" ht="15">
      <c r="B1321" t="str">
        <f t="shared" ref="B1321:B1365" si="123">_xlfn.TEXTJOIN(" - ",TRUE,C1321:F1321)</f>
        <v>LSFO - Item - Region - Unit</v>
      </c>
      <c r="C1321" s="523" t="s">
        <v>180</v>
      </c>
      <c r="D1321" s="523" t="s">
        <v>877</v>
      </c>
      <c r="E1321" s="523" t="s">
        <v>171</v>
      </c>
      <c r="F1321" s="523" t="s">
        <v>111</v>
      </c>
      <c r="G1321" s="487" t="str">
        <f t="shared" si="117"/>
        <v>LSFORegionItem</v>
      </c>
      <c r="H1321" s="484">
        <v>2023</v>
      </c>
      <c r="I1321" s="484">
        <v>2024</v>
      </c>
      <c r="J1321" s="484">
        <v>2025</v>
      </c>
      <c r="K1321" s="484">
        <v>2026</v>
      </c>
      <c r="L1321" s="484">
        <v>2027</v>
      </c>
      <c r="M1321" s="484">
        <v>2028</v>
      </c>
      <c r="N1321" s="484">
        <v>2029</v>
      </c>
      <c r="O1321" s="484">
        <v>2030</v>
      </c>
      <c r="P1321" s="484">
        <v>2031</v>
      </c>
      <c r="Q1321" s="484">
        <v>2032</v>
      </c>
      <c r="R1321" s="484">
        <v>2033</v>
      </c>
      <c r="S1321" s="484">
        <v>2034</v>
      </c>
      <c r="T1321" s="484">
        <v>2035</v>
      </c>
      <c r="U1321" s="484">
        <v>2036</v>
      </c>
      <c r="V1321" s="484">
        <v>2037</v>
      </c>
      <c r="W1321" s="484">
        <v>2038</v>
      </c>
      <c r="X1321" s="484">
        <v>2039</v>
      </c>
      <c r="Y1321" s="484">
        <v>2040</v>
      </c>
      <c r="Z1321" s="484">
        <v>2041</v>
      </c>
      <c r="AA1321" s="484">
        <v>2042</v>
      </c>
      <c r="AB1321" s="484">
        <v>2043</v>
      </c>
      <c r="AC1321" s="484">
        <v>2044</v>
      </c>
      <c r="AD1321" s="484">
        <v>2045</v>
      </c>
      <c r="AE1321" s="484">
        <v>2046</v>
      </c>
      <c r="AF1321" s="484">
        <v>2047</v>
      </c>
      <c r="AG1321" s="484">
        <v>2048</v>
      </c>
      <c r="AH1321" s="484">
        <v>2049</v>
      </c>
      <c r="AI1321" s="484">
        <v>2050</v>
      </c>
    </row>
    <row r="1322" spans="2:64" outlineLevel="1">
      <c r="B1322" t="str">
        <f t="shared" si="123"/>
        <v>LSFO - Total cost - Africa - USD/ton fuel</v>
      </c>
      <c r="C1322" s="487" t="str">
        <f>C1321</f>
        <v>LSFO</v>
      </c>
      <c r="D1322" s="487" t="s">
        <v>1362</v>
      </c>
      <c r="E1322" s="487" t="s">
        <v>838</v>
      </c>
      <c r="F1322" s="487" t="s">
        <v>1353</v>
      </c>
      <c r="G1322" s="487" t="str">
        <f t="shared" si="117"/>
        <v>LSFOAfricaTotal cost</v>
      </c>
      <c r="H1322" s="488">
        <v>735.35</v>
      </c>
      <c r="I1322" s="488">
        <v>685.30000000000007</v>
      </c>
      <c r="J1322" s="488">
        <v>635.25</v>
      </c>
      <c r="K1322" s="488">
        <v>619.0799999999972</v>
      </c>
      <c r="L1322" s="488">
        <v>602.91000000000145</v>
      </c>
      <c r="M1322" s="488">
        <v>586.73999999999864</v>
      </c>
      <c r="N1322" s="488">
        <v>570.56999999999584</v>
      </c>
      <c r="O1322" s="488">
        <v>554.4</v>
      </c>
      <c r="P1322" s="488">
        <v>554.4</v>
      </c>
      <c r="Q1322" s="488">
        <v>554.4</v>
      </c>
      <c r="R1322" s="488">
        <v>554.4</v>
      </c>
      <c r="S1322" s="488">
        <v>554.4</v>
      </c>
      <c r="T1322" s="488">
        <v>554.4</v>
      </c>
      <c r="U1322" s="488">
        <v>554.4</v>
      </c>
      <c r="V1322" s="488">
        <v>554.4</v>
      </c>
      <c r="W1322" s="488">
        <v>554.4</v>
      </c>
      <c r="X1322" s="488">
        <v>554.4</v>
      </c>
      <c r="Y1322" s="488">
        <v>554.4</v>
      </c>
      <c r="Z1322" s="488">
        <v>554.4</v>
      </c>
      <c r="AA1322" s="488">
        <v>554.4</v>
      </c>
      <c r="AB1322" s="488">
        <v>554.4</v>
      </c>
      <c r="AC1322" s="488">
        <v>554.4</v>
      </c>
      <c r="AD1322" s="488">
        <v>554.4</v>
      </c>
      <c r="AE1322" s="488">
        <v>554.4</v>
      </c>
      <c r="AF1322" s="488">
        <v>554.4</v>
      </c>
      <c r="AG1322" s="488">
        <v>554.4</v>
      </c>
      <c r="AH1322" s="488">
        <v>554.4</v>
      </c>
      <c r="AI1322" s="488">
        <v>554.4</v>
      </c>
    </row>
    <row r="1323" spans="2:64" outlineLevel="1">
      <c r="B1323" t="str">
        <f t="shared" si="123"/>
        <v>LSFO - Total cost - Americas - USD/ton fuel</v>
      </c>
      <c r="C1323" t="str">
        <f>C1322</f>
        <v>LSFO</v>
      </c>
      <c r="D1323" t="s">
        <v>1362</v>
      </c>
      <c r="E1323" t="s">
        <v>731</v>
      </c>
      <c r="F1323" t="s">
        <v>1353</v>
      </c>
      <c r="G1323" s="487" t="str">
        <f t="shared" si="117"/>
        <v>LSFOAmericasTotal cost</v>
      </c>
      <c r="H1323" s="489">
        <v>735.35</v>
      </c>
      <c r="I1323" s="489">
        <v>685.30000000000007</v>
      </c>
      <c r="J1323" s="489">
        <v>635.25</v>
      </c>
      <c r="K1323" s="489">
        <v>619.0799999999972</v>
      </c>
      <c r="L1323" s="489">
        <v>602.91000000000145</v>
      </c>
      <c r="M1323" s="489">
        <v>586.73999999999864</v>
      </c>
      <c r="N1323" s="489">
        <v>570.56999999999584</v>
      </c>
      <c r="O1323" s="489">
        <v>554.4</v>
      </c>
      <c r="P1323" s="489">
        <v>554.4</v>
      </c>
      <c r="Q1323" s="489">
        <v>554.4</v>
      </c>
      <c r="R1323" s="489">
        <v>554.4</v>
      </c>
      <c r="S1323" s="489">
        <v>554.4</v>
      </c>
      <c r="T1323" s="489">
        <v>554.4</v>
      </c>
      <c r="U1323" s="489">
        <v>554.4</v>
      </c>
      <c r="V1323" s="489">
        <v>554.4</v>
      </c>
      <c r="W1323" s="489">
        <v>554.4</v>
      </c>
      <c r="X1323" s="489">
        <v>554.4</v>
      </c>
      <c r="Y1323" s="489">
        <v>554.4</v>
      </c>
      <c r="Z1323" s="489">
        <v>554.4</v>
      </c>
      <c r="AA1323" s="489">
        <v>554.4</v>
      </c>
      <c r="AB1323" s="489">
        <v>554.4</v>
      </c>
      <c r="AC1323" s="489">
        <v>554.4</v>
      </c>
      <c r="AD1323" s="489">
        <v>554.4</v>
      </c>
      <c r="AE1323" s="489">
        <v>554.4</v>
      </c>
      <c r="AF1323" s="489">
        <v>554.4</v>
      </c>
      <c r="AG1323" s="489">
        <v>554.4</v>
      </c>
      <c r="AH1323" s="489">
        <v>554.4</v>
      </c>
      <c r="AI1323" s="489">
        <v>554.4</v>
      </c>
    </row>
    <row r="1324" spans="2:64" outlineLevel="1">
      <c r="B1324" t="str">
        <f t="shared" si="123"/>
        <v>LSFO - Total cost - Asia - USD/ton fuel</v>
      </c>
      <c r="C1324" t="str">
        <f>C1323</f>
        <v>LSFO</v>
      </c>
      <c r="D1324" t="s">
        <v>1362</v>
      </c>
      <c r="E1324" t="s">
        <v>750</v>
      </c>
      <c r="F1324" t="s">
        <v>1353</v>
      </c>
      <c r="G1324" s="487" t="str">
        <f t="shared" si="117"/>
        <v>LSFOAsiaTotal cost</v>
      </c>
      <c r="H1324" s="489">
        <v>735.35</v>
      </c>
      <c r="I1324" s="489">
        <v>685.30000000000007</v>
      </c>
      <c r="J1324" s="489">
        <v>635.25</v>
      </c>
      <c r="K1324" s="489">
        <v>619.0799999999972</v>
      </c>
      <c r="L1324" s="489">
        <v>602.91000000000145</v>
      </c>
      <c r="M1324" s="489">
        <v>586.73999999999864</v>
      </c>
      <c r="N1324" s="489">
        <v>570.56999999999584</v>
      </c>
      <c r="O1324" s="489">
        <v>554.4</v>
      </c>
      <c r="P1324" s="489">
        <v>554.4</v>
      </c>
      <c r="Q1324" s="489">
        <v>554.4</v>
      </c>
      <c r="R1324" s="489">
        <v>554.4</v>
      </c>
      <c r="S1324" s="489">
        <v>554.4</v>
      </c>
      <c r="T1324" s="489">
        <v>554.4</v>
      </c>
      <c r="U1324" s="489">
        <v>554.4</v>
      </c>
      <c r="V1324" s="489">
        <v>554.4</v>
      </c>
      <c r="W1324" s="489">
        <v>554.4</v>
      </c>
      <c r="X1324" s="489">
        <v>554.4</v>
      </c>
      <c r="Y1324" s="489">
        <v>554.4</v>
      </c>
      <c r="Z1324" s="489">
        <v>554.4</v>
      </c>
      <c r="AA1324" s="489">
        <v>554.4</v>
      </c>
      <c r="AB1324" s="489">
        <v>554.4</v>
      </c>
      <c r="AC1324" s="489">
        <v>554.4</v>
      </c>
      <c r="AD1324" s="489">
        <v>554.4</v>
      </c>
      <c r="AE1324" s="489">
        <v>554.4</v>
      </c>
      <c r="AF1324" s="489">
        <v>554.4</v>
      </c>
      <c r="AG1324" s="489">
        <v>554.4</v>
      </c>
      <c r="AH1324" s="489">
        <v>554.4</v>
      </c>
      <c r="AI1324" s="489">
        <v>554.4</v>
      </c>
    </row>
    <row r="1325" spans="2:64" outlineLevel="1">
      <c r="B1325" t="str">
        <f t="shared" si="123"/>
        <v>LSFO - Total cost - Europe - USD/ton fuel</v>
      </c>
      <c r="C1325" t="str">
        <f>C1324</f>
        <v>LSFO</v>
      </c>
      <c r="D1325" t="s">
        <v>1362</v>
      </c>
      <c r="E1325" t="s">
        <v>720</v>
      </c>
      <c r="F1325" t="s">
        <v>1353</v>
      </c>
      <c r="G1325" s="487" t="str">
        <f t="shared" si="117"/>
        <v>LSFOEuropeTotal cost</v>
      </c>
      <c r="H1325" s="489">
        <v>735.35</v>
      </c>
      <c r="I1325" s="489">
        <v>685.30000000000007</v>
      </c>
      <c r="J1325" s="489">
        <v>635.25</v>
      </c>
      <c r="K1325" s="489">
        <v>619.0799999999972</v>
      </c>
      <c r="L1325" s="489">
        <v>602.91000000000145</v>
      </c>
      <c r="M1325" s="489">
        <v>586.73999999999864</v>
      </c>
      <c r="N1325" s="489">
        <v>570.56999999999584</v>
      </c>
      <c r="O1325" s="489">
        <v>554.4</v>
      </c>
      <c r="P1325" s="489">
        <v>554.4</v>
      </c>
      <c r="Q1325" s="489">
        <v>554.4</v>
      </c>
      <c r="R1325" s="489">
        <v>554.4</v>
      </c>
      <c r="S1325" s="489">
        <v>554.4</v>
      </c>
      <c r="T1325" s="489">
        <v>554.4</v>
      </c>
      <c r="U1325" s="489">
        <v>554.4</v>
      </c>
      <c r="V1325" s="489">
        <v>554.4</v>
      </c>
      <c r="W1325" s="489">
        <v>554.4</v>
      </c>
      <c r="X1325" s="489">
        <v>554.4</v>
      </c>
      <c r="Y1325" s="489">
        <v>554.4</v>
      </c>
      <c r="Z1325" s="489">
        <v>554.4</v>
      </c>
      <c r="AA1325" s="489">
        <v>554.4</v>
      </c>
      <c r="AB1325" s="489">
        <v>554.4</v>
      </c>
      <c r="AC1325" s="489">
        <v>554.4</v>
      </c>
      <c r="AD1325" s="489">
        <v>554.4</v>
      </c>
      <c r="AE1325" s="489">
        <v>554.4</v>
      </c>
      <c r="AF1325" s="489">
        <v>554.4</v>
      </c>
      <c r="AG1325" s="489">
        <v>554.4</v>
      </c>
      <c r="AH1325" s="489">
        <v>554.4</v>
      </c>
      <c r="AI1325" s="489">
        <v>554.4</v>
      </c>
    </row>
    <row r="1326" spans="2:64" outlineLevel="1">
      <c r="B1326" t="str">
        <f t="shared" si="123"/>
        <v>LSFO - Total cost - Middle East - USD/ton fuel</v>
      </c>
      <c r="C1326" s="25" t="str">
        <f>C1325</f>
        <v>LSFO</v>
      </c>
      <c r="D1326" s="25" t="s">
        <v>1362</v>
      </c>
      <c r="E1326" s="25" t="s">
        <v>826</v>
      </c>
      <c r="F1326" s="25" t="s">
        <v>1353</v>
      </c>
      <c r="G1326" s="487" t="str">
        <f t="shared" si="117"/>
        <v>LSFOMiddle EastTotal cost</v>
      </c>
      <c r="H1326" s="490">
        <v>735.35</v>
      </c>
      <c r="I1326" s="490">
        <v>685.30000000000007</v>
      </c>
      <c r="J1326" s="490">
        <v>635.25</v>
      </c>
      <c r="K1326" s="490">
        <v>619.0799999999972</v>
      </c>
      <c r="L1326" s="490">
        <v>602.91000000000145</v>
      </c>
      <c r="M1326" s="490">
        <v>586.73999999999864</v>
      </c>
      <c r="N1326" s="490">
        <v>570.56999999999584</v>
      </c>
      <c r="O1326" s="490">
        <v>554.4</v>
      </c>
      <c r="P1326" s="490">
        <v>554.4</v>
      </c>
      <c r="Q1326" s="490">
        <v>554.4</v>
      </c>
      <c r="R1326" s="490">
        <v>554.4</v>
      </c>
      <c r="S1326" s="490">
        <v>554.4</v>
      </c>
      <c r="T1326" s="490">
        <v>554.4</v>
      </c>
      <c r="U1326" s="490">
        <v>554.4</v>
      </c>
      <c r="V1326" s="490">
        <v>554.4</v>
      </c>
      <c r="W1326" s="490">
        <v>554.4</v>
      </c>
      <c r="X1326" s="490">
        <v>554.4</v>
      </c>
      <c r="Y1326" s="490">
        <v>554.4</v>
      </c>
      <c r="Z1326" s="490">
        <v>554.4</v>
      </c>
      <c r="AA1326" s="490">
        <v>554.4</v>
      </c>
      <c r="AB1326" s="490">
        <v>554.4</v>
      </c>
      <c r="AC1326" s="490">
        <v>554.4</v>
      </c>
      <c r="AD1326" s="490">
        <v>554.4</v>
      </c>
      <c r="AE1326" s="490">
        <v>554.4</v>
      </c>
      <c r="AF1326" s="490">
        <v>554.4</v>
      </c>
      <c r="AG1326" s="490">
        <v>554.4</v>
      </c>
      <c r="AH1326" s="490">
        <v>554.4</v>
      </c>
      <c r="AI1326" s="490">
        <v>554.4</v>
      </c>
    </row>
    <row r="1327" spans="2:64" ht="15" outlineLevel="1">
      <c r="B1327" t="str">
        <f t="shared" si="123"/>
        <v/>
      </c>
      <c r="C1327" s="22"/>
      <c r="G1327" s="487" t="str">
        <f t="shared" si="117"/>
        <v/>
      </c>
    </row>
    <row r="1328" spans="2:64" ht="15" outlineLevel="1">
      <c r="B1328" t="str">
        <f t="shared" si="123"/>
        <v>LSFO - CAPEX including feedstock CAPEX - Global - USD/ton fuel</v>
      </c>
      <c r="C1328" s="491" t="str">
        <f>C1321</f>
        <v>LSFO</v>
      </c>
      <c r="D1328" s="491" t="s">
        <v>1363</v>
      </c>
      <c r="E1328" s="491" t="s">
        <v>708</v>
      </c>
      <c r="F1328" s="491" t="s">
        <v>1353</v>
      </c>
      <c r="G1328" s="487" t="str">
        <f t="shared" si="117"/>
        <v>LSFOGlobalCAPEX including feedstock CAPEX</v>
      </c>
      <c r="H1328" s="492">
        <v>0</v>
      </c>
      <c r="I1328" s="492">
        <v>0</v>
      </c>
      <c r="J1328" s="492">
        <v>0</v>
      </c>
      <c r="K1328" s="492">
        <v>0</v>
      </c>
      <c r="L1328" s="492">
        <v>0</v>
      </c>
      <c r="M1328" s="492">
        <v>0</v>
      </c>
      <c r="N1328" s="492">
        <v>0</v>
      </c>
      <c r="O1328" s="492">
        <v>0</v>
      </c>
      <c r="P1328" s="492">
        <v>0</v>
      </c>
      <c r="Q1328" s="492">
        <v>0</v>
      </c>
      <c r="R1328" s="492">
        <v>0</v>
      </c>
      <c r="S1328" s="492">
        <v>0</v>
      </c>
      <c r="T1328" s="492">
        <v>0</v>
      </c>
      <c r="U1328" s="492">
        <v>0</v>
      </c>
      <c r="V1328" s="492">
        <v>0</v>
      </c>
      <c r="W1328" s="492">
        <v>0</v>
      </c>
      <c r="X1328" s="492">
        <v>0</v>
      </c>
      <c r="Y1328" s="492">
        <v>0</v>
      </c>
      <c r="Z1328" s="492">
        <v>0</v>
      </c>
      <c r="AA1328" s="492">
        <v>0</v>
      </c>
      <c r="AB1328" s="492">
        <v>0</v>
      </c>
      <c r="AC1328" s="492">
        <v>0</v>
      </c>
      <c r="AD1328" s="492">
        <v>0</v>
      </c>
      <c r="AE1328" s="492">
        <v>0</v>
      </c>
      <c r="AF1328" s="492">
        <v>0</v>
      </c>
      <c r="AG1328" s="492">
        <v>0</v>
      </c>
      <c r="AH1328" s="492">
        <v>0</v>
      </c>
      <c r="AI1328" s="492">
        <v>0</v>
      </c>
    </row>
    <row r="1329" spans="2:35" outlineLevel="1">
      <c r="B1329" t="str">
        <f t="shared" si="123"/>
        <v>LSFO - CAPEX - Global - USD/ton fuel</v>
      </c>
      <c r="C1329" t="str">
        <f>C1321</f>
        <v>LSFO</v>
      </c>
      <c r="D1329" t="s">
        <v>446</v>
      </c>
      <c r="E1329" t="s">
        <v>708</v>
      </c>
      <c r="F1329" t="s">
        <v>1353</v>
      </c>
      <c r="G1329" s="487" t="str">
        <f t="shared" si="117"/>
        <v>LSFOGlobalCAPEX</v>
      </c>
      <c r="H1329" s="493">
        <v>0</v>
      </c>
      <c r="I1329" s="493">
        <v>0</v>
      </c>
      <c r="J1329" s="493">
        <v>0</v>
      </c>
      <c r="K1329" s="493">
        <v>0</v>
      </c>
      <c r="L1329" s="493">
        <v>0</v>
      </c>
      <c r="M1329" s="493">
        <v>0</v>
      </c>
      <c r="N1329" s="493">
        <v>0</v>
      </c>
      <c r="O1329" s="493">
        <v>0</v>
      </c>
      <c r="P1329" s="493">
        <v>0</v>
      </c>
      <c r="Q1329" s="493">
        <v>0</v>
      </c>
      <c r="R1329" s="493">
        <v>0</v>
      </c>
      <c r="S1329" s="493">
        <v>0</v>
      </c>
      <c r="T1329" s="493">
        <v>0</v>
      </c>
      <c r="U1329" s="493">
        <v>0</v>
      </c>
      <c r="V1329" s="493">
        <v>0</v>
      </c>
      <c r="W1329" s="493">
        <v>0</v>
      </c>
      <c r="X1329" s="493">
        <v>0</v>
      </c>
      <c r="Y1329" s="493">
        <v>0</v>
      </c>
      <c r="Z1329" s="493">
        <v>0</v>
      </c>
      <c r="AA1329" s="493">
        <v>0</v>
      </c>
      <c r="AB1329" s="493">
        <v>0</v>
      </c>
      <c r="AC1329" s="493">
        <v>0</v>
      </c>
      <c r="AD1329" s="493">
        <v>0</v>
      </c>
      <c r="AE1329" s="493">
        <v>0</v>
      </c>
      <c r="AF1329" s="493">
        <v>0</v>
      </c>
      <c r="AG1329" s="493">
        <v>0</v>
      </c>
      <c r="AH1329" s="493">
        <v>0</v>
      </c>
      <c r="AI1329" s="493">
        <v>0</v>
      </c>
    </row>
    <row r="1330" spans="2:35" outlineLevel="1">
      <c r="B1330" t="str">
        <f t="shared" si="123"/>
        <v/>
      </c>
      <c r="G1330" s="487" t="str">
        <f t="shared" si="117"/>
        <v/>
      </c>
      <c r="H1330" s="493"/>
      <c r="I1330" s="493"/>
      <c r="J1330" s="493"/>
      <c r="K1330" s="493"/>
      <c r="L1330" s="493"/>
      <c r="M1330" s="493"/>
      <c r="N1330" s="493"/>
      <c r="O1330" s="493"/>
      <c r="P1330" s="493"/>
      <c r="Q1330" s="493"/>
      <c r="R1330" s="493"/>
      <c r="S1330" s="493"/>
      <c r="T1330" s="493"/>
      <c r="U1330" s="493"/>
      <c r="V1330" s="493"/>
      <c r="W1330" s="493"/>
      <c r="X1330" s="493"/>
      <c r="Y1330" s="493"/>
      <c r="Z1330" s="493"/>
      <c r="AA1330" s="493"/>
      <c r="AB1330" s="493"/>
      <c r="AC1330" s="493"/>
      <c r="AD1330" s="493"/>
      <c r="AE1330" s="493"/>
      <c r="AF1330" s="493"/>
      <c r="AG1330" s="493"/>
      <c r="AH1330" s="493"/>
      <c r="AI1330" s="493"/>
    </row>
    <row r="1331" spans="2:35" ht="15" outlineLevel="1">
      <c r="B1331" t="str">
        <f t="shared" si="123"/>
        <v>LSFO - OPEX including feedstock OPEX - Global - USD/ton fuel</v>
      </c>
      <c r="C1331" s="491" t="str">
        <f>C1322</f>
        <v>LSFO</v>
      </c>
      <c r="D1331" s="491" t="s">
        <v>1364</v>
      </c>
      <c r="E1331" s="491" t="s">
        <v>708</v>
      </c>
      <c r="F1331" s="491" t="s">
        <v>1353</v>
      </c>
      <c r="G1331" s="487" t="str">
        <f t="shared" si="117"/>
        <v>LSFOGlobalOPEX including feedstock OPEX</v>
      </c>
      <c r="H1331" s="492">
        <v>0</v>
      </c>
      <c r="I1331" s="492">
        <v>0</v>
      </c>
      <c r="J1331" s="492">
        <v>0</v>
      </c>
      <c r="K1331" s="492">
        <v>0</v>
      </c>
      <c r="L1331" s="492">
        <v>0</v>
      </c>
      <c r="M1331" s="492">
        <v>0</v>
      </c>
      <c r="N1331" s="492">
        <v>0</v>
      </c>
      <c r="O1331" s="492">
        <v>0</v>
      </c>
      <c r="P1331" s="492">
        <v>0</v>
      </c>
      <c r="Q1331" s="492">
        <v>0</v>
      </c>
      <c r="R1331" s="492">
        <v>0</v>
      </c>
      <c r="S1331" s="492">
        <v>0</v>
      </c>
      <c r="T1331" s="492">
        <v>0</v>
      </c>
      <c r="U1331" s="492">
        <v>0</v>
      </c>
      <c r="V1331" s="492">
        <v>0</v>
      </c>
      <c r="W1331" s="492">
        <v>0</v>
      </c>
      <c r="X1331" s="492">
        <v>0</v>
      </c>
      <c r="Y1331" s="492">
        <v>0</v>
      </c>
      <c r="Z1331" s="492">
        <v>0</v>
      </c>
      <c r="AA1331" s="492">
        <v>0</v>
      </c>
      <c r="AB1331" s="492">
        <v>0</v>
      </c>
      <c r="AC1331" s="492">
        <v>0</v>
      </c>
      <c r="AD1331" s="492">
        <v>0</v>
      </c>
      <c r="AE1331" s="492">
        <v>0</v>
      </c>
      <c r="AF1331" s="492">
        <v>0</v>
      </c>
      <c r="AG1331" s="492">
        <v>0</v>
      </c>
      <c r="AH1331" s="492">
        <v>0</v>
      </c>
      <c r="AI1331" s="492">
        <v>0</v>
      </c>
    </row>
    <row r="1332" spans="2:35" outlineLevel="1">
      <c r="B1332" t="str">
        <f t="shared" si="123"/>
        <v>LSFO - OPEX - Global - USD/ton fuel</v>
      </c>
      <c r="C1332" t="str">
        <f>C1321</f>
        <v>LSFO</v>
      </c>
      <c r="D1332" t="s">
        <v>450</v>
      </c>
      <c r="E1332" t="s">
        <v>708</v>
      </c>
      <c r="F1332" t="s">
        <v>1353</v>
      </c>
      <c r="G1332" s="487" t="str">
        <f t="shared" si="117"/>
        <v>LSFOGlobalOPEX</v>
      </c>
      <c r="H1332" s="493">
        <v>0</v>
      </c>
      <c r="I1332" s="493">
        <v>0</v>
      </c>
      <c r="J1332" s="493">
        <v>0</v>
      </c>
      <c r="K1332" s="493">
        <v>0</v>
      </c>
      <c r="L1332" s="493">
        <v>0</v>
      </c>
      <c r="M1332" s="493">
        <v>0</v>
      </c>
      <c r="N1332" s="493">
        <v>0</v>
      </c>
      <c r="O1332" s="493">
        <v>0</v>
      </c>
      <c r="P1332" s="493">
        <v>0</v>
      </c>
      <c r="Q1332" s="493">
        <v>0</v>
      </c>
      <c r="R1332" s="493">
        <v>0</v>
      </c>
      <c r="S1332" s="493">
        <v>0</v>
      </c>
      <c r="T1332" s="493">
        <v>0</v>
      </c>
      <c r="U1332" s="493">
        <v>0</v>
      </c>
      <c r="V1332" s="493">
        <v>0</v>
      </c>
      <c r="W1332" s="493">
        <v>0</v>
      </c>
      <c r="X1332" s="493">
        <v>0</v>
      </c>
      <c r="Y1332" s="493">
        <v>0</v>
      </c>
      <c r="Z1332" s="493">
        <v>0</v>
      </c>
      <c r="AA1332" s="493">
        <v>0</v>
      </c>
      <c r="AB1332" s="493">
        <v>0</v>
      </c>
      <c r="AC1332" s="493">
        <v>0</v>
      </c>
      <c r="AD1332" s="493">
        <v>0</v>
      </c>
      <c r="AE1332" s="493">
        <v>0</v>
      </c>
      <c r="AF1332" s="493">
        <v>0</v>
      </c>
      <c r="AG1332" s="493">
        <v>0</v>
      </c>
      <c r="AH1332" s="493">
        <v>0</v>
      </c>
      <c r="AI1332" s="493">
        <v>0</v>
      </c>
    </row>
    <row r="1333" spans="2:35" outlineLevel="1">
      <c r="B1333" t="str">
        <f t="shared" si="123"/>
        <v/>
      </c>
      <c r="G1333" s="487" t="str">
        <f t="shared" si="117"/>
        <v/>
      </c>
      <c r="H1333" s="493"/>
      <c r="I1333" s="493"/>
      <c r="J1333" s="493"/>
      <c r="K1333" s="493"/>
      <c r="L1333" s="493"/>
      <c r="M1333" s="493"/>
      <c r="N1333" s="493"/>
      <c r="O1333" s="493"/>
      <c r="P1333" s="493"/>
      <c r="Q1333" s="493"/>
      <c r="R1333" s="493"/>
      <c r="S1333" s="493"/>
      <c r="T1333" s="493"/>
      <c r="U1333" s="493"/>
      <c r="V1333" s="493"/>
      <c r="W1333" s="493"/>
      <c r="X1333" s="493"/>
      <c r="Y1333" s="493"/>
      <c r="Z1333" s="493"/>
      <c r="AA1333" s="493"/>
      <c r="AB1333" s="493"/>
      <c r="AC1333" s="493"/>
      <c r="AD1333" s="493"/>
      <c r="AE1333" s="493"/>
      <c r="AF1333" s="493"/>
      <c r="AG1333" s="493"/>
      <c r="AH1333" s="493"/>
      <c r="AI1333" s="493"/>
    </row>
    <row r="1334" spans="2:35" ht="15" outlineLevel="1">
      <c r="B1334" t="str">
        <f t="shared" si="123"/>
        <v>LSFO - Finance cost including feedstock finance cost - Africa - USD/ton fuel</v>
      </c>
      <c r="C1334" s="494" t="str">
        <f>C1325</f>
        <v>LSFO</v>
      </c>
      <c r="D1334" s="494" t="s">
        <v>1365</v>
      </c>
      <c r="E1334" s="494" t="s">
        <v>838</v>
      </c>
      <c r="F1334" s="494" t="s">
        <v>1353</v>
      </c>
      <c r="G1334" s="487" t="str">
        <f t="shared" si="117"/>
        <v>LSFOAfricaFinance cost including feedstock finance cost</v>
      </c>
      <c r="H1334" s="495">
        <v>0</v>
      </c>
      <c r="I1334" s="495">
        <v>0</v>
      </c>
      <c r="J1334" s="495">
        <v>0</v>
      </c>
      <c r="K1334" s="495">
        <v>0</v>
      </c>
      <c r="L1334" s="495">
        <v>0</v>
      </c>
      <c r="M1334" s="495">
        <v>0</v>
      </c>
      <c r="N1334" s="495">
        <v>0</v>
      </c>
      <c r="O1334" s="495">
        <v>0</v>
      </c>
      <c r="P1334" s="495">
        <v>0</v>
      </c>
      <c r="Q1334" s="495">
        <v>0</v>
      </c>
      <c r="R1334" s="495">
        <v>0</v>
      </c>
      <c r="S1334" s="495">
        <v>0</v>
      </c>
      <c r="T1334" s="495">
        <v>0</v>
      </c>
      <c r="U1334" s="495">
        <v>0</v>
      </c>
      <c r="V1334" s="495">
        <v>0</v>
      </c>
      <c r="W1334" s="495">
        <v>0</v>
      </c>
      <c r="X1334" s="495">
        <v>0</v>
      </c>
      <c r="Y1334" s="495">
        <v>0</v>
      </c>
      <c r="Z1334" s="495">
        <v>0</v>
      </c>
      <c r="AA1334" s="495">
        <v>0</v>
      </c>
      <c r="AB1334" s="495">
        <v>0</v>
      </c>
      <c r="AC1334" s="495">
        <v>0</v>
      </c>
      <c r="AD1334" s="495">
        <v>0</v>
      </c>
      <c r="AE1334" s="495">
        <v>0</v>
      </c>
      <c r="AF1334" s="495">
        <v>0</v>
      </c>
      <c r="AG1334" s="495">
        <v>0</v>
      </c>
      <c r="AH1334" s="495">
        <v>0</v>
      </c>
      <c r="AI1334" s="495">
        <v>0</v>
      </c>
    </row>
    <row r="1335" spans="2:35" ht="15" outlineLevel="1">
      <c r="B1335" t="str">
        <f t="shared" si="123"/>
        <v>LSFO - Finance cost including feedstock finance cost - Americas - USD/ton fuel</v>
      </c>
      <c r="C1335" s="22" t="str">
        <f>C1325</f>
        <v>LSFO</v>
      </c>
      <c r="D1335" s="22" t="s">
        <v>1365</v>
      </c>
      <c r="E1335" s="22" t="s">
        <v>731</v>
      </c>
      <c r="F1335" s="22" t="s">
        <v>1353</v>
      </c>
      <c r="G1335" s="487" t="str">
        <f t="shared" si="117"/>
        <v>LSFOAmericasFinance cost including feedstock finance cost</v>
      </c>
      <c r="H1335" s="496">
        <v>0</v>
      </c>
      <c r="I1335" s="496">
        <v>0</v>
      </c>
      <c r="J1335" s="496">
        <v>0</v>
      </c>
      <c r="K1335" s="496">
        <v>0</v>
      </c>
      <c r="L1335" s="496">
        <v>0</v>
      </c>
      <c r="M1335" s="496">
        <v>0</v>
      </c>
      <c r="N1335" s="496">
        <v>0</v>
      </c>
      <c r="O1335" s="496">
        <v>0</v>
      </c>
      <c r="P1335" s="496">
        <v>0</v>
      </c>
      <c r="Q1335" s="496">
        <v>0</v>
      </c>
      <c r="R1335" s="496">
        <v>0</v>
      </c>
      <c r="S1335" s="496">
        <v>0</v>
      </c>
      <c r="T1335" s="496">
        <v>0</v>
      </c>
      <c r="U1335" s="496">
        <v>0</v>
      </c>
      <c r="V1335" s="496">
        <v>0</v>
      </c>
      <c r="W1335" s="496">
        <v>0</v>
      </c>
      <c r="X1335" s="496">
        <v>0</v>
      </c>
      <c r="Y1335" s="496">
        <v>0</v>
      </c>
      <c r="Z1335" s="496">
        <v>0</v>
      </c>
      <c r="AA1335" s="496">
        <v>0</v>
      </c>
      <c r="AB1335" s="496">
        <v>0</v>
      </c>
      <c r="AC1335" s="496">
        <v>0</v>
      </c>
      <c r="AD1335" s="496">
        <v>0</v>
      </c>
      <c r="AE1335" s="496">
        <v>0</v>
      </c>
      <c r="AF1335" s="496">
        <v>0</v>
      </c>
      <c r="AG1335" s="496">
        <v>0</v>
      </c>
      <c r="AH1335" s="496">
        <v>0</v>
      </c>
      <c r="AI1335" s="496">
        <v>0</v>
      </c>
    </row>
    <row r="1336" spans="2:35" ht="15" outlineLevel="1">
      <c r="B1336" t="str">
        <f t="shared" si="123"/>
        <v>LSFO - Finance cost including feedstock finance cost - Asia - USD/ton fuel</v>
      </c>
      <c r="C1336" s="22" t="str">
        <f>C1325</f>
        <v>LSFO</v>
      </c>
      <c r="D1336" s="22" t="s">
        <v>1365</v>
      </c>
      <c r="E1336" s="22" t="s">
        <v>750</v>
      </c>
      <c r="F1336" s="22" t="s">
        <v>1353</v>
      </c>
      <c r="G1336" s="487" t="str">
        <f t="shared" si="117"/>
        <v>LSFOAsiaFinance cost including feedstock finance cost</v>
      </c>
      <c r="H1336" s="496">
        <v>0</v>
      </c>
      <c r="I1336" s="496">
        <v>0</v>
      </c>
      <c r="J1336" s="496">
        <v>0</v>
      </c>
      <c r="K1336" s="496">
        <v>0</v>
      </c>
      <c r="L1336" s="496">
        <v>0</v>
      </c>
      <c r="M1336" s="496">
        <v>0</v>
      </c>
      <c r="N1336" s="496">
        <v>0</v>
      </c>
      <c r="O1336" s="496">
        <v>0</v>
      </c>
      <c r="P1336" s="496">
        <v>0</v>
      </c>
      <c r="Q1336" s="496">
        <v>0</v>
      </c>
      <c r="R1336" s="496">
        <v>0</v>
      </c>
      <c r="S1336" s="496">
        <v>0</v>
      </c>
      <c r="T1336" s="496">
        <v>0</v>
      </c>
      <c r="U1336" s="496">
        <v>0</v>
      </c>
      <c r="V1336" s="496">
        <v>0</v>
      </c>
      <c r="W1336" s="496">
        <v>0</v>
      </c>
      <c r="X1336" s="496">
        <v>0</v>
      </c>
      <c r="Y1336" s="496">
        <v>0</v>
      </c>
      <c r="Z1336" s="496">
        <v>0</v>
      </c>
      <c r="AA1336" s="496">
        <v>0</v>
      </c>
      <c r="AB1336" s="496">
        <v>0</v>
      </c>
      <c r="AC1336" s="496">
        <v>0</v>
      </c>
      <c r="AD1336" s="496">
        <v>0</v>
      </c>
      <c r="AE1336" s="496">
        <v>0</v>
      </c>
      <c r="AF1336" s="496">
        <v>0</v>
      </c>
      <c r="AG1336" s="496">
        <v>0</v>
      </c>
      <c r="AH1336" s="496">
        <v>0</v>
      </c>
      <c r="AI1336" s="496">
        <v>0</v>
      </c>
    </row>
    <row r="1337" spans="2:35" ht="15" outlineLevel="1">
      <c r="B1337" t="str">
        <f t="shared" si="123"/>
        <v>LSFO - Finance cost including feedstock finance cost - Europe - USD/ton fuel</v>
      </c>
      <c r="C1337" s="22" t="str">
        <f>C1325</f>
        <v>LSFO</v>
      </c>
      <c r="D1337" s="22" t="s">
        <v>1365</v>
      </c>
      <c r="E1337" s="22" t="s">
        <v>720</v>
      </c>
      <c r="F1337" s="22" t="s">
        <v>1353</v>
      </c>
      <c r="G1337" s="487" t="str">
        <f t="shared" si="117"/>
        <v>LSFOEuropeFinance cost including feedstock finance cost</v>
      </c>
      <c r="H1337" s="496">
        <v>0</v>
      </c>
      <c r="I1337" s="496">
        <v>0</v>
      </c>
      <c r="J1337" s="496">
        <v>0</v>
      </c>
      <c r="K1337" s="496">
        <v>0</v>
      </c>
      <c r="L1337" s="496">
        <v>0</v>
      </c>
      <c r="M1337" s="496">
        <v>0</v>
      </c>
      <c r="N1337" s="496">
        <v>0</v>
      </c>
      <c r="O1337" s="496">
        <v>0</v>
      </c>
      <c r="P1337" s="496">
        <v>0</v>
      </c>
      <c r="Q1337" s="496">
        <v>0</v>
      </c>
      <c r="R1337" s="496">
        <v>0</v>
      </c>
      <c r="S1337" s="496">
        <v>0</v>
      </c>
      <c r="T1337" s="496">
        <v>0</v>
      </c>
      <c r="U1337" s="496">
        <v>0</v>
      </c>
      <c r="V1337" s="496">
        <v>0</v>
      </c>
      <c r="W1337" s="496">
        <v>0</v>
      </c>
      <c r="X1337" s="496">
        <v>0</v>
      </c>
      <c r="Y1337" s="496">
        <v>0</v>
      </c>
      <c r="Z1337" s="496">
        <v>0</v>
      </c>
      <c r="AA1337" s="496">
        <v>0</v>
      </c>
      <c r="AB1337" s="496">
        <v>0</v>
      </c>
      <c r="AC1337" s="496">
        <v>0</v>
      </c>
      <c r="AD1337" s="496">
        <v>0</v>
      </c>
      <c r="AE1337" s="496">
        <v>0</v>
      </c>
      <c r="AF1337" s="496">
        <v>0</v>
      </c>
      <c r="AG1337" s="496">
        <v>0</v>
      </c>
      <c r="AH1337" s="496">
        <v>0</v>
      </c>
      <c r="AI1337" s="496">
        <v>0</v>
      </c>
    </row>
    <row r="1338" spans="2:35" ht="15" outlineLevel="1">
      <c r="B1338" t="str">
        <f t="shared" si="123"/>
        <v>LSFO - Finance cost including feedstock finance cost - Middle East - USD/ton fuel</v>
      </c>
      <c r="C1338" s="92" t="str">
        <f>C1325</f>
        <v>LSFO</v>
      </c>
      <c r="D1338" s="92" t="s">
        <v>1365</v>
      </c>
      <c r="E1338" s="92" t="s">
        <v>826</v>
      </c>
      <c r="F1338" s="92" t="s">
        <v>1353</v>
      </c>
      <c r="G1338" s="487" t="str">
        <f t="shared" si="117"/>
        <v>LSFOMiddle EastFinance cost including feedstock finance cost</v>
      </c>
      <c r="H1338" s="497">
        <v>0</v>
      </c>
      <c r="I1338" s="497">
        <v>0</v>
      </c>
      <c r="J1338" s="497">
        <v>0</v>
      </c>
      <c r="K1338" s="497">
        <v>0</v>
      </c>
      <c r="L1338" s="497">
        <v>0</v>
      </c>
      <c r="M1338" s="497">
        <v>0</v>
      </c>
      <c r="N1338" s="497">
        <v>0</v>
      </c>
      <c r="O1338" s="497">
        <v>0</v>
      </c>
      <c r="P1338" s="497">
        <v>0</v>
      </c>
      <c r="Q1338" s="497">
        <v>0</v>
      </c>
      <c r="R1338" s="497">
        <v>0</v>
      </c>
      <c r="S1338" s="497">
        <v>0</v>
      </c>
      <c r="T1338" s="497">
        <v>0</v>
      </c>
      <c r="U1338" s="497">
        <v>0</v>
      </c>
      <c r="V1338" s="497">
        <v>0</v>
      </c>
      <c r="W1338" s="497">
        <v>0</v>
      </c>
      <c r="X1338" s="497">
        <v>0</v>
      </c>
      <c r="Y1338" s="497">
        <v>0</v>
      </c>
      <c r="Z1338" s="497">
        <v>0</v>
      </c>
      <c r="AA1338" s="497">
        <v>0</v>
      </c>
      <c r="AB1338" s="497">
        <v>0</v>
      </c>
      <c r="AC1338" s="497">
        <v>0</v>
      </c>
      <c r="AD1338" s="497">
        <v>0</v>
      </c>
      <c r="AE1338" s="497">
        <v>0</v>
      </c>
      <c r="AF1338" s="497">
        <v>0</v>
      </c>
      <c r="AG1338" s="497">
        <v>0</v>
      </c>
      <c r="AH1338" s="497">
        <v>0</v>
      </c>
      <c r="AI1338" s="497">
        <v>0</v>
      </c>
    </row>
    <row r="1339" spans="2:35" outlineLevel="1">
      <c r="B1339" t="str">
        <f t="shared" si="123"/>
        <v>LSFO - Finance cost - Africa - USD/ton fuel</v>
      </c>
      <c r="C1339" t="str">
        <f>C1321</f>
        <v>LSFO</v>
      </c>
      <c r="D1339" t="s">
        <v>1366</v>
      </c>
      <c r="E1339" t="s">
        <v>838</v>
      </c>
      <c r="F1339" t="s">
        <v>1353</v>
      </c>
      <c r="G1339" s="487" t="str">
        <f t="shared" si="117"/>
        <v>LSFOAfricaFinance cost</v>
      </c>
      <c r="H1339" s="493">
        <v>0</v>
      </c>
      <c r="I1339" s="493">
        <v>0</v>
      </c>
      <c r="J1339" s="493">
        <v>0</v>
      </c>
      <c r="K1339" s="493">
        <v>0</v>
      </c>
      <c r="L1339" s="493">
        <v>0</v>
      </c>
      <c r="M1339" s="493">
        <v>0</v>
      </c>
      <c r="N1339" s="493">
        <v>0</v>
      </c>
      <c r="O1339" s="493">
        <v>0</v>
      </c>
      <c r="P1339" s="493">
        <v>0</v>
      </c>
      <c r="Q1339" s="493">
        <v>0</v>
      </c>
      <c r="R1339" s="493">
        <v>0</v>
      </c>
      <c r="S1339" s="493">
        <v>0</v>
      </c>
      <c r="T1339" s="493">
        <v>0</v>
      </c>
      <c r="U1339" s="493">
        <v>0</v>
      </c>
      <c r="V1339" s="493">
        <v>0</v>
      </c>
      <c r="W1339" s="493">
        <v>0</v>
      </c>
      <c r="X1339" s="493">
        <v>0</v>
      </c>
      <c r="Y1339" s="493">
        <v>0</v>
      </c>
      <c r="Z1339" s="493">
        <v>0</v>
      </c>
      <c r="AA1339" s="493">
        <v>0</v>
      </c>
      <c r="AB1339" s="493">
        <v>0</v>
      </c>
      <c r="AC1339" s="493">
        <v>0</v>
      </c>
      <c r="AD1339" s="493">
        <v>0</v>
      </c>
      <c r="AE1339" s="493">
        <v>0</v>
      </c>
      <c r="AF1339" s="493">
        <v>0</v>
      </c>
      <c r="AG1339" s="493">
        <v>0</v>
      </c>
      <c r="AH1339" s="493">
        <v>0</v>
      </c>
      <c r="AI1339" s="493">
        <v>0</v>
      </c>
    </row>
    <row r="1340" spans="2:35" outlineLevel="1">
      <c r="B1340" t="str">
        <f t="shared" si="123"/>
        <v>LSFO - Finance cost - Americas - USD/ton fuel</v>
      </c>
      <c r="C1340" t="str">
        <f>C1321</f>
        <v>LSFO</v>
      </c>
      <c r="D1340" t="s">
        <v>1366</v>
      </c>
      <c r="E1340" t="s">
        <v>731</v>
      </c>
      <c r="F1340" t="s">
        <v>1353</v>
      </c>
      <c r="G1340" s="487" t="str">
        <f t="shared" si="117"/>
        <v>LSFOAmericasFinance cost</v>
      </c>
      <c r="H1340" s="493">
        <v>0</v>
      </c>
      <c r="I1340" s="493">
        <v>0</v>
      </c>
      <c r="J1340" s="493">
        <v>0</v>
      </c>
      <c r="K1340" s="493">
        <v>0</v>
      </c>
      <c r="L1340" s="493">
        <v>0</v>
      </c>
      <c r="M1340" s="493">
        <v>0</v>
      </c>
      <c r="N1340" s="493">
        <v>0</v>
      </c>
      <c r="O1340" s="493">
        <v>0</v>
      </c>
      <c r="P1340" s="493">
        <v>0</v>
      </c>
      <c r="Q1340" s="493">
        <v>0</v>
      </c>
      <c r="R1340" s="493">
        <v>0</v>
      </c>
      <c r="S1340" s="493">
        <v>0</v>
      </c>
      <c r="T1340" s="493">
        <v>0</v>
      </c>
      <c r="U1340" s="493">
        <v>0</v>
      </c>
      <c r="V1340" s="493">
        <v>0</v>
      </c>
      <c r="W1340" s="493">
        <v>0</v>
      </c>
      <c r="X1340" s="493">
        <v>0</v>
      </c>
      <c r="Y1340" s="493">
        <v>0</v>
      </c>
      <c r="Z1340" s="493">
        <v>0</v>
      </c>
      <c r="AA1340" s="493">
        <v>0</v>
      </c>
      <c r="AB1340" s="493">
        <v>0</v>
      </c>
      <c r="AC1340" s="493">
        <v>0</v>
      </c>
      <c r="AD1340" s="493">
        <v>0</v>
      </c>
      <c r="AE1340" s="493">
        <v>0</v>
      </c>
      <c r="AF1340" s="493">
        <v>0</v>
      </c>
      <c r="AG1340" s="493">
        <v>0</v>
      </c>
      <c r="AH1340" s="493">
        <v>0</v>
      </c>
      <c r="AI1340" s="493">
        <v>0</v>
      </c>
    </row>
    <row r="1341" spans="2:35" outlineLevel="1">
      <c r="B1341" t="str">
        <f t="shared" si="123"/>
        <v>LSFO - Finance cost - Asia - USD/ton fuel</v>
      </c>
      <c r="C1341" t="str">
        <f>C1321</f>
        <v>LSFO</v>
      </c>
      <c r="D1341" t="s">
        <v>1366</v>
      </c>
      <c r="E1341" t="s">
        <v>750</v>
      </c>
      <c r="F1341" t="s">
        <v>1353</v>
      </c>
      <c r="G1341" s="487" t="str">
        <f t="shared" si="117"/>
        <v>LSFOAsiaFinance cost</v>
      </c>
      <c r="H1341" s="493">
        <v>0</v>
      </c>
      <c r="I1341" s="493">
        <v>0</v>
      </c>
      <c r="J1341" s="493">
        <v>0</v>
      </c>
      <c r="K1341" s="493">
        <v>0</v>
      </c>
      <c r="L1341" s="493">
        <v>0</v>
      </c>
      <c r="M1341" s="493">
        <v>0</v>
      </c>
      <c r="N1341" s="493">
        <v>0</v>
      </c>
      <c r="O1341" s="493">
        <v>0</v>
      </c>
      <c r="P1341" s="493">
        <v>0</v>
      </c>
      <c r="Q1341" s="493">
        <v>0</v>
      </c>
      <c r="R1341" s="493">
        <v>0</v>
      </c>
      <c r="S1341" s="493">
        <v>0</v>
      </c>
      <c r="T1341" s="493">
        <v>0</v>
      </c>
      <c r="U1341" s="493">
        <v>0</v>
      </c>
      <c r="V1341" s="493">
        <v>0</v>
      </c>
      <c r="W1341" s="493">
        <v>0</v>
      </c>
      <c r="X1341" s="493">
        <v>0</v>
      </c>
      <c r="Y1341" s="493">
        <v>0</v>
      </c>
      <c r="Z1341" s="493">
        <v>0</v>
      </c>
      <c r="AA1341" s="493">
        <v>0</v>
      </c>
      <c r="AB1341" s="493">
        <v>0</v>
      </c>
      <c r="AC1341" s="493">
        <v>0</v>
      </c>
      <c r="AD1341" s="493">
        <v>0</v>
      </c>
      <c r="AE1341" s="493">
        <v>0</v>
      </c>
      <c r="AF1341" s="493">
        <v>0</v>
      </c>
      <c r="AG1341" s="493">
        <v>0</v>
      </c>
      <c r="AH1341" s="493">
        <v>0</v>
      </c>
      <c r="AI1341" s="493">
        <v>0</v>
      </c>
    </row>
    <row r="1342" spans="2:35" outlineLevel="1">
      <c r="B1342" t="str">
        <f t="shared" si="123"/>
        <v>LSFO - Finance cost - Europe - USD/ton fuel</v>
      </c>
      <c r="C1342" t="str">
        <f>C1321</f>
        <v>LSFO</v>
      </c>
      <c r="D1342" t="s">
        <v>1366</v>
      </c>
      <c r="E1342" t="s">
        <v>720</v>
      </c>
      <c r="F1342" t="s">
        <v>1353</v>
      </c>
      <c r="G1342" s="487" t="str">
        <f t="shared" si="117"/>
        <v>LSFOEuropeFinance cost</v>
      </c>
      <c r="H1342" s="493">
        <v>0</v>
      </c>
      <c r="I1342" s="493">
        <v>0</v>
      </c>
      <c r="J1342" s="493">
        <v>0</v>
      </c>
      <c r="K1342" s="493">
        <v>0</v>
      </c>
      <c r="L1342" s="493">
        <v>0</v>
      </c>
      <c r="M1342" s="493">
        <v>0</v>
      </c>
      <c r="N1342" s="493">
        <v>0</v>
      </c>
      <c r="O1342" s="493">
        <v>0</v>
      </c>
      <c r="P1342" s="493">
        <v>0</v>
      </c>
      <c r="Q1342" s="493">
        <v>0</v>
      </c>
      <c r="R1342" s="493">
        <v>0</v>
      </c>
      <c r="S1342" s="493">
        <v>0</v>
      </c>
      <c r="T1342" s="493">
        <v>0</v>
      </c>
      <c r="U1342" s="493">
        <v>0</v>
      </c>
      <c r="V1342" s="493">
        <v>0</v>
      </c>
      <c r="W1342" s="493">
        <v>0</v>
      </c>
      <c r="X1342" s="493">
        <v>0</v>
      </c>
      <c r="Y1342" s="493">
        <v>0</v>
      </c>
      <c r="Z1342" s="493">
        <v>0</v>
      </c>
      <c r="AA1342" s="493">
        <v>0</v>
      </c>
      <c r="AB1342" s="493">
        <v>0</v>
      </c>
      <c r="AC1342" s="493">
        <v>0</v>
      </c>
      <c r="AD1342" s="493">
        <v>0</v>
      </c>
      <c r="AE1342" s="493">
        <v>0</v>
      </c>
      <c r="AF1342" s="493">
        <v>0</v>
      </c>
      <c r="AG1342" s="493">
        <v>0</v>
      </c>
      <c r="AH1342" s="493">
        <v>0</v>
      </c>
      <c r="AI1342" s="493">
        <v>0</v>
      </c>
    </row>
    <row r="1343" spans="2:35" outlineLevel="1">
      <c r="B1343" t="str">
        <f t="shared" si="123"/>
        <v>LSFO - Finance cost - Middle East - USD/ton fuel</v>
      </c>
      <c r="C1343" t="str">
        <f>C1321</f>
        <v>LSFO</v>
      </c>
      <c r="D1343" t="s">
        <v>1366</v>
      </c>
      <c r="E1343" t="s">
        <v>826</v>
      </c>
      <c r="F1343" t="s">
        <v>1353</v>
      </c>
      <c r="G1343" s="487" t="str">
        <f t="shared" si="117"/>
        <v>LSFOMiddle EastFinance cost</v>
      </c>
      <c r="H1343" s="493">
        <v>0</v>
      </c>
      <c r="I1343" s="493">
        <v>0</v>
      </c>
      <c r="J1343" s="493">
        <v>0</v>
      </c>
      <c r="K1343" s="493">
        <v>0</v>
      </c>
      <c r="L1343" s="493">
        <v>0</v>
      </c>
      <c r="M1343" s="493">
        <v>0</v>
      </c>
      <c r="N1343" s="493">
        <v>0</v>
      </c>
      <c r="O1343" s="493">
        <v>0</v>
      </c>
      <c r="P1343" s="493">
        <v>0</v>
      </c>
      <c r="Q1343" s="493">
        <v>0</v>
      </c>
      <c r="R1343" s="493">
        <v>0</v>
      </c>
      <c r="S1343" s="493">
        <v>0</v>
      </c>
      <c r="T1343" s="493">
        <v>0</v>
      </c>
      <c r="U1343" s="493">
        <v>0</v>
      </c>
      <c r="V1343" s="493">
        <v>0</v>
      </c>
      <c r="W1343" s="493">
        <v>0</v>
      </c>
      <c r="X1343" s="493">
        <v>0</v>
      </c>
      <c r="Y1343" s="493">
        <v>0</v>
      </c>
      <c r="Z1343" s="493">
        <v>0</v>
      </c>
      <c r="AA1343" s="493">
        <v>0</v>
      </c>
      <c r="AB1343" s="493">
        <v>0</v>
      </c>
      <c r="AC1343" s="493">
        <v>0</v>
      </c>
      <c r="AD1343" s="493">
        <v>0</v>
      </c>
      <c r="AE1343" s="493">
        <v>0</v>
      </c>
      <c r="AF1343" s="493">
        <v>0</v>
      </c>
      <c r="AG1343" s="493">
        <v>0</v>
      </c>
      <c r="AH1343" s="493">
        <v>0</v>
      </c>
      <c r="AI1343" s="493">
        <v>0</v>
      </c>
    </row>
    <row r="1344" spans="2:35" ht="15" outlineLevel="1" thickBot="1">
      <c r="B1344" t="str">
        <f t="shared" si="123"/>
        <v/>
      </c>
      <c r="G1344" s="487" t="str">
        <f t="shared" si="117"/>
        <v/>
      </c>
      <c r="H1344" s="498"/>
    </row>
    <row r="1345" spans="2:64" ht="15" outlineLevel="1">
      <c r="B1345" t="str">
        <f t="shared" si="123"/>
        <v>LSFO - Energy cost including feedstock energy cost - Africa - USD/ton fuel</v>
      </c>
      <c r="C1345" s="494" t="str">
        <f>C1321</f>
        <v>LSFO</v>
      </c>
      <c r="D1345" s="494" t="s">
        <v>1367</v>
      </c>
      <c r="E1345" s="494" t="s">
        <v>838</v>
      </c>
      <c r="F1345" s="494" t="s">
        <v>1353</v>
      </c>
      <c r="G1345" s="487" t="str">
        <f t="shared" si="117"/>
        <v>LSFOAfricaEnergy cost including feedstock energy cost</v>
      </c>
      <c r="H1345" s="495">
        <v>0</v>
      </c>
      <c r="I1345" s="495">
        <v>0</v>
      </c>
      <c r="J1345" s="495">
        <v>0</v>
      </c>
      <c r="K1345" s="495">
        <v>0</v>
      </c>
      <c r="L1345" s="495">
        <v>0</v>
      </c>
      <c r="M1345" s="495">
        <v>0</v>
      </c>
      <c r="N1345" s="495">
        <v>0</v>
      </c>
      <c r="O1345" s="495">
        <v>0</v>
      </c>
      <c r="P1345" s="495">
        <v>0</v>
      </c>
      <c r="Q1345" s="495">
        <v>0</v>
      </c>
      <c r="R1345" s="495">
        <v>0</v>
      </c>
      <c r="S1345" s="495">
        <v>0</v>
      </c>
      <c r="T1345" s="495">
        <v>0</v>
      </c>
      <c r="U1345" s="495">
        <v>0</v>
      </c>
      <c r="V1345" s="495">
        <v>0</v>
      </c>
      <c r="W1345" s="495">
        <v>0</v>
      </c>
      <c r="X1345" s="495">
        <v>0</v>
      </c>
      <c r="Y1345" s="495">
        <v>0</v>
      </c>
      <c r="Z1345" s="495">
        <v>0</v>
      </c>
      <c r="AA1345" s="495">
        <v>0</v>
      </c>
      <c r="AB1345" s="495">
        <v>0</v>
      </c>
      <c r="AC1345" s="495">
        <v>0</v>
      </c>
      <c r="AD1345" s="495">
        <v>0</v>
      </c>
      <c r="AE1345" s="495">
        <v>0</v>
      </c>
      <c r="AF1345" s="495">
        <v>0</v>
      </c>
      <c r="AG1345" s="495">
        <v>0</v>
      </c>
      <c r="AH1345" s="495">
        <v>0</v>
      </c>
      <c r="AI1345" s="495">
        <v>0</v>
      </c>
      <c r="AK1345" s="499" t="e">
        <f>H1328+H1331+H1334+H1345+#REF!=H1322</f>
        <v>#REF!</v>
      </c>
      <c r="AL1345" s="500" t="e">
        <f>I1328+I1331+I1334+I1345+#REF!=I1322</f>
        <v>#REF!</v>
      </c>
      <c r="AM1345" s="500" t="e">
        <f>J1328+J1331+J1334+J1345+#REF!=J1322</f>
        <v>#REF!</v>
      </c>
      <c r="AN1345" s="500" t="e">
        <f>K1328+K1331+K1334+K1345+#REF!=K1322</f>
        <v>#REF!</v>
      </c>
      <c r="AO1345" s="500" t="e">
        <f>L1328+L1331+L1334+L1345+#REF!=L1322</f>
        <v>#REF!</v>
      </c>
      <c r="AP1345" s="500" t="e">
        <f>M1328+M1331+M1334+M1345+#REF!=M1322</f>
        <v>#REF!</v>
      </c>
      <c r="AQ1345" s="500" t="e">
        <f>N1328+N1331+N1334+N1345+#REF!=N1322</f>
        <v>#REF!</v>
      </c>
      <c r="AR1345" s="500" t="e">
        <f>O1328+O1331+O1334+O1345+#REF!=O1322</f>
        <v>#REF!</v>
      </c>
      <c r="AS1345" s="500" t="e">
        <f>P1328+P1331+P1334+P1345+#REF!=P1322</f>
        <v>#REF!</v>
      </c>
      <c r="AT1345" s="500" t="e">
        <f>Q1328+Q1331+Q1334+Q1345+#REF!=Q1322</f>
        <v>#REF!</v>
      </c>
      <c r="AU1345" s="500" t="e">
        <f>R1328+R1331+R1334+R1345+#REF!=R1322</f>
        <v>#REF!</v>
      </c>
      <c r="AV1345" s="500" t="e">
        <f>S1328+S1331+S1334+S1345+#REF!=S1322</f>
        <v>#REF!</v>
      </c>
      <c r="AW1345" s="500" t="e">
        <f>T1328+T1331+T1334+T1345+#REF!=T1322</f>
        <v>#REF!</v>
      </c>
      <c r="AX1345" s="500" t="e">
        <f>U1328+U1331+U1334+U1345+#REF!=U1322</f>
        <v>#REF!</v>
      </c>
      <c r="AY1345" s="500" t="e">
        <f>V1328+V1331+V1334+V1345+#REF!=V1322</f>
        <v>#REF!</v>
      </c>
      <c r="AZ1345" s="500" t="e">
        <f>W1328+W1331+W1334+W1345+#REF!=W1322</f>
        <v>#REF!</v>
      </c>
      <c r="BA1345" s="500" t="e">
        <f>X1328+X1331+X1334+X1345+#REF!=X1322</f>
        <v>#REF!</v>
      </c>
      <c r="BB1345" s="500" t="e">
        <f>Y1328+Y1331+Y1334+Y1345+#REF!=Y1322</f>
        <v>#REF!</v>
      </c>
      <c r="BC1345" s="500" t="e">
        <f>Z1328+Z1331+Z1334+Z1345+#REF!=Z1322</f>
        <v>#REF!</v>
      </c>
      <c r="BD1345" s="500" t="e">
        <f>AA1328+AA1331+AA1334+AA1345+#REF!=AA1322</f>
        <v>#REF!</v>
      </c>
      <c r="BE1345" s="500" t="e">
        <f>AB1328+AB1331+AB1334+AB1345+#REF!=AB1322</f>
        <v>#REF!</v>
      </c>
      <c r="BF1345" s="500" t="e">
        <f>AC1328+AC1331+AC1334+AC1345+#REF!=AC1322</f>
        <v>#REF!</v>
      </c>
      <c r="BG1345" s="500" t="e">
        <f>AD1328+AD1331+AD1334+AD1345+#REF!=AD1322</f>
        <v>#REF!</v>
      </c>
      <c r="BH1345" s="500" t="e">
        <f>AE1328+AE1331+AE1334+AE1345+#REF!=AE1322</f>
        <v>#REF!</v>
      </c>
      <c r="BI1345" s="500" t="e">
        <f>AF1328+AF1331+AF1334+AF1345+#REF!=AF1322</f>
        <v>#REF!</v>
      </c>
      <c r="BJ1345" s="500" t="e">
        <f>AG1328+AG1331+AG1334+AG1345+#REF!=AG1322</f>
        <v>#REF!</v>
      </c>
      <c r="BK1345" s="500" t="e">
        <f>AH1328+AH1331+AH1334+AH1345+#REF!=AH1322</f>
        <v>#REF!</v>
      </c>
      <c r="BL1345" s="501" t="e">
        <f>AI1328+AI1331+AI1334+AI1345+#REF!=AI1322</f>
        <v>#REF!</v>
      </c>
    </row>
    <row r="1346" spans="2:64" ht="15" outlineLevel="1">
      <c r="B1346" t="str">
        <f t="shared" si="123"/>
        <v>LSFO - Energy cost including feedstock energy cost - Americas - USD/ton fuel</v>
      </c>
      <c r="C1346" s="22" t="str">
        <f>C1321</f>
        <v>LSFO</v>
      </c>
      <c r="D1346" s="22" t="s">
        <v>1367</v>
      </c>
      <c r="E1346" s="22" t="s">
        <v>731</v>
      </c>
      <c r="F1346" s="22" t="s">
        <v>1353</v>
      </c>
      <c r="G1346" s="487" t="str">
        <f t="shared" si="117"/>
        <v>LSFOAmericasEnergy cost including feedstock energy cost</v>
      </c>
      <c r="H1346" s="496">
        <v>0</v>
      </c>
      <c r="I1346" s="496">
        <v>0</v>
      </c>
      <c r="J1346" s="496">
        <v>0</v>
      </c>
      <c r="K1346" s="496">
        <v>0</v>
      </c>
      <c r="L1346" s="496">
        <v>0</v>
      </c>
      <c r="M1346" s="496">
        <v>0</v>
      </c>
      <c r="N1346" s="496">
        <v>0</v>
      </c>
      <c r="O1346" s="496">
        <v>0</v>
      </c>
      <c r="P1346" s="496">
        <v>0</v>
      </c>
      <c r="Q1346" s="496">
        <v>0</v>
      </c>
      <c r="R1346" s="496">
        <v>0</v>
      </c>
      <c r="S1346" s="496">
        <v>0</v>
      </c>
      <c r="T1346" s="496">
        <v>0</v>
      </c>
      <c r="U1346" s="496">
        <v>0</v>
      </c>
      <c r="V1346" s="496">
        <v>0</v>
      </c>
      <c r="W1346" s="496">
        <v>0</v>
      </c>
      <c r="X1346" s="496">
        <v>0</v>
      </c>
      <c r="Y1346" s="496">
        <v>0</v>
      </c>
      <c r="Z1346" s="496">
        <v>0</v>
      </c>
      <c r="AA1346" s="496">
        <v>0</v>
      </c>
      <c r="AB1346" s="496">
        <v>0</v>
      </c>
      <c r="AC1346" s="496">
        <v>0</v>
      </c>
      <c r="AD1346" s="496">
        <v>0</v>
      </c>
      <c r="AE1346" s="496">
        <v>0</v>
      </c>
      <c r="AF1346" s="496">
        <v>0</v>
      </c>
      <c r="AG1346" s="496">
        <v>0</v>
      </c>
      <c r="AH1346" s="496">
        <v>0</v>
      </c>
      <c r="AI1346" s="496">
        <v>0</v>
      </c>
      <c r="AK1346" s="502" t="e">
        <f>H1328+H1331+H1335+H1346+#REF!=H1323</f>
        <v>#REF!</v>
      </c>
      <c r="AL1346" s="106" t="e">
        <f>I1328+I1331+I1335+I1346+#REF!=I1323</f>
        <v>#REF!</v>
      </c>
      <c r="AM1346" s="106" t="e">
        <f>J1328+J1331+J1335+J1346+#REF!=J1323</f>
        <v>#REF!</v>
      </c>
      <c r="AN1346" s="106" t="e">
        <f>K1328+K1331+K1335+K1346+#REF!=K1323</f>
        <v>#REF!</v>
      </c>
      <c r="AO1346" s="106" t="e">
        <f>L1328+L1331+L1335+L1346+#REF!=L1323</f>
        <v>#REF!</v>
      </c>
      <c r="AP1346" s="106" t="e">
        <f>M1328+M1331+M1335+M1346+#REF!=M1323</f>
        <v>#REF!</v>
      </c>
      <c r="AQ1346" s="106" t="e">
        <f>N1328+N1331+N1335+N1346+#REF!=N1323</f>
        <v>#REF!</v>
      </c>
      <c r="AR1346" s="106" t="e">
        <f>O1328+O1331+O1335+O1346+#REF!=O1323</f>
        <v>#REF!</v>
      </c>
      <c r="AS1346" s="106" t="e">
        <f>P1328+P1331+P1335+P1346+#REF!=P1323</f>
        <v>#REF!</v>
      </c>
      <c r="AT1346" s="106" t="e">
        <f>Q1328+Q1331+Q1335+Q1346+#REF!=Q1323</f>
        <v>#REF!</v>
      </c>
      <c r="AU1346" s="106" t="e">
        <f>R1328+R1331+R1335+R1346+#REF!=R1323</f>
        <v>#REF!</v>
      </c>
      <c r="AV1346" s="106" t="e">
        <f>S1328+S1331+S1335+S1346+#REF!=S1323</f>
        <v>#REF!</v>
      </c>
      <c r="AW1346" s="106" t="e">
        <f>T1328+T1331+T1335+T1346+#REF!=T1323</f>
        <v>#REF!</v>
      </c>
      <c r="AX1346" s="106" t="e">
        <f>U1328+U1331+U1335+U1346+#REF!=U1323</f>
        <v>#REF!</v>
      </c>
      <c r="AY1346" s="106" t="e">
        <f>V1328+V1331+V1335+V1346+#REF!=V1323</f>
        <v>#REF!</v>
      </c>
      <c r="AZ1346" s="106" t="e">
        <f>W1328+W1331+W1335+W1346+#REF!=W1323</f>
        <v>#REF!</v>
      </c>
      <c r="BA1346" s="106" t="e">
        <f>X1328+X1331+X1335+X1346+#REF!=X1323</f>
        <v>#REF!</v>
      </c>
      <c r="BB1346" s="106" t="e">
        <f>Y1328+Y1331+Y1335+Y1346+#REF!=Y1323</f>
        <v>#REF!</v>
      </c>
      <c r="BC1346" s="106" t="e">
        <f>Z1328+Z1331+Z1335+Z1346+#REF!=Z1323</f>
        <v>#REF!</v>
      </c>
      <c r="BD1346" s="106" t="e">
        <f>AA1328+AA1331+AA1335+AA1346+#REF!=AA1323</f>
        <v>#REF!</v>
      </c>
      <c r="BE1346" s="106" t="e">
        <f>AB1328+AB1331+AB1335+AB1346+#REF!=AB1323</f>
        <v>#REF!</v>
      </c>
      <c r="BF1346" s="106" t="e">
        <f>AC1328+AC1331+AC1335+AC1346+#REF!=AC1323</f>
        <v>#REF!</v>
      </c>
      <c r="BG1346" s="106" t="e">
        <f>AD1328+AD1331+AD1335+AD1346+#REF!=AD1323</f>
        <v>#REF!</v>
      </c>
      <c r="BH1346" s="106" t="e">
        <f>AE1328+AE1331+AE1335+AE1346+#REF!=AE1323</f>
        <v>#REF!</v>
      </c>
      <c r="BI1346" s="106" t="e">
        <f>AF1328+AF1331+AF1335+AF1346+#REF!=AF1323</f>
        <v>#REF!</v>
      </c>
      <c r="BJ1346" s="106" t="e">
        <f>AG1328+AG1331+AG1335+AG1346+#REF!=AG1323</f>
        <v>#REF!</v>
      </c>
      <c r="BK1346" s="106" t="e">
        <f>AH1328+AH1331+AH1335+AH1346+#REF!=AH1323</f>
        <v>#REF!</v>
      </c>
      <c r="BL1346" s="503" t="e">
        <f>AI1328+AI1331+AI1335+AI1346+#REF!=AI1323</f>
        <v>#REF!</v>
      </c>
    </row>
    <row r="1347" spans="2:64" ht="15" outlineLevel="1">
      <c r="B1347" t="str">
        <f t="shared" si="123"/>
        <v>LSFO - Energy cost including feedstock energy cost - Asia - USD/ton fuel</v>
      </c>
      <c r="C1347" s="22" t="str">
        <f>C1321</f>
        <v>LSFO</v>
      </c>
      <c r="D1347" s="22" t="s">
        <v>1367</v>
      </c>
      <c r="E1347" s="22" t="s">
        <v>750</v>
      </c>
      <c r="F1347" s="22" t="s">
        <v>1353</v>
      </c>
      <c r="G1347" s="487" t="str">
        <f t="shared" si="117"/>
        <v>LSFOAsiaEnergy cost including feedstock energy cost</v>
      </c>
      <c r="H1347" s="496">
        <v>0</v>
      </c>
      <c r="I1347" s="496">
        <v>0</v>
      </c>
      <c r="J1347" s="496">
        <v>0</v>
      </c>
      <c r="K1347" s="496">
        <v>0</v>
      </c>
      <c r="L1347" s="496">
        <v>0</v>
      </c>
      <c r="M1347" s="496">
        <v>0</v>
      </c>
      <c r="N1347" s="496">
        <v>0</v>
      </c>
      <c r="O1347" s="496">
        <v>0</v>
      </c>
      <c r="P1347" s="496">
        <v>0</v>
      </c>
      <c r="Q1347" s="496">
        <v>0</v>
      </c>
      <c r="R1347" s="496">
        <v>0</v>
      </c>
      <c r="S1347" s="496">
        <v>0</v>
      </c>
      <c r="T1347" s="496">
        <v>0</v>
      </c>
      <c r="U1347" s="496">
        <v>0</v>
      </c>
      <c r="V1347" s="496">
        <v>0</v>
      </c>
      <c r="W1347" s="496">
        <v>0</v>
      </c>
      <c r="X1347" s="496">
        <v>0</v>
      </c>
      <c r="Y1347" s="496">
        <v>0</v>
      </c>
      <c r="Z1347" s="496">
        <v>0</v>
      </c>
      <c r="AA1347" s="496">
        <v>0</v>
      </c>
      <c r="AB1347" s="496">
        <v>0</v>
      </c>
      <c r="AC1347" s="496">
        <v>0</v>
      </c>
      <c r="AD1347" s="496">
        <v>0</v>
      </c>
      <c r="AE1347" s="496">
        <v>0</v>
      </c>
      <c r="AF1347" s="496">
        <v>0</v>
      </c>
      <c r="AG1347" s="496">
        <v>0</v>
      </c>
      <c r="AH1347" s="496">
        <v>0</v>
      </c>
      <c r="AI1347" s="496">
        <v>0</v>
      </c>
      <c r="AK1347" s="502" t="e">
        <f>H1328+H1331+H1336+H1347+#REF!=H1324</f>
        <v>#REF!</v>
      </c>
      <c r="AL1347" s="106" t="e">
        <f>I1328+I1331+I1336+I1347+#REF!=I1324</f>
        <v>#REF!</v>
      </c>
      <c r="AM1347" s="106" t="e">
        <f>J1328+J1331+J1336+J1347+#REF!=J1324</f>
        <v>#REF!</v>
      </c>
      <c r="AN1347" s="106" t="e">
        <f>K1328+K1331+K1336+K1347+#REF!=K1324</f>
        <v>#REF!</v>
      </c>
      <c r="AO1347" s="106" t="e">
        <f>L1328+L1331+L1336+L1347+#REF!=L1324</f>
        <v>#REF!</v>
      </c>
      <c r="AP1347" s="106" t="e">
        <f>M1328+M1331+M1336+M1347+#REF!=M1324</f>
        <v>#REF!</v>
      </c>
      <c r="AQ1347" s="106" t="e">
        <f>N1328+N1331+N1336+N1347+#REF!=N1324</f>
        <v>#REF!</v>
      </c>
      <c r="AR1347" s="106" t="e">
        <f>O1328+O1331+O1336+O1347+#REF!=O1324</f>
        <v>#REF!</v>
      </c>
      <c r="AS1347" s="106" t="e">
        <f>P1328+P1331+P1336+P1347+#REF!=P1324</f>
        <v>#REF!</v>
      </c>
      <c r="AT1347" s="106" t="e">
        <f>Q1328+Q1331+Q1336+Q1347+#REF!=Q1324</f>
        <v>#REF!</v>
      </c>
      <c r="AU1347" s="106" t="e">
        <f>R1328+R1331+R1336+R1347+#REF!=R1324</f>
        <v>#REF!</v>
      </c>
      <c r="AV1347" s="106" t="e">
        <f>S1328+S1331+S1336+S1347+#REF!=S1324</f>
        <v>#REF!</v>
      </c>
      <c r="AW1347" s="106" t="e">
        <f>T1328+T1331+T1336+T1347+#REF!=T1324</f>
        <v>#REF!</v>
      </c>
      <c r="AX1347" s="106" t="e">
        <f>U1328+U1331+U1336+U1347+#REF!=U1324</f>
        <v>#REF!</v>
      </c>
      <c r="AY1347" s="106" t="e">
        <f>V1328+V1331+V1336+V1347+#REF!=V1324</f>
        <v>#REF!</v>
      </c>
      <c r="AZ1347" s="106" t="e">
        <f>W1328+W1331+W1336+W1347+#REF!=W1324</f>
        <v>#REF!</v>
      </c>
      <c r="BA1347" s="106" t="e">
        <f>X1328+X1331+X1336+X1347+#REF!=X1324</f>
        <v>#REF!</v>
      </c>
      <c r="BB1347" s="106" t="e">
        <f>Y1328+Y1331+Y1336+Y1347+#REF!=Y1324</f>
        <v>#REF!</v>
      </c>
      <c r="BC1347" s="106" t="e">
        <f>Z1328+Z1331+Z1336+Z1347+#REF!=Z1324</f>
        <v>#REF!</v>
      </c>
      <c r="BD1347" s="106" t="e">
        <f>AA1328+AA1331+AA1336+AA1347+#REF!=AA1324</f>
        <v>#REF!</v>
      </c>
      <c r="BE1347" s="106" t="e">
        <f>AB1328+AB1331+AB1336+AB1347+#REF!=AB1324</f>
        <v>#REF!</v>
      </c>
      <c r="BF1347" s="106" t="e">
        <f>AC1328+AC1331+AC1336+AC1347+#REF!=AC1324</f>
        <v>#REF!</v>
      </c>
      <c r="BG1347" s="106" t="e">
        <f>AD1328+AD1331+AD1336+AD1347+#REF!=AD1324</f>
        <v>#REF!</v>
      </c>
      <c r="BH1347" s="106" t="e">
        <f>AE1328+AE1331+AE1336+AE1347+#REF!=AE1324</f>
        <v>#REF!</v>
      </c>
      <c r="BI1347" s="106" t="e">
        <f>AF1328+AF1331+AF1336+AF1347+#REF!=AF1324</f>
        <v>#REF!</v>
      </c>
      <c r="BJ1347" s="106" t="e">
        <f>AG1328+AG1331+AG1336+AG1347+#REF!=AG1324</f>
        <v>#REF!</v>
      </c>
      <c r="BK1347" s="106" t="e">
        <f>AH1328+AH1331+AH1336+AH1347+#REF!=AH1324</f>
        <v>#REF!</v>
      </c>
      <c r="BL1347" s="503" t="e">
        <f>AI1328+AI1331+AI1336+AI1347+#REF!=AI1324</f>
        <v>#REF!</v>
      </c>
    </row>
    <row r="1348" spans="2:64" ht="15" outlineLevel="1">
      <c r="B1348" t="str">
        <f t="shared" si="123"/>
        <v>LSFO - Energy cost including feedstock energy cost - Europe - USD/ton fuel</v>
      </c>
      <c r="C1348" s="22" t="str">
        <f>C1321</f>
        <v>LSFO</v>
      </c>
      <c r="D1348" s="22" t="s">
        <v>1367</v>
      </c>
      <c r="E1348" s="22" t="s">
        <v>720</v>
      </c>
      <c r="F1348" s="22" t="s">
        <v>1353</v>
      </c>
      <c r="G1348" s="487" t="str">
        <f t="shared" si="117"/>
        <v>LSFOEuropeEnergy cost including feedstock energy cost</v>
      </c>
      <c r="H1348" s="496">
        <v>0</v>
      </c>
      <c r="I1348" s="496">
        <v>0</v>
      </c>
      <c r="J1348" s="496">
        <v>0</v>
      </c>
      <c r="K1348" s="496">
        <v>0</v>
      </c>
      <c r="L1348" s="496">
        <v>0</v>
      </c>
      <c r="M1348" s="496">
        <v>0</v>
      </c>
      <c r="N1348" s="496">
        <v>0</v>
      </c>
      <c r="O1348" s="496">
        <v>0</v>
      </c>
      <c r="P1348" s="496">
        <v>0</v>
      </c>
      <c r="Q1348" s="496">
        <v>0</v>
      </c>
      <c r="R1348" s="496">
        <v>0</v>
      </c>
      <c r="S1348" s="496">
        <v>0</v>
      </c>
      <c r="T1348" s="496">
        <v>0</v>
      </c>
      <c r="U1348" s="496">
        <v>0</v>
      </c>
      <c r="V1348" s="496">
        <v>0</v>
      </c>
      <c r="W1348" s="496">
        <v>0</v>
      </c>
      <c r="X1348" s="496">
        <v>0</v>
      </c>
      <c r="Y1348" s="496">
        <v>0</v>
      </c>
      <c r="Z1348" s="496">
        <v>0</v>
      </c>
      <c r="AA1348" s="496">
        <v>0</v>
      </c>
      <c r="AB1348" s="496">
        <v>0</v>
      </c>
      <c r="AC1348" s="496">
        <v>0</v>
      </c>
      <c r="AD1348" s="496">
        <v>0</v>
      </c>
      <c r="AE1348" s="496">
        <v>0</v>
      </c>
      <c r="AF1348" s="496">
        <v>0</v>
      </c>
      <c r="AG1348" s="496">
        <v>0</v>
      </c>
      <c r="AH1348" s="496">
        <v>0</v>
      </c>
      <c r="AI1348" s="496">
        <v>0</v>
      </c>
      <c r="AK1348" s="502" t="e">
        <f>H1328+H1331+H1337+H1348+#REF!=H1325</f>
        <v>#REF!</v>
      </c>
      <c r="AL1348" s="106" t="e">
        <f>I1328+I1331+I1337+I1348+#REF!=I1325</f>
        <v>#REF!</v>
      </c>
      <c r="AM1348" s="106" t="e">
        <f>J1328+J1331+J1337+J1348+#REF!=J1325</f>
        <v>#REF!</v>
      </c>
      <c r="AN1348" s="106" t="e">
        <f>K1328+K1331+K1337+K1348+#REF!=K1325</f>
        <v>#REF!</v>
      </c>
      <c r="AO1348" s="106" t="e">
        <f>L1328+L1331+L1337+L1348+#REF!=L1325</f>
        <v>#REF!</v>
      </c>
      <c r="AP1348" s="106" t="e">
        <f>M1328+M1331+M1337+M1348+#REF!=M1325</f>
        <v>#REF!</v>
      </c>
      <c r="AQ1348" s="106" t="e">
        <f>N1328+N1331+N1337+N1348+#REF!=N1325</f>
        <v>#REF!</v>
      </c>
      <c r="AR1348" s="106" t="e">
        <f>O1328+O1331+O1337+O1348+#REF!=O1325</f>
        <v>#REF!</v>
      </c>
      <c r="AS1348" s="106" t="e">
        <f>P1328+P1331+P1337+P1348+#REF!=P1325</f>
        <v>#REF!</v>
      </c>
      <c r="AT1348" s="106" t="e">
        <f>Q1328+Q1331+Q1337+Q1348+#REF!=Q1325</f>
        <v>#REF!</v>
      </c>
      <c r="AU1348" s="106" t="e">
        <f>R1328+R1331+R1337+R1348+#REF!=R1325</f>
        <v>#REF!</v>
      </c>
      <c r="AV1348" s="106" t="e">
        <f>S1328+S1331+S1337+S1348+#REF!=S1325</f>
        <v>#REF!</v>
      </c>
      <c r="AW1348" s="106" t="e">
        <f>T1328+T1331+T1337+T1348+#REF!=T1325</f>
        <v>#REF!</v>
      </c>
      <c r="AX1348" s="106" t="e">
        <f>U1328+U1331+U1337+U1348+#REF!=U1325</f>
        <v>#REF!</v>
      </c>
      <c r="AY1348" s="106" t="e">
        <f>V1328+V1331+V1337+V1348+#REF!=V1325</f>
        <v>#REF!</v>
      </c>
      <c r="AZ1348" s="106" t="e">
        <f>W1328+W1331+W1337+W1348+#REF!=W1325</f>
        <v>#REF!</v>
      </c>
      <c r="BA1348" s="106" t="e">
        <f>X1328+X1331+X1337+X1348+#REF!=X1325</f>
        <v>#REF!</v>
      </c>
      <c r="BB1348" s="106" t="e">
        <f>Y1328+Y1331+Y1337+Y1348+#REF!=Y1325</f>
        <v>#REF!</v>
      </c>
      <c r="BC1348" s="106" t="e">
        <f>Z1328+Z1331+Z1337+Z1348+#REF!=Z1325</f>
        <v>#REF!</v>
      </c>
      <c r="BD1348" s="106" t="e">
        <f>AA1328+AA1331+AA1337+AA1348+#REF!=AA1325</f>
        <v>#REF!</v>
      </c>
      <c r="BE1348" s="106" t="e">
        <f>AB1328+AB1331+AB1337+AB1348+#REF!=AB1325</f>
        <v>#REF!</v>
      </c>
      <c r="BF1348" s="106" t="e">
        <f>AC1328+AC1331+AC1337+AC1348+#REF!=AC1325</f>
        <v>#REF!</v>
      </c>
      <c r="BG1348" s="106" t="e">
        <f>AD1328+AD1331+AD1337+AD1348+#REF!=AD1325</f>
        <v>#REF!</v>
      </c>
      <c r="BH1348" s="106" t="e">
        <f>AE1328+AE1331+AE1337+AE1348+#REF!=AE1325</f>
        <v>#REF!</v>
      </c>
      <c r="BI1348" s="106" t="e">
        <f>AF1328+AF1331+AF1337+AF1348+#REF!=AF1325</f>
        <v>#REF!</v>
      </c>
      <c r="BJ1348" s="106" t="e">
        <f>AG1328+AG1331+AG1337+AG1348+#REF!=AG1325</f>
        <v>#REF!</v>
      </c>
      <c r="BK1348" s="106" t="e">
        <f>AH1328+AH1331+AH1337+AH1348+#REF!=AH1325</f>
        <v>#REF!</v>
      </c>
      <c r="BL1348" s="503" t="e">
        <f>AI1328+AI1331+AI1337+AI1348+#REF!=AI1325</f>
        <v>#REF!</v>
      </c>
    </row>
    <row r="1349" spans="2:64" ht="15.75" outlineLevel="1" thickBot="1">
      <c r="B1349" t="str">
        <f t="shared" si="123"/>
        <v>LSFO - Energy cost including feedstock energy cost - Middle East - USD/ton fuel</v>
      </c>
      <c r="C1349" s="92" t="str">
        <f>C1321</f>
        <v>LSFO</v>
      </c>
      <c r="D1349" s="92" t="s">
        <v>1367</v>
      </c>
      <c r="E1349" s="92" t="s">
        <v>826</v>
      </c>
      <c r="F1349" s="92" t="s">
        <v>1353</v>
      </c>
      <c r="G1349" s="487" t="str">
        <f t="shared" si="117"/>
        <v>LSFOMiddle EastEnergy cost including feedstock energy cost</v>
      </c>
      <c r="H1349" s="497">
        <v>0</v>
      </c>
      <c r="I1349" s="497">
        <v>0</v>
      </c>
      <c r="J1349" s="497">
        <v>0</v>
      </c>
      <c r="K1349" s="497">
        <v>0</v>
      </c>
      <c r="L1349" s="497">
        <v>0</v>
      </c>
      <c r="M1349" s="497">
        <v>0</v>
      </c>
      <c r="N1349" s="497">
        <v>0</v>
      </c>
      <c r="O1349" s="497">
        <v>0</v>
      </c>
      <c r="P1349" s="497">
        <v>0</v>
      </c>
      <c r="Q1349" s="497">
        <v>0</v>
      </c>
      <c r="R1349" s="497">
        <v>0</v>
      </c>
      <c r="S1349" s="497">
        <v>0</v>
      </c>
      <c r="T1349" s="497">
        <v>0</v>
      </c>
      <c r="U1349" s="497">
        <v>0</v>
      </c>
      <c r="V1349" s="497">
        <v>0</v>
      </c>
      <c r="W1349" s="497">
        <v>0</v>
      </c>
      <c r="X1349" s="497">
        <v>0</v>
      </c>
      <c r="Y1349" s="497">
        <v>0</v>
      </c>
      <c r="Z1349" s="497">
        <v>0</v>
      </c>
      <c r="AA1349" s="497">
        <v>0</v>
      </c>
      <c r="AB1349" s="497">
        <v>0</v>
      </c>
      <c r="AC1349" s="497">
        <v>0</v>
      </c>
      <c r="AD1349" s="497">
        <v>0</v>
      </c>
      <c r="AE1349" s="497">
        <v>0</v>
      </c>
      <c r="AF1349" s="497">
        <v>0</v>
      </c>
      <c r="AG1349" s="497">
        <v>0</v>
      </c>
      <c r="AH1349" s="497">
        <v>0</v>
      </c>
      <c r="AI1349" s="497">
        <v>0</v>
      </c>
      <c r="AK1349" s="504" t="e">
        <f>H1328+H1331+H1338+H1349+#REF!=H1326</f>
        <v>#REF!</v>
      </c>
      <c r="AL1349" s="505" t="e">
        <f>I1328+I1331+I1338+I1349+#REF!=I1326</f>
        <v>#REF!</v>
      </c>
      <c r="AM1349" s="505" t="e">
        <f>J1328+J1331+J1338+J1349+#REF!=J1326</f>
        <v>#REF!</v>
      </c>
      <c r="AN1349" s="505" t="e">
        <f>K1328+K1331+K1338+K1349+#REF!=K1326</f>
        <v>#REF!</v>
      </c>
      <c r="AO1349" s="505" t="e">
        <f>L1328+L1331+L1338+L1349+#REF!=L1326</f>
        <v>#REF!</v>
      </c>
      <c r="AP1349" s="505" t="e">
        <f>M1328+M1331+M1338+M1349+#REF!=M1326</f>
        <v>#REF!</v>
      </c>
      <c r="AQ1349" s="505" t="e">
        <f>N1328+N1331+N1338+N1349+#REF!=N1326</f>
        <v>#REF!</v>
      </c>
      <c r="AR1349" s="505" t="e">
        <f>O1328+O1331+O1338+O1349+#REF!=O1326</f>
        <v>#REF!</v>
      </c>
      <c r="AS1349" s="505" t="e">
        <f>P1328+P1331+P1338+P1349+#REF!=P1326</f>
        <v>#REF!</v>
      </c>
      <c r="AT1349" s="505" t="e">
        <f>Q1328+Q1331+Q1338+Q1349+#REF!=Q1326</f>
        <v>#REF!</v>
      </c>
      <c r="AU1349" s="505" t="e">
        <f>R1328+R1331+R1338+R1349+#REF!=R1326</f>
        <v>#REF!</v>
      </c>
      <c r="AV1349" s="505" t="e">
        <f>S1328+S1331+S1338+S1349+#REF!=S1326</f>
        <v>#REF!</v>
      </c>
      <c r="AW1349" s="505" t="e">
        <f>T1328+T1331+T1338+T1349+#REF!=T1326</f>
        <v>#REF!</v>
      </c>
      <c r="AX1349" s="505" t="e">
        <f>U1328+U1331+U1338+U1349+#REF!=U1326</f>
        <v>#REF!</v>
      </c>
      <c r="AY1349" s="505" t="e">
        <f>V1328+V1331+V1338+V1349+#REF!=V1326</f>
        <v>#REF!</v>
      </c>
      <c r="AZ1349" s="505" t="e">
        <f>W1328+W1331+W1338+W1349+#REF!=W1326</f>
        <v>#REF!</v>
      </c>
      <c r="BA1349" s="505" t="e">
        <f>X1328+X1331+X1338+X1349+#REF!=X1326</f>
        <v>#REF!</v>
      </c>
      <c r="BB1349" s="505" t="e">
        <f>Y1328+Y1331+Y1338+Y1349+#REF!=Y1326</f>
        <v>#REF!</v>
      </c>
      <c r="BC1349" s="505" t="e">
        <f>Z1328+Z1331+Z1338+Z1349+#REF!=Z1326</f>
        <v>#REF!</v>
      </c>
      <c r="BD1349" s="505" t="e">
        <f>AA1328+AA1331+AA1338+AA1349+#REF!=AA1326</f>
        <v>#REF!</v>
      </c>
      <c r="BE1349" s="505" t="e">
        <f>AB1328+AB1331+AB1338+AB1349+#REF!=AB1326</f>
        <v>#REF!</v>
      </c>
      <c r="BF1349" s="505" t="e">
        <f>AC1328+AC1331+AC1338+AC1349+#REF!=AC1326</f>
        <v>#REF!</v>
      </c>
      <c r="BG1349" s="505" t="e">
        <f>AD1328+AD1331+AD1338+AD1349+#REF!=AD1326</f>
        <v>#REF!</v>
      </c>
      <c r="BH1349" s="505" t="e">
        <f>AE1328+AE1331+AE1338+AE1349+#REF!=AE1326</f>
        <v>#REF!</v>
      </c>
      <c r="BI1349" s="505" t="e">
        <f>AF1328+AF1331+AF1338+AF1349+#REF!=AF1326</f>
        <v>#REF!</v>
      </c>
      <c r="BJ1349" s="505" t="e">
        <f>AG1328+AG1331+AG1338+AG1349+#REF!=AG1326</f>
        <v>#REF!</v>
      </c>
      <c r="BK1349" s="505" t="e">
        <f>AH1328+AH1331+AH1338+AH1349+#REF!=AH1326</f>
        <v>#REF!</v>
      </c>
      <c r="BL1349" s="506" t="e">
        <f>AI1328+AI1331+AI1338+AI1349+#REF!=AI1326</f>
        <v>#REF!</v>
      </c>
    </row>
    <row r="1350" spans="2:64" outlineLevel="1">
      <c r="B1350" t="str">
        <f t="shared" si="123"/>
        <v>LSFO - Energy cost - Africa - USD/ton fuel</v>
      </c>
      <c r="C1350" t="str">
        <f>C1321</f>
        <v>LSFO</v>
      </c>
      <c r="D1350" t="s">
        <v>1368</v>
      </c>
      <c r="E1350" t="s">
        <v>838</v>
      </c>
      <c r="F1350" t="s">
        <v>1353</v>
      </c>
      <c r="G1350" s="487" t="str">
        <f t="shared" si="117"/>
        <v>LSFOAfricaEnergy cost</v>
      </c>
      <c r="H1350" s="493">
        <v>0</v>
      </c>
      <c r="I1350" s="493">
        <v>0</v>
      </c>
      <c r="J1350" s="493">
        <v>0</v>
      </c>
      <c r="K1350" s="493">
        <v>0</v>
      </c>
      <c r="L1350" s="493">
        <v>0</v>
      </c>
      <c r="M1350" s="493">
        <v>0</v>
      </c>
      <c r="N1350" s="493">
        <v>0</v>
      </c>
      <c r="O1350" s="493">
        <v>0</v>
      </c>
      <c r="P1350" s="493">
        <v>0</v>
      </c>
      <c r="Q1350" s="493">
        <v>0</v>
      </c>
      <c r="R1350" s="493">
        <v>0</v>
      </c>
      <c r="S1350" s="493">
        <v>0</v>
      </c>
      <c r="T1350" s="493">
        <v>0</v>
      </c>
      <c r="U1350" s="493">
        <v>0</v>
      </c>
      <c r="V1350" s="493">
        <v>0</v>
      </c>
      <c r="W1350" s="493">
        <v>0</v>
      </c>
      <c r="X1350" s="493">
        <v>0</v>
      </c>
      <c r="Y1350" s="493">
        <v>0</v>
      </c>
      <c r="Z1350" s="493">
        <v>0</v>
      </c>
      <c r="AA1350" s="493">
        <v>0</v>
      </c>
      <c r="AB1350" s="493">
        <v>0</v>
      </c>
      <c r="AC1350" s="493">
        <v>0</v>
      </c>
      <c r="AD1350" s="493">
        <v>0</v>
      </c>
      <c r="AE1350" s="493">
        <v>0</v>
      </c>
      <c r="AF1350" s="493">
        <v>0</v>
      </c>
      <c r="AG1350" s="493">
        <v>0</v>
      </c>
      <c r="AH1350" s="493">
        <v>0</v>
      </c>
      <c r="AI1350" s="493">
        <v>0</v>
      </c>
    </row>
    <row r="1351" spans="2:64" outlineLevel="1">
      <c r="B1351" t="str">
        <f t="shared" si="123"/>
        <v>LSFO - Energy cost - Americas - USD/ton fuel</v>
      </c>
      <c r="C1351" t="str">
        <f>C1321</f>
        <v>LSFO</v>
      </c>
      <c r="D1351" t="s">
        <v>1368</v>
      </c>
      <c r="E1351" t="s">
        <v>731</v>
      </c>
      <c r="F1351" t="s">
        <v>1353</v>
      </c>
      <c r="G1351" s="487" t="str">
        <f t="shared" si="117"/>
        <v>LSFOAmericasEnergy cost</v>
      </c>
      <c r="H1351" s="493">
        <v>0</v>
      </c>
      <c r="I1351" s="493">
        <v>0</v>
      </c>
      <c r="J1351" s="493">
        <v>0</v>
      </c>
      <c r="K1351" s="493">
        <v>0</v>
      </c>
      <c r="L1351" s="493">
        <v>0</v>
      </c>
      <c r="M1351" s="493">
        <v>0</v>
      </c>
      <c r="N1351" s="493">
        <v>0</v>
      </c>
      <c r="O1351" s="493">
        <v>0</v>
      </c>
      <c r="P1351" s="493">
        <v>0</v>
      </c>
      <c r="Q1351" s="493">
        <v>0</v>
      </c>
      <c r="R1351" s="493">
        <v>0</v>
      </c>
      <c r="S1351" s="493">
        <v>0</v>
      </c>
      <c r="T1351" s="493">
        <v>0</v>
      </c>
      <c r="U1351" s="493">
        <v>0</v>
      </c>
      <c r="V1351" s="493">
        <v>0</v>
      </c>
      <c r="W1351" s="493">
        <v>0</v>
      </c>
      <c r="X1351" s="493">
        <v>0</v>
      </c>
      <c r="Y1351" s="493">
        <v>0</v>
      </c>
      <c r="Z1351" s="493">
        <v>0</v>
      </c>
      <c r="AA1351" s="493">
        <v>0</v>
      </c>
      <c r="AB1351" s="493">
        <v>0</v>
      </c>
      <c r="AC1351" s="493">
        <v>0</v>
      </c>
      <c r="AD1351" s="493">
        <v>0</v>
      </c>
      <c r="AE1351" s="493">
        <v>0</v>
      </c>
      <c r="AF1351" s="493">
        <v>0</v>
      </c>
      <c r="AG1351" s="493">
        <v>0</v>
      </c>
      <c r="AH1351" s="493">
        <v>0</v>
      </c>
      <c r="AI1351" s="493">
        <v>0</v>
      </c>
    </row>
    <row r="1352" spans="2:64" outlineLevel="1">
      <c r="B1352" t="str">
        <f t="shared" si="123"/>
        <v>LSFO - Energy cost - Asia - USD/ton fuel</v>
      </c>
      <c r="C1352" t="str">
        <f>C1321</f>
        <v>LSFO</v>
      </c>
      <c r="D1352" t="s">
        <v>1368</v>
      </c>
      <c r="E1352" t="s">
        <v>750</v>
      </c>
      <c r="F1352" t="s">
        <v>1353</v>
      </c>
      <c r="G1352" s="487" t="str">
        <f t="shared" ref="G1352:G1365" si="124">+C1352&amp;E1352&amp;D1352</f>
        <v>LSFOAsiaEnergy cost</v>
      </c>
      <c r="H1352" s="493">
        <v>0</v>
      </c>
      <c r="I1352" s="493">
        <v>0</v>
      </c>
      <c r="J1352" s="493">
        <v>0</v>
      </c>
      <c r="K1352" s="493">
        <v>0</v>
      </c>
      <c r="L1352" s="493">
        <v>0</v>
      </c>
      <c r="M1352" s="493">
        <v>0</v>
      </c>
      <c r="N1352" s="493">
        <v>0</v>
      </c>
      <c r="O1352" s="493">
        <v>0</v>
      </c>
      <c r="P1352" s="493">
        <v>0</v>
      </c>
      <c r="Q1352" s="493">
        <v>0</v>
      </c>
      <c r="R1352" s="493">
        <v>0</v>
      </c>
      <c r="S1352" s="493">
        <v>0</v>
      </c>
      <c r="T1352" s="493">
        <v>0</v>
      </c>
      <c r="U1352" s="493">
        <v>0</v>
      </c>
      <c r="V1352" s="493">
        <v>0</v>
      </c>
      <c r="W1352" s="493">
        <v>0</v>
      </c>
      <c r="X1352" s="493">
        <v>0</v>
      </c>
      <c r="Y1352" s="493">
        <v>0</v>
      </c>
      <c r="Z1352" s="493">
        <v>0</v>
      </c>
      <c r="AA1352" s="493">
        <v>0</v>
      </c>
      <c r="AB1352" s="493">
        <v>0</v>
      </c>
      <c r="AC1352" s="493">
        <v>0</v>
      </c>
      <c r="AD1352" s="493">
        <v>0</v>
      </c>
      <c r="AE1352" s="493">
        <v>0</v>
      </c>
      <c r="AF1352" s="493">
        <v>0</v>
      </c>
      <c r="AG1352" s="493">
        <v>0</v>
      </c>
      <c r="AH1352" s="493">
        <v>0</v>
      </c>
      <c r="AI1352" s="493">
        <v>0</v>
      </c>
    </row>
    <row r="1353" spans="2:64" outlineLevel="1">
      <c r="B1353" t="str">
        <f t="shared" si="123"/>
        <v>LSFO - Energy cost - Europe - USD/ton fuel</v>
      </c>
      <c r="C1353" t="str">
        <f>C1321</f>
        <v>LSFO</v>
      </c>
      <c r="D1353" t="s">
        <v>1368</v>
      </c>
      <c r="E1353" t="s">
        <v>720</v>
      </c>
      <c r="F1353" t="s">
        <v>1353</v>
      </c>
      <c r="G1353" s="487" t="str">
        <f t="shared" si="124"/>
        <v>LSFOEuropeEnergy cost</v>
      </c>
      <c r="H1353" s="493">
        <v>0</v>
      </c>
      <c r="I1353" s="493">
        <v>0</v>
      </c>
      <c r="J1353" s="493">
        <v>0</v>
      </c>
      <c r="K1353" s="493">
        <v>0</v>
      </c>
      <c r="L1353" s="493">
        <v>0</v>
      </c>
      <c r="M1353" s="493">
        <v>0</v>
      </c>
      <c r="N1353" s="493">
        <v>0</v>
      </c>
      <c r="O1353" s="493">
        <v>0</v>
      </c>
      <c r="P1353" s="493">
        <v>0</v>
      </c>
      <c r="Q1353" s="493">
        <v>0</v>
      </c>
      <c r="R1353" s="493">
        <v>0</v>
      </c>
      <c r="S1353" s="493">
        <v>0</v>
      </c>
      <c r="T1353" s="493">
        <v>0</v>
      </c>
      <c r="U1353" s="493">
        <v>0</v>
      </c>
      <c r="V1353" s="493">
        <v>0</v>
      </c>
      <c r="W1353" s="493">
        <v>0</v>
      </c>
      <c r="X1353" s="493">
        <v>0</v>
      </c>
      <c r="Y1353" s="493">
        <v>0</v>
      </c>
      <c r="Z1353" s="493">
        <v>0</v>
      </c>
      <c r="AA1353" s="493">
        <v>0</v>
      </c>
      <c r="AB1353" s="493">
        <v>0</v>
      </c>
      <c r="AC1353" s="493">
        <v>0</v>
      </c>
      <c r="AD1353" s="493">
        <v>0</v>
      </c>
      <c r="AE1353" s="493">
        <v>0</v>
      </c>
      <c r="AF1353" s="493">
        <v>0</v>
      </c>
      <c r="AG1353" s="493">
        <v>0</v>
      </c>
      <c r="AH1353" s="493">
        <v>0</v>
      </c>
      <c r="AI1353" s="493">
        <v>0</v>
      </c>
    </row>
    <row r="1354" spans="2:64" outlineLevel="1">
      <c r="B1354" t="str">
        <f t="shared" si="123"/>
        <v>LSFO - Energy cost - Middle East - USD/ton fuel</v>
      </c>
      <c r="C1354" t="str">
        <f>C1321</f>
        <v>LSFO</v>
      </c>
      <c r="D1354" t="s">
        <v>1368</v>
      </c>
      <c r="E1354" t="s">
        <v>826</v>
      </c>
      <c r="F1354" t="s">
        <v>1353</v>
      </c>
      <c r="G1354" s="487" t="str">
        <f t="shared" si="124"/>
        <v>LSFOMiddle EastEnergy cost</v>
      </c>
      <c r="H1354" s="493">
        <v>0</v>
      </c>
      <c r="I1354" s="493">
        <v>0</v>
      </c>
      <c r="J1354" s="493">
        <v>0</v>
      </c>
      <c r="K1354" s="493">
        <v>0</v>
      </c>
      <c r="L1354" s="493">
        <v>0</v>
      </c>
      <c r="M1354" s="493">
        <v>0</v>
      </c>
      <c r="N1354" s="493">
        <v>0</v>
      </c>
      <c r="O1354" s="493">
        <v>0</v>
      </c>
      <c r="P1354" s="493">
        <v>0</v>
      </c>
      <c r="Q1354" s="493">
        <v>0</v>
      </c>
      <c r="R1354" s="493">
        <v>0</v>
      </c>
      <c r="S1354" s="493">
        <v>0</v>
      </c>
      <c r="T1354" s="493">
        <v>0</v>
      </c>
      <c r="U1354" s="493">
        <v>0</v>
      </c>
      <c r="V1354" s="493">
        <v>0</v>
      </c>
      <c r="W1354" s="493">
        <v>0</v>
      </c>
      <c r="X1354" s="493">
        <v>0</v>
      </c>
      <c r="Y1354" s="493">
        <v>0</v>
      </c>
      <c r="Z1354" s="493">
        <v>0</v>
      </c>
      <c r="AA1354" s="493">
        <v>0</v>
      </c>
      <c r="AB1354" s="493">
        <v>0</v>
      </c>
      <c r="AC1354" s="493">
        <v>0</v>
      </c>
      <c r="AD1354" s="493">
        <v>0</v>
      </c>
      <c r="AE1354" s="493">
        <v>0</v>
      </c>
      <c r="AF1354" s="493">
        <v>0</v>
      </c>
      <c r="AG1354" s="493">
        <v>0</v>
      </c>
      <c r="AH1354" s="493">
        <v>0</v>
      </c>
      <c r="AI1354" s="493">
        <v>0</v>
      </c>
    </row>
    <row r="1355" spans="2:64" ht="15" outlineLevel="1" thickBot="1">
      <c r="B1355" t="str">
        <f t="shared" si="123"/>
        <v/>
      </c>
      <c r="G1355" s="487" t="str">
        <f t="shared" si="124"/>
        <v/>
      </c>
    </row>
    <row r="1356" spans="2:64" ht="15" outlineLevel="1">
      <c r="B1356" t="str">
        <f t="shared" si="123"/>
        <v>LSFO - Feedstock cost including feedstock feedstock cost - Africa - USD/ton fuel</v>
      </c>
      <c r="C1356" s="494" t="str">
        <f>C1332</f>
        <v>LSFO</v>
      </c>
      <c r="D1356" s="494" t="s">
        <v>1369</v>
      </c>
      <c r="E1356" s="494" t="s">
        <v>838</v>
      </c>
      <c r="F1356" s="494" t="s">
        <v>1353</v>
      </c>
      <c r="G1356" s="487" t="str">
        <f t="shared" si="124"/>
        <v>LSFOAfricaFeedstock cost including feedstock feedstock cost</v>
      </c>
      <c r="H1356" s="495">
        <v>735.35</v>
      </c>
      <c r="I1356" s="495">
        <v>685.30000000000007</v>
      </c>
      <c r="J1356" s="495">
        <v>635.25</v>
      </c>
      <c r="K1356" s="495">
        <v>619.0799999999972</v>
      </c>
      <c r="L1356" s="495">
        <v>602.91000000000145</v>
      </c>
      <c r="M1356" s="495">
        <v>586.73999999999864</v>
      </c>
      <c r="N1356" s="495">
        <v>570.56999999999584</v>
      </c>
      <c r="O1356" s="495">
        <v>554.4</v>
      </c>
      <c r="P1356" s="495">
        <v>554.4</v>
      </c>
      <c r="Q1356" s="495">
        <v>554.4</v>
      </c>
      <c r="R1356" s="495">
        <v>554.4</v>
      </c>
      <c r="S1356" s="495">
        <v>554.4</v>
      </c>
      <c r="T1356" s="495">
        <v>554.4</v>
      </c>
      <c r="U1356" s="495">
        <v>554.4</v>
      </c>
      <c r="V1356" s="495">
        <v>554.4</v>
      </c>
      <c r="W1356" s="495">
        <v>554.4</v>
      </c>
      <c r="X1356" s="495">
        <v>554.4</v>
      </c>
      <c r="Y1356" s="495">
        <v>554.4</v>
      </c>
      <c r="Z1356" s="495">
        <v>554.4</v>
      </c>
      <c r="AA1356" s="495">
        <v>554.4</v>
      </c>
      <c r="AB1356" s="495">
        <v>554.4</v>
      </c>
      <c r="AC1356" s="495">
        <v>554.4</v>
      </c>
      <c r="AD1356" s="495">
        <v>554.4</v>
      </c>
      <c r="AE1356" s="495">
        <v>554.4</v>
      </c>
      <c r="AF1356" s="495">
        <v>554.4</v>
      </c>
      <c r="AG1356" s="495">
        <v>554.4</v>
      </c>
      <c r="AH1356" s="495">
        <v>554.4</v>
      </c>
      <c r="AI1356" s="495">
        <v>554.4</v>
      </c>
      <c r="AK1356" s="499" t="b">
        <f t="shared" ref="AK1356:BL1356" si="125">H1339+H1342+H1345+H1356+H1626=H1333</f>
        <v>0</v>
      </c>
      <c r="AL1356" s="500" t="b">
        <f t="shared" si="125"/>
        <v>0</v>
      </c>
      <c r="AM1356" s="500" t="b">
        <f t="shared" si="125"/>
        <v>0</v>
      </c>
      <c r="AN1356" s="500" t="b">
        <f t="shared" si="125"/>
        <v>0</v>
      </c>
      <c r="AO1356" s="500" t="b">
        <f t="shared" si="125"/>
        <v>0</v>
      </c>
      <c r="AP1356" s="500" t="b">
        <f t="shared" si="125"/>
        <v>0</v>
      </c>
      <c r="AQ1356" s="500" t="b">
        <f t="shared" si="125"/>
        <v>0</v>
      </c>
      <c r="AR1356" s="500" t="b">
        <f t="shared" si="125"/>
        <v>0</v>
      </c>
      <c r="AS1356" s="500" t="b">
        <f t="shared" si="125"/>
        <v>0</v>
      </c>
      <c r="AT1356" s="500" t="b">
        <f t="shared" si="125"/>
        <v>0</v>
      </c>
      <c r="AU1356" s="500" t="b">
        <f t="shared" si="125"/>
        <v>0</v>
      </c>
      <c r="AV1356" s="500" t="b">
        <f t="shared" si="125"/>
        <v>0</v>
      </c>
      <c r="AW1356" s="500" t="b">
        <f t="shared" si="125"/>
        <v>0</v>
      </c>
      <c r="AX1356" s="500" t="b">
        <f t="shared" si="125"/>
        <v>0</v>
      </c>
      <c r="AY1356" s="500" t="b">
        <f t="shared" si="125"/>
        <v>0</v>
      </c>
      <c r="AZ1356" s="500" t="b">
        <f t="shared" si="125"/>
        <v>0</v>
      </c>
      <c r="BA1356" s="500" t="b">
        <f t="shared" si="125"/>
        <v>0</v>
      </c>
      <c r="BB1356" s="500" t="b">
        <f t="shared" si="125"/>
        <v>0</v>
      </c>
      <c r="BC1356" s="500" t="b">
        <f t="shared" si="125"/>
        <v>0</v>
      </c>
      <c r="BD1356" s="500" t="b">
        <f t="shared" si="125"/>
        <v>0</v>
      </c>
      <c r="BE1356" s="500" t="b">
        <f t="shared" si="125"/>
        <v>0</v>
      </c>
      <c r="BF1356" s="500" t="b">
        <f t="shared" si="125"/>
        <v>0</v>
      </c>
      <c r="BG1356" s="500" t="b">
        <f t="shared" si="125"/>
        <v>0</v>
      </c>
      <c r="BH1356" s="500" t="b">
        <f t="shared" si="125"/>
        <v>0</v>
      </c>
      <c r="BI1356" s="500" t="b">
        <f t="shared" si="125"/>
        <v>0</v>
      </c>
      <c r="BJ1356" s="500" t="b">
        <f t="shared" si="125"/>
        <v>0</v>
      </c>
      <c r="BK1356" s="500" t="b">
        <f t="shared" si="125"/>
        <v>0</v>
      </c>
      <c r="BL1356" s="501" t="b">
        <f t="shared" si="125"/>
        <v>0</v>
      </c>
    </row>
    <row r="1357" spans="2:64" ht="15" outlineLevel="1">
      <c r="B1357" t="str">
        <f t="shared" si="123"/>
        <v>LSFO - Feedstock cost including feedstock feedstock cost - Americas - USD/ton fuel</v>
      </c>
      <c r="C1357" s="22" t="str">
        <f>C1332</f>
        <v>LSFO</v>
      </c>
      <c r="D1357" s="22" t="s">
        <v>1369</v>
      </c>
      <c r="E1357" s="22" t="s">
        <v>731</v>
      </c>
      <c r="F1357" s="22" t="s">
        <v>1353</v>
      </c>
      <c r="G1357" s="487" t="str">
        <f t="shared" si="124"/>
        <v>LSFOAmericasFeedstock cost including feedstock feedstock cost</v>
      </c>
      <c r="H1357" s="496">
        <v>735.35</v>
      </c>
      <c r="I1357" s="496">
        <v>685.30000000000007</v>
      </c>
      <c r="J1357" s="496">
        <v>635.25</v>
      </c>
      <c r="K1357" s="496">
        <v>619.0799999999972</v>
      </c>
      <c r="L1357" s="496">
        <v>602.91000000000145</v>
      </c>
      <c r="M1357" s="496">
        <v>586.73999999999864</v>
      </c>
      <c r="N1357" s="496">
        <v>570.56999999999584</v>
      </c>
      <c r="O1357" s="496">
        <v>554.4</v>
      </c>
      <c r="P1357" s="496">
        <v>554.4</v>
      </c>
      <c r="Q1357" s="496">
        <v>554.4</v>
      </c>
      <c r="R1357" s="496">
        <v>554.4</v>
      </c>
      <c r="S1357" s="496">
        <v>554.4</v>
      </c>
      <c r="T1357" s="496">
        <v>554.4</v>
      </c>
      <c r="U1357" s="496">
        <v>554.4</v>
      </c>
      <c r="V1357" s="496">
        <v>554.4</v>
      </c>
      <c r="W1357" s="496">
        <v>554.4</v>
      </c>
      <c r="X1357" s="496">
        <v>554.4</v>
      </c>
      <c r="Y1357" s="496">
        <v>554.4</v>
      </c>
      <c r="Z1357" s="496">
        <v>554.4</v>
      </c>
      <c r="AA1357" s="496">
        <v>554.4</v>
      </c>
      <c r="AB1357" s="496">
        <v>554.4</v>
      </c>
      <c r="AC1357" s="496">
        <v>554.4</v>
      </c>
      <c r="AD1357" s="496">
        <v>554.4</v>
      </c>
      <c r="AE1357" s="496">
        <v>554.4</v>
      </c>
      <c r="AF1357" s="496">
        <v>554.4</v>
      </c>
      <c r="AG1357" s="496">
        <v>554.4</v>
      </c>
      <c r="AH1357" s="496">
        <v>554.4</v>
      </c>
      <c r="AI1357" s="496">
        <v>554.4</v>
      </c>
      <c r="AK1357" s="502" t="b">
        <f t="shared" ref="AK1357:BL1357" si="126">H1339+H1342+H1346+H1357+H1626=H1334</f>
        <v>0</v>
      </c>
      <c r="AL1357" s="106" t="b">
        <f t="shared" si="126"/>
        <v>0</v>
      </c>
      <c r="AM1357" s="106" t="b">
        <f t="shared" si="126"/>
        <v>0</v>
      </c>
      <c r="AN1357" s="106" t="b">
        <f t="shared" si="126"/>
        <v>0</v>
      </c>
      <c r="AO1357" s="106" t="b">
        <f t="shared" si="126"/>
        <v>0</v>
      </c>
      <c r="AP1357" s="106" t="b">
        <f t="shared" si="126"/>
        <v>0</v>
      </c>
      <c r="AQ1357" s="106" t="b">
        <f t="shared" si="126"/>
        <v>0</v>
      </c>
      <c r="AR1357" s="106" t="b">
        <f t="shared" si="126"/>
        <v>0</v>
      </c>
      <c r="AS1357" s="106" t="b">
        <f t="shared" si="126"/>
        <v>0</v>
      </c>
      <c r="AT1357" s="106" t="b">
        <f t="shared" si="126"/>
        <v>0</v>
      </c>
      <c r="AU1357" s="106" t="b">
        <f t="shared" si="126"/>
        <v>0</v>
      </c>
      <c r="AV1357" s="106" t="b">
        <f t="shared" si="126"/>
        <v>0</v>
      </c>
      <c r="AW1357" s="106" t="b">
        <f t="shared" si="126"/>
        <v>0</v>
      </c>
      <c r="AX1357" s="106" t="b">
        <f t="shared" si="126"/>
        <v>0</v>
      </c>
      <c r="AY1357" s="106" t="b">
        <f t="shared" si="126"/>
        <v>0</v>
      </c>
      <c r="AZ1357" s="106" t="b">
        <f t="shared" si="126"/>
        <v>0</v>
      </c>
      <c r="BA1357" s="106" t="b">
        <f t="shared" si="126"/>
        <v>0</v>
      </c>
      <c r="BB1357" s="106" t="b">
        <f t="shared" si="126"/>
        <v>0</v>
      </c>
      <c r="BC1357" s="106" t="b">
        <f t="shared" si="126"/>
        <v>0</v>
      </c>
      <c r="BD1357" s="106" t="b">
        <f t="shared" si="126"/>
        <v>0</v>
      </c>
      <c r="BE1357" s="106" t="b">
        <f t="shared" si="126"/>
        <v>0</v>
      </c>
      <c r="BF1357" s="106" t="b">
        <f t="shared" si="126"/>
        <v>0</v>
      </c>
      <c r="BG1357" s="106" t="b">
        <f t="shared" si="126"/>
        <v>0</v>
      </c>
      <c r="BH1357" s="106" t="b">
        <f t="shared" si="126"/>
        <v>0</v>
      </c>
      <c r="BI1357" s="106" t="b">
        <f t="shared" si="126"/>
        <v>0</v>
      </c>
      <c r="BJ1357" s="106" t="b">
        <f t="shared" si="126"/>
        <v>0</v>
      </c>
      <c r="BK1357" s="106" t="b">
        <f t="shared" si="126"/>
        <v>0</v>
      </c>
      <c r="BL1357" s="503" t="b">
        <f t="shared" si="126"/>
        <v>0</v>
      </c>
    </row>
    <row r="1358" spans="2:64" ht="15" outlineLevel="1">
      <c r="B1358" t="str">
        <f t="shared" si="123"/>
        <v>LSFO - Feedstock cost including feedstock feedstock cost - Asia - USD/ton fuel</v>
      </c>
      <c r="C1358" s="22" t="str">
        <f>C1332</f>
        <v>LSFO</v>
      </c>
      <c r="D1358" s="22" t="s">
        <v>1369</v>
      </c>
      <c r="E1358" s="22" t="s">
        <v>750</v>
      </c>
      <c r="F1358" s="22" t="s">
        <v>1353</v>
      </c>
      <c r="G1358" s="487" t="str">
        <f t="shared" si="124"/>
        <v>LSFOAsiaFeedstock cost including feedstock feedstock cost</v>
      </c>
      <c r="H1358" s="496">
        <v>735.35</v>
      </c>
      <c r="I1358" s="496">
        <v>685.30000000000007</v>
      </c>
      <c r="J1358" s="496">
        <v>635.25</v>
      </c>
      <c r="K1358" s="496">
        <v>619.0799999999972</v>
      </c>
      <c r="L1358" s="496">
        <v>602.91000000000145</v>
      </c>
      <c r="M1358" s="496">
        <v>586.73999999999864</v>
      </c>
      <c r="N1358" s="496">
        <v>570.56999999999584</v>
      </c>
      <c r="O1358" s="496">
        <v>554.4</v>
      </c>
      <c r="P1358" s="496">
        <v>554.4</v>
      </c>
      <c r="Q1358" s="496">
        <v>554.4</v>
      </c>
      <c r="R1358" s="496">
        <v>554.4</v>
      </c>
      <c r="S1358" s="496">
        <v>554.4</v>
      </c>
      <c r="T1358" s="496">
        <v>554.4</v>
      </c>
      <c r="U1358" s="496">
        <v>554.4</v>
      </c>
      <c r="V1358" s="496">
        <v>554.4</v>
      </c>
      <c r="W1358" s="496">
        <v>554.4</v>
      </c>
      <c r="X1358" s="496">
        <v>554.4</v>
      </c>
      <c r="Y1358" s="496">
        <v>554.4</v>
      </c>
      <c r="Z1358" s="496">
        <v>554.4</v>
      </c>
      <c r="AA1358" s="496">
        <v>554.4</v>
      </c>
      <c r="AB1358" s="496">
        <v>554.4</v>
      </c>
      <c r="AC1358" s="496">
        <v>554.4</v>
      </c>
      <c r="AD1358" s="496">
        <v>554.4</v>
      </c>
      <c r="AE1358" s="496">
        <v>554.4</v>
      </c>
      <c r="AF1358" s="496">
        <v>554.4</v>
      </c>
      <c r="AG1358" s="496">
        <v>554.4</v>
      </c>
      <c r="AH1358" s="496">
        <v>554.4</v>
      </c>
      <c r="AI1358" s="496">
        <v>554.4</v>
      </c>
      <c r="AK1358" s="502" t="b">
        <f t="shared" ref="AK1358:BL1358" si="127">H1339+H1342+H1347+H1358+H1626=H1335</f>
        <v>0</v>
      </c>
      <c r="AL1358" s="106" t="b">
        <f t="shared" si="127"/>
        <v>0</v>
      </c>
      <c r="AM1358" s="106" t="b">
        <f t="shared" si="127"/>
        <v>0</v>
      </c>
      <c r="AN1358" s="106" t="b">
        <f t="shared" si="127"/>
        <v>0</v>
      </c>
      <c r="AO1358" s="106" t="b">
        <f t="shared" si="127"/>
        <v>0</v>
      </c>
      <c r="AP1358" s="106" t="b">
        <f t="shared" si="127"/>
        <v>0</v>
      </c>
      <c r="AQ1358" s="106" t="b">
        <f t="shared" si="127"/>
        <v>0</v>
      </c>
      <c r="AR1358" s="106" t="b">
        <f t="shared" si="127"/>
        <v>0</v>
      </c>
      <c r="AS1358" s="106" t="b">
        <f t="shared" si="127"/>
        <v>0</v>
      </c>
      <c r="AT1358" s="106" t="b">
        <f t="shared" si="127"/>
        <v>0</v>
      </c>
      <c r="AU1358" s="106" t="b">
        <f t="shared" si="127"/>
        <v>0</v>
      </c>
      <c r="AV1358" s="106" t="b">
        <f t="shared" si="127"/>
        <v>0</v>
      </c>
      <c r="AW1358" s="106" t="b">
        <f t="shared" si="127"/>
        <v>0</v>
      </c>
      <c r="AX1358" s="106" t="b">
        <f t="shared" si="127"/>
        <v>0</v>
      </c>
      <c r="AY1358" s="106" t="b">
        <f t="shared" si="127"/>
        <v>0</v>
      </c>
      <c r="AZ1358" s="106" t="b">
        <f t="shared" si="127"/>
        <v>0</v>
      </c>
      <c r="BA1358" s="106" t="b">
        <f t="shared" si="127"/>
        <v>0</v>
      </c>
      <c r="BB1358" s="106" t="b">
        <f t="shared" si="127"/>
        <v>0</v>
      </c>
      <c r="BC1358" s="106" t="b">
        <f t="shared" si="127"/>
        <v>0</v>
      </c>
      <c r="BD1358" s="106" t="b">
        <f t="shared" si="127"/>
        <v>0</v>
      </c>
      <c r="BE1358" s="106" t="b">
        <f t="shared" si="127"/>
        <v>0</v>
      </c>
      <c r="BF1358" s="106" t="b">
        <f t="shared" si="127"/>
        <v>0</v>
      </c>
      <c r="BG1358" s="106" t="b">
        <f t="shared" si="127"/>
        <v>0</v>
      </c>
      <c r="BH1358" s="106" t="b">
        <f t="shared" si="127"/>
        <v>0</v>
      </c>
      <c r="BI1358" s="106" t="b">
        <f t="shared" si="127"/>
        <v>0</v>
      </c>
      <c r="BJ1358" s="106" t="b">
        <f t="shared" si="127"/>
        <v>0</v>
      </c>
      <c r="BK1358" s="106" t="b">
        <f t="shared" si="127"/>
        <v>0</v>
      </c>
      <c r="BL1358" s="503" t="b">
        <f t="shared" si="127"/>
        <v>0</v>
      </c>
    </row>
    <row r="1359" spans="2:64" ht="15" outlineLevel="1">
      <c r="B1359" t="str">
        <f t="shared" si="123"/>
        <v>LSFO - Feedstock cost including feedstock feedstock cost - Europe - USD/ton fuel</v>
      </c>
      <c r="C1359" s="22" t="str">
        <f>C1332</f>
        <v>LSFO</v>
      </c>
      <c r="D1359" s="22" t="s">
        <v>1369</v>
      </c>
      <c r="E1359" s="22" t="s">
        <v>720</v>
      </c>
      <c r="F1359" s="22" t="s">
        <v>1353</v>
      </c>
      <c r="G1359" s="487" t="str">
        <f t="shared" si="124"/>
        <v>LSFOEuropeFeedstock cost including feedstock feedstock cost</v>
      </c>
      <c r="H1359" s="496">
        <v>735.35</v>
      </c>
      <c r="I1359" s="496">
        <v>685.30000000000007</v>
      </c>
      <c r="J1359" s="496">
        <v>635.25</v>
      </c>
      <c r="K1359" s="496">
        <v>619.0799999999972</v>
      </c>
      <c r="L1359" s="496">
        <v>602.91000000000145</v>
      </c>
      <c r="M1359" s="496">
        <v>586.73999999999864</v>
      </c>
      <c r="N1359" s="496">
        <v>570.56999999999584</v>
      </c>
      <c r="O1359" s="496">
        <v>554.4</v>
      </c>
      <c r="P1359" s="496">
        <v>554.4</v>
      </c>
      <c r="Q1359" s="496">
        <v>554.4</v>
      </c>
      <c r="R1359" s="496">
        <v>554.4</v>
      </c>
      <c r="S1359" s="496">
        <v>554.4</v>
      </c>
      <c r="T1359" s="496">
        <v>554.4</v>
      </c>
      <c r="U1359" s="496">
        <v>554.4</v>
      </c>
      <c r="V1359" s="496">
        <v>554.4</v>
      </c>
      <c r="W1359" s="496">
        <v>554.4</v>
      </c>
      <c r="X1359" s="496">
        <v>554.4</v>
      </c>
      <c r="Y1359" s="496">
        <v>554.4</v>
      </c>
      <c r="Z1359" s="496">
        <v>554.4</v>
      </c>
      <c r="AA1359" s="496">
        <v>554.4</v>
      </c>
      <c r="AB1359" s="496">
        <v>554.4</v>
      </c>
      <c r="AC1359" s="496">
        <v>554.4</v>
      </c>
      <c r="AD1359" s="496">
        <v>554.4</v>
      </c>
      <c r="AE1359" s="496">
        <v>554.4</v>
      </c>
      <c r="AF1359" s="496">
        <v>554.4</v>
      </c>
      <c r="AG1359" s="496">
        <v>554.4</v>
      </c>
      <c r="AH1359" s="496">
        <v>554.4</v>
      </c>
      <c r="AI1359" s="496">
        <v>554.4</v>
      </c>
      <c r="AK1359" s="502" t="b">
        <f t="shared" ref="AK1359:BL1359" si="128">H1339+H1342+H1348+H1359+H1626=H1336</f>
        <v>0</v>
      </c>
      <c r="AL1359" s="106" t="b">
        <f t="shared" si="128"/>
        <v>0</v>
      </c>
      <c r="AM1359" s="106" t="b">
        <f t="shared" si="128"/>
        <v>0</v>
      </c>
      <c r="AN1359" s="106" t="b">
        <f t="shared" si="128"/>
        <v>0</v>
      </c>
      <c r="AO1359" s="106" t="b">
        <f t="shared" si="128"/>
        <v>0</v>
      </c>
      <c r="AP1359" s="106" t="b">
        <f t="shared" si="128"/>
        <v>0</v>
      </c>
      <c r="AQ1359" s="106" t="b">
        <f t="shared" si="128"/>
        <v>0</v>
      </c>
      <c r="AR1359" s="106" t="b">
        <f t="shared" si="128"/>
        <v>0</v>
      </c>
      <c r="AS1359" s="106" t="b">
        <f t="shared" si="128"/>
        <v>0</v>
      </c>
      <c r="AT1359" s="106" t="b">
        <f t="shared" si="128"/>
        <v>0</v>
      </c>
      <c r="AU1359" s="106" t="b">
        <f t="shared" si="128"/>
        <v>0</v>
      </c>
      <c r="AV1359" s="106" t="b">
        <f t="shared" si="128"/>
        <v>0</v>
      </c>
      <c r="AW1359" s="106" t="b">
        <f t="shared" si="128"/>
        <v>0</v>
      </c>
      <c r="AX1359" s="106" t="b">
        <f t="shared" si="128"/>
        <v>0</v>
      </c>
      <c r="AY1359" s="106" t="b">
        <f t="shared" si="128"/>
        <v>0</v>
      </c>
      <c r="AZ1359" s="106" t="b">
        <f t="shared" si="128"/>
        <v>0</v>
      </c>
      <c r="BA1359" s="106" t="b">
        <f t="shared" si="128"/>
        <v>0</v>
      </c>
      <c r="BB1359" s="106" t="b">
        <f t="shared" si="128"/>
        <v>0</v>
      </c>
      <c r="BC1359" s="106" t="b">
        <f t="shared" si="128"/>
        <v>0</v>
      </c>
      <c r="BD1359" s="106" t="b">
        <f t="shared" si="128"/>
        <v>0</v>
      </c>
      <c r="BE1359" s="106" t="b">
        <f t="shared" si="128"/>
        <v>0</v>
      </c>
      <c r="BF1359" s="106" t="b">
        <f t="shared" si="128"/>
        <v>0</v>
      </c>
      <c r="BG1359" s="106" t="b">
        <f t="shared" si="128"/>
        <v>0</v>
      </c>
      <c r="BH1359" s="106" t="b">
        <f t="shared" si="128"/>
        <v>0</v>
      </c>
      <c r="BI1359" s="106" t="b">
        <f t="shared" si="128"/>
        <v>0</v>
      </c>
      <c r="BJ1359" s="106" t="b">
        <f t="shared" si="128"/>
        <v>0</v>
      </c>
      <c r="BK1359" s="106" t="b">
        <f t="shared" si="128"/>
        <v>0</v>
      </c>
      <c r="BL1359" s="503" t="b">
        <f t="shared" si="128"/>
        <v>0</v>
      </c>
    </row>
    <row r="1360" spans="2:64" ht="15.75" outlineLevel="1" thickBot="1">
      <c r="B1360" t="str">
        <f t="shared" si="123"/>
        <v>LSFO - Feedstock cost including feedstock feedstock cost - Middle East - USD/ton fuel</v>
      </c>
      <c r="C1360" s="92" t="str">
        <f>C1332</f>
        <v>LSFO</v>
      </c>
      <c r="D1360" s="92" t="s">
        <v>1369</v>
      </c>
      <c r="E1360" s="92" t="s">
        <v>826</v>
      </c>
      <c r="F1360" s="92" t="s">
        <v>1353</v>
      </c>
      <c r="G1360" s="487" t="str">
        <f t="shared" si="124"/>
        <v>LSFOMiddle EastFeedstock cost including feedstock feedstock cost</v>
      </c>
      <c r="H1360" s="497">
        <v>735.35</v>
      </c>
      <c r="I1360" s="497">
        <v>685.30000000000007</v>
      </c>
      <c r="J1360" s="497">
        <v>635.25</v>
      </c>
      <c r="K1360" s="497">
        <v>619.0799999999972</v>
      </c>
      <c r="L1360" s="497">
        <v>602.91000000000145</v>
      </c>
      <c r="M1360" s="497">
        <v>586.73999999999864</v>
      </c>
      <c r="N1360" s="497">
        <v>570.56999999999584</v>
      </c>
      <c r="O1360" s="497">
        <v>554.4</v>
      </c>
      <c r="P1360" s="497">
        <v>554.4</v>
      </c>
      <c r="Q1360" s="497">
        <v>554.4</v>
      </c>
      <c r="R1360" s="497">
        <v>554.4</v>
      </c>
      <c r="S1360" s="497">
        <v>554.4</v>
      </c>
      <c r="T1360" s="497">
        <v>554.4</v>
      </c>
      <c r="U1360" s="497">
        <v>554.4</v>
      </c>
      <c r="V1360" s="497">
        <v>554.4</v>
      </c>
      <c r="W1360" s="497">
        <v>554.4</v>
      </c>
      <c r="X1360" s="497">
        <v>554.4</v>
      </c>
      <c r="Y1360" s="497">
        <v>554.4</v>
      </c>
      <c r="Z1360" s="497">
        <v>554.4</v>
      </c>
      <c r="AA1360" s="497">
        <v>554.4</v>
      </c>
      <c r="AB1360" s="497">
        <v>554.4</v>
      </c>
      <c r="AC1360" s="497">
        <v>554.4</v>
      </c>
      <c r="AD1360" s="497">
        <v>554.4</v>
      </c>
      <c r="AE1360" s="497">
        <v>554.4</v>
      </c>
      <c r="AF1360" s="497">
        <v>554.4</v>
      </c>
      <c r="AG1360" s="497">
        <v>554.4</v>
      </c>
      <c r="AH1360" s="497">
        <v>554.4</v>
      </c>
      <c r="AI1360" s="497">
        <v>554.4</v>
      </c>
      <c r="AK1360" s="504" t="b">
        <f t="shared" ref="AK1360:BL1360" si="129">H1339+H1342+H1349+H1360+H1626=H1337</f>
        <v>0</v>
      </c>
      <c r="AL1360" s="505" t="b">
        <f t="shared" si="129"/>
        <v>0</v>
      </c>
      <c r="AM1360" s="505" t="b">
        <f t="shared" si="129"/>
        <v>0</v>
      </c>
      <c r="AN1360" s="505" t="b">
        <f t="shared" si="129"/>
        <v>0</v>
      </c>
      <c r="AO1360" s="505" t="b">
        <f t="shared" si="129"/>
        <v>0</v>
      </c>
      <c r="AP1360" s="505" t="b">
        <f t="shared" si="129"/>
        <v>0</v>
      </c>
      <c r="AQ1360" s="505" t="b">
        <f t="shared" si="129"/>
        <v>0</v>
      </c>
      <c r="AR1360" s="505" t="b">
        <f t="shared" si="129"/>
        <v>0</v>
      </c>
      <c r="AS1360" s="505" t="b">
        <f t="shared" si="129"/>
        <v>0</v>
      </c>
      <c r="AT1360" s="505" t="b">
        <f t="shared" si="129"/>
        <v>0</v>
      </c>
      <c r="AU1360" s="505" t="b">
        <f t="shared" si="129"/>
        <v>0</v>
      </c>
      <c r="AV1360" s="505" t="b">
        <f t="shared" si="129"/>
        <v>0</v>
      </c>
      <c r="AW1360" s="505" t="b">
        <f t="shared" si="129"/>
        <v>0</v>
      </c>
      <c r="AX1360" s="505" t="b">
        <f t="shared" si="129"/>
        <v>0</v>
      </c>
      <c r="AY1360" s="505" t="b">
        <f t="shared" si="129"/>
        <v>0</v>
      </c>
      <c r="AZ1360" s="505" t="b">
        <f t="shared" si="129"/>
        <v>0</v>
      </c>
      <c r="BA1360" s="505" t="b">
        <f t="shared" si="129"/>
        <v>0</v>
      </c>
      <c r="BB1360" s="505" t="b">
        <f t="shared" si="129"/>
        <v>0</v>
      </c>
      <c r="BC1360" s="505" t="b">
        <f t="shared" si="129"/>
        <v>0</v>
      </c>
      <c r="BD1360" s="505" t="b">
        <f t="shared" si="129"/>
        <v>0</v>
      </c>
      <c r="BE1360" s="505" t="b">
        <f t="shared" si="129"/>
        <v>0</v>
      </c>
      <c r="BF1360" s="505" t="b">
        <f t="shared" si="129"/>
        <v>0</v>
      </c>
      <c r="BG1360" s="505" t="b">
        <f t="shared" si="129"/>
        <v>0</v>
      </c>
      <c r="BH1360" s="505" t="b">
        <f t="shared" si="129"/>
        <v>0</v>
      </c>
      <c r="BI1360" s="505" t="b">
        <f t="shared" si="129"/>
        <v>0</v>
      </c>
      <c r="BJ1360" s="505" t="b">
        <f t="shared" si="129"/>
        <v>0</v>
      </c>
      <c r="BK1360" s="505" t="b">
        <f t="shared" si="129"/>
        <v>0</v>
      </c>
      <c r="BL1360" s="506" t="b">
        <f t="shared" si="129"/>
        <v>0</v>
      </c>
    </row>
    <row r="1361" spans="2:35" outlineLevel="1">
      <c r="B1361" t="str">
        <f t="shared" si="123"/>
        <v>LSFO - Feedstock cost - Africa - USD/ton fuel</v>
      </c>
      <c r="C1361" t="str">
        <f>C1332</f>
        <v>LSFO</v>
      </c>
      <c r="D1361" t="s">
        <v>1371</v>
      </c>
      <c r="E1361" t="s">
        <v>838</v>
      </c>
      <c r="F1361" t="s">
        <v>1353</v>
      </c>
      <c r="G1361" s="487" t="str">
        <f t="shared" si="124"/>
        <v>LSFOAfricaFeedstock cost</v>
      </c>
      <c r="H1361" s="493">
        <v>735.35</v>
      </c>
      <c r="I1361" s="493">
        <v>685.30000000000007</v>
      </c>
      <c r="J1361" s="493">
        <v>635.25</v>
      </c>
      <c r="K1361" s="493">
        <v>619.0799999999972</v>
      </c>
      <c r="L1361" s="493">
        <v>602.91000000000145</v>
      </c>
      <c r="M1361" s="493">
        <v>586.73999999999864</v>
      </c>
      <c r="N1361" s="493">
        <v>570.56999999999584</v>
      </c>
      <c r="O1361" s="493">
        <v>554.4</v>
      </c>
      <c r="P1361" s="493">
        <v>554.4</v>
      </c>
      <c r="Q1361" s="493">
        <v>554.4</v>
      </c>
      <c r="R1361" s="493">
        <v>554.4</v>
      </c>
      <c r="S1361" s="493">
        <v>554.4</v>
      </c>
      <c r="T1361" s="493">
        <v>554.4</v>
      </c>
      <c r="U1361" s="493">
        <v>554.4</v>
      </c>
      <c r="V1361" s="493">
        <v>554.4</v>
      </c>
      <c r="W1361" s="493">
        <v>554.4</v>
      </c>
      <c r="X1361" s="493">
        <v>554.4</v>
      </c>
      <c r="Y1361" s="493">
        <v>554.4</v>
      </c>
      <c r="Z1361" s="493">
        <v>554.4</v>
      </c>
      <c r="AA1361" s="493">
        <v>554.4</v>
      </c>
      <c r="AB1361" s="493">
        <v>554.4</v>
      </c>
      <c r="AC1361" s="493">
        <v>554.4</v>
      </c>
      <c r="AD1361" s="493">
        <v>554.4</v>
      </c>
      <c r="AE1361" s="493">
        <v>554.4</v>
      </c>
      <c r="AF1361" s="493">
        <v>554.4</v>
      </c>
      <c r="AG1361" s="493">
        <v>554.4</v>
      </c>
      <c r="AH1361" s="493">
        <v>554.4</v>
      </c>
      <c r="AI1361" s="493">
        <v>554.4</v>
      </c>
    </row>
    <row r="1362" spans="2:35" outlineLevel="1">
      <c r="B1362" t="str">
        <f t="shared" si="123"/>
        <v>LSFO - Feedstock cost - Americas - USD/ton fuel</v>
      </c>
      <c r="C1362" t="str">
        <f>C1332</f>
        <v>LSFO</v>
      </c>
      <c r="D1362" t="s">
        <v>1371</v>
      </c>
      <c r="E1362" t="s">
        <v>731</v>
      </c>
      <c r="F1362" t="s">
        <v>1353</v>
      </c>
      <c r="G1362" s="487" t="str">
        <f t="shared" si="124"/>
        <v>LSFOAmericasFeedstock cost</v>
      </c>
      <c r="H1362" s="493">
        <v>735.35</v>
      </c>
      <c r="I1362" s="493">
        <v>685.30000000000007</v>
      </c>
      <c r="J1362" s="493">
        <v>635.25</v>
      </c>
      <c r="K1362" s="493">
        <v>619.0799999999972</v>
      </c>
      <c r="L1362" s="493">
        <v>602.91000000000145</v>
      </c>
      <c r="M1362" s="493">
        <v>586.73999999999864</v>
      </c>
      <c r="N1362" s="493">
        <v>570.56999999999584</v>
      </c>
      <c r="O1362" s="493">
        <v>554.4</v>
      </c>
      <c r="P1362" s="493">
        <v>554.4</v>
      </c>
      <c r="Q1362" s="493">
        <v>554.4</v>
      </c>
      <c r="R1362" s="493">
        <v>554.4</v>
      </c>
      <c r="S1362" s="493">
        <v>554.4</v>
      </c>
      <c r="T1362" s="493">
        <v>554.4</v>
      </c>
      <c r="U1362" s="493">
        <v>554.4</v>
      </c>
      <c r="V1362" s="493">
        <v>554.4</v>
      </c>
      <c r="W1362" s="493">
        <v>554.4</v>
      </c>
      <c r="X1362" s="493">
        <v>554.4</v>
      </c>
      <c r="Y1362" s="493">
        <v>554.4</v>
      </c>
      <c r="Z1362" s="493">
        <v>554.4</v>
      </c>
      <c r="AA1362" s="493">
        <v>554.4</v>
      </c>
      <c r="AB1362" s="493">
        <v>554.4</v>
      </c>
      <c r="AC1362" s="493">
        <v>554.4</v>
      </c>
      <c r="AD1362" s="493">
        <v>554.4</v>
      </c>
      <c r="AE1362" s="493">
        <v>554.4</v>
      </c>
      <c r="AF1362" s="493">
        <v>554.4</v>
      </c>
      <c r="AG1362" s="493">
        <v>554.4</v>
      </c>
      <c r="AH1362" s="493">
        <v>554.4</v>
      </c>
      <c r="AI1362" s="493">
        <v>554.4</v>
      </c>
    </row>
    <row r="1363" spans="2:35" outlineLevel="1">
      <c r="B1363" t="str">
        <f t="shared" si="123"/>
        <v>LSFO - Feedstock cost - Asia - USD/ton fuel</v>
      </c>
      <c r="C1363" t="str">
        <f>C1332</f>
        <v>LSFO</v>
      </c>
      <c r="D1363" t="s">
        <v>1371</v>
      </c>
      <c r="E1363" t="s">
        <v>750</v>
      </c>
      <c r="F1363" t="s">
        <v>1353</v>
      </c>
      <c r="G1363" s="487" t="str">
        <f t="shared" si="124"/>
        <v>LSFOAsiaFeedstock cost</v>
      </c>
      <c r="H1363" s="493">
        <v>735.35</v>
      </c>
      <c r="I1363" s="493">
        <v>685.30000000000007</v>
      </c>
      <c r="J1363" s="493">
        <v>635.25</v>
      </c>
      <c r="K1363" s="493">
        <v>619.0799999999972</v>
      </c>
      <c r="L1363" s="493">
        <v>602.91000000000145</v>
      </c>
      <c r="M1363" s="493">
        <v>586.73999999999864</v>
      </c>
      <c r="N1363" s="493">
        <v>570.56999999999584</v>
      </c>
      <c r="O1363" s="493">
        <v>554.4</v>
      </c>
      <c r="P1363" s="493">
        <v>554.4</v>
      </c>
      <c r="Q1363" s="493">
        <v>554.4</v>
      </c>
      <c r="R1363" s="493">
        <v>554.4</v>
      </c>
      <c r="S1363" s="493">
        <v>554.4</v>
      </c>
      <c r="T1363" s="493">
        <v>554.4</v>
      </c>
      <c r="U1363" s="493">
        <v>554.4</v>
      </c>
      <c r="V1363" s="493">
        <v>554.4</v>
      </c>
      <c r="W1363" s="493">
        <v>554.4</v>
      </c>
      <c r="X1363" s="493">
        <v>554.4</v>
      </c>
      <c r="Y1363" s="493">
        <v>554.4</v>
      </c>
      <c r="Z1363" s="493">
        <v>554.4</v>
      </c>
      <c r="AA1363" s="493">
        <v>554.4</v>
      </c>
      <c r="AB1363" s="493">
        <v>554.4</v>
      </c>
      <c r="AC1363" s="493">
        <v>554.4</v>
      </c>
      <c r="AD1363" s="493">
        <v>554.4</v>
      </c>
      <c r="AE1363" s="493">
        <v>554.4</v>
      </c>
      <c r="AF1363" s="493">
        <v>554.4</v>
      </c>
      <c r="AG1363" s="493">
        <v>554.4</v>
      </c>
      <c r="AH1363" s="493">
        <v>554.4</v>
      </c>
      <c r="AI1363" s="493">
        <v>554.4</v>
      </c>
    </row>
    <row r="1364" spans="2:35" outlineLevel="1">
      <c r="B1364" t="str">
        <f t="shared" si="123"/>
        <v>LSFO - Feedstock cost - Europe - USD/ton fuel</v>
      </c>
      <c r="C1364" t="str">
        <f>C1332</f>
        <v>LSFO</v>
      </c>
      <c r="D1364" t="s">
        <v>1371</v>
      </c>
      <c r="E1364" t="s">
        <v>720</v>
      </c>
      <c r="F1364" t="s">
        <v>1353</v>
      </c>
      <c r="G1364" s="487" t="str">
        <f t="shared" si="124"/>
        <v>LSFOEuropeFeedstock cost</v>
      </c>
      <c r="H1364" s="493">
        <v>735.35</v>
      </c>
      <c r="I1364" s="493">
        <v>685.30000000000007</v>
      </c>
      <c r="J1364" s="493">
        <v>635.25</v>
      </c>
      <c r="K1364" s="493">
        <v>619.0799999999972</v>
      </c>
      <c r="L1364" s="493">
        <v>602.91000000000145</v>
      </c>
      <c r="M1364" s="493">
        <v>586.73999999999864</v>
      </c>
      <c r="N1364" s="493">
        <v>570.56999999999584</v>
      </c>
      <c r="O1364" s="493">
        <v>554.4</v>
      </c>
      <c r="P1364" s="493">
        <v>554.4</v>
      </c>
      <c r="Q1364" s="493">
        <v>554.4</v>
      </c>
      <c r="R1364" s="493">
        <v>554.4</v>
      </c>
      <c r="S1364" s="493">
        <v>554.4</v>
      </c>
      <c r="T1364" s="493">
        <v>554.4</v>
      </c>
      <c r="U1364" s="493">
        <v>554.4</v>
      </c>
      <c r="V1364" s="493">
        <v>554.4</v>
      </c>
      <c r="W1364" s="493">
        <v>554.4</v>
      </c>
      <c r="X1364" s="493">
        <v>554.4</v>
      </c>
      <c r="Y1364" s="493">
        <v>554.4</v>
      </c>
      <c r="Z1364" s="493">
        <v>554.4</v>
      </c>
      <c r="AA1364" s="493">
        <v>554.4</v>
      </c>
      <c r="AB1364" s="493">
        <v>554.4</v>
      </c>
      <c r="AC1364" s="493">
        <v>554.4</v>
      </c>
      <c r="AD1364" s="493">
        <v>554.4</v>
      </c>
      <c r="AE1364" s="493">
        <v>554.4</v>
      </c>
      <c r="AF1364" s="493">
        <v>554.4</v>
      </c>
      <c r="AG1364" s="493">
        <v>554.4</v>
      </c>
      <c r="AH1364" s="493">
        <v>554.4</v>
      </c>
      <c r="AI1364" s="493">
        <v>554.4</v>
      </c>
    </row>
    <row r="1365" spans="2:35" outlineLevel="1">
      <c r="B1365" t="str">
        <f t="shared" si="123"/>
        <v>LSFO - Feedstock cost - Middle East - USD/ton fuel</v>
      </c>
      <c r="C1365" t="str">
        <f>C1332</f>
        <v>LSFO</v>
      </c>
      <c r="D1365" t="s">
        <v>1371</v>
      </c>
      <c r="E1365" t="s">
        <v>826</v>
      </c>
      <c r="F1365" t="s">
        <v>1353</v>
      </c>
      <c r="G1365" s="487" t="str">
        <f t="shared" si="124"/>
        <v>LSFOMiddle EastFeedstock cost</v>
      </c>
      <c r="H1365" s="493">
        <v>735.35</v>
      </c>
      <c r="I1365" s="493">
        <v>685.30000000000007</v>
      </c>
      <c r="J1365" s="493">
        <v>635.25</v>
      </c>
      <c r="K1365" s="493">
        <v>619.0799999999972</v>
      </c>
      <c r="L1365" s="493">
        <v>602.91000000000145</v>
      </c>
      <c r="M1365" s="493">
        <v>586.73999999999864</v>
      </c>
      <c r="N1365" s="493">
        <v>570.56999999999584</v>
      </c>
      <c r="O1365" s="493">
        <v>554.4</v>
      </c>
      <c r="P1365" s="493">
        <v>554.4</v>
      </c>
      <c r="Q1365" s="493">
        <v>554.4</v>
      </c>
      <c r="R1365" s="493">
        <v>554.4</v>
      </c>
      <c r="S1365" s="493">
        <v>554.4</v>
      </c>
      <c r="T1365" s="493">
        <v>554.4</v>
      </c>
      <c r="U1365" s="493">
        <v>554.4</v>
      </c>
      <c r="V1365" s="493">
        <v>554.4</v>
      </c>
      <c r="W1365" s="493">
        <v>554.4</v>
      </c>
      <c r="X1365" s="493">
        <v>554.4</v>
      </c>
      <c r="Y1365" s="493">
        <v>554.4</v>
      </c>
      <c r="Z1365" s="493">
        <v>554.4</v>
      </c>
      <c r="AA1365" s="493">
        <v>554.4</v>
      </c>
      <c r="AB1365" s="493">
        <v>554.4</v>
      </c>
      <c r="AC1365" s="493">
        <v>554.4</v>
      </c>
      <c r="AD1365" s="493">
        <v>554.4</v>
      </c>
      <c r="AE1365" s="493">
        <v>554.4</v>
      </c>
      <c r="AF1365" s="493">
        <v>554.4</v>
      </c>
      <c r="AG1365" s="493">
        <v>554.4</v>
      </c>
      <c r="AH1365" s="493">
        <v>554.4</v>
      </c>
      <c r="AI1365" s="493">
        <v>554.4</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6D2F3-7BC9-4B59-A44F-9CD38F99D558}">
  <sheetPr codeName="Sheet6">
    <tabColor theme="0" tint="-0.249977111117893"/>
  </sheetPr>
  <dimension ref="B2:DJ5"/>
  <sheetViews>
    <sheetView zoomScale="74" workbookViewId="0"/>
  </sheetViews>
  <sheetFormatPr defaultRowHeight="14.25" outlineLevelCol="1"/>
  <cols>
    <col min="2" max="2" width="58.25" customWidth="1" outlineLevel="1"/>
    <col min="3" max="3" width="21.75" customWidth="1"/>
    <col min="4" max="4" width="63.5" customWidth="1"/>
    <col min="5" max="5" width="14.5" customWidth="1"/>
    <col min="6" max="6" width="14.75" customWidth="1"/>
    <col min="86" max="112" width="9" hidden="1" customWidth="1" outlineLevel="1"/>
    <col min="113" max="113" width="4.75" hidden="1" customWidth="1" outlineLevel="1"/>
    <col min="114" max="114" width="8.625" collapsed="1"/>
  </cols>
  <sheetData>
    <row r="2" spans="2:113">
      <c r="CH2" t="s">
        <v>1410</v>
      </c>
    </row>
    <row r="3" spans="2:113" ht="15">
      <c r="B3" t="str">
        <f>_xlfn.TEXTJOIN(" - ",TRUE,C3:F3)</f>
        <v>Port - Item - Region - Unit</v>
      </c>
      <c r="C3" s="485" t="s">
        <v>1411</v>
      </c>
      <c r="D3" s="485" t="s">
        <v>877</v>
      </c>
      <c r="E3" s="485" t="s">
        <v>171</v>
      </c>
      <c r="F3" s="485" t="s">
        <v>111</v>
      </c>
      <c r="G3" s="486">
        <f>2023</f>
        <v>2023</v>
      </c>
      <c r="H3" s="486">
        <f>G3+1</f>
        <v>2024</v>
      </c>
      <c r="I3" s="486">
        <f t="shared" ref="I3:AH3" si="0">H3+1</f>
        <v>2025</v>
      </c>
      <c r="J3" s="486">
        <f t="shared" si="0"/>
        <v>2026</v>
      </c>
      <c r="K3" s="486">
        <f t="shared" si="0"/>
        <v>2027</v>
      </c>
      <c r="L3" s="486">
        <f t="shared" si="0"/>
        <v>2028</v>
      </c>
      <c r="M3" s="486">
        <f t="shared" si="0"/>
        <v>2029</v>
      </c>
      <c r="N3" s="486">
        <f t="shared" si="0"/>
        <v>2030</v>
      </c>
      <c r="O3" s="486">
        <f t="shared" si="0"/>
        <v>2031</v>
      </c>
      <c r="P3" s="486">
        <f t="shared" si="0"/>
        <v>2032</v>
      </c>
      <c r="Q3" s="486">
        <f t="shared" si="0"/>
        <v>2033</v>
      </c>
      <c r="R3" s="486">
        <f t="shared" si="0"/>
        <v>2034</v>
      </c>
      <c r="S3" s="486">
        <f t="shared" si="0"/>
        <v>2035</v>
      </c>
      <c r="T3" s="486">
        <f t="shared" si="0"/>
        <v>2036</v>
      </c>
      <c r="U3" s="486">
        <f t="shared" si="0"/>
        <v>2037</v>
      </c>
      <c r="V3" s="486">
        <f t="shared" si="0"/>
        <v>2038</v>
      </c>
      <c r="W3" s="486">
        <f t="shared" si="0"/>
        <v>2039</v>
      </c>
      <c r="X3" s="486">
        <f t="shared" si="0"/>
        <v>2040</v>
      </c>
      <c r="Y3" s="486">
        <f t="shared" si="0"/>
        <v>2041</v>
      </c>
      <c r="Z3" s="486">
        <f t="shared" si="0"/>
        <v>2042</v>
      </c>
      <c r="AA3" s="486">
        <f t="shared" si="0"/>
        <v>2043</v>
      </c>
      <c r="AB3" s="486">
        <f t="shared" si="0"/>
        <v>2044</v>
      </c>
      <c r="AC3" s="486">
        <f t="shared" si="0"/>
        <v>2045</v>
      </c>
      <c r="AD3" s="486">
        <f t="shared" si="0"/>
        <v>2046</v>
      </c>
      <c r="AE3" s="486">
        <f t="shared" si="0"/>
        <v>2047</v>
      </c>
      <c r="AF3" s="486">
        <f t="shared" si="0"/>
        <v>2048</v>
      </c>
      <c r="AG3" s="486">
        <f t="shared" si="0"/>
        <v>2049</v>
      </c>
      <c r="AH3" s="486">
        <f t="shared" si="0"/>
        <v>2050</v>
      </c>
      <c r="AI3" s="524">
        <f>AH3+1</f>
        <v>2051</v>
      </c>
      <c r="AJ3" s="524">
        <f t="shared" ref="AJ3:CF3" si="1">AI3+1</f>
        <v>2052</v>
      </c>
      <c r="AK3" s="524">
        <f t="shared" si="1"/>
        <v>2053</v>
      </c>
      <c r="AL3" s="524">
        <f t="shared" si="1"/>
        <v>2054</v>
      </c>
      <c r="AM3" s="524">
        <f t="shared" si="1"/>
        <v>2055</v>
      </c>
      <c r="AN3" s="524">
        <f t="shared" si="1"/>
        <v>2056</v>
      </c>
      <c r="AO3" s="524">
        <f t="shared" si="1"/>
        <v>2057</v>
      </c>
      <c r="AP3" s="524">
        <f t="shared" si="1"/>
        <v>2058</v>
      </c>
      <c r="AQ3" s="524">
        <f t="shared" si="1"/>
        <v>2059</v>
      </c>
      <c r="AR3" s="524">
        <f t="shared" si="1"/>
        <v>2060</v>
      </c>
      <c r="AS3" s="524">
        <f t="shared" si="1"/>
        <v>2061</v>
      </c>
      <c r="AT3" s="524">
        <f t="shared" si="1"/>
        <v>2062</v>
      </c>
      <c r="AU3" s="524">
        <f t="shared" si="1"/>
        <v>2063</v>
      </c>
      <c r="AV3" s="524">
        <f t="shared" si="1"/>
        <v>2064</v>
      </c>
      <c r="AW3" s="524">
        <f t="shared" si="1"/>
        <v>2065</v>
      </c>
      <c r="AX3" s="524">
        <f t="shared" si="1"/>
        <v>2066</v>
      </c>
      <c r="AY3" s="524">
        <f t="shared" si="1"/>
        <v>2067</v>
      </c>
      <c r="AZ3" s="524">
        <f t="shared" si="1"/>
        <v>2068</v>
      </c>
      <c r="BA3" s="524">
        <f t="shared" si="1"/>
        <v>2069</v>
      </c>
      <c r="BB3" s="524">
        <f t="shared" si="1"/>
        <v>2070</v>
      </c>
      <c r="BC3" s="524">
        <f t="shared" si="1"/>
        <v>2071</v>
      </c>
      <c r="BD3" s="524">
        <f t="shared" si="1"/>
        <v>2072</v>
      </c>
      <c r="BE3" s="524">
        <f t="shared" si="1"/>
        <v>2073</v>
      </c>
      <c r="BF3" s="524">
        <f t="shared" si="1"/>
        <v>2074</v>
      </c>
      <c r="BG3" s="524">
        <f t="shared" si="1"/>
        <v>2075</v>
      </c>
      <c r="BH3" s="524">
        <f t="shared" si="1"/>
        <v>2076</v>
      </c>
      <c r="BI3" s="524">
        <f t="shared" si="1"/>
        <v>2077</v>
      </c>
      <c r="BJ3" s="524">
        <f t="shared" si="1"/>
        <v>2078</v>
      </c>
      <c r="BK3" s="524">
        <f t="shared" si="1"/>
        <v>2079</v>
      </c>
      <c r="BL3" s="524">
        <f t="shared" si="1"/>
        <v>2080</v>
      </c>
      <c r="BM3" s="524">
        <f t="shared" si="1"/>
        <v>2081</v>
      </c>
      <c r="BN3" s="524">
        <f t="shared" si="1"/>
        <v>2082</v>
      </c>
      <c r="BO3" s="524">
        <f t="shared" si="1"/>
        <v>2083</v>
      </c>
      <c r="BP3" s="524">
        <f t="shared" si="1"/>
        <v>2084</v>
      </c>
      <c r="BQ3" s="524">
        <f t="shared" si="1"/>
        <v>2085</v>
      </c>
      <c r="BR3" s="524">
        <f t="shared" si="1"/>
        <v>2086</v>
      </c>
      <c r="BS3" s="524">
        <f t="shared" si="1"/>
        <v>2087</v>
      </c>
      <c r="BT3" s="524">
        <f t="shared" si="1"/>
        <v>2088</v>
      </c>
      <c r="BU3" s="524">
        <f t="shared" si="1"/>
        <v>2089</v>
      </c>
      <c r="BV3" s="524">
        <f t="shared" si="1"/>
        <v>2090</v>
      </c>
      <c r="BW3" s="524">
        <f t="shared" si="1"/>
        <v>2091</v>
      </c>
      <c r="BX3" s="524">
        <f t="shared" si="1"/>
        <v>2092</v>
      </c>
      <c r="BY3" s="524">
        <f t="shared" si="1"/>
        <v>2093</v>
      </c>
      <c r="BZ3" s="524">
        <f t="shared" si="1"/>
        <v>2094</v>
      </c>
      <c r="CA3" s="524">
        <f t="shared" si="1"/>
        <v>2095</v>
      </c>
      <c r="CB3" s="524">
        <f t="shared" si="1"/>
        <v>2096</v>
      </c>
      <c r="CC3" s="524">
        <f t="shared" si="1"/>
        <v>2097</v>
      </c>
      <c r="CD3" s="524">
        <f t="shared" si="1"/>
        <v>2098</v>
      </c>
      <c r="CE3" s="524">
        <f t="shared" si="1"/>
        <v>2099</v>
      </c>
      <c r="CF3" s="524">
        <f t="shared" si="1"/>
        <v>2100</v>
      </c>
      <c r="CG3" s="531"/>
      <c r="CH3" s="486">
        <v>2023</v>
      </c>
      <c r="CI3" s="486">
        <v>2024</v>
      </c>
      <c r="CJ3" s="486">
        <v>2025</v>
      </c>
      <c r="CK3" s="486">
        <v>2026</v>
      </c>
      <c r="CL3" s="486">
        <v>2027</v>
      </c>
      <c r="CM3" s="486">
        <v>2028</v>
      </c>
      <c r="CN3" s="486">
        <v>2029</v>
      </c>
      <c r="CO3" s="486">
        <v>2030</v>
      </c>
      <c r="CP3" s="486">
        <v>2031</v>
      </c>
      <c r="CQ3" s="486">
        <v>2032</v>
      </c>
      <c r="CR3" s="486">
        <v>2033</v>
      </c>
      <c r="CS3" s="486">
        <v>2034</v>
      </c>
      <c r="CT3" s="486">
        <v>2035</v>
      </c>
      <c r="CU3" s="486">
        <v>2036</v>
      </c>
      <c r="CV3" s="486">
        <v>2037</v>
      </c>
      <c r="CW3" s="486">
        <v>2038</v>
      </c>
      <c r="CX3" s="486">
        <v>2039</v>
      </c>
      <c r="CY3" s="486">
        <v>2040</v>
      </c>
      <c r="CZ3" s="486">
        <v>2041</v>
      </c>
      <c r="DA3" s="486">
        <v>2042</v>
      </c>
      <c r="DB3" s="486">
        <v>2043</v>
      </c>
      <c r="DC3" s="486">
        <v>2044</v>
      </c>
      <c r="DD3" s="486">
        <v>2045</v>
      </c>
      <c r="DE3" s="486">
        <v>2046</v>
      </c>
      <c r="DF3" s="486">
        <v>2047</v>
      </c>
      <c r="DG3" s="486">
        <v>2048</v>
      </c>
      <c r="DH3" s="486">
        <v>2049</v>
      </c>
      <c r="DI3" s="486">
        <v>2050</v>
      </c>
    </row>
    <row r="4" spans="2:113">
      <c r="B4" t="str">
        <f>_xlfn.TEXTJOIN(" - ",TRUE,C4:F4)</f>
        <v>Port - CapEx - Global - USDm</v>
      </c>
      <c r="C4" t="str">
        <f>C3</f>
        <v>Port</v>
      </c>
      <c r="D4" t="s">
        <v>1352</v>
      </c>
      <c r="E4" t="s">
        <v>708</v>
      </c>
      <c r="F4" t="s">
        <v>908</v>
      </c>
      <c r="G4" s="525">
        <v>100</v>
      </c>
      <c r="H4" s="525">
        <f>G4</f>
        <v>100</v>
      </c>
      <c r="I4" s="525">
        <f t="shared" ref="I4:AH5" si="2">H4</f>
        <v>100</v>
      </c>
      <c r="J4" s="525">
        <f t="shared" si="2"/>
        <v>100</v>
      </c>
      <c r="K4" s="525">
        <f t="shared" si="2"/>
        <v>100</v>
      </c>
      <c r="L4" s="525">
        <f t="shared" si="2"/>
        <v>100</v>
      </c>
      <c r="M4" s="525">
        <f t="shared" si="2"/>
        <v>100</v>
      </c>
      <c r="N4" s="525">
        <f t="shared" si="2"/>
        <v>100</v>
      </c>
      <c r="O4" s="525">
        <f t="shared" si="2"/>
        <v>100</v>
      </c>
      <c r="P4" s="525">
        <f t="shared" si="2"/>
        <v>100</v>
      </c>
      <c r="Q4" s="525">
        <f t="shared" si="2"/>
        <v>100</v>
      </c>
      <c r="R4" s="525">
        <f t="shared" si="2"/>
        <v>100</v>
      </c>
      <c r="S4" s="525">
        <f t="shared" si="2"/>
        <v>100</v>
      </c>
      <c r="T4" s="525">
        <f t="shared" si="2"/>
        <v>100</v>
      </c>
      <c r="U4" s="525">
        <f t="shared" si="2"/>
        <v>100</v>
      </c>
      <c r="V4" s="525">
        <f t="shared" si="2"/>
        <v>100</v>
      </c>
      <c r="W4" s="525">
        <f t="shared" si="2"/>
        <v>100</v>
      </c>
      <c r="X4" s="525">
        <f t="shared" si="2"/>
        <v>100</v>
      </c>
      <c r="Y4" s="525">
        <f t="shared" si="2"/>
        <v>100</v>
      </c>
      <c r="Z4" s="525">
        <f t="shared" si="2"/>
        <v>100</v>
      </c>
      <c r="AA4" s="525">
        <f t="shared" si="2"/>
        <v>100</v>
      </c>
      <c r="AB4" s="525">
        <f t="shared" si="2"/>
        <v>100</v>
      </c>
      <c r="AC4" s="525">
        <f t="shared" si="2"/>
        <v>100</v>
      </c>
      <c r="AD4" s="525">
        <f t="shared" si="2"/>
        <v>100</v>
      </c>
      <c r="AE4" s="525">
        <f t="shared" si="2"/>
        <v>100</v>
      </c>
      <c r="AF4" s="525">
        <f t="shared" si="2"/>
        <v>100</v>
      </c>
      <c r="AG4" s="525">
        <f t="shared" si="2"/>
        <v>100</v>
      </c>
      <c r="AH4" s="525">
        <f t="shared" si="2"/>
        <v>100</v>
      </c>
      <c r="AI4" s="526">
        <f>AH4</f>
        <v>100</v>
      </c>
      <c r="AJ4" s="526">
        <f t="shared" ref="AJ4:CF5" si="3">AI4</f>
        <v>100</v>
      </c>
      <c r="AK4" s="526">
        <f t="shared" si="3"/>
        <v>100</v>
      </c>
      <c r="AL4" s="526">
        <f t="shared" si="3"/>
        <v>100</v>
      </c>
      <c r="AM4" s="526">
        <f t="shared" si="3"/>
        <v>100</v>
      </c>
      <c r="AN4" s="526">
        <f t="shared" si="3"/>
        <v>100</v>
      </c>
      <c r="AO4" s="526">
        <f t="shared" si="3"/>
        <v>100</v>
      </c>
      <c r="AP4" s="526">
        <f t="shared" si="3"/>
        <v>100</v>
      </c>
      <c r="AQ4" s="526">
        <f t="shared" si="3"/>
        <v>100</v>
      </c>
      <c r="AR4" s="526">
        <f t="shared" si="3"/>
        <v>100</v>
      </c>
      <c r="AS4" s="526">
        <f t="shared" si="3"/>
        <v>100</v>
      </c>
      <c r="AT4" s="526">
        <f t="shared" si="3"/>
        <v>100</v>
      </c>
      <c r="AU4" s="526">
        <f t="shared" si="3"/>
        <v>100</v>
      </c>
      <c r="AV4" s="526">
        <f t="shared" si="3"/>
        <v>100</v>
      </c>
      <c r="AW4" s="526">
        <f t="shared" si="3"/>
        <v>100</v>
      </c>
      <c r="AX4" s="526">
        <f t="shared" si="3"/>
        <v>100</v>
      </c>
      <c r="AY4" s="526">
        <f t="shared" si="3"/>
        <v>100</v>
      </c>
      <c r="AZ4" s="526">
        <f t="shared" si="3"/>
        <v>100</v>
      </c>
      <c r="BA4" s="526">
        <f t="shared" si="3"/>
        <v>100</v>
      </c>
      <c r="BB4" s="526">
        <f t="shared" si="3"/>
        <v>100</v>
      </c>
      <c r="BC4" s="526">
        <f t="shared" si="3"/>
        <v>100</v>
      </c>
      <c r="BD4" s="526">
        <f t="shared" si="3"/>
        <v>100</v>
      </c>
      <c r="BE4" s="526">
        <f t="shared" si="3"/>
        <v>100</v>
      </c>
      <c r="BF4" s="526">
        <f t="shared" si="3"/>
        <v>100</v>
      </c>
      <c r="BG4" s="526">
        <f t="shared" si="3"/>
        <v>100</v>
      </c>
      <c r="BH4" s="526">
        <f t="shared" si="3"/>
        <v>100</v>
      </c>
      <c r="BI4" s="526">
        <f t="shared" si="3"/>
        <v>100</v>
      </c>
      <c r="BJ4" s="526">
        <f t="shared" si="3"/>
        <v>100</v>
      </c>
      <c r="BK4" s="526">
        <f t="shared" si="3"/>
        <v>100</v>
      </c>
      <c r="BL4" s="526">
        <f t="shared" si="3"/>
        <v>100</v>
      </c>
      <c r="BM4" s="526">
        <f t="shared" si="3"/>
        <v>100</v>
      </c>
      <c r="BN4" s="526">
        <f t="shared" si="3"/>
        <v>100</v>
      </c>
      <c r="BO4" s="526">
        <f t="shared" si="3"/>
        <v>100</v>
      </c>
      <c r="BP4" s="526">
        <f t="shared" si="3"/>
        <v>100</v>
      </c>
      <c r="BQ4" s="526">
        <f t="shared" si="3"/>
        <v>100</v>
      </c>
      <c r="BR4" s="526">
        <f t="shared" si="3"/>
        <v>100</v>
      </c>
      <c r="BS4" s="526">
        <f t="shared" si="3"/>
        <v>100</v>
      </c>
      <c r="BT4" s="526">
        <f t="shared" si="3"/>
        <v>100</v>
      </c>
      <c r="BU4" s="526">
        <f t="shared" si="3"/>
        <v>100</v>
      </c>
      <c r="BV4" s="526">
        <f t="shared" si="3"/>
        <v>100</v>
      </c>
      <c r="BW4" s="526">
        <f t="shared" si="3"/>
        <v>100</v>
      </c>
      <c r="BX4" s="526">
        <f t="shared" si="3"/>
        <v>100</v>
      </c>
      <c r="BY4" s="526">
        <f t="shared" si="3"/>
        <v>100</v>
      </c>
      <c r="BZ4" s="526">
        <f t="shared" si="3"/>
        <v>100</v>
      </c>
      <c r="CA4" s="526">
        <f t="shared" si="3"/>
        <v>100</v>
      </c>
      <c r="CB4" s="526">
        <f t="shared" si="3"/>
        <v>100</v>
      </c>
      <c r="CC4" s="526">
        <f t="shared" si="3"/>
        <v>100</v>
      </c>
      <c r="CD4" s="526">
        <f t="shared" si="3"/>
        <v>100</v>
      </c>
      <c r="CE4" s="526">
        <f t="shared" si="3"/>
        <v>100</v>
      </c>
      <c r="CF4" s="526">
        <f t="shared" si="3"/>
        <v>100</v>
      </c>
      <c r="CG4" s="532"/>
      <c r="CH4" s="525">
        <v>100</v>
      </c>
      <c r="CI4" s="525">
        <v>100</v>
      </c>
      <c r="CJ4" s="525">
        <v>100</v>
      </c>
      <c r="CK4" s="525">
        <v>100</v>
      </c>
      <c r="CL4" s="525">
        <v>100</v>
      </c>
      <c r="CM4" s="525">
        <v>100</v>
      </c>
      <c r="CN4" s="525">
        <v>100</v>
      </c>
      <c r="CO4" s="525">
        <v>100</v>
      </c>
      <c r="CP4" s="525">
        <v>100</v>
      </c>
      <c r="CQ4" s="525">
        <v>100</v>
      </c>
      <c r="CR4" s="525">
        <v>100</v>
      </c>
      <c r="CS4" s="525">
        <v>100</v>
      </c>
      <c r="CT4" s="525">
        <v>100</v>
      </c>
      <c r="CU4" s="525">
        <v>100</v>
      </c>
      <c r="CV4" s="525">
        <v>100</v>
      </c>
      <c r="CW4" s="525">
        <v>100</v>
      </c>
      <c r="CX4" s="525">
        <v>100</v>
      </c>
      <c r="CY4" s="525">
        <v>100</v>
      </c>
      <c r="CZ4" s="525">
        <v>100</v>
      </c>
      <c r="DA4" s="525">
        <v>100</v>
      </c>
      <c r="DB4" s="525">
        <v>100</v>
      </c>
      <c r="DC4" s="525">
        <v>100</v>
      </c>
      <c r="DD4" s="525">
        <v>100</v>
      </c>
      <c r="DE4" s="525">
        <v>100</v>
      </c>
      <c r="DF4" s="525">
        <v>100</v>
      </c>
      <c r="DG4" s="525">
        <v>100</v>
      </c>
      <c r="DH4" s="525">
        <v>100</v>
      </c>
      <c r="DI4" s="525">
        <v>100</v>
      </c>
    </row>
    <row r="5" spans="2:113">
      <c r="B5" t="str">
        <f t="shared" ref="B5" si="4">_xlfn.TEXTJOIN(" - ",TRUE,C5:F5)</f>
        <v>Port - OpEx - Global - USDm/year</v>
      </c>
      <c r="C5" t="str">
        <f>C4</f>
        <v>Port</v>
      </c>
      <c r="D5" t="s">
        <v>1354</v>
      </c>
      <c r="E5" t="s">
        <v>708</v>
      </c>
      <c r="F5" t="s">
        <v>911</v>
      </c>
      <c r="G5" s="525">
        <v>5</v>
      </c>
      <c r="H5" s="525">
        <f>G5</f>
        <v>5</v>
      </c>
      <c r="I5" s="525">
        <f t="shared" si="2"/>
        <v>5</v>
      </c>
      <c r="J5" s="525">
        <f t="shared" si="2"/>
        <v>5</v>
      </c>
      <c r="K5" s="525">
        <f t="shared" si="2"/>
        <v>5</v>
      </c>
      <c r="L5" s="525">
        <f t="shared" si="2"/>
        <v>5</v>
      </c>
      <c r="M5" s="525">
        <f t="shared" si="2"/>
        <v>5</v>
      </c>
      <c r="N5" s="525">
        <f t="shared" si="2"/>
        <v>5</v>
      </c>
      <c r="O5" s="525">
        <f t="shared" si="2"/>
        <v>5</v>
      </c>
      <c r="P5" s="525">
        <f t="shared" si="2"/>
        <v>5</v>
      </c>
      <c r="Q5" s="525">
        <f t="shared" si="2"/>
        <v>5</v>
      </c>
      <c r="R5" s="525">
        <f t="shared" si="2"/>
        <v>5</v>
      </c>
      <c r="S5" s="525">
        <f t="shared" si="2"/>
        <v>5</v>
      </c>
      <c r="T5" s="525">
        <f t="shared" si="2"/>
        <v>5</v>
      </c>
      <c r="U5" s="525">
        <f t="shared" si="2"/>
        <v>5</v>
      </c>
      <c r="V5" s="525">
        <f t="shared" si="2"/>
        <v>5</v>
      </c>
      <c r="W5" s="525">
        <f t="shared" si="2"/>
        <v>5</v>
      </c>
      <c r="X5" s="525">
        <f t="shared" si="2"/>
        <v>5</v>
      </c>
      <c r="Y5" s="525">
        <f t="shared" si="2"/>
        <v>5</v>
      </c>
      <c r="Z5" s="525">
        <f t="shared" si="2"/>
        <v>5</v>
      </c>
      <c r="AA5" s="525">
        <f t="shared" si="2"/>
        <v>5</v>
      </c>
      <c r="AB5" s="525">
        <f t="shared" si="2"/>
        <v>5</v>
      </c>
      <c r="AC5" s="525">
        <f t="shared" si="2"/>
        <v>5</v>
      </c>
      <c r="AD5" s="525">
        <f t="shared" si="2"/>
        <v>5</v>
      </c>
      <c r="AE5" s="525">
        <f t="shared" si="2"/>
        <v>5</v>
      </c>
      <c r="AF5" s="525">
        <f t="shared" si="2"/>
        <v>5</v>
      </c>
      <c r="AG5" s="525">
        <f t="shared" si="2"/>
        <v>5</v>
      </c>
      <c r="AH5" s="525">
        <f t="shared" si="2"/>
        <v>5</v>
      </c>
      <c r="AI5" s="526">
        <f>AH5</f>
        <v>5</v>
      </c>
      <c r="AJ5" s="526">
        <f t="shared" si="3"/>
        <v>5</v>
      </c>
      <c r="AK5" s="526">
        <f t="shared" si="3"/>
        <v>5</v>
      </c>
      <c r="AL5" s="526">
        <f t="shared" si="3"/>
        <v>5</v>
      </c>
      <c r="AM5" s="526">
        <f t="shared" si="3"/>
        <v>5</v>
      </c>
      <c r="AN5" s="526">
        <f t="shared" si="3"/>
        <v>5</v>
      </c>
      <c r="AO5" s="526">
        <f t="shared" si="3"/>
        <v>5</v>
      </c>
      <c r="AP5" s="526">
        <f t="shared" si="3"/>
        <v>5</v>
      </c>
      <c r="AQ5" s="526">
        <f t="shared" si="3"/>
        <v>5</v>
      </c>
      <c r="AR5" s="526">
        <f t="shared" si="3"/>
        <v>5</v>
      </c>
      <c r="AS5" s="526">
        <f t="shared" si="3"/>
        <v>5</v>
      </c>
      <c r="AT5" s="526">
        <f t="shared" si="3"/>
        <v>5</v>
      </c>
      <c r="AU5" s="526">
        <f t="shared" si="3"/>
        <v>5</v>
      </c>
      <c r="AV5" s="526">
        <f t="shared" si="3"/>
        <v>5</v>
      </c>
      <c r="AW5" s="526">
        <f t="shared" si="3"/>
        <v>5</v>
      </c>
      <c r="AX5" s="526">
        <f t="shared" si="3"/>
        <v>5</v>
      </c>
      <c r="AY5" s="526">
        <f t="shared" si="3"/>
        <v>5</v>
      </c>
      <c r="AZ5" s="526">
        <f t="shared" si="3"/>
        <v>5</v>
      </c>
      <c r="BA5" s="526">
        <f t="shared" si="3"/>
        <v>5</v>
      </c>
      <c r="BB5" s="526">
        <f t="shared" si="3"/>
        <v>5</v>
      </c>
      <c r="BC5" s="526">
        <f t="shared" si="3"/>
        <v>5</v>
      </c>
      <c r="BD5" s="526">
        <f t="shared" si="3"/>
        <v>5</v>
      </c>
      <c r="BE5" s="526">
        <f t="shared" si="3"/>
        <v>5</v>
      </c>
      <c r="BF5" s="526">
        <f t="shared" si="3"/>
        <v>5</v>
      </c>
      <c r="BG5" s="526">
        <f t="shared" si="3"/>
        <v>5</v>
      </c>
      <c r="BH5" s="526">
        <f t="shared" si="3"/>
        <v>5</v>
      </c>
      <c r="BI5" s="526">
        <f t="shared" si="3"/>
        <v>5</v>
      </c>
      <c r="BJ5" s="526">
        <f t="shared" si="3"/>
        <v>5</v>
      </c>
      <c r="BK5" s="526">
        <f t="shared" si="3"/>
        <v>5</v>
      </c>
      <c r="BL5" s="526">
        <f t="shared" si="3"/>
        <v>5</v>
      </c>
      <c r="BM5" s="526">
        <f t="shared" si="3"/>
        <v>5</v>
      </c>
      <c r="BN5" s="526">
        <f t="shared" si="3"/>
        <v>5</v>
      </c>
      <c r="BO5" s="526">
        <f t="shared" si="3"/>
        <v>5</v>
      </c>
      <c r="BP5" s="526">
        <f t="shared" si="3"/>
        <v>5</v>
      </c>
      <c r="BQ5" s="526">
        <f t="shared" si="3"/>
        <v>5</v>
      </c>
      <c r="BR5" s="526">
        <f t="shared" si="3"/>
        <v>5</v>
      </c>
      <c r="BS5" s="526">
        <f t="shared" si="3"/>
        <v>5</v>
      </c>
      <c r="BT5" s="526">
        <f t="shared" si="3"/>
        <v>5</v>
      </c>
      <c r="BU5" s="526">
        <f t="shared" si="3"/>
        <v>5</v>
      </c>
      <c r="BV5" s="526">
        <f t="shared" si="3"/>
        <v>5</v>
      </c>
      <c r="BW5" s="526">
        <f t="shared" si="3"/>
        <v>5</v>
      </c>
      <c r="BX5" s="526">
        <f t="shared" si="3"/>
        <v>5</v>
      </c>
      <c r="BY5" s="526">
        <f t="shared" si="3"/>
        <v>5</v>
      </c>
      <c r="BZ5" s="526">
        <f t="shared" si="3"/>
        <v>5</v>
      </c>
      <c r="CA5" s="526">
        <f t="shared" si="3"/>
        <v>5</v>
      </c>
      <c r="CB5" s="526">
        <f t="shared" si="3"/>
        <v>5</v>
      </c>
      <c r="CC5" s="526">
        <f t="shared" si="3"/>
        <v>5</v>
      </c>
      <c r="CD5" s="526">
        <f t="shared" si="3"/>
        <v>5</v>
      </c>
      <c r="CE5" s="526">
        <f t="shared" si="3"/>
        <v>5</v>
      </c>
      <c r="CF5" s="526">
        <f t="shared" si="3"/>
        <v>5</v>
      </c>
      <c r="CG5" s="532"/>
      <c r="CH5" s="525">
        <v>5</v>
      </c>
      <c r="CI5" s="525">
        <v>5</v>
      </c>
      <c r="CJ5" s="525">
        <v>5</v>
      </c>
      <c r="CK5" s="525">
        <v>5</v>
      </c>
      <c r="CL5" s="525">
        <v>5</v>
      </c>
      <c r="CM5" s="525">
        <v>5</v>
      </c>
      <c r="CN5" s="525">
        <v>5</v>
      </c>
      <c r="CO5" s="525">
        <v>5</v>
      </c>
      <c r="CP5" s="525">
        <v>5</v>
      </c>
      <c r="CQ5" s="525">
        <v>5</v>
      </c>
      <c r="CR5" s="525">
        <v>5</v>
      </c>
      <c r="CS5" s="525">
        <v>5</v>
      </c>
      <c r="CT5" s="525">
        <v>5</v>
      </c>
      <c r="CU5" s="525">
        <v>5</v>
      </c>
      <c r="CV5" s="525">
        <v>5</v>
      </c>
      <c r="CW5" s="525">
        <v>5</v>
      </c>
      <c r="CX5" s="525">
        <v>5</v>
      </c>
      <c r="CY5" s="525">
        <v>5</v>
      </c>
      <c r="CZ5" s="525">
        <v>5</v>
      </c>
      <c r="DA5" s="525">
        <v>5</v>
      </c>
      <c r="DB5" s="525">
        <v>5</v>
      </c>
      <c r="DC5" s="525">
        <v>5</v>
      </c>
      <c r="DD5" s="525">
        <v>5</v>
      </c>
      <c r="DE5" s="525">
        <v>5</v>
      </c>
      <c r="DF5" s="525">
        <v>5</v>
      </c>
      <c r="DG5" s="525">
        <v>5</v>
      </c>
      <c r="DH5" s="525">
        <v>5</v>
      </c>
      <c r="DI5" s="525">
        <v>5</v>
      </c>
    </row>
  </sheetData>
  <conditionalFormatting sqref="G4:CF5">
    <cfRule type="expression" dxfId="7" priority="1">
      <formula>G4&lt;&gt;CH4</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4576E-7B61-45B7-9810-516B8411FE0E}">
  <sheetPr codeName="Sheet13">
    <tabColor theme="0" tint="-0.249977111117893"/>
  </sheetPr>
  <dimension ref="A1"/>
  <sheetViews>
    <sheetView workbookViewId="0"/>
  </sheetViews>
  <sheetFormatPr defaultRowHeight="14.25"/>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B2A3E-D19F-4052-B15B-070365E32618}">
  <sheetPr codeName="Sheet14">
    <tabColor theme="0" tint="-0.249977111117893"/>
  </sheetPr>
  <dimension ref="B2:AC126"/>
  <sheetViews>
    <sheetView zoomScale="62" zoomScaleNormal="59" workbookViewId="0"/>
  </sheetViews>
  <sheetFormatPr defaultRowHeight="14.25"/>
  <cols>
    <col min="2" max="11" width="21.75" customWidth="1"/>
    <col min="12" max="13" width="14.375" customWidth="1"/>
    <col min="14" max="14" width="22.5" bestFit="1" customWidth="1"/>
    <col min="15" max="18" width="17.625" customWidth="1"/>
    <col min="19" max="19" width="21.875" bestFit="1" customWidth="1"/>
    <col min="20" max="20" width="15.875" bestFit="1" customWidth="1"/>
    <col min="21" max="21" width="13.5" bestFit="1" customWidth="1"/>
    <col min="22" max="22" width="14.125" bestFit="1" customWidth="1"/>
    <col min="23" max="23" width="15.375" bestFit="1" customWidth="1"/>
  </cols>
  <sheetData>
    <row r="2" spans="2:15" ht="20.25">
      <c r="B2" s="202" t="s">
        <v>1412</v>
      </c>
      <c r="C2" s="202"/>
      <c r="D2" s="202"/>
      <c r="E2" s="202"/>
      <c r="F2" s="202"/>
      <c r="G2" s="202"/>
      <c r="H2" s="202"/>
      <c r="I2" s="202"/>
      <c r="J2" s="202"/>
      <c r="K2" s="202"/>
      <c r="L2" s="147"/>
      <c r="M2" s="143" t="s">
        <v>1413</v>
      </c>
      <c r="N2" s="143"/>
      <c r="O2" s="143"/>
    </row>
    <row r="3" spans="2:15">
      <c r="F3" s="201"/>
      <c r="G3" s="188"/>
      <c r="H3" s="188"/>
      <c r="I3" s="188"/>
      <c r="J3" s="147"/>
      <c r="K3" s="147"/>
      <c r="L3" s="147"/>
      <c r="M3" s="147" t="s">
        <v>1414</v>
      </c>
      <c r="N3" s="147"/>
      <c r="O3" s="147"/>
    </row>
    <row r="4" spans="2:15" ht="15">
      <c r="B4" s="22" t="s">
        <v>1415</v>
      </c>
      <c r="E4" s="200"/>
      <c r="K4" s="188"/>
      <c r="L4" s="147"/>
      <c r="M4" s="147"/>
      <c r="N4" s="147"/>
      <c r="O4" s="147"/>
    </row>
    <row r="5" spans="2:15" ht="30" customHeight="1">
      <c r="B5" s="168" t="s">
        <v>1416</v>
      </c>
      <c r="C5" s="168" t="s">
        <v>1417</v>
      </c>
      <c r="D5" s="168" t="s">
        <v>1418</v>
      </c>
      <c r="E5" s="168" t="s">
        <v>1419</v>
      </c>
      <c r="G5" s="195" t="s">
        <v>1420</v>
      </c>
      <c r="H5" s="194"/>
      <c r="K5" s="196"/>
      <c r="L5" s="147"/>
      <c r="M5" s="169" t="s">
        <v>1421</v>
      </c>
      <c r="N5" s="168" t="s">
        <v>1416</v>
      </c>
      <c r="O5" s="168" t="s">
        <v>1422</v>
      </c>
    </row>
    <row r="6" spans="2:15" ht="15" customHeight="1">
      <c r="B6" s="68" t="s">
        <v>180</v>
      </c>
      <c r="C6" s="68" t="str">
        <f t="shared" ref="C6:C14" si="0">IFERROR(INDEX($D$45:$J$50,MATCH(C$5,$D$45:$D$50,0),MATCH($B6,$D$45:$J$45,0)),"NA")</f>
        <v>NA</v>
      </c>
      <c r="D6" s="191">
        <f t="shared" ref="D6:D14" si="1">IFERROR(INDEX($D$45:$K$50,MATCH($C6,$D$45:$D$50,0),MATCH($B6,$D$45:$K$45,0)),0)</f>
        <v>0</v>
      </c>
      <c r="E6" s="191">
        <f t="shared" ref="E6:E14" si="2">VLOOKUP($B6,$N$6:$O$14,2,FALSE)-$D6</f>
        <v>12.983606557377048</v>
      </c>
      <c r="G6" s="197" t="s">
        <v>1423</v>
      </c>
      <c r="H6" s="199" t="s">
        <v>731</v>
      </c>
      <c r="K6" s="188"/>
      <c r="L6" s="147"/>
      <c r="M6" s="165"/>
      <c r="N6" s="68" t="s">
        <v>180</v>
      </c>
      <c r="O6" s="190">
        <v>12.983606557377048</v>
      </c>
    </row>
    <row r="7" spans="2:15" ht="15" customHeight="1">
      <c r="B7" s="68" t="s">
        <v>805</v>
      </c>
      <c r="C7" s="68" t="str">
        <f t="shared" si="0"/>
        <v>NA</v>
      </c>
      <c r="D7" s="191">
        <f t="shared" si="1"/>
        <v>0</v>
      </c>
      <c r="E7" s="191">
        <f t="shared" si="2"/>
        <v>8.6274136382529463</v>
      </c>
      <c r="G7" t="s">
        <v>338</v>
      </c>
      <c r="H7" s="198">
        <v>2030</v>
      </c>
      <c r="M7" s="165"/>
      <c r="N7" s="68" t="s">
        <v>805</v>
      </c>
      <c r="O7" s="190">
        <v>8.6274136382529463</v>
      </c>
    </row>
    <row r="8" spans="2:15" ht="15" customHeight="1">
      <c r="B8" s="68" t="s">
        <v>121</v>
      </c>
      <c r="C8" s="68" t="str">
        <f t="shared" si="0"/>
        <v>45V</v>
      </c>
      <c r="D8" s="191">
        <f t="shared" si="1"/>
        <v>9.5744680851063819</v>
      </c>
      <c r="E8" s="191">
        <f t="shared" si="2"/>
        <v>21.731875764998676</v>
      </c>
      <c r="K8" s="147"/>
      <c r="M8" s="165"/>
      <c r="N8" s="68" t="s">
        <v>121</v>
      </c>
      <c r="O8" s="190">
        <v>31.306343850105058</v>
      </c>
    </row>
    <row r="9" spans="2:15" ht="15" customHeight="1">
      <c r="B9" s="192" t="s">
        <v>746</v>
      </c>
      <c r="C9" s="68" t="str">
        <f t="shared" si="0"/>
        <v>45Q</v>
      </c>
      <c r="D9" s="191">
        <f t="shared" si="1"/>
        <v>2.7127659574468073</v>
      </c>
      <c r="E9" s="191">
        <f t="shared" si="2"/>
        <v>20.060247818182084</v>
      </c>
      <c r="G9" s="195" t="s">
        <v>1420</v>
      </c>
      <c r="H9" s="194"/>
      <c r="I9" s="193" t="s">
        <v>1424</v>
      </c>
      <c r="J9" s="188"/>
      <c r="K9" s="188"/>
      <c r="M9" s="165"/>
      <c r="N9" s="68" t="s">
        <v>746</v>
      </c>
      <c r="O9" s="190">
        <v>22.773013775628893</v>
      </c>
    </row>
    <row r="10" spans="2:15" ht="24.75">
      <c r="B10" s="192" t="s">
        <v>742</v>
      </c>
      <c r="C10" s="68" t="str">
        <f t="shared" si="0"/>
        <v>45V</v>
      </c>
      <c r="D10" s="191">
        <f t="shared" si="1"/>
        <v>9.5477386934673341</v>
      </c>
      <c r="E10" s="191">
        <f t="shared" si="2"/>
        <v>39.238662392742853</v>
      </c>
      <c r="G10" s="197" t="s">
        <v>1425</v>
      </c>
      <c r="H10" s="189">
        <v>2030</v>
      </c>
      <c r="I10" s="188">
        <v>2030</v>
      </c>
      <c r="J10" s="196" t="s">
        <v>1426</v>
      </c>
      <c r="K10" s="188"/>
      <c r="M10" s="165"/>
      <c r="N10" s="68" t="s">
        <v>742</v>
      </c>
      <c r="O10" s="190">
        <v>48.786401086210191</v>
      </c>
    </row>
    <row r="11" spans="2:15" ht="15" customHeight="1">
      <c r="B11" s="192" t="s">
        <v>763</v>
      </c>
      <c r="C11" s="68" t="str">
        <f t="shared" si="0"/>
        <v>45V</v>
      </c>
      <c r="D11" s="191">
        <f t="shared" si="1"/>
        <v>10</v>
      </c>
      <c r="E11" s="191">
        <f t="shared" si="2"/>
        <v>31.335452159104932</v>
      </c>
      <c r="K11" s="147"/>
      <c r="M11" s="165"/>
      <c r="N11" s="68" t="s">
        <v>763</v>
      </c>
      <c r="O11" s="190">
        <v>41.335452159104932</v>
      </c>
    </row>
    <row r="12" spans="2:15" ht="15" customHeight="1">
      <c r="B12" s="192" t="s">
        <v>778</v>
      </c>
      <c r="C12" s="68" t="str">
        <f t="shared" si="0"/>
        <v>45V</v>
      </c>
      <c r="D12" s="191">
        <f t="shared" si="1"/>
        <v>10.194379391100703</v>
      </c>
      <c r="E12" s="191">
        <f t="shared" si="2"/>
        <v>45.645367705084247</v>
      </c>
      <c r="F12" s="147"/>
      <c r="G12" s="195" t="s">
        <v>17</v>
      </c>
      <c r="H12" s="194"/>
      <c r="I12" s="193" t="s">
        <v>690</v>
      </c>
      <c r="J12" s="147"/>
      <c r="K12" s="147"/>
      <c r="M12" s="165"/>
      <c r="N12" s="68" t="s">
        <v>778</v>
      </c>
      <c r="O12" s="190">
        <v>55.839747096184951</v>
      </c>
    </row>
    <row r="13" spans="2:15" ht="15" customHeight="1">
      <c r="B13" s="192" t="s">
        <v>752</v>
      </c>
      <c r="C13" s="68" t="str">
        <f t="shared" si="0"/>
        <v>45Q</v>
      </c>
      <c r="D13" s="191">
        <f t="shared" si="1"/>
        <v>0</v>
      </c>
      <c r="E13" s="191">
        <f t="shared" si="2"/>
        <v>29.266436977518083</v>
      </c>
      <c r="F13" s="147"/>
      <c r="G13" t="s">
        <v>1427</v>
      </c>
      <c r="H13" s="189">
        <v>30</v>
      </c>
      <c r="I13" s="188" t="s">
        <v>1428</v>
      </c>
      <c r="J13" s="188"/>
      <c r="K13" s="147"/>
      <c r="M13" s="165"/>
      <c r="N13" s="68" t="s">
        <v>752</v>
      </c>
      <c r="O13" s="190">
        <v>29.266436977518083</v>
      </c>
    </row>
    <row r="14" spans="2:15" ht="15" customHeight="1">
      <c r="B14" s="192" t="s">
        <v>784</v>
      </c>
      <c r="C14" s="68" t="str">
        <f t="shared" si="0"/>
        <v>NA</v>
      </c>
      <c r="D14" s="191">
        <f t="shared" si="1"/>
        <v>0</v>
      </c>
      <c r="E14" s="191">
        <f t="shared" si="2"/>
        <v>21.062421732446541</v>
      </c>
      <c r="F14" s="147"/>
      <c r="G14" t="s">
        <v>1429</v>
      </c>
      <c r="H14" s="203">
        <v>0</v>
      </c>
      <c r="I14" s="188" t="s">
        <v>1428</v>
      </c>
      <c r="J14" s="188"/>
      <c r="K14" s="147"/>
      <c r="M14" s="165"/>
      <c r="N14" s="68" t="s">
        <v>784</v>
      </c>
      <c r="O14" s="190">
        <v>21.062421732446541</v>
      </c>
    </row>
    <row r="15" spans="2:15" ht="15" customHeight="1">
      <c r="G15" t="s">
        <v>1430</v>
      </c>
      <c r="H15" s="189">
        <v>52.6</v>
      </c>
      <c r="I15" s="188" t="s">
        <v>1428</v>
      </c>
      <c r="J15" s="187"/>
      <c r="K15" s="187"/>
      <c r="N15" s="186"/>
      <c r="O15" s="186" t="s">
        <v>1431</v>
      </c>
    </row>
    <row r="19" spans="2:19" ht="45.75" customHeight="1" thickTop="1" thickBot="1">
      <c r="D19" s="146" t="s">
        <v>1432</v>
      </c>
      <c r="E19" s="185" t="s">
        <v>121</v>
      </c>
      <c r="F19" s="185" t="s">
        <v>742</v>
      </c>
      <c r="G19" s="185" t="s">
        <v>763</v>
      </c>
      <c r="H19" s="185" t="s">
        <v>778</v>
      </c>
      <c r="I19" s="185" t="s">
        <v>746</v>
      </c>
      <c r="J19" s="184" t="s">
        <v>752</v>
      </c>
      <c r="K19" s="184" t="s">
        <v>784</v>
      </c>
      <c r="M19" s="169" t="s">
        <v>1433</v>
      </c>
      <c r="N19" s="168" t="s">
        <v>1416</v>
      </c>
      <c r="O19" s="168" t="s">
        <v>1434</v>
      </c>
      <c r="P19" s="168" t="s">
        <v>1435</v>
      </c>
      <c r="Q19" s="168" t="s">
        <v>1436</v>
      </c>
      <c r="R19" s="168" t="s">
        <v>1437</v>
      </c>
      <c r="S19" s="168" t="s">
        <v>1438</v>
      </c>
    </row>
    <row r="20" spans="2:19" ht="35.25" customHeight="1">
      <c r="B20" s="781" t="s">
        <v>1439</v>
      </c>
      <c r="C20" s="183" t="s">
        <v>1435</v>
      </c>
      <c r="D20" s="153" t="s">
        <v>1440</v>
      </c>
      <c r="E20" s="155">
        <f t="shared" ref="E20:K21" si="3">INDEX($N$19:$R$27,MATCH(E$19,$N$19:$N$27,0),MATCH($C20,$N$19:$R$19,0))</f>
        <v>0.18</v>
      </c>
      <c r="F20" s="155">
        <f t="shared" si="3"/>
        <v>0.19</v>
      </c>
      <c r="G20" s="155">
        <f t="shared" si="3"/>
        <v>0.5</v>
      </c>
      <c r="H20" s="155">
        <f t="shared" si="3"/>
        <v>0.43530000000000002</v>
      </c>
      <c r="I20" s="155">
        <f t="shared" si="3"/>
        <v>0.18</v>
      </c>
      <c r="J20" s="155" t="str">
        <f t="shared" si="3"/>
        <v>NA</v>
      </c>
      <c r="K20" s="154" t="str">
        <f t="shared" si="3"/>
        <v>NA</v>
      </c>
      <c r="M20" s="165"/>
      <c r="N20" t="s">
        <v>121</v>
      </c>
      <c r="O20" s="176">
        <v>18.8</v>
      </c>
      <c r="P20" s="176">
        <v>0.18</v>
      </c>
      <c r="Q20" s="175" t="s">
        <v>1441</v>
      </c>
      <c r="R20" s="175" t="s">
        <v>1441</v>
      </c>
      <c r="S20" s="178">
        <f>1/2.58</f>
        <v>0.38759689922480617</v>
      </c>
    </row>
    <row r="21" spans="2:19" ht="35.25" customHeight="1">
      <c r="B21" s="782"/>
      <c r="C21" s="179" t="s">
        <v>1434</v>
      </c>
      <c r="D21" s="162" t="s">
        <v>1442</v>
      </c>
      <c r="E21" s="161">
        <f t="shared" si="3"/>
        <v>18.8</v>
      </c>
      <c r="F21" s="161">
        <f t="shared" si="3"/>
        <v>19.899999999999999</v>
      </c>
      <c r="G21" s="161">
        <f t="shared" si="3"/>
        <v>50</v>
      </c>
      <c r="H21" s="161">
        <f t="shared" si="3"/>
        <v>42.7</v>
      </c>
      <c r="I21" s="161">
        <f>INDEX($N$19:$R$27,MATCH(I$19,$N$19:$N$27,0),MATCH($C21,$N$19:$R$19,0))</f>
        <v>18.8</v>
      </c>
      <c r="J21" s="161">
        <f t="shared" si="3"/>
        <v>19.899999999999999</v>
      </c>
      <c r="K21" s="160">
        <f t="shared" si="3"/>
        <v>50</v>
      </c>
      <c r="M21" s="165"/>
      <c r="N21" s="68" t="s">
        <v>742</v>
      </c>
      <c r="O21" s="176">
        <v>19.899999999999999</v>
      </c>
      <c r="P21" s="175">
        <v>0.19</v>
      </c>
      <c r="Q21" s="176" t="s">
        <v>1441</v>
      </c>
      <c r="R21" s="175" t="s">
        <v>1441</v>
      </c>
      <c r="S21" s="138">
        <f>1/3</f>
        <v>0.33333333333333331</v>
      </c>
    </row>
    <row r="22" spans="2:19" ht="35.25" customHeight="1">
      <c r="B22" s="782"/>
      <c r="C22" s="179" t="s">
        <v>1443</v>
      </c>
      <c r="D22" s="162" t="s">
        <v>1444</v>
      </c>
      <c r="E22" s="181">
        <f t="shared" ref="E22:K22" si="4">IFERROR(((E20*1000)/E21),"NA")</f>
        <v>9.5744680851063819</v>
      </c>
      <c r="F22" s="181">
        <f t="shared" si="4"/>
        <v>9.5477386934673376</v>
      </c>
      <c r="G22" s="181">
        <f t="shared" si="4"/>
        <v>10</v>
      </c>
      <c r="H22" s="181">
        <f t="shared" si="4"/>
        <v>10.194379391100702</v>
      </c>
      <c r="I22" s="181">
        <f t="shared" si="4"/>
        <v>9.5744680851063819</v>
      </c>
      <c r="J22" s="181" t="str">
        <f t="shared" si="4"/>
        <v>NA</v>
      </c>
      <c r="K22" s="180" t="str">
        <f t="shared" si="4"/>
        <v>NA</v>
      </c>
      <c r="M22" s="165"/>
      <c r="N22" s="68" t="s">
        <v>763</v>
      </c>
      <c r="O22" s="176">
        <v>50</v>
      </c>
      <c r="P22" s="176">
        <v>0.5</v>
      </c>
      <c r="Q22" s="175" t="s">
        <v>1441</v>
      </c>
      <c r="R22" s="175" t="s">
        <v>1441</v>
      </c>
      <c r="S22" s="68">
        <f>1/1.16</f>
        <v>0.86206896551724144</v>
      </c>
    </row>
    <row r="23" spans="2:19" ht="35.25" customHeight="1">
      <c r="B23" s="782"/>
      <c r="C23" s="179" t="s">
        <v>1436</v>
      </c>
      <c r="D23" s="162" t="s">
        <v>1445</v>
      </c>
      <c r="E23" s="181" t="str">
        <f>INDEX($N$19:$R$27,MATCH(E$19,$N$19:$N$27,0),MATCH($C23,$N$19:$R$19,0))</f>
        <v>NA</v>
      </c>
      <c r="F23" s="182" t="s">
        <v>1441</v>
      </c>
      <c r="G23" s="181" t="str">
        <f>INDEX($N$19:$R$27,MATCH(G$19,$N$19:$N$27,0),MATCH($C23,$N$19:$R$19,0))</f>
        <v>NA</v>
      </c>
      <c r="H23" s="181" t="str">
        <f>INDEX($N$19:$R$27,MATCH(H$19,$N$19:$N$27,0),MATCH($C23,$N$19:$R$19,0))</f>
        <v>NA</v>
      </c>
      <c r="I23" s="181">
        <f>INDEX($N$19:$R$27,MATCH(I$19,$N$19:$N$27,0),MATCH($C23,$N$19:$R$19,0))</f>
        <v>10</v>
      </c>
      <c r="J23" s="181" t="str">
        <f>INDEX($N$19:$R$27,MATCH(J$19,$N$19:$N$27,0),MATCH($C23,$N$19:$R$19,0))</f>
        <v>NA</v>
      </c>
      <c r="K23" s="180" t="str">
        <f>INDEX($N$19:$R$27,MATCH(K$19,$N$19:$N$27,0),MATCH($C23,$N$19:$R$19,0))</f>
        <v>NA</v>
      </c>
      <c r="M23" s="165"/>
      <c r="N23" s="68" t="s">
        <v>778</v>
      </c>
      <c r="O23" s="176">
        <v>42.7</v>
      </c>
      <c r="P23" s="176">
        <v>0.43530000000000002</v>
      </c>
      <c r="Q23" s="175" t="s">
        <v>1441</v>
      </c>
      <c r="R23" s="175" t="s">
        <v>1441</v>
      </c>
      <c r="S23" s="68"/>
    </row>
    <row r="24" spans="2:19" ht="35.25" customHeight="1">
      <c r="B24" s="783"/>
      <c r="C24" s="179" t="s">
        <v>1446</v>
      </c>
      <c r="D24" s="162" t="s">
        <v>1447</v>
      </c>
      <c r="E24" s="161">
        <f t="shared" ref="E24:K24" si="5">INDEX($N$19:$S$26,MATCH(E$19,$N$19:$N$26,0),MATCH("gallons / kg",$N$19:$S$19,0))*1000</f>
        <v>387.59689922480618</v>
      </c>
      <c r="F24" s="161">
        <f t="shared" si="5"/>
        <v>333.33333333333331</v>
      </c>
      <c r="G24" s="161">
        <f t="shared" si="5"/>
        <v>862.06896551724139</v>
      </c>
      <c r="H24" s="161">
        <f t="shared" si="5"/>
        <v>0</v>
      </c>
      <c r="I24" s="161">
        <f t="shared" si="5"/>
        <v>387.59689922480618</v>
      </c>
      <c r="J24" s="161">
        <f t="shared" si="5"/>
        <v>333.33333333333331</v>
      </c>
      <c r="K24" s="161">
        <f t="shared" si="5"/>
        <v>862.06896551724139</v>
      </c>
      <c r="M24" s="165"/>
      <c r="N24" s="68" t="s">
        <v>746</v>
      </c>
      <c r="O24" s="176">
        <v>18.8</v>
      </c>
      <c r="P24" s="176">
        <v>0.18</v>
      </c>
      <c r="Q24" s="175">
        <v>10</v>
      </c>
      <c r="R24" s="175" t="s">
        <v>1441</v>
      </c>
      <c r="S24" s="178">
        <f>1/2.58</f>
        <v>0.38759689922480617</v>
      </c>
    </row>
    <row r="25" spans="2:19" ht="35.25" customHeight="1" thickBot="1">
      <c r="B25" s="784"/>
      <c r="C25" s="159" t="s">
        <v>1448</v>
      </c>
      <c r="D25" s="150" t="s">
        <v>1449</v>
      </c>
      <c r="E25" s="177">
        <f t="shared" ref="E25:K25" si="6">E24/E21</f>
        <v>20.616856341745009</v>
      </c>
      <c r="F25" s="177">
        <f t="shared" si="6"/>
        <v>16.75041876046901</v>
      </c>
      <c r="G25" s="177">
        <f t="shared" si="6"/>
        <v>17.241379310344829</v>
      </c>
      <c r="H25" s="177">
        <f t="shared" si="6"/>
        <v>0</v>
      </c>
      <c r="I25" s="177">
        <f t="shared" si="6"/>
        <v>20.616856341745009</v>
      </c>
      <c r="J25" s="177">
        <f t="shared" si="6"/>
        <v>16.75041876046901</v>
      </c>
      <c r="K25" s="177">
        <f t="shared" si="6"/>
        <v>17.241379310344829</v>
      </c>
      <c r="M25" s="165"/>
      <c r="N25" s="68" t="s">
        <v>752</v>
      </c>
      <c r="O25" s="176">
        <v>19.899999999999999</v>
      </c>
      <c r="P25" s="176" t="s">
        <v>1441</v>
      </c>
      <c r="Q25" s="175" t="s">
        <v>1441</v>
      </c>
      <c r="R25" s="175" t="s">
        <v>1441</v>
      </c>
      <c r="S25" s="138">
        <f>1/3</f>
        <v>0.33333333333333331</v>
      </c>
    </row>
    <row r="26" spans="2:19" ht="35.25" customHeight="1" thickBot="1">
      <c r="D26" s="167"/>
      <c r="E26" s="144"/>
      <c r="F26" s="144"/>
      <c r="G26" s="144"/>
      <c r="H26" s="144"/>
      <c r="I26" s="144"/>
      <c r="J26" s="144"/>
      <c r="K26" s="144"/>
      <c r="M26" s="165"/>
      <c r="N26" s="68" t="s">
        <v>784</v>
      </c>
      <c r="O26" s="176">
        <v>50</v>
      </c>
      <c r="P26" s="175" t="s">
        <v>1441</v>
      </c>
      <c r="Q26" s="175" t="s">
        <v>1441</v>
      </c>
      <c r="R26" s="175" t="s">
        <v>1441</v>
      </c>
      <c r="S26" s="68">
        <f>1/1.16</f>
        <v>0.86206896551724144</v>
      </c>
    </row>
    <row r="27" spans="2:19" ht="35.25" customHeight="1">
      <c r="B27" s="781" t="s">
        <v>1450</v>
      </c>
      <c r="C27" s="166" t="s">
        <v>1451</v>
      </c>
      <c r="D27" s="153" t="s">
        <v>1452</v>
      </c>
      <c r="E27" s="155">
        <f t="shared" ref="E27:K27" si="7">INDEX($N$30:$R$34,MATCH($B27,$N$30:$N$34,0),MATCH($C27,$N$30:$R$30,0))</f>
        <v>3</v>
      </c>
      <c r="F27" s="155">
        <f t="shared" si="7"/>
        <v>3</v>
      </c>
      <c r="G27" s="155">
        <f t="shared" si="7"/>
        <v>3</v>
      </c>
      <c r="H27" s="155">
        <f t="shared" si="7"/>
        <v>3</v>
      </c>
      <c r="I27" s="155">
        <f t="shared" si="7"/>
        <v>3</v>
      </c>
      <c r="J27" s="155">
        <f t="shared" si="7"/>
        <v>3</v>
      </c>
      <c r="K27" s="154">
        <f t="shared" si="7"/>
        <v>3</v>
      </c>
      <c r="P27" s="174" t="s">
        <v>1453</v>
      </c>
      <c r="Q27" s="173" t="s">
        <v>1454</v>
      </c>
      <c r="R27" s="172" t="s">
        <v>1428</v>
      </c>
      <c r="S27" s="171" t="s">
        <v>690</v>
      </c>
    </row>
    <row r="28" spans="2:19" ht="35.25" customHeight="1">
      <c r="B28" s="782"/>
      <c r="C28" s="163" t="s">
        <v>1455</v>
      </c>
      <c r="D28" s="162" t="s">
        <v>1456</v>
      </c>
      <c r="E28" s="161">
        <f t="shared" ref="E28:K28" si="8">IFERROR((E27*E22),"NA")</f>
        <v>28.723404255319146</v>
      </c>
      <c r="F28" s="161">
        <f t="shared" si="8"/>
        <v>28.643216080402013</v>
      </c>
      <c r="G28" s="161">
        <f t="shared" si="8"/>
        <v>30</v>
      </c>
      <c r="H28" s="161">
        <f t="shared" si="8"/>
        <v>30.583138173302103</v>
      </c>
      <c r="I28" s="161">
        <f t="shared" si="8"/>
        <v>28.723404255319146</v>
      </c>
      <c r="J28" s="161" t="str">
        <f t="shared" si="8"/>
        <v>NA</v>
      </c>
      <c r="K28" s="160" t="str">
        <f t="shared" si="8"/>
        <v>NA</v>
      </c>
    </row>
    <row r="29" spans="2:19" ht="35.25" customHeight="1" thickBot="1">
      <c r="B29" s="784"/>
      <c r="C29" s="159" t="s">
        <v>1457</v>
      </c>
      <c r="D29" s="150" t="s">
        <v>1458</v>
      </c>
      <c r="E29" s="158">
        <f>SUM(E$58:E$87)/SUM($C$58:$C$87)</f>
        <v>9.5744680851063819</v>
      </c>
      <c r="F29" s="158">
        <f>SUM(F$58:F$87)/SUM($C$58:$C$87)</f>
        <v>9.5477386934673341</v>
      </c>
      <c r="G29" s="158">
        <f>SUM(G$58:G$87)/SUM($C$58:$C$87)</f>
        <v>10</v>
      </c>
      <c r="H29" s="158">
        <f>SUM(H$58:H$87)/SUM($C$58:$C$87)</f>
        <v>10.194379391100703</v>
      </c>
      <c r="I29" s="158" t="s">
        <v>1441</v>
      </c>
      <c r="J29" s="158" t="s">
        <v>1441</v>
      </c>
      <c r="K29" s="157" t="s">
        <v>1441</v>
      </c>
    </row>
    <row r="30" spans="2:19" ht="35.25" customHeight="1" thickBot="1">
      <c r="D30" s="170"/>
      <c r="E30" s="144"/>
      <c r="F30" s="144"/>
      <c r="G30" s="144"/>
      <c r="H30" s="144"/>
      <c r="I30" s="144"/>
      <c r="J30" s="144"/>
      <c r="K30" s="144"/>
      <c r="M30" s="169" t="s">
        <v>1459</v>
      </c>
      <c r="N30" s="168" t="s">
        <v>1460</v>
      </c>
      <c r="O30" s="168" t="s">
        <v>1461</v>
      </c>
      <c r="P30" s="168" t="s">
        <v>1451</v>
      </c>
      <c r="Q30" s="168" t="s">
        <v>1462</v>
      </c>
      <c r="R30" s="168" t="s">
        <v>1463</v>
      </c>
      <c r="S30" s="147"/>
    </row>
    <row r="31" spans="2:19" ht="35.25" customHeight="1">
      <c r="B31" s="781" t="s">
        <v>1464</v>
      </c>
      <c r="C31" s="166" t="s">
        <v>1451</v>
      </c>
      <c r="D31" s="153" t="s">
        <v>1465</v>
      </c>
      <c r="E31" s="155">
        <f>INDEX($N$30:$R$34,MATCH($B31,$N$30:$N$34,0),MATCH($C31,$N$30:$R$30,0))</f>
        <v>0.03</v>
      </c>
      <c r="F31" s="155">
        <f>INDEX($N$30:$R$34,MATCH($B31,$N$30:$N$34,0),MATCH($C31,$N$30:$R$30,0))</f>
        <v>0.03</v>
      </c>
      <c r="G31" s="155">
        <f>INDEX($N$30:$R$34,MATCH($B31,$N$30:$N$34,0),MATCH($C31,$N$30:$R$30,0))</f>
        <v>0.03</v>
      </c>
      <c r="H31" s="155">
        <f>INDEX($N$30:$R$34,MATCH($B31,$N$30:$N$34,0),MATCH($C31,$N$30:$R$30,0))</f>
        <v>0.03</v>
      </c>
      <c r="I31" s="155">
        <f>INDEX($N$30:$R$34,MATCH($B31,$N$30:$N$34,0),MATCH($C31,$N$30:$R$30,0))</f>
        <v>0.03</v>
      </c>
      <c r="J31" s="154" t="s">
        <v>1441</v>
      </c>
      <c r="K31" s="154" t="s">
        <v>1441</v>
      </c>
      <c r="M31" s="165"/>
      <c r="N31" s="68" t="s">
        <v>1450</v>
      </c>
      <c r="O31" s="164" t="s">
        <v>1466</v>
      </c>
      <c r="P31" s="68">
        <v>3</v>
      </c>
      <c r="Q31" s="164" t="s">
        <v>1467</v>
      </c>
      <c r="R31" s="164" t="s">
        <v>1468</v>
      </c>
      <c r="S31" s="147"/>
    </row>
    <row r="32" spans="2:19" ht="35.25" customHeight="1">
      <c r="B32" s="782"/>
      <c r="C32" s="163" t="s">
        <v>1469</v>
      </c>
      <c r="D32" s="162" t="s">
        <v>1470</v>
      </c>
      <c r="E32" s="161">
        <f t="shared" ref="E32:K32" si="9">IFERROR((E31*$H$15*E22),"NA")</f>
        <v>15.108510638297872</v>
      </c>
      <c r="F32" s="161">
        <f t="shared" si="9"/>
        <v>15.066331658291459</v>
      </c>
      <c r="G32" s="161">
        <f t="shared" si="9"/>
        <v>15.780000000000001</v>
      </c>
      <c r="H32" s="161">
        <f t="shared" si="9"/>
        <v>16.086730679156908</v>
      </c>
      <c r="I32" s="161">
        <f t="shared" si="9"/>
        <v>15.108510638297872</v>
      </c>
      <c r="J32" s="160" t="str">
        <f t="shared" si="9"/>
        <v>NA</v>
      </c>
      <c r="K32" s="160" t="str">
        <f t="shared" si="9"/>
        <v>NA</v>
      </c>
      <c r="M32" s="165"/>
      <c r="N32" s="68" t="s">
        <v>1471</v>
      </c>
      <c r="O32" s="164" t="s">
        <v>1472</v>
      </c>
      <c r="P32" s="68">
        <v>85</v>
      </c>
      <c r="Q32" s="164" t="s">
        <v>1473</v>
      </c>
      <c r="R32" s="164" t="s">
        <v>1474</v>
      </c>
      <c r="S32" s="147"/>
    </row>
    <row r="33" spans="2:18" ht="35.25" customHeight="1" thickBot="1">
      <c r="B33" s="782"/>
      <c r="C33" s="159" t="s">
        <v>1457</v>
      </c>
      <c r="D33" s="150" t="s">
        <v>1458</v>
      </c>
      <c r="E33" s="158">
        <f>SUM(J$58:J$87)/SUM($C$58:$C$87)</f>
        <v>5.0361702127659571</v>
      </c>
      <c r="F33" s="158">
        <f>SUM(K$58:K$87)/SUM($C$58:$C$87)</f>
        <v>5.0221105527638192</v>
      </c>
      <c r="G33" s="158">
        <f>SUM(L$58:L$87)/SUM($C$58:$C$87)</f>
        <v>5.2600000000000007</v>
      </c>
      <c r="H33" s="158">
        <f>SUM(M$58:M$87)/SUM($C$58:$C$87)</f>
        <v>5.362243559718971</v>
      </c>
      <c r="I33" s="158" t="s">
        <v>1441</v>
      </c>
      <c r="J33" s="157" t="s">
        <v>1441</v>
      </c>
      <c r="K33" s="157" t="s">
        <v>1441</v>
      </c>
      <c r="M33" s="165"/>
      <c r="N33" s="68" t="s">
        <v>1475</v>
      </c>
      <c r="O33" s="164" t="s">
        <v>1476</v>
      </c>
      <c r="P33" s="68">
        <v>130</v>
      </c>
      <c r="Q33" s="164" t="s">
        <v>1473</v>
      </c>
      <c r="R33" s="164" t="s">
        <v>1474</v>
      </c>
    </row>
    <row r="34" spans="2:18" ht="35.25" customHeight="1" thickBot="1">
      <c r="D34" s="167"/>
      <c r="E34" s="144"/>
      <c r="F34" s="144"/>
      <c r="G34" s="144"/>
      <c r="H34" s="144"/>
      <c r="I34" s="144"/>
      <c r="J34" s="144"/>
      <c r="K34" s="144"/>
      <c r="M34" s="165"/>
      <c r="N34" s="68" t="s">
        <v>1464</v>
      </c>
      <c r="O34" s="164" t="s">
        <v>1477</v>
      </c>
      <c r="P34" s="68">
        <v>0.03</v>
      </c>
      <c r="Q34" s="164" t="s">
        <v>1478</v>
      </c>
      <c r="R34" s="164" t="s">
        <v>1479</v>
      </c>
    </row>
    <row r="35" spans="2:18" ht="35.25" customHeight="1">
      <c r="B35" s="781" t="s">
        <v>1471</v>
      </c>
      <c r="C35" s="166" t="s">
        <v>1451</v>
      </c>
      <c r="D35" s="153" t="s">
        <v>1480</v>
      </c>
      <c r="E35" s="155" t="s">
        <v>1441</v>
      </c>
      <c r="F35" s="155" t="s">
        <v>1441</v>
      </c>
      <c r="G35" s="155" t="s">
        <v>1441</v>
      </c>
      <c r="H35" s="155" t="s">
        <v>1441</v>
      </c>
      <c r="I35" s="155">
        <f>INDEX($N$30:$R$34,MATCH($B35,$N$30:$N$34,0),MATCH($C35,$N$30:$R$30,0))</f>
        <v>85</v>
      </c>
      <c r="J35" s="155" t="s">
        <v>1441</v>
      </c>
      <c r="K35" s="154" t="s">
        <v>1441</v>
      </c>
      <c r="M35" s="165"/>
      <c r="N35" s="68" t="s">
        <v>1481</v>
      </c>
      <c r="O35" s="164" t="s">
        <v>1482</v>
      </c>
      <c r="P35" s="68">
        <v>1.01</v>
      </c>
      <c r="Q35" s="164" t="s">
        <v>1483</v>
      </c>
      <c r="R35" s="164" t="s">
        <v>1484</v>
      </c>
    </row>
    <row r="36" spans="2:18" ht="35.25" customHeight="1">
      <c r="B36" s="782"/>
      <c r="C36" s="68" t="s">
        <v>1485</v>
      </c>
      <c r="D36" s="162" t="s">
        <v>1486</v>
      </c>
      <c r="E36" s="145" t="str">
        <f>IFERROR(((#REF!*E$20)/E$21),"NA")</f>
        <v>NA</v>
      </c>
      <c r="F36" s="145" t="str">
        <f>IFERROR(((#REF!*F$20)/F$21),"NA")</f>
        <v>NA</v>
      </c>
      <c r="G36" s="145" t="str">
        <f>IFERROR(((#REF!*G$20)/G$21),"NA")</f>
        <v>NA</v>
      </c>
      <c r="H36" s="145" t="str">
        <f>IFERROR(((#REF!*H$20)/H$21),"NA")</f>
        <v>NA</v>
      </c>
      <c r="I36" s="145">
        <f>IFERROR(((I23*I$20)/I$21),"NA")</f>
        <v>9.5744680851063815E-2</v>
      </c>
      <c r="J36" s="145" t="str">
        <f>IFERROR(((#REF!*J$20)/J$21),"NA")</f>
        <v>NA</v>
      </c>
      <c r="K36" s="152" t="str">
        <f>IFERROR(((#REF!*K$20)/K$21),"NA")</f>
        <v>NA</v>
      </c>
    </row>
    <row r="37" spans="2:18" ht="35.25" customHeight="1">
      <c r="B37" s="782"/>
      <c r="C37" s="163" t="s">
        <v>1487</v>
      </c>
      <c r="D37" s="162"/>
      <c r="E37" s="161" t="str">
        <f t="shared" ref="E37:K37" si="10">IFERROR((E35*E36),"NA")</f>
        <v>NA</v>
      </c>
      <c r="F37" s="161" t="str">
        <f t="shared" si="10"/>
        <v>NA</v>
      </c>
      <c r="G37" s="161" t="str">
        <f t="shared" si="10"/>
        <v>NA</v>
      </c>
      <c r="H37" s="161" t="str">
        <f t="shared" si="10"/>
        <v>NA</v>
      </c>
      <c r="I37" s="161">
        <f t="shared" si="10"/>
        <v>8.1382978723404236</v>
      </c>
      <c r="J37" s="161" t="str">
        <f t="shared" si="10"/>
        <v>NA</v>
      </c>
      <c r="K37" s="160" t="str">
        <f t="shared" si="10"/>
        <v>NA</v>
      </c>
    </row>
    <row r="38" spans="2:18" ht="35.25" customHeight="1" thickBot="1">
      <c r="B38" s="784"/>
      <c r="C38" s="159" t="s">
        <v>1457</v>
      </c>
      <c r="D38" s="150" t="s">
        <v>1458</v>
      </c>
      <c r="E38" s="158">
        <v>0</v>
      </c>
      <c r="F38" s="158">
        <v>0</v>
      </c>
      <c r="G38" s="158">
        <v>0</v>
      </c>
      <c r="H38" s="158">
        <v>0</v>
      </c>
      <c r="I38" s="158">
        <f>SUM(O$58:O$87)/SUM($C$58:$C$87)</f>
        <v>2.7127659574468073</v>
      </c>
      <c r="J38" s="158">
        <v>0</v>
      </c>
      <c r="K38" s="157">
        <v>0</v>
      </c>
    </row>
    <row r="39" spans="2:18" ht="35.25" customHeight="1" thickBot="1">
      <c r="C39" s="147"/>
      <c r="D39" s="147"/>
      <c r="E39" s="147"/>
      <c r="F39" s="147"/>
      <c r="G39" s="147"/>
      <c r="H39" s="147"/>
      <c r="I39" s="147"/>
      <c r="J39" s="147"/>
      <c r="K39" s="147"/>
      <c r="L39" s="147"/>
    </row>
    <row r="40" spans="2:18" ht="35.25" customHeight="1" thickBot="1">
      <c r="B40" s="785" t="s">
        <v>1481</v>
      </c>
      <c r="C40" s="156" t="s">
        <v>1451</v>
      </c>
      <c r="D40" s="153" t="s">
        <v>1488</v>
      </c>
      <c r="E40" s="155" t="s">
        <v>1441</v>
      </c>
      <c r="F40" s="155" t="s">
        <v>1441</v>
      </c>
      <c r="G40" s="155" t="s">
        <v>1441</v>
      </c>
      <c r="H40" s="155" t="s">
        <v>1441</v>
      </c>
      <c r="I40" s="155" t="s">
        <v>1441</v>
      </c>
      <c r="J40" s="155">
        <f>INDEX($N$30:$R$35,MATCH($B40,$N$30:$N$35,0),MATCH($C40,$N$30:$R$30,0))</f>
        <v>1.01</v>
      </c>
      <c r="K40" s="154">
        <f>INDEX($N$30:$R$35,MATCH($B40,$N$30:$N$35,0),MATCH($C40,$N$30:$R$30,0))</f>
        <v>1.01</v>
      </c>
      <c r="L40" s="147"/>
    </row>
    <row r="41" spans="2:18" ht="35.25" customHeight="1">
      <c r="B41" s="786"/>
      <c r="C41" s="147" t="s">
        <v>1489</v>
      </c>
      <c r="D41" s="153" t="s">
        <v>1490</v>
      </c>
      <c r="E41" s="145" t="s">
        <v>1441</v>
      </c>
      <c r="F41" s="68" t="s">
        <v>1441</v>
      </c>
      <c r="G41" s="68" t="s">
        <v>1441</v>
      </c>
      <c r="H41" s="68" t="s">
        <v>1441</v>
      </c>
      <c r="I41" s="68" t="s">
        <v>1441</v>
      </c>
      <c r="J41" s="145">
        <f>J25</f>
        <v>16.75041876046901</v>
      </c>
      <c r="K41" s="152">
        <f>K25</f>
        <v>17.241379310344829</v>
      </c>
      <c r="L41" s="147"/>
    </row>
    <row r="42" spans="2:18" ht="35.25" customHeight="1" thickBot="1">
      <c r="B42" s="787"/>
      <c r="C42" s="151" t="s">
        <v>1491</v>
      </c>
      <c r="D42" s="150" t="s">
        <v>1492</v>
      </c>
      <c r="E42" s="149" t="str">
        <f>IFERROR((E40*$H$15*E37),"NA")</f>
        <v>NA</v>
      </c>
      <c r="F42" s="149" t="str">
        <f>IFERROR((F40*$H$15*F37),"NA")</f>
        <v>NA</v>
      </c>
      <c r="G42" s="149" t="str">
        <f>IFERROR((G40*$H$15*G37),"NA")</f>
        <v>NA</v>
      </c>
      <c r="H42" s="149" t="str">
        <f>IFERROR((H40*$H$15*H37),"NA")</f>
        <v>NA</v>
      </c>
      <c r="I42" s="149" t="str">
        <f>IFERROR((I40*$H$15*I37),"NA")</f>
        <v>NA</v>
      </c>
      <c r="J42" s="149">
        <f>J41*J40</f>
        <v>16.917922948073702</v>
      </c>
      <c r="K42" s="148">
        <f>K41*K40</f>
        <v>17.413793103448278</v>
      </c>
      <c r="L42" s="147"/>
    </row>
    <row r="43" spans="2:18" ht="35.25" customHeight="1">
      <c r="G43" s="147"/>
      <c r="H43" s="147"/>
      <c r="I43" s="147"/>
      <c r="J43" s="147"/>
      <c r="K43" s="147"/>
      <c r="L43" s="147"/>
    </row>
    <row r="44" spans="2:18" ht="15.75">
      <c r="D44" s="146" t="s">
        <v>1493</v>
      </c>
    </row>
    <row r="45" spans="2:18" ht="15">
      <c r="E45" s="140" t="s">
        <v>121</v>
      </c>
      <c r="F45" s="22" t="str">
        <f t="shared" ref="F45:K45" si="11">F19</f>
        <v>e-methanol (PS)</v>
      </c>
      <c r="G45" s="22" t="str">
        <f t="shared" si="11"/>
        <v>e-methane liquefied (PS)</v>
      </c>
      <c r="H45" s="22" t="str">
        <f t="shared" si="11"/>
        <v>e-diesel (PS)</v>
      </c>
      <c r="I45" s="22" t="str">
        <f t="shared" si="11"/>
        <v>Blue ammonia (CCS)</v>
      </c>
      <c r="J45" s="22" t="str">
        <f t="shared" si="11"/>
        <v>Bio-methanol</v>
      </c>
      <c r="K45" s="22" t="str">
        <f t="shared" si="11"/>
        <v>Bio-methane (liquefied)</v>
      </c>
    </row>
    <row r="46" spans="2:18" ht="15">
      <c r="D46" s="22" t="s">
        <v>1450</v>
      </c>
      <c r="E46" s="145">
        <f t="shared" ref="E46:K46" si="12">E$29</f>
        <v>9.5744680851063819</v>
      </c>
      <c r="F46" s="145">
        <f t="shared" si="12"/>
        <v>9.5477386934673341</v>
      </c>
      <c r="G46" s="145">
        <f t="shared" si="12"/>
        <v>10</v>
      </c>
      <c r="H46" s="145">
        <f t="shared" si="12"/>
        <v>10.194379391100703</v>
      </c>
      <c r="I46" s="145" t="str">
        <f t="shared" si="12"/>
        <v>NA</v>
      </c>
      <c r="J46" s="145" t="str">
        <f t="shared" si="12"/>
        <v>NA</v>
      </c>
      <c r="K46" s="145" t="str">
        <f t="shared" si="12"/>
        <v>NA</v>
      </c>
    </row>
    <row r="47" spans="2:18" ht="15">
      <c r="D47" s="22" t="s">
        <v>1464</v>
      </c>
      <c r="E47" s="145">
        <f t="shared" ref="E47:K47" si="13">E$33</f>
        <v>5.0361702127659571</v>
      </c>
      <c r="F47" s="145">
        <f t="shared" si="13"/>
        <v>5.0221105527638192</v>
      </c>
      <c r="G47" s="145">
        <f t="shared" si="13"/>
        <v>5.2600000000000007</v>
      </c>
      <c r="H47" s="145">
        <f t="shared" si="13"/>
        <v>5.362243559718971</v>
      </c>
      <c r="I47" s="145" t="str">
        <f t="shared" si="13"/>
        <v>NA</v>
      </c>
      <c r="J47" s="145" t="str">
        <f t="shared" si="13"/>
        <v>NA</v>
      </c>
      <c r="K47" s="145" t="str">
        <f t="shared" si="13"/>
        <v>NA</v>
      </c>
    </row>
    <row r="48" spans="2:18" ht="15">
      <c r="D48" s="22" t="s">
        <v>1471</v>
      </c>
      <c r="E48" s="145">
        <f t="shared" ref="E48:K48" si="14">E$38</f>
        <v>0</v>
      </c>
      <c r="F48" s="145">
        <f t="shared" si="14"/>
        <v>0</v>
      </c>
      <c r="G48" s="145">
        <f t="shared" si="14"/>
        <v>0</v>
      </c>
      <c r="H48" s="145">
        <f t="shared" si="14"/>
        <v>0</v>
      </c>
      <c r="I48" s="145">
        <f t="shared" si="14"/>
        <v>2.7127659574468073</v>
      </c>
      <c r="J48" s="145">
        <f t="shared" si="14"/>
        <v>0</v>
      </c>
      <c r="K48" s="145">
        <f t="shared" si="14"/>
        <v>0</v>
      </c>
    </row>
    <row r="49" spans="2:18" ht="15">
      <c r="D49" s="22" t="s">
        <v>1417</v>
      </c>
      <c r="E49" t="str">
        <f t="shared" ref="E49:K49" si="15">_xlfn.XLOOKUP(E$50,E$46:E$48,$D$46:$D$48,0,0,1)</f>
        <v>45V</v>
      </c>
      <c r="F49" t="str">
        <f t="shared" si="15"/>
        <v>45V</v>
      </c>
      <c r="G49" t="str">
        <f t="shared" si="15"/>
        <v>45V</v>
      </c>
      <c r="H49" t="str">
        <f t="shared" si="15"/>
        <v>45V</v>
      </c>
      <c r="I49" t="str">
        <f t="shared" si="15"/>
        <v>45Q</v>
      </c>
      <c r="J49" t="str">
        <f t="shared" si="15"/>
        <v>45Q</v>
      </c>
      <c r="K49" t="str">
        <f t="shared" si="15"/>
        <v>45Q</v>
      </c>
    </row>
    <row r="50" spans="2:18" ht="15">
      <c r="D50" s="22" t="s">
        <v>1494</v>
      </c>
      <c r="E50" s="144">
        <f t="shared" ref="E50:K50" si="16">MAX(E46:E48)</f>
        <v>9.5744680851063819</v>
      </c>
      <c r="F50" s="144">
        <f t="shared" si="16"/>
        <v>9.5477386934673341</v>
      </c>
      <c r="G50" s="144">
        <f t="shared" si="16"/>
        <v>10</v>
      </c>
      <c r="H50" s="144">
        <f t="shared" si="16"/>
        <v>10.194379391100703</v>
      </c>
      <c r="I50" s="144">
        <f t="shared" si="16"/>
        <v>2.7127659574468073</v>
      </c>
      <c r="J50" s="144">
        <f t="shared" si="16"/>
        <v>0</v>
      </c>
      <c r="K50" s="144">
        <f t="shared" si="16"/>
        <v>0</v>
      </c>
    </row>
    <row r="53" spans="2:18">
      <c r="F53" s="68" t="s">
        <v>746</v>
      </c>
      <c r="H53" s="68" t="s">
        <v>733</v>
      </c>
      <c r="I53" s="68" t="s">
        <v>763</v>
      </c>
      <c r="J53" s="68" t="s">
        <v>778</v>
      </c>
      <c r="K53" s="68" t="s">
        <v>752</v>
      </c>
      <c r="L53" s="68" t="s">
        <v>784</v>
      </c>
    </row>
    <row r="54" spans="2:18" ht="20.25">
      <c r="B54" s="143" t="s">
        <v>1495</v>
      </c>
      <c r="C54" s="143"/>
      <c r="D54" s="143"/>
      <c r="E54" s="143"/>
      <c r="F54" s="143"/>
      <c r="G54" s="143"/>
      <c r="H54" s="143"/>
      <c r="I54" s="143"/>
      <c r="J54" s="143"/>
      <c r="K54" s="143"/>
      <c r="L54" s="143"/>
      <c r="M54" s="143"/>
      <c r="N54" s="143"/>
      <c r="O54" s="143"/>
      <c r="P54" s="143"/>
      <c r="Q54" s="143"/>
      <c r="R54" s="143"/>
    </row>
    <row r="56" spans="2:18" ht="15">
      <c r="B56" s="22"/>
      <c r="E56" s="141" t="s">
        <v>1450</v>
      </c>
      <c r="F56" s="141"/>
      <c r="G56" s="141"/>
      <c r="H56" s="141"/>
      <c r="J56" s="141" t="s">
        <v>1464</v>
      </c>
      <c r="K56" s="141"/>
      <c r="L56" s="141"/>
      <c r="M56" s="141"/>
      <c r="O56" s="142" t="s">
        <v>1471</v>
      </c>
      <c r="Q56" s="141" t="s">
        <v>1496</v>
      </c>
      <c r="R56" s="141"/>
    </row>
    <row r="57" spans="2:18" ht="15">
      <c r="B57" s="140" t="s">
        <v>338</v>
      </c>
      <c r="C57" s="140" t="s">
        <v>1497</v>
      </c>
      <c r="E57" s="68" t="s">
        <v>121</v>
      </c>
      <c r="F57" s="68" t="s">
        <v>742</v>
      </c>
      <c r="G57" s="68" t="s">
        <v>763</v>
      </c>
      <c r="H57" s="68" t="s">
        <v>778</v>
      </c>
      <c r="J57" s="68" t="s">
        <v>121</v>
      </c>
      <c r="K57" s="68" t="s">
        <v>742</v>
      </c>
      <c r="L57" s="68" t="s">
        <v>763</v>
      </c>
      <c r="M57" s="68" t="s">
        <v>778</v>
      </c>
      <c r="O57" s="68" t="s">
        <v>746</v>
      </c>
      <c r="Q57" s="68" t="s">
        <v>752</v>
      </c>
      <c r="R57" s="68" t="s">
        <v>784</v>
      </c>
    </row>
    <row r="58" spans="2:18">
      <c r="B58" s="68">
        <v>2030</v>
      </c>
      <c r="C58" s="68">
        <v>1</v>
      </c>
      <c r="E58" s="138">
        <f t="shared" ref="E58:F67" si="17">$C58*INDEX($C$19:$K$29,MATCH("Non-levelized 45V Credit [USD/GJ]",$C$19:$C$29,0),MATCH(E$57,$C$19:$K$19,0))</f>
        <v>28.723404255319146</v>
      </c>
      <c r="F58" s="138">
        <f t="shared" si="17"/>
        <v>28.643216080402013</v>
      </c>
      <c r="G58" s="138">
        <f t="shared" ref="G58:H67" si="18">$C58*INDEX($C$19:$J$29,MATCH("Non-levelized 45V Credit [USD/GJ]",$C$19:$C$29,0),MATCH(G$57,$C$19:$J$19,0))</f>
        <v>30</v>
      </c>
      <c r="H58" s="138">
        <f t="shared" si="18"/>
        <v>30.583138173302103</v>
      </c>
      <c r="J58" s="138">
        <f t="shared" ref="J58:M67" si="19">$C58*INDEX($C$19:$J$33,MATCH("Non-levelized PTC Credit [USD/GJ]",$C$19:$C$33,0),MATCH(J$57,$C$19:$J$19,0))</f>
        <v>15.108510638297872</v>
      </c>
      <c r="K58" s="138">
        <f t="shared" si="19"/>
        <v>15.066331658291459</v>
      </c>
      <c r="L58" s="138">
        <f t="shared" si="19"/>
        <v>15.780000000000001</v>
      </c>
      <c r="M58" s="138">
        <f t="shared" si="19"/>
        <v>16.086730679156908</v>
      </c>
      <c r="O58" s="138">
        <f>$C58*INDEX($C$19:$K$38,MATCH("Non-levelized 45Q Credit [USD/GJ]",$C$19:$C$38,0),MATCH(O$57,$C$19:$K$19,0))</f>
        <v>8.1382978723404236</v>
      </c>
      <c r="Q58" s="68">
        <v>0</v>
      </c>
      <c r="R58" s="68">
        <v>0</v>
      </c>
    </row>
    <row r="59" spans="2:18">
      <c r="B59" s="68">
        <v>2031</v>
      </c>
      <c r="C59" s="138">
        <f t="shared" ref="C59:C87" si="20">$C$58/(1+$H$14)^(B59-$B$58)</f>
        <v>1</v>
      </c>
      <c r="E59" s="138">
        <f t="shared" si="17"/>
        <v>28.723404255319146</v>
      </c>
      <c r="F59" s="138">
        <f t="shared" si="17"/>
        <v>28.643216080402013</v>
      </c>
      <c r="G59" s="138">
        <f t="shared" si="18"/>
        <v>30</v>
      </c>
      <c r="H59" s="138">
        <f t="shared" si="18"/>
        <v>30.583138173302103</v>
      </c>
      <c r="J59" s="138">
        <f t="shared" si="19"/>
        <v>15.108510638297872</v>
      </c>
      <c r="K59" s="138">
        <f t="shared" si="19"/>
        <v>15.066331658291459</v>
      </c>
      <c r="L59" s="138">
        <f t="shared" si="19"/>
        <v>15.780000000000001</v>
      </c>
      <c r="M59" s="138">
        <f t="shared" si="19"/>
        <v>16.086730679156908</v>
      </c>
      <c r="O59" s="138">
        <f t="shared" ref="O59:O67" si="21">$C59*INDEX($C$19:$J$38,MATCH("Non-levelized 45Q Credit [USD/GJ]",$C$19:$C$38,0),MATCH(O$57,$C$19:$J$19,0))</f>
        <v>8.1382978723404236</v>
      </c>
      <c r="Q59" s="68">
        <v>0</v>
      </c>
      <c r="R59" s="68">
        <v>0</v>
      </c>
    </row>
    <row r="60" spans="2:18">
      <c r="B60" s="68">
        <v>2032</v>
      </c>
      <c r="C60" s="138">
        <f t="shared" si="20"/>
        <v>1</v>
      </c>
      <c r="E60" s="138">
        <f t="shared" si="17"/>
        <v>28.723404255319146</v>
      </c>
      <c r="F60" s="138">
        <f t="shared" si="17"/>
        <v>28.643216080402013</v>
      </c>
      <c r="G60" s="138">
        <f t="shared" si="18"/>
        <v>30</v>
      </c>
      <c r="H60" s="138">
        <f t="shared" si="18"/>
        <v>30.583138173302103</v>
      </c>
      <c r="J60" s="138">
        <f t="shared" si="19"/>
        <v>15.108510638297872</v>
      </c>
      <c r="K60" s="138">
        <f t="shared" si="19"/>
        <v>15.066331658291459</v>
      </c>
      <c r="L60" s="138">
        <f t="shared" si="19"/>
        <v>15.780000000000001</v>
      </c>
      <c r="M60" s="138">
        <f t="shared" si="19"/>
        <v>16.086730679156908</v>
      </c>
      <c r="O60" s="138">
        <f t="shared" si="21"/>
        <v>8.1382978723404236</v>
      </c>
      <c r="Q60" s="68">
        <v>0</v>
      </c>
      <c r="R60" s="68">
        <v>0</v>
      </c>
    </row>
    <row r="61" spans="2:18">
      <c r="B61" s="68">
        <v>2033</v>
      </c>
      <c r="C61" s="138">
        <f t="shared" si="20"/>
        <v>1</v>
      </c>
      <c r="E61" s="138">
        <f t="shared" si="17"/>
        <v>28.723404255319146</v>
      </c>
      <c r="F61" s="138">
        <f t="shared" si="17"/>
        <v>28.643216080402013</v>
      </c>
      <c r="G61" s="138">
        <f t="shared" si="18"/>
        <v>30</v>
      </c>
      <c r="H61" s="138">
        <f t="shared" si="18"/>
        <v>30.583138173302103</v>
      </c>
      <c r="J61" s="138">
        <f t="shared" si="19"/>
        <v>15.108510638297872</v>
      </c>
      <c r="K61" s="138">
        <f t="shared" si="19"/>
        <v>15.066331658291459</v>
      </c>
      <c r="L61" s="138">
        <f t="shared" si="19"/>
        <v>15.780000000000001</v>
      </c>
      <c r="M61" s="138">
        <f t="shared" si="19"/>
        <v>16.086730679156908</v>
      </c>
      <c r="O61" s="138">
        <f t="shared" si="21"/>
        <v>8.1382978723404236</v>
      </c>
      <c r="Q61" s="68">
        <v>0</v>
      </c>
      <c r="R61" s="68">
        <v>0</v>
      </c>
    </row>
    <row r="62" spans="2:18">
      <c r="B62" s="68">
        <v>2034</v>
      </c>
      <c r="C62" s="138">
        <f t="shared" si="20"/>
        <v>1</v>
      </c>
      <c r="E62" s="138">
        <f t="shared" si="17"/>
        <v>28.723404255319146</v>
      </c>
      <c r="F62" s="138">
        <f t="shared" si="17"/>
        <v>28.643216080402013</v>
      </c>
      <c r="G62" s="138">
        <f t="shared" si="18"/>
        <v>30</v>
      </c>
      <c r="H62" s="138">
        <f t="shared" si="18"/>
        <v>30.583138173302103</v>
      </c>
      <c r="J62" s="138">
        <f t="shared" si="19"/>
        <v>15.108510638297872</v>
      </c>
      <c r="K62" s="138">
        <f t="shared" si="19"/>
        <v>15.066331658291459</v>
      </c>
      <c r="L62" s="138">
        <f t="shared" si="19"/>
        <v>15.780000000000001</v>
      </c>
      <c r="M62" s="138">
        <f t="shared" si="19"/>
        <v>16.086730679156908</v>
      </c>
      <c r="O62" s="138">
        <f t="shared" si="21"/>
        <v>8.1382978723404236</v>
      </c>
      <c r="Q62" s="68">
        <v>0</v>
      </c>
      <c r="R62" s="68">
        <v>0</v>
      </c>
    </row>
    <row r="63" spans="2:18">
      <c r="B63" s="68">
        <v>2035</v>
      </c>
      <c r="C63" s="138">
        <f t="shared" si="20"/>
        <v>1</v>
      </c>
      <c r="E63" s="138">
        <f t="shared" si="17"/>
        <v>28.723404255319146</v>
      </c>
      <c r="F63" s="138">
        <f t="shared" si="17"/>
        <v>28.643216080402013</v>
      </c>
      <c r="G63" s="138">
        <f t="shared" si="18"/>
        <v>30</v>
      </c>
      <c r="H63" s="138">
        <f t="shared" si="18"/>
        <v>30.583138173302103</v>
      </c>
      <c r="J63" s="138">
        <f t="shared" si="19"/>
        <v>15.108510638297872</v>
      </c>
      <c r="K63" s="138">
        <f t="shared" si="19"/>
        <v>15.066331658291459</v>
      </c>
      <c r="L63" s="138">
        <f t="shared" si="19"/>
        <v>15.780000000000001</v>
      </c>
      <c r="M63" s="138">
        <f t="shared" si="19"/>
        <v>16.086730679156908</v>
      </c>
      <c r="O63" s="138">
        <f t="shared" si="21"/>
        <v>8.1382978723404236</v>
      </c>
      <c r="Q63" s="68">
        <v>0</v>
      </c>
      <c r="R63" s="68">
        <v>0</v>
      </c>
    </row>
    <row r="64" spans="2:18">
      <c r="B64" s="68">
        <v>2036</v>
      </c>
      <c r="C64" s="138">
        <f t="shared" si="20"/>
        <v>1</v>
      </c>
      <c r="E64" s="138">
        <f t="shared" si="17"/>
        <v>28.723404255319146</v>
      </c>
      <c r="F64" s="138">
        <f t="shared" si="17"/>
        <v>28.643216080402013</v>
      </c>
      <c r="G64" s="138">
        <f t="shared" si="18"/>
        <v>30</v>
      </c>
      <c r="H64" s="138">
        <f t="shared" si="18"/>
        <v>30.583138173302103</v>
      </c>
      <c r="J64" s="138">
        <f t="shared" si="19"/>
        <v>15.108510638297872</v>
      </c>
      <c r="K64" s="138">
        <f t="shared" si="19"/>
        <v>15.066331658291459</v>
      </c>
      <c r="L64" s="138">
        <f t="shared" si="19"/>
        <v>15.780000000000001</v>
      </c>
      <c r="M64" s="138">
        <f t="shared" si="19"/>
        <v>16.086730679156908</v>
      </c>
      <c r="O64" s="138">
        <f t="shared" si="21"/>
        <v>8.1382978723404236</v>
      </c>
      <c r="Q64" s="68">
        <v>0</v>
      </c>
      <c r="R64" s="68">
        <v>0</v>
      </c>
    </row>
    <row r="65" spans="2:18">
      <c r="B65" s="68">
        <v>2037</v>
      </c>
      <c r="C65" s="138">
        <f t="shared" si="20"/>
        <v>1</v>
      </c>
      <c r="E65" s="138">
        <f t="shared" si="17"/>
        <v>28.723404255319146</v>
      </c>
      <c r="F65" s="138">
        <f t="shared" si="17"/>
        <v>28.643216080402013</v>
      </c>
      <c r="G65" s="138">
        <f t="shared" si="18"/>
        <v>30</v>
      </c>
      <c r="H65" s="138">
        <f t="shared" si="18"/>
        <v>30.583138173302103</v>
      </c>
      <c r="J65" s="138">
        <f t="shared" si="19"/>
        <v>15.108510638297872</v>
      </c>
      <c r="K65" s="138">
        <f t="shared" si="19"/>
        <v>15.066331658291459</v>
      </c>
      <c r="L65" s="138">
        <f t="shared" si="19"/>
        <v>15.780000000000001</v>
      </c>
      <c r="M65" s="138">
        <f t="shared" si="19"/>
        <v>16.086730679156908</v>
      </c>
      <c r="O65" s="138">
        <f t="shared" si="21"/>
        <v>8.1382978723404236</v>
      </c>
      <c r="Q65" s="68">
        <v>0</v>
      </c>
      <c r="R65" s="68">
        <v>0</v>
      </c>
    </row>
    <row r="66" spans="2:18">
      <c r="B66" s="68">
        <v>2038</v>
      </c>
      <c r="C66" s="138">
        <f t="shared" si="20"/>
        <v>1</v>
      </c>
      <c r="E66" s="138">
        <f t="shared" si="17"/>
        <v>28.723404255319146</v>
      </c>
      <c r="F66" s="138">
        <f t="shared" si="17"/>
        <v>28.643216080402013</v>
      </c>
      <c r="G66" s="138">
        <f t="shared" si="18"/>
        <v>30</v>
      </c>
      <c r="H66" s="138">
        <f t="shared" si="18"/>
        <v>30.583138173302103</v>
      </c>
      <c r="J66" s="138">
        <f t="shared" si="19"/>
        <v>15.108510638297872</v>
      </c>
      <c r="K66" s="138">
        <f t="shared" si="19"/>
        <v>15.066331658291459</v>
      </c>
      <c r="L66" s="138">
        <f t="shared" si="19"/>
        <v>15.780000000000001</v>
      </c>
      <c r="M66" s="138">
        <f t="shared" si="19"/>
        <v>16.086730679156908</v>
      </c>
      <c r="O66" s="138">
        <f t="shared" si="21"/>
        <v>8.1382978723404236</v>
      </c>
      <c r="Q66" s="68">
        <v>0</v>
      </c>
      <c r="R66" s="68">
        <v>0</v>
      </c>
    </row>
    <row r="67" spans="2:18">
      <c r="B67" s="68">
        <v>2039</v>
      </c>
      <c r="C67" s="138">
        <f t="shared" si="20"/>
        <v>1</v>
      </c>
      <c r="E67" s="138">
        <f t="shared" si="17"/>
        <v>28.723404255319146</v>
      </c>
      <c r="F67" s="138">
        <f t="shared" si="17"/>
        <v>28.643216080402013</v>
      </c>
      <c r="G67" s="138">
        <f t="shared" si="18"/>
        <v>30</v>
      </c>
      <c r="H67" s="138">
        <f t="shared" si="18"/>
        <v>30.583138173302103</v>
      </c>
      <c r="J67" s="138">
        <f t="shared" si="19"/>
        <v>15.108510638297872</v>
      </c>
      <c r="K67" s="138">
        <f t="shared" si="19"/>
        <v>15.066331658291459</v>
      </c>
      <c r="L67" s="138">
        <f t="shared" si="19"/>
        <v>15.780000000000001</v>
      </c>
      <c r="M67" s="138">
        <f t="shared" si="19"/>
        <v>16.086730679156908</v>
      </c>
      <c r="O67" s="138">
        <f t="shared" si="21"/>
        <v>8.1382978723404236</v>
      </c>
      <c r="Q67" s="68">
        <v>0</v>
      </c>
      <c r="R67" s="68">
        <v>0</v>
      </c>
    </row>
    <row r="68" spans="2:18">
      <c r="B68" s="68">
        <v>2040</v>
      </c>
      <c r="C68" s="138">
        <f t="shared" si="20"/>
        <v>1</v>
      </c>
      <c r="E68" s="68">
        <v>0</v>
      </c>
      <c r="F68" s="68">
        <v>0</v>
      </c>
      <c r="G68" s="68">
        <v>0</v>
      </c>
      <c r="H68" s="68">
        <v>0</v>
      </c>
      <c r="J68" s="68">
        <v>0</v>
      </c>
      <c r="K68" s="68">
        <v>0</v>
      </c>
      <c r="L68" s="68">
        <v>0</v>
      </c>
      <c r="M68" s="68">
        <v>0</v>
      </c>
      <c r="O68" s="68">
        <v>0</v>
      </c>
      <c r="Q68" s="68">
        <v>0</v>
      </c>
      <c r="R68" s="68">
        <v>0</v>
      </c>
    </row>
    <row r="69" spans="2:18">
      <c r="B69" s="68">
        <v>2041</v>
      </c>
      <c r="C69" s="138">
        <f t="shared" si="20"/>
        <v>1</v>
      </c>
      <c r="E69" s="68">
        <v>0</v>
      </c>
      <c r="F69" s="68">
        <v>0</v>
      </c>
      <c r="G69" s="68">
        <v>0</v>
      </c>
      <c r="H69" s="68">
        <v>0</v>
      </c>
      <c r="J69" s="68">
        <v>0</v>
      </c>
      <c r="K69" s="68">
        <v>0</v>
      </c>
      <c r="L69" s="68">
        <v>0</v>
      </c>
      <c r="M69" s="68">
        <v>0</v>
      </c>
      <c r="O69" s="68">
        <v>0</v>
      </c>
      <c r="Q69" s="68">
        <v>0</v>
      </c>
      <c r="R69" s="68">
        <v>0</v>
      </c>
    </row>
    <row r="70" spans="2:18">
      <c r="B70" s="68">
        <v>2042</v>
      </c>
      <c r="C70" s="138">
        <f t="shared" si="20"/>
        <v>1</v>
      </c>
      <c r="E70" s="68">
        <v>0</v>
      </c>
      <c r="F70" s="68">
        <v>0</v>
      </c>
      <c r="G70" s="68">
        <v>0</v>
      </c>
      <c r="H70" s="68">
        <v>0</v>
      </c>
      <c r="J70" s="68">
        <v>0</v>
      </c>
      <c r="K70" s="68">
        <v>0</v>
      </c>
      <c r="L70" s="68">
        <v>0</v>
      </c>
      <c r="M70" s="68">
        <v>0</v>
      </c>
      <c r="O70" s="68">
        <v>0</v>
      </c>
      <c r="Q70" s="68">
        <v>0</v>
      </c>
      <c r="R70" s="68">
        <v>0</v>
      </c>
    </row>
    <row r="71" spans="2:18">
      <c r="B71" s="68">
        <v>2043</v>
      </c>
      <c r="C71" s="138">
        <f t="shared" si="20"/>
        <v>1</v>
      </c>
      <c r="E71" s="68">
        <v>0</v>
      </c>
      <c r="F71" s="68">
        <v>0</v>
      </c>
      <c r="G71" s="68">
        <v>0</v>
      </c>
      <c r="H71" s="68">
        <v>0</v>
      </c>
      <c r="J71" s="68">
        <v>0</v>
      </c>
      <c r="K71" s="68">
        <v>0</v>
      </c>
      <c r="L71" s="68">
        <v>0</v>
      </c>
      <c r="M71" s="68">
        <v>0</v>
      </c>
      <c r="O71" s="68">
        <v>0</v>
      </c>
      <c r="Q71" s="68">
        <v>0</v>
      </c>
      <c r="R71" s="68">
        <v>0</v>
      </c>
    </row>
    <row r="72" spans="2:18">
      <c r="B72" s="68">
        <v>2044</v>
      </c>
      <c r="C72" s="138">
        <f t="shared" si="20"/>
        <v>1</v>
      </c>
      <c r="E72" s="68">
        <v>0</v>
      </c>
      <c r="F72" s="68">
        <v>0</v>
      </c>
      <c r="G72" s="68">
        <v>0</v>
      </c>
      <c r="H72" s="68">
        <v>0</v>
      </c>
      <c r="J72" s="68">
        <v>0</v>
      </c>
      <c r="K72" s="68">
        <v>0</v>
      </c>
      <c r="L72" s="68">
        <v>0</v>
      </c>
      <c r="M72" s="68">
        <v>0</v>
      </c>
      <c r="O72" s="68">
        <v>0</v>
      </c>
      <c r="Q72" s="68">
        <v>0</v>
      </c>
      <c r="R72" s="68">
        <v>0</v>
      </c>
    </row>
    <row r="73" spans="2:18">
      <c r="B73" s="68">
        <v>2045</v>
      </c>
      <c r="C73" s="138">
        <f t="shared" si="20"/>
        <v>1</v>
      </c>
      <c r="E73" s="68">
        <v>0</v>
      </c>
      <c r="F73" s="68">
        <v>0</v>
      </c>
      <c r="G73" s="68">
        <v>0</v>
      </c>
      <c r="H73" s="68">
        <v>0</v>
      </c>
      <c r="J73" s="68">
        <v>0</v>
      </c>
      <c r="K73" s="68">
        <v>0</v>
      </c>
      <c r="L73" s="68">
        <v>0</v>
      </c>
      <c r="M73" s="68">
        <v>0</v>
      </c>
      <c r="O73" s="68">
        <v>0</v>
      </c>
      <c r="Q73" s="68">
        <v>0</v>
      </c>
      <c r="R73" s="68">
        <v>0</v>
      </c>
    </row>
    <row r="74" spans="2:18">
      <c r="B74" s="68">
        <v>2046</v>
      </c>
      <c r="C74" s="138">
        <f t="shared" si="20"/>
        <v>1</v>
      </c>
      <c r="E74" s="68">
        <v>0</v>
      </c>
      <c r="F74" s="68">
        <v>0</v>
      </c>
      <c r="G74" s="68">
        <v>0</v>
      </c>
      <c r="H74" s="68">
        <v>0</v>
      </c>
      <c r="J74" s="68">
        <v>0</v>
      </c>
      <c r="K74" s="68">
        <v>0</v>
      </c>
      <c r="L74" s="68">
        <v>0</v>
      </c>
      <c r="M74" s="68">
        <v>0</v>
      </c>
      <c r="O74" s="68">
        <v>0</v>
      </c>
      <c r="Q74" s="68">
        <v>0</v>
      </c>
      <c r="R74" s="68">
        <v>0</v>
      </c>
    </row>
    <row r="75" spans="2:18">
      <c r="B75" s="68">
        <v>2047</v>
      </c>
      <c r="C75" s="138">
        <f t="shared" si="20"/>
        <v>1</v>
      </c>
      <c r="E75" s="68">
        <v>0</v>
      </c>
      <c r="F75" s="68">
        <v>0</v>
      </c>
      <c r="G75" s="68">
        <v>0</v>
      </c>
      <c r="H75" s="68">
        <v>0</v>
      </c>
      <c r="J75" s="68">
        <v>0</v>
      </c>
      <c r="K75" s="68">
        <v>0</v>
      </c>
      <c r="L75" s="68">
        <v>0</v>
      </c>
      <c r="M75" s="68">
        <v>0</v>
      </c>
      <c r="O75" s="68">
        <v>0</v>
      </c>
      <c r="Q75" s="68">
        <v>0</v>
      </c>
      <c r="R75" s="68">
        <v>0</v>
      </c>
    </row>
    <row r="76" spans="2:18">
      <c r="B76" s="68">
        <v>2048</v>
      </c>
      <c r="C76" s="138">
        <f t="shared" si="20"/>
        <v>1</v>
      </c>
      <c r="E76" s="68">
        <v>0</v>
      </c>
      <c r="F76" s="68">
        <v>0</v>
      </c>
      <c r="G76" s="68">
        <v>0</v>
      </c>
      <c r="H76" s="68">
        <v>0</v>
      </c>
      <c r="J76" s="68">
        <v>0</v>
      </c>
      <c r="K76" s="68">
        <v>0</v>
      </c>
      <c r="L76" s="68">
        <v>0</v>
      </c>
      <c r="M76" s="68">
        <v>0</v>
      </c>
      <c r="O76" s="68">
        <v>0</v>
      </c>
      <c r="Q76" s="68">
        <v>0</v>
      </c>
      <c r="R76" s="68">
        <v>0</v>
      </c>
    </row>
    <row r="77" spans="2:18">
      <c r="B77" s="68">
        <v>2049</v>
      </c>
      <c r="C77" s="138">
        <f t="shared" si="20"/>
        <v>1</v>
      </c>
      <c r="E77" s="68">
        <v>0</v>
      </c>
      <c r="F77" s="68">
        <v>0</v>
      </c>
      <c r="G77" s="68">
        <v>0</v>
      </c>
      <c r="H77" s="68">
        <v>0</v>
      </c>
      <c r="J77" s="68">
        <v>0</v>
      </c>
      <c r="K77" s="68">
        <v>0</v>
      </c>
      <c r="L77" s="68">
        <v>0</v>
      </c>
      <c r="M77" s="68">
        <v>0</v>
      </c>
      <c r="O77" s="68">
        <v>0</v>
      </c>
      <c r="Q77" s="68">
        <v>0</v>
      </c>
      <c r="R77" s="68">
        <v>0</v>
      </c>
    </row>
    <row r="78" spans="2:18">
      <c r="B78" s="68">
        <v>2050</v>
      </c>
      <c r="C78" s="138">
        <f t="shared" si="20"/>
        <v>1</v>
      </c>
      <c r="E78" s="68">
        <v>0</v>
      </c>
      <c r="F78" s="68">
        <v>0</v>
      </c>
      <c r="G78" s="68">
        <v>0</v>
      </c>
      <c r="H78" s="68">
        <v>0</v>
      </c>
      <c r="J78" s="68">
        <v>0</v>
      </c>
      <c r="K78" s="68">
        <v>0</v>
      </c>
      <c r="L78" s="68">
        <v>0</v>
      </c>
      <c r="M78" s="68">
        <v>0</v>
      </c>
      <c r="O78" s="68">
        <v>0</v>
      </c>
      <c r="Q78" s="68">
        <v>0</v>
      </c>
      <c r="R78" s="68">
        <v>0</v>
      </c>
    </row>
    <row r="79" spans="2:18">
      <c r="B79" s="68">
        <v>2051</v>
      </c>
      <c r="C79" s="138">
        <f t="shared" si="20"/>
        <v>1</v>
      </c>
      <c r="E79" s="68">
        <v>0</v>
      </c>
      <c r="F79" s="68">
        <v>0</v>
      </c>
      <c r="G79" s="68">
        <v>0</v>
      </c>
      <c r="H79" s="68">
        <v>0</v>
      </c>
      <c r="J79" s="68">
        <v>0</v>
      </c>
      <c r="K79" s="68">
        <v>0</v>
      </c>
      <c r="L79" s="68">
        <v>0</v>
      </c>
      <c r="M79" s="68">
        <v>0</v>
      </c>
      <c r="O79" s="68">
        <v>0</v>
      </c>
      <c r="Q79" s="68">
        <v>0</v>
      </c>
      <c r="R79" s="68">
        <v>0</v>
      </c>
    </row>
    <row r="80" spans="2:18">
      <c r="B80" s="68">
        <v>2052</v>
      </c>
      <c r="C80" s="138">
        <f t="shared" si="20"/>
        <v>1</v>
      </c>
      <c r="E80" s="68">
        <v>0</v>
      </c>
      <c r="F80" s="68">
        <v>0</v>
      </c>
      <c r="G80" s="68">
        <v>0</v>
      </c>
      <c r="H80" s="68">
        <v>0</v>
      </c>
      <c r="J80" s="68">
        <v>0</v>
      </c>
      <c r="K80" s="68">
        <v>0</v>
      </c>
      <c r="L80" s="68">
        <v>0</v>
      </c>
      <c r="M80" s="68">
        <v>0</v>
      </c>
      <c r="O80" s="68">
        <v>0</v>
      </c>
      <c r="Q80" s="68">
        <v>0</v>
      </c>
      <c r="R80" s="68">
        <v>0</v>
      </c>
    </row>
    <row r="81" spans="2:29">
      <c r="B81" s="68">
        <v>2053</v>
      </c>
      <c r="C81" s="138">
        <f t="shared" si="20"/>
        <v>1</v>
      </c>
      <c r="E81" s="68">
        <v>0</v>
      </c>
      <c r="F81" s="68">
        <v>0</v>
      </c>
      <c r="G81" s="68">
        <v>0</v>
      </c>
      <c r="H81" s="68">
        <v>0</v>
      </c>
      <c r="J81" s="68">
        <v>0</v>
      </c>
      <c r="K81" s="68">
        <v>0</v>
      </c>
      <c r="L81" s="68">
        <v>0</v>
      </c>
      <c r="M81" s="68">
        <v>0</v>
      </c>
      <c r="O81" s="68">
        <v>0</v>
      </c>
      <c r="Q81" s="68">
        <v>0</v>
      </c>
      <c r="R81" s="68">
        <v>0</v>
      </c>
    </row>
    <row r="82" spans="2:29">
      <c r="B82" s="68">
        <v>2054</v>
      </c>
      <c r="C82" s="138">
        <f t="shared" si="20"/>
        <v>1</v>
      </c>
      <c r="E82" s="68">
        <v>0</v>
      </c>
      <c r="F82" s="68">
        <v>0</v>
      </c>
      <c r="G82" s="68">
        <v>0</v>
      </c>
      <c r="H82" s="68">
        <v>0</v>
      </c>
      <c r="J82" s="68">
        <v>0</v>
      </c>
      <c r="K82" s="68">
        <v>0</v>
      </c>
      <c r="L82" s="68">
        <v>0</v>
      </c>
      <c r="M82" s="68">
        <v>0</v>
      </c>
      <c r="O82" s="68">
        <v>0</v>
      </c>
      <c r="Q82" s="68">
        <v>0</v>
      </c>
      <c r="R82" s="68">
        <v>0</v>
      </c>
    </row>
    <row r="83" spans="2:29">
      <c r="B83" s="68">
        <v>2055</v>
      </c>
      <c r="C83" s="138">
        <f t="shared" si="20"/>
        <v>1</v>
      </c>
      <c r="E83" s="68">
        <v>0</v>
      </c>
      <c r="F83" s="68">
        <v>0</v>
      </c>
      <c r="G83" s="68">
        <v>0</v>
      </c>
      <c r="H83" s="68">
        <v>0</v>
      </c>
      <c r="J83" s="68">
        <v>0</v>
      </c>
      <c r="K83" s="68">
        <v>0</v>
      </c>
      <c r="L83" s="68">
        <v>0</v>
      </c>
      <c r="M83" s="68">
        <v>0</v>
      </c>
      <c r="O83" s="68">
        <v>0</v>
      </c>
      <c r="Q83" s="68">
        <v>0</v>
      </c>
      <c r="R83" s="68">
        <v>0</v>
      </c>
    </row>
    <row r="84" spans="2:29">
      <c r="B84" s="68">
        <v>2056</v>
      </c>
      <c r="C84" s="138">
        <f t="shared" si="20"/>
        <v>1</v>
      </c>
      <c r="E84" s="68">
        <v>0</v>
      </c>
      <c r="F84" s="68">
        <v>0</v>
      </c>
      <c r="G84" s="68">
        <v>0</v>
      </c>
      <c r="H84" s="68">
        <v>0</v>
      </c>
      <c r="J84" s="68">
        <v>0</v>
      </c>
      <c r="K84" s="68">
        <v>0</v>
      </c>
      <c r="L84" s="68">
        <v>0</v>
      </c>
      <c r="M84" s="68">
        <v>0</v>
      </c>
      <c r="O84" s="68">
        <v>0</v>
      </c>
      <c r="Q84" s="68">
        <v>0</v>
      </c>
      <c r="R84" s="68">
        <v>0</v>
      </c>
    </row>
    <row r="85" spans="2:29">
      <c r="B85" s="68">
        <v>2057</v>
      </c>
      <c r="C85" s="138">
        <f t="shared" si="20"/>
        <v>1</v>
      </c>
      <c r="E85" s="68">
        <v>0</v>
      </c>
      <c r="F85" s="68">
        <v>0</v>
      </c>
      <c r="G85" s="68">
        <v>0</v>
      </c>
      <c r="H85" s="68">
        <v>0</v>
      </c>
      <c r="J85" s="68">
        <v>0</v>
      </c>
      <c r="K85" s="68">
        <v>0</v>
      </c>
      <c r="L85" s="68">
        <v>0</v>
      </c>
      <c r="M85" s="68">
        <v>0</v>
      </c>
      <c r="O85" s="68">
        <v>0</v>
      </c>
      <c r="Q85" s="68">
        <v>0</v>
      </c>
      <c r="R85" s="68">
        <v>0</v>
      </c>
    </row>
    <row r="86" spans="2:29">
      <c r="B86" s="68">
        <v>2058</v>
      </c>
      <c r="C86" s="138">
        <f t="shared" si="20"/>
        <v>1</v>
      </c>
      <c r="E86" s="68">
        <v>0</v>
      </c>
      <c r="F86" s="68">
        <v>0</v>
      </c>
      <c r="G86" s="68">
        <v>0</v>
      </c>
      <c r="H86" s="68">
        <v>0</v>
      </c>
      <c r="J86" s="68">
        <v>0</v>
      </c>
      <c r="K86" s="68">
        <v>0</v>
      </c>
      <c r="L86" s="68">
        <v>0</v>
      </c>
      <c r="M86" s="68">
        <v>0</v>
      </c>
      <c r="O86" s="68">
        <v>0</v>
      </c>
      <c r="Q86" s="68">
        <v>0</v>
      </c>
      <c r="R86" s="68">
        <v>0</v>
      </c>
    </row>
    <row r="87" spans="2:29">
      <c r="B87" s="68">
        <v>2059</v>
      </c>
      <c r="C87" s="138">
        <f t="shared" si="20"/>
        <v>1</v>
      </c>
      <c r="E87" s="68">
        <v>0</v>
      </c>
      <c r="F87" s="68">
        <v>0</v>
      </c>
      <c r="G87" s="68">
        <v>0</v>
      </c>
      <c r="H87" s="68">
        <v>0</v>
      </c>
      <c r="J87" s="68">
        <v>0</v>
      </c>
      <c r="K87" s="68">
        <v>0</v>
      </c>
      <c r="L87" s="68">
        <v>0</v>
      </c>
      <c r="M87" s="68">
        <v>0</v>
      </c>
      <c r="O87" s="68">
        <v>0</v>
      </c>
      <c r="Q87" s="68">
        <v>0</v>
      </c>
      <c r="R87" s="68">
        <v>0</v>
      </c>
    </row>
    <row r="92" spans="2:29" ht="15">
      <c r="B92" s="22" t="s">
        <v>1498</v>
      </c>
    </row>
    <row r="93" spans="2:29" ht="15">
      <c r="D93" s="22">
        <v>2025</v>
      </c>
      <c r="E93" s="22">
        <v>2026</v>
      </c>
      <c r="F93" s="22">
        <v>2027</v>
      </c>
      <c r="G93" s="22">
        <v>2028</v>
      </c>
      <c r="H93" s="22">
        <v>2029</v>
      </c>
      <c r="I93" s="22">
        <v>2030</v>
      </c>
      <c r="J93" s="22">
        <v>2031</v>
      </c>
      <c r="K93" s="22">
        <v>2032</v>
      </c>
      <c r="L93" s="22">
        <v>2033</v>
      </c>
      <c r="M93" s="22">
        <v>2034</v>
      </c>
      <c r="N93" s="22">
        <v>2035</v>
      </c>
      <c r="O93" s="22">
        <v>2036</v>
      </c>
      <c r="P93" s="22">
        <v>2037</v>
      </c>
      <c r="Q93" s="22">
        <v>2038</v>
      </c>
      <c r="R93" s="22">
        <v>2039</v>
      </c>
      <c r="S93" s="22">
        <v>2040</v>
      </c>
      <c r="T93" s="22">
        <v>2041</v>
      </c>
      <c r="U93" s="22">
        <v>2042</v>
      </c>
      <c r="V93" s="22">
        <v>2043</v>
      </c>
      <c r="W93" s="22">
        <v>2044</v>
      </c>
      <c r="X93" s="22">
        <v>2045</v>
      </c>
      <c r="Y93" s="22">
        <v>2046</v>
      </c>
      <c r="Z93" s="22">
        <v>2047</v>
      </c>
      <c r="AA93" s="22">
        <v>2048</v>
      </c>
      <c r="AB93" s="22">
        <v>2049</v>
      </c>
      <c r="AC93" s="22">
        <v>2050</v>
      </c>
    </row>
    <row r="94" spans="2:29">
      <c r="B94" t="s">
        <v>731</v>
      </c>
      <c r="C94" t="s">
        <v>180</v>
      </c>
      <c r="D94">
        <v>14.877049180327868</v>
      </c>
      <c r="E94">
        <v>14.498360655737638</v>
      </c>
      <c r="F94">
        <v>14.119672131147574</v>
      </c>
      <c r="G94">
        <v>13.740983606557345</v>
      </c>
      <c r="H94">
        <v>13.362295081967115</v>
      </c>
      <c r="I94">
        <v>12.983606557377048</v>
      </c>
      <c r="J94">
        <v>12.983606557377048</v>
      </c>
      <c r="K94">
        <v>12.983606557377048</v>
      </c>
      <c r="L94">
        <v>12.983606557377048</v>
      </c>
      <c r="M94">
        <v>12.983606557377048</v>
      </c>
      <c r="N94">
        <v>12.983606557377048</v>
      </c>
      <c r="O94">
        <v>12.983606557377048</v>
      </c>
      <c r="P94">
        <v>12.983606557377048</v>
      </c>
      <c r="Q94">
        <v>12.983606557377048</v>
      </c>
      <c r="R94">
        <v>12.983606557377048</v>
      </c>
      <c r="S94">
        <v>12.983606557377048</v>
      </c>
      <c r="T94">
        <v>12.983606557377048</v>
      </c>
      <c r="U94">
        <v>12.983606557377048</v>
      </c>
      <c r="V94">
        <v>12.983606557377048</v>
      </c>
      <c r="W94">
        <v>12.983606557377048</v>
      </c>
      <c r="X94">
        <v>12.983606557377048</v>
      </c>
      <c r="Y94">
        <v>12.983606557377048</v>
      </c>
      <c r="Z94">
        <v>12.983606557377048</v>
      </c>
      <c r="AA94">
        <v>12.983606557377048</v>
      </c>
      <c r="AB94">
        <v>12.983606557377048</v>
      </c>
      <c r="AC94">
        <v>12.983606557377048</v>
      </c>
    </row>
    <row r="95" spans="2:29">
      <c r="B95" t="s">
        <v>731</v>
      </c>
      <c r="C95" t="s">
        <v>805</v>
      </c>
      <c r="D95">
        <v>8.9970124451701352</v>
      </c>
      <c r="E95">
        <v>8.9230926837866971</v>
      </c>
      <c r="F95">
        <v>8.8491729224032589</v>
      </c>
      <c r="G95">
        <v>8.7752531610198208</v>
      </c>
      <c r="H95">
        <v>8.701333399636388</v>
      </c>
      <c r="I95">
        <v>8.6274136382529463</v>
      </c>
      <c r="J95">
        <v>8.7219196990047703</v>
      </c>
      <c r="K95">
        <v>8.8164257597565872</v>
      </c>
      <c r="L95">
        <v>8.9109318205084094</v>
      </c>
      <c r="M95">
        <v>9.0054378812602245</v>
      </c>
      <c r="N95">
        <v>9.0999439420120414</v>
      </c>
      <c r="O95">
        <v>9.0762753219460777</v>
      </c>
      <c r="P95">
        <v>9.0526067018801086</v>
      </c>
      <c r="Q95">
        <v>9.0289380818141378</v>
      </c>
      <c r="R95">
        <v>9.005269461748167</v>
      </c>
      <c r="S95">
        <v>8.9816008416822051</v>
      </c>
      <c r="T95">
        <v>8.9619331057647109</v>
      </c>
      <c r="U95">
        <v>8.9422653698472239</v>
      </c>
      <c r="V95">
        <v>8.9225976339297315</v>
      </c>
      <c r="W95">
        <v>8.9029298980122391</v>
      </c>
      <c r="X95">
        <v>8.883262162094745</v>
      </c>
      <c r="Y95">
        <v>8.864590689574813</v>
      </c>
      <c r="Z95">
        <v>8.845919217054881</v>
      </c>
      <c r="AA95">
        <v>8.8272477445349509</v>
      </c>
      <c r="AB95">
        <v>8.8085762720150189</v>
      </c>
      <c r="AC95">
        <v>8.789904799495087</v>
      </c>
    </row>
    <row r="96" spans="2:29">
      <c r="B96" t="s">
        <v>731</v>
      </c>
      <c r="C96" t="s">
        <v>121</v>
      </c>
      <c r="D96">
        <v>45.65282798090626</v>
      </c>
      <c r="E96">
        <v>42.879671571138459</v>
      </c>
      <c r="F96">
        <v>40.057783708323683</v>
      </c>
      <c r="G96">
        <v>37.187825637312478</v>
      </c>
      <c r="H96">
        <v>34.270458602956531</v>
      </c>
      <c r="I96">
        <v>31.306343850105058</v>
      </c>
      <c r="J96">
        <v>30.928424789947293</v>
      </c>
      <c r="K96">
        <v>30.475894659512001</v>
      </c>
      <c r="L96">
        <v>29.949060506499372</v>
      </c>
      <c r="M96">
        <v>29.34822937860924</v>
      </c>
      <c r="N96">
        <v>28.673708323542748</v>
      </c>
      <c r="O96">
        <v>28.034364683369528</v>
      </c>
      <c r="P96">
        <v>27.345590645101108</v>
      </c>
      <c r="Q96">
        <v>26.607558760231207</v>
      </c>
      <c r="R96">
        <v>25.820441580251561</v>
      </c>
      <c r="S96">
        <v>24.984411656655201</v>
      </c>
      <c r="T96">
        <v>24.284037150165862</v>
      </c>
      <c r="U96">
        <v>23.556516821440191</v>
      </c>
      <c r="V96">
        <v>22.801811137333125</v>
      </c>
      <c r="W96">
        <v>22.019880564698234</v>
      </c>
      <c r="X96">
        <v>21.210685570390105</v>
      </c>
      <c r="Y96">
        <v>20.497226260214937</v>
      </c>
      <c r="Z96">
        <v>19.770992865527692</v>
      </c>
      <c r="AA96">
        <v>19.031947095656903</v>
      </c>
      <c r="AB96">
        <v>18.280050659931156</v>
      </c>
      <c r="AC96">
        <v>17.515265267679062</v>
      </c>
    </row>
    <row r="97" spans="2:29">
      <c r="B97" t="s">
        <v>731</v>
      </c>
      <c r="C97" t="s">
        <v>742</v>
      </c>
      <c r="D97">
        <v>61.449517623917423</v>
      </c>
      <c r="E97">
        <v>59.013026782252695</v>
      </c>
      <c r="F97">
        <v>56.5278146391178</v>
      </c>
      <c r="G97">
        <v>53.994536263044353</v>
      </c>
      <c r="H97">
        <v>51.413846722565083</v>
      </c>
      <c r="I97">
        <v>48.786401086210191</v>
      </c>
      <c r="J97">
        <v>47.97438094454364</v>
      </c>
      <c r="K97">
        <v>47.088446632949811</v>
      </c>
      <c r="L97">
        <v>46.128902331167779</v>
      </c>
      <c r="M97">
        <v>45.096052218936222</v>
      </c>
      <c r="N97">
        <v>43.990200475995159</v>
      </c>
      <c r="O97">
        <v>42.930275108994607</v>
      </c>
      <c r="P97">
        <v>41.821381045649247</v>
      </c>
      <c r="Q97">
        <v>40.663689225745635</v>
      </c>
      <c r="R97">
        <v>39.457370589068375</v>
      </c>
      <c r="S97">
        <v>38.202596075403321</v>
      </c>
      <c r="T97">
        <v>37.013790768786265</v>
      </c>
      <c r="U97">
        <v>35.798093193902197</v>
      </c>
      <c r="V97">
        <v>34.555464186863112</v>
      </c>
      <c r="W97">
        <v>33.285864583779592</v>
      </c>
      <c r="X97">
        <v>31.989255220763308</v>
      </c>
      <c r="Y97">
        <v>30.792178474160099</v>
      </c>
      <c r="Z97">
        <v>29.582446958636165</v>
      </c>
      <c r="AA97">
        <v>28.360022741171811</v>
      </c>
      <c r="AB97">
        <v>27.124867888747406</v>
      </c>
      <c r="AC97">
        <v>25.876944468343339</v>
      </c>
    </row>
    <row r="98" spans="2:29">
      <c r="B98" t="s">
        <v>731</v>
      </c>
      <c r="C98" t="s">
        <v>763</v>
      </c>
      <c r="D98">
        <v>49.935464699999521</v>
      </c>
      <c r="E98">
        <v>48.316813881280375</v>
      </c>
      <c r="F98">
        <v>46.646796584320555</v>
      </c>
      <c r="G98">
        <v>44.926103442630641</v>
      </c>
      <c r="H98">
        <v>43.155425089722378</v>
      </c>
      <c r="I98">
        <v>41.335452159104932</v>
      </c>
      <c r="J98">
        <v>40.786231384948394</v>
      </c>
      <c r="K98">
        <v>40.159083492946429</v>
      </c>
      <c r="L98">
        <v>39.454329177363697</v>
      </c>
      <c r="M98">
        <v>38.672289132464449</v>
      </c>
      <c r="N98">
        <v>37.813284052514348</v>
      </c>
      <c r="O98">
        <v>36.993983658515347</v>
      </c>
      <c r="P98">
        <v>36.123055959839128</v>
      </c>
      <c r="Q98">
        <v>35.200681176934694</v>
      </c>
      <c r="R98">
        <v>34.227039530248973</v>
      </c>
      <c r="S98">
        <v>33.202311240230244</v>
      </c>
      <c r="T98">
        <v>32.279045119836432</v>
      </c>
      <c r="U98">
        <v>31.327426696218005</v>
      </c>
      <c r="V98">
        <v>30.347414679201229</v>
      </c>
      <c r="W98">
        <v>29.338967778610947</v>
      </c>
      <c r="X98">
        <v>28.302044704273058</v>
      </c>
      <c r="Y98">
        <v>27.366590636768702</v>
      </c>
      <c r="Z98">
        <v>26.417794747662853</v>
      </c>
      <c r="AA98">
        <v>25.455617044476401</v>
      </c>
      <c r="AB98">
        <v>24.480017534730337</v>
      </c>
      <c r="AC98">
        <v>23.490956225945638</v>
      </c>
    </row>
    <row r="99" spans="2:29">
      <c r="B99" t="s">
        <v>731</v>
      </c>
      <c r="C99" t="s">
        <v>746</v>
      </c>
      <c r="D99">
        <v>24.729979559340908</v>
      </c>
      <c r="E99">
        <v>24.338234460822115</v>
      </c>
      <c r="F99">
        <v>23.946665333191518</v>
      </c>
      <c r="G99">
        <v>23.555272176449108</v>
      </c>
      <c r="H99">
        <v>23.164054990594906</v>
      </c>
      <c r="I99">
        <v>22.773013775628893</v>
      </c>
      <c r="J99">
        <v>22.858516677925508</v>
      </c>
      <c r="K99">
        <v>22.943888087339786</v>
      </c>
      <c r="L99">
        <v>23.029128003871708</v>
      </c>
      <c r="M99">
        <v>23.114236427521291</v>
      </c>
      <c r="N99">
        <v>23.199213358288532</v>
      </c>
      <c r="O99">
        <v>23.108425670238255</v>
      </c>
      <c r="P99">
        <v>23.017531390823127</v>
      </c>
      <c r="Q99">
        <v>22.926530520043141</v>
      </c>
      <c r="R99">
        <v>22.835423057898289</v>
      </c>
      <c r="S99">
        <v>22.74420900438858</v>
      </c>
      <c r="T99">
        <v>22.660946335133566</v>
      </c>
      <c r="U99">
        <v>22.577640723610216</v>
      </c>
      <c r="V99">
        <v>22.494292169818529</v>
      </c>
      <c r="W99">
        <v>22.410900673758508</v>
      </c>
      <c r="X99">
        <v>22.327466235430137</v>
      </c>
      <c r="Y99">
        <v>22.245350261629667</v>
      </c>
      <c r="Z99">
        <v>22.163201890927201</v>
      </c>
      <c r="AA99">
        <v>22.081021123322753</v>
      </c>
      <c r="AB99">
        <v>21.998807958816318</v>
      </c>
      <c r="AC99">
        <v>21.916562397407905</v>
      </c>
    </row>
    <row r="101" spans="2:29" ht="15">
      <c r="B101" s="22" t="s">
        <v>1499</v>
      </c>
    </row>
    <row r="102" spans="2:29" ht="15">
      <c r="C102" t="s">
        <v>1500</v>
      </c>
      <c r="D102" s="22">
        <v>2025</v>
      </c>
      <c r="E102" s="22">
        <v>2026</v>
      </c>
      <c r="F102" s="22">
        <v>2027</v>
      </c>
      <c r="G102" s="22">
        <v>2028</v>
      </c>
      <c r="H102" s="22">
        <v>2029</v>
      </c>
      <c r="I102" s="22">
        <v>2030</v>
      </c>
      <c r="J102" s="22">
        <v>2031</v>
      </c>
      <c r="K102" s="22">
        <v>2032</v>
      </c>
      <c r="L102" s="22">
        <v>2033</v>
      </c>
      <c r="M102" s="22">
        <v>2034</v>
      </c>
      <c r="N102" s="22">
        <v>2035</v>
      </c>
      <c r="O102" s="22">
        <v>2036</v>
      </c>
      <c r="P102" s="22">
        <v>2037</v>
      </c>
      <c r="Q102" s="22">
        <v>2038</v>
      </c>
      <c r="R102" s="22">
        <v>2039</v>
      </c>
      <c r="S102" s="22">
        <v>2040</v>
      </c>
      <c r="T102" s="22">
        <v>2041</v>
      </c>
      <c r="U102" s="22">
        <v>2042</v>
      </c>
      <c r="V102" s="22">
        <v>2043</v>
      </c>
      <c r="W102" s="22">
        <v>2044</v>
      </c>
      <c r="X102" s="22">
        <v>2045</v>
      </c>
      <c r="Y102" s="22">
        <v>2046</v>
      </c>
      <c r="Z102" s="22">
        <v>2047</v>
      </c>
      <c r="AA102" s="22">
        <v>2048</v>
      </c>
      <c r="AB102" s="22">
        <v>2049</v>
      </c>
      <c r="AC102" s="22">
        <v>2050</v>
      </c>
    </row>
    <row r="103" spans="2:29">
      <c r="B103" t="s">
        <v>731</v>
      </c>
      <c r="C103" t="s">
        <v>180</v>
      </c>
      <c r="D103">
        <v>14.877049180327868</v>
      </c>
      <c r="E103">
        <v>14.498360655737638</v>
      </c>
      <c r="F103">
        <v>14.119672131147574</v>
      </c>
      <c r="G103">
        <v>13.740983606557345</v>
      </c>
      <c r="H103">
        <v>13.362295081967115</v>
      </c>
      <c r="I103">
        <v>12.983606557377048</v>
      </c>
      <c r="J103">
        <v>12.983606557377048</v>
      </c>
      <c r="K103">
        <v>12.983606557377048</v>
      </c>
      <c r="L103">
        <v>12.983606557377048</v>
      </c>
      <c r="M103">
        <v>12.983606557377048</v>
      </c>
      <c r="N103">
        <v>12.983606557377048</v>
      </c>
      <c r="O103">
        <v>12.983606557377048</v>
      </c>
      <c r="P103">
        <v>12.983606557377048</v>
      </c>
      <c r="Q103">
        <v>12.983606557377048</v>
      </c>
      <c r="R103">
        <v>12.983606557377048</v>
      </c>
      <c r="S103">
        <v>12.983606557377048</v>
      </c>
      <c r="T103">
        <v>12.983606557377048</v>
      </c>
      <c r="U103">
        <v>12.983606557377048</v>
      </c>
      <c r="V103">
        <v>12.983606557377048</v>
      </c>
      <c r="W103">
        <v>12.983606557377048</v>
      </c>
      <c r="X103">
        <v>12.983606557377048</v>
      </c>
      <c r="Y103">
        <v>12.983606557377048</v>
      </c>
      <c r="Z103">
        <v>12.983606557377048</v>
      </c>
      <c r="AA103">
        <v>12.983606557377048</v>
      </c>
      <c r="AB103">
        <v>12.983606557377048</v>
      </c>
      <c r="AC103">
        <v>12.983606557377048</v>
      </c>
    </row>
    <row r="104" spans="2:29">
      <c r="B104" t="s">
        <v>731</v>
      </c>
      <c r="C104" t="s">
        <v>805</v>
      </c>
      <c r="D104">
        <v>8.9970124451701352</v>
      </c>
      <c r="E104">
        <v>8.9230926837866971</v>
      </c>
      <c r="F104">
        <v>8.8491729224032589</v>
      </c>
      <c r="G104">
        <v>8.7752531610198208</v>
      </c>
      <c r="H104">
        <v>8.701333399636388</v>
      </c>
      <c r="I104">
        <v>8.6274136382529463</v>
      </c>
      <c r="J104">
        <v>8.7219196990047703</v>
      </c>
      <c r="K104">
        <v>8.8164257597565872</v>
      </c>
      <c r="L104">
        <v>8.9109318205084094</v>
      </c>
      <c r="M104">
        <v>9.0054378812602245</v>
      </c>
      <c r="N104">
        <v>9.0999439420120414</v>
      </c>
      <c r="O104">
        <v>9.0762753219460777</v>
      </c>
      <c r="P104">
        <v>9.0526067018801086</v>
      </c>
      <c r="Q104">
        <v>9.0289380818141378</v>
      </c>
      <c r="R104">
        <v>9.005269461748167</v>
      </c>
      <c r="S104">
        <v>8.9816008416822051</v>
      </c>
      <c r="T104">
        <v>8.9619331057647109</v>
      </c>
      <c r="U104">
        <v>8.9422653698472239</v>
      </c>
      <c r="V104">
        <v>8.9225976339297315</v>
      </c>
      <c r="W104">
        <v>8.9029298980122391</v>
      </c>
      <c r="X104">
        <v>8.883262162094745</v>
      </c>
      <c r="Y104">
        <v>8.864590689574813</v>
      </c>
      <c r="Z104">
        <v>8.845919217054881</v>
      </c>
      <c r="AA104">
        <v>8.8272477445349509</v>
      </c>
      <c r="AB104">
        <v>8.8085762720150189</v>
      </c>
      <c r="AC104">
        <v>8.789904799495087</v>
      </c>
    </row>
    <row r="105" spans="2:29">
      <c r="B105" t="s">
        <v>731</v>
      </c>
      <c r="C105" t="s">
        <v>121</v>
      </c>
      <c r="D105">
        <v>29.395232495724091</v>
      </c>
      <c r="E105">
        <v>26.622076085956291</v>
      </c>
      <c r="F105">
        <v>23.800188223141514</v>
      </c>
      <c r="G105">
        <v>20.93023015213031</v>
      </c>
      <c r="H105">
        <v>18.012863117774362</v>
      </c>
      <c r="I105">
        <v>15.04874836492289</v>
      </c>
      <c r="J105">
        <v>14.670829304765125</v>
      </c>
      <c r="K105">
        <v>14.218299174329832</v>
      </c>
      <c r="L105">
        <v>13.691465021317203</v>
      </c>
      <c r="M105">
        <v>13.090633893427071</v>
      </c>
      <c r="N105">
        <v>12.416112838360579</v>
      </c>
      <c r="O105">
        <v>11.77676919818736</v>
      </c>
      <c r="P105">
        <v>11.08799515991894</v>
      </c>
      <c r="Q105">
        <v>10.349963275049038</v>
      </c>
      <c r="R105">
        <v>9.5628460950693928</v>
      </c>
      <c r="S105">
        <v>8.7268161714730326</v>
      </c>
      <c r="T105">
        <v>8.0264416649836932</v>
      </c>
      <c r="U105">
        <v>7.2989213362580223</v>
      </c>
      <c r="V105">
        <v>6.5442156521509567</v>
      </c>
      <c r="W105">
        <v>5.7622850795160652</v>
      </c>
      <c r="X105">
        <v>4.9530900852079363</v>
      </c>
      <c r="Y105">
        <v>4.2396307750327686</v>
      </c>
      <c r="Z105">
        <v>3.5133973803455234</v>
      </c>
      <c r="AA105">
        <v>2.774351610474735</v>
      </c>
      <c r="AB105">
        <v>2.0224551747489876</v>
      </c>
      <c r="AC105">
        <v>1.2576697824968939</v>
      </c>
    </row>
    <row r="106" spans="2:29">
      <c r="B106" t="s">
        <v>731</v>
      </c>
      <c r="C106" t="s">
        <v>742</v>
      </c>
      <c r="D106">
        <v>45.237309060804435</v>
      </c>
      <c r="E106">
        <v>42.800818219139707</v>
      </c>
      <c r="F106">
        <v>40.315606076004812</v>
      </c>
      <c r="G106">
        <v>37.782327699931365</v>
      </c>
      <c r="H106">
        <v>35.201638159452095</v>
      </c>
      <c r="I106">
        <v>32.574192523097203</v>
      </c>
      <c r="J106">
        <v>31.762172381430652</v>
      </c>
      <c r="K106">
        <v>30.876238069836823</v>
      </c>
      <c r="L106">
        <v>29.916693768054792</v>
      </c>
      <c r="M106">
        <v>28.883843655823235</v>
      </c>
      <c r="N106">
        <v>27.777991912882172</v>
      </c>
      <c r="O106">
        <v>26.718066545881619</v>
      </c>
      <c r="P106">
        <v>25.609172482536259</v>
      </c>
      <c r="Q106">
        <v>24.451480662632648</v>
      </c>
      <c r="R106">
        <v>23.245162025955388</v>
      </c>
      <c r="S106">
        <v>21.990387512290333</v>
      </c>
      <c r="T106">
        <v>20.801582205673277</v>
      </c>
      <c r="U106">
        <v>19.585884630789209</v>
      </c>
      <c r="V106">
        <v>18.343255623750125</v>
      </c>
      <c r="W106">
        <v>17.073656020666604</v>
      </c>
      <c r="X106">
        <v>15.77704665765032</v>
      </c>
      <c r="Y106">
        <v>14.579969911047112</v>
      </c>
      <c r="Z106">
        <v>13.370238395523177</v>
      </c>
      <c r="AA106">
        <v>12.147814178058823</v>
      </c>
      <c r="AB106">
        <v>10.912659325634419</v>
      </c>
      <c r="AC106">
        <v>9.6647359052303514</v>
      </c>
    </row>
    <row r="107" spans="2:29">
      <c r="B107" t="s">
        <v>731</v>
      </c>
      <c r="C107" t="s">
        <v>763</v>
      </c>
      <c r="D107">
        <v>32.955309415475924</v>
      </c>
      <c r="E107">
        <v>31.336658596756777</v>
      </c>
      <c r="F107">
        <v>29.666641299796957</v>
      </c>
      <c r="G107">
        <v>27.945948158107043</v>
      </c>
      <c r="H107">
        <v>26.175269805198781</v>
      </c>
      <c r="I107">
        <v>24.355296874581335</v>
      </c>
      <c r="J107">
        <v>23.806076100424796</v>
      </c>
      <c r="K107">
        <v>23.178928208422832</v>
      </c>
      <c r="L107">
        <v>22.474173892840099</v>
      </c>
      <c r="M107">
        <v>21.692133847940852</v>
      </c>
      <c r="N107">
        <v>20.83312876799075</v>
      </c>
      <c r="O107">
        <v>20.01382837399175</v>
      </c>
      <c r="P107">
        <v>19.142900675315531</v>
      </c>
      <c r="Q107">
        <v>18.220525892411096</v>
      </c>
      <c r="R107">
        <v>17.246884245725376</v>
      </c>
      <c r="S107">
        <v>16.222155955706647</v>
      </c>
      <c r="T107">
        <v>15.298889835312835</v>
      </c>
      <c r="U107">
        <v>14.347271411694408</v>
      </c>
      <c r="V107">
        <v>13.367259394677632</v>
      </c>
      <c r="W107">
        <v>12.358812494087349</v>
      </c>
      <c r="X107">
        <v>11.321889419749461</v>
      </c>
      <c r="Y107">
        <v>10.386435352245105</v>
      </c>
      <c r="Z107">
        <v>9.4376394631392557</v>
      </c>
      <c r="AA107">
        <v>8.4754617599528039</v>
      </c>
      <c r="AB107">
        <v>7.4998622502067391</v>
      </c>
      <c r="AC107">
        <v>6.5108009414220405</v>
      </c>
    </row>
    <row r="108" spans="2:29">
      <c r="B108" t="s">
        <v>731</v>
      </c>
      <c r="C108" t="s">
        <v>746</v>
      </c>
      <c r="D108">
        <v>20.123660838539294</v>
      </c>
      <c r="E108">
        <v>19.731915740020501</v>
      </c>
      <c r="F108">
        <v>19.340346612389904</v>
      </c>
      <c r="G108">
        <v>18.948953455647494</v>
      </c>
      <c r="H108">
        <v>18.557736269793292</v>
      </c>
      <c r="I108">
        <v>18.166695054827279</v>
      </c>
      <c r="J108">
        <v>18.252197957123894</v>
      </c>
      <c r="K108">
        <v>18.337569366538172</v>
      </c>
      <c r="L108">
        <v>18.422809283070094</v>
      </c>
      <c r="M108">
        <v>18.507917706719677</v>
      </c>
      <c r="N108">
        <v>18.592894637486918</v>
      </c>
      <c r="O108">
        <v>18.502106949436641</v>
      </c>
      <c r="P108">
        <v>18.411212670021513</v>
      </c>
      <c r="Q108">
        <v>18.320211799241527</v>
      </c>
      <c r="R108">
        <v>18.229104337096675</v>
      </c>
      <c r="S108">
        <v>18.137890283586966</v>
      </c>
      <c r="T108">
        <v>18.054627614331952</v>
      </c>
      <c r="U108">
        <v>17.971322002808602</v>
      </c>
      <c r="V108">
        <v>17.887973449016915</v>
      </c>
      <c r="W108">
        <v>17.804581952956894</v>
      </c>
      <c r="X108">
        <v>17.721147514628523</v>
      </c>
      <c r="Y108">
        <v>17.639031540828054</v>
      </c>
      <c r="Z108">
        <v>17.556883170125587</v>
      </c>
      <c r="AA108">
        <v>17.474702402521139</v>
      </c>
      <c r="AB108">
        <v>17.392489238014704</v>
      </c>
      <c r="AC108">
        <v>17.310243676606291</v>
      </c>
    </row>
    <row r="110" spans="2:29" ht="15">
      <c r="B110" s="22" t="s">
        <v>1501</v>
      </c>
    </row>
    <row r="111" spans="2:29" ht="15">
      <c r="C111" t="s">
        <v>1502</v>
      </c>
      <c r="D111" s="22">
        <v>2025</v>
      </c>
      <c r="E111" s="22">
        <v>2026</v>
      </c>
      <c r="F111" s="22">
        <v>2027</v>
      </c>
      <c r="G111" s="22">
        <v>2028</v>
      </c>
      <c r="H111" s="22">
        <v>2029</v>
      </c>
      <c r="I111" s="22">
        <v>2030</v>
      </c>
      <c r="J111" s="22">
        <v>2031</v>
      </c>
      <c r="K111" s="22">
        <v>2032</v>
      </c>
      <c r="L111" s="22">
        <v>2033</v>
      </c>
      <c r="M111" s="22">
        <v>2034</v>
      </c>
      <c r="N111" s="22">
        <v>2035</v>
      </c>
      <c r="O111" s="22">
        <v>2036</v>
      </c>
      <c r="P111" s="22">
        <v>2037</v>
      </c>
      <c r="Q111" s="22">
        <v>2038</v>
      </c>
      <c r="R111" s="22">
        <v>2039</v>
      </c>
      <c r="S111" s="22">
        <v>2040</v>
      </c>
      <c r="T111" s="22">
        <v>2041</v>
      </c>
      <c r="U111" s="22">
        <v>2042</v>
      </c>
      <c r="V111" s="22">
        <v>2043</v>
      </c>
      <c r="W111" s="22">
        <v>2044</v>
      </c>
      <c r="X111" s="22">
        <v>2045</v>
      </c>
      <c r="Y111" s="22">
        <v>2046</v>
      </c>
      <c r="Z111" s="22">
        <v>2047</v>
      </c>
      <c r="AA111" s="22">
        <v>2048</v>
      </c>
      <c r="AB111" s="22">
        <v>2049</v>
      </c>
      <c r="AC111" s="22">
        <v>2050</v>
      </c>
    </row>
    <row r="112" spans="2:29">
      <c r="B112" t="s">
        <v>731</v>
      </c>
      <c r="C112" t="s">
        <v>180</v>
      </c>
      <c r="D112">
        <f>INDEX($B$5:$D$14,MATCH($C112,$B$5:$B$14,0),MATCH("IRA Levelized Credit [USD/GJ]",$B$5:$D$5,0))</f>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row>
    <row r="113" spans="2:29">
      <c r="B113" t="s">
        <v>731</v>
      </c>
      <c r="C113" t="s">
        <v>805</v>
      </c>
      <c r="D113">
        <f>INDEX($B$5:$D$14,MATCH($C113,$B$5:$B$14,0),MATCH("IRA Levelized Credit [USD/GJ]",$B$5:$D$5,0))</f>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row>
    <row r="114" spans="2:29">
      <c r="B114" t="s">
        <v>731</v>
      </c>
      <c r="C114" t="s">
        <v>121</v>
      </c>
      <c r="D114">
        <f>INDEX($B$5:$D$14,MATCH($C114,$B$5:$B$14,0),MATCH("IRA Levelized Credit [USD/GJ]",$B$5:$D$5,0))</f>
        <v>9.5744680851063819</v>
      </c>
      <c r="E114">
        <f t="shared" ref="E114:N116" si="22">INDEX($B$5:$D$14,MATCH($C114,$B$5:$B$14,0),MATCH("IRA Levelized Credit [USD/GJ]",$B$5:$D$5,0))</f>
        <v>9.5744680851063819</v>
      </c>
      <c r="F114">
        <f t="shared" si="22"/>
        <v>9.5744680851063819</v>
      </c>
      <c r="G114">
        <f t="shared" si="22"/>
        <v>9.5744680851063819</v>
      </c>
      <c r="H114">
        <f t="shared" si="22"/>
        <v>9.5744680851063819</v>
      </c>
      <c r="I114">
        <f t="shared" si="22"/>
        <v>9.5744680851063819</v>
      </c>
      <c r="J114">
        <f t="shared" si="22"/>
        <v>9.5744680851063819</v>
      </c>
      <c r="K114">
        <f t="shared" si="22"/>
        <v>9.5744680851063819</v>
      </c>
      <c r="L114">
        <f t="shared" si="22"/>
        <v>9.5744680851063819</v>
      </c>
      <c r="M114">
        <f t="shared" si="22"/>
        <v>9.5744680851063819</v>
      </c>
      <c r="N114">
        <f t="shared" si="22"/>
        <v>9.5744680851063819</v>
      </c>
      <c r="O114">
        <f t="shared" ref="O114:AC116" si="23">INDEX($B$5:$D$14,MATCH($C114,$B$5:$B$14,0),MATCH("IRA Levelized Credit [USD/GJ]",$B$5:$D$5,0))</f>
        <v>9.5744680851063819</v>
      </c>
      <c r="P114">
        <f t="shared" si="23"/>
        <v>9.5744680851063819</v>
      </c>
      <c r="Q114">
        <f t="shared" si="23"/>
        <v>9.5744680851063819</v>
      </c>
      <c r="R114">
        <f t="shared" si="23"/>
        <v>9.5744680851063819</v>
      </c>
      <c r="S114">
        <f t="shared" si="23"/>
        <v>9.5744680851063819</v>
      </c>
      <c r="T114">
        <f t="shared" si="23"/>
        <v>9.5744680851063819</v>
      </c>
      <c r="U114">
        <f t="shared" si="23"/>
        <v>9.5744680851063819</v>
      </c>
      <c r="V114">
        <f t="shared" si="23"/>
        <v>9.5744680851063819</v>
      </c>
      <c r="W114">
        <f t="shared" si="23"/>
        <v>9.5744680851063819</v>
      </c>
      <c r="X114">
        <f t="shared" si="23"/>
        <v>9.5744680851063819</v>
      </c>
      <c r="Y114">
        <f t="shared" si="23"/>
        <v>9.5744680851063819</v>
      </c>
      <c r="Z114">
        <f t="shared" si="23"/>
        <v>9.5744680851063819</v>
      </c>
      <c r="AA114">
        <f t="shared" si="23"/>
        <v>9.5744680851063819</v>
      </c>
      <c r="AB114">
        <f t="shared" si="23"/>
        <v>9.5744680851063819</v>
      </c>
      <c r="AC114">
        <f t="shared" si="23"/>
        <v>9.5744680851063819</v>
      </c>
    </row>
    <row r="115" spans="2:29">
      <c r="B115" t="s">
        <v>731</v>
      </c>
      <c r="C115" t="s">
        <v>742</v>
      </c>
      <c r="D115">
        <f>INDEX($B$5:$D$14,MATCH($C115,$B$5:$B$14,0),MATCH("IRA Levelized Credit [USD/GJ]",$B$5:$D$5,0))</f>
        <v>9.5477386934673341</v>
      </c>
      <c r="E115">
        <f t="shared" si="22"/>
        <v>9.5477386934673341</v>
      </c>
      <c r="F115">
        <f t="shared" si="22"/>
        <v>9.5477386934673341</v>
      </c>
      <c r="G115">
        <f t="shared" si="22"/>
        <v>9.5477386934673341</v>
      </c>
      <c r="H115">
        <f t="shared" si="22"/>
        <v>9.5477386934673341</v>
      </c>
      <c r="I115">
        <f t="shared" si="22"/>
        <v>9.5477386934673341</v>
      </c>
      <c r="J115">
        <f t="shared" si="22"/>
        <v>9.5477386934673341</v>
      </c>
      <c r="K115">
        <f t="shared" si="22"/>
        <v>9.5477386934673341</v>
      </c>
      <c r="L115">
        <f t="shared" si="22"/>
        <v>9.5477386934673341</v>
      </c>
      <c r="M115">
        <f t="shared" si="22"/>
        <v>9.5477386934673341</v>
      </c>
      <c r="N115">
        <f t="shared" si="22"/>
        <v>9.5477386934673341</v>
      </c>
      <c r="O115">
        <f t="shared" si="23"/>
        <v>9.5477386934673341</v>
      </c>
      <c r="P115">
        <f t="shared" si="23"/>
        <v>9.5477386934673341</v>
      </c>
      <c r="Q115">
        <f t="shared" si="23"/>
        <v>9.5477386934673341</v>
      </c>
      <c r="R115">
        <f t="shared" si="23"/>
        <v>9.5477386934673341</v>
      </c>
      <c r="S115">
        <f t="shared" si="23"/>
        <v>9.5477386934673341</v>
      </c>
      <c r="T115">
        <f t="shared" si="23"/>
        <v>9.5477386934673341</v>
      </c>
      <c r="U115">
        <f t="shared" si="23"/>
        <v>9.5477386934673341</v>
      </c>
      <c r="V115">
        <f t="shared" si="23"/>
        <v>9.5477386934673341</v>
      </c>
      <c r="W115">
        <f t="shared" si="23"/>
        <v>9.5477386934673341</v>
      </c>
      <c r="X115">
        <f t="shared" si="23"/>
        <v>9.5477386934673341</v>
      </c>
      <c r="Y115">
        <f t="shared" si="23"/>
        <v>9.5477386934673341</v>
      </c>
      <c r="Z115">
        <f t="shared" si="23"/>
        <v>9.5477386934673341</v>
      </c>
      <c r="AA115">
        <f t="shared" si="23"/>
        <v>9.5477386934673341</v>
      </c>
      <c r="AB115">
        <f t="shared" si="23"/>
        <v>9.5477386934673341</v>
      </c>
      <c r="AC115">
        <f t="shared" si="23"/>
        <v>9.5477386934673341</v>
      </c>
    </row>
    <row r="116" spans="2:29">
      <c r="B116" t="s">
        <v>731</v>
      </c>
      <c r="C116" t="s">
        <v>763</v>
      </c>
      <c r="D116">
        <f>INDEX($B$5:$D$14,MATCH($C116,$B$5:$B$14,0),MATCH("IRA Levelized Credit [USD/GJ]",$B$5:$D$5,0))</f>
        <v>10</v>
      </c>
      <c r="E116">
        <f t="shared" si="22"/>
        <v>10</v>
      </c>
      <c r="F116">
        <f t="shared" si="22"/>
        <v>10</v>
      </c>
      <c r="G116">
        <f t="shared" si="22"/>
        <v>10</v>
      </c>
      <c r="H116">
        <f t="shared" si="22"/>
        <v>10</v>
      </c>
      <c r="I116">
        <f t="shared" si="22"/>
        <v>10</v>
      </c>
      <c r="J116">
        <f t="shared" si="22"/>
        <v>10</v>
      </c>
      <c r="K116">
        <f t="shared" si="22"/>
        <v>10</v>
      </c>
      <c r="L116">
        <f t="shared" si="22"/>
        <v>10</v>
      </c>
      <c r="M116">
        <f t="shared" si="22"/>
        <v>10</v>
      </c>
      <c r="N116">
        <f t="shared" si="22"/>
        <v>10</v>
      </c>
      <c r="O116">
        <f t="shared" si="23"/>
        <v>10</v>
      </c>
      <c r="P116">
        <f t="shared" si="23"/>
        <v>10</v>
      </c>
      <c r="Q116">
        <f t="shared" si="23"/>
        <v>10</v>
      </c>
      <c r="R116">
        <f t="shared" si="23"/>
        <v>10</v>
      </c>
      <c r="S116">
        <f t="shared" si="23"/>
        <v>10</v>
      </c>
      <c r="T116">
        <f t="shared" si="23"/>
        <v>10</v>
      </c>
      <c r="U116">
        <f t="shared" si="23"/>
        <v>10</v>
      </c>
      <c r="V116">
        <f t="shared" si="23"/>
        <v>10</v>
      </c>
      <c r="W116">
        <f t="shared" si="23"/>
        <v>10</v>
      </c>
      <c r="X116">
        <f t="shared" si="23"/>
        <v>10</v>
      </c>
      <c r="Y116">
        <f t="shared" si="23"/>
        <v>10</v>
      </c>
      <c r="Z116">
        <f t="shared" si="23"/>
        <v>10</v>
      </c>
      <c r="AA116">
        <f t="shared" si="23"/>
        <v>10</v>
      </c>
      <c r="AB116">
        <f t="shared" si="23"/>
        <v>10</v>
      </c>
      <c r="AC116">
        <f t="shared" si="23"/>
        <v>10</v>
      </c>
    </row>
    <row r="117" spans="2:29">
      <c r="C117" t="s">
        <v>1503</v>
      </c>
    </row>
    <row r="118" spans="2:29">
      <c r="B118" t="s">
        <v>731</v>
      </c>
      <c r="C118" t="s">
        <v>746</v>
      </c>
      <c r="D118">
        <f t="shared" ref="D118:AC118" si="24">INDEX($B$5:$D$14,MATCH($C118,$B$5:$B$14,0),MATCH("IRA Levelized Credit [USD/GJ]",$B$5:$D$5,0))</f>
        <v>2.7127659574468073</v>
      </c>
      <c r="E118">
        <f t="shared" si="24"/>
        <v>2.7127659574468073</v>
      </c>
      <c r="F118">
        <f t="shared" si="24"/>
        <v>2.7127659574468073</v>
      </c>
      <c r="G118">
        <f t="shared" si="24"/>
        <v>2.7127659574468073</v>
      </c>
      <c r="H118">
        <f t="shared" si="24"/>
        <v>2.7127659574468073</v>
      </c>
      <c r="I118">
        <f t="shared" si="24"/>
        <v>2.7127659574468073</v>
      </c>
      <c r="J118">
        <f t="shared" si="24"/>
        <v>2.7127659574468073</v>
      </c>
      <c r="K118">
        <f t="shared" si="24"/>
        <v>2.7127659574468073</v>
      </c>
      <c r="L118">
        <f t="shared" si="24"/>
        <v>2.7127659574468073</v>
      </c>
      <c r="M118">
        <f t="shared" si="24"/>
        <v>2.7127659574468073</v>
      </c>
      <c r="N118">
        <f t="shared" si="24"/>
        <v>2.7127659574468073</v>
      </c>
      <c r="O118">
        <f t="shared" si="24"/>
        <v>2.7127659574468073</v>
      </c>
      <c r="P118">
        <f t="shared" si="24"/>
        <v>2.7127659574468073</v>
      </c>
      <c r="Q118">
        <f t="shared" si="24"/>
        <v>2.7127659574468073</v>
      </c>
      <c r="R118">
        <f t="shared" si="24"/>
        <v>2.7127659574468073</v>
      </c>
      <c r="S118">
        <f t="shared" si="24"/>
        <v>2.7127659574468073</v>
      </c>
      <c r="T118">
        <f t="shared" si="24"/>
        <v>2.7127659574468073</v>
      </c>
      <c r="U118">
        <f t="shared" si="24"/>
        <v>2.7127659574468073</v>
      </c>
      <c r="V118">
        <f t="shared" si="24"/>
        <v>2.7127659574468073</v>
      </c>
      <c r="W118">
        <f t="shared" si="24"/>
        <v>2.7127659574468073</v>
      </c>
      <c r="X118">
        <f t="shared" si="24"/>
        <v>2.7127659574468073</v>
      </c>
      <c r="Y118">
        <f t="shared" si="24"/>
        <v>2.7127659574468073</v>
      </c>
      <c r="Z118">
        <f t="shared" si="24"/>
        <v>2.7127659574468073</v>
      </c>
      <c r="AA118">
        <f t="shared" si="24"/>
        <v>2.7127659574468073</v>
      </c>
      <c r="AB118">
        <f t="shared" si="24"/>
        <v>2.7127659574468073</v>
      </c>
      <c r="AC118">
        <f t="shared" si="24"/>
        <v>2.7127659574468073</v>
      </c>
    </row>
    <row r="120" spans="2:29" ht="15">
      <c r="B120" s="22" t="s">
        <v>1504</v>
      </c>
    </row>
    <row r="121" spans="2:29" ht="15">
      <c r="B121" s="22">
        <v>2030</v>
      </c>
    </row>
    <row r="122" spans="2:29">
      <c r="C122" t="s">
        <v>121</v>
      </c>
      <c r="D122" t="s">
        <v>742</v>
      </c>
      <c r="E122" t="s">
        <v>763</v>
      </c>
      <c r="F122" t="s">
        <v>746</v>
      </c>
    </row>
    <row r="123" spans="2:29">
      <c r="B123" t="s">
        <v>1500</v>
      </c>
      <c r="C123" s="67">
        <f>INDEX($C$102:$AC$108,MATCH(C$122,$C$102:$C$108,0),MATCH($B$121,$C$102:$AC$102,0))</f>
        <v>15.04874836492289</v>
      </c>
      <c r="D123" s="67">
        <f>INDEX($C$102:$AC$108,MATCH(D$122,$C$102:$C$108,0),MATCH($B$121,$C$102:$AC$102,0))</f>
        <v>32.574192523097203</v>
      </c>
      <c r="E123" s="67">
        <f>INDEX($C$102:$AC$108,MATCH(E$122,$C$102:$C$108,0),MATCH($B$121,$C$102:$AC$102,0))</f>
        <v>24.355296874581335</v>
      </c>
      <c r="F123" s="67">
        <f>INDEX($C$102:$AC$108,MATCH(F$122,$C$102:$C$108,0),MATCH($B$121,$C$102:$AC$102,0))</f>
        <v>18.166695054827279</v>
      </c>
    </row>
    <row r="124" spans="2:29">
      <c r="B124" t="s">
        <v>1505</v>
      </c>
      <c r="C124" s="67">
        <f>INDEX($B$5:$D$14,MATCH(C$122,$B$5:$B$14,0),MATCH("IRA Levelized Credit [USD/GJ]",$B$5:$D$5,0))</f>
        <v>9.5744680851063819</v>
      </c>
      <c r="D124" s="67">
        <f>INDEX($B$5:$D$14,MATCH(D$122,$B$5:$B$14,0),MATCH("IRA Levelized Credit [USD/GJ]",$B$5:$D$5,0))</f>
        <v>9.5477386934673341</v>
      </c>
      <c r="E124" s="67">
        <f>INDEX($B$5:$D$14,MATCH(E$122,$B$5:$B$14,0),MATCH("IRA Levelized Credit [USD/GJ]",$B$5:$D$5,0))</f>
        <v>10</v>
      </c>
      <c r="F124" s="67">
        <f>INDEX($B$5:$D$14,MATCH(F$122,$B$5:$B$14,0),MATCH("IRA Levelized Credit [USD/GJ]",$B$5:$D$5,0))</f>
        <v>2.7127659574468073</v>
      </c>
    </row>
    <row r="125" spans="2:29">
      <c r="B125" t="s">
        <v>180</v>
      </c>
      <c r="C125" s="67">
        <f t="shared" ref="C125:F126" si="25">INDEX($C$102:$AC$108,MATCH($B125,$C$102:$C$108,0),MATCH($B$121,$C$102:$AC$102,0))</f>
        <v>12.983606557377048</v>
      </c>
      <c r="D125" s="67">
        <f t="shared" si="25"/>
        <v>12.983606557377048</v>
      </c>
      <c r="E125" s="67">
        <f t="shared" si="25"/>
        <v>12.983606557377048</v>
      </c>
      <c r="F125" s="67">
        <f t="shared" si="25"/>
        <v>12.983606557377048</v>
      </c>
    </row>
    <row r="126" spans="2:29">
      <c r="B126" t="s">
        <v>805</v>
      </c>
      <c r="C126" s="67">
        <f t="shared" si="25"/>
        <v>8.6274136382529463</v>
      </c>
      <c r="D126" s="67">
        <f t="shared" si="25"/>
        <v>8.6274136382529463</v>
      </c>
      <c r="E126" s="67">
        <f t="shared" si="25"/>
        <v>8.6274136382529463</v>
      </c>
      <c r="F126" s="67">
        <f t="shared" si="25"/>
        <v>8.6274136382529463</v>
      </c>
    </row>
  </sheetData>
  <mergeCells count="5">
    <mergeCell ref="B20:B25"/>
    <mergeCell ref="B27:B29"/>
    <mergeCell ref="B31:B33"/>
    <mergeCell ref="B35:B38"/>
    <mergeCell ref="B40:B42"/>
  </mergeCells>
  <hyperlinks>
    <hyperlink ref="S27" r:id="rId1" xr:uid="{AB391427-ECD8-46A8-9B06-6EF4753CB423}"/>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7C25D-B967-4279-886F-AFDFB7E02EEC}">
  <sheetPr codeName="Sheet15">
    <tabColor theme="0" tint="-0.249977111117893"/>
  </sheetPr>
  <dimension ref="A1"/>
  <sheetViews>
    <sheetView zoomScale="60" workbookViewId="0"/>
  </sheetViews>
  <sheetFormatPr defaultRowHeight="14.2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EF1DE-B904-48A2-BCAB-1E49588EA41C}">
  <sheetPr codeName="Sheet16">
    <tabColor theme="0" tint="-0.249977111117893"/>
  </sheetPr>
  <dimension ref="B1:V142"/>
  <sheetViews>
    <sheetView showGridLines="0" zoomScale="85" zoomScaleNormal="85" workbookViewId="0"/>
  </sheetViews>
  <sheetFormatPr defaultRowHeight="14.25"/>
  <cols>
    <col min="1" max="1" width="5.125" customWidth="1"/>
    <col min="2" max="2" width="44.125" customWidth="1"/>
    <col min="3" max="3" width="28.25" style="207" customWidth="1"/>
    <col min="4" max="4" width="17.625" customWidth="1"/>
    <col min="5" max="5" width="13.875" customWidth="1"/>
    <col min="6" max="6" width="27.875" customWidth="1"/>
    <col min="8" max="8" width="9.375" bestFit="1" customWidth="1"/>
    <col min="9" max="9" width="10.625" customWidth="1"/>
    <col min="10" max="17" width="12.375" customWidth="1"/>
    <col min="18" max="18" width="9.875" customWidth="1"/>
    <col min="19" max="19" width="11.25" customWidth="1"/>
    <col min="20" max="22" width="8" customWidth="1"/>
  </cols>
  <sheetData>
    <row r="1" spans="2:22" ht="21.95" customHeight="1">
      <c r="B1" s="330" t="s">
        <v>1506</v>
      </c>
      <c r="C1" s="329"/>
      <c r="D1" s="328"/>
      <c r="E1" s="328"/>
      <c r="F1" s="328"/>
      <c r="G1" s="328"/>
      <c r="H1" s="328"/>
      <c r="I1" s="328"/>
      <c r="J1" s="328"/>
      <c r="K1" s="328"/>
      <c r="L1" s="328"/>
      <c r="M1" s="328"/>
      <c r="N1" s="328"/>
      <c r="O1" s="328"/>
      <c r="P1" s="328"/>
      <c r="Q1" s="328"/>
      <c r="R1" s="328"/>
      <c r="S1" s="328"/>
    </row>
    <row r="2" spans="2:22" ht="10.5" customHeight="1">
      <c r="B2" s="256"/>
      <c r="C2" s="256"/>
      <c r="D2" s="256"/>
      <c r="E2" s="256"/>
      <c r="F2" s="256"/>
      <c r="G2" s="795" t="s">
        <v>1507</v>
      </c>
      <c r="H2" s="209"/>
      <c r="I2" s="209"/>
      <c r="J2" s="209"/>
      <c r="K2" s="209"/>
      <c r="L2" s="209"/>
      <c r="M2" s="209"/>
      <c r="N2" s="209"/>
      <c r="O2" s="209"/>
      <c r="P2" s="209"/>
      <c r="Q2" s="209"/>
      <c r="R2" s="209"/>
      <c r="S2" s="209"/>
    </row>
    <row r="3" spans="2:22" ht="29.1" customHeight="1">
      <c r="B3" s="327" t="s">
        <v>1508</v>
      </c>
      <c r="C3" s="297"/>
      <c r="D3" s="297"/>
      <c r="E3" s="297"/>
      <c r="F3" s="297"/>
      <c r="G3" s="795"/>
      <c r="H3" s="209"/>
      <c r="I3" s="326" t="s">
        <v>1509</v>
      </c>
      <c r="J3" s="209"/>
      <c r="K3" s="209"/>
      <c r="L3" s="209"/>
      <c r="M3" s="209"/>
      <c r="N3" s="209"/>
      <c r="O3" s="209"/>
      <c r="P3" s="209"/>
      <c r="Q3" s="209"/>
      <c r="R3" s="209"/>
      <c r="S3" s="209"/>
    </row>
    <row r="4" spans="2:22" ht="39.950000000000003" customHeight="1">
      <c r="B4" s="796" t="s">
        <v>1510</v>
      </c>
      <c r="C4" s="796"/>
      <c r="D4" s="796"/>
      <c r="E4" s="796"/>
      <c r="F4" s="796"/>
      <c r="G4" s="795"/>
      <c r="H4" s="209"/>
      <c r="I4" s="325" t="s">
        <v>1511</v>
      </c>
      <c r="J4" s="324"/>
      <c r="K4" s="324"/>
      <c r="L4" s="324"/>
      <c r="M4" s="324"/>
      <c r="N4" s="209"/>
      <c r="O4" s="209"/>
      <c r="P4" s="209"/>
      <c r="Q4" s="209"/>
      <c r="R4" s="209"/>
      <c r="S4" s="209"/>
    </row>
    <row r="5" spans="2:22" ht="68.099999999999994" customHeight="1">
      <c r="B5" s="797" t="s">
        <v>1512</v>
      </c>
      <c r="C5" s="797"/>
      <c r="D5" s="797"/>
      <c r="E5" s="797"/>
      <c r="F5" s="256"/>
      <c r="G5" s="795"/>
      <c r="H5" s="209"/>
      <c r="I5" s="209"/>
      <c r="J5" s="798" t="s">
        <v>1513</v>
      </c>
      <c r="K5" s="799"/>
      <c r="L5" s="799"/>
      <c r="M5" s="800"/>
      <c r="N5" s="798" t="s">
        <v>1514</v>
      </c>
      <c r="O5" s="799"/>
      <c r="P5" s="800"/>
      <c r="Q5" s="323" t="s">
        <v>579</v>
      </c>
      <c r="R5" s="209"/>
      <c r="S5" s="209"/>
    </row>
    <row r="6" spans="2:22" ht="45.95" customHeight="1">
      <c r="B6" s="797" t="s">
        <v>1515</v>
      </c>
      <c r="C6" s="797"/>
      <c r="D6" s="797"/>
      <c r="E6" s="797"/>
      <c r="F6" s="256"/>
      <c r="G6" s="795"/>
      <c r="H6" s="209"/>
      <c r="I6" s="209"/>
      <c r="J6" s="320" t="s">
        <v>180</v>
      </c>
      <c r="K6" s="322" t="s">
        <v>1516</v>
      </c>
      <c r="L6" s="319" t="s">
        <v>1517</v>
      </c>
      <c r="M6" s="321" t="s">
        <v>1518</v>
      </c>
      <c r="N6" s="320" t="s">
        <v>1519</v>
      </c>
      <c r="O6" s="319" t="s">
        <v>1520</v>
      </c>
      <c r="P6" s="318" t="s">
        <v>1521</v>
      </c>
      <c r="Q6" s="317" t="s">
        <v>563</v>
      </c>
      <c r="R6" s="209"/>
      <c r="S6" s="209"/>
      <c r="T6" s="316" t="s">
        <v>1522</v>
      </c>
    </row>
    <row r="7" spans="2:22" ht="54.6" customHeight="1">
      <c r="B7" s="797" t="s">
        <v>1523</v>
      </c>
      <c r="C7" s="797"/>
      <c r="D7" s="797"/>
      <c r="E7" s="797"/>
      <c r="F7" s="256"/>
      <c r="G7" s="795"/>
      <c r="H7" s="209"/>
      <c r="I7" s="209"/>
      <c r="J7" s="315" t="s">
        <v>587</v>
      </c>
      <c r="K7" s="314" t="s">
        <v>1524</v>
      </c>
      <c r="L7" s="314" t="s">
        <v>587</v>
      </c>
      <c r="M7" s="313" t="s">
        <v>1524</v>
      </c>
      <c r="N7" s="315" t="s">
        <v>178</v>
      </c>
      <c r="O7" s="314" t="s">
        <v>1525</v>
      </c>
      <c r="P7" s="313" t="s">
        <v>1525</v>
      </c>
      <c r="Q7" s="313" t="s">
        <v>1526</v>
      </c>
      <c r="R7" s="209"/>
      <c r="S7" s="209"/>
      <c r="T7" s="312" t="s">
        <v>139</v>
      </c>
      <c r="U7" s="270">
        <v>-1</v>
      </c>
      <c r="V7" s="270">
        <v>0.65</v>
      </c>
    </row>
    <row r="8" spans="2:22" ht="36.950000000000003" customHeight="1">
      <c r="B8" s="797" t="s">
        <v>1527</v>
      </c>
      <c r="C8" s="797"/>
      <c r="D8" s="797"/>
      <c r="E8" s="797"/>
      <c r="F8" s="256"/>
      <c r="G8" s="795"/>
      <c r="H8" s="209"/>
      <c r="I8" s="278">
        <v>2025</v>
      </c>
      <c r="J8" s="303">
        <v>14.877049180327868</v>
      </c>
      <c r="K8" s="302">
        <f t="shared" ref="K8:K33" si="0">J8*$K$41*1000</f>
        <v>602.52049180327867</v>
      </c>
      <c r="L8" s="259">
        <v>30</v>
      </c>
      <c r="M8" s="301">
        <f t="shared" ref="M8:M33" si="1">L8*$L$41*1000</f>
        <v>1109.9999999999998</v>
      </c>
      <c r="N8" s="300">
        <v>0.7</v>
      </c>
      <c r="O8" s="204">
        <v>119.06000000000002</v>
      </c>
      <c r="P8" s="299">
        <f t="shared" ref="P8:P33" si="2">O8*N8</f>
        <v>83.342000000000013</v>
      </c>
      <c r="Q8" s="298">
        <v>89.336799999999997</v>
      </c>
      <c r="R8" s="209"/>
      <c r="S8" s="209"/>
      <c r="T8" s="312" t="s">
        <v>1528</v>
      </c>
      <c r="U8" s="270">
        <v>-0.9</v>
      </c>
      <c r="V8" s="270">
        <v>0.66</v>
      </c>
    </row>
    <row r="9" spans="2:22" ht="15">
      <c r="B9" s="256"/>
      <c r="C9" s="256"/>
      <c r="D9" s="256"/>
      <c r="E9" s="256"/>
      <c r="F9" s="256"/>
      <c r="G9" s="795"/>
      <c r="H9" s="209"/>
      <c r="I9" s="278">
        <v>2026</v>
      </c>
      <c r="J9" s="303">
        <v>14.498360655737638</v>
      </c>
      <c r="K9" s="302">
        <f t="shared" si="0"/>
        <v>587.18360655737433</v>
      </c>
      <c r="L9" s="259">
        <v>31.299999999999997</v>
      </c>
      <c r="M9" s="301">
        <f t="shared" si="1"/>
        <v>1158.0999999999999</v>
      </c>
      <c r="N9" s="300">
        <v>1</v>
      </c>
      <c r="O9" s="205">
        <v>126.20360000000002</v>
      </c>
      <c r="P9" s="299">
        <f t="shared" si="2"/>
        <v>126.20360000000002</v>
      </c>
      <c r="Q9" s="298">
        <v>89.336799999999997</v>
      </c>
      <c r="R9" s="209"/>
      <c r="S9" s="209"/>
      <c r="T9" s="312" t="s">
        <v>139</v>
      </c>
      <c r="U9" s="270">
        <v>-0.8</v>
      </c>
      <c r="V9" s="270">
        <v>0.67</v>
      </c>
    </row>
    <row r="10" spans="2:22" ht="23.25">
      <c r="B10" s="284" t="s">
        <v>1529</v>
      </c>
      <c r="C10" s="256"/>
      <c r="D10" s="256"/>
      <c r="E10" s="256"/>
      <c r="F10" s="256"/>
      <c r="G10" s="795"/>
      <c r="H10" s="209"/>
      <c r="I10" s="278">
        <v>2027</v>
      </c>
      <c r="J10" s="303">
        <v>14.119672131147574</v>
      </c>
      <c r="K10" s="302">
        <f t="shared" si="0"/>
        <v>571.8467213114767</v>
      </c>
      <c r="L10" s="259">
        <v>32.599999999999994</v>
      </c>
      <c r="M10" s="301">
        <f t="shared" si="1"/>
        <v>1206.1999999999998</v>
      </c>
      <c r="N10" s="300">
        <v>1</v>
      </c>
      <c r="O10" s="205">
        <v>133.34720000000002</v>
      </c>
      <c r="P10" s="299">
        <f t="shared" si="2"/>
        <v>133.34720000000002</v>
      </c>
      <c r="Q10" s="298">
        <v>89.336799999999997</v>
      </c>
      <c r="R10" s="209"/>
      <c r="S10" s="209"/>
      <c r="T10" s="312" t="s">
        <v>144</v>
      </c>
      <c r="U10" s="270">
        <v>-0.7</v>
      </c>
      <c r="V10" s="270">
        <v>0.68</v>
      </c>
    </row>
    <row r="11" spans="2:22" ht="18.75" thickBot="1">
      <c r="B11" s="308" t="s">
        <v>1530</v>
      </c>
      <c r="C11" s="307"/>
      <c r="D11" s="306" t="s">
        <v>1531</v>
      </c>
      <c r="E11" s="305"/>
      <c r="F11" s="305"/>
      <c r="G11" s="795"/>
      <c r="H11" s="209"/>
      <c r="I11" s="278">
        <v>2028</v>
      </c>
      <c r="J11" s="303">
        <v>13.740983606557345</v>
      </c>
      <c r="K11" s="302">
        <f t="shared" si="0"/>
        <v>556.50983606557247</v>
      </c>
      <c r="L11" s="259">
        <v>33.900000000000006</v>
      </c>
      <c r="M11" s="301">
        <f t="shared" si="1"/>
        <v>1254.3000000000002</v>
      </c>
      <c r="N11" s="300">
        <v>1</v>
      </c>
      <c r="O11" s="205">
        <v>140.49080000000001</v>
      </c>
      <c r="P11" s="299">
        <f t="shared" si="2"/>
        <v>140.49080000000001</v>
      </c>
      <c r="Q11" s="298">
        <v>89.336799999999997</v>
      </c>
      <c r="R11" s="209"/>
      <c r="S11" s="209"/>
      <c r="T11" s="24"/>
      <c r="U11" s="270">
        <v>-0.6</v>
      </c>
      <c r="V11" s="270">
        <v>0.69</v>
      </c>
    </row>
    <row r="12" spans="2:22" ht="16.5" thickTop="1" thickBot="1">
      <c r="B12" s="297" t="s">
        <v>1532</v>
      </c>
      <c r="C12" s="288">
        <v>2027</v>
      </c>
      <c r="D12" s="287" t="s">
        <v>1533</v>
      </c>
      <c r="E12" s="256"/>
      <c r="F12" s="311"/>
      <c r="G12" s="795"/>
      <c r="H12" s="209"/>
      <c r="I12" s="278">
        <v>2029</v>
      </c>
      <c r="J12" s="303">
        <v>13.362295081967115</v>
      </c>
      <c r="K12" s="302">
        <f t="shared" si="0"/>
        <v>541.17295081966824</v>
      </c>
      <c r="L12" s="259">
        <v>35.199999999999996</v>
      </c>
      <c r="M12" s="301">
        <f t="shared" si="1"/>
        <v>1302.3999999999999</v>
      </c>
      <c r="N12" s="300">
        <v>1</v>
      </c>
      <c r="O12" s="205">
        <v>147.6344</v>
      </c>
      <c r="P12" s="299">
        <f t="shared" si="2"/>
        <v>147.6344</v>
      </c>
      <c r="Q12" s="298">
        <v>89.336799999999997</v>
      </c>
      <c r="R12" s="209"/>
      <c r="S12" s="209"/>
      <c r="T12" s="24"/>
      <c r="U12" s="270">
        <v>-0.5</v>
      </c>
      <c r="V12" s="270">
        <v>0.7</v>
      </c>
    </row>
    <row r="13" spans="2:22" ht="15.95" customHeight="1" thickTop="1">
      <c r="B13" s="256"/>
      <c r="C13" s="256"/>
      <c r="D13" s="256"/>
      <c r="E13" s="256"/>
      <c r="F13" s="256"/>
      <c r="G13" s="795"/>
      <c r="H13" s="209"/>
      <c r="I13" s="278">
        <v>2030</v>
      </c>
      <c r="J13" s="303">
        <v>12.983606557377048</v>
      </c>
      <c r="K13" s="302">
        <f t="shared" si="0"/>
        <v>525.8360655737705</v>
      </c>
      <c r="L13" s="259">
        <v>36.5</v>
      </c>
      <c r="M13" s="301">
        <f t="shared" si="1"/>
        <v>1350.5</v>
      </c>
      <c r="N13" s="300">
        <v>1</v>
      </c>
      <c r="O13" s="205">
        <v>154.77800000000002</v>
      </c>
      <c r="P13" s="299">
        <f t="shared" si="2"/>
        <v>154.77800000000002</v>
      </c>
      <c r="Q13" s="298">
        <v>85.690399999999997</v>
      </c>
      <c r="R13" s="209"/>
      <c r="S13" s="209"/>
      <c r="T13" s="24"/>
      <c r="U13" s="270">
        <v>-0.4</v>
      </c>
      <c r="V13" s="270">
        <v>0.71</v>
      </c>
    </row>
    <row r="14" spans="2:22" ht="15.6" customHeight="1" thickBot="1">
      <c r="B14" s="297" t="s">
        <v>1534</v>
      </c>
      <c r="C14" s="309"/>
      <c r="D14" s="256"/>
      <c r="E14" s="256"/>
      <c r="F14" s="311"/>
      <c r="G14" s="795"/>
      <c r="H14" s="209"/>
      <c r="I14" s="278">
        <v>2031</v>
      </c>
      <c r="J14" s="303">
        <v>12.983606557377048</v>
      </c>
      <c r="K14" s="302">
        <f t="shared" si="0"/>
        <v>525.8360655737705</v>
      </c>
      <c r="L14" s="259">
        <v>37.9</v>
      </c>
      <c r="M14" s="301">
        <f t="shared" si="1"/>
        <v>1402.3</v>
      </c>
      <c r="N14" s="300">
        <v>1</v>
      </c>
      <c r="O14" s="205">
        <v>165.54102400000002</v>
      </c>
      <c r="P14" s="299">
        <f t="shared" si="2"/>
        <v>165.54102400000002</v>
      </c>
      <c r="Q14" s="298">
        <v>85.690399999999997</v>
      </c>
      <c r="R14" s="209"/>
      <c r="S14" s="209"/>
      <c r="T14" s="24"/>
      <c r="U14" s="270">
        <v>-0.3</v>
      </c>
      <c r="V14" s="270">
        <v>0.72</v>
      </c>
    </row>
    <row r="15" spans="2:22" ht="16.5" customHeight="1" thickTop="1" thickBot="1">
      <c r="B15" s="287" t="s">
        <v>1535</v>
      </c>
      <c r="C15" s="310">
        <v>0.9</v>
      </c>
      <c r="D15" s="287" t="s">
        <v>1536</v>
      </c>
      <c r="E15" s="256"/>
      <c r="F15" s="309"/>
      <c r="G15" s="795"/>
      <c r="H15" s="209"/>
      <c r="I15" s="278">
        <v>2032</v>
      </c>
      <c r="J15" s="303">
        <v>12.983606557377048</v>
      </c>
      <c r="K15" s="302">
        <f t="shared" si="0"/>
        <v>525.8360655737705</v>
      </c>
      <c r="L15" s="259">
        <v>39.299999999999997</v>
      </c>
      <c r="M15" s="301">
        <f t="shared" si="1"/>
        <v>1454.0999999999997</v>
      </c>
      <c r="N15" s="300">
        <v>1</v>
      </c>
      <c r="O15" s="205">
        <v>176.30404800000002</v>
      </c>
      <c r="P15" s="299">
        <f t="shared" si="2"/>
        <v>176.30404800000002</v>
      </c>
      <c r="Q15" s="298">
        <v>85.690399999999997</v>
      </c>
      <c r="R15" s="209"/>
      <c r="S15" s="209"/>
      <c r="T15" s="24"/>
      <c r="U15" s="270">
        <v>-0.2</v>
      </c>
      <c r="V15" s="270">
        <v>0.73</v>
      </c>
    </row>
    <row r="16" spans="2:22" ht="16.5" thickTop="1" thickBot="1">
      <c r="B16" s="287" t="s">
        <v>1537</v>
      </c>
      <c r="C16" s="288" t="s">
        <v>139</v>
      </c>
      <c r="D16" s="287" t="s">
        <v>1538</v>
      </c>
      <c r="E16" s="256"/>
      <c r="F16" s="256"/>
      <c r="G16" s="795"/>
      <c r="H16" s="209"/>
      <c r="I16" s="278">
        <v>2033</v>
      </c>
      <c r="J16" s="303">
        <v>12.983606557377048</v>
      </c>
      <c r="K16" s="302">
        <f t="shared" si="0"/>
        <v>525.8360655737705</v>
      </c>
      <c r="L16" s="259">
        <v>40.700000000000003</v>
      </c>
      <c r="M16" s="301">
        <f t="shared" si="1"/>
        <v>1505.9</v>
      </c>
      <c r="N16" s="300">
        <v>1</v>
      </c>
      <c r="O16" s="205">
        <v>187.06707200000002</v>
      </c>
      <c r="P16" s="299">
        <f t="shared" si="2"/>
        <v>187.06707200000002</v>
      </c>
      <c r="Q16" s="298">
        <v>85.690399999999997</v>
      </c>
      <c r="R16" s="209"/>
      <c r="S16" s="209"/>
      <c r="T16" s="24"/>
      <c r="U16" s="270">
        <v>-0.1</v>
      </c>
      <c r="V16" s="270">
        <v>0.74</v>
      </c>
    </row>
    <row r="17" spans="2:22" ht="16.5" thickTop="1" thickBot="1">
      <c r="B17" s="287" t="s">
        <v>1539</v>
      </c>
      <c r="C17" s="288">
        <v>2280</v>
      </c>
      <c r="D17" s="287" t="s">
        <v>1540</v>
      </c>
      <c r="E17" s="256"/>
      <c r="F17" s="256"/>
      <c r="G17" s="795"/>
      <c r="H17" s="209"/>
      <c r="I17" s="278">
        <v>2034</v>
      </c>
      <c r="J17" s="303">
        <v>12.983606557377048</v>
      </c>
      <c r="K17" s="302">
        <f t="shared" si="0"/>
        <v>525.8360655737705</v>
      </c>
      <c r="L17" s="259">
        <v>42.1</v>
      </c>
      <c r="M17" s="301">
        <f t="shared" si="1"/>
        <v>1557.7</v>
      </c>
      <c r="N17" s="300">
        <v>1</v>
      </c>
      <c r="O17" s="205">
        <v>197.83009600000003</v>
      </c>
      <c r="P17" s="299">
        <f t="shared" si="2"/>
        <v>197.83009600000003</v>
      </c>
      <c r="Q17" s="298">
        <v>85.690399999999997</v>
      </c>
      <c r="R17" s="209"/>
      <c r="S17" s="209"/>
      <c r="T17" s="24"/>
      <c r="U17" s="270">
        <v>0</v>
      </c>
      <c r="V17" s="270">
        <v>0.75</v>
      </c>
    </row>
    <row r="18" spans="2:22" ht="15.75" thickTop="1">
      <c r="B18" s="256"/>
      <c r="C18" s="289" t="s">
        <v>1541</v>
      </c>
      <c r="D18" s="256"/>
      <c r="E18" s="256"/>
      <c r="F18" s="256"/>
      <c r="G18" s="795"/>
      <c r="H18" s="209"/>
      <c r="I18" s="278">
        <v>2035</v>
      </c>
      <c r="J18" s="303">
        <v>12.983606557377048</v>
      </c>
      <c r="K18" s="302">
        <f t="shared" si="0"/>
        <v>525.8360655737705</v>
      </c>
      <c r="L18" s="259">
        <v>43.5</v>
      </c>
      <c r="M18" s="301">
        <f t="shared" si="1"/>
        <v>1609.5</v>
      </c>
      <c r="N18" s="300">
        <v>1</v>
      </c>
      <c r="O18" s="205">
        <v>197.63960000000003</v>
      </c>
      <c r="P18" s="299">
        <f t="shared" si="2"/>
        <v>197.63960000000003</v>
      </c>
      <c r="Q18" s="298">
        <v>77.941800000000001</v>
      </c>
      <c r="R18" s="209"/>
      <c r="S18" s="209"/>
      <c r="T18" s="24"/>
      <c r="U18" s="270">
        <v>0.1</v>
      </c>
      <c r="V18" s="270">
        <v>0.76</v>
      </c>
    </row>
    <row r="19" spans="2:22" ht="15" customHeight="1" thickBot="1">
      <c r="B19" s="297" t="s">
        <v>1542</v>
      </c>
      <c r="C19" s="256"/>
      <c r="D19" s="256"/>
      <c r="E19" s="256"/>
      <c r="F19" s="256"/>
      <c r="G19" s="795"/>
      <c r="H19" s="209"/>
      <c r="I19" s="278">
        <v>2036</v>
      </c>
      <c r="J19" s="303">
        <v>12.983606557377048</v>
      </c>
      <c r="K19" s="302">
        <f t="shared" si="0"/>
        <v>525.8360655737705</v>
      </c>
      <c r="L19" s="259">
        <v>44.9</v>
      </c>
      <c r="M19" s="301">
        <f t="shared" si="1"/>
        <v>1661.2999999999997</v>
      </c>
      <c r="N19" s="300">
        <v>1</v>
      </c>
      <c r="O19" s="205">
        <v>208.59312000000003</v>
      </c>
      <c r="P19" s="299">
        <f t="shared" si="2"/>
        <v>208.59312000000003</v>
      </c>
      <c r="Q19" s="298">
        <v>77.941800000000001</v>
      </c>
      <c r="R19" s="209"/>
      <c r="S19" s="209"/>
      <c r="T19" s="24"/>
      <c r="U19" s="270">
        <v>0.2</v>
      </c>
      <c r="V19" s="270">
        <v>0.77</v>
      </c>
    </row>
    <row r="20" spans="2:22" ht="14.45" customHeight="1" thickTop="1">
      <c r="B20" s="801" t="s">
        <v>1543</v>
      </c>
      <c r="C20" s="802">
        <v>0</v>
      </c>
      <c r="D20" s="805" t="s">
        <v>1544</v>
      </c>
      <c r="E20" s="805"/>
      <c r="F20" s="805"/>
      <c r="G20" s="795"/>
      <c r="H20" s="209"/>
      <c r="I20" s="278">
        <v>2037</v>
      </c>
      <c r="J20" s="303">
        <v>12.983606557377048</v>
      </c>
      <c r="K20" s="302">
        <f t="shared" si="0"/>
        <v>525.8360655737705</v>
      </c>
      <c r="L20" s="259">
        <v>46.3</v>
      </c>
      <c r="M20" s="301">
        <f t="shared" si="1"/>
        <v>1713.1</v>
      </c>
      <c r="N20" s="300">
        <v>1</v>
      </c>
      <c r="O20" s="205">
        <v>219.54664000000002</v>
      </c>
      <c r="P20" s="299">
        <f t="shared" si="2"/>
        <v>219.54664000000002</v>
      </c>
      <c r="Q20" s="298">
        <v>77.941800000000001</v>
      </c>
      <c r="R20" s="209"/>
      <c r="S20" s="209"/>
      <c r="T20" s="24"/>
      <c r="U20" s="270">
        <v>0.3</v>
      </c>
      <c r="V20" s="270">
        <v>0.78</v>
      </c>
    </row>
    <row r="21" spans="2:22" ht="14.45" customHeight="1">
      <c r="B21" s="801"/>
      <c r="C21" s="803"/>
      <c r="D21" s="805"/>
      <c r="E21" s="805"/>
      <c r="F21" s="805"/>
      <c r="G21" s="795"/>
      <c r="H21" s="209"/>
      <c r="I21" s="278">
        <v>2038</v>
      </c>
      <c r="J21" s="303">
        <v>12.983606557377048</v>
      </c>
      <c r="K21" s="302">
        <f t="shared" si="0"/>
        <v>525.8360655737705</v>
      </c>
      <c r="L21" s="259">
        <v>47.7</v>
      </c>
      <c r="M21" s="301">
        <f t="shared" si="1"/>
        <v>1764.8999999999999</v>
      </c>
      <c r="N21" s="300">
        <v>1</v>
      </c>
      <c r="O21" s="205">
        <v>230.50016000000002</v>
      </c>
      <c r="P21" s="299">
        <f t="shared" si="2"/>
        <v>230.50016000000002</v>
      </c>
      <c r="Q21" s="298">
        <v>77.941800000000001</v>
      </c>
      <c r="R21" s="209"/>
      <c r="S21" s="209"/>
      <c r="T21" s="24"/>
      <c r="U21" s="270">
        <v>0.4</v>
      </c>
      <c r="V21" s="270">
        <v>0.79</v>
      </c>
    </row>
    <row r="22" spans="2:22" ht="15">
      <c r="B22" s="256"/>
      <c r="C22" s="256"/>
      <c r="D22" s="256"/>
      <c r="E22" s="256"/>
      <c r="F22" s="256"/>
      <c r="G22" s="795"/>
      <c r="H22" s="209"/>
      <c r="I22" s="278">
        <v>2039</v>
      </c>
      <c r="J22" s="303">
        <v>12.983606557377048</v>
      </c>
      <c r="K22" s="302">
        <f t="shared" si="0"/>
        <v>525.8360655737705</v>
      </c>
      <c r="L22" s="259">
        <v>49.1</v>
      </c>
      <c r="M22" s="301">
        <f t="shared" si="1"/>
        <v>1816.7</v>
      </c>
      <c r="N22" s="300">
        <v>1</v>
      </c>
      <c r="O22" s="205">
        <v>241.45368000000002</v>
      </c>
      <c r="P22" s="299">
        <f t="shared" si="2"/>
        <v>241.45368000000002</v>
      </c>
      <c r="Q22" s="298">
        <v>77.941800000000001</v>
      </c>
      <c r="R22" s="209"/>
      <c r="S22" s="209"/>
      <c r="T22" s="24"/>
      <c r="U22" s="270">
        <v>0.5</v>
      </c>
      <c r="V22" s="270">
        <v>0.8</v>
      </c>
    </row>
    <row r="23" spans="2:22" ht="18">
      <c r="B23" s="308" t="s">
        <v>1545</v>
      </c>
      <c r="C23" s="307"/>
      <c r="D23" s="306" t="s">
        <v>1546</v>
      </c>
      <c r="E23" s="305"/>
      <c r="F23" s="305"/>
      <c r="G23" s="795"/>
      <c r="H23" s="209"/>
      <c r="I23" s="278">
        <v>2040</v>
      </c>
      <c r="J23" s="303">
        <v>12.983606557377048</v>
      </c>
      <c r="K23" s="302">
        <f t="shared" si="0"/>
        <v>525.8360655737705</v>
      </c>
      <c r="L23" s="259">
        <v>50.5</v>
      </c>
      <c r="M23" s="301">
        <f t="shared" si="1"/>
        <v>1868.4999999999998</v>
      </c>
      <c r="N23" s="300">
        <v>1</v>
      </c>
      <c r="O23" s="205">
        <v>252.40720000000002</v>
      </c>
      <c r="P23" s="299">
        <f t="shared" si="2"/>
        <v>252.40720000000002</v>
      </c>
      <c r="Q23" s="298">
        <v>62.900399999999991</v>
      </c>
      <c r="R23" s="209"/>
      <c r="S23" s="209"/>
      <c r="T23" s="24"/>
      <c r="U23" s="270">
        <v>0.6</v>
      </c>
      <c r="V23" s="270">
        <v>0.81</v>
      </c>
    </row>
    <row r="24" spans="2:22" ht="15.6" customHeight="1">
      <c r="B24" s="256"/>
      <c r="C24" s="251"/>
      <c r="D24" s="256"/>
      <c r="E24" s="256"/>
      <c r="F24" s="256"/>
      <c r="G24" s="795"/>
      <c r="H24" s="209"/>
      <c r="I24" s="278">
        <v>2041</v>
      </c>
      <c r="J24" s="303">
        <v>12.983606557377048</v>
      </c>
      <c r="K24" s="302">
        <f t="shared" si="0"/>
        <v>525.8360655737705</v>
      </c>
      <c r="L24" s="259">
        <v>51.800000000000004</v>
      </c>
      <c r="M24" s="301">
        <f t="shared" si="1"/>
        <v>1916.6000000000001</v>
      </c>
      <c r="N24" s="300">
        <v>1</v>
      </c>
      <c r="O24" s="205">
        <v>266.93252000000001</v>
      </c>
      <c r="P24" s="299">
        <f t="shared" si="2"/>
        <v>266.93252000000001</v>
      </c>
      <c r="Q24" s="298">
        <v>62.900399999999991</v>
      </c>
      <c r="R24" s="209"/>
      <c r="S24" s="209"/>
      <c r="T24" s="24"/>
      <c r="U24" s="270">
        <v>0.7</v>
      </c>
      <c r="V24" s="270">
        <v>0.82</v>
      </c>
    </row>
    <row r="25" spans="2:22" ht="15.75" thickBot="1">
      <c r="B25" s="297" t="s">
        <v>1547</v>
      </c>
      <c r="C25" s="251"/>
      <c r="D25" s="256"/>
      <c r="E25" s="256"/>
      <c r="F25" s="256"/>
      <c r="G25" s="795"/>
      <c r="H25" s="209"/>
      <c r="I25" s="278">
        <v>2042</v>
      </c>
      <c r="J25" s="303">
        <v>12.983606557377048</v>
      </c>
      <c r="K25" s="302">
        <f t="shared" si="0"/>
        <v>525.8360655737705</v>
      </c>
      <c r="L25" s="259">
        <v>53.099999999999994</v>
      </c>
      <c r="M25" s="301">
        <f t="shared" si="1"/>
        <v>1964.6999999999996</v>
      </c>
      <c r="N25" s="300">
        <v>1</v>
      </c>
      <c r="O25" s="205">
        <v>281.45784000000003</v>
      </c>
      <c r="P25" s="299">
        <f t="shared" si="2"/>
        <v>281.45784000000003</v>
      </c>
      <c r="Q25" s="298">
        <v>62.900399999999991</v>
      </c>
      <c r="R25" s="209"/>
      <c r="S25" s="209"/>
      <c r="T25" s="24"/>
      <c r="U25" s="270">
        <v>0.8</v>
      </c>
      <c r="V25" s="270">
        <v>0.83</v>
      </c>
    </row>
    <row r="26" spans="2:22" ht="14.45" customHeight="1" thickTop="1" thickBot="1">
      <c r="B26" s="287" t="s">
        <v>1548</v>
      </c>
      <c r="C26" s="288" t="s">
        <v>1528</v>
      </c>
      <c r="D26" s="289" t="s">
        <v>1549</v>
      </c>
      <c r="E26" s="256"/>
      <c r="F26" s="256"/>
      <c r="G26" s="795"/>
      <c r="H26" s="209"/>
      <c r="I26" s="278">
        <v>2043</v>
      </c>
      <c r="J26" s="303">
        <v>12.983606557377048</v>
      </c>
      <c r="K26" s="302">
        <f t="shared" si="0"/>
        <v>525.8360655737705</v>
      </c>
      <c r="L26" s="259">
        <v>54.400000000000006</v>
      </c>
      <c r="M26" s="301">
        <f t="shared" si="1"/>
        <v>2012.8</v>
      </c>
      <c r="N26" s="300">
        <v>1</v>
      </c>
      <c r="O26" s="205">
        <v>295.98316000000005</v>
      </c>
      <c r="P26" s="299">
        <f t="shared" si="2"/>
        <v>295.98316000000005</v>
      </c>
      <c r="Q26" s="298">
        <v>62.900399999999991</v>
      </c>
      <c r="R26" s="209"/>
      <c r="S26" s="209"/>
      <c r="T26" s="24"/>
      <c r="U26" s="270">
        <v>0.9</v>
      </c>
      <c r="V26" s="270">
        <v>0.84</v>
      </c>
    </row>
    <row r="27" spans="2:22" ht="16.5" customHeight="1" thickTop="1" thickBot="1">
      <c r="B27" s="287" t="str">
        <f>IF(C26="Enter my own","Enter LSFO cost estimate [USD/tonne LSFO] -&gt;","")</f>
        <v>Enter LSFO cost estimate [USD/tonne LSFO] -&gt;</v>
      </c>
      <c r="C27" s="288">
        <v>600</v>
      </c>
      <c r="D27" s="806" t="str">
        <f>IF(C26="Enter my own","Note: the pooling surplus value is calculated with the difference between LSFO and biodiesel or penalty costs, therefore, decreasing the gap will decrease the surplus price","")</f>
        <v>Note: the pooling surplus value is calculated with the difference between LSFO and biodiesel or penalty costs, therefore, decreasing the gap will decrease the surplus price</v>
      </c>
      <c r="E27" s="806"/>
      <c r="F27" s="806"/>
      <c r="G27" s="795"/>
      <c r="H27" s="209"/>
      <c r="I27" s="278">
        <v>2044</v>
      </c>
      <c r="J27" s="303">
        <v>12.983606557377048</v>
      </c>
      <c r="K27" s="302">
        <f t="shared" si="0"/>
        <v>525.8360655737705</v>
      </c>
      <c r="L27" s="259">
        <v>55.699999999999996</v>
      </c>
      <c r="M27" s="301">
        <f t="shared" si="1"/>
        <v>2060.8999999999996</v>
      </c>
      <c r="N27" s="300">
        <v>1</v>
      </c>
      <c r="O27" s="205">
        <v>310.50848000000008</v>
      </c>
      <c r="P27" s="299">
        <f t="shared" si="2"/>
        <v>310.50848000000008</v>
      </c>
      <c r="Q27" s="298">
        <v>62.900399999999991</v>
      </c>
      <c r="R27" s="209"/>
      <c r="S27" s="209"/>
      <c r="T27" s="24"/>
      <c r="U27" s="270">
        <v>1</v>
      </c>
      <c r="V27" s="270">
        <v>0.85</v>
      </c>
    </row>
    <row r="28" spans="2:22" ht="15.75" thickTop="1">
      <c r="B28" s="287"/>
      <c r="C28" s="251"/>
      <c r="D28" s="806"/>
      <c r="E28" s="806"/>
      <c r="F28" s="806"/>
      <c r="G28" s="795"/>
      <c r="H28" s="209"/>
      <c r="I28" s="278">
        <v>2045</v>
      </c>
      <c r="J28" s="303">
        <v>12.983606557377048</v>
      </c>
      <c r="K28" s="302">
        <f t="shared" si="0"/>
        <v>525.8360655737705</v>
      </c>
      <c r="L28" s="259">
        <v>57</v>
      </c>
      <c r="M28" s="301">
        <f t="shared" si="1"/>
        <v>2109</v>
      </c>
      <c r="N28" s="300">
        <v>1</v>
      </c>
      <c r="O28" s="205">
        <v>325.03380000000004</v>
      </c>
      <c r="P28" s="299">
        <f t="shared" si="2"/>
        <v>325.03380000000004</v>
      </c>
      <c r="Q28" s="298">
        <v>34.640799999999999</v>
      </c>
      <c r="R28" s="209"/>
      <c r="S28" s="209"/>
      <c r="V28" s="270">
        <v>0.86</v>
      </c>
    </row>
    <row r="29" spans="2:22" ht="15.75" thickBot="1">
      <c r="B29" s="297" t="s">
        <v>1550</v>
      </c>
      <c r="C29" s="251"/>
      <c r="D29" s="256"/>
      <c r="E29" s="256"/>
      <c r="F29" s="256"/>
      <c r="G29" s="795"/>
      <c r="H29" s="209"/>
      <c r="I29" s="278">
        <v>2046</v>
      </c>
      <c r="J29" s="303">
        <v>12.983606557377048</v>
      </c>
      <c r="K29" s="302">
        <f t="shared" si="0"/>
        <v>525.8360655737705</v>
      </c>
      <c r="L29" s="259">
        <v>58.300000000000004</v>
      </c>
      <c r="M29" s="301">
        <f t="shared" si="1"/>
        <v>2157.1000000000004</v>
      </c>
      <c r="N29" s="300">
        <v>1</v>
      </c>
      <c r="O29" s="205">
        <v>343.36904000000004</v>
      </c>
      <c r="P29" s="299">
        <f t="shared" si="2"/>
        <v>343.36904000000004</v>
      </c>
      <c r="Q29" s="298">
        <v>34.640799999999999</v>
      </c>
      <c r="R29" s="209"/>
      <c r="S29" s="209"/>
      <c r="V29" s="270">
        <v>0.87</v>
      </c>
    </row>
    <row r="30" spans="2:22" ht="16.5" thickTop="1" thickBot="1">
      <c r="B30" s="287" t="s">
        <v>1551</v>
      </c>
      <c r="C30" s="288" t="s">
        <v>1528</v>
      </c>
      <c r="D30" s="289" t="s">
        <v>1552</v>
      </c>
      <c r="E30" s="256"/>
      <c r="F30" s="256"/>
      <c r="G30" s="795"/>
      <c r="H30" s="209"/>
      <c r="I30" s="278">
        <v>2047</v>
      </c>
      <c r="J30" s="303">
        <v>12.983606557377048</v>
      </c>
      <c r="K30" s="302">
        <f t="shared" si="0"/>
        <v>525.8360655737705</v>
      </c>
      <c r="L30" s="259">
        <v>59.599999999999994</v>
      </c>
      <c r="M30" s="301">
        <f t="shared" si="1"/>
        <v>2205.1999999999998</v>
      </c>
      <c r="N30" s="300">
        <v>1</v>
      </c>
      <c r="O30" s="205">
        <v>361.70428000000004</v>
      </c>
      <c r="P30" s="299">
        <f t="shared" si="2"/>
        <v>361.70428000000004</v>
      </c>
      <c r="Q30" s="298">
        <v>34.640799999999999</v>
      </c>
      <c r="R30" s="209"/>
      <c r="S30" s="209"/>
      <c r="V30" s="270">
        <v>0.88</v>
      </c>
    </row>
    <row r="31" spans="2:22" ht="16.5" thickTop="1" thickBot="1">
      <c r="B31" s="287" t="str">
        <f>IF(C30="Enter my own","Enter biodiesel estimate [USD/tonne biodiesel] -&gt;","")</f>
        <v>Enter biodiesel estimate [USD/tonne biodiesel] -&gt;</v>
      </c>
      <c r="C31" s="288">
        <v>1200</v>
      </c>
      <c r="D31" s="256"/>
      <c r="E31" s="256"/>
      <c r="F31" s="256"/>
      <c r="G31" s="795"/>
      <c r="H31" s="209"/>
      <c r="I31" s="278">
        <v>2048</v>
      </c>
      <c r="J31" s="303">
        <v>12.983606557377048</v>
      </c>
      <c r="K31" s="302">
        <f t="shared" si="0"/>
        <v>525.8360655737705</v>
      </c>
      <c r="L31" s="259">
        <v>60.900000000000006</v>
      </c>
      <c r="M31" s="301">
        <f t="shared" si="1"/>
        <v>2253.3000000000002</v>
      </c>
      <c r="N31" s="300">
        <v>1</v>
      </c>
      <c r="O31" s="205">
        <v>380.03952000000004</v>
      </c>
      <c r="P31" s="299">
        <f t="shared" si="2"/>
        <v>380.03952000000004</v>
      </c>
      <c r="Q31" s="298">
        <v>34.640799999999999</v>
      </c>
      <c r="R31" s="209"/>
      <c r="S31" s="209"/>
      <c r="V31" s="270">
        <v>0.89</v>
      </c>
    </row>
    <row r="32" spans="2:22" ht="15.75" thickTop="1">
      <c r="B32" s="287"/>
      <c r="C32" s="304" t="s">
        <v>924</v>
      </c>
      <c r="D32" s="256"/>
      <c r="E32" s="256"/>
      <c r="F32" s="256"/>
      <c r="G32" s="795"/>
      <c r="H32" s="209"/>
      <c r="I32" s="278">
        <v>2049</v>
      </c>
      <c r="J32" s="303">
        <v>12.983606557377048</v>
      </c>
      <c r="K32" s="302">
        <f t="shared" si="0"/>
        <v>525.8360655737705</v>
      </c>
      <c r="L32" s="259">
        <v>62.199999999999996</v>
      </c>
      <c r="M32" s="301">
        <f t="shared" si="1"/>
        <v>2301.3999999999996</v>
      </c>
      <c r="N32" s="300">
        <v>1</v>
      </c>
      <c r="O32" s="205">
        <v>398.37476000000004</v>
      </c>
      <c r="P32" s="299">
        <f t="shared" si="2"/>
        <v>398.37476000000004</v>
      </c>
      <c r="Q32" s="298">
        <v>34.640799999999999</v>
      </c>
      <c r="R32" s="209"/>
      <c r="S32" s="209"/>
      <c r="V32" s="270">
        <v>0.9</v>
      </c>
    </row>
    <row r="33" spans="2:22" ht="15.75" thickBot="1">
      <c r="B33" s="297" t="s">
        <v>1553</v>
      </c>
      <c r="C33" s="251"/>
      <c r="D33" s="256"/>
      <c r="E33" s="256"/>
      <c r="F33" s="256"/>
      <c r="G33" s="795"/>
      <c r="H33" s="209"/>
      <c r="I33" s="278">
        <v>2050</v>
      </c>
      <c r="J33" s="296">
        <v>12.983606557377048</v>
      </c>
      <c r="K33" s="295">
        <f t="shared" si="0"/>
        <v>525.8360655737705</v>
      </c>
      <c r="L33" s="294">
        <v>63.5</v>
      </c>
      <c r="M33" s="293">
        <f t="shared" si="1"/>
        <v>2349.5</v>
      </c>
      <c r="N33" s="292">
        <v>1</v>
      </c>
      <c r="O33" s="206">
        <v>416.71000000000004</v>
      </c>
      <c r="P33" s="291">
        <f t="shared" si="2"/>
        <v>416.71000000000004</v>
      </c>
      <c r="Q33" s="290">
        <v>18.231999999999996</v>
      </c>
      <c r="R33" s="209"/>
      <c r="S33" s="209"/>
      <c r="V33" s="270">
        <v>0.91</v>
      </c>
    </row>
    <row r="34" spans="2:22" ht="16.5" thickTop="1" thickBot="1">
      <c r="B34" s="287" t="s">
        <v>1554</v>
      </c>
      <c r="C34" s="288" t="s">
        <v>139</v>
      </c>
      <c r="D34" s="289" t="s">
        <v>1555</v>
      </c>
      <c r="E34" s="256"/>
      <c r="F34" s="256"/>
      <c r="G34" s="795"/>
      <c r="H34" s="209"/>
      <c r="I34" s="286" t="s">
        <v>1556</v>
      </c>
      <c r="J34" s="264" t="s">
        <v>1557</v>
      </c>
      <c r="K34" s="264"/>
      <c r="L34" s="264" t="s">
        <v>1558</v>
      </c>
      <c r="M34" s="285"/>
      <c r="N34" s="285"/>
      <c r="O34" s="264" t="s">
        <v>1555</v>
      </c>
      <c r="P34" s="285"/>
      <c r="Q34" s="264" t="s">
        <v>1559</v>
      </c>
      <c r="R34" s="209"/>
      <c r="S34" s="209"/>
      <c r="V34" s="270">
        <v>0.92</v>
      </c>
    </row>
    <row r="35" spans="2:22" ht="16.5" customHeight="1" thickTop="1" thickBot="1">
      <c r="B35" s="287" t="str">
        <f>IF(C34="Enter my own","Enter EUA estimate [USD/tonne CO2e] -&gt;","")</f>
        <v/>
      </c>
      <c r="C35" s="288">
        <v>150</v>
      </c>
      <c r="D35" s="806" t="str">
        <f>IF(AND(C34="Enter my own",C35&gt;E81),"Warning: the ETS cost is higher than the additional cost to blend biodiesel, therefore, there is no value in pooling because vessels can save money by blending biodiesel","")</f>
        <v/>
      </c>
      <c r="E35" s="806"/>
      <c r="F35" s="806"/>
      <c r="G35" s="795"/>
      <c r="H35" s="209"/>
      <c r="I35" s="209"/>
      <c r="J35" s="209"/>
      <c r="K35" s="209"/>
      <c r="L35" s="209"/>
      <c r="M35" s="209"/>
      <c r="N35" s="209"/>
      <c r="O35" s="209"/>
      <c r="P35" s="209"/>
      <c r="Q35" s="209"/>
      <c r="R35" s="209"/>
      <c r="S35" s="209"/>
      <c r="V35" s="270">
        <v>0.93</v>
      </c>
    </row>
    <row r="36" spans="2:22" ht="15" thickTop="1">
      <c r="B36" s="287"/>
      <c r="C36" s="287"/>
      <c r="D36" s="806"/>
      <c r="E36" s="806"/>
      <c r="F36" s="806"/>
      <c r="G36" s="795"/>
      <c r="H36" s="209"/>
      <c r="I36" s="286"/>
      <c r="J36" s="283"/>
      <c r="K36" s="285"/>
      <c r="L36" s="264"/>
      <c r="M36" s="285"/>
      <c r="N36" s="285"/>
      <c r="O36" s="264"/>
      <c r="P36" s="285"/>
      <c r="Q36" s="264"/>
      <c r="R36" s="209"/>
      <c r="S36" s="209"/>
      <c r="V36" s="270">
        <v>0.94</v>
      </c>
    </row>
    <row r="37" spans="2:22" ht="23.45" customHeight="1">
      <c r="B37" s="284" t="s">
        <v>1560</v>
      </c>
      <c r="C37" s="251"/>
      <c r="D37" s="256"/>
      <c r="E37" s="256"/>
      <c r="F37" s="256"/>
      <c r="G37" s="795"/>
      <c r="H37" s="209"/>
      <c r="I37" s="209"/>
      <c r="J37" s="283"/>
      <c r="K37" s="209"/>
      <c r="L37" s="264"/>
      <c r="M37" s="209"/>
      <c r="N37" s="209"/>
      <c r="O37" s="209"/>
      <c r="P37" s="209"/>
      <c r="Q37" s="209"/>
      <c r="R37" s="209"/>
      <c r="S37" s="209"/>
      <c r="V37" s="270">
        <v>0.95</v>
      </c>
    </row>
    <row r="38" spans="2:22" ht="12.95" customHeight="1">
      <c r="B38" s="279"/>
      <c r="C38" s="279"/>
      <c r="D38" s="279"/>
      <c r="E38" s="279"/>
      <c r="F38" s="279"/>
      <c r="G38" s="795"/>
      <c r="H38" s="209"/>
      <c r="I38" s="209"/>
      <c r="J38" s="282" t="s">
        <v>1561</v>
      </c>
      <c r="K38" s="209"/>
      <c r="L38" s="209"/>
      <c r="M38" s="209"/>
      <c r="N38" s="209"/>
      <c r="O38" s="259"/>
      <c r="P38" s="209"/>
      <c r="Q38" s="209"/>
      <c r="R38" s="209"/>
      <c r="S38" s="209"/>
      <c r="V38" s="270">
        <v>0.96</v>
      </c>
    </row>
    <row r="39" spans="2:22" ht="34.5" customHeight="1">
      <c r="B39" s="279"/>
      <c r="C39" s="280"/>
      <c r="D39" s="280"/>
      <c r="E39" s="280"/>
      <c r="F39" s="280"/>
      <c r="G39" s="795"/>
      <c r="H39" s="209"/>
      <c r="I39" s="209"/>
      <c r="J39" s="281"/>
      <c r="K39" s="266" t="s">
        <v>1562</v>
      </c>
      <c r="L39" s="266" t="s">
        <v>1563</v>
      </c>
      <c r="M39" s="266" t="s">
        <v>1564</v>
      </c>
      <c r="N39" s="265" t="s">
        <v>690</v>
      </c>
      <c r="O39" s="265" t="s">
        <v>158</v>
      </c>
      <c r="P39" s="209"/>
      <c r="Q39" s="209"/>
      <c r="R39" s="209"/>
      <c r="S39" s="209"/>
      <c r="V39" s="270">
        <v>0.97</v>
      </c>
    </row>
    <row r="40" spans="2:22" ht="32.450000000000003" customHeight="1">
      <c r="B40" s="279"/>
      <c r="C40" s="280"/>
      <c r="D40" s="280"/>
      <c r="E40" s="280"/>
      <c r="F40" s="280"/>
      <c r="G40" s="795"/>
      <c r="H40" s="209"/>
      <c r="I40" s="278"/>
      <c r="J40" s="277" t="s">
        <v>1565</v>
      </c>
      <c r="K40" s="259">
        <v>91.601234567901201</v>
      </c>
      <c r="L40" s="259">
        <v>16.227027027026999</v>
      </c>
      <c r="M40" s="259">
        <f>(1-C15)*L46</f>
        <v>9.3999999999999986</v>
      </c>
      <c r="N40" s="272" t="s">
        <v>1566</v>
      </c>
      <c r="O40" s="209"/>
      <c r="P40" s="209"/>
      <c r="Q40" s="209"/>
      <c r="R40" s="209"/>
      <c r="S40" s="209"/>
      <c r="V40" s="270">
        <v>0.98</v>
      </c>
    </row>
    <row r="41" spans="2:22" ht="14.45" customHeight="1">
      <c r="B41" s="279"/>
      <c r="C41" s="251"/>
      <c r="D41" s="256"/>
      <c r="E41" s="256"/>
      <c r="F41" s="256"/>
      <c r="G41" s="795"/>
      <c r="H41" s="209"/>
      <c r="I41" s="278"/>
      <c r="J41" s="277" t="s">
        <v>1567</v>
      </c>
      <c r="K41" s="276">
        <v>4.0500000000000001E-2</v>
      </c>
      <c r="L41" s="275">
        <v>3.6999999999999998E-2</v>
      </c>
      <c r="M41" s="274" t="s">
        <v>1568</v>
      </c>
      <c r="N41" s="272" t="s">
        <v>1569</v>
      </c>
      <c r="O41" s="209"/>
      <c r="P41" s="209"/>
      <c r="Q41" s="209"/>
      <c r="R41" s="209"/>
      <c r="S41" s="209"/>
      <c r="V41" s="270">
        <v>0.99</v>
      </c>
    </row>
    <row r="42" spans="2:22" ht="34.5" customHeight="1">
      <c r="B42" s="256"/>
      <c r="C42" s="251"/>
      <c r="D42" s="256"/>
      <c r="E42" s="256"/>
      <c r="F42" s="256"/>
      <c r="G42" s="795"/>
      <c r="H42" s="209"/>
      <c r="I42" s="271"/>
      <c r="J42" s="260" t="s">
        <v>1570</v>
      </c>
      <c r="K42" s="273">
        <v>78.10123456790123</v>
      </c>
      <c r="L42" s="273">
        <v>1.3270270270270272</v>
      </c>
      <c r="M42" s="273">
        <f>IF(C16="Yes",0,(1-C15)*K42)</f>
        <v>0</v>
      </c>
      <c r="N42" s="272" t="s">
        <v>1571</v>
      </c>
      <c r="O42" s="271"/>
      <c r="P42" s="788" t="s">
        <v>1572</v>
      </c>
      <c r="Q42" s="788"/>
      <c r="R42" s="788"/>
      <c r="S42" s="209"/>
      <c r="V42" s="270">
        <v>1</v>
      </c>
    </row>
    <row r="43" spans="2:22">
      <c r="B43" s="256"/>
      <c r="C43" s="251"/>
      <c r="D43" s="256"/>
      <c r="E43" s="256"/>
      <c r="F43" s="256"/>
      <c r="G43" s="795"/>
      <c r="H43" s="209"/>
      <c r="I43" s="209"/>
      <c r="J43" s="269" t="s">
        <v>139</v>
      </c>
      <c r="K43" s="209"/>
      <c r="L43" s="209"/>
      <c r="M43" s="209"/>
      <c r="N43" s="209"/>
      <c r="O43" s="209"/>
      <c r="P43" s="209"/>
      <c r="Q43" s="209"/>
      <c r="R43" s="209"/>
      <c r="S43" s="209"/>
    </row>
    <row r="44" spans="2:22" ht="15">
      <c r="B44" s="256"/>
      <c r="C44" s="251"/>
      <c r="D44" s="256"/>
      <c r="E44" s="256"/>
      <c r="F44" s="256"/>
      <c r="G44" s="795"/>
      <c r="H44" s="209"/>
      <c r="I44" s="209"/>
      <c r="J44" s="268" t="s">
        <v>1573</v>
      </c>
      <c r="K44" s="209"/>
      <c r="L44" s="209"/>
      <c r="M44" s="209"/>
      <c r="N44" s="209"/>
      <c r="O44" s="209"/>
      <c r="P44" s="209"/>
      <c r="Q44" s="209"/>
      <c r="R44" s="209"/>
      <c r="S44" s="209"/>
    </row>
    <row r="45" spans="2:22" ht="15">
      <c r="B45" s="256"/>
      <c r="C45" s="251"/>
      <c r="D45" s="256"/>
      <c r="E45" s="256"/>
      <c r="F45" s="256"/>
      <c r="G45" s="795"/>
      <c r="H45" s="209"/>
      <c r="I45" s="209"/>
      <c r="J45" s="267" t="s">
        <v>1574</v>
      </c>
      <c r="K45" s="266" t="s">
        <v>111</v>
      </c>
      <c r="L45" s="266" t="s">
        <v>1575</v>
      </c>
      <c r="M45" s="265" t="s">
        <v>690</v>
      </c>
      <c r="N45" s="265" t="s">
        <v>1531</v>
      </c>
      <c r="O45" s="209"/>
      <c r="P45" s="209"/>
      <c r="Q45" s="209"/>
      <c r="R45" s="209"/>
      <c r="S45" s="209"/>
    </row>
    <row r="46" spans="2:22" ht="15">
      <c r="B46" s="256"/>
      <c r="C46" s="256"/>
      <c r="D46" s="256"/>
      <c r="E46" s="256"/>
      <c r="F46" s="256"/>
      <c r="G46" s="795"/>
      <c r="H46" s="209"/>
      <c r="I46" s="209"/>
      <c r="J46" s="260" t="s">
        <v>1576</v>
      </c>
      <c r="K46" s="257" t="s">
        <v>1526</v>
      </c>
      <c r="L46" s="209">
        <v>94</v>
      </c>
      <c r="M46" s="264" t="s">
        <v>1577</v>
      </c>
      <c r="N46" s="257" t="s">
        <v>1578</v>
      </c>
      <c r="O46" s="209"/>
      <c r="P46" s="209"/>
      <c r="Q46" s="209"/>
      <c r="R46" s="209"/>
      <c r="S46" s="209"/>
    </row>
    <row r="47" spans="2:22" ht="29.1" customHeight="1">
      <c r="B47" s="256"/>
      <c r="C47" s="256"/>
      <c r="D47" s="256"/>
      <c r="E47" s="256"/>
      <c r="F47" s="256"/>
      <c r="G47" s="795"/>
      <c r="H47" s="209"/>
      <c r="I47" s="209"/>
      <c r="J47" s="260" t="s">
        <v>1579</v>
      </c>
      <c r="K47" s="257" t="s">
        <v>1526</v>
      </c>
      <c r="L47" s="209">
        <v>91.16</v>
      </c>
      <c r="M47" s="264" t="s">
        <v>1559</v>
      </c>
      <c r="N47" s="257" t="s">
        <v>1580</v>
      </c>
      <c r="O47" s="209"/>
      <c r="P47" s="210"/>
      <c r="Q47" s="209"/>
      <c r="R47" s="209"/>
      <c r="S47" s="209"/>
    </row>
    <row r="48" spans="2:22" ht="28.5">
      <c r="B48" s="256"/>
      <c r="C48" s="256"/>
      <c r="D48" s="256"/>
      <c r="E48" s="256"/>
      <c r="F48" s="256"/>
      <c r="G48" s="795"/>
      <c r="H48" s="209"/>
      <c r="I48" s="209"/>
      <c r="J48" s="260" t="s">
        <v>1581</v>
      </c>
      <c r="K48" s="263" t="s">
        <v>1582</v>
      </c>
      <c r="L48" s="204">
        <v>2400</v>
      </c>
      <c r="M48" s="262" t="s">
        <v>1583</v>
      </c>
      <c r="N48" s="257" t="s">
        <v>1584</v>
      </c>
      <c r="O48" s="209"/>
      <c r="P48" s="209"/>
      <c r="Q48" s="210"/>
      <c r="R48" s="210"/>
      <c r="S48" s="209"/>
    </row>
    <row r="49" spans="2:18" ht="15">
      <c r="B49" s="256"/>
      <c r="C49" s="256"/>
      <c r="D49" s="256"/>
      <c r="E49" s="256"/>
      <c r="F49" s="256"/>
      <c r="G49" s="795"/>
      <c r="H49" s="209"/>
      <c r="I49" s="209"/>
      <c r="J49" s="260" t="s">
        <v>1585</v>
      </c>
      <c r="K49" s="257" t="s">
        <v>1586</v>
      </c>
      <c r="L49" s="259">
        <v>1.1382000000000001</v>
      </c>
      <c r="M49" s="261" t="s">
        <v>1587</v>
      </c>
      <c r="N49" s="257" t="s">
        <v>1588</v>
      </c>
      <c r="O49" s="209"/>
      <c r="P49" s="209"/>
      <c r="Q49" s="209"/>
      <c r="R49" s="209"/>
    </row>
    <row r="50" spans="2:18" ht="15.75" thickBot="1">
      <c r="B50" s="256"/>
      <c r="C50" s="256"/>
      <c r="D50" s="256"/>
      <c r="E50" s="256"/>
      <c r="F50" s="256"/>
      <c r="G50" s="795"/>
      <c r="H50" s="209"/>
      <c r="I50" s="209"/>
      <c r="J50" s="260" t="s">
        <v>1589</v>
      </c>
      <c r="K50" s="257" t="s">
        <v>1590</v>
      </c>
      <c r="L50" s="259">
        <f>($L$49*$L$48)/($K$40*0.041)</f>
        <v>727.35200325304095</v>
      </c>
      <c r="M50" s="258" t="s">
        <v>1591</v>
      </c>
      <c r="N50" s="257" t="s">
        <v>1592</v>
      </c>
      <c r="O50" s="209"/>
      <c r="P50" s="209"/>
      <c r="Q50" s="210"/>
      <c r="R50" s="210"/>
    </row>
    <row r="51" spans="2:18" ht="15.6" customHeight="1">
      <c r="B51" s="789" t="str">
        <f>"In the business as usual (BAU) scenario, we assume that the vessel is able to comply with the least-cost FuelEU option between blending biodiesel and paying the penalty. Here, blending biodiesel costs "&amp;ROUND(E83,0)&amp;" USD per tonne of LSFO versus "&amp;ROUND(E88,0)&amp;" USD per tonne of fuel for the penalty. Therefore, BAU vessel FuelEU cost is based on the "&amp;B99&amp;". The BAU must also pay ETS, although, here the biodiesel is zero-rated and therefore only the LSFO is subject to ETS. The total cost in the BAU scenario is "&amp;ROUND(E105,0)&amp;" USD per tonne of fuel."</f>
        <v>In the business as usual (BAU) scenario, we assume that the vessel is able to comply with the least-cost FuelEU option between blending biodiesel and paying the penalty. Here, blending biodiesel costs 21 USD per tonne of LSFO versus 67 USD per tonne of fuel for the penalty. Therefore, BAU vessel FuelEU cost is based on the FuelEU - Additional cost to blend 3% biodiesel. The BAU must also pay ETS, although, here the biodiesel is zero-rated and therefore only the LSFO is subject to ETS. The total cost in the BAU scenario is 1030 USD per tonne of fuel.</v>
      </c>
      <c r="C51" s="789" t="str">
        <f>"Here we assume a dual fuel vessel that is able to optimize in a dual-fuel vessel, using "&amp;ROUND(E113*100,0)&amp;"% SMF to meet the "&amp;C12&amp;" target. The remainder of fuel is LSFO, which is subject to ETS costs. The SMF costs above show the additional costs beyond LSFO. The total cost in this scenario is "&amp;ROUND(E121,0)&amp;" USD per tonne of fuel."</f>
        <v>Here we assume a dual fuel vessel that is able to optimize in a dual-fuel vessel, using 3% SMF to meet the 2027 target. The remainder of fuel is LSFO, which is subject to ETS costs. The SMF costs above show the additional costs beyond LSFO. The total cost in this scenario is 1054 USD per tonne of fuel.</v>
      </c>
      <c r="D51" s="792"/>
      <c r="E51" s="789" t="str">
        <f>"In "&amp;C12&amp;" SMF has a starting cost of "&amp;C17&amp;" USD per tonne of LSFO-eq and a WtW emissions of "&amp;ROUND(M40,0)&amp;" gCO2e/MJ can pool "&amp;ROUND(E136,1)&amp;" tonnes CO2e of surplus compliance per tonne of fuel (in LSFO-eq). Enabling the SMF to cover a max of "&amp;E137&amp;" LSFO vessels (with identical consumption) in a pool. We assume that the value of pooling in "&amp;$C$12&amp;" will be based on the BAU cost of compliance: "&amp;ROUND(E128,0)&amp;" USD per tonne of CO2e abatement due to the cost of "&amp;$B$98&amp;IF(B98="Biodiesel"," minus the ETS savings of "&amp;ROUND(E127,0)&amp;" USD per tonne of CO2e.","")&amp;" Therefore the modeled SMF can achieve a surplus benefit of "&amp;ROUND(E138,0)&amp;" USD per tonne of fuel in LSFO-eq resulting in a reduced fuel cost of "&amp;ROUND(E139,0)&amp;" USD per tonne of LSFO-eq, compared to the BAU fuel cost of "&amp;ROUND(E105,0)&amp;" USD per tonne of fuel."</f>
        <v>In 2027 SMF has a starting cost of 2280 USD per tonne of LSFO-eq and a WtW emissions of 9 gCO2e/MJ can pool 3,4 tonnes CO2e of surplus compliance per tonne of fuel (in LSFO-eq). Enabling the SMF to cover a max of 37 LSFO vessels (with identical consumption) in a pool. We assume that the value of pooling in 2027 will be based on the BAU cost of compliance: 120 USD per tonne of CO2e abatement due to the cost of Biodiesel minus the ETS savings of 114 USD per tonne of CO2e. Therefore the modeled SMF can achieve a surplus benefit of 411 USD per tonne of fuel in LSFO-eq resulting in a reduced fuel cost of 1869 USD per tonne of LSFO-eq, compared to the BAU fuel cost of 1030 USD per tonne of fuel.</v>
      </c>
      <c r="F51" s="792"/>
      <c r="G51" s="795"/>
      <c r="H51" s="209"/>
      <c r="I51" s="209"/>
      <c r="J51" s="209"/>
      <c r="K51" s="209"/>
      <c r="L51" s="209"/>
      <c r="M51" s="209"/>
      <c r="N51" s="210"/>
      <c r="O51" s="210"/>
      <c r="P51" s="210"/>
      <c r="Q51" s="210"/>
      <c r="R51" s="210"/>
    </row>
    <row r="52" spans="2:18">
      <c r="B52" s="790"/>
      <c r="C52" s="790"/>
      <c r="D52" s="793"/>
      <c r="E52" s="790"/>
      <c r="F52" s="793"/>
      <c r="G52" s="795"/>
      <c r="H52" s="209"/>
      <c r="I52" s="209"/>
      <c r="J52" s="209"/>
      <c r="K52" s="209"/>
      <c r="L52" s="209"/>
      <c r="M52" s="209"/>
      <c r="N52" s="210"/>
      <c r="O52" s="210"/>
      <c r="P52" s="210"/>
      <c r="Q52" s="210"/>
      <c r="R52" s="210"/>
    </row>
    <row r="53" spans="2:18">
      <c r="B53" s="790"/>
      <c r="C53" s="790"/>
      <c r="D53" s="793"/>
      <c r="E53" s="790"/>
      <c r="F53" s="793"/>
      <c r="G53" s="211"/>
      <c r="H53" s="209"/>
      <c r="I53" s="209"/>
      <c r="J53" s="209"/>
      <c r="K53" s="209"/>
      <c r="L53" s="209"/>
      <c r="M53" s="209"/>
      <c r="N53" s="210"/>
      <c r="O53" s="210"/>
      <c r="P53" s="210"/>
      <c r="Q53" s="210"/>
      <c r="R53" s="210"/>
    </row>
    <row r="54" spans="2:18" ht="102.95" customHeight="1" thickBot="1">
      <c r="B54" s="791"/>
      <c r="C54" s="791"/>
      <c r="D54" s="794"/>
      <c r="E54" s="791"/>
      <c r="F54" s="794"/>
      <c r="G54" s="211"/>
      <c r="H54" s="209"/>
      <c r="I54" s="209"/>
      <c r="J54" s="209"/>
      <c r="K54" s="209"/>
      <c r="L54" s="209"/>
      <c r="M54" s="209"/>
      <c r="N54" s="210"/>
      <c r="O54" s="210"/>
      <c r="P54" s="210"/>
      <c r="Q54" s="210"/>
      <c r="R54" s="210"/>
    </row>
    <row r="55" spans="2:18" ht="26.45" customHeight="1">
      <c r="B55" s="237" t="s">
        <v>1593</v>
      </c>
      <c r="C55" s="252"/>
      <c r="D55" s="252"/>
      <c r="E55" s="252"/>
      <c r="F55" s="212"/>
      <c r="G55" s="211"/>
      <c r="H55" s="209"/>
      <c r="I55" s="209"/>
      <c r="J55" s="209"/>
      <c r="K55" s="209"/>
      <c r="L55" s="209"/>
      <c r="M55" s="209"/>
      <c r="N55" s="210"/>
      <c r="O55" s="210"/>
      <c r="P55" s="210"/>
      <c r="Q55" s="210"/>
      <c r="R55" s="210"/>
    </row>
    <row r="56" spans="2:18" ht="15">
      <c r="B56" s="228" t="s">
        <v>1594</v>
      </c>
      <c r="C56" s="255" t="s">
        <v>1595</v>
      </c>
      <c r="D56" s="254" t="s">
        <v>1596</v>
      </c>
      <c r="E56" s="225" t="s">
        <v>1575</v>
      </c>
      <c r="F56" s="225" t="s">
        <v>1531</v>
      </c>
      <c r="G56" s="211"/>
      <c r="H56" s="209"/>
      <c r="I56" s="209"/>
      <c r="J56" s="209"/>
      <c r="K56" s="209"/>
      <c r="L56" s="209"/>
      <c r="M56" s="209"/>
      <c r="N56" s="210"/>
      <c r="O56" s="210"/>
      <c r="P56" s="210"/>
      <c r="Q56" s="210"/>
      <c r="R56" s="210"/>
    </row>
    <row r="57" spans="2:18">
      <c r="B57" s="222" t="s">
        <v>1597</v>
      </c>
      <c r="C57" s="253" t="s">
        <v>1559</v>
      </c>
      <c r="D57" s="220" t="s">
        <v>1598</v>
      </c>
      <c r="E57" s="223">
        <f>INDEX(I6:$Q$33,MATCH($C$12,$I$6:$I$33,0),MATCH("FuelEU Target Intensity",$I$6:$Q$6,0))</f>
        <v>89.336799999999997</v>
      </c>
      <c r="F57" s="212"/>
      <c r="G57" s="211"/>
      <c r="H57" s="209"/>
      <c r="I57" s="209"/>
      <c r="J57" s="209"/>
      <c r="K57" s="209"/>
      <c r="L57" s="209"/>
      <c r="M57" s="209"/>
      <c r="N57" s="210"/>
      <c r="O57" s="210"/>
      <c r="P57" s="210"/>
      <c r="Q57" s="210"/>
      <c r="R57" s="210"/>
    </row>
    <row r="58" spans="2:18">
      <c r="B58" s="212"/>
      <c r="C58" s="212"/>
      <c r="D58" s="212"/>
      <c r="E58" s="212"/>
      <c r="F58" s="212"/>
      <c r="G58" s="211"/>
      <c r="H58" s="209"/>
      <c r="I58" s="209"/>
      <c r="J58" s="209"/>
      <c r="K58" s="209"/>
      <c r="L58" s="209"/>
      <c r="M58" s="209"/>
      <c r="N58" s="210"/>
      <c r="O58" s="210"/>
      <c r="P58" s="210"/>
      <c r="Q58" s="210"/>
      <c r="R58" s="210"/>
    </row>
    <row r="59" spans="2:18" ht="15">
      <c r="B59" s="228" t="s">
        <v>180</v>
      </c>
      <c r="C59" s="212"/>
      <c r="D59" s="212"/>
      <c r="E59" s="212"/>
      <c r="F59" s="212"/>
      <c r="G59" s="211"/>
      <c r="H59" s="209"/>
      <c r="I59" s="209"/>
      <c r="J59" s="209"/>
      <c r="K59" s="209"/>
      <c r="L59" s="209"/>
      <c r="M59" s="209"/>
      <c r="N59" s="210"/>
      <c r="O59" s="210"/>
      <c r="P59" s="210"/>
      <c r="Q59" s="210"/>
      <c r="R59" s="210"/>
    </row>
    <row r="60" spans="2:18">
      <c r="B60" s="222" t="s">
        <v>1599</v>
      </c>
      <c r="C60" s="253" t="s">
        <v>1566</v>
      </c>
      <c r="D60" s="220" t="s">
        <v>1598</v>
      </c>
      <c r="E60" s="223">
        <f>K40</f>
        <v>91.601234567901201</v>
      </c>
      <c r="F60" s="218" t="s">
        <v>1600</v>
      </c>
      <c r="G60" s="211"/>
      <c r="H60" s="209"/>
      <c r="I60" s="209"/>
      <c r="J60" s="209"/>
      <c r="K60" s="209"/>
      <c r="L60" s="209"/>
      <c r="M60" s="209"/>
      <c r="N60" s="210"/>
      <c r="O60" s="210"/>
      <c r="P60" s="210"/>
      <c r="Q60" s="210"/>
      <c r="R60" s="210"/>
    </row>
    <row r="61" spans="2:18">
      <c r="B61" s="222" t="s">
        <v>1601</v>
      </c>
      <c r="C61" s="221" t="s">
        <v>1602</v>
      </c>
      <c r="D61" s="220" t="s">
        <v>1603</v>
      </c>
      <c r="E61" s="240">
        <f>E60/1000</f>
        <v>9.1601234567901202E-2</v>
      </c>
      <c r="F61" s="218" t="s">
        <v>1604</v>
      </c>
      <c r="G61" s="211"/>
      <c r="H61" s="209"/>
      <c r="I61" s="209"/>
      <c r="J61" s="209"/>
      <c r="K61" s="209"/>
      <c r="L61" s="209"/>
      <c r="M61" s="209"/>
      <c r="N61" s="209"/>
      <c r="O61" s="209"/>
      <c r="P61" s="209"/>
      <c r="Q61" s="209"/>
      <c r="R61" s="209"/>
    </row>
    <row r="62" spans="2:18">
      <c r="B62" s="222" t="s">
        <v>1605</v>
      </c>
      <c r="C62" s="221" t="str">
        <f>IF($C$26="Yes",$D$26,"")</f>
        <v/>
      </c>
      <c r="D62" s="220" t="s">
        <v>587</v>
      </c>
      <c r="E62" s="223">
        <f>IF(C26="Yes",INDEX($I$6:$P$33,MATCH($C$12,$I$6:$I$33,0),MATCH("LSFO",$I$6:$P$6,0)),$C$27/($K$41*1000))</f>
        <v>14.814814814814815</v>
      </c>
      <c r="F62" s="212"/>
      <c r="G62" s="211"/>
      <c r="H62" s="209"/>
      <c r="I62" s="209"/>
      <c r="J62" s="209"/>
      <c r="K62" s="209"/>
      <c r="L62" s="209"/>
      <c r="M62" s="209"/>
      <c r="N62" s="210"/>
      <c r="O62" s="210"/>
      <c r="P62" s="210"/>
      <c r="Q62" s="210"/>
      <c r="R62" s="210"/>
    </row>
    <row r="63" spans="2:18">
      <c r="B63" s="212"/>
      <c r="C63" s="251"/>
      <c r="D63" s="250"/>
      <c r="E63" s="249"/>
      <c r="F63" s="212"/>
      <c r="G63" s="211"/>
      <c r="H63" s="209"/>
      <c r="I63" s="209"/>
      <c r="J63" s="209"/>
      <c r="K63" s="209"/>
      <c r="L63" s="209"/>
      <c r="M63" s="209"/>
      <c r="N63" s="209"/>
      <c r="O63" s="209"/>
      <c r="P63" s="209"/>
      <c r="Q63" s="209"/>
      <c r="R63" s="209"/>
    </row>
    <row r="64" spans="2:18" ht="15">
      <c r="B64" s="228" t="s">
        <v>1606</v>
      </c>
      <c r="C64" s="227"/>
      <c r="D64" s="226"/>
      <c r="E64" s="225"/>
      <c r="F64" s="212"/>
      <c r="G64" s="211"/>
      <c r="H64" s="209"/>
      <c r="I64" s="209"/>
      <c r="J64" s="209"/>
      <c r="K64" s="209"/>
      <c r="L64" s="209"/>
      <c r="M64" s="209"/>
      <c r="N64" s="210"/>
      <c r="O64" s="210"/>
      <c r="P64" s="210"/>
      <c r="Q64" s="210"/>
      <c r="R64" s="210"/>
    </row>
    <row r="65" spans="2:6">
      <c r="B65" s="222" t="s">
        <v>1599</v>
      </c>
      <c r="C65" s="253" t="s">
        <v>1566</v>
      </c>
      <c r="D65" s="220" t="s">
        <v>1598</v>
      </c>
      <c r="E65" s="223">
        <f>L40</f>
        <v>16.227027027026999</v>
      </c>
      <c r="F65" s="218" t="s">
        <v>1607</v>
      </c>
    </row>
    <row r="66" spans="2:6">
      <c r="B66" s="222" t="s">
        <v>1601</v>
      </c>
      <c r="C66" s="221" t="s">
        <v>1602</v>
      </c>
      <c r="D66" s="220" t="s">
        <v>1603</v>
      </c>
      <c r="E66" s="240">
        <f>E65/1000</f>
        <v>1.6227027027027E-2</v>
      </c>
      <c r="F66" s="218" t="s">
        <v>1604</v>
      </c>
    </row>
    <row r="67" spans="2:6">
      <c r="B67" s="222" t="s">
        <v>1605</v>
      </c>
      <c r="C67" s="221" t="str">
        <f>IF($C$30="Yes",$D$30,"")</f>
        <v/>
      </c>
      <c r="D67" s="220" t="s">
        <v>587</v>
      </c>
      <c r="E67" s="223">
        <f>IF(C30="Yes",INDEX($I$6:$P$33,MATCH($C$12,$I$6:$I$33,0),MATCH("100% Biodiesel (FAME)",$I$6:$P$6,0)),$C$31/($L$41*1000))</f>
        <v>32.432432432432435</v>
      </c>
      <c r="F67" s="212"/>
    </row>
    <row r="68" spans="2:6">
      <c r="B68" s="212"/>
      <c r="C68" s="251"/>
      <c r="D68" s="250"/>
      <c r="E68" s="249"/>
      <c r="F68" s="212"/>
    </row>
    <row r="69" spans="2:6" ht="15">
      <c r="B69" s="228" t="s">
        <v>1608</v>
      </c>
      <c r="C69" s="227"/>
      <c r="D69" s="226"/>
      <c r="E69" s="225"/>
      <c r="F69" s="212"/>
    </row>
    <row r="70" spans="2:6">
      <c r="B70" s="222" t="s">
        <v>1599</v>
      </c>
      <c r="C70" s="221" t="s">
        <v>1609</v>
      </c>
      <c r="D70" s="220" t="s">
        <v>1598</v>
      </c>
      <c r="E70" s="224">
        <f>$L$46*(1-$C$15)</f>
        <v>9.3999999999999986</v>
      </c>
      <c r="F70" s="218" t="s">
        <v>1610</v>
      </c>
    </row>
    <row r="71" spans="2:6">
      <c r="B71" s="222" t="s">
        <v>1601</v>
      </c>
      <c r="C71" s="221" t="s">
        <v>1602</v>
      </c>
      <c r="D71" s="220" t="s">
        <v>1603</v>
      </c>
      <c r="E71" s="240">
        <f>E70/1000</f>
        <v>9.3999999999999986E-3</v>
      </c>
      <c r="F71" s="218" t="s">
        <v>1604</v>
      </c>
    </row>
    <row r="72" spans="2:6">
      <c r="B72" s="222" t="s">
        <v>1605</v>
      </c>
      <c r="C72" s="221" t="s">
        <v>1611</v>
      </c>
      <c r="D72" s="220" t="s">
        <v>587</v>
      </c>
      <c r="E72" s="223">
        <f>C17/(K41*1000)</f>
        <v>56.296296296296298</v>
      </c>
      <c r="F72" s="218" t="s">
        <v>1612</v>
      </c>
    </row>
    <row r="73" spans="2:6">
      <c r="B73" s="212"/>
      <c r="C73" s="251"/>
      <c r="D73" s="250"/>
      <c r="E73" s="249"/>
      <c r="F73" s="212"/>
    </row>
    <row r="74" spans="2:6">
      <c r="B74" s="212"/>
      <c r="C74" s="251"/>
      <c r="D74" s="250"/>
      <c r="E74" s="249"/>
      <c r="F74" s="212"/>
    </row>
    <row r="75" spans="2:6" ht="20.25">
      <c r="B75" s="237" t="s">
        <v>1613</v>
      </c>
      <c r="C75" s="251"/>
      <c r="D75" s="250"/>
      <c r="E75" s="249"/>
      <c r="F75" s="212"/>
    </row>
    <row r="76" spans="2:6" ht="15">
      <c r="B76" s="228" t="s">
        <v>1614</v>
      </c>
      <c r="C76" s="227"/>
      <c r="D76" s="226"/>
      <c r="E76" s="225"/>
      <c r="F76" s="212"/>
    </row>
    <row r="77" spans="2:6">
      <c r="B77" s="222" t="s">
        <v>1615</v>
      </c>
      <c r="C77" s="221" t="s">
        <v>1616</v>
      </c>
      <c r="D77" s="220" t="s">
        <v>587</v>
      </c>
      <c r="E77" s="223">
        <f>E67-E62</f>
        <v>17.617617617617618</v>
      </c>
      <c r="F77" s="218" t="s">
        <v>1617</v>
      </c>
    </row>
    <row r="78" spans="2:6">
      <c r="B78" s="222" t="s">
        <v>582</v>
      </c>
      <c r="C78" s="221" t="s">
        <v>1618</v>
      </c>
      <c r="D78" s="220" t="s">
        <v>581</v>
      </c>
      <c r="E78" s="240">
        <f>E61-E66</f>
        <v>7.5374207540874205E-2</v>
      </c>
      <c r="F78" s="212"/>
    </row>
    <row r="79" spans="2:6">
      <c r="B79" s="222" t="s">
        <v>580</v>
      </c>
      <c r="C79" s="221" t="s">
        <v>1619</v>
      </c>
      <c r="D79" s="220" t="s">
        <v>581</v>
      </c>
      <c r="E79" s="240">
        <f>(E60-E57)/1000</f>
        <v>2.2644345679012049E-3</v>
      </c>
      <c r="F79" s="218" t="s">
        <v>1620</v>
      </c>
    </row>
    <row r="80" spans="2:6" ht="20.100000000000001" customHeight="1">
      <c r="B80" s="222" t="s">
        <v>1621</v>
      </c>
      <c r="C80" s="221" t="s">
        <v>1622</v>
      </c>
      <c r="D80" s="220" t="s">
        <v>584</v>
      </c>
      <c r="E80" s="248">
        <f>E79/E78</f>
        <v>3.0042565511196107E-2</v>
      </c>
      <c r="F80" s="218" t="s">
        <v>1623</v>
      </c>
    </row>
    <row r="81" spans="2:6">
      <c r="B81" s="222" t="s">
        <v>588</v>
      </c>
      <c r="C81" s="221" t="s">
        <v>1624</v>
      </c>
      <c r="D81" s="220" t="s">
        <v>572</v>
      </c>
      <c r="E81" s="223">
        <f>E77/E78</f>
        <v>233.7353611056391</v>
      </c>
      <c r="F81" s="218" t="s">
        <v>1625</v>
      </c>
    </row>
    <row r="82" spans="2:6" ht="22.5">
      <c r="B82" s="222" t="s">
        <v>590</v>
      </c>
      <c r="C82" s="221" t="s">
        <v>1626</v>
      </c>
      <c r="D82" s="220" t="s">
        <v>570</v>
      </c>
      <c r="E82" s="240">
        <f>($E$60-$E$57)*(E80*$L$41+(1-E80)*K41)</f>
        <v>9.1471497016516828E-2</v>
      </c>
      <c r="F82" s="213" t="s">
        <v>1627</v>
      </c>
    </row>
    <row r="83" spans="2:6" ht="25.5">
      <c r="B83" s="247" t="s">
        <v>591</v>
      </c>
      <c r="C83" s="244" t="s">
        <v>1628</v>
      </c>
      <c r="D83" s="232" t="s">
        <v>592</v>
      </c>
      <c r="E83" s="242">
        <f>E81*E82</f>
        <v>21.380123386028952</v>
      </c>
      <c r="F83" s="229" t="s">
        <v>1629</v>
      </c>
    </row>
    <row r="84" spans="2:6">
      <c r="B84" s="212"/>
      <c r="C84" s="212"/>
      <c r="D84" s="212"/>
      <c r="E84" s="246" t="s">
        <v>924</v>
      </c>
      <c r="F84" s="218"/>
    </row>
    <row r="85" spans="2:6" ht="15">
      <c r="B85" s="228" t="s">
        <v>1630</v>
      </c>
      <c r="C85" s="227"/>
      <c r="D85" s="226"/>
      <c r="E85" s="225"/>
      <c r="F85" s="218"/>
    </row>
    <row r="86" spans="2:6" ht="17.45" customHeight="1">
      <c r="B86" s="236" t="s">
        <v>1631</v>
      </c>
      <c r="C86" s="238" t="s">
        <v>1632</v>
      </c>
      <c r="D86" s="221" t="s">
        <v>572</v>
      </c>
      <c r="E86" s="223">
        <f>($L$49*$L$48)/($K$40*0.041)</f>
        <v>727.35200325304095</v>
      </c>
      <c r="F86" s="218" t="s">
        <v>1633</v>
      </c>
    </row>
    <row r="87" spans="2:6" ht="17.45" customHeight="1">
      <c r="B87" s="222" t="s">
        <v>590</v>
      </c>
      <c r="C87" s="221" t="s">
        <v>1626</v>
      </c>
      <c r="D87" s="220" t="s">
        <v>570</v>
      </c>
      <c r="E87" s="240">
        <f>($E$60-$E$57)*$K$41</f>
        <v>9.1709599999998795E-2</v>
      </c>
      <c r="F87" s="213" t="s">
        <v>1634</v>
      </c>
    </row>
    <row r="88" spans="2:6" ht="17.45" customHeight="1">
      <c r="B88" s="236" t="s">
        <v>1635</v>
      </c>
      <c r="C88" s="238" t="s">
        <v>1628</v>
      </c>
      <c r="D88" s="221" t="s">
        <v>1636</v>
      </c>
      <c r="E88" s="223">
        <f>E86*E87</f>
        <v>66.705161277534202</v>
      </c>
      <c r="F88" s="213" t="s">
        <v>1637</v>
      </c>
    </row>
    <row r="89" spans="2:6">
      <c r="B89" s="212"/>
      <c r="C89" s="212"/>
      <c r="D89" s="212"/>
      <c r="E89" s="212"/>
      <c r="F89" s="218"/>
    </row>
    <row r="90" spans="2:6" ht="15">
      <c r="B90" s="228" t="s">
        <v>1638</v>
      </c>
      <c r="C90" s="227"/>
      <c r="D90" s="226"/>
      <c r="E90" s="225"/>
      <c r="F90" s="218"/>
    </row>
    <row r="91" spans="2:6" ht="20.100000000000001" customHeight="1">
      <c r="B91" s="222" t="s">
        <v>594</v>
      </c>
      <c r="C91" s="238" t="s">
        <v>1639</v>
      </c>
      <c r="D91" s="220" t="s">
        <v>595</v>
      </c>
      <c r="E91" s="223">
        <f>$K$42*$K$41</f>
        <v>3.1631</v>
      </c>
      <c r="F91" s="213" t="s">
        <v>1640</v>
      </c>
    </row>
    <row r="92" spans="2:6" ht="20.100000000000001" customHeight="1">
      <c r="B92" s="222" t="s">
        <v>596</v>
      </c>
      <c r="C92" s="238" t="s">
        <v>1641</v>
      </c>
      <c r="D92" s="220" t="s">
        <v>595</v>
      </c>
      <c r="E92" s="245">
        <f>(K42*(1-E80)+E80*L42)*1/((1-E80)/K41+E80/L41)</f>
        <v>3.0609880737902349</v>
      </c>
      <c r="F92" s="213" t="s">
        <v>1642</v>
      </c>
    </row>
    <row r="93" spans="2:6" ht="20.100000000000001" customHeight="1">
      <c r="B93" s="236" t="str">
        <f>C12&amp;" ETS Price"</f>
        <v>2027 ETS Price</v>
      </c>
      <c r="C93" s="221" t="str">
        <f>IF($C$34="Yes",$D$34,"")</f>
        <v>Pietzcker et al., 2021</v>
      </c>
      <c r="D93" s="220" t="s">
        <v>598</v>
      </c>
      <c r="E93" s="219">
        <f>IF($C$34="Yes",INDEX($I$6:$P$33,MATCH($C$12,$I$6:$I$33,0),MATCH("ETS price projection with phase-in",$I$6:$P$6,0)),$C$35*_xlfn.XLOOKUP($C$12,$I$6:$I$33,$N$6:$N$33))</f>
        <v>133.34720000000002</v>
      </c>
      <c r="F93" s="213" t="s">
        <v>1643</v>
      </c>
    </row>
    <row r="94" spans="2:6" ht="20.100000000000001" customHeight="1">
      <c r="B94" s="222" t="s">
        <v>599</v>
      </c>
      <c r="C94" s="238" t="s">
        <v>1644</v>
      </c>
      <c r="D94" s="220" t="s">
        <v>600</v>
      </c>
      <c r="E94" s="223">
        <f>(E91-E92)*E93</f>
        <v>13.616339446678799</v>
      </c>
      <c r="F94" s="213" t="s">
        <v>1645</v>
      </c>
    </row>
    <row r="95" spans="2:6" ht="20.100000000000001" customHeight="1">
      <c r="B95" s="233" t="s">
        <v>601</v>
      </c>
      <c r="C95" s="244" t="s">
        <v>1646</v>
      </c>
      <c r="D95" s="243" t="s">
        <v>600</v>
      </c>
      <c r="E95" s="242">
        <f>E83-E94</f>
        <v>7.7637839393501533</v>
      </c>
      <c r="F95" s="229" t="s">
        <v>1647</v>
      </c>
    </row>
    <row r="97" spans="2:6" ht="20.100000000000001" customHeight="1" thickBot="1">
      <c r="B97" s="228" t="s">
        <v>1648</v>
      </c>
      <c r="C97" s="213"/>
      <c r="D97" s="213"/>
      <c r="E97" s="213"/>
      <c r="F97" s="213"/>
    </row>
    <row r="98" spans="2:6" ht="20.100000000000001" customHeight="1" thickBot="1">
      <c r="B98" s="241" t="str">
        <f>IF(MIN(E88,E95)=E95,"Biodiesel","Penalty")</f>
        <v>Biodiesel</v>
      </c>
      <c r="C98" s="213" t="s">
        <v>1649</v>
      </c>
      <c r="D98" s="213"/>
      <c r="E98" s="213"/>
      <c r="F98" s="213"/>
    </row>
    <row r="99" spans="2:6" ht="20.100000000000001" customHeight="1">
      <c r="B99" s="222" t="str">
        <f>IF(MIN(E88,E95)=E95,"FuelEU - Additional cost to blend "&amp;ROUND(E80*100,0)&amp;"% biodiesel",B88)</f>
        <v>FuelEU - Additional cost to blend 3% biodiesel</v>
      </c>
      <c r="C99" s="238" t="s">
        <v>1650</v>
      </c>
      <c r="D99" s="220" t="s">
        <v>600</v>
      </c>
      <c r="E99" s="223">
        <f>MIN(E95,E88)</f>
        <v>7.7637839393501533</v>
      </c>
      <c r="F99" s="213" t="s">
        <v>1651</v>
      </c>
    </row>
    <row r="100" spans="2:6">
      <c r="B100" s="212"/>
      <c r="C100" s="212"/>
      <c r="D100" s="212"/>
      <c r="E100" s="212"/>
      <c r="F100" s="212"/>
    </row>
    <row r="101" spans="2:6" ht="15">
      <c r="B101" s="228" t="s">
        <v>1652</v>
      </c>
      <c r="C101" s="227"/>
      <c r="D101" s="226"/>
      <c r="E101" s="225"/>
      <c r="F101" s="212"/>
    </row>
    <row r="102" spans="2:6" ht="17.45" customHeight="1">
      <c r="B102" s="222" t="s">
        <v>1653</v>
      </c>
      <c r="C102" s="221" t="str">
        <f>IF($C$26="Yes",$D$26,"")</f>
        <v/>
      </c>
      <c r="D102" s="220" t="s">
        <v>1654</v>
      </c>
      <c r="E102" s="219">
        <f>IF($C$26="Yes",INDEX($I$6:$P$33,MATCH($C$12,$I$6:$I$33,0),MATCH("LSFO cost per tonne",$I$6:$P$6,0)),$C$27)</f>
        <v>600</v>
      </c>
      <c r="F102" s="213"/>
    </row>
    <row r="103" spans="2:6" ht="17.45" customHeight="1">
      <c r="B103" s="222" t="str">
        <f>B99</f>
        <v>FuelEU - Additional cost to blend 3% biodiesel</v>
      </c>
      <c r="C103" s="221" t="s">
        <v>1655</v>
      </c>
      <c r="D103" s="220" t="s">
        <v>1654</v>
      </c>
      <c r="E103" s="219">
        <f>IF(B98="Biodiesel",$E$83,$E$88)</f>
        <v>21.380123386028952</v>
      </c>
      <c r="F103" s="213" t="s">
        <v>1656</v>
      </c>
    </row>
    <row r="104" spans="2:6" ht="17.45" customHeight="1">
      <c r="B104" s="236" t="s">
        <v>1657</v>
      </c>
      <c r="C104" s="221" t="s">
        <v>1658</v>
      </c>
      <c r="D104" s="220" t="s">
        <v>1654</v>
      </c>
      <c r="E104" s="219">
        <f>$E$93*IF(B98="Biodiesel",$E$92,$E$91)</f>
        <v>408.17418887332127</v>
      </c>
      <c r="F104" s="213" t="s">
        <v>1659</v>
      </c>
    </row>
    <row r="105" spans="2:6" ht="15">
      <c r="B105" s="217" t="s">
        <v>74</v>
      </c>
      <c r="C105" s="216" t="s">
        <v>1660</v>
      </c>
      <c r="D105" s="215" t="s">
        <v>1654</v>
      </c>
      <c r="E105" s="214">
        <f>E102+E103+E104</f>
        <v>1029.5543122593501</v>
      </c>
      <c r="F105" s="212"/>
    </row>
    <row r="106" spans="2:6">
      <c r="B106" s="212"/>
      <c r="C106" s="212"/>
      <c r="D106" s="212"/>
      <c r="E106" s="212"/>
      <c r="F106" s="212"/>
    </row>
    <row r="107" spans="2:6">
      <c r="B107" s="212"/>
      <c r="C107" s="212"/>
      <c r="D107" s="212"/>
      <c r="E107" s="212"/>
      <c r="F107" s="212"/>
    </row>
    <row r="108" spans="2:6" ht="20.25">
      <c r="B108" s="237" t="s">
        <v>1661</v>
      </c>
      <c r="C108" s="212"/>
      <c r="D108" s="212"/>
      <c r="E108" s="212"/>
      <c r="F108" s="212"/>
    </row>
    <row r="109" spans="2:6" ht="15">
      <c r="B109" s="228" t="s">
        <v>1662</v>
      </c>
      <c r="C109" s="227"/>
      <c r="D109" s="226"/>
      <c r="E109" s="225"/>
      <c r="F109" s="212"/>
    </row>
    <row r="110" spans="2:6" ht="15.6" customHeight="1">
      <c r="B110" s="222" t="s">
        <v>1663</v>
      </c>
      <c r="C110" s="221" t="s">
        <v>1664</v>
      </c>
      <c r="D110" s="220" t="s">
        <v>587</v>
      </c>
      <c r="E110" s="223">
        <f>E72-E62</f>
        <v>41.481481481481481</v>
      </c>
      <c r="F110" s="218" t="s">
        <v>1617</v>
      </c>
    </row>
    <row r="111" spans="2:6" ht="15.6" customHeight="1">
      <c r="B111" s="222" t="s">
        <v>1665</v>
      </c>
      <c r="C111" s="221" t="s">
        <v>1666</v>
      </c>
      <c r="D111" s="220" t="s">
        <v>581</v>
      </c>
      <c r="E111" s="240">
        <f>E61-E71</f>
        <v>8.220123456790121E-2</v>
      </c>
      <c r="F111" s="212"/>
    </row>
    <row r="112" spans="2:6" ht="15.6" customHeight="1">
      <c r="B112" s="222" t="s">
        <v>580</v>
      </c>
      <c r="C112" s="221" t="s">
        <v>1619</v>
      </c>
      <c r="D112" s="220" t="s">
        <v>581</v>
      </c>
      <c r="E112" s="240">
        <f>($E$60-$E$57)/1000</f>
        <v>2.2644345679012049E-3</v>
      </c>
      <c r="F112" s="218" t="s">
        <v>1620</v>
      </c>
    </row>
    <row r="113" spans="2:6" ht="15.6" customHeight="1">
      <c r="B113" s="222" t="s">
        <v>1667</v>
      </c>
      <c r="C113" s="221" t="s">
        <v>1668</v>
      </c>
      <c r="D113" s="220" t="s">
        <v>584</v>
      </c>
      <c r="E113" s="239">
        <f>E112/E111</f>
        <v>2.7547452052325314E-2</v>
      </c>
      <c r="F113" s="218" t="s">
        <v>1669</v>
      </c>
    </row>
    <row r="114" spans="2:6" ht="15.6" customHeight="1">
      <c r="B114" s="222" t="s">
        <v>1670</v>
      </c>
      <c r="C114" s="221" t="s">
        <v>1624</v>
      </c>
      <c r="D114" s="220" t="s">
        <v>572</v>
      </c>
      <c r="E114" s="223">
        <f>E110/E111</f>
        <v>504.6333148100868</v>
      </c>
      <c r="F114" s="218" t="s">
        <v>1625</v>
      </c>
    </row>
    <row r="115" spans="2:6" ht="25.5">
      <c r="B115" s="236" t="s">
        <v>1671</v>
      </c>
      <c r="C115" s="238" t="s">
        <v>1672</v>
      </c>
      <c r="D115" s="221" t="s">
        <v>1636</v>
      </c>
      <c r="E115" s="223">
        <f>E114*E87</f>
        <v>46.27971944790653</v>
      </c>
      <c r="F115" s="218" t="s">
        <v>1673</v>
      </c>
    </row>
    <row r="116" spans="2:6">
      <c r="B116" s="212"/>
      <c r="C116" s="212"/>
      <c r="D116" s="212"/>
      <c r="E116" s="212"/>
      <c r="F116" s="212"/>
    </row>
    <row r="117" spans="2:6" ht="15">
      <c r="B117" s="228" t="s">
        <v>1674</v>
      </c>
      <c r="C117" s="227"/>
      <c r="D117" s="226"/>
      <c r="E117" s="225"/>
      <c r="F117" s="212"/>
    </row>
    <row r="118" spans="2:6">
      <c r="B118" s="222" t="s">
        <v>1653</v>
      </c>
      <c r="C118" s="221" t="str">
        <f>IF($C$26="Yes",$D$26,"")</f>
        <v/>
      </c>
      <c r="D118" s="220" t="s">
        <v>1654</v>
      </c>
      <c r="E118" s="219">
        <f>IF($C$26="Yes",INDEX($I$6:$P$33,MATCH($C$12,$I$6:$I$33,0),MATCH("LSFO cost per tonne",$I$6:$P$6,0)),$C$27)</f>
        <v>600</v>
      </c>
      <c r="F118" s="213"/>
    </row>
    <row r="119" spans="2:6">
      <c r="B119" s="222" t="str">
        <f>"FuelEU - Additional cost to blend "&amp;ROUND(E113*100,0)&amp;"% SMF"</f>
        <v>FuelEU - Additional cost to blend 3% SMF</v>
      </c>
      <c r="C119" s="221" t="s">
        <v>1655</v>
      </c>
      <c r="D119" s="220" t="s">
        <v>1654</v>
      </c>
      <c r="E119" s="219">
        <f>E115</f>
        <v>46.27971944790653</v>
      </c>
      <c r="F119" s="213" t="s">
        <v>1656</v>
      </c>
    </row>
    <row r="120" spans="2:6" ht="33.75">
      <c r="B120" s="236" t="s">
        <v>1657</v>
      </c>
      <c r="C120" s="221" t="s">
        <v>1658</v>
      </c>
      <c r="D120" s="220" t="s">
        <v>1654</v>
      </c>
      <c r="E120" s="219">
        <f>$E$93*$E$92</f>
        <v>408.17418887332127</v>
      </c>
      <c r="F120" s="213" t="s">
        <v>1675</v>
      </c>
    </row>
    <row r="121" spans="2:6" ht="15">
      <c r="B121" s="217" t="s">
        <v>74</v>
      </c>
      <c r="C121" s="216" t="s">
        <v>1660</v>
      </c>
      <c r="D121" s="215" t="s">
        <v>1654</v>
      </c>
      <c r="E121" s="214">
        <f>E118+E119+E120</f>
        <v>1054.4539083212278</v>
      </c>
      <c r="F121" s="212"/>
    </row>
    <row r="122" spans="2:6">
      <c r="B122" s="212"/>
      <c r="C122" s="212"/>
      <c r="D122" s="212"/>
      <c r="E122" s="212"/>
      <c r="F122" s="212"/>
    </row>
    <row r="123" spans="2:6">
      <c r="B123" s="212"/>
      <c r="C123" s="212"/>
      <c r="D123" s="212"/>
      <c r="E123" s="212"/>
      <c r="F123" s="212"/>
    </row>
    <row r="124" spans="2:6" ht="20.25">
      <c r="B124" s="237" t="s">
        <v>1676</v>
      </c>
      <c r="C124" s="212"/>
      <c r="D124" s="212"/>
      <c r="E124" s="212"/>
      <c r="F124" s="212"/>
    </row>
    <row r="125" spans="2:6" ht="15">
      <c r="B125" s="228" t="s">
        <v>1677</v>
      </c>
      <c r="C125" s="212"/>
      <c r="D125" s="212"/>
      <c r="E125" s="212"/>
      <c r="F125" s="212"/>
    </row>
    <row r="126" spans="2:6">
      <c r="B126" s="236" t="str">
        <f>$C$12&amp;" ETS Cost per TtW abatement"</f>
        <v>2027 ETS Cost per TtW abatement</v>
      </c>
      <c r="C126" s="221" t="str">
        <f>IF($C$34="Yes",$D$34,"")</f>
        <v>Pietzcker et al., 2021</v>
      </c>
      <c r="D126" s="220" t="s">
        <v>598</v>
      </c>
      <c r="E126" s="219">
        <f>IF($C$34="Yes",INDEX($I$6:$P$33,MATCH($C$12,$I$6:$I$33,0),MATCH("ETS price projection with phase-in",$I$6:$P$6,0)),$C$35*_xlfn.XLOOKUP($C$12,$I$6:$I$33,$N$6:$N$33))</f>
        <v>133.34720000000002</v>
      </c>
      <c r="F126" s="218" t="s">
        <v>1678</v>
      </c>
    </row>
    <row r="127" spans="2:6" ht="30.6" customHeight="1">
      <c r="B127" s="236" t="s">
        <v>1679</v>
      </c>
      <c r="C127" s="221" t="s">
        <v>1680</v>
      </c>
      <c r="D127" s="220" t="s">
        <v>1681</v>
      </c>
      <c r="E127" s="219">
        <f>E126*(K42/K40)</f>
        <v>113.69476618192115</v>
      </c>
      <c r="F127" s="213" t="s">
        <v>1682</v>
      </c>
    </row>
    <row r="128" spans="2:6" ht="30.6" customHeight="1">
      <c r="B128" s="235" t="s">
        <v>1683</v>
      </c>
      <c r="C128" s="221" t="s">
        <v>1684</v>
      </c>
      <c r="D128" s="234" t="s">
        <v>1685</v>
      </c>
      <c r="E128" s="219">
        <f>IF($B$98="Biodiesel",$E$81-$E$127,$E$86)</f>
        <v>120.04059492371795</v>
      </c>
      <c r="F128" s="213" t="s">
        <v>1686</v>
      </c>
    </row>
    <row r="129" spans="2:6" ht="30.6" customHeight="1">
      <c r="B129" s="233" t="s">
        <v>1687</v>
      </c>
      <c r="C129" s="232" t="s">
        <v>1688</v>
      </c>
      <c r="D129" s="231" t="s">
        <v>1689</v>
      </c>
      <c r="E129" s="230">
        <f>E128*(1+C20)</f>
        <v>120.04059492371795</v>
      </c>
      <c r="F129" s="229" t="s">
        <v>1690</v>
      </c>
    </row>
    <row r="130" spans="2:6">
      <c r="B130" s="212"/>
      <c r="C130" s="212"/>
      <c r="D130" s="212"/>
      <c r="E130" s="212"/>
      <c r="F130" s="212"/>
    </row>
    <row r="131" spans="2:6" ht="15">
      <c r="B131" s="228" t="s">
        <v>1691</v>
      </c>
      <c r="C131" s="227"/>
      <c r="D131" s="226"/>
      <c r="E131" s="225"/>
      <c r="F131" s="212"/>
    </row>
    <row r="132" spans="2:6">
      <c r="B132" s="222" t="s">
        <v>1692</v>
      </c>
      <c r="C132" s="221"/>
      <c r="D132" s="220" t="s">
        <v>1693</v>
      </c>
      <c r="E132" s="219">
        <f>$C$17</f>
        <v>2280</v>
      </c>
      <c r="F132" s="212"/>
    </row>
    <row r="133" spans="2:6" ht="26.45" customHeight="1">
      <c r="B133" s="222" t="s">
        <v>1694</v>
      </c>
      <c r="C133" s="221" t="s">
        <v>1695</v>
      </c>
      <c r="D133" s="220" t="s">
        <v>1696</v>
      </c>
      <c r="E133" s="224">
        <f>$L$46*(1-$C$15)</f>
        <v>9.3999999999999986</v>
      </c>
      <c r="F133" s="213" t="s">
        <v>1697</v>
      </c>
    </row>
    <row r="134" spans="2:6">
      <c r="B134" s="222" t="s">
        <v>1698</v>
      </c>
      <c r="C134" s="221" t="s">
        <v>1699</v>
      </c>
      <c r="D134" s="220" t="s">
        <v>1696</v>
      </c>
      <c r="E134" s="224">
        <f>$E$133/IF(AND($C$16="Yes",$C$15&gt;=0.7,$C$12&lt;2033),2,1)</f>
        <v>4.6999999999999993</v>
      </c>
      <c r="F134" s="218" t="s">
        <v>1700</v>
      </c>
    </row>
    <row r="135" spans="2:6" ht="23.45" customHeight="1">
      <c r="B135" s="222" t="s">
        <v>1701</v>
      </c>
      <c r="C135" s="221" t="s">
        <v>1702</v>
      </c>
      <c r="D135" s="220" t="s">
        <v>1696</v>
      </c>
      <c r="E135" s="219">
        <f>INDEX($I$6:$Q$33,MATCH($C$12,$I$6:$I$33,0),MATCH("FuelEU Target Intensity",$I$6:$Q$6,0))-E134</f>
        <v>84.636799999999994</v>
      </c>
      <c r="F135" s="213" t="s">
        <v>1703</v>
      </c>
    </row>
    <row r="136" spans="2:6" ht="22.5">
      <c r="B136" s="222" t="s">
        <v>1704</v>
      </c>
      <c r="C136" s="221" t="s">
        <v>1705</v>
      </c>
      <c r="D136" s="220" t="s">
        <v>1706</v>
      </c>
      <c r="E136" s="223">
        <f>$E$135*$K$41</f>
        <v>3.4277903999999997</v>
      </c>
      <c r="F136" s="213" t="s">
        <v>1707</v>
      </c>
    </row>
    <row r="137" spans="2:6" ht="22.5">
      <c r="B137" s="222" t="s">
        <v>1708</v>
      </c>
      <c r="C137" s="221" t="s">
        <v>1709</v>
      </c>
      <c r="D137" s="220" t="s">
        <v>1710</v>
      </c>
      <c r="E137" s="219">
        <f>ROUNDDOWN(E136/E87,0)</f>
        <v>37</v>
      </c>
      <c r="F137" s="213" t="s">
        <v>1711</v>
      </c>
    </row>
    <row r="138" spans="2:6">
      <c r="B138" s="222" t="s">
        <v>1712</v>
      </c>
      <c r="C138" s="221" t="s">
        <v>1713</v>
      </c>
      <c r="D138" s="220" t="s">
        <v>1693</v>
      </c>
      <c r="E138" s="219">
        <f>E136*E129</f>
        <v>411.47399888980908</v>
      </c>
      <c r="F138" s="218" t="s">
        <v>1714</v>
      </c>
    </row>
    <row r="139" spans="2:6" ht="21.95" customHeight="1">
      <c r="B139" s="217" t="s">
        <v>1715</v>
      </c>
      <c r="C139" s="216" t="s">
        <v>1716</v>
      </c>
      <c r="D139" s="215" t="s">
        <v>1693</v>
      </c>
      <c r="E139" s="214">
        <f>E132-E138</f>
        <v>1868.5260011101909</v>
      </c>
      <c r="F139" s="213" t="s">
        <v>1717</v>
      </c>
    </row>
    <row r="140" spans="2:6">
      <c r="B140" s="212"/>
      <c r="C140" s="212"/>
      <c r="D140" s="212"/>
      <c r="E140" s="212"/>
      <c r="F140" s="212"/>
    </row>
    <row r="141" spans="2:6" ht="9.9499999999999993" customHeight="1"/>
    <row r="142" spans="2:6" ht="35.450000000000003" customHeight="1">
      <c r="B142" s="804" t="e" vm="3">
        <v>#VALUE!</v>
      </c>
      <c r="C142" s="804"/>
      <c r="E142" s="67"/>
    </row>
  </sheetData>
  <mergeCells count="18">
    <mergeCell ref="B142:C142"/>
    <mergeCell ref="D20:F21"/>
    <mergeCell ref="D27:F28"/>
    <mergeCell ref="D35:F36"/>
    <mergeCell ref="B7:E7"/>
    <mergeCell ref="B8:E8"/>
    <mergeCell ref="P42:R42"/>
    <mergeCell ref="B51:B54"/>
    <mergeCell ref="C51:D54"/>
    <mergeCell ref="E51:F54"/>
    <mergeCell ref="G2:G52"/>
    <mergeCell ref="B4:F4"/>
    <mergeCell ref="B5:E5"/>
    <mergeCell ref="J5:M5"/>
    <mergeCell ref="N5:P5"/>
    <mergeCell ref="B6:E6"/>
    <mergeCell ref="B20:B21"/>
    <mergeCell ref="C20:C21"/>
  </mergeCells>
  <conditionalFormatting sqref="C27">
    <cfRule type="expression" dxfId="6" priority="3">
      <formula>$C$26="Yes"</formula>
    </cfRule>
  </conditionalFormatting>
  <conditionalFormatting sqref="C31">
    <cfRule type="expression" dxfId="5" priority="2">
      <formula>$C$30="Yes"</formula>
    </cfRule>
  </conditionalFormatting>
  <conditionalFormatting sqref="C35">
    <cfRule type="expression" dxfId="4" priority="1">
      <formula>$C$34="Yes"</formula>
    </cfRule>
  </conditionalFormatting>
  <dataValidations count="8">
    <dataValidation type="list" allowBlank="1" showInputMessage="1" showErrorMessage="1" sqref="C16" xr:uid="{1D1A7809-9E68-4878-8AEF-A32E51CFCE8E}">
      <formula1>$T$9:$T$10</formula1>
    </dataValidation>
    <dataValidation type="decimal" allowBlank="1" showInputMessage="1" showErrorMessage="1" sqref="C20:C21" xr:uid="{FAF37306-3FB0-4EBD-8A84-04E0EF697182}">
      <formula1>-1</formula1>
      <formula2>1</formula2>
    </dataValidation>
    <dataValidation type="whole" allowBlank="1" showInputMessage="1" showErrorMessage="1" errorTitle="EUA price too high" error="EUA price must be between 0 and 2,000 USD" promptTitle="EUA price estimate" prompt="USD/tonne CO2e" sqref="C35" xr:uid="{92BDEEB5-BFF9-44A2-B0EF-90772ED0994A}">
      <formula1>0</formula1>
      <formula2>2000</formula2>
    </dataValidation>
    <dataValidation type="whole" operator="greaterThan" allowBlank="1" showInputMessage="1" showErrorMessage="1" promptTitle="Enter Alt Fuel Cost" prompt="USD/tonne LSFO-eq" sqref="C17" xr:uid="{4839E9F5-69F4-4486-BA46-3DABDF533B13}">
      <formula1>0</formula1>
    </dataValidation>
    <dataValidation type="list" allowBlank="1" showInputMessage="1" showErrorMessage="1" sqref="C12" xr:uid="{3778DFBD-9CBB-435B-975E-A501C68B5C11}">
      <formula1>$I$8:$I$33</formula1>
    </dataValidation>
    <dataValidation type="list" allowBlank="1" showInputMessage="1" showErrorMessage="1" sqref="C26 C34 C30" xr:uid="{A3B86934-AEFC-44C3-91FD-147FE6B5930C}">
      <formula1>$T$7:$T$8</formula1>
    </dataValidation>
    <dataValidation type="whole" operator="greaterThan" allowBlank="1" showInputMessage="1" showErrorMessage="1" promptTitle="Biodiesel cost estimate" prompt="USD/tonne" sqref="C31" xr:uid="{6F478117-07FF-4BDD-A800-0B6B40B748D7}">
      <formula1>0</formula1>
    </dataValidation>
    <dataValidation type="whole" operator="greaterThan" allowBlank="1" showInputMessage="1" showErrorMessage="1" promptTitle="Enter LSFO cost estimate" prompt="USD/tonne" sqref="C27" xr:uid="{AFFEAC0B-9FD7-471C-8ACA-D7D4131609ED}">
      <formula1>0</formula1>
    </dataValidation>
  </dataValidations>
  <hyperlinks>
    <hyperlink ref="N41" r:id="rId1" display="Source: FuelEU Annex II" xr:uid="{3521C1B4-EF01-42A9-BC3A-3A2C6F7B2759}"/>
    <hyperlink ref="O34" r:id="rId2" xr:uid="{1EA2F321-CD00-49D1-951A-C82EF9162A2F}"/>
    <hyperlink ref="L34" r:id="rId3" display="Source: LR &amp; UMAS, 2020" xr:uid="{543DC7A2-AD77-46F1-9251-CF0A77D94078}"/>
    <hyperlink ref="N40" r:id="rId4" display="Source: FuelEU Annex II" xr:uid="{787CBB6A-2844-4D3F-855F-FAAEC65DA979}"/>
    <hyperlink ref="D30" r:id="rId5" xr:uid="{2D0F0188-51E9-49B5-9085-4F7FE8E3F4AC}"/>
    <hyperlink ref="D34" r:id="rId6" xr:uid="{2822CF90-9F06-4A26-B623-8B0E582EA72C}"/>
    <hyperlink ref="C60" r:id="rId7" display="Source: FuelEU Annex II" xr:uid="{739CAF2F-18C6-400E-A187-AEC93206666D}"/>
    <hyperlink ref="C65" r:id="rId8" display="Source: FuelEU Annex II" xr:uid="{B2E9C65E-A573-4E02-B152-D4EFEB36D97A}"/>
    <hyperlink ref="Q34" r:id="rId9" display="Source: FuelEU Annex II" xr:uid="{240F9EB2-6CC8-4B7E-B2B6-708B14F0799D}"/>
    <hyperlink ref="C57" r:id="rId10" display="Source: FuelEU Annex II" xr:uid="{8728FC8C-F971-4FC0-BB63-19CCDC9AB419}"/>
    <hyperlink ref="M48" r:id="rId11" display="FuelEU Annex IV, pg 99" xr:uid="{0ABA0483-08D7-4399-997F-09E501B77E4C}"/>
    <hyperlink ref="M49" r:id="rId12" xr:uid="{86FBF89B-87A8-45B0-AD37-432206BE9109}"/>
    <hyperlink ref="M47" r:id="rId13" display="Source: FuelEU Annex II" xr:uid="{4CD4E273-45D4-46F8-B567-0D0FB1367713}"/>
    <hyperlink ref="N42" r:id="rId14" display="Source: Annex II (1.2) Delegated Reguation to MRV for ETS" xr:uid="{07ABC0DC-3C6B-4C1B-954F-9894B276294A}"/>
    <hyperlink ref="C18" r:id="rId15" xr:uid="{412A2273-B027-4565-9F0E-E52329FF7FA2}"/>
    <hyperlink ref="D26" r:id="rId16" xr:uid="{BEF917CB-08A4-4F82-A7AB-7038A4D3BC5C}"/>
    <hyperlink ref="J34" r:id="rId17" xr:uid="{AE88AA52-2E94-44DC-BA04-5E5E29D392A2}"/>
  </hyperlinks>
  <pageMargins left="0.7" right="0.7" top="0.75" bottom="0.75" header="0.3" footer="0.3"/>
  <pageSetup paperSize="9" orientation="portrait" r:id="rId18"/>
  <drawing r:id="rId1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315D0-0CD8-4A15-A5E4-B11084F03051}">
  <sheetPr codeName="Sheet17">
    <tabColor theme="0" tint="-0.249977111117893"/>
  </sheetPr>
  <dimension ref="A1"/>
  <sheetViews>
    <sheetView zoomScale="57" workbookViewId="0"/>
  </sheetViews>
  <sheetFormatPr defaultRowHeight="14.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CC638-7B84-4333-ABDD-AFC0B219FC35}">
  <sheetPr codeName="Sheet4"/>
  <dimension ref="B1:G46"/>
  <sheetViews>
    <sheetView showGridLines="0" showOutlineSymbols="0" zoomScaleNormal="100" workbookViewId="0"/>
  </sheetViews>
  <sheetFormatPr defaultColWidth="5.5" defaultRowHeight="14.25"/>
  <cols>
    <col min="1" max="1" width="1.625" style="1" customWidth="1"/>
    <col min="2" max="2" width="10.125" style="1" customWidth="1"/>
    <col min="3" max="3" width="16" style="1" customWidth="1"/>
    <col min="4" max="4" width="239" style="1" customWidth="1"/>
    <col min="5" max="5" width="1.625" style="1" customWidth="1"/>
    <col min="6" max="6" width="5.5" style="1" customWidth="1"/>
    <col min="7" max="7" width="5.5" style="1" hidden="1" customWidth="1"/>
    <col min="8" max="16383" width="0" style="1" hidden="1" customWidth="1"/>
    <col min="16384" max="16384" width="5.5" style="1"/>
  </cols>
  <sheetData>
    <row r="1" spans="2:2" s="2" customFormat="1" ht="36" customHeight="1" thickBot="1">
      <c r="B1" s="2" t="s">
        <v>6</v>
      </c>
    </row>
    <row r="3" spans="2:2" s="6" customFormat="1" ht="15">
      <c r="B3" s="7"/>
    </row>
    <row r="4" spans="2:2" s="6" customFormat="1" ht="15">
      <c r="B4" s="3" t="s">
        <v>7</v>
      </c>
    </row>
    <row r="5" spans="2:2" s="6" customFormat="1"/>
    <row r="6" spans="2:2" s="6" customFormat="1" ht="15">
      <c r="B6" s="54" t="s">
        <v>8</v>
      </c>
    </row>
    <row r="7" spans="2:2" s="6" customFormat="1">
      <c r="B7" s="6" t="s">
        <v>9</v>
      </c>
    </row>
    <row r="8" spans="2:2">
      <c r="B8" s="6"/>
    </row>
    <row r="9" spans="2:2" ht="15">
      <c r="B9" s="54" t="s">
        <v>6</v>
      </c>
    </row>
    <row r="10" spans="2:2">
      <c r="B10" s="6" t="s">
        <v>10</v>
      </c>
    </row>
    <row r="11" spans="2:2" ht="15">
      <c r="B11" s="8"/>
    </row>
    <row r="12" spans="2:2" ht="15">
      <c r="B12" s="54" t="s">
        <v>11</v>
      </c>
    </row>
    <row r="13" spans="2:2">
      <c r="B13" s="6" t="s">
        <v>12</v>
      </c>
    </row>
    <row r="14" spans="2:2">
      <c r="B14" s="6"/>
    </row>
    <row r="15" spans="2:2" ht="15">
      <c r="B15" s="54" t="s">
        <v>13</v>
      </c>
    </row>
    <row r="16" spans="2:2">
      <c r="B16" s="6" t="s">
        <v>14</v>
      </c>
    </row>
    <row r="18" spans="2:2" ht="15">
      <c r="B18" s="54" t="s">
        <v>15</v>
      </c>
    </row>
    <row r="19" spans="2:2">
      <c r="B19" s="6" t="s">
        <v>16</v>
      </c>
    </row>
    <row r="21" spans="2:2" ht="15">
      <c r="B21" s="54" t="s">
        <v>17</v>
      </c>
    </row>
    <row r="22" spans="2:2">
      <c r="B22" s="6" t="s">
        <v>18</v>
      </c>
    </row>
    <row r="23" spans="2:2">
      <c r="B23" s="6"/>
    </row>
    <row r="24" spans="2:2" ht="15">
      <c r="B24" s="54" t="s">
        <v>19</v>
      </c>
    </row>
    <row r="25" spans="2:2">
      <c r="B25" s="6" t="s">
        <v>20</v>
      </c>
    </row>
    <row r="26" spans="2:2">
      <c r="B26" s="6"/>
    </row>
    <row r="27" spans="2:2" ht="15">
      <c r="B27" s="54" t="s">
        <v>21</v>
      </c>
    </row>
    <row r="28" spans="2:2">
      <c r="B28" s="6" t="s">
        <v>22</v>
      </c>
    </row>
    <row r="29" spans="2:2">
      <c r="B29" s="6"/>
    </row>
    <row r="30" spans="2:2" ht="15">
      <c r="B30" s="54" t="s">
        <v>23</v>
      </c>
    </row>
    <row r="31" spans="2:2">
      <c r="B31" s="6" t="s">
        <v>24</v>
      </c>
    </row>
    <row r="33" spans="2:3" ht="15">
      <c r="B33" s="9" t="s">
        <v>25</v>
      </c>
      <c r="C33" s="9"/>
    </row>
    <row r="34" spans="2:3" ht="15">
      <c r="B34" s="6" t="s">
        <v>26</v>
      </c>
      <c r="C34" s="8"/>
    </row>
    <row r="36" spans="2:3" ht="15">
      <c r="B36" s="3" t="s">
        <v>27</v>
      </c>
      <c r="C36" s="3"/>
    </row>
    <row r="37" spans="2:3" ht="15">
      <c r="B37" s="4"/>
      <c r="C37" s="5"/>
    </row>
    <row r="38" spans="2:3">
      <c r="B38" s="6" t="s">
        <v>28</v>
      </c>
      <c r="C38" s="6"/>
    </row>
    <row r="40" spans="2:3" ht="15">
      <c r="B40" s="12" t="s">
        <v>29</v>
      </c>
      <c r="C40" s="11" t="s">
        <v>30</v>
      </c>
    </row>
    <row r="41" spans="2:3" ht="15">
      <c r="B41" s="12"/>
      <c r="C41" s="13" t="s">
        <v>31</v>
      </c>
    </row>
    <row r="42" spans="2:3" ht="15">
      <c r="B42" s="12"/>
      <c r="C42" s="11" t="s">
        <v>32</v>
      </c>
    </row>
    <row r="43" spans="2:3" ht="15" thickBot="1"/>
    <row r="44" spans="2:3" ht="15.75" thickTop="1">
      <c r="B44" s="10" t="s">
        <v>33</v>
      </c>
      <c r="C44" s="14" t="s">
        <v>34</v>
      </c>
    </row>
    <row r="45" spans="2:3" ht="14.45" customHeight="1">
      <c r="B45" s="12"/>
      <c r="C45" s="59" t="s">
        <v>35</v>
      </c>
    </row>
    <row r="46" spans="2:3" ht="15">
      <c r="B46" s="12"/>
      <c r="C46" s="50" t="s">
        <v>36</v>
      </c>
    </row>
  </sheetData>
  <hyperlinks>
    <hyperlink ref="B9" location="Instructions!A1" display="Instructions" xr:uid="{7A71A255-8148-46FD-9C9C-85EDF88A5439}"/>
    <hyperlink ref="B12" location="Output!A1" display="Output" xr:uid="{6A7B7BC4-5961-45AF-8F07-9BFE044FB4E9}"/>
    <hyperlink ref="B21" location="Assumptions!A1" display="Assumptions" xr:uid="{0099259E-C207-44F4-803F-67F797D955FE}"/>
    <hyperlink ref="B6" location="Cover!A1" display="Cover" xr:uid="{51E2CA58-457F-47D0-8623-5431950C72EE}"/>
    <hyperlink ref="F9" location="Parking lot!A1" display="Parking lot" xr:uid="{1ADE616E-5D3A-4CED-B907-1E9AE48FF9CE}"/>
    <hyperlink ref="F10" location="Q&amp;A Log!A1" display="Q&amp;A Log" xr:uid="{C6ED8E1C-2C70-4E37-8B6D-BD5240D9E4E8}"/>
    <hyperlink ref="B27" location="Calculation!A1" display="Calculation" xr:uid="{6E5A43DC-C73D-41E3-994A-E21F35FABA7D}"/>
    <hyperlink ref="B24" location="Assumptions_Detailed!A1" display="Assumptions_Detailed" xr:uid="{9102DCE0-E441-49CE-877B-448A0229DF4D}"/>
    <hyperlink ref="B30" location="Data_tables!A1" display="Data_tables" xr:uid="{B11A3D76-A84C-4675-B102-47A865ECEC16}"/>
    <hyperlink ref="C49" location="Output!A1" display="Output" xr:uid="{68CEF482-2E99-4C71-931A-3D1D0E7FB40D}"/>
    <hyperlink ref="B15" location="Sensitivity_tables!A1" display="Sensitivity_tables" xr:uid="{30C37EB9-1FF1-4696-9D6B-B2033F2CF43D}"/>
    <hyperlink ref="B18" location="Quick_assumption!A1" display="Quick_assumption" xr:uid="{74F18516-2049-4E78-A852-745E74AA5ACC}"/>
  </hyperlink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E77F-A487-4049-9EB1-6BCE250A8F83}">
  <sheetPr codeName="Sheet18">
    <tabColor theme="0" tint="-0.249977111117893"/>
  </sheetPr>
  <dimension ref="B1:AD52"/>
  <sheetViews>
    <sheetView showGridLines="0" zoomScale="69" zoomScaleNormal="80" workbookViewId="0"/>
  </sheetViews>
  <sheetFormatPr defaultColWidth="8.125" defaultRowHeight="14.25"/>
  <cols>
    <col min="1" max="1" width="3.5" style="337" customWidth="1"/>
    <col min="2" max="2" width="40.75" style="337" customWidth="1"/>
    <col min="3" max="3" width="29.375" style="382" customWidth="1"/>
    <col min="4" max="5" width="29.5" style="337" customWidth="1"/>
    <col min="6" max="6" width="5.375" style="337" customWidth="1"/>
    <col min="7" max="7" width="31.375" style="337" customWidth="1"/>
    <col min="8" max="8" width="10.625" style="337" customWidth="1"/>
    <col min="9" max="13" width="12.375" style="337" customWidth="1"/>
    <col min="14" max="14" width="10.875" style="337" customWidth="1"/>
    <col min="15" max="18" width="12.375" style="337" customWidth="1"/>
    <col min="19" max="22" width="12.625" style="337" customWidth="1"/>
    <col min="23" max="26" width="12.125" style="337" customWidth="1"/>
    <col min="27" max="27" width="12.375" style="337" customWidth="1"/>
    <col min="28" max="28" width="12.125" style="337" customWidth="1"/>
    <col min="29" max="31" width="12.375" style="337" customWidth="1"/>
    <col min="32" max="32" width="9.875" style="337" bestFit="1" customWidth="1"/>
    <col min="33" max="33" width="10.875" style="337" bestFit="1" customWidth="1"/>
    <col min="34" max="38" width="9.875" style="337" bestFit="1" customWidth="1"/>
    <col min="39" max="16384" width="8.125" style="337"/>
  </cols>
  <sheetData>
    <row r="1" spans="2:30" ht="15">
      <c r="B1" s="333" t="s">
        <v>1506</v>
      </c>
      <c r="C1" s="334"/>
      <c r="D1" s="332"/>
      <c r="E1" s="332"/>
      <c r="F1" s="332"/>
      <c r="G1" s="335"/>
      <c r="H1" s="335"/>
      <c r="I1" s="335"/>
      <c r="J1" s="335"/>
      <c r="K1" s="335"/>
      <c r="L1" s="335"/>
      <c r="M1" s="335"/>
      <c r="N1" s="335"/>
      <c r="O1" s="335"/>
      <c r="P1" s="335"/>
      <c r="Q1" s="335"/>
      <c r="R1" s="335"/>
      <c r="S1" s="336"/>
      <c r="T1" s="336"/>
      <c r="U1" s="336"/>
      <c r="V1" s="336"/>
      <c r="W1" s="336"/>
      <c r="X1" s="336"/>
      <c r="Y1" s="336"/>
      <c r="Z1" s="336"/>
      <c r="AA1" s="336"/>
      <c r="AB1" s="336"/>
      <c r="AC1" s="336"/>
      <c r="AD1" s="336"/>
    </row>
    <row r="2" spans="2:30" ht="35.450000000000003" customHeight="1">
      <c r="B2" s="338" t="s">
        <v>1718</v>
      </c>
      <c r="C2" s="339"/>
      <c r="D2" s="339"/>
      <c r="E2" s="339"/>
      <c r="F2" s="339"/>
      <c r="G2" s="340" t="s">
        <v>1719</v>
      </c>
      <c r="H2" s="335"/>
      <c r="I2" s="335"/>
      <c r="J2" s="335"/>
      <c r="K2" s="335"/>
      <c r="L2" s="335"/>
      <c r="M2" s="335"/>
      <c r="N2" s="335"/>
      <c r="O2" s="335"/>
      <c r="P2" s="335"/>
      <c r="Q2" s="335"/>
      <c r="R2" s="335"/>
      <c r="S2" s="336"/>
      <c r="T2" s="336"/>
      <c r="U2" s="336"/>
      <c r="V2" s="336"/>
      <c r="W2" s="336"/>
      <c r="X2" s="336"/>
      <c r="Y2" s="336"/>
      <c r="Z2" s="336"/>
      <c r="AA2" s="336"/>
      <c r="AB2" s="336"/>
      <c r="AC2" s="336"/>
      <c r="AD2" s="341"/>
    </row>
    <row r="3" spans="2:30" ht="48.6" customHeight="1">
      <c r="B3" s="812" t="s">
        <v>1720</v>
      </c>
      <c r="C3" s="812"/>
      <c r="D3" s="812"/>
      <c r="E3" s="812"/>
      <c r="F3" s="332"/>
      <c r="G3" s="335"/>
      <c r="H3" s="335"/>
      <c r="I3" s="335"/>
      <c r="J3" s="335"/>
      <c r="K3" s="335"/>
      <c r="L3" s="335"/>
      <c r="M3" s="335"/>
      <c r="N3" s="335"/>
      <c r="O3" s="335"/>
      <c r="P3" s="335"/>
      <c r="Q3" s="335"/>
      <c r="R3" s="335"/>
      <c r="S3" s="336"/>
      <c r="T3" s="336"/>
      <c r="U3" s="336"/>
      <c r="V3" s="336"/>
      <c r="W3" s="336"/>
      <c r="X3" s="336"/>
      <c r="Y3" s="336"/>
      <c r="Z3" s="336"/>
      <c r="AA3" s="336"/>
      <c r="AB3" s="336"/>
      <c r="AC3" s="336"/>
      <c r="AD3" s="341"/>
    </row>
    <row r="4" spans="2:30" ht="44.45" customHeight="1">
      <c r="B4" s="811" t="s">
        <v>1721</v>
      </c>
      <c r="C4" s="811"/>
      <c r="D4" s="811"/>
      <c r="E4" s="811"/>
      <c r="G4" s="335"/>
      <c r="H4" s="335"/>
      <c r="I4" s="335"/>
      <c r="J4" s="335"/>
      <c r="K4" s="335"/>
      <c r="L4" s="335"/>
      <c r="M4" s="335"/>
      <c r="N4" s="335"/>
      <c r="O4" s="335"/>
      <c r="P4" s="335"/>
      <c r="Q4" s="335"/>
      <c r="R4" s="335"/>
      <c r="S4" s="336"/>
      <c r="T4" s="336"/>
      <c r="U4" s="336"/>
      <c r="V4" s="336"/>
      <c r="W4" s="336"/>
      <c r="X4" s="336"/>
      <c r="Y4" s="336"/>
      <c r="Z4" s="336"/>
      <c r="AA4" s="336"/>
      <c r="AB4" s="336"/>
      <c r="AC4" s="336"/>
      <c r="AD4" s="341"/>
    </row>
    <row r="5" spans="2:30" ht="18.95" customHeight="1">
      <c r="B5" s="813" t="s">
        <v>1722</v>
      </c>
      <c r="C5" s="813"/>
      <c r="D5" s="813"/>
      <c r="E5" s="813"/>
      <c r="G5" s="335"/>
      <c r="H5" s="335"/>
      <c r="I5" s="335"/>
      <c r="J5" s="335"/>
      <c r="K5" s="335"/>
      <c r="L5" s="335"/>
      <c r="M5" s="335"/>
      <c r="N5" s="335"/>
      <c r="O5" s="335"/>
      <c r="P5" s="335"/>
      <c r="Q5" s="335"/>
      <c r="R5" s="335"/>
      <c r="S5" s="336"/>
      <c r="T5" s="336"/>
      <c r="U5" s="336"/>
      <c r="V5" s="336"/>
      <c r="W5" s="336"/>
      <c r="X5" s="336"/>
      <c r="Y5" s="336"/>
      <c r="Z5" s="336"/>
      <c r="AA5" s="336"/>
      <c r="AB5" s="336"/>
      <c r="AC5" s="336"/>
      <c r="AD5" s="341"/>
    </row>
    <row r="6" spans="2:30" ht="67.5" customHeight="1">
      <c r="B6" s="811" t="s">
        <v>1723</v>
      </c>
      <c r="C6" s="811"/>
      <c r="D6" s="811"/>
      <c r="E6" s="811"/>
      <c r="G6" s="335"/>
      <c r="H6" s="335"/>
      <c r="I6" s="335"/>
      <c r="J6" s="335"/>
      <c r="K6" s="335"/>
      <c r="L6" s="335"/>
      <c r="M6" s="335"/>
      <c r="N6" s="335"/>
      <c r="O6" s="335"/>
      <c r="P6" s="335"/>
      <c r="Q6" s="335"/>
      <c r="R6" s="335"/>
      <c r="S6" s="336"/>
      <c r="T6" s="336"/>
      <c r="U6" s="336"/>
      <c r="V6" s="336"/>
      <c r="W6" s="336"/>
      <c r="X6" s="336"/>
      <c r="Y6" s="336"/>
      <c r="Z6" s="336"/>
      <c r="AA6" s="336"/>
      <c r="AB6" s="336"/>
      <c r="AC6" s="336"/>
      <c r="AD6" s="336"/>
    </row>
    <row r="7" spans="2:30" ht="103.5" customHeight="1">
      <c r="B7" s="811" t="s">
        <v>1724</v>
      </c>
      <c r="C7" s="811"/>
      <c r="D7" s="811"/>
      <c r="E7" s="811"/>
      <c r="G7" s="335"/>
      <c r="H7" s="335"/>
      <c r="I7" s="335"/>
      <c r="J7" s="335"/>
      <c r="K7" s="335"/>
      <c r="L7" s="335"/>
      <c r="M7" s="335"/>
      <c r="N7" s="335"/>
      <c r="O7" s="335"/>
      <c r="P7" s="335"/>
      <c r="Q7" s="335"/>
      <c r="R7" s="335"/>
      <c r="S7" s="336"/>
      <c r="T7" s="336"/>
      <c r="U7" s="336"/>
      <c r="V7" s="336"/>
      <c r="W7" s="336"/>
      <c r="X7" s="336"/>
      <c r="Y7" s="336"/>
      <c r="Z7" s="336"/>
      <c r="AA7" s="336"/>
      <c r="AB7" s="336"/>
      <c r="AC7" s="336"/>
      <c r="AD7" s="336"/>
    </row>
    <row r="8" spans="2:30" ht="95.45" customHeight="1">
      <c r="B8" s="811" t="s">
        <v>1725</v>
      </c>
      <c r="C8" s="811"/>
      <c r="D8" s="811"/>
      <c r="E8" s="811"/>
      <c r="G8" s="335"/>
      <c r="H8" s="335"/>
      <c r="I8" s="335"/>
      <c r="J8" s="335"/>
      <c r="K8" s="335"/>
      <c r="L8" s="335"/>
      <c r="M8" s="335"/>
      <c r="N8" s="335"/>
      <c r="O8" s="335"/>
      <c r="P8" s="335"/>
      <c r="Q8" s="335"/>
      <c r="R8" s="335"/>
      <c r="S8" s="335"/>
      <c r="T8" s="336"/>
      <c r="U8" s="335"/>
      <c r="V8" s="336"/>
      <c r="W8" s="336"/>
      <c r="X8" s="336"/>
      <c r="Y8" s="336"/>
      <c r="Z8" s="336"/>
      <c r="AA8" s="336"/>
      <c r="AB8" s="336"/>
      <c r="AC8" s="336"/>
      <c r="AD8" s="336"/>
    </row>
    <row r="9" spans="2:30" ht="36.950000000000003" customHeight="1">
      <c r="B9" s="809" t="s">
        <v>1726</v>
      </c>
      <c r="C9" s="809"/>
      <c r="D9" s="809"/>
      <c r="E9" s="809"/>
      <c r="G9" s="335"/>
      <c r="H9" s="335"/>
      <c r="I9" s="335"/>
      <c r="J9" s="335"/>
      <c r="K9" s="335"/>
      <c r="L9" s="335"/>
      <c r="M9" s="335"/>
      <c r="N9" s="335"/>
      <c r="O9" s="335"/>
      <c r="P9" s="335"/>
      <c r="Q9" s="335"/>
      <c r="R9" s="335"/>
      <c r="S9" s="335"/>
      <c r="T9" s="336"/>
      <c r="U9" s="335"/>
      <c r="V9" s="336"/>
      <c r="W9" s="336"/>
      <c r="X9" s="336"/>
      <c r="Y9" s="336"/>
      <c r="Z9" s="336"/>
      <c r="AA9" s="336"/>
      <c r="AB9" s="336"/>
      <c r="AC9" s="336"/>
      <c r="AD9" s="336"/>
    </row>
    <row r="10" spans="2:30" ht="15.6" customHeight="1">
      <c r="B10" s="343"/>
      <c r="C10" s="343"/>
      <c r="D10" s="343"/>
      <c r="E10" s="343"/>
      <c r="F10" s="343"/>
      <c r="G10" s="335"/>
      <c r="H10" s="335"/>
      <c r="I10" s="335"/>
      <c r="J10" s="335"/>
      <c r="K10" s="335"/>
      <c r="L10" s="335"/>
      <c r="M10" s="335"/>
      <c r="N10" s="335"/>
      <c r="O10" s="335"/>
      <c r="P10" s="335"/>
      <c r="Q10" s="335"/>
      <c r="R10" s="335"/>
      <c r="S10" s="335"/>
      <c r="T10" s="336"/>
      <c r="U10" s="335"/>
      <c r="V10" s="336"/>
      <c r="W10" s="336"/>
      <c r="X10" s="336"/>
      <c r="Y10" s="336"/>
      <c r="Z10" s="336"/>
      <c r="AA10" s="336"/>
      <c r="AB10" s="336"/>
      <c r="AC10" s="336"/>
      <c r="AD10" s="336"/>
    </row>
    <row r="11" spans="2:30" ht="23.25">
      <c r="B11" s="344" t="s">
        <v>1727</v>
      </c>
      <c r="C11" s="342"/>
      <c r="D11" s="342"/>
      <c r="E11" s="342"/>
      <c r="F11" s="342"/>
      <c r="G11" s="335"/>
      <c r="H11" s="335"/>
      <c r="I11" s="335"/>
      <c r="J11" s="335"/>
      <c r="K11" s="335"/>
      <c r="L11" s="335"/>
      <c r="M11" s="335"/>
      <c r="N11" s="335"/>
      <c r="O11" s="335"/>
      <c r="P11" s="335"/>
      <c r="Q11" s="335"/>
      <c r="R11" s="335"/>
      <c r="S11" s="335"/>
      <c r="T11" s="336"/>
      <c r="U11" s="335"/>
      <c r="V11" s="336"/>
      <c r="W11" s="336"/>
      <c r="X11" s="336"/>
      <c r="Y11" s="336"/>
      <c r="Z11" s="336"/>
      <c r="AA11" s="336"/>
      <c r="AB11" s="336"/>
      <c r="AC11" s="336"/>
      <c r="AD11" s="336"/>
    </row>
    <row r="12" spans="2:30" ht="18.75" thickBot="1">
      <c r="B12" s="345" t="s">
        <v>1728</v>
      </c>
      <c r="C12" s="346"/>
      <c r="D12" s="347" t="s">
        <v>1729</v>
      </c>
      <c r="E12" s="346"/>
      <c r="F12" s="346"/>
      <c r="G12" s="335"/>
      <c r="H12" s="335"/>
      <c r="I12" s="335"/>
      <c r="J12" s="335"/>
      <c r="K12" s="335"/>
      <c r="L12" s="335"/>
      <c r="M12" s="335"/>
      <c r="N12" s="335"/>
      <c r="O12" s="335"/>
      <c r="P12" s="335"/>
      <c r="Q12" s="335"/>
      <c r="R12" s="335"/>
      <c r="S12" s="335"/>
      <c r="T12" s="336"/>
      <c r="U12" s="335"/>
      <c r="V12" s="336"/>
      <c r="W12" s="336"/>
      <c r="X12" s="336"/>
      <c r="Y12" s="336"/>
      <c r="Z12" s="336"/>
      <c r="AA12" s="336"/>
      <c r="AB12" s="336"/>
      <c r="AC12" s="348" t="s">
        <v>1730</v>
      </c>
      <c r="AD12" s="335"/>
    </row>
    <row r="13" spans="2:30" ht="19.5" thickTop="1" thickBot="1">
      <c r="B13" s="349" t="s">
        <v>1731</v>
      </c>
      <c r="C13" s="350">
        <v>2030</v>
      </c>
      <c r="D13" s="808" t="s">
        <v>1732</v>
      </c>
      <c r="E13" s="808"/>
      <c r="F13" s="343"/>
      <c r="G13" s="335"/>
      <c r="H13" s="352"/>
      <c r="I13" s="352"/>
      <c r="J13" s="352"/>
      <c r="K13" s="352"/>
      <c r="L13" s="352"/>
      <c r="M13" s="352"/>
      <c r="N13" s="352"/>
      <c r="O13" s="352"/>
      <c r="P13" s="352"/>
      <c r="Q13" s="352"/>
      <c r="R13" s="335"/>
      <c r="S13" s="335"/>
      <c r="T13" s="336"/>
      <c r="U13" s="335"/>
      <c r="V13" s="336"/>
      <c r="W13" s="336"/>
      <c r="X13" s="336"/>
      <c r="Y13" s="336"/>
      <c r="Z13" s="336"/>
      <c r="AA13" s="336"/>
      <c r="AB13" s="336"/>
      <c r="AC13" s="353" t="s">
        <v>1733</v>
      </c>
      <c r="AD13" s="353" t="s">
        <v>180</v>
      </c>
    </row>
    <row r="14" spans="2:30" ht="18.75" thickTop="1">
      <c r="B14" s="354"/>
      <c r="C14" s="354"/>
      <c r="D14" s="354"/>
      <c r="E14" s="355"/>
      <c r="F14" s="343"/>
      <c r="G14" s="352"/>
      <c r="H14" s="352"/>
      <c r="I14" s="352"/>
      <c r="J14" s="352"/>
      <c r="K14" s="352"/>
      <c r="L14" s="352"/>
      <c r="M14" s="352"/>
      <c r="N14" s="352"/>
      <c r="O14" s="352"/>
      <c r="P14" s="352"/>
      <c r="Q14" s="352"/>
      <c r="R14" s="335"/>
      <c r="S14" s="335"/>
      <c r="T14" s="336"/>
      <c r="U14" s="335"/>
      <c r="V14" s="336"/>
      <c r="W14" s="336"/>
      <c r="X14" s="336"/>
      <c r="Y14" s="336"/>
      <c r="Z14" s="336"/>
      <c r="AA14" s="336"/>
      <c r="AB14" s="336"/>
      <c r="AC14" s="353" t="s">
        <v>1734</v>
      </c>
      <c r="AD14" s="353" t="s">
        <v>1735</v>
      </c>
    </row>
    <row r="15" spans="2:30" ht="15" customHeight="1" thickBot="1">
      <c r="B15" s="356" t="s">
        <v>1736</v>
      </c>
      <c r="C15" s="357"/>
      <c r="D15" s="355"/>
      <c r="E15" s="342"/>
      <c r="F15" s="343"/>
      <c r="G15" s="352"/>
      <c r="H15" s="352"/>
      <c r="I15" s="352"/>
      <c r="J15" s="352"/>
      <c r="K15" s="352"/>
      <c r="L15" s="352"/>
      <c r="M15" s="352"/>
      <c r="N15" s="352"/>
      <c r="O15" s="352"/>
      <c r="P15" s="352"/>
      <c r="Q15" s="352"/>
      <c r="R15" s="335"/>
      <c r="S15" s="335"/>
      <c r="T15" s="336"/>
      <c r="U15" s="335"/>
      <c r="V15" s="336"/>
      <c r="W15" s="336"/>
      <c r="X15" s="336"/>
      <c r="Y15" s="336"/>
      <c r="Z15" s="336"/>
      <c r="AA15" s="336"/>
      <c r="AB15" s="336"/>
      <c r="AC15" s="353" t="s">
        <v>1737</v>
      </c>
      <c r="AD15" s="353" t="s">
        <v>1738</v>
      </c>
    </row>
    <row r="16" spans="2:30" ht="100.5" customHeight="1" thickTop="1" thickBot="1">
      <c r="B16" s="349" t="s">
        <v>1739</v>
      </c>
      <c r="C16" s="359" t="str">
        <f>+Assumptions!$G$377</f>
        <v>No Reward</v>
      </c>
      <c r="D16" s="810" t="s">
        <v>1740</v>
      </c>
      <c r="E16" s="808"/>
      <c r="F16" s="343"/>
      <c r="G16" s="352"/>
      <c r="H16" s="352"/>
      <c r="I16" s="352"/>
      <c r="J16" s="352"/>
      <c r="K16" s="352"/>
      <c r="L16" s="352"/>
      <c r="M16" s="352"/>
      <c r="N16" s="352"/>
      <c r="O16" s="352"/>
      <c r="P16" s="352"/>
      <c r="Q16" s="352"/>
      <c r="R16" s="335"/>
      <c r="S16" s="335"/>
      <c r="T16" s="336"/>
      <c r="U16" s="335"/>
      <c r="V16" s="336"/>
      <c r="W16" s="336"/>
      <c r="X16" s="336"/>
      <c r="Y16" s="336"/>
      <c r="Z16" s="336"/>
      <c r="AA16" s="336"/>
      <c r="AB16" s="336"/>
      <c r="AC16" s="353" t="s">
        <v>1741</v>
      </c>
      <c r="AD16" s="353" t="s">
        <v>1742</v>
      </c>
    </row>
    <row r="17" spans="2:30" ht="18.75" thickTop="1">
      <c r="B17" s="349"/>
      <c r="C17" s="349"/>
      <c r="D17" s="349"/>
      <c r="E17" s="351"/>
      <c r="F17" s="343"/>
      <c r="G17" s="352"/>
      <c r="H17" s="352"/>
      <c r="I17" s="352"/>
      <c r="J17" s="352"/>
      <c r="K17" s="352"/>
      <c r="L17" s="352"/>
      <c r="M17" s="352"/>
      <c r="N17" s="352"/>
      <c r="O17" s="352"/>
      <c r="P17" s="352"/>
      <c r="Q17" s="352"/>
      <c r="R17" s="335"/>
      <c r="S17" s="335"/>
      <c r="T17" s="336"/>
      <c r="U17" s="335"/>
      <c r="V17" s="336"/>
      <c r="W17" s="336"/>
      <c r="X17" s="336"/>
      <c r="Y17" s="336"/>
      <c r="Z17" s="336"/>
      <c r="AA17" s="336"/>
      <c r="AB17" s="336"/>
      <c r="AC17" s="353" t="s">
        <v>332</v>
      </c>
      <c r="AD17" s="353" t="s">
        <v>1743</v>
      </c>
    </row>
    <row r="18" spans="2:30" ht="17.100000000000001" customHeight="1" thickBot="1">
      <c r="B18" s="356" t="s">
        <v>1744</v>
      </c>
      <c r="C18" s="349"/>
      <c r="D18" s="349"/>
      <c r="E18" s="351"/>
      <c r="F18" s="343"/>
      <c r="G18" s="352"/>
      <c r="H18" s="352"/>
      <c r="I18" s="352"/>
      <c r="J18" s="352"/>
      <c r="K18" s="352"/>
      <c r="L18" s="352"/>
      <c r="M18" s="352"/>
      <c r="N18" s="352"/>
      <c r="O18" s="352"/>
      <c r="P18" s="352"/>
      <c r="Q18" s="352"/>
      <c r="R18" s="335"/>
      <c r="S18" s="335"/>
      <c r="T18" s="336"/>
      <c r="U18" s="335"/>
      <c r="V18" s="336"/>
      <c r="W18" s="336"/>
      <c r="X18" s="336"/>
      <c r="Y18" s="336"/>
      <c r="Z18" s="336"/>
      <c r="AA18" s="336"/>
      <c r="AB18" s="336"/>
      <c r="AC18" s="353" t="s">
        <v>1745</v>
      </c>
      <c r="AD18" s="353" t="s">
        <v>1746</v>
      </c>
    </row>
    <row r="19" spans="2:30" ht="19.5" customHeight="1" thickTop="1" thickBot="1">
      <c r="B19" s="358" t="s">
        <v>1747</v>
      </c>
      <c r="C19" s="359" t="s">
        <v>139</v>
      </c>
      <c r="D19" s="807" t="s">
        <v>1748</v>
      </c>
      <c r="E19" s="808"/>
      <c r="F19" s="343"/>
      <c r="G19" s="352"/>
      <c r="H19" s="352"/>
      <c r="I19" s="352"/>
      <c r="J19" s="352"/>
      <c r="K19" s="352"/>
      <c r="L19" s="352"/>
      <c r="M19" s="352"/>
      <c r="N19" s="352"/>
      <c r="O19" s="352"/>
      <c r="P19" s="352"/>
      <c r="Q19" s="352"/>
      <c r="R19" s="335"/>
      <c r="S19" s="335"/>
      <c r="T19" s="336"/>
      <c r="U19" s="335"/>
      <c r="V19" s="336"/>
      <c r="W19" s="336"/>
      <c r="X19" s="336"/>
      <c r="Y19" s="336"/>
      <c r="Z19" s="336"/>
      <c r="AA19" s="336"/>
      <c r="AB19" s="336"/>
      <c r="AC19" s="353" t="s">
        <v>1749</v>
      </c>
      <c r="AD19" s="353" t="s">
        <v>1750</v>
      </c>
    </row>
    <row r="20" spans="2:30" ht="19.5" customHeight="1" thickTop="1" thickBot="1">
      <c r="B20" s="358" t="s">
        <v>1751</v>
      </c>
      <c r="C20" s="359" t="s">
        <v>139</v>
      </c>
      <c r="D20" s="807"/>
      <c r="E20" s="808"/>
      <c r="F20" s="343"/>
      <c r="G20" s="352"/>
      <c r="H20" s="352"/>
      <c r="I20" s="352"/>
      <c r="J20" s="352"/>
      <c r="K20" s="352"/>
      <c r="L20" s="352"/>
      <c r="M20" s="352"/>
      <c r="N20" s="352"/>
      <c r="O20" s="352"/>
      <c r="P20" s="352"/>
      <c r="Q20" s="352"/>
      <c r="R20" s="335"/>
      <c r="S20" s="335"/>
      <c r="T20" s="336"/>
      <c r="U20" s="335"/>
      <c r="V20" s="336"/>
      <c r="W20" s="336"/>
      <c r="X20" s="336"/>
      <c r="Y20" s="336"/>
      <c r="Z20" s="336"/>
      <c r="AA20" s="336"/>
      <c r="AB20" s="336"/>
      <c r="AC20" s="353" t="s">
        <v>1752</v>
      </c>
      <c r="AD20" s="353" t="s">
        <v>139</v>
      </c>
    </row>
    <row r="21" spans="2:30" ht="19.5" customHeight="1" thickTop="1" thickBot="1">
      <c r="B21" s="358" t="s">
        <v>1753</v>
      </c>
      <c r="C21" s="359" t="s">
        <v>144</v>
      </c>
      <c r="D21" s="807"/>
      <c r="E21" s="808"/>
      <c r="F21" s="343"/>
      <c r="G21" s="352"/>
      <c r="H21" s="352"/>
      <c r="I21" s="352"/>
      <c r="J21" s="352"/>
      <c r="K21" s="352"/>
      <c r="L21" s="352"/>
      <c r="M21" s="352"/>
      <c r="N21" s="352"/>
      <c r="O21" s="352"/>
      <c r="P21" s="352"/>
      <c r="Q21" s="352"/>
      <c r="R21" s="335"/>
      <c r="S21" s="335"/>
      <c r="T21" s="336"/>
      <c r="U21" s="335"/>
      <c r="V21" s="336"/>
      <c r="W21" s="336"/>
      <c r="X21" s="336"/>
      <c r="Y21" s="336"/>
      <c r="Z21" s="336"/>
      <c r="AA21" s="336"/>
      <c r="AB21" s="336"/>
      <c r="AC21" s="353" t="s">
        <v>1749</v>
      </c>
      <c r="AD21" s="353" t="s">
        <v>1528</v>
      </c>
    </row>
    <row r="22" spans="2:30" ht="17.100000000000001" customHeight="1" thickTop="1">
      <c r="B22" s="349"/>
      <c r="C22" s="349"/>
      <c r="D22" s="349"/>
      <c r="E22" s="351"/>
      <c r="F22" s="343"/>
      <c r="G22" s="352"/>
      <c r="H22" s="352"/>
      <c r="I22" s="352"/>
      <c r="J22" s="352"/>
      <c r="K22" s="352"/>
      <c r="L22" s="352"/>
      <c r="M22" s="352"/>
      <c r="N22" s="352"/>
      <c r="O22" s="352"/>
      <c r="P22" s="352"/>
      <c r="Q22" s="352"/>
      <c r="R22" s="335"/>
      <c r="S22" s="335"/>
      <c r="T22" s="336"/>
      <c r="U22" s="335"/>
      <c r="V22" s="336"/>
      <c r="W22" s="336"/>
      <c r="X22" s="336"/>
      <c r="Y22" s="336"/>
      <c r="Z22" s="336"/>
      <c r="AA22" s="336"/>
      <c r="AB22" s="336"/>
      <c r="AC22" s="353" t="s">
        <v>1754</v>
      </c>
      <c r="AD22" s="353" t="s">
        <v>139</v>
      </c>
    </row>
    <row r="23" spans="2:30" ht="18">
      <c r="B23" s="345" t="s">
        <v>1755</v>
      </c>
      <c r="C23" s="346"/>
      <c r="D23" s="347" t="s">
        <v>1756</v>
      </c>
      <c r="E23" s="346"/>
      <c r="F23" s="346"/>
      <c r="G23" s="352"/>
      <c r="H23" s="352"/>
      <c r="I23" s="352"/>
      <c r="J23" s="352"/>
      <c r="K23" s="352"/>
      <c r="L23" s="352"/>
      <c r="M23" s="352"/>
      <c r="N23" s="352"/>
      <c r="O23" s="352"/>
      <c r="P23" s="352"/>
      <c r="Q23" s="352"/>
      <c r="R23" s="352"/>
      <c r="S23" s="335"/>
      <c r="T23" s="336"/>
      <c r="U23" s="335"/>
      <c r="V23" s="336"/>
      <c r="W23" s="336"/>
      <c r="X23" s="336"/>
      <c r="Y23" s="336"/>
      <c r="Z23" s="336"/>
      <c r="AA23" s="336"/>
      <c r="AB23" s="336"/>
      <c r="AC23" s="353" t="s">
        <v>1757</v>
      </c>
      <c r="AD23" s="353" t="s">
        <v>144</v>
      </c>
    </row>
    <row r="24" spans="2:30" ht="18.75" thickBot="1">
      <c r="B24" s="356" t="s">
        <v>1758</v>
      </c>
      <c r="C24" s="360"/>
      <c r="D24" s="342"/>
      <c r="E24" s="342"/>
      <c r="F24" s="343"/>
      <c r="G24" s="352"/>
      <c r="H24" s="352"/>
      <c r="I24" s="352"/>
      <c r="J24" s="352"/>
      <c r="K24" s="352"/>
      <c r="L24" s="352"/>
      <c r="M24" s="352"/>
      <c r="N24" s="352"/>
      <c r="O24" s="352"/>
      <c r="P24" s="352"/>
      <c r="Q24" s="352"/>
      <c r="R24" s="352"/>
      <c r="S24" s="335"/>
      <c r="T24" s="336"/>
      <c r="U24" s="335"/>
      <c r="V24" s="336"/>
      <c r="W24" s="336"/>
      <c r="X24" s="336"/>
      <c r="Y24" s="336"/>
      <c r="Z24" s="336"/>
      <c r="AA24" s="336"/>
      <c r="AB24" s="336"/>
      <c r="AC24" s="353" t="s">
        <v>1759</v>
      </c>
      <c r="AD24" s="353" t="s">
        <v>1760</v>
      </c>
    </row>
    <row r="25" spans="2:30" ht="19.5" thickTop="1" thickBot="1">
      <c r="B25" s="349" t="s">
        <v>1761</v>
      </c>
      <c r="C25" s="359" t="s">
        <v>1749</v>
      </c>
      <c r="D25" s="361" t="s">
        <v>1549</v>
      </c>
      <c r="E25" s="342"/>
      <c r="F25" s="343"/>
      <c r="G25" s="352"/>
      <c r="H25" s="352"/>
      <c r="I25" s="352"/>
      <c r="J25" s="352"/>
      <c r="K25" s="352"/>
      <c r="L25" s="352"/>
      <c r="M25" s="352"/>
      <c r="N25" s="352"/>
      <c r="O25" s="352"/>
      <c r="P25" s="352"/>
      <c r="Q25" s="352"/>
      <c r="R25" s="352"/>
      <c r="S25" s="335"/>
      <c r="T25" s="336"/>
      <c r="U25" s="335"/>
      <c r="V25" s="336"/>
      <c r="W25" s="336"/>
      <c r="X25" s="336"/>
      <c r="Y25" s="336"/>
      <c r="Z25" s="336"/>
      <c r="AA25" s="336"/>
      <c r="AB25" s="336"/>
      <c r="AC25" s="353" t="s">
        <v>1749</v>
      </c>
      <c r="AD25" s="353" t="s">
        <v>1528</v>
      </c>
    </row>
    <row r="26" spans="2:30" ht="19.5" thickTop="1" thickBot="1">
      <c r="B26" s="349" t="str">
        <f>IF(C25="Enter fixed price","Enter fixed LSFO price [USD/tonne LSFO] -&gt;","")</f>
        <v>Enter fixed LSFO price [USD/tonne LSFO] -&gt;</v>
      </c>
      <c r="C26" s="555">
        <f ca="1">+Assumptions_Detailed!K30</f>
        <v>0</v>
      </c>
      <c r="D26" s="362"/>
      <c r="E26" s="342"/>
      <c r="F26" s="343"/>
      <c r="G26" s="352"/>
      <c r="H26" s="352"/>
      <c r="I26" s="352"/>
      <c r="J26" s="352"/>
      <c r="K26" s="352"/>
      <c r="L26" s="352"/>
      <c r="M26" s="352"/>
      <c r="N26" s="352"/>
      <c r="O26" s="352"/>
      <c r="P26" s="352"/>
      <c r="Q26" s="352"/>
      <c r="R26" s="363"/>
      <c r="S26" s="335"/>
      <c r="T26" s="336"/>
      <c r="U26" s="335"/>
      <c r="V26" s="336"/>
      <c r="W26" s="336"/>
      <c r="X26" s="336"/>
      <c r="Y26" s="336"/>
      <c r="Z26" s="336"/>
      <c r="AA26" s="336"/>
      <c r="AB26" s="336"/>
      <c r="AC26" s="353" t="s">
        <v>1762</v>
      </c>
      <c r="AD26" s="352"/>
    </row>
    <row r="27" spans="2:30" ht="18.75" thickTop="1">
      <c r="B27" s="354"/>
      <c r="C27" s="342"/>
      <c r="D27" s="342"/>
      <c r="E27" s="342"/>
      <c r="F27" s="343"/>
      <c r="G27" s="352"/>
      <c r="H27" s="352"/>
      <c r="I27" s="352"/>
      <c r="J27" s="352"/>
      <c r="K27" s="352"/>
      <c r="L27" s="352"/>
      <c r="M27" s="352"/>
      <c r="N27" s="352"/>
      <c r="O27" s="352"/>
      <c r="P27" s="352"/>
      <c r="Q27" s="352"/>
      <c r="R27" s="363"/>
      <c r="S27" s="335"/>
      <c r="T27" s="336"/>
      <c r="U27" s="335"/>
      <c r="V27" s="336"/>
      <c r="W27" s="336"/>
      <c r="X27" s="336"/>
      <c r="Y27" s="336"/>
      <c r="Z27" s="336"/>
      <c r="AA27" s="336"/>
      <c r="AB27" s="336"/>
      <c r="AC27" s="353" t="s">
        <v>1749</v>
      </c>
      <c r="AD27" s="341"/>
    </row>
    <row r="28" spans="2:30" ht="18.75" thickBot="1">
      <c r="B28" s="356" t="s">
        <v>1763</v>
      </c>
      <c r="C28" s="360"/>
      <c r="D28" s="342"/>
      <c r="E28" s="342"/>
      <c r="F28" s="343"/>
      <c r="G28" s="352"/>
      <c r="H28" s="352"/>
      <c r="I28" s="352"/>
      <c r="J28" s="352"/>
      <c r="K28" s="352"/>
      <c r="L28" s="352"/>
      <c r="M28" s="352"/>
      <c r="N28" s="352"/>
      <c r="O28" s="352"/>
      <c r="P28" s="352"/>
      <c r="Q28" s="352"/>
      <c r="R28" s="363"/>
      <c r="S28" s="335"/>
      <c r="T28" s="336"/>
      <c r="U28" s="335"/>
      <c r="V28" s="336"/>
      <c r="W28" s="336"/>
      <c r="X28" s="336"/>
      <c r="Y28" s="336"/>
      <c r="Z28" s="336"/>
      <c r="AA28" s="336"/>
      <c r="AB28" s="336"/>
      <c r="AC28" s="353" t="s">
        <v>1764</v>
      </c>
      <c r="AD28" s="341"/>
    </row>
    <row r="29" spans="2:30" ht="22.5" customHeight="1" thickTop="1" thickBot="1">
      <c r="B29" s="358" t="s">
        <v>1765</v>
      </c>
      <c r="C29" s="364" t="s">
        <v>1754</v>
      </c>
      <c r="D29" s="361" t="s">
        <v>1558</v>
      </c>
      <c r="E29" s="342"/>
      <c r="F29" s="343"/>
      <c r="G29" s="352"/>
      <c r="H29" s="352"/>
      <c r="I29" s="352"/>
      <c r="J29" s="352"/>
      <c r="K29" s="352"/>
      <c r="L29" s="352"/>
      <c r="M29" s="352"/>
      <c r="N29" s="352"/>
      <c r="O29" s="352"/>
      <c r="P29" s="352"/>
      <c r="Q29" s="352"/>
      <c r="R29" s="363"/>
      <c r="S29" s="335"/>
      <c r="T29" s="336"/>
      <c r="U29" s="335"/>
      <c r="V29" s="336"/>
      <c r="W29" s="336"/>
      <c r="X29" s="336"/>
      <c r="Y29" s="336"/>
      <c r="Z29" s="336"/>
      <c r="AA29" s="336"/>
      <c r="AB29" s="336"/>
      <c r="AC29" s="353" t="s">
        <v>1766</v>
      </c>
      <c r="AD29" s="341"/>
    </row>
    <row r="30" spans="2:30" ht="22.5" customHeight="1" thickTop="1" thickBot="1">
      <c r="B30" s="349" t="str">
        <f>IF(C29="Enter Fixed Price","Enter fixed bio-diesel price [USD/tLSFOeq] -&gt;","")</f>
        <v/>
      </c>
      <c r="C30" s="365">
        <v>100000</v>
      </c>
      <c r="D30" s="342"/>
      <c r="E30" s="342"/>
      <c r="F30" s="343"/>
      <c r="G30" s="352"/>
      <c r="H30" s="352"/>
      <c r="I30" s="352"/>
      <c r="J30" s="352"/>
      <c r="K30" s="352"/>
      <c r="L30" s="352"/>
      <c r="M30" s="352"/>
      <c r="N30" s="352"/>
      <c r="O30" s="352"/>
      <c r="P30" s="352"/>
      <c r="Q30" s="352"/>
      <c r="R30" s="363"/>
      <c r="S30" s="335"/>
      <c r="T30" s="336"/>
      <c r="U30" s="335"/>
      <c r="V30" s="336"/>
      <c r="W30" s="336"/>
      <c r="X30" s="336"/>
      <c r="Y30" s="336"/>
      <c r="Z30" s="336"/>
      <c r="AA30" s="336"/>
      <c r="AB30" s="336"/>
      <c r="AC30" s="353" t="s">
        <v>1767</v>
      </c>
      <c r="AD30" s="341"/>
    </row>
    <row r="31" spans="2:30" ht="18.75" thickTop="1">
      <c r="B31" s="354"/>
      <c r="C31" s="342"/>
      <c r="D31" s="342"/>
      <c r="E31" s="342"/>
      <c r="F31" s="343"/>
      <c r="G31" s="352"/>
      <c r="H31" s="352"/>
      <c r="I31" s="352"/>
      <c r="J31" s="352"/>
      <c r="K31" s="352"/>
      <c r="L31" s="352"/>
      <c r="M31" s="352"/>
      <c r="N31" s="352"/>
      <c r="O31" s="352"/>
      <c r="P31" s="352"/>
      <c r="Q31" s="352"/>
      <c r="R31" s="363"/>
      <c r="S31" s="335"/>
      <c r="T31" s="336"/>
      <c r="U31" s="335"/>
      <c r="V31" s="336"/>
      <c r="W31" s="336"/>
      <c r="X31" s="336"/>
      <c r="Y31" s="336"/>
      <c r="Z31" s="336"/>
      <c r="AA31" s="336"/>
      <c r="AB31" s="336"/>
      <c r="AC31" s="353" t="s">
        <v>1768</v>
      </c>
      <c r="AD31" s="341"/>
    </row>
    <row r="32" spans="2:30" ht="19.5" customHeight="1">
      <c r="B32" s="345" t="s">
        <v>1769</v>
      </c>
      <c r="C32" s="346"/>
      <c r="D32" s="347" t="s">
        <v>1729</v>
      </c>
      <c r="E32" s="346"/>
      <c r="F32" s="346"/>
      <c r="G32" s="352"/>
      <c r="H32" s="352"/>
      <c r="I32" s="352"/>
      <c r="J32" s="352"/>
      <c r="K32" s="352"/>
      <c r="L32" s="352"/>
      <c r="M32" s="352"/>
      <c r="N32" s="352"/>
      <c r="O32" s="352"/>
      <c r="P32" s="352"/>
      <c r="Q32" s="352"/>
      <c r="R32" s="363"/>
      <c r="S32" s="335"/>
      <c r="T32" s="336"/>
      <c r="U32" s="335"/>
      <c r="V32" s="336"/>
      <c r="W32" s="336"/>
      <c r="X32" s="336"/>
      <c r="Y32" s="336"/>
      <c r="Z32" s="336"/>
      <c r="AA32" s="336"/>
      <c r="AB32" s="336"/>
      <c r="AC32" s="353" t="s">
        <v>1770</v>
      </c>
      <c r="AD32" s="341"/>
    </row>
    <row r="33" spans="2:30" ht="18.75" thickBot="1">
      <c r="B33" s="356" t="s">
        <v>1771</v>
      </c>
      <c r="C33" s="360"/>
      <c r="D33" s="342"/>
      <c r="E33" s="342"/>
      <c r="F33" s="343"/>
      <c r="G33" s="352"/>
      <c r="H33" s="352"/>
      <c r="I33" s="352"/>
      <c r="J33" s="352"/>
      <c r="K33" s="352"/>
      <c r="L33" s="352"/>
      <c r="M33" s="352"/>
      <c r="N33" s="352"/>
      <c r="O33" s="352"/>
      <c r="P33" s="352"/>
      <c r="Q33" s="352"/>
      <c r="R33" s="363"/>
      <c r="S33" s="335"/>
      <c r="T33" s="336"/>
      <c r="U33" s="335"/>
      <c r="V33" s="336"/>
      <c r="W33" s="336"/>
      <c r="X33" s="336"/>
      <c r="Y33" s="336"/>
      <c r="Z33" s="336"/>
      <c r="AA33" s="336"/>
      <c r="AB33" s="336"/>
      <c r="AC33" s="353" t="s">
        <v>1749</v>
      </c>
      <c r="AD33" s="341"/>
    </row>
    <row r="34" spans="2:30" ht="84" customHeight="1" thickTop="1" thickBot="1">
      <c r="B34" s="356" t="s">
        <v>1772</v>
      </c>
      <c r="C34" s="359" t="s">
        <v>1766</v>
      </c>
      <c r="D34" s="808" t="s">
        <v>1773</v>
      </c>
      <c r="E34" s="808"/>
      <c r="F34" s="343"/>
      <c r="G34" s="366" t="s">
        <v>1774</v>
      </c>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row>
    <row r="35" spans="2:30" ht="16.5" thickTop="1" thickBot="1">
      <c r="B35" s="356" t="s">
        <v>1775</v>
      </c>
      <c r="C35" s="359" t="s">
        <v>1752</v>
      </c>
      <c r="D35" s="361" t="s">
        <v>1549</v>
      </c>
      <c r="E35" s="342"/>
      <c r="F35" s="343"/>
      <c r="G35" s="367"/>
      <c r="H35" s="368" t="s">
        <v>1776</v>
      </c>
      <c r="I35" s="367"/>
      <c r="J35" s="367"/>
      <c r="K35" s="367"/>
      <c r="L35" s="367"/>
      <c r="M35" s="367"/>
      <c r="N35" s="367"/>
      <c r="O35" s="367"/>
      <c r="P35" s="367"/>
      <c r="Q35" s="367"/>
      <c r="R35" s="367"/>
      <c r="S35" s="367"/>
      <c r="T35" s="367"/>
      <c r="U35" s="367"/>
      <c r="V35" s="367"/>
      <c r="W35" s="367"/>
      <c r="X35" s="367"/>
      <c r="Y35" s="367"/>
      <c r="Z35" s="367"/>
      <c r="AA35" s="367"/>
      <c r="AB35" s="367"/>
      <c r="AC35" s="367"/>
      <c r="AD35" s="367"/>
    </row>
    <row r="36" spans="2:30" ht="16.5" thickTop="1" thickBot="1">
      <c r="B36" s="349" t="str">
        <f>IF(C35="Enter Fixed Price","Enter fixed LNG price [USD/tLSFOeq] -&gt;","")</f>
        <v/>
      </c>
      <c r="C36" s="359">
        <v>600</v>
      </c>
      <c r="D36" s="362"/>
      <c r="E36" s="342"/>
      <c r="F36" s="343"/>
      <c r="G36" s="368"/>
      <c r="H36" s="368">
        <v>2028</v>
      </c>
      <c r="I36" s="368">
        <v>2029</v>
      </c>
      <c r="J36" s="368">
        <v>2030</v>
      </c>
      <c r="K36" s="368">
        <v>2031</v>
      </c>
      <c r="L36" s="368">
        <v>2032</v>
      </c>
      <c r="M36" s="368">
        <v>2033</v>
      </c>
      <c r="N36" s="368">
        <v>2034</v>
      </c>
      <c r="O36" s="368">
        <v>2035</v>
      </c>
      <c r="P36" s="368">
        <v>2036</v>
      </c>
      <c r="Q36" s="368">
        <v>2037</v>
      </c>
      <c r="R36" s="368">
        <v>2038</v>
      </c>
      <c r="S36" s="368">
        <v>2039</v>
      </c>
      <c r="T36" s="368">
        <v>2040</v>
      </c>
      <c r="U36" s="368">
        <v>2041</v>
      </c>
      <c r="V36" s="368">
        <v>2042</v>
      </c>
      <c r="W36" s="368">
        <v>2043</v>
      </c>
      <c r="X36" s="368">
        <v>2044</v>
      </c>
      <c r="Y36" s="368">
        <v>2045</v>
      </c>
      <c r="Z36" s="368">
        <v>2046</v>
      </c>
      <c r="AA36" s="368">
        <v>2047</v>
      </c>
      <c r="AB36" s="368">
        <v>2048</v>
      </c>
      <c r="AC36" s="368">
        <v>2049</v>
      </c>
      <c r="AD36" s="368">
        <v>2050</v>
      </c>
    </row>
    <row r="37" spans="2:30" ht="18.95" customHeight="1" thickTop="1">
      <c r="B37" s="349"/>
      <c r="C37" s="355"/>
      <c r="D37" s="342"/>
      <c r="E37" s="342"/>
      <c r="F37" s="343"/>
      <c r="G37" s="369" t="s">
        <v>1777</v>
      </c>
      <c r="H37" s="370">
        <f ca="1">'Calculations (main)'!H72</f>
        <v>141.33282036000014</v>
      </c>
      <c r="I37" s="370">
        <f ca="1">'Calculations (main)'!I72</f>
        <v>169.83783636000015</v>
      </c>
      <c r="J37" s="370">
        <f ca="1">'Calculations (main)'!J72</f>
        <v>198.34285236000008</v>
      </c>
      <c r="K37" s="370">
        <f ca="1">'Calculations (main)'!K72</f>
        <v>261.05388756000008</v>
      </c>
      <c r="L37" s="370">
        <f ca="1">'Calculations (main)'!L72</f>
        <v>323.76492276000016</v>
      </c>
      <c r="M37" s="370">
        <f ca="1">'Calculations (main)'!M72</f>
        <v>386.47595796000013</v>
      </c>
      <c r="N37" s="370">
        <f ca="1">'Calculations (main)'!N72</f>
        <v>449.18699316000016</v>
      </c>
      <c r="O37" s="370">
        <f ca="1">'Calculations (main)'!O72</f>
        <v>511.89802836001638</v>
      </c>
      <c r="P37" s="370">
        <f ca="1">'Calculations (main)'!P72</f>
        <v>611.66558436000662</v>
      </c>
      <c r="Q37" s="370">
        <f ca="1">'Calculations (main)'!Q72</f>
        <v>711.43314035999674</v>
      </c>
      <c r="R37" s="370">
        <f ca="1">'Calculations (main)'!R72</f>
        <v>811.20069636002768</v>
      </c>
      <c r="S37" s="370">
        <f ca="1">'Calculations (main)'!S72</f>
        <v>910.96825236001791</v>
      </c>
      <c r="T37" s="370">
        <f ca="1">'Calculations (main)'!T72</f>
        <v>1010.7358083600083</v>
      </c>
      <c r="U37" s="370">
        <f ca="1">'Calculations (main)'!U72</f>
        <v>1053.4933323599996</v>
      </c>
      <c r="V37" s="370">
        <f ca="1">'Calculations (main)'!V72</f>
        <v>1096.2508563600013</v>
      </c>
      <c r="W37" s="370">
        <f ca="1">'Calculations (main)'!W72</f>
        <v>1139.008380360003</v>
      </c>
      <c r="X37" s="370">
        <f ca="1">'Calculations (main)'!X72</f>
        <v>1181.7659043600045</v>
      </c>
      <c r="Y37" s="370">
        <f ca="1">'Calculations (main)'!Y72</f>
        <v>1224.5234283599959</v>
      </c>
      <c r="Z37" s="370">
        <f ca="1">'Calculations (main)'!Z72</f>
        <v>1267.2809523599974</v>
      </c>
      <c r="AA37" s="370">
        <f ca="1">'Calculations (main)'!AA72</f>
        <v>1310.0384763599991</v>
      </c>
      <c r="AB37" s="370">
        <f ca="1">'Calculations (main)'!AB72</f>
        <v>1345.2946803600007</v>
      </c>
      <c r="AC37" s="370">
        <f ca="1">'Calculations (main)'!AC72</f>
        <v>1376.8002243600019</v>
      </c>
      <c r="AD37" s="370">
        <f ca="1">'Calculations (main)'!AD72</f>
        <v>1408.305768360003</v>
      </c>
    </row>
    <row r="38" spans="2:30" ht="15.75" thickBot="1">
      <c r="B38" s="356" t="s">
        <v>1778</v>
      </c>
      <c r="C38" s="360"/>
      <c r="D38" s="342"/>
      <c r="E38" s="342"/>
      <c r="F38" s="343"/>
      <c r="G38" s="369" t="s">
        <v>1769</v>
      </c>
      <c r="H38" s="370">
        <f ca="1">'Calculations (main)'!H92</f>
        <v>99995.873494119995</v>
      </c>
      <c r="I38" s="370">
        <f ca="1">'Calculations (main)'!I92</f>
        <v>100006.41539739999</v>
      </c>
      <c r="J38" s="370">
        <f ca="1">'Calculations (main)'!J92</f>
        <v>100013.9167174</v>
      </c>
      <c r="K38" s="370">
        <f ca="1">'Calculations (main)'!K92</f>
        <v>100030.4196214</v>
      </c>
      <c r="L38" s="370">
        <f ca="1">'Calculations (main)'!L92</f>
        <v>100046.9225254</v>
      </c>
      <c r="M38" s="370">
        <f ca="1">'Calculations (main)'!M92</f>
        <v>100104.49260771999</v>
      </c>
      <c r="N38" s="370">
        <f ca="1">'Calculations (main)'!N92</f>
        <v>100167.20364291999</v>
      </c>
      <c r="O38" s="370">
        <f ca="1">'Calculations (main)'!O92</f>
        <v>100229.91467812001</v>
      </c>
      <c r="P38" s="370">
        <f ca="1">'Calculations (main)'!P92</f>
        <v>100329.68223412</v>
      </c>
      <c r="Q38" s="370">
        <f ca="1">'Calculations (main)'!Q92</f>
        <v>100429.44979011999</v>
      </c>
      <c r="R38" s="370">
        <f ca="1">'Calculations (main)'!R92</f>
        <v>100529.21734612001</v>
      </c>
      <c r="S38" s="370">
        <f ca="1">'Calculations (main)'!S92</f>
        <v>100628.98490212001</v>
      </c>
      <c r="T38" s="370">
        <f ca="1">'Calculations (main)'!T92</f>
        <v>100728.75245812</v>
      </c>
      <c r="U38" s="370">
        <f ca="1">'Calculations (main)'!U92</f>
        <v>100771.50998212</v>
      </c>
      <c r="V38" s="370">
        <f ca="1">'Calculations (main)'!V92</f>
        <v>100814.26750612</v>
      </c>
      <c r="W38" s="370">
        <f ca="1">'Calculations (main)'!W92</f>
        <v>100857.02503012</v>
      </c>
      <c r="X38" s="370">
        <f ca="1">'Calculations (main)'!X92</f>
        <v>100899.78255412</v>
      </c>
      <c r="Y38" s="370">
        <f ca="1">'Calculations (main)'!Y92</f>
        <v>100942.54007811999</v>
      </c>
      <c r="Z38" s="370">
        <f ca="1">'Calculations (main)'!Z92</f>
        <v>100985.29760211999</v>
      </c>
      <c r="AA38" s="370">
        <f ca="1">'Calculations (main)'!AA92</f>
        <v>101028.05512611999</v>
      </c>
      <c r="AB38" s="370">
        <f ca="1">'Calculations (main)'!AB92</f>
        <v>101063.31133012001</v>
      </c>
      <c r="AC38" s="370">
        <f ca="1">'Calculations (main)'!AC92</f>
        <v>101094.81687412001</v>
      </c>
      <c r="AD38" s="370">
        <f ca="1">'Calculations (main)'!AD92</f>
        <v>101126.32241812001</v>
      </c>
    </row>
    <row r="39" spans="2:30" ht="30" customHeight="1" thickTop="1" thickBot="1">
      <c r="B39" s="349" t="s">
        <v>1761</v>
      </c>
      <c r="C39" s="364" t="s">
        <v>1762</v>
      </c>
      <c r="D39" s="808" t="s">
        <v>1779</v>
      </c>
      <c r="E39" s="808"/>
      <c r="F39" s="343"/>
      <c r="G39" s="369" t="s">
        <v>1780</v>
      </c>
      <c r="H39" s="370">
        <f ca="1">'Calculations (main)'!H113</f>
        <v>0</v>
      </c>
      <c r="I39" s="370">
        <f ca="1">'Calculations (main)'!I113</f>
        <v>0</v>
      </c>
      <c r="J39" s="370">
        <f ca="1">'Calculations (main)'!J113</f>
        <v>0</v>
      </c>
      <c r="K39" s="370">
        <f ca="1">'Calculations (main)'!K113</f>
        <v>0</v>
      </c>
      <c r="L39" s="370">
        <f ca="1">'Calculations (main)'!L113</f>
        <v>0</v>
      </c>
      <c r="M39" s="370">
        <f ca="1">'Calculations (main)'!M113</f>
        <v>0</v>
      </c>
      <c r="N39" s="370">
        <f ca="1">'Calculations (main)'!N113</f>
        <v>0</v>
      </c>
      <c r="O39" s="370">
        <f ca="1">'Calculations (main)'!O113</f>
        <v>0</v>
      </c>
      <c r="P39" s="370">
        <f ca="1">'Calculations (main)'!P113</f>
        <v>0</v>
      </c>
      <c r="Q39" s="370">
        <f ca="1">'Calculations (main)'!Q113</f>
        <v>0</v>
      </c>
      <c r="R39" s="370">
        <f ca="1">'Calculations (main)'!R113</f>
        <v>0</v>
      </c>
      <c r="S39" s="370">
        <f ca="1">'Calculations (main)'!S113</f>
        <v>0</v>
      </c>
      <c r="T39" s="370">
        <f ca="1">'Calculations (main)'!T113</f>
        <v>0</v>
      </c>
      <c r="U39" s="370">
        <f ca="1">'Calculations (main)'!U113</f>
        <v>0</v>
      </c>
      <c r="V39" s="370">
        <f ca="1">'Calculations (main)'!V113</f>
        <v>0</v>
      </c>
      <c r="W39" s="370">
        <f ca="1">'Calculations (main)'!W113</f>
        <v>0</v>
      </c>
      <c r="X39" s="370">
        <f ca="1">'Calculations (main)'!X113</f>
        <v>0</v>
      </c>
      <c r="Y39" s="370">
        <f ca="1">'Calculations (main)'!Y113</f>
        <v>0</v>
      </c>
      <c r="Z39" s="370">
        <f ca="1">'Calculations (main)'!Z113</f>
        <v>0</v>
      </c>
      <c r="AA39" s="370">
        <f ca="1">'Calculations (main)'!AA113</f>
        <v>0</v>
      </c>
      <c r="AB39" s="370">
        <f ca="1">'Calculations (main)'!AB113</f>
        <v>0</v>
      </c>
      <c r="AC39" s="370">
        <f ca="1">'Calculations (main)'!AC113</f>
        <v>0</v>
      </c>
      <c r="AD39" s="370">
        <f ca="1">'Calculations (main)'!AD113</f>
        <v>0</v>
      </c>
    </row>
    <row r="40" spans="2:30" ht="16.5" thickTop="1" thickBot="1">
      <c r="B40" s="349" t="str">
        <f>IF(C39="Enter Fixed Price","Enter fixed bio-methane price [USD/tLSFOeq] -&gt;","")</f>
        <v/>
      </c>
      <c r="C40" s="365">
        <v>1500</v>
      </c>
      <c r="D40" s="362"/>
      <c r="E40" s="342"/>
      <c r="F40" s="343"/>
      <c r="G40" s="369" t="s">
        <v>1781</v>
      </c>
      <c r="H40" s="370">
        <f ca="1">'Calculations (main)'!H128</f>
        <v>-1140.1853639999999</v>
      </c>
      <c r="I40" s="370">
        <f ca="1">'Calculations (main)'!I128</f>
        <v>-1111.6803479999999</v>
      </c>
      <c r="J40" s="370">
        <f ca="1">'Calculations (main)'!J128</f>
        <v>-1083.1753320000003</v>
      </c>
      <c r="K40" s="370">
        <f ca="1">'Calculations (main)'!K128</f>
        <v>-1020.4642968000001</v>
      </c>
      <c r="L40" s="370">
        <f ca="1">'Calculations (main)'!L128</f>
        <v>-957.75326160000009</v>
      </c>
      <c r="M40" s="370">
        <f ca="1">'Calculations (main)'!M128</f>
        <v>-895.04222640000012</v>
      </c>
      <c r="N40" s="370">
        <f ca="1">'Calculations (main)'!N128</f>
        <v>-832.33119119999981</v>
      </c>
      <c r="O40" s="370">
        <f ca="1">'Calculations (main)'!O128</f>
        <v>-769.62015599998392</v>
      </c>
      <c r="P40" s="370">
        <f ca="1">'Calculations (main)'!P128</f>
        <v>-669.85259999999346</v>
      </c>
      <c r="Q40" s="370">
        <f ca="1">'Calculations (main)'!Q128</f>
        <v>-570.08504400000334</v>
      </c>
      <c r="R40" s="370">
        <f ca="1">'Calculations (main)'!R128</f>
        <v>-470.3174879999724</v>
      </c>
      <c r="S40" s="370">
        <f ca="1">'Calculations (main)'!S128</f>
        <v>-370.54993199998216</v>
      </c>
      <c r="T40" s="370">
        <f ca="1">'Calculations (main)'!T128</f>
        <v>-270.78237599999181</v>
      </c>
      <c r="U40" s="370">
        <f ca="1">'Calculations (main)'!U128</f>
        <v>-228.02485200000038</v>
      </c>
      <c r="V40" s="370">
        <f ca="1">'Calculations (main)'!V128</f>
        <v>-185.26732799999874</v>
      </c>
      <c r="W40" s="370">
        <f ca="1">'Calculations (main)'!W128</f>
        <v>-142.50980399999713</v>
      </c>
      <c r="X40" s="370">
        <f ca="1">'Calculations (main)'!X128</f>
        <v>-99.752279999995537</v>
      </c>
      <c r="Y40" s="370">
        <f ca="1">'Calculations (main)'!Y128</f>
        <v>-56.994756000004045</v>
      </c>
      <c r="Z40" s="370">
        <f ca="1">'Calculations (main)'!Z128</f>
        <v>-14.237232000002427</v>
      </c>
      <c r="AA40" s="370">
        <f ca="1">'Calculations (main)'!AA128</f>
        <v>7.5053399999997872</v>
      </c>
      <c r="AB40" s="370">
        <f ca="1">'Calculations (main)'!AB128</f>
        <v>11.256</v>
      </c>
      <c r="AC40" s="370">
        <f ca="1">'Calculations (main)'!AC128</f>
        <v>11.256</v>
      </c>
      <c r="AD40" s="370">
        <f ca="1">'Calculations (main)'!AD128</f>
        <v>11.256</v>
      </c>
    </row>
    <row r="41" spans="2:30" ht="15.6" customHeight="1" thickTop="1">
      <c r="B41" s="354"/>
      <c r="C41" s="342"/>
      <c r="D41" s="342"/>
      <c r="E41" s="342"/>
      <c r="F41" s="343"/>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row>
    <row r="42" spans="2:30" ht="18.75">
      <c r="B42" s="345" t="s">
        <v>1782</v>
      </c>
      <c r="C42" s="346"/>
      <c r="D42" s="347" t="s">
        <v>1531</v>
      </c>
      <c r="E42" s="346"/>
      <c r="F42" s="346"/>
      <c r="G42" s="371" t="str">
        <f>$C$13&amp;" - "&amp;G37</f>
        <v>2030 - Strategy 1: LSFO + bio-diesel (base case)</v>
      </c>
      <c r="H42" s="367"/>
      <c r="I42" s="367"/>
      <c r="J42" s="371" t="str">
        <f>$C$13&amp;" - "&amp;G38</f>
        <v>2030 - Strategy 2: LNG + bio-methane</v>
      </c>
      <c r="K42" s="367"/>
      <c r="L42" s="367"/>
      <c r="M42" s="371" t="str">
        <f>$C$13&amp;" - "&amp;G39</f>
        <v>2030 - Strategy 3: LSFO + ZNZ</v>
      </c>
      <c r="N42" s="367"/>
      <c r="O42" s="367"/>
      <c r="P42" s="371" t="str">
        <f>$C$13&amp;" - "&amp;G40</f>
        <v>2030 - Strategy 4: 100% ZNZ</v>
      </c>
      <c r="Q42" s="367"/>
      <c r="R42" s="372"/>
      <c r="S42" s="367"/>
      <c r="T42" s="367"/>
      <c r="U42" s="367"/>
      <c r="V42" s="367"/>
      <c r="W42" s="367"/>
      <c r="X42" s="367"/>
      <c r="Y42" s="367"/>
      <c r="Z42" s="367"/>
      <c r="AA42" s="367"/>
      <c r="AB42" s="367"/>
      <c r="AC42" s="367"/>
      <c r="AD42" s="367"/>
    </row>
    <row r="43" spans="2:30" ht="19.5" thickBot="1">
      <c r="B43" s="356" t="s">
        <v>1783</v>
      </c>
      <c r="C43" s="373" t="str">
        <f>IF(AND(C13&lt;2035,C44="Enter my own",C45&gt;19),"Warning: Chosen ZNZ emission factor exceeds the 19gCO2eq/MJ threshold and is ineligible for rewards",IF(AND(C13&gt;2034,C44="Enter my own",C45&gt;14),"Warning: Chosen ZNZ emission factor exceeds the 14gCO2eq/MJ threshold and is ineligible for rewards",""))</f>
        <v/>
      </c>
      <c r="D43" s="342"/>
      <c r="E43" s="342"/>
      <c r="F43" s="343"/>
      <c r="G43" s="374" t="s">
        <v>1784</v>
      </c>
      <c r="H43" s="375">
        <f ca="1">INDEX('Calculations (main)'!$C$59:$AD$72,MATCH(G43,'Calculations (main)'!$C$59:$C$72,0),MATCH($C$13,'Calculations (main)'!$C$59:$AD$59,0))</f>
        <v>0</v>
      </c>
      <c r="I43" s="374"/>
      <c r="J43" s="374" t="s">
        <v>1785</v>
      </c>
      <c r="K43" s="375">
        <f>INDEX('Calculations (main)'!$C$76:$AD$92,MATCH(J43,'Calculations (main)'!$C$76:$C$92,0),MATCH($C$13,'Calculations (main)'!$C$76:$AD$76,0))</f>
        <v>100000</v>
      </c>
      <c r="L43" s="374"/>
      <c r="M43" s="374" t="s">
        <v>1784</v>
      </c>
      <c r="N43" s="375">
        <f ca="1">INDEX('Calculations (main)'!$C$96:$AD$113,MATCH(M43,'Calculations (main)'!$C$96:$C$113,0),MATCH($C$13,'Calculations (main)'!$C$96:$AD$96,0))</f>
        <v>0</v>
      </c>
      <c r="O43" s="374"/>
      <c r="P43" s="374" t="s">
        <v>1786</v>
      </c>
      <c r="Q43" s="375">
        <f ca="1">INDEX('Calculations (main)'!$C$117:$AD$128,MATCH(P43,'Calculations (main)'!$C$117:$C$128,0),MATCH($C$13,'Calculations (main)'!$C$117:$AD$117,0))</f>
        <v>0</v>
      </c>
      <c r="R43" s="372"/>
      <c r="S43" s="367"/>
      <c r="T43" s="367"/>
      <c r="U43" s="367"/>
      <c r="V43" s="367"/>
      <c r="W43" s="367"/>
      <c r="X43" s="367"/>
      <c r="Y43" s="367"/>
      <c r="Z43" s="367"/>
      <c r="AA43" s="367"/>
      <c r="AB43" s="367"/>
      <c r="AC43" s="367"/>
      <c r="AD43" s="367"/>
    </row>
    <row r="44" spans="2:30" ht="23.1" customHeight="1" thickTop="1" thickBot="1">
      <c r="B44" s="349" t="s">
        <v>1787</v>
      </c>
      <c r="C44" s="359" t="s">
        <v>1528</v>
      </c>
      <c r="D44" s="807" t="s">
        <v>1788</v>
      </c>
      <c r="E44" s="808"/>
      <c r="F44" s="343"/>
      <c r="G44" s="374" t="s">
        <v>1789</v>
      </c>
      <c r="H44" s="375">
        <f ca="1">INDEX('Calculations (main)'!$C$59:$AD$72,MATCH(G44,'Calculations (main)'!$C$59:$C$72,0),MATCH($C$13,'Calculations (main)'!$C$59:$AD$59,0))</f>
        <v>149.58427236000011</v>
      </c>
      <c r="I44" s="374"/>
      <c r="J44" s="374" t="s">
        <v>1790</v>
      </c>
      <c r="K44" s="375">
        <f>INDEX('Calculations (main)'!$C$76:$AD$92,MATCH(J44,'Calculations (main)'!$C$76:$C$92,0),MATCH($C$13,'Calculations (main)'!$C$76:$AD$76,0))</f>
        <v>0</v>
      </c>
      <c r="L44" s="374"/>
      <c r="M44" s="374" t="s">
        <v>1791</v>
      </c>
      <c r="N44" s="375">
        <f ca="1">INDEX('Calculations (main)'!$C$96:$AD$113,MATCH(M44,'Calculations (main)'!$C$96:$C$113,0),MATCH($C$13,'Calculations (main)'!$C$96:$AD$96,0))</f>
        <v>0</v>
      </c>
      <c r="O44" s="374"/>
      <c r="P44" s="374" t="s">
        <v>1792</v>
      </c>
      <c r="Q44" s="375">
        <f ca="1">Q43-Q47-Q48</f>
        <v>-1083.1753320000003</v>
      </c>
      <c r="R44" s="372"/>
      <c r="S44" s="367"/>
      <c r="T44" s="367"/>
      <c r="U44" s="367"/>
      <c r="V44" s="367"/>
      <c r="W44" s="367"/>
      <c r="X44" s="367"/>
      <c r="Y44" s="367"/>
      <c r="Z44" s="367"/>
      <c r="AA44" s="367"/>
      <c r="AB44" s="367"/>
      <c r="AC44" s="367"/>
      <c r="AD44" s="367"/>
    </row>
    <row r="45" spans="2:30" ht="30.6" customHeight="1" thickTop="1" thickBot="1">
      <c r="B45" s="349" t="str">
        <f>IF(C44="Enter fixed price","Enter fixed LSFO price [USD/tonne LSFO] -&gt;","")</f>
        <v/>
      </c>
      <c r="C45" s="555">
        <f>+Assumptions!$G$26</f>
        <v>2.8</v>
      </c>
      <c r="D45" s="807" t="str">
        <f>IF(C44="Enter my own","To be eligible for rewards the ZNZ fuel must be below the threshold (19 gCO2e/MJ before 2035, and 14 gCO2e/MJ after)","")</f>
        <v>To be eligible for rewards the ZNZ fuel must be below the threshold (19 gCO2e/MJ before 2035, and 14 gCO2e/MJ after)</v>
      </c>
      <c r="E45" s="808"/>
      <c r="F45" s="343"/>
      <c r="G45" s="374" t="s">
        <v>1793</v>
      </c>
      <c r="H45" s="375">
        <f ca="1">INDEX('Calculations (main)'!$C$59:$AD$72,MATCH(G45,'Calculations (main)'!$C$59:$C$72,0),MATCH($C$13,'Calculations (main)'!$C$59:$AD$59,0))</f>
        <v>48.758579999999959</v>
      </c>
      <c r="I45" s="374"/>
      <c r="J45" s="374" t="s">
        <v>1794</v>
      </c>
      <c r="K45" s="375">
        <f>INDEX('Calculations (main)'!$C$76:$AD$92,MATCH(J45,'Calculations (main)'!$C$76:$C$92,0),MATCH($C$13,'Calculations (main)'!$C$76:$AD$76,0))</f>
        <v>13.916717399999962</v>
      </c>
      <c r="L45" s="374"/>
      <c r="M45" s="374" t="s">
        <v>1795</v>
      </c>
      <c r="N45" s="375">
        <f ca="1">INDEX('Calculations (main)'!$C$96:$AD$113,MATCH(M45,'Calculations (main)'!$C$96:$C$113,0),MATCH($C$13,'Calculations (main)'!$C$96:$AD$96,0))</f>
        <v>0</v>
      </c>
      <c r="O45" s="374"/>
      <c r="P45" s="374" t="s">
        <v>1796</v>
      </c>
      <c r="Q45" s="375">
        <f>INDEX('Calculations (main)'!$C$117:$AD$128,MATCH(P45,'Calculations (main)'!$C$117:$C$128,0),MATCH($C$13,'Calculations (main)'!$C$117:$AD$117,0))</f>
        <v>0</v>
      </c>
      <c r="R45" s="372"/>
      <c r="S45" s="367"/>
      <c r="T45" s="367"/>
      <c r="U45" s="367"/>
      <c r="V45" s="367"/>
      <c r="W45" s="367"/>
      <c r="X45" s="367"/>
      <c r="Y45" s="367"/>
      <c r="Z45" s="367"/>
      <c r="AA45" s="367"/>
      <c r="AB45" s="367"/>
      <c r="AC45" s="367"/>
      <c r="AD45" s="367"/>
    </row>
    <row r="46" spans="2:30" ht="34.5" customHeight="1" thickTop="1" thickBot="1">
      <c r="B46" s="349" t="s">
        <v>1797</v>
      </c>
      <c r="C46" s="359" t="s">
        <v>1749</v>
      </c>
      <c r="D46" s="807" t="s">
        <v>1798</v>
      </c>
      <c r="E46" s="808"/>
      <c r="F46" s="343"/>
      <c r="G46" s="376" t="s">
        <v>1799</v>
      </c>
      <c r="H46" s="375">
        <f ca="1">INDEX('Calculations (main)'!$C$59:$AD$72,MATCH(G46,'Calculations (main)'!$C$59:$C$72,0),MATCH($C$13,'Calculations (main)'!$C$59:$AD$59,0))</f>
        <v>198.34285236000008</v>
      </c>
      <c r="I46" s="374"/>
      <c r="J46" s="376" t="s">
        <v>544</v>
      </c>
      <c r="K46" s="375">
        <f ca="1">INDEX('Calculations (main)'!$C$76:$AD$92,MATCH(J46,'Calculations (main)'!$C$76:$C$92,0),MATCH($C$13,'Calculations (main)'!$C$76:$AD$76,0))</f>
        <v>0</v>
      </c>
      <c r="L46" s="374"/>
      <c r="M46" s="376" t="s">
        <v>1800</v>
      </c>
      <c r="N46" s="375">
        <f ca="1">INDEX('Calculations (main)'!$C$96:$AD$113,MATCH(M46,'Calculations (main)'!$C$96:$C$113,0),MATCH($C$13,'Calculations (main)'!$C$96:$AD$96,0))</f>
        <v>0</v>
      </c>
      <c r="O46" s="374"/>
      <c r="P46" s="374" t="s">
        <v>1801</v>
      </c>
      <c r="Q46" s="375">
        <f>INDEX('Calculations (main)'!$C$117:$AD$128,MATCH(P46,'Calculations (main)'!$C$117:$C$128,0),MATCH($C$13,'Calculations (main)'!$C$117:$AD$117,0))</f>
        <v>0</v>
      </c>
      <c r="R46" s="372"/>
      <c r="S46" s="367"/>
      <c r="T46" s="367"/>
      <c r="U46" s="367"/>
      <c r="V46" s="367"/>
      <c r="W46" s="367"/>
      <c r="X46" s="367"/>
      <c r="Y46" s="367"/>
      <c r="Z46" s="367"/>
      <c r="AA46" s="367"/>
      <c r="AB46" s="367"/>
      <c r="AC46" s="367"/>
      <c r="AD46" s="367"/>
    </row>
    <row r="47" spans="2:30" ht="24" customHeight="1" thickTop="1" thickBot="1">
      <c r="B47" s="342"/>
      <c r="C47" s="555">
        <f ca="1">+Assumptions_Detailed!K29</f>
        <v>0</v>
      </c>
      <c r="D47" s="807" t="str">
        <f>IF(C46="Enter fixed price","A fixed price assumes one price through 2050, reflecting a long-term 22 year offtake agreement","")</f>
        <v>A fixed price assumes one price through 2050, reflecting a long-term 22 year offtake agreement</v>
      </c>
      <c r="E47" s="808"/>
      <c r="F47" s="343"/>
      <c r="G47" s="377" t="str">
        <f ca="1">G46&amp;" = "&amp;ROUND(H46,0)&amp;" USD/tLSFOeq"</f>
        <v>Total S1 = 198 USD/tLSFOeq</v>
      </c>
      <c r="H47" s="374"/>
      <c r="I47" s="374"/>
      <c r="J47" s="374" t="s">
        <v>1802</v>
      </c>
      <c r="K47" s="375">
        <f ca="1">INDEX('Calculations (main)'!$C$76:$AD$92,MATCH(J47,'Calculations (main)'!$C$76:$C$92,0),MATCH($C$13,'Calculations (main)'!$C$76:$AD$76,0))</f>
        <v>100013.9167174</v>
      </c>
      <c r="L47" s="374"/>
      <c r="M47" s="374" t="s">
        <v>1803</v>
      </c>
      <c r="N47" s="375">
        <f ca="1">INDEX('Calculations (main)'!$C$96:$AD$113,MATCH(M47,'Calculations (main)'!$C$96:$C$113,0),MATCH($C$13,'Calculations (main)'!$C$96:$AD$96,0))</f>
        <v>0</v>
      </c>
      <c r="O47" s="374"/>
      <c r="P47" s="374" t="s">
        <v>544</v>
      </c>
      <c r="Q47" s="375">
        <f ca="1">ABS(INDEX('Calculations (main)'!$C$117:$AD$128,MATCH(P47,'Calculations (main)'!$C$117:$C$128,0),MATCH($C$13,'Calculations (main)'!$C$117:$AD$117,0)))</f>
        <v>1083.1753320000003</v>
      </c>
      <c r="R47" s="372"/>
      <c r="S47" s="367"/>
      <c r="T47" s="367"/>
      <c r="U47" s="367"/>
      <c r="V47" s="367"/>
      <c r="W47" s="367"/>
      <c r="X47" s="367"/>
      <c r="Y47" s="367"/>
      <c r="Z47" s="367"/>
      <c r="AA47" s="367"/>
      <c r="AB47" s="367"/>
      <c r="AC47" s="367"/>
      <c r="AD47" s="367"/>
    </row>
    <row r="48" spans="2:30" s="379" customFormat="1" ht="18.600000000000001" customHeight="1" thickTop="1">
      <c r="B48" s="342"/>
      <c r="C48" s="342"/>
      <c r="D48" s="342"/>
      <c r="E48" s="342"/>
      <c r="F48" s="343"/>
      <c r="G48" s="374"/>
      <c r="H48" s="374"/>
      <c r="I48" s="374"/>
      <c r="J48" s="377" t="str">
        <f ca="1">J47&amp;" = "&amp;ROUND(K47,0)&amp;" USD/tLSFOeq"</f>
        <v>Total S2 = 100014 USD/tLSFOeq</v>
      </c>
      <c r="K48" s="378"/>
      <c r="L48" s="374"/>
      <c r="M48" s="377" t="str">
        <f ca="1">M47&amp;" = "&amp;ROUND(N47,0)&amp;" USD/tLSFOeq"</f>
        <v>Total S3 = 0 USD/tLSFOeq</v>
      </c>
      <c r="N48" s="374"/>
      <c r="O48" s="374"/>
      <c r="P48" s="374" t="s">
        <v>1800</v>
      </c>
      <c r="Q48" s="375">
        <f>ABS(INDEX('Calculations (main)'!$C$117:$AD$128,MATCH(P48,'Calculations (main)'!$C$117:$C$128,0),MATCH($C$13,'Calculations (main)'!$C$117:$AD$117,0)))</f>
        <v>0</v>
      </c>
      <c r="R48" s="372"/>
      <c r="S48" s="367"/>
      <c r="T48" s="367"/>
      <c r="U48" s="367"/>
      <c r="V48" s="367"/>
      <c r="W48" s="367"/>
      <c r="X48" s="367"/>
      <c r="Y48" s="367"/>
      <c r="Z48" s="367"/>
      <c r="AA48" s="367"/>
      <c r="AB48" s="367"/>
      <c r="AC48" s="367"/>
      <c r="AD48" s="367"/>
    </row>
    <row r="49" spans="2:17" s="379" customFormat="1" ht="33.6" customHeight="1">
      <c r="B49" s="342"/>
      <c r="C49" s="342"/>
      <c r="D49" s="342"/>
      <c r="E49" s="342"/>
      <c r="F49" s="342"/>
      <c r="G49" s="374"/>
      <c r="H49" s="374"/>
      <c r="I49" s="374"/>
      <c r="J49" s="380"/>
      <c r="K49" s="380"/>
      <c r="L49" s="374"/>
      <c r="M49" s="380"/>
      <c r="N49" s="380"/>
      <c r="O49" s="374"/>
      <c r="P49" s="374" t="s">
        <v>1804</v>
      </c>
      <c r="Q49" s="375">
        <f ca="1">INDEX('Calculations (main)'!$C$117:$AD$128,MATCH(P49,'Calculations (main)'!$C$117:$C$128,0),MATCH($C$13,'Calculations (main)'!$C$117:$AD$117,0))</f>
        <v>-1083.1753320000003</v>
      </c>
    </row>
    <row r="50" spans="2:17" ht="29.45" customHeight="1">
      <c r="B50" s="342"/>
      <c r="C50" s="342"/>
      <c r="D50" s="342"/>
      <c r="E50" s="342"/>
      <c r="F50" s="342"/>
      <c r="G50" s="380"/>
      <c r="H50" s="380"/>
      <c r="I50" s="380"/>
      <c r="J50" s="380"/>
      <c r="K50" s="380"/>
      <c r="L50" s="380"/>
      <c r="M50" s="380"/>
      <c r="N50" s="380"/>
      <c r="O50" s="380"/>
      <c r="P50" s="377" t="str">
        <f ca="1">P49&amp;" = "&amp;ROUND(Q49,0)&amp;" USD/tLSFOeq"</f>
        <v>Total S4 = -1083 USD/tLSFOeq</v>
      </c>
      <c r="Q50" s="380"/>
    </row>
    <row r="51" spans="2:17" ht="18.75">
      <c r="B51" s="342"/>
      <c r="C51" s="342"/>
      <c r="D51" s="342"/>
      <c r="E51" s="342"/>
      <c r="F51" s="342"/>
      <c r="G51" s="380"/>
      <c r="H51" s="380"/>
      <c r="I51" s="380"/>
      <c r="J51" s="380"/>
      <c r="K51" s="380"/>
      <c r="L51" s="380"/>
      <c r="M51" s="380"/>
      <c r="N51" s="380"/>
      <c r="O51" s="380"/>
      <c r="P51" s="380"/>
      <c r="Q51" s="380"/>
    </row>
    <row r="52" spans="2:17" ht="42" customHeight="1">
      <c r="B52" s="381" t="e" vm="3">
        <v>#VALUE!</v>
      </c>
      <c r="C52" s="337"/>
    </row>
  </sheetData>
  <sheetProtection formatCells="0" formatColumns="0" formatRows="0" insertColumns="0" insertRows="0" insertHyperlinks="0" deleteColumns="0" deleteRows="0" selectLockedCells="1" sort="0" autoFilter="0" pivotTables="0"/>
  <mergeCells count="16">
    <mergeCell ref="B8:E8"/>
    <mergeCell ref="B3:E3"/>
    <mergeCell ref="B4:E4"/>
    <mergeCell ref="B5:E5"/>
    <mergeCell ref="B6:E6"/>
    <mergeCell ref="B7:E7"/>
    <mergeCell ref="D44:E44"/>
    <mergeCell ref="D45:E45"/>
    <mergeCell ref="D46:E46"/>
    <mergeCell ref="D47:E47"/>
    <mergeCell ref="B9:E9"/>
    <mergeCell ref="D13:E13"/>
    <mergeCell ref="D16:E16"/>
    <mergeCell ref="D19:E21"/>
    <mergeCell ref="D34:E34"/>
    <mergeCell ref="D39:E39"/>
  </mergeCells>
  <conditionalFormatting sqref="C26">
    <cfRule type="expression" dxfId="3" priority="6">
      <formula>$C$25&lt;&gt;"Enter Fixed Price"</formula>
    </cfRule>
  </conditionalFormatting>
  <conditionalFormatting sqref="C30">
    <cfRule type="expression" dxfId="2" priority="3">
      <formula>$C$29&lt;&gt;"Enter Fixed Price"</formula>
    </cfRule>
  </conditionalFormatting>
  <conditionalFormatting sqref="C36">
    <cfRule type="expression" dxfId="1" priority="5">
      <formula>$C$35&lt;&gt;"Enter Fixed Price"</formula>
    </cfRule>
  </conditionalFormatting>
  <conditionalFormatting sqref="C40">
    <cfRule type="expression" dxfId="0" priority="4">
      <formula>$C$39&lt;&gt;"Enter Fixed Price"</formula>
    </cfRule>
  </conditionalFormatting>
  <dataValidations count="12">
    <dataValidation type="list" allowBlank="1" showInputMessage="1" showErrorMessage="1" sqref="C44" xr:uid="{721A8010-B132-4E71-B170-0031C1D23477}">
      <formula1>$AD$24:$AD$25</formula1>
    </dataValidation>
    <dataValidation type="list" allowBlank="1" showInputMessage="1" showErrorMessage="1" sqref="C19:C21" xr:uid="{BCCD589D-3D65-4A57-AAA7-F95601B76C0F}">
      <formula1>$AD$22:$AD$23</formula1>
    </dataValidation>
    <dataValidation type="list" allowBlank="1" showInputMessage="1" showErrorMessage="1" sqref="C46" xr:uid="{32A84E5A-AD7B-4423-BC67-318D5C32224B}">
      <formula1>$AC$30:$AC$33</formula1>
    </dataValidation>
    <dataValidation type="list" allowBlank="1" showInputMessage="1" showErrorMessage="1" sqref="C39" xr:uid="{5ABD1EC0-2386-46B4-89DC-5A99CAC61145}">
      <formula1>$AC$26:$AC$27</formula1>
    </dataValidation>
    <dataValidation type="list" allowBlank="1" showInputMessage="1" showErrorMessage="1" sqref="C25" xr:uid="{45930CCC-1580-4170-AC7A-B8388E5728FB}">
      <formula1>$AC$18:$AC$19</formula1>
    </dataValidation>
    <dataValidation type="list" allowBlank="1" showInputMessage="1" showErrorMessage="1" sqref="C35" xr:uid="{18B6A74B-5588-486F-8671-E87D96303840}">
      <formula1>$AC$20:$AC$21</formula1>
    </dataValidation>
    <dataValidation type="list" allowBlank="1" showInputMessage="1" showErrorMessage="1" sqref="C29" xr:uid="{B9D61C7E-2A74-4DB5-852A-77493D1C75C0}">
      <formula1>$AC$22:$AC$25</formula1>
    </dataValidation>
    <dataValidation type="list" allowBlank="1" showInputMessage="1" showErrorMessage="1" sqref="C16:C17" xr:uid="{0EE1E0AA-D88C-40C4-8D17-72063DC4EF78}">
      <formula1>$AC$13:$AC$17</formula1>
    </dataValidation>
    <dataValidation type="list" allowBlank="1" showInputMessage="1" showErrorMessage="1" sqref="C34" xr:uid="{44524CED-33CC-47ED-ACB9-E6F9B7E7C8BA}">
      <formula1>$AC$28:$AC$29</formula1>
    </dataValidation>
    <dataValidation type="list" allowBlank="1" showInputMessage="1" showErrorMessage="1" sqref="C13" xr:uid="{BCFEE10F-756A-40F3-BD37-AB4D552AE767}">
      <formula1>$H$36:$AD$36</formula1>
    </dataValidation>
    <dataValidation type="whole" operator="greaterThan" allowBlank="1" showInputMessage="1" showErrorMessage="1" promptTitle="Enter LSFO cost estimate" prompt="USD/tonne" sqref="C36" xr:uid="{37DD0EEF-43AF-491B-A898-C69BF7327BB8}">
      <formula1>0</formula1>
    </dataValidation>
    <dataValidation operator="greaterThan" allowBlank="1" showInputMessage="1" showErrorMessage="1" promptTitle="Enter LSFO cost estimate" prompt="USD/tonne" sqref="C45 C26 C47" xr:uid="{2FCC97DA-9B99-4157-A9FB-87C9939670E1}"/>
  </dataValidations>
  <hyperlinks>
    <hyperlink ref="D29" r:id="rId1" display="LR &amp; UMAS, 2021" xr:uid="{176C8BF8-B4C4-42B9-8190-2AC0C02FED77}"/>
    <hyperlink ref="D25" r:id="rId2" xr:uid="{126DCE5F-7D01-48AE-8795-9255BFD69972}"/>
    <hyperlink ref="D35" r:id="rId3" xr:uid="{737E3941-AD7C-4279-B78A-9BC4AAA5C83C}"/>
    <hyperlink ref="B5:E5" r:id="rId4" display="MMMCZCS IMO Knowledge Hub Link" xr:uid="{5DC7446B-E19F-475D-9056-AA409856E158}"/>
  </hyperlinks>
  <pageMargins left="0.7" right="0.7" top="0.75" bottom="0.75" header="0.3" footer="0.3"/>
  <pageSetup paperSize="9" orientation="portrait" r:id="rId5"/>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2BCE3-9B37-40C8-9617-3227CC2B381B}">
  <sheetPr codeName="Sheet19">
    <tabColor theme="0" tint="-0.249977111117893"/>
  </sheetPr>
  <dimension ref="B4:BH138"/>
  <sheetViews>
    <sheetView showGridLines="0" zoomScale="46" zoomScaleNormal="63" workbookViewId="0"/>
  </sheetViews>
  <sheetFormatPr defaultRowHeight="14.25"/>
  <cols>
    <col min="2" max="2" width="8.125" style="26" customWidth="1"/>
    <col min="3" max="3" width="49" customWidth="1"/>
    <col min="4" max="4" width="18.125" style="24" customWidth="1"/>
    <col min="5" max="5" width="26.75" style="24" customWidth="1"/>
    <col min="6" max="6" width="21.875" style="411" customWidth="1"/>
    <col min="7" max="7" width="19.125" style="411" bestFit="1" customWidth="1"/>
    <col min="8" max="30" width="31.375" bestFit="1" customWidth="1"/>
    <col min="31" max="31" width="10.25" bestFit="1" customWidth="1"/>
    <col min="33" max="33" width="43.375" customWidth="1"/>
    <col min="34" max="34" width="27.25" customWidth="1"/>
    <col min="36" max="36" width="13.25" customWidth="1"/>
  </cols>
  <sheetData>
    <row r="4" spans="3:60">
      <c r="D4" s="91" t="s">
        <v>1805</v>
      </c>
      <c r="E4" s="91" t="s">
        <v>1806</v>
      </c>
    </row>
    <row r="5" spans="3:60" ht="15">
      <c r="C5" s="22" t="s">
        <v>1807</v>
      </c>
      <c r="D5" s="24" t="s">
        <v>1749</v>
      </c>
      <c r="E5" s="24">
        <v>100000</v>
      </c>
      <c r="AH5" s="91" t="s">
        <v>1805</v>
      </c>
      <c r="AI5" s="91"/>
    </row>
    <row r="6" spans="3:60" ht="15">
      <c r="AG6" s="22" t="s">
        <v>1808</v>
      </c>
      <c r="AH6" t="s">
        <v>1754</v>
      </c>
      <c r="AI6" s="24"/>
    </row>
    <row r="9" spans="3:60" ht="15">
      <c r="C9" s="66" t="s">
        <v>605</v>
      </c>
      <c r="D9" s="469"/>
      <c r="E9" s="469"/>
      <c r="F9" s="470"/>
      <c r="G9" s="470"/>
      <c r="H9" s="66"/>
      <c r="I9" s="66"/>
      <c r="J9" s="66"/>
      <c r="K9" s="66"/>
      <c r="L9" s="66"/>
      <c r="M9" s="66"/>
      <c r="N9" s="66"/>
      <c r="O9" s="66"/>
      <c r="P9" s="66"/>
      <c r="Q9" s="66"/>
      <c r="R9" s="66"/>
      <c r="S9" s="66"/>
      <c r="T9" s="66"/>
      <c r="U9" s="66"/>
      <c r="V9" s="66"/>
      <c r="W9" s="66"/>
      <c r="X9" s="66"/>
      <c r="Y9" s="66"/>
      <c r="Z9" s="66"/>
      <c r="AA9" s="66"/>
      <c r="AB9" s="66"/>
      <c r="AC9" s="66"/>
      <c r="AD9" s="66"/>
      <c r="AG9" s="66" t="s">
        <v>607</v>
      </c>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row>
    <row r="10" spans="3:60" ht="15">
      <c r="C10" s="383"/>
      <c r="D10" s="384"/>
      <c r="E10" s="385"/>
      <c r="F10" s="386"/>
      <c r="G10" s="386"/>
      <c r="H10" s="337"/>
    </row>
    <row r="11" spans="3:60" ht="15">
      <c r="C11" s="387" t="s">
        <v>1574</v>
      </c>
      <c r="D11" s="388" t="s">
        <v>1529</v>
      </c>
      <c r="E11" s="389" t="s">
        <v>1531</v>
      </c>
      <c r="F11" s="389" t="s">
        <v>21</v>
      </c>
      <c r="G11" s="390" t="s">
        <v>1596</v>
      </c>
      <c r="H11" s="391">
        <v>2028</v>
      </c>
      <c r="I11" s="391">
        <v>2029</v>
      </c>
      <c r="J11" s="391">
        <v>2030</v>
      </c>
      <c r="K11" s="391">
        <v>2031</v>
      </c>
      <c r="L11" s="391">
        <v>2032</v>
      </c>
      <c r="M11" s="391">
        <v>2033</v>
      </c>
      <c r="N11" s="391">
        <v>2034</v>
      </c>
      <c r="O11" s="391">
        <v>2035</v>
      </c>
      <c r="P11" s="392">
        <v>2036</v>
      </c>
      <c r="Q11" s="392">
        <v>2037</v>
      </c>
      <c r="R11" s="391">
        <v>2038</v>
      </c>
      <c r="S11" s="391">
        <v>2039</v>
      </c>
      <c r="T11" s="391">
        <v>2040</v>
      </c>
      <c r="U11" s="391">
        <v>2041</v>
      </c>
      <c r="V11" s="391">
        <v>2042</v>
      </c>
      <c r="W11" s="391">
        <v>2043</v>
      </c>
      <c r="X11" s="391">
        <v>2044</v>
      </c>
      <c r="Y11" s="391">
        <v>2045</v>
      </c>
      <c r="Z11" s="392">
        <v>2046</v>
      </c>
      <c r="AA11" s="392">
        <v>2047</v>
      </c>
      <c r="AB11" s="391">
        <v>2048</v>
      </c>
      <c r="AC11" s="391">
        <v>2049</v>
      </c>
      <c r="AD11" s="391">
        <v>2050</v>
      </c>
      <c r="AG11" s="387" t="s">
        <v>1574</v>
      </c>
      <c r="AH11" s="399" t="s">
        <v>1529</v>
      </c>
      <c r="AI11" s="389" t="s">
        <v>1531</v>
      </c>
      <c r="AJ11" s="389" t="s">
        <v>21</v>
      </c>
      <c r="AK11" s="390" t="s">
        <v>1596</v>
      </c>
      <c r="AL11" s="391">
        <v>2028</v>
      </c>
      <c r="AM11" s="391">
        <v>2029</v>
      </c>
      <c r="AN11" s="391">
        <v>2030</v>
      </c>
      <c r="AO11" s="391">
        <v>2031</v>
      </c>
      <c r="AP11" s="391">
        <v>2032</v>
      </c>
      <c r="AQ11" s="391">
        <v>2033</v>
      </c>
      <c r="AR11" s="391">
        <v>2034</v>
      </c>
      <c r="AS11" s="391">
        <v>2035</v>
      </c>
      <c r="AT11" s="392">
        <v>2036</v>
      </c>
      <c r="AU11" s="392">
        <v>2037</v>
      </c>
      <c r="AV11" s="391">
        <v>2038</v>
      </c>
      <c r="AW11" s="391">
        <v>2039</v>
      </c>
      <c r="AX11" s="391">
        <v>2040</v>
      </c>
      <c r="AY11" s="391">
        <v>2041</v>
      </c>
      <c r="AZ11" s="391">
        <v>2042</v>
      </c>
      <c r="BA11" s="391">
        <v>2043</v>
      </c>
      <c r="BB11" s="391">
        <v>2044</v>
      </c>
      <c r="BC11" s="391">
        <v>2045</v>
      </c>
      <c r="BD11" s="392">
        <v>2046</v>
      </c>
      <c r="BE11" s="392">
        <v>2047</v>
      </c>
      <c r="BF11" s="391">
        <v>2048</v>
      </c>
      <c r="BG11" s="391">
        <v>2049</v>
      </c>
      <c r="BH11" s="391">
        <v>2050</v>
      </c>
    </row>
    <row r="12" spans="3:60" ht="15">
      <c r="C12" s="337" t="s">
        <v>1809</v>
      </c>
      <c r="D12" s="393"/>
      <c r="E12" s="385" t="s">
        <v>1810</v>
      </c>
      <c r="F12" s="394" t="s">
        <v>1811</v>
      </c>
      <c r="G12" s="386" t="s">
        <v>1696</v>
      </c>
      <c r="H12" s="395">
        <f>Data!$D$5*(1-INDEX(Data!$B$12:$AA$22,MATCH($C12,Data!$B$12:$B$22,0),MATCH(H$11,Data!$B$12:$AA$12,0)))</f>
        <v>89.567999999999998</v>
      </c>
      <c r="I12" s="395">
        <f>Data!$D$5*(1-INDEX(Data!$B$12:$AA$22,MATCH($C12,Data!$B$12:$B$22,0),MATCH(I$11,Data!$B$12:$AA$12,0)))</f>
        <v>87.701999999999998</v>
      </c>
      <c r="J12" s="395">
        <f>Data!$D$5*(1-INDEX(Data!$B$12:$AA$22,MATCH($C12,Data!$B$12:$B$22,0),MATCH(J$11,Data!$B$12:$AA$12,0)))</f>
        <v>85.835999999999999</v>
      </c>
      <c r="K12" s="395">
        <f>Data!$D$5*(1-INDEX(Data!$B$12:$AA$22,MATCH($C12,Data!$B$12:$B$22,0),MATCH(K$11,Data!$B$12:$AA$12,0)))</f>
        <v>81.730800000000002</v>
      </c>
      <c r="L12" s="395">
        <f>Data!$D$5*(1-INDEX(Data!$B$12:$AA$22,MATCH($C12,Data!$B$12:$B$22,0),MATCH(L$11,Data!$B$12:$AA$12,0)))</f>
        <v>77.625599999999991</v>
      </c>
      <c r="M12" s="395">
        <f>Data!$D$5*(1-INDEX(Data!$B$12:$AA$22,MATCH($C12,Data!$B$12:$B$22,0),MATCH(M$11,Data!$B$12:$AA$12,0)))</f>
        <v>73.520399999999995</v>
      </c>
      <c r="N12" s="395">
        <f>Data!$D$5*(1-INDEX(Data!$B$12:$AA$22,MATCH($C12,Data!$B$12:$B$22,0),MATCH(N$11,Data!$B$12:$AA$12,0)))</f>
        <v>69.415199999999999</v>
      </c>
      <c r="O12" s="395">
        <f>Data!$D$5*(1-INDEX(Data!$B$12:$AA$22,MATCH($C12,Data!$B$12:$B$22,0),MATCH(O$11,Data!$B$12:$AA$12,0)))</f>
        <v>65.309999999998936</v>
      </c>
      <c r="P12" s="395">
        <f>Data!$D$5*(1-INDEX(Data!$B$12:$AA$22,MATCH($C12,Data!$B$12:$B$22,0),MATCH(P$11,Data!$B$12:$AA$12,0)))</f>
        <v>58.778999999999577</v>
      </c>
      <c r="Q12" s="395">
        <f>Data!$D$5*(1-INDEX(Data!$B$12:$AA$22,MATCH($C12,Data!$B$12:$B$22,0),MATCH(Q$11,Data!$B$12:$AA$12,0)))</f>
        <v>52.248000000000211</v>
      </c>
      <c r="R12" s="395">
        <f>Data!$D$5*(1-INDEX(Data!$B$12:$AA$22,MATCH($C12,Data!$B$12:$B$22,0),MATCH(R$11,Data!$B$12:$AA$12,0)))</f>
        <v>45.716999999998194</v>
      </c>
      <c r="S12" s="395">
        <f>Data!$D$5*(1-INDEX(Data!$B$12:$AA$22,MATCH($C12,Data!$B$12:$B$22,0),MATCH(S$11,Data!$B$12:$AA$12,0)))</f>
        <v>39.185999999998835</v>
      </c>
      <c r="T12" s="395">
        <f>Data!$D$5*(1-INDEX(Data!$B$12:$AA$22,MATCH($C12,Data!$B$12:$B$22,0),MATCH(T$11,Data!$B$12:$AA$12,0)))</f>
        <v>32.654999999999468</v>
      </c>
      <c r="U12" s="395">
        <f>Data!$D$5*(1-INDEX(Data!$B$12:$AA$22,MATCH($C12,Data!$B$12:$B$22,0),MATCH(U$11,Data!$B$12:$AA$12,0)))</f>
        <v>29.856000000000027</v>
      </c>
      <c r="V12" s="395">
        <f>Data!$D$5*(1-INDEX(Data!$B$12:$AA$22,MATCH($C12,Data!$B$12:$B$22,0),MATCH(V$11,Data!$B$12:$AA$12,0)))</f>
        <v>27.05699999999992</v>
      </c>
      <c r="W12" s="395">
        <f>Data!$D$5*(1-INDEX(Data!$B$12:$AA$22,MATCH($C12,Data!$B$12:$B$22,0),MATCH(W$11,Data!$B$12:$AA$12,0)))</f>
        <v>24.257999999999814</v>
      </c>
      <c r="X12" s="395">
        <f>Data!$D$5*(1-INDEX(Data!$B$12:$AA$22,MATCH($C12,Data!$B$12:$B$22,0),MATCH(X$11,Data!$B$12:$AA$12,0)))</f>
        <v>21.458999999999708</v>
      </c>
      <c r="Y12" s="395">
        <f>Data!$D$5*(1-INDEX(Data!$B$12:$AA$22,MATCH($C12,Data!$B$12:$B$22,0),MATCH(Y$11,Data!$B$12:$AA$12,0)))</f>
        <v>18.660000000000263</v>
      </c>
      <c r="Z12" s="395">
        <f>Data!$D$5*(1-INDEX(Data!$B$12:$AA$22,MATCH($C12,Data!$B$12:$B$22,0),MATCH(Z$11,Data!$B$12:$AA$12,0)))</f>
        <v>15.861000000000159</v>
      </c>
      <c r="AA12" s="395">
        <f>Data!$D$5*(1-INDEX(Data!$B$12:$AA$22,MATCH($C12,Data!$B$12:$B$22,0),MATCH(AA$11,Data!$B$12:$AA$12,0)))</f>
        <v>13.062000000000053</v>
      </c>
      <c r="AB12" s="395">
        <f>Data!$D$5*(1-INDEX(Data!$B$12:$AA$22,MATCH($C12,Data!$B$12:$B$22,0),MATCH(AB$11,Data!$B$12:$AA$12,0)))</f>
        <v>10.262999999999947</v>
      </c>
      <c r="AC12" s="395">
        <f>Data!$D$5*(1-INDEX(Data!$B$12:$AA$22,MATCH($C12,Data!$B$12:$B$22,0),MATCH(AC$11,Data!$B$12:$AA$12,0)))</f>
        <v>7.4639999999998405</v>
      </c>
      <c r="AD12" s="395">
        <f>Data!$D$5*(1-INDEX(Data!$B$12:$AA$22,MATCH($C12,Data!$B$12:$B$22,0),MATCH(AD$11,Data!$B$12:$AA$12,0)))</f>
        <v>4.6649999999997345</v>
      </c>
      <c r="AF12" s="26"/>
      <c r="AG12" s="337" t="s">
        <v>1809</v>
      </c>
      <c r="AH12" s="393"/>
      <c r="AI12" s="385" t="s">
        <v>1810</v>
      </c>
      <c r="AJ12" s="394" t="s">
        <v>1811</v>
      </c>
      <c r="AK12" s="386" t="s">
        <v>1696</v>
      </c>
      <c r="AL12" s="395">
        <f>Data!$D$5*(1-INDEX(Data!$B$12:$AA$22,MATCH($C12,Data!$B$12:$B$22,0),MATCH(AL$11,Data!$B$12:$AA$12,0)))</f>
        <v>89.567999999999998</v>
      </c>
      <c r="AM12" s="395">
        <f>Data!$D$5*(1-INDEX(Data!$B$12:$AA$22,MATCH($C12,Data!$B$12:$B$22,0),MATCH(AM$11,Data!$B$12:$AA$12,0)))</f>
        <v>87.701999999999998</v>
      </c>
      <c r="AN12" s="395">
        <f>Data!$D$5*(1-INDEX(Data!$B$12:$AA$22,MATCH($C12,Data!$B$12:$B$22,0),MATCH(AN$11,Data!$B$12:$AA$12,0)))</f>
        <v>85.835999999999999</v>
      </c>
      <c r="AO12" s="395">
        <f>Data!$D$5*(1-INDEX(Data!$B$12:$AA$22,MATCH($C12,Data!$B$12:$B$22,0),MATCH(AO$11,Data!$B$12:$AA$12,0)))</f>
        <v>81.730800000000002</v>
      </c>
      <c r="AP12" s="395">
        <f>Data!$D$5*(1-INDEX(Data!$B$12:$AA$22,MATCH($C12,Data!$B$12:$B$22,0),MATCH(AP$11,Data!$B$12:$AA$12,0)))</f>
        <v>77.625599999999991</v>
      </c>
      <c r="AQ12" s="395">
        <f>Data!$D$5*(1-INDEX(Data!$B$12:$AA$22,MATCH($C12,Data!$B$12:$B$22,0),MATCH(AQ$11,Data!$B$12:$AA$12,0)))</f>
        <v>73.520399999999995</v>
      </c>
      <c r="AR12" s="395">
        <f>Data!$D$5*(1-INDEX(Data!$B$12:$AA$22,MATCH($C12,Data!$B$12:$B$22,0),MATCH(AR$11,Data!$B$12:$AA$12,0)))</f>
        <v>69.415199999999999</v>
      </c>
      <c r="AS12" s="395">
        <f>Data!$D$5*(1-INDEX(Data!$B$12:$AA$22,MATCH($C12,Data!$B$12:$B$22,0),MATCH(AS$11,Data!$B$12:$AA$12,0)))</f>
        <v>65.309999999998936</v>
      </c>
      <c r="AT12" s="395">
        <f>Data!$D$5*(1-INDEX(Data!$B$12:$AA$22,MATCH($C12,Data!$B$12:$B$22,0),MATCH(AT$11,Data!$B$12:$AA$12,0)))</f>
        <v>58.778999999999577</v>
      </c>
      <c r="AU12" s="395">
        <f>Data!$D$5*(1-INDEX(Data!$B$12:$AA$22,MATCH($C12,Data!$B$12:$B$22,0),MATCH(AU$11,Data!$B$12:$AA$12,0)))</f>
        <v>52.248000000000211</v>
      </c>
      <c r="AV12" s="395">
        <f>Data!$D$5*(1-INDEX(Data!$B$12:$AA$22,MATCH($C12,Data!$B$12:$B$22,0),MATCH(AV$11,Data!$B$12:$AA$12,0)))</f>
        <v>45.716999999998194</v>
      </c>
      <c r="AW12" s="395">
        <f>Data!$D$5*(1-INDEX(Data!$B$12:$AA$22,MATCH($C12,Data!$B$12:$B$22,0),MATCH(AW$11,Data!$B$12:$AA$12,0)))</f>
        <v>39.185999999998835</v>
      </c>
      <c r="AX12" s="395">
        <f>Data!$D$5*(1-INDEX(Data!$B$12:$AA$22,MATCH($C12,Data!$B$12:$B$22,0),MATCH(AX$11,Data!$B$12:$AA$12,0)))</f>
        <v>32.654999999999468</v>
      </c>
      <c r="AY12" s="395">
        <f>Data!$D$5*(1-INDEX(Data!$B$12:$AA$22,MATCH($C12,Data!$B$12:$B$22,0),MATCH(AY$11,Data!$B$12:$AA$12,0)))</f>
        <v>29.856000000000027</v>
      </c>
      <c r="AZ12" s="395">
        <f>Data!$D$5*(1-INDEX(Data!$B$12:$AA$22,MATCH($C12,Data!$B$12:$B$22,0),MATCH(AZ$11,Data!$B$12:$AA$12,0)))</f>
        <v>27.05699999999992</v>
      </c>
      <c r="BA12" s="395">
        <f>Data!$D$5*(1-INDEX(Data!$B$12:$AA$22,MATCH($C12,Data!$B$12:$B$22,0),MATCH(BA$11,Data!$B$12:$AA$12,0)))</f>
        <v>24.257999999999814</v>
      </c>
      <c r="BB12" s="395">
        <f>Data!$D$5*(1-INDEX(Data!$B$12:$AA$22,MATCH($C12,Data!$B$12:$B$22,0),MATCH(BB$11,Data!$B$12:$AA$12,0)))</f>
        <v>21.458999999999708</v>
      </c>
      <c r="BC12" s="395">
        <f>Data!$D$5*(1-INDEX(Data!$B$12:$AA$22,MATCH($C12,Data!$B$12:$B$22,0),MATCH(BC$11,Data!$B$12:$AA$12,0)))</f>
        <v>18.660000000000263</v>
      </c>
      <c r="BD12" s="395">
        <f>Data!$D$5*(1-INDEX(Data!$B$12:$AA$22,MATCH($C12,Data!$B$12:$B$22,0),MATCH(BD$11,Data!$B$12:$AA$12,0)))</f>
        <v>15.861000000000159</v>
      </c>
      <c r="BE12" s="395">
        <f>Data!$D$5*(1-INDEX(Data!$B$12:$AA$22,MATCH($C12,Data!$B$12:$B$22,0),MATCH(BE$11,Data!$B$12:$AA$12,0)))</f>
        <v>13.062000000000053</v>
      </c>
      <c r="BF12" s="395">
        <f>Data!$D$5*(1-INDEX(Data!$B$12:$AA$22,MATCH($C12,Data!$B$12:$B$22,0),MATCH(BF$11,Data!$B$12:$AA$12,0)))</f>
        <v>10.262999999999947</v>
      </c>
      <c r="BG12" s="395">
        <f>Data!$D$5*(1-INDEX(Data!$B$12:$AA$22,MATCH($C12,Data!$B$12:$B$22,0),MATCH(BG$11,Data!$B$12:$AA$12,0)))</f>
        <v>7.4639999999998405</v>
      </c>
      <c r="BH12" s="395">
        <f>Data!$D$5*(1-INDEX(Data!$B$12:$AA$22,MATCH($C12,Data!$B$12:$B$22,0),MATCH(BH$11,Data!$B$12:$AA$12,0)))</f>
        <v>4.6649999999997345</v>
      </c>
    </row>
    <row r="13" spans="3:60" ht="15">
      <c r="C13" s="337" t="s">
        <v>1812</v>
      </c>
      <c r="D13" s="42"/>
      <c r="E13" s="385" t="s">
        <v>1810</v>
      </c>
      <c r="F13" s="394"/>
      <c r="G13" s="386" t="s">
        <v>1696</v>
      </c>
      <c r="H13" s="396">
        <f>Data!$D$5*(1-INDEX(Data!$B$12:$AA$22,MATCH($C13,Data!$B$12:$B$22,0),MATCH(H$11,Data!$B$12:$AA$12,0)))</f>
        <v>77.438999999999993</v>
      </c>
      <c r="I13" s="396">
        <f>Data!$D$5*(1-INDEX(Data!$B$12:$AA$22,MATCH($C13,Data!$B$12:$B$22,0),MATCH(I$11,Data!$B$12:$AA$12,0)))</f>
        <v>75.572999999999993</v>
      </c>
      <c r="J13" s="396">
        <f>Data!$D$5*(1-INDEX(Data!$B$12:$AA$22,MATCH($C13,Data!$B$12:$B$22,0),MATCH(J$11,Data!$B$12:$AA$12,0)))</f>
        <v>73.707000000000008</v>
      </c>
      <c r="K13" s="396">
        <f>Data!$D$5*(1-INDEX(Data!$B$12:$AA$22,MATCH($C13,Data!$B$12:$B$22,0),MATCH(K$11,Data!$B$12:$AA$12,0)))</f>
        <v>69.601799999999997</v>
      </c>
      <c r="L13" s="396">
        <f>Data!$D$5*(1-INDEX(Data!$B$12:$AA$22,MATCH($C13,Data!$B$12:$B$22,0),MATCH(L$11,Data!$B$12:$AA$12,0)))</f>
        <v>65.496600000000001</v>
      </c>
      <c r="M13" s="396">
        <f>Data!$D$5*(1-INDEX(Data!$B$12:$AA$22,MATCH($C13,Data!$B$12:$B$22,0),MATCH(M$11,Data!$B$12:$AA$12,0)))</f>
        <v>61.391400000000004</v>
      </c>
      <c r="N13" s="396">
        <f>Data!$D$5*(1-INDEX(Data!$B$12:$AA$22,MATCH($C13,Data!$B$12:$B$22,0),MATCH(N$11,Data!$B$12:$AA$12,0)))</f>
        <v>57.286199999999994</v>
      </c>
      <c r="O13" s="396">
        <f>Data!$D$5*(1-INDEX(Data!$B$12:$AA$22,MATCH($C13,Data!$B$12:$B$22,0),MATCH(O$11,Data!$B$12:$AA$12,0)))</f>
        <v>53.180999999998939</v>
      </c>
      <c r="P13" s="396">
        <f>Data!$D$5*(1-INDEX(Data!$B$12:$AA$22,MATCH($C13,Data!$B$12:$B$22,0),MATCH(P$11,Data!$B$12:$AA$12,0)))</f>
        <v>46.649999999999572</v>
      </c>
      <c r="Q13" s="396">
        <f>Data!$D$5*(1-INDEX(Data!$B$12:$AA$22,MATCH($C13,Data!$B$12:$B$22,0),MATCH(Q$11,Data!$B$12:$AA$12,0)))</f>
        <v>40.119000000000213</v>
      </c>
      <c r="R13" s="396">
        <f>Data!$D$5*(1-INDEX(Data!$B$12:$AA$22,MATCH($C13,Data!$B$12:$B$22,0),MATCH(R$11,Data!$B$12:$AA$12,0)))</f>
        <v>33.587999999998196</v>
      </c>
      <c r="S13" s="396">
        <f>Data!$D$5*(1-INDEX(Data!$B$12:$AA$22,MATCH($C13,Data!$B$12:$B$22,0),MATCH(S$11,Data!$B$12:$AA$12,0)))</f>
        <v>27.056999999998833</v>
      </c>
      <c r="T13" s="396">
        <f>Data!$D$5*(1-INDEX(Data!$B$12:$AA$22,MATCH($C13,Data!$B$12:$B$22,0),MATCH(T$11,Data!$B$12:$AA$12,0)))</f>
        <v>20.525999999999467</v>
      </c>
      <c r="U13" s="396">
        <f>Data!$D$5*(1-INDEX(Data!$B$12:$AA$22,MATCH($C13,Data!$B$12:$B$22,0),MATCH(U$11,Data!$B$12:$AA$12,0)))</f>
        <v>17.727000000000025</v>
      </c>
      <c r="V13" s="396">
        <f>Data!$D$5*(1-INDEX(Data!$B$12:$AA$22,MATCH($C13,Data!$B$12:$B$22,0),MATCH(V$11,Data!$B$12:$AA$12,0)))</f>
        <v>14.927999999999919</v>
      </c>
      <c r="W13" s="396">
        <f>Data!$D$5*(1-INDEX(Data!$B$12:$AA$22,MATCH($C13,Data!$B$12:$B$22,0),MATCH(W$11,Data!$B$12:$AA$12,0)))</f>
        <v>12.128999999999813</v>
      </c>
      <c r="X13" s="396">
        <f>Data!$D$5*(1-INDEX(Data!$B$12:$AA$22,MATCH($C13,Data!$B$12:$B$22,0),MATCH(X$11,Data!$B$12:$AA$12,0)))</f>
        <v>9.329999999999707</v>
      </c>
      <c r="Y13" s="396">
        <f>Data!$D$5*(1-INDEX(Data!$B$12:$AA$22,MATCH($C13,Data!$B$12:$B$22,0),MATCH(Y$11,Data!$B$12:$AA$12,0)))</f>
        <v>6.5310000000002644</v>
      </c>
      <c r="Z13" s="396">
        <f>Data!$D$5*(1-INDEX(Data!$B$12:$AA$22,MATCH($C13,Data!$B$12:$B$22,0),MATCH(Z$11,Data!$B$12:$AA$12,0)))</f>
        <v>3.7320000000001587</v>
      </c>
      <c r="AA13" s="396">
        <f>Data!$D$5*(1-INDEX(Data!$B$12:$AA$22,MATCH($C13,Data!$B$12:$B$22,0),MATCH(AA$11,Data!$B$12:$AA$12,0)))</f>
        <v>0.93300000000005257</v>
      </c>
      <c r="AB13" s="396">
        <f>Data!$D$5*(1-INDEX(Data!$B$12:$AA$22,MATCH($C13,Data!$B$12:$B$22,0),MATCH(AB$11,Data!$B$12:$AA$12,0)))</f>
        <v>0</v>
      </c>
      <c r="AC13" s="396">
        <f>Data!$D$5*(1-INDEX(Data!$B$12:$AA$22,MATCH($C13,Data!$B$12:$B$22,0),MATCH(AC$11,Data!$B$12:$AA$12,0)))</f>
        <v>0</v>
      </c>
      <c r="AD13" s="396">
        <f>Data!$D$5*(1-INDEX(Data!$B$12:$AA$22,MATCH($C13,Data!$B$12:$B$22,0),MATCH(AD$11,Data!$B$12:$AA$12,0)))</f>
        <v>0</v>
      </c>
      <c r="AF13" s="26"/>
      <c r="AG13" s="337" t="s">
        <v>1812</v>
      </c>
      <c r="AH13" s="42"/>
      <c r="AI13" s="385" t="s">
        <v>1810</v>
      </c>
      <c r="AJ13" s="394"/>
      <c r="AK13" s="386" t="s">
        <v>1696</v>
      </c>
      <c r="AL13" s="396">
        <f>Data!$D$5*(1-INDEX(Data!$B$12:$AA$22,MATCH($C13,Data!$B$12:$B$22,0),MATCH(AL$11,Data!$B$12:$AA$12,0)))</f>
        <v>77.438999999999993</v>
      </c>
      <c r="AM13" s="396">
        <f>Data!$D$5*(1-INDEX(Data!$B$12:$AA$22,MATCH($C13,Data!$B$12:$B$22,0),MATCH(AM$11,Data!$B$12:$AA$12,0)))</f>
        <v>75.572999999999993</v>
      </c>
      <c r="AN13" s="396">
        <f>Data!$D$5*(1-INDEX(Data!$B$12:$AA$22,MATCH($C13,Data!$B$12:$B$22,0),MATCH(AN$11,Data!$B$12:$AA$12,0)))</f>
        <v>73.707000000000008</v>
      </c>
      <c r="AO13" s="396">
        <f>Data!$D$5*(1-INDEX(Data!$B$12:$AA$22,MATCH($C13,Data!$B$12:$B$22,0),MATCH(AO$11,Data!$B$12:$AA$12,0)))</f>
        <v>69.601799999999997</v>
      </c>
      <c r="AP13" s="396">
        <f>Data!$D$5*(1-INDEX(Data!$B$12:$AA$22,MATCH($C13,Data!$B$12:$B$22,0),MATCH(AP$11,Data!$B$12:$AA$12,0)))</f>
        <v>65.496600000000001</v>
      </c>
      <c r="AQ13" s="396">
        <f>Data!$D$5*(1-INDEX(Data!$B$12:$AA$22,MATCH($C13,Data!$B$12:$B$22,0),MATCH(AQ$11,Data!$B$12:$AA$12,0)))</f>
        <v>61.391400000000004</v>
      </c>
      <c r="AR13" s="396">
        <f>Data!$D$5*(1-INDEX(Data!$B$12:$AA$22,MATCH($C13,Data!$B$12:$B$22,0),MATCH(AR$11,Data!$B$12:$AA$12,0)))</f>
        <v>57.286199999999994</v>
      </c>
      <c r="AS13" s="396">
        <f>Data!$D$5*(1-INDEX(Data!$B$12:$AA$22,MATCH($C13,Data!$B$12:$B$22,0),MATCH(AS$11,Data!$B$12:$AA$12,0)))</f>
        <v>53.180999999998939</v>
      </c>
      <c r="AT13" s="396">
        <f>Data!$D$5*(1-INDEX(Data!$B$12:$AA$22,MATCH($C13,Data!$B$12:$B$22,0),MATCH(AT$11,Data!$B$12:$AA$12,0)))</f>
        <v>46.649999999999572</v>
      </c>
      <c r="AU13" s="396">
        <f>Data!$D$5*(1-INDEX(Data!$B$12:$AA$22,MATCH($C13,Data!$B$12:$B$22,0),MATCH(AU$11,Data!$B$12:$AA$12,0)))</f>
        <v>40.119000000000213</v>
      </c>
      <c r="AV13" s="396">
        <f>Data!$D$5*(1-INDEX(Data!$B$12:$AA$22,MATCH($C13,Data!$B$12:$B$22,0),MATCH(AV$11,Data!$B$12:$AA$12,0)))</f>
        <v>33.587999999998196</v>
      </c>
      <c r="AW13" s="396">
        <f>Data!$D$5*(1-INDEX(Data!$B$12:$AA$22,MATCH($C13,Data!$B$12:$B$22,0),MATCH(AW$11,Data!$B$12:$AA$12,0)))</f>
        <v>27.056999999998833</v>
      </c>
      <c r="AX13" s="396">
        <f>Data!$D$5*(1-INDEX(Data!$B$12:$AA$22,MATCH($C13,Data!$B$12:$B$22,0),MATCH(AX$11,Data!$B$12:$AA$12,0)))</f>
        <v>20.525999999999467</v>
      </c>
      <c r="AY13" s="396">
        <f>Data!$D$5*(1-INDEX(Data!$B$12:$AA$22,MATCH($C13,Data!$B$12:$B$22,0),MATCH(AY$11,Data!$B$12:$AA$12,0)))</f>
        <v>17.727000000000025</v>
      </c>
      <c r="AZ13" s="396">
        <f>Data!$D$5*(1-INDEX(Data!$B$12:$AA$22,MATCH($C13,Data!$B$12:$B$22,0),MATCH(AZ$11,Data!$B$12:$AA$12,0)))</f>
        <v>14.927999999999919</v>
      </c>
      <c r="BA13" s="396">
        <f>Data!$D$5*(1-INDEX(Data!$B$12:$AA$22,MATCH($C13,Data!$B$12:$B$22,0),MATCH(BA$11,Data!$B$12:$AA$12,0)))</f>
        <v>12.128999999999813</v>
      </c>
      <c r="BB13" s="396">
        <f>Data!$D$5*(1-INDEX(Data!$B$12:$AA$22,MATCH($C13,Data!$B$12:$B$22,0),MATCH(BB$11,Data!$B$12:$AA$12,0)))</f>
        <v>9.329999999999707</v>
      </c>
      <c r="BC13" s="396">
        <f>Data!$D$5*(1-INDEX(Data!$B$12:$AA$22,MATCH($C13,Data!$B$12:$B$22,0),MATCH(BC$11,Data!$B$12:$AA$12,0)))</f>
        <v>6.5310000000002644</v>
      </c>
      <c r="BD13" s="396">
        <f>Data!$D$5*(1-INDEX(Data!$B$12:$AA$22,MATCH($C13,Data!$B$12:$B$22,0),MATCH(BD$11,Data!$B$12:$AA$12,0)))</f>
        <v>3.7320000000001587</v>
      </c>
      <c r="BE13" s="396">
        <f>Data!$D$5*(1-INDEX(Data!$B$12:$AA$22,MATCH($C13,Data!$B$12:$B$22,0),MATCH(BE$11,Data!$B$12:$AA$12,0)))</f>
        <v>0.93300000000005257</v>
      </c>
      <c r="BF13" s="396">
        <f>Data!$D$5*(1-INDEX(Data!$B$12:$AA$22,MATCH($C13,Data!$B$12:$B$22,0),MATCH(BF$11,Data!$B$12:$AA$12,0)))</f>
        <v>0</v>
      </c>
      <c r="BG13" s="396">
        <f>Data!$D$5*(1-INDEX(Data!$B$12:$AA$22,MATCH($C13,Data!$B$12:$B$22,0),MATCH(BG$11,Data!$B$12:$AA$12,0)))</f>
        <v>0</v>
      </c>
      <c r="BH13" s="396">
        <f>Data!$D$5*(1-INDEX(Data!$B$12:$AA$22,MATCH($C13,Data!$B$12:$B$22,0),MATCH(BH$11,Data!$B$12:$AA$12,0)))</f>
        <v>0</v>
      </c>
    </row>
    <row r="14" spans="3:60">
      <c r="C14" s="337" t="s">
        <v>1813</v>
      </c>
      <c r="D14" s="397" t="str">
        <f>'CCC Summary (main)'!C16</f>
        <v>No Reward</v>
      </c>
      <c r="E14" s="385" t="s">
        <v>1814</v>
      </c>
      <c r="F14" s="386"/>
      <c r="G14" s="386" t="s">
        <v>1815</v>
      </c>
      <c r="H14" s="398">
        <f>IF(OR(AND(H11&lt;2035,H42&lt;=19),AND(H11&gt;2034,H42&lt;=14)),INDEX(Data!$B$12:$AA$22,MATCH($D14,Data!$B$12:$B$22,0),MATCH(H$11,Data!$B$12:$AA$12,0)),0)</f>
        <v>0</v>
      </c>
      <c r="I14" s="398">
        <f>IF(OR(AND(I11&lt;2035,I42&lt;=19),AND(I11&gt;2034,I42&lt;=14)),INDEX(Data!$B$12:$AA$22,MATCH($D14,Data!$B$12:$B$22,0),MATCH(I$11,Data!$B$12:$AA$12,0)),0)</f>
        <v>0</v>
      </c>
      <c r="J14" s="398">
        <f>IF(OR(AND(J11&lt;2035,J42&lt;=19),AND(J11&gt;2034,J42&lt;=14)),INDEX(Data!$B$12:$AA$22,MATCH($D14,Data!$B$12:$B$22,0),MATCH(J$11,Data!$B$12:$AA$12,0)),0)</f>
        <v>0</v>
      </c>
      <c r="K14" s="398">
        <f>IF(OR(AND(K11&lt;2035,K42&lt;=19),AND(K11&gt;2034,K42&lt;=14)),INDEX(Data!$B$12:$AA$22,MATCH($D14,Data!$B$12:$B$22,0),MATCH(K$11,Data!$B$12:$AA$12,0)),0)</f>
        <v>0</v>
      </c>
      <c r="L14" s="398">
        <f>IF(OR(AND(L11&lt;2035,L42&lt;=19),AND(L11&gt;2034,L42&lt;=14)),INDEX(Data!$B$12:$AA$22,MATCH($D14,Data!$B$12:$B$22,0),MATCH(L$11,Data!$B$12:$AA$12,0)),0)</f>
        <v>0</v>
      </c>
      <c r="M14" s="398">
        <f>IF(OR(AND(M11&lt;2035,M42&lt;=19),AND(M11&gt;2034,M42&lt;=14)),INDEX(Data!$B$12:$AA$22,MATCH($D14,Data!$B$12:$B$22,0),MATCH(M$11,Data!$B$12:$AA$12,0)),0)</f>
        <v>0</v>
      </c>
      <c r="N14" s="398">
        <f>IF(OR(AND(N11&lt;2035,N42&lt;=19),AND(N11&gt;2034,N42&lt;=14)),INDEX(Data!$B$12:$AA$22,MATCH($D14,Data!$B$12:$B$22,0),MATCH(N$11,Data!$B$12:$AA$12,0)),0)</f>
        <v>0</v>
      </c>
      <c r="O14" s="398">
        <f>IF(OR(AND(O11&lt;2035,O42&lt;=19),AND(O11&gt;2034,O42&lt;=14)),INDEX(Data!$B$12:$AA$22,MATCH($D14,Data!$B$12:$B$22,0),MATCH(O$11,Data!$B$12:$AA$12,0)),0)</f>
        <v>0</v>
      </c>
      <c r="P14" s="398">
        <f>IF(OR(AND(P11&lt;2035,P42&lt;=19),AND(P11&gt;2034,P42&lt;=14)),INDEX(Data!$B$12:$AA$22,MATCH($D14,Data!$B$12:$B$22,0),MATCH(P$11,Data!$B$12:$AA$12,0)),0)</f>
        <v>0</v>
      </c>
      <c r="Q14" s="398">
        <f>IF(OR(AND(Q11&lt;2035,Q42&lt;=19),AND(Q11&gt;2034,Q42&lt;=14)),INDEX(Data!$B$12:$AA$22,MATCH($D14,Data!$B$12:$B$22,0),MATCH(Q$11,Data!$B$12:$AA$12,0)),0)</f>
        <v>0</v>
      </c>
      <c r="R14" s="398">
        <f>IF(OR(AND(R11&lt;2035,R42&lt;=19),AND(R11&gt;2034,R42&lt;=14)),INDEX(Data!$B$12:$AA$22,MATCH($D14,Data!$B$12:$B$22,0),MATCH(R$11,Data!$B$12:$AA$12,0)),0)</f>
        <v>0</v>
      </c>
      <c r="S14" s="398">
        <f>IF(OR(AND(S11&lt;2035,S42&lt;=19),AND(S11&gt;2034,S42&lt;=14)),INDEX(Data!$B$12:$AA$22,MATCH($D14,Data!$B$12:$B$22,0),MATCH(S$11,Data!$B$12:$AA$12,0)),0)</f>
        <v>0</v>
      </c>
      <c r="T14" s="398">
        <f>IF(OR(AND(T11&lt;2035,T42&lt;=19),AND(T11&gt;2034,T42&lt;=14)),INDEX(Data!$B$12:$AA$22,MATCH($D14,Data!$B$12:$B$22,0),MATCH(T$11,Data!$B$12:$AA$12,0)),0)</f>
        <v>0</v>
      </c>
      <c r="U14" s="398">
        <f>IF(OR(AND(U11&lt;2035,U42&lt;=19),AND(U11&gt;2034,U42&lt;=14)),INDEX(Data!$B$12:$AA$22,MATCH($D14,Data!$B$12:$B$22,0),MATCH(U$11,Data!$B$12:$AA$12,0)),0)</f>
        <v>0</v>
      </c>
      <c r="V14" s="398">
        <f>IF(OR(AND(V11&lt;2035,V42&lt;=19),AND(V11&gt;2034,V42&lt;=14)),INDEX(Data!$B$12:$AA$22,MATCH($D14,Data!$B$12:$B$22,0),MATCH(V$11,Data!$B$12:$AA$12,0)),0)</f>
        <v>0</v>
      </c>
      <c r="W14" s="398">
        <f>IF(OR(AND(W11&lt;2035,W42&lt;=19),AND(W11&gt;2034,W42&lt;=14)),INDEX(Data!$B$12:$AA$22,MATCH($D14,Data!$B$12:$B$22,0),MATCH(W$11,Data!$B$12:$AA$12,0)),0)</f>
        <v>0</v>
      </c>
      <c r="X14" s="398">
        <f>IF(OR(AND(X11&lt;2035,X42&lt;=19),AND(X11&gt;2034,X42&lt;=14)),INDEX(Data!$B$12:$AA$22,MATCH($D14,Data!$B$12:$B$22,0),MATCH(X$11,Data!$B$12:$AA$12,0)),0)</f>
        <v>0</v>
      </c>
      <c r="Y14" s="398">
        <f>IF(OR(AND(Y11&lt;2035,Y42&lt;=19),AND(Y11&gt;2034,Y42&lt;=14)),INDEX(Data!$B$12:$AA$22,MATCH($D14,Data!$B$12:$B$22,0),MATCH(Y$11,Data!$B$12:$AA$12,0)),0)</f>
        <v>0</v>
      </c>
      <c r="Z14" s="398">
        <f>IF(OR(AND(Z11&lt;2035,Z42&lt;=19),AND(Z11&gt;2034,Z42&lt;=14)),INDEX(Data!$B$12:$AA$22,MATCH($D14,Data!$B$12:$B$22,0),MATCH(Z$11,Data!$B$12:$AA$12,0)),0)</f>
        <v>0</v>
      </c>
      <c r="AA14" s="398">
        <f>IF(OR(AND(AA11&lt;2035,AA42&lt;=19),AND(AA11&gt;2034,AA42&lt;=14)),INDEX(Data!$B$12:$AA$22,MATCH($D14,Data!$B$12:$B$22,0),MATCH(AA$11,Data!$B$12:$AA$12,0)),0)</f>
        <v>0</v>
      </c>
      <c r="AB14" s="398">
        <f>IF(OR(AND(AB11&lt;2035,AB42&lt;=19),AND(AB11&gt;2034,AB42&lt;=14)),INDEX(Data!$B$12:$AA$22,MATCH($D14,Data!$B$12:$B$22,0),MATCH(AB$11,Data!$B$12:$AA$12,0)),0)</f>
        <v>0</v>
      </c>
      <c r="AC14" s="398">
        <f>IF(OR(AND(AC11&lt;2035,AC42&lt;=19),AND(AC11&gt;2034,AC42&lt;=14)),INDEX(Data!$B$12:$AA$22,MATCH($D14,Data!$B$12:$B$22,0),MATCH(AC$11,Data!$B$12:$AA$12,0)),0)</f>
        <v>0</v>
      </c>
      <c r="AD14" s="398">
        <f>IF(OR(AND(AD11&lt;2035,AD42&lt;=19),AND(AD11&gt;2034,AD42&lt;=14)),INDEX(Data!$B$12:$AA$22,MATCH($D14,Data!$B$12:$B$22,0),MATCH(AD$11,Data!$B$12:$AA$12,0)),0)</f>
        <v>0</v>
      </c>
      <c r="AF14" s="26"/>
      <c r="AG14" s="337" t="s">
        <v>1813</v>
      </c>
      <c r="AH14" s="397" t="str">
        <f>+D14</f>
        <v>No Reward</v>
      </c>
      <c r="AI14" s="385" t="s">
        <v>1814</v>
      </c>
      <c r="AJ14" s="386"/>
      <c r="AK14" s="386" t="s">
        <v>1815</v>
      </c>
      <c r="AL14" s="398">
        <f>IF(OR(AND(AL11&lt;2035,AL42&lt;=19),AND(AL11&gt;2034,AL42&lt;=14)),INDEX(Data!$B$12:$AA$22,MATCH($AH14,Data!$B$12:$B$22,0),MATCH(AL$11,Data!$B$12:$AA$12,0)),0)</f>
        <v>0</v>
      </c>
      <c r="AM14" s="398">
        <f>IF(OR(AND(AM11&lt;2035,AM42&lt;=19),AND(AM11&gt;2034,AM42&lt;=14)),INDEX(Data!$B$12:$AA$22,MATCH($AH14,Data!$B$12:$B$22,0),MATCH(AM$11,Data!$B$12:$AA$12,0)),0)</f>
        <v>0</v>
      </c>
      <c r="AN14" s="398">
        <f>IF(OR(AND(AN11&lt;2035,AN42&lt;=19),AND(AN11&gt;2034,AN42&lt;=14)),INDEX(Data!$B$12:$AA$22,MATCH($AH14,Data!$B$12:$B$22,0),MATCH(AN$11,Data!$B$12:$AA$12,0)),0)</f>
        <v>0</v>
      </c>
      <c r="AO14" s="398">
        <f>IF(OR(AND(AO11&lt;2035,AO42&lt;=19),AND(AO11&gt;2034,AO42&lt;=14)),INDEX(Data!$B$12:$AA$22,MATCH($AH14,Data!$B$12:$B$22,0),MATCH(AO$11,Data!$B$12:$AA$12,0)),0)</f>
        <v>0</v>
      </c>
      <c r="AP14" s="398">
        <f>IF(OR(AND(AP11&lt;2035,AP42&lt;=19),AND(AP11&gt;2034,AP42&lt;=14)),INDEX(Data!$B$12:$AA$22,MATCH($AH14,Data!$B$12:$B$22,0),MATCH(AP$11,Data!$B$12:$AA$12,0)),0)</f>
        <v>0</v>
      </c>
      <c r="AQ14" s="398">
        <f>IF(OR(AND(AQ11&lt;2035,AQ42&lt;=19),AND(AQ11&gt;2034,AQ42&lt;=14)),INDEX(Data!$B$12:$AA$22,MATCH($AH14,Data!$B$12:$B$22,0),MATCH(AQ$11,Data!$B$12:$AA$12,0)),0)</f>
        <v>0</v>
      </c>
      <c r="AR14" s="398">
        <f>IF(OR(AND(AR11&lt;2035,AR42&lt;=19),AND(AR11&gt;2034,AR42&lt;=14)),INDEX(Data!$B$12:$AA$22,MATCH($AH14,Data!$B$12:$B$22,0),MATCH(AR$11,Data!$B$12:$AA$12,0)),0)</f>
        <v>0</v>
      </c>
      <c r="AS14" s="398">
        <f>IF(OR(AND(AS11&lt;2035,AS42&lt;=19),AND(AS11&gt;2034,AS42&lt;=14)),INDEX(Data!$B$12:$AA$22,MATCH($AH14,Data!$B$12:$B$22,0),MATCH(AS$11,Data!$B$12:$AA$12,0)),0)</f>
        <v>0</v>
      </c>
      <c r="AT14" s="398">
        <f>IF(OR(AND(AT11&lt;2035,AT42&lt;=19),AND(AT11&gt;2034,AT42&lt;=14)),INDEX(Data!$B$12:$AA$22,MATCH($AH14,Data!$B$12:$B$22,0),MATCH(AT$11,Data!$B$12:$AA$12,0)),0)</f>
        <v>0</v>
      </c>
      <c r="AU14" s="398">
        <f>IF(OR(AND(AU11&lt;2035,AU42&lt;=19),AND(AU11&gt;2034,AU42&lt;=14)),INDEX(Data!$B$12:$AA$22,MATCH($AH14,Data!$B$12:$B$22,0),MATCH(AU$11,Data!$B$12:$AA$12,0)),0)</f>
        <v>0</v>
      </c>
      <c r="AV14" s="398">
        <f>IF(OR(AND(AV11&lt;2035,AV42&lt;=19),AND(AV11&gt;2034,AV42&lt;=14)),INDEX(Data!$B$12:$AA$22,MATCH($AH14,Data!$B$12:$B$22,0),MATCH(AV$11,Data!$B$12:$AA$12,0)),0)</f>
        <v>0</v>
      </c>
      <c r="AW14" s="398">
        <f>IF(OR(AND(AW11&lt;2035,AW42&lt;=19),AND(AW11&gt;2034,AW42&lt;=14)),INDEX(Data!$B$12:$AA$22,MATCH($AH14,Data!$B$12:$B$22,0),MATCH(AW$11,Data!$B$12:$AA$12,0)),0)</f>
        <v>0</v>
      </c>
      <c r="AX14" s="398">
        <f>IF(OR(AND(AX11&lt;2035,AX42&lt;=19),AND(AX11&gt;2034,AX42&lt;=14)),INDEX(Data!$B$12:$AA$22,MATCH($AH14,Data!$B$12:$B$22,0),MATCH(AX$11,Data!$B$12:$AA$12,0)),0)</f>
        <v>0</v>
      </c>
      <c r="AY14" s="398">
        <f>IF(OR(AND(AY11&lt;2035,AY42&lt;=19),AND(AY11&gt;2034,AY42&lt;=14)),INDEX(Data!$B$12:$AA$22,MATCH($AH14,Data!$B$12:$B$22,0),MATCH(AY$11,Data!$B$12:$AA$12,0)),0)</f>
        <v>0</v>
      </c>
      <c r="AZ14" s="398">
        <f>IF(OR(AND(AZ11&lt;2035,AZ42&lt;=19),AND(AZ11&gt;2034,AZ42&lt;=14)),INDEX(Data!$B$12:$AA$22,MATCH($AH14,Data!$B$12:$B$22,0),MATCH(AZ$11,Data!$B$12:$AA$12,0)),0)</f>
        <v>0</v>
      </c>
      <c r="BA14" s="398">
        <f>IF(OR(AND(BA11&lt;2035,BA42&lt;=19),AND(BA11&gt;2034,BA42&lt;=14)),INDEX(Data!$B$12:$AA$22,MATCH($AH14,Data!$B$12:$B$22,0),MATCH(BA$11,Data!$B$12:$AA$12,0)),0)</f>
        <v>0</v>
      </c>
      <c r="BB14" s="398">
        <f>IF(OR(AND(BB11&lt;2035,BB42&lt;=19),AND(BB11&gt;2034,BB42&lt;=14)),INDEX(Data!$B$12:$AA$22,MATCH($AH14,Data!$B$12:$B$22,0),MATCH(BB$11,Data!$B$12:$AA$12,0)),0)</f>
        <v>0</v>
      </c>
      <c r="BC14" s="398">
        <f>IF(OR(AND(BC11&lt;2035,BC42&lt;=19),AND(BC11&gt;2034,BC42&lt;=14)),INDEX(Data!$B$12:$AA$22,MATCH($AH14,Data!$B$12:$B$22,0),MATCH(BC$11,Data!$B$12:$AA$12,0)),0)</f>
        <v>0</v>
      </c>
      <c r="BD14" s="398">
        <f>IF(OR(AND(BD11&lt;2035,BD42&lt;=19),AND(BD11&gt;2034,BD42&lt;=14)),INDEX(Data!$B$12:$AA$22,MATCH($AH14,Data!$B$12:$B$22,0),MATCH(BD$11,Data!$B$12:$AA$12,0)),0)</f>
        <v>0</v>
      </c>
      <c r="BE14" s="398">
        <f>IF(OR(AND(BE11&lt;2035,BE42&lt;=19),AND(BE11&gt;2034,BE42&lt;=14)),INDEX(Data!$B$12:$AA$22,MATCH($AH14,Data!$B$12:$B$22,0),MATCH(BE$11,Data!$B$12:$AA$12,0)),0)</f>
        <v>0</v>
      </c>
      <c r="BF14" s="398">
        <f>IF(OR(AND(BF11&lt;2035,BF42&lt;=19),AND(BF11&gt;2034,BF42&lt;=14)),INDEX(Data!$B$12:$AA$22,MATCH($AH14,Data!$B$12:$B$22,0),MATCH(BF$11,Data!$B$12:$AA$12,0)),0)</f>
        <v>0</v>
      </c>
      <c r="BG14" s="398">
        <f>IF(OR(AND(BG11&lt;2035,BG42&lt;=19),AND(BG11&gt;2034,BG42&lt;=14)),INDEX(Data!$B$12:$AA$22,MATCH($AH14,Data!$B$12:$B$22,0),MATCH(BG$11,Data!$B$12:$AA$12,0)),0)</f>
        <v>0</v>
      </c>
      <c r="BH14" s="398">
        <f>IF(OR(AND(BH11&lt;2035,BH42&lt;=19),AND(BH11&gt;2034,BH42&lt;=14)),INDEX(Data!$B$12:$AA$22,MATCH($AH14,Data!$B$12:$B$22,0),MATCH(BH$11,Data!$B$12:$AA$12,0)),0)</f>
        <v>0</v>
      </c>
    </row>
    <row r="15" spans="3:60">
      <c r="C15" t="s">
        <v>1816</v>
      </c>
      <c r="D15" s="384"/>
      <c r="E15" s="385"/>
      <c r="F15" s="386"/>
      <c r="G15" s="386" t="s">
        <v>1815</v>
      </c>
      <c r="H15" s="398">
        <f>H$13</f>
        <v>77.438999999999993</v>
      </c>
      <c r="I15" s="398">
        <f t="shared" ref="I15:AD15" si="0">I$13</f>
        <v>75.572999999999993</v>
      </c>
      <c r="J15" s="398">
        <f t="shared" si="0"/>
        <v>73.707000000000008</v>
      </c>
      <c r="K15" s="398">
        <f t="shared" si="0"/>
        <v>69.601799999999997</v>
      </c>
      <c r="L15" s="398">
        <f t="shared" si="0"/>
        <v>65.496600000000001</v>
      </c>
      <c r="M15" s="398">
        <f t="shared" si="0"/>
        <v>61.391400000000004</v>
      </c>
      <c r="N15" s="398">
        <f t="shared" si="0"/>
        <v>57.286199999999994</v>
      </c>
      <c r="O15" s="398">
        <f t="shared" si="0"/>
        <v>53.180999999998939</v>
      </c>
      <c r="P15" s="398">
        <f t="shared" si="0"/>
        <v>46.649999999999572</v>
      </c>
      <c r="Q15" s="398">
        <f t="shared" si="0"/>
        <v>40.119000000000213</v>
      </c>
      <c r="R15" s="398">
        <f t="shared" si="0"/>
        <v>33.587999999998196</v>
      </c>
      <c r="S15" s="398">
        <f t="shared" si="0"/>
        <v>27.056999999998833</v>
      </c>
      <c r="T15" s="398">
        <f t="shared" si="0"/>
        <v>20.525999999999467</v>
      </c>
      <c r="U15" s="398">
        <f t="shared" si="0"/>
        <v>17.727000000000025</v>
      </c>
      <c r="V15" s="398">
        <f t="shared" si="0"/>
        <v>14.927999999999919</v>
      </c>
      <c r="W15" s="398">
        <f t="shared" si="0"/>
        <v>12.128999999999813</v>
      </c>
      <c r="X15" s="398">
        <f t="shared" si="0"/>
        <v>9.329999999999707</v>
      </c>
      <c r="Y15" s="398">
        <f t="shared" si="0"/>
        <v>6.5310000000002644</v>
      </c>
      <c r="Z15" s="398">
        <f t="shared" si="0"/>
        <v>3.7320000000001587</v>
      </c>
      <c r="AA15" s="398">
        <f t="shared" si="0"/>
        <v>0.93300000000005257</v>
      </c>
      <c r="AB15" s="398">
        <f t="shared" si="0"/>
        <v>0</v>
      </c>
      <c r="AC15" s="398">
        <f t="shared" si="0"/>
        <v>0</v>
      </c>
      <c r="AD15" s="398">
        <f t="shared" si="0"/>
        <v>0</v>
      </c>
      <c r="AF15" s="26"/>
      <c r="AG15" t="s">
        <v>1816</v>
      </c>
      <c r="AH15" s="384"/>
      <c r="AI15" s="385"/>
      <c r="AJ15" s="386"/>
      <c r="AK15" s="386" t="s">
        <v>1815</v>
      </c>
      <c r="AL15" s="398">
        <f>AL$13</f>
        <v>77.438999999999993</v>
      </c>
      <c r="AM15" s="398">
        <f t="shared" ref="AM15:BH15" si="1">AM$13</f>
        <v>75.572999999999993</v>
      </c>
      <c r="AN15" s="398">
        <f t="shared" si="1"/>
        <v>73.707000000000008</v>
      </c>
      <c r="AO15" s="398">
        <f t="shared" si="1"/>
        <v>69.601799999999997</v>
      </c>
      <c r="AP15" s="398">
        <f t="shared" si="1"/>
        <v>65.496600000000001</v>
      </c>
      <c r="AQ15" s="398">
        <f t="shared" si="1"/>
        <v>61.391400000000004</v>
      </c>
      <c r="AR15" s="398">
        <f t="shared" si="1"/>
        <v>57.286199999999994</v>
      </c>
      <c r="AS15" s="398">
        <f t="shared" si="1"/>
        <v>53.180999999998939</v>
      </c>
      <c r="AT15" s="398">
        <f t="shared" si="1"/>
        <v>46.649999999999572</v>
      </c>
      <c r="AU15" s="398">
        <f t="shared" si="1"/>
        <v>40.119000000000213</v>
      </c>
      <c r="AV15" s="398">
        <f t="shared" si="1"/>
        <v>33.587999999998196</v>
      </c>
      <c r="AW15" s="398">
        <f t="shared" si="1"/>
        <v>27.056999999998833</v>
      </c>
      <c r="AX15" s="398">
        <f t="shared" si="1"/>
        <v>20.525999999999467</v>
      </c>
      <c r="AY15" s="398">
        <f t="shared" si="1"/>
        <v>17.727000000000025</v>
      </c>
      <c r="AZ15" s="398">
        <f t="shared" si="1"/>
        <v>14.927999999999919</v>
      </c>
      <c r="BA15" s="398">
        <f t="shared" si="1"/>
        <v>12.128999999999813</v>
      </c>
      <c r="BB15" s="398">
        <f t="shared" si="1"/>
        <v>9.329999999999707</v>
      </c>
      <c r="BC15" s="398">
        <f t="shared" si="1"/>
        <v>6.5310000000002644</v>
      </c>
      <c r="BD15" s="398">
        <f t="shared" si="1"/>
        <v>3.7320000000001587</v>
      </c>
      <c r="BE15" s="398">
        <f t="shared" si="1"/>
        <v>0.93300000000005257</v>
      </c>
      <c r="BF15" s="398">
        <f t="shared" si="1"/>
        <v>0</v>
      </c>
      <c r="BG15" s="398">
        <f t="shared" si="1"/>
        <v>0</v>
      </c>
      <c r="BH15" s="398">
        <f t="shared" si="1"/>
        <v>0</v>
      </c>
    </row>
    <row r="17" spans="2:60" ht="15">
      <c r="C17" s="383" t="s">
        <v>1817</v>
      </c>
      <c r="D17" s="384"/>
      <c r="E17" s="385"/>
      <c r="F17" s="386"/>
      <c r="G17" s="386"/>
      <c r="I17" s="139"/>
      <c r="J17" s="139"/>
      <c r="K17" s="139"/>
      <c r="L17" s="139"/>
      <c r="M17" s="139"/>
      <c r="N17" s="139"/>
      <c r="O17" s="139"/>
      <c r="P17" s="139"/>
      <c r="Q17" s="139"/>
      <c r="R17" s="139"/>
      <c r="S17" s="139"/>
      <c r="T17" s="139"/>
      <c r="U17" s="139"/>
      <c r="V17" s="139"/>
      <c r="W17" s="139"/>
      <c r="X17" s="139"/>
      <c r="Y17" s="139"/>
      <c r="Z17" s="139"/>
      <c r="AA17" s="139"/>
      <c r="AB17" s="139"/>
      <c r="AC17" s="139"/>
      <c r="AF17" s="26"/>
      <c r="AG17" s="383" t="s">
        <v>1817</v>
      </c>
      <c r="AH17" s="384"/>
      <c r="AI17" s="385"/>
      <c r="AJ17" s="386"/>
      <c r="AK17" s="386"/>
      <c r="AM17" s="139"/>
      <c r="AN17" s="139"/>
      <c r="AO17" s="139"/>
      <c r="AP17" s="139"/>
      <c r="AQ17" s="139"/>
      <c r="AR17" s="139"/>
      <c r="AS17" s="139"/>
      <c r="AT17" s="139"/>
      <c r="AU17" s="139"/>
      <c r="AV17" s="139"/>
      <c r="AW17" s="139"/>
      <c r="AX17" s="139"/>
      <c r="AY17" s="139"/>
      <c r="AZ17" s="139"/>
      <c r="BA17" s="139"/>
      <c r="BB17" s="139"/>
      <c r="BC17" s="139"/>
      <c r="BD17" s="139"/>
      <c r="BE17" s="139"/>
      <c r="BF17" s="139"/>
      <c r="BG17" s="139"/>
    </row>
    <row r="18" spans="2:60" ht="28.5">
      <c r="C18" s="387" t="s">
        <v>1818</v>
      </c>
      <c r="D18" s="399" t="s">
        <v>1819</v>
      </c>
      <c r="E18" s="389" t="s">
        <v>1531</v>
      </c>
      <c r="F18" s="389" t="s">
        <v>21</v>
      </c>
      <c r="G18" s="390" t="s">
        <v>1596</v>
      </c>
      <c r="H18" s="391">
        <v>2028</v>
      </c>
      <c r="I18" s="391">
        <v>2029</v>
      </c>
      <c r="J18" s="391">
        <v>2030</v>
      </c>
      <c r="K18" s="391">
        <v>2031</v>
      </c>
      <c r="L18" s="391">
        <v>2032</v>
      </c>
      <c r="M18" s="391">
        <v>2033</v>
      </c>
      <c r="N18" s="391">
        <v>2034</v>
      </c>
      <c r="O18" s="391">
        <v>2035</v>
      </c>
      <c r="P18" s="392">
        <v>2036</v>
      </c>
      <c r="Q18" s="392">
        <v>2037</v>
      </c>
      <c r="R18" s="391">
        <v>2038</v>
      </c>
      <c r="S18" s="391">
        <v>2039</v>
      </c>
      <c r="T18" s="391">
        <v>2040</v>
      </c>
      <c r="U18" s="391">
        <v>2041</v>
      </c>
      <c r="V18" s="391">
        <v>2042</v>
      </c>
      <c r="W18" s="391">
        <v>2043</v>
      </c>
      <c r="X18" s="391">
        <v>2044</v>
      </c>
      <c r="Y18" s="391">
        <v>2045</v>
      </c>
      <c r="Z18" s="392">
        <v>2046</v>
      </c>
      <c r="AA18" s="392">
        <v>2047</v>
      </c>
      <c r="AB18" s="391">
        <v>2048</v>
      </c>
      <c r="AC18" s="391">
        <v>2049</v>
      </c>
      <c r="AD18" s="391">
        <v>2050</v>
      </c>
      <c r="AF18" s="26"/>
      <c r="AG18" s="387" t="s">
        <v>1818</v>
      </c>
      <c r="AH18" s="399" t="s">
        <v>1819</v>
      </c>
      <c r="AI18" s="389" t="s">
        <v>1531</v>
      </c>
      <c r="AJ18" s="389" t="s">
        <v>21</v>
      </c>
      <c r="AK18" s="390" t="s">
        <v>1596</v>
      </c>
      <c r="AL18" s="391">
        <v>2028</v>
      </c>
      <c r="AM18" s="391">
        <v>2029</v>
      </c>
      <c r="AN18" s="391">
        <v>2030</v>
      </c>
      <c r="AO18" s="391">
        <v>2031</v>
      </c>
      <c r="AP18" s="391">
        <v>2032</v>
      </c>
      <c r="AQ18" s="391">
        <v>2033</v>
      </c>
      <c r="AR18" s="391">
        <v>2034</v>
      </c>
      <c r="AS18" s="391">
        <v>2035</v>
      </c>
      <c r="AT18" s="392">
        <v>2036</v>
      </c>
      <c r="AU18" s="392">
        <v>2037</v>
      </c>
      <c r="AV18" s="391">
        <v>2038</v>
      </c>
      <c r="AW18" s="391">
        <v>2039</v>
      </c>
      <c r="AX18" s="391">
        <v>2040</v>
      </c>
      <c r="AY18" s="391">
        <v>2041</v>
      </c>
      <c r="AZ18" s="391">
        <v>2042</v>
      </c>
      <c r="BA18" s="391">
        <v>2043</v>
      </c>
      <c r="BB18" s="391">
        <v>2044</v>
      </c>
      <c r="BC18" s="391">
        <v>2045</v>
      </c>
      <c r="BD18" s="392">
        <v>2046</v>
      </c>
      <c r="BE18" s="392">
        <v>2047</v>
      </c>
      <c r="BF18" s="391">
        <v>2048</v>
      </c>
      <c r="BG18" s="391">
        <v>2049</v>
      </c>
      <c r="BH18" s="391">
        <v>2050</v>
      </c>
    </row>
    <row r="19" spans="2:60" ht="15">
      <c r="B19" s="60" t="s">
        <v>180</v>
      </c>
      <c r="C19" s="337" t="s">
        <v>1820</v>
      </c>
      <c r="D19" s="400" t="s">
        <v>180</v>
      </c>
      <c r="E19" s="385"/>
      <c r="F19" s="401"/>
      <c r="G19" s="386" t="s">
        <v>1696</v>
      </c>
      <c r="H19" s="398">
        <f>INDEX(Data!$B$4:$K$6,MATCH(Data!$B$5,Data!$B$4:$B$6,0),MATCH($D19,Data!$B$4:$K$4,0))</f>
        <v>95.628110000000007</v>
      </c>
      <c r="I19" s="398">
        <f>INDEX(Data!$B$4:$K$6,MATCH(Data!$B$5,Data!$B$4:$B$6,0),MATCH($D19,Data!$B$4:$K$4,0))</f>
        <v>95.628110000000007</v>
      </c>
      <c r="J19" s="398">
        <f>INDEX(Data!$B$4:$K$6,MATCH(Data!$B$5,Data!$B$4:$B$6,0),MATCH($D19,Data!$B$4:$K$4,0))</f>
        <v>95.628110000000007</v>
      </c>
      <c r="K19" s="398">
        <f>INDEX(Data!$B$4:$K$6,MATCH(Data!$B$5,Data!$B$4:$B$6,0),MATCH($D19,Data!$B$4:$K$4,0))</f>
        <v>95.628110000000007</v>
      </c>
      <c r="L19" s="398">
        <f>INDEX(Data!$B$4:$K$6,MATCH(Data!$B$5,Data!$B$4:$B$6,0),MATCH($D19,Data!$B$4:$K$4,0))</f>
        <v>95.628110000000007</v>
      </c>
      <c r="M19" s="398">
        <f>INDEX(Data!$B$4:$K$6,MATCH(Data!$B$5,Data!$B$4:$B$6,0),MATCH($D19,Data!$B$4:$K$4,0))</f>
        <v>95.628110000000007</v>
      </c>
      <c r="N19" s="398">
        <f>INDEX(Data!$B$4:$K$6,MATCH(Data!$B$5,Data!$B$4:$B$6,0),MATCH($D19,Data!$B$4:$K$4,0))</f>
        <v>95.628110000000007</v>
      </c>
      <c r="O19" s="398">
        <f>INDEX(Data!$B$4:$K$6,MATCH(Data!$B$5,Data!$B$4:$B$6,0),MATCH($D19,Data!$B$4:$K$4,0))</f>
        <v>95.628110000000007</v>
      </c>
      <c r="P19" s="398">
        <f>INDEX(Data!$B$4:$K$6,MATCH(Data!$B$5,Data!$B$4:$B$6,0),MATCH($D19,Data!$B$4:$K$4,0))</f>
        <v>95.628110000000007</v>
      </c>
      <c r="Q19" s="398">
        <f>INDEX(Data!$B$4:$K$6,MATCH(Data!$B$5,Data!$B$4:$B$6,0),MATCH($D19,Data!$B$4:$K$4,0))</f>
        <v>95.628110000000007</v>
      </c>
      <c r="R19" s="398">
        <f>INDEX(Data!$B$4:$K$6,MATCH(Data!$B$5,Data!$B$4:$B$6,0),MATCH($D19,Data!$B$4:$K$4,0))</f>
        <v>95.628110000000007</v>
      </c>
      <c r="S19" s="398">
        <f>INDEX(Data!$B$4:$K$6,MATCH(Data!$B$5,Data!$B$4:$B$6,0),MATCH($D19,Data!$B$4:$K$4,0))</f>
        <v>95.628110000000007</v>
      </c>
      <c r="T19" s="398">
        <f>INDEX(Data!$B$4:$K$6,MATCH(Data!$B$5,Data!$B$4:$B$6,0),MATCH($D19,Data!$B$4:$K$4,0))</f>
        <v>95.628110000000007</v>
      </c>
      <c r="U19" s="398">
        <f>INDEX(Data!$B$4:$K$6,MATCH(Data!$B$5,Data!$B$4:$B$6,0),MATCH($D19,Data!$B$4:$K$4,0))</f>
        <v>95.628110000000007</v>
      </c>
      <c r="V19" s="398">
        <f>INDEX(Data!$B$4:$K$6,MATCH(Data!$B$5,Data!$B$4:$B$6,0),MATCH($D19,Data!$B$4:$K$4,0))</f>
        <v>95.628110000000007</v>
      </c>
      <c r="W19" s="398">
        <f>INDEX(Data!$B$4:$K$6,MATCH(Data!$B$5,Data!$B$4:$B$6,0),MATCH($D19,Data!$B$4:$K$4,0))</f>
        <v>95.628110000000007</v>
      </c>
      <c r="X19" s="398">
        <f>INDEX(Data!$B$4:$K$6,MATCH(Data!$B$5,Data!$B$4:$B$6,0),MATCH($D19,Data!$B$4:$K$4,0))</f>
        <v>95.628110000000007</v>
      </c>
      <c r="Y19" s="398">
        <f>INDEX(Data!$B$4:$K$6,MATCH(Data!$B$5,Data!$B$4:$B$6,0),MATCH($D19,Data!$B$4:$K$4,0))</f>
        <v>95.628110000000007</v>
      </c>
      <c r="Z19" s="398">
        <f>INDEX(Data!$B$4:$K$6,MATCH(Data!$B$5,Data!$B$4:$B$6,0),MATCH($D19,Data!$B$4:$K$4,0))</f>
        <v>95.628110000000007</v>
      </c>
      <c r="AA19" s="398">
        <f>INDEX(Data!$B$4:$K$6,MATCH(Data!$B$5,Data!$B$4:$B$6,0),MATCH($D19,Data!$B$4:$K$4,0))</f>
        <v>95.628110000000007</v>
      </c>
      <c r="AB19" s="398">
        <f>INDEX(Data!$B$4:$K$6,MATCH(Data!$B$5,Data!$B$4:$B$6,0),MATCH($D19,Data!$B$4:$K$4,0))</f>
        <v>95.628110000000007</v>
      </c>
      <c r="AC19" s="398">
        <f>INDEX(Data!$B$4:$K$6,MATCH(Data!$B$5,Data!$B$4:$B$6,0),MATCH($D19,Data!$B$4:$K$4,0))</f>
        <v>95.628110000000007</v>
      </c>
      <c r="AD19" s="398">
        <f>INDEX(Data!$B$4:$K$6,MATCH(Data!$B$5,Data!$B$4:$B$6,0),MATCH($D19,Data!$B$4:$K$4,0))</f>
        <v>95.628110000000007</v>
      </c>
      <c r="AF19" s="60" t="s">
        <v>180</v>
      </c>
      <c r="AG19" s="337" t="s">
        <v>1820</v>
      </c>
      <c r="AH19" s="400" t="s">
        <v>180</v>
      </c>
      <c r="AI19" s="385"/>
      <c r="AJ19" s="401"/>
      <c r="AK19" s="386" t="s">
        <v>1696</v>
      </c>
      <c r="AL19" s="398">
        <f>INDEX(Data!$B$4:$K$6,MATCH(Data!$B$5,Data!$B$4:$B$6,0),MATCH($AH19,Data!$B$4:$K$4,0))</f>
        <v>95.628110000000007</v>
      </c>
      <c r="AM19" s="398">
        <f>INDEX(Data!$B$4:$K$6,MATCH(Data!$B$5,Data!$B$4:$B$6,0),MATCH($AH19,Data!$B$4:$K$4,0))</f>
        <v>95.628110000000007</v>
      </c>
      <c r="AN19" s="398">
        <f>INDEX(Data!$B$4:$K$6,MATCH(Data!$B$5,Data!$B$4:$B$6,0),MATCH($AH19,Data!$B$4:$K$4,0))</f>
        <v>95.628110000000007</v>
      </c>
      <c r="AO19" s="398">
        <f>INDEX(Data!$B$4:$K$6,MATCH(Data!$B$5,Data!$B$4:$B$6,0),MATCH($AH19,Data!$B$4:$K$4,0))</f>
        <v>95.628110000000007</v>
      </c>
      <c r="AP19" s="398">
        <f>INDEX(Data!$B$4:$K$6,MATCH(Data!$B$5,Data!$B$4:$B$6,0),MATCH($AH19,Data!$B$4:$K$4,0))</f>
        <v>95.628110000000007</v>
      </c>
      <c r="AQ19" s="398">
        <f>INDEX(Data!$B$4:$K$6,MATCH(Data!$B$5,Data!$B$4:$B$6,0),MATCH($AH19,Data!$B$4:$K$4,0))</f>
        <v>95.628110000000007</v>
      </c>
      <c r="AR19" s="398">
        <f>INDEX(Data!$B$4:$K$6,MATCH(Data!$B$5,Data!$B$4:$B$6,0),MATCH($AH19,Data!$B$4:$K$4,0))</f>
        <v>95.628110000000007</v>
      </c>
      <c r="AS19" s="398">
        <f>INDEX(Data!$B$4:$K$6,MATCH(Data!$B$5,Data!$B$4:$B$6,0),MATCH($AH19,Data!$B$4:$K$4,0))</f>
        <v>95.628110000000007</v>
      </c>
      <c r="AT19" s="398">
        <f>INDEX(Data!$B$4:$K$6,MATCH(Data!$B$5,Data!$B$4:$B$6,0),MATCH($AH19,Data!$B$4:$K$4,0))</f>
        <v>95.628110000000007</v>
      </c>
      <c r="AU19" s="398">
        <f>INDEX(Data!$B$4:$K$6,MATCH(Data!$B$5,Data!$B$4:$B$6,0),MATCH($AH19,Data!$B$4:$K$4,0))</f>
        <v>95.628110000000007</v>
      </c>
      <c r="AV19" s="398">
        <f>INDEX(Data!$B$4:$K$6,MATCH(Data!$B$5,Data!$B$4:$B$6,0),MATCH($AH19,Data!$B$4:$K$4,0))</f>
        <v>95.628110000000007</v>
      </c>
      <c r="AW19" s="398">
        <f>INDEX(Data!$B$4:$K$6,MATCH(Data!$B$5,Data!$B$4:$B$6,0),MATCH($AH19,Data!$B$4:$K$4,0))</f>
        <v>95.628110000000007</v>
      </c>
      <c r="AX19" s="398">
        <f>INDEX(Data!$B$4:$K$6,MATCH(Data!$B$5,Data!$B$4:$B$6,0),MATCH($AH19,Data!$B$4:$K$4,0))</f>
        <v>95.628110000000007</v>
      </c>
      <c r="AY19" s="398">
        <f>INDEX(Data!$B$4:$K$6,MATCH(Data!$B$5,Data!$B$4:$B$6,0),MATCH($AH19,Data!$B$4:$K$4,0))</f>
        <v>95.628110000000007</v>
      </c>
      <c r="AZ19" s="398">
        <f>INDEX(Data!$B$4:$K$6,MATCH(Data!$B$5,Data!$B$4:$B$6,0),MATCH($AH19,Data!$B$4:$K$4,0))</f>
        <v>95.628110000000007</v>
      </c>
      <c r="BA19" s="398">
        <f>INDEX(Data!$B$4:$K$6,MATCH(Data!$B$5,Data!$B$4:$B$6,0),MATCH($AH19,Data!$B$4:$K$4,0))</f>
        <v>95.628110000000007</v>
      </c>
      <c r="BB19" s="398">
        <f>INDEX(Data!$B$4:$K$6,MATCH(Data!$B$5,Data!$B$4:$B$6,0),MATCH($AH19,Data!$B$4:$K$4,0))</f>
        <v>95.628110000000007</v>
      </c>
      <c r="BC19" s="398">
        <f>INDEX(Data!$B$4:$K$6,MATCH(Data!$B$5,Data!$B$4:$B$6,0),MATCH($AH19,Data!$B$4:$K$4,0))</f>
        <v>95.628110000000007</v>
      </c>
      <c r="BD19" s="398">
        <f>INDEX(Data!$B$4:$K$6,MATCH(Data!$B$5,Data!$B$4:$B$6,0),MATCH($AH19,Data!$B$4:$K$4,0))</f>
        <v>95.628110000000007</v>
      </c>
      <c r="BE19" s="398">
        <f>INDEX(Data!$B$4:$K$6,MATCH(Data!$B$5,Data!$B$4:$B$6,0),MATCH($AH19,Data!$B$4:$K$4,0))</f>
        <v>95.628110000000007</v>
      </c>
      <c r="BF19" s="398">
        <f>INDEX(Data!$B$4:$K$6,MATCH(Data!$B$5,Data!$B$4:$B$6,0),MATCH($AH19,Data!$B$4:$K$4,0))</f>
        <v>95.628110000000007</v>
      </c>
      <c r="BG19" s="398">
        <f>INDEX(Data!$B$4:$K$6,MATCH(Data!$B$5,Data!$B$4:$B$6,0),MATCH($AH19,Data!$B$4:$K$4,0))</f>
        <v>95.628110000000007</v>
      </c>
      <c r="BH19" s="398">
        <f>INDEX(Data!$B$4:$K$6,MATCH(Data!$B$5,Data!$B$4:$B$6,0),MATCH($AH19,Data!$B$4:$K$4,0))</f>
        <v>95.628110000000007</v>
      </c>
    </row>
    <row r="20" spans="2:60" ht="15">
      <c r="B20" s="60"/>
      <c r="C20" s="337" t="s">
        <v>1821</v>
      </c>
      <c r="D20" s="384"/>
      <c r="E20" s="385" t="s">
        <v>1604</v>
      </c>
      <c r="F20" s="386" t="s">
        <v>1822</v>
      </c>
      <c r="G20" s="386" t="s">
        <v>1823</v>
      </c>
      <c r="H20" s="398">
        <f>H19/1000</f>
        <v>9.5628110000000002E-2</v>
      </c>
      <c r="I20" s="398">
        <f t="shared" ref="I20:AD20" si="2">I19/1000</f>
        <v>9.5628110000000002E-2</v>
      </c>
      <c r="J20" s="398">
        <f t="shared" si="2"/>
        <v>9.5628110000000002E-2</v>
      </c>
      <c r="K20" s="398">
        <f t="shared" si="2"/>
        <v>9.5628110000000002E-2</v>
      </c>
      <c r="L20" s="398">
        <f t="shared" si="2"/>
        <v>9.5628110000000002E-2</v>
      </c>
      <c r="M20" s="398">
        <f t="shared" si="2"/>
        <v>9.5628110000000002E-2</v>
      </c>
      <c r="N20" s="398">
        <f t="shared" si="2"/>
        <v>9.5628110000000002E-2</v>
      </c>
      <c r="O20" s="398">
        <f t="shared" si="2"/>
        <v>9.5628110000000002E-2</v>
      </c>
      <c r="P20" s="398">
        <f t="shared" si="2"/>
        <v>9.5628110000000002E-2</v>
      </c>
      <c r="Q20" s="398">
        <f t="shared" si="2"/>
        <v>9.5628110000000002E-2</v>
      </c>
      <c r="R20" s="398">
        <f t="shared" si="2"/>
        <v>9.5628110000000002E-2</v>
      </c>
      <c r="S20" s="398">
        <f t="shared" si="2"/>
        <v>9.5628110000000002E-2</v>
      </c>
      <c r="T20" s="398">
        <f t="shared" si="2"/>
        <v>9.5628110000000002E-2</v>
      </c>
      <c r="U20" s="398">
        <f t="shared" si="2"/>
        <v>9.5628110000000002E-2</v>
      </c>
      <c r="V20" s="398">
        <f t="shared" si="2"/>
        <v>9.5628110000000002E-2</v>
      </c>
      <c r="W20" s="398">
        <f t="shared" si="2"/>
        <v>9.5628110000000002E-2</v>
      </c>
      <c r="X20" s="398">
        <f t="shared" si="2"/>
        <v>9.5628110000000002E-2</v>
      </c>
      <c r="Y20" s="398">
        <f t="shared" si="2"/>
        <v>9.5628110000000002E-2</v>
      </c>
      <c r="Z20" s="398">
        <f t="shared" si="2"/>
        <v>9.5628110000000002E-2</v>
      </c>
      <c r="AA20" s="398">
        <f t="shared" si="2"/>
        <v>9.5628110000000002E-2</v>
      </c>
      <c r="AB20" s="398">
        <f t="shared" si="2"/>
        <v>9.5628110000000002E-2</v>
      </c>
      <c r="AC20" s="398">
        <f t="shared" si="2"/>
        <v>9.5628110000000002E-2</v>
      </c>
      <c r="AD20" s="398">
        <f t="shared" si="2"/>
        <v>9.5628110000000002E-2</v>
      </c>
      <c r="AF20" s="60"/>
      <c r="AG20" s="337" t="s">
        <v>1821</v>
      </c>
      <c r="AH20" s="384"/>
      <c r="AI20" s="385" t="s">
        <v>1604</v>
      </c>
      <c r="AJ20" s="386" t="s">
        <v>1822</v>
      </c>
      <c r="AK20" s="386" t="s">
        <v>1823</v>
      </c>
      <c r="AL20" s="398">
        <f>AL19/1000</f>
        <v>9.5628110000000002E-2</v>
      </c>
      <c r="AM20" s="398">
        <f t="shared" ref="AM20:BH20" si="3">AM19/1000</f>
        <v>9.5628110000000002E-2</v>
      </c>
      <c r="AN20" s="398">
        <f t="shared" si="3"/>
        <v>9.5628110000000002E-2</v>
      </c>
      <c r="AO20" s="398">
        <f t="shared" si="3"/>
        <v>9.5628110000000002E-2</v>
      </c>
      <c r="AP20" s="398">
        <f t="shared" si="3"/>
        <v>9.5628110000000002E-2</v>
      </c>
      <c r="AQ20" s="398">
        <f t="shared" si="3"/>
        <v>9.5628110000000002E-2</v>
      </c>
      <c r="AR20" s="398">
        <f t="shared" si="3"/>
        <v>9.5628110000000002E-2</v>
      </c>
      <c r="AS20" s="398">
        <f t="shared" si="3"/>
        <v>9.5628110000000002E-2</v>
      </c>
      <c r="AT20" s="398">
        <f t="shared" si="3"/>
        <v>9.5628110000000002E-2</v>
      </c>
      <c r="AU20" s="398">
        <f t="shared" si="3"/>
        <v>9.5628110000000002E-2</v>
      </c>
      <c r="AV20" s="398">
        <f t="shared" si="3"/>
        <v>9.5628110000000002E-2</v>
      </c>
      <c r="AW20" s="398">
        <f t="shared" si="3"/>
        <v>9.5628110000000002E-2</v>
      </c>
      <c r="AX20" s="398">
        <f t="shared" si="3"/>
        <v>9.5628110000000002E-2</v>
      </c>
      <c r="AY20" s="398">
        <f t="shared" si="3"/>
        <v>9.5628110000000002E-2</v>
      </c>
      <c r="AZ20" s="398">
        <f t="shared" si="3"/>
        <v>9.5628110000000002E-2</v>
      </c>
      <c r="BA20" s="398">
        <f t="shared" si="3"/>
        <v>9.5628110000000002E-2</v>
      </c>
      <c r="BB20" s="398">
        <f t="shared" si="3"/>
        <v>9.5628110000000002E-2</v>
      </c>
      <c r="BC20" s="398">
        <f t="shared" si="3"/>
        <v>9.5628110000000002E-2</v>
      </c>
      <c r="BD20" s="398">
        <f t="shared" si="3"/>
        <v>9.5628110000000002E-2</v>
      </c>
      <c r="BE20" s="398">
        <f t="shared" si="3"/>
        <v>9.5628110000000002E-2</v>
      </c>
      <c r="BF20" s="398">
        <f t="shared" si="3"/>
        <v>9.5628110000000002E-2</v>
      </c>
      <c r="BG20" s="398">
        <f t="shared" si="3"/>
        <v>9.5628110000000002E-2</v>
      </c>
      <c r="BH20" s="398">
        <f t="shared" si="3"/>
        <v>9.5628110000000002E-2</v>
      </c>
    </row>
    <row r="21" spans="2:60" ht="15.6" customHeight="1">
      <c r="B21" s="60"/>
      <c r="C21" s="337" t="s">
        <v>1824</v>
      </c>
      <c r="D21" s="384"/>
      <c r="E21" s="385" t="s">
        <v>1825</v>
      </c>
      <c r="F21" s="386" t="s">
        <v>1626</v>
      </c>
      <c r="G21" s="386" t="s">
        <v>1826</v>
      </c>
      <c r="H21" s="398">
        <f>(H19-H$12)*Data!$E$6</f>
        <v>0.24361642200000036</v>
      </c>
      <c r="I21" s="398">
        <f>(I19-I$12)*Data!$E$6</f>
        <v>0.31862962200000033</v>
      </c>
      <c r="J21" s="398">
        <f>(J19-J$12)*Data!$E$6</f>
        <v>0.39364282200000034</v>
      </c>
      <c r="K21" s="398">
        <f>(K19-K$12)*Data!$E$6</f>
        <v>0.55867186200000019</v>
      </c>
      <c r="L21" s="398">
        <f>(L19-L$12)*Data!$E$6</f>
        <v>0.72370090200000059</v>
      </c>
      <c r="M21" s="398">
        <f>(M19-M$12)*Data!$E$6</f>
        <v>0.88872994200000044</v>
      </c>
      <c r="N21" s="398">
        <f>(N19-N$12)*Data!$E$6</f>
        <v>1.0537589820000004</v>
      </c>
      <c r="O21" s="398">
        <f>(O19-O$12)*Data!$E$6</f>
        <v>1.2187880220000431</v>
      </c>
      <c r="P21" s="398">
        <f>(P19-P$12)*Data!$E$6</f>
        <v>1.4813342220000172</v>
      </c>
      <c r="Q21" s="398">
        <f>(Q19-Q$12)*Data!$E$6</f>
        <v>1.7438804219999917</v>
      </c>
      <c r="R21" s="398">
        <f>(R19-R$12)*Data!$E$6</f>
        <v>2.006426622000073</v>
      </c>
      <c r="S21" s="398">
        <f>(S19-S$12)*Data!$E$6</f>
        <v>2.2689728220000469</v>
      </c>
      <c r="T21" s="398">
        <f>(T19-T$12)*Data!$E$6</f>
        <v>2.5315190220000217</v>
      </c>
      <c r="U21" s="398">
        <f>(U19-U$12)*Data!$E$6</f>
        <v>2.6440388219999993</v>
      </c>
      <c r="V21" s="398">
        <f>(V19-V$12)*Data!$E$6</f>
        <v>2.7565586220000036</v>
      </c>
      <c r="W21" s="398">
        <f>(W19-W$12)*Data!$E$6</f>
        <v>2.8690784220000078</v>
      </c>
      <c r="X21" s="398">
        <f>(X19-X$12)*Data!$E$6</f>
        <v>2.9815982220000121</v>
      </c>
      <c r="Y21" s="398">
        <f>(Y19-Y$12)*Data!$E$6</f>
        <v>3.0941180219999893</v>
      </c>
      <c r="Z21" s="398">
        <f>(Z19-Z$12)*Data!$E$6</f>
        <v>3.2066378219999936</v>
      </c>
      <c r="AA21" s="398">
        <f>(AA19-AA$12)*Data!$E$6</f>
        <v>3.3191576219999979</v>
      </c>
      <c r="AB21" s="398">
        <f>(AB19-AB$12)*Data!$E$6</f>
        <v>3.4316774220000021</v>
      </c>
      <c r="AC21" s="398">
        <f>(AC19-AC$12)*Data!$E$6</f>
        <v>3.5441972220000064</v>
      </c>
      <c r="AD21" s="398">
        <f>(AD19-AD$12)*Data!$E$6</f>
        <v>3.6567170220000107</v>
      </c>
      <c r="AF21" s="60"/>
      <c r="AG21" s="337" t="s">
        <v>1824</v>
      </c>
      <c r="AH21" s="384"/>
      <c r="AI21" s="385" t="s">
        <v>1825</v>
      </c>
      <c r="AJ21" s="386" t="s">
        <v>1626</v>
      </c>
      <c r="AK21" s="386" t="s">
        <v>1826</v>
      </c>
      <c r="AL21" s="398">
        <f>(AL19-AL$12)*Data!$E$6</f>
        <v>0.24361642200000036</v>
      </c>
      <c r="AM21" s="398">
        <f>(AM19-AM$12)*Data!$E$6</f>
        <v>0.31862962200000033</v>
      </c>
      <c r="AN21" s="398">
        <f>(AN19-AN$12)*Data!$E$6</f>
        <v>0.39364282200000034</v>
      </c>
      <c r="AO21" s="398">
        <f>(AO19-AO$12)*Data!$E$6</f>
        <v>0.55867186200000019</v>
      </c>
      <c r="AP21" s="398">
        <f>(AP19-AP$12)*Data!$E$6</f>
        <v>0.72370090200000059</v>
      </c>
      <c r="AQ21" s="398">
        <f>(AQ19-AQ$12)*Data!$E$6</f>
        <v>0.88872994200000044</v>
      </c>
      <c r="AR21" s="398">
        <f>(AR19-AR$12)*Data!$E$6</f>
        <v>1.0537589820000004</v>
      </c>
      <c r="AS21" s="398">
        <f>(AS19-AS$12)*Data!$E$6</f>
        <v>1.2187880220000431</v>
      </c>
      <c r="AT21" s="398">
        <f>(AT19-AT$12)*Data!$E$6</f>
        <v>1.4813342220000172</v>
      </c>
      <c r="AU21" s="398">
        <f>(AU19-AU$12)*Data!$E$6</f>
        <v>1.7438804219999917</v>
      </c>
      <c r="AV21" s="398">
        <f>(AV19-AV$12)*Data!$E$6</f>
        <v>2.006426622000073</v>
      </c>
      <c r="AW21" s="398">
        <f>(AW19-AW$12)*Data!$E$6</f>
        <v>2.2689728220000469</v>
      </c>
      <c r="AX21" s="398">
        <f>(AX19-AX$12)*Data!$E$6</f>
        <v>2.5315190220000217</v>
      </c>
      <c r="AY21" s="398">
        <f>(AY19-AY$12)*Data!$E$6</f>
        <v>2.6440388219999993</v>
      </c>
      <c r="AZ21" s="398">
        <f>(AZ19-AZ$12)*Data!$E$6</f>
        <v>2.7565586220000036</v>
      </c>
      <c r="BA21" s="398">
        <f>(BA19-BA$12)*Data!$E$6</f>
        <v>2.8690784220000078</v>
      </c>
      <c r="BB21" s="398">
        <f>(BB19-BB$12)*Data!$E$6</f>
        <v>2.9815982220000121</v>
      </c>
      <c r="BC21" s="398">
        <f>(BC19-BC$12)*Data!$E$6</f>
        <v>3.0941180219999893</v>
      </c>
      <c r="BD21" s="398">
        <f>(BD19-BD$12)*Data!$E$6</f>
        <v>3.2066378219999936</v>
      </c>
      <c r="BE21" s="398">
        <f>(BE19-BE$12)*Data!$E$6</f>
        <v>3.3191576219999979</v>
      </c>
      <c r="BF21" s="398">
        <f>(BF19-BF$12)*Data!$E$6</f>
        <v>3.4316774220000021</v>
      </c>
      <c r="BG21" s="398">
        <f>(BG19-BG$12)*Data!$E$6</f>
        <v>3.5441972220000064</v>
      </c>
      <c r="BH21" s="398">
        <f>(BH19-BH$12)*Data!$E$6</f>
        <v>3.6567170220000107</v>
      </c>
    </row>
    <row r="22" spans="2:60" ht="15.6" customHeight="1">
      <c r="B22" s="60"/>
      <c r="C22" s="337" t="s">
        <v>1827</v>
      </c>
      <c r="D22" s="42"/>
      <c r="E22" s="385" t="s">
        <v>1828</v>
      </c>
      <c r="F22" s="386" t="s">
        <v>1829</v>
      </c>
      <c r="G22" s="386" t="s">
        <v>1826</v>
      </c>
      <c r="H22" s="398">
        <f>MIN(MAX(0,(H$19-H$13)),(H$12-H$13))*Data!$E$6</f>
        <v>0.48758580000000018</v>
      </c>
      <c r="I22" s="398">
        <f>MIN(MAX(0,(I$19-I$13)),(I$12-I$13))*Data!$E$6</f>
        <v>0.48758580000000018</v>
      </c>
      <c r="J22" s="398">
        <f>MIN(MAX(0,(J$19-J$13)),(J$12-J$13))*Data!$E$6</f>
        <v>0.48758579999999963</v>
      </c>
      <c r="K22" s="398">
        <f>MIN(MAX(0,(K$19-K$13)),(K$12-K$13))*Data!$E$6</f>
        <v>0.48758580000000018</v>
      </c>
      <c r="L22" s="398">
        <f>MIN(MAX(0,(L$19-L$13)),(L$12-L$13))*Data!$E$6</f>
        <v>0.48758579999999963</v>
      </c>
      <c r="M22" s="398">
        <f>MIN(MAX(0,(M$19-M$13)),(M$12-M$13))*Data!$E$6</f>
        <v>0.48758579999999963</v>
      </c>
      <c r="N22" s="398">
        <f>MIN(MAX(0,(N$19-N$13)),(N$12-N$13))*Data!$E$6</f>
        <v>0.48758580000000018</v>
      </c>
      <c r="O22" s="398">
        <f>MIN(MAX(0,(O$19-O$13)),(O$12-O$13))*Data!$E$6</f>
        <v>0.4875857999999999</v>
      </c>
      <c r="P22" s="398">
        <f>MIN(MAX(0,(P$19-P$13)),(P$12-P$13))*Data!$E$6</f>
        <v>0.48758580000000018</v>
      </c>
      <c r="Q22" s="398">
        <f>MIN(MAX(0,(Q$19-Q$13)),(Q$12-Q$13))*Data!$E$6</f>
        <v>0.4875857999999999</v>
      </c>
      <c r="R22" s="398">
        <f>MIN(MAX(0,(R$19-R$13)),(R$12-R$13))*Data!$E$6</f>
        <v>0.4875857999999999</v>
      </c>
      <c r="S22" s="398">
        <f>MIN(MAX(0,(S$19-S$13)),(S$12-S$13))*Data!$E$6</f>
        <v>0.48758580000000007</v>
      </c>
      <c r="T22" s="398">
        <f>MIN(MAX(0,(T$19-T$13)),(T$12-T$13))*Data!$E$6</f>
        <v>0.48758580000000007</v>
      </c>
      <c r="U22" s="398">
        <f>MIN(MAX(0,(U$19-U$13)),(U$12-U$13))*Data!$E$6</f>
        <v>0.48758580000000007</v>
      </c>
      <c r="V22" s="398">
        <f>MIN(MAX(0,(V$19-V$13)),(V$12-V$13))*Data!$E$6</f>
        <v>0.48758580000000007</v>
      </c>
      <c r="W22" s="398">
        <f>MIN(MAX(0,(W$19-W$13)),(W$12-W$13))*Data!$E$6</f>
        <v>0.48758580000000007</v>
      </c>
      <c r="X22" s="398">
        <f>MIN(MAX(0,(X$19-X$13)),(X$12-X$13))*Data!$E$6</f>
        <v>0.48758580000000007</v>
      </c>
      <c r="Y22" s="398">
        <f>MIN(MAX(0,(Y$19-Y$13)),(Y$12-Y$13))*Data!$E$6</f>
        <v>0.4875857999999999</v>
      </c>
      <c r="Z22" s="398">
        <f>MIN(MAX(0,(Z$19-Z$13)),(Z$12-Z$13))*Data!$E$6</f>
        <v>0.48758579999999996</v>
      </c>
      <c r="AA22" s="398">
        <f>MIN(MAX(0,(AA$19-AA$13)),(AA$12-AA$13))*Data!$E$6</f>
        <v>0.48758579999999996</v>
      </c>
      <c r="AB22" s="398">
        <f>MIN(MAX(0,(AB$19-AB$13)),(AB$12-AB$13))*Data!$E$6</f>
        <v>0.41257259999999785</v>
      </c>
      <c r="AC22" s="398">
        <f>MIN(MAX(0,(AC$19-AC$13)),(AC$12-AC$13))*Data!$E$6</f>
        <v>0.30005279999999357</v>
      </c>
      <c r="AD22" s="398">
        <f>MIN(MAX(0,(AD$19-AD$13)),(AD$12-AD$13))*Data!$E$6</f>
        <v>0.18753299999998932</v>
      </c>
      <c r="AF22" s="60"/>
      <c r="AG22" s="337" t="s">
        <v>1827</v>
      </c>
      <c r="AH22" s="42"/>
      <c r="AI22" s="385" t="s">
        <v>1828</v>
      </c>
      <c r="AJ22" s="386" t="s">
        <v>1829</v>
      </c>
      <c r="AK22" s="386" t="s">
        <v>1826</v>
      </c>
      <c r="AL22" s="398">
        <f>MIN(MAX(0,(AL$19-AL$13)),(AL$12-AL$13))*Data!$E$6</f>
        <v>0.48758580000000018</v>
      </c>
      <c r="AM22" s="398">
        <f>MIN(MAX(0,(AM$19-AM$13)),(AM$12-AM$13))*Data!$E$6</f>
        <v>0.48758580000000018</v>
      </c>
      <c r="AN22" s="398">
        <f>MIN(MAX(0,(AN$19-AN$13)),(AN$12-AN$13))*Data!$E$6</f>
        <v>0.48758579999999963</v>
      </c>
      <c r="AO22" s="398">
        <f>MIN(MAX(0,(AO$19-AO$13)),(AO$12-AO$13))*Data!$E$6</f>
        <v>0.48758580000000018</v>
      </c>
      <c r="AP22" s="398">
        <f>MIN(MAX(0,(AP$19-AP$13)),(AP$12-AP$13))*Data!$E$6</f>
        <v>0.48758579999999963</v>
      </c>
      <c r="AQ22" s="398">
        <f>MIN(MAX(0,(AQ$19-AQ$13)),(AQ$12-AQ$13))*Data!$E$6</f>
        <v>0.48758579999999963</v>
      </c>
      <c r="AR22" s="398">
        <f>MIN(MAX(0,(AR$19-AR$13)),(AR$12-AR$13))*Data!$E$6</f>
        <v>0.48758580000000018</v>
      </c>
      <c r="AS22" s="398">
        <f>MIN(MAX(0,(AS$19-AS$13)),(AS$12-AS$13))*Data!$E$6</f>
        <v>0.4875857999999999</v>
      </c>
      <c r="AT22" s="398">
        <f>MIN(MAX(0,(AT$19-AT$13)),(AT$12-AT$13))*Data!$E$6</f>
        <v>0.48758580000000018</v>
      </c>
      <c r="AU22" s="398">
        <f>MIN(MAX(0,(AU$19-AU$13)),(AU$12-AU$13))*Data!$E$6</f>
        <v>0.4875857999999999</v>
      </c>
      <c r="AV22" s="398">
        <f>MIN(MAX(0,(AV$19-AV$13)),(AV$12-AV$13))*Data!$E$6</f>
        <v>0.4875857999999999</v>
      </c>
      <c r="AW22" s="398">
        <f>MIN(MAX(0,(AW$19-AW$13)),(AW$12-AW$13))*Data!$E$6</f>
        <v>0.48758580000000007</v>
      </c>
      <c r="AX22" s="398">
        <f>MIN(MAX(0,(AX$19-AX$13)),(AX$12-AX$13))*Data!$E$6</f>
        <v>0.48758580000000007</v>
      </c>
      <c r="AY22" s="398">
        <f>MIN(MAX(0,(AY$19-AY$13)),(AY$12-AY$13))*Data!$E$6</f>
        <v>0.48758580000000007</v>
      </c>
      <c r="AZ22" s="398">
        <f>MIN(MAX(0,(AZ$19-AZ$13)),(AZ$12-AZ$13))*Data!$E$6</f>
        <v>0.48758580000000007</v>
      </c>
      <c r="BA22" s="398">
        <f>MIN(MAX(0,(BA$19-BA$13)),(BA$12-BA$13))*Data!$E$6</f>
        <v>0.48758580000000007</v>
      </c>
      <c r="BB22" s="398">
        <f>MIN(MAX(0,(BB$19-BB$13)),(BB$12-BB$13))*Data!$E$6</f>
        <v>0.48758580000000007</v>
      </c>
      <c r="BC22" s="398">
        <f>MIN(MAX(0,(BC$19-BC$13)),(BC$12-BC$13))*Data!$E$6</f>
        <v>0.4875857999999999</v>
      </c>
      <c r="BD22" s="398">
        <f>MIN(MAX(0,(BD$19-BD$13)),(BD$12-BD$13))*Data!$E$6</f>
        <v>0.48758579999999996</v>
      </c>
      <c r="BE22" s="398">
        <f>MIN(MAX(0,(BE$19-BE$13)),(BE$12-BE$13))*Data!$E$6</f>
        <v>0.48758579999999996</v>
      </c>
      <c r="BF22" s="398">
        <f>MIN(MAX(0,(BF$19-BF$13)),(BF$12-BF$13))*Data!$E$6</f>
        <v>0.41257259999999785</v>
      </c>
      <c r="BG22" s="398">
        <f>MIN(MAX(0,(BG$19-BG$13)),(BG$12-BG$13))*Data!$E$6</f>
        <v>0.30005279999999357</v>
      </c>
      <c r="BH22" s="398">
        <f>MIN(MAX(0,(BH$19-BH$13)),(BH$12-BH$13))*Data!$E$6</f>
        <v>0.18753299999998932</v>
      </c>
    </row>
    <row r="23" spans="2:60" ht="15">
      <c r="B23" s="60"/>
      <c r="C23" s="337" t="s">
        <v>1830</v>
      </c>
      <c r="D23" s="397" t="str">
        <f>'CCC Summary (main)'!$C$25</f>
        <v>Enter fixed price</v>
      </c>
      <c r="E23" s="385" t="s">
        <v>1814</v>
      </c>
      <c r="F23" s="386" t="str">
        <f>IF('CCC Summary (main)'!$C$25="Yes",'CCC Summary (main)'!$D$25,"")</f>
        <v/>
      </c>
      <c r="G23" s="386" t="s">
        <v>587</v>
      </c>
      <c r="H23" s="402">
        <f ca="1">IF($D23="Enter fixed price",'CCC Summary (main)'!$C$26/(Data!$E$6*1000),INDEX(Data!$B$26:$AA$35,MATCH($D23,Data!$B$26:$B$35,0),MATCH(H$11,Data!$B$26:$AA$26,0)))</f>
        <v>0</v>
      </c>
      <c r="I23" s="402">
        <f ca="1">IF($D23="Enter fixed price",'CCC Summary (main)'!$C$26/(Data!$E$6*1000),INDEX(Data!$B$26:$AA$35,MATCH($D23,Data!$B$26:$B$35,0),MATCH(I$11,Data!$B$26:$AA$26,0)))</f>
        <v>0</v>
      </c>
      <c r="J23" s="402">
        <f ca="1">IF($D23="Enter fixed price",'CCC Summary (main)'!$C$26/(Data!$E$6*1000),INDEX(Data!$B$26:$AA$35,MATCH($D23,Data!$B$26:$B$35,0),MATCH(J$11,Data!$B$26:$AA$26,0)))</f>
        <v>0</v>
      </c>
      <c r="K23" s="402">
        <f ca="1">IF($D23="Enter fixed price",'CCC Summary (main)'!$C$26/(Data!$E$6*1000),INDEX(Data!$B$26:$AA$35,MATCH($D23,Data!$B$26:$B$35,0),MATCH(K$11,Data!$B$26:$AA$26,0)))</f>
        <v>0</v>
      </c>
      <c r="L23" s="402">
        <f ca="1">IF($D23="Enter fixed price",'CCC Summary (main)'!$C$26/(Data!$E$6*1000),INDEX(Data!$B$26:$AA$35,MATCH($D23,Data!$B$26:$B$35,0),MATCH(L$11,Data!$B$26:$AA$26,0)))</f>
        <v>0</v>
      </c>
      <c r="M23" s="402">
        <f ca="1">IF($D23="Enter fixed price",'CCC Summary (main)'!$C$26/(Data!$E$6*1000),INDEX(Data!$B$26:$AA$35,MATCH($D23,Data!$B$26:$B$35,0),MATCH(M$11,Data!$B$26:$AA$26,0)))</f>
        <v>0</v>
      </c>
      <c r="N23" s="402">
        <f ca="1">IF($D23="Enter fixed price",'CCC Summary (main)'!$C$26/(Data!$E$6*1000),INDEX(Data!$B$26:$AA$35,MATCH($D23,Data!$B$26:$B$35,0),MATCH(N$11,Data!$B$26:$AA$26,0)))</f>
        <v>0</v>
      </c>
      <c r="O23" s="402">
        <f ca="1">IF($D23="Enter fixed price",'CCC Summary (main)'!$C$26/(Data!$E$6*1000),INDEX(Data!$B$26:$AA$35,MATCH($D23,Data!$B$26:$B$35,0),MATCH(O$11,Data!$B$26:$AA$26,0)))</f>
        <v>0</v>
      </c>
      <c r="P23" s="402">
        <f ca="1">IF($D23="Enter fixed price",'CCC Summary (main)'!$C$26/(Data!$E$6*1000),INDEX(Data!$B$26:$AA$35,MATCH($D23,Data!$B$26:$B$35,0),MATCH(P$11,Data!$B$26:$AA$26,0)))</f>
        <v>0</v>
      </c>
      <c r="Q23" s="402">
        <f ca="1">IF($D23="Enter fixed price",'CCC Summary (main)'!$C$26/(Data!$E$6*1000),INDEX(Data!$B$26:$AA$35,MATCH($D23,Data!$B$26:$B$35,0),MATCH(Q$11,Data!$B$26:$AA$26,0)))</f>
        <v>0</v>
      </c>
      <c r="R23" s="402">
        <f ca="1">IF($D23="Enter fixed price",'CCC Summary (main)'!$C$26/(Data!$E$6*1000),INDEX(Data!$B$26:$AA$35,MATCH($D23,Data!$B$26:$B$35,0),MATCH(R$11,Data!$B$26:$AA$26,0)))</f>
        <v>0</v>
      </c>
      <c r="S23" s="402">
        <f ca="1">IF($D23="Enter fixed price",'CCC Summary (main)'!$C$26/(Data!$E$6*1000),INDEX(Data!$B$26:$AA$35,MATCH($D23,Data!$B$26:$B$35,0),MATCH(S$11,Data!$B$26:$AA$26,0)))</f>
        <v>0</v>
      </c>
      <c r="T23" s="402">
        <f ca="1">IF($D23="Enter fixed price",'CCC Summary (main)'!$C$26/(Data!$E$6*1000),INDEX(Data!$B$26:$AA$35,MATCH($D23,Data!$B$26:$B$35,0),MATCH(T$11,Data!$B$26:$AA$26,0)))</f>
        <v>0</v>
      </c>
      <c r="U23" s="402">
        <f ca="1">IF($D23="Enter fixed price",'CCC Summary (main)'!$C$26/(Data!$E$6*1000),INDEX(Data!$B$26:$AA$35,MATCH($D23,Data!$B$26:$B$35,0),MATCH(U$11,Data!$B$26:$AA$26,0)))</f>
        <v>0</v>
      </c>
      <c r="V23" s="402">
        <f ca="1">IF($D23="Enter fixed price",'CCC Summary (main)'!$C$26/(Data!$E$6*1000),INDEX(Data!$B$26:$AA$35,MATCH($D23,Data!$B$26:$B$35,0),MATCH(V$11,Data!$B$26:$AA$26,0)))</f>
        <v>0</v>
      </c>
      <c r="W23" s="402">
        <f ca="1">IF($D23="Enter fixed price",'CCC Summary (main)'!$C$26/(Data!$E$6*1000),INDEX(Data!$B$26:$AA$35,MATCH($D23,Data!$B$26:$B$35,0),MATCH(W$11,Data!$B$26:$AA$26,0)))</f>
        <v>0</v>
      </c>
      <c r="X23" s="402">
        <f ca="1">IF($D23="Enter fixed price",'CCC Summary (main)'!$C$26/(Data!$E$6*1000),INDEX(Data!$B$26:$AA$35,MATCH($D23,Data!$B$26:$B$35,0),MATCH(X$11,Data!$B$26:$AA$26,0)))</f>
        <v>0</v>
      </c>
      <c r="Y23" s="402">
        <f ca="1">IF($D23="Enter fixed price",'CCC Summary (main)'!$C$26/(Data!$E$6*1000),INDEX(Data!$B$26:$AA$35,MATCH($D23,Data!$B$26:$B$35,0),MATCH(Y$11,Data!$B$26:$AA$26,0)))</f>
        <v>0</v>
      </c>
      <c r="Z23" s="402">
        <f ca="1">IF($D23="Enter fixed price",'CCC Summary (main)'!$C$26/(Data!$E$6*1000),INDEX(Data!$B$26:$AA$35,MATCH($D23,Data!$B$26:$B$35,0),MATCH(Z$11,Data!$B$26:$AA$26,0)))</f>
        <v>0</v>
      </c>
      <c r="AA23" s="402">
        <f ca="1">IF($D23="Enter fixed price",'CCC Summary (main)'!$C$26/(Data!$E$6*1000),INDEX(Data!$B$26:$AA$35,MATCH($D23,Data!$B$26:$B$35,0),MATCH(AA$11,Data!$B$26:$AA$26,0)))</f>
        <v>0</v>
      </c>
      <c r="AB23" s="402">
        <f ca="1">IF($D23="Enter fixed price",'CCC Summary (main)'!$C$26/(Data!$E$6*1000),INDEX(Data!$B$26:$AA$35,MATCH($D23,Data!$B$26:$B$35,0),MATCH(AB$11,Data!$B$26:$AA$26,0)))</f>
        <v>0</v>
      </c>
      <c r="AC23" s="402">
        <f ca="1">IF($D23="Enter fixed price",'CCC Summary (main)'!$C$26/(Data!$E$6*1000),INDEX(Data!$B$26:$AA$35,MATCH($D23,Data!$B$26:$B$35,0),MATCH(AC$11,Data!$B$26:$AA$26,0)))</f>
        <v>0</v>
      </c>
      <c r="AD23" s="402">
        <f ca="1">IF($D23="Enter fixed price",'CCC Summary (main)'!$C$26/(Data!$E$6*1000),INDEX(Data!$B$26:$AA$35,MATCH($D23,Data!$B$26:$B$35,0),MATCH(AD$11,Data!$B$26:$AA$26,0)))</f>
        <v>0</v>
      </c>
      <c r="AF23" s="60"/>
      <c r="AG23" s="337" t="s">
        <v>1830</v>
      </c>
      <c r="AH23" s="397" t="str">
        <f>+D23</f>
        <v>Enter fixed price</v>
      </c>
      <c r="AI23" s="385" t="s">
        <v>1814</v>
      </c>
      <c r="AJ23" s="386" t="str">
        <f>IF('CCC Summary (main)'!$C$25="Yes",'CCC Summary (main)'!$D$25,"")</f>
        <v/>
      </c>
      <c r="AK23" s="386" t="s">
        <v>587</v>
      </c>
      <c r="AL23" s="402">
        <f ca="1">IF($AH23="Enter fixed price",'CCC Summary (main)'!$C$26/(Data!$E$6*1000),INDEX(Data!$B$26:$AA$35,MATCH($AH23,Data!$B$26:$B$35,0),MATCH(AL$11,Data!$B$26:$AA$26,0)))</f>
        <v>0</v>
      </c>
      <c r="AM23" s="402">
        <f ca="1">IF($AH23="Enter fixed price",'CCC Summary (main)'!$C$26/(Data!$E$6*1000),INDEX(Data!$B$26:$AA$35,MATCH($AH23,Data!$B$26:$B$35,0),MATCH(AM$11,Data!$B$26:$AA$26,0)))</f>
        <v>0</v>
      </c>
      <c r="AN23" s="402">
        <f ca="1">IF($AH23="Enter fixed price",'CCC Summary (main)'!$C$26/(Data!$E$6*1000),INDEX(Data!$B$26:$AA$35,MATCH($AH23,Data!$B$26:$B$35,0),MATCH(AN$11,Data!$B$26:$AA$26,0)))</f>
        <v>0</v>
      </c>
      <c r="AO23" s="402">
        <f ca="1">IF($AH23="Enter fixed price",'CCC Summary (main)'!$C$26/(Data!$E$6*1000),INDEX(Data!$B$26:$AA$35,MATCH($AH23,Data!$B$26:$B$35,0),MATCH(AO$11,Data!$B$26:$AA$26,0)))</f>
        <v>0</v>
      </c>
      <c r="AP23" s="402">
        <f ca="1">IF($AH23="Enter fixed price",'CCC Summary (main)'!$C$26/(Data!$E$6*1000),INDEX(Data!$B$26:$AA$35,MATCH($AH23,Data!$B$26:$B$35,0),MATCH(AP$11,Data!$B$26:$AA$26,0)))</f>
        <v>0</v>
      </c>
      <c r="AQ23" s="402">
        <f ca="1">IF($AH23="Enter fixed price",'CCC Summary (main)'!$C$26/(Data!$E$6*1000),INDEX(Data!$B$26:$AA$35,MATCH($AH23,Data!$B$26:$B$35,0),MATCH(AQ$11,Data!$B$26:$AA$26,0)))</f>
        <v>0</v>
      </c>
      <c r="AR23" s="402">
        <f ca="1">IF($AH23="Enter fixed price",'CCC Summary (main)'!$C$26/(Data!$E$6*1000),INDEX(Data!$B$26:$AA$35,MATCH($AH23,Data!$B$26:$B$35,0),MATCH(AR$11,Data!$B$26:$AA$26,0)))</f>
        <v>0</v>
      </c>
      <c r="AS23" s="402">
        <f ca="1">IF($AH23="Enter fixed price",'CCC Summary (main)'!$C$26/(Data!$E$6*1000),INDEX(Data!$B$26:$AA$35,MATCH($AH23,Data!$B$26:$B$35,0),MATCH(AS$11,Data!$B$26:$AA$26,0)))</f>
        <v>0</v>
      </c>
      <c r="AT23" s="402">
        <f ca="1">IF($AH23="Enter fixed price",'CCC Summary (main)'!$C$26/(Data!$E$6*1000),INDEX(Data!$B$26:$AA$35,MATCH($AH23,Data!$B$26:$B$35,0),MATCH(AT$11,Data!$B$26:$AA$26,0)))</f>
        <v>0</v>
      </c>
      <c r="AU23" s="402">
        <f ca="1">IF($AH23="Enter fixed price",'CCC Summary (main)'!$C$26/(Data!$E$6*1000),INDEX(Data!$B$26:$AA$35,MATCH($AH23,Data!$B$26:$B$35,0),MATCH(AU$11,Data!$B$26:$AA$26,0)))</f>
        <v>0</v>
      </c>
      <c r="AV23" s="402">
        <f ca="1">IF($AH23="Enter fixed price",'CCC Summary (main)'!$C$26/(Data!$E$6*1000),INDEX(Data!$B$26:$AA$35,MATCH($AH23,Data!$B$26:$B$35,0),MATCH(AV$11,Data!$B$26:$AA$26,0)))</f>
        <v>0</v>
      </c>
      <c r="AW23" s="402">
        <f ca="1">IF($AH23="Enter fixed price",'CCC Summary (main)'!$C$26/(Data!$E$6*1000),INDEX(Data!$B$26:$AA$35,MATCH($AH23,Data!$B$26:$B$35,0),MATCH(AW$11,Data!$B$26:$AA$26,0)))</f>
        <v>0</v>
      </c>
      <c r="AX23" s="402">
        <f ca="1">IF($AH23="Enter fixed price",'CCC Summary (main)'!$C$26/(Data!$E$6*1000),INDEX(Data!$B$26:$AA$35,MATCH($AH23,Data!$B$26:$B$35,0),MATCH(AX$11,Data!$B$26:$AA$26,0)))</f>
        <v>0</v>
      </c>
      <c r="AY23" s="402">
        <f ca="1">IF($AH23="Enter fixed price",'CCC Summary (main)'!$C$26/(Data!$E$6*1000),INDEX(Data!$B$26:$AA$35,MATCH($AH23,Data!$B$26:$B$35,0),MATCH(AY$11,Data!$B$26:$AA$26,0)))</f>
        <v>0</v>
      </c>
      <c r="AZ23" s="402">
        <f ca="1">IF($AH23="Enter fixed price",'CCC Summary (main)'!$C$26/(Data!$E$6*1000),INDEX(Data!$B$26:$AA$35,MATCH($AH23,Data!$B$26:$B$35,0),MATCH(AZ$11,Data!$B$26:$AA$26,0)))</f>
        <v>0</v>
      </c>
      <c r="BA23" s="402">
        <f ca="1">IF($AH23="Enter fixed price",'CCC Summary (main)'!$C$26/(Data!$E$6*1000),INDEX(Data!$B$26:$AA$35,MATCH($AH23,Data!$B$26:$B$35,0),MATCH(BA$11,Data!$B$26:$AA$26,0)))</f>
        <v>0</v>
      </c>
      <c r="BB23" s="402">
        <f ca="1">IF($AH23="Enter fixed price",'CCC Summary (main)'!$C$26/(Data!$E$6*1000),INDEX(Data!$B$26:$AA$35,MATCH($AH23,Data!$B$26:$B$35,0),MATCH(BB$11,Data!$B$26:$AA$26,0)))</f>
        <v>0</v>
      </c>
      <c r="BC23" s="402">
        <f ca="1">IF($AH23="Enter fixed price",'CCC Summary (main)'!$C$26/(Data!$E$6*1000),INDEX(Data!$B$26:$AA$35,MATCH($AH23,Data!$B$26:$B$35,0),MATCH(BC$11,Data!$B$26:$AA$26,0)))</f>
        <v>0</v>
      </c>
      <c r="BD23" s="402">
        <f ca="1">IF($AH23="Enter fixed price",'CCC Summary (main)'!$C$26/(Data!$E$6*1000),INDEX(Data!$B$26:$AA$35,MATCH($AH23,Data!$B$26:$B$35,0),MATCH(BD$11,Data!$B$26:$AA$26,0)))</f>
        <v>0</v>
      </c>
      <c r="BE23" s="402">
        <f ca="1">IF($AH23="Enter fixed price",'CCC Summary (main)'!$C$26/(Data!$E$6*1000),INDEX(Data!$B$26:$AA$35,MATCH($AH23,Data!$B$26:$B$35,0),MATCH(BE$11,Data!$B$26:$AA$26,0)))</f>
        <v>0</v>
      </c>
      <c r="BF23" s="402">
        <f ca="1">IF($AH23="Enter fixed price",'CCC Summary (main)'!$C$26/(Data!$E$6*1000),INDEX(Data!$B$26:$AA$35,MATCH($AH23,Data!$B$26:$B$35,0),MATCH(BF$11,Data!$B$26:$AA$26,0)))</f>
        <v>0</v>
      </c>
      <c r="BG23" s="402">
        <f ca="1">IF($AH23="Enter fixed price",'CCC Summary (main)'!$C$26/(Data!$E$6*1000),INDEX(Data!$B$26:$AA$35,MATCH($AH23,Data!$B$26:$B$35,0),MATCH(BG$11,Data!$B$26:$AA$26,0)))</f>
        <v>0</v>
      </c>
      <c r="BH23" s="402">
        <f ca="1">IF($AH23="Enter fixed price",'CCC Summary (main)'!$C$26/(Data!$E$6*1000),INDEX(Data!$B$26:$AA$35,MATCH($AH23,Data!$B$26:$B$35,0),MATCH(BH$11,Data!$B$26:$AA$26,0)))</f>
        <v>0</v>
      </c>
    </row>
    <row r="24" spans="2:60" ht="15">
      <c r="B24" s="60"/>
      <c r="C24" s="403" t="s">
        <v>1831</v>
      </c>
      <c r="D24" s="404"/>
      <c r="E24" s="385" t="s">
        <v>1673</v>
      </c>
      <c r="F24" s="386" t="s">
        <v>1628</v>
      </c>
      <c r="G24" s="386" t="s">
        <v>1832</v>
      </c>
      <c r="H24" s="398">
        <f>H21*Data!E$15</f>
        <v>92.574240360000132</v>
      </c>
      <c r="I24" s="398">
        <f>I21*Data!F$15</f>
        <v>121.07925636000013</v>
      </c>
      <c r="J24" s="398">
        <f>J21*Data!G$15</f>
        <v>149.58427236000011</v>
      </c>
      <c r="K24" s="398">
        <f>K21*Data!H$15</f>
        <v>212.29530756000008</v>
      </c>
      <c r="L24" s="398">
        <f>L21*Data!I$15</f>
        <v>275.00634276000022</v>
      </c>
      <c r="M24" s="398">
        <f>M21*Data!J$15</f>
        <v>337.71737796000019</v>
      </c>
      <c r="N24" s="398">
        <f>N21*Data!K$15</f>
        <v>400.42841316000016</v>
      </c>
      <c r="O24" s="398">
        <f>O21*Data!L$15</f>
        <v>463.13944836001639</v>
      </c>
      <c r="P24" s="398">
        <f>P21*Data!M$15</f>
        <v>562.90700436000657</v>
      </c>
      <c r="Q24" s="398">
        <f>Q21*Data!N$15</f>
        <v>662.6745603599968</v>
      </c>
      <c r="R24" s="398">
        <f>R21*Data!O$15</f>
        <v>762.44211636002774</v>
      </c>
      <c r="S24" s="398">
        <f>S21*Data!P$15</f>
        <v>862.20967236001786</v>
      </c>
      <c r="T24" s="398">
        <f>T21*Data!Q$15</f>
        <v>961.97722836000821</v>
      </c>
      <c r="U24" s="398">
        <f>U21*Data!R$15</f>
        <v>1004.7347523599997</v>
      </c>
      <c r="V24" s="398">
        <f>V21*Data!S$15</f>
        <v>1047.4922763600014</v>
      </c>
      <c r="W24" s="398">
        <f>W21*Data!T$15</f>
        <v>1090.2498003600031</v>
      </c>
      <c r="X24" s="398">
        <f>X21*Data!U$15</f>
        <v>1133.0073243600045</v>
      </c>
      <c r="Y24" s="398">
        <f>Y21*Data!V$15</f>
        <v>1175.764848359996</v>
      </c>
      <c r="Z24" s="398">
        <f>Z21*Data!W$15</f>
        <v>1218.5223723599975</v>
      </c>
      <c r="AA24" s="398">
        <f>AA21*Data!X$15</f>
        <v>1261.2798963599992</v>
      </c>
      <c r="AB24" s="398">
        <f>AB21*Data!Y$15</f>
        <v>1304.0374203600009</v>
      </c>
      <c r="AC24" s="398">
        <f>AC21*Data!Z$15</f>
        <v>1346.7949443600025</v>
      </c>
      <c r="AD24" s="398">
        <f>AD21*Data!AA$15</f>
        <v>1389.552468360004</v>
      </c>
      <c r="AF24" s="60"/>
      <c r="AG24" s="403" t="s">
        <v>1831</v>
      </c>
      <c r="AH24" s="404"/>
      <c r="AI24" s="385" t="s">
        <v>1673</v>
      </c>
      <c r="AJ24" s="386" t="s">
        <v>1628</v>
      </c>
      <c r="AK24" s="386" t="s">
        <v>1832</v>
      </c>
      <c r="AL24" s="398">
        <f>AL21*Data!E$15</f>
        <v>92.574240360000132</v>
      </c>
      <c r="AM24" s="398">
        <f>AM21*Data!F$15</f>
        <v>121.07925636000013</v>
      </c>
      <c r="AN24" s="398">
        <f>AN21*Data!G$15</f>
        <v>149.58427236000011</v>
      </c>
      <c r="AO24" s="398">
        <f>AO21*Data!H$15</f>
        <v>212.29530756000008</v>
      </c>
      <c r="AP24" s="398">
        <f>AP21*Data!I$15</f>
        <v>275.00634276000022</v>
      </c>
      <c r="AQ24" s="398">
        <f>AQ21*Data!J$15</f>
        <v>337.71737796000019</v>
      </c>
      <c r="AR24" s="398">
        <f>AR21*Data!K$15</f>
        <v>400.42841316000016</v>
      </c>
      <c r="AS24" s="398">
        <f>AS21*Data!L$15</f>
        <v>463.13944836001639</v>
      </c>
      <c r="AT24" s="398">
        <f>AT21*Data!M$15</f>
        <v>562.90700436000657</v>
      </c>
      <c r="AU24" s="398">
        <f>AU21*Data!N$15</f>
        <v>662.6745603599968</v>
      </c>
      <c r="AV24" s="398">
        <f>AV21*Data!O$15</f>
        <v>762.44211636002774</v>
      </c>
      <c r="AW24" s="398">
        <f>AW21*Data!P$15</f>
        <v>862.20967236001786</v>
      </c>
      <c r="AX24" s="398">
        <f>AX21*Data!Q$15</f>
        <v>961.97722836000821</v>
      </c>
      <c r="AY24" s="398">
        <f>AY21*Data!R$15</f>
        <v>1004.7347523599997</v>
      </c>
      <c r="AZ24" s="398">
        <f>AZ21*Data!S$15</f>
        <v>1047.4922763600014</v>
      </c>
      <c r="BA24" s="398">
        <f>BA21*Data!T$15</f>
        <v>1090.2498003600031</v>
      </c>
      <c r="BB24" s="398">
        <f>BB21*Data!U$15</f>
        <v>1133.0073243600045</v>
      </c>
      <c r="BC24" s="398">
        <f>BC21*Data!V$15</f>
        <v>1175.764848359996</v>
      </c>
      <c r="BD24" s="398">
        <f>BD21*Data!W$15</f>
        <v>1218.5223723599975</v>
      </c>
      <c r="BE24" s="398">
        <f>BE21*Data!X$15</f>
        <v>1261.2798963599992</v>
      </c>
      <c r="BF24" s="398">
        <f>BF21*Data!Y$15</f>
        <v>1304.0374203600009</v>
      </c>
      <c r="BG24" s="398">
        <f>BG21*Data!Z$15</f>
        <v>1346.7949443600025</v>
      </c>
      <c r="BH24" s="398">
        <f>BH21*Data!AA$15</f>
        <v>1389.552468360004</v>
      </c>
    </row>
    <row r="25" spans="2:60" ht="15">
      <c r="B25" s="60"/>
      <c r="C25" s="405" t="s">
        <v>1833</v>
      </c>
      <c r="D25" s="406"/>
      <c r="E25" s="407" t="s">
        <v>1673</v>
      </c>
      <c r="F25" s="408" t="s">
        <v>1628</v>
      </c>
      <c r="G25" s="408" t="s">
        <v>1832</v>
      </c>
      <c r="H25" s="409">
        <f>H22*Data!E$16</f>
        <v>48.758580000000016</v>
      </c>
      <c r="I25" s="409">
        <f>I22*Data!F$16</f>
        <v>48.758580000000016</v>
      </c>
      <c r="J25" s="409">
        <f>J22*Data!G$16</f>
        <v>48.758579999999959</v>
      </c>
      <c r="K25" s="409">
        <f>K22*Data!H$16</f>
        <v>48.758580000000016</v>
      </c>
      <c r="L25" s="409">
        <f>L22*Data!I$16</f>
        <v>48.758579999999959</v>
      </c>
      <c r="M25" s="409">
        <f>M22*Data!J$16</f>
        <v>48.758579999999959</v>
      </c>
      <c r="N25" s="409">
        <f>N22*Data!K$16</f>
        <v>48.758580000000016</v>
      </c>
      <c r="O25" s="409">
        <f>O22*Data!L$16</f>
        <v>48.758579999999988</v>
      </c>
      <c r="P25" s="409">
        <f>P22*Data!M$16</f>
        <v>48.758580000000016</v>
      </c>
      <c r="Q25" s="409">
        <f>Q22*Data!N$16</f>
        <v>48.758579999999988</v>
      </c>
      <c r="R25" s="409">
        <f>R22*Data!O$16</f>
        <v>48.758579999999988</v>
      </c>
      <c r="S25" s="409">
        <f>S22*Data!P$16</f>
        <v>48.758580000000009</v>
      </c>
      <c r="T25" s="409">
        <f>T22*Data!Q$16</f>
        <v>48.758580000000009</v>
      </c>
      <c r="U25" s="409">
        <f>U22*Data!R$16</f>
        <v>48.758580000000009</v>
      </c>
      <c r="V25" s="409">
        <f>V22*Data!S$16</f>
        <v>48.758580000000009</v>
      </c>
      <c r="W25" s="409">
        <f>W22*Data!T$16</f>
        <v>48.758580000000009</v>
      </c>
      <c r="X25" s="409">
        <f>X22*Data!U$16</f>
        <v>48.758580000000009</v>
      </c>
      <c r="Y25" s="409">
        <f>Y22*Data!V$16</f>
        <v>48.758579999999988</v>
      </c>
      <c r="Z25" s="409">
        <f>Z22*Data!W$16</f>
        <v>48.758579999999995</v>
      </c>
      <c r="AA25" s="409">
        <f>AA22*Data!X$16</f>
        <v>48.758579999999995</v>
      </c>
      <c r="AB25" s="409">
        <f>AB22*Data!Y$16</f>
        <v>41.257259999999782</v>
      </c>
      <c r="AC25" s="409">
        <f>AC22*Data!Z$16</f>
        <v>30.005279999999356</v>
      </c>
      <c r="AD25" s="409">
        <f>AD22*Data!AA$16</f>
        <v>18.753299999998934</v>
      </c>
      <c r="AF25" s="60"/>
      <c r="AG25" s="405" t="s">
        <v>1833</v>
      </c>
      <c r="AH25" s="406"/>
      <c r="AI25" s="407" t="s">
        <v>1673</v>
      </c>
      <c r="AJ25" s="408" t="s">
        <v>1628</v>
      </c>
      <c r="AK25" s="408" t="s">
        <v>1832</v>
      </c>
      <c r="AL25" s="409">
        <f>AL22*Data!E$16</f>
        <v>48.758580000000016</v>
      </c>
      <c r="AM25" s="409">
        <f>AM22*Data!F$16</f>
        <v>48.758580000000016</v>
      </c>
      <c r="AN25" s="409">
        <f>AN22*Data!G$16</f>
        <v>48.758579999999959</v>
      </c>
      <c r="AO25" s="409">
        <f>AO22*Data!H$16</f>
        <v>48.758580000000016</v>
      </c>
      <c r="AP25" s="409">
        <f>AP22*Data!I$16</f>
        <v>48.758579999999959</v>
      </c>
      <c r="AQ25" s="409">
        <f>AQ22*Data!J$16</f>
        <v>48.758579999999959</v>
      </c>
      <c r="AR25" s="409">
        <f>AR22*Data!K$16</f>
        <v>48.758580000000016</v>
      </c>
      <c r="AS25" s="409">
        <f>AS22*Data!L$16</f>
        <v>48.758579999999988</v>
      </c>
      <c r="AT25" s="409">
        <f>AT22*Data!M$16</f>
        <v>48.758580000000016</v>
      </c>
      <c r="AU25" s="409">
        <f>AU22*Data!N$16</f>
        <v>48.758579999999988</v>
      </c>
      <c r="AV25" s="409">
        <f>AV22*Data!O$16</f>
        <v>48.758579999999988</v>
      </c>
      <c r="AW25" s="409">
        <f>AW22*Data!P$16</f>
        <v>48.758580000000009</v>
      </c>
      <c r="AX25" s="409">
        <f>AX22*Data!Q$16</f>
        <v>48.758580000000009</v>
      </c>
      <c r="AY25" s="409">
        <f>AY22*Data!R$16</f>
        <v>48.758580000000009</v>
      </c>
      <c r="AZ25" s="409">
        <f>AZ22*Data!S$16</f>
        <v>48.758580000000009</v>
      </c>
      <c r="BA25" s="409">
        <f>BA22*Data!T$16</f>
        <v>48.758580000000009</v>
      </c>
      <c r="BB25" s="409">
        <f>BB22*Data!U$16</f>
        <v>48.758580000000009</v>
      </c>
      <c r="BC25" s="409">
        <f>BC22*Data!V$16</f>
        <v>48.758579999999988</v>
      </c>
      <c r="BD25" s="409">
        <f>BD22*Data!W$16</f>
        <v>48.758579999999995</v>
      </c>
      <c r="BE25" s="409">
        <f>BE22*Data!X$16</f>
        <v>48.758579999999995</v>
      </c>
      <c r="BF25" s="409">
        <f>BF22*Data!Y$16</f>
        <v>41.257259999999782</v>
      </c>
      <c r="BG25" s="409">
        <f>BG22*Data!Z$16</f>
        <v>30.005279999999356</v>
      </c>
      <c r="BH25" s="409">
        <f>BH22*Data!AA$16</f>
        <v>18.753299999998934</v>
      </c>
    </row>
    <row r="26" spans="2:60" ht="15">
      <c r="B26" s="60" t="s">
        <v>805</v>
      </c>
      <c r="C26" s="337" t="s">
        <v>1834</v>
      </c>
      <c r="D26" s="397" t="str">
        <f>'CCC Summary (main)'!$C$34</f>
        <v>Diesel dual fuel (HP)</v>
      </c>
      <c r="E26" s="385" t="s">
        <v>1814</v>
      </c>
      <c r="F26" s="401"/>
      <c r="G26" s="386" t="s">
        <v>1696</v>
      </c>
      <c r="H26" s="402">
        <f>INDEX(Data!$B$4:$K$6,MATCH(Data!$B$5,Data!$B$4:$B$6,0),MATCH($D26,Data!$B$4:$K$4,0))</f>
        <v>77.168869999999998</v>
      </c>
      <c r="I26" s="402">
        <f>INDEX(Data!$B$4:$K$6,MATCH(Data!$B$5,Data!$B$4:$B$6,0),MATCH($D26,Data!$B$4:$K$4,0))</f>
        <v>77.168869999999998</v>
      </c>
      <c r="J26" s="402">
        <f>INDEX(Data!$B$4:$K$6,MATCH(Data!$B$5,Data!$B$4:$B$6,0),MATCH($D26,Data!$B$4:$K$4,0))</f>
        <v>77.168869999999998</v>
      </c>
      <c r="K26" s="402">
        <f>INDEX(Data!$B$4:$K$6,MATCH(Data!$B$5,Data!$B$4:$B$6,0),MATCH($D26,Data!$B$4:$K$4,0))</f>
        <v>77.168869999999998</v>
      </c>
      <c r="L26" s="402">
        <f>INDEX(Data!$B$4:$K$6,MATCH(Data!$B$5,Data!$B$4:$B$6,0),MATCH($D26,Data!$B$4:$K$4,0))</f>
        <v>77.168869999999998</v>
      </c>
      <c r="M26" s="402">
        <f>INDEX(Data!$B$4:$K$6,MATCH(Data!$B$5,Data!$B$4:$B$6,0),MATCH($D26,Data!$B$4:$K$4,0))</f>
        <v>77.168869999999998</v>
      </c>
      <c r="N26" s="402">
        <f>INDEX(Data!$B$4:$K$6,MATCH(Data!$B$5,Data!$B$4:$B$6,0),MATCH($D26,Data!$B$4:$K$4,0))</f>
        <v>77.168869999999998</v>
      </c>
      <c r="O26" s="402">
        <f>INDEX(Data!$B$4:$K$6,MATCH(Data!$B$5,Data!$B$4:$B$6,0),MATCH($D26,Data!$B$4:$K$4,0))</f>
        <v>77.168869999999998</v>
      </c>
      <c r="P26" s="402">
        <f>INDEX(Data!$B$4:$K$6,MATCH(Data!$B$5,Data!$B$4:$B$6,0),MATCH($D26,Data!$B$4:$K$4,0))</f>
        <v>77.168869999999998</v>
      </c>
      <c r="Q26" s="402">
        <f>INDEX(Data!$B$4:$K$6,MATCH(Data!$B$5,Data!$B$4:$B$6,0),MATCH($D26,Data!$B$4:$K$4,0))</f>
        <v>77.168869999999998</v>
      </c>
      <c r="R26" s="402">
        <f>INDEX(Data!$B$4:$K$6,MATCH(Data!$B$5,Data!$B$4:$B$6,0),MATCH($D26,Data!$B$4:$K$4,0))</f>
        <v>77.168869999999998</v>
      </c>
      <c r="S26" s="402">
        <f>INDEX(Data!$B$4:$K$6,MATCH(Data!$B$5,Data!$B$4:$B$6,0),MATCH($D26,Data!$B$4:$K$4,0))</f>
        <v>77.168869999999998</v>
      </c>
      <c r="T26" s="402">
        <f>INDEX(Data!$B$4:$K$6,MATCH(Data!$B$5,Data!$B$4:$B$6,0),MATCH($D26,Data!$B$4:$K$4,0))</f>
        <v>77.168869999999998</v>
      </c>
      <c r="U26" s="402">
        <f>INDEX(Data!$B$4:$K$6,MATCH(Data!$B$5,Data!$B$4:$B$6,0),MATCH($D26,Data!$B$4:$K$4,0))</f>
        <v>77.168869999999998</v>
      </c>
      <c r="V26" s="402">
        <f>INDEX(Data!$B$4:$K$6,MATCH(Data!$B$5,Data!$B$4:$B$6,0),MATCH($D26,Data!$B$4:$K$4,0))</f>
        <v>77.168869999999998</v>
      </c>
      <c r="W26" s="402">
        <f>INDEX(Data!$B$4:$K$6,MATCH(Data!$B$5,Data!$B$4:$B$6,0),MATCH($D26,Data!$B$4:$K$4,0))</f>
        <v>77.168869999999998</v>
      </c>
      <c r="X26" s="402">
        <f>INDEX(Data!$B$4:$K$6,MATCH(Data!$B$5,Data!$B$4:$B$6,0),MATCH($D26,Data!$B$4:$K$4,0))</f>
        <v>77.168869999999998</v>
      </c>
      <c r="Y26" s="402">
        <f>INDEX(Data!$B$4:$K$6,MATCH(Data!$B$5,Data!$B$4:$B$6,0),MATCH($D26,Data!$B$4:$K$4,0))</f>
        <v>77.168869999999998</v>
      </c>
      <c r="Z26" s="402">
        <f>INDEX(Data!$B$4:$K$6,MATCH(Data!$B$5,Data!$B$4:$B$6,0),MATCH($D26,Data!$B$4:$K$4,0))</f>
        <v>77.168869999999998</v>
      </c>
      <c r="AA26" s="402">
        <f>INDEX(Data!$B$4:$K$6,MATCH(Data!$B$5,Data!$B$4:$B$6,0),MATCH($D26,Data!$B$4:$K$4,0))</f>
        <v>77.168869999999998</v>
      </c>
      <c r="AB26" s="402">
        <f>INDEX(Data!$B$4:$K$6,MATCH(Data!$B$5,Data!$B$4:$B$6,0),MATCH($D26,Data!$B$4:$K$4,0))</f>
        <v>77.168869999999998</v>
      </c>
      <c r="AC26" s="402">
        <f>INDEX(Data!$B$4:$K$6,MATCH(Data!$B$5,Data!$B$4:$B$6,0),MATCH($D26,Data!$B$4:$K$4,0))</f>
        <v>77.168869999999998</v>
      </c>
      <c r="AD26" s="402">
        <f>INDEX(Data!$B$4:$K$6,MATCH(Data!$B$5,Data!$B$4:$B$6,0),MATCH($D26,Data!$B$4:$K$4,0))</f>
        <v>77.168869999999998</v>
      </c>
      <c r="AF26" s="60" t="s">
        <v>805</v>
      </c>
      <c r="AG26" s="337" t="s">
        <v>1834</v>
      </c>
      <c r="AH26" s="397" t="str">
        <f>'CCC Summary (main)'!$C$34</f>
        <v>Diesel dual fuel (HP)</v>
      </c>
      <c r="AI26" s="385" t="s">
        <v>1814</v>
      </c>
      <c r="AJ26" s="401"/>
      <c r="AK26" s="386" t="s">
        <v>1696</v>
      </c>
      <c r="AL26" s="402">
        <f>INDEX(Data!$B$4:$K$6,MATCH(Data!$B$5,Data!$B$4:$B$6,0),MATCH($AH26,Data!$B$4:$K$4,0))</f>
        <v>77.168869999999998</v>
      </c>
      <c r="AM26" s="402">
        <f>INDEX(Data!$B$4:$K$6,MATCH(Data!$B$5,Data!$B$4:$B$6,0),MATCH($AH26,Data!$B$4:$K$4,0))</f>
        <v>77.168869999999998</v>
      </c>
      <c r="AN26" s="402">
        <f>INDEX(Data!$B$4:$K$6,MATCH(Data!$B$5,Data!$B$4:$B$6,0),MATCH($AH26,Data!$B$4:$K$4,0))</f>
        <v>77.168869999999998</v>
      </c>
      <c r="AO26" s="402">
        <f>INDEX(Data!$B$4:$K$6,MATCH(Data!$B$5,Data!$B$4:$B$6,0),MATCH($AH26,Data!$B$4:$K$4,0))</f>
        <v>77.168869999999998</v>
      </c>
      <c r="AP26" s="402">
        <f>INDEX(Data!$B$4:$K$6,MATCH(Data!$B$5,Data!$B$4:$B$6,0),MATCH($AH26,Data!$B$4:$K$4,0))</f>
        <v>77.168869999999998</v>
      </c>
      <c r="AQ26" s="402">
        <f>INDEX(Data!$B$4:$K$6,MATCH(Data!$B$5,Data!$B$4:$B$6,0),MATCH($AH26,Data!$B$4:$K$4,0))</f>
        <v>77.168869999999998</v>
      </c>
      <c r="AR26" s="402">
        <f>INDEX(Data!$B$4:$K$6,MATCH(Data!$B$5,Data!$B$4:$B$6,0),MATCH($AH26,Data!$B$4:$K$4,0))</f>
        <v>77.168869999999998</v>
      </c>
      <c r="AS26" s="402">
        <f>INDEX(Data!$B$4:$K$6,MATCH(Data!$B$5,Data!$B$4:$B$6,0),MATCH($AH26,Data!$B$4:$K$4,0))</f>
        <v>77.168869999999998</v>
      </c>
      <c r="AT26" s="402">
        <f>INDEX(Data!$B$4:$K$6,MATCH(Data!$B$5,Data!$B$4:$B$6,0),MATCH($AH26,Data!$B$4:$K$4,0))</f>
        <v>77.168869999999998</v>
      </c>
      <c r="AU26" s="402">
        <f>INDEX(Data!$B$4:$K$6,MATCH(Data!$B$5,Data!$B$4:$B$6,0),MATCH($AH26,Data!$B$4:$K$4,0))</f>
        <v>77.168869999999998</v>
      </c>
      <c r="AV26" s="402">
        <f>INDEX(Data!$B$4:$K$6,MATCH(Data!$B$5,Data!$B$4:$B$6,0),MATCH($AH26,Data!$B$4:$K$4,0))</f>
        <v>77.168869999999998</v>
      </c>
      <c r="AW26" s="402">
        <f>INDEX(Data!$B$4:$K$6,MATCH(Data!$B$5,Data!$B$4:$B$6,0),MATCH($AH26,Data!$B$4:$K$4,0))</f>
        <v>77.168869999999998</v>
      </c>
      <c r="AX26" s="402">
        <f>INDEX(Data!$B$4:$K$6,MATCH(Data!$B$5,Data!$B$4:$B$6,0),MATCH($AH26,Data!$B$4:$K$4,0))</f>
        <v>77.168869999999998</v>
      </c>
      <c r="AY26" s="402">
        <f>INDEX(Data!$B$4:$K$6,MATCH(Data!$B$5,Data!$B$4:$B$6,0),MATCH($AH26,Data!$B$4:$K$4,0))</f>
        <v>77.168869999999998</v>
      </c>
      <c r="AZ26" s="402">
        <f>INDEX(Data!$B$4:$K$6,MATCH(Data!$B$5,Data!$B$4:$B$6,0),MATCH($AH26,Data!$B$4:$K$4,0))</f>
        <v>77.168869999999998</v>
      </c>
      <c r="BA26" s="402">
        <f>INDEX(Data!$B$4:$K$6,MATCH(Data!$B$5,Data!$B$4:$B$6,0),MATCH($AH26,Data!$B$4:$K$4,0))</f>
        <v>77.168869999999998</v>
      </c>
      <c r="BB26" s="402">
        <f>INDEX(Data!$B$4:$K$6,MATCH(Data!$B$5,Data!$B$4:$B$6,0),MATCH($AH26,Data!$B$4:$K$4,0))</f>
        <v>77.168869999999998</v>
      </c>
      <c r="BC26" s="402">
        <f>INDEX(Data!$B$4:$K$6,MATCH(Data!$B$5,Data!$B$4:$B$6,0),MATCH($AH26,Data!$B$4:$K$4,0))</f>
        <v>77.168869999999998</v>
      </c>
      <c r="BD26" s="402">
        <f>INDEX(Data!$B$4:$K$6,MATCH(Data!$B$5,Data!$B$4:$B$6,0),MATCH($AH26,Data!$B$4:$K$4,0))</f>
        <v>77.168869999999998</v>
      </c>
      <c r="BE26" s="402">
        <f>INDEX(Data!$B$4:$K$6,MATCH(Data!$B$5,Data!$B$4:$B$6,0),MATCH($AH26,Data!$B$4:$K$4,0))</f>
        <v>77.168869999999998</v>
      </c>
      <c r="BF26" s="402">
        <f>INDEX(Data!$B$4:$K$6,MATCH(Data!$B$5,Data!$B$4:$B$6,0),MATCH($AH26,Data!$B$4:$K$4,0))</f>
        <v>77.168869999999998</v>
      </c>
      <c r="BG26" s="402">
        <f>INDEX(Data!$B$4:$K$6,MATCH(Data!$B$5,Data!$B$4:$B$6,0),MATCH($AH26,Data!$B$4:$K$4,0))</f>
        <v>77.168869999999998</v>
      </c>
      <c r="BH26" s="402">
        <f>INDEX(Data!$B$4:$K$6,MATCH(Data!$B$5,Data!$B$4:$B$6,0),MATCH($AH26,Data!$B$4:$K$4,0))</f>
        <v>77.168869999999998</v>
      </c>
    </row>
    <row r="27" spans="2:60" ht="15">
      <c r="B27" s="60"/>
      <c r="C27" s="337" t="s">
        <v>1835</v>
      </c>
      <c r="D27" s="384"/>
      <c r="E27" s="385" t="s">
        <v>1604</v>
      </c>
      <c r="F27" s="386" t="s">
        <v>1822</v>
      </c>
      <c r="G27" s="386" t="s">
        <v>1823</v>
      </c>
      <c r="H27" s="398">
        <f>H26/1000</f>
        <v>7.7168870000000001E-2</v>
      </c>
      <c r="I27" s="398">
        <f t="shared" ref="I27:AD27" si="4">I26/1000</f>
        <v>7.7168870000000001E-2</v>
      </c>
      <c r="J27" s="398">
        <f t="shared" si="4"/>
        <v>7.7168870000000001E-2</v>
      </c>
      <c r="K27" s="398">
        <f t="shared" si="4"/>
        <v>7.7168870000000001E-2</v>
      </c>
      <c r="L27" s="398">
        <f t="shared" si="4"/>
        <v>7.7168870000000001E-2</v>
      </c>
      <c r="M27" s="398">
        <f t="shared" si="4"/>
        <v>7.7168870000000001E-2</v>
      </c>
      <c r="N27" s="398">
        <f t="shared" si="4"/>
        <v>7.7168870000000001E-2</v>
      </c>
      <c r="O27" s="398">
        <f t="shared" si="4"/>
        <v>7.7168870000000001E-2</v>
      </c>
      <c r="P27" s="398">
        <f t="shared" si="4"/>
        <v>7.7168870000000001E-2</v>
      </c>
      <c r="Q27" s="398">
        <f t="shared" si="4"/>
        <v>7.7168870000000001E-2</v>
      </c>
      <c r="R27" s="398">
        <f t="shared" si="4"/>
        <v>7.7168870000000001E-2</v>
      </c>
      <c r="S27" s="398">
        <f t="shared" si="4"/>
        <v>7.7168870000000001E-2</v>
      </c>
      <c r="T27" s="398">
        <f t="shared" si="4"/>
        <v>7.7168870000000001E-2</v>
      </c>
      <c r="U27" s="398">
        <f t="shared" si="4"/>
        <v>7.7168870000000001E-2</v>
      </c>
      <c r="V27" s="398">
        <f t="shared" si="4"/>
        <v>7.7168870000000001E-2</v>
      </c>
      <c r="W27" s="398">
        <f t="shared" si="4"/>
        <v>7.7168870000000001E-2</v>
      </c>
      <c r="X27" s="398">
        <f t="shared" si="4"/>
        <v>7.7168870000000001E-2</v>
      </c>
      <c r="Y27" s="398">
        <f t="shared" si="4"/>
        <v>7.7168870000000001E-2</v>
      </c>
      <c r="Z27" s="398">
        <f t="shared" si="4"/>
        <v>7.7168870000000001E-2</v>
      </c>
      <c r="AA27" s="398">
        <f t="shared" si="4"/>
        <v>7.7168870000000001E-2</v>
      </c>
      <c r="AB27" s="398">
        <f t="shared" si="4"/>
        <v>7.7168870000000001E-2</v>
      </c>
      <c r="AC27" s="398">
        <f t="shared" si="4"/>
        <v>7.7168870000000001E-2</v>
      </c>
      <c r="AD27" s="398">
        <f t="shared" si="4"/>
        <v>7.7168870000000001E-2</v>
      </c>
      <c r="AF27" s="60"/>
      <c r="AG27" s="337" t="s">
        <v>1835</v>
      </c>
      <c r="AH27" s="384"/>
      <c r="AI27" s="385" t="s">
        <v>1604</v>
      </c>
      <c r="AJ27" s="386" t="s">
        <v>1822</v>
      </c>
      <c r="AK27" s="386" t="s">
        <v>1823</v>
      </c>
      <c r="AL27" s="398">
        <f>AL26/1000</f>
        <v>7.7168870000000001E-2</v>
      </c>
      <c r="AM27" s="398">
        <f t="shared" ref="AM27:BH27" si="5">AM26/1000</f>
        <v>7.7168870000000001E-2</v>
      </c>
      <c r="AN27" s="398">
        <f t="shared" si="5"/>
        <v>7.7168870000000001E-2</v>
      </c>
      <c r="AO27" s="398">
        <f t="shared" si="5"/>
        <v>7.7168870000000001E-2</v>
      </c>
      <c r="AP27" s="398">
        <f t="shared" si="5"/>
        <v>7.7168870000000001E-2</v>
      </c>
      <c r="AQ27" s="398">
        <f t="shared" si="5"/>
        <v>7.7168870000000001E-2</v>
      </c>
      <c r="AR27" s="398">
        <f t="shared" si="5"/>
        <v>7.7168870000000001E-2</v>
      </c>
      <c r="AS27" s="398">
        <f t="shared" si="5"/>
        <v>7.7168870000000001E-2</v>
      </c>
      <c r="AT27" s="398">
        <f t="shared" si="5"/>
        <v>7.7168870000000001E-2</v>
      </c>
      <c r="AU27" s="398">
        <f t="shared" si="5"/>
        <v>7.7168870000000001E-2</v>
      </c>
      <c r="AV27" s="398">
        <f t="shared" si="5"/>
        <v>7.7168870000000001E-2</v>
      </c>
      <c r="AW27" s="398">
        <f t="shared" si="5"/>
        <v>7.7168870000000001E-2</v>
      </c>
      <c r="AX27" s="398">
        <f t="shared" si="5"/>
        <v>7.7168870000000001E-2</v>
      </c>
      <c r="AY27" s="398">
        <f t="shared" si="5"/>
        <v>7.7168870000000001E-2</v>
      </c>
      <c r="AZ27" s="398">
        <f t="shared" si="5"/>
        <v>7.7168870000000001E-2</v>
      </c>
      <c r="BA27" s="398">
        <f t="shared" si="5"/>
        <v>7.7168870000000001E-2</v>
      </c>
      <c r="BB27" s="398">
        <f t="shared" si="5"/>
        <v>7.7168870000000001E-2</v>
      </c>
      <c r="BC27" s="398">
        <f t="shared" si="5"/>
        <v>7.7168870000000001E-2</v>
      </c>
      <c r="BD27" s="398">
        <f t="shared" si="5"/>
        <v>7.7168870000000001E-2</v>
      </c>
      <c r="BE27" s="398">
        <f t="shared" si="5"/>
        <v>7.7168870000000001E-2</v>
      </c>
      <c r="BF27" s="398">
        <f t="shared" si="5"/>
        <v>7.7168870000000001E-2</v>
      </c>
      <c r="BG27" s="398">
        <f t="shared" si="5"/>
        <v>7.7168870000000001E-2</v>
      </c>
      <c r="BH27" s="398">
        <f t="shared" si="5"/>
        <v>7.7168870000000001E-2</v>
      </c>
    </row>
    <row r="28" spans="2:60" ht="15">
      <c r="B28" s="60"/>
      <c r="C28" s="337" t="s">
        <v>1836</v>
      </c>
      <c r="D28" s="384"/>
      <c r="E28" s="385" t="s">
        <v>1825</v>
      </c>
      <c r="F28" s="386" t="s">
        <v>1837</v>
      </c>
      <c r="G28" s="386" t="s">
        <v>1838</v>
      </c>
      <c r="H28" s="398">
        <f>MAX((H26-H$12),0)*Data!$E$6</f>
        <v>0</v>
      </c>
      <c r="I28" s="398">
        <f>MAX((I26-I$12),0)*Data!$E$6</f>
        <v>0</v>
      </c>
      <c r="J28" s="398">
        <f>MAX((J26-J$12),0)*Data!$E$6</f>
        <v>0</v>
      </c>
      <c r="K28" s="398">
        <f>MAX((K26-K$12),0)*Data!$E$6</f>
        <v>0</v>
      </c>
      <c r="L28" s="398">
        <f>MAX((L26-L$12),0)*Data!$E$6</f>
        <v>0</v>
      </c>
      <c r="M28" s="398">
        <f>MAX((M26-M$12),0)*Data!$E$6</f>
        <v>0.14666849400000012</v>
      </c>
      <c r="N28" s="398">
        <f>MAX((N26-N$12),0)*Data!$E$6</f>
        <v>0.311697534</v>
      </c>
      <c r="O28" s="398">
        <f>MAX((O26-O$12),0)*Data!$E$6</f>
        <v>0.4767265740000427</v>
      </c>
      <c r="P28" s="398">
        <f>MAX((P26-P$12),0)*Data!$E$6</f>
        <v>0.7392727740000169</v>
      </c>
      <c r="Q28" s="398">
        <f>MAX((Q26-Q$12),0)*Data!$E$6</f>
        <v>1.0018189739999914</v>
      </c>
      <c r="R28" s="398">
        <f>MAX((R26-R$12),0)*Data!$E$6</f>
        <v>1.2643651740000725</v>
      </c>
      <c r="S28" s="398">
        <f>MAX((S26-S$12),0)*Data!$E$6</f>
        <v>1.5269113740000468</v>
      </c>
      <c r="T28" s="398">
        <f>MAX((T26-T$12),0)*Data!$E$6</f>
        <v>1.7894575740000214</v>
      </c>
      <c r="U28" s="398">
        <f>MAX((U26-U$12),0)*Data!$E$6</f>
        <v>1.901977373999999</v>
      </c>
      <c r="V28" s="398">
        <f>MAX((V26-V$12),0)*Data!$E$6</f>
        <v>2.0144971740000033</v>
      </c>
      <c r="W28" s="398">
        <f>MAX((W26-W$12),0)*Data!$E$6</f>
        <v>2.1270169740000076</v>
      </c>
      <c r="X28" s="398">
        <f>MAX((X26-X$12),0)*Data!$E$6</f>
        <v>2.2395367740000118</v>
      </c>
      <c r="Y28" s="398">
        <f>MAX((Y26-Y$12),0)*Data!$E$6</f>
        <v>2.352056573999989</v>
      </c>
      <c r="Z28" s="398">
        <f>MAX((Z26-Z$12),0)*Data!$E$6</f>
        <v>2.4645763739999933</v>
      </c>
      <c r="AA28" s="398">
        <f>MAX((AA26-AA$12),0)*Data!$E$6</f>
        <v>2.5770961739999976</v>
      </c>
      <c r="AB28" s="398">
        <f>MAX((AB26-AB$12),0)*Data!$E$6</f>
        <v>2.6896159740000019</v>
      </c>
      <c r="AC28" s="398">
        <f>MAX((AC26-AC$12),0)*Data!$E$6</f>
        <v>2.8021357740000061</v>
      </c>
      <c r="AD28" s="398">
        <f>MAX((AD26-AD$12),0)*Data!$E$6</f>
        <v>2.9146555740000104</v>
      </c>
      <c r="AF28" s="60"/>
      <c r="AG28" s="337" t="s">
        <v>1836</v>
      </c>
      <c r="AH28" s="384"/>
      <c r="AI28" s="385" t="s">
        <v>1825</v>
      </c>
      <c r="AJ28" s="386" t="s">
        <v>1837</v>
      </c>
      <c r="AK28" s="386" t="s">
        <v>1838</v>
      </c>
      <c r="AL28" s="398">
        <f>MAX((AL26-AL$12),0)*Data!$E$6</f>
        <v>0</v>
      </c>
      <c r="AM28" s="398">
        <f>MAX((AM26-AM$12),0)*Data!$E$6</f>
        <v>0</v>
      </c>
      <c r="AN28" s="398">
        <f>MAX((AN26-AN$12),0)*Data!$E$6</f>
        <v>0</v>
      </c>
      <c r="AO28" s="398">
        <f>MAX((AO26-AO$12),0)*Data!$E$6</f>
        <v>0</v>
      </c>
      <c r="AP28" s="398">
        <f>MAX((AP26-AP$12),0)*Data!$E$6</f>
        <v>0</v>
      </c>
      <c r="AQ28" s="398">
        <f>MAX((AQ26-AQ$12),0)*Data!$E$6</f>
        <v>0.14666849400000012</v>
      </c>
      <c r="AR28" s="398">
        <f>MAX((AR26-AR$12),0)*Data!$E$6</f>
        <v>0.311697534</v>
      </c>
      <c r="AS28" s="398">
        <f>MAX((AS26-AS$12),0)*Data!$E$6</f>
        <v>0.4767265740000427</v>
      </c>
      <c r="AT28" s="398">
        <f>MAX((AT26-AT$12),0)*Data!$E$6</f>
        <v>0.7392727740000169</v>
      </c>
      <c r="AU28" s="398">
        <f>MAX((AU26-AU$12),0)*Data!$E$6</f>
        <v>1.0018189739999914</v>
      </c>
      <c r="AV28" s="398">
        <f>MAX((AV26-AV$12),0)*Data!$E$6</f>
        <v>1.2643651740000725</v>
      </c>
      <c r="AW28" s="398">
        <f>MAX((AW26-AW$12),0)*Data!$E$6</f>
        <v>1.5269113740000468</v>
      </c>
      <c r="AX28" s="398">
        <f>MAX((AX26-AX$12),0)*Data!$E$6</f>
        <v>1.7894575740000214</v>
      </c>
      <c r="AY28" s="398">
        <f>MAX((AY26-AY$12),0)*Data!$E$6</f>
        <v>1.901977373999999</v>
      </c>
      <c r="AZ28" s="398">
        <f>MAX((AZ26-AZ$12),0)*Data!$E$6</f>
        <v>2.0144971740000033</v>
      </c>
      <c r="BA28" s="398">
        <f>MAX((BA26-BA$12),0)*Data!$E$6</f>
        <v>2.1270169740000076</v>
      </c>
      <c r="BB28" s="398">
        <f>MAX((BB26-BB$12),0)*Data!$E$6</f>
        <v>2.2395367740000118</v>
      </c>
      <c r="BC28" s="398">
        <f>MAX((BC26-BC$12),0)*Data!$E$6</f>
        <v>2.352056573999989</v>
      </c>
      <c r="BD28" s="398">
        <f>MAX((BD26-BD$12),0)*Data!$E$6</f>
        <v>2.4645763739999933</v>
      </c>
      <c r="BE28" s="398">
        <f>MAX((BE26-BE$12),0)*Data!$E$6</f>
        <v>2.5770961739999976</v>
      </c>
      <c r="BF28" s="398">
        <f>MAX((BF26-BF$12),0)*Data!$E$6</f>
        <v>2.6896159740000019</v>
      </c>
      <c r="BG28" s="398">
        <f>MAX((BG26-BG$12),0)*Data!$E$6</f>
        <v>2.8021357740000061</v>
      </c>
      <c r="BH28" s="398">
        <f>MAX((BH26-BH$12),0)*Data!$E$6</f>
        <v>2.9146555740000104</v>
      </c>
    </row>
    <row r="29" spans="2:60" ht="15">
      <c r="B29" s="60"/>
      <c r="C29" s="337" t="s">
        <v>1839</v>
      </c>
      <c r="E29" s="385" t="s">
        <v>1828</v>
      </c>
      <c r="F29" s="386" t="s">
        <v>1840</v>
      </c>
      <c r="G29" s="386" t="s">
        <v>1838</v>
      </c>
      <c r="H29" s="398">
        <f>MIN(MAX(0,(H$26-H$13)),(H$12-H$13))*Data!$E$6</f>
        <v>0</v>
      </c>
      <c r="I29" s="398">
        <f>MIN(MAX(0,(I$26-I$13)),(I$12-I$13))*Data!$E$6</f>
        <v>6.4153974000000197E-2</v>
      </c>
      <c r="J29" s="398">
        <f>MIN(MAX(0,(J$26-J$13)),(J$12-J$13))*Data!$E$6</f>
        <v>0.13916717399999962</v>
      </c>
      <c r="K29" s="398">
        <f>MIN(MAX(0,(K$26-K$13)),(K$12-K$13))*Data!$E$6</f>
        <v>0.30419621400000002</v>
      </c>
      <c r="L29" s="398">
        <f>MIN(MAX(0,(L$26-L$13)),(L$12-L$13))*Data!$E$6</f>
        <v>0.46922525399999987</v>
      </c>
      <c r="M29" s="398">
        <f>MIN(MAX(0,(M$26-M$13)),(M$12-M$13))*Data!$E$6</f>
        <v>0.48758579999999963</v>
      </c>
      <c r="N29" s="398">
        <f>MIN(MAX(0,(N$26-N$13)),(N$12-N$13))*Data!$E$6</f>
        <v>0.48758580000000018</v>
      </c>
      <c r="O29" s="398">
        <f>MIN(MAX(0,(O$26-O$13)),(O$12-O$13))*Data!$E$6</f>
        <v>0.4875857999999999</v>
      </c>
      <c r="P29" s="398">
        <f>MIN(MAX(0,(P$26-P$13)),(P$12-P$13))*Data!$E$6</f>
        <v>0.48758580000000018</v>
      </c>
      <c r="Q29" s="398">
        <f>MIN(MAX(0,(Q$26-Q$13)),(Q$12-Q$13))*Data!$E$6</f>
        <v>0.4875857999999999</v>
      </c>
      <c r="R29" s="398">
        <f>MIN(MAX(0,(R$26-R$13)),(R$12-R$13))*Data!$E$6</f>
        <v>0.4875857999999999</v>
      </c>
      <c r="S29" s="398">
        <f>MIN(MAX(0,(S$26-S$13)),(S$12-S$13))*Data!$E$6</f>
        <v>0.48758580000000007</v>
      </c>
      <c r="T29" s="398">
        <f>MIN(MAX(0,(T$26-T$13)),(T$12-T$13))*Data!$E$6</f>
        <v>0.48758580000000007</v>
      </c>
      <c r="U29" s="398">
        <f>MIN(MAX(0,(U$26-U$13)),(U$12-U$13))*Data!$E$6</f>
        <v>0.48758580000000007</v>
      </c>
      <c r="V29" s="398">
        <f>MIN(MAX(0,(V$26-V$13)),(V$12-V$13))*Data!$E$6</f>
        <v>0.48758580000000007</v>
      </c>
      <c r="W29" s="398">
        <f>MIN(MAX(0,(W$26-W$13)),(W$12-W$13))*Data!$E$6</f>
        <v>0.48758580000000007</v>
      </c>
      <c r="X29" s="398">
        <f>MIN(MAX(0,(X$26-X$13)),(X$12-X$13))*Data!$E$6</f>
        <v>0.48758580000000007</v>
      </c>
      <c r="Y29" s="398">
        <f>MIN(MAX(0,(Y$26-Y$13)),(Y$12-Y$13))*Data!$E$6</f>
        <v>0.4875857999999999</v>
      </c>
      <c r="Z29" s="398">
        <f>MIN(MAX(0,(Z$26-Z$13)),(Z$12-Z$13))*Data!$E$6</f>
        <v>0.48758579999999996</v>
      </c>
      <c r="AA29" s="398">
        <f>MIN(MAX(0,(AA$26-AA$13)),(AA$12-AA$13))*Data!$E$6</f>
        <v>0.48758579999999996</v>
      </c>
      <c r="AB29" s="398">
        <f>MIN(MAX(0,(AB$26-AB$13)),(AB$12-AB$13))*Data!$E$6</f>
        <v>0.41257259999999785</v>
      </c>
      <c r="AC29" s="398">
        <f>MIN(MAX(0,(AC$26-AC$13)),(AC$12-AC$13))*Data!$E$6</f>
        <v>0.30005279999999357</v>
      </c>
      <c r="AD29" s="398">
        <f>MIN(MAX(0,(AD$26-AD$13)),(AD$12-AD$13))*Data!$E$6</f>
        <v>0.18753299999998932</v>
      </c>
      <c r="AF29" s="60"/>
      <c r="AG29" s="337" t="s">
        <v>1839</v>
      </c>
      <c r="AH29" s="24"/>
      <c r="AI29" s="385" t="s">
        <v>1828</v>
      </c>
      <c r="AJ29" s="386" t="s">
        <v>1840</v>
      </c>
      <c r="AK29" s="386" t="s">
        <v>1838</v>
      </c>
      <c r="AL29" s="398">
        <f>MIN(MAX(0,(AL$26-AL$13)),(AL$12-AL$13))*Data!$E$6</f>
        <v>0</v>
      </c>
      <c r="AM29" s="398">
        <f>MIN(MAX(0,(AM$26-AM$13)),(AM$12-AM$13))*Data!$E$6</f>
        <v>6.4153974000000197E-2</v>
      </c>
      <c r="AN29" s="398">
        <f>MIN(MAX(0,(AN$26-AN$13)),(AN$12-AN$13))*Data!$E$6</f>
        <v>0.13916717399999962</v>
      </c>
      <c r="AO29" s="398">
        <f>MIN(MAX(0,(AO$26-AO$13)),(AO$12-AO$13))*Data!$E$6</f>
        <v>0.30419621400000002</v>
      </c>
      <c r="AP29" s="398">
        <f>MIN(MAX(0,(AP$26-AP$13)),(AP$12-AP$13))*Data!$E$6</f>
        <v>0.46922525399999987</v>
      </c>
      <c r="AQ29" s="398">
        <f>MIN(MAX(0,(AQ$26-AQ$13)),(AQ$12-AQ$13))*Data!$E$6</f>
        <v>0.48758579999999963</v>
      </c>
      <c r="AR29" s="398">
        <f>MIN(MAX(0,(AR$26-AR$13)),(AR$12-AR$13))*Data!$E$6</f>
        <v>0.48758580000000018</v>
      </c>
      <c r="AS29" s="398">
        <f>MIN(MAX(0,(AS$26-AS$13)),(AS$12-AS$13))*Data!$E$6</f>
        <v>0.4875857999999999</v>
      </c>
      <c r="AT29" s="398">
        <f>MIN(MAX(0,(AT$26-AT$13)),(AT$12-AT$13))*Data!$E$6</f>
        <v>0.48758580000000018</v>
      </c>
      <c r="AU29" s="398">
        <f>MIN(MAX(0,(AU$26-AU$13)),(AU$12-AU$13))*Data!$E$6</f>
        <v>0.4875857999999999</v>
      </c>
      <c r="AV29" s="398">
        <f>MIN(MAX(0,(AV$26-AV$13)),(AV$12-AV$13))*Data!$E$6</f>
        <v>0.4875857999999999</v>
      </c>
      <c r="AW29" s="398">
        <f>MIN(MAX(0,(AW$26-AW$13)),(AW$12-AW$13))*Data!$E$6</f>
        <v>0.48758580000000007</v>
      </c>
      <c r="AX29" s="398">
        <f>MIN(MAX(0,(AX$26-AX$13)),(AX$12-AX$13))*Data!$E$6</f>
        <v>0.48758580000000007</v>
      </c>
      <c r="AY29" s="398">
        <f>MIN(MAX(0,(AY$26-AY$13)),(AY$12-AY$13))*Data!$E$6</f>
        <v>0.48758580000000007</v>
      </c>
      <c r="AZ29" s="398">
        <f>MIN(MAX(0,(AZ$26-AZ$13)),(AZ$12-AZ$13))*Data!$E$6</f>
        <v>0.48758580000000007</v>
      </c>
      <c r="BA29" s="398">
        <f>MIN(MAX(0,(BA$26-BA$13)),(BA$12-BA$13))*Data!$E$6</f>
        <v>0.48758580000000007</v>
      </c>
      <c r="BB29" s="398">
        <f>MIN(MAX(0,(BB$26-BB$13)),(BB$12-BB$13))*Data!$E$6</f>
        <v>0.48758580000000007</v>
      </c>
      <c r="BC29" s="398">
        <f>MIN(MAX(0,(BC$26-BC$13)),(BC$12-BC$13))*Data!$E$6</f>
        <v>0.4875857999999999</v>
      </c>
      <c r="BD29" s="398">
        <f>MIN(MAX(0,(BD$26-BD$13)),(BD$12-BD$13))*Data!$E$6</f>
        <v>0.48758579999999996</v>
      </c>
      <c r="BE29" s="398">
        <f>MIN(MAX(0,(BE$26-BE$13)),(BE$12-BE$13))*Data!$E$6</f>
        <v>0.48758579999999996</v>
      </c>
      <c r="BF29" s="398">
        <f>MIN(MAX(0,(BF$26-BF$13)),(BF$12-BF$13))*Data!$E$6</f>
        <v>0.41257259999999785</v>
      </c>
      <c r="BG29" s="398">
        <f>MIN(MAX(0,(BG$26-BG$13)),(BG$12-BG$13))*Data!$E$6</f>
        <v>0.30005279999999357</v>
      </c>
      <c r="BH29" s="398">
        <f>MIN(MAX(0,(BH$26-BH$13)),(BH$12-BH$13))*Data!$E$6</f>
        <v>0.18753299999998932</v>
      </c>
    </row>
    <row r="30" spans="2:60" ht="15">
      <c r="B30" s="60"/>
      <c r="C30" s="337" t="s">
        <v>1841</v>
      </c>
      <c r="D30" s="384"/>
      <c r="E30" s="385" t="s">
        <v>1842</v>
      </c>
      <c r="F30" s="386" t="s">
        <v>1837</v>
      </c>
      <c r="G30" s="386" t="s">
        <v>1843</v>
      </c>
      <c r="H30" s="398">
        <f>MIN((H26-H$13),0)*Data!$E$6</f>
        <v>-1.0859225999999784E-2</v>
      </c>
      <c r="I30" s="398">
        <f>MIN((I26-I$13),0)*Data!$E$6</f>
        <v>0</v>
      </c>
      <c r="J30" s="398">
        <f>MIN((J26-J$13),0)*Data!$E$6</f>
        <v>0</v>
      </c>
      <c r="K30" s="398">
        <f>MIN((K26-K$13),0)*Data!$E$6</f>
        <v>0</v>
      </c>
      <c r="L30" s="398">
        <f>MIN((L26-L$13),0)*Data!$E$6</f>
        <v>0</v>
      </c>
      <c r="M30" s="398">
        <f>MIN((M26-M$13),0)*Data!$E$6</f>
        <v>0</v>
      </c>
      <c r="N30" s="398">
        <f>MIN((N26-N$13),0)*Data!$E$6</f>
        <v>0</v>
      </c>
      <c r="O30" s="398">
        <f>MIN((O26-O$13),0)*Data!$E$6</f>
        <v>0</v>
      </c>
      <c r="P30" s="398">
        <f>MIN((P26-P$13),0)*Data!$E$6</f>
        <v>0</v>
      </c>
      <c r="Q30" s="398">
        <f>MIN((Q26-Q$13),0)*Data!$E$6</f>
        <v>0</v>
      </c>
      <c r="R30" s="398">
        <f>MIN((R26-R$13),0)*Data!$E$6</f>
        <v>0</v>
      </c>
      <c r="S30" s="398">
        <f>MIN((S26-S$13),0)*Data!$E$6</f>
        <v>0</v>
      </c>
      <c r="T30" s="398">
        <f>MIN((T26-T$13),0)*Data!$E$6</f>
        <v>0</v>
      </c>
      <c r="U30" s="398">
        <f>MIN((U26-U$13),0)*Data!$E$6</f>
        <v>0</v>
      </c>
      <c r="V30" s="398">
        <f>MIN((V26-V$13),0)*Data!$E$6</f>
        <v>0</v>
      </c>
      <c r="W30" s="398">
        <f>MIN((W26-W$13),0)*Data!$E$6</f>
        <v>0</v>
      </c>
      <c r="X30" s="398">
        <f>MIN((X26-X$13),0)*Data!$E$6</f>
        <v>0</v>
      </c>
      <c r="Y30" s="398">
        <f>MIN((Y26-Y$13),0)*Data!$E$6</f>
        <v>0</v>
      </c>
      <c r="Z30" s="398">
        <f>MIN((Z26-Z$13),0)*Data!$E$6</f>
        <v>0</v>
      </c>
      <c r="AA30" s="398">
        <f>MIN((AA26-AA$13),0)*Data!$E$6</f>
        <v>0</v>
      </c>
      <c r="AB30" s="398">
        <f>MIN((AB26-AB$13),0)*Data!$E$6</f>
        <v>0</v>
      </c>
      <c r="AC30" s="398">
        <f>MIN((AC26-AC$13),0)*Data!$E$6</f>
        <v>0</v>
      </c>
      <c r="AD30" s="398">
        <f>MIN((AD26-AD$13),0)*Data!$E$6</f>
        <v>0</v>
      </c>
      <c r="AF30" s="60"/>
      <c r="AG30" s="337" t="s">
        <v>1841</v>
      </c>
      <c r="AH30" s="384"/>
      <c r="AI30" s="385" t="s">
        <v>1842</v>
      </c>
      <c r="AJ30" s="386" t="s">
        <v>1837</v>
      </c>
      <c r="AK30" s="386" t="s">
        <v>1843</v>
      </c>
      <c r="AL30" s="398">
        <f>MIN((AL26-AL$13),0)*Data!$E$6</f>
        <v>-1.0859225999999784E-2</v>
      </c>
      <c r="AM30" s="398">
        <f>MIN((AM26-AM$13),0)*Data!$E$6</f>
        <v>0</v>
      </c>
      <c r="AN30" s="398">
        <f>MIN((AN26-AN$13),0)*Data!$E$6</f>
        <v>0</v>
      </c>
      <c r="AO30" s="398">
        <f>MIN((AO26-AO$13),0)*Data!$E$6</f>
        <v>0</v>
      </c>
      <c r="AP30" s="398">
        <f>MIN((AP26-AP$13),0)*Data!$E$6</f>
        <v>0</v>
      </c>
      <c r="AQ30" s="398">
        <f>MIN((AQ26-AQ$13),0)*Data!$E$6</f>
        <v>0</v>
      </c>
      <c r="AR30" s="398">
        <f>MIN((AR26-AR$13),0)*Data!$E$6</f>
        <v>0</v>
      </c>
      <c r="AS30" s="398">
        <f>MIN((AS26-AS$13),0)*Data!$E$6</f>
        <v>0</v>
      </c>
      <c r="AT30" s="398">
        <f>MIN((AT26-AT$13),0)*Data!$E$6</f>
        <v>0</v>
      </c>
      <c r="AU30" s="398">
        <f>MIN((AU26-AU$13),0)*Data!$E$6</f>
        <v>0</v>
      </c>
      <c r="AV30" s="398">
        <f>MIN((AV26-AV$13),0)*Data!$E$6</f>
        <v>0</v>
      </c>
      <c r="AW30" s="398">
        <f>MIN((AW26-AW$13),0)*Data!$E$6</f>
        <v>0</v>
      </c>
      <c r="AX30" s="398">
        <f>MIN((AX26-AX$13),0)*Data!$E$6</f>
        <v>0</v>
      </c>
      <c r="AY30" s="398">
        <f>MIN((AY26-AY$13),0)*Data!$E$6</f>
        <v>0</v>
      </c>
      <c r="AZ30" s="398">
        <f>MIN((AZ26-AZ$13),0)*Data!$E$6</f>
        <v>0</v>
      </c>
      <c r="BA30" s="398">
        <f>MIN((BA26-BA$13),0)*Data!$E$6</f>
        <v>0</v>
      </c>
      <c r="BB30" s="398">
        <f>MIN((BB26-BB$13),0)*Data!$E$6</f>
        <v>0</v>
      </c>
      <c r="BC30" s="398">
        <f>MIN((BC26-BC$13),0)*Data!$E$6</f>
        <v>0</v>
      </c>
      <c r="BD30" s="398">
        <f>MIN((BD26-BD$13),0)*Data!$E$6</f>
        <v>0</v>
      </c>
      <c r="BE30" s="398">
        <f>MIN((BE26-BE$13),0)*Data!$E$6</f>
        <v>0</v>
      </c>
      <c r="BF30" s="398">
        <f>MIN((BF26-BF$13),0)*Data!$E$6</f>
        <v>0</v>
      </c>
      <c r="BG30" s="398">
        <f>MIN((BG26-BG$13),0)*Data!$E$6</f>
        <v>0</v>
      </c>
      <c r="BH30" s="398">
        <f>MIN((BH26-BH$13),0)*Data!$E$6</f>
        <v>0</v>
      </c>
    </row>
    <row r="31" spans="2:60" ht="15">
      <c r="B31" s="60"/>
      <c r="C31" s="337" t="s">
        <v>1844</v>
      </c>
      <c r="D31" s="471" t="str">
        <f>+D5</f>
        <v>Enter fixed price</v>
      </c>
      <c r="E31" s="472" t="s">
        <v>1814</v>
      </c>
      <c r="F31" s="473" t="str">
        <f>IF('CCC Summary (main)'!$C$25="Yes",'CCC Summary (main)'!$D$25,"")</f>
        <v/>
      </c>
      <c r="G31" s="473" t="s">
        <v>587</v>
      </c>
      <c r="H31" s="474">
        <f>IF($D31="Enter fixed price",$E$5/(Data!$E$6*1000),INDEX(Data!$B$26:$AA$35,MATCH($D31,Data!$B$26:$B$35,0),MATCH(H$11,Data!$B$26:$AA$26,0)))</f>
        <v>2487.5621890547263</v>
      </c>
      <c r="I31" s="474">
        <f>IF($D31="Enter fixed price",$E$5/(Data!$E$6*1000),INDEX(Data!$B$26:$AA$35,MATCH($D31,Data!$B$26:$B$35,0),MATCH(I$11,Data!$B$26:$AA$26,0)))</f>
        <v>2487.5621890547263</v>
      </c>
      <c r="J31" s="474">
        <f>IF($D31="Enter fixed price",$E$5/(Data!$E$6*1000),INDEX(Data!$B$26:$AA$35,MATCH($D31,Data!$B$26:$B$35,0),MATCH(J$11,Data!$B$26:$AA$26,0)))</f>
        <v>2487.5621890547263</v>
      </c>
      <c r="K31" s="474">
        <f>IF($D31="Enter fixed price",$E$5/(Data!$E$6*1000),INDEX(Data!$B$26:$AA$35,MATCH($D31,Data!$B$26:$B$35,0),MATCH(K$11,Data!$B$26:$AA$26,0)))</f>
        <v>2487.5621890547263</v>
      </c>
      <c r="L31" s="474">
        <f>IF($D31="Enter fixed price",$E$5/(Data!$E$6*1000),INDEX(Data!$B$26:$AA$35,MATCH($D31,Data!$B$26:$B$35,0),MATCH(L$11,Data!$B$26:$AA$26,0)))</f>
        <v>2487.5621890547263</v>
      </c>
      <c r="M31" s="474">
        <f>IF($D31="Enter fixed price",$E$5/(Data!$E$6*1000),INDEX(Data!$B$26:$AA$35,MATCH($D31,Data!$B$26:$B$35,0),MATCH(M$11,Data!$B$26:$AA$26,0)))</f>
        <v>2487.5621890547263</v>
      </c>
      <c r="N31" s="474">
        <f>IF($D31="Enter fixed price",$E$5/(Data!$E$6*1000),INDEX(Data!$B$26:$AA$35,MATCH($D31,Data!$B$26:$B$35,0),MATCH(N$11,Data!$B$26:$AA$26,0)))</f>
        <v>2487.5621890547263</v>
      </c>
      <c r="O31" s="474">
        <f>IF($D31="Enter fixed price",$E$5/(Data!$E$6*1000),INDEX(Data!$B$26:$AA$35,MATCH($D31,Data!$B$26:$B$35,0),MATCH(O$11,Data!$B$26:$AA$26,0)))</f>
        <v>2487.5621890547263</v>
      </c>
      <c r="P31" s="474">
        <f>IF($D31="Enter fixed price",$E$5/(Data!$E$6*1000),INDEX(Data!$B$26:$AA$35,MATCH($D31,Data!$B$26:$B$35,0),MATCH(P$11,Data!$B$26:$AA$26,0)))</f>
        <v>2487.5621890547263</v>
      </c>
      <c r="Q31" s="474">
        <f>IF($D31="Enter fixed price",$E$5/(Data!$E$6*1000),INDEX(Data!$B$26:$AA$35,MATCH($D31,Data!$B$26:$B$35,0),MATCH(Q$11,Data!$B$26:$AA$26,0)))</f>
        <v>2487.5621890547263</v>
      </c>
      <c r="R31" s="474">
        <f>IF($D31="Enter fixed price",$E$5/(Data!$E$6*1000),INDEX(Data!$B$26:$AA$35,MATCH($D31,Data!$B$26:$B$35,0),MATCH(R$11,Data!$B$26:$AA$26,0)))</f>
        <v>2487.5621890547263</v>
      </c>
      <c r="S31" s="474">
        <f>IF($D31="Enter fixed price",$E$5/(Data!$E$6*1000),INDEX(Data!$B$26:$AA$35,MATCH($D31,Data!$B$26:$B$35,0),MATCH(S$11,Data!$B$26:$AA$26,0)))</f>
        <v>2487.5621890547263</v>
      </c>
      <c r="T31" s="474">
        <f>IF($D31="Enter fixed price",$E$5/(Data!$E$6*1000),INDEX(Data!$B$26:$AA$35,MATCH($D31,Data!$B$26:$B$35,0),MATCH(T$11,Data!$B$26:$AA$26,0)))</f>
        <v>2487.5621890547263</v>
      </c>
      <c r="U31" s="474">
        <f>IF($D31="Enter fixed price",$E$5/(Data!$E$6*1000),INDEX(Data!$B$26:$AA$35,MATCH($D31,Data!$B$26:$B$35,0),MATCH(U$11,Data!$B$26:$AA$26,0)))</f>
        <v>2487.5621890547263</v>
      </c>
      <c r="V31" s="474">
        <f>IF($D31="Enter fixed price",$E$5/(Data!$E$6*1000),INDEX(Data!$B$26:$AA$35,MATCH($D31,Data!$B$26:$B$35,0),MATCH(V$11,Data!$B$26:$AA$26,0)))</f>
        <v>2487.5621890547263</v>
      </c>
      <c r="W31" s="474">
        <f>IF($D31="Enter fixed price",$E$5/(Data!$E$6*1000),INDEX(Data!$B$26:$AA$35,MATCH($D31,Data!$B$26:$B$35,0),MATCH(W$11,Data!$B$26:$AA$26,0)))</f>
        <v>2487.5621890547263</v>
      </c>
      <c r="X31" s="474">
        <f>IF($D31="Enter fixed price",$E$5/(Data!$E$6*1000),INDEX(Data!$B$26:$AA$35,MATCH($D31,Data!$B$26:$B$35,0),MATCH(X$11,Data!$B$26:$AA$26,0)))</f>
        <v>2487.5621890547263</v>
      </c>
      <c r="Y31" s="474">
        <f>IF($D31="Enter fixed price",$E$5/(Data!$E$6*1000),INDEX(Data!$B$26:$AA$35,MATCH($D31,Data!$B$26:$B$35,0),MATCH(Y$11,Data!$B$26:$AA$26,0)))</f>
        <v>2487.5621890547263</v>
      </c>
      <c r="Z31" s="474">
        <f>IF($D31="Enter fixed price",$E$5/(Data!$E$6*1000),INDEX(Data!$B$26:$AA$35,MATCH($D31,Data!$B$26:$B$35,0),MATCH(Z$11,Data!$B$26:$AA$26,0)))</f>
        <v>2487.5621890547263</v>
      </c>
      <c r="AA31" s="474">
        <f>IF($D31="Enter fixed price",$E$5/(Data!$E$6*1000),INDEX(Data!$B$26:$AA$35,MATCH($D31,Data!$B$26:$B$35,0),MATCH(AA$11,Data!$B$26:$AA$26,0)))</f>
        <v>2487.5621890547263</v>
      </c>
      <c r="AB31" s="474">
        <f>IF($D31="Enter fixed price",$E$5/(Data!$E$6*1000),INDEX(Data!$B$26:$AA$35,MATCH($D31,Data!$B$26:$B$35,0),MATCH(AB$11,Data!$B$26:$AA$26,0)))</f>
        <v>2487.5621890547263</v>
      </c>
      <c r="AC31" s="474">
        <f>IF($D31="Enter fixed price",$E$5/(Data!$E$6*1000),INDEX(Data!$B$26:$AA$35,MATCH($D31,Data!$B$26:$B$35,0),MATCH(AC$11,Data!$B$26:$AA$26,0)))</f>
        <v>2487.5621890547263</v>
      </c>
      <c r="AD31" s="474">
        <f>IF($D31="Enter fixed price",$E$5/(Data!$E$6*1000),INDEX(Data!$B$26:$AA$35,MATCH($D31,Data!$B$26:$B$35,0),MATCH(AD$11,Data!$B$26:$AA$26,0)))</f>
        <v>2487.5621890547263</v>
      </c>
      <c r="AF31" s="60"/>
      <c r="AG31" s="337" t="s">
        <v>1844</v>
      </c>
      <c r="AH31" s="400" t="str">
        <f>'CCC Summary (main)'!$C$35</f>
        <v>MMM LNG</v>
      </c>
      <c r="AI31" s="385" t="s">
        <v>1814</v>
      </c>
      <c r="AJ31" s="386" t="str">
        <f>IF('CCC Summary (main)'!$C$25="Yes",'CCC Summary (main)'!$D$25,"")</f>
        <v/>
      </c>
      <c r="AK31" s="386" t="s">
        <v>587</v>
      </c>
      <c r="AL31" s="402">
        <f>IF($AH31="Enter fixed price",'CCC Summary (main)'!$C$36/(Data!$E$6*1000),+INDEX(Data!$E$27:$AA$35,MATCH($AH$31,Data!$B$27:$B$35,0),MATCH(AL$11,Data!$E$26:$AA$26,0)))</f>
        <v>13.513486979796285</v>
      </c>
      <c r="AM31" s="402">
        <f>IF($AH31="Enter fixed price",'CCC Summary (main)'!$C$36/(Data!$E$6*1000),+INDEX(Data!$E$27:$AA$35,MATCH($AH$31,Data!$B$27:$B$35,0),MATCH(AM$11,Data!$E$26:$AA$26,0)))</f>
        <v>12.461687677007411</v>
      </c>
      <c r="AN31" s="402">
        <f>IF($AH31="Enter fixed price",'CCC Summary (main)'!$C$36/(Data!$E$6*1000),+INDEX(Data!$E$27:$AA$35,MATCH($AH$31,Data!$B$27:$B$35,0),MATCH(AN$11,Data!$E$26:$AA$26,0)))</f>
        <v>11.409888374218541</v>
      </c>
      <c r="AO31" s="402">
        <f>IF($AH31="Enter fixed price",'CCC Summary (main)'!$C$36/(Data!$E$6*1000),+INDEX(Data!$E$27:$AA$35,MATCH($AH$31,Data!$B$27:$B$35,0),MATCH(AO$11,Data!$E$26:$AA$26,0)))</f>
        <v>11.404711335629472</v>
      </c>
      <c r="AP31" s="402">
        <f>IF($AH31="Enter fixed price",'CCC Summary (main)'!$C$36/(Data!$E$6*1000),+INDEX(Data!$E$27:$AA$35,MATCH($AH$31,Data!$B$27:$B$35,0),MATCH(AP$11,Data!$E$26:$AA$26,0)))</f>
        <v>11.399534297040399</v>
      </c>
      <c r="AQ31" s="402">
        <f>IF($AH31="Enter fixed price",'CCC Summary (main)'!$C$36/(Data!$E$6*1000),+INDEX(Data!$E$27:$AA$35,MATCH($AH$31,Data!$B$27:$B$35,0),MATCH(AQ$11,Data!$E$26:$AA$26,0)))</f>
        <v>11.394357258451331</v>
      </c>
      <c r="AR31" s="402">
        <f>IF($AH31="Enter fixed price",'CCC Summary (main)'!$C$36/(Data!$E$6*1000),+INDEX(Data!$E$27:$AA$35,MATCH($AH$31,Data!$B$27:$B$35,0),MATCH(AR$11,Data!$E$26:$AA$26,0)))</f>
        <v>11.389180219862256</v>
      </c>
      <c r="AS31" s="402">
        <f>IF($AH31="Enter fixed price",'CCC Summary (main)'!$C$36/(Data!$E$6*1000),+INDEX(Data!$E$27:$AA$35,MATCH($AH$31,Data!$B$27:$B$35,0),MATCH(AS$11,Data!$E$26:$AA$26,0)))</f>
        <v>11.384003181273181</v>
      </c>
      <c r="AT31" s="402">
        <f>IF($AH31="Enter fixed price",'CCC Summary (main)'!$C$36/(Data!$E$6*1000),+INDEX(Data!$E$27:$AA$35,MATCH($AH$31,Data!$B$27:$B$35,0),MATCH(AT$11,Data!$E$26:$AA$26,0)))</f>
        <v>11.359334171568827</v>
      </c>
      <c r="AU31" s="402">
        <f>IF($AH31="Enter fixed price",'CCC Summary (main)'!$C$36/(Data!$E$6*1000),+INDEX(Data!$E$27:$AA$35,MATCH($AH$31,Data!$B$27:$B$35,0),MATCH(AU$11,Data!$E$26:$AA$26,0)))</f>
        <v>11.334665161864466</v>
      </c>
      <c r="AV31" s="402">
        <f>IF($AH31="Enter fixed price",'CCC Summary (main)'!$C$36/(Data!$E$6*1000),+INDEX(Data!$E$27:$AA$35,MATCH($AH$31,Data!$B$27:$B$35,0),MATCH(AV$11,Data!$E$26:$AA$26,0)))</f>
        <v>11.309996152160105</v>
      </c>
      <c r="AW31" s="402">
        <f>IF($AH31="Enter fixed price",'CCC Summary (main)'!$C$36/(Data!$E$6*1000),+INDEX(Data!$E$27:$AA$35,MATCH($AH$31,Data!$B$27:$B$35,0),MATCH(AW$11,Data!$E$26:$AA$26,0)))</f>
        <v>11.285327142455742</v>
      </c>
      <c r="AX31" s="402">
        <f>IF($AH31="Enter fixed price",'CCC Summary (main)'!$C$36/(Data!$E$6*1000),+INDEX(Data!$E$27:$AA$35,MATCH($AH$31,Data!$B$27:$B$35,0),MATCH(AX$11,Data!$E$26:$AA$26,0)))</f>
        <v>11.26065813275139</v>
      </c>
      <c r="AY31" s="402">
        <f>IF($AH31="Enter fixed price",'CCC Summary (main)'!$C$36/(Data!$E$6*1000),+INDEX(Data!$E$27:$AA$35,MATCH($AH$31,Data!$B$27:$B$35,0),MATCH(AY$11,Data!$E$26:$AA$26,0)))</f>
        <v>11.236676488740128</v>
      </c>
      <c r="AZ31" s="402">
        <f>IF($AH31="Enter fixed price",'CCC Summary (main)'!$C$36/(Data!$E$6*1000),+INDEX(Data!$E$27:$AA$35,MATCH($AH$31,Data!$B$27:$B$35,0),MATCH(AZ$11,Data!$E$26:$AA$26,0)))</f>
        <v>11.212694844728878</v>
      </c>
      <c r="BA31" s="402">
        <f>IF($AH31="Enter fixed price",'CCC Summary (main)'!$C$36/(Data!$E$6*1000),+INDEX(Data!$E$27:$AA$35,MATCH($AH$31,Data!$B$27:$B$35,0),MATCH(BA$11,Data!$E$26:$AA$26,0)))</f>
        <v>11.18871320071762</v>
      </c>
      <c r="BB31" s="402">
        <f>IF($AH31="Enter fixed price",'CCC Summary (main)'!$C$36/(Data!$E$6*1000),+INDEX(Data!$E$27:$AA$35,MATCH($AH$31,Data!$B$27:$B$35,0),MATCH(BB$11,Data!$E$26:$AA$26,0)))</f>
        <v>11.164731556706363</v>
      </c>
      <c r="BC31" s="402">
        <f>IF($AH31="Enter fixed price",'CCC Summary (main)'!$C$36/(Data!$E$6*1000),+INDEX(Data!$E$27:$AA$35,MATCH($AH$31,Data!$B$27:$B$35,0),MATCH(BC$11,Data!$E$26:$AA$26,0)))</f>
        <v>11.140749912695105</v>
      </c>
      <c r="BD31" s="402">
        <f>IF($AH31="Enter fixed price",'CCC Summary (main)'!$C$36/(Data!$E$6*1000),+INDEX(Data!$E$27:$AA$35,MATCH($AH$31,Data!$B$27:$B$35,0),MATCH(BD$11,Data!$E$26:$AA$26,0)))</f>
        <v>11.119938841184348</v>
      </c>
      <c r="BE31" s="402">
        <f>IF($AH31="Enter fixed price",'CCC Summary (main)'!$C$36/(Data!$E$6*1000),+INDEX(Data!$E$27:$AA$35,MATCH($AH$31,Data!$B$27:$B$35,0),MATCH(BE$11,Data!$E$26:$AA$26,0)))</f>
        <v>11.099127769673593</v>
      </c>
      <c r="BF31" s="402">
        <f>IF($AH31="Enter fixed price",'CCC Summary (main)'!$C$36/(Data!$E$6*1000),+INDEX(Data!$E$27:$AA$35,MATCH($AH$31,Data!$B$27:$B$35,0),MATCH(BF$11,Data!$E$26:$AA$26,0)))</f>
        <v>11.078316698162839</v>
      </c>
      <c r="BG31" s="402">
        <f>IF($AH31="Enter fixed price",'CCC Summary (main)'!$C$36/(Data!$E$6*1000),+INDEX(Data!$E$27:$AA$35,MATCH($AH$31,Data!$B$27:$B$35,0),MATCH(BG$11,Data!$E$26:$AA$26,0)))</f>
        <v>11.057505626652086</v>
      </c>
      <c r="BH31" s="402">
        <f>IF($AH31="Enter fixed price",'CCC Summary (main)'!$C$36/(Data!$E$6*1000),+INDEX(Data!$E$27:$AA$35,MATCH($AH$31,Data!$B$27:$B$35,0),MATCH(BH$11,Data!$E$26:$AA$26,0)))</f>
        <v>11.036694555141331</v>
      </c>
    </row>
    <row r="32" spans="2:60" ht="15">
      <c r="B32" s="60"/>
      <c r="C32" s="403" t="s">
        <v>1845</v>
      </c>
      <c r="D32" s="384"/>
      <c r="E32" s="385"/>
      <c r="F32" s="386"/>
      <c r="G32" s="386" t="s">
        <v>545</v>
      </c>
      <c r="H32" s="402">
        <f>MAX(H28*Data!E15,0)</f>
        <v>0</v>
      </c>
      <c r="I32" s="402">
        <f>MAX(I28*Data!F15,0)</f>
        <v>0</v>
      </c>
      <c r="J32" s="402">
        <f>MAX(J28*Data!G15,0)</f>
        <v>0</v>
      </c>
      <c r="K32" s="402">
        <f>MAX(K28*Data!H15,0)</f>
        <v>0</v>
      </c>
      <c r="L32" s="402">
        <f>MAX(L28*Data!I15,0)</f>
        <v>0</v>
      </c>
      <c r="M32" s="402">
        <f>MAX(M28*Data!J15,0)</f>
        <v>55.734027720000043</v>
      </c>
      <c r="N32" s="402">
        <f>MAX(N28*Data!K15,0)</f>
        <v>118.44506292</v>
      </c>
      <c r="O32" s="402">
        <f>MAX(O28*Data!L15,0)</f>
        <v>181.15609812001622</v>
      </c>
      <c r="P32" s="402">
        <f>MAX(P28*Data!M15,0)</f>
        <v>280.9236541200064</v>
      </c>
      <c r="Q32" s="402">
        <f>MAX(Q28*Data!N15,0)</f>
        <v>380.69121011999675</v>
      </c>
      <c r="R32" s="402">
        <f>MAX(R28*Data!O15,0)</f>
        <v>480.45876612002758</v>
      </c>
      <c r="S32" s="402">
        <f>MAX(S28*Data!P15,0)</f>
        <v>580.22632212001781</v>
      </c>
      <c r="T32" s="402">
        <f>MAX(T28*Data!Q15,0)</f>
        <v>679.99387812000816</v>
      </c>
      <c r="U32" s="402">
        <f>MAX(U28*Data!R15,0)</f>
        <v>722.75140211999963</v>
      </c>
      <c r="V32" s="402">
        <f>MAX(V28*Data!S15,0)</f>
        <v>765.50892612000121</v>
      </c>
      <c r="W32" s="402">
        <f>MAX(W28*Data!T15,0)</f>
        <v>808.2664501200029</v>
      </c>
      <c r="X32" s="402">
        <f>MAX(X28*Data!U15,0)</f>
        <v>851.02397412000448</v>
      </c>
      <c r="Y32" s="402">
        <f>MAX(Y28*Data!V15,0)</f>
        <v>893.78149811999583</v>
      </c>
      <c r="Z32" s="402">
        <f>MAX(Z28*Data!W15,0)</f>
        <v>936.53902211999741</v>
      </c>
      <c r="AA32" s="402">
        <f>MAX(AA28*Data!X15,0)</f>
        <v>979.29654611999911</v>
      </c>
      <c r="AB32" s="402">
        <f>MAX(AB28*Data!Y15,0)</f>
        <v>1022.0540701200007</v>
      </c>
      <c r="AC32" s="402">
        <f>MAX(AC28*Data!Z15,0)</f>
        <v>1064.8115941200024</v>
      </c>
      <c r="AD32" s="402">
        <f>MAX(AD28*Data!AA15,0)</f>
        <v>1107.5691181200038</v>
      </c>
      <c r="AF32" s="60"/>
      <c r="AG32" s="403" t="s">
        <v>1845</v>
      </c>
      <c r="AH32" s="384"/>
      <c r="AI32" s="385"/>
      <c r="AJ32" s="386"/>
      <c r="AK32" s="386" t="s">
        <v>545</v>
      </c>
      <c r="AL32" s="402">
        <f>MAX(AL28*Data!E15,0)</f>
        <v>0</v>
      </c>
      <c r="AM32" s="402">
        <f>MAX(AM28*Data!F15,0)</f>
        <v>0</v>
      </c>
      <c r="AN32" s="402">
        <f>MAX(AN28*Data!G15,0)</f>
        <v>0</v>
      </c>
      <c r="AO32" s="402">
        <f>MAX(AO28*Data!H15,0)</f>
        <v>0</v>
      </c>
      <c r="AP32" s="402">
        <f>MAX(AP28*Data!I15,0)</f>
        <v>0</v>
      </c>
      <c r="AQ32" s="402">
        <f>MAX(AQ28*Data!J15,0)</f>
        <v>55.734027720000043</v>
      </c>
      <c r="AR32" s="402">
        <f>MAX(AR28*Data!K15,0)</f>
        <v>118.44506292</v>
      </c>
      <c r="AS32" s="402">
        <f>MAX(AS28*Data!L15,0)</f>
        <v>181.15609812001622</v>
      </c>
      <c r="AT32" s="402">
        <f>MAX(AT28*Data!M15,0)</f>
        <v>280.9236541200064</v>
      </c>
      <c r="AU32" s="402">
        <f>MAX(AU28*Data!N15,0)</f>
        <v>380.69121011999675</v>
      </c>
      <c r="AV32" s="402">
        <f>MAX(AV28*Data!O15,0)</f>
        <v>480.45876612002758</v>
      </c>
      <c r="AW32" s="402">
        <f>MAX(AW28*Data!P15,0)</f>
        <v>580.22632212001781</v>
      </c>
      <c r="AX32" s="402">
        <f>MAX(AX28*Data!Q15,0)</f>
        <v>679.99387812000816</v>
      </c>
      <c r="AY32" s="402">
        <f>MAX(AY28*Data!R15,0)</f>
        <v>722.75140211999963</v>
      </c>
      <c r="AZ32" s="402">
        <f>MAX(AZ28*Data!S15,0)</f>
        <v>765.50892612000121</v>
      </c>
      <c r="BA32" s="402">
        <f>MAX(BA28*Data!T15,0)</f>
        <v>808.2664501200029</v>
      </c>
      <c r="BB32" s="402">
        <f>MAX(BB28*Data!U15,0)</f>
        <v>851.02397412000448</v>
      </c>
      <c r="BC32" s="402">
        <f>MAX(BC28*Data!V15,0)</f>
        <v>893.78149811999583</v>
      </c>
      <c r="BD32" s="402">
        <f>MAX(BD28*Data!W15,0)</f>
        <v>936.53902211999741</v>
      </c>
      <c r="BE32" s="402">
        <f>MAX(BE28*Data!X15,0)</f>
        <v>979.29654611999911</v>
      </c>
      <c r="BF32" s="402">
        <f>MAX(BF28*Data!Y15,0)</f>
        <v>1022.0540701200007</v>
      </c>
      <c r="BG32" s="402">
        <f>MAX(BG28*Data!Z15,0)</f>
        <v>1064.8115941200024</v>
      </c>
      <c r="BH32" s="402">
        <f>MAX(BH28*Data!AA15,0)</f>
        <v>1107.5691181200038</v>
      </c>
    </row>
    <row r="33" spans="2:60" ht="15">
      <c r="B33" s="60"/>
      <c r="C33" s="405" t="s">
        <v>1846</v>
      </c>
      <c r="D33" s="406"/>
      <c r="E33" s="407" t="s">
        <v>1673</v>
      </c>
      <c r="F33" s="408" t="s">
        <v>1628</v>
      </c>
      <c r="G33" s="408" t="s">
        <v>545</v>
      </c>
      <c r="H33" s="409">
        <f>H29*Data!E16</f>
        <v>0</v>
      </c>
      <c r="I33" s="409">
        <f>I29*Data!F16</f>
        <v>6.4153974000000193</v>
      </c>
      <c r="J33" s="409">
        <f>J29*Data!G16</f>
        <v>13.916717399999962</v>
      </c>
      <c r="K33" s="409">
        <f>K29*Data!H16</f>
        <v>30.4196214</v>
      </c>
      <c r="L33" s="409">
        <f>L29*Data!I16</f>
        <v>46.922525399999984</v>
      </c>
      <c r="M33" s="409">
        <f>M29*Data!J16</f>
        <v>48.758579999999959</v>
      </c>
      <c r="N33" s="409">
        <f>N29*Data!K16</f>
        <v>48.758580000000016</v>
      </c>
      <c r="O33" s="409">
        <f>O29*Data!L16</f>
        <v>48.758579999999988</v>
      </c>
      <c r="P33" s="409">
        <f>P29*Data!M16</f>
        <v>48.758580000000016</v>
      </c>
      <c r="Q33" s="409">
        <f>Q29*Data!N16</f>
        <v>48.758579999999988</v>
      </c>
      <c r="R33" s="409">
        <f>R29*Data!O16</f>
        <v>48.758579999999988</v>
      </c>
      <c r="S33" s="409">
        <f>S29*Data!P16</f>
        <v>48.758580000000009</v>
      </c>
      <c r="T33" s="409">
        <f>T29*Data!Q16</f>
        <v>48.758580000000009</v>
      </c>
      <c r="U33" s="409">
        <f>U29*Data!R16</f>
        <v>48.758580000000009</v>
      </c>
      <c r="V33" s="409">
        <f>V29*Data!S16</f>
        <v>48.758580000000009</v>
      </c>
      <c r="W33" s="409">
        <f>W29*Data!T16</f>
        <v>48.758580000000009</v>
      </c>
      <c r="X33" s="409">
        <f>X29*Data!U16</f>
        <v>48.758580000000009</v>
      </c>
      <c r="Y33" s="409">
        <f>Y29*Data!V16</f>
        <v>48.758579999999988</v>
      </c>
      <c r="Z33" s="409">
        <f>Z29*Data!W16</f>
        <v>48.758579999999995</v>
      </c>
      <c r="AA33" s="409">
        <f>AA29*Data!X16</f>
        <v>48.758579999999995</v>
      </c>
      <c r="AB33" s="409">
        <f>AB29*Data!Y16</f>
        <v>41.257259999999782</v>
      </c>
      <c r="AC33" s="409">
        <f>AC29*Data!Z16</f>
        <v>30.005279999999356</v>
      </c>
      <c r="AD33" s="409">
        <f>AD29*Data!AA16</f>
        <v>18.753299999998934</v>
      </c>
      <c r="AF33" s="60"/>
      <c r="AG33" s="405" t="s">
        <v>1846</v>
      </c>
      <c r="AH33" s="406"/>
      <c r="AI33" s="407" t="s">
        <v>1673</v>
      </c>
      <c r="AJ33" s="408" t="s">
        <v>1628</v>
      </c>
      <c r="AK33" s="408" t="s">
        <v>545</v>
      </c>
      <c r="AL33" s="409">
        <f>AL29*Data!E16</f>
        <v>0</v>
      </c>
      <c r="AM33" s="409">
        <f>AM29*Data!F16</f>
        <v>6.4153974000000193</v>
      </c>
      <c r="AN33" s="409">
        <f>AN29*Data!G16</f>
        <v>13.916717399999962</v>
      </c>
      <c r="AO33" s="409">
        <f>AO29*Data!H16</f>
        <v>30.4196214</v>
      </c>
      <c r="AP33" s="409">
        <f>AP29*Data!I16</f>
        <v>46.922525399999984</v>
      </c>
      <c r="AQ33" s="409">
        <f>AQ29*Data!J16</f>
        <v>48.758579999999959</v>
      </c>
      <c r="AR33" s="409">
        <f>AR29*Data!K16</f>
        <v>48.758580000000016</v>
      </c>
      <c r="AS33" s="409">
        <f>AS29*Data!L16</f>
        <v>48.758579999999988</v>
      </c>
      <c r="AT33" s="409">
        <f>AT29*Data!M16</f>
        <v>48.758580000000016</v>
      </c>
      <c r="AU33" s="409">
        <f>AU29*Data!N16</f>
        <v>48.758579999999988</v>
      </c>
      <c r="AV33" s="409">
        <f>AV29*Data!O16</f>
        <v>48.758579999999988</v>
      </c>
      <c r="AW33" s="409">
        <f>AW29*Data!P16</f>
        <v>48.758580000000009</v>
      </c>
      <c r="AX33" s="409">
        <f>AX29*Data!Q16</f>
        <v>48.758580000000009</v>
      </c>
      <c r="AY33" s="409">
        <f>AY29*Data!R16</f>
        <v>48.758580000000009</v>
      </c>
      <c r="AZ33" s="409">
        <f>AZ29*Data!S16</f>
        <v>48.758580000000009</v>
      </c>
      <c r="BA33" s="409">
        <f>BA29*Data!T16</f>
        <v>48.758580000000009</v>
      </c>
      <c r="BB33" s="409">
        <f>BB29*Data!U16</f>
        <v>48.758580000000009</v>
      </c>
      <c r="BC33" s="409">
        <f>BC29*Data!V16</f>
        <v>48.758579999999988</v>
      </c>
      <c r="BD33" s="409">
        <f>BD29*Data!W16</f>
        <v>48.758579999999995</v>
      </c>
      <c r="BE33" s="409">
        <f>BE29*Data!X16</f>
        <v>48.758579999999995</v>
      </c>
      <c r="BF33" s="409">
        <f>BF29*Data!Y16</f>
        <v>41.257259999999782</v>
      </c>
      <c r="BG33" s="409">
        <f>BG29*Data!Z16</f>
        <v>30.005279999999356</v>
      </c>
      <c r="BH33" s="409">
        <f>BH29*Data!AA16</f>
        <v>18.753299999998934</v>
      </c>
    </row>
    <row r="34" spans="2:60" ht="15">
      <c r="B34" s="60" t="s">
        <v>1735</v>
      </c>
      <c r="C34" s="337" t="s">
        <v>1847</v>
      </c>
      <c r="D34" s="397" t="s">
        <v>1735</v>
      </c>
      <c r="E34" s="385" t="s">
        <v>1814</v>
      </c>
      <c r="F34" s="401"/>
      <c r="G34" s="386" t="s">
        <v>1696</v>
      </c>
      <c r="H34" s="402">
        <f>INDEX(Data!$B$4:$K$6,MATCH(Data!$B$5,Data!$B$4:$B$6,0),MATCH($D34,Data!$B$4:$K$4,0))</f>
        <v>22.275539999999999</v>
      </c>
      <c r="I34" s="402">
        <f>INDEX(Data!$B$4:$K$6,MATCH(Data!$B$5,Data!$B$4:$B$6,0),MATCH($D34,Data!$B$4:$K$4,0))</f>
        <v>22.275539999999999</v>
      </c>
      <c r="J34" s="402">
        <f>INDEX(Data!$B$4:$K$6,MATCH(Data!$B$5,Data!$B$4:$B$6,0),MATCH($D34,Data!$B$4:$K$4,0))</f>
        <v>22.275539999999999</v>
      </c>
      <c r="K34" s="402">
        <f>INDEX(Data!$B$4:$K$6,MATCH(Data!$B$5,Data!$B$4:$B$6,0),MATCH($D34,Data!$B$4:$K$4,0))</f>
        <v>22.275539999999999</v>
      </c>
      <c r="L34" s="402">
        <f>INDEX(Data!$B$4:$K$6,MATCH(Data!$B$5,Data!$B$4:$B$6,0),MATCH($D34,Data!$B$4:$K$4,0))</f>
        <v>22.275539999999999</v>
      </c>
      <c r="M34" s="402">
        <f>INDEX(Data!$B$4:$K$6,MATCH(Data!$B$5,Data!$B$4:$B$6,0),MATCH($D34,Data!$B$4:$K$4,0))</f>
        <v>22.275539999999999</v>
      </c>
      <c r="N34" s="402">
        <f>INDEX(Data!$B$4:$K$6,MATCH(Data!$B$5,Data!$B$4:$B$6,0),MATCH($D34,Data!$B$4:$K$4,0))</f>
        <v>22.275539999999999</v>
      </c>
      <c r="O34" s="402">
        <f>INDEX(Data!$B$4:$K$6,MATCH(Data!$B$5,Data!$B$4:$B$6,0),MATCH($D34,Data!$B$4:$K$4,0))</f>
        <v>22.275539999999999</v>
      </c>
      <c r="P34" s="402">
        <f>INDEX(Data!$B$4:$K$6,MATCH(Data!$B$5,Data!$B$4:$B$6,0),MATCH($D34,Data!$B$4:$K$4,0))</f>
        <v>22.275539999999999</v>
      </c>
      <c r="Q34" s="402">
        <f>INDEX(Data!$B$4:$K$6,MATCH(Data!$B$5,Data!$B$4:$B$6,0),MATCH($D34,Data!$B$4:$K$4,0))</f>
        <v>22.275539999999999</v>
      </c>
      <c r="R34" s="402">
        <f>INDEX(Data!$B$4:$K$6,MATCH(Data!$B$5,Data!$B$4:$B$6,0),MATCH($D34,Data!$B$4:$K$4,0))</f>
        <v>22.275539999999999</v>
      </c>
      <c r="S34" s="402">
        <f>INDEX(Data!$B$4:$K$6,MATCH(Data!$B$5,Data!$B$4:$B$6,0),MATCH($D34,Data!$B$4:$K$4,0))</f>
        <v>22.275539999999999</v>
      </c>
      <c r="T34" s="402">
        <f>INDEX(Data!$B$4:$K$6,MATCH(Data!$B$5,Data!$B$4:$B$6,0),MATCH($D34,Data!$B$4:$K$4,0))</f>
        <v>22.275539999999999</v>
      </c>
      <c r="U34" s="402">
        <f>INDEX(Data!$B$4:$K$6,MATCH(Data!$B$5,Data!$B$4:$B$6,0),MATCH($D34,Data!$B$4:$K$4,0))</f>
        <v>22.275539999999999</v>
      </c>
      <c r="V34" s="402">
        <f>INDEX(Data!$B$4:$K$6,MATCH(Data!$B$5,Data!$B$4:$B$6,0),MATCH($D34,Data!$B$4:$K$4,0))</f>
        <v>22.275539999999999</v>
      </c>
      <c r="W34" s="402">
        <f>INDEX(Data!$B$4:$K$6,MATCH(Data!$B$5,Data!$B$4:$B$6,0),MATCH($D34,Data!$B$4:$K$4,0))</f>
        <v>22.275539999999999</v>
      </c>
      <c r="X34" s="402">
        <f>INDEX(Data!$B$4:$K$6,MATCH(Data!$B$5,Data!$B$4:$B$6,0),MATCH($D34,Data!$B$4:$K$4,0))</f>
        <v>22.275539999999999</v>
      </c>
      <c r="Y34" s="402">
        <f>INDEX(Data!$B$4:$K$6,MATCH(Data!$B$5,Data!$B$4:$B$6,0),MATCH($D34,Data!$B$4:$K$4,0))</f>
        <v>22.275539999999999</v>
      </c>
      <c r="Z34" s="402">
        <f>INDEX(Data!$B$4:$K$6,MATCH(Data!$B$5,Data!$B$4:$B$6,0),MATCH($D34,Data!$B$4:$K$4,0))</f>
        <v>22.275539999999999</v>
      </c>
      <c r="AA34" s="402">
        <f>INDEX(Data!$B$4:$K$6,MATCH(Data!$B$5,Data!$B$4:$B$6,0),MATCH($D34,Data!$B$4:$K$4,0))</f>
        <v>22.275539999999999</v>
      </c>
      <c r="AB34" s="402">
        <f>INDEX(Data!$B$4:$K$6,MATCH(Data!$B$5,Data!$B$4:$B$6,0),MATCH($D34,Data!$B$4:$K$4,0))</f>
        <v>22.275539999999999</v>
      </c>
      <c r="AC34" s="402">
        <f>INDEX(Data!$B$4:$K$6,MATCH(Data!$B$5,Data!$B$4:$B$6,0),MATCH($D34,Data!$B$4:$K$4,0))</f>
        <v>22.275539999999999</v>
      </c>
      <c r="AD34" s="402">
        <f>INDEX(Data!$B$4:$K$6,MATCH(Data!$B$5,Data!$B$4:$B$6,0),MATCH($D34,Data!$B$4:$K$4,0))</f>
        <v>22.275539999999999</v>
      </c>
      <c r="AF34" s="60" t="s">
        <v>1735</v>
      </c>
      <c r="AG34" s="337" t="s">
        <v>1847</v>
      </c>
      <c r="AH34" s="397" t="s">
        <v>1735</v>
      </c>
      <c r="AI34" s="385" t="s">
        <v>1814</v>
      </c>
      <c r="AJ34" s="401"/>
      <c r="AK34" s="386" t="s">
        <v>1696</v>
      </c>
      <c r="AL34" s="402">
        <f>INDEX(Data!$B$4:$K$6,MATCH(Data!$B$5,Data!$B$4:$B$6,0),MATCH($AH34,Data!$B$4:$K$4,0))</f>
        <v>22.275539999999999</v>
      </c>
      <c r="AM34" s="402">
        <f>INDEX(Data!$B$4:$K$6,MATCH(Data!$B$5,Data!$B$4:$B$6,0),MATCH($AH34,Data!$B$4:$K$4,0))</f>
        <v>22.275539999999999</v>
      </c>
      <c r="AN34" s="402">
        <f>INDEX(Data!$B$4:$K$6,MATCH(Data!$B$5,Data!$B$4:$B$6,0),MATCH($AH34,Data!$B$4:$K$4,0))</f>
        <v>22.275539999999999</v>
      </c>
      <c r="AO34" s="402">
        <f>INDEX(Data!$B$4:$K$6,MATCH(Data!$B$5,Data!$B$4:$B$6,0),MATCH($AH34,Data!$B$4:$K$4,0))</f>
        <v>22.275539999999999</v>
      </c>
      <c r="AP34" s="402">
        <f>INDEX(Data!$B$4:$K$6,MATCH(Data!$B$5,Data!$B$4:$B$6,0),MATCH($AH34,Data!$B$4:$K$4,0))</f>
        <v>22.275539999999999</v>
      </c>
      <c r="AQ34" s="402">
        <f>INDEX(Data!$B$4:$K$6,MATCH(Data!$B$5,Data!$B$4:$B$6,0),MATCH($AH34,Data!$B$4:$K$4,0))</f>
        <v>22.275539999999999</v>
      </c>
      <c r="AR34" s="402">
        <f>INDEX(Data!$B$4:$K$6,MATCH(Data!$B$5,Data!$B$4:$B$6,0),MATCH($AH34,Data!$B$4:$K$4,0))</f>
        <v>22.275539999999999</v>
      </c>
      <c r="AS34" s="402">
        <f>INDEX(Data!$B$4:$K$6,MATCH(Data!$B$5,Data!$B$4:$B$6,0),MATCH($AH34,Data!$B$4:$K$4,0))</f>
        <v>22.275539999999999</v>
      </c>
      <c r="AT34" s="402">
        <f>INDEX(Data!$B$4:$K$6,MATCH(Data!$B$5,Data!$B$4:$B$6,0),MATCH($AH34,Data!$B$4:$K$4,0))</f>
        <v>22.275539999999999</v>
      </c>
      <c r="AU34" s="402">
        <f>INDEX(Data!$B$4:$K$6,MATCH(Data!$B$5,Data!$B$4:$B$6,0),MATCH($AH34,Data!$B$4:$K$4,0))</f>
        <v>22.275539999999999</v>
      </c>
      <c r="AV34" s="402">
        <f>INDEX(Data!$B$4:$K$6,MATCH(Data!$B$5,Data!$B$4:$B$6,0),MATCH($AH34,Data!$B$4:$K$4,0))</f>
        <v>22.275539999999999</v>
      </c>
      <c r="AW34" s="402">
        <f>INDEX(Data!$B$4:$K$6,MATCH(Data!$B$5,Data!$B$4:$B$6,0),MATCH($AH34,Data!$B$4:$K$4,0))</f>
        <v>22.275539999999999</v>
      </c>
      <c r="AX34" s="402">
        <f>INDEX(Data!$B$4:$K$6,MATCH(Data!$B$5,Data!$B$4:$B$6,0),MATCH($AH34,Data!$B$4:$K$4,0))</f>
        <v>22.275539999999999</v>
      </c>
      <c r="AY34" s="402">
        <f>INDEX(Data!$B$4:$K$6,MATCH(Data!$B$5,Data!$B$4:$B$6,0),MATCH($AH34,Data!$B$4:$K$4,0))</f>
        <v>22.275539999999999</v>
      </c>
      <c r="AZ34" s="402">
        <f>INDEX(Data!$B$4:$K$6,MATCH(Data!$B$5,Data!$B$4:$B$6,0),MATCH($AH34,Data!$B$4:$K$4,0))</f>
        <v>22.275539999999999</v>
      </c>
      <c r="BA34" s="402">
        <f>INDEX(Data!$B$4:$K$6,MATCH(Data!$B$5,Data!$B$4:$B$6,0),MATCH($AH34,Data!$B$4:$K$4,0))</f>
        <v>22.275539999999999</v>
      </c>
      <c r="BB34" s="402">
        <f>INDEX(Data!$B$4:$K$6,MATCH(Data!$B$5,Data!$B$4:$B$6,0),MATCH($AH34,Data!$B$4:$K$4,0))</f>
        <v>22.275539999999999</v>
      </c>
      <c r="BC34" s="402">
        <f>INDEX(Data!$B$4:$K$6,MATCH(Data!$B$5,Data!$B$4:$B$6,0),MATCH($AH34,Data!$B$4:$K$4,0))</f>
        <v>22.275539999999999</v>
      </c>
      <c r="BD34" s="402">
        <f>INDEX(Data!$B$4:$K$6,MATCH(Data!$B$5,Data!$B$4:$B$6,0),MATCH($AH34,Data!$B$4:$K$4,0))</f>
        <v>22.275539999999999</v>
      </c>
      <c r="BE34" s="402">
        <f>INDEX(Data!$B$4:$K$6,MATCH(Data!$B$5,Data!$B$4:$B$6,0),MATCH($AH34,Data!$B$4:$K$4,0))</f>
        <v>22.275539999999999</v>
      </c>
      <c r="BF34" s="402">
        <f>INDEX(Data!$B$4:$K$6,MATCH(Data!$B$5,Data!$B$4:$B$6,0),MATCH($AH34,Data!$B$4:$K$4,0))</f>
        <v>22.275539999999999</v>
      </c>
      <c r="BG34" s="402">
        <f>INDEX(Data!$B$4:$K$6,MATCH(Data!$B$5,Data!$B$4:$B$6,0),MATCH($AH34,Data!$B$4:$K$4,0))</f>
        <v>22.275539999999999</v>
      </c>
      <c r="BH34" s="402">
        <f>INDEX(Data!$B$4:$K$6,MATCH(Data!$B$5,Data!$B$4:$B$6,0),MATCH($AH34,Data!$B$4:$K$4,0))</f>
        <v>22.275539999999999</v>
      </c>
    </row>
    <row r="35" spans="2:60" ht="15">
      <c r="B35" s="60"/>
      <c r="C35" s="337" t="s">
        <v>1848</v>
      </c>
      <c r="D35" s="384"/>
      <c r="E35" s="385" t="s">
        <v>1604</v>
      </c>
      <c r="F35" s="386" t="s">
        <v>1822</v>
      </c>
      <c r="G35" s="386" t="s">
        <v>1823</v>
      </c>
      <c r="H35" s="398">
        <f>H34/1000</f>
        <v>2.227554E-2</v>
      </c>
      <c r="I35" s="398">
        <f t="shared" ref="I35:AD35" si="6">I34/1000</f>
        <v>2.227554E-2</v>
      </c>
      <c r="J35" s="398">
        <f t="shared" si="6"/>
        <v>2.227554E-2</v>
      </c>
      <c r="K35" s="398">
        <f t="shared" si="6"/>
        <v>2.227554E-2</v>
      </c>
      <c r="L35" s="398">
        <f t="shared" si="6"/>
        <v>2.227554E-2</v>
      </c>
      <c r="M35" s="398">
        <f t="shared" si="6"/>
        <v>2.227554E-2</v>
      </c>
      <c r="N35" s="398">
        <f t="shared" si="6"/>
        <v>2.227554E-2</v>
      </c>
      <c r="O35" s="398">
        <f t="shared" si="6"/>
        <v>2.227554E-2</v>
      </c>
      <c r="P35" s="398">
        <f t="shared" si="6"/>
        <v>2.227554E-2</v>
      </c>
      <c r="Q35" s="398">
        <f t="shared" si="6"/>
        <v>2.227554E-2</v>
      </c>
      <c r="R35" s="398">
        <f t="shared" si="6"/>
        <v>2.227554E-2</v>
      </c>
      <c r="S35" s="398">
        <f t="shared" si="6"/>
        <v>2.227554E-2</v>
      </c>
      <c r="T35" s="398">
        <f t="shared" si="6"/>
        <v>2.227554E-2</v>
      </c>
      <c r="U35" s="398">
        <f t="shared" si="6"/>
        <v>2.227554E-2</v>
      </c>
      <c r="V35" s="398">
        <f t="shared" si="6"/>
        <v>2.227554E-2</v>
      </c>
      <c r="W35" s="398">
        <f t="shared" si="6"/>
        <v>2.227554E-2</v>
      </c>
      <c r="X35" s="398">
        <f t="shared" si="6"/>
        <v>2.227554E-2</v>
      </c>
      <c r="Y35" s="398">
        <f t="shared" si="6"/>
        <v>2.227554E-2</v>
      </c>
      <c r="Z35" s="398">
        <f t="shared" si="6"/>
        <v>2.227554E-2</v>
      </c>
      <c r="AA35" s="398">
        <f t="shared" si="6"/>
        <v>2.227554E-2</v>
      </c>
      <c r="AB35" s="398">
        <f t="shared" si="6"/>
        <v>2.227554E-2</v>
      </c>
      <c r="AC35" s="398">
        <f t="shared" si="6"/>
        <v>2.227554E-2</v>
      </c>
      <c r="AD35" s="398">
        <f t="shared" si="6"/>
        <v>2.227554E-2</v>
      </c>
      <c r="AF35" s="60"/>
      <c r="AG35" s="337" t="s">
        <v>1848</v>
      </c>
      <c r="AH35" s="384"/>
      <c r="AI35" s="385" t="s">
        <v>1604</v>
      </c>
      <c r="AJ35" s="386" t="s">
        <v>1822</v>
      </c>
      <c r="AK35" s="386" t="s">
        <v>1823</v>
      </c>
      <c r="AL35" s="398">
        <f>AL34/1000</f>
        <v>2.227554E-2</v>
      </c>
      <c r="AM35" s="398">
        <f t="shared" ref="AM35:BH35" si="7">AM34/1000</f>
        <v>2.227554E-2</v>
      </c>
      <c r="AN35" s="398">
        <f t="shared" si="7"/>
        <v>2.227554E-2</v>
      </c>
      <c r="AO35" s="398">
        <f t="shared" si="7"/>
        <v>2.227554E-2</v>
      </c>
      <c r="AP35" s="398">
        <f t="shared" si="7"/>
        <v>2.227554E-2</v>
      </c>
      <c r="AQ35" s="398">
        <f t="shared" si="7"/>
        <v>2.227554E-2</v>
      </c>
      <c r="AR35" s="398">
        <f t="shared" si="7"/>
        <v>2.227554E-2</v>
      </c>
      <c r="AS35" s="398">
        <f t="shared" si="7"/>
        <v>2.227554E-2</v>
      </c>
      <c r="AT35" s="398">
        <f t="shared" si="7"/>
        <v>2.227554E-2</v>
      </c>
      <c r="AU35" s="398">
        <f t="shared" si="7"/>
        <v>2.227554E-2</v>
      </c>
      <c r="AV35" s="398">
        <f t="shared" si="7"/>
        <v>2.227554E-2</v>
      </c>
      <c r="AW35" s="398">
        <f t="shared" si="7"/>
        <v>2.227554E-2</v>
      </c>
      <c r="AX35" s="398">
        <f t="shared" si="7"/>
        <v>2.227554E-2</v>
      </c>
      <c r="AY35" s="398">
        <f t="shared" si="7"/>
        <v>2.227554E-2</v>
      </c>
      <c r="AZ35" s="398">
        <f t="shared" si="7"/>
        <v>2.227554E-2</v>
      </c>
      <c r="BA35" s="398">
        <f t="shared" si="7"/>
        <v>2.227554E-2</v>
      </c>
      <c r="BB35" s="398">
        <f t="shared" si="7"/>
        <v>2.227554E-2</v>
      </c>
      <c r="BC35" s="398">
        <f t="shared" si="7"/>
        <v>2.227554E-2</v>
      </c>
      <c r="BD35" s="398">
        <f t="shared" si="7"/>
        <v>2.227554E-2</v>
      </c>
      <c r="BE35" s="398">
        <f t="shared" si="7"/>
        <v>2.227554E-2</v>
      </c>
      <c r="BF35" s="398">
        <f t="shared" si="7"/>
        <v>2.227554E-2</v>
      </c>
      <c r="BG35" s="398">
        <f t="shared" si="7"/>
        <v>2.227554E-2</v>
      </c>
      <c r="BH35" s="398">
        <f t="shared" si="7"/>
        <v>2.227554E-2</v>
      </c>
    </row>
    <row r="36" spans="2:60" ht="15">
      <c r="B36" s="60"/>
      <c r="C36" s="337" t="s">
        <v>1849</v>
      </c>
      <c r="D36" s="384"/>
      <c r="E36" s="385"/>
      <c r="F36" s="386" t="s">
        <v>1850</v>
      </c>
      <c r="G36" s="386" t="s">
        <v>1838</v>
      </c>
      <c r="H36" s="398">
        <f>MAX((H34-H$12),0)*Data!$E$6</f>
        <v>0</v>
      </c>
      <c r="I36" s="398">
        <f>MAX((I34-I$12),0)*Data!$E$6</f>
        <v>0</v>
      </c>
      <c r="J36" s="398">
        <f>MAX((J34-J$12),0)*Data!$E$6</f>
        <v>0</v>
      </c>
      <c r="K36" s="398">
        <f>MAX((K34-K$12),0)*Data!$E$6</f>
        <v>0</v>
      </c>
      <c r="L36" s="398">
        <f>MAX((L34-L$12),0)*Data!$E$6</f>
        <v>0</v>
      </c>
      <c r="M36" s="398">
        <f>MAX((M34-M$12),0)*Data!$E$6</f>
        <v>0</v>
      </c>
      <c r="N36" s="398">
        <f>MAX((N34-N$12),0)*Data!$E$6</f>
        <v>0</v>
      </c>
      <c r="O36" s="398">
        <f>MAX((O34-O$12),0)*Data!$E$6</f>
        <v>0</v>
      </c>
      <c r="P36" s="398">
        <f>MAX((P34-P$12),0)*Data!$E$6</f>
        <v>0</v>
      </c>
      <c r="Q36" s="398">
        <f>MAX((Q34-Q$12),0)*Data!$E$6</f>
        <v>0</v>
      </c>
      <c r="R36" s="398">
        <f>MAX((R34-R$12),0)*Data!$E$6</f>
        <v>0</v>
      </c>
      <c r="S36" s="398">
        <f>MAX((S34-S$12),0)*Data!$E$6</f>
        <v>0</v>
      </c>
      <c r="T36" s="398">
        <f>MAX((T34-T$12),0)*Data!$E$6</f>
        <v>0</v>
      </c>
      <c r="U36" s="398">
        <f>MAX((U34-U$12),0)*Data!$E$6</f>
        <v>0</v>
      </c>
      <c r="V36" s="398">
        <f>MAX((V34-V$12),0)*Data!$E$6</f>
        <v>0</v>
      </c>
      <c r="W36" s="398">
        <f>MAX((W34-W$12),0)*Data!$E$6</f>
        <v>0</v>
      </c>
      <c r="X36" s="398">
        <f>MAX((X34-X$12),0)*Data!$E$6</f>
        <v>3.2824908000011706E-2</v>
      </c>
      <c r="Y36" s="398">
        <f>MAX((Y34-Y$12),0)*Data!$E$6</f>
        <v>0.14534470799998941</v>
      </c>
      <c r="Z36" s="398">
        <f>MAX((Z34-Z$12),0)*Data!$E$6</f>
        <v>0.25786450799999361</v>
      </c>
      <c r="AA36" s="398">
        <f>MAX((AA34-AA$12),0)*Data!$E$6</f>
        <v>0.37038430799999783</v>
      </c>
      <c r="AB36" s="398">
        <f>MAX((AB34-AB$12),0)*Data!$E$6</f>
        <v>0.48290410800000211</v>
      </c>
      <c r="AC36" s="398">
        <f>MAX((AC34-AC$12),0)*Data!$E$6</f>
        <v>0.59542390800000633</v>
      </c>
      <c r="AD36" s="398">
        <f>MAX((AD34-AD$12),0)*Data!$E$6</f>
        <v>0.70794370800001061</v>
      </c>
      <c r="AF36" s="60"/>
      <c r="AG36" s="337" t="s">
        <v>1849</v>
      </c>
      <c r="AH36" s="384"/>
      <c r="AI36" s="385"/>
      <c r="AJ36" s="386" t="s">
        <v>1850</v>
      </c>
      <c r="AK36" s="386" t="s">
        <v>1838</v>
      </c>
      <c r="AL36" s="398">
        <f>MAX((AL34-AL$12),0)*Data!$E$6</f>
        <v>0</v>
      </c>
      <c r="AM36" s="398">
        <f>MAX((AM34-AM$12),0)*Data!$E$6</f>
        <v>0</v>
      </c>
      <c r="AN36" s="398">
        <f>MAX((AN34-AN$12),0)*Data!$E$6</f>
        <v>0</v>
      </c>
      <c r="AO36" s="398">
        <f>MAX((AO34-AO$12),0)*Data!$E$6</f>
        <v>0</v>
      </c>
      <c r="AP36" s="398">
        <f>MAX((AP34-AP$12),0)*Data!$E$6</f>
        <v>0</v>
      </c>
      <c r="AQ36" s="398">
        <f>MAX((AQ34-AQ$12),0)*Data!$E$6</f>
        <v>0</v>
      </c>
      <c r="AR36" s="398">
        <f>MAX((AR34-AR$12),0)*Data!$E$6</f>
        <v>0</v>
      </c>
      <c r="AS36" s="398">
        <f>MAX((AS34-AS$12),0)*Data!$E$6</f>
        <v>0</v>
      </c>
      <c r="AT36" s="398">
        <f>MAX((AT34-AT$12),0)*Data!$E$6</f>
        <v>0</v>
      </c>
      <c r="AU36" s="398">
        <f>MAX((AU34-AU$12),0)*Data!$E$6</f>
        <v>0</v>
      </c>
      <c r="AV36" s="398">
        <f>MAX((AV34-AV$12),0)*Data!$E$6</f>
        <v>0</v>
      </c>
      <c r="AW36" s="398">
        <f>MAX((AW34-AW$12),0)*Data!$E$6</f>
        <v>0</v>
      </c>
      <c r="AX36" s="398">
        <f>MAX((AX34-AX$12),0)*Data!$E$6</f>
        <v>0</v>
      </c>
      <c r="AY36" s="398">
        <f>MAX((AY34-AY$12),0)*Data!$E$6</f>
        <v>0</v>
      </c>
      <c r="AZ36" s="398">
        <f>MAX((AZ34-AZ$12),0)*Data!$E$6</f>
        <v>0</v>
      </c>
      <c r="BA36" s="398">
        <f>MAX((BA34-BA$12),0)*Data!$E$6</f>
        <v>0</v>
      </c>
      <c r="BB36" s="398">
        <f>MAX((BB34-BB$12),0)*Data!$E$6</f>
        <v>3.2824908000011706E-2</v>
      </c>
      <c r="BC36" s="398">
        <f>MAX((BC34-BC$12),0)*Data!$E$6</f>
        <v>0.14534470799998941</v>
      </c>
      <c r="BD36" s="398">
        <f>MAX((BD34-BD$12),0)*Data!$E$6</f>
        <v>0.25786450799999361</v>
      </c>
      <c r="BE36" s="398">
        <f>MAX((BE34-BE$12),0)*Data!$E$6</f>
        <v>0.37038430799999783</v>
      </c>
      <c r="BF36" s="398">
        <f>MAX((BF34-BF$12),0)*Data!$E$6</f>
        <v>0.48290410800000211</v>
      </c>
      <c r="BG36" s="398">
        <f>MAX((BG34-BG$12),0)*Data!$E$6</f>
        <v>0.59542390800000633</v>
      </c>
      <c r="BH36" s="398">
        <f>MAX((BH34-BH$12),0)*Data!$E$6</f>
        <v>0.70794370800001061</v>
      </c>
    </row>
    <row r="37" spans="2:60" ht="15">
      <c r="B37" s="60"/>
      <c r="C37" s="410" t="s">
        <v>1851</v>
      </c>
      <c r="D37" s="471" t="str">
        <f>+D5</f>
        <v>Enter fixed price</v>
      </c>
      <c r="E37" s="472" t="s">
        <v>1814</v>
      </c>
      <c r="F37" s="473" t="str">
        <f>IF('CCC Summary (main)'!$C$25="Yes",'CCC Summary (main)'!$D$25,"")</f>
        <v/>
      </c>
      <c r="G37" s="473" t="s">
        <v>587</v>
      </c>
      <c r="H37" s="474">
        <f>IF($D37="Enter fixed price",$E$5/(Data!$E$6*1000),INDEX(Data!$B$26:$AA$35,MATCH($D37,Data!$B$26:$B$35,0),MATCH(H$11,Data!$B$26:$AA$26,0)))</f>
        <v>2487.5621890547263</v>
      </c>
      <c r="I37" s="474">
        <f>IF($D37="Enter fixed price",$E$5/(Data!$E$6*1000),INDEX(Data!$B$26:$AA$35,MATCH($D37,Data!$B$26:$B$35,0),MATCH(I$11,Data!$B$26:$AA$26,0)))</f>
        <v>2487.5621890547263</v>
      </c>
      <c r="J37" s="474">
        <f>IF($D37="Enter fixed price",$E$5/(Data!$E$6*1000),INDEX(Data!$B$26:$AA$35,MATCH($D37,Data!$B$26:$B$35,0),MATCH(J$11,Data!$B$26:$AA$26,0)))</f>
        <v>2487.5621890547263</v>
      </c>
      <c r="K37" s="474">
        <f>IF($D37="Enter fixed price",$E$5/(Data!$E$6*1000),INDEX(Data!$B$26:$AA$35,MATCH($D37,Data!$B$26:$B$35,0),MATCH(K$11,Data!$B$26:$AA$26,0)))</f>
        <v>2487.5621890547263</v>
      </c>
      <c r="L37" s="474">
        <f>IF($D37="Enter fixed price",$E$5/(Data!$E$6*1000),INDEX(Data!$B$26:$AA$35,MATCH($D37,Data!$B$26:$B$35,0),MATCH(L$11,Data!$B$26:$AA$26,0)))</f>
        <v>2487.5621890547263</v>
      </c>
      <c r="M37" s="474">
        <f>IF($D37="Enter fixed price",$E$5/(Data!$E$6*1000),INDEX(Data!$B$26:$AA$35,MATCH($D37,Data!$B$26:$B$35,0),MATCH(M$11,Data!$B$26:$AA$26,0)))</f>
        <v>2487.5621890547263</v>
      </c>
      <c r="N37" s="474">
        <f>IF($D37="Enter fixed price",$E$5/(Data!$E$6*1000),INDEX(Data!$B$26:$AA$35,MATCH($D37,Data!$B$26:$B$35,0),MATCH(N$11,Data!$B$26:$AA$26,0)))</f>
        <v>2487.5621890547263</v>
      </c>
      <c r="O37" s="474">
        <f>IF($D37="Enter fixed price",$E$5/(Data!$E$6*1000),INDEX(Data!$B$26:$AA$35,MATCH($D37,Data!$B$26:$B$35,0),MATCH(O$11,Data!$B$26:$AA$26,0)))</f>
        <v>2487.5621890547263</v>
      </c>
      <c r="P37" s="474">
        <f>IF($D37="Enter fixed price",$E$5/(Data!$E$6*1000),INDEX(Data!$B$26:$AA$35,MATCH($D37,Data!$B$26:$B$35,0),MATCH(P$11,Data!$B$26:$AA$26,0)))</f>
        <v>2487.5621890547263</v>
      </c>
      <c r="Q37" s="474">
        <f>IF($D37="Enter fixed price",$E$5/(Data!$E$6*1000),INDEX(Data!$B$26:$AA$35,MATCH($D37,Data!$B$26:$B$35,0),MATCH(Q$11,Data!$B$26:$AA$26,0)))</f>
        <v>2487.5621890547263</v>
      </c>
      <c r="R37" s="474">
        <f>IF($D37="Enter fixed price",$E$5/(Data!$E$6*1000),INDEX(Data!$B$26:$AA$35,MATCH($D37,Data!$B$26:$B$35,0),MATCH(R$11,Data!$B$26:$AA$26,0)))</f>
        <v>2487.5621890547263</v>
      </c>
      <c r="S37" s="474">
        <f>IF($D37="Enter fixed price",$E$5/(Data!$E$6*1000),INDEX(Data!$B$26:$AA$35,MATCH($D37,Data!$B$26:$B$35,0),MATCH(S$11,Data!$B$26:$AA$26,0)))</f>
        <v>2487.5621890547263</v>
      </c>
      <c r="T37" s="474">
        <f>IF($D37="Enter fixed price",$E$5/(Data!$E$6*1000),INDEX(Data!$B$26:$AA$35,MATCH($D37,Data!$B$26:$B$35,0),MATCH(T$11,Data!$B$26:$AA$26,0)))</f>
        <v>2487.5621890547263</v>
      </c>
      <c r="U37" s="474">
        <f>IF($D37="Enter fixed price",$E$5/(Data!$E$6*1000),INDEX(Data!$B$26:$AA$35,MATCH($D37,Data!$B$26:$B$35,0),MATCH(U$11,Data!$B$26:$AA$26,0)))</f>
        <v>2487.5621890547263</v>
      </c>
      <c r="V37" s="474">
        <f>IF($D37="Enter fixed price",$E$5/(Data!$E$6*1000),INDEX(Data!$B$26:$AA$35,MATCH($D37,Data!$B$26:$B$35,0),MATCH(V$11,Data!$B$26:$AA$26,0)))</f>
        <v>2487.5621890547263</v>
      </c>
      <c r="W37" s="474">
        <f>IF($D37="Enter fixed price",$E$5/(Data!$E$6*1000),INDEX(Data!$B$26:$AA$35,MATCH($D37,Data!$B$26:$B$35,0),MATCH(W$11,Data!$B$26:$AA$26,0)))</f>
        <v>2487.5621890547263</v>
      </c>
      <c r="X37" s="474">
        <f>IF($D37="Enter fixed price",$E$5/(Data!$E$6*1000),INDEX(Data!$B$26:$AA$35,MATCH($D37,Data!$B$26:$B$35,0),MATCH(X$11,Data!$B$26:$AA$26,0)))</f>
        <v>2487.5621890547263</v>
      </c>
      <c r="Y37" s="474">
        <f>IF($D37="Enter fixed price",$E$5/(Data!$E$6*1000),INDEX(Data!$B$26:$AA$35,MATCH($D37,Data!$B$26:$B$35,0),MATCH(Y$11,Data!$B$26:$AA$26,0)))</f>
        <v>2487.5621890547263</v>
      </c>
      <c r="Z37" s="474">
        <f>IF($D37="Enter fixed price",$E$5/(Data!$E$6*1000),INDEX(Data!$B$26:$AA$35,MATCH($D37,Data!$B$26:$B$35,0),MATCH(Z$11,Data!$B$26:$AA$26,0)))</f>
        <v>2487.5621890547263</v>
      </c>
      <c r="AA37" s="474">
        <f>IF($D37="Enter fixed price",$E$5/(Data!$E$6*1000),INDEX(Data!$B$26:$AA$35,MATCH($D37,Data!$B$26:$B$35,0),MATCH(AA$11,Data!$B$26:$AA$26,0)))</f>
        <v>2487.5621890547263</v>
      </c>
      <c r="AB37" s="474">
        <f>IF($D37="Enter fixed price",$E$5/(Data!$E$6*1000),INDEX(Data!$B$26:$AA$35,MATCH($D37,Data!$B$26:$B$35,0),MATCH(AB$11,Data!$B$26:$AA$26,0)))</f>
        <v>2487.5621890547263</v>
      </c>
      <c r="AC37" s="474">
        <f>IF($D37="Enter fixed price",$E$5/(Data!$E$6*1000),INDEX(Data!$B$26:$AA$35,MATCH($D37,Data!$B$26:$B$35,0),MATCH(AC$11,Data!$B$26:$AA$26,0)))</f>
        <v>2487.5621890547263</v>
      </c>
      <c r="AD37" s="474">
        <f>IF($D37="Enter fixed price",$E$5/(Data!$E$6*1000),INDEX(Data!$B$26:$AA$35,MATCH($D37,Data!$B$26:$B$35,0),MATCH(AD$11,Data!$B$26:$AA$26,0)))</f>
        <v>2487.5621890547263</v>
      </c>
      <c r="AF37" s="60"/>
      <c r="AG37" s="480" t="s">
        <v>1851</v>
      </c>
      <c r="AH37" s="471" t="str">
        <f>+AH6</f>
        <v>LR/UMAS B100 - Avg Price</v>
      </c>
      <c r="AI37" s="472" t="s">
        <v>1814</v>
      </c>
      <c r="AJ37" s="473" t="str">
        <f>IF('CCC Summary (main)'!$C$25="Yes",'CCC Summary (main)'!$D$25,"")</f>
        <v/>
      </c>
      <c r="AK37" s="473" t="s">
        <v>587</v>
      </c>
      <c r="AL37" s="474">
        <f>IF($AH37="Enter fixed price",'CCC Summary (main)'!$C$30/(Data!$E$6*1000),INDEX(Data!$B$26:$AA$35,MATCH($AH37,Data!$B$26:$B$35,0),MATCH(AL$11,Data!$B$26:$AA$26,0)))</f>
        <v>33.900000000000006</v>
      </c>
      <c r="AM37" s="474">
        <f>IF($AH37="Enter fixed price",'CCC Summary (main)'!$C$30/(Data!$E$6*1000),INDEX(Data!$B$26:$AA$35,MATCH($AH37,Data!$B$26:$B$35,0),MATCH(AM$11,Data!$B$26:$AA$26,0)))</f>
        <v>35.199999999999996</v>
      </c>
      <c r="AN37" s="474">
        <f>IF($AH37="Enter fixed price",'CCC Summary (main)'!$C$30/(Data!$E$6*1000),INDEX(Data!$B$26:$AA$35,MATCH($AH37,Data!$B$26:$B$35,0),MATCH(AN$11,Data!$B$26:$AA$26,0)))</f>
        <v>36.5</v>
      </c>
      <c r="AO37" s="474">
        <f>IF($AH37="Enter fixed price",'CCC Summary (main)'!$C$30/(Data!$E$6*1000),INDEX(Data!$B$26:$AA$35,MATCH($AH37,Data!$B$26:$B$35,0),MATCH(AO$11,Data!$B$26:$AA$26,0)))</f>
        <v>37.9</v>
      </c>
      <c r="AP37" s="474">
        <f>IF($AH37="Enter fixed price",'CCC Summary (main)'!$C$30/(Data!$E$6*1000),INDEX(Data!$B$26:$AA$35,MATCH($AH37,Data!$B$26:$B$35,0),MATCH(AP$11,Data!$B$26:$AA$26,0)))</f>
        <v>39.299999999999997</v>
      </c>
      <c r="AQ37" s="474">
        <f>IF($AH37="Enter fixed price",'CCC Summary (main)'!$C$30/(Data!$E$6*1000),INDEX(Data!$B$26:$AA$35,MATCH($AH37,Data!$B$26:$B$35,0),MATCH(AQ$11,Data!$B$26:$AA$26,0)))</f>
        <v>40.700000000000003</v>
      </c>
      <c r="AR37" s="474">
        <f>IF($AH37="Enter fixed price",'CCC Summary (main)'!$C$30/(Data!$E$6*1000),INDEX(Data!$B$26:$AA$35,MATCH($AH37,Data!$B$26:$B$35,0),MATCH(AR$11,Data!$B$26:$AA$26,0)))</f>
        <v>42.1</v>
      </c>
      <c r="AS37" s="474">
        <f>IF($AH37="Enter fixed price",'CCC Summary (main)'!$C$30/(Data!$E$6*1000),INDEX(Data!$B$26:$AA$35,MATCH($AH37,Data!$B$26:$B$35,0),MATCH(AS$11,Data!$B$26:$AA$26,0)))</f>
        <v>43.5</v>
      </c>
      <c r="AT37" s="474">
        <f>IF($AH37="Enter fixed price",'CCC Summary (main)'!$C$30/(Data!$E$6*1000),INDEX(Data!$B$26:$AA$35,MATCH($AH37,Data!$B$26:$B$35,0),MATCH(AT$11,Data!$B$26:$AA$26,0)))</f>
        <v>44.9</v>
      </c>
      <c r="AU37" s="474">
        <f>IF($AH37="Enter fixed price",'CCC Summary (main)'!$C$30/(Data!$E$6*1000),INDEX(Data!$B$26:$AA$35,MATCH($AH37,Data!$B$26:$B$35,0),MATCH(AU$11,Data!$B$26:$AA$26,0)))</f>
        <v>46.3</v>
      </c>
      <c r="AV37" s="474">
        <f>IF($AH37="Enter fixed price",'CCC Summary (main)'!$C$30/(Data!$E$6*1000),INDEX(Data!$B$26:$AA$35,MATCH($AH37,Data!$B$26:$B$35,0),MATCH(AV$11,Data!$B$26:$AA$26,0)))</f>
        <v>47.7</v>
      </c>
      <c r="AW37" s="474">
        <f>IF($AH37="Enter fixed price",'CCC Summary (main)'!$C$30/(Data!$E$6*1000),INDEX(Data!$B$26:$AA$35,MATCH($AH37,Data!$B$26:$B$35,0),MATCH(AW$11,Data!$B$26:$AA$26,0)))</f>
        <v>49.1</v>
      </c>
      <c r="AX37" s="474">
        <f>IF($AH37="Enter fixed price",'CCC Summary (main)'!$C$30/(Data!$E$6*1000),INDEX(Data!$B$26:$AA$35,MATCH($AH37,Data!$B$26:$B$35,0),MATCH(AX$11,Data!$B$26:$AA$26,0)))</f>
        <v>50.5</v>
      </c>
      <c r="AY37" s="474">
        <f>IF($AH37="Enter fixed price",'CCC Summary (main)'!$C$30/(Data!$E$6*1000),INDEX(Data!$B$26:$AA$35,MATCH($AH37,Data!$B$26:$B$35,0),MATCH(AY$11,Data!$B$26:$AA$26,0)))</f>
        <v>51.800000000000004</v>
      </c>
      <c r="AZ37" s="474">
        <f>IF($AH37="Enter fixed price",'CCC Summary (main)'!$C$30/(Data!$E$6*1000),INDEX(Data!$B$26:$AA$35,MATCH($AH37,Data!$B$26:$B$35,0),MATCH(AZ$11,Data!$B$26:$AA$26,0)))</f>
        <v>53.099999999999994</v>
      </c>
      <c r="BA37" s="474">
        <f>IF($AH37="Enter fixed price",'CCC Summary (main)'!$C$30/(Data!$E$6*1000),INDEX(Data!$B$26:$AA$35,MATCH($AH37,Data!$B$26:$B$35,0),MATCH(BA$11,Data!$B$26:$AA$26,0)))</f>
        <v>54.400000000000006</v>
      </c>
      <c r="BB37" s="474">
        <f>IF($AH37="Enter fixed price",'CCC Summary (main)'!$C$30/(Data!$E$6*1000),INDEX(Data!$B$26:$AA$35,MATCH($AH37,Data!$B$26:$B$35,0),MATCH(BB$11,Data!$B$26:$AA$26,0)))</f>
        <v>55.699999999999996</v>
      </c>
      <c r="BC37" s="474">
        <f>IF($AH37="Enter fixed price",'CCC Summary (main)'!$C$30/(Data!$E$6*1000),INDEX(Data!$B$26:$AA$35,MATCH($AH37,Data!$B$26:$B$35,0),MATCH(BC$11,Data!$B$26:$AA$26,0)))</f>
        <v>57</v>
      </c>
      <c r="BD37" s="474">
        <f>IF($AH37="Enter fixed price",'CCC Summary (main)'!$C$30/(Data!$E$6*1000),INDEX(Data!$B$26:$AA$35,MATCH($AH37,Data!$B$26:$B$35,0),MATCH(BD$11,Data!$B$26:$AA$26,0)))</f>
        <v>58.300000000000004</v>
      </c>
      <c r="BE37" s="474">
        <f>IF($AH37="Enter fixed price",'CCC Summary (main)'!$C$30/(Data!$E$6*1000),INDEX(Data!$B$26:$AA$35,MATCH($AH37,Data!$B$26:$B$35,0),MATCH(BE$11,Data!$B$26:$AA$26,0)))</f>
        <v>59.599999999999994</v>
      </c>
      <c r="BF37" s="474">
        <f>IF($AH37="Enter fixed price",'CCC Summary (main)'!$C$30/(Data!$E$6*1000),INDEX(Data!$B$26:$AA$35,MATCH($AH37,Data!$B$26:$B$35,0),MATCH(BF$11,Data!$B$26:$AA$26,0)))</f>
        <v>60.900000000000006</v>
      </c>
      <c r="BG37" s="474">
        <f>IF($AH37="Enter fixed price",'CCC Summary (main)'!$C$30/(Data!$E$6*1000),INDEX(Data!$B$26:$AA$35,MATCH($AH37,Data!$B$26:$B$35,0),MATCH(BG$11,Data!$B$26:$AA$26,0)))</f>
        <v>62.199999999999996</v>
      </c>
      <c r="BH37" s="474">
        <f>IF($AH37="Enter fixed price",'CCC Summary (main)'!$C$30/(Data!$E$6*1000),INDEX(Data!$B$26:$AA$35,MATCH($AH37,Data!$B$26:$B$35,0),MATCH(BH$11,Data!$B$26:$AA$26,0)))</f>
        <v>63.5</v>
      </c>
    </row>
    <row r="38" spans="2:60" ht="15">
      <c r="B38" s="60" t="s">
        <v>1852</v>
      </c>
      <c r="C38" s="337" t="s">
        <v>1853</v>
      </c>
      <c r="D38" s="397" t="str">
        <f>"Bio-methane "&amp;IF(D26="Otto dual fuel (LP)","(LP)","(HP)")</f>
        <v>Bio-methane (HP)</v>
      </c>
      <c r="E38" s="385" t="s">
        <v>1814</v>
      </c>
      <c r="F38" s="401"/>
      <c r="G38" s="386" t="s">
        <v>1696</v>
      </c>
      <c r="H38" s="402">
        <f>INDEX(Data!$B$4:$K$6,MATCH(Data!$B$5,Data!$B$4:$B$6,0),MATCH($D38,Data!$B$4:$K$4,0))</f>
        <v>20.619759999999999</v>
      </c>
      <c r="I38" s="402">
        <f>INDEX(Data!$B$4:$K$6,MATCH(Data!$B$5,Data!$B$4:$B$6,0),MATCH($D38,Data!$B$4:$K$4,0))</f>
        <v>20.619759999999999</v>
      </c>
      <c r="J38" s="402">
        <f>INDEX(Data!$B$4:$K$6,MATCH(Data!$B$5,Data!$B$4:$B$6,0),MATCH($D38,Data!$B$4:$K$4,0))</f>
        <v>20.619759999999999</v>
      </c>
      <c r="K38" s="402">
        <f>INDEX(Data!$B$4:$K$6,MATCH(Data!$B$5,Data!$B$4:$B$6,0),MATCH($D38,Data!$B$4:$K$4,0))</f>
        <v>20.619759999999999</v>
      </c>
      <c r="L38" s="402">
        <f>INDEX(Data!$B$4:$K$6,MATCH(Data!$B$5,Data!$B$4:$B$6,0),MATCH($D38,Data!$B$4:$K$4,0))</f>
        <v>20.619759999999999</v>
      </c>
      <c r="M38" s="402">
        <f>INDEX(Data!$B$4:$K$6,MATCH(Data!$B$5,Data!$B$4:$B$6,0),MATCH($D38,Data!$B$4:$K$4,0))</f>
        <v>20.619759999999999</v>
      </c>
      <c r="N38" s="402">
        <f>INDEX(Data!$B$4:$K$6,MATCH(Data!$B$5,Data!$B$4:$B$6,0),MATCH($D38,Data!$B$4:$K$4,0))</f>
        <v>20.619759999999999</v>
      </c>
      <c r="O38" s="402">
        <f>INDEX(Data!$B$4:$K$6,MATCH(Data!$B$5,Data!$B$4:$B$6,0),MATCH($D38,Data!$B$4:$K$4,0))</f>
        <v>20.619759999999999</v>
      </c>
      <c r="P38" s="402">
        <f>INDEX(Data!$B$4:$K$6,MATCH(Data!$B$5,Data!$B$4:$B$6,0),MATCH($D38,Data!$B$4:$K$4,0))</f>
        <v>20.619759999999999</v>
      </c>
      <c r="Q38" s="402">
        <f>INDEX(Data!$B$4:$K$6,MATCH(Data!$B$5,Data!$B$4:$B$6,0),MATCH($D38,Data!$B$4:$K$4,0))</f>
        <v>20.619759999999999</v>
      </c>
      <c r="R38" s="402">
        <f>INDEX(Data!$B$4:$K$6,MATCH(Data!$B$5,Data!$B$4:$B$6,0),MATCH($D38,Data!$B$4:$K$4,0))</f>
        <v>20.619759999999999</v>
      </c>
      <c r="S38" s="402">
        <f>INDEX(Data!$B$4:$K$6,MATCH(Data!$B$5,Data!$B$4:$B$6,0),MATCH($D38,Data!$B$4:$K$4,0))</f>
        <v>20.619759999999999</v>
      </c>
      <c r="T38" s="402">
        <f>INDEX(Data!$B$4:$K$6,MATCH(Data!$B$5,Data!$B$4:$B$6,0),MATCH($D38,Data!$B$4:$K$4,0))</f>
        <v>20.619759999999999</v>
      </c>
      <c r="U38" s="402">
        <f>INDEX(Data!$B$4:$K$6,MATCH(Data!$B$5,Data!$B$4:$B$6,0),MATCH($D38,Data!$B$4:$K$4,0))</f>
        <v>20.619759999999999</v>
      </c>
      <c r="V38" s="402">
        <f>INDEX(Data!$B$4:$K$6,MATCH(Data!$B$5,Data!$B$4:$B$6,0),MATCH($D38,Data!$B$4:$K$4,0))</f>
        <v>20.619759999999999</v>
      </c>
      <c r="W38" s="402">
        <f>INDEX(Data!$B$4:$K$6,MATCH(Data!$B$5,Data!$B$4:$B$6,0),MATCH($D38,Data!$B$4:$K$4,0))</f>
        <v>20.619759999999999</v>
      </c>
      <c r="X38" s="402">
        <f>INDEX(Data!$B$4:$K$6,MATCH(Data!$B$5,Data!$B$4:$B$6,0),MATCH($D38,Data!$B$4:$K$4,0))</f>
        <v>20.619759999999999</v>
      </c>
      <c r="Y38" s="402">
        <f>INDEX(Data!$B$4:$K$6,MATCH(Data!$B$5,Data!$B$4:$B$6,0),MATCH($D38,Data!$B$4:$K$4,0))</f>
        <v>20.619759999999999</v>
      </c>
      <c r="Z38" s="402">
        <f>INDEX(Data!$B$4:$K$6,MATCH(Data!$B$5,Data!$B$4:$B$6,0),MATCH($D38,Data!$B$4:$K$4,0))</f>
        <v>20.619759999999999</v>
      </c>
      <c r="AA38" s="402">
        <f>INDEX(Data!$B$4:$K$6,MATCH(Data!$B$5,Data!$B$4:$B$6,0),MATCH($D38,Data!$B$4:$K$4,0))</f>
        <v>20.619759999999999</v>
      </c>
      <c r="AB38" s="402">
        <f>INDEX(Data!$B$4:$K$6,MATCH(Data!$B$5,Data!$B$4:$B$6,0),MATCH($D38,Data!$B$4:$K$4,0))</f>
        <v>20.619759999999999</v>
      </c>
      <c r="AC38" s="402">
        <f>INDEX(Data!$B$4:$K$6,MATCH(Data!$B$5,Data!$B$4:$B$6,0),MATCH($D38,Data!$B$4:$K$4,0))</f>
        <v>20.619759999999999</v>
      </c>
      <c r="AD38" s="402">
        <f>INDEX(Data!$B$4:$K$6,MATCH(Data!$B$5,Data!$B$4:$B$6,0),MATCH($D38,Data!$B$4:$K$4,0))</f>
        <v>20.619759999999999</v>
      </c>
      <c r="AF38" s="60" t="s">
        <v>1852</v>
      </c>
      <c r="AG38" s="337" t="s">
        <v>1853</v>
      </c>
      <c r="AH38" s="397" t="str">
        <f>"Bio-methane "&amp;IF(AH26="Otto dual fuel (LP)","(LP)","(HP)")</f>
        <v>Bio-methane (HP)</v>
      </c>
      <c r="AI38" s="385" t="s">
        <v>1814</v>
      </c>
      <c r="AJ38" s="401"/>
      <c r="AK38" s="386" t="s">
        <v>1696</v>
      </c>
      <c r="AL38" s="402">
        <f>INDEX(Data!$B$4:$K$6,MATCH(Data!$B$5,Data!$B$4:$B$6,0),MATCH($AH38,Data!$B$4:$K$4,0))</f>
        <v>20.619759999999999</v>
      </c>
      <c r="AM38" s="402">
        <f>INDEX(Data!$B$4:$K$6,MATCH(Data!$B$5,Data!$B$4:$B$6,0),MATCH($AH38,Data!$B$4:$K$4,0))</f>
        <v>20.619759999999999</v>
      </c>
      <c r="AN38" s="402">
        <f>INDEX(Data!$B$4:$K$6,MATCH(Data!$B$5,Data!$B$4:$B$6,0),MATCH($AH38,Data!$B$4:$K$4,0))</f>
        <v>20.619759999999999</v>
      </c>
      <c r="AO38" s="402">
        <f>INDEX(Data!$B$4:$K$6,MATCH(Data!$B$5,Data!$B$4:$B$6,0),MATCH($AH38,Data!$B$4:$K$4,0))</f>
        <v>20.619759999999999</v>
      </c>
      <c r="AP38" s="402">
        <f>INDEX(Data!$B$4:$K$6,MATCH(Data!$B$5,Data!$B$4:$B$6,0),MATCH($AH38,Data!$B$4:$K$4,0))</f>
        <v>20.619759999999999</v>
      </c>
      <c r="AQ38" s="402">
        <f>INDEX(Data!$B$4:$K$6,MATCH(Data!$B$5,Data!$B$4:$B$6,0),MATCH($AH38,Data!$B$4:$K$4,0))</f>
        <v>20.619759999999999</v>
      </c>
      <c r="AR38" s="402">
        <f>INDEX(Data!$B$4:$K$6,MATCH(Data!$B$5,Data!$B$4:$B$6,0),MATCH($AH38,Data!$B$4:$K$4,0))</f>
        <v>20.619759999999999</v>
      </c>
      <c r="AS38" s="402">
        <f>INDEX(Data!$B$4:$K$6,MATCH(Data!$B$5,Data!$B$4:$B$6,0),MATCH($AH38,Data!$B$4:$K$4,0))</f>
        <v>20.619759999999999</v>
      </c>
      <c r="AT38" s="402">
        <f>INDEX(Data!$B$4:$K$6,MATCH(Data!$B$5,Data!$B$4:$B$6,0),MATCH($AH38,Data!$B$4:$K$4,0))</f>
        <v>20.619759999999999</v>
      </c>
      <c r="AU38" s="402">
        <f>INDEX(Data!$B$4:$K$6,MATCH(Data!$B$5,Data!$B$4:$B$6,0),MATCH($AH38,Data!$B$4:$K$4,0))</f>
        <v>20.619759999999999</v>
      </c>
      <c r="AV38" s="402">
        <f>INDEX(Data!$B$4:$K$6,MATCH(Data!$B$5,Data!$B$4:$B$6,0),MATCH($AH38,Data!$B$4:$K$4,0))</f>
        <v>20.619759999999999</v>
      </c>
      <c r="AW38" s="402">
        <f>INDEX(Data!$B$4:$K$6,MATCH(Data!$B$5,Data!$B$4:$B$6,0),MATCH($AH38,Data!$B$4:$K$4,0))</f>
        <v>20.619759999999999</v>
      </c>
      <c r="AX38" s="402">
        <f>INDEX(Data!$B$4:$K$6,MATCH(Data!$B$5,Data!$B$4:$B$6,0),MATCH($AH38,Data!$B$4:$K$4,0))</f>
        <v>20.619759999999999</v>
      </c>
      <c r="AY38" s="402">
        <f>INDEX(Data!$B$4:$K$6,MATCH(Data!$B$5,Data!$B$4:$B$6,0),MATCH($AH38,Data!$B$4:$K$4,0))</f>
        <v>20.619759999999999</v>
      </c>
      <c r="AZ38" s="402">
        <f>INDEX(Data!$B$4:$K$6,MATCH(Data!$B$5,Data!$B$4:$B$6,0),MATCH($AH38,Data!$B$4:$K$4,0))</f>
        <v>20.619759999999999</v>
      </c>
      <c r="BA38" s="402">
        <f>INDEX(Data!$B$4:$K$6,MATCH(Data!$B$5,Data!$B$4:$B$6,0),MATCH($AH38,Data!$B$4:$K$4,0))</f>
        <v>20.619759999999999</v>
      </c>
      <c r="BB38" s="402">
        <f>INDEX(Data!$B$4:$K$6,MATCH(Data!$B$5,Data!$B$4:$B$6,0),MATCH($AH38,Data!$B$4:$K$4,0))</f>
        <v>20.619759999999999</v>
      </c>
      <c r="BC38" s="402">
        <f>INDEX(Data!$B$4:$K$6,MATCH(Data!$B$5,Data!$B$4:$B$6,0),MATCH($AH38,Data!$B$4:$K$4,0))</f>
        <v>20.619759999999999</v>
      </c>
      <c r="BD38" s="402">
        <f>INDEX(Data!$B$4:$K$6,MATCH(Data!$B$5,Data!$B$4:$B$6,0),MATCH($AH38,Data!$B$4:$K$4,0))</f>
        <v>20.619759999999999</v>
      </c>
      <c r="BE38" s="402">
        <f>INDEX(Data!$B$4:$K$6,MATCH(Data!$B$5,Data!$B$4:$B$6,0),MATCH($AH38,Data!$B$4:$K$4,0))</f>
        <v>20.619759999999999</v>
      </c>
      <c r="BF38" s="402">
        <f>INDEX(Data!$B$4:$K$6,MATCH(Data!$B$5,Data!$B$4:$B$6,0),MATCH($AH38,Data!$B$4:$K$4,0))</f>
        <v>20.619759999999999</v>
      </c>
      <c r="BG38" s="402">
        <f>INDEX(Data!$B$4:$K$6,MATCH(Data!$B$5,Data!$B$4:$B$6,0),MATCH($AH38,Data!$B$4:$K$4,0))</f>
        <v>20.619759999999999</v>
      </c>
      <c r="BH38" s="402">
        <f>INDEX(Data!$B$4:$K$6,MATCH(Data!$B$5,Data!$B$4:$B$6,0),MATCH($AH38,Data!$B$4:$K$4,0))</f>
        <v>20.619759999999999</v>
      </c>
    </row>
    <row r="39" spans="2:60" ht="15">
      <c r="B39" s="60"/>
      <c r="C39" s="337" t="s">
        <v>1854</v>
      </c>
      <c r="D39" s="384"/>
      <c r="E39" s="385" t="s">
        <v>1604</v>
      </c>
      <c r="F39" s="386" t="s">
        <v>1822</v>
      </c>
      <c r="G39" s="386" t="s">
        <v>1823</v>
      </c>
      <c r="H39" s="398">
        <f>H38/1000</f>
        <v>2.0619760000000001E-2</v>
      </c>
      <c r="I39" s="398">
        <f t="shared" ref="I39:AD39" si="8">I38/1000</f>
        <v>2.0619760000000001E-2</v>
      </c>
      <c r="J39" s="398">
        <f t="shared" si="8"/>
        <v>2.0619760000000001E-2</v>
      </c>
      <c r="K39" s="398">
        <f t="shared" si="8"/>
        <v>2.0619760000000001E-2</v>
      </c>
      <c r="L39" s="398">
        <f t="shared" si="8"/>
        <v>2.0619760000000001E-2</v>
      </c>
      <c r="M39" s="398">
        <f t="shared" si="8"/>
        <v>2.0619760000000001E-2</v>
      </c>
      <c r="N39" s="398">
        <f t="shared" si="8"/>
        <v>2.0619760000000001E-2</v>
      </c>
      <c r="O39" s="398">
        <f t="shared" si="8"/>
        <v>2.0619760000000001E-2</v>
      </c>
      <c r="P39" s="398">
        <f t="shared" si="8"/>
        <v>2.0619760000000001E-2</v>
      </c>
      <c r="Q39" s="398">
        <f t="shared" si="8"/>
        <v>2.0619760000000001E-2</v>
      </c>
      <c r="R39" s="398">
        <f t="shared" si="8"/>
        <v>2.0619760000000001E-2</v>
      </c>
      <c r="S39" s="398">
        <f t="shared" si="8"/>
        <v>2.0619760000000001E-2</v>
      </c>
      <c r="T39" s="398">
        <f t="shared" si="8"/>
        <v>2.0619760000000001E-2</v>
      </c>
      <c r="U39" s="398">
        <f t="shared" si="8"/>
        <v>2.0619760000000001E-2</v>
      </c>
      <c r="V39" s="398">
        <f t="shared" si="8"/>
        <v>2.0619760000000001E-2</v>
      </c>
      <c r="W39" s="398">
        <f t="shared" si="8"/>
        <v>2.0619760000000001E-2</v>
      </c>
      <c r="X39" s="398">
        <f t="shared" si="8"/>
        <v>2.0619760000000001E-2</v>
      </c>
      <c r="Y39" s="398">
        <f t="shared" si="8"/>
        <v>2.0619760000000001E-2</v>
      </c>
      <c r="Z39" s="398">
        <f t="shared" si="8"/>
        <v>2.0619760000000001E-2</v>
      </c>
      <c r="AA39" s="398">
        <f t="shared" si="8"/>
        <v>2.0619760000000001E-2</v>
      </c>
      <c r="AB39" s="398">
        <f t="shared" si="8"/>
        <v>2.0619760000000001E-2</v>
      </c>
      <c r="AC39" s="398">
        <f t="shared" si="8"/>
        <v>2.0619760000000001E-2</v>
      </c>
      <c r="AD39" s="398">
        <f t="shared" si="8"/>
        <v>2.0619760000000001E-2</v>
      </c>
      <c r="AF39" s="60"/>
      <c r="AG39" s="337" t="s">
        <v>1854</v>
      </c>
      <c r="AH39" s="384"/>
      <c r="AI39" s="385" t="s">
        <v>1604</v>
      </c>
      <c r="AJ39" s="386" t="s">
        <v>1822</v>
      </c>
      <c r="AK39" s="386" t="s">
        <v>1823</v>
      </c>
      <c r="AL39" s="398">
        <f>AL38/1000</f>
        <v>2.0619760000000001E-2</v>
      </c>
      <c r="AM39" s="398">
        <f t="shared" ref="AM39:BH39" si="9">AM38/1000</f>
        <v>2.0619760000000001E-2</v>
      </c>
      <c r="AN39" s="398">
        <f t="shared" si="9"/>
        <v>2.0619760000000001E-2</v>
      </c>
      <c r="AO39" s="398">
        <f t="shared" si="9"/>
        <v>2.0619760000000001E-2</v>
      </c>
      <c r="AP39" s="398">
        <f t="shared" si="9"/>
        <v>2.0619760000000001E-2</v>
      </c>
      <c r="AQ39" s="398">
        <f t="shared" si="9"/>
        <v>2.0619760000000001E-2</v>
      </c>
      <c r="AR39" s="398">
        <f t="shared" si="9"/>
        <v>2.0619760000000001E-2</v>
      </c>
      <c r="AS39" s="398">
        <f t="shared" si="9"/>
        <v>2.0619760000000001E-2</v>
      </c>
      <c r="AT39" s="398">
        <f t="shared" si="9"/>
        <v>2.0619760000000001E-2</v>
      </c>
      <c r="AU39" s="398">
        <f t="shared" si="9"/>
        <v>2.0619760000000001E-2</v>
      </c>
      <c r="AV39" s="398">
        <f t="shared" si="9"/>
        <v>2.0619760000000001E-2</v>
      </c>
      <c r="AW39" s="398">
        <f t="shared" si="9"/>
        <v>2.0619760000000001E-2</v>
      </c>
      <c r="AX39" s="398">
        <f t="shared" si="9"/>
        <v>2.0619760000000001E-2</v>
      </c>
      <c r="AY39" s="398">
        <f t="shared" si="9"/>
        <v>2.0619760000000001E-2</v>
      </c>
      <c r="AZ39" s="398">
        <f t="shared" si="9"/>
        <v>2.0619760000000001E-2</v>
      </c>
      <c r="BA39" s="398">
        <f t="shared" si="9"/>
        <v>2.0619760000000001E-2</v>
      </c>
      <c r="BB39" s="398">
        <f t="shared" si="9"/>
        <v>2.0619760000000001E-2</v>
      </c>
      <c r="BC39" s="398">
        <f t="shared" si="9"/>
        <v>2.0619760000000001E-2</v>
      </c>
      <c r="BD39" s="398">
        <f t="shared" si="9"/>
        <v>2.0619760000000001E-2</v>
      </c>
      <c r="BE39" s="398">
        <f t="shared" si="9"/>
        <v>2.0619760000000001E-2</v>
      </c>
      <c r="BF39" s="398">
        <f t="shared" si="9"/>
        <v>2.0619760000000001E-2</v>
      </c>
      <c r="BG39" s="398">
        <f t="shared" si="9"/>
        <v>2.0619760000000001E-2</v>
      </c>
      <c r="BH39" s="398">
        <f t="shared" si="9"/>
        <v>2.0619760000000001E-2</v>
      </c>
    </row>
    <row r="40" spans="2:60" ht="15">
      <c r="B40" s="60"/>
      <c r="C40" s="337" t="s">
        <v>1855</v>
      </c>
      <c r="D40" s="384"/>
      <c r="E40" s="385"/>
      <c r="F40" s="386" t="s">
        <v>1856</v>
      </c>
      <c r="G40" s="386" t="s">
        <v>1838</v>
      </c>
      <c r="H40" s="398">
        <f>MAX((H38-H$12),0)*Data!$E$6</f>
        <v>0</v>
      </c>
      <c r="I40" s="398">
        <f>MAX((I38-I$12),0)*Data!$E$6</f>
        <v>0</v>
      </c>
      <c r="J40" s="398">
        <f>MAX((J38-J$12),0)*Data!$E$6</f>
        <v>0</v>
      </c>
      <c r="K40" s="398">
        <f>MAX((K38-K$12),0)*Data!$E$6</f>
        <v>0</v>
      </c>
      <c r="L40" s="398">
        <f>MAX((L38-L$12),0)*Data!$E$6</f>
        <v>0</v>
      </c>
      <c r="M40" s="398">
        <f>MAX((M38-M$12),0)*Data!$E$6</f>
        <v>0</v>
      </c>
      <c r="N40" s="398">
        <f>MAX((N38-N$12),0)*Data!$E$6</f>
        <v>0</v>
      </c>
      <c r="O40" s="398">
        <f>MAX((O38-O$12),0)*Data!$E$6</f>
        <v>0</v>
      </c>
      <c r="P40" s="398">
        <f>MAX((P38-P$12),0)*Data!$E$6</f>
        <v>0</v>
      </c>
      <c r="Q40" s="398">
        <f>MAX((Q38-Q$12),0)*Data!$E$6</f>
        <v>0</v>
      </c>
      <c r="R40" s="398">
        <f>MAX((R38-R$12),0)*Data!$E$6</f>
        <v>0</v>
      </c>
      <c r="S40" s="398">
        <f>MAX((S38-S$12),0)*Data!$E$6</f>
        <v>0</v>
      </c>
      <c r="T40" s="398">
        <f>MAX((T38-T$12),0)*Data!$E$6</f>
        <v>0</v>
      </c>
      <c r="U40" s="398">
        <f>MAX((U38-U$12),0)*Data!$E$6</f>
        <v>0</v>
      </c>
      <c r="V40" s="398">
        <f>MAX((V38-V$12),0)*Data!$E$6</f>
        <v>0</v>
      </c>
      <c r="W40" s="398">
        <f>MAX((W38-W$12),0)*Data!$E$6</f>
        <v>0</v>
      </c>
      <c r="X40" s="398">
        <f>MAX((X38-X$12),0)*Data!$E$6</f>
        <v>0</v>
      </c>
      <c r="Y40" s="398">
        <f>MAX((Y38-Y$12),0)*Data!$E$6</f>
        <v>7.8782351999989397E-2</v>
      </c>
      <c r="Z40" s="398">
        <f>MAX((Z38-Z$12),0)*Data!$E$6</f>
        <v>0.19130215199999359</v>
      </c>
      <c r="AA40" s="398">
        <f>MAX((AA38-AA$12),0)*Data!$E$6</f>
        <v>0.30382195199999784</v>
      </c>
      <c r="AB40" s="398">
        <f>MAX((AB38-AB$12),0)*Data!$E$6</f>
        <v>0.41634175200000212</v>
      </c>
      <c r="AC40" s="398">
        <f>MAX((AC38-AC$12),0)*Data!$E$6</f>
        <v>0.5288615520000064</v>
      </c>
      <c r="AD40" s="398">
        <f>MAX((AD38-AD$12),0)*Data!$E$6</f>
        <v>0.64138135200001067</v>
      </c>
      <c r="AF40" s="60"/>
      <c r="AG40" s="337" t="s">
        <v>1855</v>
      </c>
      <c r="AH40" s="384"/>
      <c r="AI40" s="385"/>
      <c r="AJ40" s="386" t="s">
        <v>1856</v>
      </c>
      <c r="AK40" s="386" t="s">
        <v>1838</v>
      </c>
      <c r="AL40" s="398">
        <f>MAX((AL38-AL$12),0)*Data!$E$6</f>
        <v>0</v>
      </c>
      <c r="AM40" s="398">
        <f>MAX((AM38-AM$12),0)*Data!$E$6</f>
        <v>0</v>
      </c>
      <c r="AN40" s="398">
        <f>MAX((AN38-AN$12),0)*Data!$E$6</f>
        <v>0</v>
      </c>
      <c r="AO40" s="398">
        <f>MAX((AO38-AO$12),0)*Data!$E$6</f>
        <v>0</v>
      </c>
      <c r="AP40" s="398">
        <f>MAX((AP38-AP$12),0)*Data!$E$6</f>
        <v>0</v>
      </c>
      <c r="AQ40" s="398">
        <f>MAX((AQ38-AQ$12),0)*Data!$E$6</f>
        <v>0</v>
      </c>
      <c r="AR40" s="398">
        <f>MAX((AR38-AR$12),0)*Data!$E$6</f>
        <v>0</v>
      </c>
      <c r="AS40" s="398">
        <f>MAX((AS38-AS$12),0)*Data!$E$6</f>
        <v>0</v>
      </c>
      <c r="AT40" s="398">
        <f>MAX((AT38-AT$12),0)*Data!$E$6</f>
        <v>0</v>
      </c>
      <c r="AU40" s="398">
        <f>MAX((AU38-AU$12),0)*Data!$E$6</f>
        <v>0</v>
      </c>
      <c r="AV40" s="398">
        <f>MAX((AV38-AV$12),0)*Data!$E$6</f>
        <v>0</v>
      </c>
      <c r="AW40" s="398">
        <f>MAX((AW38-AW$12),0)*Data!$E$6</f>
        <v>0</v>
      </c>
      <c r="AX40" s="398">
        <f>MAX((AX38-AX$12),0)*Data!$E$6</f>
        <v>0</v>
      </c>
      <c r="AY40" s="398">
        <f>MAX((AY38-AY$12),0)*Data!$E$6</f>
        <v>0</v>
      </c>
      <c r="AZ40" s="398">
        <f>MAX((AZ38-AZ$12),0)*Data!$E$6</f>
        <v>0</v>
      </c>
      <c r="BA40" s="398">
        <f>MAX((BA38-BA$12),0)*Data!$E$6</f>
        <v>0</v>
      </c>
      <c r="BB40" s="398">
        <f>MAX((BB38-BB$12),0)*Data!$E$6</f>
        <v>0</v>
      </c>
      <c r="BC40" s="398">
        <f>MAX((BC38-BC$12),0)*Data!$E$6</f>
        <v>7.8782351999989397E-2</v>
      </c>
      <c r="BD40" s="398">
        <f>MAX((BD38-BD$12),0)*Data!$E$6</f>
        <v>0.19130215199999359</v>
      </c>
      <c r="BE40" s="398">
        <f>MAX((BE38-BE$12),0)*Data!$E$6</f>
        <v>0.30382195199999784</v>
      </c>
      <c r="BF40" s="398">
        <f>MAX((BF38-BF$12),0)*Data!$E$6</f>
        <v>0.41634175200000212</v>
      </c>
      <c r="BG40" s="398">
        <f>MAX((BG38-BG$12),0)*Data!$E$6</f>
        <v>0.5288615520000064</v>
      </c>
      <c r="BH40" s="398">
        <f>MAX((BH38-BH$12),0)*Data!$E$6</f>
        <v>0.64138135200001067</v>
      </c>
    </row>
    <row r="41" spans="2:60" ht="15">
      <c r="B41" s="60"/>
      <c r="C41" s="410" t="s">
        <v>1857</v>
      </c>
      <c r="D41" s="400" t="str">
        <f>'CCC Summary (main)'!$C$39</f>
        <v>MMM Bio-methane Cost</v>
      </c>
      <c r="E41" s="407" t="s">
        <v>1814</v>
      </c>
      <c r="F41" s="408" t="str">
        <f>IF('CCC Summary (main)'!$C$25="Yes",'CCC Summary (main)'!$D$25,"")</f>
        <v/>
      </c>
      <c r="G41" s="408" t="s">
        <v>587</v>
      </c>
      <c r="H41" s="409">
        <f>IF($D41="Enter fixed price",'CCC Summary (main)'!$C$40/(Data!$E$6*1000),INDEX(Data!$B$26:$AA$35,MATCH($D41,Data!$B$26:$B$35,0),MATCH(H$11,Data!$B$26:$AA$26,0)))</f>
        <v>37.733100403066011</v>
      </c>
      <c r="I41" s="409">
        <f>IF($D41="Enter fixed price",'CCC Summary (main)'!$C$40/(Data!$E$6*1000),INDEX(Data!$B$26:$AA$35,MATCH($D41,Data!$B$26:$B$35,0),MATCH(I$11,Data!$B$26:$AA$26,0)))</f>
        <v>38.342146911849333</v>
      </c>
      <c r="J41" s="409">
        <f>IF($D41="Enter fixed price",'CCC Summary (main)'!$C$40/(Data!$E$6*1000),INDEX(Data!$B$26:$AA$35,MATCH($D41,Data!$B$26:$B$35,0),MATCH(J$11,Data!$B$26:$AA$26,0)))</f>
        <v>38.940653333333337</v>
      </c>
      <c r="K41" s="409">
        <f>IF($D41="Enter fixed price",'CCC Summary (main)'!$C$40/(Data!$E$6*1000),INDEX(Data!$B$26:$AA$35,MATCH($D41,Data!$B$26:$B$35,0),MATCH(K$11,Data!$B$26:$AA$26,0)))</f>
        <v>39.678942813058462</v>
      </c>
      <c r="L41" s="409">
        <f>IF($D41="Enter fixed price",'CCC Summary (main)'!$C$40/(Data!$E$6*1000),INDEX(Data!$B$26:$AA$35,MATCH($D41,Data!$B$26:$B$35,0),MATCH(L$11,Data!$B$26:$AA$26,0)))</f>
        <v>40.406937977316012</v>
      </c>
      <c r="M41" s="409">
        <f>IF($D41="Enter fixed price",'CCC Summary (main)'!$C$40/(Data!$E$6*1000),INDEX(Data!$B$26:$AA$35,MATCH($D41,Data!$B$26:$B$35,0),MATCH(M$11,Data!$B$26:$AA$26,0)))</f>
        <v>41.12659098936421</v>
      </c>
      <c r="N41" s="409">
        <f>IF($D41="Enter fixed price",'CCC Summary (main)'!$C$40/(Data!$E$6*1000),INDEX(Data!$B$26:$AA$35,MATCH($D41,Data!$B$26:$B$35,0),MATCH(N$11,Data!$B$26:$AA$26,0)))</f>
        <v>41.833969319082563</v>
      </c>
      <c r="O41" s="409">
        <f>IF($D41="Enter fixed price",'CCC Summary (main)'!$C$40/(Data!$E$6*1000),INDEX(Data!$B$26:$AA$35,MATCH($D41,Data!$B$26:$B$35,0),MATCH(O$11,Data!$B$26:$AA$26,0)))</f>
        <v>42.531053333333332</v>
      </c>
      <c r="P41" s="409">
        <f>IF($D41="Enter fixed price",'CCC Summary (main)'!$C$40/(Data!$E$6*1000),INDEX(Data!$B$26:$AA$35,MATCH($D41,Data!$B$26:$B$35,0),MATCH(P$11,Data!$B$26:$AA$26,0)))</f>
        <v>43.412034814050593</v>
      </c>
      <c r="Q41" s="409">
        <f>IF($D41="Enter fixed price",'CCC Summary (main)'!$C$40/(Data!$E$6*1000),INDEX(Data!$B$26:$AA$35,MATCH($D41,Data!$B$26:$B$35,0),MATCH(Q$11,Data!$B$26:$AA$26,0)))</f>
        <v>44.282938006995622</v>
      </c>
      <c r="R41" s="409">
        <f>IF($D41="Enter fixed price",'CCC Summary (main)'!$C$40/(Data!$E$6*1000),INDEX(Data!$B$26:$AA$35,MATCH($D41,Data!$B$26:$B$35,0),MATCH(R$11,Data!$B$26:$AA$26,0)))</f>
        <v>45.139003878327202</v>
      </c>
      <c r="S41" s="409">
        <f>IF($D41="Enter fixed price",'CCC Summary (main)'!$C$40/(Data!$E$6*1000),INDEX(Data!$B$26:$AA$35,MATCH($D41,Data!$B$26:$B$35,0),MATCH(S$11,Data!$B$26:$AA$26,0)))</f>
        <v>45.982628987106438</v>
      </c>
      <c r="T41" s="409">
        <f>IF($D41="Enter fixed price",'CCC Summary (main)'!$C$40/(Data!$E$6*1000),INDEX(Data!$B$26:$AA$35,MATCH($D41,Data!$B$26:$B$35,0),MATCH(T$11,Data!$B$26:$AA$26,0)))</f>
        <v>46.813813333333343</v>
      </c>
      <c r="U41" s="409">
        <f>IF($D41="Enter fixed price",'CCC Summary (main)'!$C$40/(Data!$E$6*1000),INDEX(Data!$B$26:$AA$35,MATCH($D41,Data!$B$26:$B$35,0),MATCH(U$11,Data!$B$26:$AA$26,0)))</f>
        <v>47.848447938395338</v>
      </c>
      <c r="V41" s="409">
        <f>IF($D41="Enter fixed price",'CCC Summary (main)'!$C$40/(Data!$E$6*1000),INDEX(Data!$B$26:$AA$35,MATCH($D41,Data!$B$26:$B$35,0),MATCH(V$11,Data!$B$26:$AA$26,0)))</f>
        <v>48.865752394541651</v>
      </c>
      <c r="W41" s="409">
        <f>IF($D41="Enter fixed price",'CCC Summary (main)'!$C$40/(Data!$E$6*1000),INDEX(Data!$B$26:$AA$35,MATCH($D41,Data!$B$26:$B$35,0),MATCH(W$11,Data!$B$26:$AA$26,0)))</f>
        <v>49.868573412604043</v>
      </c>
      <c r="X41" s="409">
        <f>IF($D41="Enter fixed price",'CCC Summary (main)'!$C$40/(Data!$E$6*1000),INDEX(Data!$B$26:$AA$35,MATCH($D41,Data!$B$26:$B$35,0),MATCH(X$11,Data!$B$26:$AA$26,0)))</f>
        <v>50.856910992582527</v>
      </c>
      <c r="Y41" s="409">
        <f>IF($D41="Enter fixed price",'CCC Summary (main)'!$C$40/(Data!$E$6*1000),INDEX(Data!$B$26:$AA$35,MATCH($D41,Data!$B$26:$B$35,0),MATCH(Y$11,Data!$B$26:$AA$26,0)))</f>
        <v>51.83341333333334</v>
      </c>
      <c r="Z41" s="409">
        <f>IF($D41="Enter fixed price",'CCC Summary (main)'!$C$40/(Data!$E$6*1000),INDEX(Data!$B$26:$AA$35,MATCH($D41,Data!$B$26:$B$35,0),MATCH(Z$11,Data!$B$26:$AA$26,0)))</f>
        <v>53.064461879284543</v>
      </c>
      <c r="AA41" s="409">
        <f>IF($D41="Enter fixed price",'CCC Summary (main)'!$C$40/(Data!$E$6*1000),INDEX(Data!$B$26:$AA$35,MATCH($D41,Data!$B$26:$B$35,0),MATCH(AA$11,Data!$B$26:$AA$26,0)))</f>
        <v>54.27838999249412</v>
      </c>
      <c r="AB41" s="409">
        <f>IF($D41="Enter fixed price",'CCC Summary (main)'!$C$40/(Data!$E$6*1000),INDEX(Data!$B$26:$AA$35,MATCH($D41,Data!$B$26:$B$35,0),MATCH(AB$11,Data!$B$26:$AA$26,0)))</f>
        <v>55.475197672962103</v>
      </c>
      <c r="AC41" s="409">
        <f>IF($D41="Enter fixed price",'CCC Summary (main)'!$C$40/(Data!$E$6*1000),INDEX(Data!$B$26:$AA$35,MATCH($D41,Data!$B$26:$B$35,0),MATCH(AC$11,Data!$B$26:$AA$26,0)))</f>
        <v>56.658093423643798</v>
      </c>
      <c r="AD41" s="409">
        <f>IF($D41="Enter fixed price",'CCC Summary (main)'!$C$40/(Data!$E$6*1000),INDEX(Data!$B$26:$AA$35,MATCH($D41,Data!$B$26:$B$35,0),MATCH(AD$11,Data!$B$26:$AA$26,0)))</f>
        <v>57.820613333333341</v>
      </c>
      <c r="AF41" s="60"/>
      <c r="AG41" s="410" t="s">
        <v>1857</v>
      </c>
      <c r="AH41" s="400" t="str">
        <f>'CCC Summary (main)'!$C$39</f>
        <v>MMM Bio-methane Cost</v>
      </c>
      <c r="AI41" s="407" t="s">
        <v>1814</v>
      </c>
      <c r="AJ41" s="408" t="str">
        <f>IF('CCC Summary (main)'!$C$25="Yes",'CCC Summary (main)'!$D$25,"")</f>
        <v/>
      </c>
      <c r="AK41" s="408" t="s">
        <v>587</v>
      </c>
      <c r="AL41" s="409">
        <f>IF($AH41="Enter fixed price",'CCC Summary (main)'!$C$40/(Data!$E$6*1000),INDEX(Data!$B$26:$AA$35,MATCH($D41,Data!$B$26:$B$35,0),MATCH(AL$11,Data!$B$26:$AA$26,0)))</f>
        <v>37.733100403066011</v>
      </c>
      <c r="AM41" s="409">
        <f>IF($AH41="Enter fixed price",'CCC Summary (main)'!$C$40/(Data!$E$6*1000),INDEX(Data!$B$26:$AA$35,MATCH($D41,Data!$B$26:$B$35,0),MATCH(AM$11,Data!$B$26:$AA$26,0)))</f>
        <v>38.342146911849333</v>
      </c>
      <c r="AN41" s="409">
        <f>IF($AH41="Enter fixed price",'CCC Summary (main)'!$C$40/(Data!$E$6*1000),INDEX(Data!$B$26:$AA$35,MATCH($D41,Data!$B$26:$B$35,0),MATCH(AN$11,Data!$B$26:$AA$26,0)))</f>
        <v>38.940653333333337</v>
      </c>
      <c r="AO41" s="409">
        <f>IF($AH41="Enter fixed price",'CCC Summary (main)'!$C$40/(Data!$E$6*1000),INDEX(Data!$B$26:$AA$35,MATCH($D41,Data!$B$26:$B$35,0),MATCH(AO$11,Data!$B$26:$AA$26,0)))</f>
        <v>39.678942813058462</v>
      </c>
      <c r="AP41" s="409">
        <f>IF($AH41="Enter fixed price",'CCC Summary (main)'!$C$40/(Data!$E$6*1000),INDEX(Data!$B$26:$AA$35,MATCH($D41,Data!$B$26:$B$35,0),MATCH(AP$11,Data!$B$26:$AA$26,0)))</f>
        <v>40.406937977316012</v>
      </c>
      <c r="AQ41" s="409">
        <f>IF($AH41="Enter fixed price",'CCC Summary (main)'!$C$40/(Data!$E$6*1000),INDEX(Data!$B$26:$AA$35,MATCH($D41,Data!$B$26:$B$35,0),MATCH(AQ$11,Data!$B$26:$AA$26,0)))</f>
        <v>41.12659098936421</v>
      </c>
      <c r="AR41" s="409">
        <f>IF($AH41="Enter fixed price",'CCC Summary (main)'!$C$40/(Data!$E$6*1000),INDEX(Data!$B$26:$AA$35,MATCH($D41,Data!$B$26:$B$35,0),MATCH(AR$11,Data!$B$26:$AA$26,0)))</f>
        <v>41.833969319082563</v>
      </c>
      <c r="AS41" s="409">
        <f>IF($AH41="Enter fixed price",'CCC Summary (main)'!$C$40/(Data!$E$6*1000),INDEX(Data!$B$26:$AA$35,MATCH($D41,Data!$B$26:$B$35,0),MATCH(AS$11,Data!$B$26:$AA$26,0)))</f>
        <v>42.531053333333332</v>
      </c>
      <c r="AT41" s="409">
        <f>IF($AH41="Enter fixed price",'CCC Summary (main)'!$C$40/(Data!$E$6*1000),INDEX(Data!$B$26:$AA$35,MATCH($D41,Data!$B$26:$B$35,0),MATCH(AT$11,Data!$B$26:$AA$26,0)))</f>
        <v>43.412034814050593</v>
      </c>
      <c r="AU41" s="409">
        <f>IF($AH41="Enter fixed price",'CCC Summary (main)'!$C$40/(Data!$E$6*1000),INDEX(Data!$B$26:$AA$35,MATCH($D41,Data!$B$26:$B$35,0),MATCH(AU$11,Data!$B$26:$AA$26,0)))</f>
        <v>44.282938006995622</v>
      </c>
      <c r="AV41" s="409">
        <f>IF($AH41="Enter fixed price",'CCC Summary (main)'!$C$40/(Data!$E$6*1000),INDEX(Data!$B$26:$AA$35,MATCH($D41,Data!$B$26:$B$35,0),MATCH(AV$11,Data!$B$26:$AA$26,0)))</f>
        <v>45.139003878327202</v>
      </c>
      <c r="AW41" s="409">
        <f>IF($AH41="Enter fixed price",'CCC Summary (main)'!$C$40/(Data!$E$6*1000),INDEX(Data!$B$26:$AA$35,MATCH($D41,Data!$B$26:$B$35,0),MATCH(AW$11,Data!$B$26:$AA$26,0)))</f>
        <v>45.982628987106438</v>
      </c>
      <c r="AX41" s="409">
        <f>IF($AH41="Enter fixed price",'CCC Summary (main)'!$C$40/(Data!$E$6*1000),INDEX(Data!$B$26:$AA$35,MATCH($D41,Data!$B$26:$B$35,0),MATCH(AX$11,Data!$B$26:$AA$26,0)))</f>
        <v>46.813813333333343</v>
      </c>
      <c r="AY41" s="409">
        <f>IF($AH41="Enter fixed price",'CCC Summary (main)'!$C$40/(Data!$E$6*1000),INDEX(Data!$B$26:$AA$35,MATCH($D41,Data!$B$26:$B$35,0),MATCH(AY$11,Data!$B$26:$AA$26,0)))</f>
        <v>47.848447938395338</v>
      </c>
      <c r="AZ41" s="409">
        <f>IF($AH41="Enter fixed price",'CCC Summary (main)'!$C$40/(Data!$E$6*1000),INDEX(Data!$B$26:$AA$35,MATCH($D41,Data!$B$26:$B$35,0),MATCH(AZ$11,Data!$B$26:$AA$26,0)))</f>
        <v>48.865752394541651</v>
      </c>
      <c r="BA41" s="409">
        <f>IF($AH41="Enter fixed price",'CCC Summary (main)'!$C$40/(Data!$E$6*1000),INDEX(Data!$B$26:$AA$35,MATCH($D41,Data!$B$26:$B$35,0),MATCH(BA$11,Data!$B$26:$AA$26,0)))</f>
        <v>49.868573412604043</v>
      </c>
      <c r="BB41" s="409">
        <f>IF($AH41="Enter fixed price",'CCC Summary (main)'!$C$40/(Data!$E$6*1000),INDEX(Data!$B$26:$AA$35,MATCH($D41,Data!$B$26:$B$35,0),MATCH(BB$11,Data!$B$26:$AA$26,0)))</f>
        <v>50.856910992582527</v>
      </c>
      <c r="BC41" s="409">
        <f>IF($AH41="Enter fixed price",'CCC Summary (main)'!$C$40/(Data!$E$6*1000),INDEX(Data!$B$26:$AA$35,MATCH($D41,Data!$B$26:$B$35,0),MATCH(BC$11,Data!$B$26:$AA$26,0)))</f>
        <v>51.83341333333334</v>
      </c>
      <c r="BD41" s="409">
        <f>IF($AH41="Enter fixed price",'CCC Summary (main)'!$C$40/(Data!$E$6*1000),INDEX(Data!$B$26:$AA$35,MATCH($D41,Data!$B$26:$B$35,0),MATCH(BD$11,Data!$B$26:$AA$26,0)))</f>
        <v>53.064461879284543</v>
      </c>
      <c r="BE41" s="409">
        <f>IF($AH41="Enter fixed price",'CCC Summary (main)'!$C$40/(Data!$E$6*1000),INDEX(Data!$B$26:$AA$35,MATCH($D41,Data!$B$26:$B$35,0),MATCH(BE$11,Data!$B$26:$AA$26,0)))</f>
        <v>54.27838999249412</v>
      </c>
      <c r="BF41" s="409">
        <f>IF($AH41="Enter fixed price",'CCC Summary (main)'!$C$40/(Data!$E$6*1000),INDEX(Data!$B$26:$AA$35,MATCH($D41,Data!$B$26:$B$35,0),MATCH(BF$11,Data!$B$26:$AA$26,0)))</f>
        <v>55.475197672962103</v>
      </c>
      <c r="BG41" s="409">
        <f>IF($AH41="Enter fixed price",'CCC Summary (main)'!$C$40/(Data!$E$6*1000),INDEX(Data!$B$26:$AA$35,MATCH($D41,Data!$B$26:$B$35,0),MATCH(BG$11,Data!$B$26:$AA$26,0)))</f>
        <v>56.658093423643798</v>
      </c>
      <c r="BH41" s="409">
        <f>IF($AH41="Enter fixed price",'CCC Summary (main)'!$C$40/(Data!$E$6*1000),INDEX(Data!$B$26:$AA$35,MATCH($D41,Data!$B$26:$B$35,0),MATCH(BH$11,Data!$B$26:$AA$26,0)))</f>
        <v>57.820613333333341</v>
      </c>
    </row>
    <row r="42" spans="2:60" ht="15">
      <c r="B42" s="60" t="s">
        <v>1750</v>
      </c>
      <c r="C42" s="337" t="s">
        <v>1858</v>
      </c>
      <c r="D42" s="397" t="str">
        <f>'CCC Summary (main)'!$C$44</f>
        <v>Enter my own</v>
      </c>
      <c r="E42" s="385" t="s">
        <v>1814</v>
      </c>
      <c r="F42" s="401"/>
      <c r="G42" s="386" t="s">
        <v>1696</v>
      </c>
      <c r="H42" s="402">
        <f>IF($D42="Enter my own",'CCC Summary (main)'!$C$45,IF(AND($D42="Min ZNZ Threshold",H18&lt;2035),19,14))</f>
        <v>2.8</v>
      </c>
      <c r="I42" s="402">
        <f>IF($D42="Enter my own",'CCC Summary (main)'!$C$45,IF(AND($D42="Min ZNZ Threshold",I18&lt;2035),19,14))</f>
        <v>2.8</v>
      </c>
      <c r="J42" s="402">
        <f>IF($D42="Enter my own",'CCC Summary (main)'!$C$45,IF(AND($D42="Min ZNZ Threshold",J18&lt;2035),19,14))</f>
        <v>2.8</v>
      </c>
      <c r="K42" s="402">
        <f>IF($D42="Enter my own",'CCC Summary (main)'!$C$45,IF(AND($D42="Min ZNZ Threshold",K18&lt;2035),19,14))</f>
        <v>2.8</v>
      </c>
      <c r="L42" s="402">
        <f>IF($D42="Enter my own",'CCC Summary (main)'!$C$45,IF(AND($D42="Min ZNZ Threshold",L18&lt;2035),19,14))</f>
        <v>2.8</v>
      </c>
      <c r="M42" s="402">
        <f>IF($D42="Enter my own",'CCC Summary (main)'!$C$45,IF(AND($D42="Min ZNZ Threshold",M18&lt;2035),19,14))</f>
        <v>2.8</v>
      </c>
      <c r="N42" s="402">
        <f>IF($D42="Enter my own",'CCC Summary (main)'!$C$45,IF(AND($D42="Min ZNZ Threshold",N18&lt;2035),19,14))</f>
        <v>2.8</v>
      </c>
      <c r="O42" s="402">
        <f>IF($D42="Enter my own",'CCC Summary (main)'!$C$45,IF(AND($D42="Min ZNZ Threshold",O18&lt;2035),19,14))</f>
        <v>2.8</v>
      </c>
      <c r="P42" s="402">
        <f>IF($D42="Enter my own",'CCC Summary (main)'!$C$45,IF(AND($D42="Min ZNZ Threshold",P18&lt;2035),19,14))</f>
        <v>2.8</v>
      </c>
      <c r="Q42" s="402">
        <f>IF($D42="Enter my own",'CCC Summary (main)'!$C$45,IF(AND($D42="Min ZNZ Threshold",Q18&lt;2035),19,14))</f>
        <v>2.8</v>
      </c>
      <c r="R42" s="402">
        <f>IF($D42="Enter my own",'CCC Summary (main)'!$C$45,IF(AND($D42="Min ZNZ Threshold",R18&lt;2035),19,14))</f>
        <v>2.8</v>
      </c>
      <c r="S42" s="402">
        <f>IF($D42="Enter my own",'CCC Summary (main)'!$C$45,IF(AND($D42="Min ZNZ Threshold",S18&lt;2035),19,14))</f>
        <v>2.8</v>
      </c>
      <c r="T42" s="402">
        <f>IF($D42="Enter my own",'CCC Summary (main)'!$C$45,IF(AND($D42="Min ZNZ Threshold",T18&lt;2035),19,14))</f>
        <v>2.8</v>
      </c>
      <c r="U42" s="402">
        <f>IF($D42="Enter my own",'CCC Summary (main)'!$C$45,IF(AND($D42="Min ZNZ Threshold",U18&lt;2035),19,14))</f>
        <v>2.8</v>
      </c>
      <c r="V42" s="402">
        <f>IF($D42="Enter my own",'CCC Summary (main)'!$C$45,IF(AND($D42="Min ZNZ Threshold",V18&lt;2035),19,14))</f>
        <v>2.8</v>
      </c>
      <c r="W42" s="402">
        <f>IF($D42="Enter my own",'CCC Summary (main)'!$C$45,IF(AND($D42="Min ZNZ Threshold",W18&lt;2035),19,14))</f>
        <v>2.8</v>
      </c>
      <c r="X42" s="402">
        <f>IF($D42="Enter my own",'CCC Summary (main)'!$C$45,IF(AND($D42="Min ZNZ Threshold",X18&lt;2035),19,14))</f>
        <v>2.8</v>
      </c>
      <c r="Y42" s="402">
        <f>IF($D42="Enter my own",'CCC Summary (main)'!$C$45,IF(AND($D42="Min ZNZ Threshold",Y18&lt;2035),19,14))</f>
        <v>2.8</v>
      </c>
      <c r="Z42" s="402">
        <f>IF($D42="Enter my own",'CCC Summary (main)'!$C$45,IF(AND($D42="Min ZNZ Threshold",Z18&lt;2035),19,14))</f>
        <v>2.8</v>
      </c>
      <c r="AA42" s="402">
        <f>IF($D42="Enter my own",'CCC Summary (main)'!$C$45,IF(AND($D42="Min ZNZ Threshold",AA18&lt;2035),19,14))</f>
        <v>2.8</v>
      </c>
      <c r="AB42" s="402">
        <f>IF($D42="Enter my own",'CCC Summary (main)'!$C$45,IF(AND($D42="Min ZNZ Threshold",AB18&lt;2035),19,14))</f>
        <v>2.8</v>
      </c>
      <c r="AC42" s="402">
        <f>IF($D42="Enter my own",'CCC Summary (main)'!$C$45,IF(AND($D42="Min ZNZ Threshold",AC18&lt;2035),19,14))</f>
        <v>2.8</v>
      </c>
      <c r="AD42" s="402">
        <f>IF($D42="Enter my own",'CCC Summary (main)'!$C$45,IF(AND($D42="Min ZNZ Threshold",AD18&lt;2035),19,14))</f>
        <v>2.8</v>
      </c>
      <c r="AF42" s="60" t="s">
        <v>1750</v>
      </c>
      <c r="AG42" s="337" t="s">
        <v>1858</v>
      </c>
      <c r="AH42" s="397" t="str">
        <f>'CCC Summary (main)'!$C$44</f>
        <v>Enter my own</v>
      </c>
      <c r="AI42" s="385" t="s">
        <v>1814</v>
      </c>
      <c r="AJ42" s="401"/>
      <c r="AK42" s="386" t="s">
        <v>1696</v>
      </c>
      <c r="AL42" s="402">
        <f>IF($AH42="Enter my own",'CCC Summary (main)'!$C$45,IF(AND($D42="Min ZNZ Threshold",AL18&lt;2035),19,14))</f>
        <v>2.8</v>
      </c>
      <c r="AM42" s="402">
        <f>IF($AH42="Enter my own",'CCC Summary (main)'!$C$45,IF(AND($D42="Min ZNZ Threshold",AM18&lt;2035),19,14))</f>
        <v>2.8</v>
      </c>
      <c r="AN42" s="402">
        <f>IF($AH42="Enter my own",'CCC Summary (main)'!$C$45,IF(AND($D42="Min ZNZ Threshold",AN18&lt;2035),19,14))</f>
        <v>2.8</v>
      </c>
      <c r="AO42" s="402">
        <f>IF($AH42="Enter my own",'CCC Summary (main)'!$C$45,IF(AND($D42="Min ZNZ Threshold",AO18&lt;2035),19,14))</f>
        <v>2.8</v>
      </c>
      <c r="AP42" s="402">
        <f>IF($AH42="Enter my own",'CCC Summary (main)'!$C$45,IF(AND($D42="Min ZNZ Threshold",AP18&lt;2035),19,14))</f>
        <v>2.8</v>
      </c>
      <c r="AQ42" s="402">
        <f>IF($AH42="Enter my own",'CCC Summary (main)'!$C$45,IF(AND($D42="Min ZNZ Threshold",AQ18&lt;2035),19,14))</f>
        <v>2.8</v>
      </c>
      <c r="AR42" s="402">
        <f>IF($AH42="Enter my own",'CCC Summary (main)'!$C$45,IF(AND($D42="Min ZNZ Threshold",AR18&lt;2035),19,14))</f>
        <v>2.8</v>
      </c>
      <c r="AS42" s="402">
        <f>IF($AH42="Enter my own",'CCC Summary (main)'!$C$45,IF(AND($D42="Min ZNZ Threshold",AS18&lt;2035),19,14))</f>
        <v>2.8</v>
      </c>
      <c r="AT42" s="402">
        <f>IF($AH42="Enter my own",'CCC Summary (main)'!$C$45,IF(AND($D42="Min ZNZ Threshold",AT18&lt;2035),19,14))</f>
        <v>2.8</v>
      </c>
      <c r="AU42" s="402">
        <f>IF($AH42="Enter my own",'CCC Summary (main)'!$C$45,IF(AND($D42="Min ZNZ Threshold",AU18&lt;2035),19,14))</f>
        <v>2.8</v>
      </c>
      <c r="AV42" s="402">
        <f>IF($AH42="Enter my own",'CCC Summary (main)'!$C$45,IF(AND($D42="Min ZNZ Threshold",AV18&lt;2035),19,14))</f>
        <v>2.8</v>
      </c>
      <c r="AW42" s="402">
        <f>IF($AH42="Enter my own",'CCC Summary (main)'!$C$45,IF(AND($D42="Min ZNZ Threshold",AW18&lt;2035),19,14))</f>
        <v>2.8</v>
      </c>
      <c r="AX42" s="402">
        <f>IF($AH42="Enter my own",'CCC Summary (main)'!$C$45,IF(AND($D42="Min ZNZ Threshold",AX18&lt;2035),19,14))</f>
        <v>2.8</v>
      </c>
      <c r="AY42" s="402">
        <f>IF($AH42="Enter my own",'CCC Summary (main)'!$C$45,IF(AND($D42="Min ZNZ Threshold",AY18&lt;2035),19,14))</f>
        <v>2.8</v>
      </c>
      <c r="AZ42" s="402">
        <f>IF($AH42="Enter my own",'CCC Summary (main)'!$C$45,IF(AND($D42="Min ZNZ Threshold",AZ18&lt;2035),19,14))</f>
        <v>2.8</v>
      </c>
      <c r="BA42" s="402">
        <f>IF($AH42="Enter my own",'CCC Summary (main)'!$C$45,IF(AND($D42="Min ZNZ Threshold",BA18&lt;2035),19,14))</f>
        <v>2.8</v>
      </c>
      <c r="BB42" s="402">
        <f>IF($AH42="Enter my own",'CCC Summary (main)'!$C$45,IF(AND($D42="Min ZNZ Threshold",BB18&lt;2035),19,14))</f>
        <v>2.8</v>
      </c>
      <c r="BC42" s="402">
        <f>IF($AH42="Enter my own",'CCC Summary (main)'!$C$45,IF(AND($D42="Min ZNZ Threshold",BC18&lt;2035),19,14))</f>
        <v>2.8</v>
      </c>
      <c r="BD42" s="402">
        <f>IF($AH42="Enter my own",'CCC Summary (main)'!$C$45,IF(AND($D42="Min ZNZ Threshold",BD18&lt;2035),19,14))</f>
        <v>2.8</v>
      </c>
      <c r="BE42" s="402">
        <f>IF($AH42="Enter my own",'CCC Summary (main)'!$C$45,IF(AND($D42="Min ZNZ Threshold",BE18&lt;2035),19,14))</f>
        <v>2.8</v>
      </c>
      <c r="BF42" s="402">
        <f>IF($AH42="Enter my own",'CCC Summary (main)'!$C$45,IF(AND($D42="Min ZNZ Threshold",BF18&lt;2035),19,14))</f>
        <v>2.8</v>
      </c>
      <c r="BG42" s="402">
        <f>IF($AH42="Enter my own",'CCC Summary (main)'!$C$45,IF(AND($D42="Min ZNZ Threshold",BG18&lt;2035),19,14))</f>
        <v>2.8</v>
      </c>
      <c r="BH42" s="402">
        <f>IF($AH42="Enter my own",'CCC Summary (main)'!$C$45,IF(AND($D42="Min ZNZ Threshold",BH18&lt;2035),19,14))</f>
        <v>2.8</v>
      </c>
    </row>
    <row r="43" spans="2:60" ht="15">
      <c r="B43" s="60"/>
      <c r="C43" s="337" t="s">
        <v>1859</v>
      </c>
      <c r="D43" s="384"/>
      <c r="E43" s="385" t="s">
        <v>1604</v>
      </c>
      <c r="F43" s="386" t="s">
        <v>1822</v>
      </c>
      <c r="G43" s="386" t="s">
        <v>1823</v>
      </c>
      <c r="H43" s="398">
        <f t="shared" ref="H43:AD43" si="10">H42/1000</f>
        <v>2.8E-3</v>
      </c>
      <c r="I43" s="398">
        <f t="shared" si="10"/>
        <v>2.8E-3</v>
      </c>
      <c r="J43" s="398">
        <f t="shared" si="10"/>
        <v>2.8E-3</v>
      </c>
      <c r="K43" s="398">
        <f t="shared" si="10"/>
        <v>2.8E-3</v>
      </c>
      <c r="L43" s="398">
        <f t="shared" si="10"/>
        <v>2.8E-3</v>
      </c>
      <c r="M43" s="398">
        <f t="shared" si="10"/>
        <v>2.8E-3</v>
      </c>
      <c r="N43" s="398">
        <f t="shared" si="10"/>
        <v>2.8E-3</v>
      </c>
      <c r="O43" s="398">
        <f t="shared" si="10"/>
        <v>2.8E-3</v>
      </c>
      <c r="P43" s="398">
        <f t="shared" si="10"/>
        <v>2.8E-3</v>
      </c>
      <c r="Q43" s="398">
        <f t="shared" si="10"/>
        <v>2.8E-3</v>
      </c>
      <c r="R43" s="398">
        <f t="shared" si="10"/>
        <v>2.8E-3</v>
      </c>
      <c r="S43" s="398">
        <f t="shared" si="10"/>
        <v>2.8E-3</v>
      </c>
      <c r="T43" s="398">
        <f t="shared" si="10"/>
        <v>2.8E-3</v>
      </c>
      <c r="U43" s="398">
        <f t="shared" si="10"/>
        <v>2.8E-3</v>
      </c>
      <c r="V43" s="398">
        <f t="shared" si="10"/>
        <v>2.8E-3</v>
      </c>
      <c r="W43" s="398">
        <f t="shared" si="10"/>
        <v>2.8E-3</v>
      </c>
      <c r="X43" s="398">
        <f t="shared" si="10"/>
        <v>2.8E-3</v>
      </c>
      <c r="Y43" s="398">
        <f t="shared" si="10"/>
        <v>2.8E-3</v>
      </c>
      <c r="Z43" s="398">
        <f t="shared" si="10"/>
        <v>2.8E-3</v>
      </c>
      <c r="AA43" s="398">
        <f t="shared" si="10"/>
        <v>2.8E-3</v>
      </c>
      <c r="AB43" s="398">
        <f t="shared" si="10"/>
        <v>2.8E-3</v>
      </c>
      <c r="AC43" s="398">
        <f t="shared" si="10"/>
        <v>2.8E-3</v>
      </c>
      <c r="AD43" s="398">
        <f t="shared" si="10"/>
        <v>2.8E-3</v>
      </c>
      <c r="AF43" s="60"/>
      <c r="AG43" s="337" t="s">
        <v>1859</v>
      </c>
      <c r="AH43" s="384"/>
      <c r="AI43" s="385" t="s">
        <v>1604</v>
      </c>
      <c r="AJ43" s="386" t="s">
        <v>1822</v>
      </c>
      <c r="AK43" s="386" t="s">
        <v>1823</v>
      </c>
      <c r="AL43" s="398">
        <f t="shared" ref="AL43:BH43" si="11">AL42/1000</f>
        <v>2.8E-3</v>
      </c>
      <c r="AM43" s="398">
        <f t="shared" si="11"/>
        <v>2.8E-3</v>
      </c>
      <c r="AN43" s="398">
        <f t="shared" si="11"/>
        <v>2.8E-3</v>
      </c>
      <c r="AO43" s="398">
        <f t="shared" si="11"/>
        <v>2.8E-3</v>
      </c>
      <c r="AP43" s="398">
        <f t="shared" si="11"/>
        <v>2.8E-3</v>
      </c>
      <c r="AQ43" s="398">
        <f t="shared" si="11"/>
        <v>2.8E-3</v>
      </c>
      <c r="AR43" s="398">
        <f t="shared" si="11"/>
        <v>2.8E-3</v>
      </c>
      <c r="AS43" s="398">
        <f t="shared" si="11"/>
        <v>2.8E-3</v>
      </c>
      <c r="AT43" s="398">
        <f t="shared" si="11"/>
        <v>2.8E-3</v>
      </c>
      <c r="AU43" s="398">
        <f t="shared" si="11"/>
        <v>2.8E-3</v>
      </c>
      <c r="AV43" s="398">
        <f t="shared" si="11"/>
        <v>2.8E-3</v>
      </c>
      <c r="AW43" s="398">
        <f t="shared" si="11"/>
        <v>2.8E-3</v>
      </c>
      <c r="AX43" s="398">
        <f t="shared" si="11"/>
        <v>2.8E-3</v>
      </c>
      <c r="AY43" s="398">
        <f t="shared" si="11"/>
        <v>2.8E-3</v>
      </c>
      <c r="AZ43" s="398">
        <f t="shared" si="11"/>
        <v>2.8E-3</v>
      </c>
      <c r="BA43" s="398">
        <f t="shared" si="11"/>
        <v>2.8E-3</v>
      </c>
      <c r="BB43" s="398">
        <f t="shared" si="11"/>
        <v>2.8E-3</v>
      </c>
      <c r="BC43" s="398">
        <f t="shared" si="11"/>
        <v>2.8E-3</v>
      </c>
      <c r="BD43" s="398">
        <f t="shared" si="11"/>
        <v>2.8E-3</v>
      </c>
      <c r="BE43" s="398">
        <f t="shared" si="11"/>
        <v>2.8E-3</v>
      </c>
      <c r="BF43" s="398">
        <f t="shared" si="11"/>
        <v>2.8E-3</v>
      </c>
      <c r="BG43" s="398">
        <f t="shared" si="11"/>
        <v>2.8E-3</v>
      </c>
      <c r="BH43" s="398">
        <f t="shared" si="11"/>
        <v>2.8E-3</v>
      </c>
    </row>
    <row r="44" spans="2:60" ht="15">
      <c r="B44" s="60"/>
      <c r="C44" s="337" t="s">
        <v>1860</v>
      </c>
      <c r="D44" s="384"/>
      <c r="E44" s="385"/>
      <c r="F44" s="386" t="s">
        <v>1861</v>
      </c>
      <c r="G44" s="386" t="s">
        <v>1838</v>
      </c>
      <c r="H44" s="398">
        <f>MAX((H42-H$12),0)*Data!$E$6</f>
        <v>0</v>
      </c>
      <c r="I44" s="398">
        <f>MAX((I42-I$12),0)*Data!$E$6</f>
        <v>0</v>
      </c>
      <c r="J44" s="398">
        <f>MAX((J42-J$12),0)*Data!$E$6</f>
        <v>0</v>
      </c>
      <c r="K44" s="398">
        <f>MAX((K42-K$12),0)*Data!$E$6</f>
        <v>0</v>
      </c>
      <c r="L44" s="398">
        <f>MAX((L42-L$12),0)*Data!$E$6</f>
        <v>0</v>
      </c>
      <c r="M44" s="398">
        <f>MAX((M42-M$12),0)*Data!$E$6</f>
        <v>0</v>
      </c>
      <c r="N44" s="398">
        <f>MAX((N42-N$12),0)*Data!$E$6</f>
        <v>0</v>
      </c>
      <c r="O44" s="398">
        <f>MAX((O42-O$12),0)*Data!$E$6</f>
        <v>0</v>
      </c>
      <c r="P44" s="398">
        <f>MAX((P42-P$12),0)*Data!$E$6</f>
        <v>0</v>
      </c>
      <c r="Q44" s="398">
        <f>MAX((Q42-Q$12),0)*Data!$E$6</f>
        <v>0</v>
      </c>
      <c r="R44" s="398">
        <f>MAX((R42-R$12),0)*Data!$E$6</f>
        <v>0</v>
      </c>
      <c r="S44" s="398">
        <f>MAX((S42-S$12),0)*Data!$E$6</f>
        <v>0</v>
      </c>
      <c r="T44" s="398">
        <f>MAX((T42-T$12),0)*Data!$E$6</f>
        <v>0</v>
      </c>
      <c r="U44" s="398">
        <f>MAX((U42-U$12),0)*Data!$E$6</f>
        <v>0</v>
      </c>
      <c r="V44" s="398">
        <f>MAX((V42-V$12),0)*Data!$E$6</f>
        <v>0</v>
      </c>
      <c r="W44" s="398">
        <f>MAX((W42-W$12),0)*Data!$E$6</f>
        <v>0</v>
      </c>
      <c r="X44" s="398">
        <f>MAX((X42-X$12),0)*Data!$E$6</f>
        <v>0</v>
      </c>
      <c r="Y44" s="398">
        <f>MAX((Y42-Y$12),0)*Data!$E$6</f>
        <v>0</v>
      </c>
      <c r="Z44" s="398">
        <f>MAX((Z42-Z$12),0)*Data!$E$6</f>
        <v>0</v>
      </c>
      <c r="AA44" s="398">
        <f>MAX((AA42-AA$12),0)*Data!$E$6</f>
        <v>0</v>
      </c>
      <c r="AB44" s="398">
        <f>MAX((AB42-AB$12),0)*Data!$E$6</f>
        <v>0</v>
      </c>
      <c r="AC44" s="398">
        <f>MAX((AC42-AC$12),0)*Data!$E$6</f>
        <v>0</v>
      </c>
      <c r="AD44" s="398">
        <f>MAX((AD42-AD$12),0)*Data!$E$6</f>
        <v>0</v>
      </c>
      <c r="AF44" s="60"/>
      <c r="AG44" s="337" t="s">
        <v>1860</v>
      </c>
      <c r="AH44" s="384"/>
      <c r="AI44" s="385"/>
      <c r="AJ44" s="386" t="s">
        <v>1861</v>
      </c>
      <c r="AK44" s="386" t="s">
        <v>1838</v>
      </c>
      <c r="AL44" s="398">
        <f>MAX((AL42-AL$12),0)*Data!$E$6</f>
        <v>0</v>
      </c>
      <c r="AM44" s="398">
        <f>MAX((AM42-AM$12),0)*Data!$E$6</f>
        <v>0</v>
      </c>
      <c r="AN44" s="398">
        <f>MAX((AN42-AN$12),0)*Data!$E$6</f>
        <v>0</v>
      </c>
      <c r="AO44" s="398">
        <f>MAX((AO42-AO$12),0)*Data!$E$6</f>
        <v>0</v>
      </c>
      <c r="AP44" s="398">
        <f>MAX((AP42-AP$12),0)*Data!$E$6</f>
        <v>0</v>
      </c>
      <c r="AQ44" s="398">
        <f>MAX((AQ42-AQ$12),0)*Data!$E$6</f>
        <v>0</v>
      </c>
      <c r="AR44" s="398">
        <f>MAX((AR42-AR$12),0)*Data!$E$6</f>
        <v>0</v>
      </c>
      <c r="AS44" s="398">
        <f>MAX((AS42-AS$12),0)*Data!$E$6</f>
        <v>0</v>
      </c>
      <c r="AT44" s="398">
        <f>MAX((AT42-AT$12),0)*Data!$E$6</f>
        <v>0</v>
      </c>
      <c r="AU44" s="398">
        <f>MAX((AU42-AU$12),0)*Data!$E$6</f>
        <v>0</v>
      </c>
      <c r="AV44" s="398">
        <f>MAX((AV42-AV$12),0)*Data!$E$6</f>
        <v>0</v>
      </c>
      <c r="AW44" s="398">
        <f>MAX((AW42-AW$12),0)*Data!$E$6</f>
        <v>0</v>
      </c>
      <c r="AX44" s="398">
        <f>MAX((AX42-AX$12),0)*Data!$E$6</f>
        <v>0</v>
      </c>
      <c r="AY44" s="398">
        <f>MAX((AY42-AY$12),0)*Data!$E$6</f>
        <v>0</v>
      </c>
      <c r="AZ44" s="398">
        <f>MAX((AZ42-AZ$12),0)*Data!$E$6</f>
        <v>0</v>
      </c>
      <c r="BA44" s="398">
        <f>MAX((BA42-BA$12),0)*Data!$E$6</f>
        <v>0</v>
      </c>
      <c r="BB44" s="398">
        <f>MAX((BB42-BB$12),0)*Data!$E$6</f>
        <v>0</v>
      </c>
      <c r="BC44" s="398">
        <f>MAX((BC42-BC$12),0)*Data!$E$6</f>
        <v>0</v>
      </c>
      <c r="BD44" s="398">
        <f>MAX((BD42-BD$12),0)*Data!$E$6</f>
        <v>0</v>
      </c>
      <c r="BE44" s="398">
        <f>MAX((BE42-BE$12),0)*Data!$E$6</f>
        <v>0</v>
      </c>
      <c r="BF44" s="398">
        <f>MAX((BF42-BF$12),0)*Data!$E$6</f>
        <v>0</v>
      </c>
      <c r="BG44" s="398">
        <f>MAX((BG42-BG$12),0)*Data!$E$6</f>
        <v>0</v>
      </c>
      <c r="BH44" s="398">
        <f>MAX((BH42-BH$12),0)*Data!$E$6</f>
        <v>0</v>
      </c>
    </row>
    <row r="45" spans="2:60" ht="15">
      <c r="B45" s="60"/>
      <c r="C45" s="337" t="s">
        <v>1862</v>
      </c>
      <c r="E45" s="385" t="s">
        <v>1828</v>
      </c>
      <c r="F45" s="386" t="s">
        <v>1863</v>
      </c>
      <c r="G45" s="386" t="s">
        <v>1838</v>
      </c>
      <c r="H45" s="398">
        <f>MIN(MAX(0,(H$42-H$13)),(H$12-H$13))*Data!$E$6</f>
        <v>0</v>
      </c>
      <c r="I45" s="398">
        <f>MIN(MAX(0,(I$42-I$13)),(I$12-I$13))*Data!$E$6</f>
        <v>0</v>
      </c>
      <c r="J45" s="398">
        <f>MIN(MAX(0,(J$42-J$13)),(J$12-J$13))*Data!$E$6</f>
        <v>0</v>
      </c>
      <c r="K45" s="398">
        <f>MIN(MAX(0,(K$42-K$13)),(K$12-K$13))*Data!$E$6</f>
        <v>0</v>
      </c>
      <c r="L45" s="398">
        <f>MIN(MAX(0,(L$42-L$13)),(L$12-L$13))*Data!$E$6</f>
        <v>0</v>
      </c>
      <c r="M45" s="398">
        <f>MIN(MAX(0,(M$42-M$13)),(M$12-M$13))*Data!$E$6</f>
        <v>0</v>
      </c>
      <c r="N45" s="398">
        <f>MIN(MAX(0,(N$42-N$13)),(N$12-N$13))*Data!$E$6</f>
        <v>0</v>
      </c>
      <c r="O45" s="398">
        <f>MIN(MAX(0,(O$42-O$13)),(O$12-O$13))*Data!$E$6</f>
        <v>0</v>
      </c>
      <c r="P45" s="398">
        <f>MIN(MAX(0,(P$42-P$13)),(P$12-P$13))*Data!$E$6</f>
        <v>0</v>
      </c>
      <c r="Q45" s="398">
        <f>MIN(MAX(0,(Q$42-Q$13)),(Q$12-Q$13))*Data!$E$6</f>
        <v>0</v>
      </c>
      <c r="R45" s="398">
        <f>MIN(MAX(0,(R$42-R$13)),(R$12-R$13))*Data!$E$6</f>
        <v>0</v>
      </c>
      <c r="S45" s="398">
        <f>MIN(MAX(0,(S$42-S$13)),(S$12-S$13))*Data!$E$6</f>
        <v>0</v>
      </c>
      <c r="T45" s="398">
        <f>MIN(MAX(0,(T$42-T$13)),(T$12-T$13))*Data!$E$6</f>
        <v>0</v>
      </c>
      <c r="U45" s="398">
        <f>MIN(MAX(0,(U$42-U$13)),(U$12-U$13))*Data!$E$6</f>
        <v>0</v>
      </c>
      <c r="V45" s="398">
        <f>MIN(MAX(0,(V$42-V$13)),(V$12-V$13))*Data!$E$6</f>
        <v>0</v>
      </c>
      <c r="W45" s="398">
        <f>MIN(MAX(0,(W$42-W$13)),(W$12-W$13))*Data!$E$6</f>
        <v>0</v>
      </c>
      <c r="X45" s="398">
        <f>MIN(MAX(0,(X$42-X$13)),(X$12-X$13))*Data!$E$6</f>
        <v>0</v>
      </c>
      <c r="Y45" s="398">
        <f>MIN(MAX(0,(Y$42-Y$13)),(Y$12-Y$13))*Data!$E$6</f>
        <v>0</v>
      </c>
      <c r="Z45" s="398">
        <f>MIN(MAX(0,(Z$42-Z$13)),(Z$12-Z$13))*Data!$E$6</f>
        <v>0</v>
      </c>
      <c r="AA45" s="398">
        <f>MIN(MAX(0,(AA$42-AA$13)),(AA$12-AA$13))*Data!$E$6</f>
        <v>7.5053399999997869E-2</v>
      </c>
      <c r="AB45" s="398">
        <f>MIN(MAX(0,(AB$42-AB$13)),(AB$12-AB$13))*Data!$E$6</f>
        <v>0.11255999999999999</v>
      </c>
      <c r="AC45" s="398">
        <f>MIN(MAX(0,(AC$42-AC$13)),(AC$12-AC$13))*Data!$E$6</f>
        <v>0.11255999999999999</v>
      </c>
      <c r="AD45" s="398">
        <f>MIN(MAX(0,(AD$42-AD$13)),(AD$12-AD$13))*Data!$E$6</f>
        <v>0.11255999999999999</v>
      </c>
      <c r="AF45" s="60"/>
      <c r="AG45" s="337" t="s">
        <v>1862</v>
      </c>
      <c r="AH45" s="24"/>
      <c r="AI45" s="385" t="s">
        <v>1828</v>
      </c>
      <c r="AJ45" s="386" t="s">
        <v>1863</v>
      </c>
      <c r="AK45" s="386" t="s">
        <v>1838</v>
      </c>
      <c r="AL45" s="398">
        <f>MIN(MAX(0,(AL$42-AL$13)),(AL$12-AL$13))*Data!$E$6</f>
        <v>0</v>
      </c>
      <c r="AM45" s="398">
        <f>MIN(MAX(0,(AM$42-AM$13)),(AM$12-AM$13))*Data!$E$6</f>
        <v>0</v>
      </c>
      <c r="AN45" s="398">
        <f>MIN(MAX(0,(AN$42-AN$13)),(AN$12-AN$13))*Data!$E$6</f>
        <v>0</v>
      </c>
      <c r="AO45" s="398">
        <f>MIN(MAX(0,(AO$42-AO$13)),(AO$12-AO$13))*Data!$E$6</f>
        <v>0</v>
      </c>
      <c r="AP45" s="398">
        <f>MIN(MAX(0,(AP$42-AP$13)),(AP$12-AP$13))*Data!$E$6</f>
        <v>0</v>
      </c>
      <c r="AQ45" s="398">
        <f>MIN(MAX(0,(AQ$42-AQ$13)),(AQ$12-AQ$13))*Data!$E$6</f>
        <v>0</v>
      </c>
      <c r="AR45" s="398">
        <f>MIN(MAX(0,(AR$42-AR$13)),(AR$12-AR$13))*Data!$E$6</f>
        <v>0</v>
      </c>
      <c r="AS45" s="398">
        <f>MIN(MAX(0,(AS$42-AS$13)),(AS$12-AS$13))*Data!$E$6</f>
        <v>0</v>
      </c>
      <c r="AT45" s="398">
        <f>MIN(MAX(0,(AT$42-AT$13)),(AT$12-AT$13))*Data!$E$6</f>
        <v>0</v>
      </c>
      <c r="AU45" s="398">
        <f>MIN(MAX(0,(AU$42-AU$13)),(AU$12-AU$13))*Data!$E$6</f>
        <v>0</v>
      </c>
      <c r="AV45" s="398">
        <f>MIN(MAX(0,(AV$42-AV$13)),(AV$12-AV$13))*Data!$E$6</f>
        <v>0</v>
      </c>
      <c r="AW45" s="398">
        <f>MIN(MAX(0,(AW$42-AW$13)),(AW$12-AW$13))*Data!$E$6</f>
        <v>0</v>
      </c>
      <c r="AX45" s="398">
        <f>MIN(MAX(0,(AX$42-AX$13)),(AX$12-AX$13))*Data!$E$6</f>
        <v>0</v>
      </c>
      <c r="AY45" s="398">
        <f>MIN(MAX(0,(AY$42-AY$13)),(AY$12-AY$13))*Data!$E$6</f>
        <v>0</v>
      </c>
      <c r="AZ45" s="398">
        <f>MIN(MAX(0,(AZ$42-AZ$13)),(AZ$12-AZ$13))*Data!$E$6</f>
        <v>0</v>
      </c>
      <c r="BA45" s="398">
        <f>MIN(MAX(0,(BA$42-BA$13)),(BA$12-BA$13))*Data!$E$6</f>
        <v>0</v>
      </c>
      <c r="BB45" s="398">
        <f>MIN(MAX(0,(BB$42-BB$13)),(BB$12-BB$13))*Data!$E$6</f>
        <v>0</v>
      </c>
      <c r="BC45" s="398">
        <f>MIN(MAX(0,(BC$42-BC$13)),(BC$12-BC$13))*Data!$E$6</f>
        <v>0</v>
      </c>
      <c r="BD45" s="398">
        <f>MIN(MAX(0,(BD$42-BD$13)),(BD$12-BD$13))*Data!$E$6</f>
        <v>0</v>
      </c>
      <c r="BE45" s="398">
        <f>MIN(MAX(0,(BE$42-BE$13)),(BE$12-BE$13))*Data!$E$6</f>
        <v>7.5053399999997869E-2</v>
      </c>
      <c r="BF45" s="398">
        <f>MIN(MAX(0,(BF$42-BF$13)),(BF$12-BF$13))*Data!$E$6</f>
        <v>0.11255999999999999</v>
      </c>
      <c r="BG45" s="398">
        <f>MIN(MAX(0,(BG$42-BG$13)),(BG$12-BG$13))*Data!$E$6</f>
        <v>0.11255999999999999</v>
      </c>
      <c r="BH45" s="398">
        <f>MIN(MAX(0,(BH$42-BH$13)),(BH$12-BH$13))*Data!$E$6</f>
        <v>0.11255999999999999</v>
      </c>
    </row>
    <row r="46" spans="2:60" ht="15">
      <c r="B46" s="60"/>
      <c r="C46" s="337" t="s">
        <v>1864</v>
      </c>
      <c r="D46" s="384"/>
      <c r="E46" s="385" t="s">
        <v>1865</v>
      </c>
      <c r="F46" s="386" t="s">
        <v>1861</v>
      </c>
      <c r="G46" s="386" t="s">
        <v>1843</v>
      </c>
      <c r="H46" s="398">
        <f>MIN((H42-H13)*Data!$E$6,0)</f>
        <v>-3.0004877999999997</v>
      </c>
      <c r="I46" s="398">
        <f>MIN((I42-I15)*Data!$E$6,0)</f>
        <v>-2.9254745999999998</v>
      </c>
      <c r="J46" s="398">
        <f>MIN((J42-J15)*Data!$E$6,0)</f>
        <v>-2.8504614000000004</v>
      </c>
      <c r="K46" s="398">
        <f>MIN((K42-K15)*Data!$E$6,0)</f>
        <v>-2.6854323600000001</v>
      </c>
      <c r="L46" s="398">
        <f>MIN((L42-L15)*Data!$E$6,0)</f>
        <v>-2.5204033200000002</v>
      </c>
      <c r="M46" s="398">
        <f>MIN((M42-M15)*Data!$E$6,0)</f>
        <v>-2.3553742800000004</v>
      </c>
      <c r="N46" s="398">
        <f>MIN((N42-N15)*Data!$E$6,0)</f>
        <v>-2.1903452399999996</v>
      </c>
      <c r="O46" s="398">
        <f>MIN((O42-O15)*Data!$E$6,0)</f>
        <v>-2.0253161999999576</v>
      </c>
      <c r="P46" s="398">
        <f>MIN((P42-P15)*Data!$E$6,0)</f>
        <v>-1.7627699999999829</v>
      </c>
      <c r="Q46" s="398">
        <f>MIN((Q42-Q15)*Data!$E$6,0)</f>
        <v>-1.5002238000000088</v>
      </c>
      <c r="R46" s="398">
        <f>MIN((R42-R15)*Data!$E$6,0)</f>
        <v>-1.2376775999999274</v>
      </c>
      <c r="S46" s="398">
        <f>MIN((S42-S15)*Data!$E$6,0)</f>
        <v>-0.97513139999995302</v>
      </c>
      <c r="T46" s="398">
        <f>MIN((T42-T15)*Data!$E$6,0)</f>
        <v>-0.71258519999997849</v>
      </c>
      <c r="U46" s="398">
        <f>MIN((U42-U15)*Data!$E$6,0)</f>
        <v>-0.60006540000000097</v>
      </c>
      <c r="V46" s="398">
        <f>MIN((V42-V15)*Data!$E$6,0)</f>
        <v>-0.48754559999999669</v>
      </c>
      <c r="W46" s="398">
        <f>MIN((W42-W15)*Data!$E$6,0)</f>
        <v>-0.37502579999999247</v>
      </c>
      <c r="X46" s="398">
        <f>MIN((X42-X15)*Data!$E$6,0)</f>
        <v>-0.26250599999998825</v>
      </c>
      <c r="Y46" s="398">
        <f>MIN((Y42-Y15)*Data!$E$6,0)</f>
        <v>-0.14998620000001064</v>
      </c>
      <c r="Z46" s="398">
        <f>MIN((Z42-Z15)*Data!$E$6,0)</f>
        <v>-3.7466400000006388E-2</v>
      </c>
      <c r="AA46" s="398">
        <f>MIN((AA42-AA15)*Data!$E$6,0)</f>
        <v>0</v>
      </c>
      <c r="AB46" s="398">
        <f>MIN((AB42-AB15)*Data!$E$6,0)</f>
        <v>0</v>
      </c>
      <c r="AC46" s="398">
        <f>MIN((AC42-AC15)*Data!$E$6,0)</f>
        <v>0</v>
      </c>
      <c r="AD46" s="398">
        <f>MIN((AD42-AD15)*Data!$E$6,0)</f>
        <v>0</v>
      </c>
      <c r="AF46" s="60"/>
      <c r="AG46" s="337" t="s">
        <v>1864</v>
      </c>
      <c r="AH46" s="384"/>
      <c r="AI46" s="385" t="s">
        <v>1865</v>
      </c>
      <c r="AJ46" s="386" t="s">
        <v>1861</v>
      </c>
      <c r="AK46" s="386" t="s">
        <v>1843</v>
      </c>
      <c r="AL46" s="398">
        <f>MIN((AL42-AL13)*Data!$E$6,0)</f>
        <v>-3.0004877999999997</v>
      </c>
      <c r="AM46" s="398">
        <f>MIN((AM42-AM15)*Data!$E$6,0)</f>
        <v>-2.9254745999999998</v>
      </c>
      <c r="AN46" s="398">
        <f>MIN((AN42-AN15)*Data!$E$6,0)</f>
        <v>-2.8504614000000004</v>
      </c>
      <c r="AO46" s="398">
        <f>MIN((AO42-AO15)*Data!$E$6,0)</f>
        <v>-2.6854323600000001</v>
      </c>
      <c r="AP46" s="398">
        <f>MIN((AP42-AP15)*Data!$E$6,0)</f>
        <v>-2.5204033200000002</v>
      </c>
      <c r="AQ46" s="398">
        <f>MIN((AQ42-AQ15)*Data!$E$6,0)</f>
        <v>-2.3553742800000004</v>
      </c>
      <c r="AR46" s="398">
        <f>MIN((AR42-AR15)*Data!$E$6,0)</f>
        <v>-2.1903452399999996</v>
      </c>
      <c r="AS46" s="398">
        <f>MIN((AS42-AS15)*Data!$E$6,0)</f>
        <v>-2.0253161999999576</v>
      </c>
      <c r="AT46" s="398">
        <f>MIN((AT42-AT15)*Data!$E$6,0)</f>
        <v>-1.7627699999999829</v>
      </c>
      <c r="AU46" s="398">
        <f>MIN((AU42-AU15)*Data!$E$6,0)</f>
        <v>-1.5002238000000088</v>
      </c>
      <c r="AV46" s="398">
        <f>MIN((AV42-AV15)*Data!$E$6,0)</f>
        <v>-1.2376775999999274</v>
      </c>
      <c r="AW46" s="398">
        <f>MIN((AW42-AW15)*Data!$E$6,0)</f>
        <v>-0.97513139999995302</v>
      </c>
      <c r="AX46" s="398">
        <f>MIN((AX42-AX15)*Data!$E$6,0)</f>
        <v>-0.71258519999997849</v>
      </c>
      <c r="AY46" s="398">
        <f>MIN((AY42-AY15)*Data!$E$6,0)</f>
        <v>-0.60006540000000097</v>
      </c>
      <c r="AZ46" s="398">
        <f>MIN((AZ42-AZ15)*Data!$E$6,0)</f>
        <v>-0.48754559999999669</v>
      </c>
      <c r="BA46" s="398">
        <f>MIN((BA42-BA15)*Data!$E$6,0)</f>
        <v>-0.37502579999999247</v>
      </c>
      <c r="BB46" s="398">
        <f>MIN((BB42-BB15)*Data!$E$6,0)</f>
        <v>-0.26250599999998825</v>
      </c>
      <c r="BC46" s="398">
        <f>MIN((BC42-BC15)*Data!$E$6,0)</f>
        <v>-0.14998620000001064</v>
      </c>
      <c r="BD46" s="398">
        <f>MIN((BD42-BD15)*Data!$E$6,0)</f>
        <v>-3.7466400000006388E-2</v>
      </c>
      <c r="BE46" s="398">
        <f>MIN((BE42-BE15)*Data!$E$6,0)</f>
        <v>0</v>
      </c>
      <c r="BF46" s="398">
        <f>MIN((BF42-BF15)*Data!$E$6,0)</f>
        <v>0</v>
      </c>
      <c r="BG46" s="398">
        <f>MIN((BG42-BG15)*Data!$E$6,0)</f>
        <v>0</v>
      </c>
      <c r="BH46" s="398">
        <f>MIN((BH42-BH15)*Data!$E$6,0)</f>
        <v>0</v>
      </c>
    </row>
    <row r="47" spans="2:60" ht="15">
      <c r="B47" s="60"/>
      <c r="C47" s="337" t="s">
        <v>1866</v>
      </c>
      <c r="D47" s="400" t="str">
        <f>'CCC Summary (main)'!$C$46</f>
        <v>Enter fixed price</v>
      </c>
      <c r="E47" s="385" t="s">
        <v>1814</v>
      </c>
      <c r="F47" s="386" t="str">
        <f>IF('CCC Summary (main)'!$C$25="Yes",'CCC Summary (main)'!$D$25,"")</f>
        <v/>
      </c>
      <c r="G47" s="386" t="s">
        <v>587</v>
      </c>
      <c r="H47" s="398">
        <f ca="1">IF($D$47="Enter fixed price",'CCC Summary (main)'!$C$47/(Data!$E$6*1000),INDEX(Data!$B$26:$AA$35,MATCH($D$47,Data!$B$26:$B$35,0),MATCH(H$11,Data!$B$26:$AA$26,0)))</f>
        <v>0</v>
      </c>
      <c r="I47" s="398">
        <f ca="1">IF($D$47="Enter fixed price",'CCC Summary (main)'!$C$47/(Data!$E$6*1000),INDEX(Data!$B$26:$AA$35,MATCH($D$47,Data!$B$26:$B$35,0),MATCH(I$11,Data!$B$26:$AA$26,0)))</f>
        <v>0</v>
      </c>
      <c r="J47" s="398">
        <f ca="1">IF($D$47="Enter fixed price",'CCC Summary (main)'!$C$47/(Data!$E$6*1000),INDEX(Data!$B$26:$AA$35,MATCH($D$47,Data!$B$26:$B$35,0),MATCH(J$11,Data!$B$26:$AA$26,0)))</f>
        <v>0</v>
      </c>
      <c r="K47" s="398">
        <f ca="1">IF($D$47="Enter fixed price",'CCC Summary (main)'!$C$47/(Data!$E$6*1000),INDEX(Data!$B$26:$AA$35,MATCH($D$47,Data!$B$26:$B$35,0),MATCH(K$11,Data!$B$26:$AA$26,0)))</f>
        <v>0</v>
      </c>
      <c r="L47" s="398">
        <f ca="1">IF($D$47="Enter fixed price",'CCC Summary (main)'!$C$47/(Data!$E$6*1000),INDEX(Data!$B$26:$AA$35,MATCH($D$47,Data!$B$26:$B$35,0),MATCH(L$11,Data!$B$26:$AA$26,0)))</f>
        <v>0</v>
      </c>
      <c r="M47" s="398">
        <f ca="1">IF($D$47="Enter fixed price",'CCC Summary (main)'!$C$47/(Data!$E$6*1000),INDEX(Data!$B$26:$AA$35,MATCH($D$47,Data!$B$26:$B$35,0),MATCH(M$11,Data!$B$26:$AA$26,0)))</f>
        <v>0</v>
      </c>
      <c r="N47" s="398">
        <f ca="1">IF($D$47="Enter fixed price",'CCC Summary (main)'!$C$47/(Data!$E$6*1000),INDEX(Data!$B$26:$AA$35,MATCH($D$47,Data!$B$26:$B$35,0),MATCH(N$11,Data!$B$26:$AA$26,0)))</f>
        <v>0</v>
      </c>
      <c r="O47" s="398">
        <f ca="1">IF($D$47="Enter fixed price",'CCC Summary (main)'!$C$47/(Data!$E$6*1000),INDEX(Data!$B$26:$AA$35,MATCH($D$47,Data!$B$26:$B$35,0),MATCH(O$11,Data!$B$26:$AA$26,0)))</f>
        <v>0</v>
      </c>
      <c r="P47" s="398">
        <f ca="1">IF($D$47="Enter fixed price",'CCC Summary (main)'!$C$47/(Data!$E$6*1000),INDEX(Data!$B$26:$AA$35,MATCH($D$47,Data!$B$26:$B$35,0),MATCH(P$11,Data!$B$26:$AA$26,0)))</f>
        <v>0</v>
      </c>
      <c r="Q47" s="398">
        <f ca="1">IF($D$47="Enter fixed price",'CCC Summary (main)'!$C$47/(Data!$E$6*1000),INDEX(Data!$B$26:$AA$35,MATCH($D$47,Data!$B$26:$B$35,0),MATCH(Q$11,Data!$B$26:$AA$26,0)))</f>
        <v>0</v>
      </c>
      <c r="R47" s="398">
        <f ca="1">IF($D$47="Enter fixed price",'CCC Summary (main)'!$C$47/(Data!$E$6*1000),INDEX(Data!$B$26:$AA$35,MATCH($D$47,Data!$B$26:$B$35,0),MATCH(R$11,Data!$B$26:$AA$26,0)))</f>
        <v>0</v>
      </c>
      <c r="S47" s="398">
        <f ca="1">IF($D$47="Enter fixed price",'CCC Summary (main)'!$C$47/(Data!$E$6*1000),INDEX(Data!$B$26:$AA$35,MATCH($D$47,Data!$B$26:$B$35,0),MATCH(S$11,Data!$B$26:$AA$26,0)))</f>
        <v>0</v>
      </c>
      <c r="T47" s="398">
        <f ca="1">IF($D$47="Enter fixed price",'CCC Summary (main)'!$C$47/(Data!$E$6*1000),INDEX(Data!$B$26:$AA$35,MATCH($D$47,Data!$B$26:$B$35,0),MATCH(T$11,Data!$B$26:$AA$26,0)))</f>
        <v>0</v>
      </c>
      <c r="U47" s="398">
        <f ca="1">IF($D$47="Enter fixed price",'CCC Summary (main)'!$C$47/(Data!$E$6*1000),INDEX(Data!$B$26:$AA$35,MATCH($D$47,Data!$B$26:$B$35,0),MATCH(U$11,Data!$B$26:$AA$26,0)))</f>
        <v>0</v>
      </c>
      <c r="V47" s="398">
        <f ca="1">IF($D$47="Enter fixed price",'CCC Summary (main)'!$C$47/(Data!$E$6*1000),INDEX(Data!$B$26:$AA$35,MATCH($D$47,Data!$B$26:$B$35,0),MATCH(V$11,Data!$B$26:$AA$26,0)))</f>
        <v>0</v>
      </c>
      <c r="W47" s="398">
        <f ca="1">IF($D$47="Enter fixed price",'CCC Summary (main)'!$C$47/(Data!$E$6*1000),INDEX(Data!$B$26:$AA$35,MATCH($D$47,Data!$B$26:$B$35,0),MATCH(W$11,Data!$B$26:$AA$26,0)))</f>
        <v>0</v>
      </c>
      <c r="X47" s="398">
        <f ca="1">IF($D$47="Enter fixed price",'CCC Summary (main)'!$C$47/(Data!$E$6*1000),INDEX(Data!$B$26:$AA$35,MATCH($D$47,Data!$B$26:$B$35,0),MATCH(X$11,Data!$B$26:$AA$26,0)))</f>
        <v>0</v>
      </c>
      <c r="Y47" s="398">
        <f ca="1">IF($D$47="Enter fixed price",'CCC Summary (main)'!$C$47/(Data!$E$6*1000),INDEX(Data!$B$26:$AA$35,MATCH($D$47,Data!$B$26:$B$35,0),MATCH(Y$11,Data!$B$26:$AA$26,0)))</f>
        <v>0</v>
      </c>
      <c r="Z47" s="398">
        <f ca="1">IF($D$47="Enter fixed price",'CCC Summary (main)'!$C$47/(Data!$E$6*1000),INDEX(Data!$B$26:$AA$35,MATCH($D$47,Data!$B$26:$B$35,0),MATCH(Z$11,Data!$B$26:$AA$26,0)))</f>
        <v>0</v>
      </c>
      <c r="AA47" s="398">
        <f ca="1">IF($D$47="Enter fixed price",'CCC Summary (main)'!$C$47/(Data!$E$6*1000),INDEX(Data!$B$26:$AA$35,MATCH($D$47,Data!$B$26:$B$35,0),MATCH(AA$11,Data!$B$26:$AA$26,0)))</f>
        <v>0</v>
      </c>
      <c r="AB47" s="398">
        <f ca="1">IF($D$47="Enter fixed price",'CCC Summary (main)'!$C$47/(Data!$E$6*1000),INDEX(Data!$B$26:$AA$35,MATCH($D$47,Data!$B$26:$B$35,0),MATCH(AB$11,Data!$B$26:$AA$26,0)))</f>
        <v>0</v>
      </c>
      <c r="AC47" s="398">
        <f ca="1">IF($D$47="Enter fixed price",'CCC Summary (main)'!$C$47/(Data!$E$6*1000),INDEX(Data!$B$26:$AA$35,MATCH($D$47,Data!$B$26:$B$35,0),MATCH(AC$11,Data!$B$26:$AA$26,0)))</f>
        <v>0</v>
      </c>
      <c r="AD47" s="398">
        <f ca="1">IF($D$47="Enter fixed price",'CCC Summary (main)'!$C$47/(Data!$E$6*1000),INDEX(Data!$B$26:$AA$35,MATCH($D$47,Data!$B$26:$B$35,0),MATCH(AD$11,Data!$B$26:$AA$26,0)))</f>
        <v>0</v>
      </c>
      <c r="AF47" s="60"/>
      <c r="AG47" s="337" t="s">
        <v>1866</v>
      </c>
      <c r="AH47" s="400" t="str">
        <f>'CCC Summary (main)'!$C$46</f>
        <v>Enter fixed price</v>
      </c>
      <c r="AI47" s="385" t="s">
        <v>1814</v>
      </c>
      <c r="AJ47" s="386" t="str">
        <f>IF('CCC Summary (main)'!$C$25="Yes",'CCC Summary (main)'!$D$25,"")</f>
        <v/>
      </c>
      <c r="AK47" s="386" t="s">
        <v>587</v>
      </c>
      <c r="AL47" s="398">
        <f ca="1">IF($AH$47="Enter fixed price",'CCC Summary (main)'!$C$47/(Data!$E$6*1000),INDEX(Data!$B$26:$AA$35,MATCH($AH$47,Data!$B$26:$B$35,0),MATCH(AL$11,Data!$B$26:$AA$26,0)))</f>
        <v>0</v>
      </c>
      <c r="AM47" s="398">
        <f ca="1">IF($AH$47="Enter fixed price",'CCC Summary (main)'!$C$47/(Data!$E$6*1000),INDEX(Data!$B$26:$AA$35,MATCH($AH$47,Data!$B$26:$B$35,0),MATCH(AM$11,Data!$B$26:$AA$26,0)))</f>
        <v>0</v>
      </c>
      <c r="AN47" s="398">
        <f ca="1">IF($AH$47="Enter fixed price",'CCC Summary (main)'!$C$47/(Data!$E$6*1000),INDEX(Data!$B$26:$AA$35,MATCH($AH$47,Data!$B$26:$B$35,0),MATCH(AN$11,Data!$B$26:$AA$26,0)))</f>
        <v>0</v>
      </c>
      <c r="AO47" s="398">
        <f ca="1">IF($AH$47="Enter fixed price",'CCC Summary (main)'!$C$47/(Data!$E$6*1000),INDEX(Data!$B$26:$AA$35,MATCH($AH$47,Data!$B$26:$B$35,0),MATCH(AO$11,Data!$B$26:$AA$26,0)))</f>
        <v>0</v>
      </c>
      <c r="AP47" s="398">
        <f ca="1">IF($AH$47="Enter fixed price",'CCC Summary (main)'!$C$47/(Data!$E$6*1000),INDEX(Data!$B$26:$AA$35,MATCH($AH$47,Data!$B$26:$B$35,0),MATCH(AP$11,Data!$B$26:$AA$26,0)))</f>
        <v>0</v>
      </c>
      <c r="AQ47" s="398">
        <f ca="1">IF($AH$47="Enter fixed price",'CCC Summary (main)'!$C$47/(Data!$E$6*1000),INDEX(Data!$B$26:$AA$35,MATCH($AH$47,Data!$B$26:$B$35,0),MATCH(AQ$11,Data!$B$26:$AA$26,0)))</f>
        <v>0</v>
      </c>
      <c r="AR47" s="398">
        <f ca="1">IF($AH$47="Enter fixed price",'CCC Summary (main)'!$C$47/(Data!$E$6*1000),INDEX(Data!$B$26:$AA$35,MATCH($AH$47,Data!$B$26:$B$35,0),MATCH(AR$11,Data!$B$26:$AA$26,0)))</f>
        <v>0</v>
      </c>
      <c r="AS47" s="398">
        <f ca="1">IF($AH$47="Enter fixed price",'CCC Summary (main)'!$C$47/(Data!$E$6*1000),INDEX(Data!$B$26:$AA$35,MATCH($AH$47,Data!$B$26:$B$35,0),MATCH(AS$11,Data!$B$26:$AA$26,0)))</f>
        <v>0</v>
      </c>
      <c r="AT47" s="398">
        <f ca="1">IF($AH$47="Enter fixed price",'CCC Summary (main)'!$C$47/(Data!$E$6*1000),INDEX(Data!$B$26:$AA$35,MATCH($AH$47,Data!$B$26:$B$35,0),MATCH(AT$11,Data!$B$26:$AA$26,0)))</f>
        <v>0</v>
      </c>
      <c r="AU47" s="398">
        <f ca="1">IF($AH$47="Enter fixed price",'CCC Summary (main)'!$C$47/(Data!$E$6*1000),INDEX(Data!$B$26:$AA$35,MATCH($AH$47,Data!$B$26:$B$35,0),MATCH(AU$11,Data!$B$26:$AA$26,0)))</f>
        <v>0</v>
      </c>
      <c r="AV47" s="398">
        <f ca="1">IF($AH$47="Enter fixed price",'CCC Summary (main)'!$C$47/(Data!$E$6*1000),INDEX(Data!$B$26:$AA$35,MATCH($AH$47,Data!$B$26:$B$35,0),MATCH(AV$11,Data!$B$26:$AA$26,0)))</f>
        <v>0</v>
      </c>
      <c r="AW47" s="398">
        <f ca="1">IF($AH$47="Enter fixed price",'CCC Summary (main)'!$C$47/(Data!$E$6*1000),INDEX(Data!$B$26:$AA$35,MATCH($AH$47,Data!$B$26:$B$35,0),MATCH(AW$11,Data!$B$26:$AA$26,0)))</f>
        <v>0</v>
      </c>
      <c r="AX47" s="398">
        <f ca="1">IF($AH$47="Enter fixed price",'CCC Summary (main)'!$C$47/(Data!$E$6*1000),INDEX(Data!$B$26:$AA$35,MATCH($AH$47,Data!$B$26:$B$35,0),MATCH(AX$11,Data!$B$26:$AA$26,0)))</f>
        <v>0</v>
      </c>
      <c r="AY47" s="398">
        <f ca="1">IF($AH$47="Enter fixed price",'CCC Summary (main)'!$C$47/(Data!$E$6*1000),INDEX(Data!$B$26:$AA$35,MATCH($AH$47,Data!$B$26:$B$35,0),MATCH(AY$11,Data!$B$26:$AA$26,0)))</f>
        <v>0</v>
      </c>
      <c r="AZ47" s="398">
        <f ca="1">IF($AH$47="Enter fixed price",'CCC Summary (main)'!$C$47/(Data!$E$6*1000),INDEX(Data!$B$26:$AA$35,MATCH($AH$47,Data!$B$26:$B$35,0),MATCH(AZ$11,Data!$B$26:$AA$26,0)))</f>
        <v>0</v>
      </c>
      <c r="BA47" s="398">
        <f ca="1">IF($AH$47="Enter fixed price",'CCC Summary (main)'!$C$47/(Data!$E$6*1000),INDEX(Data!$B$26:$AA$35,MATCH($AH$47,Data!$B$26:$B$35,0),MATCH(BA$11,Data!$B$26:$AA$26,0)))</f>
        <v>0</v>
      </c>
      <c r="BB47" s="398">
        <f ca="1">IF($AH$47="Enter fixed price",'CCC Summary (main)'!$C$47/(Data!$E$6*1000),INDEX(Data!$B$26:$AA$35,MATCH($AH$47,Data!$B$26:$B$35,0),MATCH(BB$11,Data!$B$26:$AA$26,0)))</f>
        <v>0</v>
      </c>
      <c r="BC47" s="398">
        <f ca="1">IF($AH$47="Enter fixed price",'CCC Summary (main)'!$C$47/(Data!$E$6*1000),INDEX(Data!$B$26:$AA$35,MATCH($AH$47,Data!$B$26:$B$35,0),MATCH(BC$11,Data!$B$26:$AA$26,0)))</f>
        <v>0</v>
      </c>
      <c r="BD47" s="398">
        <f ca="1">IF($AH$47="Enter fixed price",'CCC Summary (main)'!$C$47/(Data!$E$6*1000),INDEX(Data!$B$26:$AA$35,MATCH($AH$47,Data!$B$26:$B$35,0),MATCH(BD$11,Data!$B$26:$AA$26,0)))</f>
        <v>0</v>
      </c>
      <c r="BE47" s="398">
        <f ca="1">IF($AH$47="Enter fixed price",'CCC Summary (main)'!$C$47/(Data!$E$6*1000),INDEX(Data!$B$26:$AA$35,MATCH($AH$47,Data!$B$26:$B$35,0),MATCH(BE$11,Data!$B$26:$AA$26,0)))</f>
        <v>0</v>
      </c>
      <c r="BF47" s="398">
        <f ca="1">IF($AH$47="Enter fixed price",'CCC Summary (main)'!$C$47/(Data!$E$6*1000),INDEX(Data!$B$26:$AA$35,MATCH($AH$47,Data!$B$26:$B$35,0),MATCH(BF$11,Data!$B$26:$AA$26,0)))</f>
        <v>0</v>
      </c>
      <c r="BG47" s="398">
        <f ca="1">IF($AH$47="Enter fixed price",'CCC Summary (main)'!$C$47/(Data!$E$6*1000),INDEX(Data!$B$26:$AA$35,MATCH($AH$47,Data!$B$26:$B$35,0),MATCH(BG$11,Data!$B$26:$AA$26,0)))</f>
        <v>0</v>
      </c>
      <c r="BH47" s="398">
        <f ca="1">IF($AH$47="Enter fixed price",'CCC Summary (main)'!$C$47/(Data!$E$6*1000),INDEX(Data!$B$26:$AA$35,MATCH($AH$47,Data!$B$26:$B$35,0),MATCH(BH$11,Data!$B$26:$AA$26,0)))</f>
        <v>0</v>
      </c>
    </row>
    <row r="49" spans="2:60" ht="15">
      <c r="C49" s="383" t="s">
        <v>1867</v>
      </c>
      <c r="AF49" s="26"/>
      <c r="AG49" s="383" t="s">
        <v>1867</v>
      </c>
      <c r="AH49" s="24"/>
      <c r="AI49" s="24"/>
      <c r="AJ49" s="411"/>
      <c r="AK49" s="411"/>
    </row>
    <row r="50" spans="2:60" ht="28.5">
      <c r="C50" s="387" t="s">
        <v>1868</v>
      </c>
      <c r="D50" s="399" t="s">
        <v>1819</v>
      </c>
      <c r="E50" s="389" t="s">
        <v>1531</v>
      </c>
      <c r="F50" s="389" t="s">
        <v>21</v>
      </c>
      <c r="G50" s="390" t="s">
        <v>1596</v>
      </c>
      <c r="H50" s="391">
        <v>2028</v>
      </c>
      <c r="I50" s="391">
        <v>2029</v>
      </c>
      <c r="J50" s="391">
        <v>2030</v>
      </c>
      <c r="K50" s="391">
        <v>2031</v>
      </c>
      <c r="L50" s="391">
        <v>2032</v>
      </c>
      <c r="M50" s="391">
        <v>2033</v>
      </c>
      <c r="N50" s="391">
        <v>2034</v>
      </c>
      <c r="O50" s="391">
        <v>2035</v>
      </c>
      <c r="P50" s="392">
        <v>2036</v>
      </c>
      <c r="Q50" s="392">
        <v>2037</v>
      </c>
      <c r="R50" s="391">
        <v>2038</v>
      </c>
      <c r="S50" s="391">
        <v>2039</v>
      </c>
      <c r="T50" s="391">
        <v>2040</v>
      </c>
      <c r="U50" s="391">
        <v>2041</v>
      </c>
      <c r="V50" s="391">
        <v>2042</v>
      </c>
      <c r="W50" s="391">
        <v>2043</v>
      </c>
      <c r="X50" s="391">
        <v>2044</v>
      </c>
      <c r="Y50" s="391">
        <v>2045</v>
      </c>
      <c r="Z50" s="392">
        <v>2046</v>
      </c>
      <c r="AA50" s="392">
        <v>2047</v>
      </c>
      <c r="AB50" s="391">
        <v>2048</v>
      </c>
      <c r="AC50" s="391">
        <v>2049</v>
      </c>
      <c r="AD50" s="391">
        <v>2050</v>
      </c>
      <c r="AF50" s="26"/>
      <c r="AG50" s="387" t="s">
        <v>1868</v>
      </c>
      <c r="AH50" s="399" t="s">
        <v>1819</v>
      </c>
      <c r="AI50" s="389" t="s">
        <v>1531</v>
      </c>
      <c r="AJ50" s="389" t="s">
        <v>21</v>
      </c>
      <c r="AK50" s="390" t="s">
        <v>1596</v>
      </c>
      <c r="AL50" s="391">
        <v>2028</v>
      </c>
      <c r="AM50" s="391">
        <v>2029</v>
      </c>
      <c r="AN50" s="391">
        <v>2030</v>
      </c>
      <c r="AO50" s="391">
        <v>2031</v>
      </c>
      <c r="AP50" s="391">
        <v>2032</v>
      </c>
      <c r="AQ50" s="391">
        <v>2033</v>
      </c>
      <c r="AR50" s="391">
        <v>2034</v>
      </c>
      <c r="AS50" s="391">
        <v>2035</v>
      </c>
      <c r="AT50" s="392">
        <v>2036</v>
      </c>
      <c r="AU50" s="392">
        <v>2037</v>
      </c>
      <c r="AV50" s="391">
        <v>2038</v>
      </c>
      <c r="AW50" s="391">
        <v>2039</v>
      </c>
      <c r="AX50" s="391">
        <v>2040</v>
      </c>
      <c r="AY50" s="391">
        <v>2041</v>
      </c>
      <c r="AZ50" s="391">
        <v>2042</v>
      </c>
      <c r="BA50" s="391">
        <v>2043</v>
      </c>
      <c r="BB50" s="391">
        <v>2044</v>
      </c>
      <c r="BC50" s="391">
        <v>2045</v>
      </c>
      <c r="BD50" s="392">
        <v>2046</v>
      </c>
      <c r="BE50" s="392">
        <v>2047</v>
      </c>
      <c r="BF50" s="391">
        <v>2048</v>
      </c>
      <c r="BG50" s="391">
        <v>2049</v>
      </c>
      <c r="BH50" s="391">
        <v>2050</v>
      </c>
    </row>
    <row r="51" spans="2:60">
      <c r="C51" t="s">
        <v>1750</v>
      </c>
      <c r="D51" s="400" t="str">
        <f>'CCC Summary (main)'!$C$21</f>
        <v>No</v>
      </c>
      <c r="E51" s="24" t="s">
        <v>1869</v>
      </c>
      <c r="F51" s="411" t="s">
        <v>924</v>
      </c>
      <c r="G51" s="24" t="s">
        <v>572</v>
      </c>
      <c r="H51" s="412" t="str">
        <f t="shared" ref="H51:AD51" si="12">IF($D51="No","NA",H99-H14)</f>
        <v>NA</v>
      </c>
      <c r="I51" s="412" t="str">
        <f t="shared" si="12"/>
        <v>NA</v>
      </c>
      <c r="J51" s="412" t="str">
        <f t="shared" si="12"/>
        <v>NA</v>
      </c>
      <c r="K51" s="412" t="str">
        <f t="shared" si="12"/>
        <v>NA</v>
      </c>
      <c r="L51" s="412" t="str">
        <f t="shared" si="12"/>
        <v>NA</v>
      </c>
      <c r="M51" s="412" t="str">
        <f t="shared" si="12"/>
        <v>NA</v>
      </c>
      <c r="N51" s="412" t="str">
        <f t="shared" si="12"/>
        <v>NA</v>
      </c>
      <c r="O51" s="412" t="str">
        <f t="shared" si="12"/>
        <v>NA</v>
      </c>
      <c r="P51" s="412" t="str">
        <f t="shared" si="12"/>
        <v>NA</v>
      </c>
      <c r="Q51" s="412" t="str">
        <f t="shared" si="12"/>
        <v>NA</v>
      </c>
      <c r="R51" s="412" t="str">
        <f t="shared" si="12"/>
        <v>NA</v>
      </c>
      <c r="S51" s="412" t="str">
        <f t="shared" si="12"/>
        <v>NA</v>
      </c>
      <c r="T51" s="412" t="str">
        <f t="shared" si="12"/>
        <v>NA</v>
      </c>
      <c r="U51" s="412" t="str">
        <f t="shared" si="12"/>
        <v>NA</v>
      </c>
      <c r="V51" s="412" t="str">
        <f t="shared" si="12"/>
        <v>NA</v>
      </c>
      <c r="W51" s="412" t="str">
        <f t="shared" si="12"/>
        <v>NA</v>
      </c>
      <c r="X51" s="412" t="str">
        <f t="shared" si="12"/>
        <v>NA</v>
      </c>
      <c r="Y51" s="412" t="str">
        <f t="shared" si="12"/>
        <v>NA</v>
      </c>
      <c r="Z51" s="412" t="str">
        <f t="shared" si="12"/>
        <v>NA</v>
      </c>
      <c r="AA51" s="412" t="str">
        <f t="shared" si="12"/>
        <v>NA</v>
      </c>
      <c r="AB51" s="412" t="str">
        <f t="shared" si="12"/>
        <v>NA</v>
      </c>
      <c r="AC51" s="412" t="str">
        <f t="shared" si="12"/>
        <v>NA</v>
      </c>
      <c r="AD51" s="412" t="str">
        <f t="shared" si="12"/>
        <v>NA</v>
      </c>
      <c r="AF51" s="26"/>
      <c r="AG51" t="s">
        <v>1750</v>
      </c>
      <c r="AH51" s="400" t="str">
        <f>'CCC Summary (main)'!$C$21</f>
        <v>No</v>
      </c>
      <c r="AI51" s="24" t="s">
        <v>1869</v>
      </c>
      <c r="AJ51" s="411" t="s">
        <v>924</v>
      </c>
      <c r="AK51" s="24" t="s">
        <v>572</v>
      </c>
      <c r="AL51" s="412" t="str">
        <f>IF($AH51="No","NA",AL99-AL14)</f>
        <v>NA</v>
      </c>
      <c r="AM51" s="412" t="str">
        <f t="shared" ref="AM51:BH51" si="13">IF($D51="No","NA",AM99-AM14)</f>
        <v>NA</v>
      </c>
      <c r="AN51" s="412" t="str">
        <f t="shared" si="13"/>
        <v>NA</v>
      </c>
      <c r="AO51" s="412" t="str">
        <f t="shared" si="13"/>
        <v>NA</v>
      </c>
      <c r="AP51" s="412" t="str">
        <f t="shared" si="13"/>
        <v>NA</v>
      </c>
      <c r="AQ51" s="412" t="str">
        <f t="shared" si="13"/>
        <v>NA</v>
      </c>
      <c r="AR51" s="412" t="str">
        <f t="shared" si="13"/>
        <v>NA</v>
      </c>
      <c r="AS51" s="412" t="str">
        <f t="shared" si="13"/>
        <v>NA</v>
      </c>
      <c r="AT51" s="412" t="str">
        <f t="shared" si="13"/>
        <v>NA</v>
      </c>
      <c r="AU51" s="412" t="str">
        <f t="shared" si="13"/>
        <v>NA</v>
      </c>
      <c r="AV51" s="412" t="str">
        <f t="shared" si="13"/>
        <v>NA</v>
      </c>
      <c r="AW51" s="412" t="str">
        <f t="shared" si="13"/>
        <v>NA</v>
      </c>
      <c r="AX51" s="412" t="str">
        <f t="shared" si="13"/>
        <v>NA</v>
      </c>
      <c r="AY51" s="412" t="str">
        <f t="shared" si="13"/>
        <v>NA</v>
      </c>
      <c r="AZ51" s="412" t="str">
        <f t="shared" si="13"/>
        <v>NA</v>
      </c>
      <c r="BA51" s="412" t="str">
        <f t="shared" si="13"/>
        <v>NA</v>
      </c>
      <c r="BB51" s="412" t="str">
        <f t="shared" si="13"/>
        <v>NA</v>
      </c>
      <c r="BC51" s="412" t="str">
        <f t="shared" si="13"/>
        <v>NA</v>
      </c>
      <c r="BD51" s="412" t="str">
        <f t="shared" si="13"/>
        <v>NA</v>
      </c>
      <c r="BE51" s="412" t="str">
        <f t="shared" si="13"/>
        <v>NA</v>
      </c>
      <c r="BF51" s="412" t="str">
        <f t="shared" si="13"/>
        <v>NA</v>
      </c>
      <c r="BG51" s="412" t="str">
        <f t="shared" si="13"/>
        <v>NA</v>
      </c>
      <c r="BH51" s="412" t="str">
        <f t="shared" si="13"/>
        <v>NA</v>
      </c>
    </row>
    <row r="52" spans="2:60">
      <c r="C52" t="s">
        <v>1870</v>
      </c>
      <c r="D52" s="400" t="str">
        <f>'CCC Summary (main)'!$C$19</f>
        <v>Yes</v>
      </c>
      <c r="E52" s="24" t="s">
        <v>1871</v>
      </c>
      <c r="F52"/>
      <c r="G52" s="24" t="s">
        <v>572</v>
      </c>
      <c r="H52" s="412">
        <f ca="1">IF($D52="No","NA",H62)</f>
        <v>33912.406737142628</v>
      </c>
      <c r="I52" s="412">
        <f t="shared" ref="I52:AD52" ca="1" si="14">IF($D52="No","NA",I62)</f>
        <v>33912.406737142628</v>
      </c>
      <c r="J52" s="412">
        <f t="shared" ca="1" si="14"/>
        <v>33912.406737142628</v>
      </c>
      <c r="K52" s="412">
        <f t="shared" ca="1" si="14"/>
        <v>33912.406737142628</v>
      </c>
      <c r="L52" s="412">
        <f t="shared" ca="1" si="14"/>
        <v>33912.406737142628</v>
      </c>
      <c r="M52" s="412">
        <f t="shared" ca="1" si="14"/>
        <v>33912.406737142628</v>
      </c>
      <c r="N52" s="412">
        <f t="shared" ca="1" si="14"/>
        <v>33912.406737142628</v>
      </c>
      <c r="O52" s="412">
        <f t="shared" ca="1" si="14"/>
        <v>33912.406737142628</v>
      </c>
      <c r="P52" s="412">
        <f t="shared" ca="1" si="14"/>
        <v>33912.406737142628</v>
      </c>
      <c r="Q52" s="412">
        <f t="shared" ca="1" si="14"/>
        <v>33912.406737142628</v>
      </c>
      <c r="R52" s="412">
        <f t="shared" ca="1" si="14"/>
        <v>33912.406737142628</v>
      </c>
      <c r="S52" s="412">
        <f t="shared" ca="1" si="14"/>
        <v>33912.406737142628</v>
      </c>
      <c r="T52" s="412">
        <f t="shared" ca="1" si="14"/>
        <v>33912.406737142628</v>
      </c>
      <c r="U52" s="412">
        <f t="shared" ca="1" si="14"/>
        <v>33912.406737142628</v>
      </c>
      <c r="V52" s="412">
        <f t="shared" ca="1" si="14"/>
        <v>33912.406737142628</v>
      </c>
      <c r="W52" s="412">
        <f t="shared" ca="1" si="14"/>
        <v>33912.406737142628</v>
      </c>
      <c r="X52" s="412">
        <f t="shared" ca="1" si="14"/>
        <v>33912.406737142628</v>
      </c>
      <c r="Y52" s="412">
        <f t="shared" ca="1" si="14"/>
        <v>33912.406737142628</v>
      </c>
      <c r="Z52" s="412">
        <f t="shared" ca="1" si="14"/>
        <v>33912.406737142628</v>
      </c>
      <c r="AA52" s="412">
        <f t="shared" ca="1" si="14"/>
        <v>33912.406737142628</v>
      </c>
      <c r="AB52" s="412">
        <f t="shared" ca="1" si="14"/>
        <v>33912.406737142628</v>
      </c>
      <c r="AC52" s="412">
        <f t="shared" ca="1" si="14"/>
        <v>33912.406737142628</v>
      </c>
      <c r="AD52" s="412">
        <f t="shared" ca="1" si="14"/>
        <v>33912.406737142628</v>
      </c>
      <c r="AF52" s="26"/>
      <c r="AG52" t="s">
        <v>1870</v>
      </c>
      <c r="AH52" s="400" t="str">
        <f>'CCC Summary (main)'!$C$19</f>
        <v>Yes</v>
      </c>
      <c r="AI52" s="24" t="s">
        <v>1871</v>
      </c>
      <c r="AK52" s="24" t="s">
        <v>572</v>
      </c>
      <c r="AL52" s="412">
        <f ca="1">IF($D52="No","NA",AL62)</f>
        <v>462.15149653243236</v>
      </c>
      <c r="AM52" s="412">
        <f t="shared" ref="AM52:BH52" ca="1" si="15">IF($D52="No","NA",AM62)</f>
        <v>479.87412029326299</v>
      </c>
      <c r="AN52" s="412">
        <f t="shared" ca="1" si="15"/>
        <v>497.59674405409379</v>
      </c>
      <c r="AO52" s="412">
        <f t="shared" ca="1" si="15"/>
        <v>516.68264656575764</v>
      </c>
      <c r="AP52" s="412">
        <f t="shared" ca="1" si="15"/>
        <v>535.76854907742143</v>
      </c>
      <c r="AQ52" s="412">
        <f t="shared" ca="1" si="15"/>
        <v>554.85445158908544</v>
      </c>
      <c r="AR52" s="412">
        <f t="shared" ca="1" si="15"/>
        <v>573.94035410074923</v>
      </c>
      <c r="AS52" s="412">
        <f t="shared" ca="1" si="15"/>
        <v>593.02625661241314</v>
      </c>
      <c r="AT52" s="412">
        <f t="shared" ca="1" si="15"/>
        <v>612.11215912407692</v>
      </c>
      <c r="AU52" s="412">
        <f t="shared" ca="1" si="15"/>
        <v>631.19806163574083</v>
      </c>
      <c r="AV52" s="412">
        <f t="shared" ca="1" si="15"/>
        <v>650.28396414740473</v>
      </c>
      <c r="AW52" s="412">
        <f t="shared" ca="1" si="15"/>
        <v>669.36986665906863</v>
      </c>
      <c r="AX52" s="412">
        <f t="shared" ca="1" si="15"/>
        <v>688.45576917073242</v>
      </c>
      <c r="AY52" s="412">
        <f t="shared" ca="1" si="15"/>
        <v>706.17839293156328</v>
      </c>
      <c r="AZ52" s="412">
        <f t="shared" ca="1" si="15"/>
        <v>723.90101669239391</v>
      </c>
      <c r="BA52" s="412">
        <f t="shared" ca="1" si="15"/>
        <v>741.62364045322477</v>
      </c>
      <c r="BB52" s="412">
        <f t="shared" ca="1" si="15"/>
        <v>759.3462642140554</v>
      </c>
      <c r="BC52" s="412">
        <f t="shared" ca="1" si="15"/>
        <v>777.06888797488614</v>
      </c>
      <c r="BD52" s="412">
        <f t="shared" ca="1" si="15"/>
        <v>794.79151173571699</v>
      </c>
      <c r="BE52" s="412">
        <f t="shared" ca="1" si="15"/>
        <v>812.51413549654751</v>
      </c>
      <c r="BF52" s="412">
        <f t="shared" ca="1" si="15"/>
        <v>830.23675925737848</v>
      </c>
      <c r="BG52" s="412">
        <f t="shared" ca="1" si="15"/>
        <v>847.959383018209</v>
      </c>
      <c r="BH52" s="412">
        <f t="shared" ca="1" si="15"/>
        <v>865.68200677903985</v>
      </c>
    </row>
    <row r="53" spans="2:60">
      <c r="C53" t="s">
        <v>1872</v>
      </c>
      <c r="D53" s="400" t="str">
        <f>'CCC Summary (main)'!$C$20</f>
        <v>Yes</v>
      </c>
      <c r="E53" s="24" t="s">
        <v>1871</v>
      </c>
      <c r="F53"/>
      <c r="G53" s="24" t="s">
        <v>572</v>
      </c>
      <c r="H53" s="412">
        <f t="shared" ref="H53:AD53" si="16">IF($D53="No","NA",H79)</f>
        <v>43322.151111691419</v>
      </c>
      <c r="I53" s="412">
        <f t="shared" si="16"/>
        <v>43311.380888980872</v>
      </c>
      <c r="J53" s="412">
        <f t="shared" si="16"/>
        <v>43300.797054478717</v>
      </c>
      <c r="K53" s="412">
        <f t="shared" si="16"/>
        <v>43287.741332121193</v>
      </c>
      <c r="L53" s="412">
        <f t="shared" si="16"/>
        <v>43274.867651805842</v>
      </c>
      <c r="M53" s="412">
        <f t="shared" si="16"/>
        <v>43262.141491976836</v>
      </c>
      <c r="N53" s="412">
        <f t="shared" si="16"/>
        <v>43249.632394491156</v>
      </c>
      <c r="O53" s="412">
        <f t="shared" si="16"/>
        <v>43237.305339047656</v>
      </c>
      <c r="P53" s="412">
        <f t="shared" si="16"/>
        <v>43221.726287835052</v>
      </c>
      <c r="Q53" s="412">
        <f t="shared" si="16"/>
        <v>43206.325458486099</v>
      </c>
      <c r="R53" s="412">
        <f t="shared" si="16"/>
        <v>43191.187008538232</v>
      </c>
      <c r="S53" s="412">
        <f t="shared" si="16"/>
        <v>43176.268557853866</v>
      </c>
      <c r="T53" s="412">
        <f t="shared" si="16"/>
        <v>43161.570106433028</v>
      </c>
      <c r="U53" s="412">
        <f t="shared" si="16"/>
        <v>43143.273892663055</v>
      </c>
      <c r="V53" s="412">
        <f t="shared" si="16"/>
        <v>43125.284140814678</v>
      </c>
      <c r="W53" s="412">
        <f t="shared" si="16"/>
        <v>43107.550510381552</v>
      </c>
      <c r="X53" s="412">
        <f t="shared" si="16"/>
        <v>43090.073001363664</v>
      </c>
      <c r="Y53" s="412">
        <f t="shared" si="16"/>
        <v>43072.804783689666</v>
      </c>
      <c r="Z53" s="412">
        <f t="shared" si="16"/>
        <v>43051.03523601772</v>
      </c>
      <c r="AA53" s="412">
        <f t="shared" si="16"/>
        <v>43029.568441700176</v>
      </c>
      <c r="AB53" s="412">
        <f t="shared" si="16"/>
        <v>43008.404400737061</v>
      </c>
      <c r="AC53" s="412">
        <f t="shared" si="16"/>
        <v>42987.486374782595</v>
      </c>
      <c r="AD53" s="412">
        <f t="shared" si="16"/>
        <v>42966.928669989553</v>
      </c>
      <c r="AF53" s="26"/>
      <c r="AG53" t="s">
        <v>1872</v>
      </c>
      <c r="AH53" s="400" t="str">
        <f>'CCC Summary (main)'!$C$20</f>
        <v>Yes</v>
      </c>
      <c r="AI53" s="24" t="s">
        <v>1871</v>
      </c>
      <c r="AK53" s="24" t="s">
        <v>572</v>
      </c>
      <c r="AL53" s="412">
        <f>IF($AH53="No","NA",AL79)</f>
        <v>428.29345012272921</v>
      </c>
      <c r="AM53" s="412">
        <f t="shared" ref="AM53:BH53" si="17">IF($AH53="No","NA",AM79)</f>
        <v>457.66342272834925</v>
      </c>
      <c r="AN53" s="412">
        <f t="shared" si="17"/>
        <v>486.84700712557276</v>
      </c>
      <c r="AO53" s="412">
        <f t="shared" si="17"/>
        <v>499.99427890958833</v>
      </c>
      <c r="AP53" s="412">
        <f t="shared" si="17"/>
        <v>512.95950865142913</v>
      </c>
      <c r="AQ53" s="412">
        <f t="shared" si="17"/>
        <v>525.77721790692874</v>
      </c>
      <c r="AR53" s="412">
        <f t="shared" si="17"/>
        <v>538.37786481909814</v>
      </c>
      <c r="AS53" s="412">
        <f t="shared" si="17"/>
        <v>550.79646968909242</v>
      </c>
      <c r="AT53" s="412">
        <f t="shared" si="17"/>
        <v>566.81176136073168</v>
      </c>
      <c r="AU53" s="412">
        <f t="shared" si="17"/>
        <v>582.64883116871613</v>
      </c>
      <c r="AV53" s="412">
        <f t="shared" si="17"/>
        <v>598.22352157561988</v>
      </c>
      <c r="AW53" s="412">
        <f t="shared" si="17"/>
        <v>613.57821271901003</v>
      </c>
      <c r="AX53" s="412">
        <f t="shared" si="17"/>
        <v>628.71290459888678</v>
      </c>
      <c r="AY53" s="412">
        <f t="shared" si="17"/>
        <v>647.43320362876102</v>
      </c>
      <c r="AZ53" s="412">
        <f t="shared" si="17"/>
        <v>665.84704073702972</v>
      </c>
      <c r="BA53" s="412">
        <f t="shared" si="17"/>
        <v>684.00475643005564</v>
      </c>
      <c r="BB53" s="412">
        <f t="shared" si="17"/>
        <v>701.90635070783901</v>
      </c>
      <c r="BC53" s="412">
        <f t="shared" si="17"/>
        <v>719.59865364173254</v>
      </c>
      <c r="BD53" s="412">
        <f t="shared" si="17"/>
        <v>741.73621898028443</v>
      </c>
      <c r="BE53" s="412">
        <f t="shared" si="17"/>
        <v>763.57103096442233</v>
      </c>
      <c r="BF53" s="412">
        <f t="shared" si="17"/>
        <v>785.10308959414692</v>
      </c>
      <c r="BG53" s="412">
        <f t="shared" si="17"/>
        <v>806.38913321521261</v>
      </c>
      <c r="BH53" s="412">
        <f t="shared" si="17"/>
        <v>827.31485567486402</v>
      </c>
    </row>
    <row r="54" spans="2:60">
      <c r="C54" t="s">
        <v>1873</v>
      </c>
      <c r="D54" s="413" t="s">
        <v>139</v>
      </c>
      <c r="E54" s="24" t="s">
        <v>1874</v>
      </c>
      <c r="F54"/>
      <c r="G54" s="24" t="s">
        <v>1875</v>
      </c>
      <c r="H54" s="412">
        <f>Data!E15</f>
        <v>380</v>
      </c>
      <c r="I54" s="412">
        <f>Data!F15</f>
        <v>380</v>
      </c>
      <c r="J54" s="412">
        <f>Data!G15</f>
        <v>380</v>
      </c>
      <c r="K54" s="412">
        <f>Data!H15</f>
        <v>380</v>
      </c>
      <c r="L54" s="412">
        <f>Data!I15</f>
        <v>380</v>
      </c>
      <c r="M54" s="412">
        <f>Data!J15</f>
        <v>380</v>
      </c>
      <c r="N54" s="412">
        <f>Data!K15</f>
        <v>380</v>
      </c>
      <c r="O54" s="412">
        <f>Data!L15</f>
        <v>380</v>
      </c>
      <c r="P54" s="412">
        <f>Data!M15</f>
        <v>380</v>
      </c>
      <c r="Q54" s="412">
        <f>Data!N15</f>
        <v>380</v>
      </c>
      <c r="R54" s="412">
        <f>Data!O15</f>
        <v>380</v>
      </c>
      <c r="S54" s="412">
        <f>Data!P15</f>
        <v>380</v>
      </c>
      <c r="T54" s="412">
        <f>Data!Q15</f>
        <v>380</v>
      </c>
      <c r="U54" s="412">
        <f>Data!R15</f>
        <v>380</v>
      </c>
      <c r="V54" s="412">
        <f>Data!S15</f>
        <v>380</v>
      </c>
      <c r="W54" s="412">
        <f>Data!T15</f>
        <v>380</v>
      </c>
      <c r="X54" s="412">
        <f>Data!U15</f>
        <v>380</v>
      </c>
      <c r="Y54" s="412">
        <f>Data!V15</f>
        <v>380</v>
      </c>
      <c r="Z54" s="412">
        <f>Data!W15</f>
        <v>380</v>
      </c>
      <c r="AA54" s="412">
        <f>Data!X15</f>
        <v>380</v>
      </c>
      <c r="AB54" s="412">
        <f>Data!Y15</f>
        <v>380</v>
      </c>
      <c r="AC54" s="412">
        <f>Data!Z15</f>
        <v>380</v>
      </c>
      <c r="AD54" s="412">
        <f>Data!AA15</f>
        <v>380</v>
      </c>
      <c r="AF54" s="26"/>
      <c r="AG54" t="s">
        <v>1873</v>
      </c>
      <c r="AH54" s="413" t="s">
        <v>139</v>
      </c>
      <c r="AI54" s="24" t="s">
        <v>1874</v>
      </c>
      <c r="AK54" s="24" t="s">
        <v>1875</v>
      </c>
      <c r="AL54" s="412">
        <f>Data!E15</f>
        <v>380</v>
      </c>
      <c r="AM54" s="412">
        <f>Data!F15</f>
        <v>380</v>
      </c>
      <c r="AN54" s="412">
        <f>Data!G15</f>
        <v>380</v>
      </c>
      <c r="AO54" s="412">
        <f>Data!H15</f>
        <v>380</v>
      </c>
      <c r="AP54" s="412">
        <f>Data!I15</f>
        <v>380</v>
      </c>
      <c r="AQ54" s="412">
        <f>Data!J15</f>
        <v>380</v>
      </c>
      <c r="AR54" s="412">
        <f>Data!K15</f>
        <v>380</v>
      </c>
      <c r="AS54" s="412">
        <f>Data!L15</f>
        <v>380</v>
      </c>
      <c r="AT54" s="412">
        <f>Data!M15</f>
        <v>380</v>
      </c>
      <c r="AU54" s="412">
        <f>Data!N15</f>
        <v>380</v>
      </c>
      <c r="AV54" s="412">
        <f>Data!O15</f>
        <v>380</v>
      </c>
      <c r="AW54" s="412">
        <f>Data!P15</f>
        <v>380</v>
      </c>
      <c r="AX54" s="412">
        <f>Data!Q15</f>
        <v>380</v>
      </c>
      <c r="AY54" s="412">
        <f>Data!R15</f>
        <v>380</v>
      </c>
      <c r="AZ54" s="412">
        <f>Data!S15</f>
        <v>380</v>
      </c>
      <c r="BA54" s="412">
        <f>Data!T15</f>
        <v>380</v>
      </c>
      <c r="BB54" s="412">
        <f>Data!U15</f>
        <v>380</v>
      </c>
      <c r="BC54" s="412">
        <f>Data!V15</f>
        <v>380</v>
      </c>
      <c r="BD54" s="412">
        <f>Data!W15</f>
        <v>380</v>
      </c>
      <c r="BE54" s="412">
        <f>Data!X15</f>
        <v>380</v>
      </c>
      <c r="BF54" s="412">
        <f>Data!Y15</f>
        <v>380</v>
      </c>
      <c r="BG54" s="412">
        <f>Data!Z15</f>
        <v>380</v>
      </c>
      <c r="BH54" s="412">
        <f>Data!AA15</f>
        <v>380</v>
      </c>
    </row>
    <row r="55" spans="2:60">
      <c r="C55" t="s">
        <v>1876</v>
      </c>
      <c r="D55"/>
      <c r="E55" s="24" t="s">
        <v>1877</v>
      </c>
      <c r="F55"/>
      <c r="G55" s="24" t="s">
        <v>1878</v>
      </c>
      <c r="H55" s="412">
        <f ca="1">MIN(H51:H54)</f>
        <v>380</v>
      </c>
      <c r="I55" s="412">
        <f t="shared" ref="I55:AD55" ca="1" si="18">MIN(I51:I54)</f>
        <v>380</v>
      </c>
      <c r="J55" s="412">
        <f t="shared" ca="1" si="18"/>
        <v>380</v>
      </c>
      <c r="K55" s="412">
        <f t="shared" ca="1" si="18"/>
        <v>380</v>
      </c>
      <c r="L55" s="412">
        <f t="shared" ca="1" si="18"/>
        <v>380</v>
      </c>
      <c r="M55" s="412">
        <f t="shared" ca="1" si="18"/>
        <v>380</v>
      </c>
      <c r="N55" s="412">
        <f t="shared" ca="1" si="18"/>
        <v>380</v>
      </c>
      <c r="O55" s="412">
        <f t="shared" ca="1" si="18"/>
        <v>380</v>
      </c>
      <c r="P55" s="412">
        <f t="shared" ca="1" si="18"/>
        <v>380</v>
      </c>
      <c r="Q55" s="412">
        <f t="shared" ca="1" si="18"/>
        <v>380</v>
      </c>
      <c r="R55" s="412">
        <f t="shared" ca="1" si="18"/>
        <v>380</v>
      </c>
      <c r="S55" s="412">
        <f t="shared" ca="1" si="18"/>
        <v>380</v>
      </c>
      <c r="T55" s="412">
        <f t="shared" ca="1" si="18"/>
        <v>380</v>
      </c>
      <c r="U55" s="412">
        <f t="shared" ca="1" si="18"/>
        <v>380</v>
      </c>
      <c r="V55" s="412">
        <f t="shared" ca="1" si="18"/>
        <v>380</v>
      </c>
      <c r="W55" s="412">
        <f t="shared" ca="1" si="18"/>
        <v>380</v>
      </c>
      <c r="X55" s="412">
        <f t="shared" ca="1" si="18"/>
        <v>380</v>
      </c>
      <c r="Y55" s="412">
        <f t="shared" ca="1" si="18"/>
        <v>380</v>
      </c>
      <c r="Z55" s="412">
        <f t="shared" ca="1" si="18"/>
        <v>380</v>
      </c>
      <c r="AA55" s="412">
        <f t="shared" ca="1" si="18"/>
        <v>380</v>
      </c>
      <c r="AB55" s="412">
        <f t="shared" ca="1" si="18"/>
        <v>380</v>
      </c>
      <c r="AC55" s="412">
        <f t="shared" ca="1" si="18"/>
        <v>380</v>
      </c>
      <c r="AD55" s="412">
        <f t="shared" ca="1" si="18"/>
        <v>380</v>
      </c>
      <c r="AF55" s="26"/>
      <c r="AG55" t="s">
        <v>1876</v>
      </c>
      <c r="AI55" s="24" t="s">
        <v>1877</v>
      </c>
      <c r="AK55" s="24" t="s">
        <v>1878</v>
      </c>
      <c r="AL55" s="412">
        <f ca="1">MIN(AL51:AL54)</f>
        <v>380</v>
      </c>
      <c r="AM55" s="412">
        <f t="shared" ref="AM55:BH55" ca="1" si="19">MIN(AM51:AM54)</f>
        <v>380</v>
      </c>
      <c r="AN55" s="412">
        <f t="shared" ca="1" si="19"/>
        <v>380</v>
      </c>
      <c r="AO55" s="412">
        <f t="shared" ca="1" si="19"/>
        <v>380</v>
      </c>
      <c r="AP55" s="412">
        <f t="shared" ca="1" si="19"/>
        <v>380</v>
      </c>
      <c r="AQ55" s="412">
        <f t="shared" ca="1" si="19"/>
        <v>380</v>
      </c>
      <c r="AR55" s="412">
        <f t="shared" ca="1" si="19"/>
        <v>380</v>
      </c>
      <c r="AS55" s="412">
        <f t="shared" ca="1" si="19"/>
        <v>380</v>
      </c>
      <c r="AT55" s="412">
        <f t="shared" ca="1" si="19"/>
        <v>380</v>
      </c>
      <c r="AU55" s="412">
        <f t="shared" ca="1" si="19"/>
        <v>380</v>
      </c>
      <c r="AV55" s="412">
        <f t="shared" ca="1" si="19"/>
        <v>380</v>
      </c>
      <c r="AW55" s="412">
        <f t="shared" ca="1" si="19"/>
        <v>380</v>
      </c>
      <c r="AX55" s="412">
        <f t="shared" ca="1" si="19"/>
        <v>380</v>
      </c>
      <c r="AY55" s="412">
        <f t="shared" ca="1" si="19"/>
        <v>380</v>
      </c>
      <c r="AZ55" s="412">
        <f t="shared" ca="1" si="19"/>
        <v>380</v>
      </c>
      <c r="BA55" s="412">
        <f t="shared" ca="1" si="19"/>
        <v>380</v>
      </c>
      <c r="BB55" s="412">
        <f t="shared" ca="1" si="19"/>
        <v>380</v>
      </c>
      <c r="BC55" s="412">
        <f t="shared" ca="1" si="19"/>
        <v>380</v>
      </c>
      <c r="BD55" s="412">
        <f t="shared" ca="1" si="19"/>
        <v>380</v>
      </c>
      <c r="BE55" s="412">
        <f t="shared" ca="1" si="19"/>
        <v>380</v>
      </c>
      <c r="BF55" s="412">
        <f t="shared" ca="1" si="19"/>
        <v>380</v>
      </c>
      <c r="BG55" s="412">
        <f t="shared" ca="1" si="19"/>
        <v>380</v>
      </c>
      <c r="BH55" s="412">
        <f t="shared" ca="1" si="19"/>
        <v>380</v>
      </c>
    </row>
    <row r="56" spans="2:60">
      <c r="D56"/>
      <c r="E56"/>
      <c r="F56"/>
      <c r="G56"/>
      <c r="AF56" s="26"/>
    </row>
    <row r="57" spans="2:60">
      <c r="AF57" s="26"/>
      <c r="AH57" s="24"/>
      <c r="AI57" s="24"/>
      <c r="AJ57" s="411"/>
      <c r="AK57" s="411"/>
    </row>
    <row r="58" spans="2:60" ht="15">
      <c r="C58" s="383" t="s">
        <v>1879</v>
      </c>
      <c r="D58" s="385"/>
      <c r="E58" s="385"/>
      <c r="F58" s="386"/>
      <c r="G58" s="386"/>
      <c r="AF58" s="26"/>
      <c r="AG58" s="383" t="s">
        <v>1879</v>
      </c>
      <c r="AH58" s="385"/>
      <c r="AI58" s="385"/>
      <c r="AJ58" s="386"/>
      <c r="AK58" s="386"/>
    </row>
    <row r="59" spans="2:60" s="414" customFormat="1" ht="28.5">
      <c r="B59" s="26"/>
      <c r="C59" s="387" t="s">
        <v>1818</v>
      </c>
      <c r="D59" s="389" t="s">
        <v>1819</v>
      </c>
      <c r="E59" s="389" t="s">
        <v>1531</v>
      </c>
      <c r="F59" s="389" t="s">
        <v>21</v>
      </c>
      <c r="G59" s="390" t="s">
        <v>1596</v>
      </c>
      <c r="H59" s="391">
        <v>2028</v>
      </c>
      <c r="I59" s="391">
        <v>2029</v>
      </c>
      <c r="J59" s="391">
        <v>2030</v>
      </c>
      <c r="K59" s="391">
        <v>2031</v>
      </c>
      <c r="L59" s="391">
        <v>2032</v>
      </c>
      <c r="M59" s="391">
        <v>2033</v>
      </c>
      <c r="N59" s="391">
        <v>2034</v>
      </c>
      <c r="O59" s="391">
        <v>2035</v>
      </c>
      <c r="P59" s="392">
        <v>2036</v>
      </c>
      <c r="Q59" s="392">
        <v>2037</v>
      </c>
      <c r="R59" s="391">
        <v>2038</v>
      </c>
      <c r="S59" s="391">
        <v>2039</v>
      </c>
      <c r="T59" s="391">
        <v>2040</v>
      </c>
      <c r="U59" s="391">
        <v>2041</v>
      </c>
      <c r="V59" s="391">
        <v>2042</v>
      </c>
      <c r="W59" s="391">
        <v>2043</v>
      </c>
      <c r="X59" s="391">
        <v>2044</v>
      </c>
      <c r="Y59" s="391">
        <v>2045</v>
      </c>
      <c r="Z59" s="392">
        <v>2046</v>
      </c>
      <c r="AA59" s="392">
        <v>2047</v>
      </c>
      <c r="AB59" s="391">
        <v>2048</v>
      </c>
      <c r="AC59" s="391">
        <v>2049</v>
      </c>
      <c r="AD59" s="391">
        <v>2050</v>
      </c>
      <c r="AF59" s="26"/>
      <c r="AG59" s="387" t="s">
        <v>1818</v>
      </c>
      <c r="AH59" s="389" t="s">
        <v>1819</v>
      </c>
      <c r="AI59" s="389" t="s">
        <v>1531</v>
      </c>
      <c r="AJ59" s="389" t="s">
        <v>21</v>
      </c>
      <c r="AK59" s="390" t="s">
        <v>1596</v>
      </c>
      <c r="AL59" s="391">
        <v>2028</v>
      </c>
      <c r="AM59" s="391">
        <v>2029</v>
      </c>
      <c r="AN59" s="391">
        <v>2030</v>
      </c>
      <c r="AO59" s="391">
        <v>2031</v>
      </c>
      <c r="AP59" s="391">
        <v>2032</v>
      </c>
      <c r="AQ59" s="391">
        <v>2033</v>
      </c>
      <c r="AR59" s="391">
        <v>2034</v>
      </c>
      <c r="AS59" s="391">
        <v>2035</v>
      </c>
      <c r="AT59" s="392">
        <v>2036</v>
      </c>
      <c r="AU59" s="392">
        <v>2037</v>
      </c>
      <c r="AV59" s="391">
        <v>2038</v>
      </c>
      <c r="AW59" s="391">
        <v>2039</v>
      </c>
      <c r="AX59" s="391">
        <v>2040</v>
      </c>
      <c r="AY59" s="391">
        <v>2041</v>
      </c>
      <c r="AZ59" s="391">
        <v>2042</v>
      </c>
      <c r="BA59" s="391">
        <v>2043</v>
      </c>
      <c r="BB59" s="391">
        <v>2044</v>
      </c>
      <c r="BC59" s="391">
        <v>2045</v>
      </c>
      <c r="BD59" s="392">
        <v>2046</v>
      </c>
      <c r="BE59" s="392">
        <v>2047</v>
      </c>
      <c r="BF59" s="391">
        <v>2048</v>
      </c>
      <c r="BG59" s="391">
        <v>2049</v>
      </c>
      <c r="BH59" s="391">
        <v>2050</v>
      </c>
    </row>
    <row r="60" spans="2:60" s="414" customFormat="1">
      <c r="B60" s="26"/>
      <c r="C60" s="337" t="s">
        <v>1880</v>
      </c>
      <c r="D60" s="385"/>
      <c r="E60" s="385" t="s">
        <v>1881</v>
      </c>
      <c r="F60" s="386" t="s">
        <v>1882</v>
      </c>
      <c r="G60" s="386" t="s">
        <v>587</v>
      </c>
      <c r="H60" s="398">
        <f ca="1">H$37-H$23</f>
        <v>2487.5621890547263</v>
      </c>
      <c r="I60" s="398">
        <f t="shared" ref="I60:AD60" ca="1" si="20">I$37-I$23</f>
        <v>2487.5621890547263</v>
      </c>
      <c r="J60" s="398">
        <f t="shared" ca="1" si="20"/>
        <v>2487.5621890547263</v>
      </c>
      <c r="K60" s="398">
        <f t="shared" ca="1" si="20"/>
        <v>2487.5621890547263</v>
      </c>
      <c r="L60" s="398">
        <f t="shared" ca="1" si="20"/>
        <v>2487.5621890547263</v>
      </c>
      <c r="M60" s="398">
        <f t="shared" ca="1" si="20"/>
        <v>2487.5621890547263</v>
      </c>
      <c r="N60" s="398">
        <f t="shared" ca="1" si="20"/>
        <v>2487.5621890547263</v>
      </c>
      <c r="O60" s="398">
        <f t="shared" ca="1" si="20"/>
        <v>2487.5621890547263</v>
      </c>
      <c r="P60" s="398">
        <f t="shared" ca="1" si="20"/>
        <v>2487.5621890547263</v>
      </c>
      <c r="Q60" s="398">
        <f t="shared" ca="1" si="20"/>
        <v>2487.5621890547263</v>
      </c>
      <c r="R60" s="398">
        <f t="shared" ca="1" si="20"/>
        <v>2487.5621890547263</v>
      </c>
      <c r="S60" s="398">
        <f t="shared" ca="1" si="20"/>
        <v>2487.5621890547263</v>
      </c>
      <c r="T60" s="398">
        <f t="shared" ca="1" si="20"/>
        <v>2487.5621890547263</v>
      </c>
      <c r="U60" s="398">
        <f t="shared" ca="1" si="20"/>
        <v>2487.5621890547263</v>
      </c>
      <c r="V60" s="398">
        <f t="shared" ca="1" si="20"/>
        <v>2487.5621890547263</v>
      </c>
      <c r="W60" s="398">
        <f t="shared" ca="1" si="20"/>
        <v>2487.5621890547263</v>
      </c>
      <c r="X60" s="398">
        <f t="shared" ca="1" si="20"/>
        <v>2487.5621890547263</v>
      </c>
      <c r="Y60" s="398">
        <f t="shared" ca="1" si="20"/>
        <v>2487.5621890547263</v>
      </c>
      <c r="Z60" s="398">
        <f t="shared" ca="1" si="20"/>
        <v>2487.5621890547263</v>
      </c>
      <c r="AA60" s="398">
        <f t="shared" ca="1" si="20"/>
        <v>2487.5621890547263</v>
      </c>
      <c r="AB60" s="398">
        <f t="shared" ca="1" si="20"/>
        <v>2487.5621890547263</v>
      </c>
      <c r="AC60" s="398">
        <f t="shared" ca="1" si="20"/>
        <v>2487.5621890547263</v>
      </c>
      <c r="AD60" s="398">
        <f t="shared" ca="1" si="20"/>
        <v>2487.5621890547263</v>
      </c>
      <c r="AF60" s="26"/>
      <c r="AG60" s="337" t="s">
        <v>1880</v>
      </c>
      <c r="AH60" s="385"/>
      <c r="AI60" s="385" t="s">
        <v>1881</v>
      </c>
      <c r="AJ60" s="386" t="s">
        <v>1882</v>
      </c>
      <c r="AK60" s="386" t="s">
        <v>587</v>
      </c>
      <c r="AL60" s="398">
        <f ca="1">AL$37-AL$23</f>
        <v>33.900000000000006</v>
      </c>
      <c r="AM60" s="398">
        <f t="shared" ref="AM60:BH60" ca="1" si="21">AM$37-AM$23</f>
        <v>35.199999999999996</v>
      </c>
      <c r="AN60" s="398">
        <f t="shared" ca="1" si="21"/>
        <v>36.5</v>
      </c>
      <c r="AO60" s="398">
        <f t="shared" ca="1" si="21"/>
        <v>37.9</v>
      </c>
      <c r="AP60" s="398">
        <f t="shared" ca="1" si="21"/>
        <v>39.299999999999997</v>
      </c>
      <c r="AQ60" s="398">
        <f t="shared" ca="1" si="21"/>
        <v>40.700000000000003</v>
      </c>
      <c r="AR60" s="398">
        <f t="shared" ca="1" si="21"/>
        <v>42.1</v>
      </c>
      <c r="AS60" s="398">
        <f t="shared" ca="1" si="21"/>
        <v>43.5</v>
      </c>
      <c r="AT60" s="398">
        <f t="shared" ca="1" si="21"/>
        <v>44.9</v>
      </c>
      <c r="AU60" s="398">
        <f t="shared" ca="1" si="21"/>
        <v>46.3</v>
      </c>
      <c r="AV60" s="398">
        <f t="shared" ca="1" si="21"/>
        <v>47.7</v>
      </c>
      <c r="AW60" s="398">
        <f t="shared" ca="1" si="21"/>
        <v>49.1</v>
      </c>
      <c r="AX60" s="398">
        <f t="shared" ca="1" si="21"/>
        <v>50.5</v>
      </c>
      <c r="AY60" s="398">
        <f t="shared" ca="1" si="21"/>
        <v>51.800000000000004</v>
      </c>
      <c r="AZ60" s="398">
        <f t="shared" ca="1" si="21"/>
        <v>53.099999999999994</v>
      </c>
      <c r="BA60" s="398">
        <f t="shared" ca="1" si="21"/>
        <v>54.400000000000006</v>
      </c>
      <c r="BB60" s="398">
        <f t="shared" ca="1" si="21"/>
        <v>55.699999999999996</v>
      </c>
      <c r="BC60" s="398">
        <f t="shared" ca="1" si="21"/>
        <v>57</v>
      </c>
      <c r="BD60" s="398">
        <f t="shared" ca="1" si="21"/>
        <v>58.300000000000004</v>
      </c>
      <c r="BE60" s="398">
        <f t="shared" ca="1" si="21"/>
        <v>59.599999999999994</v>
      </c>
      <c r="BF60" s="398">
        <f t="shared" ca="1" si="21"/>
        <v>60.900000000000006</v>
      </c>
      <c r="BG60" s="398">
        <f t="shared" ca="1" si="21"/>
        <v>62.199999999999996</v>
      </c>
      <c r="BH60" s="398">
        <f t="shared" ca="1" si="21"/>
        <v>63.5</v>
      </c>
    </row>
    <row r="61" spans="2:60">
      <c r="C61" s="337" t="s">
        <v>1883</v>
      </c>
      <c r="D61" s="385"/>
      <c r="E61" s="385"/>
      <c r="F61" s="386" t="s">
        <v>1618</v>
      </c>
      <c r="G61" s="386" t="s">
        <v>581</v>
      </c>
      <c r="H61" s="398">
        <f>H$20-H$35</f>
        <v>7.3352570000000006E-2</v>
      </c>
      <c r="I61" s="398">
        <f t="shared" ref="I61:AD61" si="22">I$20-I$35</f>
        <v>7.3352570000000006E-2</v>
      </c>
      <c r="J61" s="398">
        <f t="shared" si="22"/>
        <v>7.3352570000000006E-2</v>
      </c>
      <c r="K61" s="398">
        <f t="shared" si="22"/>
        <v>7.3352570000000006E-2</v>
      </c>
      <c r="L61" s="398">
        <f t="shared" si="22"/>
        <v>7.3352570000000006E-2</v>
      </c>
      <c r="M61" s="398">
        <f t="shared" si="22"/>
        <v>7.3352570000000006E-2</v>
      </c>
      <c r="N61" s="398">
        <f t="shared" si="22"/>
        <v>7.3352570000000006E-2</v>
      </c>
      <c r="O61" s="398">
        <f t="shared" si="22"/>
        <v>7.3352570000000006E-2</v>
      </c>
      <c r="P61" s="398">
        <f t="shared" si="22"/>
        <v>7.3352570000000006E-2</v>
      </c>
      <c r="Q61" s="398">
        <f t="shared" si="22"/>
        <v>7.3352570000000006E-2</v>
      </c>
      <c r="R61" s="398">
        <f t="shared" si="22"/>
        <v>7.3352570000000006E-2</v>
      </c>
      <c r="S61" s="398">
        <f t="shared" si="22"/>
        <v>7.3352570000000006E-2</v>
      </c>
      <c r="T61" s="398">
        <f t="shared" si="22"/>
        <v>7.3352570000000006E-2</v>
      </c>
      <c r="U61" s="398">
        <f t="shared" si="22"/>
        <v>7.3352570000000006E-2</v>
      </c>
      <c r="V61" s="398">
        <f t="shared" si="22"/>
        <v>7.3352570000000006E-2</v>
      </c>
      <c r="W61" s="398">
        <f t="shared" si="22"/>
        <v>7.3352570000000006E-2</v>
      </c>
      <c r="X61" s="398">
        <f t="shared" si="22"/>
        <v>7.3352570000000006E-2</v>
      </c>
      <c r="Y61" s="398">
        <f t="shared" si="22"/>
        <v>7.3352570000000006E-2</v>
      </c>
      <c r="Z61" s="398">
        <f t="shared" si="22"/>
        <v>7.3352570000000006E-2</v>
      </c>
      <c r="AA61" s="398">
        <f t="shared" si="22"/>
        <v>7.3352570000000006E-2</v>
      </c>
      <c r="AB61" s="398">
        <f t="shared" si="22"/>
        <v>7.3352570000000006E-2</v>
      </c>
      <c r="AC61" s="398">
        <f t="shared" si="22"/>
        <v>7.3352570000000006E-2</v>
      </c>
      <c r="AD61" s="398">
        <f t="shared" si="22"/>
        <v>7.3352570000000006E-2</v>
      </c>
      <c r="AF61" s="26"/>
      <c r="AG61" s="337" t="s">
        <v>1883</v>
      </c>
      <c r="AH61" s="385"/>
      <c r="AI61" s="385"/>
      <c r="AJ61" s="386" t="s">
        <v>1618</v>
      </c>
      <c r="AK61" s="386" t="s">
        <v>581</v>
      </c>
      <c r="AL61" s="398">
        <f>AL$20-AL$35</f>
        <v>7.3352570000000006E-2</v>
      </c>
      <c r="AM61" s="398">
        <f t="shared" ref="AM61:BH61" si="23">AM$20-AM$35</f>
        <v>7.3352570000000006E-2</v>
      </c>
      <c r="AN61" s="398">
        <f t="shared" si="23"/>
        <v>7.3352570000000006E-2</v>
      </c>
      <c r="AO61" s="398">
        <f t="shared" si="23"/>
        <v>7.3352570000000006E-2</v>
      </c>
      <c r="AP61" s="398">
        <f t="shared" si="23"/>
        <v>7.3352570000000006E-2</v>
      </c>
      <c r="AQ61" s="398">
        <f t="shared" si="23"/>
        <v>7.3352570000000006E-2</v>
      </c>
      <c r="AR61" s="398">
        <f t="shared" si="23"/>
        <v>7.3352570000000006E-2</v>
      </c>
      <c r="AS61" s="398">
        <f t="shared" si="23"/>
        <v>7.3352570000000006E-2</v>
      </c>
      <c r="AT61" s="398">
        <f t="shared" si="23"/>
        <v>7.3352570000000006E-2</v>
      </c>
      <c r="AU61" s="398">
        <f t="shared" si="23"/>
        <v>7.3352570000000006E-2</v>
      </c>
      <c r="AV61" s="398">
        <f t="shared" si="23"/>
        <v>7.3352570000000006E-2</v>
      </c>
      <c r="AW61" s="398">
        <f t="shared" si="23"/>
        <v>7.3352570000000006E-2</v>
      </c>
      <c r="AX61" s="398">
        <f t="shared" si="23"/>
        <v>7.3352570000000006E-2</v>
      </c>
      <c r="AY61" s="398">
        <f t="shared" si="23"/>
        <v>7.3352570000000006E-2</v>
      </c>
      <c r="AZ61" s="398">
        <f t="shared" si="23"/>
        <v>7.3352570000000006E-2</v>
      </c>
      <c r="BA61" s="398">
        <f t="shared" si="23"/>
        <v>7.3352570000000006E-2</v>
      </c>
      <c r="BB61" s="398">
        <f t="shared" si="23"/>
        <v>7.3352570000000006E-2</v>
      </c>
      <c r="BC61" s="398">
        <f t="shared" si="23"/>
        <v>7.3352570000000006E-2</v>
      </c>
      <c r="BD61" s="398">
        <f t="shared" si="23"/>
        <v>7.3352570000000006E-2</v>
      </c>
      <c r="BE61" s="398">
        <f t="shared" si="23"/>
        <v>7.3352570000000006E-2</v>
      </c>
      <c r="BF61" s="398">
        <f t="shared" si="23"/>
        <v>7.3352570000000006E-2</v>
      </c>
      <c r="BG61" s="398">
        <f t="shared" si="23"/>
        <v>7.3352570000000006E-2</v>
      </c>
      <c r="BH61" s="398">
        <f t="shared" si="23"/>
        <v>7.3352570000000006E-2</v>
      </c>
    </row>
    <row r="62" spans="2:60" ht="15">
      <c r="B62" s="415" t="s">
        <v>1884</v>
      </c>
      <c r="C62" s="337" t="s">
        <v>1885</v>
      </c>
      <c r="D62" s="385"/>
      <c r="E62" s="385" t="s">
        <v>1625</v>
      </c>
      <c r="F62" s="386" t="s">
        <v>1624</v>
      </c>
      <c r="G62" s="386" t="s">
        <v>572</v>
      </c>
      <c r="H62" s="398">
        <f ca="1">H60/H61</f>
        <v>33912.406737142628</v>
      </c>
      <c r="I62" s="398">
        <f t="shared" ref="I62:AD62" ca="1" si="24">I60/I61</f>
        <v>33912.406737142628</v>
      </c>
      <c r="J62" s="398">
        <f t="shared" ca="1" si="24"/>
        <v>33912.406737142628</v>
      </c>
      <c r="K62" s="398">
        <f t="shared" ca="1" si="24"/>
        <v>33912.406737142628</v>
      </c>
      <c r="L62" s="398">
        <f t="shared" ca="1" si="24"/>
        <v>33912.406737142628</v>
      </c>
      <c r="M62" s="398">
        <f t="shared" ca="1" si="24"/>
        <v>33912.406737142628</v>
      </c>
      <c r="N62" s="398">
        <f t="shared" ca="1" si="24"/>
        <v>33912.406737142628</v>
      </c>
      <c r="O62" s="398">
        <f t="shared" ca="1" si="24"/>
        <v>33912.406737142628</v>
      </c>
      <c r="P62" s="398">
        <f t="shared" ca="1" si="24"/>
        <v>33912.406737142628</v>
      </c>
      <c r="Q62" s="398">
        <f t="shared" ca="1" si="24"/>
        <v>33912.406737142628</v>
      </c>
      <c r="R62" s="398">
        <f t="shared" ca="1" si="24"/>
        <v>33912.406737142628</v>
      </c>
      <c r="S62" s="398">
        <f t="shared" ca="1" si="24"/>
        <v>33912.406737142628</v>
      </c>
      <c r="T62" s="398">
        <f t="shared" ca="1" si="24"/>
        <v>33912.406737142628</v>
      </c>
      <c r="U62" s="398">
        <f t="shared" ca="1" si="24"/>
        <v>33912.406737142628</v>
      </c>
      <c r="V62" s="398">
        <f t="shared" ca="1" si="24"/>
        <v>33912.406737142628</v>
      </c>
      <c r="W62" s="398">
        <f t="shared" ca="1" si="24"/>
        <v>33912.406737142628</v>
      </c>
      <c r="X62" s="398">
        <f t="shared" ca="1" si="24"/>
        <v>33912.406737142628</v>
      </c>
      <c r="Y62" s="398">
        <f t="shared" ca="1" si="24"/>
        <v>33912.406737142628</v>
      </c>
      <c r="Z62" s="398">
        <f t="shared" ca="1" si="24"/>
        <v>33912.406737142628</v>
      </c>
      <c r="AA62" s="398">
        <f t="shared" ca="1" si="24"/>
        <v>33912.406737142628</v>
      </c>
      <c r="AB62" s="398">
        <f t="shared" ca="1" si="24"/>
        <v>33912.406737142628</v>
      </c>
      <c r="AC62" s="398">
        <f t="shared" ca="1" si="24"/>
        <v>33912.406737142628</v>
      </c>
      <c r="AD62" s="398">
        <f t="shared" ca="1" si="24"/>
        <v>33912.406737142628</v>
      </c>
      <c r="AF62" s="415" t="s">
        <v>1884</v>
      </c>
      <c r="AG62" s="337" t="s">
        <v>1885</v>
      </c>
      <c r="AH62" s="385"/>
      <c r="AI62" s="385" t="s">
        <v>1625</v>
      </c>
      <c r="AJ62" s="386" t="s">
        <v>1624</v>
      </c>
      <c r="AK62" s="386" t="s">
        <v>572</v>
      </c>
      <c r="AL62" s="398">
        <f ca="1">AL60/AL61</f>
        <v>462.15149653243236</v>
      </c>
      <c r="AM62" s="398">
        <f t="shared" ref="AM62:BH62" ca="1" si="25">AM60/AM61</f>
        <v>479.87412029326299</v>
      </c>
      <c r="AN62" s="398">
        <f t="shared" ca="1" si="25"/>
        <v>497.59674405409379</v>
      </c>
      <c r="AO62" s="398">
        <f t="shared" ca="1" si="25"/>
        <v>516.68264656575764</v>
      </c>
      <c r="AP62" s="398">
        <f t="shared" ca="1" si="25"/>
        <v>535.76854907742143</v>
      </c>
      <c r="AQ62" s="398">
        <f t="shared" ca="1" si="25"/>
        <v>554.85445158908544</v>
      </c>
      <c r="AR62" s="398">
        <f t="shared" ca="1" si="25"/>
        <v>573.94035410074923</v>
      </c>
      <c r="AS62" s="398">
        <f t="shared" ca="1" si="25"/>
        <v>593.02625661241314</v>
      </c>
      <c r="AT62" s="398">
        <f t="shared" ca="1" si="25"/>
        <v>612.11215912407692</v>
      </c>
      <c r="AU62" s="398">
        <f t="shared" ca="1" si="25"/>
        <v>631.19806163574083</v>
      </c>
      <c r="AV62" s="398">
        <f t="shared" ca="1" si="25"/>
        <v>650.28396414740473</v>
      </c>
      <c r="AW62" s="398">
        <f t="shared" ca="1" si="25"/>
        <v>669.36986665906863</v>
      </c>
      <c r="AX62" s="398">
        <f t="shared" ca="1" si="25"/>
        <v>688.45576917073242</v>
      </c>
      <c r="AY62" s="398">
        <f t="shared" ca="1" si="25"/>
        <v>706.17839293156328</v>
      </c>
      <c r="AZ62" s="398">
        <f t="shared" ca="1" si="25"/>
        <v>723.90101669239391</v>
      </c>
      <c r="BA62" s="398">
        <f t="shared" ca="1" si="25"/>
        <v>741.62364045322477</v>
      </c>
      <c r="BB62" s="398">
        <f t="shared" ca="1" si="25"/>
        <v>759.3462642140554</v>
      </c>
      <c r="BC62" s="398">
        <f t="shared" ca="1" si="25"/>
        <v>777.06888797488614</v>
      </c>
      <c r="BD62" s="398">
        <f t="shared" ca="1" si="25"/>
        <v>794.79151173571699</v>
      </c>
      <c r="BE62" s="398">
        <f t="shared" ca="1" si="25"/>
        <v>812.51413549654751</v>
      </c>
      <c r="BF62" s="398">
        <f t="shared" ca="1" si="25"/>
        <v>830.23675925737848</v>
      </c>
      <c r="BG62" s="398">
        <f t="shared" ca="1" si="25"/>
        <v>847.959383018209</v>
      </c>
      <c r="BH62" s="398">
        <f t="shared" ca="1" si="25"/>
        <v>865.68200677903985</v>
      </c>
    </row>
    <row r="63" spans="2:60">
      <c r="C63" s="337" t="s">
        <v>1886</v>
      </c>
      <c r="D63" s="385"/>
      <c r="E63" s="385" t="s">
        <v>1887</v>
      </c>
      <c r="F63" s="386" t="s">
        <v>1888</v>
      </c>
      <c r="G63" s="386" t="s">
        <v>1875</v>
      </c>
      <c r="H63" s="398">
        <f ca="1">MIN(H62,Data!E$15)</f>
        <v>380</v>
      </c>
      <c r="I63" s="398">
        <f ca="1">MIN(I62,Data!F$15)</f>
        <v>380</v>
      </c>
      <c r="J63" s="398">
        <f ca="1">MIN(J62,Data!G$15)</f>
        <v>380</v>
      </c>
      <c r="K63" s="398">
        <f ca="1">MIN(K62,Data!H$15)</f>
        <v>380</v>
      </c>
      <c r="L63" s="398">
        <f ca="1">MIN(L62,Data!I$15)</f>
        <v>380</v>
      </c>
      <c r="M63" s="398">
        <f ca="1">MIN(M62,Data!J$15)</f>
        <v>380</v>
      </c>
      <c r="N63" s="398">
        <f ca="1">MIN(N62,Data!K$15)</f>
        <v>380</v>
      </c>
      <c r="O63" s="398">
        <f ca="1">MIN(O62,Data!L$15)</f>
        <v>380</v>
      </c>
      <c r="P63" s="398">
        <f ca="1">MIN(P62,Data!M$15)</f>
        <v>380</v>
      </c>
      <c r="Q63" s="398">
        <f ca="1">MIN(Q62,Data!N$15)</f>
        <v>380</v>
      </c>
      <c r="R63" s="398">
        <f ca="1">MIN(R62,Data!O$15)</f>
        <v>380</v>
      </c>
      <c r="S63" s="398">
        <f ca="1">MIN(S62,Data!P$15)</f>
        <v>380</v>
      </c>
      <c r="T63" s="398">
        <f ca="1">MIN(T62,Data!Q$15)</f>
        <v>380</v>
      </c>
      <c r="U63" s="398">
        <f ca="1">MIN(U62,Data!R$15)</f>
        <v>380</v>
      </c>
      <c r="V63" s="398">
        <f ca="1">MIN(V62,Data!S$15)</f>
        <v>380</v>
      </c>
      <c r="W63" s="398">
        <f ca="1">MIN(W62,Data!T$15)</f>
        <v>380</v>
      </c>
      <c r="X63" s="398">
        <f ca="1">MIN(X62,Data!U$15)</f>
        <v>380</v>
      </c>
      <c r="Y63" s="398">
        <f ca="1">MIN(Y62,Data!V$15)</f>
        <v>380</v>
      </c>
      <c r="Z63" s="398">
        <f ca="1">MIN(Z62,Data!W$15)</f>
        <v>380</v>
      </c>
      <c r="AA63" s="398">
        <f ca="1">MIN(AA62,Data!X$15)</f>
        <v>380</v>
      </c>
      <c r="AB63" s="398">
        <f ca="1">MIN(AB62,Data!Y$15)</f>
        <v>380</v>
      </c>
      <c r="AC63" s="398">
        <f ca="1">MIN(AC62,Data!Z$15)</f>
        <v>380</v>
      </c>
      <c r="AD63" s="398">
        <f ca="1">MIN(AD62,Data!AA$15)</f>
        <v>380</v>
      </c>
      <c r="AF63" s="26"/>
      <c r="AG63" s="337" t="s">
        <v>1886</v>
      </c>
      <c r="AH63" s="385"/>
      <c r="AI63" s="385" t="s">
        <v>1887</v>
      </c>
      <c r="AJ63" s="386" t="s">
        <v>1888</v>
      </c>
      <c r="AK63" s="386" t="s">
        <v>1875</v>
      </c>
      <c r="AL63" s="398">
        <f ca="1">MIN(AL62,Data!E$15)</f>
        <v>380</v>
      </c>
      <c r="AM63" s="398">
        <f ca="1">MIN(AM62,Data!F$15)</f>
        <v>380</v>
      </c>
      <c r="AN63" s="398">
        <f ca="1">MIN(AN62,Data!G$15)</f>
        <v>380</v>
      </c>
      <c r="AO63" s="398">
        <f ca="1">MIN(AO62,Data!H$15)</f>
        <v>380</v>
      </c>
      <c r="AP63" s="398">
        <f ca="1">MIN(AP62,Data!I$15)</f>
        <v>380</v>
      </c>
      <c r="AQ63" s="398">
        <f ca="1">MIN(AQ62,Data!J$15)</f>
        <v>380</v>
      </c>
      <c r="AR63" s="398">
        <f ca="1">MIN(AR62,Data!K$15)</f>
        <v>380</v>
      </c>
      <c r="AS63" s="398">
        <f ca="1">MIN(AS62,Data!L$15)</f>
        <v>380</v>
      </c>
      <c r="AT63" s="398">
        <f ca="1">MIN(AT62,Data!M$15)</f>
        <v>380</v>
      </c>
      <c r="AU63" s="398">
        <f ca="1">MIN(AU62,Data!N$15)</f>
        <v>380</v>
      </c>
      <c r="AV63" s="398">
        <f ca="1">MIN(AV62,Data!O$15)</f>
        <v>380</v>
      </c>
      <c r="AW63" s="398">
        <f ca="1">MIN(AW62,Data!P$15)</f>
        <v>380</v>
      </c>
      <c r="AX63" s="398">
        <f ca="1">MIN(AX62,Data!Q$15)</f>
        <v>380</v>
      </c>
      <c r="AY63" s="398">
        <f ca="1">MIN(AY62,Data!R$15)</f>
        <v>380</v>
      </c>
      <c r="AZ63" s="398">
        <f ca="1">MIN(AZ62,Data!S$15)</f>
        <v>380</v>
      </c>
      <c r="BA63" s="398">
        <f ca="1">MIN(BA62,Data!T$15)</f>
        <v>380</v>
      </c>
      <c r="BB63" s="398">
        <f ca="1">MIN(BB62,Data!U$15)</f>
        <v>380</v>
      </c>
      <c r="BC63" s="398">
        <f ca="1">MIN(BC62,Data!V$15)</f>
        <v>380</v>
      </c>
      <c r="BD63" s="398">
        <f ca="1">MIN(BD62,Data!W$15)</f>
        <v>380</v>
      </c>
      <c r="BE63" s="398">
        <f ca="1">MIN(BE62,Data!X$15)</f>
        <v>380</v>
      </c>
      <c r="BF63" s="398">
        <f ca="1">MIN(BF62,Data!Y$15)</f>
        <v>380</v>
      </c>
      <c r="BG63" s="398">
        <f ca="1">MIN(BG62,Data!Z$15)</f>
        <v>380</v>
      </c>
      <c r="BH63" s="398">
        <f ca="1">MIN(BH62,Data!AA$15)</f>
        <v>380</v>
      </c>
    </row>
    <row r="64" spans="2:60">
      <c r="C64" s="337" t="s">
        <v>1889</v>
      </c>
      <c r="D64" s="385"/>
      <c r="E64" s="385" t="s">
        <v>1890</v>
      </c>
      <c r="F64" s="386" t="s">
        <v>1888</v>
      </c>
      <c r="G64" s="386"/>
      <c r="H64" s="398" t="str">
        <f ca="1">IF(H63=Data!E$15,Data!$B$15,$C$62)</f>
        <v>Tier 2 Remedial Unit Cost</v>
      </c>
      <c r="I64" s="398" t="str">
        <f ca="1">IF(I63=Data!F$15,Data!$B$15,$C$62)</f>
        <v>Tier 2 Remedial Unit Cost</v>
      </c>
      <c r="J64" s="398" t="str">
        <f ca="1">IF(J63=Data!G$15,Data!$B$15,$C$62)</f>
        <v>Tier 2 Remedial Unit Cost</v>
      </c>
      <c r="K64" s="398" t="str">
        <f ca="1">IF(K63=Data!H$15,Data!$B$15,$C$62)</f>
        <v>Tier 2 Remedial Unit Cost</v>
      </c>
      <c r="L64" s="398" t="str">
        <f ca="1">IF(L63=Data!I$15,Data!$B$15,$C$62)</f>
        <v>Tier 2 Remedial Unit Cost</v>
      </c>
      <c r="M64" s="398" t="str">
        <f ca="1">IF(M63=Data!J$15,Data!$B$15,$C$62)</f>
        <v>Tier 2 Remedial Unit Cost</v>
      </c>
      <c r="N64" s="398" t="str">
        <f ca="1">IF(N63=Data!K$15,Data!$B$15,$C$62)</f>
        <v>Tier 2 Remedial Unit Cost</v>
      </c>
      <c r="O64" s="398" t="str">
        <f ca="1">IF(O63=Data!L$15,Data!$B$15,$C$62)</f>
        <v>Tier 2 Remedial Unit Cost</v>
      </c>
      <c r="P64" s="398" t="str">
        <f ca="1">IF(P63=Data!M$15,Data!$B$15,$C$62)</f>
        <v>Tier 2 Remedial Unit Cost</v>
      </c>
      <c r="Q64" s="398" t="str">
        <f ca="1">IF(Q63=Data!N$15,Data!$B$15,$C$62)</f>
        <v>Tier 2 Remedial Unit Cost</v>
      </c>
      <c r="R64" s="398" t="str">
        <f ca="1">IF(R63=Data!O$15,Data!$B$15,$C$62)</f>
        <v>Tier 2 Remedial Unit Cost</v>
      </c>
      <c r="S64" s="398" t="str">
        <f ca="1">IF(S63=Data!P$15,Data!$B$15,$C$62)</f>
        <v>Tier 2 Remedial Unit Cost</v>
      </c>
      <c r="T64" s="398" t="str">
        <f ca="1">IF(T63=Data!Q$15,Data!$B$15,$C$62)</f>
        <v>Tier 2 Remedial Unit Cost</v>
      </c>
      <c r="U64" s="398" t="str">
        <f ca="1">IF(U63=Data!R$15,Data!$B$15,$C$62)</f>
        <v>Tier 2 Remedial Unit Cost</v>
      </c>
      <c r="V64" s="398" t="str">
        <f ca="1">IF(V63=Data!S$15,Data!$B$15,$C$62)</f>
        <v>Tier 2 Remedial Unit Cost</v>
      </c>
      <c r="W64" s="398" t="str">
        <f ca="1">IF(W63=Data!T$15,Data!$B$15,$C$62)</f>
        <v>Tier 2 Remedial Unit Cost</v>
      </c>
      <c r="X64" s="398" t="str">
        <f ca="1">IF(X63=Data!U$15,Data!$B$15,$C$62)</f>
        <v>Tier 2 Remedial Unit Cost</v>
      </c>
      <c r="Y64" s="398" t="str">
        <f ca="1">IF(Y63=Data!V$15,Data!$B$15,$C$62)</f>
        <v>Tier 2 Remedial Unit Cost</v>
      </c>
      <c r="Z64" s="398" t="str">
        <f ca="1">IF(Z63=Data!W$15,Data!$B$15,$C$62)</f>
        <v>Tier 2 Remedial Unit Cost</v>
      </c>
      <c r="AA64" s="398" t="str">
        <f ca="1">IF(AA63=Data!X$15,Data!$B$15,$C$62)</f>
        <v>Tier 2 Remedial Unit Cost</v>
      </c>
      <c r="AB64" s="398" t="str">
        <f ca="1">IF(AB63=Data!Y$15,Data!$B$15,$C$62)</f>
        <v>Tier 2 Remedial Unit Cost</v>
      </c>
      <c r="AC64" s="398" t="str">
        <f ca="1">IF(AC63=Data!Z$15,Data!$B$15,$C$62)</f>
        <v>Tier 2 Remedial Unit Cost</v>
      </c>
      <c r="AD64" s="398" t="str">
        <f ca="1">IF(AD63=Data!AA$15,Data!$B$15,$C$62)</f>
        <v>Tier 2 Remedial Unit Cost</v>
      </c>
      <c r="AF64" s="26"/>
      <c r="AG64" s="337" t="s">
        <v>1889</v>
      </c>
      <c r="AH64" s="385"/>
      <c r="AI64" s="385" t="s">
        <v>1890</v>
      </c>
      <c r="AJ64" s="386" t="s">
        <v>1888</v>
      </c>
      <c r="AK64" s="386"/>
      <c r="AL64" s="398" t="str">
        <f ca="1">IF(AL63=Data!E$15,Data!$B$15,$C$62)</f>
        <v>Tier 2 Remedial Unit Cost</v>
      </c>
      <c r="AM64" s="398" t="str">
        <f ca="1">IF(AM63=Data!F$15,Data!$B$15,$C$62)</f>
        <v>Tier 2 Remedial Unit Cost</v>
      </c>
      <c r="AN64" s="398" t="str">
        <f ca="1">IF(AN63=Data!G$15,Data!$B$15,$C$62)</f>
        <v>Tier 2 Remedial Unit Cost</v>
      </c>
      <c r="AO64" s="398" t="str">
        <f ca="1">IF(AO63=Data!H$15,Data!$B$15,$C$62)</f>
        <v>Tier 2 Remedial Unit Cost</v>
      </c>
      <c r="AP64" s="398" t="str">
        <f ca="1">IF(AP63=Data!I$15,Data!$B$15,$C$62)</f>
        <v>Tier 2 Remedial Unit Cost</v>
      </c>
      <c r="AQ64" s="398" t="str">
        <f ca="1">IF(AQ63=Data!J$15,Data!$B$15,$C$62)</f>
        <v>Tier 2 Remedial Unit Cost</v>
      </c>
      <c r="AR64" s="398" t="str">
        <f ca="1">IF(AR63=Data!K$15,Data!$B$15,$C$62)</f>
        <v>Tier 2 Remedial Unit Cost</v>
      </c>
      <c r="AS64" s="398" t="str">
        <f ca="1">IF(AS63=Data!L$15,Data!$B$15,$C$62)</f>
        <v>Tier 2 Remedial Unit Cost</v>
      </c>
      <c r="AT64" s="398" t="str">
        <f ca="1">IF(AT63=Data!M$15,Data!$B$15,$C$62)</f>
        <v>Tier 2 Remedial Unit Cost</v>
      </c>
      <c r="AU64" s="398" t="str">
        <f ca="1">IF(AU63=Data!N$15,Data!$B$15,$C$62)</f>
        <v>Tier 2 Remedial Unit Cost</v>
      </c>
      <c r="AV64" s="398" t="str">
        <f ca="1">IF(AV63=Data!O$15,Data!$B$15,$C$62)</f>
        <v>Tier 2 Remedial Unit Cost</v>
      </c>
      <c r="AW64" s="398" t="str">
        <f ca="1">IF(AW63=Data!P$15,Data!$B$15,$C$62)</f>
        <v>Tier 2 Remedial Unit Cost</v>
      </c>
      <c r="AX64" s="398" t="str">
        <f ca="1">IF(AX63=Data!Q$15,Data!$B$15,$C$62)</f>
        <v>Tier 2 Remedial Unit Cost</v>
      </c>
      <c r="AY64" s="398" t="str">
        <f ca="1">IF(AY63=Data!R$15,Data!$B$15,$C$62)</f>
        <v>Tier 2 Remedial Unit Cost</v>
      </c>
      <c r="AZ64" s="398" t="str">
        <f ca="1">IF(AZ63=Data!S$15,Data!$B$15,$C$62)</f>
        <v>Tier 2 Remedial Unit Cost</v>
      </c>
      <c r="BA64" s="398" t="str">
        <f ca="1">IF(BA63=Data!T$15,Data!$B$15,$C$62)</f>
        <v>Tier 2 Remedial Unit Cost</v>
      </c>
      <c r="BB64" s="398" t="str">
        <f ca="1">IF(BB63=Data!U$15,Data!$B$15,$C$62)</f>
        <v>Tier 2 Remedial Unit Cost</v>
      </c>
      <c r="BC64" s="398" t="str">
        <f ca="1">IF(BC63=Data!V$15,Data!$B$15,$C$62)</f>
        <v>Tier 2 Remedial Unit Cost</v>
      </c>
      <c r="BD64" s="398" t="str">
        <f ca="1">IF(BD63=Data!W$15,Data!$B$15,$C$62)</f>
        <v>Tier 2 Remedial Unit Cost</v>
      </c>
      <c r="BE64" s="398" t="str">
        <f ca="1">IF(BE63=Data!X$15,Data!$B$15,$C$62)</f>
        <v>Tier 2 Remedial Unit Cost</v>
      </c>
      <c r="BF64" s="398" t="str">
        <f ca="1">IF(BF63=Data!Y$15,Data!$B$15,$C$62)</f>
        <v>Tier 2 Remedial Unit Cost</v>
      </c>
      <c r="BG64" s="398" t="str">
        <f ca="1">IF(BG63=Data!Z$15,Data!$B$15,$C$62)</f>
        <v>Tier 2 Remedial Unit Cost</v>
      </c>
      <c r="BH64" s="398" t="str">
        <f ca="1">IF(BH63=Data!AA$15,Data!$B$15,$C$62)</f>
        <v>Tier 2 Remedial Unit Cost</v>
      </c>
    </row>
    <row r="65" spans="2:60">
      <c r="C65" s="337" t="s">
        <v>1891</v>
      </c>
      <c r="D65" s="385"/>
      <c r="E65" s="385" t="s">
        <v>1892</v>
      </c>
      <c r="F65" s="386" t="s">
        <v>1893</v>
      </c>
      <c r="G65" s="386" t="s">
        <v>545</v>
      </c>
      <c r="H65" s="398">
        <f ca="1">IF(H64=Data!$B$15,H$24,H$62*H$21)</f>
        <v>92.574240360000132</v>
      </c>
      <c r="I65" s="398">
        <f ca="1">IF(I64=Data!$B$15,I$24,I$62*I$21)</f>
        <v>121.07925636000013</v>
      </c>
      <c r="J65" s="398">
        <f ca="1">IF(J64=Data!$B$15,J$24,J$62*J$21)</f>
        <v>149.58427236000011</v>
      </c>
      <c r="K65" s="398">
        <f ca="1">IF(K64=Data!$B$15,K$24,K$62*K$21)</f>
        <v>212.29530756000008</v>
      </c>
      <c r="L65" s="398">
        <f ca="1">IF(L64=Data!$B$15,L$24,L$62*L$21)</f>
        <v>275.00634276000022</v>
      </c>
      <c r="M65" s="398">
        <f ca="1">IF(M64=Data!$B$15,M$24,M$62*M$21)</f>
        <v>337.71737796000019</v>
      </c>
      <c r="N65" s="398">
        <f ca="1">IF(N64=Data!$B$15,N$24,N$62*N$21)</f>
        <v>400.42841316000016</v>
      </c>
      <c r="O65" s="398">
        <f ca="1">IF(O64=Data!$B$15,O$24,O$62*O$21)</f>
        <v>463.13944836001639</v>
      </c>
      <c r="P65" s="398">
        <f ca="1">IF(P64=Data!$B$15,P$24,P$62*P$21)</f>
        <v>562.90700436000657</v>
      </c>
      <c r="Q65" s="398">
        <f ca="1">IF(Q64=Data!$B$15,Q$24,Q$62*Q$21)</f>
        <v>662.6745603599968</v>
      </c>
      <c r="R65" s="398">
        <f ca="1">IF(R64=Data!$B$15,R$24,R$62*R$21)</f>
        <v>762.44211636002774</v>
      </c>
      <c r="S65" s="398">
        <f ca="1">IF(S64=Data!$B$15,S$24,S$62*S$21)</f>
        <v>862.20967236001786</v>
      </c>
      <c r="T65" s="398">
        <f ca="1">IF(T64=Data!$B$15,T$24,T$62*T$21)</f>
        <v>961.97722836000821</v>
      </c>
      <c r="U65" s="398">
        <f ca="1">IF(U64=Data!$B$15,U$24,U$62*U$21)</f>
        <v>1004.7347523599997</v>
      </c>
      <c r="V65" s="398">
        <f ca="1">IF(V64=Data!$B$15,V$24,V$62*V$21)</f>
        <v>1047.4922763600014</v>
      </c>
      <c r="W65" s="398">
        <f ca="1">IF(W64=Data!$B$15,W$24,W$62*W$21)</f>
        <v>1090.2498003600031</v>
      </c>
      <c r="X65" s="398">
        <f ca="1">IF(X64=Data!$B$15,X$24,X$62*X$21)</f>
        <v>1133.0073243600045</v>
      </c>
      <c r="Y65" s="398">
        <f ca="1">IF(Y64=Data!$B$15,Y$24,Y$62*Y$21)</f>
        <v>1175.764848359996</v>
      </c>
      <c r="Z65" s="398">
        <f ca="1">IF(Z64=Data!$B$15,Z$24,Z$62*Z$21)</f>
        <v>1218.5223723599975</v>
      </c>
      <c r="AA65" s="398">
        <f ca="1">IF(AA64=Data!$B$15,AA$24,AA$62*AA$21)</f>
        <v>1261.2798963599992</v>
      </c>
      <c r="AB65" s="398">
        <f ca="1">IF(AB64=Data!$B$15,AB$24,AB$62*AB$21)</f>
        <v>1304.0374203600009</v>
      </c>
      <c r="AC65" s="398">
        <f ca="1">IF(AC64=Data!$B$15,AC$24,AC$62*AC$21)</f>
        <v>1346.7949443600025</v>
      </c>
      <c r="AD65" s="398">
        <f ca="1">IF(AD64=Data!$B$15,AD$24,AD$62*AD$21)</f>
        <v>1389.552468360004</v>
      </c>
      <c r="AF65" s="26"/>
      <c r="AG65" s="337" t="s">
        <v>1891</v>
      </c>
      <c r="AH65" s="385"/>
      <c r="AI65" s="385" t="s">
        <v>1892</v>
      </c>
      <c r="AJ65" s="386" t="s">
        <v>1893</v>
      </c>
      <c r="AK65" s="386" t="s">
        <v>545</v>
      </c>
      <c r="AL65" s="398">
        <f ca="1">IF(AL64=Data!$B$15,AL$24,AL$62*AL$21)</f>
        <v>92.574240360000132</v>
      </c>
      <c r="AM65" s="398">
        <f ca="1">IF(AM64=Data!$B$15,AM$24,AM$62*AM$21)</f>
        <v>121.07925636000013</v>
      </c>
      <c r="AN65" s="398">
        <f ca="1">IF(AN64=Data!$B$15,AN$24,AN$62*AN$21)</f>
        <v>149.58427236000011</v>
      </c>
      <c r="AO65" s="398">
        <f ca="1">IF(AO64=Data!$B$15,AO$24,AO$62*AO$21)</f>
        <v>212.29530756000008</v>
      </c>
      <c r="AP65" s="398">
        <f ca="1">IF(AP64=Data!$B$15,AP$24,AP$62*AP$21)</f>
        <v>275.00634276000022</v>
      </c>
      <c r="AQ65" s="398">
        <f ca="1">IF(AQ64=Data!$B$15,AQ$24,AQ$62*AQ$21)</f>
        <v>337.71737796000019</v>
      </c>
      <c r="AR65" s="398">
        <f ca="1">IF(AR64=Data!$B$15,AR$24,AR$62*AR$21)</f>
        <v>400.42841316000016</v>
      </c>
      <c r="AS65" s="398">
        <f ca="1">IF(AS64=Data!$B$15,AS$24,AS$62*AS$21)</f>
        <v>463.13944836001639</v>
      </c>
      <c r="AT65" s="398">
        <f ca="1">IF(AT64=Data!$B$15,AT$24,AT$62*AT$21)</f>
        <v>562.90700436000657</v>
      </c>
      <c r="AU65" s="398">
        <f ca="1">IF(AU64=Data!$B$15,AU$24,AU$62*AU$21)</f>
        <v>662.6745603599968</v>
      </c>
      <c r="AV65" s="398">
        <f ca="1">IF(AV64=Data!$B$15,AV$24,AV$62*AV$21)</f>
        <v>762.44211636002774</v>
      </c>
      <c r="AW65" s="398">
        <f ca="1">IF(AW64=Data!$B$15,AW$24,AW$62*AW$21)</f>
        <v>862.20967236001786</v>
      </c>
      <c r="AX65" s="398">
        <f ca="1">IF(AX64=Data!$B$15,AX$24,AX$62*AX$21)</f>
        <v>961.97722836000821</v>
      </c>
      <c r="AY65" s="398">
        <f ca="1">IF(AY64=Data!$B$15,AY$24,AY$62*AY$21)</f>
        <v>1004.7347523599997</v>
      </c>
      <c r="AZ65" s="398">
        <f ca="1">IF(AZ64=Data!$B$15,AZ$24,AZ$62*AZ$21)</f>
        <v>1047.4922763600014</v>
      </c>
      <c r="BA65" s="398">
        <f ca="1">IF(BA64=Data!$B$15,BA$24,BA$62*BA$21)</f>
        <v>1090.2498003600031</v>
      </c>
      <c r="BB65" s="398">
        <f ca="1">IF(BB64=Data!$B$15,BB$24,BB$62*BB$21)</f>
        <v>1133.0073243600045</v>
      </c>
      <c r="BC65" s="398">
        <f ca="1">IF(BC64=Data!$B$15,BC$24,BC$62*BC$21)</f>
        <v>1175.764848359996</v>
      </c>
      <c r="BD65" s="398">
        <f ca="1">IF(BD64=Data!$B$15,BD$24,BD$62*BD$21)</f>
        <v>1218.5223723599975</v>
      </c>
      <c r="BE65" s="398">
        <f ca="1">IF(BE64=Data!$B$15,BE$24,BE$62*BE$21)</f>
        <v>1261.2798963599992</v>
      </c>
      <c r="BF65" s="398">
        <f ca="1">IF(BF64=Data!$B$15,BF$24,BF$62*BF$21)</f>
        <v>1304.0374203600009</v>
      </c>
      <c r="BG65" s="398">
        <f ca="1">IF(BG64=Data!$B$15,BG$24,BG$62*BG$21)</f>
        <v>1346.7949443600025</v>
      </c>
      <c r="BH65" s="398">
        <f ca="1">IF(BH64=Data!$B$15,BH$24,BH$62*BH$21)</f>
        <v>1389.552468360004</v>
      </c>
    </row>
    <row r="66" spans="2:60" ht="15">
      <c r="B66" s="415" t="s">
        <v>1894</v>
      </c>
      <c r="C66" s="337" t="s">
        <v>1895</v>
      </c>
      <c r="D66" s="385"/>
      <c r="E66" s="385" t="s">
        <v>1887</v>
      </c>
      <c r="F66" s="386" t="s">
        <v>1888</v>
      </c>
      <c r="G66" s="386" t="s">
        <v>1875</v>
      </c>
      <c r="H66" s="398">
        <f ca="1">MIN(Data!E$16,H63)</f>
        <v>100</v>
      </c>
      <c r="I66" s="398">
        <f ca="1">MIN(Data!F$16,I63)</f>
        <v>100</v>
      </c>
      <c r="J66" s="398">
        <f ca="1">MIN(Data!G$16,J63)</f>
        <v>100</v>
      </c>
      <c r="K66" s="398">
        <f ca="1">MIN(Data!H$16,K63)</f>
        <v>100</v>
      </c>
      <c r="L66" s="398">
        <f ca="1">MIN(Data!I$16,L63)</f>
        <v>100</v>
      </c>
      <c r="M66" s="398">
        <f ca="1">MIN(Data!J$16,M63)</f>
        <v>100</v>
      </c>
      <c r="N66" s="398">
        <f ca="1">MIN(Data!K$16,N63)</f>
        <v>100</v>
      </c>
      <c r="O66" s="398">
        <f ca="1">MIN(Data!L$16,O63)</f>
        <v>100</v>
      </c>
      <c r="P66" s="398">
        <f ca="1">MIN(Data!M$16,P63)</f>
        <v>100</v>
      </c>
      <c r="Q66" s="398">
        <f ca="1">MIN(Data!N$16,Q63)</f>
        <v>100</v>
      </c>
      <c r="R66" s="398">
        <f ca="1">MIN(Data!O$16,R63)</f>
        <v>100</v>
      </c>
      <c r="S66" s="398">
        <f ca="1">MIN(Data!P$16,S63)</f>
        <v>100</v>
      </c>
      <c r="T66" s="398">
        <f ca="1">MIN(Data!Q$16,T63)</f>
        <v>100</v>
      </c>
      <c r="U66" s="398">
        <f ca="1">MIN(Data!R$16,U63)</f>
        <v>100</v>
      </c>
      <c r="V66" s="398">
        <f ca="1">MIN(Data!S$16,V63)</f>
        <v>100</v>
      </c>
      <c r="W66" s="398">
        <f ca="1">MIN(Data!T$16,W63)</f>
        <v>100</v>
      </c>
      <c r="X66" s="398">
        <f ca="1">MIN(Data!U$16,X63)</f>
        <v>100</v>
      </c>
      <c r="Y66" s="398">
        <f ca="1">MIN(Data!V$16,Y63)</f>
        <v>100</v>
      </c>
      <c r="Z66" s="398">
        <f ca="1">MIN(Data!W$16,Z63)</f>
        <v>100</v>
      </c>
      <c r="AA66" s="398">
        <f ca="1">MIN(Data!X$16,AA63)</f>
        <v>100</v>
      </c>
      <c r="AB66" s="398">
        <f ca="1">MIN(Data!Y$16,AB63)</f>
        <v>100</v>
      </c>
      <c r="AC66" s="398">
        <f ca="1">MIN(Data!Z$16,AC63)</f>
        <v>100</v>
      </c>
      <c r="AD66" s="398">
        <f ca="1">MIN(Data!AA$16,AD63)</f>
        <v>100</v>
      </c>
      <c r="AF66" s="415" t="s">
        <v>1894</v>
      </c>
      <c r="AG66" s="337" t="s">
        <v>1895</v>
      </c>
      <c r="AH66" s="385"/>
      <c r="AI66" s="385" t="s">
        <v>1887</v>
      </c>
      <c r="AJ66" s="386" t="s">
        <v>1888</v>
      </c>
      <c r="AK66" s="386" t="s">
        <v>1875</v>
      </c>
      <c r="AL66" s="398">
        <f ca="1">MIN(Data!E$16,AL63)</f>
        <v>100</v>
      </c>
      <c r="AM66" s="398">
        <f ca="1">MIN(Data!F$16,AM63)</f>
        <v>100</v>
      </c>
      <c r="AN66" s="398">
        <f ca="1">MIN(Data!G$16,AN63)</f>
        <v>100</v>
      </c>
      <c r="AO66" s="398">
        <f ca="1">MIN(Data!H$16,AO63)</f>
        <v>100</v>
      </c>
      <c r="AP66" s="398">
        <f ca="1">MIN(Data!I$16,AP63)</f>
        <v>100</v>
      </c>
      <c r="AQ66" s="398">
        <f ca="1">MIN(Data!J$16,AQ63)</f>
        <v>100</v>
      </c>
      <c r="AR66" s="398">
        <f ca="1">MIN(Data!K$16,AR63)</f>
        <v>100</v>
      </c>
      <c r="AS66" s="398">
        <f ca="1">MIN(Data!L$16,AS63)</f>
        <v>100</v>
      </c>
      <c r="AT66" s="398">
        <f ca="1">MIN(Data!M$16,AT63)</f>
        <v>100</v>
      </c>
      <c r="AU66" s="398">
        <f ca="1">MIN(Data!N$16,AU63)</f>
        <v>100</v>
      </c>
      <c r="AV66" s="398">
        <f ca="1">MIN(Data!O$16,AV63)</f>
        <v>100</v>
      </c>
      <c r="AW66" s="398">
        <f ca="1">MIN(Data!P$16,AW63)</f>
        <v>100</v>
      </c>
      <c r="AX66" s="398">
        <f ca="1">MIN(Data!Q$16,AX63)</f>
        <v>100</v>
      </c>
      <c r="AY66" s="398">
        <f ca="1">MIN(Data!R$16,AY63)</f>
        <v>100</v>
      </c>
      <c r="AZ66" s="398">
        <f ca="1">MIN(Data!S$16,AZ63)</f>
        <v>100</v>
      </c>
      <c r="BA66" s="398">
        <f ca="1">MIN(Data!T$16,BA63)</f>
        <v>100</v>
      </c>
      <c r="BB66" s="398">
        <f ca="1">MIN(Data!U$16,BB63)</f>
        <v>100</v>
      </c>
      <c r="BC66" s="398">
        <f ca="1">MIN(Data!V$16,BC63)</f>
        <v>100</v>
      </c>
      <c r="BD66" s="398">
        <f ca="1">MIN(Data!W$16,BD63)</f>
        <v>100</v>
      </c>
      <c r="BE66" s="398">
        <f ca="1">MIN(Data!X$16,BE63)</f>
        <v>100</v>
      </c>
      <c r="BF66" s="398">
        <f ca="1">MIN(Data!Y$16,BF63)</f>
        <v>100</v>
      </c>
      <c r="BG66" s="398">
        <f ca="1">MIN(Data!Z$16,BG63)</f>
        <v>100</v>
      </c>
      <c r="BH66" s="398">
        <f ca="1">MIN(Data!AA$16,BH63)</f>
        <v>100</v>
      </c>
    </row>
    <row r="67" spans="2:60">
      <c r="C67" s="337" t="s">
        <v>1896</v>
      </c>
      <c r="D67" s="385"/>
      <c r="E67" s="385" t="s">
        <v>1890</v>
      </c>
      <c r="F67" s="386" t="s">
        <v>1888</v>
      </c>
      <c r="G67" s="386"/>
      <c r="H67" s="398" t="str">
        <f ca="1">IF(H66=Data!E$16,Data!$B$16,$C$62)</f>
        <v>Tier 1 Remedial Unit Cost</v>
      </c>
      <c r="I67" s="398" t="str">
        <f ca="1">IF(I66=Data!F$16,Data!$B$16,$C$62)</f>
        <v>Tier 1 Remedial Unit Cost</v>
      </c>
      <c r="J67" s="398" t="str">
        <f ca="1">IF(J66=Data!G$16,Data!$B$16,$C$62)</f>
        <v>Tier 1 Remedial Unit Cost</v>
      </c>
      <c r="K67" s="398" t="str">
        <f ca="1">IF(K66=Data!H$16,Data!$B$16,$C$62)</f>
        <v>Tier 1 Remedial Unit Cost</v>
      </c>
      <c r="L67" s="398" t="str">
        <f ca="1">IF(L66=Data!I$16,Data!$B$16,$C$62)</f>
        <v>Tier 1 Remedial Unit Cost</v>
      </c>
      <c r="M67" s="398" t="str">
        <f ca="1">IF(M66=Data!J$16,Data!$B$16,$C$62)</f>
        <v>Tier 1 Remedial Unit Cost</v>
      </c>
      <c r="N67" s="398" t="str">
        <f ca="1">IF(N66=Data!K$16,Data!$B$16,$C$62)</f>
        <v>Tier 1 Remedial Unit Cost</v>
      </c>
      <c r="O67" s="398" t="str">
        <f ca="1">IF(O66=Data!L$16,Data!$B$16,$C$62)</f>
        <v>Tier 1 Remedial Unit Cost</v>
      </c>
      <c r="P67" s="398" t="str">
        <f ca="1">IF(P66=Data!M$16,Data!$B$16,$C$62)</f>
        <v>Tier 1 Remedial Unit Cost</v>
      </c>
      <c r="Q67" s="398" t="str">
        <f ca="1">IF(Q66=Data!N$16,Data!$B$16,$C$62)</f>
        <v>Tier 1 Remedial Unit Cost</v>
      </c>
      <c r="R67" s="398" t="str">
        <f ca="1">IF(R66=Data!O$16,Data!$B$16,$C$62)</f>
        <v>Tier 1 Remedial Unit Cost</v>
      </c>
      <c r="S67" s="398" t="str">
        <f ca="1">IF(S66=Data!P$16,Data!$B$16,$C$62)</f>
        <v>Tier 1 Remedial Unit Cost</v>
      </c>
      <c r="T67" s="398" t="str">
        <f ca="1">IF(T66=Data!Q$16,Data!$B$16,$C$62)</f>
        <v>Tier 1 Remedial Unit Cost</v>
      </c>
      <c r="U67" s="398" t="str">
        <f ca="1">IF(U66=Data!R$16,Data!$B$16,$C$62)</f>
        <v>Tier 1 Remedial Unit Cost</v>
      </c>
      <c r="V67" s="398" t="str">
        <f ca="1">IF(V66=Data!S$16,Data!$B$16,$C$62)</f>
        <v>Tier 1 Remedial Unit Cost</v>
      </c>
      <c r="W67" s="398" t="str">
        <f ca="1">IF(W66=Data!T$16,Data!$B$16,$C$62)</f>
        <v>Tier 1 Remedial Unit Cost</v>
      </c>
      <c r="X67" s="398" t="str">
        <f ca="1">IF(X66=Data!U$16,Data!$B$16,$C$62)</f>
        <v>Tier 1 Remedial Unit Cost</v>
      </c>
      <c r="Y67" s="398" t="str">
        <f ca="1">IF(Y66=Data!V$16,Data!$B$16,$C$62)</f>
        <v>Tier 1 Remedial Unit Cost</v>
      </c>
      <c r="Z67" s="398" t="str">
        <f ca="1">IF(Z66=Data!W$16,Data!$B$16,$C$62)</f>
        <v>Tier 1 Remedial Unit Cost</v>
      </c>
      <c r="AA67" s="398" t="str">
        <f ca="1">IF(AA66=Data!X$16,Data!$B$16,$C$62)</f>
        <v>Tier 1 Remedial Unit Cost</v>
      </c>
      <c r="AB67" s="398" t="str">
        <f ca="1">IF(AB66=Data!Y$16,Data!$B$16,$C$62)</f>
        <v>Tier 1 Remedial Unit Cost</v>
      </c>
      <c r="AC67" s="398" t="str">
        <f ca="1">IF(AC66=Data!Z$16,Data!$B$16,$C$62)</f>
        <v>Tier 1 Remedial Unit Cost</v>
      </c>
      <c r="AD67" s="398" t="str">
        <f ca="1">IF(AD66=Data!AA$16,Data!$B$16,$C$62)</f>
        <v>Tier 1 Remedial Unit Cost</v>
      </c>
      <c r="AF67" s="26"/>
      <c r="AG67" s="337" t="s">
        <v>1896</v>
      </c>
      <c r="AH67" s="385"/>
      <c r="AI67" s="385" t="s">
        <v>1890</v>
      </c>
      <c r="AJ67" s="386" t="s">
        <v>1888</v>
      </c>
      <c r="AK67" s="386"/>
      <c r="AL67" s="398" t="str">
        <f ca="1">IF(AL66=Data!E$16,Data!$B$16,$C$62)</f>
        <v>Tier 1 Remedial Unit Cost</v>
      </c>
      <c r="AM67" s="398" t="str">
        <f ca="1">IF(AM66=Data!F$16,Data!$B$16,$C$62)</f>
        <v>Tier 1 Remedial Unit Cost</v>
      </c>
      <c r="AN67" s="398" t="str">
        <f ca="1">IF(AN66=Data!G$16,Data!$B$16,$C$62)</f>
        <v>Tier 1 Remedial Unit Cost</v>
      </c>
      <c r="AO67" s="398" t="str">
        <f ca="1">IF(AO66=Data!H$16,Data!$B$16,$C$62)</f>
        <v>Tier 1 Remedial Unit Cost</v>
      </c>
      <c r="AP67" s="398" t="str">
        <f ca="1">IF(AP66=Data!I$16,Data!$B$16,$C$62)</f>
        <v>Tier 1 Remedial Unit Cost</v>
      </c>
      <c r="AQ67" s="398" t="str">
        <f ca="1">IF(AQ66=Data!J$16,Data!$B$16,$C$62)</f>
        <v>Tier 1 Remedial Unit Cost</v>
      </c>
      <c r="AR67" s="398" t="str">
        <f ca="1">IF(AR66=Data!K$16,Data!$B$16,$C$62)</f>
        <v>Tier 1 Remedial Unit Cost</v>
      </c>
      <c r="AS67" s="398" t="str">
        <f ca="1">IF(AS66=Data!L$16,Data!$B$16,$C$62)</f>
        <v>Tier 1 Remedial Unit Cost</v>
      </c>
      <c r="AT67" s="398" t="str">
        <f ca="1">IF(AT66=Data!M$16,Data!$B$16,$C$62)</f>
        <v>Tier 1 Remedial Unit Cost</v>
      </c>
      <c r="AU67" s="398" t="str">
        <f ca="1">IF(AU66=Data!N$16,Data!$B$16,$C$62)</f>
        <v>Tier 1 Remedial Unit Cost</v>
      </c>
      <c r="AV67" s="398" t="str">
        <f ca="1">IF(AV66=Data!O$16,Data!$B$16,$C$62)</f>
        <v>Tier 1 Remedial Unit Cost</v>
      </c>
      <c r="AW67" s="398" t="str">
        <f ca="1">IF(AW66=Data!P$16,Data!$B$16,$C$62)</f>
        <v>Tier 1 Remedial Unit Cost</v>
      </c>
      <c r="AX67" s="398" t="str">
        <f ca="1">IF(AX66=Data!Q$16,Data!$B$16,$C$62)</f>
        <v>Tier 1 Remedial Unit Cost</v>
      </c>
      <c r="AY67" s="398" t="str">
        <f ca="1">IF(AY66=Data!R$16,Data!$B$16,$C$62)</f>
        <v>Tier 1 Remedial Unit Cost</v>
      </c>
      <c r="AZ67" s="398" t="str">
        <f ca="1">IF(AZ66=Data!S$16,Data!$B$16,$C$62)</f>
        <v>Tier 1 Remedial Unit Cost</v>
      </c>
      <c r="BA67" s="398" t="str">
        <f ca="1">IF(BA66=Data!T$16,Data!$B$16,$C$62)</f>
        <v>Tier 1 Remedial Unit Cost</v>
      </c>
      <c r="BB67" s="398" t="str">
        <f ca="1">IF(BB66=Data!U$16,Data!$B$16,$C$62)</f>
        <v>Tier 1 Remedial Unit Cost</v>
      </c>
      <c r="BC67" s="398" t="str">
        <f ca="1">IF(BC66=Data!V$16,Data!$B$16,$C$62)</f>
        <v>Tier 1 Remedial Unit Cost</v>
      </c>
      <c r="BD67" s="398" t="str">
        <f ca="1">IF(BD66=Data!W$16,Data!$B$16,$C$62)</f>
        <v>Tier 1 Remedial Unit Cost</v>
      </c>
      <c r="BE67" s="398" t="str">
        <f ca="1">IF(BE66=Data!X$16,Data!$B$16,$C$62)</f>
        <v>Tier 1 Remedial Unit Cost</v>
      </c>
      <c r="BF67" s="398" t="str">
        <f ca="1">IF(BF66=Data!Y$16,Data!$B$16,$C$62)</f>
        <v>Tier 1 Remedial Unit Cost</v>
      </c>
      <c r="BG67" s="398" t="str">
        <f ca="1">IF(BG66=Data!Z$16,Data!$B$16,$C$62)</f>
        <v>Tier 1 Remedial Unit Cost</v>
      </c>
      <c r="BH67" s="398" t="str">
        <f ca="1">IF(BH66=Data!AA$16,Data!$B$16,$C$62)</f>
        <v>Tier 1 Remedial Unit Cost</v>
      </c>
    </row>
    <row r="68" spans="2:60">
      <c r="C68" s="337" t="s">
        <v>1897</v>
      </c>
      <c r="D68" s="385"/>
      <c r="E68" s="385" t="s">
        <v>1892</v>
      </c>
      <c r="F68" s="386" t="s">
        <v>1888</v>
      </c>
      <c r="G68" s="386" t="s">
        <v>545</v>
      </c>
      <c r="H68" s="398">
        <f ca="1">IF(H67=Data!$B$16,H$25,H$62*H$22)</f>
        <v>48.758580000000016</v>
      </c>
      <c r="I68" s="398">
        <f ca="1">IF(I67=Data!$B$16,I$25,I$62*I$22)</f>
        <v>48.758580000000016</v>
      </c>
      <c r="J68" s="398">
        <f ca="1">IF(J67=Data!$B$16,J$25,J$62*J$22)</f>
        <v>48.758579999999959</v>
      </c>
      <c r="K68" s="398">
        <f ca="1">IF(K67=Data!$B$16,K$25,K$62*K$22)</f>
        <v>48.758580000000016</v>
      </c>
      <c r="L68" s="398">
        <f ca="1">IF(L67=Data!$B$16,L$25,L$62*L$22)</f>
        <v>48.758579999999959</v>
      </c>
      <c r="M68" s="398">
        <f ca="1">IF(M67=Data!$B$16,M$25,M$62*M$22)</f>
        <v>48.758579999999959</v>
      </c>
      <c r="N68" s="398">
        <f ca="1">IF(N67=Data!$B$16,N$25,N$62*N$22)</f>
        <v>48.758580000000016</v>
      </c>
      <c r="O68" s="398">
        <f ca="1">IF(O67=Data!$B$16,O$25,O$62*O$22)</f>
        <v>48.758579999999988</v>
      </c>
      <c r="P68" s="398">
        <f ca="1">IF(P67=Data!$B$16,P$25,P$62*P$22)</f>
        <v>48.758580000000016</v>
      </c>
      <c r="Q68" s="398">
        <f ca="1">IF(Q67=Data!$B$16,Q$25,Q$62*Q$22)</f>
        <v>48.758579999999988</v>
      </c>
      <c r="R68" s="398">
        <f ca="1">IF(R67=Data!$B$16,R$25,R$62*R$22)</f>
        <v>48.758579999999988</v>
      </c>
      <c r="S68" s="398">
        <f ca="1">IF(S67=Data!$B$16,S$25,S$62*S$22)</f>
        <v>48.758580000000009</v>
      </c>
      <c r="T68" s="398">
        <f ca="1">IF(T67=Data!$B$16,T$25,T$62*T$22)</f>
        <v>48.758580000000009</v>
      </c>
      <c r="U68" s="398">
        <f ca="1">IF(U67=Data!$B$16,U$25,U$62*U$22)</f>
        <v>48.758580000000009</v>
      </c>
      <c r="V68" s="398">
        <f ca="1">IF(V67=Data!$B$16,V$25,V$62*V$22)</f>
        <v>48.758580000000009</v>
      </c>
      <c r="W68" s="398">
        <f ca="1">IF(W67=Data!$B$16,W$25,W$62*W$22)</f>
        <v>48.758580000000009</v>
      </c>
      <c r="X68" s="398">
        <f ca="1">IF(X67=Data!$B$16,X$25,X$62*X$22)</f>
        <v>48.758580000000009</v>
      </c>
      <c r="Y68" s="398">
        <f ca="1">IF(Y67=Data!$B$16,Y$25,Y$62*Y$22)</f>
        <v>48.758579999999988</v>
      </c>
      <c r="Z68" s="398">
        <f ca="1">IF(Z67=Data!$B$16,Z$25,Z$62*Z$22)</f>
        <v>48.758579999999995</v>
      </c>
      <c r="AA68" s="398">
        <f ca="1">IF(AA67=Data!$B$16,AA$25,AA$62*AA$22)</f>
        <v>48.758579999999995</v>
      </c>
      <c r="AB68" s="398">
        <f ca="1">IF(AB67=Data!$B$16,AB$25,AB$62*AB$22)</f>
        <v>41.257259999999782</v>
      </c>
      <c r="AC68" s="398">
        <f ca="1">IF(AC67=Data!$B$16,AC$25,AC$62*AC$22)</f>
        <v>30.005279999999356</v>
      </c>
      <c r="AD68" s="398">
        <f ca="1">IF(AD67=Data!$B$16,AD$25,AD$62*AD$22)</f>
        <v>18.753299999998934</v>
      </c>
      <c r="AF68" s="26"/>
      <c r="AG68" s="337" t="s">
        <v>1897</v>
      </c>
      <c r="AH68" s="385"/>
      <c r="AI68" s="385" t="s">
        <v>1892</v>
      </c>
      <c r="AJ68" s="386" t="s">
        <v>1888</v>
      </c>
      <c r="AK68" s="386" t="s">
        <v>545</v>
      </c>
      <c r="AL68" s="398">
        <f ca="1">IF(AL67=Data!$B$16,AL$25,AL$62*AL$22)</f>
        <v>48.758580000000016</v>
      </c>
      <c r="AM68" s="398">
        <f ca="1">IF(AM67=Data!$B$16,AM$25,AM$62*AM$22)</f>
        <v>48.758580000000016</v>
      </c>
      <c r="AN68" s="398">
        <f ca="1">IF(AN67=Data!$B$16,AN$25,AN$62*AN$22)</f>
        <v>48.758579999999959</v>
      </c>
      <c r="AO68" s="398">
        <f ca="1">IF(AO67=Data!$B$16,AO$25,AO$62*AO$22)</f>
        <v>48.758580000000016</v>
      </c>
      <c r="AP68" s="398">
        <f ca="1">IF(AP67=Data!$B$16,AP$25,AP$62*AP$22)</f>
        <v>48.758579999999959</v>
      </c>
      <c r="AQ68" s="398">
        <f ca="1">IF(AQ67=Data!$B$16,AQ$25,AQ$62*AQ$22)</f>
        <v>48.758579999999959</v>
      </c>
      <c r="AR68" s="398">
        <f ca="1">IF(AR67=Data!$B$16,AR$25,AR$62*AR$22)</f>
        <v>48.758580000000016</v>
      </c>
      <c r="AS68" s="398">
        <f ca="1">IF(AS67=Data!$B$16,AS$25,AS$62*AS$22)</f>
        <v>48.758579999999988</v>
      </c>
      <c r="AT68" s="398">
        <f ca="1">IF(AT67=Data!$B$16,AT$25,AT$62*AT$22)</f>
        <v>48.758580000000016</v>
      </c>
      <c r="AU68" s="398">
        <f ca="1">IF(AU67=Data!$B$16,AU$25,AU$62*AU$22)</f>
        <v>48.758579999999988</v>
      </c>
      <c r="AV68" s="398">
        <f ca="1">IF(AV67=Data!$B$16,AV$25,AV$62*AV$22)</f>
        <v>48.758579999999988</v>
      </c>
      <c r="AW68" s="398">
        <f ca="1">IF(AW67=Data!$B$16,AW$25,AW$62*AW$22)</f>
        <v>48.758580000000009</v>
      </c>
      <c r="AX68" s="398">
        <f ca="1">IF(AX67=Data!$B$16,AX$25,AX$62*AX$22)</f>
        <v>48.758580000000009</v>
      </c>
      <c r="AY68" s="398">
        <f ca="1">IF(AY67=Data!$B$16,AY$25,AY$62*AY$22)</f>
        <v>48.758580000000009</v>
      </c>
      <c r="AZ68" s="398">
        <f ca="1">IF(AZ67=Data!$B$16,AZ$25,AZ$62*AZ$22)</f>
        <v>48.758580000000009</v>
      </c>
      <c r="BA68" s="398">
        <f ca="1">IF(BA67=Data!$B$16,BA$25,BA$62*BA$22)</f>
        <v>48.758580000000009</v>
      </c>
      <c r="BB68" s="398">
        <f ca="1">IF(BB67=Data!$B$16,BB$25,BB$62*BB$22)</f>
        <v>48.758580000000009</v>
      </c>
      <c r="BC68" s="398">
        <f ca="1">IF(BC67=Data!$B$16,BC$25,BC$62*BC$22)</f>
        <v>48.758579999999988</v>
      </c>
      <c r="BD68" s="398">
        <f ca="1">IF(BD67=Data!$B$16,BD$25,BD$62*BD$22)</f>
        <v>48.758579999999995</v>
      </c>
      <c r="BE68" s="398">
        <f ca="1">IF(BE67=Data!$B$16,BE$25,BE$62*BE$22)</f>
        <v>48.758579999999995</v>
      </c>
      <c r="BF68" s="398">
        <f ca="1">IF(BF67=Data!$B$16,BF$25,BF$62*BF$22)</f>
        <v>41.257259999999782</v>
      </c>
      <c r="BG68" s="398">
        <f ca="1">IF(BG67=Data!$B$16,BG$25,BG$62*BG$22)</f>
        <v>30.005279999999356</v>
      </c>
      <c r="BH68" s="398">
        <f ca="1">IF(BH67=Data!$B$16,BH$25,BH$62*BH$22)</f>
        <v>18.753299999998934</v>
      </c>
    </row>
    <row r="69" spans="2:60" ht="15">
      <c r="B69" s="60" t="s">
        <v>1898</v>
      </c>
      <c r="C69" s="383" t="s">
        <v>1784</v>
      </c>
      <c r="D69" s="416"/>
      <c r="E69" s="416" t="s">
        <v>1899</v>
      </c>
      <c r="F69" s="417"/>
      <c r="G69" s="417" t="s">
        <v>545</v>
      </c>
      <c r="H69" s="418">
        <f ca="1">H23*Data!$E$6*1000</f>
        <v>0</v>
      </c>
      <c r="I69" s="418">
        <f ca="1">I23*Data!$E$6*1000</f>
        <v>0</v>
      </c>
      <c r="J69" s="418">
        <f ca="1">J23*Data!$E$6*1000</f>
        <v>0</v>
      </c>
      <c r="K69" s="418">
        <f ca="1">K23*Data!$E$6*1000</f>
        <v>0</v>
      </c>
      <c r="L69" s="418">
        <f ca="1">L23*Data!$E$6*1000</f>
        <v>0</v>
      </c>
      <c r="M69" s="418">
        <f ca="1">M23*Data!$E$6*1000</f>
        <v>0</v>
      </c>
      <c r="N69" s="418">
        <f ca="1">N23*Data!$E$6*1000</f>
        <v>0</v>
      </c>
      <c r="O69" s="418">
        <f ca="1">O23*Data!$E$6*1000</f>
        <v>0</v>
      </c>
      <c r="P69" s="418">
        <f ca="1">P23*Data!$E$6*1000</f>
        <v>0</v>
      </c>
      <c r="Q69" s="418">
        <f ca="1">Q23*Data!$E$6*1000</f>
        <v>0</v>
      </c>
      <c r="R69" s="418">
        <f ca="1">R23*Data!$E$6*1000</f>
        <v>0</v>
      </c>
      <c r="S69" s="418">
        <f ca="1">S23*Data!$E$6*1000</f>
        <v>0</v>
      </c>
      <c r="T69" s="418">
        <f ca="1">T23*Data!$E$6*1000</f>
        <v>0</v>
      </c>
      <c r="U69" s="418">
        <f ca="1">U23*Data!$E$6*1000</f>
        <v>0</v>
      </c>
      <c r="V69" s="418">
        <f ca="1">V23*Data!$E$6*1000</f>
        <v>0</v>
      </c>
      <c r="W69" s="418">
        <f ca="1">W23*Data!$E$6*1000</f>
        <v>0</v>
      </c>
      <c r="X69" s="418">
        <f ca="1">X23*Data!$E$6*1000</f>
        <v>0</v>
      </c>
      <c r="Y69" s="418">
        <f ca="1">Y23*Data!$E$6*1000</f>
        <v>0</v>
      </c>
      <c r="Z69" s="418">
        <f ca="1">Z23*Data!$E$6*1000</f>
        <v>0</v>
      </c>
      <c r="AA69" s="418">
        <f ca="1">AA23*Data!$E$6*1000</f>
        <v>0</v>
      </c>
      <c r="AB69" s="418">
        <f ca="1">AB23*Data!$E$6*1000</f>
        <v>0</v>
      </c>
      <c r="AC69" s="418">
        <f ca="1">AC23*Data!$E$6*1000</f>
        <v>0</v>
      </c>
      <c r="AD69" s="418">
        <f ca="1">AD23*Data!$E$6*1000</f>
        <v>0</v>
      </c>
      <c r="AF69" s="60" t="s">
        <v>1898</v>
      </c>
      <c r="AG69" s="383" t="s">
        <v>1784</v>
      </c>
      <c r="AH69" s="416"/>
      <c r="AI69" s="416" t="s">
        <v>1899</v>
      </c>
      <c r="AJ69" s="417"/>
      <c r="AK69" s="417" t="s">
        <v>545</v>
      </c>
      <c r="AL69" s="418">
        <f ca="1">AL23*Data!$E$6*1000</f>
        <v>0</v>
      </c>
      <c r="AM69" s="418">
        <f ca="1">AM23*Data!$E$6*1000</f>
        <v>0</v>
      </c>
      <c r="AN69" s="418">
        <f ca="1">AN23*Data!$E$6*1000</f>
        <v>0</v>
      </c>
      <c r="AO69" s="418">
        <f ca="1">AO23*Data!$E$6*1000</f>
        <v>0</v>
      </c>
      <c r="AP69" s="418">
        <f ca="1">AP23*Data!$E$6*1000</f>
        <v>0</v>
      </c>
      <c r="AQ69" s="418">
        <f ca="1">AQ23*Data!$E$6*1000</f>
        <v>0</v>
      </c>
      <c r="AR69" s="418">
        <f ca="1">AR23*Data!$E$6*1000</f>
        <v>0</v>
      </c>
      <c r="AS69" s="418">
        <f ca="1">AS23*Data!$E$6*1000</f>
        <v>0</v>
      </c>
      <c r="AT69" s="418">
        <f ca="1">AT23*Data!$E$6*1000</f>
        <v>0</v>
      </c>
      <c r="AU69" s="418">
        <f ca="1">AU23*Data!$E$6*1000</f>
        <v>0</v>
      </c>
      <c r="AV69" s="418">
        <f ca="1">AV23*Data!$E$6*1000</f>
        <v>0</v>
      </c>
      <c r="AW69" s="418">
        <f ca="1">AW23*Data!$E$6*1000</f>
        <v>0</v>
      </c>
      <c r="AX69" s="418">
        <f ca="1">AX23*Data!$E$6*1000</f>
        <v>0</v>
      </c>
      <c r="AY69" s="418">
        <f ca="1">AY23*Data!$E$6*1000</f>
        <v>0</v>
      </c>
      <c r="AZ69" s="418">
        <f ca="1">AZ23*Data!$E$6*1000</f>
        <v>0</v>
      </c>
      <c r="BA69" s="418">
        <f ca="1">BA23*Data!$E$6*1000</f>
        <v>0</v>
      </c>
      <c r="BB69" s="418">
        <f ca="1">BB23*Data!$E$6*1000</f>
        <v>0</v>
      </c>
      <c r="BC69" s="418">
        <f ca="1">BC23*Data!$E$6*1000</f>
        <v>0</v>
      </c>
      <c r="BD69" s="418">
        <f ca="1">BD23*Data!$E$6*1000</f>
        <v>0</v>
      </c>
      <c r="BE69" s="418">
        <f ca="1">BE23*Data!$E$6*1000</f>
        <v>0</v>
      </c>
      <c r="BF69" s="418">
        <f ca="1">BF23*Data!$E$6*1000</f>
        <v>0</v>
      </c>
      <c r="BG69" s="418">
        <f ca="1">BG23*Data!$E$6*1000</f>
        <v>0</v>
      </c>
      <c r="BH69" s="418">
        <f ca="1">BH23*Data!$E$6*1000</f>
        <v>0</v>
      </c>
    </row>
    <row r="70" spans="2:60" ht="15">
      <c r="C70" s="419" t="s">
        <v>1789</v>
      </c>
      <c r="D70" s="420"/>
      <c r="E70" s="420" t="s">
        <v>1900</v>
      </c>
      <c r="F70" s="421"/>
      <c r="G70" s="421" t="s">
        <v>545</v>
      </c>
      <c r="H70" s="422">
        <f t="shared" ref="H70:AD70" ca="1" si="26">H65</f>
        <v>92.574240360000132</v>
      </c>
      <c r="I70" s="422">
        <f ca="1">I65</f>
        <v>121.07925636000013</v>
      </c>
      <c r="J70" s="422">
        <f t="shared" ca="1" si="26"/>
        <v>149.58427236000011</v>
      </c>
      <c r="K70" s="422">
        <f t="shared" ca="1" si="26"/>
        <v>212.29530756000008</v>
      </c>
      <c r="L70" s="422">
        <f t="shared" ca="1" si="26"/>
        <v>275.00634276000022</v>
      </c>
      <c r="M70" s="422">
        <f t="shared" ca="1" si="26"/>
        <v>337.71737796000019</v>
      </c>
      <c r="N70" s="422">
        <f t="shared" ca="1" si="26"/>
        <v>400.42841316000016</v>
      </c>
      <c r="O70" s="422">
        <f t="shared" ca="1" si="26"/>
        <v>463.13944836001639</v>
      </c>
      <c r="P70" s="422">
        <f t="shared" ca="1" si="26"/>
        <v>562.90700436000657</v>
      </c>
      <c r="Q70" s="422">
        <f t="shared" ca="1" si="26"/>
        <v>662.6745603599968</v>
      </c>
      <c r="R70" s="422">
        <f t="shared" ca="1" si="26"/>
        <v>762.44211636002774</v>
      </c>
      <c r="S70" s="422">
        <f t="shared" ca="1" si="26"/>
        <v>862.20967236001786</v>
      </c>
      <c r="T70" s="422">
        <f t="shared" ca="1" si="26"/>
        <v>961.97722836000821</v>
      </c>
      <c r="U70" s="422">
        <f t="shared" ca="1" si="26"/>
        <v>1004.7347523599997</v>
      </c>
      <c r="V70" s="422">
        <f t="shared" ca="1" si="26"/>
        <v>1047.4922763600014</v>
      </c>
      <c r="W70" s="422">
        <f t="shared" ca="1" si="26"/>
        <v>1090.2498003600031</v>
      </c>
      <c r="X70" s="422">
        <f t="shared" ca="1" si="26"/>
        <v>1133.0073243600045</v>
      </c>
      <c r="Y70" s="422">
        <f t="shared" ca="1" si="26"/>
        <v>1175.764848359996</v>
      </c>
      <c r="Z70" s="422">
        <f t="shared" ca="1" si="26"/>
        <v>1218.5223723599975</v>
      </c>
      <c r="AA70" s="422">
        <f t="shared" ca="1" si="26"/>
        <v>1261.2798963599992</v>
      </c>
      <c r="AB70" s="422">
        <f t="shared" ca="1" si="26"/>
        <v>1304.0374203600009</v>
      </c>
      <c r="AC70" s="422">
        <f t="shared" ca="1" si="26"/>
        <v>1346.7949443600025</v>
      </c>
      <c r="AD70" s="422">
        <f t="shared" ca="1" si="26"/>
        <v>1389.552468360004</v>
      </c>
      <c r="AF70" s="26"/>
      <c r="AG70" s="383" t="s">
        <v>1789</v>
      </c>
      <c r="AH70" s="416"/>
      <c r="AI70" s="416" t="s">
        <v>1900</v>
      </c>
      <c r="AJ70" s="417"/>
      <c r="AK70" s="417" t="s">
        <v>545</v>
      </c>
      <c r="AL70" s="422">
        <f t="shared" ref="AL70" ca="1" si="27">AL65</f>
        <v>92.574240360000132</v>
      </c>
      <c r="AM70" s="422">
        <f ca="1">AM65</f>
        <v>121.07925636000013</v>
      </c>
      <c r="AN70" s="422">
        <f t="shared" ref="AN70:BH70" ca="1" si="28">AN65</f>
        <v>149.58427236000011</v>
      </c>
      <c r="AO70" s="422">
        <f t="shared" ca="1" si="28"/>
        <v>212.29530756000008</v>
      </c>
      <c r="AP70" s="422">
        <f t="shared" ca="1" si="28"/>
        <v>275.00634276000022</v>
      </c>
      <c r="AQ70" s="422">
        <f t="shared" ca="1" si="28"/>
        <v>337.71737796000019</v>
      </c>
      <c r="AR70" s="422">
        <f t="shared" ca="1" si="28"/>
        <v>400.42841316000016</v>
      </c>
      <c r="AS70" s="422">
        <f t="shared" ca="1" si="28"/>
        <v>463.13944836001639</v>
      </c>
      <c r="AT70" s="422">
        <f t="shared" ca="1" si="28"/>
        <v>562.90700436000657</v>
      </c>
      <c r="AU70" s="422">
        <f t="shared" ca="1" si="28"/>
        <v>662.6745603599968</v>
      </c>
      <c r="AV70" s="422">
        <f t="shared" ca="1" si="28"/>
        <v>762.44211636002774</v>
      </c>
      <c r="AW70" s="422">
        <f t="shared" ca="1" si="28"/>
        <v>862.20967236001786</v>
      </c>
      <c r="AX70" s="422">
        <f t="shared" ca="1" si="28"/>
        <v>961.97722836000821</v>
      </c>
      <c r="AY70" s="422">
        <f t="shared" ca="1" si="28"/>
        <v>1004.7347523599997</v>
      </c>
      <c r="AZ70" s="422">
        <f t="shared" ca="1" si="28"/>
        <v>1047.4922763600014</v>
      </c>
      <c r="BA70" s="422">
        <f t="shared" ca="1" si="28"/>
        <v>1090.2498003600031</v>
      </c>
      <c r="BB70" s="422">
        <f t="shared" ca="1" si="28"/>
        <v>1133.0073243600045</v>
      </c>
      <c r="BC70" s="422">
        <f t="shared" ca="1" si="28"/>
        <v>1175.764848359996</v>
      </c>
      <c r="BD70" s="422">
        <f t="shared" ca="1" si="28"/>
        <v>1218.5223723599975</v>
      </c>
      <c r="BE70" s="422">
        <f t="shared" ca="1" si="28"/>
        <v>1261.2798963599992</v>
      </c>
      <c r="BF70" s="422">
        <f t="shared" ca="1" si="28"/>
        <v>1304.0374203600009</v>
      </c>
      <c r="BG70" s="422">
        <f t="shared" ca="1" si="28"/>
        <v>1346.7949443600025</v>
      </c>
      <c r="BH70" s="422">
        <f t="shared" ca="1" si="28"/>
        <v>1389.552468360004</v>
      </c>
    </row>
    <row r="71" spans="2:60" ht="15.75" thickBot="1">
      <c r="C71" s="423" t="s">
        <v>1793</v>
      </c>
      <c r="D71" s="424"/>
      <c r="E71" s="424" t="s">
        <v>1900</v>
      </c>
      <c r="F71" s="425"/>
      <c r="G71" s="425" t="s">
        <v>545</v>
      </c>
      <c r="H71" s="426">
        <f t="shared" ref="H71:AD71" ca="1" si="29">H68</f>
        <v>48.758580000000016</v>
      </c>
      <c r="I71" s="426">
        <f t="shared" ca="1" si="29"/>
        <v>48.758580000000016</v>
      </c>
      <c r="J71" s="426">
        <f t="shared" ca="1" si="29"/>
        <v>48.758579999999959</v>
      </c>
      <c r="K71" s="426">
        <f t="shared" ca="1" si="29"/>
        <v>48.758580000000016</v>
      </c>
      <c r="L71" s="426">
        <f t="shared" ca="1" si="29"/>
        <v>48.758579999999959</v>
      </c>
      <c r="M71" s="426">
        <f t="shared" ca="1" si="29"/>
        <v>48.758579999999959</v>
      </c>
      <c r="N71" s="426">
        <f t="shared" ca="1" si="29"/>
        <v>48.758580000000016</v>
      </c>
      <c r="O71" s="426">
        <f t="shared" ca="1" si="29"/>
        <v>48.758579999999988</v>
      </c>
      <c r="P71" s="426">
        <f t="shared" ca="1" si="29"/>
        <v>48.758580000000016</v>
      </c>
      <c r="Q71" s="426">
        <f t="shared" ca="1" si="29"/>
        <v>48.758579999999988</v>
      </c>
      <c r="R71" s="426">
        <f t="shared" ca="1" si="29"/>
        <v>48.758579999999988</v>
      </c>
      <c r="S71" s="426">
        <f t="shared" ca="1" si="29"/>
        <v>48.758580000000009</v>
      </c>
      <c r="T71" s="426">
        <f t="shared" ca="1" si="29"/>
        <v>48.758580000000009</v>
      </c>
      <c r="U71" s="426">
        <f t="shared" ca="1" si="29"/>
        <v>48.758580000000009</v>
      </c>
      <c r="V71" s="426">
        <f t="shared" ca="1" si="29"/>
        <v>48.758580000000009</v>
      </c>
      <c r="W71" s="426">
        <f t="shared" ca="1" si="29"/>
        <v>48.758580000000009</v>
      </c>
      <c r="X71" s="426">
        <f t="shared" ca="1" si="29"/>
        <v>48.758580000000009</v>
      </c>
      <c r="Y71" s="426">
        <f t="shared" ca="1" si="29"/>
        <v>48.758579999999988</v>
      </c>
      <c r="Z71" s="426">
        <f t="shared" ca="1" si="29"/>
        <v>48.758579999999995</v>
      </c>
      <c r="AA71" s="426">
        <f t="shared" ca="1" si="29"/>
        <v>48.758579999999995</v>
      </c>
      <c r="AB71" s="426">
        <f t="shared" ca="1" si="29"/>
        <v>41.257259999999782</v>
      </c>
      <c r="AC71" s="426">
        <f t="shared" ca="1" si="29"/>
        <v>30.005279999999356</v>
      </c>
      <c r="AD71" s="426">
        <f t="shared" ca="1" si="29"/>
        <v>18.753299999998934</v>
      </c>
      <c r="AF71" s="26"/>
      <c r="AG71" s="427" t="s">
        <v>1793</v>
      </c>
      <c r="AH71" s="428"/>
      <c r="AI71" s="428" t="s">
        <v>1900</v>
      </c>
      <c r="AJ71" s="429"/>
      <c r="AK71" s="429" t="s">
        <v>545</v>
      </c>
      <c r="AL71" s="426">
        <f t="shared" ref="AL71:BH71" ca="1" si="30">AL68</f>
        <v>48.758580000000016</v>
      </c>
      <c r="AM71" s="426">
        <f t="shared" ca="1" si="30"/>
        <v>48.758580000000016</v>
      </c>
      <c r="AN71" s="426">
        <f t="shared" ca="1" si="30"/>
        <v>48.758579999999959</v>
      </c>
      <c r="AO71" s="426">
        <f t="shared" ca="1" si="30"/>
        <v>48.758580000000016</v>
      </c>
      <c r="AP71" s="426">
        <f t="shared" ca="1" si="30"/>
        <v>48.758579999999959</v>
      </c>
      <c r="AQ71" s="426">
        <f t="shared" ca="1" si="30"/>
        <v>48.758579999999959</v>
      </c>
      <c r="AR71" s="426">
        <f t="shared" ca="1" si="30"/>
        <v>48.758580000000016</v>
      </c>
      <c r="AS71" s="426">
        <f t="shared" ca="1" si="30"/>
        <v>48.758579999999988</v>
      </c>
      <c r="AT71" s="426">
        <f t="shared" ca="1" si="30"/>
        <v>48.758580000000016</v>
      </c>
      <c r="AU71" s="426">
        <f t="shared" ca="1" si="30"/>
        <v>48.758579999999988</v>
      </c>
      <c r="AV71" s="426">
        <f t="shared" ca="1" si="30"/>
        <v>48.758579999999988</v>
      </c>
      <c r="AW71" s="426">
        <f t="shared" ca="1" si="30"/>
        <v>48.758580000000009</v>
      </c>
      <c r="AX71" s="426">
        <f t="shared" ca="1" si="30"/>
        <v>48.758580000000009</v>
      </c>
      <c r="AY71" s="426">
        <f t="shared" ca="1" si="30"/>
        <v>48.758580000000009</v>
      </c>
      <c r="AZ71" s="426">
        <f t="shared" ca="1" si="30"/>
        <v>48.758580000000009</v>
      </c>
      <c r="BA71" s="426">
        <f t="shared" ca="1" si="30"/>
        <v>48.758580000000009</v>
      </c>
      <c r="BB71" s="426">
        <f t="shared" ca="1" si="30"/>
        <v>48.758580000000009</v>
      </c>
      <c r="BC71" s="426">
        <f t="shared" ca="1" si="30"/>
        <v>48.758579999999988</v>
      </c>
      <c r="BD71" s="426">
        <f t="shared" ca="1" si="30"/>
        <v>48.758579999999995</v>
      </c>
      <c r="BE71" s="426">
        <f t="shared" ca="1" si="30"/>
        <v>48.758579999999995</v>
      </c>
      <c r="BF71" s="426">
        <f t="shared" ca="1" si="30"/>
        <v>41.257259999999782</v>
      </c>
      <c r="BG71" s="426">
        <f t="shared" ca="1" si="30"/>
        <v>30.005279999999356</v>
      </c>
      <c r="BH71" s="426">
        <f t="shared" ca="1" si="30"/>
        <v>18.753299999998934</v>
      </c>
    </row>
    <row r="72" spans="2:60" ht="15.75" thickTop="1">
      <c r="C72" s="383" t="s">
        <v>1799</v>
      </c>
      <c r="D72" s="416"/>
      <c r="E72" s="416"/>
      <c r="F72" s="417" t="s">
        <v>1901</v>
      </c>
      <c r="G72" s="417" t="s">
        <v>545</v>
      </c>
      <c r="H72" s="418">
        <f t="shared" ref="H72:AD72" ca="1" si="31">SUM(H69:H71)</f>
        <v>141.33282036000014</v>
      </c>
      <c r="I72" s="418">
        <f t="shared" ca="1" si="31"/>
        <v>169.83783636000015</v>
      </c>
      <c r="J72" s="418">
        <f t="shared" ca="1" si="31"/>
        <v>198.34285236000008</v>
      </c>
      <c r="K72" s="418">
        <f t="shared" ca="1" si="31"/>
        <v>261.05388756000008</v>
      </c>
      <c r="L72" s="418">
        <f t="shared" ca="1" si="31"/>
        <v>323.76492276000016</v>
      </c>
      <c r="M72" s="418">
        <f t="shared" ca="1" si="31"/>
        <v>386.47595796000013</v>
      </c>
      <c r="N72" s="418">
        <f t="shared" ca="1" si="31"/>
        <v>449.18699316000016</v>
      </c>
      <c r="O72" s="418">
        <f t="shared" ca="1" si="31"/>
        <v>511.89802836001638</v>
      </c>
      <c r="P72" s="418">
        <f t="shared" ca="1" si="31"/>
        <v>611.66558436000662</v>
      </c>
      <c r="Q72" s="418">
        <f t="shared" ca="1" si="31"/>
        <v>711.43314035999674</v>
      </c>
      <c r="R72" s="418">
        <f t="shared" ca="1" si="31"/>
        <v>811.20069636002768</v>
      </c>
      <c r="S72" s="418">
        <f t="shared" ca="1" si="31"/>
        <v>910.96825236001791</v>
      </c>
      <c r="T72" s="418">
        <f t="shared" ca="1" si="31"/>
        <v>1010.7358083600083</v>
      </c>
      <c r="U72" s="418">
        <f t="shared" ca="1" si="31"/>
        <v>1053.4933323599996</v>
      </c>
      <c r="V72" s="418">
        <f t="shared" ca="1" si="31"/>
        <v>1096.2508563600013</v>
      </c>
      <c r="W72" s="418">
        <f t="shared" ca="1" si="31"/>
        <v>1139.008380360003</v>
      </c>
      <c r="X72" s="418">
        <f t="shared" ca="1" si="31"/>
        <v>1181.7659043600045</v>
      </c>
      <c r="Y72" s="418">
        <f t="shared" ca="1" si="31"/>
        <v>1224.5234283599959</v>
      </c>
      <c r="Z72" s="418">
        <f t="shared" ca="1" si="31"/>
        <v>1267.2809523599974</v>
      </c>
      <c r="AA72" s="418">
        <f t="shared" ca="1" si="31"/>
        <v>1310.0384763599991</v>
      </c>
      <c r="AB72" s="418">
        <f t="shared" ca="1" si="31"/>
        <v>1345.2946803600007</v>
      </c>
      <c r="AC72" s="418">
        <f t="shared" ca="1" si="31"/>
        <v>1376.8002243600019</v>
      </c>
      <c r="AD72" s="418">
        <f t="shared" ca="1" si="31"/>
        <v>1408.305768360003</v>
      </c>
      <c r="AF72" s="26"/>
      <c r="AG72" s="383" t="s">
        <v>1799</v>
      </c>
      <c r="AH72" s="416"/>
      <c r="AI72" s="416"/>
      <c r="AJ72" s="417" t="s">
        <v>1901</v>
      </c>
      <c r="AK72" s="417" t="s">
        <v>545</v>
      </c>
      <c r="AL72" s="418">
        <f t="shared" ref="AL72:BH72" ca="1" si="32">SUM(AL69:AL71)</f>
        <v>141.33282036000014</v>
      </c>
      <c r="AM72" s="418">
        <f t="shared" ca="1" si="32"/>
        <v>169.83783636000015</v>
      </c>
      <c r="AN72" s="418">
        <f t="shared" ca="1" si="32"/>
        <v>198.34285236000008</v>
      </c>
      <c r="AO72" s="418">
        <f t="shared" ca="1" si="32"/>
        <v>261.05388756000008</v>
      </c>
      <c r="AP72" s="418">
        <f t="shared" ca="1" si="32"/>
        <v>323.76492276000016</v>
      </c>
      <c r="AQ72" s="418">
        <f t="shared" ca="1" si="32"/>
        <v>386.47595796000013</v>
      </c>
      <c r="AR72" s="418">
        <f t="shared" ca="1" si="32"/>
        <v>449.18699316000016</v>
      </c>
      <c r="AS72" s="418">
        <f t="shared" ca="1" si="32"/>
        <v>511.89802836001638</v>
      </c>
      <c r="AT72" s="418">
        <f t="shared" ca="1" si="32"/>
        <v>611.66558436000662</v>
      </c>
      <c r="AU72" s="418">
        <f t="shared" ca="1" si="32"/>
        <v>711.43314035999674</v>
      </c>
      <c r="AV72" s="418">
        <f t="shared" ca="1" si="32"/>
        <v>811.20069636002768</v>
      </c>
      <c r="AW72" s="418">
        <f t="shared" ca="1" si="32"/>
        <v>910.96825236001791</v>
      </c>
      <c r="AX72" s="418">
        <f t="shared" ca="1" si="32"/>
        <v>1010.7358083600083</v>
      </c>
      <c r="AY72" s="418">
        <f t="shared" ca="1" si="32"/>
        <v>1053.4933323599996</v>
      </c>
      <c r="AZ72" s="418">
        <f t="shared" ca="1" si="32"/>
        <v>1096.2508563600013</v>
      </c>
      <c r="BA72" s="418">
        <f t="shared" ca="1" si="32"/>
        <v>1139.008380360003</v>
      </c>
      <c r="BB72" s="418">
        <f t="shared" ca="1" si="32"/>
        <v>1181.7659043600045</v>
      </c>
      <c r="BC72" s="418">
        <f t="shared" ca="1" si="32"/>
        <v>1224.5234283599959</v>
      </c>
      <c r="BD72" s="418">
        <f t="shared" ca="1" si="32"/>
        <v>1267.2809523599974</v>
      </c>
      <c r="BE72" s="418">
        <f t="shared" ca="1" si="32"/>
        <v>1310.0384763599991</v>
      </c>
      <c r="BF72" s="418">
        <f t="shared" ca="1" si="32"/>
        <v>1345.2946803600007</v>
      </c>
      <c r="BG72" s="418">
        <f t="shared" ca="1" si="32"/>
        <v>1376.8002243600019</v>
      </c>
      <c r="BH72" s="418">
        <f t="shared" ca="1" si="32"/>
        <v>1408.305768360003</v>
      </c>
    </row>
    <row r="73" spans="2:60" ht="15">
      <c r="H73" s="418"/>
      <c r="I73" s="418"/>
      <c r="J73" s="418"/>
      <c r="AL73" s="418"/>
      <c r="AM73" s="418"/>
      <c r="AN73" s="418"/>
    </row>
    <row r="74" spans="2:60">
      <c r="AL74">
        <v>713.8315582240765</v>
      </c>
      <c r="AM74">
        <v>726.55904995222909</v>
      </c>
      <c r="AN74">
        <v>739.28654168038838</v>
      </c>
      <c r="AO74">
        <v>801.99757688038846</v>
      </c>
      <c r="AP74">
        <v>864.70861208038855</v>
      </c>
      <c r="AQ74">
        <v>927.41964728038852</v>
      </c>
      <c r="AR74">
        <v>990.1306824803886</v>
      </c>
      <c r="AS74">
        <v>1052.8417176804046</v>
      </c>
      <c r="AT74">
        <v>1152.6092736803948</v>
      </c>
      <c r="AU74">
        <v>1252.3768296803851</v>
      </c>
      <c r="AV74">
        <v>1352.144385680416</v>
      </c>
      <c r="AW74">
        <v>1451.9119416804062</v>
      </c>
      <c r="AX74">
        <v>1551.6794976803965</v>
      </c>
      <c r="AY74">
        <v>1594.4370216803879</v>
      </c>
      <c r="AZ74">
        <v>1637.1945456803896</v>
      </c>
      <c r="BA74">
        <v>1679.9520696803913</v>
      </c>
      <c r="BB74">
        <v>1722.7095936803928</v>
      </c>
      <c r="BC74">
        <v>1765.4671176803843</v>
      </c>
      <c r="BD74">
        <v>1808.2246416803857</v>
      </c>
      <c r="BE74">
        <v>1850.9821656803874</v>
      </c>
      <c r="BF74">
        <v>1886.238369680389</v>
      </c>
      <c r="BG74">
        <v>1917.7439136803903</v>
      </c>
      <c r="BH74">
        <v>1949.2494576803913</v>
      </c>
    </row>
    <row r="75" spans="2:60" ht="15">
      <c r="C75" s="383" t="s">
        <v>1902</v>
      </c>
      <c r="D75" s="385"/>
      <c r="E75" s="385"/>
      <c r="F75" s="386"/>
      <c r="G75" s="386"/>
      <c r="AF75" s="26"/>
      <c r="AG75" s="383" t="s">
        <v>1902</v>
      </c>
      <c r="AH75" s="385"/>
      <c r="AI75" s="385"/>
      <c r="AJ75" s="386"/>
      <c r="AK75" s="386"/>
    </row>
    <row r="76" spans="2:60" ht="28.5">
      <c r="C76" s="387" t="s">
        <v>1818</v>
      </c>
      <c r="D76" s="389" t="s">
        <v>1819</v>
      </c>
      <c r="E76" s="389" t="s">
        <v>1531</v>
      </c>
      <c r="F76" s="389" t="s">
        <v>21</v>
      </c>
      <c r="G76" s="390" t="s">
        <v>1596</v>
      </c>
      <c r="H76" s="391">
        <v>2028</v>
      </c>
      <c r="I76" s="391">
        <v>2029</v>
      </c>
      <c r="J76" s="391">
        <v>2030</v>
      </c>
      <c r="K76" s="391">
        <v>2031</v>
      </c>
      <c r="L76" s="391">
        <v>2032</v>
      </c>
      <c r="M76" s="391">
        <v>2033</v>
      </c>
      <c r="N76" s="391">
        <v>2034</v>
      </c>
      <c r="O76" s="391">
        <v>2035</v>
      </c>
      <c r="P76" s="392">
        <v>2036</v>
      </c>
      <c r="Q76" s="392">
        <v>2037</v>
      </c>
      <c r="R76" s="391">
        <v>2038</v>
      </c>
      <c r="S76" s="391">
        <v>2039</v>
      </c>
      <c r="T76" s="391">
        <v>2040</v>
      </c>
      <c r="U76" s="391">
        <v>2041</v>
      </c>
      <c r="V76" s="391">
        <v>2042</v>
      </c>
      <c r="W76" s="391">
        <v>2043</v>
      </c>
      <c r="X76" s="391">
        <v>2044</v>
      </c>
      <c r="Y76" s="391">
        <v>2045</v>
      </c>
      <c r="Z76" s="392">
        <v>2046</v>
      </c>
      <c r="AA76" s="392">
        <v>2047</v>
      </c>
      <c r="AB76" s="391">
        <v>2048</v>
      </c>
      <c r="AC76" s="391">
        <v>2049</v>
      </c>
      <c r="AD76" s="391">
        <v>2050</v>
      </c>
      <c r="AF76" s="26"/>
      <c r="AG76" s="387" t="s">
        <v>1818</v>
      </c>
      <c r="AH76" s="389" t="s">
        <v>1819</v>
      </c>
      <c r="AI76" s="389" t="s">
        <v>1531</v>
      </c>
      <c r="AJ76" s="389" t="s">
        <v>21</v>
      </c>
      <c r="AK76" s="390" t="s">
        <v>1596</v>
      </c>
      <c r="AL76" s="391">
        <v>2028</v>
      </c>
      <c r="AM76" s="391">
        <v>2029</v>
      </c>
      <c r="AN76" s="391">
        <v>2030</v>
      </c>
      <c r="AO76" s="391">
        <v>2031</v>
      </c>
      <c r="AP76" s="391">
        <v>2032</v>
      </c>
      <c r="AQ76" s="391">
        <v>2033</v>
      </c>
      <c r="AR76" s="391">
        <v>2034</v>
      </c>
      <c r="AS76" s="391">
        <v>2035</v>
      </c>
      <c r="AT76" s="392">
        <v>2036</v>
      </c>
      <c r="AU76" s="392">
        <v>2037</v>
      </c>
      <c r="AV76" s="391">
        <v>2038</v>
      </c>
      <c r="AW76" s="391">
        <v>2039</v>
      </c>
      <c r="AX76" s="391">
        <v>2040</v>
      </c>
      <c r="AY76" s="391">
        <v>2041</v>
      </c>
      <c r="AZ76" s="391">
        <v>2042</v>
      </c>
      <c r="BA76" s="391">
        <v>2043</v>
      </c>
      <c r="BB76" s="391">
        <v>2044</v>
      </c>
      <c r="BC76" s="391">
        <v>2045</v>
      </c>
      <c r="BD76" s="392">
        <v>2046</v>
      </c>
      <c r="BE76" s="392">
        <v>2047</v>
      </c>
      <c r="BF76" s="391">
        <v>2048</v>
      </c>
      <c r="BG76" s="391">
        <v>2049</v>
      </c>
      <c r="BH76" s="391">
        <v>2050</v>
      </c>
    </row>
    <row r="77" spans="2:60">
      <c r="C77" s="337" t="s">
        <v>1903</v>
      </c>
      <c r="D77" s="385"/>
      <c r="E77" s="385" t="s">
        <v>1904</v>
      </c>
      <c r="F77" s="386" t="s">
        <v>1882</v>
      </c>
      <c r="G77" s="386" t="s">
        <v>587</v>
      </c>
      <c r="H77" s="398">
        <f>H$31-H$41</f>
        <v>2449.8290886516602</v>
      </c>
      <c r="I77" s="398">
        <f t="shared" ref="I77:AD77" si="33">I$31-I$41</f>
        <v>2449.220042142877</v>
      </c>
      <c r="J77" s="398">
        <f t="shared" si="33"/>
        <v>2448.6215357213928</v>
      </c>
      <c r="K77" s="398">
        <f t="shared" si="33"/>
        <v>2447.8832462416681</v>
      </c>
      <c r="L77" s="398">
        <f t="shared" si="33"/>
        <v>2447.1552510774104</v>
      </c>
      <c r="M77" s="398">
        <f t="shared" si="33"/>
        <v>2446.4355980653622</v>
      </c>
      <c r="N77" s="398">
        <f t="shared" si="33"/>
        <v>2445.728219735644</v>
      </c>
      <c r="O77" s="398">
        <f t="shared" si="33"/>
        <v>2445.0311357213932</v>
      </c>
      <c r="P77" s="398">
        <f t="shared" si="33"/>
        <v>2444.1501542406759</v>
      </c>
      <c r="Q77" s="398">
        <f t="shared" si="33"/>
        <v>2443.2792510477307</v>
      </c>
      <c r="R77" s="398">
        <f t="shared" si="33"/>
        <v>2442.4231851763993</v>
      </c>
      <c r="S77" s="398">
        <f t="shared" si="33"/>
        <v>2441.5795600676197</v>
      </c>
      <c r="T77" s="398">
        <f t="shared" si="33"/>
        <v>2440.7483757213931</v>
      </c>
      <c r="U77" s="398">
        <f t="shared" si="33"/>
        <v>2439.7137411163312</v>
      </c>
      <c r="V77" s="398">
        <f t="shared" si="33"/>
        <v>2438.6964366601846</v>
      </c>
      <c r="W77" s="398">
        <f t="shared" si="33"/>
        <v>2437.6936156421225</v>
      </c>
      <c r="X77" s="398">
        <f t="shared" si="33"/>
        <v>2436.7052780621439</v>
      </c>
      <c r="Y77" s="398">
        <f t="shared" si="33"/>
        <v>2435.728775721393</v>
      </c>
      <c r="Z77" s="398">
        <f t="shared" si="33"/>
        <v>2434.4977271754419</v>
      </c>
      <c r="AA77" s="398">
        <f t="shared" si="33"/>
        <v>2433.283799062232</v>
      </c>
      <c r="AB77" s="398">
        <f t="shared" si="33"/>
        <v>2432.0869913817642</v>
      </c>
      <c r="AC77" s="398">
        <f t="shared" si="33"/>
        <v>2430.9040956310823</v>
      </c>
      <c r="AD77" s="398">
        <f t="shared" si="33"/>
        <v>2429.741575721393</v>
      </c>
      <c r="AF77" s="26"/>
      <c r="AG77" s="337" t="s">
        <v>1903</v>
      </c>
      <c r="AH77" s="385"/>
      <c r="AI77" s="385" t="s">
        <v>1904</v>
      </c>
      <c r="AJ77" s="386" t="s">
        <v>1882</v>
      </c>
      <c r="AK77" s="386" t="s">
        <v>587</v>
      </c>
      <c r="AL77" s="398">
        <f>AL$41-AL$31</f>
        <v>24.219613423269728</v>
      </c>
      <c r="AM77" s="398">
        <f t="shared" ref="AM77:BH77" si="34">AM$41-AM$31</f>
        <v>25.880459234841922</v>
      </c>
      <c r="AN77" s="398">
        <f t="shared" si="34"/>
        <v>27.530764959114798</v>
      </c>
      <c r="AO77" s="398">
        <f t="shared" si="34"/>
        <v>28.274231477428991</v>
      </c>
      <c r="AP77" s="398">
        <f t="shared" si="34"/>
        <v>29.007403680275615</v>
      </c>
      <c r="AQ77" s="398">
        <f t="shared" si="34"/>
        <v>29.732233730912881</v>
      </c>
      <c r="AR77" s="398">
        <f t="shared" si="34"/>
        <v>30.444789099220309</v>
      </c>
      <c r="AS77" s="398">
        <f t="shared" si="34"/>
        <v>31.147050152060153</v>
      </c>
      <c r="AT77" s="398">
        <f t="shared" si="34"/>
        <v>32.052700642481767</v>
      </c>
      <c r="AU77" s="398">
        <f t="shared" si="34"/>
        <v>32.948272845131157</v>
      </c>
      <c r="AV77" s="398">
        <f t="shared" si="34"/>
        <v>33.829007726167099</v>
      </c>
      <c r="AW77" s="398">
        <f t="shared" si="34"/>
        <v>34.697301844650696</v>
      </c>
      <c r="AX77" s="398">
        <f t="shared" si="34"/>
        <v>35.553155200581955</v>
      </c>
      <c r="AY77" s="398">
        <f t="shared" si="34"/>
        <v>36.611771449655208</v>
      </c>
      <c r="AZ77" s="398">
        <f t="shared" si="34"/>
        <v>37.653057549812772</v>
      </c>
      <c r="BA77" s="398">
        <f t="shared" si="34"/>
        <v>38.679860211886421</v>
      </c>
      <c r="BB77" s="398">
        <f t="shared" si="34"/>
        <v>39.692179435876163</v>
      </c>
      <c r="BC77" s="398">
        <f t="shared" si="34"/>
        <v>40.692663420638233</v>
      </c>
      <c r="BD77" s="398">
        <f t="shared" si="34"/>
        <v>41.944523038100193</v>
      </c>
      <c r="BE77" s="398">
        <f t="shared" si="34"/>
        <v>43.179262222820526</v>
      </c>
      <c r="BF77" s="398">
        <f t="shared" si="34"/>
        <v>44.396880974799267</v>
      </c>
      <c r="BG77" s="398">
        <f t="shared" si="34"/>
        <v>45.600587796991711</v>
      </c>
      <c r="BH77" s="398">
        <f t="shared" si="34"/>
        <v>46.78391877819201</v>
      </c>
    </row>
    <row r="78" spans="2:60">
      <c r="C78" s="337" t="s">
        <v>1905</v>
      </c>
      <c r="D78" s="385"/>
      <c r="E78" s="385"/>
      <c r="F78" s="386" t="s">
        <v>1618</v>
      </c>
      <c r="G78" s="386" t="s">
        <v>581</v>
      </c>
      <c r="H78" s="398">
        <f>H$27-H$39</f>
        <v>5.654911E-2</v>
      </c>
      <c r="I78" s="398">
        <f t="shared" ref="I78:AD78" si="35">I$27-I$39</f>
        <v>5.654911E-2</v>
      </c>
      <c r="J78" s="398">
        <f t="shared" si="35"/>
        <v>5.654911E-2</v>
      </c>
      <c r="K78" s="398">
        <f t="shared" si="35"/>
        <v>5.654911E-2</v>
      </c>
      <c r="L78" s="398">
        <f t="shared" si="35"/>
        <v>5.654911E-2</v>
      </c>
      <c r="M78" s="398">
        <f t="shared" si="35"/>
        <v>5.654911E-2</v>
      </c>
      <c r="N78" s="398">
        <f t="shared" si="35"/>
        <v>5.654911E-2</v>
      </c>
      <c r="O78" s="398">
        <f t="shared" si="35"/>
        <v>5.654911E-2</v>
      </c>
      <c r="P78" s="398">
        <f t="shared" si="35"/>
        <v>5.654911E-2</v>
      </c>
      <c r="Q78" s="398">
        <f t="shared" si="35"/>
        <v>5.654911E-2</v>
      </c>
      <c r="R78" s="398">
        <f t="shared" si="35"/>
        <v>5.654911E-2</v>
      </c>
      <c r="S78" s="398">
        <f t="shared" si="35"/>
        <v>5.654911E-2</v>
      </c>
      <c r="T78" s="398">
        <f t="shared" si="35"/>
        <v>5.654911E-2</v>
      </c>
      <c r="U78" s="398">
        <f t="shared" si="35"/>
        <v>5.654911E-2</v>
      </c>
      <c r="V78" s="398">
        <f t="shared" si="35"/>
        <v>5.654911E-2</v>
      </c>
      <c r="W78" s="398">
        <f t="shared" si="35"/>
        <v>5.654911E-2</v>
      </c>
      <c r="X78" s="398">
        <f t="shared" si="35"/>
        <v>5.654911E-2</v>
      </c>
      <c r="Y78" s="398">
        <f t="shared" si="35"/>
        <v>5.654911E-2</v>
      </c>
      <c r="Z78" s="398">
        <f t="shared" si="35"/>
        <v>5.654911E-2</v>
      </c>
      <c r="AA78" s="398">
        <f t="shared" si="35"/>
        <v>5.654911E-2</v>
      </c>
      <c r="AB78" s="398">
        <f t="shared" si="35"/>
        <v>5.654911E-2</v>
      </c>
      <c r="AC78" s="398">
        <f t="shared" si="35"/>
        <v>5.654911E-2</v>
      </c>
      <c r="AD78" s="398">
        <f t="shared" si="35"/>
        <v>5.654911E-2</v>
      </c>
      <c r="AF78" s="26"/>
      <c r="AG78" s="337" t="s">
        <v>1905</v>
      </c>
      <c r="AH78" s="385"/>
      <c r="AI78" s="385"/>
      <c r="AJ78" s="386" t="s">
        <v>1618</v>
      </c>
      <c r="AK78" s="386" t="s">
        <v>581</v>
      </c>
      <c r="AL78" s="398">
        <f>AL$27-AL$39</f>
        <v>5.654911E-2</v>
      </c>
      <c r="AM78" s="398">
        <f t="shared" ref="AM78:BH78" si="36">AM$27-AM$39</f>
        <v>5.654911E-2</v>
      </c>
      <c r="AN78" s="398">
        <f t="shared" si="36"/>
        <v>5.654911E-2</v>
      </c>
      <c r="AO78" s="398">
        <f t="shared" si="36"/>
        <v>5.654911E-2</v>
      </c>
      <c r="AP78" s="398">
        <f t="shared" si="36"/>
        <v>5.654911E-2</v>
      </c>
      <c r="AQ78" s="398">
        <f t="shared" si="36"/>
        <v>5.654911E-2</v>
      </c>
      <c r="AR78" s="398">
        <f t="shared" si="36"/>
        <v>5.654911E-2</v>
      </c>
      <c r="AS78" s="398">
        <f t="shared" si="36"/>
        <v>5.654911E-2</v>
      </c>
      <c r="AT78" s="398">
        <f t="shared" si="36"/>
        <v>5.654911E-2</v>
      </c>
      <c r="AU78" s="398">
        <f t="shared" si="36"/>
        <v>5.654911E-2</v>
      </c>
      <c r="AV78" s="398">
        <f t="shared" si="36"/>
        <v>5.654911E-2</v>
      </c>
      <c r="AW78" s="398">
        <f t="shared" si="36"/>
        <v>5.654911E-2</v>
      </c>
      <c r="AX78" s="398">
        <f t="shared" si="36"/>
        <v>5.654911E-2</v>
      </c>
      <c r="AY78" s="398">
        <f t="shared" si="36"/>
        <v>5.654911E-2</v>
      </c>
      <c r="AZ78" s="398">
        <f t="shared" si="36"/>
        <v>5.654911E-2</v>
      </c>
      <c r="BA78" s="398">
        <f t="shared" si="36"/>
        <v>5.654911E-2</v>
      </c>
      <c r="BB78" s="398">
        <f t="shared" si="36"/>
        <v>5.654911E-2</v>
      </c>
      <c r="BC78" s="398">
        <f t="shared" si="36"/>
        <v>5.654911E-2</v>
      </c>
      <c r="BD78" s="398">
        <f t="shared" si="36"/>
        <v>5.654911E-2</v>
      </c>
      <c r="BE78" s="398">
        <f t="shared" si="36"/>
        <v>5.654911E-2</v>
      </c>
      <c r="BF78" s="398">
        <f t="shared" si="36"/>
        <v>5.654911E-2</v>
      </c>
      <c r="BG78" s="398">
        <f t="shared" si="36"/>
        <v>5.654911E-2</v>
      </c>
      <c r="BH78" s="398">
        <f t="shared" si="36"/>
        <v>5.654911E-2</v>
      </c>
    </row>
    <row r="79" spans="2:60" ht="15">
      <c r="B79" s="415" t="s">
        <v>1884</v>
      </c>
      <c r="C79" s="337" t="s">
        <v>1906</v>
      </c>
      <c r="D79" s="385"/>
      <c r="E79" s="385" t="s">
        <v>1625</v>
      </c>
      <c r="F79" s="386" t="s">
        <v>1624</v>
      </c>
      <c r="G79" s="386" t="s">
        <v>572</v>
      </c>
      <c r="H79" s="398">
        <f>H77/H78</f>
        <v>43322.151111691419</v>
      </c>
      <c r="I79" s="398">
        <f t="shared" ref="I79:AD79" si="37">I77/I78</f>
        <v>43311.380888980872</v>
      </c>
      <c r="J79" s="398">
        <f t="shared" si="37"/>
        <v>43300.797054478717</v>
      </c>
      <c r="K79" s="398">
        <f t="shared" si="37"/>
        <v>43287.741332121193</v>
      </c>
      <c r="L79" s="398">
        <f t="shared" si="37"/>
        <v>43274.867651805842</v>
      </c>
      <c r="M79" s="398">
        <f t="shared" si="37"/>
        <v>43262.141491976836</v>
      </c>
      <c r="N79" s="398">
        <f t="shared" si="37"/>
        <v>43249.632394491156</v>
      </c>
      <c r="O79" s="398">
        <f t="shared" si="37"/>
        <v>43237.305339047656</v>
      </c>
      <c r="P79" s="398">
        <f t="shared" si="37"/>
        <v>43221.726287835052</v>
      </c>
      <c r="Q79" s="398">
        <f t="shared" si="37"/>
        <v>43206.325458486099</v>
      </c>
      <c r="R79" s="398">
        <f t="shared" si="37"/>
        <v>43191.187008538232</v>
      </c>
      <c r="S79" s="398">
        <f t="shared" si="37"/>
        <v>43176.268557853866</v>
      </c>
      <c r="T79" s="398">
        <f t="shared" si="37"/>
        <v>43161.570106433028</v>
      </c>
      <c r="U79" s="398">
        <f t="shared" si="37"/>
        <v>43143.273892663055</v>
      </c>
      <c r="V79" s="398">
        <f t="shared" si="37"/>
        <v>43125.284140814678</v>
      </c>
      <c r="W79" s="398">
        <f t="shared" si="37"/>
        <v>43107.550510381552</v>
      </c>
      <c r="X79" s="398">
        <f t="shared" si="37"/>
        <v>43090.073001363664</v>
      </c>
      <c r="Y79" s="398">
        <f t="shared" si="37"/>
        <v>43072.804783689666</v>
      </c>
      <c r="Z79" s="398">
        <f t="shared" si="37"/>
        <v>43051.03523601772</v>
      </c>
      <c r="AA79" s="398">
        <f t="shared" si="37"/>
        <v>43029.568441700176</v>
      </c>
      <c r="AB79" s="398">
        <f t="shared" si="37"/>
        <v>43008.404400737061</v>
      </c>
      <c r="AC79" s="398">
        <f t="shared" si="37"/>
        <v>42987.486374782595</v>
      </c>
      <c r="AD79" s="398">
        <f t="shared" si="37"/>
        <v>42966.928669989553</v>
      </c>
      <c r="AF79" s="415" t="s">
        <v>1884</v>
      </c>
      <c r="AG79" s="337" t="s">
        <v>1906</v>
      </c>
      <c r="AH79" s="385"/>
      <c r="AI79" s="385" t="s">
        <v>1625</v>
      </c>
      <c r="AJ79" s="386" t="s">
        <v>1624</v>
      </c>
      <c r="AK79" s="386" t="s">
        <v>572</v>
      </c>
      <c r="AL79" s="398">
        <f>AL77/AL78</f>
        <v>428.29345012272921</v>
      </c>
      <c r="AM79" s="398">
        <f t="shared" ref="AM79:BH79" si="38">AM77/AM78</f>
        <v>457.66342272834925</v>
      </c>
      <c r="AN79" s="398">
        <f t="shared" si="38"/>
        <v>486.84700712557276</v>
      </c>
      <c r="AO79" s="398">
        <f t="shared" si="38"/>
        <v>499.99427890958833</v>
      </c>
      <c r="AP79" s="398">
        <f t="shared" si="38"/>
        <v>512.95950865142913</v>
      </c>
      <c r="AQ79" s="398">
        <f t="shared" si="38"/>
        <v>525.77721790692874</v>
      </c>
      <c r="AR79" s="398">
        <f t="shared" si="38"/>
        <v>538.37786481909814</v>
      </c>
      <c r="AS79" s="398">
        <f t="shared" si="38"/>
        <v>550.79646968909242</v>
      </c>
      <c r="AT79" s="398">
        <f t="shared" si="38"/>
        <v>566.81176136073168</v>
      </c>
      <c r="AU79" s="398">
        <f t="shared" si="38"/>
        <v>582.64883116871613</v>
      </c>
      <c r="AV79" s="398">
        <f t="shared" si="38"/>
        <v>598.22352157561988</v>
      </c>
      <c r="AW79" s="398">
        <f t="shared" si="38"/>
        <v>613.57821271901003</v>
      </c>
      <c r="AX79" s="398">
        <f t="shared" si="38"/>
        <v>628.71290459888678</v>
      </c>
      <c r="AY79" s="398">
        <f t="shared" si="38"/>
        <v>647.43320362876102</v>
      </c>
      <c r="AZ79" s="398">
        <f t="shared" si="38"/>
        <v>665.84704073702972</v>
      </c>
      <c r="BA79" s="398">
        <f t="shared" si="38"/>
        <v>684.00475643005564</v>
      </c>
      <c r="BB79" s="398">
        <f t="shared" si="38"/>
        <v>701.90635070783901</v>
      </c>
      <c r="BC79" s="398">
        <f t="shared" si="38"/>
        <v>719.59865364173254</v>
      </c>
      <c r="BD79" s="398">
        <f t="shared" si="38"/>
        <v>741.73621898028443</v>
      </c>
      <c r="BE79" s="398">
        <f t="shared" si="38"/>
        <v>763.57103096442233</v>
      </c>
      <c r="BF79" s="398">
        <f t="shared" si="38"/>
        <v>785.10308959414692</v>
      </c>
      <c r="BG79" s="398">
        <f t="shared" si="38"/>
        <v>806.38913321521261</v>
      </c>
      <c r="BH79" s="398">
        <f t="shared" si="38"/>
        <v>827.31485567486402</v>
      </c>
    </row>
    <row r="80" spans="2:60">
      <c r="C80" s="337" t="s">
        <v>1886</v>
      </c>
      <c r="D80" s="385"/>
      <c r="E80" s="385" t="s">
        <v>1887</v>
      </c>
      <c r="F80" s="386" t="s">
        <v>1888</v>
      </c>
      <c r="G80" s="386" t="s">
        <v>1875</v>
      </c>
      <c r="H80" s="398">
        <f>MIN(H79,Data!E$15)</f>
        <v>380</v>
      </c>
      <c r="I80" s="398">
        <f>MIN(I79,Data!F$15)</f>
        <v>380</v>
      </c>
      <c r="J80" s="398">
        <f>MIN(J79,Data!G$15)</f>
        <v>380</v>
      </c>
      <c r="K80" s="398">
        <f>MIN(K79,Data!H$15)</f>
        <v>380</v>
      </c>
      <c r="L80" s="398">
        <f>MIN(L79,Data!I$15)</f>
        <v>380</v>
      </c>
      <c r="M80" s="398">
        <f>MIN(M79,Data!J$15)</f>
        <v>380</v>
      </c>
      <c r="N80" s="398">
        <f>MIN(N79,Data!K$15)</f>
        <v>380</v>
      </c>
      <c r="O80" s="398">
        <f>MIN(O79,Data!L$15)</f>
        <v>380</v>
      </c>
      <c r="P80" s="398">
        <f>MIN(P79,Data!M$15)</f>
        <v>380</v>
      </c>
      <c r="Q80" s="398">
        <f>MIN(Q79,Data!N$15)</f>
        <v>380</v>
      </c>
      <c r="R80" s="398">
        <f>MIN(R79,Data!O$15)</f>
        <v>380</v>
      </c>
      <c r="S80" s="398">
        <f>MIN(S79,Data!P$15)</f>
        <v>380</v>
      </c>
      <c r="T80" s="398">
        <f>MIN(T79,Data!Q$15)</f>
        <v>380</v>
      </c>
      <c r="U80" s="398">
        <f>MIN(U79,Data!R$15)</f>
        <v>380</v>
      </c>
      <c r="V80" s="398">
        <f>MIN(V79,Data!S$15)</f>
        <v>380</v>
      </c>
      <c r="W80" s="398">
        <f>MIN(W79,Data!T$15)</f>
        <v>380</v>
      </c>
      <c r="X80" s="398">
        <f>MIN(X79,Data!U$15)</f>
        <v>380</v>
      </c>
      <c r="Y80" s="398">
        <f>MIN(Y79,Data!V$15)</f>
        <v>380</v>
      </c>
      <c r="Z80" s="398">
        <f>MIN(Z79,Data!W$15)</f>
        <v>380</v>
      </c>
      <c r="AA80" s="398">
        <f>MIN(AA79,Data!X$15)</f>
        <v>380</v>
      </c>
      <c r="AB80" s="398">
        <f>MIN(AB79,Data!Y$15)</f>
        <v>380</v>
      </c>
      <c r="AC80" s="398">
        <f>MIN(AC79,Data!Z$15)</f>
        <v>380</v>
      </c>
      <c r="AD80" s="398">
        <f>MIN(AD79,Data!AA$15)</f>
        <v>380</v>
      </c>
      <c r="AF80" s="26"/>
      <c r="AG80" s="337" t="s">
        <v>1886</v>
      </c>
      <c r="AH80" s="385"/>
      <c r="AI80" s="385" t="s">
        <v>1887</v>
      </c>
      <c r="AJ80" s="386" t="s">
        <v>1888</v>
      </c>
      <c r="AK80" s="386" t="s">
        <v>1875</v>
      </c>
      <c r="AL80" s="398">
        <f>MIN(AL79,Data!E$15)</f>
        <v>380</v>
      </c>
      <c r="AM80" s="398">
        <f>MIN(AM79,Data!F$15)</f>
        <v>380</v>
      </c>
      <c r="AN80" s="398">
        <f>MIN(AN79,Data!G$15)</f>
        <v>380</v>
      </c>
      <c r="AO80" s="398">
        <f>MIN(AO79,Data!H$15)</f>
        <v>380</v>
      </c>
      <c r="AP80" s="398">
        <f>MIN(AP79,Data!I$15)</f>
        <v>380</v>
      </c>
      <c r="AQ80" s="398">
        <f>MIN(AQ79,Data!J$15)</f>
        <v>380</v>
      </c>
      <c r="AR80" s="398">
        <f>MIN(AR79,Data!K$15)</f>
        <v>380</v>
      </c>
      <c r="AS80" s="398">
        <f>MIN(AS79,Data!L$15)</f>
        <v>380</v>
      </c>
      <c r="AT80" s="398">
        <f>MIN(AT79,Data!M$15)</f>
        <v>380</v>
      </c>
      <c r="AU80" s="398">
        <f>MIN(AU79,Data!N$15)</f>
        <v>380</v>
      </c>
      <c r="AV80" s="398">
        <f>MIN(AV79,Data!O$15)</f>
        <v>380</v>
      </c>
      <c r="AW80" s="398">
        <f>MIN(AW79,Data!P$15)</f>
        <v>380</v>
      </c>
      <c r="AX80" s="398">
        <f>MIN(AX79,Data!Q$15)</f>
        <v>380</v>
      </c>
      <c r="AY80" s="398">
        <f>MIN(AY79,Data!R$15)</f>
        <v>380</v>
      </c>
      <c r="AZ80" s="398">
        <f>MIN(AZ79,Data!S$15)</f>
        <v>380</v>
      </c>
      <c r="BA80" s="398">
        <f>MIN(BA79,Data!T$15)</f>
        <v>380</v>
      </c>
      <c r="BB80" s="398">
        <f>MIN(BB79,Data!U$15)</f>
        <v>380</v>
      </c>
      <c r="BC80" s="398">
        <f>MIN(BC79,Data!V$15)</f>
        <v>380</v>
      </c>
      <c r="BD80" s="398">
        <f>MIN(BD79,Data!W$15)</f>
        <v>380</v>
      </c>
      <c r="BE80" s="398">
        <f>MIN(BE79,Data!X$15)</f>
        <v>380</v>
      </c>
      <c r="BF80" s="398">
        <f>MIN(BF79,Data!Y$15)</f>
        <v>380</v>
      </c>
      <c r="BG80" s="398">
        <f>MIN(BG79,Data!Z$15)</f>
        <v>380</v>
      </c>
      <c r="BH80" s="398">
        <f>MIN(BH79,Data!AA$15)</f>
        <v>380</v>
      </c>
    </row>
    <row r="81" spans="2:60">
      <c r="C81" s="337" t="s">
        <v>1889</v>
      </c>
      <c r="D81" s="385"/>
      <c r="E81" s="385" t="s">
        <v>1890</v>
      </c>
      <c r="F81" s="386" t="s">
        <v>1888</v>
      </c>
      <c r="G81" s="386"/>
      <c r="H81" s="398" t="str">
        <f>IF(H80=Data!E$15,Data!$B$15,$C79)</f>
        <v>Tier 2 Remedial Unit Cost</v>
      </c>
      <c r="I81" s="398" t="str">
        <f>IF(I80=Data!F$15,Data!$B$15,$C79)</f>
        <v>Tier 2 Remedial Unit Cost</v>
      </c>
      <c r="J81" s="398" t="str">
        <f>IF(J80=Data!G$15,Data!$B$15,$C79)</f>
        <v>Tier 2 Remedial Unit Cost</v>
      </c>
      <c r="K81" s="398" t="str">
        <f>IF(K80=Data!H$15,Data!$B$15,$C79)</f>
        <v>Tier 2 Remedial Unit Cost</v>
      </c>
      <c r="L81" s="398" t="str">
        <f>IF(L80=Data!I$15,Data!$B$15,$C79)</f>
        <v>Tier 2 Remedial Unit Cost</v>
      </c>
      <c r="M81" s="398" t="str">
        <f>IF(M80=Data!J$15,Data!$B$15,$C79)</f>
        <v>Tier 2 Remedial Unit Cost</v>
      </c>
      <c r="N81" s="398" t="str">
        <f>IF(N80=Data!K$15,Data!$B$15,$C79)</f>
        <v>Tier 2 Remedial Unit Cost</v>
      </c>
      <c r="O81" s="398" t="str">
        <f>IF(O80=Data!L$15,Data!$B$15,$C79)</f>
        <v>Tier 2 Remedial Unit Cost</v>
      </c>
      <c r="P81" s="398" t="str">
        <f>IF(P80=Data!M$15,Data!$B$15,$C79)</f>
        <v>Tier 2 Remedial Unit Cost</v>
      </c>
      <c r="Q81" s="398" t="str">
        <f>IF(Q80=Data!N$15,Data!$B$15,$C79)</f>
        <v>Tier 2 Remedial Unit Cost</v>
      </c>
      <c r="R81" s="398" t="str">
        <f>IF(R80=Data!O$15,Data!$B$15,$C79)</f>
        <v>Tier 2 Remedial Unit Cost</v>
      </c>
      <c r="S81" s="398" t="str">
        <f>IF(S80=Data!P$15,Data!$B$15,$C79)</f>
        <v>Tier 2 Remedial Unit Cost</v>
      </c>
      <c r="T81" s="398" t="str">
        <f>IF(T80=Data!Q$15,Data!$B$15,$C79)</f>
        <v>Tier 2 Remedial Unit Cost</v>
      </c>
      <c r="U81" s="398" t="str">
        <f>IF(U80=Data!R$15,Data!$B$15,$C79)</f>
        <v>Tier 2 Remedial Unit Cost</v>
      </c>
      <c r="V81" s="398" t="str">
        <f>IF(V80=Data!S$15,Data!$B$15,$C79)</f>
        <v>Tier 2 Remedial Unit Cost</v>
      </c>
      <c r="W81" s="398" t="str">
        <f>IF(W80=Data!T$15,Data!$B$15,$C79)</f>
        <v>Tier 2 Remedial Unit Cost</v>
      </c>
      <c r="X81" s="398" t="str">
        <f>IF(X80=Data!U$15,Data!$B$15,$C79)</f>
        <v>Tier 2 Remedial Unit Cost</v>
      </c>
      <c r="Y81" s="398" t="str">
        <f>IF(Y80=Data!V$15,Data!$B$15,$C79)</f>
        <v>Tier 2 Remedial Unit Cost</v>
      </c>
      <c r="Z81" s="398" t="str">
        <f>IF(Z80=Data!W$15,Data!$B$15,$C79)</f>
        <v>Tier 2 Remedial Unit Cost</v>
      </c>
      <c r="AA81" s="398" t="str">
        <f>IF(AA80=Data!X$15,Data!$B$15,$C79)</f>
        <v>Tier 2 Remedial Unit Cost</v>
      </c>
      <c r="AB81" s="398" t="str">
        <f>IF(AB80=Data!Y$15,Data!$B$15,$C79)</f>
        <v>Tier 2 Remedial Unit Cost</v>
      </c>
      <c r="AC81" s="398" t="str">
        <f>IF(AC80=Data!Z$15,Data!$B$15,$C79)</f>
        <v>Tier 2 Remedial Unit Cost</v>
      </c>
      <c r="AD81" s="398" t="str">
        <f>IF(AD80=Data!AA$15,Data!$B$15,$C79)</f>
        <v>Tier 2 Remedial Unit Cost</v>
      </c>
      <c r="AF81" s="26"/>
      <c r="AG81" s="337" t="s">
        <v>1889</v>
      </c>
      <c r="AH81" s="385"/>
      <c r="AI81" s="385" t="s">
        <v>1890</v>
      </c>
      <c r="AJ81" s="386" t="s">
        <v>1888</v>
      </c>
      <c r="AK81" s="386"/>
      <c r="AL81" s="398" t="str">
        <f>IF(AL80=Data!E$15,Data!$B$15,$AG79)</f>
        <v>Tier 2 Remedial Unit Cost</v>
      </c>
      <c r="AM81" s="398" t="str">
        <f>IF(AM80=Data!F$15,Data!$B$15,$AG79)</f>
        <v>Tier 2 Remedial Unit Cost</v>
      </c>
      <c r="AN81" s="398" t="str">
        <f>IF(AN80=Data!G$15,Data!$B$15,$AG79)</f>
        <v>Tier 2 Remedial Unit Cost</v>
      </c>
      <c r="AO81" s="398" t="str">
        <f>IF(AO80=Data!H$15,Data!$B$15,$AG79)</f>
        <v>Tier 2 Remedial Unit Cost</v>
      </c>
      <c r="AP81" s="398" t="str">
        <f>IF(AP80=Data!I$15,Data!$B$15,$AG79)</f>
        <v>Tier 2 Remedial Unit Cost</v>
      </c>
      <c r="AQ81" s="398" t="str">
        <f>IF(AQ80=Data!J$15,Data!$B$15,$AG79)</f>
        <v>Tier 2 Remedial Unit Cost</v>
      </c>
      <c r="AR81" s="398" t="str">
        <f>IF(AR80=Data!K$15,Data!$B$15,$AG79)</f>
        <v>Tier 2 Remedial Unit Cost</v>
      </c>
      <c r="AS81" s="398" t="str">
        <f>IF(AS80=Data!L$15,Data!$B$15,$AG79)</f>
        <v>Tier 2 Remedial Unit Cost</v>
      </c>
      <c r="AT81" s="398" t="str">
        <f>IF(AT80=Data!M$15,Data!$B$15,$AG79)</f>
        <v>Tier 2 Remedial Unit Cost</v>
      </c>
      <c r="AU81" s="398" t="str">
        <f>IF(AU80=Data!N$15,Data!$B$15,$AG79)</f>
        <v>Tier 2 Remedial Unit Cost</v>
      </c>
      <c r="AV81" s="398" t="str">
        <f>IF(AV80=Data!O$15,Data!$B$15,$AG79)</f>
        <v>Tier 2 Remedial Unit Cost</v>
      </c>
      <c r="AW81" s="398" t="str">
        <f>IF(AW80=Data!P$15,Data!$B$15,$AG79)</f>
        <v>Tier 2 Remedial Unit Cost</v>
      </c>
      <c r="AX81" s="398" t="str">
        <f>IF(AX80=Data!Q$15,Data!$B$15,$AG79)</f>
        <v>Tier 2 Remedial Unit Cost</v>
      </c>
      <c r="AY81" s="398" t="str">
        <f>IF(AY80=Data!R$15,Data!$B$15,$AG79)</f>
        <v>Tier 2 Remedial Unit Cost</v>
      </c>
      <c r="AZ81" s="398" t="str">
        <f>IF(AZ80=Data!S$15,Data!$B$15,$AG79)</f>
        <v>Tier 2 Remedial Unit Cost</v>
      </c>
      <c r="BA81" s="398" t="str">
        <f>IF(BA80=Data!T$15,Data!$B$15,$AG79)</f>
        <v>Tier 2 Remedial Unit Cost</v>
      </c>
      <c r="BB81" s="398" t="str">
        <f>IF(BB80=Data!U$15,Data!$B$15,$AG79)</f>
        <v>Tier 2 Remedial Unit Cost</v>
      </c>
      <c r="BC81" s="398" t="str">
        <f>IF(BC80=Data!V$15,Data!$B$15,$AG79)</f>
        <v>Tier 2 Remedial Unit Cost</v>
      </c>
      <c r="BD81" s="398" t="str">
        <f>IF(BD80=Data!W$15,Data!$B$15,$AG79)</f>
        <v>Tier 2 Remedial Unit Cost</v>
      </c>
      <c r="BE81" s="398" t="str">
        <f>IF(BE80=Data!X$15,Data!$B$15,$AG79)</f>
        <v>Tier 2 Remedial Unit Cost</v>
      </c>
      <c r="BF81" s="398" t="str">
        <f>IF(BF80=Data!Y$15,Data!$B$15,$AG79)</f>
        <v>Tier 2 Remedial Unit Cost</v>
      </c>
      <c r="BG81" s="398" t="str">
        <f>IF(BG80=Data!Z$15,Data!$B$15,$AG79)</f>
        <v>Tier 2 Remedial Unit Cost</v>
      </c>
      <c r="BH81" s="398" t="str">
        <f>IF(BH80=Data!AA$15,Data!$B$15,$AG79)</f>
        <v>Tier 2 Remedial Unit Cost</v>
      </c>
    </row>
    <row r="82" spans="2:60">
      <c r="C82" s="337" t="s">
        <v>1891</v>
      </c>
      <c r="D82" s="385"/>
      <c r="E82" s="385" t="s">
        <v>1892</v>
      </c>
      <c r="F82" s="386" t="s">
        <v>1893</v>
      </c>
      <c r="G82" s="386" t="s">
        <v>545</v>
      </c>
      <c r="H82" s="398">
        <f>IF(H81=Data!$B$15,H$32,H$79*H$28)</f>
        <v>0</v>
      </c>
      <c r="I82" s="398">
        <f>IF(I81=Data!$B$15,I$32,I$79*I$28)</f>
        <v>0</v>
      </c>
      <c r="J82" s="398">
        <f>IF(J81=Data!$B$15,J$32,J$79*J$28)</f>
        <v>0</v>
      </c>
      <c r="K82" s="398">
        <f>IF(K81=Data!$B$15,K$32,K$79*K$28)</f>
        <v>0</v>
      </c>
      <c r="L82" s="398">
        <f>IF(L81=Data!$B$15,L$32,L$79*L$28)</f>
        <v>0</v>
      </c>
      <c r="M82" s="398">
        <f>IF(M81=Data!$B$15,M$32,M$79*M$28)</f>
        <v>55.734027720000043</v>
      </c>
      <c r="N82" s="398">
        <f>IF(N81=Data!$B$15,N$32,N$79*N$28)</f>
        <v>118.44506292</v>
      </c>
      <c r="O82" s="398">
        <f>IF(O81=Data!$B$15,O$32,O$79*O$28)</f>
        <v>181.15609812001622</v>
      </c>
      <c r="P82" s="398">
        <f>IF(P81=Data!$B$15,P$32,P$79*P$28)</f>
        <v>280.9236541200064</v>
      </c>
      <c r="Q82" s="398">
        <f>IF(Q81=Data!$B$15,Q$32,Q$79*Q$28)</f>
        <v>380.69121011999675</v>
      </c>
      <c r="R82" s="398">
        <f>IF(R81=Data!$B$15,R$32,R$79*R$28)</f>
        <v>480.45876612002758</v>
      </c>
      <c r="S82" s="398">
        <f>IF(S81=Data!$B$15,S$32,S$79*S$28)</f>
        <v>580.22632212001781</v>
      </c>
      <c r="T82" s="398">
        <f>IF(T81=Data!$B$15,T$32,T$79*T$28)</f>
        <v>679.99387812000816</v>
      </c>
      <c r="U82" s="398">
        <f>IF(U81=Data!$B$15,U$32,U$79*U$28)</f>
        <v>722.75140211999963</v>
      </c>
      <c r="V82" s="398">
        <f>IF(V81=Data!$B$15,V$32,V$79*V$28)</f>
        <v>765.50892612000121</v>
      </c>
      <c r="W82" s="398">
        <f>IF(W81=Data!$B$15,W$32,W$79*W$28)</f>
        <v>808.2664501200029</v>
      </c>
      <c r="X82" s="398">
        <f>IF(X81=Data!$B$15,X$32,X$79*X$28)</f>
        <v>851.02397412000448</v>
      </c>
      <c r="Y82" s="398">
        <f>IF(Y81=Data!$B$15,Y$32,Y$79*Y$28)</f>
        <v>893.78149811999583</v>
      </c>
      <c r="Z82" s="398">
        <f>IF(Z81=Data!$B$15,Z$32,Z$79*Z$28)</f>
        <v>936.53902211999741</v>
      </c>
      <c r="AA82" s="398">
        <f>IF(AA81=Data!$B$15,AA$32,AA$79*AA$28)</f>
        <v>979.29654611999911</v>
      </c>
      <c r="AB82" s="398">
        <f>IF(AB81=Data!$B$15,AB$32,AB$79*AB$28)</f>
        <v>1022.0540701200007</v>
      </c>
      <c r="AC82" s="398">
        <f>IF(AC81=Data!$B$15,AC$32,AC$79*AC$28)</f>
        <v>1064.8115941200024</v>
      </c>
      <c r="AD82" s="398">
        <f>IF(AD81=Data!$B$15,AD$32,AD$79*AD$28)</f>
        <v>1107.5691181200038</v>
      </c>
      <c r="AF82" s="26"/>
      <c r="AG82" s="337" t="s">
        <v>1891</v>
      </c>
      <c r="AH82" s="385"/>
      <c r="AI82" s="385" t="s">
        <v>1892</v>
      </c>
      <c r="AJ82" s="386" t="s">
        <v>1893</v>
      </c>
      <c r="AK82" s="386" t="s">
        <v>545</v>
      </c>
      <c r="AL82" s="398">
        <f>IF(AL81=Data!$B$15,AL$32,AL$79*AL$28)</f>
        <v>0</v>
      </c>
      <c r="AM82" s="398">
        <f>IF(AM81=Data!$B$15,AM$32,AM$79*AM$28)</f>
        <v>0</v>
      </c>
      <c r="AN82" s="398">
        <f>IF(AN81=Data!$B$15,AN$32,AN$79*AN$28)</f>
        <v>0</v>
      </c>
      <c r="AO82" s="398">
        <f>IF(AO81=Data!$B$15,AO$32,AO$79*AO$28)</f>
        <v>0</v>
      </c>
      <c r="AP82" s="398">
        <f>IF(AP81=Data!$B$15,AP$32,AP$79*AP$28)</f>
        <v>0</v>
      </c>
      <c r="AQ82" s="398">
        <f>IF(AQ81=Data!$B$15,AQ$32,AQ$79*AQ$28)</f>
        <v>55.734027720000043</v>
      </c>
      <c r="AR82" s="398">
        <f>IF(AR81=Data!$B$15,AR$32,AR$79*AR$28)</f>
        <v>118.44506292</v>
      </c>
      <c r="AS82" s="398">
        <f>IF(AS81=Data!$B$15,AS$32,AS$79*AS$28)</f>
        <v>181.15609812001622</v>
      </c>
      <c r="AT82" s="398">
        <f>IF(AT81=Data!$B$15,AT$32,AT$79*AT$28)</f>
        <v>280.9236541200064</v>
      </c>
      <c r="AU82" s="398">
        <f>IF(AU81=Data!$B$15,AU$32,AU$79*AU$28)</f>
        <v>380.69121011999675</v>
      </c>
      <c r="AV82" s="398">
        <f>IF(AV81=Data!$B$15,AV$32,AV$79*AV$28)</f>
        <v>480.45876612002758</v>
      </c>
      <c r="AW82" s="398">
        <f>IF(AW81=Data!$B$15,AW$32,AW$79*AW$28)</f>
        <v>580.22632212001781</v>
      </c>
      <c r="AX82" s="398">
        <f>IF(AX81=Data!$B$15,AX$32,AX$79*AX$28)</f>
        <v>679.99387812000816</v>
      </c>
      <c r="AY82" s="398">
        <f>IF(AY81=Data!$B$15,AY$32,AY$79*AY$28)</f>
        <v>722.75140211999963</v>
      </c>
      <c r="AZ82" s="398">
        <f>IF(AZ81=Data!$B$15,AZ$32,AZ$79*AZ$28)</f>
        <v>765.50892612000121</v>
      </c>
      <c r="BA82" s="398">
        <f>IF(BA81=Data!$B$15,BA$32,BA$79*BA$28)</f>
        <v>808.2664501200029</v>
      </c>
      <c r="BB82" s="398">
        <f>IF(BB81=Data!$B$15,BB$32,BB$79*BB$28)</f>
        <v>851.02397412000448</v>
      </c>
      <c r="BC82" s="398">
        <f>IF(BC81=Data!$B$15,BC$32,BC$79*BC$28)</f>
        <v>893.78149811999583</v>
      </c>
      <c r="BD82" s="398">
        <f>IF(BD81=Data!$B$15,BD$32,BD$79*BD$28)</f>
        <v>936.53902211999741</v>
      </c>
      <c r="BE82" s="398">
        <f>IF(BE81=Data!$B$15,BE$32,BE$79*BE$28)</f>
        <v>979.29654611999911</v>
      </c>
      <c r="BF82" s="398">
        <f>IF(BF81=Data!$B$15,BF$32,BF$79*BF$28)</f>
        <v>1022.0540701200007</v>
      </c>
      <c r="BG82" s="398">
        <f>IF(BG81=Data!$B$15,BG$32,BG$79*BG$28)</f>
        <v>1064.8115941200024</v>
      </c>
      <c r="BH82" s="398">
        <f>IF(BH81=Data!$B$15,BH$32,BH$79*BH$28)</f>
        <v>1107.5691181200038</v>
      </c>
    </row>
    <row r="83" spans="2:60" ht="15">
      <c r="B83" s="415" t="s">
        <v>1894</v>
      </c>
      <c r="C83" s="337" t="s">
        <v>1886</v>
      </c>
      <c r="D83" s="385"/>
      <c r="E83" s="385" t="s">
        <v>1887</v>
      </c>
      <c r="F83" s="386" t="s">
        <v>1888</v>
      </c>
      <c r="G83" s="386" t="s">
        <v>1875</v>
      </c>
      <c r="H83" s="398">
        <f>MIN(Data!E$16,H80)</f>
        <v>100</v>
      </c>
      <c r="I83" s="398">
        <f>MIN(Data!F$16,I80)</f>
        <v>100</v>
      </c>
      <c r="J83" s="398">
        <f>MIN(Data!G$16,J80)</f>
        <v>100</v>
      </c>
      <c r="K83" s="398">
        <f>MIN(Data!H$16,K80)</f>
        <v>100</v>
      </c>
      <c r="L83" s="398">
        <f>MIN(Data!I$16,L80)</f>
        <v>100</v>
      </c>
      <c r="M83" s="398">
        <f>MIN(Data!J$16,M80)</f>
        <v>100</v>
      </c>
      <c r="N83" s="398">
        <f>MIN(Data!K$16,N80)</f>
        <v>100</v>
      </c>
      <c r="O83" s="398">
        <f>MIN(Data!L$16,O80)</f>
        <v>100</v>
      </c>
      <c r="P83" s="398">
        <f>MIN(Data!M$16,P80)</f>
        <v>100</v>
      </c>
      <c r="Q83" s="398">
        <f>MIN(Data!N$16,Q80)</f>
        <v>100</v>
      </c>
      <c r="R83" s="398">
        <f>MIN(Data!O$16,R80)</f>
        <v>100</v>
      </c>
      <c r="S83" s="398">
        <f>MIN(Data!P$16,S80)</f>
        <v>100</v>
      </c>
      <c r="T83" s="398">
        <f>MIN(Data!Q$16,T80)</f>
        <v>100</v>
      </c>
      <c r="U83" s="398">
        <f>MIN(Data!R$16,U80)</f>
        <v>100</v>
      </c>
      <c r="V83" s="398">
        <f>MIN(Data!S$16,V80)</f>
        <v>100</v>
      </c>
      <c r="W83" s="398">
        <f>MIN(Data!T$16,W80)</f>
        <v>100</v>
      </c>
      <c r="X83" s="398">
        <f>MIN(Data!U$16,X80)</f>
        <v>100</v>
      </c>
      <c r="Y83" s="398">
        <f>MIN(Data!V$16,Y80)</f>
        <v>100</v>
      </c>
      <c r="Z83" s="398">
        <f>MIN(Data!W$16,Z80)</f>
        <v>100</v>
      </c>
      <c r="AA83" s="398">
        <f>MIN(Data!X$16,AA80)</f>
        <v>100</v>
      </c>
      <c r="AB83" s="398">
        <f>MIN(Data!Y$16,AB80)</f>
        <v>100</v>
      </c>
      <c r="AC83" s="398">
        <f>MIN(Data!Z$16,AC80)</f>
        <v>100</v>
      </c>
      <c r="AD83" s="398">
        <f>MIN(Data!AA$16,AD80)</f>
        <v>100</v>
      </c>
      <c r="AF83" s="415" t="s">
        <v>1894</v>
      </c>
      <c r="AG83" s="337" t="s">
        <v>1886</v>
      </c>
      <c r="AH83" s="385"/>
      <c r="AI83" s="385" t="s">
        <v>1887</v>
      </c>
      <c r="AJ83" s="386" t="s">
        <v>1888</v>
      </c>
      <c r="AK83" s="386" t="s">
        <v>1875</v>
      </c>
      <c r="AL83" s="398">
        <f>MIN(Data!E$16,AL80)</f>
        <v>100</v>
      </c>
      <c r="AM83" s="398">
        <f>MIN(Data!F$16,AM80)</f>
        <v>100</v>
      </c>
      <c r="AN83" s="398">
        <f>MIN(Data!G$16,AN80)</f>
        <v>100</v>
      </c>
      <c r="AO83" s="398">
        <f>MIN(Data!H$16,AO80)</f>
        <v>100</v>
      </c>
      <c r="AP83" s="398">
        <f>MIN(Data!I$16,AP80)</f>
        <v>100</v>
      </c>
      <c r="AQ83" s="398">
        <f>MIN(Data!J$16,AQ80)</f>
        <v>100</v>
      </c>
      <c r="AR83" s="398">
        <f>MIN(Data!K$16,AR80)</f>
        <v>100</v>
      </c>
      <c r="AS83" s="398">
        <f>MIN(Data!L$16,AS80)</f>
        <v>100</v>
      </c>
      <c r="AT83" s="398">
        <f>MIN(Data!M$16,AT80)</f>
        <v>100</v>
      </c>
      <c r="AU83" s="398">
        <f>MIN(Data!N$16,AU80)</f>
        <v>100</v>
      </c>
      <c r="AV83" s="398">
        <f>MIN(Data!O$16,AV80)</f>
        <v>100</v>
      </c>
      <c r="AW83" s="398">
        <f>MIN(Data!P$16,AW80)</f>
        <v>100</v>
      </c>
      <c r="AX83" s="398">
        <f>MIN(Data!Q$16,AX80)</f>
        <v>100</v>
      </c>
      <c r="AY83" s="398">
        <f>MIN(Data!R$16,AY80)</f>
        <v>100</v>
      </c>
      <c r="AZ83" s="398">
        <f>MIN(Data!S$16,AZ80)</f>
        <v>100</v>
      </c>
      <c r="BA83" s="398">
        <f>MIN(Data!T$16,BA80)</f>
        <v>100</v>
      </c>
      <c r="BB83" s="398">
        <f>MIN(Data!U$16,BB80)</f>
        <v>100</v>
      </c>
      <c r="BC83" s="398">
        <f>MIN(Data!V$16,BC80)</f>
        <v>100</v>
      </c>
      <c r="BD83" s="398">
        <f>MIN(Data!W$16,BD80)</f>
        <v>100</v>
      </c>
      <c r="BE83" s="398">
        <f>MIN(Data!X$16,BE80)</f>
        <v>100</v>
      </c>
      <c r="BF83" s="398">
        <f>MIN(Data!Y$16,BF80)</f>
        <v>100</v>
      </c>
      <c r="BG83" s="398">
        <f>MIN(Data!Z$16,BG80)</f>
        <v>100</v>
      </c>
      <c r="BH83" s="398">
        <f>MIN(Data!AA$16,BH80)</f>
        <v>100</v>
      </c>
    </row>
    <row r="84" spans="2:60">
      <c r="C84" s="337" t="s">
        <v>1889</v>
      </c>
      <c r="D84" s="385"/>
      <c r="E84" s="385" t="s">
        <v>1890</v>
      </c>
      <c r="F84" s="386" t="s">
        <v>1888</v>
      </c>
      <c r="G84" s="386"/>
      <c r="H84" s="398" t="str">
        <f>IF(H83=Data!E$16,Data!$B$16,$C79)</f>
        <v>Tier 1 Remedial Unit Cost</v>
      </c>
      <c r="I84" s="398" t="str">
        <f>IF(I83=Data!F$16,Data!$B$16,$C79)</f>
        <v>Tier 1 Remedial Unit Cost</v>
      </c>
      <c r="J84" s="398" t="str">
        <f>IF(J83=Data!G$16,Data!$B$16,$C79)</f>
        <v>Tier 1 Remedial Unit Cost</v>
      </c>
      <c r="K84" s="398" t="str">
        <f>IF(K83=Data!H$16,Data!$B$16,$C79)</f>
        <v>Tier 1 Remedial Unit Cost</v>
      </c>
      <c r="L84" s="398" t="str">
        <f>IF(L83=Data!I$16,Data!$B$16,$C79)</f>
        <v>Tier 1 Remedial Unit Cost</v>
      </c>
      <c r="M84" s="398" t="str">
        <f>IF(M83=Data!J$16,Data!$B$16,$C79)</f>
        <v>Tier 1 Remedial Unit Cost</v>
      </c>
      <c r="N84" s="398" t="str">
        <f>IF(N83=Data!K$16,Data!$B$16,$C79)</f>
        <v>Tier 1 Remedial Unit Cost</v>
      </c>
      <c r="O84" s="398" t="str">
        <f>IF(O83=Data!L$16,Data!$B$16,$C79)</f>
        <v>Tier 1 Remedial Unit Cost</v>
      </c>
      <c r="P84" s="398" t="str">
        <f>IF(P83=Data!M$16,Data!$B$16,$C79)</f>
        <v>Tier 1 Remedial Unit Cost</v>
      </c>
      <c r="Q84" s="398" t="str">
        <f>IF(Q83=Data!N$16,Data!$B$16,$C79)</f>
        <v>Tier 1 Remedial Unit Cost</v>
      </c>
      <c r="R84" s="398" t="str">
        <f>IF(R83=Data!O$16,Data!$B$16,$C79)</f>
        <v>Tier 1 Remedial Unit Cost</v>
      </c>
      <c r="S84" s="398" t="str">
        <f>IF(S83=Data!P$16,Data!$B$16,$C79)</f>
        <v>Tier 1 Remedial Unit Cost</v>
      </c>
      <c r="T84" s="398" t="str">
        <f>IF(T83=Data!Q$16,Data!$B$16,$C79)</f>
        <v>Tier 1 Remedial Unit Cost</v>
      </c>
      <c r="U84" s="398" t="str">
        <f>IF(U83=Data!R$16,Data!$B$16,$C79)</f>
        <v>Tier 1 Remedial Unit Cost</v>
      </c>
      <c r="V84" s="398" t="str">
        <f>IF(V83=Data!S$16,Data!$B$16,$C79)</f>
        <v>Tier 1 Remedial Unit Cost</v>
      </c>
      <c r="W84" s="398" t="str">
        <f>IF(W83=Data!T$16,Data!$B$16,$C79)</f>
        <v>Tier 1 Remedial Unit Cost</v>
      </c>
      <c r="X84" s="398" t="str">
        <f>IF(X83=Data!U$16,Data!$B$16,$C79)</f>
        <v>Tier 1 Remedial Unit Cost</v>
      </c>
      <c r="Y84" s="398" t="str">
        <f>IF(Y83=Data!V$16,Data!$B$16,$C79)</f>
        <v>Tier 1 Remedial Unit Cost</v>
      </c>
      <c r="Z84" s="398" t="str">
        <f>IF(Z83=Data!W$16,Data!$B$16,$C79)</f>
        <v>Tier 1 Remedial Unit Cost</v>
      </c>
      <c r="AA84" s="398" t="str">
        <f>IF(AA83=Data!X$16,Data!$B$16,$C79)</f>
        <v>Tier 1 Remedial Unit Cost</v>
      </c>
      <c r="AB84" s="398" t="str">
        <f>IF(AB83=Data!Y$16,Data!$B$16,$C79)</f>
        <v>Tier 1 Remedial Unit Cost</v>
      </c>
      <c r="AC84" s="398" t="str">
        <f>IF(AC83=Data!Z$16,Data!$B$16,$C79)</f>
        <v>Tier 1 Remedial Unit Cost</v>
      </c>
      <c r="AD84" s="398" t="str">
        <f>IF(AD83=Data!AA$16,Data!$B$16,$C79)</f>
        <v>Tier 1 Remedial Unit Cost</v>
      </c>
      <c r="AF84" s="26"/>
      <c r="AG84" s="337" t="s">
        <v>1889</v>
      </c>
      <c r="AH84" s="385"/>
      <c r="AI84" s="385" t="s">
        <v>1890</v>
      </c>
      <c r="AJ84" s="386" t="s">
        <v>1888</v>
      </c>
      <c r="AK84" s="386"/>
      <c r="AL84" s="398" t="str">
        <f>IF(AL83=Data!E$16,Data!$B$16,$AG79)</f>
        <v>Tier 1 Remedial Unit Cost</v>
      </c>
      <c r="AM84" s="398" t="str">
        <f>IF(AM83=Data!F$16,Data!$B$16,$AG79)</f>
        <v>Tier 1 Remedial Unit Cost</v>
      </c>
      <c r="AN84" s="398" t="str">
        <f>IF(AN83=Data!G$16,Data!$B$16,$AG79)</f>
        <v>Tier 1 Remedial Unit Cost</v>
      </c>
      <c r="AO84" s="398" t="str">
        <f>IF(AO83=Data!H$16,Data!$B$16,$AG79)</f>
        <v>Tier 1 Remedial Unit Cost</v>
      </c>
      <c r="AP84" s="398" t="str">
        <f>IF(AP83=Data!I$16,Data!$B$16,$AG79)</f>
        <v>Tier 1 Remedial Unit Cost</v>
      </c>
      <c r="AQ84" s="398" t="str">
        <f>IF(AQ83=Data!J$16,Data!$B$16,$AG79)</f>
        <v>Tier 1 Remedial Unit Cost</v>
      </c>
      <c r="AR84" s="398" t="str">
        <f>IF(AR83=Data!K$16,Data!$B$16,$AG79)</f>
        <v>Tier 1 Remedial Unit Cost</v>
      </c>
      <c r="AS84" s="398" t="str">
        <f>IF(AS83=Data!L$16,Data!$B$16,$AG79)</f>
        <v>Tier 1 Remedial Unit Cost</v>
      </c>
      <c r="AT84" s="398" t="str">
        <f>IF(AT83=Data!M$16,Data!$B$16,$AG79)</f>
        <v>Tier 1 Remedial Unit Cost</v>
      </c>
      <c r="AU84" s="398" t="str">
        <f>IF(AU83=Data!N$16,Data!$B$16,$AG79)</f>
        <v>Tier 1 Remedial Unit Cost</v>
      </c>
      <c r="AV84" s="398" t="str">
        <f>IF(AV83=Data!O$16,Data!$B$16,$AG79)</f>
        <v>Tier 1 Remedial Unit Cost</v>
      </c>
      <c r="AW84" s="398" t="str">
        <f>IF(AW83=Data!P$16,Data!$B$16,$AG79)</f>
        <v>Tier 1 Remedial Unit Cost</v>
      </c>
      <c r="AX84" s="398" t="str">
        <f>IF(AX83=Data!Q$16,Data!$B$16,$AG79)</f>
        <v>Tier 1 Remedial Unit Cost</v>
      </c>
      <c r="AY84" s="398" t="str">
        <f>IF(AY83=Data!R$16,Data!$B$16,$AG79)</f>
        <v>Tier 1 Remedial Unit Cost</v>
      </c>
      <c r="AZ84" s="398" t="str">
        <f>IF(AZ83=Data!S$16,Data!$B$16,$AG79)</f>
        <v>Tier 1 Remedial Unit Cost</v>
      </c>
      <c r="BA84" s="398" t="str">
        <f>IF(BA83=Data!T$16,Data!$B$16,$AG79)</f>
        <v>Tier 1 Remedial Unit Cost</v>
      </c>
      <c r="BB84" s="398" t="str">
        <f>IF(BB83=Data!U$16,Data!$B$16,$AG79)</f>
        <v>Tier 1 Remedial Unit Cost</v>
      </c>
      <c r="BC84" s="398" t="str">
        <f>IF(BC83=Data!V$16,Data!$B$16,$AG79)</f>
        <v>Tier 1 Remedial Unit Cost</v>
      </c>
      <c r="BD84" s="398" t="str">
        <f>IF(BD83=Data!W$16,Data!$B$16,$AG79)</f>
        <v>Tier 1 Remedial Unit Cost</v>
      </c>
      <c r="BE84" s="398" t="str">
        <f>IF(BE83=Data!X$16,Data!$B$16,$AG79)</f>
        <v>Tier 1 Remedial Unit Cost</v>
      </c>
      <c r="BF84" s="398" t="str">
        <f>IF(BF83=Data!Y$16,Data!$B$16,$AG79)</f>
        <v>Tier 1 Remedial Unit Cost</v>
      </c>
      <c r="BG84" s="398" t="str">
        <f>IF(BG83=Data!Z$16,Data!$B$16,$AG79)</f>
        <v>Tier 1 Remedial Unit Cost</v>
      </c>
      <c r="BH84" s="398" t="str">
        <f>IF(BH83=Data!AA$16,Data!$B$16,$AG79)</f>
        <v>Tier 1 Remedial Unit Cost</v>
      </c>
    </row>
    <row r="85" spans="2:60">
      <c r="C85" s="337" t="s">
        <v>1897</v>
      </c>
      <c r="D85" s="385"/>
      <c r="E85" s="385" t="s">
        <v>1892</v>
      </c>
      <c r="F85" s="386" t="s">
        <v>1888</v>
      </c>
      <c r="G85" s="386" t="s">
        <v>545</v>
      </c>
      <c r="H85" s="398">
        <f>IF(H84=Data!$B$16,H$33,H$79*H$29)</f>
        <v>0</v>
      </c>
      <c r="I85" s="398">
        <f>IF(I84=Data!$B$16,I$33,I$79*I$29)</f>
        <v>6.4153974000000193</v>
      </c>
      <c r="J85" s="398">
        <f>IF(J84=Data!$B$16,J$33,J$79*J$29)</f>
        <v>13.916717399999962</v>
      </c>
      <c r="K85" s="398">
        <f>IF(K84=Data!$B$16,K$33,K$79*K$29)</f>
        <v>30.4196214</v>
      </c>
      <c r="L85" s="398">
        <f>IF(L84=Data!$B$16,L$33,L$79*L$29)</f>
        <v>46.922525399999984</v>
      </c>
      <c r="M85" s="398">
        <f>IF(M84=Data!$B$16,M$33,M$79*M$29)</f>
        <v>48.758579999999959</v>
      </c>
      <c r="N85" s="398">
        <f>IF(N84=Data!$B$16,N$33,N$79*N$29)</f>
        <v>48.758580000000016</v>
      </c>
      <c r="O85" s="398">
        <f>IF(O84=Data!$B$16,O$33,O$79*O$29)</f>
        <v>48.758579999999988</v>
      </c>
      <c r="P85" s="398">
        <f>IF(P84=Data!$B$16,P$33,P$79*P$29)</f>
        <v>48.758580000000016</v>
      </c>
      <c r="Q85" s="398">
        <f>IF(Q84=Data!$B$16,Q$33,Q$79*Q$29)</f>
        <v>48.758579999999988</v>
      </c>
      <c r="R85" s="398">
        <f>IF(R84=Data!$B$16,R$33,R$79*R$29)</f>
        <v>48.758579999999988</v>
      </c>
      <c r="S85" s="398">
        <f>IF(S84=Data!$B$16,S$33,S$79*S$29)</f>
        <v>48.758580000000009</v>
      </c>
      <c r="T85" s="398">
        <f>IF(T84=Data!$B$16,T$33,T$79*T$29)</f>
        <v>48.758580000000009</v>
      </c>
      <c r="U85" s="398">
        <f>IF(U84=Data!$B$16,U$33,U$79*U$29)</f>
        <v>48.758580000000009</v>
      </c>
      <c r="V85" s="398">
        <f>IF(V84=Data!$B$16,V$33,V$79*V$29)</f>
        <v>48.758580000000009</v>
      </c>
      <c r="W85" s="398">
        <f>IF(W84=Data!$B$16,W$33,W$79*W$29)</f>
        <v>48.758580000000009</v>
      </c>
      <c r="X85" s="398">
        <f>IF(X84=Data!$B$16,X$33,X$79*X$29)</f>
        <v>48.758580000000009</v>
      </c>
      <c r="Y85" s="398">
        <f>IF(Y84=Data!$B$16,Y$33,Y$79*Y$29)</f>
        <v>48.758579999999988</v>
      </c>
      <c r="Z85" s="398">
        <f>IF(Z84=Data!$B$16,Z$33,Z$79*Z$29)</f>
        <v>48.758579999999995</v>
      </c>
      <c r="AA85" s="398">
        <f>IF(AA84=Data!$B$16,AA$33,AA$79*AA$29)</f>
        <v>48.758579999999995</v>
      </c>
      <c r="AB85" s="398">
        <f>IF(AB84=Data!$B$16,AB$33,AB$79*AB$29)</f>
        <v>41.257259999999782</v>
      </c>
      <c r="AC85" s="398">
        <f>IF(AC84=Data!$B$16,AC$33,AC$79*AC$29)</f>
        <v>30.005279999999356</v>
      </c>
      <c r="AD85" s="398">
        <f>IF(AD84=Data!$B$16,AD$33,AD$79*AD$29)</f>
        <v>18.753299999998934</v>
      </c>
      <c r="AF85" s="26"/>
      <c r="AG85" s="337" t="s">
        <v>1897</v>
      </c>
      <c r="AH85" s="385"/>
      <c r="AI85" s="385" t="s">
        <v>1892</v>
      </c>
      <c r="AJ85" s="386" t="s">
        <v>1888</v>
      </c>
      <c r="AK85" s="386" t="s">
        <v>545</v>
      </c>
      <c r="AL85" s="398">
        <f>IF(AL84=Data!$B$16,AL$33,AL$79*AL$29)</f>
        <v>0</v>
      </c>
      <c r="AM85" s="398">
        <f>IF(AM84=Data!$B$16,AM$33,AM$79*AM$29)</f>
        <v>6.4153974000000193</v>
      </c>
      <c r="AN85" s="398">
        <f>IF(AN84=Data!$B$16,AN$33,AN$79*AN$29)</f>
        <v>13.916717399999962</v>
      </c>
      <c r="AO85" s="398">
        <f>IF(AO84=Data!$B$16,AO$33,AO$79*AO$29)</f>
        <v>30.4196214</v>
      </c>
      <c r="AP85" s="398">
        <f>IF(AP84=Data!$B$16,AP$33,AP$79*AP$29)</f>
        <v>46.922525399999984</v>
      </c>
      <c r="AQ85" s="398">
        <f>IF(AQ84=Data!$B$16,AQ$33,AQ$79*AQ$29)</f>
        <v>48.758579999999959</v>
      </c>
      <c r="AR85" s="398">
        <f>IF(AR84=Data!$B$16,AR$33,AR$79*AR$29)</f>
        <v>48.758580000000016</v>
      </c>
      <c r="AS85" s="398">
        <f>IF(AS84=Data!$B$16,AS$33,AS$79*AS$29)</f>
        <v>48.758579999999988</v>
      </c>
      <c r="AT85" s="398">
        <f>IF(AT84=Data!$B$16,AT$33,AT$79*AT$29)</f>
        <v>48.758580000000016</v>
      </c>
      <c r="AU85" s="398">
        <f>IF(AU84=Data!$B$16,AU$33,AU$79*AU$29)</f>
        <v>48.758579999999988</v>
      </c>
      <c r="AV85" s="398">
        <f>IF(AV84=Data!$B$16,AV$33,AV$79*AV$29)</f>
        <v>48.758579999999988</v>
      </c>
      <c r="AW85" s="398">
        <f>IF(AW84=Data!$B$16,AW$33,AW$79*AW$29)</f>
        <v>48.758580000000009</v>
      </c>
      <c r="AX85" s="398">
        <f>IF(AX84=Data!$B$16,AX$33,AX$79*AX$29)</f>
        <v>48.758580000000009</v>
      </c>
      <c r="AY85" s="398">
        <f>IF(AY84=Data!$B$16,AY$33,AY$79*AY$29)</f>
        <v>48.758580000000009</v>
      </c>
      <c r="AZ85" s="398">
        <f>IF(AZ84=Data!$B$16,AZ$33,AZ$79*AZ$29)</f>
        <v>48.758580000000009</v>
      </c>
      <c r="BA85" s="398">
        <f>IF(BA84=Data!$B$16,BA$33,BA$79*BA$29)</f>
        <v>48.758580000000009</v>
      </c>
      <c r="BB85" s="398">
        <f>IF(BB84=Data!$B$16,BB$33,BB$79*BB$29)</f>
        <v>48.758580000000009</v>
      </c>
      <c r="BC85" s="398">
        <f>IF(BC84=Data!$B$16,BC$33,BC$79*BC$29)</f>
        <v>48.758579999999988</v>
      </c>
      <c r="BD85" s="398">
        <f>IF(BD84=Data!$B$16,BD$33,BD$79*BD$29)</f>
        <v>48.758579999999995</v>
      </c>
      <c r="BE85" s="398">
        <f>IF(BE84=Data!$B$16,BE$33,BE$79*BE$29)</f>
        <v>48.758579999999995</v>
      </c>
      <c r="BF85" s="398">
        <f>IF(BF84=Data!$B$16,BF$33,BF$79*BF$29)</f>
        <v>41.257259999999782</v>
      </c>
      <c r="BG85" s="398">
        <f>IF(BG84=Data!$B$16,BG$33,BG$79*BG$29)</f>
        <v>30.005279999999356</v>
      </c>
      <c r="BH85" s="398">
        <f>IF(BH84=Data!$B$16,BH$33,BH$79*BH$29)</f>
        <v>18.753299999998934</v>
      </c>
    </row>
    <row r="86" spans="2:60" ht="15">
      <c r="B86" s="415" t="s">
        <v>544</v>
      </c>
      <c r="C86" s="337" t="s">
        <v>1907</v>
      </c>
      <c r="D86" s="385"/>
      <c r="E86" s="385" t="s">
        <v>1908</v>
      </c>
      <c r="F86" s="386" t="s">
        <v>1909</v>
      </c>
      <c r="G86" s="386" t="s">
        <v>1843</v>
      </c>
      <c r="H86" s="398">
        <f t="shared" ref="H86:AD86" si="39">H30</f>
        <v>-1.0859225999999784E-2</v>
      </c>
      <c r="I86" s="398">
        <f t="shared" si="39"/>
        <v>0</v>
      </c>
      <c r="J86" s="398">
        <f t="shared" si="39"/>
        <v>0</v>
      </c>
      <c r="K86" s="398">
        <f t="shared" si="39"/>
        <v>0</v>
      </c>
      <c r="L86" s="398">
        <f t="shared" si="39"/>
        <v>0</v>
      </c>
      <c r="M86" s="398">
        <f t="shared" si="39"/>
        <v>0</v>
      </c>
      <c r="N86" s="398">
        <f t="shared" si="39"/>
        <v>0</v>
      </c>
      <c r="O86" s="398">
        <f t="shared" si="39"/>
        <v>0</v>
      </c>
      <c r="P86" s="398">
        <f t="shared" si="39"/>
        <v>0</v>
      </c>
      <c r="Q86" s="398">
        <f t="shared" si="39"/>
        <v>0</v>
      </c>
      <c r="R86" s="398">
        <f t="shared" si="39"/>
        <v>0</v>
      </c>
      <c r="S86" s="398">
        <f t="shared" si="39"/>
        <v>0</v>
      </c>
      <c r="T86" s="398">
        <f t="shared" si="39"/>
        <v>0</v>
      </c>
      <c r="U86" s="398">
        <f t="shared" si="39"/>
        <v>0</v>
      </c>
      <c r="V86" s="398">
        <f t="shared" si="39"/>
        <v>0</v>
      </c>
      <c r="W86" s="398">
        <f t="shared" si="39"/>
        <v>0</v>
      </c>
      <c r="X86" s="398">
        <f t="shared" si="39"/>
        <v>0</v>
      </c>
      <c r="Y86" s="398">
        <f t="shared" si="39"/>
        <v>0</v>
      </c>
      <c r="Z86" s="398">
        <f t="shared" si="39"/>
        <v>0</v>
      </c>
      <c r="AA86" s="398">
        <f t="shared" si="39"/>
        <v>0</v>
      </c>
      <c r="AB86" s="398">
        <f t="shared" si="39"/>
        <v>0</v>
      </c>
      <c r="AC86" s="398">
        <f t="shared" si="39"/>
        <v>0</v>
      </c>
      <c r="AD86" s="398">
        <f t="shared" si="39"/>
        <v>0</v>
      </c>
      <c r="AF86" s="415" t="s">
        <v>544</v>
      </c>
      <c r="AG86" s="337" t="s">
        <v>1907</v>
      </c>
      <c r="AH86" s="385"/>
      <c r="AI86" s="385" t="s">
        <v>1908</v>
      </c>
      <c r="AJ86" s="386" t="s">
        <v>1909</v>
      </c>
      <c r="AK86" s="386" t="s">
        <v>1843</v>
      </c>
      <c r="AL86" s="398">
        <f t="shared" ref="AL86:BH86" si="40">AL30</f>
        <v>-1.0859225999999784E-2</v>
      </c>
      <c r="AM86" s="398">
        <f t="shared" si="40"/>
        <v>0</v>
      </c>
      <c r="AN86" s="398">
        <f t="shared" si="40"/>
        <v>0</v>
      </c>
      <c r="AO86" s="398">
        <f t="shared" si="40"/>
        <v>0</v>
      </c>
      <c r="AP86" s="398">
        <f t="shared" si="40"/>
        <v>0</v>
      </c>
      <c r="AQ86" s="398">
        <f t="shared" si="40"/>
        <v>0</v>
      </c>
      <c r="AR86" s="398">
        <f t="shared" si="40"/>
        <v>0</v>
      </c>
      <c r="AS86" s="398">
        <f t="shared" si="40"/>
        <v>0</v>
      </c>
      <c r="AT86" s="398">
        <f t="shared" si="40"/>
        <v>0</v>
      </c>
      <c r="AU86" s="398">
        <f t="shared" si="40"/>
        <v>0</v>
      </c>
      <c r="AV86" s="398">
        <f t="shared" si="40"/>
        <v>0</v>
      </c>
      <c r="AW86" s="398">
        <f t="shared" si="40"/>
        <v>0</v>
      </c>
      <c r="AX86" s="398">
        <f t="shared" si="40"/>
        <v>0</v>
      </c>
      <c r="AY86" s="398">
        <f t="shared" si="40"/>
        <v>0</v>
      </c>
      <c r="AZ86" s="398">
        <f t="shared" si="40"/>
        <v>0</v>
      </c>
      <c r="BA86" s="398">
        <f t="shared" si="40"/>
        <v>0</v>
      </c>
      <c r="BB86" s="398">
        <f t="shared" si="40"/>
        <v>0</v>
      </c>
      <c r="BC86" s="398">
        <f t="shared" si="40"/>
        <v>0</v>
      </c>
      <c r="BD86" s="398">
        <f t="shared" si="40"/>
        <v>0</v>
      </c>
      <c r="BE86" s="398">
        <f t="shared" si="40"/>
        <v>0</v>
      </c>
      <c r="BF86" s="398">
        <f t="shared" si="40"/>
        <v>0</v>
      </c>
      <c r="BG86" s="398">
        <f t="shared" si="40"/>
        <v>0</v>
      </c>
      <c r="BH86" s="398">
        <f t="shared" si="40"/>
        <v>0</v>
      </c>
    </row>
    <row r="87" spans="2:60">
      <c r="C87" s="337" t="s">
        <v>1712</v>
      </c>
      <c r="D87" s="385"/>
      <c r="E87" s="385" t="s">
        <v>1910</v>
      </c>
      <c r="F87" s="386" t="s">
        <v>1713</v>
      </c>
      <c r="G87" s="386" t="s">
        <v>1693</v>
      </c>
      <c r="H87" s="398">
        <f t="shared" ref="H87:AD87" ca="1" si="41">H86*H55</f>
        <v>-4.1265058799999181</v>
      </c>
      <c r="I87" s="398">
        <f t="shared" ca="1" si="41"/>
        <v>0</v>
      </c>
      <c r="J87" s="398">
        <f t="shared" ca="1" si="41"/>
        <v>0</v>
      </c>
      <c r="K87" s="398">
        <f t="shared" ca="1" si="41"/>
        <v>0</v>
      </c>
      <c r="L87" s="398">
        <f t="shared" ca="1" si="41"/>
        <v>0</v>
      </c>
      <c r="M87" s="398">
        <f t="shared" ca="1" si="41"/>
        <v>0</v>
      </c>
      <c r="N87" s="398">
        <f t="shared" ca="1" si="41"/>
        <v>0</v>
      </c>
      <c r="O87" s="398">
        <f t="shared" ca="1" si="41"/>
        <v>0</v>
      </c>
      <c r="P87" s="398">
        <f t="shared" ca="1" si="41"/>
        <v>0</v>
      </c>
      <c r="Q87" s="398">
        <f t="shared" ca="1" si="41"/>
        <v>0</v>
      </c>
      <c r="R87" s="398">
        <f t="shared" ca="1" si="41"/>
        <v>0</v>
      </c>
      <c r="S87" s="398">
        <f t="shared" ca="1" si="41"/>
        <v>0</v>
      </c>
      <c r="T87" s="398">
        <f t="shared" ca="1" si="41"/>
        <v>0</v>
      </c>
      <c r="U87" s="398">
        <f t="shared" ca="1" si="41"/>
        <v>0</v>
      </c>
      <c r="V87" s="398">
        <f t="shared" ca="1" si="41"/>
        <v>0</v>
      </c>
      <c r="W87" s="398">
        <f t="shared" ca="1" si="41"/>
        <v>0</v>
      </c>
      <c r="X87" s="398">
        <f t="shared" ca="1" si="41"/>
        <v>0</v>
      </c>
      <c r="Y87" s="398">
        <f t="shared" ca="1" si="41"/>
        <v>0</v>
      </c>
      <c r="Z87" s="398">
        <f t="shared" ca="1" si="41"/>
        <v>0</v>
      </c>
      <c r="AA87" s="398">
        <f t="shared" ca="1" si="41"/>
        <v>0</v>
      </c>
      <c r="AB87" s="398">
        <f t="shared" ca="1" si="41"/>
        <v>0</v>
      </c>
      <c r="AC87" s="398">
        <f t="shared" ca="1" si="41"/>
        <v>0</v>
      </c>
      <c r="AD87" s="398">
        <f t="shared" ca="1" si="41"/>
        <v>0</v>
      </c>
      <c r="AF87" s="26"/>
      <c r="AG87" s="337" t="s">
        <v>1712</v>
      </c>
      <c r="AH87" s="385"/>
      <c r="AI87" s="385" t="s">
        <v>1910</v>
      </c>
      <c r="AJ87" s="386" t="s">
        <v>1713</v>
      </c>
      <c r="AK87" s="386" t="s">
        <v>1693</v>
      </c>
      <c r="AL87" s="398">
        <f t="shared" ref="AL87:BH87" ca="1" si="42">AL86*AL55</f>
        <v>-4.1265058799999181</v>
      </c>
      <c r="AM87" s="398">
        <f t="shared" ca="1" si="42"/>
        <v>0</v>
      </c>
      <c r="AN87" s="398">
        <f t="shared" ca="1" si="42"/>
        <v>0</v>
      </c>
      <c r="AO87" s="398">
        <f t="shared" ca="1" si="42"/>
        <v>0</v>
      </c>
      <c r="AP87" s="398">
        <f t="shared" ca="1" si="42"/>
        <v>0</v>
      </c>
      <c r="AQ87" s="398">
        <f t="shared" ca="1" si="42"/>
        <v>0</v>
      </c>
      <c r="AR87" s="398">
        <f t="shared" ca="1" si="42"/>
        <v>0</v>
      </c>
      <c r="AS87" s="398">
        <f t="shared" ca="1" si="42"/>
        <v>0</v>
      </c>
      <c r="AT87" s="398">
        <f t="shared" ca="1" si="42"/>
        <v>0</v>
      </c>
      <c r="AU87" s="398">
        <f t="shared" ca="1" si="42"/>
        <v>0</v>
      </c>
      <c r="AV87" s="398">
        <f t="shared" ca="1" si="42"/>
        <v>0</v>
      </c>
      <c r="AW87" s="398">
        <f t="shared" ca="1" si="42"/>
        <v>0</v>
      </c>
      <c r="AX87" s="398">
        <f t="shared" ca="1" si="42"/>
        <v>0</v>
      </c>
      <c r="AY87" s="398">
        <f t="shared" ca="1" si="42"/>
        <v>0</v>
      </c>
      <c r="AZ87" s="398">
        <f t="shared" ca="1" si="42"/>
        <v>0</v>
      </c>
      <c r="BA87" s="398">
        <f t="shared" ca="1" si="42"/>
        <v>0</v>
      </c>
      <c r="BB87" s="398">
        <f t="shared" ca="1" si="42"/>
        <v>0</v>
      </c>
      <c r="BC87" s="398">
        <f t="shared" ca="1" si="42"/>
        <v>0</v>
      </c>
      <c r="BD87" s="398">
        <f t="shared" ca="1" si="42"/>
        <v>0</v>
      </c>
      <c r="BE87" s="398">
        <f t="shared" ca="1" si="42"/>
        <v>0</v>
      </c>
      <c r="BF87" s="398">
        <f t="shared" ca="1" si="42"/>
        <v>0</v>
      </c>
      <c r="BG87" s="398">
        <f t="shared" ca="1" si="42"/>
        <v>0</v>
      </c>
      <c r="BH87" s="398">
        <f t="shared" ca="1" si="42"/>
        <v>0</v>
      </c>
    </row>
    <row r="88" spans="2:60" ht="15">
      <c r="B88" s="60" t="s">
        <v>1898</v>
      </c>
      <c r="C88" s="383" t="s">
        <v>1785</v>
      </c>
      <c r="D88" s="416"/>
      <c r="E88" s="416" t="s">
        <v>1911</v>
      </c>
      <c r="F88" s="417"/>
      <c r="G88" s="417" t="s">
        <v>545</v>
      </c>
      <c r="H88" s="418">
        <f>H31*Data!$E$6*1000</f>
        <v>100000</v>
      </c>
      <c r="I88" s="418">
        <f>I31*Data!$E$6*1000</f>
        <v>100000</v>
      </c>
      <c r="J88" s="418">
        <f>J31*Data!$E$6*1000</f>
        <v>100000</v>
      </c>
      <c r="K88" s="418">
        <f>K31*Data!$E$6*1000</f>
        <v>100000</v>
      </c>
      <c r="L88" s="418">
        <f>L31*Data!$E$6*1000</f>
        <v>100000</v>
      </c>
      <c r="M88" s="418">
        <f>M31*Data!$E$6*1000</f>
        <v>100000</v>
      </c>
      <c r="N88" s="418">
        <f>N31*Data!$E$6*1000</f>
        <v>100000</v>
      </c>
      <c r="O88" s="418">
        <f>O31*Data!$E$6*1000</f>
        <v>100000</v>
      </c>
      <c r="P88" s="418">
        <f>P31*Data!$E$6*1000</f>
        <v>100000</v>
      </c>
      <c r="Q88" s="418">
        <f>Q31*Data!$E$6*1000</f>
        <v>100000</v>
      </c>
      <c r="R88" s="418">
        <f>R31*Data!$E$6*1000</f>
        <v>100000</v>
      </c>
      <c r="S88" s="418">
        <f>S31*Data!$E$6*1000</f>
        <v>100000</v>
      </c>
      <c r="T88" s="418">
        <f>T31*Data!$E$6*1000</f>
        <v>100000</v>
      </c>
      <c r="U88" s="418">
        <f>U31*Data!$E$6*1000</f>
        <v>100000</v>
      </c>
      <c r="V88" s="418">
        <f>V31*Data!$E$6*1000</f>
        <v>100000</v>
      </c>
      <c r="W88" s="418">
        <f>W31*Data!$E$6*1000</f>
        <v>100000</v>
      </c>
      <c r="X88" s="418">
        <f>X31*Data!$E$6*1000</f>
        <v>100000</v>
      </c>
      <c r="Y88" s="418">
        <f>Y31*Data!$E$6*1000</f>
        <v>100000</v>
      </c>
      <c r="Z88" s="418">
        <f>Z31*Data!$E$6*1000</f>
        <v>100000</v>
      </c>
      <c r="AA88" s="418">
        <f>AA31*Data!$E$6*1000</f>
        <v>100000</v>
      </c>
      <c r="AB88" s="418">
        <f>AB31*Data!$E$6*1000</f>
        <v>100000</v>
      </c>
      <c r="AC88" s="418">
        <f>AC31*Data!$E$6*1000</f>
        <v>100000</v>
      </c>
      <c r="AD88" s="418">
        <f>AD31*Data!$E$6*1000</f>
        <v>100000</v>
      </c>
      <c r="AF88" s="60" t="s">
        <v>1898</v>
      </c>
      <c r="AG88" s="383" t="s">
        <v>1785</v>
      </c>
      <c r="AH88" s="416"/>
      <c r="AI88" s="416" t="s">
        <v>1911</v>
      </c>
      <c r="AJ88" s="417"/>
      <c r="AK88" s="417" t="s">
        <v>545</v>
      </c>
      <c r="AL88" s="418">
        <f>AL31*Data!$E$6*1000</f>
        <v>543.24217658781072</v>
      </c>
      <c r="AM88" s="418">
        <f>AM31*Data!$E$6*1000</f>
        <v>500.95984461569799</v>
      </c>
      <c r="AN88" s="418">
        <f>AN31*Data!$E$6*1000</f>
        <v>458.67751264358537</v>
      </c>
      <c r="AO88" s="418">
        <f>AO31*Data!$E$6*1000</f>
        <v>458.46939569230477</v>
      </c>
      <c r="AP88" s="418">
        <f>AP31*Data!$E$6*1000</f>
        <v>458.261278741024</v>
      </c>
      <c r="AQ88" s="418">
        <f>AQ31*Data!$E$6*1000</f>
        <v>458.05316178974346</v>
      </c>
      <c r="AR88" s="418">
        <f>AR31*Data!$E$6*1000</f>
        <v>457.84504483846268</v>
      </c>
      <c r="AS88" s="418">
        <f>AS31*Data!$E$6*1000</f>
        <v>457.63692788718186</v>
      </c>
      <c r="AT88" s="418">
        <f>AT31*Data!$E$6*1000</f>
        <v>456.64523369706683</v>
      </c>
      <c r="AU88" s="418">
        <f>AU31*Data!$E$6*1000</f>
        <v>455.65353950695152</v>
      </c>
      <c r="AV88" s="418">
        <f>AV31*Data!$E$6*1000</f>
        <v>454.66184531683621</v>
      </c>
      <c r="AW88" s="418">
        <f>AW31*Data!$E$6*1000</f>
        <v>453.67015112672084</v>
      </c>
      <c r="AX88" s="418">
        <f>AX31*Data!$E$6*1000</f>
        <v>452.67845693660587</v>
      </c>
      <c r="AY88" s="418">
        <f>AY31*Data!$E$6*1000</f>
        <v>451.71439484735316</v>
      </c>
      <c r="AZ88" s="418">
        <f>AZ31*Data!$E$6*1000</f>
        <v>450.75033275810091</v>
      </c>
      <c r="BA88" s="418">
        <f>BA31*Data!$E$6*1000</f>
        <v>449.78627066884837</v>
      </c>
      <c r="BB88" s="418">
        <f>BB31*Data!$E$6*1000</f>
        <v>448.82220857959578</v>
      </c>
      <c r="BC88" s="418">
        <f>BC31*Data!$E$6*1000</f>
        <v>447.85814649034324</v>
      </c>
      <c r="BD88" s="418">
        <f>BD31*Data!$E$6*1000</f>
        <v>447.02154141561078</v>
      </c>
      <c r="BE88" s="418">
        <f>BE31*Data!$E$6*1000</f>
        <v>446.18493634087849</v>
      </c>
      <c r="BF88" s="418">
        <f>BF31*Data!$E$6*1000</f>
        <v>445.34833126614609</v>
      </c>
      <c r="BG88" s="418">
        <f>BG31*Data!$E$6*1000</f>
        <v>444.5117261914138</v>
      </c>
      <c r="BH88" s="418">
        <f>BH31*Data!$E$6*1000</f>
        <v>443.67512111668151</v>
      </c>
    </row>
    <row r="89" spans="2:60" ht="15">
      <c r="C89" s="383" t="s">
        <v>1790</v>
      </c>
      <c r="D89" s="416"/>
      <c r="E89" s="416" t="s">
        <v>1912</v>
      </c>
      <c r="F89" s="417"/>
      <c r="G89" s="417" t="s">
        <v>545</v>
      </c>
      <c r="H89" s="418">
        <f t="shared" ref="H89:AD89" si="43">H82</f>
        <v>0</v>
      </c>
      <c r="I89" s="418">
        <f t="shared" si="43"/>
        <v>0</v>
      </c>
      <c r="J89" s="418">
        <f t="shared" si="43"/>
        <v>0</v>
      </c>
      <c r="K89" s="418">
        <f t="shared" si="43"/>
        <v>0</v>
      </c>
      <c r="L89" s="418">
        <f t="shared" si="43"/>
        <v>0</v>
      </c>
      <c r="M89" s="418">
        <f t="shared" si="43"/>
        <v>55.734027720000043</v>
      </c>
      <c r="N89" s="418">
        <f t="shared" si="43"/>
        <v>118.44506292</v>
      </c>
      <c r="O89" s="418">
        <f t="shared" si="43"/>
        <v>181.15609812001622</v>
      </c>
      <c r="P89" s="418">
        <f t="shared" si="43"/>
        <v>280.9236541200064</v>
      </c>
      <c r="Q89" s="418">
        <f t="shared" si="43"/>
        <v>380.69121011999675</v>
      </c>
      <c r="R89" s="418">
        <f t="shared" si="43"/>
        <v>480.45876612002758</v>
      </c>
      <c r="S89" s="418">
        <f t="shared" si="43"/>
        <v>580.22632212001781</v>
      </c>
      <c r="T89" s="418">
        <f t="shared" si="43"/>
        <v>679.99387812000816</v>
      </c>
      <c r="U89" s="418">
        <f t="shared" si="43"/>
        <v>722.75140211999963</v>
      </c>
      <c r="V89" s="418">
        <f t="shared" si="43"/>
        <v>765.50892612000121</v>
      </c>
      <c r="W89" s="418">
        <f t="shared" si="43"/>
        <v>808.2664501200029</v>
      </c>
      <c r="X89" s="418">
        <f t="shared" si="43"/>
        <v>851.02397412000448</v>
      </c>
      <c r="Y89" s="418">
        <f t="shared" si="43"/>
        <v>893.78149811999583</v>
      </c>
      <c r="Z89" s="418">
        <f t="shared" si="43"/>
        <v>936.53902211999741</v>
      </c>
      <c r="AA89" s="418">
        <f t="shared" si="43"/>
        <v>979.29654611999911</v>
      </c>
      <c r="AB89" s="418">
        <f t="shared" si="43"/>
        <v>1022.0540701200007</v>
      </c>
      <c r="AC89" s="418">
        <f t="shared" si="43"/>
        <v>1064.8115941200024</v>
      </c>
      <c r="AD89" s="418">
        <f t="shared" si="43"/>
        <v>1107.5691181200038</v>
      </c>
      <c r="AF89" s="26"/>
      <c r="AG89" s="383" t="s">
        <v>1790</v>
      </c>
      <c r="AH89" s="416"/>
      <c r="AI89" s="416" t="s">
        <v>1912</v>
      </c>
      <c r="AJ89" s="417"/>
      <c r="AK89" s="417" t="s">
        <v>545</v>
      </c>
      <c r="AL89" s="418">
        <f t="shared" ref="AL89:BH89" si="44">AL82</f>
        <v>0</v>
      </c>
      <c r="AM89" s="418">
        <f t="shared" si="44"/>
        <v>0</v>
      </c>
      <c r="AN89" s="418">
        <f t="shared" si="44"/>
        <v>0</v>
      </c>
      <c r="AO89" s="418">
        <f t="shared" si="44"/>
        <v>0</v>
      </c>
      <c r="AP89" s="418">
        <f t="shared" si="44"/>
        <v>0</v>
      </c>
      <c r="AQ89" s="418">
        <f t="shared" si="44"/>
        <v>55.734027720000043</v>
      </c>
      <c r="AR89" s="418">
        <f t="shared" si="44"/>
        <v>118.44506292</v>
      </c>
      <c r="AS89" s="418">
        <f t="shared" si="44"/>
        <v>181.15609812001622</v>
      </c>
      <c r="AT89" s="418">
        <f t="shared" si="44"/>
        <v>280.9236541200064</v>
      </c>
      <c r="AU89" s="418">
        <f t="shared" si="44"/>
        <v>380.69121011999675</v>
      </c>
      <c r="AV89" s="418">
        <f t="shared" si="44"/>
        <v>480.45876612002758</v>
      </c>
      <c r="AW89" s="418">
        <f t="shared" si="44"/>
        <v>580.22632212001781</v>
      </c>
      <c r="AX89" s="418">
        <f t="shared" si="44"/>
        <v>679.99387812000816</v>
      </c>
      <c r="AY89" s="418">
        <f t="shared" si="44"/>
        <v>722.75140211999963</v>
      </c>
      <c r="AZ89" s="418">
        <f t="shared" si="44"/>
        <v>765.50892612000121</v>
      </c>
      <c r="BA89" s="418">
        <f t="shared" si="44"/>
        <v>808.2664501200029</v>
      </c>
      <c r="BB89" s="418">
        <f t="shared" si="44"/>
        <v>851.02397412000448</v>
      </c>
      <c r="BC89" s="418">
        <f t="shared" si="44"/>
        <v>893.78149811999583</v>
      </c>
      <c r="BD89" s="418">
        <f t="shared" si="44"/>
        <v>936.53902211999741</v>
      </c>
      <c r="BE89" s="418">
        <f t="shared" si="44"/>
        <v>979.29654611999911</v>
      </c>
      <c r="BF89" s="418">
        <f t="shared" si="44"/>
        <v>1022.0540701200007</v>
      </c>
      <c r="BG89" s="418">
        <f t="shared" si="44"/>
        <v>1064.8115941200024</v>
      </c>
      <c r="BH89" s="418">
        <f t="shared" si="44"/>
        <v>1107.5691181200038</v>
      </c>
    </row>
    <row r="90" spans="2:60" ht="15">
      <c r="C90" s="383" t="s">
        <v>1794</v>
      </c>
      <c r="D90" s="416"/>
      <c r="E90" s="416" t="s">
        <v>1912</v>
      </c>
      <c r="F90" s="417"/>
      <c r="G90" s="417" t="s">
        <v>545</v>
      </c>
      <c r="H90" s="418">
        <f t="shared" ref="H90:AD90" si="45">H85</f>
        <v>0</v>
      </c>
      <c r="I90" s="418">
        <f t="shared" si="45"/>
        <v>6.4153974000000193</v>
      </c>
      <c r="J90" s="418">
        <f t="shared" si="45"/>
        <v>13.916717399999962</v>
      </c>
      <c r="K90" s="418">
        <f t="shared" si="45"/>
        <v>30.4196214</v>
      </c>
      <c r="L90" s="418">
        <f t="shared" si="45"/>
        <v>46.922525399999984</v>
      </c>
      <c r="M90" s="418">
        <f t="shared" si="45"/>
        <v>48.758579999999959</v>
      </c>
      <c r="N90" s="418">
        <f t="shared" si="45"/>
        <v>48.758580000000016</v>
      </c>
      <c r="O90" s="418">
        <f t="shared" si="45"/>
        <v>48.758579999999988</v>
      </c>
      <c r="P90" s="418">
        <f t="shared" si="45"/>
        <v>48.758580000000016</v>
      </c>
      <c r="Q90" s="418">
        <f t="shared" si="45"/>
        <v>48.758579999999988</v>
      </c>
      <c r="R90" s="418">
        <f t="shared" si="45"/>
        <v>48.758579999999988</v>
      </c>
      <c r="S90" s="418">
        <f t="shared" si="45"/>
        <v>48.758580000000009</v>
      </c>
      <c r="T90" s="418">
        <f t="shared" si="45"/>
        <v>48.758580000000009</v>
      </c>
      <c r="U90" s="418">
        <f t="shared" si="45"/>
        <v>48.758580000000009</v>
      </c>
      <c r="V90" s="418">
        <f t="shared" si="45"/>
        <v>48.758580000000009</v>
      </c>
      <c r="W90" s="418">
        <f t="shared" si="45"/>
        <v>48.758580000000009</v>
      </c>
      <c r="X90" s="418">
        <f t="shared" si="45"/>
        <v>48.758580000000009</v>
      </c>
      <c r="Y90" s="418">
        <f t="shared" si="45"/>
        <v>48.758579999999988</v>
      </c>
      <c r="Z90" s="418">
        <f t="shared" si="45"/>
        <v>48.758579999999995</v>
      </c>
      <c r="AA90" s="418">
        <f t="shared" si="45"/>
        <v>48.758579999999995</v>
      </c>
      <c r="AB90" s="418">
        <f t="shared" si="45"/>
        <v>41.257259999999782</v>
      </c>
      <c r="AC90" s="418">
        <f t="shared" si="45"/>
        <v>30.005279999999356</v>
      </c>
      <c r="AD90" s="418">
        <f t="shared" si="45"/>
        <v>18.753299999998934</v>
      </c>
      <c r="AF90" s="26"/>
      <c r="AG90" s="383" t="s">
        <v>1794</v>
      </c>
      <c r="AH90" s="416"/>
      <c r="AI90" s="416" t="s">
        <v>1912</v>
      </c>
      <c r="AJ90" s="417"/>
      <c r="AK90" s="417" t="s">
        <v>545</v>
      </c>
      <c r="AL90" s="418">
        <f t="shared" ref="AL90:BH90" si="46">AL85</f>
        <v>0</v>
      </c>
      <c r="AM90" s="418">
        <f t="shared" si="46"/>
        <v>6.4153974000000193</v>
      </c>
      <c r="AN90" s="418">
        <f t="shared" si="46"/>
        <v>13.916717399999962</v>
      </c>
      <c r="AO90" s="418">
        <f t="shared" si="46"/>
        <v>30.4196214</v>
      </c>
      <c r="AP90" s="418">
        <f t="shared" si="46"/>
        <v>46.922525399999984</v>
      </c>
      <c r="AQ90" s="418">
        <f t="shared" si="46"/>
        <v>48.758579999999959</v>
      </c>
      <c r="AR90" s="418">
        <f t="shared" si="46"/>
        <v>48.758580000000016</v>
      </c>
      <c r="AS90" s="418">
        <f t="shared" si="46"/>
        <v>48.758579999999988</v>
      </c>
      <c r="AT90" s="418">
        <f t="shared" si="46"/>
        <v>48.758580000000016</v>
      </c>
      <c r="AU90" s="418">
        <f t="shared" si="46"/>
        <v>48.758579999999988</v>
      </c>
      <c r="AV90" s="418">
        <f t="shared" si="46"/>
        <v>48.758579999999988</v>
      </c>
      <c r="AW90" s="418">
        <f t="shared" si="46"/>
        <v>48.758580000000009</v>
      </c>
      <c r="AX90" s="418">
        <f t="shared" si="46"/>
        <v>48.758580000000009</v>
      </c>
      <c r="AY90" s="418">
        <f t="shared" si="46"/>
        <v>48.758580000000009</v>
      </c>
      <c r="AZ90" s="418">
        <f t="shared" si="46"/>
        <v>48.758580000000009</v>
      </c>
      <c r="BA90" s="418">
        <f t="shared" si="46"/>
        <v>48.758580000000009</v>
      </c>
      <c r="BB90" s="418">
        <f t="shared" si="46"/>
        <v>48.758580000000009</v>
      </c>
      <c r="BC90" s="418">
        <f t="shared" si="46"/>
        <v>48.758579999999988</v>
      </c>
      <c r="BD90" s="418">
        <f t="shared" si="46"/>
        <v>48.758579999999995</v>
      </c>
      <c r="BE90" s="418">
        <f t="shared" si="46"/>
        <v>48.758579999999995</v>
      </c>
      <c r="BF90" s="418">
        <f t="shared" si="46"/>
        <v>41.257259999999782</v>
      </c>
      <c r="BG90" s="418">
        <f t="shared" si="46"/>
        <v>30.005279999999356</v>
      </c>
      <c r="BH90" s="418">
        <f t="shared" si="46"/>
        <v>18.753299999998934</v>
      </c>
    </row>
    <row r="91" spans="2:60" ht="15.75" thickBot="1">
      <c r="C91" s="427" t="s">
        <v>544</v>
      </c>
      <c r="D91" s="428"/>
      <c r="E91" s="428"/>
      <c r="F91" s="429"/>
      <c r="G91" s="429" t="s">
        <v>545</v>
      </c>
      <c r="H91" s="430">
        <f t="shared" ref="H91:AD91" ca="1" si="47">H87</f>
        <v>-4.1265058799999181</v>
      </c>
      <c r="I91" s="430">
        <f t="shared" ca="1" si="47"/>
        <v>0</v>
      </c>
      <c r="J91" s="430">
        <f t="shared" ca="1" si="47"/>
        <v>0</v>
      </c>
      <c r="K91" s="430">
        <f t="shared" ca="1" si="47"/>
        <v>0</v>
      </c>
      <c r="L91" s="430">
        <f t="shared" ca="1" si="47"/>
        <v>0</v>
      </c>
      <c r="M91" s="430">
        <f t="shared" ca="1" si="47"/>
        <v>0</v>
      </c>
      <c r="N91" s="430">
        <f t="shared" ca="1" si="47"/>
        <v>0</v>
      </c>
      <c r="O91" s="430">
        <f t="shared" ca="1" si="47"/>
        <v>0</v>
      </c>
      <c r="P91" s="430">
        <f t="shared" ca="1" si="47"/>
        <v>0</v>
      </c>
      <c r="Q91" s="430">
        <f t="shared" ca="1" si="47"/>
        <v>0</v>
      </c>
      <c r="R91" s="430">
        <f t="shared" ca="1" si="47"/>
        <v>0</v>
      </c>
      <c r="S91" s="430">
        <f t="shared" ca="1" si="47"/>
        <v>0</v>
      </c>
      <c r="T91" s="430">
        <f t="shared" ca="1" si="47"/>
        <v>0</v>
      </c>
      <c r="U91" s="430">
        <f t="shared" ca="1" si="47"/>
        <v>0</v>
      </c>
      <c r="V91" s="430">
        <f t="shared" ca="1" si="47"/>
        <v>0</v>
      </c>
      <c r="W91" s="430">
        <f t="shared" ca="1" si="47"/>
        <v>0</v>
      </c>
      <c r="X91" s="430">
        <f t="shared" ca="1" si="47"/>
        <v>0</v>
      </c>
      <c r="Y91" s="430">
        <f t="shared" ca="1" si="47"/>
        <v>0</v>
      </c>
      <c r="Z91" s="430">
        <f t="shared" ca="1" si="47"/>
        <v>0</v>
      </c>
      <c r="AA91" s="430">
        <f t="shared" ca="1" si="47"/>
        <v>0</v>
      </c>
      <c r="AB91" s="430">
        <f t="shared" ca="1" si="47"/>
        <v>0</v>
      </c>
      <c r="AC91" s="430">
        <f t="shared" ca="1" si="47"/>
        <v>0</v>
      </c>
      <c r="AD91" s="430">
        <f t="shared" ca="1" si="47"/>
        <v>0</v>
      </c>
      <c r="AF91" s="26"/>
      <c r="AG91" s="427" t="s">
        <v>544</v>
      </c>
      <c r="AH91" s="428"/>
      <c r="AI91" s="428"/>
      <c r="AJ91" s="429"/>
      <c r="AK91" s="429" t="s">
        <v>545</v>
      </c>
      <c r="AL91" s="430">
        <f t="shared" ref="AL91:BH91" ca="1" si="48">AL87</f>
        <v>-4.1265058799999181</v>
      </c>
      <c r="AM91" s="430">
        <f t="shared" ca="1" si="48"/>
        <v>0</v>
      </c>
      <c r="AN91" s="430">
        <f t="shared" ca="1" si="48"/>
        <v>0</v>
      </c>
      <c r="AO91" s="430">
        <f t="shared" ca="1" si="48"/>
        <v>0</v>
      </c>
      <c r="AP91" s="430">
        <f t="shared" ca="1" si="48"/>
        <v>0</v>
      </c>
      <c r="AQ91" s="430">
        <f t="shared" ca="1" si="48"/>
        <v>0</v>
      </c>
      <c r="AR91" s="430">
        <f t="shared" ca="1" si="48"/>
        <v>0</v>
      </c>
      <c r="AS91" s="430">
        <f t="shared" ca="1" si="48"/>
        <v>0</v>
      </c>
      <c r="AT91" s="430">
        <f t="shared" ca="1" si="48"/>
        <v>0</v>
      </c>
      <c r="AU91" s="430">
        <f t="shared" ca="1" si="48"/>
        <v>0</v>
      </c>
      <c r="AV91" s="430">
        <f t="shared" ca="1" si="48"/>
        <v>0</v>
      </c>
      <c r="AW91" s="430">
        <f t="shared" ca="1" si="48"/>
        <v>0</v>
      </c>
      <c r="AX91" s="430">
        <f t="shared" ca="1" si="48"/>
        <v>0</v>
      </c>
      <c r="AY91" s="430">
        <f t="shared" ca="1" si="48"/>
        <v>0</v>
      </c>
      <c r="AZ91" s="430">
        <f t="shared" ca="1" si="48"/>
        <v>0</v>
      </c>
      <c r="BA91" s="430">
        <f t="shared" ca="1" si="48"/>
        <v>0</v>
      </c>
      <c r="BB91" s="430">
        <f t="shared" ca="1" si="48"/>
        <v>0</v>
      </c>
      <c r="BC91" s="430">
        <f t="shared" ca="1" si="48"/>
        <v>0</v>
      </c>
      <c r="BD91" s="430">
        <f t="shared" ca="1" si="48"/>
        <v>0</v>
      </c>
      <c r="BE91" s="430">
        <f t="shared" ca="1" si="48"/>
        <v>0</v>
      </c>
      <c r="BF91" s="430">
        <f t="shared" ca="1" si="48"/>
        <v>0</v>
      </c>
      <c r="BG91" s="430">
        <f t="shared" ca="1" si="48"/>
        <v>0</v>
      </c>
      <c r="BH91" s="430">
        <f t="shared" ca="1" si="48"/>
        <v>0</v>
      </c>
    </row>
    <row r="92" spans="2:60" ht="15.75" thickTop="1">
      <c r="C92" s="431" t="s">
        <v>1802</v>
      </c>
      <c r="D92" s="416"/>
      <c r="E92" s="385"/>
      <c r="F92" s="386" t="s">
        <v>1660</v>
      </c>
      <c r="G92" s="417" t="s">
        <v>545</v>
      </c>
      <c r="H92" s="418">
        <f t="shared" ref="H92:AD92" ca="1" si="49">SUM(H88:H91)</f>
        <v>99995.873494119995</v>
      </c>
      <c r="I92" s="418">
        <f t="shared" ca="1" si="49"/>
        <v>100006.41539739999</v>
      </c>
      <c r="J92" s="418">
        <f t="shared" ca="1" si="49"/>
        <v>100013.9167174</v>
      </c>
      <c r="K92" s="418">
        <f t="shared" ca="1" si="49"/>
        <v>100030.4196214</v>
      </c>
      <c r="L92" s="418">
        <f t="shared" ca="1" si="49"/>
        <v>100046.9225254</v>
      </c>
      <c r="M92" s="418">
        <f t="shared" ca="1" si="49"/>
        <v>100104.49260771999</v>
      </c>
      <c r="N92" s="418">
        <f t="shared" ca="1" si="49"/>
        <v>100167.20364291999</v>
      </c>
      <c r="O92" s="418">
        <f t="shared" ca="1" si="49"/>
        <v>100229.91467812001</v>
      </c>
      <c r="P92" s="418">
        <f t="shared" ca="1" si="49"/>
        <v>100329.68223412</v>
      </c>
      <c r="Q92" s="418">
        <f t="shared" ca="1" si="49"/>
        <v>100429.44979011999</v>
      </c>
      <c r="R92" s="418">
        <f t="shared" ca="1" si="49"/>
        <v>100529.21734612001</v>
      </c>
      <c r="S92" s="418">
        <f t="shared" ca="1" si="49"/>
        <v>100628.98490212001</v>
      </c>
      <c r="T92" s="418">
        <f t="shared" ca="1" si="49"/>
        <v>100728.75245812</v>
      </c>
      <c r="U92" s="418">
        <f t="shared" ca="1" si="49"/>
        <v>100771.50998212</v>
      </c>
      <c r="V92" s="418">
        <f t="shared" ca="1" si="49"/>
        <v>100814.26750612</v>
      </c>
      <c r="W92" s="418">
        <f t="shared" ca="1" si="49"/>
        <v>100857.02503012</v>
      </c>
      <c r="X92" s="418">
        <f t="shared" ca="1" si="49"/>
        <v>100899.78255412</v>
      </c>
      <c r="Y92" s="418">
        <f t="shared" ca="1" si="49"/>
        <v>100942.54007811999</v>
      </c>
      <c r="Z92" s="418">
        <f t="shared" ca="1" si="49"/>
        <v>100985.29760211999</v>
      </c>
      <c r="AA92" s="418">
        <f t="shared" ca="1" si="49"/>
        <v>101028.05512611999</v>
      </c>
      <c r="AB92" s="418">
        <f t="shared" ca="1" si="49"/>
        <v>101063.31133012001</v>
      </c>
      <c r="AC92" s="418">
        <f t="shared" ca="1" si="49"/>
        <v>101094.81687412001</v>
      </c>
      <c r="AD92" s="418">
        <f t="shared" ca="1" si="49"/>
        <v>101126.32241812001</v>
      </c>
      <c r="AF92" s="26"/>
      <c r="AG92" s="431" t="s">
        <v>1802</v>
      </c>
      <c r="AH92" s="416"/>
      <c r="AI92" s="385"/>
      <c r="AJ92" s="386" t="s">
        <v>1660</v>
      </c>
      <c r="AK92" s="417" t="s">
        <v>545</v>
      </c>
      <c r="AL92" s="418">
        <f t="shared" ref="AL92:BH92" ca="1" si="50">SUM(AL88:AL91)</f>
        <v>539.11567070781075</v>
      </c>
      <c r="AM92" s="418">
        <f t="shared" ca="1" si="50"/>
        <v>507.37524201569801</v>
      </c>
      <c r="AN92" s="418">
        <f t="shared" ca="1" si="50"/>
        <v>472.59423004358536</v>
      </c>
      <c r="AO92" s="418">
        <f t="shared" ca="1" si="50"/>
        <v>488.88901709230475</v>
      </c>
      <c r="AP92" s="418">
        <f t="shared" ca="1" si="50"/>
        <v>505.18380414102398</v>
      </c>
      <c r="AQ92" s="418">
        <f t="shared" ca="1" si="50"/>
        <v>562.54576950974342</v>
      </c>
      <c r="AR92" s="418">
        <f t="shared" ca="1" si="50"/>
        <v>625.04868775846273</v>
      </c>
      <c r="AS92" s="418">
        <f t="shared" ca="1" si="50"/>
        <v>687.55160600719796</v>
      </c>
      <c r="AT92" s="418">
        <f t="shared" ca="1" si="50"/>
        <v>786.32746781707328</v>
      </c>
      <c r="AU92" s="418">
        <f t="shared" ca="1" si="50"/>
        <v>885.10332962694815</v>
      </c>
      <c r="AV92" s="418">
        <f t="shared" ca="1" si="50"/>
        <v>983.87919143686372</v>
      </c>
      <c r="AW92" s="418">
        <f t="shared" ca="1" si="50"/>
        <v>1082.6550532467386</v>
      </c>
      <c r="AX92" s="418">
        <f t="shared" ca="1" si="50"/>
        <v>1181.4309150566139</v>
      </c>
      <c r="AY92" s="418">
        <f t="shared" ca="1" si="50"/>
        <v>1223.2243769673528</v>
      </c>
      <c r="AZ92" s="418">
        <f t="shared" ca="1" si="50"/>
        <v>1265.0178388781021</v>
      </c>
      <c r="BA92" s="418">
        <f t="shared" ca="1" si="50"/>
        <v>1306.8113007888512</v>
      </c>
      <c r="BB92" s="418">
        <f t="shared" ca="1" si="50"/>
        <v>1348.6047626996003</v>
      </c>
      <c r="BC92" s="418">
        <f t="shared" ca="1" si="50"/>
        <v>1390.398224610339</v>
      </c>
      <c r="BD92" s="418">
        <f t="shared" ca="1" si="50"/>
        <v>1432.3191435356082</v>
      </c>
      <c r="BE92" s="418">
        <f t="shared" ca="1" si="50"/>
        <v>1474.2400624608774</v>
      </c>
      <c r="BF92" s="418">
        <f t="shared" ca="1" si="50"/>
        <v>1508.6596613861466</v>
      </c>
      <c r="BG92" s="418">
        <f t="shared" ca="1" si="50"/>
        <v>1539.3286003114156</v>
      </c>
      <c r="BH92" s="418">
        <f t="shared" ca="1" si="50"/>
        <v>1569.9975392366844</v>
      </c>
    </row>
    <row r="93" spans="2:60">
      <c r="AF93" s="26"/>
      <c r="AH93" s="24"/>
      <c r="AI93" s="24"/>
      <c r="AJ93" s="411"/>
      <c r="AK93" s="411"/>
    </row>
    <row r="94" spans="2:60" ht="15">
      <c r="B94" s="415"/>
      <c r="C94" s="337"/>
      <c r="D94" s="385"/>
      <c r="E94" s="385"/>
      <c r="F94" s="386"/>
      <c r="G94" s="386"/>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F94" s="415"/>
      <c r="AG94" s="337"/>
      <c r="AH94" s="385"/>
      <c r="AI94" s="385"/>
      <c r="AJ94" s="386"/>
      <c r="AK94" s="386"/>
      <c r="AL94" s="398"/>
      <c r="AM94" s="398"/>
      <c r="AN94" s="398"/>
      <c r="AO94" s="398"/>
      <c r="AP94" s="398"/>
      <c r="AQ94" s="398"/>
      <c r="AR94" s="398"/>
      <c r="AS94" s="398"/>
      <c r="AT94" s="398"/>
      <c r="AU94" s="398"/>
      <c r="AV94" s="398"/>
      <c r="AW94" s="398"/>
      <c r="AX94" s="398"/>
      <c r="AY94" s="398"/>
      <c r="AZ94" s="398"/>
      <c r="BA94" s="398"/>
      <c r="BB94" s="398"/>
      <c r="BC94" s="398"/>
      <c r="BD94" s="398"/>
      <c r="BE94" s="398"/>
      <c r="BF94" s="398"/>
      <c r="BG94" s="398"/>
      <c r="BH94" s="398"/>
    </row>
    <row r="95" spans="2:60" ht="15.6" customHeight="1">
      <c r="C95" s="383" t="s">
        <v>1780</v>
      </c>
      <c r="D95" s="385"/>
      <c r="E95" s="385"/>
      <c r="F95" s="386"/>
      <c r="G95" s="386"/>
      <c r="AF95" s="26"/>
      <c r="AG95" s="383" t="s">
        <v>1780</v>
      </c>
      <c r="AH95" s="385"/>
      <c r="AI95" s="385"/>
      <c r="AJ95" s="386"/>
      <c r="AK95" s="386"/>
    </row>
    <row r="96" spans="2:60" ht="15.6" customHeight="1">
      <c r="C96" s="387" t="s">
        <v>1818</v>
      </c>
      <c r="D96" s="389" t="s">
        <v>1819</v>
      </c>
      <c r="E96" s="389" t="s">
        <v>1531</v>
      </c>
      <c r="F96" s="389" t="s">
        <v>21</v>
      </c>
      <c r="G96" s="390" t="s">
        <v>1596</v>
      </c>
      <c r="H96" s="391">
        <v>2028</v>
      </c>
      <c r="I96" s="391">
        <v>2029</v>
      </c>
      <c r="J96" s="391">
        <v>2030</v>
      </c>
      <c r="K96" s="391">
        <v>2031</v>
      </c>
      <c r="L96" s="391">
        <v>2032</v>
      </c>
      <c r="M96" s="391">
        <v>2033</v>
      </c>
      <c r="N96" s="391">
        <v>2034</v>
      </c>
      <c r="O96" s="391">
        <v>2035</v>
      </c>
      <c r="P96" s="392">
        <v>2036</v>
      </c>
      <c r="Q96" s="392">
        <v>2037</v>
      </c>
      <c r="R96" s="391">
        <v>2038</v>
      </c>
      <c r="S96" s="391">
        <v>2039</v>
      </c>
      <c r="T96" s="391">
        <v>2040</v>
      </c>
      <c r="U96" s="391">
        <v>2041</v>
      </c>
      <c r="V96" s="391">
        <v>2042</v>
      </c>
      <c r="W96" s="391">
        <v>2043</v>
      </c>
      <c r="X96" s="391">
        <v>2044</v>
      </c>
      <c r="Y96" s="391">
        <v>2045</v>
      </c>
      <c r="Z96" s="392">
        <v>2046</v>
      </c>
      <c r="AA96" s="392">
        <v>2047</v>
      </c>
      <c r="AB96" s="391">
        <v>2048</v>
      </c>
      <c r="AC96" s="391">
        <v>2049</v>
      </c>
      <c r="AD96" s="391">
        <v>2050</v>
      </c>
      <c r="AF96" s="26"/>
      <c r="AG96" s="387" t="s">
        <v>1818</v>
      </c>
      <c r="AH96" s="389" t="s">
        <v>1819</v>
      </c>
      <c r="AI96" s="389" t="s">
        <v>1531</v>
      </c>
      <c r="AJ96" s="389" t="s">
        <v>21</v>
      </c>
      <c r="AK96" s="390" t="s">
        <v>1596</v>
      </c>
      <c r="AL96" s="391">
        <v>2028</v>
      </c>
      <c r="AM96" s="391">
        <v>2029</v>
      </c>
      <c r="AN96" s="391">
        <v>2030</v>
      </c>
      <c r="AO96" s="391">
        <v>2031</v>
      </c>
      <c r="AP96" s="391">
        <v>2032</v>
      </c>
      <c r="AQ96" s="391">
        <v>2033</v>
      </c>
      <c r="AR96" s="391">
        <v>2034</v>
      </c>
      <c r="AS96" s="391">
        <v>2035</v>
      </c>
      <c r="AT96" s="392">
        <v>2036</v>
      </c>
      <c r="AU96" s="392">
        <v>2037</v>
      </c>
      <c r="AV96" s="391">
        <v>2038</v>
      </c>
      <c r="AW96" s="391">
        <v>2039</v>
      </c>
      <c r="AX96" s="391">
        <v>2040</v>
      </c>
      <c r="AY96" s="391">
        <v>2041</v>
      </c>
      <c r="AZ96" s="391">
        <v>2042</v>
      </c>
      <c r="BA96" s="391">
        <v>2043</v>
      </c>
      <c r="BB96" s="391">
        <v>2044</v>
      </c>
      <c r="BC96" s="391">
        <v>2045</v>
      </c>
      <c r="BD96" s="392">
        <v>2046</v>
      </c>
      <c r="BE96" s="392">
        <v>2047</v>
      </c>
      <c r="BF96" s="391">
        <v>2048</v>
      </c>
      <c r="BG96" s="391">
        <v>2049</v>
      </c>
      <c r="BH96" s="391">
        <v>2050</v>
      </c>
    </row>
    <row r="97" spans="2:60" ht="15.6" customHeight="1">
      <c r="C97" s="337" t="s">
        <v>1913</v>
      </c>
      <c r="D97" s="385"/>
      <c r="E97" s="385" t="s">
        <v>1914</v>
      </c>
      <c r="F97" s="386" t="s">
        <v>1915</v>
      </c>
      <c r="G97" s="386" t="s">
        <v>587</v>
      </c>
      <c r="H97" s="398">
        <f t="shared" ref="H97:AD97" ca="1" si="51">H$47-H$23</f>
        <v>0</v>
      </c>
      <c r="I97" s="398">
        <f t="shared" ca="1" si="51"/>
        <v>0</v>
      </c>
      <c r="J97" s="398">
        <f t="shared" ca="1" si="51"/>
        <v>0</v>
      </c>
      <c r="K97" s="398">
        <f t="shared" ca="1" si="51"/>
        <v>0</v>
      </c>
      <c r="L97" s="398">
        <f t="shared" ca="1" si="51"/>
        <v>0</v>
      </c>
      <c r="M97" s="398">
        <f t="shared" ca="1" si="51"/>
        <v>0</v>
      </c>
      <c r="N97" s="398">
        <f t="shared" ca="1" si="51"/>
        <v>0</v>
      </c>
      <c r="O97" s="398">
        <f t="shared" ca="1" si="51"/>
        <v>0</v>
      </c>
      <c r="P97" s="398">
        <f t="shared" ca="1" si="51"/>
        <v>0</v>
      </c>
      <c r="Q97" s="398">
        <f t="shared" ca="1" si="51"/>
        <v>0</v>
      </c>
      <c r="R97" s="398">
        <f t="shared" ca="1" si="51"/>
        <v>0</v>
      </c>
      <c r="S97" s="398">
        <f t="shared" ca="1" si="51"/>
        <v>0</v>
      </c>
      <c r="T97" s="398">
        <f t="shared" ca="1" si="51"/>
        <v>0</v>
      </c>
      <c r="U97" s="398">
        <f t="shared" ca="1" si="51"/>
        <v>0</v>
      </c>
      <c r="V97" s="398">
        <f t="shared" ca="1" si="51"/>
        <v>0</v>
      </c>
      <c r="W97" s="398">
        <f t="shared" ca="1" si="51"/>
        <v>0</v>
      </c>
      <c r="X97" s="398">
        <f t="shared" ca="1" si="51"/>
        <v>0</v>
      </c>
      <c r="Y97" s="398">
        <f t="shared" ca="1" si="51"/>
        <v>0</v>
      </c>
      <c r="Z97" s="398">
        <f t="shared" ca="1" si="51"/>
        <v>0</v>
      </c>
      <c r="AA97" s="398">
        <f t="shared" ca="1" si="51"/>
        <v>0</v>
      </c>
      <c r="AB97" s="398">
        <f t="shared" ca="1" si="51"/>
        <v>0</v>
      </c>
      <c r="AC97" s="398">
        <f t="shared" ca="1" si="51"/>
        <v>0</v>
      </c>
      <c r="AD97" s="398">
        <f t="shared" ca="1" si="51"/>
        <v>0</v>
      </c>
      <c r="AF97" s="26"/>
      <c r="AG97" s="337" t="s">
        <v>1913</v>
      </c>
      <c r="AH97" s="385"/>
      <c r="AI97" s="385" t="s">
        <v>1914</v>
      </c>
      <c r="AJ97" s="386" t="s">
        <v>1915</v>
      </c>
      <c r="AK97" s="386" t="s">
        <v>587</v>
      </c>
      <c r="AL97" s="398">
        <f t="shared" ref="AL97:BH97" ca="1" si="52">AL$47-AL$23</f>
        <v>0</v>
      </c>
      <c r="AM97" s="398">
        <f t="shared" ca="1" si="52"/>
        <v>0</v>
      </c>
      <c r="AN97" s="398">
        <f t="shared" ca="1" si="52"/>
        <v>0</v>
      </c>
      <c r="AO97" s="398">
        <f t="shared" ca="1" si="52"/>
        <v>0</v>
      </c>
      <c r="AP97" s="398">
        <f t="shared" ca="1" si="52"/>
        <v>0</v>
      </c>
      <c r="AQ97" s="398">
        <f t="shared" ca="1" si="52"/>
        <v>0</v>
      </c>
      <c r="AR97" s="398">
        <f t="shared" ca="1" si="52"/>
        <v>0</v>
      </c>
      <c r="AS97" s="398">
        <f t="shared" ca="1" si="52"/>
        <v>0</v>
      </c>
      <c r="AT97" s="398">
        <f t="shared" ca="1" si="52"/>
        <v>0</v>
      </c>
      <c r="AU97" s="398">
        <f t="shared" ca="1" si="52"/>
        <v>0</v>
      </c>
      <c r="AV97" s="398">
        <f t="shared" ca="1" si="52"/>
        <v>0</v>
      </c>
      <c r="AW97" s="398">
        <f t="shared" ca="1" si="52"/>
        <v>0</v>
      </c>
      <c r="AX97" s="398">
        <f t="shared" ca="1" si="52"/>
        <v>0</v>
      </c>
      <c r="AY97" s="398">
        <f t="shared" ca="1" si="52"/>
        <v>0</v>
      </c>
      <c r="AZ97" s="398">
        <f t="shared" ca="1" si="52"/>
        <v>0</v>
      </c>
      <c r="BA97" s="398">
        <f t="shared" ca="1" si="52"/>
        <v>0</v>
      </c>
      <c r="BB97" s="398">
        <f t="shared" ca="1" si="52"/>
        <v>0</v>
      </c>
      <c r="BC97" s="398">
        <f t="shared" ca="1" si="52"/>
        <v>0</v>
      </c>
      <c r="BD97" s="398">
        <f t="shared" ca="1" si="52"/>
        <v>0</v>
      </c>
      <c r="BE97" s="398">
        <f t="shared" ca="1" si="52"/>
        <v>0</v>
      </c>
      <c r="BF97" s="398">
        <f t="shared" ca="1" si="52"/>
        <v>0</v>
      </c>
      <c r="BG97" s="398">
        <f t="shared" ca="1" si="52"/>
        <v>0</v>
      </c>
      <c r="BH97" s="398">
        <f t="shared" ca="1" si="52"/>
        <v>0</v>
      </c>
    </row>
    <row r="98" spans="2:60" ht="15.6" customHeight="1">
      <c r="C98" s="337" t="s">
        <v>1916</v>
      </c>
      <c r="D98" s="385"/>
      <c r="E98" s="385"/>
      <c r="F98" s="386" t="s">
        <v>1917</v>
      </c>
      <c r="G98" s="386" t="s">
        <v>581</v>
      </c>
      <c r="H98" s="398">
        <f t="shared" ref="H98:AD98" si="53">H$20-H$43</f>
        <v>9.2828110000000005E-2</v>
      </c>
      <c r="I98" s="398">
        <f t="shared" si="53"/>
        <v>9.2828110000000005E-2</v>
      </c>
      <c r="J98" s="398">
        <f t="shared" si="53"/>
        <v>9.2828110000000005E-2</v>
      </c>
      <c r="K98" s="398">
        <f t="shared" si="53"/>
        <v>9.2828110000000005E-2</v>
      </c>
      <c r="L98" s="398">
        <f t="shared" si="53"/>
        <v>9.2828110000000005E-2</v>
      </c>
      <c r="M98" s="398">
        <f t="shared" si="53"/>
        <v>9.2828110000000005E-2</v>
      </c>
      <c r="N98" s="398">
        <f t="shared" si="53"/>
        <v>9.2828110000000005E-2</v>
      </c>
      <c r="O98" s="398">
        <f t="shared" si="53"/>
        <v>9.2828110000000005E-2</v>
      </c>
      <c r="P98" s="398">
        <f t="shared" si="53"/>
        <v>9.2828110000000005E-2</v>
      </c>
      <c r="Q98" s="398">
        <f t="shared" si="53"/>
        <v>9.2828110000000005E-2</v>
      </c>
      <c r="R98" s="398">
        <f t="shared" si="53"/>
        <v>9.2828110000000005E-2</v>
      </c>
      <c r="S98" s="398">
        <f t="shared" si="53"/>
        <v>9.2828110000000005E-2</v>
      </c>
      <c r="T98" s="398">
        <f t="shared" si="53"/>
        <v>9.2828110000000005E-2</v>
      </c>
      <c r="U98" s="398">
        <f t="shared" si="53"/>
        <v>9.2828110000000005E-2</v>
      </c>
      <c r="V98" s="398">
        <f t="shared" si="53"/>
        <v>9.2828110000000005E-2</v>
      </c>
      <c r="W98" s="398">
        <f t="shared" si="53"/>
        <v>9.2828110000000005E-2</v>
      </c>
      <c r="X98" s="398">
        <f t="shared" si="53"/>
        <v>9.2828110000000005E-2</v>
      </c>
      <c r="Y98" s="398">
        <f t="shared" si="53"/>
        <v>9.2828110000000005E-2</v>
      </c>
      <c r="Z98" s="398">
        <f t="shared" si="53"/>
        <v>9.2828110000000005E-2</v>
      </c>
      <c r="AA98" s="398">
        <f t="shared" si="53"/>
        <v>9.2828110000000005E-2</v>
      </c>
      <c r="AB98" s="398">
        <f t="shared" si="53"/>
        <v>9.2828110000000005E-2</v>
      </c>
      <c r="AC98" s="398">
        <f t="shared" si="53"/>
        <v>9.2828110000000005E-2</v>
      </c>
      <c r="AD98" s="398">
        <f t="shared" si="53"/>
        <v>9.2828110000000005E-2</v>
      </c>
      <c r="AF98" s="26"/>
      <c r="AG98" s="337" t="s">
        <v>1916</v>
      </c>
      <c r="AH98" s="385"/>
      <c r="AI98" s="385"/>
      <c r="AJ98" s="386" t="s">
        <v>1917</v>
      </c>
      <c r="AK98" s="386" t="s">
        <v>581</v>
      </c>
      <c r="AL98" s="398">
        <f t="shared" ref="AL98:BH98" si="54">AL$20-AL$43</f>
        <v>9.2828110000000005E-2</v>
      </c>
      <c r="AM98" s="398">
        <f t="shared" si="54"/>
        <v>9.2828110000000005E-2</v>
      </c>
      <c r="AN98" s="398">
        <f t="shared" si="54"/>
        <v>9.2828110000000005E-2</v>
      </c>
      <c r="AO98" s="398">
        <f t="shared" si="54"/>
        <v>9.2828110000000005E-2</v>
      </c>
      <c r="AP98" s="398">
        <f t="shared" si="54"/>
        <v>9.2828110000000005E-2</v>
      </c>
      <c r="AQ98" s="398">
        <f t="shared" si="54"/>
        <v>9.2828110000000005E-2</v>
      </c>
      <c r="AR98" s="398">
        <f t="shared" si="54"/>
        <v>9.2828110000000005E-2</v>
      </c>
      <c r="AS98" s="398">
        <f t="shared" si="54"/>
        <v>9.2828110000000005E-2</v>
      </c>
      <c r="AT98" s="398">
        <f t="shared" si="54"/>
        <v>9.2828110000000005E-2</v>
      </c>
      <c r="AU98" s="398">
        <f t="shared" si="54"/>
        <v>9.2828110000000005E-2</v>
      </c>
      <c r="AV98" s="398">
        <f t="shared" si="54"/>
        <v>9.2828110000000005E-2</v>
      </c>
      <c r="AW98" s="398">
        <f t="shared" si="54"/>
        <v>9.2828110000000005E-2</v>
      </c>
      <c r="AX98" s="398">
        <f t="shared" si="54"/>
        <v>9.2828110000000005E-2</v>
      </c>
      <c r="AY98" s="398">
        <f t="shared" si="54"/>
        <v>9.2828110000000005E-2</v>
      </c>
      <c r="AZ98" s="398">
        <f t="shared" si="54"/>
        <v>9.2828110000000005E-2</v>
      </c>
      <c r="BA98" s="398">
        <f t="shared" si="54"/>
        <v>9.2828110000000005E-2</v>
      </c>
      <c r="BB98" s="398">
        <f t="shared" si="54"/>
        <v>9.2828110000000005E-2</v>
      </c>
      <c r="BC98" s="398">
        <f t="shared" si="54"/>
        <v>9.2828110000000005E-2</v>
      </c>
      <c r="BD98" s="398">
        <f t="shared" si="54"/>
        <v>9.2828110000000005E-2</v>
      </c>
      <c r="BE98" s="398">
        <f t="shared" si="54"/>
        <v>9.2828110000000005E-2</v>
      </c>
      <c r="BF98" s="398">
        <f t="shared" si="54"/>
        <v>9.2828110000000005E-2</v>
      </c>
      <c r="BG98" s="398">
        <f t="shared" si="54"/>
        <v>9.2828110000000005E-2</v>
      </c>
      <c r="BH98" s="398">
        <f t="shared" si="54"/>
        <v>9.2828110000000005E-2</v>
      </c>
    </row>
    <row r="99" spans="2:60" ht="15.6" customHeight="1">
      <c r="B99" s="415" t="s">
        <v>1884</v>
      </c>
      <c r="C99" s="337" t="s">
        <v>1918</v>
      </c>
      <c r="D99" s="385"/>
      <c r="E99" s="385" t="s">
        <v>1625</v>
      </c>
      <c r="F99" s="386" t="s">
        <v>1624</v>
      </c>
      <c r="G99" s="386" t="s">
        <v>572</v>
      </c>
      <c r="H99" s="398">
        <f t="shared" ref="H99:AD99" ca="1" si="55">H97/H98</f>
        <v>0</v>
      </c>
      <c r="I99" s="398">
        <f t="shared" ca="1" si="55"/>
        <v>0</v>
      </c>
      <c r="J99" s="398">
        <f t="shared" ca="1" si="55"/>
        <v>0</v>
      </c>
      <c r="K99" s="398">
        <f t="shared" ca="1" si="55"/>
        <v>0</v>
      </c>
      <c r="L99" s="398">
        <f t="shared" ca="1" si="55"/>
        <v>0</v>
      </c>
      <c r="M99" s="398">
        <f t="shared" ca="1" si="55"/>
        <v>0</v>
      </c>
      <c r="N99" s="398">
        <f t="shared" ca="1" si="55"/>
        <v>0</v>
      </c>
      <c r="O99" s="398">
        <f t="shared" ca="1" si="55"/>
        <v>0</v>
      </c>
      <c r="P99" s="398">
        <f t="shared" ca="1" si="55"/>
        <v>0</v>
      </c>
      <c r="Q99" s="398">
        <f t="shared" ca="1" si="55"/>
        <v>0</v>
      </c>
      <c r="R99" s="398">
        <f t="shared" ca="1" si="55"/>
        <v>0</v>
      </c>
      <c r="S99" s="398">
        <f t="shared" ca="1" si="55"/>
        <v>0</v>
      </c>
      <c r="T99" s="398">
        <f t="shared" ca="1" si="55"/>
        <v>0</v>
      </c>
      <c r="U99" s="398">
        <f t="shared" ca="1" si="55"/>
        <v>0</v>
      </c>
      <c r="V99" s="398">
        <f t="shared" ca="1" si="55"/>
        <v>0</v>
      </c>
      <c r="W99" s="398">
        <f t="shared" ca="1" si="55"/>
        <v>0</v>
      </c>
      <c r="X99" s="398">
        <f t="shared" ca="1" si="55"/>
        <v>0</v>
      </c>
      <c r="Y99" s="398">
        <f t="shared" ca="1" si="55"/>
        <v>0</v>
      </c>
      <c r="Z99" s="398">
        <f t="shared" ca="1" si="55"/>
        <v>0</v>
      </c>
      <c r="AA99" s="398">
        <f t="shared" ca="1" si="55"/>
        <v>0</v>
      </c>
      <c r="AB99" s="398">
        <f t="shared" ca="1" si="55"/>
        <v>0</v>
      </c>
      <c r="AC99" s="398">
        <f t="shared" ca="1" si="55"/>
        <v>0</v>
      </c>
      <c r="AD99" s="398">
        <f t="shared" ca="1" si="55"/>
        <v>0</v>
      </c>
      <c r="AF99" s="415" t="s">
        <v>1884</v>
      </c>
      <c r="AG99" s="337" t="s">
        <v>1918</v>
      </c>
      <c r="AH99" s="385"/>
      <c r="AI99" s="385" t="s">
        <v>1625</v>
      </c>
      <c r="AJ99" s="386" t="s">
        <v>1624</v>
      </c>
      <c r="AK99" s="386" t="s">
        <v>572</v>
      </c>
      <c r="AL99" s="398">
        <f t="shared" ref="AL99:BH99" ca="1" si="56">AL97/AL98</f>
        <v>0</v>
      </c>
      <c r="AM99" s="398">
        <f t="shared" ca="1" si="56"/>
        <v>0</v>
      </c>
      <c r="AN99" s="398">
        <f t="shared" ca="1" si="56"/>
        <v>0</v>
      </c>
      <c r="AO99" s="398">
        <f t="shared" ca="1" si="56"/>
        <v>0</v>
      </c>
      <c r="AP99" s="398">
        <f t="shared" ca="1" si="56"/>
        <v>0</v>
      </c>
      <c r="AQ99" s="398">
        <f t="shared" ca="1" si="56"/>
        <v>0</v>
      </c>
      <c r="AR99" s="398">
        <f t="shared" ca="1" si="56"/>
        <v>0</v>
      </c>
      <c r="AS99" s="398">
        <f t="shared" ca="1" si="56"/>
        <v>0</v>
      </c>
      <c r="AT99" s="398">
        <f t="shared" ca="1" si="56"/>
        <v>0</v>
      </c>
      <c r="AU99" s="398">
        <f t="shared" ca="1" si="56"/>
        <v>0</v>
      </c>
      <c r="AV99" s="398">
        <f t="shared" ca="1" si="56"/>
        <v>0</v>
      </c>
      <c r="AW99" s="398">
        <f t="shared" ca="1" si="56"/>
        <v>0</v>
      </c>
      <c r="AX99" s="398">
        <f t="shared" ca="1" si="56"/>
        <v>0</v>
      </c>
      <c r="AY99" s="398">
        <f t="shared" ca="1" si="56"/>
        <v>0</v>
      </c>
      <c r="AZ99" s="398">
        <f t="shared" ca="1" si="56"/>
        <v>0</v>
      </c>
      <c r="BA99" s="398">
        <f t="shared" ca="1" si="56"/>
        <v>0</v>
      </c>
      <c r="BB99" s="398">
        <f t="shared" ca="1" si="56"/>
        <v>0</v>
      </c>
      <c r="BC99" s="398">
        <f t="shared" ca="1" si="56"/>
        <v>0</v>
      </c>
      <c r="BD99" s="398">
        <f t="shared" ca="1" si="56"/>
        <v>0</v>
      </c>
      <c r="BE99" s="398">
        <f t="shared" ca="1" si="56"/>
        <v>0</v>
      </c>
      <c r="BF99" s="398">
        <f t="shared" ca="1" si="56"/>
        <v>0</v>
      </c>
      <c r="BG99" s="398">
        <f t="shared" ca="1" si="56"/>
        <v>0</v>
      </c>
      <c r="BH99" s="398">
        <f t="shared" ca="1" si="56"/>
        <v>0</v>
      </c>
    </row>
    <row r="100" spans="2:60" ht="15" customHeight="1">
      <c r="C100" s="337" t="s">
        <v>1886</v>
      </c>
      <c r="D100" s="385"/>
      <c r="E100" s="385" t="s">
        <v>1887</v>
      </c>
      <c r="F100" s="386" t="s">
        <v>1888</v>
      </c>
      <c r="G100" s="386" t="s">
        <v>1875</v>
      </c>
      <c r="H100" s="398">
        <f ca="1">MIN(H99,Data!E$15)</f>
        <v>0</v>
      </c>
      <c r="I100" s="398">
        <f ca="1">MIN(I99,Data!F$15)</f>
        <v>0</v>
      </c>
      <c r="J100" s="398">
        <f ca="1">MIN(J99,Data!G$15)</f>
        <v>0</v>
      </c>
      <c r="K100" s="398">
        <f ca="1">MIN(K99,Data!H$15)</f>
        <v>0</v>
      </c>
      <c r="L100" s="398">
        <f ca="1">MIN(L99,Data!I$15)</f>
        <v>0</v>
      </c>
      <c r="M100" s="398">
        <f ca="1">MIN(M99,Data!J$15)</f>
        <v>0</v>
      </c>
      <c r="N100" s="398">
        <f ca="1">MIN(N99,Data!K$15)</f>
        <v>0</v>
      </c>
      <c r="O100" s="398">
        <f ca="1">MIN(O99,Data!L$15)</f>
        <v>0</v>
      </c>
      <c r="P100" s="398">
        <f ca="1">MIN(P99,Data!M$15)</f>
        <v>0</v>
      </c>
      <c r="Q100" s="398">
        <f ca="1">MIN(Q99,Data!N$15)</f>
        <v>0</v>
      </c>
      <c r="R100" s="398">
        <f ca="1">MIN(R99,Data!O$15)</f>
        <v>0</v>
      </c>
      <c r="S100" s="398">
        <f ca="1">MIN(S99,Data!P$15)</f>
        <v>0</v>
      </c>
      <c r="T100" s="398">
        <f ca="1">MIN(T99,Data!Q$15)</f>
        <v>0</v>
      </c>
      <c r="U100" s="398">
        <f ca="1">MIN(U99,Data!R$15)</f>
        <v>0</v>
      </c>
      <c r="V100" s="398">
        <f ca="1">MIN(V99,Data!S$15)</f>
        <v>0</v>
      </c>
      <c r="W100" s="398">
        <f ca="1">MIN(W99,Data!T$15)</f>
        <v>0</v>
      </c>
      <c r="X100" s="398">
        <f ca="1">MIN(X99,Data!U$15)</f>
        <v>0</v>
      </c>
      <c r="Y100" s="398">
        <f ca="1">MIN(Y99,Data!V$15)</f>
        <v>0</v>
      </c>
      <c r="Z100" s="398">
        <f ca="1">MIN(Z99,Data!W$15)</f>
        <v>0</v>
      </c>
      <c r="AA100" s="398">
        <f ca="1">MIN(AA99,Data!X$15)</f>
        <v>0</v>
      </c>
      <c r="AB100" s="398">
        <f ca="1">MIN(AB99,Data!Y$15)</f>
        <v>0</v>
      </c>
      <c r="AC100" s="398">
        <f ca="1">MIN(AC99,Data!Z$15)</f>
        <v>0</v>
      </c>
      <c r="AD100" s="398">
        <f ca="1">MIN(AD99,Data!AA$15)</f>
        <v>0</v>
      </c>
      <c r="AF100" s="26"/>
      <c r="AG100" s="337" t="s">
        <v>1886</v>
      </c>
      <c r="AH100" s="385"/>
      <c r="AI100" s="385" t="s">
        <v>1887</v>
      </c>
      <c r="AJ100" s="386" t="s">
        <v>1888</v>
      </c>
      <c r="AK100" s="386" t="s">
        <v>1875</v>
      </c>
      <c r="AL100" s="398">
        <f ca="1">MIN(AL99,Data!E$15)</f>
        <v>0</v>
      </c>
      <c r="AM100" s="398">
        <f ca="1">MIN(AM99,Data!F$15)</f>
        <v>0</v>
      </c>
      <c r="AN100" s="398">
        <f ca="1">MIN(AN99,Data!G$15)</f>
        <v>0</v>
      </c>
      <c r="AO100" s="398">
        <f ca="1">MIN(AO99,Data!H$15)</f>
        <v>0</v>
      </c>
      <c r="AP100" s="398">
        <f ca="1">MIN(AP99,Data!I$15)</f>
        <v>0</v>
      </c>
      <c r="AQ100" s="398">
        <f ca="1">MIN(AQ99,Data!J$15)</f>
        <v>0</v>
      </c>
      <c r="AR100" s="398">
        <f ca="1">MIN(AR99,Data!K$15)</f>
        <v>0</v>
      </c>
      <c r="AS100" s="398">
        <f ca="1">MIN(AS99,Data!L$15)</f>
        <v>0</v>
      </c>
      <c r="AT100" s="398">
        <f ca="1">MIN(AT99,Data!M$15)</f>
        <v>0</v>
      </c>
      <c r="AU100" s="398">
        <f ca="1">MIN(AU99,Data!N$15)</f>
        <v>0</v>
      </c>
      <c r="AV100" s="398">
        <f ca="1">MIN(AV99,Data!O$15)</f>
        <v>0</v>
      </c>
      <c r="AW100" s="398">
        <f ca="1">MIN(AW99,Data!P$15)</f>
        <v>0</v>
      </c>
      <c r="AX100" s="398">
        <f ca="1">MIN(AX99,Data!Q$15)</f>
        <v>0</v>
      </c>
      <c r="AY100" s="398">
        <f ca="1">MIN(AY99,Data!R$15)</f>
        <v>0</v>
      </c>
      <c r="AZ100" s="398">
        <f ca="1">MIN(AZ99,Data!S$15)</f>
        <v>0</v>
      </c>
      <c r="BA100" s="398">
        <f ca="1">MIN(BA99,Data!T$15)</f>
        <v>0</v>
      </c>
      <c r="BB100" s="398">
        <f ca="1">MIN(BB99,Data!U$15)</f>
        <v>0</v>
      </c>
      <c r="BC100" s="398">
        <f ca="1">MIN(BC99,Data!V$15)</f>
        <v>0</v>
      </c>
      <c r="BD100" s="398">
        <f ca="1">MIN(BD99,Data!W$15)</f>
        <v>0</v>
      </c>
      <c r="BE100" s="398">
        <f ca="1">MIN(BE99,Data!X$15)</f>
        <v>0</v>
      </c>
      <c r="BF100" s="398">
        <f ca="1">MIN(BF99,Data!Y$15)</f>
        <v>0</v>
      </c>
      <c r="BG100" s="398">
        <f ca="1">MIN(BG99,Data!Z$15)</f>
        <v>0</v>
      </c>
      <c r="BH100" s="398">
        <f ca="1">MIN(BH99,Data!AA$15)</f>
        <v>0</v>
      </c>
    </row>
    <row r="101" spans="2:60" ht="15.6" customHeight="1">
      <c r="C101" s="337" t="s">
        <v>1889</v>
      </c>
      <c r="D101" s="385"/>
      <c r="E101" s="385" t="s">
        <v>1890</v>
      </c>
      <c r="F101" s="386" t="s">
        <v>1888</v>
      </c>
      <c r="G101" s="386"/>
      <c r="H101" s="398" t="str">
        <f ca="1">IF(H100=Data!E$15,Data!$B$15,$C99)</f>
        <v>ZNZ blend abatement cost</v>
      </c>
      <c r="I101" s="398" t="str">
        <f ca="1">IF(I100=Data!F$15,Data!$B$15,$C99)</f>
        <v>ZNZ blend abatement cost</v>
      </c>
      <c r="J101" s="398" t="str">
        <f ca="1">IF(J100=Data!G$15,Data!$B$15,$C99)</f>
        <v>ZNZ blend abatement cost</v>
      </c>
      <c r="K101" s="398" t="str">
        <f ca="1">IF(K100=Data!H$15,Data!$B$15,$C99)</f>
        <v>ZNZ blend abatement cost</v>
      </c>
      <c r="L101" s="398" t="str">
        <f ca="1">IF(L100=Data!I$15,Data!$B$15,$C99)</f>
        <v>ZNZ blend abatement cost</v>
      </c>
      <c r="M101" s="398" t="str">
        <f ca="1">IF(M100=Data!J$15,Data!$B$15,$C99)</f>
        <v>ZNZ blend abatement cost</v>
      </c>
      <c r="N101" s="398" t="str">
        <f ca="1">IF(N100=Data!K$15,Data!$B$15,$C99)</f>
        <v>ZNZ blend abatement cost</v>
      </c>
      <c r="O101" s="398" t="str">
        <f ca="1">IF(O100=Data!L$15,Data!$B$15,$C99)</f>
        <v>ZNZ blend abatement cost</v>
      </c>
      <c r="P101" s="398" t="str">
        <f ca="1">IF(P100=Data!M$15,Data!$B$15,$C99)</f>
        <v>ZNZ blend abatement cost</v>
      </c>
      <c r="Q101" s="398" t="str">
        <f ca="1">IF(Q100=Data!N$15,Data!$B$15,$C99)</f>
        <v>ZNZ blend abatement cost</v>
      </c>
      <c r="R101" s="398" t="str">
        <f ca="1">IF(R100=Data!O$15,Data!$B$15,$C99)</f>
        <v>ZNZ blend abatement cost</v>
      </c>
      <c r="S101" s="398" t="str">
        <f ca="1">IF(S100=Data!P$15,Data!$B$15,$C99)</f>
        <v>ZNZ blend abatement cost</v>
      </c>
      <c r="T101" s="398" t="str">
        <f ca="1">IF(T100=Data!Q$15,Data!$B$15,$C99)</f>
        <v>ZNZ blend abatement cost</v>
      </c>
      <c r="U101" s="398" t="str">
        <f ca="1">IF(U100=Data!R$15,Data!$B$15,$C99)</f>
        <v>ZNZ blend abatement cost</v>
      </c>
      <c r="V101" s="398" t="str">
        <f ca="1">IF(V100=Data!S$15,Data!$B$15,$C99)</f>
        <v>ZNZ blend abatement cost</v>
      </c>
      <c r="W101" s="398" t="str">
        <f ca="1">IF(W100=Data!T$15,Data!$B$15,$C99)</f>
        <v>ZNZ blend abatement cost</v>
      </c>
      <c r="X101" s="398" t="str">
        <f ca="1">IF(X100=Data!U$15,Data!$B$15,$C99)</f>
        <v>ZNZ blend abatement cost</v>
      </c>
      <c r="Y101" s="398" t="str">
        <f ca="1">IF(Y100=Data!V$15,Data!$B$15,$C99)</f>
        <v>ZNZ blend abatement cost</v>
      </c>
      <c r="Z101" s="398" t="str">
        <f ca="1">IF(Z100=Data!W$15,Data!$B$15,$C99)</f>
        <v>ZNZ blend abatement cost</v>
      </c>
      <c r="AA101" s="398" t="str">
        <f ca="1">IF(AA100=Data!X$15,Data!$B$15,$C99)</f>
        <v>ZNZ blend abatement cost</v>
      </c>
      <c r="AB101" s="398" t="str">
        <f ca="1">IF(AB100=Data!Y$15,Data!$B$15,$C99)</f>
        <v>ZNZ blend abatement cost</v>
      </c>
      <c r="AC101" s="398" t="str">
        <f ca="1">IF(AC100=Data!Z$15,Data!$B$15,$C99)</f>
        <v>ZNZ blend abatement cost</v>
      </c>
      <c r="AD101" s="398" t="str">
        <f ca="1">IF(AD100=Data!AA$15,Data!$B$15,$C99)</f>
        <v>ZNZ blend abatement cost</v>
      </c>
      <c r="AF101" s="26"/>
      <c r="AG101" s="337" t="s">
        <v>1889</v>
      </c>
      <c r="AH101" s="385"/>
      <c r="AI101" s="385" t="s">
        <v>1890</v>
      </c>
      <c r="AJ101" s="386" t="s">
        <v>1888</v>
      </c>
      <c r="AK101" s="386"/>
      <c r="AL101" s="398" t="str">
        <f ca="1">IF(AL100=Data!E$15,Data!$B$15,$C99)</f>
        <v>ZNZ blend abatement cost</v>
      </c>
      <c r="AM101" s="398" t="str">
        <f ca="1">IF(AM100=Data!F$15,Data!$B$15,$C99)</f>
        <v>ZNZ blend abatement cost</v>
      </c>
      <c r="AN101" s="398" t="str">
        <f ca="1">IF(AN100=Data!G$15,Data!$B$15,$C99)</f>
        <v>ZNZ blend abatement cost</v>
      </c>
      <c r="AO101" s="398" t="str">
        <f ca="1">IF(AO100=Data!H$15,Data!$B$15,$C99)</f>
        <v>ZNZ blend abatement cost</v>
      </c>
      <c r="AP101" s="398" t="str">
        <f ca="1">IF(AP100=Data!I$15,Data!$B$15,$C99)</f>
        <v>ZNZ blend abatement cost</v>
      </c>
      <c r="AQ101" s="398" t="str">
        <f ca="1">IF(AQ100=Data!J$15,Data!$B$15,$C99)</f>
        <v>ZNZ blend abatement cost</v>
      </c>
      <c r="AR101" s="398" t="str">
        <f ca="1">IF(AR100=Data!K$15,Data!$B$15,$C99)</f>
        <v>ZNZ blend abatement cost</v>
      </c>
      <c r="AS101" s="398" t="str">
        <f ca="1">IF(AS100=Data!L$15,Data!$B$15,$C99)</f>
        <v>ZNZ blend abatement cost</v>
      </c>
      <c r="AT101" s="398" t="str">
        <f ca="1">IF(AT100=Data!M$15,Data!$B$15,$C99)</f>
        <v>ZNZ blend abatement cost</v>
      </c>
      <c r="AU101" s="398" t="str">
        <f ca="1">IF(AU100=Data!N$15,Data!$B$15,$C99)</f>
        <v>ZNZ blend abatement cost</v>
      </c>
      <c r="AV101" s="398" t="str">
        <f ca="1">IF(AV100=Data!O$15,Data!$B$15,$C99)</f>
        <v>ZNZ blend abatement cost</v>
      </c>
      <c r="AW101" s="398" t="str">
        <f ca="1">IF(AW100=Data!P$15,Data!$B$15,$C99)</f>
        <v>ZNZ blend abatement cost</v>
      </c>
      <c r="AX101" s="398" t="str">
        <f ca="1">IF(AX100=Data!Q$15,Data!$B$15,$C99)</f>
        <v>ZNZ blend abatement cost</v>
      </c>
      <c r="AY101" s="398" t="str">
        <f ca="1">IF(AY100=Data!R$15,Data!$B$15,$C99)</f>
        <v>ZNZ blend abatement cost</v>
      </c>
      <c r="AZ101" s="398" t="str">
        <f ca="1">IF(AZ100=Data!S$15,Data!$B$15,$C99)</f>
        <v>ZNZ blend abatement cost</v>
      </c>
      <c r="BA101" s="398" t="str">
        <f ca="1">IF(BA100=Data!T$15,Data!$B$15,$C99)</f>
        <v>ZNZ blend abatement cost</v>
      </c>
      <c r="BB101" s="398" t="str">
        <f ca="1">IF(BB100=Data!U$15,Data!$B$15,$C99)</f>
        <v>ZNZ blend abatement cost</v>
      </c>
      <c r="BC101" s="398" t="str">
        <f ca="1">IF(BC100=Data!V$15,Data!$B$15,$C99)</f>
        <v>ZNZ blend abatement cost</v>
      </c>
      <c r="BD101" s="398" t="str">
        <f ca="1">IF(BD100=Data!W$15,Data!$B$15,$C99)</f>
        <v>ZNZ blend abatement cost</v>
      </c>
      <c r="BE101" s="398" t="str">
        <f ca="1">IF(BE100=Data!X$15,Data!$B$15,$C99)</f>
        <v>ZNZ blend abatement cost</v>
      </c>
      <c r="BF101" s="398" t="str">
        <f ca="1">IF(BF100=Data!Y$15,Data!$B$15,$C99)</f>
        <v>ZNZ blend abatement cost</v>
      </c>
      <c r="BG101" s="398" t="str">
        <f ca="1">IF(BG100=Data!Z$15,Data!$B$15,$C99)</f>
        <v>ZNZ blend abatement cost</v>
      </c>
      <c r="BH101" s="398" t="str">
        <f ca="1">IF(BH100=Data!AA$15,Data!$B$15,$C99)</f>
        <v>ZNZ blend abatement cost</v>
      </c>
    </row>
    <row r="102" spans="2:60">
      <c r="C102" s="337" t="s">
        <v>1891</v>
      </c>
      <c r="D102" s="385"/>
      <c r="E102" s="385" t="s">
        <v>1892</v>
      </c>
      <c r="F102" s="386" t="s">
        <v>1919</v>
      </c>
      <c r="G102" s="386" t="s">
        <v>545</v>
      </c>
      <c r="H102" s="398">
        <f ca="1">IF(H101=Data!$B$15,H$24,H99*H21)</f>
        <v>0</v>
      </c>
      <c r="I102" s="398">
        <f ca="1">IF(I101=Data!$B$15,I$24,I99*I21)</f>
        <v>0</v>
      </c>
      <c r="J102" s="398">
        <f ca="1">IF(J101=Data!$B$15,J$24,J99*J21)</f>
        <v>0</v>
      </c>
      <c r="K102" s="398">
        <f ca="1">IF(K101=Data!$B$15,K$24,K99*K21)</f>
        <v>0</v>
      </c>
      <c r="L102" s="398">
        <f ca="1">IF(L101=Data!$B$15,L$24,L99*L21)</f>
        <v>0</v>
      </c>
      <c r="M102" s="398">
        <f ca="1">IF(M101=Data!$B$15,M$24,M99*M21)</f>
        <v>0</v>
      </c>
      <c r="N102" s="398">
        <f ca="1">IF(N101=Data!$B$15,N$24,N99*N21)</f>
        <v>0</v>
      </c>
      <c r="O102" s="398">
        <f ca="1">IF(O101=Data!$B$15,O$24,O99*O21)</f>
        <v>0</v>
      </c>
      <c r="P102" s="398">
        <f ca="1">IF(P101=Data!$B$15,P$24,P99*P21)</f>
        <v>0</v>
      </c>
      <c r="Q102" s="398">
        <f ca="1">IF(Q101=Data!$B$15,Q$24,Q99*Q21)</f>
        <v>0</v>
      </c>
      <c r="R102" s="398">
        <f ca="1">IF(R101=Data!$B$15,R$24,R99*R21)</f>
        <v>0</v>
      </c>
      <c r="S102" s="398">
        <f ca="1">IF(S101=Data!$B$15,S$24,S99*S21)</f>
        <v>0</v>
      </c>
      <c r="T102" s="398">
        <f ca="1">IF(T101=Data!$B$15,T$24,T99*T21)</f>
        <v>0</v>
      </c>
      <c r="U102" s="398">
        <f ca="1">IF(U101=Data!$B$15,U$24,U99*U21)</f>
        <v>0</v>
      </c>
      <c r="V102" s="398">
        <f ca="1">IF(V101=Data!$B$15,V$24,V99*V21)</f>
        <v>0</v>
      </c>
      <c r="W102" s="398">
        <f ca="1">IF(W101=Data!$B$15,W$24,W99*W21)</f>
        <v>0</v>
      </c>
      <c r="X102" s="398">
        <f ca="1">IF(X101=Data!$B$15,X$24,X99*X21)</f>
        <v>0</v>
      </c>
      <c r="Y102" s="398">
        <f ca="1">IF(Y101=Data!$B$15,Y$24,Y99*Y21)</f>
        <v>0</v>
      </c>
      <c r="Z102" s="398">
        <f ca="1">IF(Z101=Data!$B$15,Z$24,Z99*Z21)</f>
        <v>0</v>
      </c>
      <c r="AA102" s="398">
        <f ca="1">IF(AA101=Data!$B$15,AA$24,AA99*AA21)</f>
        <v>0</v>
      </c>
      <c r="AB102" s="398">
        <f ca="1">IF(AB101=Data!$B$15,AB$24,AB99*AB21)</f>
        <v>0</v>
      </c>
      <c r="AC102" s="398">
        <f ca="1">IF(AC101=Data!$B$15,AC$24,AC99*AC21)</f>
        <v>0</v>
      </c>
      <c r="AD102" s="398">
        <f ca="1">IF(AD101=Data!$B$15,AD$24,AD99*AD21)</f>
        <v>0</v>
      </c>
      <c r="AF102" s="26"/>
      <c r="AG102" s="337" t="s">
        <v>1891</v>
      </c>
      <c r="AH102" s="385"/>
      <c r="AI102" s="385" t="s">
        <v>1892</v>
      </c>
      <c r="AJ102" s="386" t="s">
        <v>1919</v>
      </c>
      <c r="AK102" s="386" t="s">
        <v>545</v>
      </c>
      <c r="AL102" s="398">
        <f ca="1">IF(AL101=Data!$B$15,AL$24,AL99*AL21)</f>
        <v>0</v>
      </c>
      <c r="AM102" s="398">
        <f ca="1">IF(AM101=Data!$B$15,AM$24,AM99*AM21)</f>
        <v>0</v>
      </c>
      <c r="AN102" s="398">
        <f ca="1">IF(AN101=Data!$B$15,AN$24,AN99*AN21)</f>
        <v>0</v>
      </c>
      <c r="AO102" s="398">
        <f ca="1">IF(AO101=Data!$B$15,AO$24,AO99*AO21)</f>
        <v>0</v>
      </c>
      <c r="AP102" s="398">
        <f ca="1">IF(AP101=Data!$B$15,AP$24,AP99*AP21)</f>
        <v>0</v>
      </c>
      <c r="AQ102" s="398">
        <f ca="1">IF(AQ101=Data!$B$15,AQ$24,AQ99*AQ21)</f>
        <v>0</v>
      </c>
      <c r="AR102" s="398">
        <f ca="1">IF(AR101=Data!$B$15,AR$24,AR99*AR21)</f>
        <v>0</v>
      </c>
      <c r="AS102" s="398">
        <f ca="1">IF(AS101=Data!$B$15,AS$24,AS99*AS21)</f>
        <v>0</v>
      </c>
      <c r="AT102" s="398">
        <f ca="1">IF(AT101=Data!$B$15,AT$24,AT99*AT21)</f>
        <v>0</v>
      </c>
      <c r="AU102" s="398">
        <f ca="1">IF(AU101=Data!$B$15,AU$24,AU99*AU21)</f>
        <v>0</v>
      </c>
      <c r="AV102" s="398">
        <f ca="1">IF(AV101=Data!$B$15,AV$24,AV99*AV21)</f>
        <v>0</v>
      </c>
      <c r="AW102" s="398">
        <f ca="1">IF(AW101=Data!$B$15,AW$24,AW99*AW21)</f>
        <v>0</v>
      </c>
      <c r="AX102" s="398">
        <f ca="1">IF(AX101=Data!$B$15,AX$24,AX99*AX21)</f>
        <v>0</v>
      </c>
      <c r="AY102" s="398">
        <f ca="1">IF(AY101=Data!$B$15,AY$24,AY99*AY21)</f>
        <v>0</v>
      </c>
      <c r="AZ102" s="398">
        <f ca="1">IF(AZ101=Data!$B$15,AZ$24,AZ99*AZ21)</f>
        <v>0</v>
      </c>
      <c r="BA102" s="398">
        <f ca="1">IF(BA101=Data!$B$15,BA$24,BA99*BA21)</f>
        <v>0</v>
      </c>
      <c r="BB102" s="398">
        <f ca="1">IF(BB101=Data!$B$15,BB$24,BB99*BB21)</f>
        <v>0</v>
      </c>
      <c r="BC102" s="398">
        <f ca="1">IF(BC101=Data!$B$15,BC$24,BC99*BC21)</f>
        <v>0</v>
      </c>
      <c r="BD102" s="398">
        <f ca="1">IF(BD101=Data!$B$15,BD$24,BD99*BD21)</f>
        <v>0</v>
      </c>
      <c r="BE102" s="398">
        <f ca="1">IF(BE101=Data!$B$15,BE$24,BE99*BE21)</f>
        <v>0</v>
      </c>
      <c r="BF102" s="398">
        <f ca="1">IF(BF101=Data!$B$15,BF$24,BF99*BF21)</f>
        <v>0</v>
      </c>
      <c r="BG102" s="398">
        <f ca="1">IF(BG101=Data!$B$15,BG$24,BG99*BG21)</f>
        <v>0</v>
      </c>
      <c r="BH102" s="398">
        <f ca="1">IF(BH101=Data!$B$15,BH$24,BH99*BH21)</f>
        <v>0</v>
      </c>
    </row>
    <row r="103" spans="2:60" ht="15">
      <c r="B103" s="415" t="s">
        <v>1894</v>
      </c>
      <c r="C103" s="337" t="s">
        <v>1886</v>
      </c>
      <c r="D103" s="385"/>
      <c r="E103" s="385" t="s">
        <v>1887</v>
      </c>
      <c r="F103" s="386" t="s">
        <v>1888</v>
      </c>
      <c r="G103" s="386" t="s">
        <v>1875</v>
      </c>
      <c r="H103" s="398">
        <f ca="1">MIN(Data!E$16,H100)</f>
        <v>0</v>
      </c>
      <c r="I103" s="398">
        <f ca="1">MIN(Data!F$16,I100)</f>
        <v>0</v>
      </c>
      <c r="J103" s="398">
        <f ca="1">MIN(Data!G$16,J100)</f>
        <v>0</v>
      </c>
      <c r="K103" s="398">
        <f ca="1">MIN(Data!H$16,K100)</f>
        <v>0</v>
      </c>
      <c r="L103" s="398">
        <f ca="1">MIN(Data!I$16,L100)</f>
        <v>0</v>
      </c>
      <c r="M103" s="398">
        <f ca="1">MIN(Data!J$16,M100)</f>
        <v>0</v>
      </c>
      <c r="N103" s="398">
        <f ca="1">MIN(Data!K$16,N100)</f>
        <v>0</v>
      </c>
      <c r="O103" s="398">
        <f ca="1">MIN(Data!L$16,O100)</f>
        <v>0</v>
      </c>
      <c r="P103" s="398">
        <f ca="1">MIN(Data!M$16,P100)</f>
        <v>0</v>
      </c>
      <c r="Q103" s="398">
        <f ca="1">MIN(Data!N$16,Q100)</f>
        <v>0</v>
      </c>
      <c r="R103" s="398">
        <f ca="1">MIN(Data!O$16,R100)</f>
        <v>0</v>
      </c>
      <c r="S103" s="398">
        <f ca="1">MIN(Data!P$16,S100)</f>
        <v>0</v>
      </c>
      <c r="T103" s="398">
        <f ca="1">MIN(Data!Q$16,T100)</f>
        <v>0</v>
      </c>
      <c r="U103" s="398">
        <f ca="1">MIN(Data!R$16,U100)</f>
        <v>0</v>
      </c>
      <c r="V103" s="398">
        <f ca="1">MIN(Data!S$16,V100)</f>
        <v>0</v>
      </c>
      <c r="W103" s="398">
        <f ca="1">MIN(Data!T$16,W100)</f>
        <v>0</v>
      </c>
      <c r="X103" s="398">
        <f ca="1">MIN(Data!U$16,X100)</f>
        <v>0</v>
      </c>
      <c r="Y103" s="398">
        <f ca="1">MIN(Data!V$16,Y100)</f>
        <v>0</v>
      </c>
      <c r="Z103" s="398">
        <f ca="1">MIN(Data!W$16,Z100)</f>
        <v>0</v>
      </c>
      <c r="AA103" s="398">
        <f ca="1">MIN(Data!X$16,AA100)</f>
        <v>0</v>
      </c>
      <c r="AB103" s="398">
        <f ca="1">MIN(Data!Y$16,AB100)</f>
        <v>0</v>
      </c>
      <c r="AC103" s="398">
        <f ca="1">MIN(Data!Z$16,AC100)</f>
        <v>0</v>
      </c>
      <c r="AD103" s="398">
        <f ca="1">MIN(Data!AA$16,AD100)</f>
        <v>0</v>
      </c>
      <c r="AF103" s="415" t="s">
        <v>1894</v>
      </c>
      <c r="AG103" s="337" t="s">
        <v>1886</v>
      </c>
      <c r="AH103" s="385"/>
      <c r="AI103" s="385" t="s">
        <v>1887</v>
      </c>
      <c r="AJ103" s="386" t="s">
        <v>1888</v>
      </c>
      <c r="AK103" s="386" t="s">
        <v>1875</v>
      </c>
      <c r="AL103" s="398">
        <f ca="1">MIN(Data!E$16,AL100)</f>
        <v>0</v>
      </c>
      <c r="AM103" s="398">
        <f ca="1">MIN(Data!F$16,AM100)</f>
        <v>0</v>
      </c>
      <c r="AN103" s="398">
        <f ca="1">MIN(Data!G$16,AN100)</f>
        <v>0</v>
      </c>
      <c r="AO103" s="398">
        <f ca="1">MIN(Data!H$16,AO100)</f>
        <v>0</v>
      </c>
      <c r="AP103" s="398">
        <f ca="1">MIN(Data!I$16,AP100)</f>
        <v>0</v>
      </c>
      <c r="AQ103" s="398">
        <f ca="1">MIN(Data!J$16,AQ100)</f>
        <v>0</v>
      </c>
      <c r="AR103" s="398">
        <f ca="1">MIN(Data!K$16,AR100)</f>
        <v>0</v>
      </c>
      <c r="AS103" s="398">
        <f ca="1">MIN(Data!L$16,AS100)</f>
        <v>0</v>
      </c>
      <c r="AT103" s="398">
        <f ca="1">MIN(Data!M$16,AT100)</f>
        <v>0</v>
      </c>
      <c r="AU103" s="398">
        <f ca="1">MIN(Data!N$16,AU100)</f>
        <v>0</v>
      </c>
      <c r="AV103" s="398">
        <f ca="1">MIN(Data!O$16,AV100)</f>
        <v>0</v>
      </c>
      <c r="AW103" s="398">
        <f ca="1">MIN(Data!P$16,AW100)</f>
        <v>0</v>
      </c>
      <c r="AX103" s="398">
        <f ca="1">MIN(Data!Q$16,AX100)</f>
        <v>0</v>
      </c>
      <c r="AY103" s="398">
        <f ca="1">MIN(Data!R$16,AY100)</f>
        <v>0</v>
      </c>
      <c r="AZ103" s="398">
        <f ca="1">MIN(Data!S$16,AZ100)</f>
        <v>0</v>
      </c>
      <c r="BA103" s="398">
        <f ca="1">MIN(Data!T$16,BA100)</f>
        <v>0</v>
      </c>
      <c r="BB103" s="398">
        <f ca="1">MIN(Data!U$16,BB100)</f>
        <v>0</v>
      </c>
      <c r="BC103" s="398">
        <f ca="1">MIN(Data!V$16,BC100)</f>
        <v>0</v>
      </c>
      <c r="BD103" s="398">
        <f ca="1">MIN(Data!W$16,BD100)</f>
        <v>0</v>
      </c>
      <c r="BE103" s="398">
        <f ca="1">MIN(Data!X$16,BE100)</f>
        <v>0</v>
      </c>
      <c r="BF103" s="398">
        <f ca="1">MIN(Data!Y$16,BF100)</f>
        <v>0</v>
      </c>
      <c r="BG103" s="398">
        <f ca="1">MIN(Data!Z$16,BG100)</f>
        <v>0</v>
      </c>
      <c r="BH103" s="398">
        <f ca="1">MIN(Data!AA$16,BH100)</f>
        <v>0</v>
      </c>
    </row>
    <row r="104" spans="2:60">
      <c r="C104" s="337" t="s">
        <v>1889</v>
      </c>
      <c r="D104" s="385"/>
      <c r="E104" s="385" t="s">
        <v>1890</v>
      </c>
      <c r="F104" s="386" t="s">
        <v>1888</v>
      </c>
      <c r="G104" s="386"/>
      <c r="H104" s="398" t="str">
        <f ca="1">IF(H103=Data!E$16,Data!$B$16,$C99)</f>
        <v>ZNZ blend abatement cost</v>
      </c>
      <c r="I104" s="398" t="str">
        <f ca="1">IF(I103=Data!F$16,Data!$B$16,$C99)</f>
        <v>ZNZ blend abatement cost</v>
      </c>
      <c r="J104" s="398" t="str">
        <f ca="1">IF(J103=Data!G$16,Data!$B$16,$C99)</f>
        <v>ZNZ blend abatement cost</v>
      </c>
      <c r="K104" s="398" t="str">
        <f ca="1">IF(K103=Data!H$16,Data!$B$16,$C99)</f>
        <v>ZNZ blend abatement cost</v>
      </c>
      <c r="L104" s="398" t="str">
        <f ca="1">IF(L103=Data!I$16,Data!$B$16,$C99)</f>
        <v>ZNZ blend abatement cost</v>
      </c>
      <c r="M104" s="398" t="str">
        <f ca="1">IF(M103=Data!J$16,Data!$B$16,$C99)</f>
        <v>ZNZ blend abatement cost</v>
      </c>
      <c r="N104" s="398" t="str">
        <f ca="1">IF(N103=Data!K$16,Data!$B$16,$C99)</f>
        <v>ZNZ blend abatement cost</v>
      </c>
      <c r="O104" s="398" t="str">
        <f ca="1">IF(O103=Data!L$16,Data!$B$16,$C99)</f>
        <v>ZNZ blend abatement cost</v>
      </c>
      <c r="P104" s="398" t="str">
        <f ca="1">IF(P103=Data!M$16,Data!$B$16,$C99)</f>
        <v>ZNZ blend abatement cost</v>
      </c>
      <c r="Q104" s="398" t="str">
        <f ca="1">IF(Q103=Data!N$16,Data!$B$16,$C99)</f>
        <v>ZNZ blend abatement cost</v>
      </c>
      <c r="R104" s="398" t="str">
        <f ca="1">IF(R103=Data!O$16,Data!$B$16,$C99)</f>
        <v>ZNZ blend abatement cost</v>
      </c>
      <c r="S104" s="398" t="str">
        <f ca="1">IF(S103=Data!P$16,Data!$B$16,$C99)</f>
        <v>ZNZ blend abatement cost</v>
      </c>
      <c r="T104" s="398" t="str">
        <f ca="1">IF(T103=Data!Q$16,Data!$B$16,$C99)</f>
        <v>ZNZ blend abatement cost</v>
      </c>
      <c r="U104" s="398" t="str">
        <f ca="1">IF(U103=Data!R$16,Data!$B$16,$C99)</f>
        <v>ZNZ blend abatement cost</v>
      </c>
      <c r="V104" s="398" t="str">
        <f ca="1">IF(V103=Data!S$16,Data!$B$16,$C99)</f>
        <v>ZNZ blend abatement cost</v>
      </c>
      <c r="W104" s="398" t="str">
        <f ca="1">IF(W103=Data!T$16,Data!$B$16,$C99)</f>
        <v>ZNZ blend abatement cost</v>
      </c>
      <c r="X104" s="398" t="str">
        <f ca="1">IF(X103=Data!U$16,Data!$B$16,$C99)</f>
        <v>ZNZ blend abatement cost</v>
      </c>
      <c r="Y104" s="398" t="str">
        <f ca="1">IF(Y103=Data!V$16,Data!$B$16,$C99)</f>
        <v>ZNZ blend abatement cost</v>
      </c>
      <c r="Z104" s="398" t="str">
        <f ca="1">IF(Z103=Data!W$16,Data!$B$16,$C99)</f>
        <v>ZNZ blend abatement cost</v>
      </c>
      <c r="AA104" s="398" t="str">
        <f ca="1">IF(AA103=Data!X$16,Data!$B$16,$C99)</f>
        <v>ZNZ blend abatement cost</v>
      </c>
      <c r="AB104" s="398" t="str">
        <f ca="1">IF(AB103=Data!Y$16,Data!$B$16,$C99)</f>
        <v>ZNZ blend abatement cost</v>
      </c>
      <c r="AC104" s="398" t="str">
        <f ca="1">IF(AC103=Data!Z$16,Data!$B$16,$C99)</f>
        <v>ZNZ blend abatement cost</v>
      </c>
      <c r="AD104" s="398" t="str">
        <f ca="1">IF(AD103=Data!AA$16,Data!$B$16,$C99)</f>
        <v>ZNZ blend abatement cost</v>
      </c>
      <c r="AF104" s="26"/>
      <c r="AG104" s="337" t="s">
        <v>1889</v>
      </c>
      <c r="AH104" s="385"/>
      <c r="AI104" s="385" t="s">
        <v>1890</v>
      </c>
      <c r="AJ104" s="386" t="s">
        <v>1888</v>
      </c>
      <c r="AK104" s="386"/>
      <c r="AL104" s="398" t="str">
        <f ca="1">IF(AL103=Data!E$16,Data!$B$16,$C99)</f>
        <v>ZNZ blend abatement cost</v>
      </c>
      <c r="AM104" s="398" t="str">
        <f ca="1">IF(AM103=Data!F$16,Data!$B$16,$C99)</f>
        <v>ZNZ blend abatement cost</v>
      </c>
      <c r="AN104" s="398" t="str">
        <f ca="1">IF(AN103=Data!G$16,Data!$B$16,$C99)</f>
        <v>ZNZ blend abatement cost</v>
      </c>
      <c r="AO104" s="398" t="str">
        <f ca="1">IF(AO103=Data!H$16,Data!$B$16,$C99)</f>
        <v>ZNZ blend abatement cost</v>
      </c>
      <c r="AP104" s="398" t="str">
        <f ca="1">IF(AP103=Data!I$16,Data!$B$16,$C99)</f>
        <v>ZNZ blend abatement cost</v>
      </c>
      <c r="AQ104" s="398" t="str">
        <f ca="1">IF(AQ103=Data!J$16,Data!$B$16,$C99)</f>
        <v>ZNZ blend abatement cost</v>
      </c>
      <c r="AR104" s="398" t="str">
        <f ca="1">IF(AR103=Data!K$16,Data!$B$16,$C99)</f>
        <v>ZNZ blend abatement cost</v>
      </c>
      <c r="AS104" s="398" t="str">
        <f ca="1">IF(AS103=Data!L$16,Data!$B$16,$C99)</f>
        <v>ZNZ blend abatement cost</v>
      </c>
      <c r="AT104" s="398" t="str">
        <f ca="1">IF(AT103=Data!M$16,Data!$B$16,$C99)</f>
        <v>ZNZ blend abatement cost</v>
      </c>
      <c r="AU104" s="398" t="str">
        <f ca="1">IF(AU103=Data!N$16,Data!$B$16,$C99)</f>
        <v>ZNZ blend abatement cost</v>
      </c>
      <c r="AV104" s="398" t="str">
        <f ca="1">IF(AV103=Data!O$16,Data!$B$16,$C99)</f>
        <v>ZNZ blend abatement cost</v>
      </c>
      <c r="AW104" s="398" t="str">
        <f ca="1">IF(AW103=Data!P$16,Data!$B$16,$C99)</f>
        <v>ZNZ blend abatement cost</v>
      </c>
      <c r="AX104" s="398" t="str">
        <f ca="1">IF(AX103=Data!Q$16,Data!$B$16,$C99)</f>
        <v>ZNZ blend abatement cost</v>
      </c>
      <c r="AY104" s="398" t="str">
        <f ca="1">IF(AY103=Data!R$16,Data!$B$16,$C99)</f>
        <v>ZNZ blend abatement cost</v>
      </c>
      <c r="AZ104" s="398" t="str">
        <f ca="1">IF(AZ103=Data!S$16,Data!$B$16,$C99)</f>
        <v>ZNZ blend abatement cost</v>
      </c>
      <c r="BA104" s="398" t="str">
        <f ca="1">IF(BA103=Data!T$16,Data!$B$16,$C99)</f>
        <v>ZNZ blend abatement cost</v>
      </c>
      <c r="BB104" s="398" t="str">
        <f ca="1">IF(BB103=Data!U$16,Data!$B$16,$C99)</f>
        <v>ZNZ blend abatement cost</v>
      </c>
      <c r="BC104" s="398" t="str">
        <f ca="1">IF(BC103=Data!V$16,Data!$B$16,$C99)</f>
        <v>ZNZ blend abatement cost</v>
      </c>
      <c r="BD104" s="398" t="str">
        <f ca="1">IF(BD103=Data!W$16,Data!$B$16,$C99)</f>
        <v>ZNZ blend abatement cost</v>
      </c>
      <c r="BE104" s="398" t="str">
        <f ca="1">IF(BE103=Data!X$16,Data!$B$16,$C99)</f>
        <v>ZNZ blend abatement cost</v>
      </c>
      <c r="BF104" s="398" t="str">
        <f ca="1">IF(BF103=Data!Y$16,Data!$B$16,$C99)</f>
        <v>ZNZ blend abatement cost</v>
      </c>
      <c r="BG104" s="398" t="str">
        <f ca="1">IF(BG103=Data!Z$16,Data!$B$16,$C99)</f>
        <v>ZNZ blend abatement cost</v>
      </c>
      <c r="BH104" s="398" t="str">
        <f ca="1">IF(BH103=Data!AA$16,Data!$B$16,$C99)</f>
        <v>ZNZ blend abatement cost</v>
      </c>
    </row>
    <row r="105" spans="2:60">
      <c r="C105" s="337" t="s">
        <v>1897</v>
      </c>
      <c r="D105" s="385"/>
      <c r="E105" s="385" t="s">
        <v>1892</v>
      </c>
      <c r="F105" s="386" t="s">
        <v>1888</v>
      </c>
      <c r="G105" s="386" t="s">
        <v>545</v>
      </c>
      <c r="H105" s="398">
        <f ca="1">IF(H104=Data!$B$16,H$25,H$99*H$22)</f>
        <v>0</v>
      </c>
      <c r="I105" s="398">
        <f ca="1">IF(I104=Data!$B$16,I$25,I$99*I$22)</f>
        <v>0</v>
      </c>
      <c r="J105" s="398">
        <f ca="1">IF(J104=Data!$B$16,J$25,J$99*J$22)</f>
        <v>0</v>
      </c>
      <c r="K105" s="398">
        <f ca="1">IF(K104=Data!$B$16,K$25,K$99*K$22)</f>
        <v>0</v>
      </c>
      <c r="L105" s="398">
        <f ca="1">IF(L104=Data!$B$16,L$25,L$99*L$22)</f>
        <v>0</v>
      </c>
      <c r="M105" s="398">
        <f ca="1">IF(M104=Data!$B$16,M$25,M$99*M$22)</f>
        <v>0</v>
      </c>
      <c r="N105" s="398">
        <f ca="1">IF(N104=Data!$B$16,N$25,N$99*N$22)</f>
        <v>0</v>
      </c>
      <c r="O105" s="398">
        <f ca="1">IF(O104=Data!$B$16,O$25,O$99*O$22)</f>
        <v>0</v>
      </c>
      <c r="P105" s="398">
        <f ca="1">IF(P104=Data!$B$16,P$25,P$99*P$22)</f>
        <v>0</v>
      </c>
      <c r="Q105" s="398">
        <f ca="1">IF(Q104=Data!$B$16,Q$25,Q$99*Q$22)</f>
        <v>0</v>
      </c>
      <c r="R105" s="398">
        <f ca="1">IF(R104=Data!$B$16,R$25,R$99*R$22)</f>
        <v>0</v>
      </c>
      <c r="S105" s="398">
        <f ca="1">IF(S104=Data!$B$16,S$25,S$99*S$22)</f>
        <v>0</v>
      </c>
      <c r="T105" s="398">
        <f ca="1">IF(T104=Data!$B$16,T$25,T$99*T$22)</f>
        <v>0</v>
      </c>
      <c r="U105" s="398">
        <f ca="1">IF(U104=Data!$B$16,U$25,U$99*U$22)</f>
        <v>0</v>
      </c>
      <c r="V105" s="398">
        <f ca="1">IF(V104=Data!$B$16,V$25,V$99*V$22)</f>
        <v>0</v>
      </c>
      <c r="W105" s="398">
        <f ca="1">IF(W104=Data!$B$16,W$25,W$99*W$22)</f>
        <v>0</v>
      </c>
      <c r="X105" s="398">
        <f ca="1">IF(X104=Data!$B$16,X$25,X$99*X$22)</f>
        <v>0</v>
      </c>
      <c r="Y105" s="398">
        <f ca="1">IF(Y104=Data!$B$16,Y$25,Y$99*Y$22)</f>
        <v>0</v>
      </c>
      <c r="Z105" s="398">
        <f ca="1">IF(Z104=Data!$B$16,Z$25,Z$99*Z$22)</f>
        <v>0</v>
      </c>
      <c r="AA105" s="398">
        <f ca="1">IF(AA104=Data!$B$16,AA$25,AA$99*AA$22)</f>
        <v>0</v>
      </c>
      <c r="AB105" s="398">
        <f ca="1">IF(AB104=Data!$B$16,AB$25,AB$99*AB$22)</f>
        <v>0</v>
      </c>
      <c r="AC105" s="398">
        <f ca="1">IF(AC104=Data!$B$16,AC$25,AC$99*AC$22)</f>
        <v>0</v>
      </c>
      <c r="AD105" s="398">
        <f ca="1">IF(AD104=Data!$B$16,AD$25,AD$99*AD$22)</f>
        <v>0</v>
      </c>
      <c r="AF105" s="26"/>
      <c r="AG105" s="337" t="s">
        <v>1897</v>
      </c>
      <c r="AH105" s="385"/>
      <c r="AI105" s="385" t="s">
        <v>1892</v>
      </c>
      <c r="AJ105" s="386" t="s">
        <v>1888</v>
      </c>
      <c r="AK105" s="386" t="s">
        <v>545</v>
      </c>
      <c r="AL105" s="398">
        <f ca="1">IF(AL104=Data!$B$16,AL$25,AL$99*AL$22)</f>
        <v>0</v>
      </c>
      <c r="AM105" s="398">
        <f ca="1">IF(AM104=Data!$B$16,AM$25,AM$99*AM$22)</f>
        <v>0</v>
      </c>
      <c r="AN105" s="398">
        <f ca="1">IF(AN104=Data!$B$16,AN$25,AN$99*AN$22)</f>
        <v>0</v>
      </c>
      <c r="AO105" s="398">
        <f ca="1">IF(AO104=Data!$B$16,AO$25,AO$99*AO$22)</f>
        <v>0</v>
      </c>
      <c r="AP105" s="398">
        <f ca="1">IF(AP104=Data!$B$16,AP$25,AP$99*AP$22)</f>
        <v>0</v>
      </c>
      <c r="AQ105" s="398">
        <f ca="1">IF(AQ104=Data!$B$16,AQ$25,AQ$99*AQ$22)</f>
        <v>0</v>
      </c>
      <c r="AR105" s="398">
        <f ca="1">IF(AR104=Data!$B$16,AR$25,AR$99*AR$22)</f>
        <v>0</v>
      </c>
      <c r="AS105" s="398">
        <f ca="1">IF(AS104=Data!$B$16,AS$25,AS$99*AS$22)</f>
        <v>0</v>
      </c>
      <c r="AT105" s="398">
        <f ca="1">IF(AT104=Data!$B$16,AT$25,AT$99*AT$22)</f>
        <v>0</v>
      </c>
      <c r="AU105" s="398">
        <f ca="1">IF(AU104=Data!$B$16,AU$25,AU$99*AU$22)</f>
        <v>0</v>
      </c>
      <c r="AV105" s="398">
        <f ca="1">IF(AV104=Data!$B$16,AV$25,AV$99*AV$22)</f>
        <v>0</v>
      </c>
      <c r="AW105" s="398">
        <f ca="1">IF(AW104=Data!$B$16,AW$25,AW$99*AW$22)</f>
        <v>0</v>
      </c>
      <c r="AX105" s="398">
        <f ca="1">IF(AX104=Data!$B$16,AX$25,AX$99*AX$22)</f>
        <v>0</v>
      </c>
      <c r="AY105" s="398">
        <f ca="1">IF(AY104=Data!$B$16,AY$25,AY$99*AY$22)</f>
        <v>0</v>
      </c>
      <c r="AZ105" s="398">
        <f ca="1">IF(AZ104=Data!$B$16,AZ$25,AZ$99*AZ$22)</f>
        <v>0</v>
      </c>
      <c r="BA105" s="398">
        <f ca="1">IF(BA104=Data!$B$16,BA$25,BA$99*BA$22)</f>
        <v>0</v>
      </c>
      <c r="BB105" s="398">
        <f ca="1">IF(BB104=Data!$B$16,BB$25,BB$99*BB$22)</f>
        <v>0</v>
      </c>
      <c r="BC105" s="398">
        <f ca="1">IF(BC104=Data!$B$16,BC$25,BC$99*BC$22)</f>
        <v>0</v>
      </c>
      <c r="BD105" s="398">
        <f ca="1">IF(BD104=Data!$B$16,BD$25,BD$99*BD$22)</f>
        <v>0</v>
      </c>
      <c r="BE105" s="398">
        <f ca="1">IF(BE104=Data!$B$16,BE$25,BE$99*BE$22)</f>
        <v>0</v>
      </c>
      <c r="BF105" s="398">
        <f ca="1">IF(BF104=Data!$B$16,BF$25,BF$99*BF$22)</f>
        <v>0</v>
      </c>
      <c r="BG105" s="398">
        <f ca="1">IF(BG104=Data!$B$16,BG$25,BG$99*BG$22)</f>
        <v>0</v>
      </c>
      <c r="BH105" s="398">
        <f ca="1">IF(BH104=Data!$B$16,BH$25,BH$99*BH$22)</f>
        <v>0</v>
      </c>
    </row>
    <row r="106" spans="2:60">
      <c r="C106" s="337" t="s">
        <v>1920</v>
      </c>
      <c r="D106" s="385"/>
      <c r="E106" s="385"/>
      <c r="F106" s="386"/>
      <c r="G106" s="386"/>
      <c r="H106" s="398">
        <f ca="1">IF(H101=Data!$B$15,H19,IF(H104=Data!$B$16,H12,H13))</f>
        <v>77.438999999999993</v>
      </c>
      <c r="I106" s="398">
        <f ca="1">IF(I101=Data!$B$15,I19,IF(I104=Data!$B$16,I12,I13))</f>
        <v>75.572999999999993</v>
      </c>
      <c r="J106" s="398">
        <f ca="1">IF(J101=Data!$B$15,J19,IF(J104=Data!$B$16,J12,J13))</f>
        <v>73.707000000000008</v>
      </c>
      <c r="K106" s="398">
        <f ca="1">IF(K101=Data!$B$15,K19,IF(K104=Data!$B$16,K12,K13))</f>
        <v>69.601799999999997</v>
      </c>
      <c r="L106" s="398">
        <f ca="1">IF(L101=Data!$B$15,L19,IF(L104=Data!$B$16,L12,L13))</f>
        <v>65.496600000000001</v>
      </c>
      <c r="M106" s="398">
        <f ca="1">IF(M101=Data!$B$15,M19,IF(M104=Data!$B$16,M12,M13))</f>
        <v>61.391400000000004</v>
      </c>
      <c r="N106" s="398">
        <f ca="1">IF(N101=Data!$B$15,N19,IF(N104=Data!$B$16,N12,N13))</f>
        <v>57.286199999999994</v>
      </c>
      <c r="O106" s="398">
        <f ca="1">IF(O101=Data!$B$15,O19,IF(O104=Data!$B$16,O12,O13))</f>
        <v>53.180999999998939</v>
      </c>
      <c r="P106" s="398">
        <f ca="1">IF(P101=Data!$B$15,P19,IF(P104=Data!$B$16,P12,P13))</f>
        <v>46.649999999999572</v>
      </c>
      <c r="Q106" s="398">
        <f ca="1">IF(Q101=Data!$B$15,Q19,IF(Q104=Data!$B$16,Q12,Q13))</f>
        <v>40.119000000000213</v>
      </c>
      <c r="R106" s="398">
        <f ca="1">IF(R101=Data!$B$15,R19,IF(R104=Data!$B$16,R12,R13))</f>
        <v>33.587999999998196</v>
      </c>
      <c r="S106" s="398">
        <f ca="1">IF(S101=Data!$B$15,S19,IF(S104=Data!$B$16,S12,S13))</f>
        <v>27.056999999998833</v>
      </c>
      <c r="T106" s="398">
        <f ca="1">IF(T101=Data!$B$15,T19,IF(T104=Data!$B$16,T12,T13))</f>
        <v>20.525999999999467</v>
      </c>
      <c r="U106" s="398">
        <f ca="1">IF(U101=Data!$B$15,U19,IF(U104=Data!$B$16,U12,U13))</f>
        <v>17.727000000000025</v>
      </c>
      <c r="V106" s="398">
        <f ca="1">IF(V101=Data!$B$15,V19,IF(V104=Data!$B$16,V12,V13))</f>
        <v>14.927999999999919</v>
      </c>
      <c r="W106" s="398">
        <f ca="1">IF(W101=Data!$B$15,W19,IF(W104=Data!$B$16,W12,W13))</f>
        <v>12.128999999999813</v>
      </c>
      <c r="X106" s="398">
        <f ca="1">IF(X101=Data!$B$15,X19,IF(X104=Data!$B$16,X12,X13))</f>
        <v>9.329999999999707</v>
      </c>
      <c r="Y106" s="398">
        <f ca="1">IF(Y101=Data!$B$15,Y19,IF(Y104=Data!$B$16,Y12,Y13))</f>
        <v>6.5310000000002644</v>
      </c>
      <c r="Z106" s="398">
        <f ca="1">IF(Z101=Data!$B$15,Z19,IF(Z104=Data!$B$16,Z12,Z13))</f>
        <v>3.7320000000001587</v>
      </c>
      <c r="AA106" s="398">
        <f ca="1">IF(AA101=Data!$B$15,AA19,IF(AA104=Data!$B$16,AA12,AA13))</f>
        <v>0.93300000000005257</v>
      </c>
      <c r="AB106" s="398">
        <f ca="1">IF(AB101=Data!$B$15,AB19,IF(AB104=Data!$B$16,AB12,AB13))</f>
        <v>0</v>
      </c>
      <c r="AC106" s="398">
        <f ca="1">IF(AC101=Data!$B$15,AC19,IF(AC104=Data!$B$16,AC12,AC13))</f>
        <v>0</v>
      </c>
      <c r="AD106" s="398">
        <f ca="1">IF(AD101=Data!$B$15,AD19,IF(AD104=Data!$B$16,AD12,AD13))</f>
        <v>0</v>
      </c>
      <c r="AF106" s="26"/>
      <c r="AG106" s="337" t="s">
        <v>1920</v>
      </c>
      <c r="AH106" s="385"/>
      <c r="AI106" s="385"/>
      <c r="AJ106" s="386"/>
      <c r="AK106" s="386"/>
      <c r="AL106" s="398">
        <f ca="1">IF(AL101=Data!$B$15,AL19,IF(AL104=Data!$B$16,AL12,AL13))</f>
        <v>77.438999999999993</v>
      </c>
      <c r="AM106" s="398">
        <f ca="1">IF(AM101=Data!$B$15,AM19,IF(AM104=Data!$B$16,AM12,AM13))</f>
        <v>75.572999999999993</v>
      </c>
      <c r="AN106" s="398">
        <f ca="1">IF(AN101=Data!$B$15,AN19,IF(AN104=Data!$B$16,AN12,AN13))</f>
        <v>73.707000000000008</v>
      </c>
      <c r="AO106" s="398">
        <f ca="1">IF(AO101=Data!$B$15,AO19,IF(AO104=Data!$B$16,AO12,AO13))</f>
        <v>69.601799999999997</v>
      </c>
      <c r="AP106" s="398">
        <f ca="1">IF(AP101=Data!$B$15,AP19,IF(AP104=Data!$B$16,AP12,AP13))</f>
        <v>65.496600000000001</v>
      </c>
      <c r="AQ106" s="398">
        <f ca="1">IF(AQ101=Data!$B$15,AQ19,IF(AQ104=Data!$B$16,AQ12,AQ13))</f>
        <v>61.391400000000004</v>
      </c>
      <c r="AR106" s="398">
        <f ca="1">IF(AR101=Data!$B$15,AR19,IF(AR104=Data!$B$16,AR12,AR13))</f>
        <v>57.286199999999994</v>
      </c>
      <c r="AS106" s="398">
        <f ca="1">IF(AS101=Data!$B$15,AS19,IF(AS104=Data!$B$16,AS12,AS13))</f>
        <v>53.180999999998939</v>
      </c>
      <c r="AT106" s="398">
        <f ca="1">IF(AT101=Data!$B$15,AT19,IF(AT104=Data!$B$16,AT12,AT13))</f>
        <v>46.649999999999572</v>
      </c>
      <c r="AU106" s="398">
        <f ca="1">IF(AU101=Data!$B$15,AU19,IF(AU104=Data!$B$16,AU12,AU13))</f>
        <v>40.119000000000213</v>
      </c>
      <c r="AV106" s="398">
        <f ca="1">IF(AV101=Data!$B$15,AV19,IF(AV104=Data!$B$16,AV12,AV13))</f>
        <v>33.587999999998196</v>
      </c>
      <c r="AW106" s="398">
        <f ca="1">IF(AW101=Data!$B$15,AW19,IF(AW104=Data!$B$16,AW12,AW13))</f>
        <v>27.056999999998833</v>
      </c>
      <c r="AX106" s="398">
        <f ca="1">IF(AX101=Data!$B$15,AX19,IF(AX104=Data!$B$16,AX12,AX13))</f>
        <v>20.525999999999467</v>
      </c>
      <c r="AY106" s="398">
        <f ca="1">IF(AY101=Data!$B$15,AY19,IF(AY104=Data!$B$16,AY12,AY13))</f>
        <v>17.727000000000025</v>
      </c>
      <c r="AZ106" s="398">
        <f ca="1">IF(AZ101=Data!$B$15,AZ19,IF(AZ104=Data!$B$16,AZ12,AZ13))</f>
        <v>14.927999999999919</v>
      </c>
      <c r="BA106" s="398">
        <f ca="1">IF(BA101=Data!$B$15,BA19,IF(BA104=Data!$B$16,BA12,BA13))</f>
        <v>12.128999999999813</v>
      </c>
      <c r="BB106" s="398">
        <f ca="1">IF(BB101=Data!$B$15,BB19,IF(BB104=Data!$B$16,BB12,BB13))</f>
        <v>9.329999999999707</v>
      </c>
      <c r="BC106" s="398">
        <f ca="1">IF(BC101=Data!$B$15,BC19,IF(BC104=Data!$B$16,BC12,BC13))</f>
        <v>6.5310000000002644</v>
      </c>
      <c r="BD106" s="398">
        <f ca="1">IF(BD101=Data!$B$15,BD19,IF(BD104=Data!$B$16,BD12,BD13))</f>
        <v>3.7320000000001587</v>
      </c>
      <c r="BE106" s="398">
        <f ca="1">IF(BE101=Data!$B$15,BE19,IF(BE104=Data!$B$16,BE12,BE13))</f>
        <v>0.93300000000005257</v>
      </c>
      <c r="BF106" s="398">
        <f ca="1">IF(BF101=Data!$B$15,BF19,IF(BF104=Data!$B$16,BF12,BF13))</f>
        <v>0</v>
      </c>
      <c r="BG106" s="398">
        <f ca="1">IF(BG101=Data!$B$15,BG19,IF(BG104=Data!$B$16,BG12,BG13))</f>
        <v>0</v>
      </c>
      <c r="BH106" s="398">
        <f ca="1">IF(BH101=Data!$B$15,BH19,IF(BH104=Data!$B$16,BH12,BH13))</f>
        <v>0</v>
      </c>
    </row>
    <row r="107" spans="2:60" ht="15">
      <c r="B107" s="60" t="s">
        <v>1921</v>
      </c>
      <c r="C107" s="337" t="s">
        <v>1922</v>
      </c>
      <c r="D107" s="385"/>
      <c r="E107" s="385"/>
      <c r="F107" s="386" t="s">
        <v>1923</v>
      </c>
      <c r="G107" s="386" t="s">
        <v>1696</v>
      </c>
      <c r="H107" s="398">
        <f ca="1">(H106-Data!$D$5)*Data!$E$6</f>
        <v>-0.63761220000000018</v>
      </c>
      <c r="I107" s="398">
        <f ca="1">(I106-Data!$D$5)*Data!$E$6</f>
        <v>-0.71262540000000019</v>
      </c>
      <c r="J107" s="398">
        <f ca="1">(J106-Data!$D$5)*Data!$E$6</f>
        <v>-0.78763859999999952</v>
      </c>
      <c r="K107" s="398">
        <f ca="1">(K106-Data!$D$5)*Data!$E$6</f>
        <v>-0.95266764000000004</v>
      </c>
      <c r="L107" s="398">
        <f ca="1">(L106-Data!$D$5)*Data!$E$6</f>
        <v>-1.1176966799999999</v>
      </c>
      <c r="M107" s="398">
        <f ca="1">(M106-Data!$D$5)*Data!$E$6</f>
        <v>-1.2827257199999997</v>
      </c>
      <c r="N107" s="398">
        <f ca="1">(N106-Data!$D$5)*Data!$E$6</f>
        <v>-1.44775476</v>
      </c>
      <c r="O107" s="398">
        <f ca="1">(O106-Data!$D$5)*Data!$E$6</f>
        <v>-1.6127838000000425</v>
      </c>
      <c r="P107" s="398">
        <f ca="1">(P106-Data!$D$5)*Data!$E$6</f>
        <v>-1.875330000000017</v>
      </c>
      <c r="Q107" s="398">
        <f ca="1">(Q106-Data!$D$5)*Data!$E$6</f>
        <v>-2.1378761999999911</v>
      </c>
      <c r="R107" s="398">
        <f ca="1">(R106-Data!$D$5)*Data!$E$6</f>
        <v>-2.4004224000000725</v>
      </c>
      <c r="S107" s="398">
        <f ca="1">(S106-Data!$D$5)*Data!$E$6</f>
        <v>-2.6629686000000468</v>
      </c>
      <c r="T107" s="398">
        <f ca="1">(T106-Data!$D$5)*Data!$E$6</f>
        <v>-2.9255148000000211</v>
      </c>
      <c r="U107" s="398">
        <f ca="1">(U106-Data!$D$5)*Data!$E$6</f>
        <v>-3.0380345999999991</v>
      </c>
      <c r="V107" s="398">
        <f ca="1">(V106-Data!$D$5)*Data!$E$6</f>
        <v>-3.150554400000003</v>
      </c>
      <c r="W107" s="398">
        <f ca="1">(W106-Data!$D$5)*Data!$E$6</f>
        <v>-3.2630742000000077</v>
      </c>
      <c r="X107" s="398">
        <f ca="1">(X106-Data!$D$5)*Data!$E$6</f>
        <v>-3.3755940000000115</v>
      </c>
      <c r="Y107" s="398">
        <f ca="1">(Y106-Data!$D$5)*Data!$E$6</f>
        <v>-3.4881137999999892</v>
      </c>
      <c r="Z107" s="398">
        <f ca="1">(Z106-Data!$D$5)*Data!$E$6</f>
        <v>-3.6006335999999934</v>
      </c>
      <c r="AA107" s="398">
        <f ca="1">(AA106-Data!$D$5)*Data!$E$6</f>
        <v>-3.7131533999999977</v>
      </c>
      <c r="AB107" s="398">
        <f ca="1">(AB106-Data!$D$5)*Data!$E$6</f>
        <v>-3.7506599999999999</v>
      </c>
      <c r="AC107" s="398">
        <f ca="1">(AC106-Data!$D$5)*Data!$E$6</f>
        <v>-3.7506599999999999</v>
      </c>
      <c r="AD107" s="398">
        <f ca="1">(AD106-Data!$D$5)*Data!$E$6</f>
        <v>-3.7506599999999999</v>
      </c>
      <c r="AF107" s="60" t="s">
        <v>1921</v>
      </c>
      <c r="AG107" s="337" t="s">
        <v>1922</v>
      </c>
      <c r="AH107" s="385"/>
      <c r="AI107" s="385"/>
      <c r="AJ107" s="386" t="s">
        <v>1923</v>
      </c>
      <c r="AK107" s="386" t="s">
        <v>1696</v>
      </c>
      <c r="AL107" s="398">
        <f ca="1">(AL106-Data!$D$5)*Data!$E$6</f>
        <v>-0.63761220000000018</v>
      </c>
      <c r="AM107" s="398">
        <f ca="1">(AM106-Data!$D$5)*Data!$E$6</f>
        <v>-0.71262540000000019</v>
      </c>
      <c r="AN107" s="398">
        <f ca="1">(AN106-Data!$D$5)*Data!$E$6</f>
        <v>-0.78763859999999952</v>
      </c>
      <c r="AO107" s="398">
        <f ca="1">(AO106-Data!$D$5)*Data!$E$6</f>
        <v>-0.95266764000000004</v>
      </c>
      <c r="AP107" s="398">
        <f ca="1">(AP106-Data!$D$5)*Data!$E$6</f>
        <v>-1.1176966799999999</v>
      </c>
      <c r="AQ107" s="398">
        <f ca="1">(AQ106-Data!$D$5)*Data!$E$6</f>
        <v>-1.2827257199999997</v>
      </c>
      <c r="AR107" s="398">
        <f ca="1">(AR106-Data!$D$5)*Data!$E$6</f>
        <v>-1.44775476</v>
      </c>
      <c r="AS107" s="398">
        <f ca="1">(AS106-Data!$D$5)*Data!$E$6</f>
        <v>-1.6127838000000425</v>
      </c>
      <c r="AT107" s="398">
        <f ca="1">(AT106-Data!$D$5)*Data!$E$6</f>
        <v>-1.875330000000017</v>
      </c>
      <c r="AU107" s="398">
        <f ca="1">(AU106-Data!$D$5)*Data!$E$6</f>
        <v>-2.1378761999999911</v>
      </c>
      <c r="AV107" s="398">
        <f ca="1">(AV106-Data!$D$5)*Data!$E$6</f>
        <v>-2.4004224000000725</v>
      </c>
      <c r="AW107" s="398">
        <f ca="1">(AW106-Data!$D$5)*Data!$E$6</f>
        <v>-2.6629686000000468</v>
      </c>
      <c r="AX107" s="398">
        <f ca="1">(AX106-Data!$D$5)*Data!$E$6</f>
        <v>-2.9255148000000211</v>
      </c>
      <c r="AY107" s="398">
        <f ca="1">(AY106-Data!$D$5)*Data!$E$6</f>
        <v>-3.0380345999999991</v>
      </c>
      <c r="AZ107" s="398">
        <f ca="1">(AZ106-Data!$D$5)*Data!$E$6</f>
        <v>-3.150554400000003</v>
      </c>
      <c r="BA107" s="398">
        <f ca="1">(BA106-Data!$D$5)*Data!$E$6</f>
        <v>-3.2630742000000077</v>
      </c>
      <c r="BB107" s="398">
        <f ca="1">(BB106-Data!$D$5)*Data!$E$6</f>
        <v>-3.3755940000000115</v>
      </c>
      <c r="BC107" s="398">
        <f ca="1">(BC106-Data!$D$5)*Data!$E$6</f>
        <v>-3.4881137999999892</v>
      </c>
      <c r="BD107" s="398">
        <f ca="1">(BD106-Data!$D$5)*Data!$E$6</f>
        <v>-3.6006335999999934</v>
      </c>
      <c r="BE107" s="398">
        <f ca="1">(BE106-Data!$D$5)*Data!$E$6</f>
        <v>-3.7131533999999977</v>
      </c>
      <c r="BF107" s="398">
        <f ca="1">(BF106-Data!$D$5)*Data!$E$6</f>
        <v>-3.7506599999999999</v>
      </c>
      <c r="BG107" s="398">
        <f ca="1">(BG106-Data!$D$5)*Data!$E$6</f>
        <v>-3.7506599999999999</v>
      </c>
      <c r="BH107" s="398">
        <f ca="1">(BH106-Data!$D$5)*Data!$E$6</f>
        <v>-3.7506599999999999</v>
      </c>
    </row>
    <row r="108" spans="2:60">
      <c r="C108" s="337" t="s">
        <v>1924</v>
      </c>
      <c r="D108" s="385"/>
      <c r="E108" s="385" t="s">
        <v>1925</v>
      </c>
      <c r="F108" s="386" t="s">
        <v>1926</v>
      </c>
      <c r="G108" s="386" t="s">
        <v>545</v>
      </c>
      <c r="H108" s="398">
        <f ca="1">H107*H$14</f>
        <v>0</v>
      </c>
      <c r="I108" s="398">
        <f t="shared" ref="I108:L108" ca="1" si="57">I107*I$14</f>
        <v>0</v>
      </c>
      <c r="J108" s="398">
        <f t="shared" ca="1" si="57"/>
        <v>0</v>
      </c>
      <c r="K108" s="398">
        <f t="shared" ca="1" si="57"/>
        <v>0</v>
      </c>
      <c r="L108" s="398">
        <f t="shared" ca="1" si="57"/>
        <v>0</v>
      </c>
      <c r="M108" s="398">
        <f ca="1">M107*M$14</f>
        <v>0</v>
      </c>
      <c r="N108" s="398">
        <f t="shared" ref="N108:AD108" ca="1" si="58">N107*N$14</f>
        <v>0</v>
      </c>
      <c r="O108" s="398">
        <f t="shared" ca="1" si="58"/>
        <v>0</v>
      </c>
      <c r="P108" s="398">
        <f t="shared" ca="1" si="58"/>
        <v>0</v>
      </c>
      <c r="Q108" s="398">
        <f t="shared" ca="1" si="58"/>
        <v>0</v>
      </c>
      <c r="R108" s="398">
        <f t="shared" ca="1" si="58"/>
        <v>0</v>
      </c>
      <c r="S108" s="398">
        <f t="shared" ca="1" si="58"/>
        <v>0</v>
      </c>
      <c r="T108" s="398">
        <f t="shared" ca="1" si="58"/>
        <v>0</v>
      </c>
      <c r="U108" s="398">
        <f t="shared" ca="1" si="58"/>
        <v>0</v>
      </c>
      <c r="V108" s="398">
        <f t="shared" ca="1" si="58"/>
        <v>0</v>
      </c>
      <c r="W108" s="398">
        <f t="shared" ca="1" si="58"/>
        <v>0</v>
      </c>
      <c r="X108" s="398">
        <f t="shared" ca="1" si="58"/>
        <v>0</v>
      </c>
      <c r="Y108" s="398">
        <f t="shared" ca="1" si="58"/>
        <v>0</v>
      </c>
      <c r="Z108" s="398">
        <f t="shared" ca="1" si="58"/>
        <v>0</v>
      </c>
      <c r="AA108" s="398">
        <f t="shared" ca="1" si="58"/>
        <v>0</v>
      </c>
      <c r="AB108" s="398">
        <f t="shared" ca="1" si="58"/>
        <v>0</v>
      </c>
      <c r="AC108" s="398">
        <f t="shared" ca="1" si="58"/>
        <v>0</v>
      </c>
      <c r="AD108" s="398">
        <f t="shared" ca="1" si="58"/>
        <v>0</v>
      </c>
      <c r="AF108" s="26"/>
      <c r="AG108" s="337" t="s">
        <v>1924</v>
      </c>
      <c r="AH108" s="385"/>
      <c r="AI108" s="385" t="s">
        <v>1925</v>
      </c>
      <c r="AJ108" s="386" t="s">
        <v>1926</v>
      </c>
      <c r="AK108" s="386" t="s">
        <v>545</v>
      </c>
      <c r="AL108" s="398">
        <f ca="1">AL107*AL$14</f>
        <v>0</v>
      </c>
      <c r="AM108" s="398">
        <f t="shared" ref="AM108:AP108" ca="1" si="59">AM107*AM$14</f>
        <v>0</v>
      </c>
      <c r="AN108" s="398">
        <f t="shared" ca="1" si="59"/>
        <v>0</v>
      </c>
      <c r="AO108" s="398">
        <f t="shared" ca="1" si="59"/>
        <v>0</v>
      </c>
      <c r="AP108" s="398">
        <f t="shared" ca="1" si="59"/>
        <v>0</v>
      </c>
      <c r="AQ108" s="398">
        <f ca="1">AQ107*AQ$14</f>
        <v>0</v>
      </c>
      <c r="AR108" s="398">
        <f t="shared" ref="AR108:BH108" ca="1" si="60">AR107*AR$14</f>
        <v>0</v>
      </c>
      <c r="AS108" s="398">
        <f t="shared" ca="1" si="60"/>
        <v>0</v>
      </c>
      <c r="AT108" s="398">
        <f t="shared" ca="1" si="60"/>
        <v>0</v>
      </c>
      <c r="AU108" s="398">
        <f t="shared" ca="1" si="60"/>
        <v>0</v>
      </c>
      <c r="AV108" s="398">
        <f t="shared" ca="1" si="60"/>
        <v>0</v>
      </c>
      <c r="AW108" s="398">
        <f t="shared" ca="1" si="60"/>
        <v>0</v>
      </c>
      <c r="AX108" s="398">
        <f t="shared" ca="1" si="60"/>
        <v>0</v>
      </c>
      <c r="AY108" s="398">
        <f t="shared" ca="1" si="60"/>
        <v>0</v>
      </c>
      <c r="AZ108" s="398">
        <f t="shared" ca="1" si="60"/>
        <v>0</v>
      </c>
      <c r="BA108" s="398">
        <f t="shared" ca="1" si="60"/>
        <v>0</v>
      </c>
      <c r="BB108" s="398">
        <f t="shared" ca="1" si="60"/>
        <v>0</v>
      </c>
      <c r="BC108" s="398">
        <f t="shared" ca="1" si="60"/>
        <v>0</v>
      </c>
      <c r="BD108" s="398">
        <f t="shared" ca="1" si="60"/>
        <v>0</v>
      </c>
      <c r="BE108" s="398">
        <f t="shared" ca="1" si="60"/>
        <v>0</v>
      </c>
      <c r="BF108" s="398">
        <f t="shared" ca="1" si="60"/>
        <v>0</v>
      </c>
      <c r="BG108" s="398">
        <f t="shared" ca="1" si="60"/>
        <v>0</v>
      </c>
      <c r="BH108" s="398">
        <f t="shared" ca="1" si="60"/>
        <v>0</v>
      </c>
    </row>
    <row r="109" spans="2:60" ht="15">
      <c r="B109" s="60" t="s">
        <v>1898</v>
      </c>
      <c r="C109" s="383" t="s">
        <v>1784</v>
      </c>
      <c r="D109" s="416"/>
      <c r="E109" s="416" t="s">
        <v>1899</v>
      </c>
      <c r="F109" s="417"/>
      <c r="G109" s="417" t="s">
        <v>545</v>
      </c>
      <c r="H109" s="418">
        <f ca="1">H23*Data!$E$6*1000</f>
        <v>0</v>
      </c>
      <c r="I109" s="418">
        <f ca="1">I23*Data!$E$6*1000</f>
        <v>0</v>
      </c>
      <c r="J109" s="418">
        <f ca="1">J23*Data!$E$6*1000</f>
        <v>0</v>
      </c>
      <c r="K109" s="418">
        <f ca="1">K23*Data!$E$6*1000</f>
        <v>0</v>
      </c>
      <c r="L109" s="418">
        <f ca="1">L23*Data!$E$6*1000</f>
        <v>0</v>
      </c>
      <c r="M109" s="418">
        <f ca="1">M23*Data!$E$6*1000</f>
        <v>0</v>
      </c>
      <c r="N109" s="418">
        <f ca="1">N23*Data!$E$6*1000</f>
        <v>0</v>
      </c>
      <c r="O109" s="418">
        <f ca="1">O23*Data!$E$6*1000</f>
        <v>0</v>
      </c>
      <c r="P109" s="418">
        <f ca="1">P23*Data!$E$6*1000</f>
        <v>0</v>
      </c>
      <c r="Q109" s="418">
        <f ca="1">Q23*Data!$E$6*1000</f>
        <v>0</v>
      </c>
      <c r="R109" s="418">
        <f ca="1">R23*Data!$E$6*1000</f>
        <v>0</v>
      </c>
      <c r="S109" s="418">
        <f ca="1">S23*Data!$E$6*1000</f>
        <v>0</v>
      </c>
      <c r="T109" s="418">
        <f ca="1">T23*Data!$E$6*1000</f>
        <v>0</v>
      </c>
      <c r="U109" s="418">
        <f ca="1">U23*Data!$E$6*1000</f>
        <v>0</v>
      </c>
      <c r="V109" s="418">
        <f ca="1">V23*Data!$E$6*1000</f>
        <v>0</v>
      </c>
      <c r="W109" s="418">
        <f ca="1">W23*Data!$E$6*1000</f>
        <v>0</v>
      </c>
      <c r="X109" s="418">
        <f ca="1">X23*Data!$E$6*1000</f>
        <v>0</v>
      </c>
      <c r="Y109" s="418">
        <f ca="1">Y23*Data!$E$6*1000</f>
        <v>0</v>
      </c>
      <c r="Z109" s="418">
        <f ca="1">Z23*Data!$E$6*1000</f>
        <v>0</v>
      </c>
      <c r="AA109" s="418">
        <f ca="1">AA23*Data!$E$6*1000</f>
        <v>0</v>
      </c>
      <c r="AB109" s="418">
        <f ca="1">AB23*Data!$E$6*1000</f>
        <v>0</v>
      </c>
      <c r="AC109" s="418">
        <f ca="1">AC23*Data!$E$6*1000</f>
        <v>0</v>
      </c>
      <c r="AD109" s="418">
        <f ca="1">AD23*Data!$E$6*1000</f>
        <v>0</v>
      </c>
      <c r="AF109" s="60" t="s">
        <v>1898</v>
      </c>
      <c r="AG109" s="383" t="s">
        <v>1784</v>
      </c>
      <c r="AH109" s="416"/>
      <c r="AI109" s="416" t="s">
        <v>1899</v>
      </c>
      <c r="AJ109" s="417"/>
      <c r="AK109" s="417" t="s">
        <v>545</v>
      </c>
      <c r="AL109" s="418">
        <f ca="1">AL23*Data!$E$6*1000</f>
        <v>0</v>
      </c>
      <c r="AM109" s="418">
        <f ca="1">AM23*Data!$E$6*1000</f>
        <v>0</v>
      </c>
      <c r="AN109" s="418">
        <f ca="1">AN23*Data!$E$6*1000</f>
        <v>0</v>
      </c>
      <c r="AO109" s="418">
        <f ca="1">AO23*Data!$E$6*1000</f>
        <v>0</v>
      </c>
      <c r="AP109" s="418">
        <f ca="1">AP23*Data!$E$6*1000</f>
        <v>0</v>
      </c>
      <c r="AQ109" s="418">
        <f ca="1">AQ23*Data!$E$6*1000</f>
        <v>0</v>
      </c>
      <c r="AR109" s="418">
        <f ca="1">AR23*Data!$E$6*1000</f>
        <v>0</v>
      </c>
      <c r="AS109" s="418">
        <f ca="1">AS23*Data!$E$6*1000</f>
        <v>0</v>
      </c>
      <c r="AT109" s="418">
        <f ca="1">AT23*Data!$E$6*1000</f>
        <v>0</v>
      </c>
      <c r="AU109" s="418">
        <f ca="1">AU23*Data!$E$6*1000</f>
        <v>0</v>
      </c>
      <c r="AV109" s="418">
        <f ca="1">AV23*Data!$E$6*1000</f>
        <v>0</v>
      </c>
      <c r="AW109" s="418">
        <f ca="1">AW23*Data!$E$6*1000</f>
        <v>0</v>
      </c>
      <c r="AX109" s="418">
        <f ca="1">AX23*Data!$E$6*1000</f>
        <v>0</v>
      </c>
      <c r="AY109" s="418">
        <f ca="1">AY23*Data!$E$6*1000</f>
        <v>0</v>
      </c>
      <c r="AZ109" s="418">
        <f ca="1">AZ23*Data!$E$6*1000</f>
        <v>0</v>
      </c>
      <c r="BA109" s="418">
        <f ca="1">BA23*Data!$E$6*1000</f>
        <v>0</v>
      </c>
      <c r="BB109" s="418">
        <f ca="1">BB23*Data!$E$6*1000</f>
        <v>0</v>
      </c>
      <c r="BC109" s="418">
        <f ca="1">BC23*Data!$E$6*1000</f>
        <v>0</v>
      </c>
      <c r="BD109" s="418">
        <f ca="1">BD23*Data!$E$6*1000</f>
        <v>0</v>
      </c>
      <c r="BE109" s="418">
        <f ca="1">BE23*Data!$E$6*1000</f>
        <v>0</v>
      </c>
      <c r="BF109" s="418">
        <f ca="1">BF23*Data!$E$6*1000</f>
        <v>0</v>
      </c>
      <c r="BG109" s="418">
        <f ca="1">BG23*Data!$E$6*1000</f>
        <v>0</v>
      </c>
      <c r="BH109" s="418">
        <f ca="1">BH23*Data!$E$6*1000</f>
        <v>0</v>
      </c>
    </row>
    <row r="110" spans="2:60" ht="15">
      <c r="C110" s="383" t="s">
        <v>1791</v>
      </c>
      <c r="D110" s="416"/>
      <c r="E110" s="416" t="s">
        <v>1927</v>
      </c>
      <c r="F110" s="417"/>
      <c r="G110" s="417" t="s">
        <v>545</v>
      </c>
      <c r="H110" s="418">
        <f t="shared" ref="H110:AD110" ca="1" si="61">H102</f>
        <v>0</v>
      </c>
      <c r="I110" s="418">
        <f t="shared" ca="1" si="61"/>
        <v>0</v>
      </c>
      <c r="J110" s="418">
        <f t="shared" ca="1" si="61"/>
        <v>0</v>
      </c>
      <c r="K110" s="418">
        <f t="shared" ca="1" si="61"/>
        <v>0</v>
      </c>
      <c r="L110" s="418">
        <f t="shared" ca="1" si="61"/>
        <v>0</v>
      </c>
      <c r="M110" s="418">
        <f t="shared" ca="1" si="61"/>
        <v>0</v>
      </c>
      <c r="N110" s="418">
        <f t="shared" ca="1" si="61"/>
        <v>0</v>
      </c>
      <c r="O110" s="418">
        <f t="shared" ca="1" si="61"/>
        <v>0</v>
      </c>
      <c r="P110" s="418">
        <f t="shared" ca="1" si="61"/>
        <v>0</v>
      </c>
      <c r="Q110" s="418">
        <f t="shared" ca="1" si="61"/>
        <v>0</v>
      </c>
      <c r="R110" s="418">
        <f t="shared" ca="1" si="61"/>
        <v>0</v>
      </c>
      <c r="S110" s="418">
        <f t="shared" ca="1" si="61"/>
        <v>0</v>
      </c>
      <c r="T110" s="418">
        <f t="shared" ca="1" si="61"/>
        <v>0</v>
      </c>
      <c r="U110" s="418">
        <f t="shared" ca="1" si="61"/>
        <v>0</v>
      </c>
      <c r="V110" s="418">
        <f t="shared" ca="1" si="61"/>
        <v>0</v>
      </c>
      <c r="W110" s="418">
        <f t="shared" ca="1" si="61"/>
        <v>0</v>
      </c>
      <c r="X110" s="418">
        <f t="shared" ca="1" si="61"/>
        <v>0</v>
      </c>
      <c r="Y110" s="418">
        <f t="shared" ca="1" si="61"/>
        <v>0</v>
      </c>
      <c r="Z110" s="418">
        <f t="shared" ca="1" si="61"/>
        <v>0</v>
      </c>
      <c r="AA110" s="418">
        <f t="shared" ca="1" si="61"/>
        <v>0</v>
      </c>
      <c r="AB110" s="418">
        <f t="shared" ca="1" si="61"/>
        <v>0</v>
      </c>
      <c r="AC110" s="418">
        <f t="shared" ca="1" si="61"/>
        <v>0</v>
      </c>
      <c r="AD110" s="418">
        <f t="shared" ca="1" si="61"/>
        <v>0</v>
      </c>
      <c r="AF110" s="26"/>
      <c r="AG110" s="383" t="s">
        <v>1791</v>
      </c>
      <c r="AH110" s="416"/>
      <c r="AI110" s="416" t="s">
        <v>1927</v>
      </c>
      <c r="AJ110" s="417"/>
      <c r="AK110" s="417" t="s">
        <v>545</v>
      </c>
      <c r="AL110" s="418">
        <f t="shared" ref="AL110:BH110" ca="1" si="62">AL102</f>
        <v>0</v>
      </c>
      <c r="AM110" s="418">
        <f t="shared" ca="1" si="62"/>
        <v>0</v>
      </c>
      <c r="AN110" s="418">
        <f t="shared" ca="1" si="62"/>
        <v>0</v>
      </c>
      <c r="AO110" s="418">
        <f t="shared" ca="1" si="62"/>
        <v>0</v>
      </c>
      <c r="AP110" s="418">
        <f t="shared" ca="1" si="62"/>
        <v>0</v>
      </c>
      <c r="AQ110" s="418">
        <f t="shared" ca="1" si="62"/>
        <v>0</v>
      </c>
      <c r="AR110" s="418">
        <f t="shared" ca="1" si="62"/>
        <v>0</v>
      </c>
      <c r="AS110" s="418">
        <f t="shared" ca="1" si="62"/>
        <v>0</v>
      </c>
      <c r="AT110" s="418">
        <f t="shared" ca="1" si="62"/>
        <v>0</v>
      </c>
      <c r="AU110" s="418">
        <f t="shared" ca="1" si="62"/>
        <v>0</v>
      </c>
      <c r="AV110" s="418">
        <f t="shared" ca="1" si="62"/>
        <v>0</v>
      </c>
      <c r="AW110" s="418">
        <f t="shared" ca="1" si="62"/>
        <v>0</v>
      </c>
      <c r="AX110" s="418">
        <f t="shared" ca="1" si="62"/>
        <v>0</v>
      </c>
      <c r="AY110" s="418">
        <f t="shared" ca="1" si="62"/>
        <v>0</v>
      </c>
      <c r="AZ110" s="418">
        <f t="shared" ca="1" si="62"/>
        <v>0</v>
      </c>
      <c r="BA110" s="418">
        <f t="shared" ca="1" si="62"/>
        <v>0</v>
      </c>
      <c r="BB110" s="418">
        <f t="shared" ca="1" si="62"/>
        <v>0</v>
      </c>
      <c r="BC110" s="418">
        <f t="shared" ca="1" si="62"/>
        <v>0</v>
      </c>
      <c r="BD110" s="418">
        <f t="shared" ca="1" si="62"/>
        <v>0</v>
      </c>
      <c r="BE110" s="418">
        <f t="shared" ca="1" si="62"/>
        <v>0</v>
      </c>
      <c r="BF110" s="418">
        <f t="shared" ca="1" si="62"/>
        <v>0</v>
      </c>
      <c r="BG110" s="418">
        <f t="shared" ca="1" si="62"/>
        <v>0</v>
      </c>
      <c r="BH110" s="418">
        <f t="shared" ca="1" si="62"/>
        <v>0</v>
      </c>
    </row>
    <row r="111" spans="2:60" ht="15">
      <c r="C111" s="383" t="s">
        <v>1795</v>
      </c>
      <c r="D111" s="416"/>
      <c r="E111" s="416" t="s">
        <v>1912</v>
      </c>
      <c r="F111" s="417"/>
      <c r="G111" s="417" t="s">
        <v>545</v>
      </c>
      <c r="H111" s="418">
        <f t="shared" ref="H111:AD111" ca="1" si="63">H105</f>
        <v>0</v>
      </c>
      <c r="I111" s="418">
        <f t="shared" ca="1" si="63"/>
        <v>0</v>
      </c>
      <c r="J111" s="418">
        <f t="shared" ca="1" si="63"/>
        <v>0</v>
      </c>
      <c r="K111" s="418">
        <f t="shared" ca="1" si="63"/>
        <v>0</v>
      </c>
      <c r="L111" s="418">
        <f t="shared" ca="1" si="63"/>
        <v>0</v>
      </c>
      <c r="M111" s="418">
        <f t="shared" ca="1" si="63"/>
        <v>0</v>
      </c>
      <c r="N111" s="418">
        <f t="shared" ca="1" si="63"/>
        <v>0</v>
      </c>
      <c r="O111" s="418">
        <f t="shared" ca="1" si="63"/>
        <v>0</v>
      </c>
      <c r="P111" s="418">
        <f t="shared" ca="1" si="63"/>
        <v>0</v>
      </c>
      <c r="Q111" s="418">
        <f t="shared" ca="1" si="63"/>
        <v>0</v>
      </c>
      <c r="R111" s="418">
        <f t="shared" ca="1" si="63"/>
        <v>0</v>
      </c>
      <c r="S111" s="418">
        <f t="shared" ca="1" si="63"/>
        <v>0</v>
      </c>
      <c r="T111" s="418">
        <f t="shared" ca="1" si="63"/>
        <v>0</v>
      </c>
      <c r="U111" s="418">
        <f t="shared" ca="1" si="63"/>
        <v>0</v>
      </c>
      <c r="V111" s="418">
        <f t="shared" ca="1" si="63"/>
        <v>0</v>
      </c>
      <c r="W111" s="418">
        <f t="shared" ca="1" si="63"/>
        <v>0</v>
      </c>
      <c r="X111" s="418">
        <f t="shared" ca="1" si="63"/>
        <v>0</v>
      </c>
      <c r="Y111" s="418">
        <f t="shared" ca="1" si="63"/>
        <v>0</v>
      </c>
      <c r="Z111" s="418">
        <f t="shared" ca="1" si="63"/>
        <v>0</v>
      </c>
      <c r="AA111" s="418">
        <f t="shared" ca="1" si="63"/>
        <v>0</v>
      </c>
      <c r="AB111" s="418">
        <f t="shared" ca="1" si="63"/>
        <v>0</v>
      </c>
      <c r="AC111" s="418">
        <f t="shared" ca="1" si="63"/>
        <v>0</v>
      </c>
      <c r="AD111" s="418">
        <f t="shared" ca="1" si="63"/>
        <v>0</v>
      </c>
      <c r="AF111" s="26"/>
      <c r="AG111" s="383" t="s">
        <v>1795</v>
      </c>
      <c r="AH111" s="416"/>
      <c r="AI111" s="416" t="s">
        <v>1912</v>
      </c>
      <c r="AJ111" s="417"/>
      <c r="AK111" s="417" t="s">
        <v>545</v>
      </c>
      <c r="AL111" s="418">
        <f t="shared" ref="AL111:BH111" ca="1" si="64">AL105</f>
        <v>0</v>
      </c>
      <c r="AM111" s="418">
        <f t="shared" ca="1" si="64"/>
        <v>0</v>
      </c>
      <c r="AN111" s="418">
        <f t="shared" ca="1" si="64"/>
        <v>0</v>
      </c>
      <c r="AO111" s="418">
        <f t="shared" ca="1" si="64"/>
        <v>0</v>
      </c>
      <c r="AP111" s="418">
        <f t="shared" ca="1" si="64"/>
        <v>0</v>
      </c>
      <c r="AQ111" s="418">
        <f t="shared" ca="1" si="64"/>
        <v>0</v>
      </c>
      <c r="AR111" s="418">
        <f t="shared" ca="1" si="64"/>
        <v>0</v>
      </c>
      <c r="AS111" s="418">
        <f t="shared" ca="1" si="64"/>
        <v>0</v>
      </c>
      <c r="AT111" s="418">
        <f t="shared" ca="1" si="64"/>
        <v>0</v>
      </c>
      <c r="AU111" s="418">
        <f t="shared" ca="1" si="64"/>
        <v>0</v>
      </c>
      <c r="AV111" s="418">
        <f t="shared" ca="1" si="64"/>
        <v>0</v>
      </c>
      <c r="AW111" s="418">
        <f t="shared" ca="1" si="64"/>
        <v>0</v>
      </c>
      <c r="AX111" s="418">
        <f t="shared" ca="1" si="64"/>
        <v>0</v>
      </c>
      <c r="AY111" s="418">
        <f t="shared" ca="1" si="64"/>
        <v>0</v>
      </c>
      <c r="AZ111" s="418">
        <f t="shared" ca="1" si="64"/>
        <v>0</v>
      </c>
      <c r="BA111" s="418">
        <f t="shared" ca="1" si="64"/>
        <v>0</v>
      </c>
      <c r="BB111" s="418">
        <f t="shared" ca="1" si="64"/>
        <v>0</v>
      </c>
      <c r="BC111" s="418">
        <f t="shared" ca="1" si="64"/>
        <v>0</v>
      </c>
      <c r="BD111" s="418">
        <f t="shared" ca="1" si="64"/>
        <v>0</v>
      </c>
      <c r="BE111" s="418">
        <f t="shared" ca="1" si="64"/>
        <v>0</v>
      </c>
      <c r="BF111" s="418">
        <f t="shared" ca="1" si="64"/>
        <v>0</v>
      </c>
      <c r="BG111" s="418">
        <f t="shared" ca="1" si="64"/>
        <v>0</v>
      </c>
      <c r="BH111" s="418">
        <f t="shared" ca="1" si="64"/>
        <v>0</v>
      </c>
    </row>
    <row r="112" spans="2:60" ht="15.75" thickBot="1">
      <c r="C112" s="427" t="s">
        <v>1800</v>
      </c>
      <c r="D112" s="428"/>
      <c r="E112" s="428"/>
      <c r="F112" s="429"/>
      <c r="G112" s="429" t="s">
        <v>545</v>
      </c>
      <c r="H112" s="430">
        <f ca="1">H108</f>
        <v>0</v>
      </c>
      <c r="I112" s="430">
        <f t="shared" ref="I112:AD112" ca="1" si="65">I108</f>
        <v>0</v>
      </c>
      <c r="J112" s="430">
        <f t="shared" ca="1" si="65"/>
        <v>0</v>
      </c>
      <c r="K112" s="430">
        <f t="shared" ca="1" si="65"/>
        <v>0</v>
      </c>
      <c r="L112" s="430">
        <f t="shared" ca="1" si="65"/>
        <v>0</v>
      </c>
      <c r="M112" s="430">
        <f ca="1">M108</f>
        <v>0</v>
      </c>
      <c r="N112" s="430">
        <f t="shared" ca="1" si="65"/>
        <v>0</v>
      </c>
      <c r="O112" s="430">
        <f t="shared" ca="1" si="65"/>
        <v>0</v>
      </c>
      <c r="P112" s="430">
        <f t="shared" ca="1" si="65"/>
        <v>0</v>
      </c>
      <c r="Q112" s="430">
        <f t="shared" ca="1" si="65"/>
        <v>0</v>
      </c>
      <c r="R112" s="430">
        <f t="shared" ca="1" si="65"/>
        <v>0</v>
      </c>
      <c r="S112" s="430">
        <f t="shared" ca="1" si="65"/>
        <v>0</v>
      </c>
      <c r="T112" s="430">
        <f t="shared" ca="1" si="65"/>
        <v>0</v>
      </c>
      <c r="U112" s="430">
        <f t="shared" ca="1" si="65"/>
        <v>0</v>
      </c>
      <c r="V112" s="430">
        <f t="shared" ca="1" si="65"/>
        <v>0</v>
      </c>
      <c r="W112" s="430">
        <f t="shared" ca="1" si="65"/>
        <v>0</v>
      </c>
      <c r="X112" s="430">
        <f t="shared" ca="1" si="65"/>
        <v>0</v>
      </c>
      <c r="Y112" s="430">
        <f t="shared" ca="1" si="65"/>
        <v>0</v>
      </c>
      <c r="Z112" s="430">
        <f t="shared" ca="1" si="65"/>
        <v>0</v>
      </c>
      <c r="AA112" s="430">
        <f t="shared" ca="1" si="65"/>
        <v>0</v>
      </c>
      <c r="AB112" s="430">
        <f t="shared" ca="1" si="65"/>
        <v>0</v>
      </c>
      <c r="AC112" s="430">
        <f t="shared" ca="1" si="65"/>
        <v>0</v>
      </c>
      <c r="AD112" s="430">
        <f t="shared" ca="1" si="65"/>
        <v>0</v>
      </c>
      <c r="AF112" s="26"/>
      <c r="AG112" s="427" t="s">
        <v>1800</v>
      </c>
      <c r="AH112" s="428"/>
      <c r="AI112" s="428"/>
      <c r="AJ112" s="429"/>
      <c r="AK112" s="429" t="s">
        <v>545</v>
      </c>
      <c r="AL112" s="430">
        <f ca="1">AL108</f>
        <v>0</v>
      </c>
      <c r="AM112" s="430">
        <f t="shared" ref="AM112:AP112" ca="1" si="66">AM108</f>
        <v>0</v>
      </c>
      <c r="AN112" s="430">
        <f t="shared" ca="1" si="66"/>
        <v>0</v>
      </c>
      <c r="AO112" s="430">
        <f t="shared" ca="1" si="66"/>
        <v>0</v>
      </c>
      <c r="AP112" s="430">
        <f t="shared" ca="1" si="66"/>
        <v>0</v>
      </c>
      <c r="AQ112" s="430">
        <f ca="1">AQ108</f>
        <v>0</v>
      </c>
      <c r="AR112" s="430">
        <f t="shared" ref="AR112:BH112" ca="1" si="67">AR108</f>
        <v>0</v>
      </c>
      <c r="AS112" s="430">
        <f t="shared" ca="1" si="67"/>
        <v>0</v>
      </c>
      <c r="AT112" s="430">
        <f t="shared" ca="1" si="67"/>
        <v>0</v>
      </c>
      <c r="AU112" s="430">
        <f t="shared" ca="1" si="67"/>
        <v>0</v>
      </c>
      <c r="AV112" s="430">
        <f t="shared" ca="1" si="67"/>
        <v>0</v>
      </c>
      <c r="AW112" s="430">
        <f t="shared" ca="1" si="67"/>
        <v>0</v>
      </c>
      <c r="AX112" s="430">
        <f t="shared" ca="1" si="67"/>
        <v>0</v>
      </c>
      <c r="AY112" s="430">
        <f t="shared" ca="1" si="67"/>
        <v>0</v>
      </c>
      <c r="AZ112" s="430">
        <f t="shared" ca="1" si="67"/>
        <v>0</v>
      </c>
      <c r="BA112" s="430">
        <f t="shared" ca="1" si="67"/>
        <v>0</v>
      </c>
      <c r="BB112" s="430">
        <f t="shared" ca="1" si="67"/>
        <v>0</v>
      </c>
      <c r="BC112" s="430">
        <f t="shared" ca="1" si="67"/>
        <v>0</v>
      </c>
      <c r="BD112" s="430">
        <f t="shared" ca="1" si="67"/>
        <v>0</v>
      </c>
      <c r="BE112" s="430">
        <f t="shared" ca="1" si="67"/>
        <v>0</v>
      </c>
      <c r="BF112" s="430">
        <f t="shared" ca="1" si="67"/>
        <v>0</v>
      </c>
      <c r="BG112" s="430">
        <f t="shared" ca="1" si="67"/>
        <v>0</v>
      </c>
      <c r="BH112" s="430">
        <f t="shared" ca="1" si="67"/>
        <v>0</v>
      </c>
    </row>
    <row r="113" spans="2:60" ht="15.75" thickTop="1">
      <c r="C113" s="431" t="s">
        <v>1803</v>
      </c>
      <c r="D113" s="416"/>
      <c r="E113" s="385"/>
      <c r="F113" s="386" t="s">
        <v>1660</v>
      </c>
      <c r="G113" s="417" t="s">
        <v>545</v>
      </c>
      <c r="H113" s="418">
        <f t="shared" ref="H113:AD113" ca="1" si="68">SUM(H109:H112)</f>
        <v>0</v>
      </c>
      <c r="I113" s="418">
        <f t="shared" ca="1" si="68"/>
        <v>0</v>
      </c>
      <c r="J113" s="418">
        <f t="shared" ca="1" si="68"/>
        <v>0</v>
      </c>
      <c r="K113" s="418">
        <f t="shared" ca="1" si="68"/>
        <v>0</v>
      </c>
      <c r="L113" s="418">
        <f t="shared" ca="1" si="68"/>
        <v>0</v>
      </c>
      <c r="M113" s="418">
        <f t="shared" ca="1" si="68"/>
        <v>0</v>
      </c>
      <c r="N113" s="418">
        <f t="shared" ca="1" si="68"/>
        <v>0</v>
      </c>
      <c r="O113" s="418">
        <f t="shared" ca="1" si="68"/>
        <v>0</v>
      </c>
      <c r="P113" s="418">
        <f t="shared" ca="1" si="68"/>
        <v>0</v>
      </c>
      <c r="Q113" s="418">
        <f t="shared" ca="1" si="68"/>
        <v>0</v>
      </c>
      <c r="R113" s="418">
        <f t="shared" ca="1" si="68"/>
        <v>0</v>
      </c>
      <c r="S113" s="418">
        <f t="shared" ca="1" si="68"/>
        <v>0</v>
      </c>
      <c r="T113" s="418">
        <f t="shared" ca="1" si="68"/>
        <v>0</v>
      </c>
      <c r="U113" s="418">
        <f t="shared" ca="1" si="68"/>
        <v>0</v>
      </c>
      <c r="V113" s="418">
        <f t="shared" ca="1" si="68"/>
        <v>0</v>
      </c>
      <c r="W113" s="418">
        <f t="shared" ca="1" si="68"/>
        <v>0</v>
      </c>
      <c r="X113" s="418">
        <f t="shared" ca="1" si="68"/>
        <v>0</v>
      </c>
      <c r="Y113" s="418">
        <f t="shared" ca="1" si="68"/>
        <v>0</v>
      </c>
      <c r="Z113" s="418">
        <f t="shared" ca="1" si="68"/>
        <v>0</v>
      </c>
      <c r="AA113" s="418">
        <f t="shared" ca="1" si="68"/>
        <v>0</v>
      </c>
      <c r="AB113" s="418">
        <f t="shared" ca="1" si="68"/>
        <v>0</v>
      </c>
      <c r="AC113" s="418">
        <f t="shared" ca="1" si="68"/>
        <v>0</v>
      </c>
      <c r="AD113" s="418">
        <f t="shared" ca="1" si="68"/>
        <v>0</v>
      </c>
      <c r="AF113" s="26"/>
      <c r="AG113" s="431" t="s">
        <v>1803</v>
      </c>
      <c r="AH113" s="416"/>
      <c r="AI113" s="385"/>
      <c r="AJ113" s="386" t="s">
        <v>1660</v>
      </c>
      <c r="AK113" s="417" t="s">
        <v>545</v>
      </c>
      <c r="AL113" s="418">
        <f t="shared" ref="AL113:BH113" ca="1" si="69">SUM(AL109:AL112)</f>
        <v>0</v>
      </c>
      <c r="AM113" s="418">
        <f t="shared" ca="1" si="69"/>
        <v>0</v>
      </c>
      <c r="AN113" s="418">
        <f t="shared" ca="1" si="69"/>
        <v>0</v>
      </c>
      <c r="AO113" s="418">
        <f t="shared" ca="1" si="69"/>
        <v>0</v>
      </c>
      <c r="AP113" s="418">
        <f t="shared" ca="1" si="69"/>
        <v>0</v>
      </c>
      <c r="AQ113" s="418">
        <f t="shared" ca="1" si="69"/>
        <v>0</v>
      </c>
      <c r="AR113" s="418">
        <f t="shared" ca="1" si="69"/>
        <v>0</v>
      </c>
      <c r="AS113" s="418">
        <f t="shared" ca="1" si="69"/>
        <v>0</v>
      </c>
      <c r="AT113" s="418">
        <f t="shared" ca="1" si="69"/>
        <v>0</v>
      </c>
      <c r="AU113" s="418">
        <f t="shared" ca="1" si="69"/>
        <v>0</v>
      </c>
      <c r="AV113" s="418">
        <f t="shared" ca="1" si="69"/>
        <v>0</v>
      </c>
      <c r="AW113" s="418">
        <f t="shared" ca="1" si="69"/>
        <v>0</v>
      </c>
      <c r="AX113" s="418">
        <f t="shared" ca="1" si="69"/>
        <v>0</v>
      </c>
      <c r="AY113" s="418">
        <f t="shared" ca="1" si="69"/>
        <v>0</v>
      </c>
      <c r="AZ113" s="418">
        <f t="shared" ca="1" si="69"/>
        <v>0</v>
      </c>
      <c r="BA113" s="418">
        <f t="shared" ca="1" si="69"/>
        <v>0</v>
      </c>
      <c r="BB113" s="418">
        <f t="shared" ca="1" si="69"/>
        <v>0</v>
      </c>
      <c r="BC113" s="418">
        <f t="shared" ca="1" si="69"/>
        <v>0</v>
      </c>
      <c r="BD113" s="418">
        <f t="shared" ca="1" si="69"/>
        <v>0</v>
      </c>
      <c r="BE113" s="418">
        <f t="shared" ca="1" si="69"/>
        <v>0</v>
      </c>
      <c r="BF113" s="418">
        <f t="shared" ca="1" si="69"/>
        <v>0</v>
      </c>
      <c r="BG113" s="418">
        <f t="shared" ca="1" si="69"/>
        <v>0</v>
      </c>
      <c r="BH113" s="418">
        <f t="shared" ca="1" si="69"/>
        <v>0</v>
      </c>
    </row>
    <row r="114" spans="2:60">
      <c r="C114" s="385"/>
      <c r="D114" s="386"/>
      <c r="E114" s="386"/>
      <c r="F114" s="432"/>
      <c r="I114" s="139"/>
      <c r="J114" s="139"/>
      <c r="K114" s="139"/>
      <c r="L114" s="139"/>
      <c r="M114" s="139"/>
      <c r="N114" s="139"/>
      <c r="O114" s="139"/>
      <c r="P114" s="139"/>
      <c r="Q114" s="139"/>
      <c r="R114" s="139"/>
      <c r="S114" s="139"/>
      <c r="T114" s="139"/>
      <c r="U114" s="139"/>
      <c r="V114" s="139"/>
      <c r="W114" s="139"/>
      <c r="X114" s="139"/>
      <c r="Y114" s="139"/>
      <c r="Z114" s="139"/>
      <c r="AA114" s="139"/>
      <c r="AB114" s="139"/>
      <c r="AC114" s="139"/>
    </row>
    <row r="115" spans="2:60">
      <c r="I115" s="139"/>
      <c r="J115" s="139"/>
      <c r="K115" s="139"/>
      <c r="L115" s="139"/>
      <c r="M115" s="139"/>
      <c r="N115" s="139"/>
      <c r="O115" s="139"/>
      <c r="P115" s="139"/>
      <c r="Q115" s="139"/>
      <c r="R115" s="139"/>
      <c r="S115" s="139"/>
      <c r="T115" s="139"/>
      <c r="U115" s="139"/>
      <c r="V115" s="139"/>
      <c r="W115" s="139"/>
      <c r="X115" s="139"/>
      <c r="Y115" s="139"/>
      <c r="Z115" s="139"/>
      <c r="AA115" s="139"/>
      <c r="AB115" s="139"/>
      <c r="AC115" s="139"/>
    </row>
    <row r="116" spans="2:60" ht="15">
      <c r="C116" s="383" t="s">
        <v>1781</v>
      </c>
      <c r="D116" s="385"/>
      <c r="E116" s="385"/>
      <c r="F116" s="386"/>
      <c r="G116" s="386"/>
      <c r="AF116" s="26"/>
      <c r="AG116" s="383" t="s">
        <v>1781</v>
      </c>
    </row>
    <row r="117" spans="2:60" ht="28.5">
      <c r="C117" s="387" t="s">
        <v>1818</v>
      </c>
      <c r="D117" s="389" t="s">
        <v>1819</v>
      </c>
      <c r="E117" s="389" t="s">
        <v>1531</v>
      </c>
      <c r="F117" s="389" t="s">
        <v>21</v>
      </c>
      <c r="G117" s="390" t="s">
        <v>1596</v>
      </c>
      <c r="H117" s="391">
        <v>2028</v>
      </c>
      <c r="I117" s="391">
        <v>2029</v>
      </c>
      <c r="J117" s="391">
        <v>2030</v>
      </c>
      <c r="K117" s="391">
        <v>2031</v>
      </c>
      <c r="L117" s="391">
        <v>2032</v>
      </c>
      <c r="M117" s="391">
        <v>2033</v>
      </c>
      <c r="N117" s="391">
        <v>2034</v>
      </c>
      <c r="O117" s="391">
        <v>2035</v>
      </c>
      <c r="P117" s="392">
        <v>2036</v>
      </c>
      <c r="Q117" s="392">
        <v>2037</v>
      </c>
      <c r="R117" s="391">
        <v>2038</v>
      </c>
      <c r="S117" s="391">
        <v>2039</v>
      </c>
      <c r="T117" s="391">
        <v>2040</v>
      </c>
      <c r="U117" s="391">
        <v>2041</v>
      </c>
      <c r="V117" s="391">
        <v>2042</v>
      </c>
      <c r="W117" s="391">
        <v>2043</v>
      </c>
      <c r="X117" s="391">
        <v>2044</v>
      </c>
      <c r="Y117" s="391">
        <v>2045</v>
      </c>
      <c r="Z117" s="391">
        <v>2046</v>
      </c>
      <c r="AA117" s="391">
        <v>2047</v>
      </c>
      <c r="AB117" s="391">
        <v>2048</v>
      </c>
      <c r="AC117" s="391">
        <v>2049</v>
      </c>
      <c r="AD117" s="391">
        <v>2050</v>
      </c>
      <c r="AF117" s="26"/>
      <c r="AG117" s="387" t="s">
        <v>1818</v>
      </c>
      <c r="AH117" s="389" t="s">
        <v>1819</v>
      </c>
      <c r="AI117" s="389" t="s">
        <v>1531</v>
      </c>
      <c r="AJ117" s="389" t="s">
        <v>21</v>
      </c>
      <c r="AK117" s="390" t="s">
        <v>1596</v>
      </c>
      <c r="AL117" s="391">
        <v>2028</v>
      </c>
      <c r="AM117" s="391">
        <v>2029</v>
      </c>
      <c r="AN117" s="391">
        <v>2030</v>
      </c>
      <c r="AO117" s="391">
        <v>2031</v>
      </c>
      <c r="AP117" s="391">
        <v>2032</v>
      </c>
      <c r="AQ117" s="391">
        <v>2033</v>
      </c>
      <c r="AR117" s="391">
        <v>2034</v>
      </c>
      <c r="AS117" s="391">
        <v>2035</v>
      </c>
      <c r="AT117" s="392">
        <v>2036</v>
      </c>
      <c r="AU117" s="392">
        <v>2037</v>
      </c>
      <c r="AV117" s="391">
        <v>2038</v>
      </c>
      <c r="AW117" s="391">
        <v>2039</v>
      </c>
      <c r="AX117" s="391">
        <v>2040</v>
      </c>
      <c r="AY117" s="391">
        <v>2041</v>
      </c>
      <c r="AZ117" s="391">
        <v>2042</v>
      </c>
      <c r="BA117" s="391">
        <v>2043</v>
      </c>
      <c r="BB117" s="391">
        <v>2044</v>
      </c>
      <c r="BC117" s="391">
        <v>2045</v>
      </c>
      <c r="BD117" s="391">
        <v>2046</v>
      </c>
      <c r="BE117" s="391">
        <v>2047</v>
      </c>
      <c r="BF117" s="391">
        <v>2048</v>
      </c>
      <c r="BG117" s="391">
        <v>2049</v>
      </c>
      <c r="BH117" s="391">
        <v>2050</v>
      </c>
    </row>
    <row r="118" spans="2:60" ht="15">
      <c r="B118" s="415" t="s">
        <v>1884</v>
      </c>
      <c r="C118" s="337" t="s">
        <v>1928</v>
      </c>
      <c r="D118" s="385"/>
      <c r="E118" s="385" t="s">
        <v>1929</v>
      </c>
      <c r="F118" s="386" t="s">
        <v>1930</v>
      </c>
      <c r="G118" s="386" t="s">
        <v>545</v>
      </c>
      <c r="H118" s="398">
        <f>Data!E15*H44</f>
        <v>0</v>
      </c>
      <c r="I118" s="398">
        <f>Data!F15*I44</f>
        <v>0</v>
      </c>
      <c r="J118" s="398">
        <f>Data!G15*J44</f>
        <v>0</v>
      </c>
      <c r="K118" s="398">
        <f>Data!H15*K44</f>
        <v>0</v>
      </c>
      <c r="L118" s="398">
        <f>Data!I15*L44</f>
        <v>0</v>
      </c>
      <c r="M118" s="398">
        <f>Data!J15*M44</f>
        <v>0</v>
      </c>
      <c r="N118" s="398">
        <f>Data!K15*N44</f>
        <v>0</v>
      </c>
      <c r="O118" s="398">
        <f>Data!L15*O44</f>
        <v>0</v>
      </c>
      <c r="P118" s="398">
        <f>Data!M15*P44</f>
        <v>0</v>
      </c>
      <c r="Q118" s="398">
        <f>Data!N15*Q44</f>
        <v>0</v>
      </c>
      <c r="R118" s="398">
        <f>Data!O15*R44</f>
        <v>0</v>
      </c>
      <c r="S118" s="398">
        <f>Data!P15*S44</f>
        <v>0</v>
      </c>
      <c r="T118" s="398">
        <f>Data!Q15*T44</f>
        <v>0</v>
      </c>
      <c r="U118" s="398">
        <f>Data!R15*U44</f>
        <v>0</v>
      </c>
      <c r="V118" s="398">
        <f>Data!S15*V44</f>
        <v>0</v>
      </c>
      <c r="W118" s="398">
        <f>Data!T15*W44</f>
        <v>0</v>
      </c>
      <c r="X118" s="398">
        <f>Data!U15*X44</f>
        <v>0</v>
      </c>
      <c r="Y118" s="398">
        <f>Data!V15*Y44</f>
        <v>0</v>
      </c>
      <c r="Z118" s="398">
        <f>Data!W15*Z44</f>
        <v>0</v>
      </c>
      <c r="AA118" s="398">
        <f>Data!X15*AA44</f>
        <v>0</v>
      </c>
      <c r="AB118" s="398">
        <f>Data!Y15*AB44</f>
        <v>0</v>
      </c>
      <c r="AC118" s="398">
        <f>Data!Z15*AC44</f>
        <v>0</v>
      </c>
      <c r="AD118" s="398">
        <f>Data!AA15*AD44</f>
        <v>0</v>
      </c>
      <c r="AF118" s="415" t="s">
        <v>1884</v>
      </c>
      <c r="AG118" s="337" t="s">
        <v>1928</v>
      </c>
      <c r="AH118" s="385"/>
      <c r="AI118" s="385" t="s">
        <v>1929</v>
      </c>
      <c r="AJ118" s="386" t="s">
        <v>1930</v>
      </c>
      <c r="AK118" s="386" t="s">
        <v>545</v>
      </c>
      <c r="AL118" s="398">
        <f>Data!E15*AL44</f>
        <v>0</v>
      </c>
      <c r="AM118" s="398">
        <f>Data!F15*AM44</f>
        <v>0</v>
      </c>
      <c r="AN118" s="398">
        <f>Data!G15*AN44</f>
        <v>0</v>
      </c>
      <c r="AO118" s="398">
        <f>Data!H15*AO44</f>
        <v>0</v>
      </c>
      <c r="AP118" s="398">
        <f>Data!I15*AP44</f>
        <v>0</v>
      </c>
      <c r="AQ118" s="398">
        <f>Data!J15*AQ44</f>
        <v>0</v>
      </c>
      <c r="AR118" s="398">
        <f>Data!K15*AR44</f>
        <v>0</v>
      </c>
      <c r="AS118" s="398">
        <f>Data!L15*AS44</f>
        <v>0</v>
      </c>
      <c r="AT118" s="398">
        <f>Data!M15*AT44</f>
        <v>0</v>
      </c>
      <c r="AU118" s="398">
        <f>Data!N15*AU44</f>
        <v>0</v>
      </c>
      <c r="AV118" s="398">
        <f>Data!O15*AV44</f>
        <v>0</v>
      </c>
      <c r="AW118" s="398">
        <f>Data!P15*AW44</f>
        <v>0</v>
      </c>
      <c r="AX118" s="398">
        <f>Data!Q15*AX44</f>
        <v>0</v>
      </c>
      <c r="AY118" s="398">
        <f>Data!R15*AY44</f>
        <v>0</v>
      </c>
      <c r="AZ118" s="398">
        <f>Data!S15*AZ44</f>
        <v>0</v>
      </c>
      <c r="BA118" s="398">
        <f>Data!T15*BA44</f>
        <v>0</v>
      </c>
      <c r="BB118" s="398">
        <f>Data!U15*BB44</f>
        <v>0</v>
      </c>
      <c r="BC118" s="398">
        <f>Data!V15*BC44</f>
        <v>0</v>
      </c>
      <c r="BD118" s="398">
        <f>Data!W15*BD44</f>
        <v>0</v>
      </c>
      <c r="BE118" s="398">
        <f>Data!X15*BE44</f>
        <v>0</v>
      </c>
      <c r="BF118" s="398">
        <f>Data!Y15*BF44</f>
        <v>0</v>
      </c>
      <c r="BG118" s="398">
        <f>Data!Z15*BG44</f>
        <v>0</v>
      </c>
      <c r="BH118" s="398">
        <f>Data!AA15*BH44</f>
        <v>0</v>
      </c>
    </row>
    <row r="119" spans="2:60" ht="15">
      <c r="B119" s="415" t="s">
        <v>1894</v>
      </c>
      <c r="C119" s="337" t="s">
        <v>1931</v>
      </c>
      <c r="D119" s="385"/>
      <c r="E119" s="385" t="s">
        <v>1932</v>
      </c>
      <c r="F119" s="386" t="s">
        <v>1933</v>
      </c>
      <c r="G119" s="386" t="s">
        <v>1838</v>
      </c>
      <c r="H119" s="398">
        <f>Data!E16*H45</f>
        <v>0</v>
      </c>
      <c r="I119" s="398">
        <f>Data!F16*I45</f>
        <v>0</v>
      </c>
      <c r="J119" s="398">
        <f>Data!G16*J45</f>
        <v>0</v>
      </c>
      <c r="K119" s="398">
        <f>Data!H16*K45</f>
        <v>0</v>
      </c>
      <c r="L119" s="398">
        <f>Data!I16*L45</f>
        <v>0</v>
      </c>
      <c r="M119" s="398">
        <f>Data!J16*M45</f>
        <v>0</v>
      </c>
      <c r="N119" s="398">
        <f>Data!K16*N45</f>
        <v>0</v>
      </c>
      <c r="O119" s="398">
        <f>Data!L16*O45</f>
        <v>0</v>
      </c>
      <c r="P119" s="398">
        <f>Data!M16*P45</f>
        <v>0</v>
      </c>
      <c r="Q119" s="398">
        <f>Data!N16*Q45</f>
        <v>0</v>
      </c>
      <c r="R119" s="398">
        <f>Data!O16*R45</f>
        <v>0</v>
      </c>
      <c r="S119" s="398">
        <f>Data!P16*S45</f>
        <v>0</v>
      </c>
      <c r="T119" s="398">
        <f>Data!Q16*T45</f>
        <v>0</v>
      </c>
      <c r="U119" s="398">
        <f>Data!R16*U45</f>
        <v>0</v>
      </c>
      <c r="V119" s="398">
        <f>Data!S16*V45</f>
        <v>0</v>
      </c>
      <c r="W119" s="398">
        <f>Data!T16*W45</f>
        <v>0</v>
      </c>
      <c r="X119" s="398">
        <f>Data!U16*X45</f>
        <v>0</v>
      </c>
      <c r="Y119" s="398">
        <f>Data!V16*Y45</f>
        <v>0</v>
      </c>
      <c r="Z119" s="398">
        <f>Data!W16*Z45</f>
        <v>0</v>
      </c>
      <c r="AA119" s="398">
        <f>Data!X16*AA45</f>
        <v>7.5053399999997872</v>
      </c>
      <c r="AB119" s="398">
        <f>Data!Y16*AB45</f>
        <v>11.256</v>
      </c>
      <c r="AC119" s="398">
        <f>Data!Z16*AC45</f>
        <v>11.256</v>
      </c>
      <c r="AD119" s="398">
        <f>Data!AA16*AD45</f>
        <v>11.256</v>
      </c>
      <c r="AF119" s="415" t="s">
        <v>1894</v>
      </c>
      <c r="AG119" s="337" t="s">
        <v>1931</v>
      </c>
      <c r="AH119" s="385"/>
      <c r="AI119" s="385" t="s">
        <v>1932</v>
      </c>
      <c r="AJ119" s="386" t="s">
        <v>1933</v>
      </c>
      <c r="AK119" s="386" t="s">
        <v>1838</v>
      </c>
      <c r="AL119" s="398">
        <f>Data!E16*AL45</f>
        <v>0</v>
      </c>
      <c r="AM119" s="398">
        <f>Data!F16*AM45</f>
        <v>0</v>
      </c>
      <c r="AN119" s="398">
        <f>Data!G16*AN45</f>
        <v>0</v>
      </c>
      <c r="AO119" s="398">
        <f>Data!H16*AO45</f>
        <v>0</v>
      </c>
      <c r="AP119" s="398">
        <f>Data!I16*AP45</f>
        <v>0</v>
      </c>
      <c r="AQ119" s="398">
        <f>Data!J16*AQ45</f>
        <v>0</v>
      </c>
      <c r="AR119" s="398">
        <f>Data!K16*AR45</f>
        <v>0</v>
      </c>
      <c r="AS119" s="398">
        <f>Data!L16*AS45</f>
        <v>0</v>
      </c>
      <c r="AT119" s="398">
        <f>Data!M16*AT45</f>
        <v>0</v>
      </c>
      <c r="AU119" s="398">
        <f>Data!N16*AU45</f>
        <v>0</v>
      </c>
      <c r="AV119" s="398">
        <f>Data!O16*AV45</f>
        <v>0</v>
      </c>
      <c r="AW119" s="398">
        <f>Data!P16*AW45</f>
        <v>0</v>
      </c>
      <c r="AX119" s="398">
        <f>Data!Q16*AX45</f>
        <v>0</v>
      </c>
      <c r="AY119" s="398">
        <f>Data!R16*AY45</f>
        <v>0</v>
      </c>
      <c r="AZ119" s="398">
        <f>Data!S16*AZ45</f>
        <v>0</v>
      </c>
      <c r="BA119" s="398">
        <f>Data!T16*BA45</f>
        <v>0</v>
      </c>
      <c r="BB119" s="398">
        <f>Data!U16*BB45</f>
        <v>0</v>
      </c>
      <c r="BC119" s="398">
        <f>Data!V16*BC45</f>
        <v>0</v>
      </c>
      <c r="BD119" s="398">
        <f>Data!W16*BD45</f>
        <v>0</v>
      </c>
      <c r="BE119" s="398">
        <f>Data!X16*BE45</f>
        <v>7.5053399999997872</v>
      </c>
      <c r="BF119" s="398">
        <f>Data!Y16*BF45</f>
        <v>11.256</v>
      </c>
      <c r="BG119" s="398">
        <f>Data!Z16*BG45</f>
        <v>11.256</v>
      </c>
      <c r="BH119" s="398">
        <f>Data!AA16*BH45</f>
        <v>11.256</v>
      </c>
    </row>
    <row r="120" spans="2:60" ht="15">
      <c r="B120" s="415" t="s">
        <v>544</v>
      </c>
      <c r="C120" s="337" t="s">
        <v>1712</v>
      </c>
      <c r="D120" s="385"/>
      <c r="E120" s="385" t="s">
        <v>1910</v>
      </c>
      <c r="F120" s="386" t="s">
        <v>1713</v>
      </c>
      <c r="G120" s="386" t="s">
        <v>1693</v>
      </c>
      <c r="H120" s="398">
        <f t="shared" ref="H120:AD120" ca="1" si="70">H46*H55</f>
        <v>-1140.1853639999999</v>
      </c>
      <c r="I120" s="398">
        <f t="shared" ca="1" si="70"/>
        <v>-1111.6803479999999</v>
      </c>
      <c r="J120" s="398">
        <f t="shared" ca="1" si="70"/>
        <v>-1083.1753320000003</v>
      </c>
      <c r="K120" s="398">
        <f t="shared" ca="1" si="70"/>
        <v>-1020.4642968000001</v>
      </c>
      <c r="L120" s="398">
        <f t="shared" ca="1" si="70"/>
        <v>-957.75326160000009</v>
      </c>
      <c r="M120" s="398">
        <f t="shared" ca="1" si="70"/>
        <v>-895.04222640000012</v>
      </c>
      <c r="N120" s="398">
        <f t="shared" ca="1" si="70"/>
        <v>-832.33119119999981</v>
      </c>
      <c r="O120" s="398">
        <f t="shared" ca="1" si="70"/>
        <v>-769.62015599998392</v>
      </c>
      <c r="P120" s="398">
        <f t="shared" ca="1" si="70"/>
        <v>-669.85259999999346</v>
      </c>
      <c r="Q120" s="398">
        <f t="shared" ca="1" si="70"/>
        <v>-570.08504400000334</v>
      </c>
      <c r="R120" s="398">
        <f t="shared" ca="1" si="70"/>
        <v>-470.3174879999724</v>
      </c>
      <c r="S120" s="398">
        <f t="shared" ca="1" si="70"/>
        <v>-370.54993199998216</v>
      </c>
      <c r="T120" s="398">
        <f t="shared" ca="1" si="70"/>
        <v>-270.78237599999181</v>
      </c>
      <c r="U120" s="398">
        <f t="shared" ca="1" si="70"/>
        <v>-228.02485200000038</v>
      </c>
      <c r="V120" s="398">
        <f t="shared" ca="1" si="70"/>
        <v>-185.26732799999874</v>
      </c>
      <c r="W120" s="398">
        <f t="shared" ca="1" si="70"/>
        <v>-142.50980399999713</v>
      </c>
      <c r="X120" s="398">
        <f t="shared" ca="1" si="70"/>
        <v>-99.752279999995537</v>
      </c>
      <c r="Y120" s="398">
        <f t="shared" ca="1" si="70"/>
        <v>-56.994756000004045</v>
      </c>
      <c r="Z120" s="398">
        <f t="shared" ca="1" si="70"/>
        <v>-14.237232000002427</v>
      </c>
      <c r="AA120" s="398">
        <f t="shared" ca="1" si="70"/>
        <v>0</v>
      </c>
      <c r="AB120" s="398">
        <f t="shared" ca="1" si="70"/>
        <v>0</v>
      </c>
      <c r="AC120" s="398">
        <f t="shared" ca="1" si="70"/>
        <v>0</v>
      </c>
      <c r="AD120" s="398">
        <f t="shared" ca="1" si="70"/>
        <v>0</v>
      </c>
      <c r="AF120" s="415" t="s">
        <v>544</v>
      </c>
      <c r="AG120" s="337" t="s">
        <v>1712</v>
      </c>
      <c r="AH120" s="385"/>
      <c r="AI120" s="385" t="s">
        <v>1910</v>
      </c>
      <c r="AJ120" s="386" t="s">
        <v>1713</v>
      </c>
      <c r="AK120" s="386" t="s">
        <v>1693</v>
      </c>
      <c r="AL120" s="398">
        <f t="shared" ref="AL120:BH120" ca="1" si="71">AL46*AL55</f>
        <v>-1140.1853639999999</v>
      </c>
      <c r="AM120" s="398">
        <f t="shared" ca="1" si="71"/>
        <v>-1111.6803479999999</v>
      </c>
      <c r="AN120" s="398">
        <f t="shared" ca="1" si="71"/>
        <v>-1083.1753320000003</v>
      </c>
      <c r="AO120" s="398">
        <f t="shared" ca="1" si="71"/>
        <v>-1020.4642968000001</v>
      </c>
      <c r="AP120" s="398">
        <f t="shared" ca="1" si="71"/>
        <v>-957.75326160000009</v>
      </c>
      <c r="AQ120" s="398">
        <f t="shared" ca="1" si="71"/>
        <v>-895.04222640000012</v>
      </c>
      <c r="AR120" s="398">
        <f t="shared" ca="1" si="71"/>
        <v>-832.33119119999981</v>
      </c>
      <c r="AS120" s="398">
        <f t="shared" ca="1" si="71"/>
        <v>-769.62015599998392</v>
      </c>
      <c r="AT120" s="398">
        <f t="shared" ca="1" si="71"/>
        <v>-669.85259999999346</v>
      </c>
      <c r="AU120" s="398">
        <f t="shared" ca="1" si="71"/>
        <v>-570.08504400000334</v>
      </c>
      <c r="AV120" s="398">
        <f t="shared" ca="1" si="71"/>
        <v>-470.3174879999724</v>
      </c>
      <c r="AW120" s="398">
        <f t="shared" ca="1" si="71"/>
        <v>-370.54993199998216</v>
      </c>
      <c r="AX120" s="398">
        <f t="shared" ca="1" si="71"/>
        <v>-270.78237599999181</v>
      </c>
      <c r="AY120" s="398">
        <f t="shared" ca="1" si="71"/>
        <v>-228.02485200000038</v>
      </c>
      <c r="AZ120" s="398">
        <f t="shared" ca="1" si="71"/>
        <v>-185.26732799999874</v>
      </c>
      <c r="BA120" s="398">
        <f t="shared" ca="1" si="71"/>
        <v>-142.50980399999713</v>
      </c>
      <c r="BB120" s="398">
        <f t="shared" ca="1" si="71"/>
        <v>-99.752279999995537</v>
      </c>
      <c r="BC120" s="398">
        <f t="shared" ca="1" si="71"/>
        <v>-56.994756000004045</v>
      </c>
      <c r="BD120" s="398">
        <f t="shared" ca="1" si="71"/>
        <v>-14.237232000002427</v>
      </c>
      <c r="BE120" s="398">
        <f t="shared" ca="1" si="71"/>
        <v>0</v>
      </c>
      <c r="BF120" s="398">
        <f t="shared" ca="1" si="71"/>
        <v>0</v>
      </c>
      <c r="BG120" s="398">
        <f t="shared" ca="1" si="71"/>
        <v>0</v>
      </c>
      <c r="BH120" s="398">
        <f t="shared" ca="1" si="71"/>
        <v>0</v>
      </c>
    </row>
    <row r="121" spans="2:60" ht="15">
      <c r="B121" s="60" t="s">
        <v>1921</v>
      </c>
      <c r="C121" s="337" t="s">
        <v>1922</v>
      </c>
      <c r="D121" s="385"/>
      <c r="E121" s="385"/>
      <c r="F121" s="386" t="s">
        <v>1923</v>
      </c>
      <c r="G121" s="386" t="s">
        <v>1696</v>
      </c>
      <c r="H121" s="398">
        <f>(H42-Data!$D$5)*Data!$E$6</f>
        <v>-3.6381000000000001</v>
      </c>
      <c r="I121" s="398">
        <f>(I42-Data!$D$5)*Data!$E$6</f>
        <v>-3.6381000000000001</v>
      </c>
      <c r="J121" s="398">
        <f>(J42-Data!$D$5)*Data!$E$6</f>
        <v>-3.6381000000000001</v>
      </c>
      <c r="K121" s="398">
        <f>(K42-Data!$D$5)*Data!$E$6</f>
        <v>-3.6381000000000001</v>
      </c>
      <c r="L121" s="398">
        <f>(L42-Data!$D$5)*Data!$E$6</f>
        <v>-3.6381000000000001</v>
      </c>
      <c r="M121" s="398">
        <f>(M42-Data!$D$5)*Data!$E$6</f>
        <v>-3.6381000000000001</v>
      </c>
      <c r="N121" s="398">
        <f>(N42-Data!$D$5)*Data!$E$6</f>
        <v>-3.6381000000000001</v>
      </c>
      <c r="O121" s="398">
        <f>(O42-Data!$D$5)*Data!$E$6</f>
        <v>-3.6381000000000001</v>
      </c>
      <c r="P121" s="398">
        <f>(P42-Data!$D$5)*Data!$E$6</f>
        <v>-3.6381000000000001</v>
      </c>
      <c r="Q121" s="398">
        <f>(Q42-Data!$D$5)*Data!$E$6</f>
        <v>-3.6381000000000001</v>
      </c>
      <c r="R121" s="398">
        <f>(R42-Data!$D$5)*Data!$E$6</f>
        <v>-3.6381000000000001</v>
      </c>
      <c r="S121" s="398">
        <f>(S42-Data!$D$5)*Data!$E$6</f>
        <v>-3.6381000000000001</v>
      </c>
      <c r="T121" s="398">
        <f>(T42-Data!$D$5)*Data!$E$6</f>
        <v>-3.6381000000000001</v>
      </c>
      <c r="U121" s="398">
        <f>(U42-Data!$D$5)*Data!$E$6</f>
        <v>-3.6381000000000001</v>
      </c>
      <c r="V121" s="398">
        <f>(V42-Data!$D$5)*Data!$E$6</f>
        <v>-3.6381000000000001</v>
      </c>
      <c r="W121" s="398">
        <f>(W42-Data!$D$5)*Data!$E$6</f>
        <v>-3.6381000000000001</v>
      </c>
      <c r="X121" s="398">
        <f>(X42-Data!$D$5)*Data!$E$6</f>
        <v>-3.6381000000000001</v>
      </c>
      <c r="Y121" s="398">
        <f>(Y42-Data!$D$5)*Data!$E$6</f>
        <v>-3.6381000000000001</v>
      </c>
      <c r="Z121" s="398">
        <f>(Z42-Data!$D$5)*Data!$E$6</f>
        <v>-3.6381000000000001</v>
      </c>
      <c r="AA121" s="398">
        <f>(AA42-Data!$D$5)*Data!$E$6</f>
        <v>-3.6381000000000001</v>
      </c>
      <c r="AB121" s="398">
        <f>(AB42-Data!$D$5)*Data!$E$6</f>
        <v>-3.6381000000000001</v>
      </c>
      <c r="AC121" s="398">
        <f>(AC42-Data!$D$5)*Data!$E$6</f>
        <v>-3.6381000000000001</v>
      </c>
      <c r="AD121" s="398">
        <f>(AD42-Data!$D$5)*Data!$E$6</f>
        <v>-3.6381000000000001</v>
      </c>
      <c r="AF121" s="60" t="s">
        <v>1921</v>
      </c>
      <c r="AG121" s="337" t="s">
        <v>1922</v>
      </c>
      <c r="AH121" s="385"/>
      <c r="AI121" s="385"/>
      <c r="AJ121" s="386" t="s">
        <v>1923</v>
      </c>
      <c r="AK121" s="386" t="s">
        <v>1696</v>
      </c>
      <c r="AL121" s="398">
        <f>(AL42-Data!$D$5)*Data!$E$6</f>
        <v>-3.6381000000000001</v>
      </c>
      <c r="AM121" s="398">
        <f>(AM42-Data!$D$5)*Data!$E$6</f>
        <v>-3.6381000000000001</v>
      </c>
      <c r="AN121" s="398">
        <f>(AN42-Data!$D$5)*Data!$E$6</f>
        <v>-3.6381000000000001</v>
      </c>
      <c r="AO121" s="398">
        <f>(AO42-Data!$D$5)*Data!$E$6</f>
        <v>-3.6381000000000001</v>
      </c>
      <c r="AP121" s="398">
        <f>(AP42-Data!$D$5)*Data!$E$6</f>
        <v>-3.6381000000000001</v>
      </c>
      <c r="AQ121" s="398">
        <f>(AQ42-Data!$D$5)*Data!$E$6</f>
        <v>-3.6381000000000001</v>
      </c>
      <c r="AR121" s="398">
        <f>(AR42-Data!$D$5)*Data!$E$6</f>
        <v>-3.6381000000000001</v>
      </c>
      <c r="AS121" s="398">
        <f>(AS42-Data!$D$5)*Data!$E$6</f>
        <v>-3.6381000000000001</v>
      </c>
      <c r="AT121" s="398">
        <f>(AT42-Data!$D$5)*Data!$E$6</f>
        <v>-3.6381000000000001</v>
      </c>
      <c r="AU121" s="398">
        <f>(AU42-Data!$D$5)*Data!$E$6</f>
        <v>-3.6381000000000001</v>
      </c>
      <c r="AV121" s="398">
        <f>(AV42-Data!$D$5)*Data!$E$6</f>
        <v>-3.6381000000000001</v>
      </c>
      <c r="AW121" s="398">
        <f>(AW42-Data!$D$5)*Data!$E$6</f>
        <v>-3.6381000000000001</v>
      </c>
      <c r="AX121" s="398">
        <f>(AX42-Data!$D$5)*Data!$E$6</f>
        <v>-3.6381000000000001</v>
      </c>
      <c r="AY121" s="398">
        <f>(AY42-Data!$D$5)*Data!$E$6</f>
        <v>-3.6381000000000001</v>
      </c>
      <c r="AZ121" s="398">
        <f>(AZ42-Data!$D$5)*Data!$E$6</f>
        <v>-3.6381000000000001</v>
      </c>
      <c r="BA121" s="398">
        <f>(BA42-Data!$D$5)*Data!$E$6</f>
        <v>-3.6381000000000001</v>
      </c>
      <c r="BB121" s="398">
        <f>(BB42-Data!$D$5)*Data!$E$6</f>
        <v>-3.6381000000000001</v>
      </c>
      <c r="BC121" s="398">
        <f>(BC42-Data!$D$5)*Data!$E$6</f>
        <v>-3.6381000000000001</v>
      </c>
      <c r="BD121" s="398">
        <f>(BD42-Data!$D$5)*Data!$E$6</f>
        <v>-3.6381000000000001</v>
      </c>
      <c r="BE121" s="398">
        <f>(BE42-Data!$D$5)*Data!$E$6</f>
        <v>-3.6381000000000001</v>
      </c>
      <c r="BF121" s="398">
        <f>(BF42-Data!$D$5)*Data!$E$6</f>
        <v>-3.6381000000000001</v>
      </c>
      <c r="BG121" s="398">
        <f>(BG42-Data!$D$5)*Data!$E$6</f>
        <v>-3.6381000000000001</v>
      </c>
      <c r="BH121" s="398">
        <f>(BH42-Data!$D$5)*Data!$E$6</f>
        <v>-3.6381000000000001</v>
      </c>
    </row>
    <row r="122" spans="2:60">
      <c r="C122" s="337" t="s">
        <v>1924</v>
      </c>
      <c r="D122" s="385"/>
      <c r="E122" s="385" t="s">
        <v>1925</v>
      </c>
      <c r="F122" s="386" t="s">
        <v>1926</v>
      </c>
      <c r="G122" s="386" t="s">
        <v>545</v>
      </c>
      <c r="H122" s="398">
        <f>H121*H$14</f>
        <v>0</v>
      </c>
      <c r="I122" s="398">
        <f t="shared" ref="I122:AD122" si="72">I121*I$14</f>
        <v>0</v>
      </c>
      <c r="J122" s="398">
        <f t="shared" si="72"/>
        <v>0</v>
      </c>
      <c r="K122" s="398">
        <f t="shared" si="72"/>
        <v>0</v>
      </c>
      <c r="L122" s="398">
        <f t="shared" si="72"/>
        <v>0</v>
      </c>
      <c r="M122" s="398">
        <f t="shared" si="72"/>
        <v>0</v>
      </c>
      <c r="N122" s="398">
        <f t="shared" si="72"/>
        <v>0</v>
      </c>
      <c r="O122" s="398">
        <f t="shared" si="72"/>
        <v>0</v>
      </c>
      <c r="P122" s="398">
        <f t="shared" si="72"/>
        <v>0</v>
      </c>
      <c r="Q122" s="398">
        <f t="shared" si="72"/>
        <v>0</v>
      </c>
      <c r="R122" s="398">
        <f t="shared" si="72"/>
        <v>0</v>
      </c>
      <c r="S122" s="398">
        <f t="shared" si="72"/>
        <v>0</v>
      </c>
      <c r="T122" s="398">
        <f t="shared" si="72"/>
        <v>0</v>
      </c>
      <c r="U122" s="398">
        <f t="shared" si="72"/>
        <v>0</v>
      </c>
      <c r="V122" s="398">
        <f t="shared" si="72"/>
        <v>0</v>
      </c>
      <c r="W122" s="398">
        <f t="shared" si="72"/>
        <v>0</v>
      </c>
      <c r="X122" s="398">
        <f t="shared" si="72"/>
        <v>0</v>
      </c>
      <c r="Y122" s="398">
        <f t="shared" si="72"/>
        <v>0</v>
      </c>
      <c r="Z122" s="398">
        <f t="shared" si="72"/>
        <v>0</v>
      </c>
      <c r="AA122" s="398">
        <f t="shared" si="72"/>
        <v>0</v>
      </c>
      <c r="AB122" s="398">
        <f t="shared" si="72"/>
        <v>0</v>
      </c>
      <c r="AC122" s="398">
        <f t="shared" si="72"/>
        <v>0</v>
      </c>
      <c r="AD122" s="398">
        <f t="shared" si="72"/>
        <v>0</v>
      </c>
      <c r="AF122" s="26"/>
      <c r="AG122" s="337" t="s">
        <v>1924</v>
      </c>
      <c r="AH122" s="385"/>
      <c r="AI122" s="385" t="s">
        <v>1925</v>
      </c>
      <c r="AJ122" s="386" t="s">
        <v>1926</v>
      </c>
      <c r="AK122" s="386" t="s">
        <v>545</v>
      </c>
      <c r="AL122" s="398">
        <f t="shared" ref="AL122:BH122" si="73">AL121*AL$14</f>
        <v>0</v>
      </c>
      <c r="AM122" s="398">
        <f t="shared" si="73"/>
        <v>0</v>
      </c>
      <c r="AN122" s="398">
        <f t="shared" si="73"/>
        <v>0</v>
      </c>
      <c r="AO122" s="398">
        <f t="shared" si="73"/>
        <v>0</v>
      </c>
      <c r="AP122" s="398">
        <f t="shared" si="73"/>
        <v>0</v>
      </c>
      <c r="AQ122" s="398">
        <f t="shared" si="73"/>
        <v>0</v>
      </c>
      <c r="AR122" s="398">
        <f t="shared" si="73"/>
        <v>0</v>
      </c>
      <c r="AS122" s="398">
        <f t="shared" si="73"/>
        <v>0</v>
      </c>
      <c r="AT122" s="398">
        <f t="shared" si="73"/>
        <v>0</v>
      </c>
      <c r="AU122" s="398">
        <f t="shared" si="73"/>
        <v>0</v>
      </c>
      <c r="AV122" s="398">
        <f t="shared" si="73"/>
        <v>0</v>
      </c>
      <c r="AW122" s="398">
        <f t="shared" si="73"/>
        <v>0</v>
      </c>
      <c r="AX122" s="398">
        <f t="shared" si="73"/>
        <v>0</v>
      </c>
      <c r="AY122" s="398">
        <f t="shared" si="73"/>
        <v>0</v>
      </c>
      <c r="AZ122" s="398">
        <f t="shared" si="73"/>
        <v>0</v>
      </c>
      <c r="BA122" s="398">
        <f t="shared" si="73"/>
        <v>0</v>
      </c>
      <c r="BB122" s="398">
        <f t="shared" si="73"/>
        <v>0</v>
      </c>
      <c r="BC122" s="398">
        <f t="shared" si="73"/>
        <v>0</v>
      </c>
      <c r="BD122" s="398">
        <f t="shared" si="73"/>
        <v>0</v>
      </c>
      <c r="BE122" s="398">
        <f t="shared" si="73"/>
        <v>0</v>
      </c>
      <c r="BF122" s="398">
        <f t="shared" si="73"/>
        <v>0</v>
      </c>
      <c r="BG122" s="398">
        <f t="shared" si="73"/>
        <v>0</v>
      </c>
      <c r="BH122" s="398">
        <f t="shared" si="73"/>
        <v>0</v>
      </c>
    </row>
    <row r="123" spans="2:60" ht="15">
      <c r="B123" s="60" t="s">
        <v>1898</v>
      </c>
      <c r="C123" s="383" t="s">
        <v>1786</v>
      </c>
      <c r="D123" s="416"/>
      <c r="E123" s="385" t="s">
        <v>1899</v>
      </c>
      <c r="F123" s="386"/>
      <c r="G123" s="417" t="s">
        <v>545</v>
      </c>
      <c r="H123" s="433">
        <f ca="1">H47*Data!$E$6*1000</f>
        <v>0</v>
      </c>
      <c r="I123" s="433">
        <f ca="1">I47*Data!$E$6*1000</f>
        <v>0</v>
      </c>
      <c r="J123" s="433">
        <f ca="1">J47*Data!$E$6*1000</f>
        <v>0</v>
      </c>
      <c r="K123" s="433">
        <f ca="1">K47*Data!$E$6*1000</f>
        <v>0</v>
      </c>
      <c r="L123" s="433">
        <f ca="1">L47*Data!$E$6*1000</f>
        <v>0</v>
      </c>
      <c r="M123" s="433">
        <f ca="1">M47*Data!$E$6*1000</f>
        <v>0</v>
      </c>
      <c r="N123" s="433">
        <f ca="1">N47*Data!$E$6*1000</f>
        <v>0</v>
      </c>
      <c r="O123" s="433">
        <f ca="1">O47*Data!$E$6*1000</f>
        <v>0</v>
      </c>
      <c r="P123" s="433">
        <f ca="1">P47*Data!$E$6*1000</f>
        <v>0</v>
      </c>
      <c r="Q123" s="433">
        <f ca="1">Q47*Data!$E$6*1000</f>
        <v>0</v>
      </c>
      <c r="R123" s="433">
        <f ca="1">R47*Data!$E$6*1000</f>
        <v>0</v>
      </c>
      <c r="S123" s="433">
        <f ca="1">S47*Data!$E$6*1000</f>
        <v>0</v>
      </c>
      <c r="T123" s="433">
        <f ca="1">T47*Data!$E$6*1000</f>
        <v>0</v>
      </c>
      <c r="U123" s="433">
        <f ca="1">U47*Data!$E$6*1000</f>
        <v>0</v>
      </c>
      <c r="V123" s="433">
        <f ca="1">V47*Data!$E$6*1000</f>
        <v>0</v>
      </c>
      <c r="W123" s="433">
        <f ca="1">W47*Data!$E$6*1000</f>
        <v>0</v>
      </c>
      <c r="X123" s="433">
        <f ca="1">X47*Data!$E$6*1000</f>
        <v>0</v>
      </c>
      <c r="Y123" s="433">
        <f ca="1">Y47*Data!$E$6*1000</f>
        <v>0</v>
      </c>
      <c r="Z123" s="433">
        <f ca="1">Z47*Data!$E$6*1000</f>
        <v>0</v>
      </c>
      <c r="AA123" s="433">
        <f ca="1">AA47*Data!$E$6*1000</f>
        <v>0</v>
      </c>
      <c r="AB123" s="433">
        <f ca="1">AB47*Data!$E$6*1000</f>
        <v>0</v>
      </c>
      <c r="AC123" s="433">
        <f ca="1">AC47*Data!$E$6*1000</f>
        <v>0</v>
      </c>
      <c r="AD123" s="433">
        <f ca="1">AD47*Data!$E$6*1000</f>
        <v>0</v>
      </c>
      <c r="AF123" s="60" t="s">
        <v>1898</v>
      </c>
      <c r="AG123" s="383" t="s">
        <v>1786</v>
      </c>
      <c r="AH123" s="416"/>
      <c r="AI123" s="385" t="s">
        <v>1899</v>
      </c>
      <c r="AJ123" s="386"/>
      <c r="AK123" s="417" t="s">
        <v>545</v>
      </c>
      <c r="AL123" s="433">
        <f ca="1">AL47*Data!$E$6*1000</f>
        <v>0</v>
      </c>
      <c r="AM123" s="433">
        <f ca="1">AM47*Data!$E$6*1000</f>
        <v>0</v>
      </c>
      <c r="AN123" s="433">
        <f ca="1">AN47*Data!$E$6*1000</f>
        <v>0</v>
      </c>
      <c r="AO123" s="433">
        <f ca="1">AO47*Data!$E$6*1000</f>
        <v>0</v>
      </c>
      <c r="AP123" s="433">
        <f ca="1">AP47*Data!$E$6*1000</f>
        <v>0</v>
      </c>
      <c r="AQ123" s="433">
        <f ca="1">AQ47*Data!$E$6*1000</f>
        <v>0</v>
      </c>
      <c r="AR123" s="433">
        <f ca="1">AR47*Data!$E$6*1000</f>
        <v>0</v>
      </c>
      <c r="AS123" s="433">
        <f ca="1">AS47*Data!$E$6*1000</f>
        <v>0</v>
      </c>
      <c r="AT123" s="433">
        <f ca="1">AT47*Data!$E$6*1000</f>
        <v>0</v>
      </c>
      <c r="AU123" s="433">
        <f ca="1">AU47*Data!$E$6*1000</f>
        <v>0</v>
      </c>
      <c r="AV123" s="433">
        <f ca="1">AV47*Data!$E$6*1000</f>
        <v>0</v>
      </c>
      <c r="AW123" s="433">
        <f ca="1">AW47*Data!$E$6*1000</f>
        <v>0</v>
      </c>
      <c r="AX123" s="433">
        <f ca="1">AX47*Data!$E$6*1000</f>
        <v>0</v>
      </c>
      <c r="AY123" s="433">
        <f ca="1">AY47*Data!$E$6*1000</f>
        <v>0</v>
      </c>
      <c r="AZ123" s="433">
        <f ca="1">AZ47*Data!$E$6*1000</f>
        <v>0</v>
      </c>
      <c r="BA123" s="433">
        <f ca="1">BA47*Data!$E$6*1000</f>
        <v>0</v>
      </c>
      <c r="BB123" s="433">
        <f ca="1">BB47*Data!$E$6*1000</f>
        <v>0</v>
      </c>
      <c r="BC123" s="433">
        <f ca="1">BC47*Data!$E$6*1000</f>
        <v>0</v>
      </c>
      <c r="BD123" s="433">
        <f ca="1">BD47*Data!$E$6*1000</f>
        <v>0</v>
      </c>
      <c r="BE123" s="433">
        <f ca="1">BE47*Data!$E$6*1000</f>
        <v>0</v>
      </c>
      <c r="BF123" s="433">
        <f ca="1">BF47*Data!$E$6*1000</f>
        <v>0</v>
      </c>
      <c r="BG123" s="433">
        <f ca="1">BG47*Data!$E$6*1000</f>
        <v>0</v>
      </c>
      <c r="BH123" s="433">
        <f ca="1">BH47*Data!$E$6*1000</f>
        <v>0</v>
      </c>
    </row>
    <row r="124" spans="2:60" ht="15">
      <c r="C124" s="383" t="s">
        <v>1796</v>
      </c>
      <c r="D124" s="416"/>
      <c r="E124" s="385" t="s">
        <v>1934</v>
      </c>
      <c r="F124" s="386"/>
      <c r="G124" s="417" t="s">
        <v>545</v>
      </c>
      <c r="H124" s="433">
        <f>H118</f>
        <v>0</v>
      </c>
      <c r="I124" s="433">
        <f t="shared" ref="H124:AD126" si="74">I118</f>
        <v>0</v>
      </c>
      <c r="J124" s="433">
        <f t="shared" si="74"/>
        <v>0</v>
      </c>
      <c r="K124" s="433">
        <f t="shared" si="74"/>
        <v>0</v>
      </c>
      <c r="L124" s="433">
        <f t="shared" si="74"/>
        <v>0</v>
      </c>
      <c r="M124" s="433">
        <f t="shared" si="74"/>
        <v>0</v>
      </c>
      <c r="N124" s="433">
        <f t="shared" si="74"/>
        <v>0</v>
      </c>
      <c r="O124" s="433">
        <f t="shared" si="74"/>
        <v>0</v>
      </c>
      <c r="P124" s="433">
        <f t="shared" si="74"/>
        <v>0</v>
      </c>
      <c r="Q124" s="433">
        <f t="shared" si="74"/>
        <v>0</v>
      </c>
      <c r="R124" s="433">
        <f t="shared" si="74"/>
        <v>0</v>
      </c>
      <c r="S124" s="433">
        <f t="shared" si="74"/>
        <v>0</v>
      </c>
      <c r="T124" s="433">
        <f t="shared" si="74"/>
        <v>0</v>
      </c>
      <c r="U124" s="433">
        <f t="shared" si="74"/>
        <v>0</v>
      </c>
      <c r="V124" s="433">
        <f t="shared" si="74"/>
        <v>0</v>
      </c>
      <c r="W124" s="433">
        <f t="shared" si="74"/>
        <v>0</v>
      </c>
      <c r="X124" s="433">
        <f t="shared" si="74"/>
        <v>0</v>
      </c>
      <c r="Y124" s="433">
        <f t="shared" si="74"/>
        <v>0</v>
      </c>
      <c r="Z124" s="433">
        <f t="shared" si="74"/>
        <v>0</v>
      </c>
      <c r="AA124" s="433">
        <f t="shared" si="74"/>
        <v>0</v>
      </c>
      <c r="AB124" s="433">
        <f t="shared" si="74"/>
        <v>0</v>
      </c>
      <c r="AC124" s="433">
        <f t="shared" si="74"/>
        <v>0</v>
      </c>
      <c r="AD124" s="433">
        <f t="shared" si="74"/>
        <v>0</v>
      </c>
      <c r="AF124" s="26"/>
      <c r="AG124" s="383" t="s">
        <v>1796</v>
      </c>
      <c r="AH124" s="416"/>
      <c r="AI124" s="385" t="s">
        <v>1934</v>
      </c>
      <c r="AJ124" s="386"/>
      <c r="AK124" s="417" t="s">
        <v>545</v>
      </c>
      <c r="AL124" s="433">
        <f t="shared" ref="AL124" si="75">AL118</f>
        <v>0</v>
      </c>
      <c r="AM124" s="433">
        <f t="shared" ref="AM124:BH124" si="76">AM118</f>
        <v>0</v>
      </c>
      <c r="AN124" s="433">
        <f t="shared" si="76"/>
        <v>0</v>
      </c>
      <c r="AO124" s="433">
        <f t="shared" si="76"/>
        <v>0</v>
      </c>
      <c r="AP124" s="433">
        <f t="shared" si="76"/>
        <v>0</v>
      </c>
      <c r="AQ124" s="433">
        <f t="shared" si="76"/>
        <v>0</v>
      </c>
      <c r="AR124" s="433">
        <f t="shared" si="76"/>
        <v>0</v>
      </c>
      <c r="AS124" s="433">
        <f t="shared" si="76"/>
        <v>0</v>
      </c>
      <c r="AT124" s="433">
        <f t="shared" si="76"/>
        <v>0</v>
      </c>
      <c r="AU124" s="433">
        <f t="shared" si="76"/>
        <v>0</v>
      </c>
      <c r="AV124" s="433">
        <f t="shared" si="76"/>
        <v>0</v>
      </c>
      <c r="AW124" s="433">
        <f t="shared" si="76"/>
        <v>0</v>
      </c>
      <c r="AX124" s="433">
        <f t="shared" si="76"/>
        <v>0</v>
      </c>
      <c r="AY124" s="433">
        <f t="shared" si="76"/>
        <v>0</v>
      </c>
      <c r="AZ124" s="433">
        <f t="shared" si="76"/>
        <v>0</v>
      </c>
      <c r="BA124" s="433">
        <f t="shared" si="76"/>
        <v>0</v>
      </c>
      <c r="BB124" s="433">
        <f t="shared" si="76"/>
        <v>0</v>
      </c>
      <c r="BC124" s="433">
        <f t="shared" si="76"/>
        <v>0</v>
      </c>
      <c r="BD124" s="433">
        <f t="shared" si="76"/>
        <v>0</v>
      </c>
      <c r="BE124" s="433">
        <f t="shared" si="76"/>
        <v>0</v>
      </c>
      <c r="BF124" s="433">
        <f t="shared" si="76"/>
        <v>0</v>
      </c>
      <c r="BG124" s="433">
        <f t="shared" si="76"/>
        <v>0</v>
      </c>
      <c r="BH124" s="433">
        <f t="shared" si="76"/>
        <v>0</v>
      </c>
    </row>
    <row r="125" spans="2:60" ht="15">
      <c r="C125" s="383" t="s">
        <v>1801</v>
      </c>
      <c r="D125" s="416"/>
      <c r="E125" s="385" t="s">
        <v>1935</v>
      </c>
      <c r="F125" s="386"/>
      <c r="G125" s="417" t="s">
        <v>545</v>
      </c>
      <c r="H125" s="433">
        <f t="shared" si="74"/>
        <v>0</v>
      </c>
      <c r="I125" s="433">
        <f t="shared" si="74"/>
        <v>0</v>
      </c>
      <c r="J125" s="433">
        <f t="shared" si="74"/>
        <v>0</v>
      </c>
      <c r="K125" s="433">
        <f t="shared" si="74"/>
        <v>0</v>
      </c>
      <c r="L125" s="433">
        <f t="shared" si="74"/>
        <v>0</v>
      </c>
      <c r="M125" s="433">
        <f t="shared" si="74"/>
        <v>0</v>
      </c>
      <c r="N125" s="433">
        <f t="shared" si="74"/>
        <v>0</v>
      </c>
      <c r="O125" s="433">
        <f t="shared" si="74"/>
        <v>0</v>
      </c>
      <c r="P125" s="433">
        <f t="shared" si="74"/>
        <v>0</v>
      </c>
      <c r="Q125" s="433">
        <f t="shared" si="74"/>
        <v>0</v>
      </c>
      <c r="R125" s="433">
        <f t="shared" si="74"/>
        <v>0</v>
      </c>
      <c r="S125" s="433">
        <f t="shared" si="74"/>
        <v>0</v>
      </c>
      <c r="T125" s="433">
        <f t="shared" si="74"/>
        <v>0</v>
      </c>
      <c r="U125" s="433">
        <f t="shared" si="74"/>
        <v>0</v>
      </c>
      <c r="V125" s="433">
        <f t="shared" si="74"/>
        <v>0</v>
      </c>
      <c r="W125" s="433">
        <f t="shared" si="74"/>
        <v>0</v>
      </c>
      <c r="X125" s="433">
        <f t="shared" si="74"/>
        <v>0</v>
      </c>
      <c r="Y125" s="433">
        <f t="shared" si="74"/>
        <v>0</v>
      </c>
      <c r="Z125" s="433">
        <f t="shared" si="74"/>
        <v>0</v>
      </c>
      <c r="AA125" s="433">
        <f t="shared" si="74"/>
        <v>7.5053399999997872</v>
      </c>
      <c r="AB125" s="433">
        <f t="shared" si="74"/>
        <v>11.256</v>
      </c>
      <c r="AC125" s="433">
        <f t="shared" si="74"/>
        <v>11.256</v>
      </c>
      <c r="AD125" s="433">
        <f t="shared" si="74"/>
        <v>11.256</v>
      </c>
      <c r="AF125" s="26"/>
      <c r="AG125" s="383" t="s">
        <v>1801</v>
      </c>
      <c r="AH125" s="416"/>
      <c r="AI125" s="385" t="s">
        <v>1935</v>
      </c>
      <c r="AJ125" s="386"/>
      <c r="AK125" s="417" t="s">
        <v>545</v>
      </c>
      <c r="AL125" s="433">
        <f t="shared" ref="AL125" si="77">AL119</f>
        <v>0</v>
      </c>
      <c r="AM125" s="433">
        <f t="shared" ref="AM125:BH125" si="78">AM119</f>
        <v>0</v>
      </c>
      <c r="AN125" s="433">
        <f t="shared" si="78"/>
        <v>0</v>
      </c>
      <c r="AO125" s="433">
        <f t="shared" si="78"/>
        <v>0</v>
      </c>
      <c r="AP125" s="433">
        <f t="shared" si="78"/>
        <v>0</v>
      </c>
      <c r="AQ125" s="433">
        <f t="shared" si="78"/>
        <v>0</v>
      </c>
      <c r="AR125" s="433">
        <f t="shared" si="78"/>
        <v>0</v>
      </c>
      <c r="AS125" s="433">
        <f t="shared" si="78"/>
        <v>0</v>
      </c>
      <c r="AT125" s="433">
        <f t="shared" si="78"/>
        <v>0</v>
      </c>
      <c r="AU125" s="433">
        <f t="shared" si="78"/>
        <v>0</v>
      </c>
      <c r="AV125" s="433">
        <f t="shared" si="78"/>
        <v>0</v>
      </c>
      <c r="AW125" s="433">
        <f t="shared" si="78"/>
        <v>0</v>
      </c>
      <c r="AX125" s="433">
        <f t="shared" si="78"/>
        <v>0</v>
      </c>
      <c r="AY125" s="433">
        <f t="shared" si="78"/>
        <v>0</v>
      </c>
      <c r="AZ125" s="433">
        <f t="shared" si="78"/>
        <v>0</v>
      </c>
      <c r="BA125" s="433">
        <f t="shared" si="78"/>
        <v>0</v>
      </c>
      <c r="BB125" s="433">
        <f t="shared" si="78"/>
        <v>0</v>
      </c>
      <c r="BC125" s="433">
        <f t="shared" si="78"/>
        <v>0</v>
      </c>
      <c r="BD125" s="433">
        <f t="shared" si="78"/>
        <v>0</v>
      </c>
      <c r="BE125" s="433">
        <f t="shared" si="78"/>
        <v>7.5053399999997872</v>
      </c>
      <c r="BF125" s="433">
        <f t="shared" si="78"/>
        <v>11.256</v>
      </c>
      <c r="BG125" s="433">
        <f t="shared" si="78"/>
        <v>11.256</v>
      </c>
      <c r="BH125" s="433">
        <f t="shared" si="78"/>
        <v>11.256</v>
      </c>
    </row>
    <row r="126" spans="2:60" ht="15">
      <c r="C126" s="383" t="s">
        <v>544</v>
      </c>
      <c r="D126" s="416"/>
      <c r="E126" s="385"/>
      <c r="F126" s="386"/>
      <c r="G126" s="417" t="s">
        <v>545</v>
      </c>
      <c r="H126" s="433">
        <f t="shared" ca="1" si="74"/>
        <v>-1140.1853639999999</v>
      </c>
      <c r="I126" s="433">
        <f t="shared" ca="1" si="74"/>
        <v>-1111.6803479999999</v>
      </c>
      <c r="J126" s="433">
        <f t="shared" ca="1" si="74"/>
        <v>-1083.1753320000003</v>
      </c>
      <c r="K126" s="433">
        <f t="shared" ca="1" si="74"/>
        <v>-1020.4642968000001</v>
      </c>
      <c r="L126" s="433">
        <f t="shared" ca="1" si="74"/>
        <v>-957.75326160000009</v>
      </c>
      <c r="M126" s="433">
        <f t="shared" ca="1" si="74"/>
        <v>-895.04222640000012</v>
      </c>
      <c r="N126" s="433">
        <f t="shared" ca="1" si="74"/>
        <v>-832.33119119999981</v>
      </c>
      <c r="O126" s="433">
        <f t="shared" ca="1" si="74"/>
        <v>-769.62015599998392</v>
      </c>
      <c r="P126" s="433">
        <f t="shared" ca="1" si="74"/>
        <v>-669.85259999999346</v>
      </c>
      <c r="Q126" s="433">
        <f t="shared" ca="1" si="74"/>
        <v>-570.08504400000334</v>
      </c>
      <c r="R126" s="433">
        <f t="shared" ca="1" si="74"/>
        <v>-470.3174879999724</v>
      </c>
      <c r="S126" s="433">
        <f t="shared" ca="1" si="74"/>
        <v>-370.54993199998216</v>
      </c>
      <c r="T126" s="433">
        <f t="shared" ca="1" si="74"/>
        <v>-270.78237599999181</v>
      </c>
      <c r="U126" s="433">
        <f t="shared" ca="1" si="74"/>
        <v>-228.02485200000038</v>
      </c>
      <c r="V126" s="433">
        <f t="shared" ca="1" si="74"/>
        <v>-185.26732799999874</v>
      </c>
      <c r="W126" s="433">
        <f t="shared" ca="1" si="74"/>
        <v>-142.50980399999713</v>
      </c>
      <c r="X126" s="433">
        <f t="shared" ca="1" si="74"/>
        <v>-99.752279999995537</v>
      </c>
      <c r="Y126" s="433">
        <f t="shared" ca="1" si="74"/>
        <v>-56.994756000004045</v>
      </c>
      <c r="Z126" s="433">
        <f t="shared" ca="1" si="74"/>
        <v>-14.237232000002427</v>
      </c>
      <c r="AA126" s="433">
        <f t="shared" ca="1" si="74"/>
        <v>0</v>
      </c>
      <c r="AB126" s="433">
        <f t="shared" ca="1" si="74"/>
        <v>0</v>
      </c>
      <c r="AC126" s="433">
        <f t="shared" ca="1" si="74"/>
        <v>0</v>
      </c>
      <c r="AD126" s="433">
        <f t="shared" ca="1" si="74"/>
        <v>0</v>
      </c>
      <c r="AF126" s="26"/>
      <c r="AG126" s="419" t="s">
        <v>544</v>
      </c>
      <c r="AH126" s="420"/>
      <c r="AI126" s="434"/>
      <c r="AJ126" s="435"/>
      <c r="AK126" s="421" t="s">
        <v>545</v>
      </c>
      <c r="AL126" s="436">
        <f t="shared" ref="AL126" ca="1" si="79">AL120</f>
        <v>-1140.1853639999999</v>
      </c>
      <c r="AM126" s="436">
        <f t="shared" ref="AM126:BH126" ca="1" si="80">AM120</f>
        <v>-1111.6803479999999</v>
      </c>
      <c r="AN126" s="436">
        <f t="shared" ca="1" si="80"/>
        <v>-1083.1753320000003</v>
      </c>
      <c r="AO126" s="436">
        <f t="shared" ca="1" si="80"/>
        <v>-1020.4642968000001</v>
      </c>
      <c r="AP126" s="436">
        <f t="shared" ca="1" si="80"/>
        <v>-957.75326160000009</v>
      </c>
      <c r="AQ126" s="436">
        <f t="shared" ca="1" si="80"/>
        <v>-895.04222640000012</v>
      </c>
      <c r="AR126" s="436">
        <f t="shared" ca="1" si="80"/>
        <v>-832.33119119999981</v>
      </c>
      <c r="AS126" s="436">
        <f t="shared" ca="1" si="80"/>
        <v>-769.62015599998392</v>
      </c>
      <c r="AT126" s="436">
        <f t="shared" ca="1" si="80"/>
        <v>-669.85259999999346</v>
      </c>
      <c r="AU126" s="436">
        <f t="shared" ca="1" si="80"/>
        <v>-570.08504400000334</v>
      </c>
      <c r="AV126" s="436">
        <f t="shared" ca="1" si="80"/>
        <v>-470.3174879999724</v>
      </c>
      <c r="AW126" s="436">
        <f t="shared" ca="1" si="80"/>
        <v>-370.54993199998216</v>
      </c>
      <c r="AX126" s="436">
        <f t="shared" ca="1" si="80"/>
        <v>-270.78237599999181</v>
      </c>
      <c r="AY126" s="436">
        <f t="shared" ca="1" si="80"/>
        <v>-228.02485200000038</v>
      </c>
      <c r="AZ126" s="436">
        <f t="shared" ca="1" si="80"/>
        <v>-185.26732799999874</v>
      </c>
      <c r="BA126" s="436">
        <f t="shared" ca="1" si="80"/>
        <v>-142.50980399999713</v>
      </c>
      <c r="BB126" s="436">
        <f t="shared" ca="1" si="80"/>
        <v>-99.752279999995537</v>
      </c>
      <c r="BC126" s="436">
        <f t="shared" ca="1" si="80"/>
        <v>-56.994756000004045</v>
      </c>
      <c r="BD126" s="436">
        <f t="shared" ca="1" si="80"/>
        <v>-14.237232000002427</v>
      </c>
      <c r="BE126" s="436">
        <f t="shared" ca="1" si="80"/>
        <v>0</v>
      </c>
      <c r="BF126" s="436">
        <f t="shared" ca="1" si="80"/>
        <v>0</v>
      </c>
      <c r="BG126" s="436">
        <f t="shared" ca="1" si="80"/>
        <v>0</v>
      </c>
      <c r="BH126" s="436">
        <f t="shared" ca="1" si="80"/>
        <v>0</v>
      </c>
    </row>
    <row r="127" spans="2:60" ht="15.75" thickBot="1">
      <c r="C127" s="475" t="s">
        <v>1800</v>
      </c>
      <c r="D127" s="476"/>
      <c r="E127" s="477"/>
      <c r="F127" s="478"/>
      <c r="G127" s="429" t="s">
        <v>545</v>
      </c>
      <c r="H127" s="479">
        <f t="shared" ref="H127:AC127" si="81">H122</f>
        <v>0</v>
      </c>
      <c r="I127" s="479">
        <f t="shared" si="81"/>
        <v>0</v>
      </c>
      <c r="J127" s="479">
        <f t="shared" si="81"/>
        <v>0</v>
      </c>
      <c r="K127" s="479">
        <f t="shared" si="81"/>
        <v>0</v>
      </c>
      <c r="L127" s="479">
        <f t="shared" si="81"/>
        <v>0</v>
      </c>
      <c r="M127" s="479">
        <f t="shared" si="81"/>
        <v>0</v>
      </c>
      <c r="N127" s="479">
        <f t="shared" si="81"/>
        <v>0</v>
      </c>
      <c r="O127" s="479">
        <f t="shared" si="81"/>
        <v>0</v>
      </c>
      <c r="P127" s="479">
        <f t="shared" si="81"/>
        <v>0</v>
      </c>
      <c r="Q127" s="479">
        <f t="shared" si="81"/>
        <v>0</v>
      </c>
      <c r="R127" s="479">
        <f t="shared" si="81"/>
        <v>0</v>
      </c>
      <c r="S127" s="479">
        <f t="shared" si="81"/>
        <v>0</v>
      </c>
      <c r="T127" s="479">
        <f t="shared" si="81"/>
        <v>0</v>
      </c>
      <c r="U127" s="479">
        <f t="shared" si="81"/>
        <v>0</v>
      </c>
      <c r="V127" s="479">
        <f t="shared" si="81"/>
        <v>0</v>
      </c>
      <c r="W127" s="479">
        <f t="shared" si="81"/>
        <v>0</v>
      </c>
      <c r="X127" s="479">
        <f t="shared" si="81"/>
        <v>0</v>
      </c>
      <c r="Y127" s="479">
        <f t="shared" si="81"/>
        <v>0</v>
      </c>
      <c r="Z127" s="479">
        <f t="shared" si="81"/>
        <v>0</v>
      </c>
      <c r="AA127" s="479">
        <f t="shared" si="81"/>
        <v>0</v>
      </c>
      <c r="AB127" s="479">
        <f t="shared" si="81"/>
        <v>0</v>
      </c>
      <c r="AC127" s="479">
        <f t="shared" si="81"/>
        <v>0</v>
      </c>
      <c r="AD127" s="479">
        <f>AD122</f>
        <v>0</v>
      </c>
      <c r="AF127" s="26"/>
      <c r="AG127" s="437" t="s">
        <v>1800</v>
      </c>
      <c r="AH127" s="438"/>
      <c r="AI127" s="439"/>
      <c r="AJ127" s="440"/>
      <c r="AK127" s="425" t="s">
        <v>545</v>
      </c>
      <c r="AL127" s="441">
        <f t="shared" ref="AL127" si="82">AL122</f>
        <v>0</v>
      </c>
      <c r="AM127" s="441">
        <f t="shared" ref="AM127:BH127" si="83">AM122</f>
        <v>0</v>
      </c>
      <c r="AN127" s="441">
        <f t="shared" si="83"/>
        <v>0</v>
      </c>
      <c r="AO127" s="441">
        <f t="shared" si="83"/>
        <v>0</v>
      </c>
      <c r="AP127" s="441">
        <f t="shared" si="83"/>
        <v>0</v>
      </c>
      <c r="AQ127" s="441">
        <f t="shared" si="83"/>
        <v>0</v>
      </c>
      <c r="AR127" s="441">
        <f t="shared" si="83"/>
        <v>0</v>
      </c>
      <c r="AS127" s="441">
        <f t="shared" si="83"/>
        <v>0</v>
      </c>
      <c r="AT127" s="441">
        <f t="shared" si="83"/>
        <v>0</v>
      </c>
      <c r="AU127" s="441">
        <f t="shared" si="83"/>
        <v>0</v>
      </c>
      <c r="AV127" s="441">
        <f t="shared" si="83"/>
        <v>0</v>
      </c>
      <c r="AW127" s="441">
        <f t="shared" si="83"/>
        <v>0</v>
      </c>
      <c r="AX127" s="441">
        <f t="shared" si="83"/>
        <v>0</v>
      </c>
      <c r="AY127" s="441">
        <f t="shared" si="83"/>
        <v>0</v>
      </c>
      <c r="AZ127" s="441">
        <f t="shared" si="83"/>
        <v>0</v>
      </c>
      <c r="BA127" s="441">
        <f t="shared" si="83"/>
        <v>0</v>
      </c>
      <c r="BB127" s="441">
        <f t="shared" si="83"/>
        <v>0</v>
      </c>
      <c r="BC127" s="441">
        <f t="shared" si="83"/>
        <v>0</v>
      </c>
      <c r="BD127" s="441">
        <f t="shared" si="83"/>
        <v>0</v>
      </c>
      <c r="BE127" s="441">
        <f t="shared" si="83"/>
        <v>0</v>
      </c>
      <c r="BF127" s="441">
        <f t="shared" si="83"/>
        <v>0</v>
      </c>
      <c r="BG127" s="441">
        <f t="shared" si="83"/>
        <v>0</v>
      </c>
      <c r="BH127" s="441">
        <f t="shared" si="83"/>
        <v>0</v>
      </c>
    </row>
    <row r="128" spans="2:60" ht="15.75" thickTop="1">
      <c r="C128" s="431" t="s">
        <v>1804</v>
      </c>
      <c r="E128" s="385"/>
      <c r="F128" s="386" t="s">
        <v>1660</v>
      </c>
      <c r="G128" s="417" t="s">
        <v>545</v>
      </c>
      <c r="H128" s="433">
        <f t="shared" ref="H128:AD128" ca="1" si="84">SUM(H123:H127)</f>
        <v>-1140.1853639999999</v>
      </c>
      <c r="I128" s="433">
        <f t="shared" ca="1" si="84"/>
        <v>-1111.6803479999999</v>
      </c>
      <c r="J128" s="433">
        <f t="shared" ca="1" si="84"/>
        <v>-1083.1753320000003</v>
      </c>
      <c r="K128" s="433">
        <f t="shared" ca="1" si="84"/>
        <v>-1020.4642968000001</v>
      </c>
      <c r="L128" s="433">
        <f t="shared" ca="1" si="84"/>
        <v>-957.75326160000009</v>
      </c>
      <c r="M128" s="433">
        <f t="shared" ca="1" si="84"/>
        <v>-895.04222640000012</v>
      </c>
      <c r="N128" s="433">
        <f t="shared" ca="1" si="84"/>
        <v>-832.33119119999981</v>
      </c>
      <c r="O128" s="433">
        <f t="shared" ca="1" si="84"/>
        <v>-769.62015599998392</v>
      </c>
      <c r="P128" s="433">
        <f t="shared" ca="1" si="84"/>
        <v>-669.85259999999346</v>
      </c>
      <c r="Q128" s="433">
        <f t="shared" ca="1" si="84"/>
        <v>-570.08504400000334</v>
      </c>
      <c r="R128" s="433">
        <f t="shared" ca="1" si="84"/>
        <v>-470.3174879999724</v>
      </c>
      <c r="S128" s="433">
        <f t="shared" ca="1" si="84"/>
        <v>-370.54993199998216</v>
      </c>
      <c r="T128" s="433">
        <f t="shared" ca="1" si="84"/>
        <v>-270.78237599999181</v>
      </c>
      <c r="U128" s="433">
        <f t="shared" ca="1" si="84"/>
        <v>-228.02485200000038</v>
      </c>
      <c r="V128" s="433">
        <f t="shared" ca="1" si="84"/>
        <v>-185.26732799999874</v>
      </c>
      <c r="W128" s="433">
        <f t="shared" ca="1" si="84"/>
        <v>-142.50980399999713</v>
      </c>
      <c r="X128" s="433">
        <f t="shared" ca="1" si="84"/>
        <v>-99.752279999995537</v>
      </c>
      <c r="Y128" s="433">
        <f t="shared" ca="1" si="84"/>
        <v>-56.994756000004045</v>
      </c>
      <c r="Z128" s="433">
        <f t="shared" ca="1" si="84"/>
        <v>-14.237232000002427</v>
      </c>
      <c r="AA128" s="433">
        <f t="shared" ca="1" si="84"/>
        <v>7.5053399999997872</v>
      </c>
      <c r="AB128" s="433">
        <f t="shared" ca="1" si="84"/>
        <v>11.256</v>
      </c>
      <c r="AC128" s="433">
        <f t="shared" ca="1" si="84"/>
        <v>11.256</v>
      </c>
      <c r="AD128" s="433">
        <f t="shared" ca="1" si="84"/>
        <v>11.256</v>
      </c>
      <c r="AF128" s="26"/>
      <c r="AG128" s="431" t="s">
        <v>1804</v>
      </c>
      <c r="AH128" s="24"/>
      <c r="AI128" s="385"/>
      <c r="AJ128" s="386" t="s">
        <v>1660</v>
      </c>
      <c r="AK128" s="417" t="s">
        <v>545</v>
      </c>
      <c r="AL128" s="433">
        <f t="shared" ref="AL128" ca="1" si="85">SUM(AL123:AL127)</f>
        <v>-1140.1853639999999</v>
      </c>
      <c r="AM128" s="433">
        <f t="shared" ref="AM128:BH128" ca="1" si="86">SUM(AM123:AM127)</f>
        <v>-1111.6803479999999</v>
      </c>
      <c r="AN128" s="433">
        <f t="shared" ca="1" si="86"/>
        <v>-1083.1753320000003</v>
      </c>
      <c r="AO128" s="433">
        <f t="shared" ca="1" si="86"/>
        <v>-1020.4642968000001</v>
      </c>
      <c r="AP128" s="433">
        <f t="shared" ca="1" si="86"/>
        <v>-957.75326160000009</v>
      </c>
      <c r="AQ128" s="433">
        <f t="shared" ca="1" si="86"/>
        <v>-895.04222640000012</v>
      </c>
      <c r="AR128" s="433">
        <f t="shared" ca="1" si="86"/>
        <v>-832.33119119999981</v>
      </c>
      <c r="AS128" s="433">
        <f t="shared" ca="1" si="86"/>
        <v>-769.62015599998392</v>
      </c>
      <c r="AT128" s="433">
        <f t="shared" ca="1" si="86"/>
        <v>-669.85259999999346</v>
      </c>
      <c r="AU128" s="433">
        <f t="shared" ca="1" si="86"/>
        <v>-570.08504400000334</v>
      </c>
      <c r="AV128" s="433">
        <f t="shared" ca="1" si="86"/>
        <v>-470.3174879999724</v>
      </c>
      <c r="AW128" s="433">
        <f t="shared" ca="1" si="86"/>
        <v>-370.54993199998216</v>
      </c>
      <c r="AX128" s="433">
        <f t="shared" ca="1" si="86"/>
        <v>-270.78237599999181</v>
      </c>
      <c r="AY128" s="433">
        <f t="shared" ca="1" si="86"/>
        <v>-228.02485200000038</v>
      </c>
      <c r="AZ128" s="433">
        <f t="shared" ca="1" si="86"/>
        <v>-185.26732799999874</v>
      </c>
      <c r="BA128" s="433">
        <f t="shared" ca="1" si="86"/>
        <v>-142.50980399999713</v>
      </c>
      <c r="BB128" s="433">
        <f t="shared" ca="1" si="86"/>
        <v>-99.752279999995537</v>
      </c>
      <c r="BC128" s="433">
        <f t="shared" ca="1" si="86"/>
        <v>-56.994756000004045</v>
      </c>
      <c r="BD128" s="433">
        <f t="shared" ca="1" si="86"/>
        <v>-14.237232000002427</v>
      </c>
      <c r="BE128" s="433">
        <f t="shared" ca="1" si="86"/>
        <v>7.5053399999997872</v>
      </c>
      <c r="BF128" s="433">
        <f t="shared" ca="1" si="86"/>
        <v>11.256</v>
      </c>
      <c r="BG128" s="433">
        <f t="shared" ca="1" si="86"/>
        <v>11.256</v>
      </c>
      <c r="BH128" s="433">
        <f t="shared" ca="1" si="86"/>
        <v>11.256</v>
      </c>
    </row>
    <row r="132" spans="3:60" ht="15">
      <c r="C132" s="22" t="s">
        <v>1936</v>
      </c>
      <c r="J132" s="139"/>
      <c r="K132" s="139"/>
      <c r="L132" s="139"/>
      <c r="M132" s="139"/>
      <c r="N132" s="139"/>
      <c r="O132" s="139"/>
      <c r="P132" s="139"/>
      <c r="Q132" s="139"/>
      <c r="R132" s="139"/>
      <c r="S132" s="139"/>
      <c r="T132" s="139"/>
      <c r="U132" s="139"/>
      <c r="V132" s="139"/>
      <c r="W132" s="139"/>
      <c r="X132" s="139"/>
      <c r="Y132" s="139"/>
      <c r="Z132" s="139"/>
      <c r="AA132" s="139"/>
      <c r="AB132" s="139"/>
      <c r="AC132" s="139"/>
      <c r="AG132" s="22" t="s">
        <v>1937</v>
      </c>
    </row>
    <row r="133" spans="3:60" ht="15">
      <c r="H133" s="22">
        <f>+H117</f>
        <v>2028</v>
      </c>
      <c r="I133" s="22">
        <f t="shared" ref="I133:AD133" si="87">+I117</f>
        <v>2029</v>
      </c>
      <c r="J133" s="22">
        <f t="shared" si="87"/>
        <v>2030</v>
      </c>
      <c r="K133" s="22">
        <f t="shared" si="87"/>
        <v>2031</v>
      </c>
      <c r="L133" s="22">
        <f t="shared" si="87"/>
        <v>2032</v>
      </c>
      <c r="M133" s="22">
        <f t="shared" si="87"/>
        <v>2033</v>
      </c>
      <c r="N133" s="22">
        <f t="shared" si="87"/>
        <v>2034</v>
      </c>
      <c r="O133" s="22">
        <f t="shared" si="87"/>
        <v>2035</v>
      </c>
      <c r="P133" s="22">
        <f t="shared" si="87"/>
        <v>2036</v>
      </c>
      <c r="Q133" s="22">
        <f t="shared" si="87"/>
        <v>2037</v>
      </c>
      <c r="R133" s="22">
        <f t="shared" si="87"/>
        <v>2038</v>
      </c>
      <c r="S133" s="22">
        <f t="shared" si="87"/>
        <v>2039</v>
      </c>
      <c r="T133" s="22">
        <f t="shared" si="87"/>
        <v>2040</v>
      </c>
      <c r="U133" s="22">
        <f t="shared" si="87"/>
        <v>2041</v>
      </c>
      <c r="V133" s="22">
        <f t="shared" si="87"/>
        <v>2042</v>
      </c>
      <c r="W133" s="22">
        <f t="shared" si="87"/>
        <v>2043</v>
      </c>
      <c r="X133" s="22">
        <f t="shared" si="87"/>
        <v>2044</v>
      </c>
      <c r="Y133" s="22">
        <f t="shared" si="87"/>
        <v>2045</v>
      </c>
      <c r="Z133" s="22">
        <f t="shared" si="87"/>
        <v>2046</v>
      </c>
      <c r="AA133" s="22">
        <f t="shared" si="87"/>
        <v>2047</v>
      </c>
      <c r="AB133" s="22">
        <f t="shared" si="87"/>
        <v>2048</v>
      </c>
      <c r="AC133" s="22">
        <f t="shared" si="87"/>
        <v>2049</v>
      </c>
      <c r="AD133" s="22">
        <f t="shared" si="87"/>
        <v>2050</v>
      </c>
      <c r="AL133" s="22">
        <f>+AL117</f>
        <v>2028</v>
      </c>
      <c r="AM133" s="22">
        <f t="shared" ref="AM133:BH133" si="88">+AM117</f>
        <v>2029</v>
      </c>
      <c r="AN133" s="22">
        <f t="shared" si="88"/>
        <v>2030</v>
      </c>
      <c r="AO133" s="22">
        <f t="shared" si="88"/>
        <v>2031</v>
      </c>
      <c r="AP133" s="22">
        <f t="shared" si="88"/>
        <v>2032</v>
      </c>
      <c r="AQ133" s="22">
        <f t="shared" si="88"/>
        <v>2033</v>
      </c>
      <c r="AR133" s="22">
        <f t="shared" si="88"/>
        <v>2034</v>
      </c>
      <c r="AS133" s="22">
        <f t="shared" si="88"/>
        <v>2035</v>
      </c>
      <c r="AT133" s="22">
        <f t="shared" si="88"/>
        <v>2036</v>
      </c>
      <c r="AU133" s="22">
        <f t="shared" si="88"/>
        <v>2037</v>
      </c>
      <c r="AV133" s="22">
        <f t="shared" si="88"/>
        <v>2038</v>
      </c>
      <c r="AW133" s="22">
        <f t="shared" si="88"/>
        <v>2039</v>
      </c>
      <c r="AX133" s="22">
        <f t="shared" si="88"/>
        <v>2040</v>
      </c>
      <c r="AY133" s="22">
        <f t="shared" si="88"/>
        <v>2041</v>
      </c>
      <c r="AZ133" s="22">
        <f t="shared" si="88"/>
        <v>2042</v>
      </c>
      <c r="BA133" s="22">
        <f t="shared" si="88"/>
        <v>2043</v>
      </c>
      <c r="BB133" s="22">
        <f t="shared" si="88"/>
        <v>2044</v>
      </c>
      <c r="BC133" s="22">
        <f t="shared" si="88"/>
        <v>2045</v>
      </c>
      <c r="BD133" s="22">
        <f t="shared" si="88"/>
        <v>2046</v>
      </c>
      <c r="BE133" s="22">
        <f t="shared" si="88"/>
        <v>2047</v>
      </c>
      <c r="BF133" s="22">
        <f t="shared" si="88"/>
        <v>2048</v>
      </c>
      <c r="BG133" s="22">
        <f t="shared" si="88"/>
        <v>2049</v>
      </c>
      <c r="BH133" s="22">
        <f t="shared" si="88"/>
        <v>2050</v>
      </c>
    </row>
    <row r="134" spans="3:60">
      <c r="G134" s="411" t="s">
        <v>180</v>
      </c>
      <c r="H134" s="67">
        <f ca="1">-SUM(H70:H71)</f>
        <v>-141.33282036000014</v>
      </c>
      <c r="I134" s="67">
        <f t="shared" ref="I134:AD134" ca="1" si="89">-SUM(I70:I71)</f>
        <v>-169.83783636000015</v>
      </c>
      <c r="J134" s="67">
        <f t="shared" ca="1" si="89"/>
        <v>-198.34285236000008</v>
      </c>
      <c r="K134" s="67">
        <f t="shared" ca="1" si="89"/>
        <v>-261.05388756000008</v>
      </c>
      <c r="L134" s="67">
        <f t="shared" ca="1" si="89"/>
        <v>-323.76492276000016</v>
      </c>
      <c r="M134" s="67">
        <f t="shared" ca="1" si="89"/>
        <v>-386.47595796000013</v>
      </c>
      <c r="N134" s="67">
        <f t="shared" ca="1" si="89"/>
        <v>-449.18699316000016</v>
      </c>
      <c r="O134" s="67">
        <f t="shared" ca="1" si="89"/>
        <v>-511.89802836001638</v>
      </c>
      <c r="P134" s="67">
        <f t="shared" ca="1" si="89"/>
        <v>-611.66558436000662</v>
      </c>
      <c r="Q134" s="67">
        <f t="shared" ca="1" si="89"/>
        <v>-711.43314035999674</v>
      </c>
      <c r="R134" s="67">
        <f t="shared" ca="1" si="89"/>
        <v>-811.20069636002768</v>
      </c>
      <c r="S134" s="67">
        <f t="shared" ca="1" si="89"/>
        <v>-910.96825236001791</v>
      </c>
      <c r="T134" s="67">
        <f t="shared" ca="1" si="89"/>
        <v>-1010.7358083600083</v>
      </c>
      <c r="U134" s="67">
        <f t="shared" ca="1" si="89"/>
        <v>-1053.4933323599996</v>
      </c>
      <c r="V134" s="67">
        <f t="shared" ca="1" si="89"/>
        <v>-1096.2508563600013</v>
      </c>
      <c r="W134" s="67">
        <f t="shared" ca="1" si="89"/>
        <v>-1139.008380360003</v>
      </c>
      <c r="X134" s="67">
        <f t="shared" ca="1" si="89"/>
        <v>-1181.7659043600045</v>
      </c>
      <c r="Y134" s="67">
        <f t="shared" ca="1" si="89"/>
        <v>-1224.5234283599959</v>
      </c>
      <c r="Z134" s="67">
        <f t="shared" ca="1" si="89"/>
        <v>-1267.2809523599974</v>
      </c>
      <c r="AA134" s="67">
        <f t="shared" ca="1" si="89"/>
        <v>-1310.0384763599991</v>
      </c>
      <c r="AB134" s="67">
        <f t="shared" ca="1" si="89"/>
        <v>-1345.2946803600007</v>
      </c>
      <c r="AC134" s="67">
        <f t="shared" ca="1" si="89"/>
        <v>-1376.8002243600019</v>
      </c>
      <c r="AD134" s="67">
        <f t="shared" ca="1" si="89"/>
        <v>-1408.305768360003</v>
      </c>
      <c r="AL134" s="67">
        <f ca="1">-SUM(AL126:AL127)</f>
        <v>1140.1853639999999</v>
      </c>
      <c r="AM134" s="67">
        <f t="shared" ref="AM134:BH134" ca="1" si="90">-SUM(AM126:AM127)</f>
        <v>1111.6803479999999</v>
      </c>
      <c r="AN134" s="67">
        <f t="shared" ca="1" si="90"/>
        <v>1083.1753320000003</v>
      </c>
      <c r="AO134" s="67">
        <f t="shared" ca="1" si="90"/>
        <v>1020.4642968000001</v>
      </c>
      <c r="AP134" s="67">
        <f t="shared" ca="1" si="90"/>
        <v>957.75326160000009</v>
      </c>
      <c r="AQ134" s="67">
        <f t="shared" ca="1" si="90"/>
        <v>895.04222640000012</v>
      </c>
      <c r="AR134" s="67">
        <f t="shared" ca="1" si="90"/>
        <v>832.33119119999981</v>
      </c>
      <c r="AS134" s="67">
        <f t="shared" ca="1" si="90"/>
        <v>769.62015599998392</v>
      </c>
      <c r="AT134" s="67">
        <f t="shared" ca="1" si="90"/>
        <v>669.85259999999346</v>
      </c>
      <c r="AU134" s="67">
        <f t="shared" ca="1" si="90"/>
        <v>570.08504400000334</v>
      </c>
      <c r="AV134" s="67">
        <f t="shared" ca="1" si="90"/>
        <v>470.3174879999724</v>
      </c>
      <c r="AW134" s="67">
        <f t="shared" ca="1" si="90"/>
        <v>370.54993199998216</v>
      </c>
      <c r="AX134" s="67">
        <f t="shared" ca="1" si="90"/>
        <v>270.78237599999181</v>
      </c>
      <c r="AY134" s="67">
        <f t="shared" ca="1" si="90"/>
        <v>228.02485200000038</v>
      </c>
      <c r="AZ134" s="67">
        <f t="shared" ca="1" si="90"/>
        <v>185.26732799999874</v>
      </c>
      <c r="BA134" s="67">
        <f t="shared" ca="1" si="90"/>
        <v>142.50980399999713</v>
      </c>
      <c r="BB134" s="67">
        <f t="shared" ca="1" si="90"/>
        <v>99.752279999995537</v>
      </c>
      <c r="BC134" s="67">
        <f t="shared" ca="1" si="90"/>
        <v>56.994756000004045</v>
      </c>
      <c r="BD134" s="67">
        <f t="shared" ca="1" si="90"/>
        <v>14.237232000002427</v>
      </c>
      <c r="BE134" s="67">
        <f t="shared" ca="1" si="90"/>
        <v>0</v>
      </c>
      <c r="BF134" s="67">
        <f t="shared" ca="1" si="90"/>
        <v>0</v>
      </c>
      <c r="BG134" s="67">
        <f t="shared" ca="1" si="90"/>
        <v>0</v>
      </c>
      <c r="BH134" s="67">
        <f t="shared" ca="1" si="90"/>
        <v>0</v>
      </c>
    </row>
    <row r="135" spans="3:60">
      <c r="G135" s="411" t="s">
        <v>805</v>
      </c>
      <c r="H135" s="67">
        <f ca="1">-SUM(H89:H91)</f>
        <v>4.1265058799999181</v>
      </c>
      <c r="I135" s="67">
        <f t="shared" ref="I135:AD135" ca="1" si="91">-SUM(I89:I91)</f>
        <v>-6.4153974000000193</v>
      </c>
      <c r="J135" s="67">
        <f t="shared" ca="1" si="91"/>
        <v>-13.916717399999962</v>
      </c>
      <c r="K135" s="67">
        <f t="shared" ca="1" si="91"/>
        <v>-30.4196214</v>
      </c>
      <c r="L135" s="67">
        <f t="shared" ca="1" si="91"/>
        <v>-46.922525399999984</v>
      </c>
      <c r="M135" s="67">
        <f t="shared" ca="1" si="91"/>
        <v>-104.49260772</v>
      </c>
      <c r="N135" s="67">
        <f t="shared" ca="1" si="91"/>
        <v>-167.20364292000002</v>
      </c>
      <c r="O135" s="67">
        <f t="shared" ca="1" si="91"/>
        <v>-229.91467812001622</v>
      </c>
      <c r="P135" s="67">
        <f t="shared" ca="1" si="91"/>
        <v>-329.6822341200064</v>
      </c>
      <c r="Q135" s="67">
        <f t="shared" ca="1" si="91"/>
        <v>-429.44979011999675</v>
      </c>
      <c r="R135" s="67">
        <f t="shared" ca="1" si="91"/>
        <v>-529.21734612002751</v>
      </c>
      <c r="S135" s="67">
        <f t="shared" ca="1" si="91"/>
        <v>-628.98490212001786</v>
      </c>
      <c r="T135" s="67">
        <f t="shared" ca="1" si="91"/>
        <v>-728.75245812000821</v>
      </c>
      <c r="U135" s="67">
        <f t="shared" ca="1" si="91"/>
        <v>-771.50998211999968</v>
      </c>
      <c r="V135" s="67">
        <f t="shared" ca="1" si="91"/>
        <v>-814.26750612000126</v>
      </c>
      <c r="W135" s="67">
        <f t="shared" ca="1" si="91"/>
        <v>-857.02503012000295</v>
      </c>
      <c r="X135" s="67">
        <f t="shared" ca="1" si="91"/>
        <v>-899.78255412000453</v>
      </c>
      <c r="Y135" s="67">
        <f t="shared" ca="1" si="91"/>
        <v>-942.54007811999577</v>
      </c>
      <c r="Z135" s="67">
        <f t="shared" ca="1" si="91"/>
        <v>-985.29760211999746</v>
      </c>
      <c r="AA135" s="67">
        <f t="shared" ca="1" si="91"/>
        <v>-1028.0551261199992</v>
      </c>
      <c r="AB135" s="67">
        <f t="shared" ca="1" si="91"/>
        <v>-1063.3113301200005</v>
      </c>
      <c r="AC135" s="67">
        <f t="shared" ca="1" si="91"/>
        <v>-1094.8168741200018</v>
      </c>
      <c r="AD135" s="67">
        <f t="shared" ca="1" si="91"/>
        <v>-1126.3224181200028</v>
      </c>
    </row>
    <row r="136" spans="3:60" ht="15">
      <c r="J136" s="139"/>
      <c r="K136" s="139"/>
      <c r="L136" s="139"/>
      <c r="M136" s="139"/>
      <c r="N136" s="139"/>
      <c r="O136" s="139"/>
      <c r="P136" s="139"/>
      <c r="Q136" s="139"/>
      <c r="R136" s="139"/>
      <c r="S136" s="139"/>
      <c r="T136" s="139"/>
      <c r="U136" s="139"/>
      <c r="V136" s="139"/>
      <c r="W136" s="139"/>
      <c r="X136" s="139"/>
      <c r="Y136" s="139"/>
      <c r="Z136" s="139"/>
      <c r="AA136" s="139"/>
      <c r="AB136" s="139"/>
      <c r="AC136" s="139"/>
      <c r="AG136" s="22" t="s">
        <v>1938</v>
      </c>
    </row>
    <row r="137" spans="3:60" ht="15">
      <c r="J137" s="139"/>
      <c r="K137" s="139"/>
      <c r="L137" s="139"/>
      <c r="M137" s="139"/>
      <c r="N137" s="139"/>
      <c r="O137" s="139"/>
      <c r="P137" s="139"/>
      <c r="Q137" s="139"/>
      <c r="R137" s="139"/>
      <c r="S137" s="139"/>
      <c r="T137" s="139"/>
      <c r="U137" s="139"/>
      <c r="V137" s="139"/>
      <c r="W137" s="139"/>
      <c r="X137" s="139"/>
      <c r="Y137" s="139"/>
      <c r="Z137" s="139"/>
      <c r="AA137" s="139"/>
      <c r="AB137" s="139"/>
      <c r="AC137" s="139"/>
      <c r="AL137" s="22">
        <f>+AL59</f>
        <v>2028</v>
      </c>
      <c r="AM137" s="22">
        <f t="shared" ref="AM137:BH137" si="92">+AM59</f>
        <v>2029</v>
      </c>
      <c r="AN137" s="22">
        <f t="shared" si="92"/>
        <v>2030</v>
      </c>
      <c r="AO137" s="22">
        <f t="shared" si="92"/>
        <v>2031</v>
      </c>
      <c r="AP137" s="22">
        <f t="shared" si="92"/>
        <v>2032</v>
      </c>
      <c r="AQ137" s="22">
        <f t="shared" si="92"/>
        <v>2033</v>
      </c>
      <c r="AR137" s="22">
        <f t="shared" si="92"/>
        <v>2034</v>
      </c>
      <c r="AS137" s="22">
        <f t="shared" si="92"/>
        <v>2035</v>
      </c>
      <c r="AT137" s="22">
        <f t="shared" si="92"/>
        <v>2036</v>
      </c>
      <c r="AU137" s="22">
        <f t="shared" si="92"/>
        <v>2037</v>
      </c>
      <c r="AV137" s="22">
        <f t="shared" si="92"/>
        <v>2038</v>
      </c>
      <c r="AW137" s="22">
        <f t="shared" si="92"/>
        <v>2039</v>
      </c>
      <c r="AX137" s="22">
        <f t="shared" si="92"/>
        <v>2040</v>
      </c>
      <c r="AY137" s="22">
        <f t="shared" si="92"/>
        <v>2041</v>
      </c>
      <c r="AZ137" s="22">
        <f t="shared" si="92"/>
        <v>2042</v>
      </c>
      <c r="BA137" s="22">
        <f t="shared" si="92"/>
        <v>2043</v>
      </c>
      <c r="BB137" s="22">
        <f t="shared" si="92"/>
        <v>2044</v>
      </c>
      <c r="BC137" s="22">
        <f t="shared" si="92"/>
        <v>2045</v>
      </c>
      <c r="BD137" s="22">
        <f t="shared" si="92"/>
        <v>2046</v>
      </c>
      <c r="BE137" s="22">
        <f t="shared" si="92"/>
        <v>2047</v>
      </c>
      <c r="BF137" s="22">
        <f t="shared" si="92"/>
        <v>2048</v>
      </c>
      <c r="BG137" s="22">
        <f t="shared" si="92"/>
        <v>2049</v>
      </c>
      <c r="BH137" s="22">
        <f t="shared" si="92"/>
        <v>2050</v>
      </c>
    </row>
    <row r="138" spans="3:60">
      <c r="J138" s="139"/>
      <c r="K138" s="139"/>
      <c r="L138" s="139"/>
      <c r="M138" s="139"/>
      <c r="N138" s="139"/>
      <c r="O138" s="139"/>
      <c r="P138" s="139"/>
      <c r="Q138" s="139"/>
      <c r="R138" s="139"/>
      <c r="S138" s="139"/>
      <c r="T138" s="139"/>
      <c r="U138" s="139"/>
      <c r="V138" s="139"/>
      <c r="W138" s="139"/>
      <c r="X138" s="139"/>
      <c r="Y138" s="139"/>
      <c r="Z138" s="139"/>
      <c r="AA138" s="139"/>
      <c r="AB138" s="139"/>
      <c r="AC138" s="139"/>
      <c r="AL138" s="67">
        <f ca="1">-SUM(AL70:AL71)</f>
        <v>-141.33282036000014</v>
      </c>
      <c r="AM138" s="67">
        <f t="shared" ref="AM138:BH138" ca="1" si="93">-SUM(AM70:AM71)</f>
        <v>-169.83783636000015</v>
      </c>
      <c r="AN138" s="67">
        <f t="shared" ca="1" si="93"/>
        <v>-198.34285236000008</v>
      </c>
      <c r="AO138" s="67">
        <f t="shared" ca="1" si="93"/>
        <v>-261.05388756000008</v>
      </c>
      <c r="AP138" s="67">
        <f t="shared" ca="1" si="93"/>
        <v>-323.76492276000016</v>
      </c>
      <c r="AQ138" s="67">
        <f t="shared" ca="1" si="93"/>
        <v>-386.47595796000013</v>
      </c>
      <c r="AR138" s="67">
        <f t="shared" ca="1" si="93"/>
        <v>-449.18699316000016</v>
      </c>
      <c r="AS138" s="67">
        <f t="shared" ca="1" si="93"/>
        <v>-511.89802836001638</v>
      </c>
      <c r="AT138" s="67">
        <f t="shared" ca="1" si="93"/>
        <v>-611.66558436000662</v>
      </c>
      <c r="AU138" s="67">
        <f t="shared" ca="1" si="93"/>
        <v>-711.43314035999674</v>
      </c>
      <c r="AV138" s="67">
        <f t="shared" ca="1" si="93"/>
        <v>-811.20069636002768</v>
      </c>
      <c r="AW138" s="67">
        <f t="shared" ca="1" si="93"/>
        <v>-910.96825236001791</v>
      </c>
      <c r="AX138" s="67">
        <f t="shared" ca="1" si="93"/>
        <v>-1010.7358083600083</v>
      </c>
      <c r="AY138" s="67">
        <f t="shared" ca="1" si="93"/>
        <v>-1053.4933323599996</v>
      </c>
      <c r="AZ138" s="67">
        <f t="shared" ca="1" si="93"/>
        <v>-1096.2508563600013</v>
      </c>
      <c r="BA138" s="67">
        <f t="shared" ca="1" si="93"/>
        <v>-1139.008380360003</v>
      </c>
      <c r="BB138" s="67">
        <f t="shared" ca="1" si="93"/>
        <v>-1181.7659043600045</v>
      </c>
      <c r="BC138" s="67">
        <f t="shared" ca="1" si="93"/>
        <v>-1224.5234283599959</v>
      </c>
      <c r="BD138" s="67">
        <f t="shared" ca="1" si="93"/>
        <v>-1267.2809523599974</v>
      </c>
      <c r="BE138" s="67">
        <f t="shared" ca="1" si="93"/>
        <v>-1310.0384763599991</v>
      </c>
      <c r="BF138" s="67">
        <f t="shared" ca="1" si="93"/>
        <v>-1345.2946803600007</v>
      </c>
      <c r="BG138" s="67">
        <f t="shared" ca="1" si="93"/>
        <v>-1376.8002243600019</v>
      </c>
      <c r="BH138" s="67">
        <f t="shared" ca="1" si="93"/>
        <v>-1408.305768360003</v>
      </c>
    </row>
  </sheetData>
  <sheetProtection formatCells="0" formatColumns="0" formatRows="0" insertColumns="0" insertRows="0" insertHyperlinks="0" deleteColumns="0" deleteRows="0" sort="0" autoFilter="0" pivotTables="0"/>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39B43-1FF8-4788-9B37-A0B28CF131E9}">
  <sheetPr codeName="Sheet20">
    <tabColor theme="0" tint="-0.249977111117893"/>
  </sheetPr>
  <dimension ref="B3:AA35"/>
  <sheetViews>
    <sheetView showGridLines="0" zoomScale="74" zoomScaleNormal="85" workbookViewId="0"/>
  </sheetViews>
  <sheetFormatPr defaultColWidth="8.125" defaultRowHeight="14.25"/>
  <cols>
    <col min="1" max="1" width="14.875" style="147" customWidth="1"/>
    <col min="2" max="2" width="29.125" style="147" customWidth="1"/>
    <col min="3" max="3" width="19.75" style="465" customWidth="1"/>
    <col min="4" max="4" width="19.75" style="147" customWidth="1"/>
    <col min="5" max="11" width="10.5" style="147" customWidth="1"/>
    <col min="12" max="16384" width="8.125" style="147"/>
  </cols>
  <sheetData>
    <row r="3" spans="2:27" ht="15" customHeight="1">
      <c r="B3" s="383" t="s">
        <v>1939</v>
      </c>
      <c r="C3" s="386"/>
      <c r="E3" s="337"/>
      <c r="F3" s="337"/>
      <c r="G3" s="337"/>
      <c r="H3" s="337"/>
      <c r="I3" s="337"/>
      <c r="J3" s="337"/>
      <c r="K3" s="337"/>
    </row>
    <row r="4" spans="2:27" ht="45">
      <c r="B4" s="442"/>
      <c r="C4" s="390" t="s">
        <v>1596</v>
      </c>
      <c r="D4" s="389" t="s">
        <v>39</v>
      </c>
      <c r="E4" s="387" t="s">
        <v>180</v>
      </c>
      <c r="F4" s="387" t="s">
        <v>1735</v>
      </c>
      <c r="G4" s="387" t="s">
        <v>1766</v>
      </c>
      <c r="H4" s="387" t="s">
        <v>1764</v>
      </c>
      <c r="I4" s="387" t="s">
        <v>1743</v>
      </c>
      <c r="J4" s="387" t="s">
        <v>1746</v>
      </c>
      <c r="K4" s="387" t="s">
        <v>1750</v>
      </c>
    </row>
    <row r="5" spans="2:27" ht="15">
      <c r="B5" s="379" t="s">
        <v>1940</v>
      </c>
      <c r="C5" s="386" t="s">
        <v>1696</v>
      </c>
      <c r="D5" s="337">
        <v>93.3</v>
      </c>
      <c r="E5" s="443">
        <v>95.628110000000007</v>
      </c>
      <c r="F5" s="444">
        <v>22.275539999999999</v>
      </c>
      <c r="G5" s="445">
        <v>77.168869999999998</v>
      </c>
      <c r="H5" s="445">
        <v>84.343180000000004</v>
      </c>
      <c r="I5" s="445">
        <v>20.619759999999999</v>
      </c>
      <c r="J5" s="446">
        <v>27.794070000000001</v>
      </c>
      <c r="K5" s="432" t="s">
        <v>1529</v>
      </c>
    </row>
    <row r="6" spans="2:27" ht="15">
      <c r="B6" s="447" t="s">
        <v>1941</v>
      </c>
      <c r="C6" s="447" t="s">
        <v>1942</v>
      </c>
      <c r="D6" s="447"/>
      <c r="E6" s="448">
        <v>4.02E-2</v>
      </c>
      <c r="F6" s="448">
        <v>3.7199999999999997E-2</v>
      </c>
      <c r="G6" s="448">
        <v>4.8000000000000001E-2</v>
      </c>
      <c r="H6" s="448">
        <v>4.8000000000000001E-2</v>
      </c>
      <c r="I6" s="448">
        <v>4.8000000000000001E-2</v>
      </c>
      <c r="J6" s="448">
        <v>4.8000000000000001E-2</v>
      </c>
      <c r="K6" s="447" t="s">
        <v>1568</v>
      </c>
    </row>
    <row r="7" spans="2:27" ht="94.5" customHeight="1">
      <c r="B7" s="385" t="s">
        <v>690</v>
      </c>
      <c r="C7" s="449"/>
      <c r="D7" s="208" t="s">
        <v>1943</v>
      </c>
      <c r="E7" s="450" t="s">
        <v>1944</v>
      </c>
      <c r="F7" s="814" t="s">
        <v>1945</v>
      </c>
      <c r="G7" s="814"/>
      <c r="H7" s="814"/>
      <c r="I7" s="814"/>
      <c r="J7" s="814"/>
      <c r="K7" s="451" t="s">
        <v>1727</v>
      </c>
    </row>
    <row r="8" spans="2:27">
      <c r="B8" s="386"/>
      <c r="C8" s="386"/>
      <c r="D8" s="337"/>
      <c r="E8" s="337"/>
      <c r="F8" s="337"/>
      <c r="G8" s="337"/>
      <c r="H8" s="452"/>
      <c r="I8" s="432"/>
      <c r="J8" s="337"/>
      <c r="K8" s="337"/>
      <c r="L8" s="337"/>
    </row>
    <row r="9" spans="2:27">
      <c r="C9" s="337"/>
      <c r="D9" s="337"/>
    </row>
    <row r="10" spans="2:27">
      <c r="B10" s="337"/>
      <c r="C10" s="386"/>
      <c r="D10" s="379"/>
      <c r="E10" s="379"/>
      <c r="F10" s="379"/>
      <c r="G10" s="379"/>
      <c r="H10" s="379"/>
      <c r="I10" s="379"/>
      <c r="J10" s="379"/>
      <c r="K10" s="337"/>
      <c r="L10" s="337"/>
    </row>
    <row r="11" spans="2:27" ht="15">
      <c r="B11" s="383" t="s">
        <v>1946</v>
      </c>
      <c r="C11" s="386"/>
      <c r="D11" s="379"/>
      <c r="E11" s="379"/>
      <c r="F11" s="379"/>
      <c r="G11" s="379"/>
      <c r="H11" s="379"/>
      <c r="I11" s="379"/>
      <c r="J11" s="379"/>
      <c r="K11" s="337"/>
      <c r="L11" s="337"/>
    </row>
    <row r="12" spans="2:27" ht="15">
      <c r="B12" s="453" t="s">
        <v>1947</v>
      </c>
      <c r="C12" s="390" t="s">
        <v>690</v>
      </c>
      <c r="D12" s="390" t="s">
        <v>1948</v>
      </c>
      <c r="E12" s="442">
        <v>2028</v>
      </c>
      <c r="F12" s="442">
        <v>2029</v>
      </c>
      <c r="G12" s="442">
        <v>2030</v>
      </c>
      <c r="H12" s="442">
        <v>2031</v>
      </c>
      <c r="I12" s="442">
        <v>2032</v>
      </c>
      <c r="J12" s="442">
        <v>2033</v>
      </c>
      <c r="K12" s="442">
        <v>2034</v>
      </c>
      <c r="L12" s="442">
        <v>2035</v>
      </c>
      <c r="M12" s="442">
        <v>2036</v>
      </c>
      <c r="N12" s="442">
        <v>2037</v>
      </c>
      <c r="O12" s="442">
        <v>2038</v>
      </c>
      <c r="P12" s="442">
        <v>2039</v>
      </c>
      <c r="Q12" s="442">
        <v>2040</v>
      </c>
      <c r="R12" s="442">
        <v>2041</v>
      </c>
      <c r="S12" s="442">
        <v>2042</v>
      </c>
      <c r="T12" s="442">
        <v>2043</v>
      </c>
      <c r="U12" s="442">
        <v>2044</v>
      </c>
      <c r="V12" s="442">
        <v>2045</v>
      </c>
      <c r="W12" s="442">
        <v>2046</v>
      </c>
      <c r="X12" s="442">
        <v>2047</v>
      </c>
      <c r="Y12" s="442">
        <v>2048</v>
      </c>
      <c r="Z12" s="442">
        <v>2049</v>
      </c>
      <c r="AA12" s="442">
        <v>2050</v>
      </c>
    </row>
    <row r="13" spans="2:27">
      <c r="B13" s="454" t="s">
        <v>1809</v>
      </c>
      <c r="C13" s="455" t="s">
        <v>1943</v>
      </c>
      <c r="D13" s="456" t="s">
        <v>178</v>
      </c>
      <c r="E13" s="454">
        <v>4.0000000000000036E-2</v>
      </c>
      <c r="F13" s="454">
        <v>6.0000000000000053E-2</v>
      </c>
      <c r="G13" s="454">
        <v>7.999999999999996E-2</v>
      </c>
      <c r="H13" s="454">
        <v>0.124</v>
      </c>
      <c r="I13" s="454">
        <v>0.16800000000000004</v>
      </c>
      <c r="J13" s="454">
        <v>0.21199999999999997</v>
      </c>
      <c r="K13" s="454">
        <v>0.25600000000000001</v>
      </c>
      <c r="L13" s="454">
        <v>0.30000000000001137</v>
      </c>
      <c r="M13" s="454">
        <v>0.37000000000000455</v>
      </c>
      <c r="N13" s="454">
        <v>0.43999999999999773</v>
      </c>
      <c r="O13" s="454">
        <v>0.51000000000001933</v>
      </c>
      <c r="P13" s="454">
        <v>0.58000000000001251</v>
      </c>
      <c r="Q13" s="454">
        <v>0.65000000000000568</v>
      </c>
      <c r="R13" s="454">
        <v>0.67999999999999972</v>
      </c>
      <c r="S13" s="454">
        <v>0.71000000000000085</v>
      </c>
      <c r="T13" s="454">
        <v>0.74000000000000199</v>
      </c>
      <c r="U13" s="454">
        <v>0.77000000000000313</v>
      </c>
      <c r="V13" s="454">
        <v>0.79999999999999716</v>
      </c>
      <c r="W13" s="454">
        <v>0.82999999999999829</v>
      </c>
      <c r="X13" s="454">
        <v>0.85999999999999943</v>
      </c>
      <c r="Y13" s="454">
        <v>0.89000000000000057</v>
      </c>
      <c r="Z13" s="454">
        <v>0.92000000000000171</v>
      </c>
      <c r="AA13" s="454">
        <v>0.95000000000000284</v>
      </c>
    </row>
    <row r="14" spans="2:27">
      <c r="B14" s="337" t="s">
        <v>1812</v>
      </c>
      <c r="C14" s="386" t="s">
        <v>1943</v>
      </c>
      <c r="D14" s="398" t="s">
        <v>178</v>
      </c>
      <c r="E14" s="398">
        <v>0.17000000000000004</v>
      </c>
      <c r="F14" s="398">
        <v>0.19000000000000006</v>
      </c>
      <c r="G14" s="398">
        <v>0.20999999999999996</v>
      </c>
      <c r="H14" s="398">
        <v>0.254</v>
      </c>
      <c r="I14" s="398">
        <v>0.29800000000000004</v>
      </c>
      <c r="J14" s="398">
        <v>0.34199999999999997</v>
      </c>
      <c r="K14" s="398">
        <v>0.38600000000000001</v>
      </c>
      <c r="L14" s="398">
        <v>0.43000000000001137</v>
      </c>
      <c r="M14" s="398">
        <v>0.50000000000000455</v>
      </c>
      <c r="N14" s="398">
        <v>0.56999999999999773</v>
      </c>
      <c r="O14" s="398">
        <v>0.64000000000001933</v>
      </c>
      <c r="P14" s="398">
        <v>0.71000000000001251</v>
      </c>
      <c r="Q14" s="398">
        <v>0.78000000000000569</v>
      </c>
      <c r="R14" s="398">
        <v>0.80999999999999972</v>
      </c>
      <c r="S14" s="398">
        <v>0.84000000000000086</v>
      </c>
      <c r="T14" s="398">
        <v>0.87000000000000199</v>
      </c>
      <c r="U14" s="398">
        <v>0.90000000000000313</v>
      </c>
      <c r="V14" s="398">
        <v>0.92999999999999716</v>
      </c>
      <c r="W14" s="398">
        <v>0.9599999999999983</v>
      </c>
      <c r="X14" s="398">
        <v>0.98999999999999944</v>
      </c>
      <c r="Y14" s="398">
        <v>1</v>
      </c>
      <c r="Z14" s="398">
        <v>1</v>
      </c>
      <c r="AA14" s="398">
        <v>1</v>
      </c>
    </row>
    <row r="15" spans="2:27">
      <c r="B15" s="457" t="s">
        <v>1949</v>
      </c>
      <c r="C15" s="455"/>
      <c r="D15" s="456" t="s">
        <v>1950</v>
      </c>
      <c r="E15" s="454">
        <v>380</v>
      </c>
      <c r="F15" s="454">
        <v>380</v>
      </c>
      <c r="G15" s="454">
        <v>380</v>
      </c>
      <c r="H15" s="454">
        <v>380</v>
      </c>
      <c r="I15" s="454">
        <v>380</v>
      </c>
      <c r="J15" s="454">
        <v>380</v>
      </c>
      <c r="K15" s="454">
        <v>380</v>
      </c>
      <c r="L15" s="454">
        <v>380</v>
      </c>
      <c r="M15" s="454">
        <v>380</v>
      </c>
      <c r="N15" s="454">
        <v>380</v>
      </c>
      <c r="O15" s="454">
        <v>380</v>
      </c>
      <c r="P15" s="454">
        <v>380</v>
      </c>
      <c r="Q15" s="454">
        <v>380</v>
      </c>
      <c r="R15" s="454">
        <v>380</v>
      </c>
      <c r="S15" s="454">
        <v>380</v>
      </c>
      <c r="T15" s="454">
        <v>380</v>
      </c>
      <c r="U15" s="454">
        <v>380</v>
      </c>
      <c r="V15" s="454">
        <v>380</v>
      </c>
      <c r="W15" s="454">
        <v>380</v>
      </c>
      <c r="X15" s="454">
        <v>380</v>
      </c>
      <c r="Y15" s="454">
        <v>380</v>
      </c>
      <c r="Z15" s="454">
        <v>380</v>
      </c>
      <c r="AA15" s="454">
        <v>380</v>
      </c>
    </row>
    <row r="16" spans="2:27">
      <c r="B16" s="337" t="s">
        <v>1951</v>
      </c>
      <c r="C16" s="386"/>
      <c r="D16" s="398" t="s">
        <v>1950</v>
      </c>
      <c r="E16" s="398">
        <v>100</v>
      </c>
      <c r="F16" s="398">
        <v>100</v>
      </c>
      <c r="G16" s="398">
        <v>100</v>
      </c>
      <c r="H16" s="398">
        <v>100</v>
      </c>
      <c r="I16" s="398">
        <v>100</v>
      </c>
      <c r="J16" s="398">
        <v>100</v>
      </c>
      <c r="K16" s="398">
        <v>100</v>
      </c>
      <c r="L16" s="398">
        <v>100</v>
      </c>
      <c r="M16" s="398">
        <v>100</v>
      </c>
      <c r="N16" s="398">
        <v>100</v>
      </c>
      <c r="O16" s="398">
        <v>100</v>
      </c>
      <c r="P16" s="398">
        <v>100</v>
      </c>
      <c r="Q16" s="398">
        <v>100</v>
      </c>
      <c r="R16" s="398">
        <v>100</v>
      </c>
      <c r="S16" s="398">
        <v>100</v>
      </c>
      <c r="T16" s="398">
        <v>100</v>
      </c>
      <c r="U16" s="398">
        <v>100</v>
      </c>
      <c r="V16" s="398">
        <v>100</v>
      </c>
      <c r="W16" s="398">
        <v>100</v>
      </c>
      <c r="X16" s="398">
        <v>100</v>
      </c>
      <c r="Y16" s="398">
        <v>100</v>
      </c>
      <c r="Z16" s="398">
        <v>100</v>
      </c>
      <c r="AA16" s="398">
        <v>100</v>
      </c>
    </row>
    <row r="17" spans="2:27">
      <c r="B17" s="457" t="s">
        <v>1952</v>
      </c>
      <c r="C17" s="455"/>
      <c r="D17" s="456" t="s">
        <v>1526</v>
      </c>
      <c r="E17" s="454">
        <v>19</v>
      </c>
      <c r="F17" s="454">
        <v>19</v>
      </c>
      <c r="G17" s="454">
        <v>19</v>
      </c>
      <c r="H17" s="454">
        <v>19</v>
      </c>
      <c r="I17" s="454">
        <v>19</v>
      </c>
      <c r="J17" s="454">
        <v>19</v>
      </c>
      <c r="K17" s="454">
        <v>19</v>
      </c>
      <c r="L17" s="454">
        <v>14</v>
      </c>
      <c r="M17" s="454">
        <v>14</v>
      </c>
      <c r="N17" s="454">
        <v>14</v>
      </c>
      <c r="O17" s="454">
        <v>14</v>
      </c>
      <c r="P17" s="454">
        <v>14</v>
      </c>
      <c r="Q17" s="454">
        <v>14</v>
      </c>
      <c r="R17" s="454">
        <v>14</v>
      </c>
      <c r="S17" s="454">
        <v>14</v>
      </c>
      <c r="T17" s="454">
        <v>14</v>
      </c>
      <c r="U17" s="454">
        <v>14</v>
      </c>
      <c r="V17" s="454">
        <v>14</v>
      </c>
      <c r="W17" s="454">
        <v>14</v>
      </c>
      <c r="X17" s="454">
        <v>14</v>
      </c>
      <c r="Y17" s="454">
        <v>14</v>
      </c>
      <c r="Z17" s="454">
        <v>14</v>
      </c>
      <c r="AA17" s="454">
        <v>14</v>
      </c>
    </row>
    <row r="18" spans="2:27">
      <c r="B18" s="337" t="s">
        <v>1733</v>
      </c>
      <c r="C18" s="386" t="s">
        <v>1953</v>
      </c>
      <c r="D18" s="398" t="s">
        <v>1950</v>
      </c>
      <c r="E18" s="398">
        <v>294</v>
      </c>
      <c r="F18" s="398">
        <v>294</v>
      </c>
      <c r="G18" s="398">
        <v>232</v>
      </c>
      <c r="H18" s="398">
        <v>232</v>
      </c>
      <c r="I18" s="398">
        <v>232</v>
      </c>
      <c r="J18" s="398">
        <v>232</v>
      </c>
      <c r="K18" s="398">
        <v>232</v>
      </c>
      <c r="L18" s="398">
        <v>145</v>
      </c>
      <c r="M18" s="398">
        <v>145</v>
      </c>
      <c r="N18" s="398">
        <v>145</v>
      </c>
      <c r="O18" s="398">
        <v>145</v>
      </c>
      <c r="P18" s="398">
        <v>145</v>
      </c>
      <c r="Q18" s="398">
        <v>61</v>
      </c>
      <c r="R18" s="398">
        <v>61</v>
      </c>
      <c r="S18" s="398">
        <v>61</v>
      </c>
      <c r="T18" s="398">
        <v>61</v>
      </c>
      <c r="U18" s="398">
        <v>61</v>
      </c>
      <c r="V18" s="398">
        <v>0</v>
      </c>
      <c r="W18" s="398">
        <v>0</v>
      </c>
      <c r="X18" s="398">
        <v>0</v>
      </c>
      <c r="Y18" s="398">
        <v>0</v>
      </c>
      <c r="Z18" s="398">
        <v>0</v>
      </c>
      <c r="AA18" s="398">
        <v>0</v>
      </c>
    </row>
    <row r="19" spans="2:27">
      <c r="B19" s="457" t="s">
        <v>1734</v>
      </c>
      <c r="C19" s="455" t="s">
        <v>1953</v>
      </c>
      <c r="D19" s="456" t="s">
        <v>1950</v>
      </c>
      <c r="E19" s="454">
        <v>352</v>
      </c>
      <c r="F19" s="454">
        <v>352</v>
      </c>
      <c r="G19" s="454">
        <v>270</v>
      </c>
      <c r="H19" s="454">
        <v>270</v>
      </c>
      <c r="I19" s="454">
        <v>270</v>
      </c>
      <c r="J19" s="454">
        <v>270</v>
      </c>
      <c r="K19" s="454">
        <v>270</v>
      </c>
      <c r="L19" s="454">
        <v>177</v>
      </c>
      <c r="M19" s="454">
        <v>177</v>
      </c>
      <c r="N19" s="454">
        <v>177</v>
      </c>
      <c r="O19" s="454">
        <v>177</v>
      </c>
      <c r="P19" s="454">
        <v>177</v>
      </c>
      <c r="Q19" s="454">
        <v>107</v>
      </c>
      <c r="R19" s="454">
        <v>107</v>
      </c>
      <c r="S19" s="454">
        <v>107</v>
      </c>
      <c r="T19" s="454">
        <v>107</v>
      </c>
      <c r="U19" s="454">
        <v>107</v>
      </c>
      <c r="V19" s="454">
        <v>0</v>
      </c>
      <c r="W19" s="454">
        <v>0</v>
      </c>
      <c r="X19" s="454">
        <v>0</v>
      </c>
      <c r="Y19" s="454">
        <v>0</v>
      </c>
      <c r="Z19" s="454">
        <v>0</v>
      </c>
      <c r="AA19" s="454">
        <v>0</v>
      </c>
    </row>
    <row r="20" spans="2:27">
      <c r="B20" s="337" t="s">
        <v>1737</v>
      </c>
      <c r="C20" s="386"/>
      <c r="D20" s="398" t="s">
        <v>1950</v>
      </c>
      <c r="E20" s="398">
        <v>400</v>
      </c>
      <c r="F20" s="398">
        <v>400</v>
      </c>
      <c r="G20" s="398">
        <v>350</v>
      </c>
      <c r="H20" s="398">
        <v>300</v>
      </c>
      <c r="I20" s="398">
        <v>250</v>
      </c>
      <c r="J20" s="398">
        <v>200</v>
      </c>
      <c r="K20" s="398">
        <v>150</v>
      </c>
      <c r="L20" s="398">
        <v>100</v>
      </c>
      <c r="M20" s="398">
        <v>85</v>
      </c>
      <c r="N20" s="398">
        <v>70</v>
      </c>
      <c r="O20" s="398">
        <v>55</v>
      </c>
      <c r="P20" s="398">
        <v>40</v>
      </c>
      <c r="Q20" s="398">
        <v>25</v>
      </c>
      <c r="R20" s="398">
        <v>23</v>
      </c>
      <c r="S20" s="398">
        <v>21</v>
      </c>
      <c r="T20" s="398">
        <v>19</v>
      </c>
      <c r="U20" s="398">
        <v>17</v>
      </c>
      <c r="V20" s="398">
        <v>15</v>
      </c>
      <c r="W20" s="398">
        <v>13</v>
      </c>
      <c r="X20" s="398">
        <v>11</v>
      </c>
      <c r="Y20" s="398">
        <v>9</v>
      </c>
      <c r="Z20" s="398">
        <v>7</v>
      </c>
      <c r="AA20" s="398">
        <v>5</v>
      </c>
    </row>
    <row r="21" spans="2:27">
      <c r="B21" s="457" t="s">
        <v>1741</v>
      </c>
      <c r="C21" s="455"/>
      <c r="D21" s="456" t="s">
        <v>1950</v>
      </c>
      <c r="E21" s="454">
        <f t="shared" ref="E21:AA21" si="0">E20/2</f>
        <v>200</v>
      </c>
      <c r="F21" s="454">
        <f t="shared" si="0"/>
        <v>200</v>
      </c>
      <c r="G21" s="454">
        <f t="shared" si="0"/>
        <v>175</v>
      </c>
      <c r="H21" s="454">
        <f t="shared" si="0"/>
        <v>150</v>
      </c>
      <c r="I21" s="454">
        <f t="shared" si="0"/>
        <v>125</v>
      </c>
      <c r="J21" s="454">
        <f t="shared" si="0"/>
        <v>100</v>
      </c>
      <c r="K21" s="454">
        <f t="shared" si="0"/>
        <v>75</v>
      </c>
      <c r="L21" s="454">
        <f t="shared" si="0"/>
        <v>50</v>
      </c>
      <c r="M21" s="454">
        <f t="shared" si="0"/>
        <v>42.5</v>
      </c>
      <c r="N21" s="454">
        <f t="shared" si="0"/>
        <v>35</v>
      </c>
      <c r="O21" s="454">
        <f t="shared" si="0"/>
        <v>27.5</v>
      </c>
      <c r="P21" s="454">
        <f t="shared" si="0"/>
        <v>20</v>
      </c>
      <c r="Q21" s="454">
        <f t="shared" si="0"/>
        <v>12.5</v>
      </c>
      <c r="R21" s="454">
        <f t="shared" si="0"/>
        <v>11.5</v>
      </c>
      <c r="S21" s="454">
        <f t="shared" si="0"/>
        <v>10.5</v>
      </c>
      <c r="T21" s="454">
        <f t="shared" si="0"/>
        <v>9.5</v>
      </c>
      <c r="U21" s="454">
        <f t="shared" si="0"/>
        <v>8.5</v>
      </c>
      <c r="V21" s="454">
        <f t="shared" si="0"/>
        <v>7.5</v>
      </c>
      <c r="W21" s="454">
        <f t="shared" si="0"/>
        <v>6.5</v>
      </c>
      <c r="X21" s="454">
        <f t="shared" si="0"/>
        <v>5.5</v>
      </c>
      <c r="Y21" s="454">
        <f t="shared" si="0"/>
        <v>4.5</v>
      </c>
      <c r="Z21" s="454">
        <f t="shared" si="0"/>
        <v>3.5</v>
      </c>
      <c r="AA21" s="454">
        <f t="shared" si="0"/>
        <v>2.5</v>
      </c>
    </row>
    <row r="22" spans="2:27">
      <c r="B22" s="458" t="s">
        <v>332</v>
      </c>
      <c r="C22" s="459"/>
      <c r="D22" s="408" t="s">
        <v>1950</v>
      </c>
      <c r="E22" s="460">
        <v>0</v>
      </c>
      <c r="F22" s="460">
        <v>0</v>
      </c>
      <c r="G22" s="460">
        <v>0</v>
      </c>
      <c r="H22" s="460">
        <v>0</v>
      </c>
      <c r="I22" s="460">
        <v>0</v>
      </c>
      <c r="J22" s="460">
        <v>0</v>
      </c>
      <c r="K22" s="460">
        <v>0</v>
      </c>
      <c r="L22" s="460">
        <v>0</v>
      </c>
      <c r="M22" s="460">
        <v>0</v>
      </c>
      <c r="N22" s="460">
        <v>0</v>
      </c>
      <c r="O22" s="460">
        <v>0</v>
      </c>
      <c r="P22" s="460">
        <v>0</v>
      </c>
      <c r="Q22" s="460">
        <v>0</v>
      </c>
      <c r="R22" s="460">
        <v>0</v>
      </c>
      <c r="S22" s="460">
        <v>0</v>
      </c>
      <c r="T22" s="460">
        <v>0</v>
      </c>
      <c r="U22" s="460">
        <v>0</v>
      </c>
      <c r="V22" s="460">
        <v>0</v>
      </c>
      <c r="W22" s="460">
        <v>0</v>
      </c>
      <c r="X22" s="460">
        <v>0</v>
      </c>
      <c r="Y22" s="460">
        <v>0</v>
      </c>
      <c r="Z22" s="460">
        <v>0</v>
      </c>
      <c r="AA22" s="460">
        <v>0</v>
      </c>
    </row>
    <row r="23" spans="2:27">
      <c r="B23" s="337"/>
      <c r="C23" s="386"/>
      <c r="D23" s="379"/>
      <c r="E23" s="379"/>
      <c r="F23" s="379"/>
      <c r="G23" s="379"/>
      <c r="H23" s="379"/>
      <c r="I23" s="379"/>
      <c r="J23" s="379"/>
      <c r="K23" s="337"/>
      <c r="L23" s="337"/>
    </row>
    <row r="24" spans="2:27">
      <c r="B24" s="337"/>
      <c r="C24" s="386"/>
      <c r="D24" s="379"/>
      <c r="E24" s="379"/>
      <c r="F24" s="379"/>
      <c r="G24" s="379"/>
      <c r="H24" s="379"/>
      <c r="I24" s="379"/>
      <c r="J24" s="379"/>
      <c r="K24" s="337"/>
      <c r="L24" s="337"/>
    </row>
    <row r="25" spans="2:27" ht="15">
      <c r="B25" s="383" t="s">
        <v>1954</v>
      </c>
      <c r="C25" s="386"/>
      <c r="D25" s="379"/>
      <c r="E25" s="379"/>
      <c r="F25" s="379"/>
      <c r="G25" s="379"/>
      <c r="H25" s="379"/>
      <c r="I25" s="379"/>
      <c r="J25" s="379"/>
      <c r="K25" s="337"/>
      <c r="L25" s="337"/>
    </row>
    <row r="26" spans="2:27" ht="15">
      <c r="B26" s="453" t="s">
        <v>1955</v>
      </c>
      <c r="C26" s="390" t="s">
        <v>690</v>
      </c>
      <c r="D26" s="390" t="s">
        <v>1948</v>
      </c>
      <c r="E26" s="442">
        <v>2028</v>
      </c>
      <c r="F26" s="442">
        <v>2029</v>
      </c>
      <c r="G26" s="442">
        <v>2030</v>
      </c>
      <c r="H26" s="442">
        <v>2031</v>
      </c>
      <c r="I26" s="442">
        <v>2032</v>
      </c>
      <c r="J26" s="442">
        <v>2033</v>
      </c>
      <c r="K26" s="442">
        <v>2034</v>
      </c>
      <c r="L26" s="442">
        <v>2035</v>
      </c>
      <c r="M26" s="442">
        <v>2036</v>
      </c>
      <c r="N26" s="442">
        <v>2037</v>
      </c>
      <c r="O26" s="442">
        <v>2038</v>
      </c>
      <c r="P26" s="442">
        <v>2039</v>
      </c>
      <c r="Q26" s="442">
        <v>2040</v>
      </c>
      <c r="R26" s="442">
        <v>2041</v>
      </c>
      <c r="S26" s="442">
        <v>2042</v>
      </c>
      <c r="T26" s="442">
        <v>2043</v>
      </c>
      <c r="U26" s="442">
        <v>2044</v>
      </c>
      <c r="V26" s="442">
        <v>2045</v>
      </c>
      <c r="W26" s="442">
        <v>2046</v>
      </c>
      <c r="X26" s="442">
        <v>2047</v>
      </c>
      <c r="Y26" s="442">
        <v>2048</v>
      </c>
      <c r="Z26" s="442">
        <v>2049</v>
      </c>
      <c r="AA26" s="442">
        <v>2050</v>
      </c>
    </row>
    <row r="27" spans="2:27">
      <c r="B27" s="337" t="s">
        <v>1745</v>
      </c>
      <c r="C27" s="461" t="s">
        <v>1557</v>
      </c>
      <c r="D27" s="386" t="s">
        <v>587</v>
      </c>
      <c r="E27" s="432">
        <v>14.241262135922296</v>
      </c>
      <c r="F27" s="432">
        <v>13.848786407766889</v>
      </c>
      <c r="G27" s="432">
        <v>13.456310679611649</v>
      </c>
      <c r="H27" s="432">
        <v>13.456310679611649</v>
      </c>
      <c r="I27" s="432">
        <v>13.456310679611649</v>
      </c>
      <c r="J27" s="432">
        <v>13.456310679611649</v>
      </c>
      <c r="K27" s="432">
        <v>13.456310679611649</v>
      </c>
      <c r="L27" s="432">
        <v>13.456310679611649</v>
      </c>
      <c r="M27" s="432">
        <v>13.456310679611649</v>
      </c>
      <c r="N27" s="432">
        <v>13.456310679611649</v>
      </c>
      <c r="O27" s="432">
        <v>13.456310679611649</v>
      </c>
      <c r="P27" s="432">
        <v>13.456310679611649</v>
      </c>
      <c r="Q27" s="432">
        <v>13.456310679611649</v>
      </c>
      <c r="R27" s="432">
        <v>13.456310679611649</v>
      </c>
      <c r="S27" s="432">
        <v>13.456310679611649</v>
      </c>
      <c r="T27" s="432">
        <v>13.456310679611649</v>
      </c>
      <c r="U27" s="432">
        <v>13.456310679611649</v>
      </c>
      <c r="V27" s="432">
        <v>13.456310679611649</v>
      </c>
      <c r="W27" s="432">
        <v>13.456310679611649</v>
      </c>
      <c r="X27" s="432">
        <v>13.456310679611649</v>
      </c>
      <c r="Y27" s="432">
        <v>13.456310679611649</v>
      </c>
      <c r="Z27" s="432">
        <v>13.456310679611649</v>
      </c>
      <c r="AA27" s="432">
        <v>13.456310679611649</v>
      </c>
    </row>
    <row r="28" spans="2:27">
      <c r="B28" s="457" t="s">
        <v>1752</v>
      </c>
      <c r="C28" s="462" t="s">
        <v>1557</v>
      </c>
      <c r="D28" s="456" t="s">
        <v>587</v>
      </c>
      <c r="E28" s="463">
        <v>13.513486979796285</v>
      </c>
      <c r="F28" s="463">
        <v>12.461687677007411</v>
      </c>
      <c r="G28" s="463">
        <v>11.409888374218541</v>
      </c>
      <c r="H28" s="463">
        <v>11.404711335629472</v>
      </c>
      <c r="I28" s="463">
        <v>11.399534297040399</v>
      </c>
      <c r="J28" s="463">
        <v>11.394357258451331</v>
      </c>
      <c r="K28" s="463">
        <v>11.389180219862256</v>
      </c>
      <c r="L28" s="463">
        <v>11.384003181273181</v>
      </c>
      <c r="M28" s="463">
        <v>11.359334171568827</v>
      </c>
      <c r="N28" s="463">
        <v>11.334665161864466</v>
      </c>
      <c r="O28" s="463">
        <v>11.309996152160105</v>
      </c>
      <c r="P28" s="463">
        <v>11.285327142455742</v>
      </c>
      <c r="Q28" s="463">
        <v>11.26065813275139</v>
      </c>
      <c r="R28" s="463">
        <v>11.236676488740128</v>
      </c>
      <c r="S28" s="463">
        <v>11.212694844728878</v>
      </c>
      <c r="T28" s="463">
        <v>11.18871320071762</v>
      </c>
      <c r="U28" s="463">
        <v>11.164731556706363</v>
      </c>
      <c r="V28" s="463">
        <v>11.140749912695105</v>
      </c>
      <c r="W28" s="463">
        <v>11.119938841184348</v>
      </c>
      <c r="X28" s="463">
        <v>11.099127769673593</v>
      </c>
      <c r="Y28" s="463">
        <v>11.078316698162839</v>
      </c>
      <c r="Z28" s="463">
        <v>11.057505626652086</v>
      </c>
      <c r="AA28" s="463">
        <v>11.036694555141331</v>
      </c>
    </row>
    <row r="29" spans="2:27">
      <c r="B29" s="147" t="s">
        <v>1754</v>
      </c>
      <c r="C29" s="461" t="s">
        <v>1558</v>
      </c>
      <c r="D29" s="384" t="s">
        <v>587</v>
      </c>
      <c r="E29" s="398">
        <f>AVERAGE(E30:E31)</f>
        <v>33.900000000000006</v>
      </c>
      <c r="F29" s="398">
        <f t="shared" ref="F29:AA29" si="1">AVERAGE(F30:F31)</f>
        <v>35.199999999999996</v>
      </c>
      <c r="G29" s="398">
        <f t="shared" si="1"/>
        <v>36.5</v>
      </c>
      <c r="H29" s="398">
        <f t="shared" si="1"/>
        <v>37.9</v>
      </c>
      <c r="I29" s="398">
        <f t="shared" si="1"/>
        <v>39.299999999999997</v>
      </c>
      <c r="J29" s="398">
        <f t="shared" si="1"/>
        <v>40.700000000000003</v>
      </c>
      <c r="K29" s="398">
        <f t="shared" si="1"/>
        <v>42.1</v>
      </c>
      <c r="L29" s="398">
        <f t="shared" si="1"/>
        <v>43.5</v>
      </c>
      <c r="M29" s="398">
        <f t="shared" si="1"/>
        <v>44.9</v>
      </c>
      <c r="N29" s="398">
        <f t="shared" si="1"/>
        <v>46.3</v>
      </c>
      <c r="O29" s="398">
        <f t="shared" si="1"/>
        <v>47.7</v>
      </c>
      <c r="P29" s="398">
        <f t="shared" si="1"/>
        <v>49.1</v>
      </c>
      <c r="Q29" s="398">
        <f t="shared" si="1"/>
        <v>50.5</v>
      </c>
      <c r="R29" s="398">
        <f t="shared" si="1"/>
        <v>51.800000000000004</v>
      </c>
      <c r="S29" s="398">
        <f t="shared" si="1"/>
        <v>53.099999999999994</v>
      </c>
      <c r="T29" s="398">
        <f t="shared" si="1"/>
        <v>54.400000000000006</v>
      </c>
      <c r="U29" s="398">
        <f t="shared" si="1"/>
        <v>55.699999999999996</v>
      </c>
      <c r="V29" s="398">
        <f t="shared" si="1"/>
        <v>57</v>
      </c>
      <c r="W29" s="398">
        <f t="shared" si="1"/>
        <v>58.300000000000004</v>
      </c>
      <c r="X29" s="398">
        <f t="shared" si="1"/>
        <v>59.599999999999994</v>
      </c>
      <c r="Y29" s="398">
        <f t="shared" si="1"/>
        <v>60.900000000000006</v>
      </c>
      <c r="Z29" s="398">
        <f t="shared" si="1"/>
        <v>62.199999999999996</v>
      </c>
      <c r="AA29" s="398">
        <f t="shared" si="1"/>
        <v>63.5</v>
      </c>
    </row>
    <row r="30" spans="2:27">
      <c r="B30" s="457" t="s">
        <v>1757</v>
      </c>
      <c r="C30" s="462" t="s">
        <v>1558</v>
      </c>
      <c r="D30" s="456" t="s">
        <v>587</v>
      </c>
      <c r="E30" s="463">
        <v>23.6</v>
      </c>
      <c r="F30" s="463">
        <v>23.8</v>
      </c>
      <c r="G30" s="463">
        <v>24</v>
      </c>
      <c r="H30" s="463">
        <v>24.3</v>
      </c>
      <c r="I30" s="463">
        <v>24.6</v>
      </c>
      <c r="J30" s="463">
        <v>24.9</v>
      </c>
      <c r="K30" s="463">
        <v>25.2</v>
      </c>
      <c r="L30" s="463">
        <v>25.5</v>
      </c>
      <c r="M30" s="463">
        <v>25.8</v>
      </c>
      <c r="N30" s="463">
        <v>26.1</v>
      </c>
      <c r="O30" s="463">
        <v>26.4</v>
      </c>
      <c r="P30" s="463">
        <v>26.7</v>
      </c>
      <c r="Q30" s="463">
        <v>27</v>
      </c>
      <c r="R30" s="463">
        <v>27.2</v>
      </c>
      <c r="S30" s="463">
        <v>27.4</v>
      </c>
      <c r="T30" s="463">
        <v>27.6</v>
      </c>
      <c r="U30" s="463">
        <v>27.8</v>
      </c>
      <c r="V30" s="463">
        <v>28</v>
      </c>
      <c r="W30" s="463">
        <v>28.2</v>
      </c>
      <c r="X30" s="463">
        <v>28.4</v>
      </c>
      <c r="Y30" s="463">
        <v>28.6</v>
      </c>
      <c r="Z30" s="463">
        <v>28.8</v>
      </c>
      <c r="AA30" s="463">
        <v>29</v>
      </c>
    </row>
    <row r="31" spans="2:27">
      <c r="B31" s="337" t="s">
        <v>1759</v>
      </c>
      <c r="C31" s="461" t="s">
        <v>1558</v>
      </c>
      <c r="D31" s="386" t="s">
        <v>587</v>
      </c>
      <c r="E31" s="432">
        <v>44.2</v>
      </c>
      <c r="F31" s="432">
        <v>46.599999999999994</v>
      </c>
      <c r="G31" s="432">
        <v>49</v>
      </c>
      <c r="H31" s="432">
        <v>51.5</v>
      </c>
      <c r="I31" s="432">
        <v>54</v>
      </c>
      <c r="J31" s="432">
        <v>56.5</v>
      </c>
      <c r="K31" s="432">
        <v>59</v>
      </c>
      <c r="L31" s="432">
        <v>61.5</v>
      </c>
      <c r="M31" s="432">
        <v>64</v>
      </c>
      <c r="N31" s="432">
        <v>66.5</v>
      </c>
      <c r="O31" s="432">
        <v>69</v>
      </c>
      <c r="P31" s="432">
        <v>71.5</v>
      </c>
      <c r="Q31" s="432">
        <v>74</v>
      </c>
      <c r="R31" s="432">
        <v>76.400000000000006</v>
      </c>
      <c r="S31" s="432">
        <v>78.8</v>
      </c>
      <c r="T31" s="432">
        <v>81.2</v>
      </c>
      <c r="U31" s="432">
        <v>83.6</v>
      </c>
      <c r="V31" s="432">
        <v>86</v>
      </c>
      <c r="W31" s="432">
        <v>88.4</v>
      </c>
      <c r="X31" s="432">
        <v>90.8</v>
      </c>
      <c r="Y31" s="432">
        <v>93.2</v>
      </c>
      <c r="Z31" s="432">
        <v>95.6</v>
      </c>
      <c r="AA31" s="432">
        <v>98</v>
      </c>
    </row>
    <row r="32" spans="2:27">
      <c r="B32" s="457" t="s">
        <v>1762</v>
      </c>
      <c r="C32" s="462" t="s">
        <v>1956</v>
      </c>
      <c r="D32" s="456" t="s">
        <v>587</v>
      </c>
      <c r="E32" s="463">
        <v>37.733100403066011</v>
      </c>
      <c r="F32" s="463">
        <v>38.342146911849333</v>
      </c>
      <c r="G32" s="463">
        <v>38.940653333333337</v>
      </c>
      <c r="H32" s="463">
        <v>39.678942813058462</v>
      </c>
      <c r="I32" s="463">
        <v>40.406937977316012</v>
      </c>
      <c r="J32" s="463">
        <v>41.12659098936421</v>
      </c>
      <c r="K32" s="463">
        <v>41.833969319082563</v>
      </c>
      <c r="L32" s="463">
        <v>42.531053333333332</v>
      </c>
      <c r="M32" s="463">
        <v>43.412034814050593</v>
      </c>
      <c r="N32" s="463">
        <v>44.282938006995622</v>
      </c>
      <c r="O32" s="463">
        <v>45.139003878327202</v>
      </c>
      <c r="P32" s="463">
        <v>45.982628987106438</v>
      </c>
      <c r="Q32" s="463">
        <v>46.813813333333343</v>
      </c>
      <c r="R32" s="463">
        <v>47.848447938395338</v>
      </c>
      <c r="S32" s="463">
        <v>48.865752394541651</v>
      </c>
      <c r="T32" s="463">
        <v>49.868573412604043</v>
      </c>
      <c r="U32" s="463">
        <v>50.856910992582527</v>
      </c>
      <c r="V32" s="463">
        <v>51.83341333333334</v>
      </c>
      <c r="W32" s="463">
        <v>53.064461879284543</v>
      </c>
      <c r="X32" s="463">
        <v>54.27838999249412</v>
      </c>
      <c r="Y32" s="463">
        <v>55.475197672962103</v>
      </c>
      <c r="Z32" s="463">
        <v>56.658093423643798</v>
      </c>
      <c r="AA32" s="463">
        <v>57.820613333333341</v>
      </c>
    </row>
    <row r="33" spans="2:27">
      <c r="B33" s="147" t="s">
        <v>1767</v>
      </c>
      <c r="C33" s="461" t="s">
        <v>1557</v>
      </c>
      <c r="D33" s="384" t="s">
        <v>587</v>
      </c>
      <c r="E33" s="398">
        <f t="shared" ref="E33:AA33" si="2">AVERAGE(E34:E35)</f>
        <v>49.155895453136402</v>
      </c>
      <c r="F33" s="398">
        <f t="shared" si="2"/>
        <v>46.21322714258794</v>
      </c>
      <c r="G33" s="398">
        <f t="shared" si="2"/>
        <v>43.223897239433271</v>
      </c>
      <c r="H33" s="398">
        <f t="shared" si="2"/>
        <v>42.444564729750361</v>
      </c>
      <c r="I33" s="398">
        <f t="shared" si="2"/>
        <v>41.592068900672885</v>
      </c>
      <c r="J33" s="398">
        <f t="shared" si="2"/>
        <v>40.666858608946939</v>
      </c>
      <c r="K33" s="398">
        <f t="shared" si="2"/>
        <v>39.66938271131859</v>
      </c>
      <c r="L33" s="398">
        <f t="shared" si="2"/>
        <v>38.600090064535287</v>
      </c>
      <c r="M33" s="398">
        <f t="shared" si="2"/>
        <v>37.733066164815156</v>
      </c>
      <c r="N33" s="398">
        <f t="shared" si="2"/>
        <v>36.816388607703651</v>
      </c>
      <c r="O33" s="398">
        <f t="shared" si="2"/>
        <v>35.85022952820573</v>
      </c>
      <c r="P33" s="398">
        <f t="shared" si="2"/>
        <v>34.83476106132396</v>
      </c>
      <c r="Q33" s="398">
        <f t="shared" si="2"/>
        <v>33.770155342062679</v>
      </c>
      <c r="R33" s="398">
        <f t="shared" si="2"/>
        <v>32.653034249495434</v>
      </c>
      <c r="S33" s="398">
        <f t="shared" si="2"/>
        <v>31.512437862628751</v>
      </c>
      <c r="T33" s="398">
        <f t="shared" si="2"/>
        <v>30.348272331188262</v>
      </c>
      <c r="U33" s="398">
        <f t="shared" si="2"/>
        <v>29.16044380489835</v>
      </c>
      <c r="V33" s="398">
        <f t="shared" si="2"/>
        <v>27.948858433484247</v>
      </c>
      <c r="W33" s="398">
        <f t="shared" si="2"/>
        <v>26.926182930715683</v>
      </c>
      <c r="X33" s="398">
        <f t="shared" si="2"/>
        <v>25.892028440725745</v>
      </c>
      <c r="Y33" s="398">
        <f t="shared" si="2"/>
        <v>24.846329586709331</v>
      </c>
      <c r="Z33" s="398">
        <f t="shared" si="2"/>
        <v>23.789020991861381</v>
      </c>
      <c r="AA33" s="398">
        <f t="shared" si="2"/>
        <v>22.720037279376836</v>
      </c>
    </row>
    <row r="34" spans="2:27">
      <c r="B34" s="457" t="s">
        <v>1768</v>
      </c>
      <c r="C34" s="462" t="s">
        <v>1557</v>
      </c>
      <c r="D34" s="456" t="s">
        <v>587</v>
      </c>
      <c r="E34" s="463">
        <v>40.478340353858009</v>
      </c>
      <c r="F34" s="463">
        <v>37.380949103708431</v>
      </c>
      <c r="G34" s="463">
        <v>34.236956106325934</v>
      </c>
      <c r="H34" s="463">
        <v>33.687581910973869</v>
      </c>
      <c r="I34" s="463">
        <v>33.064701104118477</v>
      </c>
      <c r="J34" s="463">
        <v>32.368764648601925</v>
      </c>
      <c r="K34" s="463">
        <v>31.600223507266357</v>
      </c>
      <c r="L34" s="463">
        <v>30.759528642955274</v>
      </c>
      <c r="M34" s="463">
        <v>30.102768015678215</v>
      </c>
      <c r="N34" s="463">
        <v>29.396120749388739</v>
      </c>
      <c r="O34" s="463">
        <v>28.639759786772338</v>
      </c>
      <c r="P34" s="463">
        <v>27.833858070512129</v>
      </c>
      <c r="Q34" s="463">
        <v>26.978588543292936</v>
      </c>
      <c r="R34" s="463">
        <v>26.118165221247637</v>
      </c>
      <c r="S34" s="463">
        <v>25.23415645567307</v>
      </c>
      <c r="T34" s="463">
        <v>24.326467955936781</v>
      </c>
      <c r="U34" s="463">
        <v>23.395005431405064</v>
      </c>
      <c r="V34" s="463">
        <v>22.439674591445101</v>
      </c>
      <c r="W34" s="463">
        <v>21.663670792916818</v>
      </c>
      <c r="X34" s="463">
        <v>20.876134146219336</v>
      </c>
      <c r="Y34" s="463">
        <v>20.076998967790789</v>
      </c>
      <c r="Z34" s="463">
        <v>19.266199574069397</v>
      </c>
      <c r="AA34" s="463">
        <v>18.443670281493354</v>
      </c>
    </row>
    <row r="35" spans="2:27">
      <c r="B35" s="410" t="s">
        <v>1770</v>
      </c>
      <c r="C35" s="459" t="s">
        <v>1557</v>
      </c>
      <c r="D35" s="408" t="s">
        <v>587</v>
      </c>
      <c r="E35" s="464">
        <v>57.833450552414796</v>
      </c>
      <c r="F35" s="464">
        <v>55.045505181467448</v>
      </c>
      <c r="G35" s="464">
        <v>52.210838372540607</v>
      </c>
      <c r="H35" s="464">
        <v>51.201547548526854</v>
      </c>
      <c r="I35" s="464">
        <v>50.1194366972273</v>
      </c>
      <c r="J35" s="464">
        <v>48.964952569291945</v>
      </c>
      <c r="K35" s="464">
        <v>47.738541915370831</v>
      </c>
      <c r="L35" s="464">
        <v>46.4406514861153</v>
      </c>
      <c r="M35" s="464">
        <v>45.363364313952104</v>
      </c>
      <c r="N35" s="464">
        <v>44.236656466018566</v>
      </c>
      <c r="O35" s="464">
        <v>43.060699269639116</v>
      </c>
      <c r="P35" s="464">
        <v>41.835664052135797</v>
      </c>
      <c r="Q35" s="464">
        <v>40.56172214083243</v>
      </c>
      <c r="R35" s="464">
        <v>39.187903277743224</v>
      </c>
      <c r="S35" s="464">
        <v>37.790719269584436</v>
      </c>
      <c r="T35" s="464">
        <v>36.370076706439747</v>
      </c>
      <c r="U35" s="464">
        <v>34.925882178391632</v>
      </c>
      <c r="V35" s="464">
        <v>33.458042275523397</v>
      </c>
      <c r="W35" s="464">
        <v>32.188695068514548</v>
      </c>
      <c r="X35" s="464">
        <v>30.907922735232159</v>
      </c>
      <c r="Y35" s="464">
        <v>29.615660205627876</v>
      </c>
      <c r="Z35" s="464">
        <v>28.311842409653366</v>
      </c>
      <c r="AA35" s="464">
        <v>26.996404277260318</v>
      </c>
    </row>
  </sheetData>
  <sheetProtection formatCells="0" formatColumns="0" formatRows="0" insertColumns="0" insertRows="0" insertHyperlinks="0" deleteColumns="0" deleteRows="0" sort="0" autoFilter="0" pivotTables="0"/>
  <mergeCells count="1">
    <mergeCell ref="F7:J7"/>
  </mergeCells>
  <hyperlinks>
    <hyperlink ref="C18" r:id="rId1" xr:uid="{B925F07F-BCE3-449E-B6C4-03B648E222EE}"/>
    <hyperlink ref="C34" r:id="rId2" xr:uid="{60AB0177-C03B-4C40-95C7-E4961620B64F}"/>
    <hyperlink ref="C35" r:id="rId3" xr:uid="{8F2410C4-1D81-4947-ABD8-EEC4F4C4F81A}"/>
    <hyperlink ref="C32" r:id="rId4" display="MMMCZCS, 2024" xr:uid="{A5BEFBDE-7005-4A6F-BEC4-7FB5B7180BCE}"/>
    <hyperlink ref="C27" r:id="rId5" xr:uid="{03A2A6EE-9F8D-487B-8127-91F62D4FC4C7}"/>
    <hyperlink ref="C28" r:id="rId6" xr:uid="{4FBBC00E-033F-4AD9-94DA-06888D9BB510}"/>
    <hyperlink ref="C29" r:id="rId7" display="Source: LR &amp; UMAS, 2020" xr:uid="{09C249D7-3A76-4E47-B7CA-D6BCD3F072F3}"/>
    <hyperlink ref="C30" r:id="rId8" display="Source: LR &amp; UMAS, 2020" xr:uid="{DFE3589C-6908-451D-83FD-74E87121317A}"/>
    <hyperlink ref="C31" r:id="rId9" display="Source: LR &amp; UMAS, 2020" xr:uid="{34895415-60D9-4301-BF0C-05F86DA282BC}"/>
    <hyperlink ref="C19" r:id="rId10" xr:uid="{D9C773A9-0F0A-4288-8359-B4538CE03936}"/>
    <hyperlink ref="E7" r:id="rId11" display="MEPC 81/16/Add.1, Annex 10, Appendix 2 (pg 49)" xr:uid="{81999833-90F3-40C1-9DD1-08B63E1F0673}"/>
    <hyperlink ref="C33" r:id="rId12" xr:uid="{A8190428-CC03-48D4-82A6-45AC156EB052}"/>
    <hyperlink ref="F7" r:id="rId13" display="MEPC 81/16/Add.1, Annex 10, Appendix 2 (pg 49)" xr:uid="{D0E04EC3-64E5-4FE1-B294-879681909401}"/>
  </hyperlinks>
  <pageMargins left="0.7" right="0.7" top="0.75" bottom="0.75" header="0.3" footer="0.3"/>
  <pageSetup paperSize="9" orientation="portrait" r:id="rId1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DB82D-DE84-412F-AC66-C287FA8334BF}">
  <sheetPr codeName="Sheet21">
    <tabColor theme="0" tint="-0.249977111117893"/>
  </sheetPr>
  <dimension ref="B2:I29"/>
  <sheetViews>
    <sheetView showGridLines="0" zoomScaleNormal="100" workbookViewId="0"/>
  </sheetViews>
  <sheetFormatPr defaultRowHeight="14.25"/>
  <cols>
    <col min="2" max="2" width="13.75" customWidth="1"/>
    <col min="3" max="9" width="12.125" customWidth="1"/>
  </cols>
  <sheetData>
    <row r="2" spans="2:9" ht="45">
      <c r="B2" s="466" t="s">
        <v>1957</v>
      </c>
      <c r="C2" s="22">
        <v>93.3</v>
      </c>
    </row>
    <row r="4" spans="2:9">
      <c r="G4" s="24" t="s">
        <v>1958</v>
      </c>
      <c r="H4" s="24" t="s">
        <v>1959</v>
      </c>
      <c r="I4" s="24" t="s">
        <v>1960</v>
      </c>
    </row>
    <row r="5" spans="2:9" ht="15">
      <c r="B5" s="140" t="s">
        <v>338</v>
      </c>
      <c r="C5" s="140" t="s">
        <v>1961</v>
      </c>
      <c r="D5" s="140" t="s">
        <v>1962</v>
      </c>
      <c r="E5" s="140" t="s">
        <v>1963</v>
      </c>
      <c r="F5" s="140" t="s">
        <v>1964</v>
      </c>
      <c r="G5" s="140" t="s">
        <v>1965</v>
      </c>
      <c r="H5" s="140" t="s">
        <v>1966</v>
      </c>
      <c r="I5" s="140" t="s">
        <v>1967</v>
      </c>
    </row>
    <row r="6" spans="2:9">
      <c r="B6" s="68" t="s">
        <v>1968</v>
      </c>
      <c r="C6" s="178">
        <v>1</v>
      </c>
      <c r="D6" s="68"/>
      <c r="E6" s="178">
        <v>1</v>
      </c>
      <c r="F6" s="68"/>
      <c r="G6" s="138">
        <f t="shared" ref="G6:G29" si="0">E6*$C$2</f>
        <v>93.3</v>
      </c>
      <c r="H6" s="138">
        <f t="shared" ref="H6:H29" si="1">C6*$C$2-G6</f>
        <v>0</v>
      </c>
      <c r="I6" s="138">
        <f>$C$2-G6-H6</f>
        <v>0</v>
      </c>
    </row>
    <row r="7" spans="2:9">
      <c r="B7" s="68">
        <v>2028</v>
      </c>
      <c r="C7" s="178">
        <v>0.96</v>
      </c>
      <c r="D7" s="467">
        <f>C7-1</f>
        <v>-4.0000000000000036E-2</v>
      </c>
      <c r="E7" s="178">
        <v>0.83</v>
      </c>
      <c r="F7" s="467">
        <f>E7-1</f>
        <v>-0.17000000000000004</v>
      </c>
      <c r="G7" s="138">
        <f t="shared" si="0"/>
        <v>77.438999999999993</v>
      </c>
      <c r="H7" s="138">
        <f t="shared" si="1"/>
        <v>12.129000000000005</v>
      </c>
      <c r="I7" s="138">
        <f>$C$2-G7-H7</f>
        <v>3.7319999999999993</v>
      </c>
    </row>
    <row r="8" spans="2:9">
      <c r="B8" s="68">
        <v>2029</v>
      </c>
      <c r="C8" s="178">
        <v>0.94</v>
      </c>
      <c r="D8" s="467">
        <f t="shared" ref="D8:D14" si="2">C8-1</f>
        <v>-6.0000000000000053E-2</v>
      </c>
      <c r="E8" s="178">
        <v>0.80999999999999994</v>
      </c>
      <c r="F8" s="467">
        <f t="shared" ref="F8:F14" si="3">E8-1</f>
        <v>-0.19000000000000006</v>
      </c>
      <c r="G8" s="138">
        <f t="shared" si="0"/>
        <v>75.572999999999993</v>
      </c>
      <c r="H8" s="138">
        <f t="shared" si="1"/>
        <v>12.129000000000005</v>
      </c>
      <c r="I8" s="138">
        <f t="shared" ref="I8:I29" si="4">$C$2-G8-H8</f>
        <v>5.597999999999999</v>
      </c>
    </row>
    <row r="9" spans="2:9">
      <c r="B9" s="68">
        <v>2030</v>
      </c>
      <c r="C9" s="178">
        <v>0.92</v>
      </c>
      <c r="D9" s="467">
        <f t="shared" si="2"/>
        <v>-7.999999999999996E-2</v>
      </c>
      <c r="E9" s="178">
        <v>0.79</v>
      </c>
      <c r="F9" s="467">
        <f t="shared" si="3"/>
        <v>-0.20999999999999996</v>
      </c>
      <c r="G9" s="138">
        <f t="shared" si="0"/>
        <v>73.707000000000008</v>
      </c>
      <c r="H9" s="138">
        <f t="shared" si="1"/>
        <v>12.128999999999991</v>
      </c>
      <c r="I9" s="138">
        <f t="shared" si="4"/>
        <v>7.4639999999999986</v>
      </c>
    </row>
    <row r="10" spans="2:9">
      <c r="B10" s="68">
        <v>2031</v>
      </c>
      <c r="C10" s="178">
        <v>0.876</v>
      </c>
      <c r="D10" s="467">
        <f t="shared" si="2"/>
        <v>-0.124</v>
      </c>
      <c r="E10" s="178">
        <v>0.746</v>
      </c>
      <c r="F10" s="467">
        <f t="shared" si="3"/>
        <v>-0.254</v>
      </c>
      <c r="G10" s="138">
        <f t="shared" si="0"/>
        <v>69.601799999999997</v>
      </c>
      <c r="H10" s="138">
        <f t="shared" si="1"/>
        <v>12.129000000000005</v>
      </c>
      <c r="I10" s="138">
        <f t="shared" si="4"/>
        <v>11.569199999999995</v>
      </c>
    </row>
    <row r="11" spans="2:9">
      <c r="B11" s="68">
        <v>2032</v>
      </c>
      <c r="C11" s="178">
        <v>0.83199999999999996</v>
      </c>
      <c r="D11" s="467">
        <f t="shared" si="2"/>
        <v>-0.16800000000000004</v>
      </c>
      <c r="E11" s="178">
        <v>0.70199999999999996</v>
      </c>
      <c r="F11" s="467">
        <f t="shared" si="3"/>
        <v>-0.29800000000000004</v>
      </c>
      <c r="G11" s="138">
        <f t="shared" si="0"/>
        <v>65.496600000000001</v>
      </c>
      <c r="H11" s="138">
        <f t="shared" si="1"/>
        <v>12.128999999999991</v>
      </c>
      <c r="I11" s="138">
        <f t="shared" si="4"/>
        <v>15.674400000000006</v>
      </c>
    </row>
    <row r="12" spans="2:9">
      <c r="B12" s="68">
        <v>2033</v>
      </c>
      <c r="C12" s="178">
        <v>0.78800000000000003</v>
      </c>
      <c r="D12" s="467">
        <f t="shared" si="2"/>
        <v>-0.21199999999999997</v>
      </c>
      <c r="E12" s="178">
        <v>0.65800000000000003</v>
      </c>
      <c r="F12" s="467">
        <f t="shared" si="3"/>
        <v>-0.34199999999999997</v>
      </c>
      <c r="G12" s="138">
        <f t="shared" si="0"/>
        <v>61.391400000000004</v>
      </c>
      <c r="H12" s="138">
        <f t="shared" si="1"/>
        <v>12.128999999999991</v>
      </c>
      <c r="I12" s="138">
        <f t="shared" si="4"/>
        <v>19.779600000000002</v>
      </c>
    </row>
    <row r="13" spans="2:9">
      <c r="B13" s="68">
        <v>2034</v>
      </c>
      <c r="C13" s="178">
        <v>0.74399999999999999</v>
      </c>
      <c r="D13" s="467">
        <f t="shared" si="2"/>
        <v>-0.25600000000000001</v>
      </c>
      <c r="E13" s="178">
        <v>0.61399999999999999</v>
      </c>
      <c r="F13" s="467">
        <f t="shared" si="3"/>
        <v>-0.38600000000000001</v>
      </c>
      <c r="G13" s="138">
        <f t="shared" si="0"/>
        <v>57.286199999999994</v>
      </c>
      <c r="H13" s="138">
        <f t="shared" si="1"/>
        <v>12.129000000000005</v>
      </c>
      <c r="I13" s="138">
        <f t="shared" si="4"/>
        <v>23.884799999999998</v>
      </c>
    </row>
    <row r="14" spans="2:9">
      <c r="B14" s="68">
        <v>2035</v>
      </c>
      <c r="C14" s="178">
        <v>0.69999999999998863</v>
      </c>
      <c r="D14" s="467">
        <f t="shared" si="2"/>
        <v>-0.30000000000001137</v>
      </c>
      <c r="E14" s="178">
        <v>0.56999999999998863</v>
      </c>
      <c r="F14" s="467">
        <f t="shared" si="3"/>
        <v>-0.43000000000001137</v>
      </c>
      <c r="G14" s="138">
        <f t="shared" si="0"/>
        <v>53.180999999998939</v>
      </c>
      <c r="H14" s="138">
        <f t="shared" si="1"/>
        <v>12.128999999999998</v>
      </c>
      <c r="I14" s="138">
        <f t="shared" si="4"/>
        <v>27.990000000001061</v>
      </c>
    </row>
    <row r="15" spans="2:9">
      <c r="B15" s="68">
        <v>2036</v>
      </c>
      <c r="C15" s="178">
        <v>0.62999999999999545</v>
      </c>
      <c r="D15" s="467"/>
      <c r="E15" s="178">
        <v>0.49999999999999545</v>
      </c>
      <c r="F15" s="467"/>
      <c r="G15" s="138">
        <f t="shared" si="0"/>
        <v>46.649999999999572</v>
      </c>
      <c r="H15" s="138">
        <f t="shared" si="1"/>
        <v>12.129000000000005</v>
      </c>
      <c r="I15" s="138">
        <f t="shared" si="4"/>
        <v>34.52100000000042</v>
      </c>
    </row>
    <row r="16" spans="2:9">
      <c r="B16" s="68">
        <v>2037</v>
      </c>
      <c r="C16" s="178">
        <v>0.56000000000000227</v>
      </c>
      <c r="D16" s="467"/>
      <c r="E16" s="178">
        <v>0.43000000000000227</v>
      </c>
      <c r="F16" s="467"/>
      <c r="G16" s="138">
        <f t="shared" si="0"/>
        <v>40.119000000000213</v>
      </c>
      <c r="H16" s="138">
        <f t="shared" si="1"/>
        <v>12.128999999999998</v>
      </c>
      <c r="I16" s="138">
        <f t="shared" si="4"/>
        <v>41.051999999999786</v>
      </c>
    </row>
    <row r="17" spans="2:9">
      <c r="B17" s="68">
        <v>2038</v>
      </c>
      <c r="C17" s="178">
        <v>0.48999999999998067</v>
      </c>
      <c r="D17" s="467"/>
      <c r="E17" s="178">
        <v>0.35999999999998067</v>
      </c>
      <c r="F17" s="467"/>
      <c r="G17" s="138">
        <f t="shared" si="0"/>
        <v>33.587999999998196</v>
      </c>
      <c r="H17" s="138">
        <f t="shared" si="1"/>
        <v>12.128999999999998</v>
      </c>
      <c r="I17" s="138">
        <f t="shared" si="4"/>
        <v>47.583000000001803</v>
      </c>
    </row>
    <row r="18" spans="2:9">
      <c r="B18" s="68">
        <v>2039</v>
      </c>
      <c r="C18" s="178">
        <v>0.41999999999998749</v>
      </c>
      <c r="D18" s="467"/>
      <c r="E18" s="178">
        <v>0.28999999999998749</v>
      </c>
      <c r="F18" s="467"/>
      <c r="G18" s="138">
        <f t="shared" si="0"/>
        <v>27.056999999998833</v>
      </c>
      <c r="H18" s="138">
        <f t="shared" si="1"/>
        <v>12.129000000000001</v>
      </c>
      <c r="I18" s="138">
        <f t="shared" si="4"/>
        <v>54.114000000001155</v>
      </c>
    </row>
    <row r="19" spans="2:9">
      <c r="B19" s="68">
        <v>2040</v>
      </c>
      <c r="C19" s="178">
        <v>0.34999999999999432</v>
      </c>
      <c r="D19" s="467">
        <f>C19-1</f>
        <v>-0.65000000000000568</v>
      </c>
      <c r="E19" s="178">
        <v>0.21999999999999431</v>
      </c>
      <c r="F19" s="467"/>
      <c r="G19" s="138">
        <f t="shared" si="0"/>
        <v>20.525999999999467</v>
      </c>
      <c r="H19" s="138">
        <f t="shared" si="1"/>
        <v>12.129000000000001</v>
      </c>
      <c r="I19" s="138">
        <f t="shared" si="4"/>
        <v>60.645000000000522</v>
      </c>
    </row>
    <row r="20" spans="2:9">
      <c r="B20" s="68">
        <v>2041</v>
      </c>
      <c r="C20" s="178">
        <v>0.32000000000000028</v>
      </c>
      <c r="D20" s="467"/>
      <c r="E20" s="178">
        <v>0.19000000000000028</v>
      </c>
      <c r="F20" s="467"/>
      <c r="G20" s="138">
        <f t="shared" si="0"/>
        <v>17.727000000000025</v>
      </c>
      <c r="H20" s="138">
        <f t="shared" si="1"/>
        <v>12.129000000000001</v>
      </c>
      <c r="I20" s="138">
        <f t="shared" si="4"/>
        <v>63.443999999999974</v>
      </c>
    </row>
    <row r="21" spans="2:9">
      <c r="B21" s="68">
        <v>2042</v>
      </c>
      <c r="C21" s="178">
        <v>0.28999999999999915</v>
      </c>
      <c r="D21" s="467"/>
      <c r="E21" s="178">
        <v>0.15999999999999914</v>
      </c>
      <c r="F21" s="467"/>
      <c r="G21" s="138">
        <f t="shared" si="0"/>
        <v>14.927999999999919</v>
      </c>
      <c r="H21" s="138">
        <f t="shared" si="1"/>
        <v>12.129000000000001</v>
      </c>
      <c r="I21" s="138">
        <f t="shared" si="4"/>
        <v>66.243000000000066</v>
      </c>
    </row>
    <row r="22" spans="2:9">
      <c r="B22" s="68">
        <v>2043</v>
      </c>
      <c r="C22" s="178">
        <v>0.25999999999999801</v>
      </c>
      <c r="D22" s="467"/>
      <c r="E22" s="178">
        <v>0.12999999999999801</v>
      </c>
      <c r="F22" s="467"/>
      <c r="G22" s="138">
        <f t="shared" si="0"/>
        <v>12.128999999999813</v>
      </c>
      <c r="H22" s="138">
        <f t="shared" si="1"/>
        <v>12.129000000000001</v>
      </c>
      <c r="I22" s="138">
        <f t="shared" si="4"/>
        <v>69.042000000000186</v>
      </c>
    </row>
    <row r="23" spans="2:9">
      <c r="B23" s="68">
        <v>2044</v>
      </c>
      <c r="C23" s="178">
        <v>0.22999999999999687</v>
      </c>
      <c r="D23" s="467"/>
      <c r="E23" s="178">
        <v>9.9999999999996869E-2</v>
      </c>
      <c r="F23" s="467"/>
      <c r="G23" s="138">
        <f t="shared" si="0"/>
        <v>9.329999999999707</v>
      </c>
      <c r="H23" s="138">
        <f t="shared" si="1"/>
        <v>12.129000000000001</v>
      </c>
      <c r="I23" s="138">
        <f t="shared" si="4"/>
        <v>71.841000000000278</v>
      </c>
    </row>
    <row r="24" spans="2:9">
      <c r="B24" s="68">
        <v>2045</v>
      </c>
      <c r="C24" s="178">
        <v>0.20000000000000284</v>
      </c>
      <c r="D24" s="467"/>
      <c r="E24" s="178">
        <v>7.0000000000002838E-2</v>
      </c>
      <c r="F24" s="467"/>
      <c r="G24" s="138">
        <f t="shared" si="0"/>
        <v>6.5310000000002644</v>
      </c>
      <c r="H24" s="138">
        <f t="shared" si="1"/>
        <v>12.128999999999998</v>
      </c>
      <c r="I24" s="138">
        <f t="shared" si="4"/>
        <v>74.639999999999731</v>
      </c>
    </row>
    <row r="25" spans="2:9">
      <c r="B25" s="68">
        <v>2046</v>
      </c>
      <c r="C25" s="178">
        <v>0.17000000000000171</v>
      </c>
      <c r="D25" s="467"/>
      <c r="E25" s="178">
        <v>4.0000000000001701E-2</v>
      </c>
      <c r="F25" s="467"/>
      <c r="G25" s="138">
        <f t="shared" si="0"/>
        <v>3.7320000000001587</v>
      </c>
      <c r="H25" s="138">
        <f t="shared" si="1"/>
        <v>12.129</v>
      </c>
      <c r="I25" s="138">
        <f t="shared" si="4"/>
        <v>77.438999999999837</v>
      </c>
    </row>
    <row r="26" spans="2:9">
      <c r="B26" s="68">
        <v>2047</v>
      </c>
      <c r="C26" s="178">
        <v>0.14000000000000057</v>
      </c>
      <c r="D26" s="467"/>
      <c r="E26" s="178">
        <v>1.0000000000000564E-2</v>
      </c>
      <c r="F26" s="467"/>
      <c r="G26" s="138">
        <f t="shared" si="0"/>
        <v>0.93300000000005257</v>
      </c>
      <c r="H26" s="138">
        <f t="shared" si="1"/>
        <v>12.129</v>
      </c>
      <c r="I26" s="138">
        <f t="shared" si="4"/>
        <v>80.237999999999943</v>
      </c>
    </row>
    <row r="27" spans="2:9">
      <c r="B27" s="68">
        <v>2048</v>
      </c>
      <c r="C27" s="178">
        <v>0.10999999999999943</v>
      </c>
      <c r="D27" s="467"/>
      <c r="E27" s="178">
        <v>0</v>
      </c>
      <c r="F27" s="467"/>
      <c r="G27" s="138">
        <f t="shared" si="0"/>
        <v>0</v>
      </c>
      <c r="H27" s="138">
        <f t="shared" si="1"/>
        <v>10.262999999999947</v>
      </c>
      <c r="I27" s="138">
        <f t="shared" si="4"/>
        <v>83.037000000000049</v>
      </c>
    </row>
    <row r="28" spans="2:9">
      <c r="B28" s="68">
        <v>2049</v>
      </c>
      <c r="C28" s="178">
        <v>7.9999999999998295E-2</v>
      </c>
      <c r="D28" s="467"/>
      <c r="E28" s="178">
        <v>0</v>
      </c>
      <c r="F28" s="467"/>
      <c r="G28" s="138">
        <f t="shared" si="0"/>
        <v>0</v>
      </c>
      <c r="H28" s="138">
        <f t="shared" si="1"/>
        <v>7.4639999999998405</v>
      </c>
      <c r="I28" s="138">
        <f t="shared" si="4"/>
        <v>85.836000000000155</v>
      </c>
    </row>
    <row r="29" spans="2:9">
      <c r="B29" s="68">
        <v>2050</v>
      </c>
      <c r="C29" s="178">
        <v>4.9999999999997158E-2</v>
      </c>
      <c r="D29" s="467"/>
      <c r="E29" s="178">
        <v>0</v>
      </c>
      <c r="F29" s="467"/>
      <c r="G29" s="138">
        <f t="shared" si="0"/>
        <v>0</v>
      </c>
      <c r="H29" s="138">
        <f t="shared" si="1"/>
        <v>4.6649999999997345</v>
      </c>
      <c r="I29" s="138">
        <f t="shared" si="4"/>
        <v>88.635000000000261</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1E22-9EC0-43F6-9B8F-68C610646B40}">
  <sheetPr codeName="Sheet1">
    <tabColor theme="4"/>
    <pageSetUpPr autoPageBreaks="0"/>
  </sheetPr>
  <dimension ref="B1:F138"/>
  <sheetViews>
    <sheetView showGridLines="0" showOutlineSymbols="0" zoomScale="72" zoomScaleNormal="80" workbookViewId="0">
      <selection activeCell="F29" sqref="F29"/>
    </sheetView>
  </sheetViews>
  <sheetFormatPr defaultColWidth="0" defaultRowHeight="14.25" zeroHeight="1"/>
  <cols>
    <col min="1" max="1" width="1.625" customWidth="1"/>
    <col min="2" max="2" width="35.125" bestFit="1" customWidth="1"/>
    <col min="3" max="3" width="57.875" bestFit="1" customWidth="1"/>
    <col min="4" max="4" width="62.625" bestFit="1" customWidth="1"/>
    <col min="5" max="5" width="64.75" bestFit="1" customWidth="1"/>
    <col min="6" max="6" width="43.375" bestFit="1" customWidth="1"/>
    <col min="7" max="7" width="14.375" customWidth="1"/>
    <col min="8" max="29" width="8.625" customWidth="1"/>
  </cols>
  <sheetData>
    <row r="1" spans="2:6" s="15" customFormat="1" ht="36" customHeight="1" thickBot="1">
      <c r="B1" s="15" t="str">
        <f ca="1">IFERROR(MID(CELL("filename",$A$1),FIND("]",CELL("filename",$A$1))+1,256),"Tab title (save and calculate to sync)")</f>
        <v>Tab title (save and calculate to sync)</v>
      </c>
    </row>
    <row r="2" spans="2:6" ht="15">
      <c r="B2" s="563" t="s">
        <v>37</v>
      </c>
      <c r="C2" s="563"/>
      <c r="D2" s="563"/>
      <c r="E2" s="563"/>
      <c r="F2" s="563"/>
    </row>
    <row r="3" spans="2:6"/>
    <row r="4" spans="2:6" ht="15">
      <c r="B4" s="66" t="s">
        <v>38</v>
      </c>
      <c r="C4" s="66"/>
      <c r="D4" s="66"/>
      <c r="E4" s="66"/>
      <c r="F4" s="66"/>
    </row>
    <row r="5" spans="2:6" ht="15">
      <c r="B5" s="92" t="s">
        <v>39</v>
      </c>
      <c r="C5" s="92" t="s">
        <v>40</v>
      </c>
      <c r="D5" s="92" t="str">
        <f>"Present value, "&amp;Assumptions!$G$8&amp;"m"</f>
        <v>Present value, USDm</v>
      </c>
      <c r="E5" s="92" t="str">
        <f>"CO2-abatement cost, "&amp;Assumptions!$G$8&amp;"/ton of CO2"</f>
        <v>CO2-abatement cost, USD/ton of CO2</v>
      </c>
      <c r="F5" s="765" t="str">
        <f>"Incremental Transport Cost, "&amp;Assumptions!$G$8&amp;"/Unit of Cargo"</f>
        <v>Incremental Transport Cost, USD/Unit of Cargo</v>
      </c>
    </row>
    <row r="6" spans="2:6">
      <c r="B6" t="s">
        <v>41</v>
      </c>
      <c r="C6" t="s">
        <v>42</v>
      </c>
      <c r="D6" s="32">
        <f ca="1">D50*10^-6</f>
        <v>648.28888459743848</v>
      </c>
    </row>
    <row r="7" spans="2:6">
      <c r="B7" s="25" t="s">
        <v>43</v>
      </c>
      <c r="C7" s="25" t="s">
        <v>44</v>
      </c>
      <c r="D7" s="73">
        <f ca="1">-D63*10^-6</f>
        <v>-578.96150044842636</v>
      </c>
      <c r="E7" s="73"/>
      <c r="F7" s="25"/>
    </row>
    <row r="8" spans="2:6" ht="15">
      <c r="B8" s="22" t="s">
        <v>45</v>
      </c>
      <c r="C8" s="22" t="s">
        <v>46</v>
      </c>
      <c r="D8" s="47">
        <f ca="1">+SUM(D6:D7)</f>
        <v>69.327384149012119</v>
      </c>
      <c r="E8" s="47">
        <f ca="1">+D8*10^6/$E$20</f>
        <v>295.28048005462801</v>
      </c>
      <c r="F8" s="37">
        <f ca="1">+D8*10^6/$E$21</f>
        <v>2.1622575952908263</v>
      </c>
    </row>
    <row r="9" spans="2:6" ht="15">
      <c r="B9" t="s">
        <v>47</v>
      </c>
      <c r="C9" t="s">
        <v>48</v>
      </c>
      <c r="D9" s="32">
        <f ca="1">-D89*10^-6</f>
        <v>-24.952300928899227</v>
      </c>
      <c r="E9" s="111"/>
      <c r="F9" s="22"/>
    </row>
    <row r="10" spans="2:6" ht="15">
      <c r="B10" s="25" t="s">
        <v>49</v>
      </c>
      <c r="C10" s="25" t="s">
        <v>50</v>
      </c>
      <c r="D10" s="73">
        <f ca="1">-D109*10^-6</f>
        <v>-52.390891573558299</v>
      </c>
      <c r="E10" s="73"/>
      <c r="F10" s="92"/>
    </row>
    <row r="11" spans="2:6" ht="15">
      <c r="C11" s="22" t="s">
        <v>51</v>
      </c>
      <c r="D11" s="47">
        <f ca="1">+SUM(D8:D10)</f>
        <v>-8.0158083534454079</v>
      </c>
      <c r="E11" s="47">
        <f ca="1">+D11*10^6/$E$20</f>
        <v>-34.141079570286728</v>
      </c>
      <c r="F11" s="37">
        <f ca="1">+D11*10^6/$E$21</f>
        <v>-0.25000571862597765</v>
      </c>
    </row>
    <row r="12" spans="2:6" ht="15">
      <c r="B12" t="s">
        <v>52</v>
      </c>
      <c r="C12" t="s">
        <v>53</v>
      </c>
      <c r="D12" s="102">
        <f ca="1">-($D$114*10^-6)</f>
        <v>-240.26902268609692</v>
      </c>
      <c r="E12" s="102"/>
      <c r="F12" s="37"/>
    </row>
    <row r="13" spans="2:6" ht="15">
      <c r="B13" t="s">
        <v>54</v>
      </c>
      <c r="C13" t="s">
        <v>55</v>
      </c>
      <c r="D13" s="32">
        <f ca="1">-(D129+D134)*10^-6</f>
        <v>0</v>
      </c>
      <c r="E13" s="32"/>
      <c r="F13" s="22"/>
    </row>
    <row r="14" spans="2:6" ht="15">
      <c r="B14" t="s">
        <v>54</v>
      </c>
      <c r="C14" t="s">
        <v>56</v>
      </c>
      <c r="D14" s="32">
        <f ca="1">-(D130+D131+D135+D136+D133)*10^-6</f>
        <v>-2.5118767798041448</v>
      </c>
      <c r="E14" s="32"/>
      <c r="F14" s="22"/>
    </row>
    <row r="15" spans="2:6" ht="15">
      <c r="B15" s="25" t="s">
        <v>54</v>
      </c>
      <c r="C15" s="25" t="s">
        <v>57</v>
      </c>
      <c r="D15" s="73">
        <f ca="1">-(D132+D137)*10^-6</f>
        <v>-25.617397721314504</v>
      </c>
      <c r="E15" s="73"/>
      <c r="F15" s="92"/>
    </row>
    <row r="16" spans="2:6" ht="15">
      <c r="C16" s="79" t="s">
        <v>58</v>
      </c>
      <c r="D16" s="47">
        <f ca="1">+SUM(D11:D15)</f>
        <v>-276.41410554066096</v>
      </c>
      <c r="E16" s="47">
        <f ca="1">+D16*10^6/$E$20</f>
        <v>-1177.3080836640802</v>
      </c>
      <c r="F16" s="37">
        <f ca="1">+D16*10^6/$E$21</f>
        <v>-8.6211027069211994</v>
      </c>
    </row>
    <row r="17" spans="2:6">
      <c r="C17" t="s">
        <v>59</v>
      </c>
      <c r="D17" s="32">
        <f ca="1">+SUM(Calculation!$H$229:$BY$229)*10^-6</f>
        <v>0</v>
      </c>
      <c r="E17" s="33"/>
      <c r="F17" s="33"/>
    </row>
    <row r="18" spans="2:6">
      <c r="C18" t="s">
        <v>60</v>
      </c>
      <c r="D18" s="33">
        <f ca="1">-SUM(D16:D17)</f>
        <v>276.41410554066096</v>
      </c>
    </row>
    <row r="19" spans="2:6"/>
    <row r="20" spans="2:6" ht="15">
      <c r="C20" s="22" t="s">
        <v>61</v>
      </c>
      <c r="D20" s="33"/>
      <c r="E20" s="33">
        <f>-SUM(Calculation!H1178:BY1178)</f>
        <v>234784.85315448648</v>
      </c>
    </row>
    <row r="21" spans="2:6" ht="15">
      <c r="C21" s="22" t="s">
        <v>62</v>
      </c>
      <c r="D21" s="33"/>
      <c r="E21" s="33">
        <f>+Assumptions!G465</f>
        <v>32062500</v>
      </c>
    </row>
    <row r="22" spans="2:6"/>
    <row r="23" spans="2:6" ht="15">
      <c r="B23" s="66" t="s">
        <v>63</v>
      </c>
      <c r="C23" s="66"/>
      <c r="D23" s="66"/>
      <c r="E23" s="66"/>
    </row>
    <row r="24" spans="2:6" ht="15">
      <c r="B24" s="561" t="s">
        <v>64</v>
      </c>
      <c r="C24" s="561" t="s">
        <v>65</v>
      </c>
      <c r="D24" s="561" t="s">
        <v>66</v>
      </c>
      <c r="E24" s="561" t="s">
        <v>67</v>
      </c>
    </row>
    <row r="25" spans="2:6">
      <c r="B25" t="str">
        <f>+Calculation!E1310</f>
        <v>Fuel Production - CAPEX</v>
      </c>
      <c r="C25" s="67">
        <f>+Assumptions!G39</f>
        <v>2</v>
      </c>
      <c r="D25" s="32">
        <f>-SUM(Calculation!H1310:EK1310)*10^-6/C25</f>
        <v>0</v>
      </c>
      <c r="E25" s="67" cm="1">
        <f t="array" ref="E25">-SUM(Calculation!H1322:BY1322/C25)</f>
        <v>0</v>
      </c>
    </row>
    <row r="26" spans="2:6">
      <c r="B26" t="str">
        <f>+Calculation!E1311</f>
        <v>Fuel Production - OPEX</v>
      </c>
      <c r="C26" s="67">
        <f>+Assumptions!G42</f>
        <v>15</v>
      </c>
      <c r="D26" s="32">
        <f ca="1">-SUM(Calculation!H1311:EK1311)*10^-6/C26</f>
        <v>0</v>
      </c>
      <c r="E26" s="67" cm="1">
        <f t="array" aca="1" ref="E26" ca="1">-SUM(Calculation!H1323:BY1323/C26)</f>
        <v>0</v>
      </c>
    </row>
    <row r="27" spans="2:6">
      <c r="B27" t="str">
        <f>+Calculation!E1312</f>
        <v>Port (Storage) - CAPEX</v>
      </c>
      <c r="C27" s="67">
        <f>+Assumptions!G125</f>
        <v>2</v>
      </c>
      <c r="D27" s="32">
        <f>-SUM(Calculation!H1312:EK1312)*10^-6/C27</f>
        <v>1.739933504887565</v>
      </c>
      <c r="E27" s="67" cm="1">
        <f t="array" ref="E27">-SUM(Calculation!H1324:BY1324/C27)</f>
        <v>19.906678250024598</v>
      </c>
    </row>
    <row r="28" spans="2:6">
      <c r="B28" t="str">
        <f>+Calculation!E1313</f>
        <v>Port (Storage) - OPEX</v>
      </c>
      <c r="C28" s="67">
        <f>+Assumptions!G128</f>
        <v>15</v>
      </c>
      <c r="D28" s="32">
        <f>-SUM(Calculation!H1313:EK1313)*10^-6/C28</f>
        <v>1.1179296069211978E-2</v>
      </c>
      <c r="E28" s="67" cm="1">
        <f t="array" ref="E28">-SUM(Calculation!H1325:BY1325/C28)</f>
        <v>7.2176712053409586E-2</v>
      </c>
    </row>
    <row r="29" spans="2:6">
      <c r="B29" t="str">
        <f>+Calculation!E1314</f>
        <v>Port (Barge) - CAPEX</v>
      </c>
      <c r="C29" s="67">
        <f>+Assumptions!G152</f>
        <v>2</v>
      </c>
      <c r="D29" s="32">
        <f>-SUM(Calculation!H1314:EK1314)*10^-6/C29</f>
        <v>1.1225377450887515</v>
      </c>
      <c r="E29" s="67" cm="1">
        <f t="array" ref="E29">-SUM(Calculation!H1326:BY1326/C29)</f>
        <v>12.84301822582232</v>
      </c>
    </row>
    <row r="30" spans="2:6">
      <c r="B30" t="str">
        <f>+Calculation!E1315</f>
        <v>Port (Barge) - OPEX</v>
      </c>
      <c r="C30" s="33">
        <f>+Assumptions!G155</f>
        <v>15</v>
      </c>
      <c r="D30" s="32">
        <f>-SUM(Calculation!H1315:EK1315)*10^-6/C30</f>
        <v>2.4041496923036507E-2</v>
      </c>
      <c r="E30" s="67" cm="1">
        <f t="array" ref="E30">-SUM(Calculation!H1327:BY1327/C30)</f>
        <v>0.15521873559873028</v>
      </c>
    </row>
    <row r="31" spans="2:6">
      <c r="B31" t="str">
        <f>+Calculation!E1316</f>
        <v>Vessel - CAPEX</v>
      </c>
      <c r="C31" s="33">
        <f>+Assumptions!G297</f>
        <v>2</v>
      </c>
      <c r="D31" s="32">
        <f>-SUM(Calculation!H1316:EK1316)*10^-6/C31</f>
        <v>110.95384058629199</v>
      </c>
      <c r="E31" s="67" cm="1">
        <f t="array" ref="E31">-SUM(Calculation!H1328:BY1328/C31)</f>
        <v>1269.4292045939792</v>
      </c>
    </row>
    <row r="32" spans="2:6">
      <c r="B32" s="25" t="str">
        <f>+Calculation!E1317</f>
        <v>Vessel - OPEX</v>
      </c>
      <c r="C32" s="34">
        <f>+Assumptions!G300</f>
        <v>15</v>
      </c>
      <c r="D32" s="73">
        <f>-SUM(Calculation!H1317:EK1317)*10^-6/C32</f>
        <v>17.929636955276528</v>
      </c>
      <c r="E32" s="764" cm="1">
        <f t="array" ref="E32">-SUM(Calculation!H1329:BY1329/C32)</f>
        <v>64.127155317821334</v>
      </c>
    </row>
    <row r="33" spans="2:5" ht="15">
      <c r="B33" s="22" t="s">
        <v>68</v>
      </c>
      <c r="D33" s="37">
        <f ca="1">+SUM(D25:D32)</f>
        <v>131.78116958453708</v>
      </c>
      <c r="E33" s="37">
        <f ca="1">+SUM(E25:E32)</f>
        <v>1366.5334518352995</v>
      </c>
    </row>
    <row r="34" spans="2:5"/>
    <row r="35" spans="2:5"/>
    <row r="36" spans="2:5"/>
    <row r="37" spans="2:5"/>
    <row r="38" spans="2:5">
      <c r="D38" s="33"/>
    </row>
    <row r="39" spans="2:5" ht="15">
      <c r="B39" s="562" t="s">
        <v>69</v>
      </c>
      <c r="C39" s="562"/>
      <c r="D39" s="562"/>
      <c r="E39" s="562"/>
    </row>
    <row r="40" spans="2:5" s="25" customFormat="1" ht="15">
      <c r="B40" s="564" t="s">
        <v>39</v>
      </c>
      <c r="C40" s="564" t="s">
        <v>40</v>
      </c>
      <c r="D40" s="564" t="str">
        <f>"Present value, "&amp;Assumptions!$G$8&amp;"m"</f>
        <v>Present value, USDm</v>
      </c>
      <c r="E40" s="560"/>
    </row>
    <row r="41" spans="2:5"/>
    <row r="42" spans="2:5"/>
    <row r="43" spans="2:5"/>
    <row r="44" spans="2:5"/>
    <row r="45" spans="2:5" ht="15">
      <c r="B45" s="92" t="str">
        <f>+B6&amp;" "&amp;C6</f>
        <v>1. Total cost of green corridor</v>
      </c>
      <c r="C45" s="92"/>
      <c r="D45" s="92"/>
      <c r="E45" s="92"/>
    </row>
    <row r="46" spans="2:5">
      <c r="C46" t="s">
        <v>70</v>
      </c>
      <c r="D46" s="32">
        <f ca="1">-SUM(Calculation!$H$41:$BY$41)</f>
        <v>0</v>
      </c>
      <c r="E46" s="111"/>
    </row>
    <row r="47" spans="2:5">
      <c r="C47" t="s">
        <v>71</v>
      </c>
      <c r="D47" s="32">
        <f ca="1">-SUM(Calculation!$H$46:$BY$46)</f>
        <v>6394277.213575446</v>
      </c>
      <c r="E47" s="71"/>
    </row>
    <row r="48" spans="2:5">
      <c r="C48" t="s">
        <v>72</v>
      </c>
      <c r="D48" s="32">
        <f ca="1">-SUM(Calculation!$H$51:$BY$51)</f>
        <v>4345043.5629141228</v>
      </c>
      <c r="E48" s="71"/>
    </row>
    <row r="49" spans="2:4">
      <c r="B49" s="25"/>
      <c r="C49" s="25" t="s">
        <v>73</v>
      </c>
      <c r="D49" s="73">
        <f ca="1">-SUM(Calculation!$H$56:$BY$56)</f>
        <v>637549563.82094884</v>
      </c>
    </row>
    <row r="50" spans="2:4" ht="15">
      <c r="C50" s="22" t="s">
        <v>74</v>
      </c>
      <c r="D50" s="47">
        <f ca="1">+SUM(D46:D49)</f>
        <v>648288884.59743845</v>
      </c>
    </row>
    <row r="51" spans="2:4"/>
    <row r="52" spans="2:4"/>
    <row r="53" spans="2:4"/>
    <row r="54" spans="2:4"/>
    <row r="55" spans="2:4"/>
    <row r="56" spans="2:4" s="25" customFormat="1"/>
    <row r="57" spans="2:4"/>
    <row r="58" spans="2:4" ht="15">
      <c r="B58" s="92" t="str">
        <f>+B7&amp;" "&amp;C7</f>
        <v>2. Total cost of fossil corridor</v>
      </c>
      <c r="C58" s="25"/>
      <c r="D58" s="25"/>
    </row>
    <row r="59" spans="2:4">
      <c r="C59" t="s">
        <v>75</v>
      </c>
      <c r="D59" s="32">
        <f ca="1">-SUM(Calculation!$H$577:$BY$577)</f>
        <v>0</v>
      </c>
    </row>
    <row r="60" spans="2:4">
      <c r="C60" t="s">
        <v>71</v>
      </c>
      <c r="D60" s="32">
        <f ca="1">-SUM(Calculation!H582:BY582)</f>
        <v>858655.36507922469</v>
      </c>
    </row>
    <row r="61" spans="2:4">
      <c r="C61" t="s">
        <v>72</v>
      </c>
      <c r="D61" s="32">
        <f ca="1">-SUM(Calculation!H587:BY587)</f>
        <v>904384.81244780438</v>
      </c>
    </row>
    <row r="62" spans="2:4">
      <c r="B62" s="25"/>
      <c r="C62" s="25" t="s">
        <v>73</v>
      </c>
      <c r="D62" s="73">
        <f ca="1">-SUM(Calculation!H592:BY592)</f>
        <v>577198460.2708993</v>
      </c>
    </row>
    <row r="63" spans="2:4" ht="15">
      <c r="C63" s="22" t="s">
        <v>74</v>
      </c>
      <c r="D63" s="37">
        <f ca="1">+SUM(D59:D62)</f>
        <v>578961500.44842637</v>
      </c>
    </row>
    <row r="64" spans="2:4"/>
    <row r="65" spans="2:4"/>
    <row r="66" spans="2:4"/>
    <row r="67" spans="2:4"/>
    <row r="68" spans="2:4"/>
    <row r="69" spans="2:4"/>
    <row r="70" spans="2:4"/>
    <row r="71" spans="2:4"/>
    <row r="72" spans="2:4" ht="15">
      <c r="B72" s="92" t="str">
        <f>+B8&amp;" "&amp;C8</f>
        <v>3. Gross incremental cost</v>
      </c>
      <c r="C72" s="25"/>
      <c r="D72" s="25"/>
    </row>
    <row r="73" spans="2:4">
      <c r="C73" t="s">
        <v>76</v>
      </c>
      <c r="D73" s="32">
        <f ca="1">-D63</f>
        <v>-578961500.44842637</v>
      </c>
    </row>
    <row r="74" spans="2:4">
      <c r="B74" s="25"/>
      <c r="C74" s="25" t="s">
        <v>77</v>
      </c>
      <c r="D74" s="73">
        <f ca="1">-D50</f>
        <v>-648288884.59743845</v>
      </c>
    </row>
    <row r="75" spans="2:4" ht="15">
      <c r="C75" s="22" t="s">
        <v>78</v>
      </c>
      <c r="D75" s="37">
        <f ca="1">-D74+D73</f>
        <v>69327384.149012089</v>
      </c>
    </row>
    <row r="76" spans="2:4"/>
    <row r="77" spans="2:4"/>
    <row r="78" spans="2:4"/>
    <row r="79" spans="2:4"/>
    <row r="80" spans="2:4"/>
    <row r="81" spans="2:4"/>
    <row r="82" spans="2:4"/>
    <row r="83" spans="2:4"/>
    <row r="84" spans="2:4" ht="15">
      <c r="B84" s="92" t="str">
        <f>+B9&amp;" "&amp;C9</f>
        <v>4. Optimized financing</v>
      </c>
      <c r="C84" s="92"/>
      <c r="D84" s="92"/>
    </row>
    <row r="85" spans="2:4">
      <c r="C85" t="s">
        <v>79</v>
      </c>
      <c r="D85" s="101">
        <f ca="1">+D46+Assumptions!H111</f>
        <v>0</v>
      </c>
    </row>
    <row r="86" spans="2:4">
      <c r="C86" t="s">
        <v>80</v>
      </c>
      <c r="D86" s="102">
        <f ca="1">+D47+Assumptions!H218</f>
        <v>445320.64975277428</v>
      </c>
    </row>
    <row r="87" spans="2:4">
      <c r="C87" t="s">
        <v>81</v>
      </c>
      <c r="D87" s="102">
        <f ca="1">+D48+Assumptions!H256</f>
        <v>287303.64500179095</v>
      </c>
    </row>
    <row r="88" spans="2:4">
      <c r="B88" s="25"/>
      <c r="C88" s="25" t="s">
        <v>82</v>
      </c>
      <c r="D88" s="73">
        <f ca="1">+D49+Assumptions!H361</f>
        <v>24219676.634144664</v>
      </c>
    </row>
    <row r="89" spans="2:4" ht="15">
      <c r="C89" s="22" t="s">
        <v>74</v>
      </c>
      <c r="D89" s="47">
        <f ca="1">+SUM(D85:D88)</f>
        <v>24952300.928899229</v>
      </c>
    </row>
    <row r="90" spans="2:4"/>
    <row r="91" spans="2:4"/>
    <row r="92" spans="2:4"/>
    <row r="93" spans="2:4"/>
    <row r="94" spans="2:4"/>
    <row r="95" spans="2:4"/>
    <row r="96" spans="2:4"/>
    <row r="97" spans="2:4"/>
    <row r="98" spans="2:4"/>
    <row r="99" spans="2:4"/>
    <row r="100" spans="2:4"/>
    <row r="101" spans="2:4" ht="15">
      <c r="B101" s="92" t="str">
        <f>+B10&amp;" "&amp;C10</f>
        <v>5. Regulation</v>
      </c>
      <c r="C101" s="92"/>
      <c r="D101" s="92"/>
    </row>
    <row r="102" spans="2:4">
      <c r="C102" t="s">
        <v>83</v>
      </c>
      <c r="D102" s="31">
        <f ca="1">SUM(Calculation!H1076:BY1076)</f>
        <v>25723369.534004953</v>
      </c>
    </row>
    <row r="103" spans="2:4">
      <c r="C103" t="s">
        <v>84</v>
      </c>
      <c r="D103" s="119" cm="1">
        <f t="array" aca="1" ref="D103" ca="1">-(_xlfn.IFS(Assumptions!H372="LSFO",SUM(Calculation!$H$1084:$BY$1084),Assumptions!$H$372="Bio-blend",SUM(Calculation!$H$1092:$BY$1092),Assumptions!$H$372="LNG",SUM(Calculation!$H$1099:$BY$1099)))</f>
        <v>26667522.039553352</v>
      </c>
    </row>
    <row r="104" spans="2:4">
      <c r="C104" t="s">
        <v>85</v>
      </c>
      <c r="D104" s="89">
        <f ca="1">SUM(Calculation!$H$1169:$BY$1169)</f>
        <v>0</v>
      </c>
    </row>
    <row r="105" spans="2:4">
      <c r="C105" t="s">
        <v>86</v>
      </c>
      <c r="D105" s="89">
        <f ca="1">-(IF(Assumptions!$H$373="Pure LSFO or LNG",SUM(Calculation!$H$1176:$BY$1176),SUM(Calculation!$H$1159:$BY$1159)))</f>
        <v>0</v>
      </c>
    </row>
    <row r="106" spans="2:4">
      <c r="C106" t="s">
        <v>87</v>
      </c>
      <c r="D106" s="31">
        <f ca="1">SUM(Calculation!$H$1127:$BY$1127)</f>
        <v>0</v>
      </c>
    </row>
    <row r="107" spans="2:4">
      <c r="C107" t="s">
        <v>88</v>
      </c>
      <c r="D107" s="31">
        <f ca="1">-IF(Assumptions!$H$373="Pure LSFO or LNG",SUM(Calculation!$H$1159:$BY$1159),0)</f>
        <v>0</v>
      </c>
    </row>
    <row r="108" spans="2:4">
      <c r="B108" s="25"/>
      <c r="C108" s="25" t="s">
        <v>89</v>
      </c>
      <c r="D108" s="105">
        <f ca="1">SUM(Calculation!$H$1112:$BY$1112)</f>
        <v>0</v>
      </c>
    </row>
    <row r="109" spans="2:4" ht="15">
      <c r="C109" s="22" t="s">
        <v>74</v>
      </c>
      <c r="D109" s="47">
        <f ca="1">+SUM(D102:D108)</f>
        <v>52390891.573558301</v>
      </c>
    </row>
    <row r="110" spans="2:4"/>
    <row r="111" spans="2:4"/>
    <row r="112" spans="2:4"/>
    <row r="113" spans="2:4" ht="15">
      <c r="B113" s="92" t="str">
        <f>+B12&amp;" "&amp;C12</f>
        <v>6. Green Premium</v>
      </c>
      <c r="C113" s="25"/>
      <c r="D113" s="25"/>
    </row>
    <row r="114" spans="2:4" ht="15">
      <c r="C114" t="s">
        <v>90</v>
      </c>
      <c r="D114" s="45">
        <f ca="1">SUM(Calculation!$H$1303:$BY$1303)</f>
        <v>240269022.68609694</v>
      </c>
    </row>
    <row r="115" spans="2:4"/>
    <row r="116" spans="2:4"/>
    <row r="117" spans="2:4"/>
    <row r="118" spans="2:4"/>
    <row r="119" spans="2:4"/>
    <row r="120" spans="2:4"/>
    <row r="121" spans="2:4"/>
    <row r="122" spans="2:4"/>
    <row r="123" spans="2:4"/>
    <row r="124" spans="2:4"/>
    <row r="125" spans="2:4"/>
    <row r="126" spans="2:4">
      <c r="B126" s="25"/>
      <c r="C126" s="25"/>
      <c r="D126" s="25"/>
    </row>
    <row r="127" spans="2:4"/>
    <row r="128" spans="2:4" ht="15">
      <c r="B128" s="92" t="s">
        <v>91</v>
      </c>
      <c r="C128" s="73"/>
      <c r="D128" s="25"/>
    </row>
    <row r="129" spans="2:4">
      <c r="C129" t="s">
        <v>92</v>
      </c>
      <c r="D129" s="89">
        <f ca="1">-Calculation!H1194</f>
        <v>0</v>
      </c>
    </row>
    <row r="130" spans="2:4">
      <c r="C130" t="s">
        <v>93</v>
      </c>
      <c r="D130" s="89">
        <f ca="1">-Calculation!H1216</f>
        <v>2511876.779804145</v>
      </c>
    </row>
    <row r="131" spans="2:4">
      <c r="C131" t="s">
        <v>94</v>
      </c>
      <c r="D131" s="89">
        <f ca="1">-Calculation!H1234</f>
        <v>0</v>
      </c>
    </row>
    <row r="132" spans="2:4">
      <c r="C132" t="s">
        <v>95</v>
      </c>
      <c r="D132" s="89">
        <f ca="1">-Calculation!H1259</f>
        <v>25617397.721314505</v>
      </c>
    </row>
    <row r="133" spans="2:4">
      <c r="C133" t="s">
        <v>96</v>
      </c>
      <c r="D133" s="89">
        <f ca="1">-SUM(Calculation!H1247:BY1247)</f>
        <v>0</v>
      </c>
    </row>
    <row r="134" spans="2:4">
      <c r="C134" t="s">
        <v>97</v>
      </c>
      <c r="D134" s="89">
        <f ca="1">-Calculation!H1204</f>
        <v>0</v>
      </c>
    </row>
    <row r="135" spans="2:4">
      <c r="C135" t="s">
        <v>98</v>
      </c>
      <c r="D135" s="89">
        <f ca="1">-Calculation!H1225</f>
        <v>0</v>
      </c>
    </row>
    <row r="136" spans="2:4">
      <c r="C136" t="s">
        <v>99</v>
      </c>
      <c r="D136" s="89">
        <f ca="1">-Calculation!H1243</f>
        <v>0</v>
      </c>
    </row>
    <row r="137" spans="2:4">
      <c r="B137" s="25"/>
      <c r="C137" s="25" t="s">
        <v>100</v>
      </c>
      <c r="D137" s="100">
        <f ca="1">-Calculation!H1268</f>
        <v>0</v>
      </c>
    </row>
    <row r="138" spans="2:4" ht="15">
      <c r="C138" s="22" t="s">
        <v>74</v>
      </c>
      <c r="D138" s="37">
        <f ca="1">+SUM(D129:D137)</f>
        <v>28129274.501118649</v>
      </c>
    </row>
  </sheetData>
  <printOptions gridLines="1"/>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A24FD-BE22-4C68-979C-B0AECE1B0237}">
  <sheetPr codeName="Sheet7">
    <tabColor theme="4"/>
  </sheetPr>
  <dimension ref="B1:AG28"/>
  <sheetViews>
    <sheetView showGridLines="0" showOutlineSymbols="0" zoomScaleNormal="100" workbookViewId="0"/>
  </sheetViews>
  <sheetFormatPr defaultColWidth="0" defaultRowHeight="21" customHeight="1" zeroHeight="1"/>
  <cols>
    <col min="1" max="1" width="1.625" customWidth="1"/>
    <col min="2" max="2" width="26.375" bestFit="1" customWidth="1"/>
    <col min="3" max="3" width="7.375" customWidth="1"/>
    <col min="4" max="12" width="9.625" bestFit="1" customWidth="1"/>
    <col min="13" max="13" width="8.625" customWidth="1"/>
    <col min="14" max="14" width="17.125" hidden="1" customWidth="1"/>
    <col min="15" max="15" width="8.625" customWidth="1"/>
    <col min="16" max="33" width="8.625" hidden="1" customWidth="1"/>
  </cols>
  <sheetData>
    <row r="1" spans="2:14" s="15" customFormat="1" ht="36" customHeight="1" thickBot="1">
      <c r="B1" s="15" t="str">
        <f ca="1">IFERROR(MID(CELL("filename",$A$1),FIND("]",CELL("filename",$A$1))+1,256),"Tab title (save and calculate to sync)")</f>
        <v>Tab title (save and calculate to sync)</v>
      </c>
    </row>
    <row r="2" spans="2:14" ht="14.25"/>
    <row r="3" spans="2:14" ht="15">
      <c r="B3" s="17" t="s">
        <v>101</v>
      </c>
      <c r="C3" s="17"/>
      <c r="D3" s="17"/>
      <c r="E3" s="17"/>
      <c r="F3" s="17"/>
      <c r="G3" s="17"/>
      <c r="H3" s="17"/>
      <c r="I3" s="17"/>
      <c r="J3" s="17"/>
      <c r="K3" s="17"/>
      <c r="L3" s="17"/>
      <c r="M3" s="17"/>
      <c r="N3" s="17"/>
    </row>
    <row r="4" spans="2:14" ht="14.25"/>
    <row r="5" spans="2:14" ht="15">
      <c r="B5" s="22"/>
      <c r="C5" s="22"/>
      <c r="D5" s="22"/>
      <c r="E5" s="22"/>
      <c r="M5" s="22"/>
    </row>
    <row r="6" spans="2:14" ht="15">
      <c r="B6" s="547" t="s">
        <v>102</v>
      </c>
      <c r="C6" s="547"/>
      <c r="D6" s="547"/>
      <c r="E6" s="547"/>
      <c r="F6" s="547"/>
      <c r="G6" s="547"/>
      <c r="H6" s="547"/>
      <c r="I6" s="547"/>
      <c r="J6" s="547"/>
      <c r="K6" s="547"/>
      <c r="L6" s="547"/>
      <c r="M6" s="22"/>
    </row>
    <row r="7" spans="2:14" ht="15">
      <c r="C7" s="734"/>
      <c r="D7" s="38">
        <v>0</v>
      </c>
      <c r="E7" s="733">
        <f>+D7+0.5%</f>
        <v>5.0000000000000001E-3</v>
      </c>
      <c r="F7" s="733">
        <f t="shared" ref="F7:L7" si="0">+E7+0.5%</f>
        <v>0.01</v>
      </c>
      <c r="G7" s="733">
        <f t="shared" si="0"/>
        <v>1.4999999999999999E-2</v>
      </c>
      <c r="H7" s="733">
        <f t="shared" si="0"/>
        <v>0.02</v>
      </c>
      <c r="I7" s="733">
        <f t="shared" si="0"/>
        <v>2.5000000000000001E-2</v>
      </c>
      <c r="J7" s="733">
        <f t="shared" si="0"/>
        <v>3.0000000000000002E-2</v>
      </c>
      <c r="K7" s="733">
        <f t="shared" si="0"/>
        <v>3.5000000000000003E-2</v>
      </c>
      <c r="L7" s="733">
        <f t="shared" si="0"/>
        <v>0.04</v>
      </c>
      <c r="M7" s="22"/>
      <c r="N7" s="553" t="s">
        <v>103</v>
      </c>
    </row>
    <row r="8" spans="2:14" ht="15">
      <c r="B8" s="22" t="s">
        <v>104</v>
      </c>
      <c r="C8" s="553">
        <f ca="1">+Output!D6+Output!D7+Output!D10+SUM(Output!D12:D15)</f>
        <v>-251.46180461176175</v>
      </c>
      <c r="D8" s="110">
        <f>+Assumptions!M9</f>
        <v>-229.08734710898545</v>
      </c>
      <c r="E8" s="110">
        <f>+Assumptions!N9</f>
        <v>-234.31468157774697</v>
      </c>
      <c r="F8" s="110">
        <f>+Assumptions!O9</f>
        <v>-239.77712139105384</v>
      </c>
      <c r="G8" s="110">
        <f>+Assumptions!P9</f>
        <v>-245.48808814359558</v>
      </c>
      <c r="H8" s="110">
        <f>+Assumptions!Q9</f>
        <v>-251.46180461176175</v>
      </c>
      <c r="I8" s="110">
        <f>+Assumptions!R9</f>
        <v>-257.71334157187187</v>
      </c>
      <c r="J8" s="110">
        <f>+Assumptions!S9</f>
        <v>-264.25866723373349</v>
      </c>
      <c r="K8" s="110">
        <f>+Assumptions!T9</f>
        <v>-271.11469942702013</v>
      </c>
      <c r="L8" s="110">
        <f>+Assumptions!U9</f>
        <v>-278.29936068470698</v>
      </c>
      <c r="M8" s="22"/>
      <c r="N8" s="629">
        <v>0</v>
      </c>
    </row>
    <row r="9" spans="2:14" ht="15">
      <c r="B9" s="22"/>
      <c r="D9" s="102"/>
      <c r="E9" s="71"/>
      <c r="M9" s="22"/>
      <c r="N9" s="553"/>
    </row>
    <row r="10" spans="2:14" ht="15">
      <c r="D10" s="102"/>
      <c r="G10" s="33"/>
      <c r="H10" s="33"/>
      <c r="M10" s="22"/>
      <c r="N10" s="553"/>
    </row>
    <row r="11" spans="2:14" ht="15">
      <c r="B11" s="547" t="s">
        <v>105</v>
      </c>
      <c r="C11" s="547"/>
      <c r="D11" s="547"/>
      <c r="E11" s="547"/>
      <c r="F11" s="547"/>
      <c r="G11" s="547"/>
      <c r="H11" s="547"/>
      <c r="I11" s="547"/>
      <c r="J11" s="547"/>
      <c r="K11" s="547"/>
      <c r="L11" s="547"/>
      <c r="M11" s="22"/>
      <c r="N11" s="553"/>
    </row>
    <row r="12" spans="2:14" ht="15">
      <c r="C12" s="734"/>
      <c r="D12" s="735">
        <v>-0.4</v>
      </c>
      <c r="E12" s="735">
        <f>+D12+10%</f>
        <v>-0.30000000000000004</v>
      </c>
      <c r="F12" s="735">
        <f t="shared" ref="F12:L12" si="1">+E12+10%</f>
        <v>-0.20000000000000004</v>
      </c>
      <c r="G12" s="735">
        <f t="shared" si="1"/>
        <v>-0.10000000000000003</v>
      </c>
      <c r="H12" s="735">
        <f t="shared" si="1"/>
        <v>0</v>
      </c>
      <c r="I12" s="735">
        <f t="shared" si="1"/>
        <v>0.1</v>
      </c>
      <c r="J12" s="735">
        <f t="shared" si="1"/>
        <v>0.2</v>
      </c>
      <c r="K12" s="735">
        <f t="shared" si="1"/>
        <v>0.30000000000000004</v>
      </c>
      <c r="L12" s="735">
        <f t="shared" si="1"/>
        <v>0.4</v>
      </c>
      <c r="M12" s="22"/>
      <c r="N12" s="553" t="s">
        <v>103</v>
      </c>
    </row>
    <row r="13" spans="2:14" ht="15">
      <c r="B13" s="22" t="s">
        <v>104</v>
      </c>
      <c r="C13" s="553">
        <f ca="1">+Output!D6+Output!D7+Output!D10+SUM(Output!D12:D15)</f>
        <v>-251.46180461176175</v>
      </c>
      <c r="D13" s="32">
        <f t="dataTable" ref="D13:L13" dt2D="0" dtr="1" r1="N13" ca="1"/>
        <v>-338.11133031358202</v>
      </c>
      <c r="E13" s="32">
        <v>-316.44894888812701</v>
      </c>
      <c r="F13" s="32">
        <v>-294.786567462672</v>
      </c>
      <c r="G13" s="32">
        <v>-273.1241860372171</v>
      </c>
      <c r="H13" s="32">
        <v>-251.46180461176175</v>
      </c>
      <c r="I13" s="32">
        <v>-229.79942318630674</v>
      </c>
      <c r="J13" s="32">
        <v>-208.13704176085196</v>
      </c>
      <c r="K13" s="32">
        <v>-186.47466033539672</v>
      </c>
      <c r="L13" s="32">
        <v>-164.81227890994148</v>
      </c>
      <c r="M13" s="22"/>
      <c r="N13" s="629">
        <v>0</v>
      </c>
    </row>
    <row r="14" spans="2:14" ht="15">
      <c r="B14" s="22"/>
      <c r="I14" s="745"/>
      <c r="J14" s="745"/>
      <c r="K14" s="745"/>
      <c r="L14" s="745"/>
      <c r="M14" s="22"/>
      <c r="N14" s="553"/>
    </row>
    <row r="15" spans="2:14" ht="15">
      <c r="M15" s="22"/>
      <c r="N15" s="553"/>
    </row>
    <row r="16" spans="2:14" ht="15">
      <c r="B16" s="547" t="s">
        <v>106</v>
      </c>
      <c r="C16" s="547"/>
      <c r="D16" s="547"/>
      <c r="E16" s="547"/>
      <c r="F16" s="547"/>
      <c r="G16" s="547"/>
      <c r="H16" s="547"/>
      <c r="I16" s="547"/>
      <c r="J16" s="547"/>
      <c r="K16" s="547"/>
      <c r="L16" s="547"/>
      <c r="M16" s="22"/>
      <c r="N16" s="553"/>
    </row>
    <row r="17" spans="2:14" ht="15">
      <c r="C17" s="734"/>
      <c r="D17" s="735">
        <v>-0.4</v>
      </c>
      <c r="E17" s="735">
        <f>+D17+10%</f>
        <v>-0.30000000000000004</v>
      </c>
      <c r="F17" s="735">
        <f t="shared" ref="F17" si="2">+E17+10%</f>
        <v>-0.20000000000000004</v>
      </c>
      <c r="G17" s="735">
        <f>+F17+10%</f>
        <v>-0.10000000000000003</v>
      </c>
      <c r="H17" s="735">
        <f>+G17+10%</f>
        <v>0</v>
      </c>
      <c r="I17" s="735">
        <f t="shared" ref="I17:L17" si="3">+H17+10%</f>
        <v>0.1</v>
      </c>
      <c r="J17" s="735">
        <f t="shared" si="3"/>
        <v>0.2</v>
      </c>
      <c r="K17" s="735">
        <f t="shared" si="3"/>
        <v>0.30000000000000004</v>
      </c>
      <c r="L17" s="735">
        <f t="shared" si="3"/>
        <v>0.4</v>
      </c>
      <c r="M17" s="22"/>
      <c r="N17" s="553" t="s">
        <v>103</v>
      </c>
    </row>
    <row r="18" spans="2:14" ht="15">
      <c r="B18" s="22" t="s">
        <v>104</v>
      </c>
      <c r="C18" s="553">
        <f ca="1">+Output!D6+Output!D7+Output!D10+SUM(Output!D12:D15)</f>
        <v>-251.46180461176175</v>
      </c>
      <c r="D18" s="32">
        <f t="dataTable" ref="D18:L18" dt2D="0" dtr="1" r1="N18" ca="1"/>
        <v>-348.95677857146529</v>
      </c>
      <c r="E18" s="32">
        <v>-324.58303508153938</v>
      </c>
      <c r="F18" s="32">
        <v>-300.20929159161358</v>
      </c>
      <c r="G18" s="32">
        <v>-275.83554810168789</v>
      </c>
      <c r="H18" s="32">
        <v>-251.46180461176175</v>
      </c>
      <c r="I18" s="32">
        <v>-227.08806112183595</v>
      </c>
      <c r="J18" s="32">
        <v>-202.71431763191038</v>
      </c>
      <c r="K18" s="32">
        <v>-178.34057414198446</v>
      </c>
      <c r="L18" s="32">
        <v>-153.96683065205843</v>
      </c>
      <c r="M18" s="22"/>
      <c r="N18" s="629">
        <v>0</v>
      </c>
    </row>
    <row r="19" spans="2:14" ht="14.25">
      <c r="D19" s="102"/>
      <c r="E19" s="111"/>
      <c r="F19" s="123"/>
      <c r="G19" s="33"/>
      <c r="N19" s="553"/>
    </row>
    <row r="20" spans="2:14" ht="14.25">
      <c r="D20" s="102"/>
      <c r="E20" s="71"/>
      <c r="F20" s="124"/>
      <c r="G20" s="33"/>
      <c r="N20" s="553"/>
    </row>
    <row r="21" spans="2:14" ht="15">
      <c r="B21" s="547" t="s">
        <v>107</v>
      </c>
      <c r="C21" s="547"/>
      <c r="D21" s="547"/>
      <c r="E21" s="547"/>
      <c r="F21" s="547"/>
      <c r="G21" s="547"/>
      <c r="H21" s="547"/>
      <c r="I21" s="547"/>
      <c r="J21" s="547"/>
      <c r="K21" s="547"/>
      <c r="L21" s="547"/>
      <c r="N21" s="553"/>
    </row>
    <row r="22" spans="2:14" ht="15">
      <c r="C22" s="734"/>
      <c r="D22" s="735">
        <v>-0.4</v>
      </c>
      <c r="E22" s="735">
        <f>+D22+10%</f>
        <v>-0.30000000000000004</v>
      </c>
      <c r="F22" s="735">
        <f t="shared" ref="F22" si="4">+E22+10%</f>
        <v>-0.20000000000000004</v>
      </c>
      <c r="G22" s="735">
        <f>+F22+10%</f>
        <v>-0.10000000000000003</v>
      </c>
      <c r="H22" s="735">
        <f>+G22+10%</f>
        <v>0</v>
      </c>
      <c r="I22" s="735">
        <f t="shared" ref="I22:L22" si="5">+H22+10%</f>
        <v>0.1</v>
      </c>
      <c r="J22" s="735">
        <f t="shared" si="5"/>
        <v>0.2</v>
      </c>
      <c r="K22" s="735">
        <f t="shared" si="5"/>
        <v>0.30000000000000004</v>
      </c>
      <c r="L22" s="735">
        <f t="shared" si="5"/>
        <v>0.4</v>
      </c>
      <c r="N22" s="553" t="s">
        <v>103</v>
      </c>
    </row>
    <row r="23" spans="2:14" ht="15">
      <c r="B23" s="22" t="s">
        <v>104</v>
      </c>
      <c r="C23" s="553">
        <f ca="1">+Output!D6+Output!D7+Output!D10+SUM(Output!D12:D15)</f>
        <v>-251.46180461176175</v>
      </c>
      <c r="D23" s="32">
        <f t="dataTable" ref="D23:L23" dt2D="0" dtr="1" r1="N23" ca="1"/>
        <v>-122.17027294154224</v>
      </c>
      <c r="E23" s="32">
        <v>-154.49315585909721</v>
      </c>
      <c r="F23" s="32">
        <v>-186.81603877665196</v>
      </c>
      <c r="G23" s="32">
        <v>-219.13892169420689</v>
      </c>
      <c r="H23" s="32">
        <v>-251.46180461176175</v>
      </c>
      <c r="I23" s="32">
        <v>-283.7846875293165</v>
      </c>
      <c r="J23" s="32">
        <v>-316.10757044687153</v>
      </c>
      <c r="K23" s="32">
        <v>-348.43045336442617</v>
      </c>
      <c r="L23" s="32">
        <v>-380.75333628198081</v>
      </c>
      <c r="N23" s="629">
        <v>0</v>
      </c>
    </row>
    <row r="24" spans="2:14" ht="15">
      <c r="B24" s="22"/>
      <c r="N24" s="553"/>
    </row>
    <row r="25" spans="2:14" ht="14.25">
      <c r="N25" s="553"/>
    </row>
    <row r="26" spans="2:14" ht="15">
      <c r="B26" s="547" t="s">
        <v>108</v>
      </c>
      <c r="C26" s="547"/>
      <c r="D26" s="547"/>
      <c r="E26" s="547"/>
      <c r="F26" s="547"/>
      <c r="G26" s="547"/>
      <c r="H26" s="547"/>
      <c r="I26" s="547"/>
      <c r="J26" s="547"/>
      <c r="K26" s="547"/>
      <c r="L26" s="547"/>
      <c r="N26" s="553"/>
    </row>
    <row r="27" spans="2:14" ht="15">
      <c r="D27" s="735">
        <v>-0.4</v>
      </c>
      <c r="E27" s="735">
        <f>+D27+10%</f>
        <v>-0.30000000000000004</v>
      </c>
      <c r="F27" s="735">
        <f t="shared" ref="F27" si="6">+E27+10%</f>
        <v>-0.20000000000000004</v>
      </c>
      <c r="G27" s="735">
        <f>+F27+10%</f>
        <v>-0.10000000000000003</v>
      </c>
      <c r="H27" s="735">
        <f>+G27+10%</f>
        <v>0</v>
      </c>
      <c r="I27" s="735">
        <f t="shared" ref="I27:L27" si="7">+H27+10%</f>
        <v>0.1</v>
      </c>
      <c r="J27" s="735">
        <f t="shared" si="7"/>
        <v>0.2</v>
      </c>
      <c r="K27" s="735">
        <f t="shared" si="7"/>
        <v>0.30000000000000004</v>
      </c>
      <c r="L27" s="735">
        <f t="shared" si="7"/>
        <v>0.4</v>
      </c>
      <c r="N27" s="553" t="s">
        <v>103</v>
      </c>
    </row>
    <row r="28" spans="2:14" ht="15">
      <c r="B28" s="22" t="s">
        <v>104</v>
      </c>
      <c r="C28" s="553">
        <f ca="1">+Output!D6+Output!D7+Output!D10+SUM(Output!D12:D15)</f>
        <v>-251.46180461176175</v>
      </c>
      <c r="D28" s="32">
        <f t="dataTable" ref="D28:L28" dt2D="0" dtr="1" r1="N28" ca="1"/>
        <v>-116.98047140517627</v>
      </c>
      <c r="E28" s="32">
        <v>-150.60080470682254</v>
      </c>
      <c r="F28" s="32">
        <v>-184.22113800846876</v>
      </c>
      <c r="G28" s="32">
        <v>-217.84147131011537</v>
      </c>
      <c r="H28" s="32">
        <v>-251.46180461176175</v>
      </c>
      <c r="I28" s="32">
        <v>-285.08213791340836</v>
      </c>
      <c r="J28" s="32">
        <v>-318.70247121505446</v>
      </c>
      <c r="K28" s="32">
        <v>-352.32280451670084</v>
      </c>
      <c r="L28" s="32">
        <v>-385.943137818347</v>
      </c>
      <c r="N28" s="629">
        <v>0</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8BE36-5610-4631-ABC3-EB7A41A09F08}">
  <sheetPr codeName="Sheet8">
    <tabColor theme="5" tint="0.59999389629810485"/>
  </sheetPr>
  <dimension ref="B1:F24"/>
  <sheetViews>
    <sheetView showGridLines="0" topLeftCell="B1" zoomScaleNormal="100" workbookViewId="0"/>
  </sheetViews>
  <sheetFormatPr defaultColWidth="0" defaultRowHeight="14.25" zeroHeight="1"/>
  <cols>
    <col min="1" max="1" width="1.625" customWidth="1"/>
    <col min="2" max="2" width="13.625" customWidth="1"/>
    <col min="3" max="3" width="103.375" bestFit="1" customWidth="1"/>
    <col min="4" max="4" width="34" bestFit="1" customWidth="1"/>
    <col min="5" max="5" width="44.25" customWidth="1"/>
    <col min="6" max="6" width="104.375" bestFit="1" customWidth="1"/>
    <col min="7" max="7" width="8.625" customWidth="1"/>
    <col min="8" max="8" width="0" hidden="1" customWidth="1"/>
  </cols>
  <sheetData>
    <row r="1" spans="2:6" s="15" customFormat="1" ht="24" customHeight="1" thickBot="1">
      <c r="B1" s="15" t="str">
        <f ca="1">IFERROR(MID(CELL("filename",$A$1),FIND("]",CELL("filename",$A$1))+1,256),"Tab title (save and calculate to sync)")</f>
        <v>Tab title (save and calculate to sync)</v>
      </c>
    </row>
    <row r="2" spans="2:6"/>
    <row r="3" spans="2:6" ht="15">
      <c r="B3" s="17" t="s">
        <v>109</v>
      </c>
      <c r="C3" s="17" t="s">
        <v>110</v>
      </c>
      <c r="D3" s="17" t="s">
        <v>111</v>
      </c>
      <c r="E3" s="70" t="s">
        <v>17</v>
      </c>
      <c r="F3" s="70" t="s">
        <v>112</v>
      </c>
    </row>
    <row r="4" spans="2:6" ht="15">
      <c r="B4" s="22" t="s">
        <v>113</v>
      </c>
      <c r="C4" s="117"/>
      <c r="E4" s="49"/>
      <c r="F4" s="616"/>
    </row>
    <row r="5" spans="2:6">
      <c r="C5" s="118" t="s">
        <v>114</v>
      </c>
      <c r="D5" s="571" t="s">
        <v>115</v>
      </c>
      <c r="E5" s="573" t="s">
        <v>116</v>
      </c>
      <c r="F5" s="118"/>
    </row>
    <row r="6" spans="2:6">
      <c r="C6" s="117" t="s">
        <v>117</v>
      </c>
      <c r="D6" s="568" t="s">
        <v>115</v>
      </c>
      <c r="E6" s="577" t="s">
        <v>118</v>
      </c>
      <c r="F6" s="118"/>
    </row>
    <row r="7" spans="2:6" ht="15">
      <c r="B7" s="22" t="s">
        <v>119</v>
      </c>
      <c r="C7" s="118"/>
      <c r="D7" s="118"/>
      <c r="E7" s="118"/>
      <c r="F7" s="118"/>
    </row>
    <row r="8" spans="2:6">
      <c r="C8" s="118" t="s">
        <v>120</v>
      </c>
      <c r="D8" s="571" t="s">
        <v>115</v>
      </c>
      <c r="E8" s="585" t="s">
        <v>121</v>
      </c>
      <c r="F8" s="118"/>
    </row>
    <row r="9" spans="2:6">
      <c r="C9" s="118" t="s">
        <v>122</v>
      </c>
      <c r="D9" s="571" t="s">
        <v>115</v>
      </c>
      <c r="E9" s="577" t="s">
        <v>123</v>
      </c>
      <c r="F9" s="118"/>
    </row>
    <row r="10" spans="2:6" ht="15">
      <c r="B10" s="22" t="s">
        <v>124</v>
      </c>
      <c r="C10" s="118"/>
      <c r="D10" s="118"/>
      <c r="E10" s="118"/>
      <c r="F10" s="118"/>
    </row>
    <row r="11" spans="2:6">
      <c r="C11" s="118" t="s">
        <v>125</v>
      </c>
      <c r="D11" s="568" t="s">
        <v>115</v>
      </c>
      <c r="E11" s="612" t="s">
        <v>126</v>
      </c>
      <c r="F11" s="118"/>
    </row>
    <row r="12" spans="2:6">
      <c r="C12" s="118" t="s">
        <v>127</v>
      </c>
      <c r="D12" s="568" t="s">
        <v>128</v>
      </c>
      <c r="E12" s="612">
        <v>4</v>
      </c>
      <c r="F12" s="118"/>
    </row>
    <row r="13" spans="2:6">
      <c r="C13" s="118" t="s">
        <v>129</v>
      </c>
      <c r="D13" s="568" t="s">
        <v>130</v>
      </c>
      <c r="E13" s="612">
        <v>10</v>
      </c>
      <c r="F13" s="118"/>
    </row>
    <row r="14" spans="2:6">
      <c r="C14" s="118" t="s">
        <v>131</v>
      </c>
      <c r="D14" s="568" t="s">
        <v>115</v>
      </c>
      <c r="E14" s="643" t="s">
        <v>132</v>
      </c>
      <c r="F14" s="118"/>
    </row>
    <row r="15" spans="2:6">
      <c r="C15" s="118" t="s">
        <v>133</v>
      </c>
      <c r="D15" s="568" t="s">
        <v>134</v>
      </c>
      <c r="E15" s="643">
        <v>2000</v>
      </c>
      <c r="F15" s="118"/>
    </row>
    <row r="16" spans="2:6">
      <c r="C16" s="118" t="s">
        <v>135</v>
      </c>
      <c r="D16" s="568" t="s">
        <v>136</v>
      </c>
      <c r="E16" s="643">
        <v>5000</v>
      </c>
      <c r="F16" s="118"/>
    </row>
    <row r="17" spans="2:6" ht="15">
      <c r="B17" s="22" t="s">
        <v>137</v>
      </c>
      <c r="C17" s="118"/>
      <c r="D17" s="118"/>
      <c r="E17" s="118"/>
      <c r="F17" s="118"/>
    </row>
    <row r="18" spans="2:6">
      <c r="C18" s="118" t="s">
        <v>138</v>
      </c>
      <c r="D18" s="568" t="s">
        <v>115</v>
      </c>
      <c r="E18" s="643" t="s">
        <v>139</v>
      </c>
      <c r="F18" s="118" t="s">
        <v>140</v>
      </c>
    </row>
    <row r="19" spans="2:6">
      <c r="C19" s="118" t="s">
        <v>141</v>
      </c>
      <c r="D19" s="568" t="s">
        <v>115</v>
      </c>
      <c r="E19" s="643" t="s">
        <v>139</v>
      </c>
      <c r="F19" s="118" t="s">
        <v>142</v>
      </c>
    </row>
    <row r="20" spans="2:6">
      <c r="C20" s="118" t="s">
        <v>143</v>
      </c>
      <c r="D20" s="568" t="s">
        <v>115</v>
      </c>
      <c r="E20" s="643" t="s">
        <v>144</v>
      </c>
      <c r="F20" s="118" t="s">
        <v>145</v>
      </c>
    </row>
    <row r="21" spans="2:6">
      <c r="C21" s="118" t="s">
        <v>146</v>
      </c>
      <c r="D21" s="568" t="s">
        <v>115</v>
      </c>
      <c r="E21" s="643" t="s">
        <v>144</v>
      </c>
      <c r="F21" s="118" t="s">
        <v>145</v>
      </c>
    </row>
    <row r="22" spans="2:6">
      <c r="C22" s="118" t="s">
        <v>147</v>
      </c>
      <c r="D22" s="568" t="s">
        <v>148</v>
      </c>
      <c r="E22" s="620">
        <v>0.2</v>
      </c>
      <c r="F22" s="118"/>
    </row>
    <row r="23" spans="2:6">
      <c r="C23" s="120"/>
      <c r="F23" s="120"/>
    </row>
    <row r="24" spans="2:6" ht="15">
      <c r="C24" s="766" t="s">
        <v>149</v>
      </c>
      <c r="E24" s="770" t="str">
        <f>+IF(E5="Quick calculation","Once you have filled out the assumptions in the above, please go to the 'Output'-tab and see the results. Note that standardized assumptions will be used unless other has been specified in the 'assumptions' or 'assumptions_detailed'-tabs","Please go to the 'Assumptions'-tab and fill out accordingly")</f>
        <v>Please go to the 'Assumptions'-tab and fill out accordingly</v>
      </c>
      <c r="F24" s="770"/>
    </row>
  </sheetData>
  <conditionalFormatting sqref="E14">
    <cfRule type="expression" dxfId="211" priority="2">
      <formula>$E$5="In-depth calculation"</formula>
    </cfRule>
  </conditionalFormatting>
  <conditionalFormatting sqref="E15">
    <cfRule type="expression" dxfId="210" priority="4">
      <formula>$E$14="Fuel consumption"</formula>
    </cfRule>
  </conditionalFormatting>
  <conditionalFormatting sqref="E16">
    <cfRule type="expression" dxfId="209" priority="1">
      <formula>$E$5="In-depth calculation"</formula>
    </cfRule>
    <cfRule type="expression" dxfId="208" priority="3">
      <formula>$E$14="Distance (nautic miles)"</formula>
    </cfRule>
  </conditionalFormatting>
  <conditionalFormatting sqref="E6:F13 E15:F15 E17:F22">
    <cfRule type="expression" dxfId="207" priority="8">
      <formula>$E$5="In-depth calculation"</formula>
    </cfRule>
  </conditionalFormatting>
  <dataValidations count="4">
    <dataValidation type="list" allowBlank="1" showInputMessage="1" showErrorMessage="1" sqref="E5" xr:uid="{01B48A2D-9649-4F66-B0F2-568F70079B4E}">
      <formula1>"Quick calculation,In-depth calculation"</formula1>
    </dataValidation>
    <dataValidation type="list" allowBlank="1" showInputMessage="1" showErrorMessage="1" sqref="E9" xr:uid="{82F3624E-4819-4EE4-85DD-777B0DD96A06}">
      <formula1>"Purchased,Manufactured"</formula1>
    </dataValidation>
    <dataValidation type="list" allowBlank="1" showInputMessage="1" showErrorMessage="1" sqref="E18:E21" xr:uid="{018805B7-8AC3-4B22-BEAD-922DF3056774}">
      <formula1>"Yes,No"</formula1>
    </dataValidation>
    <dataValidation type="list" allowBlank="1" showInputMessage="1" showErrorMessage="1" sqref="E14" xr:uid="{78886D64-A9DB-4B0E-8392-3C40BFFDC03C}">
      <formula1>"Distance (nautic miles),Fuel consumption"</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5BCD4E5F-DC9B-4439-A3A4-B1116647DD29}">
          <x14:formula1>
            <xm:f>Data_tables!$B$5:$B$530</xm:f>
          </x14:formula1>
          <xm:sqref>E6</xm:sqref>
        </x14:dataValidation>
        <x14:dataValidation type="list" allowBlank="1" showInputMessage="1" showErrorMessage="1" xr:uid="{DCD567B0-078F-4306-928A-6EA6A82008D4}">
          <x14:formula1>
            <xm:f>Data_tables!$K$5:$K$18</xm:f>
          </x14:formula1>
          <xm:sqref>E8</xm:sqref>
        </x14:dataValidation>
        <x14:dataValidation type="list" allowBlank="1" showInputMessage="1" showErrorMessage="1" xr:uid="{21E475A9-02A0-45B1-89DE-0F40BC1A9D91}">
          <x14:formula1>
            <xm:f>Data_tables!$AD$5:$AD$24</xm:f>
          </x14:formula1>
          <xm:sqref>E11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A6EF6-7D49-4CF3-8D39-4A6839C83E46}">
  <sheetPr codeName="Sheet2">
    <tabColor theme="7"/>
  </sheetPr>
  <dimension ref="A1:V516"/>
  <sheetViews>
    <sheetView showGridLines="0" showOutlineSymbols="0" topLeftCell="C1" zoomScale="95" zoomScaleNormal="100" workbookViewId="0">
      <selection activeCell="G20" sqref="G20"/>
    </sheetView>
  </sheetViews>
  <sheetFormatPr defaultColWidth="8.625" defaultRowHeight="14.25"/>
  <cols>
    <col min="1" max="1" width="1.625" customWidth="1"/>
    <col min="2" max="2" width="37.75" bestFit="1" customWidth="1"/>
    <col min="3" max="3" width="29.625" bestFit="1" customWidth="1"/>
    <col min="4" max="4" width="70.375" bestFit="1" customWidth="1"/>
    <col min="5" max="5" width="83.375" style="27" bestFit="1" customWidth="1"/>
    <col min="6" max="6" width="37.625" style="85" bestFit="1" customWidth="1"/>
    <col min="7" max="7" width="43.625" style="26" customWidth="1"/>
    <col min="8" max="8" width="43.625" style="97" customWidth="1"/>
    <col min="9" max="9" width="18.875" style="26" hidden="1" customWidth="1"/>
    <col min="10" max="10" width="6.75" style="83" customWidth="1"/>
    <col min="11" max="11" width="8.625" hidden="1" customWidth="1"/>
    <col min="12" max="12" width="12.375" hidden="1" customWidth="1"/>
    <col min="13" max="22" width="8.625" hidden="1" customWidth="1"/>
    <col min="23" max="16383" width="0" hidden="1" customWidth="1"/>
  </cols>
  <sheetData>
    <row r="1" spans="1:21" s="15" customFormat="1" ht="36" customHeight="1" thickBot="1">
      <c r="B1" s="15" t="str">
        <f ca="1">IFERROR(MID(CELL("filename",$A$1),FIND("]",CELL("filename",$A$1))+1,256),"Tab title (save and calculate to sync)")</f>
        <v>Tab title (save and calculate to sync)</v>
      </c>
      <c r="G1" s="44"/>
      <c r="H1" s="44"/>
      <c r="I1" s="44"/>
    </row>
    <row r="2" spans="1:21" s="16" customFormat="1" ht="15.75"/>
    <row r="3" spans="1:21" s="16" customFormat="1" ht="15.75">
      <c r="J3" s="53"/>
    </row>
    <row r="4" spans="1:21">
      <c r="E4"/>
      <c r="F4" s="52"/>
      <c r="H4" s="26"/>
      <c r="J4" s="52"/>
    </row>
    <row r="5" spans="1:21" ht="15">
      <c r="B5" s="17" t="s">
        <v>109</v>
      </c>
      <c r="C5" s="17" t="s">
        <v>150</v>
      </c>
      <c r="D5" s="17" t="s">
        <v>151</v>
      </c>
      <c r="E5" s="17" t="s">
        <v>111</v>
      </c>
      <c r="F5" s="51" t="s">
        <v>152</v>
      </c>
      <c r="G5" s="70" t="s">
        <v>17</v>
      </c>
      <c r="H5" s="70"/>
      <c r="I5" s="70"/>
      <c r="J5" s="49"/>
    </row>
    <row r="6" spans="1:21" ht="15">
      <c r="E6"/>
      <c r="F6" s="52"/>
      <c r="G6" s="66" t="s">
        <v>153</v>
      </c>
      <c r="H6" s="66" t="s">
        <v>154</v>
      </c>
      <c r="I6" s="66" t="s">
        <v>155</v>
      </c>
      <c r="J6" s="49"/>
    </row>
    <row r="7" spans="1:21" ht="15">
      <c r="A7" s="22" t="s">
        <v>156</v>
      </c>
      <c r="E7"/>
      <c r="F7" s="64"/>
      <c r="G7" s="63"/>
      <c r="H7" s="63"/>
      <c r="I7" s="63"/>
      <c r="J7" s="64"/>
      <c r="K7" s="22"/>
      <c r="L7" s="22"/>
      <c r="M7" s="22"/>
      <c r="N7" s="22"/>
      <c r="O7" s="22"/>
      <c r="P7" s="22"/>
      <c r="Q7" s="22"/>
      <c r="R7" s="22"/>
      <c r="S7" s="22"/>
      <c r="T7" s="22"/>
      <c r="U7" s="22"/>
    </row>
    <row r="8" spans="1:21" ht="15">
      <c r="A8" s="22"/>
      <c r="B8" s="688"/>
      <c r="C8" s="721"/>
      <c r="D8" s="690" t="s">
        <v>157</v>
      </c>
      <c r="E8" s="568" t="s">
        <v>158</v>
      </c>
      <c r="F8" s="569"/>
      <c r="G8" s="570" t="s">
        <v>159</v>
      </c>
      <c r="H8" s="570" t="s">
        <v>159</v>
      </c>
      <c r="I8" s="482"/>
      <c r="K8" s="22"/>
      <c r="L8" s="22"/>
      <c r="M8" s="732">
        <f>+Sensitivity_tables!D7</f>
        <v>0</v>
      </c>
      <c r="N8" s="732">
        <f>+Sensitivity_tables!E7</f>
        <v>5.0000000000000001E-3</v>
      </c>
      <c r="O8" s="732">
        <f>+Sensitivity_tables!F7</f>
        <v>0.01</v>
      </c>
      <c r="P8" s="732">
        <f>+Sensitivity_tables!G7</f>
        <v>1.4999999999999999E-2</v>
      </c>
      <c r="Q8" s="732">
        <f>+Sensitivity_tables!H7</f>
        <v>0.02</v>
      </c>
      <c r="R8" s="732">
        <f>+Sensitivity_tables!I7</f>
        <v>2.5000000000000001E-2</v>
      </c>
      <c r="S8" s="732">
        <f>+Sensitivity_tables!J7</f>
        <v>3.0000000000000002E-2</v>
      </c>
      <c r="T8" s="732">
        <f>+Sensitivity_tables!K7</f>
        <v>3.5000000000000003E-2</v>
      </c>
      <c r="U8" s="732">
        <f>+Sensitivity_tables!L7</f>
        <v>0.04</v>
      </c>
    </row>
    <row r="9" spans="1:21" ht="15">
      <c r="A9" s="22"/>
      <c r="B9" s="688"/>
      <c r="C9" s="721"/>
      <c r="D9" s="691" t="s">
        <v>160</v>
      </c>
      <c r="E9" s="571" t="s">
        <v>161</v>
      </c>
      <c r="F9" s="572" t="s">
        <v>139</v>
      </c>
      <c r="G9" s="573" t="s">
        <v>113</v>
      </c>
      <c r="H9" s="574"/>
      <c r="I9" s="482"/>
      <c r="J9" s="22"/>
      <c r="K9" s="741"/>
      <c r="L9" s="744">
        <f ca="1">+Sensitivity_tables!C8</f>
        <v>-251.46180461176175</v>
      </c>
      <c r="M9">
        <f t="dataTable" ref="M9:U9" dt2D="0" dtr="1" r1="G10" ca="1"/>
        <v>-229.08734710898545</v>
      </c>
      <c r="N9">
        <v>-234.31468157774697</v>
      </c>
      <c r="O9">
        <v>-239.77712139105384</v>
      </c>
      <c r="P9">
        <v>-245.48808814359558</v>
      </c>
      <c r="Q9">
        <v>-251.46180461176175</v>
      </c>
      <c r="R9">
        <v>-257.71334157187187</v>
      </c>
      <c r="S9">
        <v>-264.25866723373349</v>
      </c>
      <c r="T9">
        <v>-271.11469942702013</v>
      </c>
      <c r="U9" s="733">
        <v>-278.29936068470698</v>
      </c>
    </row>
    <row r="10" spans="1:21" ht="15">
      <c r="A10" s="22"/>
      <c r="B10" s="688"/>
      <c r="C10" s="721"/>
      <c r="D10" s="691" t="s">
        <v>162</v>
      </c>
      <c r="E10" s="571" t="s">
        <v>163</v>
      </c>
      <c r="F10" s="572" t="str">
        <f>+IF(G9="General","Yes","No")</f>
        <v>Yes</v>
      </c>
      <c r="G10" s="575">
        <v>0.02</v>
      </c>
      <c r="H10" s="576">
        <f>+G10</f>
        <v>0.02</v>
      </c>
      <c r="I10" s="482"/>
      <c r="K10" s="742"/>
      <c r="L10" s="742"/>
      <c r="M10" s="742"/>
      <c r="N10" s="742"/>
      <c r="O10" s="742"/>
      <c r="P10" s="742"/>
      <c r="Q10" s="743"/>
      <c r="R10" s="743"/>
      <c r="S10" s="743"/>
      <c r="T10" s="743"/>
      <c r="U10" s="22"/>
    </row>
    <row r="11" spans="1:21" ht="15">
      <c r="B11" s="689"/>
      <c r="C11" s="722"/>
      <c r="D11" s="691" t="s">
        <v>164</v>
      </c>
      <c r="E11" s="571" t="s">
        <v>165</v>
      </c>
      <c r="F11" s="572" t="s">
        <v>139</v>
      </c>
      <c r="G11" s="577">
        <v>46388</v>
      </c>
      <c r="H11" s="578">
        <f>+G11</f>
        <v>46388</v>
      </c>
      <c r="I11" s="482"/>
      <c r="L11" s="744"/>
    </row>
    <row r="12" spans="1:21">
      <c r="B12" s="689"/>
      <c r="C12" s="722"/>
      <c r="D12" s="691" t="s">
        <v>166</v>
      </c>
      <c r="E12" s="571" t="s">
        <v>165</v>
      </c>
      <c r="F12" s="572" t="s">
        <v>139</v>
      </c>
      <c r="G12" s="577">
        <v>53328</v>
      </c>
      <c r="H12" s="578">
        <f t="shared" ref="H12:H14" si="0">+G12</f>
        <v>53328</v>
      </c>
      <c r="I12" s="482"/>
      <c r="M12" s="67"/>
    </row>
    <row r="13" spans="1:21">
      <c r="B13" s="689"/>
      <c r="C13" s="722"/>
      <c r="D13" s="691" t="s">
        <v>167</v>
      </c>
      <c r="E13" s="571" t="s">
        <v>168</v>
      </c>
      <c r="F13" s="572" t="s">
        <v>139</v>
      </c>
      <c r="G13" s="577" t="s">
        <v>169</v>
      </c>
      <c r="H13" s="578" t="str">
        <f t="shared" si="0"/>
        <v>Australia</v>
      </c>
      <c r="I13" s="482"/>
      <c r="M13" s="67"/>
    </row>
    <row r="14" spans="1:21" ht="15">
      <c r="B14" s="689"/>
      <c r="C14" s="722"/>
      <c r="D14" s="691" t="s">
        <v>170</v>
      </c>
      <c r="E14" s="571"/>
      <c r="F14" s="572"/>
      <c r="G14" s="578" t="str">
        <f>+IF(Quick_assumption!$E$5="Quick calculation",Quick_assumption!$E$6,$G$13)</f>
        <v>Australia</v>
      </c>
      <c r="H14" s="578" t="str">
        <f t="shared" si="0"/>
        <v>Australia</v>
      </c>
      <c r="I14" s="482"/>
      <c r="J14"/>
      <c r="L14" s="742"/>
    </row>
    <row r="15" spans="1:21">
      <c r="B15" s="689"/>
      <c r="C15" s="722"/>
      <c r="D15" s="691" t="s">
        <v>171</v>
      </c>
      <c r="E15" s="572"/>
      <c r="F15" s="572"/>
      <c r="G15" s="583" t="str">
        <f ca="1">+_xlfn.XLOOKUP(G14,Data_tables!$B:$B,Data_tables!$C:$C)</f>
        <v>Global</v>
      </c>
      <c r="H15" s="583" t="str">
        <f ca="1">+_xlfn.XLOOKUP(H14,Data_tables!$B:$B,Data_tables!$C:$C)</f>
        <v>Global</v>
      </c>
      <c r="I15" s="482"/>
      <c r="J15" s="49"/>
    </row>
    <row r="16" spans="1:21" ht="15">
      <c r="B16" s="689"/>
      <c r="C16" s="722"/>
      <c r="D16" s="723" t="s">
        <v>172</v>
      </c>
      <c r="E16" s="571" t="s">
        <v>173</v>
      </c>
      <c r="F16" s="572" t="s">
        <v>139</v>
      </c>
      <c r="G16" s="577" t="s">
        <v>139</v>
      </c>
      <c r="H16" s="578" t="str">
        <f>+G16</f>
        <v>Yes</v>
      </c>
      <c r="I16" s="482"/>
      <c r="J16" s="49"/>
      <c r="L16" s="742"/>
    </row>
    <row r="18" spans="1:9" ht="15">
      <c r="A18" s="22" t="s">
        <v>174</v>
      </c>
      <c r="E18"/>
      <c r="F18" s="83"/>
      <c r="G18"/>
      <c r="H18"/>
      <c r="I18" s="482"/>
    </row>
    <row r="19" spans="1:9" ht="15">
      <c r="A19" s="22"/>
      <c r="E19"/>
      <c r="F19" s="83"/>
      <c r="G19"/>
      <c r="H19"/>
      <c r="I19" s="482"/>
    </row>
    <row r="20" spans="1:9" s="22" customFormat="1" ht="15">
      <c r="B20" s="565" t="s">
        <v>175</v>
      </c>
      <c r="C20" s="558"/>
      <c r="D20" s="580"/>
      <c r="E20" s="20"/>
      <c r="F20" s="65"/>
      <c r="G20" s="60"/>
      <c r="H20" s="60"/>
      <c r="I20" s="482"/>
    </row>
    <row r="21" spans="1:9" s="22" customFormat="1" ht="15">
      <c r="B21" s="565"/>
      <c r="C21" s="558" t="s">
        <v>176</v>
      </c>
      <c r="D21" s="580"/>
      <c r="E21" s="568"/>
      <c r="F21" s="65"/>
      <c r="G21" s="60"/>
      <c r="H21" s="60"/>
      <c r="I21" s="482"/>
    </row>
    <row r="22" spans="1:9">
      <c r="B22" s="566"/>
      <c r="C22" s="559"/>
      <c r="D22" s="580" t="s">
        <v>177</v>
      </c>
      <c r="E22" s="571" t="s">
        <v>178</v>
      </c>
      <c r="F22" s="572" t="s">
        <v>139</v>
      </c>
      <c r="G22" s="584">
        <v>0</v>
      </c>
      <c r="H22" s="642">
        <f>+G22</f>
        <v>0</v>
      </c>
      <c r="I22" s="482"/>
    </row>
    <row r="23" spans="1:9">
      <c r="B23" s="566"/>
      <c r="C23" s="559"/>
      <c r="D23" s="581" t="s">
        <v>179</v>
      </c>
      <c r="E23" s="571" t="s">
        <v>115</v>
      </c>
      <c r="F23" s="572" t="s">
        <v>139</v>
      </c>
      <c r="G23" s="585" t="s">
        <v>121</v>
      </c>
      <c r="H23" s="585" t="s">
        <v>180</v>
      </c>
      <c r="I23" s="482"/>
    </row>
    <row r="24" spans="1:9">
      <c r="B24" s="566"/>
      <c r="C24" s="559"/>
      <c r="D24" s="581" t="s">
        <v>181</v>
      </c>
      <c r="E24" s="571"/>
      <c r="F24" s="572"/>
      <c r="G24" s="587" t="str">
        <f>+IF(Quick_assumption!$E$5="Quick calculation",Quick_assumption!$E$8,$G$23)</f>
        <v>e-ammonia</v>
      </c>
      <c r="H24" s="587" t="str">
        <f>+H23</f>
        <v>LSFO</v>
      </c>
      <c r="I24" s="482"/>
    </row>
    <row r="25" spans="1:9">
      <c r="B25" s="566"/>
      <c r="C25" s="559"/>
      <c r="D25" s="684" t="s">
        <v>182</v>
      </c>
      <c r="E25" s="571" t="s">
        <v>183</v>
      </c>
      <c r="F25" s="586"/>
      <c r="G25" s="587">
        <f>+_xlfn.XLOOKUP(G24,Data_tables!K:K,Data_tables!M:M)</f>
        <v>18.8</v>
      </c>
      <c r="H25" s="587">
        <f>+_xlfn.XLOOKUP(H24,Data_tables!K:K,Data_tables!M:M)</f>
        <v>41.2</v>
      </c>
      <c r="I25" s="482"/>
    </row>
    <row r="26" spans="1:9">
      <c r="B26" s="566"/>
      <c r="C26" s="559"/>
      <c r="D26" s="684" t="s">
        <v>184</v>
      </c>
      <c r="E26" s="571" t="s">
        <v>185</v>
      </c>
      <c r="F26" s="586"/>
      <c r="G26" s="587">
        <f>+_xlfn.XLOOKUP(G24,Data_tables!K:K,Data_tables!Q:Q)</f>
        <v>2.8</v>
      </c>
      <c r="H26" s="587">
        <f>+_xlfn.XLOOKUP(H24,Data_tables!K:K,Data_tables!Q:Q)</f>
        <v>93.284708737864079</v>
      </c>
      <c r="I26" s="482"/>
    </row>
    <row r="27" spans="1:9">
      <c r="B27" s="566"/>
      <c r="C27" s="559"/>
      <c r="D27" s="684" t="s">
        <v>186</v>
      </c>
      <c r="E27" s="571" t="s">
        <v>187</v>
      </c>
      <c r="F27" s="586"/>
      <c r="G27" s="588">
        <f t="shared" ref="G27:H29" si="1">+G286</f>
        <v>877.28141622340411</v>
      </c>
      <c r="H27" s="588">
        <f t="shared" si="1"/>
        <v>421.38197815533977</v>
      </c>
      <c r="I27" s="482"/>
    </row>
    <row r="28" spans="1:9">
      <c r="B28" s="566"/>
      <c r="C28" s="559"/>
      <c r="D28" s="684" t="s">
        <v>188</v>
      </c>
      <c r="E28" s="571" t="s">
        <v>187</v>
      </c>
      <c r="F28" s="586"/>
      <c r="G28" s="588">
        <f t="shared" si="1"/>
        <v>21.069098907766985</v>
      </c>
      <c r="H28" s="588">
        <f t="shared" si="1"/>
        <v>0</v>
      </c>
      <c r="I28" s="482"/>
    </row>
    <row r="29" spans="1:9">
      <c r="B29" s="566"/>
      <c r="C29" s="559"/>
      <c r="D29" s="685" t="str">
        <f>+D288</f>
        <v>Energy consumption</v>
      </c>
      <c r="E29" s="589" t="str">
        <f>+E288</f>
        <v>GJ/year total per vessel</v>
      </c>
      <c r="F29" s="579"/>
      <c r="G29" s="590">
        <f>+G288</f>
        <v>17360.937499999996</v>
      </c>
      <c r="H29" s="590">
        <f t="shared" si="1"/>
        <v>17360.9375</v>
      </c>
      <c r="I29" s="550"/>
    </row>
    <row r="30" spans="1:9" ht="15">
      <c r="B30" s="566"/>
      <c r="C30" s="558"/>
      <c r="D30" s="567"/>
      <c r="E30" s="20"/>
      <c r="F30" s="65"/>
      <c r="H30" s="26"/>
      <c r="I30" s="482"/>
    </row>
    <row r="31" spans="1:9" ht="15">
      <c r="B31" s="566"/>
      <c r="C31" s="558" t="s">
        <v>189</v>
      </c>
      <c r="D31" s="567"/>
      <c r="E31" s="20"/>
      <c r="F31" s="65"/>
      <c r="G31"/>
      <c r="H31"/>
      <c r="I31" s="482"/>
    </row>
    <row r="32" spans="1:9" ht="15">
      <c r="B32" s="566"/>
      <c r="C32" s="559"/>
      <c r="D32" s="686" t="s">
        <v>190</v>
      </c>
      <c r="E32" s="568"/>
      <c r="F32" s="591"/>
      <c r="G32" s="117"/>
      <c r="H32" s="117"/>
      <c r="I32" s="482"/>
    </row>
    <row r="33" spans="2:9">
      <c r="B33" s="566"/>
      <c r="C33" s="559"/>
      <c r="D33" s="581" t="s">
        <v>191</v>
      </c>
      <c r="E33" s="571" t="s">
        <v>115</v>
      </c>
      <c r="F33" s="572" t="s">
        <v>139</v>
      </c>
      <c r="G33" s="577" t="s">
        <v>192</v>
      </c>
      <c r="H33" s="117"/>
      <c r="I33" s="482"/>
    </row>
    <row r="34" spans="2:9">
      <c r="B34" s="566"/>
      <c r="C34" s="559"/>
      <c r="D34" s="581" t="s">
        <v>193</v>
      </c>
      <c r="E34" s="571"/>
      <c r="F34" s="572"/>
      <c r="G34" s="578" t="str">
        <f>+IF(Quick_assumption!$E$5="Quick calculation",Quick_assumption!$E$9,$G$33)</f>
        <v>Purchased</v>
      </c>
      <c r="H34" s="578" t="s">
        <v>192</v>
      </c>
      <c r="I34" s="482"/>
    </row>
    <row r="35" spans="2:9">
      <c r="B35" s="566"/>
      <c r="C35" s="559"/>
      <c r="D35" s="581" t="s">
        <v>194</v>
      </c>
      <c r="E35" s="571" t="s">
        <v>115</v>
      </c>
      <c r="F35" s="572" t="s">
        <v>139</v>
      </c>
      <c r="G35" s="592" t="s">
        <v>139</v>
      </c>
      <c r="H35" s="593" t="str">
        <f>+G35</f>
        <v>Yes</v>
      </c>
      <c r="I35" s="482"/>
    </row>
    <row r="36" spans="2:9">
      <c r="B36" s="566"/>
      <c r="C36" s="559"/>
      <c r="D36" s="581" t="s">
        <v>195</v>
      </c>
      <c r="E36" s="571" t="s">
        <v>196</v>
      </c>
      <c r="F36" s="572"/>
      <c r="G36" s="598">
        <f>+G11</f>
        <v>46388</v>
      </c>
      <c r="H36" s="594">
        <f>+G36</f>
        <v>46388</v>
      </c>
      <c r="I36" s="551">
        <f>+$G$11</f>
        <v>46388</v>
      </c>
    </row>
    <row r="37" spans="2:9">
      <c r="B37" s="566"/>
      <c r="C37" s="559"/>
      <c r="D37" s="581" t="s">
        <v>197</v>
      </c>
      <c r="E37" s="571" t="s">
        <v>198</v>
      </c>
      <c r="F37" s="572"/>
      <c r="G37" s="595">
        <v>1</v>
      </c>
      <c r="H37" s="594">
        <f t="shared" ref="H37:H41" si="2">+G37</f>
        <v>1</v>
      </c>
      <c r="I37" s="481">
        <v>1</v>
      </c>
    </row>
    <row r="38" spans="2:9">
      <c r="B38" s="566"/>
      <c r="C38" s="559"/>
      <c r="D38" s="684" t="s">
        <v>199</v>
      </c>
      <c r="E38" s="571" t="s">
        <v>165</v>
      </c>
      <c r="F38" s="572"/>
      <c r="G38" s="598">
        <f>+IF(AND(G34="Purchased",G35="Yes"),EDATE(G36,I37*12),IF(G35="Yes",EDATE(G36,G37*12),EDATE(G36,I37*12)))</f>
        <v>46753</v>
      </c>
      <c r="H38" s="594">
        <f t="shared" si="2"/>
        <v>46753</v>
      </c>
      <c r="I38" s="482"/>
    </row>
    <row r="39" spans="2:9">
      <c r="B39" s="566"/>
      <c r="C39" s="559"/>
      <c r="D39" s="581" t="s">
        <v>200</v>
      </c>
      <c r="E39" s="571" t="s">
        <v>198</v>
      </c>
      <c r="F39" s="572"/>
      <c r="G39" s="595">
        <v>2</v>
      </c>
      <c r="H39" s="594">
        <f t="shared" si="2"/>
        <v>2</v>
      </c>
      <c r="I39" s="481">
        <v>2</v>
      </c>
    </row>
    <row r="40" spans="2:9">
      <c r="B40" s="566"/>
      <c r="C40" s="559"/>
      <c r="D40" s="684" t="s">
        <v>201</v>
      </c>
      <c r="E40" s="571" t="s">
        <v>165</v>
      </c>
      <c r="F40" s="572"/>
      <c r="G40" s="598">
        <f>+IF(AND(G34="Purchased",G35="Yes"),EDATE(G38,I39*12),IF(G35="Yes",EDATE(G38,G39*12),EDATE(G38,I39*12)))</f>
        <v>47484</v>
      </c>
      <c r="H40" s="594">
        <f t="shared" si="2"/>
        <v>47484</v>
      </c>
      <c r="I40" s="482"/>
    </row>
    <row r="41" spans="2:9">
      <c r="B41" s="566"/>
      <c r="C41" s="559"/>
      <c r="D41" s="581" t="s">
        <v>202</v>
      </c>
      <c r="E41" s="571" t="s">
        <v>198</v>
      </c>
      <c r="F41" s="572"/>
      <c r="G41" s="595">
        <v>15</v>
      </c>
      <c r="H41" s="594">
        <f t="shared" si="2"/>
        <v>15</v>
      </c>
      <c r="I41" s="481">
        <f>+ROUND(_xlfn.DAYS(EDATE(G12,-12),G40)/365,0)</f>
        <v>15</v>
      </c>
    </row>
    <row r="42" spans="2:9">
      <c r="B42" s="566"/>
      <c r="C42" s="559"/>
      <c r="D42" s="582" t="s">
        <v>203</v>
      </c>
      <c r="E42" s="589" t="s">
        <v>198</v>
      </c>
      <c r="F42" s="596"/>
      <c r="G42" s="597">
        <f>+IF(G35="No",$I$41,G41)</f>
        <v>15</v>
      </c>
      <c r="H42" s="597">
        <f>+IF(H35="No",$I$41,H41)</f>
        <v>15</v>
      </c>
      <c r="I42" s="550"/>
    </row>
    <row r="43" spans="2:9">
      <c r="B43" s="566"/>
      <c r="C43" s="559"/>
      <c r="D43" s="567"/>
      <c r="E43" s="20"/>
      <c r="F43" s="65"/>
      <c r="G43" s="20"/>
      <c r="H43" s="20"/>
      <c r="I43" s="482"/>
    </row>
    <row r="44" spans="2:9" ht="15">
      <c r="B44" s="566"/>
      <c r="C44" s="559"/>
      <c r="D44" s="686" t="s">
        <v>204</v>
      </c>
      <c r="E44" s="568"/>
      <c r="F44" s="599"/>
      <c r="G44" s="568"/>
      <c r="H44" s="568"/>
      <c r="I44" s="482"/>
    </row>
    <row r="45" spans="2:9">
      <c r="B45" s="566"/>
      <c r="C45" s="559"/>
      <c r="D45" s="581" t="s">
        <v>205</v>
      </c>
      <c r="E45" s="571" t="s">
        <v>168</v>
      </c>
      <c r="F45" s="572" t="s">
        <v>139</v>
      </c>
      <c r="G45" s="592" t="s">
        <v>144</v>
      </c>
      <c r="H45" s="593" t="s">
        <v>144</v>
      </c>
      <c r="I45" s="482"/>
    </row>
    <row r="46" spans="2:9">
      <c r="B46" s="566"/>
      <c r="C46" s="559"/>
      <c r="D46" s="581" t="s">
        <v>160</v>
      </c>
      <c r="E46" s="571" t="s">
        <v>161</v>
      </c>
      <c r="F46" s="572"/>
      <c r="G46" s="573" t="s">
        <v>206</v>
      </c>
      <c r="H46" s="600" t="s">
        <v>113</v>
      </c>
      <c r="I46" s="482"/>
    </row>
    <row r="47" spans="2:9">
      <c r="B47" s="566"/>
      <c r="C47" s="559"/>
      <c r="D47" s="581" t="s">
        <v>207</v>
      </c>
      <c r="E47" s="601" t="str">
        <f>+$G$8</f>
        <v>USD</v>
      </c>
      <c r="F47" s="572"/>
      <c r="G47" s="592">
        <v>0</v>
      </c>
      <c r="H47" s="593"/>
      <c r="I47" s="534"/>
    </row>
    <row r="48" spans="2:9">
      <c r="B48" s="566"/>
      <c r="C48" s="559"/>
      <c r="D48" s="582" t="s">
        <v>208</v>
      </c>
      <c r="E48" s="602" t="str">
        <f>+$G$8</f>
        <v>USD</v>
      </c>
      <c r="F48" s="603"/>
      <c r="G48" s="604">
        <f>+IF(G34="Purchased",0,IF(AND(G45="Yes",G46="General"),G47,IF(G45="No",0,0)))</f>
        <v>0</v>
      </c>
      <c r="H48" s="605">
        <f>+IF(H34="Purchased",0,IF(AND(H45="Yes",H46="General"),H47,IF(H45="No",Data_tables!#REF!*H42*G27,0)))</f>
        <v>0</v>
      </c>
      <c r="I48" s="482"/>
    </row>
    <row r="49" spans="2:8">
      <c r="B49" s="566"/>
      <c r="C49" s="559"/>
      <c r="D49" s="567"/>
    </row>
    <row r="50" spans="2:8" ht="15">
      <c r="B50" s="566"/>
      <c r="C50" s="559"/>
      <c r="D50" s="686" t="s">
        <v>209</v>
      </c>
      <c r="E50" s="568"/>
      <c r="F50" s="599"/>
      <c r="G50" s="606"/>
      <c r="H50" s="607"/>
    </row>
    <row r="51" spans="2:8">
      <c r="B51" s="566"/>
      <c r="C51" s="559"/>
      <c r="D51" s="581" t="s">
        <v>205</v>
      </c>
      <c r="E51" s="571" t="s">
        <v>168</v>
      </c>
      <c r="F51" s="572" t="s">
        <v>139</v>
      </c>
      <c r="G51" s="592" t="s">
        <v>144</v>
      </c>
      <c r="H51" s="593" t="s">
        <v>144</v>
      </c>
    </row>
    <row r="52" spans="2:8">
      <c r="B52" s="566"/>
      <c r="C52" s="559"/>
      <c r="D52" s="581" t="s">
        <v>160</v>
      </c>
      <c r="E52" s="571" t="s">
        <v>161</v>
      </c>
      <c r="F52" s="572"/>
      <c r="G52" s="573" t="s">
        <v>113</v>
      </c>
      <c r="H52" s="600" t="s">
        <v>206</v>
      </c>
    </row>
    <row r="53" spans="2:8">
      <c r="B53" s="566"/>
      <c r="C53" s="559"/>
      <c r="D53" s="581" t="s">
        <v>207</v>
      </c>
      <c r="E53" s="601" t="str">
        <f>+$G$8</f>
        <v>USD</v>
      </c>
      <c r="F53" s="572"/>
      <c r="G53" s="592"/>
      <c r="H53" s="593"/>
    </row>
    <row r="54" spans="2:8">
      <c r="B54" s="566"/>
      <c r="C54" s="559"/>
      <c r="D54" s="582" t="s">
        <v>208</v>
      </c>
      <c r="E54" s="602" t="str">
        <f>+$G$8</f>
        <v>USD</v>
      </c>
      <c r="F54" s="603"/>
      <c r="G54" s="608" cm="1">
        <f t="array" ref="G54">+IF(G34="Purchased",0,IF(AND(G51="Yes",G52="General"),G53,IF(G51="No",_xlfn.XLOOKUP($G$24,Data_tables!$K$5:$K$20,Data_tables!$O$5:$O$20*G42*G27*G268,0),0)))</f>
        <v>0</v>
      </c>
      <c r="H54" s="605">
        <f>+IF(H34="Purchased",0,IF(AND(H51="Yes",H52="General"),H53,IF(H51="No",Data_tables!#REF!*H42*H27,0)))</f>
        <v>0</v>
      </c>
    </row>
    <row r="55" spans="2:8" ht="15">
      <c r="B55" s="566"/>
      <c r="C55" s="559"/>
      <c r="D55" s="687"/>
      <c r="E55" s="20"/>
      <c r="F55" s="65"/>
      <c r="G55" s="62"/>
      <c r="H55" s="20"/>
    </row>
    <row r="56" spans="2:8" ht="15">
      <c r="B56" s="566"/>
      <c r="C56" s="559"/>
      <c r="D56" s="686" t="s">
        <v>210</v>
      </c>
      <c r="E56" s="568"/>
      <c r="F56" s="599"/>
      <c r="G56" s="609"/>
      <c r="H56" s="568"/>
    </row>
    <row r="57" spans="2:8">
      <c r="B57" s="566"/>
      <c r="C57" s="559"/>
      <c r="D57" s="582" t="s">
        <v>211</v>
      </c>
      <c r="E57" s="589" t="s">
        <v>198</v>
      </c>
      <c r="F57" s="596"/>
      <c r="G57" s="610">
        <f>+IF(G34="Purchased",0,G42)</f>
        <v>0</v>
      </c>
      <c r="H57" s="611">
        <f>+IF(H34="Purchased",0,H42)</f>
        <v>0</v>
      </c>
    </row>
    <row r="58" spans="2:8">
      <c r="B58" s="566"/>
      <c r="C58" s="559"/>
      <c r="D58" s="567"/>
      <c r="E58" s="20"/>
      <c r="F58" s="65"/>
      <c r="G58" s="71"/>
      <c r="H58" s="20"/>
    </row>
    <row r="59" spans="2:8" ht="15">
      <c r="B59" s="566"/>
      <c r="C59" s="558" t="s">
        <v>212</v>
      </c>
      <c r="D59" s="567"/>
      <c r="E59" s="20"/>
      <c r="F59" s="65"/>
      <c r="G59" s="20"/>
      <c r="H59" s="20"/>
    </row>
    <row r="60" spans="2:8" ht="15">
      <c r="B60" s="566"/>
      <c r="C60" s="559"/>
      <c r="D60" s="686" t="s">
        <v>75</v>
      </c>
      <c r="E60" s="568"/>
      <c r="F60" s="599"/>
      <c r="G60" s="614"/>
      <c r="H60" s="614"/>
    </row>
    <row r="61" spans="2:8">
      <c r="B61" s="566"/>
      <c r="C61" s="559"/>
      <c r="D61" s="581" t="s">
        <v>213</v>
      </c>
      <c r="E61" s="571" t="s">
        <v>115</v>
      </c>
      <c r="F61" s="572" t="s">
        <v>139</v>
      </c>
      <c r="G61" s="612" t="s">
        <v>139</v>
      </c>
      <c r="H61" s="612" t="s">
        <v>139</v>
      </c>
    </row>
    <row r="62" spans="2:8">
      <c r="B62" s="566"/>
      <c r="C62" s="559"/>
      <c r="D62" s="581" t="s">
        <v>214</v>
      </c>
      <c r="E62" s="601" t="str">
        <f>+$G$8&amp;"/ton"</f>
        <v>USD/ton</v>
      </c>
      <c r="F62" s="572"/>
      <c r="G62" s="613">
        <v>0</v>
      </c>
      <c r="H62" s="613"/>
    </row>
    <row r="63" spans="2:8">
      <c r="B63" s="566"/>
      <c r="C63" s="559"/>
      <c r="D63" s="581" t="s">
        <v>215</v>
      </c>
      <c r="E63" s="571" t="s">
        <v>115</v>
      </c>
      <c r="F63" s="596"/>
      <c r="G63" s="612" t="s">
        <v>139</v>
      </c>
      <c r="H63" s="482"/>
    </row>
    <row r="64" spans="2:8">
      <c r="B64" s="566"/>
      <c r="C64" s="559"/>
      <c r="D64" s="582" t="s">
        <v>216</v>
      </c>
      <c r="E64" s="602" t="str">
        <f>+$G$8&amp;"/ton"</f>
        <v>USD/ton</v>
      </c>
      <c r="F64" s="596"/>
      <c r="G64" s="612"/>
      <c r="H64" s="482"/>
    </row>
    <row r="65" spans="2:8">
      <c r="B65" s="566"/>
      <c r="C65" s="559"/>
      <c r="D65" s="582" t="s">
        <v>217</v>
      </c>
      <c r="E65" s="602" t="s">
        <v>218</v>
      </c>
      <c r="F65" s="596"/>
      <c r="G65" s="728" t="str">
        <f>+IF(AND(G61="No",G34="Purchased"),"See Assumptions_Detailed","")</f>
        <v/>
      </c>
      <c r="H65" s="728" t="str">
        <f>+IF(AND(H61="No",H34="Purchased"),"See Assumptions_Detailed","")</f>
        <v/>
      </c>
    </row>
    <row r="66" spans="2:8">
      <c r="B66" s="566"/>
      <c r="C66" s="559"/>
      <c r="D66" s="567"/>
      <c r="E66" s="20"/>
      <c r="F66" s="65"/>
      <c r="G66" s="97"/>
    </row>
    <row r="67" spans="2:8" ht="15">
      <c r="B67" s="566"/>
      <c r="C67" s="559"/>
      <c r="D67" s="686" t="s">
        <v>219</v>
      </c>
      <c r="E67" s="615"/>
      <c r="F67" s="569"/>
      <c r="G67" s="616"/>
      <c r="H67" s="482"/>
    </row>
    <row r="68" spans="2:8">
      <c r="B68" s="566"/>
      <c r="C68" s="559"/>
      <c r="D68" s="581" t="s">
        <v>220</v>
      </c>
      <c r="E68" s="571" t="s">
        <v>115</v>
      </c>
      <c r="F68" s="572" t="s">
        <v>139</v>
      </c>
      <c r="G68" s="612" t="s">
        <v>144</v>
      </c>
      <c r="H68" s="729"/>
    </row>
    <row r="69" spans="2:8">
      <c r="B69" s="566"/>
      <c r="C69" s="559"/>
      <c r="D69" s="581" t="s">
        <v>160</v>
      </c>
      <c r="E69" s="571" t="s">
        <v>161</v>
      </c>
      <c r="F69" s="572"/>
      <c r="G69" s="612" t="s">
        <v>113</v>
      </c>
      <c r="H69" s="600"/>
    </row>
    <row r="70" spans="2:8">
      <c r="B70" s="566"/>
      <c r="C70" s="559"/>
      <c r="D70" s="581" t="s">
        <v>221</v>
      </c>
      <c r="E70" s="601" t="str">
        <f>+$G$8&amp;"/Year"</f>
        <v>USD/Year</v>
      </c>
      <c r="F70" s="572"/>
      <c r="G70" s="612"/>
      <c r="H70" s="600"/>
    </row>
    <row r="71" spans="2:8">
      <c r="B71" s="566"/>
      <c r="C71" s="559"/>
      <c r="D71" s="581" t="s">
        <v>222</v>
      </c>
      <c r="E71" s="601" t="str">
        <f>+$G$8&amp;"/Year"</f>
        <v>USD/Year</v>
      </c>
      <c r="F71" s="572"/>
      <c r="G71" s="612"/>
      <c r="H71" s="600"/>
    </row>
    <row r="72" spans="2:8">
      <c r="B72" s="566"/>
      <c r="C72" s="559"/>
      <c r="D72" s="581" t="s">
        <v>223</v>
      </c>
      <c r="E72" s="601" t="str">
        <f>+$G$8&amp;"/Year"</f>
        <v>USD/Year</v>
      </c>
      <c r="F72" s="572"/>
      <c r="G72" s="612">
        <v>0</v>
      </c>
      <c r="H72" s="600"/>
    </row>
    <row r="73" spans="2:8">
      <c r="B73" s="566"/>
      <c r="C73" s="559"/>
      <c r="D73" s="582" t="s">
        <v>224</v>
      </c>
      <c r="E73" s="602" t="str">
        <f>+$G$8&amp;"/Year"</f>
        <v>USD/Year</v>
      </c>
      <c r="F73" s="596"/>
      <c r="G73" s="728">
        <f>+IF(AND(G68="Yes",G69="General"),SUM(G70:G72),IF(AND(G34="Purchased",G68="No"),_xlfn.XLOOKUP(G24,Data_tables!$K$5:$K$20,Data_tables!$P$5:$P$20)*G27*G268,IF(AND(G34="Manufactured",G68="No"),"See Assumptions_Detailed",0)))</f>
        <v>0</v>
      </c>
      <c r="H73" s="730"/>
    </row>
    <row r="74" spans="2:8">
      <c r="B74" s="566"/>
      <c r="C74" s="559"/>
      <c r="D74" s="567"/>
      <c r="E74" s="61"/>
      <c r="F74" s="84"/>
      <c r="G74" s="97"/>
      <c r="H74" s="482"/>
    </row>
    <row r="75" spans="2:8">
      <c r="B75" s="566"/>
      <c r="C75" s="559"/>
      <c r="D75" s="567"/>
      <c r="H75" s="482"/>
    </row>
    <row r="76" spans="2:8" ht="15">
      <c r="B76" s="566"/>
      <c r="C76" s="558" t="s">
        <v>225</v>
      </c>
      <c r="D76" s="567"/>
      <c r="E76" s="20"/>
      <c r="F76" s="65"/>
      <c r="G76" s="71"/>
      <c r="H76" s="20"/>
    </row>
    <row r="77" spans="2:8" ht="15">
      <c r="B77" s="566"/>
      <c r="C77" s="558"/>
      <c r="D77" s="580" t="s">
        <v>226</v>
      </c>
      <c r="E77" s="568" t="s">
        <v>115</v>
      </c>
      <c r="F77" s="572" t="s">
        <v>139</v>
      </c>
      <c r="G77" s="618" t="s">
        <v>144</v>
      </c>
      <c r="H77" s="619" t="s">
        <v>144</v>
      </c>
    </row>
    <row r="78" spans="2:8" ht="15">
      <c r="B78" s="566"/>
      <c r="C78" s="558"/>
      <c r="D78" s="582" t="s">
        <v>160</v>
      </c>
      <c r="E78" s="20" t="s">
        <v>161</v>
      </c>
      <c r="F78" s="596"/>
      <c r="G78" s="613" t="s">
        <v>113</v>
      </c>
      <c r="H78" s="611" t="s">
        <v>113</v>
      </c>
    </row>
    <row r="79" spans="2:8" ht="15">
      <c r="B79" s="566"/>
      <c r="C79" s="558"/>
      <c r="D79" s="567"/>
      <c r="E79" s="20"/>
      <c r="F79" s="65"/>
      <c r="G79" s="71"/>
      <c r="H79" s="483"/>
    </row>
    <row r="80" spans="2:8" ht="15">
      <c r="B80" s="566"/>
      <c r="C80" s="559"/>
      <c r="D80" s="686" t="s">
        <v>227</v>
      </c>
      <c r="E80" s="568"/>
      <c r="F80" s="599"/>
      <c r="G80" s="609"/>
      <c r="H80" s="607"/>
    </row>
    <row r="81" spans="2:9">
      <c r="B81" s="566"/>
      <c r="C81" s="559"/>
      <c r="D81" s="581" t="s">
        <v>228</v>
      </c>
      <c r="E81" s="571" t="s">
        <v>178</v>
      </c>
      <c r="F81" s="572"/>
      <c r="G81" s="620">
        <v>0</v>
      </c>
      <c r="H81" s="621">
        <v>0.7</v>
      </c>
      <c r="I81" s="482">
        <v>0.7</v>
      </c>
    </row>
    <row r="82" spans="2:9">
      <c r="B82" s="566"/>
      <c r="C82" s="559"/>
      <c r="D82" s="581" t="s">
        <v>229</v>
      </c>
      <c r="E82" s="571" t="s">
        <v>178</v>
      </c>
      <c r="F82" s="572"/>
      <c r="G82" s="622">
        <f>+IF(G77="No",$I$81,G81)</f>
        <v>0.7</v>
      </c>
      <c r="H82" s="623">
        <f>+IF(H77="No",$I$81,H81)</f>
        <v>0.7</v>
      </c>
      <c r="I82" s="482"/>
    </row>
    <row r="83" spans="2:9">
      <c r="B83" s="566"/>
      <c r="C83" s="559"/>
      <c r="D83" s="581" t="s">
        <v>230</v>
      </c>
      <c r="E83" s="571" t="s">
        <v>178</v>
      </c>
      <c r="F83" s="572"/>
      <c r="G83" s="624">
        <v>5.8000000000000003E-2</v>
      </c>
      <c r="H83" s="625">
        <v>2.6679999999999999E-2</v>
      </c>
      <c r="I83" s="482">
        <f ca="1">+_xlfn.XLOOKUP($G$14,Data_tables!$B:$B,Data_tables!$D:$D)</f>
        <v>4.1890000000000004E-2</v>
      </c>
    </row>
    <row r="84" spans="2:9">
      <c r="B84" s="566"/>
      <c r="C84" s="559"/>
      <c r="D84" s="581" t="s">
        <v>231</v>
      </c>
      <c r="E84" s="571" t="s">
        <v>178</v>
      </c>
      <c r="F84" s="572"/>
      <c r="G84" s="624">
        <v>2.2100000000000002E-2</v>
      </c>
      <c r="H84" s="625">
        <v>2.2100000000000002E-2</v>
      </c>
      <c r="I84" s="482">
        <f ca="1">+_xlfn.XLOOKUP($G$14,Data_tables!$B:$B,Data_tables!$E:$E)+Data_tables!$H$20</f>
        <v>1.55E-2</v>
      </c>
    </row>
    <row r="85" spans="2:9">
      <c r="B85" s="566"/>
      <c r="C85" s="559"/>
      <c r="D85" s="581" t="s">
        <v>232</v>
      </c>
      <c r="E85" s="571" t="s">
        <v>178</v>
      </c>
      <c r="F85" s="572"/>
      <c r="G85" s="622">
        <f ca="1">+IF(G$77="Yes",SUM(G83:G84),SUM($I83:$I84))</f>
        <v>5.7390000000000004E-2</v>
      </c>
      <c r="H85" s="623">
        <f ca="1">+IF(H$77="Yes",SUM(H83:H84),SUM($I83:$I84))</f>
        <v>5.7390000000000004E-2</v>
      </c>
      <c r="I85" s="482"/>
    </row>
    <row r="86" spans="2:9">
      <c r="B86" s="566"/>
      <c r="C86" s="559"/>
      <c r="D86" s="581" t="s">
        <v>233</v>
      </c>
      <c r="E86" s="571" t="s">
        <v>198</v>
      </c>
      <c r="F86" s="572"/>
      <c r="G86" s="595">
        <v>15</v>
      </c>
      <c r="H86" s="626">
        <v>20</v>
      </c>
      <c r="I86" s="534">
        <f>+$G$42</f>
        <v>15</v>
      </c>
    </row>
    <row r="87" spans="2:9">
      <c r="B87" s="566"/>
      <c r="C87" s="559"/>
      <c r="D87" s="581" t="s">
        <v>234</v>
      </c>
      <c r="E87" s="571" t="s">
        <v>198</v>
      </c>
      <c r="F87" s="572"/>
      <c r="G87" s="587">
        <f>+IF(G$77="Yes",SUM(G86),SUM($I86))</f>
        <v>15</v>
      </c>
      <c r="H87" s="627">
        <f>+IF(H$77="Yes",SUM(H86),SUM($I86))</f>
        <v>15</v>
      </c>
      <c r="I87" s="534"/>
    </row>
    <row r="88" spans="2:9">
      <c r="B88" s="566"/>
      <c r="C88" s="559"/>
      <c r="D88" s="581" t="s">
        <v>235</v>
      </c>
      <c r="E88" s="571" t="s">
        <v>236</v>
      </c>
      <c r="F88" s="572"/>
      <c r="G88" s="628" t="s">
        <v>237</v>
      </c>
      <c r="H88" s="593" t="s">
        <v>237</v>
      </c>
      <c r="I88" s="482"/>
    </row>
    <row r="89" spans="2:9">
      <c r="B89" s="566"/>
      <c r="C89" s="559"/>
      <c r="D89" s="582" t="s">
        <v>238</v>
      </c>
      <c r="E89" s="589" t="s">
        <v>236</v>
      </c>
      <c r="F89" s="596"/>
      <c r="G89" s="610" t="s">
        <v>239</v>
      </c>
      <c r="H89" s="611" t="s">
        <v>239</v>
      </c>
      <c r="I89" s="482"/>
    </row>
    <row r="90" spans="2:9">
      <c r="B90" s="566"/>
      <c r="C90" s="559"/>
      <c r="D90" s="567"/>
      <c r="E90" s="20"/>
      <c r="F90" s="65"/>
      <c r="G90" s="71"/>
      <c r="H90" s="483"/>
      <c r="I90" s="482"/>
    </row>
    <row r="91" spans="2:9" ht="15">
      <c r="B91" s="566"/>
      <c r="C91" s="559"/>
      <c r="D91" s="686" t="s">
        <v>240</v>
      </c>
      <c r="E91" s="568"/>
      <c r="F91" s="599"/>
      <c r="G91" s="609"/>
      <c r="H91" s="607"/>
      <c r="I91" s="482"/>
    </row>
    <row r="92" spans="2:9">
      <c r="B92" s="566"/>
      <c r="C92" s="559"/>
      <c r="D92" s="581" t="s">
        <v>228</v>
      </c>
      <c r="E92" s="571" t="s">
        <v>178</v>
      </c>
      <c r="F92" s="572"/>
      <c r="G92" s="620">
        <v>0</v>
      </c>
      <c r="H92" s="621">
        <v>0.05</v>
      </c>
      <c r="I92" s="482">
        <v>0</v>
      </c>
    </row>
    <row r="93" spans="2:9">
      <c r="B93" s="566"/>
      <c r="C93" s="559"/>
      <c r="D93" s="581" t="s">
        <v>229</v>
      </c>
      <c r="E93" s="571" t="s">
        <v>178</v>
      </c>
      <c r="F93" s="572"/>
      <c r="G93" s="622">
        <f>+IF(G77="No",$I$92,G92)</f>
        <v>0</v>
      </c>
      <c r="H93" s="623">
        <f t="shared" ref="H93" si="3">+IF(H77="No",$I$92,H92)</f>
        <v>0</v>
      </c>
      <c r="I93" s="482"/>
    </row>
    <row r="94" spans="2:9">
      <c r="B94" s="566"/>
      <c r="C94" s="559"/>
      <c r="D94" s="581" t="s">
        <v>230</v>
      </c>
      <c r="E94" s="571" t="s">
        <v>178</v>
      </c>
      <c r="F94" s="572"/>
      <c r="G94" s="624">
        <v>2.6679999999999999E-2</v>
      </c>
      <c r="H94" s="625">
        <v>2.6679999999999999E-2</v>
      </c>
      <c r="I94" s="482">
        <f ca="1">+_xlfn.XLOOKUP($G$14,Data_tables!$B:$B,Data_tables!$D:$D)</f>
        <v>4.1890000000000004E-2</v>
      </c>
    </row>
    <row r="95" spans="2:9">
      <c r="B95" s="566"/>
      <c r="C95" s="559"/>
      <c r="D95" s="581" t="s">
        <v>231</v>
      </c>
      <c r="E95" s="571" t="s">
        <v>178</v>
      </c>
      <c r="F95" s="572"/>
      <c r="G95" s="624">
        <v>2.2100000000000002E-2</v>
      </c>
      <c r="H95" s="625">
        <v>2.2100000000000002E-2</v>
      </c>
      <c r="I95" s="482">
        <f ca="1">+_xlfn.XLOOKUP($G$14,Data_tables!$B:$B,Data_tables!$E:$E)+Data_tables!$H$20</f>
        <v>1.55E-2</v>
      </c>
    </row>
    <row r="96" spans="2:9">
      <c r="B96" s="566"/>
      <c r="C96" s="559"/>
      <c r="D96" s="581" t="s">
        <v>232</v>
      </c>
      <c r="E96" s="571" t="s">
        <v>178</v>
      </c>
      <c r="F96" s="572"/>
      <c r="G96" s="622">
        <f ca="1">+IF(G$77="Yes",SUM(G94:G95),SUM($I94:$I95))</f>
        <v>5.7390000000000004E-2</v>
      </c>
      <c r="H96" s="623">
        <f ca="1">+IF(H$77="Yes",SUM(H94:H95),SUM($I94:$I95))</f>
        <v>5.7390000000000004E-2</v>
      </c>
      <c r="I96" s="482"/>
    </row>
    <row r="97" spans="2:9">
      <c r="B97" s="566"/>
      <c r="C97" s="559"/>
      <c r="D97" s="581" t="s">
        <v>233</v>
      </c>
      <c r="E97" s="571" t="s">
        <v>198</v>
      </c>
      <c r="F97" s="572"/>
      <c r="G97" s="595">
        <v>20</v>
      </c>
      <c r="H97" s="626">
        <v>20</v>
      </c>
      <c r="I97" s="534">
        <f>+$G$42</f>
        <v>15</v>
      </c>
    </row>
    <row r="98" spans="2:9">
      <c r="B98" s="566"/>
      <c r="C98" s="559"/>
      <c r="D98" s="581" t="s">
        <v>234</v>
      </c>
      <c r="E98" s="571" t="s">
        <v>198</v>
      </c>
      <c r="F98" s="572"/>
      <c r="G98" s="587">
        <f>+IF(G$77="Yes",SUM(G97),SUM($I97))</f>
        <v>15</v>
      </c>
      <c r="H98" s="627">
        <f>+IF(H$77="Yes",SUM(H97),SUM($I97))</f>
        <v>15</v>
      </c>
      <c r="I98" s="534"/>
    </row>
    <row r="99" spans="2:9">
      <c r="B99" s="566"/>
      <c r="C99" s="559"/>
      <c r="D99" s="581" t="s">
        <v>235</v>
      </c>
      <c r="E99" s="571" t="s">
        <v>236</v>
      </c>
      <c r="F99" s="572"/>
      <c r="G99" s="628" t="s">
        <v>237</v>
      </c>
      <c r="H99" s="593" t="s">
        <v>237</v>
      </c>
      <c r="I99" s="482"/>
    </row>
    <row r="100" spans="2:9">
      <c r="B100" s="566"/>
      <c r="C100" s="559"/>
      <c r="D100" s="582" t="s">
        <v>238</v>
      </c>
      <c r="E100" s="589" t="s">
        <v>236</v>
      </c>
      <c r="F100" s="596"/>
      <c r="G100" s="610" t="s">
        <v>239</v>
      </c>
      <c r="H100" s="611" t="s">
        <v>239</v>
      </c>
      <c r="I100" s="482"/>
    </row>
    <row r="101" spans="2:9">
      <c r="B101" s="566"/>
      <c r="C101" s="559"/>
      <c r="D101" s="567"/>
      <c r="E101" s="20"/>
      <c r="F101" s="84"/>
      <c r="G101" s="20"/>
      <c r="H101" s="20"/>
      <c r="I101" s="482"/>
    </row>
    <row r="102" spans="2:9">
      <c r="B102" s="566"/>
      <c r="C102" s="559"/>
      <c r="D102" s="567" t="s">
        <v>241</v>
      </c>
      <c r="E102" s="20" t="s">
        <v>178</v>
      </c>
      <c r="F102" s="84"/>
      <c r="G102" s="93">
        <f>1-G93-G82</f>
        <v>0.30000000000000004</v>
      </c>
      <c r="H102" s="629">
        <f>1-H93-H82</f>
        <v>0.30000000000000004</v>
      </c>
      <c r="I102" s="482"/>
    </row>
    <row r="103" spans="2:9">
      <c r="B103" s="566"/>
      <c r="C103" s="559"/>
      <c r="D103" s="567"/>
      <c r="E103" s="20"/>
      <c r="F103" s="84"/>
      <c r="G103" s="20"/>
      <c r="H103" s="20"/>
      <c r="I103" s="482"/>
    </row>
    <row r="104" spans="2:9">
      <c r="B104" s="566"/>
      <c r="C104" s="559"/>
      <c r="D104" s="580" t="s">
        <v>242</v>
      </c>
      <c r="E104" s="568" t="s">
        <v>168</v>
      </c>
      <c r="F104" s="572" t="s">
        <v>139</v>
      </c>
      <c r="G104" s="630" t="s">
        <v>144</v>
      </c>
      <c r="H104" s="630" t="s">
        <v>144</v>
      </c>
      <c r="I104" s="482"/>
    </row>
    <row r="105" spans="2:9">
      <c r="B105" s="566"/>
      <c r="C105" s="559"/>
      <c r="D105" s="581" t="s">
        <v>243</v>
      </c>
      <c r="E105" s="571" t="s">
        <v>178</v>
      </c>
      <c r="F105" s="572"/>
      <c r="G105" s="762">
        <v>5.8000000000000003E-2</v>
      </c>
      <c r="H105" s="762">
        <v>5.8000000000000003E-2</v>
      </c>
      <c r="I105" s="482"/>
    </row>
    <row r="106" spans="2:9">
      <c r="B106" s="566"/>
      <c r="C106" s="559"/>
      <c r="D106" s="581" t="s">
        <v>244</v>
      </c>
      <c r="E106" s="571" t="s">
        <v>178</v>
      </c>
      <c r="F106" s="572"/>
      <c r="G106" s="633">
        <f ca="1">IF(G104="Yes",G105,$I106)</f>
        <v>4.1890000000000004E-2</v>
      </c>
      <c r="H106" s="633">
        <f ca="1">IF(H104="Yes",H105,$I106)</f>
        <v>4.1890000000000004E-2</v>
      </c>
      <c r="I106" s="482">
        <f ca="1">+_xlfn.XLOOKUP($G$14,Data_tables!$B:$B,Data_tables!$D:$D)</f>
        <v>4.1890000000000004E-2</v>
      </c>
    </row>
    <row r="107" spans="2:9">
      <c r="B107" s="566"/>
      <c r="C107" s="559"/>
      <c r="D107" s="581" t="s">
        <v>245</v>
      </c>
      <c r="E107" s="571" t="s">
        <v>173</v>
      </c>
      <c r="F107" s="572"/>
      <c r="G107" s="624" t="s">
        <v>144</v>
      </c>
      <c r="H107" s="600"/>
      <c r="I107" s="482"/>
    </row>
    <row r="108" spans="2:9">
      <c r="B108" s="566"/>
      <c r="C108" s="559"/>
      <c r="D108" s="581" t="s">
        <v>246</v>
      </c>
      <c r="E108" s="571" t="s">
        <v>178</v>
      </c>
      <c r="F108" s="572"/>
      <c r="G108" s="631">
        <v>5.8000000000000003E-2</v>
      </c>
      <c r="H108" s="600"/>
    </row>
    <row r="109" spans="2:9">
      <c r="B109" s="566"/>
      <c r="C109" s="559"/>
      <c r="D109" s="582" t="s">
        <v>247</v>
      </c>
      <c r="E109" s="589" t="s">
        <v>178</v>
      </c>
      <c r="F109" s="596"/>
      <c r="G109" s="634">
        <f ca="1">+IF($G$16="No",G96,IF(G107="Yes",G108,$I109))</f>
        <v>4.1890000000000004E-2</v>
      </c>
      <c r="H109" s="482"/>
      <c r="I109" s="482">
        <f ca="1">+_xlfn.XLOOKUP($G$14,Data_tables!$B:$B,Data_tables!$D:$D)</f>
        <v>4.1890000000000004E-2</v>
      </c>
    </row>
    <row r="110" spans="2:9">
      <c r="B110" s="566"/>
      <c r="C110" s="559"/>
      <c r="D110" s="567"/>
      <c r="E110" s="20"/>
      <c r="F110" s="84"/>
      <c r="G110" s="107">
        <f ca="1">+SUM(Calculation!H41:BY41)</f>
        <v>0</v>
      </c>
      <c r="H110" s="108">
        <f ca="1">+$G$109</f>
        <v>4.1890000000000004E-2</v>
      </c>
      <c r="I110" s="482"/>
    </row>
    <row r="111" spans="2:9">
      <c r="B111" s="566"/>
      <c r="C111" s="559"/>
      <c r="D111" s="567" t="s">
        <v>248</v>
      </c>
      <c r="E111" s="20" t="s">
        <v>249</v>
      </c>
      <c r="F111" s="84"/>
      <c r="G111" s="108">
        <f ca="1">+$G$109</f>
        <v>4.1890000000000004E-2</v>
      </c>
      <c r="H111" s="110">
        <f t="dataTable" ref="H111" dt2D="1" dtr="1" r1="G85" r2="G96" ca="1"/>
        <v>0</v>
      </c>
      <c r="I111" s="482"/>
    </row>
    <row r="114" spans="2:9" ht="15">
      <c r="B114" s="703" t="s">
        <v>250</v>
      </c>
      <c r="C114" s="705"/>
      <c r="D114" s="707"/>
      <c r="E114" s="20"/>
      <c r="F114" s="65"/>
      <c r="G114" s="60"/>
      <c r="H114" s="60"/>
      <c r="I114" s="482"/>
    </row>
    <row r="115" spans="2:9" ht="15">
      <c r="B115" s="703"/>
      <c r="C115" s="705" t="s">
        <v>251</v>
      </c>
      <c r="D115" s="707"/>
      <c r="E115" s="20"/>
      <c r="F115" s="65"/>
      <c r="G115" s="60"/>
      <c r="H115" s="60"/>
      <c r="I115" s="482"/>
    </row>
    <row r="116" spans="2:9" ht="15">
      <c r="B116" s="703"/>
      <c r="C116" s="705"/>
      <c r="D116" s="707" t="s">
        <v>252</v>
      </c>
      <c r="E116" s="568" t="s">
        <v>168</v>
      </c>
      <c r="F116" s="569" t="s">
        <v>139</v>
      </c>
      <c r="G116" s="636" t="s">
        <v>253</v>
      </c>
      <c r="H116" s="636" t="s">
        <v>253</v>
      </c>
      <c r="I116" s="482"/>
    </row>
    <row r="117" spans="2:9">
      <c r="B117" s="704"/>
      <c r="C117" s="706"/>
      <c r="D117" s="708" t="s">
        <v>254</v>
      </c>
      <c r="E117" s="589" t="s">
        <v>178</v>
      </c>
      <c r="F117" s="596" t="s">
        <v>139</v>
      </c>
      <c r="G117" s="637">
        <v>0</v>
      </c>
      <c r="H117" s="637">
        <v>0</v>
      </c>
      <c r="I117" s="482"/>
    </row>
    <row r="118" spans="2:9">
      <c r="B118" s="704"/>
      <c r="C118" s="706"/>
      <c r="D118" s="709"/>
      <c r="H118" s="26"/>
      <c r="I118" s="550"/>
    </row>
    <row r="119" spans="2:9" ht="15">
      <c r="B119" s="704"/>
      <c r="C119" s="705" t="s">
        <v>255</v>
      </c>
      <c r="D119" s="709"/>
      <c r="H119" s="26"/>
      <c r="I119" s="550"/>
    </row>
    <row r="120" spans="2:9" ht="15">
      <c r="B120" s="704"/>
      <c r="C120" s="705"/>
      <c r="D120" s="710" t="s">
        <v>190</v>
      </c>
      <c r="E120" s="568"/>
      <c r="F120" s="591"/>
      <c r="G120" s="117"/>
      <c r="H120" s="117"/>
      <c r="I120" s="482"/>
    </row>
    <row r="121" spans="2:9">
      <c r="B121" s="704"/>
      <c r="C121" s="706"/>
      <c r="D121" s="711" t="s">
        <v>194</v>
      </c>
      <c r="E121" s="571" t="s">
        <v>115</v>
      </c>
      <c r="F121" s="572" t="s">
        <v>139</v>
      </c>
      <c r="G121" s="592" t="s">
        <v>144</v>
      </c>
      <c r="H121" s="592" t="s">
        <v>144</v>
      </c>
      <c r="I121" s="482"/>
    </row>
    <row r="122" spans="2:9">
      <c r="B122" s="704"/>
      <c r="C122" s="706"/>
      <c r="D122" s="711" t="s">
        <v>195</v>
      </c>
      <c r="E122" s="571" t="s">
        <v>196</v>
      </c>
      <c r="F122" s="572"/>
      <c r="G122" s="577">
        <f>+G11</f>
        <v>46388</v>
      </c>
      <c r="H122" s="577">
        <f>+H11</f>
        <v>46388</v>
      </c>
      <c r="I122" s="551">
        <f>+I36</f>
        <v>46388</v>
      </c>
    </row>
    <row r="123" spans="2:9">
      <c r="B123" s="704"/>
      <c r="C123" s="706"/>
      <c r="D123" s="711" t="s">
        <v>197</v>
      </c>
      <c r="E123" s="571" t="s">
        <v>198</v>
      </c>
      <c r="F123" s="572"/>
      <c r="G123" s="595">
        <v>1</v>
      </c>
      <c r="H123" s="595">
        <v>1</v>
      </c>
      <c r="I123" s="534">
        <f>+I37</f>
        <v>1</v>
      </c>
    </row>
    <row r="124" spans="2:9">
      <c r="B124" s="704"/>
      <c r="C124" s="706"/>
      <c r="D124" s="712" t="s">
        <v>199</v>
      </c>
      <c r="E124" s="571" t="s">
        <v>165</v>
      </c>
      <c r="F124" s="586"/>
      <c r="G124" s="638">
        <f>IF(G121="Yes",EDATE(G122,G123*12),EDATE(G122,$I123*12))</f>
        <v>46753</v>
      </c>
      <c r="H124" s="638">
        <f t="shared" ref="H124" si="4">IF(H121="Yes",EDATE(H122,H123*12),EDATE(H122,$I123*12))</f>
        <v>46753</v>
      </c>
      <c r="I124" s="482"/>
    </row>
    <row r="125" spans="2:9">
      <c r="B125" s="704"/>
      <c r="C125" s="706"/>
      <c r="D125" s="711" t="s">
        <v>200</v>
      </c>
      <c r="E125" s="571" t="s">
        <v>198</v>
      </c>
      <c r="F125" s="572"/>
      <c r="G125" s="595">
        <v>2</v>
      </c>
      <c r="H125" s="595">
        <v>2</v>
      </c>
      <c r="I125" s="534">
        <f>+I39</f>
        <v>2</v>
      </c>
    </row>
    <row r="126" spans="2:9">
      <c r="B126" s="704"/>
      <c r="C126" s="706"/>
      <c r="D126" s="712" t="s">
        <v>201</v>
      </c>
      <c r="E126" s="571" t="s">
        <v>165</v>
      </c>
      <c r="F126" s="586"/>
      <c r="G126" s="638">
        <f>IF(G121="Yes",EDATE(G124,G125*12),EDATE(G124,$I125*12))</f>
        <v>47484</v>
      </c>
      <c r="H126" s="638">
        <f t="shared" ref="H126" si="5">IF(H121="Yes",EDATE(H124,H125*12),EDATE(H124,$I125*12))</f>
        <v>47484</v>
      </c>
      <c r="I126" s="482"/>
    </row>
    <row r="127" spans="2:9">
      <c r="B127" s="704"/>
      <c r="C127" s="706"/>
      <c r="D127" s="711" t="s">
        <v>202</v>
      </c>
      <c r="E127" s="571" t="s">
        <v>198</v>
      </c>
      <c r="F127" s="572"/>
      <c r="G127" s="595">
        <v>25</v>
      </c>
      <c r="H127" s="595">
        <v>25</v>
      </c>
      <c r="I127" s="534">
        <f>+$G$42</f>
        <v>15</v>
      </c>
    </row>
    <row r="128" spans="2:9">
      <c r="B128" s="704"/>
      <c r="C128" s="706"/>
      <c r="D128" s="708" t="s">
        <v>203</v>
      </c>
      <c r="E128" s="589" t="s">
        <v>198</v>
      </c>
      <c r="F128" s="596"/>
      <c r="G128" s="597">
        <f>+IF(G121="No",$I127,G127)</f>
        <v>15</v>
      </c>
      <c r="H128" s="597">
        <f t="shared" ref="H128" si="6">+IF(H121="No",$I127,H127)</f>
        <v>15</v>
      </c>
      <c r="I128" s="550"/>
    </row>
    <row r="129" spans="2:8">
      <c r="B129" s="704"/>
      <c r="C129" s="706"/>
      <c r="D129" s="709"/>
    </row>
    <row r="130" spans="2:8">
      <c r="B130" s="704"/>
      <c r="C130" s="706"/>
      <c r="D130" s="709"/>
    </row>
    <row r="131" spans="2:8" ht="15">
      <c r="B131" s="704"/>
      <c r="C131" s="706"/>
      <c r="D131" s="710" t="s">
        <v>204</v>
      </c>
      <c r="E131" s="568"/>
      <c r="F131" s="599"/>
      <c r="G131" s="568"/>
      <c r="H131" s="568"/>
    </row>
    <row r="132" spans="2:8">
      <c r="B132" s="704"/>
      <c r="C132" s="706"/>
      <c r="D132" s="711" t="s">
        <v>205</v>
      </c>
      <c r="E132" s="571" t="s">
        <v>168</v>
      </c>
      <c r="F132" s="572" t="s">
        <v>139</v>
      </c>
      <c r="G132" s="592" t="s">
        <v>144</v>
      </c>
      <c r="H132" s="592" t="s">
        <v>144</v>
      </c>
    </row>
    <row r="133" spans="2:8">
      <c r="B133" s="704"/>
      <c r="C133" s="706"/>
      <c r="D133" s="711" t="s">
        <v>160</v>
      </c>
      <c r="E133" s="571" t="s">
        <v>161</v>
      </c>
      <c r="F133" s="572"/>
      <c r="G133" s="573" t="s">
        <v>113</v>
      </c>
      <c r="H133" s="573" t="s">
        <v>113</v>
      </c>
    </row>
    <row r="134" spans="2:8">
      <c r="B134" s="704"/>
      <c r="C134" s="706"/>
      <c r="D134" s="711" t="s">
        <v>207</v>
      </c>
      <c r="E134" s="601" t="str">
        <f>+$G$8</f>
        <v>USD</v>
      </c>
      <c r="F134" s="572"/>
      <c r="G134" s="592">
        <v>0</v>
      </c>
      <c r="H134" s="592">
        <v>50000</v>
      </c>
    </row>
    <row r="135" spans="2:8">
      <c r="B135" s="704"/>
      <c r="C135" s="706"/>
      <c r="D135" s="708" t="s">
        <v>208</v>
      </c>
      <c r="E135" s="602" t="str">
        <f>+$G$8</f>
        <v>USD</v>
      </c>
      <c r="F135" s="603"/>
      <c r="G135" s="604">
        <f>+IF(G116="Barge",0,IF(AND(G132="Yes",G133="General"),G134,0))</f>
        <v>0</v>
      </c>
      <c r="H135" s="604">
        <f>+IF(H116="Barge",0,IF(AND(H132="Yes",H133="General"),H134,0))</f>
        <v>0</v>
      </c>
    </row>
    <row r="136" spans="2:8">
      <c r="B136" s="704"/>
      <c r="C136" s="706"/>
      <c r="D136" s="709"/>
      <c r="E136" s="61"/>
      <c r="F136" s="65"/>
      <c r="G136" s="62"/>
      <c r="H136" s="20"/>
    </row>
    <row r="137" spans="2:8" ht="15">
      <c r="B137" s="704"/>
      <c r="C137" s="706"/>
      <c r="D137" s="710" t="s">
        <v>209</v>
      </c>
      <c r="E137" s="568"/>
      <c r="F137" s="599"/>
      <c r="G137" s="606"/>
      <c r="H137" s="568"/>
    </row>
    <row r="138" spans="2:8">
      <c r="B138" s="704"/>
      <c r="C138" s="706"/>
      <c r="D138" s="711" t="s">
        <v>205</v>
      </c>
      <c r="E138" s="571" t="s">
        <v>168</v>
      </c>
      <c r="F138" s="572" t="s">
        <v>139</v>
      </c>
      <c r="G138" s="592" t="s">
        <v>144</v>
      </c>
      <c r="H138" s="592" t="s">
        <v>144</v>
      </c>
    </row>
    <row r="139" spans="2:8">
      <c r="B139" s="704"/>
      <c r="C139" s="706"/>
      <c r="D139" s="711" t="s">
        <v>160</v>
      </c>
      <c r="E139" s="571" t="s">
        <v>161</v>
      </c>
      <c r="F139" s="572"/>
      <c r="G139" s="573" t="s">
        <v>113</v>
      </c>
      <c r="H139" s="573" t="s">
        <v>113</v>
      </c>
    </row>
    <row r="140" spans="2:8">
      <c r="B140" s="704"/>
      <c r="C140" s="706"/>
      <c r="D140" s="711" t="s">
        <v>207</v>
      </c>
      <c r="E140" s="601" t="str">
        <f>+$G$8</f>
        <v>USD</v>
      </c>
      <c r="F140" s="572"/>
      <c r="G140" s="592"/>
      <c r="H140" s="592">
        <v>0</v>
      </c>
    </row>
    <row r="141" spans="2:8">
      <c r="B141" s="704"/>
      <c r="C141" s="706"/>
      <c r="D141" s="708" t="s">
        <v>208</v>
      </c>
      <c r="E141" s="602" t="str">
        <f>+$G$8</f>
        <v>USD</v>
      </c>
      <c r="F141" s="603"/>
      <c r="G141" s="604">
        <f>+IF(G116="Barge",0,IF(AND(G138="Yes",G139="General"),G140,Data_tables!Y5*G27*G268*G128))</f>
        <v>6119037.8781582443</v>
      </c>
      <c r="H141" s="604">
        <f>+IF(H116="Barge",0,IF(AND(H138="Yes",H139="General"),H140,Data_tables!Y7*H27*H268*H128))</f>
        <v>821694.85740291257</v>
      </c>
    </row>
    <row r="142" spans="2:8">
      <c r="B142" s="704"/>
      <c r="C142" s="706"/>
      <c r="D142" s="709"/>
      <c r="E142" s="61"/>
      <c r="F142" s="65"/>
      <c r="G142" s="62"/>
      <c r="H142" s="20"/>
    </row>
    <row r="143" spans="2:8" ht="15">
      <c r="B143" s="704"/>
      <c r="C143" s="706"/>
      <c r="D143" s="710" t="s">
        <v>210</v>
      </c>
      <c r="E143" s="568"/>
      <c r="F143" s="599"/>
      <c r="G143" s="609"/>
      <c r="H143" s="568"/>
    </row>
    <row r="144" spans="2:8">
      <c r="B144" s="704"/>
      <c r="C144" s="706"/>
      <c r="D144" s="708" t="s">
        <v>211</v>
      </c>
      <c r="E144" s="589" t="s">
        <v>198</v>
      </c>
      <c r="F144" s="596"/>
      <c r="G144" s="610">
        <f>+G128</f>
        <v>15</v>
      </c>
      <c r="H144" s="610">
        <f>+H128</f>
        <v>15</v>
      </c>
    </row>
    <row r="145" spans="2:9">
      <c r="B145" s="704"/>
      <c r="C145" s="706"/>
      <c r="D145" s="709"/>
    </row>
    <row r="146" spans="2:9" ht="15">
      <c r="B146" s="704"/>
      <c r="C146" s="705" t="s">
        <v>256</v>
      </c>
      <c r="D146" s="709"/>
      <c r="E146"/>
      <c r="F146" s="83"/>
      <c r="G146"/>
      <c r="H146"/>
      <c r="I146" s="482"/>
    </row>
    <row r="147" spans="2:9" ht="15">
      <c r="B147" s="704"/>
      <c r="C147" s="706"/>
      <c r="D147" s="710" t="s">
        <v>190</v>
      </c>
      <c r="E147" s="568"/>
      <c r="F147" s="591"/>
      <c r="G147" s="117"/>
      <c r="H147" s="117"/>
      <c r="I147" s="482"/>
    </row>
    <row r="148" spans="2:9">
      <c r="B148" s="704"/>
      <c r="C148" s="706"/>
      <c r="D148" s="711" t="s">
        <v>194</v>
      </c>
      <c r="E148" s="571" t="s">
        <v>115</v>
      </c>
      <c r="F148" s="572" t="s">
        <v>139</v>
      </c>
      <c r="G148" s="592" t="s">
        <v>144</v>
      </c>
      <c r="H148" s="592" t="s">
        <v>144</v>
      </c>
      <c r="I148" s="482"/>
    </row>
    <row r="149" spans="2:9">
      <c r="B149" s="704"/>
      <c r="C149" s="706"/>
      <c r="D149" s="711" t="s">
        <v>195</v>
      </c>
      <c r="E149" s="571" t="s">
        <v>196</v>
      </c>
      <c r="F149" s="572"/>
      <c r="G149" s="577">
        <f>+G11</f>
        <v>46388</v>
      </c>
      <c r="H149" s="577">
        <f>+H11</f>
        <v>46388</v>
      </c>
      <c r="I149" s="551">
        <f>+I122</f>
        <v>46388</v>
      </c>
    </row>
    <row r="150" spans="2:9">
      <c r="B150" s="704"/>
      <c r="C150" s="706"/>
      <c r="D150" s="711" t="s">
        <v>197</v>
      </c>
      <c r="E150" s="571" t="s">
        <v>198</v>
      </c>
      <c r="F150" s="572"/>
      <c r="G150" s="595">
        <v>1</v>
      </c>
      <c r="H150" s="595">
        <v>1</v>
      </c>
      <c r="I150" s="534">
        <f>+I123</f>
        <v>1</v>
      </c>
    </row>
    <row r="151" spans="2:9">
      <c r="B151" s="704"/>
      <c r="C151" s="706"/>
      <c r="D151" s="712" t="s">
        <v>199</v>
      </c>
      <c r="E151" s="571" t="s">
        <v>165</v>
      </c>
      <c r="F151" s="586"/>
      <c r="G151" s="638">
        <f>IF(G148="Yes",EDATE(G149,G150*12),EDATE(G149,$I150*12))</f>
        <v>46753</v>
      </c>
      <c r="H151" s="638">
        <f>IF(H148="Yes",EDATE(H149,H150*12),EDATE(H149,$I150*12))</f>
        <v>46753</v>
      </c>
      <c r="I151" s="534"/>
    </row>
    <row r="152" spans="2:9">
      <c r="B152" s="704"/>
      <c r="C152" s="706"/>
      <c r="D152" s="711" t="s">
        <v>200</v>
      </c>
      <c r="E152" s="571" t="s">
        <v>198</v>
      </c>
      <c r="F152" s="572"/>
      <c r="G152" s="595">
        <v>2</v>
      </c>
      <c r="H152" s="595">
        <v>2</v>
      </c>
      <c r="I152" s="534">
        <f>+I125</f>
        <v>2</v>
      </c>
    </row>
    <row r="153" spans="2:9">
      <c r="B153" s="704"/>
      <c r="C153" s="706"/>
      <c r="D153" s="712" t="s">
        <v>201</v>
      </c>
      <c r="E153" s="571" t="s">
        <v>165</v>
      </c>
      <c r="F153" s="586"/>
      <c r="G153" s="638">
        <f>IF(G148="Yes",EDATE(G151,G152*12),EDATE(G151,$I152*12))</f>
        <v>47484</v>
      </c>
      <c r="H153" s="638">
        <f>IF(H148="Yes",EDATE(H151,H152*12),EDATE(H151,$I152*12))</f>
        <v>47484</v>
      </c>
      <c r="I153" s="534"/>
    </row>
    <row r="154" spans="2:9">
      <c r="B154" s="704"/>
      <c r="C154" s="706"/>
      <c r="D154" s="711" t="s">
        <v>202</v>
      </c>
      <c r="E154" s="571" t="s">
        <v>198</v>
      </c>
      <c r="F154" s="572"/>
      <c r="G154" s="595">
        <v>25</v>
      </c>
      <c r="H154" s="595">
        <v>25</v>
      </c>
      <c r="I154" s="534">
        <f>+$G$42</f>
        <v>15</v>
      </c>
    </row>
    <row r="155" spans="2:9">
      <c r="B155" s="704"/>
      <c r="C155" s="706"/>
      <c r="D155" s="708" t="s">
        <v>203</v>
      </c>
      <c r="E155" s="589" t="s">
        <v>198</v>
      </c>
      <c r="F155" s="596"/>
      <c r="G155" s="597">
        <f>+IF(G148="No",$I154,G154)</f>
        <v>15</v>
      </c>
      <c r="H155" s="597">
        <f>+IF(H148="No",$I154,H154)</f>
        <v>15</v>
      </c>
      <c r="I155" s="482"/>
    </row>
    <row r="156" spans="2:9">
      <c r="B156" s="704"/>
      <c r="C156" s="706"/>
      <c r="D156" s="709"/>
      <c r="E156" s="20"/>
      <c r="F156" s="84"/>
      <c r="G156" s="136"/>
      <c r="H156" s="136"/>
      <c r="I156" s="482"/>
    </row>
    <row r="157" spans="2:9" ht="15">
      <c r="B157" s="704"/>
      <c r="C157" s="706"/>
      <c r="D157" s="710" t="s">
        <v>204</v>
      </c>
      <c r="E157" s="568"/>
      <c r="F157" s="599"/>
      <c r="G157" s="117"/>
      <c r="H157" s="568"/>
      <c r="I157" s="482"/>
    </row>
    <row r="158" spans="2:9">
      <c r="B158" s="704"/>
      <c r="C158" s="706"/>
      <c r="D158" s="711" t="s">
        <v>205</v>
      </c>
      <c r="E158" s="571" t="s">
        <v>168</v>
      </c>
      <c r="F158" s="572" t="s">
        <v>139</v>
      </c>
      <c r="G158" s="592" t="s">
        <v>144</v>
      </c>
      <c r="H158" s="592" t="s">
        <v>144</v>
      </c>
      <c r="I158" s="482"/>
    </row>
    <row r="159" spans="2:9">
      <c r="B159" s="704"/>
      <c r="C159" s="706"/>
      <c r="D159" s="711" t="s">
        <v>160</v>
      </c>
      <c r="E159" s="571" t="s">
        <v>161</v>
      </c>
      <c r="F159" s="572"/>
      <c r="G159" s="573" t="s">
        <v>206</v>
      </c>
      <c r="H159" s="573" t="s">
        <v>113</v>
      </c>
      <c r="I159" s="482"/>
    </row>
    <row r="160" spans="2:9">
      <c r="B160" s="704"/>
      <c r="C160" s="706"/>
      <c r="D160" s="711" t="s">
        <v>207</v>
      </c>
      <c r="E160" s="601" t="str">
        <f>+$G$8</f>
        <v>USD</v>
      </c>
      <c r="F160" s="572"/>
      <c r="G160" s="592">
        <v>100000</v>
      </c>
      <c r="H160" s="592">
        <v>100000</v>
      </c>
      <c r="I160" s="482"/>
    </row>
    <row r="161" spans="2:9">
      <c r="B161" s="704"/>
      <c r="C161" s="706"/>
      <c r="D161" s="708" t="s">
        <v>208</v>
      </c>
      <c r="E161" s="602" t="str">
        <f>+$G$8</f>
        <v>USD</v>
      </c>
      <c r="F161" s="603"/>
      <c r="G161" s="604">
        <f>+IF(G$116="Storage",0,IF(AND(G158="Yes",G159="General"),G160,0))</f>
        <v>0</v>
      </c>
      <c r="H161" s="604">
        <f>+IF(H$116="Storage",0,IF(AND(H158="Yes",H159="General"),H160,0))</f>
        <v>0</v>
      </c>
      <c r="I161" s="482"/>
    </row>
    <row r="162" spans="2:9">
      <c r="B162" s="704"/>
      <c r="C162" s="706"/>
      <c r="D162" s="709"/>
      <c r="E162" s="20"/>
      <c r="F162" s="65"/>
      <c r="G162"/>
      <c r="H162" s="20"/>
      <c r="I162" s="482"/>
    </row>
    <row r="163" spans="2:9" ht="15">
      <c r="B163" s="704"/>
      <c r="C163" s="706"/>
      <c r="D163" s="710" t="s">
        <v>209</v>
      </c>
      <c r="E163" s="568"/>
      <c r="F163" s="599"/>
      <c r="G163" s="117"/>
      <c r="H163" s="568"/>
      <c r="I163" s="482"/>
    </row>
    <row r="164" spans="2:9">
      <c r="B164" s="704"/>
      <c r="C164" s="706"/>
      <c r="D164" s="711" t="s">
        <v>205</v>
      </c>
      <c r="E164" s="571" t="s">
        <v>168</v>
      </c>
      <c r="F164" s="572" t="s">
        <v>139</v>
      </c>
      <c r="G164" s="592" t="s">
        <v>144</v>
      </c>
      <c r="H164" s="592" t="s">
        <v>144</v>
      </c>
      <c r="I164" s="482"/>
    </row>
    <row r="165" spans="2:9">
      <c r="B165" s="704"/>
      <c r="C165" s="706"/>
      <c r="D165" s="711" t="s">
        <v>160</v>
      </c>
      <c r="E165" s="571" t="s">
        <v>161</v>
      </c>
      <c r="F165" s="572"/>
      <c r="G165" s="573" t="s">
        <v>113</v>
      </c>
      <c r="H165" s="573" t="s">
        <v>113</v>
      </c>
      <c r="I165" s="482"/>
    </row>
    <row r="166" spans="2:9">
      <c r="B166" s="704"/>
      <c r="C166" s="706"/>
      <c r="D166" s="711" t="s">
        <v>207</v>
      </c>
      <c r="E166" s="601" t="str">
        <f>+$G$8</f>
        <v>USD</v>
      </c>
      <c r="F166" s="572"/>
      <c r="G166" s="592"/>
      <c r="H166" s="592"/>
      <c r="I166" s="482"/>
    </row>
    <row r="167" spans="2:9">
      <c r="B167" s="704"/>
      <c r="C167" s="706"/>
      <c r="D167" s="708" t="s">
        <v>208</v>
      </c>
      <c r="E167" s="602" t="str">
        <f>+$G$8</f>
        <v>USD</v>
      </c>
      <c r="F167" s="603"/>
      <c r="G167" s="604">
        <f>+IF(G$116="Storage",0,IF(AND(G164="Yes",G165="General"),G166,Data_tables!Y6*G$27*G128*G268))</f>
        <v>3947766.3730053185</v>
      </c>
      <c r="H167" s="604">
        <f>+IF(H$116="Storage",0,IF(AND(H164="Yes",H165="General"),H166,Data_tables!Y8*H$27*H128*H268))</f>
        <v>821694.85740291246</v>
      </c>
      <c r="I167" s="482"/>
    </row>
    <row r="168" spans="2:9" ht="15">
      <c r="B168" s="704"/>
      <c r="C168" s="706"/>
      <c r="D168" s="713"/>
      <c r="E168" s="20"/>
      <c r="F168" s="65"/>
      <c r="G168"/>
      <c r="H168" s="20"/>
      <c r="I168" s="482"/>
    </row>
    <row r="169" spans="2:9" ht="15">
      <c r="B169" s="704"/>
      <c r="C169" s="706"/>
      <c r="D169" s="710" t="s">
        <v>257</v>
      </c>
      <c r="E169" s="568"/>
      <c r="F169" s="599"/>
      <c r="G169" s="117"/>
      <c r="H169" s="568"/>
      <c r="I169" s="482"/>
    </row>
    <row r="170" spans="2:9">
      <c r="B170" s="704"/>
      <c r="C170" s="706"/>
      <c r="D170" s="708" t="s">
        <v>211</v>
      </c>
      <c r="E170" s="589" t="s">
        <v>198</v>
      </c>
      <c r="F170" s="596"/>
      <c r="G170" s="610">
        <f>+G154</f>
        <v>25</v>
      </c>
      <c r="H170" s="610">
        <f>+H154</f>
        <v>25</v>
      </c>
      <c r="I170" s="534">
        <f>+I144</f>
        <v>0</v>
      </c>
    </row>
    <row r="171" spans="2:9">
      <c r="B171" s="704"/>
      <c r="C171" s="706"/>
      <c r="D171" s="709"/>
      <c r="E171" s="20"/>
      <c r="F171" s="65"/>
      <c r="G171" s="71"/>
      <c r="H171" s="20"/>
      <c r="I171" s="482"/>
    </row>
    <row r="172" spans="2:9" ht="15">
      <c r="B172" s="704"/>
      <c r="C172" s="705" t="s">
        <v>258</v>
      </c>
      <c r="D172" s="709"/>
      <c r="E172" s="20"/>
      <c r="F172" s="65"/>
      <c r="G172" s="71"/>
      <c r="H172" s="20"/>
      <c r="I172" s="482"/>
    </row>
    <row r="173" spans="2:9" ht="15">
      <c r="B173" s="704"/>
      <c r="C173" s="706"/>
      <c r="D173" s="710" t="s">
        <v>219</v>
      </c>
      <c r="E173" s="568"/>
      <c r="F173" s="599"/>
      <c r="G173" s="639"/>
      <c r="H173" s="614"/>
      <c r="I173" s="482"/>
    </row>
    <row r="174" spans="2:9">
      <c r="B174" s="704"/>
      <c r="C174" s="706"/>
      <c r="D174" s="711" t="s">
        <v>259</v>
      </c>
      <c r="E174" s="571" t="s">
        <v>168</v>
      </c>
      <c r="F174" s="572" t="s">
        <v>139</v>
      </c>
      <c r="G174" s="592" t="s">
        <v>144</v>
      </c>
      <c r="H174" s="592" t="s">
        <v>144</v>
      </c>
      <c r="I174" s="482"/>
    </row>
    <row r="175" spans="2:9">
      <c r="B175" s="704"/>
      <c r="C175" s="706"/>
      <c r="D175" s="711" t="s">
        <v>160</v>
      </c>
      <c r="E175" s="571" t="s">
        <v>161</v>
      </c>
      <c r="F175" s="640"/>
      <c r="G175" s="573" t="s">
        <v>113</v>
      </c>
      <c r="H175" s="573" t="s">
        <v>113</v>
      </c>
      <c r="I175" s="482"/>
    </row>
    <row r="176" spans="2:9">
      <c r="B176" s="704"/>
      <c r="C176" s="706"/>
      <c r="D176" s="711" t="s">
        <v>260</v>
      </c>
      <c r="E176" s="601" t="str">
        <f>+$G$8&amp;"/Year"</f>
        <v>USD/Year</v>
      </c>
      <c r="F176" s="572"/>
      <c r="G176" s="612"/>
      <c r="H176" s="612"/>
      <c r="I176" s="482"/>
    </row>
    <row r="177" spans="2:9">
      <c r="B177" s="704"/>
      <c r="C177" s="706"/>
      <c r="D177" s="711" t="s">
        <v>261</v>
      </c>
      <c r="E177" s="601" t="str">
        <f>+$G$8&amp;"/Year"</f>
        <v>USD/Year</v>
      </c>
      <c r="F177" s="572"/>
      <c r="G177" s="628">
        <f>IFERROR(+IF(G116="Barge",0,IF(AND(G174="Yes",G175="General"),G176,IF(G174="No",Data_tables!Z5*G27*G268))),0)</f>
        <v>12238.075756316486</v>
      </c>
      <c r="H177" s="628">
        <f>IFERROR(+IF(H116="Barge",0,IF(AND(H174="Yes",H175="General"),H176,IF(H174="No",Data_tables!Z7*H27*H268))),0)</f>
        <v>1643.389714805825</v>
      </c>
      <c r="I177" s="482"/>
    </row>
    <row r="178" spans="2:9">
      <c r="B178" s="704"/>
      <c r="C178" s="706"/>
      <c r="D178" s="711" t="s">
        <v>262</v>
      </c>
      <c r="E178" s="601" t="str">
        <f>+$G$8&amp;"/Year"</f>
        <v>USD/Year</v>
      </c>
      <c r="F178" s="572"/>
      <c r="G178" s="612"/>
      <c r="H178" s="612">
        <v>0</v>
      </c>
      <c r="I178" s="482"/>
    </row>
    <row r="179" spans="2:9">
      <c r="B179" s="704"/>
      <c r="C179" s="706"/>
      <c r="D179" s="708" t="s">
        <v>263</v>
      </c>
      <c r="E179" s="602" t="str">
        <f>+$G$8&amp;"/Year"</f>
        <v>USD/Year</v>
      </c>
      <c r="F179" s="596"/>
      <c r="G179" s="610">
        <f>IFERROR(IF(G116="Storage",0,IF(AND(G174="Yes",G175="General"),G178,IF(G174="No",Data_tables!Z6*G27*G268))),0)</f>
        <v>26318.442486702123</v>
      </c>
      <c r="H179" s="610">
        <f>IFERROR(IF(H116="Storage",0,IF(AND(H174="Yes",H175="General"),H178,IF(H174="No",Data_tables!Z8*H27*H268))),0)</f>
        <v>5477.9657160194174</v>
      </c>
      <c r="I179" s="552"/>
    </row>
    <row r="180" spans="2:9">
      <c r="B180" s="704"/>
      <c r="C180" s="706"/>
      <c r="D180" s="709"/>
      <c r="E180" s="61"/>
      <c r="F180" s="83"/>
      <c r="G180" s="72"/>
      <c r="H180" s="113"/>
      <c r="I180" s="482"/>
    </row>
    <row r="181" spans="2:9">
      <c r="B181" s="704"/>
      <c r="C181" s="706"/>
      <c r="D181" s="709"/>
      <c r="E181" s="61"/>
      <c r="F181" s="83"/>
      <c r="G181" s="72"/>
      <c r="H181" s="52"/>
      <c r="I181" s="482"/>
    </row>
    <row r="182" spans="2:9" ht="15">
      <c r="B182" s="704"/>
      <c r="C182" s="705" t="s">
        <v>264</v>
      </c>
      <c r="D182" s="707"/>
      <c r="E182" s="568"/>
      <c r="F182" s="599"/>
      <c r="G182" s="609"/>
      <c r="H182" s="20"/>
      <c r="I182" s="482"/>
    </row>
    <row r="183" spans="2:9" ht="15">
      <c r="B183" s="704"/>
      <c r="C183" s="705"/>
      <c r="D183" s="711" t="s">
        <v>226</v>
      </c>
      <c r="E183" s="571" t="s">
        <v>115</v>
      </c>
      <c r="F183" s="572" t="s">
        <v>139</v>
      </c>
      <c r="G183" s="612" t="s">
        <v>144</v>
      </c>
      <c r="H183" s="747" t="s">
        <v>144</v>
      </c>
      <c r="I183" s="482"/>
    </row>
    <row r="184" spans="2:9" ht="15">
      <c r="B184" s="704"/>
      <c r="C184" s="705"/>
      <c r="D184" s="707" t="s">
        <v>160</v>
      </c>
      <c r="E184" s="568" t="s">
        <v>161</v>
      </c>
      <c r="F184" s="569"/>
      <c r="G184" s="618" t="s">
        <v>113</v>
      </c>
      <c r="H184" s="612" t="s">
        <v>113</v>
      </c>
      <c r="I184" s="482"/>
    </row>
    <row r="185" spans="2:9">
      <c r="B185" s="704"/>
      <c r="C185" s="706"/>
      <c r="D185" s="708"/>
      <c r="E185" s="120"/>
      <c r="F185" s="120"/>
      <c r="G185" s="120"/>
      <c r="H185" s="120"/>
      <c r="I185" s="553"/>
    </row>
    <row r="186" spans="2:9" ht="15">
      <c r="B186" s="704"/>
      <c r="C186" s="706"/>
      <c r="D186" s="710" t="s">
        <v>227</v>
      </c>
      <c r="E186" s="568"/>
      <c r="F186" s="599"/>
      <c r="G186" s="609"/>
      <c r="H186" s="609"/>
      <c r="I186" s="482"/>
    </row>
    <row r="187" spans="2:9">
      <c r="B187" s="704"/>
      <c r="C187" s="706"/>
      <c r="D187" s="711" t="s">
        <v>228</v>
      </c>
      <c r="E187" s="571" t="s">
        <v>178</v>
      </c>
      <c r="F187" s="572"/>
      <c r="G187" s="620">
        <v>0</v>
      </c>
      <c r="H187" s="620">
        <v>0</v>
      </c>
      <c r="I187" s="482">
        <v>0.7</v>
      </c>
    </row>
    <row r="188" spans="2:9">
      <c r="B188" s="704"/>
      <c r="C188" s="706"/>
      <c r="D188" s="711" t="s">
        <v>229</v>
      </c>
      <c r="E188" s="571" t="s">
        <v>178</v>
      </c>
      <c r="F188" s="572"/>
      <c r="G188" s="622">
        <f>+IF(G183="No",$I187,G187)</f>
        <v>0.7</v>
      </c>
      <c r="H188" s="622">
        <f t="shared" ref="H188" si="7">+IF(H183="No",$I187,H187)</f>
        <v>0.7</v>
      </c>
      <c r="I188" s="482"/>
    </row>
    <row r="189" spans="2:9">
      <c r="B189" s="704"/>
      <c r="C189" s="706"/>
      <c r="D189" s="711" t="s">
        <v>230</v>
      </c>
      <c r="E189" s="571" t="s">
        <v>178</v>
      </c>
      <c r="F189" s="572"/>
      <c r="G189" s="624">
        <v>5.8000000000000003E-2</v>
      </c>
      <c r="H189" s="624">
        <v>2.6679999999999999E-2</v>
      </c>
      <c r="I189" s="482">
        <f ca="1">+_xlfn.XLOOKUP($G$14,Data_tables!$B:$B,Data_tables!$D:$D)</f>
        <v>4.1890000000000004E-2</v>
      </c>
    </row>
    <row r="190" spans="2:9">
      <c r="B190" s="704"/>
      <c r="C190" s="706"/>
      <c r="D190" s="711" t="s">
        <v>231</v>
      </c>
      <c r="E190" s="571" t="s">
        <v>178</v>
      </c>
      <c r="F190" s="572"/>
      <c r="G190" s="624">
        <v>2.7E-2</v>
      </c>
      <c r="H190" s="624">
        <v>2.2100000000000002E-2</v>
      </c>
      <c r="I190" s="482">
        <f ca="1">+_xlfn.XLOOKUP($G$14,Data_tables!$B:$B,Data_tables!$E:$E)+Data_tables!$H$20</f>
        <v>1.55E-2</v>
      </c>
    </row>
    <row r="191" spans="2:9">
      <c r="B191" s="704"/>
      <c r="C191" s="706"/>
      <c r="D191" s="711" t="s">
        <v>232</v>
      </c>
      <c r="E191" s="571" t="s">
        <v>178</v>
      </c>
      <c r="F191" s="572"/>
      <c r="G191" s="622">
        <f ca="1">+IF(G$183="Yes",SUM(G189:G190),SUM($I189:$I190))</f>
        <v>5.7390000000000004E-2</v>
      </c>
      <c r="H191" s="622">
        <f t="shared" ref="H191" ca="1" si="8">+IF(H$183="Yes",SUM(H189:H190),SUM($I189:$I190))</f>
        <v>5.7390000000000004E-2</v>
      </c>
      <c r="I191" s="482"/>
    </row>
    <row r="192" spans="2:9">
      <c r="B192" s="704"/>
      <c r="C192" s="706"/>
      <c r="D192" s="711" t="s">
        <v>233</v>
      </c>
      <c r="E192" s="571" t="s">
        <v>198</v>
      </c>
      <c r="F192" s="572"/>
      <c r="G192" s="595">
        <v>15</v>
      </c>
      <c r="H192" s="595">
        <v>20</v>
      </c>
      <c r="I192" s="534">
        <f>+$G$42</f>
        <v>15</v>
      </c>
    </row>
    <row r="193" spans="2:9">
      <c r="B193" s="704"/>
      <c r="C193" s="706"/>
      <c r="D193" s="711" t="s">
        <v>234</v>
      </c>
      <c r="E193" s="571" t="s">
        <v>198</v>
      </c>
      <c r="F193" s="572"/>
      <c r="G193" s="587">
        <f>+IF(G$183="Yes",SUM(G192),SUM($I192))</f>
        <v>15</v>
      </c>
      <c r="H193" s="587">
        <f t="shared" ref="H193" si="9">+IF(H$183="Yes",SUM(H192),SUM($I192))</f>
        <v>15</v>
      </c>
      <c r="I193" s="534"/>
    </row>
    <row r="194" spans="2:9">
      <c r="B194" s="704"/>
      <c r="C194" s="706"/>
      <c r="D194" s="711" t="s">
        <v>235</v>
      </c>
      <c r="E194" s="571" t="s">
        <v>236</v>
      </c>
      <c r="F194" s="572"/>
      <c r="G194" s="628" t="s">
        <v>237</v>
      </c>
      <c r="H194" s="628" t="s">
        <v>237</v>
      </c>
      <c r="I194" s="482"/>
    </row>
    <row r="195" spans="2:9">
      <c r="B195" s="704"/>
      <c r="C195" s="706"/>
      <c r="D195" s="708" t="s">
        <v>238</v>
      </c>
      <c r="E195" s="589" t="s">
        <v>236</v>
      </c>
      <c r="F195" s="596"/>
      <c r="G195" s="610" t="s">
        <v>239</v>
      </c>
      <c r="H195" s="610" t="s">
        <v>239</v>
      </c>
      <c r="I195" s="482"/>
    </row>
    <row r="196" spans="2:9">
      <c r="B196" s="704"/>
      <c r="C196" s="706"/>
      <c r="D196" s="709"/>
      <c r="E196" s="20"/>
      <c r="F196" s="65"/>
      <c r="G196" s="71"/>
      <c r="H196" s="71"/>
      <c r="I196" s="482"/>
    </row>
    <row r="197" spans="2:9" ht="15">
      <c r="B197" s="704"/>
      <c r="C197" s="706"/>
      <c r="D197" s="710" t="s">
        <v>240</v>
      </c>
      <c r="E197" s="568"/>
      <c r="F197" s="599"/>
      <c r="G197" s="609"/>
      <c r="H197" s="609"/>
      <c r="I197" s="482"/>
    </row>
    <row r="198" spans="2:9">
      <c r="B198" s="704"/>
      <c r="C198" s="706"/>
      <c r="D198" s="711" t="s">
        <v>228</v>
      </c>
      <c r="E198" s="571" t="s">
        <v>178</v>
      </c>
      <c r="F198" s="572"/>
      <c r="G198" s="620">
        <v>0</v>
      </c>
      <c r="H198" s="620">
        <v>0</v>
      </c>
      <c r="I198" s="482">
        <v>0</v>
      </c>
    </row>
    <row r="199" spans="2:9">
      <c r="B199" s="704"/>
      <c r="C199" s="706"/>
      <c r="D199" s="711" t="s">
        <v>229</v>
      </c>
      <c r="E199" s="571" t="s">
        <v>178</v>
      </c>
      <c r="F199" s="572"/>
      <c r="G199" s="622">
        <f>+IF(G183="No",$I198,G198)</f>
        <v>0</v>
      </c>
      <c r="H199" s="622">
        <f t="shared" ref="H199" si="10">+IF(H183="No",$I198,H198)</f>
        <v>0</v>
      </c>
      <c r="I199" s="482"/>
    </row>
    <row r="200" spans="2:9">
      <c r="B200" s="704"/>
      <c r="C200" s="706"/>
      <c r="D200" s="711" t="s">
        <v>230</v>
      </c>
      <c r="E200" s="571" t="s">
        <v>178</v>
      </c>
      <c r="F200" s="572"/>
      <c r="G200" s="624">
        <v>2.6679999999999999E-2</v>
      </c>
      <c r="H200" s="624">
        <v>2.6679999999999999E-2</v>
      </c>
      <c r="I200" s="482">
        <f ca="1">+_xlfn.XLOOKUP($G$14,Data_tables!$B:$B,Data_tables!$D:$D)</f>
        <v>4.1890000000000004E-2</v>
      </c>
    </row>
    <row r="201" spans="2:9">
      <c r="B201" s="704"/>
      <c r="C201" s="706"/>
      <c r="D201" s="711" t="s">
        <v>231</v>
      </c>
      <c r="E201" s="571" t="s">
        <v>178</v>
      </c>
      <c r="F201" s="572"/>
      <c r="G201" s="624">
        <v>2.2100000000000002E-2</v>
      </c>
      <c r="H201" s="624">
        <v>2.2100000000000002E-2</v>
      </c>
      <c r="I201" s="482">
        <f ca="1">+_xlfn.XLOOKUP($G$14,Data_tables!$B:$B,Data_tables!$E:$E)+Data_tables!$H$20</f>
        <v>1.55E-2</v>
      </c>
    </row>
    <row r="202" spans="2:9">
      <c r="B202" s="704"/>
      <c r="C202" s="706"/>
      <c r="D202" s="711" t="s">
        <v>232</v>
      </c>
      <c r="E202" s="571" t="s">
        <v>178</v>
      </c>
      <c r="F202" s="572"/>
      <c r="G202" s="622">
        <f ca="1">+IF(G$183="Yes",SUM(G200:G201),SUM($I200:$I201))</f>
        <v>5.7390000000000004E-2</v>
      </c>
      <c r="H202" s="622">
        <f t="shared" ref="H202" ca="1" si="11">+IF(H$183="Yes",SUM(H200:H201),SUM($I200:$I201))</f>
        <v>5.7390000000000004E-2</v>
      </c>
      <c r="I202" s="482"/>
    </row>
    <row r="203" spans="2:9">
      <c r="B203" s="704"/>
      <c r="C203" s="706"/>
      <c r="D203" s="711" t="s">
        <v>233</v>
      </c>
      <c r="E203" s="571" t="s">
        <v>198</v>
      </c>
      <c r="F203" s="572"/>
      <c r="G203" s="595">
        <v>15</v>
      </c>
      <c r="H203" s="595">
        <v>20</v>
      </c>
      <c r="I203" s="534">
        <f>+$G$42</f>
        <v>15</v>
      </c>
    </row>
    <row r="204" spans="2:9">
      <c r="B204" s="704"/>
      <c r="C204" s="706"/>
      <c r="D204" s="711" t="s">
        <v>234</v>
      </c>
      <c r="E204" s="571" t="s">
        <v>198</v>
      </c>
      <c r="F204" s="572"/>
      <c r="G204" s="587">
        <f>+IF(G$183="Yes",SUM(G203),SUM($I203))</f>
        <v>15</v>
      </c>
      <c r="H204" s="587">
        <f>+IF(H$183="Yes",SUM(H203),SUM($I203))</f>
        <v>15</v>
      </c>
      <c r="I204" s="534"/>
    </row>
    <row r="205" spans="2:9">
      <c r="B205" s="704"/>
      <c r="C205" s="706"/>
      <c r="D205" s="711" t="s">
        <v>235</v>
      </c>
      <c r="E205" s="571" t="s">
        <v>236</v>
      </c>
      <c r="F205" s="572"/>
      <c r="G205" s="628" t="s">
        <v>237</v>
      </c>
      <c r="H205" s="628" t="s">
        <v>237</v>
      </c>
      <c r="I205" s="482"/>
    </row>
    <row r="206" spans="2:9">
      <c r="B206" s="704"/>
      <c r="C206" s="706"/>
      <c r="D206" s="708" t="s">
        <v>238</v>
      </c>
      <c r="E206" s="589" t="s">
        <v>236</v>
      </c>
      <c r="F206" s="596"/>
      <c r="G206" s="610" t="s">
        <v>239</v>
      </c>
      <c r="H206" s="610" t="s">
        <v>239</v>
      </c>
      <c r="I206" s="482"/>
    </row>
    <row r="207" spans="2:9">
      <c r="B207" s="704"/>
      <c r="C207" s="706"/>
      <c r="D207" s="709"/>
      <c r="E207" s="20"/>
      <c r="F207" s="84"/>
      <c r="G207" s="20"/>
      <c r="H207" s="20"/>
      <c r="I207" s="482"/>
    </row>
    <row r="208" spans="2:9">
      <c r="B208" s="704"/>
      <c r="C208" s="706"/>
      <c r="D208" s="709" t="s">
        <v>241</v>
      </c>
      <c r="E208" s="20" t="s">
        <v>178</v>
      </c>
      <c r="F208" s="84"/>
      <c r="G208" s="93">
        <f>1-G199-G188</f>
        <v>0.30000000000000004</v>
      </c>
      <c r="H208" s="93">
        <f>1-H199-H188</f>
        <v>0.30000000000000004</v>
      </c>
      <c r="I208" s="482"/>
    </row>
    <row r="209" spans="2:9">
      <c r="B209" s="704"/>
      <c r="C209" s="706"/>
      <c r="D209" s="709"/>
    </row>
    <row r="210" spans="2:9">
      <c r="B210" s="704"/>
      <c r="C210" s="706"/>
      <c r="D210" s="709"/>
    </row>
    <row r="211" spans="2:9">
      <c r="B211" s="704"/>
      <c r="C211" s="706"/>
      <c r="D211" s="711" t="s">
        <v>242</v>
      </c>
      <c r="E211" s="589" t="s">
        <v>168</v>
      </c>
      <c r="F211" s="596" t="s">
        <v>139</v>
      </c>
      <c r="G211" s="763" t="s">
        <v>144</v>
      </c>
      <c r="H211" s="763" t="s">
        <v>144</v>
      </c>
      <c r="I211" s="482"/>
    </row>
    <row r="212" spans="2:9">
      <c r="B212" s="704"/>
      <c r="C212" s="706"/>
      <c r="D212" s="711" t="s">
        <v>243</v>
      </c>
      <c r="E212" s="571" t="s">
        <v>178</v>
      </c>
      <c r="F212" s="572"/>
      <c r="G212" s="632">
        <v>0.05</v>
      </c>
      <c r="H212" s="632"/>
      <c r="I212" s="482"/>
    </row>
    <row r="213" spans="2:9">
      <c r="B213" s="704"/>
      <c r="C213" s="706"/>
      <c r="D213" s="711" t="s">
        <v>244</v>
      </c>
      <c r="E213" s="571" t="s">
        <v>178</v>
      </c>
      <c r="F213" s="572"/>
      <c r="G213" s="633">
        <f ca="1">IF(G211="Yes",G212,$I213)</f>
        <v>4.1890000000000004E-2</v>
      </c>
      <c r="H213" s="633">
        <f ca="1">IF(H211="Yes",H212,$I213)</f>
        <v>4.1890000000000004E-2</v>
      </c>
      <c r="I213" s="482">
        <f ca="1">+_xlfn.XLOOKUP($G$14,Data_tables!$B:$B,Data_tables!$D:$D)</f>
        <v>4.1890000000000004E-2</v>
      </c>
    </row>
    <row r="214" spans="2:9">
      <c r="B214" s="704"/>
      <c r="C214" s="706"/>
      <c r="D214" s="707" t="s">
        <v>245</v>
      </c>
      <c r="E214" s="571" t="s">
        <v>173</v>
      </c>
      <c r="F214" s="572"/>
      <c r="G214" s="624" t="s">
        <v>144</v>
      </c>
      <c r="H214" s="600"/>
      <c r="I214" s="482"/>
    </row>
    <row r="215" spans="2:9">
      <c r="B215" s="704"/>
      <c r="C215" s="706"/>
      <c r="D215" s="711" t="s">
        <v>246</v>
      </c>
      <c r="E215" s="571" t="s">
        <v>178</v>
      </c>
      <c r="F215" s="572"/>
      <c r="G215" s="632">
        <v>0.03</v>
      </c>
      <c r="H215" s="600"/>
      <c r="I215" s="482"/>
    </row>
    <row r="216" spans="2:9">
      <c r="B216" s="704"/>
      <c r="C216" s="706"/>
      <c r="D216" s="708" t="s">
        <v>247</v>
      </c>
      <c r="E216" s="20" t="s">
        <v>178</v>
      </c>
      <c r="F216" s="84"/>
      <c r="G216" s="761">
        <f ca="1">+IF($G$16="No",G202,IF(G214="Yes",G215,$I216))</f>
        <v>4.1890000000000004E-2</v>
      </c>
      <c r="H216" s="482"/>
      <c r="I216" s="482">
        <f ca="1">+_xlfn.XLOOKUP($G$14,Data_tables!$B:$B,Data_tables!$D:$D)</f>
        <v>4.1890000000000004E-2</v>
      </c>
    </row>
    <row r="217" spans="2:9" ht="15">
      <c r="B217" s="704"/>
      <c r="C217" s="706"/>
      <c r="D217" s="713"/>
      <c r="E217" s="20"/>
      <c r="F217" s="84"/>
      <c r="G217" s="107">
        <f ca="1">+SUM(Calculation!H46:BY46)</f>
        <v>-6394277.213575446</v>
      </c>
      <c r="H217" s="108">
        <f ca="1">+$G$216</f>
        <v>4.1890000000000004E-2</v>
      </c>
      <c r="I217" s="482"/>
    </row>
    <row r="218" spans="2:9">
      <c r="B218" s="704"/>
      <c r="C218" s="706"/>
      <c r="D218" s="709" t="s">
        <v>265</v>
      </c>
      <c r="E218" s="20" t="s">
        <v>249</v>
      </c>
      <c r="F218" s="84"/>
      <c r="G218" s="108">
        <f ca="1">+$G$216</f>
        <v>4.1890000000000004E-2</v>
      </c>
      <c r="H218" s="110">
        <f t="dataTable" ref="H218" dt2D="1" dtr="1" r1="G191" r2="G202" ca="1"/>
        <v>-5948956.5638226718</v>
      </c>
      <c r="I218" s="482"/>
    </row>
    <row r="219" spans="2:9">
      <c r="B219" s="704"/>
      <c r="C219" s="706"/>
      <c r="D219" s="709"/>
      <c r="E219" s="20"/>
      <c r="F219" s="84"/>
      <c r="H219" s="26"/>
      <c r="I219" s="482"/>
    </row>
    <row r="220" spans="2:9" ht="15">
      <c r="B220" s="704"/>
      <c r="C220" s="705" t="s">
        <v>266</v>
      </c>
      <c r="D220" s="707"/>
      <c r="E220" s="568"/>
      <c r="F220" s="65"/>
      <c r="H220" s="26"/>
      <c r="I220" s="482"/>
    </row>
    <row r="221" spans="2:9" ht="15">
      <c r="B221" s="704"/>
      <c r="C221" s="705"/>
      <c r="D221" s="711" t="s">
        <v>226</v>
      </c>
      <c r="E221" s="571" t="s">
        <v>115</v>
      </c>
      <c r="F221" s="572" t="s">
        <v>139</v>
      </c>
      <c r="G221" s="618" t="s">
        <v>144</v>
      </c>
      <c r="H221" s="618" t="s">
        <v>144</v>
      </c>
      <c r="I221" s="482"/>
    </row>
    <row r="222" spans="2:9" ht="15">
      <c r="B222" s="704"/>
      <c r="C222" s="705"/>
      <c r="D222" s="709" t="s">
        <v>160</v>
      </c>
      <c r="E222" s="20" t="s">
        <v>161</v>
      </c>
      <c r="F222" s="596"/>
      <c r="G222" s="613" t="s">
        <v>113</v>
      </c>
      <c r="H222" s="613" t="s">
        <v>113</v>
      </c>
      <c r="I222" s="482"/>
    </row>
    <row r="223" spans="2:9" ht="15">
      <c r="B223" s="704"/>
      <c r="C223" s="705"/>
      <c r="D223" s="713"/>
      <c r="E223" s="22"/>
      <c r="F223" s="22"/>
      <c r="G223" s="22"/>
      <c r="H223" s="22"/>
      <c r="I223" s="69"/>
    </row>
    <row r="224" spans="2:9" ht="15">
      <c r="B224" s="704"/>
      <c r="C224" s="706"/>
      <c r="D224" s="710" t="s">
        <v>227</v>
      </c>
      <c r="E224" s="568"/>
      <c r="F224" s="599"/>
      <c r="G224" s="609"/>
      <c r="H224" s="609"/>
      <c r="I224" s="482"/>
    </row>
    <row r="225" spans="2:9">
      <c r="B225" s="704"/>
      <c r="C225" s="706"/>
      <c r="D225" s="711" t="s">
        <v>228</v>
      </c>
      <c r="E225" s="571" t="s">
        <v>178</v>
      </c>
      <c r="F225" s="640"/>
      <c r="G225" s="620">
        <v>0</v>
      </c>
      <c r="H225" s="620">
        <v>0.7</v>
      </c>
      <c r="I225" s="482">
        <v>0.7</v>
      </c>
    </row>
    <row r="226" spans="2:9">
      <c r="B226" s="704"/>
      <c r="C226" s="706"/>
      <c r="D226" s="711" t="s">
        <v>229</v>
      </c>
      <c r="E226" s="571" t="s">
        <v>178</v>
      </c>
      <c r="F226" s="572"/>
      <c r="G226" s="622">
        <f>+IF(G221="No",$I225,G225)</f>
        <v>0.7</v>
      </c>
      <c r="H226" s="622">
        <f t="shared" ref="H226" si="12">+IF(H221="No",$I225,H225)</f>
        <v>0.7</v>
      </c>
      <c r="I226" s="482"/>
    </row>
    <row r="227" spans="2:9">
      <c r="B227" s="704"/>
      <c r="C227" s="706"/>
      <c r="D227" s="711" t="s">
        <v>230</v>
      </c>
      <c r="E227" s="571" t="s">
        <v>178</v>
      </c>
      <c r="F227" s="572"/>
      <c r="G227" s="624">
        <v>2.6679999999999999E-2</v>
      </c>
      <c r="H227" s="624">
        <v>2.6679999999999999E-2</v>
      </c>
      <c r="I227" s="482">
        <f ca="1">+_xlfn.XLOOKUP($G$14,Data_tables!$B:$B,Data_tables!$D:$D)</f>
        <v>4.1890000000000004E-2</v>
      </c>
    </row>
    <row r="228" spans="2:9">
      <c r="B228" s="704"/>
      <c r="C228" s="706"/>
      <c r="D228" s="711" t="s">
        <v>231</v>
      </c>
      <c r="E228" s="571" t="s">
        <v>178</v>
      </c>
      <c r="F228" s="572"/>
      <c r="G228" s="624">
        <v>2.2100000000000002E-2</v>
      </c>
      <c r="H228" s="624">
        <v>2.2100000000000002E-2</v>
      </c>
      <c r="I228" s="482">
        <f ca="1">+_xlfn.XLOOKUP($G$14,Data_tables!$B:$B,Data_tables!$E:$E)+Data_tables!$H$20</f>
        <v>1.55E-2</v>
      </c>
    </row>
    <row r="229" spans="2:9">
      <c r="B229" s="704"/>
      <c r="C229" s="706"/>
      <c r="D229" s="711" t="s">
        <v>232</v>
      </c>
      <c r="E229" s="571" t="s">
        <v>178</v>
      </c>
      <c r="F229" s="572"/>
      <c r="G229" s="622">
        <f ca="1">+IF(G$221="Yes",SUM(G227:G228),SUM($I227:$I228))</f>
        <v>5.7390000000000004E-2</v>
      </c>
      <c r="H229" s="622">
        <f t="shared" ref="H229" ca="1" si="13">+IF(H$221="Yes",SUM(H227:H228),SUM($I227:$I228))</f>
        <v>5.7390000000000004E-2</v>
      </c>
      <c r="I229" s="482"/>
    </row>
    <row r="230" spans="2:9">
      <c r="B230" s="704"/>
      <c r="C230" s="706"/>
      <c r="D230" s="711" t="s">
        <v>233</v>
      </c>
      <c r="E230" s="571" t="s">
        <v>198</v>
      </c>
      <c r="F230" s="572"/>
      <c r="G230" s="595">
        <v>20</v>
      </c>
      <c r="H230" s="595">
        <v>20</v>
      </c>
      <c r="I230" s="534">
        <f>+$G$42</f>
        <v>15</v>
      </c>
    </row>
    <row r="231" spans="2:9">
      <c r="B231" s="704"/>
      <c r="C231" s="706"/>
      <c r="D231" s="711" t="s">
        <v>234</v>
      </c>
      <c r="E231" s="571" t="s">
        <v>198</v>
      </c>
      <c r="F231" s="572"/>
      <c r="G231" s="587">
        <f>+IF(G$221="Yes",SUM(G230),SUM($I230))</f>
        <v>15</v>
      </c>
      <c r="H231" s="587">
        <f t="shared" ref="H231" si="14">+IF(H$221="Yes",SUM(H230),SUM($I230))</f>
        <v>15</v>
      </c>
      <c r="I231" s="534"/>
    </row>
    <row r="232" spans="2:9">
      <c r="B232" s="704"/>
      <c r="C232" s="706"/>
      <c r="D232" s="711" t="s">
        <v>235</v>
      </c>
      <c r="E232" s="571" t="s">
        <v>236</v>
      </c>
      <c r="F232" s="572"/>
      <c r="G232" s="628" t="s">
        <v>237</v>
      </c>
      <c r="H232" s="628" t="s">
        <v>237</v>
      </c>
      <c r="I232" s="482"/>
    </row>
    <row r="233" spans="2:9">
      <c r="B233" s="704"/>
      <c r="C233" s="706"/>
      <c r="D233" s="708" t="s">
        <v>238</v>
      </c>
      <c r="E233" s="589" t="s">
        <v>236</v>
      </c>
      <c r="F233" s="596"/>
      <c r="G233" s="610" t="s">
        <v>239</v>
      </c>
      <c r="H233" s="610" t="s">
        <v>239</v>
      </c>
      <c r="I233" s="482"/>
    </row>
    <row r="234" spans="2:9">
      <c r="B234" s="704"/>
      <c r="C234" s="706"/>
      <c r="D234" s="709"/>
      <c r="E234" s="20"/>
      <c r="F234" s="65"/>
      <c r="G234" s="71"/>
      <c r="H234" s="71"/>
      <c r="I234" s="482"/>
    </row>
    <row r="235" spans="2:9" ht="15">
      <c r="B235" s="704"/>
      <c r="C235" s="706"/>
      <c r="D235" s="710" t="s">
        <v>240</v>
      </c>
      <c r="E235" s="568"/>
      <c r="F235" s="599"/>
      <c r="G235" s="609"/>
      <c r="H235" s="609"/>
      <c r="I235" s="482"/>
    </row>
    <row r="236" spans="2:9">
      <c r="B236" s="704"/>
      <c r="C236" s="706"/>
      <c r="D236" s="711" t="s">
        <v>228</v>
      </c>
      <c r="E236" s="571" t="s">
        <v>178</v>
      </c>
      <c r="F236" s="640"/>
      <c r="G236" s="620">
        <v>0</v>
      </c>
      <c r="H236" s="620">
        <v>0.05</v>
      </c>
      <c r="I236" s="482">
        <v>0</v>
      </c>
    </row>
    <row r="237" spans="2:9">
      <c r="B237" s="704"/>
      <c r="C237" s="706"/>
      <c r="D237" s="711" t="s">
        <v>229</v>
      </c>
      <c r="E237" s="571" t="s">
        <v>178</v>
      </c>
      <c r="F237" s="572"/>
      <c r="G237" s="622">
        <f>+IF(G221="No",$I236,G236)</f>
        <v>0</v>
      </c>
      <c r="H237" s="622">
        <f t="shared" ref="H237" si="15">+IF(H221="No",$I236,H236)</f>
        <v>0</v>
      </c>
      <c r="I237" s="482"/>
    </row>
    <row r="238" spans="2:9">
      <c r="B238" s="704"/>
      <c r="C238" s="706"/>
      <c r="D238" s="711" t="s">
        <v>230</v>
      </c>
      <c r="E238" s="571" t="s">
        <v>178</v>
      </c>
      <c r="F238" s="572"/>
      <c r="G238" s="624">
        <v>2.6679999999999999E-2</v>
      </c>
      <c r="H238" s="624">
        <v>2.6679999999999999E-2</v>
      </c>
      <c r="I238" s="482">
        <f ca="1">+_xlfn.XLOOKUP($G$14,Data_tables!$B:$B,Data_tables!$D:$D)</f>
        <v>4.1890000000000004E-2</v>
      </c>
    </row>
    <row r="239" spans="2:9">
      <c r="B239" s="704"/>
      <c r="C239" s="706"/>
      <c r="D239" s="711" t="s">
        <v>231</v>
      </c>
      <c r="E239" s="571" t="s">
        <v>178</v>
      </c>
      <c r="F239" s="572"/>
      <c r="G239" s="624">
        <v>2.2100000000000002E-2</v>
      </c>
      <c r="H239" s="624">
        <v>2.2100000000000002E-2</v>
      </c>
      <c r="I239" s="482">
        <f ca="1">+_xlfn.XLOOKUP($G$14,Data_tables!$B:$B,Data_tables!$E:$E)+Data_tables!$H$20</f>
        <v>1.55E-2</v>
      </c>
    </row>
    <row r="240" spans="2:9">
      <c r="B240" s="704"/>
      <c r="C240" s="706"/>
      <c r="D240" s="711" t="s">
        <v>232</v>
      </c>
      <c r="E240" s="571" t="s">
        <v>178</v>
      </c>
      <c r="F240" s="572"/>
      <c r="G240" s="622">
        <f ca="1">+IF(G$221="Yes",SUM(G238:G239),SUM($I238:$I239))</f>
        <v>5.7390000000000004E-2</v>
      </c>
      <c r="H240" s="622">
        <f t="shared" ref="H240" ca="1" si="16">+IF(H$221="Yes",SUM(H238:H239),SUM($I238:$I239))</f>
        <v>5.7390000000000004E-2</v>
      </c>
      <c r="I240" s="482"/>
    </row>
    <row r="241" spans="2:9">
      <c r="B241" s="704"/>
      <c r="C241" s="706"/>
      <c r="D241" s="711" t="s">
        <v>233</v>
      </c>
      <c r="E241" s="571" t="s">
        <v>198</v>
      </c>
      <c r="F241" s="572"/>
      <c r="G241" s="595">
        <v>20</v>
      </c>
      <c r="H241" s="595">
        <v>20</v>
      </c>
      <c r="I241" s="534">
        <f>+$G$42</f>
        <v>15</v>
      </c>
    </row>
    <row r="242" spans="2:9">
      <c r="B242" s="704"/>
      <c r="C242" s="706"/>
      <c r="D242" s="711" t="s">
        <v>234</v>
      </c>
      <c r="E242" s="571" t="s">
        <v>198</v>
      </c>
      <c r="F242" s="572"/>
      <c r="G242" s="587">
        <f>+IF(G$221="Yes",SUM(G241),SUM($I241))</f>
        <v>15</v>
      </c>
      <c r="H242" s="587">
        <f>+IF(H$221="Yes",SUM(H241),SUM($I241))</f>
        <v>15</v>
      </c>
      <c r="I242" s="534"/>
    </row>
    <row r="243" spans="2:9">
      <c r="B243" s="704"/>
      <c r="C243" s="706"/>
      <c r="D243" s="711" t="s">
        <v>235</v>
      </c>
      <c r="E243" s="571" t="s">
        <v>236</v>
      </c>
      <c r="F243" s="572"/>
      <c r="G243" s="628" t="s">
        <v>237</v>
      </c>
      <c r="H243" s="628" t="s">
        <v>237</v>
      </c>
      <c r="I243" s="482"/>
    </row>
    <row r="244" spans="2:9">
      <c r="B244" s="704"/>
      <c r="C244" s="706"/>
      <c r="D244" s="708" t="s">
        <v>238</v>
      </c>
      <c r="E244" s="589" t="s">
        <v>236</v>
      </c>
      <c r="F244" s="596"/>
      <c r="G244" s="610" t="s">
        <v>239</v>
      </c>
      <c r="H244" s="610" t="s">
        <v>239</v>
      </c>
      <c r="I244" s="482"/>
    </row>
    <row r="245" spans="2:9">
      <c r="B245" s="704"/>
      <c r="C245" s="706"/>
      <c r="D245" s="709"/>
      <c r="E245" s="20"/>
      <c r="F245" s="84"/>
      <c r="G245" s="20"/>
      <c r="H245" s="20"/>
      <c r="I245" s="482"/>
    </row>
    <row r="246" spans="2:9">
      <c r="B246" s="704"/>
      <c r="C246" s="706"/>
      <c r="D246" s="709" t="s">
        <v>241</v>
      </c>
      <c r="E246" s="20" t="s">
        <v>178</v>
      </c>
      <c r="F246" s="84"/>
      <c r="G246" s="93">
        <f>1-G237-G226</f>
        <v>0.30000000000000004</v>
      </c>
      <c r="H246" s="93">
        <f>1-H237-H226</f>
        <v>0.30000000000000004</v>
      </c>
      <c r="I246" s="482"/>
    </row>
    <row r="247" spans="2:9">
      <c r="B247" s="704"/>
      <c r="C247" s="706"/>
      <c r="D247" s="709"/>
      <c r="E247" s="20"/>
      <c r="F247" s="84"/>
      <c r="G247" s="93"/>
      <c r="H247" s="93"/>
      <c r="I247" s="482"/>
    </row>
    <row r="248" spans="2:9">
      <c r="B248" s="704"/>
      <c r="C248" s="706"/>
      <c r="D248" s="709"/>
      <c r="E248" s="20"/>
      <c r="F248" s="84"/>
      <c r="G248" s="93"/>
      <c r="H248" s="93"/>
      <c r="I248" s="482"/>
    </row>
    <row r="249" spans="2:9">
      <c r="B249" s="704"/>
      <c r="C249" s="706"/>
      <c r="D249" s="707" t="s">
        <v>242</v>
      </c>
      <c r="E249" s="571" t="s">
        <v>173</v>
      </c>
      <c r="F249" s="572" t="s">
        <v>139</v>
      </c>
      <c r="G249" s="630" t="s">
        <v>144</v>
      </c>
      <c r="H249" s="630" t="s">
        <v>144</v>
      </c>
      <c r="I249" s="482"/>
    </row>
    <row r="250" spans="2:9">
      <c r="B250" s="704"/>
      <c r="C250" s="706"/>
      <c r="D250" s="711" t="s">
        <v>243</v>
      </c>
      <c r="E250" s="568" t="s">
        <v>178</v>
      </c>
      <c r="F250" s="572"/>
      <c r="G250" s="632">
        <v>0.05</v>
      </c>
      <c r="H250" s="632">
        <v>0.05</v>
      </c>
      <c r="I250" s="482"/>
    </row>
    <row r="251" spans="2:9">
      <c r="B251" s="704"/>
      <c r="C251" s="706"/>
      <c r="D251" s="711" t="s">
        <v>244</v>
      </c>
      <c r="E251" s="571" t="s">
        <v>178</v>
      </c>
      <c r="F251" s="572"/>
      <c r="G251" s="633">
        <f ca="1">IF(G249="Yes",G250,$I251)</f>
        <v>4.1890000000000004E-2</v>
      </c>
      <c r="H251" s="633">
        <f ca="1">IF(H249="Yes",H250,$I251)</f>
        <v>4.1890000000000004E-2</v>
      </c>
      <c r="I251" s="482">
        <f ca="1">+_xlfn.XLOOKUP($G$14,Data_tables!$B:$B,Data_tables!$D:$D)</f>
        <v>4.1890000000000004E-2</v>
      </c>
    </row>
    <row r="252" spans="2:9">
      <c r="B252" s="704"/>
      <c r="C252" s="706"/>
      <c r="D252" s="711" t="s">
        <v>245</v>
      </c>
      <c r="E252" s="568" t="s">
        <v>168</v>
      </c>
      <c r="F252" s="572"/>
      <c r="G252" s="624" t="s">
        <v>144</v>
      </c>
      <c r="H252" s="482"/>
      <c r="I252" s="482"/>
    </row>
    <row r="253" spans="2:9">
      <c r="B253" s="704"/>
      <c r="C253" s="706"/>
      <c r="D253" s="711" t="s">
        <v>246</v>
      </c>
      <c r="E253" s="571" t="s">
        <v>178</v>
      </c>
      <c r="F253" s="572"/>
      <c r="G253" s="632">
        <v>0.03</v>
      </c>
      <c r="H253" s="482"/>
      <c r="I253" s="553"/>
    </row>
    <row r="254" spans="2:9">
      <c r="B254" s="704"/>
      <c r="C254" s="706"/>
      <c r="D254" s="708" t="s">
        <v>247</v>
      </c>
      <c r="E254" s="589" t="s">
        <v>178</v>
      </c>
      <c r="F254" s="596"/>
      <c r="G254" s="634">
        <f ca="1">+IF($G$16="No",G240,IF(G252="Yes",G253,$I254))</f>
        <v>4.1890000000000004E-2</v>
      </c>
      <c r="H254" s="482"/>
      <c r="I254" s="482">
        <f ca="1">+_xlfn.XLOOKUP($G$14,Data_tables!$B:$B,Data_tables!$D:$D)</f>
        <v>4.1890000000000004E-2</v>
      </c>
    </row>
    <row r="255" spans="2:9" ht="15">
      <c r="B255" s="704"/>
      <c r="C255" s="706"/>
      <c r="D255" s="713"/>
      <c r="E255" s="20"/>
      <c r="F255" s="84"/>
      <c r="G255" s="107">
        <f ca="1">+SUM(Calculation!H51:BY51)</f>
        <v>-4345043.5629141228</v>
      </c>
      <c r="H255" s="108">
        <f ca="1">+$G$254</f>
        <v>4.1890000000000004E-2</v>
      </c>
      <c r="I255" s="482"/>
    </row>
    <row r="256" spans="2:9">
      <c r="B256" s="704"/>
      <c r="C256" s="706"/>
      <c r="D256" s="709" t="s">
        <v>267</v>
      </c>
      <c r="E256" s="20" t="s">
        <v>249</v>
      </c>
      <c r="F256" s="84"/>
      <c r="G256" s="108">
        <f ca="1">+$G$254</f>
        <v>4.1890000000000004E-2</v>
      </c>
      <c r="H256" s="109">
        <f t="dataTable" ref="H256" dt2D="1" dtr="1" r1="G229" r2="G240" ca="1"/>
        <v>-4057739.9179123319</v>
      </c>
      <c r="I256" s="482"/>
    </row>
    <row r="259" spans="2:9" ht="15">
      <c r="B259" s="692" t="s">
        <v>268</v>
      </c>
      <c r="C259" s="694"/>
      <c r="D259" s="696"/>
      <c r="E259" s="20"/>
      <c r="F259" s="65"/>
      <c r="G259" s="60"/>
      <c r="H259" s="60"/>
      <c r="I259" s="482"/>
    </row>
    <row r="260" spans="2:9" ht="15">
      <c r="B260" s="692"/>
      <c r="C260" s="694" t="s">
        <v>269</v>
      </c>
      <c r="D260" s="696"/>
      <c r="E260" s="20"/>
      <c r="F260" s="65"/>
      <c r="G260" s="60"/>
      <c r="H260" s="60"/>
      <c r="I260" s="482"/>
    </row>
    <row r="261" spans="2:9">
      <c r="B261" s="693"/>
      <c r="C261" s="695"/>
      <c r="D261" s="696" t="s">
        <v>254</v>
      </c>
      <c r="E261" s="568" t="s">
        <v>178</v>
      </c>
      <c r="F261" s="569" t="s">
        <v>139</v>
      </c>
      <c r="G261" s="584">
        <v>0</v>
      </c>
      <c r="H261" s="584">
        <v>0</v>
      </c>
      <c r="I261" s="482"/>
    </row>
    <row r="262" spans="2:9">
      <c r="B262" s="693"/>
      <c r="C262" s="695"/>
      <c r="D262" s="697" t="s">
        <v>270</v>
      </c>
      <c r="E262" s="571" t="s">
        <v>271</v>
      </c>
      <c r="F262" s="569" t="s">
        <v>139</v>
      </c>
      <c r="G262" s="592" t="s">
        <v>272</v>
      </c>
      <c r="H262" s="628" t="str">
        <f>+G262</f>
        <v>Bulk carrier (Panamax)</v>
      </c>
      <c r="I262" s="482"/>
    </row>
    <row r="263" spans="2:9">
      <c r="B263" s="693"/>
      <c r="C263" s="695"/>
      <c r="D263" s="697" t="s">
        <v>273</v>
      </c>
      <c r="E263" s="571"/>
      <c r="F263" s="572"/>
      <c r="G263" s="628" t="str">
        <f>+IF(Quick_assumption!$E$5="Quick calculation",Quick_assumption!$E$11,$G$262)</f>
        <v>Bulk carrier (Panamax)</v>
      </c>
      <c r="H263" s="628" t="str">
        <f>+G263</f>
        <v>Bulk carrier (Panamax)</v>
      </c>
      <c r="I263" s="482"/>
    </row>
    <row r="264" spans="2:9">
      <c r="B264" s="693"/>
      <c r="C264" s="695"/>
      <c r="D264" s="697" t="s">
        <v>274</v>
      </c>
      <c r="E264" s="571" t="s">
        <v>168</v>
      </c>
      <c r="F264" s="572" t="s">
        <v>139</v>
      </c>
      <c r="G264" s="612" t="s">
        <v>180</v>
      </c>
      <c r="H264" s="600" t="str">
        <f>+Data_tables!K17</f>
        <v>Bio-diesel (HTL)</v>
      </c>
      <c r="I264" s="482"/>
    </row>
    <row r="265" spans="2:9">
      <c r="B265" s="693"/>
      <c r="C265" s="695"/>
      <c r="D265" s="697" t="s">
        <v>275</v>
      </c>
      <c r="E265" s="571" t="s">
        <v>276</v>
      </c>
      <c r="F265" s="572"/>
      <c r="G265" s="587">
        <f>+_xlfn.XLOOKUP(G264,Data_tables!K:K,Data_tables!M:M)</f>
        <v>41.2</v>
      </c>
      <c r="H265" s="587"/>
      <c r="I265" s="482"/>
    </row>
    <row r="266" spans="2:9">
      <c r="B266" s="693"/>
      <c r="C266" s="695"/>
      <c r="D266" s="697" t="s">
        <v>277</v>
      </c>
      <c r="E266" s="571" t="s">
        <v>178</v>
      </c>
      <c r="F266" s="572" t="s">
        <v>139</v>
      </c>
      <c r="G266" s="620">
        <v>0.05</v>
      </c>
      <c r="H266" s="574"/>
      <c r="I266" s="482"/>
    </row>
    <row r="267" spans="2:9">
      <c r="B267" s="693"/>
      <c r="C267" s="695"/>
      <c r="D267" s="697" t="s">
        <v>278</v>
      </c>
      <c r="E267" s="571" t="s">
        <v>279</v>
      </c>
      <c r="F267" s="572" t="s">
        <v>139</v>
      </c>
      <c r="G267" s="612">
        <v>10</v>
      </c>
      <c r="H267" s="628">
        <f>+G267</f>
        <v>10</v>
      </c>
      <c r="I267" s="482"/>
    </row>
    <row r="268" spans="2:9">
      <c r="B268" s="693"/>
      <c r="C268" s="695"/>
      <c r="D268" s="697" t="s">
        <v>280</v>
      </c>
      <c r="E268" s="571"/>
      <c r="F268" s="572"/>
      <c r="G268" s="628">
        <f>+IF(Quick_assumption!$E$5="Quick calculation",Quick_assumption!$E$12,G267)</f>
        <v>10</v>
      </c>
      <c r="H268" s="628">
        <f>+G268</f>
        <v>10</v>
      </c>
      <c r="I268" s="482"/>
    </row>
    <row r="269" spans="2:9">
      <c r="B269" s="693"/>
      <c r="C269" s="695"/>
      <c r="D269" s="697" t="s">
        <v>281</v>
      </c>
      <c r="E269" s="571" t="s">
        <v>115</v>
      </c>
      <c r="F269" s="572"/>
      <c r="G269" s="612" t="s">
        <v>144</v>
      </c>
      <c r="H269" s="628" t="str">
        <f>+G269</f>
        <v>No</v>
      </c>
      <c r="I269" s="482"/>
    </row>
    <row r="270" spans="2:9">
      <c r="B270" s="693"/>
      <c r="C270" s="695"/>
      <c r="D270" s="697" t="s">
        <v>282</v>
      </c>
      <c r="E270" s="571" t="s">
        <v>283</v>
      </c>
      <c r="F270" s="572"/>
      <c r="G270" s="641"/>
      <c r="H270" s="587">
        <f>+G270</f>
        <v>0</v>
      </c>
      <c r="I270" s="482"/>
    </row>
    <row r="271" spans="2:9">
      <c r="B271" s="693"/>
      <c r="C271" s="695"/>
      <c r="D271" s="697" t="s">
        <v>284</v>
      </c>
      <c r="E271" s="571" t="s">
        <v>285</v>
      </c>
      <c r="F271" s="572"/>
      <c r="G271" s="628">
        <f>+IF(G269="Yes",G270,_xlfn.XLOOKUP(G263,Data_tables!$AD:$AD,Data_tables!$AI:$AI))</f>
        <v>71250</v>
      </c>
      <c r="H271" s="628">
        <f>+IF(H269="Yes",H270,_xlfn.XLOOKUP(H263,Data_tables!$AD:$AD,Data_tables!$AI:$AI))</f>
        <v>71250</v>
      </c>
      <c r="I271" s="482"/>
    </row>
    <row r="272" spans="2:9">
      <c r="B272" s="693"/>
      <c r="C272" s="695"/>
      <c r="D272" s="697" t="s">
        <v>286</v>
      </c>
      <c r="E272" s="571" t="s">
        <v>168</v>
      </c>
      <c r="F272" s="572" t="s">
        <v>139</v>
      </c>
      <c r="G272" s="612" t="s">
        <v>139</v>
      </c>
      <c r="H272" s="628" t="str">
        <f>+G272</f>
        <v>Yes</v>
      </c>
      <c r="I272" s="482"/>
    </row>
    <row r="273" spans="2:9">
      <c r="B273" s="693"/>
      <c r="C273" s="695"/>
      <c r="D273" s="697" t="s">
        <v>287</v>
      </c>
      <c r="E273" s="571" t="s">
        <v>178</v>
      </c>
      <c r="F273" s="572"/>
      <c r="G273" s="620">
        <v>1</v>
      </c>
      <c r="H273" s="642">
        <f>+G273</f>
        <v>1</v>
      </c>
      <c r="I273" s="482"/>
    </row>
    <row r="274" spans="2:9">
      <c r="B274" s="693"/>
      <c r="C274" s="695"/>
      <c r="D274" s="697" t="s">
        <v>288</v>
      </c>
      <c r="E274" s="571" t="s">
        <v>178</v>
      </c>
      <c r="F274" s="572"/>
      <c r="G274" s="642">
        <f>+IF(G272="yes",G273,$I$274)</f>
        <v>1</v>
      </c>
      <c r="H274" s="642">
        <f>+IF(H272="yes",H273,$I$274)</f>
        <v>1</v>
      </c>
      <c r="I274" s="482">
        <v>0.8</v>
      </c>
    </row>
    <row r="275" spans="2:9">
      <c r="B275" s="693"/>
      <c r="C275" s="695"/>
      <c r="D275" s="697" t="s">
        <v>289</v>
      </c>
      <c r="E275" s="571" t="s">
        <v>290</v>
      </c>
      <c r="F275" s="572" t="s">
        <v>139</v>
      </c>
      <c r="G275" s="612">
        <v>3</v>
      </c>
      <c r="H275" s="767">
        <f>+G275</f>
        <v>3</v>
      </c>
      <c r="I275" s="482"/>
    </row>
    <row r="276" spans="2:9">
      <c r="B276" s="693"/>
      <c r="C276" s="695"/>
      <c r="D276" s="697" t="s">
        <v>291</v>
      </c>
      <c r="E276" s="571"/>
      <c r="F276" s="572"/>
      <c r="G276" s="628">
        <f>+IF(Quick_assumption!$E$5="Quick calculation",Quick_assumption!$E$13,$G$275)</f>
        <v>3</v>
      </c>
      <c r="H276" s="628">
        <f>+G276</f>
        <v>3</v>
      </c>
      <c r="I276" s="482"/>
    </row>
    <row r="277" spans="2:9">
      <c r="B277" s="693"/>
      <c r="C277" s="695"/>
      <c r="D277" s="697" t="s">
        <v>292</v>
      </c>
      <c r="E277" s="571" t="s">
        <v>115</v>
      </c>
      <c r="F277" s="572" t="s">
        <v>139</v>
      </c>
      <c r="G277" s="643" t="s">
        <v>293</v>
      </c>
      <c r="H277" s="628"/>
      <c r="I277" s="482"/>
    </row>
    <row r="278" spans="2:9" hidden="1">
      <c r="B278" s="693"/>
      <c r="C278" s="695"/>
      <c r="D278" s="697" t="s">
        <v>294</v>
      </c>
      <c r="E278" s="571"/>
      <c r="F278" s="572"/>
      <c r="G278" s="574" t="str">
        <f>+IF(Quick_assumption!$E$5="Quick calculation","Fossil corridor",G277)</f>
        <v>Fossil corridor</v>
      </c>
      <c r="H278" s="574"/>
      <c r="I278" s="482"/>
    </row>
    <row r="279" spans="2:9">
      <c r="B279" s="693"/>
      <c r="C279" s="695"/>
      <c r="D279" s="697" t="s">
        <v>295</v>
      </c>
      <c r="E279" s="571" t="s">
        <v>168</v>
      </c>
      <c r="F279" s="572" t="s">
        <v>139</v>
      </c>
      <c r="G279" s="643" t="s">
        <v>132</v>
      </c>
      <c r="H279" s="643" t="s">
        <v>296</v>
      </c>
      <c r="I279" s="482"/>
    </row>
    <row r="280" spans="2:9" hidden="1">
      <c r="B280" s="693"/>
      <c r="C280" s="695"/>
      <c r="D280" s="697" t="s">
        <v>297</v>
      </c>
      <c r="E280" s="571"/>
      <c r="F280" s="572"/>
      <c r="G280" s="628" t="str">
        <f>+G279</f>
        <v>Fuel consumption</v>
      </c>
      <c r="H280" s="628" t="str">
        <f>+IF(Quick_assumption!$E$5="Quick calculation",Quick_assumption!$E$14,H279)</f>
        <v>Distance (nautic miles)</v>
      </c>
      <c r="I280" s="482"/>
    </row>
    <row r="281" spans="2:9">
      <c r="B281" s="693"/>
      <c r="C281" s="695"/>
      <c r="D281" s="697" t="s">
        <v>298</v>
      </c>
      <c r="E281" s="571" t="s">
        <v>134</v>
      </c>
      <c r="F281" s="572" t="s">
        <v>139</v>
      </c>
      <c r="G281" s="643">
        <v>2000</v>
      </c>
      <c r="H281" s="643">
        <v>2000</v>
      </c>
      <c r="I281" s="482"/>
    </row>
    <row r="282" spans="2:9" hidden="1">
      <c r="B282" s="693"/>
      <c r="C282" s="695"/>
      <c r="D282" s="697" t="s">
        <v>299</v>
      </c>
      <c r="E282" s="571"/>
      <c r="F282" s="572"/>
      <c r="G282" s="628">
        <f>+G281</f>
        <v>2000</v>
      </c>
      <c r="H282" s="628">
        <f>+IF(Quick_assumption!$E$5="Quick calculation",Quick_assumption!$E$15,H281)</f>
        <v>2000</v>
      </c>
      <c r="I282" s="482"/>
    </row>
    <row r="283" spans="2:9">
      <c r="B283" s="693"/>
      <c r="C283" s="695"/>
      <c r="D283" s="697" t="s">
        <v>300</v>
      </c>
      <c r="E283" s="571" t="s">
        <v>301</v>
      </c>
      <c r="F283" s="572" t="s">
        <v>139</v>
      </c>
      <c r="G283" s="643"/>
      <c r="H283" s="643">
        <v>5000</v>
      </c>
      <c r="I283" s="482"/>
    </row>
    <row r="284" spans="2:9" hidden="1">
      <c r="B284" s="693"/>
      <c r="C284" s="695"/>
      <c r="D284" s="697" t="s">
        <v>302</v>
      </c>
      <c r="E284" s="571"/>
      <c r="F284" s="572"/>
      <c r="G284" s="628">
        <f>+G283</f>
        <v>0</v>
      </c>
      <c r="H284" s="628">
        <f>+IF(Quick_assumption!$E$5="Quick calculation",Quick_assumption!$E$16,H283)</f>
        <v>5000</v>
      </c>
      <c r="I284" s="534"/>
    </row>
    <row r="285" spans="2:9">
      <c r="B285" s="693"/>
      <c r="C285" s="695"/>
      <c r="D285" s="697" t="s">
        <v>303</v>
      </c>
      <c r="E285" s="571" t="s">
        <v>178</v>
      </c>
      <c r="F285" s="572" t="s">
        <v>139</v>
      </c>
      <c r="G285" s="620">
        <v>0</v>
      </c>
      <c r="H285" s="574"/>
      <c r="I285" s="482"/>
    </row>
    <row r="286" spans="2:9">
      <c r="B286" s="693"/>
      <c r="C286" s="695"/>
      <c r="D286" s="697" t="s">
        <v>304</v>
      </c>
      <c r="E286" s="571" t="s">
        <v>305</v>
      </c>
      <c r="F286" s="572"/>
      <c r="G286" s="628">
        <f>+IF($G$278="Green Corridor",IF(G280="Fuel consumption",G284*G276,(1-G266)*(1+G285)*G282*_xlfn.XLOOKUP(G263,Data_tables!$AD:$AD,Data_tables!$AR:$AR)*G276/_xlfn.XLOOKUP(G24,Data_tables!$K:$K,Data_tables!$M:$M)),H288*(1+G285)/G25*(1-G266))</f>
        <v>877.28141622340411</v>
      </c>
      <c r="H286" s="628">
        <f>+IF($G$278="Fossil Corridor",IF(H280="Fuel consumption",H284*H276,H282*_xlfn.XLOOKUP(H263,Data_tables!$AD:$AD,Data_tables!$AR:$AR)*H276/_xlfn.XLOOKUP(H24,Data_tables!$K:$K,Data_tables!$M:$M)),G286*G25/(H25*(1+G285))+G287*G265/(H25*(1+G285)))</f>
        <v>421.38197815533977</v>
      </c>
      <c r="I286" s="554"/>
    </row>
    <row r="287" spans="2:9">
      <c r="B287" s="693"/>
      <c r="C287" s="695"/>
      <c r="D287" s="697" t="s">
        <v>306</v>
      </c>
      <c r="E287" s="571" t="s">
        <v>305</v>
      </c>
      <c r="F287" s="572"/>
      <c r="G287" s="628">
        <f>+(G286*G25/(1-G266))*G266/G265</f>
        <v>21.069098907766985</v>
      </c>
      <c r="H287" s="644"/>
      <c r="I287" s="550"/>
    </row>
    <row r="288" spans="2:9">
      <c r="B288" s="693"/>
      <c r="C288" s="695"/>
      <c r="D288" s="698" t="s">
        <v>307</v>
      </c>
      <c r="E288" s="571" t="s">
        <v>308</v>
      </c>
      <c r="F288" s="586"/>
      <c r="G288" s="645">
        <f>+G286*G25+G287*G265</f>
        <v>17360.937499999996</v>
      </c>
      <c r="H288" s="645">
        <f>+H25*H286</f>
        <v>17360.9375</v>
      </c>
      <c r="I288" s="553"/>
    </row>
    <row r="289" spans="2:9">
      <c r="B289" s="693"/>
      <c r="C289" s="695"/>
      <c r="D289" s="700"/>
    </row>
    <row r="290" spans="2:9">
      <c r="B290" s="693"/>
      <c r="C290" s="695"/>
      <c r="D290" s="700"/>
    </row>
    <row r="291" spans="2:9" ht="15">
      <c r="B291" s="693"/>
      <c r="C291" s="694" t="s">
        <v>309</v>
      </c>
      <c r="D291" s="700"/>
      <c r="E291" s="20"/>
      <c r="F291" s="65"/>
      <c r="G291" s="548"/>
      <c r="H291" s="549"/>
      <c r="I291" s="482"/>
    </row>
    <row r="292" spans="2:9" ht="15">
      <c r="B292" s="693"/>
      <c r="C292" s="695"/>
      <c r="D292" s="701" t="s">
        <v>190</v>
      </c>
      <c r="E292" s="568"/>
      <c r="F292" s="591"/>
      <c r="G292" s="117"/>
      <c r="H292" s="117"/>
      <c r="I292" s="482"/>
    </row>
    <row r="293" spans="2:9">
      <c r="B293" s="693"/>
      <c r="C293" s="695"/>
      <c r="D293" s="697" t="s">
        <v>194</v>
      </c>
      <c r="E293" s="571" t="s">
        <v>115</v>
      </c>
      <c r="F293" s="572" t="s">
        <v>139</v>
      </c>
      <c r="G293" s="592" t="s">
        <v>139</v>
      </c>
      <c r="H293" s="592" t="s">
        <v>139</v>
      </c>
      <c r="I293" s="482"/>
    </row>
    <row r="294" spans="2:9">
      <c r="B294" s="693"/>
      <c r="C294" s="695"/>
      <c r="D294" s="697" t="s">
        <v>195</v>
      </c>
      <c r="E294" s="571" t="s">
        <v>196</v>
      </c>
      <c r="F294" s="572"/>
      <c r="G294" s="646">
        <f>+$G$11</f>
        <v>46388</v>
      </c>
      <c r="H294" s="646">
        <f t="shared" ref="H294" si="17">+$G$11</f>
        <v>46388</v>
      </c>
      <c r="I294" s="551"/>
    </row>
    <row r="295" spans="2:9">
      <c r="B295" s="693"/>
      <c r="C295" s="695"/>
      <c r="D295" s="697" t="s">
        <v>197</v>
      </c>
      <c r="E295" s="571" t="s">
        <v>198</v>
      </c>
      <c r="F295" s="572"/>
      <c r="G295" s="595">
        <v>1</v>
      </c>
      <c r="H295" s="595">
        <v>1</v>
      </c>
      <c r="I295" s="534">
        <f>+I123</f>
        <v>1</v>
      </c>
    </row>
    <row r="296" spans="2:9">
      <c r="B296" s="693"/>
      <c r="C296" s="695"/>
      <c r="D296" s="698" t="s">
        <v>199</v>
      </c>
      <c r="E296" s="571" t="s">
        <v>165</v>
      </c>
      <c r="F296" s="586"/>
      <c r="G296" s="638">
        <f>IF(G293="Yes",EDATE(G294,G295*12),EDATE(G294,$I295*12))</f>
        <v>46753</v>
      </c>
      <c r="H296" s="638">
        <f t="shared" ref="H296" si="18">IF(H293="Yes",EDATE(H294,H295*12),EDATE(H294,$I295*12))</f>
        <v>46753</v>
      </c>
      <c r="I296" s="534"/>
    </row>
    <row r="297" spans="2:9">
      <c r="B297" s="693"/>
      <c r="C297" s="695"/>
      <c r="D297" s="697" t="s">
        <v>200</v>
      </c>
      <c r="E297" s="571" t="s">
        <v>198</v>
      </c>
      <c r="F297" s="572"/>
      <c r="G297" s="595">
        <v>2</v>
      </c>
      <c r="H297" s="595">
        <v>2</v>
      </c>
      <c r="I297" s="534">
        <f>+I125</f>
        <v>2</v>
      </c>
    </row>
    <row r="298" spans="2:9">
      <c r="B298" s="693"/>
      <c r="C298" s="695"/>
      <c r="D298" s="698" t="s">
        <v>201</v>
      </c>
      <c r="E298" s="571" t="s">
        <v>165</v>
      </c>
      <c r="F298" s="586"/>
      <c r="G298" s="638">
        <f>IF(G293="Yes",EDATE(G296,G297*12),EDATE(G296,$I297*12))</f>
        <v>47484</v>
      </c>
      <c r="H298" s="638">
        <f t="shared" ref="H298" si="19">IF(H293="Yes",EDATE(H296,H297*12),EDATE(H296,$I297*12))</f>
        <v>47484</v>
      </c>
      <c r="I298" s="534"/>
    </row>
    <row r="299" spans="2:9">
      <c r="B299" s="693"/>
      <c r="C299" s="695"/>
      <c r="D299" s="697" t="s">
        <v>202</v>
      </c>
      <c r="E299" s="571" t="s">
        <v>198</v>
      </c>
      <c r="F299" s="572"/>
      <c r="G299" s="595">
        <v>15</v>
      </c>
      <c r="H299" s="595">
        <v>15</v>
      </c>
      <c r="I299" s="534">
        <f>+$G$42</f>
        <v>15</v>
      </c>
    </row>
    <row r="300" spans="2:9">
      <c r="B300" s="693"/>
      <c r="C300" s="695"/>
      <c r="D300" s="699" t="s">
        <v>203</v>
      </c>
      <c r="E300" s="589" t="s">
        <v>198</v>
      </c>
      <c r="F300" s="596"/>
      <c r="G300" s="597">
        <f>+IF(G293="No",$I299,G299)</f>
        <v>15</v>
      </c>
      <c r="H300" s="597">
        <f>+IF(H293="No",$I299,H299)</f>
        <v>15</v>
      </c>
      <c r="I300" s="482"/>
    </row>
    <row r="301" spans="2:9">
      <c r="B301" s="693"/>
      <c r="C301" s="695"/>
      <c r="D301" s="700"/>
      <c r="E301" s="20"/>
      <c r="F301" s="84"/>
      <c r="G301" s="87"/>
      <c r="H301" s="88"/>
      <c r="I301" s="482"/>
    </row>
    <row r="302" spans="2:9" ht="15">
      <c r="B302" s="693"/>
      <c r="C302" s="695"/>
      <c r="D302" s="701" t="s">
        <v>197</v>
      </c>
      <c r="E302" s="615"/>
      <c r="F302" s="599"/>
      <c r="G302" s="647"/>
      <c r="H302" s="648"/>
      <c r="I302" s="482"/>
    </row>
    <row r="303" spans="2:9">
      <c r="B303" s="693"/>
      <c r="C303" s="695"/>
      <c r="D303" s="697" t="s">
        <v>205</v>
      </c>
      <c r="E303" s="571" t="s">
        <v>168</v>
      </c>
      <c r="F303" s="572"/>
      <c r="G303" s="592" t="s">
        <v>144</v>
      </c>
      <c r="H303" s="592" t="s">
        <v>144</v>
      </c>
      <c r="I303" s="482"/>
    </row>
    <row r="304" spans="2:9">
      <c r="B304" s="693"/>
      <c r="C304" s="695"/>
      <c r="D304" s="697" t="s">
        <v>160</v>
      </c>
      <c r="E304" s="20" t="s">
        <v>161</v>
      </c>
      <c r="F304" s="572"/>
      <c r="G304" s="573" t="s">
        <v>113</v>
      </c>
      <c r="H304" s="573" t="s">
        <v>113</v>
      </c>
      <c r="I304" s="482"/>
    </row>
    <row r="305" spans="2:9">
      <c r="B305" s="693"/>
      <c r="C305" s="695"/>
      <c r="D305" s="697" t="s">
        <v>310</v>
      </c>
      <c r="E305" s="601" t="str">
        <f>+$G$8</f>
        <v>USD</v>
      </c>
      <c r="F305" s="572"/>
      <c r="G305" s="592">
        <v>100000</v>
      </c>
      <c r="H305" s="592">
        <v>100000</v>
      </c>
      <c r="I305" s="482"/>
    </row>
    <row r="306" spans="2:9">
      <c r="B306" s="693"/>
      <c r="C306" s="695"/>
      <c r="D306" s="699" t="s">
        <v>208</v>
      </c>
      <c r="E306" s="602" t="str">
        <f>+$G$8</f>
        <v>USD</v>
      </c>
      <c r="F306" s="603"/>
      <c r="G306" s="604">
        <f>+IF(AND(G303="Yes",G304="General"),G305*G268,0)</f>
        <v>0</v>
      </c>
      <c r="H306" s="604">
        <f>+IF(AND(H303="Yes",H304="General"),H305*H268,0)</f>
        <v>0</v>
      </c>
      <c r="I306" s="482"/>
    </row>
    <row r="307" spans="2:9">
      <c r="B307" s="693"/>
      <c r="C307" s="695"/>
      <c r="D307" s="700"/>
      <c r="E307"/>
      <c r="F307"/>
      <c r="G307"/>
      <c r="H307" s="20"/>
      <c r="I307" s="482"/>
    </row>
    <row r="308" spans="2:9">
      <c r="B308" s="693"/>
      <c r="C308" s="695"/>
      <c r="D308" s="700"/>
      <c r="E308" s="61"/>
      <c r="F308" s="65"/>
      <c r="G308" s="87"/>
      <c r="H308" s="88"/>
      <c r="I308" s="482"/>
    </row>
    <row r="309" spans="2:9" ht="15">
      <c r="B309" s="693"/>
      <c r="C309" s="695"/>
      <c r="D309" s="701" t="s">
        <v>311</v>
      </c>
      <c r="E309" s="568"/>
      <c r="F309" s="599"/>
      <c r="G309" s="647"/>
      <c r="H309" s="648"/>
      <c r="I309" s="482"/>
    </row>
    <row r="310" spans="2:9">
      <c r="B310" s="693"/>
      <c r="C310" s="695"/>
      <c r="D310" s="697" t="s">
        <v>205</v>
      </c>
      <c r="E310" s="571" t="s">
        <v>168</v>
      </c>
      <c r="F310" s="572" t="s">
        <v>139</v>
      </c>
      <c r="G310" s="592" t="s">
        <v>144</v>
      </c>
      <c r="H310" s="592" t="s">
        <v>144</v>
      </c>
      <c r="I310" s="482"/>
    </row>
    <row r="311" spans="2:9">
      <c r="B311" s="693"/>
      <c r="C311" s="695"/>
      <c r="D311" s="697" t="s">
        <v>160</v>
      </c>
      <c r="E311" s="20" t="s">
        <v>161</v>
      </c>
      <c r="F311" s="572"/>
      <c r="G311" s="573" t="s">
        <v>113</v>
      </c>
      <c r="H311" s="573" t="s">
        <v>113</v>
      </c>
      <c r="I311" s="482"/>
    </row>
    <row r="312" spans="2:9">
      <c r="B312" s="693"/>
      <c r="C312" s="695"/>
      <c r="D312" s="697" t="s">
        <v>312</v>
      </c>
      <c r="E312" s="601" t="str">
        <f>+$G$8</f>
        <v>USD</v>
      </c>
      <c r="F312" s="640"/>
      <c r="G312" s="612"/>
      <c r="H312" s="612"/>
      <c r="I312" s="482"/>
    </row>
    <row r="313" spans="2:9">
      <c r="B313" s="693"/>
      <c r="C313" s="695"/>
      <c r="D313" s="699" t="s">
        <v>313</v>
      </c>
      <c r="E313" s="602" t="str">
        <f>+$G$8&amp;"/Vessel"</f>
        <v>USD/Vessel</v>
      </c>
      <c r="F313" s="596"/>
      <c r="G313" s="604">
        <f>+IF(AND(G310="Yes",G311="Detailed"),0,IF(AND(G310="Yes",G311="General"),G312*G268,_xlfn.XLOOKUP(G263,Data_tables!$AD$5:$AD$22,Data_tables!$AU$5:$AU$22)*G268))</f>
        <v>390205000</v>
      </c>
      <c r="H313" s="604">
        <f>+IF(AND(H310="Yes",H311="Detailed"),0,IF(AND(H310="Yes",H311="General"),H312*H268,_xlfn.XLOOKUP(H263,Data_tables!$AD$5:$AD$22,Data_tables!$AW$5:$AW$22)*H268))</f>
        <v>336180000</v>
      </c>
      <c r="I313" s="482"/>
    </row>
    <row r="314" spans="2:9" ht="15">
      <c r="B314" s="693"/>
      <c r="C314" s="695"/>
      <c r="D314" s="702"/>
      <c r="E314" s="20"/>
      <c r="F314" s="65"/>
      <c r="G314" s="71"/>
      <c r="H314" s="20"/>
      <c r="I314" s="482"/>
    </row>
    <row r="315" spans="2:9" ht="15">
      <c r="B315" s="693"/>
      <c r="C315" s="695"/>
      <c r="D315" s="701" t="s">
        <v>210</v>
      </c>
      <c r="E315" s="568"/>
      <c r="F315" s="599"/>
      <c r="G315" s="609"/>
      <c r="H315" s="568"/>
      <c r="I315" s="482"/>
    </row>
    <row r="316" spans="2:9">
      <c r="B316" s="693"/>
      <c r="C316" s="695"/>
      <c r="D316" s="699" t="s">
        <v>211</v>
      </c>
      <c r="E316" s="589" t="s">
        <v>198</v>
      </c>
      <c r="F316" s="596"/>
      <c r="G316" s="610">
        <f>+G300</f>
        <v>15</v>
      </c>
      <c r="H316" s="610">
        <f>+H300</f>
        <v>15</v>
      </c>
      <c r="I316" s="534">
        <f>+I299</f>
        <v>15</v>
      </c>
    </row>
    <row r="317" spans="2:9">
      <c r="B317" s="693"/>
      <c r="C317" s="695"/>
      <c r="D317" s="700"/>
      <c r="E317" s="20"/>
      <c r="F317" s="65"/>
      <c r="G317" s="71"/>
      <c r="H317" s="20"/>
      <c r="I317" s="482"/>
    </row>
    <row r="318" spans="2:9" ht="15">
      <c r="B318" s="693"/>
      <c r="C318" s="694" t="s">
        <v>314</v>
      </c>
      <c r="D318" s="700"/>
      <c r="E318" s="20"/>
      <c r="F318" s="65"/>
      <c r="G318" s="71"/>
      <c r="H318" s="20"/>
      <c r="I318" s="482"/>
    </row>
    <row r="319" spans="2:9" ht="15">
      <c r="B319" s="693"/>
      <c r="C319" s="695"/>
      <c r="D319" s="701" t="s">
        <v>219</v>
      </c>
      <c r="E319" s="568"/>
      <c r="F319" s="599"/>
      <c r="G319" s="639"/>
      <c r="H319" s="614"/>
      <c r="I319" s="482"/>
    </row>
    <row r="320" spans="2:9">
      <c r="B320" s="693"/>
      <c r="C320" s="695"/>
      <c r="D320" s="697" t="s">
        <v>220</v>
      </c>
      <c r="E320" s="571" t="s">
        <v>115</v>
      </c>
      <c r="F320" s="572" t="s">
        <v>139</v>
      </c>
      <c r="G320" s="612" t="s">
        <v>144</v>
      </c>
      <c r="H320" s="612" t="s">
        <v>144</v>
      </c>
      <c r="I320" s="482"/>
    </row>
    <row r="321" spans="2:9">
      <c r="B321" s="693"/>
      <c r="C321" s="695"/>
      <c r="D321" s="697" t="s">
        <v>160</v>
      </c>
      <c r="E321" s="20" t="s">
        <v>161</v>
      </c>
      <c r="F321" s="572"/>
      <c r="G321" s="612" t="s">
        <v>113</v>
      </c>
      <c r="H321" s="612" t="s">
        <v>113</v>
      </c>
      <c r="I321" s="482"/>
    </row>
    <row r="322" spans="2:9">
      <c r="B322" s="693"/>
      <c r="C322" s="695"/>
      <c r="D322" s="697" t="s">
        <v>222</v>
      </c>
      <c r="E322" s="601" t="str">
        <f>+$G$8&amp;"/Vessel/Year"</f>
        <v>USD/Vessel/Year</v>
      </c>
      <c r="F322" s="572"/>
      <c r="G322" s="612"/>
      <c r="H322" s="612"/>
      <c r="I322" s="482"/>
    </row>
    <row r="323" spans="2:9">
      <c r="B323" s="693"/>
      <c r="C323" s="695"/>
      <c r="D323" s="697" t="s">
        <v>315</v>
      </c>
      <c r="E323" s="601" t="str">
        <f>+$G$8</f>
        <v>USD</v>
      </c>
      <c r="F323" s="572"/>
      <c r="G323" s="612">
        <v>0</v>
      </c>
      <c r="H323" s="612">
        <v>0</v>
      </c>
      <c r="I323" s="482"/>
    </row>
    <row r="324" spans="2:9">
      <c r="B324" s="693"/>
      <c r="C324" s="695"/>
      <c r="D324" s="699" t="s">
        <v>316</v>
      </c>
      <c r="E324" s="602" t="str">
        <f>+$G$8&amp;"/Vessel/Year"</f>
        <v>USD/Vessel/Year</v>
      </c>
      <c r="F324" s="596"/>
      <c r="G324" s="604">
        <f>+IF(AND(G320="Yes",G321="General"),SUM(G322:G323),_xlfn.XLOOKUP(G263,Data_tables!$AD$5:$AD$22,Data_tables!$AV$5:$AV$22))</f>
        <v>2039969.0000000002</v>
      </c>
      <c r="H324" s="604">
        <f>+IF(AND(H320="Yes",H321="General"),SUM(H322:H323),_xlfn.XLOOKUP(H263,Data_tables!$AD$5:$AD$22,Data_tables!$AX$5:$AX$22))</f>
        <v>1991644</v>
      </c>
      <c r="I324" s="550"/>
    </row>
    <row r="325" spans="2:9">
      <c r="B325" s="693"/>
      <c r="C325" s="695"/>
      <c r="D325" s="700"/>
      <c r="E325" s="61"/>
      <c r="F325" s="84"/>
      <c r="G325" s="109"/>
      <c r="H325" s="109"/>
      <c r="I325" s="550"/>
    </row>
    <row r="326" spans="2:9" ht="15">
      <c r="B326" s="693"/>
      <c r="C326" s="694" t="s">
        <v>317</v>
      </c>
      <c r="D326" s="700"/>
      <c r="E326" s="20"/>
      <c r="F326" s="65"/>
      <c r="G326" s="71"/>
      <c r="H326" s="20"/>
      <c r="I326" s="482"/>
    </row>
    <row r="327" spans="2:9" ht="15">
      <c r="B327" s="693"/>
      <c r="C327" s="694"/>
      <c r="D327" s="696" t="s">
        <v>318</v>
      </c>
      <c r="E327" s="568" t="s">
        <v>115</v>
      </c>
      <c r="F327" s="572" t="s">
        <v>139</v>
      </c>
      <c r="G327" s="618" t="s">
        <v>144</v>
      </c>
      <c r="H327" s="618" t="s">
        <v>144</v>
      </c>
      <c r="I327" s="482"/>
    </row>
    <row r="328" spans="2:9" ht="15">
      <c r="B328" s="693"/>
      <c r="C328" s="694"/>
      <c r="D328" s="699" t="s">
        <v>160</v>
      </c>
      <c r="E328" s="20" t="s">
        <v>161</v>
      </c>
      <c r="F328" s="596"/>
      <c r="G328" s="613" t="s">
        <v>113</v>
      </c>
      <c r="H328" s="613" t="s">
        <v>113</v>
      </c>
      <c r="I328" s="482"/>
    </row>
    <row r="329" spans="2:9" ht="15">
      <c r="B329" s="693"/>
      <c r="C329" s="694"/>
      <c r="D329" s="702"/>
      <c r="E329" s="20"/>
      <c r="F329" s="84"/>
      <c r="H329" s="26"/>
      <c r="I329" s="550"/>
    </row>
    <row r="330" spans="2:9" ht="15">
      <c r="B330" s="693"/>
      <c r="C330" s="695"/>
      <c r="D330" s="701" t="s">
        <v>227</v>
      </c>
      <c r="E330" s="568"/>
      <c r="F330" s="649"/>
      <c r="G330" s="614"/>
      <c r="H330" s="614"/>
      <c r="I330" s="550"/>
    </row>
    <row r="331" spans="2:9">
      <c r="B331" s="693"/>
      <c r="C331" s="695"/>
      <c r="D331" s="697" t="s">
        <v>228</v>
      </c>
      <c r="E331" s="571" t="s">
        <v>178</v>
      </c>
      <c r="F331" s="572"/>
      <c r="G331" s="620">
        <v>0</v>
      </c>
      <c r="H331" s="620">
        <v>0</v>
      </c>
      <c r="I331" s="482">
        <v>0.6</v>
      </c>
    </row>
    <row r="332" spans="2:9">
      <c r="B332" s="693"/>
      <c r="C332" s="695"/>
      <c r="D332" s="697" t="s">
        <v>229</v>
      </c>
      <c r="E332" s="571" t="s">
        <v>178</v>
      </c>
      <c r="F332" s="572"/>
      <c r="G332" s="642">
        <f>+IF(G$327="No",$I331,G331)</f>
        <v>0.6</v>
      </c>
      <c r="H332" s="642">
        <f>+IF(H$327="No",$I331,H331)</f>
        <v>0.6</v>
      </c>
      <c r="I332" s="550"/>
    </row>
    <row r="333" spans="2:9">
      <c r="B333" s="693"/>
      <c r="C333" s="695"/>
      <c r="D333" s="697" t="s">
        <v>230</v>
      </c>
      <c r="E333" s="571" t="s">
        <v>178</v>
      </c>
      <c r="F333" s="572"/>
      <c r="G333" s="624">
        <v>5.8000000000000003E-2</v>
      </c>
      <c r="H333" s="624">
        <v>5.8000000000000003E-2</v>
      </c>
      <c r="I333" s="482">
        <f ca="1">+_xlfn.XLOOKUP($G$14,Data_tables!$B:$B,Data_tables!$D:$D)</f>
        <v>4.1890000000000004E-2</v>
      </c>
    </row>
    <row r="334" spans="2:9">
      <c r="B334" s="693"/>
      <c r="C334" s="695"/>
      <c r="D334" s="697" t="s">
        <v>231</v>
      </c>
      <c r="E334" s="571" t="s">
        <v>178</v>
      </c>
      <c r="F334" s="572"/>
      <c r="G334" s="624">
        <v>2.7E-2</v>
      </c>
      <c r="H334" s="624">
        <v>2.7E-2</v>
      </c>
      <c r="I334" s="482">
        <f ca="1">+_xlfn.XLOOKUP($G$14,Data_tables!$B:$B,Data_tables!$E:$E)+Data_tables!$H$20</f>
        <v>1.55E-2</v>
      </c>
    </row>
    <row r="335" spans="2:9">
      <c r="B335" s="693"/>
      <c r="C335" s="695"/>
      <c r="D335" s="697" t="s">
        <v>232</v>
      </c>
      <c r="E335" s="571" t="s">
        <v>178</v>
      </c>
      <c r="F335" s="572"/>
      <c r="G335" s="633">
        <f ca="1">+IF(G$327="No",SUM($I333:$I334),SUM(G333:G334))</f>
        <v>5.7390000000000004E-2</v>
      </c>
      <c r="H335" s="642">
        <f ca="1">+IF(H$327="No",SUM($I333:$I334),SUM(H333:H334))</f>
        <v>5.7390000000000004E-2</v>
      </c>
      <c r="I335" s="550"/>
    </row>
    <row r="336" spans="2:9">
      <c r="B336" s="693"/>
      <c r="C336" s="695"/>
      <c r="D336" s="697" t="s">
        <v>233</v>
      </c>
      <c r="E336" s="571" t="s">
        <v>198</v>
      </c>
      <c r="F336" s="572"/>
      <c r="G336" s="595">
        <v>15</v>
      </c>
      <c r="H336" s="595">
        <v>15</v>
      </c>
      <c r="I336" s="534">
        <f>+$G$42</f>
        <v>15</v>
      </c>
    </row>
    <row r="337" spans="2:9">
      <c r="B337" s="693"/>
      <c r="C337" s="695"/>
      <c r="D337" s="697" t="s">
        <v>234</v>
      </c>
      <c r="E337" s="571" t="s">
        <v>198</v>
      </c>
      <c r="F337" s="572"/>
      <c r="G337" s="628">
        <f>+IF(G$327="No",$I336,G336)</f>
        <v>15</v>
      </c>
      <c r="H337" s="628">
        <f>+IF(H$327="No",$I336,H336)</f>
        <v>15</v>
      </c>
      <c r="I337" s="550"/>
    </row>
    <row r="338" spans="2:9">
      <c r="B338" s="693"/>
      <c r="C338" s="695"/>
      <c r="D338" s="697" t="s">
        <v>235</v>
      </c>
      <c r="E338" s="571" t="s">
        <v>236</v>
      </c>
      <c r="F338" s="572"/>
      <c r="G338" s="628" t="s">
        <v>237</v>
      </c>
      <c r="H338" s="628" t="s">
        <v>237</v>
      </c>
      <c r="I338" s="534"/>
    </row>
    <row r="339" spans="2:9">
      <c r="B339" s="693"/>
      <c r="C339" s="695"/>
      <c r="D339" s="699" t="s">
        <v>238</v>
      </c>
      <c r="E339" s="589" t="s">
        <v>236</v>
      </c>
      <c r="F339" s="596"/>
      <c r="G339" s="610" t="s">
        <v>239</v>
      </c>
      <c r="H339" s="610" t="s">
        <v>239</v>
      </c>
      <c r="I339" s="482"/>
    </row>
    <row r="340" spans="2:9">
      <c r="B340" s="693"/>
      <c r="C340" s="695"/>
      <c r="D340" s="700"/>
      <c r="E340" s="20"/>
      <c r="F340" s="65"/>
      <c r="G340" s="71"/>
      <c r="H340" s="71"/>
      <c r="I340" s="482"/>
    </row>
    <row r="341" spans="2:9" ht="15">
      <c r="B341" s="693"/>
      <c r="C341" s="695"/>
      <c r="D341" s="701" t="s">
        <v>240</v>
      </c>
      <c r="E341" s="568"/>
      <c r="F341" s="599"/>
      <c r="G341" s="609"/>
      <c r="H341" s="609"/>
      <c r="I341" s="482"/>
    </row>
    <row r="342" spans="2:9">
      <c r="B342" s="693"/>
      <c r="C342" s="695"/>
      <c r="D342" s="697" t="s">
        <v>228</v>
      </c>
      <c r="E342" s="571" t="s">
        <v>178</v>
      </c>
      <c r="F342" s="640"/>
      <c r="G342" s="620">
        <v>0</v>
      </c>
      <c r="H342" s="620">
        <v>0</v>
      </c>
      <c r="I342" s="482">
        <v>0</v>
      </c>
    </row>
    <row r="343" spans="2:9">
      <c r="B343" s="693"/>
      <c r="C343" s="695"/>
      <c r="D343" s="697" t="s">
        <v>229</v>
      </c>
      <c r="E343" s="571" t="s">
        <v>178</v>
      </c>
      <c r="F343" s="572"/>
      <c r="G343" s="642">
        <f>+IF(G$327="No",$I342,G342)</f>
        <v>0</v>
      </c>
      <c r="H343" s="642">
        <f>+IF(H$327="No",$I342,H342)</f>
        <v>0</v>
      </c>
      <c r="I343" s="550"/>
    </row>
    <row r="344" spans="2:9">
      <c r="B344" s="693"/>
      <c r="C344" s="695"/>
      <c r="D344" s="697" t="s">
        <v>230</v>
      </c>
      <c r="E344" s="571" t="s">
        <v>178</v>
      </c>
      <c r="F344" s="572"/>
      <c r="G344" s="624">
        <v>2.6679999999999999E-2</v>
      </c>
      <c r="H344" s="624">
        <v>2.6679999999999999E-2</v>
      </c>
      <c r="I344" s="482">
        <f ca="1">+_xlfn.XLOOKUP($G$14,Data_tables!$B:$B,Data_tables!$D:$D)</f>
        <v>4.1890000000000004E-2</v>
      </c>
    </row>
    <row r="345" spans="2:9">
      <c r="B345" s="693"/>
      <c r="C345" s="695"/>
      <c r="D345" s="697" t="s">
        <v>231</v>
      </c>
      <c r="E345" s="571" t="s">
        <v>178</v>
      </c>
      <c r="F345" s="572"/>
      <c r="G345" s="624">
        <v>2.2100000000000002E-2</v>
      </c>
      <c r="H345" s="624">
        <v>2.2100000000000002E-2</v>
      </c>
      <c r="I345" s="482">
        <f ca="1">+_xlfn.XLOOKUP($G$14,Data_tables!$B:$B,Data_tables!$E:$E)+Data_tables!$H$20</f>
        <v>1.55E-2</v>
      </c>
    </row>
    <row r="346" spans="2:9">
      <c r="B346" s="693"/>
      <c r="C346" s="695"/>
      <c r="D346" s="697" t="s">
        <v>232</v>
      </c>
      <c r="E346" s="571" t="s">
        <v>178</v>
      </c>
      <c r="F346" s="572"/>
      <c r="G346" s="633">
        <f ca="1">+IF(G$327="No",SUM($I344:$I345),SUM(G344:G345))</f>
        <v>5.7390000000000004E-2</v>
      </c>
      <c r="H346" s="642">
        <f ca="1">+IF(H$327="No",SUM($I344:$I345),SUM(H344:H345))</f>
        <v>5.7390000000000004E-2</v>
      </c>
      <c r="I346" s="550"/>
    </row>
    <row r="347" spans="2:9">
      <c r="B347" s="693"/>
      <c r="C347" s="695"/>
      <c r="D347" s="697" t="s">
        <v>233</v>
      </c>
      <c r="E347" s="571" t="s">
        <v>198</v>
      </c>
      <c r="F347" s="572"/>
      <c r="G347" s="595">
        <v>20</v>
      </c>
      <c r="H347" s="595">
        <v>20</v>
      </c>
      <c r="I347" s="534">
        <f>+$G$42</f>
        <v>15</v>
      </c>
    </row>
    <row r="348" spans="2:9">
      <c r="B348" s="693"/>
      <c r="C348" s="695"/>
      <c r="D348" s="697" t="s">
        <v>234</v>
      </c>
      <c r="E348" s="571" t="s">
        <v>198</v>
      </c>
      <c r="F348" s="572"/>
      <c r="G348" s="628">
        <f>+IF(G$327="No",$I347,G347)</f>
        <v>15</v>
      </c>
      <c r="H348" s="628">
        <f>+IF(H$327="No",$I347,H347)</f>
        <v>15</v>
      </c>
      <c r="I348" s="550"/>
    </row>
    <row r="349" spans="2:9">
      <c r="B349" s="693"/>
      <c r="C349" s="695"/>
      <c r="D349" s="697" t="s">
        <v>235</v>
      </c>
      <c r="E349" s="571" t="s">
        <v>236</v>
      </c>
      <c r="F349" s="572"/>
      <c r="G349" s="628" t="s">
        <v>237</v>
      </c>
      <c r="H349" s="628" t="s">
        <v>237</v>
      </c>
      <c r="I349" s="482"/>
    </row>
    <row r="350" spans="2:9">
      <c r="B350" s="693"/>
      <c r="C350" s="695"/>
      <c r="D350" s="699" t="s">
        <v>238</v>
      </c>
      <c r="E350" s="589" t="s">
        <v>236</v>
      </c>
      <c r="F350" s="596"/>
      <c r="G350" s="610" t="s">
        <v>239</v>
      </c>
      <c r="H350" s="610" t="s">
        <v>239</v>
      </c>
      <c r="I350" s="482"/>
    </row>
    <row r="351" spans="2:9">
      <c r="B351" s="693"/>
      <c r="C351" s="695"/>
      <c r="D351" s="700"/>
      <c r="E351" s="20"/>
      <c r="F351" s="84"/>
      <c r="G351" s="20"/>
      <c r="H351" s="20"/>
      <c r="I351" s="482"/>
    </row>
    <row r="352" spans="2:9">
      <c r="B352" s="693"/>
      <c r="C352" s="695"/>
      <c r="D352" s="700" t="s">
        <v>241</v>
      </c>
      <c r="E352" s="20" t="s">
        <v>178</v>
      </c>
      <c r="F352" s="84"/>
      <c r="G352" s="93">
        <f>1-G343-G332</f>
        <v>0.4</v>
      </c>
      <c r="H352" s="93">
        <f>1-H343-H332</f>
        <v>0.4</v>
      </c>
      <c r="I352" s="482"/>
    </row>
    <row r="353" spans="1:9">
      <c r="B353" s="693"/>
      <c r="C353" s="695"/>
      <c r="D353" s="700"/>
    </row>
    <row r="354" spans="1:9">
      <c r="B354" s="693"/>
      <c r="C354" s="695"/>
      <c r="D354" s="697" t="s">
        <v>242</v>
      </c>
      <c r="E354" s="571" t="s">
        <v>168</v>
      </c>
      <c r="F354" s="572" t="s">
        <v>139</v>
      </c>
      <c r="G354" s="618" t="s">
        <v>144</v>
      </c>
      <c r="H354" s="618" t="s">
        <v>144</v>
      </c>
      <c r="I354" s="482"/>
    </row>
    <row r="355" spans="1:9">
      <c r="B355" s="693"/>
      <c r="C355" s="695"/>
      <c r="D355" s="697" t="s">
        <v>243</v>
      </c>
      <c r="E355" s="571" t="s">
        <v>178</v>
      </c>
      <c r="F355" s="572"/>
      <c r="G355" s="624">
        <v>5.8000000000000003E-2</v>
      </c>
      <c r="H355" s="624">
        <v>5.8000000000000003E-2</v>
      </c>
      <c r="I355" s="482"/>
    </row>
    <row r="356" spans="1:9">
      <c r="B356" s="693"/>
      <c r="C356" s="695"/>
      <c r="D356" s="697" t="s">
        <v>244</v>
      </c>
      <c r="E356" s="571" t="s">
        <v>178</v>
      </c>
      <c r="F356" s="572"/>
      <c r="G356" s="633">
        <f ca="1">IF(G354="Yes",G355,$I356)</f>
        <v>4.1890000000000004E-2</v>
      </c>
      <c r="H356" s="633">
        <f ca="1">IF(H354="Yes",H355,$I356)</f>
        <v>4.1890000000000004E-2</v>
      </c>
      <c r="I356" s="482">
        <f ca="1">+_xlfn.XLOOKUP($G$14,Data_tables!$B:$B,Data_tables!$D:$D)</f>
        <v>4.1890000000000004E-2</v>
      </c>
    </row>
    <row r="357" spans="1:9">
      <c r="B357" s="693"/>
      <c r="C357" s="695"/>
      <c r="D357" s="696" t="s">
        <v>245</v>
      </c>
      <c r="E357" s="571" t="s">
        <v>173</v>
      </c>
      <c r="F357" s="572"/>
      <c r="G357" s="612" t="s">
        <v>144</v>
      </c>
      <c r="H357" s="482"/>
      <c r="I357" s="482"/>
    </row>
    <row r="358" spans="1:9">
      <c r="B358" s="693"/>
      <c r="C358" s="695"/>
      <c r="D358" s="697" t="s">
        <v>246</v>
      </c>
      <c r="E358" s="571" t="s">
        <v>178</v>
      </c>
      <c r="F358" s="572"/>
      <c r="G358" s="624">
        <v>2.7E-2</v>
      </c>
      <c r="H358" s="650"/>
      <c r="I358" s="482"/>
    </row>
    <row r="359" spans="1:9">
      <c r="B359" s="693"/>
      <c r="C359" s="695"/>
      <c r="D359" s="699" t="s">
        <v>247</v>
      </c>
      <c r="E359" s="589" t="s">
        <v>178</v>
      </c>
      <c r="F359" s="596"/>
      <c r="G359" s="634">
        <f ca="1">+IF($G$16="No",G346,IF(G357="Yes",G358,$I359))</f>
        <v>4.1890000000000004E-2</v>
      </c>
      <c r="H359" s="635"/>
      <c r="I359" s="482">
        <f ca="1">+_xlfn.XLOOKUP($G$14,Data_tables!$B:$B,Data_tables!$D:$D)</f>
        <v>4.1890000000000004E-2</v>
      </c>
    </row>
    <row r="360" spans="1:9" ht="15">
      <c r="B360" s="693"/>
      <c r="C360" s="695"/>
      <c r="D360" s="702"/>
      <c r="E360" s="20"/>
      <c r="F360" s="84"/>
      <c r="G360" s="107">
        <f ca="1">+SUM(Calculation!H56:BY56)</f>
        <v>-637549563.82094884</v>
      </c>
      <c r="H360" s="108">
        <f ca="1">+G361</f>
        <v>4.1890000000000004E-2</v>
      </c>
      <c r="I360" s="482"/>
    </row>
    <row r="361" spans="1:9">
      <c r="B361" s="693"/>
      <c r="C361" s="695"/>
      <c r="D361" s="700" t="s">
        <v>319</v>
      </c>
      <c r="E361" s="20" t="s">
        <v>249</v>
      </c>
      <c r="F361" s="84"/>
      <c r="G361" s="108">
        <f ca="1">+$G$359</f>
        <v>4.1890000000000004E-2</v>
      </c>
      <c r="H361" s="109">
        <f t="dataTable" ref="H361" dt2D="1" dtr="1" r1="G335" r2="G346" ca="1"/>
        <v>-613329887.18680418</v>
      </c>
      <c r="I361" s="482"/>
    </row>
    <row r="362" spans="1:9">
      <c r="F362" s="83"/>
      <c r="H362" s="26"/>
      <c r="I362" s="482"/>
    </row>
    <row r="363" spans="1:9">
      <c r="F363" s="83"/>
      <c r="H363" s="26"/>
      <c r="I363" s="482"/>
    </row>
    <row r="364" spans="1:9">
      <c r="F364" s="83"/>
      <c r="H364" s="26"/>
      <c r="I364" s="482"/>
    </row>
    <row r="365" spans="1:9" ht="15">
      <c r="A365" s="22" t="s">
        <v>320</v>
      </c>
      <c r="F365" s="83"/>
      <c r="H365" s="26"/>
      <c r="I365" s="482"/>
    </row>
    <row r="366" spans="1:9" ht="15">
      <c r="A366" s="22"/>
      <c r="F366" s="83"/>
      <c r="H366" s="26"/>
      <c r="I366" s="482"/>
    </row>
    <row r="367" spans="1:9" ht="15">
      <c r="A367" s="22"/>
      <c r="F367" s="83"/>
      <c r="H367" s="26"/>
      <c r="I367" s="482"/>
    </row>
    <row r="368" spans="1:9" ht="15">
      <c r="B368" s="565" t="s">
        <v>321</v>
      </c>
      <c r="C368" s="558"/>
      <c r="D368" s="714"/>
      <c r="F368" s="83"/>
      <c r="H368" s="26"/>
      <c r="I368" s="482"/>
    </row>
    <row r="369" spans="2:9" ht="15">
      <c r="B369" s="565"/>
      <c r="C369" s="558" t="s">
        <v>322</v>
      </c>
      <c r="D369" s="714"/>
      <c r="F369" s="83"/>
      <c r="H369" s="26"/>
      <c r="I369" s="482"/>
    </row>
    <row r="370" spans="2:9">
      <c r="B370" s="566"/>
      <c r="C370" s="559"/>
      <c r="D370" s="757" t="s">
        <v>323</v>
      </c>
      <c r="E370" s="20" t="s">
        <v>324</v>
      </c>
      <c r="F370" s="84"/>
      <c r="G370" s="758">
        <f>+G288</f>
        <v>17360.937499999996</v>
      </c>
      <c r="H370" s="758">
        <f>+H288</f>
        <v>17360.9375</v>
      </c>
      <c r="I370" s="482"/>
    </row>
    <row r="371" spans="2:9">
      <c r="B371" s="566"/>
      <c r="C371" s="559"/>
      <c r="D371" s="715" t="str">
        <f>+D25</f>
        <v>Fuel production characteristic - LHV</v>
      </c>
      <c r="E371" s="571" t="str">
        <f>+E25</f>
        <v>GJ/ton</v>
      </c>
      <c r="F371" s="572"/>
      <c r="G371" s="760">
        <f>+G25</f>
        <v>18.8</v>
      </c>
      <c r="H371" s="760">
        <f>+H25</f>
        <v>41.2</v>
      </c>
      <c r="I371" s="482"/>
    </row>
    <row r="372" spans="2:9">
      <c r="B372" s="566"/>
      <c r="C372" s="559"/>
      <c r="D372" s="715" t="s">
        <v>325</v>
      </c>
      <c r="E372" s="571" t="s">
        <v>115</v>
      </c>
      <c r="F372" s="572" t="s">
        <v>139</v>
      </c>
      <c r="G372" s="644"/>
      <c r="H372" s="620" t="s">
        <v>180</v>
      </c>
      <c r="I372" s="82"/>
    </row>
    <row r="373" spans="2:9">
      <c r="B373" s="566"/>
      <c r="C373" s="559"/>
      <c r="D373" s="715" t="s">
        <v>326</v>
      </c>
      <c r="E373" s="571" t="s">
        <v>115</v>
      </c>
      <c r="F373" s="572" t="s">
        <v>139</v>
      </c>
      <c r="G373" s="644"/>
      <c r="H373" s="620" t="s">
        <v>327</v>
      </c>
      <c r="I373" s="82"/>
    </row>
    <row r="374" spans="2:9" ht="15">
      <c r="B374" s="566"/>
      <c r="C374" s="558" t="s">
        <v>328</v>
      </c>
      <c r="D374" s="759"/>
      <c r="E374" s="571"/>
      <c r="F374" s="640"/>
      <c r="G374" s="666"/>
      <c r="H374" s="666"/>
      <c r="I374" s="482"/>
    </row>
    <row r="375" spans="2:9" ht="15">
      <c r="B375" s="566"/>
      <c r="C375" s="558"/>
      <c r="D375" s="715" t="s">
        <v>329</v>
      </c>
      <c r="E375" s="571" t="s">
        <v>115</v>
      </c>
      <c r="F375" s="572" t="s">
        <v>139</v>
      </c>
      <c r="G375" s="620" t="s">
        <v>139</v>
      </c>
      <c r="H375" s="666"/>
      <c r="I375" s="482"/>
    </row>
    <row r="376" spans="2:9">
      <c r="B376" s="566"/>
      <c r="C376" s="559"/>
      <c r="D376" s="715" t="s">
        <v>330</v>
      </c>
      <c r="E376" s="571"/>
      <c r="F376" s="572"/>
      <c r="G376" s="642" t="str">
        <f>+IF(Quick_assumption!$E$5="Quick calculation",Quick_assumption!$E$18,G375)</f>
        <v>Yes</v>
      </c>
      <c r="H376" s="642" t="str">
        <f>+G376</f>
        <v>Yes</v>
      </c>
      <c r="I376" s="482"/>
    </row>
    <row r="377" spans="2:9">
      <c r="B377" s="566"/>
      <c r="C377" s="559"/>
      <c r="D377" s="716" t="s">
        <v>331</v>
      </c>
      <c r="E377" s="589" t="s">
        <v>115</v>
      </c>
      <c r="F377" s="596"/>
      <c r="G377" s="637" t="s">
        <v>332</v>
      </c>
      <c r="H377" s="652" t="str">
        <f>+G377</f>
        <v>No Reward</v>
      </c>
      <c r="I377" s="482"/>
    </row>
    <row r="378" spans="2:9" ht="15">
      <c r="B378" s="566"/>
      <c r="C378" s="558" t="s">
        <v>333</v>
      </c>
      <c r="D378" s="714"/>
      <c r="E378" s="568"/>
      <c r="F378" s="569"/>
      <c r="H378" s="331"/>
      <c r="I378" s="482"/>
    </row>
    <row r="379" spans="2:9" ht="15">
      <c r="B379" s="566"/>
      <c r="C379" s="558"/>
      <c r="D379" s="715" t="s">
        <v>334</v>
      </c>
      <c r="E379" s="571" t="s">
        <v>115</v>
      </c>
      <c r="F379" s="572" t="s">
        <v>139</v>
      </c>
      <c r="G379" s="620" t="s">
        <v>144</v>
      </c>
      <c r="H379" s="654"/>
      <c r="I379" s="482"/>
    </row>
    <row r="380" spans="2:9">
      <c r="B380" s="566"/>
      <c r="C380" s="559"/>
      <c r="D380" s="715" t="s">
        <v>335</v>
      </c>
      <c r="E380" s="571"/>
      <c r="F380" s="572"/>
      <c r="G380" s="654" t="str">
        <f>+IF(Quick_assumption!$E$5="Quick calculation",Quick_assumption!E19,G379)</f>
        <v>No</v>
      </c>
      <c r="H380" s="654"/>
      <c r="I380" s="482"/>
    </row>
    <row r="381" spans="2:9">
      <c r="B381" s="566"/>
      <c r="C381" s="559"/>
      <c r="D381" s="714" t="s">
        <v>336</v>
      </c>
      <c r="E381" s="568" t="s">
        <v>115</v>
      </c>
      <c r="F381" s="572"/>
      <c r="G381" s="584" t="s">
        <v>144</v>
      </c>
      <c r="H381" s="653"/>
      <c r="I381" s="482"/>
    </row>
    <row r="382" spans="2:9">
      <c r="B382" s="566"/>
      <c r="C382" s="559"/>
      <c r="D382" s="715" t="s">
        <v>337</v>
      </c>
      <c r="E382" s="571" t="s">
        <v>338</v>
      </c>
      <c r="F382" s="572"/>
      <c r="G382" s="655">
        <v>2041</v>
      </c>
      <c r="H382" s="654"/>
      <c r="I382" s="482"/>
    </row>
    <row r="383" spans="2:9">
      <c r="B383" s="566"/>
      <c r="C383" s="559"/>
      <c r="D383" s="715" t="s">
        <v>339</v>
      </c>
      <c r="E383" s="656" t="str">
        <f>+$G$8&amp;"/kg of hydrogen"</f>
        <v>USD/kg of hydrogen</v>
      </c>
      <c r="F383" s="572"/>
      <c r="G383" s="641">
        <v>3</v>
      </c>
      <c r="H383" s="654"/>
      <c r="I383" s="534">
        <v>2</v>
      </c>
    </row>
    <row r="384" spans="2:9">
      <c r="B384" s="566"/>
      <c r="C384" s="559"/>
      <c r="D384" s="716" t="s">
        <v>340</v>
      </c>
      <c r="E384" s="657" t="str">
        <f>+$G$8&amp;"/kg of hydrogen"</f>
        <v>USD/kg of hydrogen</v>
      </c>
      <c r="F384" s="596"/>
      <c r="G384" s="659">
        <f>+IF(G381="No",$I383,G383)</f>
        <v>2</v>
      </c>
      <c r="H384" s="658"/>
      <c r="I384" s="550"/>
    </row>
    <row r="385" spans="1:9" ht="15">
      <c r="B385" s="566"/>
      <c r="C385" s="558" t="s">
        <v>341</v>
      </c>
      <c r="D385" s="714"/>
      <c r="E385" s="568"/>
      <c r="F385" s="569"/>
      <c r="H385" s="331"/>
      <c r="I385" s="482"/>
    </row>
    <row r="386" spans="1:9" ht="15">
      <c r="B386" s="566"/>
      <c r="C386" s="558"/>
      <c r="D386" s="715" t="s">
        <v>342</v>
      </c>
      <c r="E386" s="571" t="s">
        <v>115</v>
      </c>
      <c r="F386" s="572" t="s">
        <v>139</v>
      </c>
      <c r="G386" s="584" t="s">
        <v>144</v>
      </c>
      <c r="H386" s="83"/>
      <c r="I386" s="482"/>
    </row>
    <row r="387" spans="1:9">
      <c r="B387" s="566"/>
      <c r="C387" s="559"/>
      <c r="D387" s="715" t="s">
        <v>343</v>
      </c>
      <c r="E387" s="571"/>
      <c r="F387" s="572"/>
      <c r="G387" s="651" t="str">
        <f>+IF(Quick_assumption!$E$5="Quick calculation",Quick_assumption!$E$20,G386)</f>
        <v>No</v>
      </c>
      <c r="H387" s="651" t="str">
        <f>+G387</f>
        <v>No</v>
      </c>
      <c r="I387" s="482"/>
    </row>
    <row r="388" spans="1:9">
      <c r="B388" s="566"/>
      <c r="C388" s="559"/>
      <c r="D388" s="714" t="s">
        <v>344</v>
      </c>
      <c r="E388" s="568" t="s">
        <v>338</v>
      </c>
      <c r="F388" s="569"/>
      <c r="G388" s="655">
        <v>2050</v>
      </c>
      <c r="H388" s="660">
        <f>+G388</f>
        <v>2050</v>
      </c>
      <c r="I388" s="482"/>
    </row>
    <row r="389" spans="1:9">
      <c r="B389" s="566"/>
      <c r="C389" s="559"/>
      <c r="D389" s="715" t="s">
        <v>345</v>
      </c>
      <c r="E389" s="571" t="s">
        <v>346</v>
      </c>
      <c r="F389" s="572"/>
      <c r="G389" s="587">
        <f>+'FuelEU and ETS'!$L$48</f>
        <v>2400</v>
      </c>
      <c r="H389" s="587">
        <f>+G389</f>
        <v>2400</v>
      </c>
      <c r="I389" s="482"/>
    </row>
    <row r="390" spans="1:9">
      <c r="B390" s="566"/>
      <c r="C390" s="559"/>
      <c r="D390" s="716" t="s">
        <v>347</v>
      </c>
      <c r="E390" s="661" t="s">
        <v>178</v>
      </c>
      <c r="F390" s="662"/>
      <c r="G390" s="663">
        <v>1</v>
      </c>
      <c r="H390" s="658"/>
      <c r="I390" s="550"/>
    </row>
    <row r="391" spans="1:9" ht="15">
      <c r="B391" s="566"/>
      <c r="C391" s="558" t="s">
        <v>348</v>
      </c>
      <c r="D391" s="714"/>
      <c r="E391" s="568"/>
      <c r="F391" s="569"/>
      <c r="H391" s="331"/>
      <c r="I391" s="482"/>
    </row>
    <row r="392" spans="1:9" ht="15">
      <c r="B392" s="566"/>
      <c r="C392" s="558"/>
      <c r="D392" s="715" t="s">
        <v>349</v>
      </c>
      <c r="E392" s="571" t="s">
        <v>115</v>
      </c>
      <c r="F392" s="572" t="s">
        <v>139</v>
      </c>
      <c r="G392" s="584" t="s">
        <v>144</v>
      </c>
      <c r="H392" s="651"/>
      <c r="I392" s="482"/>
    </row>
    <row r="393" spans="1:9">
      <c r="B393" s="566"/>
      <c r="C393" s="559"/>
      <c r="D393" s="715" t="s">
        <v>349</v>
      </c>
      <c r="E393" s="571"/>
      <c r="F393" s="572"/>
      <c r="G393" s="651" t="str">
        <f>+IF(Quick_assumption!$E$5="Quick calculation",Quick_assumption!$E$21,G392)</f>
        <v>No</v>
      </c>
      <c r="H393" s="651" t="str">
        <f>+G393</f>
        <v>No</v>
      </c>
      <c r="I393" s="482"/>
    </row>
    <row r="394" spans="1:9">
      <c r="B394" s="566"/>
      <c r="C394" s="559"/>
      <c r="D394" s="715" t="s">
        <v>347</v>
      </c>
      <c r="E394" s="670" t="s">
        <v>178</v>
      </c>
      <c r="F394" s="750"/>
      <c r="G394" s="632">
        <v>1</v>
      </c>
      <c r="H394" s="642"/>
      <c r="I394" s="482"/>
    </row>
    <row r="395" spans="1:9">
      <c r="D395" s="589"/>
      <c r="E395" s="589"/>
      <c r="F395" s="596"/>
      <c r="G395" s="583"/>
      <c r="H395" s="583"/>
      <c r="I395" s="482"/>
    </row>
    <row r="396" spans="1:9">
      <c r="D396" s="49"/>
      <c r="E396" s="20"/>
      <c r="F396" s="84"/>
      <c r="H396" s="26"/>
      <c r="I396" s="482"/>
    </row>
    <row r="397" spans="1:9" ht="15">
      <c r="B397" s="22"/>
      <c r="F397" s="83"/>
      <c r="H397" s="60"/>
      <c r="I397" s="482"/>
    </row>
    <row r="398" spans="1:9" ht="15">
      <c r="B398" s="22"/>
      <c r="F398" s="83"/>
      <c r="H398" s="60"/>
      <c r="I398" s="482"/>
    </row>
    <row r="399" spans="1:9" ht="15">
      <c r="A399" s="22" t="s">
        <v>350</v>
      </c>
      <c r="B399" s="22"/>
      <c r="F399" s="83"/>
      <c r="H399" s="60"/>
      <c r="I399" s="482"/>
    </row>
    <row r="400" spans="1:9" ht="15">
      <c r="B400" s="717" t="s">
        <v>351</v>
      </c>
      <c r="C400" s="719"/>
      <c r="D400" s="709"/>
      <c r="F400" s="83"/>
      <c r="H400" s="60"/>
      <c r="I400" s="482"/>
    </row>
    <row r="401" spans="2:7" ht="15">
      <c r="B401" s="718"/>
      <c r="C401" s="719" t="s">
        <v>352</v>
      </c>
      <c r="D401" s="713"/>
      <c r="E401" s="20"/>
      <c r="F401" s="65"/>
      <c r="G401" s="60"/>
    </row>
    <row r="402" spans="2:7">
      <c r="B402" s="718"/>
      <c r="C402" s="720"/>
      <c r="D402" s="711" t="s">
        <v>353</v>
      </c>
      <c r="E402" s="571" t="s">
        <v>115</v>
      </c>
      <c r="F402" s="572" t="s">
        <v>139</v>
      </c>
      <c r="G402" s="665" t="s">
        <v>354</v>
      </c>
    </row>
    <row r="403" spans="2:7">
      <c r="B403" s="718"/>
      <c r="C403" s="720"/>
      <c r="D403" s="711" t="s">
        <v>355</v>
      </c>
      <c r="E403" s="571" t="s">
        <v>356</v>
      </c>
      <c r="F403" s="572"/>
      <c r="G403" s="592"/>
    </row>
    <row r="404" spans="2:7">
      <c r="B404" s="718"/>
      <c r="C404" s="720"/>
      <c r="D404" s="708" t="s">
        <v>357</v>
      </c>
      <c r="E404" s="589" t="s">
        <v>358</v>
      </c>
      <c r="F404" s="596"/>
      <c r="G404" s="667">
        <v>0</v>
      </c>
    </row>
    <row r="405" spans="2:7">
      <c r="B405" s="718"/>
      <c r="C405" s="720"/>
      <c r="D405" s="709"/>
    </row>
    <row r="406" spans="2:7">
      <c r="B406" s="718"/>
      <c r="C406" s="720"/>
      <c r="D406" s="711" t="s">
        <v>359</v>
      </c>
      <c r="E406" s="571" t="s">
        <v>115</v>
      </c>
      <c r="F406" s="572" t="s">
        <v>139</v>
      </c>
      <c r="G406" s="665" t="s">
        <v>360</v>
      </c>
    </row>
    <row r="407" spans="2:7">
      <c r="B407" s="718"/>
      <c r="C407" s="720"/>
      <c r="D407" s="711" t="s">
        <v>355</v>
      </c>
      <c r="E407" s="571" t="s">
        <v>361</v>
      </c>
      <c r="F407" s="572"/>
      <c r="G407" s="592">
        <v>0</v>
      </c>
    </row>
    <row r="408" spans="2:7">
      <c r="B408" s="718"/>
      <c r="C408" s="720"/>
      <c r="D408" s="711" t="s">
        <v>362</v>
      </c>
      <c r="E408" s="589" t="s">
        <v>358</v>
      </c>
      <c r="F408" s="572"/>
      <c r="G408" s="665">
        <v>0</v>
      </c>
    </row>
    <row r="409" spans="2:7">
      <c r="B409" s="718"/>
      <c r="C409" s="720"/>
      <c r="D409" s="708" t="s">
        <v>363</v>
      </c>
      <c r="E409" s="589" t="s">
        <v>178</v>
      </c>
      <c r="F409" s="596"/>
      <c r="G409" s="668">
        <f ca="1">+$G$106</f>
        <v>4.1890000000000004E-2</v>
      </c>
    </row>
    <row r="410" spans="2:7">
      <c r="B410" s="718"/>
      <c r="C410" s="720"/>
      <c r="D410" s="709"/>
      <c r="E410" s="20"/>
      <c r="F410" s="84"/>
      <c r="G410" s="99"/>
    </row>
    <row r="411" spans="2:7">
      <c r="B411" s="718"/>
      <c r="C411" s="720"/>
      <c r="D411" s="709"/>
      <c r="F411" s="83"/>
    </row>
    <row r="412" spans="2:7" ht="15">
      <c r="B412" s="718"/>
      <c r="C412" s="719" t="s">
        <v>364</v>
      </c>
      <c r="D412" s="713"/>
      <c r="E412" s="20"/>
      <c r="F412" s="65"/>
      <c r="G412" s="60"/>
    </row>
    <row r="413" spans="2:7" ht="15">
      <c r="B413" s="718"/>
      <c r="C413" s="719"/>
      <c r="D413" s="710" t="s">
        <v>365</v>
      </c>
      <c r="E413" s="568"/>
      <c r="F413" s="599"/>
      <c r="G413" s="664"/>
    </row>
    <row r="414" spans="2:7">
      <c r="B414" s="718"/>
      <c r="C414" s="720"/>
      <c r="D414" s="711" t="s">
        <v>353</v>
      </c>
      <c r="E414" s="571" t="s">
        <v>115</v>
      </c>
      <c r="F414" s="572" t="s">
        <v>139</v>
      </c>
      <c r="G414" s="665" t="s">
        <v>360</v>
      </c>
    </row>
    <row r="415" spans="2:7">
      <c r="B415" s="718"/>
      <c r="C415" s="720"/>
      <c r="D415" s="711" t="s">
        <v>355</v>
      </c>
      <c r="E415" s="571" t="s">
        <v>356</v>
      </c>
      <c r="F415" s="572"/>
      <c r="G415" s="592"/>
    </row>
    <row r="416" spans="2:7">
      <c r="B416" s="718"/>
      <c r="C416" s="720"/>
      <c r="D416" s="708" t="s">
        <v>357</v>
      </c>
      <c r="E416" s="589" t="s">
        <v>358</v>
      </c>
      <c r="F416" s="596"/>
      <c r="G416" s="667">
        <v>0.5</v>
      </c>
    </row>
    <row r="417" spans="2:7" collapsed="1">
      <c r="B417" s="718"/>
      <c r="C417" s="720"/>
      <c r="D417" s="709"/>
    </row>
    <row r="418" spans="2:7">
      <c r="B418" s="718"/>
      <c r="C418" s="720"/>
      <c r="D418" s="711" t="s">
        <v>359</v>
      </c>
      <c r="E418" s="571" t="s">
        <v>115</v>
      </c>
      <c r="F418" s="572" t="s">
        <v>139</v>
      </c>
      <c r="G418" s="665" t="s">
        <v>360</v>
      </c>
    </row>
    <row r="419" spans="2:7">
      <c r="B419" s="718"/>
      <c r="C419" s="720"/>
      <c r="D419" s="711" t="s">
        <v>355</v>
      </c>
      <c r="E419" s="571" t="s">
        <v>361</v>
      </c>
      <c r="F419" s="572"/>
      <c r="G419" s="592"/>
    </row>
    <row r="420" spans="2:7">
      <c r="B420" s="718"/>
      <c r="C420" s="720"/>
      <c r="D420" s="711" t="s">
        <v>362</v>
      </c>
      <c r="E420" s="589" t="s">
        <v>358</v>
      </c>
      <c r="F420" s="572"/>
      <c r="G420" s="665">
        <v>0</v>
      </c>
    </row>
    <row r="421" spans="2:7">
      <c r="B421" s="718"/>
      <c r="C421" s="720"/>
      <c r="D421" s="708" t="s">
        <v>363</v>
      </c>
      <c r="E421" s="589" t="s">
        <v>178</v>
      </c>
      <c r="F421" s="596"/>
      <c r="G421" s="668">
        <f ca="1">+$G$251</f>
        <v>4.1890000000000004E-2</v>
      </c>
    </row>
    <row r="422" spans="2:7">
      <c r="B422" s="718"/>
      <c r="C422" s="720"/>
      <c r="D422" s="709"/>
      <c r="E422" s="20"/>
      <c r="F422" s="84"/>
      <c r="G422" s="99"/>
    </row>
    <row r="423" spans="2:7" ht="15">
      <c r="B423" s="718"/>
      <c r="C423" s="720"/>
      <c r="D423" s="710" t="s">
        <v>366</v>
      </c>
      <c r="E423" s="568"/>
      <c r="F423" s="569"/>
      <c r="G423" s="677"/>
    </row>
    <row r="424" spans="2:7">
      <c r="B424" s="718"/>
      <c r="C424" s="720"/>
      <c r="D424" s="711" t="s">
        <v>353</v>
      </c>
      <c r="E424" s="571" t="s">
        <v>115</v>
      </c>
      <c r="F424" s="572" t="s">
        <v>139</v>
      </c>
      <c r="G424" s="665" t="s">
        <v>360</v>
      </c>
    </row>
    <row r="425" spans="2:7">
      <c r="B425" s="718"/>
      <c r="C425" s="720"/>
      <c r="D425" s="711" t="s">
        <v>355</v>
      </c>
      <c r="E425" s="571" t="s">
        <v>356</v>
      </c>
      <c r="F425" s="572"/>
      <c r="G425" s="592">
        <v>0</v>
      </c>
    </row>
    <row r="426" spans="2:7">
      <c r="B426" s="718"/>
      <c r="C426" s="720"/>
      <c r="D426" s="708" t="s">
        <v>357</v>
      </c>
      <c r="E426" s="589" t="s">
        <v>358</v>
      </c>
      <c r="F426" s="596"/>
      <c r="G426" s="667">
        <v>0</v>
      </c>
    </row>
    <row r="427" spans="2:7" collapsed="1">
      <c r="B427" s="718"/>
      <c r="C427" s="720"/>
      <c r="D427" s="709"/>
    </row>
    <row r="428" spans="2:7">
      <c r="B428" s="718"/>
      <c r="C428" s="720"/>
      <c r="D428" s="711" t="s">
        <v>359</v>
      </c>
      <c r="E428" s="571" t="s">
        <v>115</v>
      </c>
      <c r="F428" s="572" t="s">
        <v>139</v>
      </c>
      <c r="G428" s="665" t="s">
        <v>360</v>
      </c>
    </row>
    <row r="429" spans="2:7">
      <c r="B429" s="718"/>
      <c r="C429" s="720"/>
      <c r="D429" s="711" t="s">
        <v>355</v>
      </c>
      <c r="E429" s="571" t="s">
        <v>361</v>
      </c>
      <c r="F429" s="572"/>
      <c r="G429" s="592"/>
    </row>
    <row r="430" spans="2:7">
      <c r="B430" s="718"/>
      <c r="C430" s="720"/>
      <c r="D430" s="711" t="s">
        <v>362</v>
      </c>
      <c r="E430" s="589" t="s">
        <v>358</v>
      </c>
      <c r="F430" s="572"/>
      <c r="G430" s="665">
        <v>0</v>
      </c>
    </row>
    <row r="431" spans="2:7">
      <c r="B431" s="718"/>
      <c r="C431" s="720"/>
      <c r="D431" s="708" t="s">
        <v>363</v>
      </c>
      <c r="E431" s="589" t="s">
        <v>178</v>
      </c>
      <c r="F431" s="596"/>
      <c r="G431" s="668">
        <f ca="1">+$G$251</f>
        <v>4.1890000000000004E-2</v>
      </c>
    </row>
    <row r="432" spans="2:7">
      <c r="B432" s="718"/>
      <c r="C432" s="720"/>
      <c r="D432" s="709"/>
    </row>
    <row r="433" spans="2:7">
      <c r="B433" s="718"/>
      <c r="C433" s="720"/>
      <c r="D433" s="709"/>
    </row>
    <row r="434" spans="2:7">
      <c r="B434" s="718"/>
      <c r="C434" s="720"/>
      <c r="D434" s="709"/>
    </row>
    <row r="435" spans="2:7" ht="15">
      <c r="B435" s="718"/>
      <c r="C435" s="719" t="s">
        <v>367</v>
      </c>
      <c r="D435" s="713"/>
      <c r="E435" s="20"/>
      <c r="F435" s="65"/>
      <c r="G435" s="60"/>
    </row>
    <row r="436" spans="2:7">
      <c r="B436" s="718"/>
      <c r="C436" s="720"/>
      <c r="D436" s="711" t="s">
        <v>353</v>
      </c>
      <c r="E436" s="571" t="s">
        <v>115</v>
      </c>
      <c r="F436" s="572" t="s">
        <v>139</v>
      </c>
      <c r="G436" s="665" t="s">
        <v>360</v>
      </c>
    </row>
    <row r="437" spans="2:7">
      <c r="B437" s="718"/>
      <c r="C437" s="720"/>
      <c r="D437" s="711" t="s">
        <v>355</v>
      </c>
      <c r="E437" s="571" t="s">
        <v>356</v>
      </c>
      <c r="F437" s="572"/>
      <c r="G437" s="592"/>
    </row>
    <row r="438" spans="2:7">
      <c r="B438" s="718"/>
      <c r="C438" s="720"/>
      <c r="D438" s="708" t="s">
        <v>357</v>
      </c>
      <c r="E438" s="589" t="s">
        <v>358</v>
      </c>
      <c r="F438" s="596"/>
      <c r="G438" s="667">
        <v>0.5</v>
      </c>
    </row>
    <row r="439" spans="2:7" collapsed="1">
      <c r="B439" s="718"/>
      <c r="C439" s="720"/>
      <c r="D439" s="709"/>
    </row>
    <row r="440" spans="2:7">
      <c r="B440" s="718"/>
      <c r="C440" s="720"/>
      <c r="D440" s="711" t="s">
        <v>359</v>
      </c>
      <c r="E440" s="571" t="s">
        <v>115</v>
      </c>
      <c r="F440" s="572" t="s">
        <v>139</v>
      </c>
      <c r="G440" s="665" t="s">
        <v>360</v>
      </c>
    </row>
    <row r="441" spans="2:7">
      <c r="B441" s="718"/>
      <c r="C441" s="720"/>
      <c r="D441" s="711" t="s">
        <v>355</v>
      </c>
      <c r="E441" s="571" t="s">
        <v>361</v>
      </c>
      <c r="F441" s="572"/>
      <c r="G441" s="592">
        <v>10000</v>
      </c>
    </row>
    <row r="442" spans="2:7">
      <c r="B442" s="718"/>
      <c r="C442" s="720"/>
      <c r="D442" s="711" t="s">
        <v>362</v>
      </c>
      <c r="E442" s="589" t="s">
        <v>358</v>
      </c>
      <c r="F442" s="572"/>
      <c r="G442" s="665">
        <v>0</v>
      </c>
    </row>
    <row r="443" spans="2:7">
      <c r="B443" s="718"/>
      <c r="C443" s="720"/>
      <c r="D443" s="708" t="s">
        <v>363</v>
      </c>
      <c r="E443" s="589" t="s">
        <v>178</v>
      </c>
      <c r="F443" s="596"/>
      <c r="G443" s="679">
        <f ca="1">+$G$356</f>
        <v>4.1890000000000004E-2</v>
      </c>
    </row>
    <row r="444" spans="2:7">
      <c r="B444" s="718"/>
      <c r="C444" s="720"/>
      <c r="D444" s="708"/>
      <c r="E444" s="589"/>
      <c r="F444" s="596"/>
      <c r="G444" s="679"/>
    </row>
    <row r="445" spans="2:7" ht="15">
      <c r="B445" s="718"/>
      <c r="C445" s="719" t="s">
        <v>368</v>
      </c>
      <c r="D445" s="707"/>
      <c r="E445" s="568"/>
      <c r="F445" s="569"/>
      <c r="G445" s="591"/>
    </row>
    <row r="446" spans="2:7" ht="15">
      <c r="B446" s="718"/>
      <c r="C446" s="719"/>
      <c r="D446" s="711" t="s">
        <v>369</v>
      </c>
      <c r="E446" s="571" t="s">
        <v>115</v>
      </c>
      <c r="F446" s="572" t="s">
        <v>139</v>
      </c>
      <c r="G446" s="612" t="s">
        <v>144</v>
      </c>
    </row>
    <row r="447" spans="2:7">
      <c r="B447" s="718"/>
      <c r="C447" s="720"/>
      <c r="D447" s="711" t="s">
        <v>370</v>
      </c>
      <c r="E447" s="571" t="s">
        <v>159</v>
      </c>
      <c r="F447" s="572"/>
      <c r="G447" s="641">
        <v>100000</v>
      </c>
    </row>
    <row r="448" spans="2:7">
      <c r="B448" s="718"/>
      <c r="C448" s="720"/>
      <c r="D448" s="707" t="s">
        <v>371</v>
      </c>
      <c r="E448" s="568" t="s">
        <v>178</v>
      </c>
      <c r="F448" s="569"/>
      <c r="G448" s="749">
        <v>0.05</v>
      </c>
    </row>
    <row r="454" spans="2:8" ht="15">
      <c r="B454" s="692" t="s">
        <v>372</v>
      </c>
      <c r="C454" s="694"/>
      <c r="D454" s="696"/>
      <c r="E454" s="20"/>
      <c r="F454" s="65"/>
      <c r="G454" s="60"/>
      <c r="H454" s="52"/>
    </row>
    <row r="455" spans="2:8" ht="15">
      <c r="B455" s="692"/>
      <c r="C455" s="694"/>
      <c r="D455" s="696"/>
      <c r="E455" s="568"/>
      <c r="F455" s="599"/>
      <c r="G455" s="664"/>
      <c r="H455" s="677"/>
    </row>
    <row r="456" spans="2:8" ht="15">
      <c r="B456" s="692"/>
      <c r="C456" s="694" t="s">
        <v>373</v>
      </c>
      <c r="D456" s="697" t="s">
        <v>374</v>
      </c>
      <c r="E456" s="571" t="s">
        <v>115</v>
      </c>
      <c r="F456" s="572" t="s">
        <v>139</v>
      </c>
      <c r="G456" s="665" t="s">
        <v>375</v>
      </c>
      <c r="H456" s="678"/>
    </row>
    <row r="457" spans="2:8" ht="15">
      <c r="B457" s="692"/>
      <c r="C457" s="694"/>
      <c r="D457" s="697" t="s">
        <v>376</v>
      </c>
      <c r="E457" s="571"/>
      <c r="F457" s="572"/>
      <c r="G457" s="642" t="str">
        <f>+IF(Quick_assumption!$E$5="Quick calculation","Based on incremental cost gap",G456)</f>
        <v>Percentage on top of fossil costs</v>
      </c>
      <c r="H457" s="678"/>
    </row>
    <row r="458" spans="2:8" ht="15">
      <c r="B458" s="693"/>
      <c r="C458" s="694"/>
      <c r="D458" s="696" t="s">
        <v>377</v>
      </c>
      <c r="E458" s="568" t="s">
        <v>178</v>
      </c>
      <c r="F458" s="569" t="str">
        <f>+IF(G457="Percentage on top of fossil costs","Yes","")</f>
        <v>Yes</v>
      </c>
      <c r="G458" s="768">
        <v>0.1</v>
      </c>
      <c r="H458" s="677"/>
    </row>
    <row r="459" spans="2:8" ht="15">
      <c r="B459" s="693"/>
      <c r="C459" s="694"/>
      <c r="D459" s="697"/>
      <c r="E459" s="571"/>
      <c r="F459" s="572" t="str">
        <f>+IF(G457="Percentage on top of fossil costs","Yes","")</f>
        <v>Yes</v>
      </c>
      <c r="G459" s="669" t="s">
        <v>378</v>
      </c>
      <c r="H459" s="678"/>
    </row>
    <row r="460" spans="2:8" ht="15">
      <c r="B460" s="693"/>
      <c r="C460" s="694"/>
      <c r="D460" s="697" t="s">
        <v>379</v>
      </c>
      <c r="E460" s="571" t="s">
        <v>380</v>
      </c>
      <c r="F460" s="572"/>
      <c r="G460" s="644" t="str">
        <f>+IF($G$459="Scenario 1","Yes","No")</f>
        <v>Yes</v>
      </c>
      <c r="H460" s="678"/>
    </row>
    <row r="461" spans="2:8" ht="15">
      <c r="B461" s="693"/>
      <c r="C461" s="694"/>
      <c r="D461" s="697" t="s">
        <v>381</v>
      </c>
      <c r="E461" s="571" t="s">
        <v>382</v>
      </c>
      <c r="F461" s="572"/>
      <c r="G461" s="644" t="str">
        <f>+IF($G$459="Scenario 2","Yes","No")</f>
        <v>No</v>
      </c>
      <c r="H461" s="678"/>
    </row>
    <row r="462" spans="2:8" ht="15">
      <c r="B462" s="693"/>
      <c r="C462" s="694"/>
      <c r="D462" s="697" t="s">
        <v>383</v>
      </c>
      <c r="E462" s="571" t="s">
        <v>384</v>
      </c>
      <c r="F462" s="572"/>
      <c r="G462" s="644" t="str">
        <f>+IF($G$459="Scenario 3","Yes","No")</f>
        <v>No</v>
      </c>
      <c r="H462" s="678"/>
    </row>
    <row r="463" spans="2:8" ht="15">
      <c r="B463" s="693"/>
      <c r="C463" s="694"/>
      <c r="D463" s="697" t="s">
        <v>385</v>
      </c>
      <c r="E463" s="571" t="s">
        <v>386</v>
      </c>
      <c r="F463" s="572"/>
      <c r="G463" s="644" t="str">
        <f>+IF($G$459="Scenario 4","Yes","No")</f>
        <v>No</v>
      </c>
      <c r="H463" s="678"/>
    </row>
    <row r="464" spans="2:8" ht="15">
      <c r="B464" s="692"/>
      <c r="C464" s="694"/>
      <c r="D464" s="697" t="s">
        <v>387</v>
      </c>
      <c r="E464" s="571" t="s">
        <v>388</v>
      </c>
      <c r="F464" s="640"/>
      <c r="G464" s="680">
        <f>+G268*G271*G276*G274</f>
        <v>2137500</v>
      </c>
      <c r="H464" s="680">
        <f>+H268*H271*H276*H274</f>
        <v>2137500</v>
      </c>
    </row>
    <row r="465" spans="2:8" ht="15">
      <c r="B465" s="692"/>
      <c r="C465" s="694"/>
      <c r="D465" s="697" t="s">
        <v>389</v>
      </c>
      <c r="E465" s="571" t="s">
        <v>388</v>
      </c>
      <c r="F465" s="572"/>
      <c r="G465" s="680">
        <f>+G271*G276*G268*G300*G274</f>
        <v>32062500</v>
      </c>
      <c r="H465" s="680">
        <f>+H271*H276*H268*H300*H274</f>
        <v>32062500</v>
      </c>
    </row>
    <row r="466" spans="2:8" ht="15">
      <c r="B466" s="692"/>
      <c r="C466" s="694"/>
      <c r="D466" s="697" t="s">
        <v>390</v>
      </c>
      <c r="E466" s="571" t="s">
        <v>391</v>
      </c>
      <c r="F466" s="572"/>
      <c r="G466" s="681">
        <f ca="1">((Output!D6)*10^6/G465)</f>
        <v>20.21953636171348</v>
      </c>
      <c r="H466" s="681">
        <f ca="1">(-(Output!D7)*10^6/H465)</f>
        <v>18.057278766422655</v>
      </c>
    </row>
    <row r="467" spans="2:8" ht="15">
      <c r="B467" s="692"/>
      <c r="C467" s="694"/>
      <c r="D467" s="697" t="s">
        <v>392</v>
      </c>
      <c r="E467" s="571" t="s">
        <v>391</v>
      </c>
      <c r="F467" s="572"/>
      <c r="G467" s="681">
        <f ca="1">+((Output!D6+Output!D10)*10^6/G465)-H466</f>
        <v>0.52823368656386194</v>
      </c>
      <c r="H467" s="681"/>
    </row>
    <row r="468" spans="2:8" ht="15">
      <c r="B468" s="692"/>
      <c r="C468" s="694"/>
      <c r="D468" s="697" t="s">
        <v>393</v>
      </c>
      <c r="E468" s="571" t="s">
        <v>178</v>
      </c>
      <c r="F468" s="572" t="str">
        <f>+IF(G456="Based on incremental cost gap","Yes","")</f>
        <v/>
      </c>
      <c r="G468" s="665">
        <v>0</v>
      </c>
      <c r="H468" s="681"/>
    </row>
    <row r="469" spans="2:8" ht="15">
      <c r="B469" s="692"/>
      <c r="C469" s="694"/>
      <c r="D469" s="697" t="s">
        <v>394</v>
      </c>
      <c r="E469" s="571"/>
      <c r="F469" s="572"/>
      <c r="G469" s="769">
        <f>+IF(Quick_assumption!$E$5="Quick calculation",Quick_assumption!$E$22,G468)</f>
        <v>0</v>
      </c>
      <c r="H469" s="681"/>
    </row>
    <row r="470" spans="2:8" ht="15">
      <c r="B470" s="692"/>
      <c r="C470" s="694"/>
      <c r="D470" s="697" t="s">
        <v>395</v>
      </c>
      <c r="E470" s="571" t="s">
        <v>396</v>
      </c>
      <c r="F470" s="572" t="str">
        <f>+IF(G456="Based on incremental cost gap","Yes","")</f>
        <v/>
      </c>
      <c r="G470" s="665" t="s">
        <v>397</v>
      </c>
      <c r="H470" s="681"/>
    </row>
    <row r="471" spans="2:8" ht="15">
      <c r="B471" s="692"/>
      <c r="C471" s="694"/>
      <c r="D471" s="697" t="s">
        <v>398</v>
      </c>
      <c r="E471" s="571"/>
      <c r="F471" s="572"/>
      <c r="G471" s="644" t="str">
        <f>+IF(Quick_assumption!$E$5="Quick calculation","Scenario 4",G470)</f>
        <v>Scenario 4</v>
      </c>
      <c r="H471" s="681"/>
    </row>
    <row r="472" spans="2:8">
      <c r="B472" s="693"/>
      <c r="C472" s="695"/>
      <c r="D472" s="697" t="s">
        <v>379</v>
      </c>
      <c r="E472" s="571" t="s">
        <v>399</v>
      </c>
      <c r="F472" s="572"/>
      <c r="G472" s="644" t="str">
        <f>+IF($G$471="Scenario 1","Yes","No")</f>
        <v>No</v>
      </c>
      <c r="H472" s="681"/>
    </row>
    <row r="473" spans="2:8">
      <c r="B473" s="693"/>
      <c r="C473" s="695"/>
      <c r="D473" s="697" t="s">
        <v>381</v>
      </c>
      <c r="E473" s="571" t="s">
        <v>400</v>
      </c>
      <c r="F473" s="572"/>
      <c r="G473" s="644" t="str">
        <f>+IF($G$471="Scenario 2","Yes","No")</f>
        <v>No</v>
      </c>
      <c r="H473" s="681"/>
    </row>
    <row r="474" spans="2:8">
      <c r="B474" s="693"/>
      <c r="C474" s="695"/>
      <c r="D474" s="697" t="s">
        <v>383</v>
      </c>
      <c r="E474" s="571" t="s">
        <v>401</v>
      </c>
      <c r="F474" s="572"/>
      <c r="G474" s="644" t="str">
        <f>+IF($G$471="Scenario 3","Yes","No")</f>
        <v>No</v>
      </c>
      <c r="H474" s="681"/>
    </row>
    <row r="475" spans="2:8">
      <c r="B475" s="693"/>
      <c r="C475" s="695"/>
      <c r="D475" s="697" t="s">
        <v>385</v>
      </c>
      <c r="E475" s="571" t="s">
        <v>148</v>
      </c>
      <c r="F475" s="572"/>
      <c r="G475" s="644" t="str">
        <f>+IF($G$471="Scenario 4","Yes","No")</f>
        <v>Yes</v>
      </c>
      <c r="H475" s="681"/>
    </row>
    <row r="476" spans="2:8" ht="15">
      <c r="B476" s="692"/>
      <c r="C476" s="694"/>
      <c r="D476" s="699" t="s">
        <v>363</v>
      </c>
      <c r="E476" s="589" t="s">
        <v>178</v>
      </c>
      <c r="F476" s="596"/>
      <c r="G476" s="679">
        <f ca="1">+$G$356</f>
        <v>4.1890000000000004E-2</v>
      </c>
      <c r="H476" s="617"/>
    </row>
    <row r="477" spans="2:8" ht="15">
      <c r="B477" s="22"/>
      <c r="C477" s="22"/>
      <c r="E477" s="20"/>
      <c r="F477" s="84"/>
      <c r="G477" s="98"/>
    </row>
    <row r="480" spans="2:8" ht="15">
      <c r="B480" s="565" t="s">
        <v>402</v>
      </c>
      <c r="C480" s="558"/>
      <c r="D480" s="580"/>
    </row>
    <row r="481" spans="2:8" ht="15">
      <c r="B481" s="565"/>
      <c r="C481" s="558" t="s">
        <v>403</v>
      </c>
      <c r="D481" s="580"/>
    </row>
    <row r="482" spans="2:8">
      <c r="B482" s="566"/>
      <c r="C482" s="559"/>
      <c r="D482" s="580" t="s">
        <v>404</v>
      </c>
      <c r="E482" s="682" t="s">
        <v>405</v>
      </c>
      <c r="F482" s="569" t="s">
        <v>139</v>
      </c>
      <c r="G482" s="636" t="s">
        <v>139</v>
      </c>
      <c r="H482" s="683"/>
    </row>
    <row r="483" spans="2:8">
      <c r="B483" s="566"/>
      <c r="C483" s="559"/>
      <c r="D483" s="581" t="s">
        <v>406</v>
      </c>
      <c r="E483" s="670" t="s">
        <v>405</v>
      </c>
      <c r="F483" s="572" t="s">
        <v>139</v>
      </c>
      <c r="G483" s="665" t="s">
        <v>139</v>
      </c>
      <c r="H483" s="681"/>
    </row>
    <row r="484" spans="2:8">
      <c r="B484" s="566"/>
      <c r="C484" s="559"/>
      <c r="D484" s="581" t="s">
        <v>407</v>
      </c>
      <c r="E484" s="670" t="s">
        <v>405</v>
      </c>
      <c r="F484" s="572" t="s">
        <v>139</v>
      </c>
      <c r="G484" s="665" t="s">
        <v>139</v>
      </c>
      <c r="H484" s="681"/>
    </row>
    <row r="485" spans="2:8">
      <c r="B485" s="566"/>
      <c r="C485" s="559"/>
      <c r="D485" s="581" t="s">
        <v>408</v>
      </c>
      <c r="E485" s="670" t="s">
        <v>405</v>
      </c>
      <c r="F485" s="572" t="s">
        <v>139</v>
      </c>
      <c r="G485" s="665" t="s">
        <v>139</v>
      </c>
      <c r="H485" s="681"/>
    </row>
    <row r="486" spans="2:8">
      <c r="B486" s="566"/>
      <c r="C486" s="559"/>
      <c r="D486" s="581" t="s">
        <v>409</v>
      </c>
      <c r="E486" s="670" t="s">
        <v>405</v>
      </c>
      <c r="F486" s="572" t="s">
        <v>139</v>
      </c>
      <c r="G486" s="665" t="s">
        <v>139</v>
      </c>
      <c r="H486" s="681"/>
    </row>
    <row r="487" spans="2:8">
      <c r="B487" s="566"/>
      <c r="C487" s="559"/>
      <c r="D487" s="581" t="s">
        <v>410</v>
      </c>
      <c r="E487" s="670" t="s">
        <v>405</v>
      </c>
      <c r="F487" s="572" t="s">
        <v>139</v>
      </c>
      <c r="G487" s="665" t="s">
        <v>139</v>
      </c>
      <c r="H487" s="681"/>
    </row>
    <row r="488" spans="2:8">
      <c r="B488" s="566"/>
      <c r="C488" s="559"/>
      <c r="D488" s="581" t="s">
        <v>411</v>
      </c>
      <c r="E488" s="670" t="s">
        <v>405</v>
      </c>
      <c r="F488" s="572" t="s">
        <v>139</v>
      </c>
      <c r="G488" s="665" t="s">
        <v>139</v>
      </c>
      <c r="H488" s="681"/>
    </row>
    <row r="489" spans="2:8">
      <c r="B489" s="566"/>
      <c r="C489" s="559"/>
      <c r="D489" s="582" t="s">
        <v>412</v>
      </c>
      <c r="E489" s="661" t="s">
        <v>405</v>
      </c>
      <c r="F489" s="596" t="s">
        <v>139</v>
      </c>
      <c r="G489" s="667" t="s">
        <v>139</v>
      </c>
      <c r="H489" s="617"/>
    </row>
    <row r="492" spans="2:8">
      <c r="F492" s="27"/>
      <c r="G492" s="27"/>
      <c r="H492" s="27"/>
    </row>
    <row r="493" spans="2:8" ht="15">
      <c r="B493" s="717" t="s">
        <v>413</v>
      </c>
      <c r="C493" s="719"/>
      <c r="D493" s="709"/>
      <c r="F493" s="27"/>
      <c r="G493" s="27"/>
      <c r="H493" s="27"/>
    </row>
    <row r="494" spans="2:8" ht="29.25">
      <c r="B494" s="746" t="s">
        <v>414</v>
      </c>
      <c r="C494" s="719" t="s">
        <v>415</v>
      </c>
      <c r="D494" s="709"/>
      <c r="E494" s="20"/>
      <c r="F494" s="84"/>
      <c r="G494" s="99"/>
      <c r="H494" s="60"/>
    </row>
    <row r="495" spans="2:8" ht="15">
      <c r="B495" s="740"/>
      <c r="C495" s="720"/>
      <c r="D495" s="707" t="s">
        <v>416</v>
      </c>
      <c r="E495" s="568" t="s">
        <v>115</v>
      </c>
      <c r="F495" s="569" t="s">
        <v>139</v>
      </c>
      <c r="G495" s="618" t="s">
        <v>144</v>
      </c>
      <c r="H495" s="664"/>
    </row>
    <row r="496" spans="2:8" ht="15">
      <c r="B496" s="718"/>
      <c r="C496" s="720"/>
      <c r="D496" s="711" t="s">
        <v>417</v>
      </c>
      <c r="E496" s="571" t="s">
        <v>418</v>
      </c>
      <c r="F496" s="572"/>
      <c r="G496" s="641">
        <v>10240</v>
      </c>
      <c r="H496" s="666"/>
    </row>
    <row r="497" spans="2:9" ht="15">
      <c r="B497" s="718"/>
      <c r="C497" s="720"/>
      <c r="D497" s="711" t="s">
        <v>419</v>
      </c>
      <c r="E497" s="670" t="s">
        <v>420</v>
      </c>
      <c r="F497" s="572"/>
      <c r="G497" s="641">
        <v>180</v>
      </c>
      <c r="H497" s="666"/>
      <c r="I497" s="482"/>
    </row>
    <row r="498" spans="2:9" ht="15">
      <c r="B498" s="718"/>
      <c r="C498" s="720"/>
      <c r="D498" s="711" t="s">
        <v>421</v>
      </c>
      <c r="E498" s="571" t="s">
        <v>178</v>
      </c>
      <c r="F498" s="572"/>
      <c r="G498" s="632">
        <v>0.8</v>
      </c>
      <c r="H498" s="666"/>
      <c r="I498" s="482"/>
    </row>
    <row r="499" spans="2:9" ht="15">
      <c r="B499" s="718"/>
      <c r="C499" s="720"/>
      <c r="D499" s="711" t="s">
        <v>422</v>
      </c>
      <c r="E499" s="571" t="s">
        <v>423</v>
      </c>
      <c r="F499" s="572"/>
      <c r="G499" s="587">
        <f>1/_xlfn.XLOOKUP(G24,Data_tables!K:K,Data_tables!S:S)</f>
        <v>1.2820512820512819</v>
      </c>
      <c r="H499" s="666"/>
      <c r="I499" s="482"/>
    </row>
    <row r="500" spans="2:9" ht="15">
      <c r="B500" s="718"/>
      <c r="C500" s="720"/>
      <c r="D500" s="711" t="s">
        <v>424</v>
      </c>
      <c r="E500" s="571" t="s">
        <v>425</v>
      </c>
      <c r="F500" s="572"/>
      <c r="G500" s="628">
        <f>+G499*G498*G497*G496</f>
        <v>1890461.538461538</v>
      </c>
      <c r="H500" s="666"/>
      <c r="I500" s="482"/>
    </row>
    <row r="501" spans="2:9" ht="15">
      <c r="B501" s="718"/>
      <c r="C501" s="720"/>
      <c r="D501" s="711" t="s">
        <v>426</v>
      </c>
      <c r="E501" s="571" t="s">
        <v>278</v>
      </c>
      <c r="F501" s="572"/>
      <c r="G501" s="628">
        <f>+ROUNDUP(SUM(G177:G179)/G286/G503,0)</f>
        <v>2</v>
      </c>
      <c r="H501" s="666"/>
      <c r="I501" s="482"/>
    </row>
    <row r="502" spans="2:9" ht="15">
      <c r="B502" s="718"/>
      <c r="C502" s="720"/>
      <c r="D502" s="711" t="s">
        <v>427</v>
      </c>
      <c r="E502" s="571" t="s">
        <v>178</v>
      </c>
      <c r="F502" s="572"/>
      <c r="G502" s="642">
        <f>(G501*G286)/(G500/G498)</f>
        <v>7.4249078195991246E-4</v>
      </c>
      <c r="H502" s="666"/>
      <c r="I502" s="482"/>
    </row>
    <row r="503" spans="2:9" ht="15">
      <c r="B503" s="718"/>
      <c r="C503" s="720"/>
      <c r="D503" s="711" t="s">
        <v>428</v>
      </c>
      <c r="E503" s="571" t="s">
        <v>429</v>
      </c>
      <c r="F503" s="572"/>
      <c r="G503" s="643">
        <v>30</v>
      </c>
      <c r="H503" s="666"/>
      <c r="I503" s="482"/>
    </row>
    <row r="504" spans="2:9">
      <c r="B504" s="718"/>
      <c r="C504" s="720"/>
      <c r="D504" s="711" t="s">
        <v>430</v>
      </c>
      <c r="E504" s="571" t="s">
        <v>429</v>
      </c>
      <c r="F504" s="572"/>
      <c r="G504" s="671"/>
      <c r="H504" s="672">
        <f>+SUM(H177:H179)/H268/G286</f>
        <v>0.81175268267756784</v>
      </c>
      <c r="I504" s="482"/>
    </row>
    <row r="505" spans="2:9">
      <c r="B505" s="718"/>
      <c r="C505" s="720"/>
      <c r="D505" s="708" t="s">
        <v>431</v>
      </c>
      <c r="E505" s="589" t="s">
        <v>429</v>
      </c>
      <c r="F505" s="596"/>
      <c r="G505" s="673">
        <f>+G503-H504</f>
        <v>29.188247317322432</v>
      </c>
      <c r="H505" s="674"/>
      <c r="I505" s="482"/>
    </row>
    <row r="506" spans="2:9">
      <c r="B506" s="718"/>
      <c r="C506" s="720"/>
      <c r="D506" s="709"/>
      <c r="E506" s="20"/>
      <c r="F506" s="84"/>
      <c r="G506" s="83"/>
      <c r="H506" s="83"/>
      <c r="I506" s="482"/>
    </row>
    <row r="507" spans="2:9">
      <c r="B507" s="718"/>
      <c r="C507" s="720"/>
      <c r="D507" s="707" t="s">
        <v>432</v>
      </c>
      <c r="E507" s="568" t="s">
        <v>278</v>
      </c>
      <c r="F507" s="569"/>
      <c r="G507" s="675">
        <v>4</v>
      </c>
      <c r="H507" s="726">
        <v>1</v>
      </c>
      <c r="I507" s="534">
        <v>0</v>
      </c>
    </row>
    <row r="508" spans="2:9">
      <c r="B508" s="718"/>
      <c r="C508" s="720"/>
      <c r="D508" s="711" t="s">
        <v>433</v>
      </c>
      <c r="E508" s="571" t="s">
        <v>278</v>
      </c>
      <c r="F508" s="572"/>
      <c r="G508" s="643">
        <v>4</v>
      </c>
      <c r="H508" s="627">
        <v>2</v>
      </c>
      <c r="I508" s="534">
        <v>0</v>
      </c>
    </row>
    <row r="509" spans="2:9">
      <c r="B509" s="718"/>
      <c r="C509" s="720"/>
      <c r="D509" s="711" t="s">
        <v>434</v>
      </c>
      <c r="E509" s="571" t="s">
        <v>278</v>
      </c>
      <c r="F509" s="572"/>
      <c r="G509" s="643">
        <v>4</v>
      </c>
      <c r="H509" s="627">
        <v>3</v>
      </c>
      <c r="I509" s="534">
        <v>0</v>
      </c>
    </row>
    <row r="510" spans="2:9">
      <c r="B510" s="718"/>
      <c r="C510" s="720"/>
      <c r="D510" s="711" t="s">
        <v>435</v>
      </c>
      <c r="E510" s="571" t="s">
        <v>278</v>
      </c>
      <c r="F510" s="572"/>
      <c r="G510" s="643">
        <v>6</v>
      </c>
      <c r="H510" s="627">
        <v>4</v>
      </c>
      <c r="I510" s="534">
        <v>0</v>
      </c>
    </row>
    <row r="511" spans="2:9">
      <c r="B511" s="718"/>
      <c r="C511" s="720"/>
      <c r="D511" s="711" t="s">
        <v>436</v>
      </c>
      <c r="E511" s="571" t="s">
        <v>278</v>
      </c>
      <c r="F511" s="572"/>
      <c r="G511" s="643">
        <v>8</v>
      </c>
      <c r="H511" s="627">
        <v>5</v>
      </c>
      <c r="I511" s="534">
        <v>0</v>
      </c>
    </row>
    <row r="512" spans="2:9">
      <c r="B512" s="718"/>
      <c r="C512" s="720"/>
      <c r="D512" s="711" t="s">
        <v>437</v>
      </c>
      <c r="E512" s="571" t="s">
        <v>278</v>
      </c>
      <c r="F512" s="572"/>
      <c r="G512" s="643">
        <v>12</v>
      </c>
      <c r="H512" s="627">
        <v>6</v>
      </c>
      <c r="I512" s="534">
        <v>0</v>
      </c>
    </row>
    <row r="513" spans="2:9">
      <c r="B513" s="718"/>
      <c r="C513" s="720"/>
      <c r="D513" s="711" t="s">
        <v>438</v>
      </c>
      <c r="E513" s="571" t="s">
        <v>278</v>
      </c>
      <c r="F513" s="572"/>
      <c r="G513" s="643">
        <v>18</v>
      </c>
      <c r="H513" s="627">
        <v>7</v>
      </c>
      <c r="I513" s="534">
        <v>0</v>
      </c>
    </row>
    <row r="514" spans="2:9">
      <c r="B514" s="718"/>
      <c r="C514" s="720"/>
      <c r="D514" s="711" t="s">
        <v>439</v>
      </c>
      <c r="E514" s="571" t="s">
        <v>278</v>
      </c>
      <c r="F514" s="572"/>
      <c r="G514" s="643">
        <f>+G513</f>
        <v>18</v>
      </c>
      <c r="H514" s="627">
        <v>8</v>
      </c>
      <c r="I514" s="534">
        <v>0</v>
      </c>
    </row>
    <row r="515" spans="2:9">
      <c r="B515" s="718"/>
      <c r="C515" s="720"/>
      <c r="D515" s="711" t="s">
        <v>440</v>
      </c>
      <c r="E515" s="571" t="s">
        <v>278</v>
      </c>
      <c r="F515" s="572"/>
      <c r="G515" s="643">
        <f t="shared" ref="G515:G516" si="20">+G514</f>
        <v>18</v>
      </c>
      <c r="H515" s="627">
        <v>9</v>
      </c>
      <c r="I515" s="534">
        <v>0</v>
      </c>
    </row>
    <row r="516" spans="2:9">
      <c r="B516" s="718"/>
      <c r="C516" s="720"/>
      <c r="D516" s="708" t="s">
        <v>441</v>
      </c>
      <c r="E516" s="589" t="s">
        <v>278</v>
      </c>
      <c r="F516" s="596"/>
      <c r="G516" s="676">
        <f t="shared" si="20"/>
        <v>18</v>
      </c>
      <c r="H516" s="727">
        <v>10</v>
      </c>
      <c r="I516" s="534">
        <v>0</v>
      </c>
    </row>
  </sheetData>
  <conditionalFormatting sqref="G37 G39 G41">
    <cfRule type="expression" dxfId="206" priority="28">
      <formula>$G$35="No"</formula>
    </cfRule>
  </conditionalFormatting>
  <conditionalFormatting sqref="G37 G39">
    <cfRule type="expression" dxfId="205" priority="6">
      <formula>+AND($G$34="Purchased",$G$35="Yes")</formula>
    </cfRule>
  </conditionalFormatting>
  <conditionalFormatting sqref="G45:G48 G51:G54 G57">
    <cfRule type="expression" dxfId="204" priority="226">
      <formula>$G$34="Purchased"</formula>
    </cfRule>
  </conditionalFormatting>
  <conditionalFormatting sqref="G46:G47">
    <cfRule type="expression" dxfId="203" priority="220">
      <formula>$G$45="No"</formula>
    </cfRule>
  </conditionalFormatting>
  <conditionalFormatting sqref="G47">
    <cfRule type="expression" dxfId="202" priority="27">
      <formula>$G$46="Detailed"</formula>
    </cfRule>
  </conditionalFormatting>
  <conditionalFormatting sqref="G52:G53">
    <cfRule type="expression" dxfId="201" priority="217">
      <formula>$G$51="No"</formula>
    </cfRule>
  </conditionalFormatting>
  <conditionalFormatting sqref="G53">
    <cfRule type="expression" dxfId="200" priority="26">
      <formula>$G$52="Detailed"</formula>
    </cfRule>
  </conditionalFormatting>
  <conditionalFormatting sqref="G61:G64">
    <cfRule type="expression" dxfId="199" priority="225">
      <formula>$G$34="Manufactured"</formula>
    </cfRule>
  </conditionalFormatting>
  <conditionalFormatting sqref="G62">
    <cfRule type="expression" dxfId="198" priority="215">
      <formula>$G$61="No"</formula>
    </cfRule>
  </conditionalFormatting>
  <conditionalFormatting sqref="G64">
    <cfRule type="expression" dxfId="197" priority="5">
      <formula>$G$63="No"</formula>
    </cfRule>
  </conditionalFormatting>
  <conditionalFormatting sqref="G70">
    <cfRule type="expression" dxfId="196" priority="13">
      <formula>$G$34="Purchased"</formula>
    </cfRule>
  </conditionalFormatting>
  <conditionalFormatting sqref="G105:G106">
    <cfRule type="expression" dxfId="195" priority="24">
      <formula>$G$104="No"</formula>
    </cfRule>
  </conditionalFormatting>
  <conditionalFormatting sqref="G107 G214 G252 G357">
    <cfRule type="expression" dxfId="194" priority="14">
      <formula>$G$16="No"</formula>
    </cfRule>
  </conditionalFormatting>
  <conditionalFormatting sqref="G108">
    <cfRule type="expression" dxfId="193" priority="334">
      <formula>$G$107="No"</formula>
    </cfRule>
  </conditionalFormatting>
  <conditionalFormatting sqref="G215">
    <cfRule type="expression" dxfId="192" priority="335">
      <formula>$G$214="No"</formula>
    </cfRule>
  </conditionalFormatting>
  <conditionalFormatting sqref="G253">
    <cfRule type="expression" dxfId="191" priority="98">
      <formula>$G$252="No"</formula>
    </cfRule>
  </conditionalFormatting>
  <conditionalFormatting sqref="G279 G281 G283">
    <cfRule type="expression" dxfId="190" priority="75">
      <formula>$G$278="Fossil Corridor"</formula>
    </cfRule>
  </conditionalFormatting>
  <conditionalFormatting sqref="G322:G323">
    <cfRule type="expression" dxfId="189" priority="16">
      <formula>$G$321="Detailed"</formula>
    </cfRule>
  </conditionalFormatting>
  <conditionalFormatting sqref="G358">
    <cfRule type="expression" dxfId="188" priority="52">
      <formula>G357="No"</formula>
    </cfRule>
  </conditionalFormatting>
  <conditionalFormatting sqref="G381:G384">
    <cfRule type="expression" dxfId="187" priority="33">
      <formula>$G$380="No"</formula>
    </cfRule>
  </conditionalFormatting>
  <conditionalFormatting sqref="G382">
    <cfRule type="expression" dxfId="186" priority="299">
      <formula>#REF!="No"</formula>
    </cfRule>
  </conditionalFormatting>
  <conditionalFormatting sqref="G383">
    <cfRule type="expression" dxfId="185" priority="32">
      <formula>$G$381="No"</formula>
    </cfRule>
    <cfRule type="expression" dxfId="184" priority="47">
      <formula>G378="No"</formula>
    </cfRule>
  </conditionalFormatting>
  <conditionalFormatting sqref="G388">
    <cfRule type="expression" dxfId="183" priority="43">
      <formula>G383="No"</formula>
    </cfRule>
  </conditionalFormatting>
  <conditionalFormatting sqref="G388:G390">
    <cfRule type="expression" dxfId="182" priority="31">
      <formula>$G$387="No"</formula>
    </cfRule>
  </conditionalFormatting>
  <conditionalFormatting sqref="G390">
    <cfRule type="expression" dxfId="181" priority="41">
      <formula>G384="No"</formula>
    </cfRule>
  </conditionalFormatting>
  <conditionalFormatting sqref="G394">
    <cfRule type="expression" dxfId="180" priority="11">
      <formula>$G$393="No"</formula>
    </cfRule>
  </conditionalFormatting>
  <conditionalFormatting sqref="G403">
    <cfRule type="expression" dxfId="179" priority="291">
      <formula>$G$402="Share"</formula>
    </cfRule>
  </conditionalFormatting>
  <conditionalFormatting sqref="G404">
    <cfRule type="expression" dxfId="178" priority="290">
      <formula>$G$402="Manual"</formula>
    </cfRule>
  </conditionalFormatting>
  <conditionalFormatting sqref="G407">
    <cfRule type="expression" dxfId="177" priority="279">
      <formula>$G$406="Share"</formula>
    </cfRule>
  </conditionalFormatting>
  <conditionalFormatting sqref="G408">
    <cfRule type="expression" dxfId="176" priority="278">
      <formula>$G$406="Manual"</formula>
    </cfRule>
  </conditionalFormatting>
  <conditionalFormatting sqref="G415">
    <cfRule type="expression" dxfId="175" priority="289">
      <formula>$G$414="Share"</formula>
    </cfRule>
  </conditionalFormatting>
  <conditionalFormatting sqref="G416">
    <cfRule type="expression" dxfId="174" priority="283">
      <formula>$G$414="Manual"</formula>
    </cfRule>
  </conditionalFormatting>
  <conditionalFormatting sqref="G419">
    <cfRule type="expression" dxfId="173" priority="277">
      <formula>$G$418="Share"</formula>
    </cfRule>
  </conditionalFormatting>
  <conditionalFormatting sqref="G420">
    <cfRule type="expression" dxfId="172" priority="267">
      <formula>$G$418="Manual"</formula>
    </cfRule>
  </conditionalFormatting>
  <conditionalFormatting sqref="G425">
    <cfRule type="expression" dxfId="171" priority="284">
      <formula>$G$424="Share"</formula>
    </cfRule>
  </conditionalFormatting>
  <conditionalFormatting sqref="G426">
    <cfRule type="expression" dxfId="170" priority="288">
      <formula>$G$424="Manual"</formula>
    </cfRule>
  </conditionalFormatting>
  <conditionalFormatting sqref="G429">
    <cfRule type="expression" dxfId="169" priority="275">
      <formula>$G$428="Share"</formula>
    </cfRule>
  </conditionalFormatting>
  <conditionalFormatting sqref="G430">
    <cfRule type="expression" dxfId="168" priority="266">
      <formula>$G$428="Manual"</formula>
    </cfRule>
  </conditionalFormatting>
  <conditionalFormatting sqref="G437">
    <cfRule type="expression" dxfId="167" priority="287">
      <formula>$G$436="Share"</formula>
    </cfRule>
  </conditionalFormatting>
  <conditionalFormatting sqref="G438">
    <cfRule type="expression" dxfId="166" priority="286">
      <formula>$G$436="Manual"</formula>
    </cfRule>
  </conditionalFormatting>
  <conditionalFormatting sqref="G441">
    <cfRule type="expression" dxfId="165" priority="273">
      <formula>$G$440="Share"</formula>
    </cfRule>
  </conditionalFormatting>
  <conditionalFormatting sqref="G442">
    <cfRule type="expression" dxfId="164" priority="265">
      <formula>$G$440="Manual"</formula>
    </cfRule>
  </conditionalFormatting>
  <conditionalFormatting sqref="G447:G448">
    <cfRule type="expression" dxfId="163" priority="8">
      <formula>$G$446="No"</formula>
    </cfRule>
  </conditionalFormatting>
  <conditionalFormatting sqref="G458:G459">
    <cfRule type="expression" dxfId="162" priority="36">
      <formula>$G$457="Based on incremental cost gap"</formula>
    </cfRule>
  </conditionalFormatting>
  <conditionalFormatting sqref="G468">
    <cfRule type="expression" dxfId="161" priority="35">
      <formula>$G$457="Percentage on top of fossil costs"</formula>
    </cfRule>
  </conditionalFormatting>
  <conditionalFormatting sqref="G496:G503 H504 G505">
    <cfRule type="expression" dxfId="160" priority="195">
      <formula>$G$495="No"</formula>
    </cfRule>
  </conditionalFormatting>
  <conditionalFormatting sqref="G507:G516">
    <cfRule type="expression" dxfId="159" priority="30">
      <formula>$G$495="No"</formula>
    </cfRule>
  </conditionalFormatting>
  <conditionalFormatting sqref="G10:H10">
    <cfRule type="expression" dxfId="158" priority="258">
      <formula>$G$9="Detailed"</formula>
    </cfRule>
  </conditionalFormatting>
  <conditionalFormatting sqref="G69:H72">
    <cfRule type="expression" dxfId="157" priority="207">
      <formula>G$68="No"</formula>
    </cfRule>
  </conditionalFormatting>
  <conditionalFormatting sqref="G70:H72">
    <cfRule type="expression" dxfId="156" priority="206">
      <formula>G$69="Detailed"</formula>
    </cfRule>
  </conditionalFormatting>
  <conditionalFormatting sqref="G78:H78 G81:H81 G86:H86 G92:H92 G97:H97">
    <cfRule type="expression" dxfId="155" priority="203">
      <formula>G$77="No"</formula>
    </cfRule>
  </conditionalFormatting>
  <conditionalFormatting sqref="G81:H82">
    <cfRule type="expression" dxfId="154" priority="198">
      <formula>G$78="Detailed"</formula>
    </cfRule>
  </conditionalFormatting>
  <conditionalFormatting sqref="G83:H84">
    <cfRule type="expression" dxfId="153" priority="202">
      <formula>G$77="No"</formula>
    </cfRule>
  </conditionalFormatting>
  <conditionalFormatting sqref="G92:H93">
    <cfRule type="expression" dxfId="152" priority="109">
      <formula>G$78="Detailed"</formula>
    </cfRule>
  </conditionalFormatting>
  <conditionalFormatting sqref="G94:H95">
    <cfRule type="expression" dxfId="151" priority="200">
      <formula>G$77="No"</formula>
    </cfRule>
  </conditionalFormatting>
  <conditionalFormatting sqref="G122:H123 G125:H125 G127:H127">
    <cfRule type="expression" dxfId="150" priority="188">
      <formula>G$121="No"</formula>
    </cfRule>
  </conditionalFormatting>
  <conditionalFormatting sqref="G122:H126 G208:G210">
    <cfRule type="expression" dxfId="149" priority="296">
      <formula>G$116="Barge"</formula>
    </cfRule>
  </conditionalFormatting>
  <conditionalFormatting sqref="G132:H135">
    <cfRule type="expression" dxfId="148" priority="169">
      <formula>G$116="Barge"</formula>
    </cfRule>
  </conditionalFormatting>
  <conditionalFormatting sqref="G134:H135">
    <cfRule type="expression" dxfId="147" priority="170">
      <formula>G$133="Detailed"</formula>
    </cfRule>
  </conditionalFormatting>
  <conditionalFormatting sqref="G138:H141">
    <cfRule type="expression" dxfId="146" priority="168">
      <formula>G$116="Barge"</formula>
    </cfRule>
  </conditionalFormatting>
  <conditionalFormatting sqref="G139:H140">
    <cfRule type="expression" dxfId="145" priority="180">
      <formula>G$138="No"</formula>
    </cfRule>
  </conditionalFormatting>
  <conditionalFormatting sqref="G140:H141">
    <cfRule type="expression" dxfId="144" priority="179">
      <formula>G$139="Detailed"</formula>
    </cfRule>
  </conditionalFormatting>
  <conditionalFormatting sqref="G149:H150 G152:H152 G154:H154">
    <cfRule type="expression" dxfId="143" priority="161">
      <formula>G$148="No"</formula>
    </cfRule>
  </conditionalFormatting>
  <conditionalFormatting sqref="G149:H153">
    <cfRule type="expression" dxfId="142" priority="160">
      <formula>G$116="Storage"</formula>
    </cfRule>
  </conditionalFormatting>
  <conditionalFormatting sqref="G158:H161">
    <cfRule type="expression" dxfId="141" priority="140">
      <formula>G$116="Storage"</formula>
    </cfRule>
  </conditionalFormatting>
  <conditionalFormatting sqref="G159:H160">
    <cfRule type="expression" dxfId="140" priority="146">
      <formula>G$158="No"</formula>
    </cfRule>
  </conditionalFormatting>
  <conditionalFormatting sqref="G160:H161">
    <cfRule type="expression" dxfId="139" priority="141">
      <formula>G$159="Detailed"</formula>
    </cfRule>
  </conditionalFormatting>
  <conditionalFormatting sqref="G164:H167">
    <cfRule type="expression" dxfId="138" priority="135">
      <formula>G$116="Storage"</formula>
    </cfRule>
  </conditionalFormatting>
  <conditionalFormatting sqref="G165:H166">
    <cfRule type="expression" dxfId="137" priority="137">
      <formula>G$164="No"</formula>
    </cfRule>
  </conditionalFormatting>
  <conditionalFormatting sqref="G166:H167">
    <cfRule type="expression" dxfId="136" priority="136">
      <formula>G$165="Detailed"</formula>
    </cfRule>
  </conditionalFormatting>
  <conditionalFormatting sqref="G175:H176 G178:H178">
    <cfRule type="expression" dxfId="135" priority="134">
      <formula>G$174="No"</formula>
    </cfRule>
  </conditionalFormatting>
  <conditionalFormatting sqref="G176:H179">
    <cfRule type="expression" dxfId="134" priority="133">
      <formula>G$175="Detailed"</formula>
    </cfRule>
  </conditionalFormatting>
  <conditionalFormatting sqref="G184:H184 G187:H187 G189:H190 G192:H192 G198:H198 G200:H201 G203:H203">
    <cfRule type="expression" dxfId="133" priority="108">
      <formula>G$183="No"</formula>
    </cfRule>
  </conditionalFormatting>
  <conditionalFormatting sqref="G187:H188 G198:H199">
    <cfRule type="expression" dxfId="132" priority="107">
      <formula>G$184="Detailed"</formula>
    </cfRule>
  </conditionalFormatting>
  <conditionalFormatting sqref="G212:H213">
    <cfRule type="expression" dxfId="131" priority="103">
      <formula>G$211="No"</formula>
    </cfRule>
  </conditionalFormatting>
  <conditionalFormatting sqref="G222:H222 G225:H225 G227:H228 G230:H230 G236:H236 G238:H239 G241:H241">
    <cfRule type="expression" dxfId="130" priority="105">
      <formula>G$221="No"</formula>
    </cfRule>
  </conditionalFormatting>
  <conditionalFormatting sqref="G225:H226 G236:H237">
    <cfRule type="expression" dxfId="129" priority="104">
      <formula>G$222="Detailed"</formula>
    </cfRule>
  </conditionalFormatting>
  <conditionalFormatting sqref="G250:H250">
    <cfRule type="expression" dxfId="128" priority="99">
      <formula>G$249="No"</formula>
    </cfRule>
  </conditionalFormatting>
  <conditionalFormatting sqref="G270:H270">
    <cfRule type="expression" dxfId="127" priority="93">
      <formula>G269="No"</formula>
    </cfRule>
  </conditionalFormatting>
  <conditionalFormatting sqref="G273:H273">
    <cfRule type="expression" dxfId="126" priority="94">
      <formula>G272="No"</formula>
    </cfRule>
  </conditionalFormatting>
  <conditionalFormatting sqref="G281:H281">
    <cfRule type="expression" dxfId="125" priority="3">
      <formula>G$280="Fuel consumption"</formula>
    </cfRule>
  </conditionalFormatting>
  <conditionalFormatting sqref="G283:H283">
    <cfRule type="expression" dxfId="124" priority="1">
      <formula>G$280="Distance (nautic miles)"</formula>
    </cfRule>
  </conditionalFormatting>
  <conditionalFormatting sqref="G294:H295 G297:H297 G299:H299">
    <cfRule type="expression" dxfId="123" priority="71">
      <formula>G$293="No"</formula>
    </cfRule>
  </conditionalFormatting>
  <conditionalFormatting sqref="G304:H305">
    <cfRule type="expression" dxfId="122" priority="67">
      <formula>G$303="No"</formula>
    </cfRule>
  </conditionalFormatting>
  <conditionalFormatting sqref="G305:H305">
    <cfRule type="expression" dxfId="121" priority="68">
      <formula>G$304="Detailed"</formula>
    </cfRule>
  </conditionalFormatting>
  <conditionalFormatting sqref="G311:H312">
    <cfRule type="expression" dxfId="120" priority="66">
      <formula>G$310="No"</formula>
    </cfRule>
  </conditionalFormatting>
  <conditionalFormatting sqref="G312:H312">
    <cfRule type="expression" dxfId="119" priority="65">
      <formula>G$311="Detailed"</formula>
    </cfRule>
  </conditionalFormatting>
  <conditionalFormatting sqref="G321:H323">
    <cfRule type="expression" dxfId="118" priority="59">
      <formula>G$320="No"</formula>
    </cfRule>
  </conditionalFormatting>
  <conditionalFormatting sqref="G322:H323">
    <cfRule type="expression" dxfId="117" priority="58">
      <formula>G$321="No"</formula>
    </cfRule>
  </conditionalFormatting>
  <conditionalFormatting sqref="G328:H328 G331:H331 G333:H334 G336:H336 G342:H342 G344:H345 G347:H347">
    <cfRule type="expression" dxfId="116" priority="55">
      <formula>G$327="No"</formula>
    </cfRule>
  </conditionalFormatting>
  <conditionalFormatting sqref="G331:H337 G342:H348">
    <cfRule type="expression" dxfId="115" priority="54">
      <formula>G$328="Detailed"</formula>
    </cfRule>
  </conditionalFormatting>
  <conditionalFormatting sqref="G355:H355">
    <cfRule type="expression" dxfId="114" priority="53">
      <formula>G354="No"</formula>
    </cfRule>
  </conditionalFormatting>
  <conditionalFormatting sqref="G389:H389">
    <cfRule type="expression" dxfId="113" priority="45">
      <formula>G383="No"</formula>
    </cfRule>
  </conditionalFormatting>
  <conditionalFormatting sqref="G133:I134">
    <cfRule type="expression" dxfId="112" priority="256">
      <formula>G$132="No"</formula>
    </cfRule>
  </conditionalFormatting>
  <conditionalFormatting sqref="H61:H64">
    <cfRule type="expression" dxfId="111" priority="214">
      <formula>$H$34="Manufactured"</formula>
    </cfRule>
  </conditionalFormatting>
  <conditionalFormatting sqref="H62">
    <cfRule type="expression" dxfId="110" priority="211">
      <formula>$H$61="No"</formula>
    </cfRule>
  </conditionalFormatting>
  <conditionalFormatting sqref="H105:H107">
    <cfRule type="expression" dxfId="109" priority="25">
      <formula>$H$104="No"</formula>
    </cfRule>
  </conditionalFormatting>
  <conditionalFormatting sqref="H122:H123 H125 H127">
    <cfRule type="expression" dxfId="108" priority="187">
      <formula>$H$121="No"</formula>
    </cfRule>
  </conditionalFormatting>
  <conditionalFormatting sqref="H140:H141">
    <cfRule type="expression" dxfId="107" priority="174">
      <formula>H$133="Detailed"</formula>
    </cfRule>
  </conditionalFormatting>
  <conditionalFormatting sqref="H164:H167">
    <cfRule type="expression" dxfId="106" priority="148">
      <formula>H$116="Barge"</formula>
    </cfRule>
  </conditionalFormatting>
  <conditionalFormatting sqref="H166">
    <cfRule type="expression" dxfId="105" priority="151">
      <formula>H$165="Detailed"</formula>
    </cfRule>
  </conditionalFormatting>
  <conditionalFormatting sqref="H167">
    <cfRule type="expression" dxfId="104" priority="149">
      <formula>H$133="Detailed"</formula>
    </cfRule>
  </conditionalFormatting>
  <conditionalFormatting sqref="H279 H281 H283">
    <cfRule type="expression" dxfId="103" priority="76">
      <formula>$G$278="Green Corridor"</formula>
    </cfRule>
  </conditionalFormatting>
  <conditionalFormatting sqref="H322:H323">
    <cfRule type="expression" dxfId="102" priority="15">
      <formula>$H$321="Detailed"</formula>
    </cfRule>
  </conditionalFormatting>
  <conditionalFormatting sqref="H388">
    <cfRule type="expression" dxfId="101" priority="42">
      <formula>H382="No"</formula>
    </cfRule>
  </conditionalFormatting>
  <conditionalFormatting sqref="H122:I126">
    <cfRule type="expression" dxfId="100" priority="294">
      <formula>$H$116="Barge"</formula>
    </cfRule>
  </conditionalFormatting>
  <conditionalFormatting sqref="H208:I210">
    <cfRule type="expression" dxfId="99" priority="18">
      <formula>$H$116="Barge"</formula>
    </cfRule>
  </conditionalFormatting>
  <conditionalFormatting sqref="H246:I248">
    <cfRule type="expression" dxfId="98" priority="21">
      <formula>$H$116="Storage"</formula>
    </cfRule>
  </conditionalFormatting>
  <conditionalFormatting sqref="I138:I141">
    <cfRule type="expression" dxfId="97" priority="19">
      <formula>$H$116="Barge"</formula>
    </cfRule>
  </conditionalFormatting>
  <conditionalFormatting sqref="I151">
    <cfRule type="expression" dxfId="96" priority="295">
      <formula>$H$116="Storage"</formula>
    </cfRule>
  </conditionalFormatting>
  <conditionalFormatting sqref="I164:I167">
    <cfRule type="expression" dxfId="95" priority="22">
      <formula>$H$116="Storage"</formula>
    </cfRule>
  </conditionalFormatting>
  <conditionalFormatting sqref="I211:I215 H214:H216">
    <cfRule type="expression" dxfId="94" priority="17">
      <formula>$H$116="Barge"</formula>
    </cfRule>
  </conditionalFormatting>
  <conditionalFormatting sqref="I249:I252 H252:H254 I310:I311">
    <cfRule type="expression" dxfId="93" priority="20">
      <formula>$H$116="Storage"</formula>
    </cfRule>
  </conditionalFormatting>
  <dataValidations count="18">
    <dataValidation type="list" allowBlank="1" showInputMessage="1" showErrorMessage="1" sqref="G99:H99 G232:H232 G205:H205 G194:H194 G88:H88 G243:H243 G349:H349 G338:H338" xr:uid="{7A7133E4-B10E-421D-BE65-E678E3EE195A}">
      <formula1>"Equity-first,Pro-rata"</formula1>
    </dataValidation>
    <dataValidation type="list" allowBlank="1" showInputMessage="1" showErrorMessage="1" sqref="G100:H100 G233:H233 G206:H206 G195:H195 G89:H89 G244:H244 G350:H350 G339:H339" xr:uid="{FBA5DE42-D2FE-4F88-AC45-BC2CC0111CB2}">
      <formula1>"Annuity,Bullet,Serial"</formula1>
    </dataValidation>
    <dataValidation type="list" allowBlank="1" showInputMessage="1" showErrorMessage="1" sqref="G269:H269 F316 F327:H327 F125 F8:F16 G303:H303 F35:H35 F144 F122:F123 F148:H148 F176:F179 F170 F45:H45 F57 F77:H77 F272:H272 F331:F339 F261:F271 F293:H293 F226:F233 F187:F195 F132:H132 F482:G489 F36:F42 F46:F47 F164:H164 F61:H61 E15 F154:F156 G495 F138:H138 F174:H174 F121:H121 F127:F129 F133:F134 F159:F160 F222 F81:F89 F221:H221 F391:F393 F294:F295 G320:H320 F343:F361 F51:H51 F69:F74 F78 F152 F139:F140 F149:F150 F158:H158 F183:H183 F165:F166 F184 H249:H251 G249:G252 F299:F301 F297 F303:F305 F313 F116:F117 F310:H310 F311 F320:F325 F328:F329 F456:F463 F395:F396 G379:G381 F387:H387 F370:F373 F436:F438 F494:F516 H376:H377 H354:H356 G16 F68:G68 F388:F389 F402:F404 F406:F410 F418:F426 F428:F434 F414:F416 F52:F53 G354:G357 F22:F24 F62:F67 F33:F34 F375:G376 F440:F448 G386 H392:H394 G392:G393 G446 G63 F92:F106 F108:F113 F107:G107 G104:H104 F214:G214 G211:H211 F198:F213 F215:F219 F237:F256 F465:F477 F377:F386 F273:F287" xr:uid="{56FD307F-FB74-4D24-A505-2C604AD7FF78}">
      <formula1>"Yes,No"</formula1>
    </dataValidation>
    <dataValidation type="whole" operator="greaterThanOrEqual" allowBlank="1" showInputMessage="1" showErrorMessage="1" sqref="G203:H203 G297:H297 G127:H129 G86:H86 G347:H347 G97:H97 G39 G192:H192 G241:H241 G299:H300 G125:H125 G152:H152 G154:H156 G230:H230 G336:H336 G41:G42 H42" xr:uid="{49DB8753-F88E-403A-9338-AF2BBD950D5D}">
      <formula1>1</formula1>
    </dataValidation>
    <dataValidation type="whole" operator="greaterThanOrEqual" allowBlank="1" showInputMessage="1" showErrorMessage="1" sqref="G295:H295 G123:H123 G150:H150 G37" xr:uid="{6E501304-98FD-445C-A60F-2D524134B8C7}">
      <formula1>0</formula1>
    </dataValidation>
    <dataValidation type="decimal" operator="greaterThanOrEqual" allowBlank="1" showInputMessage="1" showErrorMessage="1" sqref="G81:H84 G236:H239 G92:H95 G225:H228 G187:H190 G198:H201 G348:H348 G337:H337 G342:H346 G331:H335" xr:uid="{20D7E0B0-A244-4052-B474-A2B22E86C140}">
      <formula1>0</formula1>
    </dataValidation>
    <dataValidation type="list" allowBlank="1" showInputMessage="1" showErrorMessage="1" sqref="G470:G471" xr:uid="{084A3D47-F13C-4B66-8F08-184148EE690C}">
      <formula1>"Scenario 1,Scenario 2,Scenario 3,Scenario 4"</formula1>
    </dataValidation>
    <dataValidation type="list" allowBlank="1" showInputMessage="1" showErrorMessage="1" sqref="G402 G414 G436 G424 G406 G418 G428 G440" xr:uid="{32430FCD-A2FA-41A2-9F42-F83E19191102}">
      <formula1>"Manual,Share"</formula1>
    </dataValidation>
    <dataValidation type="list" allowBlank="1" showInputMessage="1" showErrorMessage="1" sqref="G116:H116" xr:uid="{D9F296A1-052C-4ACA-9940-84BBAC61D150}">
      <formula1>"Storage,Barge,Storage &amp; Barge"</formula1>
    </dataValidation>
    <dataValidation type="list" allowBlank="1" showInputMessage="1" showErrorMessage="1" sqref="G9 G165:H165 G46:H46 G52:H52 G328:H328 G78:H78 G133:H133 G139:H139 G159:H159 G175:H175 G184:H184 G222:H222 G304:H304 G311:H311 G321:H321 G69" xr:uid="{8DF2F51A-6D1A-40A3-80F0-4AEFB6F4F4A9}">
      <formula1>"General,Detailed"</formula1>
    </dataValidation>
    <dataValidation type="list" allowBlank="1" showInputMessage="1" showErrorMessage="1" sqref="G34:H34 G33" xr:uid="{E939CB9E-9196-4723-A3AE-9FD93BC8869A}">
      <formula1>"Purchased,Manufactured"</formula1>
    </dataValidation>
    <dataValidation type="list" allowBlank="1" showInputMessage="1" showErrorMessage="1" sqref="G279:H280" xr:uid="{24BDBEB0-9653-43B5-9520-A9FA1147CD6B}">
      <formula1>"Distance (nautic miles),Fuel consumption"</formula1>
    </dataValidation>
    <dataValidation type="list" allowBlank="1" showInputMessage="1" showErrorMessage="1" sqref="G277:G278" xr:uid="{3C43F8C3-CBBC-4783-89BB-4F41C5D2C60F}">
      <formula1>"Green corridor,Fossil corridor"</formula1>
    </dataValidation>
    <dataValidation type="whole" allowBlank="1" showInputMessage="1" showErrorMessage="1" sqref="G382 G388:H388" xr:uid="{E8C54E5D-6043-4E90-9CF5-EFC720E3215B}">
      <formula1>2025</formula1>
      <formula2>2100</formula2>
    </dataValidation>
    <dataValidation type="list" allowBlank="1" showInputMessage="1" showErrorMessage="1" sqref="H373" xr:uid="{2FBDAECF-9C0D-4570-BA69-A269FD2CFE19}">
      <formula1>"Bio-blend,Pure LSFO or LNG"</formula1>
    </dataValidation>
    <dataValidation type="list" allowBlank="1" showInputMessage="1" showErrorMessage="1" sqref="G456:G457" xr:uid="{E15F55A0-F919-48A7-80B1-C3D291945208}">
      <formula1>"Percentage on top of fossil costs,Based on incremental cost gap"</formula1>
    </dataValidation>
    <dataValidation type="list" allowBlank="1" showInputMessage="1" showErrorMessage="1" sqref="G459" xr:uid="{18020EF9-5F77-412B-8C30-780461A4ACCE}">
      <formula1>"Scenario 1, Scenario 2, Scenario 3, Scenario 4"</formula1>
    </dataValidation>
    <dataValidation type="list" allowBlank="1" showInputMessage="1" showErrorMessage="1" sqref="H372" xr:uid="{A41F5B3F-3CAF-49E3-9AED-B4119ED1A459}">
      <formula1>"LSFO,Bio-blend,LNG"</formula1>
    </dataValidation>
  </dataValidation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5">
        <x14:dataValidation type="list" allowBlank="1" showInputMessage="1" showErrorMessage="1" xr:uid="{9647DCC7-DF32-43B1-A5DF-A4732BB9E408}">
          <x14:formula1>
            <xm:f>Data_tables!$K$5:$K$18</xm:f>
          </x14:formula1>
          <xm:sqref>G23:G24 H24</xm:sqref>
        </x14:dataValidation>
        <x14:dataValidation type="list" allowBlank="1" showInputMessage="1" showErrorMessage="1" xr:uid="{E9DB3A67-B1CB-422D-BE27-EB426C8CA7EB}">
          <x14:formula1>
            <xm:f>Data_tables!$AD$5:$AD$24</xm:f>
          </x14:formula1>
          <xm:sqref>G262:G263</xm:sqref>
        </x14:dataValidation>
        <x14:dataValidation type="list" allowBlank="1" showInputMessage="1" showErrorMessage="1" xr:uid="{8C737DDF-6CFB-4D25-82BA-F7AEC49CA971}">
          <x14:formula1>
            <xm:f>'CCC Summary (main)'!$AC$13:$AC$17</xm:f>
          </x14:formula1>
          <xm:sqref>G377</xm:sqref>
        </x14:dataValidation>
        <x14:dataValidation type="list" allowBlank="1" showInputMessage="1" showErrorMessage="1" xr:uid="{4EA91A63-BF65-41AD-B35F-293A3C8A40FC}">
          <x14:formula1>
            <xm:f>Data_tables!$B$5:$B$530</xm:f>
          </x14:formula1>
          <xm:sqref>G13</xm:sqref>
        </x14:dataValidation>
        <x14:dataValidation type="list" allowBlank="1" showInputMessage="1" showErrorMessage="1" xr:uid="{6F93825C-5C6A-4A9D-8086-6F00404D5D6E}">
          <x14:formula1>
            <xm:f>Data_tables!$K$19:$K$20</xm:f>
          </x14:formula1>
          <xm:sqref>G264 H23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B85BA-9334-4876-8891-DAC89BE58730}">
  <sheetPr codeName="Sheet9">
    <tabColor theme="5" tint="0.59999389629810485"/>
    <pageSetUpPr autoPageBreaks="0"/>
  </sheetPr>
  <dimension ref="A1:EJ204"/>
  <sheetViews>
    <sheetView showGridLines="0" showOutlineSymbols="0" zoomScale="64" zoomScaleNormal="85" workbookViewId="0">
      <selection activeCell="D204" sqref="D204"/>
    </sheetView>
  </sheetViews>
  <sheetFormatPr defaultColWidth="0" defaultRowHeight="14.25" zeroHeight="1" outlineLevelRow="1"/>
  <cols>
    <col min="1" max="1" width="1.625" customWidth="1"/>
    <col min="2" max="2" width="8.625" customWidth="1"/>
    <col min="3" max="4" width="32.5" bestFit="1" customWidth="1"/>
    <col min="5" max="5" width="52.625" bestFit="1" customWidth="1"/>
    <col min="6" max="6" width="24.875" bestFit="1" customWidth="1"/>
    <col min="7" max="7" width="3.125" customWidth="1"/>
    <col min="8" max="8" width="27.125" style="33" bestFit="1" customWidth="1"/>
    <col min="9" max="9" width="21.875" style="33" bestFit="1" customWidth="1"/>
    <col min="10" max="31" width="19.125" style="33" bestFit="1" customWidth="1"/>
    <col min="32" max="33" width="17.875" style="33" bestFit="1" customWidth="1"/>
    <col min="34" max="57" width="14.75" style="33" bestFit="1" customWidth="1"/>
    <col min="58" max="77" width="14.75" bestFit="1" customWidth="1"/>
    <col min="78" max="78" width="12.125" customWidth="1"/>
    <col min="79" max="127" width="12.125" hidden="1" customWidth="1"/>
    <col min="128" max="140" width="8.625" hidden="1" customWidth="1"/>
    <col min="141" max="141" width="8.625" customWidth="1"/>
  </cols>
  <sheetData>
    <row r="1" spans="1:77" s="15" customFormat="1" ht="36" customHeight="1" thickBot="1">
      <c r="B1" s="15" t="str">
        <f ca="1">IFERROR(MID(CELL("filename",$A$1),FIND("]",CELL("filename",$A$1))+1,256),"Tab title (save and calculate to sync)")</f>
        <v>Tab title (save and calculate to sync)</v>
      </c>
    </row>
    <row r="2" spans="1:77" ht="15">
      <c r="E2" s="2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row>
    <row r="3" spans="1:77" s="29" customFormat="1" ht="15">
      <c r="A3"/>
      <c r="B3" s="71"/>
      <c r="C3"/>
      <c r="D3"/>
      <c r="F3" s="22" t="s">
        <v>442</v>
      </c>
      <c r="G3" s="22"/>
      <c r="H3" s="29">
        <f>+Assumptions!$G$11</f>
        <v>46388</v>
      </c>
      <c r="I3" s="29">
        <f>+IFERROR(IF(IF(EOMONTH(H4,0)+1&gt;=Assumptions!$G$12,0,EOMONTH(H4,0)+1)=0,"",EOMONTH(H4,0)+1),"")</f>
        <v>46753</v>
      </c>
      <c r="J3" s="29">
        <f>+IFERROR(IF(IF(EOMONTH(I4,0)+1&gt;=Assumptions!$G$12,0,EOMONTH(I4,0)+1)=0,"",EOMONTH(I4,0)+1),"")</f>
        <v>47119</v>
      </c>
      <c r="K3" s="29">
        <f>+IFERROR(IF(IF(EOMONTH(J4,0)+1&gt;=Assumptions!$G$12,0,EOMONTH(J4,0)+1)=0,"",EOMONTH(J4,0)+1),"")</f>
        <v>47484</v>
      </c>
      <c r="L3" s="29">
        <f>+IFERROR(IF(IF(EOMONTH(K4,0)+1&gt;=Assumptions!$G$12,0,EOMONTH(K4,0)+1)=0,"",EOMONTH(K4,0)+1),"")</f>
        <v>47849</v>
      </c>
      <c r="M3" s="29">
        <f>+IFERROR(IF(IF(EOMONTH(L4,0)+1&gt;=Assumptions!$G$12,0,EOMONTH(L4,0)+1)=0,"",EOMONTH(L4,0)+1),"")</f>
        <v>48214</v>
      </c>
      <c r="N3" s="29">
        <f>+IFERROR(IF(IF(EOMONTH(M4,0)+1&gt;=Assumptions!$G$12,0,EOMONTH(M4,0)+1)=0,"",EOMONTH(M4,0)+1),"")</f>
        <v>48580</v>
      </c>
      <c r="O3" s="29">
        <f>+IFERROR(IF(IF(EOMONTH(N4,0)+1&gt;=Assumptions!$G$12,0,EOMONTH(N4,0)+1)=0,"",EOMONTH(N4,0)+1),"")</f>
        <v>48945</v>
      </c>
      <c r="P3" s="29">
        <f>+IFERROR(IF(IF(EOMONTH(O4,0)+1&gt;=Assumptions!$G$12,0,EOMONTH(O4,0)+1)=0,"",EOMONTH(O4,0)+1),"")</f>
        <v>49310</v>
      </c>
      <c r="Q3" s="29">
        <f>+IFERROR(IF(IF(EOMONTH(P4,0)+1&gt;=Assumptions!$G$12,0,EOMONTH(P4,0)+1)=0,"",EOMONTH(P4,0)+1),"")</f>
        <v>49675</v>
      </c>
      <c r="R3" s="29">
        <f>+IFERROR(IF(IF(EOMONTH(Q4,0)+1&gt;=Assumptions!$G$12,0,EOMONTH(Q4,0)+1)=0,"",EOMONTH(Q4,0)+1),"")</f>
        <v>50041</v>
      </c>
      <c r="S3" s="29">
        <f>+IFERROR(IF(IF(EOMONTH(R4,0)+1&gt;=Assumptions!$G$12,0,EOMONTH(R4,0)+1)=0,"",EOMONTH(R4,0)+1),"")</f>
        <v>50406</v>
      </c>
      <c r="T3" s="29">
        <f>+IFERROR(IF(IF(EOMONTH(S4,0)+1&gt;=Assumptions!$G$12,0,EOMONTH(S4,0)+1)=0,"",EOMONTH(S4,0)+1),"")</f>
        <v>50771</v>
      </c>
      <c r="U3" s="29">
        <f>+IFERROR(IF(IF(EOMONTH(T4,0)+1&gt;=Assumptions!$G$12,0,EOMONTH(T4,0)+1)=0,"",EOMONTH(T4,0)+1),"")</f>
        <v>51136</v>
      </c>
      <c r="V3" s="29">
        <f>+IFERROR(IF(IF(EOMONTH(U4,0)+1&gt;=Assumptions!$G$12,0,EOMONTH(U4,0)+1)=0,"",EOMONTH(U4,0)+1),"")</f>
        <v>51502</v>
      </c>
      <c r="W3" s="29">
        <f>+IFERROR(IF(IF(EOMONTH(V4,0)+1&gt;=Assumptions!$G$12,0,EOMONTH(V4,0)+1)=0,"",EOMONTH(V4,0)+1),"")</f>
        <v>51867</v>
      </c>
      <c r="X3" s="29">
        <f>+IFERROR(IF(IF(EOMONTH(W4,0)+1&gt;=Assumptions!$G$12,0,EOMONTH(W4,0)+1)=0,"",EOMONTH(W4,0)+1),"")</f>
        <v>52232</v>
      </c>
      <c r="Y3" s="29">
        <f>+IFERROR(IF(IF(EOMONTH(X4,0)+1&gt;=Assumptions!$G$12,0,EOMONTH(X4,0)+1)=0,"",EOMONTH(X4,0)+1),"")</f>
        <v>52597</v>
      </c>
      <c r="Z3" s="29">
        <f>+IFERROR(IF(IF(EOMONTH(Y4,0)+1&gt;=Assumptions!$G$12,0,EOMONTH(Y4,0)+1)=0,"",EOMONTH(Y4,0)+1),"")</f>
        <v>52963</v>
      </c>
      <c r="AA3" s="29" t="str">
        <f>+IFERROR(IF(IF(EOMONTH(Z4,0)+1&gt;=Assumptions!$G$12,0,EOMONTH(Z4,0)+1)=0,"",EOMONTH(Z4,0)+1),"")</f>
        <v/>
      </c>
      <c r="AB3" s="29" t="str">
        <f>+IFERROR(IF(IF(EOMONTH(AA4,0)+1&gt;=Assumptions!$G$12,0,EOMONTH(AA4,0)+1)=0,"",EOMONTH(AA4,0)+1),"")</f>
        <v/>
      </c>
      <c r="AC3" s="29" t="str">
        <f>+IFERROR(IF(IF(EOMONTH(AB4,0)+1&gt;=Assumptions!$G$12,0,EOMONTH(AB4,0)+1)=0,"",EOMONTH(AB4,0)+1),"")</f>
        <v/>
      </c>
      <c r="AD3" s="29" t="str">
        <f>+IFERROR(IF(IF(EOMONTH(AC4,0)+1&gt;=Assumptions!$G$12,0,EOMONTH(AC4,0)+1)=0,"",EOMONTH(AC4,0)+1),"")</f>
        <v/>
      </c>
      <c r="AE3" s="29" t="str">
        <f>+IFERROR(IF(IF(EOMONTH(AD4,0)+1&gt;=Assumptions!$G$12,0,EOMONTH(AD4,0)+1)=0,"",EOMONTH(AD4,0)+1),"")</f>
        <v/>
      </c>
      <c r="AF3" s="29" t="str">
        <f>+IFERROR(IF(IF(EOMONTH(AE4,0)+1&gt;=Assumptions!$G$12,0,EOMONTH(AE4,0)+1)=0,"",EOMONTH(AE4,0)+1),"")</f>
        <v/>
      </c>
      <c r="AG3" s="29" t="str">
        <f>+IFERROR(IF(IF(EOMONTH(AF4,0)+1&gt;=Assumptions!$G$12,0,EOMONTH(AF4,0)+1)=0,"",EOMONTH(AF4,0)+1),"")</f>
        <v/>
      </c>
      <c r="AH3" s="29" t="str">
        <f>+IFERROR(IF(IF(EOMONTH(AG4,0)+1&gt;=Assumptions!$G$12,0,EOMONTH(AG4,0)+1)=0,"",EOMONTH(AG4,0)+1),"")</f>
        <v/>
      </c>
      <c r="AI3" s="29" t="str">
        <f>+IFERROR(IF(IF(EOMONTH(AH4,0)+1&gt;=Assumptions!$G$12,0,EOMONTH(AH4,0)+1)=0,"",EOMONTH(AH4,0)+1),"")</f>
        <v/>
      </c>
      <c r="AJ3" s="29" t="str">
        <f>+IFERROR(IF(IF(EOMONTH(AI4,0)+1&gt;=Assumptions!$G$12,0,EOMONTH(AI4,0)+1)=0,"",EOMONTH(AI4,0)+1),"")</f>
        <v/>
      </c>
      <c r="AK3" s="29" t="str">
        <f>+IFERROR(IF(IF(EOMONTH(AJ4,0)+1&gt;=Assumptions!$G$12,0,EOMONTH(AJ4,0)+1)=0,"",EOMONTH(AJ4,0)+1),"")</f>
        <v/>
      </c>
      <c r="AL3" s="29" t="str">
        <f>+IFERROR(IF(IF(EOMONTH(AK4,0)+1&gt;=Assumptions!$G$12,0,EOMONTH(AK4,0)+1)=0,"",EOMONTH(AK4,0)+1),"")</f>
        <v/>
      </c>
      <c r="AM3" s="29" t="str">
        <f>+IFERROR(IF(IF(EOMONTH(AL4,0)+1&gt;=Assumptions!$G$12,0,EOMONTH(AL4,0)+1)=0,"",EOMONTH(AL4,0)+1),"")</f>
        <v/>
      </c>
      <c r="AN3" s="29" t="str">
        <f>+IFERROR(IF(IF(EOMONTH(AM4,0)+1&gt;=Assumptions!$G$12,0,EOMONTH(AM4,0)+1)=0,"",EOMONTH(AM4,0)+1),"")</f>
        <v/>
      </c>
      <c r="AO3" s="29" t="str">
        <f>+IFERROR(IF(IF(EOMONTH(AN4,0)+1&gt;=Assumptions!$G$12,0,EOMONTH(AN4,0)+1)=0,"",EOMONTH(AN4,0)+1),"")</f>
        <v/>
      </c>
      <c r="AP3" s="29" t="str">
        <f>+IFERROR(IF(IF(EOMONTH(AO4,0)+1&gt;=Assumptions!$G$12,0,EOMONTH(AO4,0)+1)=0,"",EOMONTH(AO4,0)+1),"")</f>
        <v/>
      </c>
      <c r="AQ3" s="29" t="str">
        <f>+IFERROR(IF(IF(EOMONTH(AP4,0)+1&gt;=Assumptions!$G$12,0,EOMONTH(AP4,0)+1)=0,"",EOMONTH(AP4,0)+1),"")</f>
        <v/>
      </c>
      <c r="AR3" s="29" t="str">
        <f>+IFERROR(IF(IF(EOMONTH(AQ4,0)+1&gt;=Assumptions!$G$12,0,EOMONTH(AQ4,0)+1)=0,"",EOMONTH(AQ4,0)+1),"")</f>
        <v/>
      </c>
      <c r="AS3" s="29" t="str">
        <f>+IFERROR(IF(IF(EOMONTH(AR4,0)+1&gt;=Assumptions!$G$12,0,EOMONTH(AR4,0)+1)=0,"",EOMONTH(AR4,0)+1),"")</f>
        <v/>
      </c>
      <c r="AT3" s="29" t="str">
        <f>+IFERROR(IF(IF(EOMONTH(AS4,0)+1&gt;=Assumptions!$G$12,0,EOMONTH(AS4,0)+1)=0,"",EOMONTH(AS4,0)+1),"")</f>
        <v/>
      </c>
      <c r="AU3" s="29" t="str">
        <f>+IFERROR(IF(IF(EOMONTH(AT4,0)+1&gt;=Assumptions!$G$12,0,EOMONTH(AT4,0)+1)=0,"",EOMONTH(AT4,0)+1),"")</f>
        <v/>
      </c>
      <c r="AV3" s="29" t="str">
        <f>+IFERROR(IF(IF(EOMONTH(AU4,0)+1&gt;=Assumptions!$G$12,0,EOMONTH(AU4,0)+1)=0,"",EOMONTH(AU4,0)+1),"")</f>
        <v/>
      </c>
      <c r="AW3" s="29" t="str">
        <f>+IFERROR(IF(IF(EOMONTH(AV4,0)+1&gt;=Assumptions!$G$12,0,EOMONTH(AV4,0)+1)=0,"",EOMONTH(AV4,0)+1),"")</f>
        <v/>
      </c>
      <c r="AX3" s="29" t="str">
        <f>+IFERROR(IF(IF(EOMONTH(AW4,0)+1&gt;=Assumptions!$G$12,0,EOMONTH(AW4,0)+1)=0,"",EOMONTH(AW4,0)+1),"")</f>
        <v/>
      </c>
      <c r="AY3" s="29" t="str">
        <f>+IFERROR(IF(IF(EOMONTH(AX4,0)+1&gt;=Assumptions!$G$12,0,EOMONTH(AX4,0)+1)=0,"",EOMONTH(AX4,0)+1),"")</f>
        <v/>
      </c>
      <c r="AZ3" s="29" t="str">
        <f>+IFERROR(IF(IF(EOMONTH(AY4,0)+1&gt;=Assumptions!$G$12,0,EOMONTH(AY4,0)+1)=0,"",EOMONTH(AY4,0)+1),"")</f>
        <v/>
      </c>
      <c r="BA3" s="29" t="str">
        <f>+IFERROR(IF(IF(EOMONTH(AZ4,0)+1&gt;=Assumptions!$G$12,0,EOMONTH(AZ4,0)+1)=0,"",EOMONTH(AZ4,0)+1),"")</f>
        <v/>
      </c>
      <c r="BB3" s="29" t="str">
        <f>+IFERROR(IF(IF(EOMONTH(BA4,0)+1&gt;=Assumptions!$G$12,0,EOMONTH(BA4,0)+1)=0,"",EOMONTH(BA4,0)+1),"")</f>
        <v/>
      </c>
      <c r="BC3" s="29" t="str">
        <f>+IFERROR(IF(IF(EOMONTH(BB4,0)+1&gt;=Assumptions!$G$12,0,EOMONTH(BB4,0)+1)=0,"",EOMONTH(BB4,0)+1),"")</f>
        <v/>
      </c>
      <c r="BD3" s="29" t="str">
        <f>+IFERROR(IF(IF(EOMONTH(BC4,0)+1&gt;=Assumptions!$G$12,0,EOMONTH(BC4,0)+1)=0,"",EOMONTH(BC4,0)+1),"")</f>
        <v/>
      </c>
      <c r="BE3" s="29" t="str">
        <f>+IFERROR(IF(IF(EOMONTH(BD4,0)+1&gt;=Assumptions!$G$12,0,EOMONTH(BD4,0)+1)=0,"",EOMONTH(BD4,0)+1),"")</f>
        <v/>
      </c>
      <c r="BF3" s="29" t="str">
        <f>+IFERROR(IF(IF(EOMONTH(BE4,0)+1&gt;=Assumptions!$G$12,0,EOMONTH(BE4,0)+1)=0,"",EOMONTH(BE4,0)+1),"")</f>
        <v/>
      </c>
      <c r="BG3" s="29" t="str">
        <f>+IFERROR(IF(IF(EOMONTH(BF4,0)+1&gt;=Assumptions!$G$12,0,EOMONTH(BF4,0)+1)=0,"",EOMONTH(BF4,0)+1),"")</f>
        <v/>
      </c>
      <c r="BH3" s="29" t="str">
        <f>+IFERROR(IF(IF(EOMONTH(BG4,0)+1&gt;=Assumptions!$G$12,0,EOMONTH(BG4,0)+1)=0,"",EOMONTH(BG4,0)+1),"")</f>
        <v/>
      </c>
      <c r="BI3" s="29" t="str">
        <f>+IFERROR(IF(IF(EOMONTH(BH4,0)+1&gt;=Assumptions!$G$12,0,EOMONTH(BH4,0)+1)=0,"",EOMONTH(BH4,0)+1),"")</f>
        <v/>
      </c>
      <c r="BJ3" s="29" t="str">
        <f>+IFERROR(IF(IF(EOMONTH(BI4,0)+1&gt;=Assumptions!$G$12,0,EOMONTH(BI4,0)+1)=0,"",EOMONTH(BI4,0)+1),"")</f>
        <v/>
      </c>
      <c r="BK3" s="29" t="str">
        <f>+IFERROR(IF(IF(EOMONTH(BJ4,0)+1&gt;=Assumptions!$G$12,0,EOMONTH(BJ4,0)+1)=0,"",EOMONTH(BJ4,0)+1),"")</f>
        <v/>
      </c>
      <c r="BL3" s="29" t="str">
        <f>+IFERROR(IF(IF(EOMONTH(BK4,0)+1&gt;=Assumptions!$G$12,0,EOMONTH(BK4,0)+1)=0,"",EOMONTH(BK4,0)+1),"")</f>
        <v/>
      </c>
      <c r="BM3" s="29" t="str">
        <f>+IFERROR(IF(IF(EOMONTH(BL4,0)+1&gt;=Assumptions!$G$12,0,EOMONTH(BL4,0)+1)=0,"",EOMONTH(BL4,0)+1),"")</f>
        <v/>
      </c>
      <c r="BN3" s="29" t="str">
        <f>+IFERROR(IF(IF(EOMONTH(BM4,0)+1&gt;=Assumptions!$G$12,0,EOMONTH(BM4,0)+1)=0,"",EOMONTH(BM4,0)+1),"")</f>
        <v/>
      </c>
      <c r="BO3" s="29" t="str">
        <f>+IFERROR(IF(IF(EOMONTH(BN4,0)+1&gt;=Assumptions!$G$12,0,EOMONTH(BN4,0)+1)=0,"",EOMONTH(BN4,0)+1),"")</f>
        <v/>
      </c>
      <c r="BP3" s="29" t="str">
        <f>+IFERROR(IF(IF(EOMONTH(BO4,0)+1&gt;=Assumptions!$G$12,0,EOMONTH(BO4,0)+1)=0,"",EOMONTH(BO4,0)+1),"")</f>
        <v/>
      </c>
      <c r="BQ3" s="29" t="str">
        <f>+IFERROR(IF(IF(EOMONTH(BP4,0)+1&gt;=Assumptions!$G$12,0,EOMONTH(BP4,0)+1)=0,"",EOMONTH(BP4,0)+1),"")</f>
        <v/>
      </c>
      <c r="BR3" s="29" t="str">
        <f>+IFERROR(IF(IF(EOMONTH(BQ4,0)+1&gt;=Assumptions!$G$12,0,EOMONTH(BQ4,0)+1)=0,"",EOMONTH(BQ4,0)+1),"")</f>
        <v/>
      </c>
      <c r="BS3" s="29" t="str">
        <f>+IFERROR(IF(IF(EOMONTH(BR4,0)+1&gt;=Assumptions!$G$12,0,EOMONTH(BR4,0)+1)=0,"",EOMONTH(BR4,0)+1),"")</f>
        <v/>
      </c>
      <c r="BT3" s="29" t="str">
        <f>+IFERROR(IF(IF(EOMONTH(BS4,0)+1&gt;=Assumptions!$G$12,0,EOMONTH(BS4,0)+1)=0,"",EOMONTH(BS4,0)+1),"")</f>
        <v/>
      </c>
      <c r="BU3" s="29" t="str">
        <f>+IFERROR(IF(IF(EOMONTH(BT4,0)+1&gt;=Assumptions!$G$12,0,EOMONTH(BT4,0)+1)=0,"",EOMONTH(BT4,0)+1),"")</f>
        <v/>
      </c>
      <c r="BV3" s="29" t="str">
        <f>+IFERROR(IF(IF(EOMONTH(BU4,0)+1&gt;=Assumptions!$G$12,0,EOMONTH(BU4,0)+1)=0,"",EOMONTH(BU4,0)+1),"")</f>
        <v/>
      </c>
      <c r="BW3" s="29" t="str">
        <f>+IFERROR(IF(IF(EOMONTH(BV4,0)+1&gt;=Assumptions!$G$12,0,EOMONTH(BV4,0)+1)=0,"",EOMONTH(BV4,0)+1),"")</f>
        <v/>
      </c>
      <c r="BX3" s="29" t="str">
        <f>+IFERROR(IF(IF(EOMONTH(BW4,0)+1&gt;=Assumptions!$G$12,0,EOMONTH(BW4,0)+1)=0,"",EOMONTH(BW4,0)+1),"")</f>
        <v/>
      </c>
      <c r="BY3" s="29" t="str">
        <f>+IFERROR(IF(IF(EOMONTH(BX4,0)+1&gt;=Assumptions!$G$12,0,EOMONTH(BX4,0)+1)=0,"",EOMONTH(BX4,0)+1),"")</f>
        <v/>
      </c>
    </row>
    <row r="4" spans="1:77" s="29" customFormat="1" ht="15">
      <c r="A4"/>
      <c r="B4"/>
      <c r="C4"/>
      <c r="D4"/>
      <c r="F4" s="22" t="s">
        <v>443</v>
      </c>
      <c r="G4" s="22"/>
      <c r="H4" s="29">
        <f>+IFERROR(EOMONTH(H3,11),"")</f>
        <v>46752</v>
      </c>
      <c r="I4" s="29">
        <f t="shared" ref="I4" si="0">+IFERROR(EOMONTH(I3,11),"")</f>
        <v>47118</v>
      </c>
      <c r="J4" s="29">
        <f t="shared" ref="J4:BU4" si="1">+IFERROR(EOMONTH(J3,11),"")</f>
        <v>47483</v>
      </c>
      <c r="K4" s="29">
        <f t="shared" si="1"/>
        <v>47848</v>
      </c>
      <c r="L4" s="29">
        <f t="shared" si="1"/>
        <v>48213</v>
      </c>
      <c r="M4" s="29">
        <f t="shared" si="1"/>
        <v>48579</v>
      </c>
      <c r="N4" s="29">
        <f t="shared" si="1"/>
        <v>48944</v>
      </c>
      <c r="O4" s="29">
        <f t="shared" si="1"/>
        <v>49309</v>
      </c>
      <c r="P4" s="29">
        <f t="shared" si="1"/>
        <v>49674</v>
      </c>
      <c r="Q4" s="29">
        <f t="shared" si="1"/>
        <v>50040</v>
      </c>
      <c r="R4" s="29">
        <f t="shared" si="1"/>
        <v>50405</v>
      </c>
      <c r="S4" s="29">
        <f t="shared" si="1"/>
        <v>50770</v>
      </c>
      <c r="T4" s="29">
        <f t="shared" si="1"/>
        <v>51135</v>
      </c>
      <c r="U4" s="29">
        <f t="shared" si="1"/>
        <v>51501</v>
      </c>
      <c r="V4" s="29">
        <f t="shared" si="1"/>
        <v>51866</v>
      </c>
      <c r="W4" s="29">
        <f t="shared" si="1"/>
        <v>52231</v>
      </c>
      <c r="X4" s="29">
        <f t="shared" si="1"/>
        <v>52596</v>
      </c>
      <c r="Y4" s="29">
        <f t="shared" si="1"/>
        <v>52962</v>
      </c>
      <c r="Z4" s="29">
        <f t="shared" si="1"/>
        <v>53327</v>
      </c>
      <c r="AA4" s="29" t="str">
        <f t="shared" si="1"/>
        <v/>
      </c>
      <c r="AB4" s="29" t="str">
        <f t="shared" si="1"/>
        <v/>
      </c>
      <c r="AC4" s="29" t="str">
        <f t="shared" si="1"/>
        <v/>
      </c>
      <c r="AD4" s="29" t="str">
        <f t="shared" si="1"/>
        <v/>
      </c>
      <c r="AE4" s="29" t="str">
        <f t="shared" si="1"/>
        <v/>
      </c>
      <c r="AF4" s="29" t="str">
        <f t="shared" si="1"/>
        <v/>
      </c>
      <c r="AG4" s="29" t="str">
        <f t="shared" si="1"/>
        <v/>
      </c>
      <c r="AH4" s="29" t="str">
        <f t="shared" si="1"/>
        <v/>
      </c>
      <c r="AI4" s="29" t="str">
        <f t="shared" si="1"/>
        <v/>
      </c>
      <c r="AJ4" s="29" t="str">
        <f t="shared" si="1"/>
        <v/>
      </c>
      <c r="AK4" s="29" t="str">
        <f t="shared" si="1"/>
        <v/>
      </c>
      <c r="AL4" s="29" t="str">
        <f t="shared" si="1"/>
        <v/>
      </c>
      <c r="AM4" s="29" t="str">
        <f t="shared" si="1"/>
        <v/>
      </c>
      <c r="AN4" s="29" t="str">
        <f t="shared" si="1"/>
        <v/>
      </c>
      <c r="AO4" s="29" t="str">
        <f t="shared" si="1"/>
        <v/>
      </c>
      <c r="AP4" s="29" t="str">
        <f t="shared" si="1"/>
        <v/>
      </c>
      <c r="AQ4" s="29" t="str">
        <f t="shared" si="1"/>
        <v/>
      </c>
      <c r="AR4" s="29" t="str">
        <f t="shared" si="1"/>
        <v/>
      </c>
      <c r="AS4" s="29" t="str">
        <f t="shared" si="1"/>
        <v/>
      </c>
      <c r="AT4" s="29" t="str">
        <f t="shared" si="1"/>
        <v/>
      </c>
      <c r="AU4" s="29" t="str">
        <f t="shared" si="1"/>
        <v/>
      </c>
      <c r="AV4" s="29" t="str">
        <f t="shared" si="1"/>
        <v/>
      </c>
      <c r="AW4" s="29" t="str">
        <f t="shared" si="1"/>
        <v/>
      </c>
      <c r="AX4" s="29" t="str">
        <f t="shared" si="1"/>
        <v/>
      </c>
      <c r="AY4" s="29" t="str">
        <f t="shared" si="1"/>
        <v/>
      </c>
      <c r="AZ4" s="29" t="str">
        <f t="shared" si="1"/>
        <v/>
      </c>
      <c r="BA4" s="29" t="str">
        <f t="shared" si="1"/>
        <v/>
      </c>
      <c r="BB4" s="29" t="str">
        <f t="shared" si="1"/>
        <v/>
      </c>
      <c r="BC4" s="29" t="str">
        <f t="shared" si="1"/>
        <v/>
      </c>
      <c r="BD4" s="29" t="str">
        <f t="shared" si="1"/>
        <v/>
      </c>
      <c r="BE4" s="29" t="str">
        <f t="shared" si="1"/>
        <v/>
      </c>
      <c r="BF4" s="29" t="str">
        <f t="shared" si="1"/>
        <v/>
      </c>
      <c r="BG4" s="29" t="str">
        <f t="shared" si="1"/>
        <v/>
      </c>
      <c r="BH4" s="29" t="str">
        <f t="shared" si="1"/>
        <v/>
      </c>
      <c r="BI4" s="29" t="str">
        <f t="shared" si="1"/>
        <v/>
      </c>
      <c r="BJ4" s="29" t="str">
        <f t="shared" si="1"/>
        <v/>
      </c>
      <c r="BK4" s="29" t="str">
        <f t="shared" si="1"/>
        <v/>
      </c>
      <c r="BL4" s="29" t="str">
        <f t="shared" si="1"/>
        <v/>
      </c>
      <c r="BM4" s="29" t="str">
        <f t="shared" si="1"/>
        <v/>
      </c>
      <c r="BN4" s="29" t="str">
        <f t="shared" si="1"/>
        <v/>
      </c>
      <c r="BO4" s="29" t="str">
        <f t="shared" si="1"/>
        <v/>
      </c>
      <c r="BP4" s="29" t="str">
        <f t="shared" si="1"/>
        <v/>
      </c>
      <c r="BQ4" s="29" t="str">
        <f t="shared" si="1"/>
        <v/>
      </c>
      <c r="BR4" s="29" t="str">
        <f t="shared" si="1"/>
        <v/>
      </c>
      <c r="BS4" s="29" t="str">
        <f t="shared" si="1"/>
        <v/>
      </c>
      <c r="BT4" s="29" t="str">
        <f t="shared" si="1"/>
        <v/>
      </c>
      <c r="BU4" s="29" t="str">
        <f t="shared" si="1"/>
        <v/>
      </c>
      <c r="BV4" s="29" t="str">
        <f t="shared" ref="BV4:BY4" si="2">+IFERROR(EOMONTH(BV3,11),"")</f>
        <v/>
      </c>
      <c r="BW4" s="29" t="str">
        <f t="shared" si="2"/>
        <v/>
      </c>
      <c r="BX4" s="29" t="str">
        <f t="shared" si="2"/>
        <v/>
      </c>
      <c r="BY4" s="29" t="str">
        <f t="shared" si="2"/>
        <v/>
      </c>
    </row>
    <row r="5" spans="1:77">
      <c r="C5" s="29"/>
      <c r="D5" s="29"/>
      <c r="E5" s="29"/>
      <c r="F5" s="24"/>
      <c r="G5" s="24"/>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row>
    <row r="6" spans="1:77">
      <c r="A6" s="24" t="s">
        <v>444</v>
      </c>
      <c r="C6" s="29"/>
      <c r="D6" s="29"/>
      <c r="E6" s="29"/>
      <c r="F6" s="24"/>
      <c r="G6" s="24"/>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row>
    <row r="7" spans="1:77">
      <c r="A7" s="24"/>
      <c r="C7" s="29"/>
      <c r="D7" s="29"/>
      <c r="E7" s="29"/>
      <c r="F7" s="24"/>
      <c r="G7" s="24"/>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row>
    <row r="8" spans="1:77" s="17" customFormat="1" ht="15">
      <c r="A8" s="17" t="s">
        <v>445</v>
      </c>
    </row>
    <row r="9" spans="1:77">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row>
    <row r="10" spans="1:77" s="19" customFormat="1" outlineLevel="1">
      <c r="A10"/>
      <c r="B10" s="18" t="str">
        <f>+Assumptions!A7</f>
        <v>Global assumptions</v>
      </c>
    </row>
    <row r="11" spans="1:77" outlineLevel="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row>
    <row r="12" spans="1:77" outlineLevel="1"/>
    <row r="13" spans="1:77" outlineLevel="1">
      <c r="C13" s="116" t="str">
        <f>+Assumptions!G9</f>
        <v>General</v>
      </c>
      <c r="E13" t="s">
        <v>162</v>
      </c>
      <c r="F13" s="23" t="s">
        <v>178</v>
      </c>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row>
    <row r="14" spans="1:77"/>
    <row r="15" spans="1:77" s="66" customFormat="1" ht="15">
      <c r="A15" s="66" t="str">
        <f>+Assumptions!B20</f>
        <v>1.0 Fuel production</v>
      </c>
    </row>
    <row r="16" spans="1:77" s="19" customFormat="1" outlineLevel="1">
      <c r="A16"/>
      <c r="B16" s="18" t="str">
        <f>+Assumptions!C31</f>
        <v>1.2 CAPEX</v>
      </c>
    </row>
    <row r="17" spans="1:77" outlineLevel="1"/>
    <row r="18" spans="1:77" ht="15" outlineLevel="1">
      <c r="E18" s="22" t="s">
        <v>446</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row>
    <row r="19" spans="1:77" outlineLevel="1">
      <c r="C19" s="116" t="str">
        <f>+Assumptions!G46</f>
        <v>Detailed</v>
      </c>
      <c r="E19" t="s">
        <v>447</v>
      </c>
      <c r="F19" s="80" t="s">
        <v>448</v>
      </c>
      <c r="H19" s="752"/>
      <c r="I19" s="752"/>
      <c r="J19" s="752"/>
      <c r="K19" s="752"/>
      <c r="L19" s="752"/>
      <c r="M19" s="752"/>
      <c r="N19" s="752"/>
      <c r="O19" s="752"/>
      <c r="P19" s="752"/>
      <c r="Q19" s="752"/>
      <c r="R19" s="752"/>
      <c r="S19" s="752"/>
      <c r="T19" s="752"/>
      <c r="U19" s="752"/>
      <c r="V19" s="752"/>
      <c r="W19" s="752"/>
      <c r="X19" s="752"/>
      <c r="Y19" s="752"/>
      <c r="Z19" s="752"/>
      <c r="AA19" s="752"/>
      <c r="AB19" s="752"/>
      <c r="AC19" s="752"/>
      <c r="AD19" s="752"/>
      <c r="AE19" s="752"/>
      <c r="AF19" s="752"/>
      <c r="AG19" s="752"/>
      <c r="AH19" s="752"/>
      <c r="AI19" s="752"/>
      <c r="AJ19" s="752"/>
      <c r="AK19" s="752"/>
      <c r="AL19" s="752"/>
      <c r="AM19" s="752"/>
      <c r="AN19" s="752"/>
      <c r="AO19" s="752"/>
      <c r="AP19" s="752"/>
      <c r="AQ19" s="752"/>
      <c r="AR19" s="752"/>
      <c r="AS19" s="752"/>
      <c r="AT19" s="752"/>
      <c r="AU19" s="752"/>
      <c r="AV19" s="752"/>
      <c r="AW19" s="752"/>
      <c r="AX19" s="752"/>
      <c r="AY19" s="752"/>
      <c r="AZ19" s="752"/>
      <c r="BA19" s="752"/>
      <c r="BB19" s="752"/>
      <c r="BC19" s="752"/>
      <c r="BD19" s="752"/>
      <c r="BE19" s="752"/>
      <c r="BF19" s="752"/>
      <c r="BG19" s="752"/>
      <c r="BH19" s="752"/>
      <c r="BI19" s="752"/>
      <c r="BJ19" s="752"/>
      <c r="BK19" s="752"/>
      <c r="BL19" s="752"/>
      <c r="BM19" s="752"/>
      <c r="BN19" s="752"/>
      <c r="BO19" s="752"/>
      <c r="BP19" s="752"/>
      <c r="BQ19" s="752"/>
      <c r="BR19" s="752"/>
      <c r="BS19" s="752"/>
      <c r="BT19" s="752"/>
      <c r="BU19" s="752"/>
      <c r="BV19" s="752"/>
      <c r="BW19" s="752"/>
      <c r="BX19" s="752"/>
      <c r="BY19" s="752"/>
    </row>
    <row r="20" spans="1:77" outlineLevel="1">
      <c r="C20" s="68" t="str">
        <f>+Assumptions!G52</f>
        <v>General</v>
      </c>
      <c r="E20" t="s">
        <v>449</v>
      </c>
      <c r="F20" s="80" t="s">
        <v>448</v>
      </c>
      <c r="H20" s="752"/>
      <c r="I20" s="752"/>
      <c r="J20" s="752"/>
      <c r="K20" s="752"/>
      <c r="L20" s="752"/>
      <c r="M20" s="752"/>
      <c r="N20" s="752"/>
      <c r="O20" s="752"/>
      <c r="P20" s="752"/>
      <c r="Q20" s="752"/>
      <c r="R20" s="752"/>
      <c r="S20" s="752"/>
      <c r="T20" s="752"/>
      <c r="U20" s="752"/>
      <c r="V20" s="752"/>
      <c r="W20" s="752"/>
      <c r="X20" s="752"/>
      <c r="Y20" s="752"/>
      <c r="Z20" s="752"/>
      <c r="AA20" s="752"/>
      <c r="AB20" s="752"/>
      <c r="AC20" s="752"/>
      <c r="AD20" s="752"/>
      <c r="AE20" s="752"/>
      <c r="AF20" s="752"/>
      <c r="AG20" s="752"/>
      <c r="AH20" s="752"/>
      <c r="AI20" s="752"/>
      <c r="AJ20" s="752"/>
      <c r="AK20" s="752"/>
      <c r="AL20" s="752"/>
      <c r="AM20" s="752"/>
      <c r="AN20" s="752"/>
      <c r="AO20" s="752"/>
      <c r="AP20" s="752"/>
      <c r="AQ20" s="752"/>
      <c r="AR20" s="752"/>
      <c r="AS20" s="752"/>
      <c r="AT20" s="752"/>
      <c r="AU20" s="752"/>
      <c r="AV20" s="752"/>
      <c r="AW20" s="752"/>
      <c r="AX20" s="752"/>
      <c r="AY20" s="752"/>
      <c r="AZ20" s="752"/>
      <c r="BA20" s="752"/>
      <c r="BB20" s="752"/>
      <c r="BC20" s="752"/>
      <c r="BD20" s="752"/>
      <c r="BE20" s="752"/>
      <c r="BF20" s="752"/>
      <c r="BG20" s="752"/>
      <c r="BH20" s="752"/>
      <c r="BI20" s="752"/>
      <c r="BJ20" s="752"/>
      <c r="BK20" s="752"/>
      <c r="BL20" s="752"/>
      <c r="BM20" s="752"/>
      <c r="BN20" s="752"/>
      <c r="BO20" s="752"/>
      <c r="BP20" s="752"/>
      <c r="BQ20" s="752"/>
      <c r="BR20" s="752"/>
      <c r="BS20" s="752"/>
      <c r="BT20" s="752"/>
      <c r="BU20" s="752"/>
      <c r="BV20" s="752"/>
      <c r="BW20" s="752"/>
      <c r="BX20" s="752"/>
      <c r="BY20" s="752"/>
    </row>
    <row r="21" spans="1:77" outlineLevel="1">
      <c r="F21" s="23"/>
      <c r="G21" s="23"/>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row>
    <row r="22" spans="1:77" s="19" customFormat="1" ht="12.75" outlineLevel="1">
      <c r="A22" s="771"/>
      <c r="B22" s="18" t="str">
        <f>+Assumptions!C59</f>
        <v>1.3 OPEX</v>
      </c>
      <c r="H22" s="753"/>
      <c r="I22" s="753"/>
      <c r="J22" s="753"/>
      <c r="K22" s="753"/>
      <c r="L22" s="753"/>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c r="AK22" s="753"/>
      <c r="AL22" s="753"/>
      <c r="AM22" s="753"/>
      <c r="AN22" s="753"/>
      <c r="AO22" s="753"/>
      <c r="AP22" s="753"/>
      <c r="AQ22" s="753"/>
      <c r="AR22" s="753"/>
      <c r="AS22" s="753"/>
      <c r="AT22" s="753"/>
      <c r="AU22" s="753"/>
      <c r="AV22" s="753"/>
      <c r="AW22" s="753"/>
      <c r="AX22" s="753"/>
      <c r="AY22" s="753"/>
      <c r="AZ22" s="753"/>
      <c r="BA22" s="753"/>
      <c r="BB22" s="753"/>
      <c r="BC22" s="753"/>
      <c r="BD22" s="753"/>
      <c r="BE22" s="753"/>
      <c r="BF22" s="753"/>
      <c r="BG22" s="753"/>
      <c r="BH22" s="753"/>
      <c r="BI22" s="753"/>
      <c r="BJ22" s="753"/>
      <c r="BK22" s="753"/>
      <c r="BL22" s="753"/>
      <c r="BM22" s="753"/>
      <c r="BN22" s="753"/>
      <c r="BO22" s="753"/>
      <c r="BP22" s="753"/>
      <c r="BQ22" s="753"/>
      <c r="BR22" s="753"/>
      <c r="BS22" s="753"/>
      <c r="BT22" s="753"/>
      <c r="BU22" s="753"/>
      <c r="BV22" s="753"/>
      <c r="BW22" s="753"/>
      <c r="BX22" s="753"/>
      <c r="BY22" s="753"/>
    </row>
    <row r="23" spans="1:77" outlineLevel="1">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row>
    <row r="24" spans="1:77" ht="15" outlineLevel="1">
      <c r="E24" s="22" t="s">
        <v>450</v>
      </c>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row>
    <row r="25" spans="1:77" outlineLevel="1">
      <c r="C25" s="68" t="str">
        <f>+Assumptions!G69</f>
        <v>General</v>
      </c>
      <c r="E25" t="s">
        <v>451</v>
      </c>
      <c r="F25" s="80" t="s">
        <v>448</v>
      </c>
      <c r="H25" s="752"/>
      <c r="I25" s="752"/>
      <c r="J25" s="752">
        <v>1000000</v>
      </c>
      <c r="K25" s="752">
        <v>1000000</v>
      </c>
      <c r="L25" s="752">
        <v>1000000</v>
      </c>
      <c r="M25" s="752">
        <v>1000000</v>
      </c>
      <c r="N25" s="752">
        <v>1000000</v>
      </c>
      <c r="O25" s="752">
        <v>1000000</v>
      </c>
      <c r="P25" s="752">
        <v>1000000</v>
      </c>
      <c r="Q25" s="752">
        <v>1000000</v>
      </c>
      <c r="R25" s="752">
        <v>1000000</v>
      </c>
      <c r="S25" s="752">
        <v>1000000</v>
      </c>
      <c r="T25" s="752"/>
      <c r="U25" s="752"/>
      <c r="V25" s="752"/>
      <c r="W25" s="752"/>
      <c r="X25" s="752"/>
      <c r="Y25" s="752"/>
      <c r="Z25" s="752"/>
      <c r="AA25" s="752"/>
      <c r="AB25" s="752"/>
      <c r="AC25" s="752"/>
      <c r="AD25" s="752"/>
      <c r="AE25" s="752"/>
      <c r="AF25" s="752"/>
      <c r="AG25" s="752"/>
      <c r="AH25" s="752"/>
      <c r="AI25" s="752"/>
      <c r="AJ25" s="752"/>
      <c r="AK25" s="752"/>
      <c r="AL25" s="752"/>
      <c r="AM25" s="752"/>
      <c r="AN25" s="752"/>
      <c r="AO25" s="752"/>
      <c r="AP25" s="752"/>
      <c r="AQ25" s="752"/>
      <c r="AR25" s="752"/>
      <c r="AS25" s="752"/>
      <c r="AT25" s="752"/>
      <c r="AU25" s="752"/>
      <c r="AV25" s="752"/>
      <c r="AW25" s="752"/>
      <c r="AX25" s="752"/>
      <c r="AY25" s="752"/>
      <c r="AZ25" s="752"/>
      <c r="BA25" s="752"/>
      <c r="BB25" s="752"/>
      <c r="BC25" s="752"/>
      <c r="BD25" s="752"/>
      <c r="BE25" s="752"/>
      <c r="BF25" s="752"/>
      <c r="BG25" s="752"/>
      <c r="BH25" s="752"/>
      <c r="BI25" s="752"/>
      <c r="BJ25" s="752"/>
      <c r="BK25" s="752"/>
      <c r="BL25" s="752"/>
      <c r="BM25" s="752"/>
      <c r="BN25" s="752"/>
      <c r="BO25" s="752"/>
      <c r="BP25" s="752"/>
      <c r="BQ25" s="752"/>
      <c r="BR25" s="752"/>
      <c r="BS25" s="752"/>
      <c r="BT25" s="752"/>
      <c r="BU25" s="752"/>
      <c r="BV25" s="752"/>
      <c r="BW25" s="752"/>
      <c r="BX25" s="752"/>
      <c r="BY25" s="752"/>
    </row>
    <row r="26" spans="1:77" ht="15" outlineLevel="1">
      <c r="E26" s="2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row>
    <row r="27" spans="1:77" outlineLevel="1">
      <c r="E27" t="s">
        <v>452</v>
      </c>
      <c r="F27" s="80" t="str">
        <f>+Assumptions!$G$8&amp;"/ton"</f>
        <v>USD/ton</v>
      </c>
      <c r="H27" s="32">
        <f ca="1">+IF(IFERROR(INDEX(Fuel_CapexOpex!$G$4:$CF$147,MATCH(Assumptions!$G$24&amp;"Opex"&amp;Assumptions!$G$15,Fuel_CapexOpex!$F$4:$F$147,0),MATCH(YEAR(H3),Fuel_CapexOpex!$G$3:$CF$3,0)),0)=0,G27,IFERROR(INDEX(Fuel_CapexOpex!$G$4:$CF$147,MATCH(Assumptions!$G$24&amp;"Opex"&amp;Assumptions!$G$15,Fuel_CapexOpex!$F$4:$F$147,0),MATCH(YEAR(H3),Fuel_CapexOpex!$G$3:$CF$3,0)),0))</f>
        <v>0</v>
      </c>
      <c r="I27" s="32">
        <f ca="1">+IF(IFERROR(INDEX(Fuel_CapexOpex!$G$4:$CF$147,MATCH(Assumptions!$G$24&amp;"Opex"&amp;Assumptions!$G$15,Fuel_CapexOpex!$F$4:$F$147,0),MATCH(YEAR(I3),Fuel_CapexOpex!$G$3:$CF$3,0)),0)=0,H27,IFERROR(INDEX(Fuel_CapexOpex!$G$4:$CF$147,MATCH(Assumptions!$G$24&amp;"Opex"&amp;Assumptions!$G$15,Fuel_CapexOpex!$F$4:$F$147,0),MATCH(YEAR(I3),Fuel_CapexOpex!$G$3:$CF$3,0)),0))</f>
        <v>0</v>
      </c>
      <c r="J27" s="32">
        <f ca="1">+IF(IFERROR(INDEX(Fuel_CapexOpex!$G$4:$CF$147,MATCH(Assumptions!$G$24&amp;"Opex"&amp;Assumptions!$G$15,Fuel_CapexOpex!$F$4:$F$147,0),MATCH(YEAR(J3),Fuel_CapexOpex!$G$3:$CF$3,0)),0)=0,I27,IFERROR(INDEX(Fuel_CapexOpex!$G$4:$CF$147,MATCH(Assumptions!$G$24&amp;"Opex"&amp;Assumptions!$G$15,Fuel_CapexOpex!$F$4:$F$147,0),MATCH(YEAR(J3),Fuel_CapexOpex!$G$3:$CF$3,0)),0))</f>
        <v>0</v>
      </c>
      <c r="K27" s="32">
        <f ca="1">+IF(IFERROR(INDEX(Fuel_CapexOpex!$G$4:$CF$147,MATCH(Assumptions!$G$24&amp;"Opex"&amp;Assumptions!$G$15,Fuel_CapexOpex!$F$4:$F$147,0),MATCH(YEAR(K3),Fuel_CapexOpex!$G$3:$CF$3,0)),0)=0,J27,IFERROR(INDEX(Fuel_CapexOpex!$G$4:$CF$147,MATCH(Assumptions!$G$24&amp;"Opex"&amp;Assumptions!$G$15,Fuel_CapexOpex!$F$4:$F$147,0),MATCH(YEAR(K3),Fuel_CapexOpex!$G$3:$CF$3,0)),0))</f>
        <v>0</v>
      </c>
      <c r="L27" s="32">
        <f ca="1">+IF(IFERROR(INDEX(Fuel_CapexOpex!$G$4:$CF$147,MATCH(Assumptions!$G$24&amp;"Opex"&amp;Assumptions!$G$15,Fuel_CapexOpex!$F$4:$F$147,0),MATCH(YEAR(L3),Fuel_CapexOpex!$G$3:$CF$3,0)),0)=0,K27,IFERROR(INDEX(Fuel_CapexOpex!$G$4:$CF$147,MATCH(Assumptions!$G$24&amp;"Opex"&amp;Assumptions!$G$15,Fuel_CapexOpex!$F$4:$F$147,0),MATCH(YEAR(L3),Fuel_CapexOpex!$G$3:$CF$3,0)),0))</f>
        <v>0</v>
      </c>
      <c r="M27" s="32">
        <f ca="1">+IF(IFERROR(INDEX(Fuel_CapexOpex!$G$4:$CF$147,MATCH(Assumptions!$G$24&amp;"Opex"&amp;Assumptions!$G$15,Fuel_CapexOpex!$F$4:$F$147,0),MATCH(YEAR(M3),Fuel_CapexOpex!$G$3:$CF$3,0)),0)=0,L27,IFERROR(INDEX(Fuel_CapexOpex!$G$4:$CF$147,MATCH(Assumptions!$G$24&amp;"Opex"&amp;Assumptions!$G$15,Fuel_CapexOpex!$F$4:$F$147,0),MATCH(YEAR(M3),Fuel_CapexOpex!$G$3:$CF$3,0)),0))</f>
        <v>0</v>
      </c>
      <c r="N27" s="32">
        <f ca="1">+IF(IFERROR(INDEX(Fuel_CapexOpex!$G$4:$CF$147,MATCH(Assumptions!$G$24&amp;"Opex"&amp;Assumptions!$G$15,Fuel_CapexOpex!$F$4:$F$147,0),MATCH(YEAR(N3),Fuel_CapexOpex!$G$3:$CF$3,0)),0)=0,M27,IFERROR(INDEX(Fuel_CapexOpex!$G$4:$CF$147,MATCH(Assumptions!$G$24&amp;"Opex"&amp;Assumptions!$G$15,Fuel_CapexOpex!$F$4:$F$147,0),MATCH(YEAR(N3),Fuel_CapexOpex!$G$3:$CF$3,0)),0))</f>
        <v>0</v>
      </c>
      <c r="O27" s="32">
        <f ca="1">+IF(IFERROR(INDEX(Fuel_CapexOpex!$G$4:$CF$147,MATCH(Assumptions!$G$24&amp;"Opex"&amp;Assumptions!$G$15,Fuel_CapexOpex!$F$4:$F$147,0),MATCH(YEAR(O3),Fuel_CapexOpex!$G$3:$CF$3,0)),0)=0,N27,IFERROR(INDEX(Fuel_CapexOpex!$G$4:$CF$147,MATCH(Assumptions!$G$24&amp;"Opex"&amp;Assumptions!$G$15,Fuel_CapexOpex!$F$4:$F$147,0),MATCH(YEAR(O3),Fuel_CapexOpex!$G$3:$CF$3,0)),0))</f>
        <v>0</v>
      </c>
      <c r="P27" s="32">
        <f ca="1">+IF(IFERROR(INDEX(Fuel_CapexOpex!$G$4:$CF$147,MATCH(Assumptions!$G$24&amp;"Opex"&amp;Assumptions!$G$15,Fuel_CapexOpex!$F$4:$F$147,0),MATCH(YEAR(P3),Fuel_CapexOpex!$G$3:$CF$3,0)),0)=0,O27,IFERROR(INDEX(Fuel_CapexOpex!$G$4:$CF$147,MATCH(Assumptions!$G$24&amp;"Opex"&amp;Assumptions!$G$15,Fuel_CapexOpex!$F$4:$F$147,0),MATCH(YEAR(P3),Fuel_CapexOpex!$G$3:$CF$3,0)),0))</f>
        <v>0</v>
      </c>
      <c r="Q27" s="32">
        <f ca="1">+IF(IFERROR(INDEX(Fuel_CapexOpex!$G$4:$CF$147,MATCH(Assumptions!$G$24&amp;"Opex"&amp;Assumptions!$G$15,Fuel_CapexOpex!$F$4:$F$147,0),MATCH(YEAR(Q3),Fuel_CapexOpex!$G$3:$CF$3,0)),0)=0,P27,IFERROR(INDEX(Fuel_CapexOpex!$G$4:$CF$147,MATCH(Assumptions!$G$24&amp;"Opex"&amp;Assumptions!$G$15,Fuel_CapexOpex!$F$4:$F$147,0),MATCH(YEAR(Q3),Fuel_CapexOpex!$G$3:$CF$3,0)),0))</f>
        <v>0</v>
      </c>
      <c r="R27" s="32">
        <f ca="1">+IF(IFERROR(INDEX(Fuel_CapexOpex!$G$4:$CF$147,MATCH(Assumptions!$G$24&amp;"Opex"&amp;Assumptions!$G$15,Fuel_CapexOpex!$F$4:$F$147,0),MATCH(YEAR(R3),Fuel_CapexOpex!$G$3:$CF$3,0)),0)=0,Q27,IFERROR(INDEX(Fuel_CapexOpex!$G$4:$CF$147,MATCH(Assumptions!$G$24&amp;"Opex"&amp;Assumptions!$G$15,Fuel_CapexOpex!$F$4:$F$147,0),MATCH(YEAR(R3),Fuel_CapexOpex!$G$3:$CF$3,0)),0))</f>
        <v>0</v>
      </c>
      <c r="S27" s="32">
        <f ca="1">+IF(IFERROR(INDEX(Fuel_CapexOpex!$G$4:$CF$147,MATCH(Assumptions!$G$24&amp;"Opex"&amp;Assumptions!$G$15,Fuel_CapexOpex!$F$4:$F$147,0),MATCH(YEAR(S3),Fuel_CapexOpex!$G$3:$CF$3,0)),0)=0,R27,IFERROR(INDEX(Fuel_CapexOpex!$G$4:$CF$147,MATCH(Assumptions!$G$24&amp;"Opex"&amp;Assumptions!$G$15,Fuel_CapexOpex!$F$4:$F$147,0),MATCH(YEAR(S3),Fuel_CapexOpex!$G$3:$CF$3,0)),0))</f>
        <v>0</v>
      </c>
      <c r="T27" s="32">
        <f ca="1">+IF(IFERROR(INDEX(Fuel_CapexOpex!$G$4:$CF$147,MATCH(Assumptions!$G$24&amp;"Opex"&amp;Assumptions!$G$15,Fuel_CapexOpex!$F$4:$F$147,0),MATCH(YEAR(T3),Fuel_CapexOpex!$G$3:$CF$3,0)),0)=0,S27,IFERROR(INDEX(Fuel_CapexOpex!$G$4:$CF$147,MATCH(Assumptions!$G$24&amp;"Opex"&amp;Assumptions!$G$15,Fuel_CapexOpex!$F$4:$F$147,0),MATCH(YEAR(T3),Fuel_CapexOpex!$G$3:$CF$3,0)),0))</f>
        <v>0</v>
      </c>
      <c r="U27" s="32">
        <f ca="1">+IF(IFERROR(INDEX(Fuel_CapexOpex!$G$4:$CF$147,MATCH(Assumptions!$G$24&amp;"Opex"&amp;Assumptions!$G$15,Fuel_CapexOpex!$F$4:$F$147,0),MATCH(YEAR(U3),Fuel_CapexOpex!$G$3:$CF$3,0)),0)=0,T27,IFERROR(INDEX(Fuel_CapexOpex!$G$4:$CF$147,MATCH(Assumptions!$G$24&amp;"Opex"&amp;Assumptions!$G$15,Fuel_CapexOpex!$F$4:$F$147,0),MATCH(YEAR(U3),Fuel_CapexOpex!$G$3:$CF$3,0)),0))</f>
        <v>0</v>
      </c>
      <c r="V27" s="32">
        <f ca="1">+IF(IFERROR(INDEX(Fuel_CapexOpex!$G$4:$CF$147,MATCH(Assumptions!$G$24&amp;"Opex"&amp;Assumptions!$G$15,Fuel_CapexOpex!$F$4:$F$147,0),MATCH(YEAR(V3),Fuel_CapexOpex!$G$3:$CF$3,0)),0)=0,U27,IFERROR(INDEX(Fuel_CapexOpex!$G$4:$CF$147,MATCH(Assumptions!$G$24&amp;"Opex"&amp;Assumptions!$G$15,Fuel_CapexOpex!$F$4:$F$147,0),MATCH(YEAR(V3),Fuel_CapexOpex!$G$3:$CF$3,0)),0))</f>
        <v>0</v>
      </c>
      <c r="W27" s="32">
        <f ca="1">+IF(IFERROR(INDEX(Fuel_CapexOpex!$G$4:$CF$147,MATCH(Assumptions!$G$24&amp;"Opex"&amp;Assumptions!$G$15,Fuel_CapexOpex!$F$4:$F$147,0),MATCH(YEAR(W3),Fuel_CapexOpex!$G$3:$CF$3,0)),0)=0,V27,IFERROR(INDEX(Fuel_CapexOpex!$G$4:$CF$147,MATCH(Assumptions!$G$24&amp;"Opex"&amp;Assumptions!$G$15,Fuel_CapexOpex!$F$4:$F$147,0),MATCH(YEAR(W3),Fuel_CapexOpex!$G$3:$CF$3,0)),0))</f>
        <v>0</v>
      </c>
      <c r="X27" s="32">
        <f ca="1">+IF(IFERROR(INDEX(Fuel_CapexOpex!$G$4:$CF$147,MATCH(Assumptions!$G$24&amp;"Opex"&amp;Assumptions!$G$15,Fuel_CapexOpex!$F$4:$F$147,0),MATCH(YEAR(X3),Fuel_CapexOpex!$G$3:$CF$3,0)),0)=0,W27,IFERROR(INDEX(Fuel_CapexOpex!$G$4:$CF$147,MATCH(Assumptions!$G$24&amp;"Opex"&amp;Assumptions!$G$15,Fuel_CapexOpex!$F$4:$F$147,0),MATCH(YEAR(X3),Fuel_CapexOpex!$G$3:$CF$3,0)),0))</f>
        <v>0</v>
      </c>
      <c r="Y27" s="32">
        <f ca="1">+IF(IFERROR(INDEX(Fuel_CapexOpex!$G$4:$CF$147,MATCH(Assumptions!$G$24&amp;"Opex"&amp;Assumptions!$G$15,Fuel_CapexOpex!$F$4:$F$147,0),MATCH(YEAR(Y3),Fuel_CapexOpex!$G$3:$CF$3,0)),0)=0,X27,IFERROR(INDEX(Fuel_CapexOpex!$G$4:$CF$147,MATCH(Assumptions!$G$24&amp;"Opex"&amp;Assumptions!$G$15,Fuel_CapexOpex!$F$4:$F$147,0),MATCH(YEAR(Y3),Fuel_CapexOpex!$G$3:$CF$3,0)),0))</f>
        <v>0</v>
      </c>
      <c r="Z27" s="32">
        <f ca="1">+IF(IFERROR(INDEX(Fuel_CapexOpex!$G$4:$CF$147,MATCH(Assumptions!$G$24&amp;"Opex"&amp;Assumptions!$G$15,Fuel_CapexOpex!$F$4:$F$147,0),MATCH(YEAR(Z3),Fuel_CapexOpex!$G$3:$CF$3,0)),0)=0,Y27,IFERROR(INDEX(Fuel_CapexOpex!$G$4:$CF$147,MATCH(Assumptions!$G$24&amp;"Opex"&amp;Assumptions!$G$15,Fuel_CapexOpex!$F$4:$F$147,0),MATCH(YEAR(Z3),Fuel_CapexOpex!$G$3:$CF$3,0)),0))</f>
        <v>0</v>
      </c>
      <c r="AA27" s="32">
        <f ca="1">+IF(IFERROR(INDEX(Fuel_CapexOpex!$G$4:$CF$147,MATCH(Assumptions!$G$24&amp;"Opex"&amp;Assumptions!$G$15,Fuel_CapexOpex!$F$4:$F$147,0),MATCH(YEAR(AA3),Fuel_CapexOpex!$G$3:$CF$3,0)),0)=0,Z27,IFERROR(INDEX(Fuel_CapexOpex!$G$4:$CF$147,MATCH(Assumptions!$G$24&amp;"Opex"&amp;Assumptions!$G$15,Fuel_CapexOpex!$F$4:$F$147,0),MATCH(YEAR(AA3),Fuel_CapexOpex!$G$3:$CF$3,0)),0))</f>
        <v>0</v>
      </c>
      <c r="AB27" s="32">
        <f ca="1">+IF(IFERROR(INDEX(Fuel_CapexOpex!$G$4:$CF$147,MATCH(Assumptions!$G$24&amp;"Opex"&amp;Assumptions!$G$15,Fuel_CapexOpex!$F$4:$F$147,0),MATCH(YEAR(AB3),Fuel_CapexOpex!$G$3:$CF$3,0)),0)=0,AA27,IFERROR(INDEX(Fuel_CapexOpex!$G$4:$CF$147,MATCH(Assumptions!$G$24&amp;"Opex"&amp;Assumptions!$G$15,Fuel_CapexOpex!$F$4:$F$147,0),MATCH(YEAR(AB3),Fuel_CapexOpex!$G$3:$CF$3,0)),0))</f>
        <v>0</v>
      </c>
      <c r="AC27" s="32">
        <f ca="1">+IF(IFERROR(INDEX(Fuel_CapexOpex!$G$4:$CF$147,MATCH(Assumptions!$G$24&amp;"Opex"&amp;Assumptions!$G$15,Fuel_CapexOpex!$F$4:$F$147,0),MATCH(YEAR(AC3),Fuel_CapexOpex!$G$3:$CF$3,0)),0)=0,AB27,IFERROR(INDEX(Fuel_CapexOpex!$G$4:$CF$147,MATCH(Assumptions!$G$24&amp;"Opex"&amp;Assumptions!$G$15,Fuel_CapexOpex!$F$4:$F$147,0),MATCH(YEAR(AC3),Fuel_CapexOpex!$G$3:$CF$3,0)),0))</f>
        <v>0</v>
      </c>
      <c r="AD27" s="32">
        <f ca="1">+IF(IFERROR(INDEX(Fuel_CapexOpex!$G$4:$CF$147,MATCH(Assumptions!$G$24&amp;"Opex"&amp;Assumptions!$G$15,Fuel_CapexOpex!$F$4:$F$147,0),MATCH(YEAR(AD3),Fuel_CapexOpex!$G$3:$CF$3,0)),0)=0,AC27,IFERROR(INDEX(Fuel_CapexOpex!$G$4:$CF$147,MATCH(Assumptions!$G$24&amp;"Opex"&amp;Assumptions!$G$15,Fuel_CapexOpex!$F$4:$F$147,0),MATCH(YEAR(AD3),Fuel_CapexOpex!$G$3:$CF$3,0)),0))</f>
        <v>0</v>
      </c>
      <c r="AE27" s="32">
        <f ca="1">+IF(IFERROR(INDEX(Fuel_CapexOpex!$G$4:$CF$147,MATCH(Assumptions!$G$24&amp;"Opex"&amp;Assumptions!$G$15,Fuel_CapexOpex!$F$4:$F$147,0),MATCH(YEAR(AE3),Fuel_CapexOpex!$G$3:$CF$3,0)),0)=0,AD27,IFERROR(INDEX(Fuel_CapexOpex!$G$4:$CF$147,MATCH(Assumptions!$G$24&amp;"Opex"&amp;Assumptions!$G$15,Fuel_CapexOpex!$F$4:$F$147,0),MATCH(YEAR(AE3),Fuel_CapexOpex!$G$3:$CF$3,0)),0))</f>
        <v>0</v>
      </c>
      <c r="AF27" s="32">
        <f ca="1">+IF(IFERROR(INDEX(Fuel_CapexOpex!$G$4:$CF$147,MATCH(Assumptions!$G$24&amp;"Opex"&amp;Assumptions!$G$15,Fuel_CapexOpex!$F$4:$F$147,0),MATCH(YEAR(AF3),Fuel_CapexOpex!$G$3:$CF$3,0)),0)=0,AE27,IFERROR(INDEX(Fuel_CapexOpex!$G$4:$CF$147,MATCH(Assumptions!$G$24&amp;"Opex"&amp;Assumptions!$G$15,Fuel_CapexOpex!$F$4:$F$147,0),MATCH(YEAR(AF3),Fuel_CapexOpex!$G$3:$CF$3,0)),0))</f>
        <v>0</v>
      </c>
      <c r="AG27" s="32">
        <f ca="1">+IF(IFERROR(INDEX(Fuel_CapexOpex!$G$4:$CF$147,MATCH(Assumptions!$G$24&amp;"Opex"&amp;Assumptions!$G$15,Fuel_CapexOpex!$F$4:$F$147,0),MATCH(YEAR(AG3),Fuel_CapexOpex!$G$3:$CF$3,0)),0)=0,AF27,IFERROR(INDEX(Fuel_CapexOpex!$G$4:$CF$147,MATCH(Assumptions!$G$24&amp;"Opex"&amp;Assumptions!$G$15,Fuel_CapexOpex!$F$4:$F$147,0),MATCH(YEAR(AG3),Fuel_CapexOpex!$G$3:$CF$3,0)),0))</f>
        <v>0</v>
      </c>
      <c r="AH27" s="32">
        <f ca="1">+IF(IFERROR(INDEX(Fuel_CapexOpex!$G$4:$CF$147,MATCH(Assumptions!$G$24&amp;"Opex"&amp;Assumptions!$G$15,Fuel_CapexOpex!$F$4:$F$147,0),MATCH(YEAR(AH3),Fuel_CapexOpex!$G$3:$CF$3,0)),0)=0,AG27,IFERROR(INDEX(Fuel_CapexOpex!$G$4:$CF$147,MATCH(Assumptions!$G$24&amp;"Opex"&amp;Assumptions!$G$15,Fuel_CapexOpex!$F$4:$F$147,0),MATCH(YEAR(AH3),Fuel_CapexOpex!$G$3:$CF$3,0)),0))</f>
        <v>0</v>
      </c>
      <c r="AI27" s="32">
        <f ca="1">+IF(IFERROR(INDEX(Fuel_CapexOpex!$G$4:$CF$147,MATCH(Assumptions!$G$24&amp;"Opex"&amp;Assumptions!$G$15,Fuel_CapexOpex!$F$4:$F$147,0),MATCH(YEAR(AI3),Fuel_CapexOpex!$G$3:$CF$3,0)),0)=0,AH27,IFERROR(INDEX(Fuel_CapexOpex!$G$4:$CF$147,MATCH(Assumptions!$G$24&amp;"Opex"&amp;Assumptions!$G$15,Fuel_CapexOpex!$F$4:$F$147,0),MATCH(YEAR(AI3),Fuel_CapexOpex!$G$3:$CF$3,0)),0))</f>
        <v>0</v>
      </c>
      <c r="AJ27" s="32">
        <f ca="1">+IF(IFERROR(INDEX(Fuel_CapexOpex!$G$4:$CF$147,MATCH(Assumptions!$G$24&amp;"Opex"&amp;Assumptions!$G$15,Fuel_CapexOpex!$F$4:$F$147,0),MATCH(YEAR(AJ3),Fuel_CapexOpex!$G$3:$CF$3,0)),0)=0,AI27,IFERROR(INDEX(Fuel_CapexOpex!$G$4:$CF$147,MATCH(Assumptions!$G$24&amp;"Opex"&amp;Assumptions!$G$15,Fuel_CapexOpex!$F$4:$F$147,0),MATCH(YEAR(AJ3),Fuel_CapexOpex!$G$3:$CF$3,0)),0))</f>
        <v>0</v>
      </c>
      <c r="AK27" s="32">
        <f ca="1">+IF(IFERROR(INDEX(Fuel_CapexOpex!$G$4:$CF$147,MATCH(Assumptions!$G$24&amp;"Opex"&amp;Assumptions!$G$15,Fuel_CapexOpex!$F$4:$F$147,0),MATCH(YEAR(AK3),Fuel_CapexOpex!$G$3:$CF$3,0)),0)=0,AJ27,IFERROR(INDEX(Fuel_CapexOpex!$G$4:$CF$147,MATCH(Assumptions!$G$24&amp;"Opex"&amp;Assumptions!$G$15,Fuel_CapexOpex!$F$4:$F$147,0),MATCH(YEAR(AK3),Fuel_CapexOpex!$G$3:$CF$3,0)),0))</f>
        <v>0</v>
      </c>
      <c r="AL27" s="32">
        <f ca="1">+IF(IFERROR(INDEX(Fuel_CapexOpex!$G$4:$CF$147,MATCH(Assumptions!$G$24&amp;"Opex"&amp;Assumptions!$G$15,Fuel_CapexOpex!$F$4:$F$147,0),MATCH(YEAR(AL3),Fuel_CapexOpex!$G$3:$CF$3,0)),0)=0,AK27,IFERROR(INDEX(Fuel_CapexOpex!$G$4:$CF$147,MATCH(Assumptions!$G$24&amp;"Opex"&amp;Assumptions!$G$15,Fuel_CapexOpex!$F$4:$F$147,0),MATCH(YEAR(AL3),Fuel_CapexOpex!$G$3:$CF$3,0)),0))</f>
        <v>0</v>
      </c>
      <c r="AM27" s="32">
        <f ca="1">+IF(IFERROR(INDEX(Fuel_CapexOpex!$G$4:$CF$147,MATCH(Assumptions!$G$24&amp;"Opex"&amp;Assumptions!$G$15,Fuel_CapexOpex!$F$4:$F$147,0),MATCH(YEAR(AM3),Fuel_CapexOpex!$G$3:$CF$3,0)),0)=0,AL27,IFERROR(INDEX(Fuel_CapexOpex!$G$4:$CF$147,MATCH(Assumptions!$G$24&amp;"Opex"&amp;Assumptions!$G$15,Fuel_CapexOpex!$F$4:$F$147,0),MATCH(YEAR(AM3),Fuel_CapexOpex!$G$3:$CF$3,0)),0))</f>
        <v>0</v>
      </c>
      <c r="AN27" s="32">
        <f ca="1">+IF(IFERROR(INDEX(Fuel_CapexOpex!$G$4:$CF$147,MATCH(Assumptions!$G$24&amp;"Opex"&amp;Assumptions!$G$15,Fuel_CapexOpex!$F$4:$F$147,0),MATCH(YEAR(AN3),Fuel_CapexOpex!$G$3:$CF$3,0)),0)=0,AM27,IFERROR(INDEX(Fuel_CapexOpex!$G$4:$CF$147,MATCH(Assumptions!$G$24&amp;"Opex"&amp;Assumptions!$G$15,Fuel_CapexOpex!$F$4:$F$147,0),MATCH(YEAR(AN3),Fuel_CapexOpex!$G$3:$CF$3,0)),0))</f>
        <v>0</v>
      </c>
      <c r="AO27" s="32">
        <f ca="1">+IF(IFERROR(INDEX(Fuel_CapexOpex!$G$4:$CF$147,MATCH(Assumptions!$G$24&amp;"Opex"&amp;Assumptions!$G$15,Fuel_CapexOpex!$F$4:$F$147,0),MATCH(YEAR(AO3),Fuel_CapexOpex!$G$3:$CF$3,0)),0)=0,AN27,IFERROR(INDEX(Fuel_CapexOpex!$G$4:$CF$147,MATCH(Assumptions!$G$24&amp;"Opex"&amp;Assumptions!$G$15,Fuel_CapexOpex!$F$4:$F$147,0),MATCH(YEAR(AO3),Fuel_CapexOpex!$G$3:$CF$3,0)),0))</f>
        <v>0</v>
      </c>
      <c r="AP27" s="32">
        <f ca="1">+IF(IFERROR(INDEX(Fuel_CapexOpex!$G$4:$CF$147,MATCH(Assumptions!$G$24&amp;"Opex"&amp;Assumptions!$G$15,Fuel_CapexOpex!$F$4:$F$147,0),MATCH(YEAR(AP3),Fuel_CapexOpex!$G$3:$CF$3,0)),0)=0,AO27,IFERROR(INDEX(Fuel_CapexOpex!$G$4:$CF$147,MATCH(Assumptions!$G$24&amp;"Opex"&amp;Assumptions!$G$15,Fuel_CapexOpex!$F$4:$F$147,0),MATCH(YEAR(AP3),Fuel_CapexOpex!$G$3:$CF$3,0)),0))</f>
        <v>0</v>
      </c>
      <c r="AQ27" s="32">
        <f ca="1">+IF(IFERROR(INDEX(Fuel_CapexOpex!$G$4:$CF$147,MATCH(Assumptions!$G$24&amp;"Opex"&amp;Assumptions!$G$15,Fuel_CapexOpex!$F$4:$F$147,0),MATCH(YEAR(AQ3),Fuel_CapexOpex!$G$3:$CF$3,0)),0)=0,AP27,IFERROR(INDEX(Fuel_CapexOpex!$G$4:$CF$147,MATCH(Assumptions!$G$24&amp;"Opex"&amp;Assumptions!$G$15,Fuel_CapexOpex!$F$4:$F$147,0),MATCH(YEAR(AQ3),Fuel_CapexOpex!$G$3:$CF$3,0)),0))</f>
        <v>0</v>
      </c>
      <c r="AR27" s="32">
        <f ca="1">+IF(IFERROR(INDEX(Fuel_CapexOpex!$G$4:$CF$147,MATCH(Assumptions!$G$24&amp;"Opex"&amp;Assumptions!$G$15,Fuel_CapexOpex!$F$4:$F$147,0),MATCH(YEAR(AR3),Fuel_CapexOpex!$G$3:$CF$3,0)),0)=0,AQ27,IFERROR(INDEX(Fuel_CapexOpex!$G$4:$CF$147,MATCH(Assumptions!$G$24&amp;"Opex"&amp;Assumptions!$G$15,Fuel_CapexOpex!$F$4:$F$147,0),MATCH(YEAR(AR3),Fuel_CapexOpex!$G$3:$CF$3,0)),0))</f>
        <v>0</v>
      </c>
      <c r="AS27" s="32">
        <f ca="1">+IF(IFERROR(INDEX(Fuel_CapexOpex!$G$4:$CF$147,MATCH(Assumptions!$G$24&amp;"Opex"&amp;Assumptions!$G$15,Fuel_CapexOpex!$F$4:$F$147,0),MATCH(YEAR(AS3),Fuel_CapexOpex!$G$3:$CF$3,0)),0)=0,AR27,IFERROR(INDEX(Fuel_CapexOpex!$G$4:$CF$147,MATCH(Assumptions!$G$24&amp;"Opex"&amp;Assumptions!$G$15,Fuel_CapexOpex!$F$4:$F$147,0),MATCH(YEAR(AS3),Fuel_CapexOpex!$G$3:$CF$3,0)),0))</f>
        <v>0</v>
      </c>
      <c r="AT27" s="32">
        <f ca="1">+IF(IFERROR(INDEX(Fuel_CapexOpex!$G$4:$CF$147,MATCH(Assumptions!$G$24&amp;"Opex"&amp;Assumptions!$G$15,Fuel_CapexOpex!$F$4:$F$147,0),MATCH(YEAR(AT3),Fuel_CapexOpex!$G$3:$CF$3,0)),0)=0,AS27,IFERROR(INDEX(Fuel_CapexOpex!$G$4:$CF$147,MATCH(Assumptions!$G$24&amp;"Opex"&amp;Assumptions!$G$15,Fuel_CapexOpex!$F$4:$F$147,0),MATCH(YEAR(AT3),Fuel_CapexOpex!$G$3:$CF$3,0)),0))</f>
        <v>0</v>
      </c>
      <c r="AU27" s="32">
        <f ca="1">+IF(IFERROR(INDEX(Fuel_CapexOpex!$G$4:$CF$147,MATCH(Assumptions!$G$24&amp;"Opex"&amp;Assumptions!$G$15,Fuel_CapexOpex!$F$4:$F$147,0),MATCH(YEAR(AU3),Fuel_CapexOpex!$G$3:$CF$3,0)),0)=0,AT27,IFERROR(INDEX(Fuel_CapexOpex!$G$4:$CF$147,MATCH(Assumptions!$G$24&amp;"Opex"&amp;Assumptions!$G$15,Fuel_CapexOpex!$F$4:$F$147,0),MATCH(YEAR(AU3),Fuel_CapexOpex!$G$3:$CF$3,0)),0))</f>
        <v>0</v>
      </c>
      <c r="AV27" s="32">
        <f ca="1">+IF(IFERROR(INDEX(Fuel_CapexOpex!$G$4:$CF$147,MATCH(Assumptions!$G$24&amp;"Opex"&amp;Assumptions!$G$15,Fuel_CapexOpex!$F$4:$F$147,0),MATCH(YEAR(AV3),Fuel_CapexOpex!$G$3:$CF$3,0)),0)=0,AU27,IFERROR(INDEX(Fuel_CapexOpex!$G$4:$CF$147,MATCH(Assumptions!$G$24&amp;"Opex"&amp;Assumptions!$G$15,Fuel_CapexOpex!$F$4:$F$147,0),MATCH(YEAR(AV3),Fuel_CapexOpex!$G$3:$CF$3,0)),0))</f>
        <v>0</v>
      </c>
      <c r="AW27" s="32">
        <f ca="1">+IF(IFERROR(INDEX(Fuel_CapexOpex!$G$4:$CF$147,MATCH(Assumptions!$G$24&amp;"Opex"&amp;Assumptions!$G$15,Fuel_CapexOpex!$F$4:$F$147,0),MATCH(YEAR(AW3),Fuel_CapexOpex!$G$3:$CF$3,0)),0)=0,AV27,IFERROR(INDEX(Fuel_CapexOpex!$G$4:$CF$147,MATCH(Assumptions!$G$24&amp;"Opex"&amp;Assumptions!$G$15,Fuel_CapexOpex!$F$4:$F$147,0),MATCH(YEAR(AW3),Fuel_CapexOpex!$G$3:$CF$3,0)),0))</f>
        <v>0</v>
      </c>
      <c r="AX27" s="32">
        <f ca="1">+IF(IFERROR(INDEX(Fuel_CapexOpex!$G$4:$CF$147,MATCH(Assumptions!$G$24&amp;"Opex"&amp;Assumptions!$G$15,Fuel_CapexOpex!$F$4:$F$147,0),MATCH(YEAR(AX3),Fuel_CapexOpex!$G$3:$CF$3,0)),0)=0,AW27,IFERROR(INDEX(Fuel_CapexOpex!$G$4:$CF$147,MATCH(Assumptions!$G$24&amp;"Opex"&amp;Assumptions!$G$15,Fuel_CapexOpex!$F$4:$F$147,0),MATCH(YEAR(AX3),Fuel_CapexOpex!$G$3:$CF$3,0)),0))</f>
        <v>0</v>
      </c>
      <c r="AY27" s="32">
        <f ca="1">+IF(IFERROR(INDEX(Fuel_CapexOpex!$G$4:$CF$147,MATCH(Assumptions!$G$24&amp;"Opex"&amp;Assumptions!$G$15,Fuel_CapexOpex!$F$4:$F$147,0),MATCH(YEAR(AY3),Fuel_CapexOpex!$G$3:$CF$3,0)),0)=0,AX27,IFERROR(INDEX(Fuel_CapexOpex!$G$4:$CF$147,MATCH(Assumptions!$G$24&amp;"Opex"&amp;Assumptions!$G$15,Fuel_CapexOpex!$F$4:$F$147,0),MATCH(YEAR(AY3),Fuel_CapexOpex!$G$3:$CF$3,0)),0))</f>
        <v>0</v>
      </c>
      <c r="AZ27" s="32">
        <f ca="1">+IF(IFERROR(INDEX(Fuel_CapexOpex!$G$4:$CF$147,MATCH(Assumptions!$G$24&amp;"Opex"&amp;Assumptions!$G$15,Fuel_CapexOpex!$F$4:$F$147,0),MATCH(YEAR(AZ3),Fuel_CapexOpex!$G$3:$CF$3,0)),0)=0,AY27,IFERROR(INDEX(Fuel_CapexOpex!$G$4:$CF$147,MATCH(Assumptions!$G$24&amp;"Opex"&amp;Assumptions!$G$15,Fuel_CapexOpex!$F$4:$F$147,0),MATCH(YEAR(AZ3),Fuel_CapexOpex!$G$3:$CF$3,0)),0))</f>
        <v>0</v>
      </c>
      <c r="BA27" s="32">
        <f ca="1">+IF(IFERROR(INDEX(Fuel_CapexOpex!$G$4:$CF$147,MATCH(Assumptions!$G$24&amp;"Opex"&amp;Assumptions!$G$15,Fuel_CapexOpex!$F$4:$F$147,0),MATCH(YEAR(BA3),Fuel_CapexOpex!$G$3:$CF$3,0)),0)=0,AZ27,IFERROR(INDEX(Fuel_CapexOpex!$G$4:$CF$147,MATCH(Assumptions!$G$24&amp;"Opex"&amp;Assumptions!$G$15,Fuel_CapexOpex!$F$4:$F$147,0),MATCH(YEAR(BA3),Fuel_CapexOpex!$G$3:$CF$3,0)),0))</f>
        <v>0</v>
      </c>
      <c r="BB27" s="32">
        <f ca="1">+IF(IFERROR(INDEX(Fuel_CapexOpex!$G$4:$CF$147,MATCH(Assumptions!$G$24&amp;"Opex"&amp;Assumptions!$G$15,Fuel_CapexOpex!$F$4:$F$147,0),MATCH(YEAR(BB3),Fuel_CapexOpex!$G$3:$CF$3,0)),0)=0,BA27,IFERROR(INDEX(Fuel_CapexOpex!$G$4:$CF$147,MATCH(Assumptions!$G$24&amp;"Opex"&amp;Assumptions!$G$15,Fuel_CapexOpex!$F$4:$F$147,0),MATCH(YEAR(BB3),Fuel_CapexOpex!$G$3:$CF$3,0)),0))</f>
        <v>0</v>
      </c>
      <c r="BC27" s="32">
        <f ca="1">+IF(IFERROR(INDEX(Fuel_CapexOpex!$G$4:$CF$147,MATCH(Assumptions!$G$24&amp;"Opex"&amp;Assumptions!$G$15,Fuel_CapexOpex!$F$4:$F$147,0),MATCH(YEAR(BC3),Fuel_CapexOpex!$G$3:$CF$3,0)),0)=0,BB27,IFERROR(INDEX(Fuel_CapexOpex!$G$4:$CF$147,MATCH(Assumptions!$G$24&amp;"Opex"&amp;Assumptions!$G$15,Fuel_CapexOpex!$F$4:$F$147,0),MATCH(YEAR(BC3),Fuel_CapexOpex!$G$3:$CF$3,0)),0))</f>
        <v>0</v>
      </c>
      <c r="BD27" s="32">
        <f ca="1">+IF(IFERROR(INDEX(Fuel_CapexOpex!$G$4:$CF$147,MATCH(Assumptions!$G$24&amp;"Opex"&amp;Assumptions!$G$15,Fuel_CapexOpex!$F$4:$F$147,0),MATCH(YEAR(BD3),Fuel_CapexOpex!$G$3:$CF$3,0)),0)=0,BC27,IFERROR(INDEX(Fuel_CapexOpex!$G$4:$CF$147,MATCH(Assumptions!$G$24&amp;"Opex"&amp;Assumptions!$G$15,Fuel_CapexOpex!$F$4:$F$147,0),MATCH(YEAR(BD3),Fuel_CapexOpex!$G$3:$CF$3,0)),0))</f>
        <v>0</v>
      </c>
      <c r="BE27" s="32">
        <f ca="1">+IF(IFERROR(INDEX(Fuel_CapexOpex!$G$4:$CF$147,MATCH(Assumptions!$G$24&amp;"Opex"&amp;Assumptions!$G$15,Fuel_CapexOpex!$F$4:$F$147,0),MATCH(YEAR(BE3),Fuel_CapexOpex!$G$3:$CF$3,0)),0)=0,BD27,IFERROR(INDEX(Fuel_CapexOpex!$G$4:$CF$147,MATCH(Assumptions!$G$24&amp;"Opex"&amp;Assumptions!$G$15,Fuel_CapexOpex!$F$4:$F$147,0),MATCH(YEAR(BE3),Fuel_CapexOpex!$G$3:$CF$3,0)),0))</f>
        <v>0</v>
      </c>
      <c r="BF27" s="32">
        <f ca="1">+IF(IFERROR(INDEX(Fuel_CapexOpex!$G$4:$CF$147,MATCH(Assumptions!$G$24&amp;"Opex"&amp;Assumptions!$G$15,Fuel_CapexOpex!$F$4:$F$147,0),MATCH(YEAR(BF3),Fuel_CapexOpex!$G$3:$CF$3,0)),0)=0,BE27,IFERROR(INDEX(Fuel_CapexOpex!$G$4:$CF$147,MATCH(Assumptions!$G$24&amp;"Opex"&amp;Assumptions!$G$15,Fuel_CapexOpex!$F$4:$F$147,0),MATCH(YEAR(BF3),Fuel_CapexOpex!$G$3:$CF$3,0)),0))</f>
        <v>0</v>
      </c>
      <c r="BG27" s="32">
        <f ca="1">+IF(IFERROR(INDEX(Fuel_CapexOpex!$G$4:$CF$147,MATCH(Assumptions!$G$24&amp;"Opex"&amp;Assumptions!$G$15,Fuel_CapexOpex!$F$4:$F$147,0),MATCH(YEAR(BG3),Fuel_CapexOpex!$G$3:$CF$3,0)),0)=0,BF27,IFERROR(INDEX(Fuel_CapexOpex!$G$4:$CF$147,MATCH(Assumptions!$G$24&amp;"Opex"&amp;Assumptions!$G$15,Fuel_CapexOpex!$F$4:$F$147,0),MATCH(YEAR(BG3),Fuel_CapexOpex!$G$3:$CF$3,0)),0))</f>
        <v>0</v>
      </c>
      <c r="BH27" s="32">
        <f ca="1">+IF(IFERROR(INDEX(Fuel_CapexOpex!$G$4:$CF$147,MATCH(Assumptions!$G$24&amp;"Opex"&amp;Assumptions!$G$15,Fuel_CapexOpex!$F$4:$F$147,0),MATCH(YEAR(BH3),Fuel_CapexOpex!$G$3:$CF$3,0)),0)=0,BG27,IFERROR(INDEX(Fuel_CapexOpex!$G$4:$CF$147,MATCH(Assumptions!$G$24&amp;"Opex"&amp;Assumptions!$G$15,Fuel_CapexOpex!$F$4:$F$147,0),MATCH(YEAR(BH3),Fuel_CapexOpex!$G$3:$CF$3,0)),0))</f>
        <v>0</v>
      </c>
      <c r="BI27" s="32">
        <f ca="1">+IF(IFERROR(INDEX(Fuel_CapexOpex!$G$4:$CF$147,MATCH(Assumptions!$G$24&amp;"Opex"&amp;Assumptions!$G$15,Fuel_CapexOpex!$F$4:$F$147,0),MATCH(YEAR(BI3),Fuel_CapexOpex!$G$3:$CF$3,0)),0)=0,BH27,IFERROR(INDEX(Fuel_CapexOpex!$G$4:$CF$147,MATCH(Assumptions!$G$24&amp;"Opex"&amp;Assumptions!$G$15,Fuel_CapexOpex!$F$4:$F$147,0),MATCH(YEAR(BI3),Fuel_CapexOpex!$G$3:$CF$3,0)),0))</f>
        <v>0</v>
      </c>
      <c r="BJ27" s="32">
        <f ca="1">+IF(IFERROR(INDEX(Fuel_CapexOpex!$G$4:$CF$147,MATCH(Assumptions!$G$24&amp;"Opex"&amp;Assumptions!$G$15,Fuel_CapexOpex!$F$4:$F$147,0),MATCH(YEAR(BJ3),Fuel_CapexOpex!$G$3:$CF$3,0)),0)=0,BI27,IFERROR(INDEX(Fuel_CapexOpex!$G$4:$CF$147,MATCH(Assumptions!$G$24&amp;"Opex"&amp;Assumptions!$G$15,Fuel_CapexOpex!$F$4:$F$147,0),MATCH(YEAR(BJ3),Fuel_CapexOpex!$G$3:$CF$3,0)),0))</f>
        <v>0</v>
      </c>
      <c r="BK27" s="32">
        <f ca="1">+IF(IFERROR(INDEX(Fuel_CapexOpex!$G$4:$CF$147,MATCH(Assumptions!$G$24&amp;"Opex"&amp;Assumptions!$G$15,Fuel_CapexOpex!$F$4:$F$147,0),MATCH(YEAR(BK3),Fuel_CapexOpex!$G$3:$CF$3,0)),0)=0,BJ27,IFERROR(INDEX(Fuel_CapexOpex!$G$4:$CF$147,MATCH(Assumptions!$G$24&amp;"Opex"&amp;Assumptions!$G$15,Fuel_CapexOpex!$F$4:$F$147,0),MATCH(YEAR(BK3),Fuel_CapexOpex!$G$3:$CF$3,0)),0))</f>
        <v>0</v>
      </c>
      <c r="BL27" s="32">
        <f ca="1">+IF(IFERROR(INDEX(Fuel_CapexOpex!$G$4:$CF$147,MATCH(Assumptions!$G$24&amp;"Opex"&amp;Assumptions!$G$15,Fuel_CapexOpex!$F$4:$F$147,0),MATCH(YEAR(BL3),Fuel_CapexOpex!$G$3:$CF$3,0)),0)=0,BK27,IFERROR(INDEX(Fuel_CapexOpex!$G$4:$CF$147,MATCH(Assumptions!$G$24&amp;"Opex"&amp;Assumptions!$G$15,Fuel_CapexOpex!$F$4:$F$147,0),MATCH(YEAR(BL3),Fuel_CapexOpex!$G$3:$CF$3,0)),0))</f>
        <v>0</v>
      </c>
      <c r="BM27" s="32">
        <f ca="1">+IF(IFERROR(INDEX(Fuel_CapexOpex!$G$4:$CF$147,MATCH(Assumptions!$G$24&amp;"Opex"&amp;Assumptions!$G$15,Fuel_CapexOpex!$F$4:$F$147,0),MATCH(YEAR(BM3),Fuel_CapexOpex!$G$3:$CF$3,0)),0)=0,BL27,IFERROR(INDEX(Fuel_CapexOpex!$G$4:$CF$147,MATCH(Assumptions!$G$24&amp;"Opex"&amp;Assumptions!$G$15,Fuel_CapexOpex!$F$4:$F$147,0),MATCH(YEAR(BM3),Fuel_CapexOpex!$G$3:$CF$3,0)),0))</f>
        <v>0</v>
      </c>
      <c r="BN27" s="32">
        <f ca="1">+IF(IFERROR(INDEX(Fuel_CapexOpex!$G$4:$CF$147,MATCH(Assumptions!$G$24&amp;"Opex"&amp;Assumptions!$G$15,Fuel_CapexOpex!$F$4:$F$147,0),MATCH(YEAR(BN3),Fuel_CapexOpex!$G$3:$CF$3,0)),0)=0,BM27,IFERROR(INDEX(Fuel_CapexOpex!$G$4:$CF$147,MATCH(Assumptions!$G$24&amp;"Opex"&amp;Assumptions!$G$15,Fuel_CapexOpex!$F$4:$F$147,0),MATCH(YEAR(BN3),Fuel_CapexOpex!$G$3:$CF$3,0)),0))</f>
        <v>0</v>
      </c>
      <c r="BO27" s="32">
        <f ca="1">+IF(IFERROR(INDEX(Fuel_CapexOpex!$G$4:$CF$147,MATCH(Assumptions!$G$24&amp;"Opex"&amp;Assumptions!$G$15,Fuel_CapexOpex!$F$4:$F$147,0),MATCH(YEAR(BO3),Fuel_CapexOpex!$G$3:$CF$3,0)),0)=0,BN27,IFERROR(INDEX(Fuel_CapexOpex!$G$4:$CF$147,MATCH(Assumptions!$G$24&amp;"Opex"&amp;Assumptions!$G$15,Fuel_CapexOpex!$F$4:$F$147,0),MATCH(YEAR(BO3),Fuel_CapexOpex!$G$3:$CF$3,0)),0))</f>
        <v>0</v>
      </c>
      <c r="BP27" s="32">
        <f ca="1">+IF(IFERROR(INDEX(Fuel_CapexOpex!$G$4:$CF$147,MATCH(Assumptions!$G$24&amp;"Opex"&amp;Assumptions!$G$15,Fuel_CapexOpex!$F$4:$F$147,0),MATCH(YEAR(BP3),Fuel_CapexOpex!$G$3:$CF$3,0)),0)=0,BO27,IFERROR(INDEX(Fuel_CapexOpex!$G$4:$CF$147,MATCH(Assumptions!$G$24&amp;"Opex"&amp;Assumptions!$G$15,Fuel_CapexOpex!$F$4:$F$147,0),MATCH(YEAR(BP3),Fuel_CapexOpex!$G$3:$CF$3,0)),0))</f>
        <v>0</v>
      </c>
      <c r="BQ27" s="32">
        <f ca="1">+IF(IFERROR(INDEX(Fuel_CapexOpex!$G$4:$CF$147,MATCH(Assumptions!$G$24&amp;"Opex"&amp;Assumptions!$G$15,Fuel_CapexOpex!$F$4:$F$147,0),MATCH(YEAR(BQ3),Fuel_CapexOpex!$G$3:$CF$3,0)),0)=0,BP27,IFERROR(INDEX(Fuel_CapexOpex!$G$4:$CF$147,MATCH(Assumptions!$G$24&amp;"Opex"&amp;Assumptions!$G$15,Fuel_CapexOpex!$F$4:$F$147,0),MATCH(YEAR(BQ3),Fuel_CapexOpex!$G$3:$CF$3,0)),0))</f>
        <v>0</v>
      </c>
      <c r="BR27" s="32">
        <f ca="1">+IF(IFERROR(INDEX(Fuel_CapexOpex!$G$4:$CF$147,MATCH(Assumptions!$G$24&amp;"Opex"&amp;Assumptions!$G$15,Fuel_CapexOpex!$F$4:$F$147,0),MATCH(YEAR(BR3),Fuel_CapexOpex!$G$3:$CF$3,0)),0)=0,BQ27,IFERROR(INDEX(Fuel_CapexOpex!$G$4:$CF$147,MATCH(Assumptions!$G$24&amp;"Opex"&amp;Assumptions!$G$15,Fuel_CapexOpex!$F$4:$F$147,0),MATCH(YEAR(BR3),Fuel_CapexOpex!$G$3:$CF$3,0)),0))</f>
        <v>0</v>
      </c>
      <c r="BS27" s="32">
        <f ca="1">+IF(IFERROR(INDEX(Fuel_CapexOpex!$G$4:$CF$147,MATCH(Assumptions!$G$24&amp;"Opex"&amp;Assumptions!$G$15,Fuel_CapexOpex!$F$4:$F$147,0),MATCH(YEAR(BS3),Fuel_CapexOpex!$G$3:$CF$3,0)),0)=0,BR27,IFERROR(INDEX(Fuel_CapexOpex!$G$4:$CF$147,MATCH(Assumptions!$G$24&amp;"Opex"&amp;Assumptions!$G$15,Fuel_CapexOpex!$F$4:$F$147,0),MATCH(YEAR(BS3),Fuel_CapexOpex!$G$3:$CF$3,0)),0))</f>
        <v>0</v>
      </c>
      <c r="BT27" s="32">
        <f ca="1">+IF(IFERROR(INDEX(Fuel_CapexOpex!$G$4:$CF$147,MATCH(Assumptions!$G$24&amp;"Opex"&amp;Assumptions!$G$15,Fuel_CapexOpex!$F$4:$F$147,0),MATCH(YEAR(BT3),Fuel_CapexOpex!$G$3:$CF$3,0)),0)=0,BS27,IFERROR(INDEX(Fuel_CapexOpex!$G$4:$CF$147,MATCH(Assumptions!$G$24&amp;"Opex"&amp;Assumptions!$G$15,Fuel_CapexOpex!$F$4:$F$147,0),MATCH(YEAR(BT3),Fuel_CapexOpex!$G$3:$CF$3,0)),0))</f>
        <v>0</v>
      </c>
      <c r="BU27" s="32">
        <f ca="1">+IF(IFERROR(INDEX(Fuel_CapexOpex!$G$4:$CF$147,MATCH(Assumptions!$G$24&amp;"Opex"&amp;Assumptions!$G$15,Fuel_CapexOpex!$F$4:$F$147,0),MATCH(YEAR(BU3),Fuel_CapexOpex!$G$3:$CF$3,0)),0)=0,BT27,IFERROR(INDEX(Fuel_CapexOpex!$G$4:$CF$147,MATCH(Assumptions!$G$24&amp;"Opex"&amp;Assumptions!$G$15,Fuel_CapexOpex!$F$4:$F$147,0),MATCH(YEAR(BU3),Fuel_CapexOpex!$G$3:$CF$3,0)),0))</f>
        <v>0</v>
      </c>
      <c r="BV27" s="32">
        <f ca="1">+IF(IFERROR(INDEX(Fuel_CapexOpex!$G$4:$CF$147,MATCH(Assumptions!$G$24&amp;"Opex"&amp;Assumptions!$G$15,Fuel_CapexOpex!$F$4:$F$147,0),MATCH(YEAR(BV3),Fuel_CapexOpex!$G$3:$CF$3,0)),0)=0,BU27,IFERROR(INDEX(Fuel_CapexOpex!$G$4:$CF$147,MATCH(Assumptions!$G$24&amp;"Opex"&amp;Assumptions!$G$15,Fuel_CapexOpex!$F$4:$F$147,0),MATCH(YEAR(BV3),Fuel_CapexOpex!$G$3:$CF$3,0)),0))</f>
        <v>0</v>
      </c>
      <c r="BW27" s="32">
        <f ca="1">+IF(IFERROR(INDEX(Fuel_CapexOpex!$G$4:$CF$147,MATCH(Assumptions!$G$24&amp;"Opex"&amp;Assumptions!$G$15,Fuel_CapexOpex!$F$4:$F$147,0),MATCH(YEAR(BW3),Fuel_CapexOpex!$G$3:$CF$3,0)),0)=0,BV27,IFERROR(INDEX(Fuel_CapexOpex!$G$4:$CF$147,MATCH(Assumptions!$G$24&amp;"Opex"&amp;Assumptions!$G$15,Fuel_CapexOpex!$F$4:$F$147,0),MATCH(YEAR(BW3),Fuel_CapexOpex!$G$3:$CF$3,0)),0))</f>
        <v>0</v>
      </c>
      <c r="BX27" s="32">
        <f ca="1">+IF(IFERROR(INDEX(Fuel_CapexOpex!$G$4:$CF$147,MATCH(Assumptions!$G$24&amp;"Opex"&amp;Assumptions!$G$15,Fuel_CapexOpex!$F$4:$F$147,0),MATCH(YEAR(BX3),Fuel_CapexOpex!$G$3:$CF$3,0)),0)=0,BW27,IFERROR(INDEX(Fuel_CapexOpex!$G$4:$CF$147,MATCH(Assumptions!$G$24&amp;"Opex"&amp;Assumptions!$G$15,Fuel_CapexOpex!$F$4:$F$147,0),MATCH(YEAR(BX3),Fuel_CapexOpex!$G$3:$CF$3,0)),0))</f>
        <v>0</v>
      </c>
      <c r="BY27" s="32">
        <f ca="1">+IF(IFERROR(INDEX(Fuel_CapexOpex!$G$4:$CF$147,MATCH(Assumptions!$G$24&amp;"Opex"&amp;Assumptions!$G$15,Fuel_CapexOpex!$F$4:$F$147,0),MATCH(YEAR(BY3),Fuel_CapexOpex!$G$3:$CF$3,0)),0)=0,BX27,IFERROR(INDEX(Fuel_CapexOpex!$G$4:$CF$147,MATCH(Assumptions!$G$24&amp;"Opex"&amp;Assumptions!$G$15,Fuel_CapexOpex!$F$4:$F$147,0),MATCH(YEAR(BY3),Fuel_CapexOpex!$G$3:$CF$3,0)),0))</f>
        <v>0</v>
      </c>
    </row>
    <row r="28" spans="1:77" outlineLevel="1">
      <c r="E28" t="s">
        <v>453</v>
      </c>
      <c r="F28" s="80" t="str">
        <f>+Assumptions!$G$8&amp;"/ton"</f>
        <v>USD/ton</v>
      </c>
      <c r="H28" s="32">
        <f>+IF(IFERROR(INDEX(Fuel_CapexOpex!$G$4:$CF$147,MATCH(Assumptions!$G$24&amp;"CapExGlobal",Fuel_CapexOpex!$F$4:$F$147,0),MATCH(YEAR(H3),Fuel_CapexOpex!$G$3:$CF$3,0)),0)=0,G28,IFERROR(INDEX(Fuel_CapexOpex!$G$4:$CF$147,MATCH(Assumptions!$G$24&amp;"CapExGlobal",Fuel_CapexOpex!$F$4:$F$147,0),MATCH(YEAR(H3),Fuel_CapexOpex!$G$3:$CF$3,0)),0))</f>
        <v>2725.203595609923</v>
      </c>
      <c r="I28" s="32">
        <f>+IF(IFERROR(INDEX(Fuel_CapexOpex!$G$4:$CF$147,MATCH(Assumptions!$G$24&amp;"CapExGlobal",Fuel_CapexOpex!$F$4:$F$147,0),MATCH(YEAR(I3),Fuel_CapexOpex!$G$3:$CF$3,0)),0)=0,H28,IFERROR(INDEX(Fuel_CapexOpex!$G$4:$CF$147,MATCH(Assumptions!$G$24&amp;"CapExGlobal",Fuel_CapexOpex!$F$4:$F$147,0),MATCH(YEAR(I3),Fuel_CapexOpex!$G$3:$CF$3,0)),0))</f>
        <v>2440.2865763959526</v>
      </c>
      <c r="J28" s="32">
        <f>+IF(IFERROR(INDEX(Fuel_CapexOpex!$G$4:$CF$147,MATCH(Assumptions!$G$24&amp;"CapExGlobal",Fuel_CapexOpex!$F$4:$F$147,0),MATCH(YEAR(J3),Fuel_CapexOpex!$G$3:$CF$3,0)),0)=0,I28,IFERROR(INDEX(Fuel_CapexOpex!$G$4:$CF$147,MATCH(Assumptions!$G$24&amp;"CapExGlobal",Fuel_CapexOpex!$F$4:$F$147,0),MATCH(YEAR(J3),Fuel_CapexOpex!$G$3:$CF$3,0)),0))</f>
        <v>2152.8655056533921</v>
      </c>
      <c r="K28" s="32">
        <f>+IF(IFERROR(INDEX(Fuel_CapexOpex!$G$4:$CF$147,MATCH(Assumptions!$G$24&amp;"CapExGlobal",Fuel_CapexOpex!$F$4:$F$147,0),MATCH(YEAR(K3),Fuel_CapexOpex!$G$3:$CF$3,0)),0)=0,J28,IFERROR(INDEX(Fuel_CapexOpex!$G$4:$CF$147,MATCH(Assumptions!$G$24&amp;"CapExGlobal",Fuel_CapexOpex!$F$4:$F$147,0),MATCH(YEAR(K3),Fuel_CapexOpex!$G$3:$CF$3,0)),0))</f>
        <v>1862.9403833822046</v>
      </c>
      <c r="L28" s="32">
        <f>+IF(IFERROR(INDEX(Fuel_CapexOpex!$G$4:$CF$147,MATCH(Assumptions!$G$24&amp;"CapExGlobal",Fuel_CapexOpex!$F$4:$F$147,0),MATCH(YEAR(L3),Fuel_CapexOpex!$G$3:$CF$3,0)),0)=0,K28,IFERROR(INDEX(Fuel_CapexOpex!$G$4:$CF$147,MATCH(Assumptions!$G$24&amp;"CapExGlobal",Fuel_CapexOpex!$F$4:$F$147,0),MATCH(YEAR(L3),Fuel_CapexOpex!$G$3:$CF$3,0)),0))</f>
        <v>1877.8206474985157</v>
      </c>
      <c r="M28" s="32">
        <f>+IF(IFERROR(INDEX(Fuel_CapexOpex!$G$4:$CF$147,MATCH(Assumptions!$G$24&amp;"CapExGlobal",Fuel_CapexOpex!$F$4:$F$147,0),MATCH(YEAR(M3),Fuel_CapexOpex!$G$3:$CF$3,0)),0)=0,L28,IFERROR(INDEX(Fuel_CapexOpex!$G$4:$CF$147,MATCH(Assumptions!$G$24&amp;"CapExGlobal",Fuel_CapexOpex!$F$4:$F$147,0),MATCH(YEAR(M3),Fuel_CapexOpex!$G$3:$CF$3,0)),0))</f>
        <v>1886.8612061860772</v>
      </c>
      <c r="N28" s="32">
        <f>+IF(IFERROR(INDEX(Fuel_CapexOpex!$G$4:$CF$147,MATCH(Assumptions!$G$24&amp;"CapExGlobal",Fuel_CapexOpex!$F$4:$F$147,0),MATCH(YEAR(N3),Fuel_CapexOpex!$G$3:$CF$3,0)),0)=0,M28,IFERROR(INDEX(Fuel_CapexOpex!$G$4:$CF$147,MATCH(Assumptions!$G$24&amp;"CapExGlobal",Fuel_CapexOpex!$F$4:$F$147,0),MATCH(YEAR(N3),Fuel_CapexOpex!$G$3:$CF$3,0)),0))</f>
        <v>1890.0620594448742</v>
      </c>
      <c r="O28" s="32">
        <f>+IF(IFERROR(INDEX(Fuel_CapexOpex!$G$4:$CF$147,MATCH(Assumptions!$G$24&amp;"CapExGlobal",Fuel_CapexOpex!$F$4:$F$147,0),MATCH(YEAR(O3),Fuel_CapexOpex!$G$3:$CF$3,0)),0)=0,N28,IFERROR(INDEX(Fuel_CapexOpex!$G$4:$CF$147,MATCH(Assumptions!$G$24&amp;"CapExGlobal",Fuel_CapexOpex!$F$4:$F$147,0),MATCH(YEAR(O3),Fuel_CapexOpex!$G$3:$CF$3,0)),0))</f>
        <v>1887.4232072748807</v>
      </c>
      <c r="P28" s="32">
        <f>+IF(IFERROR(INDEX(Fuel_CapexOpex!$G$4:$CF$147,MATCH(Assumptions!$G$24&amp;"CapExGlobal",Fuel_CapexOpex!$F$4:$F$147,0),MATCH(YEAR(P3),Fuel_CapexOpex!$G$3:$CF$3,0)),0)=0,O28,IFERROR(INDEX(Fuel_CapexOpex!$G$4:$CF$147,MATCH(Assumptions!$G$24&amp;"CapExGlobal",Fuel_CapexOpex!$F$4:$F$147,0),MATCH(YEAR(P3),Fuel_CapexOpex!$G$3:$CF$3,0)),0))</f>
        <v>1878.9446496761434</v>
      </c>
      <c r="Q28" s="32">
        <f>+IF(IFERROR(INDEX(Fuel_CapexOpex!$G$4:$CF$147,MATCH(Assumptions!$G$24&amp;"CapExGlobal",Fuel_CapexOpex!$F$4:$F$147,0),MATCH(YEAR(Q3),Fuel_CapexOpex!$G$3:$CF$3,0)),0)=0,P28,IFERROR(INDEX(Fuel_CapexOpex!$G$4:$CF$147,MATCH(Assumptions!$G$24&amp;"CapExGlobal",Fuel_CapexOpex!$F$4:$F$147,0),MATCH(YEAR(Q3),Fuel_CapexOpex!$G$3:$CF$3,0)),0))</f>
        <v>1860.9737589458796</v>
      </c>
      <c r="R28" s="32">
        <f>+IF(IFERROR(INDEX(Fuel_CapexOpex!$G$4:$CF$147,MATCH(Assumptions!$G$24&amp;"CapExGlobal",Fuel_CapexOpex!$F$4:$F$147,0),MATCH(YEAR(R3),Fuel_CapexOpex!$G$3:$CF$3,0)),0)=0,Q28,IFERROR(INDEX(Fuel_CapexOpex!$G$4:$CF$147,MATCH(Assumptions!$G$24&amp;"CapExGlobal",Fuel_CapexOpex!$F$4:$F$147,0),MATCH(YEAR(R3),Fuel_CapexOpex!$G$3:$CF$3,0)),0))</f>
        <v>1838.1830810015081</v>
      </c>
      <c r="S28" s="32">
        <f>+IF(IFERROR(INDEX(Fuel_CapexOpex!$G$4:$CF$147,MATCH(Assumptions!$G$24&amp;"CapExGlobal",Fuel_CapexOpex!$F$4:$F$147,0),MATCH(YEAR(S3),Fuel_CapexOpex!$G$3:$CF$3,0)),0)=0,R28,IFERROR(INDEX(Fuel_CapexOpex!$G$4:$CF$147,MATCH(Assumptions!$G$24&amp;"CapExGlobal",Fuel_CapexOpex!$F$4:$F$147,0),MATCH(YEAR(S3),Fuel_CapexOpex!$G$3:$CF$3,0)),0))</f>
        <v>1810.5726158430787</v>
      </c>
      <c r="T28" s="32">
        <f>+IF(IFERROR(INDEX(Fuel_CapexOpex!$G$4:$CF$147,MATCH(Assumptions!$G$24&amp;"CapExGlobal",Fuel_CapexOpex!$F$4:$F$147,0),MATCH(YEAR(T3),Fuel_CapexOpex!$G$3:$CF$3,0)),0)=0,S28,IFERROR(INDEX(Fuel_CapexOpex!$G$4:$CF$147,MATCH(Assumptions!$G$24&amp;"CapExGlobal",Fuel_CapexOpex!$F$4:$F$147,0),MATCH(YEAR(T3),Fuel_CapexOpex!$G$3:$CF$3,0)),0))</f>
        <v>1778.1423634705425</v>
      </c>
      <c r="U28" s="32">
        <f>+IF(IFERROR(INDEX(Fuel_CapexOpex!$G$4:$CF$147,MATCH(Assumptions!$G$24&amp;"CapExGlobal",Fuel_CapexOpex!$F$4:$F$147,0),MATCH(YEAR(U3),Fuel_CapexOpex!$G$3:$CF$3,0)),0)=0,T28,IFERROR(INDEX(Fuel_CapexOpex!$G$4:$CF$147,MATCH(Assumptions!$G$24&amp;"CapExGlobal",Fuel_CapexOpex!$F$4:$F$147,0),MATCH(YEAR(U3),Fuel_CapexOpex!$G$3:$CF$3,0)),0))</f>
        <v>1740.8923238838815</v>
      </c>
      <c r="V28" s="32">
        <f>+IF(IFERROR(INDEX(Fuel_CapexOpex!$G$4:$CF$147,MATCH(Assumptions!$G$24&amp;"CapExGlobal",Fuel_CapexOpex!$F$4:$F$147,0),MATCH(YEAR(V3),Fuel_CapexOpex!$G$3:$CF$3,0)),0)=0,U28,IFERROR(INDEX(Fuel_CapexOpex!$G$4:$CF$147,MATCH(Assumptions!$G$24&amp;"CapExGlobal",Fuel_CapexOpex!$F$4:$F$147,0),MATCH(YEAR(V3),Fuel_CapexOpex!$G$3:$CF$3,0)),0))</f>
        <v>1695.641308550986</v>
      </c>
      <c r="W28" s="32">
        <f>+IF(IFERROR(INDEX(Fuel_CapexOpex!$G$4:$CF$147,MATCH(Assumptions!$G$24&amp;"CapExGlobal",Fuel_CapexOpex!$F$4:$F$147,0),MATCH(YEAR(W3),Fuel_CapexOpex!$G$3:$CF$3,0)),0)=0,V28,IFERROR(INDEX(Fuel_CapexOpex!$G$4:$CF$147,MATCH(Assumptions!$G$24&amp;"CapExGlobal",Fuel_CapexOpex!$F$4:$F$147,0),MATCH(YEAR(W3),Fuel_CapexOpex!$G$3:$CF$3,0)),0))</f>
        <v>1646.7534948853661</v>
      </c>
      <c r="X28" s="32">
        <f>+IF(IFERROR(INDEX(Fuel_CapexOpex!$G$4:$CF$147,MATCH(Assumptions!$G$24&amp;"CapExGlobal",Fuel_CapexOpex!$F$4:$F$147,0),MATCH(YEAR(X3),Fuel_CapexOpex!$G$3:$CF$3,0)),0)=0,W28,IFERROR(INDEX(Fuel_CapexOpex!$G$4:$CF$147,MATCH(Assumptions!$G$24&amp;"CapExGlobal",Fuel_CapexOpex!$F$4:$F$147,0),MATCH(YEAR(X3),Fuel_CapexOpex!$G$3:$CF$3,0)),0))</f>
        <v>1594.2288828870621</v>
      </c>
      <c r="Y28" s="32">
        <f>+IF(IFERROR(INDEX(Fuel_CapexOpex!$G$4:$CF$147,MATCH(Assumptions!$G$24&amp;"CapExGlobal",Fuel_CapexOpex!$F$4:$F$147,0),MATCH(YEAR(Y3),Fuel_CapexOpex!$G$3:$CF$3,0)),0)=0,X28,IFERROR(INDEX(Fuel_CapexOpex!$G$4:$CF$147,MATCH(Assumptions!$G$24&amp;"CapExGlobal",Fuel_CapexOpex!$F$4:$F$147,0),MATCH(YEAR(Y3),Fuel_CapexOpex!$G$3:$CF$3,0)),0))</f>
        <v>1538.0674725560473</v>
      </c>
      <c r="Z28" s="32">
        <f>+IF(IFERROR(INDEX(Fuel_CapexOpex!$G$4:$CF$147,MATCH(Assumptions!$G$24&amp;"CapExGlobal",Fuel_CapexOpex!$F$4:$F$147,0),MATCH(YEAR(Z3),Fuel_CapexOpex!$G$3:$CF$3,0)),0)=0,Y28,IFERROR(INDEX(Fuel_CapexOpex!$G$4:$CF$147,MATCH(Assumptions!$G$24&amp;"CapExGlobal",Fuel_CapexOpex!$F$4:$F$147,0),MATCH(YEAR(Z3),Fuel_CapexOpex!$G$3:$CF$3,0)),0))</f>
        <v>1478.2692638923138</v>
      </c>
      <c r="AA28" s="32">
        <f>+IF(IFERROR(INDEX(Fuel_CapexOpex!$G$4:$CF$147,MATCH(Assumptions!$G$24&amp;"CapExGlobal",Fuel_CapexOpex!$F$4:$F$147,0),MATCH(YEAR(AA3),Fuel_CapexOpex!$G$3:$CF$3,0)),0)=0,Z28,IFERROR(INDEX(Fuel_CapexOpex!$G$4:$CF$147,MATCH(Assumptions!$G$24&amp;"CapExGlobal",Fuel_CapexOpex!$F$4:$F$147,0),MATCH(YEAR(AA3),Fuel_CapexOpex!$G$3:$CF$3,0)),0))</f>
        <v>1478.2692638923138</v>
      </c>
      <c r="AB28" s="32">
        <f>+IF(IFERROR(INDEX(Fuel_CapexOpex!$G$4:$CF$147,MATCH(Assumptions!$G$24&amp;"CapExGlobal",Fuel_CapexOpex!$F$4:$F$147,0),MATCH(YEAR(AB3),Fuel_CapexOpex!$G$3:$CF$3,0)),0)=0,AA28,IFERROR(INDEX(Fuel_CapexOpex!$G$4:$CF$147,MATCH(Assumptions!$G$24&amp;"CapExGlobal",Fuel_CapexOpex!$F$4:$F$147,0),MATCH(YEAR(AB3),Fuel_CapexOpex!$G$3:$CF$3,0)),0))</f>
        <v>1478.2692638923138</v>
      </c>
      <c r="AC28" s="32">
        <f>+IF(IFERROR(INDEX(Fuel_CapexOpex!$G$4:$CF$147,MATCH(Assumptions!$G$24&amp;"CapExGlobal",Fuel_CapexOpex!$F$4:$F$147,0),MATCH(YEAR(AC3),Fuel_CapexOpex!$G$3:$CF$3,0)),0)=0,AB28,IFERROR(INDEX(Fuel_CapexOpex!$G$4:$CF$147,MATCH(Assumptions!$G$24&amp;"CapExGlobal",Fuel_CapexOpex!$F$4:$F$147,0),MATCH(YEAR(AC3),Fuel_CapexOpex!$G$3:$CF$3,0)),0))</f>
        <v>1478.2692638923138</v>
      </c>
      <c r="AD28" s="32">
        <f>+IF(IFERROR(INDEX(Fuel_CapexOpex!$G$4:$CF$147,MATCH(Assumptions!$G$24&amp;"CapExGlobal",Fuel_CapexOpex!$F$4:$F$147,0),MATCH(YEAR(AD3),Fuel_CapexOpex!$G$3:$CF$3,0)),0)=0,AC28,IFERROR(INDEX(Fuel_CapexOpex!$G$4:$CF$147,MATCH(Assumptions!$G$24&amp;"CapExGlobal",Fuel_CapexOpex!$F$4:$F$147,0),MATCH(YEAR(AD3),Fuel_CapexOpex!$G$3:$CF$3,0)),0))</f>
        <v>1478.2692638923138</v>
      </c>
      <c r="AE28" s="32">
        <f>+IF(IFERROR(INDEX(Fuel_CapexOpex!$G$4:$CF$147,MATCH(Assumptions!$G$24&amp;"CapExGlobal",Fuel_CapexOpex!$F$4:$F$147,0),MATCH(YEAR(AE3),Fuel_CapexOpex!$G$3:$CF$3,0)),0)=0,AD28,IFERROR(INDEX(Fuel_CapexOpex!$G$4:$CF$147,MATCH(Assumptions!$G$24&amp;"CapExGlobal",Fuel_CapexOpex!$F$4:$F$147,0),MATCH(YEAR(AE3),Fuel_CapexOpex!$G$3:$CF$3,0)),0))</f>
        <v>1478.2692638923138</v>
      </c>
      <c r="AF28" s="32">
        <f>+IF(IFERROR(INDEX(Fuel_CapexOpex!$G$4:$CF$147,MATCH(Assumptions!$G$24&amp;"CapExGlobal",Fuel_CapexOpex!$F$4:$F$147,0),MATCH(YEAR(AF3),Fuel_CapexOpex!$G$3:$CF$3,0)),0)=0,AE28,IFERROR(INDEX(Fuel_CapexOpex!$G$4:$CF$147,MATCH(Assumptions!$G$24&amp;"CapExGlobal",Fuel_CapexOpex!$F$4:$F$147,0),MATCH(YEAR(AF3),Fuel_CapexOpex!$G$3:$CF$3,0)),0))</f>
        <v>1478.2692638923138</v>
      </c>
      <c r="AG28" s="32">
        <f>+IF(IFERROR(INDEX(Fuel_CapexOpex!$G$4:$CF$147,MATCH(Assumptions!$G$24&amp;"CapExGlobal",Fuel_CapexOpex!$F$4:$F$147,0),MATCH(YEAR(AG3),Fuel_CapexOpex!$G$3:$CF$3,0)),0)=0,AF28,IFERROR(INDEX(Fuel_CapexOpex!$G$4:$CF$147,MATCH(Assumptions!$G$24&amp;"CapExGlobal",Fuel_CapexOpex!$F$4:$F$147,0),MATCH(YEAR(AG3),Fuel_CapexOpex!$G$3:$CF$3,0)),0))</f>
        <v>1478.2692638923138</v>
      </c>
      <c r="AH28" s="32">
        <f>+IF(IFERROR(INDEX(Fuel_CapexOpex!$G$4:$CF$147,MATCH(Assumptions!$G$24&amp;"CapExGlobal",Fuel_CapexOpex!$F$4:$F$147,0),MATCH(YEAR(AH3),Fuel_CapexOpex!$G$3:$CF$3,0)),0)=0,AG28,IFERROR(INDEX(Fuel_CapexOpex!$G$4:$CF$147,MATCH(Assumptions!$G$24&amp;"CapExGlobal",Fuel_CapexOpex!$F$4:$F$147,0),MATCH(YEAR(AH3),Fuel_CapexOpex!$G$3:$CF$3,0)),0))</f>
        <v>1478.2692638923138</v>
      </c>
      <c r="AI28" s="32">
        <f>+IF(IFERROR(INDEX(Fuel_CapexOpex!$G$4:$CF$147,MATCH(Assumptions!$G$24&amp;"CapExGlobal",Fuel_CapexOpex!$F$4:$F$147,0),MATCH(YEAR(AI3),Fuel_CapexOpex!$G$3:$CF$3,0)),0)=0,AH28,IFERROR(INDEX(Fuel_CapexOpex!$G$4:$CF$147,MATCH(Assumptions!$G$24&amp;"CapExGlobal",Fuel_CapexOpex!$F$4:$F$147,0),MATCH(YEAR(AI3),Fuel_CapexOpex!$G$3:$CF$3,0)),0))</f>
        <v>1478.2692638923138</v>
      </c>
      <c r="AJ28" s="32">
        <f>+IF(IFERROR(INDEX(Fuel_CapexOpex!$G$4:$CF$147,MATCH(Assumptions!$G$24&amp;"CapExGlobal",Fuel_CapexOpex!$F$4:$F$147,0),MATCH(YEAR(AJ3),Fuel_CapexOpex!$G$3:$CF$3,0)),0)=0,AI28,IFERROR(INDEX(Fuel_CapexOpex!$G$4:$CF$147,MATCH(Assumptions!$G$24&amp;"CapExGlobal",Fuel_CapexOpex!$F$4:$F$147,0),MATCH(YEAR(AJ3),Fuel_CapexOpex!$G$3:$CF$3,0)),0))</f>
        <v>1478.2692638923138</v>
      </c>
      <c r="AK28" s="32">
        <f>+IF(IFERROR(INDEX(Fuel_CapexOpex!$G$4:$CF$147,MATCH(Assumptions!$G$24&amp;"CapExGlobal",Fuel_CapexOpex!$F$4:$F$147,0),MATCH(YEAR(AK3),Fuel_CapexOpex!$G$3:$CF$3,0)),0)=0,AJ28,IFERROR(INDEX(Fuel_CapexOpex!$G$4:$CF$147,MATCH(Assumptions!$G$24&amp;"CapExGlobal",Fuel_CapexOpex!$F$4:$F$147,0),MATCH(YEAR(AK3),Fuel_CapexOpex!$G$3:$CF$3,0)),0))</f>
        <v>1478.2692638923138</v>
      </c>
      <c r="AL28" s="32">
        <f>+IF(IFERROR(INDEX(Fuel_CapexOpex!$G$4:$CF$147,MATCH(Assumptions!$G$24&amp;"CapExGlobal",Fuel_CapexOpex!$F$4:$F$147,0),MATCH(YEAR(AL3),Fuel_CapexOpex!$G$3:$CF$3,0)),0)=0,AK28,IFERROR(INDEX(Fuel_CapexOpex!$G$4:$CF$147,MATCH(Assumptions!$G$24&amp;"CapExGlobal",Fuel_CapexOpex!$F$4:$F$147,0),MATCH(YEAR(AL3),Fuel_CapexOpex!$G$3:$CF$3,0)),0))</f>
        <v>1478.2692638923138</v>
      </c>
      <c r="AM28" s="32">
        <f>+IF(IFERROR(INDEX(Fuel_CapexOpex!$G$4:$CF$147,MATCH(Assumptions!$G$24&amp;"CapExGlobal",Fuel_CapexOpex!$F$4:$F$147,0),MATCH(YEAR(AM3),Fuel_CapexOpex!$G$3:$CF$3,0)),0)=0,AL28,IFERROR(INDEX(Fuel_CapexOpex!$G$4:$CF$147,MATCH(Assumptions!$G$24&amp;"CapExGlobal",Fuel_CapexOpex!$F$4:$F$147,0),MATCH(YEAR(AM3),Fuel_CapexOpex!$G$3:$CF$3,0)),0))</f>
        <v>1478.2692638923138</v>
      </c>
      <c r="AN28" s="32">
        <f>+IF(IFERROR(INDEX(Fuel_CapexOpex!$G$4:$CF$147,MATCH(Assumptions!$G$24&amp;"CapExGlobal",Fuel_CapexOpex!$F$4:$F$147,0),MATCH(YEAR(AN3),Fuel_CapexOpex!$G$3:$CF$3,0)),0)=0,AM28,IFERROR(INDEX(Fuel_CapexOpex!$G$4:$CF$147,MATCH(Assumptions!$G$24&amp;"CapExGlobal",Fuel_CapexOpex!$F$4:$F$147,0),MATCH(YEAR(AN3),Fuel_CapexOpex!$G$3:$CF$3,0)),0))</f>
        <v>1478.2692638923138</v>
      </c>
      <c r="AO28" s="32">
        <f>+IF(IFERROR(INDEX(Fuel_CapexOpex!$G$4:$CF$147,MATCH(Assumptions!$G$24&amp;"CapExGlobal",Fuel_CapexOpex!$F$4:$F$147,0),MATCH(YEAR(AO3),Fuel_CapexOpex!$G$3:$CF$3,0)),0)=0,AN28,IFERROR(INDEX(Fuel_CapexOpex!$G$4:$CF$147,MATCH(Assumptions!$G$24&amp;"CapExGlobal",Fuel_CapexOpex!$F$4:$F$147,0),MATCH(YEAR(AO3),Fuel_CapexOpex!$G$3:$CF$3,0)),0))</f>
        <v>1478.2692638923138</v>
      </c>
      <c r="AP28" s="32">
        <f>+IF(IFERROR(INDEX(Fuel_CapexOpex!$G$4:$CF$147,MATCH(Assumptions!$G$24&amp;"CapExGlobal",Fuel_CapexOpex!$F$4:$F$147,0),MATCH(YEAR(AP3),Fuel_CapexOpex!$G$3:$CF$3,0)),0)=0,AO28,IFERROR(INDEX(Fuel_CapexOpex!$G$4:$CF$147,MATCH(Assumptions!$G$24&amp;"CapExGlobal",Fuel_CapexOpex!$F$4:$F$147,0),MATCH(YEAR(AP3),Fuel_CapexOpex!$G$3:$CF$3,0)),0))</f>
        <v>1478.2692638923138</v>
      </c>
      <c r="AQ28" s="32">
        <f>+IF(IFERROR(INDEX(Fuel_CapexOpex!$G$4:$CF$147,MATCH(Assumptions!$G$24&amp;"CapExGlobal",Fuel_CapexOpex!$F$4:$F$147,0),MATCH(YEAR(AQ3),Fuel_CapexOpex!$G$3:$CF$3,0)),0)=0,AP28,IFERROR(INDEX(Fuel_CapexOpex!$G$4:$CF$147,MATCH(Assumptions!$G$24&amp;"CapExGlobal",Fuel_CapexOpex!$F$4:$F$147,0),MATCH(YEAR(AQ3),Fuel_CapexOpex!$G$3:$CF$3,0)),0))</f>
        <v>1478.2692638923138</v>
      </c>
      <c r="AR28" s="32">
        <f>+IF(IFERROR(INDEX(Fuel_CapexOpex!$G$4:$CF$147,MATCH(Assumptions!$G$24&amp;"CapExGlobal",Fuel_CapexOpex!$F$4:$F$147,0),MATCH(YEAR(AR3),Fuel_CapexOpex!$G$3:$CF$3,0)),0)=0,AQ28,IFERROR(INDEX(Fuel_CapexOpex!$G$4:$CF$147,MATCH(Assumptions!$G$24&amp;"CapExGlobal",Fuel_CapexOpex!$F$4:$F$147,0),MATCH(YEAR(AR3),Fuel_CapexOpex!$G$3:$CF$3,0)),0))</f>
        <v>1478.2692638923138</v>
      </c>
      <c r="AS28" s="32">
        <f>+IF(IFERROR(INDEX(Fuel_CapexOpex!$G$4:$CF$147,MATCH(Assumptions!$G$24&amp;"CapExGlobal",Fuel_CapexOpex!$F$4:$F$147,0),MATCH(YEAR(AS3),Fuel_CapexOpex!$G$3:$CF$3,0)),0)=0,AR28,IFERROR(INDEX(Fuel_CapexOpex!$G$4:$CF$147,MATCH(Assumptions!$G$24&amp;"CapExGlobal",Fuel_CapexOpex!$F$4:$F$147,0),MATCH(YEAR(AS3),Fuel_CapexOpex!$G$3:$CF$3,0)),0))</f>
        <v>1478.2692638923138</v>
      </c>
      <c r="AT28" s="32">
        <f>+IF(IFERROR(INDEX(Fuel_CapexOpex!$G$4:$CF$147,MATCH(Assumptions!$G$24&amp;"CapExGlobal",Fuel_CapexOpex!$F$4:$F$147,0),MATCH(YEAR(AT3),Fuel_CapexOpex!$G$3:$CF$3,0)),0)=0,AS28,IFERROR(INDEX(Fuel_CapexOpex!$G$4:$CF$147,MATCH(Assumptions!$G$24&amp;"CapExGlobal",Fuel_CapexOpex!$F$4:$F$147,0),MATCH(YEAR(AT3),Fuel_CapexOpex!$G$3:$CF$3,0)),0))</f>
        <v>1478.2692638923138</v>
      </c>
      <c r="AU28" s="32">
        <f>+IF(IFERROR(INDEX(Fuel_CapexOpex!$G$4:$CF$147,MATCH(Assumptions!$G$24&amp;"CapExGlobal",Fuel_CapexOpex!$F$4:$F$147,0),MATCH(YEAR(AU3),Fuel_CapexOpex!$G$3:$CF$3,0)),0)=0,AT28,IFERROR(INDEX(Fuel_CapexOpex!$G$4:$CF$147,MATCH(Assumptions!$G$24&amp;"CapExGlobal",Fuel_CapexOpex!$F$4:$F$147,0),MATCH(YEAR(AU3),Fuel_CapexOpex!$G$3:$CF$3,0)),0))</f>
        <v>1478.2692638923138</v>
      </c>
      <c r="AV28" s="32">
        <f>+IF(IFERROR(INDEX(Fuel_CapexOpex!$G$4:$CF$147,MATCH(Assumptions!$G$24&amp;"CapExGlobal",Fuel_CapexOpex!$F$4:$F$147,0),MATCH(YEAR(AV3),Fuel_CapexOpex!$G$3:$CF$3,0)),0)=0,AU28,IFERROR(INDEX(Fuel_CapexOpex!$G$4:$CF$147,MATCH(Assumptions!$G$24&amp;"CapExGlobal",Fuel_CapexOpex!$F$4:$F$147,0),MATCH(YEAR(AV3),Fuel_CapexOpex!$G$3:$CF$3,0)),0))</f>
        <v>1478.2692638923138</v>
      </c>
      <c r="AW28" s="32">
        <f>+IF(IFERROR(INDEX(Fuel_CapexOpex!$G$4:$CF$147,MATCH(Assumptions!$G$24&amp;"CapExGlobal",Fuel_CapexOpex!$F$4:$F$147,0),MATCH(YEAR(AW3),Fuel_CapexOpex!$G$3:$CF$3,0)),0)=0,AV28,IFERROR(INDEX(Fuel_CapexOpex!$G$4:$CF$147,MATCH(Assumptions!$G$24&amp;"CapExGlobal",Fuel_CapexOpex!$F$4:$F$147,0),MATCH(YEAR(AW3),Fuel_CapexOpex!$G$3:$CF$3,0)),0))</f>
        <v>1478.2692638923138</v>
      </c>
      <c r="AX28" s="32">
        <f>+IF(IFERROR(INDEX(Fuel_CapexOpex!$G$4:$CF$147,MATCH(Assumptions!$G$24&amp;"CapExGlobal",Fuel_CapexOpex!$F$4:$F$147,0),MATCH(YEAR(AX3),Fuel_CapexOpex!$G$3:$CF$3,0)),0)=0,AW28,IFERROR(INDEX(Fuel_CapexOpex!$G$4:$CF$147,MATCH(Assumptions!$G$24&amp;"CapExGlobal",Fuel_CapexOpex!$F$4:$F$147,0),MATCH(YEAR(AX3),Fuel_CapexOpex!$G$3:$CF$3,0)),0))</f>
        <v>1478.2692638923138</v>
      </c>
      <c r="AY28" s="32">
        <f>+IF(IFERROR(INDEX(Fuel_CapexOpex!$G$4:$CF$147,MATCH(Assumptions!$G$24&amp;"CapExGlobal",Fuel_CapexOpex!$F$4:$F$147,0),MATCH(YEAR(AY3),Fuel_CapexOpex!$G$3:$CF$3,0)),0)=0,AX28,IFERROR(INDEX(Fuel_CapexOpex!$G$4:$CF$147,MATCH(Assumptions!$G$24&amp;"CapExGlobal",Fuel_CapexOpex!$F$4:$F$147,0),MATCH(YEAR(AY3),Fuel_CapexOpex!$G$3:$CF$3,0)),0))</f>
        <v>1478.2692638923138</v>
      </c>
      <c r="AZ28" s="32">
        <f>+IF(IFERROR(INDEX(Fuel_CapexOpex!$G$4:$CF$147,MATCH(Assumptions!$G$24&amp;"CapExGlobal",Fuel_CapexOpex!$F$4:$F$147,0),MATCH(YEAR(AZ3),Fuel_CapexOpex!$G$3:$CF$3,0)),0)=0,AY28,IFERROR(INDEX(Fuel_CapexOpex!$G$4:$CF$147,MATCH(Assumptions!$G$24&amp;"CapExGlobal",Fuel_CapexOpex!$F$4:$F$147,0),MATCH(YEAR(AZ3),Fuel_CapexOpex!$G$3:$CF$3,0)),0))</f>
        <v>1478.2692638923138</v>
      </c>
      <c r="BA28" s="32">
        <f>+IF(IFERROR(INDEX(Fuel_CapexOpex!$G$4:$CF$147,MATCH(Assumptions!$G$24&amp;"CapExGlobal",Fuel_CapexOpex!$F$4:$F$147,0),MATCH(YEAR(BA3),Fuel_CapexOpex!$G$3:$CF$3,0)),0)=0,AZ28,IFERROR(INDEX(Fuel_CapexOpex!$G$4:$CF$147,MATCH(Assumptions!$G$24&amp;"CapExGlobal",Fuel_CapexOpex!$F$4:$F$147,0),MATCH(YEAR(BA3),Fuel_CapexOpex!$G$3:$CF$3,0)),0))</f>
        <v>1478.2692638923138</v>
      </c>
      <c r="BB28" s="32">
        <f>+IF(IFERROR(INDEX(Fuel_CapexOpex!$G$4:$CF$147,MATCH(Assumptions!$G$24&amp;"CapExGlobal",Fuel_CapexOpex!$F$4:$F$147,0),MATCH(YEAR(BB3),Fuel_CapexOpex!$G$3:$CF$3,0)),0)=0,BA28,IFERROR(INDEX(Fuel_CapexOpex!$G$4:$CF$147,MATCH(Assumptions!$G$24&amp;"CapExGlobal",Fuel_CapexOpex!$F$4:$F$147,0),MATCH(YEAR(BB3),Fuel_CapexOpex!$G$3:$CF$3,0)),0))</f>
        <v>1478.2692638923138</v>
      </c>
      <c r="BC28" s="32">
        <f>+IF(IFERROR(INDEX(Fuel_CapexOpex!$G$4:$CF$147,MATCH(Assumptions!$G$24&amp;"CapExGlobal",Fuel_CapexOpex!$F$4:$F$147,0),MATCH(YEAR(BC3),Fuel_CapexOpex!$G$3:$CF$3,0)),0)=0,BB28,IFERROR(INDEX(Fuel_CapexOpex!$G$4:$CF$147,MATCH(Assumptions!$G$24&amp;"CapExGlobal",Fuel_CapexOpex!$F$4:$F$147,0),MATCH(YEAR(BC3),Fuel_CapexOpex!$G$3:$CF$3,0)),0))</f>
        <v>1478.2692638923138</v>
      </c>
      <c r="BD28" s="32">
        <f>+IF(IFERROR(INDEX(Fuel_CapexOpex!$G$4:$CF$147,MATCH(Assumptions!$G$24&amp;"CapExGlobal",Fuel_CapexOpex!$F$4:$F$147,0),MATCH(YEAR(BD3),Fuel_CapexOpex!$G$3:$CF$3,0)),0)=0,BC28,IFERROR(INDEX(Fuel_CapexOpex!$G$4:$CF$147,MATCH(Assumptions!$G$24&amp;"CapExGlobal",Fuel_CapexOpex!$F$4:$F$147,0),MATCH(YEAR(BD3),Fuel_CapexOpex!$G$3:$CF$3,0)),0))</f>
        <v>1478.2692638923138</v>
      </c>
      <c r="BE28" s="32">
        <f>+IF(IFERROR(INDEX(Fuel_CapexOpex!$G$4:$CF$147,MATCH(Assumptions!$G$24&amp;"CapExGlobal",Fuel_CapexOpex!$F$4:$F$147,0),MATCH(YEAR(BE3),Fuel_CapexOpex!$G$3:$CF$3,0)),0)=0,BD28,IFERROR(INDEX(Fuel_CapexOpex!$G$4:$CF$147,MATCH(Assumptions!$G$24&amp;"CapExGlobal",Fuel_CapexOpex!$F$4:$F$147,0),MATCH(YEAR(BE3),Fuel_CapexOpex!$G$3:$CF$3,0)),0))</f>
        <v>1478.2692638923138</v>
      </c>
      <c r="BF28" s="32">
        <f>+IF(IFERROR(INDEX(Fuel_CapexOpex!$G$4:$CF$147,MATCH(Assumptions!$G$24&amp;"CapExGlobal",Fuel_CapexOpex!$F$4:$F$147,0),MATCH(YEAR(BF3),Fuel_CapexOpex!$G$3:$CF$3,0)),0)=0,BE28,IFERROR(INDEX(Fuel_CapexOpex!$G$4:$CF$147,MATCH(Assumptions!$G$24&amp;"CapExGlobal",Fuel_CapexOpex!$F$4:$F$147,0),MATCH(YEAR(BF3),Fuel_CapexOpex!$G$3:$CF$3,0)),0))</f>
        <v>1478.2692638923138</v>
      </c>
      <c r="BG28" s="32">
        <f>+IF(IFERROR(INDEX(Fuel_CapexOpex!$G$4:$CF$147,MATCH(Assumptions!$G$24&amp;"CapExGlobal",Fuel_CapexOpex!$F$4:$F$147,0),MATCH(YEAR(BG3),Fuel_CapexOpex!$G$3:$CF$3,0)),0)=0,BF28,IFERROR(INDEX(Fuel_CapexOpex!$G$4:$CF$147,MATCH(Assumptions!$G$24&amp;"CapExGlobal",Fuel_CapexOpex!$F$4:$F$147,0),MATCH(YEAR(BG3),Fuel_CapexOpex!$G$3:$CF$3,0)),0))</f>
        <v>1478.2692638923138</v>
      </c>
      <c r="BH28" s="32">
        <f>+IF(IFERROR(INDEX(Fuel_CapexOpex!$G$4:$CF$147,MATCH(Assumptions!$G$24&amp;"CapExGlobal",Fuel_CapexOpex!$F$4:$F$147,0),MATCH(YEAR(BH3),Fuel_CapexOpex!$G$3:$CF$3,0)),0)=0,BG28,IFERROR(INDEX(Fuel_CapexOpex!$G$4:$CF$147,MATCH(Assumptions!$G$24&amp;"CapExGlobal",Fuel_CapexOpex!$F$4:$F$147,0),MATCH(YEAR(BH3),Fuel_CapexOpex!$G$3:$CF$3,0)),0))</f>
        <v>1478.2692638923138</v>
      </c>
      <c r="BI28" s="32">
        <f>+IF(IFERROR(INDEX(Fuel_CapexOpex!$G$4:$CF$147,MATCH(Assumptions!$G$24&amp;"CapExGlobal",Fuel_CapexOpex!$F$4:$F$147,0),MATCH(YEAR(BI3),Fuel_CapexOpex!$G$3:$CF$3,0)),0)=0,BH28,IFERROR(INDEX(Fuel_CapexOpex!$G$4:$CF$147,MATCH(Assumptions!$G$24&amp;"CapExGlobal",Fuel_CapexOpex!$F$4:$F$147,0),MATCH(YEAR(BI3),Fuel_CapexOpex!$G$3:$CF$3,0)),0))</f>
        <v>1478.2692638923138</v>
      </c>
      <c r="BJ28" s="32">
        <f>+IF(IFERROR(INDEX(Fuel_CapexOpex!$G$4:$CF$147,MATCH(Assumptions!$G$24&amp;"CapExGlobal",Fuel_CapexOpex!$F$4:$F$147,0),MATCH(YEAR(BJ3),Fuel_CapexOpex!$G$3:$CF$3,0)),0)=0,BI28,IFERROR(INDEX(Fuel_CapexOpex!$G$4:$CF$147,MATCH(Assumptions!$G$24&amp;"CapExGlobal",Fuel_CapexOpex!$F$4:$F$147,0),MATCH(YEAR(BJ3),Fuel_CapexOpex!$G$3:$CF$3,0)),0))</f>
        <v>1478.2692638923138</v>
      </c>
      <c r="BK28" s="32">
        <f>+IF(IFERROR(INDEX(Fuel_CapexOpex!$G$4:$CF$147,MATCH(Assumptions!$G$24&amp;"CapExGlobal",Fuel_CapexOpex!$F$4:$F$147,0),MATCH(YEAR(BK3),Fuel_CapexOpex!$G$3:$CF$3,0)),0)=0,BJ28,IFERROR(INDEX(Fuel_CapexOpex!$G$4:$CF$147,MATCH(Assumptions!$G$24&amp;"CapExGlobal",Fuel_CapexOpex!$F$4:$F$147,0),MATCH(YEAR(BK3),Fuel_CapexOpex!$G$3:$CF$3,0)),0))</f>
        <v>1478.2692638923138</v>
      </c>
      <c r="BL28" s="32">
        <f>+IF(IFERROR(INDEX(Fuel_CapexOpex!$G$4:$CF$147,MATCH(Assumptions!$G$24&amp;"CapExGlobal",Fuel_CapexOpex!$F$4:$F$147,0),MATCH(YEAR(BL3),Fuel_CapexOpex!$G$3:$CF$3,0)),0)=0,BK28,IFERROR(INDEX(Fuel_CapexOpex!$G$4:$CF$147,MATCH(Assumptions!$G$24&amp;"CapExGlobal",Fuel_CapexOpex!$F$4:$F$147,0),MATCH(YEAR(BL3),Fuel_CapexOpex!$G$3:$CF$3,0)),0))</f>
        <v>1478.2692638923138</v>
      </c>
      <c r="BM28" s="32">
        <f>+IF(IFERROR(INDEX(Fuel_CapexOpex!$G$4:$CF$147,MATCH(Assumptions!$G$24&amp;"CapExGlobal",Fuel_CapexOpex!$F$4:$F$147,0),MATCH(YEAR(BM3),Fuel_CapexOpex!$G$3:$CF$3,0)),0)=0,BL28,IFERROR(INDEX(Fuel_CapexOpex!$G$4:$CF$147,MATCH(Assumptions!$G$24&amp;"CapExGlobal",Fuel_CapexOpex!$F$4:$F$147,0),MATCH(YEAR(BM3),Fuel_CapexOpex!$G$3:$CF$3,0)),0))</f>
        <v>1478.2692638923138</v>
      </c>
      <c r="BN28" s="32">
        <f>+IF(IFERROR(INDEX(Fuel_CapexOpex!$G$4:$CF$147,MATCH(Assumptions!$G$24&amp;"CapExGlobal",Fuel_CapexOpex!$F$4:$F$147,0),MATCH(YEAR(BN3),Fuel_CapexOpex!$G$3:$CF$3,0)),0)=0,BM28,IFERROR(INDEX(Fuel_CapexOpex!$G$4:$CF$147,MATCH(Assumptions!$G$24&amp;"CapExGlobal",Fuel_CapexOpex!$F$4:$F$147,0),MATCH(YEAR(BN3),Fuel_CapexOpex!$G$3:$CF$3,0)),0))</f>
        <v>1478.2692638923138</v>
      </c>
      <c r="BO28" s="32">
        <f>+IF(IFERROR(INDEX(Fuel_CapexOpex!$G$4:$CF$147,MATCH(Assumptions!$G$24&amp;"CapExGlobal",Fuel_CapexOpex!$F$4:$F$147,0),MATCH(YEAR(BO3),Fuel_CapexOpex!$G$3:$CF$3,0)),0)=0,BN28,IFERROR(INDEX(Fuel_CapexOpex!$G$4:$CF$147,MATCH(Assumptions!$G$24&amp;"CapExGlobal",Fuel_CapexOpex!$F$4:$F$147,0),MATCH(YEAR(BO3),Fuel_CapexOpex!$G$3:$CF$3,0)),0))</f>
        <v>1478.2692638923138</v>
      </c>
      <c r="BP28" s="32">
        <f>+IF(IFERROR(INDEX(Fuel_CapexOpex!$G$4:$CF$147,MATCH(Assumptions!$G$24&amp;"CapExGlobal",Fuel_CapexOpex!$F$4:$F$147,0),MATCH(YEAR(BP3),Fuel_CapexOpex!$G$3:$CF$3,0)),0)=0,BO28,IFERROR(INDEX(Fuel_CapexOpex!$G$4:$CF$147,MATCH(Assumptions!$G$24&amp;"CapExGlobal",Fuel_CapexOpex!$F$4:$F$147,0),MATCH(YEAR(BP3),Fuel_CapexOpex!$G$3:$CF$3,0)),0))</f>
        <v>1478.2692638923138</v>
      </c>
      <c r="BQ28" s="32">
        <f>+IF(IFERROR(INDEX(Fuel_CapexOpex!$G$4:$CF$147,MATCH(Assumptions!$G$24&amp;"CapExGlobal",Fuel_CapexOpex!$F$4:$F$147,0),MATCH(YEAR(BQ3),Fuel_CapexOpex!$G$3:$CF$3,0)),0)=0,BP28,IFERROR(INDEX(Fuel_CapexOpex!$G$4:$CF$147,MATCH(Assumptions!$G$24&amp;"CapExGlobal",Fuel_CapexOpex!$F$4:$F$147,0),MATCH(YEAR(BQ3),Fuel_CapexOpex!$G$3:$CF$3,0)),0))</f>
        <v>1478.2692638923138</v>
      </c>
      <c r="BR28" s="32">
        <f>+IF(IFERROR(INDEX(Fuel_CapexOpex!$G$4:$CF$147,MATCH(Assumptions!$G$24&amp;"CapExGlobal",Fuel_CapexOpex!$F$4:$F$147,0),MATCH(YEAR(BR3),Fuel_CapexOpex!$G$3:$CF$3,0)),0)=0,BQ28,IFERROR(INDEX(Fuel_CapexOpex!$G$4:$CF$147,MATCH(Assumptions!$G$24&amp;"CapExGlobal",Fuel_CapexOpex!$F$4:$F$147,0),MATCH(YEAR(BR3),Fuel_CapexOpex!$G$3:$CF$3,0)),0))</f>
        <v>1478.2692638923138</v>
      </c>
      <c r="BS28" s="32">
        <f>+IF(IFERROR(INDEX(Fuel_CapexOpex!$G$4:$CF$147,MATCH(Assumptions!$G$24&amp;"CapExGlobal",Fuel_CapexOpex!$F$4:$F$147,0),MATCH(YEAR(BS3),Fuel_CapexOpex!$G$3:$CF$3,0)),0)=0,BR28,IFERROR(INDEX(Fuel_CapexOpex!$G$4:$CF$147,MATCH(Assumptions!$G$24&amp;"CapExGlobal",Fuel_CapexOpex!$F$4:$F$147,0),MATCH(YEAR(BS3),Fuel_CapexOpex!$G$3:$CF$3,0)),0))</f>
        <v>1478.2692638923138</v>
      </c>
      <c r="BT28" s="32">
        <f>+IF(IFERROR(INDEX(Fuel_CapexOpex!$G$4:$CF$147,MATCH(Assumptions!$G$24&amp;"CapExGlobal",Fuel_CapexOpex!$F$4:$F$147,0),MATCH(YEAR(BT3),Fuel_CapexOpex!$G$3:$CF$3,0)),0)=0,BS28,IFERROR(INDEX(Fuel_CapexOpex!$G$4:$CF$147,MATCH(Assumptions!$G$24&amp;"CapExGlobal",Fuel_CapexOpex!$F$4:$F$147,0),MATCH(YEAR(BT3),Fuel_CapexOpex!$G$3:$CF$3,0)),0))</f>
        <v>1478.2692638923138</v>
      </c>
      <c r="BU28" s="32">
        <f>+IF(IFERROR(INDEX(Fuel_CapexOpex!$G$4:$CF$147,MATCH(Assumptions!$G$24&amp;"CapExGlobal",Fuel_CapexOpex!$F$4:$F$147,0),MATCH(YEAR(BU3),Fuel_CapexOpex!$G$3:$CF$3,0)),0)=0,BT28,IFERROR(INDEX(Fuel_CapexOpex!$G$4:$CF$147,MATCH(Assumptions!$G$24&amp;"CapExGlobal",Fuel_CapexOpex!$F$4:$F$147,0),MATCH(YEAR(BU3),Fuel_CapexOpex!$G$3:$CF$3,0)),0))</f>
        <v>1478.2692638923138</v>
      </c>
      <c r="BV28" s="32">
        <f>+IF(IFERROR(INDEX(Fuel_CapexOpex!$G$4:$CF$147,MATCH(Assumptions!$G$24&amp;"CapExGlobal",Fuel_CapexOpex!$F$4:$F$147,0),MATCH(YEAR(BV3),Fuel_CapexOpex!$G$3:$CF$3,0)),0)=0,BU28,IFERROR(INDEX(Fuel_CapexOpex!$G$4:$CF$147,MATCH(Assumptions!$G$24&amp;"CapExGlobal",Fuel_CapexOpex!$F$4:$F$147,0),MATCH(YEAR(BV3),Fuel_CapexOpex!$G$3:$CF$3,0)),0))</f>
        <v>1478.2692638923138</v>
      </c>
      <c r="BW28" s="32">
        <f>+IF(IFERROR(INDEX(Fuel_CapexOpex!$G$4:$CF$147,MATCH(Assumptions!$G$24&amp;"CapExGlobal",Fuel_CapexOpex!$F$4:$F$147,0),MATCH(YEAR(BW3),Fuel_CapexOpex!$G$3:$CF$3,0)),0)=0,BV28,IFERROR(INDEX(Fuel_CapexOpex!$G$4:$CF$147,MATCH(Assumptions!$G$24&amp;"CapExGlobal",Fuel_CapexOpex!$F$4:$F$147,0),MATCH(YEAR(BW3),Fuel_CapexOpex!$G$3:$CF$3,0)),0))</f>
        <v>1478.2692638923138</v>
      </c>
      <c r="BX28" s="32">
        <f>+IF(IFERROR(INDEX(Fuel_CapexOpex!$G$4:$CF$147,MATCH(Assumptions!$G$24&amp;"CapExGlobal",Fuel_CapexOpex!$F$4:$F$147,0),MATCH(YEAR(BX3),Fuel_CapexOpex!$G$3:$CF$3,0)),0)=0,BW28,IFERROR(INDEX(Fuel_CapexOpex!$G$4:$CF$147,MATCH(Assumptions!$G$24&amp;"CapExGlobal",Fuel_CapexOpex!$F$4:$F$147,0),MATCH(YEAR(BX3),Fuel_CapexOpex!$G$3:$CF$3,0)),0))</f>
        <v>1478.2692638923138</v>
      </c>
      <c r="BY28" s="32">
        <f>+IF(IFERROR(INDEX(Fuel_CapexOpex!$G$4:$CF$147,MATCH(Assumptions!$G$24&amp;"CapExGlobal",Fuel_CapexOpex!$F$4:$F$147,0),MATCH(YEAR(BY3),Fuel_CapexOpex!$G$3:$CF$3,0)),0)=0,BX28,IFERROR(INDEX(Fuel_CapexOpex!$G$4:$CF$147,MATCH(Assumptions!$G$24&amp;"CapExGlobal",Fuel_CapexOpex!$F$4:$F$147,0),MATCH(YEAR(BY3),Fuel_CapexOpex!$G$3:$CF$3,0)),0))</f>
        <v>1478.2692638923138</v>
      </c>
    </row>
    <row r="29" spans="1:77" outlineLevel="1">
      <c r="E29" t="s">
        <v>454</v>
      </c>
      <c r="F29" s="80" t="str">
        <f>+Assumptions!$G$8&amp;"/ton"</f>
        <v>USD/ton</v>
      </c>
      <c r="H29" s="754">
        <f ca="1">+IF(IFERROR(INDEX(Fuel_prices!$H$7:$AI$1365,MATCH(Assumptions!$G$24&amp;Assumptions!$G$15&amp;"Total cost",Fuel_prices!$G$7:$G$1365,0),MATCH(YEAR(H3),Fuel_prices!$H$6:$AI$6,0)),0)=0,G29,IFERROR(INDEX(Fuel_prices!$H$7:$AI$1365,MATCH(Assumptions!$G$24&amp;Assumptions!$G$15&amp;"Total cost",Fuel_prices!$G$7:$G$1365,0),MATCH(YEAR(H3),Fuel_prices!$H$6:$AI$6,0)),0))</f>
        <v>0</v>
      </c>
      <c r="I29" s="754">
        <f ca="1">+IF(IFERROR(INDEX(Fuel_prices!$H$7:$AI$1365,MATCH(Assumptions!$G$24&amp;Assumptions!$G$15&amp;"Total cost",Fuel_prices!$G$7:$G$1365,0),MATCH(YEAR(I3),Fuel_prices!$H$6:$AI$6,0)),0)=0,H29,IFERROR(INDEX(Fuel_prices!$H$7:$AI$1365,MATCH(Assumptions!$G$24&amp;Assumptions!$G$15&amp;"Total cost",Fuel_prices!$G$7:$G$1365,0),MATCH(YEAR(I3),Fuel_prices!$H$6:$AI$6,0)),0))</f>
        <v>0</v>
      </c>
      <c r="J29" s="754">
        <f ca="1">+IF(IFERROR(INDEX(Fuel_prices!$H$7:$AI$1365,MATCH(Assumptions!$G$24&amp;Assumptions!$G$15&amp;"Total cost",Fuel_prices!$G$7:$G$1365,0),MATCH(YEAR(J3),Fuel_prices!$H$6:$AI$6,0)),0)=0,I29,IFERROR(INDEX(Fuel_prices!$H$7:$AI$1365,MATCH(Assumptions!$G$24&amp;Assumptions!$G$15&amp;"Total cost",Fuel_prices!$G$7:$G$1365,0),MATCH(YEAR(J3),Fuel_prices!$H$6:$AI$6,0)),0))</f>
        <v>0</v>
      </c>
      <c r="K29" s="754">
        <f ca="1">+IF(IFERROR(INDEX(Fuel_prices!$H$7:$AI$1365,MATCH(Assumptions!$G$24&amp;Assumptions!$G$15&amp;"Total cost",Fuel_prices!$G$7:$G$1365,0),MATCH(YEAR(K3),Fuel_prices!$H$6:$AI$6,0)),0)=0,J29,IFERROR(INDEX(Fuel_prices!$H$7:$AI$1365,MATCH(Assumptions!$G$24&amp;Assumptions!$G$15&amp;"Total cost",Fuel_prices!$G$7:$G$1365,0),MATCH(YEAR(K3),Fuel_prices!$H$6:$AI$6,0)),0))</f>
        <v>0</v>
      </c>
      <c r="L29" s="754">
        <f ca="1">+IF(IFERROR(INDEX(Fuel_prices!$H$7:$AI$1365,MATCH(Assumptions!$G$24&amp;Assumptions!$G$15&amp;"Total cost",Fuel_prices!$G$7:$G$1365,0),MATCH(YEAR(L3),Fuel_prices!$H$6:$AI$6,0)),0)=0,K29,IFERROR(INDEX(Fuel_prices!$H$7:$AI$1365,MATCH(Assumptions!$G$24&amp;Assumptions!$G$15&amp;"Total cost",Fuel_prices!$G$7:$G$1365,0),MATCH(YEAR(L3),Fuel_prices!$H$6:$AI$6,0)),0))</f>
        <v>0</v>
      </c>
      <c r="M29" s="754">
        <f ca="1">+IF(IFERROR(INDEX(Fuel_prices!$H$7:$AI$1365,MATCH(Assumptions!$G$24&amp;Assumptions!$G$15&amp;"Total cost",Fuel_prices!$G$7:$G$1365,0),MATCH(YEAR(M3),Fuel_prices!$H$6:$AI$6,0)),0)=0,L29,IFERROR(INDEX(Fuel_prices!$H$7:$AI$1365,MATCH(Assumptions!$G$24&amp;Assumptions!$G$15&amp;"Total cost",Fuel_prices!$G$7:$G$1365,0),MATCH(YEAR(M3),Fuel_prices!$H$6:$AI$6,0)),0))</f>
        <v>0</v>
      </c>
      <c r="N29" s="754">
        <f ca="1">+IF(IFERROR(INDEX(Fuel_prices!$H$7:$AI$1365,MATCH(Assumptions!$G$24&amp;Assumptions!$G$15&amp;"Total cost",Fuel_prices!$G$7:$G$1365,0),MATCH(YEAR(N3),Fuel_prices!$H$6:$AI$6,0)),0)=0,M29,IFERROR(INDEX(Fuel_prices!$H$7:$AI$1365,MATCH(Assumptions!$G$24&amp;Assumptions!$G$15&amp;"Total cost",Fuel_prices!$G$7:$G$1365,0),MATCH(YEAR(N3),Fuel_prices!$H$6:$AI$6,0)),0))</f>
        <v>0</v>
      </c>
      <c r="O29" s="754">
        <f ca="1">+IF(IFERROR(INDEX(Fuel_prices!$H$7:$AI$1365,MATCH(Assumptions!$G$24&amp;Assumptions!$G$15&amp;"Total cost",Fuel_prices!$G$7:$G$1365,0),MATCH(YEAR(O3),Fuel_prices!$H$6:$AI$6,0)),0)=0,N29,IFERROR(INDEX(Fuel_prices!$H$7:$AI$1365,MATCH(Assumptions!$G$24&amp;Assumptions!$G$15&amp;"Total cost",Fuel_prices!$G$7:$G$1365,0),MATCH(YEAR(O3),Fuel_prices!$H$6:$AI$6,0)),0))</f>
        <v>0</v>
      </c>
      <c r="P29" s="754">
        <f ca="1">+IF(IFERROR(INDEX(Fuel_prices!$H$7:$AI$1365,MATCH(Assumptions!$G$24&amp;Assumptions!$G$15&amp;"Total cost",Fuel_prices!$G$7:$G$1365,0),MATCH(YEAR(P3),Fuel_prices!$H$6:$AI$6,0)),0)=0,O29,IFERROR(INDEX(Fuel_prices!$H$7:$AI$1365,MATCH(Assumptions!$G$24&amp;Assumptions!$G$15&amp;"Total cost",Fuel_prices!$G$7:$G$1365,0),MATCH(YEAR(P3),Fuel_prices!$H$6:$AI$6,0)),0))</f>
        <v>0</v>
      </c>
      <c r="Q29" s="754">
        <f ca="1">+IF(IFERROR(INDEX(Fuel_prices!$H$7:$AI$1365,MATCH(Assumptions!$G$24&amp;Assumptions!$G$15&amp;"Total cost",Fuel_prices!$G$7:$G$1365,0),MATCH(YEAR(Q3),Fuel_prices!$H$6:$AI$6,0)),0)=0,P29,IFERROR(INDEX(Fuel_prices!$H$7:$AI$1365,MATCH(Assumptions!$G$24&amp;Assumptions!$G$15&amp;"Total cost",Fuel_prices!$G$7:$G$1365,0),MATCH(YEAR(Q3),Fuel_prices!$H$6:$AI$6,0)),0))</f>
        <v>0</v>
      </c>
      <c r="R29" s="754">
        <f ca="1">+IF(IFERROR(INDEX(Fuel_prices!$H$7:$AI$1365,MATCH(Assumptions!$G$24&amp;Assumptions!$G$15&amp;"Total cost",Fuel_prices!$G$7:$G$1365,0),MATCH(YEAR(R3),Fuel_prices!$H$6:$AI$6,0)),0)=0,Q29,IFERROR(INDEX(Fuel_prices!$H$7:$AI$1365,MATCH(Assumptions!$G$24&amp;Assumptions!$G$15&amp;"Total cost",Fuel_prices!$G$7:$G$1365,0),MATCH(YEAR(R3),Fuel_prices!$H$6:$AI$6,0)),0))</f>
        <v>0</v>
      </c>
      <c r="S29" s="754">
        <f ca="1">+IF(IFERROR(INDEX(Fuel_prices!$H$7:$AI$1365,MATCH(Assumptions!$G$24&amp;Assumptions!$G$15&amp;"Total cost",Fuel_prices!$G$7:$G$1365,0),MATCH(YEAR(S3),Fuel_prices!$H$6:$AI$6,0)),0)=0,R29,IFERROR(INDEX(Fuel_prices!$H$7:$AI$1365,MATCH(Assumptions!$G$24&amp;Assumptions!$G$15&amp;"Total cost",Fuel_prices!$G$7:$G$1365,0),MATCH(YEAR(S3),Fuel_prices!$H$6:$AI$6,0)),0))</f>
        <v>0</v>
      </c>
      <c r="T29" s="754">
        <f ca="1">+IF(IFERROR(INDEX(Fuel_prices!$H$7:$AI$1365,MATCH(Assumptions!$G$24&amp;Assumptions!$G$15&amp;"Total cost",Fuel_prices!$G$7:$G$1365,0),MATCH(YEAR(T3),Fuel_prices!$H$6:$AI$6,0)),0)=0,S29,IFERROR(INDEX(Fuel_prices!$H$7:$AI$1365,MATCH(Assumptions!$G$24&amp;Assumptions!$G$15&amp;"Total cost",Fuel_prices!$G$7:$G$1365,0),MATCH(YEAR(T3),Fuel_prices!$H$6:$AI$6,0)),0))</f>
        <v>0</v>
      </c>
      <c r="U29" s="754">
        <f ca="1">+IF(IFERROR(INDEX(Fuel_prices!$H$7:$AI$1365,MATCH(Assumptions!$G$24&amp;Assumptions!$G$15&amp;"Total cost",Fuel_prices!$G$7:$G$1365,0),MATCH(YEAR(U3),Fuel_prices!$H$6:$AI$6,0)),0)=0,T29,IFERROR(INDEX(Fuel_prices!$H$7:$AI$1365,MATCH(Assumptions!$G$24&amp;Assumptions!$G$15&amp;"Total cost",Fuel_prices!$G$7:$G$1365,0),MATCH(YEAR(U3),Fuel_prices!$H$6:$AI$6,0)),0))</f>
        <v>0</v>
      </c>
      <c r="V29" s="754">
        <f ca="1">+IF(IFERROR(INDEX(Fuel_prices!$H$7:$AI$1365,MATCH(Assumptions!$G$24&amp;Assumptions!$G$15&amp;"Total cost",Fuel_prices!$G$7:$G$1365,0),MATCH(YEAR(V3),Fuel_prices!$H$6:$AI$6,0)),0)=0,U29,IFERROR(INDEX(Fuel_prices!$H$7:$AI$1365,MATCH(Assumptions!$G$24&amp;Assumptions!$G$15&amp;"Total cost",Fuel_prices!$G$7:$G$1365,0),MATCH(YEAR(V3),Fuel_prices!$H$6:$AI$6,0)),0))</f>
        <v>0</v>
      </c>
      <c r="W29" s="754">
        <f ca="1">+IF(IFERROR(INDEX(Fuel_prices!$H$7:$AI$1365,MATCH(Assumptions!$G$24&amp;Assumptions!$G$15&amp;"Total cost",Fuel_prices!$G$7:$G$1365,0),MATCH(YEAR(W3),Fuel_prices!$H$6:$AI$6,0)),0)=0,V29,IFERROR(INDEX(Fuel_prices!$H$7:$AI$1365,MATCH(Assumptions!$G$24&amp;Assumptions!$G$15&amp;"Total cost",Fuel_prices!$G$7:$G$1365,0),MATCH(YEAR(W3),Fuel_prices!$H$6:$AI$6,0)),0))</f>
        <v>0</v>
      </c>
      <c r="X29" s="754">
        <f ca="1">+IF(IFERROR(INDEX(Fuel_prices!$H$7:$AI$1365,MATCH(Assumptions!$G$24&amp;Assumptions!$G$15&amp;"Total cost",Fuel_prices!$G$7:$G$1365,0),MATCH(YEAR(X3),Fuel_prices!$H$6:$AI$6,0)),0)=0,W29,IFERROR(INDEX(Fuel_prices!$H$7:$AI$1365,MATCH(Assumptions!$G$24&amp;Assumptions!$G$15&amp;"Total cost",Fuel_prices!$G$7:$G$1365,0),MATCH(YEAR(X3),Fuel_prices!$H$6:$AI$6,0)),0))</f>
        <v>0</v>
      </c>
      <c r="Y29" s="754">
        <f ca="1">+IF(IFERROR(INDEX(Fuel_prices!$H$7:$AI$1365,MATCH(Assumptions!$G$24&amp;Assumptions!$G$15&amp;"Total cost",Fuel_prices!$G$7:$G$1365,0),MATCH(YEAR(Y3),Fuel_prices!$H$6:$AI$6,0)),0)=0,X29,IFERROR(INDEX(Fuel_prices!$H$7:$AI$1365,MATCH(Assumptions!$G$24&amp;Assumptions!$G$15&amp;"Total cost",Fuel_prices!$G$7:$G$1365,0),MATCH(YEAR(Y3),Fuel_prices!$H$6:$AI$6,0)),0))</f>
        <v>0</v>
      </c>
      <c r="Z29" s="754">
        <f ca="1">+IF(IFERROR(INDEX(Fuel_prices!$H$7:$AI$1365,MATCH(Assumptions!$G$24&amp;Assumptions!$G$15&amp;"Total cost",Fuel_prices!$G$7:$G$1365,0),MATCH(YEAR(Z3),Fuel_prices!$H$6:$AI$6,0)),0)=0,Y29,IFERROR(INDEX(Fuel_prices!$H$7:$AI$1365,MATCH(Assumptions!$G$24&amp;Assumptions!$G$15&amp;"Total cost",Fuel_prices!$G$7:$G$1365,0),MATCH(YEAR(Z3),Fuel_prices!$H$6:$AI$6,0)),0))</f>
        <v>0</v>
      </c>
      <c r="AA29" s="754">
        <f ca="1">+IF(IFERROR(INDEX(Fuel_prices!$H$7:$AI$1365,MATCH(Assumptions!$G$24&amp;Assumptions!$G$15&amp;"Total cost",Fuel_prices!$G$7:$G$1365,0),MATCH(YEAR(AA3),Fuel_prices!$H$6:$AI$6,0)),0)=0,Z29,IFERROR(INDEX(Fuel_prices!$H$7:$AI$1365,MATCH(Assumptions!$G$24&amp;Assumptions!$G$15&amp;"Total cost",Fuel_prices!$G$7:$G$1365,0),MATCH(YEAR(AA3),Fuel_prices!$H$6:$AI$6,0)),0))</f>
        <v>0</v>
      </c>
      <c r="AB29" s="754">
        <f ca="1">+IF(IFERROR(INDEX(Fuel_prices!$H$7:$AI$1365,MATCH(Assumptions!$G$24&amp;Assumptions!$G$15&amp;"Total cost",Fuel_prices!$G$7:$G$1365,0),MATCH(YEAR(AB3),Fuel_prices!$H$6:$AI$6,0)),0)=0,AA29,IFERROR(INDEX(Fuel_prices!$H$7:$AI$1365,MATCH(Assumptions!$G$24&amp;Assumptions!$G$15&amp;"Total cost",Fuel_prices!$G$7:$G$1365,0),MATCH(YEAR(AB3),Fuel_prices!$H$6:$AI$6,0)),0))</f>
        <v>0</v>
      </c>
      <c r="AC29" s="754">
        <f ca="1">+IF(IFERROR(INDEX(Fuel_prices!$H$7:$AI$1365,MATCH(Assumptions!$G$24&amp;Assumptions!$G$15&amp;"Total cost",Fuel_prices!$G$7:$G$1365,0),MATCH(YEAR(AC3),Fuel_prices!$H$6:$AI$6,0)),0)=0,AB29,IFERROR(INDEX(Fuel_prices!$H$7:$AI$1365,MATCH(Assumptions!$G$24&amp;Assumptions!$G$15&amp;"Total cost",Fuel_prices!$G$7:$G$1365,0),MATCH(YEAR(AC3),Fuel_prices!$H$6:$AI$6,0)),0))</f>
        <v>0</v>
      </c>
      <c r="AD29" s="754">
        <f ca="1">+IF(IFERROR(INDEX(Fuel_prices!$H$7:$AI$1365,MATCH(Assumptions!$G$24&amp;Assumptions!$G$15&amp;"Total cost",Fuel_prices!$G$7:$G$1365,0),MATCH(YEAR(AD3),Fuel_prices!$H$6:$AI$6,0)),0)=0,AC29,IFERROR(INDEX(Fuel_prices!$H$7:$AI$1365,MATCH(Assumptions!$G$24&amp;Assumptions!$G$15&amp;"Total cost",Fuel_prices!$G$7:$G$1365,0),MATCH(YEAR(AD3),Fuel_prices!$H$6:$AI$6,0)),0))</f>
        <v>0</v>
      </c>
      <c r="AE29" s="754">
        <f ca="1">+IF(IFERROR(INDEX(Fuel_prices!$H$7:$AI$1365,MATCH(Assumptions!$G$24&amp;Assumptions!$G$15&amp;"Total cost",Fuel_prices!$G$7:$G$1365,0),MATCH(YEAR(AE3),Fuel_prices!$H$6:$AI$6,0)),0)=0,AD29,IFERROR(INDEX(Fuel_prices!$H$7:$AI$1365,MATCH(Assumptions!$G$24&amp;Assumptions!$G$15&amp;"Total cost",Fuel_prices!$G$7:$G$1365,0),MATCH(YEAR(AE3),Fuel_prices!$H$6:$AI$6,0)),0))</f>
        <v>0</v>
      </c>
      <c r="AF29" s="754">
        <f ca="1">+IF(IFERROR(INDEX(Fuel_prices!$H$7:$AI$1365,MATCH(Assumptions!$G$24&amp;Assumptions!$G$15&amp;"Total cost",Fuel_prices!$G$7:$G$1365,0),MATCH(YEAR(AF3),Fuel_prices!$H$6:$AI$6,0)),0)=0,AE29,IFERROR(INDEX(Fuel_prices!$H$7:$AI$1365,MATCH(Assumptions!$G$24&amp;Assumptions!$G$15&amp;"Total cost",Fuel_prices!$G$7:$G$1365,0),MATCH(YEAR(AF3),Fuel_prices!$H$6:$AI$6,0)),0))</f>
        <v>0</v>
      </c>
      <c r="AG29" s="754">
        <f ca="1">+IF(IFERROR(INDEX(Fuel_prices!$H$7:$AI$1365,MATCH(Assumptions!$G$24&amp;Assumptions!$G$15&amp;"Total cost",Fuel_prices!$G$7:$G$1365,0),MATCH(YEAR(AG3),Fuel_prices!$H$6:$AI$6,0)),0)=0,AF29,IFERROR(INDEX(Fuel_prices!$H$7:$AI$1365,MATCH(Assumptions!$G$24&amp;Assumptions!$G$15&amp;"Total cost",Fuel_prices!$G$7:$G$1365,0),MATCH(YEAR(AG3),Fuel_prices!$H$6:$AI$6,0)),0))</f>
        <v>0</v>
      </c>
      <c r="AH29" s="754">
        <f ca="1">+IF(IFERROR(INDEX(Fuel_prices!$H$7:$AI$1365,MATCH(Assumptions!$G$24&amp;Assumptions!$G$15&amp;"Total cost",Fuel_prices!$G$7:$G$1365,0),MATCH(YEAR(AH3),Fuel_prices!$H$6:$AI$6,0)),0)=0,AG29,IFERROR(INDEX(Fuel_prices!$H$7:$AI$1365,MATCH(Assumptions!$G$24&amp;Assumptions!$G$15&amp;"Total cost",Fuel_prices!$G$7:$G$1365,0),MATCH(YEAR(AH3),Fuel_prices!$H$6:$AI$6,0)),0))</f>
        <v>0</v>
      </c>
      <c r="AI29" s="754">
        <f ca="1">+IF(IFERROR(INDEX(Fuel_prices!$H$7:$AI$1365,MATCH(Assumptions!$G$24&amp;Assumptions!$G$15&amp;"Total cost",Fuel_prices!$G$7:$G$1365,0),MATCH(YEAR(AI3),Fuel_prices!$H$6:$AI$6,0)),0)=0,AH29,IFERROR(INDEX(Fuel_prices!$H$7:$AI$1365,MATCH(Assumptions!$G$24&amp;Assumptions!$G$15&amp;"Total cost",Fuel_prices!$G$7:$G$1365,0),MATCH(YEAR(AI3),Fuel_prices!$H$6:$AI$6,0)),0))</f>
        <v>0</v>
      </c>
      <c r="AJ29" s="754">
        <f ca="1">+IF(IFERROR(INDEX(Fuel_prices!$H$7:$AI$1365,MATCH(Assumptions!$G$24&amp;Assumptions!$G$15&amp;"Total cost",Fuel_prices!$G$7:$G$1365,0),MATCH(YEAR(AJ3),Fuel_prices!$H$6:$AI$6,0)),0)=0,AI29,IFERROR(INDEX(Fuel_prices!$H$7:$AI$1365,MATCH(Assumptions!$G$24&amp;Assumptions!$G$15&amp;"Total cost",Fuel_prices!$G$7:$G$1365,0),MATCH(YEAR(AJ3),Fuel_prices!$H$6:$AI$6,0)),0))</f>
        <v>0</v>
      </c>
      <c r="AK29" s="754">
        <f ca="1">+IF(IFERROR(INDEX(Fuel_prices!$H$7:$AI$1365,MATCH(Assumptions!$G$24&amp;Assumptions!$G$15&amp;"Total cost",Fuel_prices!$G$7:$G$1365,0),MATCH(YEAR(AK3),Fuel_prices!$H$6:$AI$6,0)),0)=0,AJ29,IFERROR(INDEX(Fuel_prices!$H$7:$AI$1365,MATCH(Assumptions!$G$24&amp;Assumptions!$G$15&amp;"Total cost",Fuel_prices!$G$7:$G$1365,0),MATCH(YEAR(AK3),Fuel_prices!$H$6:$AI$6,0)),0))</f>
        <v>0</v>
      </c>
      <c r="AL29" s="754">
        <f ca="1">+IF(IFERROR(INDEX(Fuel_prices!$H$7:$AI$1365,MATCH(Assumptions!$G$24&amp;Assumptions!$G$15&amp;"Total cost",Fuel_prices!$G$7:$G$1365,0),MATCH(YEAR(AL3),Fuel_prices!$H$6:$AI$6,0)),0)=0,AK29,IFERROR(INDEX(Fuel_prices!$H$7:$AI$1365,MATCH(Assumptions!$G$24&amp;Assumptions!$G$15&amp;"Total cost",Fuel_prices!$G$7:$G$1365,0),MATCH(YEAR(AL3),Fuel_prices!$H$6:$AI$6,0)),0))</f>
        <v>0</v>
      </c>
      <c r="AM29" s="754">
        <f ca="1">+IF(IFERROR(INDEX(Fuel_prices!$H$7:$AI$1365,MATCH(Assumptions!$G$24&amp;Assumptions!$G$15&amp;"Total cost",Fuel_prices!$G$7:$G$1365,0),MATCH(YEAR(AM3),Fuel_prices!$H$6:$AI$6,0)),0)=0,AL29,IFERROR(INDEX(Fuel_prices!$H$7:$AI$1365,MATCH(Assumptions!$G$24&amp;Assumptions!$G$15&amp;"Total cost",Fuel_prices!$G$7:$G$1365,0),MATCH(YEAR(AM3),Fuel_prices!$H$6:$AI$6,0)),0))</f>
        <v>0</v>
      </c>
      <c r="AN29" s="754">
        <f ca="1">+IF(IFERROR(INDEX(Fuel_prices!$H$7:$AI$1365,MATCH(Assumptions!$G$24&amp;Assumptions!$G$15&amp;"Total cost",Fuel_prices!$G$7:$G$1365,0),MATCH(YEAR(AN3),Fuel_prices!$H$6:$AI$6,0)),0)=0,AM29,IFERROR(INDEX(Fuel_prices!$H$7:$AI$1365,MATCH(Assumptions!$G$24&amp;Assumptions!$G$15&amp;"Total cost",Fuel_prices!$G$7:$G$1365,0),MATCH(YEAR(AN3),Fuel_prices!$H$6:$AI$6,0)),0))</f>
        <v>0</v>
      </c>
      <c r="AO29" s="754">
        <f ca="1">+IF(IFERROR(INDEX(Fuel_prices!$H$7:$AI$1365,MATCH(Assumptions!$G$24&amp;Assumptions!$G$15&amp;"Total cost",Fuel_prices!$G$7:$G$1365,0),MATCH(YEAR(AO3),Fuel_prices!$H$6:$AI$6,0)),0)=0,AN29,IFERROR(INDEX(Fuel_prices!$H$7:$AI$1365,MATCH(Assumptions!$G$24&amp;Assumptions!$G$15&amp;"Total cost",Fuel_prices!$G$7:$G$1365,0),MATCH(YEAR(AO3),Fuel_prices!$H$6:$AI$6,0)),0))</f>
        <v>0</v>
      </c>
      <c r="AP29" s="754">
        <f ca="1">+IF(IFERROR(INDEX(Fuel_prices!$H$7:$AI$1365,MATCH(Assumptions!$G$24&amp;Assumptions!$G$15&amp;"Total cost",Fuel_prices!$G$7:$G$1365,0),MATCH(YEAR(AP3),Fuel_prices!$H$6:$AI$6,0)),0)=0,AO29,IFERROR(INDEX(Fuel_prices!$H$7:$AI$1365,MATCH(Assumptions!$G$24&amp;Assumptions!$G$15&amp;"Total cost",Fuel_prices!$G$7:$G$1365,0),MATCH(YEAR(AP3),Fuel_prices!$H$6:$AI$6,0)),0))</f>
        <v>0</v>
      </c>
      <c r="AQ29" s="754">
        <f ca="1">+IF(IFERROR(INDEX(Fuel_prices!$H$7:$AI$1365,MATCH(Assumptions!$G$24&amp;Assumptions!$G$15&amp;"Total cost",Fuel_prices!$G$7:$G$1365,0),MATCH(YEAR(AQ3),Fuel_prices!$H$6:$AI$6,0)),0)=0,AP29,IFERROR(INDEX(Fuel_prices!$H$7:$AI$1365,MATCH(Assumptions!$G$24&amp;Assumptions!$G$15&amp;"Total cost",Fuel_prices!$G$7:$G$1365,0),MATCH(YEAR(AQ3),Fuel_prices!$H$6:$AI$6,0)),0))</f>
        <v>0</v>
      </c>
      <c r="AR29" s="754">
        <f ca="1">+IF(IFERROR(INDEX(Fuel_prices!$H$7:$AI$1365,MATCH(Assumptions!$G$24&amp;Assumptions!$G$15&amp;"Total cost",Fuel_prices!$G$7:$G$1365,0),MATCH(YEAR(AR3),Fuel_prices!$H$6:$AI$6,0)),0)=0,AQ29,IFERROR(INDEX(Fuel_prices!$H$7:$AI$1365,MATCH(Assumptions!$G$24&amp;Assumptions!$G$15&amp;"Total cost",Fuel_prices!$G$7:$G$1365,0),MATCH(YEAR(AR3),Fuel_prices!$H$6:$AI$6,0)),0))</f>
        <v>0</v>
      </c>
      <c r="AS29" s="754">
        <f ca="1">+IF(IFERROR(INDEX(Fuel_prices!$H$7:$AI$1365,MATCH(Assumptions!$G$24&amp;Assumptions!$G$15&amp;"Total cost",Fuel_prices!$G$7:$G$1365,0),MATCH(YEAR(AS3),Fuel_prices!$H$6:$AI$6,0)),0)=0,AR29,IFERROR(INDEX(Fuel_prices!$H$7:$AI$1365,MATCH(Assumptions!$G$24&amp;Assumptions!$G$15&amp;"Total cost",Fuel_prices!$G$7:$G$1365,0),MATCH(YEAR(AS3),Fuel_prices!$H$6:$AI$6,0)),0))</f>
        <v>0</v>
      </c>
      <c r="AT29" s="754">
        <f ca="1">+IF(IFERROR(INDEX(Fuel_prices!$H$7:$AI$1365,MATCH(Assumptions!$G$24&amp;Assumptions!$G$15&amp;"Total cost",Fuel_prices!$G$7:$G$1365,0),MATCH(YEAR(AT3),Fuel_prices!$H$6:$AI$6,0)),0)=0,AS29,IFERROR(INDEX(Fuel_prices!$H$7:$AI$1365,MATCH(Assumptions!$G$24&amp;Assumptions!$G$15&amp;"Total cost",Fuel_prices!$G$7:$G$1365,0),MATCH(YEAR(AT3),Fuel_prices!$H$6:$AI$6,0)),0))</f>
        <v>0</v>
      </c>
      <c r="AU29" s="754">
        <f ca="1">+IF(IFERROR(INDEX(Fuel_prices!$H$7:$AI$1365,MATCH(Assumptions!$G$24&amp;Assumptions!$G$15&amp;"Total cost",Fuel_prices!$G$7:$G$1365,0),MATCH(YEAR(AU3),Fuel_prices!$H$6:$AI$6,0)),0)=0,AT29,IFERROR(INDEX(Fuel_prices!$H$7:$AI$1365,MATCH(Assumptions!$G$24&amp;Assumptions!$G$15&amp;"Total cost",Fuel_prices!$G$7:$G$1365,0),MATCH(YEAR(AU3),Fuel_prices!$H$6:$AI$6,0)),0))</f>
        <v>0</v>
      </c>
      <c r="AV29" s="754">
        <f ca="1">+IF(IFERROR(INDEX(Fuel_prices!$H$7:$AI$1365,MATCH(Assumptions!$G$24&amp;Assumptions!$G$15&amp;"Total cost",Fuel_prices!$G$7:$G$1365,0),MATCH(YEAR(AV3),Fuel_prices!$H$6:$AI$6,0)),0)=0,AU29,IFERROR(INDEX(Fuel_prices!$H$7:$AI$1365,MATCH(Assumptions!$G$24&amp;Assumptions!$G$15&amp;"Total cost",Fuel_prices!$G$7:$G$1365,0),MATCH(YEAR(AV3),Fuel_prices!$H$6:$AI$6,0)),0))</f>
        <v>0</v>
      </c>
      <c r="AW29" s="754">
        <f ca="1">+IF(IFERROR(INDEX(Fuel_prices!$H$7:$AI$1365,MATCH(Assumptions!$G$24&amp;Assumptions!$G$15&amp;"Total cost",Fuel_prices!$G$7:$G$1365,0),MATCH(YEAR(AW3),Fuel_prices!$H$6:$AI$6,0)),0)=0,AV29,IFERROR(INDEX(Fuel_prices!$H$7:$AI$1365,MATCH(Assumptions!$G$24&amp;Assumptions!$G$15&amp;"Total cost",Fuel_prices!$G$7:$G$1365,0),MATCH(YEAR(AW3),Fuel_prices!$H$6:$AI$6,0)),0))</f>
        <v>0</v>
      </c>
      <c r="AX29" s="754">
        <f ca="1">+IF(IFERROR(INDEX(Fuel_prices!$H$7:$AI$1365,MATCH(Assumptions!$G$24&amp;Assumptions!$G$15&amp;"Total cost",Fuel_prices!$G$7:$G$1365,0),MATCH(YEAR(AX3),Fuel_prices!$H$6:$AI$6,0)),0)=0,AW29,IFERROR(INDEX(Fuel_prices!$H$7:$AI$1365,MATCH(Assumptions!$G$24&amp;Assumptions!$G$15&amp;"Total cost",Fuel_prices!$G$7:$G$1365,0),MATCH(YEAR(AX3),Fuel_prices!$H$6:$AI$6,0)),0))</f>
        <v>0</v>
      </c>
      <c r="AY29" s="754">
        <f ca="1">+IF(IFERROR(INDEX(Fuel_prices!$H$7:$AI$1365,MATCH(Assumptions!$G$24&amp;Assumptions!$G$15&amp;"Total cost",Fuel_prices!$G$7:$G$1365,0),MATCH(YEAR(AY3),Fuel_prices!$H$6:$AI$6,0)),0)=0,AX29,IFERROR(INDEX(Fuel_prices!$H$7:$AI$1365,MATCH(Assumptions!$G$24&amp;Assumptions!$G$15&amp;"Total cost",Fuel_prices!$G$7:$G$1365,0),MATCH(YEAR(AY3),Fuel_prices!$H$6:$AI$6,0)),0))</f>
        <v>0</v>
      </c>
      <c r="AZ29" s="754">
        <f ca="1">+IF(IFERROR(INDEX(Fuel_prices!$H$7:$AI$1365,MATCH(Assumptions!$G$24&amp;Assumptions!$G$15&amp;"Total cost",Fuel_prices!$G$7:$G$1365,0),MATCH(YEAR(AZ3),Fuel_prices!$H$6:$AI$6,0)),0)=0,AY29,IFERROR(INDEX(Fuel_prices!$H$7:$AI$1365,MATCH(Assumptions!$G$24&amp;Assumptions!$G$15&amp;"Total cost",Fuel_prices!$G$7:$G$1365,0),MATCH(YEAR(AZ3),Fuel_prices!$H$6:$AI$6,0)),0))</f>
        <v>0</v>
      </c>
      <c r="BA29" s="754">
        <f ca="1">+IF(IFERROR(INDEX(Fuel_prices!$H$7:$AI$1365,MATCH(Assumptions!$G$24&amp;Assumptions!$G$15&amp;"Total cost",Fuel_prices!$G$7:$G$1365,0),MATCH(YEAR(BA3),Fuel_prices!$H$6:$AI$6,0)),0)=0,AZ29,IFERROR(INDEX(Fuel_prices!$H$7:$AI$1365,MATCH(Assumptions!$G$24&amp;Assumptions!$G$15&amp;"Total cost",Fuel_prices!$G$7:$G$1365,0),MATCH(YEAR(BA3),Fuel_prices!$H$6:$AI$6,0)),0))</f>
        <v>0</v>
      </c>
      <c r="BB29" s="754">
        <f ca="1">+IF(IFERROR(INDEX(Fuel_prices!$H$7:$AI$1365,MATCH(Assumptions!$G$24&amp;Assumptions!$G$15&amp;"Total cost",Fuel_prices!$G$7:$G$1365,0),MATCH(YEAR(BB3),Fuel_prices!$H$6:$AI$6,0)),0)=0,BA29,IFERROR(INDEX(Fuel_prices!$H$7:$AI$1365,MATCH(Assumptions!$G$24&amp;Assumptions!$G$15&amp;"Total cost",Fuel_prices!$G$7:$G$1365,0),MATCH(YEAR(BB3),Fuel_prices!$H$6:$AI$6,0)),0))</f>
        <v>0</v>
      </c>
      <c r="BC29" s="754">
        <f ca="1">+IF(IFERROR(INDEX(Fuel_prices!$H$7:$AI$1365,MATCH(Assumptions!$G$24&amp;Assumptions!$G$15&amp;"Total cost",Fuel_prices!$G$7:$G$1365,0),MATCH(YEAR(BC3),Fuel_prices!$H$6:$AI$6,0)),0)=0,BB29,IFERROR(INDEX(Fuel_prices!$H$7:$AI$1365,MATCH(Assumptions!$G$24&amp;Assumptions!$G$15&amp;"Total cost",Fuel_prices!$G$7:$G$1365,0),MATCH(YEAR(BC3),Fuel_prices!$H$6:$AI$6,0)),0))</f>
        <v>0</v>
      </c>
      <c r="BD29" s="754">
        <f ca="1">+IF(IFERROR(INDEX(Fuel_prices!$H$7:$AI$1365,MATCH(Assumptions!$G$24&amp;Assumptions!$G$15&amp;"Total cost",Fuel_prices!$G$7:$G$1365,0),MATCH(YEAR(BD3),Fuel_prices!$H$6:$AI$6,0)),0)=0,BC29,IFERROR(INDEX(Fuel_prices!$H$7:$AI$1365,MATCH(Assumptions!$G$24&amp;Assumptions!$G$15&amp;"Total cost",Fuel_prices!$G$7:$G$1365,0),MATCH(YEAR(BD3),Fuel_prices!$H$6:$AI$6,0)),0))</f>
        <v>0</v>
      </c>
      <c r="BE29" s="754">
        <f ca="1">+IF(IFERROR(INDEX(Fuel_prices!$H$7:$AI$1365,MATCH(Assumptions!$G$24&amp;Assumptions!$G$15&amp;"Total cost",Fuel_prices!$G$7:$G$1365,0),MATCH(YEAR(BE3),Fuel_prices!$H$6:$AI$6,0)),0)=0,BD29,IFERROR(INDEX(Fuel_prices!$H$7:$AI$1365,MATCH(Assumptions!$G$24&amp;Assumptions!$G$15&amp;"Total cost",Fuel_prices!$G$7:$G$1365,0),MATCH(YEAR(BE3),Fuel_prices!$H$6:$AI$6,0)),0))</f>
        <v>0</v>
      </c>
      <c r="BF29" s="754">
        <f ca="1">+IF(IFERROR(INDEX(Fuel_prices!$H$7:$AI$1365,MATCH(Assumptions!$G$24&amp;Assumptions!$G$15&amp;"Total cost",Fuel_prices!$G$7:$G$1365,0),MATCH(YEAR(BF3),Fuel_prices!$H$6:$AI$6,0)),0)=0,BE29,IFERROR(INDEX(Fuel_prices!$H$7:$AI$1365,MATCH(Assumptions!$G$24&amp;Assumptions!$G$15&amp;"Total cost",Fuel_prices!$G$7:$G$1365,0),MATCH(YEAR(BF3),Fuel_prices!$H$6:$AI$6,0)),0))</f>
        <v>0</v>
      </c>
      <c r="BG29" s="754">
        <f ca="1">+IF(IFERROR(INDEX(Fuel_prices!$H$7:$AI$1365,MATCH(Assumptions!$G$24&amp;Assumptions!$G$15&amp;"Total cost",Fuel_prices!$G$7:$G$1365,0),MATCH(YEAR(BG3),Fuel_prices!$H$6:$AI$6,0)),0)=0,BF29,IFERROR(INDEX(Fuel_prices!$H$7:$AI$1365,MATCH(Assumptions!$G$24&amp;Assumptions!$G$15&amp;"Total cost",Fuel_prices!$G$7:$G$1365,0),MATCH(YEAR(BG3),Fuel_prices!$H$6:$AI$6,0)),0))</f>
        <v>0</v>
      </c>
      <c r="BH29" s="754">
        <f ca="1">+IF(IFERROR(INDEX(Fuel_prices!$H$7:$AI$1365,MATCH(Assumptions!$G$24&amp;Assumptions!$G$15&amp;"Total cost",Fuel_prices!$G$7:$G$1365,0),MATCH(YEAR(BH3),Fuel_prices!$H$6:$AI$6,0)),0)=0,BG29,IFERROR(INDEX(Fuel_prices!$H$7:$AI$1365,MATCH(Assumptions!$G$24&amp;Assumptions!$G$15&amp;"Total cost",Fuel_prices!$G$7:$G$1365,0),MATCH(YEAR(BH3),Fuel_prices!$H$6:$AI$6,0)),0))</f>
        <v>0</v>
      </c>
      <c r="BI29" s="754">
        <f ca="1">+IF(IFERROR(INDEX(Fuel_prices!$H$7:$AI$1365,MATCH(Assumptions!$G$24&amp;Assumptions!$G$15&amp;"Total cost",Fuel_prices!$G$7:$G$1365,0),MATCH(YEAR(BI3),Fuel_prices!$H$6:$AI$6,0)),0)=0,BH29,IFERROR(INDEX(Fuel_prices!$H$7:$AI$1365,MATCH(Assumptions!$G$24&amp;Assumptions!$G$15&amp;"Total cost",Fuel_prices!$G$7:$G$1365,0),MATCH(YEAR(BI3),Fuel_prices!$H$6:$AI$6,0)),0))</f>
        <v>0</v>
      </c>
      <c r="BJ29" s="754">
        <f ca="1">+IF(IFERROR(INDEX(Fuel_prices!$H$7:$AI$1365,MATCH(Assumptions!$G$24&amp;Assumptions!$G$15&amp;"Total cost",Fuel_prices!$G$7:$G$1365,0),MATCH(YEAR(BJ3),Fuel_prices!$H$6:$AI$6,0)),0)=0,BI29,IFERROR(INDEX(Fuel_prices!$H$7:$AI$1365,MATCH(Assumptions!$G$24&amp;Assumptions!$G$15&amp;"Total cost",Fuel_prices!$G$7:$G$1365,0),MATCH(YEAR(BJ3),Fuel_prices!$H$6:$AI$6,0)),0))</f>
        <v>0</v>
      </c>
      <c r="BK29" s="754">
        <f ca="1">+IF(IFERROR(INDEX(Fuel_prices!$H$7:$AI$1365,MATCH(Assumptions!$G$24&amp;Assumptions!$G$15&amp;"Total cost",Fuel_prices!$G$7:$G$1365,0),MATCH(YEAR(BK3),Fuel_prices!$H$6:$AI$6,0)),0)=0,BJ29,IFERROR(INDEX(Fuel_prices!$H$7:$AI$1365,MATCH(Assumptions!$G$24&amp;Assumptions!$G$15&amp;"Total cost",Fuel_prices!$G$7:$G$1365,0),MATCH(YEAR(BK3),Fuel_prices!$H$6:$AI$6,0)),0))</f>
        <v>0</v>
      </c>
      <c r="BL29" s="754">
        <f ca="1">+IF(IFERROR(INDEX(Fuel_prices!$H$7:$AI$1365,MATCH(Assumptions!$G$24&amp;Assumptions!$G$15&amp;"Total cost",Fuel_prices!$G$7:$G$1365,0),MATCH(YEAR(BL3),Fuel_prices!$H$6:$AI$6,0)),0)=0,BK29,IFERROR(INDEX(Fuel_prices!$H$7:$AI$1365,MATCH(Assumptions!$G$24&amp;Assumptions!$G$15&amp;"Total cost",Fuel_prices!$G$7:$G$1365,0),MATCH(YEAR(BL3),Fuel_prices!$H$6:$AI$6,0)),0))</f>
        <v>0</v>
      </c>
      <c r="BM29" s="754">
        <f ca="1">+IF(IFERROR(INDEX(Fuel_prices!$H$7:$AI$1365,MATCH(Assumptions!$G$24&amp;Assumptions!$G$15&amp;"Total cost",Fuel_prices!$G$7:$G$1365,0),MATCH(YEAR(BM3),Fuel_prices!$H$6:$AI$6,0)),0)=0,BL29,IFERROR(INDEX(Fuel_prices!$H$7:$AI$1365,MATCH(Assumptions!$G$24&amp;Assumptions!$G$15&amp;"Total cost",Fuel_prices!$G$7:$G$1365,0),MATCH(YEAR(BM3),Fuel_prices!$H$6:$AI$6,0)),0))</f>
        <v>0</v>
      </c>
      <c r="BN29" s="754">
        <f ca="1">+IF(IFERROR(INDEX(Fuel_prices!$H$7:$AI$1365,MATCH(Assumptions!$G$24&amp;Assumptions!$G$15&amp;"Total cost",Fuel_prices!$G$7:$G$1365,0),MATCH(YEAR(BN3),Fuel_prices!$H$6:$AI$6,0)),0)=0,BM29,IFERROR(INDEX(Fuel_prices!$H$7:$AI$1365,MATCH(Assumptions!$G$24&amp;Assumptions!$G$15&amp;"Total cost",Fuel_prices!$G$7:$G$1365,0),MATCH(YEAR(BN3),Fuel_prices!$H$6:$AI$6,0)),0))</f>
        <v>0</v>
      </c>
      <c r="BO29" s="754">
        <f ca="1">+IF(IFERROR(INDEX(Fuel_prices!$H$7:$AI$1365,MATCH(Assumptions!$G$24&amp;Assumptions!$G$15&amp;"Total cost",Fuel_prices!$G$7:$G$1365,0),MATCH(YEAR(BO3),Fuel_prices!$H$6:$AI$6,0)),0)=0,BN29,IFERROR(INDEX(Fuel_prices!$H$7:$AI$1365,MATCH(Assumptions!$G$24&amp;Assumptions!$G$15&amp;"Total cost",Fuel_prices!$G$7:$G$1365,0),MATCH(YEAR(BO3),Fuel_prices!$H$6:$AI$6,0)),0))</f>
        <v>0</v>
      </c>
      <c r="BP29" s="754">
        <f ca="1">+IF(IFERROR(INDEX(Fuel_prices!$H$7:$AI$1365,MATCH(Assumptions!$G$24&amp;Assumptions!$G$15&amp;"Total cost",Fuel_prices!$G$7:$G$1365,0),MATCH(YEAR(BP3),Fuel_prices!$H$6:$AI$6,0)),0)=0,BO29,IFERROR(INDEX(Fuel_prices!$H$7:$AI$1365,MATCH(Assumptions!$G$24&amp;Assumptions!$G$15&amp;"Total cost",Fuel_prices!$G$7:$G$1365,0),MATCH(YEAR(BP3),Fuel_prices!$H$6:$AI$6,0)),0))</f>
        <v>0</v>
      </c>
      <c r="BQ29" s="754">
        <f ca="1">+IF(IFERROR(INDEX(Fuel_prices!$H$7:$AI$1365,MATCH(Assumptions!$G$24&amp;Assumptions!$G$15&amp;"Total cost",Fuel_prices!$G$7:$G$1365,0),MATCH(YEAR(BQ3),Fuel_prices!$H$6:$AI$6,0)),0)=0,BP29,IFERROR(INDEX(Fuel_prices!$H$7:$AI$1365,MATCH(Assumptions!$G$24&amp;Assumptions!$G$15&amp;"Total cost",Fuel_prices!$G$7:$G$1365,0),MATCH(YEAR(BQ3),Fuel_prices!$H$6:$AI$6,0)),0))</f>
        <v>0</v>
      </c>
      <c r="BR29" s="754">
        <f ca="1">+IF(IFERROR(INDEX(Fuel_prices!$H$7:$AI$1365,MATCH(Assumptions!$G$24&amp;Assumptions!$G$15&amp;"Total cost",Fuel_prices!$G$7:$G$1365,0),MATCH(YEAR(BR3),Fuel_prices!$H$6:$AI$6,0)),0)=0,BQ29,IFERROR(INDEX(Fuel_prices!$H$7:$AI$1365,MATCH(Assumptions!$G$24&amp;Assumptions!$G$15&amp;"Total cost",Fuel_prices!$G$7:$G$1365,0),MATCH(YEAR(BR3),Fuel_prices!$H$6:$AI$6,0)),0))</f>
        <v>0</v>
      </c>
      <c r="BS29" s="754">
        <f ca="1">+IF(IFERROR(INDEX(Fuel_prices!$H$7:$AI$1365,MATCH(Assumptions!$G$24&amp;Assumptions!$G$15&amp;"Total cost",Fuel_prices!$G$7:$G$1365,0),MATCH(YEAR(BS3),Fuel_prices!$H$6:$AI$6,0)),0)=0,BR29,IFERROR(INDEX(Fuel_prices!$H$7:$AI$1365,MATCH(Assumptions!$G$24&amp;Assumptions!$G$15&amp;"Total cost",Fuel_prices!$G$7:$G$1365,0),MATCH(YEAR(BS3),Fuel_prices!$H$6:$AI$6,0)),0))</f>
        <v>0</v>
      </c>
      <c r="BT29" s="754">
        <f ca="1">+IF(IFERROR(INDEX(Fuel_prices!$H$7:$AI$1365,MATCH(Assumptions!$G$24&amp;Assumptions!$G$15&amp;"Total cost",Fuel_prices!$G$7:$G$1365,0),MATCH(YEAR(BT3),Fuel_prices!$H$6:$AI$6,0)),0)=0,BS29,IFERROR(INDEX(Fuel_prices!$H$7:$AI$1365,MATCH(Assumptions!$G$24&amp;Assumptions!$G$15&amp;"Total cost",Fuel_prices!$G$7:$G$1365,0),MATCH(YEAR(BT3),Fuel_prices!$H$6:$AI$6,0)),0))</f>
        <v>0</v>
      </c>
      <c r="BU29" s="754">
        <f ca="1">+IF(IFERROR(INDEX(Fuel_prices!$H$7:$AI$1365,MATCH(Assumptions!$G$24&amp;Assumptions!$G$15&amp;"Total cost",Fuel_prices!$G$7:$G$1365,0),MATCH(YEAR(BU3),Fuel_prices!$H$6:$AI$6,0)),0)=0,BT29,IFERROR(INDEX(Fuel_prices!$H$7:$AI$1365,MATCH(Assumptions!$G$24&amp;Assumptions!$G$15&amp;"Total cost",Fuel_prices!$G$7:$G$1365,0),MATCH(YEAR(BU3),Fuel_prices!$H$6:$AI$6,0)),0))</f>
        <v>0</v>
      </c>
      <c r="BV29" s="754">
        <f ca="1">+IF(IFERROR(INDEX(Fuel_prices!$H$7:$AI$1365,MATCH(Assumptions!$G$24&amp;Assumptions!$G$15&amp;"Total cost",Fuel_prices!$G$7:$G$1365,0),MATCH(YEAR(BV3),Fuel_prices!$H$6:$AI$6,0)),0)=0,BU29,IFERROR(INDEX(Fuel_prices!$H$7:$AI$1365,MATCH(Assumptions!$G$24&amp;Assumptions!$G$15&amp;"Total cost",Fuel_prices!$G$7:$G$1365,0),MATCH(YEAR(BV3),Fuel_prices!$H$6:$AI$6,0)),0))</f>
        <v>0</v>
      </c>
      <c r="BW29" s="754">
        <f ca="1">+IF(IFERROR(INDEX(Fuel_prices!$H$7:$AI$1365,MATCH(Assumptions!$G$24&amp;Assumptions!$G$15&amp;"Total cost",Fuel_prices!$G$7:$G$1365,0),MATCH(YEAR(BW3),Fuel_prices!$H$6:$AI$6,0)),0)=0,BV29,IFERROR(INDEX(Fuel_prices!$H$7:$AI$1365,MATCH(Assumptions!$G$24&amp;Assumptions!$G$15&amp;"Total cost",Fuel_prices!$G$7:$G$1365,0),MATCH(YEAR(BW3),Fuel_prices!$H$6:$AI$6,0)),0))</f>
        <v>0</v>
      </c>
      <c r="BX29" s="754">
        <f ca="1">+IF(IFERROR(INDEX(Fuel_prices!$H$7:$AI$1365,MATCH(Assumptions!$G$24&amp;Assumptions!$G$15&amp;"Total cost",Fuel_prices!$G$7:$G$1365,0),MATCH(YEAR(BX3),Fuel_prices!$H$6:$AI$6,0)),0)=0,BW29,IFERROR(INDEX(Fuel_prices!$H$7:$AI$1365,MATCH(Assumptions!$G$24&amp;Assumptions!$G$15&amp;"Total cost",Fuel_prices!$G$7:$G$1365,0),MATCH(YEAR(BX3),Fuel_prices!$H$6:$AI$6,0)),0))</f>
        <v>0</v>
      </c>
      <c r="BY29" s="754">
        <f ca="1">+IF(IFERROR(INDEX(Fuel_prices!$H$7:$AI$1365,MATCH(Assumptions!$G$24&amp;Assumptions!$G$15&amp;"Total cost",Fuel_prices!$G$7:$G$1365,0),MATCH(YEAR(BY3),Fuel_prices!$H$6:$AI$6,0)),0)=0,BX29,IFERROR(INDEX(Fuel_prices!$H$7:$AI$1365,MATCH(Assumptions!$G$24&amp;Assumptions!$G$15&amp;"Total cost",Fuel_prices!$G$7:$G$1365,0),MATCH(YEAR(BY3),Fuel_prices!$H$6:$AI$6,0)),0))</f>
        <v>0</v>
      </c>
    </row>
    <row r="30" spans="1:77" outlineLevel="1">
      <c r="E30" t="s">
        <v>455</v>
      </c>
      <c r="F30" s="80" t="str">
        <f>+Assumptions!$G$8&amp;"/ton"</f>
        <v>USD/ton</v>
      </c>
      <c r="H30" s="754">
        <f ca="1">IF(IFERROR(INDEX(Fuel_prices!$H$7:$AI$1365,MATCH(Assumptions!$G$264&amp;Assumptions!$G$15&amp;"Total cost",Fuel_prices!$G$7:$G$1365,0),MATCH(YEAR(H3),Fuel_prices!$H$6:$AI$6,0)),0)=0,G30,IFERROR(INDEX(Fuel_prices!$H$7:$AI$1365,MATCH(Assumptions!$G$264&amp;Assumptions!$G$15&amp;"Total cost",Fuel_prices!$G$7:$G$1365,0),MATCH(YEAR(H3),Fuel_prices!$H$6:$AI$6,0)),0))</f>
        <v>0</v>
      </c>
      <c r="I30" s="754">
        <f ca="1">IF(IFERROR(INDEX(Fuel_prices!$H$7:$AI$1365,MATCH(Assumptions!$G$264&amp;Assumptions!$G$15&amp;"Total cost",Fuel_prices!$G$7:$G$1365,0),MATCH(YEAR(I3),Fuel_prices!$H$6:$AI$6,0)),0)=0,H30,IFERROR(INDEX(Fuel_prices!$H$7:$AI$1365,MATCH(Assumptions!$G$264&amp;Assumptions!$G$15&amp;"Total cost",Fuel_prices!$G$7:$G$1365,0),MATCH(YEAR(I3),Fuel_prices!$H$6:$AI$6,0)),0))</f>
        <v>0</v>
      </c>
      <c r="J30" s="754">
        <f ca="1">IF(IFERROR(INDEX(Fuel_prices!$H$7:$AI$1365,MATCH(Assumptions!$G$264&amp;Assumptions!$G$15&amp;"Total cost",Fuel_prices!$G$7:$G$1365,0),MATCH(YEAR(J3),Fuel_prices!$H$6:$AI$6,0)),0)=0,I30,IFERROR(INDEX(Fuel_prices!$H$7:$AI$1365,MATCH(Assumptions!$G$264&amp;Assumptions!$G$15&amp;"Total cost",Fuel_prices!$G$7:$G$1365,0),MATCH(YEAR(J3),Fuel_prices!$H$6:$AI$6,0)),0))</f>
        <v>0</v>
      </c>
      <c r="K30" s="754">
        <f ca="1">IF(IFERROR(INDEX(Fuel_prices!$H$7:$AI$1365,MATCH(Assumptions!$G$264&amp;Assumptions!$G$15&amp;"Total cost",Fuel_prices!$G$7:$G$1365,0),MATCH(YEAR(K3),Fuel_prices!$H$6:$AI$6,0)),0)=0,J30,IFERROR(INDEX(Fuel_prices!$H$7:$AI$1365,MATCH(Assumptions!$G$264&amp;Assumptions!$G$15&amp;"Total cost",Fuel_prices!$G$7:$G$1365,0),MATCH(YEAR(K3),Fuel_prices!$H$6:$AI$6,0)),0))</f>
        <v>0</v>
      </c>
      <c r="L30" s="754">
        <f ca="1">IF(IFERROR(INDEX(Fuel_prices!$H$7:$AI$1365,MATCH(Assumptions!$G$264&amp;Assumptions!$G$15&amp;"Total cost",Fuel_prices!$G$7:$G$1365,0),MATCH(YEAR(L3),Fuel_prices!$H$6:$AI$6,0)),0)=0,K30,IFERROR(INDEX(Fuel_prices!$H$7:$AI$1365,MATCH(Assumptions!$G$264&amp;Assumptions!$G$15&amp;"Total cost",Fuel_prices!$G$7:$G$1365,0),MATCH(YEAR(L3),Fuel_prices!$H$6:$AI$6,0)),0))</f>
        <v>0</v>
      </c>
      <c r="M30" s="754">
        <f ca="1">IF(IFERROR(INDEX(Fuel_prices!$H$7:$AI$1365,MATCH(Assumptions!$G$264&amp;Assumptions!$G$15&amp;"Total cost",Fuel_prices!$G$7:$G$1365,0),MATCH(YEAR(M3),Fuel_prices!$H$6:$AI$6,0)),0)=0,L30,IFERROR(INDEX(Fuel_prices!$H$7:$AI$1365,MATCH(Assumptions!$G$264&amp;Assumptions!$G$15&amp;"Total cost",Fuel_prices!$G$7:$G$1365,0),MATCH(YEAR(M3),Fuel_prices!$H$6:$AI$6,0)),0))</f>
        <v>0</v>
      </c>
      <c r="N30" s="754">
        <f ca="1">IF(IFERROR(INDEX(Fuel_prices!$H$7:$AI$1365,MATCH(Assumptions!$G$264&amp;Assumptions!$G$15&amp;"Total cost",Fuel_prices!$G$7:$G$1365,0),MATCH(YEAR(N3),Fuel_prices!$H$6:$AI$6,0)),0)=0,M30,IFERROR(INDEX(Fuel_prices!$H$7:$AI$1365,MATCH(Assumptions!$G$264&amp;Assumptions!$G$15&amp;"Total cost",Fuel_prices!$G$7:$G$1365,0),MATCH(YEAR(N3),Fuel_prices!$H$6:$AI$6,0)),0))</f>
        <v>0</v>
      </c>
      <c r="O30" s="754">
        <f ca="1">IF(IFERROR(INDEX(Fuel_prices!$H$7:$AI$1365,MATCH(Assumptions!$G$264&amp;Assumptions!$G$15&amp;"Total cost",Fuel_prices!$G$7:$G$1365,0),MATCH(YEAR(O3),Fuel_prices!$H$6:$AI$6,0)),0)=0,N30,IFERROR(INDEX(Fuel_prices!$H$7:$AI$1365,MATCH(Assumptions!$G$264&amp;Assumptions!$G$15&amp;"Total cost",Fuel_prices!$G$7:$G$1365,0),MATCH(YEAR(O3),Fuel_prices!$H$6:$AI$6,0)),0))</f>
        <v>0</v>
      </c>
      <c r="P30" s="754">
        <f ca="1">IF(IFERROR(INDEX(Fuel_prices!$H$7:$AI$1365,MATCH(Assumptions!$G$264&amp;Assumptions!$G$15&amp;"Total cost",Fuel_prices!$G$7:$G$1365,0),MATCH(YEAR(P3),Fuel_prices!$H$6:$AI$6,0)),0)=0,O30,IFERROR(INDEX(Fuel_prices!$H$7:$AI$1365,MATCH(Assumptions!$G$264&amp;Assumptions!$G$15&amp;"Total cost",Fuel_prices!$G$7:$G$1365,0),MATCH(YEAR(P3),Fuel_prices!$H$6:$AI$6,0)),0))</f>
        <v>0</v>
      </c>
      <c r="Q30" s="754">
        <f ca="1">IF(IFERROR(INDEX(Fuel_prices!$H$7:$AI$1365,MATCH(Assumptions!$G$264&amp;Assumptions!$G$15&amp;"Total cost",Fuel_prices!$G$7:$G$1365,0),MATCH(YEAR(Q3),Fuel_prices!$H$6:$AI$6,0)),0)=0,P30,IFERROR(INDEX(Fuel_prices!$H$7:$AI$1365,MATCH(Assumptions!$G$264&amp;Assumptions!$G$15&amp;"Total cost",Fuel_prices!$G$7:$G$1365,0),MATCH(YEAR(Q3),Fuel_prices!$H$6:$AI$6,0)),0))</f>
        <v>0</v>
      </c>
      <c r="R30" s="754">
        <f ca="1">IF(IFERROR(INDEX(Fuel_prices!$H$7:$AI$1365,MATCH(Assumptions!$G$264&amp;Assumptions!$G$15&amp;"Total cost",Fuel_prices!$G$7:$G$1365,0),MATCH(YEAR(R3),Fuel_prices!$H$6:$AI$6,0)),0)=0,Q30,IFERROR(INDEX(Fuel_prices!$H$7:$AI$1365,MATCH(Assumptions!$G$264&amp;Assumptions!$G$15&amp;"Total cost",Fuel_prices!$G$7:$G$1365,0),MATCH(YEAR(R3),Fuel_prices!$H$6:$AI$6,0)),0))</f>
        <v>0</v>
      </c>
      <c r="S30" s="754">
        <f ca="1">IF(IFERROR(INDEX(Fuel_prices!$H$7:$AI$1365,MATCH(Assumptions!$G$264&amp;Assumptions!$G$15&amp;"Total cost",Fuel_prices!$G$7:$G$1365,0),MATCH(YEAR(S3),Fuel_prices!$H$6:$AI$6,0)),0)=0,R30,IFERROR(INDEX(Fuel_prices!$H$7:$AI$1365,MATCH(Assumptions!$G$264&amp;Assumptions!$G$15&amp;"Total cost",Fuel_prices!$G$7:$G$1365,0),MATCH(YEAR(S3),Fuel_prices!$H$6:$AI$6,0)),0))</f>
        <v>0</v>
      </c>
      <c r="T30" s="754">
        <f ca="1">IF(IFERROR(INDEX(Fuel_prices!$H$7:$AI$1365,MATCH(Assumptions!$G$264&amp;Assumptions!$G$15&amp;"Total cost",Fuel_prices!$G$7:$G$1365,0),MATCH(YEAR(T3),Fuel_prices!$H$6:$AI$6,0)),0)=0,S30,IFERROR(INDEX(Fuel_prices!$H$7:$AI$1365,MATCH(Assumptions!$G$264&amp;Assumptions!$G$15&amp;"Total cost",Fuel_prices!$G$7:$G$1365,0),MATCH(YEAR(T3),Fuel_prices!$H$6:$AI$6,0)),0))</f>
        <v>0</v>
      </c>
      <c r="U30" s="754">
        <f ca="1">IF(IFERROR(INDEX(Fuel_prices!$H$7:$AI$1365,MATCH(Assumptions!$G$264&amp;Assumptions!$G$15&amp;"Total cost",Fuel_prices!$G$7:$G$1365,0),MATCH(YEAR(U3),Fuel_prices!$H$6:$AI$6,0)),0)=0,T30,IFERROR(INDEX(Fuel_prices!$H$7:$AI$1365,MATCH(Assumptions!$G$264&amp;Assumptions!$G$15&amp;"Total cost",Fuel_prices!$G$7:$G$1365,0),MATCH(YEAR(U3),Fuel_prices!$H$6:$AI$6,0)),0))</f>
        <v>0</v>
      </c>
      <c r="V30" s="754">
        <f ca="1">IF(IFERROR(INDEX(Fuel_prices!$H$7:$AI$1365,MATCH(Assumptions!$G$264&amp;Assumptions!$G$15&amp;"Total cost",Fuel_prices!$G$7:$G$1365,0),MATCH(YEAR(V3),Fuel_prices!$H$6:$AI$6,0)),0)=0,U30,IFERROR(INDEX(Fuel_prices!$H$7:$AI$1365,MATCH(Assumptions!$G$264&amp;Assumptions!$G$15&amp;"Total cost",Fuel_prices!$G$7:$G$1365,0),MATCH(YEAR(V3),Fuel_prices!$H$6:$AI$6,0)),0))</f>
        <v>0</v>
      </c>
      <c r="W30" s="754">
        <f ca="1">IF(IFERROR(INDEX(Fuel_prices!$H$7:$AI$1365,MATCH(Assumptions!$G$264&amp;Assumptions!$G$15&amp;"Total cost",Fuel_prices!$G$7:$G$1365,0),MATCH(YEAR(W3),Fuel_prices!$H$6:$AI$6,0)),0)=0,V30,IFERROR(INDEX(Fuel_prices!$H$7:$AI$1365,MATCH(Assumptions!$G$264&amp;Assumptions!$G$15&amp;"Total cost",Fuel_prices!$G$7:$G$1365,0),MATCH(YEAR(W3),Fuel_prices!$H$6:$AI$6,0)),0))</f>
        <v>0</v>
      </c>
      <c r="X30" s="754">
        <f ca="1">IF(IFERROR(INDEX(Fuel_prices!$H$7:$AI$1365,MATCH(Assumptions!$G$264&amp;Assumptions!$G$15&amp;"Total cost",Fuel_prices!$G$7:$G$1365,0),MATCH(YEAR(X3),Fuel_prices!$H$6:$AI$6,0)),0)=0,W30,IFERROR(INDEX(Fuel_prices!$H$7:$AI$1365,MATCH(Assumptions!$G$264&amp;Assumptions!$G$15&amp;"Total cost",Fuel_prices!$G$7:$G$1365,0),MATCH(YEAR(X3),Fuel_prices!$H$6:$AI$6,0)),0))</f>
        <v>0</v>
      </c>
      <c r="Y30" s="754">
        <f ca="1">IF(IFERROR(INDEX(Fuel_prices!$H$7:$AI$1365,MATCH(Assumptions!$G$264&amp;Assumptions!$G$15&amp;"Total cost",Fuel_prices!$G$7:$G$1365,0),MATCH(YEAR(Y3),Fuel_prices!$H$6:$AI$6,0)),0)=0,X30,IFERROR(INDEX(Fuel_prices!$H$7:$AI$1365,MATCH(Assumptions!$G$264&amp;Assumptions!$G$15&amp;"Total cost",Fuel_prices!$G$7:$G$1365,0),MATCH(YEAR(Y3),Fuel_prices!$H$6:$AI$6,0)),0))</f>
        <v>0</v>
      </c>
      <c r="Z30" s="754">
        <f ca="1">IF(IFERROR(INDEX(Fuel_prices!$H$7:$AI$1365,MATCH(Assumptions!$G$264&amp;Assumptions!$G$15&amp;"Total cost",Fuel_prices!$G$7:$G$1365,0),MATCH(YEAR(Z3),Fuel_prices!$H$6:$AI$6,0)),0)=0,Y30,IFERROR(INDEX(Fuel_prices!$H$7:$AI$1365,MATCH(Assumptions!$G$264&amp;Assumptions!$G$15&amp;"Total cost",Fuel_prices!$G$7:$G$1365,0),MATCH(YEAR(Z3),Fuel_prices!$H$6:$AI$6,0)),0))</f>
        <v>0</v>
      </c>
      <c r="AA30" s="754">
        <f ca="1">IF(IFERROR(INDEX(Fuel_prices!$H$7:$AI$1365,MATCH(Assumptions!$G$264&amp;Assumptions!$G$15&amp;"Total cost",Fuel_prices!$G$7:$G$1365,0),MATCH(YEAR(AA3),Fuel_prices!$H$6:$AI$6,0)),0)=0,Z30,IFERROR(INDEX(Fuel_prices!$H$7:$AI$1365,MATCH(Assumptions!$G$264&amp;Assumptions!$G$15&amp;"Total cost",Fuel_prices!$G$7:$G$1365,0),MATCH(YEAR(AA3),Fuel_prices!$H$6:$AI$6,0)),0))</f>
        <v>0</v>
      </c>
      <c r="AB30" s="754">
        <f ca="1">IF(IFERROR(INDEX(Fuel_prices!$H$7:$AI$1365,MATCH(Assumptions!$G$264&amp;Assumptions!$G$15&amp;"Total cost",Fuel_prices!$G$7:$G$1365,0),MATCH(YEAR(AB3),Fuel_prices!$H$6:$AI$6,0)),0)=0,AA30,IFERROR(INDEX(Fuel_prices!$H$7:$AI$1365,MATCH(Assumptions!$G$264&amp;Assumptions!$G$15&amp;"Total cost",Fuel_prices!$G$7:$G$1365,0),MATCH(YEAR(AB3),Fuel_prices!$H$6:$AI$6,0)),0))</f>
        <v>0</v>
      </c>
      <c r="AC30" s="754">
        <f ca="1">IF(IFERROR(INDEX(Fuel_prices!$H$7:$AI$1365,MATCH(Assumptions!$G$264&amp;Assumptions!$G$15&amp;"Total cost",Fuel_prices!$G$7:$G$1365,0),MATCH(YEAR(AC3),Fuel_prices!$H$6:$AI$6,0)),0)=0,AB30,IFERROR(INDEX(Fuel_prices!$H$7:$AI$1365,MATCH(Assumptions!$G$264&amp;Assumptions!$G$15&amp;"Total cost",Fuel_prices!$G$7:$G$1365,0),MATCH(YEAR(AC3),Fuel_prices!$H$6:$AI$6,0)),0))</f>
        <v>0</v>
      </c>
      <c r="AD30" s="754">
        <f ca="1">IF(IFERROR(INDEX(Fuel_prices!$H$7:$AI$1365,MATCH(Assumptions!$G$264&amp;Assumptions!$G$15&amp;"Total cost",Fuel_prices!$G$7:$G$1365,0),MATCH(YEAR(AD3),Fuel_prices!$H$6:$AI$6,0)),0)=0,AC30,IFERROR(INDEX(Fuel_prices!$H$7:$AI$1365,MATCH(Assumptions!$G$264&amp;Assumptions!$G$15&amp;"Total cost",Fuel_prices!$G$7:$G$1365,0),MATCH(YEAR(AD3),Fuel_prices!$H$6:$AI$6,0)),0))</f>
        <v>0</v>
      </c>
      <c r="AE30" s="754">
        <f ca="1">IF(IFERROR(INDEX(Fuel_prices!$H$7:$AI$1365,MATCH(Assumptions!$G$264&amp;Assumptions!$G$15&amp;"Total cost",Fuel_prices!$G$7:$G$1365,0),MATCH(YEAR(AE3),Fuel_prices!$H$6:$AI$6,0)),0)=0,AD30,IFERROR(INDEX(Fuel_prices!$H$7:$AI$1365,MATCH(Assumptions!$G$264&amp;Assumptions!$G$15&amp;"Total cost",Fuel_prices!$G$7:$G$1365,0),MATCH(YEAR(AE3),Fuel_prices!$H$6:$AI$6,0)),0))</f>
        <v>0</v>
      </c>
      <c r="AF30" s="754">
        <f ca="1">IF(IFERROR(INDEX(Fuel_prices!$H$7:$AI$1365,MATCH(Assumptions!$G$264&amp;Assumptions!$G$15&amp;"Total cost",Fuel_prices!$G$7:$G$1365,0),MATCH(YEAR(AF3),Fuel_prices!$H$6:$AI$6,0)),0)=0,AE30,IFERROR(INDEX(Fuel_prices!$H$7:$AI$1365,MATCH(Assumptions!$G$264&amp;Assumptions!$G$15&amp;"Total cost",Fuel_prices!$G$7:$G$1365,0),MATCH(YEAR(AF3),Fuel_prices!$H$6:$AI$6,0)),0))</f>
        <v>0</v>
      </c>
      <c r="AG30" s="754">
        <f ca="1">IF(IFERROR(INDEX(Fuel_prices!$H$7:$AI$1365,MATCH(Assumptions!$G$264&amp;Assumptions!$G$15&amp;"Total cost",Fuel_prices!$G$7:$G$1365,0),MATCH(YEAR(AG3),Fuel_prices!$H$6:$AI$6,0)),0)=0,AF30,IFERROR(INDEX(Fuel_prices!$H$7:$AI$1365,MATCH(Assumptions!$G$264&amp;Assumptions!$G$15&amp;"Total cost",Fuel_prices!$G$7:$G$1365,0),MATCH(YEAR(AG3),Fuel_prices!$H$6:$AI$6,0)),0))</f>
        <v>0</v>
      </c>
      <c r="AH30" s="754">
        <f ca="1">IF(IFERROR(INDEX(Fuel_prices!$H$7:$AI$1365,MATCH(Assumptions!$G$264&amp;Assumptions!$G$15&amp;"Total cost",Fuel_prices!$G$7:$G$1365,0),MATCH(YEAR(AH3),Fuel_prices!$H$6:$AI$6,0)),0)=0,AG30,IFERROR(INDEX(Fuel_prices!$H$7:$AI$1365,MATCH(Assumptions!$G$264&amp;Assumptions!$G$15&amp;"Total cost",Fuel_prices!$G$7:$G$1365,0),MATCH(YEAR(AH3),Fuel_prices!$H$6:$AI$6,0)),0))</f>
        <v>0</v>
      </c>
      <c r="AI30" s="754">
        <f ca="1">IF(IFERROR(INDEX(Fuel_prices!$H$7:$AI$1365,MATCH(Assumptions!$G$264&amp;Assumptions!$G$15&amp;"Total cost",Fuel_prices!$G$7:$G$1365,0),MATCH(YEAR(AI3),Fuel_prices!$H$6:$AI$6,0)),0)=0,AH30,IFERROR(INDEX(Fuel_prices!$H$7:$AI$1365,MATCH(Assumptions!$G$264&amp;Assumptions!$G$15&amp;"Total cost",Fuel_prices!$G$7:$G$1365,0),MATCH(YEAR(AI3),Fuel_prices!$H$6:$AI$6,0)),0))</f>
        <v>0</v>
      </c>
      <c r="AJ30" s="754">
        <f ca="1">IF(IFERROR(INDEX(Fuel_prices!$H$7:$AI$1365,MATCH(Assumptions!$G$264&amp;Assumptions!$G$15&amp;"Total cost",Fuel_prices!$G$7:$G$1365,0),MATCH(YEAR(AJ3),Fuel_prices!$H$6:$AI$6,0)),0)=0,AI30,IFERROR(INDEX(Fuel_prices!$H$7:$AI$1365,MATCH(Assumptions!$G$264&amp;Assumptions!$G$15&amp;"Total cost",Fuel_prices!$G$7:$G$1365,0),MATCH(YEAR(AJ3),Fuel_prices!$H$6:$AI$6,0)),0))</f>
        <v>0</v>
      </c>
      <c r="AK30" s="754">
        <f ca="1">IF(IFERROR(INDEX(Fuel_prices!$H$7:$AI$1365,MATCH(Assumptions!$G$264&amp;Assumptions!$G$15&amp;"Total cost",Fuel_prices!$G$7:$G$1365,0),MATCH(YEAR(AK3),Fuel_prices!$H$6:$AI$6,0)),0)=0,AJ30,IFERROR(INDEX(Fuel_prices!$H$7:$AI$1365,MATCH(Assumptions!$G$264&amp;Assumptions!$G$15&amp;"Total cost",Fuel_prices!$G$7:$G$1365,0),MATCH(YEAR(AK3),Fuel_prices!$H$6:$AI$6,0)),0))</f>
        <v>0</v>
      </c>
      <c r="AL30" s="754">
        <f ca="1">IF(IFERROR(INDEX(Fuel_prices!$H$7:$AI$1365,MATCH(Assumptions!$G$264&amp;Assumptions!$G$15&amp;"Total cost",Fuel_prices!$G$7:$G$1365,0),MATCH(YEAR(AL3),Fuel_prices!$H$6:$AI$6,0)),0)=0,AK30,IFERROR(INDEX(Fuel_prices!$H$7:$AI$1365,MATCH(Assumptions!$G$264&amp;Assumptions!$G$15&amp;"Total cost",Fuel_prices!$G$7:$G$1365,0),MATCH(YEAR(AL3),Fuel_prices!$H$6:$AI$6,0)),0))</f>
        <v>0</v>
      </c>
      <c r="AM30" s="754">
        <f ca="1">IF(IFERROR(INDEX(Fuel_prices!$H$7:$AI$1365,MATCH(Assumptions!$G$264&amp;Assumptions!$G$15&amp;"Total cost",Fuel_prices!$G$7:$G$1365,0),MATCH(YEAR(AM3),Fuel_prices!$H$6:$AI$6,0)),0)=0,AL30,IFERROR(INDEX(Fuel_prices!$H$7:$AI$1365,MATCH(Assumptions!$G$264&amp;Assumptions!$G$15&amp;"Total cost",Fuel_prices!$G$7:$G$1365,0),MATCH(YEAR(AM3),Fuel_prices!$H$6:$AI$6,0)),0))</f>
        <v>0</v>
      </c>
      <c r="AN30" s="754">
        <f ca="1">IF(IFERROR(INDEX(Fuel_prices!$H$7:$AI$1365,MATCH(Assumptions!$G$264&amp;Assumptions!$G$15&amp;"Total cost",Fuel_prices!$G$7:$G$1365,0),MATCH(YEAR(AN3),Fuel_prices!$H$6:$AI$6,0)),0)=0,AM30,IFERROR(INDEX(Fuel_prices!$H$7:$AI$1365,MATCH(Assumptions!$G$264&amp;Assumptions!$G$15&amp;"Total cost",Fuel_prices!$G$7:$G$1365,0),MATCH(YEAR(AN3),Fuel_prices!$H$6:$AI$6,0)),0))</f>
        <v>0</v>
      </c>
      <c r="AO30" s="754">
        <f ca="1">IF(IFERROR(INDEX(Fuel_prices!$H$7:$AI$1365,MATCH(Assumptions!$G$264&amp;Assumptions!$G$15&amp;"Total cost",Fuel_prices!$G$7:$G$1365,0),MATCH(YEAR(AO3),Fuel_prices!$H$6:$AI$6,0)),0)=0,AN30,IFERROR(INDEX(Fuel_prices!$H$7:$AI$1365,MATCH(Assumptions!$G$264&amp;Assumptions!$G$15&amp;"Total cost",Fuel_prices!$G$7:$G$1365,0),MATCH(YEAR(AO3),Fuel_prices!$H$6:$AI$6,0)),0))</f>
        <v>0</v>
      </c>
      <c r="AP30" s="754">
        <f ca="1">IF(IFERROR(INDEX(Fuel_prices!$H$7:$AI$1365,MATCH(Assumptions!$G$264&amp;Assumptions!$G$15&amp;"Total cost",Fuel_prices!$G$7:$G$1365,0),MATCH(YEAR(AP3),Fuel_prices!$H$6:$AI$6,0)),0)=0,AO30,IFERROR(INDEX(Fuel_prices!$H$7:$AI$1365,MATCH(Assumptions!$G$264&amp;Assumptions!$G$15&amp;"Total cost",Fuel_prices!$G$7:$G$1365,0),MATCH(YEAR(AP3),Fuel_prices!$H$6:$AI$6,0)),0))</f>
        <v>0</v>
      </c>
      <c r="AQ30" s="754">
        <f ca="1">IF(IFERROR(INDEX(Fuel_prices!$H$7:$AI$1365,MATCH(Assumptions!$G$264&amp;Assumptions!$G$15&amp;"Total cost",Fuel_prices!$G$7:$G$1365,0),MATCH(YEAR(AQ3),Fuel_prices!$H$6:$AI$6,0)),0)=0,AP30,IFERROR(INDEX(Fuel_prices!$H$7:$AI$1365,MATCH(Assumptions!$G$264&amp;Assumptions!$G$15&amp;"Total cost",Fuel_prices!$G$7:$G$1365,0),MATCH(YEAR(AQ3),Fuel_prices!$H$6:$AI$6,0)),0))</f>
        <v>0</v>
      </c>
      <c r="AR30" s="754">
        <f ca="1">IF(IFERROR(INDEX(Fuel_prices!$H$7:$AI$1365,MATCH(Assumptions!$G$264&amp;Assumptions!$G$15&amp;"Total cost",Fuel_prices!$G$7:$G$1365,0),MATCH(YEAR(AR3),Fuel_prices!$H$6:$AI$6,0)),0)=0,AQ30,IFERROR(INDEX(Fuel_prices!$H$7:$AI$1365,MATCH(Assumptions!$G$264&amp;Assumptions!$G$15&amp;"Total cost",Fuel_prices!$G$7:$G$1365,0),MATCH(YEAR(AR3),Fuel_prices!$H$6:$AI$6,0)),0))</f>
        <v>0</v>
      </c>
      <c r="AS30" s="754">
        <f ca="1">IF(IFERROR(INDEX(Fuel_prices!$H$7:$AI$1365,MATCH(Assumptions!$G$264&amp;Assumptions!$G$15&amp;"Total cost",Fuel_prices!$G$7:$G$1365,0),MATCH(YEAR(AS3),Fuel_prices!$H$6:$AI$6,0)),0)=0,AR30,IFERROR(INDEX(Fuel_prices!$H$7:$AI$1365,MATCH(Assumptions!$G$264&amp;Assumptions!$G$15&amp;"Total cost",Fuel_prices!$G$7:$G$1365,0),MATCH(YEAR(AS3),Fuel_prices!$H$6:$AI$6,0)),0))</f>
        <v>0</v>
      </c>
      <c r="AT30" s="754">
        <f ca="1">IF(IFERROR(INDEX(Fuel_prices!$H$7:$AI$1365,MATCH(Assumptions!$G$264&amp;Assumptions!$G$15&amp;"Total cost",Fuel_prices!$G$7:$G$1365,0),MATCH(YEAR(AT3),Fuel_prices!$H$6:$AI$6,0)),0)=0,AS30,IFERROR(INDEX(Fuel_prices!$H$7:$AI$1365,MATCH(Assumptions!$G$264&amp;Assumptions!$G$15&amp;"Total cost",Fuel_prices!$G$7:$G$1365,0),MATCH(YEAR(AT3),Fuel_prices!$H$6:$AI$6,0)),0))</f>
        <v>0</v>
      </c>
      <c r="AU30" s="754">
        <f ca="1">IF(IFERROR(INDEX(Fuel_prices!$H$7:$AI$1365,MATCH(Assumptions!$G$264&amp;Assumptions!$G$15&amp;"Total cost",Fuel_prices!$G$7:$G$1365,0),MATCH(YEAR(AU3),Fuel_prices!$H$6:$AI$6,0)),0)=0,AT30,IFERROR(INDEX(Fuel_prices!$H$7:$AI$1365,MATCH(Assumptions!$G$264&amp;Assumptions!$G$15&amp;"Total cost",Fuel_prices!$G$7:$G$1365,0),MATCH(YEAR(AU3),Fuel_prices!$H$6:$AI$6,0)),0))</f>
        <v>0</v>
      </c>
      <c r="AV30" s="754">
        <f ca="1">IF(IFERROR(INDEX(Fuel_prices!$H$7:$AI$1365,MATCH(Assumptions!$G$264&amp;Assumptions!$G$15&amp;"Total cost",Fuel_prices!$G$7:$G$1365,0),MATCH(YEAR(AV3),Fuel_prices!$H$6:$AI$6,0)),0)=0,AU30,IFERROR(INDEX(Fuel_prices!$H$7:$AI$1365,MATCH(Assumptions!$G$264&amp;Assumptions!$G$15&amp;"Total cost",Fuel_prices!$G$7:$G$1365,0),MATCH(YEAR(AV3),Fuel_prices!$H$6:$AI$6,0)),0))</f>
        <v>0</v>
      </c>
      <c r="AW30" s="754">
        <f ca="1">IF(IFERROR(INDEX(Fuel_prices!$H$7:$AI$1365,MATCH(Assumptions!$G$264&amp;Assumptions!$G$15&amp;"Total cost",Fuel_prices!$G$7:$G$1365,0),MATCH(YEAR(AW3),Fuel_prices!$H$6:$AI$6,0)),0)=0,AV30,IFERROR(INDEX(Fuel_prices!$H$7:$AI$1365,MATCH(Assumptions!$G$264&amp;Assumptions!$G$15&amp;"Total cost",Fuel_prices!$G$7:$G$1365,0),MATCH(YEAR(AW3),Fuel_prices!$H$6:$AI$6,0)),0))</f>
        <v>0</v>
      </c>
      <c r="AX30" s="754">
        <f ca="1">IF(IFERROR(INDEX(Fuel_prices!$H$7:$AI$1365,MATCH(Assumptions!$G$264&amp;Assumptions!$G$15&amp;"Total cost",Fuel_prices!$G$7:$G$1365,0),MATCH(YEAR(AX3),Fuel_prices!$H$6:$AI$6,0)),0)=0,AW30,IFERROR(INDEX(Fuel_prices!$H$7:$AI$1365,MATCH(Assumptions!$G$264&amp;Assumptions!$G$15&amp;"Total cost",Fuel_prices!$G$7:$G$1365,0),MATCH(YEAR(AX3),Fuel_prices!$H$6:$AI$6,0)),0))</f>
        <v>0</v>
      </c>
      <c r="AY30" s="754">
        <f ca="1">IF(IFERROR(INDEX(Fuel_prices!$H$7:$AI$1365,MATCH(Assumptions!$G$264&amp;Assumptions!$G$15&amp;"Total cost",Fuel_prices!$G$7:$G$1365,0),MATCH(YEAR(AY3),Fuel_prices!$H$6:$AI$6,0)),0)=0,AX30,IFERROR(INDEX(Fuel_prices!$H$7:$AI$1365,MATCH(Assumptions!$G$264&amp;Assumptions!$G$15&amp;"Total cost",Fuel_prices!$G$7:$G$1365,0),MATCH(YEAR(AY3),Fuel_prices!$H$6:$AI$6,0)),0))</f>
        <v>0</v>
      </c>
      <c r="AZ30" s="754">
        <f ca="1">IF(IFERROR(INDEX(Fuel_prices!$H$7:$AI$1365,MATCH(Assumptions!$G$264&amp;Assumptions!$G$15&amp;"Total cost",Fuel_prices!$G$7:$G$1365,0),MATCH(YEAR(AZ3),Fuel_prices!$H$6:$AI$6,0)),0)=0,AY30,IFERROR(INDEX(Fuel_prices!$H$7:$AI$1365,MATCH(Assumptions!$G$264&amp;Assumptions!$G$15&amp;"Total cost",Fuel_prices!$G$7:$G$1365,0),MATCH(YEAR(AZ3),Fuel_prices!$H$6:$AI$6,0)),0))</f>
        <v>0</v>
      </c>
      <c r="BA30" s="754">
        <f ca="1">IF(IFERROR(INDEX(Fuel_prices!$H$7:$AI$1365,MATCH(Assumptions!$G$264&amp;Assumptions!$G$15&amp;"Total cost",Fuel_prices!$G$7:$G$1365,0),MATCH(YEAR(BA3),Fuel_prices!$H$6:$AI$6,0)),0)=0,AZ30,IFERROR(INDEX(Fuel_prices!$H$7:$AI$1365,MATCH(Assumptions!$G$264&amp;Assumptions!$G$15&amp;"Total cost",Fuel_prices!$G$7:$G$1365,0),MATCH(YEAR(BA3),Fuel_prices!$H$6:$AI$6,0)),0))</f>
        <v>0</v>
      </c>
      <c r="BB30" s="754">
        <f ca="1">IF(IFERROR(INDEX(Fuel_prices!$H$7:$AI$1365,MATCH(Assumptions!$G$264&amp;Assumptions!$G$15&amp;"Total cost",Fuel_prices!$G$7:$G$1365,0),MATCH(YEAR(BB3),Fuel_prices!$H$6:$AI$6,0)),0)=0,BA30,IFERROR(INDEX(Fuel_prices!$H$7:$AI$1365,MATCH(Assumptions!$G$264&amp;Assumptions!$G$15&amp;"Total cost",Fuel_prices!$G$7:$G$1365,0),MATCH(YEAR(BB3),Fuel_prices!$H$6:$AI$6,0)),0))</f>
        <v>0</v>
      </c>
      <c r="BC30" s="754">
        <f ca="1">IF(IFERROR(INDEX(Fuel_prices!$H$7:$AI$1365,MATCH(Assumptions!$G$264&amp;Assumptions!$G$15&amp;"Total cost",Fuel_prices!$G$7:$G$1365,0),MATCH(YEAR(BC3),Fuel_prices!$H$6:$AI$6,0)),0)=0,BB30,IFERROR(INDEX(Fuel_prices!$H$7:$AI$1365,MATCH(Assumptions!$G$264&amp;Assumptions!$G$15&amp;"Total cost",Fuel_prices!$G$7:$G$1365,0),MATCH(YEAR(BC3),Fuel_prices!$H$6:$AI$6,0)),0))</f>
        <v>0</v>
      </c>
      <c r="BD30" s="754">
        <f ca="1">IF(IFERROR(INDEX(Fuel_prices!$H$7:$AI$1365,MATCH(Assumptions!$G$264&amp;Assumptions!$G$15&amp;"Total cost",Fuel_prices!$G$7:$G$1365,0),MATCH(YEAR(BD3),Fuel_prices!$H$6:$AI$6,0)),0)=0,BC30,IFERROR(INDEX(Fuel_prices!$H$7:$AI$1365,MATCH(Assumptions!$G$264&amp;Assumptions!$G$15&amp;"Total cost",Fuel_prices!$G$7:$G$1365,0),MATCH(YEAR(BD3),Fuel_prices!$H$6:$AI$6,0)),0))</f>
        <v>0</v>
      </c>
      <c r="BE30" s="754">
        <f ca="1">IF(IFERROR(INDEX(Fuel_prices!$H$7:$AI$1365,MATCH(Assumptions!$G$264&amp;Assumptions!$G$15&amp;"Total cost",Fuel_prices!$G$7:$G$1365,0),MATCH(YEAR(BE3),Fuel_prices!$H$6:$AI$6,0)),0)=0,BD30,IFERROR(INDEX(Fuel_prices!$H$7:$AI$1365,MATCH(Assumptions!$G$264&amp;Assumptions!$G$15&amp;"Total cost",Fuel_prices!$G$7:$G$1365,0),MATCH(YEAR(BE3),Fuel_prices!$H$6:$AI$6,0)),0))</f>
        <v>0</v>
      </c>
      <c r="BF30" s="754">
        <f ca="1">IF(IFERROR(INDEX(Fuel_prices!$H$7:$AI$1365,MATCH(Assumptions!$G$264&amp;Assumptions!$G$15&amp;"Total cost",Fuel_prices!$G$7:$G$1365,0),MATCH(YEAR(BF3),Fuel_prices!$H$6:$AI$6,0)),0)=0,BE30,IFERROR(INDEX(Fuel_prices!$H$7:$AI$1365,MATCH(Assumptions!$G$264&amp;Assumptions!$G$15&amp;"Total cost",Fuel_prices!$G$7:$G$1365,0),MATCH(YEAR(BF3),Fuel_prices!$H$6:$AI$6,0)),0))</f>
        <v>0</v>
      </c>
      <c r="BG30" s="754">
        <f ca="1">IF(IFERROR(INDEX(Fuel_prices!$H$7:$AI$1365,MATCH(Assumptions!$G$264&amp;Assumptions!$G$15&amp;"Total cost",Fuel_prices!$G$7:$G$1365,0),MATCH(YEAR(BG3),Fuel_prices!$H$6:$AI$6,0)),0)=0,BF30,IFERROR(INDEX(Fuel_prices!$H$7:$AI$1365,MATCH(Assumptions!$G$264&amp;Assumptions!$G$15&amp;"Total cost",Fuel_prices!$G$7:$G$1365,0),MATCH(YEAR(BG3),Fuel_prices!$H$6:$AI$6,0)),0))</f>
        <v>0</v>
      </c>
      <c r="BH30" s="754">
        <f ca="1">IF(IFERROR(INDEX(Fuel_prices!$H$7:$AI$1365,MATCH(Assumptions!$G$264&amp;Assumptions!$G$15&amp;"Total cost",Fuel_prices!$G$7:$G$1365,0),MATCH(YEAR(BH3),Fuel_prices!$H$6:$AI$6,0)),0)=0,BG30,IFERROR(INDEX(Fuel_prices!$H$7:$AI$1365,MATCH(Assumptions!$G$264&amp;Assumptions!$G$15&amp;"Total cost",Fuel_prices!$G$7:$G$1365,0),MATCH(YEAR(BH3),Fuel_prices!$H$6:$AI$6,0)),0))</f>
        <v>0</v>
      </c>
      <c r="BI30" s="754">
        <f ca="1">IF(IFERROR(INDEX(Fuel_prices!$H$7:$AI$1365,MATCH(Assumptions!$G$264&amp;Assumptions!$G$15&amp;"Total cost",Fuel_prices!$G$7:$G$1365,0),MATCH(YEAR(BI3),Fuel_prices!$H$6:$AI$6,0)),0)=0,BH30,IFERROR(INDEX(Fuel_prices!$H$7:$AI$1365,MATCH(Assumptions!$G$264&amp;Assumptions!$G$15&amp;"Total cost",Fuel_prices!$G$7:$G$1365,0),MATCH(YEAR(BI3),Fuel_prices!$H$6:$AI$6,0)),0))</f>
        <v>0</v>
      </c>
      <c r="BJ30" s="754">
        <f ca="1">IF(IFERROR(INDEX(Fuel_prices!$H$7:$AI$1365,MATCH(Assumptions!$G$264&amp;Assumptions!$G$15&amp;"Total cost",Fuel_prices!$G$7:$G$1365,0),MATCH(YEAR(BJ3),Fuel_prices!$H$6:$AI$6,0)),0)=0,BI30,IFERROR(INDEX(Fuel_prices!$H$7:$AI$1365,MATCH(Assumptions!$G$264&amp;Assumptions!$G$15&amp;"Total cost",Fuel_prices!$G$7:$G$1365,0),MATCH(YEAR(BJ3),Fuel_prices!$H$6:$AI$6,0)),0))</f>
        <v>0</v>
      </c>
      <c r="BK30" s="754">
        <f ca="1">IF(IFERROR(INDEX(Fuel_prices!$H$7:$AI$1365,MATCH(Assumptions!$G$264&amp;Assumptions!$G$15&amp;"Total cost",Fuel_prices!$G$7:$G$1365,0),MATCH(YEAR(BK3),Fuel_prices!$H$6:$AI$6,0)),0)=0,BJ30,IFERROR(INDEX(Fuel_prices!$H$7:$AI$1365,MATCH(Assumptions!$G$264&amp;Assumptions!$G$15&amp;"Total cost",Fuel_prices!$G$7:$G$1365,0),MATCH(YEAR(BK3),Fuel_prices!$H$6:$AI$6,0)),0))</f>
        <v>0</v>
      </c>
      <c r="BL30" s="754">
        <f ca="1">IF(IFERROR(INDEX(Fuel_prices!$H$7:$AI$1365,MATCH(Assumptions!$G$264&amp;Assumptions!$G$15&amp;"Total cost",Fuel_prices!$G$7:$G$1365,0),MATCH(YEAR(BL3),Fuel_prices!$H$6:$AI$6,0)),0)=0,BK30,IFERROR(INDEX(Fuel_prices!$H$7:$AI$1365,MATCH(Assumptions!$G$264&amp;Assumptions!$G$15&amp;"Total cost",Fuel_prices!$G$7:$G$1365,0),MATCH(YEAR(BL3),Fuel_prices!$H$6:$AI$6,0)),0))</f>
        <v>0</v>
      </c>
      <c r="BM30" s="754">
        <f ca="1">IF(IFERROR(INDEX(Fuel_prices!$H$7:$AI$1365,MATCH(Assumptions!$G$264&amp;Assumptions!$G$15&amp;"Total cost",Fuel_prices!$G$7:$G$1365,0),MATCH(YEAR(BM3),Fuel_prices!$H$6:$AI$6,0)),0)=0,BL30,IFERROR(INDEX(Fuel_prices!$H$7:$AI$1365,MATCH(Assumptions!$G$264&amp;Assumptions!$G$15&amp;"Total cost",Fuel_prices!$G$7:$G$1365,0),MATCH(YEAR(BM3),Fuel_prices!$H$6:$AI$6,0)),0))</f>
        <v>0</v>
      </c>
      <c r="BN30" s="754">
        <f ca="1">IF(IFERROR(INDEX(Fuel_prices!$H$7:$AI$1365,MATCH(Assumptions!$G$264&amp;Assumptions!$G$15&amp;"Total cost",Fuel_prices!$G$7:$G$1365,0),MATCH(YEAR(BN3),Fuel_prices!$H$6:$AI$6,0)),0)=0,BM30,IFERROR(INDEX(Fuel_prices!$H$7:$AI$1365,MATCH(Assumptions!$G$264&amp;Assumptions!$G$15&amp;"Total cost",Fuel_prices!$G$7:$G$1365,0),MATCH(YEAR(BN3),Fuel_prices!$H$6:$AI$6,0)),0))</f>
        <v>0</v>
      </c>
      <c r="BO30" s="754">
        <f ca="1">IF(IFERROR(INDEX(Fuel_prices!$H$7:$AI$1365,MATCH(Assumptions!$G$264&amp;Assumptions!$G$15&amp;"Total cost",Fuel_prices!$G$7:$G$1365,0),MATCH(YEAR(BO3),Fuel_prices!$H$6:$AI$6,0)),0)=0,BN30,IFERROR(INDEX(Fuel_prices!$H$7:$AI$1365,MATCH(Assumptions!$G$264&amp;Assumptions!$G$15&amp;"Total cost",Fuel_prices!$G$7:$G$1365,0),MATCH(YEAR(BO3),Fuel_prices!$H$6:$AI$6,0)),0))</f>
        <v>0</v>
      </c>
      <c r="BP30" s="754">
        <f ca="1">IF(IFERROR(INDEX(Fuel_prices!$H$7:$AI$1365,MATCH(Assumptions!$G$264&amp;Assumptions!$G$15&amp;"Total cost",Fuel_prices!$G$7:$G$1365,0),MATCH(YEAR(BP3),Fuel_prices!$H$6:$AI$6,0)),0)=0,BO30,IFERROR(INDEX(Fuel_prices!$H$7:$AI$1365,MATCH(Assumptions!$G$264&amp;Assumptions!$G$15&amp;"Total cost",Fuel_prices!$G$7:$G$1365,0),MATCH(YEAR(BP3),Fuel_prices!$H$6:$AI$6,0)),0))</f>
        <v>0</v>
      </c>
      <c r="BQ30" s="754">
        <f ca="1">IF(IFERROR(INDEX(Fuel_prices!$H$7:$AI$1365,MATCH(Assumptions!$G$264&amp;Assumptions!$G$15&amp;"Total cost",Fuel_prices!$G$7:$G$1365,0),MATCH(YEAR(BQ3),Fuel_prices!$H$6:$AI$6,0)),0)=0,BP30,IFERROR(INDEX(Fuel_prices!$H$7:$AI$1365,MATCH(Assumptions!$G$264&amp;Assumptions!$G$15&amp;"Total cost",Fuel_prices!$G$7:$G$1365,0),MATCH(YEAR(BQ3),Fuel_prices!$H$6:$AI$6,0)),0))</f>
        <v>0</v>
      </c>
      <c r="BR30" s="754">
        <f ca="1">IF(IFERROR(INDEX(Fuel_prices!$H$7:$AI$1365,MATCH(Assumptions!$G$264&amp;Assumptions!$G$15&amp;"Total cost",Fuel_prices!$G$7:$G$1365,0),MATCH(YEAR(BR3),Fuel_prices!$H$6:$AI$6,0)),0)=0,BQ30,IFERROR(INDEX(Fuel_prices!$H$7:$AI$1365,MATCH(Assumptions!$G$264&amp;Assumptions!$G$15&amp;"Total cost",Fuel_prices!$G$7:$G$1365,0),MATCH(YEAR(BR3),Fuel_prices!$H$6:$AI$6,0)),0))</f>
        <v>0</v>
      </c>
      <c r="BS30" s="754">
        <f ca="1">IF(IFERROR(INDEX(Fuel_prices!$H$7:$AI$1365,MATCH(Assumptions!$G$264&amp;Assumptions!$G$15&amp;"Total cost",Fuel_prices!$G$7:$G$1365,0),MATCH(YEAR(BS3),Fuel_prices!$H$6:$AI$6,0)),0)=0,BR30,IFERROR(INDEX(Fuel_prices!$H$7:$AI$1365,MATCH(Assumptions!$G$264&amp;Assumptions!$G$15&amp;"Total cost",Fuel_prices!$G$7:$G$1365,0),MATCH(YEAR(BS3),Fuel_prices!$H$6:$AI$6,0)),0))</f>
        <v>0</v>
      </c>
      <c r="BT30" s="754">
        <f ca="1">IF(IFERROR(INDEX(Fuel_prices!$H$7:$AI$1365,MATCH(Assumptions!$G$264&amp;Assumptions!$G$15&amp;"Total cost",Fuel_prices!$G$7:$G$1365,0),MATCH(YEAR(BT3),Fuel_prices!$H$6:$AI$6,0)),0)=0,BS30,IFERROR(INDEX(Fuel_prices!$H$7:$AI$1365,MATCH(Assumptions!$G$264&amp;Assumptions!$G$15&amp;"Total cost",Fuel_prices!$G$7:$G$1365,0),MATCH(YEAR(BT3),Fuel_prices!$H$6:$AI$6,0)),0))</f>
        <v>0</v>
      </c>
      <c r="BU30" s="754">
        <f ca="1">IF(IFERROR(INDEX(Fuel_prices!$H$7:$AI$1365,MATCH(Assumptions!$G$264&amp;Assumptions!$G$15&amp;"Total cost",Fuel_prices!$G$7:$G$1365,0),MATCH(YEAR(BU3),Fuel_prices!$H$6:$AI$6,0)),0)=0,BT30,IFERROR(INDEX(Fuel_prices!$H$7:$AI$1365,MATCH(Assumptions!$G$264&amp;Assumptions!$G$15&amp;"Total cost",Fuel_prices!$G$7:$G$1365,0),MATCH(YEAR(BU3),Fuel_prices!$H$6:$AI$6,0)),0))</f>
        <v>0</v>
      </c>
      <c r="BV30" s="754">
        <f ca="1">IF(IFERROR(INDEX(Fuel_prices!$H$7:$AI$1365,MATCH(Assumptions!$G$264&amp;Assumptions!$G$15&amp;"Total cost",Fuel_prices!$G$7:$G$1365,0),MATCH(YEAR(BV3),Fuel_prices!$H$6:$AI$6,0)),0)=0,BU30,IFERROR(INDEX(Fuel_prices!$H$7:$AI$1365,MATCH(Assumptions!$G$264&amp;Assumptions!$G$15&amp;"Total cost",Fuel_prices!$G$7:$G$1365,0),MATCH(YEAR(BV3),Fuel_prices!$H$6:$AI$6,0)),0))</f>
        <v>0</v>
      </c>
      <c r="BW30" s="754">
        <f ca="1">IF(IFERROR(INDEX(Fuel_prices!$H$7:$AI$1365,MATCH(Assumptions!$G$264&amp;Assumptions!$G$15&amp;"Total cost",Fuel_prices!$G$7:$G$1365,0),MATCH(YEAR(BW3),Fuel_prices!$H$6:$AI$6,0)),0)=0,BV30,IFERROR(INDEX(Fuel_prices!$H$7:$AI$1365,MATCH(Assumptions!$G$264&amp;Assumptions!$G$15&amp;"Total cost",Fuel_prices!$G$7:$G$1365,0),MATCH(YEAR(BW3),Fuel_prices!$H$6:$AI$6,0)),0))</f>
        <v>0</v>
      </c>
      <c r="BX30" s="754">
        <f ca="1">IF(IFERROR(INDEX(Fuel_prices!$H$7:$AI$1365,MATCH(Assumptions!$G$264&amp;Assumptions!$G$15&amp;"Total cost",Fuel_prices!$G$7:$G$1365,0),MATCH(YEAR(BX3),Fuel_prices!$H$6:$AI$6,0)),0)=0,BW30,IFERROR(INDEX(Fuel_prices!$H$7:$AI$1365,MATCH(Assumptions!$G$264&amp;Assumptions!$G$15&amp;"Total cost",Fuel_prices!$G$7:$G$1365,0),MATCH(YEAR(BX3),Fuel_prices!$H$6:$AI$6,0)),0))</f>
        <v>0</v>
      </c>
      <c r="BY30" s="754">
        <f ca="1">IF(IFERROR(INDEX(Fuel_prices!$H$7:$AI$1365,MATCH(Assumptions!$G$264&amp;Assumptions!$G$15&amp;"Total cost",Fuel_prices!$G$7:$G$1365,0),MATCH(YEAR(BY3),Fuel_prices!$H$6:$AI$6,0)),0)=0,BX30,IFERROR(INDEX(Fuel_prices!$H$7:$AI$1365,MATCH(Assumptions!$G$264&amp;Assumptions!$G$15&amp;"Total cost",Fuel_prices!$G$7:$G$1365,0),MATCH(YEAR(BY3),Fuel_prices!$H$6:$AI$6,0)),0))</f>
        <v>0</v>
      </c>
    </row>
    <row r="31" spans="1:77" outlineLevel="1">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row>
    <row r="32" spans="1:77" s="19" customFormat="1" ht="12.75" outlineLevel="1">
      <c r="A32" s="771"/>
      <c r="B32" s="18" t="str">
        <f>+Assumptions!C76</f>
        <v>1.4 Financing of CAPEX</v>
      </c>
      <c r="H32" s="753"/>
      <c r="I32" s="753"/>
      <c r="J32" s="753"/>
      <c r="K32" s="753"/>
      <c r="L32" s="753"/>
      <c r="M32" s="753"/>
      <c r="N32" s="753"/>
      <c r="O32" s="753"/>
      <c r="P32" s="753"/>
      <c r="Q32" s="753"/>
      <c r="R32" s="753"/>
      <c r="S32" s="753"/>
      <c r="T32" s="753"/>
      <c r="U32" s="753"/>
      <c r="V32" s="753"/>
      <c r="W32" s="753"/>
      <c r="X32" s="753"/>
      <c r="Y32" s="753"/>
      <c r="Z32" s="753"/>
      <c r="AA32" s="753"/>
      <c r="AB32" s="753"/>
      <c r="AC32" s="753"/>
      <c r="AD32" s="753"/>
      <c r="AE32" s="753"/>
      <c r="AF32" s="753"/>
      <c r="AG32" s="753"/>
      <c r="AH32" s="753"/>
      <c r="AI32" s="753"/>
      <c r="AJ32" s="753"/>
      <c r="AK32" s="753"/>
      <c r="AL32" s="753"/>
      <c r="AM32" s="753"/>
      <c r="AN32" s="753"/>
      <c r="AO32" s="753"/>
      <c r="AP32" s="753"/>
      <c r="AQ32" s="753"/>
      <c r="AR32" s="753"/>
      <c r="AS32" s="753"/>
      <c r="AT32" s="753"/>
      <c r="AU32" s="753"/>
      <c r="AV32" s="753"/>
      <c r="AW32" s="753"/>
      <c r="AX32" s="753"/>
      <c r="AY32" s="753"/>
      <c r="AZ32" s="753"/>
      <c r="BA32" s="753"/>
      <c r="BB32" s="753"/>
      <c r="BC32" s="753"/>
      <c r="BD32" s="753"/>
      <c r="BE32" s="753"/>
      <c r="BF32" s="753"/>
      <c r="BG32" s="753"/>
      <c r="BH32" s="753"/>
      <c r="BI32" s="753"/>
      <c r="BJ32" s="753"/>
      <c r="BK32" s="753"/>
      <c r="BL32" s="753"/>
      <c r="BM32" s="753"/>
      <c r="BN32" s="753"/>
      <c r="BO32" s="753"/>
      <c r="BP32" s="753"/>
      <c r="BQ32" s="753"/>
      <c r="BR32" s="753"/>
      <c r="BS32" s="753"/>
      <c r="BT32" s="753"/>
      <c r="BU32" s="753"/>
      <c r="BV32" s="753"/>
      <c r="BW32" s="753"/>
      <c r="BX32" s="753"/>
      <c r="BY32" s="753"/>
    </row>
    <row r="33" spans="1:6" outlineLevel="1"/>
    <row r="34" spans="1:6" outlineLevel="1"/>
    <row r="35" spans="1:6" outlineLevel="1">
      <c r="C35" s="68" t="str">
        <f>+Assumptions!G78</f>
        <v>General</v>
      </c>
      <c r="D35" s="41"/>
      <c r="E35" t="s">
        <v>456</v>
      </c>
      <c r="F35" s="80" t="str">
        <f>+Assumptions!$G$8</f>
        <v>USD</v>
      </c>
    </row>
    <row r="36" spans="1:6" outlineLevel="1"/>
    <row r="37" spans="1:6" outlineLevel="1"/>
    <row r="38" spans="1:6" outlineLevel="1">
      <c r="C38" s="31"/>
      <c r="D38" s="31"/>
    </row>
    <row r="39" spans="1:6" ht="15" outlineLevel="1">
      <c r="C39" s="28"/>
      <c r="D39" s="28"/>
      <c r="E39" s="22" t="s">
        <v>457</v>
      </c>
    </row>
    <row r="40" spans="1:6" outlineLevel="1">
      <c r="C40" s="68" t="str">
        <f>+C35</f>
        <v>General</v>
      </c>
      <c r="D40" s="28"/>
      <c r="E40" t="s">
        <v>458</v>
      </c>
      <c r="F40" s="80" t="str">
        <f>+Assumptions!$G$8</f>
        <v>USD</v>
      </c>
    </row>
    <row r="41" spans="1:6" outlineLevel="1">
      <c r="C41" s="31"/>
      <c r="D41" s="31"/>
    </row>
    <row r="42" spans="1:6" ht="15" outlineLevel="1">
      <c r="C42" s="28"/>
      <c r="D42" s="28"/>
      <c r="E42" s="22" t="s">
        <v>459</v>
      </c>
    </row>
    <row r="43" spans="1:6" outlineLevel="1">
      <c r="C43" s="68" t="str">
        <f>+C35</f>
        <v>General</v>
      </c>
      <c r="D43" s="28"/>
      <c r="E43" t="s">
        <v>458</v>
      </c>
      <c r="F43" s="80" t="str">
        <f>+Assumptions!$G$8</f>
        <v>USD</v>
      </c>
    </row>
    <row r="44" spans="1:6"/>
    <row r="45" spans="1:6"/>
    <row r="46" spans="1:6" s="66" customFormat="1" ht="15">
      <c r="A46" s="66" t="str">
        <f>+Assumptions!B114</f>
        <v>2.0 Ports</v>
      </c>
    </row>
    <row r="47" spans="1:6" outlineLevel="1"/>
    <row r="48" spans="1:6" outlineLevel="1"/>
    <row r="49" spans="1:6" s="19" customFormat="1" ht="12.75" outlineLevel="1">
      <c r="A49" s="771"/>
      <c r="B49" s="18" t="str">
        <f>+Assumptions!C119</f>
        <v>2.2 CAPEX - Storage</v>
      </c>
    </row>
    <row r="50" spans="1:6" outlineLevel="1"/>
    <row r="51" spans="1:6" ht="15" outlineLevel="1">
      <c r="E51" s="22" t="s">
        <v>460</v>
      </c>
    </row>
    <row r="52" spans="1:6" outlineLevel="1">
      <c r="C52" s="116" t="str">
        <f>+Assumptions!G133</f>
        <v>General</v>
      </c>
      <c r="E52" t="s">
        <v>447</v>
      </c>
      <c r="F52" s="80" t="s">
        <v>448</v>
      </c>
    </row>
    <row r="53" spans="1:6" outlineLevel="1">
      <c r="C53" s="116" t="str">
        <f>+Assumptions!G139</f>
        <v>General</v>
      </c>
      <c r="E53" t="s">
        <v>449</v>
      </c>
      <c r="F53" s="80" t="s">
        <v>448</v>
      </c>
    </row>
    <row r="54" spans="1:6" outlineLevel="1">
      <c r="F54" s="23"/>
    </row>
    <row r="55" spans="1:6" s="19" customFormat="1" ht="12.75" outlineLevel="1">
      <c r="A55" s="771"/>
      <c r="B55" s="18" t="str">
        <f>+Assumptions!C146</f>
        <v>2.3 CAPEX - Barge</v>
      </c>
    </row>
    <row r="56" spans="1:6" outlineLevel="1">
      <c r="F56" s="23"/>
    </row>
    <row r="57" spans="1:6" ht="15" outlineLevel="1">
      <c r="E57" s="22" t="s">
        <v>461</v>
      </c>
    </row>
    <row r="58" spans="1:6" outlineLevel="1">
      <c r="C58" s="116" t="str">
        <f>+Assumptions!G159</f>
        <v>Detailed</v>
      </c>
      <c r="E58" t="s">
        <v>447</v>
      </c>
      <c r="F58" s="80" t="s">
        <v>448</v>
      </c>
    </row>
    <row r="59" spans="1:6" outlineLevel="1">
      <c r="C59" s="116" t="str">
        <f>+Assumptions!G165</f>
        <v>General</v>
      </c>
      <c r="E59" t="s">
        <v>449</v>
      </c>
      <c r="F59" s="80" t="s">
        <v>448</v>
      </c>
    </row>
    <row r="60" spans="1:6" outlineLevel="1"/>
    <row r="61" spans="1:6" s="19" customFormat="1" ht="12.75" outlineLevel="1">
      <c r="A61" s="771"/>
      <c r="B61" s="18" t="str">
        <f>+Assumptions!C172</f>
        <v>2.4 OPEX</v>
      </c>
    </row>
    <row r="62" spans="1:6" outlineLevel="1"/>
    <row r="63" spans="1:6" ht="15" outlineLevel="1">
      <c r="E63" s="22" t="s">
        <v>450</v>
      </c>
    </row>
    <row r="64" spans="1:6" outlineLevel="1">
      <c r="C64" s="116" t="str">
        <f>+Assumptions!G175</f>
        <v>General</v>
      </c>
      <c r="E64" t="str">
        <f>+Assumptions!D176</f>
        <v>(Storage) Total OPEX</v>
      </c>
      <c r="F64" s="80" t="s">
        <v>448</v>
      </c>
    </row>
    <row r="65" spans="1:6" outlineLevel="1">
      <c r="C65" s="116" t="str">
        <f>+C64</f>
        <v>General</v>
      </c>
      <c r="E65" t="str">
        <f>+Assumptions!D178</f>
        <v>(Barge) Total OPEX</v>
      </c>
      <c r="F65" s="80" t="s">
        <v>448</v>
      </c>
    </row>
    <row r="66" spans="1:6" outlineLevel="1">
      <c r="F66" s="23"/>
    </row>
    <row r="67" spans="1:6" outlineLevel="1"/>
    <row r="68" spans="1:6" s="19" customFormat="1" ht="12.75" outlineLevel="1">
      <c r="A68" s="771"/>
      <c r="B68" s="18" t="str">
        <f>+Assumptions!C182</f>
        <v>2.5 Financing - Storage</v>
      </c>
    </row>
    <row r="69" spans="1:6" outlineLevel="1"/>
    <row r="70" spans="1:6" outlineLevel="1"/>
    <row r="71" spans="1:6" outlineLevel="1">
      <c r="C71" s="68" t="str">
        <f>+Assumptions!G184</f>
        <v>General</v>
      </c>
      <c r="E71" t="s">
        <v>456</v>
      </c>
      <c r="F71" s="80" t="str">
        <f>+Assumptions!$G$8</f>
        <v>USD</v>
      </c>
    </row>
    <row r="72" spans="1:6" outlineLevel="1"/>
    <row r="73" spans="1:6" ht="15" outlineLevel="1">
      <c r="C73" s="28"/>
      <c r="D73" s="28"/>
      <c r="E73" s="22" t="s">
        <v>457</v>
      </c>
    </row>
    <row r="74" spans="1:6" outlineLevel="1">
      <c r="C74" s="68" t="str">
        <f>+C71</f>
        <v>General</v>
      </c>
      <c r="D74" s="28"/>
      <c r="E74" t="s">
        <v>458</v>
      </c>
      <c r="F74" s="80" t="str">
        <f>+Assumptions!$G$8</f>
        <v>USD</v>
      </c>
    </row>
    <row r="75" spans="1:6" outlineLevel="1">
      <c r="D75" s="31"/>
      <c r="E75" s="24"/>
      <c r="F75" s="23"/>
    </row>
    <row r="76" spans="1:6" ht="15" outlineLevel="1">
      <c r="C76" s="28"/>
      <c r="D76" s="31"/>
      <c r="E76" s="22" t="s">
        <v>459</v>
      </c>
    </row>
    <row r="77" spans="1:6" outlineLevel="1">
      <c r="C77" s="68" t="str">
        <f>+C71</f>
        <v>General</v>
      </c>
      <c r="D77" s="31"/>
      <c r="E77" t="s">
        <v>458</v>
      </c>
      <c r="F77" s="80" t="str">
        <f>+Assumptions!$G$8</f>
        <v>USD</v>
      </c>
    </row>
    <row r="78" spans="1:6" outlineLevel="1">
      <c r="F78" s="23"/>
    </row>
    <row r="79" spans="1:6" s="19" customFormat="1" ht="12.75" outlineLevel="1">
      <c r="A79" s="771"/>
      <c r="B79" s="18" t="str">
        <f>+Assumptions!C220</f>
        <v>2.6 Financing - Barge</v>
      </c>
    </row>
    <row r="80" spans="1:6" outlineLevel="1"/>
    <row r="81" spans="1:57" outlineLevel="1"/>
    <row r="82" spans="1:57" outlineLevel="1">
      <c r="C82" s="68" t="str">
        <f>+Assumptions!G222</f>
        <v>General</v>
      </c>
      <c r="E82" t="s">
        <v>456</v>
      </c>
      <c r="F82" s="80" t="str">
        <f>+Assumptions!$G$8</f>
        <v>USD</v>
      </c>
    </row>
    <row r="83" spans="1:57" outlineLevel="1"/>
    <row r="84" spans="1:57" ht="15" outlineLevel="1">
      <c r="C84" s="28"/>
      <c r="D84" s="28"/>
      <c r="E84" s="22" t="s">
        <v>457</v>
      </c>
    </row>
    <row r="85" spans="1:57" outlineLevel="1">
      <c r="C85" s="68" t="str">
        <f>+C82</f>
        <v>General</v>
      </c>
      <c r="D85" s="28"/>
      <c r="E85" t="s">
        <v>458</v>
      </c>
      <c r="F85" s="80" t="str">
        <f>+Assumptions!$G$8</f>
        <v>USD</v>
      </c>
    </row>
    <row r="86" spans="1:57" outlineLevel="1">
      <c r="C86" s="31"/>
      <c r="D86" s="31"/>
    </row>
    <row r="87" spans="1:57" ht="15" outlineLevel="1">
      <c r="C87" s="28"/>
      <c r="D87" s="31"/>
      <c r="E87" s="22" t="s">
        <v>459</v>
      </c>
    </row>
    <row r="88" spans="1:57" outlineLevel="1">
      <c r="C88" s="68" t="str">
        <f>+C82</f>
        <v>General</v>
      </c>
      <c r="D88" s="31"/>
      <c r="E88" t="s">
        <v>458</v>
      </c>
      <c r="F88" s="80" t="str">
        <f>+Assumptions!$G$8</f>
        <v>USD</v>
      </c>
    </row>
    <row r="89" spans="1:57"/>
    <row r="90" spans="1:57" s="66" customFormat="1" ht="15">
      <c r="A90" s="66" t="str">
        <f>+Assumptions!B259</f>
        <v>3.0 Vessel</v>
      </c>
    </row>
    <row r="91" spans="1:57" s="778" customFormat="1" outlineLevel="1">
      <c r="A91"/>
      <c r="B91" s="779" t="str">
        <f>+Assumptions!C291</f>
        <v>3.2 CAPEX</v>
      </c>
      <c r="C91" s="777"/>
      <c r="D91" s="777"/>
      <c r="E91" s="777"/>
      <c r="F91" s="777"/>
      <c r="H91" s="780"/>
      <c r="I91" s="780"/>
      <c r="J91" s="780"/>
      <c r="K91" s="780"/>
      <c r="L91" s="780"/>
      <c r="M91" s="780"/>
      <c r="N91" s="780"/>
      <c r="O91" s="780"/>
      <c r="P91" s="780"/>
      <c r="Q91" s="780"/>
      <c r="R91" s="780"/>
      <c r="S91" s="780"/>
      <c r="T91" s="780"/>
      <c r="U91" s="780"/>
      <c r="V91" s="780"/>
      <c r="W91" s="780"/>
      <c r="X91" s="780"/>
      <c r="Y91" s="780"/>
      <c r="Z91" s="780"/>
      <c r="AA91" s="780"/>
      <c r="AB91" s="780"/>
      <c r="AC91" s="780"/>
      <c r="AD91" s="780"/>
      <c r="AE91" s="780"/>
      <c r="AF91" s="780"/>
      <c r="AG91" s="780"/>
      <c r="AH91" s="780"/>
      <c r="AI91" s="780"/>
      <c r="AJ91" s="780"/>
      <c r="AK91" s="780"/>
      <c r="AL91" s="780"/>
      <c r="AM91" s="780"/>
      <c r="AN91" s="780"/>
      <c r="AO91" s="780"/>
      <c r="AP91" s="780"/>
      <c r="AQ91" s="780"/>
      <c r="AR91" s="780"/>
      <c r="AS91" s="780"/>
      <c r="AT91" s="780"/>
      <c r="AU91" s="780"/>
      <c r="AV91" s="780"/>
      <c r="AW91" s="780"/>
      <c r="AX91" s="780"/>
      <c r="AY91" s="780"/>
      <c r="AZ91" s="780"/>
      <c r="BA91" s="780"/>
      <c r="BB91" s="780"/>
      <c r="BC91" s="780"/>
      <c r="BD91" s="780"/>
      <c r="BE91" s="780"/>
    </row>
    <row r="92" spans="1:57" outlineLevel="1"/>
    <row r="93" spans="1:57" ht="15" outlineLevel="1">
      <c r="E93" s="22" t="s">
        <v>446</v>
      </c>
    </row>
    <row r="94" spans="1:57" outlineLevel="1">
      <c r="C94" s="116" t="str">
        <f>+Assumptions!G304</f>
        <v>General</v>
      </c>
      <c r="E94" t="s">
        <v>447</v>
      </c>
      <c r="F94" s="80" t="s">
        <v>448</v>
      </c>
    </row>
    <row r="95" spans="1:57" outlineLevel="1">
      <c r="C95" s="116" t="str">
        <f>+Assumptions!G311</f>
        <v>General</v>
      </c>
      <c r="E95" t="s">
        <v>449</v>
      </c>
      <c r="F95" s="80" t="s">
        <v>448</v>
      </c>
    </row>
    <row r="96" spans="1:57" s="771" customFormat="1" ht="12.75" outlineLevel="1"/>
    <row r="97" spans="2:57" s="778" customFormat="1" outlineLevel="1">
      <c r="B97" s="779" t="str">
        <f>+Assumptions!C318</f>
        <v>3.3 OPEX</v>
      </c>
      <c r="C97" s="777"/>
      <c r="D97" s="777"/>
      <c r="E97" s="777"/>
      <c r="F97" s="777"/>
      <c r="H97" s="780"/>
      <c r="I97" s="780"/>
      <c r="J97" s="780"/>
      <c r="K97" s="780"/>
      <c r="L97" s="780"/>
      <c r="M97" s="780"/>
      <c r="N97" s="780"/>
      <c r="O97" s="780"/>
      <c r="P97" s="780"/>
      <c r="Q97" s="780"/>
      <c r="R97" s="780"/>
      <c r="S97" s="780"/>
      <c r="T97" s="780"/>
      <c r="U97" s="780"/>
      <c r="V97" s="780"/>
      <c r="W97" s="780"/>
      <c r="X97" s="780"/>
      <c r="Y97" s="780"/>
      <c r="Z97" s="780"/>
      <c r="AA97" s="780"/>
      <c r="AB97" s="780"/>
      <c r="AC97" s="780"/>
      <c r="AD97" s="780"/>
      <c r="AE97" s="780"/>
      <c r="AF97" s="780"/>
      <c r="AG97" s="780"/>
      <c r="AH97" s="780"/>
      <c r="AI97" s="780"/>
      <c r="AJ97" s="780"/>
      <c r="AK97" s="780"/>
      <c r="AL97" s="780"/>
      <c r="AM97" s="780"/>
      <c r="AN97" s="780"/>
      <c r="AO97" s="780"/>
      <c r="AP97" s="780"/>
      <c r="AQ97" s="780"/>
      <c r="AR97" s="780"/>
      <c r="AS97" s="780"/>
      <c r="AT97" s="780"/>
      <c r="AU97" s="780"/>
      <c r="AV97" s="780"/>
      <c r="AW97" s="780"/>
      <c r="AX97" s="780"/>
      <c r="AY97" s="780"/>
      <c r="AZ97" s="780"/>
      <c r="BA97" s="780"/>
      <c r="BB97" s="780"/>
      <c r="BC97" s="780"/>
      <c r="BD97" s="780"/>
      <c r="BE97" s="780"/>
    </row>
    <row r="98" spans="2:57" outlineLevel="1"/>
    <row r="99" spans="2:57" ht="15" outlineLevel="1">
      <c r="C99" s="68" t="str">
        <f>+Assumptions!G321</f>
        <v>General</v>
      </c>
      <c r="E99" s="22" t="s">
        <v>450</v>
      </c>
      <c r="F99" s="80" t="s">
        <v>448</v>
      </c>
    </row>
    <row r="100" spans="2:57" outlineLevel="1"/>
    <row r="101" spans="2:57" outlineLevel="1"/>
    <row r="102" spans="2:57" s="778" customFormat="1" outlineLevel="1">
      <c r="B102" s="779" t="str">
        <f>+Assumptions!C326</f>
        <v>3.4 Financing</v>
      </c>
      <c r="C102" s="777"/>
      <c r="D102" s="777"/>
      <c r="E102" s="777"/>
      <c r="F102" s="777"/>
      <c r="H102" s="780"/>
      <c r="I102" s="780"/>
      <c r="J102" s="780"/>
      <c r="K102" s="780"/>
      <c r="L102" s="780"/>
      <c r="M102" s="780"/>
      <c r="N102" s="780"/>
      <c r="O102" s="780"/>
      <c r="P102" s="780"/>
      <c r="Q102" s="780"/>
      <c r="R102" s="780"/>
      <c r="S102" s="780"/>
      <c r="T102" s="780"/>
      <c r="U102" s="780"/>
      <c r="V102" s="780"/>
      <c r="W102" s="780"/>
      <c r="X102" s="780"/>
      <c r="Y102" s="780"/>
      <c r="Z102" s="780"/>
      <c r="AA102" s="780"/>
      <c r="AB102" s="780"/>
      <c r="AC102" s="780"/>
      <c r="AD102" s="780"/>
      <c r="AE102" s="780"/>
      <c r="AF102" s="780"/>
      <c r="AG102" s="780"/>
      <c r="AH102" s="780"/>
      <c r="AI102" s="780"/>
      <c r="AJ102" s="780"/>
      <c r="AK102" s="780"/>
      <c r="AL102" s="780"/>
      <c r="AM102" s="780"/>
      <c r="AN102" s="780"/>
      <c r="AO102" s="780"/>
      <c r="AP102" s="780"/>
      <c r="AQ102" s="780"/>
      <c r="AR102" s="780"/>
      <c r="AS102" s="780"/>
      <c r="AT102" s="780"/>
      <c r="AU102" s="780"/>
      <c r="AV102" s="780"/>
      <c r="AW102" s="780"/>
      <c r="AX102" s="780"/>
      <c r="AY102" s="780"/>
      <c r="AZ102" s="780"/>
      <c r="BA102" s="780"/>
      <c r="BB102" s="780"/>
      <c r="BC102" s="780"/>
      <c r="BD102" s="780"/>
      <c r="BE102" s="780"/>
    </row>
    <row r="103" spans="2:57" s="771" customFormat="1" outlineLevel="1">
      <c r="B103"/>
      <c r="C103"/>
      <c r="D103"/>
      <c r="E103"/>
      <c r="F103"/>
    </row>
    <row r="104" spans="2:57" outlineLevel="1"/>
    <row r="105" spans="2:57" outlineLevel="1">
      <c r="C105" s="68" t="str">
        <f>+Assumptions!G328</f>
        <v>General</v>
      </c>
      <c r="D105" s="41"/>
      <c r="E105" t="s">
        <v>456</v>
      </c>
      <c r="F105" s="80" t="str">
        <f>+Assumptions!$G$8</f>
        <v>USD</v>
      </c>
    </row>
    <row r="106" spans="2:57" outlineLevel="1"/>
    <row r="107" spans="2:57" outlineLevel="1">
      <c r="C107" s="31"/>
      <c r="D107" s="31"/>
    </row>
    <row r="108" spans="2:57" ht="15" outlineLevel="1">
      <c r="C108" s="28"/>
      <c r="D108" s="28"/>
      <c r="E108" s="22" t="s">
        <v>457</v>
      </c>
    </row>
    <row r="109" spans="2:57" outlineLevel="1">
      <c r="C109" s="68" t="str">
        <f>+C105</f>
        <v>General</v>
      </c>
      <c r="D109" s="28"/>
      <c r="E109" t="s">
        <v>458</v>
      </c>
      <c r="F109" s="80" t="str">
        <f>+Assumptions!$G$8</f>
        <v>USD</v>
      </c>
    </row>
    <row r="110" spans="2:57" outlineLevel="1">
      <c r="C110" s="31"/>
      <c r="D110" s="31"/>
    </row>
    <row r="111" spans="2:57" outlineLevel="1">
      <c r="C111" s="31"/>
      <c r="D111" s="31"/>
    </row>
    <row r="112" spans="2:57" ht="15" outlineLevel="1">
      <c r="C112" s="28"/>
      <c r="D112" s="28"/>
      <c r="E112" s="22" t="s">
        <v>459</v>
      </c>
    </row>
    <row r="113" spans="1:77" outlineLevel="1">
      <c r="C113" s="68" t="str">
        <f>+C105</f>
        <v>General</v>
      </c>
      <c r="D113" s="28"/>
      <c r="E113" t="s">
        <v>458</v>
      </c>
      <c r="F113" s="80" t="str">
        <f>+Assumptions!$G$8</f>
        <v>USD</v>
      </c>
      <c r="H113" s="752"/>
      <c r="I113" s="752"/>
      <c r="J113" s="752"/>
      <c r="K113" s="752"/>
      <c r="L113" s="752"/>
      <c r="M113" s="752"/>
      <c r="N113" s="752"/>
      <c r="O113" s="752"/>
      <c r="P113" s="752"/>
      <c r="Q113" s="752"/>
      <c r="R113" s="752"/>
      <c r="S113" s="752"/>
      <c r="T113" s="752"/>
      <c r="U113" s="752"/>
      <c r="V113" s="752"/>
      <c r="W113" s="752"/>
      <c r="X113" s="752"/>
      <c r="Y113" s="752"/>
      <c r="Z113" s="752"/>
      <c r="AA113" s="752"/>
      <c r="AB113" s="752"/>
      <c r="AC113" s="752"/>
      <c r="AD113" s="752"/>
      <c r="AE113" s="752"/>
      <c r="AF113" s="752"/>
      <c r="AG113" s="752"/>
      <c r="AH113" s="752"/>
      <c r="AI113" s="752"/>
      <c r="AJ113" s="752"/>
      <c r="AK113" s="752"/>
      <c r="AL113" s="752"/>
      <c r="AM113" s="752"/>
      <c r="AN113" s="752"/>
      <c r="AO113" s="752"/>
      <c r="AP113" s="752"/>
      <c r="AQ113" s="752"/>
      <c r="AR113" s="752"/>
      <c r="AS113" s="752"/>
      <c r="AT113" s="752"/>
      <c r="AU113" s="752"/>
      <c r="AV113" s="752"/>
      <c r="AW113" s="752"/>
      <c r="AX113" s="752"/>
      <c r="AY113" s="752"/>
      <c r="AZ113" s="752"/>
      <c r="BA113" s="752"/>
      <c r="BB113" s="752"/>
      <c r="BC113" s="752"/>
      <c r="BD113" s="752"/>
      <c r="BE113" s="752"/>
      <c r="BF113" s="752"/>
      <c r="BG113" s="752"/>
      <c r="BH113" s="752"/>
      <c r="BI113" s="752"/>
      <c r="BJ113" s="752"/>
      <c r="BK113" s="752"/>
      <c r="BL113" s="752"/>
      <c r="BM113" s="752"/>
      <c r="BN113" s="752"/>
      <c r="BO113" s="752"/>
      <c r="BP113" s="752"/>
      <c r="BQ113" s="752"/>
      <c r="BR113" s="752"/>
      <c r="BS113" s="752"/>
      <c r="BT113" s="752"/>
      <c r="BU113" s="752"/>
      <c r="BV113" s="752"/>
      <c r="BW113" s="752"/>
      <c r="BX113" s="752"/>
      <c r="BY113" s="752"/>
    </row>
    <row r="114" spans="1:77" outlineLevel="1">
      <c r="F114" s="43"/>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row>
    <row r="115" spans="1:77">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row>
    <row r="116" spans="1:77" s="17" customFormat="1" ht="15">
      <c r="A116" s="17" t="s">
        <v>462</v>
      </c>
      <c r="H116" s="756"/>
      <c r="I116" s="756"/>
      <c r="J116" s="756"/>
      <c r="K116" s="756"/>
      <c r="L116" s="756"/>
      <c r="M116" s="756"/>
      <c r="N116" s="756"/>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row>
    <row r="117" spans="1:77" s="66" customFormat="1" ht="15">
      <c r="A117" s="66" t="str">
        <f>+A15</f>
        <v>1.0 Fuel production</v>
      </c>
      <c r="H117" s="755"/>
      <c r="I117" s="755"/>
      <c r="J117" s="755"/>
      <c r="K117" s="755"/>
      <c r="L117" s="755"/>
      <c r="M117" s="755"/>
      <c r="N117" s="755"/>
      <c r="O117" s="755"/>
      <c r="P117" s="755"/>
      <c r="Q117" s="755"/>
      <c r="R117" s="755"/>
      <c r="S117" s="755"/>
      <c r="T117" s="755"/>
      <c r="U117" s="755"/>
      <c r="V117" s="755"/>
      <c r="W117" s="755"/>
      <c r="X117" s="755"/>
      <c r="Y117" s="755"/>
      <c r="Z117" s="755"/>
      <c r="AA117" s="755"/>
      <c r="AB117" s="755"/>
      <c r="AC117" s="755"/>
      <c r="AD117" s="755"/>
      <c r="AE117" s="755"/>
      <c r="AF117" s="755"/>
      <c r="AG117" s="755"/>
      <c r="AH117" s="755"/>
      <c r="AI117" s="755"/>
      <c r="AJ117" s="755"/>
      <c r="AK117" s="755"/>
      <c r="AL117" s="755"/>
      <c r="AM117" s="755"/>
      <c r="AN117" s="755"/>
      <c r="AO117" s="755"/>
      <c r="AP117" s="755"/>
      <c r="AQ117" s="755"/>
      <c r="AR117" s="755"/>
      <c r="AS117" s="755"/>
      <c r="AT117" s="755"/>
      <c r="AU117" s="755"/>
      <c r="AV117" s="755"/>
      <c r="AW117" s="755"/>
      <c r="AX117" s="755"/>
      <c r="AY117" s="755"/>
      <c r="AZ117" s="755"/>
      <c r="BA117" s="755"/>
      <c r="BB117" s="755"/>
      <c r="BC117" s="755"/>
      <c r="BD117" s="755"/>
      <c r="BE117" s="755"/>
      <c r="BF117" s="755"/>
      <c r="BG117" s="755"/>
      <c r="BH117" s="755"/>
      <c r="BI117" s="755"/>
      <c r="BJ117" s="755"/>
      <c r="BK117" s="755"/>
      <c r="BL117" s="755"/>
      <c r="BM117" s="755"/>
      <c r="BN117" s="755"/>
      <c r="BO117" s="755"/>
      <c r="BP117" s="755"/>
      <c r="BQ117" s="755"/>
      <c r="BR117" s="755"/>
      <c r="BS117" s="755"/>
      <c r="BT117" s="755"/>
      <c r="BU117" s="755"/>
      <c r="BV117" s="755"/>
      <c r="BW117" s="755"/>
      <c r="BX117" s="755"/>
      <c r="BY117" s="755"/>
    </row>
    <row r="118" spans="1:77" s="19" customFormat="1" outlineLevel="1">
      <c r="A118"/>
      <c r="B118" s="18" t="str">
        <f>+B16</f>
        <v>1.2 CAPEX</v>
      </c>
      <c r="H118" s="753"/>
      <c r="I118" s="753"/>
      <c r="J118" s="753"/>
      <c r="K118" s="753"/>
      <c r="L118" s="753"/>
      <c r="M118" s="753"/>
      <c r="N118" s="753"/>
      <c r="O118" s="753"/>
      <c r="P118" s="753"/>
      <c r="Q118" s="753"/>
      <c r="R118" s="753"/>
      <c r="S118" s="753"/>
      <c r="T118" s="753"/>
      <c r="U118" s="753"/>
      <c r="V118" s="753"/>
      <c r="W118" s="753"/>
      <c r="X118" s="753"/>
      <c r="Y118" s="753"/>
      <c r="Z118" s="753"/>
      <c r="AA118" s="753"/>
      <c r="AB118" s="753"/>
      <c r="AC118" s="753"/>
      <c r="AD118" s="753"/>
      <c r="AE118" s="753"/>
      <c r="AF118" s="753"/>
      <c r="AG118" s="753"/>
      <c r="AH118" s="753"/>
      <c r="AI118" s="753"/>
      <c r="AJ118" s="753"/>
      <c r="AK118" s="753"/>
      <c r="AL118" s="753"/>
      <c r="AM118" s="753"/>
      <c r="AN118" s="753"/>
      <c r="AO118" s="753"/>
      <c r="AP118" s="753"/>
      <c r="AQ118" s="753"/>
      <c r="AR118" s="753"/>
      <c r="AS118" s="753"/>
      <c r="AT118" s="753"/>
      <c r="AU118" s="753"/>
      <c r="AV118" s="753"/>
      <c r="AW118" s="753"/>
      <c r="AX118" s="753"/>
      <c r="AY118" s="753"/>
      <c r="AZ118" s="753"/>
      <c r="BA118" s="753"/>
      <c r="BB118" s="753"/>
      <c r="BC118" s="753"/>
      <c r="BD118" s="753"/>
      <c r="BE118" s="753"/>
      <c r="BF118" s="753"/>
      <c r="BG118" s="753"/>
      <c r="BH118" s="753"/>
      <c r="BI118" s="753"/>
      <c r="BJ118" s="753"/>
      <c r="BK118" s="753"/>
      <c r="BL118" s="753"/>
      <c r="BM118" s="753"/>
      <c r="BN118" s="753"/>
      <c r="BO118" s="753"/>
      <c r="BP118" s="753"/>
      <c r="BQ118" s="753"/>
      <c r="BR118" s="753"/>
      <c r="BS118" s="753"/>
      <c r="BT118" s="753"/>
      <c r="BU118" s="753"/>
      <c r="BV118" s="753"/>
      <c r="BW118" s="753"/>
      <c r="BX118" s="753"/>
      <c r="BY118" s="753"/>
    </row>
    <row r="119" spans="1:77" outlineLevel="1">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row>
    <row r="120" spans="1:77" ht="15" outlineLevel="1">
      <c r="E120" s="22" t="s">
        <v>446</v>
      </c>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row>
    <row r="121" spans="1:77" outlineLevel="1">
      <c r="C121" s="116" t="str">
        <f>+Assumptions!H46</f>
        <v>General</v>
      </c>
      <c r="E121" t="s">
        <v>447</v>
      </c>
      <c r="F121" s="80" t="s">
        <v>448</v>
      </c>
      <c r="H121" s="752"/>
      <c r="I121" s="752"/>
      <c r="J121" s="752"/>
      <c r="K121" s="752"/>
      <c r="L121" s="752"/>
      <c r="M121" s="752"/>
      <c r="N121" s="752"/>
      <c r="O121" s="752"/>
      <c r="P121" s="752"/>
      <c r="Q121" s="752"/>
      <c r="R121" s="752"/>
      <c r="S121" s="752"/>
      <c r="T121" s="752"/>
      <c r="U121" s="752"/>
      <c r="V121" s="752"/>
      <c r="W121" s="752"/>
      <c r="X121" s="752"/>
      <c r="Y121" s="752"/>
      <c r="Z121" s="752"/>
      <c r="AA121" s="752"/>
      <c r="AB121" s="752"/>
      <c r="AC121" s="752"/>
      <c r="AD121" s="752"/>
      <c r="AE121" s="752"/>
      <c r="AF121" s="752"/>
      <c r="AG121" s="752"/>
      <c r="AH121" s="752"/>
      <c r="AI121" s="752"/>
      <c r="AJ121" s="752"/>
      <c r="AK121" s="752"/>
      <c r="AL121" s="752"/>
      <c r="AM121" s="752"/>
      <c r="AN121" s="752"/>
      <c r="AO121" s="752"/>
      <c r="AP121" s="752"/>
      <c r="AQ121" s="752"/>
      <c r="AR121" s="752"/>
      <c r="AS121" s="752"/>
      <c r="AT121" s="752"/>
      <c r="AU121" s="752"/>
      <c r="AV121" s="752"/>
      <c r="AW121" s="752"/>
      <c r="AX121" s="752"/>
      <c r="AY121" s="752"/>
      <c r="AZ121" s="752"/>
      <c r="BA121" s="752"/>
      <c r="BB121" s="752"/>
      <c r="BC121" s="752"/>
      <c r="BD121" s="752"/>
      <c r="BE121" s="752"/>
      <c r="BF121" s="752"/>
      <c r="BG121" s="752"/>
      <c r="BH121" s="752"/>
      <c r="BI121" s="752"/>
      <c r="BJ121" s="752"/>
      <c r="BK121" s="752"/>
      <c r="BL121" s="752"/>
      <c r="BM121" s="752"/>
      <c r="BN121" s="752"/>
      <c r="BO121" s="752"/>
      <c r="BP121" s="752"/>
      <c r="BQ121" s="752"/>
      <c r="BR121" s="752"/>
      <c r="BS121" s="752"/>
      <c r="BT121" s="752"/>
      <c r="BU121" s="752"/>
      <c r="BV121" s="752"/>
      <c r="BW121" s="752"/>
      <c r="BX121" s="752"/>
      <c r="BY121" s="752"/>
    </row>
    <row r="122" spans="1:77" outlineLevel="1">
      <c r="C122" s="116" t="str">
        <f>+Assumptions!H52</f>
        <v>Detailed</v>
      </c>
      <c r="E122" t="s">
        <v>449</v>
      </c>
      <c r="F122" s="80" t="s">
        <v>448</v>
      </c>
      <c r="H122" s="752"/>
      <c r="I122" s="752"/>
      <c r="J122" s="752"/>
      <c r="K122" s="752"/>
      <c r="L122" s="752"/>
      <c r="M122" s="752"/>
      <c r="N122" s="752"/>
      <c r="O122" s="752"/>
      <c r="P122" s="752"/>
      <c r="Q122" s="752"/>
      <c r="R122" s="752"/>
      <c r="S122" s="752"/>
      <c r="T122" s="752"/>
      <c r="U122" s="752"/>
      <c r="V122" s="752"/>
      <c r="W122" s="752"/>
      <c r="X122" s="752"/>
      <c r="Y122" s="752"/>
      <c r="Z122" s="752"/>
      <c r="AA122" s="752"/>
      <c r="AB122" s="752"/>
      <c r="AC122" s="752"/>
      <c r="AD122" s="752"/>
      <c r="AE122" s="752"/>
      <c r="AF122" s="752"/>
      <c r="AG122" s="752"/>
      <c r="AH122" s="752"/>
      <c r="AI122" s="752"/>
      <c r="AJ122" s="752"/>
      <c r="AK122" s="752"/>
      <c r="AL122" s="752"/>
      <c r="AM122" s="752"/>
      <c r="AN122" s="752"/>
      <c r="AO122" s="752"/>
      <c r="AP122" s="752"/>
      <c r="AQ122" s="752"/>
      <c r="AR122" s="752"/>
      <c r="AS122" s="752"/>
      <c r="AT122" s="752"/>
      <c r="AU122" s="752"/>
      <c r="AV122" s="752"/>
      <c r="AW122" s="752"/>
      <c r="AX122" s="752"/>
      <c r="AY122" s="752"/>
      <c r="AZ122" s="752"/>
      <c r="BA122" s="752"/>
      <c r="BB122" s="752"/>
      <c r="BC122" s="752"/>
      <c r="BD122" s="752"/>
      <c r="BE122" s="752"/>
      <c r="BF122" s="752"/>
      <c r="BG122" s="752"/>
      <c r="BH122" s="752"/>
      <c r="BI122" s="752"/>
      <c r="BJ122" s="752"/>
      <c r="BK122" s="752"/>
      <c r="BL122" s="752"/>
      <c r="BM122" s="752"/>
      <c r="BN122" s="752"/>
      <c r="BO122" s="752"/>
      <c r="BP122" s="752"/>
      <c r="BQ122" s="752"/>
      <c r="BR122" s="752"/>
      <c r="BS122" s="752"/>
      <c r="BT122" s="752"/>
      <c r="BU122" s="752"/>
      <c r="BV122" s="752"/>
      <c r="BW122" s="752"/>
      <c r="BX122" s="752"/>
      <c r="BY122" s="752"/>
    </row>
    <row r="123" spans="1:77" outlineLevel="1">
      <c r="F123" s="23"/>
      <c r="G123" s="23"/>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row>
    <row r="124" spans="1:77" s="19" customFormat="1" outlineLevel="1">
      <c r="A124"/>
      <c r="B124" s="18" t="str">
        <f>+B22</f>
        <v>1.3 OPEX</v>
      </c>
      <c r="H124" s="753"/>
      <c r="I124" s="753"/>
      <c r="J124" s="753"/>
      <c r="K124" s="753"/>
      <c r="L124" s="753"/>
      <c r="M124" s="753"/>
      <c r="N124" s="753"/>
      <c r="O124" s="753"/>
      <c r="P124" s="753"/>
      <c r="Q124" s="753"/>
      <c r="R124" s="753"/>
      <c r="S124" s="753"/>
      <c r="T124" s="753"/>
      <c r="U124" s="753"/>
      <c r="V124" s="753"/>
      <c r="W124" s="753"/>
      <c r="X124" s="753"/>
      <c r="Y124" s="753"/>
      <c r="Z124" s="753"/>
      <c r="AA124" s="753"/>
      <c r="AB124" s="753"/>
      <c r="AC124" s="753"/>
      <c r="AD124" s="753"/>
      <c r="AE124" s="753"/>
      <c r="AF124" s="753"/>
      <c r="AG124" s="753"/>
      <c r="AH124" s="753"/>
      <c r="AI124" s="753"/>
      <c r="AJ124" s="753"/>
      <c r="AK124" s="753"/>
      <c r="AL124" s="753"/>
      <c r="AM124" s="753"/>
      <c r="AN124" s="753"/>
      <c r="AO124" s="753"/>
      <c r="AP124" s="753"/>
      <c r="AQ124" s="753"/>
      <c r="AR124" s="753"/>
      <c r="AS124" s="753"/>
      <c r="AT124" s="753"/>
      <c r="AU124" s="753"/>
      <c r="AV124" s="753"/>
      <c r="AW124" s="753"/>
      <c r="AX124" s="753"/>
      <c r="AY124" s="753"/>
      <c r="AZ124" s="753"/>
      <c r="BA124" s="753"/>
      <c r="BB124" s="753"/>
      <c r="BC124" s="753"/>
      <c r="BD124" s="753"/>
      <c r="BE124" s="753"/>
      <c r="BF124" s="753"/>
      <c r="BG124" s="753"/>
      <c r="BH124" s="753"/>
      <c r="BI124" s="753"/>
      <c r="BJ124" s="753"/>
      <c r="BK124" s="753"/>
      <c r="BL124" s="753"/>
      <c r="BM124" s="753"/>
      <c r="BN124" s="753"/>
      <c r="BO124" s="753"/>
      <c r="BP124" s="753"/>
      <c r="BQ124" s="753"/>
      <c r="BR124" s="753"/>
      <c r="BS124" s="753"/>
      <c r="BT124" s="753"/>
      <c r="BU124" s="753"/>
      <c r="BV124" s="753"/>
      <c r="BW124" s="753"/>
      <c r="BX124" s="753"/>
      <c r="BY124" s="753"/>
    </row>
    <row r="125" spans="1:77" outlineLevel="1">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row>
    <row r="126" spans="1:77" ht="15" outlineLevel="1">
      <c r="E126" s="22" t="s">
        <v>450</v>
      </c>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row>
    <row r="127" spans="1:77" outlineLevel="1">
      <c r="E127" t="s">
        <v>454</v>
      </c>
      <c r="F127" s="80" t="str">
        <f>+Assumptions!$G$8&amp;"/ton"</f>
        <v>USD/ton</v>
      </c>
      <c r="H127" s="754">
        <f ca="1">+IF(IFERROR(INDEX(Fuel_prices!$H$7:$AI$1365,MATCH(Assumptions!$H$24&amp;Assumptions!$H$15&amp;"Total cost",Fuel_prices!$G$7:$G$1365,0),MATCH(YEAR(H3),Fuel_prices!$H$6:$AI$6,0)),0)=0,G127,IFERROR(INDEX(Fuel_prices!$H$7:$AI$1365,MATCH(Assumptions!$H$24&amp;Assumptions!$H$15&amp;"Total cost",Fuel_prices!$G$7:$G$1365,0),MATCH(YEAR(H3),Fuel_prices!$H$6:$AI$6,0)),0))</f>
        <v>0</v>
      </c>
      <c r="I127" s="754">
        <f ca="1">+IF(IFERROR(INDEX(Fuel_prices!$H$7:$AI$1365,MATCH(Assumptions!$H$24&amp;Assumptions!$H$15&amp;"Total cost",Fuel_prices!$G$7:$G$1365,0),MATCH(YEAR(I3),Fuel_prices!$H$6:$AI$6,0)),0)=0,H127,IFERROR(INDEX(Fuel_prices!$H$7:$AI$1365,MATCH(Assumptions!$H$24&amp;Assumptions!$H$15&amp;"Total cost",Fuel_prices!$G$7:$G$1365,0),MATCH(YEAR(I3),Fuel_prices!$H$6:$AI$6,0)),0))</f>
        <v>0</v>
      </c>
      <c r="J127" s="754">
        <f ca="1">+IF(IFERROR(INDEX(Fuel_prices!$H$7:$AI$1365,MATCH(Assumptions!$H$24&amp;Assumptions!$H$15&amp;"Total cost",Fuel_prices!$G$7:$G$1365,0),MATCH(YEAR(J3),Fuel_prices!$H$6:$AI$6,0)),0)=0,I127,IFERROR(INDEX(Fuel_prices!$H$7:$AI$1365,MATCH(Assumptions!$H$24&amp;Assumptions!$H$15&amp;"Total cost",Fuel_prices!$G$7:$G$1365,0),MATCH(YEAR(J3),Fuel_prices!$H$6:$AI$6,0)),0))</f>
        <v>0</v>
      </c>
      <c r="K127" s="754">
        <f ca="1">+IF(IFERROR(INDEX(Fuel_prices!$H$7:$AI$1365,MATCH(Assumptions!$H$24&amp;Assumptions!$H$15&amp;"Total cost",Fuel_prices!$G$7:$G$1365,0),MATCH(YEAR(K3),Fuel_prices!$H$6:$AI$6,0)),0)=0,J127,IFERROR(INDEX(Fuel_prices!$H$7:$AI$1365,MATCH(Assumptions!$H$24&amp;Assumptions!$H$15&amp;"Total cost",Fuel_prices!$G$7:$G$1365,0),MATCH(YEAR(K3),Fuel_prices!$H$6:$AI$6,0)),0))</f>
        <v>0</v>
      </c>
      <c r="L127" s="754">
        <f ca="1">+IF(IFERROR(INDEX(Fuel_prices!$H$7:$AI$1365,MATCH(Assumptions!$H$24&amp;Assumptions!$H$15&amp;"Total cost",Fuel_prices!$G$7:$G$1365,0),MATCH(YEAR(L3),Fuel_prices!$H$6:$AI$6,0)),0)=0,K127,IFERROR(INDEX(Fuel_prices!$H$7:$AI$1365,MATCH(Assumptions!$H$24&amp;Assumptions!$H$15&amp;"Total cost",Fuel_prices!$G$7:$G$1365,0),MATCH(YEAR(L3),Fuel_prices!$H$6:$AI$6,0)),0))</f>
        <v>0</v>
      </c>
      <c r="M127" s="754">
        <f ca="1">+IF(IFERROR(INDEX(Fuel_prices!$H$7:$AI$1365,MATCH(Assumptions!$H$24&amp;Assumptions!$H$15&amp;"Total cost",Fuel_prices!$G$7:$G$1365,0),MATCH(YEAR(M3),Fuel_prices!$H$6:$AI$6,0)),0)=0,L127,IFERROR(INDEX(Fuel_prices!$H$7:$AI$1365,MATCH(Assumptions!$H$24&amp;Assumptions!$H$15&amp;"Total cost",Fuel_prices!$G$7:$G$1365,0),MATCH(YEAR(M3),Fuel_prices!$H$6:$AI$6,0)),0))</f>
        <v>0</v>
      </c>
      <c r="N127" s="754">
        <f ca="1">+IF(IFERROR(INDEX(Fuel_prices!$H$7:$AI$1365,MATCH(Assumptions!$H$24&amp;Assumptions!$H$15&amp;"Total cost",Fuel_prices!$G$7:$G$1365,0),MATCH(YEAR(N3),Fuel_prices!$H$6:$AI$6,0)),0)=0,M127,IFERROR(INDEX(Fuel_prices!$H$7:$AI$1365,MATCH(Assumptions!$H$24&amp;Assumptions!$H$15&amp;"Total cost",Fuel_prices!$G$7:$G$1365,0),MATCH(YEAR(N3),Fuel_prices!$H$6:$AI$6,0)),0))</f>
        <v>0</v>
      </c>
      <c r="O127" s="754">
        <f ca="1">+IF(IFERROR(INDEX(Fuel_prices!$H$7:$AI$1365,MATCH(Assumptions!$H$24&amp;Assumptions!$H$15&amp;"Total cost",Fuel_prices!$G$7:$G$1365,0),MATCH(YEAR(O3),Fuel_prices!$H$6:$AI$6,0)),0)=0,N127,IFERROR(INDEX(Fuel_prices!$H$7:$AI$1365,MATCH(Assumptions!$H$24&amp;Assumptions!$H$15&amp;"Total cost",Fuel_prices!$G$7:$G$1365,0),MATCH(YEAR(O3),Fuel_prices!$H$6:$AI$6,0)),0))</f>
        <v>0</v>
      </c>
      <c r="P127" s="754">
        <f ca="1">+IF(IFERROR(INDEX(Fuel_prices!$H$7:$AI$1365,MATCH(Assumptions!$H$24&amp;Assumptions!$H$15&amp;"Total cost",Fuel_prices!$G$7:$G$1365,0),MATCH(YEAR(P3),Fuel_prices!$H$6:$AI$6,0)),0)=0,O127,IFERROR(INDEX(Fuel_prices!$H$7:$AI$1365,MATCH(Assumptions!$H$24&amp;Assumptions!$H$15&amp;"Total cost",Fuel_prices!$G$7:$G$1365,0),MATCH(YEAR(P3),Fuel_prices!$H$6:$AI$6,0)),0))</f>
        <v>0</v>
      </c>
      <c r="Q127" s="754">
        <f ca="1">+IF(IFERROR(INDEX(Fuel_prices!$H$7:$AI$1365,MATCH(Assumptions!$H$24&amp;Assumptions!$H$15&amp;"Total cost",Fuel_prices!$G$7:$G$1365,0),MATCH(YEAR(Q3),Fuel_prices!$H$6:$AI$6,0)),0)=0,P127,IFERROR(INDEX(Fuel_prices!$H$7:$AI$1365,MATCH(Assumptions!$H$24&amp;Assumptions!$H$15&amp;"Total cost",Fuel_prices!$G$7:$G$1365,0),MATCH(YEAR(Q3),Fuel_prices!$H$6:$AI$6,0)),0))</f>
        <v>0</v>
      </c>
      <c r="R127" s="754">
        <f ca="1">+IF(IFERROR(INDEX(Fuel_prices!$H$7:$AI$1365,MATCH(Assumptions!$H$24&amp;Assumptions!$H$15&amp;"Total cost",Fuel_prices!$G$7:$G$1365,0),MATCH(YEAR(R3),Fuel_prices!$H$6:$AI$6,0)),0)=0,Q127,IFERROR(INDEX(Fuel_prices!$H$7:$AI$1365,MATCH(Assumptions!$H$24&amp;Assumptions!$H$15&amp;"Total cost",Fuel_prices!$G$7:$G$1365,0),MATCH(YEAR(R3),Fuel_prices!$H$6:$AI$6,0)),0))</f>
        <v>0</v>
      </c>
      <c r="S127" s="754">
        <f ca="1">+IF(IFERROR(INDEX(Fuel_prices!$H$7:$AI$1365,MATCH(Assumptions!$H$24&amp;Assumptions!$H$15&amp;"Total cost",Fuel_prices!$G$7:$G$1365,0),MATCH(YEAR(S3),Fuel_prices!$H$6:$AI$6,0)),0)=0,R127,IFERROR(INDEX(Fuel_prices!$H$7:$AI$1365,MATCH(Assumptions!$H$24&amp;Assumptions!$H$15&amp;"Total cost",Fuel_prices!$G$7:$G$1365,0),MATCH(YEAR(S3),Fuel_prices!$H$6:$AI$6,0)),0))</f>
        <v>0</v>
      </c>
      <c r="T127" s="754">
        <f ca="1">+IF(IFERROR(INDEX(Fuel_prices!$H$7:$AI$1365,MATCH(Assumptions!$H$24&amp;Assumptions!$H$15&amp;"Total cost",Fuel_prices!$G$7:$G$1365,0),MATCH(YEAR(T3),Fuel_prices!$H$6:$AI$6,0)),0)=0,S127,IFERROR(INDEX(Fuel_prices!$H$7:$AI$1365,MATCH(Assumptions!$H$24&amp;Assumptions!$H$15&amp;"Total cost",Fuel_prices!$G$7:$G$1365,0),MATCH(YEAR(T3),Fuel_prices!$H$6:$AI$6,0)),0))</f>
        <v>0</v>
      </c>
      <c r="U127" s="754">
        <f ca="1">+IF(IFERROR(INDEX(Fuel_prices!$H$7:$AI$1365,MATCH(Assumptions!$H$24&amp;Assumptions!$H$15&amp;"Total cost",Fuel_prices!$G$7:$G$1365,0),MATCH(YEAR(U3),Fuel_prices!$H$6:$AI$6,0)),0)=0,T127,IFERROR(INDEX(Fuel_prices!$H$7:$AI$1365,MATCH(Assumptions!$H$24&amp;Assumptions!$H$15&amp;"Total cost",Fuel_prices!$G$7:$G$1365,0),MATCH(YEAR(U3),Fuel_prices!$H$6:$AI$6,0)),0))</f>
        <v>0</v>
      </c>
      <c r="V127" s="754">
        <f ca="1">+IF(IFERROR(INDEX(Fuel_prices!$H$7:$AI$1365,MATCH(Assumptions!$H$24&amp;Assumptions!$H$15&amp;"Total cost",Fuel_prices!$G$7:$G$1365,0),MATCH(YEAR(V3),Fuel_prices!$H$6:$AI$6,0)),0)=0,U127,IFERROR(INDEX(Fuel_prices!$H$7:$AI$1365,MATCH(Assumptions!$H$24&amp;Assumptions!$H$15&amp;"Total cost",Fuel_prices!$G$7:$G$1365,0),MATCH(YEAR(V3),Fuel_prices!$H$6:$AI$6,0)),0))</f>
        <v>0</v>
      </c>
      <c r="W127" s="754">
        <f ca="1">+IF(IFERROR(INDEX(Fuel_prices!$H$7:$AI$1365,MATCH(Assumptions!$H$24&amp;Assumptions!$H$15&amp;"Total cost",Fuel_prices!$G$7:$G$1365,0),MATCH(YEAR(W3),Fuel_prices!$H$6:$AI$6,0)),0)=0,V127,IFERROR(INDEX(Fuel_prices!$H$7:$AI$1365,MATCH(Assumptions!$H$24&amp;Assumptions!$H$15&amp;"Total cost",Fuel_prices!$G$7:$G$1365,0),MATCH(YEAR(W3),Fuel_prices!$H$6:$AI$6,0)),0))</f>
        <v>0</v>
      </c>
      <c r="X127" s="754">
        <f ca="1">+IF(IFERROR(INDEX(Fuel_prices!$H$7:$AI$1365,MATCH(Assumptions!$H$24&amp;Assumptions!$H$15&amp;"Total cost",Fuel_prices!$G$7:$G$1365,0),MATCH(YEAR(X3),Fuel_prices!$H$6:$AI$6,0)),0)=0,W127,IFERROR(INDEX(Fuel_prices!$H$7:$AI$1365,MATCH(Assumptions!$H$24&amp;Assumptions!$H$15&amp;"Total cost",Fuel_prices!$G$7:$G$1365,0),MATCH(YEAR(X3),Fuel_prices!$H$6:$AI$6,0)),0))</f>
        <v>0</v>
      </c>
      <c r="Y127" s="754">
        <f ca="1">+IF(IFERROR(INDEX(Fuel_prices!$H$7:$AI$1365,MATCH(Assumptions!$H$24&amp;Assumptions!$H$15&amp;"Total cost",Fuel_prices!$G$7:$G$1365,0),MATCH(YEAR(Y3),Fuel_prices!$H$6:$AI$6,0)),0)=0,X127,IFERROR(INDEX(Fuel_prices!$H$7:$AI$1365,MATCH(Assumptions!$H$24&amp;Assumptions!$H$15&amp;"Total cost",Fuel_prices!$G$7:$G$1365,0),MATCH(YEAR(Y3),Fuel_prices!$H$6:$AI$6,0)),0))</f>
        <v>0</v>
      </c>
      <c r="Z127" s="754">
        <f ca="1">+IF(IFERROR(INDEX(Fuel_prices!$H$7:$AI$1365,MATCH(Assumptions!$H$24&amp;Assumptions!$H$15&amp;"Total cost",Fuel_prices!$G$7:$G$1365,0),MATCH(YEAR(Z3),Fuel_prices!$H$6:$AI$6,0)),0)=0,Y127,IFERROR(INDEX(Fuel_prices!$H$7:$AI$1365,MATCH(Assumptions!$H$24&amp;Assumptions!$H$15&amp;"Total cost",Fuel_prices!$G$7:$G$1365,0),MATCH(YEAR(Z3),Fuel_prices!$H$6:$AI$6,0)),0))</f>
        <v>0</v>
      </c>
      <c r="AA127" s="754">
        <f ca="1">+IF(IFERROR(INDEX(Fuel_prices!$H$7:$AI$1365,MATCH(Assumptions!$H$24&amp;Assumptions!$H$15&amp;"Total cost",Fuel_prices!$G$7:$G$1365,0),MATCH(YEAR(AA3),Fuel_prices!$H$6:$AI$6,0)),0)=0,Z127,IFERROR(INDEX(Fuel_prices!$H$7:$AI$1365,MATCH(Assumptions!$H$24&amp;Assumptions!$H$15&amp;"Total cost",Fuel_prices!$G$7:$G$1365,0),MATCH(YEAR(AA3),Fuel_prices!$H$6:$AI$6,0)),0))</f>
        <v>0</v>
      </c>
      <c r="AB127" s="754">
        <f ca="1">+IF(IFERROR(INDEX(Fuel_prices!$H$7:$AI$1365,MATCH(Assumptions!$H$24&amp;Assumptions!$H$15&amp;"Total cost",Fuel_prices!$G$7:$G$1365,0),MATCH(YEAR(AB3),Fuel_prices!$H$6:$AI$6,0)),0)=0,AA127,IFERROR(INDEX(Fuel_prices!$H$7:$AI$1365,MATCH(Assumptions!$H$24&amp;Assumptions!$H$15&amp;"Total cost",Fuel_prices!$G$7:$G$1365,0),MATCH(YEAR(AB3),Fuel_prices!$H$6:$AI$6,0)),0))</f>
        <v>0</v>
      </c>
      <c r="AC127" s="754">
        <f ca="1">+IF(IFERROR(INDEX(Fuel_prices!$H$7:$AI$1365,MATCH(Assumptions!$H$24&amp;Assumptions!$H$15&amp;"Total cost",Fuel_prices!$G$7:$G$1365,0),MATCH(YEAR(AC3),Fuel_prices!$H$6:$AI$6,0)),0)=0,AB127,IFERROR(INDEX(Fuel_prices!$H$7:$AI$1365,MATCH(Assumptions!$H$24&amp;Assumptions!$H$15&amp;"Total cost",Fuel_prices!$G$7:$G$1365,0),MATCH(YEAR(AC3),Fuel_prices!$H$6:$AI$6,0)),0))</f>
        <v>0</v>
      </c>
      <c r="AD127" s="754">
        <f ca="1">+IF(IFERROR(INDEX(Fuel_prices!$H$7:$AI$1365,MATCH(Assumptions!$H$24&amp;Assumptions!$H$15&amp;"Total cost",Fuel_prices!$G$7:$G$1365,0),MATCH(YEAR(AD3),Fuel_prices!$H$6:$AI$6,0)),0)=0,AC127,IFERROR(INDEX(Fuel_prices!$H$7:$AI$1365,MATCH(Assumptions!$H$24&amp;Assumptions!$H$15&amp;"Total cost",Fuel_prices!$G$7:$G$1365,0),MATCH(YEAR(AD3),Fuel_prices!$H$6:$AI$6,0)),0))</f>
        <v>0</v>
      </c>
      <c r="AE127" s="754">
        <f ca="1">+IF(IFERROR(INDEX(Fuel_prices!$H$7:$AI$1365,MATCH(Assumptions!$H$24&amp;Assumptions!$H$15&amp;"Total cost",Fuel_prices!$G$7:$G$1365,0),MATCH(YEAR(AE3),Fuel_prices!$H$6:$AI$6,0)),0)=0,AD127,IFERROR(INDEX(Fuel_prices!$H$7:$AI$1365,MATCH(Assumptions!$H$24&amp;Assumptions!$H$15&amp;"Total cost",Fuel_prices!$G$7:$G$1365,0),MATCH(YEAR(AE3),Fuel_prices!$H$6:$AI$6,0)),0))</f>
        <v>0</v>
      </c>
      <c r="AF127" s="754">
        <f ca="1">+IF(IFERROR(INDEX(Fuel_prices!$H$7:$AI$1365,MATCH(Assumptions!$H$24&amp;Assumptions!$H$15&amp;"Total cost",Fuel_prices!$G$7:$G$1365,0),MATCH(YEAR(AF3),Fuel_prices!$H$6:$AI$6,0)),0)=0,AE127,IFERROR(INDEX(Fuel_prices!$H$7:$AI$1365,MATCH(Assumptions!$H$24&amp;Assumptions!$H$15&amp;"Total cost",Fuel_prices!$G$7:$G$1365,0),MATCH(YEAR(AF3),Fuel_prices!$H$6:$AI$6,0)),0))</f>
        <v>0</v>
      </c>
      <c r="AG127" s="754">
        <f ca="1">+IF(IFERROR(INDEX(Fuel_prices!$H$7:$AI$1365,MATCH(Assumptions!$H$24&amp;Assumptions!$H$15&amp;"Total cost",Fuel_prices!$G$7:$G$1365,0),MATCH(YEAR(AG3),Fuel_prices!$H$6:$AI$6,0)),0)=0,AF127,IFERROR(INDEX(Fuel_prices!$H$7:$AI$1365,MATCH(Assumptions!$H$24&amp;Assumptions!$H$15&amp;"Total cost",Fuel_prices!$G$7:$G$1365,0),MATCH(YEAR(AG3),Fuel_prices!$H$6:$AI$6,0)),0))</f>
        <v>0</v>
      </c>
      <c r="AH127" s="754">
        <f ca="1">+IF(IFERROR(INDEX(Fuel_prices!$H$7:$AI$1365,MATCH(Assumptions!$H$24&amp;Assumptions!$H$15&amp;"Total cost",Fuel_prices!$G$7:$G$1365,0),MATCH(YEAR(AH3),Fuel_prices!$H$6:$AI$6,0)),0)=0,AG127,IFERROR(INDEX(Fuel_prices!$H$7:$AI$1365,MATCH(Assumptions!$H$24&amp;Assumptions!$H$15&amp;"Total cost",Fuel_prices!$G$7:$G$1365,0),MATCH(YEAR(AH3),Fuel_prices!$H$6:$AI$6,0)),0))</f>
        <v>0</v>
      </c>
      <c r="AI127" s="754">
        <f ca="1">+IF(IFERROR(INDEX(Fuel_prices!$H$7:$AI$1365,MATCH(Assumptions!$H$24&amp;Assumptions!$H$15&amp;"Total cost",Fuel_prices!$G$7:$G$1365,0),MATCH(YEAR(AI3),Fuel_prices!$H$6:$AI$6,0)),0)=0,AH127,IFERROR(INDEX(Fuel_prices!$H$7:$AI$1365,MATCH(Assumptions!$H$24&amp;Assumptions!$H$15&amp;"Total cost",Fuel_prices!$G$7:$G$1365,0),MATCH(YEAR(AI3),Fuel_prices!$H$6:$AI$6,0)),0))</f>
        <v>0</v>
      </c>
      <c r="AJ127" s="754">
        <f ca="1">+IF(IFERROR(INDEX(Fuel_prices!$H$7:$AI$1365,MATCH(Assumptions!$H$24&amp;Assumptions!$H$15&amp;"Total cost",Fuel_prices!$G$7:$G$1365,0),MATCH(YEAR(AJ3),Fuel_prices!$H$6:$AI$6,0)),0)=0,AI127,IFERROR(INDEX(Fuel_prices!$H$7:$AI$1365,MATCH(Assumptions!$H$24&amp;Assumptions!$H$15&amp;"Total cost",Fuel_prices!$G$7:$G$1365,0),MATCH(YEAR(AJ3),Fuel_prices!$H$6:$AI$6,0)),0))</f>
        <v>0</v>
      </c>
      <c r="AK127" s="754">
        <f ca="1">+IF(IFERROR(INDEX(Fuel_prices!$H$7:$AI$1365,MATCH(Assumptions!$H$24&amp;Assumptions!$H$15&amp;"Total cost",Fuel_prices!$G$7:$G$1365,0),MATCH(YEAR(AK3),Fuel_prices!$H$6:$AI$6,0)),0)=0,AJ127,IFERROR(INDEX(Fuel_prices!$H$7:$AI$1365,MATCH(Assumptions!$H$24&amp;Assumptions!$H$15&amp;"Total cost",Fuel_prices!$G$7:$G$1365,0),MATCH(YEAR(AK3),Fuel_prices!$H$6:$AI$6,0)),0))</f>
        <v>0</v>
      </c>
      <c r="AL127" s="754">
        <f ca="1">+IF(IFERROR(INDEX(Fuel_prices!$H$7:$AI$1365,MATCH(Assumptions!$H$24&amp;Assumptions!$H$15&amp;"Total cost",Fuel_prices!$G$7:$G$1365,0),MATCH(YEAR(AL3),Fuel_prices!$H$6:$AI$6,0)),0)=0,AK127,IFERROR(INDEX(Fuel_prices!$H$7:$AI$1365,MATCH(Assumptions!$H$24&amp;Assumptions!$H$15&amp;"Total cost",Fuel_prices!$G$7:$G$1365,0),MATCH(YEAR(AL3),Fuel_prices!$H$6:$AI$6,0)),0))</f>
        <v>0</v>
      </c>
      <c r="AM127" s="754">
        <f ca="1">+IF(IFERROR(INDEX(Fuel_prices!$H$7:$AI$1365,MATCH(Assumptions!$H$24&amp;Assumptions!$H$15&amp;"Total cost",Fuel_prices!$G$7:$G$1365,0),MATCH(YEAR(AM3),Fuel_prices!$H$6:$AI$6,0)),0)=0,AL127,IFERROR(INDEX(Fuel_prices!$H$7:$AI$1365,MATCH(Assumptions!$H$24&amp;Assumptions!$H$15&amp;"Total cost",Fuel_prices!$G$7:$G$1365,0),MATCH(YEAR(AM3),Fuel_prices!$H$6:$AI$6,0)),0))</f>
        <v>0</v>
      </c>
      <c r="AN127" s="754">
        <f ca="1">+IF(IFERROR(INDEX(Fuel_prices!$H$7:$AI$1365,MATCH(Assumptions!$H$24&amp;Assumptions!$H$15&amp;"Total cost",Fuel_prices!$G$7:$G$1365,0),MATCH(YEAR(AN3),Fuel_prices!$H$6:$AI$6,0)),0)=0,AM127,IFERROR(INDEX(Fuel_prices!$H$7:$AI$1365,MATCH(Assumptions!$H$24&amp;Assumptions!$H$15&amp;"Total cost",Fuel_prices!$G$7:$G$1365,0),MATCH(YEAR(AN3),Fuel_prices!$H$6:$AI$6,0)),0))</f>
        <v>0</v>
      </c>
      <c r="AO127" s="754">
        <f ca="1">+IF(IFERROR(INDEX(Fuel_prices!$H$7:$AI$1365,MATCH(Assumptions!$H$24&amp;Assumptions!$H$15&amp;"Total cost",Fuel_prices!$G$7:$G$1365,0),MATCH(YEAR(AO3),Fuel_prices!$H$6:$AI$6,0)),0)=0,AN127,IFERROR(INDEX(Fuel_prices!$H$7:$AI$1365,MATCH(Assumptions!$H$24&amp;Assumptions!$H$15&amp;"Total cost",Fuel_prices!$G$7:$G$1365,0),MATCH(YEAR(AO3),Fuel_prices!$H$6:$AI$6,0)),0))</f>
        <v>0</v>
      </c>
      <c r="AP127" s="754">
        <f ca="1">+IF(IFERROR(INDEX(Fuel_prices!$H$7:$AI$1365,MATCH(Assumptions!$H$24&amp;Assumptions!$H$15&amp;"Total cost",Fuel_prices!$G$7:$G$1365,0),MATCH(YEAR(AP3),Fuel_prices!$H$6:$AI$6,0)),0)=0,AO127,IFERROR(INDEX(Fuel_prices!$H$7:$AI$1365,MATCH(Assumptions!$H$24&amp;Assumptions!$H$15&amp;"Total cost",Fuel_prices!$G$7:$G$1365,0),MATCH(YEAR(AP3),Fuel_prices!$H$6:$AI$6,0)),0))</f>
        <v>0</v>
      </c>
      <c r="AQ127" s="754">
        <f ca="1">+IF(IFERROR(INDEX(Fuel_prices!$H$7:$AI$1365,MATCH(Assumptions!$H$24&amp;Assumptions!$H$15&amp;"Total cost",Fuel_prices!$G$7:$G$1365,0),MATCH(YEAR(AQ3),Fuel_prices!$H$6:$AI$6,0)),0)=0,AP127,IFERROR(INDEX(Fuel_prices!$H$7:$AI$1365,MATCH(Assumptions!$H$24&amp;Assumptions!$H$15&amp;"Total cost",Fuel_prices!$G$7:$G$1365,0),MATCH(YEAR(AQ3),Fuel_prices!$H$6:$AI$6,0)),0))</f>
        <v>0</v>
      </c>
      <c r="AR127" s="754">
        <f ca="1">+IF(IFERROR(INDEX(Fuel_prices!$H$7:$AI$1365,MATCH(Assumptions!$H$24&amp;Assumptions!$H$15&amp;"Total cost",Fuel_prices!$G$7:$G$1365,0),MATCH(YEAR(AR3),Fuel_prices!$H$6:$AI$6,0)),0)=0,AQ127,IFERROR(INDEX(Fuel_prices!$H$7:$AI$1365,MATCH(Assumptions!$H$24&amp;Assumptions!$H$15&amp;"Total cost",Fuel_prices!$G$7:$G$1365,0),MATCH(YEAR(AR3),Fuel_prices!$H$6:$AI$6,0)),0))</f>
        <v>0</v>
      </c>
      <c r="AS127" s="754">
        <f ca="1">+IF(IFERROR(INDEX(Fuel_prices!$H$7:$AI$1365,MATCH(Assumptions!$H$24&amp;Assumptions!$H$15&amp;"Total cost",Fuel_prices!$G$7:$G$1365,0),MATCH(YEAR(AS3),Fuel_prices!$H$6:$AI$6,0)),0)=0,AR127,IFERROR(INDEX(Fuel_prices!$H$7:$AI$1365,MATCH(Assumptions!$H$24&amp;Assumptions!$H$15&amp;"Total cost",Fuel_prices!$G$7:$G$1365,0),MATCH(YEAR(AS3),Fuel_prices!$H$6:$AI$6,0)),0))</f>
        <v>0</v>
      </c>
      <c r="AT127" s="754">
        <f ca="1">+IF(IFERROR(INDEX(Fuel_prices!$H$7:$AI$1365,MATCH(Assumptions!$H$24&amp;Assumptions!$H$15&amp;"Total cost",Fuel_prices!$G$7:$G$1365,0),MATCH(YEAR(AT3),Fuel_prices!$H$6:$AI$6,0)),0)=0,AS127,IFERROR(INDEX(Fuel_prices!$H$7:$AI$1365,MATCH(Assumptions!$H$24&amp;Assumptions!$H$15&amp;"Total cost",Fuel_prices!$G$7:$G$1365,0),MATCH(YEAR(AT3),Fuel_prices!$H$6:$AI$6,0)),0))</f>
        <v>0</v>
      </c>
      <c r="AU127" s="754">
        <f ca="1">+IF(IFERROR(INDEX(Fuel_prices!$H$7:$AI$1365,MATCH(Assumptions!$H$24&amp;Assumptions!$H$15&amp;"Total cost",Fuel_prices!$G$7:$G$1365,0),MATCH(YEAR(AU3),Fuel_prices!$H$6:$AI$6,0)),0)=0,AT127,IFERROR(INDEX(Fuel_prices!$H$7:$AI$1365,MATCH(Assumptions!$H$24&amp;Assumptions!$H$15&amp;"Total cost",Fuel_prices!$G$7:$G$1365,0),MATCH(YEAR(AU3),Fuel_prices!$H$6:$AI$6,0)),0))</f>
        <v>0</v>
      </c>
      <c r="AV127" s="754">
        <f ca="1">+IF(IFERROR(INDEX(Fuel_prices!$H$7:$AI$1365,MATCH(Assumptions!$H$24&amp;Assumptions!$H$15&amp;"Total cost",Fuel_prices!$G$7:$G$1365,0),MATCH(YEAR(AV3),Fuel_prices!$H$6:$AI$6,0)),0)=0,AU127,IFERROR(INDEX(Fuel_prices!$H$7:$AI$1365,MATCH(Assumptions!$H$24&amp;Assumptions!$H$15&amp;"Total cost",Fuel_prices!$G$7:$G$1365,0),MATCH(YEAR(AV3),Fuel_prices!$H$6:$AI$6,0)),0))</f>
        <v>0</v>
      </c>
      <c r="AW127" s="754">
        <f ca="1">+IF(IFERROR(INDEX(Fuel_prices!$H$7:$AI$1365,MATCH(Assumptions!$H$24&amp;Assumptions!$H$15&amp;"Total cost",Fuel_prices!$G$7:$G$1365,0),MATCH(YEAR(AW3),Fuel_prices!$H$6:$AI$6,0)),0)=0,AV127,IFERROR(INDEX(Fuel_prices!$H$7:$AI$1365,MATCH(Assumptions!$H$24&amp;Assumptions!$H$15&amp;"Total cost",Fuel_prices!$G$7:$G$1365,0),MATCH(YEAR(AW3),Fuel_prices!$H$6:$AI$6,0)),0))</f>
        <v>0</v>
      </c>
      <c r="AX127" s="754">
        <f ca="1">+IF(IFERROR(INDEX(Fuel_prices!$H$7:$AI$1365,MATCH(Assumptions!$H$24&amp;Assumptions!$H$15&amp;"Total cost",Fuel_prices!$G$7:$G$1365,0),MATCH(YEAR(AX3),Fuel_prices!$H$6:$AI$6,0)),0)=0,AW127,IFERROR(INDEX(Fuel_prices!$H$7:$AI$1365,MATCH(Assumptions!$H$24&amp;Assumptions!$H$15&amp;"Total cost",Fuel_prices!$G$7:$G$1365,0),MATCH(YEAR(AX3),Fuel_prices!$H$6:$AI$6,0)),0))</f>
        <v>0</v>
      </c>
      <c r="AY127" s="754">
        <f ca="1">+IF(IFERROR(INDEX(Fuel_prices!$H$7:$AI$1365,MATCH(Assumptions!$H$24&amp;Assumptions!$H$15&amp;"Total cost",Fuel_prices!$G$7:$G$1365,0),MATCH(YEAR(AY3),Fuel_prices!$H$6:$AI$6,0)),0)=0,AX127,IFERROR(INDEX(Fuel_prices!$H$7:$AI$1365,MATCH(Assumptions!$H$24&amp;Assumptions!$H$15&amp;"Total cost",Fuel_prices!$G$7:$G$1365,0),MATCH(YEAR(AY3),Fuel_prices!$H$6:$AI$6,0)),0))</f>
        <v>0</v>
      </c>
      <c r="AZ127" s="754">
        <f ca="1">+IF(IFERROR(INDEX(Fuel_prices!$H$7:$AI$1365,MATCH(Assumptions!$H$24&amp;Assumptions!$H$15&amp;"Total cost",Fuel_prices!$G$7:$G$1365,0),MATCH(YEAR(AZ3),Fuel_prices!$H$6:$AI$6,0)),0)=0,AY127,IFERROR(INDEX(Fuel_prices!$H$7:$AI$1365,MATCH(Assumptions!$H$24&amp;Assumptions!$H$15&amp;"Total cost",Fuel_prices!$G$7:$G$1365,0),MATCH(YEAR(AZ3),Fuel_prices!$H$6:$AI$6,0)),0))</f>
        <v>0</v>
      </c>
      <c r="BA127" s="754">
        <f ca="1">+IF(IFERROR(INDEX(Fuel_prices!$H$7:$AI$1365,MATCH(Assumptions!$H$24&amp;Assumptions!$H$15&amp;"Total cost",Fuel_prices!$G$7:$G$1365,0),MATCH(YEAR(BA3),Fuel_prices!$H$6:$AI$6,0)),0)=0,AZ127,IFERROR(INDEX(Fuel_prices!$H$7:$AI$1365,MATCH(Assumptions!$H$24&amp;Assumptions!$H$15&amp;"Total cost",Fuel_prices!$G$7:$G$1365,0),MATCH(YEAR(BA3),Fuel_prices!$H$6:$AI$6,0)),0))</f>
        <v>0</v>
      </c>
      <c r="BB127" s="754">
        <f ca="1">+IF(IFERROR(INDEX(Fuel_prices!$H$7:$AI$1365,MATCH(Assumptions!$H$24&amp;Assumptions!$H$15&amp;"Total cost",Fuel_prices!$G$7:$G$1365,0),MATCH(YEAR(BB3),Fuel_prices!$H$6:$AI$6,0)),0)=0,BA127,IFERROR(INDEX(Fuel_prices!$H$7:$AI$1365,MATCH(Assumptions!$H$24&amp;Assumptions!$H$15&amp;"Total cost",Fuel_prices!$G$7:$G$1365,0),MATCH(YEAR(BB3),Fuel_prices!$H$6:$AI$6,0)),0))</f>
        <v>0</v>
      </c>
      <c r="BC127" s="754">
        <f ca="1">+IF(IFERROR(INDEX(Fuel_prices!$H$7:$AI$1365,MATCH(Assumptions!$H$24&amp;Assumptions!$H$15&amp;"Total cost",Fuel_prices!$G$7:$G$1365,0),MATCH(YEAR(BC3),Fuel_prices!$H$6:$AI$6,0)),0)=0,BB127,IFERROR(INDEX(Fuel_prices!$H$7:$AI$1365,MATCH(Assumptions!$H$24&amp;Assumptions!$H$15&amp;"Total cost",Fuel_prices!$G$7:$G$1365,0),MATCH(YEAR(BC3),Fuel_prices!$H$6:$AI$6,0)),0))</f>
        <v>0</v>
      </c>
      <c r="BD127" s="754">
        <f ca="1">+IF(IFERROR(INDEX(Fuel_prices!$H$7:$AI$1365,MATCH(Assumptions!$H$24&amp;Assumptions!$H$15&amp;"Total cost",Fuel_prices!$G$7:$G$1365,0),MATCH(YEAR(BD3),Fuel_prices!$H$6:$AI$6,0)),0)=0,BC127,IFERROR(INDEX(Fuel_prices!$H$7:$AI$1365,MATCH(Assumptions!$H$24&amp;Assumptions!$H$15&amp;"Total cost",Fuel_prices!$G$7:$G$1365,0),MATCH(YEAR(BD3),Fuel_prices!$H$6:$AI$6,0)),0))</f>
        <v>0</v>
      </c>
      <c r="BE127" s="754">
        <f ca="1">+IF(IFERROR(INDEX(Fuel_prices!$H$7:$AI$1365,MATCH(Assumptions!$H$24&amp;Assumptions!$H$15&amp;"Total cost",Fuel_prices!$G$7:$G$1365,0),MATCH(YEAR(BE3),Fuel_prices!$H$6:$AI$6,0)),0)=0,BD127,IFERROR(INDEX(Fuel_prices!$H$7:$AI$1365,MATCH(Assumptions!$H$24&amp;Assumptions!$H$15&amp;"Total cost",Fuel_prices!$G$7:$G$1365,0),MATCH(YEAR(BE3),Fuel_prices!$H$6:$AI$6,0)),0))</f>
        <v>0</v>
      </c>
      <c r="BF127" s="754">
        <f ca="1">+IF(IFERROR(INDEX(Fuel_prices!$H$7:$AI$1365,MATCH(Assumptions!$H$24&amp;Assumptions!$H$15&amp;"Total cost",Fuel_prices!$G$7:$G$1365,0),MATCH(YEAR(BF3),Fuel_prices!$H$6:$AI$6,0)),0)=0,BE127,IFERROR(INDEX(Fuel_prices!$H$7:$AI$1365,MATCH(Assumptions!$H$24&amp;Assumptions!$H$15&amp;"Total cost",Fuel_prices!$G$7:$G$1365,0),MATCH(YEAR(BF3),Fuel_prices!$H$6:$AI$6,0)),0))</f>
        <v>0</v>
      </c>
      <c r="BG127" s="754">
        <f ca="1">+IF(IFERROR(INDEX(Fuel_prices!$H$7:$AI$1365,MATCH(Assumptions!$H$24&amp;Assumptions!$H$15&amp;"Total cost",Fuel_prices!$G$7:$G$1365,0),MATCH(YEAR(BG3),Fuel_prices!$H$6:$AI$6,0)),0)=0,BF127,IFERROR(INDEX(Fuel_prices!$H$7:$AI$1365,MATCH(Assumptions!$H$24&amp;Assumptions!$H$15&amp;"Total cost",Fuel_prices!$G$7:$G$1365,0),MATCH(YEAR(BG3),Fuel_prices!$H$6:$AI$6,0)),0))</f>
        <v>0</v>
      </c>
      <c r="BH127" s="754">
        <f ca="1">+IF(IFERROR(INDEX(Fuel_prices!$H$7:$AI$1365,MATCH(Assumptions!$H$24&amp;Assumptions!$H$15&amp;"Total cost",Fuel_prices!$G$7:$G$1365,0),MATCH(YEAR(BH3),Fuel_prices!$H$6:$AI$6,0)),0)=0,BG127,IFERROR(INDEX(Fuel_prices!$H$7:$AI$1365,MATCH(Assumptions!$H$24&amp;Assumptions!$H$15&amp;"Total cost",Fuel_prices!$G$7:$G$1365,0),MATCH(YEAR(BH3),Fuel_prices!$H$6:$AI$6,0)),0))</f>
        <v>0</v>
      </c>
      <c r="BI127" s="754">
        <f ca="1">+IF(IFERROR(INDEX(Fuel_prices!$H$7:$AI$1365,MATCH(Assumptions!$H$24&amp;Assumptions!$H$15&amp;"Total cost",Fuel_prices!$G$7:$G$1365,0),MATCH(YEAR(BI3),Fuel_prices!$H$6:$AI$6,0)),0)=0,BH127,IFERROR(INDEX(Fuel_prices!$H$7:$AI$1365,MATCH(Assumptions!$H$24&amp;Assumptions!$H$15&amp;"Total cost",Fuel_prices!$G$7:$G$1365,0),MATCH(YEAR(BI3),Fuel_prices!$H$6:$AI$6,0)),0))</f>
        <v>0</v>
      </c>
      <c r="BJ127" s="754">
        <f ca="1">+IF(IFERROR(INDEX(Fuel_prices!$H$7:$AI$1365,MATCH(Assumptions!$H$24&amp;Assumptions!$H$15&amp;"Total cost",Fuel_prices!$G$7:$G$1365,0),MATCH(YEAR(BJ3),Fuel_prices!$H$6:$AI$6,0)),0)=0,BI127,IFERROR(INDEX(Fuel_prices!$H$7:$AI$1365,MATCH(Assumptions!$H$24&amp;Assumptions!$H$15&amp;"Total cost",Fuel_prices!$G$7:$G$1365,0),MATCH(YEAR(BJ3),Fuel_prices!$H$6:$AI$6,0)),0))</f>
        <v>0</v>
      </c>
      <c r="BK127" s="754">
        <f ca="1">+IF(IFERROR(INDEX(Fuel_prices!$H$7:$AI$1365,MATCH(Assumptions!$H$24&amp;Assumptions!$H$15&amp;"Total cost",Fuel_prices!$G$7:$G$1365,0),MATCH(YEAR(BK3),Fuel_prices!$H$6:$AI$6,0)),0)=0,BJ127,IFERROR(INDEX(Fuel_prices!$H$7:$AI$1365,MATCH(Assumptions!$H$24&amp;Assumptions!$H$15&amp;"Total cost",Fuel_prices!$G$7:$G$1365,0),MATCH(YEAR(BK3),Fuel_prices!$H$6:$AI$6,0)),0))</f>
        <v>0</v>
      </c>
      <c r="BL127" s="754">
        <f ca="1">+IF(IFERROR(INDEX(Fuel_prices!$H$7:$AI$1365,MATCH(Assumptions!$H$24&amp;Assumptions!$H$15&amp;"Total cost",Fuel_prices!$G$7:$G$1365,0),MATCH(YEAR(BL3),Fuel_prices!$H$6:$AI$6,0)),0)=0,BK127,IFERROR(INDEX(Fuel_prices!$H$7:$AI$1365,MATCH(Assumptions!$H$24&amp;Assumptions!$H$15&amp;"Total cost",Fuel_prices!$G$7:$G$1365,0),MATCH(YEAR(BL3),Fuel_prices!$H$6:$AI$6,0)),0))</f>
        <v>0</v>
      </c>
      <c r="BM127" s="754">
        <f ca="1">+IF(IFERROR(INDEX(Fuel_prices!$H$7:$AI$1365,MATCH(Assumptions!$H$24&amp;Assumptions!$H$15&amp;"Total cost",Fuel_prices!$G$7:$G$1365,0),MATCH(YEAR(BM3),Fuel_prices!$H$6:$AI$6,0)),0)=0,BL127,IFERROR(INDEX(Fuel_prices!$H$7:$AI$1365,MATCH(Assumptions!$H$24&amp;Assumptions!$H$15&amp;"Total cost",Fuel_prices!$G$7:$G$1365,0),MATCH(YEAR(BM3),Fuel_prices!$H$6:$AI$6,0)),0))</f>
        <v>0</v>
      </c>
      <c r="BN127" s="754">
        <f ca="1">+IF(IFERROR(INDEX(Fuel_prices!$H$7:$AI$1365,MATCH(Assumptions!$H$24&amp;Assumptions!$H$15&amp;"Total cost",Fuel_prices!$G$7:$G$1365,0),MATCH(YEAR(BN3),Fuel_prices!$H$6:$AI$6,0)),0)=0,BM127,IFERROR(INDEX(Fuel_prices!$H$7:$AI$1365,MATCH(Assumptions!$H$24&amp;Assumptions!$H$15&amp;"Total cost",Fuel_prices!$G$7:$G$1365,0),MATCH(YEAR(BN3),Fuel_prices!$H$6:$AI$6,0)),0))</f>
        <v>0</v>
      </c>
      <c r="BO127" s="754">
        <f ca="1">+IF(IFERROR(INDEX(Fuel_prices!$H$7:$AI$1365,MATCH(Assumptions!$H$24&amp;Assumptions!$H$15&amp;"Total cost",Fuel_prices!$G$7:$G$1365,0),MATCH(YEAR(BO3),Fuel_prices!$H$6:$AI$6,0)),0)=0,BN127,IFERROR(INDEX(Fuel_prices!$H$7:$AI$1365,MATCH(Assumptions!$H$24&amp;Assumptions!$H$15&amp;"Total cost",Fuel_prices!$G$7:$G$1365,0),MATCH(YEAR(BO3),Fuel_prices!$H$6:$AI$6,0)),0))</f>
        <v>0</v>
      </c>
      <c r="BP127" s="754">
        <f ca="1">+IF(IFERROR(INDEX(Fuel_prices!$H$7:$AI$1365,MATCH(Assumptions!$H$24&amp;Assumptions!$H$15&amp;"Total cost",Fuel_prices!$G$7:$G$1365,0),MATCH(YEAR(BP3),Fuel_prices!$H$6:$AI$6,0)),0)=0,BO127,IFERROR(INDEX(Fuel_prices!$H$7:$AI$1365,MATCH(Assumptions!$H$24&amp;Assumptions!$H$15&amp;"Total cost",Fuel_prices!$G$7:$G$1365,0),MATCH(YEAR(BP3),Fuel_prices!$H$6:$AI$6,0)),0))</f>
        <v>0</v>
      </c>
      <c r="BQ127" s="754">
        <f ca="1">+IF(IFERROR(INDEX(Fuel_prices!$H$7:$AI$1365,MATCH(Assumptions!$H$24&amp;Assumptions!$H$15&amp;"Total cost",Fuel_prices!$G$7:$G$1365,0),MATCH(YEAR(BQ3),Fuel_prices!$H$6:$AI$6,0)),0)=0,BP127,IFERROR(INDEX(Fuel_prices!$H$7:$AI$1365,MATCH(Assumptions!$H$24&amp;Assumptions!$H$15&amp;"Total cost",Fuel_prices!$G$7:$G$1365,0),MATCH(YEAR(BQ3),Fuel_prices!$H$6:$AI$6,0)),0))</f>
        <v>0</v>
      </c>
      <c r="BR127" s="754">
        <f ca="1">+IF(IFERROR(INDEX(Fuel_prices!$H$7:$AI$1365,MATCH(Assumptions!$H$24&amp;Assumptions!$H$15&amp;"Total cost",Fuel_prices!$G$7:$G$1365,0),MATCH(YEAR(BR3),Fuel_prices!$H$6:$AI$6,0)),0)=0,BQ127,IFERROR(INDEX(Fuel_prices!$H$7:$AI$1365,MATCH(Assumptions!$H$24&amp;Assumptions!$H$15&amp;"Total cost",Fuel_prices!$G$7:$G$1365,0),MATCH(YEAR(BR3),Fuel_prices!$H$6:$AI$6,0)),0))</f>
        <v>0</v>
      </c>
      <c r="BS127" s="754">
        <f ca="1">+IF(IFERROR(INDEX(Fuel_prices!$H$7:$AI$1365,MATCH(Assumptions!$H$24&amp;Assumptions!$H$15&amp;"Total cost",Fuel_prices!$G$7:$G$1365,0),MATCH(YEAR(BS3),Fuel_prices!$H$6:$AI$6,0)),0)=0,BR127,IFERROR(INDEX(Fuel_prices!$H$7:$AI$1365,MATCH(Assumptions!$H$24&amp;Assumptions!$H$15&amp;"Total cost",Fuel_prices!$G$7:$G$1365,0),MATCH(YEAR(BS3),Fuel_prices!$H$6:$AI$6,0)),0))</f>
        <v>0</v>
      </c>
      <c r="BT127" s="754">
        <f ca="1">+IF(IFERROR(INDEX(Fuel_prices!$H$7:$AI$1365,MATCH(Assumptions!$H$24&amp;Assumptions!$H$15&amp;"Total cost",Fuel_prices!$G$7:$G$1365,0),MATCH(YEAR(BT3),Fuel_prices!$H$6:$AI$6,0)),0)=0,BS127,IFERROR(INDEX(Fuel_prices!$H$7:$AI$1365,MATCH(Assumptions!$H$24&amp;Assumptions!$H$15&amp;"Total cost",Fuel_prices!$G$7:$G$1365,0),MATCH(YEAR(BT3),Fuel_prices!$H$6:$AI$6,0)),0))</f>
        <v>0</v>
      </c>
      <c r="BU127" s="754">
        <f ca="1">+IF(IFERROR(INDEX(Fuel_prices!$H$7:$AI$1365,MATCH(Assumptions!$H$24&amp;Assumptions!$H$15&amp;"Total cost",Fuel_prices!$G$7:$G$1365,0),MATCH(YEAR(BU3),Fuel_prices!$H$6:$AI$6,0)),0)=0,BT127,IFERROR(INDEX(Fuel_prices!$H$7:$AI$1365,MATCH(Assumptions!$H$24&amp;Assumptions!$H$15&amp;"Total cost",Fuel_prices!$G$7:$G$1365,0),MATCH(YEAR(BU3),Fuel_prices!$H$6:$AI$6,0)),0))</f>
        <v>0</v>
      </c>
      <c r="BV127" s="754">
        <f ca="1">+IF(IFERROR(INDEX(Fuel_prices!$H$7:$AI$1365,MATCH(Assumptions!$H$24&amp;Assumptions!$H$15&amp;"Total cost",Fuel_prices!$G$7:$G$1365,0),MATCH(YEAR(BV3),Fuel_prices!$H$6:$AI$6,0)),0)=0,BU127,IFERROR(INDEX(Fuel_prices!$H$7:$AI$1365,MATCH(Assumptions!$H$24&amp;Assumptions!$H$15&amp;"Total cost",Fuel_prices!$G$7:$G$1365,0),MATCH(YEAR(BV3),Fuel_prices!$H$6:$AI$6,0)),0))</f>
        <v>0</v>
      </c>
      <c r="BW127" s="754">
        <f ca="1">+IF(IFERROR(INDEX(Fuel_prices!$H$7:$AI$1365,MATCH(Assumptions!$H$24&amp;Assumptions!$H$15&amp;"Total cost",Fuel_prices!$G$7:$G$1365,0),MATCH(YEAR(BW3),Fuel_prices!$H$6:$AI$6,0)),0)=0,BV127,IFERROR(INDEX(Fuel_prices!$H$7:$AI$1365,MATCH(Assumptions!$H$24&amp;Assumptions!$H$15&amp;"Total cost",Fuel_prices!$G$7:$G$1365,0),MATCH(YEAR(BW3),Fuel_prices!$H$6:$AI$6,0)),0))</f>
        <v>0</v>
      </c>
      <c r="BX127" s="754">
        <f ca="1">+IF(IFERROR(INDEX(Fuel_prices!$H$7:$AI$1365,MATCH(Assumptions!$H$24&amp;Assumptions!$H$15&amp;"Total cost",Fuel_prices!$G$7:$G$1365,0),MATCH(YEAR(BX3),Fuel_prices!$H$6:$AI$6,0)),0)=0,BW127,IFERROR(INDEX(Fuel_prices!$H$7:$AI$1365,MATCH(Assumptions!$H$24&amp;Assumptions!$H$15&amp;"Total cost",Fuel_prices!$G$7:$G$1365,0),MATCH(YEAR(BX3),Fuel_prices!$H$6:$AI$6,0)),0))</f>
        <v>0</v>
      </c>
      <c r="BY127" s="754">
        <f ca="1">+IF(IFERROR(INDEX(Fuel_prices!$H$7:$AI$1365,MATCH(Assumptions!$H$24&amp;Assumptions!$H$15&amp;"Total cost",Fuel_prices!$G$7:$G$1365,0),MATCH(YEAR(BY3),Fuel_prices!$H$6:$AI$6,0)),0)=0,BX127,IFERROR(INDEX(Fuel_prices!$H$7:$AI$1365,MATCH(Assumptions!$H$24&amp;Assumptions!$H$15&amp;"Total cost",Fuel_prices!$G$7:$G$1365,0),MATCH(YEAR(BY3),Fuel_prices!$H$6:$AI$6,0)),0))</f>
        <v>0</v>
      </c>
    </row>
    <row r="128" spans="1:77" outlineLevel="1"/>
    <row r="129" spans="1:6" s="19" customFormat="1" outlineLevel="1">
      <c r="A129"/>
      <c r="B129" s="18" t="str">
        <f>+B32</f>
        <v>1.4 Financing of CAPEX</v>
      </c>
    </row>
    <row r="130" spans="1:6" outlineLevel="1"/>
    <row r="131" spans="1:6" outlineLevel="1"/>
    <row r="132" spans="1:6" outlineLevel="1">
      <c r="C132" s="68" t="str">
        <f>+Assumptions!H78</f>
        <v>General</v>
      </c>
      <c r="D132" s="41"/>
      <c r="E132" t="s">
        <v>456</v>
      </c>
      <c r="F132" s="80" t="str">
        <f>+Assumptions!$G$8</f>
        <v>USD</v>
      </c>
    </row>
    <row r="133" spans="1:6" outlineLevel="1">
      <c r="C133" s="31"/>
      <c r="D133" s="31"/>
    </row>
    <row r="134" spans="1:6" ht="15" outlineLevel="1">
      <c r="C134" s="28"/>
      <c r="D134" s="28"/>
      <c r="E134" s="22" t="s">
        <v>457</v>
      </c>
    </row>
    <row r="135" spans="1:6" outlineLevel="1">
      <c r="C135" s="68" t="str">
        <f>+C132</f>
        <v>General</v>
      </c>
      <c r="D135" s="28"/>
      <c r="E135" t="s">
        <v>458</v>
      </c>
      <c r="F135" s="80" t="str">
        <f>+Assumptions!$G$8</f>
        <v>USD</v>
      </c>
    </row>
    <row r="136" spans="1:6" outlineLevel="1">
      <c r="C136" s="31"/>
      <c r="D136" s="31"/>
    </row>
    <row r="137" spans="1:6" ht="15" outlineLevel="1">
      <c r="C137" s="28"/>
      <c r="D137" s="28"/>
      <c r="E137" s="22" t="s">
        <v>459</v>
      </c>
    </row>
    <row r="138" spans="1:6" outlineLevel="1">
      <c r="C138" s="68" t="str">
        <f>+C132</f>
        <v>General</v>
      </c>
      <c r="D138" s="28"/>
      <c r="E138" t="s">
        <v>458</v>
      </c>
      <c r="F138" s="80" t="str">
        <f>+Assumptions!$G$8</f>
        <v>USD</v>
      </c>
    </row>
    <row r="139" spans="1:6"/>
    <row r="140" spans="1:6" s="69" customFormat="1" ht="15"/>
    <row r="141" spans="1:6" s="66" customFormat="1" ht="15">
      <c r="A141" s="66" t="str">
        <f>+Assumptions!B114</f>
        <v>2.0 Ports</v>
      </c>
    </row>
    <row r="142" spans="1:6" s="19" customFormat="1" outlineLevel="1">
      <c r="A142"/>
      <c r="B142" s="18" t="str">
        <f>+Assumptions!C119</f>
        <v>2.2 CAPEX - Storage</v>
      </c>
    </row>
    <row r="143" spans="1:6" outlineLevel="1"/>
    <row r="144" spans="1:6" ht="15" outlineLevel="1">
      <c r="E144" s="22" t="s">
        <v>460</v>
      </c>
    </row>
    <row r="145" spans="1:6" outlineLevel="1">
      <c r="C145" s="116" t="str">
        <f>+Assumptions!H133</f>
        <v>General</v>
      </c>
      <c r="E145" t="s">
        <v>447</v>
      </c>
      <c r="F145" s="80" t="s">
        <v>448</v>
      </c>
    </row>
    <row r="146" spans="1:6" outlineLevel="1">
      <c r="C146" s="116" t="str">
        <f>+Assumptions!H139</f>
        <v>General</v>
      </c>
      <c r="E146" t="s">
        <v>449</v>
      </c>
      <c r="F146" s="80" t="s">
        <v>448</v>
      </c>
    </row>
    <row r="147" spans="1:6" outlineLevel="1">
      <c r="F147" s="23"/>
    </row>
    <row r="148" spans="1:6" s="19" customFormat="1" ht="12.75" outlineLevel="1">
      <c r="A148" s="771"/>
      <c r="B148" s="18" t="str">
        <f>+Assumptions!C146</f>
        <v>2.3 CAPEX - Barge</v>
      </c>
    </row>
    <row r="149" spans="1:6" outlineLevel="1">
      <c r="F149" s="23"/>
    </row>
    <row r="150" spans="1:6" ht="15" outlineLevel="1">
      <c r="E150" s="22" t="s">
        <v>461</v>
      </c>
    </row>
    <row r="151" spans="1:6" outlineLevel="1">
      <c r="C151" s="116" t="str">
        <f>+Assumptions!H159</f>
        <v>General</v>
      </c>
      <c r="E151" t="s">
        <v>447</v>
      </c>
      <c r="F151" s="80" t="s">
        <v>448</v>
      </c>
    </row>
    <row r="152" spans="1:6" outlineLevel="1">
      <c r="C152" s="116" t="str">
        <f>+Assumptions!H165</f>
        <v>General</v>
      </c>
      <c r="E152" t="s">
        <v>449</v>
      </c>
      <c r="F152" s="80" t="s">
        <v>448</v>
      </c>
    </row>
    <row r="153" spans="1:6" outlineLevel="1"/>
    <row r="154" spans="1:6" s="19" customFormat="1" ht="12.75" outlineLevel="1">
      <c r="A154" s="771"/>
      <c r="B154" s="18" t="str">
        <f>+Assumptions!C172</f>
        <v>2.4 OPEX</v>
      </c>
    </row>
    <row r="155" spans="1:6" outlineLevel="1"/>
    <row r="156" spans="1:6" ht="15" outlineLevel="1">
      <c r="E156" s="22" t="s">
        <v>450</v>
      </c>
    </row>
    <row r="157" spans="1:6" outlineLevel="1">
      <c r="C157" s="116" t="str">
        <f>+Assumptions!H175</f>
        <v>General</v>
      </c>
      <c r="E157" t="str">
        <f>+Assumptions!D176</f>
        <v>(Storage) Total OPEX</v>
      </c>
      <c r="F157" s="80" t="s">
        <v>448</v>
      </c>
    </row>
    <row r="158" spans="1:6" outlineLevel="1">
      <c r="C158" s="116" t="str">
        <f>+C157</f>
        <v>General</v>
      </c>
      <c r="E158" t="str">
        <f>+Assumptions!D178</f>
        <v>(Barge) Total OPEX</v>
      </c>
      <c r="F158" s="80" t="s">
        <v>448</v>
      </c>
    </row>
    <row r="159" spans="1:6" outlineLevel="1"/>
    <row r="160" spans="1:6" outlineLevel="1"/>
    <row r="161" spans="1:6" s="19" customFormat="1" ht="12.75" outlineLevel="1">
      <c r="A161" s="771"/>
      <c r="B161" s="18" t="str">
        <f>+Assumptions!C182</f>
        <v>2.5 Financing - Storage</v>
      </c>
    </row>
    <row r="162" spans="1:6" outlineLevel="1"/>
    <row r="163" spans="1:6" outlineLevel="1"/>
    <row r="164" spans="1:6" outlineLevel="1">
      <c r="C164" s="68" t="str">
        <f>+Assumptions!H184</f>
        <v>General</v>
      </c>
      <c r="E164" t="s">
        <v>456</v>
      </c>
      <c r="F164" s="80" t="str">
        <f>+Assumptions!$G$8</f>
        <v>USD</v>
      </c>
    </row>
    <row r="165" spans="1:6" outlineLevel="1">
      <c r="C165" s="31"/>
      <c r="D165" s="31"/>
    </row>
    <row r="166" spans="1:6" ht="15" outlineLevel="1">
      <c r="C166" s="28"/>
      <c r="D166" s="28"/>
      <c r="E166" s="22" t="s">
        <v>457</v>
      </c>
    </row>
    <row r="167" spans="1:6" outlineLevel="1">
      <c r="C167" s="68" t="str">
        <f>+C164</f>
        <v>General</v>
      </c>
      <c r="D167" s="28"/>
      <c r="E167" t="s">
        <v>458</v>
      </c>
      <c r="F167" s="80" t="str">
        <f>+Assumptions!$G$8</f>
        <v>USD</v>
      </c>
    </row>
    <row r="168" spans="1:6" outlineLevel="1">
      <c r="C168" s="31"/>
      <c r="D168" s="31"/>
    </row>
    <row r="169" spans="1:6" ht="15" outlineLevel="1">
      <c r="C169" s="28"/>
      <c r="D169" s="31"/>
      <c r="E169" s="22" t="s">
        <v>459</v>
      </c>
    </row>
    <row r="170" spans="1:6" outlineLevel="1">
      <c r="C170" s="68" t="str">
        <f>+C164</f>
        <v>General</v>
      </c>
      <c r="D170" s="31"/>
      <c r="E170" t="s">
        <v>458</v>
      </c>
      <c r="F170" s="80" t="str">
        <f>+Assumptions!$G$8</f>
        <v>USD</v>
      </c>
    </row>
    <row r="171" spans="1:6" outlineLevel="1">
      <c r="F171" s="23"/>
    </row>
    <row r="172" spans="1:6" s="19" customFormat="1" ht="12.75" outlineLevel="1">
      <c r="A172" s="771"/>
      <c r="B172" s="18" t="str">
        <f>+Assumptions!C220</f>
        <v>2.6 Financing - Barge</v>
      </c>
    </row>
    <row r="173" spans="1:6" outlineLevel="1"/>
    <row r="174" spans="1:6" outlineLevel="1"/>
    <row r="175" spans="1:6" outlineLevel="1">
      <c r="C175" s="68" t="str">
        <f>+Assumptions!H222</f>
        <v>General</v>
      </c>
      <c r="E175" t="s">
        <v>456</v>
      </c>
      <c r="F175" s="80" t="str">
        <f>+Assumptions!$G$8</f>
        <v>USD</v>
      </c>
    </row>
    <row r="176" spans="1:6" outlineLevel="1"/>
    <row r="177" spans="1:57" ht="15" outlineLevel="1">
      <c r="C177" s="28"/>
      <c r="D177" s="28"/>
      <c r="E177" s="22" t="s">
        <v>457</v>
      </c>
    </row>
    <row r="178" spans="1:57" outlineLevel="1">
      <c r="C178" s="68" t="str">
        <f>+C175</f>
        <v>General</v>
      </c>
      <c r="D178" s="28"/>
      <c r="E178" t="s">
        <v>458</v>
      </c>
      <c r="F178" s="80" t="str">
        <f>+Assumptions!$G$8</f>
        <v>USD</v>
      </c>
    </row>
    <row r="179" spans="1:57" outlineLevel="1">
      <c r="D179" s="28"/>
      <c r="F179" s="80"/>
    </row>
    <row r="180" spans="1:57" ht="15" outlineLevel="1">
      <c r="C180" s="28"/>
      <c r="D180" s="31"/>
      <c r="E180" s="22" t="s">
        <v>459</v>
      </c>
    </row>
    <row r="181" spans="1:57" outlineLevel="1">
      <c r="C181" s="68" t="str">
        <f>+C175</f>
        <v>General</v>
      </c>
      <c r="D181" s="31"/>
      <c r="E181" t="s">
        <v>458</v>
      </c>
      <c r="F181" s="80" t="str">
        <f>+Assumptions!$G$8</f>
        <v>USD</v>
      </c>
    </row>
    <row r="182" spans="1:57"/>
    <row r="183" spans="1:57" s="66" customFormat="1" ht="15">
      <c r="A183" s="66" t="str">
        <f>+Assumptions!B259</f>
        <v>3.0 Vessel</v>
      </c>
    </row>
    <row r="184" spans="1:57" s="778" customFormat="1" outlineLevel="1">
      <c r="A184"/>
      <c r="B184" s="779" t="str">
        <f>+Assumptions!C291</f>
        <v>3.2 CAPEX</v>
      </c>
      <c r="C184" s="777"/>
      <c r="D184" s="777"/>
      <c r="E184" s="777"/>
      <c r="F184" s="777"/>
      <c r="H184" s="780"/>
      <c r="I184" s="780"/>
      <c r="J184" s="780"/>
      <c r="K184" s="780"/>
      <c r="L184" s="780"/>
      <c r="M184" s="780"/>
      <c r="N184" s="780"/>
      <c r="O184" s="780"/>
      <c r="P184" s="780"/>
      <c r="Q184" s="780"/>
      <c r="R184" s="780"/>
      <c r="S184" s="780"/>
      <c r="T184" s="780"/>
      <c r="U184" s="780"/>
      <c r="V184" s="780"/>
      <c r="W184" s="780"/>
      <c r="X184" s="780"/>
      <c r="Y184" s="780"/>
      <c r="Z184" s="780"/>
      <c r="AA184" s="780"/>
      <c r="AB184" s="780"/>
      <c r="AC184" s="780"/>
      <c r="AD184" s="780"/>
      <c r="AE184" s="780"/>
      <c r="AF184" s="780"/>
      <c r="AG184" s="780"/>
      <c r="AH184" s="780"/>
      <c r="AI184" s="780"/>
      <c r="AJ184" s="780"/>
      <c r="AK184" s="780"/>
      <c r="AL184" s="780"/>
      <c r="AM184" s="780"/>
      <c r="AN184" s="780"/>
      <c r="AO184" s="780"/>
      <c r="AP184" s="780"/>
      <c r="AQ184" s="780"/>
      <c r="AR184" s="780"/>
      <c r="AS184" s="780"/>
      <c r="AT184" s="780"/>
      <c r="AU184" s="780"/>
      <c r="AV184" s="780"/>
      <c r="AW184" s="780"/>
      <c r="AX184" s="780"/>
      <c r="AY184" s="780"/>
      <c r="AZ184" s="780"/>
      <c r="BA184" s="780"/>
      <c r="BB184" s="780"/>
      <c r="BC184" s="780"/>
      <c r="BD184" s="780"/>
      <c r="BE184" s="780"/>
    </row>
    <row r="185" spans="1:57" outlineLevel="1"/>
    <row r="186" spans="1:57" ht="15" outlineLevel="1">
      <c r="E186" s="22" t="s">
        <v>446</v>
      </c>
    </row>
    <row r="187" spans="1:57" outlineLevel="1">
      <c r="C187" s="116" t="str">
        <f>+Assumptions!H304</f>
        <v>General</v>
      </c>
      <c r="E187" t="s">
        <v>447</v>
      </c>
      <c r="F187" s="80" t="s">
        <v>448</v>
      </c>
    </row>
    <row r="188" spans="1:57" outlineLevel="1">
      <c r="C188" s="116" t="str">
        <f>+Assumptions!H311</f>
        <v>General</v>
      </c>
      <c r="E188" t="s">
        <v>449</v>
      </c>
      <c r="F188" s="80" t="s">
        <v>448</v>
      </c>
    </row>
    <row r="189" spans="1:57" outlineLevel="1"/>
    <row r="190" spans="1:57" s="778" customFormat="1" outlineLevel="1">
      <c r="A190"/>
      <c r="B190" s="779" t="str">
        <f>+Assumptions!C318</f>
        <v>3.3 OPEX</v>
      </c>
      <c r="C190" s="777"/>
      <c r="D190" s="777"/>
      <c r="E190" s="777"/>
      <c r="F190" s="777"/>
      <c r="H190" s="780"/>
      <c r="I190" s="780"/>
      <c r="J190" s="780"/>
      <c r="K190" s="780"/>
      <c r="L190" s="780"/>
      <c r="M190" s="780"/>
      <c r="N190" s="780"/>
      <c r="O190" s="780"/>
      <c r="P190" s="780"/>
      <c r="Q190" s="780"/>
      <c r="R190" s="780"/>
      <c r="S190" s="780"/>
      <c r="T190" s="780"/>
      <c r="U190" s="780"/>
      <c r="V190" s="780"/>
      <c r="W190" s="780"/>
      <c r="X190" s="780"/>
      <c r="Y190" s="780"/>
      <c r="Z190" s="780"/>
      <c r="AA190" s="780"/>
      <c r="AB190" s="780"/>
      <c r="AC190" s="780"/>
      <c r="AD190" s="780"/>
      <c r="AE190" s="780"/>
      <c r="AF190" s="780"/>
      <c r="AG190" s="780"/>
      <c r="AH190" s="780"/>
      <c r="AI190" s="780"/>
      <c r="AJ190" s="780"/>
      <c r="AK190" s="780"/>
      <c r="AL190" s="780"/>
      <c r="AM190" s="780"/>
      <c r="AN190" s="780"/>
      <c r="AO190" s="780"/>
      <c r="AP190" s="780"/>
      <c r="AQ190" s="780"/>
      <c r="AR190" s="780"/>
      <c r="AS190" s="780"/>
      <c r="AT190" s="780"/>
      <c r="AU190" s="780"/>
      <c r="AV190" s="780"/>
      <c r="AW190" s="780"/>
      <c r="AX190" s="780"/>
      <c r="AY190" s="780"/>
      <c r="AZ190" s="780"/>
      <c r="BA190" s="780"/>
      <c r="BB190" s="780"/>
      <c r="BC190" s="780"/>
      <c r="BD190" s="780"/>
      <c r="BE190" s="780"/>
    </row>
    <row r="191" spans="1:57" outlineLevel="1"/>
    <row r="192" spans="1:57" ht="15" outlineLevel="1">
      <c r="C192" s="68" t="str">
        <f>+Assumptions!H321</f>
        <v>General</v>
      </c>
      <c r="E192" s="22" t="s">
        <v>450</v>
      </c>
      <c r="F192" s="80" t="s">
        <v>448</v>
      </c>
    </row>
    <row r="193" spans="1:57" outlineLevel="1"/>
    <row r="194" spans="1:57" outlineLevel="1"/>
    <row r="195" spans="1:57" s="778" customFormat="1" outlineLevel="1">
      <c r="A195"/>
      <c r="B195" s="779" t="str">
        <f>+Assumptions!C326</f>
        <v>3.4 Financing</v>
      </c>
      <c r="C195" s="777"/>
      <c r="D195" s="777"/>
      <c r="E195" s="777"/>
      <c r="F195" s="777"/>
      <c r="H195" s="780"/>
      <c r="I195" s="780"/>
      <c r="J195" s="780"/>
      <c r="K195" s="780"/>
      <c r="L195" s="780"/>
      <c r="M195" s="780"/>
      <c r="N195" s="780"/>
      <c r="O195" s="780"/>
      <c r="P195" s="780"/>
      <c r="Q195" s="780"/>
      <c r="R195" s="780"/>
      <c r="S195" s="780"/>
      <c r="T195" s="780"/>
      <c r="U195" s="780"/>
      <c r="V195" s="780"/>
      <c r="W195" s="780"/>
      <c r="X195" s="780"/>
      <c r="Y195" s="780"/>
      <c r="Z195" s="780"/>
      <c r="AA195" s="780"/>
      <c r="AB195" s="780"/>
      <c r="AC195" s="780"/>
      <c r="AD195" s="780"/>
      <c r="AE195" s="780"/>
      <c r="AF195" s="780"/>
      <c r="AG195" s="780"/>
      <c r="AH195" s="780"/>
      <c r="AI195" s="780"/>
      <c r="AJ195" s="780"/>
      <c r="AK195" s="780"/>
      <c r="AL195" s="780"/>
      <c r="AM195" s="780"/>
      <c r="AN195" s="780"/>
      <c r="AO195" s="780"/>
      <c r="AP195" s="780"/>
      <c r="AQ195" s="780"/>
      <c r="AR195" s="780"/>
      <c r="AS195" s="780"/>
      <c r="AT195" s="780"/>
      <c r="AU195" s="780"/>
      <c r="AV195" s="780"/>
      <c r="AW195" s="780"/>
      <c r="AX195" s="780"/>
      <c r="AY195" s="780"/>
      <c r="AZ195" s="780"/>
      <c r="BA195" s="780"/>
      <c r="BB195" s="780"/>
      <c r="BC195" s="780"/>
      <c r="BD195" s="780"/>
      <c r="BE195" s="780"/>
    </row>
    <row r="196" spans="1:57" s="771" customFormat="1" outlineLevel="1">
      <c r="B196"/>
      <c r="C196"/>
      <c r="D196"/>
      <c r="E196"/>
      <c r="F196"/>
    </row>
    <row r="197" spans="1:57" outlineLevel="1"/>
    <row r="198" spans="1:57" outlineLevel="1">
      <c r="C198" s="68" t="str">
        <f>+Assumptions!H328</f>
        <v>General</v>
      </c>
      <c r="D198" s="41"/>
      <c r="E198" t="s">
        <v>456</v>
      </c>
      <c r="F198" s="80" t="str">
        <f>+Assumptions!$G$8</f>
        <v>USD</v>
      </c>
    </row>
    <row r="199" spans="1:57" outlineLevel="1"/>
    <row r="200" spans="1:57" ht="15" outlineLevel="1">
      <c r="C200" s="28"/>
      <c r="D200" s="28"/>
      <c r="E200" s="22" t="s">
        <v>457</v>
      </c>
    </row>
    <row r="201" spans="1:57" outlineLevel="1">
      <c r="C201" s="68" t="str">
        <f>+C198</f>
        <v>General</v>
      </c>
      <c r="D201" s="28"/>
      <c r="E201" t="s">
        <v>458</v>
      </c>
      <c r="F201" s="80" t="str">
        <f>+Assumptions!$G$8</f>
        <v>USD</v>
      </c>
    </row>
    <row r="202" spans="1:57" outlineLevel="1">
      <c r="C202" s="31"/>
      <c r="D202" s="31"/>
    </row>
    <row r="203" spans="1:57" ht="15" outlineLevel="1">
      <c r="C203" s="28"/>
      <c r="D203" s="28"/>
      <c r="E203" s="22" t="s">
        <v>459</v>
      </c>
    </row>
    <row r="204" spans="1:57" outlineLevel="1">
      <c r="C204" s="68" t="str">
        <f>+C198</f>
        <v>General</v>
      </c>
      <c r="D204" s="28"/>
      <c r="E204" t="s">
        <v>458</v>
      </c>
      <c r="F204" s="80" t="str">
        <f>+Assumptions!$G$8</f>
        <v>USD</v>
      </c>
    </row>
  </sheetData>
  <conditionalFormatting sqref="H13:BY13">
    <cfRule type="expression" dxfId="92" priority="146">
      <formula>$C13="General"</formula>
    </cfRule>
  </conditionalFormatting>
  <conditionalFormatting sqref="H19:BY20">
    <cfRule type="expression" dxfId="91" priority="46">
      <formula>$C19="General"</formula>
    </cfRule>
  </conditionalFormatting>
  <conditionalFormatting sqref="H25:BY25">
    <cfRule type="expression" dxfId="90" priority="45">
      <formula>$C25="General"</formula>
    </cfRule>
  </conditionalFormatting>
  <conditionalFormatting sqref="H29:BY30">
    <cfRule type="expression" dxfId="89" priority="48">
      <formula>$C29="General"</formula>
    </cfRule>
  </conditionalFormatting>
  <conditionalFormatting sqref="H35:BY35">
    <cfRule type="expression" dxfId="88" priority="44">
      <formula>$C35="General"</formula>
    </cfRule>
  </conditionalFormatting>
  <conditionalFormatting sqref="H40:BY40">
    <cfRule type="expression" dxfId="87" priority="43">
      <formula>$C40="General"</formula>
    </cfRule>
  </conditionalFormatting>
  <conditionalFormatting sqref="H43:BY43">
    <cfRule type="expression" dxfId="86" priority="42">
      <formula>$C43="General"</formula>
    </cfRule>
  </conditionalFormatting>
  <conditionalFormatting sqref="H52:BY53">
    <cfRule type="expression" dxfId="85" priority="40">
      <formula>$C52="General"</formula>
    </cfRule>
  </conditionalFormatting>
  <conditionalFormatting sqref="H58:BY59">
    <cfRule type="expression" dxfId="84" priority="38">
      <formula>$C58="General"</formula>
    </cfRule>
  </conditionalFormatting>
  <conditionalFormatting sqref="H64:BY65">
    <cfRule type="expression" dxfId="83" priority="36">
      <formula>$C64="General"</formula>
    </cfRule>
  </conditionalFormatting>
  <conditionalFormatting sqref="H71:BY71">
    <cfRule type="expression" dxfId="82" priority="35">
      <formula>$C71="General"</formula>
    </cfRule>
  </conditionalFormatting>
  <conditionalFormatting sqref="H74:BY74">
    <cfRule type="expression" dxfId="81" priority="34">
      <formula>$C74="General"</formula>
    </cfRule>
  </conditionalFormatting>
  <conditionalFormatting sqref="H77:BY77">
    <cfRule type="expression" dxfId="80" priority="33">
      <formula>$C77="General"</formula>
    </cfRule>
  </conditionalFormatting>
  <conditionalFormatting sqref="H82:BY82">
    <cfRule type="expression" dxfId="79" priority="32">
      <formula>$C82="General"</formula>
    </cfRule>
  </conditionalFormatting>
  <conditionalFormatting sqref="H85:BY85">
    <cfRule type="expression" dxfId="78" priority="31">
      <formula>$C85="General"</formula>
    </cfRule>
  </conditionalFormatting>
  <conditionalFormatting sqref="H88:BY88">
    <cfRule type="expression" dxfId="77" priority="30">
      <formula>$C88="General"</formula>
    </cfRule>
  </conditionalFormatting>
  <conditionalFormatting sqref="H94:BY95">
    <cfRule type="expression" dxfId="76" priority="28">
      <formula>$C94="General"</formula>
    </cfRule>
  </conditionalFormatting>
  <conditionalFormatting sqref="H99:BY99">
    <cfRule type="expression" dxfId="75" priority="27">
      <formula>$C99="General"</formula>
    </cfRule>
  </conditionalFormatting>
  <conditionalFormatting sqref="H105:BY105">
    <cfRule type="expression" dxfId="74" priority="26">
      <formula>$C105="General"</formula>
    </cfRule>
  </conditionalFormatting>
  <conditionalFormatting sqref="H109:BY109">
    <cfRule type="expression" dxfId="73" priority="25">
      <formula>$C109="General"</formula>
    </cfRule>
  </conditionalFormatting>
  <conditionalFormatting sqref="H113:BY113">
    <cfRule type="expression" dxfId="72" priority="24">
      <formula>$C113="General"</formula>
    </cfRule>
  </conditionalFormatting>
  <conditionalFormatting sqref="H121:BY122">
    <cfRule type="expression" dxfId="71" priority="22">
      <formula>$C121="General"</formula>
    </cfRule>
  </conditionalFormatting>
  <conditionalFormatting sqref="H127:BY127">
    <cfRule type="expression" dxfId="70" priority="329">
      <formula>#REF!="General"</formula>
    </cfRule>
  </conditionalFormatting>
  <conditionalFormatting sqref="H132:BY132">
    <cfRule type="expression" dxfId="69" priority="21">
      <formula>$C132="General"</formula>
    </cfRule>
  </conditionalFormatting>
  <conditionalFormatting sqref="H135:BY135">
    <cfRule type="expression" dxfId="68" priority="20">
      <formula>$C135="General"</formula>
    </cfRule>
  </conditionalFormatting>
  <conditionalFormatting sqref="H138:BY138">
    <cfRule type="expression" dxfId="67" priority="19">
      <formula>$C138="General"</formula>
    </cfRule>
  </conditionalFormatting>
  <conditionalFormatting sqref="H145:BY146">
    <cfRule type="expression" dxfId="66" priority="17">
      <formula>$C145="General"</formula>
    </cfRule>
  </conditionalFormatting>
  <conditionalFormatting sqref="H151:BY152">
    <cfRule type="expression" dxfId="65" priority="15">
      <formula>$C151="General"</formula>
    </cfRule>
  </conditionalFormatting>
  <conditionalFormatting sqref="H157:BY158">
    <cfRule type="expression" dxfId="64" priority="13">
      <formula>$C157="General"</formula>
    </cfRule>
  </conditionalFormatting>
  <conditionalFormatting sqref="H164:BY164">
    <cfRule type="expression" dxfId="63" priority="12">
      <formula>$C164="General"</formula>
    </cfRule>
  </conditionalFormatting>
  <conditionalFormatting sqref="H167:BY167">
    <cfRule type="expression" dxfId="62" priority="11">
      <formula>$C167="General"</formula>
    </cfRule>
  </conditionalFormatting>
  <conditionalFormatting sqref="H170:BY170">
    <cfRule type="expression" dxfId="61" priority="10">
      <formula>$C170="General"</formula>
    </cfRule>
  </conditionalFormatting>
  <conditionalFormatting sqref="H175:BY175">
    <cfRule type="expression" dxfId="60" priority="9">
      <formula>$C175="General"</formula>
    </cfRule>
  </conditionalFormatting>
  <conditionalFormatting sqref="H176:BY176">
    <cfRule type="expression" dxfId="59" priority="87">
      <formula>$C176="General"</formula>
    </cfRule>
  </conditionalFormatting>
  <conditionalFormatting sqref="H178:BY178">
    <cfRule type="expression" dxfId="58" priority="8">
      <formula>$C178="General"</formula>
    </cfRule>
  </conditionalFormatting>
  <conditionalFormatting sqref="H179:BY179">
    <cfRule type="expression" dxfId="57" priority="86">
      <formula>$C179="General"</formula>
    </cfRule>
  </conditionalFormatting>
  <conditionalFormatting sqref="H181:BY181">
    <cfRule type="expression" dxfId="56" priority="7">
      <formula>$C181="General"</formula>
    </cfRule>
  </conditionalFormatting>
  <conditionalFormatting sqref="H187:BY188">
    <cfRule type="expression" dxfId="55" priority="5">
      <formula>$C187="General"</formula>
    </cfRule>
  </conditionalFormatting>
  <conditionalFormatting sqref="H189:BY189">
    <cfRule type="expression" dxfId="54" priority="49">
      <formula>$C189="General"</formula>
    </cfRule>
  </conditionalFormatting>
  <conditionalFormatting sqref="H192:BY192">
    <cfRule type="expression" dxfId="53" priority="4">
      <formula>$C192="General"</formula>
    </cfRule>
  </conditionalFormatting>
  <conditionalFormatting sqref="H198:BY198">
    <cfRule type="expression" dxfId="52" priority="3">
      <formula>$C198="General"</formula>
    </cfRule>
  </conditionalFormatting>
  <conditionalFormatting sqref="H201:BY201">
    <cfRule type="expression" dxfId="51" priority="2">
      <formula>$C201="General"</formula>
    </cfRule>
  </conditionalFormatting>
  <conditionalFormatting sqref="H204:BY204">
    <cfRule type="expression" dxfId="50" priority="1">
      <formula>$C204="General"</formula>
    </cfRule>
  </conditionalFormatting>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DDD65-190D-4738-9665-76A79ABB39F1}">
  <sheetPr codeName="Sheet3">
    <tabColor theme="0" tint="-0.14999847407452621"/>
    <pageSetUpPr autoPageBreaks="0"/>
  </sheetPr>
  <dimension ref="A1:EJ1369"/>
  <sheetViews>
    <sheetView showGridLines="0" showOutlineSymbols="0" zoomScale="61" zoomScaleNormal="50" workbookViewId="0">
      <selection activeCell="C1349" sqref="C1349"/>
    </sheetView>
  </sheetViews>
  <sheetFormatPr defaultColWidth="0" defaultRowHeight="14.25" outlineLevelRow="3"/>
  <cols>
    <col min="1" max="1" width="1.625" customWidth="1"/>
    <col min="2" max="2" width="8.625" customWidth="1"/>
    <col min="3" max="3" width="41.625" bestFit="1" customWidth="1"/>
    <col min="4" max="4" width="19.375" customWidth="1"/>
    <col min="5" max="5" width="74.625" bestFit="1" customWidth="1"/>
    <col min="6" max="6" width="24.875" bestFit="1" customWidth="1"/>
    <col min="7" max="7" width="3.125" customWidth="1"/>
    <col min="8" max="8" width="27.125" style="33" bestFit="1" customWidth="1"/>
    <col min="9" max="9" width="19.625" style="33" bestFit="1" customWidth="1"/>
    <col min="10" max="10" width="20.125" style="33" bestFit="1" customWidth="1"/>
    <col min="11" max="31" width="19.125" style="33" bestFit="1" customWidth="1"/>
    <col min="32" max="33" width="17.875" style="33" bestFit="1" customWidth="1"/>
    <col min="34" max="57" width="14.75" style="33" bestFit="1" customWidth="1"/>
    <col min="58" max="77" width="14.75" bestFit="1" customWidth="1"/>
    <col min="78" max="78" width="12.125" customWidth="1"/>
    <col min="79" max="127" width="12.125" hidden="1" customWidth="1"/>
    <col min="128" max="140" width="8.625" hidden="1" customWidth="1"/>
    <col min="141" max="141" width="8.625" customWidth="1"/>
  </cols>
  <sheetData>
    <row r="1" spans="1:77" s="15" customFormat="1" ht="36" customHeight="1" thickBot="1">
      <c r="B1" s="15" t="str">
        <f ca="1">IFERROR(MID(CELL("filename",$A$1),FIND("]",CELL("filename",$A$1))+1,256),"Tab title (save and calculate to sync)")</f>
        <v>Tab title (save and calculate to sync)</v>
      </c>
    </row>
    <row r="2" spans="1:77" ht="15">
      <c r="E2" s="2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row>
    <row r="3" spans="1:77" s="29" customFormat="1" ht="15">
      <c r="A3"/>
      <c r="B3" s="71"/>
      <c r="C3"/>
      <c r="D3"/>
      <c r="F3" s="22" t="s">
        <v>442</v>
      </c>
      <c r="G3" s="22"/>
      <c r="H3" s="29">
        <f>+Assumptions!$G$11</f>
        <v>46388</v>
      </c>
      <c r="I3" s="29">
        <f>+IFERROR(IF(IF(EOMONTH(H4,0)+1&gt;=Assumptions!$G$12,0,EOMONTH(H4,0)+1)=0,"",EOMONTH(H4,0)+1),"")</f>
        <v>46753</v>
      </c>
      <c r="J3" s="29">
        <f>+IFERROR(IF(IF(EOMONTH(I4,0)+1&gt;=Assumptions!$G$12,0,EOMONTH(I4,0)+1)=0,"",EOMONTH(I4,0)+1),"")</f>
        <v>47119</v>
      </c>
      <c r="K3" s="29">
        <f>+IFERROR(IF(IF(EOMONTH(J4,0)+1&gt;=Assumptions!$G$12,0,EOMONTH(J4,0)+1)=0,"",EOMONTH(J4,0)+1),"")</f>
        <v>47484</v>
      </c>
      <c r="L3" s="29">
        <f>+IFERROR(IF(IF(EOMONTH(K4,0)+1&gt;=Assumptions!$G$12,0,EOMONTH(K4,0)+1)=0,"",EOMONTH(K4,0)+1),"")</f>
        <v>47849</v>
      </c>
      <c r="M3" s="29">
        <f>+IFERROR(IF(IF(EOMONTH(L4,0)+1&gt;=Assumptions!$G$12,0,EOMONTH(L4,0)+1)=0,"",EOMONTH(L4,0)+1),"")</f>
        <v>48214</v>
      </c>
      <c r="N3" s="29">
        <f>+IFERROR(IF(IF(EOMONTH(M4,0)+1&gt;=Assumptions!$G$12,0,EOMONTH(M4,0)+1)=0,"",EOMONTH(M4,0)+1),"")</f>
        <v>48580</v>
      </c>
      <c r="O3" s="29">
        <f>+IFERROR(IF(IF(EOMONTH(N4,0)+1&gt;=Assumptions!$G$12,0,EOMONTH(N4,0)+1)=0,"",EOMONTH(N4,0)+1),"")</f>
        <v>48945</v>
      </c>
      <c r="P3" s="29">
        <f>+IFERROR(IF(IF(EOMONTH(O4,0)+1&gt;=Assumptions!$G$12,0,EOMONTH(O4,0)+1)=0,"",EOMONTH(O4,0)+1),"")</f>
        <v>49310</v>
      </c>
      <c r="Q3" s="29">
        <f>+IFERROR(IF(IF(EOMONTH(P4,0)+1&gt;=Assumptions!$G$12,0,EOMONTH(P4,0)+1)=0,"",EOMONTH(P4,0)+1),"")</f>
        <v>49675</v>
      </c>
      <c r="R3" s="29">
        <f>+IFERROR(IF(IF(EOMONTH(Q4,0)+1&gt;=Assumptions!$G$12,0,EOMONTH(Q4,0)+1)=0,"",EOMONTH(Q4,0)+1),"")</f>
        <v>50041</v>
      </c>
      <c r="S3" s="29">
        <f>+IFERROR(IF(IF(EOMONTH(R4,0)+1&gt;=Assumptions!$G$12,0,EOMONTH(R4,0)+1)=0,"",EOMONTH(R4,0)+1),"")</f>
        <v>50406</v>
      </c>
      <c r="T3" s="29">
        <f>+IFERROR(IF(IF(EOMONTH(S4,0)+1&gt;=Assumptions!$G$12,0,EOMONTH(S4,0)+1)=0,"",EOMONTH(S4,0)+1),"")</f>
        <v>50771</v>
      </c>
      <c r="U3" s="29">
        <f>+IFERROR(IF(IF(EOMONTH(T4,0)+1&gt;=Assumptions!$G$12,0,EOMONTH(T4,0)+1)=0,"",EOMONTH(T4,0)+1),"")</f>
        <v>51136</v>
      </c>
      <c r="V3" s="29">
        <f>+IFERROR(IF(IF(EOMONTH(U4,0)+1&gt;=Assumptions!$G$12,0,EOMONTH(U4,0)+1)=0,"",EOMONTH(U4,0)+1),"")</f>
        <v>51502</v>
      </c>
      <c r="W3" s="29">
        <f>+IFERROR(IF(IF(EOMONTH(V4,0)+1&gt;=Assumptions!$G$12,0,EOMONTH(V4,0)+1)=0,"",EOMONTH(V4,0)+1),"")</f>
        <v>51867</v>
      </c>
      <c r="X3" s="29">
        <f>+IFERROR(IF(IF(EOMONTH(W4,0)+1&gt;=Assumptions!$G$12,0,EOMONTH(W4,0)+1)=0,"",EOMONTH(W4,0)+1),"")</f>
        <v>52232</v>
      </c>
      <c r="Y3" s="29">
        <f>+IFERROR(IF(IF(EOMONTH(X4,0)+1&gt;=Assumptions!$G$12,0,EOMONTH(X4,0)+1)=0,"",EOMONTH(X4,0)+1),"")</f>
        <v>52597</v>
      </c>
      <c r="Z3" s="29">
        <f>+IFERROR(IF(IF(EOMONTH(Y4,0)+1&gt;=Assumptions!$G$12,0,EOMONTH(Y4,0)+1)=0,"",EOMONTH(Y4,0)+1),"")</f>
        <v>52963</v>
      </c>
      <c r="AA3" s="29" t="str">
        <f>+IFERROR(IF(IF(EOMONTH(Z4,0)+1&gt;=Assumptions!$G$12,0,EOMONTH(Z4,0)+1)=0,"",EOMONTH(Z4,0)+1),"")</f>
        <v/>
      </c>
      <c r="AB3" s="29" t="str">
        <f>+IFERROR(IF(IF(EOMONTH(AA4,0)+1&gt;=Assumptions!$G$12,0,EOMONTH(AA4,0)+1)=0,"",EOMONTH(AA4,0)+1),"")</f>
        <v/>
      </c>
      <c r="AC3" s="29" t="str">
        <f>+IFERROR(IF(IF(EOMONTH(AB4,0)+1&gt;=Assumptions!$G$12,0,EOMONTH(AB4,0)+1)=0,"",EOMONTH(AB4,0)+1),"")</f>
        <v/>
      </c>
      <c r="AD3" s="29" t="str">
        <f>+IFERROR(IF(IF(EOMONTH(AC4,0)+1&gt;=Assumptions!$G$12,0,EOMONTH(AC4,0)+1)=0,"",EOMONTH(AC4,0)+1),"")</f>
        <v/>
      </c>
      <c r="AE3" s="29" t="str">
        <f>+IFERROR(IF(IF(EOMONTH(AD4,0)+1&gt;=Assumptions!$G$12,0,EOMONTH(AD4,0)+1)=0,"",EOMONTH(AD4,0)+1),"")</f>
        <v/>
      </c>
      <c r="AF3" s="29" t="str">
        <f>+IFERROR(IF(IF(EOMONTH(AE4,0)+1&gt;=Assumptions!$G$12,0,EOMONTH(AE4,0)+1)=0,"",EOMONTH(AE4,0)+1),"")</f>
        <v/>
      </c>
      <c r="AG3" s="29" t="str">
        <f>+IFERROR(IF(IF(EOMONTH(AF4,0)+1&gt;=Assumptions!$G$12,0,EOMONTH(AF4,0)+1)=0,"",EOMONTH(AF4,0)+1),"")</f>
        <v/>
      </c>
      <c r="AH3" s="29" t="str">
        <f>+IFERROR(IF(IF(EOMONTH(AG4,0)+1&gt;=Assumptions!$G$12,0,EOMONTH(AG4,0)+1)=0,"",EOMONTH(AG4,0)+1),"")</f>
        <v/>
      </c>
      <c r="AI3" s="29" t="str">
        <f>+IFERROR(IF(IF(EOMONTH(AH4,0)+1&gt;=Assumptions!$G$12,0,EOMONTH(AH4,0)+1)=0,"",EOMONTH(AH4,0)+1),"")</f>
        <v/>
      </c>
      <c r="AJ3" s="29" t="str">
        <f>+IFERROR(IF(IF(EOMONTH(AI4,0)+1&gt;=Assumptions!$G$12,0,EOMONTH(AI4,0)+1)=0,"",EOMONTH(AI4,0)+1),"")</f>
        <v/>
      </c>
      <c r="AK3" s="29" t="str">
        <f>+IFERROR(IF(IF(EOMONTH(AJ4,0)+1&gt;=Assumptions!$G$12,0,EOMONTH(AJ4,0)+1)=0,"",EOMONTH(AJ4,0)+1),"")</f>
        <v/>
      </c>
      <c r="AL3" s="29" t="str">
        <f>+IFERROR(IF(IF(EOMONTH(AK4,0)+1&gt;=Assumptions!$G$12,0,EOMONTH(AK4,0)+1)=0,"",EOMONTH(AK4,0)+1),"")</f>
        <v/>
      </c>
      <c r="AM3" s="29" t="str">
        <f>+IFERROR(IF(IF(EOMONTH(AL4,0)+1&gt;=Assumptions!$G$12,0,EOMONTH(AL4,0)+1)=0,"",EOMONTH(AL4,0)+1),"")</f>
        <v/>
      </c>
      <c r="AN3" s="29" t="str">
        <f>+IFERROR(IF(IF(EOMONTH(AM4,0)+1&gt;=Assumptions!$G$12,0,EOMONTH(AM4,0)+1)=0,"",EOMONTH(AM4,0)+1),"")</f>
        <v/>
      </c>
      <c r="AO3" s="29" t="str">
        <f>+IFERROR(IF(IF(EOMONTH(AN4,0)+1&gt;=Assumptions!$G$12,0,EOMONTH(AN4,0)+1)=0,"",EOMONTH(AN4,0)+1),"")</f>
        <v/>
      </c>
      <c r="AP3" s="29" t="str">
        <f>+IFERROR(IF(IF(EOMONTH(AO4,0)+1&gt;=Assumptions!$G$12,0,EOMONTH(AO4,0)+1)=0,"",EOMONTH(AO4,0)+1),"")</f>
        <v/>
      </c>
      <c r="AQ3" s="29" t="str">
        <f>+IFERROR(IF(IF(EOMONTH(AP4,0)+1&gt;=Assumptions!$G$12,0,EOMONTH(AP4,0)+1)=0,"",EOMONTH(AP4,0)+1),"")</f>
        <v/>
      </c>
      <c r="AR3" s="29" t="str">
        <f>+IFERROR(IF(IF(EOMONTH(AQ4,0)+1&gt;=Assumptions!$G$12,0,EOMONTH(AQ4,0)+1)=0,"",EOMONTH(AQ4,0)+1),"")</f>
        <v/>
      </c>
      <c r="AS3" s="29" t="str">
        <f>+IFERROR(IF(IF(EOMONTH(AR4,0)+1&gt;=Assumptions!$G$12,0,EOMONTH(AR4,0)+1)=0,"",EOMONTH(AR4,0)+1),"")</f>
        <v/>
      </c>
      <c r="AT3" s="29" t="str">
        <f>+IFERROR(IF(IF(EOMONTH(AS4,0)+1&gt;=Assumptions!$G$12,0,EOMONTH(AS4,0)+1)=0,"",EOMONTH(AS4,0)+1),"")</f>
        <v/>
      </c>
      <c r="AU3" s="29" t="str">
        <f>+IFERROR(IF(IF(EOMONTH(AT4,0)+1&gt;=Assumptions!$G$12,0,EOMONTH(AT4,0)+1)=0,"",EOMONTH(AT4,0)+1),"")</f>
        <v/>
      </c>
      <c r="AV3" s="29" t="str">
        <f>+IFERROR(IF(IF(EOMONTH(AU4,0)+1&gt;=Assumptions!$G$12,0,EOMONTH(AU4,0)+1)=0,"",EOMONTH(AU4,0)+1),"")</f>
        <v/>
      </c>
      <c r="AW3" s="29" t="str">
        <f>+IFERROR(IF(IF(EOMONTH(AV4,0)+1&gt;=Assumptions!$G$12,0,EOMONTH(AV4,0)+1)=0,"",EOMONTH(AV4,0)+1),"")</f>
        <v/>
      </c>
      <c r="AX3" s="29" t="str">
        <f>+IFERROR(IF(IF(EOMONTH(AW4,0)+1&gt;=Assumptions!$G$12,0,EOMONTH(AW4,0)+1)=0,"",EOMONTH(AW4,0)+1),"")</f>
        <v/>
      </c>
      <c r="AY3" s="29" t="str">
        <f>+IFERROR(IF(IF(EOMONTH(AX4,0)+1&gt;=Assumptions!$G$12,0,EOMONTH(AX4,0)+1)=0,"",EOMONTH(AX4,0)+1),"")</f>
        <v/>
      </c>
      <c r="AZ3" s="29" t="str">
        <f>+IFERROR(IF(IF(EOMONTH(AY4,0)+1&gt;=Assumptions!$G$12,0,EOMONTH(AY4,0)+1)=0,"",EOMONTH(AY4,0)+1),"")</f>
        <v/>
      </c>
      <c r="BA3" s="29" t="str">
        <f>+IFERROR(IF(IF(EOMONTH(AZ4,0)+1&gt;=Assumptions!$G$12,0,EOMONTH(AZ4,0)+1)=0,"",EOMONTH(AZ4,0)+1),"")</f>
        <v/>
      </c>
      <c r="BB3" s="29" t="str">
        <f>+IFERROR(IF(IF(EOMONTH(BA4,0)+1&gt;=Assumptions!$G$12,0,EOMONTH(BA4,0)+1)=0,"",EOMONTH(BA4,0)+1),"")</f>
        <v/>
      </c>
      <c r="BC3" s="29" t="str">
        <f>+IFERROR(IF(IF(EOMONTH(BB4,0)+1&gt;=Assumptions!$G$12,0,EOMONTH(BB4,0)+1)=0,"",EOMONTH(BB4,0)+1),"")</f>
        <v/>
      </c>
      <c r="BD3" s="29" t="str">
        <f>+IFERROR(IF(IF(EOMONTH(BC4,0)+1&gt;=Assumptions!$G$12,0,EOMONTH(BC4,0)+1)=0,"",EOMONTH(BC4,0)+1),"")</f>
        <v/>
      </c>
      <c r="BE3" s="29" t="str">
        <f>+IFERROR(IF(IF(EOMONTH(BD4,0)+1&gt;=Assumptions!$G$12,0,EOMONTH(BD4,0)+1)=0,"",EOMONTH(BD4,0)+1),"")</f>
        <v/>
      </c>
      <c r="BF3" s="29" t="str">
        <f>+IFERROR(IF(IF(EOMONTH(BE4,0)+1&gt;=Assumptions!$G$12,0,EOMONTH(BE4,0)+1)=0,"",EOMONTH(BE4,0)+1),"")</f>
        <v/>
      </c>
      <c r="BG3" s="29" t="str">
        <f>+IFERROR(IF(IF(EOMONTH(BF4,0)+1&gt;=Assumptions!$G$12,0,EOMONTH(BF4,0)+1)=0,"",EOMONTH(BF4,0)+1),"")</f>
        <v/>
      </c>
      <c r="BH3" s="29" t="str">
        <f>+IFERROR(IF(IF(EOMONTH(BG4,0)+1&gt;=Assumptions!$G$12,0,EOMONTH(BG4,0)+1)=0,"",EOMONTH(BG4,0)+1),"")</f>
        <v/>
      </c>
      <c r="BI3" s="29" t="str">
        <f>+IFERROR(IF(IF(EOMONTH(BH4,0)+1&gt;=Assumptions!$G$12,0,EOMONTH(BH4,0)+1)=0,"",EOMONTH(BH4,0)+1),"")</f>
        <v/>
      </c>
      <c r="BJ3" s="29" t="str">
        <f>+IFERROR(IF(IF(EOMONTH(BI4,0)+1&gt;=Assumptions!$G$12,0,EOMONTH(BI4,0)+1)=0,"",EOMONTH(BI4,0)+1),"")</f>
        <v/>
      </c>
      <c r="BK3" s="29" t="str">
        <f>+IFERROR(IF(IF(EOMONTH(BJ4,0)+1&gt;=Assumptions!$G$12,0,EOMONTH(BJ4,0)+1)=0,"",EOMONTH(BJ4,0)+1),"")</f>
        <v/>
      </c>
      <c r="BL3" s="29" t="str">
        <f>+IFERROR(IF(IF(EOMONTH(BK4,0)+1&gt;=Assumptions!$G$12,0,EOMONTH(BK4,0)+1)=0,"",EOMONTH(BK4,0)+1),"")</f>
        <v/>
      </c>
      <c r="BM3" s="29" t="str">
        <f>+IFERROR(IF(IF(EOMONTH(BL4,0)+1&gt;=Assumptions!$G$12,0,EOMONTH(BL4,0)+1)=0,"",EOMONTH(BL4,0)+1),"")</f>
        <v/>
      </c>
      <c r="BN3" s="29" t="str">
        <f>+IFERROR(IF(IF(EOMONTH(BM4,0)+1&gt;=Assumptions!$G$12,0,EOMONTH(BM4,0)+1)=0,"",EOMONTH(BM4,0)+1),"")</f>
        <v/>
      </c>
      <c r="BO3" s="29" t="str">
        <f>+IFERROR(IF(IF(EOMONTH(BN4,0)+1&gt;=Assumptions!$G$12,0,EOMONTH(BN4,0)+1)=0,"",EOMONTH(BN4,0)+1),"")</f>
        <v/>
      </c>
      <c r="BP3" s="29" t="str">
        <f>+IFERROR(IF(IF(EOMONTH(BO4,0)+1&gt;=Assumptions!$G$12,0,EOMONTH(BO4,0)+1)=0,"",EOMONTH(BO4,0)+1),"")</f>
        <v/>
      </c>
      <c r="BQ3" s="29" t="str">
        <f>+IFERROR(IF(IF(EOMONTH(BP4,0)+1&gt;=Assumptions!$G$12,0,EOMONTH(BP4,0)+1)=0,"",EOMONTH(BP4,0)+1),"")</f>
        <v/>
      </c>
      <c r="BR3" s="29" t="str">
        <f>+IFERROR(IF(IF(EOMONTH(BQ4,0)+1&gt;=Assumptions!$G$12,0,EOMONTH(BQ4,0)+1)=0,"",EOMONTH(BQ4,0)+1),"")</f>
        <v/>
      </c>
      <c r="BS3" s="29" t="str">
        <f>+IFERROR(IF(IF(EOMONTH(BR4,0)+1&gt;=Assumptions!$G$12,0,EOMONTH(BR4,0)+1)=0,"",EOMONTH(BR4,0)+1),"")</f>
        <v/>
      </c>
      <c r="BT3" s="29" t="str">
        <f>+IFERROR(IF(IF(EOMONTH(BS4,0)+1&gt;=Assumptions!$G$12,0,EOMONTH(BS4,0)+1)=0,"",EOMONTH(BS4,0)+1),"")</f>
        <v/>
      </c>
      <c r="BU3" s="29" t="str">
        <f>+IFERROR(IF(IF(EOMONTH(BT4,0)+1&gt;=Assumptions!$G$12,0,EOMONTH(BT4,0)+1)=0,"",EOMONTH(BT4,0)+1),"")</f>
        <v/>
      </c>
      <c r="BV3" s="29" t="str">
        <f>+IFERROR(IF(IF(EOMONTH(BU4,0)+1&gt;=Assumptions!$G$12,0,EOMONTH(BU4,0)+1)=0,"",EOMONTH(BU4,0)+1),"")</f>
        <v/>
      </c>
      <c r="BW3" s="29" t="str">
        <f>+IFERROR(IF(IF(EOMONTH(BV4,0)+1&gt;=Assumptions!$G$12,0,EOMONTH(BV4,0)+1)=0,"",EOMONTH(BV4,0)+1),"")</f>
        <v/>
      </c>
      <c r="BX3" s="29" t="str">
        <f>+IFERROR(IF(IF(EOMONTH(BW4,0)+1&gt;=Assumptions!$G$12,0,EOMONTH(BW4,0)+1)=0,"",EOMONTH(BW4,0)+1),"")</f>
        <v/>
      </c>
      <c r="BY3" s="29" t="str">
        <f>+IFERROR(IF(IF(EOMONTH(BX4,0)+1&gt;=Assumptions!$G$12,0,EOMONTH(BX4,0)+1)=0,"",EOMONTH(BX4,0)+1),"")</f>
        <v/>
      </c>
    </row>
    <row r="4" spans="1:77" s="29" customFormat="1" ht="15">
      <c r="A4"/>
      <c r="B4"/>
      <c r="C4"/>
      <c r="D4"/>
      <c r="F4" s="22" t="s">
        <v>443</v>
      </c>
      <c r="G4" s="22"/>
      <c r="H4" s="29">
        <f>+IFERROR(EOMONTH(H3,11),"")</f>
        <v>46752</v>
      </c>
      <c r="I4" s="29">
        <f t="shared" ref="I4" si="0">+IFERROR(EOMONTH(I3,11),"")</f>
        <v>47118</v>
      </c>
      <c r="J4" s="29">
        <f t="shared" ref="J4" si="1">+IFERROR(EOMONTH(J3,11),"")</f>
        <v>47483</v>
      </c>
      <c r="K4" s="29">
        <f t="shared" ref="K4" si="2">+IFERROR(EOMONTH(K3,11),"")</f>
        <v>47848</v>
      </c>
      <c r="L4" s="29">
        <f t="shared" ref="L4" si="3">+IFERROR(EOMONTH(L3,11),"")</f>
        <v>48213</v>
      </c>
      <c r="M4" s="29">
        <f t="shared" ref="M4" si="4">+IFERROR(EOMONTH(M3,11),"")</f>
        <v>48579</v>
      </c>
      <c r="N4" s="29">
        <f t="shared" ref="N4" si="5">+IFERROR(EOMONTH(N3,11),"")</f>
        <v>48944</v>
      </c>
      <c r="O4" s="29">
        <f t="shared" ref="O4" si="6">+IFERROR(EOMONTH(O3,11),"")</f>
        <v>49309</v>
      </c>
      <c r="P4" s="29">
        <f t="shared" ref="P4" si="7">+IFERROR(EOMONTH(P3,11),"")</f>
        <v>49674</v>
      </c>
      <c r="Q4" s="29">
        <f t="shared" ref="Q4" si="8">+IFERROR(EOMONTH(Q3,11),"")</f>
        <v>50040</v>
      </c>
      <c r="R4" s="29">
        <f t="shared" ref="R4" si="9">+IFERROR(EOMONTH(R3,11),"")</f>
        <v>50405</v>
      </c>
      <c r="S4" s="29">
        <f t="shared" ref="S4" si="10">+IFERROR(EOMONTH(S3,11),"")</f>
        <v>50770</v>
      </c>
      <c r="T4" s="29">
        <f t="shared" ref="T4" si="11">+IFERROR(EOMONTH(T3,11),"")</f>
        <v>51135</v>
      </c>
      <c r="U4" s="29">
        <f t="shared" ref="U4" si="12">+IFERROR(EOMONTH(U3,11),"")</f>
        <v>51501</v>
      </c>
      <c r="V4" s="29">
        <f t="shared" ref="V4" si="13">+IFERROR(EOMONTH(V3,11),"")</f>
        <v>51866</v>
      </c>
      <c r="W4" s="29">
        <f t="shared" ref="W4" si="14">+IFERROR(EOMONTH(W3,11),"")</f>
        <v>52231</v>
      </c>
      <c r="X4" s="29">
        <f t="shared" ref="X4" si="15">+IFERROR(EOMONTH(X3,11),"")</f>
        <v>52596</v>
      </c>
      <c r="Y4" s="29">
        <f t="shared" ref="Y4" si="16">+IFERROR(EOMONTH(Y3,11),"")</f>
        <v>52962</v>
      </c>
      <c r="Z4" s="29">
        <f t="shared" ref="Z4" si="17">+IFERROR(EOMONTH(Z3,11),"")</f>
        <v>53327</v>
      </c>
      <c r="AA4" s="29" t="str">
        <f t="shared" ref="AA4" si="18">+IFERROR(EOMONTH(AA3,11),"")</f>
        <v/>
      </c>
      <c r="AB4" s="29" t="str">
        <f t="shared" ref="AB4" si="19">+IFERROR(EOMONTH(AB3,11),"")</f>
        <v/>
      </c>
      <c r="AC4" s="29" t="str">
        <f t="shared" ref="AC4" si="20">+IFERROR(EOMONTH(AC3,11),"")</f>
        <v/>
      </c>
      <c r="AD4" s="29" t="str">
        <f t="shared" ref="AD4" si="21">+IFERROR(EOMONTH(AD3,11),"")</f>
        <v/>
      </c>
      <c r="AE4" s="29" t="str">
        <f t="shared" ref="AE4" si="22">+IFERROR(EOMONTH(AE3,11),"")</f>
        <v/>
      </c>
      <c r="AF4" s="29" t="str">
        <f t="shared" ref="AF4" si="23">+IFERROR(EOMONTH(AF3,11),"")</f>
        <v/>
      </c>
      <c r="AG4" s="29" t="str">
        <f t="shared" ref="AG4" si="24">+IFERROR(EOMONTH(AG3,11),"")</f>
        <v/>
      </c>
      <c r="AH4" s="29" t="str">
        <f t="shared" ref="AH4" si="25">+IFERROR(EOMONTH(AH3,11),"")</f>
        <v/>
      </c>
      <c r="AI4" s="29" t="str">
        <f t="shared" ref="AI4" si="26">+IFERROR(EOMONTH(AI3,11),"")</f>
        <v/>
      </c>
      <c r="AJ4" s="29" t="str">
        <f t="shared" ref="AJ4" si="27">+IFERROR(EOMONTH(AJ3,11),"")</f>
        <v/>
      </c>
      <c r="AK4" s="29" t="str">
        <f t="shared" ref="AK4" si="28">+IFERROR(EOMONTH(AK3,11),"")</f>
        <v/>
      </c>
      <c r="AL4" s="29" t="str">
        <f t="shared" ref="AL4" si="29">+IFERROR(EOMONTH(AL3,11),"")</f>
        <v/>
      </c>
      <c r="AM4" s="29" t="str">
        <f t="shared" ref="AM4" si="30">+IFERROR(EOMONTH(AM3,11),"")</f>
        <v/>
      </c>
      <c r="AN4" s="29" t="str">
        <f t="shared" ref="AN4" si="31">+IFERROR(EOMONTH(AN3,11),"")</f>
        <v/>
      </c>
      <c r="AO4" s="29" t="str">
        <f t="shared" ref="AO4" si="32">+IFERROR(EOMONTH(AO3,11),"")</f>
        <v/>
      </c>
      <c r="AP4" s="29" t="str">
        <f t="shared" ref="AP4" si="33">+IFERROR(EOMONTH(AP3,11),"")</f>
        <v/>
      </c>
      <c r="AQ4" s="29" t="str">
        <f t="shared" ref="AQ4" si="34">+IFERROR(EOMONTH(AQ3,11),"")</f>
        <v/>
      </c>
      <c r="AR4" s="29" t="str">
        <f t="shared" ref="AR4" si="35">+IFERROR(EOMONTH(AR3,11),"")</f>
        <v/>
      </c>
      <c r="AS4" s="29" t="str">
        <f t="shared" ref="AS4" si="36">+IFERROR(EOMONTH(AS3,11),"")</f>
        <v/>
      </c>
      <c r="AT4" s="29" t="str">
        <f t="shared" ref="AT4" si="37">+IFERROR(EOMONTH(AT3,11),"")</f>
        <v/>
      </c>
      <c r="AU4" s="29" t="str">
        <f t="shared" ref="AU4" si="38">+IFERROR(EOMONTH(AU3,11),"")</f>
        <v/>
      </c>
      <c r="AV4" s="29" t="str">
        <f t="shared" ref="AV4" si="39">+IFERROR(EOMONTH(AV3,11),"")</f>
        <v/>
      </c>
      <c r="AW4" s="29" t="str">
        <f t="shared" ref="AW4" si="40">+IFERROR(EOMONTH(AW3,11),"")</f>
        <v/>
      </c>
      <c r="AX4" s="29" t="str">
        <f t="shared" ref="AX4" si="41">+IFERROR(EOMONTH(AX3,11),"")</f>
        <v/>
      </c>
      <c r="AY4" s="29" t="str">
        <f t="shared" ref="AY4" si="42">+IFERROR(EOMONTH(AY3,11),"")</f>
        <v/>
      </c>
      <c r="AZ4" s="29" t="str">
        <f t="shared" ref="AZ4" si="43">+IFERROR(EOMONTH(AZ3,11),"")</f>
        <v/>
      </c>
      <c r="BA4" s="29" t="str">
        <f t="shared" ref="BA4" si="44">+IFERROR(EOMONTH(BA3,11),"")</f>
        <v/>
      </c>
      <c r="BB4" s="29" t="str">
        <f t="shared" ref="BB4" si="45">+IFERROR(EOMONTH(BB3,11),"")</f>
        <v/>
      </c>
      <c r="BC4" s="29" t="str">
        <f t="shared" ref="BC4" si="46">+IFERROR(EOMONTH(BC3,11),"")</f>
        <v/>
      </c>
      <c r="BD4" s="29" t="str">
        <f t="shared" ref="BD4" si="47">+IFERROR(EOMONTH(BD3,11),"")</f>
        <v/>
      </c>
      <c r="BE4" s="29" t="str">
        <f t="shared" ref="BE4" si="48">+IFERROR(EOMONTH(BE3,11),"")</f>
        <v/>
      </c>
      <c r="BF4" s="29" t="str">
        <f t="shared" ref="BF4" si="49">+IFERROR(EOMONTH(BF3,11),"")</f>
        <v/>
      </c>
      <c r="BG4" s="29" t="str">
        <f t="shared" ref="BG4" si="50">+IFERROR(EOMONTH(BG3,11),"")</f>
        <v/>
      </c>
      <c r="BH4" s="29" t="str">
        <f t="shared" ref="BH4" si="51">+IFERROR(EOMONTH(BH3,11),"")</f>
        <v/>
      </c>
      <c r="BI4" s="29" t="str">
        <f t="shared" ref="BI4" si="52">+IFERROR(EOMONTH(BI3,11),"")</f>
        <v/>
      </c>
      <c r="BJ4" s="29" t="str">
        <f t="shared" ref="BJ4" si="53">+IFERROR(EOMONTH(BJ3,11),"")</f>
        <v/>
      </c>
      <c r="BK4" s="29" t="str">
        <f t="shared" ref="BK4" si="54">+IFERROR(EOMONTH(BK3,11),"")</f>
        <v/>
      </c>
      <c r="BL4" s="29" t="str">
        <f t="shared" ref="BL4" si="55">+IFERROR(EOMONTH(BL3,11),"")</f>
        <v/>
      </c>
      <c r="BM4" s="29" t="str">
        <f t="shared" ref="BM4" si="56">+IFERROR(EOMONTH(BM3,11),"")</f>
        <v/>
      </c>
      <c r="BN4" s="29" t="str">
        <f t="shared" ref="BN4" si="57">+IFERROR(EOMONTH(BN3,11),"")</f>
        <v/>
      </c>
      <c r="BO4" s="29" t="str">
        <f t="shared" ref="BO4" si="58">+IFERROR(EOMONTH(BO3,11),"")</f>
        <v/>
      </c>
      <c r="BP4" s="29" t="str">
        <f t="shared" ref="BP4" si="59">+IFERROR(EOMONTH(BP3,11),"")</f>
        <v/>
      </c>
      <c r="BQ4" s="29" t="str">
        <f t="shared" ref="BQ4" si="60">+IFERROR(EOMONTH(BQ3,11),"")</f>
        <v/>
      </c>
      <c r="BR4" s="29" t="str">
        <f t="shared" ref="BR4" si="61">+IFERROR(EOMONTH(BR3,11),"")</f>
        <v/>
      </c>
      <c r="BS4" s="29" t="str">
        <f t="shared" ref="BS4" si="62">+IFERROR(EOMONTH(BS3,11),"")</f>
        <v/>
      </c>
      <c r="BT4" s="29" t="str">
        <f t="shared" ref="BT4" si="63">+IFERROR(EOMONTH(BT3,11),"")</f>
        <v/>
      </c>
      <c r="BU4" s="29" t="str">
        <f t="shared" ref="BU4" si="64">+IFERROR(EOMONTH(BU3,11),"")</f>
        <v/>
      </c>
      <c r="BV4" s="29" t="str">
        <f t="shared" ref="BV4" si="65">+IFERROR(EOMONTH(BV3,11),"")</f>
        <v/>
      </c>
      <c r="BW4" s="29" t="str">
        <f t="shared" ref="BW4" si="66">+IFERROR(EOMONTH(BW3,11),"")</f>
        <v/>
      </c>
      <c r="BX4" s="29" t="str">
        <f t="shared" ref="BX4" si="67">+IFERROR(EOMONTH(BX3,11),"")</f>
        <v/>
      </c>
      <c r="BY4" s="29" t="str">
        <f t="shared" ref="BY4" si="68">+IFERROR(EOMONTH(BY3,11),"")</f>
        <v/>
      </c>
    </row>
    <row r="5" spans="1:77">
      <c r="D5" s="29"/>
      <c r="E5" s="29"/>
      <c r="F5" s="24"/>
      <c r="G5" s="24"/>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row>
    <row r="6" spans="1:77">
      <c r="A6" s="24" t="s">
        <v>463</v>
      </c>
      <c r="D6" s="29"/>
      <c r="E6" s="29"/>
      <c r="F6" s="24"/>
      <c r="G6" s="24"/>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row>
    <row r="7" spans="1:77">
      <c r="A7" s="24"/>
      <c r="D7" s="29"/>
      <c r="E7" s="29"/>
      <c r="F7" s="24"/>
      <c r="G7" s="24"/>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row>
    <row r="8" spans="1:77" s="17" customFormat="1" ht="15">
      <c r="A8" s="17" t="s">
        <v>445</v>
      </c>
    </row>
    <row r="9" spans="1:77">
      <c r="E9" s="24"/>
      <c r="F9" s="24"/>
      <c r="G9" s="24"/>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row>
    <row r="10" spans="1:77">
      <c r="C10" s="29"/>
      <c r="E10" s="24"/>
      <c r="F10" s="24"/>
      <c r="G10" s="24"/>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row>
    <row r="11" spans="1:77" s="66" customFormat="1" ht="15">
      <c r="A11" s="66" t="s">
        <v>464</v>
      </c>
    </row>
    <row r="12" spans="1:77" s="69" customFormat="1" ht="15" outlineLevel="3"/>
    <row r="13" spans="1:77" s="19" customFormat="1" outlineLevel="3">
      <c r="A13"/>
      <c r="B13" s="18" t="s">
        <v>465</v>
      </c>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row>
    <row r="14" spans="1:77" outlineLevel="3">
      <c r="C14" s="29"/>
      <c r="D14" s="29"/>
      <c r="E14" s="24"/>
      <c r="F14" s="24"/>
      <c r="G14" s="2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row>
    <row r="15" spans="1:77" outlineLevel="3">
      <c r="C15" s="29"/>
      <c r="D15" s="29"/>
      <c r="E15" t="s">
        <v>450</v>
      </c>
      <c r="F15" s="23" t="s">
        <v>466</v>
      </c>
      <c r="G15" s="24"/>
      <c r="H15" s="33">
        <f ca="1">IFERROR(+H159+H381+H390+H525,"")</f>
        <v>0</v>
      </c>
      <c r="I15" s="33">
        <f t="shared" ref="I15:BT15" ca="1" si="69">IFERROR(+I159+I381+I390+I525,"")</f>
        <v>0</v>
      </c>
      <c r="J15" s="33">
        <f t="shared" ca="1" si="69"/>
        <v>0</v>
      </c>
      <c r="K15" s="33">
        <f t="shared" si="69"/>
        <v>-22123015.325354274</v>
      </c>
      <c r="L15" s="33">
        <f t="shared" si="69"/>
        <v>-22565475.631861363</v>
      </c>
      <c r="M15" s="33">
        <f t="shared" si="69"/>
        <v>-23016785.144498587</v>
      </c>
      <c r="N15" s="33">
        <f t="shared" si="69"/>
        <v>-23477120.847388554</v>
      </c>
      <c r="O15" s="33">
        <f t="shared" si="69"/>
        <v>-23946663.264336329</v>
      </c>
      <c r="P15" s="33">
        <f t="shared" si="69"/>
        <v>-24425596.529623054</v>
      </c>
      <c r="Q15" s="33">
        <f t="shared" si="69"/>
        <v>-24914108.46021552</v>
      </c>
      <c r="R15" s="33">
        <f t="shared" si="69"/>
        <v>-25412390.629419822</v>
      </c>
      <c r="S15" s="33">
        <f t="shared" si="69"/>
        <v>-25920638.442008223</v>
      </c>
      <c r="T15" s="33">
        <f t="shared" si="69"/>
        <v>-26439051.210848387</v>
      </c>
      <c r="U15" s="33">
        <f t="shared" si="69"/>
        <v>-26967832.235065356</v>
      </c>
      <c r="V15" s="33">
        <f t="shared" si="69"/>
        <v>-27507188.879766654</v>
      </c>
      <c r="W15" s="33">
        <f t="shared" si="69"/>
        <v>-28057332.657361992</v>
      </c>
      <c r="X15" s="33">
        <f t="shared" si="69"/>
        <v>-28618479.310509238</v>
      </c>
      <c r="Y15" s="33">
        <f t="shared" si="69"/>
        <v>-29190848.896719418</v>
      </c>
      <c r="Z15" s="33">
        <f t="shared" ca="1" si="69"/>
        <v>0</v>
      </c>
      <c r="AA15" s="33">
        <f t="shared" ca="1" si="69"/>
        <v>0</v>
      </c>
      <c r="AB15" s="33">
        <f t="shared" ca="1" si="69"/>
        <v>0</v>
      </c>
      <c r="AC15" s="33">
        <f t="shared" ca="1" si="69"/>
        <v>0</v>
      </c>
      <c r="AD15" s="33">
        <f t="shared" ca="1" si="69"/>
        <v>0</v>
      </c>
      <c r="AE15" s="33">
        <f t="shared" ca="1" si="69"/>
        <v>0</v>
      </c>
      <c r="AF15" s="33">
        <f t="shared" ca="1" si="69"/>
        <v>0</v>
      </c>
      <c r="AG15" s="33">
        <f t="shared" ca="1" si="69"/>
        <v>0</v>
      </c>
      <c r="AH15" s="33">
        <f t="shared" ca="1" si="69"/>
        <v>0</v>
      </c>
      <c r="AI15" s="33">
        <f t="shared" ca="1" si="69"/>
        <v>0</v>
      </c>
      <c r="AJ15" s="33">
        <f t="shared" ca="1" si="69"/>
        <v>0</v>
      </c>
      <c r="AK15" s="33">
        <f t="shared" ca="1" si="69"/>
        <v>0</v>
      </c>
      <c r="AL15" s="33">
        <f t="shared" ca="1" si="69"/>
        <v>0</v>
      </c>
      <c r="AM15" s="33">
        <f t="shared" ca="1" si="69"/>
        <v>0</v>
      </c>
      <c r="AN15" s="33">
        <f t="shared" ca="1" si="69"/>
        <v>0</v>
      </c>
      <c r="AO15" s="33">
        <f t="shared" ca="1" si="69"/>
        <v>0</v>
      </c>
      <c r="AP15" s="33">
        <f t="shared" ca="1" si="69"/>
        <v>0</v>
      </c>
      <c r="AQ15" s="33">
        <f t="shared" ca="1" si="69"/>
        <v>0</v>
      </c>
      <c r="AR15" s="33">
        <f t="shared" ca="1" si="69"/>
        <v>0</v>
      </c>
      <c r="AS15" s="33">
        <f t="shared" ca="1" si="69"/>
        <v>0</v>
      </c>
      <c r="AT15" s="33">
        <f t="shared" ca="1" si="69"/>
        <v>0</v>
      </c>
      <c r="AU15" s="33">
        <f t="shared" ca="1" si="69"/>
        <v>0</v>
      </c>
      <c r="AV15" s="33">
        <f t="shared" ca="1" si="69"/>
        <v>0</v>
      </c>
      <c r="AW15" s="33">
        <f t="shared" ca="1" si="69"/>
        <v>0</v>
      </c>
      <c r="AX15" s="33">
        <f t="shared" ca="1" si="69"/>
        <v>0</v>
      </c>
      <c r="AY15" s="33">
        <f t="shared" ca="1" si="69"/>
        <v>0</v>
      </c>
      <c r="AZ15" s="33">
        <f t="shared" ca="1" si="69"/>
        <v>0</v>
      </c>
      <c r="BA15" s="33">
        <f t="shared" ca="1" si="69"/>
        <v>0</v>
      </c>
      <c r="BB15" s="33">
        <f t="shared" ca="1" si="69"/>
        <v>0</v>
      </c>
      <c r="BC15" s="33">
        <f t="shared" ca="1" si="69"/>
        <v>0</v>
      </c>
      <c r="BD15" s="33">
        <f t="shared" ca="1" si="69"/>
        <v>0</v>
      </c>
      <c r="BE15" s="33">
        <f t="shared" ca="1" si="69"/>
        <v>0</v>
      </c>
      <c r="BF15" s="33">
        <f t="shared" ca="1" si="69"/>
        <v>0</v>
      </c>
      <c r="BG15" s="33">
        <f t="shared" ca="1" si="69"/>
        <v>0</v>
      </c>
      <c r="BH15" s="33">
        <f t="shared" ca="1" si="69"/>
        <v>0</v>
      </c>
      <c r="BI15" s="33">
        <f t="shared" ca="1" si="69"/>
        <v>0</v>
      </c>
      <c r="BJ15" s="33">
        <f t="shared" ca="1" si="69"/>
        <v>0</v>
      </c>
      <c r="BK15" s="33">
        <f t="shared" ca="1" si="69"/>
        <v>0</v>
      </c>
      <c r="BL15" s="33">
        <f t="shared" ca="1" si="69"/>
        <v>0</v>
      </c>
      <c r="BM15" s="33">
        <f t="shared" ca="1" si="69"/>
        <v>0</v>
      </c>
      <c r="BN15" s="33">
        <f t="shared" ca="1" si="69"/>
        <v>0</v>
      </c>
      <c r="BO15" s="33">
        <f t="shared" ca="1" si="69"/>
        <v>0</v>
      </c>
      <c r="BP15" s="33">
        <f t="shared" ca="1" si="69"/>
        <v>0</v>
      </c>
      <c r="BQ15" s="33">
        <f t="shared" ca="1" si="69"/>
        <v>0</v>
      </c>
      <c r="BR15" s="33">
        <f t="shared" ca="1" si="69"/>
        <v>0</v>
      </c>
      <c r="BS15" s="33">
        <f t="shared" ca="1" si="69"/>
        <v>0</v>
      </c>
      <c r="BT15" s="33">
        <f t="shared" ca="1" si="69"/>
        <v>0</v>
      </c>
      <c r="BU15" s="33">
        <f t="shared" ref="BU15:BY15" ca="1" si="70">IFERROR(+BU159+BU381+BU390+BU525,"")</f>
        <v>0</v>
      </c>
      <c r="BV15" s="33">
        <f t="shared" ca="1" si="70"/>
        <v>0</v>
      </c>
      <c r="BW15" s="33">
        <f t="shared" ca="1" si="70"/>
        <v>0</v>
      </c>
      <c r="BX15" s="33">
        <f t="shared" ca="1" si="70"/>
        <v>0</v>
      </c>
      <c r="BY15" s="33">
        <f t="shared" ca="1" si="70"/>
        <v>0</v>
      </c>
    </row>
    <row r="16" spans="1:77" outlineLevel="3">
      <c r="C16" s="29"/>
      <c r="D16" s="29"/>
      <c r="E16" t="s">
        <v>467</v>
      </c>
      <c r="F16" s="23" t="s">
        <v>466</v>
      </c>
      <c r="G16" s="24"/>
      <c r="H16" s="33">
        <f t="shared" ref="H16:J20" si="71">+H160+H382+H391+H526</f>
        <v>0</v>
      </c>
      <c r="I16" s="33">
        <f t="shared" si="71"/>
        <v>0</v>
      </c>
      <c r="J16" s="33">
        <f t="shared" si="71"/>
        <v>0</v>
      </c>
      <c r="K16" s="33">
        <f t="shared" ref="K16:K20" si="72">+K160+K382+K391+K526</f>
        <v>-27929858.767734125</v>
      </c>
      <c r="L16" s="33">
        <f t="shared" ref="L16:AQ16" si="73">+L160+L382+L391+L526</f>
        <v>-27929858.767734125</v>
      </c>
      <c r="M16" s="33">
        <f t="shared" si="73"/>
        <v>-27929858.767734125</v>
      </c>
      <c r="N16" s="33">
        <f t="shared" si="73"/>
        <v>-27929858.767734125</v>
      </c>
      <c r="O16" s="33">
        <f t="shared" si="73"/>
        <v>-27929858.767734125</v>
      </c>
      <c r="P16" s="33">
        <f t="shared" si="73"/>
        <v>-27929858.767734125</v>
      </c>
      <c r="Q16" s="33">
        <f t="shared" si="73"/>
        <v>-27929858.767734125</v>
      </c>
      <c r="R16" s="33">
        <f t="shared" si="73"/>
        <v>-27929858.767734125</v>
      </c>
      <c r="S16" s="33">
        <f t="shared" si="73"/>
        <v>-27929858.767734125</v>
      </c>
      <c r="T16" s="33">
        <f t="shared" si="73"/>
        <v>-27929858.767734125</v>
      </c>
      <c r="U16" s="33">
        <f t="shared" si="73"/>
        <v>-27929858.767734125</v>
      </c>
      <c r="V16" s="33">
        <f t="shared" si="73"/>
        <v>-27929858.767734125</v>
      </c>
      <c r="W16" s="33">
        <f t="shared" si="73"/>
        <v>-27929858.767734125</v>
      </c>
      <c r="X16" s="33">
        <f t="shared" si="73"/>
        <v>-27929858.767734125</v>
      </c>
      <c r="Y16" s="33">
        <f t="shared" si="73"/>
        <v>-27929858.767734125</v>
      </c>
      <c r="Z16" s="33">
        <f t="shared" si="73"/>
        <v>-165933.14783277921</v>
      </c>
      <c r="AA16" s="33">
        <f t="shared" si="73"/>
        <v>0</v>
      </c>
      <c r="AB16" s="33">
        <f t="shared" si="73"/>
        <v>0</v>
      </c>
      <c r="AC16" s="33">
        <f t="shared" si="73"/>
        <v>0</v>
      </c>
      <c r="AD16" s="33">
        <f t="shared" si="73"/>
        <v>0</v>
      </c>
      <c r="AE16" s="33">
        <f t="shared" si="73"/>
        <v>0</v>
      </c>
      <c r="AF16" s="33">
        <f t="shared" si="73"/>
        <v>0</v>
      </c>
      <c r="AG16" s="33">
        <f t="shared" si="73"/>
        <v>0</v>
      </c>
      <c r="AH16" s="33">
        <f t="shared" si="73"/>
        <v>0</v>
      </c>
      <c r="AI16" s="33">
        <f t="shared" si="73"/>
        <v>0</v>
      </c>
      <c r="AJ16" s="33">
        <f t="shared" si="73"/>
        <v>0</v>
      </c>
      <c r="AK16" s="33">
        <f t="shared" si="73"/>
        <v>0</v>
      </c>
      <c r="AL16" s="33">
        <f t="shared" si="73"/>
        <v>0</v>
      </c>
      <c r="AM16" s="33">
        <f t="shared" si="73"/>
        <v>0</v>
      </c>
      <c r="AN16" s="33">
        <f t="shared" si="73"/>
        <v>0</v>
      </c>
      <c r="AO16" s="33">
        <f t="shared" si="73"/>
        <v>0</v>
      </c>
      <c r="AP16" s="33">
        <f t="shared" si="73"/>
        <v>0</v>
      </c>
      <c r="AQ16" s="33">
        <f t="shared" si="73"/>
        <v>0</v>
      </c>
      <c r="AR16" s="33">
        <f t="shared" ref="AR16:BY16" si="74">+AR160+AR382+AR391+AR526</f>
        <v>0</v>
      </c>
      <c r="AS16" s="33">
        <f t="shared" si="74"/>
        <v>0</v>
      </c>
      <c r="AT16" s="33">
        <f t="shared" si="74"/>
        <v>0</v>
      </c>
      <c r="AU16" s="33">
        <f t="shared" si="74"/>
        <v>0</v>
      </c>
      <c r="AV16" s="33">
        <f t="shared" si="74"/>
        <v>0</v>
      </c>
      <c r="AW16" s="33">
        <f t="shared" si="74"/>
        <v>0</v>
      </c>
      <c r="AX16" s="33">
        <f t="shared" si="74"/>
        <v>0</v>
      </c>
      <c r="AY16" s="33">
        <f t="shared" si="74"/>
        <v>0</v>
      </c>
      <c r="AZ16" s="33">
        <f t="shared" si="74"/>
        <v>0</v>
      </c>
      <c r="BA16" s="33">
        <f t="shared" si="74"/>
        <v>0</v>
      </c>
      <c r="BB16" s="33">
        <f t="shared" si="74"/>
        <v>0</v>
      </c>
      <c r="BC16" s="33">
        <f t="shared" si="74"/>
        <v>0</v>
      </c>
      <c r="BD16" s="33">
        <f t="shared" si="74"/>
        <v>0</v>
      </c>
      <c r="BE16" s="33">
        <f t="shared" si="74"/>
        <v>0</v>
      </c>
      <c r="BF16" s="33">
        <f t="shared" si="74"/>
        <v>0</v>
      </c>
      <c r="BG16" s="33">
        <f t="shared" si="74"/>
        <v>0</v>
      </c>
      <c r="BH16" s="33">
        <f t="shared" si="74"/>
        <v>0</v>
      </c>
      <c r="BI16" s="33">
        <f t="shared" si="74"/>
        <v>0</v>
      </c>
      <c r="BJ16" s="33">
        <f t="shared" si="74"/>
        <v>0</v>
      </c>
      <c r="BK16" s="33">
        <f t="shared" si="74"/>
        <v>0</v>
      </c>
      <c r="BL16" s="33">
        <f t="shared" si="74"/>
        <v>0</v>
      </c>
      <c r="BM16" s="33">
        <f t="shared" si="74"/>
        <v>0</v>
      </c>
      <c r="BN16" s="33">
        <f t="shared" si="74"/>
        <v>0</v>
      </c>
      <c r="BO16" s="33">
        <f t="shared" si="74"/>
        <v>0</v>
      </c>
      <c r="BP16" s="33">
        <f t="shared" si="74"/>
        <v>0</v>
      </c>
      <c r="BQ16" s="33">
        <f t="shared" si="74"/>
        <v>0</v>
      </c>
      <c r="BR16" s="33">
        <f t="shared" si="74"/>
        <v>0</v>
      </c>
      <c r="BS16" s="33">
        <f t="shared" si="74"/>
        <v>0</v>
      </c>
      <c r="BT16" s="33">
        <f t="shared" si="74"/>
        <v>0</v>
      </c>
      <c r="BU16" s="33">
        <f t="shared" si="74"/>
        <v>0</v>
      </c>
      <c r="BV16" s="33">
        <f t="shared" si="74"/>
        <v>0</v>
      </c>
      <c r="BW16" s="33">
        <f t="shared" si="74"/>
        <v>0</v>
      </c>
      <c r="BX16" s="33">
        <f t="shared" si="74"/>
        <v>0</v>
      </c>
      <c r="BY16" s="33">
        <f t="shared" si="74"/>
        <v>0</v>
      </c>
    </row>
    <row r="17" spans="2:77" outlineLevel="3">
      <c r="C17" s="29"/>
      <c r="D17" s="29"/>
      <c r="E17" t="s">
        <v>468</v>
      </c>
      <c r="F17" s="23" t="s">
        <v>466</v>
      </c>
      <c r="G17" s="24"/>
      <c r="H17" s="33">
        <f t="shared" ca="1" si="71"/>
        <v>0</v>
      </c>
      <c r="I17" s="33">
        <f t="shared" ca="1" si="71"/>
        <v>0</v>
      </c>
      <c r="J17" s="33">
        <f t="shared" ca="1" si="71"/>
        <v>-2355075.0470602922</v>
      </c>
      <c r="K17" s="33">
        <f t="shared" ca="1" si="72"/>
        <v>-14440688.224635817</v>
      </c>
      <c r="L17" s="33">
        <f t="shared" ref="L17:AQ17" ca="1" si="75">+L161+L383+L392+L527</f>
        <v>-13797391.773173641</v>
      </c>
      <c r="M17" s="33">
        <f t="shared" ca="1" si="75"/>
        <v>-13117176.53836205</v>
      </c>
      <c r="N17" s="33">
        <f t="shared" ca="1" si="75"/>
        <v>-12397923.751224624</v>
      </c>
      <c r="O17" s="33">
        <f t="shared" ca="1" si="75"/>
        <v>-11637393.04663338</v>
      </c>
      <c r="P17" s="33">
        <f t="shared" ca="1" si="75"/>
        <v>-10833215.484905643</v>
      </c>
      <c r="Q17" s="33">
        <f t="shared" ca="1" si="75"/>
        <v>-9982886.172910355</v>
      </c>
      <c r="R17" s="33">
        <f t="shared" ca="1" si="75"/>
        <v>-9083756.4616996553</v>
      </c>
      <c r="S17" s="33">
        <f t="shared" ca="1" si="75"/>
        <v>-8133025.6963625737</v>
      </c>
      <c r="T17" s="33">
        <f t="shared" ca="1" si="75"/>
        <v>-7127732.4924027966</v>
      </c>
      <c r="U17" s="33">
        <f t="shared" ca="1" si="75"/>
        <v>-6064745.5114677679</v>
      </c>
      <c r="V17" s="33">
        <f t="shared" ca="1" si="75"/>
        <v>-4940753.7076968784</v>
      </c>
      <c r="W17" s="33">
        <f t="shared" ca="1" si="75"/>
        <v>-3752256.0143075772</v>
      </c>
      <c r="X17" s="33">
        <f t="shared" ca="1" si="75"/>
        <v>-2495550.438294664</v>
      </c>
      <c r="Y17" s="33">
        <f t="shared" ca="1" si="75"/>
        <v>-1166722.5292743696</v>
      </c>
      <c r="Z17" s="33">
        <f t="shared" ca="1" si="75"/>
        <v>-1.4831987209618093E-9</v>
      </c>
      <c r="AA17" s="33">
        <f t="shared" ca="1" si="75"/>
        <v>-1.4831987209618093E-9</v>
      </c>
      <c r="AB17" s="33">
        <f t="shared" ca="1" si="75"/>
        <v>-1.4831987209618093E-9</v>
      </c>
      <c r="AC17" s="33">
        <f t="shared" ca="1" si="75"/>
        <v>-1.4831987209618093E-9</v>
      </c>
      <c r="AD17" s="33">
        <f t="shared" ca="1" si="75"/>
        <v>-1.4831987209618093E-9</v>
      </c>
      <c r="AE17" s="33">
        <f t="shared" ca="1" si="75"/>
        <v>-1.4831987209618093E-9</v>
      </c>
      <c r="AF17" s="33">
        <f t="shared" ca="1" si="75"/>
        <v>-1.4831987209618093E-9</v>
      </c>
      <c r="AG17" s="33">
        <f t="shared" ca="1" si="75"/>
        <v>-1.4831987209618093E-9</v>
      </c>
      <c r="AH17" s="33">
        <f t="shared" ca="1" si="75"/>
        <v>-1.4831987209618093E-9</v>
      </c>
      <c r="AI17" s="33">
        <f t="shared" ca="1" si="75"/>
        <v>-1.4831987209618093E-9</v>
      </c>
      <c r="AJ17" s="33">
        <f t="shared" ca="1" si="75"/>
        <v>-1.4831987209618093E-9</v>
      </c>
      <c r="AK17" s="33">
        <f t="shared" ca="1" si="75"/>
        <v>-1.4831987209618093E-9</v>
      </c>
      <c r="AL17" s="33">
        <f t="shared" ca="1" si="75"/>
        <v>-1.4831987209618093E-9</v>
      </c>
      <c r="AM17" s="33">
        <f t="shared" ca="1" si="75"/>
        <v>-1.4831987209618093E-9</v>
      </c>
      <c r="AN17" s="33">
        <f t="shared" ca="1" si="75"/>
        <v>-1.4831987209618093E-9</v>
      </c>
      <c r="AO17" s="33">
        <f t="shared" ca="1" si="75"/>
        <v>-1.4831987209618093E-9</v>
      </c>
      <c r="AP17" s="33">
        <f t="shared" ca="1" si="75"/>
        <v>-1.4831987209618093E-9</v>
      </c>
      <c r="AQ17" s="33">
        <f t="shared" ca="1" si="75"/>
        <v>-1.4831987209618093E-9</v>
      </c>
      <c r="AR17" s="33">
        <f t="shared" ref="AR17:BY17" ca="1" si="76">+AR161+AR383+AR392+AR527</f>
        <v>-1.4831987209618093E-9</v>
      </c>
      <c r="AS17" s="33">
        <f t="shared" ca="1" si="76"/>
        <v>-1.4831987209618093E-9</v>
      </c>
      <c r="AT17" s="33">
        <f t="shared" ca="1" si="76"/>
        <v>-1.4831987209618093E-9</v>
      </c>
      <c r="AU17" s="33">
        <f t="shared" ca="1" si="76"/>
        <v>-1.4831987209618093E-9</v>
      </c>
      <c r="AV17" s="33">
        <f t="shared" ca="1" si="76"/>
        <v>-1.4831987209618093E-9</v>
      </c>
      <c r="AW17" s="33">
        <f t="shared" ca="1" si="76"/>
        <v>-1.4831987209618093E-9</v>
      </c>
      <c r="AX17" s="33">
        <f t="shared" ca="1" si="76"/>
        <v>-1.4831987209618093E-9</v>
      </c>
      <c r="AY17" s="33">
        <f t="shared" ca="1" si="76"/>
        <v>-1.4831987209618093E-9</v>
      </c>
      <c r="AZ17" s="33">
        <f t="shared" ca="1" si="76"/>
        <v>-1.4831987209618093E-9</v>
      </c>
      <c r="BA17" s="33">
        <f t="shared" ca="1" si="76"/>
        <v>-1.4831987209618093E-9</v>
      </c>
      <c r="BB17" s="33">
        <f t="shared" ca="1" si="76"/>
        <v>-1.4831987209618093E-9</v>
      </c>
      <c r="BC17" s="33">
        <f t="shared" ca="1" si="76"/>
        <v>-1.4831987209618093E-9</v>
      </c>
      <c r="BD17" s="33">
        <f t="shared" ca="1" si="76"/>
        <v>-1.4831987209618093E-9</v>
      </c>
      <c r="BE17" s="33">
        <f t="shared" ca="1" si="76"/>
        <v>-1.4831987209618093E-9</v>
      </c>
      <c r="BF17" s="33">
        <f t="shared" ca="1" si="76"/>
        <v>-1.4831987209618093E-9</v>
      </c>
      <c r="BG17" s="33">
        <f t="shared" ca="1" si="76"/>
        <v>-1.4831987209618093E-9</v>
      </c>
      <c r="BH17" s="33">
        <f t="shared" ca="1" si="76"/>
        <v>-1.4831987209618093E-9</v>
      </c>
      <c r="BI17" s="33">
        <f t="shared" ca="1" si="76"/>
        <v>-1.4831987209618093E-9</v>
      </c>
      <c r="BJ17" s="33">
        <f t="shared" ca="1" si="76"/>
        <v>-1.4831987209618093E-9</v>
      </c>
      <c r="BK17" s="33">
        <f t="shared" ca="1" si="76"/>
        <v>-1.4831987209618093E-9</v>
      </c>
      <c r="BL17" s="33">
        <f t="shared" ca="1" si="76"/>
        <v>-1.4831987209618093E-9</v>
      </c>
      <c r="BM17" s="33">
        <f t="shared" ca="1" si="76"/>
        <v>-1.4831987209618093E-9</v>
      </c>
      <c r="BN17" s="33">
        <f t="shared" ca="1" si="76"/>
        <v>-1.4831987209618093E-9</v>
      </c>
      <c r="BO17" s="33">
        <f t="shared" ca="1" si="76"/>
        <v>-1.4831987209618093E-9</v>
      </c>
      <c r="BP17" s="33">
        <f t="shared" ca="1" si="76"/>
        <v>-1.4831987209618093E-9</v>
      </c>
      <c r="BQ17" s="33">
        <f t="shared" ca="1" si="76"/>
        <v>-1.4831987209618093E-9</v>
      </c>
      <c r="BR17" s="33">
        <f t="shared" ca="1" si="76"/>
        <v>-1.4831987209618093E-9</v>
      </c>
      <c r="BS17" s="33">
        <f t="shared" ca="1" si="76"/>
        <v>-1.4831987209618093E-9</v>
      </c>
      <c r="BT17" s="33">
        <f t="shared" ca="1" si="76"/>
        <v>-1.4831987209618093E-9</v>
      </c>
      <c r="BU17" s="33">
        <f t="shared" ca="1" si="76"/>
        <v>-1.4831987209618093E-9</v>
      </c>
      <c r="BV17" s="33">
        <f t="shared" ca="1" si="76"/>
        <v>-1.4831987209618093E-9</v>
      </c>
      <c r="BW17" s="33">
        <f t="shared" ca="1" si="76"/>
        <v>-1.4831987209618093E-9</v>
      </c>
      <c r="BX17" s="33">
        <f t="shared" ca="1" si="76"/>
        <v>-1.4831987209618093E-9</v>
      </c>
      <c r="BY17" s="33">
        <f t="shared" ca="1" si="76"/>
        <v>-1.4831987209618093E-9</v>
      </c>
    </row>
    <row r="18" spans="2:77" s="22" customFormat="1" ht="15" outlineLevel="3">
      <c r="C18" s="90"/>
      <c r="D18" s="90"/>
      <c r="E18" s="22" t="s">
        <v>469</v>
      </c>
      <c r="F18" s="36" t="s">
        <v>470</v>
      </c>
      <c r="G18" s="91"/>
      <c r="H18" s="37">
        <f t="shared" ca="1" si="71"/>
        <v>0</v>
      </c>
      <c r="I18" s="37">
        <f t="shared" ca="1" si="71"/>
        <v>0</v>
      </c>
      <c r="J18" s="37">
        <f t="shared" ca="1" si="71"/>
        <v>-2355075.0470602922</v>
      </c>
      <c r="K18" s="37">
        <f t="shared" ca="1" si="72"/>
        <v>-64493562.317724213</v>
      </c>
      <c r="L18" s="37">
        <f t="shared" ref="L18:AQ18" ca="1" si="77">+L162+L384+L393+L528</f>
        <v>-64292726.172769122</v>
      </c>
      <c r="M18" s="37">
        <f t="shared" ca="1" si="77"/>
        <v>-64063820.45059476</v>
      </c>
      <c r="N18" s="37">
        <f t="shared" ca="1" si="77"/>
        <v>-63804903.366347305</v>
      </c>
      <c r="O18" s="37">
        <f t="shared" ca="1" si="77"/>
        <v>-63513915.078703836</v>
      </c>
      <c r="P18" s="37">
        <f t="shared" ca="1" si="77"/>
        <v>-63188670.782262817</v>
      </c>
      <c r="Q18" s="37">
        <f t="shared" ca="1" si="77"/>
        <v>-62826853.400859997</v>
      </c>
      <c r="R18" s="37">
        <f t="shared" ca="1" si="77"/>
        <v>-62426005.858853608</v>
      </c>
      <c r="S18" s="37">
        <f t="shared" ca="1" si="77"/>
        <v>-61983522.906104922</v>
      </c>
      <c r="T18" s="37">
        <f t="shared" ca="1" si="77"/>
        <v>-61496642.470985308</v>
      </c>
      <c r="U18" s="37">
        <f t="shared" ca="1" si="77"/>
        <v>-60962436.514267251</v>
      </c>
      <c r="V18" s="37">
        <f t="shared" ca="1" si="77"/>
        <v>-60377801.355197661</v>
      </c>
      <c r="W18" s="37">
        <f t="shared" ca="1" si="77"/>
        <v>-59739447.43940369</v>
      </c>
      <c r="X18" s="37">
        <f t="shared" ca="1" si="77"/>
        <v>-59043888.516538024</v>
      </c>
      <c r="Y18" s="37">
        <f t="shared" ca="1" si="77"/>
        <v>-58287430.193727918</v>
      </c>
      <c r="Z18" s="37">
        <f t="shared" ca="1" si="77"/>
        <v>-165933.14783278067</v>
      </c>
      <c r="AA18" s="37">
        <f t="shared" ca="1" si="77"/>
        <v>-1.4831987209618093E-9</v>
      </c>
      <c r="AB18" s="37">
        <f t="shared" ca="1" si="77"/>
        <v>-1.4831987209618093E-9</v>
      </c>
      <c r="AC18" s="37">
        <f t="shared" ca="1" si="77"/>
        <v>-1.4831987209618093E-9</v>
      </c>
      <c r="AD18" s="37">
        <f t="shared" ca="1" si="77"/>
        <v>-1.4831987209618093E-9</v>
      </c>
      <c r="AE18" s="37">
        <f t="shared" ca="1" si="77"/>
        <v>-1.4831987209618093E-9</v>
      </c>
      <c r="AF18" s="37">
        <f t="shared" ca="1" si="77"/>
        <v>-1.4831987209618093E-9</v>
      </c>
      <c r="AG18" s="37">
        <f t="shared" ca="1" si="77"/>
        <v>-1.4831987209618093E-9</v>
      </c>
      <c r="AH18" s="37">
        <f t="shared" ca="1" si="77"/>
        <v>-1.4831987209618093E-9</v>
      </c>
      <c r="AI18" s="37">
        <f t="shared" ca="1" si="77"/>
        <v>-1.4831987209618093E-9</v>
      </c>
      <c r="AJ18" s="37">
        <f t="shared" ca="1" si="77"/>
        <v>-1.4831987209618093E-9</v>
      </c>
      <c r="AK18" s="37">
        <f t="shared" ca="1" si="77"/>
        <v>-1.4831987209618093E-9</v>
      </c>
      <c r="AL18" s="37">
        <f t="shared" ca="1" si="77"/>
        <v>-1.4831987209618093E-9</v>
      </c>
      <c r="AM18" s="37">
        <f t="shared" ca="1" si="77"/>
        <v>-1.4831987209618093E-9</v>
      </c>
      <c r="AN18" s="37">
        <f t="shared" ca="1" si="77"/>
        <v>-1.4831987209618093E-9</v>
      </c>
      <c r="AO18" s="37">
        <f t="shared" ca="1" si="77"/>
        <v>-1.4831987209618093E-9</v>
      </c>
      <c r="AP18" s="37">
        <f t="shared" ca="1" si="77"/>
        <v>-1.4831987209618093E-9</v>
      </c>
      <c r="AQ18" s="37">
        <f t="shared" ca="1" si="77"/>
        <v>-1.4831987209618093E-9</v>
      </c>
      <c r="AR18" s="37">
        <f t="shared" ref="AR18:BY18" ca="1" si="78">+AR162+AR384+AR393+AR528</f>
        <v>-1.4831987209618093E-9</v>
      </c>
      <c r="AS18" s="37">
        <f t="shared" ca="1" si="78"/>
        <v>-1.4831987209618093E-9</v>
      </c>
      <c r="AT18" s="37">
        <f t="shared" ca="1" si="78"/>
        <v>-1.4831987209618093E-9</v>
      </c>
      <c r="AU18" s="37">
        <f t="shared" ca="1" si="78"/>
        <v>-1.4831987209618093E-9</v>
      </c>
      <c r="AV18" s="37">
        <f t="shared" ca="1" si="78"/>
        <v>-1.4831987209618093E-9</v>
      </c>
      <c r="AW18" s="37">
        <f t="shared" ca="1" si="78"/>
        <v>-1.4831987209618093E-9</v>
      </c>
      <c r="AX18" s="37">
        <f t="shared" ca="1" si="78"/>
        <v>-1.4831987209618093E-9</v>
      </c>
      <c r="AY18" s="37">
        <f t="shared" ca="1" si="78"/>
        <v>-1.4831987209618093E-9</v>
      </c>
      <c r="AZ18" s="37">
        <f t="shared" ca="1" si="78"/>
        <v>-1.4831987209618093E-9</v>
      </c>
      <c r="BA18" s="37">
        <f t="shared" ca="1" si="78"/>
        <v>-1.4831987209618093E-9</v>
      </c>
      <c r="BB18" s="37">
        <f t="shared" ca="1" si="78"/>
        <v>-1.4831987209618093E-9</v>
      </c>
      <c r="BC18" s="37">
        <f t="shared" ca="1" si="78"/>
        <v>-1.4831987209618093E-9</v>
      </c>
      <c r="BD18" s="37">
        <f t="shared" ca="1" si="78"/>
        <v>-1.4831987209618093E-9</v>
      </c>
      <c r="BE18" s="37">
        <f t="shared" ca="1" si="78"/>
        <v>-1.4831987209618093E-9</v>
      </c>
      <c r="BF18" s="37">
        <f t="shared" ca="1" si="78"/>
        <v>-1.4831987209618093E-9</v>
      </c>
      <c r="BG18" s="37">
        <f t="shared" ca="1" si="78"/>
        <v>-1.4831987209618093E-9</v>
      </c>
      <c r="BH18" s="37">
        <f t="shared" ca="1" si="78"/>
        <v>-1.4831987209618093E-9</v>
      </c>
      <c r="BI18" s="37">
        <f t="shared" ca="1" si="78"/>
        <v>-1.4831987209618093E-9</v>
      </c>
      <c r="BJ18" s="37">
        <f t="shared" ca="1" si="78"/>
        <v>-1.4831987209618093E-9</v>
      </c>
      <c r="BK18" s="37">
        <f t="shared" ca="1" si="78"/>
        <v>-1.4831987209618093E-9</v>
      </c>
      <c r="BL18" s="37">
        <f t="shared" ca="1" si="78"/>
        <v>-1.4831987209618093E-9</v>
      </c>
      <c r="BM18" s="37">
        <f t="shared" ca="1" si="78"/>
        <v>-1.4831987209618093E-9</v>
      </c>
      <c r="BN18" s="37">
        <f t="shared" ca="1" si="78"/>
        <v>-1.4831987209618093E-9</v>
      </c>
      <c r="BO18" s="37">
        <f t="shared" ca="1" si="78"/>
        <v>-1.4831987209618093E-9</v>
      </c>
      <c r="BP18" s="37">
        <f t="shared" ca="1" si="78"/>
        <v>-1.4831987209618093E-9</v>
      </c>
      <c r="BQ18" s="37">
        <f t="shared" ca="1" si="78"/>
        <v>-1.4831987209618093E-9</v>
      </c>
      <c r="BR18" s="37">
        <f t="shared" ca="1" si="78"/>
        <v>-1.4831987209618093E-9</v>
      </c>
      <c r="BS18" s="37">
        <f t="shared" ca="1" si="78"/>
        <v>-1.4831987209618093E-9</v>
      </c>
      <c r="BT18" s="37">
        <f t="shared" ca="1" si="78"/>
        <v>-1.4831987209618093E-9</v>
      </c>
      <c r="BU18" s="37">
        <f t="shared" ca="1" si="78"/>
        <v>-1.4831987209618093E-9</v>
      </c>
      <c r="BV18" s="37">
        <f t="shared" ca="1" si="78"/>
        <v>-1.4831987209618093E-9</v>
      </c>
      <c r="BW18" s="37">
        <f t="shared" ca="1" si="78"/>
        <v>-1.4831987209618093E-9</v>
      </c>
      <c r="BX18" s="37">
        <f t="shared" ca="1" si="78"/>
        <v>-1.4831987209618093E-9</v>
      </c>
      <c r="BY18" s="37">
        <f t="shared" ca="1" si="78"/>
        <v>-1.4831987209618093E-9</v>
      </c>
    </row>
    <row r="19" spans="2:77" outlineLevel="3">
      <c r="C19" s="29"/>
      <c r="D19" s="29"/>
      <c r="E19" s="25" t="s">
        <v>471</v>
      </c>
      <c r="F19" s="30" t="s">
        <v>466</v>
      </c>
      <c r="G19" s="42"/>
      <c r="H19" s="34">
        <f t="shared" ca="1" si="71"/>
        <v>0</v>
      </c>
      <c r="I19" s="34">
        <f t="shared" ca="1" si="71"/>
        <v>0</v>
      </c>
      <c r="J19" s="34">
        <f t="shared" ca="1" si="71"/>
        <v>0</v>
      </c>
      <c r="K19" s="34">
        <f t="shared" ca="1" si="72"/>
        <v>0</v>
      </c>
      <c r="L19" s="34">
        <f t="shared" ref="L19:AQ19" ca="1" si="79">+L163+L385+L394+L529</f>
        <v>0</v>
      </c>
      <c r="M19" s="34">
        <f t="shared" ca="1" si="79"/>
        <v>0</v>
      </c>
      <c r="N19" s="34">
        <f t="shared" ca="1" si="79"/>
        <v>0</v>
      </c>
      <c r="O19" s="34">
        <f t="shared" ca="1" si="79"/>
        <v>0</v>
      </c>
      <c r="P19" s="34">
        <f t="shared" ca="1" si="79"/>
        <v>0</v>
      </c>
      <c r="Q19" s="34">
        <f t="shared" ca="1" si="79"/>
        <v>0</v>
      </c>
      <c r="R19" s="34">
        <f t="shared" ca="1" si="79"/>
        <v>0</v>
      </c>
      <c r="S19" s="34">
        <f t="shared" ca="1" si="79"/>
        <v>0</v>
      </c>
      <c r="T19" s="34">
        <f t="shared" ca="1" si="79"/>
        <v>0</v>
      </c>
      <c r="U19" s="34">
        <f t="shared" ca="1" si="79"/>
        <v>0</v>
      </c>
      <c r="V19" s="34">
        <f t="shared" ca="1" si="79"/>
        <v>0</v>
      </c>
      <c r="W19" s="34">
        <f t="shared" ca="1" si="79"/>
        <v>0</v>
      </c>
      <c r="X19" s="34">
        <f t="shared" ca="1" si="79"/>
        <v>0</v>
      </c>
      <c r="Y19" s="34">
        <f t="shared" ca="1" si="79"/>
        <v>0</v>
      </c>
      <c r="Z19" s="34">
        <f t="shared" ca="1" si="79"/>
        <v>0</v>
      </c>
      <c r="AA19" s="34">
        <f t="shared" ca="1" si="79"/>
        <v>0</v>
      </c>
      <c r="AB19" s="34">
        <f t="shared" ca="1" si="79"/>
        <v>0</v>
      </c>
      <c r="AC19" s="34">
        <f t="shared" ca="1" si="79"/>
        <v>0</v>
      </c>
      <c r="AD19" s="34">
        <f t="shared" ca="1" si="79"/>
        <v>0</v>
      </c>
      <c r="AE19" s="34">
        <f t="shared" ca="1" si="79"/>
        <v>0</v>
      </c>
      <c r="AF19" s="34">
        <f t="shared" ca="1" si="79"/>
        <v>0</v>
      </c>
      <c r="AG19" s="34">
        <f t="shared" ca="1" si="79"/>
        <v>0</v>
      </c>
      <c r="AH19" s="34">
        <f t="shared" ca="1" si="79"/>
        <v>0</v>
      </c>
      <c r="AI19" s="34">
        <f t="shared" ca="1" si="79"/>
        <v>0</v>
      </c>
      <c r="AJ19" s="34">
        <f t="shared" ca="1" si="79"/>
        <v>0</v>
      </c>
      <c r="AK19" s="34">
        <f t="shared" ca="1" si="79"/>
        <v>0</v>
      </c>
      <c r="AL19" s="34">
        <f t="shared" ca="1" si="79"/>
        <v>0</v>
      </c>
      <c r="AM19" s="34">
        <f t="shared" ca="1" si="79"/>
        <v>0</v>
      </c>
      <c r="AN19" s="34">
        <f t="shared" ca="1" si="79"/>
        <v>0</v>
      </c>
      <c r="AO19" s="34">
        <f t="shared" ca="1" si="79"/>
        <v>0</v>
      </c>
      <c r="AP19" s="34">
        <f t="shared" ca="1" si="79"/>
        <v>0</v>
      </c>
      <c r="AQ19" s="34">
        <f t="shared" ca="1" si="79"/>
        <v>0</v>
      </c>
      <c r="AR19" s="34">
        <f t="shared" ref="AR19:BY19" ca="1" si="80">+AR163+AR385+AR394+AR529</f>
        <v>0</v>
      </c>
      <c r="AS19" s="34">
        <f t="shared" ca="1" si="80"/>
        <v>0</v>
      </c>
      <c r="AT19" s="34">
        <f t="shared" ca="1" si="80"/>
        <v>0</v>
      </c>
      <c r="AU19" s="34">
        <f t="shared" ca="1" si="80"/>
        <v>0</v>
      </c>
      <c r="AV19" s="34">
        <f t="shared" ca="1" si="80"/>
        <v>0</v>
      </c>
      <c r="AW19" s="34">
        <f t="shared" ca="1" si="80"/>
        <v>0</v>
      </c>
      <c r="AX19" s="34">
        <f t="shared" ca="1" si="80"/>
        <v>0</v>
      </c>
      <c r="AY19" s="34">
        <f t="shared" ca="1" si="80"/>
        <v>0</v>
      </c>
      <c r="AZ19" s="34">
        <f t="shared" ca="1" si="80"/>
        <v>0</v>
      </c>
      <c r="BA19" s="34">
        <f t="shared" ca="1" si="80"/>
        <v>0</v>
      </c>
      <c r="BB19" s="34">
        <f t="shared" ca="1" si="80"/>
        <v>0</v>
      </c>
      <c r="BC19" s="34">
        <f t="shared" ca="1" si="80"/>
        <v>0</v>
      </c>
      <c r="BD19" s="34">
        <f t="shared" ca="1" si="80"/>
        <v>0</v>
      </c>
      <c r="BE19" s="34">
        <f t="shared" ca="1" si="80"/>
        <v>0</v>
      </c>
      <c r="BF19" s="34">
        <f t="shared" ca="1" si="80"/>
        <v>0</v>
      </c>
      <c r="BG19" s="34">
        <f t="shared" ca="1" si="80"/>
        <v>0</v>
      </c>
      <c r="BH19" s="34">
        <f t="shared" ca="1" si="80"/>
        <v>0</v>
      </c>
      <c r="BI19" s="34">
        <f t="shared" ca="1" si="80"/>
        <v>0</v>
      </c>
      <c r="BJ19" s="34">
        <f t="shared" ca="1" si="80"/>
        <v>0</v>
      </c>
      <c r="BK19" s="34">
        <f t="shared" ca="1" si="80"/>
        <v>0</v>
      </c>
      <c r="BL19" s="34">
        <f t="shared" ca="1" si="80"/>
        <v>0</v>
      </c>
      <c r="BM19" s="34">
        <f t="shared" ca="1" si="80"/>
        <v>0</v>
      </c>
      <c r="BN19" s="34">
        <f t="shared" ca="1" si="80"/>
        <v>0</v>
      </c>
      <c r="BO19" s="34">
        <f t="shared" ca="1" si="80"/>
        <v>0</v>
      </c>
      <c r="BP19" s="34">
        <f t="shared" ca="1" si="80"/>
        <v>0</v>
      </c>
      <c r="BQ19" s="34">
        <f t="shared" ca="1" si="80"/>
        <v>0</v>
      </c>
      <c r="BR19" s="34">
        <f t="shared" ca="1" si="80"/>
        <v>0</v>
      </c>
      <c r="BS19" s="34">
        <f t="shared" ca="1" si="80"/>
        <v>0</v>
      </c>
      <c r="BT19" s="34">
        <f t="shared" ca="1" si="80"/>
        <v>0</v>
      </c>
      <c r="BU19" s="34">
        <f t="shared" ca="1" si="80"/>
        <v>0</v>
      </c>
      <c r="BV19" s="34">
        <f t="shared" ca="1" si="80"/>
        <v>0</v>
      </c>
      <c r="BW19" s="34">
        <f t="shared" ca="1" si="80"/>
        <v>0</v>
      </c>
      <c r="BX19" s="34">
        <f t="shared" ca="1" si="80"/>
        <v>0</v>
      </c>
      <c r="BY19" s="34">
        <f t="shared" ca="1" si="80"/>
        <v>0</v>
      </c>
    </row>
    <row r="20" spans="2:77" s="22" customFormat="1" ht="15" outlineLevel="3">
      <c r="C20" s="90"/>
      <c r="D20" s="90"/>
      <c r="E20" s="22" t="s">
        <v>472</v>
      </c>
      <c r="F20" s="36" t="s">
        <v>470</v>
      </c>
      <c r="G20" s="91"/>
      <c r="H20" s="37">
        <f t="shared" ca="1" si="71"/>
        <v>0</v>
      </c>
      <c r="I20" s="37">
        <f t="shared" ca="1" si="71"/>
        <v>0</v>
      </c>
      <c r="J20" s="37">
        <f t="shared" ca="1" si="71"/>
        <v>-2355075.0470602922</v>
      </c>
      <c r="K20" s="37">
        <f t="shared" ca="1" si="72"/>
        <v>-64493562.317724213</v>
      </c>
      <c r="L20" s="37">
        <f t="shared" ref="L20:AQ20" ca="1" si="81">+L164+L386+L395+L530</f>
        <v>-64292726.172769122</v>
      </c>
      <c r="M20" s="37">
        <f t="shared" ca="1" si="81"/>
        <v>-64063820.45059476</v>
      </c>
      <c r="N20" s="37">
        <f t="shared" ca="1" si="81"/>
        <v>-63804903.366347305</v>
      </c>
      <c r="O20" s="37">
        <f t="shared" ca="1" si="81"/>
        <v>-63513915.078703836</v>
      </c>
      <c r="P20" s="37">
        <f t="shared" ca="1" si="81"/>
        <v>-63188670.782262817</v>
      </c>
      <c r="Q20" s="37">
        <f t="shared" ca="1" si="81"/>
        <v>-62826853.400859997</v>
      </c>
      <c r="R20" s="37">
        <f t="shared" ca="1" si="81"/>
        <v>-62426005.858853608</v>
      </c>
      <c r="S20" s="37">
        <f t="shared" ca="1" si="81"/>
        <v>-61983522.906104922</v>
      </c>
      <c r="T20" s="37">
        <f t="shared" ca="1" si="81"/>
        <v>-61496642.470985308</v>
      </c>
      <c r="U20" s="37">
        <f t="shared" ca="1" si="81"/>
        <v>-60962436.514267251</v>
      </c>
      <c r="V20" s="37">
        <f t="shared" ca="1" si="81"/>
        <v>-60377801.355197661</v>
      </c>
      <c r="W20" s="37">
        <f t="shared" ca="1" si="81"/>
        <v>-59739447.43940369</v>
      </c>
      <c r="X20" s="37">
        <f t="shared" ca="1" si="81"/>
        <v>-59043888.516538024</v>
      </c>
      <c r="Y20" s="37">
        <f t="shared" ca="1" si="81"/>
        <v>-58287430.193727918</v>
      </c>
      <c r="Z20" s="37">
        <f t="shared" ca="1" si="81"/>
        <v>-165933.14783278067</v>
      </c>
      <c r="AA20" s="37">
        <f t="shared" ca="1" si="81"/>
        <v>-1.4831987209618093E-9</v>
      </c>
      <c r="AB20" s="37">
        <f t="shared" ca="1" si="81"/>
        <v>-1.4831987209618093E-9</v>
      </c>
      <c r="AC20" s="37">
        <f t="shared" ca="1" si="81"/>
        <v>-1.4831987209618093E-9</v>
      </c>
      <c r="AD20" s="37">
        <f t="shared" ca="1" si="81"/>
        <v>-1.4831987209618093E-9</v>
      </c>
      <c r="AE20" s="37">
        <f t="shared" ca="1" si="81"/>
        <v>-1.4831987209618093E-9</v>
      </c>
      <c r="AF20" s="37">
        <f t="shared" ca="1" si="81"/>
        <v>-1.4831987209618093E-9</v>
      </c>
      <c r="AG20" s="37">
        <f t="shared" ca="1" si="81"/>
        <v>-1.4831987209618093E-9</v>
      </c>
      <c r="AH20" s="37">
        <f t="shared" ca="1" si="81"/>
        <v>-1.4831987209618093E-9</v>
      </c>
      <c r="AI20" s="37">
        <f t="shared" ca="1" si="81"/>
        <v>-1.4831987209618093E-9</v>
      </c>
      <c r="AJ20" s="37">
        <f t="shared" ca="1" si="81"/>
        <v>-1.4831987209618093E-9</v>
      </c>
      <c r="AK20" s="37">
        <f t="shared" ca="1" si="81"/>
        <v>-1.4831987209618093E-9</v>
      </c>
      <c r="AL20" s="37">
        <f t="shared" ca="1" si="81"/>
        <v>-1.4831987209618093E-9</v>
      </c>
      <c r="AM20" s="37">
        <f t="shared" ca="1" si="81"/>
        <v>-1.4831987209618093E-9</v>
      </c>
      <c r="AN20" s="37">
        <f t="shared" ca="1" si="81"/>
        <v>-1.4831987209618093E-9</v>
      </c>
      <c r="AO20" s="37">
        <f t="shared" ca="1" si="81"/>
        <v>-1.4831987209618093E-9</v>
      </c>
      <c r="AP20" s="37">
        <f t="shared" ca="1" si="81"/>
        <v>-1.4831987209618093E-9</v>
      </c>
      <c r="AQ20" s="37">
        <f t="shared" ca="1" si="81"/>
        <v>-1.4831987209618093E-9</v>
      </c>
      <c r="AR20" s="37">
        <f t="shared" ref="AR20:BY20" ca="1" si="82">+AR164+AR386+AR395+AR530</f>
        <v>-1.4831987209618093E-9</v>
      </c>
      <c r="AS20" s="37">
        <f t="shared" ca="1" si="82"/>
        <v>-1.4831987209618093E-9</v>
      </c>
      <c r="AT20" s="37">
        <f t="shared" ca="1" si="82"/>
        <v>-1.4831987209618093E-9</v>
      </c>
      <c r="AU20" s="37">
        <f t="shared" ca="1" si="82"/>
        <v>-1.4831987209618093E-9</v>
      </c>
      <c r="AV20" s="37">
        <f t="shared" ca="1" si="82"/>
        <v>-1.4831987209618093E-9</v>
      </c>
      <c r="AW20" s="37">
        <f t="shared" ca="1" si="82"/>
        <v>-1.4831987209618093E-9</v>
      </c>
      <c r="AX20" s="37">
        <f t="shared" ca="1" si="82"/>
        <v>-1.4831987209618093E-9</v>
      </c>
      <c r="AY20" s="37">
        <f t="shared" ca="1" si="82"/>
        <v>-1.4831987209618093E-9</v>
      </c>
      <c r="AZ20" s="37">
        <f t="shared" ca="1" si="82"/>
        <v>-1.4831987209618093E-9</v>
      </c>
      <c r="BA20" s="37">
        <f t="shared" ca="1" si="82"/>
        <v>-1.4831987209618093E-9</v>
      </c>
      <c r="BB20" s="37">
        <f t="shared" ca="1" si="82"/>
        <v>-1.4831987209618093E-9</v>
      </c>
      <c r="BC20" s="37">
        <f t="shared" ca="1" si="82"/>
        <v>-1.4831987209618093E-9</v>
      </c>
      <c r="BD20" s="37">
        <f t="shared" ca="1" si="82"/>
        <v>-1.4831987209618093E-9</v>
      </c>
      <c r="BE20" s="37">
        <f t="shared" ca="1" si="82"/>
        <v>-1.4831987209618093E-9</v>
      </c>
      <c r="BF20" s="37">
        <f t="shared" ca="1" si="82"/>
        <v>-1.4831987209618093E-9</v>
      </c>
      <c r="BG20" s="37">
        <f t="shared" ca="1" si="82"/>
        <v>-1.4831987209618093E-9</v>
      </c>
      <c r="BH20" s="37">
        <f t="shared" ca="1" si="82"/>
        <v>-1.4831987209618093E-9</v>
      </c>
      <c r="BI20" s="37">
        <f t="shared" ca="1" si="82"/>
        <v>-1.4831987209618093E-9</v>
      </c>
      <c r="BJ20" s="37">
        <f t="shared" ca="1" si="82"/>
        <v>-1.4831987209618093E-9</v>
      </c>
      <c r="BK20" s="37">
        <f t="shared" ca="1" si="82"/>
        <v>-1.4831987209618093E-9</v>
      </c>
      <c r="BL20" s="37">
        <f t="shared" ca="1" si="82"/>
        <v>-1.4831987209618093E-9</v>
      </c>
      <c r="BM20" s="37">
        <f t="shared" ca="1" si="82"/>
        <v>-1.4831987209618093E-9</v>
      </c>
      <c r="BN20" s="37">
        <f t="shared" ca="1" si="82"/>
        <v>-1.4831987209618093E-9</v>
      </c>
      <c r="BO20" s="37">
        <f t="shared" ca="1" si="82"/>
        <v>-1.4831987209618093E-9</v>
      </c>
      <c r="BP20" s="37">
        <f t="shared" ca="1" si="82"/>
        <v>-1.4831987209618093E-9</v>
      </c>
      <c r="BQ20" s="37">
        <f t="shared" ca="1" si="82"/>
        <v>-1.4831987209618093E-9</v>
      </c>
      <c r="BR20" s="37">
        <f t="shared" ca="1" si="82"/>
        <v>-1.4831987209618093E-9</v>
      </c>
      <c r="BS20" s="37">
        <f t="shared" ca="1" si="82"/>
        <v>-1.4831987209618093E-9</v>
      </c>
      <c r="BT20" s="37">
        <f t="shared" ca="1" si="82"/>
        <v>-1.4831987209618093E-9</v>
      </c>
      <c r="BU20" s="37">
        <f t="shared" ca="1" si="82"/>
        <v>-1.4831987209618093E-9</v>
      </c>
      <c r="BV20" s="37">
        <f t="shared" ca="1" si="82"/>
        <v>-1.4831987209618093E-9</v>
      </c>
      <c r="BW20" s="37">
        <f t="shared" ca="1" si="82"/>
        <v>-1.4831987209618093E-9</v>
      </c>
      <c r="BX20" s="37">
        <f t="shared" ca="1" si="82"/>
        <v>-1.4831987209618093E-9</v>
      </c>
      <c r="BY20" s="37">
        <f t="shared" ca="1" si="82"/>
        <v>-1.4831987209618093E-9</v>
      </c>
    </row>
    <row r="21" spans="2:77" ht="15" outlineLevel="3">
      <c r="C21" s="29"/>
      <c r="D21" s="29"/>
      <c r="E21" s="22"/>
      <c r="F21" s="36"/>
      <c r="G21" s="24"/>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row>
    <row r="22" spans="2:77" s="19" customFormat="1" ht="12.75" outlineLevel="3">
      <c r="B22" s="18" t="s">
        <v>473</v>
      </c>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row>
    <row r="23" spans="2:77" outlineLevel="3">
      <c r="C23" s="29"/>
      <c r="D23" s="29"/>
      <c r="G23" s="24"/>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row>
    <row r="24" spans="2:77" outlineLevel="3">
      <c r="C24" s="29"/>
      <c r="D24" s="29"/>
      <c r="E24" t="s">
        <v>474</v>
      </c>
      <c r="F24" s="23" t="s">
        <v>475</v>
      </c>
      <c r="G24" s="24"/>
      <c r="H24" s="33">
        <f t="shared" ref="H24:AM24" ca="1" si="83">+H170+H401+H414+H534</f>
        <v>0</v>
      </c>
      <c r="I24" s="33">
        <f t="shared" ca="1" si="83"/>
        <v>0</v>
      </c>
      <c r="J24" s="33">
        <f t="shared" ca="1" si="83"/>
        <v>0</v>
      </c>
      <c r="K24" s="33">
        <f t="shared" si="83"/>
        <v>-50052874.093088396</v>
      </c>
      <c r="L24" s="33">
        <f t="shared" si="83"/>
        <v>-50495334.399595484</v>
      </c>
      <c r="M24" s="33">
        <f t="shared" si="83"/>
        <v>-50946643.912232704</v>
      </c>
      <c r="N24" s="33">
        <f t="shared" si="83"/>
        <v>-51406979.615122683</v>
      </c>
      <c r="O24" s="33">
        <f t="shared" si="83"/>
        <v>-51876522.03207045</v>
      </c>
      <c r="P24" s="33">
        <f t="shared" si="83"/>
        <v>-52355455.297357172</v>
      </c>
      <c r="Q24" s="33">
        <f t="shared" si="83"/>
        <v>-52843967.227949642</v>
      </c>
      <c r="R24" s="33">
        <f t="shared" si="83"/>
        <v>-53342249.397153951</v>
      </c>
      <c r="S24" s="33">
        <f t="shared" si="83"/>
        <v>-53850497.209742345</v>
      </c>
      <c r="T24" s="33">
        <f t="shared" si="83"/>
        <v>-54368909.978582516</v>
      </c>
      <c r="U24" s="33">
        <f t="shared" si="83"/>
        <v>-54897691.002799481</v>
      </c>
      <c r="V24" s="33">
        <f t="shared" si="83"/>
        <v>-55437047.647500783</v>
      </c>
      <c r="W24" s="33">
        <f t="shared" si="83"/>
        <v>-55987191.425096117</v>
      </c>
      <c r="X24" s="33">
        <f t="shared" si="83"/>
        <v>-56548338.07824336</v>
      </c>
      <c r="Y24" s="33">
        <f t="shared" si="83"/>
        <v>-57120707.664453544</v>
      </c>
      <c r="Z24" s="33">
        <f t="shared" ca="1" si="83"/>
        <v>-165933.14783277921</v>
      </c>
      <c r="AA24" s="33">
        <f t="shared" ca="1" si="83"/>
        <v>0</v>
      </c>
      <c r="AB24" s="33">
        <f t="shared" ca="1" si="83"/>
        <v>0</v>
      </c>
      <c r="AC24" s="33">
        <f t="shared" ca="1" si="83"/>
        <v>0</v>
      </c>
      <c r="AD24" s="33">
        <f t="shared" ca="1" si="83"/>
        <v>0</v>
      </c>
      <c r="AE24" s="33">
        <f t="shared" ca="1" si="83"/>
        <v>0</v>
      </c>
      <c r="AF24" s="33">
        <f t="shared" ca="1" si="83"/>
        <v>0</v>
      </c>
      <c r="AG24" s="33">
        <f t="shared" ca="1" si="83"/>
        <v>0</v>
      </c>
      <c r="AH24" s="33">
        <f t="shared" ca="1" si="83"/>
        <v>0</v>
      </c>
      <c r="AI24" s="33">
        <f t="shared" ca="1" si="83"/>
        <v>0</v>
      </c>
      <c r="AJ24" s="33">
        <f t="shared" ca="1" si="83"/>
        <v>0</v>
      </c>
      <c r="AK24" s="33">
        <f t="shared" ca="1" si="83"/>
        <v>0</v>
      </c>
      <c r="AL24" s="33">
        <f t="shared" ca="1" si="83"/>
        <v>0</v>
      </c>
      <c r="AM24" s="33">
        <f t="shared" ca="1" si="83"/>
        <v>0</v>
      </c>
      <c r="AN24" s="33">
        <f t="shared" ref="AN24:BS24" ca="1" si="84">+AN170+AN401+AN414+AN534</f>
        <v>0</v>
      </c>
      <c r="AO24" s="33">
        <f t="shared" ca="1" si="84"/>
        <v>0</v>
      </c>
      <c r="AP24" s="33">
        <f t="shared" ca="1" si="84"/>
        <v>0</v>
      </c>
      <c r="AQ24" s="33">
        <f t="shared" ca="1" si="84"/>
        <v>0</v>
      </c>
      <c r="AR24" s="33">
        <f t="shared" ca="1" si="84"/>
        <v>0</v>
      </c>
      <c r="AS24" s="33">
        <f t="shared" ca="1" si="84"/>
        <v>0</v>
      </c>
      <c r="AT24" s="33">
        <f t="shared" ca="1" si="84"/>
        <v>0</v>
      </c>
      <c r="AU24" s="33">
        <f t="shared" ca="1" si="84"/>
        <v>0</v>
      </c>
      <c r="AV24" s="33">
        <f t="shared" ca="1" si="84"/>
        <v>0</v>
      </c>
      <c r="AW24" s="33">
        <f t="shared" ca="1" si="84"/>
        <v>0</v>
      </c>
      <c r="AX24" s="33">
        <f t="shared" ca="1" si="84"/>
        <v>0</v>
      </c>
      <c r="AY24" s="33">
        <f t="shared" ca="1" si="84"/>
        <v>0</v>
      </c>
      <c r="AZ24" s="33">
        <f t="shared" ca="1" si="84"/>
        <v>0</v>
      </c>
      <c r="BA24" s="33">
        <f t="shared" ca="1" si="84"/>
        <v>0</v>
      </c>
      <c r="BB24" s="33">
        <f t="shared" ca="1" si="84"/>
        <v>0</v>
      </c>
      <c r="BC24" s="33">
        <f t="shared" ca="1" si="84"/>
        <v>0</v>
      </c>
      <c r="BD24" s="33">
        <f t="shared" ca="1" si="84"/>
        <v>0</v>
      </c>
      <c r="BE24" s="33">
        <f t="shared" ca="1" si="84"/>
        <v>0</v>
      </c>
      <c r="BF24" s="33">
        <f t="shared" ca="1" si="84"/>
        <v>0</v>
      </c>
      <c r="BG24" s="33">
        <f t="shared" ca="1" si="84"/>
        <v>0</v>
      </c>
      <c r="BH24" s="33">
        <f t="shared" ca="1" si="84"/>
        <v>0</v>
      </c>
      <c r="BI24" s="33">
        <f t="shared" ca="1" si="84"/>
        <v>0</v>
      </c>
      <c r="BJ24" s="33">
        <f t="shared" ca="1" si="84"/>
        <v>0</v>
      </c>
      <c r="BK24" s="33">
        <f t="shared" ca="1" si="84"/>
        <v>0</v>
      </c>
      <c r="BL24" s="33">
        <f t="shared" ca="1" si="84"/>
        <v>0</v>
      </c>
      <c r="BM24" s="33">
        <f t="shared" ca="1" si="84"/>
        <v>0</v>
      </c>
      <c r="BN24" s="33">
        <f t="shared" ca="1" si="84"/>
        <v>0</v>
      </c>
      <c r="BO24" s="33">
        <f t="shared" ca="1" si="84"/>
        <v>0</v>
      </c>
      <c r="BP24" s="33">
        <f t="shared" ca="1" si="84"/>
        <v>0</v>
      </c>
      <c r="BQ24" s="33">
        <f t="shared" ca="1" si="84"/>
        <v>0</v>
      </c>
      <c r="BR24" s="33">
        <f t="shared" ca="1" si="84"/>
        <v>0</v>
      </c>
      <c r="BS24" s="33">
        <f t="shared" ca="1" si="84"/>
        <v>0</v>
      </c>
      <c r="BT24" s="33">
        <f t="shared" ref="BT24:BY24" ca="1" si="85">+BT170+BT401+BT414+BT534</f>
        <v>0</v>
      </c>
      <c r="BU24" s="33">
        <f t="shared" ca="1" si="85"/>
        <v>0</v>
      </c>
      <c r="BV24" s="33">
        <f t="shared" ca="1" si="85"/>
        <v>0</v>
      </c>
      <c r="BW24" s="33">
        <f t="shared" ca="1" si="85"/>
        <v>0</v>
      </c>
      <c r="BX24" s="33">
        <f t="shared" ca="1" si="85"/>
        <v>0</v>
      </c>
      <c r="BY24" s="33">
        <f t="shared" ca="1" si="85"/>
        <v>0</v>
      </c>
    </row>
    <row r="25" spans="2:77" outlineLevel="3">
      <c r="C25" s="29"/>
      <c r="D25" s="29"/>
      <c r="E25" t="s">
        <v>476</v>
      </c>
      <c r="F25" s="23" t="s">
        <v>475</v>
      </c>
      <c r="G25" s="24"/>
      <c r="H25" s="33">
        <f t="shared" ref="H25:AM25" si="86">+H171+H402+H415+H535</f>
        <v>0</v>
      </c>
      <c r="I25" s="33">
        <f t="shared" si="86"/>
        <v>0</v>
      </c>
      <c r="J25" s="33">
        <f t="shared" si="86"/>
        <v>0</v>
      </c>
      <c r="K25" s="33">
        <f t="shared" si="86"/>
        <v>27929858.767734125</v>
      </c>
      <c r="L25" s="33">
        <f t="shared" si="86"/>
        <v>27929858.767734125</v>
      </c>
      <c r="M25" s="33">
        <f t="shared" si="86"/>
        <v>27929858.767734125</v>
      </c>
      <c r="N25" s="33">
        <f t="shared" si="86"/>
        <v>27929858.767734125</v>
      </c>
      <c r="O25" s="33">
        <f t="shared" si="86"/>
        <v>27929858.767734125</v>
      </c>
      <c r="P25" s="33">
        <f t="shared" si="86"/>
        <v>27929858.767734125</v>
      </c>
      <c r="Q25" s="33">
        <f t="shared" si="86"/>
        <v>27929858.767734125</v>
      </c>
      <c r="R25" s="33">
        <f t="shared" si="86"/>
        <v>27929858.767734125</v>
      </c>
      <c r="S25" s="33">
        <f t="shared" si="86"/>
        <v>27929858.767734125</v>
      </c>
      <c r="T25" s="33">
        <f t="shared" si="86"/>
        <v>27929858.767734125</v>
      </c>
      <c r="U25" s="33">
        <f t="shared" si="86"/>
        <v>27929858.767734125</v>
      </c>
      <c r="V25" s="33">
        <f t="shared" si="86"/>
        <v>27929858.767734125</v>
      </c>
      <c r="W25" s="33">
        <f t="shared" si="86"/>
        <v>27929858.767734125</v>
      </c>
      <c r="X25" s="33">
        <f t="shared" si="86"/>
        <v>27929858.767734125</v>
      </c>
      <c r="Y25" s="33">
        <f t="shared" si="86"/>
        <v>27929858.767734125</v>
      </c>
      <c r="Z25" s="33">
        <f t="shared" si="86"/>
        <v>165933.14783277921</v>
      </c>
      <c r="AA25" s="33">
        <f t="shared" si="86"/>
        <v>0</v>
      </c>
      <c r="AB25" s="33">
        <f t="shared" si="86"/>
        <v>0</v>
      </c>
      <c r="AC25" s="33">
        <f t="shared" si="86"/>
        <v>0</v>
      </c>
      <c r="AD25" s="33">
        <f t="shared" si="86"/>
        <v>0</v>
      </c>
      <c r="AE25" s="33">
        <f t="shared" si="86"/>
        <v>0</v>
      </c>
      <c r="AF25" s="33">
        <f t="shared" si="86"/>
        <v>0</v>
      </c>
      <c r="AG25" s="33">
        <f t="shared" si="86"/>
        <v>0</v>
      </c>
      <c r="AH25" s="33">
        <f t="shared" si="86"/>
        <v>0</v>
      </c>
      <c r="AI25" s="33">
        <f t="shared" si="86"/>
        <v>0</v>
      </c>
      <c r="AJ25" s="33">
        <f t="shared" si="86"/>
        <v>0</v>
      </c>
      <c r="AK25" s="33">
        <f t="shared" si="86"/>
        <v>0</v>
      </c>
      <c r="AL25" s="33">
        <f t="shared" si="86"/>
        <v>0</v>
      </c>
      <c r="AM25" s="33">
        <f t="shared" si="86"/>
        <v>0</v>
      </c>
      <c r="AN25" s="33">
        <f t="shared" ref="AN25:BS25" si="87">+AN171+AN402+AN415+AN535</f>
        <v>0</v>
      </c>
      <c r="AO25" s="33">
        <f t="shared" si="87"/>
        <v>0</v>
      </c>
      <c r="AP25" s="33">
        <f t="shared" si="87"/>
        <v>0</v>
      </c>
      <c r="AQ25" s="33">
        <f t="shared" si="87"/>
        <v>0</v>
      </c>
      <c r="AR25" s="33">
        <f t="shared" si="87"/>
        <v>0</v>
      </c>
      <c r="AS25" s="33">
        <f t="shared" si="87"/>
        <v>0</v>
      </c>
      <c r="AT25" s="33">
        <f t="shared" si="87"/>
        <v>0</v>
      </c>
      <c r="AU25" s="33">
        <f t="shared" si="87"/>
        <v>0</v>
      </c>
      <c r="AV25" s="33">
        <f t="shared" si="87"/>
        <v>0</v>
      </c>
      <c r="AW25" s="33">
        <f t="shared" si="87"/>
        <v>0</v>
      </c>
      <c r="AX25" s="33">
        <f t="shared" si="87"/>
        <v>0</v>
      </c>
      <c r="AY25" s="33">
        <f t="shared" si="87"/>
        <v>0</v>
      </c>
      <c r="AZ25" s="33">
        <f t="shared" si="87"/>
        <v>0</v>
      </c>
      <c r="BA25" s="33">
        <f t="shared" si="87"/>
        <v>0</v>
      </c>
      <c r="BB25" s="33">
        <f t="shared" si="87"/>
        <v>0</v>
      </c>
      <c r="BC25" s="33">
        <f t="shared" si="87"/>
        <v>0</v>
      </c>
      <c r="BD25" s="33">
        <f t="shared" si="87"/>
        <v>0</v>
      </c>
      <c r="BE25" s="33">
        <f t="shared" si="87"/>
        <v>0</v>
      </c>
      <c r="BF25" s="33">
        <f t="shared" si="87"/>
        <v>0</v>
      </c>
      <c r="BG25" s="33">
        <f t="shared" si="87"/>
        <v>0</v>
      </c>
      <c r="BH25" s="33">
        <f t="shared" si="87"/>
        <v>0</v>
      </c>
      <c r="BI25" s="33">
        <f t="shared" si="87"/>
        <v>0</v>
      </c>
      <c r="BJ25" s="33">
        <f t="shared" si="87"/>
        <v>0</v>
      </c>
      <c r="BK25" s="33">
        <f t="shared" si="87"/>
        <v>0</v>
      </c>
      <c r="BL25" s="33">
        <f t="shared" si="87"/>
        <v>0</v>
      </c>
      <c r="BM25" s="33">
        <f t="shared" si="87"/>
        <v>0</v>
      </c>
      <c r="BN25" s="33">
        <f t="shared" si="87"/>
        <v>0</v>
      </c>
      <c r="BO25" s="33">
        <f t="shared" si="87"/>
        <v>0</v>
      </c>
      <c r="BP25" s="33">
        <f t="shared" si="87"/>
        <v>0</v>
      </c>
      <c r="BQ25" s="33">
        <f t="shared" si="87"/>
        <v>0</v>
      </c>
      <c r="BR25" s="33">
        <f t="shared" si="87"/>
        <v>0</v>
      </c>
      <c r="BS25" s="33">
        <f t="shared" si="87"/>
        <v>0</v>
      </c>
      <c r="BT25" s="33">
        <f t="shared" ref="BT25:BY25" si="88">+BT171+BT402+BT415+BT535</f>
        <v>0</v>
      </c>
      <c r="BU25" s="33">
        <f t="shared" si="88"/>
        <v>0</v>
      </c>
      <c r="BV25" s="33">
        <f t="shared" si="88"/>
        <v>0</v>
      </c>
      <c r="BW25" s="33">
        <f t="shared" si="88"/>
        <v>0</v>
      </c>
      <c r="BX25" s="33">
        <f t="shared" si="88"/>
        <v>0</v>
      </c>
      <c r="BY25" s="33">
        <f t="shared" si="88"/>
        <v>0</v>
      </c>
    </row>
    <row r="26" spans="2:77" outlineLevel="3">
      <c r="C26" s="29"/>
      <c r="D26" s="29"/>
      <c r="E26" t="s">
        <v>477</v>
      </c>
      <c r="F26" s="23" t="s">
        <v>466</v>
      </c>
      <c r="G26" s="24"/>
      <c r="H26" s="33">
        <f t="shared" ref="H26:AM26" si="89">+H172+H403+H416+H536</f>
        <v>0</v>
      </c>
      <c r="I26" s="33">
        <f t="shared" si="89"/>
        <v>0</v>
      </c>
      <c r="J26" s="33">
        <f t="shared" si="89"/>
        <v>0</v>
      </c>
      <c r="K26" s="33">
        <f t="shared" si="89"/>
        <v>0</v>
      </c>
      <c r="L26" s="33">
        <f t="shared" si="89"/>
        <v>0</v>
      </c>
      <c r="M26" s="33">
        <f t="shared" si="89"/>
        <v>0</v>
      </c>
      <c r="N26" s="33">
        <f t="shared" si="89"/>
        <v>0</v>
      </c>
      <c r="O26" s="33">
        <f t="shared" si="89"/>
        <v>0</v>
      </c>
      <c r="P26" s="33">
        <f t="shared" si="89"/>
        <v>0</v>
      </c>
      <c r="Q26" s="33">
        <f t="shared" si="89"/>
        <v>0</v>
      </c>
      <c r="R26" s="33">
        <f t="shared" si="89"/>
        <v>0</v>
      </c>
      <c r="S26" s="33">
        <f t="shared" si="89"/>
        <v>0</v>
      </c>
      <c r="T26" s="33">
        <f t="shared" si="89"/>
        <v>0</v>
      </c>
      <c r="U26" s="33">
        <f t="shared" si="89"/>
        <v>0</v>
      </c>
      <c r="V26" s="33">
        <f t="shared" si="89"/>
        <v>0</v>
      </c>
      <c r="W26" s="33">
        <f t="shared" si="89"/>
        <v>0</v>
      </c>
      <c r="X26" s="33">
        <f t="shared" si="89"/>
        <v>0</v>
      </c>
      <c r="Y26" s="33">
        <f t="shared" si="89"/>
        <v>0</v>
      </c>
      <c r="Z26" s="33">
        <f t="shared" si="89"/>
        <v>0</v>
      </c>
      <c r="AA26" s="33">
        <f t="shared" si="89"/>
        <v>0</v>
      </c>
      <c r="AB26" s="33">
        <f t="shared" si="89"/>
        <v>0</v>
      </c>
      <c r="AC26" s="33">
        <f t="shared" si="89"/>
        <v>0</v>
      </c>
      <c r="AD26" s="33">
        <f t="shared" si="89"/>
        <v>0</v>
      </c>
      <c r="AE26" s="33">
        <f t="shared" si="89"/>
        <v>0</v>
      </c>
      <c r="AF26" s="33">
        <f t="shared" si="89"/>
        <v>0</v>
      </c>
      <c r="AG26" s="33">
        <f t="shared" si="89"/>
        <v>0</v>
      </c>
      <c r="AH26" s="33">
        <f t="shared" si="89"/>
        <v>0</v>
      </c>
      <c r="AI26" s="33">
        <f t="shared" si="89"/>
        <v>0</v>
      </c>
      <c r="AJ26" s="33">
        <f t="shared" si="89"/>
        <v>0</v>
      </c>
      <c r="AK26" s="33">
        <f t="shared" si="89"/>
        <v>0</v>
      </c>
      <c r="AL26" s="33">
        <f t="shared" si="89"/>
        <v>0</v>
      </c>
      <c r="AM26" s="33">
        <f t="shared" si="89"/>
        <v>0</v>
      </c>
      <c r="AN26" s="33">
        <f t="shared" ref="AN26:BS26" si="90">+AN172+AN403+AN416+AN536</f>
        <v>0</v>
      </c>
      <c r="AO26" s="33">
        <f t="shared" si="90"/>
        <v>0</v>
      </c>
      <c r="AP26" s="33">
        <f t="shared" si="90"/>
        <v>0</v>
      </c>
      <c r="AQ26" s="33">
        <f t="shared" si="90"/>
        <v>0</v>
      </c>
      <c r="AR26" s="33">
        <f t="shared" si="90"/>
        <v>0</v>
      </c>
      <c r="AS26" s="33">
        <f t="shared" si="90"/>
        <v>0</v>
      </c>
      <c r="AT26" s="33">
        <f t="shared" si="90"/>
        <v>0</v>
      </c>
      <c r="AU26" s="33">
        <f t="shared" si="90"/>
        <v>0</v>
      </c>
      <c r="AV26" s="33">
        <f t="shared" si="90"/>
        <v>0</v>
      </c>
      <c r="AW26" s="33">
        <f t="shared" si="90"/>
        <v>0</v>
      </c>
      <c r="AX26" s="33">
        <f t="shared" si="90"/>
        <v>0</v>
      </c>
      <c r="AY26" s="33">
        <f t="shared" si="90"/>
        <v>0</v>
      </c>
      <c r="AZ26" s="33">
        <f t="shared" si="90"/>
        <v>0</v>
      </c>
      <c r="BA26" s="33">
        <f t="shared" si="90"/>
        <v>0</v>
      </c>
      <c r="BB26" s="33">
        <f t="shared" si="90"/>
        <v>0</v>
      </c>
      <c r="BC26" s="33">
        <f t="shared" si="90"/>
        <v>0</v>
      </c>
      <c r="BD26" s="33">
        <f t="shared" si="90"/>
        <v>0</v>
      </c>
      <c r="BE26" s="33">
        <f t="shared" si="90"/>
        <v>0</v>
      </c>
      <c r="BF26" s="33">
        <f t="shared" si="90"/>
        <v>0</v>
      </c>
      <c r="BG26" s="33">
        <f t="shared" si="90"/>
        <v>0</v>
      </c>
      <c r="BH26" s="33">
        <f t="shared" si="90"/>
        <v>0</v>
      </c>
      <c r="BI26" s="33">
        <f t="shared" si="90"/>
        <v>0</v>
      </c>
      <c r="BJ26" s="33">
        <f t="shared" si="90"/>
        <v>0</v>
      </c>
      <c r="BK26" s="33">
        <f t="shared" si="90"/>
        <v>0</v>
      </c>
      <c r="BL26" s="33">
        <f t="shared" si="90"/>
        <v>0</v>
      </c>
      <c r="BM26" s="33">
        <f t="shared" si="90"/>
        <v>0</v>
      </c>
      <c r="BN26" s="33">
        <f t="shared" si="90"/>
        <v>0</v>
      </c>
      <c r="BO26" s="33">
        <f t="shared" si="90"/>
        <v>0</v>
      </c>
      <c r="BP26" s="33">
        <f t="shared" si="90"/>
        <v>0</v>
      </c>
      <c r="BQ26" s="33">
        <f t="shared" si="90"/>
        <v>0</v>
      </c>
      <c r="BR26" s="33">
        <f t="shared" si="90"/>
        <v>0</v>
      </c>
      <c r="BS26" s="33">
        <f t="shared" si="90"/>
        <v>0</v>
      </c>
      <c r="BT26" s="33">
        <f t="shared" ref="BT26:BY26" si="91">+BT172+BT403+BT416+BT536</f>
        <v>0</v>
      </c>
      <c r="BU26" s="33">
        <f t="shared" si="91"/>
        <v>0</v>
      </c>
      <c r="BV26" s="33">
        <f t="shared" si="91"/>
        <v>0</v>
      </c>
      <c r="BW26" s="33">
        <f t="shared" si="91"/>
        <v>0</v>
      </c>
      <c r="BX26" s="33">
        <f t="shared" si="91"/>
        <v>0</v>
      </c>
      <c r="BY26" s="33">
        <f t="shared" si="91"/>
        <v>0</v>
      </c>
    </row>
    <row r="27" spans="2:77" outlineLevel="3">
      <c r="C27" s="29"/>
      <c r="D27" s="29"/>
      <c r="E27" t="s">
        <v>471</v>
      </c>
      <c r="F27" s="23" t="s">
        <v>466</v>
      </c>
      <c r="G27" s="24"/>
      <c r="H27" s="33">
        <f t="shared" ref="H27:AM27" ca="1" si="92">+H173+H404+H417+H537</f>
        <v>0</v>
      </c>
      <c r="I27" s="33">
        <f t="shared" ca="1" si="92"/>
        <v>0</v>
      </c>
      <c r="J27" s="33">
        <f t="shared" ca="1" si="92"/>
        <v>0</v>
      </c>
      <c r="K27" s="33">
        <f t="shared" ca="1" si="92"/>
        <v>0</v>
      </c>
      <c r="L27" s="33">
        <f t="shared" ca="1" si="92"/>
        <v>0</v>
      </c>
      <c r="M27" s="33">
        <f t="shared" ca="1" si="92"/>
        <v>0</v>
      </c>
      <c r="N27" s="33">
        <f t="shared" ca="1" si="92"/>
        <v>0</v>
      </c>
      <c r="O27" s="33">
        <f t="shared" ca="1" si="92"/>
        <v>0</v>
      </c>
      <c r="P27" s="33">
        <f t="shared" ca="1" si="92"/>
        <v>0</v>
      </c>
      <c r="Q27" s="33">
        <f t="shared" ca="1" si="92"/>
        <v>0</v>
      </c>
      <c r="R27" s="33">
        <f t="shared" ca="1" si="92"/>
        <v>0</v>
      </c>
      <c r="S27" s="33">
        <f t="shared" ca="1" si="92"/>
        <v>0</v>
      </c>
      <c r="T27" s="33">
        <f t="shared" ca="1" si="92"/>
        <v>0</v>
      </c>
      <c r="U27" s="33">
        <f t="shared" ca="1" si="92"/>
        <v>0</v>
      </c>
      <c r="V27" s="33">
        <f t="shared" ca="1" si="92"/>
        <v>0</v>
      </c>
      <c r="W27" s="33">
        <f t="shared" ca="1" si="92"/>
        <v>0</v>
      </c>
      <c r="X27" s="33">
        <f t="shared" ca="1" si="92"/>
        <v>0</v>
      </c>
      <c r="Y27" s="33">
        <f t="shared" ca="1" si="92"/>
        <v>0</v>
      </c>
      <c r="Z27" s="33">
        <f t="shared" ca="1" si="92"/>
        <v>0</v>
      </c>
      <c r="AA27" s="33">
        <f t="shared" ca="1" si="92"/>
        <v>0</v>
      </c>
      <c r="AB27" s="33">
        <f t="shared" ca="1" si="92"/>
        <v>0</v>
      </c>
      <c r="AC27" s="33">
        <f t="shared" ca="1" si="92"/>
        <v>0</v>
      </c>
      <c r="AD27" s="33">
        <f t="shared" ca="1" si="92"/>
        <v>0</v>
      </c>
      <c r="AE27" s="33">
        <f t="shared" ca="1" si="92"/>
        <v>0</v>
      </c>
      <c r="AF27" s="33">
        <f t="shared" ca="1" si="92"/>
        <v>0</v>
      </c>
      <c r="AG27" s="33">
        <f t="shared" ca="1" si="92"/>
        <v>0</v>
      </c>
      <c r="AH27" s="33">
        <f t="shared" ca="1" si="92"/>
        <v>0</v>
      </c>
      <c r="AI27" s="33">
        <f t="shared" ca="1" si="92"/>
        <v>0</v>
      </c>
      <c r="AJ27" s="33">
        <f t="shared" ca="1" si="92"/>
        <v>0</v>
      </c>
      <c r="AK27" s="33">
        <f t="shared" ca="1" si="92"/>
        <v>0</v>
      </c>
      <c r="AL27" s="33">
        <f t="shared" ca="1" si="92"/>
        <v>0</v>
      </c>
      <c r="AM27" s="33">
        <f t="shared" ca="1" si="92"/>
        <v>0</v>
      </c>
      <c r="AN27" s="33">
        <f t="shared" ref="AN27:BS27" ca="1" si="93">+AN173+AN404+AN417+AN537</f>
        <v>0</v>
      </c>
      <c r="AO27" s="33">
        <f t="shared" ca="1" si="93"/>
        <v>0</v>
      </c>
      <c r="AP27" s="33">
        <f t="shared" ca="1" si="93"/>
        <v>0</v>
      </c>
      <c r="AQ27" s="33">
        <f t="shared" ca="1" si="93"/>
        <v>0</v>
      </c>
      <c r="AR27" s="33">
        <f t="shared" ca="1" si="93"/>
        <v>0</v>
      </c>
      <c r="AS27" s="33">
        <f t="shared" ca="1" si="93"/>
        <v>0</v>
      </c>
      <c r="AT27" s="33">
        <f t="shared" ca="1" si="93"/>
        <v>0</v>
      </c>
      <c r="AU27" s="33">
        <f t="shared" ca="1" si="93"/>
        <v>0</v>
      </c>
      <c r="AV27" s="33">
        <f t="shared" ca="1" si="93"/>
        <v>0</v>
      </c>
      <c r="AW27" s="33">
        <f t="shared" ca="1" si="93"/>
        <v>0</v>
      </c>
      <c r="AX27" s="33">
        <f t="shared" ca="1" si="93"/>
        <v>0</v>
      </c>
      <c r="AY27" s="33">
        <f t="shared" ca="1" si="93"/>
        <v>0</v>
      </c>
      <c r="AZ27" s="33">
        <f t="shared" ca="1" si="93"/>
        <v>0</v>
      </c>
      <c r="BA27" s="33">
        <f t="shared" ca="1" si="93"/>
        <v>0</v>
      </c>
      <c r="BB27" s="33">
        <f t="shared" ca="1" si="93"/>
        <v>0</v>
      </c>
      <c r="BC27" s="33">
        <f t="shared" ca="1" si="93"/>
        <v>0</v>
      </c>
      <c r="BD27" s="33">
        <f t="shared" ca="1" si="93"/>
        <v>0</v>
      </c>
      <c r="BE27" s="33">
        <f t="shared" ca="1" si="93"/>
        <v>0</v>
      </c>
      <c r="BF27" s="33">
        <f t="shared" ca="1" si="93"/>
        <v>0</v>
      </c>
      <c r="BG27" s="33">
        <f t="shared" ca="1" si="93"/>
        <v>0</v>
      </c>
      <c r="BH27" s="33">
        <f t="shared" ca="1" si="93"/>
        <v>0</v>
      </c>
      <c r="BI27" s="33">
        <f t="shared" ca="1" si="93"/>
        <v>0</v>
      </c>
      <c r="BJ27" s="33">
        <f t="shared" ca="1" si="93"/>
        <v>0</v>
      </c>
      <c r="BK27" s="33">
        <f t="shared" ca="1" si="93"/>
        <v>0</v>
      </c>
      <c r="BL27" s="33">
        <f t="shared" ca="1" si="93"/>
        <v>0</v>
      </c>
      <c r="BM27" s="33">
        <f t="shared" ca="1" si="93"/>
        <v>0</v>
      </c>
      <c r="BN27" s="33">
        <f t="shared" ca="1" si="93"/>
        <v>0</v>
      </c>
      <c r="BO27" s="33">
        <f t="shared" ca="1" si="93"/>
        <v>0</v>
      </c>
      <c r="BP27" s="33">
        <f t="shared" ca="1" si="93"/>
        <v>0</v>
      </c>
      <c r="BQ27" s="33">
        <f t="shared" ca="1" si="93"/>
        <v>0</v>
      </c>
      <c r="BR27" s="33">
        <f t="shared" ca="1" si="93"/>
        <v>0</v>
      </c>
      <c r="BS27" s="33">
        <f t="shared" ca="1" si="93"/>
        <v>0</v>
      </c>
      <c r="BT27" s="33">
        <f t="shared" ref="BT27:BY27" ca="1" si="94">+BT173+BT404+BT417+BT537</f>
        <v>0</v>
      </c>
      <c r="BU27" s="33">
        <f t="shared" ca="1" si="94"/>
        <v>0</v>
      </c>
      <c r="BV27" s="33">
        <f t="shared" ca="1" si="94"/>
        <v>0</v>
      </c>
      <c r="BW27" s="33">
        <f t="shared" ca="1" si="94"/>
        <v>0</v>
      </c>
      <c r="BX27" s="33">
        <f t="shared" ca="1" si="94"/>
        <v>0</v>
      </c>
      <c r="BY27" s="33">
        <f t="shared" ca="1" si="94"/>
        <v>0</v>
      </c>
    </row>
    <row r="28" spans="2:77" s="22" customFormat="1" ht="15" outlineLevel="3">
      <c r="C28" s="90"/>
      <c r="D28" s="90"/>
      <c r="E28" s="22" t="s">
        <v>478</v>
      </c>
      <c r="F28" s="36" t="s">
        <v>470</v>
      </c>
      <c r="G28" s="91"/>
      <c r="H28" s="37">
        <f t="shared" ref="H28:AM28" ca="1" si="95">+H174+H405+H418+H538</f>
        <v>0</v>
      </c>
      <c r="I28" s="37">
        <f t="shared" ca="1" si="95"/>
        <v>0</v>
      </c>
      <c r="J28" s="37">
        <f t="shared" ca="1" si="95"/>
        <v>0</v>
      </c>
      <c r="K28" s="37">
        <f t="shared" ca="1" si="95"/>
        <v>-22123015.325354274</v>
      </c>
      <c r="L28" s="37">
        <f t="shared" ca="1" si="95"/>
        <v>-22565475.631861359</v>
      </c>
      <c r="M28" s="37">
        <f t="shared" ca="1" si="95"/>
        <v>-23016785.144498583</v>
      </c>
      <c r="N28" s="37">
        <f t="shared" ca="1" si="95"/>
        <v>-23477120.847388558</v>
      </c>
      <c r="O28" s="37">
        <f t="shared" ca="1" si="95"/>
        <v>-23946663.264336329</v>
      </c>
      <c r="P28" s="37">
        <f t="shared" ca="1" si="95"/>
        <v>-24425596.52962305</v>
      </c>
      <c r="Q28" s="37">
        <f t="shared" ca="1" si="95"/>
        <v>-24914108.46021552</v>
      </c>
      <c r="R28" s="37">
        <f t="shared" ca="1" si="95"/>
        <v>-25412390.629419826</v>
      </c>
      <c r="S28" s="37">
        <f t="shared" ca="1" si="95"/>
        <v>-25920638.442008223</v>
      </c>
      <c r="T28" s="37">
        <f t="shared" ca="1" si="95"/>
        <v>-26439051.210848391</v>
      </c>
      <c r="U28" s="37">
        <f t="shared" ca="1" si="95"/>
        <v>-26967832.23506536</v>
      </c>
      <c r="V28" s="37">
        <f t="shared" ca="1" si="95"/>
        <v>-27507188.879766654</v>
      </c>
      <c r="W28" s="37">
        <f t="shared" ca="1" si="95"/>
        <v>-28057332.657361992</v>
      </c>
      <c r="X28" s="37">
        <f t="shared" ca="1" si="95"/>
        <v>-28618479.310509238</v>
      </c>
      <c r="Y28" s="37">
        <f t="shared" ca="1" si="95"/>
        <v>-29190848.896719422</v>
      </c>
      <c r="Z28" s="37">
        <f t="shared" ca="1" si="95"/>
        <v>0</v>
      </c>
      <c r="AA28" s="37">
        <f t="shared" ca="1" si="95"/>
        <v>0</v>
      </c>
      <c r="AB28" s="37">
        <f t="shared" ca="1" si="95"/>
        <v>0</v>
      </c>
      <c r="AC28" s="37">
        <f t="shared" ca="1" si="95"/>
        <v>0</v>
      </c>
      <c r="AD28" s="37">
        <f t="shared" ca="1" si="95"/>
        <v>0</v>
      </c>
      <c r="AE28" s="37">
        <f t="shared" ca="1" si="95"/>
        <v>0</v>
      </c>
      <c r="AF28" s="37">
        <f t="shared" ca="1" si="95"/>
        <v>0</v>
      </c>
      <c r="AG28" s="37">
        <f t="shared" ca="1" si="95"/>
        <v>0</v>
      </c>
      <c r="AH28" s="37">
        <f t="shared" ca="1" si="95"/>
        <v>0</v>
      </c>
      <c r="AI28" s="37">
        <f t="shared" ca="1" si="95"/>
        <v>0</v>
      </c>
      <c r="AJ28" s="37">
        <f t="shared" ca="1" si="95"/>
        <v>0</v>
      </c>
      <c r="AK28" s="37">
        <f t="shared" ca="1" si="95"/>
        <v>0</v>
      </c>
      <c r="AL28" s="37">
        <f t="shared" ca="1" si="95"/>
        <v>0</v>
      </c>
      <c r="AM28" s="37">
        <f t="shared" ca="1" si="95"/>
        <v>0</v>
      </c>
      <c r="AN28" s="37">
        <f t="shared" ref="AN28:BS28" ca="1" si="96">+AN174+AN405+AN418+AN538</f>
        <v>0</v>
      </c>
      <c r="AO28" s="37">
        <f t="shared" ca="1" si="96"/>
        <v>0</v>
      </c>
      <c r="AP28" s="37">
        <f t="shared" ca="1" si="96"/>
        <v>0</v>
      </c>
      <c r="AQ28" s="37">
        <f t="shared" ca="1" si="96"/>
        <v>0</v>
      </c>
      <c r="AR28" s="37">
        <f t="shared" ca="1" si="96"/>
        <v>0</v>
      </c>
      <c r="AS28" s="37">
        <f t="shared" ca="1" si="96"/>
        <v>0</v>
      </c>
      <c r="AT28" s="37">
        <f t="shared" ca="1" si="96"/>
        <v>0</v>
      </c>
      <c r="AU28" s="37">
        <f t="shared" ca="1" si="96"/>
        <v>0</v>
      </c>
      <c r="AV28" s="37">
        <f t="shared" ca="1" si="96"/>
        <v>0</v>
      </c>
      <c r="AW28" s="37">
        <f t="shared" ca="1" si="96"/>
        <v>0</v>
      </c>
      <c r="AX28" s="37">
        <f t="shared" ca="1" si="96"/>
        <v>0</v>
      </c>
      <c r="AY28" s="37">
        <f t="shared" ca="1" si="96"/>
        <v>0</v>
      </c>
      <c r="AZ28" s="37">
        <f t="shared" ca="1" si="96"/>
        <v>0</v>
      </c>
      <c r="BA28" s="37">
        <f t="shared" ca="1" si="96"/>
        <v>0</v>
      </c>
      <c r="BB28" s="37">
        <f t="shared" ca="1" si="96"/>
        <v>0</v>
      </c>
      <c r="BC28" s="37">
        <f t="shared" ca="1" si="96"/>
        <v>0</v>
      </c>
      <c r="BD28" s="37">
        <f t="shared" ca="1" si="96"/>
        <v>0</v>
      </c>
      <c r="BE28" s="37">
        <f t="shared" ca="1" si="96"/>
        <v>0</v>
      </c>
      <c r="BF28" s="37">
        <f t="shared" ca="1" si="96"/>
        <v>0</v>
      </c>
      <c r="BG28" s="37">
        <f t="shared" ca="1" si="96"/>
        <v>0</v>
      </c>
      <c r="BH28" s="37">
        <f t="shared" ca="1" si="96"/>
        <v>0</v>
      </c>
      <c r="BI28" s="37">
        <f t="shared" ca="1" si="96"/>
        <v>0</v>
      </c>
      <c r="BJ28" s="37">
        <f t="shared" ca="1" si="96"/>
        <v>0</v>
      </c>
      <c r="BK28" s="37">
        <f t="shared" ca="1" si="96"/>
        <v>0</v>
      </c>
      <c r="BL28" s="37">
        <f t="shared" ca="1" si="96"/>
        <v>0</v>
      </c>
      <c r="BM28" s="37">
        <f t="shared" ca="1" si="96"/>
        <v>0</v>
      </c>
      <c r="BN28" s="37">
        <f t="shared" ca="1" si="96"/>
        <v>0</v>
      </c>
      <c r="BO28" s="37">
        <f t="shared" ca="1" si="96"/>
        <v>0</v>
      </c>
      <c r="BP28" s="37">
        <f t="shared" ca="1" si="96"/>
        <v>0</v>
      </c>
      <c r="BQ28" s="37">
        <f t="shared" ca="1" si="96"/>
        <v>0</v>
      </c>
      <c r="BR28" s="37">
        <f t="shared" ca="1" si="96"/>
        <v>0</v>
      </c>
      <c r="BS28" s="37">
        <f t="shared" ca="1" si="96"/>
        <v>0</v>
      </c>
      <c r="BT28" s="37">
        <f t="shared" ref="BT28:BY28" ca="1" si="97">+BT174+BT405+BT418+BT538</f>
        <v>0</v>
      </c>
      <c r="BU28" s="37">
        <f t="shared" ca="1" si="97"/>
        <v>0</v>
      </c>
      <c r="BV28" s="37">
        <f t="shared" ca="1" si="97"/>
        <v>0</v>
      </c>
      <c r="BW28" s="37">
        <f t="shared" ca="1" si="97"/>
        <v>0</v>
      </c>
      <c r="BX28" s="37">
        <f t="shared" ca="1" si="97"/>
        <v>0</v>
      </c>
      <c r="BY28" s="37">
        <f t="shared" ca="1" si="97"/>
        <v>0</v>
      </c>
    </row>
    <row r="29" spans="2:77" outlineLevel="3">
      <c r="C29" s="29"/>
      <c r="D29" s="29"/>
      <c r="E29" t="s">
        <v>446</v>
      </c>
      <c r="F29" s="23" t="s">
        <v>466</v>
      </c>
      <c r="G29" s="24"/>
      <c r="H29" s="33">
        <f>(H175+H406+H419+H539)</f>
        <v>0</v>
      </c>
      <c r="I29" s="33">
        <f t="shared" ref="I29:BT29" si="98">(I175+I406+I419+I539)</f>
        <v>-208221392.5714553</v>
      </c>
      <c r="J29" s="33">
        <f t="shared" si="98"/>
        <v>-212385820.42288437</v>
      </c>
      <c r="K29" s="33">
        <f t="shared" si="98"/>
        <v>0</v>
      </c>
      <c r="L29" s="33">
        <f t="shared" si="98"/>
        <v>0</v>
      </c>
      <c r="M29" s="33">
        <f t="shared" si="98"/>
        <v>0</v>
      </c>
      <c r="N29" s="33">
        <f t="shared" si="98"/>
        <v>0</v>
      </c>
      <c r="O29" s="33">
        <f t="shared" si="98"/>
        <v>0</v>
      </c>
      <c r="P29" s="33">
        <f t="shared" si="98"/>
        <v>0</v>
      </c>
      <c r="Q29" s="33">
        <f t="shared" si="98"/>
        <v>0</v>
      </c>
      <c r="R29" s="33">
        <f t="shared" si="98"/>
        <v>0</v>
      </c>
      <c r="S29" s="33">
        <f t="shared" si="98"/>
        <v>0</v>
      </c>
      <c r="T29" s="33">
        <f t="shared" si="98"/>
        <v>0</v>
      </c>
      <c r="U29" s="33">
        <f t="shared" si="98"/>
        <v>0</v>
      </c>
      <c r="V29" s="33">
        <f t="shared" si="98"/>
        <v>0</v>
      </c>
      <c r="W29" s="33">
        <f t="shared" si="98"/>
        <v>0</v>
      </c>
      <c r="X29" s="33">
        <f t="shared" si="98"/>
        <v>0</v>
      </c>
      <c r="Y29" s="33">
        <f t="shared" si="98"/>
        <v>0</v>
      </c>
      <c r="Z29" s="33">
        <f t="shared" si="98"/>
        <v>0</v>
      </c>
      <c r="AA29" s="33">
        <f t="shared" si="98"/>
        <v>0</v>
      </c>
      <c r="AB29" s="33">
        <f t="shared" si="98"/>
        <v>0</v>
      </c>
      <c r="AC29" s="33">
        <f t="shared" si="98"/>
        <v>0</v>
      </c>
      <c r="AD29" s="33">
        <f t="shared" si="98"/>
        <v>0</v>
      </c>
      <c r="AE29" s="33">
        <f t="shared" si="98"/>
        <v>0</v>
      </c>
      <c r="AF29" s="33">
        <f t="shared" si="98"/>
        <v>0</v>
      </c>
      <c r="AG29" s="33">
        <f t="shared" si="98"/>
        <v>0</v>
      </c>
      <c r="AH29" s="33">
        <f t="shared" si="98"/>
        <v>0</v>
      </c>
      <c r="AI29" s="33">
        <f t="shared" si="98"/>
        <v>0</v>
      </c>
      <c r="AJ29" s="33">
        <f t="shared" si="98"/>
        <v>0</v>
      </c>
      <c r="AK29" s="33">
        <f t="shared" si="98"/>
        <v>0</v>
      </c>
      <c r="AL29" s="33">
        <f t="shared" si="98"/>
        <v>0</v>
      </c>
      <c r="AM29" s="33">
        <f t="shared" si="98"/>
        <v>0</v>
      </c>
      <c r="AN29" s="33">
        <f t="shared" si="98"/>
        <v>0</v>
      </c>
      <c r="AO29" s="33">
        <f t="shared" si="98"/>
        <v>0</v>
      </c>
      <c r="AP29" s="33">
        <f t="shared" si="98"/>
        <v>0</v>
      </c>
      <c r="AQ29" s="33">
        <f t="shared" si="98"/>
        <v>0</v>
      </c>
      <c r="AR29" s="33">
        <f t="shared" si="98"/>
        <v>0</v>
      </c>
      <c r="AS29" s="33">
        <f t="shared" si="98"/>
        <v>0</v>
      </c>
      <c r="AT29" s="33">
        <f t="shared" si="98"/>
        <v>0</v>
      </c>
      <c r="AU29" s="33">
        <f t="shared" si="98"/>
        <v>0</v>
      </c>
      <c r="AV29" s="33">
        <f t="shared" si="98"/>
        <v>0</v>
      </c>
      <c r="AW29" s="33">
        <f t="shared" si="98"/>
        <v>0</v>
      </c>
      <c r="AX29" s="33">
        <f t="shared" si="98"/>
        <v>0</v>
      </c>
      <c r="AY29" s="33">
        <f t="shared" si="98"/>
        <v>0</v>
      </c>
      <c r="AZ29" s="33">
        <f t="shared" si="98"/>
        <v>0</v>
      </c>
      <c r="BA29" s="33">
        <f t="shared" si="98"/>
        <v>0</v>
      </c>
      <c r="BB29" s="33">
        <f t="shared" si="98"/>
        <v>0</v>
      </c>
      <c r="BC29" s="33">
        <f t="shared" si="98"/>
        <v>0</v>
      </c>
      <c r="BD29" s="33">
        <f t="shared" si="98"/>
        <v>0</v>
      </c>
      <c r="BE29" s="33">
        <f t="shared" si="98"/>
        <v>0</v>
      </c>
      <c r="BF29" s="33">
        <f t="shared" si="98"/>
        <v>0</v>
      </c>
      <c r="BG29" s="33">
        <f t="shared" si="98"/>
        <v>0</v>
      </c>
      <c r="BH29" s="33">
        <f t="shared" si="98"/>
        <v>0</v>
      </c>
      <c r="BI29" s="33">
        <f t="shared" si="98"/>
        <v>0</v>
      </c>
      <c r="BJ29" s="33">
        <f t="shared" si="98"/>
        <v>0</v>
      </c>
      <c r="BK29" s="33">
        <f t="shared" si="98"/>
        <v>0</v>
      </c>
      <c r="BL29" s="33">
        <f t="shared" si="98"/>
        <v>0</v>
      </c>
      <c r="BM29" s="33">
        <f t="shared" si="98"/>
        <v>0</v>
      </c>
      <c r="BN29" s="33">
        <f t="shared" si="98"/>
        <v>0</v>
      </c>
      <c r="BO29" s="33">
        <f t="shared" si="98"/>
        <v>0</v>
      </c>
      <c r="BP29" s="33">
        <f t="shared" si="98"/>
        <v>0</v>
      </c>
      <c r="BQ29" s="33">
        <f t="shared" si="98"/>
        <v>0</v>
      </c>
      <c r="BR29" s="33">
        <f t="shared" si="98"/>
        <v>0</v>
      </c>
      <c r="BS29" s="33">
        <f t="shared" si="98"/>
        <v>0</v>
      </c>
      <c r="BT29" s="33">
        <f t="shared" si="98"/>
        <v>0</v>
      </c>
      <c r="BU29" s="33">
        <f t="shared" ref="BU29:BY29" si="99">(BU175+BU406+BU419+BU539)</f>
        <v>0</v>
      </c>
      <c r="BV29" s="33">
        <f t="shared" si="99"/>
        <v>0</v>
      </c>
      <c r="BW29" s="33">
        <f t="shared" si="99"/>
        <v>0</v>
      </c>
      <c r="BX29" s="33">
        <f t="shared" si="99"/>
        <v>0</v>
      </c>
      <c r="BY29" s="33">
        <f t="shared" si="99"/>
        <v>0</v>
      </c>
    </row>
    <row r="30" spans="2:77" s="22" customFormat="1" ht="15" outlineLevel="3">
      <c r="C30" s="112"/>
      <c r="D30" s="90"/>
      <c r="E30" s="22" t="s">
        <v>479</v>
      </c>
      <c r="F30" s="36" t="s">
        <v>470</v>
      </c>
      <c r="G30" s="91"/>
      <c r="H30" s="37">
        <f t="shared" ref="H30:AM30" ca="1" si="100">+H176+H407+H420+H540</f>
        <v>0</v>
      </c>
      <c r="I30" s="37">
        <f t="shared" ca="1" si="100"/>
        <v>-208221392.5714553</v>
      </c>
      <c r="J30" s="37">
        <f t="shared" ca="1" si="100"/>
        <v>-212385820.42288437</v>
      </c>
      <c r="K30" s="37">
        <f t="shared" ca="1" si="100"/>
        <v>-22123015.325354274</v>
      </c>
      <c r="L30" s="37">
        <f t="shared" ca="1" si="100"/>
        <v>-22565475.631861359</v>
      </c>
      <c r="M30" s="37">
        <f t="shared" ca="1" si="100"/>
        <v>-23016785.144498583</v>
      </c>
      <c r="N30" s="37">
        <f t="shared" ca="1" si="100"/>
        <v>-23477120.847388558</v>
      </c>
      <c r="O30" s="37">
        <f t="shared" ca="1" si="100"/>
        <v>-23946663.264336329</v>
      </c>
      <c r="P30" s="37">
        <f t="shared" ca="1" si="100"/>
        <v>-24425596.52962305</v>
      </c>
      <c r="Q30" s="37">
        <f t="shared" ca="1" si="100"/>
        <v>-24914108.46021552</v>
      </c>
      <c r="R30" s="37">
        <f t="shared" ca="1" si="100"/>
        <v>-25412390.629419826</v>
      </c>
      <c r="S30" s="37">
        <f t="shared" ca="1" si="100"/>
        <v>-25920638.442008223</v>
      </c>
      <c r="T30" s="37">
        <f t="shared" ca="1" si="100"/>
        <v>-26439051.210848391</v>
      </c>
      <c r="U30" s="37">
        <f t="shared" ca="1" si="100"/>
        <v>-26967832.23506536</v>
      </c>
      <c r="V30" s="37">
        <f t="shared" ca="1" si="100"/>
        <v>-27507188.879766654</v>
      </c>
      <c r="W30" s="37">
        <f t="shared" ca="1" si="100"/>
        <v>-28057332.657361992</v>
      </c>
      <c r="X30" s="37">
        <f t="shared" ca="1" si="100"/>
        <v>-28618479.310509238</v>
      </c>
      <c r="Y30" s="37">
        <f t="shared" ca="1" si="100"/>
        <v>-29190848.896719422</v>
      </c>
      <c r="Z30" s="37">
        <f t="shared" ca="1" si="100"/>
        <v>0</v>
      </c>
      <c r="AA30" s="37">
        <f t="shared" ca="1" si="100"/>
        <v>0</v>
      </c>
      <c r="AB30" s="37">
        <f t="shared" ca="1" si="100"/>
        <v>0</v>
      </c>
      <c r="AC30" s="37">
        <f t="shared" ca="1" si="100"/>
        <v>0</v>
      </c>
      <c r="AD30" s="37">
        <f t="shared" ca="1" si="100"/>
        <v>0</v>
      </c>
      <c r="AE30" s="37">
        <f t="shared" ca="1" si="100"/>
        <v>0</v>
      </c>
      <c r="AF30" s="37">
        <f t="shared" ca="1" si="100"/>
        <v>0</v>
      </c>
      <c r="AG30" s="37">
        <f t="shared" ca="1" si="100"/>
        <v>0</v>
      </c>
      <c r="AH30" s="37">
        <f t="shared" ca="1" si="100"/>
        <v>0</v>
      </c>
      <c r="AI30" s="37">
        <f t="shared" ca="1" si="100"/>
        <v>0</v>
      </c>
      <c r="AJ30" s="37">
        <f t="shared" ca="1" si="100"/>
        <v>0</v>
      </c>
      <c r="AK30" s="37">
        <f t="shared" ca="1" si="100"/>
        <v>0</v>
      </c>
      <c r="AL30" s="37">
        <f t="shared" ca="1" si="100"/>
        <v>0</v>
      </c>
      <c r="AM30" s="37">
        <f t="shared" ca="1" si="100"/>
        <v>0</v>
      </c>
      <c r="AN30" s="37">
        <f t="shared" ref="AN30:BS30" ca="1" si="101">+AN176+AN407+AN420+AN540</f>
        <v>0</v>
      </c>
      <c r="AO30" s="37">
        <f t="shared" ca="1" si="101"/>
        <v>0</v>
      </c>
      <c r="AP30" s="37">
        <f t="shared" ca="1" si="101"/>
        <v>0</v>
      </c>
      <c r="AQ30" s="37">
        <f t="shared" ca="1" si="101"/>
        <v>0</v>
      </c>
      <c r="AR30" s="37">
        <f t="shared" ca="1" si="101"/>
        <v>0</v>
      </c>
      <c r="AS30" s="37">
        <f t="shared" ca="1" si="101"/>
        <v>0</v>
      </c>
      <c r="AT30" s="37">
        <f t="shared" ca="1" si="101"/>
        <v>0</v>
      </c>
      <c r="AU30" s="37">
        <f t="shared" ca="1" si="101"/>
        <v>0</v>
      </c>
      <c r="AV30" s="37">
        <f t="shared" ca="1" si="101"/>
        <v>0</v>
      </c>
      <c r="AW30" s="37">
        <f t="shared" ca="1" si="101"/>
        <v>0</v>
      </c>
      <c r="AX30" s="37">
        <f t="shared" ca="1" si="101"/>
        <v>0</v>
      </c>
      <c r="AY30" s="37">
        <f t="shared" ca="1" si="101"/>
        <v>0</v>
      </c>
      <c r="AZ30" s="37">
        <f t="shared" ca="1" si="101"/>
        <v>0</v>
      </c>
      <c r="BA30" s="37">
        <f t="shared" ca="1" si="101"/>
        <v>0</v>
      </c>
      <c r="BB30" s="37">
        <f t="shared" ca="1" si="101"/>
        <v>0</v>
      </c>
      <c r="BC30" s="37">
        <f t="shared" ca="1" si="101"/>
        <v>0</v>
      </c>
      <c r="BD30" s="37">
        <f t="shared" ca="1" si="101"/>
        <v>0</v>
      </c>
      <c r="BE30" s="37">
        <f t="shared" ca="1" si="101"/>
        <v>0</v>
      </c>
      <c r="BF30" s="37">
        <f t="shared" ca="1" si="101"/>
        <v>0</v>
      </c>
      <c r="BG30" s="37">
        <f t="shared" ca="1" si="101"/>
        <v>0</v>
      </c>
      <c r="BH30" s="37">
        <f t="shared" ca="1" si="101"/>
        <v>0</v>
      </c>
      <c r="BI30" s="37">
        <f t="shared" ca="1" si="101"/>
        <v>0</v>
      </c>
      <c r="BJ30" s="37">
        <f t="shared" ca="1" si="101"/>
        <v>0</v>
      </c>
      <c r="BK30" s="37">
        <f t="shared" ca="1" si="101"/>
        <v>0</v>
      </c>
      <c r="BL30" s="37">
        <f t="shared" ca="1" si="101"/>
        <v>0</v>
      </c>
      <c r="BM30" s="37">
        <f t="shared" ca="1" si="101"/>
        <v>0</v>
      </c>
      <c r="BN30" s="37">
        <f t="shared" ca="1" si="101"/>
        <v>0</v>
      </c>
      <c r="BO30" s="37">
        <f t="shared" ca="1" si="101"/>
        <v>0</v>
      </c>
      <c r="BP30" s="37">
        <f t="shared" ca="1" si="101"/>
        <v>0</v>
      </c>
      <c r="BQ30" s="37">
        <f t="shared" ca="1" si="101"/>
        <v>0</v>
      </c>
      <c r="BR30" s="37">
        <f t="shared" ca="1" si="101"/>
        <v>0</v>
      </c>
      <c r="BS30" s="37">
        <f t="shared" ca="1" si="101"/>
        <v>0</v>
      </c>
      <c r="BT30" s="37">
        <f t="shared" ref="BT30:BY30" ca="1" si="102">+BT176+BT407+BT420+BT540</f>
        <v>0</v>
      </c>
      <c r="BU30" s="37">
        <f t="shared" ca="1" si="102"/>
        <v>0</v>
      </c>
      <c r="BV30" s="37">
        <f t="shared" ca="1" si="102"/>
        <v>0</v>
      </c>
      <c r="BW30" s="37">
        <f t="shared" ca="1" si="102"/>
        <v>0</v>
      </c>
      <c r="BX30" s="37">
        <f t="shared" ca="1" si="102"/>
        <v>0</v>
      </c>
      <c r="BY30" s="37">
        <f t="shared" ca="1" si="102"/>
        <v>0</v>
      </c>
    </row>
    <row r="31" spans="2:77" outlineLevel="3">
      <c r="C31" s="29"/>
      <c r="D31" s="29"/>
      <c r="E31" t="s">
        <v>480</v>
      </c>
      <c r="F31" s="40" t="s">
        <v>475</v>
      </c>
      <c r="G31" s="24"/>
      <c r="H31" s="33">
        <f t="shared" ref="H31:AM31" si="103">+H177+H408+H421+H541</f>
        <v>0</v>
      </c>
      <c r="I31" s="33">
        <f t="shared" si="103"/>
        <v>41036331.191153377</v>
      </c>
      <c r="J31" s="33">
        <f t="shared" ca="1" si="103"/>
        <v>210587439.92987496</v>
      </c>
      <c r="K31" s="33">
        <f t="shared" ca="1" si="103"/>
        <v>-11209208.075660838</v>
      </c>
      <c r="L31" s="33">
        <f t="shared" ca="1" si="103"/>
        <v>-11852504.527123014</v>
      </c>
      <c r="M31" s="33">
        <f t="shared" ca="1" si="103"/>
        <v>-12532719.761934603</v>
      </c>
      <c r="N31" s="33">
        <f t="shared" ca="1" si="103"/>
        <v>-13251972.549072029</v>
      </c>
      <c r="O31" s="33">
        <f t="shared" ca="1" si="103"/>
        <v>-14012503.253663275</v>
      </c>
      <c r="P31" s="33">
        <f t="shared" ca="1" si="103"/>
        <v>-14816680.815391012</v>
      </c>
      <c r="Q31" s="33">
        <f t="shared" ca="1" si="103"/>
        <v>-15667010.1273863</v>
      </c>
      <c r="R31" s="33">
        <f t="shared" ca="1" si="103"/>
        <v>-16566139.838597</v>
      </c>
      <c r="S31" s="33">
        <f t="shared" ca="1" si="103"/>
        <v>-17516870.603934083</v>
      </c>
      <c r="T31" s="33">
        <f t="shared" ca="1" si="103"/>
        <v>-18522163.807893857</v>
      </c>
      <c r="U31" s="33">
        <f t="shared" ca="1" si="103"/>
        <v>-19585150.788828887</v>
      </c>
      <c r="V31" s="33">
        <f t="shared" ca="1" si="103"/>
        <v>-20709142.592599776</v>
      </c>
      <c r="W31" s="33">
        <f t="shared" ca="1" si="103"/>
        <v>-21897640.28598908</v>
      </c>
      <c r="X31" s="33">
        <f t="shared" ca="1" si="103"/>
        <v>-23154345.862001993</v>
      </c>
      <c r="Y31" s="33">
        <f t="shared" ca="1" si="103"/>
        <v>-20329718.230952568</v>
      </c>
      <c r="Z31" s="33">
        <f t="shared" si="103"/>
        <v>0</v>
      </c>
      <c r="AA31" s="33">
        <f t="shared" si="103"/>
        <v>0</v>
      </c>
      <c r="AB31" s="33">
        <f t="shared" si="103"/>
        <v>0</v>
      </c>
      <c r="AC31" s="33">
        <f t="shared" si="103"/>
        <v>0</v>
      </c>
      <c r="AD31" s="33">
        <f t="shared" si="103"/>
        <v>0</v>
      </c>
      <c r="AE31" s="33">
        <f t="shared" si="103"/>
        <v>0</v>
      </c>
      <c r="AF31" s="33">
        <f t="shared" si="103"/>
        <v>0</v>
      </c>
      <c r="AG31" s="33">
        <f t="shared" si="103"/>
        <v>0</v>
      </c>
      <c r="AH31" s="33">
        <f t="shared" si="103"/>
        <v>0</v>
      </c>
      <c r="AI31" s="33">
        <f t="shared" si="103"/>
        <v>0</v>
      </c>
      <c r="AJ31" s="33">
        <f>+AJ177+AJ408+AJ421+AJ541</f>
        <v>0</v>
      </c>
      <c r="AK31" s="33">
        <f t="shared" si="103"/>
        <v>0</v>
      </c>
      <c r="AL31" s="33">
        <f t="shared" si="103"/>
        <v>0</v>
      </c>
      <c r="AM31" s="33">
        <f t="shared" si="103"/>
        <v>0</v>
      </c>
      <c r="AN31" s="33">
        <f t="shared" ref="AN31:BS31" si="104">+AN177+AN408+AN421+AN541</f>
        <v>0</v>
      </c>
      <c r="AO31" s="33">
        <f t="shared" si="104"/>
        <v>0</v>
      </c>
      <c r="AP31" s="33">
        <f t="shared" si="104"/>
        <v>0</v>
      </c>
      <c r="AQ31" s="33">
        <f t="shared" si="104"/>
        <v>0</v>
      </c>
      <c r="AR31" s="33">
        <f t="shared" si="104"/>
        <v>0</v>
      </c>
      <c r="AS31" s="33">
        <f t="shared" si="104"/>
        <v>0</v>
      </c>
      <c r="AT31" s="33">
        <f t="shared" si="104"/>
        <v>0</v>
      </c>
      <c r="AU31" s="33">
        <f t="shared" si="104"/>
        <v>0</v>
      </c>
      <c r="AV31" s="33">
        <f t="shared" si="104"/>
        <v>0</v>
      </c>
      <c r="AW31" s="33">
        <f t="shared" si="104"/>
        <v>0</v>
      </c>
      <c r="AX31" s="33">
        <f t="shared" si="104"/>
        <v>0</v>
      </c>
      <c r="AY31" s="33">
        <f t="shared" si="104"/>
        <v>0</v>
      </c>
      <c r="AZ31" s="33">
        <f t="shared" si="104"/>
        <v>0</v>
      </c>
      <c r="BA31" s="33">
        <f t="shared" si="104"/>
        <v>0</v>
      </c>
      <c r="BB31" s="33">
        <f t="shared" si="104"/>
        <v>0</v>
      </c>
      <c r="BC31" s="33">
        <f t="shared" si="104"/>
        <v>0</v>
      </c>
      <c r="BD31" s="33">
        <f t="shared" si="104"/>
        <v>0</v>
      </c>
      <c r="BE31" s="33">
        <f t="shared" si="104"/>
        <v>0</v>
      </c>
      <c r="BF31" s="33">
        <f t="shared" si="104"/>
        <v>0</v>
      </c>
      <c r="BG31" s="33">
        <f t="shared" si="104"/>
        <v>0</v>
      </c>
      <c r="BH31" s="33">
        <f t="shared" si="104"/>
        <v>0</v>
      </c>
      <c r="BI31" s="33">
        <f t="shared" si="104"/>
        <v>0</v>
      </c>
      <c r="BJ31" s="33">
        <f t="shared" si="104"/>
        <v>0</v>
      </c>
      <c r="BK31" s="33">
        <f t="shared" si="104"/>
        <v>0</v>
      </c>
      <c r="BL31" s="33">
        <f t="shared" si="104"/>
        <v>0</v>
      </c>
      <c r="BM31" s="33">
        <f t="shared" si="104"/>
        <v>0</v>
      </c>
      <c r="BN31" s="33">
        <f t="shared" si="104"/>
        <v>0</v>
      </c>
      <c r="BO31" s="33">
        <f t="shared" si="104"/>
        <v>0</v>
      </c>
      <c r="BP31" s="33">
        <f t="shared" si="104"/>
        <v>0</v>
      </c>
      <c r="BQ31" s="33">
        <f t="shared" si="104"/>
        <v>0</v>
      </c>
      <c r="BR31" s="33">
        <f t="shared" si="104"/>
        <v>0</v>
      </c>
      <c r="BS31" s="33">
        <f t="shared" si="104"/>
        <v>0</v>
      </c>
      <c r="BT31" s="33">
        <f t="shared" ref="BT31:BY31" si="105">+BT177+BT408+BT421+BT541</f>
        <v>0</v>
      </c>
      <c r="BU31" s="33">
        <f t="shared" si="105"/>
        <v>0</v>
      </c>
      <c r="BV31" s="33">
        <f t="shared" si="105"/>
        <v>0</v>
      </c>
      <c r="BW31" s="33">
        <f t="shared" si="105"/>
        <v>0</v>
      </c>
      <c r="BX31" s="33">
        <f t="shared" si="105"/>
        <v>0</v>
      </c>
      <c r="BY31" s="33">
        <f t="shared" si="105"/>
        <v>0</v>
      </c>
    </row>
    <row r="32" spans="2:77" outlineLevel="3">
      <c r="C32" s="29"/>
      <c r="D32" s="29"/>
      <c r="E32" s="25" t="s">
        <v>468</v>
      </c>
      <c r="F32" s="30" t="s">
        <v>466</v>
      </c>
      <c r="G32" s="42"/>
      <c r="H32" s="34">
        <f t="shared" ref="H32:AM32" ca="1" si="106">+H178+H409+H422+H542</f>
        <v>0</v>
      </c>
      <c r="I32" s="34">
        <f t="shared" ca="1" si="106"/>
        <v>0</v>
      </c>
      <c r="J32" s="34">
        <f t="shared" ca="1" si="106"/>
        <v>-2355075.0470602922</v>
      </c>
      <c r="K32" s="34">
        <f t="shared" ca="1" si="106"/>
        <v>-14440688.224635817</v>
      </c>
      <c r="L32" s="34">
        <f t="shared" ca="1" si="106"/>
        <v>-13797391.773173641</v>
      </c>
      <c r="M32" s="34">
        <f t="shared" ca="1" si="106"/>
        <v>-13117176.53836205</v>
      </c>
      <c r="N32" s="34">
        <f t="shared" ca="1" si="106"/>
        <v>-12397923.751224624</v>
      </c>
      <c r="O32" s="34">
        <f t="shared" ca="1" si="106"/>
        <v>-11637393.04663338</v>
      </c>
      <c r="P32" s="34">
        <f t="shared" ca="1" si="106"/>
        <v>-10833215.484905643</v>
      </c>
      <c r="Q32" s="34">
        <f t="shared" ca="1" si="106"/>
        <v>-9982886.172910355</v>
      </c>
      <c r="R32" s="34">
        <f t="shared" ca="1" si="106"/>
        <v>-9083756.4616996553</v>
      </c>
      <c r="S32" s="34">
        <f t="shared" ca="1" si="106"/>
        <v>-8133025.6963625737</v>
      </c>
      <c r="T32" s="34">
        <f t="shared" ca="1" si="106"/>
        <v>-7127732.4924027966</v>
      </c>
      <c r="U32" s="34">
        <f t="shared" ca="1" si="106"/>
        <v>-6064745.5114677679</v>
      </c>
      <c r="V32" s="34">
        <f t="shared" ca="1" si="106"/>
        <v>-4940753.7076968784</v>
      </c>
      <c r="W32" s="34">
        <f t="shared" ca="1" si="106"/>
        <v>-3752256.0143075772</v>
      </c>
      <c r="X32" s="34">
        <f t="shared" ca="1" si="106"/>
        <v>-2495550.438294664</v>
      </c>
      <c r="Y32" s="34">
        <f t="shared" ca="1" si="106"/>
        <v>-1166722.5292743696</v>
      </c>
      <c r="Z32" s="34">
        <f t="shared" ca="1" si="106"/>
        <v>-1.4831987209618093E-9</v>
      </c>
      <c r="AA32" s="34">
        <f t="shared" ca="1" si="106"/>
        <v>-1.4831987209618093E-9</v>
      </c>
      <c r="AB32" s="34">
        <f t="shared" ca="1" si="106"/>
        <v>-1.4831987209618093E-9</v>
      </c>
      <c r="AC32" s="34">
        <f t="shared" ca="1" si="106"/>
        <v>-1.4831987209618093E-9</v>
      </c>
      <c r="AD32" s="34">
        <f t="shared" ca="1" si="106"/>
        <v>-1.4831987209618093E-9</v>
      </c>
      <c r="AE32" s="34">
        <f t="shared" ca="1" si="106"/>
        <v>-1.4831987209618093E-9</v>
      </c>
      <c r="AF32" s="34">
        <f t="shared" ca="1" si="106"/>
        <v>-1.4831987209618093E-9</v>
      </c>
      <c r="AG32" s="34">
        <f t="shared" ca="1" si="106"/>
        <v>-1.4831987209618093E-9</v>
      </c>
      <c r="AH32" s="34">
        <f t="shared" ca="1" si="106"/>
        <v>-1.4831987209618093E-9</v>
      </c>
      <c r="AI32" s="34">
        <f t="shared" ca="1" si="106"/>
        <v>-1.4831987209618093E-9</v>
      </c>
      <c r="AJ32" s="34">
        <f t="shared" ca="1" si="106"/>
        <v>-1.4831987209618093E-9</v>
      </c>
      <c r="AK32" s="34">
        <f t="shared" ca="1" si="106"/>
        <v>-1.4831987209618093E-9</v>
      </c>
      <c r="AL32" s="34">
        <f t="shared" ca="1" si="106"/>
        <v>-1.4831987209618093E-9</v>
      </c>
      <c r="AM32" s="34">
        <f t="shared" ca="1" si="106"/>
        <v>-1.4831987209618093E-9</v>
      </c>
      <c r="AN32" s="34">
        <f t="shared" ref="AN32:BS32" ca="1" si="107">+AN178+AN409+AN422+AN542</f>
        <v>-1.4831987209618093E-9</v>
      </c>
      <c r="AO32" s="34">
        <f t="shared" ca="1" si="107"/>
        <v>-1.4831987209618093E-9</v>
      </c>
      <c r="AP32" s="34">
        <f t="shared" ca="1" si="107"/>
        <v>-1.4831987209618093E-9</v>
      </c>
      <c r="AQ32" s="34">
        <f t="shared" ca="1" si="107"/>
        <v>-1.4831987209618093E-9</v>
      </c>
      <c r="AR32" s="34">
        <f t="shared" ca="1" si="107"/>
        <v>-1.4831987209618093E-9</v>
      </c>
      <c r="AS32" s="34">
        <f t="shared" ca="1" si="107"/>
        <v>-1.4831987209618093E-9</v>
      </c>
      <c r="AT32" s="34">
        <f t="shared" ca="1" si="107"/>
        <v>-1.4831987209618093E-9</v>
      </c>
      <c r="AU32" s="34">
        <f t="shared" ca="1" si="107"/>
        <v>-1.4831987209618093E-9</v>
      </c>
      <c r="AV32" s="34">
        <f t="shared" ca="1" si="107"/>
        <v>-1.4831987209618093E-9</v>
      </c>
      <c r="AW32" s="34">
        <f t="shared" ca="1" si="107"/>
        <v>-1.4831987209618093E-9</v>
      </c>
      <c r="AX32" s="34">
        <f t="shared" ca="1" si="107"/>
        <v>-1.4831987209618093E-9</v>
      </c>
      <c r="AY32" s="34">
        <f t="shared" ca="1" si="107"/>
        <v>-1.4831987209618093E-9</v>
      </c>
      <c r="AZ32" s="34">
        <f t="shared" ca="1" si="107"/>
        <v>-1.4831987209618093E-9</v>
      </c>
      <c r="BA32" s="34">
        <f t="shared" ca="1" si="107"/>
        <v>-1.4831987209618093E-9</v>
      </c>
      <c r="BB32" s="34">
        <f t="shared" ca="1" si="107"/>
        <v>-1.4831987209618093E-9</v>
      </c>
      <c r="BC32" s="34">
        <f t="shared" ca="1" si="107"/>
        <v>-1.4831987209618093E-9</v>
      </c>
      <c r="BD32" s="34">
        <f t="shared" ca="1" si="107"/>
        <v>-1.4831987209618093E-9</v>
      </c>
      <c r="BE32" s="34">
        <f t="shared" ca="1" si="107"/>
        <v>-1.4831987209618093E-9</v>
      </c>
      <c r="BF32" s="34">
        <f t="shared" ca="1" si="107"/>
        <v>-1.4831987209618093E-9</v>
      </c>
      <c r="BG32" s="34">
        <f t="shared" ca="1" si="107"/>
        <v>-1.4831987209618093E-9</v>
      </c>
      <c r="BH32" s="34">
        <f t="shared" ca="1" si="107"/>
        <v>-1.4831987209618093E-9</v>
      </c>
      <c r="BI32" s="34">
        <f t="shared" ca="1" si="107"/>
        <v>-1.4831987209618093E-9</v>
      </c>
      <c r="BJ32" s="34">
        <f t="shared" ca="1" si="107"/>
        <v>-1.4831987209618093E-9</v>
      </c>
      <c r="BK32" s="34">
        <f t="shared" ca="1" si="107"/>
        <v>-1.4831987209618093E-9</v>
      </c>
      <c r="BL32" s="34">
        <f t="shared" ca="1" si="107"/>
        <v>-1.4831987209618093E-9</v>
      </c>
      <c r="BM32" s="34">
        <f t="shared" ca="1" si="107"/>
        <v>-1.4831987209618093E-9</v>
      </c>
      <c r="BN32" s="34">
        <f t="shared" ca="1" si="107"/>
        <v>-1.4831987209618093E-9</v>
      </c>
      <c r="BO32" s="34">
        <f t="shared" ca="1" si="107"/>
        <v>-1.4831987209618093E-9</v>
      </c>
      <c r="BP32" s="34">
        <f t="shared" ca="1" si="107"/>
        <v>-1.4831987209618093E-9</v>
      </c>
      <c r="BQ32" s="34">
        <f t="shared" ca="1" si="107"/>
        <v>-1.4831987209618093E-9</v>
      </c>
      <c r="BR32" s="34">
        <f t="shared" ca="1" si="107"/>
        <v>-1.4831987209618093E-9</v>
      </c>
      <c r="BS32" s="34">
        <f t="shared" ca="1" si="107"/>
        <v>-1.4831987209618093E-9</v>
      </c>
      <c r="BT32" s="34">
        <f t="shared" ref="BT32:BY32" ca="1" si="108">+BT178+BT409+BT422+BT542</f>
        <v>-1.4831987209618093E-9</v>
      </c>
      <c r="BU32" s="34">
        <f t="shared" ca="1" si="108"/>
        <v>-1.4831987209618093E-9</v>
      </c>
      <c r="BV32" s="34">
        <f t="shared" ca="1" si="108"/>
        <v>-1.4831987209618093E-9</v>
      </c>
      <c r="BW32" s="34">
        <f t="shared" ca="1" si="108"/>
        <v>-1.4831987209618093E-9</v>
      </c>
      <c r="BX32" s="34">
        <f t="shared" ca="1" si="108"/>
        <v>-1.4831987209618093E-9</v>
      </c>
      <c r="BY32" s="34">
        <f t="shared" ca="1" si="108"/>
        <v>-1.4831987209618093E-9</v>
      </c>
    </row>
    <row r="33" spans="2:77" s="22" customFormat="1" ht="15" outlineLevel="3">
      <c r="C33" s="112"/>
      <c r="D33" s="90"/>
      <c r="E33" s="22" t="s">
        <v>481</v>
      </c>
      <c r="F33" s="36" t="s">
        <v>470</v>
      </c>
      <c r="H33" s="37">
        <f t="shared" ref="H33:AM33" ca="1" si="109">+H179+H410+H423+H543</f>
        <v>0</v>
      </c>
      <c r="I33" s="37">
        <f t="shared" ca="1" si="109"/>
        <v>-167185061.38030189</v>
      </c>
      <c r="J33" s="37">
        <f t="shared" ca="1" si="109"/>
        <v>-4153455.5400697244</v>
      </c>
      <c r="K33" s="37">
        <f t="shared" ca="1" si="109"/>
        <v>-47772911.625650927</v>
      </c>
      <c r="L33" s="37">
        <f t="shared" ca="1" si="109"/>
        <v>-48215371.932158008</v>
      </c>
      <c r="M33" s="37">
        <f t="shared" ca="1" si="109"/>
        <v>-48666681.444795236</v>
      </c>
      <c r="N33" s="37">
        <f t="shared" ca="1" si="109"/>
        <v>-49127017.147685222</v>
      </c>
      <c r="O33" s="37">
        <f t="shared" ca="1" si="109"/>
        <v>-49596559.564632982</v>
      </c>
      <c r="P33" s="37">
        <f t="shared" ca="1" si="109"/>
        <v>-50075492.829919703</v>
      </c>
      <c r="Q33" s="37">
        <f t="shared" ca="1" si="109"/>
        <v>-50564004.760512173</v>
      </c>
      <c r="R33" s="37">
        <f t="shared" ca="1" si="109"/>
        <v>-51062286.929716483</v>
      </c>
      <c r="S33" s="37">
        <f t="shared" ca="1" si="109"/>
        <v>-51570534.742304876</v>
      </c>
      <c r="T33" s="37">
        <f t="shared" ca="1" si="109"/>
        <v>-52088947.511145048</v>
      </c>
      <c r="U33" s="37">
        <f t="shared" ca="1" si="109"/>
        <v>-52617728.535362013</v>
      </c>
      <c r="V33" s="37">
        <f t="shared" ca="1" si="109"/>
        <v>-53157085.180063307</v>
      </c>
      <c r="W33" s="37">
        <f t="shared" ca="1" si="109"/>
        <v>-53707228.957658648</v>
      </c>
      <c r="X33" s="37">
        <f t="shared" ca="1" si="109"/>
        <v>-54268375.610805891</v>
      </c>
      <c r="Y33" s="37">
        <f t="shared" ca="1" si="109"/>
        <v>-50687289.656946361</v>
      </c>
      <c r="Z33" s="37">
        <f t="shared" ca="1" si="109"/>
        <v>-1.4831987209618093E-9</v>
      </c>
      <c r="AA33" s="37">
        <f t="shared" ca="1" si="109"/>
        <v>-1.4831987209618093E-9</v>
      </c>
      <c r="AB33" s="37">
        <f t="shared" ca="1" si="109"/>
        <v>-1.4831987209618093E-9</v>
      </c>
      <c r="AC33" s="37">
        <f t="shared" ca="1" si="109"/>
        <v>-1.4831987209618093E-9</v>
      </c>
      <c r="AD33" s="37">
        <f t="shared" ca="1" si="109"/>
        <v>-1.4831987209618093E-9</v>
      </c>
      <c r="AE33" s="37">
        <f t="shared" ca="1" si="109"/>
        <v>-1.4831987209618093E-9</v>
      </c>
      <c r="AF33" s="37">
        <f t="shared" ca="1" si="109"/>
        <v>-1.4831987209618093E-9</v>
      </c>
      <c r="AG33" s="37">
        <f t="shared" ca="1" si="109"/>
        <v>-1.4831987209618093E-9</v>
      </c>
      <c r="AH33" s="37">
        <f t="shared" ca="1" si="109"/>
        <v>-1.4831987209618093E-9</v>
      </c>
      <c r="AI33" s="37">
        <f t="shared" ca="1" si="109"/>
        <v>-1.4831987209618093E-9</v>
      </c>
      <c r="AJ33" s="37">
        <f t="shared" ca="1" si="109"/>
        <v>-1.4831987209618093E-9</v>
      </c>
      <c r="AK33" s="37">
        <f t="shared" ca="1" si="109"/>
        <v>-1.4831987209618093E-9</v>
      </c>
      <c r="AL33" s="37">
        <f t="shared" ca="1" si="109"/>
        <v>-1.4831987209618093E-9</v>
      </c>
      <c r="AM33" s="37">
        <f t="shared" ca="1" si="109"/>
        <v>-1.4831987209618093E-9</v>
      </c>
      <c r="AN33" s="37">
        <f t="shared" ref="AN33:BS33" ca="1" si="110">+AN179+AN410+AN423+AN543</f>
        <v>-1.4831987209618093E-9</v>
      </c>
      <c r="AO33" s="37">
        <f t="shared" ca="1" si="110"/>
        <v>-1.4831987209618093E-9</v>
      </c>
      <c r="AP33" s="37">
        <f t="shared" ca="1" si="110"/>
        <v>-1.4831987209618093E-9</v>
      </c>
      <c r="AQ33" s="37">
        <f t="shared" ca="1" si="110"/>
        <v>-1.4831987209618093E-9</v>
      </c>
      <c r="AR33" s="37">
        <f t="shared" ca="1" si="110"/>
        <v>-1.4831987209618093E-9</v>
      </c>
      <c r="AS33" s="37">
        <f t="shared" ca="1" si="110"/>
        <v>-1.4831987209618093E-9</v>
      </c>
      <c r="AT33" s="37">
        <f t="shared" ca="1" si="110"/>
        <v>-1.4831987209618093E-9</v>
      </c>
      <c r="AU33" s="37">
        <f t="shared" ca="1" si="110"/>
        <v>-1.4831987209618093E-9</v>
      </c>
      <c r="AV33" s="37">
        <f t="shared" ca="1" si="110"/>
        <v>-1.4831987209618093E-9</v>
      </c>
      <c r="AW33" s="37">
        <f t="shared" ca="1" si="110"/>
        <v>-1.4831987209618093E-9</v>
      </c>
      <c r="AX33" s="37">
        <f t="shared" ca="1" si="110"/>
        <v>-1.4831987209618093E-9</v>
      </c>
      <c r="AY33" s="37">
        <f t="shared" ca="1" si="110"/>
        <v>-1.4831987209618093E-9</v>
      </c>
      <c r="AZ33" s="37">
        <f t="shared" ca="1" si="110"/>
        <v>-1.4831987209618093E-9</v>
      </c>
      <c r="BA33" s="37">
        <f t="shared" ca="1" si="110"/>
        <v>-1.4831987209618093E-9</v>
      </c>
      <c r="BB33" s="37">
        <f t="shared" ca="1" si="110"/>
        <v>-1.4831987209618093E-9</v>
      </c>
      <c r="BC33" s="37">
        <f t="shared" ca="1" si="110"/>
        <v>-1.4831987209618093E-9</v>
      </c>
      <c r="BD33" s="37">
        <f t="shared" ca="1" si="110"/>
        <v>-1.4831987209618093E-9</v>
      </c>
      <c r="BE33" s="37">
        <f t="shared" ca="1" si="110"/>
        <v>-1.4831987209618093E-9</v>
      </c>
      <c r="BF33" s="37">
        <f t="shared" ca="1" si="110"/>
        <v>-1.4831987209618093E-9</v>
      </c>
      <c r="BG33" s="37">
        <f t="shared" ca="1" si="110"/>
        <v>-1.4831987209618093E-9</v>
      </c>
      <c r="BH33" s="37">
        <f t="shared" ca="1" si="110"/>
        <v>-1.4831987209618093E-9</v>
      </c>
      <c r="BI33" s="37">
        <f t="shared" ca="1" si="110"/>
        <v>-1.4831987209618093E-9</v>
      </c>
      <c r="BJ33" s="37">
        <f t="shared" ca="1" si="110"/>
        <v>-1.4831987209618093E-9</v>
      </c>
      <c r="BK33" s="37">
        <f t="shared" ca="1" si="110"/>
        <v>-1.4831987209618093E-9</v>
      </c>
      <c r="BL33" s="37">
        <f t="shared" ca="1" si="110"/>
        <v>-1.4831987209618093E-9</v>
      </c>
      <c r="BM33" s="37">
        <f t="shared" ca="1" si="110"/>
        <v>-1.4831987209618093E-9</v>
      </c>
      <c r="BN33" s="37">
        <f t="shared" ca="1" si="110"/>
        <v>-1.4831987209618093E-9</v>
      </c>
      <c r="BO33" s="37">
        <f t="shared" ca="1" si="110"/>
        <v>-1.4831987209618093E-9</v>
      </c>
      <c r="BP33" s="37">
        <f t="shared" ca="1" si="110"/>
        <v>-1.4831987209618093E-9</v>
      </c>
      <c r="BQ33" s="37">
        <f t="shared" ca="1" si="110"/>
        <v>-1.4831987209618093E-9</v>
      </c>
      <c r="BR33" s="37">
        <f t="shared" ca="1" si="110"/>
        <v>-1.4831987209618093E-9</v>
      </c>
      <c r="BS33" s="37">
        <f t="shared" ca="1" si="110"/>
        <v>-1.4831987209618093E-9</v>
      </c>
      <c r="BT33" s="37">
        <f t="shared" ref="BT33:BY33" ca="1" si="111">+BT179+BT410+BT423+BT543</f>
        <v>-1.4831987209618093E-9</v>
      </c>
      <c r="BU33" s="37">
        <f t="shared" ca="1" si="111"/>
        <v>-1.4831987209618093E-9</v>
      </c>
      <c r="BV33" s="37">
        <f t="shared" ca="1" si="111"/>
        <v>-1.4831987209618093E-9</v>
      </c>
      <c r="BW33" s="37">
        <f t="shared" ca="1" si="111"/>
        <v>-1.4831987209618093E-9</v>
      </c>
      <c r="BX33" s="37">
        <f t="shared" ca="1" si="111"/>
        <v>-1.4831987209618093E-9</v>
      </c>
      <c r="BY33" s="37">
        <f t="shared" ca="1" si="111"/>
        <v>-1.4831987209618093E-9</v>
      </c>
    </row>
    <row r="34" spans="2:77" ht="15" outlineLevel="3">
      <c r="C34" s="96"/>
      <c r="D34" s="29"/>
      <c r="E34" s="22"/>
      <c r="F34" s="36"/>
      <c r="BF34" s="33"/>
      <c r="BG34" s="33"/>
      <c r="BH34" s="33"/>
      <c r="BI34" s="33"/>
      <c r="BJ34" s="33"/>
      <c r="BK34" s="33"/>
      <c r="BL34" s="33"/>
      <c r="BM34" s="33"/>
      <c r="BN34" s="33"/>
      <c r="BO34" s="33"/>
      <c r="BP34" s="33"/>
      <c r="BQ34" s="33"/>
      <c r="BR34" s="33"/>
      <c r="BS34" s="33"/>
      <c r="BT34" s="33"/>
      <c r="BU34" s="33"/>
      <c r="BV34" s="33"/>
      <c r="BW34" s="33"/>
      <c r="BX34" s="33"/>
      <c r="BY34" s="33"/>
    </row>
    <row r="35" spans="2:77" ht="15" outlineLevel="3">
      <c r="E35" s="22"/>
    </row>
    <row r="36" spans="2:77" s="22" customFormat="1" ht="15" outlineLevel="3">
      <c r="B36" s="18" t="s">
        <v>482</v>
      </c>
      <c r="C36" s="19"/>
      <c r="D36" s="19"/>
      <c r="E36" s="19"/>
      <c r="F36" s="19"/>
      <c r="G36" s="19"/>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row>
    <row r="37" spans="2:77" s="22" customFormat="1" ht="15" outlineLevel="3"/>
    <row r="38" spans="2:77" s="22" customFormat="1" ht="15" outlineLevel="3">
      <c r="C38" s="90"/>
      <c r="D38" s="90"/>
      <c r="E38" s="22" t="s">
        <v>70</v>
      </c>
    </row>
    <row r="39" spans="2:77" s="22" customFormat="1" ht="15" outlineLevel="3">
      <c r="C39" s="90"/>
      <c r="D39"/>
      <c r="E39" s="31" t="str">
        <f t="shared" ref="E39" si="112">+E179</f>
        <v>Free cash flow to equity (levered FCF)</v>
      </c>
      <c r="F39" s="36" t="s">
        <v>470</v>
      </c>
      <c r="G39"/>
      <c r="H39" s="31">
        <f t="shared" ref="H39:BS39" ca="1" si="113">+H179</f>
        <v>0</v>
      </c>
      <c r="I39" s="31">
        <f t="shared" ca="1" si="113"/>
        <v>0</v>
      </c>
      <c r="J39" s="31">
        <f t="shared" ca="1" si="113"/>
        <v>0</v>
      </c>
      <c r="K39" s="31">
        <f t="shared" ca="1" si="113"/>
        <v>0</v>
      </c>
      <c r="L39" s="31">
        <f t="shared" ca="1" si="113"/>
        <v>0</v>
      </c>
      <c r="M39" s="31">
        <f t="shared" ca="1" si="113"/>
        <v>0</v>
      </c>
      <c r="N39" s="31">
        <f t="shared" ca="1" si="113"/>
        <v>0</v>
      </c>
      <c r="O39" s="31">
        <f t="shared" ca="1" si="113"/>
        <v>0</v>
      </c>
      <c r="P39" s="31">
        <f t="shared" ca="1" si="113"/>
        <v>0</v>
      </c>
      <c r="Q39" s="31">
        <f t="shared" ca="1" si="113"/>
        <v>0</v>
      </c>
      <c r="R39" s="31">
        <f t="shared" ca="1" si="113"/>
        <v>0</v>
      </c>
      <c r="S39" s="31">
        <f t="shared" ca="1" si="113"/>
        <v>0</v>
      </c>
      <c r="T39" s="31">
        <f t="shared" ca="1" si="113"/>
        <v>0</v>
      </c>
      <c r="U39" s="31">
        <f t="shared" ca="1" si="113"/>
        <v>0</v>
      </c>
      <c r="V39" s="31">
        <f t="shared" ca="1" si="113"/>
        <v>0</v>
      </c>
      <c r="W39" s="31">
        <f t="shared" ca="1" si="113"/>
        <v>0</v>
      </c>
      <c r="X39" s="31">
        <f t="shared" ca="1" si="113"/>
        <v>0</v>
      </c>
      <c r="Y39" s="31">
        <f t="shared" ca="1" si="113"/>
        <v>0</v>
      </c>
      <c r="Z39" s="31">
        <f t="shared" ca="1" si="113"/>
        <v>0</v>
      </c>
      <c r="AA39" s="31">
        <f t="shared" ca="1" si="113"/>
        <v>0</v>
      </c>
      <c r="AB39" s="31">
        <f t="shared" ca="1" si="113"/>
        <v>0</v>
      </c>
      <c r="AC39" s="31">
        <f t="shared" ca="1" si="113"/>
        <v>0</v>
      </c>
      <c r="AD39" s="31">
        <f t="shared" ca="1" si="113"/>
        <v>0</v>
      </c>
      <c r="AE39" s="31">
        <f t="shared" ca="1" si="113"/>
        <v>0</v>
      </c>
      <c r="AF39" s="31">
        <f t="shared" ca="1" si="113"/>
        <v>0</v>
      </c>
      <c r="AG39" s="31">
        <f t="shared" ca="1" si="113"/>
        <v>0</v>
      </c>
      <c r="AH39" s="31">
        <f t="shared" ca="1" si="113"/>
        <v>0</v>
      </c>
      <c r="AI39" s="31">
        <f t="shared" ca="1" si="113"/>
        <v>0</v>
      </c>
      <c r="AJ39" s="31">
        <f t="shared" ca="1" si="113"/>
        <v>0</v>
      </c>
      <c r="AK39" s="31">
        <f t="shared" ca="1" si="113"/>
        <v>0</v>
      </c>
      <c r="AL39" s="31">
        <f t="shared" ca="1" si="113"/>
        <v>0</v>
      </c>
      <c r="AM39" s="31">
        <f t="shared" ca="1" si="113"/>
        <v>0</v>
      </c>
      <c r="AN39" s="31">
        <f t="shared" ca="1" si="113"/>
        <v>0</v>
      </c>
      <c r="AO39" s="31">
        <f t="shared" ca="1" si="113"/>
        <v>0</v>
      </c>
      <c r="AP39" s="31">
        <f t="shared" ca="1" si="113"/>
        <v>0</v>
      </c>
      <c r="AQ39" s="31">
        <f t="shared" ca="1" si="113"/>
        <v>0</v>
      </c>
      <c r="AR39" s="31">
        <f t="shared" ca="1" si="113"/>
        <v>0</v>
      </c>
      <c r="AS39" s="31">
        <f t="shared" ca="1" si="113"/>
        <v>0</v>
      </c>
      <c r="AT39" s="31">
        <f t="shared" ca="1" si="113"/>
        <v>0</v>
      </c>
      <c r="AU39" s="31">
        <f t="shared" ca="1" si="113"/>
        <v>0</v>
      </c>
      <c r="AV39" s="31">
        <f t="shared" ca="1" si="113"/>
        <v>0</v>
      </c>
      <c r="AW39" s="31">
        <f t="shared" ca="1" si="113"/>
        <v>0</v>
      </c>
      <c r="AX39" s="31">
        <f t="shared" ca="1" si="113"/>
        <v>0</v>
      </c>
      <c r="AY39" s="31">
        <f t="shared" ca="1" si="113"/>
        <v>0</v>
      </c>
      <c r="AZ39" s="31">
        <f t="shared" ca="1" si="113"/>
        <v>0</v>
      </c>
      <c r="BA39" s="31">
        <f t="shared" ca="1" si="113"/>
        <v>0</v>
      </c>
      <c r="BB39" s="31">
        <f t="shared" ca="1" si="113"/>
        <v>0</v>
      </c>
      <c r="BC39" s="31">
        <f t="shared" ca="1" si="113"/>
        <v>0</v>
      </c>
      <c r="BD39" s="31">
        <f t="shared" ca="1" si="113"/>
        <v>0</v>
      </c>
      <c r="BE39" s="31">
        <f t="shared" ca="1" si="113"/>
        <v>0</v>
      </c>
      <c r="BF39" s="31">
        <f t="shared" ca="1" si="113"/>
        <v>0</v>
      </c>
      <c r="BG39" s="31">
        <f t="shared" ca="1" si="113"/>
        <v>0</v>
      </c>
      <c r="BH39" s="31">
        <f t="shared" ca="1" si="113"/>
        <v>0</v>
      </c>
      <c r="BI39" s="31">
        <f t="shared" ca="1" si="113"/>
        <v>0</v>
      </c>
      <c r="BJ39" s="31">
        <f t="shared" ca="1" si="113"/>
        <v>0</v>
      </c>
      <c r="BK39" s="31">
        <f t="shared" ca="1" si="113"/>
        <v>0</v>
      </c>
      <c r="BL39" s="31">
        <f t="shared" ca="1" si="113"/>
        <v>0</v>
      </c>
      <c r="BM39" s="31">
        <f t="shared" ca="1" si="113"/>
        <v>0</v>
      </c>
      <c r="BN39" s="31">
        <f t="shared" ca="1" si="113"/>
        <v>0</v>
      </c>
      <c r="BO39" s="31">
        <f t="shared" ca="1" si="113"/>
        <v>0</v>
      </c>
      <c r="BP39" s="31">
        <f t="shared" ca="1" si="113"/>
        <v>0</v>
      </c>
      <c r="BQ39" s="31">
        <f t="shared" ca="1" si="113"/>
        <v>0</v>
      </c>
      <c r="BR39" s="31">
        <f t="shared" ca="1" si="113"/>
        <v>0</v>
      </c>
      <c r="BS39" s="31">
        <f t="shared" ca="1" si="113"/>
        <v>0</v>
      </c>
      <c r="BT39" s="31">
        <f t="shared" ref="BT39:BY39" ca="1" si="114">+BT179</f>
        <v>0</v>
      </c>
      <c r="BU39" s="31">
        <f t="shared" ca="1" si="114"/>
        <v>0</v>
      </c>
      <c r="BV39" s="31">
        <f t="shared" ca="1" si="114"/>
        <v>0</v>
      </c>
      <c r="BW39" s="31">
        <f t="shared" ca="1" si="114"/>
        <v>0</v>
      </c>
      <c r="BX39" s="31">
        <f t="shared" ca="1" si="114"/>
        <v>0</v>
      </c>
      <c r="BY39" s="31">
        <f t="shared" ca="1" si="114"/>
        <v>0</v>
      </c>
    </row>
    <row r="40" spans="2:77" s="22" customFormat="1" ht="15" outlineLevel="3">
      <c r="C40" s="90"/>
      <c r="D40" s="90"/>
      <c r="E40" t="s">
        <v>243</v>
      </c>
      <c r="F40" s="36"/>
      <c r="G40"/>
      <c r="H40" s="86">
        <f ca="1">1/(1+Assumptions!$G$106)*IF(G40=0,1,G40)</f>
        <v>0.95979422011920645</v>
      </c>
      <c r="I40" s="86">
        <f ca="1">1/(1+Assumptions!$G$106)*IF(H40=0,1,H40)</f>
        <v>0.92120494497423577</v>
      </c>
      <c r="J40" s="86">
        <f ca="1">1/(1+Assumptions!$G$106)*IF(I40=0,1,I40)</f>
        <v>0.8841671817315031</v>
      </c>
      <c r="K40" s="86">
        <f ca="1">1/(1+Assumptions!$G$106)*IF(J40=0,1,J40)</f>
        <v>0.8486185506449847</v>
      </c>
      <c r="L40" s="86">
        <f ca="1">1/(1+Assumptions!$G$106)*IF(K40=0,1,K40)</f>
        <v>0.81449917999499444</v>
      </c>
      <c r="M40" s="86">
        <f ca="1">1/(1+Assumptions!$G$106)*IF(L40=0,1,L40)</f>
        <v>0.78175160525102882</v>
      </c>
      <c r="N40" s="86">
        <f ca="1">1/(1+Assumptions!$G$106)*IF(M40=0,1,M40)</f>
        <v>0.75032067228884891</v>
      </c>
      <c r="O40" s="86">
        <f ca="1">1/(1+Assumptions!$G$106)*IF(N40=0,1,N40)</f>
        <v>0.72015344449879437</v>
      </c>
      <c r="P40" s="86">
        <f ca="1">1/(1+Assumptions!$G$106)*IF(O40=0,1,O40)</f>
        <v>0.69119911362888053</v>
      </c>
      <c r="Q40" s="86">
        <f ca="1">1/(1+Assumptions!$G$106)*IF(P40=0,1,P40)</f>
        <v>0.66340891421251813</v>
      </c>
      <c r="R40" s="86">
        <f ca="1">1/(1+Assumptions!$G$106)*IF(Q40=0,1,Q40)</f>
        <v>0.63673604143673335</v>
      </c>
      <c r="S40" s="86">
        <f ca="1">1/(1+Assumptions!$G$106)*IF(R40=0,1,R40)</f>
        <v>0.61113557231256022</v>
      </c>
      <c r="T40" s="86">
        <f ca="1">1/(1+Assumptions!$G$106)*IF(S40=0,1,S40)</f>
        <v>0.58656439001483862</v>
      </c>
      <c r="U40" s="86">
        <f ca="1">1/(1+Assumptions!$G$106)*IF(T40=0,1,T40)</f>
        <v>0.56298111126399009</v>
      </c>
      <c r="V40" s="86">
        <f ca="1">1/(1+Assumptions!$G$106)*IF(U40=0,1,U40)</f>
        <v>0.54034601662746551</v>
      </c>
      <c r="W40" s="86">
        <f ca="1">1/(1+Assumptions!$G$106)*IF(V40=0,1,V40)</f>
        <v>0.51862098362347797</v>
      </c>
      <c r="X40" s="86">
        <f ca="1">1/(1+Assumptions!$G$106)*IF(W40=0,1,W40)</f>
        <v>0.4977694225143518</v>
      </c>
      <c r="Y40" s="86">
        <f ca="1">1/(1+Assumptions!$G$106)*IF(X40=0,1,X40)</f>
        <v>0.47775621468135004</v>
      </c>
      <c r="Z40" s="86">
        <f ca="1">1/(1+Assumptions!$G$106)*IF(Y40=0,1,Y40)</f>
        <v>0.45854765347719056</v>
      </c>
      <c r="AA40" s="86">
        <f ca="1">1/(1+Assumptions!$G$106)*IF(Z40=0,1,Z40)</f>
        <v>0.44011138745663225</v>
      </c>
      <c r="AB40" s="86">
        <f ca="1">1/(1+Assumptions!$G$106)*IF(AA40=0,1,AA40)</f>
        <v>0.42241636588952025</v>
      </c>
      <c r="AC40" s="86">
        <f ca="1">1/(1+Assumptions!$G$106)*IF(AB40=0,1,AB40)</f>
        <v>0.40543278646452147</v>
      </c>
      <c r="AD40" s="86">
        <f ca="1">1/(1+Assumptions!$G$106)*IF(AC40=0,1,AC40)</f>
        <v>0.38913204509547217</v>
      </c>
      <c r="AE40" s="86">
        <f ca="1">1/(1+Assumptions!$G$106)*IF(AD40=0,1,AD40)</f>
        <v>0.37348668774580057</v>
      </c>
      <c r="AF40" s="86">
        <f ca="1">1/(1+Assumptions!$G$106)*IF(AE40=0,1,AE40)</f>
        <v>0.35847036418988626</v>
      </c>
      <c r="AG40" s="86">
        <f ca="1">1/(1+Assumptions!$G$106)*IF(AF40=0,1,AF40)</f>
        <v>0.34405778363347977</v>
      </c>
      <c r="AH40" s="86">
        <f ca="1">1/(1+Assumptions!$G$106)*IF(AG40=0,1,AG40)</f>
        <v>0.33022467211843837</v>
      </c>
      <c r="AI40" s="86">
        <f ca="1">1/(1+Assumptions!$G$106)*IF(AH40=0,1,AH40)</f>
        <v>0.3169477316400372</v>
      </c>
      <c r="AJ40" s="86">
        <f ca="1">1/(1+Assumptions!$G$106)*IF(AI40=0,1,AI40)</f>
        <v>0.30420460090800105</v>
      </c>
      <c r="AK40" s="86">
        <f ca="1">1/(1+Assumptions!$G$106)*IF(AJ40=0,1,AJ40)</f>
        <v>0.29197381768516933</v>
      </c>
      <c r="AL40" s="86">
        <f ca="1">1/(1+Assumptions!$G$106)*IF(AK40=0,1,AK40)</f>
        <v>0.28023478264036444</v>
      </c>
      <c r="AM40" s="86">
        <f ca="1">1/(1+Assumptions!$G$106)*IF(AL40=0,1,AL40)</f>
        <v>0.26896772465458391</v>
      </c>
      <c r="AN40" s="86">
        <f ca="1">1/(1+Assumptions!$G$106)*IF(AM40=0,1,AM40)</f>
        <v>0.2581536675220838</v>
      </c>
      <c r="AO40" s="86">
        <f ca="1">1/(1+Assumptions!$G$106)*IF(AN40=0,1,AN40)</f>
        <v>0.24777439799027134</v>
      </c>
      <c r="AP40" s="86">
        <f ca="1">1/(1+Assumptions!$G$106)*IF(AO40=0,1,AO40)</f>
        <v>0.23781243508457836</v>
      </c>
      <c r="AQ40" s="86">
        <f ca="1">1/(1+Assumptions!$G$106)*IF(AP40=0,1,AP40)</f>
        <v>0.2282510006666523</v>
      </c>
      <c r="AR40" s="86">
        <f ca="1">1/(1+Assumptions!$G$106)*IF(AQ40=0,1,AQ40)</f>
        <v>0.21907399117627802</v>
      </c>
      <c r="AS40" s="86">
        <f ca="1">1/(1+Assumptions!$G$106)*IF(AR40=0,1,AR40)</f>
        <v>0.21026595050943767</v>
      </c>
      <c r="AT40" s="86">
        <f ca="1">1/(1+Assumptions!$G$106)*IF(AS40=0,1,AS40)</f>
        <v>0.20181204398682939</v>
      </c>
      <c r="AU40" s="86">
        <f ca="1">1/(1+Assumptions!$G$106)*IF(AT40=0,1,AT40)</f>
        <v>0.1936980333690019</v>
      </c>
      <c r="AV40" s="86">
        <f ca="1">1/(1+Assumptions!$G$106)*IF(AU40=0,1,AU40)</f>
        <v>0.18591025287602522</v>
      </c>
      <c r="AW40" s="86">
        <f ca="1">1/(1+Assumptions!$G$106)*IF(AV40=0,1,AV40)</f>
        <v>0.17843558617130909</v>
      </c>
      <c r="AX40" s="86">
        <f ca="1">1/(1+Assumptions!$G$106)*IF(AW40=0,1,AW40)</f>
        <v>0.17126144427080506</v>
      </c>
      <c r="AY40" s="86">
        <f ca="1">1/(1+Assumptions!$G$106)*IF(AX40=0,1,AX40)</f>
        <v>0.16437574434038627</v>
      </c>
      <c r="AZ40" s="86">
        <f ca="1">1/(1+Assumptions!$G$106)*IF(AY40=0,1,AY40)</f>
        <v>0.1577668893456951</v>
      </c>
      <c r="BA40" s="86">
        <f ca="1">1/(1+Assumptions!$G$106)*IF(AZ40=0,1,AZ40)</f>
        <v>0.15142374852018459</v>
      </c>
      <c r="BB40" s="86">
        <f ca="1">1/(1+Assumptions!$G$106)*IF(BA40=0,1,BA40)</f>
        <v>0.14533563861845741</v>
      </c>
      <c r="BC40" s="86">
        <f ca="1">1/(1+Assumptions!$G$106)*IF(BB40=0,1,BB40)</f>
        <v>0.13949230592332915</v>
      </c>
      <c r="BD40" s="86">
        <f ca="1">1/(1+Assumptions!$G$106)*IF(BC40=0,1,BC40)</f>
        <v>0.13388390897631147</v>
      </c>
      <c r="BE40" s="86">
        <f ca="1">1/(1+Assumptions!$G$106)*IF(BD40=0,1,BD40)</f>
        <v>0.1285010020024297</v>
      </c>
      <c r="BF40" s="86">
        <f ca="1">1/(1+Assumptions!$G$106)*IF(BE40=0,1,BE40)</f>
        <v>0.1233345190014586</v>
      </c>
      <c r="BG40" s="86">
        <f ca="1">1/(1+Assumptions!$G$106)*IF(BF40=0,1,BF40)</f>
        <v>0.11837575847878241</v>
      </c>
      <c r="BH40" s="86">
        <f ca="1">1/(1+Assumptions!$G$106)*IF(BG40=0,1,BG40)</f>
        <v>0.11361636879016251</v>
      </c>
      <c r="BI40" s="86">
        <f ca="1">1/(1+Assumptions!$G$106)*IF(BH40=0,1,BH40)</f>
        <v>0.10904833407573018</v>
      </c>
      <c r="BJ40" s="86">
        <f ca="1">1/(1+Assumptions!$G$106)*IF(BI40=0,1,BI40)</f>
        <v>0.10466396075951413</v>
      </c>
      <c r="BK40" s="86">
        <f ca="1">1/(1+Assumptions!$G$106)*IF(BJ40=0,1,BJ40)</f>
        <v>0.10045586459176509</v>
      </c>
      <c r="BL40" s="86">
        <f ca="1">1/(1+Assumptions!$G$106)*IF(BK40=0,1,BK40)</f>
        <v>9.6416958212253781E-2</v>
      </c>
      <c r="BM40" s="86">
        <f ca="1">1/(1+Assumptions!$G$106)*IF(BL40=0,1,BL40)</f>
        <v>9.254043921359624E-2</v>
      </c>
      <c r="BN40" s="86">
        <f ca="1">1/(1+Assumptions!$G$106)*IF(BM40=0,1,BM40)</f>
        <v>8.8819778684502429E-2</v>
      </c>
      <c r="BO40" s="86">
        <f ca="1">1/(1+Assumptions!$G$106)*IF(BN40=0,1,BN40)</f>
        <v>8.5248710213652532E-2</v>
      </c>
      <c r="BP40" s="86">
        <f ca="1">1/(1+Assumptions!$G$106)*IF(BO40=0,1,BO40)</f>
        <v>8.1821219335680859E-2</v>
      </c>
      <c r="BQ40" s="86">
        <f ca="1">1/(1+Assumptions!$G$106)*IF(BP40=0,1,BP40)</f>
        <v>7.853153340149234E-2</v>
      </c>
      <c r="BR40" s="86">
        <f ca="1">1/(1+Assumptions!$G$106)*IF(BQ40=0,1,BQ40)</f>
        <v>7.5374111855850759E-2</v>
      </c>
      <c r="BS40" s="86">
        <f ca="1">1/(1+Assumptions!$G$106)*IF(BR40=0,1,BR40)</f>
        <v>7.2343636905864109E-2</v>
      </c>
      <c r="BT40" s="86">
        <f ca="1">1/(1+Assumptions!$G$106)*IF(BS40=0,1,BS40)</f>
        <v>6.943500456465089E-2</v>
      </c>
      <c r="BU40" s="86">
        <f ca="1">1/(1+Assumptions!$G$106)*IF(BT40=0,1,BT40)</f>
        <v>6.6643316055102639E-2</v>
      </c>
      <c r="BV40" s="86">
        <f ca="1">1/(1+Assumptions!$G$106)*IF(BU40=0,1,BU40)</f>
        <v>6.396386955926503E-2</v>
      </c>
      <c r="BW40" s="86">
        <f ca="1">1/(1+Assumptions!$G$106)*IF(BV40=0,1,BV40)</f>
        <v>6.1392152299441428E-2</v>
      </c>
      <c r="BX40" s="86">
        <f ca="1">1/(1+Assumptions!$G$106)*IF(BW40=0,1,BW40)</f>
        <v>5.8923832937681934E-2</v>
      </c>
      <c r="BY40" s="86">
        <f ca="1">1/(1+Assumptions!$G$106)*IF(BX40=0,1,BX40)</f>
        <v>5.6554754280856843E-2</v>
      </c>
    </row>
    <row r="41" spans="2:77" s="22" customFormat="1" ht="15" outlineLevel="3">
      <c r="C41" s="90"/>
      <c r="D41"/>
      <c r="E41" t="s">
        <v>483</v>
      </c>
      <c r="F41" s="36" t="s">
        <v>470</v>
      </c>
      <c r="G41"/>
      <c r="H41" s="33">
        <f t="shared" ref="H41:AM41" ca="1" si="115">+H40*H39</f>
        <v>0</v>
      </c>
      <c r="I41" s="33">
        <f t="shared" ca="1" si="115"/>
        <v>0</v>
      </c>
      <c r="J41" s="33">
        <f t="shared" ca="1" si="115"/>
        <v>0</v>
      </c>
      <c r="K41" s="33">
        <f t="shared" ca="1" si="115"/>
        <v>0</v>
      </c>
      <c r="L41" s="33">
        <f t="shared" ca="1" si="115"/>
        <v>0</v>
      </c>
      <c r="M41" s="33">
        <f t="shared" ca="1" si="115"/>
        <v>0</v>
      </c>
      <c r="N41" s="33">
        <f t="shared" ca="1" si="115"/>
        <v>0</v>
      </c>
      <c r="O41" s="33">
        <f t="shared" ca="1" si="115"/>
        <v>0</v>
      </c>
      <c r="P41" s="33">
        <f t="shared" ca="1" si="115"/>
        <v>0</v>
      </c>
      <c r="Q41" s="33">
        <f t="shared" ca="1" si="115"/>
        <v>0</v>
      </c>
      <c r="R41" s="33">
        <f t="shared" ca="1" si="115"/>
        <v>0</v>
      </c>
      <c r="S41" s="33">
        <f t="shared" ca="1" si="115"/>
        <v>0</v>
      </c>
      <c r="T41" s="33">
        <f t="shared" ca="1" si="115"/>
        <v>0</v>
      </c>
      <c r="U41" s="33">
        <f t="shared" ca="1" si="115"/>
        <v>0</v>
      </c>
      <c r="V41" s="33">
        <f t="shared" ca="1" si="115"/>
        <v>0</v>
      </c>
      <c r="W41" s="33">
        <f t="shared" ca="1" si="115"/>
        <v>0</v>
      </c>
      <c r="X41" s="33">
        <f t="shared" ca="1" si="115"/>
        <v>0</v>
      </c>
      <c r="Y41" s="33">
        <f t="shared" ca="1" si="115"/>
        <v>0</v>
      </c>
      <c r="Z41" s="33">
        <f t="shared" ca="1" si="115"/>
        <v>0</v>
      </c>
      <c r="AA41" s="33">
        <f t="shared" ca="1" si="115"/>
        <v>0</v>
      </c>
      <c r="AB41" s="33">
        <f t="shared" ca="1" si="115"/>
        <v>0</v>
      </c>
      <c r="AC41" s="33">
        <f t="shared" ca="1" si="115"/>
        <v>0</v>
      </c>
      <c r="AD41" s="33">
        <f t="shared" ca="1" si="115"/>
        <v>0</v>
      </c>
      <c r="AE41" s="33">
        <f t="shared" ca="1" si="115"/>
        <v>0</v>
      </c>
      <c r="AF41" s="33">
        <f t="shared" ca="1" si="115"/>
        <v>0</v>
      </c>
      <c r="AG41" s="33">
        <f t="shared" ca="1" si="115"/>
        <v>0</v>
      </c>
      <c r="AH41" s="33">
        <f t="shared" ca="1" si="115"/>
        <v>0</v>
      </c>
      <c r="AI41" s="33">
        <f t="shared" ca="1" si="115"/>
        <v>0</v>
      </c>
      <c r="AJ41" s="33">
        <f t="shared" ca="1" si="115"/>
        <v>0</v>
      </c>
      <c r="AK41" s="33">
        <f t="shared" ca="1" si="115"/>
        <v>0</v>
      </c>
      <c r="AL41" s="33">
        <f t="shared" ca="1" si="115"/>
        <v>0</v>
      </c>
      <c r="AM41" s="33">
        <f t="shared" ca="1" si="115"/>
        <v>0</v>
      </c>
      <c r="AN41" s="33">
        <f t="shared" ref="AN41:BS41" ca="1" si="116">+AN40*AN39</f>
        <v>0</v>
      </c>
      <c r="AO41" s="33">
        <f t="shared" ca="1" si="116"/>
        <v>0</v>
      </c>
      <c r="AP41" s="33">
        <f t="shared" ca="1" si="116"/>
        <v>0</v>
      </c>
      <c r="AQ41" s="33">
        <f t="shared" ca="1" si="116"/>
        <v>0</v>
      </c>
      <c r="AR41" s="33">
        <f t="shared" ca="1" si="116"/>
        <v>0</v>
      </c>
      <c r="AS41" s="33">
        <f t="shared" ca="1" si="116"/>
        <v>0</v>
      </c>
      <c r="AT41" s="33">
        <f t="shared" ca="1" si="116"/>
        <v>0</v>
      </c>
      <c r="AU41" s="33">
        <f t="shared" ca="1" si="116"/>
        <v>0</v>
      </c>
      <c r="AV41" s="33">
        <f t="shared" ca="1" si="116"/>
        <v>0</v>
      </c>
      <c r="AW41" s="33">
        <f t="shared" ca="1" si="116"/>
        <v>0</v>
      </c>
      <c r="AX41" s="33">
        <f t="shared" ca="1" si="116"/>
        <v>0</v>
      </c>
      <c r="AY41" s="33">
        <f t="shared" ca="1" si="116"/>
        <v>0</v>
      </c>
      <c r="AZ41" s="33">
        <f t="shared" ca="1" si="116"/>
        <v>0</v>
      </c>
      <c r="BA41" s="33">
        <f t="shared" ca="1" si="116"/>
        <v>0</v>
      </c>
      <c r="BB41" s="33">
        <f t="shared" ca="1" si="116"/>
        <v>0</v>
      </c>
      <c r="BC41" s="33">
        <f t="shared" ca="1" si="116"/>
        <v>0</v>
      </c>
      <c r="BD41" s="33">
        <f t="shared" ca="1" si="116"/>
        <v>0</v>
      </c>
      <c r="BE41" s="33">
        <f t="shared" ca="1" si="116"/>
        <v>0</v>
      </c>
      <c r="BF41" s="33">
        <f t="shared" ca="1" si="116"/>
        <v>0</v>
      </c>
      <c r="BG41" s="33">
        <f t="shared" ca="1" si="116"/>
        <v>0</v>
      </c>
      <c r="BH41" s="33">
        <f t="shared" ca="1" si="116"/>
        <v>0</v>
      </c>
      <c r="BI41" s="33">
        <f t="shared" ca="1" si="116"/>
        <v>0</v>
      </c>
      <c r="BJ41" s="33">
        <f t="shared" ca="1" si="116"/>
        <v>0</v>
      </c>
      <c r="BK41" s="33">
        <f t="shared" ca="1" si="116"/>
        <v>0</v>
      </c>
      <c r="BL41" s="33">
        <f t="shared" ca="1" si="116"/>
        <v>0</v>
      </c>
      <c r="BM41" s="33">
        <f t="shared" ca="1" si="116"/>
        <v>0</v>
      </c>
      <c r="BN41" s="33">
        <f t="shared" ca="1" si="116"/>
        <v>0</v>
      </c>
      <c r="BO41" s="33">
        <f t="shared" ca="1" si="116"/>
        <v>0</v>
      </c>
      <c r="BP41" s="33">
        <f t="shared" ca="1" si="116"/>
        <v>0</v>
      </c>
      <c r="BQ41" s="33">
        <f t="shared" ca="1" si="116"/>
        <v>0</v>
      </c>
      <c r="BR41" s="33">
        <f t="shared" ca="1" si="116"/>
        <v>0</v>
      </c>
      <c r="BS41" s="33">
        <f t="shared" ca="1" si="116"/>
        <v>0</v>
      </c>
      <c r="BT41" s="33">
        <f t="shared" ref="BT41:BY41" ca="1" si="117">+BT40*BT39</f>
        <v>0</v>
      </c>
      <c r="BU41" s="33">
        <f t="shared" ca="1" si="117"/>
        <v>0</v>
      </c>
      <c r="BV41" s="33">
        <f t="shared" ca="1" si="117"/>
        <v>0</v>
      </c>
      <c r="BW41" s="33">
        <f t="shared" ca="1" si="117"/>
        <v>0</v>
      </c>
      <c r="BX41" s="33">
        <f t="shared" ca="1" si="117"/>
        <v>0</v>
      </c>
      <c r="BY41" s="33">
        <f t="shared" ca="1" si="117"/>
        <v>0</v>
      </c>
    </row>
    <row r="42" spans="2:77" s="22" customFormat="1" ht="15" outlineLevel="3">
      <c r="C42" s="90"/>
    </row>
    <row r="43" spans="2:77" s="22" customFormat="1" ht="15" outlineLevel="3">
      <c r="C43" s="90"/>
      <c r="D43" s="90"/>
      <c r="E43" s="22" t="s">
        <v>484</v>
      </c>
      <c r="F43" s="36"/>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row>
    <row r="44" spans="2:77" s="22" customFormat="1" ht="15" outlineLevel="3">
      <c r="C44" s="90"/>
      <c r="D44" s="86"/>
      <c r="E44" t="str">
        <f>+E410</f>
        <v>Free cash flow to equity (levered FCF)</v>
      </c>
      <c r="F44" s="36" t="s">
        <v>470</v>
      </c>
      <c r="G44" s="45"/>
      <c r="H44" s="86">
        <f t="shared" ref="H44:BS44" ca="1" si="118">+H410</f>
        <v>0</v>
      </c>
      <c r="I44" s="86">
        <f t="shared" ca="1" si="118"/>
        <v>-1928972.8435560591</v>
      </c>
      <c r="J44" s="86">
        <f t="shared" ca="1" si="118"/>
        <v>-126937.7368396684</v>
      </c>
      <c r="K44" s="86">
        <f t="shared" ca="1" si="118"/>
        <v>-468805.16061091714</v>
      </c>
      <c r="L44" s="86">
        <f t="shared" ca="1" si="118"/>
        <v>-469070.09834642021</v>
      </c>
      <c r="M44" s="86">
        <f t="shared" ca="1" si="118"/>
        <v>-469340.33483663335</v>
      </c>
      <c r="N44" s="86">
        <f t="shared" ca="1" si="118"/>
        <v>-469615.97605665075</v>
      </c>
      <c r="O44" s="86">
        <f t="shared" ca="1" si="118"/>
        <v>-469897.13010106847</v>
      </c>
      <c r="P44" s="86">
        <f t="shared" ca="1" si="118"/>
        <v>-470183.90722637461</v>
      </c>
      <c r="Q44" s="86">
        <f t="shared" ca="1" si="118"/>
        <v>-470476.41989418678</v>
      </c>
      <c r="R44" s="86">
        <f t="shared" ca="1" si="118"/>
        <v>-470774.78281535523</v>
      </c>
      <c r="S44" s="86">
        <f t="shared" ca="1" si="118"/>
        <v>-471079.11299494701</v>
      </c>
      <c r="T44" s="86">
        <f t="shared" ca="1" si="118"/>
        <v>-471389.5297781307</v>
      </c>
      <c r="U44" s="86">
        <f t="shared" ca="1" si="118"/>
        <v>-471706.15489697806</v>
      </c>
      <c r="V44" s="86">
        <f t="shared" ca="1" si="118"/>
        <v>-472029.11251820234</v>
      </c>
      <c r="W44" s="86">
        <f t="shared" ca="1" si="118"/>
        <v>-472358.5292918511</v>
      </c>
      <c r="X44" s="86">
        <f t="shared" ca="1" si="118"/>
        <v>-472694.53440097283</v>
      </c>
      <c r="Y44" s="86">
        <f t="shared" ca="1" si="118"/>
        <v>-346099.52277260879</v>
      </c>
      <c r="Z44" s="86">
        <f t="shared" ca="1" si="118"/>
        <v>-1.3028096873313189E-10</v>
      </c>
      <c r="AA44" s="86">
        <f t="shared" ca="1" si="118"/>
        <v>-1.3028096873313189E-10</v>
      </c>
      <c r="AB44" s="86">
        <f t="shared" ca="1" si="118"/>
        <v>-1.3028096873313189E-10</v>
      </c>
      <c r="AC44" s="86">
        <f t="shared" ca="1" si="118"/>
        <v>-1.3028096873313189E-10</v>
      </c>
      <c r="AD44" s="86">
        <f t="shared" ca="1" si="118"/>
        <v>-1.3028096873313189E-10</v>
      </c>
      <c r="AE44" s="86">
        <f t="shared" ca="1" si="118"/>
        <v>-1.3028096873313189E-10</v>
      </c>
      <c r="AF44" s="86">
        <f t="shared" ca="1" si="118"/>
        <v>-1.3028096873313189E-10</v>
      </c>
      <c r="AG44" s="86">
        <f t="shared" ca="1" si="118"/>
        <v>-1.3028096873313189E-10</v>
      </c>
      <c r="AH44" s="86">
        <f t="shared" ca="1" si="118"/>
        <v>-1.3028096873313189E-10</v>
      </c>
      <c r="AI44" s="86">
        <f t="shared" ca="1" si="118"/>
        <v>-1.3028096873313189E-10</v>
      </c>
      <c r="AJ44" s="86">
        <f t="shared" ca="1" si="118"/>
        <v>-1.3028096873313189E-10</v>
      </c>
      <c r="AK44" s="86">
        <f t="shared" ca="1" si="118"/>
        <v>-1.3028096873313189E-10</v>
      </c>
      <c r="AL44" s="86">
        <f t="shared" ca="1" si="118"/>
        <v>-1.3028096873313189E-10</v>
      </c>
      <c r="AM44" s="86">
        <f t="shared" ca="1" si="118"/>
        <v>-1.3028096873313189E-10</v>
      </c>
      <c r="AN44" s="86">
        <f t="shared" ca="1" si="118"/>
        <v>-1.3028096873313189E-10</v>
      </c>
      <c r="AO44" s="86">
        <f t="shared" ca="1" si="118"/>
        <v>-1.3028096873313189E-10</v>
      </c>
      <c r="AP44" s="86">
        <f t="shared" ca="1" si="118"/>
        <v>-1.3028096873313189E-10</v>
      </c>
      <c r="AQ44" s="86">
        <f t="shared" ca="1" si="118"/>
        <v>-1.3028096873313189E-10</v>
      </c>
      <c r="AR44" s="86">
        <f t="shared" ca="1" si="118"/>
        <v>-1.3028096873313189E-10</v>
      </c>
      <c r="AS44" s="86">
        <f t="shared" ca="1" si="118"/>
        <v>-1.3028096873313189E-10</v>
      </c>
      <c r="AT44" s="86">
        <f t="shared" ca="1" si="118"/>
        <v>-1.3028096873313189E-10</v>
      </c>
      <c r="AU44" s="86">
        <f t="shared" ca="1" si="118"/>
        <v>-1.3028096873313189E-10</v>
      </c>
      <c r="AV44" s="86">
        <f t="shared" ca="1" si="118"/>
        <v>-1.3028096873313189E-10</v>
      </c>
      <c r="AW44" s="86">
        <f t="shared" ca="1" si="118"/>
        <v>-1.3028096873313189E-10</v>
      </c>
      <c r="AX44" s="86">
        <f t="shared" ca="1" si="118"/>
        <v>-1.3028096873313189E-10</v>
      </c>
      <c r="AY44" s="86">
        <f t="shared" ca="1" si="118"/>
        <v>-1.3028096873313189E-10</v>
      </c>
      <c r="AZ44" s="86">
        <f t="shared" ca="1" si="118"/>
        <v>-1.3028096873313189E-10</v>
      </c>
      <c r="BA44" s="86">
        <f t="shared" ca="1" si="118"/>
        <v>-1.3028096873313189E-10</v>
      </c>
      <c r="BB44" s="86">
        <f t="shared" ca="1" si="118"/>
        <v>-1.3028096873313189E-10</v>
      </c>
      <c r="BC44" s="86">
        <f t="shared" ca="1" si="118"/>
        <v>-1.3028096873313189E-10</v>
      </c>
      <c r="BD44" s="86">
        <f t="shared" ca="1" si="118"/>
        <v>-1.3028096873313189E-10</v>
      </c>
      <c r="BE44" s="86">
        <f t="shared" ca="1" si="118"/>
        <v>-1.3028096873313189E-10</v>
      </c>
      <c r="BF44" s="86">
        <f t="shared" ca="1" si="118"/>
        <v>-1.3028096873313189E-10</v>
      </c>
      <c r="BG44" s="86">
        <f t="shared" ca="1" si="118"/>
        <v>-1.3028096873313189E-10</v>
      </c>
      <c r="BH44" s="86">
        <f t="shared" ca="1" si="118"/>
        <v>-1.3028096873313189E-10</v>
      </c>
      <c r="BI44" s="86">
        <f t="shared" ca="1" si="118"/>
        <v>-1.3028096873313189E-10</v>
      </c>
      <c r="BJ44" s="86">
        <f t="shared" ca="1" si="118"/>
        <v>-1.3028096873313189E-10</v>
      </c>
      <c r="BK44" s="86">
        <f t="shared" ca="1" si="118"/>
        <v>-1.3028096873313189E-10</v>
      </c>
      <c r="BL44" s="86">
        <f t="shared" ca="1" si="118"/>
        <v>-1.3028096873313189E-10</v>
      </c>
      <c r="BM44" s="86">
        <f t="shared" ca="1" si="118"/>
        <v>-1.3028096873313189E-10</v>
      </c>
      <c r="BN44" s="86">
        <f t="shared" ca="1" si="118"/>
        <v>-1.3028096873313189E-10</v>
      </c>
      <c r="BO44" s="86">
        <f t="shared" ca="1" si="118"/>
        <v>-1.3028096873313189E-10</v>
      </c>
      <c r="BP44" s="86">
        <f t="shared" ca="1" si="118"/>
        <v>-1.3028096873313189E-10</v>
      </c>
      <c r="BQ44" s="86">
        <f t="shared" ca="1" si="118"/>
        <v>-1.3028096873313189E-10</v>
      </c>
      <c r="BR44" s="86">
        <f t="shared" ca="1" si="118"/>
        <v>-1.3028096873313189E-10</v>
      </c>
      <c r="BS44" s="86">
        <f t="shared" ca="1" si="118"/>
        <v>-1.3028096873313189E-10</v>
      </c>
      <c r="BT44" s="86">
        <f t="shared" ref="BT44:BY44" ca="1" si="119">+BT410</f>
        <v>-1.3028096873313189E-10</v>
      </c>
      <c r="BU44" s="86">
        <f t="shared" ca="1" si="119"/>
        <v>-1.3028096873313189E-10</v>
      </c>
      <c r="BV44" s="86">
        <f t="shared" ca="1" si="119"/>
        <v>-1.3028096873313189E-10</v>
      </c>
      <c r="BW44" s="86">
        <f t="shared" ca="1" si="119"/>
        <v>-1.3028096873313189E-10</v>
      </c>
      <c r="BX44" s="86">
        <f t="shared" ca="1" si="119"/>
        <v>-1.3028096873313189E-10</v>
      </c>
      <c r="BY44" s="86">
        <f t="shared" ca="1" si="119"/>
        <v>-1.3028096873313189E-10</v>
      </c>
    </row>
    <row r="45" spans="2:77" s="22" customFormat="1" ht="15" outlineLevel="3">
      <c r="C45" s="90"/>
      <c r="D45" s="90"/>
      <c r="E45" t="s">
        <v>243</v>
      </c>
      <c r="F45" s="36"/>
      <c r="H45" s="86">
        <f ca="1">1/(1+Assumptions!$G$213)*IF(G45=0,1,G45)</f>
        <v>0.95979422011920645</v>
      </c>
      <c r="I45" s="86">
        <f ca="1">1/(1+Assumptions!$G$213)*IF(H45=0,1,H45)</f>
        <v>0.92120494497423577</v>
      </c>
      <c r="J45" s="86">
        <f ca="1">1/(1+Assumptions!$G$213)*IF(I45=0,1,I45)</f>
        <v>0.8841671817315031</v>
      </c>
      <c r="K45" s="86">
        <f ca="1">1/(1+Assumptions!$G$213)*IF(J45=0,1,J45)</f>
        <v>0.8486185506449847</v>
      </c>
      <c r="L45" s="86">
        <f ca="1">1/(1+Assumptions!$G$213)*IF(K45=0,1,K45)</f>
        <v>0.81449917999499444</v>
      </c>
      <c r="M45" s="86">
        <f ca="1">1/(1+Assumptions!$G$213)*IF(L45=0,1,L45)</f>
        <v>0.78175160525102882</v>
      </c>
      <c r="N45" s="86">
        <f ca="1">1/(1+Assumptions!$G$213)*IF(M45=0,1,M45)</f>
        <v>0.75032067228884891</v>
      </c>
      <c r="O45" s="86">
        <f ca="1">1/(1+Assumptions!$G$213)*IF(N45=0,1,N45)</f>
        <v>0.72015344449879437</v>
      </c>
      <c r="P45" s="86">
        <f ca="1">1/(1+Assumptions!$G$213)*IF(O45=0,1,O45)</f>
        <v>0.69119911362888053</v>
      </c>
      <c r="Q45" s="86">
        <f ca="1">1/(1+Assumptions!$G$213)*IF(P45=0,1,P45)</f>
        <v>0.66340891421251813</v>
      </c>
      <c r="R45" s="86">
        <f ca="1">1/(1+Assumptions!$G$213)*IF(Q45=0,1,Q45)</f>
        <v>0.63673604143673335</v>
      </c>
      <c r="S45" s="86">
        <f ca="1">1/(1+Assumptions!$G$213)*IF(R45=0,1,R45)</f>
        <v>0.61113557231256022</v>
      </c>
      <c r="T45" s="86">
        <f ca="1">1/(1+Assumptions!$G$213)*IF(S45=0,1,S45)</f>
        <v>0.58656439001483862</v>
      </c>
      <c r="U45" s="86">
        <f ca="1">1/(1+Assumptions!$G$213)*IF(T45=0,1,T45)</f>
        <v>0.56298111126399009</v>
      </c>
      <c r="V45" s="86">
        <f ca="1">1/(1+Assumptions!$G$213)*IF(U45=0,1,U45)</f>
        <v>0.54034601662746551</v>
      </c>
      <c r="W45" s="86">
        <f ca="1">1/(1+Assumptions!$G$213)*IF(V45=0,1,V45)</f>
        <v>0.51862098362347797</v>
      </c>
      <c r="X45" s="86">
        <f ca="1">1/(1+Assumptions!$G$213)*IF(W45=0,1,W45)</f>
        <v>0.4977694225143518</v>
      </c>
      <c r="Y45" s="86">
        <f ca="1">1/(1+Assumptions!$G$213)*IF(X45=0,1,X45)</f>
        <v>0.47775621468135004</v>
      </c>
      <c r="Z45" s="86">
        <f ca="1">1/(1+Assumptions!$G$213)*IF(Y45=0,1,Y45)</f>
        <v>0.45854765347719056</v>
      </c>
      <c r="AA45" s="86">
        <f ca="1">1/(1+Assumptions!$G$213)*IF(Z45=0,1,Z45)</f>
        <v>0.44011138745663225</v>
      </c>
      <c r="AB45" s="86">
        <f ca="1">1/(1+Assumptions!$G$213)*IF(AA45=0,1,AA45)</f>
        <v>0.42241636588952025</v>
      </c>
      <c r="AC45" s="86">
        <f ca="1">1/(1+Assumptions!$G$213)*IF(AB45=0,1,AB45)</f>
        <v>0.40543278646452147</v>
      </c>
      <c r="AD45" s="86">
        <f ca="1">1/(1+Assumptions!$G$213)*IF(AC45=0,1,AC45)</f>
        <v>0.38913204509547217</v>
      </c>
      <c r="AE45" s="86">
        <f ca="1">1/(1+Assumptions!$G$213)*IF(AD45=0,1,AD45)</f>
        <v>0.37348668774580057</v>
      </c>
      <c r="AF45" s="86">
        <f ca="1">1/(1+Assumptions!$G$213)*IF(AE45=0,1,AE45)</f>
        <v>0.35847036418988626</v>
      </c>
      <c r="AG45" s="86">
        <f ca="1">1/(1+Assumptions!$G$213)*IF(AF45=0,1,AF45)</f>
        <v>0.34405778363347977</v>
      </c>
      <c r="AH45" s="86">
        <f ca="1">1/(1+Assumptions!$G$213)*IF(AG45=0,1,AG45)</f>
        <v>0.33022467211843837</v>
      </c>
      <c r="AI45" s="86">
        <f ca="1">1/(1+Assumptions!$G$213)*IF(AH45=0,1,AH45)</f>
        <v>0.3169477316400372</v>
      </c>
      <c r="AJ45" s="86">
        <f ca="1">1/(1+Assumptions!$G$213)*IF(AI45=0,1,AI45)</f>
        <v>0.30420460090800105</v>
      </c>
      <c r="AK45" s="86">
        <f ca="1">1/(1+Assumptions!$G$213)*IF(AJ45=0,1,AJ45)</f>
        <v>0.29197381768516933</v>
      </c>
      <c r="AL45" s="86">
        <f ca="1">1/(1+Assumptions!$G$213)*IF(AK45=0,1,AK45)</f>
        <v>0.28023478264036444</v>
      </c>
      <c r="AM45" s="86">
        <f ca="1">1/(1+Assumptions!$G$213)*IF(AL45=0,1,AL45)</f>
        <v>0.26896772465458391</v>
      </c>
      <c r="AN45" s="86">
        <f ca="1">1/(1+Assumptions!$G$213)*IF(AM45=0,1,AM45)</f>
        <v>0.2581536675220838</v>
      </c>
      <c r="AO45" s="86">
        <f ca="1">1/(1+Assumptions!$G$213)*IF(AN45=0,1,AN45)</f>
        <v>0.24777439799027134</v>
      </c>
      <c r="AP45" s="86">
        <f ca="1">1/(1+Assumptions!$G$213)*IF(AO45=0,1,AO45)</f>
        <v>0.23781243508457836</v>
      </c>
      <c r="AQ45" s="86">
        <f ca="1">1/(1+Assumptions!$G$213)*IF(AP45=0,1,AP45)</f>
        <v>0.2282510006666523</v>
      </c>
      <c r="AR45" s="86">
        <f ca="1">1/(1+Assumptions!$G$213)*IF(AQ45=0,1,AQ45)</f>
        <v>0.21907399117627802</v>
      </c>
      <c r="AS45" s="86">
        <f ca="1">1/(1+Assumptions!$G$213)*IF(AR45=0,1,AR45)</f>
        <v>0.21026595050943767</v>
      </c>
      <c r="AT45" s="86">
        <f ca="1">1/(1+Assumptions!$G$213)*IF(AS45=0,1,AS45)</f>
        <v>0.20181204398682939</v>
      </c>
      <c r="AU45" s="86">
        <f ca="1">1/(1+Assumptions!$G$213)*IF(AT45=0,1,AT45)</f>
        <v>0.1936980333690019</v>
      </c>
      <c r="AV45" s="86">
        <f ca="1">1/(1+Assumptions!$G$213)*IF(AU45=0,1,AU45)</f>
        <v>0.18591025287602522</v>
      </c>
      <c r="AW45" s="86">
        <f ca="1">1/(1+Assumptions!$G$213)*IF(AV45=0,1,AV45)</f>
        <v>0.17843558617130909</v>
      </c>
      <c r="AX45" s="86">
        <f ca="1">1/(1+Assumptions!$G$213)*IF(AW45=0,1,AW45)</f>
        <v>0.17126144427080506</v>
      </c>
      <c r="AY45" s="86">
        <f ca="1">1/(1+Assumptions!$G$213)*IF(AX45=0,1,AX45)</f>
        <v>0.16437574434038627</v>
      </c>
      <c r="AZ45" s="86">
        <f ca="1">1/(1+Assumptions!$G$213)*IF(AY45=0,1,AY45)</f>
        <v>0.1577668893456951</v>
      </c>
      <c r="BA45" s="86">
        <f ca="1">1/(1+Assumptions!$G$213)*IF(AZ45=0,1,AZ45)</f>
        <v>0.15142374852018459</v>
      </c>
      <c r="BB45" s="86">
        <f ca="1">1/(1+Assumptions!$G$213)*IF(BA45=0,1,BA45)</f>
        <v>0.14533563861845741</v>
      </c>
      <c r="BC45" s="86">
        <f ca="1">1/(1+Assumptions!$G$213)*IF(BB45=0,1,BB45)</f>
        <v>0.13949230592332915</v>
      </c>
      <c r="BD45" s="86">
        <f ca="1">1/(1+Assumptions!$G$213)*IF(BC45=0,1,BC45)</f>
        <v>0.13388390897631147</v>
      </c>
      <c r="BE45" s="86">
        <f ca="1">1/(1+Assumptions!$G$213)*IF(BD45=0,1,BD45)</f>
        <v>0.1285010020024297</v>
      </c>
      <c r="BF45" s="86">
        <f ca="1">1/(1+Assumptions!$G$213)*IF(BE45=0,1,BE45)</f>
        <v>0.1233345190014586</v>
      </c>
      <c r="BG45" s="86">
        <f ca="1">1/(1+Assumptions!$G$213)*IF(BF45=0,1,BF45)</f>
        <v>0.11837575847878241</v>
      </c>
      <c r="BH45" s="86">
        <f ca="1">1/(1+Assumptions!$G$213)*IF(BG45=0,1,BG45)</f>
        <v>0.11361636879016251</v>
      </c>
      <c r="BI45" s="86">
        <f ca="1">1/(1+Assumptions!$G$213)*IF(BH45=0,1,BH45)</f>
        <v>0.10904833407573018</v>
      </c>
      <c r="BJ45" s="86">
        <f ca="1">1/(1+Assumptions!$G$213)*IF(BI45=0,1,BI45)</f>
        <v>0.10466396075951413</v>
      </c>
      <c r="BK45" s="86">
        <f ca="1">1/(1+Assumptions!$G$213)*IF(BJ45=0,1,BJ45)</f>
        <v>0.10045586459176509</v>
      </c>
      <c r="BL45" s="86">
        <f ca="1">1/(1+Assumptions!$G$213)*IF(BK45=0,1,BK45)</f>
        <v>9.6416958212253781E-2</v>
      </c>
      <c r="BM45" s="86">
        <f ca="1">1/(1+Assumptions!$G$213)*IF(BL45=0,1,BL45)</f>
        <v>9.254043921359624E-2</v>
      </c>
      <c r="BN45" s="86">
        <f ca="1">1/(1+Assumptions!$G$213)*IF(BM45=0,1,BM45)</f>
        <v>8.8819778684502429E-2</v>
      </c>
      <c r="BO45" s="86">
        <f ca="1">1/(1+Assumptions!$G$213)*IF(BN45=0,1,BN45)</f>
        <v>8.5248710213652532E-2</v>
      </c>
      <c r="BP45" s="86">
        <f ca="1">1/(1+Assumptions!$G$213)*IF(BO45=0,1,BO45)</f>
        <v>8.1821219335680859E-2</v>
      </c>
      <c r="BQ45" s="86">
        <f ca="1">1/(1+Assumptions!$G$213)*IF(BP45=0,1,BP45)</f>
        <v>7.853153340149234E-2</v>
      </c>
      <c r="BR45" s="86">
        <f ca="1">1/(1+Assumptions!$G$213)*IF(BQ45=0,1,BQ45)</f>
        <v>7.5374111855850759E-2</v>
      </c>
      <c r="BS45" s="86">
        <f ca="1">1/(1+Assumptions!$G$213)*IF(BR45=0,1,BR45)</f>
        <v>7.2343636905864109E-2</v>
      </c>
      <c r="BT45" s="86">
        <f ca="1">1/(1+Assumptions!$G$213)*IF(BS45=0,1,BS45)</f>
        <v>6.943500456465089E-2</v>
      </c>
      <c r="BU45" s="86">
        <f ca="1">1/(1+Assumptions!$G$213)*IF(BT45=0,1,BT45)</f>
        <v>6.6643316055102639E-2</v>
      </c>
      <c r="BV45" s="86">
        <f ca="1">1/(1+Assumptions!$G$213)*IF(BU45=0,1,BU45)</f>
        <v>6.396386955926503E-2</v>
      </c>
      <c r="BW45" s="86">
        <f ca="1">1/(1+Assumptions!$G$213)*IF(BV45=0,1,BV45)</f>
        <v>6.1392152299441428E-2</v>
      </c>
      <c r="BX45" s="86">
        <f ca="1">1/(1+Assumptions!$G$213)*IF(BW45=0,1,BW45)</f>
        <v>5.8923832937681934E-2</v>
      </c>
      <c r="BY45" s="86">
        <f ca="1">1/(1+Assumptions!$G$213)*IF(BX45=0,1,BX45)</f>
        <v>5.6554754280856843E-2</v>
      </c>
    </row>
    <row r="46" spans="2:77" s="22" customFormat="1" ht="15" outlineLevel="3">
      <c r="C46" s="90"/>
      <c r="D46" s="86"/>
      <c r="E46" t="s">
        <v>483</v>
      </c>
      <c r="F46" s="36" t="s">
        <v>470</v>
      </c>
      <c r="H46" s="86">
        <f t="shared" ref="H46:AM46" ca="1" si="120">+H44*H45</f>
        <v>0</v>
      </c>
      <c r="I46" s="86">
        <f t="shared" ca="1" si="120"/>
        <v>-1776979.3222048546</v>
      </c>
      <c r="J46" s="86">
        <f t="shared" ca="1" si="120"/>
        <v>-112234.1810369048</v>
      </c>
      <c r="K46" s="86">
        <f t="shared" ca="1" si="120"/>
        <v>-397836.75593252579</v>
      </c>
      <c r="L46" s="86">
        <f t="shared" ca="1" si="120"/>
        <v>-382057.21046333067</v>
      </c>
      <c r="M46" s="86">
        <f t="shared" ca="1" si="120"/>
        <v>-366907.56016759347</v>
      </c>
      <c r="N46" s="86">
        <f t="shared" ca="1" si="120"/>
        <v>-352362.57487241016</v>
      </c>
      <c r="O46" s="86">
        <f t="shared" ca="1" si="120"/>
        <v>-338398.03680238256</v>
      </c>
      <c r="P46" s="86">
        <f t="shared" ca="1" si="120"/>
        <v>-324990.6999174339</v>
      </c>
      <c r="Q46" s="86">
        <f t="shared" ca="1" si="120"/>
        <v>-312118.25088459521</v>
      </c>
      <c r="R46" s="86">
        <f t="shared" ca="1" si="120"/>
        <v>-299759.27161808719</v>
      </c>
      <c r="S46" s="86">
        <f t="shared" ca="1" si="120"/>
        <v>-287893.20332466013</v>
      </c>
      <c r="T46" s="86">
        <f t="shared" ca="1" si="120"/>
        <v>-276500.31199369085</v>
      </c>
      <c r="U46" s="86">
        <f t="shared" ca="1" si="120"/>
        <v>-265561.65527396457</v>
      </c>
      <c r="V46" s="86">
        <f t="shared" ca="1" si="120"/>
        <v>-255059.05068140835</v>
      </c>
      <c r="W46" s="86">
        <f t="shared" ca="1" si="120"/>
        <v>-244975.04508427923</v>
      </c>
      <c r="X46" s="86">
        <f t="shared" ca="1" si="120"/>
        <v>-235292.88541446265</v>
      </c>
      <c r="Y46" s="86">
        <f t="shared" ca="1" si="120"/>
        <v>-165351.19790286329</v>
      </c>
      <c r="Z46" s="86">
        <f t="shared" ca="1" si="120"/>
        <v>-5.974003250531286E-11</v>
      </c>
      <c r="AA46" s="86">
        <f t="shared" ca="1" si="120"/>
        <v>-5.7338137908332798E-11</v>
      </c>
      <c r="AB46" s="86">
        <f t="shared" ca="1" si="120"/>
        <v>-5.5032813356815787E-11</v>
      </c>
      <c r="AC46" s="86">
        <f t="shared" ca="1" si="120"/>
        <v>-5.2820176176770859E-11</v>
      </c>
      <c r="AD46" s="86">
        <f t="shared" ca="1" si="120"/>
        <v>-5.0696499800142875E-11</v>
      </c>
      <c r="AE46" s="86">
        <f t="shared" ca="1" si="120"/>
        <v>-4.8658207488451634E-11</v>
      </c>
      <c r="AF46" s="86">
        <f t="shared" ca="1" si="120"/>
        <v>-4.6701866308776973E-11</v>
      </c>
      <c r="AG46" s="86">
        <f t="shared" ca="1" si="120"/>
        <v>-4.4824181351944035E-11</v>
      </c>
      <c r="AH46" s="86">
        <f t="shared" ca="1" si="120"/>
        <v>-4.3021990183171E-11</v>
      </c>
      <c r="AI46" s="86">
        <f t="shared" ca="1" si="120"/>
        <v>-4.1292257515832762E-11</v>
      </c>
      <c r="AJ46" s="86">
        <f t="shared" ca="1" si="120"/>
        <v>-3.9632070099370146E-11</v>
      </c>
      <c r="AK46" s="86">
        <f t="shared" ca="1" si="120"/>
        <v>-3.8038631812734695E-11</v>
      </c>
      <c r="AL46" s="86">
        <f t="shared" ca="1" si="120"/>
        <v>-3.6509258955105332E-11</v>
      </c>
      <c r="AM46" s="86">
        <f t="shared" ca="1" si="120"/>
        <v>-3.5041375725945475E-11</v>
      </c>
      <c r="AN46" s="86">
        <f t="shared" ref="AN46:BS46" ca="1" si="121">+AN44*AN45</f>
        <v>-3.3632509886787925E-11</v>
      </c>
      <c r="AO46" s="86">
        <f t="shared" ca="1" si="121"/>
        <v>-3.2280288597441119E-11</v>
      </c>
      <c r="AP46" s="86">
        <f t="shared" ca="1" si="121"/>
        <v>-3.0982434419603911E-11</v>
      </c>
      <c r="AQ46" s="86">
        <f t="shared" ca="1" si="121"/>
        <v>-2.9736761481158196E-11</v>
      </c>
      <c r="AR46" s="86">
        <f t="shared" ca="1" si="121"/>
        <v>-2.8541171794679087E-11</v>
      </c>
      <c r="AS46" s="86">
        <f t="shared" ca="1" si="121"/>
        <v>-2.7393651723962304E-11</v>
      </c>
      <c r="AT46" s="86">
        <f t="shared" ca="1" si="121"/>
        <v>-2.6292268592617557E-11</v>
      </c>
      <c r="AU46" s="86">
        <f t="shared" ca="1" si="121"/>
        <v>-2.5235167429016074E-11</v>
      </c>
      <c r="AV46" s="86">
        <f t="shared" ca="1" si="121"/>
        <v>-2.4220567842110084E-11</v>
      </c>
      <c r="AW46" s="86">
        <f t="shared" ca="1" si="121"/>
        <v>-2.3246761022862379E-11</v>
      </c>
      <c r="AX46" s="86">
        <f t="shared" ca="1" si="121"/>
        <v>-2.2312106866235763E-11</v>
      </c>
      <c r="AY46" s="86">
        <f t="shared" ca="1" si="121"/>
        <v>-2.1415031208895145E-11</v>
      </c>
      <c r="AZ46" s="86">
        <f t="shared" ca="1" si="121"/>
        <v>-2.0554023177969982E-11</v>
      </c>
      <c r="BA46" s="86">
        <f t="shared" ca="1" si="121"/>
        <v>-1.9727632646411795E-11</v>
      </c>
      <c r="BB46" s="86">
        <f t="shared" ca="1" si="121"/>
        <v>-1.8934467790661005E-11</v>
      </c>
      <c r="BC46" s="86">
        <f t="shared" ca="1" si="121"/>
        <v>-1.8173192746509711E-11</v>
      </c>
      <c r="BD46" s="86">
        <f t="shared" ca="1" si="121"/>
        <v>-1.7442525359212309E-11</v>
      </c>
      <c r="BE46" s="86">
        <f t="shared" ca="1" si="121"/>
        <v>-1.6741235024054662E-11</v>
      </c>
      <c r="BF46" s="86">
        <f t="shared" ca="1" si="121"/>
        <v>-1.6068140613744887E-11</v>
      </c>
      <c r="BG46" s="86">
        <f t="shared" ca="1" si="121"/>
        <v>-1.5422108489135024E-11</v>
      </c>
      <c r="BH46" s="86">
        <f t="shared" ca="1" si="121"/>
        <v>-1.4802050589923145E-11</v>
      </c>
      <c r="BI46" s="86">
        <f t="shared" ca="1" si="121"/>
        <v>-1.4206922602120325E-11</v>
      </c>
      <c r="BJ46" s="86">
        <f t="shared" ca="1" si="121"/>
        <v>-1.3635722199196003E-11</v>
      </c>
      <c r="BK46" s="86">
        <f t="shared" ca="1" si="121"/>
        <v>-1.3087487353939477E-11</v>
      </c>
      <c r="BL46" s="86">
        <f t="shared" ca="1" si="121"/>
        <v>-1.2561294718194318E-11</v>
      </c>
      <c r="BM46" s="86">
        <f t="shared" ca="1" si="121"/>
        <v>-1.2056258067736823E-11</v>
      </c>
      <c r="BN46" s="86">
        <f t="shared" ca="1" si="121"/>
        <v>-1.1571526809679355E-11</v>
      </c>
      <c r="BO46" s="86">
        <f t="shared" ca="1" si="121"/>
        <v>-1.1106284549884686E-11</v>
      </c>
      <c r="BP46" s="86">
        <f t="shared" ca="1" si="121"/>
        <v>-1.0659747717978564E-11</v>
      </c>
      <c r="BQ46" s="86">
        <f t="shared" ca="1" si="121"/>
        <v>-1.0231164247644726E-11</v>
      </c>
      <c r="BR46" s="86">
        <f t="shared" ca="1" si="121"/>
        <v>-9.8198123099796785E-12</v>
      </c>
      <c r="BS46" s="86">
        <f t="shared" ca="1" si="121"/>
        <v>-9.4249990977739279E-12</v>
      </c>
      <c r="BT46" s="86">
        <f t="shared" ref="BT46:BY46" ca="1" si="122">+BT44*BT45</f>
        <v>-9.0460596586721524E-12</v>
      </c>
      <c r="BU46" s="86">
        <f t="shared" ca="1" si="122"/>
        <v>-8.6823557752470537E-12</v>
      </c>
      <c r="BV46" s="86">
        <f t="shared" ca="1" si="122"/>
        <v>-8.3332748901007343E-12</v>
      </c>
      <c r="BW46" s="86">
        <f t="shared" ca="1" si="122"/>
        <v>-7.9982290741831989E-12</v>
      </c>
      <c r="BX46" s="86">
        <f t="shared" ca="1" si="122"/>
        <v>-7.6766540365904268E-12</v>
      </c>
      <c r="BY46" s="86">
        <f t="shared" ca="1" si="122"/>
        <v>-7.3680081741742677E-12</v>
      </c>
    </row>
    <row r="47" spans="2:77" s="22" customFormat="1" ht="15" outlineLevel="3">
      <c r="C47" s="90"/>
      <c r="E47"/>
      <c r="F47" s="3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row>
    <row r="48" spans="2:77" s="22" customFormat="1" ht="15" outlineLevel="3">
      <c r="C48" s="90"/>
      <c r="D48" s="90"/>
      <c r="E48" s="22" t="s">
        <v>485</v>
      </c>
      <c r="F48" s="3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row>
    <row r="49" spans="1:77" s="22" customFormat="1" ht="15" outlineLevel="3">
      <c r="C49" s="90"/>
      <c r="D49" s="86"/>
      <c r="E49" t="str">
        <f>+E423</f>
        <v>Free cash flow to equity (levered FCF)</v>
      </c>
      <c r="F49" s="36" t="s">
        <v>470</v>
      </c>
      <c r="H49" s="86">
        <f ca="1">+H423</f>
        <v>0</v>
      </c>
      <c r="I49" s="86">
        <f t="shared" ref="I49:BT49" ca="1" si="123">+I423</f>
        <v>-1244498.6087458443</v>
      </c>
      <c r="J49" s="86">
        <f t="shared" ca="1" si="123"/>
        <v>-81895.31409010847</v>
      </c>
      <c r="K49" s="86">
        <f t="shared" ca="1" si="123"/>
        <v>-322396.4923137257</v>
      </c>
      <c r="L49" s="86">
        <f t="shared" ca="1" si="123"/>
        <v>-322966.25088469998</v>
      </c>
      <c r="M49" s="86">
        <f t="shared" ca="1" si="123"/>
        <v>-323547.40462709381</v>
      </c>
      <c r="N49" s="86">
        <f t="shared" ca="1" si="123"/>
        <v>-324140.1814443355</v>
      </c>
      <c r="O49" s="86">
        <f t="shared" ca="1" si="123"/>
        <v>-324744.81379792211</v>
      </c>
      <c r="P49" s="86">
        <f t="shared" ca="1" si="123"/>
        <v>-325361.5387985803</v>
      </c>
      <c r="Q49" s="86">
        <f t="shared" ca="1" si="123"/>
        <v>-325990.59829925175</v>
      </c>
      <c r="R49" s="86">
        <f t="shared" ca="1" si="123"/>
        <v>-326632.2389899366</v>
      </c>
      <c r="S49" s="86">
        <f t="shared" ca="1" si="123"/>
        <v>-327286.71249443514</v>
      </c>
      <c r="T49" s="86">
        <f t="shared" ca="1" si="123"/>
        <v>-327954.27546902368</v>
      </c>
      <c r="U49" s="86">
        <f t="shared" ca="1" si="123"/>
        <v>-328635.18970310403</v>
      </c>
      <c r="V49" s="86">
        <f t="shared" ca="1" si="123"/>
        <v>-329329.7222218659</v>
      </c>
      <c r="W49" s="86">
        <f t="shared" ca="1" si="123"/>
        <v>-330038.145391003</v>
      </c>
      <c r="X49" s="86">
        <f t="shared" ca="1" si="123"/>
        <v>-330760.7370235229</v>
      </c>
      <c r="Y49" s="86">
        <f t="shared" ca="1" si="123"/>
        <v>-249602.4663985846</v>
      </c>
      <c r="Z49" s="86">
        <f t="shared" ca="1" si="123"/>
        <v>-7.0151290856301784E-11</v>
      </c>
      <c r="AA49" s="86">
        <f t="shared" ca="1" si="123"/>
        <v>-7.0151290856301784E-11</v>
      </c>
      <c r="AB49" s="86">
        <f t="shared" ca="1" si="123"/>
        <v>-7.0151290856301784E-11</v>
      </c>
      <c r="AC49" s="86">
        <f t="shared" ca="1" si="123"/>
        <v>-7.0151290856301784E-11</v>
      </c>
      <c r="AD49" s="86">
        <f t="shared" ca="1" si="123"/>
        <v>-7.0151290856301784E-11</v>
      </c>
      <c r="AE49" s="86">
        <f t="shared" ca="1" si="123"/>
        <v>-7.0151290856301784E-11</v>
      </c>
      <c r="AF49" s="86">
        <f t="shared" ca="1" si="123"/>
        <v>-7.0151290856301784E-11</v>
      </c>
      <c r="AG49" s="86">
        <f t="shared" ca="1" si="123"/>
        <v>-7.0151290856301784E-11</v>
      </c>
      <c r="AH49" s="86">
        <f t="shared" ca="1" si="123"/>
        <v>-7.0151290856301784E-11</v>
      </c>
      <c r="AI49" s="86">
        <f t="shared" ca="1" si="123"/>
        <v>-7.0151290856301784E-11</v>
      </c>
      <c r="AJ49" s="86">
        <f t="shared" ca="1" si="123"/>
        <v>-7.0151290856301784E-11</v>
      </c>
      <c r="AK49" s="86">
        <f t="shared" ca="1" si="123"/>
        <v>-7.0151290856301784E-11</v>
      </c>
      <c r="AL49" s="86">
        <f t="shared" ca="1" si="123"/>
        <v>-7.0151290856301784E-11</v>
      </c>
      <c r="AM49" s="86">
        <f t="shared" ca="1" si="123"/>
        <v>-7.0151290856301784E-11</v>
      </c>
      <c r="AN49" s="86">
        <f t="shared" ca="1" si="123"/>
        <v>-7.0151290856301784E-11</v>
      </c>
      <c r="AO49" s="86">
        <f t="shared" ca="1" si="123"/>
        <v>-7.0151290856301784E-11</v>
      </c>
      <c r="AP49" s="86">
        <f t="shared" ca="1" si="123"/>
        <v>-7.0151290856301784E-11</v>
      </c>
      <c r="AQ49" s="86">
        <f t="shared" ca="1" si="123"/>
        <v>-7.0151290856301784E-11</v>
      </c>
      <c r="AR49" s="86">
        <f t="shared" ca="1" si="123"/>
        <v>-7.0151290856301784E-11</v>
      </c>
      <c r="AS49" s="86">
        <f t="shared" ca="1" si="123"/>
        <v>-7.0151290856301784E-11</v>
      </c>
      <c r="AT49" s="86">
        <f t="shared" ca="1" si="123"/>
        <v>-7.0151290856301784E-11</v>
      </c>
      <c r="AU49" s="86">
        <f t="shared" ca="1" si="123"/>
        <v>-7.0151290856301784E-11</v>
      </c>
      <c r="AV49" s="86">
        <f t="shared" ca="1" si="123"/>
        <v>-7.0151290856301784E-11</v>
      </c>
      <c r="AW49" s="86">
        <f t="shared" ca="1" si="123"/>
        <v>-7.0151290856301784E-11</v>
      </c>
      <c r="AX49" s="86">
        <f t="shared" ca="1" si="123"/>
        <v>-7.0151290856301784E-11</v>
      </c>
      <c r="AY49" s="86">
        <f t="shared" ca="1" si="123"/>
        <v>-7.0151290856301784E-11</v>
      </c>
      <c r="AZ49" s="86">
        <f t="shared" ca="1" si="123"/>
        <v>-7.0151290856301784E-11</v>
      </c>
      <c r="BA49" s="86">
        <f t="shared" ca="1" si="123"/>
        <v>-7.0151290856301784E-11</v>
      </c>
      <c r="BB49" s="86">
        <f t="shared" ca="1" si="123"/>
        <v>-7.0151290856301784E-11</v>
      </c>
      <c r="BC49" s="86">
        <f t="shared" ca="1" si="123"/>
        <v>-7.0151290856301784E-11</v>
      </c>
      <c r="BD49" s="86">
        <f t="shared" ca="1" si="123"/>
        <v>-7.0151290856301784E-11</v>
      </c>
      <c r="BE49" s="86">
        <f t="shared" ca="1" si="123"/>
        <v>-7.0151290856301784E-11</v>
      </c>
      <c r="BF49" s="86">
        <f t="shared" ca="1" si="123"/>
        <v>-7.0151290856301784E-11</v>
      </c>
      <c r="BG49" s="86">
        <f t="shared" ca="1" si="123"/>
        <v>-7.0151290856301784E-11</v>
      </c>
      <c r="BH49" s="86">
        <f t="shared" ca="1" si="123"/>
        <v>-7.0151290856301784E-11</v>
      </c>
      <c r="BI49" s="86">
        <f t="shared" ca="1" si="123"/>
        <v>-7.0151290856301784E-11</v>
      </c>
      <c r="BJ49" s="86">
        <f t="shared" ca="1" si="123"/>
        <v>-7.0151290856301784E-11</v>
      </c>
      <c r="BK49" s="86">
        <f t="shared" ca="1" si="123"/>
        <v>-7.0151290856301784E-11</v>
      </c>
      <c r="BL49" s="86">
        <f t="shared" ca="1" si="123"/>
        <v>-7.0151290856301784E-11</v>
      </c>
      <c r="BM49" s="86">
        <f t="shared" ca="1" si="123"/>
        <v>-7.0151290856301784E-11</v>
      </c>
      <c r="BN49" s="86">
        <f t="shared" ca="1" si="123"/>
        <v>-7.0151290856301784E-11</v>
      </c>
      <c r="BO49" s="86">
        <f t="shared" ca="1" si="123"/>
        <v>-7.0151290856301784E-11</v>
      </c>
      <c r="BP49" s="86">
        <f t="shared" ca="1" si="123"/>
        <v>-7.0151290856301784E-11</v>
      </c>
      <c r="BQ49" s="86">
        <f t="shared" ca="1" si="123"/>
        <v>-7.0151290856301784E-11</v>
      </c>
      <c r="BR49" s="86">
        <f t="shared" ca="1" si="123"/>
        <v>-7.0151290856301784E-11</v>
      </c>
      <c r="BS49" s="86">
        <f t="shared" ca="1" si="123"/>
        <v>-7.0151290856301784E-11</v>
      </c>
      <c r="BT49" s="86">
        <f t="shared" ca="1" si="123"/>
        <v>-7.0151290856301784E-11</v>
      </c>
      <c r="BU49" s="86">
        <f t="shared" ref="BU49:BY49" ca="1" si="124">+BU423</f>
        <v>-7.0151290856301784E-11</v>
      </c>
      <c r="BV49" s="86">
        <f t="shared" ca="1" si="124"/>
        <v>-7.0151290856301784E-11</v>
      </c>
      <c r="BW49" s="86">
        <f t="shared" ca="1" si="124"/>
        <v>-7.0151290856301784E-11</v>
      </c>
      <c r="BX49" s="86">
        <f t="shared" ca="1" si="124"/>
        <v>-7.0151290856301784E-11</v>
      </c>
      <c r="BY49" s="86">
        <f t="shared" ca="1" si="124"/>
        <v>-7.0151290856301784E-11</v>
      </c>
    </row>
    <row r="50" spans="1:77" s="22" customFormat="1" ht="15" outlineLevel="3">
      <c r="C50" s="90"/>
      <c r="D50" s="90"/>
      <c r="E50" t="s">
        <v>243</v>
      </c>
      <c r="F50" s="36"/>
      <c r="H50" s="86">
        <f ca="1">1/(1+Assumptions!$G$251)*IF(G50=0,1,G50)</f>
        <v>0.95979422011920645</v>
      </c>
      <c r="I50" s="86">
        <f ca="1">1/(1+Assumptions!$G$251)*IF(H50=0,1,H50)</f>
        <v>0.92120494497423577</v>
      </c>
      <c r="J50" s="86">
        <f ca="1">1/(1+Assumptions!$G$251)*IF(I50=0,1,I50)</f>
        <v>0.8841671817315031</v>
      </c>
      <c r="K50" s="86">
        <f ca="1">1/(1+Assumptions!$G$251)*IF(J50=0,1,J50)</f>
        <v>0.8486185506449847</v>
      </c>
      <c r="L50" s="86">
        <f ca="1">1/(1+Assumptions!$G$251)*IF(K50=0,1,K50)</f>
        <v>0.81449917999499444</v>
      </c>
      <c r="M50" s="86">
        <f ca="1">1/(1+Assumptions!$G$251)*IF(L50=0,1,L50)</f>
        <v>0.78175160525102882</v>
      </c>
      <c r="N50" s="86">
        <f ca="1">1/(1+Assumptions!$G$251)*IF(M50=0,1,M50)</f>
        <v>0.75032067228884891</v>
      </c>
      <c r="O50" s="86">
        <f ca="1">1/(1+Assumptions!$G$251)*IF(N50=0,1,N50)</f>
        <v>0.72015344449879437</v>
      </c>
      <c r="P50" s="86">
        <f ca="1">1/(1+Assumptions!$G$251)*IF(O50=0,1,O50)</f>
        <v>0.69119911362888053</v>
      </c>
      <c r="Q50" s="86">
        <f ca="1">1/(1+Assumptions!$G$251)*IF(P50=0,1,P50)</f>
        <v>0.66340891421251813</v>
      </c>
      <c r="R50" s="86">
        <f ca="1">1/(1+Assumptions!$G$251)*IF(Q50=0,1,Q50)</f>
        <v>0.63673604143673335</v>
      </c>
      <c r="S50" s="86">
        <f ca="1">1/(1+Assumptions!$G$251)*IF(R50=0,1,R50)</f>
        <v>0.61113557231256022</v>
      </c>
      <c r="T50" s="86">
        <f ca="1">1/(1+Assumptions!$G$251)*IF(S50=0,1,S50)</f>
        <v>0.58656439001483862</v>
      </c>
      <c r="U50" s="86">
        <f ca="1">1/(1+Assumptions!$G$251)*IF(T50=0,1,T50)</f>
        <v>0.56298111126399009</v>
      </c>
      <c r="V50" s="86">
        <f ca="1">1/(1+Assumptions!$G$251)*IF(U50=0,1,U50)</f>
        <v>0.54034601662746551</v>
      </c>
      <c r="W50" s="86">
        <f ca="1">1/(1+Assumptions!$G$251)*IF(V50=0,1,V50)</f>
        <v>0.51862098362347797</v>
      </c>
      <c r="X50" s="86">
        <f ca="1">1/(1+Assumptions!$G$251)*IF(W50=0,1,W50)</f>
        <v>0.4977694225143518</v>
      </c>
      <c r="Y50" s="86">
        <f ca="1">1/(1+Assumptions!$G$251)*IF(X50=0,1,X50)</f>
        <v>0.47775621468135004</v>
      </c>
      <c r="Z50" s="86">
        <f ca="1">1/(1+Assumptions!$G$251)*IF(Y50=0,1,Y50)</f>
        <v>0.45854765347719056</v>
      </c>
      <c r="AA50" s="86">
        <f ca="1">1/(1+Assumptions!$G$251)*IF(Z50=0,1,Z50)</f>
        <v>0.44011138745663225</v>
      </c>
      <c r="AB50" s="86">
        <f ca="1">1/(1+Assumptions!$G$251)*IF(AA50=0,1,AA50)</f>
        <v>0.42241636588952025</v>
      </c>
      <c r="AC50" s="86">
        <f ca="1">1/(1+Assumptions!$G$251)*IF(AB50=0,1,AB50)</f>
        <v>0.40543278646452147</v>
      </c>
      <c r="AD50" s="86">
        <f ca="1">1/(1+Assumptions!$G$251)*IF(AC50=0,1,AC50)</f>
        <v>0.38913204509547217</v>
      </c>
      <c r="AE50" s="86">
        <f ca="1">1/(1+Assumptions!$G$251)*IF(AD50=0,1,AD50)</f>
        <v>0.37348668774580057</v>
      </c>
      <c r="AF50" s="86">
        <f ca="1">1/(1+Assumptions!$G$251)*IF(AE50=0,1,AE50)</f>
        <v>0.35847036418988626</v>
      </c>
      <c r="AG50" s="86">
        <f ca="1">1/(1+Assumptions!$G$251)*IF(AF50=0,1,AF50)</f>
        <v>0.34405778363347977</v>
      </c>
      <c r="AH50" s="86">
        <f ca="1">1/(1+Assumptions!$G$251)*IF(AG50=0,1,AG50)</f>
        <v>0.33022467211843837</v>
      </c>
      <c r="AI50" s="86">
        <f ca="1">1/(1+Assumptions!$G$251)*IF(AH50=0,1,AH50)</f>
        <v>0.3169477316400372</v>
      </c>
      <c r="AJ50" s="86">
        <f ca="1">1/(1+Assumptions!$G$251)*IF(AI50=0,1,AI50)</f>
        <v>0.30420460090800105</v>
      </c>
      <c r="AK50" s="86">
        <f ca="1">1/(1+Assumptions!$G$251)*IF(AJ50=0,1,AJ50)</f>
        <v>0.29197381768516933</v>
      </c>
      <c r="AL50" s="86">
        <f ca="1">1/(1+Assumptions!$G$251)*IF(AK50=0,1,AK50)</f>
        <v>0.28023478264036444</v>
      </c>
      <c r="AM50" s="86">
        <f ca="1">1/(1+Assumptions!$G$251)*IF(AL50=0,1,AL50)</f>
        <v>0.26896772465458391</v>
      </c>
      <c r="AN50" s="86">
        <f ca="1">1/(1+Assumptions!$G$251)*IF(AM50=0,1,AM50)</f>
        <v>0.2581536675220838</v>
      </c>
      <c r="AO50" s="86">
        <f ca="1">1/(1+Assumptions!$G$251)*IF(AN50=0,1,AN50)</f>
        <v>0.24777439799027134</v>
      </c>
      <c r="AP50" s="86">
        <f ca="1">1/(1+Assumptions!$G$251)*IF(AO50=0,1,AO50)</f>
        <v>0.23781243508457836</v>
      </c>
      <c r="AQ50" s="86">
        <f ca="1">1/(1+Assumptions!$G$251)*IF(AP50=0,1,AP50)</f>
        <v>0.2282510006666523</v>
      </c>
      <c r="AR50" s="86">
        <f ca="1">1/(1+Assumptions!$G$251)*IF(AQ50=0,1,AQ50)</f>
        <v>0.21907399117627802</v>
      </c>
      <c r="AS50" s="86">
        <f ca="1">1/(1+Assumptions!$G$251)*IF(AR50=0,1,AR50)</f>
        <v>0.21026595050943767</v>
      </c>
      <c r="AT50" s="86">
        <f ca="1">1/(1+Assumptions!$G$251)*IF(AS50=0,1,AS50)</f>
        <v>0.20181204398682939</v>
      </c>
      <c r="AU50" s="86">
        <f ca="1">1/(1+Assumptions!$G$251)*IF(AT50=0,1,AT50)</f>
        <v>0.1936980333690019</v>
      </c>
      <c r="AV50" s="86">
        <f ca="1">1/(1+Assumptions!$G$251)*IF(AU50=0,1,AU50)</f>
        <v>0.18591025287602522</v>
      </c>
      <c r="AW50" s="86">
        <f ca="1">1/(1+Assumptions!$G$251)*IF(AV50=0,1,AV50)</f>
        <v>0.17843558617130909</v>
      </c>
      <c r="AX50" s="86">
        <f ca="1">1/(1+Assumptions!$G$251)*IF(AW50=0,1,AW50)</f>
        <v>0.17126144427080506</v>
      </c>
      <c r="AY50" s="86">
        <f ca="1">1/(1+Assumptions!$G$251)*IF(AX50=0,1,AX50)</f>
        <v>0.16437574434038627</v>
      </c>
      <c r="AZ50" s="86">
        <f ca="1">1/(1+Assumptions!$G$251)*IF(AY50=0,1,AY50)</f>
        <v>0.1577668893456951</v>
      </c>
      <c r="BA50" s="86">
        <f ca="1">1/(1+Assumptions!$G$251)*IF(AZ50=0,1,AZ50)</f>
        <v>0.15142374852018459</v>
      </c>
      <c r="BB50" s="86">
        <f ca="1">1/(1+Assumptions!$G$251)*IF(BA50=0,1,BA50)</f>
        <v>0.14533563861845741</v>
      </c>
      <c r="BC50" s="86">
        <f ca="1">1/(1+Assumptions!$G$251)*IF(BB50=0,1,BB50)</f>
        <v>0.13949230592332915</v>
      </c>
      <c r="BD50" s="86">
        <f ca="1">1/(1+Assumptions!$G$251)*IF(BC50=0,1,BC50)</f>
        <v>0.13388390897631147</v>
      </c>
      <c r="BE50" s="86">
        <f ca="1">1/(1+Assumptions!$G$251)*IF(BD50=0,1,BD50)</f>
        <v>0.1285010020024297</v>
      </c>
      <c r="BF50" s="86">
        <f ca="1">1/(1+Assumptions!$G$251)*IF(BE50=0,1,BE50)</f>
        <v>0.1233345190014586</v>
      </c>
      <c r="BG50" s="86">
        <f ca="1">1/(1+Assumptions!$G$251)*IF(BF50=0,1,BF50)</f>
        <v>0.11837575847878241</v>
      </c>
      <c r="BH50" s="86">
        <f ca="1">1/(1+Assumptions!$G$251)*IF(BG50=0,1,BG50)</f>
        <v>0.11361636879016251</v>
      </c>
      <c r="BI50" s="86">
        <f ca="1">1/(1+Assumptions!$G$251)*IF(BH50=0,1,BH50)</f>
        <v>0.10904833407573018</v>
      </c>
      <c r="BJ50" s="86">
        <f ca="1">1/(1+Assumptions!$G$251)*IF(BI50=0,1,BI50)</f>
        <v>0.10466396075951413</v>
      </c>
      <c r="BK50" s="86">
        <f ca="1">1/(1+Assumptions!$G$251)*IF(BJ50=0,1,BJ50)</f>
        <v>0.10045586459176509</v>
      </c>
      <c r="BL50" s="86">
        <f ca="1">1/(1+Assumptions!$G$251)*IF(BK50=0,1,BK50)</f>
        <v>9.6416958212253781E-2</v>
      </c>
      <c r="BM50" s="86">
        <f ca="1">1/(1+Assumptions!$G$251)*IF(BL50=0,1,BL50)</f>
        <v>9.254043921359624E-2</v>
      </c>
      <c r="BN50" s="86">
        <f ca="1">1/(1+Assumptions!$G$251)*IF(BM50=0,1,BM50)</f>
        <v>8.8819778684502429E-2</v>
      </c>
      <c r="BO50" s="86">
        <f ca="1">1/(1+Assumptions!$G$251)*IF(BN50=0,1,BN50)</f>
        <v>8.5248710213652532E-2</v>
      </c>
      <c r="BP50" s="86">
        <f ca="1">1/(1+Assumptions!$G$251)*IF(BO50=0,1,BO50)</f>
        <v>8.1821219335680859E-2</v>
      </c>
      <c r="BQ50" s="86">
        <f ca="1">1/(1+Assumptions!$G$251)*IF(BP50=0,1,BP50)</f>
        <v>7.853153340149234E-2</v>
      </c>
      <c r="BR50" s="86">
        <f ca="1">1/(1+Assumptions!$G$251)*IF(BQ50=0,1,BQ50)</f>
        <v>7.5374111855850759E-2</v>
      </c>
      <c r="BS50" s="86">
        <f ca="1">1/(1+Assumptions!$G$251)*IF(BR50=0,1,BR50)</f>
        <v>7.2343636905864109E-2</v>
      </c>
      <c r="BT50" s="86">
        <f ca="1">1/(1+Assumptions!$G$251)*IF(BS50=0,1,BS50)</f>
        <v>6.943500456465089E-2</v>
      </c>
      <c r="BU50" s="86">
        <f ca="1">1/(1+Assumptions!$G$251)*IF(BT50=0,1,BT50)</f>
        <v>6.6643316055102639E-2</v>
      </c>
      <c r="BV50" s="86">
        <f ca="1">1/(1+Assumptions!$G$251)*IF(BU50=0,1,BU50)</f>
        <v>6.396386955926503E-2</v>
      </c>
      <c r="BW50" s="86">
        <f ca="1">1/(1+Assumptions!$G$251)*IF(BV50=0,1,BV50)</f>
        <v>6.1392152299441428E-2</v>
      </c>
      <c r="BX50" s="86">
        <f ca="1">1/(1+Assumptions!$G$251)*IF(BW50=0,1,BW50)</f>
        <v>5.8923832937681934E-2</v>
      </c>
      <c r="BY50" s="86">
        <f ca="1">1/(1+Assumptions!$G$251)*IF(BX50=0,1,BX50)</f>
        <v>5.6554754280856843E-2</v>
      </c>
    </row>
    <row r="51" spans="1:77" s="22" customFormat="1" ht="15" outlineLevel="3">
      <c r="C51" s="90"/>
      <c r="D51" s="90"/>
      <c r="E51" t="s">
        <v>483</v>
      </c>
      <c r="F51" s="36" t="s">
        <v>470</v>
      </c>
      <c r="H51" s="86">
        <f t="shared" ref="H51:AM51" ca="1" si="125">+H49*H50</f>
        <v>0</v>
      </c>
      <c r="I51" s="86">
        <f t="shared" ca="1" si="125"/>
        <v>-1146438.2723902285</v>
      </c>
      <c r="J51" s="86">
        <f t="shared" ca="1" si="125"/>
        <v>-72409.149056067457</v>
      </c>
      <c r="K51" s="86">
        <f t="shared" ca="1" si="125"/>
        <v>-273591.64404030086</v>
      </c>
      <c r="L51" s="86">
        <f t="shared" ca="1" si="125"/>
        <v>-263055.74651164579</v>
      </c>
      <c r="M51" s="86">
        <f t="shared" ca="1" si="125"/>
        <v>-252933.70294203475</v>
      </c>
      <c r="N51" s="86">
        <f t="shared" ca="1" si="125"/>
        <v>-243209.07885714326</v>
      </c>
      <c r="O51" s="86">
        <f t="shared" ca="1" si="125"/>
        <v>-233866.0962396932</v>
      </c>
      <c r="P51" s="86">
        <f t="shared" ca="1" si="125"/>
        <v>-224889.60722650733</v>
      </c>
      <c r="Q51" s="86">
        <f t="shared" ca="1" si="125"/>
        <v>-216265.06886119576</v>
      </c>
      <c r="R51" s="86">
        <f t="shared" ca="1" si="125"/>
        <v>-207978.51886006925</v>
      </c>
      <c r="S51" s="86">
        <f t="shared" ca="1" si="125"/>
        <v>-200016.55235058296</v>
      </c>
      <c r="T51" s="86">
        <f t="shared" ca="1" si="125"/>
        <v>-192366.29954324622</v>
      </c>
      <c r="U51" s="86">
        <f t="shared" ca="1" si="125"/>
        <v>-185015.4042995057</v>
      </c>
      <c r="V51" s="86">
        <f t="shared" ca="1" si="125"/>
        <v>-177952.00355961494</v>
      </c>
      <c r="W51" s="86">
        <f t="shared" ca="1" si="125"/>
        <v>-171164.7075959504</v>
      </c>
      <c r="X51" s="86">
        <f t="shared" ca="1" si="125"/>
        <v>-164642.58105862039</v>
      </c>
      <c r="Y51" s="86">
        <f t="shared" ca="1" si="125"/>
        <v>-119249.12952171665</v>
      </c>
      <c r="Z51" s="86">
        <f t="shared" ca="1" si="125"/>
        <v>-3.216770981055308E-11</v>
      </c>
      <c r="AA51" s="86">
        <f t="shared" ca="1" si="125"/>
        <v>-3.0874381950640739E-11</v>
      </c>
      <c r="AB51" s="86">
        <f t="shared" ca="1" si="125"/>
        <v>-2.963305334597773E-11</v>
      </c>
      <c r="AC51" s="86">
        <f t="shared" ca="1" si="125"/>
        <v>-2.8441633325953538E-11</v>
      </c>
      <c r="AD51" s="86">
        <f t="shared" ca="1" si="125"/>
        <v>-2.729811527700001E-11</v>
      </c>
      <c r="AE51" s="86">
        <f t="shared" ca="1" si="125"/>
        <v>-2.6200573263012421E-11</v>
      </c>
      <c r="AF51" s="86">
        <f t="shared" ca="1" si="125"/>
        <v>-2.5147158781649137E-11</v>
      </c>
      <c r="AG51" s="86">
        <f t="shared" ca="1" si="125"/>
        <v>-2.4136097651046789E-11</v>
      </c>
      <c r="AH51" s="86">
        <f t="shared" ca="1" si="125"/>
        <v>-2.3165687021707459E-11</v>
      </c>
      <c r="AI51" s="86">
        <f t="shared" ca="1" si="125"/>
        <v>-2.2234292508525334E-11</v>
      </c>
      <c r="AJ51" s="86">
        <f t="shared" ca="1" si="125"/>
        <v>-2.1340345438122389E-11</v>
      </c>
      <c r="AK51" s="86">
        <f t="shared" ca="1" si="125"/>
        <v>-2.0482340206857143E-11</v>
      </c>
      <c r="AL51" s="86">
        <f t="shared" ca="1" si="125"/>
        <v>-1.9658831745056716E-11</v>
      </c>
      <c r="AM51" s="86">
        <f t="shared" ca="1" si="125"/>
        <v>-1.8868433083201408E-11</v>
      </c>
      <c r="AN51" s="86">
        <f t="shared" ref="AN51:BS51" ca="1" si="126">+AN49*AN50</f>
        <v>-1.8109813015962729E-11</v>
      </c>
      <c r="AO51" s="86">
        <f t="shared" ca="1" si="126"/>
        <v>-1.7381693860160601E-11</v>
      </c>
      <c r="AP51" s="86">
        <f t="shared" ca="1" si="126"/>
        <v>-1.6682849302863642E-11</v>
      </c>
      <c r="AQ51" s="86">
        <f t="shared" ca="1" si="126"/>
        <v>-1.6012102336008258E-11</v>
      </c>
      <c r="AR51" s="86">
        <f t="shared" ca="1" si="126"/>
        <v>-1.536832327405797E-11</v>
      </c>
      <c r="AS51" s="86">
        <f t="shared" ca="1" si="126"/>
        <v>-1.4750427851364319E-11</v>
      </c>
      <c r="AT51" s="86">
        <f t="shared" ca="1" si="126"/>
        <v>-1.4157375396024838E-11</v>
      </c>
      <c r="AU51" s="86">
        <f t="shared" ca="1" si="126"/>
        <v>-1.3588167077162502E-11</v>
      </c>
      <c r="AV51" s="86">
        <f t="shared" ca="1" si="126"/>
        <v>-1.3041844222674661E-11</v>
      </c>
      <c r="AW51" s="86">
        <f t="shared" ca="1" si="126"/>
        <v>-1.2517486704618203E-11</v>
      </c>
      <c r="AX51" s="86">
        <f t="shared" ca="1" si="126"/>
        <v>-1.2014211389511565E-11</v>
      </c>
      <c r="AY51" s="86">
        <f t="shared" ca="1" si="126"/>
        <v>-1.1531170650943538E-11</v>
      </c>
      <c r="AZ51" s="86">
        <f t="shared" ca="1" si="126"/>
        <v>-1.1067550941983836E-11</v>
      </c>
      <c r="BA51" s="86">
        <f t="shared" ca="1" si="126"/>
        <v>-1.0622571424990966E-11</v>
      </c>
      <c r="BB51" s="86">
        <f t="shared" ca="1" si="126"/>
        <v>-1.0195482656509772E-11</v>
      </c>
      <c r="BC51" s="86">
        <f t="shared" ca="1" si="126"/>
        <v>-9.7855653250436911E-12</v>
      </c>
      <c r="BD51" s="86">
        <f t="shared" ca="1" si="126"/>
        <v>-9.3921290395758592E-12</v>
      </c>
      <c r="BE51" s="86">
        <f t="shared" ca="1" si="126"/>
        <v>-9.014511166798663E-12</v>
      </c>
      <c r="BF51" s="86">
        <f t="shared" ca="1" si="126"/>
        <v>-8.6520757150934014E-12</v>
      </c>
      <c r="BG51" s="86">
        <f t="shared" ca="1" si="126"/>
        <v>-8.3042122633803976E-12</v>
      </c>
      <c r="BH51" s="86">
        <f t="shared" ca="1" si="126"/>
        <v>-7.9703349330355391E-12</v>
      </c>
      <c r="BI51" s="86">
        <f t="shared" ca="1" si="126"/>
        <v>-7.6498814011417129E-12</v>
      </c>
      <c r="BJ51" s="86">
        <f t="shared" ca="1" si="126"/>
        <v>-7.3423119534132323E-12</v>
      </c>
      <c r="BK51" s="86">
        <f t="shared" ca="1" si="126"/>
        <v>-7.0471085751981799E-12</v>
      </c>
      <c r="BL51" s="86">
        <f t="shared" ca="1" si="126"/>
        <v>-6.7637740790277099E-12</v>
      </c>
      <c r="BM51" s="86">
        <f t="shared" ca="1" si="126"/>
        <v>-6.4918312672429051E-12</v>
      </c>
      <c r="BN51" s="86">
        <f t="shared" ca="1" si="126"/>
        <v>-6.2308221282888834E-12</v>
      </c>
      <c r="BO51" s="86">
        <f t="shared" ca="1" si="126"/>
        <v>-5.9803070653225235E-12</v>
      </c>
      <c r="BP51" s="86">
        <f t="shared" ca="1" si="126"/>
        <v>-5.7398641558346115E-12</v>
      </c>
      <c r="BQ51" s="86">
        <f t="shared" ca="1" si="126"/>
        <v>-5.5090884410394677E-12</v>
      </c>
      <c r="BR51" s="86">
        <f t="shared" ca="1" si="126"/>
        <v>-5.2875912438352111E-12</v>
      </c>
      <c r="BS51" s="86">
        <f t="shared" ca="1" si="126"/>
        <v>-5.0749995141859615E-12</v>
      </c>
      <c r="BT51" s="86">
        <f t="shared" ref="BT51:BY51" ca="1" si="127">+BT49*BT50</f>
        <v>-4.8709552008234669E-12</v>
      </c>
      <c r="BU51" s="86">
        <f t="shared" ca="1" si="127"/>
        <v>-4.6751146482099514E-12</v>
      </c>
      <c r="BV51" s="86">
        <f t="shared" ca="1" si="127"/>
        <v>-4.4871480177465489E-12</v>
      </c>
      <c r="BW51" s="86">
        <f t="shared" ca="1" si="127"/>
        <v>-4.3067387322524922E-12</v>
      </c>
      <c r="BX51" s="86">
        <f t="shared" ca="1" si="127"/>
        <v>-4.1335829427794604E-12</v>
      </c>
      <c r="BY51" s="86">
        <f t="shared" ca="1" si="127"/>
        <v>-3.9673890168630667E-12</v>
      </c>
    </row>
    <row r="52" spans="1:77" s="22" customFormat="1" ht="15" outlineLevel="3">
      <c r="C52" s="90"/>
      <c r="F52" s="36"/>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row>
    <row r="53" spans="1:77" s="22" customFormat="1" ht="15" outlineLevel="3">
      <c r="C53" s="90"/>
      <c r="D53" s="90"/>
      <c r="E53" s="22" t="s">
        <v>73</v>
      </c>
      <c r="F53" s="36"/>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row>
    <row r="54" spans="1:77" s="22" customFormat="1" ht="15" outlineLevel="3">
      <c r="C54" s="90"/>
      <c r="D54"/>
      <c r="E54" t="str">
        <f>+E543</f>
        <v>Free cash flow to equity (levered FCF)</v>
      </c>
      <c r="F54" s="36" t="s">
        <v>470</v>
      </c>
      <c r="G54"/>
      <c r="H54" s="31">
        <f ca="1">+H543</f>
        <v>0</v>
      </c>
      <c r="I54" s="31">
        <f t="shared" ref="I54:BT54" ca="1" si="128">+I543</f>
        <v>-164011589.928</v>
      </c>
      <c r="J54" s="31">
        <f t="shared" ca="1" si="128"/>
        <v>-3944622.4891399476</v>
      </c>
      <c r="K54" s="31">
        <f t="shared" ca="1" si="128"/>
        <v>-46981709.972726285</v>
      </c>
      <c r="L54" s="31">
        <f t="shared" ca="1" si="128"/>
        <v>-47423335.582926892</v>
      </c>
      <c r="M54" s="31">
        <f t="shared" ca="1" si="128"/>
        <v>-47873793.705331512</v>
      </c>
      <c r="N54" s="31">
        <f t="shared" ca="1" si="128"/>
        <v>-48333260.990184233</v>
      </c>
      <c r="O54" s="31">
        <f t="shared" ca="1" si="128"/>
        <v>-48801917.620733991</v>
      </c>
      <c r="P54" s="31">
        <f t="shared" ca="1" si="128"/>
        <v>-49279947.383894749</v>
      </c>
      <c r="Q54" s="31">
        <f t="shared" ca="1" si="128"/>
        <v>-49767537.742318735</v>
      </c>
      <c r="R54" s="31">
        <f t="shared" ca="1" si="128"/>
        <v>-50264879.907911189</v>
      </c>
      <c r="S54" s="31">
        <f t="shared" ca="1" si="128"/>
        <v>-50772168.916815497</v>
      </c>
      <c r="T54" s="31">
        <f t="shared" ca="1" si="128"/>
        <v>-51289603.70589789</v>
      </c>
      <c r="U54" s="31">
        <f t="shared" ca="1" si="128"/>
        <v>-51817387.190761931</v>
      </c>
      <c r="V54" s="31">
        <f t="shared" ca="1" si="128"/>
        <v>-52355726.345323242</v>
      </c>
      <c r="W54" s="31">
        <f t="shared" ca="1" si="128"/>
        <v>-52904832.282975793</v>
      </c>
      <c r="X54" s="31">
        <f t="shared" ca="1" si="128"/>
        <v>-53464920.339381397</v>
      </c>
      <c r="Y54" s="31">
        <f t="shared" ca="1" si="128"/>
        <v>-50091587.667775169</v>
      </c>
      <c r="Z54" s="31">
        <f t="shared" ca="1" si="128"/>
        <v>-1.2827664613723756E-9</v>
      </c>
      <c r="AA54" s="31">
        <f t="shared" ca="1" si="128"/>
        <v>-1.2827664613723756E-9</v>
      </c>
      <c r="AB54" s="31">
        <f t="shared" ca="1" si="128"/>
        <v>-1.2827664613723756E-9</v>
      </c>
      <c r="AC54" s="31">
        <f t="shared" ca="1" si="128"/>
        <v>-1.2827664613723756E-9</v>
      </c>
      <c r="AD54" s="31">
        <f t="shared" ca="1" si="128"/>
        <v>-1.2827664613723756E-9</v>
      </c>
      <c r="AE54" s="31">
        <f t="shared" ca="1" si="128"/>
        <v>-1.2827664613723756E-9</v>
      </c>
      <c r="AF54" s="31">
        <f t="shared" ca="1" si="128"/>
        <v>-1.2827664613723756E-9</v>
      </c>
      <c r="AG54" s="31">
        <f t="shared" ca="1" si="128"/>
        <v>-1.2827664613723756E-9</v>
      </c>
      <c r="AH54" s="31">
        <f t="shared" ca="1" si="128"/>
        <v>-1.2827664613723756E-9</v>
      </c>
      <c r="AI54" s="31">
        <f t="shared" ca="1" si="128"/>
        <v>-1.2827664613723756E-9</v>
      </c>
      <c r="AJ54" s="31">
        <f t="shared" ca="1" si="128"/>
        <v>-1.2827664613723756E-9</v>
      </c>
      <c r="AK54" s="31">
        <f t="shared" ca="1" si="128"/>
        <v>-1.2827664613723756E-9</v>
      </c>
      <c r="AL54" s="31">
        <f t="shared" ca="1" si="128"/>
        <v>-1.2827664613723756E-9</v>
      </c>
      <c r="AM54" s="31">
        <f t="shared" ca="1" si="128"/>
        <v>-1.2827664613723756E-9</v>
      </c>
      <c r="AN54" s="31">
        <f t="shared" ca="1" si="128"/>
        <v>-1.2827664613723756E-9</v>
      </c>
      <c r="AO54" s="31">
        <f t="shared" ca="1" si="128"/>
        <v>-1.2827664613723756E-9</v>
      </c>
      <c r="AP54" s="31">
        <f t="shared" ca="1" si="128"/>
        <v>-1.2827664613723756E-9</v>
      </c>
      <c r="AQ54" s="31">
        <f t="shared" ca="1" si="128"/>
        <v>-1.2827664613723756E-9</v>
      </c>
      <c r="AR54" s="31">
        <f t="shared" ca="1" si="128"/>
        <v>-1.2827664613723756E-9</v>
      </c>
      <c r="AS54" s="31">
        <f t="shared" ca="1" si="128"/>
        <v>-1.2827664613723756E-9</v>
      </c>
      <c r="AT54" s="31">
        <f t="shared" ca="1" si="128"/>
        <v>-1.2827664613723756E-9</v>
      </c>
      <c r="AU54" s="31">
        <f t="shared" ca="1" si="128"/>
        <v>-1.2827664613723756E-9</v>
      </c>
      <c r="AV54" s="31">
        <f t="shared" ca="1" si="128"/>
        <v>-1.2827664613723756E-9</v>
      </c>
      <c r="AW54" s="31">
        <f t="shared" ca="1" si="128"/>
        <v>-1.2827664613723756E-9</v>
      </c>
      <c r="AX54" s="31">
        <f t="shared" ca="1" si="128"/>
        <v>-1.2827664613723756E-9</v>
      </c>
      <c r="AY54" s="31">
        <f t="shared" ca="1" si="128"/>
        <v>-1.2827664613723756E-9</v>
      </c>
      <c r="AZ54" s="31">
        <f t="shared" ca="1" si="128"/>
        <v>-1.2827664613723756E-9</v>
      </c>
      <c r="BA54" s="31">
        <f t="shared" ca="1" si="128"/>
        <v>-1.2827664613723756E-9</v>
      </c>
      <c r="BB54" s="31">
        <f t="shared" ca="1" si="128"/>
        <v>-1.2827664613723756E-9</v>
      </c>
      <c r="BC54" s="31">
        <f t="shared" ca="1" si="128"/>
        <v>-1.2827664613723756E-9</v>
      </c>
      <c r="BD54" s="31">
        <f t="shared" ca="1" si="128"/>
        <v>-1.2827664613723756E-9</v>
      </c>
      <c r="BE54" s="31">
        <f t="shared" ca="1" si="128"/>
        <v>-1.2827664613723756E-9</v>
      </c>
      <c r="BF54" s="31">
        <f t="shared" ca="1" si="128"/>
        <v>-1.2827664613723756E-9</v>
      </c>
      <c r="BG54" s="31">
        <f t="shared" ca="1" si="128"/>
        <v>-1.2827664613723756E-9</v>
      </c>
      <c r="BH54" s="31">
        <f t="shared" ca="1" si="128"/>
        <v>-1.2827664613723756E-9</v>
      </c>
      <c r="BI54" s="31">
        <f t="shared" ca="1" si="128"/>
        <v>-1.2827664613723756E-9</v>
      </c>
      <c r="BJ54" s="31">
        <f t="shared" ca="1" si="128"/>
        <v>-1.2827664613723756E-9</v>
      </c>
      <c r="BK54" s="31">
        <f t="shared" ca="1" si="128"/>
        <v>-1.2827664613723756E-9</v>
      </c>
      <c r="BL54" s="31">
        <f t="shared" ca="1" si="128"/>
        <v>-1.2827664613723756E-9</v>
      </c>
      <c r="BM54" s="31">
        <f t="shared" ca="1" si="128"/>
        <v>-1.2827664613723756E-9</v>
      </c>
      <c r="BN54" s="31">
        <f t="shared" ca="1" si="128"/>
        <v>-1.2827664613723756E-9</v>
      </c>
      <c r="BO54" s="31">
        <f t="shared" ca="1" si="128"/>
        <v>-1.2827664613723756E-9</v>
      </c>
      <c r="BP54" s="31">
        <f t="shared" ca="1" si="128"/>
        <v>-1.2827664613723756E-9</v>
      </c>
      <c r="BQ54" s="31">
        <f t="shared" ca="1" si="128"/>
        <v>-1.2827664613723756E-9</v>
      </c>
      <c r="BR54" s="31">
        <f t="shared" ca="1" si="128"/>
        <v>-1.2827664613723756E-9</v>
      </c>
      <c r="BS54" s="31">
        <f t="shared" ca="1" si="128"/>
        <v>-1.2827664613723756E-9</v>
      </c>
      <c r="BT54" s="31">
        <f t="shared" ca="1" si="128"/>
        <v>-1.2827664613723756E-9</v>
      </c>
      <c r="BU54" s="31">
        <f t="shared" ref="BU54:BY54" ca="1" si="129">+BU543</f>
        <v>-1.2827664613723756E-9</v>
      </c>
      <c r="BV54" s="31">
        <f t="shared" ca="1" si="129"/>
        <v>-1.2827664613723756E-9</v>
      </c>
      <c r="BW54" s="31">
        <f t="shared" ca="1" si="129"/>
        <v>-1.2827664613723756E-9</v>
      </c>
      <c r="BX54" s="31">
        <f t="shared" ca="1" si="129"/>
        <v>-1.2827664613723756E-9</v>
      </c>
      <c r="BY54" s="31">
        <f t="shared" ca="1" si="129"/>
        <v>-1.2827664613723756E-9</v>
      </c>
    </row>
    <row r="55" spans="1:77" s="22" customFormat="1" ht="15" outlineLevel="3">
      <c r="C55" s="90"/>
      <c r="D55" s="90"/>
      <c r="E55" t="s">
        <v>243</v>
      </c>
      <c r="F55" s="36"/>
      <c r="H55" s="86">
        <f ca="1">1/(1+Assumptions!$H$356)*IF(G55=0,1,G55)</f>
        <v>0.95979422011920645</v>
      </c>
      <c r="I55" s="86">
        <f ca="1">1/(1+Assumptions!$H$356)*IF(H55=0,1,H55)</f>
        <v>0.92120494497423577</v>
      </c>
      <c r="J55" s="86">
        <f ca="1">1/(1+Assumptions!$H$356)*IF(I55=0,1,I55)</f>
        <v>0.8841671817315031</v>
      </c>
      <c r="K55" s="86">
        <f ca="1">1/(1+Assumptions!$H$356)*IF(J55=0,1,J55)</f>
        <v>0.8486185506449847</v>
      </c>
      <c r="L55" s="86">
        <f ca="1">1/(1+Assumptions!$H$356)*IF(K55=0,1,K55)</f>
        <v>0.81449917999499444</v>
      </c>
      <c r="M55" s="86">
        <f ca="1">1/(1+Assumptions!$H$356)*IF(L55=0,1,L55)</f>
        <v>0.78175160525102882</v>
      </c>
      <c r="N55" s="86">
        <f ca="1">1/(1+Assumptions!$H$356)*IF(M55=0,1,M55)</f>
        <v>0.75032067228884891</v>
      </c>
      <c r="O55" s="86">
        <f ca="1">1/(1+Assumptions!$H$356)*IF(N55=0,1,N55)</f>
        <v>0.72015344449879437</v>
      </c>
      <c r="P55" s="86">
        <f ca="1">1/(1+Assumptions!$H$356)*IF(O55=0,1,O55)</f>
        <v>0.69119911362888053</v>
      </c>
      <c r="Q55" s="86">
        <f ca="1">1/(1+Assumptions!$H$356)*IF(P55=0,1,P55)</f>
        <v>0.66340891421251813</v>
      </c>
      <c r="R55" s="86">
        <f ca="1">1/(1+Assumptions!$H$356)*IF(Q55=0,1,Q55)</f>
        <v>0.63673604143673335</v>
      </c>
      <c r="S55" s="86">
        <f ca="1">1/(1+Assumptions!$H$356)*IF(R55=0,1,R55)</f>
        <v>0.61113557231256022</v>
      </c>
      <c r="T55" s="86">
        <f ca="1">1/(1+Assumptions!$H$356)*IF(S55=0,1,S55)</f>
        <v>0.58656439001483862</v>
      </c>
      <c r="U55" s="86">
        <f ca="1">1/(1+Assumptions!$H$356)*IF(T55=0,1,T55)</f>
        <v>0.56298111126399009</v>
      </c>
      <c r="V55" s="86">
        <f ca="1">1/(1+Assumptions!$H$356)*IF(U55=0,1,U55)</f>
        <v>0.54034601662746551</v>
      </c>
      <c r="W55" s="86">
        <f ca="1">1/(1+Assumptions!$H$356)*IF(V55=0,1,V55)</f>
        <v>0.51862098362347797</v>
      </c>
      <c r="X55" s="86">
        <f ca="1">1/(1+Assumptions!$H$356)*IF(W55=0,1,W55)</f>
        <v>0.4977694225143518</v>
      </c>
      <c r="Y55" s="86">
        <f ca="1">1/(1+Assumptions!$H$356)*IF(X55=0,1,X55)</f>
        <v>0.47775621468135004</v>
      </c>
      <c r="Z55" s="86">
        <f ca="1">1/(1+Assumptions!$H$356)*IF(Y55=0,1,Y55)</f>
        <v>0.45854765347719056</v>
      </c>
      <c r="AA55" s="86">
        <f ca="1">1/(1+Assumptions!$H$356)*IF(Z55=0,1,Z55)</f>
        <v>0.44011138745663225</v>
      </c>
      <c r="AB55" s="86">
        <f ca="1">1/(1+Assumptions!$H$356)*IF(AA55=0,1,AA55)</f>
        <v>0.42241636588952025</v>
      </c>
      <c r="AC55" s="86">
        <f ca="1">1/(1+Assumptions!$H$356)*IF(AB55=0,1,AB55)</f>
        <v>0.40543278646452147</v>
      </c>
      <c r="AD55" s="86">
        <f ca="1">1/(1+Assumptions!$H$356)*IF(AC55=0,1,AC55)</f>
        <v>0.38913204509547217</v>
      </c>
      <c r="AE55" s="86">
        <f ca="1">1/(1+Assumptions!$H$356)*IF(AD55=0,1,AD55)</f>
        <v>0.37348668774580057</v>
      </c>
      <c r="AF55" s="86">
        <f ca="1">1/(1+Assumptions!$H$356)*IF(AE55=0,1,AE55)</f>
        <v>0.35847036418988626</v>
      </c>
      <c r="AG55" s="86">
        <f ca="1">1/(1+Assumptions!$H$356)*IF(AF55=0,1,AF55)</f>
        <v>0.34405778363347977</v>
      </c>
      <c r="AH55" s="86">
        <f ca="1">1/(1+Assumptions!$H$356)*IF(AG55=0,1,AG55)</f>
        <v>0.33022467211843837</v>
      </c>
      <c r="AI55" s="86">
        <f ca="1">1/(1+Assumptions!$H$356)*IF(AH55=0,1,AH55)</f>
        <v>0.3169477316400372</v>
      </c>
      <c r="AJ55" s="86">
        <f ca="1">1/(1+Assumptions!$H$356)*IF(AI55=0,1,AI55)</f>
        <v>0.30420460090800105</v>
      </c>
      <c r="AK55" s="86">
        <f ca="1">1/(1+Assumptions!$H$356)*IF(AJ55=0,1,AJ55)</f>
        <v>0.29197381768516933</v>
      </c>
      <c r="AL55" s="86">
        <f ca="1">1/(1+Assumptions!$H$356)*IF(AK55=0,1,AK55)</f>
        <v>0.28023478264036444</v>
      </c>
      <c r="AM55" s="86">
        <f ca="1">1/(1+Assumptions!$H$356)*IF(AL55=0,1,AL55)</f>
        <v>0.26896772465458391</v>
      </c>
      <c r="AN55" s="86">
        <f ca="1">1/(1+Assumptions!$H$356)*IF(AM55=0,1,AM55)</f>
        <v>0.2581536675220838</v>
      </c>
      <c r="AO55" s="86">
        <f ca="1">1/(1+Assumptions!$H$356)*IF(AN55=0,1,AN55)</f>
        <v>0.24777439799027134</v>
      </c>
      <c r="AP55" s="86">
        <f ca="1">1/(1+Assumptions!$H$356)*IF(AO55=0,1,AO55)</f>
        <v>0.23781243508457836</v>
      </c>
      <c r="AQ55" s="86">
        <f ca="1">1/(1+Assumptions!$H$356)*IF(AP55=0,1,AP55)</f>
        <v>0.2282510006666523</v>
      </c>
      <c r="AR55" s="86">
        <f ca="1">1/(1+Assumptions!$H$356)*IF(AQ55=0,1,AQ55)</f>
        <v>0.21907399117627802</v>
      </c>
      <c r="AS55" s="86">
        <f ca="1">1/(1+Assumptions!$H$356)*IF(AR55=0,1,AR55)</f>
        <v>0.21026595050943767</v>
      </c>
      <c r="AT55" s="86">
        <f ca="1">1/(1+Assumptions!$H$356)*IF(AS55=0,1,AS55)</f>
        <v>0.20181204398682939</v>
      </c>
      <c r="AU55" s="86">
        <f ca="1">1/(1+Assumptions!$H$356)*IF(AT55=0,1,AT55)</f>
        <v>0.1936980333690019</v>
      </c>
      <c r="AV55" s="86">
        <f ca="1">1/(1+Assumptions!$H$356)*IF(AU55=0,1,AU55)</f>
        <v>0.18591025287602522</v>
      </c>
      <c r="AW55" s="86">
        <f ca="1">1/(1+Assumptions!$H$356)*IF(AV55=0,1,AV55)</f>
        <v>0.17843558617130909</v>
      </c>
      <c r="AX55" s="86">
        <f ca="1">1/(1+Assumptions!$H$356)*IF(AW55=0,1,AW55)</f>
        <v>0.17126144427080506</v>
      </c>
      <c r="AY55" s="86">
        <f ca="1">1/(1+Assumptions!$H$356)*IF(AX55=0,1,AX55)</f>
        <v>0.16437574434038627</v>
      </c>
      <c r="AZ55" s="86">
        <f ca="1">1/(1+Assumptions!$H$356)*IF(AY55=0,1,AY55)</f>
        <v>0.1577668893456951</v>
      </c>
      <c r="BA55" s="86">
        <f ca="1">1/(1+Assumptions!$H$356)*IF(AZ55=0,1,AZ55)</f>
        <v>0.15142374852018459</v>
      </c>
      <c r="BB55" s="86">
        <f ca="1">1/(1+Assumptions!$H$356)*IF(BA55=0,1,BA55)</f>
        <v>0.14533563861845741</v>
      </c>
      <c r="BC55" s="86">
        <f ca="1">1/(1+Assumptions!$H$356)*IF(BB55=0,1,BB55)</f>
        <v>0.13949230592332915</v>
      </c>
      <c r="BD55" s="86">
        <f ca="1">1/(1+Assumptions!$H$356)*IF(BC55=0,1,BC55)</f>
        <v>0.13388390897631147</v>
      </c>
      <c r="BE55" s="86">
        <f ca="1">1/(1+Assumptions!$H$356)*IF(BD55=0,1,BD55)</f>
        <v>0.1285010020024297</v>
      </c>
      <c r="BF55" s="86">
        <f ca="1">1/(1+Assumptions!$H$356)*IF(BE55=0,1,BE55)</f>
        <v>0.1233345190014586</v>
      </c>
      <c r="BG55" s="86">
        <f ca="1">1/(1+Assumptions!$H$356)*IF(BF55=0,1,BF55)</f>
        <v>0.11837575847878241</v>
      </c>
      <c r="BH55" s="86">
        <f ca="1">1/(1+Assumptions!$H$356)*IF(BG55=0,1,BG55)</f>
        <v>0.11361636879016251</v>
      </c>
      <c r="BI55" s="86">
        <f ca="1">1/(1+Assumptions!$H$356)*IF(BH55=0,1,BH55)</f>
        <v>0.10904833407573018</v>
      </c>
      <c r="BJ55" s="86">
        <f ca="1">1/(1+Assumptions!$H$356)*IF(BI55=0,1,BI55)</f>
        <v>0.10466396075951413</v>
      </c>
      <c r="BK55" s="86">
        <f ca="1">1/(1+Assumptions!$H$356)*IF(BJ55=0,1,BJ55)</f>
        <v>0.10045586459176509</v>
      </c>
      <c r="BL55" s="86">
        <f ca="1">1/(1+Assumptions!$H$356)*IF(BK55=0,1,BK55)</f>
        <v>9.6416958212253781E-2</v>
      </c>
      <c r="BM55" s="86">
        <f ca="1">1/(1+Assumptions!$H$356)*IF(BL55=0,1,BL55)</f>
        <v>9.254043921359624E-2</v>
      </c>
      <c r="BN55" s="86">
        <f ca="1">1/(1+Assumptions!$H$356)*IF(BM55=0,1,BM55)</f>
        <v>8.8819778684502429E-2</v>
      </c>
      <c r="BO55" s="86">
        <f ca="1">1/(1+Assumptions!$H$356)*IF(BN55=0,1,BN55)</f>
        <v>8.5248710213652532E-2</v>
      </c>
      <c r="BP55" s="86">
        <f ca="1">1/(1+Assumptions!$H$356)*IF(BO55=0,1,BO55)</f>
        <v>8.1821219335680859E-2</v>
      </c>
      <c r="BQ55" s="86">
        <f ca="1">1/(1+Assumptions!$H$356)*IF(BP55=0,1,BP55)</f>
        <v>7.853153340149234E-2</v>
      </c>
      <c r="BR55" s="86">
        <f ca="1">1/(1+Assumptions!$H$356)*IF(BQ55=0,1,BQ55)</f>
        <v>7.5374111855850759E-2</v>
      </c>
      <c r="BS55" s="86">
        <f ca="1">1/(1+Assumptions!$H$356)*IF(BR55=0,1,BR55)</f>
        <v>7.2343636905864109E-2</v>
      </c>
      <c r="BT55" s="86">
        <f ca="1">1/(1+Assumptions!$H$356)*IF(BS55=0,1,BS55)</f>
        <v>6.943500456465089E-2</v>
      </c>
      <c r="BU55" s="86">
        <f ca="1">1/(1+Assumptions!$H$356)*IF(BT55=0,1,BT55)</f>
        <v>6.6643316055102639E-2</v>
      </c>
      <c r="BV55" s="86">
        <f ca="1">1/(1+Assumptions!$H$356)*IF(BU55=0,1,BU55)</f>
        <v>6.396386955926503E-2</v>
      </c>
      <c r="BW55" s="86">
        <f ca="1">1/(1+Assumptions!$H$356)*IF(BV55=0,1,BV55)</f>
        <v>6.1392152299441428E-2</v>
      </c>
      <c r="BX55" s="86">
        <f ca="1">1/(1+Assumptions!$H$356)*IF(BW55=0,1,BW55)</f>
        <v>5.8923832937681934E-2</v>
      </c>
      <c r="BY55" s="86">
        <f ca="1">1/(1+Assumptions!$H$356)*IF(BX55=0,1,BX55)</f>
        <v>5.6554754280856843E-2</v>
      </c>
    </row>
    <row r="56" spans="1:77" s="22" customFormat="1" ht="15" outlineLevel="3">
      <c r="C56" s="90"/>
      <c r="D56" s="90"/>
      <c r="E56" t="s">
        <v>483</v>
      </c>
      <c r="F56" s="36" t="s">
        <v>470</v>
      </c>
      <c r="H56" s="86">
        <f t="shared" ref="H56:AM56" ca="1" si="130">+H54*H55</f>
        <v>0</v>
      </c>
      <c r="I56" s="86">
        <f t="shared" ca="1" si="130"/>
        <v>-151088287.67476016</v>
      </c>
      <c r="J56" s="86">
        <f t="shared" ca="1" si="130"/>
        <v>-3487705.749217574</v>
      </c>
      <c r="K56" s="86">
        <f t="shared" ca="1" si="130"/>
        <v>-39869550.623878002</v>
      </c>
      <c r="L56" s="86">
        <f t="shared" ca="1" si="130"/>
        <v>-38626267.944921397</v>
      </c>
      <c r="M56" s="86">
        <f t="shared" ca="1" si="130"/>
        <v>-37425415.078599505</v>
      </c>
      <c r="N56" s="86">
        <f t="shared" ca="1" si="130"/>
        <v>-36265444.88006743</v>
      </c>
      <c r="O56" s="86">
        <f t="shared" ca="1" si="130"/>
        <v>-35144869.072717994</v>
      </c>
      <c r="P56" s="86">
        <f t="shared" ca="1" si="130"/>
        <v>-34062255.951425917</v>
      </c>
      <c r="Q56" s="86">
        <f t="shared" ca="1" si="130"/>
        <v>-33016228.176662188</v>
      </c>
      <c r="R56" s="86">
        <f t="shared" ca="1" si="130"/>
        <v>-32005460.655856166</v>
      </c>
      <c r="S56" s="86">
        <f t="shared" ca="1" si="130"/>
        <v>-31028678.50852802</v>
      </c>
      <c r="T56" s="86">
        <f t="shared" ca="1" si="130"/>
        <v>-30084655.111852802</v>
      </c>
      <c r="U56" s="86">
        <f t="shared" ca="1" si="130"/>
        <v>-29172210.223451596</v>
      </c>
      <c r="V56" s="86">
        <f t="shared" ca="1" si="130"/>
        <v>-28290208.178333066</v>
      </c>
      <c r="W56" s="86">
        <f t="shared" ca="1" si="130"/>
        <v>-27437556.157032039</v>
      </c>
      <c r="X56" s="86">
        <f t="shared" ca="1" si="130"/>
        <v>-26613202.522109699</v>
      </c>
      <c r="Y56" s="86">
        <f t="shared" ca="1" si="130"/>
        <v>-23931567.311535262</v>
      </c>
      <c r="Z56" s="86">
        <f t="shared" ca="1" si="130"/>
        <v>-5.8820955082154207E-10</v>
      </c>
      <c r="AA56" s="86">
        <f t="shared" ca="1" si="130"/>
        <v>-5.645601270974307E-10</v>
      </c>
      <c r="AB56" s="86">
        <f t="shared" ca="1" si="130"/>
        <v>-5.4186154689787853E-10</v>
      </c>
      <c r="AC56" s="86">
        <f t="shared" ca="1" si="130"/>
        <v>-5.200755808174362E-10</v>
      </c>
      <c r="AD56" s="86">
        <f t="shared" ca="1" si="130"/>
        <v>-4.9916553649371449E-10</v>
      </c>
      <c r="AE56" s="86">
        <f t="shared" ca="1" si="130"/>
        <v>-4.7909619680937005E-10</v>
      </c>
      <c r="AF56" s="86">
        <f t="shared" ca="1" si="130"/>
        <v>-4.5983376057872715E-10</v>
      </c>
      <c r="AG56" s="86">
        <f t="shared" ca="1" si="130"/>
        <v>-4.413457856191413E-10</v>
      </c>
      <c r="AH56" s="86">
        <f t="shared" ca="1" si="130"/>
        <v>-4.2360113411122215E-10</v>
      </c>
      <c r="AI56" s="86">
        <f t="shared" ca="1" si="130"/>
        <v>-4.0656992015589183E-10</v>
      </c>
      <c r="AJ56" s="86">
        <f t="shared" ca="1" si="130"/>
        <v>-3.9022345943995228E-10</v>
      </c>
      <c r="AK56" s="86">
        <f t="shared" ca="1" si="130"/>
        <v>-3.7453422092538782E-10</v>
      </c>
      <c r="AL56" s="86">
        <f t="shared" ca="1" si="130"/>
        <v>-3.5947578048103712E-10</v>
      </c>
      <c r="AM56" s="86">
        <f t="shared" ca="1" si="130"/>
        <v>-3.4502277637854009E-10</v>
      </c>
      <c r="AN56" s="86">
        <f t="shared" ref="AN56:BS56" ca="1" si="131">+AN54*AN55</f>
        <v>-3.3115086657760421E-10</v>
      </c>
      <c r="AO56" s="86">
        <f t="shared" ca="1" si="131"/>
        <v>-3.1783668772865101E-10</v>
      </c>
      <c r="AP56" s="86">
        <f t="shared" ca="1" si="131"/>
        <v>-3.0505781582379239E-10</v>
      </c>
      <c r="AQ56" s="86">
        <f t="shared" ca="1" si="131"/>
        <v>-2.9279272842986529E-10</v>
      </c>
      <c r="AR56" s="86">
        <f t="shared" ca="1" si="131"/>
        <v>-2.810207684399172E-10</v>
      </c>
      <c r="AS56" s="86">
        <f t="shared" ca="1" si="131"/>
        <v>-2.6972210928209043E-10</v>
      </c>
      <c r="AT56" s="86">
        <f t="shared" ca="1" si="131"/>
        <v>-2.5887772152731137E-10</v>
      </c>
      <c r="AU56" s="86">
        <f t="shared" ca="1" si="131"/>
        <v>-2.4846934083954291E-10</v>
      </c>
      <c r="AV56" s="86">
        <f t="shared" ca="1" si="131"/>
        <v>-2.3847943721462239E-10</v>
      </c>
      <c r="AW56" s="86">
        <f t="shared" ca="1" si="131"/>
        <v>-2.2889118545587576E-10</v>
      </c>
      <c r="AX56" s="86">
        <f t="shared" ca="1" si="131"/>
        <v>-2.1968843683678291E-10</v>
      </c>
      <c r="AY56" s="86">
        <f t="shared" ca="1" si="131"/>
        <v>-2.1085569190296758E-10</v>
      </c>
      <c r="AZ56" s="86">
        <f t="shared" ca="1" si="131"/>
        <v>-2.0237807436770447E-10</v>
      </c>
      <c r="BA56" s="86">
        <f t="shared" ca="1" si="131"/>
        <v>-1.9424130605697768E-10</v>
      </c>
      <c r="BB56" s="86">
        <f t="shared" ca="1" si="131"/>
        <v>-1.8643168286189299E-10</v>
      </c>
      <c r="BC56" s="86">
        <f t="shared" ca="1" si="131"/>
        <v>-1.7893605165794179E-10</v>
      </c>
      <c r="BD56" s="86">
        <f t="shared" ca="1" si="131"/>
        <v>-1.7174178815224432E-10</v>
      </c>
      <c r="BE56" s="86">
        <f t="shared" ca="1" si="131"/>
        <v>-1.6483677562146129E-10</v>
      </c>
      <c r="BF56" s="86">
        <f t="shared" ca="1" si="131"/>
        <v>-1.5820938450456507E-10</v>
      </c>
      <c r="BG56" s="86">
        <f t="shared" ca="1" si="131"/>
        <v>-1.518484528160987E-10</v>
      </c>
      <c r="BH56" s="86">
        <f t="shared" ca="1" si="131"/>
        <v>-1.4574326734693559E-10</v>
      </c>
      <c r="BI56" s="86">
        <f t="shared" ca="1" si="131"/>
        <v>-1.3988354562087705E-10</v>
      </c>
      <c r="BJ56" s="86">
        <f t="shared" ca="1" si="131"/>
        <v>-1.3425941857669913E-10</v>
      </c>
      <c r="BK56" s="86">
        <f t="shared" ca="1" si="131"/>
        <v>-1.2886141394648104E-10</v>
      </c>
      <c r="BL56" s="86">
        <f t="shared" ca="1" si="131"/>
        <v>-1.2368044030222098E-10</v>
      </c>
      <c r="BM56" s="86">
        <f t="shared" ca="1" si="131"/>
        <v>-1.1870777174387027E-10</v>
      </c>
      <c r="BN56" s="86">
        <f t="shared" ca="1" si="131"/>
        <v>-1.1393503320299673E-10</v>
      </c>
      <c r="BO56" s="86">
        <f t="shared" ca="1" si="131"/>
        <v>-1.0935418633732616E-10</v>
      </c>
      <c r="BP56" s="86">
        <f t="shared" ca="1" si="131"/>
        <v>-1.0495751599240433E-10</v>
      </c>
      <c r="BQ56" s="86">
        <f t="shared" ca="1" si="131"/>
        <v>-1.0073761720757885E-10</v>
      </c>
      <c r="BR56" s="86">
        <f t="shared" ca="1" si="131"/>
        <v>-9.6687382744415304E-11</v>
      </c>
      <c r="BS56" s="86">
        <f t="shared" ca="1" si="131"/>
        <v>-9.2799991116543305E-11</v>
      </c>
      <c r="BT56" s="86">
        <f t="shared" ref="BT56:BY56" ca="1" si="132">+BT54*BT55</f>
        <v>-8.9068895100771974E-11</v>
      </c>
      <c r="BU56" s="86">
        <f t="shared" ca="1" si="132"/>
        <v>-8.5487810710124833E-11</v>
      </c>
      <c r="BV56" s="86">
        <f t="shared" ca="1" si="132"/>
        <v>-8.2050706610222613E-11</v>
      </c>
      <c r="BW56" s="86">
        <f t="shared" ca="1" si="132"/>
        <v>-7.8751793961188428E-11</v>
      </c>
      <c r="BX56" s="86">
        <f t="shared" ca="1" si="132"/>
        <v>-7.5585516667967283E-11</v>
      </c>
      <c r="BY56" s="86">
        <f t="shared" ca="1" si="132"/>
        <v>-7.2546542022638943E-11</v>
      </c>
    </row>
    <row r="57" spans="1:77" outlineLevel="3">
      <c r="C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row>
    <row r="58" spans="1:77" ht="15" outlineLevel="2">
      <c r="C58" s="29"/>
      <c r="D58" s="29"/>
      <c r="E58" s="22"/>
      <c r="F58" s="36"/>
      <c r="G58" s="24"/>
      <c r="H58" s="31"/>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row>
    <row r="59" spans="1:77" ht="15">
      <c r="C59" s="29"/>
      <c r="D59" s="29"/>
      <c r="E59" s="22"/>
      <c r="F59" s="36"/>
      <c r="G59" s="24"/>
      <c r="H59" s="31"/>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row>
    <row r="60" spans="1:77" s="66" customFormat="1" ht="15">
      <c r="A60" s="66" t="str">
        <f>+Assumptions!B20</f>
        <v>1.0 Fuel production</v>
      </c>
    </row>
    <row r="61" spans="1:77" s="19" customFormat="1" outlineLevel="1">
      <c r="A61"/>
      <c r="B61" s="18" t="s">
        <v>486</v>
      </c>
    </row>
    <row r="62" spans="1:77" outlineLevel="1">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row>
    <row r="63" spans="1:77" outlineLevel="1">
      <c r="E63" t="s">
        <v>487</v>
      </c>
      <c r="F63" s="23" t="s">
        <v>423</v>
      </c>
      <c r="H63" s="31">
        <f>IF(Assumptions!$G$9="General",IFERROR(+(1+Assumptions!$G$10)^(YEARFRAC(Assumptions!$G$11,H$4)),""),(1+Assumptions_Detailed!H$13)^(YEARFRAC(Assumptions!$G$11,H$4)))</f>
        <v>1.02</v>
      </c>
      <c r="I63" s="31">
        <f>IF(Assumptions!$G$9="General",IFERROR(+(1+Assumptions!$G$10)^(YEARFRAC(Assumptions!$G$11,I$4)),""),(1+Assumptions_Detailed!I$13)^(YEARFRAC(Assumptions!$G$11,I$4)))</f>
        <v>1.0404</v>
      </c>
      <c r="J63" s="31">
        <f>IF(Assumptions!$G$9="General",IFERROR(+(1+Assumptions!$G$10)^(YEARFRAC(Assumptions!$G$11,J$4)),""),(1+Assumptions_Detailed!J$13)^(YEARFRAC(Assumptions!$G$11,J$4)))</f>
        <v>1.0612079999999999</v>
      </c>
      <c r="K63" s="31">
        <f>IF(Assumptions!$G$9="General",IFERROR(+(1+Assumptions!$G$10)^(YEARFRAC(Assumptions!$G$11,K$4)),""),(1+Assumptions_Detailed!K$13)^(YEARFRAC(Assumptions!$G$11,K$4)))</f>
        <v>1.08243216</v>
      </c>
      <c r="L63" s="31">
        <f>IF(Assumptions!$G$9="General",IFERROR(+(1+Assumptions!$G$10)^(YEARFRAC(Assumptions!$G$11,L$4)),""),(1+Assumptions_Detailed!L$13)^(YEARFRAC(Assumptions!$G$11,L$4)))</f>
        <v>1.1040808032</v>
      </c>
      <c r="M63" s="31">
        <f>IF(Assumptions!$G$9="General",IFERROR(+(1+Assumptions!$G$10)^(YEARFRAC(Assumptions!$G$11,M$4)),""),(1+Assumptions_Detailed!M$13)^(YEARFRAC(Assumptions!$G$11,M$4)))</f>
        <v>1.1261624192640001</v>
      </c>
      <c r="N63" s="31">
        <f>IF(Assumptions!$G$9="General",IFERROR(+(1+Assumptions!$G$10)^(YEARFRAC(Assumptions!$G$11,N$4)),""),(1+Assumptions_Detailed!N$13)^(YEARFRAC(Assumptions!$G$11,N$4)))</f>
        <v>1.1486856676492798</v>
      </c>
      <c r="O63" s="31">
        <f>IF(Assumptions!$G$9="General",IFERROR(+(1+Assumptions!$G$10)^(YEARFRAC(Assumptions!$G$11,O$4)),""),(1+Assumptions_Detailed!O$13)^(YEARFRAC(Assumptions!$G$11,O$4)))</f>
        <v>1.1716593810022655</v>
      </c>
      <c r="P63" s="31">
        <f>IF(Assumptions!$G$9="General",IFERROR(+(1+Assumptions!$G$10)^(YEARFRAC(Assumptions!$G$11,P$4)),""),(1+Assumptions_Detailed!P$13)^(YEARFRAC(Assumptions!$G$11,P$4)))</f>
        <v>1.1950925686223108</v>
      </c>
      <c r="Q63" s="31">
        <f>IF(Assumptions!$G$9="General",IFERROR(+(1+Assumptions!$G$10)^(YEARFRAC(Assumptions!$G$11,Q$4)),""),(1+Assumptions_Detailed!Q$13)^(YEARFRAC(Assumptions!$G$11,Q$4)))</f>
        <v>1.2189944199947571</v>
      </c>
      <c r="R63" s="31">
        <f>IF(Assumptions!$G$9="General",IFERROR(+(1+Assumptions!$G$10)^(YEARFRAC(Assumptions!$G$11,R$4)),""),(1+Assumptions_Detailed!R$13)^(YEARFRAC(Assumptions!$G$11,R$4)))</f>
        <v>1.243374308394652</v>
      </c>
      <c r="S63" s="31">
        <f>IF(Assumptions!$G$9="General",IFERROR(+(1+Assumptions!$G$10)^(YEARFRAC(Assumptions!$G$11,S$4)),""),(1+Assumptions_Detailed!S$13)^(YEARFRAC(Assumptions!$G$11,S$4)))</f>
        <v>1.2682417945625453</v>
      </c>
      <c r="T63" s="31">
        <f>IF(Assumptions!$G$9="General",IFERROR(+(1+Assumptions!$G$10)^(YEARFRAC(Assumptions!$G$11,T$4)),""),(1+Assumptions_Detailed!T$13)^(YEARFRAC(Assumptions!$G$11,T$4)))</f>
        <v>1.2936066304537961</v>
      </c>
      <c r="U63" s="31">
        <f>IF(Assumptions!$G$9="General",IFERROR(+(1+Assumptions!$G$10)^(YEARFRAC(Assumptions!$G$11,U$4)),""),(1+Assumptions_Detailed!U$13)^(YEARFRAC(Assumptions!$G$11,U$4)))</f>
        <v>1.3194787630628722</v>
      </c>
      <c r="V63" s="31">
        <f>IF(Assumptions!$G$9="General",IFERROR(+(1+Assumptions!$G$10)^(YEARFRAC(Assumptions!$G$11,V$4)),""),(1+Assumptions_Detailed!V$13)^(YEARFRAC(Assumptions!$G$11,V$4)))</f>
        <v>1.3458683383241292</v>
      </c>
      <c r="W63" s="31">
        <f>IF(Assumptions!$G$9="General",IFERROR(+(1+Assumptions!$G$10)^(YEARFRAC(Assumptions!$G$11,W$4)),""),(1+Assumptions_Detailed!W$13)^(YEARFRAC(Assumptions!$G$11,W$4)))</f>
        <v>1.372785705090612</v>
      </c>
      <c r="X63" s="31">
        <f>IF(Assumptions!$G$9="General",IFERROR(+(1+Assumptions!$G$10)^(YEARFRAC(Assumptions!$G$11,X$4)),""),(1+Assumptions_Detailed!X$13)^(YEARFRAC(Assumptions!$G$11,X$4)))</f>
        <v>1.4002414191924244</v>
      </c>
      <c r="Y63" s="31">
        <f>IF(Assumptions!$G$9="General",IFERROR(+(1+Assumptions!$G$10)^(YEARFRAC(Assumptions!$G$11,Y$4)),""),(1+Assumptions_Detailed!Y$13)^(YEARFRAC(Assumptions!$G$11,Y$4)))</f>
        <v>1.4282462475762727</v>
      </c>
      <c r="Z63" s="31">
        <f>IF(Assumptions!$G$9="General",IFERROR(+(1+Assumptions!$G$10)^(YEARFRAC(Assumptions!$G$11,Z$4)),""),(1+Assumptions_Detailed!Z$13)^(YEARFRAC(Assumptions!$G$11,Z$4)))</f>
        <v>1.4568111725277981</v>
      </c>
      <c r="AA63" s="31" t="str">
        <f>IF(Assumptions!$G$9="General",IFERROR(+(1+Assumptions!$G$10)^(YEARFRAC(Assumptions!$G$11,AA$4)),""),(1+Assumptions_Detailed!AA$13)^(YEARFRAC(Assumptions!$G$11,AA$4)))</f>
        <v/>
      </c>
      <c r="AB63" s="31" t="str">
        <f>IF(Assumptions!$G$9="General",IFERROR(+(1+Assumptions!$G$10)^(YEARFRAC(Assumptions!$G$11,AB$4)),""),(1+Assumptions_Detailed!AB$13)^(YEARFRAC(Assumptions!$G$11,AB$4)))</f>
        <v/>
      </c>
      <c r="AC63" s="31" t="str">
        <f>IF(Assumptions!$G$9="General",IFERROR(+(1+Assumptions!$G$10)^(YEARFRAC(Assumptions!$G$11,AC$4)),""),(1+Assumptions_Detailed!AC$13)^(YEARFRAC(Assumptions!$G$11,AC$4)))</f>
        <v/>
      </c>
      <c r="AD63" s="31" t="str">
        <f>IF(Assumptions!$G$9="General",IFERROR(+(1+Assumptions!$G$10)^(YEARFRAC(Assumptions!$G$11,AD$4)),""),(1+Assumptions_Detailed!AD$13)^(YEARFRAC(Assumptions!$G$11,AD$4)))</f>
        <v/>
      </c>
      <c r="AE63" s="31" t="str">
        <f>IF(Assumptions!$G$9="General",IFERROR(+(1+Assumptions!$G$10)^(YEARFRAC(Assumptions!$G$11,AE$4)),""),(1+Assumptions_Detailed!AE$13)^(YEARFRAC(Assumptions!$G$11,AE$4)))</f>
        <v/>
      </c>
      <c r="AF63" s="31" t="str">
        <f>IF(Assumptions!$G$9="General",IFERROR(+(1+Assumptions!$G$10)^(YEARFRAC(Assumptions!$G$11,AF$4)),""),(1+Assumptions_Detailed!AF$13)^(YEARFRAC(Assumptions!$G$11,AF$4)))</f>
        <v/>
      </c>
      <c r="AG63" s="31" t="str">
        <f>IF(Assumptions!$G$9="General",IFERROR(+(1+Assumptions!$G$10)^(YEARFRAC(Assumptions!$G$11,AG$4)),""),(1+Assumptions_Detailed!AG$13)^(YEARFRAC(Assumptions!$G$11,AG$4)))</f>
        <v/>
      </c>
      <c r="AH63" s="31" t="str">
        <f>IF(Assumptions!$G$9="General",IFERROR(+(1+Assumptions!$G$10)^(YEARFRAC(Assumptions!$G$11,AH$4)),""),(1+Assumptions_Detailed!AH$13)^(YEARFRAC(Assumptions!$G$11,AH$4)))</f>
        <v/>
      </c>
      <c r="AI63" s="31" t="str">
        <f>IF(Assumptions!$G$9="General",IFERROR(+(1+Assumptions!$G$10)^(YEARFRAC(Assumptions!$G$11,AI$4)),""),(1+Assumptions_Detailed!AI$13)^(YEARFRAC(Assumptions!$G$11,AI$4)))</f>
        <v/>
      </c>
      <c r="AJ63" s="31" t="str">
        <f>IF(Assumptions!$G$9="General",IFERROR(+(1+Assumptions!$G$10)^(YEARFRAC(Assumptions!$G$11,AJ$4)),""),(1+Assumptions_Detailed!AJ$13)^(YEARFRAC(Assumptions!$G$11,AJ$4)))</f>
        <v/>
      </c>
      <c r="AK63" s="31" t="str">
        <f>IF(Assumptions!$G$9="General",IFERROR(+(1+Assumptions!$G$10)^(YEARFRAC(Assumptions!$G$11,AK$4)),""),(1+Assumptions_Detailed!AK$13)^(YEARFRAC(Assumptions!$G$11,AK$4)))</f>
        <v/>
      </c>
      <c r="AL63" s="31" t="str">
        <f>IF(Assumptions!$G$9="General",IFERROR(+(1+Assumptions!$G$10)^(YEARFRAC(Assumptions!$G$11,AL$4)),""),(1+Assumptions_Detailed!AL$13)^(YEARFRAC(Assumptions!$G$11,AL$4)))</f>
        <v/>
      </c>
      <c r="AM63" s="31" t="str">
        <f>IF(Assumptions!$G$9="General",IFERROR(+(1+Assumptions!$G$10)^(YEARFRAC(Assumptions!$G$11,AM$4)),""),(1+Assumptions_Detailed!AM$13)^(YEARFRAC(Assumptions!$G$11,AM$4)))</f>
        <v/>
      </c>
      <c r="AN63" s="31" t="str">
        <f>IF(Assumptions!$G$9="General",IFERROR(+(1+Assumptions!$G$10)^(YEARFRAC(Assumptions!$G$11,AN$4)),""),(1+Assumptions_Detailed!AN$13)^(YEARFRAC(Assumptions!$G$11,AN$4)))</f>
        <v/>
      </c>
      <c r="AO63" s="31" t="str">
        <f>IF(Assumptions!$G$9="General",IFERROR(+(1+Assumptions!$G$10)^(YEARFRAC(Assumptions!$G$11,AO$4)),""),(1+Assumptions_Detailed!AO$13)^(YEARFRAC(Assumptions!$G$11,AO$4)))</f>
        <v/>
      </c>
      <c r="AP63" s="31" t="str">
        <f>IF(Assumptions!$G$9="General",IFERROR(+(1+Assumptions!$G$10)^(YEARFRAC(Assumptions!$G$11,AP$4)),""),(1+Assumptions_Detailed!AP$13)^(YEARFRAC(Assumptions!$G$11,AP$4)))</f>
        <v/>
      </c>
      <c r="AQ63" s="31" t="str">
        <f>IF(Assumptions!$G$9="General",IFERROR(+(1+Assumptions!$G$10)^(YEARFRAC(Assumptions!$G$11,AQ$4)),""),(1+Assumptions_Detailed!AQ$13)^(YEARFRAC(Assumptions!$G$11,AQ$4)))</f>
        <v/>
      </c>
      <c r="AR63" s="31" t="str">
        <f>IF(Assumptions!$G$9="General",IFERROR(+(1+Assumptions!$G$10)^(YEARFRAC(Assumptions!$G$11,AR$4)),""),(1+Assumptions_Detailed!AR$13)^(YEARFRAC(Assumptions!$G$11,AR$4)))</f>
        <v/>
      </c>
      <c r="AS63" s="31" t="str">
        <f>IF(Assumptions!$G$9="General",IFERROR(+(1+Assumptions!$G$10)^(YEARFRAC(Assumptions!$G$11,AS$4)),""),(1+Assumptions_Detailed!AS$13)^(YEARFRAC(Assumptions!$G$11,AS$4)))</f>
        <v/>
      </c>
      <c r="AT63" s="31" t="str">
        <f>IF(Assumptions!$G$9="General",IFERROR(+(1+Assumptions!$G$10)^(YEARFRAC(Assumptions!$G$11,AT$4)),""),(1+Assumptions_Detailed!AT$13)^(YEARFRAC(Assumptions!$G$11,AT$4)))</f>
        <v/>
      </c>
      <c r="AU63" s="31" t="str">
        <f>IF(Assumptions!$G$9="General",IFERROR(+(1+Assumptions!$G$10)^(YEARFRAC(Assumptions!$G$11,AU$4)),""),(1+Assumptions_Detailed!AU$13)^(YEARFRAC(Assumptions!$G$11,AU$4)))</f>
        <v/>
      </c>
      <c r="AV63" s="31" t="str">
        <f>IF(Assumptions!$G$9="General",IFERROR(+(1+Assumptions!$G$10)^(YEARFRAC(Assumptions!$G$11,AV$4)),""),(1+Assumptions_Detailed!AV$13)^(YEARFRAC(Assumptions!$G$11,AV$4)))</f>
        <v/>
      </c>
      <c r="AW63" s="31" t="str">
        <f>IF(Assumptions!$G$9="General",IFERROR(+(1+Assumptions!$G$10)^(YEARFRAC(Assumptions!$G$11,AW$4)),""),(1+Assumptions_Detailed!AW$13)^(YEARFRAC(Assumptions!$G$11,AW$4)))</f>
        <v/>
      </c>
      <c r="AX63" s="31" t="str">
        <f>IF(Assumptions!$G$9="General",IFERROR(+(1+Assumptions!$G$10)^(YEARFRAC(Assumptions!$G$11,AX$4)),""),(1+Assumptions_Detailed!AX$13)^(YEARFRAC(Assumptions!$G$11,AX$4)))</f>
        <v/>
      </c>
      <c r="AY63" s="31" t="str">
        <f>IF(Assumptions!$G$9="General",IFERROR(+(1+Assumptions!$G$10)^(YEARFRAC(Assumptions!$G$11,AY$4)),""),(1+Assumptions_Detailed!AY$13)^(YEARFRAC(Assumptions!$G$11,AY$4)))</f>
        <v/>
      </c>
      <c r="AZ63" s="31" t="str">
        <f>IF(Assumptions!$G$9="General",IFERROR(+(1+Assumptions!$G$10)^(YEARFRAC(Assumptions!$G$11,AZ$4)),""),(1+Assumptions_Detailed!AZ$13)^(YEARFRAC(Assumptions!$G$11,AZ$4)))</f>
        <v/>
      </c>
      <c r="BA63" s="31" t="str">
        <f>IF(Assumptions!$G$9="General",IFERROR(+(1+Assumptions!$G$10)^(YEARFRAC(Assumptions!$G$11,BA$4)),""),(1+Assumptions_Detailed!BA$13)^(YEARFRAC(Assumptions!$G$11,BA$4)))</f>
        <v/>
      </c>
      <c r="BB63" s="31" t="str">
        <f>IF(Assumptions!$G$9="General",IFERROR(+(1+Assumptions!$G$10)^(YEARFRAC(Assumptions!$G$11,BB$4)),""),(1+Assumptions_Detailed!BB$13)^(YEARFRAC(Assumptions!$G$11,BB$4)))</f>
        <v/>
      </c>
      <c r="BC63" s="31" t="str">
        <f>IF(Assumptions!$G$9="General",IFERROR(+(1+Assumptions!$G$10)^(YEARFRAC(Assumptions!$G$11,BC$4)),""),(1+Assumptions_Detailed!BC$13)^(YEARFRAC(Assumptions!$G$11,BC$4)))</f>
        <v/>
      </c>
      <c r="BD63" s="31" t="str">
        <f>IF(Assumptions!$G$9="General",IFERROR(+(1+Assumptions!$G$10)^(YEARFRAC(Assumptions!$G$11,BD$4)),""),(1+Assumptions_Detailed!BD$13)^(YEARFRAC(Assumptions!$G$11,BD$4)))</f>
        <v/>
      </c>
      <c r="BE63" s="31" t="str">
        <f>IF(Assumptions!$G$9="General",IFERROR(+(1+Assumptions!$G$10)^(YEARFRAC(Assumptions!$G$11,BE$4)),""),(1+Assumptions_Detailed!BE$13)^(YEARFRAC(Assumptions!$G$11,BE$4)))</f>
        <v/>
      </c>
      <c r="BF63" s="31" t="str">
        <f>IF(Assumptions!$G$9="General",IFERROR(+(1+Assumptions!$G$10)^(YEARFRAC(Assumptions!$G$11,BF$4)),""),(1+Assumptions_Detailed!BF$13)^(YEARFRAC(Assumptions!$G$11,BF$4)))</f>
        <v/>
      </c>
      <c r="BG63" s="31" t="str">
        <f>IF(Assumptions!$G$9="General",IFERROR(+(1+Assumptions!$G$10)^(YEARFRAC(Assumptions!$G$11,BG$4)),""),(1+Assumptions_Detailed!BG$13)^(YEARFRAC(Assumptions!$G$11,BG$4)))</f>
        <v/>
      </c>
      <c r="BH63" s="31" t="str">
        <f>IF(Assumptions!$G$9="General",IFERROR(+(1+Assumptions!$G$10)^(YEARFRAC(Assumptions!$G$11,BH$4)),""),(1+Assumptions_Detailed!BH$13)^(YEARFRAC(Assumptions!$G$11,BH$4)))</f>
        <v/>
      </c>
      <c r="BI63" s="31" t="str">
        <f>IF(Assumptions!$G$9="General",IFERROR(+(1+Assumptions!$G$10)^(YEARFRAC(Assumptions!$G$11,BI$4)),""),(1+Assumptions_Detailed!BI$13)^(YEARFRAC(Assumptions!$G$11,BI$4)))</f>
        <v/>
      </c>
      <c r="BJ63" s="31" t="str">
        <f>IF(Assumptions!$G$9="General",IFERROR(+(1+Assumptions!$G$10)^(YEARFRAC(Assumptions!$G$11,BJ$4)),""),(1+Assumptions_Detailed!BJ$13)^(YEARFRAC(Assumptions!$G$11,BJ$4)))</f>
        <v/>
      </c>
      <c r="BK63" s="31" t="str">
        <f>IF(Assumptions!$G$9="General",IFERROR(+(1+Assumptions!$G$10)^(YEARFRAC(Assumptions!$G$11,BK$4)),""),(1+Assumptions_Detailed!BK$13)^(YEARFRAC(Assumptions!$G$11,BK$4)))</f>
        <v/>
      </c>
      <c r="BL63" s="31" t="str">
        <f>IF(Assumptions!$G$9="General",IFERROR(+(1+Assumptions!$G$10)^(YEARFRAC(Assumptions!$G$11,BL$4)),""),(1+Assumptions_Detailed!BL$13)^(YEARFRAC(Assumptions!$G$11,BL$4)))</f>
        <v/>
      </c>
      <c r="BM63" s="31" t="str">
        <f>IF(Assumptions!$G$9="General",IFERROR(+(1+Assumptions!$G$10)^(YEARFRAC(Assumptions!$G$11,BM$4)),""),(1+Assumptions_Detailed!BM$13)^(YEARFRAC(Assumptions!$G$11,BM$4)))</f>
        <v/>
      </c>
      <c r="BN63" s="31" t="str">
        <f>IF(Assumptions!$G$9="General",IFERROR(+(1+Assumptions!$G$10)^(YEARFRAC(Assumptions!$G$11,BN$4)),""),(1+Assumptions_Detailed!BN$13)^(YEARFRAC(Assumptions!$G$11,BN$4)))</f>
        <v/>
      </c>
      <c r="BO63" s="31" t="str">
        <f>IF(Assumptions!$G$9="General",IFERROR(+(1+Assumptions!$G$10)^(YEARFRAC(Assumptions!$G$11,BO$4)),""),(1+Assumptions_Detailed!BO$13)^(YEARFRAC(Assumptions!$G$11,BO$4)))</f>
        <v/>
      </c>
      <c r="BP63" s="31" t="str">
        <f>IF(Assumptions!$G$9="General",IFERROR(+(1+Assumptions!$G$10)^(YEARFRAC(Assumptions!$G$11,BP$4)),""),(1+Assumptions_Detailed!BP$13)^(YEARFRAC(Assumptions!$G$11,BP$4)))</f>
        <v/>
      </c>
      <c r="BQ63" s="31" t="str">
        <f>IF(Assumptions!$G$9="General",IFERROR(+(1+Assumptions!$G$10)^(YEARFRAC(Assumptions!$G$11,BQ$4)),""),(1+Assumptions_Detailed!BQ$13)^(YEARFRAC(Assumptions!$G$11,BQ$4)))</f>
        <v/>
      </c>
      <c r="BR63" s="31" t="str">
        <f>IF(Assumptions!$G$9="General",IFERROR(+(1+Assumptions!$G$10)^(YEARFRAC(Assumptions!$G$11,BR$4)),""),(1+Assumptions_Detailed!BR$13)^(YEARFRAC(Assumptions!$G$11,BR$4)))</f>
        <v/>
      </c>
      <c r="BS63" s="31" t="str">
        <f>IF(Assumptions!$G$9="General",IFERROR(+(1+Assumptions!$G$10)^(YEARFRAC(Assumptions!$G$11,BS$4)),""),(1+Assumptions_Detailed!BS$13)^(YEARFRAC(Assumptions!$G$11,BS$4)))</f>
        <v/>
      </c>
      <c r="BT63" s="31" t="str">
        <f>IF(Assumptions!$G$9="General",IFERROR(+(1+Assumptions!$G$10)^(YEARFRAC(Assumptions!$G$11,BT$4)),""),(1+Assumptions_Detailed!BT$13)^(YEARFRAC(Assumptions!$G$11,BT$4)))</f>
        <v/>
      </c>
      <c r="BU63" s="31" t="str">
        <f>IF(Assumptions!$G$9="General",IFERROR(+(1+Assumptions!$G$10)^(YEARFRAC(Assumptions!$G$11,BU$4)),""),(1+Assumptions_Detailed!BU$13)^(YEARFRAC(Assumptions!$G$11,BU$4)))</f>
        <v/>
      </c>
      <c r="BV63" s="31" t="str">
        <f>IF(Assumptions!$G$9="General",IFERROR(+(1+Assumptions!$G$10)^(YEARFRAC(Assumptions!$G$11,BV$4)),""),(1+Assumptions_Detailed!BV$13)^(YEARFRAC(Assumptions!$G$11,BV$4)))</f>
        <v/>
      </c>
      <c r="BW63" s="31" t="str">
        <f>IF(Assumptions!$G$9="General",IFERROR(+(1+Assumptions!$G$10)^(YEARFRAC(Assumptions!$G$11,BW$4)),""),(1+Assumptions_Detailed!BW$13)^(YEARFRAC(Assumptions!$G$11,BW$4)))</f>
        <v/>
      </c>
      <c r="BX63" s="31" t="str">
        <f>IF(Assumptions!$G$9="General",IFERROR(+(1+Assumptions!$G$10)^(YEARFRAC(Assumptions!$G$11,BX$4)),""),(1+Assumptions_Detailed!BX$13)^(YEARFRAC(Assumptions!$G$11,BX$4)))</f>
        <v/>
      </c>
      <c r="BY63" s="31" t="str">
        <f>IF(Assumptions!$G$9="General",IFERROR(+(1+Assumptions!$G$10)^(YEARFRAC(Assumptions!$G$11,BY$4)),""),(1+Assumptions_Detailed!BY$13)^(YEARFRAC(Assumptions!$G$11,BY$4)))</f>
        <v/>
      </c>
    </row>
    <row r="64" spans="1:77" outlineLevel="1"/>
    <row r="65" spans="2:77" outlineLevel="1">
      <c r="E65" t="s">
        <v>195</v>
      </c>
      <c r="F65" s="23" t="s">
        <v>488</v>
      </c>
      <c r="H65">
        <f>+IF(AND(Assumptions!$G$36&gt;=H$3,Assumptions!$G$36&lt;H$4),1,0)</f>
        <v>1</v>
      </c>
      <c r="I65">
        <f>+IF(AND(Assumptions!$G$36&gt;=I$3,Assumptions!$G$36&lt;I$4),1,0)</f>
        <v>0</v>
      </c>
      <c r="J65">
        <f>+IF(AND(Assumptions!$G$36&gt;=J$3,Assumptions!$G$36&lt;J$4),1,0)</f>
        <v>0</v>
      </c>
      <c r="K65">
        <f>+IF(AND(Assumptions!$G$36&gt;=K$3,Assumptions!$G$36&lt;K$4),1,0)</f>
        <v>0</v>
      </c>
      <c r="L65">
        <f>+IF(AND(Assumptions!$G$36&gt;=L$3,Assumptions!$G$36&lt;L$4),1,0)</f>
        <v>0</v>
      </c>
      <c r="M65">
        <f>+IF(AND(Assumptions!$G$36&gt;=M$3,Assumptions!$G$36&lt;M$4),1,0)</f>
        <v>0</v>
      </c>
      <c r="N65">
        <f>+IF(AND(Assumptions!$G$36&gt;=N$3,Assumptions!$G$36&lt;N$4),1,0)</f>
        <v>0</v>
      </c>
      <c r="O65">
        <f>+IF(AND(Assumptions!$G$36&gt;=O$3,Assumptions!$G$36&lt;O$4),1,0)</f>
        <v>0</v>
      </c>
      <c r="P65">
        <f>+IF(AND(Assumptions!$G$36&gt;=P$3,Assumptions!$G$36&lt;P$4),1,0)</f>
        <v>0</v>
      </c>
      <c r="Q65">
        <f>+IF(AND(Assumptions!$G$36&gt;=Q$3,Assumptions!$G$36&lt;Q$4),1,0)</f>
        <v>0</v>
      </c>
      <c r="R65">
        <f>+IF(AND(Assumptions!$G$36&gt;=R$3,Assumptions!$G$36&lt;R$4),1,0)</f>
        <v>0</v>
      </c>
      <c r="S65">
        <f>+IF(AND(Assumptions!$G$36&gt;=S$3,Assumptions!$G$36&lt;S$4),1,0)</f>
        <v>0</v>
      </c>
      <c r="T65">
        <f>+IF(AND(Assumptions!$G$36&gt;=T$3,Assumptions!$G$36&lt;T$4),1,0)</f>
        <v>0</v>
      </c>
      <c r="U65">
        <f>+IF(AND(Assumptions!$G$36&gt;=U$3,Assumptions!$G$36&lt;U$4),1,0)</f>
        <v>0</v>
      </c>
      <c r="V65">
        <f>+IF(AND(Assumptions!$G$36&gt;=V$3,Assumptions!$G$36&lt;V$4),1,0)</f>
        <v>0</v>
      </c>
      <c r="W65">
        <f>+IF(AND(Assumptions!$G$36&gt;=W$3,Assumptions!$G$36&lt;W$4),1,0)</f>
        <v>0</v>
      </c>
      <c r="X65">
        <f>+IF(AND(Assumptions!$G$36&gt;=X$3,Assumptions!$G$36&lt;X$4),1,0)</f>
        <v>0</v>
      </c>
      <c r="Y65">
        <f>+IF(AND(Assumptions!$G$36&gt;=Y$3,Assumptions!$G$36&lt;Y$4),1,0)</f>
        <v>0</v>
      </c>
      <c r="Z65">
        <f>+IF(AND(Assumptions!$G$36&gt;=Z$3,Assumptions!$G$36&lt;Z$4),1,0)</f>
        <v>0</v>
      </c>
      <c r="AA65">
        <f>+IF(AND(Assumptions!$G$36&gt;=AA$3,Assumptions!$G$36&lt;AA$4),1,0)</f>
        <v>0</v>
      </c>
      <c r="AB65">
        <f>+IF(AND(Assumptions!$G$36&gt;=AB$3,Assumptions!$G$36&lt;AB$4),1,0)</f>
        <v>0</v>
      </c>
      <c r="AC65">
        <f>+IF(AND(Assumptions!$G$36&gt;=AC$3,Assumptions!$G$36&lt;AC$4),1,0)</f>
        <v>0</v>
      </c>
      <c r="AD65">
        <f>+IF(AND(Assumptions!$G$36&gt;=AD$3,Assumptions!$G$36&lt;AD$4),1,0)</f>
        <v>0</v>
      </c>
      <c r="AE65">
        <f>+IF(AND(Assumptions!$G$36&gt;=AE$3,Assumptions!$G$36&lt;AE$4),1,0)</f>
        <v>0</v>
      </c>
      <c r="AF65">
        <f>+IF(AND(Assumptions!$G$36&gt;=AF$3,Assumptions!$G$36&lt;AF$4),1,0)</f>
        <v>0</v>
      </c>
      <c r="AG65">
        <f>+IF(AND(Assumptions!$G$36&gt;=AG$3,Assumptions!$G$36&lt;AG$4),1,0)</f>
        <v>0</v>
      </c>
      <c r="AH65">
        <f>+IF(AND(Assumptions!$G$36&gt;=AH$3,Assumptions!$G$36&lt;AH$4),1,0)</f>
        <v>0</v>
      </c>
      <c r="AI65">
        <f>+IF(AND(Assumptions!$G$36&gt;=AI$3,Assumptions!$G$36&lt;AI$4),1,0)</f>
        <v>0</v>
      </c>
      <c r="AJ65">
        <f>+IF(AND(Assumptions!$G$36&gt;=AJ$3,Assumptions!$G$36&lt;AJ$4),1,0)</f>
        <v>0</v>
      </c>
      <c r="AK65">
        <f>+IF(AND(Assumptions!$G$36&gt;=AK$3,Assumptions!$G$36&lt;AK$4),1,0)</f>
        <v>0</v>
      </c>
      <c r="AL65">
        <f>+IF(AND(Assumptions!$G$36&gt;=AL$3,Assumptions!$G$36&lt;AL$4),1,0)</f>
        <v>0</v>
      </c>
      <c r="AM65">
        <f>+IF(AND(Assumptions!$G$36&gt;=AM$3,Assumptions!$G$36&lt;AM$4),1,0)</f>
        <v>0</v>
      </c>
      <c r="AN65">
        <f>+IF(AND(Assumptions!$G$36&gt;=AN$3,Assumptions!$G$36&lt;AN$4),1,0)</f>
        <v>0</v>
      </c>
      <c r="AO65">
        <f>+IF(AND(Assumptions!$G$36&gt;=AO$3,Assumptions!$G$36&lt;AO$4),1,0)</f>
        <v>0</v>
      </c>
      <c r="AP65">
        <f>+IF(AND(Assumptions!$G$36&gt;=AP$3,Assumptions!$G$36&lt;AP$4),1,0)</f>
        <v>0</v>
      </c>
      <c r="AQ65">
        <f>+IF(AND(Assumptions!$G$36&gt;=AQ$3,Assumptions!$G$36&lt;AQ$4),1,0)</f>
        <v>0</v>
      </c>
      <c r="AR65">
        <f>+IF(AND(Assumptions!$G$36&gt;=AR$3,Assumptions!$G$36&lt;AR$4),1,0)</f>
        <v>0</v>
      </c>
      <c r="AS65">
        <f>+IF(AND(Assumptions!$G$36&gt;=AS$3,Assumptions!$G$36&lt;AS$4),1,0)</f>
        <v>0</v>
      </c>
      <c r="AT65">
        <f>+IF(AND(Assumptions!$G$36&gt;=AT$3,Assumptions!$G$36&lt;AT$4),1,0)</f>
        <v>0</v>
      </c>
      <c r="AU65">
        <f>+IF(AND(Assumptions!$G$36&gt;=AU$3,Assumptions!$G$36&lt;AU$4),1,0)</f>
        <v>0</v>
      </c>
      <c r="AV65">
        <f>+IF(AND(Assumptions!$G$36&gt;=AV$3,Assumptions!$G$36&lt;AV$4),1,0)</f>
        <v>0</v>
      </c>
      <c r="AW65">
        <f>+IF(AND(Assumptions!$G$36&gt;=AW$3,Assumptions!$G$36&lt;AW$4),1,0)</f>
        <v>0</v>
      </c>
      <c r="AX65">
        <f>+IF(AND(Assumptions!$G$36&gt;=AX$3,Assumptions!$G$36&lt;AX$4),1,0)</f>
        <v>0</v>
      </c>
      <c r="AY65">
        <f>+IF(AND(Assumptions!$G$36&gt;=AY$3,Assumptions!$G$36&lt;AY$4),1,0)</f>
        <v>0</v>
      </c>
      <c r="AZ65">
        <f>+IF(AND(Assumptions!$G$36&gt;=AZ$3,Assumptions!$G$36&lt;AZ$4),1,0)</f>
        <v>0</v>
      </c>
      <c r="BA65">
        <f>+IF(AND(Assumptions!$G$36&gt;=BA$3,Assumptions!$G$36&lt;BA$4),1,0)</f>
        <v>0</v>
      </c>
      <c r="BB65">
        <f>+IF(AND(Assumptions!$G$36&gt;=BB$3,Assumptions!$G$36&lt;BB$4),1,0)</f>
        <v>0</v>
      </c>
      <c r="BC65">
        <f>+IF(AND(Assumptions!$G$36&gt;=BC$3,Assumptions!$G$36&lt;BC$4),1,0)</f>
        <v>0</v>
      </c>
      <c r="BD65">
        <f>+IF(AND(Assumptions!$G$36&gt;=BD$3,Assumptions!$G$36&lt;BD$4),1,0)</f>
        <v>0</v>
      </c>
      <c r="BE65">
        <f>+IF(AND(Assumptions!$G$36&gt;=BE$3,Assumptions!$G$36&lt;BE$4),1,0)</f>
        <v>0</v>
      </c>
      <c r="BF65">
        <f>+IF(AND(Assumptions!$G$36&gt;=BF$3,Assumptions!$G$36&lt;BF$4),1,0)</f>
        <v>0</v>
      </c>
      <c r="BG65">
        <f>+IF(AND(Assumptions!$G$36&gt;=BG$3,Assumptions!$G$36&lt;BG$4),1,0)</f>
        <v>0</v>
      </c>
      <c r="BH65">
        <f>+IF(AND(Assumptions!$G$36&gt;=BH$3,Assumptions!$G$36&lt;BH$4),1,0)</f>
        <v>0</v>
      </c>
      <c r="BI65">
        <f>+IF(AND(Assumptions!$G$36&gt;=BI$3,Assumptions!$G$36&lt;BI$4),1,0)</f>
        <v>0</v>
      </c>
      <c r="BJ65">
        <f>+IF(AND(Assumptions!$G$36&gt;=BJ$3,Assumptions!$G$36&lt;BJ$4),1,0)</f>
        <v>0</v>
      </c>
      <c r="BK65">
        <f>+IF(AND(Assumptions!$G$36&gt;=BK$3,Assumptions!$G$36&lt;BK$4),1,0)</f>
        <v>0</v>
      </c>
      <c r="BL65">
        <f>+IF(AND(Assumptions!$G$36&gt;=BL$3,Assumptions!$G$36&lt;BL$4),1,0)</f>
        <v>0</v>
      </c>
      <c r="BM65">
        <f>+IF(AND(Assumptions!$G$36&gt;=BM$3,Assumptions!$G$36&lt;BM$4),1,0)</f>
        <v>0</v>
      </c>
      <c r="BN65">
        <f>+IF(AND(Assumptions!$G$36&gt;=BN$3,Assumptions!$G$36&lt;BN$4),1,0)</f>
        <v>0</v>
      </c>
      <c r="BO65">
        <f>+IF(AND(Assumptions!$G$36&gt;=BO$3,Assumptions!$G$36&lt;BO$4),1,0)</f>
        <v>0</v>
      </c>
      <c r="BP65">
        <f>+IF(AND(Assumptions!$G$36&gt;=BP$3,Assumptions!$G$36&lt;BP$4),1,0)</f>
        <v>0</v>
      </c>
      <c r="BQ65">
        <f>+IF(AND(Assumptions!$G$36&gt;=BQ$3,Assumptions!$G$36&lt;BQ$4),1,0)</f>
        <v>0</v>
      </c>
      <c r="BR65">
        <f>+IF(AND(Assumptions!$G$36&gt;=BR$3,Assumptions!$G$36&lt;BR$4),1,0)</f>
        <v>0</v>
      </c>
      <c r="BS65">
        <f>+IF(AND(Assumptions!$G$36&gt;=BS$3,Assumptions!$G$36&lt;BS$4),1,0)</f>
        <v>0</v>
      </c>
      <c r="BT65">
        <f>+IF(AND(Assumptions!$G$36&gt;=BT$3,Assumptions!$G$36&lt;BT$4),1,0)</f>
        <v>0</v>
      </c>
      <c r="BU65">
        <f>+IF(AND(Assumptions!$G$36&gt;=BU$3,Assumptions!$G$36&lt;BU$4),1,0)</f>
        <v>0</v>
      </c>
      <c r="BV65">
        <f>+IF(AND(Assumptions!$G$36&gt;=BV$3,Assumptions!$G$36&lt;BV$4),1,0)</f>
        <v>0</v>
      </c>
      <c r="BW65">
        <f>+IF(AND(Assumptions!$G$36&gt;=BW$3,Assumptions!$G$36&lt;BW$4),1,0)</f>
        <v>0</v>
      </c>
      <c r="BX65">
        <f>+IF(AND(Assumptions!$G$36&gt;=BX$3,Assumptions!$G$36&lt;BX$4),1,0)</f>
        <v>0</v>
      </c>
      <c r="BY65">
        <f>+IF(AND(Assumptions!$G$36&gt;=BY$3,Assumptions!$G$36&lt;BY$4),1,0)</f>
        <v>0</v>
      </c>
    </row>
    <row r="66" spans="2:77" outlineLevel="1">
      <c r="E66" t="s">
        <v>197</v>
      </c>
      <c r="F66" s="23" t="s">
        <v>488</v>
      </c>
      <c r="H66" s="67">
        <f>+IF(AND(H$3&gt;=Assumptions!$G$36,H$3&lt;Assumptions!$G$38),1,0)</f>
        <v>1</v>
      </c>
      <c r="I66" s="67">
        <f>+IF(AND(I$3&gt;=Assumptions!$G$36,I$3&lt;Assumptions!$G$38),1,0)</f>
        <v>0</v>
      </c>
      <c r="J66" s="67">
        <f>+IF(AND(J$3&gt;=Assumptions!$G$36,J$3&lt;Assumptions!$G$38),1,0)</f>
        <v>0</v>
      </c>
      <c r="K66" s="67">
        <f>+IF(AND(K$3&gt;=Assumptions!$G$36,K$3&lt;Assumptions!$G$38),1,0)</f>
        <v>0</v>
      </c>
      <c r="L66" s="67">
        <f>+IF(AND(L$3&gt;=Assumptions!$G$36,L$3&lt;Assumptions!$G$38),1,0)</f>
        <v>0</v>
      </c>
      <c r="M66" s="67">
        <f>+IF(AND(M$3&gt;=Assumptions!$G$36,M$3&lt;Assumptions!$G$38),1,0)</f>
        <v>0</v>
      </c>
      <c r="N66" s="67">
        <f>+IF(AND(N$3&gt;=Assumptions!$G$36,N$3&lt;Assumptions!$G$38),1,0)</f>
        <v>0</v>
      </c>
      <c r="O66" s="67">
        <f>+IF(AND(O$3&gt;=Assumptions!$G$36,O$3&lt;Assumptions!$G$38),1,0)</f>
        <v>0</v>
      </c>
      <c r="P66" s="67">
        <f>+IF(AND(P$3&gt;=Assumptions!$G$36,P$3&lt;Assumptions!$G$38),1,0)</f>
        <v>0</v>
      </c>
      <c r="Q66" s="67">
        <f>+IF(AND(Q$3&gt;=Assumptions!$G$36,Q$3&lt;Assumptions!$G$38),1,0)</f>
        <v>0</v>
      </c>
      <c r="R66" s="67">
        <f>+IF(AND(R$3&gt;=Assumptions!$G$36,R$3&lt;Assumptions!$G$38),1,0)</f>
        <v>0</v>
      </c>
      <c r="S66" s="67">
        <f>+IF(AND(S$3&gt;=Assumptions!$G$36,S$3&lt;Assumptions!$G$38),1,0)</f>
        <v>0</v>
      </c>
      <c r="T66" s="67">
        <f>+IF(AND(T$3&gt;=Assumptions!$G$36,T$3&lt;Assumptions!$G$38),1,0)</f>
        <v>0</v>
      </c>
      <c r="U66" s="67">
        <f>+IF(AND(U$3&gt;=Assumptions!$G$36,U$3&lt;Assumptions!$G$38),1,0)</f>
        <v>0</v>
      </c>
      <c r="V66" s="67">
        <f>+IF(AND(V$3&gt;=Assumptions!$G$36,V$3&lt;Assumptions!$G$38),1,0)</f>
        <v>0</v>
      </c>
      <c r="W66" s="67">
        <f>+IF(AND(W$3&gt;=Assumptions!$G$36,W$3&lt;Assumptions!$G$38),1,0)</f>
        <v>0</v>
      </c>
      <c r="X66" s="67">
        <f>+IF(AND(X$3&gt;=Assumptions!$G$36,X$3&lt;Assumptions!$G$38),1,0)</f>
        <v>0</v>
      </c>
      <c r="Y66" s="67">
        <f>+IF(AND(Y$3&gt;=Assumptions!$G$36,Y$3&lt;Assumptions!$G$38),1,0)</f>
        <v>0</v>
      </c>
      <c r="Z66" s="67">
        <f>+IF(AND(Z$3&gt;=Assumptions!$G$36,Z$3&lt;Assumptions!$G$38),1,0)</f>
        <v>0</v>
      </c>
      <c r="AA66" s="67">
        <f>+IF(AND(AA$3&gt;=Assumptions!$G$36,AA$3&lt;Assumptions!$G$38),1,0)</f>
        <v>0</v>
      </c>
      <c r="AB66" s="67">
        <f>+IF(AND(AB$3&gt;=Assumptions!$G$36,AB$3&lt;Assumptions!$G$38),1,0)</f>
        <v>0</v>
      </c>
      <c r="AC66" s="67">
        <f>+IF(AND(AC$3&gt;=Assumptions!$G$36,AC$3&lt;Assumptions!$G$38),1,0)</f>
        <v>0</v>
      </c>
      <c r="AD66" s="67">
        <f>+IF(AND(AD$3&gt;=Assumptions!$G$36,AD$3&lt;Assumptions!$G$38),1,0)</f>
        <v>0</v>
      </c>
      <c r="AE66" s="67">
        <f>+IF(AND(AE$3&gt;=Assumptions!$G$36,AE$3&lt;Assumptions!$G$38),1,0)</f>
        <v>0</v>
      </c>
      <c r="AF66" s="67">
        <f>+IF(AND(AF$3&gt;=Assumptions!$G$36,AF$3&lt;Assumptions!$G$38),1,0)</f>
        <v>0</v>
      </c>
      <c r="AG66" s="67">
        <f>+IF(AND(AG$3&gt;=Assumptions!$G$36,AG$3&lt;Assumptions!$G$38),1,0)</f>
        <v>0</v>
      </c>
      <c r="AH66" s="67">
        <f>+IF(AND(AH$3&gt;=Assumptions!$G$36,AH$3&lt;Assumptions!$G$38),1,0)</f>
        <v>0</v>
      </c>
      <c r="AI66" s="67">
        <f>+IF(AND(AI$3&gt;=Assumptions!$G$36,AI$3&lt;Assumptions!$G$38),1,0)</f>
        <v>0</v>
      </c>
      <c r="AJ66" s="67">
        <f>+IF(AND(AJ$3&gt;=Assumptions!$G$36,AJ$3&lt;Assumptions!$G$38),1,0)</f>
        <v>0</v>
      </c>
      <c r="AK66" s="67">
        <f>+IF(AND(AK$3&gt;=Assumptions!$G$36,AK$3&lt;Assumptions!$G$38),1,0)</f>
        <v>0</v>
      </c>
      <c r="AL66" s="67">
        <f>+IF(AND(AL$3&gt;=Assumptions!$G$36,AL$3&lt;Assumptions!$G$38),1,0)</f>
        <v>0</v>
      </c>
      <c r="AM66" s="67">
        <f>+IF(AND(AM$3&gt;=Assumptions!$G$36,AM$3&lt;Assumptions!$G$38),1,0)</f>
        <v>0</v>
      </c>
      <c r="AN66" s="67">
        <f>+IF(AND(AN$3&gt;=Assumptions!$G$36,AN$3&lt;Assumptions!$G$38),1,0)</f>
        <v>0</v>
      </c>
      <c r="AO66" s="67">
        <f>+IF(AND(AO$3&gt;=Assumptions!$G$36,AO$3&lt;Assumptions!$G$38),1,0)</f>
        <v>0</v>
      </c>
      <c r="AP66" s="67">
        <f>+IF(AND(AP$3&gt;=Assumptions!$G$36,AP$3&lt;Assumptions!$G$38),1,0)</f>
        <v>0</v>
      </c>
      <c r="AQ66" s="67">
        <f>+IF(AND(AQ$3&gt;=Assumptions!$G$36,AQ$3&lt;Assumptions!$G$38),1,0)</f>
        <v>0</v>
      </c>
      <c r="AR66" s="67">
        <f>+IF(AND(AR$3&gt;=Assumptions!$G$36,AR$3&lt;Assumptions!$G$38),1,0)</f>
        <v>0</v>
      </c>
      <c r="AS66" s="67">
        <f>+IF(AND(AS$3&gt;=Assumptions!$G$36,AS$3&lt;Assumptions!$G$38),1,0)</f>
        <v>0</v>
      </c>
      <c r="AT66" s="67">
        <f>+IF(AND(AT$3&gt;=Assumptions!$G$36,AT$3&lt;Assumptions!$G$38),1,0)</f>
        <v>0</v>
      </c>
      <c r="AU66" s="67">
        <f>+IF(AND(AU$3&gt;=Assumptions!$G$36,AU$3&lt;Assumptions!$G$38),1,0)</f>
        <v>0</v>
      </c>
      <c r="AV66" s="67">
        <f>+IF(AND(AV$3&gt;=Assumptions!$G$36,AV$3&lt;Assumptions!$G$38),1,0)</f>
        <v>0</v>
      </c>
      <c r="AW66" s="67">
        <f>+IF(AND(AW$3&gt;=Assumptions!$G$36,AW$3&lt;Assumptions!$G$38),1,0)</f>
        <v>0</v>
      </c>
      <c r="AX66" s="67">
        <f>+IF(AND(AX$3&gt;=Assumptions!$G$36,AX$3&lt;Assumptions!$G$38),1,0)</f>
        <v>0</v>
      </c>
      <c r="AY66" s="67">
        <f>+IF(AND(AY$3&gt;=Assumptions!$G$36,AY$3&lt;Assumptions!$G$38),1,0)</f>
        <v>0</v>
      </c>
      <c r="AZ66" s="67">
        <f>+IF(AND(AZ$3&gt;=Assumptions!$G$36,AZ$3&lt;Assumptions!$G$38),1,0)</f>
        <v>0</v>
      </c>
      <c r="BA66" s="67">
        <f>+IF(AND(BA$3&gt;=Assumptions!$G$36,BA$3&lt;Assumptions!$G$38),1,0)</f>
        <v>0</v>
      </c>
      <c r="BB66" s="67">
        <f>+IF(AND(BB$3&gt;=Assumptions!$G$36,BB$3&lt;Assumptions!$G$38),1,0)</f>
        <v>0</v>
      </c>
      <c r="BC66" s="67">
        <f>+IF(AND(BC$3&gt;=Assumptions!$G$36,BC$3&lt;Assumptions!$G$38),1,0)</f>
        <v>0</v>
      </c>
      <c r="BD66" s="67">
        <f>+IF(AND(BD$3&gt;=Assumptions!$G$36,BD$3&lt;Assumptions!$G$38),1,0)</f>
        <v>0</v>
      </c>
      <c r="BE66" s="67">
        <f>+IF(AND(BE$3&gt;=Assumptions!$G$36,BE$3&lt;Assumptions!$G$38),1,0)</f>
        <v>0</v>
      </c>
      <c r="BF66" s="67">
        <f>+IF(AND(BF$3&gt;=Assumptions!$G$36,BF$3&lt;Assumptions!$G$38),1,0)</f>
        <v>0</v>
      </c>
      <c r="BG66" s="67">
        <f>+IF(AND(BG$3&gt;=Assumptions!$G$36,BG$3&lt;Assumptions!$G$38),1,0)</f>
        <v>0</v>
      </c>
      <c r="BH66" s="67">
        <f>+IF(AND(BH$3&gt;=Assumptions!$G$36,BH$3&lt;Assumptions!$G$38),1,0)</f>
        <v>0</v>
      </c>
      <c r="BI66" s="67">
        <f>+IF(AND(BI$3&gt;=Assumptions!$G$36,BI$3&lt;Assumptions!$G$38),1,0)</f>
        <v>0</v>
      </c>
      <c r="BJ66" s="67">
        <f>+IF(AND(BJ$3&gt;=Assumptions!$G$36,BJ$3&lt;Assumptions!$G$38),1,0)</f>
        <v>0</v>
      </c>
      <c r="BK66" s="67">
        <f>+IF(AND(BK$3&gt;=Assumptions!$G$36,BK$3&lt;Assumptions!$G$38),1,0)</f>
        <v>0</v>
      </c>
      <c r="BL66" s="67">
        <f>+IF(AND(BL$3&gt;=Assumptions!$G$36,BL$3&lt;Assumptions!$G$38),1,0)</f>
        <v>0</v>
      </c>
      <c r="BM66" s="67">
        <f>+IF(AND(BM$3&gt;=Assumptions!$G$36,BM$3&lt;Assumptions!$G$38),1,0)</f>
        <v>0</v>
      </c>
      <c r="BN66" s="67">
        <f>+IF(AND(BN$3&gt;=Assumptions!$G$36,BN$3&lt;Assumptions!$G$38),1,0)</f>
        <v>0</v>
      </c>
      <c r="BO66" s="67">
        <f>+IF(AND(BO$3&gt;=Assumptions!$G$36,BO$3&lt;Assumptions!$G$38),1,0)</f>
        <v>0</v>
      </c>
      <c r="BP66" s="67">
        <f>+IF(AND(BP$3&gt;=Assumptions!$G$36,BP$3&lt;Assumptions!$G$38),1,0)</f>
        <v>0</v>
      </c>
      <c r="BQ66" s="67">
        <f>+IF(AND(BQ$3&gt;=Assumptions!$G$36,BQ$3&lt;Assumptions!$G$38),1,0)</f>
        <v>0</v>
      </c>
      <c r="BR66" s="67">
        <f>+IF(AND(BR$3&gt;=Assumptions!$G$36,BR$3&lt;Assumptions!$G$38),1,0)</f>
        <v>0</v>
      </c>
      <c r="BS66" s="67">
        <f>+IF(AND(BS$3&gt;=Assumptions!$G$36,BS$3&lt;Assumptions!$G$38),1,0)</f>
        <v>0</v>
      </c>
      <c r="BT66" s="67">
        <f>+IF(AND(BT$3&gt;=Assumptions!$G$36,BT$3&lt;Assumptions!$G$38),1,0)</f>
        <v>0</v>
      </c>
      <c r="BU66" s="67">
        <f>+IF(AND(BU$3&gt;=Assumptions!$G$36,BU$3&lt;Assumptions!$G$38),1,0)</f>
        <v>0</v>
      </c>
      <c r="BV66" s="67">
        <f>+IF(AND(BV$3&gt;=Assumptions!$G$36,BV$3&lt;Assumptions!$G$38),1,0)</f>
        <v>0</v>
      </c>
      <c r="BW66" s="67">
        <f>+IF(AND(BW$3&gt;=Assumptions!$G$36,BW$3&lt;Assumptions!$G$38),1,0)</f>
        <v>0</v>
      </c>
      <c r="BX66" s="67">
        <f>+IF(AND(BX$3&gt;=Assumptions!$G$36,BX$3&lt;Assumptions!$G$38),1,0)</f>
        <v>0</v>
      </c>
      <c r="BY66" s="67">
        <f>+IF(AND(BY$3&gt;=Assumptions!$G$36,BY$3&lt;Assumptions!$G$38),1,0)</f>
        <v>0</v>
      </c>
    </row>
    <row r="67" spans="2:77" outlineLevel="1">
      <c r="E67" t="s">
        <v>200</v>
      </c>
      <c r="F67" s="23" t="s">
        <v>488</v>
      </c>
      <c r="H67" s="67">
        <f>+IF(AND(H$3&gt;=Assumptions!$G$38,H$3&lt;Assumptions!$G$40),1,0)</f>
        <v>0</v>
      </c>
      <c r="I67" s="67">
        <f>+IF(AND(I$3&gt;=Assumptions!$G$38,I$3&lt;Assumptions!$G$40),1,0)</f>
        <v>1</v>
      </c>
      <c r="J67" s="67">
        <f>+IF(AND(J$3&gt;=Assumptions!$G$38,J$3&lt;Assumptions!$G$40),1,0)</f>
        <v>1</v>
      </c>
      <c r="K67" s="67">
        <f>+IF(AND(K$3&gt;=Assumptions!$G$38,K$3&lt;Assumptions!$G$40),1,0)</f>
        <v>0</v>
      </c>
      <c r="L67" s="67">
        <f>+IF(AND(L$3&gt;=Assumptions!$G$38,L$3&lt;Assumptions!$G$40),1,0)</f>
        <v>0</v>
      </c>
      <c r="M67" s="67">
        <f>+IF(AND(M$3&gt;=Assumptions!$G$38,M$3&lt;Assumptions!$G$40),1,0)</f>
        <v>0</v>
      </c>
      <c r="N67" s="67">
        <f>+IF(AND(N$3&gt;=Assumptions!$G$38,N$3&lt;Assumptions!$G$40),1,0)</f>
        <v>0</v>
      </c>
      <c r="O67" s="67">
        <f>+IF(AND(O$3&gt;=Assumptions!$G$38,O$3&lt;Assumptions!$G$40),1,0)</f>
        <v>0</v>
      </c>
      <c r="P67" s="67">
        <f>+IF(AND(P$3&gt;=Assumptions!$G$38,P$3&lt;Assumptions!$G$40),1,0)</f>
        <v>0</v>
      </c>
      <c r="Q67" s="67">
        <f>+IF(AND(Q$3&gt;=Assumptions!$G$38,Q$3&lt;Assumptions!$G$40),1,0)</f>
        <v>0</v>
      </c>
      <c r="R67" s="67">
        <f>+IF(AND(R$3&gt;=Assumptions!$G$38,R$3&lt;Assumptions!$G$40),1,0)</f>
        <v>0</v>
      </c>
      <c r="S67" s="67">
        <f>+IF(AND(S$3&gt;=Assumptions!$G$38,S$3&lt;Assumptions!$G$40),1,0)</f>
        <v>0</v>
      </c>
      <c r="T67" s="67">
        <f>+IF(AND(T$3&gt;=Assumptions!$G$38,T$3&lt;Assumptions!$G$40),1,0)</f>
        <v>0</v>
      </c>
      <c r="U67" s="67">
        <f>+IF(AND(U$3&gt;=Assumptions!$G$38,U$3&lt;Assumptions!$G$40),1,0)</f>
        <v>0</v>
      </c>
      <c r="V67" s="67">
        <f>+IF(AND(V$3&gt;=Assumptions!$G$38,V$3&lt;Assumptions!$G$40),1,0)</f>
        <v>0</v>
      </c>
      <c r="W67" s="67">
        <f>+IF(AND(W$3&gt;=Assumptions!$G$38,W$3&lt;Assumptions!$G$40),1,0)</f>
        <v>0</v>
      </c>
      <c r="X67" s="67">
        <f>+IF(AND(X$3&gt;=Assumptions!$G$38,X$3&lt;Assumptions!$G$40),1,0)</f>
        <v>0</v>
      </c>
      <c r="Y67" s="67">
        <f>+IF(AND(Y$3&gt;=Assumptions!$G$38,Y$3&lt;Assumptions!$G$40),1,0)</f>
        <v>0</v>
      </c>
      <c r="Z67" s="67">
        <f>+IF(AND(Z$3&gt;=Assumptions!$G$38,Z$3&lt;Assumptions!$G$40),1,0)</f>
        <v>0</v>
      </c>
      <c r="AA67" s="67">
        <f>+IF(AND(AA$3&gt;=Assumptions!$G$38,AA$3&lt;Assumptions!$G$40),1,0)</f>
        <v>0</v>
      </c>
      <c r="AB67" s="67">
        <f>+IF(AND(AB$3&gt;=Assumptions!$G$38,AB$3&lt;Assumptions!$G$40),1,0)</f>
        <v>0</v>
      </c>
      <c r="AC67" s="67">
        <f>+IF(AND(AC$3&gt;=Assumptions!$G$38,AC$3&lt;Assumptions!$G$40),1,0)</f>
        <v>0</v>
      </c>
      <c r="AD67" s="67">
        <f>+IF(AND(AD$3&gt;=Assumptions!$G$38,AD$3&lt;Assumptions!$G$40),1,0)</f>
        <v>0</v>
      </c>
      <c r="AE67" s="67">
        <f>+IF(AND(AE$3&gt;=Assumptions!$G$38,AE$3&lt;Assumptions!$G$40),1,0)</f>
        <v>0</v>
      </c>
      <c r="AF67" s="67">
        <f>+IF(AND(AF$3&gt;=Assumptions!$G$38,AF$3&lt;Assumptions!$G$40),1,0)</f>
        <v>0</v>
      </c>
      <c r="AG67" s="67">
        <f>+IF(AND(AG$3&gt;=Assumptions!$G$38,AG$3&lt;Assumptions!$G$40),1,0)</f>
        <v>0</v>
      </c>
      <c r="AH67" s="67">
        <f>+IF(AND(AH$3&gt;=Assumptions!$G$38,AH$3&lt;Assumptions!$G$40),1,0)</f>
        <v>0</v>
      </c>
      <c r="AI67" s="67">
        <f>+IF(AND(AI$3&gt;=Assumptions!$G$38,AI$3&lt;Assumptions!$G$40),1,0)</f>
        <v>0</v>
      </c>
      <c r="AJ67" s="67">
        <f>+IF(AND(AJ$3&gt;=Assumptions!$G$38,AJ$3&lt;Assumptions!$G$40),1,0)</f>
        <v>0</v>
      </c>
      <c r="AK67" s="67">
        <f>+IF(AND(AK$3&gt;=Assumptions!$G$38,AK$3&lt;Assumptions!$G$40),1,0)</f>
        <v>0</v>
      </c>
      <c r="AL67" s="67">
        <f>+IF(AND(AL$3&gt;=Assumptions!$G$38,AL$3&lt;Assumptions!$G$40),1,0)</f>
        <v>0</v>
      </c>
      <c r="AM67" s="67">
        <f>+IF(AND(AM$3&gt;=Assumptions!$G$38,AM$3&lt;Assumptions!$G$40),1,0)</f>
        <v>0</v>
      </c>
      <c r="AN67" s="67">
        <f>+IF(AND(AN$3&gt;=Assumptions!$G$38,AN$3&lt;Assumptions!$G$40),1,0)</f>
        <v>0</v>
      </c>
      <c r="AO67" s="67">
        <f>+IF(AND(AO$3&gt;=Assumptions!$G$38,AO$3&lt;Assumptions!$G$40),1,0)</f>
        <v>0</v>
      </c>
      <c r="AP67" s="67">
        <f>+IF(AND(AP$3&gt;=Assumptions!$G$38,AP$3&lt;Assumptions!$G$40),1,0)</f>
        <v>0</v>
      </c>
      <c r="AQ67" s="67">
        <f>+IF(AND(AQ$3&gt;=Assumptions!$G$38,AQ$3&lt;Assumptions!$G$40),1,0)</f>
        <v>0</v>
      </c>
      <c r="AR67" s="67">
        <f>+IF(AND(AR$3&gt;=Assumptions!$G$38,AR$3&lt;Assumptions!$G$40),1,0)</f>
        <v>0</v>
      </c>
      <c r="AS67" s="67">
        <f>+IF(AND(AS$3&gt;=Assumptions!$G$38,AS$3&lt;Assumptions!$G$40),1,0)</f>
        <v>0</v>
      </c>
      <c r="AT67" s="67">
        <f>+IF(AND(AT$3&gt;=Assumptions!$G$38,AT$3&lt;Assumptions!$G$40),1,0)</f>
        <v>0</v>
      </c>
      <c r="AU67" s="67">
        <f>+IF(AND(AU$3&gt;=Assumptions!$G$38,AU$3&lt;Assumptions!$G$40),1,0)</f>
        <v>0</v>
      </c>
      <c r="AV67" s="67">
        <f>+IF(AND(AV$3&gt;=Assumptions!$G$38,AV$3&lt;Assumptions!$G$40),1,0)</f>
        <v>0</v>
      </c>
      <c r="AW67" s="67">
        <f>+IF(AND(AW$3&gt;=Assumptions!$G$38,AW$3&lt;Assumptions!$G$40),1,0)</f>
        <v>0</v>
      </c>
      <c r="AX67" s="67">
        <f>+IF(AND(AX$3&gt;=Assumptions!$G$38,AX$3&lt;Assumptions!$G$40),1,0)</f>
        <v>0</v>
      </c>
      <c r="AY67" s="67">
        <f>+IF(AND(AY$3&gt;=Assumptions!$G$38,AY$3&lt;Assumptions!$G$40),1,0)</f>
        <v>0</v>
      </c>
      <c r="AZ67" s="67">
        <f>+IF(AND(AZ$3&gt;=Assumptions!$G$38,AZ$3&lt;Assumptions!$G$40),1,0)</f>
        <v>0</v>
      </c>
      <c r="BA67" s="67">
        <f>+IF(AND(BA$3&gt;=Assumptions!$G$38,BA$3&lt;Assumptions!$G$40),1,0)</f>
        <v>0</v>
      </c>
      <c r="BB67" s="67">
        <f>+IF(AND(BB$3&gt;=Assumptions!$G$38,BB$3&lt;Assumptions!$G$40),1,0)</f>
        <v>0</v>
      </c>
      <c r="BC67" s="67">
        <f>+IF(AND(BC$3&gt;=Assumptions!$G$38,BC$3&lt;Assumptions!$G$40),1,0)</f>
        <v>0</v>
      </c>
      <c r="BD67" s="67">
        <f>+IF(AND(BD$3&gt;=Assumptions!$G$38,BD$3&lt;Assumptions!$G$40),1,0)</f>
        <v>0</v>
      </c>
      <c r="BE67" s="67">
        <f>+IF(AND(BE$3&gt;=Assumptions!$G$38,BE$3&lt;Assumptions!$G$40),1,0)</f>
        <v>0</v>
      </c>
      <c r="BF67" s="67">
        <f>+IF(AND(BF$3&gt;=Assumptions!$G$38,BF$3&lt;Assumptions!$G$40),1,0)</f>
        <v>0</v>
      </c>
      <c r="BG67" s="67">
        <f>+IF(AND(BG$3&gt;=Assumptions!$G$38,BG$3&lt;Assumptions!$G$40),1,0)</f>
        <v>0</v>
      </c>
      <c r="BH67" s="67">
        <f>+IF(AND(BH$3&gt;=Assumptions!$G$38,BH$3&lt;Assumptions!$G$40),1,0)</f>
        <v>0</v>
      </c>
      <c r="BI67" s="67">
        <f>+IF(AND(BI$3&gt;=Assumptions!$G$38,BI$3&lt;Assumptions!$G$40),1,0)</f>
        <v>0</v>
      </c>
      <c r="BJ67" s="67">
        <f>+IF(AND(BJ$3&gt;=Assumptions!$G$38,BJ$3&lt;Assumptions!$G$40),1,0)</f>
        <v>0</v>
      </c>
      <c r="BK67" s="67">
        <f>+IF(AND(BK$3&gt;=Assumptions!$G$38,BK$3&lt;Assumptions!$G$40),1,0)</f>
        <v>0</v>
      </c>
      <c r="BL67" s="67">
        <f>+IF(AND(BL$3&gt;=Assumptions!$G$38,BL$3&lt;Assumptions!$G$40),1,0)</f>
        <v>0</v>
      </c>
      <c r="BM67" s="67">
        <f>+IF(AND(BM$3&gt;=Assumptions!$G$38,BM$3&lt;Assumptions!$G$40),1,0)</f>
        <v>0</v>
      </c>
      <c r="BN67" s="67">
        <f>+IF(AND(BN$3&gt;=Assumptions!$G$38,BN$3&lt;Assumptions!$G$40),1,0)</f>
        <v>0</v>
      </c>
      <c r="BO67" s="67">
        <f>+IF(AND(BO$3&gt;=Assumptions!$G$38,BO$3&lt;Assumptions!$G$40),1,0)</f>
        <v>0</v>
      </c>
      <c r="BP67" s="67">
        <f>+IF(AND(BP$3&gt;=Assumptions!$G$38,BP$3&lt;Assumptions!$G$40),1,0)</f>
        <v>0</v>
      </c>
      <c r="BQ67" s="67">
        <f>+IF(AND(BQ$3&gt;=Assumptions!$G$38,BQ$3&lt;Assumptions!$G$40),1,0)</f>
        <v>0</v>
      </c>
      <c r="BR67" s="67">
        <f>+IF(AND(BR$3&gt;=Assumptions!$G$38,BR$3&lt;Assumptions!$G$40),1,0)</f>
        <v>0</v>
      </c>
      <c r="BS67" s="67">
        <f>+IF(AND(BS$3&gt;=Assumptions!$G$38,BS$3&lt;Assumptions!$G$40),1,0)</f>
        <v>0</v>
      </c>
      <c r="BT67" s="67">
        <f>+IF(AND(BT$3&gt;=Assumptions!$G$38,BT$3&lt;Assumptions!$G$40),1,0)</f>
        <v>0</v>
      </c>
      <c r="BU67" s="67">
        <f>+IF(AND(BU$3&gt;=Assumptions!$G$38,BU$3&lt;Assumptions!$G$40),1,0)</f>
        <v>0</v>
      </c>
      <c r="BV67" s="67">
        <f>+IF(AND(BV$3&gt;=Assumptions!$G$38,BV$3&lt;Assumptions!$G$40),1,0)</f>
        <v>0</v>
      </c>
      <c r="BW67" s="67">
        <f>+IF(AND(BW$3&gt;=Assumptions!$G$38,BW$3&lt;Assumptions!$G$40),1,0)</f>
        <v>0</v>
      </c>
      <c r="BX67" s="67">
        <f>+IF(AND(BX$3&gt;=Assumptions!$G$38,BX$3&lt;Assumptions!$G$40),1,0)</f>
        <v>0</v>
      </c>
      <c r="BY67" s="67">
        <f>+IF(AND(BY$3&gt;=Assumptions!$G$38,BY$3&lt;Assumptions!$G$40),1,0)</f>
        <v>0</v>
      </c>
    </row>
    <row r="68" spans="2:77" outlineLevel="1">
      <c r="E68" t="s">
        <v>202</v>
      </c>
      <c r="F68" s="23" t="s">
        <v>488</v>
      </c>
      <c r="H68">
        <f>+IF(AND(SUM(H67:$BY67)=0,EDATE(Assumptions!$G$36,SUM(Assumptions!$G$37,Assumptions!$G$39,Assumptions!$G$42)*12)&gt;H$3),1,0)</f>
        <v>0</v>
      </c>
      <c r="I68">
        <f>+IF(AND(SUM(I67:$BY67)=0,EDATE(Assumptions!$G$36,SUM(Assumptions!$G$37,Assumptions!$G$39,Assumptions!$G$42)*12)&gt;I$3),1,0)</f>
        <v>0</v>
      </c>
      <c r="J68">
        <f>+IF(AND(SUM(J67:$BY67)=0,EDATE(Assumptions!$G$36,SUM(Assumptions!$G$37,Assumptions!$G$39,Assumptions!$G$42)*12)&gt;J$3),1,0)</f>
        <v>0</v>
      </c>
      <c r="K68">
        <f>+IF(AND(SUM(K67:$BY67)=0,EDATE(Assumptions!$G$36,SUM(Assumptions!$G$37,Assumptions!$G$39,Assumptions!$G$42)*12)&gt;K$3),1,0)</f>
        <v>1</v>
      </c>
      <c r="L68">
        <f>+IF(AND(SUM(L67:$BY67)=0,EDATE(Assumptions!$G$36,SUM(Assumptions!$G$37,Assumptions!$G$39,Assumptions!$G$42)*12)&gt;L$3),1,0)</f>
        <v>1</v>
      </c>
      <c r="M68">
        <f>+IF(AND(SUM(M67:$BY67)=0,EDATE(Assumptions!$G$36,SUM(Assumptions!$G$37,Assumptions!$G$39,Assumptions!$G$42)*12)&gt;M$3),1,0)</f>
        <v>1</v>
      </c>
      <c r="N68">
        <f>+IF(AND(SUM(N67:$BY67)=0,EDATE(Assumptions!$G$36,SUM(Assumptions!$G$37,Assumptions!$G$39,Assumptions!$G$42)*12)&gt;N$3),1,0)</f>
        <v>1</v>
      </c>
      <c r="O68">
        <f>+IF(AND(SUM(O67:$BY67)=0,EDATE(Assumptions!$G$36,SUM(Assumptions!$G$37,Assumptions!$G$39,Assumptions!$G$42)*12)&gt;O$3),1,0)</f>
        <v>1</v>
      </c>
      <c r="P68">
        <f>+IF(AND(SUM(P67:$BY67)=0,EDATE(Assumptions!$G$36,SUM(Assumptions!$G$37,Assumptions!$G$39,Assumptions!$G$42)*12)&gt;P$3),1,0)</f>
        <v>1</v>
      </c>
      <c r="Q68">
        <f>+IF(AND(SUM(Q67:$BY67)=0,EDATE(Assumptions!$G$36,SUM(Assumptions!$G$37,Assumptions!$G$39,Assumptions!$G$42)*12)&gt;Q$3),1,0)</f>
        <v>1</v>
      </c>
      <c r="R68">
        <f>+IF(AND(SUM(R67:$BY67)=0,EDATE(Assumptions!$G$36,SUM(Assumptions!$G$37,Assumptions!$G$39,Assumptions!$G$42)*12)&gt;R$3),1,0)</f>
        <v>1</v>
      </c>
      <c r="S68">
        <f>+IF(AND(SUM(S67:$BY67)=0,EDATE(Assumptions!$G$36,SUM(Assumptions!$G$37,Assumptions!$G$39,Assumptions!$G$42)*12)&gt;S$3),1,0)</f>
        <v>1</v>
      </c>
      <c r="T68">
        <f>+IF(AND(SUM(T67:$BY67)=0,EDATE(Assumptions!$G$36,SUM(Assumptions!$G$37,Assumptions!$G$39,Assumptions!$G$42)*12)&gt;T$3),1,0)</f>
        <v>1</v>
      </c>
      <c r="U68">
        <f>+IF(AND(SUM(U67:$BY67)=0,EDATE(Assumptions!$G$36,SUM(Assumptions!$G$37,Assumptions!$G$39,Assumptions!$G$42)*12)&gt;U$3),1,0)</f>
        <v>1</v>
      </c>
      <c r="V68">
        <f>+IF(AND(SUM(V67:$BY67)=0,EDATE(Assumptions!$G$36,SUM(Assumptions!$G$37,Assumptions!$G$39,Assumptions!$G$42)*12)&gt;V$3),1,0)</f>
        <v>1</v>
      </c>
      <c r="W68">
        <f>+IF(AND(SUM(W67:$BY67)=0,EDATE(Assumptions!$G$36,SUM(Assumptions!$G$37,Assumptions!$G$39,Assumptions!$G$42)*12)&gt;W$3),1,0)</f>
        <v>1</v>
      </c>
      <c r="X68">
        <f>+IF(AND(SUM(X67:$BY67)=0,EDATE(Assumptions!$G$36,SUM(Assumptions!$G$37,Assumptions!$G$39,Assumptions!$G$42)*12)&gt;X$3),1,0)</f>
        <v>1</v>
      </c>
      <c r="Y68">
        <f>+IF(AND(SUM(Y67:$BY67)=0,EDATE(Assumptions!$G$36,SUM(Assumptions!$G$37,Assumptions!$G$39,Assumptions!$G$42)*12)&gt;Y$3),1,0)</f>
        <v>1</v>
      </c>
      <c r="Z68">
        <f>+IF(AND(SUM(Z67:$BY67)=0,EDATE(Assumptions!$G$36,SUM(Assumptions!$G$37,Assumptions!$G$39,Assumptions!$G$42)*12)&gt;Z$3),1,0)</f>
        <v>0</v>
      </c>
      <c r="AA68">
        <f>+IF(AND(SUM(AA67:$BY67)=0,EDATE(Assumptions!$G$36,SUM(Assumptions!$G$37,Assumptions!$G$39,Assumptions!$G$42)*12)&gt;AA$3),1,0)</f>
        <v>0</v>
      </c>
      <c r="AB68">
        <f>+IF(AND(SUM(AB67:$BY67)=0,EDATE(Assumptions!$G$36,SUM(Assumptions!$G$37,Assumptions!$G$39,Assumptions!$G$42)*12)&gt;AB$3),1,0)</f>
        <v>0</v>
      </c>
      <c r="AC68">
        <f>+IF(AND(SUM(AC67:$BY67)=0,EDATE(Assumptions!$G$36,SUM(Assumptions!$G$37,Assumptions!$G$39,Assumptions!$G$42)*12)&gt;AC$3),1,0)</f>
        <v>0</v>
      </c>
      <c r="AD68">
        <f>+IF(AND(SUM(AD67:$BY67)=0,EDATE(Assumptions!$G$36,SUM(Assumptions!$G$37,Assumptions!$G$39,Assumptions!$G$42)*12)&gt;AD$3),1,0)</f>
        <v>0</v>
      </c>
      <c r="AE68">
        <f>+IF(AND(SUM(AE67:$BY67)=0,EDATE(Assumptions!$G$36,SUM(Assumptions!$G$37,Assumptions!$G$39,Assumptions!$G$42)*12)&gt;AE$3),1,0)</f>
        <v>0</v>
      </c>
      <c r="AF68">
        <f>+IF(AND(SUM(AF67:$BY67)=0,EDATE(Assumptions!$G$36,SUM(Assumptions!$G$37,Assumptions!$G$39,Assumptions!$G$42)*12)&gt;AF$3),1,0)</f>
        <v>0</v>
      </c>
      <c r="AG68">
        <f>+IF(AND(SUM(AG67:$BY67)=0,EDATE(Assumptions!$G$36,SUM(Assumptions!$G$37,Assumptions!$G$39,Assumptions!$G$42)*12)&gt;AG$3),1,0)</f>
        <v>0</v>
      </c>
      <c r="AH68">
        <f>+IF(AND(SUM(AH67:$BY67)=0,EDATE(Assumptions!$G$36,SUM(Assumptions!$G$37,Assumptions!$G$39,Assumptions!$G$42)*12)&gt;AH$3),1,0)</f>
        <v>0</v>
      </c>
      <c r="AI68">
        <f>+IF(AND(SUM(AI67:$BY67)=0,EDATE(Assumptions!$G$36,SUM(Assumptions!$G$37,Assumptions!$G$39,Assumptions!$G$42)*12)&gt;AI$3),1,0)</f>
        <v>0</v>
      </c>
      <c r="AJ68">
        <f>+IF(AND(SUM(AJ67:$BY67)=0,EDATE(Assumptions!$G$36,SUM(Assumptions!$G$37,Assumptions!$G$39,Assumptions!$G$42)*12)&gt;AJ$3),1,0)</f>
        <v>0</v>
      </c>
      <c r="AK68">
        <f>+IF(AND(SUM(AK67:$BY67)=0,EDATE(Assumptions!$G$36,SUM(Assumptions!$G$37,Assumptions!$G$39,Assumptions!$G$42)*12)&gt;AK$3),1,0)</f>
        <v>0</v>
      </c>
      <c r="AL68">
        <f>+IF(AND(SUM(AL67:$BY67)=0,EDATE(Assumptions!$G$36,SUM(Assumptions!$G$37,Assumptions!$G$39,Assumptions!$G$42)*12)&gt;AL$3),1,0)</f>
        <v>0</v>
      </c>
      <c r="AM68">
        <f>+IF(AND(SUM(AM67:$BY67)=0,EDATE(Assumptions!$G$36,SUM(Assumptions!$G$37,Assumptions!$G$39,Assumptions!$G$42)*12)&gt;AM$3),1,0)</f>
        <v>0</v>
      </c>
      <c r="AN68">
        <f>+IF(AND(SUM(AN67:$BY67)=0,EDATE(Assumptions!$G$36,SUM(Assumptions!$G$37,Assumptions!$G$39,Assumptions!$G$42)*12)&gt;AN$3),1,0)</f>
        <v>0</v>
      </c>
      <c r="AO68">
        <f>+IF(AND(SUM(AO67:$BY67)=0,EDATE(Assumptions!$G$36,SUM(Assumptions!$G$37,Assumptions!$G$39,Assumptions!$G$42)*12)&gt;AO$3),1,0)</f>
        <v>0</v>
      </c>
      <c r="AP68">
        <f>+IF(AND(SUM(AP67:$BY67)=0,EDATE(Assumptions!$G$36,SUM(Assumptions!$G$37,Assumptions!$G$39,Assumptions!$G$42)*12)&gt;AP$3),1,0)</f>
        <v>0</v>
      </c>
      <c r="AQ68">
        <f>+IF(AND(SUM(AQ67:$BY67)=0,EDATE(Assumptions!$G$36,SUM(Assumptions!$G$37,Assumptions!$G$39,Assumptions!$G$42)*12)&gt;AQ$3),1,0)</f>
        <v>0</v>
      </c>
      <c r="AR68">
        <f>+IF(AND(SUM(AR67:$BY67)=0,EDATE(Assumptions!$G$36,SUM(Assumptions!$G$37,Assumptions!$G$39,Assumptions!$G$42)*12)&gt;AR$3),1,0)</f>
        <v>0</v>
      </c>
      <c r="AS68">
        <f>+IF(AND(SUM(AS67:$BY67)=0,EDATE(Assumptions!$G$36,SUM(Assumptions!$G$37,Assumptions!$G$39,Assumptions!$G$42)*12)&gt;AS$3),1,0)</f>
        <v>0</v>
      </c>
      <c r="AT68">
        <f>+IF(AND(SUM(AT67:$BY67)=0,EDATE(Assumptions!$G$36,SUM(Assumptions!$G$37,Assumptions!$G$39,Assumptions!$G$42)*12)&gt;AT$3),1,0)</f>
        <v>0</v>
      </c>
      <c r="AU68">
        <f>+IF(AND(SUM(AU67:$BY67)=0,EDATE(Assumptions!$G$36,SUM(Assumptions!$G$37,Assumptions!$G$39,Assumptions!$G$42)*12)&gt;AU$3),1,0)</f>
        <v>0</v>
      </c>
      <c r="AV68">
        <f>+IF(AND(SUM(AV67:$BY67)=0,EDATE(Assumptions!$G$36,SUM(Assumptions!$G$37,Assumptions!$G$39,Assumptions!$G$42)*12)&gt;AV$3),1,0)</f>
        <v>0</v>
      </c>
      <c r="AW68">
        <f>+IF(AND(SUM(AW67:$BY67)=0,EDATE(Assumptions!$G$36,SUM(Assumptions!$G$37,Assumptions!$G$39,Assumptions!$G$42)*12)&gt;AW$3),1,0)</f>
        <v>0</v>
      </c>
      <c r="AX68">
        <f>+IF(AND(SUM(AX67:$BY67)=0,EDATE(Assumptions!$G$36,SUM(Assumptions!$G$37,Assumptions!$G$39,Assumptions!$G$42)*12)&gt;AX$3),1,0)</f>
        <v>0</v>
      </c>
      <c r="AY68">
        <f>+IF(AND(SUM(AY67:$BY67)=0,EDATE(Assumptions!$G$36,SUM(Assumptions!$G$37,Assumptions!$G$39,Assumptions!$G$42)*12)&gt;AY$3),1,0)</f>
        <v>0</v>
      </c>
      <c r="AZ68">
        <f>+IF(AND(SUM(AZ67:$BY67)=0,EDATE(Assumptions!$G$36,SUM(Assumptions!$G$37,Assumptions!$G$39,Assumptions!$G$42)*12)&gt;AZ$3),1,0)</f>
        <v>0</v>
      </c>
      <c r="BA68">
        <f>+IF(AND(SUM(BA67:$BY67)=0,EDATE(Assumptions!$G$36,SUM(Assumptions!$G$37,Assumptions!$G$39,Assumptions!$G$42)*12)&gt;BA$3),1,0)</f>
        <v>0</v>
      </c>
      <c r="BB68">
        <f>+IF(AND(SUM(BB67:$BY67)=0,EDATE(Assumptions!$G$36,SUM(Assumptions!$G$37,Assumptions!$G$39,Assumptions!$G$42)*12)&gt;BB$3),1,0)</f>
        <v>0</v>
      </c>
      <c r="BC68">
        <f>+IF(AND(SUM(BC67:$BY67)=0,EDATE(Assumptions!$G$36,SUM(Assumptions!$G$37,Assumptions!$G$39,Assumptions!$G$42)*12)&gt;BC$3),1,0)</f>
        <v>0</v>
      </c>
      <c r="BD68">
        <f>+IF(AND(SUM(BD67:$BY67)=0,EDATE(Assumptions!$G$36,SUM(Assumptions!$G$37,Assumptions!$G$39,Assumptions!$G$42)*12)&gt;BD$3),1,0)</f>
        <v>0</v>
      </c>
      <c r="BE68">
        <f>+IF(AND(SUM(BE67:$BY67)=0,EDATE(Assumptions!$G$36,SUM(Assumptions!$G$37,Assumptions!$G$39,Assumptions!$G$42)*12)&gt;BE$3),1,0)</f>
        <v>0</v>
      </c>
      <c r="BF68">
        <f>+IF(AND(SUM(BF67:$BY67)=0,EDATE(Assumptions!$G$36,SUM(Assumptions!$G$37,Assumptions!$G$39,Assumptions!$G$42)*12)&gt;BF$3),1,0)</f>
        <v>0</v>
      </c>
      <c r="BG68">
        <f>+IF(AND(SUM(BG67:$BY67)=0,EDATE(Assumptions!$G$36,SUM(Assumptions!$G$37,Assumptions!$G$39,Assumptions!$G$42)*12)&gt;BG$3),1,0)</f>
        <v>0</v>
      </c>
      <c r="BH68">
        <f>+IF(AND(SUM(BH67:$BY67)=0,EDATE(Assumptions!$G$36,SUM(Assumptions!$G$37,Assumptions!$G$39,Assumptions!$G$42)*12)&gt;BH$3),1,0)</f>
        <v>0</v>
      </c>
      <c r="BI68">
        <f>+IF(AND(SUM(BI67:$BY67)=0,EDATE(Assumptions!$G$36,SUM(Assumptions!$G$37,Assumptions!$G$39,Assumptions!$G$42)*12)&gt;BI$3),1,0)</f>
        <v>0</v>
      </c>
      <c r="BJ68">
        <f>+IF(AND(SUM(BJ67:$BY67)=0,EDATE(Assumptions!$G$36,SUM(Assumptions!$G$37,Assumptions!$G$39,Assumptions!$G$42)*12)&gt;BJ$3),1,0)</f>
        <v>0</v>
      </c>
      <c r="BK68">
        <f>+IF(AND(SUM(BK67:$BY67)=0,EDATE(Assumptions!$G$36,SUM(Assumptions!$G$37,Assumptions!$G$39,Assumptions!$G$42)*12)&gt;BK$3),1,0)</f>
        <v>0</v>
      </c>
      <c r="BL68">
        <f>+IF(AND(SUM(BL67:$BY67)=0,EDATE(Assumptions!$G$36,SUM(Assumptions!$G$37,Assumptions!$G$39,Assumptions!$G$42)*12)&gt;BL$3),1,0)</f>
        <v>0</v>
      </c>
      <c r="BM68">
        <f>+IF(AND(SUM(BM67:$BY67)=0,EDATE(Assumptions!$G$36,SUM(Assumptions!$G$37,Assumptions!$G$39,Assumptions!$G$42)*12)&gt;BM$3),1,0)</f>
        <v>0</v>
      </c>
      <c r="BN68">
        <f>+IF(AND(SUM(BN67:$BY67)=0,EDATE(Assumptions!$G$36,SUM(Assumptions!$G$37,Assumptions!$G$39,Assumptions!$G$42)*12)&gt;BN$3),1,0)</f>
        <v>0</v>
      </c>
      <c r="BO68">
        <f>+IF(AND(SUM(BO67:$BY67)=0,EDATE(Assumptions!$G$36,SUM(Assumptions!$G$37,Assumptions!$G$39,Assumptions!$G$42)*12)&gt;BO$3),1,0)</f>
        <v>0</v>
      </c>
      <c r="BP68">
        <f>+IF(AND(SUM(BP67:$BY67)=0,EDATE(Assumptions!$G$36,SUM(Assumptions!$G$37,Assumptions!$G$39,Assumptions!$G$42)*12)&gt;BP$3),1,0)</f>
        <v>0</v>
      </c>
      <c r="BQ68">
        <f>+IF(AND(SUM(BQ67:$BY67)=0,EDATE(Assumptions!$G$36,SUM(Assumptions!$G$37,Assumptions!$G$39,Assumptions!$G$42)*12)&gt;BQ$3),1,0)</f>
        <v>0</v>
      </c>
      <c r="BR68">
        <f>+IF(AND(SUM(BR67:$BY67)=0,EDATE(Assumptions!$G$36,SUM(Assumptions!$G$37,Assumptions!$G$39,Assumptions!$G$42)*12)&gt;BR$3),1,0)</f>
        <v>0</v>
      </c>
      <c r="BS68">
        <f>+IF(AND(SUM(BS67:$BY67)=0,EDATE(Assumptions!$G$36,SUM(Assumptions!$G$37,Assumptions!$G$39,Assumptions!$G$42)*12)&gt;BS$3),1,0)</f>
        <v>0</v>
      </c>
      <c r="BT68">
        <f>+IF(AND(SUM(BT67:$BY67)=0,EDATE(Assumptions!$G$36,SUM(Assumptions!$G$37,Assumptions!$G$39,Assumptions!$G$42)*12)&gt;BT$3),1,0)</f>
        <v>0</v>
      </c>
      <c r="BU68">
        <f>+IF(AND(SUM(BU67:$BY67)=0,EDATE(Assumptions!$G$36,SUM(Assumptions!$G$37,Assumptions!$G$39,Assumptions!$G$42)*12)&gt;BU$3),1,0)</f>
        <v>0</v>
      </c>
      <c r="BV68">
        <f>+IF(AND(SUM(BV67:$BY67)=0,EDATE(Assumptions!$G$36,SUM(Assumptions!$G$37,Assumptions!$G$39,Assumptions!$G$42)*12)&gt;BV$3),1,0)</f>
        <v>0</v>
      </c>
      <c r="BW68">
        <f>+IF(AND(SUM(BW67:$BY67)=0,EDATE(Assumptions!$G$36,SUM(Assumptions!$G$37,Assumptions!$G$39,Assumptions!$G$42)*12)&gt;BW$3),1,0)</f>
        <v>0</v>
      </c>
      <c r="BX68">
        <f>+IF(AND(SUM(BX67:$BY67)=0,EDATE(Assumptions!$G$36,SUM(Assumptions!$G$37,Assumptions!$G$39,Assumptions!$G$42)*12)&gt;BX$3),1,0)</f>
        <v>0</v>
      </c>
      <c r="BY68">
        <f>+IF(AND(SUM(BY67:$BY67)=0,EDATE(Assumptions!$G$36,SUM(Assumptions!$G$37,Assumptions!$G$39,Assumptions!$G$42)*12)&gt;BY$3),1,0)</f>
        <v>0</v>
      </c>
    </row>
    <row r="69" spans="2:77" outlineLevel="1">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row>
    <row r="70" spans="2:77" s="19" customFormat="1" ht="12.75" outlineLevel="1">
      <c r="B70" s="18" t="s">
        <v>189</v>
      </c>
    </row>
    <row r="71" spans="2:77" outlineLevel="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row>
    <row r="72" spans="2:77" ht="15" outlineLevel="1">
      <c r="C72" s="74" t="s">
        <v>489</v>
      </c>
      <c r="E72" s="22" t="s">
        <v>446</v>
      </c>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row>
    <row r="73" spans="2:77" outlineLevel="1">
      <c r="C73" s="76">
        <f>+SUM(H74:BY74)</f>
        <v>0</v>
      </c>
      <c r="E73" t="s">
        <v>197</v>
      </c>
      <c r="F73" s="80" t="str">
        <f>+Assumptions!$G$8</f>
        <v>USD</v>
      </c>
      <c r="H73" s="33">
        <f>IFERROR((1+Sensitivity_tables!$N$13)*IF(Assumptions!$G$34="Purchased",0,+IF(AND(H66=1,Assumptions!$G$45="Yes",Assumptions!$G$46="Detailed"),-Assumptions_Detailed!H$19,IF(H66=1,-Assumptions!$G$48/SUM($H$66:$BY$66)*H63,0))),0)</f>
        <v>0</v>
      </c>
      <c r="I73" s="33">
        <f>IFERROR((1+Sensitivity_tables!$N$13)*IF(Assumptions!$G$34="Purchased",0,+IF(AND(I66=1,Assumptions!$G$45="Yes",Assumptions!$G$46="Detailed"),-Assumptions_Detailed!I$19,IF(I66=1,-Assumptions!$G$48/SUM($H$66:$BY$66)*I63,0))),0)</f>
        <v>0</v>
      </c>
      <c r="J73" s="33">
        <f>IFERROR((1+Sensitivity_tables!$N$13)*IF(Assumptions!$G$34="Purchased",0,+IF(AND(J66=1,Assumptions!$G$45="Yes",Assumptions!$G$46="Detailed"),-Assumptions_Detailed!J$19,IF(J66=1,-Assumptions!$G$48/SUM($H$66:$BY$66)*J63,0))),0)</f>
        <v>0</v>
      </c>
      <c r="K73" s="33">
        <f>IFERROR((1+Sensitivity_tables!$N$13)*IF(Assumptions!$G$34="Purchased",0,+IF(AND(K66=1,Assumptions!$G$45="Yes",Assumptions!$G$46="Detailed"),-Assumptions_Detailed!K$19,IF(K66=1,-Assumptions!$G$48/SUM($H$66:$BY$66)*K63,0))),0)</f>
        <v>0</v>
      </c>
      <c r="L73" s="33">
        <f>IFERROR((1+Sensitivity_tables!$N$13)*IF(Assumptions!$G$34="Purchased",0,+IF(AND(L66=1,Assumptions!$G$45="Yes",Assumptions!$G$46="Detailed"),-Assumptions_Detailed!L$19,IF(L66=1,-Assumptions!$G$48/SUM($H$66:$BY$66)*L63,0))),0)</f>
        <v>0</v>
      </c>
      <c r="M73" s="33">
        <f>IFERROR((1+Sensitivity_tables!$N$13)*IF(Assumptions!$G$34="Purchased",0,+IF(AND(M66=1,Assumptions!$G$45="Yes",Assumptions!$G$46="Detailed"),-Assumptions_Detailed!M$19,IF(M66=1,-Assumptions!$G$48/SUM($H$66:$BY$66)*M63,0))),0)</f>
        <v>0</v>
      </c>
      <c r="N73" s="33">
        <f>IFERROR((1+Sensitivity_tables!$N$13)*IF(Assumptions!$G$34="Purchased",0,+IF(AND(N66=1,Assumptions!$G$45="Yes",Assumptions!$G$46="Detailed"),-Assumptions_Detailed!N$19,IF(N66=1,-Assumptions!$G$48/SUM($H$66:$BY$66)*N63,0))),0)</f>
        <v>0</v>
      </c>
      <c r="O73" s="33">
        <f>IFERROR((1+Sensitivity_tables!$N$13)*IF(Assumptions!$G$34="Purchased",0,+IF(AND(O66=1,Assumptions!$G$45="Yes",Assumptions!$G$46="Detailed"),-Assumptions_Detailed!O$19,IF(O66=1,-Assumptions!$G$48/SUM($H$66:$BY$66)*O63,0))),0)</f>
        <v>0</v>
      </c>
      <c r="P73" s="33">
        <f>IFERROR((1+Sensitivity_tables!$N$13)*IF(Assumptions!$G$34="Purchased",0,+IF(AND(P66=1,Assumptions!$G$45="Yes",Assumptions!$G$46="Detailed"),-Assumptions_Detailed!P$19,IF(P66=1,-Assumptions!$G$48/SUM($H$66:$BY$66)*P63,0))),0)</f>
        <v>0</v>
      </c>
      <c r="Q73" s="33">
        <f>IFERROR((1+Sensitivity_tables!$N$13)*IF(Assumptions!$G$34="Purchased",0,+IF(AND(Q66=1,Assumptions!$G$45="Yes",Assumptions!$G$46="Detailed"),-Assumptions_Detailed!Q$19,IF(Q66=1,-Assumptions!$G$48/SUM($H$66:$BY$66)*Q63,0))),0)</f>
        <v>0</v>
      </c>
      <c r="R73" s="33">
        <f>IFERROR((1+Sensitivity_tables!$N$13)*IF(Assumptions!$G$34="Purchased",0,+IF(AND(R66=1,Assumptions!$G$45="Yes",Assumptions!$G$46="Detailed"),-Assumptions_Detailed!R$19,IF(R66=1,-Assumptions!$G$48/SUM($H$66:$BY$66)*R63,0))),0)</f>
        <v>0</v>
      </c>
      <c r="S73" s="33">
        <f>IFERROR((1+Sensitivity_tables!$N$13)*IF(Assumptions!$G$34="Purchased",0,+IF(AND(S66=1,Assumptions!$G$45="Yes",Assumptions!$G$46="Detailed"),-Assumptions_Detailed!S$19,IF(S66=1,-Assumptions!$G$48/SUM($H$66:$BY$66)*S63,0))),0)</f>
        <v>0</v>
      </c>
      <c r="T73" s="33">
        <f>IFERROR((1+Sensitivity_tables!$N$13)*IF(Assumptions!$G$34="Purchased",0,+IF(AND(T66=1,Assumptions!$G$45="Yes",Assumptions!$G$46="Detailed"),-Assumptions_Detailed!T$19,IF(T66=1,-Assumptions!$G$48/SUM($H$66:$BY$66)*T63,0))),0)</f>
        <v>0</v>
      </c>
      <c r="U73" s="33">
        <f>IFERROR((1+Sensitivity_tables!$N$13)*IF(Assumptions!$G$34="Purchased",0,+IF(AND(U66=1,Assumptions!$G$45="Yes",Assumptions!$G$46="Detailed"),-Assumptions_Detailed!U$19,IF(U66=1,-Assumptions!$G$48/SUM($H$66:$BY$66)*U63,0))),0)</f>
        <v>0</v>
      </c>
      <c r="V73" s="33">
        <f>IFERROR((1+Sensitivity_tables!$N$13)*IF(Assumptions!$G$34="Purchased",0,+IF(AND(V66=1,Assumptions!$G$45="Yes",Assumptions!$G$46="Detailed"),-Assumptions_Detailed!V$19,IF(V66=1,-Assumptions!$G$48/SUM($H$66:$BY$66)*V63,0))),0)</f>
        <v>0</v>
      </c>
      <c r="W73" s="33">
        <f>IFERROR((1+Sensitivity_tables!$N$13)*IF(Assumptions!$G$34="Purchased",0,+IF(AND(W66=1,Assumptions!$G$45="Yes",Assumptions!$G$46="Detailed"),-Assumptions_Detailed!W$19,IF(W66=1,-Assumptions!$G$48/SUM($H$66:$BY$66)*W63,0))),0)</f>
        <v>0</v>
      </c>
      <c r="X73" s="33">
        <f>IFERROR((1+Sensitivity_tables!$N$13)*IF(Assumptions!$G$34="Purchased",0,+IF(AND(X66=1,Assumptions!$G$45="Yes",Assumptions!$G$46="Detailed"),-Assumptions_Detailed!X$19,IF(X66=1,-Assumptions!$G$48/SUM($H$66:$BY$66)*X63,0))),0)</f>
        <v>0</v>
      </c>
      <c r="Y73" s="33">
        <f>IFERROR((1+Sensitivity_tables!$N$13)*IF(Assumptions!$G$34="Purchased",0,+IF(AND(Y66=1,Assumptions!$G$45="Yes",Assumptions!$G$46="Detailed"),-Assumptions_Detailed!Y$19,IF(Y66=1,-Assumptions!$G$48/SUM($H$66:$BY$66)*Y63,0))),0)</f>
        <v>0</v>
      </c>
      <c r="Z73" s="33">
        <f>IFERROR((1+Sensitivity_tables!$N$13)*IF(Assumptions!$G$34="Purchased",0,+IF(AND(Z66=1,Assumptions!$G$45="Yes",Assumptions!$G$46="Detailed"),-Assumptions_Detailed!Z$19,IF(Z66=1,-Assumptions!$G$48/SUM($H$66:$BY$66)*Z63,0))),0)</f>
        <v>0</v>
      </c>
      <c r="AA73" s="33">
        <f>IFERROR((1+Sensitivity_tables!$N$13)*IF(Assumptions!$G$34="Purchased",0,+IF(AND(AA66=1,Assumptions!$G$45="Yes",Assumptions!$G$46="Detailed"),-Assumptions_Detailed!AA$19,IF(AA66=1,-Assumptions!$G$48/SUM($H$66:$BY$66)*AA63,0))),0)</f>
        <v>0</v>
      </c>
      <c r="AB73" s="33">
        <f>IFERROR((1+Sensitivity_tables!$N$13)*IF(Assumptions!$G$34="Purchased",0,+IF(AND(AB66=1,Assumptions!$G$45="Yes",Assumptions!$G$46="Detailed"),-Assumptions_Detailed!AB$19,IF(AB66=1,-Assumptions!$G$48/SUM($H$66:$BY$66)*AB63,0))),0)</f>
        <v>0</v>
      </c>
      <c r="AC73" s="33">
        <f>IFERROR((1+Sensitivity_tables!$N$13)*IF(Assumptions!$G$34="Purchased",0,+IF(AND(AC66=1,Assumptions!$G$45="Yes",Assumptions!$G$46="Detailed"),-Assumptions_Detailed!AC$19,IF(AC66=1,-Assumptions!$G$48/SUM($H$66:$BY$66)*AC63,0))),0)</f>
        <v>0</v>
      </c>
      <c r="AD73" s="33">
        <f>IFERROR((1+Sensitivity_tables!$N$13)*IF(Assumptions!$G$34="Purchased",0,+IF(AND(AD66=1,Assumptions!$G$45="Yes",Assumptions!$G$46="Detailed"),-Assumptions_Detailed!AD$19,IF(AD66=1,-Assumptions!$G$48/SUM($H$66:$BY$66)*AD63,0))),0)</f>
        <v>0</v>
      </c>
      <c r="AE73" s="33">
        <f>IFERROR((1+Sensitivity_tables!$N$13)*IF(Assumptions!$G$34="Purchased",0,+IF(AND(AE66=1,Assumptions!$G$45="Yes",Assumptions!$G$46="Detailed"),-Assumptions_Detailed!AE$19,IF(AE66=1,-Assumptions!$G$48/SUM($H$66:$BY$66)*AE63,0))),0)</f>
        <v>0</v>
      </c>
      <c r="AF73" s="33">
        <f>IFERROR((1+Sensitivity_tables!$N$13)*IF(Assumptions!$G$34="Purchased",0,+IF(AND(AF66=1,Assumptions!$G$45="Yes",Assumptions!$G$46="Detailed"),-Assumptions_Detailed!AF$19,IF(AF66=1,-Assumptions!$G$48/SUM($H$66:$BY$66)*AF63,0))),0)</f>
        <v>0</v>
      </c>
      <c r="AG73" s="33">
        <f>IFERROR((1+Sensitivity_tables!$N$13)*IF(Assumptions!$G$34="Purchased",0,+IF(AND(AG66=1,Assumptions!$G$45="Yes",Assumptions!$G$46="Detailed"),-Assumptions_Detailed!AG$19,IF(AG66=1,-Assumptions!$G$48/SUM($H$66:$BY$66)*AG63,0))),0)</f>
        <v>0</v>
      </c>
      <c r="AH73" s="33">
        <f>IFERROR((1+Sensitivity_tables!$N$13)*IF(Assumptions!$G$34="Purchased",0,+IF(AND(AH66=1,Assumptions!$G$45="Yes",Assumptions!$G$46="Detailed"),-Assumptions_Detailed!AH$19,IF(AH66=1,-Assumptions!$G$48/SUM($H$66:$BY$66)*AH63,0))),0)</f>
        <v>0</v>
      </c>
      <c r="AI73" s="33">
        <f>IFERROR((1+Sensitivity_tables!$N$13)*IF(Assumptions!$G$34="Purchased",0,+IF(AND(AI66=1,Assumptions!$G$45="Yes",Assumptions!$G$46="Detailed"),-Assumptions_Detailed!AI$19,IF(AI66=1,-Assumptions!$G$48/SUM($H$66:$BY$66)*AI63,0))),0)</f>
        <v>0</v>
      </c>
      <c r="AJ73" s="33">
        <f>IFERROR((1+Sensitivity_tables!$N$13)*IF(Assumptions!$G$34="Purchased",0,+IF(AND(AJ66=1,Assumptions!$G$45="Yes",Assumptions!$G$46="Detailed"),-Assumptions_Detailed!AJ$19,IF(AJ66=1,-Assumptions!$G$48/SUM($H$66:$BY$66)*AJ63,0))),0)</f>
        <v>0</v>
      </c>
      <c r="AK73" s="33">
        <f>IFERROR((1+Sensitivity_tables!$N$13)*IF(Assumptions!$G$34="Purchased",0,+IF(AND(AK66=1,Assumptions!$G$45="Yes",Assumptions!$G$46="Detailed"),-Assumptions_Detailed!AK$19,IF(AK66=1,-Assumptions!$G$48/SUM($H$66:$BY$66)*AK63,0))),0)</f>
        <v>0</v>
      </c>
      <c r="AL73" s="33">
        <f>IFERROR((1+Sensitivity_tables!$N$13)*IF(Assumptions!$G$34="Purchased",0,+IF(AND(AL66=1,Assumptions!$G$45="Yes",Assumptions!$G$46="Detailed"),-Assumptions_Detailed!AL$19,IF(AL66=1,-Assumptions!$G$48/SUM($H$66:$BY$66)*AL63,0))),0)</f>
        <v>0</v>
      </c>
      <c r="AM73" s="33">
        <f>IFERROR((1+Sensitivity_tables!$N$13)*IF(Assumptions!$G$34="Purchased",0,+IF(AND(AM66=1,Assumptions!$G$45="Yes",Assumptions!$G$46="Detailed"),-Assumptions_Detailed!AM$19,IF(AM66=1,-Assumptions!$G$48/SUM($H$66:$BY$66)*AM63,0))),0)</f>
        <v>0</v>
      </c>
      <c r="AN73" s="33">
        <f>IFERROR((1+Sensitivity_tables!$N$13)*IF(Assumptions!$G$34="Purchased",0,+IF(AND(AN66=1,Assumptions!$G$45="Yes",Assumptions!$G$46="Detailed"),-Assumptions_Detailed!AN$19,IF(AN66=1,-Assumptions!$G$48/SUM($H$66:$BY$66)*AN63,0))),0)</f>
        <v>0</v>
      </c>
      <c r="AO73" s="33">
        <f>IFERROR((1+Sensitivity_tables!$N$13)*IF(Assumptions!$G$34="Purchased",0,+IF(AND(AO66=1,Assumptions!$G$45="Yes",Assumptions!$G$46="Detailed"),-Assumptions_Detailed!AO$19,IF(AO66=1,-Assumptions!$G$48/SUM($H$66:$BY$66)*AO63,0))),0)</f>
        <v>0</v>
      </c>
      <c r="AP73" s="33">
        <f>IFERROR((1+Sensitivity_tables!$N$13)*IF(Assumptions!$G$34="Purchased",0,+IF(AND(AP66=1,Assumptions!$G$45="Yes",Assumptions!$G$46="Detailed"),-Assumptions_Detailed!AP$19,IF(AP66=1,-Assumptions!$G$48/SUM($H$66:$BY$66)*AP63,0))),0)</f>
        <v>0</v>
      </c>
      <c r="AQ73" s="33">
        <f>IFERROR((1+Sensitivity_tables!$N$13)*IF(Assumptions!$G$34="Purchased",0,+IF(AND(AQ66=1,Assumptions!$G$45="Yes",Assumptions!$G$46="Detailed"),-Assumptions_Detailed!AQ$19,IF(AQ66=1,-Assumptions!$G$48/SUM($H$66:$BY$66)*AQ63,0))),0)</f>
        <v>0</v>
      </c>
      <c r="AR73" s="33">
        <f>IFERROR((1+Sensitivity_tables!$N$13)*IF(Assumptions!$G$34="Purchased",0,+IF(AND(AR66=1,Assumptions!$G$45="Yes",Assumptions!$G$46="Detailed"),-Assumptions_Detailed!AR$19,IF(AR66=1,-Assumptions!$G$48/SUM($H$66:$BY$66)*AR63,0))),0)</f>
        <v>0</v>
      </c>
      <c r="AS73" s="33">
        <f>IFERROR((1+Sensitivity_tables!$N$13)*IF(Assumptions!$G$34="Purchased",0,+IF(AND(AS66=1,Assumptions!$G$45="Yes",Assumptions!$G$46="Detailed"),-Assumptions_Detailed!AS$19,IF(AS66=1,-Assumptions!$G$48/SUM($H$66:$BY$66)*AS63,0))),0)</f>
        <v>0</v>
      </c>
      <c r="AT73" s="33">
        <f>IFERROR((1+Sensitivity_tables!$N$13)*IF(Assumptions!$G$34="Purchased",0,+IF(AND(AT66=1,Assumptions!$G$45="Yes",Assumptions!$G$46="Detailed"),-Assumptions_Detailed!AT$19,IF(AT66=1,-Assumptions!$G$48/SUM($H$66:$BY$66)*AT63,0))),0)</f>
        <v>0</v>
      </c>
      <c r="AU73" s="33">
        <f>IFERROR((1+Sensitivity_tables!$N$13)*IF(Assumptions!$G$34="Purchased",0,+IF(AND(AU66=1,Assumptions!$G$45="Yes",Assumptions!$G$46="Detailed"),-Assumptions_Detailed!AU$19,IF(AU66=1,-Assumptions!$G$48/SUM($H$66:$BY$66)*AU63,0))),0)</f>
        <v>0</v>
      </c>
      <c r="AV73" s="33">
        <f>IFERROR((1+Sensitivity_tables!$N$13)*IF(Assumptions!$G$34="Purchased",0,+IF(AND(AV66=1,Assumptions!$G$45="Yes",Assumptions!$G$46="Detailed"),-Assumptions_Detailed!AV$19,IF(AV66=1,-Assumptions!$G$48/SUM($H$66:$BY$66)*AV63,0))),0)</f>
        <v>0</v>
      </c>
      <c r="AW73" s="33">
        <f>IFERROR((1+Sensitivity_tables!$N$13)*IF(Assumptions!$G$34="Purchased",0,+IF(AND(AW66=1,Assumptions!$G$45="Yes",Assumptions!$G$46="Detailed"),-Assumptions_Detailed!AW$19,IF(AW66=1,-Assumptions!$G$48/SUM($H$66:$BY$66)*AW63,0))),0)</f>
        <v>0</v>
      </c>
      <c r="AX73" s="33">
        <f>IFERROR((1+Sensitivity_tables!$N$13)*IF(Assumptions!$G$34="Purchased",0,+IF(AND(AX66=1,Assumptions!$G$45="Yes",Assumptions!$G$46="Detailed"),-Assumptions_Detailed!AX$19,IF(AX66=1,-Assumptions!$G$48/SUM($H$66:$BY$66)*AX63,0))),0)</f>
        <v>0</v>
      </c>
      <c r="AY73" s="33">
        <f>IFERROR((1+Sensitivity_tables!$N$13)*IF(Assumptions!$G$34="Purchased",0,+IF(AND(AY66=1,Assumptions!$G$45="Yes",Assumptions!$G$46="Detailed"),-Assumptions_Detailed!AY$19,IF(AY66=1,-Assumptions!$G$48/SUM($H$66:$BY$66)*AY63,0))),0)</f>
        <v>0</v>
      </c>
      <c r="AZ73" s="33">
        <f>IFERROR((1+Sensitivity_tables!$N$13)*IF(Assumptions!$G$34="Purchased",0,+IF(AND(AZ66=1,Assumptions!$G$45="Yes",Assumptions!$G$46="Detailed"),-Assumptions_Detailed!AZ$19,IF(AZ66=1,-Assumptions!$G$48/SUM($H$66:$BY$66)*AZ63,0))),0)</f>
        <v>0</v>
      </c>
      <c r="BA73" s="33">
        <f>IFERROR((1+Sensitivity_tables!$N$13)*IF(Assumptions!$G$34="Purchased",0,+IF(AND(BA66=1,Assumptions!$G$45="Yes",Assumptions!$G$46="Detailed"),-Assumptions_Detailed!BA$19,IF(BA66=1,-Assumptions!$G$48/SUM($H$66:$BY$66)*BA63,0))),0)</f>
        <v>0</v>
      </c>
      <c r="BB73" s="33">
        <f>IFERROR((1+Sensitivity_tables!$N$13)*IF(Assumptions!$G$34="Purchased",0,+IF(AND(BB66=1,Assumptions!$G$45="Yes",Assumptions!$G$46="Detailed"),-Assumptions_Detailed!BB$19,IF(BB66=1,-Assumptions!$G$48/SUM($H$66:$BY$66)*BB63,0))),0)</f>
        <v>0</v>
      </c>
      <c r="BC73" s="33">
        <f>IFERROR((1+Sensitivity_tables!$N$13)*IF(Assumptions!$G$34="Purchased",0,+IF(AND(BC66=1,Assumptions!$G$45="Yes",Assumptions!$G$46="Detailed"),-Assumptions_Detailed!BC$19,IF(BC66=1,-Assumptions!$G$48/SUM($H$66:$BY$66)*BC63,0))),0)</f>
        <v>0</v>
      </c>
      <c r="BD73" s="33">
        <f>IFERROR((1+Sensitivity_tables!$N$13)*IF(Assumptions!$G$34="Purchased",0,+IF(AND(BD66=1,Assumptions!$G$45="Yes",Assumptions!$G$46="Detailed"),-Assumptions_Detailed!BD$19,IF(BD66=1,-Assumptions!$G$48/SUM($H$66:$BY$66)*BD63,0))),0)</f>
        <v>0</v>
      </c>
      <c r="BE73" s="33">
        <f>IFERROR((1+Sensitivity_tables!$N$13)*IF(Assumptions!$G$34="Purchased",0,+IF(AND(BE66=1,Assumptions!$G$45="Yes",Assumptions!$G$46="Detailed"),-Assumptions_Detailed!BE$19,IF(BE66=1,-Assumptions!$G$48/SUM($H$66:$BY$66)*BE63,0))),0)</f>
        <v>0</v>
      </c>
      <c r="BF73" s="33">
        <f>IFERROR((1+Sensitivity_tables!$N$13)*IF(Assumptions!$G$34="Purchased",0,+IF(AND(BF66=1,Assumptions!$G$45="Yes",Assumptions!$G$46="Detailed"),-Assumptions_Detailed!BF$19,IF(BF66=1,-Assumptions!$G$48/SUM($H$66:$BY$66)*BF63,0))),0)</f>
        <v>0</v>
      </c>
      <c r="BG73" s="33">
        <f>IFERROR((1+Sensitivity_tables!$N$13)*IF(Assumptions!$G$34="Purchased",0,+IF(AND(BG66=1,Assumptions!$G$45="Yes",Assumptions!$G$46="Detailed"),-Assumptions_Detailed!BG$19,IF(BG66=1,-Assumptions!$G$48/SUM($H$66:$BY$66)*BG63,0))),0)</f>
        <v>0</v>
      </c>
      <c r="BH73" s="33">
        <f>IFERROR((1+Sensitivity_tables!$N$13)*IF(Assumptions!$G$34="Purchased",0,+IF(AND(BH66=1,Assumptions!$G$45="Yes",Assumptions!$G$46="Detailed"),-Assumptions_Detailed!BH$19,IF(BH66=1,-Assumptions!$G$48/SUM($H$66:$BY$66)*BH63,0))),0)</f>
        <v>0</v>
      </c>
      <c r="BI73" s="33">
        <f>IFERROR((1+Sensitivity_tables!$N$13)*IF(Assumptions!$G$34="Purchased",0,+IF(AND(BI66=1,Assumptions!$G$45="Yes",Assumptions!$G$46="Detailed"),-Assumptions_Detailed!BI$19,IF(BI66=1,-Assumptions!$G$48/SUM($H$66:$BY$66)*BI63,0))),0)</f>
        <v>0</v>
      </c>
      <c r="BJ73" s="33">
        <f>IFERROR((1+Sensitivity_tables!$N$13)*IF(Assumptions!$G$34="Purchased",0,+IF(AND(BJ66=1,Assumptions!$G$45="Yes",Assumptions!$G$46="Detailed"),-Assumptions_Detailed!BJ$19,IF(BJ66=1,-Assumptions!$G$48/SUM($H$66:$BY$66)*BJ63,0))),0)</f>
        <v>0</v>
      </c>
      <c r="BK73" s="33">
        <f>IFERROR((1+Sensitivity_tables!$N$13)*IF(Assumptions!$G$34="Purchased",0,+IF(AND(BK66=1,Assumptions!$G$45="Yes",Assumptions!$G$46="Detailed"),-Assumptions_Detailed!BK$19,IF(BK66=1,-Assumptions!$G$48/SUM($H$66:$BY$66)*BK63,0))),0)</f>
        <v>0</v>
      </c>
      <c r="BL73" s="33">
        <f>IFERROR((1+Sensitivity_tables!$N$13)*IF(Assumptions!$G$34="Purchased",0,+IF(AND(BL66=1,Assumptions!$G$45="Yes",Assumptions!$G$46="Detailed"),-Assumptions_Detailed!BL$19,IF(BL66=1,-Assumptions!$G$48/SUM($H$66:$BY$66)*BL63,0))),0)</f>
        <v>0</v>
      </c>
      <c r="BM73" s="33">
        <f>IFERROR((1+Sensitivity_tables!$N$13)*IF(Assumptions!$G$34="Purchased",0,+IF(AND(BM66=1,Assumptions!$G$45="Yes",Assumptions!$G$46="Detailed"),-Assumptions_Detailed!BM$19,IF(BM66=1,-Assumptions!$G$48/SUM($H$66:$BY$66)*BM63,0))),0)</f>
        <v>0</v>
      </c>
      <c r="BN73" s="33">
        <f>IFERROR((1+Sensitivity_tables!$N$13)*IF(Assumptions!$G$34="Purchased",0,+IF(AND(BN66=1,Assumptions!$G$45="Yes",Assumptions!$G$46="Detailed"),-Assumptions_Detailed!BN$19,IF(BN66=1,-Assumptions!$G$48/SUM($H$66:$BY$66)*BN63,0))),0)</f>
        <v>0</v>
      </c>
      <c r="BO73" s="33">
        <f>IFERROR((1+Sensitivity_tables!$N$13)*IF(Assumptions!$G$34="Purchased",0,+IF(AND(BO66=1,Assumptions!$G$45="Yes",Assumptions!$G$46="Detailed"),-Assumptions_Detailed!BO$19,IF(BO66=1,-Assumptions!$G$48/SUM($H$66:$BY$66)*BO63,0))),0)</f>
        <v>0</v>
      </c>
      <c r="BP73" s="33">
        <f>IFERROR((1+Sensitivity_tables!$N$13)*IF(Assumptions!$G$34="Purchased",0,+IF(AND(BP66=1,Assumptions!$G$45="Yes",Assumptions!$G$46="Detailed"),-Assumptions_Detailed!BP$19,IF(BP66=1,-Assumptions!$G$48/SUM($H$66:$BY$66)*BP63,0))),0)</f>
        <v>0</v>
      </c>
      <c r="BQ73" s="33">
        <f>IFERROR((1+Sensitivity_tables!$N$13)*IF(Assumptions!$G$34="Purchased",0,+IF(AND(BQ66=1,Assumptions!$G$45="Yes",Assumptions!$G$46="Detailed"),-Assumptions_Detailed!BQ$19,IF(BQ66=1,-Assumptions!$G$48/SUM($H$66:$BY$66)*BQ63,0))),0)</f>
        <v>0</v>
      </c>
      <c r="BR73" s="33">
        <f>IFERROR((1+Sensitivity_tables!$N$13)*IF(Assumptions!$G$34="Purchased",0,+IF(AND(BR66=1,Assumptions!$G$45="Yes",Assumptions!$G$46="Detailed"),-Assumptions_Detailed!BR$19,IF(BR66=1,-Assumptions!$G$48/SUM($H$66:$BY$66)*BR63,0))),0)</f>
        <v>0</v>
      </c>
      <c r="BS73" s="33">
        <f>IFERROR((1+Sensitivity_tables!$N$13)*IF(Assumptions!$G$34="Purchased",0,+IF(AND(BS66=1,Assumptions!$G$45="Yes",Assumptions!$G$46="Detailed"),-Assumptions_Detailed!BS$19,IF(BS66=1,-Assumptions!$G$48/SUM($H$66:$BY$66)*BS63,0))),0)</f>
        <v>0</v>
      </c>
      <c r="BT73" s="33">
        <f>IFERROR((1+Sensitivity_tables!$N$13)*IF(Assumptions!$G$34="Purchased",0,+IF(AND(BT66=1,Assumptions!$G$45="Yes",Assumptions!$G$46="Detailed"),-Assumptions_Detailed!BT$19,IF(BT66=1,-Assumptions!$G$48/SUM($H$66:$BY$66)*BT63,0))),0)</f>
        <v>0</v>
      </c>
      <c r="BU73" s="33">
        <f>IFERROR((1+Sensitivity_tables!$N$13)*IF(Assumptions!$G$34="Purchased",0,+IF(AND(BU66=1,Assumptions!$G$45="Yes",Assumptions!$G$46="Detailed"),-Assumptions_Detailed!BU$19,IF(BU66=1,-Assumptions!$G$48/SUM($H$66:$BY$66)*BU63,0))),0)</f>
        <v>0</v>
      </c>
      <c r="BV73" s="33">
        <f>IFERROR((1+Sensitivity_tables!$N$13)*IF(Assumptions!$G$34="Purchased",0,+IF(AND(BV66=1,Assumptions!$G$45="Yes",Assumptions!$G$46="Detailed"),-Assumptions_Detailed!BV$19,IF(BV66=1,-Assumptions!$G$48/SUM($H$66:$BY$66)*BV63,0))),0)</f>
        <v>0</v>
      </c>
      <c r="BW73" s="33">
        <f>IFERROR((1+Sensitivity_tables!$N$13)*IF(Assumptions!$G$34="Purchased",0,+IF(AND(BW66=1,Assumptions!$G$45="Yes",Assumptions!$G$46="Detailed"),-Assumptions_Detailed!BW$19,IF(BW66=1,-Assumptions!$G$48/SUM($H$66:$BY$66)*BW63,0))),0)</f>
        <v>0</v>
      </c>
      <c r="BX73" s="33">
        <f>IFERROR((1+Sensitivity_tables!$N$13)*IF(Assumptions!$G$34="Purchased",0,+IF(AND(BX66=1,Assumptions!$G$45="Yes",Assumptions!$G$46="Detailed"),-Assumptions_Detailed!BX$19,IF(BX66=1,-Assumptions!$G$48/SUM($H$66:$BY$66)*BX63,0))),0)</f>
        <v>0</v>
      </c>
      <c r="BY73" s="33">
        <f>IFERROR((1+Sensitivity_tables!$N$13)*IF(Assumptions!$G$34="Purchased",0,+IF(AND(BY66=1,Assumptions!$G$45="Yes",Assumptions!$G$46="Detailed"),-Assumptions_Detailed!BY$19,IF(BY66=1,-Assumptions!$G$48/SUM($H$66:$BY$66)*BY63,0))),0)</f>
        <v>0</v>
      </c>
    </row>
    <row r="74" spans="2:77" outlineLevel="1">
      <c r="E74" s="25" t="s">
        <v>200</v>
      </c>
      <c r="F74" s="81" t="str">
        <f>+Assumptions!$G$8</f>
        <v>USD</v>
      </c>
      <c r="G74" s="30"/>
      <c r="H74" s="73">
        <f>+IFERROR((1+Sensitivity_tables!$N$13)*IF(Assumptions!$G$34="Purchased",0,+IF(AND(H67=1,Assumptions!$G$51="Yes",Assumptions!$G$52="Detailed",Assumptions!$G$51="yes"),-Assumptions_Detailed!H$20,IF(H67=1,-Assumptions!$G$54/SUM($H$67:$BY$67)*H63,0))),0)</f>
        <v>0</v>
      </c>
      <c r="I74" s="73">
        <f>+IFERROR((1+Sensitivity_tables!$N$13)*IF(Assumptions!$G$34="Purchased",0,+IF(AND(I67=1,Assumptions!$G$51="Yes",Assumptions!$G$52="Detailed",Assumptions!$G$51="yes"),-Assumptions_Detailed!I$20,IF(I67=1,-Assumptions!$G$54/SUM($H$67:$BY$67)*I63,0))),0)</f>
        <v>0</v>
      </c>
      <c r="J74" s="73">
        <f>+IFERROR((1+Sensitivity_tables!$N$13)*IF(Assumptions!$G$34="Purchased",0,+IF(AND(J67=1,Assumptions!$G$51="Yes",Assumptions!$G$52="Detailed",Assumptions!$G$51="yes"),-Assumptions_Detailed!J$20,IF(J67=1,-Assumptions!$G$54/SUM($H$67:$BY$67)*J63,0))),0)</f>
        <v>0</v>
      </c>
      <c r="K74" s="73">
        <f>+IFERROR((1+Sensitivity_tables!$N$13)*IF(Assumptions!$G$34="Purchased",0,+IF(AND(K67=1,Assumptions!$G$51="Yes",Assumptions!$G$52="Detailed",Assumptions!$G$51="yes"),-Assumptions_Detailed!K$20,IF(K67=1,-Assumptions!$G$54/SUM($H$67:$BY$67)*K63,0))),0)</f>
        <v>0</v>
      </c>
      <c r="L74" s="73">
        <f>+IFERROR((1+Sensitivity_tables!$N$13)*IF(Assumptions!$G$34="Purchased",0,+IF(AND(L67=1,Assumptions!$G$51="Yes",Assumptions!$G$52="Detailed",Assumptions!$G$51="yes"),-Assumptions_Detailed!L$20,IF(L67=1,-Assumptions!$G$54/SUM($H$67:$BY$67)*L63,0))),0)</f>
        <v>0</v>
      </c>
      <c r="M74" s="73">
        <f>+IFERROR((1+Sensitivity_tables!$N$13)*IF(Assumptions!$G$34="Purchased",0,+IF(AND(M67=1,Assumptions!$G$51="Yes",Assumptions!$G$52="Detailed",Assumptions!$G$51="yes"),-Assumptions_Detailed!M$20,IF(M67=1,-Assumptions!$G$54/SUM($H$67:$BY$67)*M63,0))),0)</f>
        <v>0</v>
      </c>
      <c r="N74" s="73">
        <f>+IFERROR((1+Sensitivity_tables!$N$13)*IF(Assumptions!$G$34="Purchased",0,+IF(AND(N67=1,Assumptions!$G$51="Yes",Assumptions!$G$52="Detailed",Assumptions!$G$51="yes"),-Assumptions_Detailed!N$20,IF(N67=1,-Assumptions!$G$54/SUM($H$67:$BY$67)*N63,0))),0)</f>
        <v>0</v>
      </c>
      <c r="O74" s="73">
        <f>+IFERROR((1+Sensitivity_tables!$N$13)*IF(Assumptions!$G$34="Purchased",0,+IF(AND(O67=1,Assumptions!$G$51="Yes",Assumptions!$G$52="Detailed",Assumptions!$G$51="yes"),-Assumptions_Detailed!O$20,IF(O67=1,-Assumptions!$G$54/SUM($H$67:$BY$67)*O63,0))),0)</f>
        <v>0</v>
      </c>
      <c r="P74" s="73">
        <f>+IFERROR((1+Sensitivity_tables!$N$13)*IF(Assumptions!$G$34="Purchased",0,+IF(AND(P67=1,Assumptions!$G$51="Yes",Assumptions!$G$52="Detailed",Assumptions!$G$51="yes"),-Assumptions_Detailed!P$20,IF(P67=1,-Assumptions!$G$54/SUM($H$67:$BY$67)*P63,0))),0)</f>
        <v>0</v>
      </c>
      <c r="Q74" s="73">
        <f>+IFERROR((1+Sensitivity_tables!$N$13)*IF(Assumptions!$G$34="Purchased",0,+IF(AND(Q67=1,Assumptions!$G$51="Yes",Assumptions!$G$52="Detailed",Assumptions!$G$51="yes"),-Assumptions_Detailed!Q$20,IF(Q67=1,-Assumptions!$G$54/SUM($H$67:$BY$67)*Q63,0))),0)</f>
        <v>0</v>
      </c>
      <c r="R74" s="73">
        <f>+IFERROR((1+Sensitivity_tables!$N$13)*IF(Assumptions!$G$34="Purchased",0,+IF(AND(R67=1,Assumptions!$G$51="Yes",Assumptions!$G$52="Detailed",Assumptions!$G$51="yes"),-Assumptions_Detailed!R$20,IF(R67=1,-Assumptions!$G$54/SUM($H$67:$BY$67)*R63,0))),0)</f>
        <v>0</v>
      </c>
      <c r="S74" s="73">
        <f>+IFERROR((1+Sensitivity_tables!$N$13)*IF(Assumptions!$G$34="Purchased",0,+IF(AND(S67=1,Assumptions!$G$51="Yes",Assumptions!$G$52="Detailed",Assumptions!$G$51="yes"),-Assumptions_Detailed!S$20,IF(S67=1,-Assumptions!$G$54/SUM($H$67:$BY$67)*S63,0))),0)</f>
        <v>0</v>
      </c>
      <c r="T74" s="73">
        <f>+IFERROR((1+Sensitivity_tables!$N$13)*IF(Assumptions!$G$34="Purchased",0,+IF(AND(T67=1,Assumptions!$G$51="Yes",Assumptions!$G$52="Detailed",Assumptions!$G$51="yes"),-Assumptions_Detailed!T$20,IF(T67=1,-Assumptions!$G$54/SUM($H$67:$BY$67)*T63,0))),0)</f>
        <v>0</v>
      </c>
      <c r="U74" s="73">
        <f>+IFERROR((1+Sensitivity_tables!$N$13)*IF(Assumptions!$G$34="Purchased",0,+IF(AND(U67=1,Assumptions!$G$51="Yes",Assumptions!$G$52="Detailed",Assumptions!$G$51="yes"),-Assumptions_Detailed!U$20,IF(U67=1,-Assumptions!$G$54/SUM($H$67:$BY$67)*U63,0))),0)</f>
        <v>0</v>
      </c>
      <c r="V74" s="73">
        <f>+IFERROR((1+Sensitivity_tables!$N$13)*IF(Assumptions!$G$34="Purchased",0,+IF(AND(V67=1,Assumptions!$G$51="Yes",Assumptions!$G$52="Detailed",Assumptions!$G$51="yes"),-Assumptions_Detailed!V$20,IF(V67=1,-Assumptions!$G$54/SUM($H$67:$BY$67)*V63,0))),0)</f>
        <v>0</v>
      </c>
      <c r="W74" s="73">
        <f>+IFERROR((1+Sensitivity_tables!$N$13)*IF(Assumptions!$G$34="Purchased",0,+IF(AND(W67=1,Assumptions!$G$51="Yes",Assumptions!$G$52="Detailed",Assumptions!$G$51="yes"),-Assumptions_Detailed!W$20,IF(W67=1,-Assumptions!$G$54/SUM($H$67:$BY$67)*W63,0))),0)</f>
        <v>0</v>
      </c>
      <c r="X74" s="73">
        <f>+IFERROR((1+Sensitivity_tables!$N$13)*IF(Assumptions!$G$34="Purchased",0,+IF(AND(X67=1,Assumptions!$G$51="Yes",Assumptions!$G$52="Detailed",Assumptions!$G$51="yes"),-Assumptions_Detailed!X$20,IF(X67=1,-Assumptions!$G$54/SUM($H$67:$BY$67)*X63,0))),0)</f>
        <v>0</v>
      </c>
      <c r="Y74" s="73">
        <f>+IFERROR((1+Sensitivity_tables!$N$13)*IF(Assumptions!$G$34="Purchased",0,+IF(AND(Y67=1,Assumptions!$G$51="Yes",Assumptions!$G$52="Detailed",Assumptions!$G$51="yes"),-Assumptions_Detailed!Y$20,IF(Y67=1,-Assumptions!$G$54/SUM($H$67:$BY$67)*Y63,0))),0)</f>
        <v>0</v>
      </c>
      <c r="Z74" s="73">
        <f>+IFERROR((1+Sensitivity_tables!$N$13)*IF(Assumptions!$G$34="Purchased",0,+IF(AND(Z67=1,Assumptions!$G$51="Yes",Assumptions!$G$52="Detailed",Assumptions!$G$51="yes"),-Assumptions_Detailed!Z$20,IF(Z67=1,-Assumptions!$G$54/SUM($H$67:$BY$67)*Z63,0))),0)</f>
        <v>0</v>
      </c>
      <c r="AA74" s="73">
        <f>+IFERROR((1+Sensitivity_tables!$N$13)*IF(Assumptions!$G$34="Purchased",0,+IF(AND(AA67=1,Assumptions!$G$51="Yes",Assumptions!$G$52="Detailed",Assumptions!$G$51="yes"),-Assumptions_Detailed!AA$20,IF(AA67=1,-Assumptions!$G$54/SUM($H$67:$BY$67)*AA63,0))),0)</f>
        <v>0</v>
      </c>
      <c r="AB74" s="73">
        <f>+IFERROR((1+Sensitivity_tables!$N$13)*IF(Assumptions!$G$34="Purchased",0,+IF(AND(AB67=1,Assumptions!$G$51="Yes",Assumptions!$G$52="Detailed",Assumptions!$G$51="yes"),-Assumptions_Detailed!AB$20,IF(AB67=1,-Assumptions!$G$54/SUM($H$67:$BY$67)*AB63,0))),0)</f>
        <v>0</v>
      </c>
      <c r="AC74" s="73">
        <f>+IFERROR((1+Sensitivity_tables!$N$13)*IF(Assumptions!$G$34="Purchased",0,+IF(AND(AC67=1,Assumptions!$G$51="Yes",Assumptions!$G$52="Detailed",Assumptions!$G$51="yes"),-Assumptions_Detailed!AC$20,IF(AC67=1,-Assumptions!$G$54/SUM($H$67:$BY$67)*AC63,0))),0)</f>
        <v>0</v>
      </c>
      <c r="AD74" s="73">
        <f>+IFERROR((1+Sensitivity_tables!$N$13)*IF(Assumptions!$G$34="Purchased",0,+IF(AND(AD67=1,Assumptions!$G$51="Yes",Assumptions!$G$52="Detailed",Assumptions!$G$51="yes"),-Assumptions_Detailed!AD$20,IF(AD67=1,-Assumptions!$G$54/SUM($H$67:$BY$67)*AD63,0))),0)</f>
        <v>0</v>
      </c>
      <c r="AE74" s="73">
        <f>+IFERROR((1+Sensitivity_tables!$N$13)*IF(Assumptions!$G$34="Purchased",0,+IF(AND(AE67=1,Assumptions!$G$51="Yes",Assumptions!$G$52="Detailed",Assumptions!$G$51="yes"),-Assumptions_Detailed!AE$20,IF(AE67=1,-Assumptions!$G$54/SUM($H$67:$BY$67)*AE63,0))),0)</f>
        <v>0</v>
      </c>
      <c r="AF74" s="73">
        <f>+IFERROR((1+Sensitivity_tables!$N$13)*IF(Assumptions!$G$34="Purchased",0,+IF(AND(AF67=1,Assumptions!$G$51="Yes",Assumptions!$G$52="Detailed",Assumptions!$G$51="yes"),-Assumptions_Detailed!AF$20,IF(AF67=1,-Assumptions!$G$54/SUM($H$67:$BY$67)*AF63,0))),0)</f>
        <v>0</v>
      </c>
      <c r="AG74" s="73">
        <f>+IFERROR((1+Sensitivity_tables!$N$13)*IF(Assumptions!$G$34="Purchased",0,+IF(AND(AG67=1,Assumptions!$G$51="Yes",Assumptions!$G$52="Detailed",Assumptions!$G$51="yes"),-Assumptions_Detailed!AG$20,IF(AG67=1,-Assumptions!$G$54/SUM($H$67:$BY$67)*AG63,0))),0)</f>
        <v>0</v>
      </c>
      <c r="AH74" s="73">
        <f>+IFERROR((1+Sensitivity_tables!$N$13)*IF(Assumptions!$G$34="Purchased",0,+IF(AND(AH67=1,Assumptions!$G$51="Yes",Assumptions!$G$52="Detailed",Assumptions!$G$51="yes"),-Assumptions_Detailed!AH$20,IF(AH67=1,-Assumptions!$G$54/SUM($H$67:$BY$67)*AH63,0))),0)</f>
        <v>0</v>
      </c>
      <c r="AI74" s="73">
        <f>+IFERROR((1+Sensitivity_tables!$N$13)*IF(Assumptions!$G$34="Purchased",0,+IF(AND(AI67=1,Assumptions!$G$51="Yes",Assumptions!$G$52="Detailed",Assumptions!$G$51="yes"),-Assumptions_Detailed!AI$20,IF(AI67=1,-Assumptions!$G$54/SUM($H$67:$BY$67)*AI63,0))),0)</f>
        <v>0</v>
      </c>
      <c r="AJ74" s="73">
        <f>+IFERROR((1+Sensitivity_tables!$N$13)*IF(Assumptions!$G$34="Purchased",0,+IF(AND(AJ67=1,Assumptions!$G$51="Yes",Assumptions!$G$52="Detailed",Assumptions!$G$51="yes"),-Assumptions_Detailed!AJ$20,IF(AJ67=1,-Assumptions!$G$54/SUM($H$67:$BY$67)*AJ63,0))),0)</f>
        <v>0</v>
      </c>
      <c r="AK74" s="73">
        <f>+IFERROR((1+Sensitivity_tables!$N$13)*IF(Assumptions!$G$34="Purchased",0,+IF(AND(AK67=1,Assumptions!$G$51="Yes",Assumptions!$G$52="Detailed",Assumptions!$G$51="yes"),-Assumptions_Detailed!AK$20,IF(AK67=1,-Assumptions!$G$54/SUM($H$67:$BY$67)*AK63,0))),0)</f>
        <v>0</v>
      </c>
      <c r="AL74" s="73">
        <f>+IFERROR((1+Sensitivity_tables!$N$13)*IF(Assumptions!$G$34="Purchased",0,+IF(AND(AL67=1,Assumptions!$G$51="Yes",Assumptions!$G$52="Detailed",Assumptions!$G$51="yes"),-Assumptions_Detailed!AL$20,IF(AL67=1,-Assumptions!$G$54/SUM($H$67:$BY$67)*AL63,0))),0)</f>
        <v>0</v>
      </c>
      <c r="AM74" s="73">
        <f>+IFERROR((1+Sensitivity_tables!$N$13)*IF(Assumptions!$G$34="Purchased",0,+IF(AND(AM67=1,Assumptions!$G$51="Yes",Assumptions!$G$52="Detailed",Assumptions!$G$51="yes"),-Assumptions_Detailed!AM$20,IF(AM67=1,-Assumptions!$G$54/SUM($H$67:$BY$67)*AM63,0))),0)</f>
        <v>0</v>
      </c>
      <c r="AN74" s="73">
        <f>+IFERROR((1+Sensitivity_tables!$N$13)*IF(Assumptions!$G$34="Purchased",0,+IF(AND(AN67=1,Assumptions!$G$51="Yes",Assumptions!$G$52="Detailed",Assumptions!$G$51="yes"),-Assumptions_Detailed!AN$20,IF(AN67=1,-Assumptions!$G$54/SUM($H$67:$BY$67)*AN63,0))),0)</f>
        <v>0</v>
      </c>
      <c r="AO74" s="73">
        <f>+IFERROR((1+Sensitivity_tables!$N$13)*IF(Assumptions!$G$34="Purchased",0,+IF(AND(AO67=1,Assumptions!$G$51="Yes",Assumptions!$G$52="Detailed",Assumptions!$G$51="yes"),-Assumptions_Detailed!AO$20,IF(AO67=1,-Assumptions!$G$54/SUM($H$67:$BY$67)*AO63,0))),0)</f>
        <v>0</v>
      </c>
      <c r="AP74" s="73">
        <f>+IFERROR((1+Sensitivity_tables!$N$13)*IF(Assumptions!$G$34="Purchased",0,+IF(AND(AP67=1,Assumptions!$G$51="Yes",Assumptions!$G$52="Detailed",Assumptions!$G$51="yes"),-Assumptions_Detailed!AP$20,IF(AP67=1,-Assumptions!$G$54/SUM($H$67:$BY$67)*AP63,0))),0)</f>
        <v>0</v>
      </c>
      <c r="AQ74" s="73">
        <f>+IFERROR((1+Sensitivity_tables!$N$13)*IF(Assumptions!$G$34="Purchased",0,+IF(AND(AQ67=1,Assumptions!$G$51="Yes",Assumptions!$G$52="Detailed",Assumptions!$G$51="yes"),-Assumptions_Detailed!AQ$20,IF(AQ67=1,-Assumptions!$G$54/SUM($H$67:$BY$67)*AQ63,0))),0)</f>
        <v>0</v>
      </c>
      <c r="AR74" s="73">
        <f>+IFERROR((1+Sensitivity_tables!$N$13)*IF(Assumptions!$G$34="Purchased",0,+IF(AND(AR67=1,Assumptions!$G$51="Yes",Assumptions!$G$52="Detailed",Assumptions!$G$51="yes"),-Assumptions_Detailed!AR$20,IF(AR67=1,-Assumptions!$G$54/SUM($H$67:$BY$67)*AR63,0))),0)</f>
        <v>0</v>
      </c>
      <c r="AS74" s="73">
        <f>+IFERROR((1+Sensitivity_tables!$N$13)*IF(Assumptions!$G$34="Purchased",0,+IF(AND(AS67=1,Assumptions!$G$51="Yes",Assumptions!$G$52="Detailed",Assumptions!$G$51="yes"),-Assumptions_Detailed!AS$20,IF(AS67=1,-Assumptions!$G$54/SUM($H$67:$BY$67)*AS63,0))),0)</f>
        <v>0</v>
      </c>
      <c r="AT74" s="73">
        <f>+IFERROR((1+Sensitivity_tables!$N$13)*IF(Assumptions!$G$34="Purchased",0,+IF(AND(AT67=1,Assumptions!$G$51="Yes",Assumptions!$G$52="Detailed",Assumptions!$G$51="yes"),-Assumptions_Detailed!AT$20,IF(AT67=1,-Assumptions!$G$54/SUM($H$67:$BY$67)*AT63,0))),0)</f>
        <v>0</v>
      </c>
      <c r="AU74" s="73">
        <f>+IFERROR((1+Sensitivity_tables!$N$13)*IF(Assumptions!$G$34="Purchased",0,+IF(AND(AU67=1,Assumptions!$G$51="Yes",Assumptions!$G$52="Detailed",Assumptions!$G$51="yes"),-Assumptions_Detailed!AU$20,IF(AU67=1,-Assumptions!$G$54/SUM($H$67:$BY$67)*AU63,0))),0)</f>
        <v>0</v>
      </c>
      <c r="AV74" s="73">
        <f>+IFERROR((1+Sensitivity_tables!$N$13)*IF(Assumptions!$G$34="Purchased",0,+IF(AND(AV67=1,Assumptions!$G$51="Yes",Assumptions!$G$52="Detailed",Assumptions!$G$51="yes"),-Assumptions_Detailed!AV$20,IF(AV67=1,-Assumptions!$G$54/SUM($H$67:$BY$67)*AV63,0))),0)</f>
        <v>0</v>
      </c>
      <c r="AW74" s="73">
        <f>+IFERROR((1+Sensitivity_tables!$N$13)*IF(Assumptions!$G$34="Purchased",0,+IF(AND(AW67=1,Assumptions!$G$51="Yes",Assumptions!$G$52="Detailed",Assumptions!$G$51="yes"),-Assumptions_Detailed!AW$20,IF(AW67=1,-Assumptions!$G$54/SUM($H$67:$BY$67)*AW63,0))),0)</f>
        <v>0</v>
      </c>
      <c r="AX74" s="73">
        <f>+IFERROR((1+Sensitivity_tables!$N$13)*IF(Assumptions!$G$34="Purchased",0,+IF(AND(AX67=1,Assumptions!$G$51="Yes",Assumptions!$G$52="Detailed",Assumptions!$G$51="yes"),-Assumptions_Detailed!AX$20,IF(AX67=1,-Assumptions!$G$54/SUM($H$67:$BY$67)*AX63,0))),0)</f>
        <v>0</v>
      </c>
      <c r="AY74" s="73">
        <f>+IFERROR((1+Sensitivity_tables!$N$13)*IF(Assumptions!$G$34="Purchased",0,+IF(AND(AY67=1,Assumptions!$G$51="Yes",Assumptions!$G$52="Detailed",Assumptions!$G$51="yes"),-Assumptions_Detailed!AY$20,IF(AY67=1,-Assumptions!$G$54/SUM($H$67:$BY$67)*AY63,0))),0)</f>
        <v>0</v>
      </c>
      <c r="AZ74" s="73">
        <f>+IFERROR((1+Sensitivity_tables!$N$13)*IF(Assumptions!$G$34="Purchased",0,+IF(AND(AZ67=1,Assumptions!$G$51="Yes",Assumptions!$G$52="Detailed",Assumptions!$G$51="yes"),-Assumptions_Detailed!AZ$20,IF(AZ67=1,-Assumptions!$G$54/SUM($H$67:$BY$67)*AZ63,0))),0)</f>
        <v>0</v>
      </c>
      <c r="BA74" s="73">
        <f>+IFERROR((1+Sensitivity_tables!$N$13)*IF(Assumptions!$G$34="Purchased",0,+IF(AND(BA67=1,Assumptions!$G$51="Yes",Assumptions!$G$52="Detailed",Assumptions!$G$51="yes"),-Assumptions_Detailed!BA$20,IF(BA67=1,-Assumptions!$G$54/SUM($H$67:$BY$67)*BA63,0))),0)</f>
        <v>0</v>
      </c>
      <c r="BB74" s="73">
        <f>+IFERROR((1+Sensitivity_tables!$N$13)*IF(Assumptions!$G$34="Purchased",0,+IF(AND(BB67=1,Assumptions!$G$51="Yes",Assumptions!$G$52="Detailed",Assumptions!$G$51="yes"),-Assumptions_Detailed!BB$20,IF(BB67=1,-Assumptions!$G$54/SUM($H$67:$BY$67)*BB63,0))),0)</f>
        <v>0</v>
      </c>
      <c r="BC74" s="73">
        <f>+IFERROR((1+Sensitivity_tables!$N$13)*IF(Assumptions!$G$34="Purchased",0,+IF(AND(BC67=1,Assumptions!$G$51="Yes",Assumptions!$G$52="Detailed",Assumptions!$G$51="yes"),-Assumptions_Detailed!BC$20,IF(BC67=1,-Assumptions!$G$54/SUM($H$67:$BY$67)*BC63,0))),0)</f>
        <v>0</v>
      </c>
      <c r="BD74" s="73">
        <f>+IFERROR((1+Sensitivity_tables!$N$13)*IF(Assumptions!$G$34="Purchased",0,+IF(AND(BD67=1,Assumptions!$G$51="Yes",Assumptions!$G$52="Detailed",Assumptions!$G$51="yes"),-Assumptions_Detailed!BD$20,IF(BD67=1,-Assumptions!$G$54/SUM($H$67:$BY$67)*BD63,0))),0)</f>
        <v>0</v>
      </c>
      <c r="BE74" s="73">
        <f>+IFERROR((1+Sensitivity_tables!$N$13)*IF(Assumptions!$G$34="Purchased",0,+IF(AND(BE67=1,Assumptions!$G$51="Yes",Assumptions!$G$52="Detailed",Assumptions!$G$51="yes"),-Assumptions_Detailed!BE$20,IF(BE67=1,-Assumptions!$G$54/SUM($H$67:$BY$67)*BE63,0))),0)</f>
        <v>0</v>
      </c>
      <c r="BF74" s="73">
        <f>+IFERROR((1+Sensitivity_tables!$N$13)*IF(Assumptions!$G$34="Purchased",0,+IF(AND(BF67=1,Assumptions!$G$51="Yes",Assumptions!$G$52="Detailed",Assumptions!$G$51="yes"),-Assumptions_Detailed!BF$20,IF(BF67=1,-Assumptions!$G$54/SUM($H$67:$BY$67)*BF63,0))),0)</f>
        <v>0</v>
      </c>
      <c r="BG74" s="73">
        <f>+IFERROR((1+Sensitivity_tables!$N$13)*IF(Assumptions!$G$34="Purchased",0,+IF(AND(BG67=1,Assumptions!$G$51="Yes",Assumptions!$G$52="Detailed",Assumptions!$G$51="yes"),-Assumptions_Detailed!BG$20,IF(BG67=1,-Assumptions!$G$54/SUM($H$67:$BY$67)*BG63,0))),0)</f>
        <v>0</v>
      </c>
      <c r="BH74" s="73">
        <f>+IFERROR((1+Sensitivity_tables!$N$13)*IF(Assumptions!$G$34="Purchased",0,+IF(AND(BH67=1,Assumptions!$G$51="Yes",Assumptions!$G$52="Detailed",Assumptions!$G$51="yes"),-Assumptions_Detailed!BH$20,IF(BH67=1,-Assumptions!$G$54/SUM($H$67:$BY$67)*BH63,0))),0)</f>
        <v>0</v>
      </c>
      <c r="BI74" s="73">
        <f>+IFERROR((1+Sensitivity_tables!$N$13)*IF(Assumptions!$G$34="Purchased",0,+IF(AND(BI67=1,Assumptions!$G$51="Yes",Assumptions!$G$52="Detailed",Assumptions!$G$51="yes"),-Assumptions_Detailed!BI$20,IF(BI67=1,-Assumptions!$G$54/SUM($H$67:$BY$67)*BI63,0))),0)</f>
        <v>0</v>
      </c>
      <c r="BJ74" s="73">
        <f>+IFERROR((1+Sensitivity_tables!$N$13)*IF(Assumptions!$G$34="Purchased",0,+IF(AND(BJ67=1,Assumptions!$G$51="Yes",Assumptions!$G$52="Detailed",Assumptions!$G$51="yes"),-Assumptions_Detailed!BJ$20,IF(BJ67=1,-Assumptions!$G$54/SUM($H$67:$BY$67)*BJ63,0))),0)</f>
        <v>0</v>
      </c>
      <c r="BK74" s="73">
        <f>+IFERROR((1+Sensitivity_tables!$N$13)*IF(Assumptions!$G$34="Purchased",0,+IF(AND(BK67=1,Assumptions!$G$51="Yes",Assumptions!$G$52="Detailed",Assumptions!$G$51="yes"),-Assumptions_Detailed!BK$20,IF(BK67=1,-Assumptions!$G$54/SUM($H$67:$BY$67)*BK63,0))),0)</f>
        <v>0</v>
      </c>
      <c r="BL74" s="73">
        <f>+IFERROR((1+Sensitivity_tables!$N$13)*IF(Assumptions!$G$34="Purchased",0,+IF(AND(BL67=1,Assumptions!$G$51="Yes",Assumptions!$G$52="Detailed",Assumptions!$G$51="yes"),-Assumptions_Detailed!BL$20,IF(BL67=1,-Assumptions!$G$54/SUM($H$67:$BY$67)*BL63,0))),0)</f>
        <v>0</v>
      </c>
      <c r="BM74" s="73">
        <f>+IFERROR((1+Sensitivity_tables!$N$13)*IF(Assumptions!$G$34="Purchased",0,+IF(AND(BM67=1,Assumptions!$G$51="Yes",Assumptions!$G$52="Detailed",Assumptions!$G$51="yes"),-Assumptions_Detailed!BM$20,IF(BM67=1,-Assumptions!$G$54/SUM($H$67:$BY$67)*BM63,0))),0)</f>
        <v>0</v>
      </c>
      <c r="BN74" s="73">
        <f>+IFERROR((1+Sensitivity_tables!$N$13)*IF(Assumptions!$G$34="Purchased",0,+IF(AND(BN67=1,Assumptions!$G$51="Yes",Assumptions!$G$52="Detailed",Assumptions!$G$51="yes"),-Assumptions_Detailed!BN$20,IF(BN67=1,-Assumptions!$G$54/SUM($H$67:$BY$67)*BN63,0))),0)</f>
        <v>0</v>
      </c>
      <c r="BO74" s="73">
        <f>+IFERROR((1+Sensitivity_tables!$N$13)*IF(Assumptions!$G$34="Purchased",0,+IF(AND(BO67=1,Assumptions!$G$51="Yes",Assumptions!$G$52="Detailed",Assumptions!$G$51="yes"),-Assumptions_Detailed!BO$20,IF(BO67=1,-Assumptions!$G$54/SUM($H$67:$BY$67)*BO63,0))),0)</f>
        <v>0</v>
      </c>
      <c r="BP74" s="73">
        <f>+IFERROR((1+Sensitivity_tables!$N$13)*IF(Assumptions!$G$34="Purchased",0,+IF(AND(BP67=1,Assumptions!$G$51="Yes",Assumptions!$G$52="Detailed",Assumptions!$G$51="yes"),-Assumptions_Detailed!BP$20,IF(BP67=1,-Assumptions!$G$54/SUM($H$67:$BY$67)*BP63,0))),0)</f>
        <v>0</v>
      </c>
      <c r="BQ74" s="73">
        <f>+IFERROR((1+Sensitivity_tables!$N$13)*IF(Assumptions!$G$34="Purchased",0,+IF(AND(BQ67=1,Assumptions!$G$51="Yes",Assumptions!$G$52="Detailed",Assumptions!$G$51="yes"),-Assumptions_Detailed!BQ$20,IF(BQ67=1,-Assumptions!$G$54/SUM($H$67:$BY$67)*BQ63,0))),0)</f>
        <v>0</v>
      </c>
      <c r="BR74" s="73">
        <f>+IFERROR((1+Sensitivity_tables!$N$13)*IF(Assumptions!$G$34="Purchased",0,+IF(AND(BR67=1,Assumptions!$G$51="Yes",Assumptions!$G$52="Detailed",Assumptions!$G$51="yes"),-Assumptions_Detailed!BR$20,IF(BR67=1,-Assumptions!$G$54/SUM($H$67:$BY$67)*BR63,0))),0)</f>
        <v>0</v>
      </c>
      <c r="BS74" s="73">
        <f>+IFERROR((1+Sensitivity_tables!$N$13)*IF(Assumptions!$G$34="Purchased",0,+IF(AND(BS67=1,Assumptions!$G$51="Yes",Assumptions!$G$52="Detailed",Assumptions!$G$51="yes"),-Assumptions_Detailed!BS$20,IF(BS67=1,-Assumptions!$G$54/SUM($H$67:$BY$67)*BS63,0))),0)</f>
        <v>0</v>
      </c>
      <c r="BT74" s="73">
        <f>+IFERROR((1+Sensitivity_tables!$N$13)*IF(Assumptions!$G$34="Purchased",0,+IF(AND(BT67=1,Assumptions!$G$51="Yes",Assumptions!$G$52="Detailed",Assumptions!$G$51="yes"),-Assumptions_Detailed!BT$20,IF(BT67=1,-Assumptions!$G$54/SUM($H$67:$BY$67)*BT63,0))),0)</f>
        <v>0</v>
      </c>
      <c r="BU74" s="73">
        <f>+IFERROR((1+Sensitivity_tables!$N$13)*IF(Assumptions!$G$34="Purchased",0,+IF(AND(BU67=1,Assumptions!$G$51="Yes",Assumptions!$G$52="Detailed",Assumptions!$G$51="yes"),-Assumptions_Detailed!BU$20,IF(BU67=1,-Assumptions!$G$54/SUM($H$67:$BY$67)*BU63,0))),0)</f>
        <v>0</v>
      </c>
      <c r="BV74" s="73">
        <f>+IFERROR((1+Sensitivity_tables!$N$13)*IF(Assumptions!$G$34="Purchased",0,+IF(AND(BV67=1,Assumptions!$G$51="Yes",Assumptions!$G$52="Detailed",Assumptions!$G$51="yes"),-Assumptions_Detailed!BV$20,IF(BV67=1,-Assumptions!$G$54/SUM($H$67:$BY$67)*BV63,0))),0)</f>
        <v>0</v>
      </c>
      <c r="BW74" s="73">
        <f>+IFERROR((1+Sensitivity_tables!$N$13)*IF(Assumptions!$G$34="Purchased",0,+IF(AND(BW67=1,Assumptions!$G$51="Yes",Assumptions!$G$52="Detailed",Assumptions!$G$51="yes"),-Assumptions_Detailed!BW$20,IF(BW67=1,-Assumptions!$G$54/SUM($H$67:$BY$67)*BW63,0))),0)</f>
        <v>0</v>
      </c>
      <c r="BX74" s="73">
        <f>+IFERROR((1+Sensitivity_tables!$N$13)*IF(Assumptions!$G$34="Purchased",0,+IF(AND(BX67=1,Assumptions!$G$51="Yes",Assumptions!$G$52="Detailed",Assumptions!$G$51="yes"),-Assumptions_Detailed!BX$20,IF(BX67=1,-Assumptions!$G$54/SUM($H$67:$BY$67)*BX63,0))),0)</f>
        <v>0</v>
      </c>
      <c r="BY74" s="73">
        <f>+IFERROR((1+Sensitivity_tables!$N$13)*IF(Assumptions!$G$34="Purchased",0,+IF(AND(BY67=1,Assumptions!$G$51="Yes",Assumptions!$G$52="Detailed",Assumptions!$G$51="yes"),-Assumptions_Detailed!BY$20,IF(BY67=1,-Assumptions!$G$54/SUM($H$67:$BY$67)*BY63,0))),0)</f>
        <v>0</v>
      </c>
    </row>
    <row r="75" spans="2:77" outlineLevel="1">
      <c r="E75" t="s">
        <v>207</v>
      </c>
      <c r="F75" s="80" t="str">
        <f>+Assumptions!$G$8</f>
        <v>USD</v>
      </c>
      <c r="G75" s="23"/>
      <c r="H75" s="33">
        <f>SUM(H73:H74)</f>
        <v>0</v>
      </c>
      <c r="I75" s="33">
        <f t="shared" ref="I75:BT75" si="133">SUM(I73:I74)</f>
        <v>0</v>
      </c>
      <c r="J75" s="33">
        <f t="shared" si="133"/>
        <v>0</v>
      </c>
      <c r="K75" s="33">
        <f t="shared" si="133"/>
        <v>0</v>
      </c>
      <c r="L75" s="33">
        <f t="shared" si="133"/>
        <v>0</v>
      </c>
      <c r="M75" s="33">
        <f t="shared" si="133"/>
        <v>0</v>
      </c>
      <c r="N75" s="33">
        <f t="shared" si="133"/>
        <v>0</v>
      </c>
      <c r="O75" s="33">
        <f t="shared" si="133"/>
        <v>0</v>
      </c>
      <c r="P75" s="33">
        <f t="shared" si="133"/>
        <v>0</v>
      </c>
      <c r="Q75" s="33">
        <f t="shared" si="133"/>
        <v>0</v>
      </c>
      <c r="R75" s="33">
        <f t="shared" si="133"/>
        <v>0</v>
      </c>
      <c r="S75" s="33">
        <f t="shared" si="133"/>
        <v>0</v>
      </c>
      <c r="T75" s="33">
        <f t="shared" si="133"/>
        <v>0</v>
      </c>
      <c r="U75" s="33">
        <f t="shared" si="133"/>
        <v>0</v>
      </c>
      <c r="V75" s="33">
        <f t="shared" si="133"/>
        <v>0</v>
      </c>
      <c r="W75" s="33">
        <f t="shared" si="133"/>
        <v>0</v>
      </c>
      <c r="X75" s="33">
        <f t="shared" si="133"/>
        <v>0</v>
      </c>
      <c r="Y75" s="33">
        <f t="shared" si="133"/>
        <v>0</v>
      </c>
      <c r="Z75" s="33">
        <f t="shared" si="133"/>
        <v>0</v>
      </c>
      <c r="AA75" s="33">
        <f t="shared" si="133"/>
        <v>0</v>
      </c>
      <c r="AB75" s="33">
        <f t="shared" si="133"/>
        <v>0</v>
      </c>
      <c r="AC75" s="33">
        <f t="shared" si="133"/>
        <v>0</v>
      </c>
      <c r="AD75" s="33">
        <f t="shared" si="133"/>
        <v>0</v>
      </c>
      <c r="AE75" s="33">
        <f t="shared" si="133"/>
        <v>0</v>
      </c>
      <c r="AF75" s="33">
        <f t="shared" si="133"/>
        <v>0</v>
      </c>
      <c r="AG75" s="33">
        <f t="shared" si="133"/>
        <v>0</v>
      </c>
      <c r="AH75" s="33">
        <f t="shared" si="133"/>
        <v>0</v>
      </c>
      <c r="AI75" s="33">
        <f t="shared" si="133"/>
        <v>0</v>
      </c>
      <c r="AJ75" s="33">
        <f t="shared" si="133"/>
        <v>0</v>
      </c>
      <c r="AK75" s="33">
        <f t="shared" si="133"/>
        <v>0</v>
      </c>
      <c r="AL75" s="33">
        <f t="shared" si="133"/>
        <v>0</v>
      </c>
      <c r="AM75" s="33">
        <f t="shared" si="133"/>
        <v>0</v>
      </c>
      <c r="AN75" s="33">
        <f t="shared" si="133"/>
        <v>0</v>
      </c>
      <c r="AO75" s="33">
        <f t="shared" si="133"/>
        <v>0</v>
      </c>
      <c r="AP75" s="33">
        <f t="shared" si="133"/>
        <v>0</v>
      </c>
      <c r="AQ75" s="33">
        <f t="shared" si="133"/>
        <v>0</v>
      </c>
      <c r="AR75" s="33">
        <f t="shared" si="133"/>
        <v>0</v>
      </c>
      <c r="AS75" s="33">
        <f t="shared" si="133"/>
        <v>0</v>
      </c>
      <c r="AT75" s="33">
        <f t="shared" si="133"/>
        <v>0</v>
      </c>
      <c r="AU75" s="33">
        <f t="shared" si="133"/>
        <v>0</v>
      </c>
      <c r="AV75" s="33">
        <f t="shared" si="133"/>
        <v>0</v>
      </c>
      <c r="AW75" s="33">
        <f t="shared" si="133"/>
        <v>0</v>
      </c>
      <c r="AX75" s="33">
        <f t="shared" si="133"/>
        <v>0</v>
      </c>
      <c r="AY75" s="33">
        <f t="shared" si="133"/>
        <v>0</v>
      </c>
      <c r="AZ75" s="33">
        <f t="shared" si="133"/>
        <v>0</v>
      </c>
      <c r="BA75" s="33">
        <f t="shared" si="133"/>
        <v>0</v>
      </c>
      <c r="BB75" s="33">
        <f t="shared" si="133"/>
        <v>0</v>
      </c>
      <c r="BC75" s="33">
        <f t="shared" si="133"/>
        <v>0</v>
      </c>
      <c r="BD75" s="33">
        <f t="shared" si="133"/>
        <v>0</v>
      </c>
      <c r="BE75" s="33">
        <f t="shared" si="133"/>
        <v>0</v>
      </c>
      <c r="BF75" s="33">
        <f t="shared" si="133"/>
        <v>0</v>
      </c>
      <c r="BG75" s="33">
        <f t="shared" si="133"/>
        <v>0</v>
      </c>
      <c r="BH75" s="33">
        <f t="shared" si="133"/>
        <v>0</v>
      </c>
      <c r="BI75" s="33">
        <f t="shared" si="133"/>
        <v>0</v>
      </c>
      <c r="BJ75" s="33">
        <f t="shared" si="133"/>
        <v>0</v>
      </c>
      <c r="BK75" s="33">
        <f t="shared" si="133"/>
        <v>0</v>
      </c>
      <c r="BL75" s="33">
        <f t="shared" si="133"/>
        <v>0</v>
      </c>
      <c r="BM75" s="33">
        <f t="shared" si="133"/>
        <v>0</v>
      </c>
      <c r="BN75" s="33">
        <f t="shared" si="133"/>
        <v>0</v>
      </c>
      <c r="BO75" s="33">
        <f t="shared" si="133"/>
        <v>0</v>
      </c>
      <c r="BP75" s="33">
        <f t="shared" si="133"/>
        <v>0</v>
      </c>
      <c r="BQ75" s="33">
        <f t="shared" si="133"/>
        <v>0</v>
      </c>
      <c r="BR75" s="33">
        <f t="shared" si="133"/>
        <v>0</v>
      </c>
      <c r="BS75" s="33">
        <f t="shared" si="133"/>
        <v>0</v>
      </c>
      <c r="BT75" s="33">
        <f t="shared" si="133"/>
        <v>0</v>
      </c>
      <c r="BU75" s="33">
        <f t="shared" ref="BU75:BY75" si="134">SUM(BU73:BU74)</f>
        <v>0</v>
      </c>
      <c r="BV75" s="33">
        <f t="shared" si="134"/>
        <v>0</v>
      </c>
      <c r="BW75" s="33">
        <f t="shared" si="134"/>
        <v>0</v>
      </c>
      <c r="BX75" s="33">
        <f t="shared" si="134"/>
        <v>0</v>
      </c>
      <c r="BY75" s="33">
        <f t="shared" si="134"/>
        <v>0</v>
      </c>
    </row>
    <row r="76" spans="2:77" outlineLevel="1">
      <c r="F76" s="23"/>
      <c r="G76" s="23"/>
      <c r="BF76" s="33"/>
      <c r="BG76" s="33"/>
      <c r="BH76" s="33"/>
      <c r="BI76" s="33"/>
      <c r="BJ76" s="33"/>
      <c r="BK76" s="33"/>
      <c r="BL76" s="33"/>
      <c r="BM76" s="33"/>
      <c r="BN76" s="33"/>
      <c r="BO76" s="33"/>
      <c r="BP76" s="33"/>
      <c r="BQ76" s="33"/>
      <c r="BR76" s="33"/>
      <c r="BS76" s="33"/>
      <c r="BT76" s="33"/>
      <c r="BU76" s="33"/>
      <c r="BV76" s="33"/>
      <c r="BW76" s="33"/>
      <c r="BX76" s="33"/>
      <c r="BY76" s="33"/>
    </row>
    <row r="77" spans="2:77" s="19" customFormat="1" ht="12.75" outlineLevel="1">
      <c r="B77" s="18" t="s">
        <v>212</v>
      </c>
    </row>
    <row r="78" spans="2:77" outlineLevel="1">
      <c r="C78" s="21"/>
      <c r="BF78" s="33"/>
      <c r="BG78" s="33"/>
      <c r="BH78" s="33"/>
      <c r="BI78" s="33"/>
      <c r="BJ78" s="33"/>
      <c r="BK78" s="33"/>
      <c r="BL78" s="33"/>
      <c r="BM78" s="33"/>
      <c r="BN78" s="33"/>
      <c r="BO78" s="33"/>
      <c r="BP78" s="33"/>
      <c r="BQ78" s="33"/>
      <c r="BR78" s="33"/>
      <c r="BS78" s="33"/>
      <c r="BT78" s="33"/>
      <c r="BU78" s="33"/>
      <c r="BV78" s="33"/>
      <c r="BW78" s="33"/>
      <c r="BX78" s="33"/>
      <c r="BY78" s="33"/>
    </row>
    <row r="79" spans="2:77" ht="15" outlineLevel="1">
      <c r="E79" s="22" t="s">
        <v>450</v>
      </c>
      <c r="BF79" s="33"/>
      <c r="BG79" s="33"/>
      <c r="BH79" s="33"/>
      <c r="BI79" s="33"/>
      <c r="BJ79" s="33"/>
      <c r="BK79" s="33"/>
      <c r="BL79" s="33"/>
      <c r="BM79" s="33"/>
      <c r="BN79" s="33"/>
      <c r="BO79" s="33"/>
      <c r="BP79" s="33"/>
      <c r="BQ79" s="33"/>
      <c r="BR79" s="33"/>
      <c r="BS79" s="33"/>
      <c r="BT79" s="33"/>
      <c r="BU79" s="33"/>
      <c r="BV79" s="33"/>
      <c r="BW79" s="33"/>
      <c r="BX79" s="33"/>
      <c r="BY79" s="33"/>
    </row>
    <row r="80" spans="2:77" outlineLevel="1">
      <c r="E80" t="s">
        <v>490</v>
      </c>
      <c r="F80" s="80" t="str">
        <f>+Assumptions!$G$8</f>
        <v>USD</v>
      </c>
      <c r="G80" s="23"/>
      <c r="H80" s="33">
        <f ca="1">IFERROR((1+Sensitivity_tables!$N$18)*IF(Assumptions!$G$34="Manufactured",0,IF(AND(H$68=1,Assumptions!$G$61="Yes"),-Assumptions!$G$286*Assumptions!$G$268*Assumptions!$G$62*H$68*H63,-(Assumptions_Detailed!H$27+Assumptions_Detailed!H$28)*Assumptions!$G$286*Assumptions!$G$268*H$68)),0)</f>
        <v>0</v>
      </c>
      <c r="I80" s="33">
        <f ca="1">IFERROR((1+Sensitivity_tables!$N$18)*IF(Assumptions!$G$34="Manufactured",0,IF(AND(I$68=1,Assumptions!$G$61="Yes"),-Assumptions!$G$286*Assumptions!$G$268*Assumptions!$G$62*I$68*I63,-(Assumptions_Detailed!I$27+Assumptions_Detailed!I$28)*Assumptions!$G$286*Assumptions!$G$268*I$68)),0)</f>
        <v>0</v>
      </c>
      <c r="J80" s="33">
        <f ca="1">IFERROR((1+Sensitivity_tables!$N$18)*IF(Assumptions!$G$34="Manufactured",0,IF(AND(J$68=1,Assumptions!$G$61="Yes"),-Assumptions!$G$286*Assumptions!$G$268*Assumptions!$G$62*J$68*J63,-(Assumptions_Detailed!J$27+Assumptions_Detailed!J$28)*Assumptions!$G$286*Assumptions!$G$268*J$68)),0)</f>
        <v>0</v>
      </c>
      <c r="K80" s="33">
        <f>IFERROR((1+Sensitivity_tables!$N$18)*IF(Assumptions!$G$34="Manufactured",0,IF(AND(K$68=1,Assumptions!$G$61="Yes"),-Assumptions!$G$286*Assumptions!$G$268*Assumptions!$G$62*K$68*K63,-(Assumptions_Detailed!K$27+Assumptions_Detailed!K$28)*Assumptions!$G$286*Assumptions!$G$268*K$68)),0)</f>
        <v>0</v>
      </c>
      <c r="L80" s="33">
        <f>IFERROR((1+Sensitivity_tables!$N$18)*IF(Assumptions!$G$34="Manufactured",0,IF(AND(L$68=1,Assumptions!$G$61="Yes"),-Assumptions!$G$286*Assumptions!$G$268*Assumptions!$G$62*L$68*L63,-(Assumptions_Detailed!L$27+Assumptions_Detailed!L$28)*Assumptions!$G$286*Assumptions!$G$268*L$68)),0)</f>
        <v>0</v>
      </c>
      <c r="M80" s="33">
        <f>IFERROR((1+Sensitivity_tables!$N$18)*IF(Assumptions!$G$34="Manufactured",0,IF(AND(M$68=1,Assumptions!$G$61="Yes"),-Assumptions!$G$286*Assumptions!$G$268*Assumptions!$G$62*M$68*M63,-(Assumptions_Detailed!M$27+Assumptions_Detailed!M$28)*Assumptions!$G$286*Assumptions!$G$268*M$68)),0)</f>
        <v>0</v>
      </c>
      <c r="N80" s="33">
        <f>IFERROR((1+Sensitivity_tables!$N$18)*IF(Assumptions!$G$34="Manufactured",0,IF(AND(N$68=1,Assumptions!$G$61="Yes"),-Assumptions!$G$286*Assumptions!$G$268*Assumptions!$G$62*N$68*N63,-(Assumptions_Detailed!N$27+Assumptions_Detailed!N$28)*Assumptions!$G$286*Assumptions!$G$268*N$68)),0)</f>
        <v>0</v>
      </c>
      <c r="O80" s="33">
        <f>IFERROR((1+Sensitivity_tables!$N$18)*IF(Assumptions!$G$34="Manufactured",0,IF(AND(O$68=1,Assumptions!$G$61="Yes"),-Assumptions!$G$286*Assumptions!$G$268*Assumptions!$G$62*O$68*O63,-(Assumptions_Detailed!O$27+Assumptions_Detailed!O$28)*Assumptions!$G$286*Assumptions!$G$268*O$68)),0)</f>
        <v>0</v>
      </c>
      <c r="P80" s="33">
        <f>IFERROR((1+Sensitivity_tables!$N$18)*IF(Assumptions!$G$34="Manufactured",0,IF(AND(P$68=1,Assumptions!$G$61="Yes"),-Assumptions!$G$286*Assumptions!$G$268*Assumptions!$G$62*P$68*P63,-(Assumptions_Detailed!P$27+Assumptions_Detailed!P$28)*Assumptions!$G$286*Assumptions!$G$268*P$68)),0)</f>
        <v>0</v>
      </c>
      <c r="Q80" s="33">
        <f>IFERROR((1+Sensitivity_tables!$N$18)*IF(Assumptions!$G$34="Manufactured",0,IF(AND(Q$68=1,Assumptions!$G$61="Yes"),-Assumptions!$G$286*Assumptions!$G$268*Assumptions!$G$62*Q$68*Q63,-(Assumptions_Detailed!Q$27+Assumptions_Detailed!Q$28)*Assumptions!$G$286*Assumptions!$G$268*Q$68)),0)</f>
        <v>0</v>
      </c>
      <c r="R80" s="33">
        <f>IFERROR((1+Sensitivity_tables!$N$18)*IF(Assumptions!$G$34="Manufactured",0,IF(AND(R$68=1,Assumptions!$G$61="Yes"),-Assumptions!$G$286*Assumptions!$G$268*Assumptions!$G$62*R$68*R63,-(Assumptions_Detailed!R$27+Assumptions_Detailed!R$28)*Assumptions!$G$286*Assumptions!$G$268*R$68)),0)</f>
        <v>0</v>
      </c>
      <c r="S80" s="33">
        <f>IFERROR((1+Sensitivity_tables!$N$18)*IF(Assumptions!$G$34="Manufactured",0,IF(AND(S$68=1,Assumptions!$G$61="Yes"),-Assumptions!$G$286*Assumptions!$G$268*Assumptions!$G$62*S$68*S63,-(Assumptions_Detailed!S$27+Assumptions_Detailed!S$28)*Assumptions!$G$286*Assumptions!$G$268*S$68)),0)</f>
        <v>0</v>
      </c>
      <c r="T80" s="33">
        <f>IFERROR((1+Sensitivity_tables!$N$18)*IF(Assumptions!$G$34="Manufactured",0,IF(AND(T$68=1,Assumptions!$G$61="Yes"),-Assumptions!$G$286*Assumptions!$G$268*Assumptions!$G$62*T$68*T63,-(Assumptions_Detailed!T$27+Assumptions_Detailed!T$28)*Assumptions!$G$286*Assumptions!$G$268*T$68)),0)</f>
        <v>0</v>
      </c>
      <c r="U80" s="33">
        <f>IFERROR((1+Sensitivity_tables!$N$18)*IF(Assumptions!$G$34="Manufactured",0,IF(AND(U$68=1,Assumptions!$G$61="Yes"),-Assumptions!$G$286*Assumptions!$G$268*Assumptions!$G$62*U$68*U63,-(Assumptions_Detailed!U$27+Assumptions_Detailed!U$28)*Assumptions!$G$286*Assumptions!$G$268*U$68)),0)</f>
        <v>0</v>
      </c>
      <c r="V80" s="33">
        <f>IFERROR((1+Sensitivity_tables!$N$18)*IF(Assumptions!$G$34="Manufactured",0,IF(AND(V$68=1,Assumptions!$G$61="Yes"),-Assumptions!$G$286*Assumptions!$G$268*Assumptions!$G$62*V$68*V63,-(Assumptions_Detailed!V$27+Assumptions_Detailed!V$28)*Assumptions!$G$286*Assumptions!$G$268*V$68)),0)</f>
        <v>0</v>
      </c>
      <c r="W80" s="33">
        <f>IFERROR((1+Sensitivity_tables!$N$18)*IF(Assumptions!$G$34="Manufactured",0,IF(AND(W$68=1,Assumptions!$G$61="Yes"),-Assumptions!$G$286*Assumptions!$G$268*Assumptions!$G$62*W$68*W63,-(Assumptions_Detailed!W$27+Assumptions_Detailed!W$28)*Assumptions!$G$286*Assumptions!$G$268*W$68)),0)</f>
        <v>0</v>
      </c>
      <c r="X80" s="33">
        <f>IFERROR((1+Sensitivity_tables!$N$18)*IF(Assumptions!$G$34="Manufactured",0,IF(AND(X$68=1,Assumptions!$G$61="Yes"),-Assumptions!$G$286*Assumptions!$G$268*Assumptions!$G$62*X$68*X63,-(Assumptions_Detailed!X$27+Assumptions_Detailed!X$28)*Assumptions!$G$286*Assumptions!$G$268*X$68)),0)</f>
        <v>0</v>
      </c>
      <c r="Y80" s="33">
        <f>IFERROR((1+Sensitivity_tables!$N$18)*IF(Assumptions!$G$34="Manufactured",0,IF(AND(Y$68=1,Assumptions!$G$61="Yes"),-Assumptions!$G$286*Assumptions!$G$268*Assumptions!$G$62*Y$68*Y63,-(Assumptions_Detailed!Y$27+Assumptions_Detailed!Y$28)*Assumptions!$G$286*Assumptions!$G$268*Y$68)),0)</f>
        <v>0</v>
      </c>
      <c r="Z80" s="33">
        <f ca="1">IFERROR((1+Sensitivity_tables!$N$18)*IF(Assumptions!$G$34="Manufactured",0,IF(AND(Z$68=1,Assumptions!$G$61="Yes"),-Assumptions!$G$286*Assumptions!$G$268*Assumptions!$G$62*Z$68*Z63,-(Assumptions_Detailed!Z$27+Assumptions_Detailed!Z$28)*Assumptions!$G$286*Assumptions!$G$268*Z$68)),0)</f>
        <v>0</v>
      </c>
      <c r="AA80" s="33">
        <f ca="1">IFERROR((1+Sensitivity_tables!$N$18)*IF(Assumptions!$G$34="Manufactured",0,IF(AND(AA$68=1,Assumptions!$G$61="Yes"),-Assumptions!$G$286*Assumptions!$G$268*Assumptions!$G$62*AA$68*AA63,-(Assumptions_Detailed!AA$27+Assumptions_Detailed!AA$28)*Assumptions!$G$286*Assumptions!$G$268*AA$68)),0)</f>
        <v>0</v>
      </c>
      <c r="AB80" s="33">
        <f ca="1">IFERROR((1+Sensitivity_tables!$N$18)*IF(Assumptions!$G$34="Manufactured",0,IF(AND(AB$68=1,Assumptions!$G$61="Yes"),-Assumptions!$G$286*Assumptions!$G$268*Assumptions!$G$62*AB$68*AB63,-(Assumptions_Detailed!AB$27+Assumptions_Detailed!AB$28)*Assumptions!$G$286*Assumptions!$G$268*AB$68)),0)</f>
        <v>0</v>
      </c>
      <c r="AC80" s="33">
        <f ca="1">IFERROR((1+Sensitivity_tables!$N$18)*IF(Assumptions!$G$34="Manufactured",0,IF(AND(AC$68=1,Assumptions!$G$61="Yes"),-Assumptions!$G$286*Assumptions!$G$268*Assumptions!$G$62*AC$68*AC63,-(Assumptions_Detailed!AC$27+Assumptions_Detailed!AC$28)*Assumptions!$G$286*Assumptions!$G$268*AC$68)),0)</f>
        <v>0</v>
      </c>
      <c r="AD80" s="33">
        <f ca="1">IFERROR((1+Sensitivity_tables!$N$18)*IF(Assumptions!$G$34="Manufactured",0,IF(AND(AD$68=1,Assumptions!$G$61="Yes"),-Assumptions!$G$286*Assumptions!$G$268*Assumptions!$G$62*AD$68*AD63,-(Assumptions_Detailed!AD$27+Assumptions_Detailed!AD$28)*Assumptions!$G$286*Assumptions!$G$268*AD$68)),0)</f>
        <v>0</v>
      </c>
      <c r="AE80" s="33">
        <f ca="1">IFERROR((1+Sensitivity_tables!$N$18)*IF(Assumptions!$G$34="Manufactured",0,IF(AND(AE$68=1,Assumptions!$G$61="Yes"),-Assumptions!$G$286*Assumptions!$G$268*Assumptions!$G$62*AE$68*AE63,-(Assumptions_Detailed!AE$27+Assumptions_Detailed!AE$28)*Assumptions!$G$286*Assumptions!$G$268*AE$68)),0)</f>
        <v>0</v>
      </c>
      <c r="AF80" s="33">
        <f ca="1">IFERROR((1+Sensitivity_tables!$N$18)*IF(Assumptions!$G$34="Manufactured",0,IF(AND(AF$68=1,Assumptions!$G$61="Yes"),-Assumptions!$G$286*Assumptions!$G$268*Assumptions!$G$62*AF$68*AF63,-(Assumptions_Detailed!AF$27+Assumptions_Detailed!AF$28)*Assumptions!$G$286*Assumptions!$G$268*AF$68)),0)</f>
        <v>0</v>
      </c>
      <c r="AG80" s="33">
        <f ca="1">IFERROR((1+Sensitivity_tables!$N$18)*IF(Assumptions!$G$34="Manufactured",0,IF(AND(AG$68=1,Assumptions!$G$61="Yes"),-Assumptions!$G$286*Assumptions!$G$268*Assumptions!$G$62*AG$68*AG63,-(Assumptions_Detailed!AG$27+Assumptions_Detailed!AG$28)*Assumptions!$G$286*Assumptions!$G$268*AG$68)),0)</f>
        <v>0</v>
      </c>
      <c r="AH80" s="33">
        <f ca="1">IFERROR((1+Sensitivity_tables!$N$18)*IF(Assumptions!$G$34="Manufactured",0,IF(AND(AH$68=1,Assumptions!$G$61="Yes"),-Assumptions!$G$286*Assumptions!$G$268*Assumptions!$G$62*AH$68*AH63,-(Assumptions_Detailed!AH$27+Assumptions_Detailed!AH$28)*Assumptions!$G$286*Assumptions!$G$268*AH$68)),0)</f>
        <v>0</v>
      </c>
      <c r="AI80" s="33">
        <f ca="1">IFERROR((1+Sensitivity_tables!$N$18)*IF(Assumptions!$G$34="Manufactured",0,IF(AND(AI$68=1,Assumptions!$G$61="Yes"),-Assumptions!$G$286*Assumptions!$G$268*Assumptions!$G$62*AI$68*AI63,-(Assumptions_Detailed!AI$27+Assumptions_Detailed!AI$28)*Assumptions!$G$286*Assumptions!$G$268*AI$68)),0)</f>
        <v>0</v>
      </c>
      <c r="AJ80" s="33">
        <f ca="1">IFERROR((1+Sensitivity_tables!$N$18)*IF(Assumptions!$G$34="Manufactured",0,IF(AND(AJ$68=1,Assumptions!$G$61="Yes"),-Assumptions!$G$286*Assumptions!$G$268*Assumptions!$G$62*AJ$68*AJ63,-(Assumptions_Detailed!AJ$27+Assumptions_Detailed!AJ$28)*Assumptions!$G$286*Assumptions!$G$268*AJ$68)),0)</f>
        <v>0</v>
      </c>
      <c r="AK80" s="33">
        <f ca="1">IFERROR((1+Sensitivity_tables!$N$18)*IF(Assumptions!$G$34="Manufactured",0,IF(AND(AK$68=1,Assumptions!$G$61="Yes"),-Assumptions!$G$286*Assumptions!$G$268*Assumptions!$G$62*AK$68*AK63,-(Assumptions_Detailed!AK$27+Assumptions_Detailed!AK$28)*Assumptions!$G$286*Assumptions!$G$268*AK$68)),0)</f>
        <v>0</v>
      </c>
      <c r="AL80" s="33">
        <f ca="1">IFERROR((1+Sensitivity_tables!$N$18)*IF(Assumptions!$G$34="Manufactured",0,IF(AND(AL$68=1,Assumptions!$G$61="Yes"),-Assumptions!$G$286*Assumptions!$G$268*Assumptions!$G$62*AL$68*AL63,-(Assumptions_Detailed!AL$27+Assumptions_Detailed!AL$28)*Assumptions!$G$286*Assumptions!$G$268*AL$68)),0)</f>
        <v>0</v>
      </c>
      <c r="AM80" s="33">
        <f ca="1">IFERROR((1+Sensitivity_tables!$N$18)*IF(Assumptions!$G$34="Manufactured",0,IF(AND(AM$68=1,Assumptions!$G$61="Yes"),-Assumptions!$G$286*Assumptions!$G$268*Assumptions!$G$62*AM$68*AM63,-(Assumptions_Detailed!AM$27+Assumptions_Detailed!AM$28)*Assumptions!$G$286*Assumptions!$G$268*AM$68)),0)</f>
        <v>0</v>
      </c>
      <c r="AN80" s="33">
        <f ca="1">IFERROR((1+Sensitivity_tables!$N$18)*IF(Assumptions!$G$34="Manufactured",0,IF(AND(AN$68=1,Assumptions!$G$61="Yes"),-Assumptions!$G$286*Assumptions!$G$268*Assumptions!$G$62*AN$68*AN63,-(Assumptions_Detailed!AN$27+Assumptions_Detailed!AN$28)*Assumptions!$G$286*Assumptions!$G$268*AN$68)),0)</f>
        <v>0</v>
      </c>
      <c r="AO80" s="33">
        <f ca="1">IFERROR((1+Sensitivity_tables!$N$18)*IF(Assumptions!$G$34="Manufactured",0,IF(AND(AO$68=1,Assumptions!$G$61="Yes"),-Assumptions!$G$286*Assumptions!$G$268*Assumptions!$G$62*AO$68*AO63,-(Assumptions_Detailed!AO$27+Assumptions_Detailed!AO$28)*Assumptions!$G$286*Assumptions!$G$268*AO$68)),0)</f>
        <v>0</v>
      </c>
      <c r="AP80" s="33">
        <f ca="1">IFERROR((1+Sensitivity_tables!$N$18)*IF(Assumptions!$G$34="Manufactured",0,IF(AND(AP$68=1,Assumptions!$G$61="Yes"),-Assumptions!$G$286*Assumptions!$G$268*Assumptions!$G$62*AP$68*AP63,-(Assumptions_Detailed!AP$27+Assumptions_Detailed!AP$28)*Assumptions!$G$286*Assumptions!$G$268*AP$68)),0)</f>
        <v>0</v>
      </c>
      <c r="AQ80" s="33">
        <f ca="1">IFERROR((1+Sensitivity_tables!$N$18)*IF(Assumptions!$G$34="Manufactured",0,IF(AND(AQ$68=1,Assumptions!$G$61="Yes"),-Assumptions!$G$286*Assumptions!$G$268*Assumptions!$G$62*AQ$68*AQ63,-(Assumptions_Detailed!AQ$27+Assumptions_Detailed!AQ$28)*Assumptions!$G$286*Assumptions!$G$268*AQ$68)),0)</f>
        <v>0</v>
      </c>
      <c r="AR80" s="33">
        <f ca="1">IFERROR((1+Sensitivity_tables!$N$18)*IF(Assumptions!$G$34="Manufactured",0,IF(AND(AR$68=1,Assumptions!$G$61="Yes"),-Assumptions!$G$286*Assumptions!$G$268*Assumptions!$G$62*AR$68*AR63,-(Assumptions_Detailed!AR$27+Assumptions_Detailed!AR$28)*Assumptions!$G$286*Assumptions!$G$268*AR$68)),0)</f>
        <v>0</v>
      </c>
      <c r="AS80" s="33">
        <f ca="1">IFERROR((1+Sensitivity_tables!$N$18)*IF(Assumptions!$G$34="Manufactured",0,IF(AND(AS$68=1,Assumptions!$G$61="Yes"),-Assumptions!$G$286*Assumptions!$G$268*Assumptions!$G$62*AS$68*AS63,-(Assumptions_Detailed!AS$27+Assumptions_Detailed!AS$28)*Assumptions!$G$286*Assumptions!$G$268*AS$68)),0)</f>
        <v>0</v>
      </c>
      <c r="AT80" s="33">
        <f ca="1">IFERROR((1+Sensitivity_tables!$N$18)*IF(Assumptions!$G$34="Manufactured",0,IF(AND(AT$68=1,Assumptions!$G$61="Yes"),-Assumptions!$G$286*Assumptions!$G$268*Assumptions!$G$62*AT$68*AT63,-(Assumptions_Detailed!AT$27+Assumptions_Detailed!AT$28)*Assumptions!$G$286*Assumptions!$G$268*AT$68)),0)</f>
        <v>0</v>
      </c>
      <c r="AU80" s="33">
        <f ca="1">IFERROR((1+Sensitivity_tables!$N$18)*IF(Assumptions!$G$34="Manufactured",0,IF(AND(AU$68=1,Assumptions!$G$61="Yes"),-Assumptions!$G$286*Assumptions!$G$268*Assumptions!$G$62*AU$68*AU63,-(Assumptions_Detailed!AU$27+Assumptions_Detailed!AU$28)*Assumptions!$G$286*Assumptions!$G$268*AU$68)),0)</f>
        <v>0</v>
      </c>
      <c r="AV80" s="33">
        <f ca="1">IFERROR((1+Sensitivity_tables!$N$18)*IF(Assumptions!$G$34="Manufactured",0,IF(AND(AV$68=1,Assumptions!$G$61="Yes"),-Assumptions!$G$286*Assumptions!$G$268*Assumptions!$G$62*AV$68*AV63,-(Assumptions_Detailed!AV$27+Assumptions_Detailed!AV$28)*Assumptions!$G$286*Assumptions!$G$268*AV$68)),0)</f>
        <v>0</v>
      </c>
      <c r="AW80" s="33">
        <f ca="1">IFERROR((1+Sensitivity_tables!$N$18)*IF(Assumptions!$G$34="Manufactured",0,IF(AND(AW$68=1,Assumptions!$G$61="Yes"),-Assumptions!$G$286*Assumptions!$G$268*Assumptions!$G$62*AW$68*AW63,-(Assumptions_Detailed!AW$27+Assumptions_Detailed!AW$28)*Assumptions!$G$286*Assumptions!$G$268*AW$68)),0)</f>
        <v>0</v>
      </c>
      <c r="AX80" s="33">
        <f ca="1">IFERROR((1+Sensitivity_tables!$N$18)*IF(Assumptions!$G$34="Manufactured",0,IF(AND(AX$68=1,Assumptions!$G$61="Yes"),-Assumptions!$G$286*Assumptions!$G$268*Assumptions!$G$62*AX$68*AX63,-(Assumptions_Detailed!AX$27+Assumptions_Detailed!AX$28)*Assumptions!$G$286*Assumptions!$G$268*AX$68)),0)</f>
        <v>0</v>
      </c>
      <c r="AY80" s="33">
        <f ca="1">IFERROR((1+Sensitivity_tables!$N$18)*IF(Assumptions!$G$34="Manufactured",0,IF(AND(AY$68=1,Assumptions!$G$61="Yes"),-Assumptions!$G$286*Assumptions!$G$268*Assumptions!$G$62*AY$68*AY63,-(Assumptions_Detailed!AY$27+Assumptions_Detailed!AY$28)*Assumptions!$G$286*Assumptions!$G$268*AY$68)),0)</f>
        <v>0</v>
      </c>
      <c r="AZ80" s="33">
        <f ca="1">IFERROR((1+Sensitivity_tables!$N$18)*IF(Assumptions!$G$34="Manufactured",0,IF(AND(AZ$68=1,Assumptions!$G$61="Yes"),-Assumptions!$G$286*Assumptions!$G$268*Assumptions!$G$62*AZ$68*AZ63,-(Assumptions_Detailed!AZ$27+Assumptions_Detailed!AZ$28)*Assumptions!$G$286*Assumptions!$G$268*AZ$68)),0)</f>
        <v>0</v>
      </c>
      <c r="BA80" s="33">
        <f ca="1">IFERROR((1+Sensitivity_tables!$N$18)*IF(Assumptions!$G$34="Manufactured",0,IF(AND(BA$68=1,Assumptions!$G$61="Yes"),-Assumptions!$G$286*Assumptions!$G$268*Assumptions!$G$62*BA$68*BA63,-(Assumptions_Detailed!BA$27+Assumptions_Detailed!BA$28)*Assumptions!$G$286*Assumptions!$G$268*BA$68)),0)</f>
        <v>0</v>
      </c>
      <c r="BB80" s="33">
        <f ca="1">IFERROR((1+Sensitivity_tables!$N$18)*IF(Assumptions!$G$34="Manufactured",0,IF(AND(BB$68=1,Assumptions!$G$61="Yes"),-Assumptions!$G$286*Assumptions!$G$268*Assumptions!$G$62*BB$68*BB63,-(Assumptions_Detailed!BB$27+Assumptions_Detailed!BB$28)*Assumptions!$G$286*Assumptions!$G$268*BB$68)),0)</f>
        <v>0</v>
      </c>
      <c r="BC80" s="33">
        <f ca="1">IFERROR((1+Sensitivity_tables!$N$18)*IF(Assumptions!$G$34="Manufactured",0,IF(AND(BC$68=1,Assumptions!$G$61="Yes"),-Assumptions!$G$286*Assumptions!$G$268*Assumptions!$G$62*BC$68*BC63,-(Assumptions_Detailed!BC$27+Assumptions_Detailed!BC$28)*Assumptions!$G$286*Assumptions!$G$268*BC$68)),0)</f>
        <v>0</v>
      </c>
      <c r="BD80" s="33">
        <f ca="1">IFERROR((1+Sensitivity_tables!$N$18)*IF(Assumptions!$G$34="Manufactured",0,IF(AND(BD$68=1,Assumptions!$G$61="Yes"),-Assumptions!$G$286*Assumptions!$G$268*Assumptions!$G$62*BD$68*BD63,-(Assumptions_Detailed!BD$27+Assumptions_Detailed!BD$28)*Assumptions!$G$286*Assumptions!$G$268*BD$68)),0)</f>
        <v>0</v>
      </c>
      <c r="BE80" s="33">
        <f ca="1">IFERROR((1+Sensitivity_tables!$N$18)*IF(Assumptions!$G$34="Manufactured",0,IF(AND(BE$68=1,Assumptions!$G$61="Yes"),-Assumptions!$G$286*Assumptions!$G$268*Assumptions!$G$62*BE$68*BE63,-(Assumptions_Detailed!BE$27+Assumptions_Detailed!BE$28)*Assumptions!$G$286*Assumptions!$G$268*BE$68)),0)</f>
        <v>0</v>
      </c>
      <c r="BF80" s="33">
        <f ca="1">IFERROR((1+Sensitivity_tables!$N$18)*IF(Assumptions!$G$34="Manufactured",0,IF(AND(BF$68=1,Assumptions!$G$61="Yes"),-Assumptions!$G$286*Assumptions!$G$268*Assumptions!$G$62*BF$68*BF63,-(Assumptions_Detailed!BF$27+Assumptions_Detailed!BF$28)*Assumptions!$G$286*Assumptions!$G$268*BF$68)),0)</f>
        <v>0</v>
      </c>
      <c r="BG80" s="33">
        <f ca="1">IFERROR((1+Sensitivity_tables!$N$18)*IF(Assumptions!$G$34="Manufactured",0,IF(AND(BG$68=1,Assumptions!$G$61="Yes"),-Assumptions!$G$286*Assumptions!$G$268*Assumptions!$G$62*BG$68*BG63,-(Assumptions_Detailed!BG$27+Assumptions_Detailed!BG$28)*Assumptions!$G$286*Assumptions!$G$268*BG$68)),0)</f>
        <v>0</v>
      </c>
      <c r="BH80" s="33">
        <f ca="1">IFERROR((1+Sensitivity_tables!$N$18)*IF(Assumptions!$G$34="Manufactured",0,IF(AND(BH$68=1,Assumptions!$G$61="Yes"),-Assumptions!$G$286*Assumptions!$G$268*Assumptions!$G$62*BH$68*BH63,-(Assumptions_Detailed!BH$27+Assumptions_Detailed!BH$28)*Assumptions!$G$286*Assumptions!$G$268*BH$68)),0)</f>
        <v>0</v>
      </c>
      <c r="BI80" s="33">
        <f ca="1">IFERROR((1+Sensitivity_tables!$N$18)*IF(Assumptions!$G$34="Manufactured",0,IF(AND(BI$68=1,Assumptions!$G$61="Yes"),-Assumptions!$G$286*Assumptions!$G$268*Assumptions!$G$62*BI$68*BI63,-(Assumptions_Detailed!BI$27+Assumptions_Detailed!BI$28)*Assumptions!$G$286*Assumptions!$G$268*BI$68)),0)</f>
        <v>0</v>
      </c>
      <c r="BJ80" s="33">
        <f ca="1">IFERROR((1+Sensitivity_tables!$N$18)*IF(Assumptions!$G$34="Manufactured",0,IF(AND(BJ$68=1,Assumptions!$G$61="Yes"),-Assumptions!$G$286*Assumptions!$G$268*Assumptions!$G$62*BJ$68*BJ63,-(Assumptions_Detailed!BJ$27+Assumptions_Detailed!BJ$28)*Assumptions!$G$286*Assumptions!$G$268*BJ$68)),0)</f>
        <v>0</v>
      </c>
      <c r="BK80" s="33">
        <f ca="1">IFERROR((1+Sensitivity_tables!$N$18)*IF(Assumptions!$G$34="Manufactured",0,IF(AND(BK$68=1,Assumptions!$G$61="Yes"),-Assumptions!$G$286*Assumptions!$G$268*Assumptions!$G$62*BK$68*BK63,-(Assumptions_Detailed!BK$27+Assumptions_Detailed!BK$28)*Assumptions!$G$286*Assumptions!$G$268*BK$68)),0)</f>
        <v>0</v>
      </c>
      <c r="BL80" s="33">
        <f ca="1">IFERROR((1+Sensitivity_tables!$N$18)*IF(Assumptions!$G$34="Manufactured",0,IF(AND(BL$68=1,Assumptions!$G$61="Yes"),-Assumptions!$G$286*Assumptions!$G$268*Assumptions!$G$62*BL$68*BL63,-(Assumptions_Detailed!BL$27+Assumptions_Detailed!BL$28)*Assumptions!$G$286*Assumptions!$G$268*BL$68)),0)</f>
        <v>0</v>
      </c>
      <c r="BM80" s="33">
        <f ca="1">IFERROR((1+Sensitivity_tables!$N$18)*IF(Assumptions!$G$34="Manufactured",0,IF(AND(BM$68=1,Assumptions!$G$61="Yes"),-Assumptions!$G$286*Assumptions!$G$268*Assumptions!$G$62*BM$68*BM63,-(Assumptions_Detailed!BM$27+Assumptions_Detailed!BM$28)*Assumptions!$G$286*Assumptions!$G$268*BM$68)),0)</f>
        <v>0</v>
      </c>
      <c r="BN80" s="33">
        <f ca="1">IFERROR((1+Sensitivity_tables!$N$18)*IF(Assumptions!$G$34="Manufactured",0,IF(AND(BN$68=1,Assumptions!$G$61="Yes"),-Assumptions!$G$286*Assumptions!$G$268*Assumptions!$G$62*BN$68*BN63,-(Assumptions_Detailed!BN$27+Assumptions_Detailed!BN$28)*Assumptions!$G$286*Assumptions!$G$268*BN$68)),0)</f>
        <v>0</v>
      </c>
      <c r="BO80" s="33">
        <f ca="1">IFERROR((1+Sensitivity_tables!$N$18)*IF(Assumptions!$G$34="Manufactured",0,IF(AND(BO$68=1,Assumptions!$G$61="Yes"),-Assumptions!$G$286*Assumptions!$G$268*Assumptions!$G$62*BO$68*BO63,-(Assumptions_Detailed!BO$27+Assumptions_Detailed!BO$28)*Assumptions!$G$286*Assumptions!$G$268*BO$68)),0)</f>
        <v>0</v>
      </c>
      <c r="BP80" s="33">
        <f ca="1">IFERROR((1+Sensitivity_tables!$N$18)*IF(Assumptions!$G$34="Manufactured",0,IF(AND(BP$68=1,Assumptions!$G$61="Yes"),-Assumptions!$G$286*Assumptions!$G$268*Assumptions!$G$62*BP$68*BP63,-(Assumptions_Detailed!BP$27+Assumptions_Detailed!BP$28)*Assumptions!$G$286*Assumptions!$G$268*BP$68)),0)</f>
        <v>0</v>
      </c>
      <c r="BQ80" s="33">
        <f ca="1">IFERROR((1+Sensitivity_tables!$N$18)*IF(Assumptions!$G$34="Manufactured",0,IF(AND(BQ$68=1,Assumptions!$G$61="Yes"),-Assumptions!$G$286*Assumptions!$G$268*Assumptions!$G$62*BQ$68*BQ63,-(Assumptions_Detailed!BQ$27+Assumptions_Detailed!BQ$28)*Assumptions!$G$286*Assumptions!$G$268*BQ$68)),0)</f>
        <v>0</v>
      </c>
      <c r="BR80" s="33">
        <f ca="1">IFERROR((1+Sensitivity_tables!$N$18)*IF(Assumptions!$G$34="Manufactured",0,IF(AND(BR$68=1,Assumptions!$G$61="Yes"),-Assumptions!$G$286*Assumptions!$G$268*Assumptions!$G$62*BR$68*BR63,-(Assumptions_Detailed!BR$27+Assumptions_Detailed!BR$28)*Assumptions!$G$286*Assumptions!$G$268*BR$68)),0)</f>
        <v>0</v>
      </c>
      <c r="BS80" s="33">
        <f ca="1">IFERROR((1+Sensitivity_tables!$N$18)*IF(Assumptions!$G$34="Manufactured",0,IF(AND(BS$68=1,Assumptions!$G$61="Yes"),-Assumptions!$G$286*Assumptions!$G$268*Assumptions!$G$62*BS$68*BS63,-(Assumptions_Detailed!BS$27+Assumptions_Detailed!BS$28)*Assumptions!$G$286*Assumptions!$G$268*BS$68)),0)</f>
        <v>0</v>
      </c>
      <c r="BT80" s="33">
        <f ca="1">IFERROR((1+Sensitivity_tables!$N$18)*IF(Assumptions!$G$34="Manufactured",0,IF(AND(BT$68=1,Assumptions!$G$61="Yes"),-Assumptions!$G$286*Assumptions!$G$268*Assumptions!$G$62*BT$68*BT63,-(Assumptions_Detailed!BT$27+Assumptions_Detailed!BT$28)*Assumptions!$G$286*Assumptions!$G$268*BT$68)),0)</f>
        <v>0</v>
      </c>
      <c r="BU80" s="33">
        <f ca="1">IFERROR((1+Sensitivity_tables!$N$18)*IF(Assumptions!$G$34="Manufactured",0,IF(AND(BU$68=1,Assumptions!$G$61="Yes"),-Assumptions!$G$286*Assumptions!$G$268*Assumptions!$G$62*BU$68*BU63,-(Assumptions_Detailed!BU$27+Assumptions_Detailed!BU$28)*Assumptions!$G$286*Assumptions!$G$268*BU$68)),0)</f>
        <v>0</v>
      </c>
      <c r="BV80" s="33">
        <f ca="1">IFERROR((1+Sensitivity_tables!$N$18)*IF(Assumptions!$G$34="Manufactured",0,IF(AND(BV$68=1,Assumptions!$G$61="Yes"),-Assumptions!$G$286*Assumptions!$G$268*Assumptions!$G$62*BV$68*BV63,-(Assumptions_Detailed!BV$27+Assumptions_Detailed!BV$28)*Assumptions!$G$286*Assumptions!$G$268*BV$68)),0)</f>
        <v>0</v>
      </c>
      <c r="BW80" s="33">
        <f ca="1">IFERROR((1+Sensitivity_tables!$N$18)*IF(Assumptions!$G$34="Manufactured",0,IF(AND(BW$68=1,Assumptions!$G$61="Yes"),-Assumptions!$G$286*Assumptions!$G$268*Assumptions!$G$62*BW$68*BW63,-(Assumptions_Detailed!BW$27+Assumptions_Detailed!BW$28)*Assumptions!$G$286*Assumptions!$G$268*BW$68)),0)</f>
        <v>0</v>
      </c>
      <c r="BX80" s="33">
        <f ca="1">IFERROR((1+Sensitivity_tables!$N$18)*IF(Assumptions!$G$34="Manufactured",0,IF(AND(BX$68=1,Assumptions!$G$61="Yes"),-Assumptions!$G$286*Assumptions!$G$268*Assumptions!$G$62*BX$68*BX63,-(Assumptions_Detailed!BX$27+Assumptions_Detailed!BX$28)*Assumptions!$G$286*Assumptions!$G$268*BX$68)),0)</f>
        <v>0</v>
      </c>
      <c r="BY80" s="33">
        <f ca="1">IFERROR((1+Sensitivity_tables!$N$18)*IF(Assumptions!$G$34="Manufactured",0,IF(AND(BY$68=1,Assumptions!$G$61="Yes"),-Assumptions!$G$286*Assumptions!$G$268*Assumptions!$G$62*BY$68*BY63,-(Assumptions_Detailed!BY$27+Assumptions_Detailed!BY$28)*Assumptions!$G$286*Assumptions!$G$268*BY$68)),0)</f>
        <v>0</v>
      </c>
    </row>
    <row r="81" spans="2:77" outlineLevel="1">
      <c r="E81" t="s">
        <v>491</v>
      </c>
      <c r="F81" s="80" t="str">
        <f>+Assumptions!$G$8</f>
        <v>USD</v>
      </c>
      <c r="G81" s="23"/>
      <c r="H81" s="33">
        <f ca="1">IFERROR((1+Sensitivity_tables!$N$18)*IF(Assumptions!$G$34="Manufactured",0,IF(AND(H$68=1,Assumptions!$G$63="Yes"),-Assumptions!$G$287*Assumptions!$G$268*Assumptions!$G$64*H$68*H63,-Assumptions_Detailed!H$30*Assumptions!$G$287*Assumptions!$G$268*H$68)),0)</f>
        <v>0</v>
      </c>
      <c r="I81" s="33">
        <f ca="1">IFERROR((1+Sensitivity_tables!$N$18)*IF(Assumptions!$G$34="Manufactured",0,IF(AND(I$68=1,Assumptions!$G$63="Yes"),-Assumptions!$G$287*Assumptions!$G$268*Assumptions!$G$64*I$68*I63,-Assumptions_Detailed!I$30*Assumptions!$G$287*Assumptions!$G$268*I$68)),0)</f>
        <v>0</v>
      </c>
      <c r="J81" s="33">
        <f ca="1">IFERROR((1+Sensitivity_tables!$N$18)*IF(Assumptions!$G$34="Manufactured",0,IF(AND(J$68=1,Assumptions!$G$63="Yes"),-Assumptions!$G$287*Assumptions!$G$268*Assumptions!$G$64*J$68*J63,-Assumptions_Detailed!J$30*Assumptions!$G$287*Assumptions!$G$268*J$68)),0)</f>
        <v>0</v>
      </c>
      <c r="K81" s="33">
        <f>IFERROR((1+Sensitivity_tables!$N$18)*IF(Assumptions!$G$34="Manufactured",0,IF(AND(K$68=1,Assumptions!$G$63="Yes"),-Assumptions!$G$287*Assumptions!$G$268*Assumptions!$G$64*K$68*K63,-Assumptions_Detailed!K$30*Assumptions!$G$287*Assumptions!$G$268*K$68)),0)</f>
        <v>0</v>
      </c>
      <c r="L81" s="33">
        <f>IFERROR((1+Sensitivity_tables!$N$18)*IF(Assumptions!$G$34="Manufactured",0,IF(AND(L$68=1,Assumptions!$G$63="Yes"),-Assumptions!$G$287*Assumptions!$G$268*Assumptions!$G$64*L$68*L63,-Assumptions_Detailed!L$30*Assumptions!$G$287*Assumptions!$G$268*L$68)),0)</f>
        <v>0</v>
      </c>
      <c r="M81" s="33">
        <f>IFERROR((1+Sensitivity_tables!$N$18)*IF(Assumptions!$G$34="Manufactured",0,IF(AND(M$68=1,Assumptions!$G$63="Yes"),-Assumptions!$G$287*Assumptions!$G$268*Assumptions!$G$64*M$68*M63,-Assumptions_Detailed!M$30*Assumptions!$G$287*Assumptions!$G$268*M$68)),0)</f>
        <v>0</v>
      </c>
      <c r="N81" s="33">
        <f>IFERROR((1+Sensitivity_tables!$N$18)*IF(Assumptions!$G$34="Manufactured",0,IF(AND(N$68=1,Assumptions!$G$63="Yes"),-Assumptions!$G$287*Assumptions!$G$268*Assumptions!$G$64*N$68*N63,-Assumptions_Detailed!N$30*Assumptions!$G$287*Assumptions!$G$268*N$68)),0)</f>
        <v>0</v>
      </c>
      <c r="O81" s="33">
        <f>IFERROR((1+Sensitivity_tables!$N$18)*IF(Assumptions!$G$34="Manufactured",0,IF(AND(O$68=1,Assumptions!$G$63="Yes"),-Assumptions!$G$287*Assumptions!$G$268*Assumptions!$G$64*O$68*O63,-Assumptions_Detailed!O$30*Assumptions!$G$287*Assumptions!$G$268*O$68)),0)</f>
        <v>0</v>
      </c>
      <c r="P81" s="33">
        <f>IFERROR((1+Sensitivity_tables!$N$18)*IF(Assumptions!$G$34="Manufactured",0,IF(AND(P$68=1,Assumptions!$G$63="Yes"),-Assumptions!$G$287*Assumptions!$G$268*Assumptions!$G$64*P$68*P63,-Assumptions_Detailed!P$30*Assumptions!$G$287*Assumptions!$G$268*P$68)),0)</f>
        <v>0</v>
      </c>
      <c r="Q81" s="33">
        <f>IFERROR((1+Sensitivity_tables!$N$18)*IF(Assumptions!$G$34="Manufactured",0,IF(AND(Q$68=1,Assumptions!$G$63="Yes"),-Assumptions!$G$287*Assumptions!$G$268*Assumptions!$G$64*Q$68*Q63,-Assumptions_Detailed!Q$30*Assumptions!$G$287*Assumptions!$G$268*Q$68)),0)</f>
        <v>0</v>
      </c>
      <c r="R81" s="33">
        <f>IFERROR((1+Sensitivity_tables!$N$18)*IF(Assumptions!$G$34="Manufactured",0,IF(AND(R$68=1,Assumptions!$G$63="Yes"),-Assumptions!$G$287*Assumptions!$G$268*Assumptions!$G$64*R$68*R63,-Assumptions_Detailed!R$30*Assumptions!$G$287*Assumptions!$G$268*R$68)),0)</f>
        <v>0</v>
      </c>
      <c r="S81" s="33">
        <f>IFERROR((1+Sensitivity_tables!$N$18)*IF(Assumptions!$G$34="Manufactured",0,IF(AND(S$68=1,Assumptions!$G$63="Yes"),-Assumptions!$G$287*Assumptions!$G$268*Assumptions!$G$64*S$68*S63,-Assumptions_Detailed!S$30*Assumptions!$G$287*Assumptions!$G$268*S$68)),0)</f>
        <v>0</v>
      </c>
      <c r="T81" s="33">
        <f>IFERROR((1+Sensitivity_tables!$N$18)*IF(Assumptions!$G$34="Manufactured",0,IF(AND(T$68=1,Assumptions!$G$63="Yes"),-Assumptions!$G$287*Assumptions!$G$268*Assumptions!$G$64*T$68*T63,-Assumptions_Detailed!T$30*Assumptions!$G$287*Assumptions!$G$268*T$68)),0)</f>
        <v>0</v>
      </c>
      <c r="U81" s="33">
        <f>IFERROR((1+Sensitivity_tables!$N$18)*IF(Assumptions!$G$34="Manufactured",0,IF(AND(U$68=1,Assumptions!$G$63="Yes"),-Assumptions!$G$287*Assumptions!$G$268*Assumptions!$G$64*U$68*U63,-Assumptions_Detailed!U$30*Assumptions!$G$287*Assumptions!$G$268*U$68)),0)</f>
        <v>0</v>
      </c>
      <c r="V81" s="33">
        <f>IFERROR((1+Sensitivity_tables!$N$18)*IF(Assumptions!$G$34="Manufactured",0,IF(AND(V$68=1,Assumptions!$G$63="Yes"),-Assumptions!$G$287*Assumptions!$G$268*Assumptions!$G$64*V$68*V63,-Assumptions_Detailed!V$30*Assumptions!$G$287*Assumptions!$G$268*V$68)),0)</f>
        <v>0</v>
      </c>
      <c r="W81" s="33">
        <f>IFERROR((1+Sensitivity_tables!$N$18)*IF(Assumptions!$G$34="Manufactured",0,IF(AND(W$68=1,Assumptions!$G$63="Yes"),-Assumptions!$G$287*Assumptions!$G$268*Assumptions!$G$64*W$68*W63,-Assumptions_Detailed!W$30*Assumptions!$G$287*Assumptions!$G$268*W$68)),0)</f>
        <v>0</v>
      </c>
      <c r="X81" s="33">
        <f>IFERROR((1+Sensitivity_tables!$N$18)*IF(Assumptions!$G$34="Manufactured",0,IF(AND(X$68=1,Assumptions!$G$63="Yes"),-Assumptions!$G$287*Assumptions!$G$268*Assumptions!$G$64*X$68*X63,-Assumptions_Detailed!X$30*Assumptions!$G$287*Assumptions!$G$268*X$68)),0)</f>
        <v>0</v>
      </c>
      <c r="Y81" s="33">
        <f>IFERROR((1+Sensitivity_tables!$N$18)*IF(Assumptions!$G$34="Manufactured",0,IF(AND(Y$68=1,Assumptions!$G$63="Yes"),-Assumptions!$G$287*Assumptions!$G$268*Assumptions!$G$64*Y$68*Y63,-Assumptions_Detailed!Y$30*Assumptions!$G$287*Assumptions!$G$268*Y$68)),0)</f>
        <v>0</v>
      </c>
      <c r="Z81" s="33">
        <f ca="1">IFERROR((1+Sensitivity_tables!$N$18)*IF(Assumptions!$G$34="Manufactured",0,IF(AND(Z$68=1,Assumptions!$G$63="Yes"),-Assumptions!$G$287*Assumptions!$G$268*Assumptions!$G$64*Z$68*Z63,-Assumptions_Detailed!Z$30*Assumptions!$G$287*Assumptions!$G$268*Z$68)),0)</f>
        <v>0</v>
      </c>
      <c r="AA81" s="33">
        <f ca="1">IFERROR((1+Sensitivity_tables!$N$18)*IF(Assumptions!$G$34="Manufactured",0,IF(AND(AA$68=1,Assumptions!$G$63="Yes"),-Assumptions!$G$287*Assumptions!$G$268*Assumptions!$G$64*AA$68*AA63,-Assumptions_Detailed!AA$30*Assumptions!$G$287*Assumptions!$G$268*AA$68)),0)</f>
        <v>0</v>
      </c>
      <c r="AB81" s="33">
        <f ca="1">IFERROR((1+Sensitivity_tables!$N$18)*IF(Assumptions!$G$34="Manufactured",0,IF(AND(AB$68=1,Assumptions!$G$63="Yes"),-Assumptions!$G$287*Assumptions!$G$268*Assumptions!$G$64*AB$68*AB63,-Assumptions_Detailed!AB$30*Assumptions!$G$287*Assumptions!$G$268*AB$68)),0)</f>
        <v>0</v>
      </c>
      <c r="AC81" s="33">
        <f ca="1">IFERROR((1+Sensitivity_tables!$N$18)*IF(Assumptions!$G$34="Manufactured",0,IF(AND(AC$68=1,Assumptions!$G$63="Yes"),-Assumptions!$G$287*Assumptions!$G$268*Assumptions!$G$64*AC$68*AC63,-Assumptions_Detailed!AC$30*Assumptions!$G$287*Assumptions!$G$268*AC$68)),0)</f>
        <v>0</v>
      </c>
      <c r="AD81" s="33">
        <f ca="1">IFERROR((1+Sensitivity_tables!$N$18)*IF(Assumptions!$G$34="Manufactured",0,IF(AND(AD$68=1,Assumptions!$G$63="Yes"),-Assumptions!$G$287*Assumptions!$G$268*Assumptions!$G$64*AD$68*AD63,-Assumptions_Detailed!AD$30*Assumptions!$G$287*Assumptions!$G$268*AD$68)),0)</f>
        <v>0</v>
      </c>
      <c r="AE81" s="33">
        <f ca="1">IFERROR((1+Sensitivity_tables!$N$18)*IF(Assumptions!$G$34="Manufactured",0,IF(AND(AE$68=1,Assumptions!$G$63="Yes"),-Assumptions!$G$287*Assumptions!$G$268*Assumptions!$G$64*AE$68*AE63,-Assumptions_Detailed!AE$30*Assumptions!$G$287*Assumptions!$G$268*AE$68)),0)</f>
        <v>0</v>
      </c>
      <c r="AF81" s="33">
        <f ca="1">IFERROR((1+Sensitivity_tables!$N$18)*IF(Assumptions!$G$34="Manufactured",0,IF(AND(AF$68=1,Assumptions!$G$63="Yes"),-Assumptions!$G$287*Assumptions!$G$268*Assumptions!$G$64*AF$68*AF63,-Assumptions_Detailed!AF$30*Assumptions!$G$287*Assumptions!$G$268*AF$68)),0)</f>
        <v>0</v>
      </c>
      <c r="AG81" s="33">
        <f ca="1">IFERROR((1+Sensitivity_tables!$N$18)*IF(Assumptions!$G$34="Manufactured",0,IF(AND(AG$68=1,Assumptions!$G$63="Yes"),-Assumptions!$G$287*Assumptions!$G$268*Assumptions!$G$64*AG$68*AG63,-Assumptions_Detailed!AG$30*Assumptions!$G$287*Assumptions!$G$268*AG$68)),0)</f>
        <v>0</v>
      </c>
      <c r="AH81" s="33">
        <f ca="1">IFERROR((1+Sensitivity_tables!$N$18)*IF(Assumptions!$G$34="Manufactured",0,IF(AND(AH$68=1,Assumptions!$G$63="Yes"),-Assumptions!$G$287*Assumptions!$G$268*Assumptions!$G$64*AH$68*AH63,-Assumptions_Detailed!AH$30*Assumptions!$G$287*Assumptions!$G$268*AH$68)),0)</f>
        <v>0</v>
      </c>
      <c r="AI81" s="33">
        <f ca="1">IFERROR((1+Sensitivity_tables!$N$18)*IF(Assumptions!$G$34="Manufactured",0,IF(AND(AI$68=1,Assumptions!$G$63="Yes"),-Assumptions!$G$287*Assumptions!$G$268*Assumptions!$G$64*AI$68*AI63,-Assumptions_Detailed!AI$30*Assumptions!$G$287*Assumptions!$G$268*AI$68)),0)</f>
        <v>0</v>
      </c>
      <c r="AJ81" s="33">
        <f ca="1">IFERROR((1+Sensitivity_tables!$N$18)*IF(Assumptions!$G$34="Manufactured",0,IF(AND(AJ$68=1,Assumptions!$G$63="Yes"),-Assumptions!$G$287*Assumptions!$G$268*Assumptions!$G$64*AJ$68*AJ63,-Assumptions_Detailed!AJ$30*Assumptions!$G$287*Assumptions!$G$268*AJ$68)),0)</f>
        <v>0</v>
      </c>
      <c r="AK81" s="33">
        <f ca="1">IFERROR((1+Sensitivity_tables!$N$18)*IF(Assumptions!$G$34="Manufactured",0,IF(AND(AK$68=1,Assumptions!$G$63="Yes"),-Assumptions!$G$287*Assumptions!$G$268*Assumptions!$G$64*AK$68*AK63,-Assumptions_Detailed!AK$30*Assumptions!$G$287*Assumptions!$G$268*AK$68)),0)</f>
        <v>0</v>
      </c>
      <c r="AL81" s="33">
        <f ca="1">IFERROR((1+Sensitivity_tables!$N$18)*IF(Assumptions!$G$34="Manufactured",0,IF(AND(AL$68=1,Assumptions!$G$63="Yes"),-Assumptions!$G$287*Assumptions!$G$268*Assumptions!$G$64*AL$68*AL63,-Assumptions_Detailed!AL$30*Assumptions!$G$287*Assumptions!$G$268*AL$68)),0)</f>
        <v>0</v>
      </c>
      <c r="AM81" s="33">
        <f ca="1">IFERROR((1+Sensitivity_tables!$N$18)*IF(Assumptions!$G$34="Manufactured",0,IF(AND(AM$68=1,Assumptions!$G$63="Yes"),-Assumptions!$G$287*Assumptions!$G$268*Assumptions!$G$64*AM$68*AM63,-Assumptions_Detailed!AM$30*Assumptions!$G$287*Assumptions!$G$268*AM$68)),0)</f>
        <v>0</v>
      </c>
      <c r="AN81" s="33">
        <f ca="1">IFERROR((1+Sensitivity_tables!$N$18)*IF(Assumptions!$G$34="Manufactured",0,IF(AND(AN$68=1,Assumptions!$G$63="Yes"),-Assumptions!$G$287*Assumptions!$G$268*Assumptions!$G$64*AN$68*AN63,-Assumptions_Detailed!AN$30*Assumptions!$G$287*Assumptions!$G$268*AN$68)),0)</f>
        <v>0</v>
      </c>
      <c r="AO81" s="33">
        <f ca="1">IFERROR((1+Sensitivity_tables!$N$18)*IF(Assumptions!$G$34="Manufactured",0,IF(AND(AO$68=1,Assumptions!$G$63="Yes"),-Assumptions!$G$287*Assumptions!$G$268*Assumptions!$G$64*AO$68*AO63,-Assumptions_Detailed!AO$30*Assumptions!$G$287*Assumptions!$G$268*AO$68)),0)</f>
        <v>0</v>
      </c>
      <c r="AP81" s="33">
        <f ca="1">IFERROR((1+Sensitivity_tables!$N$18)*IF(Assumptions!$G$34="Manufactured",0,IF(AND(AP$68=1,Assumptions!$G$63="Yes"),-Assumptions!$G$287*Assumptions!$G$268*Assumptions!$G$64*AP$68*AP63,-Assumptions_Detailed!AP$30*Assumptions!$G$287*Assumptions!$G$268*AP$68)),0)</f>
        <v>0</v>
      </c>
      <c r="AQ81" s="33">
        <f ca="1">IFERROR((1+Sensitivity_tables!$N$18)*IF(Assumptions!$G$34="Manufactured",0,IF(AND(AQ$68=1,Assumptions!$G$63="Yes"),-Assumptions!$G$287*Assumptions!$G$268*Assumptions!$G$64*AQ$68*AQ63,-Assumptions_Detailed!AQ$30*Assumptions!$G$287*Assumptions!$G$268*AQ$68)),0)</f>
        <v>0</v>
      </c>
      <c r="AR81" s="33">
        <f ca="1">IFERROR((1+Sensitivity_tables!$N$18)*IF(Assumptions!$G$34="Manufactured",0,IF(AND(AR$68=1,Assumptions!$G$63="Yes"),-Assumptions!$G$287*Assumptions!$G$268*Assumptions!$G$64*AR$68*AR63,-Assumptions_Detailed!AR$30*Assumptions!$G$287*Assumptions!$G$268*AR$68)),0)</f>
        <v>0</v>
      </c>
      <c r="AS81" s="33">
        <f ca="1">IFERROR((1+Sensitivity_tables!$N$18)*IF(Assumptions!$G$34="Manufactured",0,IF(AND(AS$68=1,Assumptions!$G$63="Yes"),-Assumptions!$G$287*Assumptions!$G$268*Assumptions!$G$64*AS$68*AS63,-Assumptions_Detailed!AS$30*Assumptions!$G$287*Assumptions!$G$268*AS$68)),0)</f>
        <v>0</v>
      </c>
      <c r="AT81" s="33">
        <f ca="1">IFERROR((1+Sensitivity_tables!$N$18)*IF(Assumptions!$G$34="Manufactured",0,IF(AND(AT$68=1,Assumptions!$G$63="Yes"),-Assumptions!$G$287*Assumptions!$G$268*Assumptions!$G$64*AT$68*AT63,-Assumptions_Detailed!AT$30*Assumptions!$G$287*Assumptions!$G$268*AT$68)),0)</f>
        <v>0</v>
      </c>
      <c r="AU81" s="33">
        <f ca="1">IFERROR((1+Sensitivity_tables!$N$18)*IF(Assumptions!$G$34="Manufactured",0,IF(AND(AU$68=1,Assumptions!$G$63="Yes"),-Assumptions!$G$287*Assumptions!$G$268*Assumptions!$G$64*AU$68*AU63,-Assumptions_Detailed!AU$30*Assumptions!$G$287*Assumptions!$G$268*AU$68)),0)</f>
        <v>0</v>
      </c>
      <c r="AV81" s="33">
        <f ca="1">IFERROR((1+Sensitivity_tables!$N$18)*IF(Assumptions!$G$34="Manufactured",0,IF(AND(AV$68=1,Assumptions!$G$63="Yes"),-Assumptions!$G$287*Assumptions!$G$268*Assumptions!$G$64*AV$68*AV63,-Assumptions_Detailed!AV$30*Assumptions!$G$287*Assumptions!$G$268*AV$68)),0)</f>
        <v>0</v>
      </c>
      <c r="AW81" s="33">
        <f ca="1">IFERROR((1+Sensitivity_tables!$N$18)*IF(Assumptions!$G$34="Manufactured",0,IF(AND(AW$68=1,Assumptions!$G$63="Yes"),-Assumptions!$G$287*Assumptions!$G$268*Assumptions!$G$64*AW$68*AW63,-Assumptions_Detailed!AW$30*Assumptions!$G$287*Assumptions!$G$268*AW$68)),0)</f>
        <v>0</v>
      </c>
      <c r="AX81" s="33">
        <f ca="1">IFERROR((1+Sensitivity_tables!$N$18)*IF(Assumptions!$G$34="Manufactured",0,IF(AND(AX$68=1,Assumptions!$G$63="Yes"),-Assumptions!$G$287*Assumptions!$G$268*Assumptions!$G$64*AX$68*AX63,-Assumptions_Detailed!AX$30*Assumptions!$G$287*Assumptions!$G$268*AX$68)),0)</f>
        <v>0</v>
      </c>
      <c r="AY81" s="33">
        <f ca="1">IFERROR((1+Sensitivity_tables!$N$18)*IF(Assumptions!$G$34="Manufactured",0,IF(AND(AY$68=1,Assumptions!$G$63="Yes"),-Assumptions!$G$287*Assumptions!$G$268*Assumptions!$G$64*AY$68*AY63,-Assumptions_Detailed!AY$30*Assumptions!$G$287*Assumptions!$G$268*AY$68)),0)</f>
        <v>0</v>
      </c>
      <c r="AZ81" s="33">
        <f ca="1">IFERROR((1+Sensitivity_tables!$N$18)*IF(Assumptions!$G$34="Manufactured",0,IF(AND(AZ$68=1,Assumptions!$G$63="Yes"),-Assumptions!$G$287*Assumptions!$G$268*Assumptions!$G$64*AZ$68*AZ63,-Assumptions_Detailed!AZ$30*Assumptions!$G$287*Assumptions!$G$268*AZ$68)),0)</f>
        <v>0</v>
      </c>
      <c r="BA81" s="33">
        <f ca="1">IFERROR((1+Sensitivity_tables!$N$18)*IF(Assumptions!$G$34="Manufactured",0,IF(AND(BA$68=1,Assumptions!$G$63="Yes"),-Assumptions!$G$287*Assumptions!$G$268*Assumptions!$G$64*BA$68*BA63,-Assumptions_Detailed!BA$30*Assumptions!$G$287*Assumptions!$G$268*BA$68)),0)</f>
        <v>0</v>
      </c>
      <c r="BB81" s="33">
        <f ca="1">IFERROR((1+Sensitivity_tables!$N$18)*IF(Assumptions!$G$34="Manufactured",0,IF(AND(BB$68=1,Assumptions!$G$63="Yes"),-Assumptions!$G$287*Assumptions!$G$268*Assumptions!$G$64*BB$68*BB63,-Assumptions_Detailed!BB$30*Assumptions!$G$287*Assumptions!$G$268*BB$68)),0)</f>
        <v>0</v>
      </c>
      <c r="BC81" s="33">
        <f ca="1">IFERROR((1+Sensitivity_tables!$N$18)*IF(Assumptions!$G$34="Manufactured",0,IF(AND(BC$68=1,Assumptions!$G$63="Yes"),-Assumptions!$G$287*Assumptions!$G$268*Assumptions!$G$64*BC$68*BC63,-Assumptions_Detailed!BC$30*Assumptions!$G$287*Assumptions!$G$268*BC$68)),0)</f>
        <v>0</v>
      </c>
      <c r="BD81" s="33">
        <f ca="1">IFERROR((1+Sensitivity_tables!$N$18)*IF(Assumptions!$G$34="Manufactured",0,IF(AND(BD$68=1,Assumptions!$G$63="Yes"),-Assumptions!$G$287*Assumptions!$G$268*Assumptions!$G$64*BD$68*BD63,-Assumptions_Detailed!BD$30*Assumptions!$G$287*Assumptions!$G$268*BD$68)),0)</f>
        <v>0</v>
      </c>
      <c r="BE81" s="33">
        <f ca="1">IFERROR((1+Sensitivity_tables!$N$18)*IF(Assumptions!$G$34="Manufactured",0,IF(AND(BE$68=1,Assumptions!$G$63="Yes"),-Assumptions!$G$287*Assumptions!$G$268*Assumptions!$G$64*BE$68*BE63,-Assumptions_Detailed!BE$30*Assumptions!$G$287*Assumptions!$G$268*BE$68)),0)</f>
        <v>0</v>
      </c>
      <c r="BF81" s="33">
        <f ca="1">IFERROR((1+Sensitivity_tables!$N$18)*IF(Assumptions!$G$34="Manufactured",0,IF(AND(BF$68=1,Assumptions!$G$63="Yes"),-Assumptions!$G$287*Assumptions!$G$268*Assumptions!$G$64*BF$68*BF63,-Assumptions_Detailed!BF$30*Assumptions!$G$287*Assumptions!$G$268*BF$68)),0)</f>
        <v>0</v>
      </c>
      <c r="BG81" s="33">
        <f ca="1">IFERROR((1+Sensitivity_tables!$N$18)*IF(Assumptions!$G$34="Manufactured",0,IF(AND(BG$68=1,Assumptions!$G$63="Yes"),-Assumptions!$G$287*Assumptions!$G$268*Assumptions!$G$64*BG$68*BG63,-Assumptions_Detailed!BG$30*Assumptions!$G$287*Assumptions!$G$268*BG$68)),0)</f>
        <v>0</v>
      </c>
      <c r="BH81" s="33">
        <f ca="1">IFERROR((1+Sensitivity_tables!$N$18)*IF(Assumptions!$G$34="Manufactured",0,IF(AND(BH$68=1,Assumptions!$G$63="Yes"),-Assumptions!$G$287*Assumptions!$G$268*Assumptions!$G$64*BH$68*BH63,-Assumptions_Detailed!BH$30*Assumptions!$G$287*Assumptions!$G$268*BH$68)),0)</f>
        <v>0</v>
      </c>
      <c r="BI81" s="33">
        <f ca="1">IFERROR((1+Sensitivity_tables!$N$18)*IF(Assumptions!$G$34="Manufactured",0,IF(AND(BI$68=1,Assumptions!$G$63="Yes"),-Assumptions!$G$287*Assumptions!$G$268*Assumptions!$G$64*BI$68*BI63,-Assumptions_Detailed!BI$30*Assumptions!$G$287*Assumptions!$G$268*BI$68)),0)</f>
        <v>0</v>
      </c>
      <c r="BJ81" s="33">
        <f ca="1">IFERROR((1+Sensitivity_tables!$N$18)*IF(Assumptions!$G$34="Manufactured",0,IF(AND(BJ$68=1,Assumptions!$G$63="Yes"),-Assumptions!$G$287*Assumptions!$G$268*Assumptions!$G$64*BJ$68*BJ63,-Assumptions_Detailed!BJ$30*Assumptions!$G$287*Assumptions!$G$268*BJ$68)),0)</f>
        <v>0</v>
      </c>
      <c r="BK81" s="33">
        <f ca="1">IFERROR((1+Sensitivity_tables!$N$18)*IF(Assumptions!$G$34="Manufactured",0,IF(AND(BK$68=1,Assumptions!$G$63="Yes"),-Assumptions!$G$287*Assumptions!$G$268*Assumptions!$G$64*BK$68*BK63,-Assumptions_Detailed!BK$30*Assumptions!$G$287*Assumptions!$G$268*BK$68)),0)</f>
        <v>0</v>
      </c>
      <c r="BL81" s="33">
        <f ca="1">IFERROR((1+Sensitivity_tables!$N$18)*IF(Assumptions!$G$34="Manufactured",0,IF(AND(BL$68=1,Assumptions!$G$63="Yes"),-Assumptions!$G$287*Assumptions!$G$268*Assumptions!$G$64*BL$68*BL63,-Assumptions_Detailed!BL$30*Assumptions!$G$287*Assumptions!$G$268*BL$68)),0)</f>
        <v>0</v>
      </c>
      <c r="BM81" s="33">
        <f ca="1">IFERROR((1+Sensitivity_tables!$N$18)*IF(Assumptions!$G$34="Manufactured",0,IF(AND(BM$68=1,Assumptions!$G$63="Yes"),-Assumptions!$G$287*Assumptions!$G$268*Assumptions!$G$64*BM$68*BM63,-Assumptions_Detailed!BM$30*Assumptions!$G$287*Assumptions!$G$268*BM$68)),0)</f>
        <v>0</v>
      </c>
      <c r="BN81" s="33">
        <f ca="1">IFERROR((1+Sensitivity_tables!$N$18)*IF(Assumptions!$G$34="Manufactured",0,IF(AND(BN$68=1,Assumptions!$G$63="Yes"),-Assumptions!$G$287*Assumptions!$G$268*Assumptions!$G$64*BN$68*BN63,-Assumptions_Detailed!BN$30*Assumptions!$G$287*Assumptions!$G$268*BN$68)),0)</f>
        <v>0</v>
      </c>
      <c r="BO81" s="33">
        <f ca="1">IFERROR((1+Sensitivity_tables!$N$18)*IF(Assumptions!$G$34="Manufactured",0,IF(AND(BO$68=1,Assumptions!$G$63="Yes"),-Assumptions!$G$287*Assumptions!$G$268*Assumptions!$G$64*BO$68*BO63,-Assumptions_Detailed!BO$30*Assumptions!$G$287*Assumptions!$G$268*BO$68)),0)</f>
        <v>0</v>
      </c>
      <c r="BP81" s="33">
        <f ca="1">IFERROR((1+Sensitivity_tables!$N$18)*IF(Assumptions!$G$34="Manufactured",0,IF(AND(BP$68=1,Assumptions!$G$63="Yes"),-Assumptions!$G$287*Assumptions!$G$268*Assumptions!$G$64*BP$68*BP63,-Assumptions_Detailed!BP$30*Assumptions!$G$287*Assumptions!$G$268*BP$68)),0)</f>
        <v>0</v>
      </c>
      <c r="BQ81" s="33">
        <f ca="1">IFERROR((1+Sensitivity_tables!$N$18)*IF(Assumptions!$G$34="Manufactured",0,IF(AND(BQ$68=1,Assumptions!$G$63="Yes"),-Assumptions!$G$287*Assumptions!$G$268*Assumptions!$G$64*BQ$68*BQ63,-Assumptions_Detailed!BQ$30*Assumptions!$G$287*Assumptions!$G$268*BQ$68)),0)</f>
        <v>0</v>
      </c>
      <c r="BR81" s="33">
        <f ca="1">IFERROR((1+Sensitivity_tables!$N$18)*IF(Assumptions!$G$34="Manufactured",0,IF(AND(BR$68=1,Assumptions!$G$63="Yes"),-Assumptions!$G$287*Assumptions!$G$268*Assumptions!$G$64*BR$68*BR63,-Assumptions_Detailed!BR$30*Assumptions!$G$287*Assumptions!$G$268*BR$68)),0)</f>
        <v>0</v>
      </c>
      <c r="BS81" s="33">
        <f ca="1">IFERROR((1+Sensitivity_tables!$N$18)*IF(Assumptions!$G$34="Manufactured",0,IF(AND(BS$68=1,Assumptions!$G$63="Yes"),-Assumptions!$G$287*Assumptions!$G$268*Assumptions!$G$64*BS$68*BS63,-Assumptions_Detailed!BS$30*Assumptions!$G$287*Assumptions!$G$268*BS$68)),0)</f>
        <v>0</v>
      </c>
      <c r="BT81" s="33">
        <f ca="1">IFERROR((1+Sensitivity_tables!$N$18)*IF(Assumptions!$G$34="Manufactured",0,IF(AND(BT$68=1,Assumptions!$G$63="Yes"),-Assumptions!$G$287*Assumptions!$G$268*Assumptions!$G$64*BT$68*BT63,-Assumptions_Detailed!BT$30*Assumptions!$G$287*Assumptions!$G$268*BT$68)),0)</f>
        <v>0</v>
      </c>
      <c r="BU81" s="33">
        <f ca="1">IFERROR((1+Sensitivity_tables!$N$18)*IF(Assumptions!$G$34="Manufactured",0,IF(AND(BU$68=1,Assumptions!$G$63="Yes"),-Assumptions!$G$287*Assumptions!$G$268*Assumptions!$G$64*BU$68*BU63,-Assumptions_Detailed!BU$30*Assumptions!$G$287*Assumptions!$G$268*BU$68)),0)</f>
        <v>0</v>
      </c>
      <c r="BV81" s="33">
        <f ca="1">IFERROR((1+Sensitivity_tables!$N$18)*IF(Assumptions!$G$34="Manufactured",0,IF(AND(BV$68=1,Assumptions!$G$63="Yes"),-Assumptions!$G$287*Assumptions!$G$268*Assumptions!$G$64*BV$68*BV63,-Assumptions_Detailed!BV$30*Assumptions!$G$287*Assumptions!$G$268*BV$68)),0)</f>
        <v>0</v>
      </c>
      <c r="BW81" s="33">
        <f ca="1">IFERROR((1+Sensitivity_tables!$N$18)*IF(Assumptions!$G$34="Manufactured",0,IF(AND(BW$68=1,Assumptions!$G$63="Yes"),-Assumptions!$G$287*Assumptions!$G$268*Assumptions!$G$64*BW$68*BW63,-Assumptions_Detailed!BW$30*Assumptions!$G$287*Assumptions!$G$268*BW$68)),0)</f>
        <v>0</v>
      </c>
      <c r="BX81" s="33">
        <f ca="1">IFERROR((1+Sensitivity_tables!$N$18)*IF(Assumptions!$G$34="Manufactured",0,IF(AND(BX$68=1,Assumptions!$G$63="Yes"),-Assumptions!$G$287*Assumptions!$G$268*Assumptions!$G$64*BX$68*BX63,-Assumptions_Detailed!BX$30*Assumptions!$G$287*Assumptions!$G$268*BX$68)),0)</f>
        <v>0</v>
      </c>
      <c r="BY81" s="33">
        <f ca="1">IFERROR((1+Sensitivity_tables!$N$18)*IF(Assumptions!$G$34="Manufactured",0,IF(AND(BY$68=1,Assumptions!$G$63="Yes"),-Assumptions!$G$287*Assumptions!$G$268*Assumptions!$G$64*BY$68*BY63,-Assumptions_Detailed!BY$30*Assumptions!$G$287*Assumptions!$G$268*BY$68)),0)</f>
        <v>0</v>
      </c>
    </row>
    <row r="82" spans="2:77" outlineLevel="1">
      <c r="E82" t="s">
        <v>492</v>
      </c>
      <c r="F82" s="80" t="str">
        <f>+Assumptions!$G$8</f>
        <v>USD</v>
      </c>
      <c r="G82" s="23"/>
      <c r="H82" s="33">
        <f>IFERROR((1+Sensitivity_tables!$N$18)*IFERROR(IF(AND(Assumptions!$G$34="Manufactured",Assumptions!$G$68="Yes"),-Assumptions!$G$70*H63*H68,0),0),0)</f>
        <v>0</v>
      </c>
      <c r="I82" s="33">
        <f>IFERROR((1+Sensitivity_tables!$N$18)*IFERROR(IF(AND(Assumptions!$G$34="Manufactured",Assumptions!$G$68="Yes"),-Assumptions!$G$70*I63*I68,0),0),0)</f>
        <v>0</v>
      </c>
      <c r="J82" s="33">
        <f>IFERROR((1+Sensitivity_tables!$N$18)*IFERROR(IF(AND(Assumptions!$G$34="Manufactured",Assumptions!$G$68="Yes"),-Assumptions!$G$70*J63*J68,0),0),0)</f>
        <v>0</v>
      </c>
      <c r="K82" s="33">
        <f>IFERROR((1+Sensitivity_tables!$N$18)*IFERROR(IF(AND(Assumptions!$G$34="Manufactured",Assumptions!$G$68="Yes"),-Assumptions!$G$70*K63*K68,0),0),0)</f>
        <v>0</v>
      </c>
      <c r="L82" s="33">
        <f>IFERROR((1+Sensitivity_tables!$N$18)*IFERROR(IF(AND(Assumptions!$G$34="Manufactured",Assumptions!$G$68="Yes"),-Assumptions!$G$70*L63*L68,0),0),0)</f>
        <v>0</v>
      </c>
      <c r="M82" s="33">
        <f>IFERROR((1+Sensitivity_tables!$N$18)*IFERROR(IF(AND(Assumptions!$G$34="Manufactured",Assumptions!$G$68="Yes"),-Assumptions!$G$70*M63*M68,0),0),0)</f>
        <v>0</v>
      </c>
      <c r="N82" s="33">
        <f>IFERROR((1+Sensitivity_tables!$N$18)*IFERROR(IF(AND(Assumptions!$G$34="Manufactured",Assumptions!$G$68="Yes"),-Assumptions!$G$70*N63*N68,0),0),0)</f>
        <v>0</v>
      </c>
      <c r="O82" s="33">
        <f>IFERROR((1+Sensitivity_tables!$N$18)*IFERROR(IF(AND(Assumptions!$G$34="Manufactured",Assumptions!$G$68="Yes"),-Assumptions!$G$70*O63*O68,0),0),0)</f>
        <v>0</v>
      </c>
      <c r="P82" s="33">
        <f>IFERROR((1+Sensitivity_tables!$N$18)*IFERROR(IF(AND(Assumptions!$G$34="Manufactured",Assumptions!$G$68="Yes"),-Assumptions!$G$70*P63*P68,0),0),0)</f>
        <v>0</v>
      </c>
      <c r="Q82" s="33">
        <f>IFERROR((1+Sensitivity_tables!$N$18)*IFERROR(IF(AND(Assumptions!$G$34="Manufactured",Assumptions!$G$68="Yes"),-Assumptions!$G$70*Q63*Q68,0),0),0)</f>
        <v>0</v>
      </c>
      <c r="R82" s="33">
        <f>IFERROR((1+Sensitivity_tables!$N$18)*IFERROR(IF(AND(Assumptions!$G$34="Manufactured",Assumptions!$G$68="Yes"),-Assumptions!$G$70*R63*R68,0),0),0)</f>
        <v>0</v>
      </c>
      <c r="S82" s="33">
        <f>IFERROR((1+Sensitivity_tables!$N$18)*IFERROR(IF(AND(Assumptions!$G$34="Manufactured",Assumptions!$G$68="Yes"),-Assumptions!$G$70*S63*S68,0),0),0)</f>
        <v>0</v>
      </c>
      <c r="T82" s="33">
        <f>IFERROR((1+Sensitivity_tables!$N$18)*IFERROR(IF(AND(Assumptions!$G$34="Manufactured",Assumptions!$G$68="Yes"),-Assumptions!$G$70*T63*T68,0),0),0)</f>
        <v>0</v>
      </c>
      <c r="U82" s="33">
        <f>IFERROR((1+Sensitivity_tables!$N$18)*IFERROR(IF(AND(Assumptions!$G$34="Manufactured",Assumptions!$G$68="Yes"),-Assumptions!$G$70*U63*U68,0),0),0)</f>
        <v>0</v>
      </c>
      <c r="V82" s="33">
        <f>IFERROR((1+Sensitivity_tables!$N$18)*IFERROR(IF(AND(Assumptions!$G$34="Manufactured",Assumptions!$G$68="Yes"),-Assumptions!$G$70*V63*V68,0),0),0)</f>
        <v>0</v>
      </c>
      <c r="W82" s="33">
        <f>IFERROR((1+Sensitivity_tables!$N$18)*IFERROR(IF(AND(Assumptions!$G$34="Manufactured",Assumptions!$G$68="Yes"),-Assumptions!$G$70*W63*W68,0),0),0)</f>
        <v>0</v>
      </c>
      <c r="X82" s="33">
        <f>IFERROR((1+Sensitivity_tables!$N$18)*IFERROR(IF(AND(Assumptions!$G$34="Manufactured",Assumptions!$G$68="Yes"),-Assumptions!$G$70*X63*X68,0),0),0)</f>
        <v>0</v>
      </c>
      <c r="Y82" s="33">
        <f>IFERROR((1+Sensitivity_tables!$N$18)*IFERROR(IF(AND(Assumptions!$G$34="Manufactured",Assumptions!$G$68="Yes"),-Assumptions!$G$70*Y63*Y68,0),0),0)</f>
        <v>0</v>
      </c>
      <c r="Z82" s="33">
        <f>IFERROR((1+Sensitivity_tables!$N$18)*IFERROR(IF(AND(Assumptions!$G$34="Manufactured",Assumptions!$G$68="Yes"),-Assumptions!$G$70*Z63*Z68,0),0),0)</f>
        <v>0</v>
      </c>
      <c r="AA82" s="33">
        <f>IFERROR((1+Sensitivity_tables!$N$18)*IFERROR(IF(AND(Assumptions!$G$34="Manufactured",Assumptions!$G$68="Yes"),-Assumptions!$G$70*AA63*AA68,0),0),0)</f>
        <v>0</v>
      </c>
      <c r="AB82" s="33">
        <f>IFERROR((1+Sensitivity_tables!$N$18)*IFERROR(IF(AND(Assumptions!$G$34="Manufactured",Assumptions!$G$68="Yes"),-Assumptions!$G$70*AB63*AB68,0),0),0)</f>
        <v>0</v>
      </c>
      <c r="AC82" s="33">
        <f>IFERROR((1+Sensitivity_tables!$N$18)*IFERROR(IF(AND(Assumptions!$G$34="Manufactured",Assumptions!$G$68="Yes"),-Assumptions!$G$70*AC63*AC68,0),0),0)</f>
        <v>0</v>
      </c>
      <c r="AD82" s="33">
        <f>IFERROR((1+Sensitivity_tables!$N$18)*IFERROR(IF(AND(Assumptions!$G$34="Manufactured",Assumptions!$G$68="Yes"),-Assumptions!$G$70*AD63*AD68,0),0),0)</f>
        <v>0</v>
      </c>
      <c r="AE82" s="33">
        <f>IFERROR((1+Sensitivity_tables!$N$18)*IFERROR(IF(AND(Assumptions!$G$34="Manufactured",Assumptions!$G$68="Yes"),-Assumptions!$G$70*AE63*AE68,0),0),0)</f>
        <v>0</v>
      </c>
      <c r="AF82" s="33">
        <f>IFERROR((1+Sensitivity_tables!$N$18)*IFERROR(IF(AND(Assumptions!$G$34="Manufactured",Assumptions!$G$68="Yes"),-Assumptions!$G$70*AF63*AF68,0),0),0)</f>
        <v>0</v>
      </c>
      <c r="AG82" s="33">
        <f>IFERROR((1+Sensitivity_tables!$N$18)*IFERROR(IF(AND(Assumptions!$G$34="Manufactured",Assumptions!$G$68="Yes"),-Assumptions!$G$70*AG63*AG68,0),0),0)</f>
        <v>0</v>
      </c>
      <c r="AH82" s="33">
        <f>IFERROR((1+Sensitivity_tables!$N$18)*IFERROR(IF(AND(Assumptions!$G$34="Manufactured",Assumptions!$G$68="Yes"),-Assumptions!$G$70*AH63*AH68,0),0),0)</f>
        <v>0</v>
      </c>
      <c r="AI82" s="33">
        <f>IFERROR((1+Sensitivity_tables!$N$18)*IFERROR(IF(AND(Assumptions!$G$34="Manufactured",Assumptions!$G$68="Yes"),-Assumptions!$G$70*AI63*AI68,0),0),0)</f>
        <v>0</v>
      </c>
      <c r="AJ82" s="33">
        <f>IFERROR((1+Sensitivity_tables!$N$18)*IFERROR(IF(AND(Assumptions!$G$34="Manufactured",Assumptions!$G$68="Yes"),-Assumptions!$G$70*AJ63*AJ68,0),0),0)</f>
        <v>0</v>
      </c>
      <c r="AK82" s="33">
        <f>IFERROR((1+Sensitivity_tables!$N$18)*IFERROR(IF(AND(Assumptions!$G$34="Manufactured",Assumptions!$G$68="Yes"),-Assumptions!$G$70*AK63*AK68,0),0),0)</f>
        <v>0</v>
      </c>
      <c r="AL82" s="33">
        <f>IFERROR((1+Sensitivity_tables!$N$18)*IFERROR(IF(AND(Assumptions!$G$34="Manufactured",Assumptions!$G$68="Yes"),-Assumptions!$G$70*AL63*AL68,0),0),0)</f>
        <v>0</v>
      </c>
      <c r="AM82" s="33">
        <f>IFERROR((1+Sensitivity_tables!$N$18)*IFERROR(IF(AND(Assumptions!$G$34="Manufactured",Assumptions!$G$68="Yes"),-Assumptions!$G$70*AM63*AM68,0),0),0)</f>
        <v>0</v>
      </c>
      <c r="AN82" s="33">
        <f>IFERROR((1+Sensitivity_tables!$N$18)*IFERROR(IF(AND(Assumptions!$G$34="Manufactured",Assumptions!$G$68="Yes"),-Assumptions!$G$70*AN63*AN68,0),0),0)</f>
        <v>0</v>
      </c>
      <c r="AO82" s="33">
        <f>IFERROR((1+Sensitivity_tables!$N$18)*IFERROR(IF(AND(Assumptions!$G$34="Manufactured",Assumptions!$G$68="Yes"),-Assumptions!$G$70*AO63*AO68,0),0),0)</f>
        <v>0</v>
      </c>
      <c r="AP82" s="33">
        <f>IFERROR((1+Sensitivity_tables!$N$18)*IFERROR(IF(AND(Assumptions!$G$34="Manufactured",Assumptions!$G$68="Yes"),-Assumptions!$G$70*AP63*AP68,0),0),0)</f>
        <v>0</v>
      </c>
      <c r="AQ82" s="33">
        <f>IFERROR((1+Sensitivity_tables!$N$18)*IFERROR(IF(AND(Assumptions!$G$34="Manufactured",Assumptions!$G$68="Yes"),-Assumptions!$G$70*AQ63*AQ68,0),0),0)</f>
        <v>0</v>
      </c>
      <c r="AR82" s="33">
        <f>IFERROR((1+Sensitivity_tables!$N$18)*IFERROR(IF(AND(Assumptions!$G$34="Manufactured",Assumptions!$G$68="Yes"),-Assumptions!$G$70*AR63*AR68,0),0),0)</f>
        <v>0</v>
      </c>
      <c r="AS82" s="33">
        <f>IFERROR((1+Sensitivity_tables!$N$18)*IFERROR(IF(AND(Assumptions!$G$34="Manufactured",Assumptions!$G$68="Yes"),-Assumptions!$G$70*AS63*AS68,0),0),0)</f>
        <v>0</v>
      </c>
      <c r="AT82" s="33">
        <f>IFERROR((1+Sensitivity_tables!$N$18)*IFERROR(IF(AND(Assumptions!$G$34="Manufactured",Assumptions!$G$68="Yes"),-Assumptions!$G$70*AT63*AT68,0),0),0)</f>
        <v>0</v>
      </c>
      <c r="AU82" s="33">
        <f>IFERROR((1+Sensitivity_tables!$N$18)*IFERROR(IF(AND(Assumptions!$G$34="Manufactured",Assumptions!$G$68="Yes"),-Assumptions!$G$70*AU63*AU68,0),0),0)</f>
        <v>0</v>
      </c>
      <c r="AV82" s="33">
        <f>IFERROR((1+Sensitivity_tables!$N$18)*IFERROR(IF(AND(Assumptions!$G$34="Manufactured",Assumptions!$G$68="Yes"),-Assumptions!$G$70*AV63*AV68,0),0),0)</f>
        <v>0</v>
      </c>
      <c r="AW82" s="33">
        <f>IFERROR((1+Sensitivity_tables!$N$18)*IFERROR(IF(AND(Assumptions!$G$34="Manufactured",Assumptions!$G$68="Yes"),-Assumptions!$G$70*AW63*AW68,0),0),0)</f>
        <v>0</v>
      </c>
      <c r="AX82" s="33">
        <f>IFERROR((1+Sensitivity_tables!$N$18)*IFERROR(IF(AND(Assumptions!$G$34="Manufactured",Assumptions!$G$68="Yes"),-Assumptions!$G$70*AX63*AX68,0),0),0)</f>
        <v>0</v>
      </c>
      <c r="AY82" s="33">
        <f>IFERROR((1+Sensitivity_tables!$N$18)*IFERROR(IF(AND(Assumptions!$G$34="Manufactured",Assumptions!$G$68="Yes"),-Assumptions!$G$70*AY63*AY68,0),0),0)</f>
        <v>0</v>
      </c>
      <c r="AZ82" s="33">
        <f>IFERROR((1+Sensitivity_tables!$N$18)*IFERROR(IF(AND(Assumptions!$G$34="Manufactured",Assumptions!$G$68="Yes"),-Assumptions!$G$70*AZ63*AZ68,0),0),0)</f>
        <v>0</v>
      </c>
      <c r="BA82" s="33">
        <f>IFERROR((1+Sensitivity_tables!$N$18)*IFERROR(IF(AND(Assumptions!$G$34="Manufactured",Assumptions!$G$68="Yes"),-Assumptions!$G$70*BA63*BA68,0),0),0)</f>
        <v>0</v>
      </c>
      <c r="BB82" s="33">
        <f>IFERROR((1+Sensitivity_tables!$N$18)*IFERROR(IF(AND(Assumptions!$G$34="Manufactured",Assumptions!$G$68="Yes"),-Assumptions!$G$70*BB63*BB68,0),0),0)</f>
        <v>0</v>
      </c>
      <c r="BC82" s="33">
        <f>IFERROR((1+Sensitivity_tables!$N$18)*IFERROR(IF(AND(Assumptions!$G$34="Manufactured",Assumptions!$G$68="Yes"),-Assumptions!$G$70*BC63*BC68,0),0),0)</f>
        <v>0</v>
      </c>
      <c r="BD82" s="33">
        <f>IFERROR((1+Sensitivity_tables!$N$18)*IFERROR(IF(AND(Assumptions!$G$34="Manufactured",Assumptions!$G$68="Yes"),-Assumptions!$G$70*BD63*BD68,0),0),0)</f>
        <v>0</v>
      </c>
      <c r="BE82" s="33">
        <f>IFERROR((1+Sensitivity_tables!$N$18)*IFERROR(IF(AND(Assumptions!$G$34="Manufactured",Assumptions!$G$68="Yes"),-Assumptions!$G$70*BE63*BE68,0),0),0)</f>
        <v>0</v>
      </c>
      <c r="BF82" s="33">
        <f>IFERROR((1+Sensitivity_tables!$N$18)*IFERROR(IF(AND(Assumptions!$G$34="Manufactured",Assumptions!$G$68="Yes"),-Assumptions!$G$70*BF63*BF68,0),0),0)</f>
        <v>0</v>
      </c>
      <c r="BG82" s="33">
        <f>IFERROR((1+Sensitivity_tables!$N$18)*IFERROR(IF(AND(Assumptions!$G$34="Manufactured",Assumptions!$G$68="Yes"),-Assumptions!$G$70*BG63*BG68,0),0),0)</f>
        <v>0</v>
      </c>
      <c r="BH82" s="33">
        <f>IFERROR((1+Sensitivity_tables!$N$18)*IFERROR(IF(AND(Assumptions!$G$34="Manufactured",Assumptions!$G$68="Yes"),-Assumptions!$G$70*BH63*BH68,0),0),0)</f>
        <v>0</v>
      </c>
      <c r="BI82" s="33">
        <f>IFERROR((1+Sensitivity_tables!$N$18)*IFERROR(IF(AND(Assumptions!$G$34="Manufactured",Assumptions!$G$68="Yes"),-Assumptions!$G$70*BI63*BI68,0),0),0)</f>
        <v>0</v>
      </c>
      <c r="BJ82" s="33">
        <f>IFERROR((1+Sensitivity_tables!$N$18)*IFERROR(IF(AND(Assumptions!$G$34="Manufactured",Assumptions!$G$68="Yes"),-Assumptions!$G$70*BJ63*BJ68,0),0),0)</f>
        <v>0</v>
      </c>
      <c r="BK82" s="33">
        <f>IFERROR((1+Sensitivity_tables!$N$18)*IFERROR(IF(AND(Assumptions!$G$34="Manufactured",Assumptions!$G$68="Yes"),-Assumptions!$G$70*BK63*BK68,0),0),0)</f>
        <v>0</v>
      </c>
      <c r="BL82" s="33">
        <f>IFERROR((1+Sensitivity_tables!$N$18)*IFERROR(IF(AND(Assumptions!$G$34="Manufactured",Assumptions!$G$68="Yes"),-Assumptions!$G$70*BL63*BL68,0),0),0)</f>
        <v>0</v>
      </c>
      <c r="BM82" s="33">
        <f>IFERROR((1+Sensitivity_tables!$N$18)*IFERROR(IF(AND(Assumptions!$G$34="Manufactured",Assumptions!$G$68="Yes"),-Assumptions!$G$70*BM63*BM68,0),0),0)</f>
        <v>0</v>
      </c>
      <c r="BN82" s="33">
        <f>IFERROR((1+Sensitivity_tables!$N$18)*IFERROR(IF(AND(Assumptions!$G$34="Manufactured",Assumptions!$G$68="Yes"),-Assumptions!$G$70*BN63*BN68,0),0),0)</f>
        <v>0</v>
      </c>
      <c r="BO82" s="33">
        <f>IFERROR((1+Sensitivity_tables!$N$18)*IFERROR(IF(AND(Assumptions!$G$34="Manufactured",Assumptions!$G$68="Yes"),-Assumptions!$G$70*BO63*BO68,0),0),0)</f>
        <v>0</v>
      </c>
      <c r="BP82" s="33">
        <f>IFERROR((1+Sensitivity_tables!$N$18)*IFERROR(IF(AND(Assumptions!$G$34="Manufactured",Assumptions!$G$68="Yes"),-Assumptions!$G$70*BP63*BP68,0),0),0)</f>
        <v>0</v>
      </c>
      <c r="BQ82" s="33">
        <f>IFERROR((1+Sensitivity_tables!$N$18)*IFERROR(IF(AND(Assumptions!$G$34="Manufactured",Assumptions!$G$68="Yes"),-Assumptions!$G$70*BQ63*BQ68,0),0),0)</f>
        <v>0</v>
      </c>
      <c r="BR82" s="33">
        <f>IFERROR((1+Sensitivity_tables!$N$18)*IFERROR(IF(AND(Assumptions!$G$34="Manufactured",Assumptions!$G$68="Yes"),-Assumptions!$G$70*BR63*BR68,0),0),0)</f>
        <v>0</v>
      </c>
      <c r="BS82" s="33">
        <f>IFERROR((1+Sensitivity_tables!$N$18)*IFERROR(IF(AND(Assumptions!$G$34="Manufactured",Assumptions!$G$68="Yes"),-Assumptions!$G$70*BS63*BS68,0),0),0)</f>
        <v>0</v>
      </c>
      <c r="BT82" s="33">
        <f>IFERROR((1+Sensitivity_tables!$N$18)*IFERROR(IF(AND(Assumptions!$G$34="Manufactured",Assumptions!$G$68="Yes"),-Assumptions!$G$70*BT63*BT68,0),0),0)</f>
        <v>0</v>
      </c>
      <c r="BU82" s="33">
        <f>IFERROR((1+Sensitivity_tables!$N$18)*IFERROR(IF(AND(Assumptions!$G$34="Manufactured",Assumptions!$G$68="Yes"),-Assumptions!$G$70*BU63*BU68,0),0),0)</f>
        <v>0</v>
      </c>
      <c r="BV82" s="33">
        <f>IFERROR((1+Sensitivity_tables!$N$18)*IFERROR(IF(AND(Assumptions!$G$34="Manufactured",Assumptions!$G$68="Yes"),-Assumptions!$G$70*BV63*BV68,0),0),0)</f>
        <v>0</v>
      </c>
      <c r="BW82" s="33">
        <f>IFERROR((1+Sensitivity_tables!$N$18)*IFERROR(IF(AND(Assumptions!$G$34="Manufactured",Assumptions!$G$68="Yes"),-Assumptions!$G$70*BW63*BW68,0),0),0)</f>
        <v>0</v>
      </c>
      <c r="BX82" s="33">
        <f>IFERROR((1+Sensitivity_tables!$N$18)*IFERROR(IF(AND(Assumptions!$G$34="Manufactured",Assumptions!$G$68="Yes"),-Assumptions!$G$70*BX63*BX68,0),0),0)</f>
        <v>0</v>
      </c>
      <c r="BY82" s="33">
        <f>IFERROR((1+Sensitivity_tables!$N$18)*IFERROR(IF(AND(Assumptions!$G$34="Manufactured",Assumptions!$G$68="Yes"),-Assumptions!$G$70*BY63*BY68,0),0),0)</f>
        <v>0</v>
      </c>
    </row>
    <row r="83" spans="2:77" outlineLevel="1">
      <c r="E83" s="25" t="s">
        <v>493</v>
      </c>
      <c r="F83" s="81" t="str">
        <f>+Assumptions!$G$8</f>
        <v>USD</v>
      </c>
      <c r="G83" s="30"/>
      <c r="H83" s="34">
        <f>IFERROR((1+Sensitivity_tables!$N$18)*IF(Assumptions!$G$73="See Assumptions_Detailed",-Assumptions_Detailed!H27*H68*Assumptions!$G$27*Assumptions!$G$268,IF(AND(Assumptions!$G$68="Yes",Assumptions!$G$69="Detailed"),-Assumptions_Detailed!H$25*H68,IF(AND(Assumptions!$G$68="Yes",Assumptions!$G$69="General"),-(Assumptions!$G73-Assumptions!$G$70)*H$63*H68,0))),0)</f>
        <v>0</v>
      </c>
      <c r="I83" s="34">
        <f>IFERROR((1+Sensitivity_tables!$N$18)*IF(Assumptions!$G$73="See Assumptions_Detailed",-Assumptions_Detailed!I27*I68*Assumptions!$G$27*Assumptions!$G$268,IF(AND(Assumptions!$G$68="Yes",Assumptions!$G$69="Detailed"),-Assumptions_Detailed!I$25*I68,IF(AND(Assumptions!$G$68="Yes",Assumptions!$G$69="General"),-(Assumptions!$G73-Assumptions!$G$70)*I$63*I68,0))),0)</f>
        <v>0</v>
      </c>
      <c r="J83" s="34">
        <f>IFERROR((1+Sensitivity_tables!$N$18)*IF(Assumptions!$G$73="See Assumptions_Detailed",-Assumptions_Detailed!J27*J68*Assumptions!$G$27*Assumptions!$G$268,IF(AND(Assumptions!$G$68="Yes",Assumptions!$G$69="Detailed"),-Assumptions_Detailed!J$25*J68,IF(AND(Assumptions!$G$68="Yes",Assumptions!$G$69="General"),-(Assumptions!$G73-Assumptions!$G$70)*J$63*J68,0))),0)</f>
        <v>0</v>
      </c>
      <c r="K83" s="34">
        <f>IFERROR((1+Sensitivity_tables!$N$18)*IF(Assumptions!$G$73="See Assumptions_Detailed",-Assumptions_Detailed!K27*K68*Assumptions!$G$27*Assumptions!$G$268,IF(AND(Assumptions!$G$68="Yes",Assumptions!$G$69="Detailed"),-Assumptions_Detailed!K$25*K68,IF(AND(Assumptions!$G$68="Yes",Assumptions!$G$69="General"),-(Assumptions!$G73-Assumptions!$G$70)*K$63*K68,0))),0)</f>
        <v>0</v>
      </c>
      <c r="L83" s="34">
        <f>IFERROR((1+Sensitivity_tables!$N$18)*IF(Assumptions!$G$73="See Assumptions_Detailed",-Assumptions_Detailed!L27*L68*Assumptions!$G$27*Assumptions!$G$268,IF(AND(Assumptions!$G$68="Yes",Assumptions!$G$69="Detailed"),-Assumptions_Detailed!L$25*L68,IF(AND(Assumptions!$G$68="Yes",Assumptions!$G$69="General"),-(Assumptions!$G73-Assumptions!$G$70)*L$63*L68,0))),0)</f>
        <v>0</v>
      </c>
      <c r="M83" s="34">
        <f>IFERROR((1+Sensitivity_tables!$N$18)*IF(Assumptions!$G$73="See Assumptions_Detailed",-Assumptions_Detailed!M27*M68*Assumptions!$G$27*Assumptions!$G$268,IF(AND(Assumptions!$G$68="Yes",Assumptions!$G$69="Detailed"),-Assumptions_Detailed!M$25*M68,IF(AND(Assumptions!$G$68="Yes",Assumptions!$G$69="General"),-(Assumptions!$G73-Assumptions!$G$70)*M$63*M68,0))),0)</f>
        <v>0</v>
      </c>
      <c r="N83" s="34">
        <f>IFERROR((1+Sensitivity_tables!$N$18)*IF(Assumptions!$G$73="See Assumptions_Detailed",-Assumptions_Detailed!N27*N68*Assumptions!$G$27*Assumptions!$G$268,IF(AND(Assumptions!$G$68="Yes",Assumptions!$G$69="Detailed"),-Assumptions_Detailed!N$25*N68,IF(AND(Assumptions!$G$68="Yes",Assumptions!$G$69="General"),-(Assumptions!$G73-Assumptions!$G$70)*N$63*N68,0))),0)</f>
        <v>0</v>
      </c>
      <c r="O83" s="34">
        <f>IFERROR((1+Sensitivity_tables!$N$18)*IF(Assumptions!$G$73="See Assumptions_Detailed",-Assumptions_Detailed!O27*O68*Assumptions!$G$27*Assumptions!$G$268,IF(AND(Assumptions!$G$68="Yes",Assumptions!$G$69="Detailed"),-Assumptions_Detailed!O$25*O68,IF(AND(Assumptions!$G$68="Yes",Assumptions!$G$69="General"),-(Assumptions!$G73-Assumptions!$G$70)*O$63*O68,0))),0)</f>
        <v>0</v>
      </c>
      <c r="P83" s="34">
        <f>IFERROR((1+Sensitivity_tables!$N$18)*IF(Assumptions!$G$73="See Assumptions_Detailed",-Assumptions_Detailed!P27*P68*Assumptions!$G$27*Assumptions!$G$268,IF(AND(Assumptions!$G$68="Yes",Assumptions!$G$69="Detailed"),-Assumptions_Detailed!P$25*P68,IF(AND(Assumptions!$G$68="Yes",Assumptions!$G$69="General"),-(Assumptions!$G73-Assumptions!$G$70)*P$63*P68,0))),0)</f>
        <v>0</v>
      </c>
      <c r="Q83" s="34">
        <f>IFERROR((1+Sensitivity_tables!$N$18)*IF(Assumptions!$G$73="See Assumptions_Detailed",-Assumptions_Detailed!Q27*Q68*Assumptions!$G$27*Assumptions!$G$268,IF(AND(Assumptions!$G$68="Yes",Assumptions!$G$69="Detailed"),-Assumptions_Detailed!Q$25*Q68,IF(AND(Assumptions!$G$68="Yes",Assumptions!$G$69="General"),-(Assumptions!$G73-Assumptions!$G$70)*Q$63*Q68,0))),0)</f>
        <v>0</v>
      </c>
      <c r="R83" s="34">
        <f>IFERROR((1+Sensitivity_tables!$N$18)*IF(Assumptions!$G$73="See Assumptions_Detailed",-Assumptions_Detailed!R27*R68*Assumptions!$G$27*Assumptions!$G$268,IF(AND(Assumptions!$G$68="Yes",Assumptions!$G$69="Detailed"),-Assumptions_Detailed!R$25*R68,IF(AND(Assumptions!$G$68="Yes",Assumptions!$G$69="General"),-(Assumptions!$G73-Assumptions!$G$70)*R$63*R68,0))),0)</f>
        <v>0</v>
      </c>
      <c r="S83" s="34">
        <f>IFERROR((1+Sensitivity_tables!$N$18)*IF(Assumptions!$G$73="See Assumptions_Detailed",-Assumptions_Detailed!S27*S68*Assumptions!$G$27*Assumptions!$G$268,IF(AND(Assumptions!$G$68="Yes",Assumptions!$G$69="Detailed"),-Assumptions_Detailed!S$25*S68,IF(AND(Assumptions!$G$68="Yes",Assumptions!$G$69="General"),-(Assumptions!$G73-Assumptions!$G$70)*S$63*S68,0))),0)</f>
        <v>0</v>
      </c>
      <c r="T83" s="34">
        <f>IFERROR((1+Sensitivity_tables!$N$18)*IF(Assumptions!$G$73="See Assumptions_Detailed",-Assumptions_Detailed!T27*T68*Assumptions!$G$27*Assumptions!$G$268,IF(AND(Assumptions!$G$68="Yes",Assumptions!$G$69="Detailed"),-Assumptions_Detailed!T$25*T68,IF(AND(Assumptions!$G$68="Yes",Assumptions!$G$69="General"),-(Assumptions!$G73-Assumptions!$G$70)*T$63*T68,0))),0)</f>
        <v>0</v>
      </c>
      <c r="U83" s="34">
        <f>IFERROR((1+Sensitivity_tables!$N$18)*IF(Assumptions!$G$73="See Assumptions_Detailed",-Assumptions_Detailed!U27*U68*Assumptions!$G$27*Assumptions!$G$268,IF(AND(Assumptions!$G$68="Yes",Assumptions!$G$69="Detailed"),-Assumptions_Detailed!U$25*U68,IF(AND(Assumptions!$G$68="Yes",Assumptions!$G$69="General"),-(Assumptions!$G73-Assumptions!$G$70)*U$63*U68,0))),0)</f>
        <v>0</v>
      </c>
      <c r="V83" s="34">
        <f>IFERROR((1+Sensitivity_tables!$N$18)*IF(Assumptions!$G$73="See Assumptions_Detailed",-Assumptions_Detailed!V27*V68*Assumptions!$G$27*Assumptions!$G$268,IF(AND(Assumptions!$G$68="Yes",Assumptions!$G$69="Detailed"),-Assumptions_Detailed!V$25*V68,IF(AND(Assumptions!$G$68="Yes",Assumptions!$G$69="General"),-(Assumptions!$G73-Assumptions!$G$70)*V$63*V68,0))),0)</f>
        <v>0</v>
      </c>
      <c r="W83" s="34">
        <f>IFERROR((1+Sensitivity_tables!$N$18)*IF(Assumptions!$G$73="See Assumptions_Detailed",-Assumptions_Detailed!W27*W68*Assumptions!$G$27*Assumptions!$G$268,IF(AND(Assumptions!$G$68="Yes",Assumptions!$G$69="Detailed"),-Assumptions_Detailed!W$25*W68,IF(AND(Assumptions!$G$68="Yes",Assumptions!$G$69="General"),-(Assumptions!$G73-Assumptions!$G$70)*W$63*W68,0))),0)</f>
        <v>0</v>
      </c>
      <c r="X83" s="34">
        <f>IFERROR((1+Sensitivity_tables!$N$18)*IF(Assumptions!$G$73="See Assumptions_Detailed",-Assumptions_Detailed!X27*X68*Assumptions!$G$27*Assumptions!$G$268,IF(AND(Assumptions!$G$68="Yes",Assumptions!$G$69="Detailed"),-Assumptions_Detailed!X$25*X68,IF(AND(Assumptions!$G$68="Yes",Assumptions!$G$69="General"),-(Assumptions!$G73-Assumptions!$G$70)*X$63*X68,0))),0)</f>
        <v>0</v>
      </c>
      <c r="Y83" s="34">
        <f>IFERROR((1+Sensitivity_tables!$N$18)*IF(Assumptions!$G$73="See Assumptions_Detailed",-Assumptions_Detailed!Y27*Y68*Assumptions!$G$27*Assumptions!$G$268,IF(AND(Assumptions!$G$68="Yes",Assumptions!$G$69="Detailed"),-Assumptions_Detailed!Y$25*Y68,IF(AND(Assumptions!$G$68="Yes",Assumptions!$G$69="General"),-(Assumptions!$G73-Assumptions!$G$70)*Y$63*Y68,0))),0)</f>
        <v>0</v>
      </c>
      <c r="Z83" s="34">
        <f>IFERROR((1+Sensitivity_tables!$N$18)*IF(Assumptions!$G$73="See Assumptions_Detailed",-Assumptions_Detailed!Z27*Z68*Assumptions!$G$27*Assumptions!$G$268,IF(AND(Assumptions!$G$68="Yes",Assumptions!$G$69="Detailed"),-Assumptions_Detailed!Z$25*Z68,IF(AND(Assumptions!$G$68="Yes",Assumptions!$G$69="General"),-(Assumptions!$G73-Assumptions!$G$70)*Z$63*Z68,0))),0)</f>
        <v>0</v>
      </c>
      <c r="AA83" s="34">
        <f>IFERROR((1+Sensitivity_tables!$N$18)*IF(Assumptions!$G$73="See Assumptions_Detailed",-Assumptions_Detailed!AA27*AA68*Assumptions!$G$27*Assumptions!$G$268,IF(AND(Assumptions!$G$68="Yes",Assumptions!$G$69="Detailed"),-Assumptions_Detailed!AA$25*AA68,IF(AND(Assumptions!$G$68="Yes",Assumptions!$G$69="General"),-(Assumptions!$G73-Assumptions!$G$70)*AA$63*AA68,0))),0)</f>
        <v>0</v>
      </c>
      <c r="AB83" s="34">
        <f>IFERROR((1+Sensitivity_tables!$N$18)*IF(Assumptions!$G$73="See Assumptions_Detailed",-Assumptions_Detailed!AB27*AB68*Assumptions!$G$27*Assumptions!$G$268,IF(AND(Assumptions!$G$68="Yes",Assumptions!$G$69="Detailed"),-Assumptions_Detailed!AB$25*AB68,IF(AND(Assumptions!$G$68="Yes",Assumptions!$G$69="General"),-(Assumptions!$G73-Assumptions!$G$70)*AB$63*AB68,0))),0)</f>
        <v>0</v>
      </c>
      <c r="AC83" s="34">
        <f>IFERROR((1+Sensitivity_tables!$N$18)*IF(Assumptions!$G$73="See Assumptions_Detailed",-Assumptions_Detailed!AC27*AC68*Assumptions!$G$27*Assumptions!$G$268,IF(AND(Assumptions!$G$68="Yes",Assumptions!$G$69="Detailed"),-Assumptions_Detailed!AC$25*AC68,IF(AND(Assumptions!$G$68="Yes",Assumptions!$G$69="General"),-(Assumptions!$G73-Assumptions!$G$70)*AC$63*AC68,0))),0)</f>
        <v>0</v>
      </c>
      <c r="AD83" s="34">
        <f>IFERROR((1+Sensitivity_tables!$N$18)*IF(Assumptions!$G$73="See Assumptions_Detailed",-Assumptions_Detailed!AD27*AD68*Assumptions!$G$27*Assumptions!$G$268,IF(AND(Assumptions!$G$68="Yes",Assumptions!$G$69="Detailed"),-Assumptions_Detailed!AD$25*AD68,IF(AND(Assumptions!$G$68="Yes",Assumptions!$G$69="General"),-(Assumptions!$G73-Assumptions!$G$70)*AD$63*AD68,0))),0)</f>
        <v>0</v>
      </c>
      <c r="AE83" s="34">
        <f>IFERROR((1+Sensitivity_tables!$N$18)*IF(Assumptions!$G$73="See Assumptions_Detailed",-Assumptions_Detailed!AE27*AE68*Assumptions!$G$27*Assumptions!$G$268,IF(AND(Assumptions!$G$68="Yes",Assumptions!$G$69="Detailed"),-Assumptions_Detailed!AE$25*AE68,IF(AND(Assumptions!$G$68="Yes",Assumptions!$G$69="General"),-(Assumptions!$G73-Assumptions!$G$70)*AE$63*AE68,0))),0)</f>
        <v>0</v>
      </c>
      <c r="AF83" s="34">
        <f>IFERROR((1+Sensitivity_tables!$N$18)*IF(Assumptions!$G$73="See Assumptions_Detailed",-Assumptions_Detailed!AF27*AF68*Assumptions!$G$27*Assumptions!$G$268,IF(AND(Assumptions!$G$68="Yes",Assumptions!$G$69="Detailed"),-Assumptions_Detailed!AF$25*AF68,IF(AND(Assumptions!$G$68="Yes",Assumptions!$G$69="General"),-(Assumptions!$G73-Assumptions!$G$70)*AF$63*AF68,0))),0)</f>
        <v>0</v>
      </c>
      <c r="AG83" s="34">
        <f>IFERROR((1+Sensitivity_tables!$N$18)*IF(Assumptions!$G$73="See Assumptions_Detailed",-Assumptions_Detailed!AG27*AG68*Assumptions!$G$27*Assumptions!$G$268,IF(AND(Assumptions!$G$68="Yes",Assumptions!$G$69="Detailed"),-Assumptions_Detailed!AG$25*AG68,IF(AND(Assumptions!$G$68="Yes",Assumptions!$G$69="General"),-(Assumptions!$G73-Assumptions!$G$70)*AG$63*AG68,0))),0)</f>
        <v>0</v>
      </c>
      <c r="AH83" s="34">
        <f>IFERROR((1+Sensitivity_tables!$N$18)*IF(Assumptions!$G$73="See Assumptions_Detailed",-Assumptions_Detailed!AH27*AH68*Assumptions!$G$27*Assumptions!$G$268,IF(AND(Assumptions!$G$68="Yes",Assumptions!$G$69="Detailed"),-Assumptions_Detailed!AH$25*AH68,IF(AND(Assumptions!$G$68="Yes",Assumptions!$G$69="General"),-(Assumptions!$G73-Assumptions!$G$70)*AH$63*AH68,0))),0)</f>
        <v>0</v>
      </c>
      <c r="AI83" s="34">
        <f>IFERROR((1+Sensitivity_tables!$N$18)*IF(Assumptions!$G$73="See Assumptions_Detailed",-Assumptions_Detailed!AI27*AI68*Assumptions!$G$27*Assumptions!$G$268,IF(AND(Assumptions!$G$68="Yes",Assumptions!$G$69="Detailed"),-Assumptions_Detailed!AI$25*AI68,IF(AND(Assumptions!$G$68="Yes",Assumptions!$G$69="General"),-(Assumptions!$G73-Assumptions!$G$70)*AI$63*AI68,0))),0)</f>
        <v>0</v>
      </c>
      <c r="AJ83" s="34">
        <f>IFERROR((1+Sensitivity_tables!$N$18)*IF(Assumptions!$G$73="See Assumptions_Detailed",-Assumptions_Detailed!AJ27*AJ68*Assumptions!$G$27*Assumptions!$G$268,IF(AND(Assumptions!$G$68="Yes",Assumptions!$G$69="Detailed"),-Assumptions_Detailed!AJ$25*AJ68,IF(AND(Assumptions!$G$68="Yes",Assumptions!$G$69="General"),-(Assumptions!$G73-Assumptions!$G$70)*AJ$63*AJ68,0))),0)</f>
        <v>0</v>
      </c>
      <c r="AK83" s="34">
        <f>IFERROR((1+Sensitivity_tables!$N$18)*IF(Assumptions!$G$73="See Assumptions_Detailed",-Assumptions_Detailed!AK27*AK68*Assumptions!$G$27*Assumptions!$G$268,IF(AND(Assumptions!$G$68="Yes",Assumptions!$G$69="Detailed"),-Assumptions_Detailed!AK$25*AK68,IF(AND(Assumptions!$G$68="Yes",Assumptions!$G$69="General"),-(Assumptions!$G73-Assumptions!$G$70)*AK$63*AK68,0))),0)</f>
        <v>0</v>
      </c>
      <c r="AL83" s="34">
        <f>IFERROR((1+Sensitivity_tables!$N$18)*IF(Assumptions!$G$73="See Assumptions_Detailed",-Assumptions_Detailed!AL27*AL68*Assumptions!$G$27*Assumptions!$G$268,IF(AND(Assumptions!$G$68="Yes",Assumptions!$G$69="Detailed"),-Assumptions_Detailed!AL$25*AL68,IF(AND(Assumptions!$G$68="Yes",Assumptions!$G$69="General"),-(Assumptions!$G73-Assumptions!$G$70)*AL$63*AL68,0))),0)</f>
        <v>0</v>
      </c>
      <c r="AM83" s="34">
        <f>IFERROR((1+Sensitivity_tables!$N$18)*IF(Assumptions!$G$73="See Assumptions_Detailed",-Assumptions_Detailed!AM27*AM68*Assumptions!$G$27*Assumptions!$G$268,IF(AND(Assumptions!$G$68="Yes",Assumptions!$G$69="Detailed"),-Assumptions_Detailed!AM$25*AM68,IF(AND(Assumptions!$G$68="Yes",Assumptions!$G$69="General"),-(Assumptions!$G73-Assumptions!$G$70)*AM$63*AM68,0))),0)</f>
        <v>0</v>
      </c>
      <c r="AN83" s="34">
        <f>IFERROR((1+Sensitivity_tables!$N$18)*IF(Assumptions!$G$73="See Assumptions_Detailed",-Assumptions_Detailed!AN27*AN68*Assumptions!$G$27*Assumptions!$G$268,IF(AND(Assumptions!$G$68="Yes",Assumptions!$G$69="Detailed"),-Assumptions_Detailed!AN$25*AN68,IF(AND(Assumptions!$G$68="Yes",Assumptions!$G$69="General"),-(Assumptions!$G73-Assumptions!$G$70)*AN$63*AN68,0))),0)</f>
        <v>0</v>
      </c>
      <c r="AO83" s="34">
        <f>IFERROR((1+Sensitivity_tables!$N$18)*IF(Assumptions!$G$73="See Assumptions_Detailed",-Assumptions_Detailed!AO27*AO68*Assumptions!$G$27*Assumptions!$G$268,IF(AND(Assumptions!$G$68="Yes",Assumptions!$G$69="Detailed"),-Assumptions_Detailed!AO$25*AO68,IF(AND(Assumptions!$G$68="Yes",Assumptions!$G$69="General"),-(Assumptions!$G73-Assumptions!$G$70)*AO$63*AO68,0))),0)</f>
        <v>0</v>
      </c>
      <c r="AP83" s="34">
        <f>IFERROR((1+Sensitivity_tables!$N$18)*IF(Assumptions!$G$73="See Assumptions_Detailed",-Assumptions_Detailed!AP27*AP68*Assumptions!$G$27*Assumptions!$G$268,IF(AND(Assumptions!$G$68="Yes",Assumptions!$G$69="Detailed"),-Assumptions_Detailed!AP$25*AP68,IF(AND(Assumptions!$G$68="Yes",Assumptions!$G$69="General"),-(Assumptions!$G73-Assumptions!$G$70)*AP$63*AP68,0))),0)</f>
        <v>0</v>
      </c>
      <c r="AQ83" s="34">
        <f>IFERROR((1+Sensitivity_tables!$N$18)*IF(Assumptions!$G$73="See Assumptions_Detailed",-Assumptions_Detailed!AQ27*AQ68*Assumptions!$G$27*Assumptions!$G$268,IF(AND(Assumptions!$G$68="Yes",Assumptions!$G$69="Detailed"),-Assumptions_Detailed!AQ$25*AQ68,IF(AND(Assumptions!$G$68="Yes",Assumptions!$G$69="General"),-(Assumptions!$G73-Assumptions!$G$70)*AQ$63*AQ68,0))),0)</f>
        <v>0</v>
      </c>
      <c r="AR83" s="34">
        <f>IFERROR((1+Sensitivity_tables!$N$18)*IF(Assumptions!$G$73="See Assumptions_Detailed",-Assumptions_Detailed!AR27*AR68*Assumptions!$G$27*Assumptions!$G$268,IF(AND(Assumptions!$G$68="Yes",Assumptions!$G$69="Detailed"),-Assumptions_Detailed!AR$25*AR68,IF(AND(Assumptions!$G$68="Yes",Assumptions!$G$69="General"),-(Assumptions!$G73-Assumptions!$G$70)*AR$63*AR68,0))),0)</f>
        <v>0</v>
      </c>
      <c r="AS83" s="34">
        <f>IFERROR((1+Sensitivity_tables!$N$18)*IF(Assumptions!$G$73="See Assumptions_Detailed",-Assumptions_Detailed!AS27*AS68*Assumptions!$G$27*Assumptions!$G$268,IF(AND(Assumptions!$G$68="Yes",Assumptions!$G$69="Detailed"),-Assumptions_Detailed!AS$25*AS68,IF(AND(Assumptions!$G$68="Yes",Assumptions!$G$69="General"),-(Assumptions!$G73-Assumptions!$G$70)*AS$63*AS68,0))),0)</f>
        <v>0</v>
      </c>
      <c r="AT83" s="34">
        <f>IFERROR((1+Sensitivity_tables!$N$18)*IF(Assumptions!$G$73="See Assumptions_Detailed",-Assumptions_Detailed!AT27*AT68*Assumptions!$G$27*Assumptions!$G$268,IF(AND(Assumptions!$G$68="Yes",Assumptions!$G$69="Detailed"),-Assumptions_Detailed!AT$25*AT68,IF(AND(Assumptions!$G$68="Yes",Assumptions!$G$69="General"),-(Assumptions!$G73-Assumptions!$G$70)*AT$63*AT68,0))),0)</f>
        <v>0</v>
      </c>
      <c r="AU83" s="34">
        <f>IFERROR((1+Sensitivity_tables!$N$18)*IF(Assumptions!$G$73="See Assumptions_Detailed",-Assumptions_Detailed!AU27*AU68*Assumptions!$G$27*Assumptions!$G$268,IF(AND(Assumptions!$G$68="Yes",Assumptions!$G$69="Detailed"),-Assumptions_Detailed!AU$25*AU68,IF(AND(Assumptions!$G$68="Yes",Assumptions!$G$69="General"),-(Assumptions!$G73-Assumptions!$G$70)*AU$63*AU68,0))),0)</f>
        <v>0</v>
      </c>
      <c r="AV83" s="34">
        <f>IFERROR((1+Sensitivity_tables!$N$18)*IF(Assumptions!$G$73="See Assumptions_Detailed",-Assumptions_Detailed!AV27*AV68*Assumptions!$G$27*Assumptions!$G$268,IF(AND(Assumptions!$G$68="Yes",Assumptions!$G$69="Detailed"),-Assumptions_Detailed!AV$25*AV68,IF(AND(Assumptions!$G$68="Yes",Assumptions!$G$69="General"),-(Assumptions!$G73-Assumptions!$G$70)*AV$63*AV68,0))),0)</f>
        <v>0</v>
      </c>
      <c r="AW83" s="34">
        <f>IFERROR((1+Sensitivity_tables!$N$18)*IF(Assumptions!$G$73="See Assumptions_Detailed",-Assumptions_Detailed!AW27*AW68*Assumptions!$G$27*Assumptions!$G$268,IF(AND(Assumptions!$G$68="Yes",Assumptions!$G$69="Detailed"),-Assumptions_Detailed!AW$25*AW68,IF(AND(Assumptions!$G$68="Yes",Assumptions!$G$69="General"),-(Assumptions!$G73-Assumptions!$G$70)*AW$63*AW68,0))),0)</f>
        <v>0</v>
      </c>
      <c r="AX83" s="34">
        <f>IFERROR((1+Sensitivity_tables!$N$18)*IF(Assumptions!$G$73="See Assumptions_Detailed",-Assumptions_Detailed!AX27*AX68*Assumptions!$G$27*Assumptions!$G$268,IF(AND(Assumptions!$G$68="Yes",Assumptions!$G$69="Detailed"),-Assumptions_Detailed!AX$25*AX68,IF(AND(Assumptions!$G$68="Yes",Assumptions!$G$69="General"),-(Assumptions!$G73-Assumptions!$G$70)*AX$63*AX68,0))),0)</f>
        <v>0</v>
      </c>
      <c r="AY83" s="34">
        <f>IFERROR((1+Sensitivity_tables!$N$18)*IF(Assumptions!$G$73="See Assumptions_Detailed",-Assumptions_Detailed!AY27*AY68*Assumptions!$G$27*Assumptions!$G$268,IF(AND(Assumptions!$G$68="Yes",Assumptions!$G$69="Detailed"),-Assumptions_Detailed!AY$25*AY68,IF(AND(Assumptions!$G$68="Yes",Assumptions!$G$69="General"),-(Assumptions!$G73-Assumptions!$G$70)*AY$63*AY68,0))),0)</f>
        <v>0</v>
      </c>
      <c r="AZ83" s="34">
        <f>IFERROR((1+Sensitivity_tables!$N$18)*IF(Assumptions!$G$73="See Assumptions_Detailed",-Assumptions_Detailed!AZ27*AZ68*Assumptions!$G$27*Assumptions!$G$268,IF(AND(Assumptions!$G$68="Yes",Assumptions!$G$69="Detailed"),-Assumptions_Detailed!AZ$25*AZ68,IF(AND(Assumptions!$G$68="Yes",Assumptions!$G$69="General"),-(Assumptions!$G73-Assumptions!$G$70)*AZ$63*AZ68,0))),0)</f>
        <v>0</v>
      </c>
      <c r="BA83" s="34">
        <f>IFERROR((1+Sensitivity_tables!$N$18)*IF(Assumptions!$G$73="See Assumptions_Detailed",-Assumptions_Detailed!BA27*BA68*Assumptions!$G$27*Assumptions!$G$268,IF(AND(Assumptions!$G$68="Yes",Assumptions!$G$69="Detailed"),-Assumptions_Detailed!BA$25*BA68,IF(AND(Assumptions!$G$68="Yes",Assumptions!$G$69="General"),-(Assumptions!$G73-Assumptions!$G$70)*BA$63*BA68,0))),0)</f>
        <v>0</v>
      </c>
      <c r="BB83" s="34">
        <f>IFERROR((1+Sensitivity_tables!$N$18)*IF(Assumptions!$G$73="See Assumptions_Detailed",-Assumptions_Detailed!BB27*BB68*Assumptions!$G$27*Assumptions!$G$268,IF(AND(Assumptions!$G$68="Yes",Assumptions!$G$69="Detailed"),-Assumptions_Detailed!BB$25*BB68,IF(AND(Assumptions!$G$68="Yes",Assumptions!$G$69="General"),-(Assumptions!$G73-Assumptions!$G$70)*BB$63*BB68,0))),0)</f>
        <v>0</v>
      </c>
      <c r="BC83" s="34">
        <f>IFERROR((1+Sensitivity_tables!$N$18)*IF(Assumptions!$G$73="See Assumptions_Detailed",-Assumptions_Detailed!BC27*BC68*Assumptions!$G$27*Assumptions!$G$268,IF(AND(Assumptions!$G$68="Yes",Assumptions!$G$69="Detailed"),-Assumptions_Detailed!BC$25*BC68,IF(AND(Assumptions!$G$68="Yes",Assumptions!$G$69="General"),-(Assumptions!$G73-Assumptions!$G$70)*BC$63*BC68,0))),0)</f>
        <v>0</v>
      </c>
      <c r="BD83" s="34">
        <f>IFERROR((1+Sensitivity_tables!$N$18)*IF(Assumptions!$G$73="See Assumptions_Detailed",-Assumptions_Detailed!BD27*BD68*Assumptions!$G$27*Assumptions!$G$268,IF(AND(Assumptions!$G$68="Yes",Assumptions!$G$69="Detailed"),-Assumptions_Detailed!BD$25*BD68,IF(AND(Assumptions!$G$68="Yes",Assumptions!$G$69="General"),-(Assumptions!$G73-Assumptions!$G$70)*BD$63*BD68,0))),0)</f>
        <v>0</v>
      </c>
      <c r="BE83" s="34">
        <f>IFERROR((1+Sensitivity_tables!$N$18)*IF(Assumptions!$G$73="See Assumptions_Detailed",-Assumptions_Detailed!BE27*BE68*Assumptions!$G$27*Assumptions!$G$268,IF(AND(Assumptions!$G$68="Yes",Assumptions!$G$69="Detailed"),-Assumptions_Detailed!BE$25*BE68,IF(AND(Assumptions!$G$68="Yes",Assumptions!$G$69="General"),-(Assumptions!$G73-Assumptions!$G$70)*BE$63*BE68,0))),0)</f>
        <v>0</v>
      </c>
      <c r="BF83" s="34">
        <f>IFERROR((1+Sensitivity_tables!$N$18)*IF(Assumptions!$G$73="See Assumptions_Detailed",-Assumptions_Detailed!BF27*BF68*Assumptions!$G$27*Assumptions!$G$268,IF(AND(Assumptions!$G$68="Yes",Assumptions!$G$69="Detailed"),-Assumptions_Detailed!BF$25*BF68,IF(AND(Assumptions!$G$68="Yes",Assumptions!$G$69="General"),-(Assumptions!$G73-Assumptions!$G$70)*BF$63*BF68,0))),0)</f>
        <v>0</v>
      </c>
      <c r="BG83" s="34">
        <f>IFERROR((1+Sensitivity_tables!$N$18)*IF(Assumptions!$G$73="See Assumptions_Detailed",-Assumptions_Detailed!BG27*BG68*Assumptions!$G$27*Assumptions!$G$268,IF(AND(Assumptions!$G$68="Yes",Assumptions!$G$69="Detailed"),-Assumptions_Detailed!BG$25*BG68,IF(AND(Assumptions!$G$68="Yes",Assumptions!$G$69="General"),-(Assumptions!$G73-Assumptions!$G$70)*BG$63*BG68,0))),0)</f>
        <v>0</v>
      </c>
      <c r="BH83" s="34">
        <f>IFERROR((1+Sensitivity_tables!$N$18)*IF(Assumptions!$G$73="See Assumptions_Detailed",-Assumptions_Detailed!BH27*BH68*Assumptions!$G$27*Assumptions!$G$268,IF(AND(Assumptions!$G$68="Yes",Assumptions!$G$69="Detailed"),-Assumptions_Detailed!BH$25*BH68,IF(AND(Assumptions!$G$68="Yes",Assumptions!$G$69="General"),-(Assumptions!$G73-Assumptions!$G$70)*BH$63*BH68,0))),0)</f>
        <v>0</v>
      </c>
      <c r="BI83" s="34">
        <f>IFERROR((1+Sensitivity_tables!$N$18)*IF(Assumptions!$G$73="See Assumptions_Detailed",-Assumptions_Detailed!BI27*BI68*Assumptions!$G$27*Assumptions!$G$268,IF(AND(Assumptions!$G$68="Yes",Assumptions!$G$69="Detailed"),-Assumptions_Detailed!BI$25*BI68,IF(AND(Assumptions!$G$68="Yes",Assumptions!$G$69="General"),-(Assumptions!$G73-Assumptions!$G$70)*BI$63*BI68,0))),0)</f>
        <v>0</v>
      </c>
      <c r="BJ83" s="34">
        <f>IFERROR((1+Sensitivity_tables!$N$18)*IF(Assumptions!$G$73="See Assumptions_Detailed",-Assumptions_Detailed!BJ27*BJ68*Assumptions!$G$27*Assumptions!$G$268,IF(AND(Assumptions!$G$68="Yes",Assumptions!$G$69="Detailed"),-Assumptions_Detailed!BJ$25*BJ68,IF(AND(Assumptions!$G$68="Yes",Assumptions!$G$69="General"),-(Assumptions!$G73-Assumptions!$G$70)*BJ$63*BJ68,0))),0)</f>
        <v>0</v>
      </c>
      <c r="BK83" s="34">
        <f>IFERROR((1+Sensitivity_tables!$N$18)*IF(Assumptions!$G$73="See Assumptions_Detailed",-Assumptions_Detailed!BK27*BK68*Assumptions!$G$27*Assumptions!$G$268,IF(AND(Assumptions!$G$68="Yes",Assumptions!$G$69="Detailed"),-Assumptions_Detailed!BK$25*BK68,IF(AND(Assumptions!$G$68="Yes",Assumptions!$G$69="General"),-(Assumptions!$G73-Assumptions!$G$70)*BK$63*BK68,0))),0)</f>
        <v>0</v>
      </c>
      <c r="BL83" s="34">
        <f>IFERROR((1+Sensitivity_tables!$N$18)*IF(Assumptions!$G$73="See Assumptions_Detailed",-Assumptions_Detailed!BL27*BL68*Assumptions!$G$27*Assumptions!$G$268,IF(AND(Assumptions!$G$68="Yes",Assumptions!$G$69="Detailed"),-Assumptions_Detailed!BL$25*BL68,IF(AND(Assumptions!$G$68="Yes",Assumptions!$G$69="General"),-(Assumptions!$G73-Assumptions!$G$70)*BL$63*BL68,0))),0)</f>
        <v>0</v>
      </c>
      <c r="BM83" s="34">
        <f>IFERROR((1+Sensitivity_tables!$N$18)*IF(Assumptions!$G$73="See Assumptions_Detailed",-Assumptions_Detailed!BM27*BM68*Assumptions!$G$27*Assumptions!$G$268,IF(AND(Assumptions!$G$68="Yes",Assumptions!$G$69="Detailed"),-Assumptions_Detailed!BM$25*BM68,IF(AND(Assumptions!$G$68="Yes",Assumptions!$G$69="General"),-(Assumptions!$G73-Assumptions!$G$70)*BM$63*BM68,0))),0)</f>
        <v>0</v>
      </c>
      <c r="BN83" s="34">
        <f>IFERROR((1+Sensitivity_tables!$N$18)*IF(Assumptions!$G$73="See Assumptions_Detailed",-Assumptions_Detailed!BN27*BN68*Assumptions!$G$27*Assumptions!$G$268,IF(AND(Assumptions!$G$68="Yes",Assumptions!$G$69="Detailed"),-Assumptions_Detailed!BN$25*BN68,IF(AND(Assumptions!$G$68="Yes",Assumptions!$G$69="General"),-(Assumptions!$G73-Assumptions!$G$70)*BN$63*BN68,0))),0)</f>
        <v>0</v>
      </c>
      <c r="BO83" s="34">
        <f>IFERROR((1+Sensitivity_tables!$N$18)*IF(Assumptions!$G$73="See Assumptions_Detailed",-Assumptions_Detailed!BO27*BO68*Assumptions!$G$27*Assumptions!$G$268,IF(AND(Assumptions!$G$68="Yes",Assumptions!$G$69="Detailed"),-Assumptions_Detailed!BO$25*BO68,IF(AND(Assumptions!$G$68="Yes",Assumptions!$G$69="General"),-(Assumptions!$G73-Assumptions!$G$70)*BO$63*BO68,0))),0)</f>
        <v>0</v>
      </c>
      <c r="BP83" s="34">
        <f>IFERROR((1+Sensitivity_tables!$N$18)*IF(Assumptions!$G$73="See Assumptions_Detailed",-Assumptions_Detailed!BP27*BP68*Assumptions!$G$27*Assumptions!$G$268,IF(AND(Assumptions!$G$68="Yes",Assumptions!$G$69="Detailed"),-Assumptions_Detailed!BP$25*BP68,IF(AND(Assumptions!$G$68="Yes",Assumptions!$G$69="General"),-(Assumptions!$G73-Assumptions!$G$70)*BP$63*BP68,0))),0)</f>
        <v>0</v>
      </c>
      <c r="BQ83" s="34">
        <f>IFERROR((1+Sensitivity_tables!$N$18)*IF(Assumptions!$G$73="See Assumptions_Detailed",-Assumptions_Detailed!BQ27*BQ68*Assumptions!$G$27*Assumptions!$G$268,IF(AND(Assumptions!$G$68="Yes",Assumptions!$G$69="Detailed"),-Assumptions_Detailed!BQ$25*BQ68,IF(AND(Assumptions!$G$68="Yes",Assumptions!$G$69="General"),-(Assumptions!$G73-Assumptions!$G$70)*BQ$63*BQ68,0))),0)</f>
        <v>0</v>
      </c>
      <c r="BR83" s="34">
        <f>IFERROR((1+Sensitivity_tables!$N$18)*IF(Assumptions!$G$73="See Assumptions_Detailed",-Assumptions_Detailed!BR27*BR68*Assumptions!$G$27*Assumptions!$G$268,IF(AND(Assumptions!$G$68="Yes",Assumptions!$G$69="Detailed"),-Assumptions_Detailed!BR$25*BR68,IF(AND(Assumptions!$G$68="Yes",Assumptions!$G$69="General"),-(Assumptions!$G73-Assumptions!$G$70)*BR$63*BR68,0))),0)</f>
        <v>0</v>
      </c>
      <c r="BS83" s="34">
        <f>IFERROR((1+Sensitivity_tables!$N$18)*IF(Assumptions!$G$73="See Assumptions_Detailed",-Assumptions_Detailed!BS27*BS68*Assumptions!$G$27*Assumptions!$G$268,IF(AND(Assumptions!$G$68="Yes",Assumptions!$G$69="Detailed"),-Assumptions_Detailed!BS$25*BS68,IF(AND(Assumptions!$G$68="Yes",Assumptions!$G$69="General"),-(Assumptions!$G73-Assumptions!$G$70)*BS$63*BS68,0))),0)</f>
        <v>0</v>
      </c>
      <c r="BT83" s="34">
        <f>IFERROR((1+Sensitivity_tables!$N$18)*IF(Assumptions!$G$73="See Assumptions_Detailed",-Assumptions_Detailed!BT27*BT68*Assumptions!$G$27*Assumptions!$G$268,IF(AND(Assumptions!$G$68="Yes",Assumptions!$G$69="Detailed"),-Assumptions_Detailed!BT$25*BT68,IF(AND(Assumptions!$G$68="Yes",Assumptions!$G$69="General"),-(Assumptions!$G73-Assumptions!$G$70)*BT$63*BT68,0))),0)</f>
        <v>0</v>
      </c>
      <c r="BU83" s="34">
        <f>IFERROR((1+Sensitivity_tables!$N$18)*IF(Assumptions!$G$73="See Assumptions_Detailed",-Assumptions_Detailed!BU27*BU68*Assumptions!$G$27*Assumptions!$G$268,IF(AND(Assumptions!$G$68="Yes",Assumptions!$G$69="Detailed"),-Assumptions_Detailed!BU$25*BU68,IF(AND(Assumptions!$G$68="Yes",Assumptions!$G$69="General"),-(Assumptions!$G73-Assumptions!$G$70)*BU$63*BU68,0))),0)</f>
        <v>0</v>
      </c>
      <c r="BV83" s="34">
        <f>IFERROR((1+Sensitivity_tables!$N$18)*IF(Assumptions!$G$73="See Assumptions_Detailed",-Assumptions_Detailed!BV27*BV68*Assumptions!$G$27*Assumptions!$G$268,IF(AND(Assumptions!$G$68="Yes",Assumptions!$G$69="Detailed"),-Assumptions_Detailed!BV$25*BV68,IF(AND(Assumptions!$G$68="Yes",Assumptions!$G$69="General"),-(Assumptions!$G73-Assumptions!$G$70)*BV$63*BV68,0))),0)</f>
        <v>0</v>
      </c>
      <c r="BW83" s="34">
        <f>IFERROR((1+Sensitivity_tables!$N$18)*IF(Assumptions!$G$73="See Assumptions_Detailed",-Assumptions_Detailed!BW27*BW68*Assumptions!$G$27*Assumptions!$G$268,IF(AND(Assumptions!$G$68="Yes",Assumptions!$G$69="Detailed"),-Assumptions_Detailed!BW$25*BW68,IF(AND(Assumptions!$G$68="Yes",Assumptions!$G$69="General"),-(Assumptions!$G73-Assumptions!$G$70)*BW$63*BW68,0))),0)</f>
        <v>0</v>
      </c>
      <c r="BX83" s="34">
        <f>IFERROR((1+Sensitivity_tables!$N$18)*IF(Assumptions!$G$73="See Assumptions_Detailed",-Assumptions_Detailed!BX27*BX68*Assumptions!$G$27*Assumptions!$G$268,IF(AND(Assumptions!$G$68="Yes",Assumptions!$G$69="Detailed"),-Assumptions_Detailed!BX$25*BX68,IF(AND(Assumptions!$G$68="Yes",Assumptions!$G$69="General"),-(Assumptions!$G73-Assumptions!$G$70)*BX$63*BX68,0))),0)</f>
        <v>0</v>
      </c>
      <c r="BY83" s="34">
        <f>IFERROR((1+Sensitivity_tables!$N$18)*IF(Assumptions!$G$73="See Assumptions_Detailed",-Assumptions_Detailed!BY27*BY68*Assumptions!$G$27*Assumptions!$G$268,IF(AND(Assumptions!$G$68="Yes",Assumptions!$G$69="Detailed"),-Assumptions_Detailed!BY$25*BY68,IF(AND(Assumptions!$G$68="Yes",Assumptions!$G$69="General"),-(Assumptions!$G73-Assumptions!$G$70)*BY$63*BY68,0))),0)</f>
        <v>0</v>
      </c>
    </row>
    <row r="84" spans="2:77" outlineLevel="1">
      <c r="D84" s="33"/>
      <c r="E84" t="s">
        <v>494</v>
      </c>
      <c r="F84" s="80" t="str">
        <f>+Assumptions!$G$8</f>
        <v>USD</v>
      </c>
      <c r="G84" s="23"/>
      <c r="H84" s="33">
        <f ca="1">SUM(H80:H83)</f>
        <v>0</v>
      </c>
      <c r="I84" s="33">
        <f t="shared" ref="I84:BT84" ca="1" si="135">SUM(I80:I83)</f>
        <v>0</v>
      </c>
      <c r="J84" s="33">
        <f t="shared" ca="1" si="135"/>
        <v>0</v>
      </c>
      <c r="K84" s="33">
        <f t="shared" si="135"/>
        <v>0</v>
      </c>
      <c r="L84" s="33">
        <f t="shared" si="135"/>
        <v>0</v>
      </c>
      <c r="M84" s="33">
        <f t="shared" si="135"/>
        <v>0</v>
      </c>
      <c r="N84" s="33">
        <f t="shared" si="135"/>
        <v>0</v>
      </c>
      <c r="O84" s="33">
        <f t="shared" si="135"/>
        <v>0</v>
      </c>
      <c r="P84" s="33">
        <f t="shared" si="135"/>
        <v>0</v>
      </c>
      <c r="Q84" s="33">
        <f t="shared" si="135"/>
        <v>0</v>
      </c>
      <c r="R84" s="33">
        <f t="shared" si="135"/>
        <v>0</v>
      </c>
      <c r="S84" s="33">
        <f t="shared" si="135"/>
        <v>0</v>
      </c>
      <c r="T84" s="33">
        <f t="shared" si="135"/>
        <v>0</v>
      </c>
      <c r="U84" s="33">
        <f t="shared" si="135"/>
        <v>0</v>
      </c>
      <c r="V84" s="33">
        <f t="shared" si="135"/>
        <v>0</v>
      </c>
      <c r="W84" s="33">
        <f t="shared" si="135"/>
        <v>0</v>
      </c>
      <c r="X84" s="33">
        <f t="shared" si="135"/>
        <v>0</v>
      </c>
      <c r="Y84" s="33">
        <f t="shared" si="135"/>
        <v>0</v>
      </c>
      <c r="Z84" s="33">
        <f t="shared" ca="1" si="135"/>
        <v>0</v>
      </c>
      <c r="AA84" s="33">
        <f t="shared" ca="1" si="135"/>
        <v>0</v>
      </c>
      <c r="AB84" s="33">
        <f t="shared" ca="1" si="135"/>
        <v>0</v>
      </c>
      <c r="AC84" s="33">
        <f t="shared" ca="1" si="135"/>
        <v>0</v>
      </c>
      <c r="AD84" s="33">
        <f t="shared" ca="1" si="135"/>
        <v>0</v>
      </c>
      <c r="AE84" s="33">
        <f t="shared" ca="1" si="135"/>
        <v>0</v>
      </c>
      <c r="AF84" s="33">
        <f t="shared" ca="1" si="135"/>
        <v>0</v>
      </c>
      <c r="AG84" s="33">
        <f t="shared" ca="1" si="135"/>
        <v>0</v>
      </c>
      <c r="AH84" s="33">
        <f t="shared" ca="1" si="135"/>
        <v>0</v>
      </c>
      <c r="AI84" s="33">
        <f t="shared" ca="1" si="135"/>
        <v>0</v>
      </c>
      <c r="AJ84" s="33">
        <f t="shared" ca="1" si="135"/>
        <v>0</v>
      </c>
      <c r="AK84" s="33">
        <f t="shared" ca="1" si="135"/>
        <v>0</v>
      </c>
      <c r="AL84" s="33">
        <f t="shared" ca="1" si="135"/>
        <v>0</v>
      </c>
      <c r="AM84" s="33">
        <f t="shared" ca="1" si="135"/>
        <v>0</v>
      </c>
      <c r="AN84" s="33">
        <f t="shared" ca="1" si="135"/>
        <v>0</v>
      </c>
      <c r="AO84" s="33">
        <f t="shared" ca="1" si="135"/>
        <v>0</v>
      </c>
      <c r="AP84" s="33">
        <f t="shared" ca="1" si="135"/>
        <v>0</v>
      </c>
      <c r="AQ84" s="33">
        <f t="shared" ca="1" si="135"/>
        <v>0</v>
      </c>
      <c r="AR84" s="33">
        <f t="shared" ca="1" si="135"/>
        <v>0</v>
      </c>
      <c r="AS84" s="33">
        <f t="shared" ca="1" si="135"/>
        <v>0</v>
      </c>
      <c r="AT84" s="33">
        <f t="shared" ca="1" si="135"/>
        <v>0</v>
      </c>
      <c r="AU84" s="33">
        <f t="shared" ca="1" si="135"/>
        <v>0</v>
      </c>
      <c r="AV84" s="33">
        <f t="shared" ca="1" si="135"/>
        <v>0</v>
      </c>
      <c r="AW84" s="33">
        <f t="shared" ca="1" si="135"/>
        <v>0</v>
      </c>
      <c r="AX84" s="33">
        <f t="shared" ca="1" si="135"/>
        <v>0</v>
      </c>
      <c r="AY84" s="33">
        <f t="shared" ca="1" si="135"/>
        <v>0</v>
      </c>
      <c r="AZ84" s="33">
        <f t="shared" ca="1" si="135"/>
        <v>0</v>
      </c>
      <c r="BA84" s="33">
        <f t="shared" ca="1" si="135"/>
        <v>0</v>
      </c>
      <c r="BB84" s="33">
        <f t="shared" ca="1" si="135"/>
        <v>0</v>
      </c>
      <c r="BC84" s="33">
        <f t="shared" ca="1" si="135"/>
        <v>0</v>
      </c>
      <c r="BD84" s="33">
        <f t="shared" ca="1" si="135"/>
        <v>0</v>
      </c>
      <c r="BE84" s="33">
        <f t="shared" ca="1" si="135"/>
        <v>0</v>
      </c>
      <c r="BF84" s="33">
        <f t="shared" ca="1" si="135"/>
        <v>0</v>
      </c>
      <c r="BG84" s="33">
        <f t="shared" ca="1" si="135"/>
        <v>0</v>
      </c>
      <c r="BH84" s="33">
        <f t="shared" ca="1" si="135"/>
        <v>0</v>
      </c>
      <c r="BI84" s="33">
        <f t="shared" ca="1" si="135"/>
        <v>0</v>
      </c>
      <c r="BJ84" s="33">
        <f t="shared" ca="1" si="135"/>
        <v>0</v>
      </c>
      <c r="BK84" s="33">
        <f t="shared" ca="1" si="135"/>
        <v>0</v>
      </c>
      <c r="BL84" s="33">
        <f t="shared" ca="1" si="135"/>
        <v>0</v>
      </c>
      <c r="BM84" s="33">
        <f t="shared" ca="1" si="135"/>
        <v>0</v>
      </c>
      <c r="BN84" s="33">
        <f t="shared" ca="1" si="135"/>
        <v>0</v>
      </c>
      <c r="BO84" s="33">
        <f t="shared" ca="1" si="135"/>
        <v>0</v>
      </c>
      <c r="BP84" s="33">
        <f t="shared" ca="1" si="135"/>
        <v>0</v>
      </c>
      <c r="BQ84" s="33">
        <f t="shared" ca="1" si="135"/>
        <v>0</v>
      </c>
      <c r="BR84" s="33">
        <f t="shared" ca="1" si="135"/>
        <v>0</v>
      </c>
      <c r="BS84" s="33">
        <f t="shared" ca="1" si="135"/>
        <v>0</v>
      </c>
      <c r="BT84" s="33">
        <f t="shared" ca="1" si="135"/>
        <v>0</v>
      </c>
      <c r="BU84" s="33">
        <f t="shared" ref="BU84:BY84" ca="1" si="136">SUM(BU80:BU83)</f>
        <v>0</v>
      </c>
      <c r="BV84" s="33">
        <f t="shared" ca="1" si="136"/>
        <v>0</v>
      </c>
      <c r="BW84" s="33">
        <f t="shared" ca="1" si="136"/>
        <v>0</v>
      </c>
      <c r="BX84" s="33">
        <f t="shared" ca="1" si="136"/>
        <v>0</v>
      </c>
      <c r="BY84" s="33">
        <f t="shared" ca="1" si="136"/>
        <v>0</v>
      </c>
    </row>
    <row r="85" spans="2:77" outlineLevel="1">
      <c r="BF85" s="33"/>
      <c r="BG85" s="33"/>
      <c r="BH85" s="33"/>
      <c r="BI85" s="33"/>
      <c r="BJ85" s="33"/>
      <c r="BK85" s="33"/>
      <c r="BL85" s="33"/>
      <c r="BM85" s="33"/>
      <c r="BN85" s="33"/>
      <c r="BO85" s="33"/>
      <c r="BP85" s="33"/>
      <c r="BQ85" s="33"/>
      <c r="BR85" s="33"/>
      <c r="BS85" s="33"/>
      <c r="BT85" s="33"/>
      <c r="BU85" s="33"/>
      <c r="BV85" s="33"/>
      <c r="BW85" s="33"/>
      <c r="BX85" s="33"/>
      <c r="BY85" s="33"/>
    </row>
    <row r="86" spans="2:77" s="19" customFormat="1" ht="12.75" outlineLevel="1">
      <c r="B86" s="18" t="s">
        <v>495</v>
      </c>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row>
    <row r="87" spans="2:77" outlineLevel="1">
      <c r="BF87" s="33"/>
      <c r="BG87" s="33"/>
      <c r="BH87" s="33"/>
      <c r="BI87" s="33"/>
      <c r="BJ87" s="33"/>
      <c r="BK87" s="33"/>
      <c r="BL87" s="33"/>
      <c r="BM87" s="33"/>
      <c r="BN87" s="33"/>
      <c r="BO87" s="33"/>
      <c r="BP87" s="33"/>
      <c r="BQ87" s="33"/>
      <c r="BR87" s="33"/>
      <c r="BS87" s="33"/>
      <c r="BT87" s="33"/>
      <c r="BU87" s="33"/>
      <c r="BV87" s="33"/>
      <c r="BW87" s="33"/>
      <c r="BX87" s="33"/>
      <c r="BY87" s="33"/>
    </row>
    <row r="88" spans="2:77" ht="15" outlineLevel="1">
      <c r="C88" s="22" t="s">
        <v>496</v>
      </c>
      <c r="BF88" s="33"/>
      <c r="BG88" s="33"/>
      <c r="BH88" s="33"/>
      <c r="BI88" s="33"/>
      <c r="BJ88" s="33"/>
      <c r="BK88" s="33"/>
      <c r="BL88" s="33"/>
      <c r="BM88" s="33"/>
      <c r="BN88" s="33"/>
      <c r="BO88" s="33"/>
      <c r="BP88" s="33"/>
      <c r="BQ88" s="33"/>
      <c r="BR88" s="33"/>
      <c r="BS88" s="33"/>
      <c r="BT88" s="33"/>
      <c r="BU88" s="33"/>
      <c r="BV88" s="33"/>
      <c r="BW88" s="33"/>
      <c r="BX88" s="33"/>
      <c r="BY88" s="33"/>
    </row>
    <row r="89" spans="2:77" outlineLevel="1">
      <c r="C89" s="75">
        <f>Assumptions!$G$102*C73</f>
        <v>0</v>
      </c>
      <c r="D89" s="41"/>
      <c r="E89" t="s">
        <v>456</v>
      </c>
      <c r="F89" s="80" t="str">
        <f>+Assumptions!$G$8</f>
        <v>USD</v>
      </c>
      <c r="H89" s="32">
        <f>IF(AND(Assumptions!$G$77="Yes",Assumptions!$G$78="Detailed"),-Assumptions_Detailed!H$35,IF(SUM($H$67:H67)&gt;0,IF(SUM($H$74:H74)&lt;$C$89,MAX($C$89-SUM($G$89:G89),H74),H74),0))</f>
        <v>0</v>
      </c>
      <c r="I89" s="32">
        <f>IF(AND(Assumptions!$G$77="Yes",Assumptions!$G$78="Detailed"),-Assumptions_Detailed!I$35,IF(SUM($H$67:I67)&gt;0,IF(SUM($H$74:I74)&lt;$C$89,MAX($C$89-SUM($G$89:H89),I74),I74),0))</f>
        <v>0</v>
      </c>
      <c r="J89" s="32">
        <f>IF(AND(Assumptions!$G$77="Yes",Assumptions!$G$78="Detailed"),-Assumptions_Detailed!J$35,IF(SUM($H$67:J67)&gt;0,IF(SUM($H$74:J74)&lt;$C$89,MAX($C$89-SUM($G$89:I89),J74),J74),0))</f>
        <v>0</v>
      </c>
      <c r="K89" s="32">
        <f>IF(AND(Assumptions!$G$77="Yes",Assumptions!$G$78="Detailed"),-Assumptions_Detailed!K$35,IF(SUM($H$67:K67)&gt;0,IF(SUM($H$74:K74)&lt;$C$89,MAX($C$89-SUM($G$89:J89),K74),K74),0))</f>
        <v>0</v>
      </c>
      <c r="L89" s="32">
        <f>IF(AND(Assumptions!$G$77="Yes",Assumptions!$G$78="Detailed"),-Assumptions_Detailed!L$35,IF(SUM($H$67:L67)&gt;0,IF(SUM($H$74:L74)&lt;$C$89,MAX($C$89-SUM($G$89:K89),L74),L74),0))</f>
        <v>0</v>
      </c>
      <c r="M89" s="32">
        <f>IF(AND(Assumptions!$G$77="Yes",Assumptions!$G$78="Detailed"),-Assumptions_Detailed!M$35,IF(SUM($H$67:M67)&gt;0,IF(SUM($H$74:M74)&lt;$C$89,MAX($C$89-SUM($G$89:L89),M74),M74),0))</f>
        <v>0</v>
      </c>
      <c r="N89" s="32">
        <f>IF(AND(Assumptions!$G$77="Yes",Assumptions!$G$78="Detailed"),-Assumptions_Detailed!N$35,IF(SUM($H$67:N67)&gt;0,IF(SUM($H$74:N74)&lt;$C$89,MAX($C$89-SUM($G$89:M89),N74),N74),0))</f>
        <v>0</v>
      </c>
      <c r="O89" s="32">
        <f>IF(AND(Assumptions!$G$77="Yes",Assumptions!$G$78="Detailed"),-Assumptions_Detailed!O$35,IF(SUM($H$67:O67)&gt;0,IF(SUM($H$74:O74)&lt;$C$89,MAX($C$89-SUM($G$89:N89),O74),O74),0))</f>
        <v>0</v>
      </c>
      <c r="P89" s="32">
        <f>IF(AND(Assumptions!$G$77="Yes",Assumptions!$G$78="Detailed"),-Assumptions_Detailed!P$35,IF(SUM($H$67:P67)&gt;0,IF(SUM($H$74:P74)&lt;$C$89,MAX($C$89-SUM($G$89:O89),P74),P74),0))</f>
        <v>0</v>
      </c>
      <c r="Q89" s="32">
        <f>IF(AND(Assumptions!$G$77="Yes",Assumptions!$G$78="Detailed"),-Assumptions_Detailed!Q$35,IF(SUM($H$67:Q67)&gt;0,IF(SUM($H$74:Q74)&lt;$C$89,MAX($C$89-SUM($G$89:P89),Q74),Q74),0))</f>
        <v>0</v>
      </c>
      <c r="R89" s="32">
        <f>IF(AND(Assumptions!$G$77="Yes",Assumptions!$G$78="Detailed"),-Assumptions_Detailed!R$35,IF(SUM($H$67:R67)&gt;0,IF(SUM($H$74:R74)&lt;$C$89,MAX($C$89-SUM($G$89:Q89),R74),R74),0))</f>
        <v>0</v>
      </c>
      <c r="S89" s="32">
        <f>IF(AND(Assumptions!$G$77="Yes",Assumptions!$G$78="Detailed"),-Assumptions_Detailed!S$35,IF(SUM($H$67:S67)&gt;0,IF(SUM($H$74:S74)&lt;$C$89,MAX($C$89-SUM($G$89:R89),S74),S74),0))</f>
        <v>0</v>
      </c>
      <c r="T89" s="32">
        <f>IF(AND(Assumptions!$G$77="Yes",Assumptions!$G$78="Detailed"),-Assumptions_Detailed!T$35,IF(SUM($H$67:T67)&gt;0,IF(SUM($H$74:T74)&lt;$C$89,MAX($C$89-SUM($G$89:S89),T74),T74),0))</f>
        <v>0</v>
      </c>
      <c r="U89" s="32">
        <f>IF(AND(Assumptions!$G$77="Yes",Assumptions!$G$78="Detailed"),-Assumptions_Detailed!U$35,IF(SUM($H$67:U67)&gt;0,IF(SUM($H$74:U74)&lt;$C$89,MAX($C$89-SUM($G$89:T89),U74),U74),0))</f>
        <v>0</v>
      </c>
      <c r="V89" s="32">
        <f>IF(AND(Assumptions!$G$77="Yes",Assumptions!$G$78="Detailed"),-Assumptions_Detailed!V$35,IF(SUM($H$67:V67)&gt;0,IF(SUM($H$74:V74)&lt;$C$89,MAX($C$89-SUM($G$89:U89),V74),V74),0))</f>
        <v>0</v>
      </c>
      <c r="W89" s="32">
        <f>IF(AND(Assumptions!$G$77="Yes",Assumptions!$G$78="Detailed"),-Assumptions_Detailed!W$35,IF(SUM($H$67:W67)&gt;0,IF(SUM($H$74:W74)&lt;$C$89,MAX($C$89-SUM($G$89:V89),W74),W74),0))</f>
        <v>0</v>
      </c>
      <c r="X89" s="32">
        <f>IF(AND(Assumptions!$G$77="Yes",Assumptions!$G$78="Detailed"),-Assumptions_Detailed!X$35,IF(SUM($H$67:X67)&gt;0,IF(SUM($H$74:X74)&lt;$C$89,MAX($C$89-SUM($G$89:W89),X74),X74),0))</f>
        <v>0</v>
      </c>
      <c r="Y89" s="32">
        <f>IF(AND(Assumptions!$G$77="Yes",Assumptions!$G$78="Detailed"),-Assumptions_Detailed!Y$35,IF(SUM($H$67:Y67)&gt;0,IF(SUM($H$74:Y74)&lt;$C$89,MAX($C$89-SUM($G$89:X89),Y74),Y74),0))</f>
        <v>0</v>
      </c>
      <c r="Z89" s="32">
        <f>IF(AND(Assumptions!$G$77="Yes",Assumptions!$G$78="Detailed"),-Assumptions_Detailed!Z$35,IF(SUM($H$67:Z67)&gt;0,IF(SUM($H$74:Z74)&lt;$C$89,MAX($C$89-SUM($G$89:Y89),Z74),Z74),0))</f>
        <v>0</v>
      </c>
      <c r="AA89" s="32">
        <f>IF(AND(Assumptions!$G$77="Yes",Assumptions!$G$78="Detailed"),-Assumptions_Detailed!AA$35,IF(SUM($H$67:AA67)&gt;0,IF(SUM($H$74:AA74)&lt;$C$89,MAX($C$89-SUM($G$89:Z89),AA74),AA74),0))</f>
        <v>0</v>
      </c>
      <c r="AB89" s="32">
        <f>IF(AND(Assumptions!$G$77="Yes",Assumptions!$G$78="Detailed"),-Assumptions_Detailed!AB$35,IF(SUM($H$67:AB67)&gt;0,IF(SUM($H$74:AB74)&lt;$C$89,MAX($C$89-SUM($G$89:AA89),AB74),AB74),0))</f>
        <v>0</v>
      </c>
      <c r="AC89" s="32">
        <f>IF(AND(Assumptions!$G$77="Yes",Assumptions!$G$78="Detailed"),-Assumptions_Detailed!AC$35,IF(SUM($H$67:AC67)&gt;0,IF(SUM($H$74:AC74)&lt;$C$89,MAX($C$89-SUM($G$89:AB89),AC74),AC74),0))</f>
        <v>0</v>
      </c>
      <c r="AD89" s="32">
        <f>IF(AND(Assumptions!$G$77="Yes",Assumptions!$G$78="Detailed"),-Assumptions_Detailed!AD$35,IF(SUM($H$67:AD67)&gt;0,IF(SUM($H$74:AD74)&lt;$C$89,MAX($C$89-SUM($G$89:AC89),AD74),AD74),0))</f>
        <v>0</v>
      </c>
      <c r="AE89" s="32">
        <f>IF(AND(Assumptions!$G$77="Yes",Assumptions!$G$78="Detailed"),-Assumptions_Detailed!AE$35,IF(SUM($H$67:AE67)&gt;0,IF(SUM($H$74:AE74)&lt;$C$89,MAX($C$89-SUM($G$89:AD89),AE74),AE74),0))</f>
        <v>0</v>
      </c>
      <c r="AF89" s="32">
        <f>IF(AND(Assumptions!$G$77="Yes",Assumptions!$G$78="Detailed"),-Assumptions_Detailed!AF$35,IF(SUM($H$67:AF67)&gt;0,IF(SUM($H$74:AF74)&lt;$C$89,MAX($C$89-SUM($G$89:AE89),AF74),AF74),0))</f>
        <v>0</v>
      </c>
      <c r="AG89" s="32">
        <f>IF(AND(Assumptions!$G$77="Yes",Assumptions!$G$78="Detailed"),-Assumptions_Detailed!AG$35,IF(SUM($H$67:AG67)&gt;0,IF(SUM($H$74:AG74)&lt;$C$89,MAX($C$89-SUM($G$89:AF89),AG74),AG74),0))</f>
        <v>0</v>
      </c>
      <c r="AH89" s="32">
        <f>IF(AND(Assumptions!$G$77="Yes",Assumptions!$G$78="Detailed"),-Assumptions_Detailed!AH$35,IF(SUM($H$67:AH67)&gt;0,IF(SUM($H$74:AH74)&lt;$C$89,MAX($C$89-SUM($G$89:AG89),AH74),AH74),0))</f>
        <v>0</v>
      </c>
      <c r="AI89" s="32">
        <f>IF(AND(Assumptions!$G$77="Yes",Assumptions!$G$78="Detailed"),-Assumptions_Detailed!AI$35,IF(SUM($H$67:AI67)&gt;0,IF(SUM($H$74:AI74)&lt;$C$89,MAX($C$89-SUM($G$89:AH89),AI74),AI74),0))</f>
        <v>0</v>
      </c>
      <c r="AJ89" s="32">
        <f>IF(AND(Assumptions!$G$77="Yes",Assumptions!$G$78="Detailed"),-Assumptions_Detailed!AJ$35,IF(SUM($H$67:AJ67)&gt;0,IF(SUM($H$74:AJ74)&lt;$C$89,MAX($C$89-SUM($G$89:AI89),AJ74),AJ74),0))</f>
        <v>0</v>
      </c>
      <c r="AK89" s="32">
        <f>IF(AND(Assumptions!$G$77="Yes",Assumptions!$G$78="Detailed"),-Assumptions_Detailed!AK$35,IF(SUM($H$67:AK67)&gt;0,IF(SUM($H$74:AK74)&lt;$C$89,MAX($C$89-SUM($G$89:AJ89),AK74),AK74),0))</f>
        <v>0</v>
      </c>
      <c r="AL89" s="32">
        <f>IF(AND(Assumptions!$G$77="Yes",Assumptions!$G$78="Detailed"),-Assumptions_Detailed!AL$35,IF(SUM($H$67:AL67)&gt;0,IF(SUM($H$74:AL74)&lt;$C$89,MAX($C$89-SUM($G$89:AK89),AL74),AL74),0))</f>
        <v>0</v>
      </c>
      <c r="AM89" s="32">
        <f>IF(AND(Assumptions!$G$77="Yes",Assumptions!$G$78="Detailed"),-Assumptions_Detailed!AM$35,IF(SUM($H$67:AM67)&gt;0,IF(SUM($H$74:AM74)&lt;$C$89,MAX($C$89-SUM($G$89:AL89),AM74),AM74),0))</f>
        <v>0</v>
      </c>
      <c r="AN89" s="32">
        <f>IF(AND(Assumptions!$G$77="Yes",Assumptions!$G$78="Detailed"),-Assumptions_Detailed!AN$35,IF(SUM($H$67:AN67)&gt;0,IF(SUM($H$74:AN74)&lt;$C$89,MAX($C$89-SUM($G$89:AM89),AN74),AN74),0))</f>
        <v>0</v>
      </c>
      <c r="AO89" s="32">
        <f>IF(AND(Assumptions!$G$77="Yes",Assumptions!$G$78="Detailed"),-Assumptions_Detailed!AO$35,IF(SUM($H$67:AO67)&gt;0,IF(SUM($H$74:AO74)&lt;$C$89,MAX($C$89-SUM($G$89:AN89),AO74),AO74),0))</f>
        <v>0</v>
      </c>
      <c r="AP89" s="32">
        <f>IF(AND(Assumptions!$G$77="Yes",Assumptions!$G$78="Detailed"),-Assumptions_Detailed!AP$35,IF(SUM($H$67:AP67)&gt;0,IF(SUM($H$74:AP74)&lt;$C$89,MAX($C$89-SUM($G$89:AO89),AP74),AP74),0))</f>
        <v>0</v>
      </c>
      <c r="AQ89" s="32">
        <f>IF(AND(Assumptions!$G$77="Yes",Assumptions!$G$78="Detailed"),-Assumptions_Detailed!AQ$35,IF(SUM($H$67:AQ67)&gt;0,IF(SUM($H$74:AQ74)&lt;$C$89,MAX($C$89-SUM($G$89:AP89),AQ74),AQ74),0))</f>
        <v>0</v>
      </c>
      <c r="AR89" s="32">
        <f>IF(AND(Assumptions!$G$77="Yes",Assumptions!$G$78="Detailed"),-Assumptions_Detailed!AR$35,IF(SUM($H$67:AR67)&gt;0,IF(SUM($H$74:AR74)&lt;$C$89,MAX($C$89-SUM($G$89:AQ89),AR74),AR74),0))</f>
        <v>0</v>
      </c>
      <c r="AS89" s="32">
        <f>IF(AND(Assumptions!$G$77="Yes",Assumptions!$G$78="Detailed"),-Assumptions_Detailed!AS$35,IF(SUM($H$67:AS67)&gt;0,IF(SUM($H$74:AS74)&lt;$C$89,MAX($C$89-SUM($G$89:AR89),AS74),AS74),0))</f>
        <v>0</v>
      </c>
      <c r="AT89" s="32">
        <f>IF(AND(Assumptions!$G$77="Yes",Assumptions!$G$78="Detailed"),-Assumptions_Detailed!AT$35,IF(SUM($H$67:AT67)&gt;0,IF(SUM($H$74:AT74)&lt;$C$89,MAX($C$89-SUM($G$89:AS89),AT74),AT74),0))</f>
        <v>0</v>
      </c>
      <c r="AU89" s="32">
        <f>IF(AND(Assumptions!$G$77="Yes",Assumptions!$G$78="Detailed"),-Assumptions_Detailed!AU$35,IF(SUM($H$67:AU67)&gt;0,IF(SUM($H$74:AU74)&lt;$C$89,MAX($C$89-SUM($G$89:AT89),AU74),AU74),0))</f>
        <v>0</v>
      </c>
      <c r="AV89" s="32">
        <f>IF(AND(Assumptions!$G$77="Yes",Assumptions!$G$78="Detailed"),-Assumptions_Detailed!AV$35,IF(SUM($H$67:AV67)&gt;0,IF(SUM($H$74:AV74)&lt;$C$89,MAX($C$89-SUM($G$89:AU89),AV74),AV74),0))</f>
        <v>0</v>
      </c>
      <c r="AW89" s="32">
        <f>IF(AND(Assumptions!$G$77="Yes",Assumptions!$G$78="Detailed"),-Assumptions_Detailed!AW$35,IF(SUM($H$67:AW67)&gt;0,IF(SUM($H$74:AW74)&lt;$C$89,MAX($C$89-SUM($G$89:AV89),AW74),AW74),0))</f>
        <v>0</v>
      </c>
      <c r="AX89" s="32">
        <f>IF(AND(Assumptions!$G$77="Yes",Assumptions!$G$78="Detailed"),-Assumptions_Detailed!AX$35,IF(SUM($H$67:AX67)&gt;0,IF(SUM($H$74:AX74)&lt;$C$89,MAX($C$89-SUM($G$89:AW89),AX74),AX74),0))</f>
        <v>0</v>
      </c>
      <c r="AY89" s="32">
        <f>IF(AND(Assumptions!$G$77="Yes",Assumptions!$G$78="Detailed"),-Assumptions_Detailed!AY$35,IF(SUM($H$67:AY67)&gt;0,IF(SUM($H$74:AY74)&lt;$C$89,MAX($C$89-SUM($G$89:AX89),AY74),AY74),0))</f>
        <v>0</v>
      </c>
      <c r="AZ89" s="32">
        <f>IF(AND(Assumptions!$G$77="Yes",Assumptions!$G$78="Detailed"),-Assumptions_Detailed!AZ$35,IF(SUM($H$67:AZ67)&gt;0,IF(SUM($H$74:AZ74)&lt;$C$89,MAX($C$89-SUM($G$89:AY89),AZ74),AZ74),0))</f>
        <v>0</v>
      </c>
      <c r="BA89" s="32">
        <f>IF(AND(Assumptions!$G$77="Yes",Assumptions!$G$78="Detailed"),-Assumptions_Detailed!BA$35,IF(SUM($H$67:BA67)&gt;0,IF(SUM($H$74:BA74)&lt;$C$89,MAX($C$89-SUM($G$89:AZ89),BA74),BA74),0))</f>
        <v>0</v>
      </c>
      <c r="BB89" s="32">
        <f>IF(AND(Assumptions!$G$77="Yes",Assumptions!$G$78="Detailed"),-Assumptions_Detailed!BB$35,IF(SUM($H$67:BB67)&gt;0,IF(SUM($H$74:BB74)&lt;$C$89,MAX($C$89-SUM($G$89:BA89),BB74),BB74),0))</f>
        <v>0</v>
      </c>
      <c r="BC89" s="32">
        <f>IF(AND(Assumptions!$G$77="Yes",Assumptions!$G$78="Detailed"),-Assumptions_Detailed!BC$35,IF(SUM($H$67:BC67)&gt;0,IF(SUM($H$74:BC74)&lt;$C$89,MAX($C$89-SUM($G$89:BB89),BC74),BC74),0))</f>
        <v>0</v>
      </c>
      <c r="BD89" s="32">
        <f>IF(AND(Assumptions!$G$77="Yes",Assumptions!$G$78="Detailed"),-Assumptions_Detailed!BD$35,IF(SUM($H$67:BD67)&gt;0,IF(SUM($H$74:BD74)&lt;$C$89,MAX($C$89-SUM($G$89:BC89),BD74),BD74),0))</f>
        <v>0</v>
      </c>
      <c r="BE89" s="32">
        <f>IF(AND(Assumptions!$G$77="Yes",Assumptions!$G$78="Detailed"),-Assumptions_Detailed!BE$35,IF(SUM($H$67:BE67)&gt;0,IF(SUM($H$74:BE74)&lt;$C$89,MAX($C$89-SUM($G$89:BD89),BE74),BE74),0))</f>
        <v>0</v>
      </c>
      <c r="BF89" s="32">
        <f>IF(AND(Assumptions!$G$77="Yes",Assumptions!$G$78="Detailed"),-Assumptions_Detailed!BF$35,IF(SUM($H$67:BF67)&gt;0,IF(SUM($H$74:BF74)&lt;$C$89,MAX($C$89-SUM($G$89:BE89),BF74),BF74),0))</f>
        <v>0</v>
      </c>
      <c r="BG89" s="32">
        <f>IF(AND(Assumptions!$G$77="Yes",Assumptions!$G$78="Detailed"),-Assumptions_Detailed!BG$35,IF(SUM($H$67:BG67)&gt;0,IF(SUM($H$74:BG74)&lt;$C$89,MAX($C$89-SUM($G$89:BF89),BG74),BG74),0))</f>
        <v>0</v>
      </c>
      <c r="BH89" s="32">
        <f>IF(AND(Assumptions!$G$77="Yes",Assumptions!$G$78="Detailed"),-Assumptions_Detailed!BH$35,IF(SUM($H$67:BH67)&gt;0,IF(SUM($H$74:BH74)&lt;$C$89,MAX($C$89-SUM($G$89:BG89),BH74),BH74),0))</f>
        <v>0</v>
      </c>
      <c r="BI89" s="32">
        <f>IF(AND(Assumptions!$G$77="Yes",Assumptions!$G$78="Detailed"),-Assumptions_Detailed!BI$35,IF(SUM($H$67:BI67)&gt;0,IF(SUM($H$74:BI74)&lt;$C$89,MAX($C$89-SUM($G$89:BH89),BI74),BI74),0))</f>
        <v>0</v>
      </c>
      <c r="BJ89" s="32">
        <f>IF(AND(Assumptions!$G$77="Yes",Assumptions!$G$78="Detailed"),-Assumptions_Detailed!BJ$35,IF(SUM($H$67:BJ67)&gt;0,IF(SUM($H$74:BJ74)&lt;$C$89,MAX($C$89-SUM($G$89:BI89),BJ74),BJ74),0))</f>
        <v>0</v>
      </c>
      <c r="BK89" s="32">
        <f>IF(AND(Assumptions!$G$77="Yes",Assumptions!$G$78="Detailed"),-Assumptions_Detailed!BK$35,IF(SUM($H$67:BK67)&gt;0,IF(SUM($H$74:BK74)&lt;$C$89,MAX($C$89-SUM($G$89:BJ89),BK74),BK74),0))</f>
        <v>0</v>
      </c>
      <c r="BL89" s="32">
        <f>IF(AND(Assumptions!$G$77="Yes",Assumptions!$G$78="Detailed"),-Assumptions_Detailed!BL$35,IF(SUM($H$67:BL67)&gt;0,IF(SUM($H$74:BL74)&lt;$C$89,MAX($C$89-SUM($G$89:BK89),BL74),BL74),0))</f>
        <v>0</v>
      </c>
      <c r="BM89" s="32">
        <f>IF(AND(Assumptions!$G$77="Yes",Assumptions!$G$78="Detailed"),-Assumptions_Detailed!BM$35,IF(SUM($H$67:BM67)&gt;0,IF(SUM($H$74:BM74)&lt;$C$89,MAX($C$89-SUM($G$89:BL89),BM74),BM74),0))</f>
        <v>0</v>
      </c>
      <c r="BN89" s="32">
        <f>IF(AND(Assumptions!$G$77="Yes",Assumptions!$G$78="Detailed"),-Assumptions_Detailed!BN$35,IF(SUM($H$67:BN67)&gt;0,IF(SUM($H$74:BN74)&lt;$C$89,MAX($C$89-SUM($G$89:BM89),BN74),BN74),0))</f>
        <v>0</v>
      </c>
      <c r="BO89" s="32">
        <f>IF(AND(Assumptions!$G$77="Yes",Assumptions!$G$78="Detailed"),-Assumptions_Detailed!BO$35,IF(SUM($H$67:BO67)&gt;0,IF(SUM($H$74:BO74)&lt;$C$89,MAX($C$89-SUM($G$89:BN89),BO74),BO74),0))</f>
        <v>0</v>
      </c>
      <c r="BP89" s="32">
        <f>IF(AND(Assumptions!$G$77="Yes",Assumptions!$G$78="Detailed"),-Assumptions_Detailed!BP$35,IF(SUM($H$67:BP67)&gt;0,IF(SUM($H$74:BP74)&lt;$C$89,MAX($C$89-SUM($G$89:BO89),BP74),BP74),0))</f>
        <v>0</v>
      </c>
      <c r="BQ89" s="32">
        <f>IF(AND(Assumptions!$G$77="Yes",Assumptions!$G$78="Detailed"),-Assumptions_Detailed!BQ$35,IF(SUM($H$67:BQ67)&gt;0,IF(SUM($H$74:BQ74)&lt;$C$89,MAX($C$89-SUM($G$89:BP89),BQ74),BQ74),0))</f>
        <v>0</v>
      </c>
      <c r="BR89" s="32">
        <f>IF(AND(Assumptions!$G$77="Yes",Assumptions!$G$78="Detailed"),-Assumptions_Detailed!BR$35,IF(SUM($H$67:BR67)&gt;0,IF(SUM($H$74:BR74)&lt;$C$89,MAX($C$89-SUM($G$89:BQ89),BR74),BR74),0))</f>
        <v>0</v>
      </c>
      <c r="BS89" s="32">
        <f>IF(AND(Assumptions!$G$77="Yes",Assumptions!$G$78="Detailed"),-Assumptions_Detailed!BS$35,IF(SUM($H$67:BS67)&gt;0,IF(SUM($H$74:BS74)&lt;$C$89,MAX($C$89-SUM($G$89:BR89),BS74),BS74),0))</f>
        <v>0</v>
      </c>
      <c r="BT89" s="32">
        <f>IF(AND(Assumptions!$G$77="Yes",Assumptions!$G$78="Detailed"),-Assumptions_Detailed!BT$35,IF(SUM($H$67:BT67)&gt;0,IF(SUM($H$74:BT74)&lt;$C$89,MAX($C$89-SUM($G$89:BS89),BT74),BT74),0))</f>
        <v>0</v>
      </c>
      <c r="BU89" s="32">
        <f>IF(AND(Assumptions!$G$77="Yes",Assumptions!$G$78="Detailed"),-Assumptions_Detailed!BU$35,IF(SUM($H$67:BU67)&gt;0,IF(SUM($H$74:BU74)&lt;$C$89,MAX($C$89-SUM($G$89:BT89),BU74),BU74),0))</f>
        <v>0</v>
      </c>
      <c r="BV89" s="32">
        <f>IF(AND(Assumptions!$G$77="Yes",Assumptions!$G$78="Detailed"),-Assumptions_Detailed!BV$35,IF(SUM($H$67:BV67)&gt;0,IF(SUM($H$74:BV74)&lt;$C$89,MAX($C$89-SUM($G$89:BU89),BV74),BV74),0))</f>
        <v>0</v>
      </c>
      <c r="BW89" s="32">
        <f>IF(AND(Assumptions!$G$77="Yes",Assumptions!$G$78="Detailed"),-Assumptions_Detailed!BW$35,IF(SUM($H$67:BW67)&gt;0,IF(SUM($H$74:BW74)&lt;$C$89,MAX($C$89-SUM($G$89:BV89),BW74),BW74),0))</f>
        <v>0</v>
      </c>
      <c r="BX89" s="32">
        <f>IF(AND(Assumptions!$G$77="Yes",Assumptions!$G$78="Detailed"),-Assumptions_Detailed!BX$35,IF(SUM($H$67:BX67)&gt;0,IF(SUM($H$74:BX74)&lt;$C$89,MAX($C$89-SUM($G$89:BW89),BX74),BX74),0))</f>
        <v>0</v>
      </c>
      <c r="BY89" s="32">
        <f>IF(AND(Assumptions!$G$77="Yes",Assumptions!$G$78="Detailed"),-Assumptions_Detailed!BY$35,IF(SUM($H$67:BY67)&gt;0,IF(SUM($H$74:BY74)&lt;$C$89,MAX($C$89-SUM($G$89:BX89),BY74),BY74),0))</f>
        <v>0</v>
      </c>
    </row>
    <row r="90" spans="2:77" outlineLevel="1">
      <c r="BF90" s="33"/>
      <c r="BG90" s="33"/>
      <c r="BH90" s="33"/>
      <c r="BI90" s="33"/>
      <c r="BJ90" s="33"/>
      <c r="BK90" s="33"/>
      <c r="BL90" s="33"/>
      <c r="BM90" s="33"/>
      <c r="BN90" s="33"/>
      <c r="BO90" s="33"/>
      <c r="BP90" s="33"/>
      <c r="BQ90" s="33"/>
      <c r="BR90" s="33"/>
      <c r="BS90" s="33"/>
      <c r="BT90" s="33"/>
      <c r="BU90" s="33"/>
      <c r="BV90" s="33"/>
      <c r="BW90" s="33"/>
      <c r="BX90" s="33"/>
      <c r="BY90" s="33"/>
    </row>
    <row r="91" spans="2:77" outlineLevel="1">
      <c r="BF91" s="33"/>
      <c r="BG91" s="33"/>
      <c r="BH91" s="33"/>
      <c r="BI91" s="33"/>
      <c r="BJ91" s="33"/>
      <c r="BK91" s="33"/>
      <c r="BL91" s="33"/>
      <c r="BM91" s="33"/>
      <c r="BN91" s="33"/>
      <c r="BO91" s="33"/>
      <c r="BP91" s="33"/>
      <c r="BQ91" s="33"/>
      <c r="BR91" s="33"/>
      <c r="BS91" s="33"/>
      <c r="BT91" s="33"/>
      <c r="BU91" s="33"/>
      <c r="BV91" s="33"/>
      <c r="BW91" s="33"/>
      <c r="BX91" s="33"/>
      <c r="BY91" s="33"/>
    </row>
    <row r="92" spans="2:77" ht="15" outlineLevel="1">
      <c r="C92" s="22" t="s">
        <v>497</v>
      </c>
      <c r="D92" s="31"/>
    </row>
    <row r="93" spans="2:77" ht="15" outlineLevel="1">
      <c r="C93" s="68" t="str">
        <f>+Assumptions!$G$88</f>
        <v>Equity-first</v>
      </c>
      <c r="D93" s="28"/>
      <c r="E93" s="22" t="s">
        <v>457</v>
      </c>
      <c r="H93" s="32"/>
      <c r="BF93" s="33"/>
      <c r="BG93" s="33"/>
      <c r="BH93" s="33"/>
      <c r="BI93" s="33"/>
      <c r="BJ93" s="33"/>
      <c r="BK93" s="33"/>
      <c r="BL93" s="33"/>
      <c r="BM93" s="33"/>
      <c r="BN93" s="33"/>
      <c r="BO93" s="33"/>
      <c r="BP93" s="33"/>
      <c r="BQ93" s="33"/>
      <c r="BR93" s="33"/>
      <c r="BS93" s="33"/>
      <c r="BT93" s="33"/>
      <c r="BU93" s="33"/>
      <c r="BV93" s="33"/>
      <c r="BW93" s="33"/>
      <c r="BX93" s="33"/>
      <c r="BY93" s="33"/>
    </row>
    <row r="94" spans="2:77" outlineLevel="1">
      <c r="C94" s="68" t="str">
        <f>+Assumptions!$G$89</f>
        <v>Annuity</v>
      </c>
      <c r="D94" s="28"/>
      <c r="E94" t="s">
        <v>458</v>
      </c>
      <c r="F94" s="80" t="str">
        <f>+Assumptions!$G$8</f>
        <v>USD</v>
      </c>
      <c r="H94" s="32">
        <f>IF(AND(Assumptions!$G$77="Yes",Assumptions!$G$78="Detailed"),-Assumptions_Detailed!H$40,MAX(IFERROR(H74-H89,0),$C$97-SUM($G$94:G94)))</f>
        <v>0</v>
      </c>
      <c r="I94" s="32">
        <f>IF(AND(Assumptions!$G$77="Yes",Assumptions!$G$78="Detailed"),-Assumptions_Detailed!I$40,MAX(IFERROR(I74-I89,0),$C$97-SUM($G$94:H94)))</f>
        <v>0</v>
      </c>
      <c r="J94" s="32">
        <f>IF(AND(Assumptions!$G$77="Yes",Assumptions!$G$78="Detailed"),-Assumptions_Detailed!J$40,MAX(IFERROR(J74-J89,0),$C$97-SUM($G$94:I94)))</f>
        <v>0</v>
      </c>
      <c r="K94" s="32">
        <f>IF(AND(Assumptions!$G$77="Yes",Assumptions!$G$78="Detailed"),-Assumptions_Detailed!K$40,MAX(IFERROR(K74-K89,0),$C$97-SUM($G$94:J94)))</f>
        <v>0</v>
      </c>
      <c r="L94" s="32">
        <f>IF(AND(Assumptions!$G$77="Yes",Assumptions!$G$78="Detailed"),-Assumptions_Detailed!L$40,MAX(IFERROR(L74-L89,0),$C$97-SUM($G$94:K94)))</f>
        <v>0</v>
      </c>
      <c r="M94" s="32">
        <f>IF(AND(Assumptions!$G$77="Yes",Assumptions!$G$78="Detailed"),-Assumptions_Detailed!M$40,MAX(IFERROR(M74-M89,0),$C$97-SUM($G$94:L94)))</f>
        <v>0</v>
      </c>
      <c r="N94" s="32">
        <f>IF(AND(Assumptions!$G$77="Yes",Assumptions!$G$78="Detailed"),-Assumptions_Detailed!N$40,MAX(IFERROR(N74-N89,0),$C$97-SUM($G$94:M94)))</f>
        <v>0</v>
      </c>
      <c r="O94" s="32">
        <f>IF(AND(Assumptions!$G$77="Yes",Assumptions!$G$78="Detailed"),-Assumptions_Detailed!O$40,MAX(IFERROR(O74-O89,0),$C$97-SUM($G$94:N94)))</f>
        <v>0</v>
      </c>
      <c r="P94" s="32">
        <f>IF(AND(Assumptions!$G$77="Yes",Assumptions!$G$78="Detailed"),-Assumptions_Detailed!P$40,MAX(IFERROR(P74-P89,0),$C$97-SUM($G$94:O94)))</f>
        <v>0</v>
      </c>
      <c r="Q94" s="32">
        <f>IF(AND(Assumptions!$G$77="Yes",Assumptions!$G$78="Detailed"),-Assumptions_Detailed!Q$40,MAX(IFERROR(Q74-Q89,0),$C$97-SUM($G$94:P94)))</f>
        <v>0</v>
      </c>
      <c r="R94" s="32">
        <f>IF(AND(Assumptions!$G$77="Yes",Assumptions!$G$78="Detailed"),-Assumptions_Detailed!R$40,MAX(IFERROR(R74-R89,0),$C$97-SUM($G$94:Q94)))</f>
        <v>0</v>
      </c>
      <c r="S94" s="32">
        <f>IF(AND(Assumptions!$G$77="Yes",Assumptions!$G$78="Detailed"),-Assumptions_Detailed!S$40,MAX(IFERROR(S74-S89,0),$C$97-SUM($G$94:R94)))</f>
        <v>0</v>
      </c>
      <c r="T94" s="32">
        <f>IF(AND(Assumptions!$G$77="Yes",Assumptions!$G$78="Detailed"),-Assumptions_Detailed!T$40,MAX(IFERROR(T74-T89,0),$C$97-SUM($G$94:S94)))</f>
        <v>0</v>
      </c>
      <c r="U94" s="32">
        <f>IF(AND(Assumptions!$G$77="Yes",Assumptions!$G$78="Detailed"),-Assumptions_Detailed!U$40,MAX(IFERROR(U74-U89,0),$C$97-SUM($G$94:T94)))</f>
        <v>0</v>
      </c>
      <c r="V94" s="32">
        <f>IF(AND(Assumptions!$G$77="Yes",Assumptions!$G$78="Detailed"),-Assumptions_Detailed!V$40,MAX(IFERROR(V74-V89,0),$C$97-SUM($G$94:U94)))</f>
        <v>0</v>
      </c>
      <c r="W94" s="32">
        <f>IF(AND(Assumptions!$G$77="Yes",Assumptions!$G$78="Detailed"),-Assumptions_Detailed!W$40,MAX(IFERROR(W74-W89,0),$C$97-SUM($G$94:V94)))</f>
        <v>0</v>
      </c>
      <c r="X94" s="32">
        <f>IF(AND(Assumptions!$G$77="Yes",Assumptions!$G$78="Detailed"),-Assumptions_Detailed!X$40,MAX(IFERROR(X74-X89,0),$C$97-SUM($G$94:W94)))</f>
        <v>0</v>
      </c>
      <c r="Y94" s="32">
        <f>IF(AND(Assumptions!$G$77="Yes",Assumptions!$G$78="Detailed"),-Assumptions_Detailed!Y$40,MAX(IFERROR(Y74-Y89,0),$C$97-SUM($G$94:X94)))</f>
        <v>0</v>
      </c>
      <c r="Z94" s="32">
        <f>IF(AND(Assumptions!$G$77="Yes",Assumptions!$G$78="Detailed"),-Assumptions_Detailed!Z$40,MAX(IFERROR(Z74-Z89,0),$C$97-SUM($G$94:Y94)))</f>
        <v>0</v>
      </c>
      <c r="AA94" s="32">
        <f>IF(AND(Assumptions!$G$77="Yes",Assumptions!$G$78="Detailed"),-Assumptions_Detailed!AA$40,MAX(IFERROR(AA74-AA89,0),$C$97-SUM($G$94:Z94)))</f>
        <v>0</v>
      </c>
      <c r="AB94" s="32">
        <f>IF(AND(Assumptions!$G$77="Yes",Assumptions!$G$78="Detailed"),-Assumptions_Detailed!AB$40,MAX(IFERROR(AB74-AB89,0),$C$97-SUM($G$94:AA94)))</f>
        <v>0</v>
      </c>
      <c r="AC94" s="32">
        <f>IF(AND(Assumptions!$G$77="Yes",Assumptions!$G$78="Detailed"),-Assumptions_Detailed!AC$40,MAX(IFERROR(AC74-AC89,0),$C$97-SUM($G$94:AB94)))</f>
        <v>0</v>
      </c>
      <c r="AD94" s="32">
        <f>IF(AND(Assumptions!$G$77="Yes",Assumptions!$G$78="Detailed"),-Assumptions_Detailed!AD$40,MAX(IFERROR(AD74-AD89,0),$C$97-SUM($G$94:AC94)))</f>
        <v>0</v>
      </c>
      <c r="AE94" s="32">
        <f>IF(AND(Assumptions!$G$77="Yes",Assumptions!$G$78="Detailed"),-Assumptions_Detailed!AE$40,MAX(IFERROR(AE74-AE89,0),$C$97-SUM($G$94:AD94)))</f>
        <v>0</v>
      </c>
      <c r="AF94" s="32">
        <f>IF(AND(Assumptions!$G$77="Yes",Assumptions!$G$78="Detailed"),-Assumptions_Detailed!AF$40,MAX(IFERROR(AF74-AF89,0),$C$97-SUM($G$94:AE94)))</f>
        <v>0</v>
      </c>
      <c r="AG94" s="32">
        <f>IF(AND(Assumptions!$G$77="Yes",Assumptions!$G$78="Detailed"),-Assumptions_Detailed!AG$40,MAX(IFERROR(AG74-AG89,0),$C$97-SUM($G$94:AF94)))</f>
        <v>0</v>
      </c>
      <c r="AH94" s="32">
        <f>IF(AND(Assumptions!$G$77="Yes",Assumptions!$G$78="Detailed"),-Assumptions_Detailed!AH$40,MAX(IFERROR(AH74-AH89,0),$C$97-SUM($G$94:AG94)))</f>
        <v>0</v>
      </c>
      <c r="AI94" s="32">
        <f>IF(AND(Assumptions!$G$77="Yes",Assumptions!$G$78="Detailed"),-Assumptions_Detailed!AI$40,MAX(IFERROR(AI74-AI89,0),$C$97-SUM($G$94:AH94)))</f>
        <v>0</v>
      </c>
      <c r="AJ94" s="32">
        <f>IF(AND(Assumptions!$G$77="Yes",Assumptions!$G$78="Detailed"),-Assumptions_Detailed!AJ$40,MAX(IFERROR(AJ74-AJ89,0),$C$97-SUM($G$94:AI94)))</f>
        <v>0</v>
      </c>
      <c r="AK94" s="32">
        <f>IF(AND(Assumptions!$G$77="Yes",Assumptions!$G$78="Detailed"),-Assumptions_Detailed!AK$40,MAX(IFERROR(AK74-AK89,0),$C$97-SUM($G$94:AJ94)))</f>
        <v>0</v>
      </c>
      <c r="AL94" s="32">
        <f>IF(AND(Assumptions!$G$77="Yes",Assumptions!$G$78="Detailed"),-Assumptions_Detailed!AL$40,MAX(IFERROR(AL74-AL89,0),$C$97-SUM($G$94:AK94)))</f>
        <v>0</v>
      </c>
      <c r="AM94" s="32">
        <f>IF(AND(Assumptions!$G$77="Yes",Assumptions!$G$78="Detailed"),-Assumptions_Detailed!AM$40,MAX(IFERROR(AM74-AM89,0),$C$97-SUM($G$94:AL94)))</f>
        <v>0</v>
      </c>
      <c r="AN94" s="32">
        <f>IF(AND(Assumptions!$G$77="Yes",Assumptions!$G$78="Detailed"),-Assumptions_Detailed!AN$40,MAX(IFERROR(AN74-AN89,0),$C$97-SUM($G$94:AM94)))</f>
        <v>0</v>
      </c>
      <c r="AO94" s="32">
        <f>IF(AND(Assumptions!$G$77="Yes",Assumptions!$G$78="Detailed"),-Assumptions_Detailed!AO$40,MAX(IFERROR(AO74-AO89,0),$C$97-SUM($G$94:AN94)))</f>
        <v>0</v>
      </c>
      <c r="AP94" s="32">
        <f>IF(AND(Assumptions!$G$77="Yes",Assumptions!$G$78="Detailed"),-Assumptions_Detailed!AP$40,MAX(IFERROR(AP74-AP89,0),$C$97-SUM($G$94:AO94)))</f>
        <v>0</v>
      </c>
      <c r="AQ94" s="32">
        <f>IF(AND(Assumptions!$G$77="Yes",Assumptions!$G$78="Detailed"),-Assumptions_Detailed!AQ$40,MAX(IFERROR(AQ74-AQ89,0),$C$97-SUM($G$94:AP94)))</f>
        <v>0</v>
      </c>
      <c r="AR94" s="32">
        <f>IF(AND(Assumptions!$G$77="Yes",Assumptions!$G$78="Detailed"),-Assumptions_Detailed!AR$40,MAX(IFERROR(AR74-AR89,0),$C$97-SUM($G$94:AQ94)))</f>
        <v>0</v>
      </c>
      <c r="AS94" s="32">
        <f>IF(AND(Assumptions!$G$77="Yes",Assumptions!$G$78="Detailed"),-Assumptions_Detailed!AS$40,MAX(IFERROR(AS74-AS89,0),$C$97-SUM($G$94:AR94)))</f>
        <v>0</v>
      </c>
      <c r="AT94" s="32">
        <f>IF(AND(Assumptions!$G$77="Yes",Assumptions!$G$78="Detailed"),-Assumptions_Detailed!AT$40,MAX(IFERROR(AT74-AT89,0),$C$97-SUM($G$94:AS94)))</f>
        <v>0</v>
      </c>
      <c r="AU94" s="32">
        <f>IF(AND(Assumptions!$G$77="Yes",Assumptions!$G$78="Detailed"),-Assumptions_Detailed!AU$40,MAX(IFERROR(AU74-AU89,0),$C$97-SUM($G$94:AT94)))</f>
        <v>0</v>
      </c>
      <c r="AV94" s="32">
        <f>IF(AND(Assumptions!$G$77="Yes",Assumptions!$G$78="Detailed"),-Assumptions_Detailed!AV$40,MAX(IFERROR(AV74-AV89,0),$C$97-SUM($G$94:AU94)))</f>
        <v>0</v>
      </c>
      <c r="AW94" s="32">
        <f>IF(AND(Assumptions!$G$77="Yes",Assumptions!$G$78="Detailed"),-Assumptions_Detailed!AW$40,MAX(IFERROR(AW74-AW89,0),$C$97-SUM($G$94:AV94)))</f>
        <v>0</v>
      </c>
      <c r="AX94" s="32">
        <f>IF(AND(Assumptions!$G$77="Yes",Assumptions!$G$78="Detailed"),-Assumptions_Detailed!AX$40,MAX(IFERROR(AX74-AX89,0),$C$97-SUM($G$94:AW94)))</f>
        <v>0</v>
      </c>
      <c r="AY94" s="32">
        <f>IF(AND(Assumptions!$G$77="Yes",Assumptions!$G$78="Detailed"),-Assumptions_Detailed!AY$40,MAX(IFERROR(AY74-AY89,0),$C$97-SUM($G$94:AX94)))</f>
        <v>0</v>
      </c>
      <c r="AZ94" s="32">
        <f>IF(AND(Assumptions!$G$77="Yes",Assumptions!$G$78="Detailed"),-Assumptions_Detailed!AZ$40,MAX(IFERROR(AZ74-AZ89,0),$C$97-SUM($G$94:AY94)))</f>
        <v>0</v>
      </c>
      <c r="BA94" s="32">
        <f>IF(AND(Assumptions!$G$77="Yes",Assumptions!$G$78="Detailed"),-Assumptions_Detailed!BA$40,MAX(IFERROR(BA74-BA89,0),$C$97-SUM($G$94:AZ94)))</f>
        <v>0</v>
      </c>
      <c r="BB94" s="32">
        <f>IF(AND(Assumptions!$G$77="Yes",Assumptions!$G$78="Detailed"),-Assumptions_Detailed!BB$40,MAX(IFERROR(BB74-BB89,0),$C$97-SUM($G$94:BA94)))</f>
        <v>0</v>
      </c>
      <c r="BC94" s="32">
        <f>IF(AND(Assumptions!$G$77="Yes",Assumptions!$G$78="Detailed"),-Assumptions_Detailed!BC$40,MAX(IFERROR(BC74-BC89,0),$C$97-SUM($G$94:BB94)))</f>
        <v>0</v>
      </c>
      <c r="BD94" s="32">
        <f>IF(AND(Assumptions!$G$77="Yes",Assumptions!$G$78="Detailed"),-Assumptions_Detailed!BD$40,MAX(IFERROR(BD74-BD89,0),$C$97-SUM($G$94:BC94)))</f>
        <v>0</v>
      </c>
      <c r="BE94" s="32">
        <f>IF(AND(Assumptions!$G$77="Yes",Assumptions!$G$78="Detailed"),-Assumptions_Detailed!BE$40,MAX(IFERROR(BE74-BE89,0),$C$97-SUM($G$94:BD94)))</f>
        <v>0</v>
      </c>
      <c r="BF94" s="32">
        <f>IF(AND(Assumptions!$G$77="Yes",Assumptions!$G$78="Detailed"),-Assumptions_Detailed!BF$40,MAX(IFERROR(BF74-BF89,0),$C$97-SUM($G$94:BE94)))</f>
        <v>0</v>
      </c>
      <c r="BG94" s="32">
        <f>IF(AND(Assumptions!$G$77="Yes",Assumptions!$G$78="Detailed"),-Assumptions_Detailed!BG$40,MAX(IFERROR(BG74-BG89,0),$C$97-SUM($G$94:BF94)))</f>
        <v>0</v>
      </c>
      <c r="BH94" s="32">
        <f>IF(AND(Assumptions!$G$77="Yes",Assumptions!$G$78="Detailed"),-Assumptions_Detailed!BH$40,MAX(IFERROR(BH74-BH89,0),$C$97-SUM($G$94:BG94)))</f>
        <v>0</v>
      </c>
      <c r="BI94" s="32">
        <f>IF(AND(Assumptions!$G$77="Yes",Assumptions!$G$78="Detailed"),-Assumptions_Detailed!BI$40,MAX(IFERROR(BI74-BI89,0),$C$97-SUM($G$94:BH94)))</f>
        <v>0</v>
      </c>
      <c r="BJ94" s="32">
        <f>IF(AND(Assumptions!$G$77="Yes",Assumptions!$G$78="Detailed"),-Assumptions_Detailed!BJ$40,MAX(IFERROR(BJ74-BJ89,0),$C$97-SUM($G$94:BI94)))</f>
        <v>0</v>
      </c>
      <c r="BK94" s="32">
        <f>IF(AND(Assumptions!$G$77="Yes",Assumptions!$G$78="Detailed"),-Assumptions_Detailed!BK$40,MAX(IFERROR(BK74-BK89,0),$C$97-SUM($G$94:BJ94)))</f>
        <v>0</v>
      </c>
      <c r="BL94" s="32">
        <f>IF(AND(Assumptions!$G$77="Yes",Assumptions!$G$78="Detailed"),-Assumptions_Detailed!BL$40,MAX(IFERROR(BL74-BL89,0),$C$97-SUM($G$94:BK94)))</f>
        <v>0</v>
      </c>
      <c r="BM94" s="32">
        <f>IF(AND(Assumptions!$G$77="Yes",Assumptions!$G$78="Detailed"),-Assumptions_Detailed!BM$40,MAX(IFERROR(BM74-BM89,0),$C$97-SUM($G$94:BL94)))</f>
        <v>0</v>
      </c>
      <c r="BN94" s="32">
        <f>IF(AND(Assumptions!$G$77="Yes",Assumptions!$G$78="Detailed"),-Assumptions_Detailed!BN$40,MAX(IFERROR(BN74-BN89,0),$C$97-SUM($G$94:BM94)))</f>
        <v>0</v>
      </c>
      <c r="BO94" s="32">
        <f>IF(AND(Assumptions!$G$77="Yes",Assumptions!$G$78="Detailed"),-Assumptions_Detailed!BO$40,MAX(IFERROR(BO74-BO89,0),$C$97-SUM($G$94:BN94)))</f>
        <v>0</v>
      </c>
      <c r="BP94" s="32">
        <f>IF(AND(Assumptions!$G$77="Yes",Assumptions!$G$78="Detailed"),-Assumptions_Detailed!BP$40,MAX(IFERROR(BP74-BP89,0),$C$97-SUM($G$94:BO94)))</f>
        <v>0</v>
      </c>
      <c r="BQ94" s="32">
        <f>IF(AND(Assumptions!$G$77="Yes",Assumptions!$G$78="Detailed"),-Assumptions_Detailed!BQ$40,MAX(IFERROR(BQ74-BQ89,0),$C$97-SUM($G$94:BP94)))</f>
        <v>0</v>
      </c>
      <c r="BR94" s="32">
        <f>IF(AND(Assumptions!$G$77="Yes",Assumptions!$G$78="Detailed"),-Assumptions_Detailed!BR$40,MAX(IFERROR(BR74-BR89,0),$C$97-SUM($G$94:BQ94)))</f>
        <v>0</v>
      </c>
      <c r="BS94" s="32">
        <f>IF(AND(Assumptions!$G$77="Yes",Assumptions!$G$78="Detailed"),-Assumptions_Detailed!BS$40,MAX(IFERROR(BS74-BS89,0),$C$97-SUM($G$94:BR94)))</f>
        <v>0</v>
      </c>
      <c r="BT94" s="32">
        <f>IF(AND(Assumptions!$G$77="Yes",Assumptions!$G$78="Detailed"),-Assumptions_Detailed!BT$40,MAX(IFERROR(BT74-BT89,0),$C$97-SUM($G$94:BS94)))</f>
        <v>0</v>
      </c>
      <c r="BU94" s="32">
        <f>IF(AND(Assumptions!$G$77="Yes",Assumptions!$G$78="Detailed"),-Assumptions_Detailed!BU$40,MAX(IFERROR(BU74-BU89,0),$C$97-SUM($G$94:BT94)))</f>
        <v>0</v>
      </c>
      <c r="BV94" s="32">
        <f>IF(AND(Assumptions!$G$77="Yes",Assumptions!$G$78="Detailed"),-Assumptions_Detailed!BV$40,MAX(IFERROR(BV74-BV89,0),$C$97-SUM($G$94:BU94)))</f>
        <v>0</v>
      </c>
      <c r="BW94" s="32">
        <f>IF(AND(Assumptions!$G$77="Yes",Assumptions!$G$78="Detailed"),-Assumptions_Detailed!BW$40,MAX(IFERROR(BW74-BW89,0),$C$97-SUM($G$94:BV94)))</f>
        <v>0</v>
      </c>
      <c r="BX94" s="32">
        <f>IF(AND(Assumptions!$G$77="Yes",Assumptions!$G$78="Detailed"),-Assumptions_Detailed!BX$40,MAX(IFERROR(BX74-BX89,0),$C$97-SUM($G$94:BW94)))</f>
        <v>0</v>
      </c>
      <c r="BY94" s="32">
        <f>IF(AND(Assumptions!$G$77="Yes",Assumptions!$G$78="Detailed"),-Assumptions_Detailed!BY$40,MAX(IFERROR(BY74-BY89,0),$C$97-SUM($G$94:BX94)))</f>
        <v>0</v>
      </c>
    </row>
    <row r="95" spans="2:77" outlineLevel="1">
      <c r="D95" s="31"/>
      <c r="BF95" s="33"/>
      <c r="BG95" s="33"/>
      <c r="BH95" s="33"/>
      <c r="BI95" s="33"/>
      <c r="BJ95" s="33"/>
      <c r="BK95" s="33"/>
      <c r="BL95" s="33"/>
      <c r="BM95" s="33"/>
      <c r="BN95" s="33"/>
      <c r="BO95" s="33"/>
      <c r="BP95" s="33"/>
      <c r="BQ95" s="33"/>
      <c r="BR95" s="33"/>
      <c r="BS95" s="33"/>
      <c r="BT95" s="33"/>
      <c r="BU95" s="33"/>
      <c r="BV95" s="33"/>
      <c r="BW95" s="33"/>
      <c r="BX95" s="33"/>
      <c r="BY95" s="33"/>
    </row>
    <row r="96" spans="2:77" ht="15" outlineLevel="1">
      <c r="C96" s="22" t="s">
        <v>498</v>
      </c>
      <c r="D96" s="31"/>
      <c r="BF96" s="33"/>
      <c r="BG96" s="33"/>
      <c r="BH96" s="33"/>
      <c r="BI96" s="33"/>
      <c r="BJ96" s="33"/>
      <c r="BK96" s="33"/>
      <c r="BL96" s="33"/>
      <c r="BM96" s="33"/>
      <c r="BN96" s="33"/>
      <c r="BO96" s="33"/>
      <c r="BP96" s="33"/>
      <c r="BQ96" s="33"/>
      <c r="BR96" s="33"/>
      <c r="BS96" s="33"/>
      <c r="BT96" s="33"/>
      <c r="BU96" s="33"/>
      <c r="BV96" s="33"/>
      <c r="BW96" s="33"/>
      <c r="BX96" s="33"/>
      <c r="BY96" s="33"/>
    </row>
    <row r="97" spans="3:77" outlineLevel="1">
      <c r="C97" s="94">
        <f>+Assumptions!$G$82*C73</f>
        <v>0</v>
      </c>
      <c r="D97" s="31"/>
      <c r="BF97" s="33"/>
      <c r="BG97" s="33"/>
      <c r="BH97" s="33"/>
      <c r="BI97" s="33"/>
      <c r="BJ97" s="33"/>
      <c r="BK97" s="33"/>
      <c r="BL97" s="33"/>
      <c r="BM97" s="33"/>
      <c r="BN97" s="33"/>
      <c r="BO97" s="33"/>
      <c r="BP97" s="33"/>
      <c r="BQ97" s="33"/>
      <c r="BR97" s="33"/>
      <c r="BS97" s="33"/>
      <c r="BT97" s="33"/>
      <c r="BU97" s="33"/>
      <c r="BV97" s="33"/>
      <c r="BW97" s="33"/>
      <c r="BX97" s="33"/>
      <c r="BY97" s="33"/>
    </row>
    <row r="98" spans="3:77" outlineLevel="1">
      <c r="D98" s="31"/>
      <c r="E98" t="s">
        <v>499</v>
      </c>
      <c r="F98" s="23" t="s">
        <v>500</v>
      </c>
      <c r="G98" s="33"/>
      <c r="H98" s="33" t="e" vm="1">
        <f>+IF(AND(H$94=$C100,H$94&lt;0),1,0)</f>
        <v>#VALUE!</v>
      </c>
      <c r="I98" s="33" t="e" vm="1">
        <f t="shared" ref="I98:BT98" si="137">+IF(AND(I$94=$C100,I$94&lt;0),1,0)</f>
        <v>#VALUE!</v>
      </c>
      <c r="J98" s="33" t="e" vm="1">
        <f t="shared" si="137"/>
        <v>#VALUE!</v>
      </c>
      <c r="K98" s="33" t="e" vm="1">
        <f t="shared" si="137"/>
        <v>#VALUE!</v>
      </c>
      <c r="L98" s="33" t="e" vm="1">
        <f t="shared" si="137"/>
        <v>#VALUE!</v>
      </c>
      <c r="M98" s="33" t="e" vm="1">
        <f t="shared" si="137"/>
        <v>#VALUE!</v>
      </c>
      <c r="N98" s="33" t="e" vm="1">
        <f t="shared" si="137"/>
        <v>#VALUE!</v>
      </c>
      <c r="O98" s="33" t="e" vm="1">
        <f t="shared" si="137"/>
        <v>#VALUE!</v>
      </c>
      <c r="P98" s="33" t="e" vm="1">
        <f t="shared" si="137"/>
        <v>#VALUE!</v>
      </c>
      <c r="Q98" s="33" t="e" vm="1">
        <f t="shared" si="137"/>
        <v>#VALUE!</v>
      </c>
      <c r="R98" s="33" t="e" vm="1">
        <f t="shared" si="137"/>
        <v>#VALUE!</v>
      </c>
      <c r="S98" s="33" t="e" vm="1">
        <f t="shared" si="137"/>
        <v>#VALUE!</v>
      </c>
      <c r="T98" s="33" t="e" vm="1">
        <f t="shared" si="137"/>
        <v>#VALUE!</v>
      </c>
      <c r="U98" s="33" t="e" vm="1">
        <f t="shared" si="137"/>
        <v>#VALUE!</v>
      </c>
      <c r="V98" s="33" t="e" vm="1">
        <f t="shared" si="137"/>
        <v>#VALUE!</v>
      </c>
      <c r="W98" s="33" t="e" vm="1">
        <f t="shared" si="137"/>
        <v>#VALUE!</v>
      </c>
      <c r="X98" s="33" t="e" vm="1">
        <f t="shared" si="137"/>
        <v>#VALUE!</v>
      </c>
      <c r="Y98" s="33" t="e" vm="1">
        <f t="shared" si="137"/>
        <v>#VALUE!</v>
      </c>
      <c r="Z98" s="33" t="e" vm="1">
        <f t="shared" si="137"/>
        <v>#VALUE!</v>
      </c>
      <c r="AA98" s="33" t="e" vm="1">
        <f t="shared" si="137"/>
        <v>#VALUE!</v>
      </c>
      <c r="AB98" s="33" t="e" vm="1">
        <f t="shared" si="137"/>
        <v>#VALUE!</v>
      </c>
      <c r="AC98" s="33" t="e" vm="1">
        <f t="shared" si="137"/>
        <v>#VALUE!</v>
      </c>
      <c r="AD98" s="33" t="e" vm="1">
        <f t="shared" si="137"/>
        <v>#VALUE!</v>
      </c>
      <c r="AE98" s="33" t="e" vm="1">
        <f t="shared" si="137"/>
        <v>#VALUE!</v>
      </c>
      <c r="AF98" s="33" t="e" vm="1">
        <f t="shared" si="137"/>
        <v>#VALUE!</v>
      </c>
      <c r="AG98" s="33" t="e" vm="1">
        <f t="shared" si="137"/>
        <v>#VALUE!</v>
      </c>
      <c r="AH98" s="33" t="e" vm="1">
        <f t="shared" si="137"/>
        <v>#VALUE!</v>
      </c>
      <c r="AI98" s="33" t="e" vm="1">
        <f t="shared" si="137"/>
        <v>#VALUE!</v>
      </c>
      <c r="AJ98" s="33" t="e" vm="1">
        <f t="shared" si="137"/>
        <v>#VALUE!</v>
      </c>
      <c r="AK98" s="33" t="e" vm="1">
        <f t="shared" si="137"/>
        <v>#VALUE!</v>
      </c>
      <c r="AL98" s="33" t="e" vm="1">
        <f t="shared" si="137"/>
        <v>#VALUE!</v>
      </c>
      <c r="AM98" s="33" t="e" vm="1">
        <f t="shared" si="137"/>
        <v>#VALUE!</v>
      </c>
      <c r="AN98" s="33" t="e" vm="1">
        <f t="shared" si="137"/>
        <v>#VALUE!</v>
      </c>
      <c r="AO98" s="33" t="e" vm="1">
        <f t="shared" si="137"/>
        <v>#VALUE!</v>
      </c>
      <c r="AP98" s="33" t="e" vm="1">
        <f t="shared" si="137"/>
        <v>#VALUE!</v>
      </c>
      <c r="AQ98" s="33" t="e" vm="1">
        <f t="shared" si="137"/>
        <v>#VALUE!</v>
      </c>
      <c r="AR98" s="33" t="e" vm="1">
        <f t="shared" si="137"/>
        <v>#VALUE!</v>
      </c>
      <c r="AS98" s="33" t="e" vm="1">
        <f t="shared" si="137"/>
        <v>#VALUE!</v>
      </c>
      <c r="AT98" s="33" t="e" vm="1">
        <f t="shared" si="137"/>
        <v>#VALUE!</v>
      </c>
      <c r="AU98" s="33" t="e" vm="1">
        <f t="shared" si="137"/>
        <v>#VALUE!</v>
      </c>
      <c r="AV98" s="33" t="e" vm="1">
        <f t="shared" si="137"/>
        <v>#VALUE!</v>
      </c>
      <c r="AW98" s="33" t="e" vm="1">
        <f t="shared" si="137"/>
        <v>#VALUE!</v>
      </c>
      <c r="AX98" s="33" t="e" vm="1">
        <f t="shared" si="137"/>
        <v>#VALUE!</v>
      </c>
      <c r="AY98" s="33" t="e" vm="1">
        <f t="shared" si="137"/>
        <v>#VALUE!</v>
      </c>
      <c r="AZ98" s="33" t="e" vm="1">
        <f t="shared" si="137"/>
        <v>#VALUE!</v>
      </c>
      <c r="BA98" s="33" t="e" vm="1">
        <f t="shared" si="137"/>
        <v>#VALUE!</v>
      </c>
      <c r="BB98" s="33" t="e" vm="1">
        <f t="shared" si="137"/>
        <v>#VALUE!</v>
      </c>
      <c r="BC98" s="33" t="e" vm="1">
        <f t="shared" si="137"/>
        <v>#VALUE!</v>
      </c>
      <c r="BD98" s="33" t="e" vm="1">
        <f t="shared" si="137"/>
        <v>#VALUE!</v>
      </c>
      <c r="BE98" s="33" t="e" vm="1">
        <f t="shared" si="137"/>
        <v>#VALUE!</v>
      </c>
      <c r="BF98" s="33" t="e" vm="1">
        <f t="shared" si="137"/>
        <v>#VALUE!</v>
      </c>
      <c r="BG98" s="33" t="e" vm="1">
        <f t="shared" si="137"/>
        <v>#VALUE!</v>
      </c>
      <c r="BH98" s="33" t="e" vm="1">
        <f t="shared" si="137"/>
        <v>#VALUE!</v>
      </c>
      <c r="BI98" s="33" t="e" vm="1">
        <f t="shared" si="137"/>
        <v>#VALUE!</v>
      </c>
      <c r="BJ98" s="33" t="e" vm="1">
        <f t="shared" si="137"/>
        <v>#VALUE!</v>
      </c>
      <c r="BK98" s="33" t="e" vm="1">
        <f t="shared" si="137"/>
        <v>#VALUE!</v>
      </c>
      <c r="BL98" s="33" t="e" vm="1">
        <f t="shared" si="137"/>
        <v>#VALUE!</v>
      </c>
      <c r="BM98" s="33" t="e" vm="1">
        <f t="shared" si="137"/>
        <v>#VALUE!</v>
      </c>
      <c r="BN98" s="33" t="e" vm="1">
        <f t="shared" si="137"/>
        <v>#VALUE!</v>
      </c>
      <c r="BO98" s="33" t="e" vm="1">
        <f t="shared" si="137"/>
        <v>#VALUE!</v>
      </c>
      <c r="BP98" s="33" t="e" vm="1">
        <f t="shared" si="137"/>
        <v>#VALUE!</v>
      </c>
      <c r="BQ98" s="33" t="e" vm="1">
        <f t="shared" si="137"/>
        <v>#VALUE!</v>
      </c>
      <c r="BR98" s="33" t="e" vm="1">
        <f t="shared" si="137"/>
        <v>#VALUE!</v>
      </c>
      <c r="BS98" s="33" t="e" vm="1">
        <f t="shared" si="137"/>
        <v>#VALUE!</v>
      </c>
      <c r="BT98" s="33" t="e" vm="1">
        <f t="shared" si="137"/>
        <v>#VALUE!</v>
      </c>
      <c r="BU98" s="33" t="e" vm="1">
        <f t="shared" ref="BU98:BY98" si="138">+IF(AND(BU$94=$C100,BU$94&lt;0),1,0)</f>
        <v>#VALUE!</v>
      </c>
      <c r="BV98" s="33" t="e" vm="1">
        <f t="shared" si="138"/>
        <v>#VALUE!</v>
      </c>
      <c r="BW98" s="33" t="e" vm="1">
        <f t="shared" si="138"/>
        <v>#VALUE!</v>
      </c>
      <c r="BX98" s="33" t="e" vm="1">
        <f t="shared" si="138"/>
        <v>#VALUE!</v>
      </c>
      <c r="BY98" s="33" t="e" vm="1">
        <f t="shared" si="138"/>
        <v>#VALUE!</v>
      </c>
    </row>
    <row r="99" spans="3:77" ht="15" outlineLevel="1">
      <c r="C99" s="22" t="s">
        <v>501</v>
      </c>
      <c r="D99" s="31"/>
      <c r="E99" t="s">
        <v>502</v>
      </c>
      <c r="F99" s="23" t="s">
        <v>500</v>
      </c>
      <c r="H99" s="33">
        <f t="shared" ref="H99:BS99" si="139">+IF(AND(H$94=$C101,H$94&lt;0),1,0)</f>
        <v>0</v>
      </c>
      <c r="I99" s="33">
        <f t="shared" si="139"/>
        <v>0</v>
      </c>
      <c r="J99" s="33">
        <f t="shared" si="139"/>
        <v>0</v>
      </c>
      <c r="K99" s="33">
        <f t="shared" si="139"/>
        <v>0</v>
      </c>
      <c r="L99" s="33">
        <f t="shared" si="139"/>
        <v>0</v>
      </c>
      <c r="M99" s="33">
        <f t="shared" si="139"/>
        <v>0</v>
      </c>
      <c r="N99" s="33">
        <f t="shared" si="139"/>
        <v>0</v>
      </c>
      <c r="O99" s="33">
        <f t="shared" si="139"/>
        <v>0</v>
      </c>
      <c r="P99" s="33">
        <f t="shared" si="139"/>
        <v>0</v>
      </c>
      <c r="Q99" s="33">
        <f t="shared" si="139"/>
        <v>0</v>
      </c>
      <c r="R99" s="33">
        <f t="shared" si="139"/>
        <v>0</v>
      </c>
      <c r="S99" s="33">
        <f t="shared" si="139"/>
        <v>0</v>
      </c>
      <c r="T99" s="33">
        <f t="shared" si="139"/>
        <v>0</v>
      </c>
      <c r="U99" s="33">
        <f t="shared" si="139"/>
        <v>0</v>
      </c>
      <c r="V99" s="33">
        <f t="shared" si="139"/>
        <v>0</v>
      </c>
      <c r="W99" s="33">
        <f t="shared" si="139"/>
        <v>0</v>
      </c>
      <c r="X99" s="33">
        <f t="shared" si="139"/>
        <v>0</v>
      </c>
      <c r="Y99" s="33">
        <f t="shared" si="139"/>
        <v>0</v>
      </c>
      <c r="Z99" s="33">
        <f t="shared" si="139"/>
        <v>0</v>
      </c>
      <c r="AA99" s="33">
        <f t="shared" si="139"/>
        <v>0</v>
      </c>
      <c r="AB99" s="33">
        <f t="shared" si="139"/>
        <v>0</v>
      </c>
      <c r="AC99" s="33">
        <f t="shared" si="139"/>
        <v>0</v>
      </c>
      <c r="AD99" s="33">
        <f t="shared" si="139"/>
        <v>0</v>
      </c>
      <c r="AE99" s="33">
        <f t="shared" si="139"/>
        <v>0</v>
      </c>
      <c r="AF99" s="33">
        <f t="shared" si="139"/>
        <v>0</v>
      </c>
      <c r="AG99" s="33">
        <f t="shared" si="139"/>
        <v>0</v>
      </c>
      <c r="AH99" s="33">
        <f t="shared" si="139"/>
        <v>0</v>
      </c>
      <c r="AI99" s="33">
        <f t="shared" si="139"/>
        <v>0</v>
      </c>
      <c r="AJ99" s="33">
        <f t="shared" si="139"/>
        <v>0</v>
      </c>
      <c r="AK99" s="33">
        <f t="shared" si="139"/>
        <v>0</v>
      </c>
      <c r="AL99" s="33">
        <f t="shared" si="139"/>
        <v>0</v>
      </c>
      <c r="AM99" s="33">
        <f t="shared" si="139"/>
        <v>0</v>
      </c>
      <c r="AN99" s="33">
        <f t="shared" si="139"/>
        <v>0</v>
      </c>
      <c r="AO99" s="33">
        <f t="shared" si="139"/>
        <v>0</v>
      </c>
      <c r="AP99" s="33">
        <f t="shared" si="139"/>
        <v>0</v>
      </c>
      <c r="AQ99" s="33">
        <f t="shared" si="139"/>
        <v>0</v>
      </c>
      <c r="AR99" s="33">
        <f t="shared" si="139"/>
        <v>0</v>
      </c>
      <c r="AS99" s="33">
        <f t="shared" si="139"/>
        <v>0</v>
      </c>
      <c r="AT99" s="33">
        <f t="shared" si="139"/>
        <v>0</v>
      </c>
      <c r="AU99" s="33">
        <f t="shared" si="139"/>
        <v>0</v>
      </c>
      <c r="AV99" s="33">
        <f t="shared" si="139"/>
        <v>0</v>
      </c>
      <c r="AW99" s="33">
        <f t="shared" si="139"/>
        <v>0</v>
      </c>
      <c r="AX99" s="33">
        <f t="shared" si="139"/>
        <v>0</v>
      </c>
      <c r="AY99" s="33">
        <f t="shared" si="139"/>
        <v>0</v>
      </c>
      <c r="AZ99" s="33">
        <f t="shared" si="139"/>
        <v>0</v>
      </c>
      <c r="BA99" s="33">
        <f t="shared" si="139"/>
        <v>0</v>
      </c>
      <c r="BB99" s="33">
        <f t="shared" si="139"/>
        <v>0</v>
      </c>
      <c r="BC99" s="33">
        <f t="shared" si="139"/>
        <v>0</v>
      </c>
      <c r="BD99" s="33">
        <f t="shared" si="139"/>
        <v>0</v>
      </c>
      <c r="BE99" s="33">
        <f t="shared" si="139"/>
        <v>0</v>
      </c>
      <c r="BF99" s="33">
        <f t="shared" si="139"/>
        <v>0</v>
      </c>
      <c r="BG99" s="33">
        <f t="shared" si="139"/>
        <v>0</v>
      </c>
      <c r="BH99" s="33">
        <f t="shared" si="139"/>
        <v>0</v>
      </c>
      <c r="BI99" s="33">
        <f t="shared" si="139"/>
        <v>0</v>
      </c>
      <c r="BJ99" s="33">
        <f t="shared" si="139"/>
        <v>0</v>
      </c>
      <c r="BK99" s="33">
        <f t="shared" si="139"/>
        <v>0</v>
      </c>
      <c r="BL99" s="33">
        <f t="shared" si="139"/>
        <v>0</v>
      </c>
      <c r="BM99" s="33">
        <f t="shared" si="139"/>
        <v>0</v>
      </c>
      <c r="BN99" s="33">
        <f t="shared" si="139"/>
        <v>0</v>
      </c>
      <c r="BO99" s="33">
        <f t="shared" si="139"/>
        <v>0</v>
      </c>
      <c r="BP99" s="33">
        <f t="shared" si="139"/>
        <v>0</v>
      </c>
      <c r="BQ99" s="33">
        <f t="shared" si="139"/>
        <v>0</v>
      </c>
      <c r="BR99" s="33">
        <f t="shared" si="139"/>
        <v>0</v>
      </c>
      <c r="BS99" s="33">
        <f t="shared" si="139"/>
        <v>0</v>
      </c>
      <c r="BT99" s="33">
        <f t="shared" ref="BT99:BY99" si="140">+IF(AND(BT$94=$C101,BT$94&lt;0),1,0)</f>
        <v>0</v>
      </c>
      <c r="BU99" s="33">
        <f t="shared" si="140"/>
        <v>0</v>
      </c>
      <c r="BV99" s="33">
        <f t="shared" si="140"/>
        <v>0</v>
      </c>
      <c r="BW99" s="33">
        <f t="shared" si="140"/>
        <v>0</v>
      </c>
      <c r="BX99" s="33">
        <f t="shared" si="140"/>
        <v>0</v>
      </c>
      <c r="BY99" s="33">
        <f t="shared" si="140"/>
        <v>0</v>
      </c>
    </row>
    <row r="100" spans="3:77" outlineLevel="1">
      <c r="C100" s="32" t="e" cm="1" vm="2">
        <f t="array" ref="C100">+TRANSPOSE(_xlfn._xlws.FILTER(H94:BY94,H94:BY94))</f>
        <v>#VALUE!</v>
      </c>
      <c r="D100" s="31"/>
      <c r="E100" t="s">
        <v>503</v>
      </c>
      <c r="F100" s="23" t="s">
        <v>500</v>
      </c>
      <c r="H100" s="33">
        <f t="shared" ref="H100:BS100" si="141">+IF(AND(H$94=$C102,H$94&lt;0),1,0)</f>
        <v>0</v>
      </c>
      <c r="I100" s="33">
        <f t="shared" si="141"/>
        <v>0</v>
      </c>
      <c r="J100" s="33">
        <f t="shared" si="141"/>
        <v>0</v>
      </c>
      <c r="K100" s="33">
        <f t="shared" si="141"/>
        <v>0</v>
      </c>
      <c r="L100" s="33">
        <f t="shared" si="141"/>
        <v>0</v>
      </c>
      <c r="M100" s="33">
        <f t="shared" si="141"/>
        <v>0</v>
      </c>
      <c r="N100" s="33">
        <f t="shared" si="141"/>
        <v>0</v>
      </c>
      <c r="O100" s="33">
        <f t="shared" si="141"/>
        <v>0</v>
      </c>
      <c r="P100" s="33">
        <f t="shared" si="141"/>
        <v>0</v>
      </c>
      <c r="Q100" s="33">
        <f t="shared" si="141"/>
        <v>0</v>
      </c>
      <c r="R100" s="33">
        <f t="shared" si="141"/>
        <v>0</v>
      </c>
      <c r="S100" s="33">
        <f t="shared" si="141"/>
        <v>0</v>
      </c>
      <c r="T100" s="33">
        <f t="shared" si="141"/>
        <v>0</v>
      </c>
      <c r="U100" s="33">
        <f t="shared" si="141"/>
        <v>0</v>
      </c>
      <c r="V100" s="33">
        <f t="shared" si="141"/>
        <v>0</v>
      </c>
      <c r="W100" s="33">
        <f t="shared" si="141"/>
        <v>0</v>
      </c>
      <c r="X100" s="33">
        <f t="shared" si="141"/>
        <v>0</v>
      </c>
      <c r="Y100" s="33">
        <f t="shared" si="141"/>
        <v>0</v>
      </c>
      <c r="Z100" s="33">
        <f t="shared" si="141"/>
        <v>0</v>
      </c>
      <c r="AA100" s="33">
        <f t="shared" si="141"/>
        <v>0</v>
      </c>
      <c r="AB100" s="33">
        <f t="shared" si="141"/>
        <v>0</v>
      </c>
      <c r="AC100" s="33">
        <f t="shared" si="141"/>
        <v>0</v>
      </c>
      <c r="AD100" s="33">
        <f t="shared" si="141"/>
        <v>0</v>
      </c>
      <c r="AE100" s="33">
        <f t="shared" si="141"/>
        <v>0</v>
      </c>
      <c r="AF100" s="33">
        <f t="shared" si="141"/>
        <v>0</v>
      </c>
      <c r="AG100" s="33">
        <f t="shared" si="141"/>
        <v>0</v>
      </c>
      <c r="AH100" s="33">
        <f t="shared" si="141"/>
        <v>0</v>
      </c>
      <c r="AI100" s="33">
        <f t="shared" si="141"/>
        <v>0</v>
      </c>
      <c r="AJ100" s="33">
        <f t="shared" si="141"/>
        <v>0</v>
      </c>
      <c r="AK100" s="33">
        <f t="shared" si="141"/>
        <v>0</v>
      </c>
      <c r="AL100" s="33">
        <f t="shared" si="141"/>
        <v>0</v>
      </c>
      <c r="AM100" s="33">
        <f t="shared" si="141"/>
        <v>0</v>
      </c>
      <c r="AN100" s="33">
        <f t="shared" si="141"/>
        <v>0</v>
      </c>
      <c r="AO100" s="33">
        <f t="shared" si="141"/>
        <v>0</v>
      </c>
      <c r="AP100" s="33">
        <f t="shared" si="141"/>
        <v>0</v>
      </c>
      <c r="AQ100" s="33">
        <f t="shared" si="141"/>
        <v>0</v>
      </c>
      <c r="AR100" s="33">
        <f t="shared" si="141"/>
        <v>0</v>
      </c>
      <c r="AS100" s="33">
        <f t="shared" si="141"/>
        <v>0</v>
      </c>
      <c r="AT100" s="33">
        <f t="shared" si="141"/>
        <v>0</v>
      </c>
      <c r="AU100" s="33">
        <f t="shared" si="141"/>
        <v>0</v>
      </c>
      <c r="AV100" s="33">
        <f t="shared" si="141"/>
        <v>0</v>
      </c>
      <c r="AW100" s="33">
        <f t="shared" si="141"/>
        <v>0</v>
      </c>
      <c r="AX100" s="33">
        <f t="shared" si="141"/>
        <v>0</v>
      </c>
      <c r="AY100" s="33">
        <f t="shared" si="141"/>
        <v>0</v>
      </c>
      <c r="AZ100" s="33">
        <f t="shared" si="141"/>
        <v>0</v>
      </c>
      <c r="BA100" s="33">
        <f t="shared" si="141"/>
        <v>0</v>
      </c>
      <c r="BB100" s="33">
        <f t="shared" si="141"/>
        <v>0</v>
      </c>
      <c r="BC100" s="33">
        <f t="shared" si="141"/>
        <v>0</v>
      </c>
      <c r="BD100" s="33">
        <f t="shared" si="141"/>
        <v>0</v>
      </c>
      <c r="BE100" s="33">
        <f t="shared" si="141"/>
        <v>0</v>
      </c>
      <c r="BF100" s="33">
        <f t="shared" si="141"/>
        <v>0</v>
      </c>
      <c r="BG100" s="33">
        <f t="shared" si="141"/>
        <v>0</v>
      </c>
      <c r="BH100" s="33">
        <f t="shared" si="141"/>
        <v>0</v>
      </c>
      <c r="BI100" s="33">
        <f t="shared" si="141"/>
        <v>0</v>
      </c>
      <c r="BJ100" s="33">
        <f t="shared" si="141"/>
        <v>0</v>
      </c>
      <c r="BK100" s="33">
        <f t="shared" si="141"/>
        <v>0</v>
      </c>
      <c r="BL100" s="33">
        <f t="shared" si="141"/>
        <v>0</v>
      </c>
      <c r="BM100" s="33">
        <f t="shared" si="141"/>
        <v>0</v>
      </c>
      <c r="BN100" s="33">
        <f t="shared" si="141"/>
        <v>0</v>
      </c>
      <c r="BO100" s="33">
        <f t="shared" si="141"/>
        <v>0</v>
      </c>
      <c r="BP100" s="33">
        <f t="shared" si="141"/>
        <v>0</v>
      </c>
      <c r="BQ100" s="33">
        <f t="shared" si="141"/>
        <v>0</v>
      </c>
      <c r="BR100" s="33">
        <f t="shared" si="141"/>
        <v>0</v>
      </c>
      <c r="BS100" s="33">
        <f t="shared" si="141"/>
        <v>0</v>
      </c>
      <c r="BT100" s="33">
        <f t="shared" ref="BT100:BY100" si="142">+IF(AND(BT$94=$C102,BT$94&lt;0),1,0)</f>
        <v>0</v>
      </c>
      <c r="BU100" s="33">
        <f t="shared" si="142"/>
        <v>0</v>
      </c>
      <c r="BV100" s="33">
        <f t="shared" si="142"/>
        <v>0</v>
      </c>
      <c r="BW100" s="33">
        <f t="shared" si="142"/>
        <v>0</v>
      </c>
      <c r="BX100" s="33">
        <f t="shared" si="142"/>
        <v>0</v>
      </c>
      <c r="BY100" s="33">
        <f t="shared" si="142"/>
        <v>0</v>
      </c>
    </row>
    <row r="101" spans="3:77" outlineLevel="1">
      <c r="C101" s="32"/>
      <c r="D101" s="31"/>
      <c r="E101" t="s">
        <v>504</v>
      </c>
      <c r="F101" s="23" t="s">
        <v>500</v>
      </c>
      <c r="H101" s="33">
        <f t="shared" ref="H101:BS101" si="143">+IF(AND(H$94=$C103,H$94&lt;0),1,0)</f>
        <v>0</v>
      </c>
      <c r="I101" s="33">
        <f t="shared" si="143"/>
        <v>0</v>
      </c>
      <c r="J101" s="33">
        <f t="shared" si="143"/>
        <v>0</v>
      </c>
      <c r="K101" s="33">
        <f t="shared" si="143"/>
        <v>0</v>
      </c>
      <c r="L101" s="33">
        <f t="shared" si="143"/>
        <v>0</v>
      </c>
      <c r="M101" s="33">
        <f t="shared" si="143"/>
        <v>0</v>
      </c>
      <c r="N101" s="33">
        <f t="shared" si="143"/>
        <v>0</v>
      </c>
      <c r="O101" s="33">
        <f t="shared" si="143"/>
        <v>0</v>
      </c>
      <c r="P101" s="33">
        <f t="shared" si="143"/>
        <v>0</v>
      </c>
      <c r="Q101" s="33">
        <f t="shared" si="143"/>
        <v>0</v>
      </c>
      <c r="R101" s="33">
        <f t="shared" si="143"/>
        <v>0</v>
      </c>
      <c r="S101" s="33">
        <f t="shared" si="143"/>
        <v>0</v>
      </c>
      <c r="T101" s="33">
        <f t="shared" si="143"/>
        <v>0</v>
      </c>
      <c r="U101" s="33">
        <f t="shared" si="143"/>
        <v>0</v>
      </c>
      <c r="V101" s="33">
        <f t="shared" si="143"/>
        <v>0</v>
      </c>
      <c r="W101" s="33">
        <f t="shared" si="143"/>
        <v>0</v>
      </c>
      <c r="X101" s="33">
        <f t="shared" si="143"/>
        <v>0</v>
      </c>
      <c r="Y101" s="33">
        <f t="shared" si="143"/>
        <v>0</v>
      </c>
      <c r="Z101" s="33">
        <f t="shared" si="143"/>
        <v>0</v>
      </c>
      <c r="AA101" s="33">
        <f t="shared" si="143"/>
        <v>0</v>
      </c>
      <c r="AB101" s="33">
        <f t="shared" si="143"/>
        <v>0</v>
      </c>
      <c r="AC101" s="33">
        <f t="shared" si="143"/>
        <v>0</v>
      </c>
      <c r="AD101" s="33">
        <f t="shared" si="143"/>
        <v>0</v>
      </c>
      <c r="AE101" s="33">
        <f t="shared" si="143"/>
        <v>0</v>
      </c>
      <c r="AF101" s="33">
        <f t="shared" si="143"/>
        <v>0</v>
      </c>
      <c r="AG101" s="33">
        <f t="shared" si="143"/>
        <v>0</v>
      </c>
      <c r="AH101" s="33">
        <f t="shared" si="143"/>
        <v>0</v>
      </c>
      <c r="AI101" s="33">
        <f t="shared" si="143"/>
        <v>0</v>
      </c>
      <c r="AJ101" s="33">
        <f t="shared" si="143"/>
        <v>0</v>
      </c>
      <c r="AK101" s="33">
        <f t="shared" si="143"/>
        <v>0</v>
      </c>
      <c r="AL101" s="33">
        <f t="shared" si="143"/>
        <v>0</v>
      </c>
      <c r="AM101" s="33">
        <f t="shared" si="143"/>
        <v>0</v>
      </c>
      <c r="AN101" s="33">
        <f t="shared" si="143"/>
        <v>0</v>
      </c>
      <c r="AO101" s="33">
        <f t="shared" si="143"/>
        <v>0</v>
      </c>
      <c r="AP101" s="33">
        <f t="shared" si="143"/>
        <v>0</v>
      </c>
      <c r="AQ101" s="33">
        <f t="shared" si="143"/>
        <v>0</v>
      </c>
      <c r="AR101" s="33">
        <f t="shared" si="143"/>
        <v>0</v>
      </c>
      <c r="AS101" s="33">
        <f t="shared" si="143"/>
        <v>0</v>
      </c>
      <c r="AT101" s="33">
        <f t="shared" si="143"/>
        <v>0</v>
      </c>
      <c r="AU101" s="33">
        <f t="shared" si="143"/>
        <v>0</v>
      </c>
      <c r="AV101" s="33">
        <f t="shared" si="143"/>
        <v>0</v>
      </c>
      <c r="AW101" s="33">
        <f t="shared" si="143"/>
        <v>0</v>
      </c>
      <c r="AX101" s="33">
        <f t="shared" si="143"/>
        <v>0</v>
      </c>
      <c r="AY101" s="33">
        <f t="shared" si="143"/>
        <v>0</v>
      </c>
      <c r="AZ101" s="33">
        <f t="shared" si="143"/>
        <v>0</v>
      </c>
      <c r="BA101" s="33">
        <f t="shared" si="143"/>
        <v>0</v>
      </c>
      <c r="BB101" s="33">
        <f t="shared" si="143"/>
        <v>0</v>
      </c>
      <c r="BC101" s="33">
        <f t="shared" si="143"/>
        <v>0</v>
      </c>
      <c r="BD101" s="33">
        <f t="shared" si="143"/>
        <v>0</v>
      </c>
      <c r="BE101" s="33">
        <f t="shared" si="143"/>
        <v>0</v>
      </c>
      <c r="BF101" s="33">
        <f t="shared" si="143"/>
        <v>0</v>
      </c>
      <c r="BG101" s="33">
        <f t="shared" si="143"/>
        <v>0</v>
      </c>
      <c r="BH101" s="33">
        <f t="shared" si="143"/>
        <v>0</v>
      </c>
      <c r="BI101" s="33">
        <f t="shared" si="143"/>
        <v>0</v>
      </c>
      <c r="BJ101" s="33">
        <f t="shared" si="143"/>
        <v>0</v>
      </c>
      <c r="BK101" s="33">
        <f t="shared" si="143"/>
        <v>0</v>
      </c>
      <c r="BL101" s="33">
        <f t="shared" si="143"/>
        <v>0</v>
      </c>
      <c r="BM101" s="33">
        <f t="shared" si="143"/>
        <v>0</v>
      </c>
      <c r="BN101" s="33">
        <f t="shared" si="143"/>
        <v>0</v>
      </c>
      <c r="BO101" s="33">
        <f t="shared" si="143"/>
        <v>0</v>
      </c>
      <c r="BP101" s="33">
        <f t="shared" si="143"/>
        <v>0</v>
      </c>
      <c r="BQ101" s="33">
        <f t="shared" si="143"/>
        <v>0</v>
      </c>
      <c r="BR101" s="33">
        <f t="shared" si="143"/>
        <v>0</v>
      </c>
      <c r="BS101" s="33">
        <f t="shared" si="143"/>
        <v>0</v>
      </c>
      <c r="BT101" s="33">
        <f t="shared" ref="BT101:BY101" si="144">+IF(AND(BT$94=$C103,BT$94&lt;0),1,0)</f>
        <v>0</v>
      </c>
      <c r="BU101" s="33">
        <f t="shared" si="144"/>
        <v>0</v>
      </c>
      <c r="BV101" s="33">
        <f t="shared" si="144"/>
        <v>0</v>
      </c>
      <c r="BW101" s="33">
        <f t="shared" si="144"/>
        <v>0</v>
      </c>
      <c r="BX101" s="33">
        <f t="shared" si="144"/>
        <v>0</v>
      </c>
      <c r="BY101" s="33">
        <f t="shared" si="144"/>
        <v>0</v>
      </c>
    </row>
    <row r="102" spans="3:77" outlineLevel="1">
      <c r="C102" s="32"/>
      <c r="D102" s="31"/>
      <c r="E102" t="s">
        <v>505</v>
      </c>
      <c r="F102" s="23" t="s">
        <v>500</v>
      </c>
      <c r="H102" s="33">
        <f t="shared" ref="H102:BS102" si="145">+IF(AND(H$94=$C104,H$94&lt;0),1,0)</f>
        <v>0</v>
      </c>
      <c r="I102" s="33">
        <f t="shared" si="145"/>
        <v>0</v>
      </c>
      <c r="J102" s="33">
        <f t="shared" si="145"/>
        <v>0</v>
      </c>
      <c r="K102" s="33">
        <f t="shared" si="145"/>
        <v>0</v>
      </c>
      <c r="L102" s="33">
        <f t="shared" si="145"/>
        <v>0</v>
      </c>
      <c r="M102" s="33">
        <f t="shared" si="145"/>
        <v>0</v>
      </c>
      <c r="N102" s="33">
        <f t="shared" si="145"/>
        <v>0</v>
      </c>
      <c r="O102" s="33">
        <f t="shared" si="145"/>
        <v>0</v>
      </c>
      <c r="P102" s="33">
        <f t="shared" si="145"/>
        <v>0</v>
      </c>
      <c r="Q102" s="33">
        <f t="shared" si="145"/>
        <v>0</v>
      </c>
      <c r="R102" s="33">
        <f t="shared" si="145"/>
        <v>0</v>
      </c>
      <c r="S102" s="33">
        <f t="shared" si="145"/>
        <v>0</v>
      </c>
      <c r="T102" s="33">
        <f t="shared" si="145"/>
        <v>0</v>
      </c>
      <c r="U102" s="33">
        <f t="shared" si="145"/>
        <v>0</v>
      </c>
      <c r="V102" s="33">
        <f t="shared" si="145"/>
        <v>0</v>
      </c>
      <c r="W102" s="33">
        <f t="shared" si="145"/>
        <v>0</v>
      </c>
      <c r="X102" s="33">
        <f t="shared" si="145"/>
        <v>0</v>
      </c>
      <c r="Y102" s="33">
        <f t="shared" si="145"/>
        <v>0</v>
      </c>
      <c r="Z102" s="33">
        <f t="shared" si="145"/>
        <v>0</v>
      </c>
      <c r="AA102" s="33">
        <f t="shared" si="145"/>
        <v>0</v>
      </c>
      <c r="AB102" s="33">
        <f t="shared" si="145"/>
        <v>0</v>
      </c>
      <c r="AC102" s="33">
        <f t="shared" si="145"/>
        <v>0</v>
      </c>
      <c r="AD102" s="33">
        <f t="shared" si="145"/>
        <v>0</v>
      </c>
      <c r="AE102" s="33">
        <f t="shared" si="145"/>
        <v>0</v>
      </c>
      <c r="AF102" s="33">
        <f t="shared" si="145"/>
        <v>0</v>
      </c>
      <c r="AG102" s="33">
        <f t="shared" si="145"/>
        <v>0</v>
      </c>
      <c r="AH102" s="33">
        <f t="shared" si="145"/>
        <v>0</v>
      </c>
      <c r="AI102" s="33">
        <f t="shared" si="145"/>
        <v>0</v>
      </c>
      <c r="AJ102" s="33">
        <f t="shared" si="145"/>
        <v>0</v>
      </c>
      <c r="AK102" s="33">
        <f t="shared" si="145"/>
        <v>0</v>
      </c>
      <c r="AL102" s="33">
        <f t="shared" si="145"/>
        <v>0</v>
      </c>
      <c r="AM102" s="33">
        <f t="shared" si="145"/>
        <v>0</v>
      </c>
      <c r="AN102" s="33">
        <f t="shared" si="145"/>
        <v>0</v>
      </c>
      <c r="AO102" s="33">
        <f t="shared" si="145"/>
        <v>0</v>
      </c>
      <c r="AP102" s="33">
        <f t="shared" si="145"/>
        <v>0</v>
      </c>
      <c r="AQ102" s="33">
        <f t="shared" si="145"/>
        <v>0</v>
      </c>
      <c r="AR102" s="33">
        <f t="shared" si="145"/>
        <v>0</v>
      </c>
      <c r="AS102" s="33">
        <f t="shared" si="145"/>
        <v>0</v>
      </c>
      <c r="AT102" s="33">
        <f t="shared" si="145"/>
        <v>0</v>
      </c>
      <c r="AU102" s="33">
        <f t="shared" si="145"/>
        <v>0</v>
      </c>
      <c r="AV102" s="33">
        <f t="shared" si="145"/>
        <v>0</v>
      </c>
      <c r="AW102" s="33">
        <f t="shared" si="145"/>
        <v>0</v>
      </c>
      <c r="AX102" s="33">
        <f t="shared" si="145"/>
        <v>0</v>
      </c>
      <c r="AY102" s="33">
        <f t="shared" si="145"/>
        <v>0</v>
      </c>
      <c r="AZ102" s="33">
        <f t="shared" si="145"/>
        <v>0</v>
      </c>
      <c r="BA102" s="33">
        <f t="shared" si="145"/>
        <v>0</v>
      </c>
      <c r="BB102" s="33">
        <f t="shared" si="145"/>
        <v>0</v>
      </c>
      <c r="BC102" s="33">
        <f t="shared" si="145"/>
        <v>0</v>
      </c>
      <c r="BD102" s="33">
        <f t="shared" si="145"/>
        <v>0</v>
      </c>
      <c r="BE102" s="33">
        <f t="shared" si="145"/>
        <v>0</v>
      </c>
      <c r="BF102" s="33">
        <f t="shared" si="145"/>
        <v>0</v>
      </c>
      <c r="BG102" s="33">
        <f t="shared" si="145"/>
        <v>0</v>
      </c>
      <c r="BH102" s="33">
        <f t="shared" si="145"/>
        <v>0</v>
      </c>
      <c r="BI102" s="33">
        <f t="shared" si="145"/>
        <v>0</v>
      </c>
      <c r="BJ102" s="33">
        <f t="shared" si="145"/>
        <v>0</v>
      </c>
      <c r="BK102" s="33">
        <f t="shared" si="145"/>
        <v>0</v>
      </c>
      <c r="BL102" s="33">
        <f t="shared" si="145"/>
        <v>0</v>
      </c>
      <c r="BM102" s="33">
        <f t="shared" si="145"/>
        <v>0</v>
      </c>
      <c r="BN102" s="33">
        <f t="shared" si="145"/>
        <v>0</v>
      </c>
      <c r="BO102" s="33">
        <f t="shared" si="145"/>
        <v>0</v>
      </c>
      <c r="BP102" s="33">
        <f t="shared" si="145"/>
        <v>0</v>
      </c>
      <c r="BQ102" s="33">
        <f t="shared" si="145"/>
        <v>0</v>
      </c>
      <c r="BR102" s="33">
        <f t="shared" si="145"/>
        <v>0</v>
      </c>
      <c r="BS102" s="33">
        <f t="shared" si="145"/>
        <v>0</v>
      </c>
      <c r="BT102" s="33">
        <f t="shared" ref="BT102:BY102" si="146">+IF(AND(BT$94=$C104,BT$94&lt;0),1,0)</f>
        <v>0</v>
      </c>
      <c r="BU102" s="33">
        <f t="shared" si="146"/>
        <v>0</v>
      </c>
      <c r="BV102" s="33">
        <f t="shared" si="146"/>
        <v>0</v>
      </c>
      <c r="BW102" s="33">
        <f t="shared" si="146"/>
        <v>0</v>
      </c>
      <c r="BX102" s="33">
        <f t="shared" si="146"/>
        <v>0</v>
      </c>
      <c r="BY102" s="33">
        <f t="shared" si="146"/>
        <v>0</v>
      </c>
    </row>
    <row r="103" spans="3:77" outlineLevel="1">
      <c r="C103" s="32"/>
      <c r="D103" s="31"/>
      <c r="E103" t="s">
        <v>506</v>
      </c>
      <c r="F103" s="23" t="s">
        <v>500</v>
      </c>
      <c r="H103" s="33">
        <f t="shared" ref="H103:BS103" si="147">+IF(AND(H$94=$C105,H$94&lt;0),1,0)</f>
        <v>0</v>
      </c>
      <c r="I103" s="33">
        <f t="shared" si="147"/>
        <v>0</v>
      </c>
      <c r="J103" s="33">
        <f t="shared" si="147"/>
        <v>0</v>
      </c>
      <c r="K103" s="33">
        <f t="shared" si="147"/>
        <v>0</v>
      </c>
      <c r="L103" s="33">
        <f t="shared" si="147"/>
        <v>0</v>
      </c>
      <c r="M103" s="33">
        <f t="shared" si="147"/>
        <v>0</v>
      </c>
      <c r="N103" s="33">
        <f t="shared" si="147"/>
        <v>0</v>
      </c>
      <c r="O103" s="33">
        <f t="shared" si="147"/>
        <v>0</v>
      </c>
      <c r="P103" s="33">
        <f t="shared" si="147"/>
        <v>0</v>
      </c>
      <c r="Q103" s="33">
        <f t="shared" si="147"/>
        <v>0</v>
      </c>
      <c r="R103" s="33">
        <f t="shared" si="147"/>
        <v>0</v>
      </c>
      <c r="S103" s="33">
        <f t="shared" si="147"/>
        <v>0</v>
      </c>
      <c r="T103" s="33">
        <f t="shared" si="147"/>
        <v>0</v>
      </c>
      <c r="U103" s="33">
        <f t="shared" si="147"/>
        <v>0</v>
      </c>
      <c r="V103" s="33">
        <f t="shared" si="147"/>
        <v>0</v>
      </c>
      <c r="W103" s="33">
        <f t="shared" si="147"/>
        <v>0</v>
      </c>
      <c r="X103" s="33">
        <f t="shared" si="147"/>
        <v>0</v>
      </c>
      <c r="Y103" s="33">
        <f t="shared" si="147"/>
        <v>0</v>
      </c>
      <c r="Z103" s="33">
        <f t="shared" si="147"/>
        <v>0</v>
      </c>
      <c r="AA103" s="33">
        <f t="shared" si="147"/>
        <v>0</v>
      </c>
      <c r="AB103" s="33">
        <f t="shared" si="147"/>
        <v>0</v>
      </c>
      <c r="AC103" s="33">
        <f t="shared" si="147"/>
        <v>0</v>
      </c>
      <c r="AD103" s="33">
        <f t="shared" si="147"/>
        <v>0</v>
      </c>
      <c r="AE103" s="33">
        <f t="shared" si="147"/>
        <v>0</v>
      </c>
      <c r="AF103" s="33">
        <f t="shared" si="147"/>
        <v>0</v>
      </c>
      <c r="AG103" s="33">
        <f t="shared" si="147"/>
        <v>0</v>
      </c>
      <c r="AH103" s="33">
        <f t="shared" si="147"/>
        <v>0</v>
      </c>
      <c r="AI103" s="33">
        <f t="shared" si="147"/>
        <v>0</v>
      </c>
      <c r="AJ103" s="33">
        <f t="shared" si="147"/>
        <v>0</v>
      </c>
      <c r="AK103" s="33">
        <f t="shared" si="147"/>
        <v>0</v>
      </c>
      <c r="AL103" s="33">
        <f t="shared" si="147"/>
        <v>0</v>
      </c>
      <c r="AM103" s="33">
        <f t="shared" si="147"/>
        <v>0</v>
      </c>
      <c r="AN103" s="33">
        <f t="shared" si="147"/>
        <v>0</v>
      </c>
      <c r="AO103" s="33">
        <f t="shared" si="147"/>
        <v>0</v>
      </c>
      <c r="AP103" s="33">
        <f t="shared" si="147"/>
        <v>0</v>
      </c>
      <c r="AQ103" s="33">
        <f t="shared" si="147"/>
        <v>0</v>
      </c>
      <c r="AR103" s="33">
        <f t="shared" si="147"/>
        <v>0</v>
      </c>
      <c r="AS103" s="33">
        <f t="shared" si="147"/>
        <v>0</v>
      </c>
      <c r="AT103" s="33">
        <f t="shared" si="147"/>
        <v>0</v>
      </c>
      <c r="AU103" s="33">
        <f t="shared" si="147"/>
        <v>0</v>
      </c>
      <c r="AV103" s="33">
        <f t="shared" si="147"/>
        <v>0</v>
      </c>
      <c r="AW103" s="33">
        <f t="shared" si="147"/>
        <v>0</v>
      </c>
      <c r="AX103" s="33">
        <f t="shared" si="147"/>
        <v>0</v>
      </c>
      <c r="AY103" s="33">
        <f t="shared" si="147"/>
        <v>0</v>
      </c>
      <c r="AZ103" s="33">
        <f t="shared" si="147"/>
        <v>0</v>
      </c>
      <c r="BA103" s="33">
        <f t="shared" si="147"/>
        <v>0</v>
      </c>
      <c r="BB103" s="33">
        <f t="shared" si="147"/>
        <v>0</v>
      </c>
      <c r="BC103" s="33">
        <f t="shared" si="147"/>
        <v>0</v>
      </c>
      <c r="BD103" s="33">
        <f t="shared" si="147"/>
        <v>0</v>
      </c>
      <c r="BE103" s="33">
        <f t="shared" si="147"/>
        <v>0</v>
      </c>
      <c r="BF103" s="33">
        <f t="shared" si="147"/>
        <v>0</v>
      </c>
      <c r="BG103" s="33">
        <f t="shared" si="147"/>
        <v>0</v>
      </c>
      <c r="BH103" s="33">
        <f t="shared" si="147"/>
        <v>0</v>
      </c>
      <c r="BI103" s="33">
        <f t="shared" si="147"/>
        <v>0</v>
      </c>
      <c r="BJ103" s="33">
        <f t="shared" si="147"/>
        <v>0</v>
      </c>
      <c r="BK103" s="33">
        <f t="shared" si="147"/>
        <v>0</v>
      </c>
      <c r="BL103" s="33">
        <f t="shared" si="147"/>
        <v>0</v>
      </c>
      <c r="BM103" s="33">
        <f t="shared" si="147"/>
        <v>0</v>
      </c>
      <c r="BN103" s="33">
        <f t="shared" si="147"/>
        <v>0</v>
      </c>
      <c r="BO103" s="33">
        <f t="shared" si="147"/>
        <v>0</v>
      </c>
      <c r="BP103" s="33">
        <f t="shared" si="147"/>
        <v>0</v>
      </c>
      <c r="BQ103" s="33">
        <f t="shared" si="147"/>
        <v>0</v>
      </c>
      <c r="BR103" s="33">
        <f t="shared" si="147"/>
        <v>0</v>
      </c>
      <c r="BS103" s="33">
        <f t="shared" si="147"/>
        <v>0</v>
      </c>
      <c r="BT103" s="33">
        <f t="shared" ref="BT103:BY103" si="148">+IF(AND(BT$94=$C105,BT$94&lt;0),1,0)</f>
        <v>0</v>
      </c>
      <c r="BU103" s="33">
        <f t="shared" si="148"/>
        <v>0</v>
      </c>
      <c r="BV103" s="33">
        <f t="shared" si="148"/>
        <v>0</v>
      </c>
      <c r="BW103" s="33">
        <f t="shared" si="148"/>
        <v>0</v>
      </c>
      <c r="BX103" s="33">
        <f t="shared" si="148"/>
        <v>0</v>
      </c>
      <c r="BY103" s="33">
        <f t="shared" si="148"/>
        <v>0</v>
      </c>
    </row>
    <row r="104" spans="3:77" outlineLevel="1">
      <c r="C104" s="32"/>
      <c r="D104" s="31"/>
      <c r="E104" t="s">
        <v>507</v>
      </c>
      <c r="F104" s="23" t="s">
        <v>500</v>
      </c>
      <c r="H104" s="33">
        <f t="shared" ref="H104:BS104" si="149">+IF(AND(H$94=$C106,H$94&lt;0),1,0)</f>
        <v>0</v>
      </c>
      <c r="I104" s="33">
        <f t="shared" si="149"/>
        <v>0</v>
      </c>
      <c r="J104" s="33">
        <f t="shared" si="149"/>
        <v>0</v>
      </c>
      <c r="K104" s="33">
        <f t="shared" si="149"/>
        <v>0</v>
      </c>
      <c r="L104" s="33">
        <f t="shared" si="149"/>
        <v>0</v>
      </c>
      <c r="M104" s="33">
        <f t="shared" si="149"/>
        <v>0</v>
      </c>
      <c r="N104" s="33">
        <f t="shared" si="149"/>
        <v>0</v>
      </c>
      <c r="O104" s="33">
        <f t="shared" si="149"/>
        <v>0</v>
      </c>
      <c r="P104" s="33">
        <f t="shared" si="149"/>
        <v>0</v>
      </c>
      <c r="Q104" s="33">
        <f t="shared" si="149"/>
        <v>0</v>
      </c>
      <c r="R104" s="33">
        <f t="shared" si="149"/>
        <v>0</v>
      </c>
      <c r="S104" s="33">
        <f t="shared" si="149"/>
        <v>0</v>
      </c>
      <c r="T104" s="33">
        <f t="shared" si="149"/>
        <v>0</v>
      </c>
      <c r="U104" s="33">
        <f t="shared" si="149"/>
        <v>0</v>
      </c>
      <c r="V104" s="33">
        <f t="shared" si="149"/>
        <v>0</v>
      </c>
      <c r="W104" s="33">
        <f t="shared" si="149"/>
        <v>0</v>
      </c>
      <c r="X104" s="33">
        <f t="shared" si="149"/>
        <v>0</v>
      </c>
      <c r="Y104" s="33">
        <f t="shared" si="149"/>
        <v>0</v>
      </c>
      <c r="Z104" s="33">
        <f t="shared" si="149"/>
        <v>0</v>
      </c>
      <c r="AA104" s="33">
        <f t="shared" si="149"/>
        <v>0</v>
      </c>
      <c r="AB104" s="33">
        <f t="shared" si="149"/>
        <v>0</v>
      </c>
      <c r="AC104" s="33">
        <f t="shared" si="149"/>
        <v>0</v>
      </c>
      <c r="AD104" s="33">
        <f t="shared" si="149"/>
        <v>0</v>
      </c>
      <c r="AE104" s="33">
        <f t="shared" si="149"/>
        <v>0</v>
      </c>
      <c r="AF104" s="33">
        <f t="shared" si="149"/>
        <v>0</v>
      </c>
      <c r="AG104" s="33">
        <f t="shared" si="149"/>
        <v>0</v>
      </c>
      <c r="AH104" s="33">
        <f t="shared" si="149"/>
        <v>0</v>
      </c>
      <c r="AI104" s="33">
        <f t="shared" si="149"/>
        <v>0</v>
      </c>
      <c r="AJ104" s="33">
        <f t="shared" si="149"/>
        <v>0</v>
      </c>
      <c r="AK104" s="33">
        <f t="shared" si="149"/>
        <v>0</v>
      </c>
      <c r="AL104" s="33">
        <f t="shared" si="149"/>
        <v>0</v>
      </c>
      <c r="AM104" s="33">
        <f t="shared" si="149"/>
        <v>0</v>
      </c>
      <c r="AN104" s="33">
        <f t="shared" si="149"/>
        <v>0</v>
      </c>
      <c r="AO104" s="33">
        <f t="shared" si="149"/>
        <v>0</v>
      </c>
      <c r="AP104" s="33">
        <f t="shared" si="149"/>
        <v>0</v>
      </c>
      <c r="AQ104" s="33">
        <f t="shared" si="149"/>
        <v>0</v>
      </c>
      <c r="AR104" s="33">
        <f t="shared" si="149"/>
        <v>0</v>
      </c>
      <c r="AS104" s="33">
        <f t="shared" si="149"/>
        <v>0</v>
      </c>
      <c r="AT104" s="33">
        <f t="shared" si="149"/>
        <v>0</v>
      </c>
      <c r="AU104" s="33">
        <f t="shared" si="149"/>
        <v>0</v>
      </c>
      <c r="AV104" s="33">
        <f t="shared" si="149"/>
        <v>0</v>
      </c>
      <c r="AW104" s="33">
        <f t="shared" si="149"/>
        <v>0</v>
      </c>
      <c r="AX104" s="33">
        <f t="shared" si="149"/>
        <v>0</v>
      </c>
      <c r="AY104" s="33">
        <f t="shared" si="149"/>
        <v>0</v>
      </c>
      <c r="AZ104" s="33">
        <f t="shared" si="149"/>
        <v>0</v>
      </c>
      <c r="BA104" s="33">
        <f t="shared" si="149"/>
        <v>0</v>
      </c>
      <c r="BB104" s="33">
        <f t="shared" si="149"/>
        <v>0</v>
      </c>
      <c r="BC104" s="33">
        <f t="shared" si="149"/>
        <v>0</v>
      </c>
      <c r="BD104" s="33">
        <f t="shared" si="149"/>
        <v>0</v>
      </c>
      <c r="BE104" s="33">
        <f t="shared" si="149"/>
        <v>0</v>
      </c>
      <c r="BF104" s="33">
        <f t="shared" si="149"/>
        <v>0</v>
      </c>
      <c r="BG104" s="33">
        <f t="shared" si="149"/>
        <v>0</v>
      </c>
      <c r="BH104" s="33">
        <f t="shared" si="149"/>
        <v>0</v>
      </c>
      <c r="BI104" s="33">
        <f t="shared" si="149"/>
        <v>0</v>
      </c>
      <c r="BJ104" s="33">
        <f t="shared" si="149"/>
        <v>0</v>
      </c>
      <c r="BK104" s="33">
        <f t="shared" si="149"/>
        <v>0</v>
      </c>
      <c r="BL104" s="33">
        <f t="shared" si="149"/>
        <v>0</v>
      </c>
      <c r="BM104" s="33">
        <f t="shared" si="149"/>
        <v>0</v>
      </c>
      <c r="BN104" s="33">
        <f t="shared" si="149"/>
        <v>0</v>
      </c>
      <c r="BO104" s="33">
        <f t="shared" si="149"/>
        <v>0</v>
      </c>
      <c r="BP104" s="33">
        <f t="shared" si="149"/>
        <v>0</v>
      </c>
      <c r="BQ104" s="33">
        <f t="shared" si="149"/>
        <v>0</v>
      </c>
      <c r="BR104" s="33">
        <f t="shared" si="149"/>
        <v>0</v>
      </c>
      <c r="BS104" s="33">
        <f t="shared" si="149"/>
        <v>0</v>
      </c>
      <c r="BT104" s="33">
        <f t="shared" ref="BT104:BY104" si="150">+IF(AND(BT$94=$C106,BT$94&lt;0),1,0)</f>
        <v>0</v>
      </c>
      <c r="BU104" s="33">
        <f t="shared" si="150"/>
        <v>0</v>
      </c>
      <c r="BV104" s="33">
        <f t="shared" si="150"/>
        <v>0</v>
      </c>
      <c r="BW104" s="33">
        <f t="shared" si="150"/>
        <v>0</v>
      </c>
      <c r="BX104" s="33">
        <f t="shared" si="150"/>
        <v>0</v>
      </c>
      <c r="BY104" s="33">
        <f t="shared" si="150"/>
        <v>0</v>
      </c>
    </row>
    <row r="105" spans="3:77" outlineLevel="1">
      <c r="C105" s="32"/>
      <c r="D105" s="31"/>
      <c r="E105" t="s">
        <v>508</v>
      </c>
      <c r="F105" s="23" t="s">
        <v>500</v>
      </c>
      <c r="H105" s="33">
        <f t="shared" ref="H105:BS105" si="151">+IF(AND(H$94=$C107,H$94&lt;0),1,0)</f>
        <v>0</v>
      </c>
      <c r="I105" s="33">
        <f t="shared" si="151"/>
        <v>0</v>
      </c>
      <c r="J105" s="33">
        <f t="shared" si="151"/>
        <v>0</v>
      </c>
      <c r="K105" s="33">
        <f t="shared" si="151"/>
        <v>0</v>
      </c>
      <c r="L105" s="33">
        <f t="shared" si="151"/>
        <v>0</v>
      </c>
      <c r="M105" s="33">
        <f t="shared" si="151"/>
        <v>0</v>
      </c>
      <c r="N105" s="33">
        <f t="shared" si="151"/>
        <v>0</v>
      </c>
      <c r="O105" s="33">
        <f t="shared" si="151"/>
        <v>0</v>
      </c>
      <c r="P105" s="33">
        <f t="shared" si="151"/>
        <v>0</v>
      </c>
      <c r="Q105" s="33">
        <f t="shared" si="151"/>
        <v>0</v>
      </c>
      <c r="R105" s="33">
        <f t="shared" si="151"/>
        <v>0</v>
      </c>
      <c r="S105" s="33">
        <f t="shared" si="151"/>
        <v>0</v>
      </c>
      <c r="T105" s="33">
        <f t="shared" si="151"/>
        <v>0</v>
      </c>
      <c r="U105" s="33">
        <f t="shared" si="151"/>
        <v>0</v>
      </c>
      <c r="V105" s="33">
        <f t="shared" si="151"/>
        <v>0</v>
      </c>
      <c r="W105" s="33">
        <f t="shared" si="151"/>
        <v>0</v>
      </c>
      <c r="X105" s="33">
        <f t="shared" si="151"/>
        <v>0</v>
      </c>
      <c r="Y105" s="33">
        <f t="shared" si="151"/>
        <v>0</v>
      </c>
      <c r="Z105" s="33">
        <f t="shared" si="151"/>
        <v>0</v>
      </c>
      <c r="AA105" s="33">
        <f t="shared" si="151"/>
        <v>0</v>
      </c>
      <c r="AB105" s="33">
        <f t="shared" si="151"/>
        <v>0</v>
      </c>
      <c r="AC105" s="33">
        <f t="shared" si="151"/>
        <v>0</v>
      </c>
      <c r="AD105" s="33">
        <f t="shared" si="151"/>
        <v>0</v>
      </c>
      <c r="AE105" s="33">
        <f t="shared" si="151"/>
        <v>0</v>
      </c>
      <c r="AF105" s="33">
        <f t="shared" si="151"/>
        <v>0</v>
      </c>
      <c r="AG105" s="33">
        <f t="shared" si="151"/>
        <v>0</v>
      </c>
      <c r="AH105" s="33">
        <f t="shared" si="151"/>
        <v>0</v>
      </c>
      <c r="AI105" s="33">
        <f t="shared" si="151"/>
        <v>0</v>
      </c>
      <c r="AJ105" s="33">
        <f t="shared" si="151"/>
        <v>0</v>
      </c>
      <c r="AK105" s="33">
        <f t="shared" si="151"/>
        <v>0</v>
      </c>
      <c r="AL105" s="33">
        <f t="shared" si="151"/>
        <v>0</v>
      </c>
      <c r="AM105" s="33">
        <f t="shared" si="151"/>
        <v>0</v>
      </c>
      <c r="AN105" s="33">
        <f t="shared" si="151"/>
        <v>0</v>
      </c>
      <c r="AO105" s="33">
        <f t="shared" si="151"/>
        <v>0</v>
      </c>
      <c r="AP105" s="33">
        <f t="shared" si="151"/>
        <v>0</v>
      </c>
      <c r="AQ105" s="33">
        <f t="shared" si="151"/>
        <v>0</v>
      </c>
      <c r="AR105" s="33">
        <f t="shared" si="151"/>
        <v>0</v>
      </c>
      <c r="AS105" s="33">
        <f t="shared" si="151"/>
        <v>0</v>
      </c>
      <c r="AT105" s="33">
        <f t="shared" si="151"/>
        <v>0</v>
      </c>
      <c r="AU105" s="33">
        <f t="shared" si="151"/>
        <v>0</v>
      </c>
      <c r="AV105" s="33">
        <f t="shared" si="151"/>
        <v>0</v>
      </c>
      <c r="AW105" s="33">
        <f t="shared" si="151"/>
        <v>0</v>
      </c>
      <c r="AX105" s="33">
        <f t="shared" si="151"/>
        <v>0</v>
      </c>
      <c r="AY105" s="33">
        <f t="shared" si="151"/>
        <v>0</v>
      </c>
      <c r="AZ105" s="33">
        <f t="shared" si="151"/>
        <v>0</v>
      </c>
      <c r="BA105" s="33">
        <f t="shared" si="151"/>
        <v>0</v>
      </c>
      <c r="BB105" s="33">
        <f t="shared" si="151"/>
        <v>0</v>
      </c>
      <c r="BC105" s="33">
        <f t="shared" si="151"/>
        <v>0</v>
      </c>
      <c r="BD105" s="33">
        <f t="shared" si="151"/>
        <v>0</v>
      </c>
      <c r="BE105" s="33">
        <f t="shared" si="151"/>
        <v>0</v>
      </c>
      <c r="BF105" s="33">
        <f t="shared" si="151"/>
        <v>0</v>
      </c>
      <c r="BG105" s="33">
        <f t="shared" si="151"/>
        <v>0</v>
      </c>
      <c r="BH105" s="33">
        <f t="shared" si="151"/>
        <v>0</v>
      </c>
      <c r="BI105" s="33">
        <f t="shared" si="151"/>
        <v>0</v>
      </c>
      <c r="BJ105" s="33">
        <f t="shared" si="151"/>
        <v>0</v>
      </c>
      <c r="BK105" s="33">
        <f t="shared" si="151"/>
        <v>0</v>
      </c>
      <c r="BL105" s="33">
        <f t="shared" si="151"/>
        <v>0</v>
      </c>
      <c r="BM105" s="33">
        <f t="shared" si="151"/>
        <v>0</v>
      </c>
      <c r="BN105" s="33">
        <f t="shared" si="151"/>
        <v>0</v>
      </c>
      <c r="BO105" s="33">
        <f t="shared" si="151"/>
        <v>0</v>
      </c>
      <c r="BP105" s="33">
        <f t="shared" si="151"/>
        <v>0</v>
      </c>
      <c r="BQ105" s="33">
        <f t="shared" si="151"/>
        <v>0</v>
      </c>
      <c r="BR105" s="33">
        <f t="shared" si="151"/>
        <v>0</v>
      </c>
      <c r="BS105" s="33">
        <f t="shared" si="151"/>
        <v>0</v>
      </c>
      <c r="BT105" s="33">
        <f t="shared" ref="BT105:BY105" si="152">+IF(AND(BT$94=$C107,BT$94&lt;0),1,0)</f>
        <v>0</v>
      </c>
      <c r="BU105" s="33">
        <f t="shared" si="152"/>
        <v>0</v>
      </c>
      <c r="BV105" s="33">
        <f t="shared" si="152"/>
        <v>0</v>
      </c>
      <c r="BW105" s="33">
        <f t="shared" si="152"/>
        <v>0</v>
      </c>
      <c r="BX105" s="33">
        <f t="shared" si="152"/>
        <v>0</v>
      </c>
      <c r="BY105" s="33">
        <f t="shared" si="152"/>
        <v>0</v>
      </c>
    </row>
    <row r="106" spans="3:77" outlineLevel="1">
      <c r="C106" s="32"/>
      <c r="D106" s="31"/>
      <c r="E106" t="s">
        <v>509</v>
      </c>
      <c r="F106" s="23" t="s">
        <v>500</v>
      </c>
      <c r="H106" s="33">
        <f t="shared" ref="H106:BS106" si="153">+IF(AND(H$94=$C108,H$94&lt;0),1,0)</f>
        <v>0</v>
      </c>
      <c r="I106" s="33">
        <f t="shared" si="153"/>
        <v>0</v>
      </c>
      <c r="J106" s="33">
        <f t="shared" si="153"/>
        <v>0</v>
      </c>
      <c r="K106" s="33">
        <f t="shared" si="153"/>
        <v>0</v>
      </c>
      <c r="L106" s="33">
        <f t="shared" si="153"/>
        <v>0</v>
      </c>
      <c r="M106" s="33">
        <f t="shared" si="153"/>
        <v>0</v>
      </c>
      <c r="N106" s="33">
        <f t="shared" si="153"/>
        <v>0</v>
      </c>
      <c r="O106" s="33">
        <f t="shared" si="153"/>
        <v>0</v>
      </c>
      <c r="P106" s="33">
        <f t="shared" si="153"/>
        <v>0</v>
      </c>
      <c r="Q106" s="33">
        <f t="shared" si="153"/>
        <v>0</v>
      </c>
      <c r="R106" s="33">
        <f t="shared" si="153"/>
        <v>0</v>
      </c>
      <c r="S106" s="33">
        <f t="shared" si="153"/>
        <v>0</v>
      </c>
      <c r="T106" s="33">
        <f t="shared" si="153"/>
        <v>0</v>
      </c>
      <c r="U106" s="33">
        <f t="shared" si="153"/>
        <v>0</v>
      </c>
      <c r="V106" s="33">
        <f t="shared" si="153"/>
        <v>0</v>
      </c>
      <c r="W106" s="33">
        <f t="shared" si="153"/>
        <v>0</v>
      </c>
      <c r="X106" s="33">
        <f t="shared" si="153"/>
        <v>0</v>
      </c>
      <c r="Y106" s="33">
        <f t="shared" si="153"/>
        <v>0</v>
      </c>
      <c r="Z106" s="33">
        <f t="shared" si="153"/>
        <v>0</v>
      </c>
      <c r="AA106" s="33">
        <f t="shared" si="153"/>
        <v>0</v>
      </c>
      <c r="AB106" s="33">
        <f t="shared" si="153"/>
        <v>0</v>
      </c>
      <c r="AC106" s="33">
        <f t="shared" si="153"/>
        <v>0</v>
      </c>
      <c r="AD106" s="33">
        <f t="shared" si="153"/>
        <v>0</v>
      </c>
      <c r="AE106" s="33">
        <f t="shared" si="153"/>
        <v>0</v>
      </c>
      <c r="AF106" s="33">
        <f t="shared" si="153"/>
        <v>0</v>
      </c>
      <c r="AG106" s="33">
        <f t="shared" si="153"/>
        <v>0</v>
      </c>
      <c r="AH106" s="33">
        <f t="shared" si="153"/>
        <v>0</v>
      </c>
      <c r="AI106" s="33">
        <f t="shared" si="153"/>
        <v>0</v>
      </c>
      <c r="AJ106" s="33">
        <f t="shared" si="153"/>
        <v>0</v>
      </c>
      <c r="AK106" s="33">
        <f t="shared" si="153"/>
        <v>0</v>
      </c>
      <c r="AL106" s="33">
        <f t="shared" si="153"/>
        <v>0</v>
      </c>
      <c r="AM106" s="33">
        <f t="shared" si="153"/>
        <v>0</v>
      </c>
      <c r="AN106" s="33">
        <f t="shared" si="153"/>
        <v>0</v>
      </c>
      <c r="AO106" s="33">
        <f t="shared" si="153"/>
        <v>0</v>
      </c>
      <c r="AP106" s="33">
        <f t="shared" si="153"/>
        <v>0</v>
      </c>
      <c r="AQ106" s="33">
        <f t="shared" si="153"/>
        <v>0</v>
      </c>
      <c r="AR106" s="33">
        <f t="shared" si="153"/>
        <v>0</v>
      </c>
      <c r="AS106" s="33">
        <f t="shared" si="153"/>
        <v>0</v>
      </c>
      <c r="AT106" s="33">
        <f t="shared" si="153"/>
        <v>0</v>
      </c>
      <c r="AU106" s="33">
        <f t="shared" si="153"/>
        <v>0</v>
      </c>
      <c r="AV106" s="33">
        <f t="shared" si="153"/>
        <v>0</v>
      </c>
      <c r="AW106" s="33">
        <f t="shared" si="153"/>
        <v>0</v>
      </c>
      <c r="AX106" s="33">
        <f t="shared" si="153"/>
        <v>0</v>
      </c>
      <c r="AY106" s="33">
        <f t="shared" si="153"/>
        <v>0</v>
      </c>
      <c r="AZ106" s="33">
        <f t="shared" si="153"/>
        <v>0</v>
      </c>
      <c r="BA106" s="33">
        <f t="shared" si="153"/>
        <v>0</v>
      </c>
      <c r="BB106" s="33">
        <f t="shared" si="153"/>
        <v>0</v>
      </c>
      <c r="BC106" s="33">
        <f t="shared" si="153"/>
        <v>0</v>
      </c>
      <c r="BD106" s="33">
        <f t="shared" si="153"/>
        <v>0</v>
      </c>
      <c r="BE106" s="33">
        <f t="shared" si="153"/>
        <v>0</v>
      </c>
      <c r="BF106" s="33">
        <f t="shared" si="153"/>
        <v>0</v>
      </c>
      <c r="BG106" s="33">
        <f t="shared" si="153"/>
        <v>0</v>
      </c>
      <c r="BH106" s="33">
        <f t="shared" si="153"/>
        <v>0</v>
      </c>
      <c r="BI106" s="33">
        <f t="shared" si="153"/>
        <v>0</v>
      </c>
      <c r="BJ106" s="33">
        <f t="shared" si="153"/>
        <v>0</v>
      </c>
      <c r="BK106" s="33">
        <f t="shared" si="153"/>
        <v>0</v>
      </c>
      <c r="BL106" s="33">
        <f t="shared" si="153"/>
        <v>0</v>
      </c>
      <c r="BM106" s="33">
        <f t="shared" si="153"/>
        <v>0</v>
      </c>
      <c r="BN106" s="33">
        <f t="shared" si="153"/>
        <v>0</v>
      </c>
      <c r="BO106" s="33">
        <f t="shared" si="153"/>
        <v>0</v>
      </c>
      <c r="BP106" s="33">
        <f t="shared" si="153"/>
        <v>0</v>
      </c>
      <c r="BQ106" s="33">
        <f t="shared" si="153"/>
        <v>0</v>
      </c>
      <c r="BR106" s="33">
        <f t="shared" si="153"/>
        <v>0</v>
      </c>
      <c r="BS106" s="33">
        <f t="shared" si="153"/>
        <v>0</v>
      </c>
      <c r="BT106" s="33">
        <f t="shared" ref="BT106:BY106" si="154">+IF(AND(BT$94=$C108,BT$94&lt;0),1,0)</f>
        <v>0</v>
      </c>
      <c r="BU106" s="33">
        <f t="shared" si="154"/>
        <v>0</v>
      </c>
      <c r="BV106" s="33">
        <f t="shared" si="154"/>
        <v>0</v>
      </c>
      <c r="BW106" s="33">
        <f t="shared" si="154"/>
        <v>0</v>
      </c>
      <c r="BX106" s="33">
        <f t="shared" si="154"/>
        <v>0</v>
      </c>
      <c r="BY106" s="33">
        <f t="shared" si="154"/>
        <v>0</v>
      </c>
    </row>
    <row r="107" spans="3:77" outlineLevel="1">
      <c r="C107" s="32"/>
      <c r="D107" s="31"/>
      <c r="E107" s="25" t="s">
        <v>510</v>
      </c>
      <c r="F107" s="30" t="s">
        <v>500</v>
      </c>
      <c r="G107" s="25"/>
      <c r="H107" s="34">
        <f t="shared" ref="H107:BS107" si="155">+IF(AND(H$94=$C109,H$94&lt;0),1,0)</f>
        <v>0</v>
      </c>
      <c r="I107" s="34">
        <f t="shared" si="155"/>
        <v>0</v>
      </c>
      <c r="J107" s="34">
        <f t="shared" si="155"/>
        <v>0</v>
      </c>
      <c r="K107" s="34">
        <f t="shared" si="155"/>
        <v>0</v>
      </c>
      <c r="L107" s="34">
        <f t="shared" si="155"/>
        <v>0</v>
      </c>
      <c r="M107" s="34">
        <f t="shared" si="155"/>
        <v>0</v>
      </c>
      <c r="N107" s="34">
        <f t="shared" si="155"/>
        <v>0</v>
      </c>
      <c r="O107" s="34">
        <f t="shared" si="155"/>
        <v>0</v>
      </c>
      <c r="P107" s="34">
        <f t="shared" si="155"/>
        <v>0</v>
      </c>
      <c r="Q107" s="34">
        <f t="shared" si="155"/>
        <v>0</v>
      </c>
      <c r="R107" s="34">
        <f t="shared" si="155"/>
        <v>0</v>
      </c>
      <c r="S107" s="34">
        <f t="shared" si="155"/>
        <v>0</v>
      </c>
      <c r="T107" s="34">
        <f t="shared" si="155"/>
        <v>0</v>
      </c>
      <c r="U107" s="34">
        <f t="shared" si="155"/>
        <v>0</v>
      </c>
      <c r="V107" s="34">
        <f t="shared" si="155"/>
        <v>0</v>
      </c>
      <c r="W107" s="34">
        <f t="shared" si="155"/>
        <v>0</v>
      </c>
      <c r="X107" s="34">
        <f t="shared" si="155"/>
        <v>0</v>
      </c>
      <c r="Y107" s="34">
        <f t="shared" si="155"/>
        <v>0</v>
      </c>
      <c r="Z107" s="34">
        <f t="shared" si="155"/>
        <v>0</v>
      </c>
      <c r="AA107" s="34">
        <f t="shared" si="155"/>
        <v>0</v>
      </c>
      <c r="AB107" s="34">
        <f t="shared" si="155"/>
        <v>0</v>
      </c>
      <c r="AC107" s="34">
        <f t="shared" si="155"/>
        <v>0</v>
      </c>
      <c r="AD107" s="34">
        <f t="shared" si="155"/>
        <v>0</v>
      </c>
      <c r="AE107" s="34">
        <f t="shared" si="155"/>
        <v>0</v>
      </c>
      <c r="AF107" s="34">
        <f t="shared" si="155"/>
        <v>0</v>
      </c>
      <c r="AG107" s="34">
        <f t="shared" si="155"/>
        <v>0</v>
      </c>
      <c r="AH107" s="34">
        <f t="shared" si="155"/>
        <v>0</v>
      </c>
      <c r="AI107" s="34">
        <f t="shared" si="155"/>
        <v>0</v>
      </c>
      <c r="AJ107" s="34">
        <f t="shared" si="155"/>
        <v>0</v>
      </c>
      <c r="AK107" s="34">
        <f t="shared" si="155"/>
        <v>0</v>
      </c>
      <c r="AL107" s="34">
        <f t="shared" si="155"/>
        <v>0</v>
      </c>
      <c r="AM107" s="34">
        <f t="shared" si="155"/>
        <v>0</v>
      </c>
      <c r="AN107" s="34">
        <f t="shared" si="155"/>
        <v>0</v>
      </c>
      <c r="AO107" s="34">
        <f t="shared" si="155"/>
        <v>0</v>
      </c>
      <c r="AP107" s="34">
        <f t="shared" si="155"/>
        <v>0</v>
      </c>
      <c r="AQ107" s="34">
        <f t="shared" si="155"/>
        <v>0</v>
      </c>
      <c r="AR107" s="34">
        <f t="shared" si="155"/>
        <v>0</v>
      </c>
      <c r="AS107" s="34">
        <f t="shared" si="155"/>
        <v>0</v>
      </c>
      <c r="AT107" s="34">
        <f t="shared" si="155"/>
        <v>0</v>
      </c>
      <c r="AU107" s="34">
        <f t="shared" si="155"/>
        <v>0</v>
      </c>
      <c r="AV107" s="34">
        <f t="shared" si="155"/>
        <v>0</v>
      </c>
      <c r="AW107" s="34">
        <f t="shared" si="155"/>
        <v>0</v>
      </c>
      <c r="AX107" s="34">
        <f t="shared" si="155"/>
        <v>0</v>
      </c>
      <c r="AY107" s="34">
        <f t="shared" si="155"/>
        <v>0</v>
      </c>
      <c r="AZ107" s="34">
        <f t="shared" si="155"/>
        <v>0</v>
      </c>
      <c r="BA107" s="34">
        <f t="shared" si="155"/>
        <v>0</v>
      </c>
      <c r="BB107" s="34">
        <f t="shared" si="155"/>
        <v>0</v>
      </c>
      <c r="BC107" s="34">
        <f t="shared" si="155"/>
        <v>0</v>
      </c>
      <c r="BD107" s="34">
        <f t="shared" si="155"/>
        <v>0</v>
      </c>
      <c r="BE107" s="34">
        <f t="shared" si="155"/>
        <v>0</v>
      </c>
      <c r="BF107" s="34">
        <f t="shared" si="155"/>
        <v>0</v>
      </c>
      <c r="BG107" s="34">
        <f t="shared" si="155"/>
        <v>0</v>
      </c>
      <c r="BH107" s="34">
        <f t="shared" si="155"/>
        <v>0</v>
      </c>
      <c r="BI107" s="34">
        <f t="shared" si="155"/>
        <v>0</v>
      </c>
      <c r="BJ107" s="34">
        <f t="shared" si="155"/>
        <v>0</v>
      </c>
      <c r="BK107" s="34">
        <f t="shared" si="155"/>
        <v>0</v>
      </c>
      <c r="BL107" s="34">
        <f t="shared" si="155"/>
        <v>0</v>
      </c>
      <c r="BM107" s="34">
        <f t="shared" si="155"/>
        <v>0</v>
      </c>
      <c r="BN107" s="34">
        <f t="shared" si="155"/>
        <v>0</v>
      </c>
      <c r="BO107" s="34">
        <f t="shared" si="155"/>
        <v>0</v>
      </c>
      <c r="BP107" s="34">
        <f t="shared" si="155"/>
        <v>0</v>
      </c>
      <c r="BQ107" s="34">
        <f t="shared" si="155"/>
        <v>0</v>
      </c>
      <c r="BR107" s="34">
        <f t="shared" si="155"/>
        <v>0</v>
      </c>
      <c r="BS107" s="34">
        <f t="shared" si="155"/>
        <v>0</v>
      </c>
      <c r="BT107" s="34">
        <f t="shared" ref="BT107:BY107" si="156">+IF(AND(BT$94=$C109,BT$94&lt;0),1,0)</f>
        <v>0</v>
      </c>
      <c r="BU107" s="34">
        <f t="shared" si="156"/>
        <v>0</v>
      </c>
      <c r="BV107" s="34">
        <f t="shared" si="156"/>
        <v>0</v>
      </c>
      <c r="BW107" s="34">
        <f t="shared" si="156"/>
        <v>0</v>
      </c>
      <c r="BX107" s="34">
        <f t="shared" si="156"/>
        <v>0</v>
      </c>
      <c r="BY107" s="34">
        <f t="shared" si="156"/>
        <v>0</v>
      </c>
    </row>
    <row r="108" spans="3:77" outlineLevel="1">
      <c r="C108" s="32"/>
      <c r="D108" s="31"/>
      <c r="E108" t="s">
        <v>511</v>
      </c>
      <c r="F108" s="80" t="str">
        <f>+Assumptions!$G$8</f>
        <v>USD</v>
      </c>
      <c r="H108" s="32">
        <f t="shared" ref="H108:I108" si="157">+G122</f>
        <v>0</v>
      </c>
      <c r="I108" s="32">
        <f t="shared" si="157"/>
        <v>0</v>
      </c>
      <c r="J108" s="32">
        <f>+I122</f>
        <v>0</v>
      </c>
      <c r="K108" s="32">
        <f t="shared" ref="K108:BV108" si="158">+J122</f>
        <v>0</v>
      </c>
      <c r="L108" s="32">
        <f t="shared" si="158"/>
        <v>0</v>
      </c>
      <c r="M108" s="32">
        <f t="shared" si="158"/>
        <v>0</v>
      </c>
      <c r="N108" s="32">
        <f t="shared" si="158"/>
        <v>0</v>
      </c>
      <c r="O108" s="32">
        <f t="shared" si="158"/>
        <v>0</v>
      </c>
      <c r="P108" s="32">
        <f t="shared" si="158"/>
        <v>0</v>
      </c>
      <c r="Q108" s="32">
        <f t="shared" si="158"/>
        <v>0</v>
      </c>
      <c r="R108" s="32">
        <f t="shared" si="158"/>
        <v>0</v>
      </c>
      <c r="S108" s="32">
        <f t="shared" si="158"/>
        <v>0</v>
      </c>
      <c r="T108" s="32">
        <f t="shared" si="158"/>
        <v>0</v>
      </c>
      <c r="U108" s="32">
        <f t="shared" si="158"/>
        <v>0</v>
      </c>
      <c r="V108" s="32">
        <f t="shared" si="158"/>
        <v>0</v>
      </c>
      <c r="W108" s="32">
        <f t="shared" si="158"/>
        <v>0</v>
      </c>
      <c r="X108" s="32">
        <f t="shared" si="158"/>
        <v>0</v>
      </c>
      <c r="Y108" s="32">
        <f t="shared" si="158"/>
        <v>0</v>
      </c>
      <c r="Z108" s="32">
        <f t="shared" si="158"/>
        <v>0</v>
      </c>
      <c r="AA108" s="32">
        <f t="shared" si="158"/>
        <v>0</v>
      </c>
      <c r="AB108" s="32">
        <f t="shared" si="158"/>
        <v>0</v>
      </c>
      <c r="AC108" s="32">
        <f t="shared" si="158"/>
        <v>0</v>
      </c>
      <c r="AD108" s="32">
        <f t="shared" si="158"/>
        <v>0</v>
      </c>
      <c r="AE108" s="32">
        <f t="shared" si="158"/>
        <v>0</v>
      </c>
      <c r="AF108" s="32">
        <f t="shared" si="158"/>
        <v>0</v>
      </c>
      <c r="AG108" s="32">
        <f t="shared" si="158"/>
        <v>0</v>
      </c>
      <c r="AH108" s="32">
        <f t="shared" si="158"/>
        <v>0</v>
      </c>
      <c r="AI108" s="32">
        <f t="shared" si="158"/>
        <v>0</v>
      </c>
      <c r="AJ108" s="32">
        <f t="shared" si="158"/>
        <v>0</v>
      </c>
      <c r="AK108" s="32">
        <f t="shared" si="158"/>
        <v>0</v>
      </c>
      <c r="AL108" s="32">
        <f t="shared" si="158"/>
        <v>0</v>
      </c>
      <c r="AM108" s="32">
        <f t="shared" si="158"/>
        <v>0</v>
      </c>
      <c r="AN108" s="32">
        <f t="shared" si="158"/>
        <v>0</v>
      </c>
      <c r="AO108" s="32">
        <f t="shared" si="158"/>
        <v>0</v>
      </c>
      <c r="AP108" s="32">
        <f t="shared" si="158"/>
        <v>0</v>
      </c>
      <c r="AQ108" s="32">
        <f t="shared" si="158"/>
        <v>0</v>
      </c>
      <c r="AR108" s="32">
        <f t="shared" si="158"/>
        <v>0</v>
      </c>
      <c r="AS108" s="32">
        <f t="shared" si="158"/>
        <v>0</v>
      </c>
      <c r="AT108" s="32">
        <f t="shared" si="158"/>
        <v>0</v>
      </c>
      <c r="AU108" s="32">
        <f t="shared" si="158"/>
        <v>0</v>
      </c>
      <c r="AV108" s="32">
        <f t="shared" si="158"/>
        <v>0</v>
      </c>
      <c r="AW108" s="32">
        <f t="shared" si="158"/>
        <v>0</v>
      </c>
      <c r="AX108" s="32">
        <f t="shared" si="158"/>
        <v>0</v>
      </c>
      <c r="AY108" s="32">
        <f t="shared" si="158"/>
        <v>0</v>
      </c>
      <c r="AZ108" s="32">
        <f t="shared" si="158"/>
        <v>0</v>
      </c>
      <c r="BA108" s="32">
        <f t="shared" si="158"/>
        <v>0</v>
      </c>
      <c r="BB108" s="32">
        <f t="shared" si="158"/>
        <v>0</v>
      </c>
      <c r="BC108" s="32">
        <f t="shared" si="158"/>
        <v>0</v>
      </c>
      <c r="BD108" s="32">
        <f t="shared" si="158"/>
        <v>0</v>
      </c>
      <c r="BE108" s="32">
        <f t="shared" si="158"/>
        <v>0</v>
      </c>
      <c r="BF108" s="32">
        <f t="shared" si="158"/>
        <v>0</v>
      </c>
      <c r="BG108" s="32">
        <f t="shared" si="158"/>
        <v>0</v>
      </c>
      <c r="BH108" s="32">
        <f t="shared" si="158"/>
        <v>0</v>
      </c>
      <c r="BI108" s="32">
        <f t="shared" si="158"/>
        <v>0</v>
      </c>
      <c r="BJ108" s="32">
        <f t="shared" si="158"/>
        <v>0</v>
      </c>
      <c r="BK108" s="32">
        <f t="shared" si="158"/>
        <v>0</v>
      </c>
      <c r="BL108" s="32">
        <f t="shared" si="158"/>
        <v>0</v>
      </c>
      <c r="BM108" s="32">
        <f t="shared" si="158"/>
        <v>0</v>
      </c>
      <c r="BN108" s="32">
        <f t="shared" si="158"/>
        <v>0</v>
      </c>
      <c r="BO108" s="32">
        <f t="shared" si="158"/>
        <v>0</v>
      </c>
      <c r="BP108" s="32">
        <f t="shared" si="158"/>
        <v>0</v>
      </c>
      <c r="BQ108" s="32">
        <f t="shared" si="158"/>
        <v>0</v>
      </c>
      <c r="BR108" s="32">
        <f t="shared" si="158"/>
        <v>0</v>
      </c>
      <c r="BS108" s="32">
        <f t="shared" si="158"/>
        <v>0</v>
      </c>
      <c r="BT108" s="32">
        <f t="shared" si="158"/>
        <v>0</v>
      </c>
      <c r="BU108" s="32">
        <f t="shared" si="158"/>
        <v>0</v>
      </c>
      <c r="BV108" s="32">
        <f t="shared" si="158"/>
        <v>0</v>
      </c>
      <c r="BW108" s="32">
        <f t="shared" ref="BW108:BY108" si="159">+BV122</f>
        <v>0</v>
      </c>
      <c r="BX108" s="32">
        <f t="shared" si="159"/>
        <v>0</v>
      </c>
      <c r="BY108" s="32">
        <f t="shared" si="159"/>
        <v>0</v>
      </c>
    </row>
    <row r="109" spans="3:77" outlineLevel="1">
      <c r="C109" s="32"/>
      <c r="D109" s="31"/>
      <c r="E109" t="s">
        <v>512</v>
      </c>
      <c r="F109" s="80" t="str">
        <f>+Assumptions!$G$8</f>
        <v>USD</v>
      </c>
      <c r="H109" s="33">
        <f ca="1">+H108*Assumptions!$G$85</f>
        <v>0</v>
      </c>
      <c r="I109" s="32">
        <f ca="1">+I108*Assumptions!$G$85</f>
        <v>0</v>
      </c>
      <c r="J109" s="32">
        <f ca="1">+J108*Assumptions!$G$85</f>
        <v>0</v>
      </c>
      <c r="K109" s="32">
        <f ca="1">+K108*Assumptions!$G$85</f>
        <v>0</v>
      </c>
      <c r="L109" s="32">
        <f ca="1">+L108*Assumptions!$G$85</f>
        <v>0</v>
      </c>
      <c r="M109" s="32">
        <f ca="1">+M108*Assumptions!$G$85</f>
        <v>0</v>
      </c>
      <c r="N109" s="32">
        <f ca="1">+N108*Assumptions!$G$85</f>
        <v>0</v>
      </c>
      <c r="O109" s="32">
        <f ca="1">+O108*Assumptions!$G$85</f>
        <v>0</v>
      </c>
      <c r="P109" s="32">
        <f ca="1">+P108*Assumptions!$G$85</f>
        <v>0</v>
      </c>
      <c r="Q109" s="32">
        <f ca="1">+Q108*Assumptions!$G$85</f>
        <v>0</v>
      </c>
      <c r="R109" s="32">
        <f ca="1">+R108*Assumptions!$G$85</f>
        <v>0</v>
      </c>
      <c r="S109" s="32">
        <f ca="1">+S108*Assumptions!$G$85</f>
        <v>0</v>
      </c>
      <c r="T109" s="32">
        <f ca="1">+T108*Assumptions!$G$85</f>
        <v>0</v>
      </c>
      <c r="U109" s="32">
        <f ca="1">+U108*Assumptions!$G$85</f>
        <v>0</v>
      </c>
      <c r="V109" s="32">
        <f ca="1">+V108*Assumptions!$G$85</f>
        <v>0</v>
      </c>
      <c r="W109" s="32">
        <f ca="1">+W108*Assumptions!$G$85</f>
        <v>0</v>
      </c>
      <c r="X109" s="32">
        <f ca="1">+X108*Assumptions!$G$85</f>
        <v>0</v>
      </c>
      <c r="Y109" s="32">
        <f ca="1">+Y108*Assumptions!$G$85</f>
        <v>0</v>
      </c>
      <c r="Z109" s="32">
        <f ca="1">+Z108*Assumptions!$G$85</f>
        <v>0</v>
      </c>
      <c r="AA109" s="32">
        <f ca="1">+AA108*Assumptions!$G$85</f>
        <v>0</v>
      </c>
      <c r="AB109" s="32">
        <f ca="1">+AB108*Assumptions!$G$85</f>
        <v>0</v>
      </c>
      <c r="AC109" s="32">
        <f ca="1">+AC108*Assumptions!$G$85</f>
        <v>0</v>
      </c>
      <c r="AD109" s="32">
        <f ca="1">+AD108*Assumptions!$G$85</f>
        <v>0</v>
      </c>
      <c r="AE109" s="32">
        <f ca="1">+AE108*Assumptions!$G$85</f>
        <v>0</v>
      </c>
      <c r="AF109" s="32">
        <f ca="1">+AF108*Assumptions!$G$85</f>
        <v>0</v>
      </c>
      <c r="AG109" s="32">
        <f ca="1">+AG108*Assumptions!$G$85</f>
        <v>0</v>
      </c>
      <c r="AH109" s="32">
        <f ca="1">+AH108*Assumptions!$G$85</f>
        <v>0</v>
      </c>
      <c r="AI109" s="33">
        <f ca="1">+AI108*Assumptions!$G$85</f>
        <v>0</v>
      </c>
      <c r="AJ109" s="32">
        <f ca="1">+AJ108*Assumptions!$G$85</f>
        <v>0</v>
      </c>
      <c r="AK109" s="32">
        <f ca="1">+AK108*Assumptions!$G$85</f>
        <v>0</v>
      </c>
      <c r="AL109" s="32">
        <f ca="1">+AL108*Assumptions!$G$85</f>
        <v>0</v>
      </c>
      <c r="AM109" s="32">
        <f ca="1">+AM108*Assumptions!$G$85</f>
        <v>0</v>
      </c>
      <c r="AN109" s="32">
        <f ca="1">+AN108*Assumptions!$G$85</f>
        <v>0</v>
      </c>
      <c r="AO109" s="32">
        <f ca="1">+AO108*Assumptions!$G$85</f>
        <v>0</v>
      </c>
      <c r="AP109" s="32">
        <f ca="1">+AP108*Assumptions!$G$85</f>
        <v>0</v>
      </c>
      <c r="AQ109" s="32">
        <f ca="1">+AQ108*Assumptions!$G$85</f>
        <v>0</v>
      </c>
      <c r="AR109" s="32">
        <f ca="1">+AR108*Assumptions!$G$85</f>
        <v>0</v>
      </c>
      <c r="AS109" s="32">
        <f ca="1">+AS108*Assumptions!$G$85</f>
        <v>0</v>
      </c>
      <c r="AT109" s="32">
        <f ca="1">+AT108*Assumptions!$G$85</f>
        <v>0</v>
      </c>
      <c r="AU109" s="32">
        <f ca="1">+AU108*Assumptions!$G$85</f>
        <v>0</v>
      </c>
      <c r="AV109" s="32">
        <f ca="1">+AV108*Assumptions!$G$85</f>
        <v>0</v>
      </c>
      <c r="AW109" s="32">
        <f ca="1">+AW108*Assumptions!$G$85</f>
        <v>0</v>
      </c>
      <c r="AX109" s="32">
        <f ca="1">+AX108*Assumptions!$G$85</f>
        <v>0</v>
      </c>
      <c r="AY109" s="32">
        <f ca="1">+AY108*Assumptions!$G$85</f>
        <v>0</v>
      </c>
      <c r="AZ109" s="32">
        <f ca="1">+AZ108*Assumptions!$G$85</f>
        <v>0</v>
      </c>
      <c r="BA109" s="32">
        <f ca="1">+BA108*Assumptions!$G$85</f>
        <v>0</v>
      </c>
      <c r="BB109" s="32">
        <f ca="1">+BB108*Assumptions!$G$85</f>
        <v>0</v>
      </c>
      <c r="BC109" s="32">
        <f ca="1">+BC108*Assumptions!$G$85</f>
        <v>0</v>
      </c>
      <c r="BD109" s="32">
        <f ca="1">+BD108*Assumptions!$G$85</f>
        <v>0</v>
      </c>
      <c r="BE109" s="32">
        <f ca="1">+BE108*Assumptions!$G$85</f>
        <v>0</v>
      </c>
      <c r="BF109" s="32">
        <f ca="1">+BF108*Assumptions!$G$85</f>
        <v>0</v>
      </c>
      <c r="BG109" s="32">
        <f ca="1">+BG108*Assumptions!$G$85</f>
        <v>0</v>
      </c>
      <c r="BH109" s="32">
        <f ca="1">+BH108*Assumptions!$G$85</f>
        <v>0</v>
      </c>
      <c r="BI109" s="32">
        <f ca="1">+BI108*Assumptions!$G$85</f>
        <v>0</v>
      </c>
      <c r="BJ109" s="32">
        <f ca="1">+BJ108*Assumptions!$G$85</f>
        <v>0</v>
      </c>
      <c r="BK109" s="32">
        <f ca="1">+BK108*Assumptions!$G$85</f>
        <v>0</v>
      </c>
      <c r="BL109" s="32">
        <f ca="1">+BL108*Assumptions!$G$85</f>
        <v>0</v>
      </c>
      <c r="BM109" s="32">
        <f ca="1">+BM108*Assumptions!$G$85</f>
        <v>0</v>
      </c>
      <c r="BN109" s="32">
        <f ca="1">+BN108*Assumptions!$G$85</f>
        <v>0</v>
      </c>
      <c r="BO109" s="32">
        <f ca="1">+BO108*Assumptions!$G$85</f>
        <v>0</v>
      </c>
      <c r="BP109" s="32">
        <f ca="1">+BP108*Assumptions!$G$85</f>
        <v>0</v>
      </c>
      <c r="BQ109" s="32">
        <f ca="1">+BQ108*Assumptions!$G$85</f>
        <v>0</v>
      </c>
      <c r="BR109" s="32">
        <f ca="1">+BR108*Assumptions!$G$85</f>
        <v>0</v>
      </c>
      <c r="BS109" s="32">
        <f ca="1">+BS108*Assumptions!$G$85</f>
        <v>0</v>
      </c>
      <c r="BT109" s="32">
        <f ca="1">+BT108*Assumptions!$G$85</f>
        <v>0</v>
      </c>
      <c r="BU109" s="32">
        <f ca="1">+BU108*Assumptions!$G$85</f>
        <v>0</v>
      </c>
      <c r="BV109" s="32">
        <f ca="1">+BV108*Assumptions!$G$85</f>
        <v>0</v>
      </c>
      <c r="BW109" s="32">
        <f ca="1">+BW108*Assumptions!$G$85</f>
        <v>0</v>
      </c>
      <c r="BX109" s="32">
        <f ca="1">+BX108*Assumptions!$G$85</f>
        <v>0</v>
      </c>
      <c r="BY109" s="32">
        <f ca="1">+BY108*Assumptions!$G$85</f>
        <v>0</v>
      </c>
    </row>
    <row r="110" spans="3:77" outlineLevel="1">
      <c r="C110" s="31"/>
      <c r="E110" s="25" t="s">
        <v>513</v>
      </c>
      <c r="F110" s="81" t="str">
        <f>+Assumptions!$G$8</f>
        <v>USD</v>
      </c>
      <c r="G110" s="25"/>
      <c r="H110" s="34">
        <f>IF(SUM(H111:H120)=0,0,+SUM(H111:H120)-H109)</f>
        <v>0</v>
      </c>
      <c r="I110" s="34">
        <f t="shared" ref="I110:BT110" si="160">IF(SUM(I111:I120)=0,0,+SUM(I111:I120)-I109)</f>
        <v>0</v>
      </c>
      <c r="J110" s="34">
        <f t="shared" si="160"/>
        <v>0</v>
      </c>
      <c r="K110" s="34">
        <f t="shared" si="160"/>
        <v>0</v>
      </c>
      <c r="L110" s="34">
        <f t="shared" si="160"/>
        <v>0</v>
      </c>
      <c r="M110" s="34">
        <f t="shared" si="160"/>
        <v>0</v>
      </c>
      <c r="N110" s="34">
        <f t="shared" si="160"/>
        <v>0</v>
      </c>
      <c r="O110" s="34">
        <f t="shared" si="160"/>
        <v>0</v>
      </c>
      <c r="P110" s="34">
        <f t="shared" si="160"/>
        <v>0</v>
      </c>
      <c r="Q110" s="34">
        <f t="shared" si="160"/>
        <v>0</v>
      </c>
      <c r="R110" s="34">
        <f t="shared" si="160"/>
        <v>0</v>
      </c>
      <c r="S110" s="34">
        <f t="shared" si="160"/>
        <v>0</v>
      </c>
      <c r="T110" s="34">
        <f t="shared" si="160"/>
        <v>0</v>
      </c>
      <c r="U110" s="34">
        <f t="shared" si="160"/>
        <v>0</v>
      </c>
      <c r="V110" s="34">
        <f t="shared" si="160"/>
        <v>0</v>
      </c>
      <c r="W110" s="34">
        <f t="shared" si="160"/>
        <v>0</v>
      </c>
      <c r="X110" s="34">
        <f t="shared" si="160"/>
        <v>0</v>
      </c>
      <c r="Y110" s="34">
        <f t="shared" si="160"/>
        <v>0</v>
      </c>
      <c r="Z110" s="34">
        <f t="shared" si="160"/>
        <v>0</v>
      </c>
      <c r="AA110" s="34">
        <f t="shared" si="160"/>
        <v>0</v>
      </c>
      <c r="AB110" s="34">
        <f t="shared" si="160"/>
        <v>0</v>
      </c>
      <c r="AC110" s="34">
        <f t="shared" si="160"/>
        <v>0</v>
      </c>
      <c r="AD110" s="34">
        <f t="shared" si="160"/>
        <v>0</v>
      </c>
      <c r="AE110" s="34">
        <f t="shared" si="160"/>
        <v>0</v>
      </c>
      <c r="AF110" s="34">
        <f t="shared" si="160"/>
        <v>0</v>
      </c>
      <c r="AG110" s="34">
        <f t="shared" si="160"/>
        <v>0</v>
      </c>
      <c r="AH110" s="34">
        <f t="shared" si="160"/>
        <v>0</v>
      </c>
      <c r="AI110" s="34">
        <f t="shared" si="160"/>
        <v>0</v>
      </c>
      <c r="AJ110" s="34">
        <f t="shared" si="160"/>
        <v>0</v>
      </c>
      <c r="AK110" s="34">
        <f t="shared" si="160"/>
        <v>0</v>
      </c>
      <c r="AL110" s="34">
        <f t="shared" si="160"/>
        <v>0</v>
      </c>
      <c r="AM110" s="34">
        <f t="shared" si="160"/>
        <v>0</v>
      </c>
      <c r="AN110" s="34">
        <f t="shared" si="160"/>
        <v>0</v>
      </c>
      <c r="AO110" s="34">
        <f t="shared" si="160"/>
        <v>0</v>
      </c>
      <c r="AP110" s="34">
        <f t="shared" si="160"/>
        <v>0</v>
      </c>
      <c r="AQ110" s="34">
        <f t="shared" si="160"/>
        <v>0</v>
      </c>
      <c r="AR110" s="34">
        <f t="shared" si="160"/>
        <v>0</v>
      </c>
      <c r="AS110" s="34">
        <f t="shared" si="160"/>
        <v>0</v>
      </c>
      <c r="AT110" s="34">
        <f t="shared" si="160"/>
        <v>0</v>
      </c>
      <c r="AU110" s="34">
        <f t="shared" si="160"/>
        <v>0</v>
      </c>
      <c r="AV110" s="34">
        <f t="shared" si="160"/>
        <v>0</v>
      </c>
      <c r="AW110" s="34">
        <f t="shared" si="160"/>
        <v>0</v>
      </c>
      <c r="AX110" s="34">
        <f t="shared" si="160"/>
        <v>0</v>
      </c>
      <c r="AY110" s="34">
        <f t="shared" si="160"/>
        <v>0</v>
      </c>
      <c r="AZ110" s="34">
        <f t="shared" si="160"/>
        <v>0</v>
      </c>
      <c r="BA110" s="34">
        <f t="shared" si="160"/>
        <v>0</v>
      </c>
      <c r="BB110" s="34">
        <f t="shared" si="160"/>
        <v>0</v>
      </c>
      <c r="BC110" s="34">
        <f t="shared" si="160"/>
        <v>0</v>
      </c>
      <c r="BD110" s="34">
        <f t="shared" si="160"/>
        <v>0</v>
      </c>
      <c r="BE110" s="34">
        <f t="shared" si="160"/>
        <v>0</v>
      </c>
      <c r="BF110" s="34">
        <f t="shared" si="160"/>
        <v>0</v>
      </c>
      <c r="BG110" s="34">
        <f t="shared" si="160"/>
        <v>0</v>
      </c>
      <c r="BH110" s="34">
        <f t="shared" si="160"/>
        <v>0</v>
      </c>
      <c r="BI110" s="34">
        <f t="shared" si="160"/>
        <v>0</v>
      </c>
      <c r="BJ110" s="34">
        <f t="shared" si="160"/>
        <v>0</v>
      </c>
      <c r="BK110" s="34">
        <f t="shared" si="160"/>
        <v>0</v>
      </c>
      <c r="BL110" s="34">
        <f t="shared" si="160"/>
        <v>0</v>
      </c>
      <c r="BM110" s="34">
        <f t="shared" si="160"/>
        <v>0</v>
      </c>
      <c r="BN110" s="34">
        <f t="shared" si="160"/>
        <v>0</v>
      </c>
      <c r="BO110" s="34">
        <f t="shared" si="160"/>
        <v>0</v>
      </c>
      <c r="BP110" s="34">
        <f t="shared" si="160"/>
        <v>0</v>
      </c>
      <c r="BQ110" s="34">
        <f t="shared" si="160"/>
        <v>0</v>
      </c>
      <c r="BR110" s="34">
        <f t="shared" si="160"/>
        <v>0</v>
      </c>
      <c r="BS110" s="34">
        <f t="shared" si="160"/>
        <v>0</v>
      </c>
      <c r="BT110" s="34">
        <f t="shared" si="160"/>
        <v>0</v>
      </c>
      <c r="BU110" s="34">
        <f t="shared" ref="BU110:BY110" si="161">IF(SUM(BU111:BU120)=0,0,+SUM(BU111:BU120)-BU109)</f>
        <v>0</v>
      </c>
      <c r="BV110" s="34">
        <f t="shared" si="161"/>
        <v>0</v>
      </c>
      <c r="BW110" s="34">
        <f t="shared" si="161"/>
        <v>0</v>
      </c>
      <c r="BX110" s="34">
        <f t="shared" si="161"/>
        <v>0</v>
      </c>
      <c r="BY110" s="34">
        <f t="shared" si="161"/>
        <v>0</v>
      </c>
    </row>
    <row r="111" spans="3:77" outlineLevel="1">
      <c r="C111" s="31"/>
      <c r="E111" s="24" t="s">
        <v>514</v>
      </c>
      <c r="F111" s="80" t="str">
        <f>+Assumptions!$G$8</f>
        <v>USD</v>
      </c>
      <c r="G111" s="24"/>
      <c r="H111" s="39">
        <f>+IFERROR(-ABS(IF(EDATE(_xlfn.XLOOKUP(1,$H98:$BE98,$H$4:$BE$4),12*Assumptions!$G$87+12)=H$4,0,IF(G98=1,PMT(Assumptions!$G$85,Assumptions!$G$87,$C100),G111))),0)</f>
        <v>0</v>
      </c>
      <c r="I111" s="39">
        <f>+IFERROR(-ABS(IF(EDATE(_xlfn.XLOOKUP(1,$H98:$BE98,$H$4:$BE$4),12*Assumptions!$G$87+12)=I$4,0,IF(H98=1,PMT(Assumptions!$G$85,Assumptions!$G$87,$C100),H111))),0)</f>
        <v>0</v>
      </c>
      <c r="J111" s="39">
        <f>+IFERROR(-ABS(IF(EDATE(_xlfn.XLOOKUP(1,$H98:$BE98,$H$4:$BE$4),12*Assumptions!$G$87+12)=J$4,0,IF(I98=1,PMT(Assumptions!$G$85,Assumptions!$G$87,$C100),I111))),0)</f>
        <v>0</v>
      </c>
      <c r="K111" s="39">
        <f>+IFERROR(-ABS(IF(EDATE(_xlfn.XLOOKUP(1,$H98:$BE98,$H$4:$BE$4),12*Assumptions!$G$87+12)=K$4,0,IF(J98=1,PMT(Assumptions!$G$85,Assumptions!$G$87,$C100),J111))),0)</f>
        <v>0</v>
      </c>
      <c r="L111" s="39">
        <f>+IFERROR(-ABS(IF(EDATE(_xlfn.XLOOKUP(1,$H98:$BE98,$H$4:$BE$4),12*Assumptions!$G$87+12)=L$4,0,IF(K98=1,PMT(Assumptions!$G$85,Assumptions!$G$87,$C100),K111))),0)</f>
        <v>0</v>
      </c>
      <c r="M111" s="39">
        <f>+IFERROR(-ABS(IF(EDATE(_xlfn.XLOOKUP(1,$H98:$BE98,$H$4:$BE$4),12*Assumptions!$G$87+12)=M$4,0,IF(L98=1,PMT(Assumptions!$G$85,Assumptions!$G$87,$C100),L111))),0)</f>
        <v>0</v>
      </c>
      <c r="N111" s="39">
        <f>+IFERROR(-ABS(IF(EDATE(_xlfn.XLOOKUP(1,$H98:$BE98,$H$4:$BE$4),12*Assumptions!$G$87+12)=N$4,0,IF(M98=1,PMT(Assumptions!$G$85,Assumptions!$G$87,$C100),M111))),0)</f>
        <v>0</v>
      </c>
      <c r="O111" s="39">
        <f>+IFERROR(-ABS(IF(EDATE(_xlfn.XLOOKUP(1,$H98:$BE98,$H$4:$BE$4),12*Assumptions!$G$87+12)=O$4,0,IF(N98=1,PMT(Assumptions!$G$85,Assumptions!$G$87,$C100),N111))),0)</f>
        <v>0</v>
      </c>
      <c r="P111" s="39">
        <f>+IFERROR(-ABS(IF(EDATE(_xlfn.XLOOKUP(1,$H98:$BE98,$H$4:$BE$4),12*Assumptions!$G$87+12)=P$4,0,IF(O98=1,PMT(Assumptions!$G$85,Assumptions!$G$87,$C100),O111))),0)</f>
        <v>0</v>
      </c>
      <c r="Q111" s="39">
        <f>+IFERROR(-ABS(IF(EDATE(_xlfn.XLOOKUP(1,$H98:$BE98,$H$4:$BE$4),12*Assumptions!$G$87+12)=Q$4,0,IF(P98=1,PMT(Assumptions!$G$85,Assumptions!$G$87,$C100),P111))),0)</f>
        <v>0</v>
      </c>
      <c r="R111" s="39">
        <f>+IFERROR(-ABS(IF(EDATE(_xlfn.XLOOKUP(1,$H98:$BE98,$H$4:$BE$4),12*Assumptions!$G$87+12)=R$4,0,IF(Q98=1,PMT(Assumptions!$G$85,Assumptions!$G$87,$C100),Q111))),0)</f>
        <v>0</v>
      </c>
      <c r="S111" s="39">
        <f>+IFERROR(-ABS(IF(EDATE(_xlfn.XLOOKUP(1,$H98:$BE98,$H$4:$BE$4),12*Assumptions!$G$87+12)=S$4,0,IF(R98=1,PMT(Assumptions!$G$85,Assumptions!$G$87,$C100),R111))),0)</f>
        <v>0</v>
      </c>
      <c r="T111" s="39">
        <f>+IFERROR(-ABS(IF(EDATE(_xlfn.XLOOKUP(1,$H98:$BE98,$H$4:$BE$4),12*Assumptions!$G$87+12)=T$4,0,IF(S98=1,PMT(Assumptions!$G$85,Assumptions!$G$87,$C100),S111))),0)</f>
        <v>0</v>
      </c>
      <c r="U111" s="39">
        <f>+IFERROR(-ABS(IF(EDATE(_xlfn.XLOOKUP(1,$H98:$BE98,$H$4:$BE$4),12*Assumptions!$G$87+12)=U$4,0,IF(T98=1,PMT(Assumptions!$G$85,Assumptions!$G$87,$C100),T111))),0)</f>
        <v>0</v>
      </c>
      <c r="V111" s="39">
        <f>+IFERROR(-ABS(IF(EDATE(_xlfn.XLOOKUP(1,$H98:$BE98,$H$4:$BE$4),12*Assumptions!$G$87+12)=V$4,0,IF(U98=1,PMT(Assumptions!$G$85,Assumptions!$G$87,$C100),U111))),0)</f>
        <v>0</v>
      </c>
      <c r="W111" s="39">
        <f>+IFERROR(-ABS(IF(EDATE(_xlfn.XLOOKUP(1,$H98:$BE98,$H$4:$BE$4),12*Assumptions!$G$87+12)=W$4,0,IF(V98=1,PMT(Assumptions!$G$85,Assumptions!$G$87,$C100),V111))),0)</f>
        <v>0</v>
      </c>
      <c r="X111" s="39">
        <f>+IFERROR(-ABS(IF(EDATE(_xlfn.XLOOKUP(1,$H98:$BE98,$H$4:$BE$4),12*Assumptions!$G$87+12)=X$4,0,IF(W98=1,PMT(Assumptions!$G$85,Assumptions!$G$87,$C100),W111))),0)</f>
        <v>0</v>
      </c>
      <c r="Y111" s="39">
        <f>+IFERROR(-ABS(IF(EDATE(_xlfn.XLOOKUP(1,$H98:$BE98,$H$4:$BE$4),12*Assumptions!$G$87+12)=Y$4,0,IF(X98=1,PMT(Assumptions!$G$85,Assumptions!$G$87,$C100),X111))),0)</f>
        <v>0</v>
      </c>
      <c r="Z111" s="39">
        <f>+IFERROR(-ABS(IF(EDATE(_xlfn.XLOOKUP(1,$H98:$BE98,$H$4:$BE$4),12*Assumptions!$G$87+12)=Z$4,0,IF(Y98=1,PMT(Assumptions!$G$85,Assumptions!$G$87,$C100),Y111))),0)</f>
        <v>0</v>
      </c>
      <c r="AA111" s="39">
        <f>+IFERROR(-ABS(IF(EDATE(_xlfn.XLOOKUP(1,$H98:$BE98,$H$4:$BE$4),12*Assumptions!$G$87+12)=AA$4,0,IF(Z98=1,PMT(Assumptions!$G$85,Assumptions!$G$87,$C100),Z111))),0)</f>
        <v>0</v>
      </c>
      <c r="AB111" s="39">
        <f>+IFERROR(-ABS(IF(EDATE(_xlfn.XLOOKUP(1,$H98:$BE98,$H$4:$BE$4),12*Assumptions!$G$87+12)=AB$4,0,IF(AA98=1,PMT(Assumptions!$G$85,Assumptions!$G$87,$C100),AA111))),0)</f>
        <v>0</v>
      </c>
      <c r="AC111" s="39">
        <f>+IFERROR(-ABS(IF(EDATE(_xlfn.XLOOKUP(1,$H98:$BE98,$H$4:$BE$4),12*Assumptions!$G$87+12)=AC$4,0,IF(AB98=1,PMT(Assumptions!$G$85,Assumptions!$G$87,$C100),AB111))),0)</f>
        <v>0</v>
      </c>
      <c r="AD111" s="39">
        <f>+IFERROR(-ABS(IF(EDATE(_xlfn.XLOOKUP(1,$H98:$BE98,$H$4:$BE$4),12*Assumptions!$G$87+12)=AD$4,0,IF(AC98=1,PMT(Assumptions!$G$85,Assumptions!$G$87,$C100),AC111))),0)</f>
        <v>0</v>
      </c>
      <c r="AE111" s="39">
        <f>+IFERROR(-ABS(IF(EDATE(_xlfn.XLOOKUP(1,$H98:$BE98,$H$4:$BE$4),12*Assumptions!$G$87+12)=AE$4,0,IF(AD98=1,PMT(Assumptions!$G$85,Assumptions!$G$87,$C100),AD111))),0)</f>
        <v>0</v>
      </c>
      <c r="AF111" s="39">
        <f>+IFERROR(-ABS(IF(EDATE(_xlfn.XLOOKUP(1,$H98:$BE98,$H$4:$BE$4),12*Assumptions!$G$87+12)=AF$4,0,IF(AE98=1,PMT(Assumptions!$G$85,Assumptions!$G$87,$C100),AE111))),0)</f>
        <v>0</v>
      </c>
      <c r="AG111" s="39">
        <f>+IFERROR(-ABS(IF(EDATE(_xlfn.XLOOKUP(1,$H98:$BE98,$H$4:$BE$4),12*Assumptions!$G$87+12)=AG$4,0,IF(AF98=1,PMT(Assumptions!$G$85,Assumptions!$G$87,$C100),AF111))),0)</f>
        <v>0</v>
      </c>
      <c r="AH111" s="39">
        <f>+IFERROR(-ABS(IF(EDATE(_xlfn.XLOOKUP(1,$H98:$BE98,$H$4:$BE$4),12*Assumptions!$G$87+12)=AH$4,0,IF(AG98=1,PMT(Assumptions!$G$85,Assumptions!$G$87,$C100),AG111))),0)</f>
        <v>0</v>
      </c>
      <c r="AI111" s="39">
        <f>+IFERROR(-ABS(IF(EDATE(_xlfn.XLOOKUP(1,$H98:$BE98,$H$4:$BE$4),12*Assumptions!$G$87+12)=AI$4,0,IF(AH98=1,PMT(Assumptions!$G$85,Assumptions!$G$87,$C100),AH111))),0)</f>
        <v>0</v>
      </c>
      <c r="AJ111" s="39">
        <f>+IFERROR(-ABS(IF(EDATE(_xlfn.XLOOKUP(1,$H98:$BE98,$H$4:$BE$4),12*Assumptions!$G$87+12)=AJ$4,0,IF(AI98=1,PMT(Assumptions!$G$85,Assumptions!$G$87,$C100),AI111))),0)</f>
        <v>0</v>
      </c>
      <c r="AK111" s="39">
        <f>+IFERROR(-ABS(IF(EDATE(_xlfn.XLOOKUP(1,$H98:$BE98,$H$4:$BE$4),12*Assumptions!$G$87+12)=AK$4,0,IF(AJ98=1,PMT(Assumptions!$G$85,Assumptions!$G$87,$C100),AJ111))),0)</f>
        <v>0</v>
      </c>
      <c r="AL111" s="39">
        <f>+IFERROR(-ABS(IF(EDATE(_xlfn.XLOOKUP(1,$H98:$BE98,$H$4:$BE$4),12*Assumptions!$G$87+12)=AL$4,0,IF(AK98=1,PMT(Assumptions!$G$85,Assumptions!$G$87,$C100),AK111))),0)</f>
        <v>0</v>
      </c>
      <c r="AM111" s="39">
        <f>+IFERROR(-ABS(IF(EDATE(_xlfn.XLOOKUP(1,$H98:$BE98,$H$4:$BE$4),12*Assumptions!$G$87+12)=AM$4,0,IF(AL98=1,PMT(Assumptions!$G$85,Assumptions!$G$87,$C100),AL111))),0)</f>
        <v>0</v>
      </c>
      <c r="AN111" s="39">
        <f>+IFERROR(-ABS(IF(EDATE(_xlfn.XLOOKUP(1,$H98:$BE98,$H$4:$BE$4),12*Assumptions!$G$87+12)=AN$4,0,IF(AM98=1,PMT(Assumptions!$G$85,Assumptions!$G$87,$C100),AM111))),0)</f>
        <v>0</v>
      </c>
      <c r="AO111" s="39">
        <f>+IFERROR(-ABS(IF(EDATE(_xlfn.XLOOKUP(1,$H98:$BE98,$H$4:$BE$4),12*Assumptions!$G$87+12)=AO$4,0,IF(AN98=1,PMT(Assumptions!$G$85,Assumptions!$G$87,$C100),AN111))),0)</f>
        <v>0</v>
      </c>
      <c r="AP111" s="39">
        <f>+IFERROR(-ABS(IF(EDATE(_xlfn.XLOOKUP(1,$H98:$BE98,$H$4:$BE$4),12*Assumptions!$G$87+12)=AP$4,0,IF(AO98=1,PMT(Assumptions!$G$85,Assumptions!$G$87,$C100),AO111))),0)</f>
        <v>0</v>
      </c>
      <c r="AQ111" s="39">
        <f>+IFERROR(-ABS(IF(EDATE(_xlfn.XLOOKUP(1,$H98:$BE98,$H$4:$BE$4),12*Assumptions!$G$87+12)=AQ$4,0,IF(AP98=1,PMT(Assumptions!$G$85,Assumptions!$G$87,$C100),AP111))),0)</f>
        <v>0</v>
      </c>
      <c r="AR111" s="39">
        <f>+IFERROR(-ABS(IF(EDATE(_xlfn.XLOOKUP(1,$H98:$BE98,$H$4:$BE$4),12*Assumptions!$G$87+12)=AR$4,0,IF(AQ98=1,PMT(Assumptions!$G$85,Assumptions!$G$87,$C100),AQ111))),0)</f>
        <v>0</v>
      </c>
      <c r="AS111" s="39">
        <f>+IFERROR(-ABS(IF(EDATE(_xlfn.XLOOKUP(1,$H98:$BE98,$H$4:$BE$4),12*Assumptions!$G$87+12)=AS$4,0,IF(AR98=1,PMT(Assumptions!$G$85,Assumptions!$G$87,$C100),AR111))),0)</f>
        <v>0</v>
      </c>
      <c r="AT111" s="39">
        <f>+IFERROR(-ABS(IF(EDATE(_xlfn.XLOOKUP(1,$H98:$BE98,$H$4:$BE$4),12*Assumptions!$G$87+12)=AT$4,0,IF(AS98=1,PMT(Assumptions!$G$85,Assumptions!$G$87,$C100),AS111))),0)</f>
        <v>0</v>
      </c>
      <c r="AU111" s="39">
        <f>+IFERROR(-ABS(IF(EDATE(_xlfn.XLOOKUP(1,$H98:$BE98,$H$4:$BE$4),12*Assumptions!$G$87+12)=AU$4,0,IF(AT98=1,PMT(Assumptions!$G$85,Assumptions!$G$87,$C100),AT111))),0)</f>
        <v>0</v>
      </c>
      <c r="AV111" s="39">
        <f>+IFERROR(-ABS(IF(EDATE(_xlfn.XLOOKUP(1,$H98:$BE98,$H$4:$BE$4),12*Assumptions!$G$87+12)=AV$4,0,IF(AU98=1,PMT(Assumptions!$G$85,Assumptions!$G$87,$C100),AU111))),0)</f>
        <v>0</v>
      </c>
      <c r="AW111" s="39">
        <f>+IFERROR(-ABS(IF(EDATE(_xlfn.XLOOKUP(1,$H98:$BE98,$H$4:$BE$4),12*Assumptions!$G$87+12)=AW$4,0,IF(AV98=1,PMT(Assumptions!$G$85,Assumptions!$G$87,$C100),AV111))),0)</f>
        <v>0</v>
      </c>
      <c r="AX111" s="39">
        <f>+IFERROR(-ABS(IF(EDATE(_xlfn.XLOOKUP(1,$H98:$BE98,$H$4:$BE$4),12*Assumptions!$G$87+12)=AX$4,0,IF(AW98=1,PMT(Assumptions!$G$85,Assumptions!$G$87,$C100),AW111))),0)</f>
        <v>0</v>
      </c>
      <c r="AY111" s="39">
        <f>+IFERROR(-ABS(IF(EDATE(_xlfn.XLOOKUP(1,$H98:$BE98,$H$4:$BE$4),12*Assumptions!$G$87+12)=AY$4,0,IF(AX98=1,PMT(Assumptions!$G$85,Assumptions!$G$87,$C100),AX111))),0)</f>
        <v>0</v>
      </c>
      <c r="AZ111" s="39">
        <f>+IFERROR(-ABS(IF(EDATE(_xlfn.XLOOKUP(1,$H98:$BE98,$H$4:$BE$4),12*Assumptions!$G$87+12)=AZ$4,0,IF(AY98=1,PMT(Assumptions!$G$85,Assumptions!$G$87,$C100),AY111))),0)</f>
        <v>0</v>
      </c>
      <c r="BA111" s="39">
        <f>+IFERROR(-ABS(IF(EDATE(_xlfn.XLOOKUP(1,$H98:$BE98,$H$4:$BE$4),12*Assumptions!$G$87+12)=BA$4,0,IF(AZ98=1,PMT(Assumptions!$G$85,Assumptions!$G$87,$C100),AZ111))),0)</f>
        <v>0</v>
      </c>
      <c r="BB111" s="39">
        <f>+IFERROR(-ABS(IF(EDATE(_xlfn.XLOOKUP(1,$H98:$BE98,$H$4:$BE$4),12*Assumptions!$G$87+12)=BB$4,0,IF(BA98=1,PMT(Assumptions!$G$85,Assumptions!$G$87,$C100),BA111))),0)</f>
        <v>0</v>
      </c>
      <c r="BC111" s="39">
        <f>+IFERROR(-ABS(IF(EDATE(_xlfn.XLOOKUP(1,$H98:$BE98,$H$4:$BE$4),12*Assumptions!$G$87+12)=BC$4,0,IF(BB98=1,PMT(Assumptions!$G$85,Assumptions!$G$87,$C100),BB111))),0)</f>
        <v>0</v>
      </c>
      <c r="BD111" s="39">
        <f>+IFERROR(-ABS(IF(EDATE(_xlfn.XLOOKUP(1,$H98:$BE98,$H$4:$BE$4),12*Assumptions!$G$87+12)=BD$4,0,IF(BC98=1,PMT(Assumptions!$G$85,Assumptions!$G$87,$C100),BC111))),0)</f>
        <v>0</v>
      </c>
      <c r="BE111" s="39">
        <f>+IFERROR(-ABS(IF(EDATE(_xlfn.XLOOKUP(1,$H98:$BE98,$H$4:$BE$4),12*Assumptions!$G$87+12)=BE$4,0,IF(BD98=1,PMT(Assumptions!$G$85,Assumptions!$G$87,$C100),BD111))),0)</f>
        <v>0</v>
      </c>
      <c r="BF111" s="39">
        <f>+IFERROR(-ABS(IF(EDATE(_xlfn.XLOOKUP(1,$H98:$BE98,$H$4:$BE$4),12*Assumptions!$G$87+12)=BF$4,0,IF(BE98=1,PMT(Assumptions!$G$85,Assumptions!$G$87,$C100),BE111))),0)</f>
        <v>0</v>
      </c>
      <c r="BG111" s="39">
        <f>+IFERROR(-ABS(IF(EDATE(_xlfn.XLOOKUP(1,$H98:$BE98,$H$4:$BE$4),12*Assumptions!$G$87+12)=BG$4,0,IF(BF98=1,PMT(Assumptions!$G$85,Assumptions!$G$87,$C100),BF111))),0)</f>
        <v>0</v>
      </c>
      <c r="BH111" s="39">
        <f>+IFERROR(-ABS(IF(EDATE(_xlfn.XLOOKUP(1,$H98:$BE98,$H$4:$BE$4),12*Assumptions!$G$87+12)=BH$4,0,IF(BG98=1,PMT(Assumptions!$G$85,Assumptions!$G$87,$C100),BG111))),0)</f>
        <v>0</v>
      </c>
      <c r="BI111" s="39">
        <f>+IFERROR(-ABS(IF(EDATE(_xlfn.XLOOKUP(1,$H98:$BE98,$H$4:$BE$4),12*Assumptions!$G$87+12)=BI$4,0,IF(BH98=1,PMT(Assumptions!$G$85,Assumptions!$G$87,$C100),BH111))),0)</f>
        <v>0</v>
      </c>
      <c r="BJ111" s="39">
        <f>+IFERROR(-ABS(IF(EDATE(_xlfn.XLOOKUP(1,$H98:$BE98,$H$4:$BE$4),12*Assumptions!$G$87+12)=BJ$4,0,IF(BI98=1,PMT(Assumptions!$G$85,Assumptions!$G$87,$C100),BI111))),0)</f>
        <v>0</v>
      </c>
      <c r="BK111" s="39">
        <f>+IFERROR(-ABS(IF(EDATE(_xlfn.XLOOKUP(1,$H98:$BE98,$H$4:$BE$4),12*Assumptions!$G$87+12)=BK$4,0,IF(BJ98=1,PMT(Assumptions!$G$85,Assumptions!$G$87,$C100),BJ111))),0)</f>
        <v>0</v>
      </c>
      <c r="BL111" s="39">
        <f>+IFERROR(-ABS(IF(EDATE(_xlfn.XLOOKUP(1,$H98:$BE98,$H$4:$BE$4),12*Assumptions!$G$87+12)=BL$4,0,IF(BK98=1,PMT(Assumptions!$G$85,Assumptions!$G$87,$C100),BK111))),0)</f>
        <v>0</v>
      </c>
      <c r="BM111" s="39">
        <f>+IFERROR(-ABS(IF(EDATE(_xlfn.XLOOKUP(1,$H98:$BE98,$H$4:$BE$4),12*Assumptions!$G$87+12)=BM$4,0,IF(BL98=1,PMT(Assumptions!$G$85,Assumptions!$G$87,$C100),BL111))),0)</f>
        <v>0</v>
      </c>
      <c r="BN111" s="39">
        <f>+IFERROR(-ABS(IF(EDATE(_xlfn.XLOOKUP(1,$H98:$BE98,$H$4:$BE$4),12*Assumptions!$G$87+12)=BN$4,0,IF(BM98=1,PMT(Assumptions!$G$85,Assumptions!$G$87,$C100),BM111))),0)</f>
        <v>0</v>
      </c>
      <c r="BO111" s="39">
        <f>+IFERROR(-ABS(IF(EDATE(_xlfn.XLOOKUP(1,$H98:$BE98,$H$4:$BE$4),12*Assumptions!$G$87+12)=BO$4,0,IF(BN98=1,PMT(Assumptions!$G$85,Assumptions!$G$87,$C100),BN111))),0)</f>
        <v>0</v>
      </c>
      <c r="BP111" s="39">
        <f>+IFERROR(-ABS(IF(EDATE(_xlfn.XLOOKUP(1,$H98:$BE98,$H$4:$BE$4),12*Assumptions!$G$87+12)=BP$4,0,IF(BO98=1,PMT(Assumptions!$G$85,Assumptions!$G$87,$C100),BO111))),0)</f>
        <v>0</v>
      </c>
      <c r="BQ111" s="39">
        <f>+IFERROR(-ABS(IF(EDATE(_xlfn.XLOOKUP(1,$H98:$BE98,$H$4:$BE$4),12*Assumptions!$G$87+12)=BQ$4,0,IF(BP98=1,PMT(Assumptions!$G$85,Assumptions!$G$87,$C100),BP111))),0)</f>
        <v>0</v>
      </c>
      <c r="BR111" s="39">
        <f>+IFERROR(-ABS(IF(EDATE(_xlfn.XLOOKUP(1,$H98:$BE98,$H$4:$BE$4),12*Assumptions!$G$87+12)=BR$4,0,IF(BQ98=1,PMT(Assumptions!$G$85,Assumptions!$G$87,$C100),BQ111))),0)</f>
        <v>0</v>
      </c>
      <c r="BS111" s="39">
        <f>+IFERROR(-ABS(IF(EDATE(_xlfn.XLOOKUP(1,$H98:$BE98,$H$4:$BE$4),12*Assumptions!$G$87+12)=BS$4,0,IF(BR98=1,PMT(Assumptions!$G$85,Assumptions!$G$87,$C100),BR111))),0)</f>
        <v>0</v>
      </c>
      <c r="BT111" s="39">
        <f>+IFERROR(-ABS(IF(EDATE(_xlfn.XLOOKUP(1,$H98:$BE98,$H$4:$BE$4),12*Assumptions!$G$87+12)=BT$4,0,IF(BS98=1,PMT(Assumptions!$G$85,Assumptions!$G$87,$C100),BS111))),0)</f>
        <v>0</v>
      </c>
      <c r="BU111" s="39">
        <f>+IFERROR(-ABS(IF(EDATE(_xlfn.XLOOKUP(1,$H98:$BE98,$H$4:$BE$4),12*Assumptions!$G$87+12)=BU$4,0,IF(BT98=1,PMT(Assumptions!$G$85,Assumptions!$G$87,$C100),BT111))),0)</f>
        <v>0</v>
      </c>
      <c r="BV111" s="39">
        <f>+IFERROR(-ABS(IF(EDATE(_xlfn.XLOOKUP(1,$H98:$BE98,$H$4:$BE$4),12*Assumptions!$G$87+12)=BV$4,0,IF(BU98=1,PMT(Assumptions!$G$85,Assumptions!$G$87,$C100),BU111))),0)</f>
        <v>0</v>
      </c>
      <c r="BW111" s="39">
        <f>+IFERROR(-ABS(IF(EDATE(_xlfn.XLOOKUP(1,$H98:$BE98,$H$4:$BE$4),12*Assumptions!$G$87+12)=BW$4,0,IF(BV98=1,PMT(Assumptions!$G$85,Assumptions!$G$87,$C100),BV111))),0)</f>
        <v>0</v>
      </c>
      <c r="BX111" s="39">
        <f>+IFERROR(-ABS(IF(EDATE(_xlfn.XLOOKUP(1,$H98:$BE98,$H$4:$BE$4),12*Assumptions!$G$87+12)=BX$4,0,IF(BW98=1,PMT(Assumptions!$G$85,Assumptions!$G$87,$C100),BW111))),0)</f>
        <v>0</v>
      </c>
      <c r="BY111" s="39">
        <f>+IFERROR(-ABS(IF(EDATE(_xlfn.XLOOKUP(1,$H98:$BE98,$H$4:$BE$4),12*Assumptions!$G$87+12)=BY$4,0,IF(BX98=1,PMT(Assumptions!$G$85,Assumptions!$G$87,$C100),BX111))),0)</f>
        <v>0</v>
      </c>
    </row>
    <row r="112" spans="3:77" outlineLevel="1">
      <c r="C112" s="31"/>
      <c r="E112" s="24" t="s">
        <v>515</v>
      </c>
      <c r="F112" s="80" t="str">
        <f>+Assumptions!$G$8</f>
        <v>USD</v>
      </c>
      <c r="G112" s="24"/>
      <c r="H112" s="39">
        <f>+IFERROR(-ABS(IF(EDATE(_xlfn.XLOOKUP(1,$H99:$BE99,$H$4:$BE$4),12*Assumptions!$G$87+12)=H$4,0,IF(G99=1,PMT(Assumptions!$G$85,Assumptions!$G$87,$C101),G112))),0)</f>
        <v>0</v>
      </c>
      <c r="I112" s="39">
        <f>+IFERROR(-ABS(IF(EDATE(_xlfn.XLOOKUP(1,$H99:$BE99,$H$4:$BE$4),12*Assumptions!$G$87+12)=I$4,0,IF(H99=1,PMT(Assumptions!$G$85,Assumptions!$G$87,$C101),H112))),0)</f>
        <v>0</v>
      </c>
      <c r="J112" s="39">
        <f>+IFERROR(-ABS(IF(EDATE(_xlfn.XLOOKUP(1,$H99:$BE99,$H$4:$BE$4),12*Assumptions!$G$87+12)=J$4,0,IF(I99=1,PMT(Assumptions!$G$85,Assumptions!$G$87,$C101),I112))),0)</f>
        <v>0</v>
      </c>
      <c r="K112" s="39">
        <f>+IFERROR(-ABS(IF(EDATE(_xlfn.XLOOKUP(1,$H99:$BE99,$H$4:$BE$4),12*Assumptions!$G$87+12)=K$4,0,IF(J99=1,PMT(Assumptions!$G$85,Assumptions!$G$87,$C101),J112))),0)</f>
        <v>0</v>
      </c>
      <c r="L112" s="39">
        <f>+IFERROR(-ABS(IF(EDATE(_xlfn.XLOOKUP(1,$H99:$BE99,$H$4:$BE$4),12*Assumptions!$G$87+12)=L$4,0,IF(K99=1,PMT(Assumptions!$G$85,Assumptions!$G$87,$C101),K112))),0)</f>
        <v>0</v>
      </c>
      <c r="M112" s="39">
        <f>+IFERROR(-ABS(IF(EDATE(_xlfn.XLOOKUP(1,$H99:$BE99,$H$4:$BE$4),12*Assumptions!$G$87+12)=M$4,0,IF(L99=1,PMT(Assumptions!$G$85,Assumptions!$G$87,$C101),L112))),0)</f>
        <v>0</v>
      </c>
      <c r="N112" s="39">
        <f>+IFERROR(-ABS(IF(EDATE(_xlfn.XLOOKUP(1,$H99:$BE99,$H$4:$BE$4),12*Assumptions!$G$87+12)=N$4,0,IF(M99=1,PMT(Assumptions!$G$85,Assumptions!$G$87,$C101),M112))),0)</f>
        <v>0</v>
      </c>
      <c r="O112" s="39">
        <f>+IFERROR(-ABS(IF(EDATE(_xlfn.XLOOKUP(1,$H99:$BE99,$H$4:$BE$4),12*Assumptions!$G$87+12)=O$4,0,IF(N99=1,PMT(Assumptions!$G$85,Assumptions!$G$87,$C101),N112))),0)</f>
        <v>0</v>
      </c>
      <c r="P112" s="39">
        <f>+IFERROR(-ABS(IF(EDATE(_xlfn.XLOOKUP(1,$H99:$BE99,$H$4:$BE$4),12*Assumptions!$G$87+12)=P$4,0,IF(O99=1,PMT(Assumptions!$G$85,Assumptions!$G$87,$C101),O112))),0)</f>
        <v>0</v>
      </c>
      <c r="Q112" s="39">
        <f>+IFERROR(-ABS(IF(EDATE(_xlfn.XLOOKUP(1,$H99:$BE99,$H$4:$BE$4),12*Assumptions!$G$87+12)=Q$4,0,IF(P99=1,PMT(Assumptions!$G$85,Assumptions!$G$87,$C101),P112))),0)</f>
        <v>0</v>
      </c>
      <c r="R112" s="39">
        <f>+IFERROR(-ABS(IF(EDATE(_xlfn.XLOOKUP(1,$H99:$BE99,$H$4:$BE$4),12*Assumptions!$G$87+12)=R$4,0,IF(Q99=1,PMT(Assumptions!$G$85,Assumptions!$G$87,$C101),Q112))),0)</f>
        <v>0</v>
      </c>
      <c r="S112" s="39">
        <f>+IFERROR(-ABS(IF(EDATE(_xlfn.XLOOKUP(1,$H99:$BE99,$H$4:$BE$4),12*Assumptions!$G$87+12)=S$4,0,IF(R99=1,PMT(Assumptions!$G$85,Assumptions!$G$87,$C101),R112))),0)</f>
        <v>0</v>
      </c>
      <c r="T112" s="39">
        <f>+IFERROR(-ABS(IF(EDATE(_xlfn.XLOOKUP(1,$H99:$BE99,$H$4:$BE$4),12*Assumptions!$G$87+12)=T$4,0,IF(S99=1,PMT(Assumptions!$G$85,Assumptions!$G$87,$C101),S112))),0)</f>
        <v>0</v>
      </c>
      <c r="U112" s="39">
        <f>+IFERROR(-ABS(IF(EDATE(_xlfn.XLOOKUP(1,$H99:$BE99,$H$4:$BE$4),12*Assumptions!$G$87+12)=U$4,0,IF(T99=1,PMT(Assumptions!$G$85,Assumptions!$G$87,$C101),T112))),0)</f>
        <v>0</v>
      </c>
      <c r="V112" s="39">
        <f>+IFERROR(-ABS(IF(EDATE(_xlfn.XLOOKUP(1,$H99:$BE99,$H$4:$BE$4),12*Assumptions!$G$87+12)=V$4,0,IF(U99=1,PMT(Assumptions!$G$85,Assumptions!$G$87,$C101),U112))),0)</f>
        <v>0</v>
      </c>
      <c r="W112" s="39">
        <f>+IFERROR(-ABS(IF(EDATE(_xlfn.XLOOKUP(1,$H99:$BE99,$H$4:$BE$4),12*Assumptions!$G$87+12)=W$4,0,IF(V99=1,PMT(Assumptions!$G$85,Assumptions!$G$87,$C101),V112))),0)</f>
        <v>0</v>
      </c>
      <c r="X112" s="39">
        <f>+IFERROR(-ABS(IF(EDATE(_xlfn.XLOOKUP(1,$H99:$BE99,$H$4:$BE$4),12*Assumptions!$G$87+12)=X$4,0,IF(W99=1,PMT(Assumptions!$G$85,Assumptions!$G$87,$C101),W112))),0)</f>
        <v>0</v>
      </c>
      <c r="Y112" s="39">
        <f>+IFERROR(-ABS(IF(EDATE(_xlfn.XLOOKUP(1,$H99:$BE99,$H$4:$BE$4),12*Assumptions!$G$87+12)=Y$4,0,IF(X99=1,PMT(Assumptions!$G$85,Assumptions!$G$87,$C101),X112))),0)</f>
        <v>0</v>
      </c>
      <c r="Z112" s="39">
        <f>+IFERROR(-ABS(IF(EDATE(_xlfn.XLOOKUP(1,$H99:$BE99,$H$4:$BE$4),12*Assumptions!$G$87+12)=Z$4,0,IF(Y99=1,PMT(Assumptions!$G$85,Assumptions!$G$87,$C101),Y112))),0)</f>
        <v>0</v>
      </c>
      <c r="AA112" s="39">
        <f>+IFERROR(-ABS(IF(EDATE(_xlfn.XLOOKUP(1,$H99:$BE99,$H$4:$BE$4),12*Assumptions!$G$87+12)=AA$4,0,IF(Z99=1,PMT(Assumptions!$G$85,Assumptions!$G$87,$C101),Z112))),0)</f>
        <v>0</v>
      </c>
      <c r="AB112" s="39">
        <f>+IFERROR(-ABS(IF(EDATE(_xlfn.XLOOKUP(1,$H99:$BE99,$H$4:$BE$4),12*Assumptions!$G$87+12)=AB$4,0,IF(AA99=1,PMT(Assumptions!$G$85,Assumptions!$G$87,$C101),AA112))),0)</f>
        <v>0</v>
      </c>
      <c r="AC112" s="39">
        <f>+IFERROR(-ABS(IF(EDATE(_xlfn.XLOOKUP(1,$H99:$BE99,$H$4:$BE$4),12*Assumptions!$G$87+12)=AC$4,0,IF(AB99=1,PMT(Assumptions!$G$85,Assumptions!$G$87,$C101),AB112))),0)</f>
        <v>0</v>
      </c>
      <c r="AD112" s="39">
        <f>+IFERROR(-ABS(IF(EDATE(_xlfn.XLOOKUP(1,$H99:$BE99,$H$4:$BE$4),12*Assumptions!$G$87+12)=AD$4,0,IF(AC99=1,PMT(Assumptions!$G$85,Assumptions!$G$87,$C101),AC112))),0)</f>
        <v>0</v>
      </c>
      <c r="AE112" s="39">
        <f>+IFERROR(-ABS(IF(EDATE(_xlfn.XLOOKUP(1,$H99:$BE99,$H$4:$BE$4),12*Assumptions!$G$87+12)=AE$4,0,IF(AD99=1,PMT(Assumptions!$G$85,Assumptions!$G$87,$C101),AD112))),0)</f>
        <v>0</v>
      </c>
      <c r="AF112" s="39">
        <f>+IFERROR(-ABS(IF(EDATE(_xlfn.XLOOKUP(1,$H99:$BE99,$H$4:$BE$4),12*Assumptions!$G$87+12)=AF$4,0,IF(AE99=1,PMT(Assumptions!$G$85,Assumptions!$G$87,$C101),AE112))),0)</f>
        <v>0</v>
      </c>
      <c r="AG112" s="39">
        <f>+IFERROR(-ABS(IF(EDATE(_xlfn.XLOOKUP(1,$H99:$BE99,$H$4:$BE$4),12*Assumptions!$G$87+12)=AG$4,0,IF(AF99=1,PMT(Assumptions!$G$85,Assumptions!$G$87,$C101),AF112))),0)</f>
        <v>0</v>
      </c>
      <c r="AH112" s="39">
        <f>+IFERROR(-ABS(IF(EDATE(_xlfn.XLOOKUP(1,$H99:$BE99,$H$4:$BE$4),12*Assumptions!$G$87+12)=AH$4,0,IF(AG99=1,PMT(Assumptions!$G$85,Assumptions!$G$87,$C101),AG112))),0)</f>
        <v>0</v>
      </c>
      <c r="AI112" s="39">
        <f>+IFERROR(-ABS(IF(EDATE(_xlfn.XLOOKUP(1,$H99:$BE99,$H$4:$BE$4),12*Assumptions!$G$87+12)=AI$4,0,IF(AH99=1,PMT(Assumptions!$G$85,Assumptions!$G$87,$C101),AH112))),0)</f>
        <v>0</v>
      </c>
      <c r="AJ112" s="39">
        <f>+IFERROR(-ABS(IF(EDATE(_xlfn.XLOOKUP(1,$H99:$BE99,$H$4:$BE$4),12*Assumptions!$G$87+12)=AJ$4,0,IF(AI99=1,PMT(Assumptions!$G$85,Assumptions!$G$87,$C101),AI112))),0)</f>
        <v>0</v>
      </c>
      <c r="AK112" s="39">
        <f>+IFERROR(-ABS(IF(EDATE(_xlfn.XLOOKUP(1,$H99:$BE99,$H$4:$BE$4),12*Assumptions!$G$87+12)=AK$4,0,IF(AJ99=1,PMT(Assumptions!$G$85,Assumptions!$G$87,$C101),AJ112))),0)</f>
        <v>0</v>
      </c>
      <c r="AL112" s="39">
        <f>+IFERROR(-ABS(IF(EDATE(_xlfn.XLOOKUP(1,$H99:$BE99,$H$4:$BE$4),12*Assumptions!$G$87+12)=AL$4,0,IF(AK99=1,PMT(Assumptions!$G$85,Assumptions!$G$87,$C101),AK112))),0)</f>
        <v>0</v>
      </c>
      <c r="AM112" s="39">
        <f>+IFERROR(-ABS(IF(EDATE(_xlfn.XLOOKUP(1,$H99:$BE99,$H$4:$BE$4),12*Assumptions!$G$87+12)=AM$4,0,IF(AL99=1,PMT(Assumptions!$G$85,Assumptions!$G$87,$C101),AL112))),0)</f>
        <v>0</v>
      </c>
      <c r="AN112" s="39">
        <f>+IFERROR(-ABS(IF(EDATE(_xlfn.XLOOKUP(1,$H99:$BE99,$H$4:$BE$4),12*Assumptions!$G$87+12)=AN$4,0,IF(AM99=1,PMT(Assumptions!$G$85,Assumptions!$G$87,$C101),AM112))),0)</f>
        <v>0</v>
      </c>
      <c r="AO112" s="39">
        <f>+IFERROR(-ABS(IF(EDATE(_xlfn.XLOOKUP(1,$H99:$BE99,$H$4:$BE$4),12*Assumptions!$G$87+12)=AO$4,0,IF(AN99=1,PMT(Assumptions!$G$85,Assumptions!$G$87,$C101),AN112))),0)</f>
        <v>0</v>
      </c>
      <c r="AP112" s="39">
        <f>+IFERROR(-ABS(IF(EDATE(_xlfn.XLOOKUP(1,$H99:$BE99,$H$4:$BE$4),12*Assumptions!$G$87+12)=AP$4,0,IF(AO99=1,PMT(Assumptions!$G$85,Assumptions!$G$87,$C101),AO112))),0)</f>
        <v>0</v>
      </c>
      <c r="AQ112" s="39">
        <f>+IFERROR(-ABS(IF(EDATE(_xlfn.XLOOKUP(1,$H99:$BE99,$H$4:$BE$4),12*Assumptions!$G$87+12)=AQ$4,0,IF(AP99=1,PMT(Assumptions!$G$85,Assumptions!$G$87,$C101),AP112))),0)</f>
        <v>0</v>
      </c>
      <c r="AR112" s="39">
        <f>+IFERROR(-ABS(IF(EDATE(_xlfn.XLOOKUP(1,$H99:$BE99,$H$4:$BE$4),12*Assumptions!$G$87+12)=AR$4,0,IF(AQ99=1,PMT(Assumptions!$G$85,Assumptions!$G$87,$C101),AQ112))),0)</f>
        <v>0</v>
      </c>
      <c r="AS112" s="39">
        <f>+IFERROR(-ABS(IF(EDATE(_xlfn.XLOOKUP(1,$H99:$BE99,$H$4:$BE$4),12*Assumptions!$G$87+12)=AS$4,0,IF(AR99=1,PMT(Assumptions!$G$85,Assumptions!$G$87,$C101),AR112))),0)</f>
        <v>0</v>
      </c>
      <c r="AT112" s="39">
        <f>+IFERROR(-ABS(IF(EDATE(_xlfn.XLOOKUP(1,$H99:$BE99,$H$4:$BE$4),12*Assumptions!$G$87+12)=AT$4,0,IF(AS99=1,PMT(Assumptions!$G$85,Assumptions!$G$87,$C101),AS112))),0)</f>
        <v>0</v>
      </c>
      <c r="AU112" s="39">
        <f>+IFERROR(-ABS(IF(EDATE(_xlfn.XLOOKUP(1,$H99:$BE99,$H$4:$BE$4),12*Assumptions!$G$87+12)=AU$4,0,IF(AT99=1,PMT(Assumptions!$G$85,Assumptions!$G$87,$C101),AT112))),0)</f>
        <v>0</v>
      </c>
      <c r="AV112" s="39">
        <f>+IFERROR(-ABS(IF(EDATE(_xlfn.XLOOKUP(1,$H99:$BE99,$H$4:$BE$4),12*Assumptions!$G$87+12)=AV$4,0,IF(AU99=1,PMT(Assumptions!$G$85,Assumptions!$G$87,$C101),AU112))),0)</f>
        <v>0</v>
      </c>
      <c r="AW112" s="39">
        <f>+IFERROR(-ABS(IF(EDATE(_xlfn.XLOOKUP(1,$H99:$BE99,$H$4:$BE$4),12*Assumptions!$G$87+12)=AW$4,0,IF(AV99=1,PMT(Assumptions!$G$85,Assumptions!$G$87,$C101),AV112))),0)</f>
        <v>0</v>
      </c>
      <c r="AX112" s="39">
        <f>+IFERROR(-ABS(IF(EDATE(_xlfn.XLOOKUP(1,$H99:$BE99,$H$4:$BE$4),12*Assumptions!$G$87+12)=AX$4,0,IF(AW99=1,PMT(Assumptions!$G$85,Assumptions!$G$87,$C101),AW112))),0)</f>
        <v>0</v>
      </c>
      <c r="AY112" s="39">
        <f>+IFERROR(-ABS(IF(EDATE(_xlfn.XLOOKUP(1,$H99:$BE99,$H$4:$BE$4),12*Assumptions!$G$87+12)=AY$4,0,IF(AX99=1,PMT(Assumptions!$G$85,Assumptions!$G$87,$C101),AX112))),0)</f>
        <v>0</v>
      </c>
      <c r="AZ112" s="39">
        <f>+IFERROR(-ABS(IF(EDATE(_xlfn.XLOOKUP(1,$H99:$BE99,$H$4:$BE$4),12*Assumptions!$G$87+12)=AZ$4,0,IF(AY99=1,PMT(Assumptions!$G$85,Assumptions!$G$87,$C101),AY112))),0)</f>
        <v>0</v>
      </c>
      <c r="BA112" s="39">
        <f>+IFERROR(-ABS(IF(EDATE(_xlfn.XLOOKUP(1,$H99:$BE99,$H$4:$BE$4),12*Assumptions!$G$87+12)=BA$4,0,IF(AZ99=1,PMT(Assumptions!$G$85,Assumptions!$G$87,$C101),AZ112))),0)</f>
        <v>0</v>
      </c>
      <c r="BB112" s="39">
        <f>+IFERROR(-ABS(IF(EDATE(_xlfn.XLOOKUP(1,$H99:$BE99,$H$4:$BE$4),12*Assumptions!$G$87+12)=BB$4,0,IF(BA99=1,PMT(Assumptions!$G$85,Assumptions!$G$87,$C101),BA112))),0)</f>
        <v>0</v>
      </c>
      <c r="BC112" s="39">
        <f>+IFERROR(-ABS(IF(EDATE(_xlfn.XLOOKUP(1,$H99:$BE99,$H$4:$BE$4),12*Assumptions!$G$87+12)=BC$4,0,IF(BB99=1,PMT(Assumptions!$G$85,Assumptions!$G$87,$C101),BB112))),0)</f>
        <v>0</v>
      </c>
      <c r="BD112" s="39">
        <f>+IFERROR(-ABS(IF(EDATE(_xlfn.XLOOKUP(1,$H99:$BE99,$H$4:$BE$4),12*Assumptions!$G$87+12)=BD$4,0,IF(BC99=1,PMT(Assumptions!$G$85,Assumptions!$G$87,$C101),BC112))),0)</f>
        <v>0</v>
      </c>
      <c r="BE112" s="39">
        <f>+IFERROR(-ABS(IF(EDATE(_xlfn.XLOOKUP(1,$H99:$BE99,$H$4:$BE$4),12*Assumptions!$G$87+12)=BE$4,0,IF(BD99=1,PMT(Assumptions!$G$85,Assumptions!$G$87,$C101),BD112))),0)</f>
        <v>0</v>
      </c>
      <c r="BF112" s="39">
        <f>+IFERROR(-ABS(IF(EDATE(_xlfn.XLOOKUP(1,$H99:$BE99,$H$4:$BE$4),12*Assumptions!$G$87+12)=BF$4,0,IF(BE99=1,PMT(Assumptions!$G$85,Assumptions!$G$87,$C101),BE112))),0)</f>
        <v>0</v>
      </c>
      <c r="BG112" s="39">
        <f>+IFERROR(-ABS(IF(EDATE(_xlfn.XLOOKUP(1,$H99:$BE99,$H$4:$BE$4),12*Assumptions!$G$87+12)=BG$4,0,IF(BF99=1,PMT(Assumptions!$G$85,Assumptions!$G$87,$C101),BF112))),0)</f>
        <v>0</v>
      </c>
      <c r="BH112" s="39">
        <f>+IFERROR(-ABS(IF(EDATE(_xlfn.XLOOKUP(1,$H99:$BE99,$H$4:$BE$4),12*Assumptions!$G$87+12)=BH$4,0,IF(BG99=1,PMT(Assumptions!$G$85,Assumptions!$G$87,$C101),BG112))),0)</f>
        <v>0</v>
      </c>
      <c r="BI112" s="39">
        <f>+IFERROR(-ABS(IF(EDATE(_xlfn.XLOOKUP(1,$H99:$BE99,$H$4:$BE$4),12*Assumptions!$G$87+12)=BI$4,0,IF(BH99=1,PMT(Assumptions!$G$85,Assumptions!$G$87,$C101),BH112))),0)</f>
        <v>0</v>
      </c>
      <c r="BJ112" s="39">
        <f>+IFERROR(-ABS(IF(EDATE(_xlfn.XLOOKUP(1,$H99:$BE99,$H$4:$BE$4),12*Assumptions!$G$87+12)=BJ$4,0,IF(BI99=1,PMT(Assumptions!$G$85,Assumptions!$G$87,$C101),BI112))),0)</f>
        <v>0</v>
      </c>
      <c r="BK112" s="39">
        <f>+IFERROR(-ABS(IF(EDATE(_xlfn.XLOOKUP(1,$H99:$BE99,$H$4:$BE$4),12*Assumptions!$G$87+12)=BK$4,0,IF(BJ99=1,PMT(Assumptions!$G$85,Assumptions!$G$87,$C101),BJ112))),0)</f>
        <v>0</v>
      </c>
      <c r="BL112" s="39">
        <f>+IFERROR(-ABS(IF(EDATE(_xlfn.XLOOKUP(1,$H99:$BE99,$H$4:$BE$4),12*Assumptions!$G$87+12)=BL$4,0,IF(BK99=1,PMT(Assumptions!$G$85,Assumptions!$G$87,$C101),BK112))),0)</f>
        <v>0</v>
      </c>
      <c r="BM112" s="39">
        <f>+IFERROR(-ABS(IF(EDATE(_xlfn.XLOOKUP(1,$H99:$BE99,$H$4:$BE$4),12*Assumptions!$G$87+12)=BM$4,0,IF(BL99=1,PMT(Assumptions!$G$85,Assumptions!$G$87,$C101),BL112))),0)</f>
        <v>0</v>
      </c>
      <c r="BN112" s="39">
        <f>+IFERROR(-ABS(IF(EDATE(_xlfn.XLOOKUP(1,$H99:$BE99,$H$4:$BE$4),12*Assumptions!$G$87+12)=BN$4,0,IF(BM99=1,PMT(Assumptions!$G$85,Assumptions!$G$87,$C101),BM112))),0)</f>
        <v>0</v>
      </c>
      <c r="BO112" s="39">
        <f>+IFERROR(-ABS(IF(EDATE(_xlfn.XLOOKUP(1,$H99:$BE99,$H$4:$BE$4),12*Assumptions!$G$87+12)=BO$4,0,IF(BN99=1,PMT(Assumptions!$G$85,Assumptions!$G$87,$C101),BN112))),0)</f>
        <v>0</v>
      </c>
      <c r="BP112" s="39">
        <f>+IFERROR(-ABS(IF(EDATE(_xlfn.XLOOKUP(1,$H99:$BE99,$H$4:$BE$4),12*Assumptions!$G$87+12)=BP$4,0,IF(BO99=1,PMT(Assumptions!$G$85,Assumptions!$G$87,$C101),BO112))),0)</f>
        <v>0</v>
      </c>
      <c r="BQ112" s="39">
        <f>+IFERROR(-ABS(IF(EDATE(_xlfn.XLOOKUP(1,$H99:$BE99,$H$4:$BE$4),12*Assumptions!$G$87+12)=BQ$4,0,IF(BP99=1,PMT(Assumptions!$G$85,Assumptions!$G$87,$C101),BP112))),0)</f>
        <v>0</v>
      </c>
      <c r="BR112" s="39">
        <f>+IFERROR(-ABS(IF(EDATE(_xlfn.XLOOKUP(1,$H99:$BE99,$H$4:$BE$4),12*Assumptions!$G$87+12)=BR$4,0,IF(BQ99=1,PMT(Assumptions!$G$85,Assumptions!$G$87,$C101),BQ112))),0)</f>
        <v>0</v>
      </c>
      <c r="BS112" s="39">
        <f>+IFERROR(-ABS(IF(EDATE(_xlfn.XLOOKUP(1,$H99:$BE99,$H$4:$BE$4),12*Assumptions!$G$87+12)=BS$4,0,IF(BR99=1,PMT(Assumptions!$G$85,Assumptions!$G$87,$C101),BR112))),0)</f>
        <v>0</v>
      </c>
      <c r="BT112" s="39">
        <f>+IFERROR(-ABS(IF(EDATE(_xlfn.XLOOKUP(1,$H99:$BE99,$H$4:$BE$4),12*Assumptions!$G$87+12)=BT$4,0,IF(BS99=1,PMT(Assumptions!$G$85,Assumptions!$G$87,$C101),BS112))),0)</f>
        <v>0</v>
      </c>
      <c r="BU112" s="39">
        <f>+IFERROR(-ABS(IF(EDATE(_xlfn.XLOOKUP(1,$H99:$BE99,$H$4:$BE$4),12*Assumptions!$G$87+12)=BU$4,0,IF(BT99=1,PMT(Assumptions!$G$85,Assumptions!$G$87,$C101),BT112))),0)</f>
        <v>0</v>
      </c>
      <c r="BV112" s="39">
        <f>+IFERROR(-ABS(IF(EDATE(_xlfn.XLOOKUP(1,$H99:$BE99,$H$4:$BE$4),12*Assumptions!$G$87+12)=BV$4,0,IF(BU99=1,PMT(Assumptions!$G$85,Assumptions!$G$87,$C101),BU112))),0)</f>
        <v>0</v>
      </c>
      <c r="BW112" s="39">
        <f>+IFERROR(-ABS(IF(EDATE(_xlfn.XLOOKUP(1,$H99:$BE99,$H$4:$BE$4),12*Assumptions!$G$87+12)=BW$4,0,IF(BV99=1,PMT(Assumptions!$G$85,Assumptions!$G$87,$C101),BV112))),0)</f>
        <v>0</v>
      </c>
      <c r="BX112" s="39">
        <f>+IFERROR(-ABS(IF(EDATE(_xlfn.XLOOKUP(1,$H99:$BE99,$H$4:$BE$4),12*Assumptions!$G$87+12)=BX$4,0,IF(BW99=1,PMT(Assumptions!$G$85,Assumptions!$G$87,$C101),BW112))),0)</f>
        <v>0</v>
      </c>
      <c r="BY112" s="39">
        <f>+IFERROR(-ABS(IF(EDATE(_xlfn.XLOOKUP(1,$H99:$BE99,$H$4:$BE$4),12*Assumptions!$G$87+12)=BY$4,0,IF(BX99=1,PMT(Assumptions!$G$85,Assumptions!$G$87,$C101),BX112))),0)</f>
        <v>0</v>
      </c>
    </row>
    <row r="113" spans="3:77" outlineLevel="1">
      <c r="E113" s="24" t="s">
        <v>516</v>
      </c>
      <c r="F113" s="80" t="str">
        <f>+Assumptions!$G$8</f>
        <v>USD</v>
      </c>
      <c r="G113" s="24"/>
      <c r="H113" s="39">
        <f>+IFERROR(-ABS(IF(EDATE(_xlfn.XLOOKUP(1,$H100:$BE100,$H$4:$BE$4),12*Assumptions!$G$87+12)=H$4,0,IF(G100=1,PMT(Assumptions!$G$85,Assumptions!$G$87,$C102),G113))),0)</f>
        <v>0</v>
      </c>
      <c r="I113" s="39">
        <f>+IFERROR(-ABS(IF(EDATE(_xlfn.XLOOKUP(1,$H100:$BE100,$H$4:$BE$4),12*Assumptions!$G$87+12)=I$4,0,IF(H100=1,PMT(Assumptions!$G$85,Assumptions!$G$87,$C102),H113))),0)</f>
        <v>0</v>
      </c>
      <c r="J113" s="39">
        <f>+IFERROR(-ABS(IF(EDATE(_xlfn.XLOOKUP(1,$H100:$BE100,$H$4:$BE$4),12*Assumptions!$G$87+12)=J$4,0,IF(I100=1,PMT(Assumptions!$G$85,Assumptions!$G$87,$C102),I113))),0)</f>
        <v>0</v>
      </c>
      <c r="K113" s="39">
        <f>+IFERROR(-ABS(IF(EDATE(_xlfn.XLOOKUP(1,$H100:$BE100,$H$4:$BE$4),12*Assumptions!$G$87+12)=K$4,0,IF(J100=1,PMT(Assumptions!$G$85,Assumptions!$G$87,$C102),J113))),0)</f>
        <v>0</v>
      </c>
      <c r="L113" s="39">
        <f>+IFERROR(-ABS(IF(EDATE(_xlfn.XLOOKUP(1,$H100:$BE100,$H$4:$BE$4),12*Assumptions!$G$87+12)=L$4,0,IF(K100=1,PMT(Assumptions!$G$85,Assumptions!$G$87,$C102),K113))),0)</f>
        <v>0</v>
      </c>
      <c r="M113" s="39">
        <f>+IFERROR(-ABS(IF(EDATE(_xlfn.XLOOKUP(1,$H100:$BE100,$H$4:$BE$4),12*Assumptions!$G$87+12)=M$4,0,IF(L100=1,PMT(Assumptions!$G$85,Assumptions!$G$87,$C102),L113))),0)</f>
        <v>0</v>
      </c>
      <c r="N113" s="39">
        <f>+IFERROR(-ABS(IF(EDATE(_xlfn.XLOOKUP(1,$H100:$BE100,$H$4:$BE$4),12*Assumptions!$G$87+12)=N$4,0,IF(M100=1,PMT(Assumptions!$G$85,Assumptions!$G$87,$C102),M113))),0)</f>
        <v>0</v>
      </c>
      <c r="O113" s="39">
        <f>+IFERROR(-ABS(IF(EDATE(_xlfn.XLOOKUP(1,$H100:$BE100,$H$4:$BE$4),12*Assumptions!$G$87+12)=O$4,0,IF(N100=1,PMT(Assumptions!$G$85,Assumptions!$G$87,$C102),N113))),0)</f>
        <v>0</v>
      </c>
      <c r="P113" s="39">
        <f>+IFERROR(-ABS(IF(EDATE(_xlfn.XLOOKUP(1,$H100:$BE100,$H$4:$BE$4),12*Assumptions!$G$87+12)=P$4,0,IF(O100=1,PMT(Assumptions!$G$85,Assumptions!$G$87,$C102),O113))),0)</f>
        <v>0</v>
      </c>
      <c r="Q113" s="39">
        <f>+IFERROR(-ABS(IF(EDATE(_xlfn.XLOOKUP(1,$H100:$BE100,$H$4:$BE$4),12*Assumptions!$G$87+12)=Q$4,0,IF(P100=1,PMT(Assumptions!$G$85,Assumptions!$G$87,$C102),P113))),0)</f>
        <v>0</v>
      </c>
      <c r="R113" s="39">
        <f>+IFERROR(-ABS(IF(EDATE(_xlfn.XLOOKUP(1,$H100:$BE100,$H$4:$BE$4),12*Assumptions!$G$87+12)=R$4,0,IF(Q100=1,PMT(Assumptions!$G$85,Assumptions!$G$87,$C102),Q113))),0)</f>
        <v>0</v>
      </c>
      <c r="S113" s="39">
        <f>+IFERROR(-ABS(IF(EDATE(_xlfn.XLOOKUP(1,$H100:$BE100,$H$4:$BE$4),12*Assumptions!$G$87+12)=S$4,0,IF(R100=1,PMT(Assumptions!$G$85,Assumptions!$G$87,$C102),R113))),0)</f>
        <v>0</v>
      </c>
      <c r="T113" s="39">
        <f>+IFERROR(-ABS(IF(EDATE(_xlfn.XLOOKUP(1,$H100:$BE100,$H$4:$BE$4),12*Assumptions!$G$87+12)=T$4,0,IF(S100=1,PMT(Assumptions!$G$85,Assumptions!$G$87,$C102),S113))),0)</f>
        <v>0</v>
      </c>
      <c r="U113" s="39">
        <f>+IFERROR(-ABS(IF(EDATE(_xlfn.XLOOKUP(1,$H100:$BE100,$H$4:$BE$4),12*Assumptions!$G$87+12)=U$4,0,IF(T100=1,PMT(Assumptions!$G$85,Assumptions!$G$87,$C102),T113))),0)</f>
        <v>0</v>
      </c>
      <c r="V113" s="39">
        <f>+IFERROR(-ABS(IF(EDATE(_xlfn.XLOOKUP(1,$H100:$BE100,$H$4:$BE$4),12*Assumptions!$G$87+12)=V$4,0,IF(U100=1,PMT(Assumptions!$G$85,Assumptions!$G$87,$C102),U113))),0)</f>
        <v>0</v>
      </c>
      <c r="W113" s="39">
        <f>+IFERROR(-ABS(IF(EDATE(_xlfn.XLOOKUP(1,$H100:$BE100,$H$4:$BE$4),12*Assumptions!$G$87+12)=W$4,0,IF(V100=1,PMT(Assumptions!$G$85,Assumptions!$G$87,$C102),V113))),0)</f>
        <v>0</v>
      </c>
      <c r="X113" s="39">
        <f>+IFERROR(-ABS(IF(EDATE(_xlfn.XLOOKUP(1,$H100:$BE100,$H$4:$BE$4),12*Assumptions!$G$87+12)=X$4,0,IF(W100=1,PMT(Assumptions!$G$85,Assumptions!$G$87,$C102),W113))),0)</f>
        <v>0</v>
      </c>
      <c r="Y113" s="39">
        <f>+IFERROR(-ABS(IF(EDATE(_xlfn.XLOOKUP(1,$H100:$BE100,$H$4:$BE$4),12*Assumptions!$G$87+12)=Y$4,0,IF(X100=1,PMT(Assumptions!$G$85,Assumptions!$G$87,$C102),X113))),0)</f>
        <v>0</v>
      </c>
      <c r="Z113" s="39">
        <f>+IFERROR(-ABS(IF(EDATE(_xlfn.XLOOKUP(1,$H100:$BE100,$H$4:$BE$4),12*Assumptions!$G$87+12)=Z$4,0,IF(Y100=1,PMT(Assumptions!$G$85,Assumptions!$G$87,$C102),Y113))),0)</f>
        <v>0</v>
      </c>
      <c r="AA113" s="39">
        <f>+IFERROR(-ABS(IF(EDATE(_xlfn.XLOOKUP(1,$H100:$BE100,$H$4:$BE$4),12*Assumptions!$G$87+12)=AA$4,0,IF(Z100=1,PMT(Assumptions!$G$85,Assumptions!$G$87,$C102),Z113))),0)</f>
        <v>0</v>
      </c>
      <c r="AB113" s="39">
        <f>+IFERROR(-ABS(IF(EDATE(_xlfn.XLOOKUP(1,$H100:$BE100,$H$4:$BE$4),12*Assumptions!$G$87+12)=AB$4,0,IF(AA100=1,PMT(Assumptions!$G$85,Assumptions!$G$87,$C102),AA113))),0)</f>
        <v>0</v>
      </c>
      <c r="AC113" s="39">
        <f>+IFERROR(-ABS(IF(EDATE(_xlfn.XLOOKUP(1,$H100:$BE100,$H$4:$BE$4),12*Assumptions!$G$87+12)=AC$4,0,IF(AB100=1,PMT(Assumptions!$G$85,Assumptions!$G$87,$C102),AB113))),0)</f>
        <v>0</v>
      </c>
      <c r="AD113" s="39">
        <f>+IFERROR(-ABS(IF(EDATE(_xlfn.XLOOKUP(1,$H100:$BE100,$H$4:$BE$4),12*Assumptions!$G$87+12)=AD$4,0,IF(AC100=1,PMT(Assumptions!$G$85,Assumptions!$G$87,$C102),AC113))),0)</f>
        <v>0</v>
      </c>
      <c r="AE113" s="39">
        <f>+IFERROR(-ABS(IF(EDATE(_xlfn.XLOOKUP(1,$H100:$BE100,$H$4:$BE$4),12*Assumptions!$G$87+12)=AE$4,0,IF(AD100=1,PMT(Assumptions!$G$85,Assumptions!$G$87,$C102),AD113))),0)</f>
        <v>0</v>
      </c>
      <c r="AF113" s="39">
        <f>+IFERROR(-ABS(IF(EDATE(_xlfn.XLOOKUP(1,$H100:$BE100,$H$4:$BE$4),12*Assumptions!$G$87+12)=AF$4,0,IF(AE100=1,PMT(Assumptions!$G$85,Assumptions!$G$87,$C102),AE113))),0)</f>
        <v>0</v>
      </c>
      <c r="AG113" s="39">
        <f>+IFERROR(-ABS(IF(EDATE(_xlfn.XLOOKUP(1,$H100:$BE100,$H$4:$BE$4),12*Assumptions!$G$87+12)=AG$4,0,IF(AF100=1,PMT(Assumptions!$G$85,Assumptions!$G$87,$C102),AF113))),0)</f>
        <v>0</v>
      </c>
      <c r="AH113" s="39">
        <f>+IFERROR(-ABS(IF(EDATE(_xlfn.XLOOKUP(1,$H100:$BE100,$H$4:$BE$4),12*Assumptions!$G$87+12)=AH$4,0,IF(AG100=1,PMT(Assumptions!$G$85,Assumptions!$G$87,$C102),AG113))),0)</f>
        <v>0</v>
      </c>
      <c r="AI113" s="39">
        <f>+IFERROR(-ABS(IF(EDATE(_xlfn.XLOOKUP(1,$H100:$BE100,$H$4:$BE$4),12*Assumptions!$G$87+12)=AI$4,0,IF(AH100=1,PMT(Assumptions!$G$85,Assumptions!$G$87,$C102),AH113))),0)</f>
        <v>0</v>
      </c>
      <c r="AJ113" s="39">
        <f>+IFERROR(-ABS(IF(EDATE(_xlfn.XLOOKUP(1,$H100:$BE100,$H$4:$BE$4),12*Assumptions!$G$87+12)=AJ$4,0,IF(AI100=1,PMT(Assumptions!$G$85,Assumptions!$G$87,$C102),AI113))),0)</f>
        <v>0</v>
      </c>
      <c r="AK113" s="39">
        <f>+IFERROR(-ABS(IF(EDATE(_xlfn.XLOOKUP(1,$H100:$BE100,$H$4:$BE$4),12*Assumptions!$G$87+12)=AK$4,0,IF(AJ100=1,PMT(Assumptions!$G$85,Assumptions!$G$87,$C102),AJ113))),0)</f>
        <v>0</v>
      </c>
      <c r="AL113" s="39">
        <f>+IFERROR(-ABS(IF(EDATE(_xlfn.XLOOKUP(1,$H100:$BE100,$H$4:$BE$4),12*Assumptions!$G$87+12)=AL$4,0,IF(AK100=1,PMT(Assumptions!$G$85,Assumptions!$G$87,$C102),AK113))),0)</f>
        <v>0</v>
      </c>
      <c r="AM113" s="39">
        <f>+IFERROR(-ABS(IF(EDATE(_xlfn.XLOOKUP(1,$H100:$BE100,$H$4:$BE$4),12*Assumptions!$G$87+12)=AM$4,0,IF(AL100=1,PMT(Assumptions!$G$85,Assumptions!$G$87,$C102),AL113))),0)</f>
        <v>0</v>
      </c>
      <c r="AN113" s="39">
        <f>+IFERROR(-ABS(IF(EDATE(_xlfn.XLOOKUP(1,$H100:$BE100,$H$4:$BE$4),12*Assumptions!$G$87+12)=AN$4,0,IF(AM100=1,PMT(Assumptions!$G$85,Assumptions!$G$87,$C102),AM113))),0)</f>
        <v>0</v>
      </c>
      <c r="AO113" s="39">
        <f>+IFERROR(-ABS(IF(EDATE(_xlfn.XLOOKUP(1,$H100:$BE100,$H$4:$BE$4),12*Assumptions!$G$87+12)=AO$4,0,IF(AN100=1,PMT(Assumptions!$G$85,Assumptions!$G$87,$C102),AN113))),0)</f>
        <v>0</v>
      </c>
      <c r="AP113" s="39">
        <f>+IFERROR(-ABS(IF(EDATE(_xlfn.XLOOKUP(1,$H100:$BE100,$H$4:$BE$4),12*Assumptions!$G$87+12)=AP$4,0,IF(AO100=1,PMT(Assumptions!$G$85,Assumptions!$G$87,$C102),AO113))),0)</f>
        <v>0</v>
      </c>
      <c r="AQ113" s="39">
        <f>+IFERROR(-ABS(IF(EDATE(_xlfn.XLOOKUP(1,$H100:$BE100,$H$4:$BE$4),12*Assumptions!$G$87+12)=AQ$4,0,IF(AP100=1,PMT(Assumptions!$G$85,Assumptions!$G$87,$C102),AP113))),0)</f>
        <v>0</v>
      </c>
      <c r="AR113" s="39">
        <f>+IFERROR(-ABS(IF(EDATE(_xlfn.XLOOKUP(1,$H100:$BE100,$H$4:$BE$4),12*Assumptions!$G$87+12)=AR$4,0,IF(AQ100=1,PMT(Assumptions!$G$85,Assumptions!$G$87,$C102),AQ113))),0)</f>
        <v>0</v>
      </c>
      <c r="AS113" s="39">
        <f>+IFERROR(-ABS(IF(EDATE(_xlfn.XLOOKUP(1,$H100:$BE100,$H$4:$BE$4),12*Assumptions!$G$87+12)=AS$4,0,IF(AR100=1,PMT(Assumptions!$G$85,Assumptions!$G$87,$C102),AR113))),0)</f>
        <v>0</v>
      </c>
      <c r="AT113" s="39">
        <f>+IFERROR(-ABS(IF(EDATE(_xlfn.XLOOKUP(1,$H100:$BE100,$H$4:$BE$4),12*Assumptions!$G$87+12)=AT$4,0,IF(AS100=1,PMT(Assumptions!$G$85,Assumptions!$G$87,$C102),AS113))),0)</f>
        <v>0</v>
      </c>
      <c r="AU113" s="39">
        <f>+IFERROR(-ABS(IF(EDATE(_xlfn.XLOOKUP(1,$H100:$BE100,$H$4:$BE$4),12*Assumptions!$G$87+12)=AU$4,0,IF(AT100=1,PMT(Assumptions!$G$85,Assumptions!$G$87,$C102),AT113))),0)</f>
        <v>0</v>
      </c>
      <c r="AV113" s="39">
        <f>+IFERROR(-ABS(IF(EDATE(_xlfn.XLOOKUP(1,$H100:$BE100,$H$4:$BE$4),12*Assumptions!$G$87+12)=AV$4,0,IF(AU100=1,PMT(Assumptions!$G$85,Assumptions!$G$87,$C102),AU113))),0)</f>
        <v>0</v>
      </c>
      <c r="AW113" s="39">
        <f>+IFERROR(-ABS(IF(EDATE(_xlfn.XLOOKUP(1,$H100:$BE100,$H$4:$BE$4),12*Assumptions!$G$87+12)=AW$4,0,IF(AV100=1,PMT(Assumptions!$G$85,Assumptions!$G$87,$C102),AV113))),0)</f>
        <v>0</v>
      </c>
      <c r="AX113" s="39">
        <f>+IFERROR(-ABS(IF(EDATE(_xlfn.XLOOKUP(1,$H100:$BE100,$H$4:$BE$4),12*Assumptions!$G$87+12)=AX$4,0,IF(AW100=1,PMT(Assumptions!$G$85,Assumptions!$G$87,$C102),AW113))),0)</f>
        <v>0</v>
      </c>
      <c r="AY113" s="39">
        <f>+IFERROR(-ABS(IF(EDATE(_xlfn.XLOOKUP(1,$H100:$BE100,$H$4:$BE$4),12*Assumptions!$G$87+12)=AY$4,0,IF(AX100=1,PMT(Assumptions!$G$85,Assumptions!$G$87,$C102),AX113))),0)</f>
        <v>0</v>
      </c>
      <c r="AZ113" s="39">
        <f>+IFERROR(-ABS(IF(EDATE(_xlfn.XLOOKUP(1,$H100:$BE100,$H$4:$BE$4),12*Assumptions!$G$87+12)=AZ$4,0,IF(AY100=1,PMT(Assumptions!$G$85,Assumptions!$G$87,$C102),AY113))),0)</f>
        <v>0</v>
      </c>
      <c r="BA113" s="39">
        <f>+IFERROR(-ABS(IF(EDATE(_xlfn.XLOOKUP(1,$H100:$BE100,$H$4:$BE$4),12*Assumptions!$G$87+12)=BA$4,0,IF(AZ100=1,PMT(Assumptions!$G$85,Assumptions!$G$87,$C102),AZ113))),0)</f>
        <v>0</v>
      </c>
      <c r="BB113" s="39">
        <f>+IFERROR(-ABS(IF(EDATE(_xlfn.XLOOKUP(1,$H100:$BE100,$H$4:$BE$4),12*Assumptions!$G$87+12)=BB$4,0,IF(BA100=1,PMT(Assumptions!$G$85,Assumptions!$G$87,$C102),BA113))),0)</f>
        <v>0</v>
      </c>
      <c r="BC113" s="39">
        <f>+IFERROR(-ABS(IF(EDATE(_xlfn.XLOOKUP(1,$H100:$BE100,$H$4:$BE$4),12*Assumptions!$G$87+12)=BC$4,0,IF(BB100=1,PMT(Assumptions!$G$85,Assumptions!$G$87,$C102),BB113))),0)</f>
        <v>0</v>
      </c>
      <c r="BD113" s="39">
        <f>+IFERROR(-ABS(IF(EDATE(_xlfn.XLOOKUP(1,$H100:$BE100,$H$4:$BE$4),12*Assumptions!$G$87+12)=BD$4,0,IF(BC100=1,PMT(Assumptions!$G$85,Assumptions!$G$87,$C102),BC113))),0)</f>
        <v>0</v>
      </c>
      <c r="BE113" s="39">
        <f>+IFERROR(-ABS(IF(EDATE(_xlfn.XLOOKUP(1,$H100:$BE100,$H$4:$BE$4),12*Assumptions!$G$87+12)=BE$4,0,IF(BD100=1,PMT(Assumptions!$G$85,Assumptions!$G$87,$C102),BD113))),0)</f>
        <v>0</v>
      </c>
      <c r="BF113" s="39">
        <f>+IFERROR(-ABS(IF(EDATE(_xlfn.XLOOKUP(1,$H100:$BE100,$H$4:$BE$4),12*Assumptions!$G$87+12)=BF$4,0,IF(BE100=1,PMT(Assumptions!$G$85,Assumptions!$G$87,$C102),BE113))),0)</f>
        <v>0</v>
      </c>
      <c r="BG113" s="39">
        <f>+IFERROR(-ABS(IF(EDATE(_xlfn.XLOOKUP(1,$H100:$BE100,$H$4:$BE$4),12*Assumptions!$G$87+12)=BG$4,0,IF(BF100=1,PMT(Assumptions!$G$85,Assumptions!$G$87,$C102),BF113))),0)</f>
        <v>0</v>
      </c>
      <c r="BH113" s="39">
        <f>+IFERROR(-ABS(IF(EDATE(_xlfn.XLOOKUP(1,$H100:$BE100,$H$4:$BE$4),12*Assumptions!$G$87+12)=BH$4,0,IF(BG100=1,PMT(Assumptions!$G$85,Assumptions!$G$87,$C102),BG113))),0)</f>
        <v>0</v>
      </c>
      <c r="BI113" s="39">
        <f>+IFERROR(-ABS(IF(EDATE(_xlfn.XLOOKUP(1,$H100:$BE100,$H$4:$BE$4),12*Assumptions!$G$87+12)=BI$4,0,IF(BH100=1,PMT(Assumptions!$G$85,Assumptions!$G$87,$C102),BH113))),0)</f>
        <v>0</v>
      </c>
      <c r="BJ113" s="39">
        <f>+IFERROR(-ABS(IF(EDATE(_xlfn.XLOOKUP(1,$H100:$BE100,$H$4:$BE$4),12*Assumptions!$G$87+12)=BJ$4,0,IF(BI100=1,PMT(Assumptions!$G$85,Assumptions!$G$87,$C102),BI113))),0)</f>
        <v>0</v>
      </c>
      <c r="BK113" s="39">
        <f>+IFERROR(-ABS(IF(EDATE(_xlfn.XLOOKUP(1,$H100:$BE100,$H$4:$BE$4),12*Assumptions!$G$87+12)=BK$4,0,IF(BJ100=1,PMT(Assumptions!$G$85,Assumptions!$G$87,$C102),BJ113))),0)</f>
        <v>0</v>
      </c>
      <c r="BL113" s="39">
        <f>+IFERROR(-ABS(IF(EDATE(_xlfn.XLOOKUP(1,$H100:$BE100,$H$4:$BE$4),12*Assumptions!$G$87+12)=BL$4,0,IF(BK100=1,PMT(Assumptions!$G$85,Assumptions!$G$87,$C102),BK113))),0)</f>
        <v>0</v>
      </c>
      <c r="BM113" s="39">
        <f>+IFERROR(-ABS(IF(EDATE(_xlfn.XLOOKUP(1,$H100:$BE100,$H$4:$BE$4),12*Assumptions!$G$87+12)=BM$4,0,IF(BL100=1,PMT(Assumptions!$G$85,Assumptions!$G$87,$C102),BL113))),0)</f>
        <v>0</v>
      </c>
      <c r="BN113" s="39">
        <f>+IFERROR(-ABS(IF(EDATE(_xlfn.XLOOKUP(1,$H100:$BE100,$H$4:$BE$4),12*Assumptions!$G$87+12)=BN$4,0,IF(BM100=1,PMT(Assumptions!$G$85,Assumptions!$G$87,$C102),BM113))),0)</f>
        <v>0</v>
      </c>
      <c r="BO113" s="39">
        <f>+IFERROR(-ABS(IF(EDATE(_xlfn.XLOOKUP(1,$H100:$BE100,$H$4:$BE$4),12*Assumptions!$G$87+12)=BO$4,0,IF(BN100=1,PMT(Assumptions!$G$85,Assumptions!$G$87,$C102),BN113))),0)</f>
        <v>0</v>
      </c>
      <c r="BP113" s="39">
        <f>+IFERROR(-ABS(IF(EDATE(_xlfn.XLOOKUP(1,$H100:$BE100,$H$4:$BE$4),12*Assumptions!$G$87+12)=BP$4,0,IF(BO100=1,PMT(Assumptions!$G$85,Assumptions!$G$87,$C102),BO113))),0)</f>
        <v>0</v>
      </c>
      <c r="BQ113" s="39">
        <f>+IFERROR(-ABS(IF(EDATE(_xlfn.XLOOKUP(1,$H100:$BE100,$H$4:$BE$4),12*Assumptions!$G$87+12)=BQ$4,0,IF(BP100=1,PMT(Assumptions!$G$85,Assumptions!$G$87,$C102),BP113))),0)</f>
        <v>0</v>
      </c>
      <c r="BR113" s="39">
        <f>+IFERROR(-ABS(IF(EDATE(_xlfn.XLOOKUP(1,$H100:$BE100,$H$4:$BE$4),12*Assumptions!$G$87+12)=BR$4,0,IF(BQ100=1,PMT(Assumptions!$G$85,Assumptions!$G$87,$C102),BQ113))),0)</f>
        <v>0</v>
      </c>
      <c r="BS113" s="39">
        <f>+IFERROR(-ABS(IF(EDATE(_xlfn.XLOOKUP(1,$H100:$BE100,$H$4:$BE$4),12*Assumptions!$G$87+12)=BS$4,0,IF(BR100=1,PMT(Assumptions!$G$85,Assumptions!$G$87,$C102),BR113))),0)</f>
        <v>0</v>
      </c>
      <c r="BT113" s="39">
        <f>+IFERROR(-ABS(IF(EDATE(_xlfn.XLOOKUP(1,$H100:$BE100,$H$4:$BE$4),12*Assumptions!$G$87+12)=BT$4,0,IF(BS100=1,PMT(Assumptions!$G$85,Assumptions!$G$87,$C102),BS113))),0)</f>
        <v>0</v>
      </c>
      <c r="BU113" s="39">
        <f>+IFERROR(-ABS(IF(EDATE(_xlfn.XLOOKUP(1,$H100:$BE100,$H$4:$BE$4),12*Assumptions!$G$87+12)=BU$4,0,IF(BT100=1,PMT(Assumptions!$G$85,Assumptions!$G$87,$C102),BT113))),0)</f>
        <v>0</v>
      </c>
      <c r="BV113" s="39">
        <f>+IFERROR(-ABS(IF(EDATE(_xlfn.XLOOKUP(1,$H100:$BE100,$H$4:$BE$4),12*Assumptions!$G$87+12)=BV$4,0,IF(BU100=1,PMT(Assumptions!$G$85,Assumptions!$G$87,$C102),BU113))),0)</f>
        <v>0</v>
      </c>
      <c r="BW113" s="39">
        <f>+IFERROR(-ABS(IF(EDATE(_xlfn.XLOOKUP(1,$H100:$BE100,$H$4:$BE$4),12*Assumptions!$G$87+12)=BW$4,0,IF(BV100=1,PMT(Assumptions!$G$85,Assumptions!$G$87,$C102),BV113))),0)</f>
        <v>0</v>
      </c>
      <c r="BX113" s="39">
        <f>+IFERROR(-ABS(IF(EDATE(_xlfn.XLOOKUP(1,$H100:$BE100,$H$4:$BE$4),12*Assumptions!$G$87+12)=BX$4,0,IF(BW100=1,PMT(Assumptions!$G$85,Assumptions!$G$87,$C102),BW113))),0)</f>
        <v>0</v>
      </c>
      <c r="BY113" s="39">
        <f>+IFERROR(-ABS(IF(EDATE(_xlfn.XLOOKUP(1,$H100:$BE100,$H$4:$BE$4),12*Assumptions!$G$87+12)=BY$4,0,IF(BX100=1,PMT(Assumptions!$G$85,Assumptions!$G$87,$C102),BX113))),0)</f>
        <v>0</v>
      </c>
    </row>
    <row r="114" spans="3:77" outlineLevel="1">
      <c r="E114" s="24" t="s">
        <v>517</v>
      </c>
      <c r="F114" s="80" t="str">
        <f>+Assumptions!$G$8</f>
        <v>USD</v>
      </c>
      <c r="G114" s="24"/>
      <c r="H114" s="39">
        <f>+IFERROR(-ABS(IF(EDATE(_xlfn.XLOOKUP(1,$H101:$BE101,$H$4:$BE$4),12*Assumptions!$G$87+12)=H$4,0,IF(G101=1,PMT(Assumptions!$G$85,Assumptions!$G$87,$C103),G114))),0)</f>
        <v>0</v>
      </c>
      <c r="I114" s="39">
        <f>+IFERROR(-ABS(IF(EDATE(_xlfn.XLOOKUP(1,$H101:$BE101,$H$4:$BE$4),12*Assumptions!$G$87+12)=I$4,0,IF(H101=1,PMT(Assumptions!$G$85,Assumptions!$G$87,$C103),H114))),0)</f>
        <v>0</v>
      </c>
      <c r="J114" s="39">
        <f>+IFERROR(-ABS(IF(EDATE(_xlfn.XLOOKUP(1,$H101:$BE101,$H$4:$BE$4),12*Assumptions!$G$87+12)=J$4,0,IF(I101=1,PMT(Assumptions!$G$85,Assumptions!$G$87,$C103),I114))),0)</f>
        <v>0</v>
      </c>
      <c r="K114" s="39">
        <f>+IFERROR(-ABS(IF(EDATE(_xlfn.XLOOKUP(1,$H101:$BE101,$H$4:$BE$4),12*Assumptions!$G$87+12)=K$4,0,IF(J101=1,PMT(Assumptions!$G$85,Assumptions!$G$87,$C103),J114))),0)</f>
        <v>0</v>
      </c>
      <c r="L114" s="39">
        <f>+IFERROR(-ABS(IF(EDATE(_xlfn.XLOOKUP(1,$H101:$BE101,$H$4:$BE$4),12*Assumptions!$G$87+12)=L$4,0,IF(K101=1,PMT(Assumptions!$G$85,Assumptions!$G$87,$C103),K114))),0)</f>
        <v>0</v>
      </c>
      <c r="M114" s="39">
        <f>+IFERROR(-ABS(IF(EDATE(_xlfn.XLOOKUP(1,$H101:$BE101,$H$4:$BE$4),12*Assumptions!$G$87+12)=M$4,0,IF(L101=1,PMT(Assumptions!$G$85,Assumptions!$G$87,$C103),L114))),0)</f>
        <v>0</v>
      </c>
      <c r="N114" s="39">
        <f>+IFERROR(-ABS(IF(EDATE(_xlfn.XLOOKUP(1,$H101:$BE101,$H$4:$BE$4),12*Assumptions!$G$87+12)=N$4,0,IF(M101=1,PMT(Assumptions!$G$85,Assumptions!$G$87,$C103),M114))),0)</f>
        <v>0</v>
      </c>
      <c r="O114" s="39">
        <f>+IFERROR(-ABS(IF(EDATE(_xlfn.XLOOKUP(1,$H101:$BE101,$H$4:$BE$4),12*Assumptions!$G$87+12)=O$4,0,IF(N101=1,PMT(Assumptions!$G$85,Assumptions!$G$87,$C103),N114))),0)</f>
        <v>0</v>
      </c>
      <c r="P114" s="39">
        <f>+IFERROR(-ABS(IF(EDATE(_xlfn.XLOOKUP(1,$H101:$BE101,$H$4:$BE$4),12*Assumptions!$G$87+12)=P$4,0,IF(O101=1,PMT(Assumptions!$G$85,Assumptions!$G$87,$C103),O114))),0)</f>
        <v>0</v>
      </c>
      <c r="Q114" s="39">
        <f>+IFERROR(-ABS(IF(EDATE(_xlfn.XLOOKUP(1,$H101:$BE101,$H$4:$BE$4),12*Assumptions!$G$87+12)=Q$4,0,IF(P101=1,PMT(Assumptions!$G$85,Assumptions!$G$87,$C103),P114))),0)</f>
        <v>0</v>
      </c>
      <c r="R114" s="39">
        <f>+IFERROR(-ABS(IF(EDATE(_xlfn.XLOOKUP(1,$H101:$BE101,$H$4:$BE$4),12*Assumptions!$G$87+12)=R$4,0,IF(Q101=1,PMT(Assumptions!$G$85,Assumptions!$G$87,$C103),Q114))),0)</f>
        <v>0</v>
      </c>
      <c r="S114" s="39">
        <f>+IFERROR(-ABS(IF(EDATE(_xlfn.XLOOKUP(1,$H101:$BE101,$H$4:$BE$4),12*Assumptions!$G$87+12)=S$4,0,IF(R101=1,PMT(Assumptions!$G$85,Assumptions!$G$87,$C103),R114))),0)</f>
        <v>0</v>
      </c>
      <c r="T114" s="39">
        <f>+IFERROR(-ABS(IF(EDATE(_xlfn.XLOOKUP(1,$H101:$BE101,$H$4:$BE$4),12*Assumptions!$G$87+12)=T$4,0,IF(S101=1,PMT(Assumptions!$G$85,Assumptions!$G$87,$C103),S114))),0)</f>
        <v>0</v>
      </c>
      <c r="U114" s="39">
        <f>+IFERROR(-ABS(IF(EDATE(_xlfn.XLOOKUP(1,$H101:$BE101,$H$4:$BE$4),12*Assumptions!$G$87+12)=U$4,0,IF(T101=1,PMT(Assumptions!$G$85,Assumptions!$G$87,$C103),T114))),0)</f>
        <v>0</v>
      </c>
      <c r="V114" s="39">
        <f>+IFERROR(-ABS(IF(EDATE(_xlfn.XLOOKUP(1,$H101:$BE101,$H$4:$BE$4),12*Assumptions!$G$87+12)=V$4,0,IF(U101=1,PMT(Assumptions!$G$85,Assumptions!$G$87,$C103),U114))),0)</f>
        <v>0</v>
      </c>
      <c r="W114" s="39">
        <f>+IFERROR(-ABS(IF(EDATE(_xlfn.XLOOKUP(1,$H101:$BE101,$H$4:$BE$4),12*Assumptions!$G$87+12)=W$4,0,IF(V101=1,PMT(Assumptions!$G$85,Assumptions!$G$87,$C103),V114))),0)</f>
        <v>0</v>
      </c>
      <c r="X114" s="39">
        <f>+IFERROR(-ABS(IF(EDATE(_xlfn.XLOOKUP(1,$H101:$BE101,$H$4:$BE$4),12*Assumptions!$G$87+12)=X$4,0,IF(W101=1,PMT(Assumptions!$G$85,Assumptions!$G$87,$C103),W114))),0)</f>
        <v>0</v>
      </c>
      <c r="Y114" s="39">
        <f>+IFERROR(-ABS(IF(EDATE(_xlfn.XLOOKUP(1,$H101:$BE101,$H$4:$BE$4),12*Assumptions!$G$87+12)=Y$4,0,IF(X101=1,PMT(Assumptions!$G$85,Assumptions!$G$87,$C103),X114))),0)</f>
        <v>0</v>
      </c>
      <c r="Z114" s="39">
        <f>+IFERROR(-ABS(IF(EDATE(_xlfn.XLOOKUP(1,$H101:$BE101,$H$4:$BE$4),12*Assumptions!$G$87+12)=Z$4,0,IF(Y101=1,PMT(Assumptions!$G$85,Assumptions!$G$87,$C103),Y114))),0)</f>
        <v>0</v>
      </c>
      <c r="AA114" s="39">
        <f>+IFERROR(-ABS(IF(EDATE(_xlfn.XLOOKUP(1,$H101:$BE101,$H$4:$BE$4),12*Assumptions!$G$87+12)=AA$4,0,IF(Z101=1,PMT(Assumptions!$G$85,Assumptions!$G$87,$C103),Z114))),0)</f>
        <v>0</v>
      </c>
      <c r="AB114" s="39">
        <f>+IFERROR(-ABS(IF(EDATE(_xlfn.XLOOKUP(1,$H101:$BE101,$H$4:$BE$4),12*Assumptions!$G$87+12)=AB$4,0,IF(AA101=1,PMT(Assumptions!$G$85,Assumptions!$G$87,$C103),AA114))),0)</f>
        <v>0</v>
      </c>
      <c r="AC114" s="39">
        <f>+IFERROR(-ABS(IF(EDATE(_xlfn.XLOOKUP(1,$H101:$BE101,$H$4:$BE$4),12*Assumptions!$G$87+12)=AC$4,0,IF(AB101=1,PMT(Assumptions!$G$85,Assumptions!$G$87,$C103),AB114))),0)</f>
        <v>0</v>
      </c>
      <c r="AD114" s="39">
        <f>+IFERROR(-ABS(IF(EDATE(_xlfn.XLOOKUP(1,$H101:$BE101,$H$4:$BE$4),12*Assumptions!$G$87+12)=AD$4,0,IF(AC101=1,PMT(Assumptions!$G$85,Assumptions!$G$87,$C103),AC114))),0)</f>
        <v>0</v>
      </c>
      <c r="AE114" s="39">
        <f>+IFERROR(-ABS(IF(EDATE(_xlfn.XLOOKUP(1,$H101:$BE101,$H$4:$BE$4),12*Assumptions!$G$87+12)=AE$4,0,IF(AD101=1,PMT(Assumptions!$G$85,Assumptions!$G$87,$C103),AD114))),0)</f>
        <v>0</v>
      </c>
      <c r="AF114" s="39">
        <f>+IFERROR(-ABS(IF(EDATE(_xlfn.XLOOKUP(1,$H101:$BE101,$H$4:$BE$4),12*Assumptions!$G$87+12)=AF$4,0,IF(AE101=1,PMT(Assumptions!$G$85,Assumptions!$G$87,$C103),AE114))),0)</f>
        <v>0</v>
      </c>
      <c r="AG114" s="39">
        <f>+IFERROR(-ABS(IF(EDATE(_xlfn.XLOOKUP(1,$H101:$BE101,$H$4:$BE$4),12*Assumptions!$G$87+12)=AG$4,0,IF(AF101=1,PMT(Assumptions!$G$85,Assumptions!$G$87,$C103),AF114))),0)</f>
        <v>0</v>
      </c>
      <c r="AH114" s="39">
        <f>+IFERROR(-ABS(IF(EDATE(_xlfn.XLOOKUP(1,$H101:$BE101,$H$4:$BE$4),12*Assumptions!$G$87+12)=AH$4,0,IF(AG101=1,PMT(Assumptions!$G$85,Assumptions!$G$87,$C103),AG114))),0)</f>
        <v>0</v>
      </c>
      <c r="AI114" s="39">
        <f>+IFERROR(-ABS(IF(EDATE(_xlfn.XLOOKUP(1,$H101:$BE101,$H$4:$BE$4),12*Assumptions!$G$87+12)=AI$4,0,IF(AH101=1,PMT(Assumptions!$G$85,Assumptions!$G$87,$C103),AH114))),0)</f>
        <v>0</v>
      </c>
      <c r="AJ114" s="39">
        <f>+IFERROR(-ABS(IF(EDATE(_xlfn.XLOOKUP(1,$H101:$BE101,$H$4:$BE$4),12*Assumptions!$G$87+12)=AJ$4,0,IF(AI101=1,PMT(Assumptions!$G$85,Assumptions!$G$87,$C103),AI114))),0)</f>
        <v>0</v>
      </c>
      <c r="AK114" s="39">
        <f>+IFERROR(-ABS(IF(EDATE(_xlfn.XLOOKUP(1,$H101:$BE101,$H$4:$BE$4),12*Assumptions!$G$87+12)=AK$4,0,IF(AJ101=1,PMT(Assumptions!$G$85,Assumptions!$G$87,$C103),AJ114))),0)</f>
        <v>0</v>
      </c>
      <c r="AL114" s="39">
        <f>+IFERROR(-ABS(IF(EDATE(_xlfn.XLOOKUP(1,$H101:$BE101,$H$4:$BE$4),12*Assumptions!$G$87+12)=AL$4,0,IF(AK101=1,PMT(Assumptions!$G$85,Assumptions!$G$87,$C103),AK114))),0)</f>
        <v>0</v>
      </c>
      <c r="AM114" s="39">
        <f>+IFERROR(-ABS(IF(EDATE(_xlfn.XLOOKUP(1,$H101:$BE101,$H$4:$BE$4),12*Assumptions!$G$87+12)=AM$4,0,IF(AL101=1,PMT(Assumptions!$G$85,Assumptions!$G$87,$C103),AL114))),0)</f>
        <v>0</v>
      </c>
      <c r="AN114" s="39">
        <f>+IFERROR(-ABS(IF(EDATE(_xlfn.XLOOKUP(1,$H101:$BE101,$H$4:$BE$4),12*Assumptions!$G$87+12)=AN$4,0,IF(AM101=1,PMT(Assumptions!$G$85,Assumptions!$G$87,$C103),AM114))),0)</f>
        <v>0</v>
      </c>
      <c r="AO114" s="39">
        <f>+IFERROR(-ABS(IF(EDATE(_xlfn.XLOOKUP(1,$H101:$BE101,$H$4:$BE$4),12*Assumptions!$G$87+12)=AO$4,0,IF(AN101=1,PMT(Assumptions!$G$85,Assumptions!$G$87,$C103),AN114))),0)</f>
        <v>0</v>
      </c>
      <c r="AP114" s="39">
        <f>+IFERROR(-ABS(IF(EDATE(_xlfn.XLOOKUP(1,$H101:$BE101,$H$4:$BE$4),12*Assumptions!$G$87+12)=AP$4,0,IF(AO101=1,PMT(Assumptions!$G$85,Assumptions!$G$87,$C103),AO114))),0)</f>
        <v>0</v>
      </c>
      <c r="AQ114" s="39">
        <f>+IFERROR(-ABS(IF(EDATE(_xlfn.XLOOKUP(1,$H101:$BE101,$H$4:$BE$4),12*Assumptions!$G$87+12)=AQ$4,0,IF(AP101=1,PMT(Assumptions!$G$85,Assumptions!$G$87,$C103),AP114))),0)</f>
        <v>0</v>
      </c>
      <c r="AR114" s="39">
        <f>+IFERROR(-ABS(IF(EDATE(_xlfn.XLOOKUP(1,$H101:$BE101,$H$4:$BE$4),12*Assumptions!$G$87+12)=AR$4,0,IF(AQ101=1,PMT(Assumptions!$G$85,Assumptions!$G$87,$C103),AQ114))),0)</f>
        <v>0</v>
      </c>
      <c r="AS114" s="39">
        <f>+IFERROR(-ABS(IF(EDATE(_xlfn.XLOOKUP(1,$H101:$BE101,$H$4:$BE$4),12*Assumptions!$G$87+12)=AS$4,0,IF(AR101=1,PMT(Assumptions!$G$85,Assumptions!$G$87,$C103),AR114))),0)</f>
        <v>0</v>
      </c>
      <c r="AT114" s="39">
        <f>+IFERROR(-ABS(IF(EDATE(_xlfn.XLOOKUP(1,$H101:$BE101,$H$4:$BE$4),12*Assumptions!$G$87+12)=AT$4,0,IF(AS101=1,PMT(Assumptions!$G$85,Assumptions!$G$87,$C103),AS114))),0)</f>
        <v>0</v>
      </c>
      <c r="AU114" s="39">
        <f>+IFERROR(-ABS(IF(EDATE(_xlfn.XLOOKUP(1,$H101:$BE101,$H$4:$BE$4),12*Assumptions!$G$87+12)=AU$4,0,IF(AT101=1,PMT(Assumptions!$G$85,Assumptions!$G$87,$C103),AT114))),0)</f>
        <v>0</v>
      </c>
      <c r="AV114" s="39">
        <f>+IFERROR(-ABS(IF(EDATE(_xlfn.XLOOKUP(1,$H101:$BE101,$H$4:$BE$4),12*Assumptions!$G$87+12)=AV$4,0,IF(AU101=1,PMT(Assumptions!$G$85,Assumptions!$G$87,$C103),AU114))),0)</f>
        <v>0</v>
      </c>
      <c r="AW114" s="39">
        <f>+IFERROR(-ABS(IF(EDATE(_xlfn.XLOOKUP(1,$H101:$BE101,$H$4:$BE$4),12*Assumptions!$G$87+12)=AW$4,0,IF(AV101=1,PMT(Assumptions!$G$85,Assumptions!$G$87,$C103),AV114))),0)</f>
        <v>0</v>
      </c>
      <c r="AX114" s="39">
        <f>+IFERROR(-ABS(IF(EDATE(_xlfn.XLOOKUP(1,$H101:$BE101,$H$4:$BE$4),12*Assumptions!$G$87+12)=AX$4,0,IF(AW101=1,PMT(Assumptions!$G$85,Assumptions!$G$87,$C103),AW114))),0)</f>
        <v>0</v>
      </c>
      <c r="AY114" s="39">
        <f>+IFERROR(-ABS(IF(EDATE(_xlfn.XLOOKUP(1,$H101:$BE101,$H$4:$BE$4),12*Assumptions!$G$87+12)=AY$4,0,IF(AX101=1,PMT(Assumptions!$G$85,Assumptions!$G$87,$C103),AX114))),0)</f>
        <v>0</v>
      </c>
      <c r="AZ114" s="39">
        <f>+IFERROR(-ABS(IF(EDATE(_xlfn.XLOOKUP(1,$H101:$BE101,$H$4:$BE$4),12*Assumptions!$G$87+12)=AZ$4,0,IF(AY101=1,PMT(Assumptions!$G$85,Assumptions!$G$87,$C103),AY114))),0)</f>
        <v>0</v>
      </c>
      <c r="BA114" s="39">
        <f>+IFERROR(-ABS(IF(EDATE(_xlfn.XLOOKUP(1,$H101:$BE101,$H$4:$BE$4),12*Assumptions!$G$87+12)=BA$4,0,IF(AZ101=1,PMT(Assumptions!$G$85,Assumptions!$G$87,$C103),AZ114))),0)</f>
        <v>0</v>
      </c>
      <c r="BB114" s="39">
        <f>+IFERROR(-ABS(IF(EDATE(_xlfn.XLOOKUP(1,$H101:$BE101,$H$4:$BE$4),12*Assumptions!$G$87+12)=BB$4,0,IF(BA101=1,PMT(Assumptions!$G$85,Assumptions!$G$87,$C103),BA114))),0)</f>
        <v>0</v>
      </c>
      <c r="BC114" s="39">
        <f>+IFERROR(-ABS(IF(EDATE(_xlfn.XLOOKUP(1,$H101:$BE101,$H$4:$BE$4),12*Assumptions!$G$87+12)=BC$4,0,IF(BB101=1,PMT(Assumptions!$G$85,Assumptions!$G$87,$C103),BB114))),0)</f>
        <v>0</v>
      </c>
      <c r="BD114" s="39">
        <f>+IFERROR(-ABS(IF(EDATE(_xlfn.XLOOKUP(1,$H101:$BE101,$H$4:$BE$4),12*Assumptions!$G$87+12)=BD$4,0,IF(BC101=1,PMT(Assumptions!$G$85,Assumptions!$G$87,$C103),BC114))),0)</f>
        <v>0</v>
      </c>
      <c r="BE114" s="39">
        <f>+IFERROR(-ABS(IF(EDATE(_xlfn.XLOOKUP(1,$H101:$BE101,$H$4:$BE$4),12*Assumptions!$G$87+12)=BE$4,0,IF(BD101=1,PMT(Assumptions!$G$85,Assumptions!$G$87,$C103),BD114))),0)</f>
        <v>0</v>
      </c>
      <c r="BF114" s="39">
        <f>+IFERROR(-ABS(IF(EDATE(_xlfn.XLOOKUP(1,$H101:$BE101,$H$4:$BE$4),12*Assumptions!$G$87+12)=BF$4,0,IF(BE101=1,PMT(Assumptions!$G$85,Assumptions!$G$87,$C103),BE114))),0)</f>
        <v>0</v>
      </c>
      <c r="BG114" s="39">
        <f>+IFERROR(-ABS(IF(EDATE(_xlfn.XLOOKUP(1,$H101:$BE101,$H$4:$BE$4),12*Assumptions!$G$87+12)=BG$4,0,IF(BF101=1,PMT(Assumptions!$G$85,Assumptions!$G$87,$C103),BF114))),0)</f>
        <v>0</v>
      </c>
      <c r="BH114" s="39">
        <f>+IFERROR(-ABS(IF(EDATE(_xlfn.XLOOKUP(1,$H101:$BE101,$H$4:$BE$4),12*Assumptions!$G$87+12)=BH$4,0,IF(BG101=1,PMT(Assumptions!$G$85,Assumptions!$G$87,$C103),BG114))),0)</f>
        <v>0</v>
      </c>
      <c r="BI114" s="39">
        <f>+IFERROR(-ABS(IF(EDATE(_xlfn.XLOOKUP(1,$H101:$BE101,$H$4:$BE$4),12*Assumptions!$G$87+12)=BI$4,0,IF(BH101=1,PMT(Assumptions!$G$85,Assumptions!$G$87,$C103),BH114))),0)</f>
        <v>0</v>
      </c>
      <c r="BJ114" s="39">
        <f>+IFERROR(-ABS(IF(EDATE(_xlfn.XLOOKUP(1,$H101:$BE101,$H$4:$BE$4),12*Assumptions!$G$87+12)=BJ$4,0,IF(BI101=1,PMT(Assumptions!$G$85,Assumptions!$G$87,$C103),BI114))),0)</f>
        <v>0</v>
      </c>
      <c r="BK114" s="39">
        <f>+IFERROR(-ABS(IF(EDATE(_xlfn.XLOOKUP(1,$H101:$BE101,$H$4:$BE$4),12*Assumptions!$G$87+12)=BK$4,0,IF(BJ101=1,PMT(Assumptions!$G$85,Assumptions!$G$87,$C103),BJ114))),0)</f>
        <v>0</v>
      </c>
      <c r="BL114" s="39">
        <f>+IFERROR(-ABS(IF(EDATE(_xlfn.XLOOKUP(1,$H101:$BE101,$H$4:$BE$4),12*Assumptions!$G$87+12)=BL$4,0,IF(BK101=1,PMT(Assumptions!$G$85,Assumptions!$G$87,$C103),BK114))),0)</f>
        <v>0</v>
      </c>
      <c r="BM114" s="39">
        <f>+IFERROR(-ABS(IF(EDATE(_xlfn.XLOOKUP(1,$H101:$BE101,$H$4:$BE$4),12*Assumptions!$G$87+12)=BM$4,0,IF(BL101=1,PMT(Assumptions!$G$85,Assumptions!$G$87,$C103),BL114))),0)</f>
        <v>0</v>
      </c>
      <c r="BN114" s="39">
        <f>+IFERROR(-ABS(IF(EDATE(_xlfn.XLOOKUP(1,$H101:$BE101,$H$4:$BE$4),12*Assumptions!$G$87+12)=BN$4,0,IF(BM101=1,PMT(Assumptions!$G$85,Assumptions!$G$87,$C103),BM114))),0)</f>
        <v>0</v>
      </c>
      <c r="BO114" s="39">
        <f>+IFERROR(-ABS(IF(EDATE(_xlfn.XLOOKUP(1,$H101:$BE101,$H$4:$BE$4),12*Assumptions!$G$87+12)=BO$4,0,IF(BN101=1,PMT(Assumptions!$G$85,Assumptions!$G$87,$C103),BN114))),0)</f>
        <v>0</v>
      </c>
      <c r="BP114" s="39">
        <f>+IFERROR(-ABS(IF(EDATE(_xlfn.XLOOKUP(1,$H101:$BE101,$H$4:$BE$4),12*Assumptions!$G$87+12)=BP$4,0,IF(BO101=1,PMT(Assumptions!$G$85,Assumptions!$G$87,$C103),BO114))),0)</f>
        <v>0</v>
      </c>
      <c r="BQ114" s="39">
        <f>+IFERROR(-ABS(IF(EDATE(_xlfn.XLOOKUP(1,$H101:$BE101,$H$4:$BE$4),12*Assumptions!$G$87+12)=BQ$4,0,IF(BP101=1,PMT(Assumptions!$G$85,Assumptions!$G$87,$C103),BP114))),0)</f>
        <v>0</v>
      </c>
      <c r="BR114" s="39">
        <f>+IFERROR(-ABS(IF(EDATE(_xlfn.XLOOKUP(1,$H101:$BE101,$H$4:$BE$4),12*Assumptions!$G$87+12)=BR$4,0,IF(BQ101=1,PMT(Assumptions!$G$85,Assumptions!$G$87,$C103),BQ114))),0)</f>
        <v>0</v>
      </c>
      <c r="BS114" s="39">
        <f>+IFERROR(-ABS(IF(EDATE(_xlfn.XLOOKUP(1,$H101:$BE101,$H$4:$BE$4),12*Assumptions!$G$87+12)=BS$4,0,IF(BR101=1,PMT(Assumptions!$G$85,Assumptions!$G$87,$C103),BR114))),0)</f>
        <v>0</v>
      </c>
      <c r="BT114" s="39">
        <f>+IFERROR(-ABS(IF(EDATE(_xlfn.XLOOKUP(1,$H101:$BE101,$H$4:$BE$4),12*Assumptions!$G$87+12)=BT$4,0,IF(BS101=1,PMT(Assumptions!$G$85,Assumptions!$G$87,$C103),BS114))),0)</f>
        <v>0</v>
      </c>
      <c r="BU114" s="39">
        <f>+IFERROR(-ABS(IF(EDATE(_xlfn.XLOOKUP(1,$H101:$BE101,$H$4:$BE$4),12*Assumptions!$G$87+12)=BU$4,0,IF(BT101=1,PMT(Assumptions!$G$85,Assumptions!$G$87,$C103),BT114))),0)</f>
        <v>0</v>
      </c>
      <c r="BV114" s="39">
        <f>+IFERROR(-ABS(IF(EDATE(_xlfn.XLOOKUP(1,$H101:$BE101,$H$4:$BE$4),12*Assumptions!$G$87+12)=BV$4,0,IF(BU101=1,PMT(Assumptions!$G$85,Assumptions!$G$87,$C103),BU114))),0)</f>
        <v>0</v>
      </c>
      <c r="BW114" s="39">
        <f>+IFERROR(-ABS(IF(EDATE(_xlfn.XLOOKUP(1,$H101:$BE101,$H$4:$BE$4),12*Assumptions!$G$87+12)=BW$4,0,IF(BV101=1,PMT(Assumptions!$G$85,Assumptions!$G$87,$C103),BV114))),0)</f>
        <v>0</v>
      </c>
      <c r="BX114" s="39">
        <f>+IFERROR(-ABS(IF(EDATE(_xlfn.XLOOKUP(1,$H101:$BE101,$H$4:$BE$4),12*Assumptions!$G$87+12)=BX$4,0,IF(BW101=1,PMT(Assumptions!$G$85,Assumptions!$G$87,$C103),BW114))),0)</f>
        <v>0</v>
      </c>
      <c r="BY114" s="39">
        <f>+IFERROR(-ABS(IF(EDATE(_xlfn.XLOOKUP(1,$H101:$BE101,$H$4:$BE$4),12*Assumptions!$G$87+12)=BY$4,0,IF(BX101=1,PMT(Assumptions!$G$85,Assumptions!$G$87,$C103),BX114))),0)</f>
        <v>0</v>
      </c>
    </row>
    <row r="115" spans="3:77" outlineLevel="1">
      <c r="E115" s="24" t="s">
        <v>518</v>
      </c>
      <c r="F115" s="80" t="str">
        <f>+Assumptions!$G$8</f>
        <v>USD</v>
      </c>
      <c r="G115" s="24"/>
      <c r="H115" s="39">
        <f>+IFERROR(-ABS(IF(EDATE(_xlfn.XLOOKUP(1,$H102:$BE102,$H$4:$BE$4),12*Assumptions!$G$87+12)=H$4,0,IF(G102=1,PMT(Assumptions!$G$85,Assumptions!$G$87,$C104),G115))),0)</f>
        <v>0</v>
      </c>
      <c r="I115" s="39">
        <f>+IFERROR(-ABS(IF(EDATE(_xlfn.XLOOKUP(1,$H102:$BE102,$H$4:$BE$4),12*Assumptions!$G$87+12)=I$4,0,IF(H102=1,PMT(Assumptions!$G$85,Assumptions!$G$87,$C104),H115))),0)</f>
        <v>0</v>
      </c>
      <c r="J115" s="39">
        <f>+IFERROR(-ABS(IF(EDATE(_xlfn.XLOOKUP(1,$H102:$BE102,$H$4:$BE$4),12*Assumptions!$G$87+12)=J$4,0,IF(I102=1,PMT(Assumptions!$G$85,Assumptions!$G$87,$C104),I115))),0)</f>
        <v>0</v>
      </c>
      <c r="K115" s="39">
        <f>+IFERROR(-ABS(IF(EDATE(_xlfn.XLOOKUP(1,$H102:$BE102,$H$4:$BE$4),12*Assumptions!$G$87+12)=K$4,0,IF(J102=1,PMT(Assumptions!$G$85,Assumptions!$G$87,$C104),J115))),0)</f>
        <v>0</v>
      </c>
      <c r="L115" s="39">
        <f>+IFERROR(-ABS(IF(EDATE(_xlfn.XLOOKUP(1,$H102:$BE102,$H$4:$BE$4),12*Assumptions!$G$87+12)=L$4,0,IF(K102=1,PMT(Assumptions!$G$85,Assumptions!$G$87,$C104),K115))),0)</f>
        <v>0</v>
      </c>
      <c r="M115" s="39">
        <f>+IFERROR(-ABS(IF(EDATE(_xlfn.XLOOKUP(1,$H102:$BE102,$H$4:$BE$4),12*Assumptions!$G$87+12)=M$4,0,IF(L102=1,PMT(Assumptions!$G$85,Assumptions!$G$87,$C104),L115))),0)</f>
        <v>0</v>
      </c>
      <c r="N115" s="39">
        <f>+IFERROR(-ABS(IF(EDATE(_xlfn.XLOOKUP(1,$H102:$BE102,$H$4:$BE$4),12*Assumptions!$G$87+12)=N$4,0,IF(M102=1,PMT(Assumptions!$G$85,Assumptions!$G$87,$C104),M115))),0)</f>
        <v>0</v>
      </c>
      <c r="O115" s="39">
        <f>+IFERROR(-ABS(IF(EDATE(_xlfn.XLOOKUP(1,$H102:$BE102,$H$4:$BE$4),12*Assumptions!$G$87+12)=O$4,0,IF(N102=1,PMT(Assumptions!$G$85,Assumptions!$G$87,$C104),N115))),0)</f>
        <v>0</v>
      </c>
      <c r="P115" s="39">
        <f>+IFERROR(-ABS(IF(EDATE(_xlfn.XLOOKUP(1,$H102:$BE102,$H$4:$BE$4),12*Assumptions!$G$87+12)=P$4,0,IF(O102=1,PMT(Assumptions!$G$85,Assumptions!$G$87,$C104),O115))),0)</f>
        <v>0</v>
      </c>
      <c r="Q115" s="39">
        <f>+IFERROR(-ABS(IF(EDATE(_xlfn.XLOOKUP(1,$H102:$BE102,$H$4:$BE$4),12*Assumptions!$G$87+12)=Q$4,0,IF(P102=1,PMT(Assumptions!$G$85,Assumptions!$G$87,$C104),P115))),0)</f>
        <v>0</v>
      </c>
      <c r="R115" s="39">
        <f>+IFERROR(-ABS(IF(EDATE(_xlfn.XLOOKUP(1,$H102:$BE102,$H$4:$BE$4),12*Assumptions!$G$87+12)=R$4,0,IF(Q102=1,PMT(Assumptions!$G$85,Assumptions!$G$87,$C104),Q115))),0)</f>
        <v>0</v>
      </c>
      <c r="S115" s="39">
        <f>+IFERROR(-ABS(IF(EDATE(_xlfn.XLOOKUP(1,$H102:$BE102,$H$4:$BE$4),12*Assumptions!$G$87+12)=S$4,0,IF(R102=1,PMT(Assumptions!$G$85,Assumptions!$G$87,$C104),R115))),0)</f>
        <v>0</v>
      </c>
      <c r="T115" s="39">
        <f>+IFERROR(-ABS(IF(EDATE(_xlfn.XLOOKUP(1,$H102:$BE102,$H$4:$BE$4),12*Assumptions!$G$87+12)=T$4,0,IF(S102=1,PMT(Assumptions!$G$85,Assumptions!$G$87,$C104),S115))),0)</f>
        <v>0</v>
      </c>
      <c r="U115" s="39">
        <f>+IFERROR(-ABS(IF(EDATE(_xlfn.XLOOKUP(1,$H102:$BE102,$H$4:$BE$4),12*Assumptions!$G$87+12)=U$4,0,IF(T102=1,PMT(Assumptions!$G$85,Assumptions!$G$87,$C104),T115))),0)</f>
        <v>0</v>
      </c>
      <c r="V115" s="39">
        <f>+IFERROR(-ABS(IF(EDATE(_xlfn.XLOOKUP(1,$H102:$BE102,$H$4:$BE$4),12*Assumptions!$G$87+12)=V$4,0,IF(U102=1,PMT(Assumptions!$G$85,Assumptions!$G$87,$C104),U115))),0)</f>
        <v>0</v>
      </c>
      <c r="W115" s="39">
        <f>+IFERROR(-ABS(IF(EDATE(_xlfn.XLOOKUP(1,$H102:$BE102,$H$4:$BE$4),12*Assumptions!$G$87+12)=W$4,0,IF(V102=1,PMT(Assumptions!$G$85,Assumptions!$G$87,$C104),V115))),0)</f>
        <v>0</v>
      </c>
      <c r="X115" s="39">
        <f>+IFERROR(-ABS(IF(EDATE(_xlfn.XLOOKUP(1,$H102:$BE102,$H$4:$BE$4),12*Assumptions!$G$87+12)=X$4,0,IF(W102=1,PMT(Assumptions!$G$85,Assumptions!$G$87,$C104),W115))),0)</f>
        <v>0</v>
      </c>
      <c r="Y115" s="39">
        <f>+IFERROR(-ABS(IF(EDATE(_xlfn.XLOOKUP(1,$H102:$BE102,$H$4:$BE$4),12*Assumptions!$G$87+12)=Y$4,0,IF(X102=1,PMT(Assumptions!$G$85,Assumptions!$G$87,$C104),X115))),0)</f>
        <v>0</v>
      </c>
      <c r="Z115" s="39">
        <f>+IFERROR(-ABS(IF(EDATE(_xlfn.XLOOKUP(1,$H102:$BE102,$H$4:$BE$4),12*Assumptions!$G$87+12)=Z$4,0,IF(Y102=1,PMT(Assumptions!$G$85,Assumptions!$G$87,$C104),Y115))),0)</f>
        <v>0</v>
      </c>
      <c r="AA115" s="39">
        <f>+IFERROR(-ABS(IF(EDATE(_xlfn.XLOOKUP(1,$H102:$BE102,$H$4:$BE$4),12*Assumptions!$G$87+12)=AA$4,0,IF(Z102=1,PMT(Assumptions!$G$85,Assumptions!$G$87,$C104),Z115))),0)</f>
        <v>0</v>
      </c>
      <c r="AB115" s="39">
        <f>+IFERROR(-ABS(IF(EDATE(_xlfn.XLOOKUP(1,$H102:$BE102,$H$4:$BE$4),12*Assumptions!$G$87+12)=AB$4,0,IF(AA102=1,PMT(Assumptions!$G$85,Assumptions!$G$87,$C104),AA115))),0)</f>
        <v>0</v>
      </c>
      <c r="AC115" s="39">
        <f>+IFERROR(-ABS(IF(EDATE(_xlfn.XLOOKUP(1,$H102:$BE102,$H$4:$BE$4),12*Assumptions!$G$87+12)=AC$4,0,IF(AB102=1,PMT(Assumptions!$G$85,Assumptions!$G$87,$C104),AB115))),0)</f>
        <v>0</v>
      </c>
      <c r="AD115" s="39">
        <f>+IFERROR(-ABS(IF(EDATE(_xlfn.XLOOKUP(1,$H102:$BE102,$H$4:$BE$4),12*Assumptions!$G$87+12)=AD$4,0,IF(AC102=1,PMT(Assumptions!$G$85,Assumptions!$G$87,$C104),AC115))),0)</f>
        <v>0</v>
      </c>
      <c r="AE115" s="39">
        <f>+IFERROR(-ABS(IF(EDATE(_xlfn.XLOOKUP(1,$H102:$BE102,$H$4:$BE$4),12*Assumptions!$G$87+12)=AE$4,0,IF(AD102=1,PMT(Assumptions!$G$85,Assumptions!$G$87,$C104),AD115))),0)</f>
        <v>0</v>
      </c>
      <c r="AF115" s="39">
        <f>+IFERROR(-ABS(IF(EDATE(_xlfn.XLOOKUP(1,$H102:$BE102,$H$4:$BE$4),12*Assumptions!$G$87+12)=AF$4,0,IF(AE102=1,PMT(Assumptions!$G$85,Assumptions!$G$87,$C104),AE115))),0)</f>
        <v>0</v>
      </c>
      <c r="AG115" s="39">
        <f>+IFERROR(-ABS(IF(EDATE(_xlfn.XLOOKUP(1,$H102:$BE102,$H$4:$BE$4),12*Assumptions!$G$87+12)=AG$4,0,IF(AF102=1,PMT(Assumptions!$G$85,Assumptions!$G$87,$C104),AF115))),0)</f>
        <v>0</v>
      </c>
      <c r="AH115" s="39">
        <f>+IFERROR(-ABS(IF(EDATE(_xlfn.XLOOKUP(1,$H102:$BE102,$H$4:$BE$4),12*Assumptions!$G$87+12)=AH$4,0,IF(AG102=1,PMT(Assumptions!$G$85,Assumptions!$G$87,$C104),AG115))),0)</f>
        <v>0</v>
      </c>
      <c r="AI115" s="39">
        <f>+IFERROR(-ABS(IF(EDATE(_xlfn.XLOOKUP(1,$H102:$BE102,$H$4:$BE$4),12*Assumptions!$G$87+12)=AI$4,0,IF(AH102=1,PMT(Assumptions!$G$85,Assumptions!$G$87,$C104),AH115))),0)</f>
        <v>0</v>
      </c>
      <c r="AJ115" s="39">
        <f>+IFERROR(-ABS(IF(EDATE(_xlfn.XLOOKUP(1,$H102:$BE102,$H$4:$BE$4),12*Assumptions!$G$87+12)=AJ$4,0,IF(AI102=1,PMT(Assumptions!$G$85,Assumptions!$G$87,$C104),AI115))),0)</f>
        <v>0</v>
      </c>
      <c r="AK115" s="39">
        <f>+IFERROR(-ABS(IF(EDATE(_xlfn.XLOOKUP(1,$H102:$BE102,$H$4:$BE$4),12*Assumptions!$G$87+12)=AK$4,0,IF(AJ102=1,PMT(Assumptions!$G$85,Assumptions!$G$87,$C104),AJ115))),0)</f>
        <v>0</v>
      </c>
      <c r="AL115" s="39">
        <f>+IFERROR(-ABS(IF(EDATE(_xlfn.XLOOKUP(1,$H102:$BE102,$H$4:$BE$4),12*Assumptions!$G$87+12)=AL$4,0,IF(AK102=1,PMT(Assumptions!$G$85,Assumptions!$G$87,$C104),AK115))),0)</f>
        <v>0</v>
      </c>
      <c r="AM115" s="39">
        <f>+IFERROR(-ABS(IF(EDATE(_xlfn.XLOOKUP(1,$H102:$BE102,$H$4:$BE$4),12*Assumptions!$G$87+12)=AM$4,0,IF(AL102=1,PMT(Assumptions!$G$85,Assumptions!$G$87,$C104),AL115))),0)</f>
        <v>0</v>
      </c>
      <c r="AN115" s="39">
        <f>+IFERROR(-ABS(IF(EDATE(_xlfn.XLOOKUP(1,$H102:$BE102,$H$4:$BE$4),12*Assumptions!$G$87+12)=AN$4,0,IF(AM102=1,PMT(Assumptions!$G$85,Assumptions!$G$87,$C104),AM115))),0)</f>
        <v>0</v>
      </c>
      <c r="AO115" s="39">
        <f>+IFERROR(-ABS(IF(EDATE(_xlfn.XLOOKUP(1,$H102:$BE102,$H$4:$BE$4),12*Assumptions!$G$87+12)=AO$4,0,IF(AN102=1,PMT(Assumptions!$G$85,Assumptions!$G$87,$C104),AN115))),0)</f>
        <v>0</v>
      </c>
      <c r="AP115" s="39">
        <f>+IFERROR(-ABS(IF(EDATE(_xlfn.XLOOKUP(1,$H102:$BE102,$H$4:$BE$4),12*Assumptions!$G$87+12)=AP$4,0,IF(AO102=1,PMT(Assumptions!$G$85,Assumptions!$G$87,$C104),AO115))),0)</f>
        <v>0</v>
      </c>
      <c r="AQ115" s="39">
        <f>+IFERROR(-ABS(IF(EDATE(_xlfn.XLOOKUP(1,$H102:$BE102,$H$4:$BE$4),12*Assumptions!$G$87+12)=AQ$4,0,IF(AP102=1,PMT(Assumptions!$G$85,Assumptions!$G$87,$C104),AP115))),0)</f>
        <v>0</v>
      </c>
      <c r="AR115" s="39">
        <f>+IFERROR(-ABS(IF(EDATE(_xlfn.XLOOKUP(1,$H102:$BE102,$H$4:$BE$4),12*Assumptions!$G$87+12)=AR$4,0,IF(AQ102=1,PMT(Assumptions!$G$85,Assumptions!$G$87,$C104),AQ115))),0)</f>
        <v>0</v>
      </c>
      <c r="AS115" s="39">
        <f>+IFERROR(-ABS(IF(EDATE(_xlfn.XLOOKUP(1,$H102:$BE102,$H$4:$BE$4),12*Assumptions!$G$87+12)=AS$4,0,IF(AR102=1,PMT(Assumptions!$G$85,Assumptions!$G$87,$C104),AR115))),0)</f>
        <v>0</v>
      </c>
      <c r="AT115" s="39">
        <f>+IFERROR(-ABS(IF(EDATE(_xlfn.XLOOKUP(1,$H102:$BE102,$H$4:$BE$4),12*Assumptions!$G$87+12)=AT$4,0,IF(AS102=1,PMT(Assumptions!$G$85,Assumptions!$G$87,$C104),AS115))),0)</f>
        <v>0</v>
      </c>
      <c r="AU115" s="39">
        <f>+IFERROR(-ABS(IF(EDATE(_xlfn.XLOOKUP(1,$H102:$BE102,$H$4:$BE$4),12*Assumptions!$G$87+12)=AU$4,0,IF(AT102=1,PMT(Assumptions!$G$85,Assumptions!$G$87,$C104),AT115))),0)</f>
        <v>0</v>
      </c>
      <c r="AV115" s="39">
        <f>+IFERROR(-ABS(IF(EDATE(_xlfn.XLOOKUP(1,$H102:$BE102,$H$4:$BE$4),12*Assumptions!$G$87+12)=AV$4,0,IF(AU102=1,PMT(Assumptions!$G$85,Assumptions!$G$87,$C104),AU115))),0)</f>
        <v>0</v>
      </c>
      <c r="AW115" s="39">
        <f>+IFERROR(-ABS(IF(EDATE(_xlfn.XLOOKUP(1,$H102:$BE102,$H$4:$BE$4),12*Assumptions!$G$87+12)=AW$4,0,IF(AV102=1,PMT(Assumptions!$G$85,Assumptions!$G$87,$C104),AV115))),0)</f>
        <v>0</v>
      </c>
      <c r="AX115" s="39">
        <f>+IFERROR(-ABS(IF(EDATE(_xlfn.XLOOKUP(1,$H102:$BE102,$H$4:$BE$4),12*Assumptions!$G$87+12)=AX$4,0,IF(AW102=1,PMT(Assumptions!$G$85,Assumptions!$G$87,$C104),AW115))),0)</f>
        <v>0</v>
      </c>
      <c r="AY115" s="39">
        <f>+IFERROR(-ABS(IF(EDATE(_xlfn.XLOOKUP(1,$H102:$BE102,$H$4:$BE$4),12*Assumptions!$G$87+12)=AY$4,0,IF(AX102=1,PMT(Assumptions!$G$85,Assumptions!$G$87,$C104),AX115))),0)</f>
        <v>0</v>
      </c>
      <c r="AZ115" s="39">
        <f>+IFERROR(-ABS(IF(EDATE(_xlfn.XLOOKUP(1,$H102:$BE102,$H$4:$BE$4),12*Assumptions!$G$87+12)=AZ$4,0,IF(AY102=1,PMT(Assumptions!$G$85,Assumptions!$G$87,$C104),AY115))),0)</f>
        <v>0</v>
      </c>
      <c r="BA115" s="39">
        <f>+IFERROR(-ABS(IF(EDATE(_xlfn.XLOOKUP(1,$H102:$BE102,$H$4:$BE$4),12*Assumptions!$G$87+12)=BA$4,0,IF(AZ102=1,PMT(Assumptions!$G$85,Assumptions!$G$87,$C104),AZ115))),0)</f>
        <v>0</v>
      </c>
      <c r="BB115" s="39">
        <f>+IFERROR(-ABS(IF(EDATE(_xlfn.XLOOKUP(1,$H102:$BE102,$H$4:$BE$4),12*Assumptions!$G$87+12)=BB$4,0,IF(BA102=1,PMT(Assumptions!$G$85,Assumptions!$G$87,$C104),BA115))),0)</f>
        <v>0</v>
      </c>
      <c r="BC115" s="39">
        <f>+IFERROR(-ABS(IF(EDATE(_xlfn.XLOOKUP(1,$H102:$BE102,$H$4:$BE$4),12*Assumptions!$G$87+12)=BC$4,0,IF(BB102=1,PMT(Assumptions!$G$85,Assumptions!$G$87,$C104),BB115))),0)</f>
        <v>0</v>
      </c>
      <c r="BD115" s="39">
        <f>+IFERROR(-ABS(IF(EDATE(_xlfn.XLOOKUP(1,$H102:$BE102,$H$4:$BE$4),12*Assumptions!$G$87+12)=BD$4,0,IF(BC102=1,PMT(Assumptions!$G$85,Assumptions!$G$87,$C104),BC115))),0)</f>
        <v>0</v>
      </c>
      <c r="BE115" s="39">
        <f>+IFERROR(-ABS(IF(EDATE(_xlfn.XLOOKUP(1,$H102:$BE102,$H$4:$BE$4),12*Assumptions!$G$87+12)=BE$4,0,IF(BD102=1,PMT(Assumptions!$G$85,Assumptions!$G$87,$C104),BD115))),0)</f>
        <v>0</v>
      </c>
      <c r="BF115" s="39">
        <f>+IFERROR(-ABS(IF(EDATE(_xlfn.XLOOKUP(1,$H102:$BE102,$H$4:$BE$4),12*Assumptions!$G$87+12)=BF$4,0,IF(BE102=1,PMT(Assumptions!$G$85,Assumptions!$G$87,$C104),BE115))),0)</f>
        <v>0</v>
      </c>
      <c r="BG115" s="39">
        <f>+IFERROR(-ABS(IF(EDATE(_xlfn.XLOOKUP(1,$H102:$BE102,$H$4:$BE$4),12*Assumptions!$G$87+12)=BG$4,0,IF(BF102=1,PMT(Assumptions!$G$85,Assumptions!$G$87,$C104),BF115))),0)</f>
        <v>0</v>
      </c>
      <c r="BH115" s="39">
        <f>+IFERROR(-ABS(IF(EDATE(_xlfn.XLOOKUP(1,$H102:$BE102,$H$4:$BE$4),12*Assumptions!$G$87+12)=BH$4,0,IF(BG102=1,PMT(Assumptions!$G$85,Assumptions!$G$87,$C104),BG115))),0)</f>
        <v>0</v>
      </c>
      <c r="BI115" s="39">
        <f>+IFERROR(-ABS(IF(EDATE(_xlfn.XLOOKUP(1,$H102:$BE102,$H$4:$BE$4),12*Assumptions!$G$87+12)=BI$4,0,IF(BH102=1,PMT(Assumptions!$G$85,Assumptions!$G$87,$C104),BH115))),0)</f>
        <v>0</v>
      </c>
      <c r="BJ115" s="39">
        <f>+IFERROR(-ABS(IF(EDATE(_xlfn.XLOOKUP(1,$H102:$BE102,$H$4:$BE$4),12*Assumptions!$G$87+12)=BJ$4,0,IF(BI102=1,PMT(Assumptions!$G$85,Assumptions!$G$87,$C104),BI115))),0)</f>
        <v>0</v>
      </c>
      <c r="BK115" s="39">
        <f>+IFERROR(-ABS(IF(EDATE(_xlfn.XLOOKUP(1,$H102:$BE102,$H$4:$BE$4),12*Assumptions!$G$87+12)=BK$4,0,IF(BJ102=1,PMT(Assumptions!$G$85,Assumptions!$G$87,$C104),BJ115))),0)</f>
        <v>0</v>
      </c>
      <c r="BL115" s="39">
        <f>+IFERROR(-ABS(IF(EDATE(_xlfn.XLOOKUP(1,$H102:$BE102,$H$4:$BE$4),12*Assumptions!$G$87+12)=BL$4,0,IF(BK102=1,PMT(Assumptions!$G$85,Assumptions!$G$87,$C104),BK115))),0)</f>
        <v>0</v>
      </c>
      <c r="BM115" s="39">
        <f>+IFERROR(-ABS(IF(EDATE(_xlfn.XLOOKUP(1,$H102:$BE102,$H$4:$BE$4),12*Assumptions!$G$87+12)=BM$4,0,IF(BL102=1,PMT(Assumptions!$G$85,Assumptions!$G$87,$C104),BL115))),0)</f>
        <v>0</v>
      </c>
      <c r="BN115" s="39">
        <f>+IFERROR(-ABS(IF(EDATE(_xlfn.XLOOKUP(1,$H102:$BE102,$H$4:$BE$4),12*Assumptions!$G$87+12)=BN$4,0,IF(BM102=1,PMT(Assumptions!$G$85,Assumptions!$G$87,$C104),BM115))),0)</f>
        <v>0</v>
      </c>
      <c r="BO115" s="39">
        <f>+IFERROR(-ABS(IF(EDATE(_xlfn.XLOOKUP(1,$H102:$BE102,$H$4:$BE$4),12*Assumptions!$G$87+12)=BO$4,0,IF(BN102=1,PMT(Assumptions!$G$85,Assumptions!$G$87,$C104),BN115))),0)</f>
        <v>0</v>
      </c>
      <c r="BP115" s="39">
        <f>+IFERROR(-ABS(IF(EDATE(_xlfn.XLOOKUP(1,$H102:$BE102,$H$4:$BE$4),12*Assumptions!$G$87+12)=BP$4,0,IF(BO102=1,PMT(Assumptions!$G$85,Assumptions!$G$87,$C104),BO115))),0)</f>
        <v>0</v>
      </c>
      <c r="BQ115" s="39">
        <f>+IFERROR(-ABS(IF(EDATE(_xlfn.XLOOKUP(1,$H102:$BE102,$H$4:$BE$4),12*Assumptions!$G$87+12)=BQ$4,0,IF(BP102=1,PMT(Assumptions!$G$85,Assumptions!$G$87,$C104),BP115))),0)</f>
        <v>0</v>
      </c>
      <c r="BR115" s="39">
        <f>+IFERROR(-ABS(IF(EDATE(_xlfn.XLOOKUP(1,$H102:$BE102,$H$4:$BE$4),12*Assumptions!$G$87+12)=BR$4,0,IF(BQ102=1,PMT(Assumptions!$G$85,Assumptions!$G$87,$C104),BQ115))),0)</f>
        <v>0</v>
      </c>
      <c r="BS115" s="39">
        <f>+IFERROR(-ABS(IF(EDATE(_xlfn.XLOOKUP(1,$H102:$BE102,$H$4:$BE$4),12*Assumptions!$G$87+12)=BS$4,0,IF(BR102=1,PMT(Assumptions!$G$85,Assumptions!$G$87,$C104),BR115))),0)</f>
        <v>0</v>
      </c>
      <c r="BT115" s="39">
        <f>+IFERROR(-ABS(IF(EDATE(_xlfn.XLOOKUP(1,$H102:$BE102,$H$4:$BE$4),12*Assumptions!$G$87+12)=BT$4,0,IF(BS102=1,PMT(Assumptions!$G$85,Assumptions!$G$87,$C104),BS115))),0)</f>
        <v>0</v>
      </c>
      <c r="BU115" s="39">
        <f>+IFERROR(-ABS(IF(EDATE(_xlfn.XLOOKUP(1,$H102:$BE102,$H$4:$BE$4),12*Assumptions!$G$87+12)=BU$4,0,IF(BT102=1,PMT(Assumptions!$G$85,Assumptions!$G$87,$C104),BT115))),0)</f>
        <v>0</v>
      </c>
      <c r="BV115" s="39">
        <f>+IFERROR(-ABS(IF(EDATE(_xlfn.XLOOKUP(1,$H102:$BE102,$H$4:$BE$4),12*Assumptions!$G$87+12)=BV$4,0,IF(BU102=1,PMT(Assumptions!$G$85,Assumptions!$G$87,$C104),BU115))),0)</f>
        <v>0</v>
      </c>
      <c r="BW115" s="39">
        <f>+IFERROR(-ABS(IF(EDATE(_xlfn.XLOOKUP(1,$H102:$BE102,$H$4:$BE$4),12*Assumptions!$G$87+12)=BW$4,0,IF(BV102=1,PMT(Assumptions!$G$85,Assumptions!$G$87,$C104),BV115))),0)</f>
        <v>0</v>
      </c>
      <c r="BX115" s="39">
        <f>+IFERROR(-ABS(IF(EDATE(_xlfn.XLOOKUP(1,$H102:$BE102,$H$4:$BE$4),12*Assumptions!$G$87+12)=BX$4,0,IF(BW102=1,PMT(Assumptions!$G$85,Assumptions!$G$87,$C104),BW115))),0)</f>
        <v>0</v>
      </c>
      <c r="BY115" s="39">
        <f>+IFERROR(-ABS(IF(EDATE(_xlfn.XLOOKUP(1,$H102:$BE102,$H$4:$BE$4),12*Assumptions!$G$87+12)=BY$4,0,IF(BX102=1,PMT(Assumptions!$G$85,Assumptions!$G$87,$C104),BX115))),0)</f>
        <v>0</v>
      </c>
    </row>
    <row r="116" spans="3:77" outlineLevel="1">
      <c r="E116" s="24" t="s">
        <v>519</v>
      </c>
      <c r="F116" s="80" t="str">
        <f>+Assumptions!$G$8</f>
        <v>USD</v>
      </c>
      <c r="G116" s="24"/>
      <c r="H116" s="39">
        <f>+IFERROR(-ABS(IF(EDATE(_xlfn.XLOOKUP(1,$H103:$BE103,$H$4:$BE$4),12*Assumptions!$G$87+12)=H$4,0,IF(G103=1,PMT(Assumptions!$G$85,Assumptions!$G$87,$C105),G116))),0)</f>
        <v>0</v>
      </c>
      <c r="I116" s="39">
        <f>+IFERROR(-ABS(IF(EDATE(_xlfn.XLOOKUP(1,$H103:$BE103,$H$4:$BE$4),12*Assumptions!$G$87+12)=I$4,0,IF(H103=1,PMT(Assumptions!$G$85,Assumptions!$G$87,$C105),H116))),0)</f>
        <v>0</v>
      </c>
      <c r="J116" s="39">
        <f>+IFERROR(-ABS(IF(EDATE(_xlfn.XLOOKUP(1,$H103:$BE103,$H$4:$BE$4),12*Assumptions!$G$87+12)=J$4,0,IF(I103=1,PMT(Assumptions!$G$85,Assumptions!$G$87,$C105),I116))),0)</f>
        <v>0</v>
      </c>
      <c r="K116" s="39">
        <f>+IFERROR(-ABS(IF(EDATE(_xlfn.XLOOKUP(1,$H103:$BE103,$H$4:$BE$4),12*Assumptions!$G$87+12)=K$4,0,IF(J103=1,PMT(Assumptions!$G$85,Assumptions!$G$87,$C105),J116))),0)</f>
        <v>0</v>
      </c>
      <c r="L116" s="39">
        <f>+IFERROR(-ABS(IF(EDATE(_xlfn.XLOOKUP(1,$H103:$BE103,$H$4:$BE$4),12*Assumptions!$G$87+12)=L$4,0,IF(K103=1,PMT(Assumptions!$G$85,Assumptions!$G$87,$C105),K116))),0)</f>
        <v>0</v>
      </c>
      <c r="M116" s="39">
        <f>+IFERROR(-ABS(IF(EDATE(_xlfn.XLOOKUP(1,$H103:$BE103,$H$4:$BE$4),12*Assumptions!$G$87+12)=M$4,0,IF(L103=1,PMT(Assumptions!$G$85,Assumptions!$G$87,$C105),L116))),0)</f>
        <v>0</v>
      </c>
      <c r="N116" s="39">
        <f>+IFERROR(-ABS(IF(EDATE(_xlfn.XLOOKUP(1,$H103:$BE103,$H$4:$BE$4),12*Assumptions!$G$87+12)=N$4,0,IF(M103=1,PMT(Assumptions!$G$85,Assumptions!$G$87,$C105),M116))),0)</f>
        <v>0</v>
      </c>
      <c r="O116" s="39">
        <f>+IFERROR(-ABS(IF(EDATE(_xlfn.XLOOKUP(1,$H103:$BE103,$H$4:$BE$4),12*Assumptions!$G$87+12)=O$4,0,IF(N103=1,PMT(Assumptions!$G$85,Assumptions!$G$87,$C105),N116))),0)</f>
        <v>0</v>
      </c>
      <c r="P116" s="39">
        <f>+IFERROR(-ABS(IF(EDATE(_xlfn.XLOOKUP(1,$H103:$BE103,$H$4:$BE$4),12*Assumptions!$G$87+12)=P$4,0,IF(O103=1,PMT(Assumptions!$G$85,Assumptions!$G$87,$C105),O116))),0)</f>
        <v>0</v>
      </c>
      <c r="Q116" s="39">
        <f>+IFERROR(-ABS(IF(EDATE(_xlfn.XLOOKUP(1,$H103:$BE103,$H$4:$BE$4),12*Assumptions!$G$87+12)=Q$4,0,IF(P103=1,PMT(Assumptions!$G$85,Assumptions!$G$87,$C105),P116))),0)</f>
        <v>0</v>
      </c>
      <c r="R116" s="39">
        <f>+IFERROR(-ABS(IF(EDATE(_xlfn.XLOOKUP(1,$H103:$BE103,$H$4:$BE$4),12*Assumptions!$G$87+12)=R$4,0,IF(Q103=1,PMT(Assumptions!$G$85,Assumptions!$G$87,$C105),Q116))),0)</f>
        <v>0</v>
      </c>
      <c r="S116" s="39">
        <f>+IFERROR(-ABS(IF(EDATE(_xlfn.XLOOKUP(1,$H103:$BE103,$H$4:$BE$4),12*Assumptions!$G$87+12)=S$4,0,IF(R103=1,PMT(Assumptions!$G$85,Assumptions!$G$87,$C105),R116))),0)</f>
        <v>0</v>
      </c>
      <c r="T116" s="39">
        <f>+IFERROR(-ABS(IF(EDATE(_xlfn.XLOOKUP(1,$H103:$BE103,$H$4:$BE$4),12*Assumptions!$G$87+12)=T$4,0,IF(S103=1,PMT(Assumptions!$G$85,Assumptions!$G$87,$C105),S116))),0)</f>
        <v>0</v>
      </c>
      <c r="U116" s="39">
        <f>+IFERROR(-ABS(IF(EDATE(_xlfn.XLOOKUP(1,$H103:$BE103,$H$4:$BE$4),12*Assumptions!$G$87+12)=U$4,0,IF(T103=1,PMT(Assumptions!$G$85,Assumptions!$G$87,$C105),T116))),0)</f>
        <v>0</v>
      </c>
      <c r="V116" s="39">
        <f>+IFERROR(-ABS(IF(EDATE(_xlfn.XLOOKUP(1,$H103:$BE103,$H$4:$BE$4),12*Assumptions!$G$87+12)=V$4,0,IF(U103=1,PMT(Assumptions!$G$85,Assumptions!$G$87,$C105),U116))),0)</f>
        <v>0</v>
      </c>
      <c r="W116" s="39">
        <f>+IFERROR(-ABS(IF(EDATE(_xlfn.XLOOKUP(1,$H103:$BE103,$H$4:$BE$4),12*Assumptions!$G$87+12)=W$4,0,IF(V103=1,PMT(Assumptions!$G$85,Assumptions!$G$87,$C105),V116))),0)</f>
        <v>0</v>
      </c>
      <c r="X116" s="39">
        <f>+IFERROR(-ABS(IF(EDATE(_xlfn.XLOOKUP(1,$H103:$BE103,$H$4:$BE$4),12*Assumptions!$G$87+12)=X$4,0,IF(W103=1,PMT(Assumptions!$G$85,Assumptions!$G$87,$C105),W116))),0)</f>
        <v>0</v>
      </c>
      <c r="Y116" s="39">
        <f>+IFERROR(-ABS(IF(EDATE(_xlfn.XLOOKUP(1,$H103:$BE103,$H$4:$BE$4),12*Assumptions!$G$87+12)=Y$4,0,IF(X103=1,PMT(Assumptions!$G$85,Assumptions!$G$87,$C105),X116))),0)</f>
        <v>0</v>
      </c>
      <c r="Z116" s="39">
        <f>+IFERROR(-ABS(IF(EDATE(_xlfn.XLOOKUP(1,$H103:$BE103,$H$4:$BE$4),12*Assumptions!$G$87+12)=Z$4,0,IF(Y103=1,PMT(Assumptions!$G$85,Assumptions!$G$87,$C105),Y116))),0)</f>
        <v>0</v>
      </c>
      <c r="AA116" s="39">
        <f>+IFERROR(-ABS(IF(EDATE(_xlfn.XLOOKUP(1,$H103:$BE103,$H$4:$BE$4),12*Assumptions!$G$87+12)=AA$4,0,IF(Z103=1,PMT(Assumptions!$G$85,Assumptions!$G$87,$C105),Z116))),0)</f>
        <v>0</v>
      </c>
      <c r="AB116" s="39">
        <f>+IFERROR(-ABS(IF(EDATE(_xlfn.XLOOKUP(1,$H103:$BE103,$H$4:$BE$4),12*Assumptions!$G$87+12)=AB$4,0,IF(AA103=1,PMT(Assumptions!$G$85,Assumptions!$G$87,$C105),AA116))),0)</f>
        <v>0</v>
      </c>
      <c r="AC116" s="39">
        <f>+IFERROR(-ABS(IF(EDATE(_xlfn.XLOOKUP(1,$H103:$BE103,$H$4:$BE$4),12*Assumptions!$G$87+12)=AC$4,0,IF(AB103=1,PMT(Assumptions!$G$85,Assumptions!$G$87,$C105),AB116))),0)</f>
        <v>0</v>
      </c>
      <c r="AD116" s="39">
        <f>+IFERROR(-ABS(IF(EDATE(_xlfn.XLOOKUP(1,$H103:$BE103,$H$4:$BE$4),12*Assumptions!$G$87+12)=AD$4,0,IF(AC103=1,PMT(Assumptions!$G$85,Assumptions!$G$87,$C105),AC116))),0)</f>
        <v>0</v>
      </c>
      <c r="AE116" s="39">
        <f>+IFERROR(-ABS(IF(EDATE(_xlfn.XLOOKUP(1,$H103:$BE103,$H$4:$BE$4),12*Assumptions!$G$87+12)=AE$4,0,IF(AD103=1,PMT(Assumptions!$G$85,Assumptions!$G$87,$C105),AD116))),0)</f>
        <v>0</v>
      </c>
      <c r="AF116" s="39">
        <f>+IFERROR(-ABS(IF(EDATE(_xlfn.XLOOKUP(1,$H103:$BE103,$H$4:$BE$4),12*Assumptions!$G$87+12)=AF$4,0,IF(AE103=1,PMT(Assumptions!$G$85,Assumptions!$G$87,$C105),AE116))),0)</f>
        <v>0</v>
      </c>
      <c r="AG116" s="39">
        <f>+IFERROR(-ABS(IF(EDATE(_xlfn.XLOOKUP(1,$H103:$BE103,$H$4:$BE$4),12*Assumptions!$G$87+12)=AG$4,0,IF(AF103=1,PMT(Assumptions!$G$85,Assumptions!$G$87,$C105),AF116))),0)</f>
        <v>0</v>
      </c>
      <c r="AH116" s="39">
        <f>+IFERROR(-ABS(IF(EDATE(_xlfn.XLOOKUP(1,$H103:$BE103,$H$4:$BE$4),12*Assumptions!$G$87+12)=AH$4,0,IF(AG103=1,PMT(Assumptions!$G$85,Assumptions!$G$87,$C105),AG116))),0)</f>
        <v>0</v>
      </c>
      <c r="AI116" s="39">
        <f>+IFERROR(-ABS(IF(EDATE(_xlfn.XLOOKUP(1,$H103:$BE103,$H$4:$BE$4),12*Assumptions!$G$87+12)=AI$4,0,IF(AH103=1,PMT(Assumptions!$G$85,Assumptions!$G$87,$C105),AH116))),0)</f>
        <v>0</v>
      </c>
      <c r="AJ116" s="39">
        <f>+IFERROR(-ABS(IF(EDATE(_xlfn.XLOOKUP(1,$H103:$BE103,$H$4:$BE$4),12*Assumptions!$G$87+12)=AJ$4,0,IF(AI103=1,PMT(Assumptions!$G$85,Assumptions!$G$87,$C105),AI116))),0)</f>
        <v>0</v>
      </c>
      <c r="AK116" s="39">
        <f>+IFERROR(-ABS(IF(EDATE(_xlfn.XLOOKUP(1,$H103:$BE103,$H$4:$BE$4),12*Assumptions!$G$87+12)=AK$4,0,IF(AJ103=1,PMT(Assumptions!$G$85,Assumptions!$G$87,$C105),AJ116))),0)</f>
        <v>0</v>
      </c>
      <c r="AL116" s="39">
        <f>+IFERROR(-ABS(IF(EDATE(_xlfn.XLOOKUP(1,$H103:$BE103,$H$4:$BE$4),12*Assumptions!$G$87+12)=AL$4,0,IF(AK103=1,PMT(Assumptions!$G$85,Assumptions!$G$87,$C105),AK116))),0)</f>
        <v>0</v>
      </c>
      <c r="AM116" s="39">
        <f>+IFERROR(-ABS(IF(EDATE(_xlfn.XLOOKUP(1,$H103:$BE103,$H$4:$BE$4),12*Assumptions!$G$87+12)=AM$4,0,IF(AL103=1,PMT(Assumptions!$G$85,Assumptions!$G$87,$C105),AL116))),0)</f>
        <v>0</v>
      </c>
      <c r="AN116" s="39">
        <f>+IFERROR(-ABS(IF(EDATE(_xlfn.XLOOKUP(1,$H103:$BE103,$H$4:$BE$4),12*Assumptions!$G$87+12)=AN$4,0,IF(AM103=1,PMT(Assumptions!$G$85,Assumptions!$G$87,$C105),AM116))),0)</f>
        <v>0</v>
      </c>
      <c r="AO116" s="39">
        <f>+IFERROR(-ABS(IF(EDATE(_xlfn.XLOOKUP(1,$H103:$BE103,$H$4:$BE$4),12*Assumptions!$G$87+12)=AO$4,0,IF(AN103=1,PMT(Assumptions!$G$85,Assumptions!$G$87,$C105),AN116))),0)</f>
        <v>0</v>
      </c>
      <c r="AP116" s="39">
        <f>+IFERROR(-ABS(IF(EDATE(_xlfn.XLOOKUP(1,$H103:$BE103,$H$4:$BE$4),12*Assumptions!$G$87+12)=AP$4,0,IF(AO103=1,PMT(Assumptions!$G$85,Assumptions!$G$87,$C105),AO116))),0)</f>
        <v>0</v>
      </c>
      <c r="AQ116" s="39">
        <f>+IFERROR(-ABS(IF(EDATE(_xlfn.XLOOKUP(1,$H103:$BE103,$H$4:$BE$4),12*Assumptions!$G$87+12)=AQ$4,0,IF(AP103=1,PMT(Assumptions!$G$85,Assumptions!$G$87,$C105),AP116))),0)</f>
        <v>0</v>
      </c>
      <c r="AR116" s="39">
        <f>+IFERROR(-ABS(IF(EDATE(_xlfn.XLOOKUP(1,$H103:$BE103,$H$4:$BE$4),12*Assumptions!$G$87+12)=AR$4,0,IF(AQ103=1,PMT(Assumptions!$G$85,Assumptions!$G$87,$C105),AQ116))),0)</f>
        <v>0</v>
      </c>
      <c r="AS116" s="39">
        <f>+IFERROR(-ABS(IF(EDATE(_xlfn.XLOOKUP(1,$H103:$BE103,$H$4:$BE$4),12*Assumptions!$G$87+12)=AS$4,0,IF(AR103=1,PMT(Assumptions!$G$85,Assumptions!$G$87,$C105),AR116))),0)</f>
        <v>0</v>
      </c>
      <c r="AT116" s="39">
        <f>+IFERROR(-ABS(IF(EDATE(_xlfn.XLOOKUP(1,$H103:$BE103,$H$4:$BE$4),12*Assumptions!$G$87+12)=AT$4,0,IF(AS103=1,PMT(Assumptions!$G$85,Assumptions!$G$87,$C105),AS116))),0)</f>
        <v>0</v>
      </c>
      <c r="AU116" s="39">
        <f>+IFERROR(-ABS(IF(EDATE(_xlfn.XLOOKUP(1,$H103:$BE103,$H$4:$BE$4),12*Assumptions!$G$87+12)=AU$4,0,IF(AT103=1,PMT(Assumptions!$G$85,Assumptions!$G$87,$C105),AT116))),0)</f>
        <v>0</v>
      </c>
      <c r="AV116" s="39">
        <f>+IFERROR(-ABS(IF(EDATE(_xlfn.XLOOKUP(1,$H103:$BE103,$H$4:$BE$4),12*Assumptions!$G$87+12)=AV$4,0,IF(AU103=1,PMT(Assumptions!$G$85,Assumptions!$G$87,$C105),AU116))),0)</f>
        <v>0</v>
      </c>
      <c r="AW116" s="39">
        <f>+IFERROR(-ABS(IF(EDATE(_xlfn.XLOOKUP(1,$H103:$BE103,$H$4:$BE$4),12*Assumptions!$G$87+12)=AW$4,0,IF(AV103=1,PMT(Assumptions!$G$85,Assumptions!$G$87,$C105),AV116))),0)</f>
        <v>0</v>
      </c>
      <c r="AX116" s="39">
        <f>+IFERROR(-ABS(IF(EDATE(_xlfn.XLOOKUP(1,$H103:$BE103,$H$4:$BE$4),12*Assumptions!$G$87+12)=AX$4,0,IF(AW103=1,PMT(Assumptions!$G$85,Assumptions!$G$87,$C105),AW116))),0)</f>
        <v>0</v>
      </c>
      <c r="AY116" s="39">
        <f>+IFERROR(-ABS(IF(EDATE(_xlfn.XLOOKUP(1,$H103:$BE103,$H$4:$BE$4),12*Assumptions!$G$87+12)=AY$4,0,IF(AX103=1,PMT(Assumptions!$G$85,Assumptions!$G$87,$C105),AX116))),0)</f>
        <v>0</v>
      </c>
      <c r="AZ116" s="39">
        <f>+IFERROR(-ABS(IF(EDATE(_xlfn.XLOOKUP(1,$H103:$BE103,$H$4:$BE$4),12*Assumptions!$G$87+12)=AZ$4,0,IF(AY103=1,PMT(Assumptions!$G$85,Assumptions!$G$87,$C105),AY116))),0)</f>
        <v>0</v>
      </c>
      <c r="BA116" s="39">
        <f>+IFERROR(-ABS(IF(EDATE(_xlfn.XLOOKUP(1,$H103:$BE103,$H$4:$BE$4),12*Assumptions!$G$87+12)=BA$4,0,IF(AZ103=1,PMT(Assumptions!$G$85,Assumptions!$G$87,$C105),AZ116))),0)</f>
        <v>0</v>
      </c>
      <c r="BB116" s="39">
        <f>+IFERROR(-ABS(IF(EDATE(_xlfn.XLOOKUP(1,$H103:$BE103,$H$4:$BE$4),12*Assumptions!$G$87+12)=BB$4,0,IF(BA103=1,PMT(Assumptions!$G$85,Assumptions!$G$87,$C105),BA116))),0)</f>
        <v>0</v>
      </c>
      <c r="BC116" s="39">
        <f>+IFERROR(-ABS(IF(EDATE(_xlfn.XLOOKUP(1,$H103:$BE103,$H$4:$BE$4),12*Assumptions!$G$87+12)=BC$4,0,IF(BB103=1,PMT(Assumptions!$G$85,Assumptions!$G$87,$C105),BB116))),0)</f>
        <v>0</v>
      </c>
      <c r="BD116" s="39">
        <f>+IFERROR(-ABS(IF(EDATE(_xlfn.XLOOKUP(1,$H103:$BE103,$H$4:$BE$4),12*Assumptions!$G$87+12)=BD$4,0,IF(BC103=1,PMT(Assumptions!$G$85,Assumptions!$G$87,$C105),BC116))),0)</f>
        <v>0</v>
      </c>
      <c r="BE116" s="39">
        <f>+IFERROR(-ABS(IF(EDATE(_xlfn.XLOOKUP(1,$H103:$BE103,$H$4:$BE$4),12*Assumptions!$G$87+12)=BE$4,0,IF(BD103=1,PMT(Assumptions!$G$85,Assumptions!$G$87,$C105),BD116))),0)</f>
        <v>0</v>
      </c>
      <c r="BF116" s="39">
        <f>+IFERROR(-ABS(IF(EDATE(_xlfn.XLOOKUP(1,$H103:$BE103,$H$4:$BE$4),12*Assumptions!$G$87+12)=BF$4,0,IF(BE103=1,PMT(Assumptions!$G$85,Assumptions!$G$87,$C105),BE116))),0)</f>
        <v>0</v>
      </c>
      <c r="BG116" s="39">
        <f>+IFERROR(-ABS(IF(EDATE(_xlfn.XLOOKUP(1,$H103:$BE103,$H$4:$BE$4),12*Assumptions!$G$87+12)=BG$4,0,IF(BF103=1,PMT(Assumptions!$G$85,Assumptions!$G$87,$C105),BF116))),0)</f>
        <v>0</v>
      </c>
      <c r="BH116" s="39">
        <f>+IFERROR(-ABS(IF(EDATE(_xlfn.XLOOKUP(1,$H103:$BE103,$H$4:$BE$4),12*Assumptions!$G$87+12)=BH$4,0,IF(BG103=1,PMT(Assumptions!$G$85,Assumptions!$G$87,$C105),BG116))),0)</f>
        <v>0</v>
      </c>
      <c r="BI116" s="39">
        <f>+IFERROR(-ABS(IF(EDATE(_xlfn.XLOOKUP(1,$H103:$BE103,$H$4:$BE$4),12*Assumptions!$G$87+12)=BI$4,0,IF(BH103=1,PMT(Assumptions!$G$85,Assumptions!$G$87,$C105),BH116))),0)</f>
        <v>0</v>
      </c>
      <c r="BJ116" s="39">
        <f>+IFERROR(-ABS(IF(EDATE(_xlfn.XLOOKUP(1,$H103:$BE103,$H$4:$BE$4),12*Assumptions!$G$87+12)=BJ$4,0,IF(BI103=1,PMT(Assumptions!$G$85,Assumptions!$G$87,$C105),BI116))),0)</f>
        <v>0</v>
      </c>
      <c r="BK116" s="39">
        <f>+IFERROR(-ABS(IF(EDATE(_xlfn.XLOOKUP(1,$H103:$BE103,$H$4:$BE$4),12*Assumptions!$G$87+12)=BK$4,0,IF(BJ103=1,PMT(Assumptions!$G$85,Assumptions!$G$87,$C105),BJ116))),0)</f>
        <v>0</v>
      </c>
      <c r="BL116" s="39">
        <f>+IFERROR(-ABS(IF(EDATE(_xlfn.XLOOKUP(1,$H103:$BE103,$H$4:$BE$4),12*Assumptions!$G$87+12)=BL$4,0,IF(BK103=1,PMT(Assumptions!$G$85,Assumptions!$G$87,$C105),BK116))),0)</f>
        <v>0</v>
      </c>
      <c r="BM116" s="39">
        <f>+IFERROR(-ABS(IF(EDATE(_xlfn.XLOOKUP(1,$H103:$BE103,$H$4:$BE$4),12*Assumptions!$G$87+12)=BM$4,0,IF(BL103=1,PMT(Assumptions!$G$85,Assumptions!$G$87,$C105),BL116))),0)</f>
        <v>0</v>
      </c>
      <c r="BN116" s="39">
        <f>+IFERROR(-ABS(IF(EDATE(_xlfn.XLOOKUP(1,$H103:$BE103,$H$4:$BE$4),12*Assumptions!$G$87+12)=BN$4,0,IF(BM103=1,PMT(Assumptions!$G$85,Assumptions!$G$87,$C105),BM116))),0)</f>
        <v>0</v>
      </c>
      <c r="BO116" s="39">
        <f>+IFERROR(-ABS(IF(EDATE(_xlfn.XLOOKUP(1,$H103:$BE103,$H$4:$BE$4),12*Assumptions!$G$87+12)=BO$4,0,IF(BN103=1,PMT(Assumptions!$G$85,Assumptions!$G$87,$C105),BN116))),0)</f>
        <v>0</v>
      </c>
      <c r="BP116" s="39">
        <f>+IFERROR(-ABS(IF(EDATE(_xlfn.XLOOKUP(1,$H103:$BE103,$H$4:$BE$4),12*Assumptions!$G$87+12)=BP$4,0,IF(BO103=1,PMT(Assumptions!$G$85,Assumptions!$G$87,$C105),BO116))),0)</f>
        <v>0</v>
      </c>
      <c r="BQ116" s="39">
        <f>+IFERROR(-ABS(IF(EDATE(_xlfn.XLOOKUP(1,$H103:$BE103,$H$4:$BE$4),12*Assumptions!$G$87+12)=BQ$4,0,IF(BP103=1,PMT(Assumptions!$G$85,Assumptions!$G$87,$C105),BP116))),0)</f>
        <v>0</v>
      </c>
      <c r="BR116" s="39">
        <f>+IFERROR(-ABS(IF(EDATE(_xlfn.XLOOKUP(1,$H103:$BE103,$H$4:$BE$4),12*Assumptions!$G$87+12)=BR$4,0,IF(BQ103=1,PMT(Assumptions!$G$85,Assumptions!$G$87,$C105),BQ116))),0)</f>
        <v>0</v>
      </c>
      <c r="BS116" s="39">
        <f>+IFERROR(-ABS(IF(EDATE(_xlfn.XLOOKUP(1,$H103:$BE103,$H$4:$BE$4),12*Assumptions!$G$87+12)=BS$4,0,IF(BR103=1,PMT(Assumptions!$G$85,Assumptions!$G$87,$C105),BR116))),0)</f>
        <v>0</v>
      </c>
      <c r="BT116" s="39">
        <f>+IFERROR(-ABS(IF(EDATE(_xlfn.XLOOKUP(1,$H103:$BE103,$H$4:$BE$4),12*Assumptions!$G$87+12)=BT$4,0,IF(BS103=1,PMT(Assumptions!$G$85,Assumptions!$G$87,$C105),BS116))),0)</f>
        <v>0</v>
      </c>
      <c r="BU116" s="39">
        <f>+IFERROR(-ABS(IF(EDATE(_xlfn.XLOOKUP(1,$H103:$BE103,$H$4:$BE$4),12*Assumptions!$G$87+12)=BU$4,0,IF(BT103=1,PMT(Assumptions!$G$85,Assumptions!$G$87,$C105),BT116))),0)</f>
        <v>0</v>
      </c>
      <c r="BV116" s="39">
        <f>+IFERROR(-ABS(IF(EDATE(_xlfn.XLOOKUP(1,$H103:$BE103,$H$4:$BE$4),12*Assumptions!$G$87+12)=BV$4,0,IF(BU103=1,PMT(Assumptions!$G$85,Assumptions!$G$87,$C105),BU116))),0)</f>
        <v>0</v>
      </c>
      <c r="BW116" s="39">
        <f>+IFERROR(-ABS(IF(EDATE(_xlfn.XLOOKUP(1,$H103:$BE103,$H$4:$BE$4),12*Assumptions!$G$87+12)=BW$4,0,IF(BV103=1,PMT(Assumptions!$G$85,Assumptions!$G$87,$C105),BV116))),0)</f>
        <v>0</v>
      </c>
      <c r="BX116" s="39">
        <f>+IFERROR(-ABS(IF(EDATE(_xlfn.XLOOKUP(1,$H103:$BE103,$H$4:$BE$4),12*Assumptions!$G$87+12)=BX$4,0,IF(BW103=1,PMT(Assumptions!$G$85,Assumptions!$G$87,$C105),BW116))),0)</f>
        <v>0</v>
      </c>
      <c r="BY116" s="39">
        <f>+IFERROR(-ABS(IF(EDATE(_xlfn.XLOOKUP(1,$H103:$BE103,$H$4:$BE$4),12*Assumptions!$G$87+12)=BY$4,0,IF(BX103=1,PMT(Assumptions!$G$85,Assumptions!$G$87,$C105),BX116))),0)</f>
        <v>0</v>
      </c>
    </row>
    <row r="117" spans="3:77" outlineLevel="1">
      <c r="E117" s="24" t="s">
        <v>520</v>
      </c>
      <c r="F117" s="80" t="str">
        <f>+Assumptions!$G$8</f>
        <v>USD</v>
      </c>
      <c r="G117" s="24"/>
      <c r="H117" s="39">
        <f>+IFERROR(-ABS(IF(EDATE(_xlfn.XLOOKUP(1,$H104:$BE104,$H$4:$BE$4),12*Assumptions!$G$87+12)=H$4,0,IF(G104=1,PMT(Assumptions!$G$85,Assumptions!$G$87,$C106),G117))),0)</f>
        <v>0</v>
      </c>
      <c r="I117" s="39">
        <f>+IFERROR(-ABS(IF(EDATE(_xlfn.XLOOKUP(1,$H104:$BE104,$H$4:$BE$4),12*Assumptions!$G$87+12)=I$4,0,IF(H104=1,PMT(Assumptions!$G$85,Assumptions!$G$87,$C106),H117))),0)</f>
        <v>0</v>
      </c>
      <c r="J117" s="39">
        <f>+IFERROR(-ABS(IF(EDATE(_xlfn.XLOOKUP(1,$H104:$BE104,$H$4:$BE$4),12*Assumptions!$G$87+12)=J$4,0,IF(I104=1,PMT(Assumptions!$G$85,Assumptions!$G$87,$C106),I117))),0)</f>
        <v>0</v>
      </c>
      <c r="K117" s="39">
        <f>+IFERROR(-ABS(IF(EDATE(_xlfn.XLOOKUP(1,$H104:$BE104,$H$4:$BE$4),12*Assumptions!$G$87+12)=K$4,0,IF(J104=1,PMT(Assumptions!$G$85,Assumptions!$G$87,$C106),J117))),0)</f>
        <v>0</v>
      </c>
      <c r="L117" s="39">
        <f>+IFERROR(-ABS(IF(EDATE(_xlfn.XLOOKUP(1,$H104:$BE104,$H$4:$BE$4),12*Assumptions!$G$87+12)=L$4,0,IF(K104=1,PMT(Assumptions!$G$85,Assumptions!$G$87,$C106),K117))),0)</f>
        <v>0</v>
      </c>
      <c r="M117" s="39">
        <f>+IFERROR(-ABS(IF(EDATE(_xlfn.XLOOKUP(1,$H104:$BE104,$H$4:$BE$4),12*Assumptions!$G$87+12)=M$4,0,IF(L104=1,PMT(Assumptions!$G$85,Assumptions!$G$87,$C106),L117))),0)</f>
        <v>0</v>
      </c>
      <c r="N117" s="39">
        <f>+IFERROR(-ABS(IF(EDATE(_xlfn.XLOOKUP(1,$H104:$BE104,$H$4:$BE$4),12*Assumptions!$G$87+12)=N$4,0,IF(M104=1,PMT(Assumptions!$G$85,Assumptions!$G$87,$C106),M117))),0)</f>
        <v>0</v>
      </c>
      <c r="O117" s="39">
        <f>+IFERROR(-ABS(IF(EDATE(_xlfn.XLOOKUP(1,$H104:$BE104,$H$4:$BE$4),12*Assumptions!$G$87+12)=O$4,0,IF(N104=1,PMT(Assumptions!$G$85,Assumptions!$G$87,$C106),N117))),0)</f>
        <v>0</v>
      </c>
      <c r="P117" s="39">
        <f>+IFERROR(-ABS(IF(EDATE(_xlfn.XLOOKUP(1,$H104:$BE104,$H$4:$BE$4),12*Assumptions!$G$87+12)=P$4,0,IF(O104=1,PMT(Assumptions!$G$85,Assumptions!$G$87,$C106),O117))),0)</f>
        <v>0</v>
      </c>
      <c r="Q117" s="39">
        <f>+IFERROR(-ABS(IF(EDATE(_xlfn.XLOOKUP(1,$H104:$BE104,$H$4:$BE$4),12*Assumptions!$G$87+12)=Q$4,0,IF(P104=1,PMT(Assumptions!$G$85,Assumptions!$G$87,$C106),P117))),0)</f>
        <v>0</v>
      </c>
      <c r="R117" s="39">
        <f>+IFERROR(-ABS(IF(EDATE(_xlfn.XLOOKUP(1,$H104:$BE104,$H$4:$BE$4),12*Assumptions!$G$87+12)=R$4,0,IF(Q104=1,PMT(Assumptions!$G$85,Assumptions!$G$87,$C106),Q117))),0)</f>
        <v>0</v>
      </c>
      <c r="S117" s="39">
        <f>+IFERROR(-ABS(IF(EDATE(_xlfn.XLOOKUP(1,$H104:$BE104,$H$4:$BE$4),12*Assumptions!$G$87+12)=S$4,0,IF(R104=1,PMT(Assumptions!$G$85,Assumptions!$G$87,$C106),R117))),0)</f>
        <v>0</v>
      </c>
      <c r="T117" s="39">
        <f>+IFERROR(-ABS(IF(EDATE(_xlfn.XLOOKUP(1,$H104:$BE104,$H$4:$BE$4),12*Assumptions!$G$87+12)=T$4,0,IF(S104=1,PMT(Assumptions!$G$85,Assumptions!$G$87,$C106),S117))),0)</f>
        <v>0</v>
      </c>
      <c r="U117" s="39">
        <f>+IFERROR(-ABS(IF(EDATE(_xlfn.XLOOKUP(1,$H104:$BE104,$H$4:$BE$4),12*Assumptions!$G$87+12)=U$4,0,IF(T104=1,PMT(Assumptions!$G$85,Assumptions!$G$87,$C106),T117))),0)</f>
        <v>0</v>
      </c>
      <c r="V117" s="39">
        <f>+IFERROR(-ABS(IF(EDATE(_xlfn.XLOOKUP(1,$H104:$BE104,$H$4:$BE$4),12*Assumptions!$G$87+12)=V$4,0,IF(U104=1,PMT(Assumptions!$G$85,Assumptions!$G$87,$C106),U117))),0)</f>
        <v>0</v>
      </c>
      <c r="W117" s="39">
        <f>+IFERROR(-ABS(IF(EDATE(_xlfn.XLOOKUP(1,$H104:$BE104,$H$4:$BE$4),12*Assumptions!$G$87+12)=W$4,0,IF(V104=1,PMT(Assumptions!$G$85,Assumptions!$G$87,$C106),V117))),0)</f>
        <v>0</v>
      </c>
      <c r="X117" s="39">
        <f>+IFERROR(-ABS(IF(EDATE(_xlfn.XLOOKUP(1,$H104:$BE104,$H$4:$BE$4),12*Assumptions!$G$87+12)=X$4,0,IF(W104=1,PMT(Assumptions!$G$85,Assumptions!$G$87,$C106),W117))),0)</f>
        <v>0</v>
      </c>
      <c r="Y117" s="39">
        <f>+IFERROR(-ABS(IF(EDATE(_xlfn.XLOOKUP(1,$H104:$BE104,$H$4:$BE$4),12*Assumptions!$G$87+12)=Y$4,0,IF(X104=1,PMT(Assumptions!$G$85,Assumptions!$G$87,$C106),X117))),0)</f>
        <v>0</v>
      </c>
      <c r="Z117" s="39">
        <f>+IFERROR(-ABS(IF(EDATE(_xlfn.XLOOKUP(1,$H104:$BE104,$H$4:$BE$4),12*Assumptions!$G$87+12)=Z$4,0,IF(Y104=1,PMT(Assumptions!$G$85,Assumptions!$G$87,$C106),Y117))),0)</f>
        <v>0</v>
      </c>
      <c r="AA117" s="39">
        <f>+IFERROR(-ABS(IF(EDATE(_xlfn.XLOOKUP(1,$H104:$BE104,$H$4:$BE$4),12*Assumptions!$G$87+12)=AA$4,0,IF(Z104=1,PMT(Assumptions!$G$85,Assumptions!$G$87,$C106),Z117))),0)</f>
        <v>0</v>
      </c>
      <c r="AB117" s="39">
        <f>+IFERROR(-ABS(IF(EDATE(_xlfn.XLOOKUP(1,$H104:$BE104,$H$4:$BE$4),12*Assumptions!$G$87+12)=AB$4,0,IF(AA104=1,PMT(Assumptions!$G$85,Assumptions!$G$87,$C106),AA117))),0)</f>
        <v>0</v>
      </c>
      <c r="AC117" s="39">
        <f>+IFERROR(-ABS(IF(EDATE(_xlfn.XLOOKUP(1,$H104:$BE104,$H$4:$BE$4),12*Assumptions!$G$87+12)=AC$4,0,IF(AB104=1,PMT(Assumptions!$G$85,Assumptions!$G$87,$C106),AB117))),0)</f>
        <v>0</v>
      </c>
      <c r="AD117" s="39">
        <f>+IFERROR(-ABS(IF(EDATE(_xlfn.XLOOKUP(1,$H104:$BE104,$H$4:$BE$4),12*Assumptions!$G$87+12)=AD$4,0,IF(AC104=1,PMT(Assumptions!$G$85,Assumptions!$G$87,$C106),AC117))),0)</f>
        <v>0</v>
      </c>
      <c r="AE117" s="39">
        <f>+IFERROR(-ABS(IF(EDATE(_xlfn.XLOOKUP(1,$H104:$BE104,$H$4:$BE$4),12*Assumptions!$G$87+12)=AE$4,0,IF(AD104=1,PMT(Assumptions!$G$85,Assumptions!$G$87,$C106),AD117))),0)</f>
        <v>0</v>
      </c>
      <c r="AF117" s="39">
        <f>+IFERROR(-ABS(IF(EDATE(_xlfn.XLOOKUP(1,$H104:$BE104,$H$4:$BE$4),12*Assumptions!$G$87+12)=AF$4,0,IF(AE104=1,PMT(Assumptions!$G$85,Assumptions!$G$87,$C106),AE117))),0)</f>
        <v>0</v>
      </c>
      <c r="AG117" s="39">
        <f>+IFERROR(-ABS(IF(EDATE(_xlfn.XLOOKUP(1,$H104:$BE104,$H$4:$BE$4),12*Assumptions!$G$87+12)=AG$4,0,IF(AF104=1,PMT(Assumptions!$G$85,Assumptions!$G$87,$C106),AF117))),0)</f>
        <v>0</v>
      </c>
      <c r="AH117" s="39">
        <f>+IFERROR(-ABS(IF(EDATE(_xlfn.XLOOKUP(1,$H104:$BE104,$H$4:$BE$4),12*Assumptions!$G$87+12)=AH$4,0,IF(AG104=1,PMT(Assumptions!$G$85,Assumptions!$G$87,$C106),AG117))),0)</f>
        <v>0</v>
      </c>
      <c r="AI117" s="39">
        <f>+IFERROR(-ABS(IF(EDATE(_xlfn.XLOOKUP(1,$H104:$BE104,$H$4:$BE$4),12*Assumptions!$G$87+12)=AI$4,0,IF(AH104=1,PMT(Assumptions!$G$85,Assumptions!$G$87,$C106),AH117))),0)</f>
        <v>0</v>
      </c>
      <c r="AJ117" s="39">
        <f>+IFERROR(-ABS(IF(EDATE(_xlfn.XLOOKUP(1,$H104:$BE104,$H$4:$BE$4),12*Assumptions!$G$87+12)=AJ$4,0,IF(AI104=1,PMT(Assumptions!$G$85,Assumptions!$G$87,$C106),AI117))),0)</f>
        <v>0</v>
      </c>
      <c r="AK117" s="39">
        <f>+IFERROR(-ABS(IF(EDATE(_xlfn.XLOOKUP(1,$H104:$BE104,$H$4:$BE$4),12*Assumptions!$G$87+12)=AK$4,0,IF(AJ104=1,PMT(Assumptions!$G$85,Assumptions!$G$87,$C106),AJ117))),0)</f>
        <v>0</v>
      </c>
      <c r="AL117" s="39">
        <f>+IFERROR(-ABS(IF(EDATE(_xlfn.XLOOKUP(1,$H104:$BE104,$H$4:$BE$4),12*Assumptions!$G$87+12)=AL$4,0,IF(AK104=1,PMT(Assumptions!$G$85,Assumptions!$G$87,$C106),AK117))),0)</f>
        <v>0</v>
      </c>
      <c r="AM117" s="39">
        <f>+IFERROR(-ABS(IF(EDATE(_xlfn.XLOOKUP(1,$H104:$BE104,$H$4:$BE$4),12*Assumptions!$G$87+12)=AM$4,0,IF(AL104=1,PMT(Assumptions!$G$85,Assumptions!$G$87,$C106),AL117))),0)</f>
        <v>0</v>
      </c>
      <c r="AN117" s="39">
        <f>+IFERROR(-ABS(IF(EDATE(_xlfn.XLOOKUP(1,$H104:$BE104,$H$4:$BE$4),12*Assumptions!$G$87+12)=AN$4,0,IF(AM104=1,PMT(Assumptions!$G$85,Assumptions!$G$87,$C106),AM117))),0)</f>
        <v>0</v>
      </c>
      <c r="AO117" s="39">
        <f>+IFERROR(-ABS(IF(EDATE(_xlfn.XLOOKUP(1,$H104:$BE104,$H$4:$BE$4),12*Assumptions!$G$87+12)=AO$4,0,IF(AN104=1,PMT(Assumptions!$G$85,Assumptions!$G$87,$C106),AN117))),0)</f>
        <v>0</v>
      </c>
      <c r="AP117" s="39">
        <f>+IFERROR(-ABS(IF(EDATE(_xlfn.XLOOKUP(1,$H104:$BE104,$H$4:$BE$4),12*Assumptions!$G$87+12)=AP$4,0,IF(AO104=1,PMT(Assumptions!$G$85,Assumptions!$G$87,$C106),AO117))),0)</f>
        <v>0</v>
      </c>
      <c r="AQ117" s="39">
        <f>+IFERROR(-ABS(IF(EDATE(_xlfn.XLOOKUP(1,$H104:$BE104,$H$4:$BE$4),12*Assumptions!$G$87+12)=AQ$4,0,IF(AP104=1,PMT(Assumptions!$G$85,Assumptions!$G$87,$C106),AP117))),0)</f>
        <v>0</v>
      </c>
      <c r="AR117" s="39">
        <f>+IFERROR(-ABS(IF(EDATE(_xlfn.XLOOKUP(1,$H104:$BE104,$H$4:$BE$4),12*Assumptions!$G$87+12)=AR$4,0,IF(AQ104=1,PMT(Assumptions!$G$85,Assumptions!$G$87,$C106),AQ117))),0)</f>
        <v>0</v>
      </c>
      <c r="AS117" s="39">
        <f>+IFERROR(-ABS(IF(EDATE(_xlfn.XLOOKUP(1,$H104:$BE104,$H$4:$BE$4),12*Assumptions!$G$87+12)=AS$4,0,IF(AR104=1,PMT(Assumptions!$G$85,Assumptions!$G$87,$C106),AR117))),0)</f>
        <v>0</v>
      </c>
      <c r="AT117" s="39">
        <f>+IFERROR(-ABS(IF(EDATE(_xlfn.XLOOKUP(1,$H104:$BE104,$H$4:$BE$4),12*Assumptions!$G$87+12)=AT$4,0,IF(AS104=1,PMT(Assumptions!$G$85,Assumptions!$G$87,$C106),AS117))),0)</f>
        <v>0</v>
      </c>
      <c r="AU117" s="39">
        <f>+IFERROR(-ABS(IF(EDATE(_xlfn.XLOOKUP(1,$H104:$BE104,$H$4:$BE$4),12*Assumptions!$G$87+12)=AU$4,0,IF(AT104=1,PMT(Assumptions!$G$85,Assumptions!$G$87,$C106),AT117))),0)</f>
        <v>0</v>
      </c>
      <c r="AV117" s="39">
        <f>+IFERROR(-ABS(IF(EDATE(_xlfn.XLOOKUP(1,$H104:$BE104,$H$4:$BE$4),12*Assumptions!$G$87+12)=AV$4,0,IF(AU104=1,PMT(Assumptions!$G$85,Assumptions!$G$87,$C106),AU117))),0)</f>
        <v>0</v>
      </c>
      <c r="AW117" s="39">
        <f>+IFERROR(-ABS(IF(EDATE(_xlfn.XLOOKUP(1,$H104:$BE104,$H$4:$BE$4),12*Assumptions!$G$87+12)=AW$4,0,IF(AV104=1,PMT(Assumptions!$G$85,Assumptions!$G$87,$C106),AV117))),0)</f>
        <v>0</v>
      </c>
      <c r="AX117" s="39">
        <f>+IFERROR(-ABS(IF(EDATE(_xlfn.XLOOKUP(1,$H104:$BE104,$H$4:$BE$4),12*Assumptions!$G$87+12)=AX$4,0,IF(AW104=1,PMT(Assumptions!$G$85,Assumptions!$G$87,$C106),AW117))),0)</f>
        <v>0</v>
      </c>
      <c r="AY117" s="39">
        <f>+IFERROR(-ABS(IF(EDATE(_xlfn.XLOOKUP(1,$H104:$BE104,$H$4:$BE$4),12*Assumptions!$G$87+12)=AY$4,0,IF(AX104=1,PMT(Assumptions!$G$85,Assumptions!$G$87,$C106),AX117))),0)</f>
        <v>0</v>
      </c>
      <c r="AZ117" s="39">
        <f>+IFERROR(-ABS(IF(EDATE(_xlfn.XLOOKUP(1,$H104:$BE104,$H$4:$BE$4),12*Assumptions!$G$87+12)=AZ$4,0,IF(AY104=1,PMT(Assumptions!$G$85,Assumptions!$G$87,$C106),AY117))),0)</f>
        <v>0</v>
      </c>
      <c r="BA117" s="39">
        <f>+IFERROR(-ABS(IF(EDATE(_xlfn.XLOOKUP(1,$H104:$BE104,$H$4:$BE$4),12*Assumptions!$G$87+12)=BA$4,0,IF(AZ104=1,PMT(Assumptions!$G$85,Assumptions!$G$87,$C106),AZ117))),0)</f>
        <v>0</v>
      </c>
      <c r="BB117" s="39">
        <f>+IFERROR(-ABS(IF(EDATE(_xlfn.XLOOKUP(1,$H104:$BE104,$H$4:$BE$4),12*Assumptions!$G$87+12)=BB$4,0,IF(BA104=1,PMT(Assumptions!$G$85,Assumptions!$G$87,$C106),BA117))),0)</f>
        <v>0</v>
      </c>
      <c r="BC117" s="39">
        <f>+IFERROR(-ABS(IF(EDATE(_xlfn.XLOOKUP(1,$H104:$BE104,$H$4:$BE$4),12*Assumptions!$G$87+12)=BC$4,0,IF(BB104=1,PMT(Assumptions!$G$85,Assumptions!$G$87,$C106),BB117))),0)</f>
        <v>0</v>
      </c>
      <c r="BD117" s="39">
        <f>+IFERROR(-ABS(IF(EDATE(_xlfn.XLOOKUP(1,$H104:$BE104,$H$4:$BE$4),12*Assumptions!$G$87+12)=BD$4,0,IF(BC104=1,PMT(Assumptions!$G$85,Assumptions!$G$87,$C106),BC117))),0)</f>
        <v>0</v>
      </c>
      <c r="BE117" s="39">
        <f>+IFERROR(-ABS(IF(EDATE(_xlfn.XLOOKUP(1,$H104:$BE104,$H$4:$BE$4),12*Assumptions!$G$87+12)=BE$4,0,IF(BD104=1,PMT(Assumptions!$G$85,Assumptions!$G$87,$C106),BD117))),0)</f>
        <v>0</v>
      </c>
      <c r="BF117" s="39">
        <f>+IFERROR(-ABS(IF(EDATE(_xlfn.XLOOKUP(1,$H104:$BE104,$H$4:$BE$4),12*Assumptions!$G$87+12)=BF$4,0,IF(BE104=1,PMT(Assumptions!$G$85,Assumptions!$G$87,$C106),BE117))),0)</f>
        <v>0</v>
      </c>
      <c r="BG117" s="39">
        <f>+IFERROR(-ABS(IF(EDATE(_xlfn.XLOOKUP(1,$H104:$BE104,$H$4:$BE$4),12*Assumptions!$G$87+12)=BG$4,0,IF(BF104=1,PMT(Assumptions!$G$85,Assumptions!$G$87,$C106),BF117))),0)</f>
        <v>0</v>
      </c>
      <c r="BH117" s="39">
        <f>+IFERROR(-ABS(IF(EDATE(_xlfn.XLOOKUP(1,$H104:$BE104,$H$4:$BE$4),12*Assumptions!$G$87+12)=BH$4,0,IF(BG104=1,PMT(Assumptions!$G$85,Assumptions!$G$87,$C106),BG117))),0)</f>
        <v>0</v>
      </c>
      <c r="BI117" s="39">
        <f>+IFERROR(-ABS(IF(EDATE(_xlfn.XLOOKUP(1,$H104:$BE104,$H$4:$BE$4),12*Assumptions!$G$87+12)=BI$4,0,IF(BH104=1,PMT(Assumptions!$G$85,Assumptions!$G$87,$C106),BH117))),0)</f>
        <v>0</v>
      </c>
      <c r="BJ117" s="39">
        <f>+IFERROR(-ABS(IF(EDATE(_xlfn.XLOOKUP(1,$H104:$BE104,$H$4:$BE$4),12*Assumptions!$G$87+12)=BJ$4,0,IF(BI104=1,PMT(Assumptions!$G$85,Assumptions!$G$87,$C106),BI117))),0)</f>
        <v>0</v>
      </c>
      <c r="BK117" s="39">
        <f>+IFERROR(-ABS(IF(EDATE(_xlfn.XLOOKUP(1,$H104:$BE104,$H$4:$BE$4),12*Assumptions!$G$87+12)=BK$4,0,IF(BJ104=1,PMT(Assumptions!$G$85,Assumptions!$G$87,$C106),BJ117))),0)</f>
        <v>0</v>
      </c>
      <c r="BL117" s="39">
        <f>+IFERROR(-ABS(IF(EDATE(_xlfn.XLOOKUP(1,$H104:$BE104,$H$4:$BE$4),12*Assumptions!$G$87+12)=BL$4,0,IF(BK104=1,PMT(Assumptions!$G$85,Assumptions!$G$87,$C106),BK117))),0)</f>
        <v>0</v>
      </c>
      <c r="BM117" s="39">
        <f>+IFERROR(-ABS(IF(EDATE(_xlfn.XLOOKUP(1,$H104:$BE104,$H$4:$BE$4),12*Assumptions!$G$87+12)=BM$4,0,IF(BL104=1,PMT(Assumptions!$G$85,Assumptions!$G$87,$C106),BL117))),0)</f>
        <v>0</v>
      </c>
      <c r="BN117" s="39">
        <f>+IFERROR(-ABS(IF(EDATE(_xlfn.XLOOKUP(1,$H104:$BE104,$H$4:$BE$4),12*Assumptions!$G$87+12)=BN$4,0,IF(BM104=1,PMT(Assumptions!$G$85,Assumptions!$G$87,$C106),BM117))),0)</f>
        <v>0</v>
      </c>
      <c r="BO117" s="39">
        <f>+IFERROR(-ABS(IF(EDATE(_xlfn.XLOOKUP(1,$H104:$BE104,$H$4:$BE$4),12*Assumptions!$G$87+12)=BO$4,0,IF(BN104=1,PMT(Assumptions!$G$85,Assumptions!$G$87,$C106),BN117))),0)</f>
        <v>0</v>
      </c>
      <c r="BP117" s="39">
        <f>+IFERROR(-ABS(IF(EDATE(_xlfn.XLOOKUP(1,$H104:$BE104,$H$4:$BE$4),12*Assumptions!$G$87+12)=BP$4,0,IF(BO104=1,PMT(Assumptions!$G$85,Assumptions!$G$87,$C106),BO117))),0)</f>
        <v>0</v>
      </c>
      <c r="BQ117" s="39">
        <f>+IFERROR(-ABS(IF(EDATE(_xlfn.XLOOKUP(1,$H104:$BE104,$H$4:$BE$4),12*Assumptions!$G$87+12)=BQ$4,0,IF(BP104=1,PMT(Assumptions!$G$85,Assumptions!$G$87,$C106),BP117))),0)</f>
        <v>0</v>
      </c>
      <c r="BR117" s="39">
        <f>+IFERROR(-ABS(IF(EDATE(_xlfn.XLOOKUP(1,$H104:$BE104,$H$4:$BE$4),12*Assumptions!$G$87+12)=BR$4,0,IF(BQ104=1,PMT(Assumptions!$G$85,Assumptions!$G$87,$C106),BQ117))),0)</f>
        <v>0</v>
      </c>
      <c r="BS117" s="39">
        <f>+IFERROR(-ABS(IF(EDATE(_xlfn.XLOOKUP(1,$H104:$BE104,$H$4:$BE$4),12*Assumptions!$G$87+12)=BS$4,0,IF(BR104=1,PMT(Assumptions!$G$85,Assumptions!$G$87,$C106),BR117))),0)</f>
        <v>0</v>
      </c>
      <c r="BT117" s="39">
        <f>+IFERROR(-ABS(IF(EDATE(_xlfn.XLOOKUP(1,$H104:$BE104,$H$4:$BE$4),12*Assumptions!$G$87+12)=BT$4,0,IF(BS104=1,PMT(Assumptions!$G$85,Assumptions!$G$87,$C106),BS117))),0)</f>
        <v>0</v>
      </c>
      <c r="BU117" s="39">
        <f>+IFERROR(-ABS(IF(EDATE(_xlfn.XLOOKUP(1,$H104:$BE104,$H$4:$BE$4),12*Assumptions!$G$87+12)=BU$4,0,IF(BT104=1,PMT(Assumptions!$G$85,Assumptions!$G$87,$C106),BT117))),0)</f>
        <v>0</v>
      </c>
      <c r="BV117" s="39">
        <f>+IFERROR(-ABS(IF(EDATE(_xlfn.XLOOKUP(1,$H104:$BE104,$H$4:$BE$4),12*Assumptions!$G$87+12)=BV$4,0,IF(BU104=1,PMT(Assumptions!$G$85,Assumptions!$G$87,$C106),BU117))),0)</f>
        <v>0</v>
      </c>
      <c r="BW117" s="39">
        <f>+IFERROR(-ABS(IF(EDATE(_xlfn.XLOOKUP(1,$H104:$BE104,$H$4:$BE$4),12*Assumptions!$G$87+12)=BW$4,0,IF(BV104=1,PMT(Assumptions!$G$85,Assumptions!$G$87,$C106),BV117))),0)</f>
        <v>0</v>
      </c>
      <c r="BX117" s="39">
        <f>+IFERROR(-ABS(IF(EDATE(_xlfn.XLOOKUP(1,$H104:$BE104,$H$4:$BE$4),12*Assumptions!$G$87+12)=BX$4,0,IF(BW104=1,PMT(Assumptions!$G$85,Assumptions!$G$87,$C106),BW117))),0)</f>
        <v>0</v>
      </c>
      <c r="BY117" s="39">
        <f>+IFERROR(-ABS(IF(EDATE(_xlfn.XLOOKUP(1,$H104:$BE104,$H$4:$BE$4),12*Assumptions!$G$87+12)=BY$4,0,IF(BX104=1,PMT(Assumptions!$G$85,Assumptions!$G$87,$C106),BX117))),0)</f>
        <v>0</v>
      </c>
    </row>
    <row r="118" spans="3:77" outlineLevel="1">
      <c r="E118" s="24" t="s">
        <v>521</v>
      </c>
      <c r="F118" s="80" t="str">
        <f>+Assumptions!$G$8</f>
        <v>USD</v>
      </c>
      <c r="G118" s="24"/>
      <c r="H118" s="39">
        <f>+IFERROR(-ABS(IF(EDATE(_xlfn.XLOOKUP(1,$H105:$BE105,$H$4:$BE$4),12*Assumptions!$G$87+12)=H$4,0,IF(G105=1,PMT(Assumptions!$G$85,Assumptions!$G$87,$C107),G118))),0)</f>
        <v>0</v>
      </c>
      <c r="I118" s="39">
        <f>+IFERROR(-ABS(IF(EDATE(_xlfn.XLOOKUP(1,$H105:$BE105,$H$4:$BE$4),12*Assumptions!$G$87+12)=I$4,0,IF(H105=1,PMT(Assumptions!$G$85,Assumptions!$G$87,$C107),H118))),0)</f>
        <v>0</v>
      </c>
      <c r="J118" s="39">
        <f>+IFERROR(-ABS(IF(EDATE(_xlfn.XLOOKUP(1,$H105:$BE105,$H$4:$BE$4),12*Assumptions!$G$87+12)=J$4,0,IF(I105=1,PMT(Assumptions!$G$85,Assumptions!$G$87,$C107),I118))),0)</f>
        <v>0</v>
      </c>
      <c r="K118" s="39">
        <f>+IFERROR(-ABS(IF(EDATE(_xlfn.XLOOKUP(1,$H105:$BE105,$H$4:$BE$4),12*Assumptions!$G$87+12)=K$4,0,IF(J105=1,PMT(Assumptions!$G$85,Assumptions!$G$87,$C107),J118))),0)</f>
        <v>0</v>
      </c>
      <c r="L118" s="39">
        <f>+IFERROR(-ABS(IF(EDATE(_xlfn.XLOOKUP(1,$H105:$BE105,$H$4:$BE$4),12*Assumptions!$G$87+12)=L$4,0,IF(K105=1,PMT(Assumptions!$G$85,Assumptions!$G$87,$C107),K118))),0)</f>
        <v>0</v>
      </c>
      <c r="M118" s="39">
        <f>+IFERROR(-ABS(IF(EDATE(_xlfn.XLOOKUP(1,$H105:$BE105,$H$4:$BE$4),12*Assumptions!$G$87+12)=M$4,0,IF(L105=1,PMT(Assumptions!$G$85,Assumptions!$G$87,$C107),L118))),0)</f>
        <v>0</v>
      </c>
      <c r="N118" s="39">
        <f>+IFERROR(-ABS(IF(EDATE(_xlfn.XLOOKUP(1,$H105:$BE105,$H$4:$BE$4),12*Assumptions!$G$87+12)=N$4,0,IF(M105=1,PMT(Assumptions!$G$85,Assumptions!$G$87,$C107),M118))),0)</f>
        <v>0</v>
      </c>
      <c r="O118" s="39">
        <f>+IFERROR(-ABS(IF(EDATE(_xlfn.XLOOKUP(1,$H105:$BE105,$H$4:$BE$4),12*Assumptions!$G$87+12)=O$4,0,IF(N105=1,PMT(Assumptions!$G$85,Assumptions!$G$87,$C107),N118))),0)</f>
        <v>0</v>
      </c>
      <c r="P118" s="39">
        <f>+IFERROR(-ABS(IF(EDATE(_xlfn.XLOOKUP(1,$H105:$BE105,$H$4:$BE$4),12*Assumptions!$G$87+12)=P$4,0,IF(O105=1,PMT(Assumptions!$G$85,Assumptions!$G$87,$C107),O118))),0)</f>
        <v>0</v>
      </c>
      <c r="Q118" s="39">
        <f>+IFERROR(-ABS(IF(EDATE(_xlfn.XLOOKUP(1,$H105:$BE105,$H$4:$BE$4),12*Assumptions!$G$87+12)=Q$4,0,IF(P105=1,PMT(Assumptions!$G$85,Assumptions!$G$87,$C107),P118))),0)</f>
        <v>0</v>
      </c>
      <c r="R118" s="39">
        <f>+IFERROR(-ABS(IF(EDATE(_xlfn.XLOOKUP(1,$H105:$BE105,$H$4:$BE$4),12*Assumptions!$G$87+12)=R$4,0,IF(Q105=1,PMT(Assumptions!$G$85,Assumptions!$G$87,$C107),Q118))),0)</f>
        <v>0</v>
      </c>
      <c r="S118" s="39">
        <f>+IFERROR(-ABS(IF(EDATE(_xlfn.XLOOKUP(1,$H105:$BE105,$H$4:$BE$4),12*Assumptions!$G$87+12)=S$4,0,IF(R105=1,PMT(Assumptions!$G$85,Assumptions!$G$87,$C107),R118))),0)</f>
        <v>0</v>
      </c>
      <c r="T118" s="39">
        <f>+IFERROR(-ABS(IF(EDATE(_xlfn.XLOOKUP(1,$H105:$BE105,$H$4:$BE$4),12*Assumptions!$G$87+12)=T$4,0,IF(S105=1,PMT(Assumptions!$G$85,Assumptions!$G$87,$C107),S118))),0)</f>
        <v>0</v>
      </c>
      <c r="U118" s="39">
        <f>+IFERROR(-ABS(IF(EDATE(_xlfn.XLOOKUP(1,$H105:$BE105,$H$4:$BE$4),12*Assumptions!$G$87+12)=U$4,0,IF(T105=1,PMT(Assumptions!$G$85,Assumptions!$G$87,$C107),T118))),0)</f>
        <v>0</v>
      </c>
      <c r="V118" s="39">
        <f>+IFERROR(-ABS(IF(EDATE(_xlfn.XLOOKUP(1,$H105:$BE105,$H$4:$BE$4),12*Assumptions!$G$87+12)=V$4,0,IF(U105=1,PMT(Assumptions!$G$85,Assumptions!$G$87,$C107),U118))),0)</f>
        <v>0</v>
      </c>
      <c r="W118" s="39">
        <f>+IFERROR(-ABS(IF(EDATE(_xlfn.XLOOKUP(1,$H105:$BE105,$H$4:$BE$4),12*Assumptions!$G$87+12)=W$4,0,IF(V105=1,PMT(Assumptions!$G$85,Assumptions!$G$87,$C107),V118))),0)</f>
        <v>0</v>
      </c>
      <c r="X118" s="39">
        <f>+IFERROR(-ABS(IF(EDATE(_xlfn.XLOOKUP(1,$H105:$BE105,$H$4:$BE$4),12*Assumptions!$G$87+12)=X$4,0,IF(W105=1,PMT(Assumptions!$G$85,Assumptions!$G$87,$C107),W118))),0)</f>
        <v>0</v>
      </c>
      <c r="Y118" s="39">
        <f>+IFERROR(-ABS(IF(EDATE(_xlfn.XLOOKUP(1,$H105:$BE105,$H$4:$BE$4),12*Assumptions!$G$87+12)=Y$4,0,IF(X105=1,PMT(Assumptions!$G$85,Assumptions!$G$87,$C107),X118))),0)</f>
        <v>0</v>
      </c>
      <c r="Z118" s="39">
        <f>+IFERROR(-ABS(IF(EDATE(_xlfn.XLOOKUP(1,$H105:$BE105,$H$4:$BE$4),12*Assumptions!$G$87+12)=Z$4,0,IF(Y105=1,PMT(Assumptions!$G$85,Assumptions!$G$87,$C107),Y118))),0)</f>
        <v>0</v>
      </c>
      <c r="AA118" s="39">
        <f>+IFERROR(-ABS(IF(EDATE(_xlfn.XLOOKUP(1,$H105:$BE105,$H$4:$BE$4),12*Assumptions!$G$87+12)=AA$4,0,IF(Z105=1,PMT(Assumptions!$G$85,Assumptions!$G$87,$C107),Z118))),0)</f>
        <v>0</v>
      </c>
      <c r="AB118" s="39">
        <f>+IFERROR(-ABS(IF(EDATE(_xlfn.XLOOKUP(1,$H105:$BE105,$H$4:$BE$4),12*Assumptions!$G$87+12)=AB$4,0,IF(AA105=1,PMT(Assumptions!$G$85,Assumptions!$G$87,$C107),AA118))),0)</f>
        <v>0</v>
      </c>
      <c r="AC118" s="39">
        <f>+IFERROR(-ABS(IF(EDATE(_xlfn.XLOOKUP(1,$H105:$BE105,$H$4:$BE$4),12*Assumptions!$G$87+12)=AC$4,0,IF(AB105=1,PMT(Assumptions!$G$85,Assumptions!$G$87,$C107),AB118))),0)</f>
        <v>0</v>
      </c>
      <c r="AD118" s="39">
        <f>+IFERROR(-ABS(IF(EDATE(_xlfn.XLOOKUP(1,$H105:$BE105,$H$4:$BE$4),12*Assumptions!$G$87+12)=AD$4,0,IF(AC105=1,PMT(Assumptions!$G$85,Assumptions!$G$87,$C107),AC118))),0)</f>
        <v>0</v>
      </c>
      <c r="AE118" s="39">
        <f>+IFERROR(-ABS(IF(EDATE(_xlfn.XLOOKUP(1,$H105:$BE105,$H$4:$BE$4),12*Assumptions!$G$87+12)=AE$4,0,IF(AD105=1,PMT(Assumptions!$G$85,Assumptions!$G$87,$C107),AD118))),0)</f>
        <v>0</v>
      </c>
      <c r="AF118" s="39">
        <f>+IFERROR(-ABS(IF(EDATE(_xlfn.XLOOKUP(1,$H105:$BE105,$H$4:$BE$4),12*Assumptions!$G$87+12)=AF$4,0,IF(AE105=1,PMT(Assumptions!$G$85,Assumptions!$G$87,$C107),AE118))),0)</f>
        <v>0</v>
      </c>
      <c r="AG118" s="39">
        <f>+IFERROR(-ABS(IF(EDATE(_xlfn.XLOOKUP(1,$H105:$BE105,$H$4:$BE$4),12*Assumptions!$G$87+12)=AG$4,0,IF(AF105=1,PMT(Assumptions!$G$85,Assumptions!$G$87,$C107),AF118))),0)</f>
        <v>0</v>
      </c>
      <c r="AH118" s="39">
        <f>+IFERROR(-ABS(IF(EDATE(_xlfn.XLOOKUP(1,$H105:$BE105,$H$4:$BE$4),12*Assumptions!$G$87+12)=AH$4,0,IF(AG105=1,PMT(Assumptions!$G$85,Assumptions!$G$87,$C107),AG118))),0)</f>
        <v>0</v>
      </c>
      <c r="AI118" s="39">
        <f>+IFERROR(-ABS(IF(EDATE(_xlfn.XLOOKUP(1,$H105:$BE105,$H$4:$BE$4),12*Assumptions!$G$87+12)=AI$4,0,IF(AH105=1,PMT(Assumptions!$G$85,Assumptions!$G$87,$C107),AH118))),0)</f>
        <v>0</v>
      </c>
      <c r="AJ118" s="39">
        <f>+IFERROR(-ABS(IF(EDATE(_xlfn.XLOOKUP(1,$H105:$BE105,$H$4:$BE$4),12*Assumptions!$G$87+12)=AJ$4,0,IF(AI105=1,PMT(Assumptions!$G$85,Assumptions!$G$87,$C107),AI118))),0)</f>
        <v>0</v>
      </c>
      <c r="AK118" s="39">
        <f>+IFERROR(-ABS(IF(EDATE(_xlfn.XLOOKUP(1,$H105:$BE105,$H$4:$BE$4),12*Assumptions!$G$87+12)=AK$4,0,IF(AJ105=1,PMT(Assumptions!$G$85,Assumptions!$G$87,$C107),AJ118))),0)</f>
        <v>0</v>
      </c>
      <c r="AL118" s="39">
        <f>+IFERROR(-ABS(IF(EDATE(_xlfn.XLOOKUP(1,$H105:$BE105,$H$4:$BE$4),12*Assumptions!$G$87+12)=AL$4,0,IF(AK105=1,PMT(Assumptions!$G$85,Assumptions!$G$87,$C107),AK118))),0)</f>
        <v>0</v>
      </c>
      <c r="AM118" s="39">
        <f>+IFERROR(-ABS(IF(EDATE(_xlfn.XLOOKUP(1,$H105:$BE105,$H$4:$BE$4),12*Assumptions!$G$87+12)=AM$4,0,IF(AL105=1,PMT(Assumptions!$G$85,Assumptions!$G$87,$C107),AL118))),0)</f>
        <v>0</v>
      </c>
      <c r="AN118" s="39">
        <f>+IFERROR(-ABS(IF(EDATE(_xlfn.XLOOKUP(1,$H105:$BE105,$H$4:$BE$4),12*Assumptions!$G$87+12)=AN$4,0,IF(AM105=1,PMT(Assumptions!$G$85,Assumptions!$G$87,$C107),AM118))),0)</f>
        <v>0</v>
      </c>
      <c r="AO118" s="39">
        <f>+IFERROR(-ABS(IF(EDATE(_xlfn.XLOOKUP(1,$H105:$BE105,$H$4:$BE$4),12*Assumptions!$G$87+12)=AO$4,0,IF(AN105=1,PMT(Assumptions!$G$85,Assumptions!$G$87,$C107),AN118))),0)</f>
        <v>0</v>
      </c>
      <c r="AP118" s="39">
        <f>+IFERROR(-ABS(IF(EDATE(_xlfn.XLOOKUP(1,$H105:$BE105,$H$4:$BE$4),12*Assumptions!$G$87+12)=AP$4,0,IF(AO105=1,PMT(Assumptions!$G$85,Assumptions!$G$87,$C107),AO118))),0)</f>
        <v>0</v>
      </c>
      <c r="AQ118" s="39">
        <f>+IFERROR(-ABS(IF(EDATE(_xlfn.XLOOKUP(1,$H105:$BE105,$H$4:$BE$4),12*Assumptions!$G$87+12)=AQ$4,0,IF(AP105=1,PMT(Assumptions!$G$85,Assumptions!$G$87,$C107),AP118))),0)</f>
        <v>0</v>
      </c>
      <c r="AR118" s="39">
        <f>+IFERROR(-ABS(IF(EDATE(_xlfn.XLOOKUP(1,$H105:$BE105,$H$4:$BE$4),12*Assumptions!$G$87+12)=AR$4,0,IF(AQ105=1,PMT(Assumptions!$G$85,Assumptions!$G$87,$C107),AQ118))),0)</f>
        <v>0</v>
      </c>
      <c r="AS118" s="39">
        <f>+IFERROR(-ABS(IF(EDATE(_xlfn.XLOOKUP(1,$H105:$BE105,$H$4:$BE$4),12*Assumptions!$G$87+12)=AS$4,0,IF(AR105=1,PMT(Assumptions!$G$85,Assumptions!$G$87,$C107),AR118))),0)</f>
        <v>0</v>
      </c>
      <c r="AT118" s="39">
        <f>+IFERROR(-ABS(IF(EDATE(_xlfn.XLOOKUP(1,$H105:$BE105,$H$4:$BE$4),12*Assumptions!$G$87+12)=AT$4,0,IF(AS105=1,PMT(Assumptions!$G$85,Assumptions!$G$87,$C107),AS118))),0)</f>
        <v>0</v>
      </c>
      <c r="AU118" s="39">
        <f>+IFERROR(-ABS(IF(EDATE(_xlfn.XLOOKUP(1,$H105:$BE105,$H$4:$BE$4),12*Assumptions!$G$87+12)=AU$4,0,IF(AT105=1,PMT(Assumptions!$G$85,Assumptions!$G$87,$C107),AT118))),0)</f>
        <v>0</v>
      </c>
      <c r="AV118" s="39">
        <f>+IFERROR(-ABS(IF(EDATE(_xlfn.XLOOKUP(1,$H105:$BE105,$H$4:$BE$4),12*Assumptions!$G$87+12)=AV$4,0,IF(AU105=1,PMT(Assumptions!$G$85,Assumptions!$G$87,$C107),AU118))),0)</f>
        <v>0</v>
      </c>
      <c r="AW118" s="39">
        <f>+IFERROR(-ABS(IF(EDATE(_xlfn.XLOOKUP(1,$H105:$BE105,$H$4:$BE$4),12*Assumptions!$G$87+12)=AW$4,0,IF(AV105=1,PMT(Assumptions!$G$85,Assumptions!$G$87,$C107),AV118))),0)</f>
        <v>0</v>
      </c>
      <c r="AX118" s="39">
        <f>+IFERROR(-ABS(IF(EDATE(_xlfn.XLOOKUP(1,$H105:$BE105,$H$4:$BE$4),12*Assumptions!$G$87+12)=AX$4,0,IF(AW105=1,PMT(Assumptions!$G$85,Assumptions!$G$87,$C107),AW118))),0)</f>
        <v>0</v>
      </c>
      <c r="AY118" s="39">
        <f>+IFERROR(-ABS(IF(EDATE(_xlfn.XLOOKUP(1,$H105:$BE105,$H$4:$BE$4),12*Assumptions!$G$87+12)=AY$4,0,IF(AX105=1,PMT(Assumptions!$G$85,Assumptions!$G$87,$C107),AX118))),0)</f>
        <v>0</v>
      </c>
      <c r="AZ118" s="39">
        <f>+IFERROR(-ABS(IF(EDATE(_xlfn.XLOOKUP(1,$H105:$BE105,$H$4:$BE$4),12*Assumptions!$G$87+12)=AZ$4,0,IF(AY105=1,PMT(Assumptions!$G$85,Assumptions!$G$87,$C107),AY118))),0)</f>
        <v>0</v>
      </c>
      <c r="BA118" s="39">
        <f>+IFERROR(-ABS(IF(EDATE(_xlfn.XLOOKUP(1,$H105:$BE105,$H$4:$BE$4),12*Assumptions!$G$87+12)=BA$4,0,IF(AZ105=1,PMT(Assumptions!$G$85,Assumptions!$G$87,$C107),AZ118))),0)</f>
        <v>0</v>
      </c>
      <c r="BB118" s="39">
        <f>+IFERROR(-ABS(IF(EDATE(_xlfn.XLOOKUP(1,$H105:$BE105,$H$4:$BE$4),12*Assumptions!$G$87+12)=BB$4,0,IF(BA105=1,PMT(Assumptions!$G$85,Assumptions!$G$87,$C107),BA118))),0)</f>
        <v>0</v>
      </c>
      <c r="BC118" s="39">
        <f>+IFERROR(-ABS(IF(EDATE(_xlfn.XLOOKUP(1,$H105:$BE105,$H$4:$BE$4),12*Assumptions!$G$87+12)=BC$4,0,IF(BB105=1,PMT(Assumptions!$G$85,Assumptions!$G$87,$C107),BB118))),0)</f>
        <v>0</v>
      </c>
      <c r="BD118" s="39">
        <f>+IFERROR(-ABS(IF(EDATE(_xlfn.XLOOKUP(1,$H105:$BE105,$H$4:$BE$4),12*Assumptions!$G$87+12)=BD$4,0,IF(BC105=1,PMT(Assumptions!$G$85,Assumptions!$G$87,$C107),BC118))),0)</f>
        <v>0</v>
      </c>
      <c r="BE118" s="39">
        <f>+IFERROR(-ABS(IF(EDATE(_xlfn.XLOOKUP(1,$H105:$BE105,$H$4:$BE$4),12*Assumptions!$G$87+12)=BE$4,0,IF(BD105=1,PMT(Assumptions!$G$85,Assumptions!$G$87,$C107),BD118))),0)</f>
        <v>0</v>
      </c>
      <c r="BF118" s="39">
        <f>+IFERROR(-ABS(IF(EDATE(_xlfn.XLOOKUP(1,$H105:$BE105,$H$4:$BE$4),12*Assumptions!$G$87+12)=BF$4,0,IF(BE105=1,PMT(Assumptions!$G$85,Assumptions!$G$87,$C107),BE118))),0)</f>
        <v>0</v>
      </c>
      <c r="BG118" s="39">
        <f>+IFERROR(-ABS(IF(EDATE(_xlfn.XLOOKUP(1,$H105:$BE105,$H$4:$BE$4),12*Assumptions!$G$87+12)=BG$4,0,IF(BF105=1,PMT(Assumptions!$G$85,Assumptions!$G$87,$C107),BF118))),0)</f>
        <v>0</v>
      </c>
      <c r="BH118" s="39">
        <f>+IFERROR(-ABS(IF(EDATE(_xlfn.XLOOKUP(1,$H105:$BE105,$H$4:$BE$4),12*Assumptions!$G$87+12)=BH$4,0,IF(BG105=1,PMT(Assumptions!$G$85,Assumptions!$G$87,$C107),BG118))),0)</f>
        <v>0</v>
      </c>
      <c r="BI118" s="39">
        <f>+IFERROR(-ABS(IF(EDATE(_xlfn.XLOOKUP(1,$H105:$BE105,$H$4:$BE$4),12*Assumptions!$G$87+12)=BI$4,0,IF(BH105=1,PMT(Assumptions!$G$85,Assumptions!$G$87,$C107),BH118))),0)</f>
        <v>0</v>
      </c>
      <c r="BJ118" s="39">
        <f>+IFERROR(-ABS(IF(EDATE(_xlfn.XLOOKUP(1,$H105:$BE105,$H$4:$BE$4),12*Assumptions!$G$87+12)=BJ$4,0,IF(BI105=1,PMT(Assumptions!$G$85,Assumptions!$G$87,$C107),BI118))),0)</f>
        <v>0</v>
      </c>
      <c r="BK118" s="39">
        <f>+IFERROR(-ABS(IF(EDATE(_xlfn.XLOOKUP(1,$H105:$BE105,$H$4:$BE$4),12*Assumptions!$G$87+12)=BK$4,0,IF(BJ105=1,PMT(Assumptions!$G$85,Assumptions!$G$87,$C107),BJ118))),0)</f>
        <v>0</v>
      </c>
      <c r="BL118" s="39">
        <f>+IFERROR(-ABS(IF(EDATE(_xlfn.XLOOKUP(1,$H105:$BE105,$H$4:$BE$4),12*Assumptions!$G$87+12)=BL$4,0,IF(BK105=1,PMT(Assumptions!$G$85,Assumptions!$G$87,$C107),BK118))),0)</f>
        <v>0</v>
      </c>
      <c r="BM118" s="39">
        <f>+IFERROR(-ABS(IF(EDATE(_xlfn.XLOOKUP(1,$H105:$BE105,$H$4:$BE$4),12*Assumptions!$G$87+12)=BM$4,0,IF(BL105=1,PMT(Assumptions!$G$85,Assumptions!$G$87,$C107),BL118))),0)</f>
        <v>0</v>
      </c>
      <c r="BN118" s="39">
        <f>+IFERROR(-ABS(IF(EDATE(_xlfn.XLOOKUP(1,$H105:$BE105,$H$4:$BE$4),12*Assumptions!$G$87+12)=BN$4,0,IF(BM105=1,PMT(Assumptions!$G$85,Assumptions!$G$87,$C107),BM118))),0)</f>
        <v>0</v>
      </c>
      <c r="BO118" s="39">
        <f>+IFERROR(-ABS(IF(EDATE(_xlfn.XLOOKUP(1,$H105:$BE105,$H$4:$BE$4),12*Assumptions!$G$87+12)=BO$4,0,IF(BN105=1,PMT(Assumptions!$G$85,Assumptions!$G$87,$C107),BN118))),0)</f>
        <v>0</v>
      </c>
      <c r="BP118" s="39">
        <f>+IFERROR(-ABS(IF(EDATE(_xlfn.XLOOKUP(1,$H105:$BE105,$H$4:$BE$4),12*Assumptions!$G$87+12)=BP$4,0,IF(BO105=1,PMT(Assumptions!$G$85,Assumptions!$G$87,$C107),BO118))),0)</f>
        <v>0</v>
      </c>
      <c r="BQ118" s="39">
        <f>+IFERROR(-ABS(IF(EDATE(_xlfn.XLOOKUP(1,$H105:$BE105,$H$4:$BE$4),12*Assumptions!$G$87+12)=BQ$4,0,IF(BP105=1,PMT(Assumptions!$G$85,Assumptions!$G$87,$C107),BP118))),0)</f>
        <v>0</v>
      </c>
      <c r="BR118" s="39">
        <f>+IFERROR(-ABS(IF(EDATE(_xlfn.XLOOKUP(1,$H105:$BE105,$H$4:$BE$4),12*Assumptions!$G$87+12)=BR$4,0,IF(BQ105=1,PMT(Assumptions!$G$85,Assumptions!$G$87,$C107),BQ118))),0)</f>
        <v>0</v>
      </c>
      <c r="BS118" s="39">
        <f>+IFERROR(-ABS(IF(EDATE(_xlfn.XLOOKUP(1,$H105:$BE105,$H$4:$BE$4),12*Assumptions!$G$87+12)=BS$4,0,IF(BR105=1,PMT(Assumptions!$G$85,Assumptions!$G$87,$C107),BR118))),0)</f>
        <v>0</v>
      </c>
      <c r="BT118" s="39">
        <f>+IFERROR(-ABS(IF(EDATE(_xlfn.XLOOKUP(1,$H105:$BE105,$H$4:$BE$4),12*Assumptions!$G$87+12)=BT$4,0,IF(BS105=1,PMT(Assumptions!$G$85,Assumptions!$G$87,$C107),BS118))),0)</f>
        <v>0</v>
      </c>
      <c r="BU118" s="39">
        <f>+IFERROR(-ABS(IF(EDATE(_xlfn.XLOOKUP(1,$H105:$BE105,$H$4:$BE$4),12*Assumptions!$G$87+12)=BU$4,0,IF(BT105=1,PMT(Assumptions!$G$85,Assumptions!$G$87,$C107),BT118))),0)</f>
        <v>0</v>
      </c>
      <c r="BV118" s="39">
        <f>+IFERROR(-ABS(IF(EDATE(_xlfn.XLOOKUP(1,$H105:$BE105,$H$4:$BE$4),12*Assumptions!$G$87+12)=BV$4,0,IF(BU105=1,PMT(Assumptions!$G$85,Assumptions!$G$87,$C107),BU118))),0)</f>
        <v>0</v>
      </c>
      <c r="BW118" s="39">
        <f>+IFERROR(-ABS(IF(EDATE(_xlfn.XLOOKUP(1,$H105:$BE105,$H$4:$BE$4),12*Assumptions!$G$87+12)=BW$4,0,IF(BV105=1,PMT(Assumptions!$G$85,Assumptions!$G$87,$C107),BV118))),0)</f>
        <v>0</v>
      </c>
      <c r="BX118" s="39">
        <f>+IFERROR(-ABS(IF(EDATE(_xlfn.XLOOKUP(1,$H105:$BE105,$H$4:$BE$4),12*Assumptions!$G$87+12)=BX$4,0,IF(BW105=1,PMT(Assumptions!$G$85,Assumptions!$G$87,$C107),BW118))),0)</f>
        <v>0</v>
      </c>
      <c r="BY118" s="39">
        <f>+IFERROR(-ABS(IF(EDATE(_xlfn.XLOOKUP(1,$H105:$BE105,$H$4:$BE$4),12*Assumptions!$G$87+12)=BY$4,0,IF(BX105=1,PMT(Assumptions!$G$85,Assumptions!$G$87,$C107),BX118))),0)</f>
        <v>0</v>
      </c>
    </row>
    <row r="119" spans="3:77" outlineLevel="1">
      <c r="E119" s="24" t="s">
        <v>522</v>
      </c>
      <c r="F119" s="80" t="str">
        <f>+Assumptions!$G$8</f>
        <v>USD</v>
      </c>
      <c r="G119" s="24"/>
      <c r="H119" s="39">
        <f>+IFERROR(-ABS(IF(EDATE(_xlfn.XLOOKUP(1,$H106:$BE106,$H$4:$BE$4),12*Assumptions!$G$87+12)=H$4,0,IF(G106=1,PMT(Assumptions!$G$85,Assumptions!$G$87,$C108),G119))),0)</f>
        <v>0</v>
      </c>
      <c r="I119" s="39">
        <f>+IFERROR(-ABS(IF(EDATE(_xlfn.XLOOKUP(1,$H106:$BE106,$H$4:$BE$4),12*Assumptions!$G$87+12)=I$4,0,IF(H106=1,PMT(Assumptions!$G$85,Assumptions!$G$87,$C108),H119))),0)</f>
        <v>0</v>
      </c>
      <c r="J119" s="39">
        <f>+IFERROR(-ABS(IF(EDATE(_xlfn.XLOOKUP(1,$H106:$BE106,$H$4:$BE$4),12*Assumptions!$G$87+12)=J$4,0,IF(I106=1,PMT(Assumptions!$G$85,Assumptions!$G$87,$C108),I119))),0)</f>
        <v>0</v>
      </c>
      <c r="K119" s="39">
        <f>+IFERROR(-ABS(IF(EDATE(_xlfn.XLOOKUP(1,$H106:$BE106,$H$4:$BE$4),12*Assumptions!$G$87+12)=K$4,0,IF(J106=1,PMT(Assumptions!$G$85,Assumptions!$G$87,$C108),J119))),0)</f>
        <v>0</v>
      </c>
      <c r="L119" s="39">
        <f>+IFERROR(-ABS(IF(EDATE(_xlfn.XLOOKUP(1,$H106:$BE106,$H$4:$BE$4),12*Assumptions!$G$87+12)=L$4,0,IF(K106=1,PMT(Assumptions!$G$85,Assumptions!$G$87,$C108),K119))),0)</f>
        <v>0</v>
      </c>
      <c r="M119" s="39">
        <f>+IFERROR(-ABS(IF(EDATE(_xlfn.XLOOKUP(1,$H106:$BE106,$H$4:$BE$4),12*Assumptions!$G$87+12)=M$4,0,IF(L106=1,PMT(Assumptions!$G$85,Assumptions!$G$87,$C108),L119))),0)</f>
        <v>0</v>
      </c>
      <c r="N119" s="39">
        <f>+IFERROR(-ABS(IF(EDATE(_xlfn.XLOOKUP(1,$H106:$BE106,$H$4:$BE$4),12*Assumptions!$G$87+12)=N$4,0,IF(M106=1,PMT(Assumptions!$G$85,Assumptions!$G$87,$C108),M119))),0)</f>
        <v>0</v>
      </c>
      <c r="O119" s="39">
        <f>+IFERROR(-ABS(IF(EDATE(_xlfn.XLOOKUP(1,$H106:$BE106,$H$4:$BE$4),12*Assumptions!$G$87+12)=O$4,0,IF(N106=1,PMT(Assumptions!$G$85,Assumptions!$G$87,$C108),N119))),0)</f>
        <v>0</v>
      </c>
      <c r="P119" s="39">
        <f>+IFERROR(-ABS(IF(EDATE(_xlfn.XLOOKUP(1,$H106:$BE106,$H$4:$BE$4),12*Assumptions!$G$87+12)=P$4,0,IF(O106=1,PMT(Assumptions!$G$85,Assumptions!$G$87,$C108),O119))),0)</f>
        <v>0</v>
      </c>
      <c r="Q119" s="39">
        <f>+IFERROR(-ABS(IF(EDATE(_xlfn.XLOOKUP(1,$H106:$BE106,$H$4:$BE$4),12*Assumptions!$G$87+12)=Q$4,0,IF(P106=1,PMT(Assumptions!$G$85,Assumptions!$G$87,$C108),P119))),0)</f>
        <v>0</v>
      </c>
      <c r="R119" s="39">
        <f>+IFERROR(-ABS(IF(EDATE(_xlfn.XLOOKUP(1,$H106:$BE106,$H$4:$BE$4),12*Assumptions!$G$87+12)=R$4,0,IF(Q106=1,PMT(Assumptions!$G$85,Assumptions!$G$87,$C108),Q119))),0)</f>
        <v>0</v>
      </c>
      <c r="S119" s="39">
        <f>+IFERROR(-ABS(IF(EDATE(_xlfn.XLOOKUP(1,$H106:$BE106,$H$4:$BE$4),12*Assumptions!$G$87+12)=S$4,0,IF(R106=1,PMT(Assumptions!$G$85,Assumptions!$G$87,$C108),R119))),0)</f>
        <v>0</v>
      </c>
      <c r="T119" s="39">
        <f>+IFERROR(-ABS(IF(EDATE(_xlfn.XLOOKUP(1,$H106:$BE106,$H$4:$BE$4),12*Assumptions!$G$87+12)=T$4,0,IF(S106=1,PMT(Assumptions!$G$85,Assumptions!$G$87,$C108),S119))),0)</f>
        <v>0</v>
      </c>
      <c r="U119" s="39">
        <f>+IFERROR(-ABS(IF(EDATE(_xlfn.XLOOKUP(1,$H106:$BE106,$H$4:$BE$4),12*Assumptions!$G$87+12)=U$4,0,IF(T106=1,PMT(Assumptions!$G$85,Assumptions!$G$87,$C108),T119))),0)</f>
        <v>0</v>
      </c>
      <c r="V119" s="39">
        <f>+IFERROR(-ABS(IF(EDATE(_xlfn.XLOOKUP(1,$H106:$BE106,$H$4:$BE$4),12*Assumptions!$G$87+12)=V$4,0,IF(U106=1,PMT(Assumptions!$G$85,Assumptions!$G$87,$C108),U119))),0)</f>
        <v>0</v>
      </c>
      <c r="W119" s="39">
        <f>+IFERROR(-ABS(IF(EDATE(_xlfn.XLOOKUP(1,$H106:$BE106,$H$4:$BE$4),12*Assumptions!$G$87+12)=W$4,0,IF(V106=1,PMT(Assumptions!$G$85,Assumptions!$G$87,$C108),V119))),0)</f>
        <v>0</v>
      </c>
      <c r="X119" s="39">
        <f>+IFERROR(-ABS(IF(EDATE(_xlfn.XLOOKUP(1,$H106:$BE106,$H$4:$BE$4),12*Assumptions!$G$87+12)=X$4,0,IF(W106=1,PMT(Assumptions!$G$85,Assumptions!$G$87,$C108),W119))),0)</f>
        <v>0</v>
      </c>
      <c r="Y119" s="39">
        <f>+IFERROR(-ABS(IF(EDATE(_xlfn.XLOOKUP(1,$H106:$BE106,$H$4:$BE$4),12*Assumptions!$G$87+12)=Y$4,0,IF(X106=1,PMT(Assumptions!$G$85,Assumptions!$G$87,$C108),X119))),0)</f>
        <v>0</v>
      </c>
      <c r="Z119" s="39">
        <f>+IFERROR(-ABS(IF(EDATE(_xlfn.XLOOKUP(1,$H106:$BE106,$H$4:$BE$4),12*Assumptions!$G$87+12)=Z$4,0,IF(Y106=1,PMT(Assumptions!$G$85,Assumptions!$G$87,$C108),Y119))),0)</f>
        <v>0</v>
      </c>
      <c r="AA119" s="39">
        <f>+IFERROR(-ABS(IF(EDATE(_xlfn.XLOOKUP(1,$H106:$BE106,$H$4:$BE$4),12*Assumptions!$G$87+12)=AA$4,0,IF(Z106=1,PMT(Assumptions!$G$85,Assumptions!$G$87,$C108),Z119))),0)</f>
        <v>0</v>
      </c>
      <c r="AB119" s="39">
        <f>+IFERROR(-ABS(IF(EDATE(_xlfn.XLOOKUP(1,$H106:$BE106,$H$4:$BE$4),12*Assumptions!$G$87+12)=AB$4,0,IF(AA106=1,PMT(Assumptions!$G$85,Assumptions!$G$87,$C108),AA119))),0)</f>
        <v>0</v>
      </c>
      <c r="AC119" s="39">
        <f>+IFERROR(-ABS(IF(EDATE(_xlfn.XLOOKUP(1,$H106:$BE106,$H$4:$BE$4),12*Assumptions!$G$87+12)=AC$4,0,IF(AB106=1,PMT(Assumptions!$G$85,Assumptions!$G$87,$C108),AB119))),0)</f>
        <v>0</v>
      </c>
      <c r="AD119" s="39">
        <f>+IFERROR(-ABS(IF(EDATE(_xlfn.XLOOKUP(1,$H106:$BE106,$H$4:$BE$4),12*Assumptions!$G$87+12)=AD$4,0,IF(AC106=1,PMT(Assumptions!$G$85,Assumptions!$G$87,$C108),AC119))),0)</f>
        <v>0</v>
      </c>
      <c r="AE119" s="39">
        <f>+IFERROR(-ABS(IF(EDATE(_xlfn.XLOOKUP(1,$H106:$BE106,$H$4:$BE$4),12*Assumptions!$G$87+12)=AE$4,0,IF(AD106=1,PMT(Assumptions!$G$85,Assumptions!$G$87,$C108),AD119))),0)</f>
        <v>0</v>
      </c>
      <c r="AF119" s="39">
        <f>+IFERROR(-ABS(IF(EDATE(_xlfn.XLOOKUP(1,$H106:$BE106,$H$4:$BE$4),12*Assumptions!$G$87+12)=AF$4,0,IF(AE106=1,PMT(Assumptions!$G$85,Assumptions!$G$87,$C108),AE119))),0)</f>
        <v>0</v>
      </c>
      <c r="AG119" s="39">
        <f>+IFERROR(-ABS(IF(EDATE(_xlfn.XLOOKUP(1,$H106:$BE106,$H$4:$BE$4),12*Assumptions!$G$87+12)=AG$4,0,IF(AF106=1,PMT(Assumptions!$G$85,Assumptions!$G$87,$C108),AF119))),0)</f>
        <v>0</v>
      </c>
      <c r="AH119" s="39">
        <f>+IFERROR(-ABS(IF(EDATE(_xlfn.XLOOKUP(1,$H106:$BE106,$H$4:$BE$4),12*Assumptions!$G$87+12)=AH$4,0,IF(AG106=1,PMT(Assumptions!$G$85,Assumptions!$G$87,$C108),AG119))),0)</f>
        <v>0</v>
      </c>
      <c r="AI119" s="39">
        <f>+IFERROR(-ABS(IF(EDATE(_xlfn.XLOOKUP(1,$H106:$BE106,$H$4:$BE$4),12*Assumptions!$G$87+12)=AI$4,0,IF(AH106=1,PMT(Assumptions!$G$85,Assumptions!$G$87,$C108),AH119))),0)</f>
        <v>0</v>
      </c>
      <c r="AJ119" s="39">
        <f>+IFERROR(-ABS(IF(EDATE(_xlfn.XLOOKUP(1,$H106:$BE106,$H$4:$BE$4),12*Assumptions!$G$87+12)=AJ$4,0,IF(AI106=1,PMT(Assumptions!$G$85,Assumptions!$G$87,$C108),AI119))),0)</f>
        <v>0</v>
      </c>
      <c r="AK119" s="39">
        <f>+IFERROR(-ABS(IF(EDATE(_xlfn.XLOOKUP(1,$H106:$BE106,$H$4:$BE$4),12*Assumptions!$G$87+12)=AK$4,0,IF(AJ106=1,PMT(Assumptions!$G$85,Assumptions!$G$87,$C108),AJ119))),0)</f>
        <v>0</v>
      </c>
      <c r="AL119" s="39">
        <f>+IFERROR(-ABS(IF(EDATE(_xlfn.XLOOKUP(1,$H106:$BE106,$H$4:$BE$4),12*Assumptions!$G$87+12)=AL$4,0,IF(AK106=1,PMT(Assumptions!$G$85,Assumptions!$G$87,$C108),AK119))),0)</f>
        <v>0</v>
      </c>
      <c r="AM119" s="39">
        <f>+IFERROR(-ABS(IF(EDATE(_xlfn.XLOOKUP(1,$H106:$BE106,$H$4:$BE$4),12*Assumptions!$G$87+12)=AM$4,0,IF(AL106=1,PMT(Assumptions!$G$85,Assumptions!$G$87,$C108),AL119))),0)</f>
        <v>0</v>
      </c>
      <c r="AN119" s="39">
        <f>+IFERROR(-ABS(IF(EDATE(_xlfn.XLOOKUP(1,$H106:$BE106,$H$4:$BE$4),12*Assumptions!$G$87+12)=AN$4,0,IF(AM106=1,PMT(Assumptions!$G$85,Assumptions!$G$87,$C108),AM119))),0)</f>
        <v>0</v>
      </c>
      <c r="AO119" s="39">
        <f>+IFERROR(-ABS(IF(EDATE(_xlfn.XLOOKUP(1,$H106:$BE106,$H$4:$BE$4),12*Assumptions!$G$87+12)=AO$4,0,IF(AN106=1,PMT(Assumptions!$G$85,Assumptions!$G$87,$C108),AN119))),0)</f>
        <v>0</v>
      </c>
      <c r="AP119" s="39">
        <f>+IFERROR(-ABS(IF(EDATE(_xlfn.XLOOKUP(1,$H106:$BE106,$H$4:$BE$4),12*Assumptions!$G$87+12)=AP$4,0,IF(AO106=1,PMT(Assumptions!$G$85,Assumptions!$G$87,$C108),AO119))),0)</f>
        <v>0</v>
      </c>
      <c r="AQ119" s="39">
        <f>+IFERROR(-ABS(IF(EDATE(_xlfn.XLOOKUP(1,$H106:$BE106,$H$4:$BE$4),12*Assumptions!$G$87+12)=AQ$4,0,IF(AP106=1,PMT(Assumptions!$G$85,Assumptions!$G$87,$C108),AP119))),0)</f>
        <v>0</v>
      </c>
      <c r="AR119" s="39">
        <f>+IFERROR(-ABS(IF(EDATE(_xlfn.XLOOKUP(1,$H106:$BE106,$H$4:$BE$4),12*Assumptions!$G$87+12)=AR$4,0,IF(AQ106=1,PMT(Assumptions!$G$85,Assumptions!$G$87,$C108),AQ119))),0)</f>
        <v>0</v>
      </c>
      <c r="AS119" s="39">
        <f>+IFERROR(-ABS(IF(EDATE(_xlfn.XLOOKUP(1,$H106:$BE106,$H$4:$BE$4),12*Assumptions!$G$87+12)=AS$4,0,IF(AR106=1,PMT(Assumptions!$G$85,Assumptions!$G$87,$C108),AR119))),0)</f>
        <v>0</v>
      </c>
      <c r="AT119" s="39">
        <f>+IFERROR(-ABS(IF(EDATE(_xlfn.XLOOKUP(1,$H106:$BE106,$H$4:$BE$4),12*Assumptions!$G$87+12)=AT$4,0,IF(AS106=1,PMT(Assumptions!$G$85,Assumptions!$G$87,$C108),AS119))),0)</f>
        <v>0</v>
      </c>
      <c r="AU119" s="39">
        <f>+IFERROR(-ABS(IF(EDATE(_xlfn.XLOOKUP(1,$H106:$BE106,$H$4:$BE$4),12*Assumptions!$G$87+12)=AU$4,0,IF(AT106=1,PMT(Assumptions!$G$85,Assumptions!$G$87,$C108),AT119))),0)</f>
        <v>0</v>
      </c>
      <c r="AV119" s="39">
        <f>+IFERROR(-ABS(IF(EDATE(_xlfn.XLOOKUP(1,$H106:$BE106,$H$4:$BE$4),12*Assumptions!$G$87+12)=AV$4,0,IF(AU106=1,PMT(Assumptions!$G$85,Assumptions!$G$87,$C108),AU119))),0)</f>
        <v>0</v>
      </c>
      <c r="AW119" s="39">
        <f>+IFERROR(-ABS(IF(EDATE(_xlfn.XLOOKUP(1,$H106:$BE106,$H$4:$BE$4),12*Assumptions!$G$87+12)=AW$4,0,IF(AV106=1,PMT(Assumptions!$G$85,Assumptions!$G$87,$C108),AV119))),0)</f>
        <v>0</v>
      </c>
      <c r="AX119" s="39">
        <f>+IFERROR(-ABS(IF(EDATE(_xlfn.XLOOKUP(1,$H106:$BE106,$H$4:$BE$4),12*Assumptions!$G$87+12)=AX$4,0,IF(AW106=1,PMT(Assumptions!$G$85,Assumptions!$G$87,$C108),AW119))),0)</f>
        <v>0</v>
      </c>
      <c r="AY119" s="39">
        <f>+IFERROR(-ABS(IF(EDATE(_xlfn.XLOOKUP(1,$H106:$BE106,$H$4:$BE$4),12*Assumptions!$G$87+12)=AY$4,0,IF(AX106=1,PMT(Assumptions!$G$85,Assumptions!$G$87,$C108),AX119))),0)</f>
        <v>0</v>
      </c>
      <c r="AZ119" s="39">
        <f>+IFERROR(-ABS(IF(EDATE(_xlfn.XLOOKUP(1,$H106:$BE106,$H$4:$BE$4),12*Assumptions!$G$87+12)=AZ$4,0,IF(AY106=1,PMT(Assumptions!$G$85,Assumptions!$G$87,$C108),AY119))),0)</f>
        <v>0</v>
      </c>
      <c r="BA119" s="39">
        <f>+IFERROR(-ABS(IF(EDATE(_xlfn.XLOOKUP(1,$H106:$BE106,$H$4:$BE$4),12*Assumptions!$G$87+12)=BA$4,0,IF(AZ106=1,PMT(Assumptions!$G$85,Assumptions!$G$87,$C108),AZ119))),0)</f>
        <v>0</v>
      </c>
      <c r="BB119" s="39">
        <f>+IFERROR(-ABS(IF(EDATE(_xlfn.XLOOKUP(1,$H106:$BE106,$H$4:$BE$4),12*Assumptions!$G$87+12)=BB$4,0,IF(BA106=1,PMT(Assumptions!$G$85,Assumptions!$G$87,$C108),BA119))),0)</f>
        <v>0</v>
      </c>
      <c r="BC119" s="39">
        <f>+IFERROR(-ABS(IF(EDATE(_xlfn.XLOOKUP(1,$H106:$BE106,$H$4:$BE$4),12*Assumptions!$G$87+12)=BC$4,0,IF(BB106=1,PMT(Assumptions!$G$85,Assumptions!$G$87,$C108),BB119))),0)</f>
        <v>0</v>
      </c>
      <c r="BD119" s="39">
        <f>+IFERROR(-ABS(IF(EDATE(_xlfn.XLOOKUP(1,$H106:$BE106,$H$4:$BE$4),12*Assumptions!$G$87+12)=BD$4,0,IF(BC106=1,PMT(Assumptions!$G$85,Assumptions!$G$87,$C108),BC119))),0)</f>
        <v>0</v>
      </c>
      <c r="BE119" s="39">
        <f>+IFERROR(-ABS(IF(EDATE(_xlfn.XLOOKUP(1,$H106:$BE106,$H$4:$BE$4),12*Assumptions!$G$87+12)=BE$4,0,IF(BD106=1,PMT(Assumptions!$G$85,Assumptions!$G$87,$C108),BD119))),0)</f>
        <v>0</v>
      </c>
      <c r="BF119" s="39">
        <f>+IFERROR(-ABS(IF(EDATE(_xlfn.XLOOKUP(1,$H106:$BE106,$H$4:$BE$4),12*Assumptions!$G$87+12)=BF$4,0,IF(BE106=1,PMT(Assumptions!$G$85,Assumptions!$G$87,$C108),BE119))),0)</f>
        <v>0</v>
      </c>
      <c r="BG119" s="39">
        <f>+IFERROR(-ABS(IF(EDATE(_xlfn.XLOOKUP(1,$H106:$BE106,$H$4:$BE$4),12*Assumptions!$G$87+12)=BG$4,0,IF(BF106=1,PMT(Assumptions!$G$85,Assumptions!$G$87,$C108),BF119))),0)</f>
        <v>0</v>
      </c>
      <c r="BH119" s="39">
        <f>+IFERROR(-ABS(IF(EDATE(_xlfn.XLOOKUP(1,$H106:$BE106,$H$4:$BE$4),12*Assumptions!$G$87+12)=BH$4,0,IF(BG106=1,PMT(Assumptions!$G$85,Assumptions!$G$87,$C108),BG119))),0)</f>
        <v>0</v>
      </c>
      <c r="BI119" s="39">
        <f>+IFERROR(-ABS(IF(EDATE(_xlfn.XLOOKUP(1,$H106:$BE106,$H$4:$BE$4),12*Assumptions!$G$87+12)=BI$4,0,IF(BH106=1,PMT(Assumptions!$G$85,Assumptions!$G$87,$C108),BH119))),0)</f>
        <v>0</v>
      </c>
      <c r="BJ119" s="39">
        <f>+IFERROR(-ABS(IF(EDATE(_xlfn.XLOOKUP(1,$H106:$BE106,$H$4:$BE$4),12*Assumptions!$G$87+12)=BJ$4,0,IF(BI106=1,PMT(Assumptions!$G$85,Assumptions!$G$87,$C108),BI119))),0)</f>
        <v>0</v>
      </c>
      <c r="BK119" s="39">
        <f>+IFERROR(-ABS(IF(EDATE(_xlfn.XLOOKUP(1,$H106:$BE106,$H$4:$BE$4),12*Assumptions!$G$87+12)=BK$4,0,IF(BJ106=1,PMT(Assumptions!$G$85,Assumptions!$G$87,$C108),BJ119))),0)</f>
        <v>0</v>
      </c>
      <c r="BL119" s="39">
        <f>+IFERROR(-ABS(IF(EDATE(_xlfn.XLOOKUP(1,$H106:$BE106,$H$4:$BE$4),12*Assumptions!$G$87+12)=BL$4,0,IF(BK106=1,PMT(Assumptions!$G$85,Assumptions!$G$87,$C108),BK119))),0)</f>
        <v>0</v>
      </c>
      <c r="BM119" s="39">
        <f>+IFERROR(-ABS(IF(EDATE(_xlfn.XLOOKUP(1,$H106:$BE106,$H$4:$BE$4),12*Assumptions!$G$87+12)=BM$4,0,IF(BL106=1,PMT(Assumptions!$G$85,Assumptions!$G$87,$C108),BL119))),0)</f>
        <v>0</v>
      </c>
      <c r="BN119" s="39">
        <f>+IFERROR(-ABS(IF(EDATE(_xlfn.XLOOKUP(1,$H106:$BE106,$H$4:$BE$4),12*Assumptions!$G$87+12)=BN$4,0,IF(BM106=1,PMT(Assumptions!$G$85,Assumptions!$G$87,$C108),BM119))),0)</f>
        <v>0</v>
      </c>
      <c r="BO119" s="39">
        <f>+IFERROR(-ABS(IF(EDATE(_xlfn.XLOOKUP(1,$H106:$BE106,$H$4:$BE$4),12*Assumptions!$G$87+12)=BO$4,0,IF(BN106=1,PMT(Assumptions!$G$85,Assumptions!$G$87,$C108),BN119))),0)</f>
        <v>0</v>
      </c>
      <c r="BP119" s="39">
        <f>+IFERROR(-ABS(IF(EDATE(_xlfn.XLOOKUP(1,$H106:$BE106,$H$4:$BE$4),12*Assumptions!$G$87+12)=BP$4,0,IF(BO106=1,PMT(Assumptions!$G$85,Assumptions!$G$87,$C108),BO119))),0)</f>
        <v>0</v>
      </c>
      <c r="BQ119" s="39">
        <f>+IFERROR(-ABS(IF(EDATE(_xlfn.XLOOKUP(1,$H106:$BE106,$H$4:$BE$4),12*Assumptions!$G$87+12)=BQ$4,0,IF(BP106=1,PMT(Assumptions!$G$85,Assumptions!$G$87,$C108),BP119))),0)</f>
        <v>0</v>
      </c>
      <c r="BR119" s="39">
        <f>+IFERROR(-ABS(IF(EDATE(_xlfn.XLOOKUP(1,$H106:$BE106,$H$4:$BE$4),12*Assumptions!$G$87+12)=BR$4,0,IF(BQ106=1,PMT(Assumptions!$G$85,Assumptions!$G$87,$C108),BQ119))),0)</f>
        <v>0</v>
      </c>
      <c r="BS119" s="39">
        <f>+IFERROR(-ABS(IF(EDATE(_xlfn.XLOOKUP(1,$H106:$BE106,$H$4:$BE$4),12*Assumptions!$G$87+12)=BS$4,0,IF(BR106=1,PMT(Assumptions!$G$85,Assumptions!$G$87,$C108),BR119))),0)</f>
        <v>0</v>
      </c>
      <c r="BT119" s="39">
        <f>+IFERROR(-ABS(IF(EDATE(_xlfn.XLOOKUP(1,$H106:$BE106,$H$4:$BE$4),12*Assumptions!$G$87+12)=BT$4,0,IF(BS106=1,PMT(Assumptions!$G$85,Assumptions!$G$87,$C108),BS119))),0)</f>
        <v>0</v>
      </c>
      <c r="BU119" s="39">
        <f>+IFERROR(-ABS(IF(EDATE(_xlfn.XLOOKUP(1,$H106:$BE106,$H$4:$BE$4),12*Assumptions!$G$87+12)=BU$4,0,IF(BT106=1,PMT(Assumptions!$G$85,Assumptions!$G$87,$C108),BT119))),0)</f>
        <v>0</v>
      </c>
      <c r="BV119" s="39">
        <f>+IFERROR(-ABS(IF(EDATE(_xlfn.XLOOKUP(1,$H106:$BE106,$H$4:$BE$4),12*Assumptions!$G$87+12)=BV$4,0,IF(BU106=1,PMT(Assumptions!$G$85,Assumptions!$G$87,$C108),BU119))),0)</f>
        <v>0</v>
      </c>
      <c r="BW119" s="39">
        <f>+IFERROR(-ABS(IF(EDATE(_xlfn.XLOOKUP(1,$H106:$BE106,$H$4:$BE$4),12*Assumptions!$G$87+12)=BW$4,0,IF(BV106=1,PMT(Assumptions!$G$85,Assumptions!$G$87,$C108),BV119))),0)</f>
        <v>0</v>
      </c>
      <c r="BX119" s="39">
        <f>+IFERROR(-ABS(IF(EDATE(_xlfn.XLOOKUP(1,$H106:$BE106,$H$4:$BE$4),12*Assumptions!$G$87+12)=BX$4,0,IF(BW106=1,PMT(Assumptions!$G$85,Assumptions!$G$87,$C108),BW119))),0)</f>
        <v>0</v>
      </c>
      <c r="BY119" s="39">
        <f>+IFERROR(-ABS(IF(EDATE(_xlfn.XLOOKUP(1,$H106:$BE106,$H$4:$BE$4),12*Assumptions!$G$87+12)=BY$4,0,IF(BX106=1,PMT(Assumptions!$G$85,Assumptions!$G$87,$C108),BX119))),0)</f>
        <v>0</v>
      </c>
    </row>
    <row r="120" spans="3:77" outlineLevel="1">
      <c r="E120" s="24" t="s">
        <v>523</v>
      </c>
      <c r="F120" s="80" t="str">
        <f>+Assumptions!$G$8</f>
        <v>USD</v>
      </c>
      <c r="G120" s="24"/>
      <c r="H120" s="39">
        <f>+IFERROR(-ABS(IF(EDATE(_xlfn.XLOOKUP(1,$H107:$BE107,$H$4:$BE$4),12*Assumptions!$G$87+12)=H$4,0,IF(G107=1,PMT(Assumptions!$G$85,Assumptions!$G$87,$C109),G120))),0)</f>
        <v>0</v>
      </c>
      <c r="I120" s="39">
        <f>+IFERROR(-ABS(IF(EDATE(_xlfn.XLOOKUP(1,$H107:$BE107,$H$4:$BE$4),12*Assumptions!$G$87+12)=I$4,0,IF(H107=1,PMT(Assumptions!$G$85,Assumptions!$G$87,$C109),H120))),0)</f>
        <v>0</v>
      </c>
      <c r="J120" s="39">
        <f>+IFERROR(-ABS(IF(EDATE(_xlfn.XLOOKUP(1,$H107:$BE107,$H$4:$BE$4),12*Assumptions!$G$87+12)=J$4,0,IF(I107=1,PMT(Assumptions!$G$85,Assumptions!$G$87,$C109),I120))),0)</f>
        <v>0</v>
      </c>
      <c r="K120" s="39">
        <f>+IFERROR(-ABS(IF(EDATE(_xlfn.XLOOKUP(1,$H107:$BE107,$H$4:$BE$4),12*Assumptions!$G$87+12)=K$4,0,IF(J107=1,PMT(Assumptions!$G$85,Assumptions!$G$87,$C109),J120))),0)</f>
        <v>0</v>
      </c>
      <c r="L120" s="39">
        <f>+IFERROR(-ABS(IF(EDATE(_xlfn.XLOOKUP(1,$H107:$BE107,$H$4:$BE$4),12*Assumptions!$G$87+12)=L$4,0,IF(K107=1,PMT(Assumptions!$G$85,Assumptions!$G$87,$C109),K120))),0)</f>
        <v>0</v>
      </c>
      <c r="M120" s="39">
        <f>+IFERROR(-ABS(IF(EDATE(_xlfn.XLOOKUP(1,$H107:$BE107,$H$4:$BE$4),12*Assumptions!$G$87+12)=M$4,0,IF(L107=1,PMT(Assumptions!$G$85,Assumptions!$G$87,$C109),L120))),0)</f>
        <v>0</v>
      </c>
      <c r="N120" s="39">
        <f>+IFERROR(-ABS(IF(EDATE(_xlfn.XLOOKUP(1,$H107:$BE107,$H$4:$BE$4),12*Assumptions!$G$87+12)=N$4,0,IF(M107=1,PMT(Assumptions!$G$85,Assumptions!$G$87,$C109),M120))),0)</f>
        <v>0</v>
      </c>
      <c r="O120" s="39">
        <f>+IFERROR(-ABS(IF(EDATE(_xlfn.XLOOKUP(1,$H107:$BE107,$H$4:$BE$4),12*Assumptions!$G$87+12)=O$4,0,IF(N107=1,PMT(Assumptions!$G$85,Assumptions!$G$87,$C109),N120))),0)</f>
        <v>0</v>
      </c>
      <c r="P120" s="39">
        <f>+IFERROR(-ABS(IF(EDATE(_xlfn.XLOOKUP(1,$H107:$BE107,$H$4:$BE$4),12*Assumptions!$G$87+12)=P$4,0,IF(O107=1,PMT(Assumptions!$G$85,Assumptions!$G$87,$C109),O120))),0)</f>
        <v>0</v>
      </c>
      <c r="Q120" s="39">
        <f>+IFERROR(-ABS(IF(EDATE(_xlfn.XLOOKUP(1,$H107:$BE107,$H$4:$BE$4),12*Assumptions!$G$87+12)=Q$4,0,IF(P107=1,PMT(Assumptions!$G$85,Assumptions!$G$87,$C109),P120))),0)</f>
        <v>0</v>
      </c>
      <c r="R120" s="39">
        <f>+IFERROR(-ABS(IF(EDATE(_xlfn.XLOOKUP(1,$H107:$BE107,$H$4:$BE$4),12*Assumptions!$G$87+12)=R$4,0,IF(Q107=1,PMT(Assumptions!$G$85,Assumptions!$G$87,$C109),Q120))),0)</f>
        <v>0</v>
      </c>
      <c r="S120" s="39">
        <f>+IFERROR(-ABS(IF(EDATE(_xlfn.XLOOKUP(1,$H107:$BE107,$H$4:$BE$4),12*Assumptions!$G$87+12)=S$4,0,IF(R107=1,PMT(Assumptions!$G$85,Assumptions!$G$87,$C109),R120))),0)</f>
        <v>0</v>
      </c>
      <c r="T120" s="39">
        <f>+IFERROR(-ABS(IF(EDATE(_xlfn.XLOOKUP(1,$H107:$BE107,$H$4:$BE$4),12*Assumptions!$G$87+12)=T$4,0,IF(S107=1,PMT(Assumptions!$G$85,Assumptions!$G$87,$C109),S120))),0)</f>
        <v>0</v>
      </c>
      <c r="U120" s="39">
        <f>+IFERROR(-ABS(IF(EDATE(_xlfn.XLOOKUP(1,$H107:$BE107,$H$4:$BE$4),12*Assumptions!$G$87+12)=U$4,0,IF(T107=1,PMT(Assumptions!$G$85,Assumptions!$G$87,$C109),T120))),0)</f>
        <v>0</v>
      </c>
      <c r="V120" s="39">
        <f>+IFERROR(-ABS(IF(EDATE(_xlfn.XLOOKUP(1,$H107:$BE107,$H$4:$BE$4),12*Assumptions!$G$87+12)=V$4,0,IF(U107=1,PMT(Assumptions!$G$85,Assumptions!$G$87,$C109),U120))),0)</f>
        <v>0</v>
      </c>
      <c r="W120" s="39">
        <f>+IFERROR(-ABS(IF(EDATE(_xlfn.XLOOKUP(1,$H107:$BE107,$H$4:$BE$4),12*Assumptions!$G$87+12)=W$4,0,IF(V107=1,PMT(Assumptions!$G$85,Assumptions!$G$87,$C109),V120))),0)</f>
        <v>0</v>
      </c>
      <c r="X120" s="39">
        <f>+IFERROR(-ABS(IF(EDATE(_xlfn.XLOOKUP(1,$H107:$BE107,$H$4:$BE$4),12*Assumptions!$G$87+12)=X$4,0,IF(W107=1,PMT(Assumptions!$G$85,Assumptions!$G$87,$C109),W120))),0)</f>
        <v>0</v>
      </c>
      <c r="Y120" s="39">
        <f>+IFERROR(-ABS(IF(EDATE(_xlfn.XLOOKUP(1,$H107:$BE107,$H$4:$BE$4),12*Assumptions!$G$87+12)=Y$4,0,IF(X107=1,PMT(Assumptions!$G$85,Assumptions!$G$87,$C109),X120))),0)</f>
        <v>0</v>
      </c>
      <c r="Z120" s="39">
        <f>+IFERROR(-ABS(IF(EDATE(_xlfn.XLOOKUP(1,$H107:$BE107,$H$4:$BE$4),12*Assumptions!$G$87+12)=Z$4,0,IF(Y107=1,PMT(Assumptions!$G$85,Assumptions!$G$87,$C109),Y120))),0)</f>
        <v>0</v>
      </c>
      <c r="AA120" s="39">
        <f>+IFERROR(-ABS(IF(EDATE(_xlfn.XLOOKUP(1,$H107:$BE107,$H$4:$BE$4),12*Assumptions!$G$87+12)=AA$4,0,IF(Z107=1,PMT(Assumptions!$G$85,Assumptions!$G$87,$C109),Z120))),0)</f>
        <v>0</v>
      </c>
      <c r="AB120" s="39">
        <f>+IFERROR(-ABS(IF(EDATE(_xlfn.XLOOKUP(1,$H107:$BE107,$H$4:$BE$4),12*Assumptions!$G$87+12)=AB$4,0,IF(AA107=1,PMT(Assumptions!$G$85,Assumptions!$G$87,$C109),AA120))),0)</f>
        <v>0</v>
      </c>
      <c r="AC120" s="39">
        <f>+IFERROR(-ABS(IF(EDATE(_xlfn.XLOOKUP(1,$H107:$BE107,$H$4:$BE$4),12*Assumptions!$G$87+12)=AC$4,0,IF(AB107=1,PMT(Assumptions!$G$85,Assumptions!$G$87,$C109),AB120))),0)</f>
        <v>0</v>
      </c>
      <c r="AD120" s="39">
        <f>+IFERROR(-ABS(IF(EDATE(_xlfn.XLOOKUP(1,$H107:$BE107,$H$4:$BE$4),12*Assumptions!$G$87+12)=AD$4,0,IF(AC107=1,PMT(Assumptions!$G$85,Assumptions!$G$87,$C109),AC120))),0)</f>
        <v>0</v>
      </c>
      <c r="AE120" s="39">
        <f>+IFERROR(-ABS(IF(EDATE(_xlfn.XLOOKUP(1,$H107:$BE107,$H$4:$BE$4),12*Assumptions!$G$87+12)=AE$4,0,IF(AD107=1,PMT(Assumptions!$G$85,Assumptions!$G$87,$C109),AD120))),0)</f>
        <v>0</v>
      </c>
      <c r="AF120" s="39">
        <f>+IFERROR(-ABS(IF(EDATE(_xlfn.XLOOKUP(1,$H107:$BE107,$H$4:$BE$4),12*Assumptions!$G$87+12)=AF$4,0,IF(AE107=1,PMT(Assumptions!$G$85,Assumptions!$G$87,$C109),AE120))),0)</f>
        <v>0</v>
      </c>
      <c r="AG120" s="39">
        <f>+IFERROR(-ABS(IF(EDATE(_xlfn.XLOOKUP(1,$H107:$BE107,$H$4:$BE$4),12*Assumptions!$G$87+12)=AG$4,0,IF(AF107=1,PMT(Assumptions!$G$85,Assumptions!$G$87,$C109),AF120))),0)</f>
        <v>0</v>
      </c>
      <c r="AH120" s="39">
        <f>+IFERROR(-ABS(IF(EDATE(_xlfn.XLOOKUP(1,$H107:$BE107,$H$4:$BE$4),12*Assumptions!$G$87+12)=AH$4,0,IF(AG107=1,PMT(Assumptions!$G$85,Assumptions!$G$87,$C109),AG120))),0)</f>
        <v>0</v>
      </c>
      <c r="AI120" s="39">
        <f>+IFERROR(-ABS(IF(EDATE(_xlfn.XLOOKUP(1,$H107:$BE107,$H$4:$BE$4),12*Assumptions!$G$87+12)=AI$4,0,IF(AH107=1,PMT(Assumptions!$G$85,Assumptions!$G$87,$C109),AH120))),0)</f>
        <v>0</v>
      </c>
      <c r="AJ120" s="39">
        <f>+IFERROR(-ABS(IF(EDATE(_xlfn.XLOOKUP(1,$H107:$BE107,$H$4:$BE$4),12*Assumptions!$G$87+12)=AJ$4,0,IF(AI107=1,PMT(Assumptions!$G$85,Assumptions!$G$87,$C109),AI120))),0)</f>
        <v>0</v>
      </c>
      <c r="AK120" s="39">
        <f>+IFERROR(-ABS(IF(EDATE(_xlfn.XLOOKUP(1,$H107:$BE107,$H$4:$BE$4),12*Assumptions!$G$87+12)=AK$4,0,IF(AJ107=1,PMT(Assumptions!$G$85,Assumptions!$G$87,$C109),AJ120))),0)</f>
        <v>0</v>
      </c>
      <c r="AL120" s="39">
        <f>+IFERROR(-ABS(IF(EDATE(_xlfn.XLOOKUP(1,$H107:$BE107,$H$4:$BE$4),12*Assumptions!$G$87+12)=AL$4,0,IF(AK107=1,PMT(Assumptions!$G$85,Assumptions!$G$87,$C109),AK120))),0)</f>
        <v>0</v>
      </c>
      <c r="AM120" s="39">
        <f>+IFERROR(-ABS(IF(EDATE(_xlfn.XLOOKUP(1,$H107:$BE107,$H$4:$BE$4),12*Assumptions!$G$87+12)=AM$4,0,IF(AL107=1,PMT(Assumptions!$G$85,Assumptions!$G$87,$C109),AL120))),0)</f>
        <v>0</v>
      </c>
      <c r="AN120" s="39">
        <f>+IFERROR(-ABS(IF(EDATE(_xlfn.XLOOKUP(1,$H107:$BE107,$H$4:$BE$4),12*Assumptions!$G$87+12)=AN$4,0,IF(AM107=1,PMT(Assumptions!$G$85,Assumptions!$G$87,$C109),AM120))),0)</f>
        <v>0</v>
      </c>
      <c r="AO120" s="39">
        <f>+IFERROR(-ABS(IF(EDATE(_xlfn.XLOOKUP(1,$H107:$BE107,$H$4:$BE$4),12*Assumptions!$G$87+12)=AO$4,0,IF(AN107=1,PMT(Assumptions!$G$85,Assumptions!$G$87,$C109),AN120))),0)</f>
        <v>0</v>
      </c>
      <c r="AP120" s="39">
        <f>+IFERROR(-ABS(IF(EDATE(_xlfn.XLOOKUP(1,$H107:$BE107,$H$4:$BE$4),12*Assumptions!$G$87+12)=AP$4,0,IF(AO107=1,PMT(Assumptions!$G$85,Assumptions!$G$87,$C109),AO120))),0)</f>
        <v>0</v>
      </c>
      <c r="AQ120" s="39">
        <f>+IFERROR(-ABS(IF(EDATE(_xlfn.XLOOKUP(1,$H107:$BE107,$H$4:$BE$4),12*Assumptions!$G$87+12)=AQ$4,0,IF(AP107=1,PMT(Assumptions!$G$85,Assumptions!$G$87,$C109),AP120))),0)</f>
        <v>0</v>
      </c>
      <c r="AR120" s="39">
        <f>+IFERROR(-ABS(IF(EDATE(_xlfn.XLOOKUP(1,$H107:$BE107,$H$4:$BE$4),12*Assumptions!$G$87+12)=AR$4,0,IF(AQ107=1,PMT(Assumptions!$G$85,Assumptions!$G$87,$C109),AQ120))),0)</f>
        <v>0</v>
      </c>
      <c r="AS120" s="39">
        <f>+IFERROR(-ABS(IF(EDATE(_xlfn.XLOOKUP(1,$H107:$BE107,$H$4:$BE$4),12*Assumptions!$G$87+12)=AS$4,0,IF(AR107=1,PMT(Assumptions!$G$85,Assumptions!$G$87,$C109),AR120))),0)</f>
        <v>0</v>
      </c>
      <c r="AT120" s="39">
        <f>+IFERROR(-ABS(IF(EDATE(_xlfn.XLOOKUP(1,$H107:$BE107,$H$4:$BE$4),12*Assumptions!$G$87+12)=AT$4,0,IF(AS107=1,PMT(Assumptions!$G$85,Assumptions!$G$87,$C109),AS120))),0)</f>
        <v>0</v>
      </c>
      <c r="AU120" s="39">
        <f>+IFERROR(-ABS(IF(EDATE(_xlfn.XLOOKUP(1,$H107:$BE107,$H$4:$BE$4),12*Assumptions!$G$87+12)=AU$4,0,IF(AT107=1,PMT(Assumptions!$G$85,Assumptions!$G$87,$C109),AT120))),0)</f>
        <v>0</v>
      </c>
      <c r="AV120" s="39">
        <f>+IFERROR(-ABS(IF(EDATE(_xlfn.XLOOKUP(1,$H107:$BE107,$H$4:$BE$4),12*Assumptions!$G$87+12)=AV$4,0,IF(AU107=1,PMT(Assumptions!$G$85,Assumptions!$G$87,$C109),AU120))),0)</f>
        <v>0</v>
      </c>
      <c r="AW120" s="39">
        <f>+IFERROR(-ABS(IF(EDATE(_xlfn.XLOOKUP(1,$H107:$BE107,$H$4:$BE$4),12*Assumptions!$G$87+12)=AW$4,0,IF(AV107=1,PMT(Assumptions!$G$85,Assumptions!$G$87,$C109),AV120))),0)</f>
        <v>0</v>
      </c>
      <c r="AX120" s="39">
        <f>+IFERROR(-ABS(IF(EDATE(_xlfn.XLOOKUP(1,$H107:$BE107,$H$4:$BE$4),12*Assumptions!$G$87+12)=AX$4,0,IF(AW107=1,PMT(Assumptions!$G$85,Assumptions!$G$87,$C109),AW120))),0)</f>
        <v>0</v>
      </c>
      <c r="AY120" s="39">
        <f>+IFERROR(-ABS(IF(EDATE(_xlfn.XLOOKUP(1,$H107:$BE107,$H$4:$BE$4),12*Assumptions!$G$87+12)=AY$4,0,IF(AX107=1,PMT(Assumptions!$G$85,Assumptions!$G$87,$C109),AX120))),0)</f>
        <v>0</v>
      </c>
      <c r="AZ120" s="39">
        <f>+IFERROR(-ABS(IF(EDATE(_xlfn.XLOOKUP(1,$H107:$BE107,$H$4:$BE$4),12*Assumptions!$G$87+12)=AZ$4,0,IF(AY107=1,PMT(Assumptions!$G$85,Assumptions!$G$87,$C109),AY120))),0)</f>
        <v>0</v>
      </c>
      <c r="BA120" s="39">
        <f>+IFERROR(-ABS(IF(EDATE(_xlfn.XLOOKUP(1,$H107:$BE107,$H$4:$BE$4),12*Assumptions!$G$87+12)=BA$4,0,IF(AZ107=1,PMT(Assumptions!$G$85,Assumptions!$G$87,$C109),AZ120))),0)</f>
        <v>0</v>
      </c>
      <c r="BB120" s="39">
        <f>+IFERROR(-ABS(IF(EDATE(_xlfn.XLOOKUP(1,$H107:$BE107,$H$4:$BE$4),12*Assumptions!$G$87+12)=BB$4,0,IF(BA107=1,PMT(Assumptions!$G$85,Assumptions!$G$87,$C109),BA120))),0)</f>
        <v>0</v>
      </c>
      <c r="BC120" s="39">
        <f>+IFERROR(-ABS(IF(EDATE(_xlfn.XLOOKUP(1,$H107:$BE107,$H$4:$BE$4),12*Assumptions!$G$87+12)=BC$4,0,IF(BB107=1,PMT(Assumptions!$G$85,Assumptions!$G$87,$C109),BB120))),0)</f>
        <v>0</v>
      </c>
      <c r="BD120" s="39">
        <f>+IFERROR(-ABS(IF(EDATE(_xlfn.XLOOKUP(1,$H107:$BE107,$H$4:$BE$4),12*Assumptions!$G$87+12)=BD$4,0,IF(BC107=1,PMT(Assumptions!$G$85,Assumptions!$G$87,$C109),BC120))),0)</f>
        <v>0</v>
      </c>
      <c r="BE120" s="39">
        <f>+IFERROR(-ABS(IF(EDATE(_xlfn.XLOOKUP(1,$H107:$BE107,$H$4:$BE$4),12*Assumptions!$G$87+12)=BE$4,0,IF(BD107=1,PMT(Assumptions!$G$85,Assumptions!$G$87,$C109),BD120))),0)</f>
        <v>0</v>
      </c>
      <c r="BF120" s="39">
        <f>+IFERROR(-ABS(IF(EDATE(_xlfn.XLOOKUP(1,$H107:$BE107,$H$4:$BE$4),12*Assumptions!$G$87+12)=BF$4,0,IF(BE107=1,PMT(Assumptions!$G$85,Assumptions!$G$87,$C109),BE120))),0)</f>
        <v>0</v>
      </c>
      <c r="BG120" s="39">
        <f>+IFERROR(-ABS(IF(EDATE(_xlfn.XLOOKUP(1,$H107:$BE107,$H$4:$BE$4),12*Assumptions!$G$87+12)=BG$4,0,IF(BF107=1,PMT(Assumptions!$G$85,Assumptions!$G$87,$C109),BF120))),0)</f>
        <v>0</v>
      </c>
      <c r="BH120" s="39">
        <f>+IFERROR(-ABS(IF(EDATE(_xlfn.XLOOKUP(1,$H107:$BE107,$H$4:$BE$4),12*Assumptions!$G$87+12)=BH$4,0,IF(BG107=1,PMT(Assumptions!$G$85,Assumptions!$G$87,$C109),BG120))),0)</f>
        <v>0</v>
      </c>
      <c r="BI120" s="39">
        <f>+IFERROR(-ABS(IF(EDATE(_xlfn.XLOOKUP(1,$H107:$BE107,$H$4:$BE$4),12*Assumptions!$G$87+12)=BI$4,0,IF(BH107=1,PMT(Assumptions!$G$85,Assumptions!$G$87,$C109),BH120))),0)</f>
        <v>0</v>
      </c>
      <c r="BJ120" s="39">
        <f>+IFERROR(-ABS(IF(EDATE(_xlfn.XLOOKUP(1,$H107:$BE107,$H$4:$BE$4),12*Assumptions!$G$87+12)=BJ$4,0,IF(BI107=1,PMT(Assumptions!$G$85,Assumptions!$G$87,$C109),BI120))),0)</f>
        <v>0</v>
      </c>
      <c r="BK120" s="39">
        <f>+IFERROR(-ABS(IF(EDATE(_xlfn.XLOOKUP(1,$H107:$BE107,$H$4:$BE$4),12*Assumptions!$G$87+12)=BK$4,0,IF(BJ107=1,PMT(Assumptions!$G$85,Assumptions!$G$87,$C109),BJ120))),0)</f>
        <v>0</v>
      </c>
      <c r="BL120" s="39">
        <f>+IFERROR(-ABS(IF(EDATE(_xlfn.XLOOKUP(1,$H107:$BE107,$H$4:$BE$4),12*Assumptions!$G$87+12)=BL$4,0,IF(BK107=1,PMT(Assumptions!$G$85,Assumptions!$G$87,$C109),BK120))),0)</f>
        <v>0</v>
      </c>
      <c r="BM120" s="39">
        <f>+IFERROR(-ABS(IF(EDATE(_xlfn.XLOOKUP(1,$H107:$BE107,$H$4:$BE$4),12*Assumptions!$G$87+12)=BM$4,0,IF(BL107=1,PMT(Assumptions!$G$85,Assumptions!$G$87,$C109),BL120))),0)</f>
        <v>0</v>
      </c>
      <c r="BN120" s="39">
        <f>+IFERROR(-ABS(IF(EDATE(_xlfn.XLOOKUP(1,$H107:$BE107,$H$4:$BE$4),12*Assumptions!$G$87+12)=BN$4,0,IF(BM107=1,PMT(Assumptions!$G$85,Assumptions!$G$87,$C109),BM120))),0)</f>
        <v>0</v>
      </c>
      <c r="BO120" s="39">
        <f>+IFERROR(-ABS(IF(EDATE(_xlfn.XLOOKUP(1,$H107:$BE107,$H$4:$BE$4),12*Assumptions!$G$87+12)=BO$4,0,IF(BN107=1,PMT(Assumptions!$G$85,Assumptions!$G$87,$C109),BN120))),0)</f>
        <v>0</v>
      </c>
      <c r="BP120" s="39">
        <f>+IFERROR(-ABS(IF(EDATE(_xlfn.XLOOKUP(1,$H107:$BE107,$H$4:$BE$4),12*Assumptions!$G$87+12)=BP$4,0,IF(BO107=1,PMT(Assumptions!$G$85,Assumptions!$G$87,$C109),BO120))),0)</f>
        <v>0</v>
      </c>
      <c r="BQ120" s="39">
        <f>+IFERROR(-ABS(IF(EDATE(_xlfn.XLOOKUP(1,$H107:$BE107,$H$4:$BE$4),12*Assumptions!$G$87+12)=BQ$4,0,IF(BP107=1,PMT(Assumptions!$G$85,Assumptions!$G$87,$C109),BP120))),0)</f>
        <v>0</v>
      </c>
      <c r="BR120" s="39">
        <f>+IFERROR(-ABS(IF(EDATE(_xlfn.XLOOKUP(1,$H107:$BE107,$H$4:$BE$4),12*Assumptions!$G$87+12)=BR$4,0,IF(BQ107=1,PMT(Assumptions!$G$85,Assumptions!$G$87,$C109),BQ120))),0)</f>
        <v>0</v>
      </c>
      <c r="BS120" s="39">
        <f>+IFERROR(-ABS(IF(EDATE(_xlfn.XLOOKUP(1,$H107:$BE107,$H$4:$BE$4),12*Assumptions!$G$87+12)=BS$4,0,IF(BR107=1,PMT(Assumptions!$G$85,Assumptions!$G$87,$C109),BR120))),0)</f>
        <v>0</v>
      </c>
      <c r="BT120" s="39">
        <f>+IFERROR(-ABS(IF(EDATE(_xlfn.XLOOKUP(1,$H107:$BE107,$H$4:$BE$4),12*Assumptions!$G$87+12)=BT$4,0,IF(BS107=1,PMT(Assumptions!$G$85,Assumptions!$G$87,$C109),BS120))),0)</f>
        <v>0</v>
      </c>
      <c r="BU120" s="39">
        <f>+IFERROR(-ABS(IF(EDATE(_xlfn.XLOOKUP(1,$H107:$BE107,$H$4:$BE$4),12*Assumptions!$G$87+12)=BU$4,0,IF(BT107=1,PMT(Assumptions!$G$85,Assumptions!$G$87,$C109),BT120))),0)</f>
        <v>0</v>
      </c>
      <c r="BV120" s="39">
        <f>+IFERROR(-ABS(IF(EDATE(_xlfn.XLOOKUP(1,$H107:$BE107,$H$4:$BE$4),12*Assumptions!$G$87+12)=BV$4,0,IF(BU107=1,PMT(Assumptions!$G$85,Assumptions!$G$87,$C109),BU120))),0)</f>
        <v>0</v>
      </c>
      <c r="BW120" s="39">
        <f>+IFERROR(-ABS(IF(EDATE(_xlfn.XLOOKUP(1,$H107:$BE107,$H$4:$BE$4),12*Assumptions!$G$87+12)=BW$4,0,IF(BV107=1,PMT(Assumptions!$G$85,Assumptions!$G$87,$C109),BV120))),0)</f>
        <v>0</v>
      </c>
      <c r="BX120" s="39">
        <f>+IFERROR(-ABS(IF(EDATE(_xlfn.XLOOKUP(1,$H107:$BE107,$H$4:$BE$4),12*Assumptions!$G$87+12)=BX$4,0,IF(BW107=1,PMT(Assumptions!$G$85,Assumptions!$G$87,$C109),BW120))),0)</f>
        <v>0</v>
      </c>
      <c r="BY120" s="39">
        <f>+IFERROR(-ABS(IF(EDATE(_xlfn.XLOOKUP(1,$H107:$BE107,$H$4:$BE$4),12*Assumptions!$G$87+12)=BY$4,0,IF(BX107=1,PMT(Assumptions!$G$85,Assumptions!$G$87,$C109),BX120))),0)</f>
        <v>0</v>
      </c>
    </row>
    <row r="121" spans="3:77" outlineLevel="1">
      <c r="E121" s="24"/>
      <c r="F121" s="23"/>
      <c r="G121" s="24"/>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row>
    <row r="122" spans="3:77" outlineLevel="1">
      <c r="E122" t="s">
        <v>524</v>
      </c>
      <c r="F122" s="80" t="str">
        <f>+Assumptions!$G$8</f>
        <v>USD</v>
      </c>
      <c r="H122" s="32">
        <f>MIN(+H94-H110+H108,0)</f>
        <v>0</v>
      </c>
      <c r="I122" s="32">
        <f t="shared" ref="I122:BT122" si="162">MIN(+I94-I110+I108,0)</f>
        <v>0</v>
      </c>
      <c r="J122" s="32">
        <f t="shared" si="162"/>
        <v>0</v>
      </c>
      <c r="K122" s="32">
        <f t="shared" si="162"/>
        <v>0</v>
      </c>
      <c r="L122" s="32">
        <f t="shared" si="162"/>
        <v>0</v>
      </c>
      <c r="M122" s="32">
        <f t="shared" si="162"/>
        <v>0</v>
      </c>
      <c r="N122" s="32">
        <f t="shared" si="162"/>
        <v>0</v>
      </c>
      <c r="O122" s="32">
        <f t="shared" si="162"/>
        <v>0</v>
      </c>
      <c r="P122" s="32">
        <f t="shared" si="162"/>
        <v>0</v>
      </c>
      <c r="Q122" s="32">
        <f t="shared" si="162"/>
        <v>0</v>
      </c>
      <c r="R122" s="32">
        <f t="shared" si="162"/>
        <v>0</v>
      </c>
      <c r="S122" s="32">
        <f t="shared" si="162"/>
        <v>0</v>
      </c>
      <c r="T122" s="32">
        <f t="shared" si="162"/>
        <v>0</v>
      </c>
      <c r="U122" s="32">
        <f t="shared" si="162"/>
        <v>0</v>
      </c>
      <c r="V122" s="32">
        <f t="shared" si="162"/>
        <v>0</v>
      </c>
      <c r="W122" s="32">
        <f t="shared" si="162"/>
        <v>0</v>
      </c>
      <c r="X122" s="32">
        <f t="shared" si="162"/>
        <v>0</v>
      </c>
      <c r="Y122" s="32">
        <f t="shared" si="162"/>
        <v>0</v>
      </c>
      <c r="Z122" s="32">
        <f t="shared" si="162"/>
        <v>0</v>
      </c>
      <c r="AA122" s="32">
        <f t="shared" si="162"/>
        <v>0</v>
      </c>
      <c r="AB122" s="32">
        <f t="shared" si="162"/>
        <v>0</v>
      </c>
      <c r="AC122" s="32">
        <f t="shared" si="162"/>
        <v>0</v>
      </c>
      <c r="AD122" s="32">
        <f t="shared" si="162"/>
        <v>0</v>
      </c>
      <c r="AE122" s="32">
        <f t="shared" si="162"/>
        <v>0</v>
      </c>
      <c r="AF122" s="32">
        <f t="shared" si="162"/>
        <v>0</v>
      </c>
      <c r="AG122" s="32">
        <f t="shared" si="162"/>
        <v>0</v>
      </c>
      <c r="AH122" s="32">
        <f t="shared" si="162"/>
        <v>0</v>
      </c>
      <c r="AI122" s="32">
        <f t="shared" si="162"/>
        <v>0</v>
      </c>
      <c r="AJ122" s="32">
        <f t="shared" si="162"/>
        <v>0</v>
      </c>
      <c r="AK122" s="32">
        <f t="shared" si="162"/>
        <v>0</v>
      </c>
      <c r="AL122" s="32">
        <f t="shared" si="162"/>
        <v>0</v>
      </c>
      <c r="AM122" s="32">
        <f t="shared" si="162"/>
        <v>0</v>
      </c>
      <c r="AN122" s="32">
        <f t="shared" si="162"/>
        <v>0</v>
      </c>
      <c r="AO122" s="32">
        <f t="shared" si="162"/>
        <v>0</v>
      </c>
      <c r="AP122" s="32">
        <f t="shared" si="162"/>
        <v>0</v>
      </c>
      <c r="AQ122" s="32">
        <f t="shared" si="162"/>
        <v>0</v>
      </c>
      <c r="AR122" s="32">
        <f t="shared" si="162"/>
        <v>0</v>
      </c>
      <c r="AS122" s="32">
        <f t="shared" si="162"/>
        <v>0</v>
      </c>
      <c r="AT122" s="32">
        <f t="shared" si="162"/>
        <v>0</v>
      </c>
      <c r="AU122" s="32">
        <f t="shared" si="162"/>
        <v>0</v>
      </c>
      <c r="AV122" s="32">
        <f t="shared" si="162"/>
        <v>0</v>
      </c>
      <c r="AW122" s="32">
        <f t="shared" si="162"/>
        <v>0</v>
      </c>
      <c r="AX122" s="32">
        <f t="shared" si="162"/>
        <v>0</v>
      </c>
      <c r="AY122" s="32">
        <f t="shared" si="162"/>
        <v>0</v>
      </c>
      <c r="AZ122" s="32">
        <f t="shared" si="162"/>
        <v>0</v>
      </c>
      <c r="BA122" s="32">
        <f t="shared" si="162"/>
        <v>0</v>
      </c>
      <c r="BB122" s="32">
        <f t="shared" si="162"/>
        <v>0</v>
      </c>
      <c r="BC122" s="32">
        <f t="shared" si="162"/>
        <v>0</v>
      </c>
      <c r="BD122" s="32">
        <f t="shared" si="162"/>
        <v>0</v>
      </c>
      <c r="BE122" s="32">
        <f t="shared" si="162"/>
        <v>0</v>
      </c>
      <c r="BF122" s="32">
        <f t="shared" si="162"/>
        <v>0</v>
      </c>
      <c r="BG122" s="32">
        <f t="shared" si="162"/>
        <v>0</v>
      </c>
      <c r="BH122" s="32">
        <f t="shared" si="162"/>
        <v>0</v>
      </c>
      <c r="BI122" s="32">
        <f t="shared" si="162"/>
        <v>0</v>
      </c>
      <c r="BJ122" s="32">
        <f t="shared" si="162"/>
        <v>0</v>
      </c>
      <c r="BK122" s="32">
        <f t="shared" si="162"/>
        <v>0</v>
      </c>
      <c r="BL122" s="32">
        <f t="shared" si="162"/>
        <v>0</v>
      </c>
      <c r="BM122" s="32">
        <f t="shared" si="162"/>
        <v>0</v>
      </c>
      <c r="BN122" s="32">
        <f t="shared" si="162"/>
        <v>0</v>
      </c>
      <c r="BO122" s="32">
        <f t="shared" si="162"/>
        <v>0</v>
      </c>
      <c r="BP122" s="32">
        <f t="shared" si="162"/>
        <v>0</v>
      </c>
      <c r="BQ122" s="32">
        <f t="shared" si="162"/>
        <v>0</v>
      </c>
      <c r="BR122" s="32">
        <f t="shared" si="162"/>
        <v>0</v>
      </c>
      <c r="BS122" s="32">
        <f t="shared" si="162"/>
        <v>0</v>
      </c>
      <c r="BT122" s="32">
        <f t="shared" si="162"/>
        <v>0</v>
      </c>
      <c r="BU122" s="32">
        <f t="shared" ref="BU122:BY122" si="163">MIN(+BU94-BU110+BU108,0)</f>
        <v>0</v>
      </c>
      <c r="BV122" s="32">
        <f t="shared" si="163"/>
        <v>0</v>
      </c>
      <c r="BW122" s="32">
        <f t="shared" si="163"/>
        <v>0</v>
      </c>
      <c r="BX122" s="32">
        <f t="shared" si="163"/>
        <v>0</v>
      </c>
      <c r="BY122" s="32">
        <f t="shared" si="163"/>
        <v>0</v>
      </c>
    </row>
    <row r="123" spans="3:77" outlineLevel="1">
      <c r="F123" s="23"/>
      <c r="BF123" s="33"/>
      <c r="BG123" s="33"/>
      <c r="BH123" s="33"/>
      <c r="BI123" s="33"/>
      <c r="BJ123" s="33"/>
      <c r="BK123" s="33"/>
      <c r="BL123" s="33"/>
      <c r="BM123" s="33"/>
      <c r="BN123" s="33"/>
      <c r="BO123" s="33"/>
      <c r="BP123" s="33"/>
      <c r="BQ123" s="33"/>
      <c r="BR123" s="33"/>
      <c r="BS123" s="33"/>
      <c r="BT123" s="33"/>
      <c r="BU123" s="33"/>
      <c r="BV123" s="33"/>
      <c r="BW123" s="33"/>
      <c r="BX123" s="33"/>
      <c r="BY123" s="33"/>
    </row>
    <row r="124" spans="3:77" ht="15" outlineLevel="1">
      <c r="C124" s="22" t="s">
        <v>525</v>
      </c>
      <c r="D124" s="31"/>
    </row>
    <row r="125" spans="3:77" ht="15" outlineLevel="1">
      <c r="C125" s="68" t="str">
        <f>+Assumptions!$G$99</f>
        <v>Equity-first</v>
      </c>
      <c r="D125" s="28"/>
      <c r="E125" s="22" t="s">
        <v>459</v>
      </c>
      <c r="H125" s="32"/>
      <c r="BF125" s="33"/>
      <c r="BG125" s="33"/>
      <c r="BH125" s="33"/>
      <c r="BI125" s="33"/>
      <c r="BJ125" s="33"/>
      <c r="BK125" s="33"/>
      <c r="BL125" s="33"/>
      <c r="BM125" s="33"/>
      <c r="BN125" s="33"/>
      <c r="BO125" s="33"/>
      <c r="BP125" s="33"/>
      <c r="BQ125" s="33"/>
      <c r="BR125" s="33"/>
      <c r="BS125" s="33"/>
      <c r="BT125" s="33"/>
      <c r="BU125" s="33"/>
      <c r="BV125" s="33"/>
      <c r="BW125" s="33"/>
      <c r="BX125" s="33"/>
      <c r="BY125" s="33"/>
    </row>
    <row r="126" spans="3:77" outlineLevel="1">
      <c r="C126" s="68" t="str">
        <f>+Assumptions!$G$100</f>
        <v>Annuity</v>
      </c>
      <c r="D126" s="28"/>
      <c r="E126" t="s">
        <v>458</v>
      </c>
      <c r="F126" s="80" t="str">
        <f>+Assumptions!$G$8</f>
        <v>USD</v>
      </c>
      <c r="H126" s="32">
        <f>IF(AND(Assumptions!$G$77="Yes",Assumptions!$G$78="Detailed"),-Assumptions_Detailed!H$43,MAX(IFERROR(H74-H89-H94,0),$C$129-SUM($G$126:G126)))</f>
        <v>0</v>
      </c>
      <c r="I126" s="32">
        <f>IF(AND(Assumptions!$G$77="Yes",Assumptions!$G$78="Detailed"),-Assumptions_Detailed!I$43,MAX(IFERROR(I74-I89-I94,0),$C$129-SUM($G$126:H126)))</f>
        <v>0</v>
      </c>
      <c r="J126" s="32">
        <f>IF(AND(Assumptions!$G$77="Yes",Assumptions!$G$78="Detailed"),-Assumptions_Detailed!J$43,MAX(IFERROR(J74-J89-J94,0),$C$129-SUM($G$126:I126)))</f>
        <v>0</v>
      </c>
      <c r="K126" s="32">
        <f>IF(AND(Assumptions!$G$77="Yes",Assumptions!$G$78="Detailed"),-Assumptions_Detailed!K$43,MAX(IFERROR(K74-K89-K94,0),$C$129-SUM($G$126:J126)))</f>
        <v>0</v>
      </c>
      <c r="L126" s="32">
        <f>IF(AND(Assumptions!$G$77="Yes",Assumptions!$G$78="Detailed"),-Assumptions_Detailed!L$43,MAX(IFERROR(L74-L89-L94,0),$C$129-SUM($G$126:K126)))</f>
        <v>0</v>
      </c>
      <c r="M126" s="32">
        <f>IF(AND(Assumptions!$G$77="Yes",Assumptions!$G$78="Detailed"),-Assumptions_Detailed!M$43,MAX(IFERROR(M74-M89-M94,0),$C$129-SUM($G$126:L126)))</f>
        <v>0</v>
      </c>
      <c r="N126" s="32">
        <f>IF(AND(Assumptions!$G$77="Yes",Assumptions!$G$78="Detailed"),-Assumptions_Detailed!N$43,MAX(IFERROR(N74-N89-N94,0),$C$129-SUM($G$126:M126)))</f>
        <v>0</v>
      </c>
      <c r="O126" s="32">
        <f>IF(AND(Assumptions!$G$77="Yes",Assumptions!$G$78="Detailed"),-Assumptions_Detailed!O$43,MAX(IFERROR(O74-O89-O94,0),$C$129-SUM($G$126:N126)))</f>
        <v>0</v>
      </c>
      <c r="P126" s="32">
        <f>IF(AND(Assumptions!$G$77="Yes",Assumptions!$G$78="Detailed"),-Assumptions_Detailed!P$43,MAX(IFERROR(P74-P89-P94,0),$C$129-SUM($G$126:O126)))</f>
        <v>0</v>
      </c>
      <c r="Q126" s="32">
        <f>IF(AND(Assumptions!$G$77="Yes",Assumptions!$G$78="Detailed"),-Assumptions_Detailed!Q$43,MAX(IFERROR(Q74-Q89-Q94,0),$C$129-SUM($G$126:P126)))</f>
        <v>0</v>
      </c>
      <c r="R126" s="32">
        <f>IF(AND(Assumptions!$G$77="Yes",Assumptions!$G$78="Detailed"),-Assumptions_Detailed!R$43,MAX(IFERROR(R74-R89-R94,0),$C$129-SUM($G$126:Q126)))</f>
        <v>0</v>
      </c>
      <c r="S126" s="32">
        <f>IF(AND(Assumptions!$G$77="Yes",Assumptions!$G$78="Detailed"),-Assumptions_Detailed!S$43,MAX(IFERROR(S74-S89-S94,0),$C$129-SUM($G$126:R126)))</f>
        <v>0</v>
      </c>
      <c r="T126" s="32">
        <f>IF(AND(Assumptions!$G$77="Yes",Assumptions!$G$78="Detailed"),-Assumptions_Detailed!T$43,MAX(IFERROR(T74-T89-T94,0),$C$129-SUM($G$126:S126)))</f>
        <v>0</v>
      </c>
      <c r="U126" s="32">
        <f>IF(AND(Assumptions!$G$77="Yes",Assumptions!$G$78="Detailed"),-Assumptions_Detailed!U$43,MAX(IFERROR(U74-U89-U94,0),$C$129-SUM($G$126:T126)))</f>
        <v>0</v>
      </c>
      <c r="V126" s="32">
        <f>IF(AND(Assumptions!$G$77="Yes",Assumptions!$G$78="Detailed"),-Assumptions_Detailed!V$43,MAX(IFERROR(V74-V89-V94,0),$C$129-SUM($G$126:U126)))</f>
        <v>0</v>
      </c>
      <c r="W126" s="32">
        <f>IF(AND(Assumptions!$G$77="Yes",Assumptions!$G$78="Detailed"),-Assumptions_Detailed!W$43,MAX(IFERROR(W74-W89-W94,0),$C$129-SUM($G$126:V126)))</f>
        <v>0</v>
      </c>
      <c r="X126" s="32">
        <f>IF(AND(Assumptions!$G$77="Yes",Assumptions!$G$78="Detailed"),-Assumptions_Detailed!X$43,MAX(IFERROR(X74-X89-X94,0),$C$129-SUM($G$126:W126)))</f>
        <v>0</v>
      </c>
      <c r="Y126" s="32">
        <f>IF(AND(Assumptions!$G$77="Yes",Assumptions!$G$78="Detailed"),-Assumptions_Detailed!Y$43,MAX(IFERROR(Y74-Y89-Y94,0),$C$129-SUM($G$126:X126)))</f>
        <v>0</v>
      </c>
      <c r="Z126" s="32">
        <f>IF(AND(Assumptions!$G$77="Yes",Assumptions!$G$78="Detailed"),-Assumptions_Detailed!Z$43,MAX(IFERROR(Z74-Z89-Z94,0),$C$129-SUM($G$126:Y126)))</f>
        <v>0</v>
      </c>
      <c r="AA126" s="32">
        <f>IF(AND(Assumptions!$G$77="Yes",Assumptions!$G$78="Detailed"),-Assumptions_Detailed!AA$43,MAX(IFERROR(AA74-AA89-AA94,0),$C$129-SUM($G$126:Z126)))</f>
        <v>0</v>
      </c>
      <c r="AB126" s="32">
        <f>IF(AND(Assumptions!$G$77="Yes",Assumptions!$G$78="Detailed"),-Assumptions_Detailed!AB$43,MAX(IFERROR(AB74-AB89-AB94,0),$C$129-SUM($G$126:AA126)))</f>
        <v>0</v>
      </c>
      <c r="AC126" s="32">
        <f>IF(AND(Assumptions!$G$77="Yes",Assumptions!$G$78="Detailed"),-Assumptions_Detailed!AC$43,MAX(IFERROR(AC74-AC89-AC94,0),$C$129-SUM($G$126:AB126)))</f>
        <v>0</v>
      </c>
      <c r="AD126" s="32">
        <f>IF(AND(Assumptions!$G$77="Yes",Assumptions!$G$78="Detailed"),-Assumptions_Detailed!AD$43,MAX(IFERROR(AD74-AD89-AD94,0),$C$129-SUM($G$126:AC126)))</f>
        <v>0</v>
      </c>
      <c r="AE126" s="32">
        <f>IF(AND(Assumptions!$G$77="Yes",Assumptions!$G$78="Detailed"),-Assumptions_Detailed!AE$43,MAX(IFERROR(AE74-AE89-AE94,0),$C$129-SUM($G$126:AD126)))</f>
        <v>0</v>
      </c>
      <c r="AF126" s="32">
        <f>IF(AND(Assumptions!$G$77="Yes",Assumptions!$G$78="Detailed"),-Assumptions_Detailed!AF$43,MAX(IFERROR(AF74-AF89-AF94,0),$C$129-SUM($G$126:AE126)))</f>
        <v>0</v>
      </c>
      <c r="AG126" s="32">
        <f>IF(AND(Assumptions!$G$77="Yes",Assumptions!$G$78="Detailed"),-Assumptions_Detailed!AG$43,MAX(IFERROR(AG74-AG89-AG94,0),$C$129-SUM($G$126:AF126)))</f>
        <v>0</v>
      </c>
      <c r="AH126" s="32">
        <f>IF(AND(Assumptions!$G$77="Yes",Assumptions!$G$78="Detailed"),-Assumptions_Detailed!AH$43,MAX(IFERROR(AH74-AH89-AH94,0),$C$129-SUM($G$126:AG126)))</f>
        <v>0</v>
      </c>
      <c r="AI126" s="32">
        <f>IF(AND(Assumptions!$G$77="Yes",Assumptions!$G$78="Detailed"),-Assumptions_Detailed!AI$43,MAX(IFERROR(AI74-AI89-AI94,0),$C$129-SUM($G$126:AH126)))</f>
        <v>0</v>
      </c>
      <c r="AJ126" s="32">
        <f>IF(AND(Assumptions!$G$77="Yes",Assumptions!$G$78="Detailed"),-Assumptions_Detailed!AJ$43,MAX(IFERROR(AJ74-AJ89-AJ94,0),$C$129-SUM($G$126:AI126)))</f>
        <v>0</v>
      </c>
      <c r="AK126" s="32">
        <f>IF(AND(Assumptions!$G$77="Yes",Assumptions!$G$78="Detailed"),-Assumptions_Detailed!AK$43,MAX(IFERROR(AK74-AK89-AK94,0),$C$129-SUM($G$126:AJ126)))</f>
        <v>0</v>
      </c>
      <c r="AL126" s="32">
        <f>IF(AND(Assumptions!$G$77="Yes",Assumptions!$G$78="Detailed"),-Assumptions_Detailed!AL$43,MAX(IFERROR(AL74-AL89-AL94,0),$C$129-SUM($G$126:AK126)))</f>
        <v>0</v>
      </c>
      <c r="AM126" s="32">
        <f>IF(AND(Assumptions!$G$77="Yes",Assumptions!$G$78="Detailed"),-Assumptions_Detailed!AM$43,MAX(IFERROR(AM74-AM89-AM94,0),$C$129-SUM($G$126:AL126)))</f>
        <v>0</v>
      </c>
      <c r="AN126" s="32">
        <f>IF(AND(Assumptions!$G$77="Yes",Assumptions!$G$78="Detailed"),-Assumptions_Detailed!AN$43,MAX(IFERROR(AN74-AN89-AN94,0),$C$129-SUM($G$126:AM126)))</f>
        <v>0</v>
      </c>
      <c r="AO126" s="32">
        <f>IF(AND(Assumptions!$G$77="Yes",Assumptions!$G$78="Detailed"),-Assumptions_Detailed!AO$43,MAX(IFERROR(AO74-AO89-AO94,0),$C$129-SUM($G$126:AN126)))</f>
        <v>0</v>
      </c>
      <c r="AP126" s="32">
        <f>IF(AND(Assumptions!$G$77="Yes",Assumptions!$G$78="Detailed"),-Assumptions_Detailed!AP$43,MAX(IFERROR(AP74-AP89-AP94,0),$C$129-SUM($G$126:AO126)))</f>
        <v>0</v>
      </c>
      <c r="AQ126" s="32">
        <f>IF(AND(Assumptions!$G$77="Yes",Assumptions!$G$78="Detailed"),-Assumptions_Detailed!AQ$43,MAX(IFERROR(AQ74-AQ89-AQ94,0),$C$129-SUM($G$126:AP126)))</f>
        <v>0</v>
      </c>
      <c r="AR126" s="32">
        <f>IF(AND(Assumptions!$G$77="Yes",Assumptions!$G$78="Detailed"),-Assumptions_Detailed!AR$43,MAX(IFERROR(AR74-AR89-AR94,0),$C$129-SUM($G$126:AQ126)))</f>
        <v>0</v>
      </c>
      <c r="AS126" s="32">
        <f>IF(AND(Assumptions!$G$77="Yes",Assumptions!$G$78="Detailed"),-Assumptions_Detailed!AS$43,MAX(IFERROR(AS74-AS89-AS94,0),$C$129-SUM($G$126:AR126)))</f>
        <v>0</v>
      </c>
      <c r="AT126" s="32">
        <f>IF(AND(Assumptions!$G$77="Yes",Assumptions!$G$78="Detailed"),-Assumptions_Detailed!AT$43,MAX(IFERROR(AT74-AT89-AT94,0),$C$129-SUM($G$126:AS126)))</f>
        <v>0</v>
      </c>
      <c r="AU126" s="32">
        <f>IF(AND(Assumptions!$G$77="Yes",Assumptions!$G$78="Detailed"),-Assumptions_Detailed!AU$43,MAX(IFERROR(AU74-AU89-AU94,0),$C$129-SUM($G$126:AT126)))</f>
        <v>0</v>
      </c>
      <c r="AV126" s="32">
        <f>IF(AND(Assumptions!$G$77="Yes",Assumptions!$G$78="Detailed"),-Assumptions_Detailed!AV$43,MAX(IFERROR(AV74-AV89-AV94,0),$C$129-SUM($G$126:AU126)))</f>
        <v>0</v>
      </c>
      <c r="AW126" s="32">
        <f>IF(AND(Assumptions!$G$77="Yes",Assumptions!$G$78="Detailed"),-Assumptions_Detailed!AW$43,MAX(IFERROR(AW74-AW89-AW94,0),$C$129-SUM($G$126:AV126)))</f>
        <v>0</v>
      </c>
      <c r="AX126" s="32">
        <f>IF(AND(Assumptions!$G$77="Yes",Assumptions!$G$78="Detailed"),-Assumptions_Detailed!AX$43,MAX(IFERROR(AX74-AX89-AX94,0),$C$129-SUM($G$126:AW126)))</f>
        <v>0</v>
      </c>
      <c r="AY126" s="32">
        <f>IF(AND(Assumptions!$G$77="Yes",Assumptions!$G$78="Detailed"),-Assumptions_Detailed!AY$43,MAX(IFERROR(AY74-AY89-AY94,0),$C$129-SUM($G$126:AX126)))</f>
        <v>0</v>
      </c>
      <c r="AZ126" s="32">
        <f>IF(AND(Assumptions!$G$77="Yes",Assumptions!$G$78="Detailed"),-Assumptions_Detailed!AZ$43,MAX(IFERROR(AZ74-AZ89-AZ94,0),$C$129-SUM($G$126:AY126)))</f>
        <v>0</v>
      </c>
      <c r="BA126" s="32">
        <f>IF(AND(Assumptions!$G$77="Yes",Assumptions!$G$78="Detailed"),-Assumptions_Detailed!BA$43,MAX(IFERROR(BA74-BA89-BA94,0),$C$129-SUM($G$126:AZ126)))</f>
        <v>0</v>
      </c>
      <c r="BB126" s="32">
        <f>IF(AND(Assumptions!$G$77="Yes",Assumptions!$G$78="Detailed"),-Assumptions_Detailed!BB$43,MAX(IFERROR(BB74-BB89-BB94,0),$C$129-SUM($G$126:BA126)))</f>
        <v>0</v>
      </c>
      <c r="BC126" s="32">
        <f>IF(AND(Assumptions!$G$77="Yes",Assumptions!$G$78="Detailed"),-Assumptions_Detailed!BC$43,MAX(IFERROR(BC74-BC89-BC94,0),$C$129-SUM($G$126:BB126)))</f>
        <v>0</v>
      </c>
      <c r="BD126" s="32">
        <f>IF(AND(Assumptions!$G$77="Yes",Assumptions!$G$78="Detailed"),-Assumptions_Detailed!BD$43,MAX(IFERROR(BD74-BD89-BD94,0),$C$129-SUM($G$126:BC126)))</f>
        <v>0</v>
      </c>
      <c r="BE126" s="32">
        <f>IF(AND(Assumptions!$G$77="Yes",Assumptions!$G$78="Detailed"),-Assumptions_Detailed!BE$43,MAX(IFERROR(BE74-BE89-BE94,0),$C$129-SUM($G$126:BD126)))</f>
        <v>0</v>
      </c>
      <c r="BF126" s="32">
        <f>IF(AND(Assumptions!$G$77="Yes",Assumptions!$G$78="Detailed"),-Assumptions_Detailed!BF$43,MAX(IFERROR(BF74-BF89-BF94,0),$C$129-SUM($G$126:BE126)))</f>
        <v>0</v>
      </c>
      <c r="BG126" s="32">
        <f>IF(AND(Assumptions!$G$77="Yes",Assumptions!$G$78="Detailed"),-Assumptions_Detailed!BG$43,MAX(IFERROR(BG74-BG89-BG94,0),$C$129-SUM($G$126:BF126)))</f>
        <v>0</v>
      </c>
      <c r="BH126" s="32">
        <f>IF(AND(Assumptions!$G$77="Yes",Assumptions!$G$78="Detailed"),-Assumptions_Detailed!BH$43,MAX(IFERROR(BH74-BH89-BH94,0),$C$129-SUM($G$126:BG126)))</f>
        <v>0</v>
      </c>
      <c r="BI126" s="32">
        <f>IF(AND(Assumptions!$G$77="Yes",Assumptions!$G$78="Detailed"),-Assumptions_Detailed!BI$43,MAX(IFERROR(BI74-BI89-BI94,0),$C$129-SUM($G$126:BH126)))</f>
        <v>0</v>
      </c>
      <c r="BJ126" s="32">
        <f>IF(AND(Assumptions!$G$77="Yes",Assumptions!$G$78="Detailed"),-Assumptions_Detailed!BJ$43,MAX(IFERROR(BJ74-BJ89-BJ94,0),$C$129-SUM($G$126:BI126)))</f>
        <v>0</v>
      </c>
      <c r="BK126" s="32">
        <f>IF(AND(Assumptions!$G$77="Yes",Assumptions!$G$78="Detailed"),-Assumptions_Detailed!BK$43,MAX(IFERROR(BK74-BK89-BK94,0),$C$129-SUM($G$126:BJ126)))</f>
        <v>0</v>
      </c>
      <c r="BL126" s="32">
        <f>IF(AND(Assumptions!$G$77="Yes",Assumptions!$G$78="Detailed"),-Assumptions_Detailed!BL$43,MAX(IFERROR(BL74-BL89-BL94,0),$C$129-SUM($G$126:BK126)))</f>
        <v>0</v>
      </c>
      <c r="BM126" s="32">
        <f>IF(AND(Assumptions!$G$77="Yes",Assumptions!$G$78="Detailed"),-Assumptions_Detailed!BM$43,MAX(IFERROR(BM74-BM89-BM94,0),$C$129-SUM($G$126:BL126)))</f>
        <v>0</v>
      </c>
      <c r="BN126" s="32">
        <f>IF(AND(Assumptions!$G$77="Yes",Assumptions!$G$78="Detailed"),-Assumptions_Detailed!BN$43,MAX(IFERROR(BN74-BN89-BN94,0),$C$129-SUM($G$126:BM126)))</f>
        <v>0</v>
      </c>
      <c r="BO126" s="32">
        <f>IF(AND(Assumptions!$G$77="Yes",Assumptions!$G$78="Detailed"),-Assumptions_Detailed!BO$43,MAX(IFERROR(BO74-BO89-BO94,0),$C$129-SUM($G$126:BN126)))</f>
        <v>0</v>
      </c>
      <c r="BP126" s="32">
        <f>IF(AND(Assumptions!$G$77="Yes",Assumptions!$G$78="Detailed"),-Assumptions_Detailed!BP$43,MAX(IFERROR(BP74-BP89-BP94,0),$C$129-SUM($G$126:BO126)))</f>
        <v>0</v>
      </c>
      <c r="BQ126" s="32">
        <f>IF(AND(Assumptions!$G$77="Yes",Assumptions!$G$78="Detailed"),-Assumptions_Detailed!BQ$43,MAX(IFERROR(BQ74-BQ89-BQ94,0),$C$129-SUM($G$126:BP126)))</f>
        <v>0</v>
      </c>
      <c r="BR126" s="32">
        <f>IF(AND(Assumptions!$G$77="Yes",Assumptions!$G$78="Detailed"),-Assumptions_Detailed!BR$43,MAX(IFERROR(BR74-BR89-BR94,0),$C$129-SUM($G$126:BQ126)))</f>
        <v>0</v>
      </c>
      <c r="BS126" s="32">
        <f>IF(AND(Assumptions!$G$77="Yes",Assumptions!$G$78="Detailed"),-Assumptions_Detailed!BS$43,MAX(IFERROR(BS74-BS89-BS94,0),$C$129-SUM($G$126:BR126)))</f>
        <v>0</v>
      </c>
      <c r="BT126" s="32">
        <f>IF(AND(Assumptions!$G$77="Yes",Assumptions!$G$78="Detailed"),-Assumptions_Detailed!BT$43,MAX(IFERROR(BT74-BT89-BT94,0),$C$129-SUM($G$126:BS126)))</f>
        <v>0</v>
      </c>
      <c r="BU126" s="32">
        <f>IF(AND(Assumptions!$G$77="Yes",Assumptions!$G$78="Detailed"),-Assumptions_Detailed!BU$43,MAX(IFERROR(BU74-BU89-BU94,0),$C$129-SUM($G$126:BT126)))</f>
        <v>0</v>
      </c>
      <c r="BV126" s="32">
        <f>IF(AND(Assumptions!$G$77="Yes",Assumptions!$G$78="Detailed"),-Assumptions_Detailed!BV$43,MAX(IFERROR(BV74-BV89-BV94,0),$C$129-SUM($G$126:BU126)))</f>
        <v>0</v>
      </c>
      <c r="BW126" s="32">
        <f>IF(AND(Assumptions!$G$77="Yes",Assumptions!$G$78="Detailed"),-Assumptions_Detailed!BW$43,MAX(IFERROR(BW74-BW89-BW94,0),$C$129-SUM($G$126:BV126)))</f>
        <v>0</v>
      </c>
      <c r="BX126" s="32">
        <f>IF(AND(Assumptions!$G$77="Yes",Assumptions!$G$78="Detailed"),-Assumptions_Detailed!BX$43,MAX(IFERROR(BX74-BX89-BX94,0),$C$129-SUM($G$126:BW126)))</f>
        <v>0</v>
      </c>
      <c r="BY126" s="32">
        <f>IF(AND(Assumptions!$G$77="Yes",Assumptions!$G$78="Detailed"),-Assumptions_Detailed!BY$43,MAX(IFERROR(BY74-BY89-BY94,0),$C$129-SUM($G$126:BX126)))</f>
        <v>0</v>
      </c>
    </row>
    <row r="127" spans="3:77" outlineLevel="1">
      <c r="D127" s="31"/>
      <c r="BF127" s="33"/>
      <c r="BG127" s="33"/>
      <c r="BH127" s="33"/>
      <c r="BI127" s="33"/>
      <c r="BJ127" s="33"/>
      <c r="BK127" s="33"/>
      <c r="BL127" s="33"/>
      <c r="BM127" s="33"/>
      <c r="BN127" s="33"/>
      <c r="BO127" s="33"/>
      <c r="BP127" s="33"/>
      <c r="BQ127" s="33"/>
      <c r="BR127" s="33"/>
      <c r="BS127" s="33"/>
      <c r="BT127" s="33"/>
      <c r="BU127" s="33"/>
      <c r="BV127" s="33"/>
      <c r="BW127" s="33"/>
      <c r="BX127" s="33"/>
      <c r="BY127" s="33"/>
    </row>
    <row r="128" spans="3:77" ht="15" outlineLevel="1">
      <c r="C128" s="22" t="s">
        <v>498</v>
      </c>
      <c r="D128" s="31"/>
      <c r="BF128" s="33"/>
      <c r="BG128" s="33"/>
      <c r="BH128" s="33"/>
      <c r="BI128" s="33"/>
      <c r="BJ128" s="33"/>
      <c r="BK128" s="33"/>
      <c r="BL128" s="33"/>
      <c r="BM128" s="33"/>
      <c r="BN128" s="33"/>
      <c r="BO128" s="33"/>
      <c r="BP128" s="33"/>
      <c r="BQ128" s="33"/>
      <c r="BR128" s="33"/>
      <c r="BS128" s="33"/>
      <c r="BT128" s="33"/>
      <c r="BU128" s="33"/>
      <c r="BV128" s="33"/>
      <c r="BW128" s="33"/>
      <c r="BX128" s="33"/>
      <c r="BY128" s="33"/>
    </row>
    <row r="129" spans="3:77" outlineLevel="1">
      <c r="C129" s="94">
        <f>+Assumptions!$G$93*C73</f>
        <v>0</v>
      </c>
      <c r="D129" s="31"/>
      <c r="BF129" s="33"/>
      <c r="BG129" s="33"/>
      <c r="BH129" s="33"/>
      <c r="BI129" s="33"/>
      <c r="BJ129" s="33"/>
      <c r="BK129" s="33"/>
      <c r="BL129" s="33"/>
      <c r="BM129" s="33"/>
      <c r="BN129" s="33"/>
      <c r="BO129" s="33"/>
      <c r="BP129" s="33"/>
      <c r="BQ129" s="33"/>
      <c r="BR129" s="33"/>
      <c r="BS129" s="33"/>
      <c r="BT129" s="33"/>
      <c r="BU129" s="33"/>
      <c r="BV129" s="33"/>
      <c r="BW129" s="33"/>
      <c r="BX129" s="33"/>
      <c r="BY129" s="33"/>
    </row>
    <row r="130" spans="3:77" outlineLevel="1">
      <c r="D130" s="31"/>
      <c r="E130" t="s">
        <v>499</v>
      </c>
      <c r="F130" s="23" t="s">
        <v>500</v>
      </c>
      <c r="G130" s="33"/>
      <c r="H130" s="33" t="e" vm="1">
        <f>+IF(AND(H$126=$C132,H$126&lt;0),1,0)</f>
        <v>#VALUE!</v>
      </c>
      <c r="I130" s="33" t="e" vm="1">
        <f t="shared" ref="I130:BT130" si="164">+IF(AND(I$126=$C132,I$126&lt;0),1,0)</f>
        <v>#VALUE!</v>
      </c>
      <c r="J130" s="33" t="e" vm="1">
        <f t="shared" si="164"/>
        <v>#VALUE!</v>
      </c>
      <c r="K130" s="33" t="e" vm="1">
        <f t="shared" si="164"/>
        <v>#VALUE!</v>
      </c>
      <c r="L130" s="33" t="e" vm="1">
        <f t="shared" si="164"/>
        <v>#VALUE!</v>
      </c>
      <c r="M130" s="33" t="e" vm="1">
        <f t="shared" si="164"/>
        <v>#VALUE!</v>
      </c>
      <c r="N130" s="33" t="e" vm="1">
        <f t="shared" si="164"/>
        <v>#VALUE!</v>
      </c>
      <c r="O130" s="33" t="e" vm="1">
        <f t="shared" si="164"/>
        <v>#VALUE!</v>
      </c>
      <c r="P130" s="33" t="e" vm="1">
        <f t="shared" si="164"/>
        <v>#VALUE!</v>
      </c>
      <c r="Q130" s="33" t="e" vm="1">
        <f t="shared" si="164"/>
        <v>#VALUE!</v>
      </c>
      <c r="R130" s="33" t="e" vm="1">
        <f t="shared" si="164"/>
        <v>#VALUE!</v>
      </c>
      <c r="S130" s="33" t="e" vm="1">
        <f t="shared" si="164"/>
        <v>#VALUE!</v>
      </c>
      <c r="T130" s="33" t="e" vm="1">
        <f t="shared" si="164"/>
        <v>#VALUE!</v>
      </c>
      <c r="U130" s="33" t="e" vm="1">
        <f t="shared" si="164"/>
        <v>#VALUE!</v>
      </c>
      <c r="V130" s="33" t="e" vm="1">
        <f t="shared" si="164"/>
        <v>#VALUE!</v>
      </c>
      <c r="W130" s="33" t="e" vm="1">
        <f t="shared" si="164"/>
        <v>#VALUE!</v>
      </c>
      <c r="X130" s="33" t="e" vm="1">
        <f t="shared" si="164"/>
        <v>#VALUE!</v>
      </c>
      <c r="Y130" s="33" t="e" vm="1">
        <f t="shared" si="164"/>
        <v>#VALUE!</v>
      </c>
      <c r="Z130" s="33" t="e" vm="1">
        <f t="shared" si="164"/>
        <v>#VALUE!</v>
      </c>
      <c r="AA130" s="33" t="e" vm="1">
        <f t="shared" si="164"/>
        <v>#VALUE!</v>
      </c>
      <c r="AB130" s="33" t="e" vm="1">
        <f t="shared" si="164"/>
        <v>#VALUE!</v>
      </c>
      <c r="AC130" s="33" t="e" vm="1">
        <f t="shared" si="164"/>
        <v>#VALUE!</v>
      </c>
      <c r="AD130" s="33" t="e" vm="1">
        <f t="shared" si="164"/>
        <v>#VALUE!</v>
      </c>
      <c r="AE130" s="33" t="e" vm="1">
        <f t="shared" si="164"/>
        <v>#VALUE!</v>
      </c>
      <c r="AF130" s="33" t="e" vm="1">
        <f t="shared" si="164"/>
        <v>#VALUE!</v>
      </c>
      <c r="AG130" s="33" t="e" vm="1">
        <f t="shared" si="164"/>
        <v>#VALUE!</v>
      </c>
      <c r="AH130" s="33" t="e" vm="1">
        <f t="shared" si="164"/>
        <v>#VALUE!</v>
      </c>
      <c r="AI130" s="33" t="e" vm="1">
        <f t="shared" si="164"/>
        <v>#VALUE!</v>
      </c>
      <c r="AJ130" s="33" t="e" vm="1">
        <f t="shared" si="164"/>
        <v>#VALUE!</v>
      </c>
      <c r="AK130" s="33" t="e" vm="1">
        <f t="shared" si="164"/>
        <v>#VALUE!</v>
      </c>
      <c r="AL130" s="33" t="e" vm="1">
        <f t="shared" si="164"/>
        <v>#VALUE!</v>
      </c>
      <c r="AM130" s="33" t="e" vm="1">
        <f t="shared" si="164"/>
        <v>#VALUE!</v>
      </c>
      <c r="AN130" s="33" t="e" vm="1">
        <f t="shared" si="164"/>
        <v>#VALUE!</v>
      </c>
      <c r="AO130" s="33" t="e" vm="1">
        <f t="shared" si="164"/>
        <v>#VALUE!</v>
      </c>
      <c r="AP130" s="33" t="e" vm="1">
        <f t="shared" si="164"/>
        <v>#VALUE!</v>
      </c>
      <c r="AQ130" s="33" t="e" vm="1">
        <f t="shared" si="164"/>
        <v>#VALUE!</v>
      </c>
      <c r="AR130" s="33" t="e" vm="1">
        <f t="shared" si="164"/>
        <v>#VALUE!</v>
      </c>
      <c r="AS130" s="33" t="e" vm="1">
        <f t="shared" si="164"/>
        <v>#VALUE!</v>
      </c>
      <c r="AT130" s="33" t="e" vm="1">
        <f t="shared" si="164"/>
        <v>#VALUE!</v>
      </c>
      <c r="AU130" s="33" t="e" vm="1">
        <f t="shared" si="164"/>
        <v>#VALUE!</v>
      </c>
      <c r="AV130" s="33" t="e" vm="1">
        <f t="shared" si="164"/>
        <v>#VALUE!</v>
      </c>
      <c r="AW130" s="33" t="e" vm="1">
        <f t="shared" si="164"/>
        <v>#VALUE!</v>
      </c>
      <c r="AX130" s="33" t="e" vm="1">
        <f t="shared" si="164"/>
        <v>#VALUE!</v>
      </c>
      <c r="AY130" s="33" t="e" vm="1">
        <f t="shared" si="164"/>
        <v>#VALUE!</v>
      </c>
      <c r="AZ130" s="33" t="e" vm="1">
        <f t="shared" si="164"/>
        <v>#VALUE!</v>
      </c>
      <c r="BA130" s="33" t="e" vm="1">
        <f t="shared" si="164"/>
        <v>#VALUE!</v>
      </c>
      <c r="BB130" s="33" t="e" vm="1">
        <f t="shared" si="164"/>
        <v>#VALUE!</v>
      </c>
      <c r="BC130" s="33" t="e" vm="1">
        <f t="shared" si="164"/>
        <v>#VALUE!</v>
      </c>
      <c r="BD130" s="33" t="e" vm="1">
        <f t="shared" si="164"/>
        <v>#VALUE!</v>
      </c>
      <c r="BE130" s="33" t="e" vm="1">
        <f t="shared" si="164"/>
        <v>#VALUE!</v>
      </c>
      <c r="BF130" s="33" t="e" vm="1">
        <f t="shared" si="164"/>
        <v>#VALUE!</v>
      </c>
      <c r="BG130" s="33" t="e" vm="1">
        <f t="shared" si="164"/>
        <v>#VALUE!</v>
      </c>
      <c r="BH130" s="33" t="e" vm="1">
        <f t="shared" si="164"/>
        <v>#VALUE!</v>
      </c>
      <c r="BI130" s="33" t="e" vm="1">
        <f t="shared" si="164"/>
        <v>#VALUE!</v>
      </c>
      <c r="BJ130" s="33" t="e" vm="1">
        <f t="shared" si="164"/>
        <v>#VALUE!</v>
      </c>
      <c r="BK130" s="33" t="e" vm="1">
        <f t="shared" si="164"/>
        <v>#VALUE!</v>
      </c>
      <c r="BL130" s="33" t="e" vm="1">
        <f t="shared" si="164"/>
        <v>#VALUE!</v>
      </c>
      <c r="BM130" s="33" t="e" vm="1">
        <f t="shared" si="164"/>
        <v>#VALUE!</v>
      </c>
      <c r="BN130" s="33" t="e" vm="1">
        <f t="shared" si="164"/>
        <v>#VALUE!</v>
      </c>
      <c r="BO130" s="33" t="e" vm="1">
        <f t="shared" si="164"/>
        <v>#VALUE!</v>
      </c>
      <c r="BP130" s="33" t="e" vm="1">
        <f t="shared" si="164"/>
        <v>#VALUE!</v>
      </c>
      <c r="BQ130" s="33" t="e" vm="1">
        <f t="shared" si="164"/>
        <v>#VALUE!</v>
      </c>
      <c r="BR130" s="33" t="e" vm="1">
        <f t="shared" si="164"/>
        <v>#VALUE!</v>
      </c>
      <c r="BS130" s="33" t="e" vm="1">
        <f t="shared" si="164"/>
        <v>#VALUE!</v>
      </c>
      <c r="BT130" s="33" t="e" vm="1">
        <f t="shared" si="164"/>
        <v>#VALUE!</v>
      </c>
      <c r="BU130" s="33" t="e" vm="1">
        <f t="shared" ref="BU130:BY130" si="165">+IF(AND(BU$126=$C132,BU$126&lt;0),1,0)</f>
        <v>#VALUE!</v>
      </c>
      <c r="BV130" s="33" t="e" vm="1">
        <f t="shared" si="165"/>
        <v>#VALUE!</v>
      </c>
      <c r="BW130" s="33" t="e" vm="1">
        <f t="shared" si="165"/>
        <v>#VALUE!</v>
      </c>
      <c r="BX130" s="33" t="e" vm="1">
        <f t="shared" si="165"/>
        <v>#VALUE!</v>
      </c>
      <c r="BY130" s="33" t="e" vm="1">
        <f t="shared" si="165"/>
        <v>#VALUE!</v>
      </c>
    </row>
    <row r="131" spans="3:77" ht="15" outlineLevel="1">
      <c r="C131" s="22" t="s">
        <v>501</v>
      </c>
      <c r="D131" s="31"/>
      <c r="E131" t="s">
        <v>502</v>
      </c>
      <c r="F131" s="23" t="s">
        <v>500</v>
      </c>
      <c r="H131" s="33">
        <f t="shared" ref="H131:BS131" si="166">+IF(AND(H$126=$C133,H$126&lt;0),1,0)</f>
        <v>0</v>
      </c>
      <c r="I131" s="33">
        <f t="shared" si="166"/>
        <v>0</v>
      </c>
      <c r="J131" s="33">
        <f t="shared" si="166"/>
        <v>0</v>
      </c>
      <c r="K131" s="33">
        <f t="shared" si="166"/>
        <v>0</v>
      </c>
      <c r="L131" s="33">
        <f t="shared" si="166"/>
        <v>0</v>
      </c>
      <c r="M131" s="33">
        <f t="shared" si="166"/>
        <v>0</v>
      </c>
      <c r="N131" s="33">
        <f t="shared" si="166"/>
        <v>0</v>
      </c>
      <c r="O131" s="33">
        <f t="shared" si="166"/>
        <v>0</v>
      </c>
      <c r="P131" s="33">
        <f t="shared" si="166"/>
        <v>0</v>
      </c>
      <c r="Q131" s="33">
        <f t="shared" si="166"/>
        <v>0</v>
      </c>
      <c r="R131" s="33">
        <f t="shared" si="166"/>
        <v>0</v>
      </c>
      <c r="S131" s="33">
        <f t="shared" si="166"/>
        <v>0</v>
      </c>
      <c r="T131" s="33">
        <f t="shared" si="166"/>
        <v>0</v>
      </c>
      <c r="U131" s="33">
        <f t="shared" si="166"/>
        <v>0</v>
      </c>
      <c r="V131" s="33">
        <f t="shared" si="166"/>
        <v>0</v>
      </c>
      <c r="W131" s="33">
        <f t="shared" si="166"/>
        <v>0</v>
      </c>
      <c r="X131" s="33">
        <f t="shared" si="166"/>
        <v>0</v>
      </c>
      <c r="Y131" s="33">
        <f t="shared" si="166"/>
        <v>0</v>
      </c>
      <c r="Z131" s="33">
        <f t="shared" si="166"/>
        <v>0</v>
      </c>
      <c r="AA131" s="33">
        <f t="shared" si="166"/>
        <v>0</v>
      </c>
      <c r="AB131" s="33">
        <f t="shared" si="166"/>
        <v>0</v>
      </c>
      <c r="AC131" s="33">
        <f t="shared" si="166"/>
        <v>0</v>
      </c>
      <c r="AD131" s="33">
        <f t="shared" si="166"/>
        <v>0</v>
      </c>
      <c r="AE131" s="33">
        <f t="shared" si="166"/>
        <v>0</v>
      </c>
      <c r="AF131" s="33">
        <f t="shared" si="166"/>
        <v>0</v>
      </c>
      <c r="AG131" s="33">
        <f t="shared" si="166"/>
        <v>0</v>
      </c>
      <c r="AH131" s="33">
        <f t="shared" si="166"/>
        <v>0</v>
      </c>
      <c r="AI131" s="33">
        <f t="shared" si="166"/>
        <v>0</v>
      </c>
      <c r="AJ131" s="33">
        <f t="shared" si="166"/>
        <v>0</v>
      </c>
      <c r="AK131" s="33">
        <f t="shared" si="166"/>
        <v>0</v>
      </c>
      <c r="AL131" s="33">
        <f t="shared" si="166"/>
        <v>0</v>
      </c>
      <c r="AM131" s="33">
        <f t="shared" si="166"/>
        <v>0</v>
      </c>
      <c r="AN131" s="33">
        <f t="shared" si="166"/>
        <v>0</v>
      </c>
      <c r="AO131" s="33">
        <f t="shared" si="166"/>
        <v>0</v>
      </c>
      <c r="AP131" s="33">
        <f t="shared" si="166"/>
        <v>0</v>
      </c>
      <c r="AQ131" s="33">
        <f t="shared" si="166"/>
        <v>0</v>
      </c>
      <c r="AR131" s="33">
        <f t="shared" si="166"/>
        <v>0</v>
      </c>
      <c r="AS131" s="33">
        <f t="shared" si="166"/>
        <v>0</v>
      </c>
      <c r="AT131" s="33">
        <f t="shared" si="166"/>
        <v>0</v>
      </c>
      <c r="AU131" s="33">
        <f t="shared" si="166"/>
        <v>0</v>
      </c>
      <c r="AV131" s="33">
        <f t="shared" si="166"/>
        <v>0</v>
      </c>
      <c r="AW131" s="33">
        <f t="shared" si="166"/>
        <v>0</v>
      </c>
      <c r="AX131" s="33">
        <f t="shared" si="166"/>
        <v>0</v>
      </c>
      <c r="AY131" s="33">
        <f t="shared" si="166"/>
        <v>0</v>
      </c>
      <c r="AZ131" s="33">
        <f t="shared" si="166"/>
        <v>0</v>
      </c>
      <c r="BA131" s="33">
        <f t="shared" si="166"/>
        <v>0</v>
      </c>
      <c r="BB131" s="33">
        <f t="shared" si="166"/>
        <v>0</v>
      </c>
      <c r="BC131" s="33">
        <f t="shared" si="166"/>
        <v>0</v>
      </c>
      <c r="BD131" s="33">
        <f t="shared" si="166"/>
        <v>0</v>
      </c>
      <c r="BE131" s="33">
        <f t="shared" si="166"/>
        <v>0</v>
      </c>
      <c r="BF131" s="33">
        <f t="shared" si="166"/>
        <v>0</v>
      </c>
      <c r="BG131" s="33">
        <f t="shared" si="166"/>
        <v>0</v>
      </c>
      <c r="BH131" s="33">
        <f t="shared" si="166"/>
        <v>0</v>
      </c>
      <c r="BI131" s="33">
        <f t="shared" si="166"/>
        <v>0</v>
      </c>
      <c r="BJ131" s="33">
        <f t="shared" si="166"/>
        <v>0</v>
      </c>
      <c r="BK131" s="33">
        <f t="shared" si="166"/>
        <v>0</v>
      </c>
      <c r="BL131" s="33">
        <f t="shared" si="166"/>
        <v>0</v>
      </c>
      <c r="BM131" s="33">
        <f t="shared" si="166"/>
        <v>0</v>
      </c>
      <c r="BN131" s="33">
        <f t="shared" si="166"/>
        <v>0</v>
      </c>
      <c r="BO131" s="33">
        <f t="shared" si="166"/>
        <v>0</v>
      </c>
      <c r="BP131" s="33">
        <f t="shared" si="166"/>
        <v>0</v>
      </c>
      <c r="BQ131" s="33">
        <f t="shared" si="166"/>
        <v>0</v>
      </c>
      <c r="BR131" s="33">
        <f t="shared" si="166"/>
        <v>0</v>
      </c>
      <c r="BS131" s="33">
        <f t="shared" si="166"/>
        <v>0</v>
      </c>
      <c r="BT131" s="33">
        <f t="shared" ref="BT131:BY131" si="167">+IF(AND(BT$126=$C133,BT$126&lt;0),1,0)</f>
        <v>0</v>
      </c>
      <c r="BU131" s="33">
        <f t="shared" si="167"/>
        <v>0</v>
      </c>
      <c r="BV131" s="33">
        <f t="shared" si="167"/>
        <v>0</v>
      </c>
      <c r="BW131" s="33">
        <f t="shared" si="167"/>
        <v>0</v>
      </c>
      <c r="BX131" s="33">
        <f t="shared" si="167"/>
        <v>0</v>
      </c>
      <c r="BY131" s="33">
        <f t="shared" si="167"/>
        <v>0</v>
      </c>
    </row>
    <row r="132" spans="3:77" outlineLevel="1">
      <c r="C132" s="32" t="e" cm="1" vm="2">
        <f t="array" ref="C132">+TRANSPOSE(_xlfn._xlws.FILTER(H126:BY126,H126:BY126))</f>
        <v>#VALUE!</v>
      </c>
      <c r="D132" s="31"/>
      <c r="E132" t="s">
        <v>503</v>
      </c>
      <c r="F132" s="23" t="s">
        <v>500</v>
      </c>
      <c r="H132" s="33">
        <f t="shared" ref="H132:BS132" si="168">+IF(AND(H$126=$C134,H$126&lt;0),1,0)</f>
        <v>0</v>
      </c>
      <c r="I132" s="33">
        <f t="shared" si="168"/>
        <v>0</v>
      </c>
      <c r="J132" s="33">
        <f t="shared" si="168"/>
        <v>0</v>
      </c>
      <c r="K132" s="33">
        <f t="shared" si="168"/>
        <v>0</v>
      </c>
      <c r="L132" s="33">
        <f t="shared" si="168"/>
        <v>0</v>
      </c>
      <c r="M132" s="33">
        <f t="shared" si="168"/>
        <v>0</v>
      </c>
      <c r="N132" s="33">
        <f t="shared" si="168"/>
        <v>0</v>
      </c>
      <c r="O132" s="33">
        <f t="shared" si="168"/>
        <v>0</v>
      </c>
      <c r="P132" s="33">
        <f t="shared" si="168"/>
        <v>0</v>
      </c>
      <c r="Q132" s="33">
        <f t="shared" si="168"/>
        <v>0</v>
      </c>
      <c r="R132" s="33">
        <f t="shared" si="168"/>
        <v>0</v>
      </c>
      <c r="S132" s="33">
        <f t="shared" si="168"/>
        <v>0</v>
      </c>
      <c r="T132" s="33">
        <f t="shared" si="168"/>
        <v>0</v>
      </c>
      <c r="U132" s="33">
        <f t="shared" si="168"/>
        <v>0</v>
      </c>
      <c r="V132" s="33">
        <f t="shared" si="168"/>
        <v>0</v>
      </c>
      <c r="W132" s="33">
        <f t="shared" si="168"/>
        <v>0</v>
      </c>
      <c r="X132" s="33">
        <f t="shared" si="168"/>
        <v>0</v>
      </c>
      <c r="Y132" s="33">
        <f t="shared" si="168"/>
        <v>0</v>
      </c>
      <c r="Z132" s="33">
        <f t="shared" si="168"/>
        <v>0</v>
      </c>
      <c r="AA132" s="33">
        <f t="shared" si="168"/>
        <v>0</v>
      </c>
      <c r="AB132" s="33">
        <f t="shared" si="168"/>
        <v>0</v>
      </c>
      <c r="AC132" s="33">
        <f t="shared" si="168"/>
        <v>0</v>
      </c>
      <c r="AD132" s="33">
        <f t="shared" si="168"/>
        <v>0</v>
      </c>
      <c r="AE132" s="33">
        <f t="shared" si="168"/>
        <v>0</v>
      </c>
      <c r="AF132" s="33">
        <f t="shared" si="168"/>
        <v>0</v>
      </c>
      <c r="AG132" s="33">
        <f t="shared" si="168"/>
        <v>0</v>
      </c>
      <c r="AH132" s="33">
        <f t="shared" si="168"/>
        <v>0</v>
      </c>
      <c r="AI132" s="33">
        <f t="shared" si="168"/>
        <v>0</v>
      </c>
      <c r="AJ132" s="33">
        <f t="shared" si="168"/>
        <v>0</v>
      </c>
      <c r="AK132" s="33">
        <f t="shared" si="168"/>
        <v>0</v>
      </c>
      <c r="AL132" s="33">
        <f t="shared" si="168"/>
        <v>0</v>
      </c>
      <c r="AM132" s="33">
        <f t="shared" si="168"/>
        <v>0</v>
      </c>
      <c r="AN132" s="33">
        <f t="shared" si="168"/>
        <v>0</v>
      </c>
      <c r="AO132" s="33">
        <f t="shared" si="168"/>
        <v>0</v>
      </c>
      <c r="AP132" s="33">
        <f t="shared" si="168"/>
        <v>0</v>
      </c>
      <c r="AQ132" s="33">
        <f t="shared" si="168"/>
        <v>0</v>
      </c>
      <c r="AR132" s="33">
        <f t="shared" si="168"/>
        <v>0</v>
      </c>
      <c r="AS132" s="33">
        <f t="shared" si="168"/>
        <v>0</v>
      </c>
      <c r="AT132" s="33">
        <f t="shared" si="168"/>
        <v>0</v>
      </c>
      <c r="AU132" s="33">
        <f t="shared" si="168"/>
        <v>0</v>
      </c>
      <c r="AV132" s="33">
        <f t="shared" si="168"/>
        <v>0</v>
      </c>
      <c r="AW132" s="33">
        <f t="shared" si="168"/>
        <v>0</v>
      </c>
      <c r="AX132" s="33">
        <f t="shared" si="168"/>
        <v>0</v>
      </c>
      <c r="AY132" s="33">
        <f t="shared" si="168"/>
        <v>0</v>
      </c>
      <c r="AZ132" s="33">
        <f t="shared" si="168"/>
        <v>0</v>
      </c>
      <c r="BA132" s="33">
        <f t="shared" si="168"/>
        <v>0</v>
      </c>
      <c r="BB132" s="33">
        <f t="shared" si="168"/>
        <v>0</v>
      </c>
      <c r="BC132" s="33">
        <f t="shared" si="168"/>
        <v>0</v>
      </c>
      <c r="BD132" s="33">
        <f t="shared" si="168"/>
        <v>0</v>
      </c>
      <c r="BE132" s="33">
        <f t="shared" si="168"/>
        <v>0</v>
      </c>
      <c r="BF132" s="33">
        <f t="shared" si="168"/>
        <v>0</v>
      </c>
      <c r="BG132" s="33">
        <f t="shared" si="168"/>
        <v>0</v>
      </c>
      <c r="BH132" s="33">
        <f t="shared" si="168"/>
        <v>0</v>
      </c>
      <c r="BI132" s="33">
        <f t="shared" si="168"/>
        <v>0</v>
      </c>
      <c r="BJ132" s="33">
        <f t="shared" si="168"/>
        <v>0</v>
      </c>
      <c r="BK132" s="33">
        <f t="shared" si="168"/>
        <v>0</v>
      </c>
      <c r="BL132" s="33">
        <f t="shared" si="168"/>
        <v>0</v>
      </c>
      <c r="BM132" s="33">
        <f t="shared" si="168"/>
        <v>0</v>
      </c>
      <c r="BN132" s="33">
        <f t="shared" si="168"/>
        <v>0</v>
      </c>
      <c r="BO132" s="33">
        <f t="shared" si="168"/>
        <v>0</v>
      </c>
      <c r="BP132" s="33">
        <f t="shared" si="168"/>
        <v>0</v>
      </c>
      <c r="BQ132" s="33">
        <f t="shared" si="168"/>
        <v>0</v>
      </c>
      <c r="BR132" s="33">
        <f t="shared" si="168"/>
        <v>0</v>
      </c>
      <c r="BS132" s="33">
        <f t="shared" si="168"/>
        <v>0</v>
      </c>
      <c r="BT132" s="33">
        <f t="shared" ref="BT132:BY132" si="169">+IF(AND(BT$126=$C134,BT$126&lt;0),1,0)</f>
        <v>0</v>
      </c>
      <c r="BU132" s="33">
        <f t="shared" si="169"/>
        <v>0</v>
      </c>
      <c r="BV132" s="33">
        <f t="shared" si="169"/>
        <v>0</v>
      </c>
      <c r="BW132" s="33">
        <f t="shared" si="169"/>
        <v>0</v>
      </c>
      <c r="BX132" s="33">
        <f t="shared" si="169"/>
        <v>0</v>
      </c>
      <c r="BY132" s="33">
        <f t="shared" si="169"/>
        <v>0</v>
      </c>
    </row>
    <row r="133" spans="3:77" outlineLevel="1">
      <c r="C133" s="32"/>
      <c r="D133" s="31"/>
      <c r="E133" t="s">
        <v>504</v>
      </c>
      <c r="F133" s="23" t="s">
        <v>500</v>
      </c>
      <c r="H133" s="33">
        <f t="shared" ref="H133:BS133" si="170">+IF(AND(H$126=$C135,H$126&lt;0),1,0)</f>
        <v>0</v>
      </c>
      <c r="I133" s="33">
        <f t="shared" si="170"/>
        <v>0</v>
      </c>
      <c r="J133" s="33">
        <f t="shared" si="170"/>
        <v>0</v>
      </c>
      <c r="K133" s="33">
        <f t="shared" si="170"/>
        <v>0</v>
      </c>
      <c r="L133" s="33">
        <f t="shared" si="170"/>
        <v>0</v>
      </c>
      <c r="M133" s="33">
        <f t="shared" si="170"/>
        <v>0</v>
      </c>
      <c r="N133" s="33">
        <f t="shared" si="170"/>
        <v>0</v>
      </c>
      <c r="O133" s="33">
        <f t="shared" si="170"/>
        <v>0</v>
      </c>
      <c r="P133" s="33">
        <f t="shared" si="170"/>
        <v>0</v>
      </c>
      <c r="Q133" s="33">
        <f t="shared" si="170"/>
        <v>0</v>
      </c>
      <c r="R133" s="33">
        <f t="shared" si="170"/>
        <v>0</v>
      </c>
      <c r="S133" s="33">
        <f t="shared" si="170"/>
        <v>0</v>
      </c>
      <c r="T133" s="33">
        <f t="shared" si="170"/>
        <v>0</v>
      </c>
      <c r="U133" s="33">
        <f t="shared" si="170"/>
        <v>0</v>
      </c>
      <c r="V133" s="33">
        <f t="shared" si="170"/>
        <v>0</v>
      </c>
      <c r="W133" s="33">
        <f t="shared" si="170"/>
        <v>0</v>
      </c>
      <c r="X133" s="33">
        <f t="shared" si="170"/>
        <v>0</v>
      </c>
      <c r="Y133" s="33">
        <f t="shared" si="170"/>
        <v>0</v>
      </c>
      <c r="Z133" s="33">
        <f t="shared" si="170"/>
        <v>0</v>
      </c>
      <c r="AA133" s="33">
        <f t="shared" si="170"/>
        <v>0</v>
      </c>
      <c r="AB133" s="33">
        <f t="shared" si="170"/>
        <v>0</v>
      </c>
      <c r="AC133" s="33">
        <f t="shared" si="170"/>
        <v>0</v>
      </c>
      <c r="AD133" s="33">
        <f t="shared" si="170"/>
        <v>0</v>
      </c>
      <c r="AE133" s="33">
        <f t="shared" si="170"/>
        <v>0</v>
      </c>
      <c r="AF133" s="33">
        <f t="shared" si="170"/>
        <v>0</v>
      </c>
      <c r="AG133" s="33">
        <f t="shared" si="170"/>
        <v>0</v>
      </c>
      <c r="AH133" s="33">
        <f t="shared" si="170"/>
        <v>0</v>
      </c>
      <c r="AI133" s="33">
        <f t="shared" si="170"/>
        <v>0</v>
      </c>
      <c r="AJ133" s="33">
        <f t="shared" si="170"/>
        <v>0</v>
      </c>
      <c r="AK133" s="33">
        <f t="shared" si="170"/>
        <v>0</v>
      </c>
      <c r="AL133" s="33">
        <f t="shared" si="170"/>
        <v>0</v>
      </c>
      <c r="AM133" s="33">
        <f t="shared" si="170"/>
        <v>0</v>
      </c>
      <c r="AN133" s="33">
        <f t="shared" si="170"/>
        <v>0</v>
      </c>
      <c r="AO133" s="33">
        <f t="shared" si="170"/>
        <v>0</v>
      </c>
      <c r="AP133" s="33">
        <f t="shared" si="170"/>
        <v>0</v>
      </c>
      <c r="AQ133" s="33">
        <f t="shared" si="170"/>
        <v>0</v>
      </c>
      <c r="AR133" s="33">
        <f t="shared" si="170"/>
        <v>0</v>
      </c>
      <c r="AS133" s="33">
        <f t="shared" si="170"/>
        <v>0</v>
      </c>
      <c r="AT133" s="33">
        <f t="shared" si="170"/>
        <v>0</v>
      </c>
      <c r="AU133" s="33">
        <f t="shared" si="170"/>
        <v>0</v>
      </c>
      <c r="AV133" s="33">
        <f t="shared" si="170"/>
        <v>0</v>
      </c>
      <c r="AW133" s="33">
        <f t="shared" si="170"/>
        <v>0</v>
      </c>
      <c r="AX133" s="33">
        <f t="shared" si="170"/>
        <v>0</v>
      </c>
      <c r="AY133" s="33">
        <f t="shared" si="170"/>
        <v>0</v>
      </c>
      <c r="AZ133" s="33">
        <f t="shared" si="170"/>
        <v>0</v>
      </c>
      <c r="BA133" s="33">
        <f t="shared" si="170"/>
        <v>0</v>
      </c>
      <c r="BB133" s="33">
        <f t="shared" si="170"/>
        <v>0</v>
      </c>
      <c r="BC133" s="33">
        <f t="shared" si="170"/>
        <v>0</v>
      </c>
      <c r="BD133" s="33">
        <f t="shared" si="170"/>
        <v>0</v>
      </c>
      <c r="BE133" s="33">
        <f t="shared" si="170"/>
        <v>0</v>
      </c>
      <c r="BF133" s="33">
        <f t="shared" si="170"/>
        <v>0</v>
      </c>
      <c r="BG133" s="33">
        <f t="shared" si="170"/>
        <v>0</v>
      </c>
      <c r="BH133" s="33">
        <f t="shared" si="170"/>
        <v>0</v>
      </c>
      <c r="BI133" s="33">
        <f t="shared" si="170"/>
        <v>0</v>
      </c>
      <c r="BJ133" s="33">
        <f t="shared" si="170"/>
        <v>0</v>
      </c>
      <c r="BK133" s="33">
        <f t="shared" si="170"/>
        <v>0</v>
      </c>
      <c r="BL133" s="33">
        <f t="shared" si="170"/>
        <v>0</v>
      </c>
      <c r="BM133" s="33">
        <f t="shared" si="170"/>
        <v>0</v>
      </c>
      <c r="BN133" s="33">
        <f t="shared" si="170"/>
        <v>0</v>
      </c>
      <c r="BO133" s="33">
        <f t="shared" si="170"/>
        <v>0</v>
      </c>
      <c r="BP133" s="33">
        <f t="shared" si="170"/>
        <v>0</v>
      </c>
      <c r="BQ133" s="33">
        <f t="shared" si="170"/>
        <v>0</v>
      </c>
      <c r="BR133" s="33">
        <f t="shared" si="170"/>
        <v>0</v>
      </c>
      <c r="BS133" s="33">
        <f t="shared" si="170"/>
        <v>0</v>
      </c>
      <c r="BT133" s="33">
        <f t="shared" ref="BT133:BY133" si="171">+IF(AND(BT$126=$C135,BT$126&lt;0),1,0)</f>
        <v>0</v>
      </c>
      <c r="BU133" s="33">
        <f t="shared" si="171"/>
        <v>0</v>
      </c>
      <c r="BV133" s="33">
        <f t="shared" si="171"/>
        <v>0</v>
      </c>
      <c r="BW133" s="33">
        <f t="shared" si="171"/>
        <v>0</v>
      </c>
      <c r="BX133" s="33">
        <f t="shared" si="171"/>
        <v>0</v>
      </c>
      <c r="BY133" s="33">
        <f t="shared" si="171"/>
        <v>0</v>
      </c>
    </row>
    <row r="134" spans="3:77" outlineLevel="1">
      <c r="C134" s="32"/>
      <c r="D134" s="31"/>
      <c r="E134" t="s">
        <v>505</v>
      </c>
      <c r="F134" s="23" t="s">
        <v>500</v>
      </c>
      <c r="H134" s="33">
        <f t="shared" ref="H134:BS134" si="172">+IF(AND(H$126=$C136,H$126&lt;0),1,0)</f>
        <v>0</v>
      </c>
      <c r="I134" s="33">
        <f t="shared" si="172"/>
        <v>0</v>
      </c>
      <c r="J134" s="33">
        <f t="shared" si="172"/>
        <v>0</v>
      </c>
      <c r="K134" s="33">
        <f t="shared" si="172"/>
        <v>0</v>
      </c>
      <c r="L134" s="33">
        <f t="shared" si="172"/>
        <v>0</v>
      </c>
      <c r="M134" s="33">
        <f t="shared" si="172"/>
        <v>0</v>
      </c>
      <c r="N134" s="33">
        <f t="shared" si="172"/>
        <v>0</v>
      </c>
      <c r="O134" s="33">
        <f t="shared" si="172"/>
        <v>0</v>
      </c>
      <c r="P134" s="33">
        <f t="shared" si="172"/>
        <v>0</v>
      </c>
      <c r="Q134" s="33">
        <f t="shared" si="172"/>
        <v>0</v>
      </c>
      <c r="R134" s="33">
        <f t="shared" si="172"/>
        <v>0</v>
      </c>
      <c r="S134" s="33">
        <f t="shared" si="172"/>
        <v>0</v>
      </c>
      <c r="T134" s="33">
        <f t="shared" si="172"/>
        <v>0</v>
      </c>
      <c r="U134" s="33">
        <f t="shared" si="172"/>
        <v>0</v>
      </c>
      <c r="V134" s="33">
        <f t="shared" si="172"/>
        <v>0</v>
      </c>
      <c r="W134" s="33">
        <f t="shared" si="172"/>
        <v>0</v>
      </c>
      <c r="X134" s="33">
        <f t="shared" si="172"/>
        <v>0</v>
      </c>
      <c r="Y134" s="33">
        <f t="shared" si="172"/>
        <v>0</v>
      </c>
      <c r="Z134" s="33">
        <f t="shared" si="172"/>
        <v>0</v>
      </c>
      <c r="AA134" s="33">
        <f t="shared" si="172"/>
        <v>0</v>
      </c>
      <c r="AB134" s="33">
        <f t="shared" si="172"/>
        <v>0</v>
      </c>
      <c r="AC134" s="33">
        <f t="shared" si="172"/>
        <v>0</v>
      </c>
      <c r="AD134" s="33">
        <f t="shared" si="172"/>
        <v>0</v>
      </c>
      <c r="AE134" s="33">
        <f t="shared" si="172"/>
        <v>0</v>
      </c>
      <c r="AF134" s="33">
        <f t="shared" si="172"/>
        <v>0</v>
      </c>
      <c r="AG134" s="33">
        <f t="shared" si="172"/>
        <v>0</v>
      </c>
      <c r="AH134" s="33">
        <f t="shared" si="172"/>
        <v>0</v>
      </c>
      <c r="AI134" s="33">
        <f t="shared" si="172"/>
        <v>0</v>
      </c>
      <c r="AJ134" s="33">
        <f t="shared" si="172"/>
        <v>0</v>
      </c>
      <c r="AK134" s="33">
        <f t="shared" si="172"/>
        <v>0</v>
      </c>
      <c r="AL134" s="33">
        <f t="shared" si="172"/>
        <v>0</v>
      </c>
      <c r="AM134" s="33">
        <f t="shared" si="172"/>
        <v>0</v>
      </c>
      <c r="AN134" s="33">
        <f t="shared" si="172"/>
        <v>0</v>
      </c>
      <c r="AO134" s="33">
        <f t="shared" si="172"/>
        <v>0</v>
      </c>
      <c r="AP134" s="33">
        <f t="shared" si="172"/>
        <v>0</v>
      </c>
      <c r="AQ134" s="33">
        <f t="shared" si="172"/>
        <v>0</v>
      </c>
      <c r="AR134" s="33">
        <f t="shared" si="172"/>
        <v>0</v>
      </c>
      <c r="AS134" s="33">
        <f t="shared" si="172"/>
        <v>0</v>
      </c>
      <c r="AT134" s="33">
        <f t="shared" si="172"/>
        <v>0</v>
      </c>
      <c r="AU134" s="33">
        <f t="shared" si="172"/>
        <v>0</v>
      </c>
      <c r="AV134" s="33">
        <f t="shared" si="172"/>
        <v>0</v>
      </c>
      <c r="AW134" s="33">
        <f t="shared" si="172"/>
        <v>0</v>
      </c>
      <c r="AX134" s="33">
        <f t="shared" si="172"/>
        <v>0</v>
      </c>
      <c r="AY134" s="33">
        <f t="shared" si="172"/>
        <v>0</v>
      </c>
      <c r="AZ134" s="33">
        <f t="shared" si="172"/>
        <v>0</v>
      </c>
      <c r="BA134" s="33">
        <f t="shared" si="172"/>
        <v>0</v>
      </c>
      <c r="BB134" s="33">
        <f t="shared" si="172"/>
        <v>0</v>
      </c>
      <c r="BC134" s="33">
        <f t="shared" si="172"/>
        <v>0</v>
      </c>
      <c r="BD134" s="33">
        <f t="shared" si="172"/>
        <v>0</v>
      </c>
      <c r="BE134" s="33">
        <f t="shared" si="172"/>
        <v>0</v>
      </c>
      <c r="BF134" s="33">
        <f t="shared" si="172"/>
        <v>0</v>
      </c>
      <c r="BG134" s="33">
        <f t="shared" si="172"/>
        <v>0</v>
      </c>
      <c r="BH134" s="33">
        <f t="shared" si="172"/>
        <v>0</v>
      </c>
      <c r="BI134" s="33">
        <f t="shared" si="172"/>
        <v>0</v>
      </c>
      <c r="BJ134" s="33">
        <f t="shared" si="172"/>
        <v>0</v>
      </c>
      <c r="BK134" s="33">
        <f t="shared" si="172"/>
        <v>0</v>
      </c>
      <c r="BL134" s="33">
        <f t="shared" si="172"/>
        <v>0</v>
      </c>
      <c r="BM134" s="33">
        <f t="shared" si="172"/>
        <v>0</v>
      </c>
      <c r="BN134" s="33">
        <f t="shared" si="172"/>
        <v>0</v>
      </c>
      <c r="BO134" s="33">
        <f t="shared" si="172"/>
        <v>0</v>
      </c>
      <c r="BP134" s="33">
        <f t="shared" si="172"/>
        <v>0</v>
      </c>
      <c r="BQ134" s="33">
        <f t="shared" si="172"/>
        <v>0</v>
      </c>
      <c r="BR134" s="33">
        <f t="shared" si="172"/>
        <v>0</v>
      </c>
      <c r="BS134" s="33">
        <f t="shared" si="172"/>
        <v>0</v>
      </c>
      <c r="BT134" s="33">
        <f t="shared" ref="BT134:BY134" si="173">+IF(AND(BT$126=$C136,BT$126&lt;0),1,0)</f>
        <v>0</v>
      </c>
      <c r="BU134" s="33">
        <f t="shared" si="173"/>
        <v>0</v>
      </c>
      <c r="BV134" s="33">
        <f t="shared" si="173"/>
        <v>0</v>
      </c>
      <c r="BW134" s="33">
        <f t="shared" si="173"/>
        <v>0</v>
      </c>
      <c r="BX134" s="33">
        <f t="shared" si="173"/>
        <v>0</v>
      </c>
      <c r="BY134" s="33">
        <f t="shared" si="173"/>
        <v>0</v>
      </c>
    </row>
    <row r="135" spans="3:77" outlineLevel="1">
      <c r="C135" s="32"/>
      <c r="D135" s="31"/>
      <c r="E135" t="s">
        <v>506</v>
      </c>
      <c r="F135" s="23" t="s">
        <v>500</v>
      </c>
      <c r="H135" s="33">
        <f t="shared" ref="H135:BS135" si="174">+IF(AND(H$126=$C137,H$126&lt;0),1,0)</f>
        <v>0</v>
      </c>
      <c r="I135" s="33">
        <f t="shared" si="174"/>
        <v>0</v>
      </c>
      <c r="J135" s="33">
        <f t="shared" si="174"/>
        <v>0</v>
      </c>
      <c r="K135" s="33">
        <f t="shared" si="174"/>
        <v>0</v>
      </c>
      <c r="L135" s="33">
        <f t="shared" si="174"/>
        <v>0</v>
      </c>
      <c r="M135" s="33">
        <f t="shared" si="174"/>
        <v>0</v>
      </c>
      <c r="N135" s="33">
        <f t="shared" si="174"/>
        <v>0</v>
      </c>
      <c r="O135" s="33">
        <f t="shared" si="174"/>
        <v>0</v>
      </c>
      <c r="P135" s="33">
        <f t="shared" si="174"/>
        <v>0</v>
      </c>
      <c r="Q135" s="33">
        <f t="shared" si="174"/>
        <v>0</v>
      </c>
      <c r="R135" s="33">
        <f t="shared" si="174"/>
        <v>0</v>
      </c>
      <c r="S135" s="33">
        <f t="shared" si="174"/>
        <v>0</v>
      </c>
      <c r="T135" s="33">
        <f t="shared" si="174"/>
        <v>0</v>
      </c>
      <c r="U135" s="33">
        <f t="shared" si="174"/>
        <v>0</v>
      </c>
      <c r="V135" s="33">
        <f t="shared" si="174"/>
        <v>0</v>
      </c>
      <c r="W135" s="33">
        <f t="shared" si="174"/>
        <v>0</v>
      </c>
      <c r="X135" s="33">
        <f t="shared" si="174"/>
        <v>0</v>
      </c>
      <c r="Y135" s="33">
        <f t="shared" si="174"/>
        <v>0</v>
      </c>
      <c r="Z135" s="33">
        <f t="shared" si="174"/>
        <v>0</v>
      </c>
      <c r="AA135" s="33">
        <f t="shared" si="174"/>
        <v>0</v>
      </c>
      <c r="AB135" s="33">
        <f t="shared" si="174"/>
        <v>0</v>
      </c>
      <c r="AC135" s="33">
        <f t="shared" si="174"/>
        <v>0</v>
      </c>
      <c r="AD135" s="33">
        <f t="shared" si="174"/>
        <v>0</v>
      </c>
      <c r="AE135" s="33">
        <f t="shared" si="174"/>
        <v>0</v>
      </c>
      <c r="AF135" s="33">
        <f t="shared" si="174"/>
        <v>0</v>
      </c>
      <c r="AG135" s="33">
        <f t="shared" si="174"/>
        <v>0</v>
      </c>
      <c r="AH135" s="33">
        <f t="shared" si="174"/>
        <v>0</v>
      </c>
      <c r="AI135" s="33">
        <f t="shared" si="174"/>
        <v>0</v>
      </c>
      <c r="AJ135" s="33">
        <f t="shared" si="174"/>
        <v>0</v>
      </c>
      <c r="AK135" s="33">
        <f t="shared" si="174"/>
        <v>0</v>
      </c>
      <c r="AL135" s="33">
        <f t="shared" si="174"/>
        <v>0</v>
      </c>
      <c r="AM135" s="33">
        <f t="shared" si="174"/>
        <v>0</v>
      </c>
      <c r="AN135" s="33">
        <f t="shared" si="174"/>
        <v>0</v>
      </c>
      <c r="AO135" s="33">
        <f t="shared" si="174"/>
        <v>0</v>
      </c>
      <c r="AP135" s="33">
        <f t="shared" si="174"/>
        <v>0</v>
      </c>
      <c r="AQ135" s="33">
        <f t="shared" si="174"/>
        <v>0</v>
      </c>
      <c r="AR135" s="33">
        <f t="shared" si="174"/>
        <v>0</v>
      </c>
      <c r="AS135" s="33">
        <f t="shared" si="174"/>
        <v>0</v>
      </c>
      <c r="AT135" s="33">
        <f t="shared" si="174"/>
        <v>0</v>
      </c>
      <c r="AU135" s="33">
        <f t="shared" si="174"/>
        <v>0</v>
      </c>
      <c r="AV135" s="33">
        <f t="shared" si="174"/>
        <v>0</v>
      </c>
      <c r="AW135" s="33">
        <f t="shared" si="174"/>
        <v>0</v>
      </c>
      <c r="AX135" s="33">
        <f t="shared" si="174"/>
        <v>0</v>
      </c>
      <c r="AY135" s="33">
        <f t="shared" si="174"/>
        <v>0</v>
      </c>
      <c r="AZ135" s="33">
        <f t="shared" si="174"/>
        <v>0</v>
      </c>
      <c r="BA135" s="33">
        <f t="shared" si="174"/>
        <v>0</v>
      </c>
      <c r="BB135" s="33">
        <f t="shared" si="174"/>
        <v>0</v>
      </c>
      <c r="BC135" s="33">
        <f t="shared" si="174"/>
        <v>0</v>
      </c>
      <c r="BD135" s="33">
        <f t="shared" si="174"/>
        <v>0</v>
      </c>
      <c r="BE135" s="33">
        <f t="shared" si="174"/>
        <v>0</v>
      </c>
      <c r="BF135" s="33">
        <f t="shared" si="174"/>
        <v>0</v>
      </c>
      <c r="BG135" s="33">
        <f t="shared" si="174"/>
        <v>0</v>
      </c>
      <c r="BH135" s="33">
        <f t="shared" si="174"/>
        <v>0</v>
      </c>
      <c r="BI135" s="33">
        <f t="shared" si="174"/>
        <v>0</v>
      </c>
      <c r="BJ135" s="33">
        <f t="shared" si="174"/>
        <v>0</v>
      </c>
      <c r="BK135" s="33">
        <f t="shared" si="174"/>
        <v>0</v>
      </c>
      <c r="BL135" s="33">
        <f t="shared" si="174"/>
        <v>0</v>
      </c>
      <c r="BM135" s="33">
        <f t="shared" si="174"/>
        <v>0</v>
      </c>
      <c r="BN135" s="33">
        <f t="shared" si="174"/>
        <v>0</v>
      </c>
      <c r="BO135" s="33">
        <f t="shared" si="174"/>
        <v>0</v>
      </c>
      <c r="BP135" s="33">
        <f t="shared" si="174"/>
        <v>0</v>
      </c>
      <c r="BQ135" s="33">
        <f t="shared" si="174"/>
        <v>0</v>
      </c>
      <c r="BR135" s="33">
        <f t="shared" si="174"/>
        <v>0</v>
      </c>
      <c r="BS135" s="33">
        <f t="shared" si="174"/>
        <v>0</v>
      </c>
      <c r="BT135" s="33">
        <f t="shared" ref="BT135:BY135" si="175">+IF(AND(BT$126=$C137,BT$126&lt;0),1,0)</f>
        <v>0</v>
      </c>
      <c r="BU135" s="33">
        <f t="shared" si="175"/>
        <v>0</v>
      </c>
      <c r="BV135" s="33">
        <f t="shared" si="175"/>
        <v>0</v>
      </c>
      <c r="BW135" s="33">
        <f t="shared" si="175"/>
        <v>0</v>
      </c>
      <c r="BX135" s="33">
        <f t="shared" si="175"/>
        <v>0</v>
      </c>
      <c r="BY135" s="33">
        <f t="shared" si="175"/>
        <v>0</v>
      </c>
    </row>
    <row r="136" spans="3:77" outlineLevel="1">
      <c r="C136" s="32"/>
      <c r="D136" s="31"/>
      <c r="E136" t="s">
        <v>507</v>
      </c>
      <c r="F136" s="23" t="s">
        <v>500</v>
      </c>
      <c r="H136" s="33">
        <f t="shared" ref="H136:BS136" si="176">+IF(AND(H$126=$C138,H$126&lt;0),1,0)</f>
        <v>0</v>
      </c>
      <c r="I136" s="33">
        <f t="shared" si="176"/>
        <v>0</v>
      </c>
      <c r="J136" s="33">
        <f t="shared" si="176"/>
        <v>0</v>
      </c>
      <c r="K136" s="33">
        <f t="shared" si="176"/>
        <v>0</v>
      </c>
      <c r="L136" s="33">
        <f t="shared" si="176"/>
        <v>0</v>
      </c>
      <c r="M136" s="33">
        <f t="shared" si="176"/>
        <v>0</v>
      </c>
      <c r="N136" s="33">
        <f t="shared" si="176"/>
        <v>0</v>
      </c>
      <c r="O136" s="33">
        <f t="shared" si="176"/>
        <v>0</v>
      </c>
      <c r="P136" s="33">
        <f t="shared" si="176"/>
        <v>0</v>
      </c>
      <c r="Q136" s="33">
        <f t="shared" si="176"/>
        <v>0</v>
      </c>
      <c r="R136" s="33">
        <f t="shared" si="176"/>
        <v>0</v>
      </c>
      <c r="S136" s="33">
        <f t="shared" si="176"/>
        <v>0</v>
      </c>
      <c r="T136" s="33">
        <f t="shared" si="176"/>
        <v>0</v>
      </c>
      <c r="U136" s="33">
        <f t="shared" si="176"/>
        <v>0</v>
      </c>
      <c r="V136" s="33">
        <f t="shared" si="176"/>
        <v>0</v>
      </c>
      <c r="W136" s="33">
        <f t="shared" si="176"/>
        <v>0</v>
      </c>
      <c r="X136" s="33">
        <f t="shared" si="176"/>
        <v>0</v>
      </c>
      <c r="Y136" s="33">
        <f t="shared" si="176"/>
        <v>0</v>
      </c>
      <c r="Z136" s="33">
        <f t="shared" si="176"/>
        <v>0</v>
      </c>
      <c r="AA136" s="33">
        <f t="shared" si="176"/>
        <v>0</v>
      </c>
      <c r="AB136" s="33">
        <f t="shared" si="176"/>
        <v>0</v>
      </c>
      <c r="AC136" s="33">
        <f t="shared" si="176"/>
        <v>0</v>
      </c>
      <c r="AD136" s="33">
        <f t="shared" si="176"/>
        <v>0</v>
      </c>
      <c r="AE136" s="33">
        <f t="shared" si="176"/>
        <v>0</v>
      </c>
      <c r="AF136" s="33">
        <f t="shared" si="176"/>
        <v>0</v>
      </c>
      <c r="AG136" s="33">
        <f t="shared" si="176"/>
        <v>0</v>
      </c>
      <c r="AH136" s="33">
        <f t="shared" si="176"/>
        <v>0</v>
      </c>
      <c r="AI136" s="33">
        <f t="shared" si="176"/>
        <v>0</v>
      </c>
      <c r="AJ136" s="33">
        <f t="shared" si="176"/>
        <v>0</v>
      </c>
      <c r="AK136" s="33">
        <f t="shared" si="176"/>
        <v>0</v>
      </c>
      <c r="AL136" s="33">
        <f t="shared" si="176"/>
        <v>0</v>
      </c>
      <c r="AM136" s="33">
        <f t="shared" si="176"/>
        <v>0</v>
      </c>
      <c r="AN136" s="33">
        <f t="shared" si="176"/>
        <v>0</v>
      </c>
      <c r="AO136" s="33">
        <f t="shared" si="176"/>
        <v>0</v>
      </c>
      <c r="AP136" s="33">
        <f t="shared" si="176"/>
        <v>0</v>
      </c>
      <c r="AQ136" s="33">
        <f t="shared" si="176"/>
        <v>0</v>
      </c>
      <c r="AR136" s="33">
        <f t="shared" si="176"/>
        <v>0</v>
      </c>
      <c r="AS136" s="33">
        <f t="shared" si="176"/>
        <v>0</v>
      </c>
      <c r="AT136" s="33">
        <f t="shared" si="176"/>
        <v>0</v>
      </c>
      <c r="AU136" s="33">
        <f t="shared" si="176"/>
        <v>0</v>
      </c>
      <c r="AV136" s="33">
        <f t="shared" si="176"/>
        <v>0</v>
      </c>
      <c r="AW136" s="33">
        <f t="shared" si="176"/>
        <v>0</v>
      </c>
      <c r="AX136" s="33">
        <f t="shared" si="176"/>
        <v>0</v>
      </c>
      <c r="AY136" s="33">
        <f t="shared" si="176"/>
        <v>0</v>
      </c>
      <c r="AZ136" s="33">
        <f t="shared" si="176"/>
        <v>0</v>
      </c>
      <c r="BA136" s="33">
        <f t="shared" si="176"/>
        <v>0</v>
      </c>
      <c r="BB136" s="33">
        <f t="shared" si="176"/>
        <v>0</v>
      </c>
      <c r="BC136" s="33">
        <f t="shared" si="176"/>
        <v>0</v>
      </c>
      <c r="BD136" s="33">
        <f t="shared" si="176"/>
        <v>0</v>
      </c>
      <c r="BE136" s="33">
        <f t="shared" si="176"/>
        <v>0</v>
      </c>
      <c r="BF136" s="33">
        <f t="shared" si="176"/>
        <v>0</v>
      </c>
      <c r="BG136" s="33">
        <f t="shared" si="176"/>
        <v>0</v>
      </c>
      <c r="BH136" s="33">
        <f t="shared" si="176"/>
        <v>0</v>
      </c>
      <c r="BI136" s="33">
        <f t="shared" si="176"/>
        <v>0</v>
      </c>
      <c r="BJ136" s="33">
        <f t="shared" si="176"/>
        <v>0</v>
      </c>
      <c r="BK136" s="33">
        <f t="shared" si="176"/>
        <v>0</v>
      </c>
      <c r="BL136" s="33">
        <f t="shared" si="176"/>
        <v>0</v>
      </c>
      <c r="BM136" s="33">
        <f t="shared" si="176"/>
        <v>0</v>
      </c>
      <c r="BN136" s="33">
        <f t="shared" si="176"/>
        <v>0</v>
      </c>
      <c r="BO136" s="33">
        <f t="shared" si="176"/>
        <v>0</v>
      </c>
      <c r="BP136" s="33">
        <f t="shared" si="176"/>
        <v>0</v>
      </c>
      <c r="BQ136" s="33">
        <f t="shared" si="176"/>
        <v>0</v>
      </c>
      <c r="BR136" s="33">
        <f t="shared" si="176"/>
        <v>0</v>
      </c>
      <c r="BS136" s="33">
        <f t="shared" si="176"/>
        <v>0</v>
      </c>
      <c r="BT136" s="33">
        <f t="shared" ref="BT136:BY136" si="177">+IF(AND(BT$126=$C138,BT$126&lt;0),1,0)</f>
        <v>0</v>
      </c>
      <c r="BU136" s="33">
        <f t="shared" si="177"/>
        <v>0</v>
      </c>
      <c r="BV136" s="33">
        <f t="shared" si="177"/>
        <v>0</v>
      </c>
      <c r="BW136" s="33">
        <f t="shared" si="177"/>
        <v>0</v>
      </c>
      <c r="BX136" s="33">
        <f t="shared" si="177"/>
        <v>0</v>
      </c>
      <c r="BY136" s="33">
        <f t="shared" si="177"/>
        <v>0</v>
      </c>
    </row>
    <row r="137" spans="3:77" outlineLevel="1">
      <c r="C137" s="32"/>
      <c r="D137" s="31"/>
      <c r="E137" t="s">
        <v>508</v>
      </c>
      <c r="F137" s="23" t="s">
        <v>500</v>
      </c>
      <c r="H137" s="33">
        <f t="shared" ref="H137:BS137" si="178">+IF(AND(H$126=$C139,H$126&lt;0),1,0)</f>
        <v>0</v>
      </c>
      <c r="I137" s="33">
        <f t="shared" si="178"/>
        <v>0</v>
      </c>
      <c r="J137" s="33">
        <f t="shared" si="178"/>
        <v>0</v>
      </c>
      <c r="K137" s="33">
        <f t="shared" si="178"/>
        <v>0</v>
      </c>
      <c r="L137" s="33">
        <f t="shared" si="178"/>
        <v>0</v>
      </c>
      <c r="M137" s="33">
        <f t="shared" si="178"/>
        <v>0</v>
      </c>
      <c r="N137" s="33">
        <f t="shared" si="178"/>
        <v>0</v>
      </c>
      <c r="O137" s="33">
        <f t="shared" si="178"/>
        <v>0</v>
      </c>
      <c r="P137" s="33">
        <f t="shared" si="178"/>
        <v>0</v>
      </c>
      <c r="Q137" s="33">
        <f t="shared" si="178"/>
        <v>0</v>
      </c>
      <c r="R137" s="33">
        <f t="shared" si="178"/>
        <v>0</v>
      </c>
      <c r="S137" s="33">
        <f t="shared" si="178"/>
        <v>0</v>
      </c>
      <c r="T137" s="33">
        <f t="shared" si="178"/>
        <v>0</v>
      </c>
      <c r="U137" s="33">
        <f t="shared" si="178"/>
        <v>0</v>
      </c>
      <c r="V137" s="33">
        <f t="shared" si="178"/>
        <v>0</v>
      </c>
      <c r="W137" s="33">
        <f t="shared" si="178"/>
        <v>0</v>
      </c>
      <c r="X137" s="33">
        <f t="shared" si="178"/>
        <v>0</v>
      </c>
      <c r="Y137" s="33">
        <f t="shared" si="178"/>
        <v>0</v>
      </c>
      <c r="Z137" s="33">
        <f t="shared" si="178"/>
        <v>0</v>
      </c>
      <c r="AA137" s="33">
        <f t="shared" si="178"/>
        <v>0</v>
      </c>
      <c r="AB137" s="33">
        <f t="shared" si="178"/>
        <v>0</v>
      </c>
      <c r="AC137" s="33">
        <f t="shared" si="178"/>
        <v>0</v>
      </c>
      <c r="AD137" s="33">
        <f t="shared" si="178"/>
        <v>0</v>
      </c>
      <c r="AE137" s="33">
        <f t="shared" si="178"/>
        <v>0</v>
      </c>
      <c r="AF137" s="33">
        <f t="shared" si="178"/>
        <v>0</v>
      </c>
      <c r="AG137" s="33">
        <f t="shared" si="178"/>
        <v>0</v>
      </c>
      <c r="AH137" s="33">
        <f t="shared" si="178"/>
        <v>0</v>
      </c>
      <c r="AI137" s="33">
        <f t="shared" si="178"/>
        <v>0</v>
      </c>
      <c r="AJ137" s="33">
        <f t="shared" si="178"/>
        <v>0</v>
      </c>
      <c r="AK137" s="33">
        <f t="shared" si="178"/>
        <v>0</v>
      </c>
      <c r="AL137" s="33">
        <f t="shared" si="178"/>
        <v>0</v>
      </c>
      <c r="AM137" s="33">
        <f t="shared" si="178"/>
        <v>0</v>
      </c>
      <c r="AN137" s="33">
        <f t="shared" si="178"/>
        <v>0</v>
      </c>
      <c r="AO137" s="33">
        <f t="shared" si="178"/>
        <v>0</v>
      </c>
      <c r="AP137" s="33">
        <f t="shared" si="178"/>
        <v>0</v>
      </c>
      <c r="AQ137" s="33">
        <f t="shared" si="178"/>
        <v>0</v>
      </c>
      <c r="AR137" s="33">
        <f t="shared" si="178"/>
        <v>0</v>
      </c>
      <c r="AS137" s="33">
        <f t="shared" si="178"/>
        <v>0</v>
      </c>
      <c r="AT137" s="33">
        <f t="shared" si="178"/>
        <v>0</v>
      </c>
      <c r="AU137" s="33">
        <f t="shared" si="178"/>
        <v>0</v>
      </c>
      <c r="AV137" s="33">
        <f t="shared" si="178"/>
        <v>0</v>
      </c>
      <c r="AW137" s="33">
        <f t="shared" si="178"/>
        <v>0</v>
      </c>
      <c r="AX137" s="33">
        <f t="shared" si="178"/>
        <v>0</v>
      </c>
      <c r="AY137" s="33">
        <f t="shared" si="178"/>
        <v>0</v>
      </c>
      <c r="AZ137" s="33">
        <f t="shared" si="178"/>
        <v>0</v>
      </c>
      <c r="BA137" s="33">
        <f t="shared" si="178"/>
        <v>0</v>
      </c>
      <c r="BB137" s="33">
        <f t="shared" si="178"/>
        <v>0</v>
      </c>
      <c r="BC137" s="33">
        <f t="shared" si="178"/>
        <v>0</v>
      </c>
      <c r="BD137" s="33">
        <f t="shared" si="178"/>
        <v>0</v>
      </c>
      <c r="BE137" s="33">
        <f t="shared" si="178"/>
        <v>0</v>
      </c>
      <c r="BF137" s="33">
        <f t="shared" si="178"/>
        <v>0</v>
      </c>
      <c r="BG137" s="33">
        <f t="shared" si="178"/>
        <v>0</v>
      </c>
      <c r="BH137" s="33">
        <f t="shared" si="178"/>
        <v>0</v>
      </c>
      <c r="BI137" s="33">
        <f t="shared" si="178"/>
        <v>0</v>
      </c>
      <c r="BJ137" s="33">
        <f t="shared" si="178"/>
        <v>0</v>
      </c>
      <c r="BK137" s="33">
        <f t="shared" si="178"/>
        <v>0</v>
      </c>
      <c r="BL137" s="33">
        <f t="shared" si="178"/>
        <v>0</v>
      </c>
      <c r="BM137" s="33">
        <f t="shared" si="178"/>
        <v>0</v>
      </c>
      <c r="BN137" s="33">
        <f t="shared" si="178"/>
        <v>0</v>
      </c>
      <c r="BO137" s="33">
        <f t="shared" si="178"/>
        <v>0</v>
      </c>
      <c r="BP137" s="33">
        <f t="shared" si="178"/>
        <v>0</v>
      </c>
      <c r="BQ137" s="33">
        <f t="shared" si="178"/>
        <v>0</v>
      </c>
      <c r="BR137" s="33">
        <f t="shared" si="178"/>
        <v>0</v>
      </c>
      <c r="BS137" s="33">
        <f t="shared" si="178"/>
        <v>0</v>
      </c>
      <c r="BT137" s="33">
        <f t="shared" ref="BT137:BY137" si="179">+IF(AND(BT$126=$C139,BT$126&lt;0),1,0)</f>
        <v>0</v>
      </c>
      <c r="BU137" s="33">
        <f t="shared" si="179"/>
        <v>0</v>
      </c>
      <c r="BV137" s="33">
        <f t="shared" si="179"/>
        <v>0</v>
      </c>
      <c r="BW137" s="33">
        <f t="shared" si="179"/>
        <v>0</v>
      </c>
      <c r="BX137" s="33">
        <f t="shared" si="179"/>
        <v>0</v>
      </c>
      <c r="BY137" s="33">
        <f t="shared" si="179"/>
        <v>0</v>
      </c>
    </row>
    <row r="138" spans="3:77" outlineLevel="1">
      <c r="C138" s="32"/>
      <c r="D138" s="31"/>
      <c r="E138" t="s">
        <v>509</v>
      </c>
      <c r="F138" s="23" t="s">
        <v>500</v>
      </c>
      <c r="H138" s="33">
        <f t="shared" ref="H138:BS138" si="180">+IF(AND(H$126=$C140,H$126&lt;0),1,0)</f>
        <v>0</v>
      </c>
      <c r="I138" s="33">
        <f t="shared" si="180"/>
        <v>0</v>
      </c>
      <c r="J138" s="33">
        <f t="shared" si="180"/>
        <v>0</v>
      </c>
      <c r="K138" s="33">
        <f t="shared" si="180"/>
        <v>0</v>
      </c>
      <c r="L138" s="33">
        <f t="shared" si="180"/>
        <v>0</v>
      </c>
      <c r="M138" s="33">
        <f t="shared" si="180"/>
        <v>0</v>
      </c>
      <c r="N138" s="33">
        <f t="shared" si="180"/>
        <v>0</v>
      </c>
      <c r="O138" s="33">
        <f t="shared" si="180"/>
        <v>0</v>
      </c>
      <c r="P138" s="33">
        <f t="shared" si="180"/>
        <v>0</v>
      </c>
      <c r="Q138" s="33">
        <f t="shared" si="180"/>
        <v>0</v>
      </c>
      <c r="R138" s="33">
        <f t="shared" si="180"/>
        <v>0</v>
      </c>
      <c r="S138" s="33">
        <f t="shared" si="180"/>
        <v>0</v>
      </c>
      <c r="T138" s="33">
        <f t="shared" si="180"/>
        <v>0</v>
      </c>
      <c r="U138" s="33">
        <f t="shared" si="180"/>
        <v>0</v>
      </c>
      <c r="V138" s="33">
        <f t="shared" si="180"/>
        <v>0</v>
      </c>
      <c r="W138" s="33">
        <f t="shared" si="180"/>
        <v>0</v>
      </c>
      <c r="X138" s="33">
        <f t="shared" si="180"/>
        <v>0</v>
      </c>
      <c r="Y138" s="33">
        <f t="shared" si="180"/>
        <v>0</v>
      </c>
      <c r="Z138" s="33">
        <f t="shared" si="180"/>
        <v>0</v>
      </c>
      <c r="AA138" s="33">
        <f t="shared" si="180"/>
        <v>0</v>
      </c>
      <c r="AB138" s="33">
        <f t="shared" si="180"/>
        <v>0</v>
      </c>
      <c r="AC138" s="33">
        <f t="shared" si="180"/>
        <v>0</v>
      </c>
      <c r="AD138" s="33">
        <f t="shared" si="180"/>
        <v>0</v>
      </c>
      <c r="AE138" s="33">
        <f t="shared" si="180"/>
        <v>0</v>
      </c>
      <c r="AF138" s="33">
        <f t="shared" si="180"/>
        <v>0</v>
      </c>
      <c r="AG138" s="33">
        <f t="shared" si="180"/>
        <v>0</v>
      </c>
      <c r="AH138" s="33">
        <f t="shared" si="180"/>
        <v>0</v>
      </c>
      <c r="AI138" s="33">
        <f t="shared" si="180"/>
        <v>0</v>
      </c>
      <c r="AJ138" s="33">
        <f t="shared" si="180"/>
        <v>0</v>
      </c>
      <c r="AK138" s="33">
        <f t="shared" si="180"/>
        <v>0</v>
      </c>
      <c r="AL138" s="33">
        <f t="shared" si="180"/>
        <v>0</v>
      </c>
      <c r="AM138" s="33">
        <f t="shared" si="180"/>
        <v>0</v>
      </c>
      <c r="AN138" s="33">
        <f t="shared" si="180"/>
        <v>0</v>
      </c>
      <c r="AO138" s="33">
        <f t="shared" si="180"/>
        <v>0</v>
      </c>
      <c r="AP138" s="33">
        <f t="shared" si="180"/>
        <v>0</v>
      </c>
      <c r="AQ138" s="33">
        <f t="shared" si="180"/>
        <v>0</v>
      </c>
      <c r="AR138" s="33">
        <f t="shared" si="180"/>
        <v>0</v>
      </c>
      <c r="AS138" s="33">
        <f t="shared" si="180"/>
        <v>0</v>
      </c>
      <c r="AT138" s="33">
        <f t="shared" si="180"/>
        <v>0</v>
      </c>
      <c r="AU138" s="33">
        <f t="shared" si="180"/>
        <v>0</v>
      </c>
      <c r="AV138" s="33">
        <f t="shared" si="180"/>
        <v>0</v>
      </c>
      <c r="AW138" s="33">
        <f t="shared" si="180"/>
        <v>0</v>
      </c>
      <c r="AX138" s="33">
        <f t="shared" si="180"/>
        <v>0</v>
      </c>
      <c r="AY138" s="33">
        <f t="shared" si="180"/>
        <v>0</v>
      </c>
      <c r="AZ138" s="33">
        <f t="shared" si="180"/>
        <v>0</v>
      </c>
      <c r="BA138" s="33">
        <f t="shared" si="180"/>
        <v>0</v>
      </c>
      <c r="BB138" s="33">
        <f t="shared" si="180"/>
        <v>0</v>
      </c>
      <c r="BC138" s="33">
        <f t="shared" si="180"/>
        <v>0</v>
      </c>
      <c r="BD138" s="33">
        <f t="shared" si="180"/>
        <v>0</v>
      </c>
      <c r="BE138" s="33">
        <f t="shared" si="180"/>
        <v>0</v>
      </c>
      <c r="BF138" s="33">
        <f t="shared" si="180"/>
        <v>0</v>
      </c>
      <c r="BG138" s="33">
        <f t="shared" si="180"/>
        <v>0</v>
      </c>
      <c r="BH138" s="33">
        <f t="shared" si="180"/>
        <v>0</v>
      </c>
      <c r="BI138" s="33">
        <f t="shared" si="180"/>
        <v>0</v>
      </c>
      <c r="BJ138" s="33">
        <f t="shared" si="180"/>
        <v>0</v>
      </c>
      <c r="BK138" s="33">
        <f t="shared" si="180"/>
        <v>0</v>
      </c>
      <c r="BL138" s="33">
        <f t="shared" si="180"/>
        <v>0</v>
      </c>
      <c r="BM138" s="33">
        <f t="shared" si="180"/>
        <v>0</v>
      </c>
      <c r="BN138" s="33">
        <f t="shared" si="180"/>
        <v>0</v>
      </c>
      <c r="BO138" s="33">
        <f t="shared" si="180"/>
        <v>0</v>
      </c>
      <c r="BP138" s="33">
        <f t="shared" si="180"/>
        <v>0</v>
      </c>
      <c r="BQ138" s="33">
        <f t="shared" si="180"/>
        <v>0</v>
      </c>
      <c r="BR138" s="33">
        <f t="shared" si="180"/>
        <v>0</v>
      </c>
      <c r="BS138" s="33">
        <f t="shared" si="180"/>
        <v>0</v>
      </c>
      <c r="BT138" s="33">
        <f t="shared" ref="BT138:BY138" si="181">+IF(AND(BT$126=$C140,BT$126&lt;0),1,0)</f>
        <v>0</v>
      </c>
      <c r="BU138" s="33">
        <f t="shared" si="181"/>
        <v>0</v>
      </c>
      <c r="BV138" s="33">
        <f t="shared" si="181"/>
        <v>0</v>
      </c>
      <c r="BW138" s="33">
        <f t="shared" si="181"/>
        <v>0</v>
      </c>
      <c r="BX138" s="33">
        <f t="shared" si="181"/>
        <v>0</v>
      </c>
      <c r="BY138" s="33">
        <f t="shared" si="181"/>
        <v>0</v>
      </c>
    </row>
    <row r="139" spans="3:77" outlineLevel="1">
      <c r="C139" s="32"/>
      <c r="D139" s="31"/>
      <c r="E139" s="25" t="s">
        <v>510</v>
      </c>
      <c r="F139" s="30" t="s">
        <v>500</v>
      </c>
      <c r="G139" s="25"/>
      <c r="H139" s="34">
        <f t="shared" ref="H139:BS139" si="182">+IF(AND(H$126=$C141,H$126&lt;0),1,0)</f>
        <v>0</v>
      </c>
      <c r="I139" s="34">
        <f t="shared" si="182"/>
        <v>0</v>
      </c>
      <c r="J139" s="34">
        <f t="shared" si="182"/>
        <v>0</v>
      </c>
      <c r="K139" s="34">
        <f t="shared" si="182"/>
        <v>0</v>
      </c>
      <c r="L139" s="34">
        <f t="shared" si="182"/>
        <v>0</v>
      </c>
      <c r="M139" s="34">
        <f t="shared" si="182"/>
        <v>0</v>
      </c>
      <c r="N139" s="34">
        <f t="shared" si="182"/>
        <v>0</v>
      </c>
      <c r="O139" s="34">
        <f t="shared" si="182"/>
        <v>0</v>
      </c>
      <c r="P139" s="34">
        <f t="shared" si="182"/>
        <v>0</v>
      </c>
      <c r="Q139" s="34">
        <f t="shared" si="182"/>
        <v>0</v>
      </c>
      <c r="R139" s="34">
        <f t="shared" si="182"/>
        <v>0</v>
      </c>
      <c r="S139" s="34">
        <f t="shared" si="182"/>
        <v>0</v>
      </c>
      <c r="T139" s="34">
        <f t="shared" si="182"/>
        <v>0</v>
      </c>
      <c r="U139" s="34">
        <f t="shared" si="182"/>
        <v>0</v>
      </c>
      <c r="V139" s="34">
        <f t="shared" si="182"/>
        <v>0</v>
      </c>
      <c r="W139" s="34">
        <f t="shared" si="182"/>
        <v>0</v>
      </c>
      <c r="X139" s="34">
        <f t="shared" si="182"/>
        <v>0</v>
      </c>
      <c r="Y139" s="34">
        <f t="shared" si="182"/>
        <v>0</v>
      </c>
      <c r="Z139" s="34">
        <f t="shared" si="182"/>
        <v>0</v>
      </c>
      <c r="AA139" s="34">
        <f t="shared" si="182"/>
        <v>0</v>
      </c>
      <c r="AB139" s="34">
        <f t="shared" si="182"/>
        <v>0</v>
      </c>
      <c r="AC139" s="34">
        <f t="shared" si="182"/>
        <v>0</v>
      </c>
      <c r="AD139" s="34">
        <f t="shared" si="182"/>
        <v>0</v>
      </c>
      <c r="AE139" s="34">
        <f t="shared" si="182"/>
        <v>0</v>
      </c>
      <c r="AF139" s="34">
        <f t="shared" si="182"/>
        <v>0</v>
      </c>
      <c r="AG139" s="34">
        <f t="shared" si="182"/>
        <v>0</v>
      </c>
      <c r="AH139" s="34">
        <f t="shared" si="182"/>
        <v>0</v>
      </c>
      <c r="AI139" s="34">
        <f t="shared" si="182"/>
        <v>0</v>
      </c>
      <c r="AJ139" s="34">
        <f t="shared" si="182"/>
        <v>0</v>
      </c>
      <c r="AK139" s="34">
        <f t="shared" si="182"/>
        <v>0</v>
      </c>
      <c r="AL139" s="34">
        <f t="shared" si="182"/>
        <v>0</v>
      </c>
      <c r="AM139" s="34">
        <f t="shared" si="182"/>
        <v>0</v>
      </c>
      <c r="AN139" s="34">
        <f t="shared" si="182"/>
        <v>0</v>
      </c>
      <c r="AO139" s="34">
        <f t="shared" si="182"/>
        <v>0</v>
      </c>
      <c r="AP139" s="34">
        <f t="shared" si="182"/>
        <v>0</v>
      </c>
      <c r="AQ139" s="34">
        <f t="shared" si="182"/>
        <v>0</v>
      </c>
      <c r="AR139" s="34">
        <f t="shared" si="182"/>
        <v>0</v>
      </c>
      <c r="AS139" s="34">
        <f t="shared" si="182"/>
        <v>0</v>
      </c>
      <c r="AT139" s="34">
        <f t="shared" si="182"/>
        <v>0</v>
      </c>
      <c r="AU139" s="34">
        <f t="shared" si="182"/>
        <v>0</v>
      </c>
      <c r="AV139" s="34">
        <f t="shared" si="182"/>
        <v>0</v>
      </c>
      <c r="AW139" s="34">
        <f t="shared" si="182"/>
        <v>0</v>
      </c>
      <c r="AX139" s="34">
        <f t="shared" si="182"/>
        <v>0</v>
      </c>
      <c r="AY139" s="34">
        <f t="shared" si="182"/>
        <v>0</v>
      </c>
      <c r="AZ139" s="34">
        <f t="shared" si="182"/>
        <v>0</v>
      </c>
      <c r="BA139" s="34">
        <f t="shared" si="182"/>
        <v>0</v>
      </c>
      <c r="BB139" s="34">
        <f t="shared" si="182"/>
        <v>0</v>
      </c>
      <c r="BC139" s="34">
        <f t="shared" si="182"/>
        <v>0</v>
      </c>
      <c r="BD139" s="34">
        <f t="shared" si="182"/>
        <v>0</v>
      </c>
      <c r="BE139" s="34">
        <f t="shared" si="182"/>
        <v>0</v>
      </c>
      <c r="BF139" s="34">
        <f t="shared" si="182"/>
        <v>0</v>
      </c>
      <c r="BG139" s="34">
        <f t="shared" si="182"/>
        <v>0</v>
      </c>
      <c r="BH139" s="34">
        <f t="shared" si="182"/>
        <v>0</v>
      </c>
      <c r="BI139" s="34">
        <f t="shared" si="182"/>
        <v>0</v>
      </c>
      <c r="BJ139" s="34">
        <f t="shared" si="182"/>
        <v>0</v>
      </c>
      <c r="BK139" s="34">
        <f t="shared" si="182"/>
        <v>0</v>
      </c>
      <c r="BL139" s="34">
        <f t="shared" si="182"/>
        <v>0</v>
      </c>
      <c r="BM139" s="34">
        <f t="shared" si="182"/>
        <v>0</v>
      </c>
      <c r="BN139" s="34">
        <f t="shared" si="182"/>
        <v>0</v>
      </c>
      <c r="BO139" s="34">
        <f t="shared" si="182"/>
        <v>0</v>
      </c>
      <c r="BP139" s="34">
        <f t="shared" si="182"/>
        <v>0</v>
      </c>
      <c r="BQ139" s="34">
        <f t="shared" si="182"/>
        <v>0</v>
      </c>
      <c r="BR139" s="34">
        <f t="shared" si="182"/>
        <v>0</v>
      </c>
      <c r="BS139" s="34">
        <f t="shared" si="182"/>
        <v>0</v>
      </c>
      <c r="BT139" s="34">
        <f t="shared" ref="BT139:BY139" si="183">+IF(AND(BT$126=$C141,BT$126&lt;0),1,0)</f>
        <v>0</v>
      </c>
      <c r="BU139" s="34">
        <f t="shared" si="183"/>
        <v>0</v>
      </c>
      <c r="BV139" s="34">
        <f t="shared" si="183"/>
        <v>0</v>
      </c>
      <c r="BW139" s="34">
        <f t="shared" si="183"/>
        <v>0</v>
      </c>
      <c r="BX139" s="34">
        <f t="shared" si="183"/>
        <v>0</v>
      </c>
      <c r="BY139" s="34">
        <f t="shared" si="183"/>
        <v>0</v>
      </c>
    </row>
    <row r="140" spans="3:77" outlineLevel="1">
      <c r="C140" s="32"/>
      <c r="D140" s="31"/>
      <c r="E140" t="s">
        <v>511</v>
      </c>
      <c r="F140" s="80" t="str">
        <f>+Assumptions!$G$8</f>
        <v>USD</v>
      </c>
      <c r="H140" s="32">
        <f t="shared" ref="H140" si="184">+G154</f>
        <v>0</v>
      </c>
      <c r="I140" s="32">
        <f t="shared" ref="I140" si="185">+H154</f>
        <v>0</v>
      </c>
      <c r="J140" s="32">
        <f>+I154</f>
        <v>0</v>
      </c>
      <c r="K140" s="32">
        <f t="shared" ref="K140" si="186">+J154</f>
        <v>0</v>
      </c>
      <c r="L140" s="32">
        <f t="shared" ref="L140" si="187">+K154</f>
        <v>0</v>
      </c>
      <c r="M140" s="32">
        <f t="shared" ref="M140" si="188">+L154</f>
        <v>0</v>
      </c>
      <c r="N140" s="32">
        <f t="shared" ref="N140" si="189">+M154</f>
        <v>0</v>
      </c>
      <c r="O140" s="32">
        <f t="shared" ref="O140" si="190">+N154</f>
        <v>0</v>
      </c>
      <c r="P140" s="32">
        <f t="shared" ref="P140" si="191">+O154</f>
        <v>0</v>
      </c>
      <c r="Q140" s="32">
        <f t="shared" ref="Q140" si="192">+P154</f>
        <v>0</v>
      </c>
      <c r="R140" s="32">
        <f t="shared" ref="R140" si="193">+Q154</f>
        <v>0</v>
      </c>
      <c r="S140" s="32">
        <f t="shared" ref="S140" si="194">+R154</f>
        <v>0</v>
      </c>
      <c r="T140" s="32">
        <f t="shared" ref="T140" si="195">+S154</f>
        <v>0</v>
      </c>
      <c r="U140" s="32">
        <f t="shared" ref="U140" si="196">+T154</f>
        <v>0</v>
      </c>
      <c r="V140" s="32">
        <f t="shared" ref="V140" si="197">+U154</f>
        <v>0</v>
      </c>
      <c r="W140" s="32">
        <f t="shared" ref="W140" si="198">+V154</f>
        <v>0</v>
      </c>
      <c r="X140" s="32">
        <f t="shared" ref="X140" si="199">+W154</f>
        <v>0</v>
      </c>
      <c r="Y140" s="32">
        <f t="shared" ref="Y140" si="200">+X154</f>
        <v>0</v>
      </c>
      <c r="Z140" s="32">
        <f t="shared" ref="Z140" si="201">+Y154</f>
        <v>0</v>
      </c>
      <c r="AA140" s="32">
        <f t="shared" ref="AA140" si="202">+Z154</f>
        <v>0</v>
      </c>
      <c r="AB140" s="32">
        <f t="shared" ref="AB140" si="203">+AA154</f>
        <v>0</v>
      </c>
      <c r="AC140" s="32">
        <f t="shared" ref="AC140" si="204">+AB154</f>
        <v>0</v>
      </c>
      <c r="AD140" s="32">
        <f t="shared" ref="AD140" si="205">+AC154</f>
        <v>0</v>
      </c>
      <c r="AE140" s="32">
        <f t="shared" ref="AE140" si="206">+AD154</f>
        <v>0</v>
      </c>
      <c r="AF140" s="32">
        <f t="shared" ref="AF140" si="207">+AE154</f>
        <v>0</v>
      </c>
      <c r="AG140" s="32">
        <f t="shared" ref="AG140" si="208">+AF154</f>
        <v>0</v>
      </c>
      <c r="AH140" s="32">
        <f t="shared" ref="AH140" si="209">+AG154</f>
        <v>0</v>
      </c>
      <c r="AI140" s="32">
        <f t="shared" ref="AI140" si="210">+AH154</f>
        <v>0</v>
      </c>
      <c r="AJ140" s="32">
        <f t="shared" ref="AJ140" si="211">+AI154</f>
        <v>0</v>
      </c>
      <c r="AK140" s="32">
        <f t="shared" ref="AK140" si="212">+AJ154</f>
        <v>0</v>
      </c>
      <c r="AL140" s="32">
        <f t="shared" ref="AL140" si="213">+AK154</f>
        <v>0</v>
      </c>
      <c r="AM140" s="32">
        <f t="shared" ref="AM140" si="214">+AL154</f>
        <v>0</v>
      </c>
      <c r="AN140" s="32">
        <f t="shared" ref="AN140" si="215">+AM154</f>
        <v>0</v>
      </c>
      <c r="AO140" s="32">
        <f t="shared" ref="AO140" si="216">+AN154</f>
        <v>0</v>
      </c>
      <c r="AP140" s="32">
        <f t="shared" ref="AP140" si="217">+AO154</f>
        <v>0</v>
      </c>
      <c r="AQ140" s="32">
        <f t="shared" ref="AQ140" si="218">+AP154</f>
        <v>0</v>
      </c>
      <c r="AR140" s="32">
        <f t="shared" ref="AR140" si="219">+AQ154</f>
        <v>0</v>
      </c>
      <c r="AS140" s="32">
        <f t="shared" ref="AS140" si="220">+AR154</f>
        <v>0</v>
      </c>
      <c r="AT140" s="32">
        <f t="shared" ref="AT140" si="221">+AS154</f>
        <v>0</v>
      </c>
      <c r="AU140" s="32">
        <f t="shared" ref="AU140" si="222">+AT154</f>
        <v>0</v>
      </c>
      <c r="AV140" s="32">
        <f t="shared" ref="AV140" si="223">+AU154</f>
        <v>0</v>
      </c>
      <c r="AW140" s="32">
        <f t="shared" ref="AW140" si="224">+AV154</f>
        <v>0</v>
      </c>
      <c r="AX140" s="32">
        <f t="shared" ref="AX140" si="225">+AW154</f>
        <v>0</v>
      </c>
      <c r="AY140" s="32">
        <f t="shared" ref="AY140" si="226">+AX154</f>
        <v>0</v>
      </c>
      <c r="AZ140" s="32">
        <f t="shared" ref="AZ140" si="227">+AY154</f>
        <v>0</v>
      </c>
      <c r="BA140" s="32">
        <f t="shared" ref="BA140" si="228">+AZ154</f>
        <v>0</v>
      </c>
      <c r="BB140" s="32">
        <f t="shared" ref="BB140" si="229">+BA154</f>
        <v>0</v>
      </c>
      <c r="BC140" s="32">
        <f t="shared" ref="BC140" si="230">+BB154</f>
        <v>0</v>
      </c>
      <c r="BD140" s="32">
        <f t="shared" ref="BD140" si="231">+BC154</f>
        <v>0</v>
      </c>
      <c r="BE140" s="32">
        <f t="shared" ref="BE140" si="232">+BD154</f>
        <v>0</v>
      </c>
      <c r="BF140" s="32">
        <f t="shared" ref="BF140" si="233">+BE154</f>
        <v>0</v>
      </c>
      <c r="BG140" s="32">
        <f t="shared" ref="BG140" si="234">+BF154</f>
        <v>0</v>
      </c>
      <c r="BH140" s="32">
        <f t="shared" ref="BH140" si="235">+BG154</f>
        <v>0</v>
      </c>
      <c r="BI140" s="32">
        <f t="shared" ref="BI140" si="236">+BH154</f>
        <v>0</v>
      </c>
      <c r="BJ140" s="32">
        <f t="shared" ref="BJ140" si="237">+BI154</f>
        <v>0</v>
      </c>
      <c r="BK140" s="32">
        <f t="shared" ref="BK140" si="238">+BJ154</f>
        <v>0</v>
      </c>
      <c r="BL140" s="32">
        <f t="shared" ref="BL140" si="239">+BK154</f>
        <v>0</v>
      </c>
      <c r="BM140" s="32">
        <f t="shared" ref="BM140" si="240">+BL154</f>
        <v>0</v>
      </c>
      <c r="BN140" s="32">
        <f t="shared" ref="BN140" si="241">+BM154</f>
        <v>0</v>
      </c>
      <c r="BO140" s="32">
        <f t="shared" ref="BO140" si="242">+BN154</f>
        <v>0</v>
      </c>
      <c r="BP140" s="32">
        <f t="shared" ref="BP140" si="243">+BO154</f>
        <v>0</v>
      </c>
      <c r="BQ140" s="32">
        <f t="shared" ref="BQ140" si="244">+BP154</f>
        <v>0</v>
      </c>
      <c r="BR140" s="32">
        <f t="shared" ref="BR140" si="245">+BQ154</f>
        <v>0</v>
      </c>
      <c r="BS140" s="32">
        <f t="shared" ref="BS140" si="246">+BR154</f>
        <v>0</v>
      </c>
      <c r="BT140" s="32">
        <f t="shared" ref="BT140" si="247">+BS154</f>
        <v>0</v>
      </c>
      <c r="BU140" s="32">
        <f t="shared" ref="BU140" si="248">+BT154</f>
        <v>0</v>
      </c>
      <c r="BV140" s="32">
        <f t="shared" ref="BV140" si="249">+BU154</f>
        <v>0</v>
      </c>
      <c r="BW140" s="32">
        <f t="shared" ref="BW140" si="250">+BV154</f>
        <v>0</v>
      </c>
      <c r="BX140" s="32">
        <f t="shared" ref="BX140" si="251">+BW154</f>
        <v>0</v>
      </c>
      <c r="BY140" s="32">
        <f t="shared" ref="BY140" si="252">+BX154</f>
        <v>0</v>
      </c>
    </row>
    <row r="141" spans="3:77" outlineLevel="1">
      <c r="C141" s="32"/>
      <c r="D141" s="31"/>
      <c r="E141" t="s">
        <v>512</v>
      </c>
      <c r="F141" s="80" t="str">
        <f>+Assumptions!$G$8</f>
        <v>USD</v>
      </c>
      <c r="H141" s="33">
        <f ca="1">+H140*Assumptions!$G$96</f>
        <v>0</v>
      </c>
      <c r="I141" s="33">
        <f ca="1">+I140*Assumptions!$G$96</f>
        <v>0</v>
      </c>
      <c r="J141" s="33">
        <f ca="1">+J140*Assumptions!$G$96</f>
        <v>0</v>
      </c>
      <c r="K141" s="33">
        <f ca="1">+K140*Assumptions!$G$96</f>
        <v>0</v>
      </c>
      <c r="L141" s="33">
        <f ca="1">+L140*Assumptions!$G$96</f>
        <v>0</v>
      </c>
      <c r="M141" s="33">
        <f ca="1">+M140*Assumptions!$G$96</f>
        <v>0</v>
      </c>
      <c r="N141" s="33">
        <f ca="1">+N140*Assumptions!$G$96</f>
        <v>0</v>
      </c>
      <c r="O141" s="33">
        <f ca="1">+O140*Assumptions!$G$96</f>
        <v>0</v>
      </c>
      <c r="P141" s="33">
        <f ca="1">+P140*Assumptions!$G$96</f>
        <v>0</v>
      </c>
      <c r="Q141" s="33">
        <f ca="1">+Q140*Assumptions!$G$96</f>
        <v>0</v>
      </c>
      <c r="R141" s="33">
        <f ca="1">+R140*Assumptions!$G$96</f>
        <v>0</v>
      </c>
      <c r="S141" s="33">
        <f ca="1">+S140*Assumptions!$G$96</f>
        <v>0</v>
      </c>
      <c r="T141" s="33">
        <f ca="1">+T140*Assumptions!$G$96</f>
        <v>0</v>
      </c>
      <c r="U141" s="33">
        <f ca="1">+U140*Assumptions!$G$96</f>
        <v>0</v>
      </c>
      <c r="V141" s="33">
        <f ca="1">+V140*Assumptions!$G$96</f>
        <v>0</v>
      </c>
      <c r="W141" s="33">
        <f ca="1">+W140*Assumptions!$G$96</f>
        <v>0</v>
      </c>
      <c r="X141" s="33">
        <f ca="1">+X140*Assumptions!$G$96</f>
        <v>0</v>
      </c>
      <c r="Y141" s="33">
        <f ca="1">+Y140*Assumptions!$G$96</f>
        <v>0</v>
      </c>
      <c r="Z141" s="33">
        <f ca="1">+Z140*Assumptions!$G$96</f>
        <v>0</v>
      </c>
      <c r="AA141" s="33">
        <f ca="1">+AA140*Assumptions!$G$96</f>
        <v>0</v>
      </c>
      <c r="AB141" s="33">
        <f ca="1">+AB140*Assumptions!$G$96</f>
        <v>0</v>
      </c>
      <c r="AC141" s="33">
        <f ca="1">+AC140*Assumptions!$G$96</f>
        <v>0</v>
      </c>
      <c r="AD141" s="33">
        <f ca="1">+AD140*Assumptions!$G$96</f>
        <v>0</v>
      </c>
      <c r="AE141" s="33">
        <f ca="1">+AE140*Assumptions!$G$96</f>
        <v>0</v>
      </c>
      <c r="AF141" s="33">
        <f ca="1">+AF140*Assumptions!$G$96</f>
        <v>0</v>
      </c>
      <c r="AG141" s="33">
        <f ca="1">+AG140*Assumptions!$G$96</f>
        <v>0</v>
      </c>
      <c r="AH141" s="33">
        <f ca="1">+AH140*Assumptions!$G$96</f>
        <v>0</v>
      </c>
      <c r="AI141" s="33">
        <f ca="1">+AI140*Assumptions!$G$96</f>
        <v>0</v>
      </c>
      <c r="AJ141" s="33">
        <f ca="1">+AJ140*Assumptions!$G$96</f>
        <v>0</v>
      </c>
      <c r="AK141" s="33">
        <f ca="1">+AK140*Assumptions!$G$96</f>
        <v>0</v>
      </c>
      <c r="AL141" s="33">
        <f ca="1">+AL140*Assumptions!$G$96</f>
        <v>0</v>
      </c>
      <c r="AM141" s="33">
        <f ca="1">+AM140*Assumptions!$G$96</f>
        <v>0</v>
      </c>
      <c r="AN141" s="33">
        <f ca="1">+AN140*Assumptions!$G$96</f>
        <v>0</v>
      </c>
      <c r="AO141" s="33">
        <f ca="1">+AO140*Assumptions!$G$96</f>
        <v>0</v>
      </c>
      <c r="AP141" s="33">
        <f ca="1">+AP140*Assumptions!$G$96</f>
        <v>0</v>
      </c>
      <c r="AQ141" s="33">
        <f ca="1">+AQ140*Assumptions!$G$96</f>
        <v>0</v>
      </c>
      <c r="AR141" s="33">
        <f ca="1">+AR140*Assumptions!$G$96</f>
        <v>0</v>
      </c>
      <c r="AS141" s="33">
        <f ca="1">+AS140*Assumptions!$G$96</f>
        <v>0</v>
      </c>
      <c r="AT141" s="33">
        <f ca="1">+AT140*Assumptions!$G$96</f>
        <v>0</v>
      </c>
      <c r="AU141" s="33">
        <f ca="1">+AU140*Assumptions!$G$96</f>
        <v>0</v>
      </c>
      <c r="AV141" s="33">
        <f ca="1">+AV140*Assumptions!$G$96</f>
        <v>0</v>
      </c>
      <c r="AW141" s="33">
        <f ca="1">+AW140*Assumptions!$G$96</f>
        <v>0</v>
      </c>
      <c r="AX141" s="33">
        <f ca="1">+AX140*Assumptions!$G$96</f>
        <v>0</v>
      </c>
      <c r="AY141" s="33">
        <f ca="1">+AY140*Assumptions!$G$96</f>
        <v>0</v>
      </c>
      <c r="AZ141" s="33">
        <f ca="1">+AZ140*Assumptions!$G$96</f>
        <v>0</v>
      </c>
      <c r="BA141" s="33">
        <f ca="1">+BA140*Assumptions!$G$96</f>
        <v>0</v>
      </c>
      <c r="BB141" s="33">
        <f ca="1">+BB140*Assumptions!$G$96</f>
        <v>0</v>
      </c>
      <c r="BC141" s="33">
        <f ca="1">+BC140*Assumptions!$G$96</f>
        <v>0</v>
      </c>
      <c r="BD141" s="33">
        <f ca="1">+BD140*Assumptions!$G$96</f>
        <v>0</v>
      </c>
      <c r="BE141" s="33">
        <f ca="1">+BE140*Assumptions!$G$96</f>
        <v>0</v>
      </c>
      <c r="BF141" s="33">
        <f ca="1">+BF140*Assumptions!$G$96</f>
        <v>0</v>
      </c>
      <c r="BG141" s="33">
        <f ca="1">+BG140*Assumptions!$G$96</f>
        <v>0</v>
      </c>
      <c r="BH141" s="33">
        <f ca="1">+BH140*Assumptions!$G$96</f>
        <v>0</v>
      </c>
      <c r="BI141" s="33">
        <f ca="1">+BI140*Assumptions!$G$96</f>
        <v>0</v>
      </c>
      <c r="BJ141" s="33">
        <f ca="1">+BJ140*Assumptions!$G$96</f>
        <v>0</v>
      </c>
      <c r="BK141" s="33">
        <f ca="1">+BK140*Assumptions!$G$96</f>
        <v>0</v>
      </c>
      <c r="BL141" s="33">
        <f ca="1">+BL140*Assumptions!$G$96</f>
        <v>0</v>
      </c>
      <c r="BM141" s="33">
        <f ca="1">+BM140*Assumptions!$G$96</f>
        <v>0</v>
      </c>
      <c r="BN141" s="33">
        <f ca="1">+BN140*Assumptions!$G$96</f>
        <v>0</v>
      </c>
      <c r="BO141" s="33">
        <f ca="1">+BO140*Assumptions!$G$96</f>
        <v>0</v>
      </c>
      <c r="BP141" s="33">
        <f ca="1">+BP140*Assumptions!$G$96</f>
        <v>0</v>
      </c>
      <c r="BQ141" s="33">
        <f ca="1">+BQ140*Assumptions!$G$96</f>
        <v>0</v>
      </c>
      <c r="BR141" s="33">
        <f ca="1">+BR140*Assumptions!$G$96</f>
        <v>0</v>
      </c>
      <c r="BS141" s="33">
        <f ca="1">+BS140*Assumptions!$G$96</f>
        <v>0</v>
      </c>
      <c r="BT141" s="33">
        <f ca="1">+BT140*Assumptions!$G$96</f>
        <v>0</v>
      </c>
      <c r="BU141" s="33">
        <f ca="1">+BU140*Assumptions!$G$96</f>
        <v>0</v>
      </c>
      <c r="BV141" s="33">
        <f ca="1">+BV140*Assumptions!$G$96</f>
        <v>0</v>
      </c>
      <c r="BW141" s="33">
        <f ca="1">+BW140*Assumptions!$G$96</f>
        <v>0</v>
      </c>
      <c r="BX141" s="33">
        <f ca="1">+BX140*Assumptions!$G$96</f>
        <v>0</v>
      </c>
      <c r="BY141" s="33">
        <f ca="1">+BY140*Assumptions!$G$96</f>
        <v>0</v>
      </c>
    </row>
    <row r="142" spans="3:77" outlineLevel="1">
      <c r="C142" s="31"/>
      <c r="E142" s="25" t="s">
        <v>513</v>
      </c>
      <c r="F142" s="81" t="str">
        <f>+Assumptions!$G$8</f>
        <v>USD</v>
      </c>
      <c r="G142" s="25"/>
      <c r="H142" s="34">
        <f>IF(SUM(H143:H152)=0,0,+SUM(H143:H152)-H141)</f>
        <v>0</v>
      </c>
      <c r="I142" s="34">
        <f t="shared" ref="I142:BT142" si="253">IF(SUM(I143:I152)=0,0,+SUM(I143:I152)-I141)</f>
        <v>0</v>
      </c>
      <c r="J142" s="34">
        <f t="shared" si="253"/>
        <v>0</v>
      </c>
      <c r="K142" s="34">
        <f t="shared" si="253"/>
        <v>0</v>
      </c>
      <c r="L142" s="34">
        <f t="shared" si="253"/>
        <v>0</v>
      </c>
      <c r="M142" s="34">
        <f t="shared" si="253"/>
        <v>0</v>
      </c>
      <c r="N142" s="34">
        <f t="shared" si="253"/>
        <v>0</v>
      </c>
      <c r="O142" s="34">
        <f t="shared" si="253"/>
        <v>0</v>
      </c>
      <c r="P142" s="34">
        <f t="shared" si="253"/>
        <v>0</v>
      </c>
      <c r="Q142" s="34">
        <f t="shared" si="253"/>
        <v>0</v>
      </c>
      <c r="R142" s="34">
        <f t="shared" si="253"/>
        <v>0</v>
      </c>
      <c r="S142" s="34">
        <f t="shared" si="253"/>
        <v>0</v>
      </c>
      <c r="T142" s="34">
        <f t="shared" si="253"/>
        <v>0</v>
      </c>
      <c r="U142" s="34">
        <f t="shared" si="253"/>
        <v>0</v>
      </c>
      <c r="V142" s="34">
        <f t="shared" si="253"/>
        <v>0</v>
      </c>
      <c r="W142" s="34">
        <f t="shared" si="253"/>
        <v>0</v>
      </c>
      <c r="X142" s="34">
        <f t="shared" si="253"/>
        <v>0</v>
      </c>
      <c r="Y142" s="34">
        <f t="shared" si="253"/>
        <v>0</v>
      </c>
      <c r="Z142" s="34">
        <f t="shared" si="253"/>
        <v>0</v>
      </c>
      <c r="AA142" s="34">
        <f t="shared" si="253"/>
        <v>0</v>
      </c>
      <c r="AB142" s="34">
        <f t="shared" si="253"/>
        <v>0</v>
      </c>
      <c r="AC142" s="34">
        <f t="shared" si="253"/>
        <v>0</v>
      </c>
      <c r="AD142" s="34">
        <f t="shared" si="253"/>
        <v>0</v>
      </c>
      <c r="AE142" s="34">
        <f t="shared" si="253"/>
        <v>0</v>
      </c>
      <c r="AF142" s="34">
        <f t="shared" si="253"/>
        <v>0</v>
      </c>
      <c r="AG142" s="34">
        <f t="shared" si="253"/>
        <v>0</v>
      </c>
      <c r="AH142" s="34">
        <f t="shared" si="253"/>
        <v>0</v>
      </c>
      <c r="AI142" s="34">
        <f t="shared" si="253"/>
        <v>0</v>
      </c>
      <c r="AJ142" s="34">
        <f t="shared" si="253"/>
        <v>0</v>
      </c>
      <c r="AK142" s="34">
        <f t="shared" si="253"/>
        <v>0</v>
      </c>
      <c r="AL142" s="34">
        <f t="shared" si="253"/>
        <v>0</v>
      </c>
      <c r="AM142" s="34">
        <f t="shared" si="253"/>
        <v>0</v>
      </c>
      <c r="AN142" s="34">
        <f t="shared" si="253"/>
        <v>0</v>
      </c>
      <c r="AO142" s="34">
        <f t="shared" si="253"/>
        <v>0</v>
      </c>
      <c r="AP142" s="34">
        <f t="shared" si="253"/>
        <v>0</v>
      </c>
      <c r="AQ142" s="34">
        <f t="shared" si="253"/>
        <v>0</v>
      </c>
      <c r="AR142" s="34">
        <f t="shared" si="253"/>
        <v>0</v>
      </c>
      <c r="AS142" s="34">
        <f t="shared" si="253"/>
        <v>0</v>
      </c>
      <c r="AT142" s="34">
        <f t="shared" si="253"/>
        <v>0</v>
      </c>
      <c r="AU142" s="34">
        <f t="shared" si="253"/>
        <v>0</v>
      </c>
      <c r="AV142" s="34">
        <f t="shared" si="253"/>
        <v>0</v>
      </c>
      <c r="AW142" s="34">
        <f t="shared" si="253"/>
        <v>0</v>
      </c>
      <c r="AX142" s="34">
        <f t="shared" si="253"/>
        <v>0</v>
      </c>
      <c r="AY142" s="34">
        <f t="shared" si="253"/>
        <v>0</v>
      </c>
      <c r="AZ142" s="34">
        <f t="shared" si="253"/>
        <v>0</v>
      </c>
      <c r="BA142" s="34">
        <f t="shared" si="253"/>
        <v>0</v>
      </c>
      <c r="BB142" s="34">
        <f t="shared" si="253"/>
        <v>0</v>
      </c>
      <c r="BC142" s="34">
        <f t="shared" si="253"/>
        <v>0</v>
      </c>
      <c r="BD142" s="34">
        <f t="shared" si="253"/>
        <v>0</v>
      </c>
      <c r="BE142" s="34">
        <f t="shared" si="253"/>
        <v>0</v>
      </c>
      <c r="BF142" s="34">
        <f t="shared" si="253"/>
        <v>0</v>
      </c>
      <c r="BG142" s="34">
        <f t="shared" si="253"/>
        <v>0</v>
      </c>
      <c r="BH142" s="34">
        <f t="shared" si="253"/>
        <v>0</v>
      </c>
      <c r="BI142" s="34">
        <f t="shared" si="253"/>
        <v>0</v>
      </c>
      <c r="BJ142" s="34">
        <f t="shared" si="253"/>
        <v>0</v>
      </c>
      <c r="BK142" s="34">
        <f t="shared" si="253"/>
        <v>0</v>
      </c>
      <c r="BL142" s="34">
        <f t="shared" si="253"/>
        <v>0</v>
      </c>
      <c r="BM142" s="34">
        <f t="shared" si="253"/>
        <v>0</v>
      </c>
      <c r="BN142" s="34">
        <f t="shared" si="253"/>
        <v>0</v>
      </c>
      <c r="BO142" s="34">
        <f t="shared" si="253"/>
        <v>0</v>
      </c>
      <c r="BP142" s="34">
        <f t="shared" si="253"/>
        <v>0</v>
      </c>
      <c r="BQ142" s="34">
        <f t="shared" si="253"/>
        <v>0</v>
      </c>
      <c r="BR142" s="34">
        <f t="shared" si="253"/>
        <v>0</v>
      </c>
      <c r="BS142" s="34">
        <f t="shared" si="253"/>
        <v>0</v>
      </c>
      <c r="BT142" s="34">
        <f t="shared" si="253"/>
        <v>0</v>
      </c>
      <c r="BU142" s="34">
        <f t="shared" ref="BU142:BY142" si="254">IF(SUM(BU143:BU152)=0,0,+SUM(BU143:BU152)-BU141)</f>
        <v>0</v>
      </c>
      <c r="BV142" s="34">
        <f t="shared" si="254"/>
        <v>0</v>
      </c>
      <c r="BW142" s="34">
        <f t="shared" si="254"/>
        <v>0</v>
      </c>
      <c r="BX142" s="34">
        <f t="shared" si="254"/>
        <v>0</v>
      </c>
      <c r="BY142" s="34">
        <f t="shared" si="254"/>
        <v>0</v>
      </c>
    </row>
    <row r="143" spans="3:77" outlineLevel="1">
      <c r="C143" s="31"/>
      <c r="E143" s="24" t="s">
        <v>514</v>
      </c>
      <c r="F143" s="80" t="str">
        <f>+Assumptions!$G$8</f>
        <v>USD</v>
      </c>
      <c r="G143" s="24"/>
      <c r="H143" s="39">
        <f>+IFERROR(-ABS(IF(EDATE(_xlfn.XLOOKUP(1,$H130:$BE130,$H$4:$BE$4),12*Assumptions!$G$98+12)=H$4,0,IF(G130=1,PMT(Assumptions!$G$96,Assumptions!$G$98,$C132),G143))),0)</f>
        <v>0</v>
      </c>
      <c r="I143" s="39">
        <f>+IFERROR(-ABS(IF(EDATE(_xlfn.XLOOKUP(1,$H130:$BE130,$H$4:$BE$4),12*Assumptions!$G$98+12)=I$4,0,IF(H130=1,PMT(Assumptions!$G$96,Assumptions!$G$98,$C132),H143))),0)</f>
        <v>0</v>
      </c>
      <c r="J143" s="39">
        <f>+IFERROR(-ABS(IF(EDATE(_xlfn.XLOOKUP(1,$H130:$BE130,$H$4:$BE$4),12*Assumptions!$G$98+12)=J$4,0,IF(I130=1,PMT(Assumptions!$G$96,Assumptions!$G$98,$C132),I143))),0)</f>
        <v>0</v>
      </c>
      <c r="K143" s="39">
        <f>+IFERROR(-ABS(IF(EDATE(_xlfn.XLOOKUP(1,$H130:$BE130,$H$4:$BE$4),12*Assumptions!$G$98+12)=K$4,0,IF(J130=1,PMT(Assumptions!$G$96,Assumptions!$G$98,$C132),J143))),0)</f>
        <v>0</v>
      </c>
      <c r="L143" s="39">
        <f>+IFERROR(-ABS(IF(EDATE(_xlfn.XLOOKUP(1,$H130:$BE130,$H$4:$BE$4),12*Assumptions!$G$98+12)=L$4,0,IF(K130=1,PMT(Assumptions!$G$96,Assumptions!$G$98,$C132),K143))),0)</f>
        <v>0</v>
      </c>
      <c r="M143" s="39">
        <f>+IFERROR(-ABS(IF(EDATE(_xlfn.XLOOKUP(1,$H130:$BE130,$H$4:$BE$4),12*Assumptions!$G$98+12)=M$4,0,IF(L130=1,PMT(Assumptions!$G$96,Assumptions!$G$98,$C132),L143))),0)</f>
        <v>0</v>
      </c>
      <c r="N143" s="39">
        <f>+IFERROR(-ABS(IF(EDATE(_xlfn.XLOOKUP(1,$H130:$BE130,$H$4:$BE$4),12*Assumptions!$G$98+12)=N$4,0,IF(M130=1,PMT(Assumptions!$G$96,Assumptions!$G$98,$C132),M143))),0)</f>
        <v>0</v>
      </c>
      <c r="O143" s="39">
        <f>+IFERROR(-ABS(IF(EDATE(_xlfn.XLOOKUP(1,$H130:$BE130,$H$4:$BE$4),12*Assumptions!$G$98+12)=O$4,0,IF(N130=1,PMT(Assumptions!$G$96,Assumptions!$G$98,$C132),N143))),0)</f>
        <v>0</v>
      </c>
      <c r="P143" s="39">
        <f>+IFERROR(-ABS(IF(EDATE(_xlfn.XLOOKUP(1,$H130:$BE130,$H$4:$BE$4),12*Assumptions!$G$98+12)=P$4,0,IF(O130=1,PMT(Assumptions!$G$96,Assumptions!$G$98,$C132),O143))),0)</f>
        <v>0</v>
      </c>
      <c r="Q143" s="39">
        <f>+IFERROR(-ABS(IF(EDATE(_xlfn.XLOOKUP(1,$H130:$BE130,$H$4:$BE$4),12*Assumptions!$G$98+12)=Q$4,0,IF(P130=1,PMT(Assumptions!$G$96,Assumptions!$G$98,$C132),P143))),0)</f>
        <v>0</v>
      </c>
      <c r="R143" s="39">
        <f>+IFERROR(-ABS(IF(EDATE(_xlfn.XLOOKUP(1,$H130:$BE130,$H$4:$BE$4),12*Assumptions!$G$98+12)=R$4,0,IF(Q130=1,PMT(Assumptions!$G$96,Assumptions!$G$98,$C132),Q143))),0)</f>
        <v>0</v>
      </c>
      <c r="S143" s="39">
        <f>+IFERROR(-ABS(IF(EDATE(_xlfn.XLOOKUP(1,$H130:$BE130,$H$4:$BE$4),12*Assumptions!$G$98+12)=S$4,0,IF(R130=1,PMT(Assumptions!$G$96,Assumptions!$G$98,$C132),R143))),0)</f>
        <v>0</v>
      </c>
      <c r="T143" s="39">
        <f>+IFERROR(-ABS(IF(EDATE(_xlfn.XLOOKUP(1,$H130:$BE130,$H$4:$BE$4),12*Assumptions!$G$98+12)=T$4,0,IF(S130=1,PMT(Assumptions!$G$96,Assumptions!$G$98,$C132),S143))),0)</f>
        <v>0</v>
      </c>
      <c r="U143" s="39">
        <f>+IFERROR(-ABS(IF(EDATE(_xlfn.XLOOKUP(1,$H130:$BE130,$H$4:$BE$4),12*Assumptions!$G$98+12)=U$4,0,IF(T130=1,PMT(Assumptions!$G$96,Assumptions!$G$98,$C132),T143))),0)</f>
        <v>0</v>
      </c>
      <c r="V143" s="39">
        <f>+IFERROR(-ABS(IF(EDATE(_xlfn.XLOOKUP(1,$H130:$BE130,$H$4:$BE$4),12*Assumptions!$G$98+12)=V$4,0,IF(U130=1,PMT(Assumptions!$G$96,Assumptions!$G$98,$C132),U143))),0)</f>
        <v>0</v>
      </c>
      <c r="W143" s="39">
        <f>+IFERROR(-ABS(IF(EDATE(_xlfn.XLOOKUP(1,$H130:$BE130,$H$4:$BE$4),12*Assumptions!$G$98+12)=W$4,0,IF(V130=1,PMT(Assumptions!$G$96,Assumptions!$G$98,$C132),V143))),0)</f>
        <v>0</v>
      </c>
      <c r="X143" s="39">
        <f>+IFERROR(-ABS(IF(EDATE(_xlfn.XLOOKUP(1,$H130:$BE130,$H$4:$BE$4),12*Assumptions!$G$98+12)=X$4,0,IF(W130=1,PMT(Assumptions!$G$96,Assumptions!$G$98,$C132),W143))),0)</f>
        <v>0</v>
      </c>
      <c r="Y143" s="39">
        <f>+IFERROR(-ABS(IF(EDATE(_xlfn.XLOOKUP(1,$H130:$BE130,$H$4:$BE$4),12*Assumptions!$G$98+12)=Y$4,0,IF(X130=1,PMT(Assumptions!$G$96,Assumptions!$G$98,$C132),X143))),0)</f>
        <v>0</v>
      </c>
      <c r="Z143" s="39">
        <f>+IFERROR(-ABS(IF(EDATE(_xlfn.XLOOKUP(1,$H130:$BE130,$H$4:$BE$4),12*Assumptions!$G$98+12)=Z$4,0,IF(Y130=1,PMT(Assumptions!$G$96,Assumptions!$G$98,$C132),Y143))),0)</f>
        <v>0</v>
      </c>
      <c r="AA143" s="39">
        <f>+IFERROR(-ABS(IF(EDATE(_xlfn.XLOOKUP(1,$H130:$BE130,$H$4:$BE$4),12*Assumptions!$G$98+12)=AA$4,0,IF(Z130=1,PMT(Assumptions!$G$96,Assumptions!$G$98,$C132),Z143))),0)</f>
        <v>0</v>
      </c>
      <c r="AB143" s="39">
        <f>+IFERROR(-ABS(IF(EDATE(_xlfn.XLOOKUP(1,$H130:$BE130,$H$4:$BE$4),12*Assumptions!$G$98+12)=AB$4,0,IF(AA130=1,PMT(Assumptions!$G$96,Assumptions!$G$98,$C132),AA143))),0)</f>
        <v>0</v>
      </c>
      <c r="AC143" s="39">
        <f>+IFERROR(-ABS(IF(EDATE(_xlfn.XLOOKUP(1,$H130:$BE130,$H$4:$BE$4),12*Assumptions!$G$98+12)=AC$4,0,IF(AB130=1,PMT(Assumptions!$G$96,Assumptions!$G$98,$C132),AB143))),0)</f>
        <v>0</v>
      </c>
      <c r="AD143" s="39">
        <f>+IFERROR(-ABS(IF(EDATE(_xlfn.XLOOKUP(1,$H130:$BE130,$H$4:$BE$4),12*Assumptions!$G$98+12)=AD$4,0,IF(AC130=1,PMT(Assumptions!$G$96,Assumptions!$G$98,$C132),AC143))),0)</f>
        <v>0</v>
      </c>
      <c r="AE143" s="39">
        <f>+IFERROR(-ABS(IF(EDATE(_xlfn.XLOOKUP(1,$H130:$BE130,$H$4:$BE$4),12*Assumptions!$G$98+12)=AE$4,0,IF(AD130=1,PMT(Assumptions!$G$96,Assumptions!$G$98,$C132),AD143))),0)</f>
        <v>0</v>
      </c>
      <c r="AF143" s="39">
        <f>+IFERROR(-ABS(IF(EDATE(_xlfn.XLOOKUP(1,$H130:$BE130,$H$4:$BE$4),12*Assumptions!$G$98+12)=AF$4,0,IF(AE130=1,PMT(Assumptions!$G$96,Assumptions!$G$98,$C132),AE143))),0)</f>
        <v>0</v>
      </c>
      <c r="AG143" s="39">
        <f>+IFERROR(-ABS(IF(EDATE(_xlfn.XLOOKUP(1,$H130:$BE130,$H$4:$BE$4),12*Assumptions!$G$98+12)=AG$4,0,IF(AF130=1,PMT(Assumptions!$G$96,Assumptions!$G$98,$C132),AF143))),0)</f>
        <v>0</v>
      </c>
      <c r="AH143" s="39">
        <f>+IFERROR(-ABS(IF(EDATE(_xlfn.XLOOKUP(1,$H130:$BE130,$H$4:$BE$4),12*Assumptions!$G$98+12)=AH$4,0,IF(AG130=1,PMT(Assumptions!$G$96,Assumptions!$G$98,$C132),AG143))),0)</f>
        <v>0</v>
      </c>
      <c r="AI143" s="39">
        <f>+IFERROR(-ABS(IF(EDATE(_xlfn.XLOOKUP(1,$H130:$BE130,$H$4:$BE$4),12*Assumptions!$G$98+12)=AI$4,0,IF(AH130=1,PMT(Assumptions!$G$96,Assumptions!$G$98,$C132),AH143))),0)</f>
        <v>0</v>
      </c>
      <c r="AJ143" s="39">
        <f>+IFERROR(-ABS(IF(EDATE(_xlfn.XLOOKUP(1,$H130:$BE130,$H$4:$BE$4),12*Assumptions!$G$98+12)=AJ$4,0,IF(AI130=1,PMT(Assumptions!$G$96,Assumptions!$G$98,$C132),AI143))),0)</f>
        <v>0</v>
      </c>
      <c r="AK143" s="39">
        <f>+IFERROR(-ABS(IF(EDATE(_xlfn.XLOOKUP(1,$H130:$BE130,$H$4:$BE$4),12*Assumptions!$G$98+12)=AK$4,0,IF(AJ130=1,PMT(Assumptions!$G$96,Assumptions!$G$98,$C132),AJ143))),0)</f>
        <v>0</v>
      </c>
      <c r="AL143" s="39">
        <f>+IFERROR(-ABS(IF(EDATE(_xlfn.XLOOKUP(1,$H130:$BE130,$H$4:$BE$4),12*Assumptions!$G$98+12)=AL$4,0,IF(AK130=1,PMT(Assumptions!$G$96,Assumptions!$G$98,$C132),AK143))),0)</f>
        <v>0</v>
      </c>
      <c r="AM143" s="39">
        <f>+IFERROR(-ABS(IF(EDATE(_xlfn.XLOOKUP(1,$H130:$BE130,$H$4:$BE$4),12*Assumptions!$G$98+12)=AM$4,0,IF(AL130=1,PMT(Assumptions!$G$96,Assumptions!$G$98,$C132),AL143))),0)</f>
        <v>0</v>
      </c>
      <c r="AN143" s="39">
        <f>+IFERROR(-ABS(IF(EDATE(_xlfn.XLOOKUP(1,$H130:$BE130,$H$4:$BE$4),12*Assumptions!$G$98+12)=AN$4,0,IF(AM130=1,PMT(Assumptions!$G$96,Assumptions!$G$98,$C132),AM143))),0)</f>
        <v>0</v>
      </c>
      <c r="AO143" s="39">
        <f>+IFERROR(-ABS(IF(EDATE(_xlfn.XLOOKUP(1,$H130:$BE130,$H$4:$BE$4),12*Assumptions!$G$98+12)=AO$4,0,IF(AN130=1,PMT(Assumptions!$G$96,Assumptions!$G$98,$C132),AN143))),0)</f>
        <v>0</v>
      </c>
      <c r="AP143" s="39">
        <f>+IFERROR(-ABS(IF(EDATE(_xlfn.XLOOKUP(1,$H130:$BE130,$H$4:$BE$4),12*Assumptions!$G$98+12)=AP$4,0,IF(AO130=1,PMT(Assumptions!$G$96,Assumptions!$G$98,$C132),AO143))),0)</f>
        <v>0</v>
      </c>
      <c r="AQ143" s="39">
        <f>+IFERROR(-ABS(IF(EDATE(_xlfn.XLOOKUP(1,$H130:$BE130,$H$4:$BE$4),12*Assumptions!$G$98+12)=AQ$4,0,IF(AP130=1,PMT(Assumptions!$G$96,Assumptions!$G$98,$C132),AP143))),0)</f>
        <v>0</v>
      </c>
      <c r="AR143" s="39">
        <f>+IFERROR(-ABS(IF(EDATE(_xlfn.XLOOKUP(1,$H130:$BE130,$H$4:$BE$4),12*Assumptions!$G$98+12)=AR$4,0,IF(AQ130=1,PMT(Assumptions!$G$96,Assumptions!$G$98,$C132),AQ143))),0)</f>
        <v>0</v>
      </c>
      <c r="AS143" s="39">
        <f>+IFERROR(-ABS(IF(EDATE(_xlfn.XLOOKUP(1,$H130:$BE130,$H$4:$BE$4),12*Assumptions!$G$98+12)=AS$4,0,IF(AR130=1,PMT(Assumptions!$G$96,Assumptions!$G$98,$C132),AR143))),0)</f>
        <v>0</v>
      </c>
      <c r="AT143" s="39">
        <f>+IFERROR(-ABS(IF(EDATE(_xlfn.XLOOKUP(1,$H130:$BE130,$H$4:$BE$4),12*Assumptions!$G$98+12)=AT$4,0,IF(AS130=1,PMT(Assumptions!$G$96,Assumptions!$G$98,$C132),AS143))),0)</f>
        <v>0</v>
      </c>
      <c r="AU143" s="39">
        <f>+IFERROR(-ABS(IF(EDATE(_xlfn.XLOOKUP(1,$H130:$BE130,$H$4:$BE$4),12*Assumptions!$G$98+12)=AU$4,0,IF(AT130=1,PMT(Assumptions!$G$96,Assumptions!$G$98,$C132),AT143))),0)</f>
        <v>0</v>
      </c>
      <c r="AV143" s="39">
        <f>+IFERROR(-ABS(IF(EDATE(_xlfn.XLOOKUP(1,$H130:$BE130,$H$4:$BE$4),12*Assumptions!$G$98+12)=AV$4,0,IF(AU130=1,PMT(Assumptions!$G$96,Assumptions!$G$98,$C132),AU143))),0)</f>
        <v>0</v>
      </c>
      <c r="AW143" s="39">
        <f>+IFERROR(-ABS(IF(EDATE(_xlfn.XLOOKUP(1,$H130:$BE130,$H$4:$BE$4),12*Assumptions!$G$98+12)=AW$4,0,IF(AV130=1,PMT(Assumptions!$G$96,Assumptions!$G$98,$C132),AV143))),0)</f>
        <v>0</v>
      </c>
      <c r="AX143" s="39">
        <f>+IFERROR(-ABS(IF(EDATE(_xlfn.XLOOKUP(1,$H130:$BE130,$H$4:$BE$4),12*Assumptions!$G$98+12)=AX$4,0,IF(AW130=1,PMT(Assumptions!$G$96,Assumptions!$G$98,$C132),AW143))),0)</f>
        <v>0</v>
      </c>
      <c r="AY143" s="39">
        <f>+IFERROR(-ABS(IF(EDATE(_xlfn.XLOOKUP(1,$H130:$BE130,$H$4:$BE$4),12*Assumptions!$G$98+12)=AY$4,0,IF(AX130=1,PMT(Assumptions!$G$96,Assumptions!$G$98,$C132),AX143))),0)</f>
        <v>0</v>
      </c>
      <c r="AZ143" s="39">
        <f>+IFERROR(-ABS(IF(EDATE(_xlfn.XLOOKUP(1,$H130:$BE130,$H$4:$BE$4),12*Assumptions!$G$98+12)=AZ$4,0,IF(AY130=1,PMT(Assumptions!$G$96,Assumptions!$G$98,$C132),AY143))),0)</f>
        <v>0</v>
      </c>
      <c r="BA143" s="39">
        <f>+IFERROR(-ABS(IF(EDATE(_xlfn.XLOOKUP(1,$H130:$BE130,$H$4:$BE$4),12*Assumptions!$G$98+12)=BA$4,0,IF(AZ130=1,PMT(Assumptions!$G$96,Assumptions!$G$98,$C132),AZ143))),0)</f>
        <v>0</v>
      </c>
      <c r="BB143" s="39">
        <f>+IFERROR(-ABS(IF(EDATE(_xlfn.XLOOKUP(1,$H130:$BE130,$H$4:$BE$4),12*Assumptions!$G$98+12)=BB$4,0,IF(BA130=1,PMT(Assumptions!$G$96,Assumptions!$G$98,$C132),BA143))),0)</f>
        <v>0</v>
      </c>
      <c r="BC143" s="39">
        <f>+IFERROR(-ABS(IF(EDATE(_xlfn.XLOOKUP(1,$H130:$BE130,$H$4:$BE$4),12*Assumptions!$G$98+12)=BC$4,0,IF(BB130=1,PMT(Assumptions!$G$96,Assumptions!$G$98,$C132),BB143))),0)</f>
        <v>0</v>
      </c>
      <c r="BD143" s="39">
        <f>+IFERROR(-ABS(IF(EDATE(_xlfn.XLOOKUP(1,$H130:$BE130,$H$4:$BE$4),12*Assumptions!$G$98+12)=BD$4,0,IF(BC130=1,PMT(Assumptions!$G$96,Assumptions!$G$98,$C132),BC143))),0)</f>
        <v>0</v>
      </c>
      <c r="BE143" s="39">
        <f>+IFERROR(-ABS(IF(EDATE(_xlfn.XLOOKUP(1,$H130:$BE130,$H$4:$BE$4),12*Assumptions!$G$98+12)=BE$4,0,IF(BD130=1,PMT(Assumptions!$G$96,Assumptions!$G$98,$C132),BD143))),0)</f>
        <v>0</v>
      </c>
      <c r="BF143" s="39">
        <f>+IFERROR(-ABS(IF(EDATE(_xlfn.XLOOKUP(1,$H130:$BE130,$H$4:$BE$4),12*Assumptions!$G$98+12)=BF$4,0,IF(BE130=1,PMT(Assumptions!$G$96,Assumptions!$G$98,$C132),BE143))),0)</f>
        <v>0</v>
      </c>
      <c r="BG143" s="39">
        <f>+IFERROR(-ABS(IF(EDATE(_xlfn.XLOOKUP(1,$H130:$BE130,$H$4:$BE$4),12*Assumptions!$G$98+12)=BG$4,0,IF(BF130=1,PMT(Assumptions!$G$96,Assumptions!$G$98,$C132),BF143))),0)</f>
        <v>0</v>
      </c>
      <c r="BH143" s="39">
        <f>+IFERROR(-ABS(IF(EDATE(_xlfn.XLOOKUP(1,$H130:$BE130,$H$4:$BE$4),12*Assumptions!$G$98+12)=BH$4,0,IF(BG130=1,PMT(Assumptions!$G$96,Assumptions!$G$98,$C132),BG143))),0)</f>
        <v>0</v>
      </c>
      <c r="BI143" s="39">
        <f>+IFERROR(-ABS(IF(EDATE(_xlfn.XLOOKUP(1,$H130:$BE130,$H$4:$BE$4),12*Assumptions!$G$98+12)=BI$4,0,IF(BH130=1,PMT(Assumptions!$G$96,Assumptions!$G$98,$C132),BH143))),0)</f>
        <v>0</v>
      </c>
      <c r="BJ143" s="39">
        <f>+IFERROR(-ABS(IF(EDATE(_xlfn.XLOOKUP(1,$H130:$BE130,$H$4:$BE$4),12*Assumptions!$G$98+12)=BJ$4,0,IF(BI130=1,PMT(Assumptions!$G$96,Assumptions!$G$98,$C132),BI143))),0)</f>
        <v>0</v>
      </c>
      <c r="BK143" s="39">
        <f>+IFERROR(-ABS(IF(EDATE(_xlfn.XLOOKUP(1,$H130:$BE130,$H$4:$BE$4),12*Assumptions!$G$98+12)=BK$4,0,IF(BJ130=1,PMT(Assumptions!$G$96,Assumptions!$G$98,$C132),BJ143))),0)</f>
        <v>0</v>
      </c>
      <c r="BL143" s="39">
        <f>+IFERROR(-ABS(IF(EDATE(_xlfn.XLOOKUP(1,$H130:$BE130,$H$4:$BE$4),12*Assumptions!$G$98+12)=BL$4,0,IF(BK130=1,PMT(Assumptions!$G$96,Assumptions!$G$98,$C132),BK143))),0)</f>
        <v>0</v>
      </c>
      <c r="BM143" s="39">
        <f>+IFERROR(-ABS(IF(EDATE(_xlfn.XLOOKUP(1,$H130:$BE130,$H$4:$BE$4),12*Assumptions!$G$98+12)=BM$4,0,IF(BL130=1,PMT(Assumptions!$G$96,Assumptions!$G$98,$C132),BL143))),0)</f>
        <v>0</v>
      </c>
      <c r="BN143" s="39">
        <f>+IFERROR(-ABS(IF(EDATE(_xlfn.XLOOKUP(1,$H130:$BE130,$H$4:$BE$4),12*Assumptions!$G$98+12)=BN$4,0,IF(BM130=1,PMT(Assumptions!$G$96,Assumptions!$G$98,$C132),BM143))),0)</f>
        <v>0</v>
      </c>
      <c r="BO143" s="39">
        <f>+IFERROR(-ABS(IF(EDATE(_xlfn.XLOOKUP(1,$H130:$BE130,$H$4:$BE$4),12*Assumptions!$G$98+12)=BO$4,0,IF(BN130=1,PMT(Assumptions!$G$96,Assumptions!$G$98,$C132),BN143))),0)</f>
        <v>0</v>
      </c>
      <c r="BP143" s="39">
        <f>+IFERROR(-ABS(IF(EDATE(_xlfn.XLOOKUP(1,$H130:$BE130,$H$4:$BE$4),12*Assumptions!$G$98+12)=BP$4,0,IF(BO130=1,PMT(Assumptions!$G$96,Assumptions!$G$98,$C132),BO143))),0)</f>
        <v>0</v>
      </c>
      <c r="BQ143" s="39">
        <f>+IFERROR(-ABS(IF(EDATE(_xlfn.XLOOKUP(1,$H130:$BE130,$H$4:$BE$4),12*Assumptions!$G$98+12)=BQ$4,0,IF(BP130=1,PMT(Assumptions!$G$96,Assumptions!$G$98,$C132),BP143))),0)</f>
        <v>0</v>
      </c>
      <c r="BR143" s="39">
        <f>+IFERROR(-ABS(IF(EDATE(_xlfn.XLOOKUP(1,$H130:$BE130,$H$4:$BE$4),12*Assumptions!$G$98+12)=BR$4,0,IF(BQ130=1,PMT(Assumptions!$G$96,Assumptions!$G$98,$C132),BQ143))),0)</f>
        <v>0</v>
      </c>
      <c r="BS143" s="39">
        <f>+IFERROR(-ABS(IF(EDATE(_xlfn.XLOOKUP(1,$H130:$BE130,$H$4:$BE$4),12*Assumptions!$G$98+12)=BS$4,0,IF(BR130=1,PMT(Assumptions!$G$96,Assumptions!$G$98,$C132),BR143))),0)</f>
        <v>0</v>
      </c>
      <c r="BT143" s="39">
        <f>+IFERROR(-ABS(IF(EDATE(_xlfn.XLOOKUP(1,$H130:$BE130,$H$4:$BE$4),12*Assumptions!$G$98+12)=BT$4,0,IF(BS130=1,PMT(Assumptions!$G$96,Assumptions!$G$98,$C132),BS143))),0)</f>
        <v>0</v>
      </c>
      <c r="BU143" s="39">
        <f>+IFERROR(-ABS(IF(EDATE(_xlfn.XLOOKUP(1,$H130:$BE130,$H$4:$BE$4),12*Assumptions!$G$98+12)=BU$4,0,IF(BT130=1,PMT(Assumptions!$G$96,Assumptions!$G$98,$C132),BT143))),0)</f>
        <v>0</v>
      </c>
      <c r="BV143" s="39">
        <f>+IFERROR(-ABS(IF(EDATE(_xlfn.XLOOKUP(1,$H130:$BE130,$H$4:$BE$4),12*Assumptions!$G$98+12)=BV$4,0,IF(BU130=1,PMT(Assumptions!$G$96,Assumptions!$G$98,$C132),BU143))),0)</f>
        <v>0</v>
      </c>
      <c r="BW143" s="39">
        <f>+IFERROR(-ABS(IF(EDATE(_xlfn.XLOOKUP(1,$H130:$BE130,$H$4:$BE$4),12*Assumptions!$G$98+12)=BW$4,0,IF(BV130=1,PMT(Assumptions!$G$96,Assumptions!$G$98,$C132),BV143))),0)</f>
        <v>0</v>
      </c>
      <c r="BX143" s="39">
        <f>+IFERROR(-ABS(IF(EDATE(_xlfn.XLOOKUP(1,$H130:$BE130,$H$4:$BE$4),12*Assumptions!$G$98+12)=BX$4,0,IF(BW130=1,PMT(Assumptions!$G$96,Assumptions!$G$98,$C132),BW143))),0)</f>
        <v>0</v>
      </c>
      <c r="BY143" s="39">
        <f>+IFERROR(-ABS(IF(EDATE(_xlfn.XLOOKUP(1,$H130:$BE130,$H$4:$BE$4),12*Assumptions!$G$98+12)=BY$4,0,IF(BX130=1,PMT(Assumptions!$G$96,Assumptions!$G$98,$C132),BX143))),0)</f>
        <v>0</v>
      </c>
    </row>
    <row r="144" spans="3:77" outlineLevel="1">
      <c r="C144" s="31"/>
      <c r="E144" s="24" t="s">
        <v>515</v>
      </c>
      <c r="F144" s="80" t="str">
        <f>+Assumptions!$G$8</f>
        <v>USD</v>
      </c>
      <c r="G144" s="24"/>
      <c r="H144" s="39">
        <f>+IFERROR(-ABS(IF(EDATE(_xlfn.XLOOKUP(1,$H131:$BE131,$H$4:$BE$4),12*Assumptions!$G$98+12)=H$4,0,IF(G131=1,PMT(Assumptions!$G$96,Assumptions!$G$98,$C133),G144))),0)</f>
        <v>0</v>
      </c>
      <c r="I144" s="39">
        <f>+IFERROR(-ABS(IF(EDATE(_xlfn.XLOOKUP(1,$H131:$BE131,$H$4:$BE$4),12*Assumptions!$G$98+12)=I$4,0,IF(H131=1,PMT(Assumptions!$G$96,Assumptions!$G$98,$C133),H144))),0)</f>
        <v>0</v>
      </c>
      <c r="J144" s="39">
        <f>+IFERROR(-ABS(IF(EDATE(_xlfn.XLOOKUP(1,$H131:$BE131,$H$4:$BE$4),12*Assumptions!$G$98+12)=J$4,0,IF(I131=1,PMT(Assumptions!$G$96,Assumptions!$G$98,$C133),I144))),0)</f>
        <v>0</v>
      </c>
      <c r="K144" s="39">
        <f>+IFERROR(-ABS(IF(EDATE(_xlfn.XLOOKUP(1,$H131:$BE131,$H$4:$BE$4),12*Assumptions!$G$98+12)=K$4,0,IF(J131=1,PMT(Assumptions!$G$96,Assumptions!$G$98,$C133),J144))),0)</f>
        <v>0</v>
      </c>
      <c r="L144" s="39">
        <f>+IFERROR(-ABS(IF(EDATE(_xlfn.XLOOKUP(1,$H131:$BE131,$H$4:$BE$4),12*Assumptions!$G$98+12)=L$4,0,IF(K131=1,PMT(Assumptions!$G$96,Assumptions!$G$98,$C133),K144))),0)</f>
        <v>0</v>
      </c>
      <c r="M144" s="39">
        <f>+IFERROR(-ABS(IF(EDATE(_xlfn.XLOOKUP(1,$H131:$BE131,$H$4:$BE$4),12*Assumptions!$G$98+12)=M$4,0,IF(L131=1,PMT(Assumptions!$G$96,Assumptions!$G$98,$C133),L144))),0)</f>
        <v>0</v>
      </c>
      <c r="N144" s="39">
        <f>+IFERROR(-ABS(IF(EDATE(_xlfn.XLOOKUP(1,$H131:$BE131,$H$4:$BE$4),12*Assumptions!$G$98+12)=N$4,0,IF(M131=1,PMT(Assumptions!$G$96,Assumptions!$G$98,$C133),M144))),0)</f>
        <v>0</v>
      </c>
      <c r="O144" s="39">
        <f>+IFERROR(-ABS(IF(EDATE(_xlfn.XLOOKUP(1,$H131:$BE131,$H$4:$BE$4),12*Assumptions!$G$98+12)=O$4,0,IF(N131=1,PMT(Assumptions!$G$96,Assumptions!$G$98,$C133),N144))),0)</f>
        <v>0</v>
      </c>
      <c r="P144" s="39">
        <f>+IFERROR(-ABS(IF(EDATE(_xlfn.XLOOKUP(1,$H131:$BE131,$H$4:$BE$4),12*Assumptions!$G$98+12)=P$4,0,IF(O131=1,PMT(Assumptions!$G$96,Assumptions!$G$98,$C133),O144))),0)</f>
        <v>0</v>
      </c>
      <c r="Q144" s="39">
        <f>+IFERROR(-ABS(IF(EDATE(_xlfn.XLOOKUP(1,$H131:$BE131,$H$4:$BE$4),12*Assumptions!$G$98+12)=Q$4,0,IF(P131=1,PMT(Assumptions!$G$96,Assumptions!$G$98,$C133),P144))),0)</f>
        <v>0</v>
      </c>
      <c r="R144" s="39">
        <f>+IFERROR(-ABS(IF(EDATE(_xlfn.XLOOKUP(1,$H131:$BE131,$H$4:$BE$4),12*Assumptions!$G$98+12)=R$4,0,IF(Q131=1,PMT(Assumptions!$G$96,Assumptions!$G$98,$C133),Q144))),0)</f>
        <v>0</v>
      </c>
      <c r="S144" s="39">
        <f>+IFERROR(-ABS(IF(EDATE(_xlfn.XLOOKUP(1,$H131:$BE131,$H$4:$BE$4),12*Assumptions!$G$98+12)=S$4,0,IF(R131=1,PMT(Assumptions!$G$96,Assumptions!$G$98,$C133),R144))),0)</f>
        <v>0</v>
      </c>
      <c r="T144" s="39">
        <f>+IFERROR(-ABS(IF(EDATE(_xlfn.XLOOKUP(1,$H131:$BE131,$H$4:$BE$4),12*Assumptions!$G$98+12)=T$4,0,IF(S131=1,PMT(Assumptions!$G$96,Assumptions!$G$98,$C133),S144))),0)</f>
        <v>0</v>
      </c>
      <c r="U144" s="39">
        <f>+IFERROR(-ABS(IF(EDATE(_xlfn.XLOOKUP(1,$H131:$BE131,$H$4:$BE$4),12*Assumptions!$G$98+12)=U$4,0,IF(T131=1,PMT(Assumptions!$G$96,Assumptions!$G$98,$C133),T144))),0)</f>
        <v>0</v>
      </c>
      <c r="V144" s="39">
        <f>+IFERROR(-ABS(IF(EDATE(_xlfn.XLOOKUP(1,$H131:$BE131,$H$4:$BE$4),12*Assumptions!$G$98+12)=V$4,0,IF(U131=1,PMT(Assumptions!$G$96,Assumptions!$G$98,$C133),U144))),0)</f>
        <v>0</v>
      </c>
      <c r="W144" s="39">
        <f>+IFERROR(-ABS(IF(EDATE(_xlfn.XLOOKUP(1,$H131:$BE131,$H$4:$BE$4),12*Assumptions!$G$98+12)=W$4,0,IF(V131=1,PMT(Assumptions!$G$96,Assumptions!$G$98,$C133),V144))),0)</f>
        <v>0</v>
      </c>
      <c r="X144" s="39">
        <f>+IFERROR(-ABS(IF(EDATE(_xlfn.XLOOKUP(1,$H131:$BE131,$H$4:$BE$4),12*Assumptions!$G$98+12)=X$4,0,IF(W131=1,PMT(Assumptions!$G$96,Assumptions!$G$98,$C133),W144))),0)</f>
        <v>0</v>
      </c>
      <c r="Y144" s="39">
        <f>+IFERROR(-ABS(IF(EDATE(_xlfn.XLOOKUP(1,$H131:$BE131,$H$4:$BE$4),12*Assumptions!$G$98+12)=Y$4,0,IF(X131=1,PMT(Assumptions!$G$96,Assumptions!$G$98,$C133),X144))),0)</f>
        <v>0</v>
      </c>
      <c r="Z144" s="39">
        <f>+IFERROR(-ABS(IF(EDATE(_xlfn.XLOOKUP(1,$H131:$BE131,$H$4:$BE$4),12*Assumptions!$G$98+12)=Z$4,0,IF(Y131=1,PMT(Assumptions!$G$96,Assumptions!$G$98,$C133),Y144))),0)</f>
        <v>0</v>
      </c>
      <c r="AA144" s="39">
        <f>+IFERROR(-ABS(IF(EDATE(_xlfn.XLOOKUP(1,$H131:$BE131,$H$4:$BE$4),12*Assumptions!$G$98+12)=AA$4,0,IF(Z131=1,PMT(Assumptions!$G$96,Assumptions!$G$98,$C133),Z144))),0)</f>
        <v>0</v>
      </c>
      <c r="AB144" s="39">
        <f>+IFERROR(-ABS(IF(EDATE(_xlfn.XLOOKUP(1,$H131:$BE131,$H$4:$BE$4),12*Assumptions!$G$98+12)=AB$4,0,IF(AA131=1,PMT(Assumptions!$G$96,Assumptions!$G$98,$C133),AA144))),0)</f>
        <v>0</v>
      </c>
      <c r="AC144" s="39">
        <f>+IFERROR(-ABS(IF(EDATE(_xlfn.XLOOKUP(1,$H131:$BE131,$H$4:$BE$4),12*Assumptions!$G$98+12)=AC$4,0,IF(AB131=1,PMT(Assumptions!$G$96,Assumptions!$G$98,$C133),AB144))),0)</f>
        <v>0</v>
      </c>
      <c r="AD144" s="39">
        <f>+IFERROR(-ABS(IF(EDATE(_xlfn.XLOOKUP(1,$H131:$BE131,$H$4:$BE$4),12*Assumptions!$G$98+12)=AD$4,0,IF(AC131=1,PMT(Assumptions!$G$96,Assumptions!$G$98,$C133),AC144))),0)</f>
        <v>0</v>
      </c>
      <c r="AE144" s="39">
        <f>+IFERROR(-ABS(IF(EDATE(_xlfn.XLOOKUP(1,$H131:$BE131,$H$4:$BE$4),12*Assumptions!$G$98+12)=AE$4,0,IF(AD131=1,PMT(Assumptions!$G$96,Assumptions!$G$98,$C133),AD144))),0)</f>
        <v>0</v>
      </c>
      <c r="AF144" s="39">
        <f>+IFERROR(-ABS(IF(EDATE(_xlfn.XLOOKUP(1,$H131:$BE131,$H$4:$BE$4),12*Assumptions!$G$98+12)=AF$4,0,IF(AE131=1,PMT(Assumptions!$G$96,Assumptions!$G$98,$C133),AE144))),0)</f>
        <v>0</v>
      </c>
      <c r="AG144" s="39">
        <f>+IFERROR(-ABS(IF(EDATE(_xlfn.XLOOKUP(1,$H131:$BE131,$H$4:$BE$4),12*Assumptions!$G$98+12)=AG$4,0,IF(AF131=1,PMT(Assumptions!$G$96,Assumptions!$G$98,$C133),AF144))),0)</f>
        <v>0</v>
      </c>
      <c r="AH144" s="39">
        <f>+IFERROR(-ABS(IF(EDATE(_xlfn.XLOOKUP(1,$H131:$BE131,$H$4:$BE$4),12*Assumptions!$G$98+12)=AH$4,0,IF(AG131=1,PMT(Assumptions!$G$96,Assumptions!$G$98,$C133),AG144))),0)</f>
        <v>0</v>
      </c>
      <c r="AI144" s="39">
        <f>+IFERROR(-ABS(IF(EDATE(_xlfn.XLOOKUP(1,$H131:$BE131,$H$4:$BE$4),12*Assumptions!$G$98+12)=AI$4,0,IF(AH131=1,PMT(Assumptions!$G$96,Assumptions!$G$98,$C133),AH144))),0)</f>
        <v>0</v>
      </c>
      <c r="AJ144" s="39">
        <f>+IFERROR(-ABS(IF(EDATE(_xlfn.XLOOKUP(1,$H131:$BE131,$H$4:$BE$4),12*Assumptions!$G$98+12)=AJ$4,0,IF(AI131=1,PMT(Assumptions!$G$96,Assumptions!$G$98,$C133),AI144))),0)</f>
        <v>0</v>
      </c>
      <c r="AK144" s="39">
        <f>+IFERROR(-ABS(IF(EDATE(_xlfn.XLOOKUP(1,$H131:$BE131,$H$4:$BE$4),12*Assumptions!$G$98+12)=AK$4,0,IF(AJ131=1,PMT(Assumptions!$G$96,Assumptions!$G$98,$C133),AJ144))),0)</f>
        <v>0</v>
      </c>
      <c r="AL144" s="39">
        <f>+IFERROR(-ABS(IF(EDATE(_xlfn.XLOOKUP(1,$H131:$BE131,$H$4:$BE$4),12*Assumptions!$G$98+12)=AL$4,0,IF(AK131=1,PMT(Assumptions!$G$96,Assumptions!$G$98,$C133),AK144))),0)</f>
        <v>0</v>
      </c>
      <c r="AM144" s="39">
        <f>+IFERROR(-ABS(IF(EDATE(_xlfn.XLOOKUP(1,$H131:$BE131,$H$4:$BE$4),12*Assumptions!$G$98+12)=AM$4,0,IF(AL131=1,PMT(Assumptions!$G$96,Assumptions!$G$98,$C133),AL144))),0)</f>
        <v>0</v>
      </c>
      <c r="AN144" s="39">
        <f>+IFERROR(-ABS(IF(EDATE(_xlfn.XLOOKUP(1,$H131:$BE131,$H$4:$BE$4),12*Assumptions!$G$98+12)=AN$4,0,IF(AM131=1,PMT(Assumptions!$G$96,Assumptions!$G$98,$C133),AM144))),0)</f>
        <v>0</v>
      </c>
      <c r="AO144" s="39">
        <f>+IFERROR(-ABS(IF(EDATE(_xlfn.XLOOKUP(1,$H131:$BE131,$H$4:$BE$4),12*Assumptions!$G$98+12)=AO$4,0,IF(AN131=1,PMT(Assumptions!$G$96,Assumptions!$G$98,$C133),AN144))),0)</f>
        <v>0</v>
      </c>
      <c r="AP144" s="39">
        <f>+IFERROR(-ABS(IF(EDATE(_xlfn.XLOOKUP(1,$H131:$BE131,$H$4:$BE$4),12*Assumptions!$G$98+12)=AP$4,0,IF(AO131=1,PMT(Assumptions!$G$96,Assumptions!$G$98,$C133),AO144))),0)</f>
        <v>0</v>
      </c>
      <c r="AQ144" s="39">
        <f>+IFERROR(-ABS(IF(EDATE(_xlfn.XLOOKUP(1,$H131:$BE131,$H$4:$BE$4),12*Assumptions!$G$98+12)=AQ$4,0,IF(AP131=1,PMT(Assumptions!$G$96,Assumptions!$G$98,$C133),AP144))),0)</f>
        <v>0</v>
      </c>
      <c r="AR144" s="39">
        <f>+IFERROR(-ABS(IF(EDATE(_xlfn.XLOOKUP(1,$H131:$BE131,$H$4:$BE$4),12*Assumptions!$G$98+12)=AR$4,0,IF(AQ131=1,PMT(Assumptions!$G$96,Assumptions!$G$98,$C133),AQ144))),0)</f>
        <v>0</v>
      </c>
      <c r="AS144" s="39">
        <f>+IFERROR(-ABS(IF(EDATE(_xlfn.XLOOKUP(1,$H131:$BE131,$H$4:$BE$4),12*Assumptions!$G$98+12)=AS$4,0,IF(AR131=1,PMT(Assumptions!$G$96,Assumptions!$G$98,$C133),AR144))),0)</f>
        <v>0</v>
      </c>
      <c r="AT144" s="39">
        <f>+IFERROR(-ABS(IF(EDATE(_xlfn.XLOOKUP(1,$H131:$BE131,$H$4:$BE$4),12*Assumptions!$G$98+12)=AT$4,0,IF(AS131=1,PMT(Assumptions!$G$96,Assumptions!$G$98,$C133),AS144))),0)</f>
        <v>0</v>
      </c>
      <c r="AU144" s="39">
        <f>+IFERROR(-ABS(IF(EDATE(_xlfn.XLOOKUP(1,$H131:$BE131,$H$4:$BE$4),12*Assumptions!$G$98+12)=AU$4,0,IF(AT131=1,PMT(Assumptions!$G$96,Assumptions!$G$98,$C133),AT144))),0)</f>
        <v>0</v>
      </c>
      <c r="AV144" s="39">
        <f>+IFERROR(-ABS(IF(EDATE(_xlfn.XLOOKUP(1,$H131:$BE131,$H$4:$BE$4),12*Assumptions!$G$98+12)=AV$4,0,IF(AU131=1,PMT(Assumptions!$G$96,Assumptions!$G$98,$C133),AU144))),0)</f>
        <v>0</v>
      </c>
      <c r="AW144" s="39">
        <f>+IFERROR(-ABS(IF(EDATE(_xlfn.XLOOKUP(1,$H131:$BE131,$H$4:$BE$4),12*Assumptions!$G$98+12)=AW$4,0,IF(AV131=1,PMT(Assumptions!$G$96,Assumptions!$G$98,$C133),AV144))),0)</f>
        <v>0</v>
      </c>
      <c r="AX144" s="39">
        <f>+IFERROR(-ABS(IF(EDATE(_xlfn.XLOOKUP(1,$H131:$BE131,$H$4:$BE$4),12*Assumptions!$G$98+12)=AX$4,0,IF(AW131=1,PMT(Assumptions!$G$96,Assumptions!$G$98,$C133),AW144))),0)</f>
        <v>0</v>
      </c>
      <c r="AY144" s="39">
        <f>+IFERROR(-ABS(IF(EDATE(_xlfn.XLOOKUP(1,$H131:$BE131,$H$4:$BE$4),12*Assumptions!$G$98+12)=AY$4,0,IF(AX131=1,PMT(Assumptions!$G$96,Assumptions!$G$98,$C133),AX144))),0)</f>
        <v>0</v>
      </c>
      <c r="AZ144" s="39">
        <f>+IFERROR(-ABS(IF(EDATE(_xlfn.XLOOKUP(1,$H131:$BE131,$H$4:$BE$4),12*Assumptions!$G$98+12)=AZ$4,0,IF(AY131=1,PMT(Assumptions!$G$96,Assumptions!$G$98,$C133),AY144))),0)</f>
        <v>0</v>
      </c>
      <c r="BA144" s="39">
        <f>+IFERROR(-ABS(IF(EDATE(_xlfn.XLOOKUP(1,$H131:$BE131,$H$4:$BE$4),12*Assumptions!$G$98+12)=BA$4,0,IF(AZ131=1,PMT(Assumptions!$G$96,Assumptions!$G$98,$C133),AZ144))),0)</f>
        <v>0</v>
      </c>
      <c r="BB144" s="39">
        <f>+IFERROR(-ABS(IF(EDATE(_xlfn.XLOOKUP(1,$H131:$BE131,$H$4:$BE$4),12*Assumptions!$G$98+12)=BB$4,0,IF(BA131=1,PMT(Assumptions!$G$96,Assumptions!$G$98,$C133),BA144))),0)</f>
        <v>0</v>
      </c>
      <c r="BC144" s="39">
        <f>+IFERROR(-ABS(IF(EDATE(_xlfn.XLOOKUP(1,$H131:$BE131,$H$4:$BE$4),12*Assumptions!$G$98+12)=BC$4,0,IF(BB131=1,PMT(Assumptions!$G$96,Assumptions!$G$98,$C133),BB144))),0)</f>
        <v>0</v>
      </c>
      <c r="BD144" s="39">
        <f>+IFERROR(-ABS(IF(EDATE(_xlfn.XLOOKUP(1,$H131:$BE131,$H$4:$BE$4),12*Assumptions!$G$98+12)=BD$4,0,IF(BC131=1,PMT(Assumptions!$G$96,Assumptions!$G$98,$C133),BC144))),0)</f>
        <v>0</v>
      </c>
      <c r="BE144" s="39">
        <f>+IFERROR(-ABS(IF(EDATE(_xlfn.XLOOKUP(1,$H131:$BE131,$H$4:$BE$4),12*Assumptions!$G$98+12)=BE$4,0,IF(BD131=1,PMT(Assumptions!$G$96,Assumptions!$G$98,$C133),BD144))),0)</f>
        <v>0</v>
      </c>
      <c r="BF144" s="39">
        <f>+IFERROR(-ABS(IF(EDATE(_xlfn.XLOOKUP(1,$H131:$BE131,$H$4:$BE$4),12*Assumptions!$G$98+12)=BF$4,0,IF(BE131=1,PMT(Assumptions!$G$96,Assumptions!$G$98,$C133),BE144))),0)</f>
        <v>0</v>
      </c>
      <c r="BG144" s="39">
        <f>+IFERROR(-ABS(IF(EDATE(_xlfn.XLOOKUP(1,$H131:$BE131,$H$4:$BE$4),12*Assumptions!$G$98+12)=BG$4,0,IF(BF131=1,PMT(Assumptions!$G$96,Assumptions!$G$98,$C133),BF144))),0)</f>
        <v>0</v>
      </c>
      <c r="BH144" s="39">
        <f>+IFERROR(-ABS(IF(EDATE(_xlfn.XLOOKUP(1,$H131:$BE131,$H$4:$BE$4),12*Assumptions!$G$98+12)=BH$4,0,IF(BG131=1,PMT(Assumptions!$G$96,Assumptions!$G$98,$C133),BG144))),0)</f>
        <v>0</v>
      </c>
      <c r="BI144" s="39">
        <f>+IFERROR(-ABS(IF(EDATE(_xlfn.XLOOKUP(1,$H131:$BE131,$H$4:$BE$4),12*Assumptions!$G$98+12)=BI$4,0,IF(BH131=1,PMT(Assumptions!$G$96,Assumptions!$G$98,$C133),BH144))),0)</f>
        <v>0</v>
      </c>
      <c r="BJ144" s="39">
        <f>+IFERROR(-ABS(IF(EDATE(_xlfn.XLOOKUP(1,$H131:$BE131,$H$4:$BE$4),12*Assumptions!$G$98+12)=BJ$4,0,IF(BI131=1,PMT(Assumptions!$G$96,Assumptions!$G$98,$C133),BI144))),0)</f>
        <v>0</v>
      </c>
      <c r="BK144" s="39">
        <f>+IFERROR(-ABS(IF(EDATE(_xlfn.XLOOKUP(1,$H131:$BE131,$H$4:$BE$4),12*Assumptions!$G$98+12)=BK$4,0,IF(BJ131=1,PMT(Assumptions!$G$96,Assumptions!$G$98,$C133),BJ144))),0)</f>
        <v>0</v>
      </c>
      <c r="BL144" s="39">
        <f>+IFERROR(-ABS(IF(EDATE(_xlfn.XLOOKUP(1,$H131:$BE131,$H$4:$BE$4),12*Assumptions!$G$98+12)=BL$4,0,IF(BK131=1,PMT(Assumptions!$G$96,Assumptions!$G$98,$C133),BK144))),0)</f>
        <v>0</v>
      </c>
      <c r="BM144" s="39">
        <f>+IFERROR(-ABS(IF(EDATE(_xlfn.XLOOKUP(1,$H131:$BE131,$H$4:$BE$4),12*Assumptions!$G$98+12)=BM$4,0,IF(BL131=1,PMT(Assumptions!$G$96,Assumptions!$G$98,$C133),BL144))),0)</f>
        <v>0</v>
      </c>
      <c r="BN144" s="39">
        <f>+IFERROR(-ABS(IF(EDATE(_xlfn.XLOOKUP(1,$H131:$BE131,$H$4:$BE$4),12*Assumptions!$G$98+12)=BN$4,0,IF(BM131=1,PMT(Assumptions!$G$96,Assumptions!$G$98,$C133),BM144))),0)</f>
        <v>0</v>
      </c>
      <c r="BO144" s="39">
        <f>+IFERROR(-ABS(IF(EDATE(_xlfn.XLOOKUP(1,$H131:$BE131,$H$4:$BE$4),12*Assumptions!$G$98+12)=BO$4,0,IF(BN131=1,PMT(Assumptions!$G$96,Assumptions!$G$98,$C133),BN144))),0)</f>
        <v>0</v>
      </c>
      <c r="BP144" s="39">
        <f>+IFERROR(-ABS(IF(EDATE(_xlfn.XLOOKUP(1,$H131:$BE131,$H$4:$BE$4),12*Assumptions!$G$98+12)=BP$4,0,IF(BO131=1,PMT(Assumptions!$G$96,Assumptions!$G$98,$C133),BO144))),0)</f>
        <v>0</v>
      </c>
      <c r="BQ144" s="39">
        <f>+IFERROR(-ABS(IF(EDATE(_xlfn.XLOOKUP(1,$H131:$BE131,$H$4:$BE$4),12*Assumptions!$G$98+12)=BQ$4,0,IF(BP131=1,PMT(Assumptions!$G$96,Assumptions!$G$98,$C133),BP144))),0)</f>
        <v>0</v>
      </c>
      <c r="BR144" s="39">
        <f>+IFERROR(-ABS(IF(EDATE(_xlfn.XLOOKUP(1,$H131:$BE131,$H$4:$BE$4),12*Assumptions!$G$98+12)=BR$4,0,IF(BQ131=1,PMT(Assumptions!$G$96,Assumptions!$G$98,$C133),BQ144))),0)</f>
        <v>0</v>
      </c>
      <c r="BS144" s="39">
        <f>+IFERROR(-ABS(IF(EDATE(_xlfn.XLOOKUP(1,$H131:$BE131,$H$4:$BE$4),12*Assumptions!$G$98+12)=BS$4,0,IF(BR131=1,PMT(Assumptions!$G$96,Assumptions!$G$98,$C133),BR144))),0)</f>
        <v>0</v>
      </c>
      <c r="BT144" s="39">
        <f>+IFERROR(-ABS(IF(EDATE(_xlfn.XLOOKUP(1,$H131:$BE131,$H$4:$BE$4),12*Assumptions!$G$98+12)=BT$4,0,IF(BS131=1,PMT(Assumptions!$G$96,Assumptions!$G$98,$C133),BS144))),0)</f>
        <v>0</v>
      </c>
      <c r="BU144" s="39">
        <f>+IFERROR(-ABS(IF(EDATE(_xlfn.XLOOKUP(1,$H131:$BE131,$H$4:$BE$4),12*Assumptions!$G$98+12)=BU$4,0,IF(BT131=1,PMT(Assumptions!$G$96,Assumptions!$G$98,$C133),BT144))),0)</f>
        <v>0</v>
      </c>
      <c r="BV144" s="39">
        <f>+IFERROR(-ABS(IF(EDATE(_xlfn.XLOOKUP(1,$H131:$BE131,$H$4:$BE$4),12*Assumptions!$G$98+12)=BV$4,0,IF(BU131=1,PMT(Assumptions!$G$96,Assumptions!$G$98,$C133),BU144))),0)</f>
        <v>0</v>
      </c>
      <c r="BW144" s="39">
        <f>+IFERROR(-ABS(IF(EDATE(_xlfn.XLOOKUP(1,$H131:$BE131,$H$4:$BE$4),12*Assumptions!$G$98+12)=BW$4,0,IF(BV131=1,PMT(Assumptions!$G$96,Assumptions!$G$98,$C133),BV144))),0)</f>
        <v>0</v>
      </c>
      <c r="BX144" s="39">
        <f>+IFERROR(-ABS(IF(EDATE(_xlfn.XLOOKUP(1,$H131:$BE131,$H$4:$BE$4),12*Assumptions!$G$98+12)=BX$4,0,IF(BW131=1,PMT(Assumptions!$G$96,Assumptions!$G$98,$C133),BW144))),0)</f>
        <v>0</v>
      </c>
      <c r="BY144" s="39">
        <f>+IFERROR(-ABS(IF(EDATE(_xlfn.XLOOKUP(1,$H131:$BE131,$H$4:$BE$4),12*Assumptions!$G$98+12)=BY$4,0,IF(BX131=1,PMT(Assumptions!$G$96,Assumptions!$G$98,$C133),BX144))),0)</f>
        <v>0</v>
      </c>
    </row>
    <row r="145" spans="2:77" outlineLevel="1">
      <c r="E145" s="24" t="s">
        <v>516</v>
      </c>
      <c r="F145" s="80" t="str">
        <f>+Assumptions!$G$8</f>
        <v>USD</v>
      </c>
      <c r="G145" s="24"/>
      <c r="H145" s="39">
        <f>+IFERROR(-ABS(IF(EDATE(_xlfn.XLOOKUP(1,$H132:$BE132,$H$4:$BE$4),12*Assumptions!$G$98+12)=H$4,0,IF(G132=1,PMT(Assumptions!$G$96,Assumptions!$G$98,$C134),G145))),0)</f>
        <v>0</v>
      </c>
      <c r="I145" s="39">
        <f>+IFERROR(-ABS(IF(EDATE(_xlfn.XLOOKUP(1,$H132:$BE132,$H$4:$BE$4),12*Assumptions!$G$98+12)=I$4,0,IF(H132=1,PMT(Assumptions!$G$96,Assumptions!$G$98,$C134),H145))),0)</f>
        <v>0</v>
      </c>
      <c r="J145" s="39">
        <f>+IFERROR(-ABS(IF(EDATE(_xlfn.XLOOKUP(1,$H132:$BE132,$H$4:$BE$4),12*Assumptions!$G$98+12)=J$4,0,IF(I132=1,PMT(Assumptions!$G$96,Assumptions!$G$98,$C134),I145))),0)</f>
        <v>0</v>
      </c>
      <c r="K145" s="39">
        <f>+IFERROR(-ABS(IF(EDATE(_xlfn.XLOOKUP(1,$H132:$BE132,$H$4:$BE$4),12*Assumptions!$G$98+12)=K$4,0,IF(J132=1,PMT(Assumptions!$G$96,Assumptions!$G$98,$C134),J145))),0)</f>
        <v>0</v>
      </c>
      <c r="L145" s="39">
        <f>+IFERROR(-ABS(IF(EDATE(_xlfn.XLOOKUP(1,$H132:$BE132,$H$4:$BE$4),12*Assumptions!$G$98+12)=L$4,0,IF(K132=1,PMT(Assumptions!$G$96,Assumptions!$G$98,$C134),K145))),0)</f>
        <v>0</v>
      </c>
      <c r="M145" s="39">
        <f>+IFERROR(-ABS(IF(EDATE(_xlfn.XLOOKUP(1,$H132:$BE132,$H$4:$BE$4),12*Assumptions!$G$98+12)=M$4,0,IF(L132=1,PMT(Assumptions!$G$96,Assumptions!$G$98,$C134),L145))),0)</f>
        <v>0</v>
      </c>
      <c r="N145" s="39">
        <f>+IFERROR(-ABS(IF(EDATE(_xlfn.XLOOKUP(1,$H132:$BE132,$H$4:$BE$4),12*Assumptions!$G$98+12)=N$4,0,IF(M132=1,PMT(Assumptions!$G$96,Assumptions!$G$98,$C134),M145))),0)</f>
        <v>0</v>
      </c>
      <c r="O145" s="39">
        <f>+IFERROR(-ABS(IF(EDATE(_xlfn.XLOOKUP(1,$H132:$BE132,$H$4:$BE$4),12*Assumptions!$G$98+12)=O$4,0,IF(N132=1,PMT(Assumptions!$G$96,Assumptions!$G$98,$C134),N145))),0)</f>
        <v>0</v>
      </c>
      <c r="P145" s="39">
        <f>+IFERROR(-ABS(IF(EDATE(_xlfn.XLOOKUP(1,$H132:$BE132,$H$4:$BE$4),12*Assumptions!$G$98+12)=P$4,0,IF(O132=1,PMT(Assumptions!$G$96,Assumptions!$G$98,$C134),O145))),0)</f>
        <v>0</v>
      </c>
      <c r="Q145" s="39">
        <f>+IFERROR(-ABS(IF(EDATE(_xlfn.XLOOKUP(1,$H132:$BE132,$H$4:$BE$4),12*Assumptions!$G$98+12)=Q$4,0,IF(P132=1,PMT(Assumptions!$G$96,Assumptions!$G$98,$C134),P145))),0)</f>
        <v>0</v>
      </c>
      <c r="R145" s="39">
        <f>+IFERROR(-ABS(IF(EDATE(_xlfn.XLOOKUP(1,$H132:$BE132,$H$4:$BE$4),12*Assumptions!$G$98+12)=R$4,0,IF(Q132=1,PMT(Assumptions!$G$96,Assumptions!$G$98,$C134),Q145))),0)</f>
        <v>0</v>
      </c>
      <c r="S145" s="39">
        <f>+IFERROR(-ABS(IF(EDATE(_xlfn.XLOOKUP(1,$H132:$BE132,$H$4:$BE$4),12*Assumptions!$G$98+12)=S$4,0,IF(R132=1,PMT(Assumptions!$G$96,Assumptions!$G$98,$C134),R145))),0)</f>
        <v>0</v>
      </c>
      <c r="T145" s="39">
        <f>+IFERROR(-ABS(IF(EDATE(_xlfn.XLOOKUP(1,$H132:$BE132,$H$4:$BE$4),12*Assumptions!$G$98+12)=T$4,0,IF(S132=1,PMT(Assumptions!$G$96,Assumptions!$G$98,$C134),S145))),0)</f>
        <v>0</v>
      </c>
      <c r="U145" s="39">
        <f>+IFERROR(-ABS(IF(EDATE(_xlfn.XLOOKUP(1,$H132:$BE132,$H$4:$BE$4),12*Assumptions!$G$98+12)=U$4,0,IF(T132=1,PMT(Assumptions!$G$96,Assumptions!$G$98,$C134),T145))),0)</f>
        <v>0</v>
      </c>
      <c r="V145" s="39">
        <f>+IFERROR(-ABS(IF(EDATE(_xlfn.XLOOKUP(1,$H132:$BE132,$H$4:$BE$4),12*Assumptions!$G$98+12)=V$4,0,IF(U132=1,PMT(Assumptions!$G$96,Assumptions!$G$98,$C134),U145))),0)</f>
        <v>0</v>
      </c>
      <c r="W145" s="39">
        <f>+IFERROR(-ABS(IF(EDATE(_xlfn.XLOOKUP(1,$H132:$BE132,$H$4:$BE$4),12*Assumptions!$G$98+12)=W$4,0,IF(V132=1,PMT(Assumptions!$G$96,Assumptions!$G$98,$C134),V145))),0)</f>
        <v>0</v>
      </c>
      <c r="X145" s="39">
        <f>+IFERROR(-ABS(IF(EDATE(_xlfn.XLOOKUP(1,$H132:$BE132,$H$4:$BE$4),12*Assumptions!$G$98+12)=X$4,0,IF(W132=1,PMT(Assumptions!$G$96,Assumptions!$G$98,$C134),W145))),0)</f>
        <v>0</v>
      </c>
      <c r="Y145" s="39">
        <f>+IFERROR(-ABS(IF(EDATE(_xlfn.XLOOKUP(1,$H132:$BE132,$H$4:$BE$4),12*Assumptions!$G$98+12)=Y$4,0,IF(X132=1,PMT(Assumptions!$G$96,Assumptions!$G$98,$C134),X145))),0)</f>
        <v>0</v>
      </c>
      <c r="Z145" s="39">
        <f>+IFERROR(-ABS(IF(EDATE(_xlfn.XLOOKUP(1,$H132:$BE132,$H$4:$BE$4),12*Assumptions!$G$98+12)=Z$4,0,IF(Y132=1,PMT(Assumptions!$G$96,Assumptions!$G$98,$C134),Y145))),0)</f>
        <v>0</v>
      </c>
      <c r="AA145" s="39">
        <f>+IFERROR(-ABS(IF(EDATE(_xlfn.XLOOKUP(1,$H132:$BE132,$H$4:$BE$4),12*Assumptions!$G$98+12)=AA$4,0,IF(Z132=1,PMT(Assumptions!$G$96,Assumptions!$G$98,$C134),Z145))),0)</f>
        <v>0</v>
      </c>
      <c r="AB145" s="39">
        <f>+IFERROR(-ABS(IF(EDATE(_xlfn.XLOOKUP(1,$H132:$BE132,$H$4:$BE$4),12*Assumptions!$G$98+12)=AB$4,0,IF(AA132=1,PMT(Assumptions!$G$96,Assumptions!$G$98,$C134),AA145))),0)</f>
        <v>0</v>
      </c>
      <c r="AC145" s="39">
        <f>+IFERROR(-ABS(IF(EDATE(_xlfn.XLOOKUP(1,$H132:$BE132,$H$4:$BE$4),12*Assumptions!$G$98+12)=AC$4,0,IF(AB132=1,PMT(Assumptions!$G$96,Assumptions!$G$98,$C134),AB145))),0)</f>
        <v>0</v>
      </c>
      <c r="AD145" s="39">
        <f>+IFERROR(-ABS(IF(EDATE(_xlfn.XLOOKUP(1,$H132:$BE132,$H$4:$BE$4),12*Assumptions!$G$98+12)=AD$4,0,IF(AC132=1,PMT(Assumptions!$G$96,Assumptions!$G$98,$C134),AC145))),0)</f>
        <v>0</v>
      </c>
      <c r="AE145" s="39">
        <f>+IFERROR(-ABS(IF(EDATE(_xlfn.XLOOKUP(1,$H132:$BE132,$H$4:$BE$4),12*Assumptions!$G$98+12)=AE$4,0,IF(AD132=1,PMT(Assumptions!$G$96,Assumptions!$G$98,$C134),AD145))),0)</f>
        <v>0</v>
      </c>
      <c r="AF145" s="39">
        <f>+IFERROR(-ABS(IF(EDATE(_xlfn.XLOOKUP(1,$H132:$BE132,$H$4:$BE$4),12*Assumptions!$G$98+12)=AF$4,0,IF(AE132=1,PMT(Assumptions!$G$96,Assumptions!$G$98,$C134),AE145))),0)</f>
        <v>0</v>
      </c>
      <c r="AG145" s="39">
        <f>+IFERROR(-ABS(IF(EDATE(_xlfn.XLOOKUP(1,$H132:$BE132,$H$4:$BE$4),12*Assumptions!$G$98+12)=AG$4,0,IF(AF132=1,PMT(Assumptions!$G$96,Assumptions!$G$98,$C134),AF145))),0)</f>
        <v>0</v>
      </c>
      <c r="AH145" s="39">
        <f>+IFERROR(-ABS(IF(EDATE(_xlfn.XLOOKUP(1,$H132:$BE132,$H$4:$BE$4),12*Assumptions!$G$98+12)=AH$4,0,IF(AG132=1,PMT(Assumptions!$G$96,Assumptions!$G$98,$C134),AG145))),0)</f>
        <v>0</v>
      </c>
      <c r="AI145" s="39">
        <f>+IFERROR(-ABS(IF(EDATE(_xlfn.XLOOKUP(1,$H132:$BE132,$H$4:$BE$4),12*Assumptions!$G$98+12)=AI$4,0,IF(AH132=1,PMT(Assumptions!$G$96,Assumptions!$G$98,$C134),AH145))),0)</f>
        <v>0</v>
      </c>
      <c r="AJ145" s="39">
        <f>+IFERROR(-ABS(IF(EDATE(_xlfn.XLOOKUP(1,$H132:$BE132,$H$4:$BE$4),12*Assumptions!$G$98+12)=AJ$4,0,IF(AI132=1,PMT(Assumptions!$G$96,Assumptions!$G$98,$C134),AI145))),0)</f>
        <v>0</v>
      </c>
      <c r="AK145" s="39">
        <f>+IFERROR(-ABS(IF(EDATE(_xlfn.XLOOKUP(1,$H132:$BE132,$H$4:$BE$4),12*Assumptions!$G$98+12)=AK$4,0,IF(AJ132=1,PMT(Assumptions!$G$96,Assumptions!$G$98,$C134),AJ145))),0)</f>
        <v>0</v>
      </c>
      <c r="AL145" s="39">
        <f>+IFERROR(-ABS(IF(EDATE(_xlfn.XLOOKUP(1,$H132:$BE132,$H$4:$BE$4),12*Assumptions!$G$98+12)=AL$4,0,IF(AK132=1,PMT(Assumptions!$G$96,Assumptions!$G$98,$C134),AK145))),0)</f>
        <v>0</v>
      </c>
      <c r="AM145" s="39">
        <f>+IFERROR(-ABS(IF(EDATE(_xlfn.XLOOKUP(1,$H132:$BE132,$H$4:$BE$4),12*Assumptions!$G$98+12)=AM$4,0,IF(AL132=1,PMT(Assumptions!$G$96,Assumptions!$G$98,$C134),AL145))),0)</f>
        <v>0</v>
      </c>
      <c r="AN145" s="39">
        <f>+IFERROR(-ABS(IF(EDATE(_xlfn.XLOOKUP(1,$H132:$BE132,$H$4:$BE$4),12*Assumptions!$G$98+12)=AN$4,0,IF(AM132=1,PMT(Assumptions!$G$96,Assumptions!$G$98,$C134),AM145))),0)</f>
        <v>0</v>
      </c>
      <c r="AO145" s="39">
        <f>+IFERROR(-ABS(IF(EDATE(_xlfn.XLOOKUP(1,$H132:$BE132,$H$4:$BE$4),12*Assumptions!$G$98+12)=AO$4,0,IF(AN132=1,PMT(Assumptions!$G$96,Assumptions!$G$98,$C134),AN145))),0)</f>
        <v>0</v>
      </c>
      <c r="AP145" s="39">
        <f>+IFERROR(-ABS(IF(EDATE(_xlfn.XLOOKUP(1,$H132:$BE132,$H$4:$BE$4),12*Assumptions!$G$98+12)=AP$4,0,IF(AO132=1,PMT(Assumptions!$G$96,Assumptions!$G$98,$C134),AO145))),0)</f>
        <v>0</v>
      </c>
      <c r="AQ145" s="39">
        <f>+IFERROR(-ABS(IF(EDATE(_xlfn.XLOOKUP(1,$H132:$BE132,$H$4:$BE$4),12*Assumptions!$G$98+12)=AQ$4,0,IF(AP132=1,PMT(Assumptions!$G$96,Assumptions!$G$98,$C134),AP145))),0)</f>
        <v>0</v>
      </c>
      <c r="AR145" s="39">
        <f>+IFERROR(-ABS(IF(EDATE(_xlfn.XLOOKUP(1,$H132:$BE132,$H$4:$BE$4),12*Assumptions!$G$98+12)=AR$4,0,IF(AQ132=1,PMT(Assumptions!$G$96,Assumptions!$G$98,$C134),AQ145))),0)</f>
        <v>0</v>
      </c>
      <c r="AS145" s="39">
        <f>+IFERROR(-ABS(IF(EDATE(_xlfn.XLOOKUP(1,$H132:$BE132,$H$4:$BE$4),12*Assumptions!$G$98+12)=AS$4,0,IF(AR132=1,PMT(Assumptions!$G$96,Assumptions!$G$98,$C134),AR145))),0)</f>
        <v>0</v>
      </c>
      <c r="AT145" s="39">
        <f>+IFERROR(-ABS(IF(EDATE(_xlfn.XLOOKUP(1,$H132:$BE132,$H$4:$BE$4),12*Assumptions!$G$98+12)=AT$4,0,IF(AS132=1,PMT(Assumptions!$G$96,Assumptions!$G$98,$C134),AS145))),0)</f>
        <v>0</v>
      </c>
      <c r="AU145" s="39">
        <f>+IFERROR(-ABS(IF(EDATE(_xlfn.XLOOKUP(1,$H132:$BE132,$H$4:$BE$4),12*Assumptions!$G$98+12)=AU$4,0,IF(AT132=1,PMT(Assumptions!$G$96,Assumptions!$G$98,$C134),AT145))),0)</f>
        <v>0</v>
      </c>
      <c r="AV145" s="39">
        <f>+IFERROR(-ABS(IF(EDATE(_xlfn.XLOOKUP(1,$H132:$BE132,$H$4:$BE$4),12*Assumptions!$G$98+12)=AV$4,0,IF(AU132=1,PMT(Assumptions!$G$96,Assumptions!$G$98,$C134),AU145))),0)</f>
        <v>0</v>
      </c>
      <c r="AW145" s="39">
        <f>+IFERROR(-ABS(IF(EDATE(_xlfn.XLOOKUP(1,$H132:$BE132,$H$4:$BE$4),12*Assumptions!$G$98+12)=AW$4,0,IF(AV132=1,PMT(Assumptions!$G$96,Assumptions!$G$98,$C134),AV145))),0)</f>
        <v>0</v>
      </c>
      <c r="AX145" s="39">
        <f>+IFERROR(-ABS(IF(EDATE(_xlfn.XLOOKUP(1,$H132:$BE132,$H$4:$BE$4),12*Assumptions!$G$98+12)=AX$4,0,IF(AW132=1,PMT(Assumptions!$G$96,Assumptions!$G$98,$C134),AW145))),0)</f>
        <v>0</v>
      </c>
      <c r="AY145" s="39">
        <f>+IFERROR(-ABS(IF(EDATE(_xlfn.XLOOKUP(1,$H132:$BE132,$H$4:$BE$4),12*Assumptions!$G$98+12)=AY$4,0,IF(AX132=1,PMT(Assumptions!$G$96,Assumptions!$G$98,$C134),AX145))),0)</f>
        <v>0</v>
      </c>
      <c r="AZ145" s="39">
        <f>+IFERROR(-ABS(IF(EDATE(_xlfn.XLOOKUP(1,$H132:$BE132,$H$4:$BE$4),12*Assumptions!$G$98+12)=AZ$4,0,IF(AY132=1,PMT(Assumptions!$G$96,Assumptions!$G$98,$C134),AY145))),0)</f>
        <v>0</v>
      </c>
      <c r="BA145" s="39">
        <f>+IFERROR(-ABS(IF(EDATE(_xlfn.XLOOKUP(1,$H132:$BE132,$H$4:$BE$4),12*Assumptions!$G$98+12)=BA$4,0,IF(AZ132=1,PMT(Assumptions!$G$96,Assumptions!$G$98,$C134),AZ145))),0)</f>
        <v>0</v>
      </c>
      <c r="BB145" s="39">
        <f>+IFERROR(-ABS(IF(EDATE(_xlfn.XLOOKUP(1,$H132:$BE132,$H$4:$BE$4),12*Assumptions!$G$98+12)=BB$4,0,IF(BA132=1,PMT(Assumptions!$G$96,Assumptions!$G$98,$C134),BA145))),0)</f>
        <v>0</v>
      </c>
      <c r="BC145" s="39">
        <f>+IFERROR(-ABS(IF(EDATE(_xlfn.XLOOKUP(1,$H132:$BE132,$H$4:$BE$4),12*Assumptions!$G$98+12)=BC$4,0,IF(BB132=1,PMT(Assumptions!$G$96,Assumptions!$G$98,$C134),BB145))),0)</f>
        <v>0</v>
      </c>
      <c r="BD145" s="39">
        <f>+IFERROR(-ABS(IF(EDATE(_xlfn.XLOOKUP(1,$H132:$BE132,$H$4:$BE$4),12*Assumptions!$G$98+12)=BD$4,0,IF(BC132=1,PMT(Assumptions!$G$96,Assumptions!$G$98,$C134),BC145))),0)</f>
        <v>0</v>
      </c>
      <c r="BE145" s="39">
        <f>+IFERROR(-ABS(IF(EDATE(_xlfn.XLOOKUP(1,$H132:$BE132,$H$4:$BE$4),12*Assumptions!$G$98+12)=BE$4,0,IF(BD132=1,PMT(Assumptions!$G$96,Assumptions!$G$98,$C134),BD145))),0)</f>
        <v>0</v>
      </c>
      <c r="BF145" s="39">
        <f>+IFERROR(-ABS(IF(EDATE(_xlfn.XLOOKUP(1,$H132:$BE132,$H$4:$BE$4),12*Assumptions!$G$98+12)=BF$4,0,IF(BE132=1,PMT(Assumptions!$G$96,Assumptions!$G$98,$C134),BE145))),0)</f>
        <v>0</v>
      </c>
      <c r="BG145" s="39">
        <f>+IFERROR(-ABS(IF(EDATE(_xlfn.XLOOKUP(1,$H132:$BE132,$H$4:$BE$4),12*Assumptions!$G$98+12)=BG$4,0,IF(BF132=1,PMT(Assumptions!$G$96,Assumptions!$G$98,$C134),BF145))),0)</f>
        <v>0</v>
      </c>
      <c r="BH145" s="39">
        <f>+IFERROR(-ABS(IF(EDATE(_xlfn.XLOOKUP(1,$H132:$BE132,$H$4:$BE$4),12*Assumptions!$G$98+12)=BH$4,0,IF(BG132=1,PMT(Assumptions!$G$96,Assumptions!$G$98,$C134),BG145))),0)</f>
        <v>0</v>
      </c>
      <c r="BI145" s="39">
        <f>+IFERROR(-ABS(IF(EDATE(_xlfn.XLOOKUP(1,$H132:$BE132,$H$4:$BE$4),12*Assumptions!$G$98+12)=BI$4,0,IF(BH132=1,PMT(Assumptions!$G$96,Assumptions!$G$98,$C134),BH145))),0)</f>
        <v>0</v>
      </c>
      <c r="BJ145" s="39">
        <f>+IFERROR(-ABS(IF(EDATE(_xlfn.XLOOKUP(1,$H132:$BE132,$H$4:$BE$4),12*Assumptions!$G$98+12)=BJ$4,0,IF(BI132=1,PMT(Assumptions!$G$96,Assumptions!$G$98,$C134),BI145))),0)</f>
        <v>0</v>
      </c>
      <c r="BK145" s="39">
        <f>+IFERROR(-ABS(IF(EDATE(_xlfn.XLOOKUP(1,$H132:$BE132,$H$4:$BE$4),12*Assumptions!$G$98+12)=BK$4,0,IF(BJ132=1,PMT(Assumptions!$G$96,Assumptions!$G$98,$C134),BJ145))),0)</f>
        <v>0</v>
      </c>
      <c r="BL145" s="39">
        <f>+IFERROR(-ABS(IF(EDATE(_xlfn.XLOOKUP(1,$H132:$BE132,$H$4:$BE$4),12*Assumptions!$G$98+12)=BL$4,0,IF(BK132=1,PMT(Assumptions!$G$96,Assumptions!$G$98,$C134),BK145))),0)</f>
        <v>0</v>
      </c>
      <c r="BM145" s="39">
        <f>+IFERROR(-ABS(IF(EDATE(_xlfn.XLOOKUP(1,$H132:$BE132,$H$4:$BE$4),12*Assumptions!$G$98+12)=BM$4,0,IF(BL132=1,PMT(Assumptions!$G$96,Assumptions!$G$98,$C134),BL145))),0)</f>
        <v>0</v>
      </c>
      <c r="BN145" s="39">
        <f>+IFERROR(-ABS(IF(EDATE(_xlfn.XLOOKUP(1,$H132:$BE132,$H$4:$BE$4),12*Assumptions!$G$98+12)=BN$4,0,IF(BM132=1,PMT(Assumptions!$G$96,Assumptions!$G$98,$C134),BM145))),0)</f>
        <v>0</v>
      </c>
      <c r="BO145" s="39">
        <f>+IFERROR(-ABS(IF(EDATE(_xlfn.XLOOKUP(1,$H132:$BE132,$H$4:$BE$4),12*Assumptions!$G$98+12)=BO$4,0,IF(BN132=1,PMT(Assumptions!$G$96,Assumptions!$G$98,$C134),BN145))),0)</f>
        <v>0</v>
      </c>
      <c r="BP145" s="39">
        <f>+IFERROR(-ABS(IF(EDATE(_xlfn.XLOOKUP(1,$H132:$BE132,$H$4:$BE$4),12*Assumptions!$G$98+12)=BP$4,0,IF(BO132=1,PMT(Assumptions!$G$96,Assumptions!$G$98,$C134),BO145))),0)</f>
        <v>0</v>
      </c>
      <c r="BQ145" s="39">
        <f>+IFERROR(-ABS(IF(EDATE(_xlfn.XLOOKUP(1,$H132:$BE132,$H$4:$BE$4),12*Assumptions!$G$98+12)=BQ$4,0,IF(BP132=1,PMT(Assumptions!$G$96,Assumptions!$G$98,$C134),BP145))),0)</f>
        <v>0</v>
      </c>
      <c r="BR145" s="39">
        <f>+IFERROR(-ABS(IF(EDATE(_xlfn.XLOOKUP(1,$H132:$BE132,$H$4:$BE$4),12*Assumptions!$G$98+12)=BR$4,0,IF(BQ132=1,PMT(Assumptions!$G$96,Assumptions!$G$98,$C134),BQ145))),0)</f>
        <v>0</v>
      </c>
      <c r="BS145" s="39">
        <f>+IFERROR(-ABS(IF(EDATE(_xlfn.XLOOKUP(1,$H132:$BE132,$H$4:$BE$4),12*Assumptions!$G$98+12)=BS$4,0,IF(BR132=1,PMT(Assumptions!$G$96,Assumptions!$G$98,$C134),BR145))),0)</f>
        <v>0</v>
      </c>
      <c r="BT145" s="39">
        <f>+IFERROR(-ABS(IF(EDATE(_xlfn.XLOOKUP(1,$H132:$BE132,$H$4:$BE$4),12*Assumptions!$G$98+12)=BT$4,0,IF(BS132=1,PMT(Assumptions!$G$96,Assumptions!$G$98,$C134),BS145))),0)</f>
        <v>0</v>
      </c>
      <c r="BU145" s="39">
        <f>+IFERROR(-ABS(IF(EDATE(_xlfn.XLOOKUP(1,$H132:$BE132,$H$4:$BE$4),12*Assumptions!$G$98+12)=BU$4,0,IF(BT132=1,PMT(Assumptions!$G$96,Assumptions!$G$98,$C134),BT145))),0)</f>
        <v>0</v>
      </c>
      <c r="BV145" s="39">
        <f>+IFERROR(-ABS(IF(EDATE(_xlfn.XLOOKUP(1,$H132:$BE132,$H$4:$BE$4),12*Assumptions!$G$98+12)=BV$4,0,IF(BU132=1,PMT(Assumptions!$G$96,Assumptions!$G$98,$C134),BU145))),0)</f>
        <v>0</v>
      </c>
      <c r="BW145" s="39">
        <f>+IFERROR(-ABS(IF(EDATE(_xlfn.XLOOKUP(1,$H132:$BE132,$H$4:$BE$4),12*Assumptions!$G$98+12)=BW$4,0,IF(BV132=1,PMT(Assumptions!$G$96,Assumptions!$G$98,$C134),BV145))),0)</f>
        <v>0</v>
      </c>
      <c r="BX145" s="39">
        <f>+IFERROR(-ABS(IF(EDATE(_xlfn.XLOOKUP(1,$H132:$BE132,$H$4:$BE$4),12*Assumptions!$G$98+12)=BX$4,0,IF(BW132=1,PMT(Assumptions!$G$96,Assumptions!$G$98,$C134),BW145))),0)</f>
        <v>0</v>
      </c>
      <c r="BY145" s="39">
        <f>+IFERROR(-ABS(IF(EDATE(_xlfn.XLOOKUP(1,$H132:$BE132,$H$4:$BE$4),12*Assumptions!$G$98+12)=BY$4,0,IF(BX132=1,PMT(Assumptions!$G$96,Assumptions!$G$98,$C134),BX145))),0)</f>
        <v>0</v>
      </c>
    </row>
    <row r="146" spans="2:77" outlineLevel="1">
      <c r="E146" s="24" t="s">
        <v>517</v>
      </c>
      <c r="F146" s="80" t="str">
        <f>+Assumptions!$G$8</f>
        <v>USD</v>
      </c>
      <c r="G146" s="24"/>
      <c r="H146" s="39">
        <f>+IFERROR(-ABS(IF(EDATE(_xlfn.XLOOKUP(1,$H133:$BE133,$H$4:$BE$4),12*Assumptions!$G$98+12)=H$4,0,IF(G133=1,PMT(Assumptions!$G$96,Assumptions!$G$98,$C135),G146))),0)</f>
        <v>0</v>
      </c>
      <c r="I146" s="39">
        <f>+IFERROR(-ABS(IF(EDATE(_xlfn.XLOOKUP(1,$H133:$BE133,$H$4:$BE$4),12*Assumptions!$G$98+12)=I$4,0,IF(H133=1,PMT(Assumptions!$G$96,Assumptions!$G$98,$C135),H146))),0)</f>
        <v>0</v>
      </c>
      <c r="J146" s="39">
        <f>+IFERROR(-ABS(IF(EDATE(_xlfn.XLOOKUP(1,$H133:$BE133,$H$4:$BE$4),12*Assumptions!$G$98+12)=J$4,0,IF(I133=1,PMT(Assumptions!$G$96,Assumptions!$G$98,$C135),I146))),0)</f>
        <v>0</v>
      </c>
      <c r="K146" s="39">
        <f>+IFERROR(-ABS(IF(EDATE(_xlfn.XLOOKUP(1,$H133:$BE133,$H$4:$BE$4),12*Assumptions!$G$98+12)=K$4,0,IF(J133=1,PMT(Assumptions!$G$96,Assumptions!$G$98,$C135),J146))),0)</f>
        <v>0</v>
      </c>
      <c r="L146" s="39">
        <f>+IFERROR(-ABS(IF(EDATE(_xlfn.XLOOKUP(1,$H133:$BE133,$H$4:$BE$4),12*Assumptions!$G$98+12)=L$4,0,IF(K133=1,PMT(Assumptions!$G$96,Assumptions!$G$98,$C135),K146))),0)</f>
        <v>0</v>
      </c>
      <c r="M146" s="39">
        <f>+IFERROR(-ABS(IF(EDATE(_xlfn.XLOOKUP(1,$H133:$BE133,$H$4:$BE$4),12*Assumptions!$G$98+12)=M$4,0,IF(L133=1,PMT(Assumptions!$G$96,Assumptions!$G$98,$C135),L146))),0)</f>
        <v>0</v>
      </c>
      <c r="N146" s="39">
        <f>+IFERROR(-ABS(IF(EDATE(_xlfn.XLOOKUP(1,$H133:$BE133,$H$4:$BE$4),12*Assumptions!$G$98+12)=N$4,0,IF(M133=1,PMT(Assumptions!$G$96,Assumptions!$G$98,$C135),M146))),0)</f>
        <v>0</v>
      </c>
      <c r="O146" s="39">
        <f>+IFERROR(-ABS(IF(EDATE(_xlfn.XLOOKUP(1,$H133:$BE133,$H$4:$BE$4),12*Assumptions!$G$98+12)=O$4,0,IF(N133=1,PMT(Assumptions!$G$96,Assumptions!$G$98,$C135),N146))),0)</f>
        <v>0</v>
      </c>
      <c r="P146" s="39">
        <f>+IFERROR(-ABS(IF(EDATE(_xlfn.XLOOKUP(1,$H133:$BE133,$H$4:$BE$4),12*Assumptions!$G$98+12)=P$4,0,IF(O133=1,PMT(Assumptions!$G$96,Assumptions!$G$98,$C135),O146))),0)</f>
        <v>0</v>
      </c>
      <c r="Q146" s="39">
        <f>+IFERROR(-ABS(IF(EDATE(_xlfn.XLOOKUP(1,$H133:$BE133,$H$4:$BE$4),12*Assumptions!$G$98+12)=Q$4,0,IF(P133=1,PMT(Assumptions!$G$96,Assumptions!$G$98,$C135),P146))),0)</f>
        <v>0</v>
      </c>
      <c r="R146" s="39">
        <f>+IFERROR(-ABS(IF(EDATE(_xlfn.XLOOKUP(1,$H133:$BE133,$H$4:$BE$4),12*Assumptions!$G$98+12)=R$4,0,IF(Q133=1,PMT(Assumptions!$G$96,Assumptions!$G$98,$C135),Q146))),0)</f>
        <v>0</v>
      </c>
      <c r="S146" s="39">
        <f>+IFERROR(-ABS(IF(EDATE(_xlfn.XLOOKUP(1,$H133:$BE133,$H$4:$BE$4),12*Assumptions!$G$98+12)=S$4,0,IF(R133=1,PMT(Assumptions!$G$96,Assumptions!$G$98,$C135),R146))),0)</f>
        <v>0</v>
      </c>
      <c r="T146" s="39">
        <f>+IFERROR(-ABS(IF(EDATE(_xlfn.XLOOKUP(1,$H133:$BE133,$H$4:$BE$4),12*Assumptions!$G$98+12)=T$4,0,IF(S133=1,PMT(Assumptions!$G$96,Assumptions!$G$98,$C135),S146))),0)</f>
        <v>0</v>
      </c>
      <c r="U146" s="39">
        <f>+IFERROR(-ABS(IF(EDATE(_xlfn.XLOOKUP(1,$H133:$BE133,$H$4:$BE$4),12*Assumptions!$G$98+12)=U$4,0,IF(T133=1,PMT(Assumptions!$G$96,Assumptions!$G$98,$C135),T146))),0)</f>
        <v>0</v>
      </c>
      <c r="V146" s="39">
        <f>+IFERROR(-ABS(IF(EDATE(_xlfn.XLOOKUP(1,$H133:$BE133,$H$4:$BE$4),12*Assumptions!$G$98+12)=V$4,0,IF(U133=1,PMT(Assumptions!$G$96,Assumptions!$G$98,$C135),U146))),0)</f>
        <v>0</v>
      </c>
      <c r="W146" s="39">
        <f>+IFERROR(-ABS(IF(EDATE(_xlfn.XLOOKUP(1,$H133:$BE133,$H$4:$BE$4),12*Assumptions!$G$98+12)=W$4,0,IF(V133=1,PMT(Assumptions!$G$96,Assumptions!$G$98,$C135),V146))),0)</f>
        <v>0</v>
      </c>
      <c r="X146" s="39">
        <f>+IFERROR(-ABS(IF(EDATE(_xlfn.XLOOKUP(1,$H133:$BE133,$H$4:$BE$4),12*Assumptions!$G$98+12)=X$4,0,IF(W133=1,PMT(Assumptions!$G$96,Assumptions!$G$98,$C135),W146))),0)</f>
        <v>0</v>
      </c>
      <c r="Y146" s="39">
        <f>+IFERROR(-ABS(IF(EDATE(_xlfn.XLOOKUP(1,$H133:$BE133,$H$4:$BE$4),12*Assumptions!$G$98+12)=Y$4,0,IF(X133=1,PMT(Assumptions!$G$96,Assumptions!$G$98,$C135),X146))),0)</f>
        <v>0</v>
      </c>
      <c r="Z146" s="39">
        <f>+IFERROR(-ABS(IF(EDATE(_xlfn.XLOOKUP(1,$H133:$BE133,$H$4:$BE$4),12*Assumptions!$G$98+12)=Z$4,0,IF(Y133=1,PMT(Assumptions!$G$96,Assumptions!$G$98,$C135),Y146))),0)</f>
        <v>0</v>
      </c>
      <c r="AA146" s="39">
        <f>+IFERROR(-ABS(IF(EDATE(_xlfn.XLOOKUP(1,$H133:$BE133,$H$4:$BE$4),12*Assumptions!$G$98+12)=AA$4,0,IF(Z133=1,PMT(Assumptions!$G$96,Assumptions!$G$98,$C135),Z146))),0)</f>
        <v>0</v>
      </c>
      <c r="AB146" s="39">
        <f>+IFERROR(-ABS(IF(EDATE(_xlfn.XLOOKUP(1,$H133:$BE133,$H$4:$BE$4),12*Assumptions!$G$98+12)=AB$4,0,IF(AA133=1,PMT(Assumptions!$G$96,Assumptions!$G$98,$C135),AA146))),0)</f>
        <v>0</v>
      </c>
      <c r="AC146" s="39">
        <f>+IFERROR(-ABS(IF(EDATE(_xlfn.XLOOKUP(1,$H133:$BE133,$H$4:$BE$4),12*Assumptions!$G$98+12)=AC$4,0,IF(AB133=1,PMT(Assumptions!$G$96,Assumptions!$G$98,$C135),AB146))),0)</f>
        <v>0</v>
      </c>
      <c r="AD146" s="39">
        <f>+IFERROR(-ABS(IF(EDATE(_xlfn.XLOOKUP(1,$H133:$BE133,$H$4:$BE$4),12*Assumptions!$G$98+12)=AD$4,0,IF(AC133=1,PMT(Assumptions!$G$96,Assumptions!$G$98,$C135),AC146))),0)</f>
        <v>0</v>
      </c>
      <c r="AE146" s="39">
        <f>+IFERROR(-ABS(IF(EDATE(_xlfn.XLOOKUP(1,$H133:$BE133,$H$4:$BE$4),12*Assumptions!$G$98+12)=AE$4,0,IF(AD133=1,PMT(Assumptions!$G$96,Assumptions!$G$98,$C135),AD146))),0)</f>
        <v>0</v>
      </c>
      <c r="AF146" s="39">
        <f>+IFERROR(-ABS(IF(EDATE(_xlfn.XLOOKUP(1,$H133:$BE133,$H$4:$BE$4),12*Assumptions!$G$98+12)=AF$4,0,IF(AE133=1,PMT(Assumptions!$G$96,Assumptions!$G$98,$C135),AE146))),0)</f>
        <v>0</v>
      </c>
      <c r="AG146" s="39">
        <f>+IFERROR(-ABS(IF(EDATE(_xlfn.XLOOKUP(1,$H133:$BE133,$H$4:$BE$4),12*Assumptions!$G$98+12)=AG$4,0,IF(AF133=1,PMT(Assumptions!$G$96,Assumptions!$G$98,$C135),AF146))),0)</f>
        <v>0</v>
      </c>
      <c r="AH146" s="39">
        <f>+IFERROR(-ABS(IF(EDATE(_xlfn.XLOOKUP(1,$H133:$BE133,$H$4:$BE$4),12*Assumptions!$G$98+12)=AH$4,0,IF(AG133=1,PMT(Assumptions!$G$96,Assumptions!$G$98,$C135),AG146))),0)</f>
        <v>0</v>
      </c>
      <c r="AI146" s="39">
        <f>+IFERROR(-ABS(IF(EDATE(_xlfn.XLOOKUP(1,$H133:$BE133,$H$4:$BE$4),12*Assumptions!$G$98+12)=AI$4,0,IF(AH133=1,PMT(Assumptions!$G$96,Assumptions!$G$98,$C135),AH146))),0)</f>
        <v>0</v>
      </c>
      <c r="AJ146" s="39">
        <f>+IFERROR(-ABS(IF(EDATE(_xlfn.XLOOKUP(1,$H133:$BE133,$H$4:$BE$4),12*Assumptions!$G$98+12)=AJ$4,0,IF(AI133=1,PMT(Assumptions!$G$96,Assumptions!$G$98,$C135),AI146))),0)</f>
        <v>0</v>
      </c>
      <c r="AK146" s="39">
        <f>+IFERROR(-ABS(IF(EDATE(_xlfn.XLOOKUP(1,$H133:$BE133,$H$4:$BE$4),12*Assumptions!$G$98+12)=AK$4,0,IF(AJ133=1,PMT(Assumptions!$G$96,Assumptions!$G$98,$C135),AJ146))),0)</f>
        <v>0</v>
      </c>
      <c r="AL146" s="39">
        <f>+IFERROR(-ABS(IF(EDATE(_xlfn.XLOOKUP(1,$H133:$BE133,$H$4:$BE$4),12*Assumptions!$G$98+12)=AL$4,0,IF(AK133=1,PMT(Assumptions!$G$96,Assumptions!$G$98,$C135),AK146))),0)</f>
        <v>0</v>
      </c>
      <c r="AM146" s="39">
        <f>+IFERROR(-ABS(IF(EDATE(_xlfn.XLOOKUP(1,$H133:$BE133,$H$4:$BE$4),12*Assumptions!$G$98+12)=AM$4,0,IF(AL133=1,PMT(Assumptions!$G$96,Assumptions!$G$98,$C135),AL146))),0)</f>
        <v>0</v>
      </c>
      <c r="AN146" s="39">
        <f>+IFERROR(-ABS(IF(EDATE(_xlfn.XLOOKUP(1,$H133:$BE133,$H$4:$BE$4),12*Assumptions!$G$98+12)=AN$4,0,IF(AM133=1,PMT(Assumptions!$G$96,Assumptions!$G$98,$C135),AM146))),0)</f>
        <v>0</v>
      </c>
      <c r="AO146" s="39">
        <f>+IFERROR(-ABS(IF(EDATE(_xlfn.XLOOKUP(1,$H133:$BE133,$H$4:$BE$4),12*Assumptions!$G$98+12)=AO$4,0,IF(AN133=1,PMT(Assumptions!$G$96,Assumptions!$G$98,$C135),AN146))),0)</f>
        <v>0</v>
      </c>
      <c r="AP146" s="39">
        <f>+IFERROR(-ABS(IF(EDATE(_xlfn.XLOOKUP(1,$H133:$BE133,$H$4:$BE$4),12*Assumptions!$G$98+12)=AP$4,0,IF(AO133=1,PMT(Assumptions!$G$96,Assumptions!$G$98,$C135),AO146))),0)</f>
        <v>0</v>
      </c>
      <c r="AQ146" s="39">
        <f>+IFERROR(-ABS(IF(EDATE(_xlfn.XLOOKUP(1,$H133:$BE133,$H$4:$BE$4),12*Assumptions!$G$98+12)=AQ$4,0,IF(AP133=1,PMT(Assumptions!$G$96,Assumptions!$G$98,$C135),AP146))),0)</f>
        <v>0</v>
      </c>
      <c r="AR146" s="39">
        <f>+IFERROR(-ABS(IF(EDATE(_xlfn.XLOOKUP(1,$H133:$BE133,$H$4:$BE$4),12*Assumptions!$G$98+12)=AR$4,0,IF(AQ133=1,PMT(Assumptions!$G$96,Assumptions!$G$98,$C135),AQ146))),0)</f>
        <v>0</v>
      </c>
      <c r="AS146" s="39">
        <f>+IFERROR(-ABS(IF(EDATE(_xlfn.XLOOKUP(1,$H133:$BE133,$H$4:$BE$4),12*Assumptions!$G$98+12)=AS$4,0,IF(AR133=1,PMT(Assumptions!$G$96,Assumptions!$G$98,$C135),AR146))),0)</f>
        <v>0</v>
      </c>
      <c r="AT146" s="39">
        <f>+IFERROR(-ABS(IF(EDATE(_xlfn.XLOOKUP(1,$H133:$BE133,$H$4:$BE$4),12*Assumptions!$G$98+12)=AT$4,0,IF(AS133=1,PMT(Assumptions!$G$96,Assumptions!$G$98,$C135),AS146))),0)</f>
        <v>0</v>
      </c>
      <c r="AU146" s="39">
        <f>+IFERROR(-ABS(IF(EDATE(_xlfn.XLOOKUP(1,$H133:$BE133,$H$4:$BE$4),12*Assumptions!$G$98+12)=AU$4,0,IF(AT133=1,PMT(Assumptions!$G$96,Assumptions!$G$98,$C135),AT146))),0)</f>
        <v>0</v>
      </c>
      <c r="AV146" s="39">
        <f>+IFERROR(-ABS(IF(EDATE(_xlfn.XLOOKUP(1,$H133:$BE133,$H$4:$BE$4),12*Assumptions!$G$98+12)=AV$4,0,IF(AU133=1,PMT(Assumptions!$G$96,Assumptions!$G$98,$C135),AU146))),0)</f>
        <v>0</v>
      </c>
      <c r="AW146" s="39">
        <f>+IFERROR(-ABS(IF(EDATE(_xlfn.XLOOKUP(1,$H133:$BE133,$H$4:$BE$4),12*Assumptions!$G$98+12)=AW$4,0,IF(AV133=1,PMT(Assumptions!$G$96,Assumptions!$G$98,$C135),AV146))),0)</f>
        <v>0</v>
      </c>
      <c r="AX146" s="39">
        <f>+IFERROR(-ABS(IF(EDATE(_xlfn.XLOOKUP(1,$H133:$BE133,$H$4:$BE$4),12*Assumptions!$G$98+12)=AX$4,0,IF(AW133=1,PMT(Assumptions!$G$96,Assumptions!$G$98,$C135),AW146))),0)</f>
        <v>0</v>
      </c>
      <c r="AY146" s="39">
        <f>+IFERROR(-ABS(IF(EDATE(_xlfn.XLOOKUP(1,$H133:$BE133,$H$4:$BE$4),12*Assumptions!$G$98+12)=AY$4,0,IF(AX133=1,PMT(Assumptions!$G$96,Assumptions!$G$98,$C135),AX146))),0)</f>
        <v>0</v>
      </c>
      <c r="AZ146" s="39">
        <f>+IFERROR(-ABS(IF(EDATE(_xlfn.XLOOKUP(1,$H133:$BE133,$H$4:$BE$4),12*Assumptions!$G$98+12)=AZ$4,0,IF(AY133=1,PMT(Assumptions!$G$96,Assumptions!$G$98,$C135),AY146))),0)</f>
        <v>0</v>
      </c>
      <c r="BA146" s="39">
        <f>+IFERROR(-ABS(IF(EDATE(_xlfn.XLOOKUP(1,$H133:$BE133,$H$4:$BE$4),12*Assumptions!$G$98+12)=BA$4,0,IF(AZ133=1,PMT(Assumptions!$G$96,Assumptions!$G$98,$C135),AZ146))),0)</f>
        <v>0</v>
      </c>
      <c r="BB146" s="39">
        <f>+IFERROR(-ABS(IF(EDATE(_xlfn.XLOOKUP(1,$H133:$BE133,$H$4:$BE$4),12*Assumptions!$G$98+12)=BB$4,0,IF(BA133=1,PMT(Assumptions!$G$96,Assumptions!$G$98,$C135),BA146))),0)</f>
        <v>0</v>
      </c>
      <c r="BC146" s="39">
        <f>+IFERROR(-ABS(IF(EDATE(_xlfn.XLOOKUP(1,$H133:$BE133,$H$4:$BE$4),12*Assumptions!$G$98+12)=BC$4,0,IF(BB133=1,PMT(Assumptions!$G$96,Assumptions!$G$98,$C135),BB146))),0)</f>
        <v>0</v>
      </c>
      <c r="BD146" s="39">
        <f>+IFERROR(-ABS(IF(EDATE(_xlfn.XLOOKUP(1,$H133:$BE133,$H$4:$BE$4),12*Assumptions!$G$98+12)=BD$4,0,IF(BC133=1,PMT(Assumptions!$G$96,Assumptions!$G$98,$C135),BC146))),0)</f>
        <v>0</v>
      </c>
      <c r="BE146" s="39">
        <f>+IFERROR(-ABS(IF(EDATE(_xlfn.XLOOKUP(1,$H133:$BE133,$H$4:$BE$4),12*Assumptions!$G$98+12)=BE$4,0,IF(BD133=1,PMT(Assumptions!$G$96,Assumptions!$G$98,$C135),BD146))),0)</f>
        <v>0</v>
      </c>
      <c r="BF146" s="39">
        <f>+IFERROR(-ABS(IF(EDATE(_xlfn.XLOOKUP(1,$H133:$BE133,$H$4:$BE$4),12*Assumptions!$G$98+12)=BF$4,0,IF(BE133=1,PMT(Assumptions!$G$96,Assumptions!$G$98,$C135),BE146))),0)</f>
        <v>0</v>
      </c>
      <c r="BG146" s="39">
        <f>+IFERROR(-ABS(IF(EDATE(_xlfn.XLOOKUP(1,$H133:$BE133,$H$4:$BE$4),12*Assumptions!$G$98+12)=BG$4,0,IF(BF133=1,PMT(Assumptions!$G$96,Assumptions!$G$98,$C135),BF146))),0)</f>
        <v>0</v>
      </c>
      <c r="BH146" s="39">
        <f>+IFERROR(-ABS(IF(EDATE(_xlfn.XLOOKUP(1,$H133:$BE133,$H$4:$BE$4),12*Assumptions!$G$98+12)=BH$4,0,IF(BG133=1,PMT(Assumptions!$G$96,Assumptions!$G$98,$C135),BG146))),0)</f>
        <v>0</v>
      </c>
      <c r="BI146" s="39">
        <f>+IFERROR(-ABS(IF(EDATE(_xlfn.XLOOKUP(1,$H133:$BE133,$H$4:$BE$4),12*Assumptions!$G$98+12)=BI$4,0,IF(BH133=1,PMT(Assumptions!$G$96,Assumptions!$G$98,$C135),BH146))),0)</f>
        <v>0</v>
      </c>
      <c r="BJ146" s="39">
        <f>+IFERROR(-ABS(IF(EDATE(_xlfn.XLOOKUP(1,$H133:$BE133,$H$4:$BE$4),12*Assumptions!$G$98+12)=BJ$4,0,IF(BI133=1,PMT(Assumptions!$G$96,Assumptions!$G$98,$C135),BI146))),0)</f>
        <v>0</v>
      </c>
      <c r="BK146" s="39">
        <f>+IFERROR(-ABS(IF(EDATE(_xlfn.XLOOKUP(1,$H133:$BE133,$H$4:$BE$4),12*Assumptions!$G$98+12)=BK$4,0,IF(BJ133=1,PMT(Assumptions!$G$96,Assumptions!$G$98,$C135),BJ146))),0)</f>
        <v>0</v>
      </c>
      <c r="BL146" s="39">
        <f>+IFERROR(-ABS(IF(EDATE(_xlfn.XLOOKUP(1,$H133:$BE133,$H$4:$BE$4),12*Assumptions!$G$98+12)=BL$4,0,IF(BK133=1,PMT(Assumptions!$G$96,Assumptions!$G$98,$C135),BK146))),0)</f>
        <v>0</v>
      </c>
      <c r="BM146" s="39">
        <f>+IFERROR(-ABS(IF(EDATE(_xlfn.XLOOKUP(1,$H133:$BE133,$H$4:$BE$4),12*Assumptions!$G$98+12)=BM$4,0,IF(BL133=1,PMT(Assumptions!$G$96,Assumptions!$G$98,$C135),BL146))),0)</f>
        <v>0</v>
      </c>
      <c r="BN146" s="39">
        <f>+IFERROR(-ABS(IF(EDATE(_xlfn.XLOOKUP(1,$H133:$BE133,$H$4:$BE$4),12*Assumptions!$G$98+12)=BN$4,0,IF(BM133=1,PMT(Assumptions!$G$96,Assumptions!$G$98,$C135),BM146))),0)</f>
        <v>0</v>
      </c>
      <c r="BO146" s="39">
        <f>+IFERROR(-ABS(IF(EDATE(_xlfn.XLOOKUP(1,$H133:$BE133,$H$4:$BE$4),12*Assumptions!$G$98+12)=BO$4,0,IF(BN133=1,PMT(Assumptions!$G$96,Assumptions!$G$98,$C135),BN146))),0)</f>
        <v>0</v>
      </c>
      <c r="BP146" s="39">
        <f>+IFERROR(-ABS(IF(EDATE(_xlfn.XLOOKUP(1,$H133:$BE133,$H$4:$BE$4),12*Assumptions!$G$98+12)=BP$4,0,IF(BO133=1,PMT(Assumptions!$G$96,Assumptions!$G$98,$C135),BO146))),0)</f>
        <v>0</v>
      </c>
      <c r="BQ146" s="39">
        <f>+IFERROR(-ABS(IF(EDATE(_xlfn.XLOOKUP(1,$H133:$BE133,$H$4:$BE$4),12*Assumptions!$G$98+12)=BQ$4,0,IF(BP133=1,PMT(Assumptions!$G$96,Assumptions!$G$98,$C135),BP146))),0)</f>
        <v>0</v>
      </c>
      <c r="BR146" s="39">
        <f>+IFERROR(-ABS(IF(EDATE(_xlfn.XLOOKUP(1,$H133:$BE133,$H$4:$BE$4),12*Assumptions!$G$98+12)=BR$4,0,IF(BQ133=1,PMT(Assumptions!$G$96,Assumptions!$G$98,$C135),BQ146))),0)</f>
        <v>0</v>
      </c>
      <c r="BS146" s="39">
        <f>+IFERROR(-ABS(IF(EDATE(_xlfn.XLOOKUP(1,$H133:$BE133,$H$4:$BE$4),12*Assumptions!$G$98+12)=BS$4,0,IF(BR133=1,PMT(Assumptions!$G$96,Assumptions!$G$98,$C135),BR146))),0)</f>
        <v>0</v>
      </c>
      <c r="BT146" s="39">
        <f>+IFERROR(-ABS(IF(EDATE(_xlfn.XLOOKUP(1,$H133:$BE133,$H$4:$BE$4),12*Assumptions!$G$98+12)=BT$4,0,IF(BS133=1,PMT(Assumptions!$G$96,Assumptions!$G$98,$C135),BS146))),0)</f>
        <v>0</v>
      </c>
      <c r="BU146" s="39">
        <f>+IFERROR(-ABS(IF(EDATE(_xlfn.XLOOKUP(1,$H133:$BE133,$H$4:$BE$4),12*Assumptions!$G$98+12)=BU$4,0,IF(BT133=1,PMT(Assumptions!$G$96,Assumptions!$G$98,$C135),BT146))),0)</f>
        <v>0</v>
      </c>
      <c r="BV146" s="39">
        <f>+IFERROR(-ABS(IF(EDATE(_xlfn.XLOOKUP(1,$H133:$BE133,$H$4:$BE$4),12*Assumptions!$G$98+12)=BV$4,0,IF(BU133=1,PMT(Assumptions!$G$96,Assumptions!$G$98,$C135),BU146))),0)</f>
        <v>0</v>
      </c>
      <c r="BW146" s="39">
        <f>+IFERROR(-ABS(IF(EDATE(_xlfn.XLOOKUP(1,$H133:$BE133,$H$4:$BE$4),12*Assumptions!$G$98+12)=BW$4,0,IF(BV133=1,PMT(Assumptions!$G$96,Assumptions!$G$98,$C135),BV146))),0)</f>
        <v>0</v>
      </c>
      <c r="BX146" s="39">
        <f>+IFERROR(-ABS(IF(EDATE(_xlfn.XLOOKUP(1,$H133:$BE133,$H$4:$BE$4),12*Assumptions!$G$98+12)=BX$4,0,IF(BW133=1,PMT(Assumptions!$G$96,Assumptions!$G$98,$C135),BW146))),0)</f>
        <v>0</v>
      </c>
      <c r="BY146" s="39">
        <f>+IFERROR(-ABS(IF(EDATE(_xlfn.XLOOKUP(1,$H133:$BE133,$H$4:$BE$4),12*Assumptions!$G$98+12)=BY$4,0,IF(BX133=1,PMT(Assumptions!$G$96,Assumptions!$G$98,$C135),BX146))),0)</f>
        <v>0</v>
      </c>
    </row>
    <row r="147" spans="2:77" outlineLevel="1">
      <c r="E147" s="24" t="s">
        <v>518</v>
      </c>
      <c r="F147" s="80" t="str">
        <f>+Assumptions!$G$8</f>
        <v>USD</v>
      </c>
      <c r="G147" s="24"/>
      <c r="H147" s="39">
        <f>+IFERROR(-ABS(IF(EDATE(_xlfn.XLOOKUP(1,$H134:$BE134,$H$4:$BE$4),12*Assumptions!$G$98+12)=H$4,0,IF(G134=1,PMT(Assumptions!$G$96,Assumptions!$G$98,$C136),G147))),0)</f>
        <v>0</v>
      </c>
      <c r="I147" s="39">
        <f>+IFERROR(-ABS(IF(EDATE(_xlfn.XLOOKUP(1,$H134:$BE134,$H$4:$BE$4),12*Assumptions!$G$98+12)=I$4,0,IF(H134=1,PMT(Assumptions!$G$96,Assumptions!$G$98,$C136),H147))),0)</f>
        <v>0</v>
      </c>
      <c r="J147" s="39">
        <f>+IFERROR(-ABS(IF(EDATE(_xlfn.XLOOKUP(1,$H134:$BE134,$H$4:$BE$4),12*Assumptions!$G$98+12)=J$4,0,IF(I134=1,PMT(Assumptions!$G$96,Assumptions!$G$98,$C136),I147))),0)</f>
        <v>0</v>
      </c>
      <c r="K147" s="39">
        <f>+IFERROR(-ABS(IF(EDATE(_xlfn.XLOOKUP(1,$H134:$BE134,$H$4:$BE$4),12*Assumptions!$G$98+12)=K$4,0,IF(J134=1,PMT(Assumptions!$G$96,Assumptions!$G$98,$C136),J147))),0)</f>
        <v>0</v>
      </c>
      <c r="L147" s="39">
        <f>+IFERROR(-ABS(IF(EDATE(_xlfn.XLOOKUP(1,$H134:$BE134,$H$4:$BE$4),12*Assumptions!$G$98+12)=L$4,0,IF(K134=1,PMT(Assumptions!$G$96,Assumptions!$G$98,$C136),K147))),0)</f>
        <v>0</v>
      </c>
      <c r="M147" s="39">
        <f>+IFERROR(-ABS(IF(EDATE(_xlfn.XLOOKUP(1,$H134:$BE134,$H$4:$BE$4),12*Assumptions!$G$98+12)=M$4,0,IF(L134=1,PMT(Assumptions!$G$96,Assumptions!$G$98,$C136),L147))),0)</f>
        <v>0</v>
      </c>
      <c r="N147" s="39">
        <f>+IFERROR(-ABS(IF(EDATE(_xlfn.XLOOKUP(1,$H134:$BE134,$H$4:$BE$4),12*Assumptions!$G$98+12)=N$4,0,IF(M134=1,PMT(Assumptions!$G$96,Assumptions!$G$98,$C136),M147))),0)</f>
        <v>0</v>
      </c>
      <c r="O147" s="39">
        <f>+IFERROR(-ABS(IF(EDATE(_xlfn.XLOOKUP(1,$H134:$BE134,$H$4:$BE$4),12*Assumptions!$G$98+12)=O$4,0,IF(N134=1,PMT(Assumptions!$G$96,Assumptions!$G$98,$C136),N147))),0)</f>
        <v>0</v>
      </c>
      <c r="P147" s="39">
        <f>+IFERROR(-ABS(IF(EDATE(_xlfn.XLOOKUP(1,$H134:$BE134,$H$4:$BE$4),12*Assumptions!$G$98+12)=P$4,0,IF(O134=1,PMT(Assumptions!$G$96,Assumptions!$G$98,$C136),O147))),0)</f>
        <v>0</v>
      </c>
      <c r="Q147" s="39">
        <f>+IFERROR(-ABS(IF(EDATE(_xlfn.XLOOKUP(1,$H134:$BE134,$H$4:$BE$4),12*Assumptions!$G$98+12)=Q$4,0,IF(P134=1,PMT(Assumptions!$G$96,Assumptions!$G$98,$C136),P147))),0)</f>
        <v>0</v>
      </c>
      <c r="R147" s="39">
        <f>+IFERROR(-ABS(IF(EDATE(_xlfn.XLOOKUP(1,$H134:$BE134,$H$4:$BE$4),12*Assumptions!$G$98+12)=R$4,0,IF(Q134=1,PMT(Assumptions!$G$96,Assumptions!$G$98,$C136),Q147))),0)</f>
        <v>0</v>
      </c>
      <c r="S147" s="39">
        <f>+IFERROR(-ABS(IF(EDATE(_xlfn.XLOOKUP(1,$H134:$BE134,$H$4:$BE$4),12*Assumptions!$G$98+12)=S$4,0,IF(R134=1,PMT(Assumptions!$G$96,Assumptions!$G$98,$C136),R147))),0)</f>
        <v>0</v>
      </c>
      <c r="T147" s="39">
        <f>+IFERROR(-ABS(IF(EDATE(_xlfn.XLOOKUP(1,$H134:$BE134,$H$4:$BE$4),12*Assumptions!$G$98+12)=T$4,0,IF(S134=1,PMT(Assumptions!$G$96,Assumptions!$G$98,$C136),S147))),0)</f>
        <v>0</v>
      </c>
      <c r="U147" s="39">
        <f>+IFERROR(-ABS(IF(EDATE(_xlfn.XLOOKUP(1,$H134:$BE134,$H$4:$BE$4),12*Assumptions!$G$98+12)=U$4,0,IF(T134=1,PMT(Assumptions!$G$96,Assumptions!$G$98,$C136),T147))),0)</f>
        <v>0</v>
      </c>
      <c r="V147" s="39">
        <f>+IFERROR(-ABS(IF(EDATE(_xlfn.XLOOKUP(1,$H134:$BE134,$H$4:$BE$4),12*Assumptions!$G$98+12)=V$4,0,IF(U134=1,PMT(Assumptions!$G$96,Assumptions!$G$98,$C136),U147))),0)</f>
        <v>0</v>
      </c>
      <c r="W147" s="39">
        <f>+IFERROR(-ABS(IF(EDATE(_xlfn.XLOOKUP(1,$H134:$BE134,$H$4:$BE$4),12*Assumptions!$G$98+12)=W$4,0,IF(V134=1,PMT(Assumptions!$G$96,Assumptions!$G$98,$C136),V147))),0)</f>
        <v>0</v>
      </c>
      <c r="X147" s="39">
        <f>+IFERROR(-ABS(IF(EDATE(_xlfn.XLOOKUP(1,$H134:$BE134,$H$4:$BE$4),12*Assumptions!$G$98+12)=X$4,0,IF(W134=1,PMT(Assumptions!$G$96,Assumptions!$G$98,$C136),W147))),0)</f>
        <v>0</v>
      </c>
      <c r="Y147" s="39">
        <f>+IFERROR(-ABS(IF(EDATE(_xlfn.XLOOKUP(1,$H134:$BE134,$H$4:$BE$4),12*Assumptions!$G$98+12)=Y$4,0,IF(X134=1,PMT(Assumptions!$G$96,Assumptions!$G$98,$C136),X147))),0)</f>
        <v>0</v>
      </c>
      <c r="Z147" s="39">
        <f>+IFERROR(-ABS(IF(EDATE(_xlfn.XLOOKUP(1,$H134:$BE134,$H$4:$BE$4),12*Assumptions!$G$98+12)=Z$4,0,IF(Y134=1,PMT(Assumptions!$G$96,Assumptions!$G$98,$C136),Y147))),0)</f>
        <v>0</v>
      </c>
      <c r="AA147" s="39">
        <f>+IFERROR(-ABS(IF(EDATE(_xlfn.XLOOKUP(1,$H134:$BE134,$H$4:$BE$4),12*Assumptions!$G$98+12)=AA$4,0,IF(Z134=1,PMT(Assumptions!$G$96,Assumptions!$G$98,$C136),Z147))),0)</f>
        <v>0</v>
      </c>
      <c r="AB147" s="39">
        <f>+IFERROR(-ABS(IF(EDATE(_xlfn.XLOOKUP(1,$H134:$BE134,$H$4:$BE$4),12*Assumptions!$G$98+12)=AB$4,0,IF(AA134=1,PMT(Assumptions!$G$96,Assumptions!$G$98,$C136),AA147))),0)</f>
        <v>0</v>
      </c>
      <c r="AC147" s="39">
        <f>+IFERROR(-ABS(IF(EDATE(_xlfn.XLOOKUP(1,$H134:$BE134,$H$4:$BE$4),12*Assumptions!$G$98+12)=AC$4,0,IF(AB134=1,PMT(Assumptions!$G$96,Assumptions!$G$98,$C136),AB147))),0)</f>
        <v>0</v>
      </c>
      <c r="AD147" s="39">
        <f>+IFERROR(-ABS(IF(EDATE(_xlfn.XLOOKUP(1,$H134:$BE134,$H$4:$BE$4),12*Assumptions!$G$98+12)=AD$4,0,IF(AC134=1,PMT(Assumptions!$G$96,Assumptions!$G$98,$C136),AC147))),0)</f>
        <v>0</v>
      </c>
      <c r="AE147" s="39">
        <f>+IFERROR(-ABS(IF(EDATE(_xlfn.XLOOKUP(1,$H134:$BE134,$H$4:$BE$4),12*Assumptions!$G$98+12)=AE$4,0,IF(AD134=1,PMT(Assumptions!$G$96,Assumptions!$G$98,$C136),AD147))),0)</f>
        <v>0</v>
      </c>
      <c r="AF147" s="39">
        <f>+IFERROR(-ABS(IF(EDATE(_xlfn.XLOOKUP(1,$H134:$BE134,$H$4:$BE$4),12*Assumptions!$G$98+12)=AF$4,0,IF(AE134=1,PMT(Assumptions!$G$96,Assumptions!$G$98,$C136),AE147))),0)</f>
        <v>0</v>
      </c>
      <c r="AG147" s="39">
        <f>+IFERROR(-ABS(IF(EDATE(_xlfn.XLOOKUP(1,$H134:$BE134,$H$4:$BE$4),12*Assumptions!$G$98+12)=AG$4,0,IF(AF134=1,PMT(Assumptions!$G$96,Assumptions!$G$98,$C136),AF147))),0)</f>
        <v>0</v>
      </c>
      <c r="AH147" s="39">
        <f>+IFERROR(-ABS(IF(EDATE(_xlfn.XLOOKUP(1,$H134:$BE134,$H$4:$BE$4),12*Assumptions!$G$98+12)=AH$4,0,IF(AG134=1,PMT(Assumptions!$G$96,Assumptions!$G$98,$C136),AG147))),0)</f>
        <v>0</v>
      </c>
      <c r="AI147" s="39">
        <f>+IFERROR(-ABS(IF(EDATE(_xlfn.XLOOKUP(1,$H134:$BE134,$H$4:$BE$4),12*Assumptions!$G$98+12)=AI$4,0,IF(AH134=1,PMT(Assumptions!$G$96,Assumptions!$G$98,$C136),AH147))),0)</f>
        <v>0</v>
      </c>
      <c r="AJ147" s="39">
        <f>+IFERROR(-ABS(IF(EDATE(_xlfn.XLOOKUP(1,$H134:$BE134,$H$4:$BE$4),12*Assumptions!$G$98+12)=AJ$4,0,IF(AI134=1,PMT(Assumptions!$G$96,Assumptions!$G$98,$C136),AI147))),0)</f>
        <v>0</v>
      </c>
      <c r="AK147" s="39">
        <f>+IFERROR(-ABS(IF(EDATE(_xlfn.XLOOKUP(1,$H134:$BE134,$H$4:$BE$4),12*Assumptions!$G$98+12)=AK$4,0,IF(AJ134=1,PMT(Assumptions!$G$96,Assumptions!$G$98,$C136),AJ147))),0)</f>
        <v>0</v>
      </c>
      <c r="AL147" s="39">
        <f>+IFERROR(-ABS(IF(EDATE(_xlfn.XLOOKUP(1,$H134:$BE134,$H$4:$BE$4),12*Assumptions!$G$98+12)=AL$4,0,IF(AK134=1,PMT(Assumptions!$G$96,Assumptions!$G$98,$C136),AK147))),0)</f>
        <v>0</v>
      </c>
      <c r="AM147" s="39">
        <f>+IFERROR(-ABS(IF(EDATE(_xlfn.XLOOKUP(1,$H134:$BE134,$H$4:$BE$4),12*Assumptions!$G$98+12)=AM$4,0,IF(AL134=1,PMT(Assumptions!$G$96,Assumptions!$G$98,$C136),AL147))),0)</f>
        <v>0</v>
      </c>
      <c r="AN147" s="39">
        <f>+IFERROR(-ABS(IF(EDATE(_xlfn.XLOOKUP(1,$H134:$BE134,$H$4:$BE$4),12*Assumptions!$G$98+12)=AN$4,0,IF(AM134=1,PMT(Assumptions!$G$96,Assumptions!$G$98,$C136),AM147))),0)</f>
        <v>0</v>
      </c>
      <c r="AO147" s="39">
        <f>+IFERROR(-ABS(IF(EDATE(_xlfn.XLOOKUP(1,$H134:$BE134,$H$4:$BE$4),12*Assumptions!$G$98+12)=AO$4,0,IF(AN134=1,PMT(Assumptions!$G$96,Assumptions!$G$98,$C136),AN147))),0)</f>
        <v>0</v>
      </c>
      <c r="AP147" s="39">
        <f>+IFERROR(-ABS(IF(EDATE(_xlfn.XLOOKUP(1,$H134:$BE134,$H$4:$BE$4),12*Assumptions!$G$98+12)=AP$4,0,IF(AO134=1,PMT(Assumptions!$G$96,Assumptions!$G$98,$C136),AO147))),0)</f>
        <v>0</v>
      </c>
      <c r="AQ147" s="39">
        <f>+IFERROR(-ABS(IF(EDATE(_xlfn.XLOOKUP(1,$H134:$BE134,$H$4:$BE$4),12*Assumptions!$G$98+12)=AQ$4,0,IF(AP134=1,PMT(Assumptions!$G$96,Assumptions!$G$98,$C136),AP147))),0)</f>
        <v>0</v>
      </c>
      <c r="AR147" s="39">
        <f>+IFERROR(-ABS(IF(EDATE(_xlfn.XLOOKUP(1,$H134:$BE134,$H$4:$BE$4),12*Assumptions!$G$98+12)=AR$4,0,IF(AQ134=1,PMT(Assumptions!$G$96,Assumptions!$G$98,$C136),AQ147))),0)</f>
        <v>0</v>
      </c>
      <c r="AS147" s="39">
        <f>+IFERROR(-ABS(IF(EDATE(_xlfn.XLOOKUP(1,$H134:$BE134,$H$4:$BE$4),12*Assumptions!$G$98+12)=AS$4,0,IF(AR134=1,PMT(Assumptions!$G$96,Assumptions!$G$98,$C136),AR147))),0)</f>
        <v>0</v>
      </c>
      <c r="AT147" s="39">
        <f>+IFERROR(-ABS(IF(EDATE(_xlfn.XLOOKUP(1,$H134:$BE134,$H$4:$BE$4),12*Assumptions!$G$98+12)=AT$4,0,IF(AS134=1,PMT(Assumptions!$G$96,Assumptions!$G$98,$C136),AS147))),0)</f>
        <v>0</v>
      </c>
      <c r="AU147" s="39">
        <f>+IFERROR(-ABS(IF(EDATE(_xlfn.XLOOKUP(1,$H134:$BE134,$H$4:$BE$4),12*Assumptions!$G$98+12)=AU$4,0,IF(AT134=1,PMT(Assumptions!$G$96,Assumptions!$G$98,$C136),AT147))),0)</f>
        <v>0</v>
      </c>
      <c r="AV147" s="39">
        <f>+IFERROR(-ABS(IF(EDATE(_xlfn.XLOOKUP(1,$H134:$BE134,$H$4:$BE$4),12*Assumptions!$G$98+12)=AV$4,0,IF(AU134=1,PMT(Assumptions!$G$96,Assumptions!$G$98,$C136),AU147))),0)</f>
        <v>0</v>
      </c>
      <c r="AW147" s="39">
        <f>+IFERROR(-ABS(IF(EDATE(_xlfn.XLOOKUP(1,$H134:$BE134,$H$4:$BE$4),12*Assumptions!$G$98+12)=AW$4,0,IF(AV134=1,PMT(Assumptions!$G$96,Assumptions!$G$98,$C136),AV147))),0)</f>
        <v>0</v>
      </c>
      <c r="AX147" s="39">
        <f>+IFERROR(-ABS(IF(EDATE(_xlfn.XLOOKUP(1,$H134:$BE134,$H$4:$BE$4),12*Assumptions!$G$98+12)=AX$4,0,IF(AW134=1,PMT(Assumptions!$G$96,Assumptions!$G$98,$C136),AW147))),0)</f>
        <v>0</v>
      </c>
      <c r="AY147" s="39">
        <f>+IFERROR(-ABS(IF(EDATE(_xlfn.XLOOKUP(1,$H134:$BE134,$H$4:$BE$4),12*Assumptions!$G$98+12)=AY$4,0,IF(AX134=1,PMT(Assumptions!$G$96,Assumptions!$G$98,$C136),AX147))),0)</f>
        <v>0</v>
      </c>
      <c r="AZ147" s="39">
        <f>+IFERROR(-ABS(IF(EDATE(_xlfn.XLOOKUP(1,$H134:$BE134,$H$4:$BE$4),12*Assumptions!$G$98+12)=AZ$4,0,IF(AY134=1,PMT(Assumptions!$G$96,Assumptions!$G$98,$C136),AY147))),0)</f>
        <v>0</v>
      </c>
      <c r="BA147" s="39">
        <f>+IFERROR(-ABS(IF(EDATE(_xlfn.XLOOKUP(1,$H134:$BE134,$H$4:$BE$4),12*Assumptions!$G$98+12)=BA$4,0,IF(AZ134=1,PMT(Assumptions!$G$96,Assumptions!$G$98,$C136),AZ147))),0)</f>
        <v>0</v>
      </c>
      <c r="BB147" s="39">
        <f>+IFERROR(-ABS(IF(EDATE(_xlfn.XLOOKUP(1,$H134:$BE134,$H$4:$BE$4),12*Assumptions!$G$98+12)=BB$4,0,IF(BA134=1,PMT(Assumptions!$G$96,Assumptions!$G$98,$C136),BA147))),0)</f>
        <v>0</v>
      </c>
      <c r="BC147" s="39">
        <f>+IFERROR(-ABS(IF(EDATE(_xlfn.XLOOKUP(1,$H134:$BE134,$H$4:$BE$4),12*Assumptions!$G$98+12)=BC$4,0,IF(BB134=1,PMT(Assumptions!$G$96,Assumptions!$G$98,$C136),BB147))),0)</f>
        <v>0</v>
      </c>
      <c r="BD147" s="39">
        <f>+IFERROR(-ABS(IF(EDATE(_xlfn.XLOOKUP(1,$H134:$BE134,$H$4:$BE$4),12*Assumptions!$G$98+12)=BD$4,0,IF(BC134=1,PMT(Assumptions!$G$96,Assumptions!$G$98,$C136),BC147))),0)</f>
        <v>0</v>
      </c>
      <c r="BE147" s="39">
        <f>+IFERROR(-ABS(IF(EDATE(_xlfn.XLOOKUP(1,$H134:$BE134,$H$4:$BE$4),12*Assumptions!$G$98+12)=BE$4,0,IF(BD134=1,PMT(Assumptions!$G$96,Assumptions!$G$98,$C136),BD147))),0)</f>
        <v>0</v>
      </c>
      <c r="BF147" s="39">
        <f>+IFERROR(-ABS(IF(EDATE(_xlfn.XLOOKUP(1,$H134:$BE134,$H$4:$BE$4),12*Assumptions!$G$98+12)=BF$4,0,IF(BE134=1,PMT(Assumptions!$G$96,Assumptions!$G$98,$C136),BE147))),0)</f>
        <v>0</v>
      </c>
      <c r="BG147" s="39">
        <f>+IFERROR(-ABS(IF(EDATE(_xlfn.XLOOKUP(1,$H134:$BE134,$H$4:$BE$4),12*Assumptions!$G$98+12)=BG$4,0,IF(BF134=1,PMT(Assumptions!$G$96,Assumptions!$G$98,$C136),BF147))),0)</f>
        <v>0</v>
      </c>
      <c r="BH147" s="39">
        <f>+IFERROR(-ABS(IF(EDATE(_xlfn.XLOOKUP(1,$H134:$BE134,$H$4:$BE$4),12*Assumptions!$G$98+12)=BH$4,0,IF(BG134=1,PMT(Assumptions!$G$96,Assumptions!$G$98,$C136),BG147))),0)</f>
        <v>0</v>
      </c>
      <c r="BI147" s="39">
        <f>+IFERROR(-ABS(IF(EDATE(_xlfn.XLOOKUP(1,$H134:$BE134,$H$4:$BE$4),12*Assumptions!$G$98+12)=BI$4,0,IF(BH134=1,PMT(Assumptions!$G$96,Assumptions!$G$98,$C136),BH147))),0)</f>
        <v>0</v>
      </c>
      <c r="BJ147" s="39">
        <f>+IFERROR(-ABS(IF(EDATE(_xlfn.XLOOKUP(1,$H134:$BE134,$H$4:$BE$4),12*Assumptions!$G$98+12)=BJ$4,0,IF(BI134=1,PMT(Assumptions!$G$96,Assumptions!$G$98,$C136),BI147))),0)</f>
        <v>0</v>
      </c>
      <c r="BK147" s="39">
        <f>+IFERROR(-ABS(IF(EDATE(_xlfn.XLOOKUP(1,$H134:$BE134,$H$4:$BE$4),12*Assumptions!$G$98+12)=BK$4,0,IF(BJ134=1,PMT(Assumptions!$G$96,Assumptions!$G$98,$C136),BJ147))),0)</f>
        <v>0</v>
      </c>
      <c r="BL147" s="39">
        <f>+IFERROR(-ABS(IF(EDATE(_xlfn.XLOOKUP(1,$H134:$BE134,$H$4:$BE$4),12*Assumptions!$G$98+12)=BL$4,0,IF(BK134=1,PMT(Assumptions!$G$96,Assumptions!$G$98,$C136),BK147))),0)</f>
        <v>0</v>
      </c>
      <c r="BM147" s="39">
        <f>+IFERROR(-ABS(IF(EDATE(_xlfn.XLOOKUP(1,$H134:$BE134,$H$4:$BE$4),12*Assumptions!$G$98+12)=BM$4,0,IF(BL134=1,PMT(Assumptions!$G$96,Assumptions!$G$98,$C136),BL147))),0)</f>
        <v>0</v>
      </c>
      <c r="BN147" s="39">
        <f>+IFERROR(-ABS(IF(EDATE(_xlfn.XLOOKUP(1,$H134:$BE134,$H$4:$BE$4),12*Assumptions!$G$98+12)=BN$4,0,IF(BM134=1,PMT(Assumptions!$G$96,Assumptions!$G$98,$C136),BM147))),0)</f>
        <v>0</v>
      </c>
      <c r="BO147" s="39">
        <f>+IFERROR(-ABS(IF(EDATE(_xlfn.XLOOKUP(1,$H134:$BE134,$H$4:$BE$4),12*Assumptions!$G$98+12)=BO$4,0,IF(BN134=1,PMT(Assumptions!$G$96,Assumptions!$G$98,$C136),BN147))),0)</f>
        <v>0</v>
      </c>
      <c r="BP147" s="39">
        <f>+IFERROR(-ABS(IF(EDATE(_xlfn.XLOOKUP(1,$H134:$BE134,$H$4:$BE$4),12*Assumptions!$G$98+12)=BP$4,0,IF(BO134=1,PMT(Assumptions!$G$96,Assumptions!$G$98,$C136),BO147))),0)</f>
        <v>0</v>
      </c>
      <c r="BQ147" s="39">
        <f>+IFERROR(-ABS(IF(EDATE(_xlfn.XLOOKUP(1,$H134:$BE134,$H$4:$BE$4),12*Assumptions!$G$98+12)=BQ$4,0,IF(BP134=1,PMT(Assumptions!$G$96,Assumptions!$G$98,$C136),BP147))),0)</f>
        <v>0</v>
      </c>
      <c r="BR147" s="39">
        <f>+IFERROR(-ABS(IF(EDATE(_xlfn.XLOOKUP(1,$H134:$BE134,$H$4:$BE$4),12*Assumptions!$G$98+12)=BR$4,0,IF(BQ134=1,PMT(Assumptions!$G$96,Assumptions!$G$98,$C136),BQ147))),0)</f>
        <v>0</v>
      </c>
      <c r="BS147" s="39">
        <f>+IFERROR(-ABS(IF(EDATE(_xlfn.XLOOKUP(1,$H134:$BE134,$H$4:$BE$4),12*Assumptions!$G$98+12)=BS$4,0,IF(BR134=1,PMT(Assumptions!$G$96,Assumptions!$G$98,$C136),BR147))),0)</f>
        <v>0</v>
      </c>
      <c r="BT147" s="39">
        <f>+IFERROR(-ABS(IF(EDATE(_xlfn.XLOOKUP(1,$H134:$BE134,$H$4:$BE$4),12*Assumptions!$G$98+12)=BT$4,0,IF(BS134=1,PMT(Assumptions!$G$96,Assumptions!$G$98,$C136),BS147))),0)</f>
        <v>0</v>
      </c>
      <c r="BU147" s="39">
        <f>+IFERROR(-ABS(IF(EDATE(_xlfn.XLOOKUP(1,$H134:$BE134,$H$4:$BE$4),12*Assumptions!$G$98+12)=BU$4,0,IF(BT134=1,PMT(Assumptions!$G$96,Assumptions!$G$98,$C136),BT147))),0)</f>
        <v>0</v>
      </c>
      <c r="BV147" s="39">
        <f>+IFERROR(-ABS(IF(EDATE(_xlfn.XLOOKUP(1,$H134:$BE134,$H$4:$BE$4),12*Assumptions!$G$98+12)=BV$4,0,IF(BU134=1,PMT(Assumptions!$G$96,Assumptions!$G$98,$C136),BU147))),0)</f>
        <v>0</v>
      </c>
      <c r="BW147" s="39">
        <f>+IFERROR(-ABS(IF(EDATE(_xlfn.XLOOKUP(1,$H134:$BE134,$H$4:$BE$4),12*Assumptions!$G$98+12)=BW$4,0,IF(BV134=1,PMT(Assumptions!$G$96,Assumptions!$G$98,$C136),BV147))),0)</f>
        <v>0</v>
      </c>
      <c r="BX147" s="39">
        <f>+IFERROR(-ABS(IF(EDATE(_xlfn.XLOOKUP(1,$H134:$BE134,$H$4:$BE$4),12*Assumptions!$G$98+12)=BX$4,0,IF(BW134=1,PMT(Assumptions!$G$96,Assumptions!$G$98,$C136),BW147))),0)</f>
        <v>0</v>
      </c>
      <c r="BY147" s="39">
        <f>+IFERROR(-ABS(IF(EDATE(_xlfn.XLOOKUP(1,$H134:$BE134,$H$4:$BE$4),12*Assumptions!$G$98+12)=BY$4,0,IF(BX134=1,PMT(Assumptions!$G$96,Assumptions!$G$98,$C136),BX147))),0)</f>
        <v>0</v>
      </c>
    </row>
    <row r="148" spans="2:77" outlineLevel="1">
      <c r="E148" s="24" t="s">
        <v>519</v>
      </c>
      <c r="F148" s="80" t="str">
        <f>+Assumptions!$G$8</f>
        <v>USD</v>
      </c>
      <c r="G148" s="24"/>
      <c r="H148" s="39">
        <f>+IFERROR(-ABS(IF(EDATE(_xlfn.XLOOKUP(1,$H135:$BE135,$H$4:$BE$4),12*Assumptions!$G$98+12)=H$4,0,IF(G135=1,PMT(Assumptions!$G$96,Assumptions!$G$98,$C137),G148))),0)</f>
        <v>0</v>
      </c>
      <c r="I148" s="39">
        <f>+IFERROR(-ABS(IF(EDATE(_xlfn.XLOOKUP(1,$H135:$BE135,$H$4:$BE$4),12*Assumptions!$G$98+12)=I$4,0,IF(H135=1,PMT(Assumptions!$G$96,Assumptions!$G$98,$C137),H148))),0)</f>
        <v>0</v>
      </c>
      <c r="J148" s="39">
        <f>+IFERROR(-ABS(IF(EDATE(_xlfn.XLOOKUP(1,$H135:$BE135,$H$4:$BE$4),12*Assumptions!$G$98+12)=J$4,0,IF(I135=1,PMT(Assumptions!$G$96,Assumptions!$G$98,$C137),I148))),0)</f>
        <v>0</v>
      </c>
      <c r="K148" s="39">
        <f>+IFERROR(-ABS(IF(EDATE(_xlfn.XLOOKUP(1,$H135:$BE135,$H$4:$BE$4),12*Assumptions!$G$98+12)=K$4,0,IF(J135=1,PMT(Assumptions!$G$96,Assumptions!$G$98,$C137),J148))),0)</f>
        <v>0</v>
      </c>
      <c r="L148" s="39">
        <f>+IFERROR(-ABS(IF(EDATE(_xlfn.XLOOKUP(1,$H135:$BE135,$H$4:$BE$4),12*Assumptions!$G$98+12)=L$4,0,IF(K135=1,PMT(Assumptions!$G$96,Assumptions!$G$98,$C137),K148))),0)</f>
        <v>0</v>
      </c>
      <c r="M148" s="39">
        <f>+IFERROR(-ABS(IF(EDATE(_xlfn.XLOOKUP(1,$H135:$BE135,$H$4:$BE$4),12*Assumptions!$G$98+12)=M$4,0,IF(L135=1,PMT(Assumptions!$G$96,Assumptions!$G$98,$C137),L148))),0)</f>
        <v>0</v>
      </c>
      <c r="N148" s="39">
        <f>+IFERROR(-ABS(IF(EDATE(_xlfn.XLOOKUP(1,$H135:$BE135,$H$4:$BE$4),12*Assumptions!$G$98+12)=N$4,0,IF(M135=1,PMT(Assumptions!$G$96,Assumptions!$G$98,$C137),M148))),0)</f>
        <v>0</v>
      </c>
      <c r="O148" s="39">
        <f>+IFERROR(-ABS(IF(EDATE(_xlfn.XLOOKUP(1,$H135:$BE135,$H$4:$BE$4),12*Assumptions!$G$98+12)=O$4,0,IF(N135=1,PMT(Assumptions!$G$96,Assumptions!$G$98,$C137),N148))),0)</f>
        <v>0</v>
      </c>
      <c r="P148" s="39">
        <f>+IFERROR(-ABS(IF(EDATE(_xlfn.XLOOKUP(1,$H135:$BE135,$H$4:$BE$4),12*Assumptions!$G$98+12)=P$4,0,IF(O135=1,PMT(Assumptions!$G$96,Assumptions!$G$98,$C137),O148))),0)</f>
        <v>0</v>
      </c>
      <c r="Q148" s="39">
        <f>+IFERROR(-ABS(IF(EDATE(_xlfn.XLOOKUP(1,$H135:$BE135,$H$4:$BE$4),12*Assumptions!$G$98+12)=Q$4,0,IF(P135=1,PMT(Assumptions!$G$96,Assumptions!$G$98,$C137),P148))),0)</f>
        <v>0</v>
      </c>
      <c r="R148" s="39">
        <f>+IFERROR(-ABS(IF(EDATE(_xlfn.XLOOKUP(1,$H135:$BE135,$H$4:$BE$4),12*Assumptions!$G$98+12)=R$4,0,IF(Q135=1,PMT(Assumptions!$G$96,Assumptions!$G$98,$C137),Q148))),0)</f>
        <v>0</v>
      </c>
      <c r="S148" s="39">
        <f>+IFERROR(-ABS(IF(EDATE(_xlfn.XLOOKUP(1,$H135:$BE135,$H$4:$BE$4),12*Assumptions!$G$98+12)=S$4,0,IF(R135=1,PMT(Assumptions!$G$96,Assumptions!$G$98,$C137),R148))),0)</f>
        <v>0</v>
      </c>
      <c r="T148" s="39">
        <f>+IFERROR(-ABS(IF(EDATE(_xlfn.XLOOKUP(1,$H135:$BE135,$H$4:$BE$4),12*Assumptions!$G$98+12)=T$4,0,IF(S135=1,PMT(Assumptions!$G$96,Assumptions!$G$98,$C137),S148))),0)</f>
        <v>0</v>
      </c>
      <c r="U148" s="39">
        <f>+IFERROR(-ABS(IF(EDATE(_xlfn.XLOOKUP(1,$H135:$BE135,$H$4:$BE$4),12*Assumptions!$G$98+12)=U$4,0,IF(T135=1,PMT(Assumptions!$G$96,Assumptions!$G$98,$C137),T148))),0)</f>
        <v>0</v>
      </c>
      <c r="V148" s="39">
        <f>+IFERROR(-ABS(IF(EDATE(_xlfn.XLOOKUP(1,$H135:$BE135,$H$4:$BE$4),12*Assumptions!$G$98+12)=V$4,0,IF(U135=1,PMT(Assumptions!$G$96,Assumptions!$G$98,$C137),U148))),0)</f>
        <v>0</v>
      </c>
      <c r="W148" s="39">
        <f>+IFERROR(-ABS(IF(EDATE(_xlfn.XLOOKUP(1,$H135:$BE135,$H$4:$BE$4),12*Assumptions!$G$98+12)=W$4,0,IF(V135=1,PMT(Assumptions!$G$96,Assumptions!$G$98,$C137),V148))),0)</f>
        <v>0</v>
      </c>
      <c r="X148" s="39">
        <f>+IFERROR(-ABS(IF(EDATE(_xlfn.XLOOKUP(1,$H135:$BE135,$H$4:$BE$4),12*Assumptions!$G$98+12)=X$4,0,IF(W135=1,PMT(Assumptions!$G$96,Assumptions!$G$98,$C137),W148))),0)</f>
        <v>0</v>
      </c>
      <c r="Y148" s="39">
        <f>+IFERROR(-ABS(IF(EDATE(_xlfn.XLOOKUP(1,$H135:$BE135,$H$4:$BE$4),12*Assumptions!$G$98+12)=Y$4,0,IF(X135=1,PMT(Assumptions!$G$96,Assumptions!$G$98,$C137),X148))),0)</f>
        <v>0</v>
      </c>
      <c r="Z148" s="39">
        <f>+IFERROR(-ABS(IF(EDATE(_xlfn.XLOOKUP(1,$H135:$BE135,$H$4:$BE$4),12*Assumptions!$G$98+12)=Z$4,0,IF(Y135=1,PMT(Assumptions!$G$96,Assumptions!$G$98,$C137),Y148))),0)</f>
        <v>0</v>
      </c>
      <c r="AA148" s="39">
        <f>+IFERROR(-ABS(IF(EDATE(_xlfn.XLOOKUP(1,$H135:$BE135,$H$4:$BE$4),12*Assumptions!$G$98+12)=AA$4,0,IF(Z135=1,PMT(Assumptions!$G$96,Assumptions!$G$98,$C137),Z148))),0)</f>
        <v>0</v>
      </c>
      <c r="AB148" s="39">
        <f>+IFERROR(-ABS(IF(EDATE(_xlfn.XLOOKUP(1,$H135:$BE135,$H$4:$BE$4),12*Assumptions!$G$98+12)=AB$4,0,IF(AA135=1,PMT(Assumptions!$G$96,Assumptions!$G$98,$C137),AA148))),0)</f>
        <v>0</v>
      </c>
      <c r="AC148" s="39">
        <f>+IFERROR(-ABS(IF(EDATE(_xlfn.XLOOKUP(1,$H135:$BE135,$H$4:$BE$4),12*Assumptions!$G$98+12)=AC$4,0,IF(AB135=1,PMT(Assumptions!$G$96,Assumptions!$G$98,$C137),AB148))),0)</f>
        <v>0</v>
      </c>
      <c r="AD148" s="39">
        <f>+IFERROR(-ABS(IF(EDATE(_xlfn.XLOOKUP(1,$H135:$BE135,$H$4:$BE$4),12*Assumptions!$G$98+12)=AD$4,0,IF(AC135=1,PMT(Assumptions!$G$96,Assumptions!$G$98,$C137),AC148))),0)</f>
        <v>0</v>
      </c>
      <c r="AE148" s="39">
        <f>+IFERROR(-ABS(IF(EDATE(_xlfn.XLOOKUP(1,$H135:$BE135,$H$4:$BE$4),12*Assumptions!$G$98+12)=AE$4,0,IF(AD135=1,PMT(Assumptions!$G$96,Assumptions!$G$98,$C137),AD148))),0)</f>
        <v>0</v>
      </c>
      <c r="AF148" s="39">
        <f>+IFERROR(-ABS(IF(EDATE(_xlfn.XLOOKUP(1,$H135:$BE135,$H$4:$BE$4),12*Assumptions!$G$98+12)=AF$4,0,IF(AE135=1,PMT(Assumptions!$G$96,Assumptions!$G$98,$C137),AE148))),0)</f>
        <v>0</v>
      </c>
      <c r="AG148" s="39">
        <f>+IFERROR(-ABS(IF(EDATE(_xlfn.XLOOKUP(1,$H135:$BE135,$H$4:$BE$4),12*Assumptions!$G$98+12)=AG$4,0,IF(AF135=1,PMT(Assumptions!$G$96,Assumptions!$G$98,$C137),AF148))),0)</f>
        <v>0</v>
      </c>
      <c r="AH148" s="39">
        <f>+IFERROR(-ABS(IF(EDATE(_xlfn.XLOOKUP(1,$H135:$BE135,$H$4:$BE$4),12*Assumptions!$G$98+12)=AH$4,0,IF(AG135=1,PMT(Assumptions!$G$96,Assumptions!$G$98,$C137),AG148))),0)</f>
        <v>0</v>
      </c>
      <c r="AI148" s="39">
        <f>+IFERROR(-ABS(IF(EDATE(_xlfn.XLOOKUP(1,$H135:$BE135,$H$4:$BE$4),12*Assumptions!$G$98+12)=AI$4,0,IF(AH135=1,PMT(Assumptions!$G$96,Assumptions!$G$98,$C137),AH148))),0)</f>
        <v>0</v>
      </c>
      <c r="AJ148" s="39">
        <f>+IFERROR(-ABS(IF(EDATE(_xlfn.XLOOKUP(1,$H135:$BE135,$H$4:$BE$4),12*Assumptions!$G$98+12)=AJ$4,0,IF(AI135=1,PMT(Assumptions!$G$96,Assumptions!$G$98,$C137),AI148))),0)</f>
        <v>0</v>
      </c>
      <c r="AK148" s="39">
        <f>+IFERROR(-ABS(IF(EDATE(_xlfn.XLOOKUP(1,$H135:$BE135,$H$4:$BE$4),12*Assumptions!$G$98+12)=AK$4,0,IF(AJ135=1,PMT(Assumptions!$G$96,Assumptions!$G$98,$C137),AJ148))),0)</f>
        <v>0</v>
      </c>
      <c r="AL148" s="39">
        <f>+IFERROR(-ABS(IF(EDATE(_xlfn.XLOOKUP(1,$H135:$BE135,$H$4:$BE$4),12*Assumptions!$G$98+12)=AL$4,0,IF(AK135=1,PMT(Assumptions!$G$96,Assumptions!$G$98,$C137),AK148))),0)</f>
        <v>0</v>
      </c>
      <c r="AM148" s="39">
        <f>+IFERROR(-ABS(IF(EDATE(_xlfn.XLOOKUP(1,$H135:$BE135,$H$4:$BE$4),12*Assumptions!$G$98+12)=AM$4,0,IF(AL135=1,PMT(Assumptions!$G$96,Assumptions!$G$98,$C137),AL148))),0)</f>
        <v>0</v>
      </c>
      <c r="AN148" s="39">
        <f>+IFERROR(-ABS(IF(EDATE(_xlfn.XLOOKUP(1,$H135:$BE135,$H$4:$BE$4),12*Assumptions!$G$98+12)=AN$4,0,IF(AM135=1,PMT(Assumptions!$G$96,Assumptions!$G$98,$C137),AM148))),0)</f>
        <v>0</v>
      </c>
      <c r="AO148" s="39">
        <f>+IFERROR(-ABS(IF(EDATE(_xlfn.XLOOKUP(1,$H135:$BE135,$H$4:$BE$4),12*Assumptions!$G$98+12)=AO$4,0,IF(AN135=1,PMT(Assumptions!$G$96,Assumptions!$G$98,$C137),AN148))),0)</f>
        <v>0</v>
      </c>
      <c r="AP148" s="39">
        <f>+IFERROR(-ABS(IF(EDATE(_xlfn.XLOOKUP(1,$H135:$BE135,$H$4:$BE$4),12*Assumptions!$G$98+12)=AP$4,0,IF(AO135=1,PMT(Assumptions!$G$96,Assumptions!$G$98,$C137),AO148))),0)</f>
        <v>0</v>
      </c>
      <c r="AQ148" s="39">
        <f>+IFERROR(-ABS(IF(EDATE(_xlfn.XLOOKUP(1,$H135:$BE135,$H$4:$BE$4),12*Assumptions!$G$98+12)=AQ$4,0,IF(AP135=1,PMT(Assumptions!$G$96,Assumptions!$G$98,$C137),AP148))),0)</f>
        <v>0</v>
      </c>
      <c r="AR148" s="39">
        <f>+IFERROR(-ABS(IF(EDATE(_xlfn.XLOOKUP(1,$H135:$BE135,$H$4:$BE$4),12*Assumptions!$G$98+12)=AR$4,0,IF(AQ135=1,PMT(Assumptions!$G$96,Assumptions!$G$98,$C137),AQ148))),0)</f>
        <v>0</v>
      </c>
      <c r="AS148" s="39">
        <f>+IFERROR(-ABS(IF(EDATE(_xlfn.XLOOKUP(1,$H135:$BE135,$H$4:$BE$4),12*Assumptions!$G$98+12)=AS$4,0,IF(AR135=1,PMT(Assumptions!$G$96,Assumptions!$G$98,$C137),AR148))),0)</f>
        <v>0</v>
      </c>
      <c r="AT148" s="39">
        <f>+IFERROR(-ABS(IF(EDATE(_xlfn.XLOOKUP(1,$H135:$BE135,$H$4:$BE$4),12*Assumptions!$G$98+12)=AT$4,0,IF(AS135=1,PMT(Assumptions!$G$96,Assumptions!$G$98,$C137),AS148))),0)</f>
        <v>0</v>
      </c>
      <c r="AU148" s="39">
        <f>+IFERROR(-ABS(IF(EDATE(_xlfn.XLOOKUP(1,$H135:$BE135,$H$4:$BE$4),12*Assumptions!$G$98+12)=AU$4,0,IF(AT135=1,PMT(Assumptions!$G$96,Assumptions!$G$98,$C137),AT148))),0)</f>
        <v>0</v>
      </c>
      <c r="AV148" s="39">
        <f>+IFERROR(-ABS(IF(EDATE(_xlfn.XLOOKUP(1,$H135:$BE135,$H$4:$BE$4),12*Assumptions!$G$98+12)=AV$4,0,IF(AU135=1,PMT(Assumptions!$G$96,Assumptions!$G$98,$C137),AU148))),0)</f>
        <v>0</v>
      </c>
      <c r="AW148" s="39">
        <f>+IFERROR(-ABS(IF(EDATE(_xlfn.XLOOKUP(1,$H135:$BE135,$H$4:$BE$4),12*Assumptions!$G$98+12)=AW$4,0,IF(AV135=1,PMT(Assumptions!$G$96,Assumptions!$G$98,$C137),AV148))),0)</f>
        <v>0</v>
      </c>
      <c r="AX148" s="39">
        <f>+IFERROR(-ABS(IF(EDATE(_xlfn.XLOOKUP(1,$H135:$BE135,$H$4:$BE$4),12*Assumptions!$G$98+12)=AX$4,0,IF(AW135=1,PMT(Assumptions!$G$96,Assumptions!$G$98,$C137),AW148))),0)</f>
        <v>0</v>
      </c>
      <c r="AY148" s="39">
        <f>+IFERROR(-ABS(IF(EDATE(_xlfn.XLOOKUP(1,$H135:$BE135,$H$4:$BE$4),12*Assumptions!$G$98+12)=AY$4,0,IF(AX135=1,PMT(Assumptions!$G$96,Assumptions!$G$98,$C137),AX148))),0)</f>
        <v>0</v>
      </c>
      <c r="AZ148" s="39">
        <f>+IFERROR(-ABS(IF(EDATE(_xlfn.XLOOKUP(1,$H135:$BE135,$H$4:$BE$4),12*Assumptions!$G$98+12)=AZ$4,0,IF(AY135=1,PMT(Assumptions!$G$96,Assumptions!$G$98,$C137),AY148))),0)</f>
        <v>0</v>
      </c>
      <c r="BA148" s="39">
        <f>+IFERROR(-ABS(IF(EDATE(_xlfn.XLOOKUP(1,$H135:$BE135,$H$4:$BE$4),12*Assumptions!$G$98+12)=BA$4,0,IF(AZ135=1,PMT(Assumptions!$G$96,Assumptions!$G$98,$C137),AZ148))),0)</f>
        <v>0</v>
      </c>
      <c r="BB148" s="39">
        <f>+IFERROR(-ABS(IF(EDATE(_xlfn.XLOOKUP(1,$H135:$BE135,$H$4:$BE$4),12*Assumptions!$G$98+12)=BB$4,0,IF(BA135=1,PMT(Assumptions!$G$96,Assumptions!$G$98,$C137),BA148))),0)</f>
        <v>0</v>
      </c>
      <c r="BC148" s="39">
        <f>+IFERROR(-ABS(IF(EDATE(_xlfn.XLOOKUP(1,$H135:$BE135,$H$4:$BE$4),12*Assumptions!$G$98+12)=BC$4,0,IF(BB135=1,PMT(Assumptions!$G$96,Assumptions!$G$98,$C137),BB148))),0)</f>
        <v>0</v>
      </c>
      <c r="BD148" s="39">
        <f>+IFERROR(-ABS(IF(EDATE(_xlfn.XLOOKUP(1,$H135:$BE135,$H$4:$BE$4),12*Assumptions!$G$98+12)=BD$4,0,IF(BC135=1,PMT(Assumptions!$G$96,Assumptions!$G$98,$C137),BC148))),0)</f>
        <v>0</v>
      </c>
      <c r="BE148" s="39">
        <f>+IFERROR(-ABS(IF(EDATE(_xlfn.XLOOKUP(1,$H135:$BE135,$H$4:$BE$4),12*Assumptions!$G$98+12)=BE$4,0,IF(BD135=1,PMT(Assumptions!$G$96,Assumptions!$G$98,$C137),BD148))),0)</f>
        <v>0</v>
      </c>
      <c r="BF148" s="39">
        <f>+IFERROR(-ABS(IF(EDATE(_xlfn.XLOOKUP(1,$H135:$BE135,$H$4:$BE$4),12*Assumptions!$G$98+12)=BF$4,0,IF(BE135=1,PMT(Assumptions!$G$96,Assumptions!$G$98,$C137),BE148))),0)</f>
        <v>0</v>
      </c>
      <c r="BG148" s="39">
        <f>+IFERROR(-ABS(IF(EDATE(_xlfn.XLOOKUP(1,$H135:$BE135,$H$4:$BE$4),12*Assumptions!$G$98+12)=BG$4,0,IF(BF135=1,PMT(Assumptions!$G$96,Assumptions!$G$98,$C137),BF148))),0)</f>
        <v>0</v>
      </c>
      <c r="BH148" s="39">
        <f>+IFERROR(-ABS(IF(EDATE(_xlfn.XLOOKUP(1,$H135:$BE135,$H$4:$BE$4),12*Assumptions!$G$98+12)=BH$4,0,IF(BG135=1,PMT(Assumptions!$G$96,Assumptions!$G$98,$C137),BG148))),0)</f>
        <v>0</v>
      </c>
      <c r="BI148" s="39">
        <f>+IFERROR(-ABS(IF(EDATE(_xlfn.XLOOKUP(1,$H135:$BE135,$H$4:$BE$4),12*Assumptions!$G$98+12)=BI$4,0,IF(BH135=1,PMT(Assumptions!$G$96,Assumptions!$G$98,$C137),BH148))),0)</f>
        <v>0</v>
      </c>
      <c r="BJ148" s="39">
        <f>+IFERROR(-ABS(IF(EDATE(_xlfn.XLOOKUP(1,$H135:$BE135,$H$4:$BE$4),12*Assumptions!$G$98+12)=BJ$4,0,IF(BI135=1,PMT(Assumptions!$G$96,Assumptions!$G$98,$C137),BI148))),0)</f>
        <v>0</v>
      </c>
      <c r="BK148" s="39">
        <f>+IFERROR(-ABS(IF(EDATE(_xlfn.XLOOKUP(1,$H135:$BE135,$H$4:$BE$4),12*Assumptions!$G$98+12)=BK$4,0,IF(BJ135=1,PMT(Assumptions!$G$96,Assumptions!$G$98,$C137),BJ148))),0)</f>
        <v>0</v>
      </c>
      <c r="BL148" s="39">
        <f>+IFERROR(-ABS(IF(EDATE(_xlfn.XLOOKUP(1,$H135:$BE135,$H$4:$BE$4),12*Assumptions!$G$98+12)=BL$4,0,IF(BK135=1,PMT(Assumptions!$G$96,Assumptions!$G$98,$C137),BK148))),0)</f>
        <v>0</v>
      </c>
      <c r="BM148" s="39">
        <f>+IFERROR(-ABS(IF(EDATE(_xlfn.XLOOKUP(1,$H135:$BE135,$H$4:$BE$4),12*Assumptions!$G$98+12)=BM$4,0,IF(BL135=1,PMT(Assumptions!$G$96,Assumptions!$G$98,$C137),BL148))),0)</f>
        <v>0</v>
      </c>
      <c r="BN148" s="39">
        <f>+IFERROR(-ABS(IF(EDATE(_xlfn.XLOOKUP(1,$H135:$BE135,$H$4:$BE$4),12*Assumptions!$G$98+12)=BN$4,0,IF(BM135=1,PMT(Assumptions!$G$96,Assumptions!$G$98,$C137),BM148))),0)</f>
        <v>0</v>
      </c>
      <c r="BO148" s="39">
        <f>+IFERROR(-ABS(IF(EDATE(_xlfn.XLOOKUP(1,$H135:$BE135,$H$4:$BE$4),12*Assumptions!$G$98+12)=BO$4,0,IF(BN135=1,PMT(Assumptions!$G$96,Assumptions!$G$98,$C137),BN148))),0)</f>
        <v>0</v>
      </c>
      <c r="BP148" s="39">
        <f>+IFERROR(-ABS(IF(EDATE(_xlfn.XLOOKUP(1,$H135:$BE135,$H$4:$BE$4),12*Assumptions!$G$98+12)=BP$4,0,IF(BO135=1,PMT(Assumptions!$G$96,Assumptions!$G$98,$C137),BO148))),0)</f>
        <v>0</v>
      </c>
      <c r="BQ148" s="39">
        <f>+IFERROR(-ABS(IF(EDATE(_xlfn.XLOOKUP(1,$H135:$BE135,$H$4:$BE$4),12*Assumptions!$G$98+12)=BQ$4,0,IF(BP135=1,PMT(Assumptions!$G$96,Assumptions!$G$98,$C137),BP148))),0)</f>
        <v>0</v>
      </c>
      <c r="BR148" s="39">
        <f>+IFERROR(-ABS(IF(EDATE(_xlfn.XLOOKUP(1,$H135:$BE135,$H$4:$BE$4),12*Assumptions!$G$98+12)=BR$4,0,IF(BQ135=1,PMT(Assumptions!$G$96,Assumptions!$G$98,$C137),BQ148))),0)</f>
        <v>0</v>
      </c>
      <c r="BS148" s="39">
        <f>+IFERROR(-ABS(IF(EDATE(_xlfn.XLOOKUP(1,$H135:$BE135,$H$4:$BE$4),12*Assumptions!$G$98+12)=BS$4,0,IF(BR135=1,PMT(Assumptions!$G$96,Assumptions!$G$98,$C137),BR148))),0)</f>
        <v>0</v>
      </c>
      <c r="BT148" s="39">
        <f>+IFERROR(-ABS(IF(EDATE(_xlfn.XLOOKUP(1,$H135:$BE135,$H$4:$BE$4),12*Assumptions!$G$98+12)=BT$4,0,IF(BS135=1,PMT(Assumptions!$G$96,Assumptions!$G$98,$C137),BS148))),0)</f>
        <v>0</v>
      </c>
      <c r="BU148" s="39">
        <f>+IFERROR(-ABS(IF(EDATE(_xlfn.XLOOKUP(1,$H135:$BE135,$H$4:$BE$4),12*Assumptions!$G$98+12)=BU$4,0,IF(BT135=1,PMT(Assumptions!$G$96,Assumptions!$G$98,$C137),BT148))),0)</f>
        <v>0</v>
      </c>
      <c r="BV148" s="39">
        <f>+IFERROR(-ABS(IF(EDATE(_xlfn.XLOOKUP(1,$H135:$BE135,$H$4:$BE$4),12*Assumptions!$G$98+12)=BV$4,0,IF(BU135=1,PMT(Assumptions!$G$96,Assumptions!$G$98,$C137),BU148))),0)</f>
        <v>0</v>
      </c>
      <c r="BW148" s="39">
        <f>+IFERROR(-ABS(IF(EDATE(_xlfn.XLOOKUP(1,$H135:$BE135,$H$4:$BE$4),12*Assumptions!$G$98+12)=BW$4,0,IF(BV135=1,PMT(Assumptions!$G$96,Assumptions!$G$98,$C137),BV148))),0)</f>
        <v>0</v>
      </c>
      <c r="BX148" s="39">
        <f>+IFERROR(-ABS(IF(EDATE(_xlfn.XLOOKUP(1,$H135:$BE135,$H$4:$BE$4),12*Assumptions!$G$98+12)=BX$4,0,IF(BW135=1,PMT(Assumptions!$G$96,Assumptions!$G$98,$C137),BW148))),0)</f>
        <v>0</v>
      </c>
      <c r="BY148" s="39">
        <f>+IFERROR(-ABS(IF(EDATE(_xlfn.XLOOKUP(1,$H135:$BE135,$H$4:$BE$4),12*Assumptions!$G$98+12)=BY$4,0,IF(BX135=1,PMT(Assumptions!$G$96,Assumptions!$G$98,$C137),BX148))),0)</f>
        <v>0</v>
      </c>
    </row>
    <row r="149" spans="2:77" outlineLevel="1">
      <c r="E149" s="24" t="s">
        <v>520</v>
      </c>
      <c r="F149" s="80" t="str">
        <f>+Assumptions!$G$8</f>
        <v>USD</v>
      </c>
      <c r="G149" s="24"/>
      <c r="H149" s="39">
        <f>+IFERROR(-ABS(IF(EDATE(_xlfn.XLOOKUP(1,$H136:$BE136,$H$4:$BE$4),12*Assumptions!$G$98+12)=H$4,0,IF(G136=1,PMT(Assumptions!$G$96,Assumptions!$G$98,$C138),G149))),0)</f>
        <v>0</v>
      </c>
      <c r="I149" s="39">
        <f>+IFERROR(-ABS(IF(EDATE(_xlfn.XLOOKUP(1,$H136:$BE136,$H$4:$BE$4),12*Assumptions!$G$98+12)=I$4,0,IF(H136=1,PMT(Assumptions!$G$96,Assumptions!$G$98,$C138),H149))),0)</f>
        <v>0</v>
      </c>
      <c r="J149" s="39">
        <f>+IFERROR(-ABS(IF(EDATE(_xlfn.XLOOKUP(1,$H136:$BE136,$H$4:$BE$4),12*Assumptions!$G$98+12)=J$4,0,IF(I136=1,PMT(Assumptions!$G$96,Assumptions!$G$98,$C138),I149))),0)</f>
        <v>0</v>
      </c>
      <c r="K149" s="39">
        <f>+IFERROR(-ABS(IF(EDATE(_xlfn.XLOOKUP(1,$H136:$BE136,$H$4:$BE$4),12*Assumptions!$G$98+12)=K$4,0,IF(J136=1,PMT(Assumptions!$G$96,Assumptions!$G$98,$C138),J149))),0)</f>
        <v>0</v>
      </c>
      <c r="L149" s="39">
        <f>+IFERROR(-ABS(IF(EDATE(_xlfn.XLOOKUP(1,$H136:$BE136,$H$4:$BE$4),12*Assumptions!$G$98+12)=L$4,0,IF(K136=1,PMT(Assumptions!$G$96,Assumptions!$G$98,$C138),K149))),0)</f>
        <v>0</v>
      </c>
      <c r="M149" s="39">
        <f>+IFERROR(-ABS(IF(EDATE(_xlfn.XLOOKUP(1,$H136:$BE136,$H$4:$BE$4),12*Assumptions!$G$98+12)=M$4,0,IF(L136=1,PMT(Assumptions!$G$96,Assumptions!$G$98,$C138),L149))),0)</f>
        <v>0</v>
      </c>
      <c r="N149" s="39">
        <f>+IFERROR(-ABS(IF(EDATE(_xlfn.XLOOKUP(1,$H136:$BE136,$H$4:$BE$4),12*Assumptions!$G$98+12)=N$4,0,IF(M136=1,PMT(Assumptions!$G$96,Assumptions!$G$98,$C138),M149))),0)</f>
        <v>0</v>
      </c>
      <c r="O149" s="39">
        <f>+IFERROR(-ABS(IF(EDATE(_xlfn.XLOOKUP(1,$H136:$BE136,$H$4:$BE$4),12*Assumptions!$G$98+12)=O$4,0,IF(N136=1,PMT(Assumptions!$G$96,Assumptions!$G$98,$C138),N149))),0)</f>
        <v>0</v>
      </c>
      <c r="P149" s="39">
        <f>+IFERROR(-ABS(IF(EDATE(_xlfn.XLOOKUP(1,$H136:$BE136,$H$4:$BE$4),12*Assumptions!$G$98+12)=P$4,0,IF(O136=1,PMT(Assumptions!$G$96,Assumptions!$G$98,$C138),O149))),0)</f>
        <v>0</v>
      </c>
      <c r="Q149" s="39">
        <f>+IFERROR(-ABS(IF(EDATE(_xlfn.XLOOKUP(1,$H136:$BE136,$H$4:$BE$4),12*Assumptions!$G$98+12)=Q$4,0,IF(P136=1,PMT(Assumptions!$G$96,Assumptions!$G$98,$C138),P149))),0)</f>
        <v>0</v>
      </c>
      <c r="R149" s="39">
        <f>+IFERROR(-ABS(IF(EDATE(_xlfn.XLOOKUP(1,$H136:$BE136,$H$4:$BE$4),12*Assumptions!$G$98+12)=R$4,0,IF(Q136=1,PMT(Assumptions!$G$96,Assumptions!$G$98,$C138),Q149))),0)</f>
        <v>0</v>
      </c>
      <c r="S149" s="39">
        <f>+IFERROR(-ABS(IF(EDATE(_xlfn.XLOOKUP(1,$H136:$BE136,$H$4:$BE$4),12*Assumptions!$G$98+12)=S$4,0,IF(R136=1,PMT(Assumptions!$G$96,Assumptions!$G$98,$C138),R149))),0)</f>
        <v>0</v>
      </c>
      <c r="T149" s="39">
        <f>+IFERROR(-ABS(IF(EDATE(_xlfn.XLOOKUP(1,$H136:$BE136,$H$4:$BE$4),12*Assumptions!$G$98+12)=T$4,0,IF(S136=1,PMT(Assumptions!$G$96,Assumptions!$G$98,$C138),S149))),0)</f>
        <v>0</v>
      </c>
      <c r="U149" s="39">
        <f>+IFERROR(-ABS(IF(EDATE(_xlfn.XLOOKUP(1,$H136:$BE136,$H$4:$BE$4),12*Assumptions!$G$98+12)=U$4,0,IF(T136=1,PMT(Assumptions!$G$96,Assumptions!$G$98,$C138),T149))),0)</f>
        <v>0</v>
      </c>
      <c r="V149" s="39">
        <f>+IFERROR(-ABS(IF(EDATE(_xlfn.XLOOKUP(1,$H136:$BE136,$H$4:$BE$4),12*Assumptions!$G$98+12)=V$4,0,IF(U136=1,PMT(Assumptions!$G$96,Assumptions!$G$98,$C138),U149))),0)</f>
        <v>0</v>
      </c>
      <c r="W149" s="39">
        <f>+IFERROR(-ABS(IF(EDATE(_xlfn.XLOOKUP(1,$H136:$BE136,$H$4:$BE$4),12*Assumptions!$G$98+12)=W$4,0,IF(V136=1,PMT(Assumptions!$G$96,Assumptions!$G$98,$C138),V149))),0)</f>
        <v>0</v>
      </c>
      <c r="X149" s="39">
        <f>+IFERROR(-ABS(IF(EDATE(_xlfn.XLOOKUP(1,$H136:$BE136,$H$4:$BE$4),12*Assumptions!$G$98+12)=X$4,0,IF(W136=1,PMT(Assumptions!$G$96,Assumptions!$G$98,$C138),W149))),0)</f>
        <v>0</v>
      </c>
      <c r="Y149" s="39">
        <f>+IFERROR(-ABS(IF(EDATE(_xlfn.XLOOKUP(1,$H136:$BE136,$H$4:$BE$4),12*Assumptions!$G$98+12)=Y$4,0,IF(X136=1,PMT(Assumptions!$G$96,Assumptions!$G$98,$C138),X149))),0)</f>
        <v>0</v>
      </c>
      <c r="Z149" s="39">
        <f>+IFERROR(-ABS(IF(EDATE(_xlfn.XLOOKUP(1,$H136:$BE136,$H$4:$BE$4),12*Assumptions!$G$98+12)=Z$4,0,IF(Y136=1,PMT(Assumptions!$G$96,Assumptions!$G$98,$C138),Y149))),0)</f>
        <v>0</v>
      </c>
      <c r="AA149" s="39">
        <f>+IFERROR(-ABS(IF(EDATE(_xlfn.XLOOKUP(1,$H136:$BE136,$H$4:$BE$4),12*Assumptions!$G$98+12)=AA$4,0,IF(Z136=1,PMT(Assumptions!$G$96,Assumptions!$G$98,$C138),Z149))),0)</f>
        <v>0</v>
      </c>
      <c r="AB149" s="39">
        <f>+IFERROR(-ABS(IF(EDATE(_xlfn.XLOOKUP(1,$H136:$BE136,$H$4:$BE$4),12*Assumptions!$G$98+12)=AB$4,0,IF(AA136=1,PMT(Assumptions!$G$96,Assumptions!$G$98,$C138),AA149))),0)</f>
        <v>0</v>
      </c>
      <c r="AC149" s="39">
        <f>+IFERROR(-ABS(IF(EDATE(_xlfn.XLOOKUP(1,$H136:$BE136,$H$4:$BE$4),12*Assumptions!$G$98+12)=AC$4,0,IF(AB136=1,PMT(Assumptions!$G$96,Assumptions!$G$98,$C138),AB149))),0)</f>
        <v>0</v>
      </c>
      <c r="AD149" s="39">
        <f>+IFERROR(-ABS(IF(EDATE(_xlfn.XLOOKUP(1,$H136:$BE136,$H$4:$BE$4),12*Assumptions!$G$98+12)=AD$4,0,IF(AC136=1,PMT(Assumptions!$G$96,Assumptions!$G$98,$C138),AC149))),0)</f>
        <v>0</v>
      </c>
      <c r="AE149" s="39">
        <f>+IFERROR(-ABS(IF(EDATE(_xlfn.XLOOKUP(1,$H136:$BE136,$H$4:$BE$4),12*Assumptions!$G$98+12)=AE$4,0,IF(AD136=1,PMT(Assumptions!$G$96,Assumptions!$G$98,$C138),AD149))),0)</f>
        <v>0</v>
      </c>
      <c r="AF149" s="39">
        <f>+IFERROR(-ABS(IF(EDATE(_xlfn.XLOOKUP(1,$H136:$BE136,$H$4:$BE$4),12*Assumptions!$G$98+12)=AF$4,0,IF(AE136=1,PMT(Assumptions!$G$96,Assumptions!$G$98,$C138),AE149))),0)</f>
        <v>0</v>
      </c>
      <c r="AG149" s="39">
        <f>+IFERROR(-ABS(IF(EDATE(_xlfn.XLOOKUP(1,$H136:$BE136,$H$4:$BE$4),12*Assumptions!$G$98+12)=AG$4,0,IF(AF136=1,PMT(Assumptions!$G$96,Assumptions!$G$98,$C138),AF149))),0)</f>
        <v>0</v>
      </c>
      <c r="AH149" s="39">
        <f>+IFERROR(-ABS(IF(EDATE(_xlfn.XLOOKUP(1,$H136:$BE136,$H$4:$BE$4),12*Assumptions!$G$98+12)=AH$4,0,IF(AG136=1,PMT(Assumptions!$G$96,Assumptions!$G$98,$C138),AG149))),0)</f>
        <v>0</v>
      </c>
      <c r="AI149" s="39">
        <f>+IFERROR(-ABS(IF(EDATE(_xlfn.XLOOKUP(1,$H136:$BE136,$H$4:$BE$4),12*Assumptions!$G$98+12)=AI$4,0,IF(AH136=1,PMT(Assumptions!$G$96,Assumptions!$G$98,$C138),AH149))),0)</f>
        <v>0</v>
      </c>
      <c r="AJ149" s="39">
        <f>+IFERROR(-ABS(IF(EDATE(_xlfn.XLOOKUP(1,$H136:$BE136,$H$4:$BE$4),12*Assumptions!$G$98+12)=AJ$4,0,IF(AI136=1,PMT(Assumptions!$G$96,Assumptions!$G$98,$C138),AI149))),0)</f>
        <v>0</v>
      </c>
      <c r="AK149" s="39">
        <f>+IFERROR(-ABS(IF(EDATE(_xlfn.XLOOKUP(1,$H136:$BE136,$H$4:$BE$4),12*Assumptions!$G$98+12)=AK$4,0,IF(AJ136=1,PMT(Assumptions!$G$96,Assumptions!$G$98,$C138),AJ149))),0)</f>
        <v>0</v>
      </c>
      <c r="AL149" s="39">
        <f>+IFERROR(-ABS(IF(EDATE(_xlfn.XLOOKUP(1,$H136:$BE136,$H$4:$BE$4),12*Assumptions!$G$98+12)=AL$4,0,IF(AK136=1,PMT(Assumptions!$G$96,Assumptions!$G$98,$C138),AK149))),0)</f>
        <v>0</v>
      </c>
      <c r="AM149" s="39">
        <f>+IFERROR(-ABS(IF(EDATE(_xlfn.XLOOKUP(1,$H136:$BE136,$H$4:$BE$4),12*Assumptions!$G$98+12)=AM$4,0,IF(AL136=1,PMT(Assumptions!$G$96,Assumptions!$G$98,$C138),AL149))),0)</f>
        <v>0</v>
      </c>
      <c r="AN149" s="39">
        <f>+IFERROR(-ABS(IF(EDATE(_xlfn.XLOOKUP(1,$H136:$BE136,$H$4:$BE$4),12*Assumptions!$G$98+12)=AN$4,0,IF(AM136=1,PMT(Assumptions!$G$96,Assumptions!$G$98,$C138),AM149))),0)</f>
        <v>0</v>
      </c>
      <c r="AO149" s="39">
        <f>+IFERROR(-ABS(IF(EDATE(_xlfn.XLOOKUP(1,$H136:$BE136,$H$4:$BE$4),12*Assumptions!$G$98+12)=AO$4,0,IF(AN136=1,PMT(Assumptions!$G$96,Assumptions!$G$98,$C138),AN149))),0)</f>
        <v>0</v>
      </c>
      <c r="AP149" s="39">
        <f>+IFERROR(-ABS(IF(EDATE(_xlfn.XLOOKUP(1,$H136:$BE136,$H$4:$BE$4),12*Assumptions!$G$98+12)=AP$4,0,IF(AO136=1,PMT(Assumptions!$G$96,Assumptions!$G$98,$C138),AO149))),0)</f>
        <v>0</v>
      </c>
      <c r="AQ149" s="39">
        <f>+IFERROR(-ABS(IF(EDATE(_xlfn.XLOOKUP(1,$H136:$BE136,$H$4:$BE$4),12*Assumptions!$G$98+12)=AQ$4,0,IF(AP136=1,PMT(Assumptions!$G$96,Assumptions!$G$98,$C138),AP149))),0)</f>
        <v>0</v>
      </c>
      <c r="AR149" s="39">
        <f>+IFERROR(-ABS(IF(EDATE(_xlfn.XLOOKUP(1,$H136:$BE136,$H$4:$BE$4),12*Assumptions!$G$98+12)=AR$4,0,IF(AQ136=1,PMT(Assumptions!$G$96,Assumptions!$G$98,$C138),AQ149))),0)</f>
        <v>0</v>
      </c>
      <c r="AS149" s="39">
        <f>+IFERROR(-ABS(IF(EDATE(_xlfn.XLOOKUP(1,$H136:$BE136,$H$4:$BE$4),12*Assumptions!$G$98+12)=AS$4,0,IF(AR136=1,PMT(Assumptions!$G$96,Assumptions!$G$98,$C138),AR149))),0)</f>
        <v>0</v>
      </c>
      <c r="AT149" s="39">
        <f>+IFERROR(-ABS(IF(EDATE(_xlfn.XLOOKUP(1,$H136:$BE136,$H$4:$BE$4),12*Assumptions!$G$98+12)=AT$4,0,IF(AS136=1,PMT(Assumptions!$G$96,Assumptions!$G$98,$C138),AS149))),0)</f>
        <v>0</v>
      </c>
      <c r="AU149" s="39">
        <f>+IFERROR(-ABS(IF(EDATE(_xlfn.XLOOKUP(1,$H136:$BE136,$H$4:$BE$4),12*Assumptions!$G$98+12)=AU$4,0,IF(AT136=1,PMT(Assumptions!$G$96,Assumptions!$G$98,$C138),AT149))),0)</f>
        <v>0</v>
      </c>
      <c r="AV149" s="39">
        <f>+IFERROR(-ABS(IF(EDATE(_xlfn.XLOOKUP(1,$H136:$BE136,$H$4:$BE$4),12*Assumptions!$G$98+12)=AV$4,0,IF(AU136=1,PMT(Assumptions!$G$96,Assumptions!$G$98,$C138),AU149))),0)</f>
        <v>0</v>
      </c>
      <c r="AW149" s="39">
        <f>+IFERROR(-ABS(IF(EDATE(_xlfn.XLOOKUP(1,$H136:$BE136,$H$4:$BE$4),12*Assumptions!$G$98+12)=AW$4,0,IF(AV136=1,PMT(Assumptions!$G$96,Assumptions!$G$98,$C138),AV149))),0)</f>
        <v>0</v>
      </c>
      <c r="AX149" s="39">
        <f>+IFERROR(-ABS(IF(EDATE(_xlfn.XLOOKUP(1,$H136:$BE136,$H$4:$BE$4),12*Assumptions!$G$98+12)=AX$4,0,IF(AW136=1,PMT(Assumptions!$G$96,Assumptions!$G$98,$C138),AW149))),0)</f>
        <v>0</v>
      </c>
      <c r="AY149" s="39">
        <f>+IFERROR(-ABS(IF(EDATE(_xlfn.XLOOKUP(1,$H136:$BE136,$H$4:$BE$4),12*Assumptions!$G$98+12)=AY$4,0,IF(AX136=1,PMT(Assumptions!$G$96,Assumptions!$G$98,$C138),AX149))),0)</f>
        <v>0</v>
      </c>
      <c r="AZ149" s="39">
        <f>+IFERROR(-ABS(IF(EDATE(_xlfn.XLOOKUP(1,$H136:$BE136,$H$4:$BE$4),12*Assumptions!$G$98+12)=AZ$4,0,IF(AY136=1,PMT(Assumptions!$G$96,Assumptions!$G$98,$C138),AY149))),0)</f>
        <v>0</v>
      </c>
      <c r="BA149" s="39">
        <f>+IFERROR(-ABS(IF(EDATE(_xlfn.XLOOKUP(1,$H136:$BE136,$H$4:$BE$4),12*Assumptions!$G$98+12)=BA$4,0,IF(AZ136=1,PMT(Assumptions!$G$96,Assumptions!$G$98,$C138),AZ149))),0)</f>
        <v>0</v>
      </c>
      <c r="BB149" s="39">
        <f>+IFERROR(-ABS(IF(EDATE(_xlfn.XLOOKUP(1,$H136:$BE136,$H$4:$BE$4),12*Assumptions!$G$98+12)=BB$4,0,IF(BA136=1,PMT(Assumptions!$G$96,Assumptions!$G$98,$C138),BA149))),0)</f>
        <v>0</v>
      </c>
      <c r="BC149" s="39">
        <f>+IFERROR(-ABS(IF(EDATE(_xlfn.XLOOKUP(1,$H136:$BE136,$H$4:$BE$4),12*Assumptions!$G$98+12)=BC$4,0,IF(BB136=1,PMT(Assumptions!$G$96,Assumptions!$G$98,$C138),BB149))),0)</f>
        <v>0</v>
      </c>
      <c r="BD149" s="39">
        <f>+IFERROR(-ABS(IF(EDATE(_xlfn.XLOOKUP(1,$H136:$BE136,$H$4:$BE$4),12*Assumptions!$G$98+12)=BD$4,0,IF(BC136=1,PMT(Assumptions!$G$96,Assumptions!$G$98,$C138),BC149))),0)</f>
        <v>0</v>
      </c>
      <c r="BE149" s="39">
        <f>+IFERROR(-ABS(IF(EDATE(_xlfn.XLOOKUP(1,$H136:$BE136,$H$4:$BE$4),12*Assumptions!$G$98+12)=BE$4,0,IF(BD136=1,PMT(Assumptions!$G$96,Assumptions!$G$98,$C138),BD149))),0)</f>
        <v>0</v>
      </c>
      <c r="BF149" s="39">
        <f>+IFERROR(-ABS(IF(EDATE(_xlfn.XLOOKUP(1,$H136:$BE136,$H$4:$BE$4),12*Assumptions!$G$98+12)=BF$4,0,IF(BE136=1,PMT(Assumptions!$G$96,Assumptions!$G$98,$C138),BE149))),0)</f>
        <v>0</v>
      </c>
      <c r="BG149" s="39">
        <f>+IFERROR(-ABS(IF(EDATE(_xlfn.XLOOKUP(1,$H136:$BE136,$H$4:$BE$4),12*Assumptions!$G$98+12)=BG$4,0,IF(BF136=1,PMT(Assumptions!$G$96,Assumptions!$G$98,$C138),BF149))),0)</f>
        <v>0</v>
      </c>
      <c r="BH149" s="39">
        <f>+IFERROR(-ABS(IF(EDATE(_xlfn.XLOOKUP(1,$H136:$BE136,$H$4:$BE$4),12*Assumptions!$G$98+12)=BH$4,0,IF(BG136=1,PMT(Assumptions!$G$96,Assumptions!$G$98,$C138),BG149))),0)</f>
        <v>0</v>
      </c>
      <c r="BI149" s="39">
        <f>+IFERROR(-ABS(IF(EDATE(_xlfn.XLOOKUP(1,$H136:$BE136,$H$4:$BE$4),12*Assumptions!$G$98+12)=BI$4,0,IF(BH136=1,PMT(Assumptions!$G$96,Assumptions!$G$98,$C138),BH149))),0)</f>
        <v>0</v>
      </c>
      <c r="BJ149" s="39">
        <f>+IFERROR(-ABS(IF(EDATE(_xlfn.XLOOKUP(1,$H136:$BE136,$H$4:$BE$4),12*Assumptions!$G$98+12)=BJ$4,0,IF(BI136=1,PMT(Assumptions!$G$96,Assumptions!$G$98,$C138),BI149))),0)</f>
        <v>0</v>
      </c>
      <c r="BK149" s="39">
        <f>+IFERROR(-ABS(IF(EDATE(_xlfn.XLOOKUP(1,$H136:$BE136,$H$4:$BE$4),12*Assumptions!$G$98+12)=BK$4,0,IF(BJ136=1,PMT(Assumptions!$G$96,Assumptions!$G$98,$C138),BJ149))),0)</f>
        <v>0</v>
      </c>
      <c r="BL149" s="39">
        <f>+IFERROR(-ABS(IF(EDATE(_xlfn.XLOOKUP(1,$H136:$BE136,$H$4:$BE$4),12*Assumptions!$G$98+12)=BL$4,0,IF(BK136=1,PMT(Assumptions!$G$96,Assumptions!$G$98,$C138),BK149))),0)</f>
        <v>0</v>
      </c>
      <c r="BM149" s="39">
        <f>+IFERROR(-ABS(IF(EDATE(_xlfn.XLOOKUP(1,$H136:$BE136,$H$4:$BE$4),12*Assumptions!$G$98+12)=BM$4,0,IF(BL136=1,PMT(Assumptions!$G$96,Assumptions!$G$98,$C138),BL149))),0)</f>
        <v>0</v>
      </c>
      <c r="BN149" s="39">
        <f>+IFERROR(-ABS(IF(EDATE(_xlfn.XLOOKUP(1,$H136:$BE136,$H$4:$BE$4),12*Assumptions!$G$98+12)=BN$4,0,IF(BM136=1,PMT(Assumptions!$G$96,Assumptions!$G$98,$C138),BM149))),0)</f>
        <v>0</v>
      </c>
      <c r="BO149" s="39">
        <f>+IFERROR(-ABS(IF(EDATE(_xlfn.XLOOKUP(1,$H136:$BE136,$H$4:$BE$4),12*Assumptions!$G$98+12)=BO$4,0,IF(BN136=1,PMT(Assumptions!$G$96,Assumptions!$G$98,$C138),BN149))),0)</f>
        <v>0</v>
      </c>
      <c r="BP149" s="39">
        <f>+IFERROR(-ABS(IF(EDATE(_xlfn.XLOOKUP(1,$H136:$BE136,$H$4:$BE$4),12*Assumptions!$G$98+12)=BP$4,0,IF(BO136=1,PMT(Assumptions!$G$96,Assumptions!$G$98,$C138),BO149))),0)</f>
        <v>0</v>
      </c>
      <c r="BQ149" s="39">
        <f>+IFERROR(-ABS(IF(EDATE(_xlfn.XLOOKUP(1,$H136:$BE136,$H$4:$BE$4),12*Assumptions!$G$98+12)=BQ$4,0,IF(BP136=1,PMT(Assumptions!$G$96,Assumptions!$G$98,$C138),BP149))),0)</f>
        <v>0</v>
      </c>
      <c r="BR149" s="39">
        <f>+IFERROR(-ABS(IF(EDATE(_xlfn.XLOOKUP(1,$H136:$BE136,$H$4:$BE$4),12*Assumptions!$G$98+12)=BR$4,0,IF(BQ136=1,PMT(Assumptions!$G$96,Assumptions!$G$98,$C138),BQ149))),0)</f>
        <v>0</v>
      </c>
      <c r="BS149" s="39">
        <f>+IFERROR(-ABS(IF(EDATE(_xlfn.XLOOKUP(1,$H136:$BE136,$H$4:$BE$4),12*Assumptions!$G$98+12)=BS$4,0,IF(BR136=1,PMT(Assumptions!$G$96,Assumptions!$G$98,$C138),BR149))),0)</f>
        <v>0</v>
      </c>
      <c r="BT149" s="39">
        <f>+IFERROR(-ABS(IF(EDATE(_xlfn.XLOOKUP(1,$H136:$BE136,$H$4:$BE$4),12*Assumptions!$G$98+12)=BT$4,0,IF(BS136=1,PMT(Assumptions!$G$96,Assumptions!$G$98,$C138),BS149))),0)</f>
        <v>0</v>
      </c>
      <c r="BU149" s="39">
        <f>+IFERROR(-ABS(IF(EDATE(_xlfn.XLOOKUP(1,$H136:$BE136,$H$4:$BE$4),12*Assumptions!$G$98+12)=BU$4,0,IF(BT136=1,PMT(Assumptions!$G$96,Assumptions!$G$98,$C138),BT149))),0)</f>
        <v>0</v>
      </c>
      <c r="BV149" s="39">
        <f>+IFERROR(-ABS(IF(EDATE(_xlfn.XLOOKUP(1,$H136:$BE136,$H$4:$BE$4),12*Assumptions!$G$98+12)=BV$4,0,IF(BU136=1,PMT(Assumptions!$G$96,Assumptions!$G$98,$C138),BU149))),0)</f>
        <v>0</v>
      </c>
      <c r="BW149" s="39">
        <f>+IFERROR(-ABS(IF(EDATE(_xlfn.XLOOKUP(1,$H136:$BE136,$H$4:$BE$4),12*Assumptions!$G$98+12)=BW$4,0,IF(BV136=1,PMT(Assumptions!$G$96,Assumptions!$G$98,$C138),BV149))),0)</f>
        <v>0</v>
      </c>
      <c r="BX149" s="39">
        <f>+IFERROR(-ABS(IF(EDATE(_xlfn.XLOOKUP(1,$H136:$BE136,$H$4:$BE$4),12*Assumptions!$G$98+12)=BX$4,0,IF(BW136=1,PMT(Assumptions!$G$96,Assumptions!$G$98,$C138),BW149))),0)</f>
        <v>0</v>
      </c>
      <c r="BY149" s="39">
        <f>+IFERROR(-ABS(IF(EDATE(_xlfn.XLOOKUP(1,$H136:$BE136,$H$4:$BE$4),12*Assumptions!$G$98+12)=BY$4,0,IF(BX136=1,PMT(Assumptions!$G$96,Assumptions!$G$98,$C138),BX149))),0)</f>
        <v>0</v>
      </c>
    </row>
    <row r="150" spans="2:77" outlineLevel="1">
      <c r="E150" s="24" t="s">
        <v>521</v>
      </c>
      <c r="F150" s="80" t="str">
        <f>+Assumptions!$G$8</f>
        <v>USD</v>
      </c>
      <c r="G150" s="24"/>
      <c r="H150" s="39">
        <f>+IFERROR(-ABS(IF(EDATE(_xlfn.XLOOKUP(1,$H137:$BE137,$H$4:$BE$4),12*Assumptions!$G$98+12)=H$4,0,IF(G137=1,PMT(Assumptions!$G$96,Assumptions!$G$98,$C139),G150))),0)</f>
        <v>0</v>
      </c>
      <c r="I150" s="39">
        <f>+IFERROR(-ABS(IF(EDATE(_xlfn.XLOOKUP(1,$H137:$BE137,$H$4:$BE$4),12*Assumptions!$G$98+12)=I$4,0,IF(H137=1,PMT(Assumptions!$G$96,Assumptions!$G$98,$C139),H150))),0)</f>
        <v>0</v>
      </c>
      <c r="J150" s="39">
        <f>+IFERROR(-ABS(IF(EDATE(_xlfn.XLOOKUP(1,$H137:$BE137,$H$4:$BE$4),12*Assumptions!$G$98+12)=J$4,0,IF(I137=1,PMT(Assumptions!$G$96,Assumptions!$G$98,$C139),I150))),0)</f>
        <v>0</v>
      </c>
      <c r="K150" s="39">
        <f>+IFERROR(-ABS(IF(EDATE(_xlfn.XLOOKUP(1,$H137:$BE137,$H$4:$BE$4),12*Assumptions!$G$98+12)=K$4,0,IF(J137=1,PMT(Assumptions!$G$96,Assumptions!$G$98,$C139),J150))),0)</f>
        <v>0</v>
      </c>
      <c r="L150" s="39">
        <f>+IFERROR(-ABS(IF(EDATE(_xlfn.XLOOKUP(1,$H137:$BE137,$H$4:$BE$4),12*Assumptions!$G$98+12)=L$4,0,IF(K137=1,PMT(Assumptions!$G$96,Assumptions!$G$98,$C139),K150))),0)</f>
        <v>0</v>
      </c>
      <c r="M150" s="39">
        <f>+IFERROR(-ABS(IF(EDATE(_xlfn.XLOOKUP(1,$H137:$BE137,$H$4:$BE$4),12*Assumptions!$G$98+12)=M$4,0,IF(L137=1,PMT(Assumptions!$G$96,Assumptions!$G$98,$C139),L150))),0)</f>
        <v>0</v>
      </c>
      <c r="N150" s="39">
        <f>+IFERROR(-ABS(IF(EDATE(_xlfn.XLOOKUP(1,$H137:$BE137,$H$4:$BE$4),12*Assumptions!$G$98+12)=N$4,0,IF(M137=1,PMT(Assumptions!$G$96,Assumptions!$G$98,$C139),M150))),0)</f>
        <v>0</v>
      </c>
      <c r="O150" s="39">
        <f>+IFERROR(-ABS(IF(EDATE(_xlfn.XLOOKUP(1,$H137:$BE137,$H$4:$BE$4),12*Assumptions!$G$98+12)=O$4,0,IF(N137=1,PMT(Assumptions!$G$96,Assumptions!$G$98,$C139),N150))),0)</f>
        <v>0</v>
      </c>
      <c r="P150" s="39">
        <f>+IFERROR(-ABS(IF(EDATE(_xlfn.XLOOKUP(1,$H137:$BE137,$H$4:$BE$4),12*Assumptions!$G$98+12)=P$4,0,IF(O137=1,PMT(Assumptions!$G$96,Assumptions!$G$98,$C139),O150))),0)</f>
        <v>0</v>
      </c>
      <c r="Q150" s="39">
        <f>+IFERROR(-ABS(IF(EDATE(_xlfn.XLOOKUP(1,$H137:$BE137,$H$4:$BE$4),12*Assumptions!$G$98+12)=Q$4,0,IF(P137=1,PMT(Assumptions!$G$96,Assumptions!$G$98,$C139),P150))),0)</f>
        <v>0</v>
      </c>
      <c r="R150" s="39">
        <f>+IFERROR(-ABS(IF(EDATE(_xlfn.XLOOKUP(1,$H137:$BE137,$H$4:$BE$4),12*Assumptions!$G$98+12)=R$4,0,IF(Q137=1,PMT(Assumptions!$G$96,Assumptions!$G$98,$C139),Q150))),0)</f>
        <v>0</v>
      </c>
      <c r="S150" s="39">
        <f>+IFERROR(-ABS(IF(EDATE(_xlfn.XLOOKUP(1,$H137:$BE137,$H$4:$BE$4),12*Assumptions!$G$98+12)=S$4,0,IF(R137=1,PMT(Assumptions!$G$96,Assumptions!$G$98,$C139),R150))),0)</f>
        <v>0</v>
      </c>
      <c r="T150" s="39">
        <f>+IFERROR(-ABS(IF(EDATE(_xlfn.XLOOKUP(1,$H137:$BE137,$H$4:$BE$4),12*Assumptions!$G$98+12)=T$4,0,IF(S137=1,PMT(Assumptions!$G$96,Assumptions!$G$98,$C139),S150))),0)</f>
        <v>0</v>
      </c>
      <c r="U150" s="39">
        <f>+IFERROR(-ABS(IF(EDATE(_xlfn.XLOOKUP(1,$H137:$BE137,$H$4:$BE$4),12*Assumptions!$G$98+12)=U$4,0,IF(T137=1,PMT(Assumptions!$G$96,Assumptions!$G$98,$C139),T150))),0)</f>
        <v>0</v>
      </c>
      <c r="V150" s="39">
        <f>+IFERROR(-ABS(IF(EDATE(_xlfn.XLOOKUP(1,$H137:$BE137,$H$4:$BE$4),12*Assumptions!$G$98+12)=V$4,0,IF(U137=1,PMT(Assumptions!$G$96,Assumptions!$G$98,$C139),U150))),0)</f>
        <v>0</v>
      </c>
      <c r="W150" s="39">
        <f>+IFERROR(-ABS(IF(EDATE(_xlfn.XLOOKUP(1,$H137:$BE137,$H$4:$BE$4),12*Assumptions!$G$98+12)=W$4,0,IF(V137=1,PMT(Assumptions!$G$96,Assumptions!$G$98,$C139),V150))),0)</f>
        <v>0</v>
      </c>
      <c r="X150" s="39">
        <f>+IFERROR(-ABS(IF(EDATE(_xlfn.XLOOKUP(1,$H137:$BE137,$H$4:$BE$4),12*Assumptions!$G$98+12)=X$4,0,IF(W137=1,PMT(Assumptions!$G$96,Assumptions!$G$98,$C139),W150))),0)</f>
        <v>0</v>
      </c>
      <c r="Y150" s="39">
        <f>+IFERROR(-ABS(IF(EDATE(_xlfn.XLOOKUP(1,$H137:$BE137,$H$4:$BE$4),12*Assumptions!$G$98+12)=Y$4,0,IF(X137=1,PMT(Assumptions!$G$96,Assumptions!$G$98,$C139),X150))),0)</f>
        <v>0</v>
      </c>
      <c r="Z150" s="39">
        <f>+IFERROR(-ABS(IF(EDATE(_xlfn.XLOOKUP(1,$H137:$BE137,$H$4:$BE$4),12*Assumptions!$G$98+12)=Z$4,0,IF(Y137=1,PMT(Assumptions!$G$96,Assumptions!$G$98,$C139),Y150))),0)</f>
        <v>0</v>
      </c>
      <c r="AA150" s="39">
        <f>+IFERROR(-ABS(IF(EDATE(_xlfn.XLOOKUP(1,$H137:$BE137,$H$4:$BE$4),12*Assumptions!$G$98+12)=AA$4,0,IF(Z137=1,PMT(Assumptions!$G$96,Assumptions!$G$98,$C139),Z150))),0)</f>
        <v>0</v>
      </c>
      <c r="AB150" s="39">
        <f>+IFERROR(-ABS(IF(EDATE(_xlfn.XLOOKUP(1,$H137:$BE137,$H$4:$BE$4),12*Assumptions!$G$98+12)=AB$4,0,IF(AA137=1,PMT(Assumptions!$G$96,Assumptions!$G$98,$C139),AA150))),0)</f>
        <v>0</v>
      </c>
      <c r="AC150" s="39">
        <f>+IFERROR(-ABS(IF(EDATE(_xlfn.XLOOKUP(1,$H137:$BE137,$H$4:$BE$4),12*Assumptions!$G$98+12)=AC$4,0,IF(AB137=1,PMT(Assumptions!$G$96,Assumptions!$G$98,$C139),AB150))),0)</f>
        <v>0</v>
      </c>
      <c r="AD150" s="39">
        <f>+IFERROR(-ABS(IF(EDATE(_xlfn.XLOOKUP(1,$H137:$BE137,$H$4:$BE$4),12*Assumptions!$G$98+12)=AD$4,0,IF(AC137=1,PMT(Assumptions!$G$96,Assumptions!$G$98,$C139),AC150))),0)</f>
        <v>0</v>
      </c>
      <c r="AE150" s="39">
        <f>+IFERROR(-ABS(IF(EDATE(_xlfn.XLOOKUP(1,$H137:$BE137,$H$4:$BE$4),12*Assumptions!$G$98+12)=AE$4,0,IF(AD137=1,PMT(Assumptions!$G$96,Assumptions!$G$98,$C139),AD150))),0)</f>
        <v>0</v>
      </c>
      <c r="AF150" s="39">
        <f>+IFERROR(-ABS(IF(EDATE(_xlfn.XLOOKUP(1,$H137:$BE137,$H$4:$BE$4),12*Assumptions!$G$98+12)=AF$4,0,IF(AE137=1,PMT(Assumptions!$G$96,Assumptions!$G$98,$C139),AE150))),0)</f>
        <v>0</v>
      </c>
      <c r="AG150" s="39">
        <f>+IFERROR(-ABS(IF(EDATE(_xlfn.XLOOKUP(1,$H137:$BE137,$H$4:$BE$4),12*Assumptions!$G$98+12)=AG$4,0,IF(AF137=1,PMT(Assumptions!$G$96,Assumptions!$G$98,$C139),AF150))),0)</f>
        <v>0</v>
      </c>
      <c r="AH150" s="39">
        <f>+IFERROR(-ABS(IF(EDATE(_xlfn.XLOOKUP(1,$H137:$BE137,$H$4:$BE$4),12*Assumptions!$G$98+12)=AH$4,0,IF(AG137=1,PMT(Assumptions!$G$96,Assumptions!$G$98,$C139),AG150))),0)</f>
        <v>0</v>
      </c>
      <c r="AI150" s="39">
        <f>+IFERROR(-ABS(IF(EDATE(_xlfn.XLOOKUP(1,$H137:$BE137,$H$4:$BE$4),12*Assumptions!$G$98+12)=AI$4,0,IF(AH137=1,PMT(Assumptions!$G$96,Assumptions!$G$98,$C139),AH150))),0)</f>
        <v>0</v>
      </c>
      <c r="AJ150" s="39">
        <f>+IFERROR(-ABS(IF(EDATE(_xlfn.XLOOKUP(1,$H137:$BE137,$H$4:$BE$4),12*Assumptions!$G$98+12)=AJ$4,0,IF(AI137=1,PMT(Assumptions!$G$96,Assumptions!$G$98,$C139),AI150))),0)</f>
        <v>0</v>
      </c>
      <c r="AK150" s="39">
        <f>+IFERROR(-ABS(IF(EDATE(_xlfn.XLOOKUP(1,$H137:$BE137,$H$4:$BE$4),12*Assumptions!$G$98+12)=AK$4,0,IF(AJ137=1,PMT(Assumptions!$G$96,Assumptions!$G$98,$C139),AJ150))),0)</f>
        <v>0</v>
      </c>
      <c r="AL150" s="39">
        <f>+IFERROR(-ABS(IF(EDATE(_xlfn.XLOOKUP(1,$H137:$BE137,$H$4:$BE$4),12*Assumptions!$G$98+12)=AL$4,0,IF(AK137=1,PMT(Assumptions!$G$96,Assumptions!$G$98,$C139),AK150))),0)</f>
        <v>0</v>
      </c>
      <c r="AM150" s="39">
        <f>+IFERROR(-ABS(IF(EDATE(_xlfn.XLOOKUP(1,$H137:$BE137,$H$4:$BE$4),12*Assumptions!$G$98+12)=AM$4,0,IF(AL137=1,PMT(Assumptions!$G$96,Assumptions!$G$98,$C139),AL150))),0)</f>
        <v>0</v>
      </c>
      <c r="AN150" s="39">
        <f>+IFERROR(-ABS(IF(EDATE(_xlfn.XLOOKUP(1,$H137:$BE137,$H$4:$BE$4),12*Assumptions!$G$98+12)=AN$4,0,IF(AM137=1,PMT(Assumptions!$G$96,Assumptions!$G$98,$C139),AM150))),0)</f>
        <v>0</v>
      </c>
      <c r="AO150" s="39">
        <f>+IFERROR(-ABS(IF(EDATE(_xlfn.XLOOKUP(1,$H137:$BE137,$H$4:$BE$4),12*Assumptions!$G$98+12)=AO$4,0,IF(AN137=1,PMT(Assumptions!$G$96,Assumptions!$G$98,$C139),AN150))),0)</f>
        <v>0</v>
      </c>
      <c r="AP150" s="39">
        <f>+IFERROR(-ABS(IF(EDATE(_xlfn.XLOOKUP(1,$H137:$BE137,$H$4:$BE$4),12*Assumptions!$G$98+12)=AP$4,0,IF(AO137=1,PMT(Assumptions!$G$96,Assumptions!$G$98,$C139),AO150))),0)</f>
        <v>0</v>
      </c>
      <c r="AQ150" s="39">
        <f>+IFERROR(-ABS(IF(EDATE(_xlfn.XLOOKUP(1,$H137:$BE137,$H$4:$BE$4),12*Assumptions!$G$98+12)=AQ$4,0,IF(AP137=1,PMT(Assumptions!$G$96,Assumptions!$G$98,$C139),AP150))),0)</f>
        <v>0</v>
      </c>
      <c r="AR150" s="39">
        <f>+IFERROR(-ABS(IF(EDATE(_xlfn.XLOOKUP(1,$H137:$BE137,$H$4:$BE$4),12*Assumptions!$G$98+12)=AR$4,0,IF(AQ137=1,PMT(Assumptions!$G$96,Assumptions!$G$98,$C139),AQ150))),0)</f>
        <v>0</v>
      </c>
      <c r="AS150" s="39">
        <f>+IFERROR(-ABS(IF(EDATE(_xlfn.XLOOKUP(1,$H137:$BE137,$H$4:$BE$4),12*Assumptions!$G$98+12)=AS$4,0,IF(AR137=1,PMT(Assumptions!$G$96,Assumptions!$G$98,$C139),AR150))),0)</f>
        <v>0</v>
      </c>
      <c r="AT150" s="39">
        <f>+IFERROR(-ABS(IF(EDATE(_xlfn.XLOOKUP(1,$H137:$BE137,$H$4:$BE$4),12*Assumptions!$G$98+12)=AT$4,0,IF(AS137=1,PMT(Assumptions!$G$96,Assumptions!$G$98,$C139),AS150))),0)</f>
        <v>0</v>
      </c>
      <c r="AU150" s="39">
        <f>+IFERROR(-ABS(IF(EDATE(_xlfn.XLOOKUP(1,$H137:$BE137,$H$4:$BE$4),12*Assumptions!$G$98+12)=AU$4,0,IF(AT137=1,PMT(Assumptions!$G$96,Assumptions!$G$98,$C139),AT150))),0)</f>
        <v>0</v>
      </c>
      <c r="AV150" s="39">
        <f>+IFERROR(-ABS(IF(EDATE(_xlfn.XLOOKUP(1,$H137:$BE137,$H$4:$BE$4),12*Assumptions!$G$98+12)=AV$4,0,IF(AU137=1,PMT(Assumptions!$G$96,Assumptions!$G$98,$C139),AU150))),0)</f>
        <v>0</v>
      </c>
      <c r="AW150" s="39">
        <f>+IFERROR(-ABS(IF(EDATE(_xlfn.XLOOKUP(1,$H137:$BE137,$H$4:$BE$4),12*Assumptions!$G$98+12)=AW$4,0,IF(AV137=1,PMT(Assumptions!$G$96,Assumptions!$G$98,$C139),AV150))),0)</f>
        <v>0</v>
      </c>
      <c r="AX150" s="39">
        <f>+IFERROR(-ABS(IF(EDATE(_xlfn.XLOOKUP(1,$H137:$BE137,$H$4:$BE$4),12*Assumptions!$G$98+12)=AX$4,0,IF(AW137=1,PMT(Assumptions!$G$96,Assumptions!$G$98,$C139),AW150))),0)</f>
        <v>0</v>
      </c>
      <c r="AY150" s="39">
        <f>+IFERROR(-ABS(IF(EDATE(_xlfn.XLOOKUP(1,$H137:$BE137,$H$4:$BE$4),12*Assumptions!$G$98+12)=AY$4,0,IF(AX137=1,PMT(Assumptions!$G$96,Assumptions!$G$98,$C139),AX150))),0)</f>
        <v>0</v>
      </c>
      <c r="AZ150" s="39">
        <f>+IFERROR(-ABS(IF(EDATE(_xlfn.XLOOKUP(1,$H137:$BE137,$H$4:$BE$4),12*Assumptions!$G$98+12)=AZ$4,0,IF(AY137=1,PMT(Assumptions!$G$96,Assumptions!$G$98,$C139),AY150))),0)</f>
        <v>0</v>
      </c>
      <c r="BA150" s="39">
        <f>+IFERROR(-ABS(IF(EDATE(_xlfn.XLOOKUP(1,$H137:$BE137,$H$4:$BE$4),12*Assumptions!$G$98+12)=BA$4,0,IF(AZ137=1,PMT(Assumptions!$G$96,Assumptions!$G$98,$C139),AZ150))),0)</f>
        <v>0</v>
      </c>
      <c r="BB150" s="39">
        <f>+IFERROR(-ABS(IF(EDATE(_xlfn.XLOOKUP(1,$H137:$BE137,$H$4:$BE$4),12*Assumptions!$G$98+12)=BB$4,0,IF(BA137=1,PMT(Assumptions!$G$96,Assumptions!$G$98,$C139),BA150))),0)</f>
        <v>0</v>
      </c>
      <c r="BC150" s="39">
        <f>+IFERROR(-ABS(IF(EDATE(_xlfn.XLOOKUP(1,$H137:$BE137,$H$4:$BE$4),12*Assumptions!$G$98+12)=BC$4,0,IF(BB137=1,PMT(Assumptions!$G$96,Assumptions!$G$98,$C139),BB150))),0)</f>
        <v>0</v>
      </c>
      <c r="BD150" s="39">
        <f>+IFERROR(-ABS(IF(EDATE(_xlfn.XLOOKUP(1,$H137:$BE137,$H$4:$BE$4),12*Assumptions!$G$98+12)=BD$4,0,IF(BC137=1,PMT(Assumptions!$G$96,Assumptions!$G$98,$C139),BC150))),0)</f>
        <v>0</v>
      </c>
      <c r="BE150" s="39">
        <f>+IFERROR(-ABS(IF(EDATE(_xlfn.XLOOKUP(1,$H137:$BE137,$H$4:$BE$4),12*Assumptions!$G$98+12)=BE$4,0,IF(BD137=1,PMT(Assumptions!$G$96,Assumptions!$G$98,$C139),BD150))),0)</f>
        <v>0</v>
      </c>
      <c r="BF150" s="39">
        <f>+IFERROR(-ABS(IF(EDATE(_xlfn.XLOOKUP(1,$H137:$BE137,$H$4:$BE$4),12*Assumptions!$G$98+12)=BF$4,0,IF(BE137=1,PMT(Assumptions!$G$96,Assumptions!$G$98,$C139),BE150))),0)</f>
        <v>0</v>
      </c>
      <c r="BG150" s="39">
        <f>+IFERROR(-ABS(IF(EDATE(_xlfn.XLOOKUP(1,$H137:$BE137,$H$4:$BE$4),12*Assumptions!$G$98+12)=BG$4,0,IF(BF137=1,PMT(Assumptions!$G$96,Assumptions!$G$98,$C139),BF150))),0)</f>
        <v>0</v>
      </c>
      <c r="BH150" s="39">
        <f>+IFERROR(-ABS(IF(EDATE(_xlfn.XLOOKUP(1,$H137:$BE137,$H$4:$BE$4),12*Assumptions!$G$98+12)=BH$4,0,IF(BG137=1,PMT(Assumptions!$G$96,Assumptions!$G$98,$C139),BG150))),0)</f>
        <v>0</v>
      </c>
      <c r="BI150" s="39">
        <f>+IFERROR(-ABS(IF(EDATE(_xlfn.XLOOKUP(1,$H137:$BE137,$H$4:$BE$4),12*Assumptions!$G$98+12)=BI$4,0,IF(BH137=1,PMT(Assumptions!$G$96,Assumptions!$G$98,$C139),BH150))),0)</f>
        <v>0</v>
      </c>
      <c r="BJ150" s="39">
        <f>+IFERROR(-ABS(IF(EDATE(_xlfn.XLOOKUP(1,$H137:$BE137,$H$4:$BE$4),12*Assumptions!$G$98+12)=BJ$4,0,IF(BI137=1,PMT(Assumptions!$G$96,Assumptions!$G$98,$C139),BI150))),0)</f>
        <v>0</v>
      </c>
      <c r="BK150" s="39">
        <f>+IFERROR(-ABS(IF(EDATE(_xlfn.XLOOKUP(1,$H137:$BE137,$H$4:$BE$4),12*Assumptions!$G$98+12)=BK$4,0,IF(BJ137=1,PMT(Assumptions!$G$96,Assumptions!$G$98,$C139),BJ150))),0)</f>
        <v>0</v>
      </c>
      <c r="BL150" s="39">
        <f>+IFERROR(-ABS(IF(EDATE(_xlfn.XLOOKUP(1,$H137:$BE137,$H$4:$BE$4),12*Assumptions!$G$98+12)=BL$4,0,IF(BK137=1,PMT(Assumptions!$G$96,Assumptions!$G$98,$C139),BK150))),0)</f>
        <v>0</v>
      </c>
      <c r="BM150" s="39">
        <f>+IFERROR(-ABS(IF(EDATE(_xlfn.XLOOKUP(1,$H137:$BE137,$H$4:$BE$4),12*Assumptions!$G$98+12)=BM$4,0,IF(BL137=1,PMT(Assumptions!$G$96,Assumptions!$G$98,$C139),BL150))),0)</f>
        <v>0</v>
      </c>
      <c r="BN150" s="39">
        <f>+IFERROR(-ABS(IF(EDATE(_xlfn.XLOOKUP(1,$H137:$BE137,$H$4:$BE$4),12*Assumptions!$G$98+12)=BN$4,0,IF(BM137=1,PMT(Assumptions!$G$96,Assumptions!$G$98,$C139),BM150))),0)</f>
        <v>0</v>
      </c>
      <c r="BO150" s="39">
        <f>+IFERROR(-ABS(IF(EDATE(_xlfn.XLOOKUP(1,$H137:$BE137,$H$4:$BE$4),12*Assumptions!$G$98+12)=BO$4,0,IF(BN137=1,PMT(Assumptions!$G$96,Assumptions!$G$98,$C139),BN150))),0)</f>
        <v>0</v>
      </c>
      <c r="BP150" s="39">
        <f>+IFERROR(-ABS(IF(EDATE(_xlfn.XLOOKUP(1,$H137:$BE137,$H$4:$BE$4),12*Assumptions!$G$98+12)=BP$4,0,IF(BO137=1,PMT(Assumptions!$G$96,Assumptions!$G$98,$C139),BO150))),0)</f>
        <v>0</v>
      </c>
      <c r="BQ150" s="39">
        <f>+IFERROR(-ABS(IF(EDATE(_xlfn.XLOOKUP(1,$H137:$BE137,$H$4:$BE$4),12*Assumptions!$G$98+12)=BQ$4,0,IF(BP137=1,PMT(Assumptions!$G$96,Assumptions!$G$98,$C139),BP150))),0)</f>
        <v>0</v>
      </c>
      <c r="BR150" s="39">
        <f>+IFERROR(-ABS(IF(EDATE(_xlfn.XLOOKUP(1,$H137:$BE137,$H$4:$BE$4),12*Assumptions!$G$98+12)=BR$4,0,IF(BQ137=1,PMT(Assumptions!$G$96,Assumptions!$G$98,$C139),BQ150))),0)</f>
        <v>0</v>
      </c>
      <c r="BS150" s="39">
        <f>+IFERROR(-ABS(IF(EDATE(_xlfn.XLOOKUP(1,$H137:$BE137,$H$4:$BE$4),12*Assumptions!$G$98+12)=BS$4,0,IF(BR137=1,PMT(Assumptions!$G$96,Assumptions!$G$98,$C139),BR150))),0)</f>
        <v>0</v>
      </c>
      <c r="BT150" s="39">
        <f>+IFERROR(-ABS(IF(EDATE(_xlfn.XLOOKUP(1,$H137:$BE137,$H$4:$BE$4),12*Assumptions!$G$98+12)=BT$4,0,IF(BS137=1,PMT(Assumptions!$G$96,Assumptions!$G$98,$C139),BS150))),0)</f>
        <v>0</v>
      </c>
      <c r="BU150" s="39">
        <f>+IFERROR(-ABS(IF(EDATE(_xlfn.XLOOKUP(1,$H137:$BE137,$H$4:$BE$4),12*Assumptions!$G$98+12)=BU$4,0,IF(BT137=1,PMT(Assumptions!$G$96,Assumptions!$G$98,$C139),BT150))),0)</f>
        <v>0</v>
      </c>
      <c r="BV150" s="39">
        <f>+IFERROR(-ABS(IF(EDATE(_xlfn.XLOOKUP(1,$H137:$BE137,$H$4:$BE$4),12*Assumptions!$G$98+12)=BV$4,0,IF(BU137=1,PMT(Assumptions!$G$96,Assumptions!$G$98,$C139),BU150))),0)</f>
        <v>0</v>
      </c>
      <c r="BW150" s="39">
        <f>+IFERROR(-ABS(IF(EDATE(_xlfn.XLOOKUP(1,$H137:$BE137,$H$4:$BE$4),12*Assumptions!$G$98+12)=BW$4,0,IF(BV137=1,PMT(Assumptions!$G$96,Assumptions!$G$98,$C139),BV150))),0)</f>
        <v>0</v>
      </c>
      <c r="BX150" s="39">
        <f>+IFERROR(-ABS(IF(EDATE(_xlfn.XLOOKUP(1,$H137:$BE137,$H$4:$BE$4),12*Assumptions!$G$98+12)=BX$4,0,IF(BW137=1,PMT(Assumptions!$G$96,Assumptions!$G$98,$C139),BW150))),0)</f>
        <v>0</v>
      </c>
      <c r="BY150" s="39">
        <f>+IFERROR(-ABS(IF(EDATE(_xlfn.XLOOKUP(1,$H137:$BE137,$H$4:$BE$4),12*Assumptions!$G$98+12)=BY$4,0,IF(BX137=1,PMT(Assumptions!$G$96,Assumptions!$G$98,$C139),BX150))),0)</f>
        <v>0</v>
      </c>
    </row>
    <row r="151" spans="2:77" outlineLevel="1">
      <c r="E151" s="24" t="s">
        <v>522</v>
      </c>
      <c r="F151" s="80" t="str">
        <f>+Assumptions!$G$8</f>
        <v>USD</v>
      </c>
      <c r="G151" s="24"/>
      <c r="H151" s="39">
        <f>+IFERROR(-ABS(IF(EDATE(_xlfn.XLOOKUP(1,$H138:$BE138,$H$4:$BE$4),12*Assumptions!$G$98+12)=H$4,0,IF(G138=1,PMT(Assumptions!$G$96,Assumptions!$G$98,$C140),G151))),0)</f>
        <v>0</v>
      </c>
      <c r="I151" s="39">
        <f>+IFERROR(-ABS(IF(EDATE(_xlfn.XLOOKUP(1,$H138:$BE138,$H$4:$BE$4),12*Assumptions!$G$98+12)=I$4,0,IF(H138=1,PMT(Assumptions!$G$96,Assumptions!$G$98,$C140),H151))),0)</f>
        <v>0</v>
      </c>
      <c r="J151" s="39">
        <f>+IFERROR(-ABS(IF(EDATE(_xlfn.XLOOKUP(1,$H138:$BE138,$H$4:$BE$4),12*Assumptions!$G$98+12)=J$4,0,IF(I138=1,PMT(Assumptions!$G$96,Assumptions!$G$98,$C140),I151))),0)</f>
        <v>0</v>
      </c>
      <c r="K151" s="39">
        <f>+IFERROR(-ABS(IF(EDATE(_xlfn.XLOOKUP(1,$H138:$BE138,$H$4:$BE$4),12*Assumptions!$G$98+12)=K$4,0,IF(J138=1,PMT(Assumptions!$G$96,Assumptions!$G$98,$C140),J151))),0)</f>
        <v>0</v>
      </c>
      <c r="L151" s="39">
        <f>+IFERROR(-ABS(IF(EDATE(_xlfn.XLOOKUP(1,$H138:$BE138,$H$4:$BE$4),12*Assumptions!$G$98+12)=L$4,0,IF(K138=1,PMT(Assumptions!$G$96,Assumptions!$G$98,$C140),K151))),0)</f>
        <v>0</v>
      </c>
      <c r="M151" s="39">
        <f>+IFERROR(-ABS(IF(EDATE(_xlfn.XLOOKUP(1,$H138:$BE138,$H$4:$BE$4),12*Assumptions!$G$98+12)=M$4,0,IF(L138=1,PMT(Assumptions!$G$96,Assumptions!$G$98,$C140),L151))),0)</f>
        <v>0</v>
      </c>
      <c r="N151" s="39">
        <f>+IFERROR(-ABS(IF(EDATE(_xlfn.XLOOKUP(1,$H138:$BE138,$H$4:$BE$4),12*Assumptions!$G$98+12)=N$4,0,IF(M138=1,PMT(Assumptions!$G$96,Assumptions!$G$98,$C140),M151))),0)</f>
        <v>0</v>
      </c>
      <c r="O151" s="39">
        <f>+IFERROR(-ABS(IF(EDATE(_xlfn.XLOOKUP(1,$H138:$BE138,$H$4:$BE$4),12*Assumptions!$G$98+12)=O$4,0,IF(N138=1,PMT(Assumptions!$G$96,Assumptions!$G$98,$C140),N151))),0)</f>
        <v>0</v>
      </c>
      <c r="P151" s="39">
        <f>+IFERROR(-ABS(IF(EDATE(_xlfn.XLOOKUP(1,$H138:$BE138,$H$4:$BE$4),12*Assumptions!$G$98+12)=P$4,0,IF(O138=1,PMT(Assumptions!$G$96,Assumptions!$G$98,$C140),O151))),0)</f>
        <v>0</v>
      </c>
      <c r="Q151" s="39">
        <f>+IFERROR(-ABS(IF(EDATE(_xlfn.XLOOKUP(1,$H138:$BE138,$H$4:$BE$4),12*Assumptions!$G$98+12)=Q$4,0,IF(P138=1,PMT(Assumptions!$G$96,Assumptions!$G$98,$C140),P151))),0)</f>
        <v>0</v>
      </c>
      <c r="R151" s="39">
        <f>+IFERROR(-ABS(IF(EDATE(_xlfn.XLOOKUP(1,$H138:$BE138,$H$4:$BE$4),12*Assumptions!$G$98+12)=R$4,0,IF(Q138=1,PMT(Assumptions!$G$96,Assumptions!$G$98,$C140),Q151))),0)</f>
        <v>0</v>
      </c>
      <c r="S151" s="39">
        <f>+IFERROR(-ABS(IF(EDATE(_xlfn.XLOOKUP(1,$H138:$BE138,$H$4:$BE$4),12*Assumptions!$G$98+12)=S$4,0,IF(R138=1,PMT(Assumptions!$G$96,Assumptions!$G$98,$C140),R151))),0)</f>
        <v>0</v>
      </c>
      <c r="T151" s="39">
        <f>+IFERROR(-ABS(IF(EDATE(_xlfn.XLOOKUP(1,$H138:$BE138,$H$4:$BE$4),12*Assumptions!$G$98+12)=T$4,0,IF(S138=1,PMT(Assumptions!$G$96,Assumptions!$G$98,$C140),S151))),0)</f>
        <v>0</v>
      </c>
      <c r="U151" s="39">
        <f>+IFERROR(-ABS(IF(EDATE(_xlfn.XLOOKUP(1,$H138:$BE138,$H$4:$BE$4),12*Assumptions!$G$98+12)=U$4,0,IF(T138=1,PMT(Assumptions!$G$96,Assumptions!$G$98,$C140),T151))),0)</f>
        <v>0</v>
      </c>
      <c r="V151" s="39">
        <f>+IFERROR(-ABS(IF(EDATE(_xlfn.XLOOKUP(1,$H138:$BE138,$H$4:$BE$4),12*Assumptions!$G$98+12)=V$4,0,IF(U138=1,PMT(Assumptions!$G$96,Assumptions!$G$98,$C140),U151))),0)</f>
        <v>0</v>
      </c>
      <c r="W151" s="39">
        <f>+IFERROR(-ABS(IF(EDATE(_xlfn.XLOOKUP(1,$H138:$BE138,$H$4:$BE$4),12*Assumptions!$G$98+12)=W$4,0,IF(V138=1,PMT(Assumptions!$G$96,Assumptions!$G$98,$C140),V151))),0)</f>
        <v>0</v>
      </c>
      <c r="X151" s="39">
        <f>+IFERROR(-ABS(IF(EDATE(_xlfn.XLOOKUP(1,$H138:$BE138,$H$4:$BE$4),12*Assumptions!$G$98+12)=X$4,0,IF(W138=1,PMT(Assumptions!$G$96,Assumptions!$G$98,$C140),W151))),0)</f>
        <v>0</v>
      </c>
      <c r="Y151" s="39">
        <f>+IFERROR(-ABS(IF(EDATE(_xlfn.XLOOKUP(1,$H138:$BE138,$H$4:$BE$4),12*Assumptions!$G$98+12)=Y$4,0,IF(X138=1,PMT(Assumptions!$G$96,Assumptions!$G$98,$C140),X151))),0)</f>
        <v>0</v>
      </c>
      <c r="Z151" s="39">
        <f>+IFERROR(-ABS(IF(EDATE(_xlfn.XLOOKUP(1,$H138:$BE138,$H$4:$BE$4),12*Assumptions!$G$98+12)=Z$4,0,IF(Y138=1,PMT(Assumptions!$G$96,Assumptions!$G$98,$C140),Y151))),0)</f>
        <v>0</v>
      </c>
      <c r="AA151" s="39">
        <f>+IFERROR(-ABS(IF(EDATE(_xlfn.XLOOKUP(1,$H138:$BE138,$H$4:$BE$4),12*Assumptions!$G$98+12)=AA$4,0,IF(Z138=1,PMT(Assumptions!$G$96,Assumptions!$G$98,$C140),Z151))),0)</f>
        <v>0</v>
      </c>
      <c r="AB151" s="39">
        <f>+IFERROR(-ABS(IF(EDATE(_xlfn.XLOOKUP(1,$H138:$BE138,$H$4:$BE$4),12*Assumptions!$G$98+12)=AB$4,0,IF(AA138=1,PMT(Assumptions!$G$96,Assumptions!$G$98,$C140),AA151))),0)</f>
        <v>0</v>
      </c>
      <c r="AC151" s="39">
        <f>+IFERROR(-ABS(IF(EDATE(_xlfn.XLOOKUP(1,$H138:$BE138,$H$4:$BE$4),12*Assumptions!$G$98+12)=AC$4,0,IF(AB138=1,PMT(Assumptions!$G$96,Assumptions!$G$98,$C140),AB151))),0)</f>
        <v>0</v>
      </c>
      <c r="AD151" s="39">
        <f>+IFERROR(-ABS(IF(EDATE(_xlfn.XLOOKUP(1,$H138:$BE138,$H$4:$BE$4),12*Assumptions!$G$98+12)=AD$4,0,IF(AC138=1,PMT(Assumptions!$G$96,Assumptions!$G$98,$C140),AC151))),0)</f>
        <v>0</v>
      </c>
      <c r="AE151" s="39">
        <f>+IFERROR(-ABS(IF(EDATE(_xlfn.XLOOKUP(1,$H138:$BE138,$H$4:$BE$4),12*Assumptions!$G$98+12)=AE$4,0,IF(AD138=1,PMT(Assumptions!$G$96,Assumptions!$G$98,$C140),AD151))),0)</f>
        <v>0</v>
      </c>
      <c r="AF151" s="39">
        <f>+IFERROR(-ABS(IF(EDATE(_xlfn.XLOOKUP(1,$H138:$BE138,$H$4:$BE$4),12*Assumptions!$G$98+12)=AF$4,0,IF(AE138=1,PMT(Assumptions!$G$96,Assumptions!$G$98,$C140),AE151))),0)</f>
        <v>0</v>
      </c>
      <c r="AG151" s="39">
        <f>+IFERROR(-ABS(IF(EDATE(_xlfn.XLOOKUP(1,$H138:$BE138,$H$4:$BE$4),12*Assumptions!$G$98+12)=AG$4,0,IF(AF138=1,PMT(Assumptions!$G$96,Assumptions!$G$98,$C140),AF151))),0)</f>
        <v>0</v>
      </c>
      <c r="AH151" s="39">
        <f>+IFERROR(-ABS(IF(EDATE(_xlfn.XLOOKUP(1,$H138:$BE138,$H$4:$BE$4),12*Assumptions!$G$98+12)=AH$4,0,IF(AG138=1,PMT(Assumptions!$G$96,Assumptions!$G$98,$C140),AG151))),0)</f>
        <v>0</v>
      </c>
      <c r="AI151" s="39">
        <f>+IFERROR(-ABS(IF(EDATE(_xlfn.XLOOKUP(1,$H138:$BE138,$H$4:$BE$4),12*Assumptions!$G$98+12)=AI$4,0,IF(AH138=1,PMT(Assumptions!$G$96,Assumptions!$G$98,$C140),AH151))),0)</f>
        <v>0</v>
      </c>
      <c r="AJ151" s="39">
        <f>+IFERROR(-ABS(IF(EDATE(_xlfn.XLOOKUP(1,$H138:$BE138,$H$4:$BE$4),12*Assumptions!$G$98+12)=AJ$4,0,IF(AI138=1,PMT(Assumptions!$G$96,Assumptions!$G$98,$C140),AI151))),0)</f>
        <v>0</v>
      </c>
      <c r="AK151" s="39">
        <f>+IFERROR(-ABS(IF(EDATE(_xlfn.XLOOKUP(1,$H138:$BE138,$H$4:$BE$4),12*Assumptions!$G$98+12)=AK$4,0,IF(AJ138=1,PMT(Assumptions!$G$96,Assumptions!$G$98,$C140),AJ151))),0)</f>
        <v>0</v>
      </c>
      <c r="AL151" s="39">
        <f>+IFERROR(-ABS(IF(EDATE(_xlfn.XLOOKUP(1,$H138:$BE138,$H$4:$BE$4),12*Assumptions!$G$98+12)=AL$4,0,IF(AK138=1,PMT(Assumptions!$G$96,Assumptions!$G$98,$C140),AK151))),0)</f>
        <v>0</v>
      </c>
      <c r="AM151" s="39">
        <f>+IFERROR(-ABS(IF(EDATE(_xlfn.XLOOKUP(1,$H138:$BE138,$H$4:$BE$4),12*Assumptions!$G$98+12)=AM$4,0,IF(AL138=1,PMT(Assumptions!$G$96,Assumptions!$G$98,$C140),AL151))),0)</f>
        <v>0</v>
      </c>
      <c r="AN151" s="39">
        <f>+IFERROR(-ABS(IF(EDATE(_xlfn.XLOOKUP(1,$H138:$BE138,$H$4:$BE$4),12*Assumptions!$G$98+12)=AN$4,0,IF(AM138=1,PMT(Assumptions!$G$96,Assumptions!$G$98,$C140),AM151))),0)</f>
        <v>0</v>
      </c>
      <c r="AO151" s="39">
        <f>+IFERROR(-ABS(IF(EDATE(_xlfn.XLOOKUP(1,$H138:$BE138,$H$4:$BE$4),12*Assumptions!$G$98+12)=AO$4,0,IF(AN138=1,PMT(Assumptions!$G$96,Assumptions!$G$98,$C140),AN151))),0)</f>
        <v>0</v>
      </c>
      <c r="AP151" s="39">
        <f>+IFERROR(-ABS(IF(EDATE(_xlfn.XLOOKUP(1,$H138:$BE138,$H$4:$BE$4),12*Assumptions!$G$98+12)=AP$4,0,IF(AO138=1,PMT(Assumptions!$G$96,Assumptions!$G$98,$C140),AO151))),0)</f>
        <v>0</v>
      </c>
      <c r="AQ151" s="39">
        <f>+IFERROR(-ABS(IF(EDATE(_xlfn.XLOOKUP(1,$H138:$BE138,$H$4:$BE$4),12*Assumptions!$G$98+12)=AQ$4,0,IF(AP138=1,PMT(Assumptions!$G$96,Assumptions!$G$98,$C140),AP151))),0)</f>
        <v>0</v>
      </c>
      <c r="AR151" s="39">
        <f>+IFERROR(-ABS(IF(EDATE(_xlfn.XLOOKUP(1,$H138:$BE138,$H$4:$BE$4),12*Assumptions!$G$98+12)=AR$4,0,IF(AQ138=1,PMT(Assumptions!$G$96,Assumptions!$G$98,$C140),AQ151))),0)</f>
        <v>0</v>
      </c>
      <c r="AS151" s="39">
        <f>+IFERROR(-ABS(IF(EDATE(_xlfn.XLOOKUP(1,$H138:$BE138,$H$4:$BE$4),12*Assumptions!$G$98+12)=AS$4,0,IF(AR138=1,PMT(Assumptions!$G$96,Assumptions!$G$98,$C140),AR151))),0)</f>
        <v>0</v>
      </c>
      <c r="AT151" s="39">
        <f>+IFERROR(-ABS(IF(EDATE(_xlfn.XLOOKUP(1,$H138:$BE138,$H$4:$BE$4),12*Assumptions!$G$98+12)=AT$4,0,IF(AS138=1,PMT(Assumptions!$G$96,Assumptions!$G$98,$C140),AS151))),0)</f>
        <v>0</v>
      </c>
      <c r="AU151" s="39">
        <f>+IFERROR(-ABS(IF(EDATE(_xlfn.XLOOKUP(1,$H138:$BE138,$H$4:$BE$4),12*Assumptions!$G$98+12)=AU$4,0,IF(AT138=1,PMT(Assumptions!$G$96,Assumptions!$G$98,$C140),AT151))),0)</f>
        <v>0</v>
      </c>
      <c r="AV151" s="39">
        <f>+IFERROR(-ABS(IF(EDATE(_xlfn.XLOOKUP(1,$H138:$BE138,$H$4:$BE$4),12*Assumptions!$G$98+12)=AV$4,0,IF(AU138=1,PMT(Assumptions!$G$96,Assumptions!$G$98,$C140),AU151))),0)</f>
        <v>0</v>
      </c>
      <c r="AW151" s="39">
        <f>+IFERROR(-ABS(IF(EDATE(_xlfn.XLOOKUP(1,$H138:$BE138,$H$4:$BE$4),12*Assumptions!$G$98+12)=AW$4,0,IF(AV138=1,PMT(Assumptions!$G$96,Assumptions!$G$98,$C140),AV151))),0)</f>
        <v>0</v>
      </c>
      <c r="AX151" s="39">
        <f>+IFERROR(-ABS(IF(EDATE(_xlfn.XLOOKUP(1,$H138:$BE138,$H$4:$BE$4),12*Assumptions!$G$98+12)=AX$4,0,IF(AW138=1,PMT(Assumptions!$G$96,Assumptions!$G$98,$C140),AW151))),0)</f>
        <v>0</v>
      </c>
      <c r="AY151" s="39">
        <f>+IFERROR(-ABS(IF(EDATE(_xlfn.XLOOKUP(1,$H138:$BE138,$H$4:$BE$4),12*Assumptions!$G$98+12)=AY$4,0,IF(AX138=1,PMT(Assumptions!$G$96,Assumptions!$G$98,$C140),AX151))),0)</f>
        <v>0</v>
      </c>
      <c r="AZ151" s="39">
        <f>+IFERROR(-ABS(IF(EDATE(_xlfn.XLOOKUP(1,$H138:$BE138,$H$4:$BE$4),12*Assumptions!$G$98+12)=AZ$4,0,IF(AY138=1,PMT(Assumptions!$G$96,Assumptions!$G$98,$C140),AY151))),0)</f>
        <v>0</v>
      </c>
      <c r="BA151" s="39">
        <f>+IFERROR(-ABS(IF(EDATE(_xlfn.XLOOKUP(1,$H138:$BE138,$H$4:$BE$4),12*Assumptions!$G$98+12)=BA$4,0,IF(AZ138=1,PMT(Assumptions!$G$96,Assumptions!$G$98,$C140),AZ151))),0)</f>
        <v>0</v>
      </c>
      <c r="BB151" s="39">
        <f>+IFERROR(-ABS(IF(EDATE(_xlfn.XLOOKUP(1,$H138:$BE138,$H$4:$BE$4),12*Assumptions!$G$98+12)=BB$4,0,IF(BA138=1,PMT(Assumptions!$G$96,Assumptions!$G$98,$C140),BA151))),0)</f>
        <v>0</v>
      </c>
      <c r="BC151" s="39">
        <f>+IFERROR(-ABS(IF(EDATE(_xlfn.XLOOKUP(1,$H138:$BE138,$H$4:$BE$4),12*Assumptions!$G$98+12)=BC$4,0,IF(BB138=1,PMT(Assumptions!$G$96,Assumptions!$G$98,$C140),BB151))),0)</f>
        <v>0</v>
      </c>
      <c r="BD151" s="39">
        <f>+IFERROR(-ABS(IF(EDATE(_xlfn.XLOOKUP(1,$H138:$BE138,$H$4:$BE$4),12*Assumptions!$G$98+12)=BD$4,0,IF(BC138=1,PMT(Assumptions!$G$96,Assumptions!$G$98,$C140),BC151))),0)</f>
        <v>0</v>
      </c>
      <c r="BE151" s="39">
        <f>+IFERROR(-ABS(IF(EDATE(_xlfn.XLOOKUP(1,$H138:$BE138,$H$4:$BE$4),12*Assumptions!$G$98+12)=BE$4,0,IF(BD138=1,PMT(Assumptions!$G$96,Assumptions!$G$98,$C140),BD151))),0)</f>
        <v>0</v>
      </c>
      <c r="BF151" s="39">
        <f>+IFERROR(-ABS(IF(EDATE(_xlfn.XLOOKUP(1,$H138:$BE138,$H$4:$BE$4),12*Assumptions!$G$98+12)=BF$4,0,IF(BE138=1,PMT(Assumptions!$G$96,Assumptions!$G$98,$C140),BE151))),0)</f>
        <v>0</v>
      </c>
      <c r="BG151" s="39">
        <f>+IFERROR(-ABS(IF(EDATE(_xlfn.XLOOKUP(1,$H138:$BE138,$H$4:$BE$4),12*Assumptions!$G$98+12)=BG$4,0,IF(BF138=1,PMT(Assumptions!$G$96,Assumptions!$G$98,$C140),BF151))),0)</f>
        <v>0</v>
      </c>
      <c r="BH151" s="39">
        <f>+IFERROR(-ABS(IF(EDATE(_xlfn.XLOOKUP(1,$H138:$BE138,$H$4:$BE$4),12*Assumptions!$G$98+12)=BH$4,0,IF(BG138=1,PMT(Assumptions!$G$96,Assumptions!$G$98,$C140),BG151))),0)</f>
        <v>0</v>
      </c>
      <c r="BI151" s="39">
        <f>+IFERROR(-ABS(IF(EDATE(_xlfn.XLOOKUP(1,$H138:$BE138,$H$4:$BE$4),12*Assumptions!$G$98+12)=BI$4,0,IF(BH138=1,PMT(Assumptions!$G$96,Assumptions!$G$98,$C140),BH151))),0)</f>
        <v>0</v>
      </c>
      <c r="BJ151" s="39">
        <f>+IFERROR(-ABS(IF(EDATE(_xlfn.XLOOKUP(1,$H138:$BE138,$H$4:$BE$4),12*Assumptions!$G$98+12)=BJ$4,0,IF(BI138=1,PMT(Assumptions!$G$96,Assumptions!$G$98,$C140),BI151))),0)</f>
        <v>0</v>
      </c>
      <c r="BK151" s="39">
        <f>+IFERROR(-ABS(IF(EDATE(_xlfn.XLOOKUP(1,$H138:$BE138,$H$4:$BE$4),12*Assumptions!$G$98+12)=BK$4,0,IF(BJ138=1,PMT(Assumptions!$G$96,Assumptions!$G$98,$C140),BJ151))),0)</f>
        <v>0</v>
      </c>
      <c r="BL151" s="39">
        <f>+IFERROR(-ABS(IF(EDATE(_xlfn.XLOOKUP(1,$H138:$BE138,$H$4:$BE$4),12*Assumptions!$G$98+12)=BL$4,0,IF(BK138=1,PMT(Assumptions!$G$96,Assumptions!$G$98,$C140),BK151))),0)</f>
        <v>0</v>
      </c>
      <c r="BM151" s="39">
        <f>+IFERROR(-ABS(IF(EDATE(_xlfn.XLOOKUP(1,$H138:$BE138,$H$4:$BE$4),12*Assumptions!$G$98+12)=BM$4,0,IF(BL138=1,PMT(Assumptions!$G$96,Assumptions!$G$98,$C140),BL151))),0)</f>
        <v>0</v>
      </c>
      <c r="BN151" s="39">
        <f>+IFERROR(-ABS(IF(EDATE(_xlfn.XLOOKUP(1,$H138:$BE138,$H$4:$BE$4),12*Assumptions!$G$98+12)=BN$4,0,IF(BM138=1,PMT(Assumptions!$G$96,Assumptions!$G$98,$C140),BM151))),0)</f>
        <v>0</v>
      </c>
      <c r="BO151" s="39">
        <f>+IFERROR(-ABS(IF(EDATE(_xlfn.XLOOKUP(1,$H138:$BE138,$H$4:$BE$4),12*Assumptions!$G$98+12)=BO$4,0,IF(BN138=1,PMT(Assumptions!$G$96,Assumptions!$G$98,$C140),BN151))),0)</f>
        <v>0</v>
      </c>
      <c r="BP151" s="39">
        <f>+IFERROR(-ABS(IF(EDATE(_xlfn.XLOOKUP(1,$H138:$BE138,$H$4:$BE$4),12*Assumptions!$G$98+12)=BP$4,0,IF(BO138=1,PMT(Assumptions!$G$96,Assumptions!$G$98,$C140),BO151))),0)</f>
        <v>0</v>
      </c>
      <c r="BQ151" s="39">
        <f>+IFERROR(-ABS(IF(EDATE(_xlfn.XLOOKUP(1,$H138:$BE138,$H$4:$BE$4),12*Assumptions!$G$98+12)=BQ$4,0,IF(BP138=1,PMT(Assumptions!$G$96,Assumptions!$G$98,$C140),BP151))),0)</f>
        <v>0</v>
      </c>
      <c r="BR151" s="39">
        <f>+IFERROR(-ABS(IF(EDATE(_xlfn.XLOOKUP(1,$H138:$BE138,$H$4:$BE$4),12*Assumptions!$G$98+12)=BR$4,0,IF(BQ138=1,PMT(Assumptions!$G$96,Assumptions!$G$98,$C140),BQ151))),0)</f>
        <v>0</v>
      </c>
      <c r="BS151" s="39">
        <f>+IFERROR(-ABS(IF(EDATE(_xlfn.XLOOKUP(1,$H138:$BE138,$H$4:$BE$4),12*Assumptions!$G$98+12)=BS$4,0,IF(BR138=1,PMT(Assumptions!$G$96,Assumptions!$G$98,$C140),BR151))),0)</f>
        <v>0</v>
      </c>
      <c r="BT151" s="39">
        <f>+IFERROR(-ABS(IF(EDATE(_xlfn.XLOOKUP(1,$H138:$BE138,$H$4:$BE$4),12*Assumptions!$G$98+12)=BT$4,0,IF(BS138=1,PMT(Assumptions!$G$96,Assumptions!$G$98,$C140),BS151))),0)</f>
        <v>0</v>
      </c>
      <c r="BU151" s="39">
        <f>+IFERROR(-ABS(IF(EDATE(_xlfn.XLOOKUP(1,$H138:$BE138,$H$4:$BE$4),12*Assumptions!$G$98+12)=BU$4,0,IF(BT138=1,PMT(Assumptions!$G$96,Assumptions!$G$98,$C140),BT151))),0)</f>
        <v>0</v>
      </c>
      <c r="BV151" s="39">
        <f>+IFERROR(-ABS(IF(EDATE(_xlfn.XLOOKUP(1,$H138:$BE138,$H$4:$BE$4),12*Assumptions!$G$98+12)=BV$4,0,IF(BU138=1,PMT(Assumptions!$G$96,Assumptions!$G$98,$C140),BU151))),0)</f>
        <v>0</v>
      </c>
      <c r="BW151" s="39">
        <f>+IFERROR(-ABS(IF(EDATE(_xlfn.XLOOKUP(1,$H138:$BE138,$H$4:$BE$4),12*Assumptions!$G$98+12)=BW$4,0,IF(BV138=1,PMT(Assumptions!$G$96,Assumptions!$G$98,$C140),BV151))),0)</f>
        <v>0</v>
      </c>
      <c r="BX151" s="39">
        <f>+IFERROR(-ABS(IF(EDATE(_xlfn.XLOOKUP(1,$H138:$BE138,$H$4:$BE$4),12*Assumptions!$G$98+12)=BX$4,0,IF(BW138=1,PMT(Assumptions!$G$96,Assumptions!$G$98,$C140),BW151))),0)</f>
        <v>0</v>
      </c>
      <c r="BY151" s="39">
        <f>+IFERROR(-ABS(IF(EDATE(_xlfn.XLOOKUP(1,$H138:$BE138,$H$4:$BE$4),12*Assumptions!$G$98+12)=BY$4,0,IF(BX138=1,PMT(Assumptions!$G$96,Assumptions!$G$98,$C140),BX151))),0)</f>
        <v>0</v>
      </c>
    </row>
    <row r="152" spans="2:77" outlineLevel="1">
      <c r="E152" s="24" t="s">
        <v>523</v>
      </c>
      <c r="F152" s="80" t="str">
        <f>+Assumptions!$G$8</f>
        <v>USD</v>
      </c>
      <c r="G152" s="24"/>
      <c r="H152" s="39">
        <f>+IFERROR(-ABS(IF(EDATE(_xlfn.XLOOKUP(1,$H139:$BE139,$H$4:$BE$4),12*Assumptions!$G$98+12)=H$4,0,IF(G139=1,PMT(Assumptions!$G$96,Assumptions!$G$98,$C141),G152))),0)</f>
        <v>0</v>
      </c>
      <c r="I152" s="39">
        <f>+IFERROR(-ABS(IF(EDATE(_xlfn.XLOOKUP(1,$H139:$BE139,$H$4:$BE$4),12*Assumptions!$G$98+12)=I$4,0,IF(H139=1,PMT(Assumptions!$G$96,Assumptions!$G$98,$C141),H152))),0)</f>
        <v>0</v>
      </c>
      <c r="J152" s="39">
        <f>+IFERROR(-ABS(IF(EDATE(_xlfn.XLOOKUP(1,$H139:$BE139,$H$4:$BE$4),12*Assumptions!$G$98+12)=J$4,0,IF(I139=1,PMT(Assumptions!$G$96,Assumptions!$G$98,$C141),I152))),0)</f>
        <v>0</v>
      </c>
      <c r="K152" s="39">
        <f>+IFERROR(-ABS(IF(EDATE(_xlfn.XLOOKUP(1,$H139:$BE139,$H$4:$BE$4),12*Assumptions!$G$98+12)=K$4,0,IF(J139=1,PMT(Assumptions!$G$96,Assumptions!$G$98,$C141),J152))),0)</f>
        <v>0</v>
      </c>
      <c r="L152" s="39">
        <f>+IFERROR(-ABS(IF(EDATE(_xlfn.XLOOKUP(1,$H139:$BE139,$H$4:$BE$4),12*Assumptions!$G$98+12)=L$4,0,IF(K139=1,PMT(Assumptions!$G$96,Assumptions!$G$98,$C141),K152))),0)</f>
        <v>0</v>
      </c>
      <c r="M152" s="39">
        <f>+IFERROR(-ABS(IF(EDATE(_xlfn.XLOOKUP(1,$H139:$BE139,$H$4:$BE$4),12*Assumptions!$G$98+12)=M$4,0,IF(L139=1,PMT(Assumptions!$G$96,Assumptions!$G$98,$C141),L152))),0)</f>
        <v>0</v>
      </c>
      <c r="N152" s="39">
        <f>+IFERROR(-ABS(IF(EDATE(_xlfn.XLOOKUP(1,$H139:$BE139,$H$4:$BE$4),12*Assumptions!$G$98+12)=N$4,0,IF(M139=1,PMT(Assumptions!$G$96,Assumptions!$G$98,$C141),M152))),0)</f>
        <v>0</v>
      </c>
      <c r="O152" s="39">
        <f>+IFERROR(-ABS(IF(EDATE(_xlfn.XLOOKUP(1,$H139:$BE139,$H$4:$BE$4),12*Assumptions!$G$98+12)=O$4,0,IF(N139=1,PMT(Assumptions!$G$96,Assumptions!$G$98,$C141),N152))),0)</f>
        <v>0</v>
      </c>
      <c r="P152" s="39">
        <f>+IFERROR(-ABS(IF(EDATE(_xlfn.XLOOKUP(1,$H139:$BE139,$H$4:$BE$4),12*Assumptions!$G$98+12)=P$4,0,IF(O139=1,PMT(Assumptions!$G$96,Assumptions!$G$98,$C141),O152))),0)</f>
        <v>0</v>
      </c>
      <c r="Q152" s="39">
        <f>+IFERROR(-ABS(IF(EDATE(_xlfn.XLOOKUP(1,$H139:$BE139,$H$4:$BE$4),12*Assumptions!$G$98+12)=Q$4,0,IF(P139=1,PMT(Assumptions!$G$96,Assumptions!$G$98,$C141),P152))),0)</f>
        <v>0</v>
      </c>
      <c r="R152" s="39">
        <f>+IFERROR(-ABS(IF(EDATE(_xlfn.XLOOKUP(1,$H139:$BE139,$H$4:$BE$4),12*Assumptions!$G$98+12)=R$4,0,IF(Q139=1,PMT(Assumptions!$G$96,Assumptions!$G$98,$C141),Q152))),0)</f>
        <v>0</v>
      </c>
      <c r="S152" s="39">
        <f>+IFERROR(-ABS(IF(EDATE(_xlfn.XLOOKUP(1,$H139:$BE139,$H$4:$BE$4),12*Assumptions!$G$98+12)=S$4,0,IF(R139=1,PMT(Assumptions!$G$96,Assumptions!$G$98,$C141),R152))),0)</f>
        <v>0</v>
      </c>
      <c r="T152" s="39">
        <f>+IFERROR(-ABS(IF(EDATE(_xlfn.XLOOKUP(1,$H139:$BE139,$H$4:$BE$4),12*Assumptions!$G$98+12)=T$4,0,IF(S139=1,PMT(Assumptions!$G$96,Assumptions!$G$98,$C141),S152))),0)</f>
        <v>0</v>
      </c>
      <c r="U152" s="39">
        <f>+IFERROR(-ABS(IF(EDATE(_xlfn.XLOOKUP(1,$H139:$BE139,$H$4:$BE$4),12*Assumptions!$G$98+12)=U$4,0,IF(T139=1,PMT(Assumptions!$G$96,Assumptions!$G$98,$C141),T152))),0)</f>
        <v>0</v>
      </c>
      <c r="V152" s="39">
        <f>+IFERROR(-ABS(IF(EDATE(_xlfn.XLOOKUP(1,$H139:$BE139,$H$4:$BE$4),12*Assumptions!$G$98+12)=V$4,0,IF(U139=1,PMT(Assumptions!$G$96,Assumptions!$G$98,$C141),U152))),0)</f>
        <v>0</v>
      </c>
      <c r="W152" s="39">
        <f>+IFERROR(-ABS(IF(EDATE(_xlfn.XLOOKUP(1,$H139:$BE139,$H$4:$BE$4),12*Assumptions!$G$98+12)=W$4,0,IF(V139=1,PMT(Assumptions!$G$96,Assumptions!$G$98,$C141),V152))),0)</f>
        <v>0</v>
      </c>
      <c r="X152" s="39">
        <f>+IFERROR(-ABS(IF(EDATE(_xlfn.XLOOKUP(1,$H139:$BE139,$H$4:$BE$4),12*Assumptions!$G$98+12)=X$4,0,IF(W139=1,PMT(Assumptions!$G$96,Assumptions!$G$98,$C141),W152))),0)</f>
        <v>0</v>
      </c>
      <c r="Y152" s="39">
        <f>+IFERROR(-ABS(IF(EDATE(_xlfn.XLOOKUP(1,$H139:$BE139,$H$4:$BE$4),12*Assumptions!$G$98+12)=Y$4,0,IF(X139=1,PMT(Assumptions!$G$96,Assumptions!$G$98,$C141),X152))),0)</f>
        <v>0</v>
      </c>
      <c r="Z152" s="39">
        <f>+IFERROR(-ABS(IF(EDATE(_xlfn.XLOOKUP(1,$H139:$BE139,$H$4:$BE$4),12*Assumptions!$G$98+12)=Z$4,0,IF(Y139=1,PMT(Assumptions!$G$96,Assumptions!$G$98,$C141),Y152))),0)</f>
        <v>0</v>
      </c>
      <c r="AA152" s="39">
        <f>+IFERROR(-ABS(IF(EDATE(_xlfn.XLOOKUP(1,$H139:$BE139,$H$4:$BE$4),12*Assumptions!$G$98+12)=AA$4,0,IF(Z139=1,PMT(Assumptions!$G$96,Assumptions!$G$98,$C141),Z152))),0)</f>
        <v>0</v>
      </c>
      <c r="AB152" s="39">
        <f>+IFERROR(-ABS(IF(EDATE(_xlfn.XLOOKUP(1,$H139:$BE139,$H$4:$BE$4),12*Assumptions!$G$98+12)=AB$4,0,IF(AA139=1,PMT(Assumptions!$G$96,Assumptions!$G$98,$C141),AA152))),0)</f>
        <v>0</v>
      </c>
      <c r="AC152" s="39">
        <f>+IFERROR(-ABS(IF(EDATE(_xlfn.XLOOKUP(1,$H139:$BE139,$H$4:$BE$4),12*Assumptions!$G$98+12)=AC$4,0,IF(AB139=1,PMT(Assumptions!$G$96,Assumptions!$G$98,$C141),AB152))),0)</f>
        <v>0</v>
      </c>
      <c r="AD152" s="39">
        <f>+IFERROR(-ABS(IF(EDATE(_xlfn.XLOOKUP(1,$H139:$BE139,$H$4:$BE$4),12*Assumptions!$G$98+12)=AD$4,0,IF(AC139=1,PMT(Assumptions!$G$96,Assumptions!$G$98,$C141),AC152))),0)</f>
        <v>0</v>
      </c>
      <c r="AE152" s="39">
        <f>+IFERROR(-ABS(IF(EDATE(_xlfn.XLOOKUP(1,$H139:$BE139,$H$4:$BE$4),12*Assumptions!$G$98+12)=AE$4,0,IF(AD139=1,PMT(Assumptions!$G$96,Assumptions!$G$98,$C141),AD152))),0)</f>
        <v>0</v>
      </c>
      <c r="AF152" s="39">
        <f>+IFERROR(-ABS(IF(EDATE(_xlfn.XLOOKUP(1,$H139:$BE139,$H$4:$BE$4),12*Assumptions!$G$98+12)=AF$4,0,IF(AE139=1,PMT(Assumptions!$G$96,Assumptions!$G$98,$C141),AE152))),0)</f>
        <v>0</v>
      </c>
      <c r="AG152" s="39">
        <f>+IFERROR(-ABS(IF(EDATE(_xlfn.XLOOKUP(1,$H139:$BE139,$H$4:$BE$4),12*Assumptions!$G$98+12)=AG$4,0,IF(AF139=1,PMT(Assumptions!$G$96,Assumptions!$G$98,$C141),AF152))),0)</f>
        <v>0</v>
      </c>
      <c r="AH152" s="39">
        <f>+IFERROR(-ABS(IF(EDATE(_xlfn.XLOOKUP(1,$H139:$BE139,$H$4:$BE$4),12*Assumptions!$G$98+12)=AH$4,0,IF(AG139=1,PMT(Assumptions!$G$96,Assumptions!$G$98,$C141),AG152))),0)</f>
        <v>0</v>
      </c>
      <c r="AI152" s="39">
        <f>+IFERROR(-ABS(IF(EDATE(_xlfn.XLOOKUP(1,$H139:$BE139,$H$4:$BE$4),12*Assumptions!$G$98+12)=AI$4,0,IF(AH139=1,PMT(Assumptions!$G$96,Assumptions!$G$98,$C141),AH152))),0)</f>
        <v>0</v>
      </c>
      <c r="AJ152" s="39">
        <f>+IFERROR(-ABS(IF(EDATE(_xlfn.XLOOKUP(1,$H139:$BE139,$H$4:$BE$4),12*Assumptions!$G$98+12)=AJ$4,0,IF(AI139=1,PMT(Assumptions!$G$96,Assumptions!$G$98,$C141),AI152))),0)</f>
        <v>0</v>
      </c>
      <c r="AK152" s="39">
        <f>+IFERROR(-ABS(IF(EDATE(_xlfn.XLOOKUP(1,$H139:$BE139,$H$4:$BE$4),12*Assumptions!$G$98+12)=AK$4,0,IF(AJ139=1,PMT(Assumptions!$G$96,Assumptions!$G$98,$C141),AJ152))),0)</f>
        <v>0</v>
      </c>
      <c r="AL152" s="39">
        <f>+IFERROR(-ABS(IF(EDATE(_xlfn.XLOOKUP(1,$H139:$BE139,$H$4:$BE$4),12*Assumptions!$G$98+12)=AL$4,0,IF(AK139=1,PMT(Assumptions!$G$96,Assumptions!$G$98,$C141),AK152))),0)</f>
        <v>0</v>
      </c>
      <c r="AM152" s="39">
        <f>+IFERROR(-ABS(IF(EDATE(_xlfn.XLOOKUP(1,$H139:$BE139,$H$4:$BE$4),12*Assumptions!$G$98+12)=AM$4,0,IF(AL139=1,PMT(Assumptions!$G$96,Assumptions!$G$98,$C141),AL152))),0)</f>
        <v>0</v>
      </c>
      <c r="AN152" s="39">
        <f>+IFERROR(-ABS(IF(EDATE(_xlfn.XLOOKUP(1,$H139:$BE139,$H$4:$BE$4),12*Assumptions!$G$98+12)=AN$4,0,IF(AM139=1,PMT(Assumptions!$G$96,Assumptions!$G$98,$C141),AM152))),0)</f>
        <v>0</v>
      </c>
      <c r="AO152" s="39">
        <f>+IFERROR(-ABS(IF(EDATE(_xlfn.XLOOKUP(1,$H139:$BE139,$H$4:$BE$4),12*Assumptions!$G$98+12)=AO$4,0,IF(AN139=1,PMT(Assumptions!$G$96,Assumptions!$G$98,$C141),AN152))),0)</f>
        <v>0</v>
      </c>
      <c r="AP152" s="39">
        <f>+IFERROR(-ABS(IF(EDATE(_xlfn.XLOOKUP(1,$H139:$BE139,$H$4:$BE$4),12*Assumptions!$G$98+12)=AP$4,0,IF(AO139=1,PMT(Assumptions!$G$96,Assumptions!$G$98,$C141),AO152))),0)</f>
        <v>0</v>
      </c>
      <c r="AQ152" s="39">
        <f>+IFERROR(-ABS(IF(EDATE(_xlfn.XLOOKUP(1,$H139:$BE139,$H$4:$BE$4),12*Assumptions!$G$98+12)=AQ$4,0,IF(AP139=1,PMT(Assumptions!$G$96,Assumptions!$G$98,$C141),AP152))),0)</f>
        <v>0</v>
      </c>
      <c r="AR152" s="39">
        <f>+IFERROR(-ABS(IF(EDATE(_xlfn.XLOOKUP(1,$H139:$BE139,$H$4:$BE$4),12*Assumptions!$G$98+12)=AR$4,0,IF(AQ139=1,PMT(Assumptions!$G$96,Assumptions!$G$98,$C141),AQ152))),0)</f>
        <v>0</v>
      </c>
      <c r="AS152" s="39">
        <f>+IFERROR(-ABS(IF(EDATE(_xlfn.XLOOKUP(1,$H139:$BE139,$H$4:$BE$4),12*Assumptions!$G$98+12)=AS$4,0,IF(AR139=1,PMT(Assumptions!$G$96,Assumptions!$G$98,$C141),AR152))),0)</f>
        <v>0</v>
      </c>
      <c r="AT152" s="39">
        <f>+IFERROR(-ABS(IF(EDATE(_xlfn.XLOOKUP(1,$H139:$BE139,$H$4:$BE$4),12*Assumptions!$G$98+12)=AT$4,0,IF(AS139=1,PMT(Assumptions!$G$96,Assumptions!$G$98,$C141),AS152))),0)</f>
        <v>0</v>
      </c>
      <c r="AU152" s="39">
        <f>+IFERROR(-ABS(IF(EDATE(_xlfn.XLOOKUP(1,$H139:$BE139,$H$4:$BE$4),12*Assumptions!$G$98+12)=AU$4,0,IF(AT139=1,PMT(Assumptions!$G$96,Assumptions!$G$98,$C141),AT152))),0)</f>
        <v>0</v>
      </c>
      <c r="AV152" s="39">
        <f>+IFERROR(-ABS(IF(EDATE(_xlfn.XLOOKUP(1,$H139:$BE139,$H$4:$BE$4),12*Assumptions!$G$98+12)=AV$4,0,IF(AU139=1,PMT(Assumptions!$G$96,Assumptions!$G$98,$C141),AU152))),0)</f>
        <v>0</v>
      </c>
      <c r="AW152" s="39">
        <f>+IFERROR(-ABS(IF(EDATE(_xlfn.XLOOKUP(1,$H139:$BE139,$H$4:$BE$4),12*Assumptions!$G$98+12)=AW$4,0,IF(AV139=1,PMT(Assumptions!$G$96,Assumptions!$G$98,$C141),AV152))),0)</f>
        <v>0</v>
      </c>
      <c r="AX152" s="39">
        <f>+IFERROR(-ABS(IF(EDATE(_xlfn.XLOOKUP(1,$H139:$BE139,$H$4:$BE$4),12*Assumptions!$G$98+12)=AX$4,0,IF(AW139=1,PMT(Assumptions!$G$96,Assumptions!$G$98,$C141),AW152))),0)</f>
        <v>0</v>
      </c>
      <c r="AY152" s="39">
        <f>+IFERROR(-ABS(IF(EDATE(_xlfn.XLOOKUP(1,$H139:$BE139,$H$4:$BE$4),12*Assumptions!$G$98+12)=AY$4,0,IF(AX139=1,PMT(Assumptions!$G$96,Assumptions!$G$98,$C141),AX152))),0)</f>
        <v>0</v>
      </c>
      <c r="AZ152" s="39">
        <f>+IFERROR(-ABS(IF(EDATE(_xlfn.XLOOKUP(1,$H139:$BE139,$H$4:$BE$4),12*Assumptions!$G$98+12)=AZ$4,0,IF(AY139=1,PMT(Assumptions!$G$96,Assumptions!$G$98,$C141),AY152))),0)</f>
        <v>0</v>
      </c>
      <c r="BA152" s="39">
        <f>+IFERROR(-ABS(IF(EDATE(_xlfn.XLOOKUP(1,$H139:$BE139,$H$4:$BE$4),12*Assumptions!$G$98+12)=BA$4,0,IF(AZ139=1,PMT(Assumptions!$G$96,Assumptions!$G$98,$C141),AZ152))),0)</f>
        <v>0</v>
      </c>
      <c r="BB152" s="39">
        <f>+IFERROR(-ABS(IF(EDATE(_xlfn.XLOOKUP(1,$H139:$BE139,$H$4:$BE$4),12*Assumptions!$G$98+12)=BB$4,0,IF(BA139=1,PMT(Assumptions!$G$96,Assumptions!$G$98,$C141),BA152))),0)</f>
        <v>0</v>
      </c>
      <c r="BC152" s="39">
        <f>+IFERROR(-ABS(IF(EDATE(_xlfn.XLOOKUP(1,$H139:$BE139,$H$4:$BE$4),12*Assumptions!$G$98+12)=BC$4,0,IF(BB139=1,PMT(Assumptions!$G$96,Assumptions!$G$98,$C141),BB152))),0)</f>
        <v>0</v>
      </c>
      <c r="BD152" s="39">
        <f>+IFERROR(-ABS(IF(EDATE(_xlfn.XLOOKUP(1,$H139:$BE139,$H$4:$BE$4),12*Assumptions!$G$98+12)=BD$4,0,IF(BC139=1,PMT(Assumptions!$G$96,Assumptions!$G$98,$C141),BC152))),0)</f>
        <v>0</v>
      </c>
      <c r="BE152" s="39">
        <f>+IFERROR(-ABS(IF(EDATE(_xlfn.XLOOKUP(1,$H139:$BE139,$H$4:$BE$4),12*Assumptions!$G$98+12)=BE$4,0,IF(BD139=1,PMT(Assumptions!$G$96,Assumptions!$G$98,$C141),BD152))),0)</f>
        <v>0</v>
      </c>
      <c r="BF152" s="39">
        <f>+IFERROR(-ABS(IF(EDATE(_xlfn.XLOOKUP(1,$H139:$BE139,$H$4:$BE$4),12*Assumptions!$G$98+12)=BF$4,0,IF(BE139=1,PMT(Assumptions!$G$96,Assumptions!$G$98,$C141),BE152))),0)</f>
        <v>0</v>
      </c>
      <c r="BG152" s="39">
        <f>+IFERROR(-ABS(IF(EDATE(_xlfn.XLOOKUP(1,$H139:$BE139,$H$4:$BE$4),12*Assumptions!$G$98+12)=BG$4,0,IF(BF139=1,PMT(Assumptions!$G$96,Assumptions!$G$98,$C141),BF152))),0)</f>
        <v>0</v>
      </c>
      <c r="BH152" s="39">
        <f>+IFERROR(-ABS(IF(EDATE(_xlfn.XLOOKUP(1,$H139:$BE139,$H$4:$BE$4),12*Assumptions!$G$98+12)=BH$4,0,IF(BG139=1,PMT(Assumptions!$G$96,Assumptions!$G$98,$C141),BG152))),0)</f>
        <v>0</v>
      </c>
      <c r="BI152" s="39">
        <f>+IFERROR(-ABS(IF(EDATE(_xlfn.XLOOKUP(1,$H139:$BE139,$H$4:$BE$4),12*Assumptions!$G$98+12)=BI$4,0,IF(BH139=1,PMT(Assumptions!$G$96,Assumptions!$G$98,$C141),BH152))),0)</f>
        <v>0</v>
      </c>
      <c r="BJ152" s="39">
        <f>+IFERROR(-ABS(IF(EDATE(_xlfn.XLOOKUP(1,$H139:$BE139,$H$4:$BE$4),12*Assumptions!$G$98+12)=BJ$4,0,IF(BI139=1,PMT(Assumptions!$G$96,Assumptions!$G$98,$C141),BI152))),0)</f>
        <v>0</v>
      </c>
      <c r="BK152" s="39">
        <f>+IFERROR(-ABS(IF(EDATE(_xlfn.XLOOKUP(1,$H139:$BE139,$H$4:$BE$4),12*Assumptions!$G$98+12)=BK$4,0,IF(BJ139=1,PMT(Assumptions!$G$96,Assumptions!$G$98,$C141),BJ152))),0)</f>
        <v>0</v>
      </c>
      <c r="BL152" s="39">
        <f>+IFERROR(-ABS(IF(EDATE(_xlfn.XLOOKUP(1,$H139:$BE139,$H$4:$BE$4),12*Assumptions!$G$98+12)=BL$4,0,IF(BK139=1,PMT(Assumptions!$G$96,Assumptions!$G$98,$C141),BK152))),0)</f>
        <v>0</v>
      </c>
      <c r="BM152" s="39">
        <f>+IFERROR(-ABS(IF(EDATE(_xlfn.XLOOKUP(1,$H139:$BE139,$H$4:$BE$4),12*Assumptions!$G$98+12)=BM$4,0,IF(BL139=1,PMT(Assumptions!$G$96,Assumptions!$G$98,$C141),BL152))),0)</f>
        <v>0</v>
      </c>
      <c r="BN152" s="39">
        <f>+IFERROR(-ABS(IF(EDATE(_xlfn.XLOOKUP(1,$H139:$BE139,$H$4:$BE$4),12*Assumptions!$G$98+12)=BN$4,0,IF(BM139=1,PMT(Assumptions!$G$96,Assumptions!$G$98,$C141),BM152))),0)</f>
        <v>0</v>
      </c>
      <c r="BO152" s="39">
        <f>+IFERROR(-ABS(IF(EDATE(_xlfn.XLOOKUP(1,$H139:$BE139,$H$4:$BE$4),12*Assumptions!$G$98+12)=BO$4,0,IF(BN139=1,PMT(Assumptions!$G$96,Assumptions!$G$98,$C141),BN152))),0)</f>
        <v>0</v>
      </c>
      <c r="BP152" s="39">
        <f>+IFERROR(-ABS(IF(EDATE(_xlfn.XLOOKUP(1,$H139:$BE139,$H$4:$BE$4),12*Assumptions!$G$98+12)=BP$4,0,IF(BO139=1,PMT(Assumptions!$G$96,Assumptions!$G$98,$C141),BO152))),0)</f>
        <v>0</v>
      </c>
      <c r="BQ152" s="39">
        <f>+IFERROR(-ABS(IF(EDATE(_xlfn.XLOOKUP(1,$H139:$BE139,$H$4:$BE$4),12*Assumptions!$G$98+12)=BQ$4,0,IF(BP139=1,PMT(Assumptions!$G$96,Assumptions!$G$98,$C141),BP152))),0)</f>
        <v>0</v>
      </c>
      <c r="BR152" s="39">
        <f>+IFERROR(-ABS(IF(EDATE(_xlfn.XLOOKUP(1,$H139:$BE139,$H$4:$BE$4),12*Assumptions!$G$98+12)=BR$4,0,IF(BQ139=1,PMT(Assumptions!$G$96,Assumptions!$G$98,$C141),BQ152))),0)</f>
        <v>0</v>
      </c>
      <c r="BS152" s="39">
        <f>+IFERROR(-ABS(IF(EDATE(_xlfn.XLOOKUP(1,$H139:$BE139,$H$4:$BE$4),12*Assumptions!$G$98+12)=BS$4,0,IF(BR139=1,PMT(Assumptions!$G$96,Assumptions!$G$98,$C141),BR152))),0)</f>
        <v>0</v>
      </c>
      <c r="BT152" s="39">
        <f>+IFERROR(-ABS(IF(EDATE(_xlfn.XLOOKUP(1,$H139:$BE139,$H$4:$BE$4),12*Assumptions!$G$98+12)=BT$4,0,IF(BS139=1,PMT(Assumptions!$G$96,Assumptions!$G$98,$C141),BS152))),0)</f>
        <v>0</v>
      </c>
      <c r="BU152" s="39">
        <f>+IFERROR(-ABS(IF(EDATE(_xlfn.XLOOKUP(1,$H139:$BE139,$H$4:$BE$4),12*Assumptions!$G$98+12)=BU$4,0,IF(BT139=1,PMT(Assumptions!$G$96,Assumptions!$G$98,$C141),BT152))),0)</f>
        <v>0</v>
      </c>
      <c r="BV152" s="39">
        <f>+IFERROR(-ABS(IF(EDATE(_xlfn.XLOOKUP(1,$H139:$BE139,$H$4:$BE$4),12*Assumptions!$G$98+12)=BV$4,0,IF(BU139=1,PMT(Assumptions!$G$96,Assumptions!$G$98,$C141),BU152))),0)</f>
        <v>0</v>
      </c>
      <c r="BW152" s="39">
        <f>+IFERROR(-ABS(IF(EDATE(_xlfn.XLOOKUP(1,$H139:$BE139,$H$4:$BE$4),12*Assumptions!$G$98+12)=BW$4,0,IF(BV139=1,PMT(Assumptions!$G$96,Assumptions!$G$98,$C141),BV152))),0)</f>
        <v>0</v>
      </c>
      <c r="BX152" s="39">
        <f>+IFERROR(-ABS(IF(EDATE(_xlfn.XLOOKUP(1,$H139:$BE139,$H$4:$BE$4),12*Assumptions!$G$98+12)=BX$4,0,IF(BW139=1,PMT(Assumptions!$G$96,Assumptions!$G$98,$C141),BW152))),0)</f>
        <v>0</v>
      </c>
      <c r="BY152" s="39">
        <f>+IFERROR(-ABS(IF(EDATE(_xlfn.XLOOKUP(1,$H139:$BE139,$H$4:$BE$4),12*Assumptions!$G$98+12)=BY$4,0,IF(BX139=1,PMT(Assumptions!$G$96,Assumptions!$G$98,$C141),BX152))),0)</f>
        <v>0</v>
      </c>
    </row>
    <row r="153" spans="2:77" outlineLevel="1">
      <c r="E153" s="24"/>
      <c r="F153" s="23"/>
      <c r="G153" s="24"/>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row>
    <row r="154" spans="2:77" outlineLevel="1">
      <c r="E154" t="s">
        <v>524</v>
      </c>
      <c r="F154" s="80" t="str">
        <f>+Assumptions!$G$8</f>
        <v>USD</v>
      </c>
      <c r="H154" s="32">
        <f>MIN(+H126-H142+H140,0)</f>
        <v>0</v>
      </c>
      <c r="I154" s="32">
        <f t="shared" ref="I154:BT154" si="255">MIN(+I126-I142+I140,0)</f>
        <v>0</v>
      </c>
      <c r="J154" s="32">
        <f t="shared" si="255"/>
        <v>0</v>
      </c>
      <c r="K154" s="32">
        <f t="shared" si="255"/>
        <v>0</v>
      </c>
      <c r="L154" s="32">
        <f t="shared" si="255"/>
        <v>0</v>
      </c>
      <c r="M154" s="32">
        <f t="shared" si="255"/>
        <v>0</v>
      </c>
      <c r="N154" s="32">
        <f t="shared" si="255"/>
        <v>0</v>
      </c>
      <c r="O154" s="32">
        <f t="shared" si="255"/>
        <v>0</v>
      </c>
      <c r="P154" s="32">
        <f t="shared" si="255"/>
        <v>0</v>
      </c>
      <c r="Q154" s="32">
        <f t="shared" si="255"/>
        <v>0</v>
      </c>
      <c r="R154" s="32">
        <f t="shared" si="255"/>
        <v>0</v>
      </c>
      <c r="S154" s="32">
        <f t="shared" si="255"/>
        <v>0</v>
      </c>
      <c r="T154" s="32">
        <f t="shared" si="255"/>
        <v>0</v>
      </c>
      <c r="U154" s="32">
        <f t="shared" si="255"/>
        <v>0</v>
      </c>
      <c r="V154" s="32">
        <f t="shared" si="255"/>
        <v>0</v>
      </c>
      <c r="W154" s="32">
        <f t="shared" si="255"/>
        <v>0</v>
      </c>
      <c r="X154" s="32">
        <f t="shared" si="255"/>
        <v>0</v>
      </c>
      <c r="Y154" s="32">
        <f t="shared" si="255"/>
        <v>0</v>
      </c>
      <c r="Z154" s="32">
        <f t="shared" si="255"/>
        <v>0</v>
      </c>
      <c r="AA154" s="32">
        <f t="shared" si="255"/>
        <v>0</v>
      </c>
      <c r="AB154" s="32">
        <f t="shared" si="255"/>
        <v>0</v>
      </c>
      <c r="AC154" s="32">
        <f t="shared" si="255"/>
        <v>0</v>
      </c>
      <c r="AD154" s="32">
        <f t="shared" si="255"/>
        <v>0</v>
      </c>
      <c r="AE154" s="32">
        <f t="shared" si="255"/>
        <v>0</v>
      </c>
      <c r="AF154" s="32">
        <f t="shared" si="255"/>
        <v>0</v>
      </c>
      <c r="AG154" s="32">
        <f t="shared" si="255"/>
        <v>0</v>
      </c>
      <c r="AH154" s="32">
        <f t="shared" si="255"/>
        <v>0</v>
      </c>
      <c r="AI154" s="32">
        <f t="shared" si="255"/>
        <v>0</v>
      </c>
      <c r="AJ154" s="32">
        <f t="shared" si="255"/>
        <v>0</v>
      </c>
      <c r="AK154" s="32">
        <f t="shared" si="255"/>
        <v>0</v>
      </c>
      <c r="AL154" s="32">
        <f t="shared" si="255"/>
        <v>0</v>
      </c>
      <c r="AM154" s="32">
        <f t="shared" si="255"/>
        <v>0</v>
      </c>
      <c r="AN154" s="32">
        <f t="shared" si="255"/>
        <v>0</v>
      </c>
      <c r="AO154" s="32">
        <f t="shared" si="255"/>
        <v>0</v>
      </c>
      <c r="AP154" s="32">
        <f t="shared" si="255"/>
        <v>0</v>
      </c>
      <c r="AQ154" s="32">
        <f t="shared" si="255"/>
        <v>0</v>
      </c>
      <c r="AR154" s="32">
        <f t="shared" si="255"/>
        <v>0</v>
      </c>
      <c r="AS154" s="32">
        <f t="shared" si="255"/>
        <v>0</v>
      </c>
      <c r="AT154" s="32">
        <f t="shared" si="255"/>
        <v>0</v>
      </c>
      <c r="AU154" s="32">
        <f t="shared" si="255"/>
        <v>0</v>
      </c>
      <c r="AV154" s="32">
        <f t="shared" si="255"/>
        <v>0</v>
      </c>
      <c r="AW154" s="32">
        <f t="shared" si="255"/>
        <v>0</v>
      </c>
      <c r="AX154" s="32">
        <f t="shared" si="255"/>
        <v>0</v>
      </c>
      <c r="AY154" s="32">
        <f t="shared" si="255"/>
        <v>0</v>
      </c>
      <c r="AZ154" s="32">
        <f t="shared" si="255"/>
        <v>0</v>
      </c>
      <c r="BA154" s="32">
        <f t="shared" si="255"/>
        <v>0</v>
      </c>
      <c r="BB154" s="32">
        <f t="shared" si="255"/>
        <v>0</v>
      </c>
      <c r="BC154" s="32">
        <f t="shared" si="255"/>
        <v>0</v>
      </c>
      <c r="BD154" s="32">
        <f t="shared" si="255"/>
        <v>0</v>
      </c>
      <c r="BE154" s="32">
        <f t="shared" si="255"/>
        <v>0</v>
      </c>
      <c r="BF154" s="32">
        <f t="shared" si="255"/>
        <v>0</v>
      </c>
      <c r="BG154" s="32">
        <f t="shared" si="255"/>
        <v>0</v>
      </c>
      <c r="BH154" s="32">
        <f t="shared" si="255"/>
        <v>0</v>
      </c>
      <c r="BI154" s="32">
        <f t="shared" si="255"/>
        <v>0</v>
      </c>
      <c r="BJ154" s="32">
        <f t="shared" si="255"/>
        <v>0</v>
      </c>
      <c r="BK154" s="32">
        <f t="shared" si="255"/>
        <v>0</v>
      </c>
      <c r="BL154" s="32">
        <f t="shared" si="255"/>
        <v>0</v>
      </c>
      <c r="BM154" s="32">
        <f t="shared" si="255"/>
        <v>0</v>
      </c>
      <c r="BN154" s="32">
        <f t="shared" si="255"/>
        <v>0</v>
      </c>
      <c r="BO154" s="32">
        <f t="shared" si="255"/>
        <v>0</v>
      </c>
      <c r="BP154" s="32">
        <f t="shared" si="255"/>
        <v>0</v>
      </c>
      <c r="BQ154" s="32">
        <f t="shared" si="255"/>
        <v>0</v>
      </c>
      <c r="BR154" s="32">
        <f t="shared" si="255"/>
        <v>0</v>
      </c>
      <c r="BS154" s="32">
        <f t="shared" si="255"/>
        <v>0</v>
      </c>
      <c r="BT154" s="32">
        <f t="shared" si="255"/>
        <v>0</v>
      </c>
      <c r="BU154" s="32">
        <f t="shared" ref="BU154:BY154" si="256">MIN(+BU126-BU142+BU140,0)</f>
        <v>0</v>
      </c>
      <c r="BV154" s="32">
        <f t="shared" si="256"/>
        <v>0</v>
      </c>
      <c r="BW154" s="32">
        <f t="shared" si="256"/>
        <v>0</v>
      </c>
      <c r="BX154" s="32">
        <f t="shared" si="256"/>
        <v>0</v>
      </c>
      <c r="BY154" s="32">
        <f t="shared" si="256"/>
        <v>0</v>
      </c>
    </row>
    <row r="155" spans="2:77" outlineLevel="1">
      <c r="F155" s="80"/>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row>
    <row r="156" spans="2:77" outlineLevel="1">
      <c r="F156" s="43"/>
      <c r="BF156" s="33"/>
      <c r="BG156" s="33"/>
      <c r="BH156" s="33"/>
      <c r="BI156" s="33"/>
      <c r="BJ156" s="33"/>
      <c r="BK156" s="33"/>
      <c r="BL156" s="33"/>
      <c r="BM156" s="33"/>
      <c r="BN156" s="33"/>
      <c r="BO156" s="33"/>
      <c r="BP156" s="33"/>
      <c r="BQ156" s="33"/>
      <c r="BR156" s="33"/>
      <c r="BS156" s="33"/>
      <c r="BT156" s="33"/>
      <c r="BU156" s="33"/>
      <c r="BV156" s="33"/>
      <c r="BW156" s="33"/>
      <c r="BX156" s="33"/>
      <c r="BY156" s="33"/>
    </row>
    <row r="157" spans="2:77" s="19" customFormat="1" ht="12.75" outlineLevel="1">
      <c r="B157" s="18" t="s">
        <v>526</v>
      </c>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row>
    <row r="158" spans="2:77" outlineLevel="1">
      <c r="BF158" s="33"/>
      <c r="BG158" s="33"/>
      <c r="BH158" s="33"/>
      <c r="BI158" s="33"/>
      <c r="BJ158" s="33"/>
      <c r="BK158" s="33"/>
      <c r="BL158" s="33"/>
      <c r="BM158" s="33"/>
      <c r="BN158" s="33"/>
      <c r="BO158" s="33"/>
      <c r="BP158" s="33"/>
      <c r="BQ158" s="33"/>
      <c r="BR158" s="33"/>
      <c r="BS158" s="33"/>
      <c r="BT158" s="33"/>
      <c r="BU158" s="33"/>
      <c r="BV158" s="33"/>
      <c r="BW158" s="33"/>
      <c r="BX158" s="33"/>
      <c r="BY158" s="33"/>
    </row>
    <row r="159" spans="2:77" s="33" customFormat="1" outlineLevel="1">
      <c r="B159"/>
      <c r="C159"/>
      <c r="D159"/>
      <c r="E159" t="s">
        <v>450</v>
      </c>
      <c r="F159" s="23" t="s">
        <v>466</v>
      </c>
      <c r="G159"/>
      <c r="H159" s="33">
        <f t="shared" ref="H159:AM159" ca="1" si="257">+H84</f>
        <v>0</v>
      </c>
      <c r="I159" s="33">
        <f t="shared" ca="1" si="257"/>
        <v>0</v>
      </c>
      <c r="J159" s="33">
        <f t="shared" ca="1" si="257"/>
        <v>0</v>
      </c>
      <c r="K159" s="33">
        <f t="shared" si="257"/>
        <v>0</v>
      </c>
      <c r="L159" s="33">
        <f t="shared" si="257"/>
        <v>0</v>
      </c>
      <c r="M159" s="33">
        <f t="shared" si="257"/>
        <v>0</v>
      </c>
      <c r="N159" s="33">
        <f t="shared" si="257"/>
        <v>0</v>
      </c>
      <c r="O159" s="33">
        <f t="shared" si="257"/>
        <v>0</v>
      </c>
      <c r="P159" s="33">
        <f t="shared" si="257"/>
        <v>0</v>
      </c>
      <c r="Q159" s="33">
        <f t="shared" si="257"/>
        <v>0</v>
      </c>
      <c r="R159" s="33">
        <f t="shared" si="257"/>
        <v>0</v>
      </c>
      <c r="S159" s="33">
        <f t="shared" si="257"/>
        <v>0</v>
      </c>
      <c r="T159" s="33">
        <f t="shared" si="257"/>
        <v>0</v>
      </c>
      <c r="U159" s="33">
        <f t="shared" si="257"/>
        <v>0</v>
      </c>
      <c r="V159" s="33">
        <f t="shared" si="257"/>
        <v>0</v>
      </c>
      <c r="W159" s="33">
        <f t="shared" si="257"/>
        <v>0</v>
      </c>
      <c r="X159" s="33">
        <f t="shared" si="257"/>
        <v>0</v>
      </c>
      <c r="Y159" s="33">
        <f t="shared" si="257"/>
        <v>0</v>
      </c>
      <c r="Z159" s="33">
        <f t="shared" ca="1" si="257"/>
        <v>0</v>
      </c>
      <c r="AA159" s="33">
        <f t="shared" ca="1" si="257"/>
        <v>0</v>
      </c>
      <c r="AB159" s="33">
        <f t="shared" ca="1" si="257"/>
        <v>0</v>
      </c>
      <c r="AC159" s="33">
        <f t="shared" ca="1" si="257"/>
        <v>0</v>
      </c>
      <c r="AD159" s="33">
        <f t="shared" ca="1" si="257"/>
        <v>0</v>
      </c>
      <c r="AE159" s="33">
        <f t="shared" ca="1" si="257"/>
        <v>0</v>
      </c>
      <c r="AF159" s="33">
        <f t="shared" ca="1" si="257"/>
        <v>0</v>
      </c>
      <c r="AG159" s="33">
        <f t="shared" ca="1" si="257"/>
        <v>0</v>
      </c>
      <c r="AH159" s="33">
        <f t="shared" ca="1" si="257"/>
        <v>0</v>
      </c>
      <c r="AI159" s="33">
        <f t="shared" ca="1" si="257"/>
        <v>0</v>
      </c>
      <c r="AJ159" s="33">
        <f t="shared" ca="1" si="257"/>
        <v>0</v>
      </c>
      <c r="AK159" s="33">
        <f t="shared" ca="1" si="257"/>
        <v>0</v>
      </c>
      <c r="AL159" s="33">
        <f t="shared" ca="1" si="257"/>
        <v>0</v>
      </c>
      <c r="AM159" s="33">
        <f t="shared" ca="1" si="257"/>
        <v>0</v>
      </c>
      <c r="AN159" s="33">
        <f t="shared" ref="AN159:BS159" ca="1" si="258">+AN84</f>
        <v>0</v>
      </c>
      <c r="AO159" s="33">
        <f t="shared" ca="1" si="258"/>
        <v>0</v>
      </c>
      <c r="AP159" s="33">
        <f t="shared" ca="1" si="258"/>
        <v>0</v>
      </c>
      <c r="AQ159" s="33">
        <f t="shared" ca="1" si="258"/>
        <v>0</v>
      </c>
      <c r="AR159" s="33">
        <f t="shared" ca="1" si="258"/>
        <v>0</v>
      </c>
      <c r="AS159" s="33">
        <f t="shared" ca="1" si="258"/>
        <v>0</v>
      </c>
      <c r="AT159" s="33">
        <f t="shared" ca="1" si="258"/>
        <v>0</v>
      </c>
      <c r="AU159" s="33">
        <f t="shared" ca="1" si="258"/>
        <v>0</v>
      </c>
      <c r="AV159" s="33">
        <f t="shared" ca="1" si="258"/>
        <v>0</v>
      </c>
      <c r="AW159" s="33">
        <f t="shared" ca="1" si="258"/>
        <v>0</v>
      </c>
      <c r="AX159" s="33">
        <f t="shared" ca="1" si="258"/>
        <v>0</v>
      </c>
      <c r="AY159" s="33">
        <f t="shared" ca="1" si="258"/>
        <v>0</v>
      </c>
      <c r="AZ159" s="33">
        <f t="shared" ca="1" si="258"/>
        <v>0</v>
      </c>
      <c r="BA159" s="33">
        <f t="shared" ca="1" si="258"/>
        <v>0</v>
      </c>
      <c r="BB159" s="33">
        <f t="shared" ca="1" si="258"/>
        <v>0</v>
      </c>
      <c r="BC159" s="33">
        <f t="shared" ca="1" si="258"/>
        <v>0</v>
      </c>
      <c r="BD159" s="33">
        <f t="shared" ca="1" si="258"/>
        <v>0</v>
      </c>
      <c r="BE159" s="33">
        <f t="shared" ca="1" si="258"/>
        <v>0</v>
      </c>
      <c r="BF159" s="33">
        <f t="shared" ca="1" si="258"/>
        <v>0</v>
      </c>
      <c r="BG159" s="33">
        <f t="shared" ca="1" si="258"/>
        <v>0</v>
      </c>
      <c r="BH159" s="33">
        <f t="shared" ca="1" si="258"/>
        <v>0</v>
      </c>
      <c r="BI159" s="33">
        <f t="shared" ca="1" si="258"/>
        <v>0</v>
      </c>
      <c r="BJ159" s="33">
        <f t="shared" ca="1" si="258"/>
        <v>0</v>
      </c>
      <c r="BK159" s="33">
        <f t="shared" ca="1" si="258"/>
        <v>0</v>
      </c>
      <c r="BL159" s="33">
        <f t="shared" ca="1" si="258"/>
        <v>0</v>
      </c>
      <c r="BM159" s="33">
        <f t="shared" ca="1" si="258"/>
        <v>0</v>
      </c>
      <c r="BN159" s="33">
        <f t="shared" ca="1" si="258"/>
        <v>0</v>
      </c>
      <c r="BO159" s="33">
        <f t="shared" ca="1" si="258"/>
        <v>0</v>
      </c>
      <c r="BP159" s="33">
        <f t="shared" ca="1" si="258"/>
        <v>0</v>
      </c>
      <c r="BQ159" s="33">
        <f t="shared" ca="1" si="258"/>
        <v>0</v>
      </c>
      <c r="BR159" s="33">
        <f t="shared" ca="1" si="258"/>
        <v>0</v>
      </c>
      <c r="BS159" s="33">
        <f t="shared" ca="1" si="258"/>
        <v>0</v>
      </c>
      <c r="BT159" s="33">
        <f t="shared" ref="BT159:BY159" ca="1" si="259">+BT84</f>
        <v>0</v>
      </c>
      <c r="BU159" s="33">
        <f t="shared" ca="1" si="259"/>
        <v>0</v>
      </c>
      <c r="BV159" s="33">
        <f t="shared" ca="1" si="259"/>
        <v>0</v>
      </c>
      <c r="BW159" s="33">
        <f t="shared" ca="1" si="259"/>
        <v>0</v>
      </c>
      <c r="BX159" s="33">
        <f t="shared" ca="1" si="259"/>
        <v>0</v>
      </c>
      <c r="BY159" s="33">
        <f t="shared" ca="1" si="259"/>
        <v>0</v>
      </c>
    </row>
    <row r="160" spans="2:77" s="37" customFormat="1" ht="15" outlineLevel="1">
      <c r="B160"/>
      <c r="C160"/>
      <c r="D160"/>
      <c r="E160" t="s">
        <v>467</v>
      </c>
      <c r="F160" s="23" t="s">
        <v>466</v>
      </c>
      <c r="G160"/>
      <c r="H160" s="33">
        <f>+IFERROR($C$73/Assumptions!$G$57*H68,0)</f>
        <v>0</v>
      </c>
      <c r="I160" s="33">
        <f>+IFERROR($C$73/Assumptions!$G$57*I68,0)</f>
        <v>0</v>
      </c>
      <c r="J160" s="33">
        <f>+IFERROR($C$73/Assumptions!$G$57*J68,0)</f>
        <v>0</v>
      </c>
      <c r="K160" s="33">
        <f>+IFERROR($C$73/Assumptions!$G$57*K68,0)</f>
        <v>0</v>
      </c>
      <c r="L160" s="33">
        <f>+IFERROR($C$73/Assumptions!$G$57*L68,0)</f>
        <v>0</v>
      </c>
      <c r="M160" s="33">
        <f>+IFERROR($C$73/Assumptions!$G$57*M68,0)</f>
        <v>0</v>
      </c>
      <c r="N160" s="33">
        <f>+IFERROR($C$73/Assumptions!$G$57*N68,0)</f>
        <v>0</v>
      </c>
      <c r="O160" s="33">
        <f>+IFERROR($C$73/Assumptions!$G$57*O68,0)</f>
        <v>0</v>
      </c>
      <c r="P160" s="33">
        <f>+IFERROR($C$73/Assumptions!$G$57*P68,0)</f>
        <v>0</v>
      </c>
      <c r="Q160" s="33">
        <f>+IFERROR($C$73/Assumptions!$G$57*Q68,0)</f>
        <v>0</v>
      </c>
      <c r="R160" s="33">
        <f>+IFERROR($C$73/Assumptions!$G$57*R68,0)</f>
        <v>0</v>
      </c>
      <c r="S160" s="33">
        <f>+IFERROR($C$73/Assumptions!$G$57*S68,0)</f>
        <v>0</v>
      </c>
      <c r="T160" s="33">
        <f>+IFERROR($C$73/Assumptions!$G$57*T68,0)</f>
        <v>0</v>
      </c>
      <c r="U160" s="33">
        <f>+IFERROR($C$73/Assumptions!$G$57*U68,0)</f>
        <v>0</v>
      </c>
      <c r="V160" s="33">
        <f>+IFERROR($C$73/Assumptions!$G$57*V68,0)</f>
        <v>0</v>
      </c>
      <c r="W160" s="33">
        <f>+IFERROR($C$73/Assumptions!$G$57*W68,0)</f>
        <v>0</v>
      </c>
      <c r="X160" s="33">
        <f>+IFERROR($C$73/Assumptions!$G$57*X68,0)</f>
        <v>0</v>
      </c>
      <c r="Y160" s="33">
        <f>+IFERROR($C$73/Assumptions!$G$57*Y68,0)</f>
        <v>0</v>
      </c>
      <c r="Z160" s="33">
        <f>+IFERROR($C$73/Assumptions!$G$57*Z68,0)</f>
        <v>0</v>
      </c>
      <c r="AA160" s="33">
        <f>+IFERROR($C$73/Assumptions!$G$57*AA68,0)</f>
        <v>0</v>
      </c>
      <c r="AB160" s="33">
        <f>+IFERROR($C$73/Assumptions!$G$57*AB68,0)</f>
        <v>0</v>
      </c>
      <c r="AC160" s="33">
        <f>+IFERROR($C$73/Assumptions!$G$57*AC68,0)</f>
        <v>0</v>
      </c>
      <c r="AD160" s="33">
        <f>+IFERROR($C$73/Assumptions!$G$57*AD68,0)</f>
        <v>0</v>
      </c>
      <c r="AE160" s="33">
        <f>+IFERROR($C$73/Assumptions!$G$57*AE68,0)</f>
        <v>0</v>
      </c>
      <c r="AF160" s="33">
        <f>+IFERROR($C$73/Assumptions!$G$57*AF68,0)</f>
        <v>0</v>
      </c>
      <c r="AG160" s="33">
        <f>+IFERROR($C$73/Assumptions!$G$57*AG68,0)</f>
        <v>0</v>
      </c>
      <c r="AH160" s="33">
        <f>+IFERROR($C$73/Assumptions!$G$57*AH68,0)</f>
        <v>0</v>
      </c>
      <c r="AI160" s="33">
        <f>+IFERROR($C$73/Assumptions!$G$57*AI68,0)</f>
        <v>0</v>
      </c>
      <c r="AJ160" s="33">
        <f>+IFERROR($C$73/Assumptions!$G$57*AJ68,0)</f>
        <v>0</v>
      </c>
      <c r="AK160" s="33">
        <f>+IFERROR($C$73/Assumptions!$G$57*AK68,0)</f>
        <v>0</v>
      </c>
      <c r="AL160" s="33">
        <f>+IFERROR($C$73/Assumptions!$G$57*AL68,0)</f>
        <v>0</v>
      </c>
      <c r="AM160" s="33">
        <f>+IFERROR($C$73/Assumptions!$G$57*AM68,0)</f>
        <v>0</v>
      </c>
      <c r="AN160" s="33">
        <f>+IFERROR($C$73/Assumptions!$G$57*AN68,0)</f>
        <v>0</v>
      </c>
      <c r="AO160" s="33">
        <f>+IFERROR($C$73/Assumptions!$G$57*AO68,0)</f>
        <v>0</v>
      </c>
      <c r="AP160" s="33">
        <f>+IFERROR($C$73/Assumptions!$G$57*AP68,0)</f>
        <v>0</v>
      </c>
      <c r="AQ160" s="33">
        <f>+IFERROR($C$73/Assumptions!$G$57*AQ68,0)</f>
        <v>0</v>
      </c>
      <c r="AR160" s="33">
        <f>+IFERROR($C$73/Assumptions!$G$57*AR68,0)</f>
        <v>0</v>
      </c>
      <c r="AS160" s="33">
        <f>+IFERROR($C$73/Assumptions!$G$57*AS68,0)</f>
        <v>0</v>
      </c>
      <c r="AT160" s="33">
        <f>+IFERROR($C$73/Assumptions!$G$57*AT68,0)</f>
        <v>0</v>
      </c>
      <c r="AU160" s="33">
        <f>+IFERROR($C$73/Assumptions!$G$57*AU68,0)</f>
        <v>0</v>
      </c>
      <c r="AV160" s="33">
        <f>+IFERROR($C$73/Assumptions!$G$57*AV68,0)</f>
        <v>0</v>
      </c>
      <c r="AW160" s="33">
        <f>+IFERROR($C$73/Assumptions!$G$57*AW68,0)</f>
        <v>0</v>
      </c>
      <c r="AX160" s="33">
        <f>+IFERROR($C$73/Assumptions!$G$57*AX68,0)</f>
        <v>0</v>
      </c>
      <c r="AY160" s="33">
        <f>+IFERROR($C$73/Assumptions!$G$57*AY68,0)</f>
        <v>0</v>
      </c>
      <c r="AZ160" s="33">
        <f>+IFERROR($C$73/Assumptions!$G$57*AZ68,0)</f>
        <v>0</v>
      </c>
      <c r="BA160" s="33">
        <f>+IFERROR($C$73/Assumptions!$G$57*BA68,0)</f>
        <v>0</v>
      </c>
      <c r="BB160" s="33">
        <f>+IFERROR($C$73/Assumptions!$G$57*BB68,0)</f>
        <v>0</v>
      </c>
      <c r="BC160" s="33">
        <f>+IFERROR($C$73/Assumptions!$G$57*BC68,0)</f>
        <v>0</v>
      </c>
      <c r="BD160" s="33">
        <f>+IFERROR($C$73/Assumptions!$G$57*BD68,0)</f>
        <v>0</v>
      </c>
      <c r="BE160" s="33">
        <f>+IFERROR($C$73/Assumptions!$G$57*BE68,0)</f>
        <v>0</v>
      </c>
      <c r="BF160" s="33">
        <f>+IFERROR($C$73/Assumptions!$G$57*BF68,0)</f>
        <v>0</v>
      </c>
      <c r="BG160" s="33">
        <f>+IFERROR($C$73/Assumptions!$G$57*BG68,0)</f>
        <v>0</v>
      </c>
      <c r="BH160" s="33">
        <f>+IFERROR($C$73/Assumptions!$G$57*BH68,0)</f>
        <v>0</v>
      </c>
      <c r="BI160" s="33">
        <f>+IFERROR($C$73/Assumptions!$G$57*BI68,0)</f>
        <v>0</v>
      </c>
      <c r="BJ160" s="33">
        <f>+IFERROR($C$73/Assumptions!$G$57*BJ68,0)</f>
        <v>0</v>
      </c>
      <c r="BK160" s="33">
        <f>+IFERROR($C$73/Assumptions!$G$57*BK68,0)</f>
        <v>0</v>
      </c>
      <c r="BL160" s="33">
        <f>+IFERROR($C$73/Assumptions!$G$57*BL68,0)</f>
        <v>0</v>
      </c>
      <c r="BM160" s="33">
        <f>+IFERROR($C$73/Assumptions!$G$57*BM68,0)</f>
        <v>0</v>
      </c>
      <c r="BN160" s="33">
        <f>+IFERROR($C$73/Assumptions!$G$57*BN68,0)</f>
        <v>0</v>
      </c>
      <c r="BO160" s="33">
        <f>+IFERROR($C$73/Assumptions!$G$57*BO68,0)</f>
        <v>0</v>
      </c>
      <c r="BP160" s="33">
        <f>+IFERROR($C$73/Assumptions!$G$57*BP68,0)</f>
        <v>0</v>
      </c>
      <c r="BQ160" s="33">
        <f>+IFERROR($C$73/Assumptions!$G$57*BQ68,0)</f>
        <v>0</v>
      </c>
      <c r="BR160" s="33">
        <f>+IFERROR($C$73/Assumptions!$G$57*BR68,0)</f>
        <v>0</v>
      </c>
      <c r="BS160" s="33">
        <f>+IFERROR($C$73/Assumptions!$G$57*BS68,0)</f>
        <v>0</v>
      </c>
      <c r="BT160" s="33">
        <f>+IFERROR($C$73/Assumptions!$G$57*BT68,0)</f>
        <v>0</v>
      </c>
      <c r="BU160" s="33">
        <f>+IFERROR($C$73/Assumptions!$G$57*BU68,0)</f>
        <v>0</v>
      </c>
      <c r="BV160" s="33">
        <f>+IFERROR($C$73/Assumptions!$G$57*BV68,0)</f>
        <v>0</v>
      </c>
      <c r="BW160" s="33">
        <f>+IFERROR($C$73/Assumptions!$G$57*BW68,0)</f>
        <v>0</v>
      </c>
      <c r="BX160" s="33">
        <f>+IFERROR($C$73/Assumptions!$G$57*BX68,0)</f>
        <v>0</v>
      </c>
      <c r="BY160" s="33">
        <f>+IFERROR($C$73/Assumptions!$G$57*BY68,0)</f>
        <v>0</v>
      </c>
    </row>
    <row r="161" spans="2:77" s="33" customFormat="1" ht="15" outlineLevel="1">
      <c r="B161" s="22"/>
      <c r="C161" s="22"/>
      <c r="D161"/>
      <c r="E161" t="s">
        <v>468</v>
      </c>
      <c r="F161" s="23" t="s">
        <v>466</v>
      </c>
      <c r="G161"/>
      <c r="H161" s="33">
        <f t="shared" ref="H161:AM161" ca="1" si="260">+H109+H141</f>
        <v>0</v>
      </c>
      <c r="I161" s="33">
        <f t="shared" ca="1" si="260"/>
        <v>0</v>
      </c>
      <c r="J161" s="33">
        <f t="shared" ca="1" si="260"/>
        <v>0</v>
      </c>
      <c r="K161" s="33">
        <f t="shared" ca="1" si="260"/>
        <v>0</v>
      </c>
      <c r="L161" s="33">
        <f t="shared" ca="1" si="260"/>
        <v>0</v>
      </c>
      <c r="M161" s="33">
        <f t="shared" ca="1" si="260"/>
        <v>0</v>
      </c>
      <c r="N161" s="33">
        <f t="shared" ca="1" si="260"/>
        <v>0</v>
      </c>
      <c r="O161" s="33">
        <f t="shared" ca="1" si="260"/>
        <v>0</v>
      </c>
      <c r="P161" s="33">
        <f t="shared" ca="1" si="260"/>
        <v>0</v>
      </c>
      <c r="Q161" s="33">
        <f t="shared" ca="1" si="260"/>
        <v>0</v>
      </c>
      <c r="R161" s="33">
        <f t="shared" ca="1" si="260"/>
        <v>0</v>
      </c>
      <c r="S161" s="33">
        <f t="shared" ca="1" si="260"/>
        <v>0</v>
      </c>
      <c r="T161" s="33">
        <f t="shared" ca="1" si="260"/>
        <v>0</v>
      </c>
      <c r="U161" s="33">
        <f t="shared" ca="1" si="260"/>
        <v>0</v>
      </c>
      <c r="V161" s="33">
        <f t="shared" ca="1" si="260"/>
        <v>0</v>
      </c>
      <c r="W161" s="33">
        <f t="shared" ca="1" si="260"/>
        <v>0</v>
      </c>
      <c r="X161" s="33">
        <f t="shared" ca="1" si="260"/>
        <v>0</v>
      </c>
      <c r="Y161" s="33">
        <f t="shared" ca="1" si="260"/>
        <v>0</v>
      </c>
      <c r="Z161" s="33">
        <f t="shared" ca="1" si="260"/>
        <v>0</v>
      </c>
      <c r="AA161" s="33">
        <f t="shared" ca="1" si="260"/>
        <v>0</v>
      </c>
      <c r="AB161" s="33">
        <f t="shared" ca="1" si="260"/>
        <v>0</v>
      </c>
      <c r="AC161" s="33">
        <f t="shared" ca="1" si="260"/>
        <v>0</v>
      </c>
      <c r="AD161" s="33">
        <f t="shared" ca="1" si="260"/>
        <v>0</v>
      </c>
      <c r="AE161" s="33">
        <f t="shared" ca="1" si="260"/>
        <v>0</v>
      </c>
      <c r="AF161" s="33">
        <f t="shared" ca="1" si="260"/>
        <v>0</v>
      </c>
      <c r="AG161" s="33">
        <f t="shared" ca="1" si="260"/>
        <v>0</v>
      </c>
      <c r="AH161" s="33">
        <f t="shared" ca="1" si="260"/>
        <v>0</v>
      </c>
      <c r="AI161" s="33">
        <f t="shared" ca="1" si="260"/>
        <v>0</v>
      </c>
      <c r="AJ161" s="33">
        <f t="shared" ca="1" si="260"/>
        <v>0</v>
      </c>
      <c r="AK161" s="33">
        <f t="shared" ca="1" si="260"/>
        <v>0</v>
      </c>
      <c r="AL161" s="33">
        <f t="shared" ca="1" si="260"/>
        <v>0</v>
      </c>
      <c r="AM161" s="33">
        <f t="shared" ca="1" si="260"/>
        <v>0</v>
      </c>
      <c r="AN161" s="33">
        <f t="shared" ref="AN161:BS161" ca="1" si="261">+AN109+AN141</f>
        <v>0</v>
      </c>
      <c r="AO161" s="33">
        <f t="shared" ca="1" si="261"/>
        <v>0</v>
      </c>
      <c r="AP161" s="33">
        <f t="shared" ca="1" si="261"/>
        <v>0</v>
      </c>
      <c r="AQ161" s="33">
        <f t="shared" ca="1" si="261"/>
        <v>0</v>
      </c>
      <c r="AR161" s="33">
        <f t="shared" ca="1" si="261"/>
        <v>0</v>
      </c>
      <c r="AS161" s="33">
        <f t="shared" ca="1" si="261"/>
        <v>0</v>
      </c>
      <c r="AT161" s="33">
        <f t="shared" ca="1" si="261"/>
        <v>0</v>
      </c>
      <c r="AU161" s="33">
        <f t="shared" ca="1" si="261"/>
        <v>0</v>
      </c>
      <c r="AV161" s="33">
        <f t="shared" ca="1" si="261"/>
        <v>0</v>
      </c>
      <c r="AW161" s="33">
        <f t="shared" ca="1" si="261"/>
        <v>0</v>
      </c>
      <c r="AX161" s="33">
        <f t="shared" ca="1" si="261"/>
        <v>0</v>
      </c>
      <c r="AY161" s="33">
        <f t="shared" ca="1" si="261"/>
        <v>0</v>
      </c>
      <c r="AZ161" s="33">
        <f t="shared" ca="1" si="261"/>
        <v>0</v>
      </c>
      <c r="BA161" s="33">
        <f t="shared" ca="1" si="261"/>
        <v>0</v>
      </c>
      <c r="BB161" s="33">
        <f t="shared" ca="1" si="261"/>
        <v>0</v>
      </c>
      <c r="BC161" s="33">
        <f t="shared" ca="1" si="261"/>
        <v>0</v>
      </c>
      <c r="BD161" s="33">
        <f t="shared" ca="1" si="261"/>
        <v>0</v>
      </c>
      <c r="BE161" s="33">
        <f t="shared" ca="1" si="261"/>
        <v>0</v>
      </c>
      <c r="BF161" s="33">
        <f t="shared" ca="1" si="261"/>
        <v>0</v>
      </c>
      <c r="BG161" s="33">
        <f t="shared" ca="1" si="261"/>
        <v>0</v>
      </c>
      <c r="BH161" s="33">
        <f t="shared" ca="1" si="261"/>
        <v>0</v>
      </c>
      <c r="BI161" s="33">
        <f t="shared" ca="1" si="261"/>
        <v>0</v>
      </c>
      <c r="BJ161" s="33">
        <f t="shared" ca="1" si="261"/>
        <v>0</v>
      </c>
      <c r="BK161" s="33">
        <f t="shared" ca="1" si="261"/>
        <v>0</v>
      </c>
      <c r="BL161" s="33">
        <f t="shared" ca="1" si="261"/>
        <v>0</v>
      </c>
      <c r="BM161" s="33">
        <f t="shared" ca="1" si="261"/>
        <v>0</v>
      </c>
      <c r="BN161" s="33">
        <f t="shared" ca="1" si="261"/>
        <v>0</v>
      </c>
      <c r="BO161" s="33">
        <f t="shared" ca="1" si="261"/>
        <v>0</v>
      </c>
      <c r="BP161" s="33">
        <f t="shared" ca="1" si="261"/>
        <v>0</v>
      </c>
      <c r="BQ161" s="33">
        <f t="shared" ca="1" si="261"/>
        <v>0</v>
      </c>
      <c r="BR161" s="33">
        <f t="shared" ca="1" si="261"/>
        <v>0</v>
      </c>
      <c r="BS161" s="33">
        <f t="shared" ca="1" si="261"/>
        <v>0</v>
      </c>
      <c r="BT161" s="33">
        <f t="shared" ref="BT161:BY161" ca="1" si="262">+BT109+BT141</f>
        <v>0</v>
      </c>
      <c r="BU161" s="33">
        <f t="shared" ca="1" si="262"/>
        <v>0</v>
      </c>
      <c r="BV161" s="33">
        <f t="shared" ca="1" si="262"/>
        <v>0</v>
      </c>
      <c r="BW161" s="33">
        <f t="shared" ca="1" si="262"/>
        <v>0</v>
      </c>
      <c r="BX161" s="33">
        <f t="shared" ca="1" si="262"/>
        <v>0</v>
      </c>
      <c r="BY161" s="33">
        <f t="shared" ca="1" si="262"/>
        <v>0</v>
      </c>
    </row>
    <row r="162" spans="2:77" s="37" customFormat="1" ht="15" outlineLevel="1">
      <c r="B162"/>
      <c r="C162"/>
      <c r="D162"/>
      <c r="E162" s="22" t="s">
        <v>469</v>
      </c>
      <c r="F162" s="36" t="s">
        <v>470</v>
      </c>
      <c r="G162" s="22"/>
      <c r="H162" s="37">
        <f ca="1">+SUM(H159:H161)</f>
        <v>0</v>
      </c>
      <c r="I162" s="37">
        <f t="shared" ref="I162:BT162" ca="1" si="263">+SUM(I159:I161)</f>
        <v>0</v>
      </c>
      <c r="J162" s="37">
        <f t="shared" ca="1" si="263"/>
        <v>0</v>
      </c>
      <c r="K162" s="37">
        <f t="shared" ca="1" si="263"/>
        <v>0</v>
      </c>
      <c r="L162" s="37">
        <f t="shared" ca="1" si="263"/>
        <v>0</v>
      </c>
      <c r="M162" s="37">
        <f t="shared" ca="1" si="263"/>
        <v>0</v>
      </c>
      <c r="N162" s="37">
        <f t="shared" ca="1" si="263"/>
        <v>0</v>
      </c>
      <c r="O162" s="37">
        <f t="shared" ca="1" si="263"/>
        <v>0</v>
      </c>
      <c r="P162" s="37">
        <f t="shared" ca="1" si="263"/>
        <v>0</v>
      </c>
      <c r="Q162" s="37">
        <f t="shared" ca="1" si="263"/>
        <v>0</v>
      </c>
      <c r="R162" s="37">
        <f t="shared" ca="1" si="263"/>
        <v>0</v>
      </c>
      <c r="S162" s="37">
        <f t="shared" ca="1" si="263"/>
        <v>0</v>
      </c>
      <c r="T162" s="37">
        <f t="shared" ca="1" si="263"/>
        <v>0</v>
      </c>
      <c r="U162" s="37">
        <f t="shared" ca="1" si="263"/>
        <v>0</v>
      </c>
      <c r="V162" s="37">
        <f t="shared" ca="1" si="263"/>
        <v>0</v>
      </c>
      <c r="W162" s="37">
        <f t="shared" ca="1" si="263"/>
        <v>0</v>
      </c>
      <c r="X162" s="37">
        <f t="shared" ca="1" si="263"/>
        <v>0</v>
      </c>
      <c r="Y162" s="37">
        <f t="shared" ca="1" si="263"/>
        <v>0</v>
      </c>
      <c r="Z162" s="37">
        <f t="shared" ca="1" si="263"/>
        <v>0</v>
      </c>
      <c r="AA162" s="37">
        <f t="shared" ca="1" si="263"/>
        <v>0</v>
      </c>
      <c r="AB162" s="37">
        <f t="shared" ca="1" si="263"/>
        <v>0</v>
      </c>
      <c r="AC162" s="37">
        <f t="shared" ca="1" si="263"/>
        <v>0</v>
      </c>
      <c r="AD162" s="37">
        <f t="shared" ca="1" si="263"/>
        <v>0</v>
      </c>
      <c r="AE162" s="37">
        <f t="shared" ca="1" si="263"/>
        <v>0</v>
      </c>
      <c r="AF162" s="37">
        <f t="shared" ca="1" si="263"/>
        <v>0</v>
      </c>
      <c r="AG162" s="37">
        <f t="shared" ca="1" si="263"/>
        <v>0</v>
      </c>
      <c r="AH162" s="37">
        <f t="shared" ca="1" si="263"/>
        <v>0</v>
      </c>
      <c r="AI162" s="37">
        <f t="shared" ca="1" si="263"/>
        <v>0</v>
      </c>
      <c r="AJ162" s="37">
        <f t="shared" ca="1" si="263"/>
        <v>0</v>
      </c>
      <c r="AK162" s="37">
        <f t="shared" ca="1" si="263"/>
        <v>0</v>
      </c>
      <c r="AL162" s="37">
        <f t="shared" ca="1" si="263"/>
        <v>0</v>
      </c>
      <c r="AM162" s="37">
        <f t="shared" ca="1" si="263"/>
        <v>0</v>
      </c>
      <c r="AN162" s="37">
        <f t="shared" ca="1" si="263"/>
        <v>0</v>
      </c>
      <c r="AO162" s="37">
        <f t="shared" ca="1" si="263"/>
        <v>0</v>
      </c>
      <c r="AP162" s="37">
        <f t="shared" ca="1" si="263"/>
        <v>0</v>
      </c>
      <c r="AQ162" s="37">
        <f t="shared" ca="1" si="263"/>
        <v>0</v>
      </c>
      <c r="AR162" s="37">
        <f t="shared" ca="1" si="263"/>
        <v>0</v>
      </c>
      <c r="AS162" s="37">
        <f t="shared" ca="1" si="263"/>
        <v>0</v>
      </c>
      <c r="AT162" s="37">
        <f t="shared" ca="1" si="263"/>
        <v>0</v>
      </c>
      <c r="AU162" s="37">
        <f t="shared" ca="1" si="263"/>
        <v>0</v>
      </c>
      <c r="AV162" s="37">
        <f t="shared" ca="1" si="263"/>
        <v>0</v>
      </c>
      <c r="AW162" s="37">
        <f t="shared" ca="1" si="263"/>
        <v>0</v>
      </c>
      <c r="AX162" s="37">
        <f t="shared" ca="1" si="263"/>
        <v>0</v>
      </c>
      <c r="AY162" s="37">
        <f t="shared" ca="1" si="263"/>
        <v>0</v>
      </c>
      <c r="AZ162" s="37">
        <f t="shared" ca="1" si="263"/>
        <v>0</v>
      </c>
      <c r="BA162" s="37">
        <f t="shared" ca="1" si="263"/>
        <v>0</v>
      </c>
      <c r="BB162" s="37">
        <f t="shared" ca="1" si="263"/>
        <v>0</v>
      </c>
      <c r="BC162" s="37">
        <f t="shared" ca="1" si="263"/>
        <v>0</v>
      </c>
      <c r="BD162" s="37">
        <f t="shared" ca="1" si="263"/>
        <v>0</v>
      </c>
      <c r="BE162" s="37">
        <f t="shared" ca="1" si="263"/>
        <v>0</v>
      </c>
      <c r="BF162" s="37">
        <f t="shared" ca="1" si="263"/>
        <v>0</v>
      </c>
      <c r="BG162" s="37">
        <f t="shared" ca="1" si="263"/>
        <v>0</v>
      </c>
      <c r="BH162" s="37">
        <f t="shared" ca="1" si="263"/>
        <v>0</v>
      </c>
      <c r="BI162" s="37">
        <f t="shared" ca="1" si="263"/>
        <v>0</v>
      </c>
      <c r="BJ162" s="37">
        <f t="shared" ca="1" si="263"/>
        <v>0</v>
      </c>
      <c r="BK162" s="37">
        <f t="shared" ca="1" si="263"/>
        <v>0</v>
      </c>
      <c r="BL162" s="37">
        <f t="shared" ca="1" si="263"/>
        <v>0</v>
      </c>
      <c r="BM162" s="37">
        <f t="shared" ca="1" si="263"/>
        <v>0</v>
      </c>
      <c r="BN162" s="37">
        <f t="shared" ca="1" si="263"/>
        <v>0</v>
      </c>
      <c r="BO162" s="37">
        <f t="shared" ca="1" si="263"/>
        <v>0</v>
      </c>
      <c r="BP162" s="37">
        <f t="shared" ca="1" si="263"/>
        <v>0</v>
      </c>
      <c r="BQ162" s="37">
        <f t="shared" ca="1" si="263"/>
        <v>0</v>
      </c>
      <c r="BR162" s="37">
        <f t="shared" ca="1" si="263"/>
        <v>0</v>
      </c>
      <c r="BS162" s="37">
        <f t="shared" ca="1" si="263"/>
        <v>0</v>
      </c>
      <c r="BT162" s="37">
        <f t="shared" ca="1" si="263"/>
        <v>0</v>
      </c>
      <c r="BU162" s="37">
        <f t="shared" ref="BU162:BY162" ca="1" si="264">+SUM(BU159:BU161)</f>
        <v>0</v>
      </c>
      <c r="BV162" s="37">
        <f t="shared" ca="1" si="264"/>
        <v>0</v>
      </c>
      <c r="BW162" s="37">
        <f t="shared" ca="1" si="264"/>
        <v>0</v>
      </c>
      <c r="BX162" s="37">
        <f t="shared" ca="1" si="264"/>
        <v>0</v>
      </c>
      <c r="BY162" s="37">
        <f t="shared" ca="1" si="264"/>
        <v>0</v>
      </c>
    </row>
    <row r="163" spans="2:77" s="33" customFormat="1" ht="15" outlineLevel="1">
      <c r="B163" s="22"/>
      <c r="C163" s="22"/>
      <c r="D163"/>
      <c r="E163" s="25" t="s">
        <v>471</v>
      </c>
      <c r="F163" s="30" t="s">
        <v>466</v>
      </c>
      <c r="G163" s="25"/>
      <c r="H163" s="34">
        <f ca="1">+H162*-Assumptions!$G$22</f>
        <v>0</v>
      </c>
      <c r="I163" s="34">
        <f ca="1">+I162*-Assumptions!$G$22</f>
        <v>0</v>
      </c>
      <c r="J163" s="34">
        <f ca="1">+J162*-Assumptions!$G$22</f>
        <v>0</v>
      </c>
      <c r="K163" s="34">
        <f ca="1">+K162*-Assumptions!$G$22</f>
        <v>0</v>
      </c>
      <c r="L163" s="34">
        <f ca="1">+L162*-Assumptions!$G$22</f>
        <v>0</v>
      </c>
      <c r="M163" s="34">
        <f ca="1">+M162*-Assumptions!$G$22</f>
        <v>0</v>
      </c>
      <c r="N163" s="34">
        <f ca="1">+N162*-Assumptions!$G$22</f>
        <v>0</v>
      </c>
      <c r="O163" s="34">
        <f ca="1">+O162*-Assumptions!$G$22</f>
        <v>0</v>
      </c>
      <c r="P163" s="34">
        <f ca="1">+P162*-Assumptions!$G$22</f>
        <v>0</v>
      </c>
      <c r="Q163" s="34">
        <f ca="1">+Q162*-Assumptions!$G$22</f>
        <v>0</v>
      </c>
      <c r="R163" s="34">
        <f ca="1">+R162*-Assumptions!$G$22</f>
        <v>0</v>
      </c>
      <c r="S163" s="34">
        <f ca="1">+S162*-Assumptions!$G$22</f>
        <v>0</v>
      </c>
      <c r="T163" s="34">
        <f ca="1">+T162*-Assumptions!$G$22</f>
        <v>0</v>
      </c>
      <c r="U163" s="34">
        <f ca="1">+U162*-Assumptions!$G$22</f>
        <v>0</v>
      </c>
      <c r="V163" s="34">
        <f ca="1">+V162*-Assumptions!$G$22</f>
        <v>0</v>
      </c>
      <c r="W163" s="34">
        <f ca="1">+W162*-Assumptions!$G$22</f>
        <v>0</v>
      </c>
      <c r="X163" s="34">
        <f ca="1">+X162*-Assumptions!$G$22</f>
        <v>0</v>
      </c>
      <c r="Y163" s="34">
        <f ca="1">+Y162*-Assumptions!$G$22</f>
        <v>0</v>
      </c>
      <c r="Z163" s="34">
        <f ca="1">+Z162*-Assumptions!$G$22</f>
        <v>0</v>
      </c>
      <c r="AA163" s="34">
        <f ca="1">+AA162*-Assumptions!$G$22</f>
        <v>0</v>
      </c>
      <c r="AB163" s="34">
        <f ca="1">+AB162*-Assumptions!$G$22</f>
        <v>0</v>
      </c>
      <c r="AC163" s="34">
        <f ca="1">+AC162*-Assumptions!$G$22</f>
        <v>0</v>
      </c>
      <c r="AD163" s="34">
        <f ca="1">+AD162*-Assumptions!$G$22</f>
        <v>0</v>
      </c>
      <c r="AE163" s="34">
        <f ca="1">+AE162*-Assumptions!$G$22</f>
        <v>0</v>
      </c>
      <c r="AF163" s="34">
        <f ca="1">+AF162*-Assumptions!$G$22</f>
        <v>0</v>
      </c>
      <c r="AG163" s="34">
        <f ca="1">+AG162*-Assumptions!$G$22</f>
        <v>0</v>
      </c>
      <c r="AH163" s="34">
        <f ca="1">+AH162*-Assumptions!$G$22</f>
        <v>0</v>
      </c>
      <c r="AI163" s="34">
        <f ca="1">+AI162*-Assumptions!$G$22</f>
        <v>0</v>
      </c>
      <c r="AJ163" s="34">
        <f ca="1">+AJ162*-Assumptions!$G$22</f>
        <v>0</v>
      </c>
      <c r="AK163" s="34">
        <f ca="1">+AK162*-Assumptions!$G$22</f>
        <v>0</v>
      </c>
      <c r="AL163" s="34">
        <f ca="1">+AL162*-Assumptions!$G$22</f>
        <v>0</v>
      </c>
      <c r="AM163" s="34">
        <f ca="1">+AM162*-Assumptions!$G$22</f>
        <v>0</v>
      </c>
      <c r="AN163" s="34">
        <f ca="1">+AN162*-Assumptions!$G$22</f>
        <v>0</v>
      </c>
      <c r="AO163" s="34">
        <f ca="1">+AO162*-Assumptions!$G$22</f>
        <v>0</v>
      </c>
      <c r="AP163" s="34">
        <f ca="1">+AP162*-Assumptions!$G$22</f>
        <v>0</v>
      </c>
      <c r="AQ163" s="34">
        <f ca="1">+AQ162*-Assumptions!$G$22</f>
        <v>0</v>
      </c>
      <c r="AR163" s="34">
        <f ca="1">+AR162*-Assumptions!$G$22</f>
        <v>0</v>
      </c>
      <c r="AS163" s="34">
        <f ca="1">+AS162*-Assumptions!$G$22</f>
        <v>0</v>
      </c>
      <c r="AT163" s="34">
        <f ca="1">+AT162*-Assumptions!$G$22</f>
        <v>0</v>
      </c>
      <c r="AU163" s="34">
        <f ca="1">+AU162*-Assumptions!$G$22</f>
        <v>0</v>
      </c>
      <c r="AV163" s="34">
        <f ca="1">+AV162*-Assumptions!$G$22</f>
        <v>0</v>
      </c>
      <c r="AW163" s="34">
        <f ca="1">+AW162*-Assumptions!$G$22</f>
        <v>0</v>
      </c>
      <c r="AX163" s="34">
        <f ca="1">+AX162*-Assumptions!$G$22</f>
        <v>0</v>
      </c>
      <c r="AY163" s="34">
        <f ca="1">+AY162*-Assumptions!$G$22</f>
        <v>0</v>
      </c>
      <c r="AZ163" s="34">
        <f ca="1">+AZ162*-Assumptions!$G$22</f>
        <v>0</v>
      </c>
      <c r="BA163" s="34">
        <f ca="1">+BA162*-Assumptions!$G$22</f>
        <v>0</v>
      </c>
      <c r="BB163" s="34">
        <f ca="1">+BB162*-Assumptions!$G$22</f>
        <v>0</v>
      </c>
      <c r="BC163" s="34">
        <f ca="1">+BC162*-Assumptions!$G$22</f>
        <v>0</v>
      </c>
      <c r="BD163" s="34">
        <f ca="1">+BD162*-Assumptions!$G$22</f>
        <v>0</v>
      </c>
      <c r="BE163" s="34">
        <f ca="1">+BE162*-Assumptions!$G$22</f>
        <v>0</v>
      </c>
      <c r="BF163" s="34">
        <f ca="1">+BF162*-Assumptions!$G$22</f>
        <v>0</v>
      </c>
      <c r="BG163" s="34">
        <f ca="1">+BG162*-Assumptions!$G$22</f>
        <v>0</v>
      </c>
      <c r="BH163" s="34">
        <f ca="1">+BH162*-Assumptions!$G$22</f>
        <v>0</v>
      </c>
      <c r="BI163" s="34">
        <f ca="1">+BI162*-Assumptions!$G$22</f>
        <v>0</v>
      </c>
      <c r="BJ163" s="34">
        <f ca="1">+BJ162*-Assumptions!$G$22</f>
        <v>0</v>
      </c>
      <c r="BK163" s="34">
        <f ca="1">+BK162*-Assumptions!$G$22</f>
        <v>0</v>
      </c>
      <c r="BL163" s="34">
        <f ca="1">+BL162*-Assumptions!$G$22</f>
        <v>0</v>
      </c>
      <c r="BM163" s="34">
        <f ca="1">+BM162*-Assumptions!$G$22</f>
        <v>0</v>
      </c>
      <c r="BN163" s="34">
        <f ca="1">+BN162*-Assumptions!$G$22</f>
        <v>0</v>
      </c>
      <c r="BO163" s="34">
        <f ca="1">+BO162*-Assumptions!$G$22</f>
        <v>0</v>
      </c>
      <c r="BP163" s="34">
        <f ca="1">+BP162*-Assumptions!$G$22</f>
        <v>0</v>
      </c>
      <c r="BQ163" s="34">
        <f ca="1">+BQ162*-Assumptions!$G$22</f>
        <v>0</v>
      </c>
      <c r="BR163" s="34">
        <f ca="1">+BR162*-Assumptions!$G$22</f>
        <v>0</v>
      </c>
      <c r="BS163" s="34">
        <f ca="1">+BS162*-Assumptions!$G$22</f>
        <v>0</v>
      </c>
      <c r="BT163" s="34">
        <f ca="1">+BT162*-Assumptions!$G$22</f>
        <v>0</v>
      </c>
      <c r="BU163" s="34">
        <f ca="1">+BU162*-Assumptions!$G$22</f>
        <v>0</v>
      </c>
      <c r="BV163" s="34">
        <f ca="1">+BV162*-Assumptions!$G$22</f>
        <v>0</v>
      </c>
      <c r="BW163" s="34">
        <f ca="1">+BW162*-Assumptions!$G$22</f>
        <v>0</v>
      </c>
      <c r="BX163" s="34">
        <f ca="1">+BX162*-Assumptions!$G$22</f>
        <v>0</v>
      </c>
      <c r="BY163" s="34">
        <f ca="1">+BY162*-Assumptions!$G$22</f>
        <v>0</v>
      </c>
    </row>
    <row r="164" spans="2:77" s="37" customFormat="1" ht="15" outlineLevel="1">
      <c r="B164"/>
      <c r="C164"/>
      <c r="D164"/>
      <c r="E164" s="22" t="s">
        <v>527</v>
      </c>
      <c r="F164" s="36" t="s">
        <v>470</v>
      </c>
      <c r="G164" s="22"/>
      <c r="H164" s="37">
        <f t="shared" ref="H164:AM164" ca="1" si="265">+SUM(H162:H163)</f>
        <v>0</v>
      </c>
      <c r="I164" s="37">
        <f t="shared" ca="1" si="265"/>
        <v>0</v>
      </c>
      <c r="J164" s="37">
        <f t="shared" ca="1" si="265"/>
        <v>0</v>
      </c>
      <c r="K164" s="37">
        <f t="shared" ca="1" si="265"/>
        <v>0</v>
      </c>
      <c r="L164" s="37">
        <f t="shared" ca="1" si="265"/>
        <v>0</v>
      </c>
      <c r="M164" s="37">
        <f t="shared" ca="1" si="265"/>
        <v>0</v>
      </c>
      <c r="N164" s="37">
        <f t="shared" ca="1" si="265"/>
        <v>0</v>
      </c>
      <c r="O164" s="37">
        <f t="shared" ca="1" si="265"/>
        <v>0</v>
      </c>
      <c r="P164" s="37">
        <f t="shared" ca="1" si="265"/>
        <v>0</v>
      </c>
      <c r="Q164" s="37">
        <f t="shared" ca="1" si="265"/>
        <v>0</v>
      </c>
      <c r="R164" s="37">
        <f t="shared" ca="1" si="265"/>
        <v>0</v>
      </c>
      <c r="S164" s="37">
        <f t="shared" ca="1" si="265"/>
        <v>0</v>
      </c>
      <c r="T164" s="37">
        <f t="shared" ca="1" si="265"/>
        <v>0</v>
      </c>
      <c r="U164" s="37">
        <f t="shared" ca="1" si="265"/>
        <v>0</v>
      </c>
      <c r="V164" s="37">
        <f t="shared" ca="1" si="265"/>
        <v>0</v>
      </c>
      <c r="W164" s="37">
        <f t="shared" ca="1" si="265"/>
        <v>0</v>
      </c>
      <c r="X164" s="37">
        <f t="shared" ca="1" si="265"/>
        <v>0</v>
      </c>
      <c r="Y164" s="37">
        <f t="shared" ca="1" si="265"/>
        <v>0</v>
      </c>
      <c r="Z164" s="37">
        <f t="shared" ca="1" si="265"/>
        <v>0</v>
      </c>
      <c r="AA164" s="37">
        <f t="shared" ca="1" si="265"/>
        <v>0</v>
      </c>
      <c r="AB164" s="37">
        <f t="shared" ca="1" si="265"/>
        <v>0</v>
      </c>
      <c r="AC164" s="37">
        <f t="shared" ca="1" si="265"/>
        <v>0</v>
      </c>
      <c r="AD164" s="37">
        <f t="shared" ca="1" si="265"/>
        <v>0</v>
      </c>
      <c r="AE164" s="37">
        <f t="shared" ca="1" si="265"/>
        <v>0</v>
      </c>
      <c r="AF164" s="37">
        <f t="shared" ca="1" si="265"/>
        <v>0</v>
      </c>
      <c r="AG164" s="37">
        <f t="shared" ca="1" si="265"/>
        <v>0</v>
      </c>
      <c r="AH164" s="37">
        <f t="shared" ca="1" si="265"/>
        <v>0</v>
      </c>
      <c r="AI164" s="37">
        <f t="shared" ca="1" si="265"/>
        <v>0</v>
      </c>
      <c r="AJ164" s="37">
        <f t="shared" ca="1" si="265"/>
        <v>0</v>
      </c>
      <c r="AK164" s="37">
        <f t="shared" ca="1" si="265"/>
        <v>0</v>
      </c>
      <c r="AL164" s="37">
        <f t="shared" ca="1" si="265"/>
        <v>0</v>
      </c>
      <c r="AM164" s="37">
        <f t="shared" ca="1" si="265"/>
        <v>0</v>
      </c>
      <c r="AN164" s="37">
        <f t="shared" ref="AN164:BS164" ca="1" si="266">+SUM(AN162:AN163)</f>
        <v>0</v>
      </c>
      <c r="AO164" s="37">
        <f t="shared" ca="1" si="266"/>
        <v>0</v>
      </c>
      <c r="AP164" s="37">
        <f t="shared" ca="1" si="266"/>
        <v>0</v>
      </c>
      <c r="AQ164" s="37">
        <f t="shared" ca="1" si="266"/>
        <v>0</v>
      </c>
      <c r="AR164" s="37">
        <f t="shared" ca="1" si="266"/>
        <v>0</v>
      </c>
      <c r="AS164" s="37">
        <f t="shared" ca="1" si="266"/>
        <v>0</v>
      </c>
      <c r="AT164" s="37">
        <f t="shared" ca="1" si="266"/>
        <v>0</v>
      </c>
      <c r="AU164" s="37">
        <f t="shared" ca="1" si="266"/>
        <v>0</v>
      </c>
      <c r="AV164" s="37">
        <f t="shared" ca="1" si="266"/>
        <v>0</v>
      </c>
      <c r="AW164" s="37">
        <f t="shared" ca="1" si="266"/>
        <v>0</v>
      </c>
      <c r="AX164" s="37">
        <f t="shared" ca="1" si="266"/>
        <v>0</v>
      </c>
      <c r="AY164" s="37">
        <f t="shared" ca="1" si="266"/>
        <v>0</v>
      </c>
      <c r="AZ164" s="37">
        <f t="shared" ca="1" si="266"/>
        <v>0</v>
      </c>
      <c r="BA164" s="37">
        <f t="shared" ca="1" si="266"/>
        <v>0</v>
      </c>
      <c r="BB164" s="37">
        <f t="shared" ca="1" si="266"/>
        <v>0</v>
      </c>
      <c r="BC164" s="37">
        <f t="shared" ca="1" si="266"/>
        <v>0</v>
      </c>
      <c r="BD164" s="37">
        <f t="shared" ca="1" si="266"/>
        <v>0</v>
      </c>
      <c r="BE164" s="37">
        <f t="shared" ca="1" si="266"/>
        <v>0</v>
      </c>
      <c r="BF164" s="37">
        <f t="shared" ca="1" si="266"/>
        <v>0</v>
      </c>
      <c r="BG164" s="37">
        <f t="shared" ca="1" si="266"/>
        <v>0</v>
      </c>
      <c r="BH164" s="37">
        <f t="shared" ca="1" si="266"/>
        <v>0</v>
      </c>
      <c r="BI164" s="37">
        <f t="shared" ca="1" si="266"/>
        <v>0</v>
      </c>
      <c r="BJ164" s="37">
        <f t="shared" ca="1" si="266"/>
        <v>0</v>
      </c>
      <c r="BK164" s="37">
        <f t="shared" ca="1" si="266"/>
        <v>0</v>
      </c>
      <c r="BL164" s="37">
        <f t="shared" ca="1" si="266"/>
        <v>0</v>
      </c>
      <c r="BM164" s="37">
        <f t="shared" ca="1" si="266"/>
        <v>0</v>
      </c>
      <c r="BN164" s="37">
        <f t="shared" ca="1" si="266"/>
        <v>0</v>
      </c>
      <c r="BO164" s="37">
        <f t="shared" ca="1" si="266"/>
        <v>0</v>
      </c>
      <c r="BP164" s="37">
        <f t="shared" ca="1" si="266"/>
        <v>0</v>
      </c>
      <c r="BQ164" s="37">
        <f t="shared" ca="1" si="266"/>
        <v>0</v>
      </c>
      <c r="BR164" s="37">
        <f t="shared" ca="1" si="266"/>
        <v>0</v>
      </c>
      <c r="BS164" s="37">
        <f t="shared" ca="1" si="266"/>
        <v>0</v>
      </c>
      <c r="BT164" s="37">
        <f t="shared" ref="BT164:BY164" ca="1" si="267">+SUM(BT162:BT163)</f>
        <v>0</v>
      </c>
      <c r="BU164" s="37">
        <f t="shared" ca="1" si="267"/>
        <v>0</v>
      </c>
      <c r="BV164" s="37">
        <f t="shared" ca="1" si="267"/>
        <v>0</v>
      </c>
      <c r="BW164" s="37">
        <f t="shared" ca="1" si="267"/>
        <v>0</v>
      </c>
      <c r="BX164" s="37">
        <f t="shared" ca="1" si="267"/>
        <v>0</v>
      </c>
      <c r="BY164" s="37">
        <f t="shared" ca="1" si="267"/>
        <v>0</v>
      </c>
    </row>
    <row r="165" spans="2:77" s="33" customFormat="1" ht="15" outlineLevel="1">
      <c r="B165" s="22"/>
      <c r="C165" s="22"/>
      <c r="D165"/>
    </row>
    <row r="166" spans="2:77" s="37" customFormat="1" ht="15" outlineLevel="1">
      <c r="B166" s="22"/>
      <c r="C166" s="22"/>
      <c r="D166" s="22"/>
    </row>
    <row r="167" spans="2:77" s="22" customFormat="1" ht="15" outlineLevel="1">
      <c r="F167" s="36"/>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row>
    <row r="168" spans="2:77" s="19" customFormat="1" ht="12.75" outlineLevel="1">
      <c r="B168" s="18" t="s">
        <v>528</v>
      </c>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row>
    <row r="169" spans="2:77" outlineLevel="1">
      <c r="BF169" s="33"/>
      <c r="BG169" s="33"/>
      <c r="BH169" s="33"/>
      <c r="BI169" s="33"/>
      <c r="BJ169" s="33"/>
      <c r="BK169" s="33"/>
      <c r="BL169" s="33"/>
      <c r="BM169" s="33"/>
      <c r="BN169" s="33"/>
      <c r="BO169" s="33"/>
      <c r="BP169" s="33"/>
      <c r="BQ169" s="33"/>
      <c r="BR169" s="33"/>
      <c r="BS169" s="33"/>
      <c r="BT169" s="33"/>
      <c r="BU169" s="33"/>
      <c r="BV169" s="33"/>
      <c r="BW169" s="33"/>
      <c r="BX169" s="33"/>
      <c r="BY169" s="33"/>
    </row>
    <row r="170" spans="2:77" s="22" customFormat="1" ht="15" outlineLevel="1">
      <c r="E170" t="s">
        <v>474</v>
      </c>
      <c r="F170" s="23" t="s">
        <v>475</v>
      </c>
      <c r="G170"/>
      <c r="H170" s="33">
        <f ca="1">+H160+H159</f>
        <v>0</v>
      </c>
      <c r="I170" s="33">
        <f t="shared" ref="I170:BT170" ca="1" si="268">+I160+I159</f>
        <v>0</v>
      </c>
      <c r="J170" s="33">
        <f t="shared" ca="1" si="268"/>
        <v>0</v>
      </c>
      <c r="K170" s="33">
        <f t="shared" si="268"/>
        <v>0</v>
      </c>
      <c r="L170" s="33">
        <f t="shared" si="268"/>
        <v>0</v>
      </c>
      <c r="M170" s="33">
        <f t="shared" si="268"/>
        <v>0</v>
      </c>
      <c r="N170" s="33">
        <f t="shared" si="268"/>
        <v>0</v>
      </c>
      <c r="O170" s="33">
        <f t="shared" si="268"/>
        <v>0</v>
      </c>
      <c r="P170" s="33">
        <f t="shared" si="268"/>
        <v>0</v>
      </c>
      <c r="Q170" s="33">
        <f t="shared" si="268"/>
        <v>0</v>
      </c>
      <c r="R170" s="33">
        <f t="shared" si="268"/>
        <v>0</v>
      </c>
      <c r="S170" s="33">
        <f t="shared" si="268"/>
        <v>0</v>
      </c>
      <c r="T170" s="33">
        <f t="shared" si="268"/>
        <v>0</v>
      </c>
      <c r="U170" s="33">
        <f t="shared" si="268"/>
        <v>0</v>
      </c>
      <c r="V170" s="33">
        <f t="shared" si="268"/>
        <v>0</v>
      </c>
      <c r="W170" s="33">
        <f t="shared" si="268"/>
        <v>0</v>
      </c>
      <c r="X170" s="33">
        <f t="shared" si="268"/>
        <v>0</v>
      </c>
      <c r="Y170" s="33">
        <f t="shared" si="268"/>
        <v>0</v>
      </c>
      <c r="Z170" s="33">
        <f t="shared" ca="1" si="268"/>
        <v>0</v>
      </c>
      <c r="AA170" s="33">
        <f t="shared" ca="1" si="268"/>
        <v>0</v>
      </c>
      <c r="AB170" s="33">
        <f t="shared" ca="1" si="268"/>
        <v>0</v>
      </c>
      <c r="AC170" s="33">
        <f t="shared" ca="1" si="268"/>
        <v>0</v>
      </c>
      <c r="AD170" s="33">
        <f t="shared" ca="1" si="268"/>
        <v>0</v>
      </c>
      <c r="AE170" s="33">
        <f t="shared" ca="1" si="268"/>
        <v>0</v>
      </c>
      <c r="AF170" s="33">
        <f t="shared" ca="1" si="268"/>
        <v>0</v>
      </c>
      <c r="AG170" s="33">
        <f t="shared" ca="1" si="268"/>
        <v>0</v>
      </c>
      <c r="AH170" s="33">
        <f t="shared" ca="1" si="268"/>
        <v>0</v>
      </c>
      <c r="AI170" s="33">
        <f t="shared" ca="1" si="268"/>
        <v>0</v>
      </c>
      <c r="AJ170" s="33">
        <f t="shared" ca="1" si="268"/>
        <v>0</v>
      </c>
      <c r="AK170" s="33">
        <f t="shared" ca="1" si="268"/>
        <v>0</v>
      </c>
      <c r="AL170" s="33">
        <f t="shared" ca="1" si="268"/>
        <v>0</v>
      </c>
      <c r="AM170" s="33">
        <f t="shared" ca="1" si="268"/>
        <v>0</v>
      </c>
      <c r="AN170" s="33">
        <f t="shared" ca="1" si="268"/>
        <v>0</v>
      </c>
      <c r="AO170" s="33">
        <f t="shared" ca="1" si="268"/>
        <v>0</v>
      </c>
      <c r="AP170" s="33">
        <f t="shared" ca="1" si="268"/>
        <v>0</v>
      </c>
      <c r="AQ170" s="33">
        <f t="shared" ca="1" si="268"/>
        <v>0</v>
      </c>
      <c r="AR170" s="33">
        <f t="shared" ca="1" si="268"/>
        <v>0</v>
      </c>
      <c r="AS170" s="33">
        <f t="shared" ca="1" si="268"/>
        <v>0</v>
      </c>
      <c r="AT170" s="33">
        <f t="shared" ca="1" si="268"/>
        <v>0</v>
      </c>
      <c r="AU170" s="33">
        <f t="shared" ca="1" si="268"/>
        <v>0</v>
      </c>
      <c r="AV170" s="33">
        <f t="shared" ca="1" si="268"/>
        <v>0</v>
      </c>
      <c r="AW170" s="33">
        <f t="shared" ca="1" si="268"/>
        <v>0</v>
      </c>
      <c r="AX170" s="33">
        <f t="shared" ca="1" si="268"/>
        <v>0</v>
      </c>
      <c r="AY170" s="33">
        <f t="shared" ca="1" si="268"/>
        <v>0</v>
      </c>
      <c r="AZ170" s="33">
        <f t="shared" ca="1" si="268"/>
        <v>0</v>
      </c>
      <c r="BA170" s="33">
        <f t="shared" ca="1" si="268"/>
        <v>0</v>
      </c>
      <c r="BB170" s="33">
        <f t="shared" ca="1" si="268"/>
        <v>0</v>
      </c>
      <c r="BC170" s="33">
        <f t="shared" ca="1" si="268"/>
        <v>0</v>
      </c>
      <c r="BD170" s="33">
        <f t="shared" ca="1" si="268"/>
        <v>0</v>
      </c>
      <c r="BE170" s="33">
        <f t="shared" ca="1" si="268"/>
        <v>0</v>
      </c>
      <c r="BF170" s="33">
        <f t="shared" ca="1" si="268"/>
        <v>0</v>
      </c>
      <c r="BG170" s="33">
        <f t="shared" ca="1" si="268"/>
        <v>0</v>
      </c>
      <c r="BH170" s="33">
        <f t="shared" ca="1" si="268"/>
        <v>0</v>
      </c>
      <c r="BI170" s="33">
        <f t="shared" ca="1" si="268"/>
        <v>0</v>
      </c>
      <c r="BJ170" s="33">
        <f t="shared" ca="1" si="268"/>
        <v>0</v>
      </c>
      <c r="BK170" s="33">
        <f t="shared" ca="1" si="268"/>
        <v>0</v>
      </c>
      <c r="BL170" s="33">
        <f t="shared" ca="1" si="268"/>
        <v>0</v>
      </c>
      <c r="BM170" s="33">
        <f t="shared" ca="1" si="268"/>
        <v>0</v>
      </c>
      <c r="BN170" s="33">
        <f t="shared" ca="1" si="268"/>
        <v>0</v>
      </c>
      <c r="BO170" s="33">
        <f t="shared" ca="1" si="268"/>
        <v>0</v>
      </c>
      <c r="BP170" s="33">
        <f t="shared" ca="1" si="268"/>
        <v>0</v>
      </c>
      <c r="BQ170" s="33">
        <f t="shared" ca="1" si="268"/>
        <v>0</v>
      </c>
      <c r="BR170" s="33">
        <f t="shared" ca="1" si="268"/>
        <v>0</v>
      </c>
      <c r="BS170" s="33">
        <f t="shared" ca="1" si="268"/>
        <v>0</v>
      </c>
      <c r="BT170" s="33">
        <f t="shared" ca="1" si="268"/>
        <v>0</v>
      </c>
      <c r="BU170" s="33">
        <f t="shared" ref="BU170:BY170" ca="1" si="269">+BU160+BU159</f>
        <v>0</v>
      </c>
      <c r="BV170" s="33">
        <f t="shared" ca="1" si="269"/>
        <v>0</v>
      </c>
      <c r="BW170" s="33">
        <f t="shared" ca="1" si="269"/>
        <v>0</v>
      </c>
      <c r="BX170" s="33">
        <f t="shared" ca="1" si="269"/>
        <v>0</v>
      </c>
      <c r="BY170" s="33">
        <f t="shared" ca="1" si="269"/>
        <v>0</v>
      </c>
    </row>
    <row r="171" spans="2:77" s="22" customFormat="1" ht="15" outlineLevel="1">
      <c r="E171" t="s">
        <v>476</v>
      </c>
      <c r="F171" s="23" t="s">
        <v>475</v>
      </c>
      <c r="G171"/>
      <c r="H171" s="33">
        <f>-H160</f>
        <v>0</v>
      </c>
      <c r="I171" s="33">
        <f t="shared" ref="I171:BT171" si="270">-I160</f>
        <v>0</v>
      </c>
      <c r="J171" s="33">
        <f t="shared" si="270"/>
        <v>0</v>
      </c>
      <c r="K171" s="33">
        <f t="shared" si="270"/>
        <v>0</v>
      </c>
      <c r="L171" s="33">
        <f t="shared" si="270"/>
        <v>0</v>
      </c>
      <c r="M171" s="33">
        <f t="shared" si="270"/>
        <v>0</v>
      </c>
      <c r="N171" s="33">
        <f t="shared" si="270"/>
        <v>0</v>
      </c>
      <c r="O171" s="33">
        <f t="shared" si="270"/>
        <v>0</v>
      </c>
      <c r="P171" s="33">
        <f t="shared" si="270"/>
        <v>0</v>
      </c>
      <c r="Q171" s="33">
        <f t="shared" si="270"/>
        <v>0</v>
      </c>
      <c r="R171" s="33">
        <f t="shared" si="270"/>
        <v>0</v>
      </c>
      <c r="S171" s="33">
        <f t="shared" si="270"/>
        <v>0</v>
      </c>
      <c r="T171" s="33">
        <f t="shared" si="270"/>
        <v>0</v>
      </c>
      <c r="U171" s="33">
        <f t="shared" si="270"/>
        <v>0</v>
      </c>
      <c r="V171" s="33">
        <f t="shared" si="270"/>
        <v>0</v>
      </c>
      <c r="W171" s="33">
        <f t="shared" si="270"/>
        <v>0</v>
      </c>
      <c r="X171" s="33">
        <f t="shared" si="270"/>
        <v>0</v>
      </c>
      <c r="Y171" s="33">
        <f t="shared" si="270"/>
        <v>0</v>
      </c>
      <c r="Z171" s="33">
        <f t="shared" si="270"/>
        <v>0</v>
      </c>
      <c r="AA171" s="33">
        <f t="shared" si="270"/>
        <v>0</v>
      </c>
      <c r="AB171" s="33">
        <f t="shared" si="270"/>
        <v>0</v>
      </c>
      <c r="AC171" s="33">
        <f t="shared" si="270"/>
        <v>0</v>
      </c>
      <c r="AD171" s="33">
        <f t="shared" si="270"/>
        <v>0</v>
      </c>
      <c r="AE171" s="33">
        <f t="shared" si="270"/>
        <v>0</v>
      </c>
      <c r="AF171" s="33">
        <f t="shared" si="270"/>
        <v>0</v>
      </c>
      <c r="AG171" s="33">
        <f t="shared" si="270"/>
        <v>0</v>
      </c>
      <c r="AH171" s="33">
        <f t="shared" si="270"/>
        <v>0</v>
      </c>
      <c r="AI171" s="33">
        <f t="shared" si="270"/>
        <v>0</v>
      </c>
      <c r="AJ171" s="33">
        <f t="shared" si="270"/>
        <v>0</v>
      </c>
      <c r="AK171" s="33">
        <f t="shared" si="270"/>
        <v>0</v>
      </c>
      <c r="AL171" s="33">
        <f t="shared" si="270"/>
        <v>0</v>
      </c>
      <c r="AM171" s="33">
        <f t="shared" si="270"/>
        <v>0</v>
      </c>
      <c r="AN171" s="33">
        <f t="shared" si="270"/>
        <v>0</v>
      </c>
      <c r="AO171" s="33">
        <f t="shared" si="270"/>
        <v>0</v>
      </c>
      <c r="AP171" s="33">
        <f t="shared" si="270"/>
        <v>0</v>
      </c>
      <c r="AQ171" s="33">
        <f t="shared" si="270"/>
        <v>0</v>
      </c>
      <c r="AR171" s="33">
        <f t="shared" si="270"/>
        <v>0</v>
      </c>
      <c r="AS171" s="33">
        <f t="shared" si="270"/>
        <v>0</v>
      </c>
      <c r="AT171" s="33">
        <f t="shared" si="270"/>
        <v>0</v>
      </c>
      <c r="AU171" s="33">
        <f t="shared" si="270"/>
        <v>0</v>
      </c>
      <c r="AV171" s="33">
        <f t="shared" si="270"/>
        <v>0</v>
      </c>
      <c r="AW171" s="33">
        <f t="shared" si="270"/>
        <v>0</v>
      </c>
      <c r="AX171" s="33">
        <f t="shared" si="270"/>
        <v>0</v>
      </c>
      <c r="AY171" s="33">
        <f t="shared" si="270"/>
        <v>0</v>
      </c>
      <c r="AZ171" s="33">
        <f t="shared" si="270"/>
        <v>0</v>
      </c>
      <c r="BA171" s="33">
        <f t="shared" si="270"/>
        <v>0</v>
      </c>
      <c r="BB171" s="33">
        <f t="shared" si="270"/>
        <v>0</v>
      </c>
      <c r="BC171" s="33">
        <f t="shared" si="270"/>
        <v>0</v>
      </c>
      <c r="BD171" s="33">
        <f t="shared" si="270"/>
        <v>0</v>
      </c>
      <c r="BE171" s="33">
        <f t="shared" si="270"/>
        <v>0</v>
      </c>
      <c r="BF171" s="33">
        <f t="shared" si="270"/>
        <v>0</v>
      </c>
      <c r="BG171" s="33">
        <f t="shared" si="270"/>
        <v>0</v>
      </c>
      <c r="BH171" s="33">
        <f t="shared" si="270"/>
        <v>0</v>
      </c>
      <c r="BI171" s="33">
        <f t="shared" si="270"/>
        <v>0</v>
      </c>
      <c r="BJ171" s="33">
        <f t="shared" si="270"/>
        <v>0</v>
      </c>
      <c r="BK171" s="33">
        <f t="shared" si="270"/>
        <v>0</v>
      </c>
      <c r="BL171" s="33">
        <f t="shared" si="270"/>
        <v>0</v>
      </c>
      <c r="BM171" s="33">
        <f t="shared" si="270"/>
        <v>0</v>
      </c>
      <c r="BN171" s="33">
        <f t="shared" si="270"/>
        <v>0</v>
      </c>
      <c r="BO171" s="33">
        <f t="shared" si="270"/>
        <v>0</v>
      </c>
      <c r="BP171" s="33">
        <f t="shared" si="270"/>
        <v>0</v>
      </c>
      <c r="BQ171" s="33">
        <f t="shared" si="270"/>
        <v>0</v>
      </c>
      <c r="BR171" s="33">
        <f t="shared" si="270"/>
        <v>0</v>
      </c>
      <c r="BS171" s="33">
        <f t="shared" si="270"/>
        <v>0</v>
      </c>
      <c r="BT171" s="33">
        <f t="shared" si="270"/>
        <v>0</v>
      </c>
      <c r="BU171" s="33">
        <f t="shared" ref="BU171:BY171" si="271">-BU160</f>
        <v>0</v>
      </c>
      <c r="BV171" s="33">
        <f t="shared" si="271"/>
        <v>0</v>
      </c>
      <c r="BW171" s="33">
        <f t="shared" si="271"/>
        <v>0</v>
      </c>
      <c r="BX171" s="33">
        <f t="shared" si="271"/>
        <v>0</v>
      </c>
      <c r="BY171" s="33">
        <f t="shared" si="271"/>
        <v>0</v>
      </c>
    </row>
    <row r="172" spans="2:77" s="22" customFormat="1" ht="15" outlineLevel="1">
      <c r="E172" t="s">
        <v>477</v>
      </c>
      <c r="F172" s="23" t="s">
        <v>466</v>
      </c>
      <c r="G172"/>
      <c r="H172" s="33">
        <v>0</v>
      </c>
      <c r="I172" s="33">
        <v>0</v>
      </c>
      <c r="J172" s="33">
        <v>0</v>
      </c>
      <c r="K172" s="33">
        <v>0</v>
      </c>
      <c r="L172" s="33">
        <v>0</v>
      </c>
      <c r="M172" s="33">
        <v>0</v>
      </c>
      <c r="N172" s="33">
        <v>0</v>
      </c>
      <c r="O172" s="33">
        <v>0</v>
      </c>
      <c r="P172" s="33">
        <v>0</v>
      </c>
      <c r="Q172" s="33">
        <v>0</v>
      </c>
      <c r="R172" s="33">
        <v>0</v>
      </c>
      <c r="S172" s="33">
        <v>0</v>
      </c>
      <c r="T172" s="33">
        <v>0</v>
      </c>
      <c r="U172" s="33">
        <v>0</v>
      </c>
      <c r="V172" s="33">
        <v>0</v>
      </c>
      <c r="W172" s="33">
        <v>0</v>
      </c>
      <c r="X172" s="33">
        <v>0</v>
      </c>
      <c r="Y172" s="33">
        <v>0</v>
      </c>
      <c r="Z172" s="33">
        <v>0</v>
      </c>
      <c r="AA172" s="33">
        <v>0</v>
      </c>
      <c r="AB172" s="33">
        <v>0</v>
      </c>
      <c r="AC172" s="33">
        <v>0</v>
      </c>
      <c r="AD172" s="33">
        <v>0</v>
      </c>
      <c r="AE172" s="33">
        <v>0</v>
      </c>
      <c r="AF172" s="33">
        <v>0</v>
      </c>
      <c r="AG172" s="33">
        <v>0</v>
      </c>
      <c r="AH172" s="33">
        <v>0</v>
      </c>
      <c r="AI172" s="33">
        <v>0</v>
      </c>
      <c r="AJ172" s="33">
        <v>0</v>
      </c>
      <c r="AK172" s="33">
        <v>0</v>
      </c>
      <c r="AL172" s="33">
        <v>0</v>
      </c>
      <c r="AM172" s="33">
        <v>0</v>
      </c>
      <c r="AN172" s="33">
        <v>0</v>
      </c>
      <c r="AO172" s="33">
        <v>0</v>
      </c>
      <c r="AP172" s="33">
        <v>0</v>
      </c>
      <c r="AQ172" s="33">
        <v>0</v>
      </c>
      <c r="AR172" s="33">
        <v>0</v>
      </c>
      <c r="AS172" s="33">
        <v>0</v>
      </c>
      <c r="AT172" s="33">
        <v>0</v>
      </c>
      <c r="AU172" s="33">
        <v>0</v>
      </c>
      <c r="AV172" s="33">
        <v>0</v>
      </c>
      <c r="AW172" s="33">
        <v>0</v>
      </c>
      <c r="AX172" s="33">
        <v>0</v>
      </c>
      <c r="AY172" s="33">
        <v>0</v>
      </c>
      <c r="AZ172" s="33">
        <v>0</v>
      </c>
      <c r="BA172" s="33">
        <v>0</v>
      </c>
      <c r="BB172" s="33">
        <v>0</v>
      </c>
      <c r="BC172" s="33">
        <v>0</v>
      </c>
      <c r="BD172" s="33">
        <v>0</v>
      </c>
      <c r="BE172" s="33">
        <v>0</v>
      </c>
      <c r="BF172" s="33">
        <v>0</v>
      </c>
      <c r="BG172" s="33">
        <v>0</v>
      </c>
      <c r="BH172" s="33">
        <v>0</v>
      </c>
      <c r="BI172" s="33">
        <v>0</v>
      </c>
      <c r="BJ172" s="33">
        <v>0</v>
      </c>
      <c r="BK172" s="33">
        <v>0</v>
      </c>
      <c r="BL172" s="33">
        <v>0</v>
      </c>
      <c r="BM172" s="33">
        <v>0</v>
      </c>
      <c r="BN172" s="33">
        <v>0</v>
      </c>
      <c r="BO172" s="33">
        <v>0</v>
      </c>
      <c r="BP172" s="33">
        <v>0</v>
      </c>
      <c r="BQ172" s="33">
        <v>0</v>
      </c>
      <c r="BR172" s="33">
        <v>0</v>
      </c>
      <c r="BS172" s="33">
        <v>0</v>
      </c>
      <c r="BT172" s="33">
        <v>0</v>
      </c>
      <c r="BU172" s="33">
        <v>0</v>
      </c>
      <c r="BV172" s="33">
        <v>0</v>
      </c>
      <c r="BW172" s="33">
        <v>0</v>
      </c>
      <c r="BX172" s="33">
        <v>0</v>
      </c>
      <c r="BY172" s="33">
        <v>0</v>
      </c>
    </row>
    <row r="173" spans="2:77" s="22" customFormat="1" ht="15" outlineLevel="1">
      <c r="E173" t="s">
        <v>471</v>
      </c>
      <c r="F173" s="23" t="s">
        <v>466</v>
      </c>
      <c r="G173"/>
      <c r="H173" s="33">
        <f ca="1">+H163</f>
        <v>0</v>
      </c>
      <c r="I173" s="33">
        <f t="shared" ref="I173:BT173" ca="1" si="272">+I163</f>
        <v>0</v>
      </c>
      <c r="J173" s="33">
        <f t="shared" ca="1" si="272"/>
        <v>0</v>
      </c>
      <c r="K173" s="33">
        <f t="shared" ca="1" si="272"/>
        <v>0</v>
      </c>
      <c r="L173" s="33">
        <f t="shared" ca="1" si="272"/>
        <v>0</v>
      </c>
      <c r="M173" s="33">
        <f t="shared" ca="1" si="272"/>
        <v>0</v>
      </c>
      <c r="N173" s="33">
        <f t="shared" ca="1" si="272"/>
        <v>0</v>
      </c>
      <c r="O173" s="33">
        <f t="shared" ca="1" si="272"/>
        <v>0</v>
      </c>
      <c r="P173" s="33">
        <f t="shared" ca="1" si="272"/>
        <v>0</v>
      </c>
      <c r="Q173" s="33">
        <f t="shared" ca="1" si="272"/>
        <v>0</v>
      </c>
      <c r="R173" s="33">
        <f t="shared" ca="1" si="272"/>
        <v>0</v>
      </c>
      <c r="S173" s="33">
        <f t="shared" ca="1" si="272"/>
        <v>0</v>
      </c>
      <c r="T173" s="33">
        <f t="shared" ca="1" si="272"/>
        <v>0</v>
      </c>
      <c r="U173" s="33">
        <f t="shared" ca="1" si="272"/>
        <v>0</v>
      </c>
      <c r="V173" s="33">
        <f t="shared" ca="1" si="272"/>
        <v>0</v>
      </c>
      <c r="W173" s="33">
        <f t="shared" ca="1" si="272"/>
        <v>0</v>
      </c>
      <c r="X173" s="33">
        <f t="shared" ca="1" si="272"/>
        <v>0</v>
      </c>
      <c r="Y173" s="33">
        <f t="shared" ca="1" si="272"/>
        <v>0</v>
      </c>
      <c r="Z173" s="33">
        <f t="shared" ca="1" si="272"/>
        <v>0</v>
      </c>
      <c r="AA173" s="33">
        <f t="shared" ca="1" si="272"/>
        <v>0</v>
      </c>
      <c r="AB173" s="33">
        <f t="shared" ca="1" si="272"/>
        <v>0</v>
      </c>
      <c r="AC173" s="33">
        <f t="shared" ca="1" si="272"/>
        <v>0</v>
      </c>
      <c r="AD173" s="33">
        <f t="shared" ca="1" si="272"/>
        <v>0</v>
      </c>
      <c r="AE173" s="33">
        <f t="shared" ca="1" si="272"/>
        <v>0</v>
      </c>
      <c r="AF173" s="33">
        <f t="shared" ca="1" si="272"/>
        <v>0</v>
      </c>
      <c r="AG173" s="33">
        <f t="shared" ca="1" si="272"/>
        <v>0</v>
      </c>
      <c r="AH173" s="33">
        <f t="shared" ca="1" si="272"/>
        <v>0</v>
      </c>
      <c r="AI173" s="33">
        <f t="shared" ca="1" si="272"/>
        <v>0</v>
      </c>
      <c r="AJ173" s="33">
        <f t="shared" ca="1" si="272"/>
        <v>0</v>
      </c>
      <c r="AK173" s="33">
        <f t="shared" ca="1" si="272"/>
        <v>0</v>
      </c>
      <c r="AL173" s="33">
        <f t="shared" ca="1" si="272"/>
        <v>0</v>
      </c>
      <c r="AM173" s="33">
        <f t="shared" ca="1" si="272"/>
        <v>0</v>
      </c>
      <c r="AN173" s="33">
        <f t="shared" ca="1" si="272"/>
        <v>0</v>
      </c>
      <c r="AO173" s="33">
        <f t="shared" ca="1" si="272"/>
        <v>0</v>
      </c>
      <c r="AP173" s="33">
        <f t="shared" ca="1" si="272"/>
        <v>0</v>
      </c>
      <c r="AQ173" s="33">
        <f t="shared" ca="1" si="272"/>
        <v>0</v>
      </c>
      <c r="AR173" s="33">
        <f t="shared" ca="1" si="272"/>
        <v>0</v>
      </c>
      <c r="AS173" s="33">
        <f t="shared" ca="1" si="272"/>
        <v>0</v>
      </c>
      <c r="AT173" s="33">
        <f t="shared" ca="1" si="272"/>
        <v>0</v>
      </c>
      <c r="AU173" s="33">
        <f t="shared" ca="1" si="272"/>
        <v>0</v>
      </c>
      <c r="AV173" s="33">
        <f t="shared" ca="1" si="272"/>
        <v>0</v>
      </c>
      <c r="AW173" s="33">
        <f t="shared" ca="1" si="272"/>
        <v>0</v>
      </c>
      <c r="AX173" s="33">
        <f t="shared" ca="1" si="272"/>
        <v>0</v>
      </c>
      <c r="AY173" s="33">
        <f t="shared" ca="1" si="272"/>
        <v>0</v>
      </c>
      <c r="AZ173" s="33">
        <f t="shared" ca="1" si="272"/>
        <v>0</v>
      </c>
      <c r="BA173" s="33">
        <f t="shared" ca="1" si="272"/>
        <v>0</v>
      </c>
      <c r="BB173" s="33">
        <f t="shared" ca="1" si="272"/>
        <v>0</v>
      </c>
      <c r="BC173" s="33">
        <f t="shared" ca="1" si="272"/>
        <v>0</v>
      </c>
      <c r="BD173" s="33">
        <f t="shared" ca="1" si="272"/>
        <v>0</v>
      </c>
      <c r="BE173" s="33">
        <f t="shared" ca="1" si="272"/>
        <v>0</v>
      </c>
      <c r="BF173" s="33">
        <f t="shared" ca="1" si="272"/>
        <v>0</v>
      </c>
      <c r="BG173" s="33">
        <f t="shared" ca="1" si="272"/>
        <v>0</v>
      </c>
      <c r="BH173" s="33">
        <f t="shared" ca="1" si="272"/>
        <v>0</v>
      </c>
      <c r="BI173" s="33">
        <f t="shared" ca="1" si="272"/>
        <v>0</v>
      </c>
      <c r="BJ173" s="33">
        <f t="shared" ca="1" si="272"/>
        <v>0</v>
      </c>
      <c r="BK173" s="33">
        <f t="shared" ca="1" si="272"/>
        <v>0</v>
      </c>
      <c r="BL173" s="33">
        <f t="shared" ca="1" si="272"/>
        <v>0</v>
      </c>
      <c r="BM173" s="33">
        <f t="shared" ca="1" si="272"/>
        <v>0</v>
      </c>
      <c r="BN173" s="33">
        <f t="shared" ca="1" si="272"/>
        <v>0</v>
      </c>
      <c r="BO173" s="33">
        <f t="shared" ca="1" si="272"/>
        <v>0</v>
      </c>
      <c r="BP173" s="33">
        <f t="shared" ca="1" si="272"/>
        <v>0</v>
      </c>
      <c r="BQ173" s="33">
        <f t="shared" ca="1" si="272"/>
        <v>0</v>
      </c>
      <c r="BR173" s="33">
        <f t="shared" ca="1" si="272"/>
        <v>0</v>
      </c>
      <c r="BS173" s="33">
        <f t="shared" ca="1" si="272"/>
        <v>0</v>
      </c>
      <c r="BT173" s="33">
        <f t="shared" ca="1" si="272"/>
        <v>0</v>
      </c>
      <c r="BU173" s="33">
        <f t="shared" ref="BU173:BY173" ca="1" si="273">+BU163</f>
        <v>0</v>
      </c>
      <c r="BV173" s="33">
        <f t="shared" ca="1" si="273"/>
        <v>0</v>
      </c>
      <c r="BW173" s="33">
        <f t="shared" ca="1" si="273"/>
        <v>0</v>
      </c>
      <c r="BX173" s="33">
        <f t="shared" ca="1" si="273"/>
        <v>0</v>
      </c>
      <c r="BY173" s="33">
        <f t="shared" ca="1" si="273"/>
        <v>0</v>
      </c>
    </row>
    <row r="174" spans="2:77" s="22" customFormat="1" ht="15" outlineLevel="1">
      <c r="E174" s="22" t="s">
        <v>478</v>
      </c>
      <c r="F174" s="36" t="s">
        <v>470</v>
      </c>
      <c r="H174" s="37">
        <f ca="1">+SUM(H170:H173)</f>
        <v>0</v>
      </c>
      <c r="I174" s="37">
        <f t="shared" ref="I174:BT174" ca="1" si="274">+SUM(I170:I173)</f>
        <v>0</v>
      </c>
      <c r="J174" s="37">
        <f t="shared" ca="1" si="274"/>
        <v>0</v>
      </c>
      <c r="K174" s="37">
        <f t="shared" ca="1" si="274"/>
        <v>0</v>
      </c>
      <c r="L174" s="37">
        <f t="shared" ca="1" si="274"/>
        <v>0</v>
      </c>
      <c r="M174" s="37">
        <f t="shared" ca="1" si="274"/>
        <v>0</v>
      </c>
      <c r="N174" s="37">
        <f t="shared" ca="1" si="274"/>
        <v>0</v>
      </c>
      <c r="O174" s="37">
        <f t="shared" ca="1" si="274"/>
        <v>0</v>
      </c>
      <c r="P174" s="37">
        <f t="shared" ca="1" si="274"/>
        <v>0</v>
      </c>
      <c r="Q174" s="37">
        <f t="shared" ca="1" si="274"/>
        <v>0</v>
      </c>
      <c r="R174" s="37">
        <f t="shared" ca="1" si="274"/>
        <v>0</v>
      </c>
      <c r="S174" s="37">
        <f t="shared" ca="1" si="274"/>
        <v>0</v>
      </c>
      <c r="T174" s="37">
        <f t="shared" ca="1" si="274"/>
        <v>0</v>
      </c>
      <c r="U174" s="37">
        <f t="shared" ca="1" si="274"/>
        <v>0</v>
      </c>
      <c r="V174" s="37">
        <f t="shared" ca="1" si="274"/>
        <v>0</v>
      </c>
      <c r="W174" s="37">
        <f t="shared" ca="1" si="274"/>
        <v>0</v>
      </c>
      <c r="X174" s="37">
        <f t="shared" ca="1" si="274"/>
        <v>0</v>
      </c>
      <c r="Y174" s="37">
        <f t="shared" ca="1" si="274"/>
        <v>0</v>
      </c>
      <c r="Z174" s="37">
        <f t="shared" ca="1" si="274"/>
        <v>0</v>
      </c>
      <c r="AA174" s="37">
        <f t="shared" ca="1" si="274"/>
        <v>0</v>
      </c>
      <c r="AB174" s="37">
        <f t="shared" ca="1" si="274"/>
        <v>0</v>
      </c>
      <c r="AC174" s="37">
        <f t="shared" ca="1" si="274"/>
        <v>0</v>
      </c>
      <c r="AD174" s="37">
        <f t="shared" ca="1" si="274"/>
        <v>0</v>
      </c>
      <c r="AE174" s="37">
        <f t="shared" ca="1" si="274"/>
        <v>0</v>
      </c>
      <c r="AF174" s="37">
        <f t="shared" ca="1" si="274"/>
        <v>0</v>
      </c>
      <c r="AG174" s="37">
        <f t="shared" ca="1" si="274"/>
        <v>0</v>
      </c>
      <c r="AH174" s="37">
        <f t="shared" ca="1" si="274"/>
        <v>0</v>
      </c>
      <c r="AI174" s="37">
        <f t="shared" ca="1" si="274"/>
        <v>0</v>
      </c>
      <c r="AJ174" s="37">
        <f t="shared" ca="1" si="274"/>
        <v>0</v>
      </c>
      <c r="AK174" s="37">
        <f t="shared" ca="1" si="274"/>
        <v>0</v>
      </c>
      <c r="AL174" s="37">
        <f t="shared" ca="1" si="274"/>
        <v>0</v>
      </c>
      <c r="AM174" s="37">
        <f t="shared" ca="1" si="274"/>
        <v>0</v>
      </c>
      <c r="AN174" s="37">
        <f t="shared" ca="1" si="274"/>
        <v>0</v>
      </c>
      <c r="AO174" s="37">
        <f t="shared" ca="1" si="274"/>
        <v>0</v>
      </c>
      <c r="AP174" s="37">
        <f t="shared" ca="1" si="274"/>
        <v>0</v>
      </c>
      <c r="AQ174" s="37">
        <f t="shared" ca="1" si="274"/>
        <v>0</v>
      </c>
      <c r="AR174" s="37">
        <f t="shared" ca="1" si="274"/>
        <v>0</v>
      </c>
      <c r="AS174" s="37">
        <f t="shared" ca="1" si="274"/>
        <v>0</v>
      </c>
      <c r="AT174" s="37">
        <f t="shared" ca="1" si="274"/>
        <v>0</v>
      </c>
      <c r="AU174" s="37">
        <f t="shared" ca="1" si="274"/>
        <v>0</v>
      </c>
      <c r="AV174" s="37">
        <f t="shared" ca="1" si="274"/>
        <v>0</v>
      </c>
      <c r="AW174" s="37">
        <f t="shared" ca="1" si="274"/>
        <v>0</v>
      </c>
      <c r="AX174" s="37">
        <f t="shared" ca="1" si="274"/>
        <v>0</v>
      </c>
      <c r="AY174" s="37">
        <f t="shared" ca="1" si="274"/>
        <v>0</v>
      </c>
      <c r="AZ174" s="37">
        <f t="shared" ca="1" si="274"/>
        <v>0</v>
      </c>
      <c r="BA174" s="37">
        <f t="shared" ca="1" si="274"/>
        <v>0</v>
      </c>
      <c r="BB174" s="37">
        <f t="shared" ca="1" si="274"/>
        <v>0</v>
      </c>
      <c r="BC174" s="37">
        <f t="shared" ca="1" si="274"/>
        <v>0</v>
      </c>
      <c r="BD174" s="37">
        <f t="shared" ca="1" si="274"/>
        <v>0</v>
      </c>
      <c r="BE174" s="37">
        <f t="shared" ca="1" si="274"/>
        <v>0</v>
      </c>
      <c r="BF174" s="37">
        <f t="shared" ca="1" si="274"/>
        <v>0</v>
      </c>
      <c r="BG174" s="37">
        <f t="shared" ca="1" si="274"/>
        <v>0</v>
      </c>
      <c r="BH174" s="37">
        <f t="shared" ca="1" si="274"/>
        <v>0</v>
      </c>
      <c r="BI174" s="37">
        <f t="shared" ca="1" si="274"/>
        <v>0</v>
      </c>
      <c r="BJ174" s="37">
        <f t="shared" ca="1" si="274"/>
        <v>0</v>
      </c>
      <c r="BK174" s="37">
        <f t="shared" ca="1" si="274"/>
        <v>0</v>
      </c>
      <c r="BL174" s="37">
        <f t="shared" ca="1" si="274"/>
        <v>0</v>
      </c>
      <c r="BM174" s="37">
        <f t="shared" ca="1" si="274"/>
        <v>0</v>
      </c>
      <c r="BN174" s="37">
        <f t="shared" ca="1" si="274"/>
        <v>0</v>
      </c>
      <c r="BO174" s="37">
        <f t="shared" ca="1" si="274"/>
        <v>0</v>
      </c>
      <c r="BP174" s="37">
        <f t="shared" ca="1" si="274"/>
        <v>0</v>
      </c>
      <c r="BQ174" s="37">
        <f t="shared" ca="1" si="274"/>
        <v>0</v>
      </c>
      <c r="BR174" s="37">
        <f t="shared" ca="1" si="274"/>
        <v>0</v>
      </c>
      <c r="BS174" s="37">
        <f t="shared" ca="1" si="274"/>
        <v>0</v>
      </c>
      <c r="BT174" s="37">
        <f t="shared" ca="1" si="274"/>
        <v>0</v>
      </c>
      <c r="BU174" s="37">
        <f t="shared" ref="BU174:BY174" ca="1" si="275">+SUM(BU170:BU173)</f>
        <v>0</v>
      </c>
      <c r="BV174" s="37">
        <f t="shared" ca="1" si="275"/>
        <v>0</v>
      </c>
      <c r="BW174" s="37">
        <f t="shared" ca="1" si="275"/>
        <v>0</v>
      </c>
      <c r="BX174" s="37">
        <f t="shared" ca="1" si="275"/>
        <v>0</v>
      </c>
      <c r="BY174" s="37">
        <f t="shared" ca="1" si="275"/>
        <v>0</v>
      </c>
    </row>
    <row r="175" spans="2:77" s="22" customFormat="1" ht="15" outlineLevel="1">
      <c r="E175" t="s">
        <v>446</v>
      </c>
      <c r="F175" s="23" t="s">
        <v>466</v>
      </c>
      <c r="G175"/>
      <c r="H175" s="33">
        <f t="shared" ref="H175:AM175" si="276">+H75</f>
        <v>0</v>
      </c>
      <c r="I175" s="33">
        <f t="shared" si="276"/>
        <v>0</v>
      </c>
      <c r="J175" s="33">
        <f t="shared" si="276"/>
        <v>0</v>
      </c>
      <c r="K175" s="33">
        <f t="shared" si="276"/>
        <v>0</v>
      </c>
      <c r="L175" s="33">
        <f t="shared" si="276"/>
        <v>0</v>
      </c>
      <c r="M175" s="33">
        <f t="shared" si="276"/>
        <v>0</v>
      </c>
      <c r="N175" s="33">
        <f t="shared" si="276"/>
        <v>0</v>
      </c>
      <c r="O175" s="33">
        <f t="shared" si="276"/>
        <v>0</v>
      </c>
      <c r="P175" s="33">
        <f t="shared" si="276"/>
        <v>0</v>
      </c>
      <c r="Q175" s="33">
        <f t="shared" si="276"/>
        <v>0</v>
      </c>
      <c r="R175" s="33">
        <f t="shared" si="276"/>
        <v>0</v>
      </c>
      <c r="S175" s="33">
        <f t="shared" si="276"/>
        <v>0</v>
      </c>
      <c r="T175" s="33">
        <f t="shared" si="276"/>
        <v>0</v>
      </c>
      <c r="U175" s="33">
        <f t="shared" si="276"/>
        <v>0</v>
      </c>
      <c r="V175" s="33">
        <f t="shared" si="276"/>
        <v>0</v>
      </c>
      <c r="W175" s="33">
        <f t="shared" si="276"/>
        <v>0</v>
      </c>
      <c r="X175" s="33">
        <f t="shared" si="276"/>
        <v>0</v>
      </c>
      <c r="Y175" s="33">
        <f t="shared" si="276"/>
        <v>0</v>
      </c>
      <c r="Z175" s="33">
        <f t="shared" si="276"/>
        <v>0</v>
      </c>
      <c r="AA175" s="33">
        <f t="shared" si="276"/>
        <v>0</v>
      </c>
      <c r="AB175" s="33">
        <f t="shared" si="276"/>
        <v>0</v>
      </c>
      <c r="AC175" s="33">
        <f t="shared" si="276"/>
        <v>0</v>
      </c>
      <c r="AD175" s="33">
        <f t="shared" si="276"/>
        <v>0</v>
      </c>
      <c r="AE175" s="33">
        <f t="shared" si="276"/>
        <v>0</v>
      </c>
      <c r="AF175" s="33">
        <f t="shared" si="276"/>
        <v>0</v>
      </c>
      <c r="AG175" s="33">
        <f t="shared" si="276"/>
        <v>0</v>
      </c>
      <c r="AH175" s="33">
        <f t="shared" si="276"/>
        <v>0</v>
      </c>
      <c r="AI175" s="33">
        <f t="shared" si="276"/>
        <v>0</v>
      </c>
      <c r="AJ175" s="33">
        <f t="shared" si="276"/>
        <v>0</v>
      </c>
      <c r="AK175" s="33">
        <f t="shared" si="276"/>
        <v>0</v>
      </c>
      <c r="AL175" s="33">
        <f t="shared" si="276"/>
        <v>0</v>
      </c>
      <c r="AM175" s="33">
        <f t="shared" si="276"/>
        <v>0</v>
      </c>
      <c r="AN175" s="33">
        <f t="shared" ref="AN175:BS175" si="277">+AN75</f>
        <v>0</v>
      </c>
      <c r="AO175" s="33">
        <f t="shared" si="277"/>
        <v>0</v>
      </c>
      <c r="AP175" s="33">
        <f t="shared" si="277"/>
        <v>0</v>
      </c>
      <c r="AQ175" s="33">
        <f t="shared" si="277"/>
        <v>0</v>
      </c>
      <c r="AR175" s="33">
        <f t="shared" si="277"/>
        <v>0</v>
      </c>
      <c r="AS175" s="33">
        <f t="shared" si="277"/>
        <v>0</v>
      </c>
      <c r="AT175" s="33">
        <f t="shared" si="277"/>
        <v>0</v>
      </c>
      <c r="AU175" s="33">
        <f t="shared" si="277"/>
        <v>0</v>
      </c>
      <c r="AV175" s="33">
        <f t="shared" si="277"/>
        <v>0</v>
      </c>
      <c r="AW175" s="33">
        <f t="shared" si="277"/>
        <v>0</v>
      </c>
      <c r="AX175" s="33">
        <f t="shared" si="277"/>
        <v>0</v>
      </c>
      <c r="AY175" s="33">
        <f t="shared" si="277"/>
        <v>0</v>
      </c>
      <c r="AZ175" s="33">
        <f t="shared" si="277"/>
        <v>0</v>
      </c>
      <c r="BA175" s="33">
        <f t="shared" si="277"/>
        <v>0</v>
      </c>
      <c r="BB175" s="33">
        <f t="shared" si="277"/>
        <v>0</v>
      </c>
      <c r="BC175" s="33">
        <f t="shared" si="277"/>
        <v>0</v>
      </c>
      <c r="BD175" s="33">
        <f t="shared" si="277"/>
        <v>0</v>
      </c>
      <c r="BE175" s="33">
        <f t="shared" si="277"/>
        <v>0</v>
      </c>
      <c r="BF175" s="33">
        <f t="shared" si="277"/>
        <v>0</v>
      </c>
      <c r="BG175" s="33">
        <f t="shared" si="277"/>
        <v>0</v>
      </c>
      <c r="BH175" s="33">
        <f t="shared" si="277"/>
        <v>0</v>
      </c>
      <c r="BI175" s="33">
        <f t="shared" si="277"/>
        <v>0</v>
      </c>
      <c r="BJ175" s="33">
        <f t="shared" si="277"/>
        <v>0</v>
      </c>
      <c r="BK175" s="33">
        <f t="shared" si="277"/>
        <v>0</v>
      </c>
      <c r="BL175" s="33">
        <f t="shared" si="277"/>
        <v>0</v>
      </c>
      <c r="BM175" s="33">
        <f t="shared" si="277"/>
        <v>0</v>
      </c>
      <c r="BN175" s="33">
        <f t="shared" si="277"/>
        <v>0</v>
      </c>
      <c r="BO175" s="33">
        <f t="shared" si="277"/>
        <v>0</v>
      </c>
      <c r="BP175" s="33">
        <f t="shared" si="277"/>
        <v>0</v>
      </c>
      <c r="BQ175" s="33">
        <f t="shared" si="277"/>
        <v>0</v>
      </c>
      <c r="BR175" s="33">
        <f t="shared" si="277"/>
        <v>0</v>
      </c>
      <c r="BS175" s="33">
        <f t="shared" si="277"/>
        <v>0</v>
      </c>
      <c r="BT175" s="33">
        <f t="shared" ref="BT175:BY175" si="278">+BT75</f>
        <v>0</v>
      </c>
      <c r="BU175" s="33">
        <f t="shared" si="278"/>
        <v>0</v>
      </c>
      <c r="BV175" s="33">
        <f t="shared" si="278"/>
        <v>0</v>
      </c>
      <c r="BW175" s="33">
        <f t="shared" si="278"/>
        <v>0</v>
      </c>
      <c r="BX175" s="33">
        <f t="shared" si="278"/>
        <v>0</v>
      </c>
      <c r="BY175" s="33">
        <f t="shared" si="278"/>
        <v>0</v>
      </c>
    </row>
    <row r="176" spans="2:77" s="22" customFormat="1" ht="15" outlineLevel="1">
      <c r="E176" s="22" t="s">
        <v>479</v>
      </c>
      <c r="F176" s="36" t="s">
        <v>470</v>
      </c>
      <c r="H176" s="37">
        <f ca="1">+SUM(H174:H175)</f>
        <v>0</v>
      </c>
      <c r="I176" s="37">
        <f t="shared" ref="I176:BT176" ca="1" si="279">+SUM(I174:I175)</f>
        <v>0</v>
      </c>
      <c r="J176" s="37">
        <f t="shared" ca="1" si="279"/>
        <v>0</v>
      </c>
      <c r="K176" s="37">
        <f t="shared" ca="1" si="279"/>
        <v>0</v>
      </c>
      <c r="L176" s="37">
        <f t="shared" ca="1" si="279"/>
        <v>0</v>
      </c>
      <c r="M176" s="37">
        <f t="shared" ca="1" si="279"/>
        <v>0</v>
      </c>
      <c r="N176" s="37">
        <f t="shared" ca="1" si="279"/>
        <v>0</v>
      </c>
      <c r="O176" s="37">
        <f t="shared" ca="1" si="279"/>
        <v>0</v>
      </c>
      <c r="P176" s="37">
        <f t="shared" ca="1" si="279"/>
        <v>0</v>
      </c>
      <c r="Q176" s="37">
        <f t="shared" ca="1" si="279"/>
        <v>0</v>
      </c>
      <c r="R176" s="37">
        <f t="shared" ca="1" si="279"/>
        <v>0</v>
      </c>
      <c r="S176" s="37">
        <f t="shared" ca="1" si="279"/>
        <v>0</v>
      </c>
      <c r="T176" s="37">
        <f t="shared" ca="1" si="279"/>
        <v>0</v>
      </c>
      <c r="U176" s="37">
        <f t="shared" ca="1" si="279"/>
        <v>0</v>
      </c>
      <c r="V176" s="37">
        <f t="shared" ca="1" si="279"/>
        <v>0</v>
      </c>
      <c r="W176" s="37">
        <f t="shared" ca="1" si="279"/>
        <v>0</v>
      </c>
      <c r="X176" s="37">
        <f t="shared" ca="1" si="279"/>
        <v>0</v>
      </c>
      <c r="Y176" s="37">
        <f t="shared" ca="1" si="279"/>
        <v>0</v>
      </c>
      <c r="Z176" s="37">
        <f t="shared" ca="1" si="279"/>
        <v>0</v>
      </c>
      <c r="AA176" s="37">
        <f t="shared" ca="1" si="279"/>
        <v>0</v>
      </c>
      <c r="AB176" s="37">
        <f t="shared" ca="1" si="279"/>
        <v>0</v>
      </c>
      <c r="AC176" s="37">
        <f t="shared" ca="1" si="279"/>
        <v>0</v>
      </c>
      <c r="AD176" s="37">
        <f t="shared" ca="1" si="279"/>
        <v>0</v>
      </c>
      <c r="AE176" s="37">
        <f t="shared" ca="1" si="279"/>
        <v>0</v>
      </c>
      <c r="AF176" s="37">
        <f t="shared" ca="1" si="279"/>
        <v>0</v>
      </c>
      <c r="AG176" s="37">
        <f t="shared" ca="1" si="279"/>
        <v>0</v>
      </c>
      <c r="AH176" s="37">
        <f t="shared" ca="1" si="279"/>
        <v>0</v>
      </c>
      <c r="AI176" s="37">
        <f t="shared" ca="1" si="279"/>
        <v>0</v>
      </c>
      <c r="AJ176" s="37">
        <f t="shared" ca="1" si="279"/>
        <v>0</v>
      </c>
      <c r="AK176" s="37">
        <f t="shared" ca="1" si="279"/>
        <v>0</v>
      </c>
      <c r="AL176" s="37">
        <f t="shared" ca="1" si="279"/>
        <v>0</v>
      </c>
      <c r="AM176" s="37">
        <f t="shared" ca="1" si="279"/>
        <v>0</v>
      </c>
      <c r="AN176" s="37">
        <f t="shared" ca="1" si="279"/>
        <v>0</v>
      </c>
      <c r="AO176" s="37">
        <f t="shared" ca="1" si="279"/>
        <v>0</v>
      </c>
      <c r="AP176" s="37">
        <f t="shared" ca="1" si="279"/>
        <v>0</v>
      </c>
      <c r="AQ176" s="37">
        <f t="shared" ca="1" si="279"/>
        <v>0</v>
      </c>
      <c r="AR176" s="37">
        <f t="shared" ca="1" si="279"/>
        <v>0</v>
      </c>
      <c r="AS176" s="37">
        <f t="shared" ca="1" si="279"/>
        <v>0</v>
      </c>
      <c r="AT176" s="37">
        <f t="shared" ca="1" si="279"/>
        <v>0</v>
      </c>
      <c r="AU176" s="37">
        <f t="shared" ca="1" si="279"/>
        <v>0</v>
      </c>
      <c r="AV176" s="37">
        <f t="shared" ca="1" si="279"/>
        <v>0</v>
      </c>
      <c r="AW176" s="37">
        <f t="shared" ca="1" si="279"/>
        <v>0</v>
      </c>
      <c r="AX176" s="37">
        <f t="shared" ca="1" si="279"/>
        <v>0</v>
      </c>
      <c r="AY176" s="37">
        <f t="shared" ca="1" si="279"/>
        <v>0</v>
      </c>
      <c r="AZ176" s="37">
        <f t="shared" ca="1" si="279"/>
        <v>0</v>
      </c>
      <c r="BA176" s="37">
        <f t="shared" ca="1" si="279"/>
        <v>0</v>
      </c>
      <c r="BB176" s="37">
        <f t="shared" ca="1" si="279"/>
        <v>0</v>
      </c>
      <c r="BC176" s="37">
        <f t="shared" ca="1" si="279"/>
        <v>0</v>
      </c>
      <c r="BD176" s="37">
        <f t="shared" ca="1" si="279"/>
        <v>0</v>
      </c>
      <c r="BE176" s="37">
        <f t="shared" ca="1" si="279"/>
        <v>0</v>
      </c>
      <c r="BF176" s="37">
        <f t="shared" ca="1" si="279"/>
        <v>0</v>
      </c>
      <c r="BG176" s="37">
        <f t="shared" ca="1" si="279"/>
        <v>0</v>
      </c>
      <c r="BH176" s="37">
        <f t="shared" ca="1" si="279"/>
        <v>0</v>
      </c>
      <c r="BI176" s="37">
        <f t="shared" ca="1" si="279"/>
        <v>0</v>
      </c>
      <c r="BJ176" s="37">
        <f t="shared" ca="1" si="279"/>
        <v>0</v>
      </c>
      <c r="BK176" s="37">
        <f t="shared" ca="1" si="279"/>
        <v>0</v>
      </c>
      <c r="BL176" s="37">
        <f t="shared" ca="1" si="279"/>
        <v>0</v>
      </c>
      <c r="BM176" s="37">
        <f t="shared" ca="1" si="279"/>
        <v>0</v>
      </c>
      <c r="BN176" s="37">
        <f t="shared" ca="1" si="279"/>
        <v>0</v>
      </c>
      <c r="BO176" s="37">
        <f t="shared" ca="1" si="279"/>
        <v>0</v>
      </c>
      <c r="BP176" s="37">
        <f t="shared" ca="1" si="279"/>
        <v>0</v>
      </c>
      <c r="BQ176" s="37">
        <f t="shared" ca="1" si="279"/>
        <v>0</v>
      </c>
      <c r="BR176" s="37">
        <f t="shared" ca="1" si="279"/>
        <v>0</v>
      </c>
      <c r="BS176" s="37">
        <f t="shared" ca="1" si="279"/>
        <v>0</v>
      </c>
      <c r="BT176" s="37">
        <f t="shared" ca="1" si="279"/>
        <v>0</v>
      </c>
      <c r="BU176" s="37">
        <f t="shared" ref="BU176:BY176" ca="1" si="280">+SUM(BU174:BU175)</f>
        <v>0</v>
      </c>
      <c r="BV176" s="37">
        <f t="shared" ca="1" si="280"/>
        <v>0</v>
      </c>
      <c r="BW176" s="37">
        <f t="shared" ca="1" si="280"/>
        <v>0</v>
      </c>
      <c r="BX176" s="37">
        <f t="shared" ca="1" si="280"/>
        <v>0</v>
      </c>
      <c r="BY176" s="37">
        <f t="shared" ca="1" si="280"/>
        <v>0</v>
      </c>
    </row>
    <row r="177" spans="1:77" s="22" customFormat="1" ht="15" outlineLevel="1">
      <c r="A177"/>
      <c r="E177" t="s">
        <v>480</v>
      </c>
      <c r="F177" s="40" t="s">
        <v>475</v>
      </c>
      <c r="G177"/>
      <c r="H177" s="33">
        <f>-H94+H110-H126+H142</f>
        <v>0</v>
      </c>
      <c r="I177" s="33">
        <f t="shared" ref="I177:BT177" si="281">-I94+I110-I126+I142</f>
        <v>0</v>
      </c>
      <c r="J177" s="33">
        <f t="shared" si="281"/>
        <v>0</v>
      </c>
      <c r="K177" s="33">
        <f t="shared" si="281"/>
        <v>0</v>
      </c>
      <c r="L177" s="33">
        <f t="shared" si="281"/>
        <v>0</v>
      </c>
      <c r="M177" s="33">
        <f t="shared" si="281"/>
        <v>0</v>
      </c>
      <c r="N177" s="33">
        <f t="shared" si="281"/>
        <v>0</v>
      </c>
      <c r="O177" s="33">
        <f t="shared" si="281"/>
        <v>0</v>
      </c>
      <c r="P177" s="33">
        <f t="shared" si="281"/>
        <v>0</v>
      </c>
      <c r="Q177" s="33">
        <f t="shared" si="281"/>
        <v>0</v>
      </c>
      <c r="R177" s="33">
        <f t="shared" si="281"/>
        <v>0</v>
      </c>
      <c r="S177" s="33">
        <f t="shared" si="281"/>
        <v>0</v>
      </c>
      <c r="T177" s="33">
        <f t="shared" si="281"/>
        <v>0</v>
      </c>
      <c r="U177" s="33">
        <f t="shared" si="281"/>
        <v>0</v>
      </c>
      <c r="V177" s="33">
        <f t="shared" si="281"/>
        <v>0</v>
      </c>
      <c r="W177" s="33">
        <f t="shared" si="281"/>
        <v>0</v>
      </c>
      <c r="X177" s="33">
        <f t="shared" si="281"/>
        <v>0</v>
      </c>
      <c r="Y177" s="33">
        <f t="shared" si="281"/>
        <v>0</v>
      </c>
      <c r="Z177" s="33">
        <f t="shared" si="281"/>
        <v>0</v>
      </c>
      <c r="AA177" s="33">
        <f t="shared" si="281"/>
        <v>0</v>
      </c>
      <c r="AB177" s="33">
        <f t="shared" si="281"/>
        <v>0</v>
      </c>
      <c r="AC177" s="33">
        <f t="shared" si="281"/>
        <v>0</v>
      </c>
      <c r="AD177" s="33">
        <f t="shared" si="281"/>
        <v>0</v>
      </c>
      <c r="AE177" s="33">
        <f t="shared" si="281"/>
        <v>0</v>
      </c>
      <c r="AF177" s="33">
        <f t="shared" si="281"/>
        <v>0</v>
      </c>
      <c r="AG177" s="33">
        <f t="shared" si="281"/>
        <v>0</v>
      </c>
      <c r="AH177" s="33">
        <f t="shared" si="281"/>
        <v>0</v>
      </c>
      <c r="AI177" s="33">
        <f t="shared" si="281"/>
        <v>0</v>
      </c>
      <c r="AJ177" s="33">
        <f t="shared" si="281"/>
        <v>0</v>
      </c>
      <c r="AK177" s="33">
        <f t="shared" si="281"/>
        <v>0</v>
      </c>
      <c r="AL177" s="33">
        <f t="shared" si="281"/>
        <v>0</v>
      </c>
      <c r="AM177" s="33">
        <f t="shared" si="281"/>
        <v>0</v>
      </c>
      <c r="AN177" s="33">
        <f t="shared" si="281"/>
        <v>0</v>
      </c>
      <c r="AO177" s="33">
        <f t="shared" si="281"/>
        <v>0</v>
      </c>
      <c r="AP177" s="33">
        <f t="shared" si="281"/>
        <v>0</v>
      </c>
      <c r="AQ177" s="33">
        <f t="shared" si="281"/>
        <v>0</v>
      </c>
      <c r="AR177" s="33">
        <f t="shared" si="281"/>
        <v>0</v>
      </c>
      <c r="AS177" s="33">
        <f t="shared" si="281"/>
        <v>0</v>
      </c>
      <c r="AT177" s="33">
        <f t="shared" si="281"/>
        <v>0</v>
      </c>
      <c r="AU177" s="33">
        <f t="shared" si="281"/>
        <v>0</v>
      </c>
      <c r="AV177" s="33">
        <f t="shared" si="281"/>
        <v>0</v>
      </c>
      <c r="AW177" s="33">
        <f t="shared" si="281"/>
        <v>0</v>
      </c>
      <c r="AX177" s="33">
        <f t="shared" si="281"/>
        <v>0</v>
      </c>
      <c r="AY177" s="33">
        <f t="shared" si="281"/>
        <v>0</v>
      </c>
      <c r="AZ177" s="33">
        <f t="shared" si="281"/>
        <v>0</v>
      </c>
      <c r="BA177" s="33">
        <f t="shared" si="281"/>
        <v>0</v>
      </c>
      <c r="BB177" s="33">
        <f t="shared" si="281"/>
        <v>0</v>
      </c>
      <c r="BC177" s="33">
        <f t="shared" si="281"/>
        <v>0</v>
      </c>
      <c r="BD177" s="33">
        <f t="shared" si="281"/>
        <v>0</v>
      </c>
      <c r="BE177" s="33">
        <f t="shared" si="281"/>
        <v>0</v>
      </c>
      <c r="BF177" s="33">
        <f t="shared" si="281"/>
        <v>0</v>
      </c>
      <c r="BG177" s="33">
        <f t="shared" si="281"/>
        <v>0</v>
      </c>
      <c r="BH177" s="33">
        <f t="shared" si="281"/>
        <v>0</v>
      </c>
      <c r="BI177" s="33">
        <f t="shared" si="281"/>
        <v>0</v>
      </c>
      <c r="BJ177" s="33">
        <f t="shared" si="281"/>
        <v>0</v>
      </c>
      <c r="BK177" s="33">
        <f t="shared" si="281"/>
        <v>0</v>
      </c>
      <c r="BL177" s="33">
        <f t="shared" si="281"/>
        <v>0</v>
      </c>
      <c r="BM177" s="33">
        <f t="shared" si="281"/>
        <v>0</v>
      </c>
      <c r="BN177" s="33">
        <f t="shared" si="281"/>
        <v>0</v>
      </c>
      <c r="BO177" s="33">
        <f t="shared" si="281"/>
        <v>0</v>
      </c>
      <c r="BP177" s="33">
        <f t="shared" si="281"/>
        <v>0</v>
      </c>
      <c r="BQ177" s="33">
        <f t="shared" si="281"/>
        <v>0</v>
      </c>
      <c r="BR177" s="33">
        <f t="shared" si="281"/>
        <v>0</v>
      </c>
      <c r="BS177" s="33">
        <f t="shared" si="281"/>
        <v>0</v>
      </c>
      <c r="BT177" s="33">
        <f t="shared" si="281"/>
        <v>0</v>
      </c>
      <c r="BU177" s="33">
        <f t="shared" ref="BU177:BY177" si="282">-BU94+BU110-BU126+BU142</f>
        <v>0</v>
      </c>
      <c r="BV177" s="33">
        <f t="shared" si="282"/>
        <v>0</v>
      </c>
      <c r="BW177" s="33">
        <f t="shared" si="282"/>
        <v>0</v>
      </c>
      <c r="BX177" s="33">
        <f t="shared" si="282"/>
        <v>0</v>
      </c>
      <c r="BY177" s="33">
        <f t="shared" si="282"/>
        <v>0</v>
      </c>
    </row>
    <row r="178" spans="1:77" s="22" customFormat="1" ht="15" outlineLevel="1">
      <c r="A178"/>
      <c r="E178" s="25" t="s">
        <v>468</v>
      </c>
      <c r="F178" s="30" t="s">
        <v>466</v>
      </c>
      <c r="G178" s="25"/>
      <c r="H178" s="34">
        <f ca="1">+H161</f>
        <v>0</v>
      </c>
      <c r="I178" s="34">
        <f t="shared" ref="I178:BT178" ca="1" si="283">+I161</f>
        <v>0</v>
      </c>
      <c r="J178" s="34">
        <f t="shared" ca="1" si="283"/>
        <v>0</v>
      </c>
      <c r="K178" s="34">
        <f t="shared" ca="1" si="283"/>
        <v>0</v>
      </c>
      <c r="L178" s="34">
        <f t="shared" ca="1" si="283"/>
        <v>0</v>
      </c>
      <c r="M178" s="34">
        <f t="shared" ca="1" si="283"/>
        <v>0</v>
      </c>
      <c r="N178" s="34">
        <f t="shared" ca="1" si="283"/>
        <v>0</v>
      </c>
      <c r="O178" s="34">
        <f t="shared" ca="1" si="283"/>
        <v>0</v>
      </c>
      <c r="P178" s="34">
        <f t="shared" ca="1" si="283"/>
        <v>0</v>
      </c>
      <c r="Q178" s="34">
        <f t="shared" ca="1" si="283"/>
        <v>0</v>
      </c>
      <c r="R178" s="34">
        <f t="shared" ca="1" si="283"/>
        <v>0</v>
      </c>
      <c r="S178" s="34">
        <f t="shared" ca="1" si="283"/>
        <v>0</v>
      </c>
      <c r="T178" s="34">
        <f t="shared" ca="1" si="283"/>
        <v>0</v>
      </c>
      <c r="U178" s="34">
        <f t="shared" ca="1" si="283"/>
        <v>0</v>
      </c>
      <c r="V178" s="34">
        <f t="shared" ca="1" si="283"/>
        <v>0</v>
      </c>
      <c r="W178" s="34">
        <f t="shared" ca="1" si="283"/>
        <v>0</v>
      </c>
      <c r="X178" s="34">
        <f t="shared" ca="1" si="283"/>
        <v>0</v>
      </c>
      <c r="Y178" s="34">
        <f t="shared" ca="1" si="283"/>
        <v>0</v>
      </c>
      <c r="Z178" s="34">
        <f t="shared" ca="1" si="283"/>
        <v>0</v>
      </c>
      <c r="AA178" s="34">
        <f t="shared" ca="1" si="283"/>
        <v>0</v>
      </c>
      <c r="AB178" s="34">
        <f t="shared" ca="1" si="283"/>
        <v>0</v>
      </c>
      <c r="AC178" s="34">
        <f t="shared" ca="1" si="283"/>
        <v>0</v>
      </c>
      <c r="AD178" s="34">
        <f t="shared" ca="1" si="283"/>
        <v>0</v>
      </c>
      <c r="AE178" s="34">
        <f t="shared" ca="1" si="283"/>
        <v>0</v>
      </c>
      <c r="AF178" s="34">
        <f t="shared" ca="1" si="283"/>
        <v>0</v>
      </c>
      <c r="AG178" s="34">
        <f t="shared" ca="1" si="283"/>
        <v>0</v>
      </c>
      <c r="AH178" s="34">
        <f t="shared" ca="1" si="283"/>
        <v>0</v>
      </c>
      <c r="AI178" s="34">
        <f t="shared" ca="1" si="283"/>
        <v>0</v>
      </c>
      <c r="AJ178" s="34">
        <f t="shared" ca="1" si="283"/>
        <v>0</v>
      </c>
      <c r="AK178" s="34">
        <f t="shared" ca="1" si="283"/>
        <v>0</v>
      </c>
      <c r="AL178" s="34">
        <f t="shared" ca="1" si="283"/>
        <v>0</v>
      </c>
      <c r="AM178" s="34">
        <f t="shared" ca="1" si="283"/>
        <v>0</v>
      </c>
      <c r="AN178" s="34">
        <f t="shared" ca="1" si="283"/>
        <v>0</v>
      </c>
      <c r="AO178" s="34">
        <f t="shared" ca="1" si="283"/>
        <v>0</v>
      </c>
      <c r="AP178" s="34">
        <f t="shared" ca="1" si="283"/>
        <v>0</v>
      </c>
      <c r="AQ178" s="34">
        <f t="shared" ca="1" si="283"/>
        <v>0</v>
      </c>
      <c r="AR178" s="34">
        <f t="shared" ca="1" si="283"/>
        <v>0</v>
      </c>
      <c r="AS178" s="34">
        <f t="shared" ca="1" si="283"/>
        <v>0</v>
      </c>
      <c r="AT178" s="34">
        <f t="shared" ca="1" si="283"/>
        <v>0</v>
      </c>
      <c r="AU178" s="34">
        <f t="shared" ca="1" si="283"/>
        <v>0</v>
      </c>
      <c r="AV178" s="34">
        <f t="shared" ca="1" si="283"/>
        <v>0</v>
      </c>
      <c r="AW178" s="34">
        <f t="shared" ca="1" si="283"/>
        <v>0</v>
      </c>
      <c r="AX178" s="34">
        <f t="shared" ca="1" si="283"/>
        <v>0</v>
      </c>
      <c r="AY178" s="34">
        <f t="shared" ca="1" si="283"/>
        <v>0</v>
      </c>
      <c r="AZ178" s="34">
        <f t="shared" ca="1" si="283"/>
        <v>0</v>
      </c>
      <c r="BA178" s="34">
        <f t="shared" ca="1" si="283"/>
        <v>0</v>
      </c>
      <c r="BB178" s="34">
        <f t="shared" ca="1" si="283"/>
        <v>0</v>
      </c>
      <c r="BC178" s="34">
        <f t="shared" ca="1" si="283"/>
        <v>0</v>
      </c>
      <c r="BD178" s="34">
        <f t="shared" ca="1" si="283"/>
        <v>0</v>
      </c>
      <c r="BE178" s="34">
        <f t="shared" ca="1" si="283"/>
        <v>0</v>
      </c>
      <c r="BF178" s="34">
        <f t="shared" ca="1" si="283"/>
        <v>0</v>
      </c>
      <c r="BG178" s="34">
        <f t="shared" ca="1" si="283"/>
        <v>0</v>
      </c>
      <c r="BH178" s="34">
        <f t="shared" ca="1" si="283"/>
        <v>0</v>
      </c>
      <c r="BI178" s="34">
        <f t="shared" ca="1" si="283"/>
        <v>0</v>
      </c>
      <c r="BJ178" s="34">
        <f t="shared" ca="1" si="283"/>
        <v>0</v>
      </c>
      <c r="BK178" s="34">
        <f t="shared" ca="1" si="283"/>
        <v>0</v>
      </c>
      <c r="BL178" s="34">
        <f t="shared" ca="1" si="283"/>
        <v>0</v>
      </c>
      <c r="BM178" s="34">
        <f t="shared" ca="1" si="283"/>
        <v>0</v>
      </c>
      <c r="BN178" s="34">
        <f t="shared" ca="1" si="283"/>
        <v>0</v>
      </c>
      <c r="BO178" s="34">
        <f t="shared" ca="1" si="283"/>
        <v>0</v>
      </c>
      <c r="BP178" s="34">
        <f t="shared" ca="1" si="283"/>
        <v>0</v>
      </c>
      <c r="BQ178" s="34">
        <f t="shared" ca="1" si="283"/>
        <v>0</v>
      </c>
      <c r="BR178" s="34">
        <f t="shared" ca="1" si="283"/>
        <v>0</v>
      </c>
      <c r="BS178" s="34">
        <f t="shared" ca="1" si="283"/>
        <v>0</v>
      </c>
      <c r="BT178" s="34">
        <f t="shared" ca="1" si="283"/>
        <v>0</v>
      </c>
      <c r="BU178" s="34">
        <f t="shared" ref="BU178:BY178" ca="1" si="284">+BU161</f>
        <v>0</v>
      </c>
      <c r="BV178" s="34">
        <f t="shared" ca="1" si="284"/>
        <v>0</v>
      </c>
      <c r="BW178" s="34">
        <f t="shared" ca="1" si="284"/>
        <v>0</v>
      </c>
      <c r="BX178" s="34">
        <f t="shared" ca="1" si="284"/>
        <v>0</v>
      </c>
      <c r="BY178" s="34">
        <f t="shared" ca="1" si="284"/>
        <v>0</v>
      </c>
    </row>
    <row r="179" spans="1:77" s="22" customFormat="1" ht="15" outlineLevel="1">
      <c r="A179"/>
      <c r="E179" s="22" t="s">
        <v>481</v>
      </c>
      <c r="F179" s="36" t="s">
        <v>470</v>
      </c>
      <c r="G179" s="45"/>
      <c r="H179" s="47">
        <f ca="1">+SUM(H176:H178)</f>
        <v>0</v>
      </c>
      <c r="I179" s="47">
        <f t="shared" ref="I179:BT179" ca="1" si="285">+SUM(I176:I178)</f>
        <v>0</v>
      </c>
      <c r="J179" s="47">
        <f t="shared" ca="1" si="285"/>
        <v>0</v>
      </c>
      <c r="K179" s="47">
        <f t="shared" ca="1" si="285"/>
        <v>0</v>
      </c>
      <c r="L179" s="47">
        <f t="shared" ca="1" si="285"/>
        <v>0</v>
      </c>
      <c r="M179" s="47">
        <f t="shared" ca="1" si="285"/>
        <v>0</v>
      </c>
      <c r="N179" s="47">
        <f t="shared" ca="1" si="285"/>
        <v>0</v>
      </c>
      <c r="O179" s="47">
        <f t="shared" ca="1" si="285"/>
        <v>0</v>
      </c>
      <c r="P179" s="47">
        <f t="shared" ca="1" si="285"/>
        <v>0</v>
      </c>
      <c r="Q179" s="47">
        <f t="shared" ca="1" si="285"/>
        <v>0</v>
      </c>
      <c r="R179" s="47">
        <f t="shared" ca="1" si="285"/>
        <v>0</v>
      </c>
      <c r="S179" s="47">
        <f t="shared" ca="1" si="285"/>
        <v>0</v>
      </c>
      <c r="T179" s="47">
        <f t="shared" ca="1" si="285"/>
        <v>0</v>
      </c>
      <c r="U179" s="47">
        <f t="shared" ca="1" si="285"/>
        <v>0</v>
      </c>
      <c r="V179" s="47">
        <f t="shared" ca="1" si="285"/>
        <v>0</v>
      </c>
      <c r="W179" s="47">
        <f t="shared" ca="1" si="285"/>
        <v>0</v>
      </c>
      <c r="X179" s="47">
        <f t="shared" ca="1" si="285"/>
        <v>0</v>
      </c>
      <c r="Y179" s="47">
        <f t="shared" ca="1" si="285"/>
        <v>0</v>
      </c>
      <c r="Z179" s="47">
        <f t="shared" ca="1" si="285"/>
        <v>0</v>
      </c>
      <c r="AA179" s="47">
        <f t="shared" ca="1" si="285"/>
        <v>0</v>
      </c>
      <c r="AB179" s="47">
        <f t="shared" ca="1" si="285"/>
        <v>0</v>
      </c>
      <c r="AC179" s="47">
        <f t="shared" ca="1" si="285"/>
        <v>0</v>
      </c>
      <c r="AD179" s="47">
        <f t="shared" ca="1" si="285"/>
        <v>0</v>
      </c>
      <c r="AE179" s="47">
        <f t="shared" ca="1" si="285"/>
        <v>0</v>
      </c>
      <c r="AF179" s="47">
        <f t="shared" ca="1" si="285"/>
        <v>0</v>
      </c>
      <c r="AG179" s="47">
        <f t="shared" ca="1" si="285"/>
        <v>0</v>
      </c>
      <c r="AH179" s="47">
        <f t="shared" ca="1" si="285"/>
        <v>0</v>
      </c>
      <c r="AI179" s="47">
        <f t="shared" ca="1" si="285"/>
        <v>0</v>
      </c>
      <c r="AJ179" s="47">
        <f t="shared" ca="1" si="285"/>
        <v>0</v>
      </c>
      <c r="AK179" s="47">
        <f t="shared" ca="1" si="285"/>
        <v>0</v>
      </c>
      <c r="AL179" s="47">
        <f t="shared" ca="1" si="285"/>
        <v>0</v>
      </c>
      <c r="AM179" s="47">
        <f t="shared" ca="1" si="285"/>
        <v>0</v>
      </c>
      <c r="AN179" s="47">
        <f t="shared" ca="1" si="285"/>
        <v>0</v>
      </c>
      <c r="AO179" s="47">
        <f t="shared" ca="1" si="285"/>
        <v>0</v>
      </c>
      <c r="AP179" s="47">
        <f t="shared" ca="1" si="285"/>
        <v>0</v>
      </c>
      <c r="AQ179" s="47">
        <f t="shared" ca="1" si="285"/>
        <v>0</v>
      </c>
      <c r="AR179" s="47">
        <f t="shared" ca="1" si="285"/>
        <v>0</v>
      </c>
      <c r="AS179" s="47">
        <f t="shared" ca="1" si="285"/>
        <v>0</v>
      </c>
      <c r="AT179" s="47">
        <f t="shared" ca="1" si="285"/>
        <v>0</v>
      </c>
      <c r="AU179" s="47">
        <f t="shared" ca="1" si="285"/>
        <v>0</v>
      </c>
      <c r="AV179" s="47">
        <f t="shared" ca="1" si="285"/>
        <v>0</v>
      </c>
      <c r="AW179" s="47">
        <f t="shared" ca="1" si="285"/>
        <v>0</v>
      </c>
      <c r="AX179" s="47">
        <f t="shared" ca="1" si="285"/>
        <v>0</v>
      </c>
      <c r="AY179" s="47">
        <f t="shared" ca="1" si="285"/>
        <v>0</v>
      </c>
      <c r="AZ179" s="47">
        <f t="shared" ca="1" si="285"/>
        <v>0</v>
      </c>
      <c r="BA179" s="47">
        <f t="shared" ca="1" si="285"/>
        <v>0</v>
      </c>
      <c r="BB179" s="47">
        <f t="shared" ca="1" si="285"/>
        <v>0</v>
      </c>
      <c r="BC179" s="47">
        <f t="shared" ca="1" si="285"/>
        <v>0</v>
      </c>
      <c r="BD179" s="47">
        <f t="shared" ca="1" si="285"/>
        <v>0</v>
      </c>
      <c r="BE179" s="47">
        <f t="shared" ca="1" si="285"/>
        <v>0</v>
      </c>
      <c r="BF179" s="47">
        <f t="shared" ca="1" si="285"/>
        <v>0</v>
      </c>
      <c r="BG179" s="47">
        <f t="shared" ca="1" si="285"/>
        <v>0</v>
      </c>
      <c r="BH179" s="47">
        <f t="shared" ca="1" si="285"/>
        <v>0</v>
      </c>
      <c r="BI179" s="47">
        <f t="shared" ca="1" si="285"/>
        <v>0</v>
      </c>
      <c r="BJ179" s="47">
        <f t="shared" ca="1" si="285"/>
        <v>0</v>
      </c>
      <c r="BK179" s="47">
        <f t="shared" ca="1" si="285"/>
        <v>0</v>
      </c>
      <c r="BL179" s="47">
        <f t="shared" ca="1" si="285"/>
        <v>0</v>
      </c>
      <c r="BM179" s="47">
        <f t="shared" ca="1" si="285"/>
        <v>0</v>
      </c>
      <c r="BN179" s="47">
        <f t="shared" ca="1" si="285"/>
        <v>0</v>
      </c>
      <c r="BO179" s="47">
        <f t="shared" ca="1" si="285"/>
        <v>0</v>
      </c>
      <c r="BP179" s="47">
        <f t="shared" ca="1" si="285"/>
        <v>0</v>
      </c>
      <c r="BQ179" s="47">
        <f t="shared" ca="1" si="285"/>
        <v>0</v>
      </c>
      <c r="BR179" s="47">
        <f t="shared" ca="1" si="285"/>
        <v>0</v>
      </c>
      <c r="BS179" s="47">
        <f t="shared" ca="1" si="285"/>
        <v>0</v>
      </c>
      <c r="BT179" s="47">
        <f t="shared" ca="1" si="285"/>
        <v>0</v>
      </c>
      <c r="BU179" s="47">
        <f t="shared" ref="BU179:BY179" ca="1" si="286">+SUM(BU176:BU178)</f>
        <v>0</v>
      </c>
      <c r="BV179" s="47">
        <f t="shared" ca="1" si="286"/>
        <v>0</v>
      </c>
      <c r="BW179" s="47">
        <f t="shared" ca="1" si="286"/>
        <v>0</v>
      </c>
      <c r="BX179" s="47">
        <f t="shared" ca="1" si="286"/>
        <v>0</v>
      </c>
      <c r="BY179" s="47">
        <f t="shared" ca="1" si="286"/>
        <v>0</v>
      </c>
    </row>
    <row r="180" spans="1:77">
      <c r="BF180" s="33"/>
      <c r="BG180" s="33"/>
      <c r="BH180" s="33"/>
      <c r="BI180" s="33"/>
      <c r="BJ180" s="33"/>
      <c r="BK180" s="33"/>
      <c r="BL180" s="33"/>
      <c r="BM180" s="33"/>
      <c r="BN180" s="33"/>
      <c r="BO180" s="33"/>
      <c r="BP180" s="33"/>
      <c r="BQ180" s="33"/>
      <c r="BR180" s="33"/>
      <c r="BS180" s="33"/>
      <c r="BT180" s="33"/>
      <c r="BU180" s="33"/>
      <c r="BV180" s="33"/>
      <c r="BW180" s="33"/>
      <c r="BX180" s="33"/>
      <c r="BY180" s="33"/>
    </row>
    <row r="181" spans="1:77">
      <c r="BF181" s="33"/>
      <c r="BG181" s="33"/>
      <c r="BH181" s="33"/>
      <c r="BI181" s="33"/>
      <c r="BJ181" s="33"/>
      <c r="BK181" s="33"/>
      <c r="BL181" s="33"/>
      <c r="BM181" s="33"/>
      <c r="BN181" s="33"/>
      <c r="BO181" s="33"/>
      <c r="BP181" s="33"/>
      <c r="BQ181" s="33"/>
      <c r="BR181" s="33"/>
      <c r="BS181" s="33"/>
      <c r="BT181" s="33"/>
      <c r="BU181" s="33"/>
      <c r="BV181" s="33"/>
      <c r="BW181" s="33"/>
      <c r="BX181" s="33"/>
      <c r="BY181" s="33"/>
    </row>
    <row r="182" spans="1:77" s="66" customFormat="1" ht="15">
      <c r="A182" s="66" t="str">
        <f>+Assumptions!B114</f>
        <v>2.0 Ports</v>
      </c>
    </row>
    <row r="183" spans="1:77" s="19" customFormat="1" outlineLevel="1">
      <c r="A183"/>
      <c r="B183" s="18" t="s">
        <v>251</v>
      </c>
    </row>
    <row r="184" spans="1:77" outlineLevel="1">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row>
    <row r="185" spans="1:77" outlineLevel="1">
      <c r="E185" t="s">
        <v>487</v>
      </c>
      <c r="F185" s="23" t="s">
        <v>423</v>
      </c>
      <c r="H185" s="31">
        <f>IFERROR(+(1+Assumptions!$G$10)^(YEARFRAC(Assumptions!$G$11,H$4)),"")</f>
        <v>1.02</v>
      </c>
      <c r="I185" s="31">
        <f>IFERROR(+(1+Assumptions!$G$10)^(YEARFRAC(Assumptions!$G$11,I$4)),"")</f>
        <v>1.0404</v>
      </c>
      <c r="J185" s="31">
        <f>IFERROR(+(1+Assumptions!$G$10)^(YEARFRAC(Assumptions!$G$11,J$4)),"")</f>
        <v>1.0612079999999999</v>
      </c>
      <c r="K185" s="31">
        <f>IFERROR(+(1+Assumptions!$G$10)^(YEARFRAC(Assumptions!$G$11,K$4)),"")</f>
        <v>1.08243216</v>
      </c>
      <c r="L185" s="31">
        <f>IFERROR(+(1+Assumptions!$G$10)^(YEARFRAC(Assumptions!$G$11,L$4)),"")</f>
        <v>1.1040808032</v>
      </c>
      <c r="M185" s="31">
        <f>IFERROR(+(1+Assumptions!$G$10)^(YEARFRAC(Assumptions!$G$11,M$4)),"")</f>
        <v>1.1261624192640001</v>
      </c>
      <c r="N185" s="31">
        <f>IFERROR(+(1+Assumptions!$G$10)^(YEARFRAC(Assumptions!$G$11,N$4)),"")</f>
        <v>1.1486856676492798</v>
      </c>
      <c r="O185" s="31">
        <f>IFERROR(+(1+Assumptions!$G$10)^(YEARFRAC(Assumptions!$G$11,O$4)),"")</f>
        <v>1.1716593810022655</v>
      </c>
      <c r="P185" s="31">
        <f>IFERROR(+(1+Assumptions!$G$10)^(YEARFRAC(Assumptions!$G$11,P$4)),"")</f>
        <v>1.1950925686223108</v>
      </c>
      <c r="Q185" s="31">
        <f>IFERROR(+(1+Assumptions!$G$10)^(YEARFRAC(Assumptions!$G$11,Q$4)),"")</f>
        <v>1.2189944199947571</v>
      </c>
      <c r="R185" s="31">
        <f>IFERROR(+(1+Assumptions!$G$10)^(YEARFRAC(Assumptions!$G$11,R$4)),"")</f>
        <v>1.243374308394652</v>
      </c>
      <c r="S185" s="31">
        <f>IFERROR(+(1+Assumptions!$G$10)^(YEARFRAC(Assumptions!$G$11,S$4)),"")</f>
        <v>1.2682417945625453</v>
      </c>
      <c r="T185" s="31">
        <f>IFERROR(+(1+Assumptions!$G$10)^(YEARFRAC(Assumptions!$G$11,T$4)),"")</f>
        <v>1.2936066304537961</v>
      </c>
      <c r="U185" s="31">
        <f>IFERROR(+(1+Assumptions!$G$10)^(YEARFRAC(Assumptions!$G$11,U$4)),"")</f>
        <v>1.3194787630628722</v>
      </c>
      <c r="V185" s="31">
        <f>IFERROR(+(1+Assumptions!$G$10)^(YEARFRAC(Assumptions!$G$11,V$4)),"")</f>
        <v>1.3458683383241292</v>
      </c>
      <c r="W185" s="31">
        <f>IFERROR(+(1+Assumptions!$G$10)^(YEARFRAC(Assumptions!$G$11,W$4)),"")</f>
        <v>1.372785705090612</v>
      </c>
      <c r="X185" s="31">
        <f>IFERROR(+(1+Assumptions!$G$10)^(YEARFRAC(Assumptions!$G$11,X$4)),"")</f>
        <v>1.4002414191924244</v>
      </c>
      <c r="Y185" s="31">
        <f>IFERROR(+(1+Assumptions!$G$10)^(YEARFRAC(Assumptions!$G$11,Y$4)),"")</f>
        <v>1.4282462475762727</v>
      </c>
      <c r="Z185" s="31">
        <f>IFERROR(+(1+Assumptions!$G$10)^(YEARFRAC(Assumptions!$G$11,Z$4)),"")</f>
        <v>1.4568111725277981</v>
      </c>
      <c r="AA185" s="31" t="str">
        <f>IFERROR(+(1+Assumptions!$G$10)^(YEARFRAC(Assumptions!$G$11,AA$4)),"")</f>
        <v/>
      </c>
      <c r="AB185" s="31" t="str">
        <f>IFERROR(+(1+Assumptions!$G$10)^(YEARFRAC(Assumptions!$G$11,AB$4)),"")</f>
        <v/>
      </c>
      <c r="AC185" s="31" t="str">
        <f>IFERROR(+(1+Assumptions!$G$10)^(YEARFRAC(Assumptions!$G$11,AC$4)),"")</f>
        <v/>
      </c>
      <c r="AD185" s="31" t="str">
        <f>IFERROR(+(1+Assumptions!$G$10)^(YEARFRAC(Assumptions!$G$11,AD$4)),"")</f>
        <v/>
      </c>
      <c r="AE185" s="31" t="str">
        <f>IFERROR(+(1+Assumptions!$G$10)^(YEARFRAC(Assumptions!$G$11,AE$4)),"")</f>
        <v/>
      </c>
      <c r="AF185" s="31" t="str">
        <f>IFERROR(+(1+Assumptions!$G$10)^(YEARFRAC(Assumptions!$G$11,AF$4)),"")</f>
        <v/>
      </c>
      <c r="AG185" s="31" t="str">
        <f>IFERROR(+(1+Assumptions!$G$10)^(YEARFRAC(Assumptions!$G$11,AG$4)),"")</f>
        <v/>
      </c>
      <c r="AH185" s="31" t="str">
        <f>IFERROR(+(1+Assumptions!$G$10)^(YEARFRAC(Assumptions!$G$11,AH$4)),"")</f>
        <v/>
      </c>
      <c r="AI185" s="31" t="str">
        <f>IFERROR(+(1+Assumptions!$G$10)^(YEARFRAC(Assumptions!$G$11,AI$4)),"")</f>
        <v/>
      </c>
      <c r="AJ185" s="31" t="str">
        <f>IFERROR(+(1+Assumptions!$G$10)^(YEARFRAC(Assumptions!$G$11,AJ$4)),"")</f>
        <v/>
      </c>
      <c r="AK185" s="31" t="str">
        <f>IFERROR(+(1+Assumptions!$G$10)^(YEARFRAC(Assumptions!$G$11,AK$4)),"")</f>
        <v/>
      </c>
      <c r="AL185" s="31" t="str">
        <f>IFERROR(+(1+Assumptions!$G$10)^(YEARFRAC(Assumptions!$G$11,AL$4)),"")</f>
        <v/>
      </c>
      <c r="AM185" s="31" t="str">
        <f>IFERROR(+(1+Assumptions!$G$10)^(YEARFRAC(Assumptions!$G$11,AM$4)),"")</f>
        <v/>
      </c>
      <c r="AN185" s="31" t="str">
        <f>IFERROR(+(1+Assumptions!$G$10)^(YEARFRAC(Assumptions!$G$11,AN$4)),"")</f>
        <v/>
      </c>
      <c r="AO185" s="31" t="str">
        <f>IFERROR(+(1+Assumptions!$G$10)^(YEARFRAC(Assumptions!$G$11,AO$4)),"")</f>
        <v/>
      </c>
      <c r="AP185" s="31" t="str">
        <f>IFERROR(+(1+Assumptions!$G$10)^(YEARFRAC(Assumptions!$G$11,AP$4)),"")</f>
        <v/>
      </c>
      <c r="AQ185" s="31" t="str">
        <f>IFERROR(+(1+Assumptions!$G$10)^(YEARFRAC(Assumptions!$G$11,AQ$4)),"")</f>
        <v/>
      </c>
      <c r="AR185" s="31" t="str">
        <f>IFERROR(+(1+Assumptions!$G$10)^(YEARFRAC(Assumptions!$G$11,AR$4)),"")</f>
        <v/>
      </c>
      <c r="AS185" s="31" t="str">
        <f>IFERROR(+(1+Assumptions!$G$10)^(YEARFRAC(Assumptions!$G$11,AS$4)),"")</f>
        <v/>
      </c>
      <c r="AT185" s="31" t="str">
        <f>IFERROR(+(1+Assumptions!$G$10)^(YEARFRAC(Assumptions!$G$11,AT$4)),"")</f>
        <v/>
      </c>
      <c r="AU185" s="31" t="str">
        <f>IFERROR(+(1+Assumptions!$G$10)^(YEARFRAC(Assumptions!$G$11,AU$4)),"")</f>
        <v/>
      </c>
      <c r="AV185" s="31" t="str">
        <f>IFERROR(+(1+Assumptions!$G$10)^(YEARFRAC(Assumptions!$G$11,AV$4)),"")</f>
        <v/>
      </c>
      <c r="AW185" s="31" t="str">
        <f>IFERROR(+(1+Assumptions!$G$10)^(YEARFRAC(Assumptions!$G$11,AW$4)),"")</f>
        <v/>
      </c>
      <c r="AX185" s="31" t="str">
        <f>IFERROR(+(1+Assumptions!$G$10)^(YEARFRAC(Assumptions!$G$11,AX$4)),"")</f>
        <v/>
      </c>
      <c r="AY185" s="31" t="str">
        <f>IFERROR(+(1+Assumptions!$G$10)^(YEARFRAC(Assumptions!$G$11,AY$4)),"")</f>
        <v/>
      </c>
      <c r="AZ185" s="31" t="str">
        <f>IFERROR(+(1+Assumptions!$G$10)^(YEARFRAC(Assumptions!$G$11,AZ$4)),"")</f>
        <v/>
      </c>
      <c r="BA185" s="31" t="str">
        <f>IFERROR(+(1+Assumptions!$G$10)^(YEARFRAC(Assumptions!$G$11,BA$4)),"")</f>
        <v/>
      </c>
      <c r="BB185" s="31" t="str">
        <f>IFERROR(+(1+Assumptions!$G$10)^(YEARFRAC(Assumptions!$G$11,BB$4)),"")</f>
        <v/>
      </c>
      <c r="BC185" s="31" t="str">
        <f>IFERROR(+(1+Assumptions!$G$10)^(YEARFRAC(Assumptions!$G$11,BC$4)),"")</f>
        <v/>
      </c>
      <c r="BD185" s="31" t="str">
        <f>IFERROR(+(1+Assumptions!$G$10)^(YEARFRAC(Assumptions!$G$11,BD$4)),"")</f>
        <v/>
      </c>
      <c r="BE185" s="31" t="str">
        <f>IFERROR(+(1+Assumptions!$G$10)^(YEARFRAC(Assumptions!$G$11,BE$4)),"")</f>
        <v/>
      </c>
      <c r="BF185" s="31" t="str">
        <f>IFERROR(+(1+Assumptions!$G$10)^(YEARFRAC(Assumptions!$G$11,BF$4)),"")</f>
        <v/>
      </c>
      <c r="BG185" s="31" t="str">
        <f>IFERROR(+(1+Assumptions!$G$10)^(YEARFRAC(Assumptions!$G$11,BG$4)),"")</f>
        <v/>
      </c>
      <c r="BH185" s="31" t="str">
        <f>IFERROR(+(1+Assumptions!$G$10)^(YEARFRAC(Assumptions!$G$11,BH$4)),"")</f>
        <v/>
      </c>
      <c r="BI185" s="31" t="str">
        <f>IFERROR(+(1+Assumptions!$G$10)^(YEARFRAC(Assumptions!$G$11,BI$4)),"")</f>
        <v/>
      </c>
      <c r="BJ185" s="31" t="str">
        <f>IFERROR(+(1+Assumptions!$G$10)^(YEARFRAC(Assumptions!$G$11,BJ$4)),"")</f>
        <v/>
      </c>
      <c r="BK185" s="31" t="str">
        <f>IFERROR(+(1+Assumptions!$G$10)^(YEARFRAC(Assumptions!$G$11,BK$4)),"")</f>
        <v/>
      </c>
      <c r="BL185" s="31" t="str">
        <f>IFERROR(+(1+Assumptions!$G$10)^(YEARFRAC(Assumptions!$G$11,BL$4)),"")</f>
        <v/>
      </c>
      <c r="BM185" s="31" t="str">
        <f>IFERROR(+(1+Assumptions!$G$10)^(YEARFRAC(Assumptions!$G$11,BM$4)),"")</f>
        <v/>
      </c>
      <c r="BN185" s="31" t="str">
        <f>IFERROR(+(1+Assumptions!$G$10)^(YEARFRAC(Assumptions!$G$11,BN$4)),"")</f>
        <v/>
      </c>
      <c r="BO185" s="31" t="str">
        <f>IFERROR(+(1+Assumptions!$G$10)^(YEARFRAC(Assumptions!$G$11,BO$4)),"")</f>
        <v/>
      </c>
      <c r="BP185" s="31" t="str">
        <f>IFERROR(+(1+Assumptions!$G$10)^(YEARFRAC(Assumptions!$G$11,BP$4)),"")</f>
        <v/>
      </c>
      <c r="BQ185" s="31" t="str">
        <f>IFERROR(+(1+Assumptions!$G$10)^(YEARFRAC(Assumptions!$G$11,BQ$4)),"")</f>
        <v/>
      </c>
      <c r="BR185" s="31" t="str">
        <f>IFERROR(+(1+Assumptions!$G$10)^(YEARFRAC(Assumptions!$G$11,BR$4)),"")</f>
        <v/>
      </c>
      <c r="BS185" s="31" t="str">
        <f>IFERROR(+(1+Assumptions!$G$10)^(YEARFRAC(Assumptions!$G$11,BS$4)),"")</f>
        <v/>
      </c>
      <c r="BT185" s="31" t="str">
        <f>IFERROR(+(1+Assumptions!$G$10)^(YEARFRAC(Assumptions!$G$11,BT$4)),"")</f>
        <v/>
      </c>
      <c r="BU185" s="31" t="str">
        <f>IFERROR(+(1+Assumptions!$G$10)^(YEARFRAC(Assumptions!$G$11,BU$4)),"")</f>
        <v/>
      </c>
      <c r="BV185" s="31" t="str">
        <f>IFERROR(+(1+Assumptions!$G$10)^(YEARFRAC(Assumptions!$G$11,BV$4)),"")</f>
        <v/>
      </c>
      <c r="BW185" s="31" t="str">
        <f>IFERROR(+(1+Assumptions!$G$10)^(YEARFRAC(Assumptions!$G$11,BW$4)),"")</f>
        <v/>
      </c>
      <c r="BX185" s="31" t="str">
        <f>IFERROR(+(1+Assumptions!$G$10)^(YEARFRAC(Assumptions!$G$11,BX$4)),"")</f>
        <v/>
      </c>
      <c r="BY185" s="31" t="str">
        <f>IFERROR(+(1+Assumptions!$G$10)^(YEARFRAC(Assumptions!$G$11,BY$4)),"")</f>
        <v/>
      </c>
    </row>
    <row r="186" spans="1:77" outlineLevel="1">
      <c r="H186" s="41"/>
      <c r="I186" s="41"/>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row>
    <row r="187" spans="1:77" ht="15" outlineLevel="1">
      <c r="E187" s="22" t="s">
        <v>365</v>
      </c>
      <c r="H187" s="41"/>
      <c r="I187" s="41"/>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row>
    <row r="188" spans="1:77" ht="15" outlineLevel="1">
      <c r="C188" s="22"/>
      <c r="E188" t="s">
        <v>195</v>
      </c>
      <c r="F188" s="23" t="s">
        <v>488</v>
      </c>
      <c r="H188">
        <f>+IF(AND(Assumptions!$G$122&gt;=H$3,Assumptions!$G$122&lt;H$4),1,0)</f>
        <v>1</v>
      </c>
      <c r="I188">
        <f>+IF(AND(Assumptions!$G$122&gt;=I$3,Assumptions!$G$122&lt;I$4),1,0)</f>
        <v>0</v>
      </c>
      <c r="J188">
        <f>+IF(AND(Assumptions!$G$122&gt;=J$3,Assumptions!$G$122&lt;J$4),1,0)</f>
        <v>0</v>
      </c>
      <c r="K188">
        <f>+IF(AND(Assumptions!$G$122&gt;=K$3,Assumptions!$G$122&lt;K$4),1,0)</f>
        <v>0</v>
      </c>
      <c r="L188">
        <f>+IF(AND(Assumptions!$G$122&gt;=L$3,Assumptions!$G$122&lt;L$4),1,0)</f>
        <v>0</v>
      </c>
      <c r="M188">
        <f>+IF(AND(Assumptions!$G$122&gt;=M$3,Assumptions!$G$122&lt;M$4),1,0)</f>
        <v>0</v>
      </c>
      <c r="N188">
        <f>+IF(AND(Assumptions!$G$122&gt;=N$3,Assumptions!$G$122&lt;N$4),1,0)</f>
        <v>0</v>
      </c>
      <c r="O188">
        <f>+IF(AND(Assumptions!$G$122&gt;=O$3,Assumptions!$G$122&lt;O$4),1,0)</f>
        <v>0</v>
      </c>
      <c r="P188">
        <f>+IF(AND(Assumptions!$G$122&gt;=P$3,Assumptions!$G$122&lt;P$4),1,0)</f>
        <v>0</v>
      </c>
      <c r="Q188">
        <f>+IF(AND(Assumptions!$G$122&gt;=Q$3,Assumptions!$G$122&lt;Q$4),1,0)</f>
        <v>0</v>
      </c>
      <c r="R188">
        <f>+IF(AND(Assumptions!$G$122&gt;=R$3,Assumptions!$G$122&lt;R$4),1,0)</f>
        <v>0</v>
      </c>
      <c r="S188">
        <f>+IF(AND(Assumptions!$G$122&gt;=S$3,Assumptions!$G$122&lt;S$4),1,0)</f>
        <v>0</v>
      </c>
      <c r="T188">
        <f>+IF(AND(Assumptions!$G$122&gt;=T$3,Assumptions!$G$122&lt;T$4),1,0)</f>
        <v>0</v>
      </c>
      <c r="U188">
        <f>+IF(AND(Assumptions!$G$122&gt;=U$3,Assumptions!$G$122&lt;U$4),1,0)</f>
        <v>0</v>
      </c>
      <c r="V188">
        <f>+IF(AND(Assumptions!$G$122&gt;=V$3,Assumptions!$G$122&lt;V$4),1,0)</f>
        <v>0</v>
      </c>
      <c r="W188">
        <f>+IF(AND(Assumptions!$G$122&gt;=W$3,Assumptions!$G$122&lt;W$4),1,0)</f>
        <v>0</v>
      </c>
      <c r="X188">
        <f>+IF(AND(Assumptions!$G$122&gt;=X$3,Assumptions!$G$122&lt;X$4),1,0)</f>
        <v>0</v>
      </c>
      <c r="Y188">
        <f>+IF(AND(Assumptions!$G$122&gt;=Y$3,Assumptions!$G$122&lt;Y$4),1,0)</f>
        <v>0</v>
      </c>
      <c r="Z188">
        <f>+IF(AND(Assumptions!$G$122&gt;=Z$3,Assumptions!$G$122&lt;Z$4),1,0)</f>
        <v>0</v>
      </c>
      <c r="AA188">
        <f>+IF(AND(Assumptions!$G$122&gt;=AA$3,Assumptions!$G$122&lt;AA$4),1,0)</f>
        <v>0</v>
      </c>
      <c r="AB188">
        <f>+IF(AND(Assumptions!$G$122&gt;=AB$3,Assumptions!$G$122&lt;AB$4),1,0)</f>
        <v>0</v>
      </c>
      <c r="AC188">
        <f>+IF(AND(Assumptions!$G$122&gt;=AC$3,Assumptions!$G$122&lt;AC$4),1,0)</f>
        <v>0</v>
      </c>
      <c r="AD188">
        <f>+IF(AND(Assumptions!$G$122&gt;=AD$3,Assumptions!$G$122&lt;AD$4),1,0)</f>
        <v>0</v>
      </c>
      <c r="AE188">
        <f>+IF(AND(Assumptions!$G$122&gt;=AE$3,Assumptions!$G$122&lt;AE$4),1,0)</f>
        <v>0</v>
      </c>
      <c r="AF188">
        <f>+IF(AND(Assumptions!$G$122&gt;=AF$3,Assumptions!$G$122&lt;AF$4),1,0)</f>
        <v>0</v>
      </c>
      <c r="AG188">
        <f>+IF(AND(Assumptions!$G$122&gt;=AG$3,Assumptions!$G$122&lt;AG$4),1,0)</f>
        <v>0</v>
      </c>
      <c r="AH188">
        <f>+IF(AND(Assumptions!$G$122&gt;=AH$3,Assumptions!$G$122&lt;AH$4),1,0)</f>
        <v>0</v>
      </c>
      <c r="AI188">
        <f>+IF(AND(Assumptions!$G$122&gt;=AI$3,Assumptions!$G$122&lt;AI$4),1,0)</f>
        <v>0</v>
      </c>
      <c r="AJ188">
        <f>+IF(AND(Assumptions!$G$122&gt;=AJ$3,Assumptions!$G$122&lt;AJ$4),1,0)</f>
        <v>0</v>
      </c>
      <c r="AK188">
        <f>+IF(AND(Assumptions!$G$122&gt;=AK$3,Assumptions!$G$122&lt;AK$4),1,0)</f>
        <v>0</v>
      </c>
      <c r="AL188">
        <f>+IF(AND(Assumptions!$G$122&gt;=AL$3,Assumptions!$G$122&lt;AL$4),1,0)</f>
        <v>0</v>
      </c>
      <c r="AM188">
        <f>+IF(AND(Assumptions!$G$122&gt;=AM$3,Assumptions!$G$122&lt;AM$4),1,0)</f>
        <v>0</v>
      </c>
      <c r="AN188">
        <f>+IF(AND(Assumptions!$G$122&gt;=AN$3,Assumptions!$G$122&lt;AN$4),1,0)</f>
        <v>0</v>
      </c>
      <c r="AO188">
        <f>+IF(AND(Assumptions!$G$122&gt;=AO$3,Assumptions!$G$122&lt;AO$4),1,0)</f>
        <v>0</v>
      </c>
      <c r="AP188">
        <f>+IF(AND(Assumptions!$G$122&gt;=AP$3,Assumptions!$G$122&lt;AP$4),1,0)</f>
        <v>0</v>
      </c>
      <c r="AQ188">
        <f>+IF(AND(Assumptions!$G$122&gt;=AQ$3,Assumptions!$G$122&lt;AQ$4),1,0)</f>
        <v>0</v>
      </c>
      <c r="AR188">
        <f>+IF(AND(Assumptions!$G$122&gt;=AR$3,Assumptions!$G$122&lt;AR$4),1,0)</f>
        <v>0</v>
      </c>
      <c r="AS188">
        <f>+IF(AND(Assumptions!$G$122&gt;=AS$3,Assumptions!$G$122&lt;AS$4),1,0)</f>
        <v>0</v>
      </c>
      <c r="AT188">
        <f>+IF(AND(Assumptions!$G$122&gt;=AT$3,Assumptions!$G$122&lt;AT$4),1,0)</f>
        <v>0</v>
      </c>
      <c r="AU188">
        <f>+IF(AND(Assumptions!$G$122&gt;=AU$3,Assumptions!$G$122&lt;AU$4),1,0)</f>
        <v>0</v>
      </c>
      <c r="AV188">
        <f>+IF(AND(Assumptions!$G$122&gt;=AV$3,Assumptions!$G$122&lt;AV$4),1,0)</f>
        <v>0</v>
      </c>
      <c r="AW188">
        <f>+IF(AND(Assumptions!$G$122&gt;=AW$3,Assumptions!$G$122&lt;AW$4),1,0)</f>
        <v>0</v>
      </c>
      <c r="AX188">
        <f>+IF(AND(Assumptions!$G$122&gt;=AX$3,Assumptions!$G$122&lt;AX$4),1,0)</f>
        <v>0</v>
      </c>
      <c r="AY188">
        <f>+IF(AND(Assumptions!$G$122&gt;=AY$3,Assumptions!$G$122&lt;AY$4),1,0)</f>
        <v>0</v>
      </c>
      <c r="AZ188">
        <f>+IF(AND(Assumptions!$G$122&gt;=AZ$3,Assumptions!$G$122&lt;AZ$4),1,0)</f>
        <v>0</v>
      </c>
      <c r="BA188">
        <f>+IF(AND(Assumptions!$G$122&gt;=BA$3,Assumptions!$G$122&lt;BA$4),1,0)</f>
        <v>0</v>
      </c>
      <c r="BB188">
        <f>+IF(AND(Assumptions!$G$122&gt;=BB$3,Assumptions!$G$122&lt;BB$4),1,0)</f>
        <v>0</v>
      </c>
      <c r="BC188">
        <f>+IF(AND(Assumptions!$G$122&gt;=BC$3,Assumptions!$G$122&lt;BC$4),1,0)</f>
        <v>0</v>
      </c>
      <c r="BD188">
        <f>+IF(AND(Assumptions!$G$122&gt;=BD$3,Assumptions!$G$122&lt;BD$4),1,0)</f>
        <v>0</v>
      </c>
      <c r="BE188">
        <f>+IF(AND(Assumptions!$G$122&gt;=BE$3,Assumptions!$G$122&lt;BE$4),1,0)</f>
        <v>0</v>
      </c>
      <c r="BF188">
        <f>+IF(AND(Assumptions!$G$122&gt;=BF$3,Assumptions!$G$122&lt;BF$4),1,0)</f>
        <v>0</v>
      </c>
      <c r="BG188">
        <f>+IF(AND(Assumptions!$G$122&gt;=BG$3,Assumptions!$G$122&lt;BG$4),1,0)</f>
        <v>0</v>
      </c>
      <c r="BH188">
        <f>+IF(AND(Assumptions!$G$122&gt;=BH$3,Assumptions!$G$122&lt;BH$4),1,0)</f>
        <v>0</v>
      </c>
      <c r="BI188">
        <f>+IF(AND(Assumptions!$G$122&gt;=BI$3,Assumptions!$G$122&lt;BI$4),1,0)</f>
        <v>0</v>
      </c>
      <c r="BJ188">
        <f>+IF(AND(Assumptions!$G$122&gt;=BJ$3,Assumptions!$G$122&lt;BJ$4),1,0)</f>
        <v>0</v>
      </c>
      <c r="BK188">
        <f>+IF(AND(Assumptions!$G$122&gt;=BK$3,Assumptions!$G$122&lt;BK$4),1,0)</f>
        <v>0</v>
      </c>
      <c r="BL188">
        <f>+IF(AND(Assumptions!$G$122&gt;=BL$3,Assumptions!$G$122&lt;BL$4),1,0)</f>
        <v>0</v>
      </c>
      <c r="BM188">
        <f>+IF(AND(Assumptions!$G$122&gt;=BM$3,Assumptions!$G$122&lt;BM$4),1,0)</f>
        <v>0</v>
      </c>
      <c r="BN188">
        <f>+IF(AND(Assumptions!$G$122&gt;=BN$3,Assumptions!$G$122&lt;BN$4),1,0)</f>
        <v>0</v>
      </c>
      <c r="BO188">
        <f>+IF(AND(Assumptions!$G$122&gt;=BO$3,Assumptions!$G$122&lt;BO$4),1,0)</f>
        <v>0</v>
      </c>
      <c r="BP188">
        <f>+IF(AND(Assumptions!$G$122&gt;=BP$3,Assumptions!$G$122&lt;BP$4),1,0)</f>
        <v>0</v>
      </c>
      <c r="BQ188">
        <f>+IF(AND(Assumptions!$G$122&gt;=BQ$3,Assumptions!$G$122&lt;BQ$4),1,0)</f>
        <v>0</v>
      </c>
      <c r="BR188">
        <f>+IF(AND(Assumptions!$G$122&gt;=BR$3,Assumptions!$G$122&lt;BR$4),1,0)</f>
        <v>0</v>
      </c>
      <c r="BS188">
        <f>+IF(AND(Assumptions!$G$122&gt;=BS$3,Assumptions!$G$122&lt;BS$4),1,0)</f>
        <v>0</v>
      </c>
      <c r="BT188">
        <f>+IF(AND(Assumptions!$G$122&gt;=BT$3,Assumptions!$G$122&lt;BT$4),1,0)</f>
        <v>0</v>
      </c>
      <c r="BU188">
        <f>+IF(AND(Assumptions!$G$122&gt;=BU$3,Assumptions!$G$122&lt;BU$4),1,0)</f>
        <v>0</v>
      </c>
      <c r="BV188">
        <f>+IF(AND(Assumptions!$G$122&gt;=BV$3,Assumptions!$G$122&lt;BV$4),1,0)</f>
        <v>0</v>
      </c>
      <c r="BW188">
        <f>+IF(AND(Assumptions!$G$122&gt;=BW$3,Assumptions!$G$122&lt;BW$4),1,0)</f>
        <v>0</v>
      </c>
      <c r="BX188">
        <f>+IF(AND(Assumptions!$G$122&gt;=BX$3,Assumptions!$G$122&lt;BX$4),1,0)</f>
        <v>0</v>
      </c>
      <c r="BY188">
        <f>+IF(AND(Assumptions!$G$122&gt;=BY$3,Assumptions!$G$122&lt;BY$4),1,0)</f>
        <v>0</v>
      </c>
    </row>
    <row r="189" spans="1:77" outlineLevel="1">
      <c r="E189" t="s">
        <v>197</v>
      </c>
      <c r="F189" s="23" t="s">
        <v>488</v>
      </c>
      <c r="H189" s="67">
        <f>+IF(AND(H$3&gt;=Assumptions!$G$122,H$3&lt;Assumptions!$G$124),1,0)</f>
        <v>1</v>
      </c>
      <c r="I189" s="67">
        <f>+IF(AND(I$3&gt;=Assumptions!$G$122,I$3&lt;Assumptions!$G$124),1,0)</f>
        <v>0</v>
      </c>
      <c r="J189" s="67">
        <f>+IF(AND(J$3&gt;=Assumptions!$G$122,J$3&lt;Assumptions!$G$124),1,0)</f>
        <v>0</v>
      </c>
      <c r="K189" s="67">
        <f>+IF(AND(K$3&gt;=Assumptions!$G$122,K$3&lt;Assumptions!$G$124),1,0)</f>
        <v>0</v>
      </c>
      <c r="L189" s="67">
        <f>+IF(AND(L$3&gt;=Assumptions!$G$122,L$3&lt;Assumptions!$G$124),1,0)</f>
        <v>0</v>
      </c>
      <c r="M189" s="67">
        <f>+IF(AND(M$3&gt;=Assumptions!$G$122,M$3&lt;Assumptions!$G$124),1,0)</f>
        <v>0</v>
      </c>
      <c r="N189" s="67">
        <f>+IF(AND(N$3&gt;=Assumptions!$G$122,N$3&lt;Assumptions!$G$124),1,0)</f>
        <v>0</v>
      </c>
      <c r="O189" s="67">
        <f>+IF(AND(O$3&gt;=Assumptions!$G$122,O$3&lt;Assumptions!$G$124),1,0)</f>
        <v>0</v>
      </c>
      <c r="P189" s="67">
        <f>+IF(AND(P$3&gt;=Assumptions!$G$122,P$3&lt;Assumptions!$G$124),1,0)</f>
        <v>0</v>
      </c>
      <c r="Q189" s="67">
        <f>+IF(AND(Q$3&gt;=Assumptions!$G$122,Q$3&lt;Assumptions!$G$124),1,0)</f>
        <v>0</v>
      </c>
      <c r="R189" s="67">
        <f>+IF(AND(R$3&gt;=Assumptions!$G$122,R$3&lt;Assumptions!$G$124),1,0)</f>
        <v>0</v>
      </c>
      <c r="S189" s="67">
        <f>+IF(AND(S$3&gt;=Assumptions!$G$122,S$3&lt;Assumptions!$G$124),1,0)</f>
        <v>0</v>
      </c>
      <c r="T189" s="67">
        <f>+IF(AND(T$3&gt;=Assumptions!$G$122,T$3&lt;Assumptions!$G$124),1,0)</f>
        <v>0</v>
      </c>
      <c r="U189" s="67">
        <f>+IF(AND(U$3&gt;=Assumptions!$G$122,U$3&lt;Assumptions!$G$124),1,0)</f>
        <v>0</v>
      </c>
      <c r="V189" s="67">
        <f>+IF(AND(V$3&gt;=Assumptions!$G$122,V$3&lt;Assumptions!$G$124),1,0)</f>
        <v>0</v>
      </c>
      <c r="W189" s="67">
        <f>+IF(AND(W$3&gt;=Assumptions!$G$122,W$3&lt;Assumptions!$G$124),1,0)</f>
        <v>0</v>
      </c>
      <c r="X189" s="67">
        <f>+IF(AND(X$3&gt;=Assumptions!$G$122,X$3&lt;Assumptions!$G$124),1,0)</f>
        <v>0</v>
      </c>
      <c r="Y189" s="67">
        <f>+IF(AND(Y$3&gt;=Assumptions!$G$122,Y$3&lt;Assumptions!$G$124),1,0)</f>
        <v>0</v>
      </c>
      <c r="Z189" s="67">
        <f>+IF(AND(Z$3&gt;=Assumptions!$G$122,Z$3&lt;Assumptions!$G$124),1,0)</f>
        <v>0</v>
      </c>
      <c r="AA189" s="67">
        <f>+IF(AND(AA$3&gt;=Assumptions!$G$122,AA$3&lt;Assumptions!$G$124),1,0)</f>
        <v>0</v>
      </c>
      <c r="AB189" s="67">
        <f>+IF(AND(AB$3&gt;=Assumptions!$G$122,AB$3&lt;Assumptions!$G$124),1,0)</f>
        <v>0</v>
      </c>
      <c r="AC189" s="67">
        <f>+IF(AND(AC$3&gt;=Assumptions!$G$122,AC$3&lt;Assumptions!$G$124),1,0)</f>
        <v>0</v>
      </c>
      <c r="AD189" s="67">
        <f>+IF(AND(AD$3&gt;=Assumptions!$G$122,AD$3&lt;Assumptions!$G$124),1,0)</f>
        <v>0</v>
      </c>
      <c r="AE189" s="67">
        <f>+IF(AND(AE$3&gt;=Assumptions!$G$122,AE$3&lt;Assumptions!$G$124),1,0)</f>
        <v>0</v>
      </c>
      <c r="AF189" s="67">
        <f>+IF(AND(AF$3&gt;=Assumptions!$G$122,AF$3&lt;Assumptions!$G$124),1,0)</f>
        <v>0</v>
      </c>
      <c r="AG189" s="67">
        <f>+IF(AND(AG$3&gt;=Assumptions!$G$122,AG$3&lt;Assumptions!$G$124),1,0)</f>
        <v>0</v>
      </c>
      <c r="AH189" s="67">
        <f>+IF(AND(AH$3&gt;=Assumptions!$G$122,AH$3&lt;Assumptions!$G$124),1,0)</f>
        <v>0</v>
      </c>
      <c r="AI189" s="67">
        <f>+IF(AND(AI$3&gt;=Assumptions!$G$122,AI$3&lt;Assumptions!$G$124),1,0)</f>
        <v>0</v>
      </c>
      <c r="AJ189" s="67">
        <f>+IF(AND(AJ$3&gt;=Assumptions!$G$122,AJ$3&lt;Assumptions!$G$124),1,0)</f>
        <v>0</v>
      </c>
      <c r="AK189" s="67">
        <f>+IF(AND(AK$3&gt;=Assumptions!$G$122,AK$3&lt;Assumptions!$G$124),1,0)</f>
        <v>0</v>
      </c>
      <c r="AL189" s="67">
        <f>+IF(AND(AL$3&gt;=Assumptions!$G$122,AL$3&lt;Assumptions!$G$124),1,0)</f>
        <v>0</v>
      </c>
      <c r="AM189" s="67">
        <f>+IF(AND(AM$3&gt;=Assumptions!$G$122,AM$3&lt;Assumptions!$G$124),1,0)</f>
        <v>0</v>
      </c>
      <c r="AN189" s="67">
        <f>+IF(AND(AN$3&gt;=Assumptions!$G$122,AN$3&lt;Assumptions!$G$124),1,0)</f>
        <v>0</v>
      </c>
      <c r="AO189" s="67">
        <f>+IF(AND(AO$3&gt;=Assumptions!$G$122,AO$3&lt;Assumptions!$G$124),1,0)</f>
        <v>0</v>
      </c>
      <c r="AP189" s="67">
        <f>+IF(AND(AP$3&gt;=Assumptions!$G$122,AP$3&lt;Assumptions!$G$124),1,0)</f>
        <v>0</v>
      </c>
      <c r="AQ189" s="67">
        <f>+IF(AND(AQ$3&gt;=Assumptions!$G$122,AQ$3&lt;Assumptions!$G$124),1,0)</f>
        <v>0</v>
      </c>
      <c r="AR189" s="67">
        <f>+IF(AND(AR$3&gt;=Assumptions!$G$122,AR$3&lt;Assumptions!$G$124),1,0)</f>
        <v>0</v>
      </c>
      <c r="AS189" s="67">
        <f>+IF(AND(AS$3&gt;=Assumptions!$G$122,AS$3&lt;Assumptions!$G$124),1,0)</f>
        <v>0</v>
      </c>
      <c r="AT189" s="67">
        <f>+IF(AND(AT$3&gt;=Assumptions!$G$122,AT$3&lt;Assumptions!$G$124),1,0)</f>
        <v>0</v>
      </c>
      <c r="AU189" s="67">
        <f>+IF(AND(AU$3&gt;=Assumptions!$G$122,AU$3&lt;Assumptions!$G$124),1,0)</f>
        <v>0</v>
      </c>
      <c r="AV189" s="67">
        <f>+IF(AND(AV$3&gt;=Assumptions!$G$122,AV$3&lt;Assumptions!$G$124),1,0)</f>
        <v>0</v>
      </c>
      <c r="AW189" s="67">
        <f>+IF(AND(AW$3&gt;=Assumptions!$G$122,AW$3&lt;Assumptions!$G$124),1,0)</f>
        <v>0</v>
      </c>
      <c r="AX189" s="67">
        <f>+IF(AND(AX$3&gt;=Assumptions!$G$122,AX$3&lt;Assumptions!$G$124),1,0)</f>
        <v>0</v>
      </c>
      <c r="AY189" s="67">
        <f>+IF(AND(AY$3&gt;=Assumptions!$G$122,AY$3&lt;Assumptions!$G$124),1,0)</f>
        <v>0</v>
      </c>
      <c r="AZ189" s="67">
        <f>+IF(AND(AZ$3&gt;=Assumptions!$G$122,AZ$3&lt;Assumptions!$G$124),1,0)</f>
        <v>0</v>
      </c>
      <c r="BA189" s="67">
        <f>+IF(AND(BA$3&gt;=Assumptions!$G$122,BA$3&lt;Assumptions!$G$124),1,0)</f>
        <v>0</v>
      </c>
      <c r="BB189" s="67">
        <f>+IF(AND(BB$3&gt;=Assumptions!$G$122,BB$3&lt;Assumptions!$G$124),1,0)</f>
        <v>0</v>
      </c>
      <c r="BC189" s="67">
        <f>+IF(AND(BC$3&gt;=Assumptions!$G$122,BC$3&lt;Assumptions!$G$124),1,0)</f>
        <v>0</v>
      </c>
      <c r="BD189" s="67">
        <f>+IF(AND(BD$3&gt;=Assumptions!$G$122,BD$3&lt;Assumptions!$G$124),1,0)</f>
        <v>0</v>
      </c>
      <c r="BE189" s="67">
        <f>+IF(AND(BE$3&gt;=Assumptions!$G$122,BE$3&lt;Assumptions!$G$124),1,0)</f>
        <v>0</v>
      </c>
      <c r="BF189" s="67">
        <f>+IF(AND(BF$3&gt;=Assumptions!$G$122,BF$3&lt;Assumptions!$G$124),1,0)</f>
        <v>0</v>
      </c>
      <c r="BG189" s="67">
        <f>+IF(AND(BG$3&gt;=Assumptions!$G$122,BG$3&lt;Assumptions!$G$124),1,0)</f>
        <v>0</v>
      </c>
      <c r="BH189" s="67">
        <f>+IF(AND(BH$3&gt;=Assumptions!$G$122,BH$3&lt;Assumptions!$G$124),1,0)</f>
        <v>0</v>
      </c>
      <c r="BI189" s="67">
        <f>+IF(AND(BI$3&gt;=Assumptions!$G$122,BI$3&lt;Assumptions!$G$124),1,0)</f>
        <v>0</v>
      </c>
      <c r="BJ189" s="67">
        <f>+IF(AND(BJ$3&gt;=Assumptions!$G$122,BJ$3&lt;Assumptions!$G$124),1,0)</f>
        <v>0</v>
      </c>
      <c r="BK189" s="67">
        <f>+IF(AND(BK$3&gt;=Assumptions!$G$122,BK$3&lt;Assumptions!$G$124),1,0)</f>
        <v>0</v>
      </c>
      <c r="BL189" s="67">
        <f>+IF(AND(BL$3&gt;=Assumptions!$G$122,BL$3&lt;Assumptions!$G$124),1,0)</f>
        <v>0</v>
      </c>
      <c r="BM189" s="67">
        <f>+IF(AND(BM$3&gt;=Assumptions!$G$122,BM$3&lt;Assumptions!$G$124),1,0)</f>
        <v>0</v>
      </c>
      <c r="BN189" s="67">
        <f>+IF(AND(BN$3&gt;=Assumptions!$G$122,BN$3&lt;Assumptions!$G$124),1,0)</f>
        <v>0</v>
      </c>
      <c r="BO189" s="67">
        <f>+IF(AND(BO$3&gt;=Assumptions!$G$122,BO$3&lt;Assumptions!$G$124),1,0)</f>
        <v>0</v>
      </c>
      <c r="BP189" s="67">
        <f>+IF(AND(BP$3&gt;=Assumptions!$G$122,BP$3&lt;Assumptions!$G$124),1,0)</f>
        <v>0</v>
      </c>
      <c r="BQ189" s="67">
        <f>+IF(AND(BQ$3&gt;=Assumptions!$G$122,BQ$3&lt;Assumptions!$G$124),1,0)</f>
        <v>0</v>
      </c>
      <c r="BR189" s="67">
        <f>+IF(AND(BR$3&gt;=Assumptions!$G$122,BR$3&lt;Assumptions!$G$124),1,0)</f>
        <v>0</v>
      </c>
      <c r="BS189" s="67">
        <f>+IF(AND(BS$3&gt;=Assumptions!$G$122,BS$3&lt;Assumptions!$G$124),1,0)</f>
        <v>0</v>
      </c>
      <c r="BT189" s="67">
        <f>+IF(AND(BT$3&gt;=Assumptions!$G$122,BT$3&lt;Assumptions!$G$124),1,0)</f>
        <v>0</v>
      </c>
      <c r="BU189" s="67">
        <f>+IF(AND(BU$3&gt;=Assumptions!$G$122,BU$3&lt;Assumptions!$G$124),1,0)</f>
        <v>0</v>
      </c>
      <c r="BV189" s="67">
        <f>+IF(AND(BV$3&gt;=Assumptions!$G$122,BV$3&lt;Assumptions!$G$124),1,0)</f>
        <v>0</v>
      </c>
      <c r="BW189" s="67">
        <f>+IF(AND(BW$3&gt;=Assumptions!$G$122,BW$3&lt;Assumptions!$G$124),1,0)</f>
        <v>0</v>
      </c>
      <c r="BX189" s="67">
        <f>+IF(AND(BX$3&gt;=Assumptions!$G$122,BX$3&lt;Assumptions!$G$124),1,0)</f>
        <v>0</v>
      </c>
      <c r="BY189" s="67">
        <f>+IF(AND(BY$3&gt;=Assumptions!$G$122,BY$3&lt;Assumptions!$G$124),1,0)</f>
        <v>0</v>
      </c>
    </row>
    <row r="190" spans="1:77" outlineLevel="1">
      <c r="E190" t="s">
        <v>200</v>
      </c>
      <c r="F190" s="23" t="s">
        <v>488</v>
      </c>
      <c r="H190" s="67">
        <f>+IF(AND(H$3&gt;=Assumptions!$G$124,H$3&lt;Assumptions!$G$126),1,0)</f>
        <v>0</v>
      </c>
      <c r="I190" s="67">
        <f>+IF(AND(I$3&gt;=Assumptions!$G$124,I$3&lt;Assumptions!$G$126),1,0)</f>
        <v>1</v>
      </c>
      <c r="J190" s="67">
        <f>+IF(AND(J$3&gt;=Assumptions!$G$124,J$3&lt;Assumptions!$G$126),1,0)</f>
        <v>1</v>
      </c>
      <c r="K190" s="67">
        <f>+IF(AND(K$3&gt;=Assumptions!$G$124,K$3&lt;Assumptions!$G$126),1,0)</f>
        <v>0</v>
      </c>
      <c r="L190" s="67">
        <f>+IF(AND(L$3&gt;=Assumptions!$G$124,L$3&lt;Assumptions!$G$126),1,0)</f>
        <v>0</v>
      </c>
      <c r="M190" s="67">
        <f>+IF(AND(M$3&gt;=Assumptions!$G$124,M$3&lt;Assumptions!$G$126),1,0)</f>
        <v>0</v>
      </c>
      <c r="N190" s="67">
        <f>+IF(AND(N$3&gt;=Assumptions!$G$124,N$3&lt;Assumptions!$G$126),1,0)</f>
        <v>0</v>
      </c>
      <c r="O190" s="67">
        <f>+IF(AND(O$3&gt;=Assumptions!$G$124,O$3&lt;Assumptions!$G$126),1,0)</f>
        <v>0</v>
      </c>
      <c r="P190" s="67">
        <f>+IF(AND(P$3&gt;=Assumptions!$G$124,P$3&lt;Assumptions!$G$126),1,0)</f>
        <v>0</v>
      </c>
      <c r="Q190" s="67">
        <f>+IF(AND(Q$3&gt;=Assumptions!$G$124,Q$3&lt;Assumptions!$G$126),1,0)</f>
        <v>0</v>
      </c>
      <c r="R190" s="67">
        <f>+IF(AND(R$3&gt;=Assumptions!$G$124,R$3&lt;Assumptions!$G$126),1,0)</f>
        <v>0</v>
      </c>
      <c r="S190" s="67">
        <f>+IF(AND(S$3&gt;=Assumptions!$G$124,S$3&lt;Assumptions!$G$126),1,0)</f>
        <v>0</v>
      </c>
      <c r="T190" s="67">
        <f>+IF(AND(T$3&gt;=Assumptions!$G$124,T$3&lt;Assumptions!$G$126),1,0)</f>
        <v>0</v>
      </c>
      <c r="U190" s="67">
        <f>+IF(AND(U$3&gt;=Assumptions!$G$124,U$3&lt;Assumptions!$G$126),1,0)</f>
        <v>0</v>
      </c>
      <c r="V190" s="67">
        <f>+IF(AND(V$3&gt;=Assumptions!$G$124,V$3&lt;Assumptions!$G$126),1,0)</f>
        <v>0</v>
      </c>
      <c r="W190" s="67">
        <f>+IF(AND(W$3&gt;=Assumptions!$G$124,W$3&lt;Assumptions!$G$126),1,0)</f>
        <v>0</v>
      </c>
      <c r="X190" s="67">
        <f>+IF(AND(X$3&gt;=Assumptions!$G$124,X$3&lt;Assumptions!$G$126),1,0)</f>
        <v>0</v>
      </c>
      <c r="Y190" s="67">
        <f>+IF(AND(Y$3&gt;=Assumptions!$G$124,Y$3&lt;Assumptions!$G$126),1,0)</f>
        <v>0</v>
      </c>
      <c r="Z190" s="67">
        <f>+IF(AND(Z$3&gt;=Assumptions!$G$124,Z$3&lt;Assumptions!$G$126),1,0)</f>
        <v>0</v>
      </c>
      <c r="AA190" s="67">
        <f>+IF(AND(AA$3&gt;=Assumptions!$G$124,AA$3&lt;Assumptions!$G$126),1,0)</f>
        <v>0</v>
      </c>
      <c r="AB190" s="67">
        <f>+IF(AND(AB$3&gt;=Assumptions!$G$124,AB$3&lt;Assumptions!$G$126),1,0)</f>
        <v>0</v>
      </c>
      <c r="AC190" s="67">
        <f>+IF(AND(AC$3&gt;=Assumptions!$G$124,AC$3&lt;Assumptions!$G$126),1,0)</f>
        <v>0</v>
      </c>
      <c r="AD190" s="67">
        <f>+IF(AND(AD$3&gt;=Assumptions!$G$124,AD$3&lt;Assumptions!$G$126),1,0)</f>
        <v>0</v>
      </c>
      <c r="AE190" s="67">
        <f>+IF(AND(AE$3&gt;=Assumptions!$G$124,AE$3&lt;Assumptions!$G$126),1,0)</f>
        <v>0</v>
      </c>
      <c r="AF190" s="67">
        <f>+IF(AND(AF$3&gt;=Assumptions!$G$124,AF$3&lt;Assumptions!$G$126),1,0)</f>
        <v>0</v>
      </c>
      <c r="AG190" s="67">
        <f>+IF(AND(AG$3&gt;=Assumptions!$G$124,AG$3&lt;Assumptions!$G$126),1,0)</f>
        <v>0</v>
      </c>
      <c r="AH190" s="67">
        <f>+IF(AND(AH$3&gt;=Assumptions!$G$124,AH$3&lt;Assumptions!$G$126),1,0)</f>
        <v>0</v>
      </c>
      <c r="AI190" s="67">
        <f>+IF(AND(AI$3&gt;=Assumptions!$G$124,AI$3&lt;Assumptions!$G$126),1,0)</f>
        <v>0</v>
      </c>
      <c r="AJ190" s="67">
        <f>+IF(AND(AJ$3&gt;=Assumptions!$G$124,AJ$3&lt;Assumptions!$G$126),1,0)</f>
        <v>0</v>
      </c>
      <c r="AK190" s="67">
        <f>+IF(AND(AK$3&gt;=Assumptions!$G$124,AK$3&lt;Assumptions!$G$126),1,0)</f>
        <v>0</v>
      </c>
      <c r="AL190" s="67">
        <f>+IF(AND(AL$3&gt;=Assumptions!$G$124,AL$3&lt;Assumptions!$G$126),1,0)</f>
        <v>0</v>
      </c>
      <c r="AM190" s="67">
        <f>+IF(AND(AM$3&gt;=Assumptions!$G$124,AM$3&lt;Assumptions!$G$126),1,0)</f>
        <v>0</v>
      </c>
      <c r="AN190" s="67">
        <f>+IF(AND(AN$3&gt;=Assumptions!$G$124,AN$3&lt;Assumptions!$G$126),1,0)</f>
        <v>0</v>
      </c>
      <c r="AO190" s="67">
        <f>+IF(AND(AO$3&gt;=Assumptions!$G$124,AO$3&lt;Assumptions!$G$126),1,0)</f>
        <v>0</v>
      </c>
      <c r="AP190" s="67">
        <f>+IF(AND(AP$3&gt;=Assumptions!$G$124,AP$3&lt;Assumptions!$G$126),1,0)</f>
        <v>0</v>
      </c>
      <c r="AQ190" s="67">
        <f>+IF(AND(AQ$3&gt;=Assumptions!$G$124,AQ$3&lt;Assumptions!$G$126),1,0)</f>
        <v>0</v>
      </c>
      <c r="AR190" s="67">
        <f>+IF(AND(AR$3&gt;=Assumptions!$G$124,AR$3&lt;Assumptions!$G$126),1,0)</f>
        <v>0</v>
      </c>
      <c r="AS190" s="67">
        <f>+IF(AND(AS$3&gt;=Assumptions!$G$124,AS$3&lt;Assumptions!$G$126),1,0)</f>
        <v>0</v>
      </c>
      <c r="AT190" s="67">
        <f>+IF(AND(AT$3&gt;=Assumptions!$G$124,AT$3&lt;Assumptions!$G$126),1,0)</f>
        <v>0</v>
      </c>
      <c r="AU190" s="67">
        <f>+IF(AND(AU$3&gt;=Assumptions!$G$124,AU$3&lt;Assumptions!$G$126),1,0)</f>
        <v>0</v>
      </c>
      <c r="AV190" s="67">
        <f>+IF(AND(AV$3&gt;=Assumptions!$G$124,AV$3&lt;Assumptions!$G$126),1,0)</f>
        <v>0</v>
      </c>
      <c r="AW190" s="67">
        <f>+IF(AND(AW$3&gt;=Assumptions!$G$124,AW$3&lt;Assumptions!$G$126),1,0)</f>
        <v>0</v>
      </c>
      <c r="AX190" s="67">
        <f>+IF(AND(AX$3&gt;=Assumptions!$G$124,AX$3&lt;Assumptions!$G$126),1,0)</f>
        <v>0</v>
      </c>
      <c r="AY190" s="67">
        <f>+IF(AND(AY$3&gt;=Assumptions!$G$124,AY$3&lt;Assumptions!$G$126),1,0)</f>
        <v>0</v>
      </c>
      <c r="AZ190" s="67">
        <f>+IF(AND(AZ$3&gt;=Assumptions!$G$124,AZ$3&lt;Assumptions!$G$126),1,0)</f>
        <v>0</v>
      </c>
      <c r="BA190" s="67">
        <f>+IF(AND(BA$3&gt;=Assumptions!$G$124,BA$3&lt;Assumptions!$G$126),1,0)</f>
        <v>0</v>
      </c>
      <c r="BB190" s="67">
        <f>+IF(AND(BB$3&gt;=Assumptions!$G$124,BB$3&lt;Assumptions!$G$126),1,0)</f>
        <v>0</v>
      </c>
      <c r="BC190" s="67">
        <f>+IF(AND(BC$3&gt;=Assumptions!$G$124,BC$3&lt;Assumptions!$G$126),1,0)</f>
        <v>0</v>
      </c>
      <c r="BD190" s="67">
        <f>+IF(AND(BD$3&gt;=Assumptions!$G$124,BD$3&lt;Assumptions!$G$126),1,0)</f>
        <v>0</v>
      </c>
      <c r="BE190" s="67">
        <f>+IF(AND(BE$3&gt;=Assumptions!$G$124,BE$3&lt;Assumptions!$G$126),1,0)</f>
        <v>0</v>
      </c>
      <c r="BF190" s="67">
        <f>+IF(AND(BF$3&gt;=Assumptions!$G$124,BF$3&lt;Assumptions!$G$126),1,0)</f>
        <v>0</v>
      </c>
      <c r="BG190" s="67">
        <f>+IF(AND(BG$3&gt;=Assumptions!$G$124,BG$3&lt;Assumptions!$G$126),1,0)</f>
        <v>0</v>
      </c>
      <c r="BH190" s="67">
        <f>+IF(AND(BH$3&gt;=Assumptions!$G$124,BH$3&lt;Assumptions!$G$126),1,0)</f>
        <v>0</v>
      </c>
      <c r="BI190" s="67">
        <f>+IF(AND(BI$3&gt;=Assumptions!$G$124,BI$3&lt;Assumptions!$G$126),1,0)</f>
        <v>0</v>
      </c>
      <c r="BJ190" s="67">
        <f>+IF(AND(BJ$3&gt;=Assumptions!$G$124,BJ$3&lt;Assumptions!$G$126),1,0)</f>
        <v>0</v>
      </c>
      <c r="BK190" s="67">
        <f>+IF(AND(BK$3&gt;=Assumptions!$G$124,BK$3&lt;Assumptions!$G$126),1,0)</f>
        <v>0</v>
      </c>
      <c r="BL190" s="67">
        <f>+IF(AND(BL$3&gt;=Assumptions!$G$124,BL$3&lt;Assumptions!$G$126),1,0)</f>
        <v>0</v>
      </c>
      <c r="BM190" s="67">
        <f>+IF(AND(BM$3&gt;=Assumptions!$G$124,BM$3&lt;Assumptions!$G$126),1,0)</f>
        <v>0</v>
      </c>
      <c r="BN190" s="67">
        <f>+IF(AND(BN$3&gt;=Assumptions!$G$124,BN$3&lt;Assumptions!$G$126),1,0)</f>
        <v>0</v>
      </c>
      <c r="BO190" s="67">
        <f>+IF(AND(BO$3&gt;=Assumptions!$G$124,BO$3&lt;Assumptions!$G$126),1,0)</f>
        <v>0</v>
      </c>
      <c r="BP190" s="67">
        <f>+IF(AND(BP$3&gt;=Assumptions!$G$124,BP$3&lt;Assumptions!$G$126),1,0)</f>
        <v>0</v>
      </c>
      <c r="BQ190" s="67">
        <f>+IF(AND(BQ$3&gt;=Assumptions!$G$124,BQ$3&lt;Assumptions!$G$126),1,0)</f>
        <v>0</v>
      </c>
      <c r="BR190" s="67">
        <f>+IF(AND(BR$3&gt;=Assumptions!$G$124,BR$3&lt;Assumptions!$G$126),1,0)</f>
        <v>0</v>
      </c>
      <c r="BS190" s="67">
        <f>+IF(AND(BS$3&gt;=Assumptions!$G$124,BS$3&lt;Assumptions!$G$126),1,0)</f>
        <v>0</v>
      </c>
      <c r="BT190" s="67">
        <f>+IF(AND(BT$3&gt;=Assumptions!$G$124,BT$3&lt;Assumptions!$G$126),1,0)</f>
        <v>0</v>
      </c>
      <c r="BU190" s="67">
        <f>+IF(AND(BU$3&gt;=Assumptions!$G$124,BU$3&lt;Assumptions!$G$126),1,0)</f>
        <v>0</v>
      </c>
      <c r="BV190" s="67">
        <f>+IF(AND(BV$3&gt;=Assumptions!$G$124,BV$3&lt;Assumptions!$G$126),1,0)</f>
        <v>0</v>
      </c>
      <c r="BW190" s="67">
        <f>+IF(AND(BW$3&gt;=Assumptions!$G$124,BW$3&lt;Assumptions!$G$126),1,0)</f>
        <v>0</v>
      </c>
      <c r="BX190" s="67">
        <f>+IF(AND(BX$3&gt;=Assumptions!$G$124,BX$3&lt;Assumptions!$G$126),1,0)</f>
        <v>0</v>
      </c>
      <c r="BY190" s="67">
        <f>+IF(AND(BY$3&gt;=Assumptions!$G$124,BY$3&lt;Assumptions!$G$126),1,0)</f>
        <v>0</v>
      </c>
    </row>
    <row r="191" spans="1:77" outlineLevel="1">
      <c r="E191" t="s">
        <v>202</v>
      </c>
      <c r="F191" s="23" t="s">
        <v>488</v>
      </c>
      <c r="H191">
        <f>+IF(AND(SUM(H190:$BY190)=0,EDATE(Assumptions!$G$122,SUM(Assumptions!$G$123,Assumptions!$G$125,Assumptions!$G$128)*12)&gt;H$3),1,0)</f>
        <v>0</v>
      </c>
      <c r="I191">
        <f>+IF(AND(SUM(I190:$BY190)=0,EDATE(Assumptions!$G$122,SUM(Assumptions!$G$123,Assumptions!$G$125,Assumptions!$G$128)*12)&gt;I$3),1,0)</f>
        <v>0</v>
      </c>
      <c r="J191">
        <f>+IF(AND(SUM(J190:$BY190)=0,EDATE(Assumptions!$G$122,SUM(Assumptions!$G$123,Assumptions!$G$125,Assumptions!$G$128)*12)&gt;J$3),1,0)</f>
        <v>0</v>
      </c>
      <c r="K191">
        <f>+IF(AND(SUM(K190:$BY190)=0,EDATE(Assumptions!$G$122,SUM(Assumptions!$G$123,Assumptions!$G$125,Assumptions!$G$128)*12)&gt;K$3),1,0)</f>
        <v>1</v>
      </c>
      <c r="L191">
        <f>+IF(AND(SUM(L190:$BY190)=0,EDATE(Assumptions!$G$122,SUM(Assumptions!$G$123,Assumptions!$G$125,Assumptions!$G$128)*12)&gt;L$3),1,0)</f>
        <v>1</v>
      </c>
      <c r="M191">
        <f>+IF(AND(SUM(M190:$BY190)=0,EDATE(Assumptions!$G$122,SUM(Assumptions!$G$123,Assumptions!$G$125,Assumptions!$G$128)*12)&gt;M$3),1,0)</f>
        <v>1</v>
      </c>
      <c r="N191">
        <f>+IF(AND(SUM(N190:$BY190)=0,EDATE(Assumptions!$G$122,SUM(Assumptions!$G$123,Assumptions!$G$125,Assumptions!$G$128)*12)&gt;N$3),1,0)</f>
        <v>1</v>
      </c>
      <c r="O191">
        <f>+IF(AND(SUM(O190:$BY190)=0,EDATE(Assumptions!$G$122,SUM(Assumptions!$G$123,Assumptions!$G$125,Assumptions!$G$128)*12)&gt;O$3),1,0)</f>
        <v>1</v>
      </c>
      <c r="P191">
        <f>+IF(AND(SUM(P190:$BY190)=0,EDATE(Assumptions!$G$122,SUM(Assumptions!$G$123,Assumptions!$G$125,Assumptions!$G$128)*12)&gt;P$3),1,0)</f>
        <v>1</v>
      </c>
      <c r="Q191">
        <f>+IF(AND(SUM(Q190:$BY190)=0,EDATE(Assumptions!$G$122,SUM(Assumptions!$G$123,Assumptions!$G$125,Assumptions!$G$128)*12)&gt;Q$3),1,0)</f>
        <v>1</v>
      </c>
      <c r="R191">
        <f>+IF(AND(SUM(R190:$BY190)=0,EDATE(Assumptions!$G$122,SUM(Assumptions!$G$123,Assumptions!$G$125,Assumptions!$G$128)*12)&gt;R$3),1,0)</f>
        <v>1</v>
      </c>
      <c r="S191">
        <f>+IF(AND(SUM(S190:$BY190)=0,EDATE(Assumptions!$G$122,SUM(Assumptions!$G$123,Assumptions!$G$125,Assumptions!$G$128)*12)&gt;S$3),1,0)</f>
        <v>1</v>
      </c>
      <c r="T191">
        <f>+IF(AND(SUM(T190:$BY190)=0,EDATE(Assumptions!$G$122,SUM(Assumptions!$G$123,Assumptions!$G$125,Assumptions!$G$128)*12)&gt;T$3),1,0)</f>
        <v>1</v>
      </c>
      <c r="U191">
        <f>+IF(AND(SUM(U190:$BY190)=0,EDATE(Assumptions!$G$122,SUM(Assumptions!$G$123,Assumptions!$G$125,Assumptions!$G$128)*12)&gt;U$3),1,0)</f>
        <v>1</v>
      </c>
      <c r="V191">
        <f>+IF(AND(SUM(V190:$BY190)=0,EDATE(Assumptions!$G$122,SUM(Assumptions!$G$123,Assumptions!$G$125,Assumptions!$G$128)*12)&gt;V$3),1,0)</f>
        <v>1</v>
      </c>
      <c r="W191">
        <f>+IF(AND(SUM(W190:$BY190)=0,EDATE(Assumptions!$G$122,SUM(Assumptions!$G$123,Assumptions!$G$125,Assumptions!$G$128)*12)&gt;W$3),1,0)</f>
        <v>1</v>
      </c>
      <c r="X191">
        <f>+IF(AND(SUM(X190:$BY190)=0,EDATE(Assumptions!$G$122,SUM(Assumptions!$G$123,Assumptions!$G$125,Assumptions!$G$128)*12)&gt;X$3),1,0)</f>
        <v>1</v>
      </c>
      <c r="Y191">
        <f>+IF(AND(SUM(Y190:$BY190)=0,EDATE(Assumptions!$G$122,SUM(Assumptions!$G$123,Assumptions!$G$125,Assumptions!$G$128)*12)&gt;Y$3),1,0)</f>
        <v>1</v>
      </c>
      <c r="Z191">
        <f>+IF(AND(SUM(Z190:$BY190)=0,EDATE(Assumptions!$G$122,SUM(Assumptions!$G$123,Assumptions!$G$125,Assumptions!$G$128)*12)&gt;Z$3),1,0)</f>
        <v>0</v>
      </c>
      <c r="AA191">
        <f>+IF(AND(SUM(AA190:$BY190)=0,EDATE(Assumptions!$G$122,SUM(Assumptions!$G$123,Assumptions!$G$125,Assumptions!$G$128)*12)&gt;AA$3),1,0)</f>
        <v>0</v>
      </c>
      <c r="AB191">
        <f>+IF(AND(SUM(AB190:$BY190)=0,EDATE(Assumptions!$G$122,SUM(Assumptions!$G$123,Assumptions!$G$125,Assumptions!$G$128)*12)&gt;AB$3),1,0)</f>
        <v>0</v>
      </c>
      <c r="AC191">
        <f>+IF(AND(SUM(AC190:$BY190)=0,EDATE(Assumptions!$G$122,SUM(Assumptions!$G$123,Assumptions!$G$125,Assumptions!$G$128)*12)&gt;AC$3),1,0)</f>
        <v>0</v>
      </c>
      <c r="AD191">
        <f>+IF(AND(SUM(AD190:$BY190)=0,EDATE(Assumptions!$G$122,SUM(Assumptions!$G$123,Assumptions!$G$125,Assumptions!$G$128)*12)&gt;AD$3),1,0)</f>
        <v>0</v>
      </c>
      <c r="AE191">
        <f>+IF(AND(SUM(AE190:$BY190)=0,EDATE(Assumptions!$G$122,SUM(Assumptions!$G$123,Assumptions!$G$125,Assumptions!$G$128)*12)&gt;AE$3),1,0)</f>
        <v>0</v>
      </c>
      <c r="AF191">
        <f>+IF(AND(SUM(AF190:$BY190)=0,EDATE(Assumptions!$G$122,SUM(Assumptions!$G$123,Assumptions!$G$125,Assumptions!$G$128)*12)&gt;AF$3),1,0)</f>
        <v>0</v>
      </c>
      <c r="AG191">
        <f>+IF(AND(SUM(AG190:$BY190)=0,EDATE(Assumptions!$G$122,SUM(Assumptions!$G$123,Assumptions!$G$125,Assumptions!$G$128)*12)&gt;AG$3),1,0)</f>
        <v>0</v>
      </c>
      <c r="AH191">
        <f>+IF(AND(SUM(AH190:$BY190)=0,EDATE(Assumptions!$G$122,SUM(Assumptions!$G$123,Assumptions!$G$125,Assumptions!$G$128)*12)&gt;AH$3),1,0)</f>
        <v>0</v>
      </c>
      <c r="AI191">
        <f>+IF(AND(SUM(AI190:$BY190)=0,EDATE(Assumptions!$G$122,SUM(Assumptions!$G$123,Assumptions!$G$125,Assumptions!$G$128)*12)&gt;AI$3),1,0)</f>
        <v>0</v>
      </c>
      <c r="AJ191">
        <f>+IF(AND(SUM(AJ190:$BY190)=0,EDATE(Assumptions!$G$122,SUM(Assumptions!$G$123,Assumptions!$G$125,Assumptions!$G$128)*12)&gt;AJ$3),1,0)</f>
        <v>0</v>
      </c>
      <c r="AK191">
        <f>+IF(AND(SUM(AK190:$BY190)=0,EDATE(Assumptions!$G$122,SUM(Assumptions!$G$123,Assumptions!$G$125,Assumptions!$G$128)*12)&gt;AK$3),1,0)</f>
        <v>0</v>
      </c>
      <c r="AL191">
        <f>+IF(AND(SUM(AL190:$BY190)=0,EDATE(Assumptions!$G$122,SUM(Assumptions!$G$123,Assumptions!$G$125,Assumptions!$G$128)*12)&gt;AL$3),1,0)</f>
        <v>0</v>
      </c>
      <c r="AM191">
        <f>+IF(AND(SUM(AM190:$BY190)=0,EDATE(Assumptions!$G$122,SUM(Assumptions!$G$123,Assumptions!$G$125,Assumptions!$G$128)*12)&gt;AM$3),1,0)</f>
        <v>0</v>
      </c>
      <c r="AN191">
        <f>+IF(AND(SUM(AN190:$BY190)=0,EDATE(Assumptions!$G$122,SUM(Assumptions!$G$123,Assumptions!$G$125,Assumptions!$G$128)*12)&gt;AN$3),1,0)</f>
        <v>0</v>
      </c>
      <c r="AO191">
        <f>+IF(AND(SUM(AO190:$BY190)=0,EDATE(Assumptions!$G$122,SUM(Assumptions!$G$123,Assumptions!$G$125,Assumptions!$G$128)*12)&gt;AO$3),1,0)</f>
        <v>0</v>
      </c>
      <c r="AP191">
        <f>+IF(AND(SUM(AP190:$BY190)=0,EDATE(Assumptions!$G$122,SUM(Assumptions!$G$123,Assumptions!$G$125,Assumptions!$G$128)*12)&gt;AP$3),1,0)</f>
        <v>0</v>
      </c>
      <c r="AQ191">
        <f>+IF(AND(SUM(AQ190:$BY190)=0,EDATE(Assumptions!$G$122,SUM(Assumptions!$G$123,Assumptions!$G$125,Assumptions!$G$128)*12)&gt;AQ$3),1,0)</f>
        <v>0</v>
      </c>
      <c r="AR191">
        <f>+IF(AND(SUM(AR190:$BY190)=0,EDATE(Assumptions!$G$122,SUM(Assumptions!$G$123,Assumptions!$G$125,Assumptions!$G$128)*12)&gt;AR$3),1,0)</f>
        <v>0</v>
      </c>
      <c r="AS191">
        <f>+IF(AND(SUM(AS190:$BY190)=0,EDATE(Assumptions!$G$122,SUM(Assumptions!$G$123,Assumptions!$G$125,Assumptions!$G$128)*12)&gt;AS$3),1,0)</f>
        <v>0</v>
      </c>
      <c r="AT191">
        <f>+IF(AND(SUM(AT190:$BY190)=0,EDATE(Assumptions!$G$122,SUM(Assumptions!$G$123,Assumptions!$G$125,Assumptions!$G$128)*12)&gt;AT$3),1,0)</f>
        <v>0</v>
      </c>
      <c r="AU191">
        <f>+IF(AND(SUM(AU190:$BY190)=0,EDATE(Assumptions!$G$122,SUM(Assumptions!$G$123,Assumptions!$G$125,Assumptions!$G$128)*12)&gt;AU$3),1,0)</f>
        <v>0</v>
      </c>
      <c r="AV191">
        <f>+IF(AND(SUM(AV190:$BY190)=0,EDATE(Assumptions!$G$122,SUM(Assumptions!$G$123,Assumptions!$G$125,Assumptions!$G$128)*12)&gt;AV$3),1,0)</f>
        <v>0</v>
      </c>
      <c r="AW191">
        <f>+IF(AND(SUM(AW190:$BY190)=0,EDATE(Assumptions!$G$122,SUM(Assumptions!$G$123,Assumptions!$G$125,Assumptions!$G$128)*12)&gt;AW$3),1,0)</f>
        <v>0</v>
      </c>
      <c r="AX191">
        <f>+IF(AND(SUM(AX190:$BY190)=0,EDATE(Assumptions!$G$122,SUM(Assumptions!$G$123,Assumptions!$G$125,Assumptions!$G$128)*12)&gt;AX$3),1,0)</f>
        <v>0</v>
      </c>
      <c r="AY191">
        <f>+IF(AND(SUM(AY190:$BY190)=0,EDATE(Assumptions!$G$122,SUM(Assumptions!$G$123,Assumptions!$G$125,Assumptions!$G$128)*12)&gt;AY$3),1,0)</f>
        <v>0</v>
      </c>
      <c r="AZ191">
        <f>+IF(AND(SUM(AZ190:$BY190)=0,EDATE(Assumptions!$G$122,SUM(Assumptions!$G$123,Assumptions!$G$125,Assumptions!$G$128)*12)&gt;AZ$3),1,0)</f>
        <v>0</v>
      </c>
      <c r="BA191">
        <f>+IF(AND(SUM(BA190:$BY190)=0,EDATE(Assumptions!$G$122,SUM(Assumptions!$G$123,Assumptions!$G$125,Assumptions!$G$128)*12)&gt;BA$3),1,0)</f>
        <v>0</v>
      </c>
      <c r="BB191">
        <f>+IF(AND(SUM(BB190:$BY190)=0,EDATE(Assumptions!$G$122,SUM(Assumptions!$G$123,Assumptions!$G$125,Assumptions!$G$128)*12)&gt;BB$3),1,0)</f>
        <v>0</v>
      </c>
      <c r="BC191">
        <f>+IF(AND(SUM(BC190:$BY190)=0,EDATE(Assumptions!$G$122,SUM(Assumptions!$G$123,Assumptions!$G$125,Assumptions!$G$128)*12)&gt;BC$3),1,0)</f>
        <v>0</v>
      </c>
      <c r="BD191">
        <f>+IF(AND(SUM(BD190:$BY190)=0,EDATE(Assumptions!$G$122,SUM(Assumptions!$G$123,Assumptions!$G$125,Assumptions!$G$128)*12)&gt;BD$3),1,0)</f>
        <v>0</v>
      </c>
      <c r="BE191">
        <f>+IF(AND(SUM(BE190:$BY190)=0,EDATE(Assumptions!$G$122,SUM(Assumptions!$G$123,Assumptions!$G$125,Assumptions!$G$128)*12)&gt;BE$3),1,0)</f>
        <v>0</v>
      </c>
      <c r="BF191">
        <f>+IF(AND(SUM(BF190:$BY190)=0,EDATE(Assumptions!$G$122,SUM(Assumptions!$G$123,Assumptions!$G$125,Assumptions!$G$128)*12)&gt;BF$3),1,0)</f>
        <v>0</v>
      </c>
      <c r="BG191">
        <f>+IF(AND(SUM(BG190:$BY190)=0,EDATE(Assumptions!$G$122,SUM(Assumptions!$G$123,Assumptions!$G$125,Assumptions!$G$128)*12)&gt;BG$3),1,0)</f>
        <v>0</v>
      </c>
      <c r="BH191">
        <f>+IF(AND(SUM(BH190:$BY190)=0,EDATE(Assumptions!$G$122,SUM(Assumptions!$G$123,Assumptions!$G$125,Assumptions!$G$128)*12)&gt;BH$3),1,0)</f>
        <v>0</v>
      </c>
      <c r="BI191">
        <f>+IF(AND(SUM(BI190:$BY190)=0,EDATE(Assumptions!$G$122,SUM(Assumptions!$G$123,Assumptions!$G$125,Assumptions!$G$128)*12)&gt;BI$3),1,0)</f>
        <v>0</v>
      </c>
      <c r="BJ191">
        <f>+IF(AND(SUM(BJ190:$BY190)=0,EDATE(Assumptions!$G$122,SUM(Assumptions!$G$123,Assumptions!$G$125,Assumptions!$G$128)*12)&gt;BJ$3),1,0)</f>
        <v>0</v>
      </c>
      <c r="BK191">
        <f>+IF(AND(SUM(BK190:$BY190)=0,EDATE(Assumptions!$G$122,SUM(Assumptions!$G$123,Assumptions!$G$125,Assumptions!$G$128)*12)&gt;BK$3),1,0)</f>
        <v>0</v>
      </c>
      <c r="BL191">
        <f>+IF(AND(SUM(BL190:$BY190)=0,EDATE(Assumptions!$G$122,SUM(Assumptions!$G$123,Assumptions!$G$125,Assumptions!$G$128)*12)&gt;BL$3),1,0)</f>
        <v>0</v>
      </c>
      <c r="BM191">
        <f>+IF(AND(SUM(BM190:$BY190)=0,EDATE(Assumptions!$G$122,SUM(Assumptions!$G$123,Assumptions!$G$125,Assumptions!$G$128)*12)&gt;BM$3),1,0)</f>
        <v>0</v>
      </c>
      <c r="BN191">
        <f>+IF(AND(SUM(BN190:$BY190)=0,EDATE(Assumptions!$G$122,SUM(Assumptions!$G$123,Assumptions!$G$125,Assumptions!$G$128)*12)&gt;BN$3),1,0)</f>
        <v>0</v>
      </c>
      <c r="BO191">
        <f>+IF(AND(SUM(BO190:$BY190)=0,EDATE(Assumptions!$G$122,SUM(Assumptions!$G$123,Assumptions!$G$125,Assumptions!$G$128)*12)&gt;BO$3),1,0)</f>
        <v>0</v>
      </c>
      <c r="BP191">
        <f>+IF(AND(SUM(BP190:$BY190)=0,EDATE(Assumptions!$G$122,SUM(Assumptions!$G$123,Assumptions!$G$125,Assumptions!$G$128)*12)&gt;BP$3),1,0)</f>
        <v>0</v>
      </c>
      <c r="BQ191">
        <f>+IF(AND(SUM(BQ190:$BY190)=0,EDATE(Assumptions!$G$122,SUM(Assumptions!$G$123,Assumptions!$G$125,Assumptions!$G$128)*12)&gt;BQ$3),1,0)</f>
        <v>0</v>
      </c>
      <c r="BR191">
        <f>+IF(AND(SUM(BR190:$BY190)=0,EDATE(Assumptions!$G$122,SUM(Assumptions!$G$123,Assumptions!$G$125,Assumptions!$G$128)*12)&gt;BR$3),1,0)</f>
        <v>0</v>
      </c>
      <c r="BS191">
        <f>+IF(AND(SUM(BS190:$BY190)=0,EDATE(Assumptions!$G$122,SUM(Assumptions!$G$123,Assumptions!$G$125,Assumptions!$G$128)*12)&gt;BS$3),1,0)</f>
        <v>0</v>
      </c>
      <c r="BT191">
        <f>+IF(AND(SUM(BT190:$BY190)=0,EDATE(Assumptions!$G$122,SUM(Assumptions!$G$123,Assumptions!$G$125,Assumptions!$G$128)*12)&gt;BT$3),1,0)</f>
        <v>0</v>
      </c>
      <c r="BU191">
        <f>+IF(AND(SUM(BU190:$BY190)=0,EDATE(Assumptions!$G$122,SUM(Assumptions!$G$123,Assumptions!$G$125,Assumptions!$G$128)*12)&gt;BU$3),1,0)</f>
        <v>0</v>
      </c>
      <c r="BV191">
        <f>+IF(AND(SUM(BV190:$BY190)=0,EDATE(Assumptions!$G$122,SUM(Assumptions!$G$123,Assumptions!$G$125,Assumptions!$G$128)*12)&gt;BV$3),1,0)</f>
        <v>0</v>
      </c>
      <c r="BW191">
        <f>+IF(AND(SUM(BW190:$BY190)=0,EDATE(Assumptions!$G$122,SUM(Assumptions!$G$123,Assumptions!$G$125,Assumptions!$G$128)*12)&gt;BW$3),1,0)</f>
        <v>0</v>
      </c>
      <c r="BX191">
        <f>+IF(AND(SUM(BX190:$BY190)=0,EDATE(Assumptions!$G$122,SUM(Assumptions!$G$123,Assumptions!$G$125,Assumptions!$G$128)*12)&gt;BX$3),1,0)</f>
        <v>0</v>
      </c>
      <c r="BY191">
        <f>+IF(AND(SUM(BY190:$BY190)=0,EDATE(Assumptions!$G$122,SUM(Assumptions!$G$123,Assumptions!$G$125,Assumptions!$G$128)*12)&gt;BY$3),1,0)</f>
        <v>0</v>
      </c>
    </row>
    <row r="192" spans="1:77" outlineLevel="1"/>
    <row r="193" spans="2:77" ht="15" outlineLevel="1">
      <c r="E193" s="22" t="s">
        <v>366</v>
      </c>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row>
    <row r="194" spans="2:77" outlineLevel="1">
      <c r="E194" t="s">
        <v>195</v>
      </c>
      <c r="F194" s="23" t="s">
        <v>488</v>
      </c>
      <c r="H194">
        <f>+IF(AND(Assumptions!$G$149&gt;=H$3,Assumptions!$G$149&lt;H$4),1,0)</f>
        <v>1</v>
      </c>
      <c r="I194">
        <f>+IF(AND(Assumptions!$G$149&gt;=I$3,Assumptions!$G$149&lt;I$4),1,0)</f>
        <v>0</v>
      </c>
      <c r="J194">
        <f>+IF(AND(Assumptions!$G$149&gt;=J$3,Assumptions!$G$149&lt;J$4),1,0)</f>
        <v>0</v>
      </c>
      <c r="K194">
        <f>+IF(AND(Assumptions!$G$149&gt;=K$3,Assumptions!$G$149&lt;K$4),1,0)</f>
        <v>0</v>
      </c>
      <c r="L194">
        <f>+IF(AND(Assumptions!$G$149&gt;=L$3,Assumptions!$G$149&lt;L$4),1,0)</f>
        <v>0</v>
      </c>
      <c r="M194">
        <f>+IF(AND(Assumptions!$G$149&gt;=M$3,Assumptions!$G$149&lt;M$4),1,0)</f>
        <v>0</v>
      </c>
      <c r="N194">
        <f>+IF(AND(Assumptions!$G$149&gt;=N$3,Assumptions!$G$149&lt;N$4),1,0)</f>
        <v>0</v>
      </c>
      <c r="O194">
        <f>+IF(AND(Assumptions!$G$149&gt;=O$3,Assumptions!$G$149&lt;O$4),1,0)</f>
        <v>0</v>
      </c>
      <c r="P194">
        <f>+IF(AND(Assumptions!$G$149&gt;=P$3,Assumptions!$G$149&lt;P$4),1,0)</f>
        <v>0</v>
      </c>
      <c r="Q194">
        <f>+IF(AND(Assumptions!$G$149&gt;=Q$3,Assumptions!$G$149&lt;Q$4),1,0)</f>
        <v>0</v>
      </c>
      <c r="R194">
        <f>+IF(AND(Assumptions!$G$149&gt;=R$3,Assumptions!$G$149&lt;R$4),1,0)</f>
        <v>0</v>
      </c>
      <c r="S194">
        <f>+IF(AND(Assumptions!$G$149&gt;=S$3,Assumptions!$G$149&lt;S$4),1,0)</f>
        <v>0</v>
      </c>
      <c r="T194">
        <f>+IF(AND(Assumptions!$G$149&gt;=T$3,Assumptions!$G$149&lt;T$4),1,0)</f>
        <v>0</v>
      </c>
      <c r="U194">
        <f>+IF(AND(Assumptions!$G$149&gt;=U$3,Assumptions!$G$149&lt;U$4),1,0)</f>
        <v>0</v>
      </c>
      <c r="V194">
        <f>+IF(AND(Assumptions!$G$149&gt;=V$3,Assumptions!$G$149&lt;V$4),1,0)</f>
        <v>0</v>
      </c>
      <c r="W194">
        <f>+IF(AND(Assumptions!$G$149&gt;=W$3,Assumptions!$G$149&lt;W$4),1,0)</f>
        <v>0</v>
      </c>
      <c r="X194">
        <f>+IF(AND(Assumptions!$G$149&gt;=X$3,Assumptions!$G$149&lt;X$4),1,0)</f>
        <v>0</v>
      </c>
      <c r="Y194">
        <f>+IF(AND(Assumptions!$G$149&gt;=Y$3,Assumptions!$G$149&lt;Y$4),1,0)</f>
        <v>0</v>
      </c>
      <c r="Z194">
        <f>+IF(AND(Assumptions!$G$149&gt;=Z$3,Assumptions!$G$149&lt;Z$4),1,0)</f>
        <v>0</v>
      </c>
      <c r="AA194">
        <f>+IF(AND(Assumptions!$G$149&gt;=AA$3,Assumptions!$G$149&lt;AA$4),1,0)</f>
        <v>0</v>
      </c>
      <c r="AB194">
        <f>+IF(AND(Assumptions!$G$149&gt;=AB$3,Assumptions!$G$149&lt;AB$4),1,0)</f>
        <v>0</v>
      </c>
      <c r="AC194">
        <f>+IF(AND(Assumptions!$G$149&gt;=AC$3,Assumptions!$G$149&lt;AC$4),1,0)</f>
        <v>0</v>
      </c>
      <c r="AD194">
        <f>+IF(AND(Assumptions!$G$149&gt;=AD$3,Assumptions!$G$149&lt;AD$4),1,0)</f>
        <v>0</v>
      </c>
      <c r="AE194">
        <f>+IF(AND(Assumptions!$G$149&gt;=AE$3,Assumptions!$G$149&lt;AE$4),1,0)</f>
        <v>0</v>
      </c>
      <c r="AF194">
        <f>+IF(AND(Assumptions!$G$149&gt;=AF$3,Assumptions!$G$149&lt;AF$4),1,0)</f>
        <v>0</v>
      </c>
      <c r="AG194">
        <f>+IF(AND(Assumptions!$G$149&gt;=AG$3,Assumptions!$G$149&lt;AG$4),1,0)</f>
        <v>0</v>
      </c>
      <c r="AH194">
        <f>+IF(AND(Assumptions!$G$149&gt;=AH$3,Assumptions!$G$149&lt;AH$4),1,0)</f>
        <v>0</v>
      </c>
      <c r="AI194">
        <f>+IF(AND(Assumptions!$G$149&gt;=AI$3,Assumptions!$G$149&lt;AI$4),1,0)</f>
        <v>0</v>
      </c>
      <c r="AJ194">
        <f>+IF(AND(Assumptions!$G$149&gt;=AJ$3,Assumptions!$G$149&lt;AJ$4),1,0)</f>
        <v>0</v>
      </c>
      <c r="AK194">
        <f>+IF(AND(Assumptions!$G$149&gt;=AK$3,Assumptions!$G$149&lt;AK$4),1,0)</f>
        <v>0</v>
      </c>
      <c r="AL194">
        <f>+IF(AND(Assumptions!$G$149&gt;=AL$3,Assumptions!$G$149&lt;AL$4),1,0)</f>
        <v>0</v>
      </c>
      <c r="AM194">
        <f>+IF(AND(Assumptions!$G$149&gt;=AM$3,Assumptions!$G$149&lt;AM$4),1,0)</f>
        <v>0</v>
      </c>
      <c r="AN194">
        <f>+IF(AND(Assumptions!$G$149&gt;=AN$3,Assumptions!$G$149&lt;AN$4),1,0)</f>
        <v>0</v>
      </c>
      <c r="AO194">
        <f>+IF(AND(Assumptions!$G$149&gt;=AO$3,Assumptions!$G$149&lt;AO$4),1,0)</f>
        <v>0</v>
      </c>
      <c r="AP194">
        <f>+IF(AND(Assumptions!$G$149&gt;=AP$3,Assumptions!$G$149&lt;AP$4),1,0)</f>
        <v>0</v>
      </c>
      <c r="AQ194">
        <f>+IF(AND(Assumptions!$G$149&gt;=AQ$3,Assumptions!$G$149&lt;AQ$4),1,0)</f>
        <v>0</v>
      </c>
      <c r="AR194">
        <f>+IF(AND(Assumptions!$G$149&gt;=AR$3,Assumptions!$G$149&lt;AR$4),1,0)</f>
        <v>0</v>
      </c>
      <c r="AS194">
        <f>+IF(AND(Assumptions!$G$149&gt;=AS$3,Assumptions!$G$149&lt;AS$4),1,0)</f>
        <v>0</v>
      </c>
      <c r="AT194">
        <f>+IF(AND(Assumptions!$G$149&gt;=AT$3,Assumptions!$G$149&lt;AT$4),1,0)</f>
        <v>0</v>
      </c>
      <c r="AU194">
        <f>+IF(AND(Assumptions!$G$149&gt;=AU$3,Assumptions!$G$149&lt;AU$4),1,0)</f>
        <v>0</v>
      </c>
      <c r="AV194">
        <f>+IF(AND(Assumptions!$G$149&gt;=AV$3,Assumptions!$G$149&lt;AV$4),1,0)</f>
        <v>0</v>
      </c>
      <c r="AW194">
        <f>+IF(AND(Assumptions!$G$149&gt;=AW$3,Assumptions!$G$149&lt;AW$4),1,0)</f>
        <v>0</v>
      </c>
      <c r="AX194">
        <f>+IF(AND(Assumptions!$G$149&gt;=AX$3,Assumptions!$G$149&lt;AX$4),1,0)</f>
        <v>0</v>
      </c>
      <c r="AY194">
        <f>+IF(AND(Assumptions!$G$149&gt;=AY$3,Assumptions!$G$149&lt;AY$4),1,0)</f>
        <v>0</v>
      </c>
      <c r="AZ194">
        <f>+IF(AND(Assumptions!$G$149&gt;=AZ$3,Assumptions!$G$149&lt;AZ$4),1,0)</f>
        <v>0</v>
      </c>
      <c r="BA194">
        <f>+IF(AND(Assumptions!$G$149&gt;=BA$3,Assumptions!$G$149&lt;BA$4),1,0)</f>
        <v>0</v>
      </c>
      <c r="BB194">
        <f>+IF(AND(Assumptions!$G$149&gt;=BB$3,Assumptions!$G$149&lt;BB$4),1,0)</f>
        <v>0</v>
      </c>
      <c r="BC194">
        <f>+IF(AND(Assumptions!$G$149&gt;=BC$3,Assumptions!$G$149&lt;BC$4),1,0)</f>
        <v>0</v>
      </c>
      <c r="BD194">
        <f>+IF(AND(Assumptions!$G$149&gt;=BD$3,Assumptions!$G$149&lt;BD$4),1,0)</f>
        <v>0</v>
      </c>
      <c r="BE194">
        <f>+IF(AND(Assumptions!$G$149&gt;=BE$3,Assumptions!$G$149&lt;BE$4),1,0)</f>
        <v>0</v>
      </c>
      <c r="BF194">
        <f>+IF(AND(Assumptions!$G$149&gt;=BF$3,Assumptions!$G$149&lt;BF$4),1,0)</f>
        <v>0</v>
      </c>
      <c r="BG194">
        <f>+IF(AND(Assumptions!$G$149&gt;=BG$3,Assumptions!$G$149&lt;BG$4),1,0)</f>
        <v>0</v>
      </c>
      <c r="BH194">
        <f>+IF(AND(Assumptions!$G$149&gt;=BH$3,Assumptions!$G$149&lt;BH$4),1,0)</f>
        <v>0</v>
      </c>
      <c r="BI194">
        <f>+IF(AND(Assumptions!$G$149&gt;=BI$3,Assumptions!$G$149&lt;BI$4),1,0)</f>
        <v>0</v>
      </c>
      <c r="BJ194">
        <f>+IF(AND(Assumptions!$G$149&gt;=BJ$3,Assumptions!$G$149&lt;BJ$4),1,0)</f>
        <v>0</v>
      </c>
      <c r="BK194">
        <f>+IF(AND(Assumptions!$G$149&gt;=BK$3,Assumptions!$G$149&lt;BK$4),1,0)</f>
        <v>0</v>
      </c>
      <c r="BL194">
        <f>+IF(AND(Assumptions!$G$149&gt;=BL$3,Assumptions!$G$149&lt;BL$4),1,0)</f>
        <v>0</v>
      </c>
      <c r="BM194">
        <f>+IF(AND(Assumptions!$G$149&gt;=BM$3,Assumptions!$G$149&lt;BM$4),1,0)</f>
        <v>0</v>
      </c>
      <c r="BN194">
        <f>+IF(AND(Assumptions!$G$149&gt;=BN$3,Assumptions!$G$149&lt;BN$4),1,0)</f>
        <v>0</v>
      </c>
      <c r="BO194">
        <f>+IF(AND(Assumptions!$G$149&gt;=BO$3,Assumptions!$G$149&lt;BO$4),1,0)</f>
        <v>0</v>
      </c>
      <c r="BP194">
        <f>+IF(AND(Assumptions!$G$149&gt;=BP$3,Assumptions!$G$149&lt;BP$4),1,0)</f>
        <v>0</v>
      </c>
      <c r="BQ194">
        <f>+IF(AND(Assumptions!$G$149&gt;=BQ$3,Assumptions!$G$149&lt;BQ$4),1,0)</f>
        <v>0</v>
      </c>
      <c r="BR194">
        <f>+IF(AND(Assumptions!$G$149&gt;=BR$3,Assumptions!$G$149&lt;BR$4),1,0)</f>
        <v>0</v>
      </c>
      <c r="BS194">
        <f>+IF(AND(Assumptions!$G$149&gt;=BS$3,Assumptions!$G$149&lt;BS$4),1,0)</f>
        <v>0</v>
      </c>
      <c r="BT194">
        <f>+IF(AND(Assumptions!$G$149&gt;=BT$3,Assumptions!$G$149&lt;BT$4),1,0)</f>
        <v>0</v>
      </c>
      <c r="BU194">
        <f>+IF(AND(Assumptions!$G$149&gt;=BU$3,Assumptions!$G$149&lt;BU$4),1,0)</f>
        <v>0</v>
      </c>
      <c r="BV194">
        <f>+IF(AND(Assumptions!$G$149&gt;=BV$3,Assumptions!$G$149&lt;BV$4),1,0)</f>
        <v>0</v>
      </c>
      <c r="BW194">
        <f>+IF(AND(Assumptions!$G$149&gt;=BW$3,Assumptions!$G$149&lt;BW$4),1,0)</f>
        <v>0</v>
      </c>
      <c r="BX194">
        <f>+IF(AND(Assumptions!$G$149&gt;=BX$3,Assumptions!$G$149&lt;BX$4),1,0)</f>
        <v>0</v>
      </c>
      <c r="BY194">
        <f>+IF(AND(Assumptions!$G$149&gt;=BY$3,Assumptions!$G$149&lt;BY$4),1,0)</f>
        <v>0</v>
      </c>
    </row>
    <row r="195" spans="2:77" outlineLevel="1">
      <c r="E195" t="s">
        <v>197</v>
      </c>
      <c r="F195" s="23" t="s">
        <v>488</v>
      </c>
      <c r="H195" s="67">
        <f>+IF(AND(H$3&gt;=Assumptions!$G$149,H$3&lt;Assumptions!$G$151),1,0)</f>
        <v>1</v>
      </c>
      <c r="I195" s="67">
        <f>+IF(AND(I$3&gt;=Assumptions!$G$149,I$3&lt;Assumptions!$G$151),1,0)</f>
        <v>0</v>
      </c>
      <c r="J195" s="67">
        <f>+IF(AND(J$3&gt;=Assumptions!$G$149,J$3&lt;Assumptions!$G$151),1,0)</f>
        <v>0</v>
      </c>
      <c r="K195" s="67">
        <f>+IF(AND(K$3&gt;=Assumptions!$G$149,K$3&lt;Assumptions!$G$151),1,0)</f>
        <v>0</v>
      </c>
      <c r="L195" s="67">
        <f>+IF(AND(L$3&gt;=Assumptions!$G$149,L$3&lt;Assumptions!$G$151),1,0)</f>
        <v>0</v>
      </c>
      <c r="M195" s="67">
        <f>+IF(AND(M$3&gt;=Assumptions!$G$149,M$3&lt;Assumptions!$G$151),1,0)</f>
        <v>0</v>
      </c>
      <c r="N195" s="67">
        <f>+IF(AND(N$3&gt;=Assumptions!$G$149,N$3&lt;Assumptions!$G$151),1,0)</f>
        <v>0</v>
      </c>
      <c r="O195" s="67">
        <f>+IF(AND(O$3&gt;=Assumptions!$G$149,O$3&lt;Assumptions!$G$151),1,0)</f>
        <v>0</v>
      </c>
      <c r="P195" s="67">
        <f>+IF(AND(P$3&gt;=Assumptions!$G$149,P$3&lt;Assumptions!$G$151),1,0)</f>
        <v>0</v>
      </c>
      <c r="Q195" s="67">
        <f>+IF(AND(Q$3&gt;=Assumptions!$G$149,Q$3&lt;Assumptions!$G$151),1,0)</f>
        <v>0</v>
      </c>
      <c r="R195" s="67">
        <f>+IF(AND(R$3&gt;=Assumptions!$G$149,R$3&lt;Assumptions!$G$151),1,0)</f>
        <v>0</v>
      </c>
      <c r="S195" s="67">
        <f>+IF(AND(S$3&gt;=Assumptions!$G$149,S$3&lt;Assumptions!$G$151),1,0)</f>
        <v>0</v>
      </c>
      <c r="T195" s="67">
        <f>+IF(AND(T$3&gt;=Assumptions!$G$149,T$3&lt;Assumptions!$G$151),1,0)</f>
        <v>0</v>
      </c>
      <c r="U195" s="67">
        <f>+IF(AND(U$3&gt;=Assumptions!$G$149,U$3&lt;Assumptions!$G$151),1,0)</f>
        <v>0</v>
      </c>
      <c r="V195" s="67">
        <f>+IF(AND(V$3&gt;=Assumptions!$G$149,V$3&lt;Assumptions!$G$151),1,0)</f>
        <v>0</v>
      </c>
      <c r="W195" s="67">
        <f>+IF(AND(W$3&gt;=Assumptions!$G$149,W$3&lt;Assumptions!$G$151),1,0)</f>
        <v>0</v>
      </c>
      <c r="X195" s="67">
        <f>+IF(AND(X$3&gt;=Assumptions!$G$149,X$3&lt;Assumptions!$G$151),1,0)</f>
        <v>0</v>
      </c>
      <c r="Y195" s="67">
        <f>+IF(AND(Y$3&gt;=Assumptions!$G$149,Y$3&lt;Assumptions!$G$151),1,0)</f>
        <v>0</v>
      </c>
      <c r="Z195" s="67">
        <f>+IF(AND(Z$3&gt;=Assumptions!$G$149,Z$3&lt;Assumptions!$G$151),1,0)</f>
        <v>0</v>
      </c>
      <c r="AA195" s="67">
        <f>+IF(AND(AA$3&gt;=Assumptions!$G$149,AA$3&lt;Assumptions!$G$151),1,0)</f>
        <v>0</v>
      </c>
      <c r="AB195" s="67">
        <f>+IF(AND(AB$3&gt;=Assumptions!$G$149,AB$3&lt;Assumptions!$G$151),1,0)</f>
        <v>0</v>
      </c>
      <c r="AC195" s="67">
        <f>+IF(AND(AC$3&gt;=Assumptions!$G$149,AC$3&lt;Assumptions!$G$151),1,0)</f>
        <v>0</v>
      </c>
      <c r="AD195" s="67">
        <f>+IF(AND(AD$3&gt;=Assumptions!$G$149,AD$3&lt;Assumptions!$G$151),1,0)</f>
        <v>0</v>
      </c>
      <c r="AE195" s="67">
        <f>+IF(AND(AE$3&gt;=Assumptions!$G$149,AE$3&lt;Assumptions!$G$151),1,0)</f>
        <v>0</v>
      </c>
      <c r="AF195" s="67">
        <f>+IF(AND(AF$3&gt;=Assumptions!$G$149,AF$3&lt;Assumptions!$G$151),1,0)</f>
        <v>0</v>
      </c>
      <c r="AG195" s="67">
        <f>+IF(AND(AG$3&gt;=Assumptions!$G$149,AG$3&lt;Assumptions!$G$151),1,0)</f>
        <v>0</v>
      </c>
      <c r="AH195" s="67">
        <f>+IF(AND(AH$3&gt;=Assumptions!$G$149,AH$3&lt;Assumptions!$G$151),1,0)</f>
        <v>0</v>
      </c>
      <c r="AI195" s="67">
        <f>+IF(AND(AI$3&gt;=Assumptions!$G$149,AI$3&lt;Assumptions!$G$151),1,0)</f>
        <v>0</v>
      </c>
      <c r="AJ195" s="67">
        <f>+IF(AND(AJ$3&gt;=Assumptions!$G$149,AJ$3&lt;Assumptions!$G$151),1,0)</f>
        <v>0</v>
      </c>
      <c r="AK195" s="67">
        <f>+IF(AND(AK$3&gt;=Assumptions!$G$149,AK$3&lt;Assumptions!$G$151),1,0)</f>
        <v>0</v>
      </c>
      <c r="AL195" s="67">
        <f>+IF(AND(AL$3&gt;=Assumptions!$G$149,AL$3&lt;Assumptions!$G$151),1,0)</f>
        <v>0</v>
      </c>
      <c r="AM195" s="67">
        <f>+IF(AND(AM$3&gt;=Assumptions!$G$149,AM$3&lt;Assumptions!$G$151),1,0)</f>
        <v>0</v>
      </c>
      <c r="AN195" s="67">
        <f>+IF(AND(AN$3&gt;=Assumptions!$G$149,AN$3&lt;Assumptions!$G$151),1,0)</f>
        <v>0</v>
      </c>
      <c r="AO195" s="67">
        <f>+IF(AND(AO$3&gt;=Assumptions!$G$149,AO$3&lt;Assumptions!$G$151),1,0)</f>
        <v>0</v>
      </c>
      <c r="AP195" s="67">
        <f>+IF(AND(AP$3&gt;=Assumptions!$G$149,AP$3&lt;Assumptions!$G$151),1,0)</f>
        <v>0</v>
      </c>
      <c r="AQ195" s="67">
        <f>+IF(AND(AQ$3&gt;=Assumptions!$G$149,AQ$3&lt;Assumptions!$G$151),1,0)</f>
        <v>0</v>
      </c>
      <c r="AR195" s="67">
        <f>+IF(AND(AR$3&gt;=Assumptions!$G$149,AR$3&lt;Assumptions!$G$151),1,0)</f>
        <v>0</v>
      </c>
      <c r="AS195" s="67">
        <f>+IF(AND(AS$3&gt;=Assumptions!$G$149,AS$3&lt;Assumptions!$G$151),1,0)</f>
        <v>0</v>
      </c>
      <c r="AT195" s="67">
        <f>+IF(AND(AT$3&gt;=Assumptions!$G$149,AT$3&lt;Assumptions!$G$151),1,0)</f>
        <v>0</v>
      </c>
      <c r="AU195" s="67">
        <f>+IF(AND(AU$3&gt;=Assumptions!$G$149,AU$3&lt;Assumptions!$G$151),1,0)</f>
        <v>0</v>
      </c>
      <c r="AV195" s="67">
        <f>+IF(AND(AV$3&gt;=Assumptions!$G$149,AV$3&lt;Assumptions!$G$151),1,0)</f>
        <v>0</v>
      </c>
      <c r="AW195" s="67">
        <f>+IF(AND(AW$3&gt;=Assumptions!$G$149,AW$3&lt;Assumptions!$G$151),1,0)</f>
        <v>0</v>
      </c>
      <c r="AX195" s="67">
        <f>+IF(AND(AX$3&gt;=Assumptions!$G$149,AX$3&lt;Assumptions!$G$151),1,0)</f>
        <v>0</v>
      </c>
      <c r="AY195" s="67">
        <f>+IF(AND(AY$3&gt;=Assumptions!$G$149,AY$3&lt;Assumptions!$G$151),1,0)</f>
        <v>0</v>
      </c>
      <c r="AZ195" s="67">
        <f>+IF(AND(AZ$3&gt;=Assumptions!$G$149,AZ$3&lt;Assumptions!$G$151),1,0)</f>
        <v>0</v>
      </c>
      <c r="BA195" s="67">
        <f>+IF(AND(BA$3&gt;=Assumptions!$G$149,BA$3&lt;Assumptions!$G$151),1,0)</f>
        <v>0</v>
      </c>
      <c r="BB195" s="67">
        <f>+IF(AND(BB$3&gt;=Assumptions!$G$149,BB$3&lt;Assumptions!$G$151),1,0)</f>
        <v>0</v>
      </c>
      <c r="BC195" s="67">
        <f>+IF(AND(BC$3&gt;=Assumptions!$G$149,BC$3&lt;Assumptions!$G$151),1,0)</f>
        <v>0</v>
      </c>
      <c r="BD195" s="67">
        <f>+IF(AND(BD$3&gt;=Assumptions!$G$149,BD$3&lt;Assumptions!$G$151),1,0)</f>
        <v>0</v>
      </c>
      <c r="BE195" s="67">
        <f>+IF(AND(BE$3&gt;=Assumptions!$G$149,BE$3&lt;Assumptions!$G$151),1,0)</f>
        <v>0</v>
      </c>
      <c r="BF195" s="67">
        <f>+IF(AND(BF$3&gt;=Assumptions!$G$149,BF$3&lt;Assumptions!$G$151),1,0)</f>
        <v>0</v>
      </c>
      <c r="BG195" s="67">
        <f>+IF(AND(BG$3&gt;=Assumptions!$G$149,BG$3&lt;Assumptions!$G$151),1,0)</f>
        <v>0</v>
      </c>
      <c r="BH195" s="67">
        <f>+IF(AND(BH$3&gt;=Assumptions!$G$149,BH$3&lt;Assumptions!$G$151),1,0)</f>
        <v>0</v>
      </c>
      <c r="BI195" s="67">
        <f>+IF(AND(BI$3&gt;=Assumptions!$G$149,BI$3&lt;Assumptions!$G$151),1,0)</f>
        <v>0</v>
      </c>
      <c r="BJ195" s="67">
        <f>+IF(AND(BJ$3&gt;=Assumptions!$G$149,BJ$3&lt;Assumptions!$G$151),1,0)</f>
        <v>0</v>
      </c>
      <c r="BK195" s="67">
        <f>+IF(AND(BK$3&gt;=Assumptions!$G$149,BK$3&lt;Assumptions!$G$151),1,0)</f>
        <v>0</v>
      </c>
      <c r="BL195" s="67">
        <f>+IF(AND(BL$3&gt;=Assumptions!$G$149,BL$3&lt;Assumptions!$G$151),1,0)</f>
        <v>0</v>
      </c>
      <c r="BM195" s="67">
        <f>+IF(AND(BM$3&gt;=Assumptions!$G$149,BM$3&lt;Assumptions!$G$151),1,0)</f>
        <v>0</v>
      </c>
      <c r="BN195" s="67">
        <f>+IF(AND(BN$3&gt;=Assumptions!$G$149,BN$3&lt;Assumptions!$G$151),1,0)</f>
        <v>0</v>
      </c>
      <c r="BO195" s="67">
        <f>+IF(AND(BO$3&gt;=Assumptions!$G$149,BO$3&lt;Assumptions!$G$151),1,0)</f>
        <v>0</v>
      </c>
      <c r="BP195" s="67">
        <f>+IF(AND(BP$3&gt;=Assumptions!$G$149,BP$3&lt;Assumptions!$G$151),1,0)</f>
        <v>0</v>
      </c>
      <c r="BQ195" s="67">
        <f>+IF(AND(BQ$3&gt;=Assumptions!$G$149,BQ$3&lt;Assumptions!$G$151),1,0)</f>
        <v>0</v>
      </c>
      <c r="BR195" s="67">
        <f>+IF(AND(BR$3&gt;=Assumptions!$G$149,BR$3&lt;Assumptions!$G$151),1,0)</f>
        <v>0</v>
      </c>
      <c r="BS195" s="67">
        <f>+IF(AND(BS$3&gt;=Assumptions!$G$149,BS$3&lt;Assumptions!$G$151),1,0)</f>
        <v>0</v>
      </c>
      <c r="BT195" s="67">
        <f>+IF(AND(BT$3&gt;=Assumptions!$G$149,BT$3&lt;Assumptions!$G$151),1,0)</f>
        <v>0</v>
      </c>
      <c r="BU195" s="67">
        <f>+IF(AND(BU$3&gt;=Assumptions!$G$149,BU$3&lt;Assumptions!$G$151),1,0)</f>
        <v>0</v>
      </c>
      <c r="BV195" s="67">
        <f>+IF(AND(BV$3&gt;=Assumptions!$G$149,BV$3&lt;Assumptions!$G$151),1,0)</f>
        <v>0</v>
      </c>
      <c r="BW195" s="67">
        <f>+IF(AND(BW$3&gt;=Assumptions!$G$149,BW$3&lt;Assumptions!$G$151),1,0)</f>
        <v>0</v>
      </c>
      <c r="BX195" s="67">
        <f>+IF(AND(BX$3&gt;=Assumptions!$G$149,BX$3&lt;Assumptions!$G$151),1,0)</f>
        <v>0</v>
      </c>
      <c r="BY195" s="67">
        <f>+IF(AND(BY$3&gt;=Assumptions!$G$149,BY$3&lt;Assumptions!$G$151),1,0)</f>
        <v>0</v>
      </c>
    </row>
    <row r="196" spans="2:77" outlineLevel="1">
      <c r="E196" t="s">
        <v>200</v>
      </c>
      <c r="F196" s="23" t="s">
        <v>488</v>
      </c>
      <c r="H196" s="67">
        <f>+IF(AND(H$3&gt;=Assumptions!$G$151,H$3&lt;Assumptions!$G$153),1,0)</f>
        <v>0</v>
      </c>
      <c r="I196" s="67">
        <f>+IF(AND(I$3&gt;=Assumptions!$G$151,I$3&lt;Assumptions!$G$153),1,0)</f>
        <v>1</v>
      </c>
      <c r="J196" s="67">
        <f>+IF(AND(J$3&gt;=Assumptions!$G$151,J$3&lt;Assumptions!$G$153),1,0)</f>
        <v>1</v>
      </c>
      <c r="K196" s="67">
        <f>+IF(AND(K$3&gt;=Assumptions!$G$151,K$3&lt;Assumptions!$G$153),1,0)</f>
        <v>0</v>
      </c>
      <c r="L196" s="67">
        <f>+IF(AND(L$3&gt;=Assumptions!$G$151,L$3&lt;Assumptions!$G$153),1,0)</f>
        <v>0</v>
      </c>
      <c r="M196" s="67">
        <f>+IF(AND(M$3&gt;=Assumptions!$G$151,M$3&lt;Assumptions!$G$153),1,0)</f>
        <v>0</v>
      </c>
      <c r="N196" s="67">
        <f>+IF(AND(N$3&gt;=Assumptions!$G$151,N$3&lt;Assumptions!$G$153),1,0)</f>
        <v>0</v>
      </c>
      <c r="O196" s="67">
        <f>+IF(AND(O$3&gt;=Assumptions!$G$151,O$3&lt;Assumptions!$G$153),1,0)</f>
        <v>0</v>
      </c>
      <c r="P196" s="67">
        <f>+IF(AND(P$3&gt;=Assumptions!$G$151,P$3&lt;Assumptions!$G$153),1,0)</f>
        <v>0</v>
      </c>
      <c r="Q196" s="67">
        <f>+IF(AND(Q$3&gt;=Assumptions!$G$151,Q$3&lt;Assumptions!$G$153),1,0)</f>
        <v>0</v>
      </c>
      <c r="R196" s="67">
        <f>+IF(AND(R$3&gt;=Assumptions!$G$151,R$3&lt;Assumptions!$G$153),1,0)</f>
        <v>0</v>
      </c>
      <c r="S196" s="67">
        <f>+IF(AND(S$3&gt;=Assumptions!$G$151,S$3&lt;Assumptions!$G$153),1,0)</f>
        <v>0</v>
      </c>
      <c r="T196" s="67">
        <f>+IF(AND(T$3&gt;=Assumptions!$G$151,T$3&lt;Assumptions!$G$153),1,0)</f>
        <v>0</v>
      </c>
      <c r="U196" s="67">
        <f>+IF(AND(U$3&gt;=Assumptions!$G$151,U$3&lt;Assumptions!$G$153),1,0)</f>
        <v>0</v>
      </c>
      <c r="V196" s="67">
        <f>+IF(AND(V$3&gt;=Assumptions!$G$151,V$3&lt;Assumptions!$G$153),1,0)</f>
        <v>0</v>
      </c>
      <c r="W196" s="67">
        <f>+IF(AND(W$3&gt;=Assumptions!$G$151,W$3&lt;Assumptions!$G$153),1,0)</f>
        <v>0</v>
      </c>
      <c r="X196" s="67">
        <f>+IF(AND(X$3&gt;=Assumptions!$G$151,X$3&lt;Assumptions!$G$153),1,0)</f>
        <v>0</v>
      </c>
      <c r="Y196" s="67">
        <f>+IF(AND(Y$3&gt;=Assumptions!$G$151,Y$3&lt;Assumptions!$G$153),1,0)</f>
        <v>0</v>
      </c>
      <c r="Z196" s="67">
        <f>+IF(AND(Z$3&gt;=Assumptions!$G$151,Z$3&lt;Assumptions!$G$153),1,0)</f>
        <v>0</v>
      </c>
      <c r="AA196" s="67">
        <f>+IF(AND(AA$3&gt;=Assumptions!$G$151,AA$3&lt;Assumptions!$G$153),1,0)</f>
        <v>0</v>
      </c>
      <c r="AB196" s="67">
        <f>+IF(AND(AB$3&gt;=Assumptions!$G$151,AB$3&lt;Assumptions!$G$153),1,0)</f>
        <v>0</v>
      </c>
      <c r="AC196" s="67">
        <f>+IF(AND(AC$3&gt;=Assumptions!$G$151,AC$3&lt;Assumptions!$G$153),1,0)</f>
        <v>0</v>
      </c>
      <c r="AD196" s="67">
        <f>+IF(AND(AD$3&gt;=Assumptions!$G$151,AD$3&lt;Assumptions!$G$153),1,0)</f>
        <v>0</v>
      </c>
      <c r="AE196" s="67">
        <f>+IF(AND(AE$3&gt;=Assumptions!$G$151,AE$3&lt;Assumptions!$G$153),1,0)</f>
        <v>0</v>
      </c>
      <c r="AF196" s="67">
        <f>+IF(AND(AF$3&gt;=Assumptions!$G$151,AF$3&lt;Assumptions!$G$153),1,0)</f>
        <v>0</v>
      </c>
      <c r="AG196" s="67">
        <f>+IF(AND(AG$3&gt;=Assumptions!$G$151,AG$3&lt;Assumptions!$G$153),1,0)</f>
        <v>0</v>
      </c>
      <c r="AH196" s="67">
        <f>+IF(AND(AH$3&gt;=Assumptions!$G$151,AH$3&lt;Assumptions!$G$153),1,0)</f>
        <v>0</v>
      </c>
      <c r="AI196" s="67">
        <f>+IF(AND(AI$3&gt;=Assumptions!$G$151,AI$3&lt;Assumptions!$G$153),1,0)</f>
        <v>0</v>
      </c>
      <c r="AJ196" s="67">
        <f>+IF(AND(AJ$3&gt;=Assumptions!$G$151,AJ$3&lt;Assumptions!$G$153),1,0)</f>
        <v>0</v>
      </c>
      <c r="AK196" s="67">
        <f>+IF(AND(AK$3&gt;=Assumptions!$G$151,AK$3&lt;Assumptions!$G$153),1,0)</f>
        <v>0</v>
      </c>
      <c r="AL196" s="67">
        <f>+IF(AND(AL$3&gt;=Assumptions!$G$151,AL$3&lt;Assumptions!$G$153),1,0)</f>
        <v>0</v>
      </c>
      <c r="AM196" s="67">
        <f>+IF(AND(AM$3&gt;=Assumptions!$G$151,AM$3&lt;Assumptions!$G$153),1,0)</f>
        <v>0</v>
      </c>
      <c r="AN196" s="67">
        <f>+IF(AND(AN$3&gt;=Assumptions!$G$151,AN$3&lt;Assumptions!$G$153),1,0)</f>
        <v>0</v>
      </c>
      <c r="AO196" s="67">
        <f>+IF(AND(AO$3&gt;=Assumptions!$G$151,AO$3&lt;Assumptions!$G$153),1,0)</f>
        <v>0</v>
      </c>
      <c r="AP196" s="67">
        <f>+IF(AND(AP$3&gt;=Assumptions!$G$151,AP$3&lt;Assumptions!$G$153),1,0)</f>
        <v>0</v>
      </c>
      <c r="AQ196" s="67">
        <f>+IF(AND(AQ$3&gt;=Assumptions!$G$151,AQ$3&lt;Assumptions!$G$153),1,0)</f>
        <v>0</v>
      </c>
      <c r="AR196" s="67">
        <f>+IF(AND(AR$3&gt;=Assumptions!$G$151,AR$3&lt;Assumptions!$G$153),1,0)</f>
        <v>0</v>
      </c>
      <c r="AS196" s="67">
        <f>+IF(AND(AS$3&gt;=Assumptions!$G$151,AS$3&lt;Assumptions!$G$153),1,0)</f>
        <v>0</v>
      </c>
      <c r="AT196" s="67">
        <f>+IF(AND(AT$3&gt;=Assumptions!$G$151,AT$3&lt;Assumptions!$G$153),1,0)</f>
        <v>0</v>
      </c>
      <c r="AU196" s="67">
        <f>+IF(AND(AU$3&gt;=Assumptions!$G$151,AU$3&lt;Assumptions!$G$153),1,0)</f>
        <v>0</v>
      </c>
      <c r="AV196" s="67">
        <f>+IF(AND(AV$3&gt;=Assumptions!$G$151,AV$3&lt;Assumptions!$G$153),1,0)</f>
        <v>0</v>
      </c>
      <c r="AW196" s="67">
        <f>+IF(AND(AW$3&gt;=Assumptions!$G$151,AW$3&lt;Assumptions!$G$153),1,0)</f>
        <v>0</v>
      </c>
      <c r="AX196" s="67">
        <f>+IF(AND(AX$3&gt;=Assumptions!$G$151,AX$3&lt;Assumptions!$G$153),1,0)</f>
        <v>0</v>
      </c>
      <c r="AY196" s="67">
        <f>+IF(AND(AY$3&gt;=Assumptions!$G$151,AY$3&lt;Assumptions!$G$153),1,0)</f>
        <v>0</v>
      </c>
      <c r="AZ196" s="67">
        <f>+IF(AND(AZ$3&gt;=Assumptions!$G$151,AZ$3&lt;Assumptions!$G$153),1,0)</f>
        <v>0</v>
      </c>
      <c r="BA196" s="67">
        <f>+IF(AND(BA$3&gt;=Assumptions!$G$151,BA$3&lt;Assumptions!$G$153),1,0)</f>
        <v>0</v>
      </c>
      <c r="BB196" s="67">
        <f>+IF(AND(BB$3&gt;=Assumptions!$G$151,BB$3&lt;Assumptions!$G$153),1,0)</f>
        <v>0</v>
      </c>
      <c r="BC196" s="67">
        <f>+IF(AND(BC$3&gt;=Assumptions!$G$151,BC$3&lt;Assumptions!$G$153),1,0)</f>
        <v>0</v>
      </c>
      <c r="BD196" s="67">
        <f>+IF(AND(BD$3&gt;=Assumptions!$G$151,BD$3&lt;Assumptions!$G$153),1,0)</f>
        <v>0</v>
      </c>
      <c r="BE196" s="67">
        <f>+IF(AND(BE$3&gt;=Assumptions!$G$151,BE$3&lt;Assumptions!$G$153),1,0)</f>
        <v>0</v>
      </c>
      <c r="BF196" s="67">
        <f>+IF(AND(BF$3&gt;=Assumptions!$G$151,BF$3&lt;Assumptions!$G$153),1,0)</f>
        <v>0</v>
      </c>
      <c r="BG196" s="67">
        <f>+IF(AND(BG$3&gt;=Assumptions!$G$151,BG$3&lt;Assumptions!$G$153),1,0)</f>
        <v>0</v>
      </c>
      <c r="BH196" s="67">
        <f>+IF(AND(BH$3&gt;=Assumptions!$G$151,BH$3&lt;Assumptions!$G$153),1,0)</f>
        <v>0</v>
      </c>
      <c r="BI196" s="67">
        <f>+IF(AND(BI$3&gt;=Assumptions!$G$151,BI$3&lt;Assumptions!$G$153),1,0)</f>
        <v>0</v>
      </c>
      <c r="BJ196" s="67">
        <f>+IF(AND(BJ$3&gt;=Assumptions!$G$151,BJ$3&lt;Assumptions!$G$153),1,0)</f>
        <v>0</v>
      </c>
      <c r="BK196" s="67">
        <f>+IF(AND(BK$3&gt;=Assumptions!$G$151,BK$3&lt;Assumptions!$G$153),1,0)</f>
        <v>0</v>
      </c>
      <c r="BL196" s="67">
        <f>+IF(AND(BL$3&gt;=Assumptions!$G$151,BL$3&lt;Assumptions!$G$153),1,0)</f>
        <v>0</v>
      </c>
      <c r="BM196" s="67">
        <f>+IF(AND(BM$3&gt;=Assumptions!$G$151,BM$3&lt;Assumptions!$G$153),1,0)</f>
        <v>0</v>
      </c>
      <c r="BN196" s="67">
        <f>+IF(AND(BN$3&gt;=Assumptions!$G$151,BN$3&lt;Assumptions!$G$153),1,0)</f>
        <v>0</v>
      </c>
      <c r="BO196" s="67">
        <f>+IF(AND(BO$3&gt;=Assumptions!$G$151,BO$3&lt;Assumptions!$G$153),1,0)</f>
        <v>0</v>
      </c>
      <c r="BP196" s="67">
        <f>+IF(AND(BP$3&gt;=Assumptions!$G$151,BP$3&lt;Assumptions!$G$153),1,0)</f>
        <v>0</v>
      </c>
      <c r="BQ196" s="67">
        <f>+IF(AND(BQ$3&gt;=Assumptions!$G$151,BQ$3&lt;Assumptions!$G$153),1,0)</f>
        <v>0</v>
      </c>
      <c r="BR196" s="67">
        <f>+IF(AND(BR$3&gt;=Assumptions!$G$151,BR$3&lt;Assumptions!$G$153),1,0)</f>
        <v>0</v>
      </c>
      <c r="BS196" s="67">
        <f>+IF(AND(BS$3&gt;=Assumptions!$G$151,BS$3&lt;Assumptions!$G$153),1,0)</f>
        <v>0</v>
      </c>
      <c r="BT196" s="67">
        <f>+IF(AND(BT$3&gt;=Assumptions!$G$151,BT$3&lt;Assumptions!$G$153),1,0)</f>
        <v>0</v>
      </c>
      <c r="BU196" s="67">
        <f>+IF(AND(BU$3&gt;=Assumptions!$G$151,BU$3&lt;Assumptions!$G$153),1,0)</f>
        <v>0</v>
      </c>
      <c r="BV196" s="67">
        <f>+IF(AND(BV$3&gt;=Assumptions!$G$151,BV$3&lt;Assumptions!$G$153),1,0)</f>
        <v>0</v>
      </c>
      <c r="BW196" s="67">
        <f>+IF(AND(BW$3&gt;=Assumptions!$G$151,BW$3&lt;Assumptions!$G$153),1,0)</f>
        <v>0</v>
      </c>
      <c r="BX196" s="67">
        <f>+IF(AND(BX$3&gt;=Assumptions!$G$151,BX$3&lt;Assumptions!$G$153),1,0)</f>
        <v>0</v>
      </c>
      <c r="BY196" s="67">
        <f>+IF(AND(BY$3&gt;=Assumptions!$G$151,BY$3&lt;Assumptions!$G$153),1,0)</f>
        <v>0</v>
      </c>
    </row>
    <row r="197" spans="2:77" outlineLevel="1">
      <c r="E197" t="s">
        <v>202</v>
      </c>
      <c r="F197" s="23" t="s">
        <v>488</v>
      </c>
      <c r="H197">
        <f>+IF(AND(SUM(H196:$BY196)=0,EDATE(Assumptions!$G$149,SUM(Assumptions!$G$150,Assumptions!$G$152,Assumptions!$G$154)*12)&gt;H$3),1,0)</f>
        <v>0</v>
      </c>
      <c r="I197">
        <f>+IF(AND(SUM(I196:$BY196)=0,EDATE(Assumptions!$G$149,SUM(Assumptions!$G$150,Assumptions!$G$152,Assumptions!$G$154)*12)&gt;I$3),1,0)</f>
        <v>0</v>
      </c>
      <c r="J197">
        <f>+IF(AND(SUM(J196:$BY196)=0,EDATE(Assumptions!$G$149,SUM(Assumptions!$G$150,Assumptions!$G$152,Assumptions!$G$154)*12)&gt;J$3),1,0)</f>
        <v>0</v>
      </c>
      <c r="K197">
        <f>+IF(AND(SUM(K196:$BY196)=0,EDATE(Assumptions!$G$149,SUM(Assumptions!$G$150,Assumptions!$G$152,Assumptions!$G$154)*12)&gt;K$3),1,0)</f>
        <v>1</v>
      </c>
      <c r="L197">
        <f>+IF(AND(SUM(L196:$BY196)=0,EDATE(Assumptions!$G$149,SUM(Assumptions!$G$150,Assumptions!$G$152,Assumptions!$G$154)*12)&gt;L$3),1,0)</f>
        <v>1</v>
      </c>
      <c r="M197">
        <f>+IF(AND(SUM(M196:$BY196)=0,EDATE(Assumptions!$G$149,SUM(Assumptions!$G$150,Assumptions!$G$152,Assumptions!$G$154)*12)&gt;M$3),1,0)</f>
        <v>1</v>
      </c>
      <c r="N197">
        <f>+IF(AND(SUM(N196:$BY196)=0,EDATE(Assumptions!$G$149,SUM(Assumptions!$G$150,Assumptions!$G$152,Assumptions!$G$154)*12)&gt;N$3),1,0)</f>
        <v>1</v>
      </c>
      <c r="O197">
        <f>+IF(AND(SUM(O196:$BY196)=0,EDATE(Assumptions!$G$149,SUM(Assumptions!$G$150,Assumptions!$G$152,Assumptions!$G$154)*12)&gt;O$3),1,0)</f>
        <v>1</v>
      </c>
      <c r="P197">
        <f>+IF(AND(SUM(P196:$BY196)=0,EDATE(Assumptions!$G$149,SUM(Assumptions!$G$150,Assumptions!$G$152,Assumptions!$G$154)*12)&gt;P$3),1,0)</f>
        <v>1</v>
      </c>
      <c r="Q197">
        <f>+IF(AND(SUM(Q196:$BY196)=0,EDATE(Assumptions!$G$149,SUM(Assumptions!$G$150,Assumptions!$G$152,Assumptions!$G$154)*12)&gt;Q$3),1,0)</f>
        <v>1</v>
      </c>
      <c r="R197">
        <f>+IF(AND(SUM(R196:$BY196)=0,EDATE(Assumptions!$G$149,SUM(Assumptions!$G$150,Assumptions!$G$152,Assumptions!$G$154)*12)&gt;R$3),1,0)</f>
        <v>1</v>
      </c>
      <c r="S197">
        <f>+IF(AND(SUM(S196:$BY196)=0,EDATE(Assumptions!$G$149,SUM(Assumptions!$G$150,Assumptions!$G$152,Assumptions!$G$154)*12)&gt;S$3),1,0)</f>
        <v>1</v>
      </c>
      <c r="T197">
        <f>+IF(AND(SUM(T196:$BY196)=0,EDATE(Assumptions!$G$149,SUM(Assumptions!$G$150,Assumptions!$G$152,Assumptions!$G$154)*12)&gt;T$3),1,0)</f>
        <v>1</v>
      </c>
      <c r="U197">
        <f>+IF(AND(SUM(U196:$BY196)=0,EDATE(Assumptions!$G$149,SUM(Assumptions!$G$150,Assumptions!$G$152,Assumptions!$G$154)*12)&gt;U$3),1,0)</f>
        <v>1</v>
      </c>
      <c r="V197">
        <f>+IF(AND(SUM(V196:$BY196)=0,EDATE(Assumptions!$G$149,SUM(Assumptions!$G$150,Assumptions!$G$152,Assumptions!$G$154)*12)&gt;V$3),1,0)</f>
        <v>1</v>
      </c>
      <c r="W197">
        <f>+IF(AND(SUM(W196:$BY196)=0,EDATE(Assumptions!$G$149,SUM(Assumptions!$G$150,Assumptions!$G$152,Assumptions!$G$154)*12)&gt;W$3),1,0)</f>
        <v>1</v>
      </c>
      <c r="X197">
        <f>+IF(AND(SUM(X196:$BY196)=0,EDATE(Assumptions!$G$149,SUM(Assumptions!$G$150,Assumptions!$G$152,Assumptions!$G$154)*12)&gt;X$3),1,0)</f>
        <v>1</v>
      </c>
      <c r="Y197">
        <f>+IF(AND(SUM(Y196:$BY196)=0,EDATE(Assumptions!$G$149,SUM(Assumptions!$G$150,Assumptions!$G$152,Assumptions!$G$154)*12)&gt;Y$3),1,0)</f>
        <v>1</v>
      </c>
      <c r="Z197">
        <f>+IF(AND(SUM(Z196:$BY196)=0,EDATE(Assumptions!$G$149,SUM(Assumptions!$G$150,Assumptions!$G$152,Assumptions!$G$154)*12)&gt;Z$3),1,0)</f>
        <v>1</v>
      </c>
      <c r="AA197">
        <f>+IF(AND(SUM(AA196:$BY196)=0,EDATE(Assumptions!$G$149,SUM(Assumptions!$G$150,Assumptions!$G$152,Assumptions!$G$154)*12)&gt;AA$3),1,0)</f>
        <v>0</v>
      </c>
      <c r="AB197">
        <f>+IF(AND(SUM(AB196:$BY196)=0,EDATE(Assumptions!$G$149,SUM(Assumptions!$G$150,Assumptions!$G$152,Assumptions!$G$154)*12)&gt;AB$3),1,0)</f>
        <v>0</v>
      </c>
      <c r="AC197">
        <f>+IF(AND(SUM(AC196:$BY196)=0,EDATE(Assumptions!$G$149,SUM(Assumptions!$G$150,Assumptions!$G$152,Assumptions!$G$154)*12)&gt;AC$3),1,0)</f>
        <v>0</v>
      </c>
      <c r="AD197">
        <f>+IF(AND(SUM(AD196:$BY196)=0,EDATE(Assumptions!$G$149,SUM(Assumptions!$G$150,Assumptions!$G$152,Assumptions!$G$154)*12)&gt;AD$3),1,0)</f>
        <v>0</v>
      </c>
      <c r="AE197">
        <f>+IF(AND(SUM(AE196:$BY196)=0,EDATE(Assumptions!$G$149,SUM(Assumptions!$G$150,Assumptions!$G$152,Assumptions!$G$154)*12)&gt;AE$3),1,0)</f>
        <v>0</v>
      </c>
      <c r="AF197">
        <f>+IF(AND(SUM(AF196:$BY196)=0,EDATE(Assumptions!$G$149,SUM(Assumptions!$G$150,Assumptions!$G$152,Assumptions!$G$154)*12)&gt;AF$3),1,0)</f>
        <v>0</v>
      </c>
      <c r="AG197">
        <f>+IF(AND(SUM(AG196:$BY196)=0,EDATE(Assumptions!$G$149,SUM(Assumptions!$G$150,Assumptions!$G$152,Assumptions!$G$154)*12)&gt;AG$3),1,0)</f>
        <v>0</v>
      </c>
      <c r="AH197">
        <f>+IF(AND(SUM(AH196:$BY196)=0,EDATE(Assumptions!$G$149,SUM(Assumptions!$G$150,Assumptions!$G$152,Assumptions!$G$154)*12)&gt;AH$3),1,0)</f>
        <v>0</v>
      </c>
      <c r="AI197">
        <f>+IF(AND(SUM(AI196:$BY196)=0,EDATE(Assumptions!$G$149,SUM(Assumptions!$G$150,Assumptions!$G$152,Assumptions!$G$154)*12)&gt;AI$3),1,0)</f>
        <v>0</v>
      </c>
      <c r="AJ197">
        <f>+IF(AND(SUM(AJ196:$BY196)=0,EDATE(Assumptions!$G$149,SUM(Assumptions!$G$150,Assumptions!$G$152,Assumptions!$G$154)*12)&gt;AJ$3),1,0)</f>
        <v>0</v>
      </c>
      <c r="AK197">
        <f>+IF(AND(SUM(AK196:$BY196)=0,EDATE(Assumptions!$G$149,SUM(Assumptions!$G$150,Assumptions!$G$152,Assumptions!$G$154)*12)&gt;AK$3),1,0)</f>
        <v>0</v>
      </c>
      <c r="AL197">
        <f>+IF(AND(SUM(AL196:$BY196)=0,EDATE(Assumptions!$G$149,SUM(Assumptions!$G$150,Assumptions!$G$152,Assumptions!$G$154)*12)&gt;AL$3),1,0)</f>
        <v>0</v>
      </c>
      <c r="AM197">
        <f>+IF(AND(SUM(AM196:$BY196)=0,EDATE(Assumptions!$G$149,SUM(Assumptions!$G$150,Assumptions!$G$152,Assumptions!$G$154)*12)&gt;AM$3),1,0)</f>
        <v>0</v>
      </c>
      <c r="AN197">
        <f>+IF(AND(SUM(AN196:$BY196)=0,EDATE(Assumptions!$G$149,SUM(Assumptions!$G$150,Assumptions!$G$152,Assumptions!$G$154)*12)&gt;AN$3),1,0)</f>
        <v>0</v>
      </c>
      <c r="AO197">
        <f>+IF(AND(SUM(AO196:$BY196)=0,EDATE(Assumptions!$G$149,SUM(Assumptions!$G$150,Assumptions!$G$152,Assumptions!$G$154)*12)&gt;AO$3),1,0)</f>
        <v>0</v>
      </c>
      <c r="AP197">
        <f>+IF(AND(SUM(AP196:$BY196)=0,EDATE(Assumptions!$G$149,SUM(Assumptions!$G$150,Assumptions!$G$152,Assumptions!$G$154)*12)&gt;AP$3),1,0)</f>
        <v>0</v>
      </c>
      <c r="AQ197">
        <f>+IF(AND(SUM(AQ196:$BY196)=0,EDATE(Assumptions!$G$149,SUM(Assumptions!$G$150,Assumptions!$G$152,Assumptions!$G$154)*12)&gt;AQ$3),1,0)</f>
        <v>0</v>
      </c>
      <c r="AR197">
        <f>+IF(AND(SUM(AR196:$BY196)=0,EDATE(Assumptions!$G$149,SUM(Assumptions!$G$150,Assumptions!$G$152,Assumptions!$G$154)*12)&gt;AR$3),1,0)</f>
        <v>0</v>
      </c>
      <c r="AS197">
        <f>+IF(AND(SUM(AS196:$BY196)=0,EDATE(Assumptions!$G$149,SUM(Assumptions!$G$150,Assumptions!$G$152,Assumptions!$G$154)*12)&gt;AS$3),1,0)</f>
        <v>0</v>
      </c>
      <c r="AT197">
        <f>+IF(AND(SUM(AT196:$BY196)=0,EDATE(Assumptions!$G$149,SUM(Assumptions!$G$150,Assumptions!$G$152,Assumptions!$G$154)*12)&gt;AT$3),1,0)</f>
        <v>0</v>
      </c>
      <c r="AU197">
        <f>+IF(AND(SUM(AU196:$BY196)=0,EDATE(Assumptions!$G$149,SUM(Assumptions!$G$150,Assumptions!$G$152,Assumptions!$G$154)*12)&gt;AU$3),1,0)</f>
        <v>0</v>
      </c>
      <c r="AV197">
        <f>+IF(AND(SUM(AV196:$BY196)=0,EDATE(Assumptions!$G$149,SUM(Assumptions!$G$150,Assumptions!$G$152,Assumptions!$G$154)*12)&gt;AV$3),1,0)</f>
        <v>0</v>
      </c>
      <c r="AW197">
        <f>+IF(AND(SUM(AW196:$BY196)=0,EDATE(Assumptions!$G$149,SUM(Assumptions!$G$150,Assumptions!$G$152,Assumptions!$G$154)*12)&gt;AW$3),1,0)</f>
        <v>0</v>
      </c>
      <c r="AX197">
        <f>+IF(AND(SUM(AX196:$BY196)=0,EDATE(Assumptions!$G$149,SUM(Assumptions!$G$150,Assumptions!$G$152,Assumptions!$G$154)*12)&gt;AX$3),1,0)</f>
        <v>0</v>
      </c>
      <c r="AY197">
        <f>+IF(AND(SUM(AY196:$BY196)=0,EDATE(Assumptions!$G$149,SUM(Assumptions!$G$150,Assumptions!$G$152,Assumptions!$G$154)*12)&gt;AY$3),1,0)</f>
        <v>0</v>
      </c>
      <c r="AZ197">
        <f>+IF(AND(SUM(AZ196:$BY196)=0,EDATE(Assumptions!$G$149,SUM(Assumptions!$G$150,Assumptions!$G$152,Assumptions!$G$154)*12)&gt;AZ$3),1,0)</f>
        <v>0</v>
      </c>
      <c r="BA197">
        <f>+IF(AND(SUM(BA196:$BY196)=0,EDATE(Assumptions!$G$149,SUM(Assumptions!$G$150,Assumptions!$G$152,Assumptions!$G$154)*12)&gt;BA$3),1,0)</f>
        <v>0</v>
      </c>
      <c r="BB197">
        <f>+IF(AND(SUM(BB196:$BY196)=0,EDATE(Assumptions!$G$149,SUM(Assumptions!$G$150,Assumptions!$G$152,Assumptions!$G$154)*12)&gt;BB$3),1,0)</f>
        <v>0</v>
      </c>
      <c r="BC197">
        <f>+IF(AND(SUM(BC196:$BY196)=0,EDATE(Assumptions!$G$149,SUM(Assumptions!$G$150,Assumptions!$G$152,Assumptions!$G$154)*12)&gt;BC$3),1,0)</f>
        <v>0</v>
      </c>
      <c r="BD197">
        <f>+IF(AND(SUM(BD196:$BY196)=0,EDATE(Assumptions!$G$149,SUM(Assumptions!$G$150,Assumptions!$G$152,Assumptions!$G$154)*12)&gt;BD$3),1,0)</f>
        <v>0</v>
      </c>
      <c r="BE197">
        <f>+IF(AND(SUM(BE196:$BY196)=0,EDATE(Assumptions!$G$149,SUM(Assumptions!$G$150,Assumptions!$G$152,Assumptions!$G$154)*12)&gt;BE$3),1,0)</f>
        <v>0</v>
      </c>
      <c r="BF197">
        <f>+IF(AND(SUM(BF196:$BY196)=0,EDATE(Assumptions!$G$149,SUM(Assumptions!$G$150,Assumptions!$G$152,Assumptions!$G$154)*12)&gt;BF$3),1,0)</f>
        <v>0</v>
      </c>
      <c r="BG197">
        <f>+IF(AND(SUM(BG196:$BY196)=0,EDATE(Assumptions!$G$149,SUM(Assumptions!$G$150,Assumptions!$G$152,Assumptions!$G$154)*12)&gt;BG$3),1,0)</f>
        <v>0</v>
      </c>
      <c r="BH197">
        <f>+IF(AND(SUM(BH196:$BY196)=0,EDATE(Assumptions!$G$149,SUM(Assumptions!$G$150,Assumptions!$G$152,Assumptions!$G$154)*12)&gt;BH$3),1,0)</f>
        <v>0</v>
      </c>
      <c r="BI197">
        <f>+IF(AND(SUM(BI196:$BY196)=0,EDATE(Assumptions!$G$149,SUM(Assumptions!$G$150,Assumptions!$G$152,Assumptions!$G$154)*12)&gt;BI$3),1,0)</f>
        <v>0</v>
      </c>
      <c r="BJ197">
        <f>+IF(AND(SUM(BJ196:$BY196)=0,EDATE(Assumptions!$G$149,SUM(Assumptions!$G$150,Assumptions!$G$152,Assumptions!$G$154)*12)&gt;BJ$3),1,0)</f>
        <v>0</v>
      </c>
      <c r="BK197">
        <f>+IF(AND(SUM(BK196:$BY196)=0,EDATE(Assumptions!$G$149,SUM(Assumptions!$G$150,Assumptions!$G$152,Assumptions!$G$154)*12)&gt;BK$3),1,0)</f>
        <v>0</v>
      </c>
      <c r="BL197">
        <f>+IF(AND(SUM(BL196:$BY196)=0,EDATE(Assumptions!$G$149,SUM(Assumptions!$G$150,Assumptions!$G$152,Assumptions!$G$154)*12)&gt;BL$3),1,0)</f>
        <v>0</v>
      </c>
      <c r="BM197">
        <f>+IF(AND(SUM(BM196:$BY196)=0,EDATE(Assumptions!$G$149,SUM(Assumptions!$G$150,Assumptions!$G$152,Assumptions!$G$154)*12)&gt;BM$3),1,0)</f>
        <v>0</v>
      </c>
      <c r="BN197">
        <f>+IF(AND(SUM(BN196:$BY196)=0,EDATE(Assumptions!$G$149,SUM(Assumptions!$G$150,Assumptions!$G$152,Assumptions!$G$154)*12)&gt;BN$3),1,0)</f>
        <v>0</v>
      </c>
      <c r="BO197">
        <f>+IF(AND(SUM(BO196:$BY196)=0,EDATE(Assumptions!$G$149,SUM(Assumptions!$G$150,Assumptions!$G$152,Assumptions!$G$154)*12)&gt;BO$3),1,0)</f>
        <v>0</v>
      </c>
      <c r="BP197">
        <f>+IF(AND(SUM(BP196:$BY196)=0,EDATE(Assumptions!$G$149,SUM(Assumptions!$G$150,Assumptions!$G$152,Assumptions!$G$154)*12)&gt;BP$3),1,0)</f>
        <v>0</v>
      </c>
      <c r="BQ197">
        <f>+IF(AND(SUM(BQ196:$BY196)=0,EDATE(Assumptions!$G$149,SUM(Assumptions!$G$150,Assumptions!$G$152,Assumptions!$G$154)*12)&gt;BQ$3),1,0)</f>
        <v>0</v>
      </c>
      <c r="BR197">
        <f>+IF(AND(SUM(BR196:$BY196)=0,EDATE(Assumptions!$G$149,SUM(Assumptions!$G$150,Assumptions!$G$152,Assumptions!$G$154)*12)&gt;BR$3),1,0)</f>
        <v>0</v>
      </c>
      <c r="BS197">
        <f>+IF(AND(SUM(BS196:$BY196)=0,EDATE(Assumptions!$G$149,SUM(Assumptions!$G$150,Assumptions!$G$152,Assumptions!$G$154)*12)&gt;BS$3),1,0)</f>
        <v>0</v>
      </c>
      <c r="BT197">
        <f>+IF(AND(SUM(BT196:$BY196)=0,EDATE(Assumptions!$G$149,SUM(Assumptions!$G$150,Assumptions!$G$152,Assumptions!$G$154)*12)&gt;BT$3),1,0)</f>
        <v>0</v>
      </c>
      <c r="BU197">
        <f>+IF(AND(SUM(BU196:$BY196)=0,EDATE(Assumptions!$G$149,SUM(Assumptions!$G$150,Assumptions!$G$152,Assumptions!$G$154)*12)&gt;BU$3),1,0)</f>
        <v>0</v>
      </c>
      <c r="BV197">
        <f>+IF(AND(SUM(BV196:$BY196)=0,EDATE(Assumptions!$G$149,SUM(Assumptions!$G$150,Assumptions!$G$152,Assumptions!$G$154)*12)&gt;BV$3),1,0)</f>
        <v>0</v>
      </c>
      <c r="BW197">
        <f>+IF(AND(SUM(BW196:$BY196)=0,EDATE(Assumptions!$G$149,SUM(Assumptions!$G$150,Assumptions!$G$152,Assumptions!$G$154)*12)&gt;BW$3),1,0)</f>
        <v>0</v>
      </c>
      <c r="BX197">
        <f>+IF(AND(SUM(BX196:$BY196)=0,EDATE(Assumptions!$G$149,SUM(Assumptions!$G$150,Assumptions!$G$152,Assumptions!$G$154)*12)&gt;BX$3),1,0)</f>
        <v>0</v>
      </c>
      <c r="BY197">
        <f>+IF(AND(SUM(BY196:$BY196)=0,EDATE(Assumptions!$G$149,SUM(Assumptions!$G$150,Assumptions!$G$152,Assumptions!$G$154)*12)&gt;BY$3),1,0)</f>
        <v>0</v>
      </c>
    </row>
    <row r="198" spans="2:77" outlineLevel="1">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row>
    <row r="199" spans="2:77" s="19" customFormat="1" ht="12.75" outlineLevel="1">
      <c r="B199" s="18" t="s">
        <v>255</v>
      </c>
    </row>
    <row r="200" spans="2:77" outlineLevel="1">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row>
    <row r="201" spans="2:77" ht="15" outlineLevel="1">
      <c r="C201" s="74" t="s">
        <v>489</v>
      </c>
      <c r="E201" s="22" t="s">
        <v>460</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row>
    <row r="202" spans="2:77" ht="15" outlineLevel="1">
      <c r="C202" s="74"/>
      <c r="E202" t="s">
        <v>197</v>
      </c>
      <c r="F202" s="80" t="str">
        <f>+Assumptions!$G$8</f>
        <v>USD</v>
      </c>
      <c r="H202" s="33">
        <f>IFERROR((1+Sensitivity_tables!$N$13)*IF(AND(H189=1,Assumptions!$G$133="Detailed",Assumptions!$G$132="yes"),-Assumptions_Detailed!H$52,IF(H189=1,-Assumptions!$G$135/SUM($H$189:$BY$189)*H185,0)),0)</f>
        <v>0</v>
      </c>
      <c r="I202" s="33">
        <f>IFERROR((1+Sensitivity_tables!$N$13)*IF(AND(I189=1,Assumptions!$G$133="Detailed",Assumptions!$G$132="yes"),-Assumptions_Detailed!I$52,IF(I189=1,-Assumptions!$G$135/SUM($H$189:$BY$189)*I185,0)),0)</f>
        <v>0</v>
      </c>
      <c r="J202" s="33">
        <f>IFERROR((1+Sensitivity_tables!$N$13)*IF(AND(J189=1,Assumptions!$G$133="Detailed",Assumptions!$G$132="yes"),-Assumptions_Detailed!J$52,IF(J189=1,-Assumptions!$G$135/SUM($H$189:$BY$189)*J185,0)),0)</f>
        <v>0</v>
      </c>
      <c r="K202" s="33">
        <f>IFERROR((1+Sensitivity_tables!$N$13)*IF(AND(K189=1,Assumptions!$G$133="Detailed",Assumptions!$G$132="yes"),-Assumptions_Detailed!K$52,IF(K189=1,-Assumptions!$G$135/SUM($H$189:$BY$189)*K185,0)),0)</f>
        <v>0</v>
      </c>
      <c r="L202" s="33">
        <f>IFERROR((1+Sensitivity_tables!$N$13)*IF(AND(L189=1,Assumptions!$G$133="Detailed",Assumptions!$G$132="yes"),-Assumptions_Detailed!L$52,IF(L189=1,-Assumptions!$G$135/SUM($H$189:$BY$189)*L185,0)),0)</f>
        <v>0</v>
      </c>
      <c r="M202" s="33">
        <f>IFERROR((1+Sensitivity_tables!$N$13)*IF(AND(M189=1,Assumptions!$G$133="Detailed",Assumptions!$G$132="yes"),-Assumptions_Detailed!M$52,IF(M189=1,-Assumptions!$G$135/SUM($H$189:$BY$189)*M185,0)),0)</f>
        <v>0</v>
      </c>
      <c r="N202" s="33">
        <f>IFERROR((1+Sensitivity_tables!$N$13)*IF(AND(N189=1,Assumptions!$G$133="Detailed",Assumptions!$G$132="yes"),-Assumptions_Detailed!N$52,IF(N189=1,-Assumptions!$G$135/SUM($H$189:$BY$189)*N185,0)),0)</f>
        <v>0</v>
      </c>
      <c r="O202" s="33">
        <f>IFERROR((1+Sensitivity_tables!$N$13)*IF(AND(O189=1,Assumptions!$G$133="Detailed",Assumptions!$G$132="yes"),-Assumptions_Detailed!O$52,IF(O189=1,-Assumptions!$G$135/SUM($H$189:$BY$189)*O185,0)),0)</f>
        <v>0</v>
      </c>
      <c r="P202" s="33">
        <f>IFERROR((1+Sensitivity_tables!$N$13)*IF(AND(P189=1,Assumptions!$G$133="Detailed",Assumptions!$G$132="yes"),-Assumptions_Detailed!P$52,IF(P189=1,-Assumptions!$G$135/SUM($H$189:$BY$189)*P185,0)),0)</f>
        <v>0</v>
      </c>
      <c r="Q202" s="33">
        <f>IFERROR((1+Sensitivity_tables!$N$13)*IF(AND(Q189=1,Assumptions!$G$133="Detailed",Assumptions!$G$132="yes"),-Assumptions_Detailed!Q$52,IF(Q189=1,-Assumptions!$G$135/SUM($H$189:$BY$189)*Q185,0)),0)</f>
        <v>0</v>
      </c>
      <c r="R202" s="33">
        <f>IFERROR((1+Sensitivity_tables!$N$13)*IF(AND(R189=1,Assumptions!$G$133="Detailed",Assumptions!$G$132="yes"),-Assumptions_Detailed!R$52,IF(R189=1,-Assumptions!$G$135/SUM($H$189:$BY$189)*R185,0)),0)</f>
        <v>0</v>
      </c>
      <c r="S202" s="33">
        <f>IFERROR((1+Sensitivity_tables!$N$13)*IF(AND(S189=1,Assumptions!$G$133="Detailed",Assumptions!$G$132="yes"),-Assumptions_Detailed!S$52,IF(S189=1,-Assumptions!$G$135/SUM($H$189:$BY$189)*S185,0)),0)</f>
        <v>0</v>
      </c>
      <c r="T202" s="33">
        <f>IFERROR((1+Sensitivity_tables!$N$13)*IF(AND(T189=1,Assumptions!$G$133="Detailed",Assumptions!$G$132="yes"),-Assumptions_Detailed!T$52,IF(T189=1,-Assumptions!$G$135/SUM($H$189:$BY$189)*T185,0)),0)</f>
        <v>0</v>
      </c>
      <c r="U202" s="33">
        <f>IFERROR((1+Sensitivity_tables!$N$13)*IF(AND(U189=1,Assumptions!$G$133="Detailed",Assumptions!$G$132="yes"),-Assumptions_Detailed!U$52,IF(U189=1,-Assumptions!$G$135/SUM($H$189:$BY$189)*U185,0)),0)</f>
        <v>0</v>
      </c>
      <c r="V202" s="33">
        <f>IFERROR((1+Sensitivity_tables!$N$13)*IF(AND(V189=1,Assumptions!$G$133="Detailed",Assumptions!$G$132="yes"),-Assumptions_Detailed!V$52,IF(V189=1,-Assumptions!$G$135/SUM($H$189:$BY$189)*V185,0)),0)</f>
        <v>0</v>
      </c>
      <c r="W202" s="33">
        <f>IFERROR((1+Sensitivity_tables!$N$13)*IF(AND(W189=1,Assumptions!$G$133="Detailed",Assumptions!$G$132="yes"),-Assumptions_Detailed!W$52,IF(W189=1,-Assumptions!$G$135/SUM($H$189:$BY$189)*W185,0)),0)</f>
        <v>0</v>
      </c>
      <c r="X202" s="33">
        <f>IFERROR((1+Sensitivity_tables!$N$13)*IF(AND(X189=1,Assumptions!$G$133="Detailed",Assumptions!$G$132="yes"),-Assumptions_Detailed!X$52,IF(X189=1,-Assumptions!$G$135/SUM($H$189:$BY$189)*X185,0)),0)</f>
        <v>0</v>
      </c>
      <c r="Y202" s="33">
        <f>IFERROR((1+Sensitivity_tables!$N$13)*IF(AND(Y189=1,Assumptions!$G$133="Detailed",Assumptions!$G$132="yes"),-Assumptions_Detailed!Y$52,IF(Y189=1,-Assumptions!$G$135/SUM($H$189:$BY$189)*Y185,0)),0)</f>
        <v>0</v>
      </c>
      <c r="Z202" s="33">
        <f>IFERROR((1+Sensitivity_tables!$N$13)*IF(AND(Z189=1,Assumptions!$G$133="Detailed",Assumptions!$G$132="yes"),-Assumptions_Detailed!Z$52,IF(Z189=1,-Assumptions!$G$135/SUM($H$189:$BY$189)*Z185,0)),0)</f>
        <v>0</v>
      </c>
      <c r="AA202" s="33">
        <f>IFERROR((1+Sensitivity_tables!$N$13)*IF(AND(AA189=1,Assumptions!$G$133="Detailed",Assumptions!$G$132="yes"),-Assumptions_Detailed!AA$52,IF(AA189=1,-Assumptions!$G$135/SUM($H$189:$BY$189)*AA185,0)),0)</f>
        <v>0</v>
      </c>
      <c r="AB202" s="33">
        <f>IFERROR((1+Sensitivity_tables!$N$13)*IF(AND(AB189=1,Assumptions!$G$133="Detailed",Assumptions!$G$132="yes"),-Assumptions_Detailed!AB$52,IF(AB189=1,-Assumptions!$G$135/SUM($H$189:$BY$189)*AB185,0)),0)</f>
        <v>0</v>
      </c>
      <c r="AC202" s="33">
        <f>IFERROR((1+Sensitivity_tables!$N$13)*IF(AND(AC189=1,Assumptions!$G$133="Detailed",Assumptions!$G$132="yes"),-Assumptions_Detailed!AC$52,IF(AC189=1,-Assumptions!$G$135/SUM($H$189:$BY$189)*AC185,0)),0)</f>
        <v>0</v>
      </c>
      <c r="AD202" s="33">
        <f>IFERROR((1+Sensitivity_tables!$N$13)*IF(AND(AD189=1,Assumptions!$G$133="Detailed",Assumptions!$G$132="yes"),-Assumptions_Detailed!AD$52,IF(AD189=1,-Assumptions!$G$135/SUM($H$189:$BY$189)*AD185,0)),0)</f>
        <v>0</v>
      </c>
      <c r="AE202" s="33">
        <f>IFERROR((1+Sensitivity_tables!$N$13)*IF(AND(AE189=1,Assumptions!$G$133="Detailed",Assumptions!$G$132="yes"),-Assumptions_Detailed!AE$52,IF(AE189=1,-Assumptions!$G$135/SUM($H$189:$BY$189)*AE185,0)),0)</f>
        <v>0</v>
      </c>
      <c r="AF202" s="33">
        <f>IFERROR((1+Sensitivity_tables!$N$13)*IF(AND(AF189=1,Assumptions!$G$133="Detailed",Assumptions!$G$132="yes"),-Assumptions_Detailed!AF$52,IF(AF189=1,-Assumptions!$G$135/SUM($H$189:$BY$189)*AF185,0)),0)</f>
        <v>0</v>
      </c>
      <c r="AG202" s="33">
        <f>IFERROR((1+Sensitivity_tables!$N$13)*IF(AND(AG189=1,Assumptions!$G$133="Detailed",Assumptions!$G$132="yes"),-Assumptions_Detailed!AG$52,IF(AG189=1,-Assumptions!$G$135/SUM($H$189:$BY$189)*AG185,0)),0)</f>
        <v>0</v>
      </c>
      <c r="AH202" s="33">
        <f>IFERROR((1+Sensitivity_tables!$N$13)*IF(AND(AH189=1,Assumptions!$G$133="Detailed",Assumptions!$G$132="yes"),-Assumptions_Detailed!AH$52,IF(AH189=1,-Assumptions!$G$135/SUM($H$189:$BY$189)*AH185,0)),0)</f>
        <v>0</v>
      </c>
      <c r="AI202" s="33">
        <f>IFERROR((1+Sensitivity_tables!$N$13)*IF(AND(AI189=1,Assumptions!$G$133="Detailed",Assumptions!$G$132="yes"),-Assumptions_Detailed!AI$52,IF(AI189=1,-Assumptions!$G$135/SUM($H$189:$BY$189)*AI185,0)),0)</f>
        <v>0</v>
      </c>
      <c r="AJ202" s="33">
        <f>IFERROR((1+Sensitivity_tables!$N$13)*IF(AND(AJ189=1,Assumptions!$G$133="Detailed",Assumptions!$G$132="yes"),-Assumptions_Detailed!AJ$52,IF(AJ189=1,-Assumptions!$G$135/SUM($H$189:$BY$189)*AJ185,0)),0)</f>
        <v>0</v>
      </c>
      <c r="AK202" s="33">
        <f>IFERROR((1+Sensitivity_tables!$N$13)*IF(AND(AK189=1,Assumptions!$G$133="Detailed",Assumptions!$G$132="yes"),-Assumptions_Detailed!AK$52,IF(AK189=1,-Assumptions!$G$135/SUM($H$189:$BY$189)*AK185,0)),0)</f>
        <v>0</v>
      </c>
      <c r="AL202" s="33">
        <f>IFERROR((1+Sensitivity_tables!$N$13)*IF(AND(AL189=1,Assumptions!$G$133="Detailed",Assumptions!$G$132="yes"),-Assumptions_Detailed!AL$52,IF(AL189=1,-Assumptions!$G$135/SUM($H$189:$BY$189)*AL185,0)),0)</f>
        <v>0</v>
      </c>
      <c r="AM202" s="33">
        <f>IFERROR((1+Sensitivity_tables!$N$13)*IF(AND(AM189=1,Assumptions!$G$133="Detailed",Assumptions!$G$132="yes"),-Assumptions_Detailed!AM$52,IF(AM189=1,-Assumptions!$G$135/SUM($H$189:$BY$189)*AM185,0)),0)</f>
        <v>0</v>
      </c>
      <c r="AN202" s="33">
        <f>IFERROR((1+Sensitivity_tables!$N$13)*IF(AND(AN189=1,Assumptions!$G$133="Detailed",Assumptions!$G$132="yes"),-Assumptions_Detailed!AN$52,IF(AN189=1,-Assumptions!$G$135/SUM($H$189:$BY$189)*AN185,0)),0)</f>
        <v>0</v>
      </c>
      <c r="AO202" s="33">
        <f>IFERROR((1+Sensitivity_tables!$N$13)*IF(AND(AO189=1,Assumptions!$G$133="Detailed",Assumptions!$G$132="yes"),-Assumptions_Detailed!AO$52,IF(AO189=1,-Assumptions!$G$135/SUM($H$189:$BY$189)*AO185,0)),0)</f>
        <v>0</v>
      </c>
      <c r="AP202" s="33">
        <f>IFERROR((1+Sensitivity_tables!$N$13)*IF(AND(AP189=1,Assumptions!$G$133="Detailed",Assumptions!$G$132="yes"),-Assumptions_Detailed!AP$52,IF(AP189=1,-Assumptions!$G$135/SUM($H$189:$BY$189)*AP185,0)),0)</f>
        <v>0</v>
      </c>
      <c r="AQ202" s="33">
        <f>IFERROR((1+Sensitivity_tables!$N$13)*IF(AND(AQ189=1,Assumptions!$G$133="Detailed",Assumptions!$G$132="yes"),-Assumptions_Detailed!AQ$52,IF(AQ189=1,-Assumptions!$G$135/SUM($H$189:$BY$189)*AQ185,0)),0)</f>
        <v>0</v>
      </c>
      <c r="AR202" s="33">
        <f>IFERROR((1+Sensitivity_tables!$N$13)*IF(AND(AR189=1,Assumptions!$G$133="Detailed",Assumptions!$G$132="yes"),-Assumptions_Detailed!AR$52,IF(AR189=1,-Assumptions!$G$135/SUM($H$189:$BY$189)*AR185,0)),0)</f>
        <v>0</v>
      </c>
      <c r="AS202" s="33">
        <f>IFERROR((1+Sensitivity_tables!$N$13)*IF(AND(AS189=1,Assumptions!$G$133="Detailed",Assumptions!$G$132="yes"),-Assumptions_Detailed!AS$52,IF(AS189=1,-Assumptions!$G$135/SUM($H$189:$BY$189)*AS185,0)),0)</f>
        <v>0</v>
      </c>
      <c r="AT202" s="33">
        <f>IFERROR((1+Sensitivity_tables!$N$13)*IF(AND(AT189=1,Assumptions!$G$133="Detailed",Assumptions!$G$132="yes"),-Assumptions_Detailed!AT$52,IF(AT189=1,-Assumptions!$G$135/SUM($H$189:$BY$189)*AT185,0)),0)</f>
        <v>0</v>
      </c>
      <c r="AU202" s="33">
        <f>IFERROR((1+Sensitivity_tables!$N$13)*IF(AND(AU189=1,Assumptions!$G$133="Detailed",Assumptions!$G$132="yes"),-Assumptions_Detailed!AU$52,IF(AU189=1,-Assumptions!$G$135/SUM($H$189:$BY$189)*AU185,0)),0)</f>
        <v>0</v>
      </c>
      <c r="AV202" s="33">
        <f>IFERROR((1+Sensitivity_tables!$N$13)*IF(AND(AV189=1,Assumptions!$G$133="Detailed",Assumptions!$G$132="yes"),-Assumptions_Detailed!AV$52,IF(AV189=1,-Assumptions!$G$135/SUM($H$189:$BY$189)*AV185,0)),0)</f>
        <v>0</v>
      </c>
      <c r="AW202" s="33">
        <f>IFERROR((1+Sensitivity_tables!$N$13)*IF(AND(AW189=1,Assumptions!$G$133="Detailed",Assumptions!$G$132="yes"),-Assumptions_Detailed!AW$52,IF(AW189=1,-Assumptions!$G$135/SUM($H$189:$BY$189)*AW185,0)),0)</f>
        <v>0</v>
      </c>
      <c r="AX202" s="33">
        <f>IFERROR((1+Sensitivity_tables!$N$13)*IF(AND(AX189=1,Assumptions!$G$133="Detailed",Assumptions!$G$132="yes"),-Assumptions_Detailed!AX$52,IF(AX189=1,-Assumptions!$G$135/SUM($H$189:$BY$189)*AX185,0)),0)</f>
        <v>0</v>
      </c>
      <c r="AY202" s="33">
        <f>IFERROR((1+Sensitivity_tables!$N$13)*IF(AND(AY189=1,Assumptions!$G$133="Detailed",Assumptions!$G$132="yes"),-Assumptions_Detailed!AY$52,IF(AY189=1,-Assumptions!$G$135/SUM($H$189:$BY$189)*AY185,0)),0)</f>
        <v>0</v>
      </c>
      <c r="AZ202" s="33">
        <f>IFERROR((1+Sensitivity_tables!$N$13)*IF(AND(AZ189=1,Assumptions!$G$133="Detailed",Assumptions!$G$132="yes"),-Assumptions_Detailed!AZ$52,IF(AZ189=1,-Assumptions!$G$135/SUM($H$189:$BY$189)*AZ185,0)),0)</f>
        <v>0</v>
      </c>
      <c r="BA202" s="33">
        <f>IFERROR((1+Sensitivity_tables!$N$13)*IF(AND(BA189=1,Assumptions!$G$133="Detailed",Assumptions!$G$132="yes"),-Assumptions_Detailed!BA$52,IF(BA189=1,-Assumptions!$G$135/SUM($H$189:$BY$189)*BA185,0)),0)</f>
        <v>0</v>
      </c>
      <c r="BB202" s="33">
        <f>IFERROR((1+Sensitivity_tables!$N$13)*IF(AND(BB189=1,Assumptions!$G$133="Detailed",Assumptions!$G$132="yes"),-Assumptions_Detailed!BB$52,IF(BB189=1,-Assumptions!$G$135/SUM($H$189:$BY$189)*BB185,0)),0)</f>
        <v>0</v>
      </c>
      <c r="BC202" s="33">
        <f>IFERROR((1+Sensitivity_tables!$N$13)*IF(AND(BC189=1,Assumptions!$G$133="Detailed",Assumptions!$G$132="yes"),-Assumptions_Detailed!BC$52,IF(BC189=1,-Assumptions!$G$135/SUM($H$189:$BY$189)*BC185,0)),0)</f>
        <v>0</v>
      </c>
      <c r="BD202" s="33">
        <f>IFERROR((1+Sensitivity_tables!$N$13)*IF(AND(BD189=1,Assumptions!$G$133="Detailed",Assumptions!$G$132="yes"),-Assumptions_Detailed!BD$52,IF(BD189=1,-Assumptions!$G$135/SUM($H$189:$BY$189)*BD185,0)),0)</f>
        <v>0</v>
      </c>
      <c r="BE202" s="33">
        <f>IFERROR((1+Sensitivity_tables!$N$13)*IF(AND(BE189=1,Assumptions!$G$133="Detailed",Assumptions!$G$132="yes"),-Assumptions_Detailed!BE$52,IF(BE189=1,-Assumptions!$G$135/SUM($H$189:$BY$189)*BE185,0)),0)</f>
        <v>0</v>
      </c>
      <c r="BF202" s="33">
        <f>IFERROR((1+Sensitivity_tables!$N$13)*IF(AND(BF189=1,Assumptions!$G$133="Detailed",Assumptions!$G$132="yes"),-Assumptions_Detailed!BF$52,IF(BF189=1,-Assumptions!$G$135/SUM($H$189:$BY$189)*BF185,0)),0)</f>
        <v>0</v>
      </c>
      <c r="BG202" s="33">
        <f>IFERROR((1+Sensitivity_tables!$N$13)*IF(AND(BG189=1,Assumptions!$G$133="Detailed",Assumptions!$G$132="yes"),-Assumptions_Detailed!BG$52,IF(BG189=1,-Assumptions!$G$135/SUM($H$189:$BY$189)*BG185,0)),0)</f>
        <v>0</v>
      </c>
      <c r="BH202" s="33">
        <f>IFERROR((1+Sensitivity_tables!$N$13)*IF(AND(BH189=1,Assumptions!$G$133="Detailed",Assumptions!$G$132="yes"),-Assumptions_Detailed!BH$52,IF(BH189=1,-Assumptions!$G$135/SUM($H$189:$BY$189)*BH185,0)),0)</f>
        <v>0</v>
      </c>
      <c r="BI202" s="33">
        <f>IFERROR((1+Sensitivity_tables!$N$13)*IF(AND(BI189=1,Assumptions!$G$133="Detailed",Assumptions!$G$132="yes"),-Assumptions_Detailed!BI$52,IF(BI189=1,-Assumptions!$G$135/SUM($H$189:$BY$189)*BI185,0)),0)</f>
        <v>0</v>
      </c>
      <c r="BJ202" s="33">
        <f>IFERROR((1+Sensitivity_tables!$N$13)*IF(AND(BJ189=1,Assumptions!$G$133="Detailed",Assumptions!$G$132="yes"),-Assumptions_Detailed!BJ$52,IF(BJ189=1,-Assumptions!$G$135/SUM($H$189:$BY$189)*BJ185,0)),0)</f>
        <v>0</v>
      </c>
      <c r="BK202" s="33">
        <f>IFERROR((1+Sensitivity_tables!$N$13)*IF(AND(BK189=1,Assumptions!$G$133="Detailed",Assumptions!$G$132="yes"),-Assumptions_Detailed!BK$52,IF(BK189=1,-Assumptions!$G$135/SUM($H$189:$BY$189)*BK185,0)),0)</f>
        <v>0</v>
      </c>
      <c r="BL202" s="33">
        <f>IFERROR((1+Sensitivity_tables!$N$13)*IF(AND(BL189=1,Assumptions!$G$133="Detailed",Assumptions!$G$132="yes"),-Assumptions_Detailed!BL$52,IF(BL189=1,-Assumptions!$G$135/SUM($H$189:$BY$189)*BL185,0)),0)</f>
        <v>0</v>
      </c>
      <c r="BM202" s="33">
        <f>IFERROR((1+Sensitivity_tables!$N$13)*IF(AND(BM189=1,Assumptions!$G$133="Detailed",Assumptions!$G$132="yes"),-Assumptions_Detailed!BM$52,IF(BM189=1,-Assumptions!$G$135/SUM($H$189:$BY$189)*BM185,0)),0)</f>
        <v>0</v>
      </c>
      <c r="BN202" s="33">
        <f>IFERROR((1+Sensitivity_tables!$N$13)*IF(AND(BN189=1,Assumptions!$G$133="Detailed",Assumptions!$G$132="yes"),-Assumptions_Detailed!BN$52,IF(BN189=1,-Assumptions!$G$135/SUM($H$189:$BY$189)*BN185,0)),0)</f>
        <v>0</v>
      </c>
      <c r="BO202" s="33">
        <f>IFERROR((1+Sensitivity_tables!$N$13)*IF(AND(BO189=1,Assumptions!$G$133="Detailed",Assumptions!$G$132="yes"),-Assumptions_Detailed!BO$52,IF(BO189=1,-Assumptions!$G$135/SUM($H$189:$BY$189)*BO185,0)),0)</f>
        <v>0</v>
      </c>
      <c r="BP202" s="33">
        <f>IFERROR((1+Sensitivity_tables!$N$13)*IF(AND(BP189=1,Assumptions!$G$133="Detailed",Assumptions!$G$132="yes"),-Assumptions_Detailed!BP$52,IF(BP189=1,-Assumptions!$G$135/SUM($H$189:$BY$189)*BP185,0)),0)</f>
        <v>0</v>
      </c>
      <c r="BQ202" s="33">
        <f>IFERROR((1+Sensitivity_tables!$N$13)*IF(AND(BQ189=1,Assumptions!$G$133="Detailed",Assumptions!$G$132="yes"),-Assumptions_Detailed!BQ$52,IF(BQ189=1,-Assumptions!$G$135/SUM($H$189:$BY$189)*BQ185,0)),0)</f>
        <v>0</v>
      </c>
      <c r="BR202" s="33">
        <f>IFERROR((1+Sensitivity_tables!$N$13)*IF(AND(BR189=1,Assumptions!$G$133="Detailed",Assumptions!$G$132="yes"),-Assumptions_Detailed!BR$52,IF(BR189=1,-Assumptions!$G$135/SUM($H$189:$BY$189)*BR185,0)),0)</f>
        <v>0</v>
      </c>
      <c r="BS202" s="33">
        <f>IFERROR((1+Sensitivity_tables!$N$13)*IF(AND(BS189=1,Assumptions!$G$133="Detailed",Assumptions!$G$132="yes"),-Assumptions_Detailed!BS$52,IF(BS189=1,-Assumptions!$G$135/SUM($H$189:$BY$189)*BS185,0)),0)</f>
        <v>0</v>
      </c>
      <c r="BT202" s="33">
        <f>IFERROR((1+Sensitivity_tables!$N$13)*IF(AND(BT189=1,Assumptions!$G$133="Detailed",Assumptions!$G$132="yes"),-Assumptions_Detailed!BT$52,IF(BT189=1,-Assumptions!$G$135/SUM($H$189:$BY$189)*BT185,0)),0)</f>
        <v>0</v>
      </c>
      <c r="BU202" s="33">
        <f>IFERROR((1+Sensitivity_tables!$N$13)*IF(AND(BU189=1,Assumptions!$G$133="Detailed",Assumptions!$G$132="yes"),-Assumptions_Detailed!BU$52,IF(BU189=1,-Assumptions!$G$135/SUM($H$189:$BY$189)*BU185,0)),0)</f>
        <v>0</v>
      </c>
      <c r="BV202" s="33">
        <f>IFERROR((1+Sensitivity_tables!$N$13)*IF(AND(BV189=1,Assumptions!$G$133="Detailed",Assumptions!$G$132="yes"),-Assumptions_Detailed!BV$52,IF(BV189=1,-Assumptions!$G$135/SUM($H$189:$BY$189)*BV185,0)),0)</f>
        <v>0</v>
      </c>
      <c r="BW202" s="33">
        <f>IFERROR((1+Sensitivity_tables!$N$13)*IF(AND(BW189=1,Assumptions!$G$133="Detailed",Assumptions!$G$132="yes"),-Assumptions_Detailed!BW$52,IF(BW189=1,-Assumptions!$G$135/SUM($H$189:$BY$189)*BW185,0)),0)</f>
        <v>0</v>
      </c>
      <c r="BX202" s="33">
        <f>IFERROR((1+Sensitivity_tables!$N$13)*IF(AND(BX189=1,Assumptions!$G$133="Detailed",Assumptions!$G$132="yes"),-Assumptions_Detailed!BX$52,IF(BX189=1,-Assumptions!$G$135/SUM($H$189:$BY$189)*BX185,0)),0)</f>
        <v>0</v>
      </c>
      <c r="BY202" s="33">
        <f>IFERROR((1+Sensitivity_tables!$N$13)*IF(AND(BY189=1,Assumptions!$G$133="Detailed",Assumptions!$G$132="yes"),-Assumptions_Detailed!BY$52,IF(BY189=1,-Assumptions!$G$135/SUM($H$189:$BY$189)*BY185,0)),0)</f>
        <v>0</v>
      </c>
    </row>
    <row r="203" spans="2:77" outlineLevel="1">
      <c r="C203" s="76">
        <f>+SUM(H203:BY203)</f>
        <v>-6429909.4785201959</v>
      </c>
      <c r="E203" s="25" t="s">
        <v>200</v>
      </c>
      <c r="F203" s="81" t="str">
        <f>+Assumptions!$G$8</f>
        <v>USD</v>
      </c>
      <c r="G203" s="30"/>
      <c r="H203" s="73">
        <f>IFERROR((1+Sensitivity_tables!$N$13)*IF(AND(H190=1,Assumptions!$G$139="Detailed",Assumptions!$G$138="yes"),-Assumptions_Detailed!H$53,IF(H190=1,-Assumptions!$G$141/SUM($H$190:$BY$190)*H185,0)),0)</f>
        <v>0</v>
      </c>
      <c r="I203" s="73">
        <f>IFERROR((1+Sensitivity_tables!$N$13)*IF(AND(I190=1,Assumptions!$G$139="Detailed",Assumptions!$G$138="yes"),-Assumptions_Detailed!I$53,IF(I190=1,-Assumptions!$G$141/SUM($H$190:$BY$190)*I185,0)),0)</f>
        <v>-3183123.5042179185</v>
      </c>
      <c r="J203" s="73">
        <f>IFERROR((1+Sensitivity_tables!$N$13)*IF(AND(J190=1,Assumptions!$G$139="Detailed",Assumptions!$G$138="yes"),-Assumptions_Detailed!J$53,IF(J190=1,-Assumptions!$G$141/SUM($H$190:$BY$190)*J185,0)),0)</f>
        <v>-3246785.974302277</v>
      </c>
      <c r="K203" s="73">
        <f>IFERROR((1+Sensitivity_tables!$N$13)*IF(AND(K190=1,Assumptions!$G$139="Detailed",Assumptions!$G$138="yes"),-Assumptions_Detailed!K$53,IF(K190=1,-Assumptions!$G$141/SUM($H$190:$BY$190)*K185,0)),0)</f>
        <v>0</v>
      </c>
      <c r="L203" s="73">
        <f>IFERROR((1+Sensitivity_tables!$N$13)*IF(AND(L190=1,Assumptions!$G$139="Detailed",Assumptions!$G$138="yes"),-Assumptions_Detailed!L$53,IF(L190=1,-Assumptions!$G$141/SUM($H$190:$BY$190)*L185,0)),0)</f>
        <v>0</v>
      </c>
      <c r="M203" s="73">
        <f>IFERROR((1+Sensitivity_tables!$N$13)*IF(AND(M190=1,Assumptions!$G$139="Detailed",Assumptions!$G$138="yes"),-Assumptions_Detailed!M$53,IF(M190=1,-Assumptions!$G$141/SUM($H$190:$BY$190)*M185,0)),0)</f>
        <v>0</v>
      </c>
      <c r="N203" s="73">
        <f>IFERROR((1+Sensitivity_tables!$N$13)*IF(AND(N190=1,Assumptions!$G$139="Detailed",Assumptions!$G$138="yes"),-Assumptions_Detailed!N$53,IF(N190=1,-Assumptions!$G$141/SUM($H$190:$BY$190)*N185,0)),0)</f>
        <v>0</v>
      </c>
      <c r="O203" s="73">
        <f>IFERROR((1+Sensitivity_tables!$N$13)*IF(AND(O190=1,Assumptions!$G$139="Detailed",Assumptions!$G$138="yes"),-Assumptions_Detailed!O$53,IF(O190=1,-Assumptions!$G$141/SUM($H$190:$BY$190)*O185,0)),0)</f>
        <v>0</v>
      </c>
      <c r="P203" s="73">
        <f>IFERROR((1+Sensitivity_tables!$N$13)*IF(AND(P190=1,Assumptions!$G$139="Detailed",Assumptions!$G$138="yes"),-Assumptions_Detailed!P$53,IF(P190=1,-Assumptions!$G$141/SUM($H$190:$BY$190)*P185,0)),0)</f>
        <v>0</v>
      </c>
      <c r="Q203" s="73">
        <f>IFERROR((1+Sensitivity_tables!$N$13)*IF(AND(Q190=1,Assumptions!$G$139="Detailed",Assumptions!$G$138="yes"),-Assumptions_Detailed!Q$53,IF(Q190=1,-Assumptions!$G$141/SUM($H$190:$BY$190)*Q185,0)),0)</f>
        <v>0</v>
      </c>
      <c r="R203" s="73">
        <f>IFERROR((1+Sensitivity_tables!$N$13)*IF(AND(R190=1,Assumptions!$G$139="Detailed",Assumptions!$G$138="yes"),-Assumptions_Detailed!R$53,IF(R190=1,-Assumptions!$G$141/SUM($H$190:$BY$190)*R185,0)),0)</f>
        <v>0</v>
      </c>
      <c r="S203" s="73">
        <f>IFERROR((1+Sensitivity_tables!$N$13)*IF(AND(S190=1,Assumptions!$G$139="Detailed",Assumptions!$G$138="yes"),-Assumptions_Detailed!S$53,IF(S190=1,-Assumptions!$G$141/SUM($H$190:$BY$190)*S185,0)),0)</f>
        <v>0</v>
      </c>
      <c r="T203" s="73">
        <f>IFERROR((1+Sensitivity_tables!$N$13)*IF(AND(T190=1,Assumptions!$G$139="Detailed",Assumptions!$G$138="yes"),-Assumptions_Detailed!T$53,IF(T190=1,-Assumptions!$G$141/SUM($H$190:$BY$190)*T185,0)),0)</f>
        <v>0</v>
      </c>
      <c r="U203" s="73">
        <f>IFERROR((1+Sensitivity_tables!$N$13)*IF(AND(U190=1,Assumptions!$G$139="Detailed",Assumptions!$G$138="yes"),-Assumptions_Detailed!U$53,IF(U190=1,-Assumptions!$G$141/SUM($H$190:$BY$190)*U185,0)),0)</f>
        <v>0</v>
      </c>
      <c r="V203" s="73">
        <f>IFERROR((1+Sensitivity_tables!$N$13)*IF(AND(V190=1,Assumptions!$G$139="Detailed",Assumptions!$G$138="yes"),-Assumptions_Detailed!V$53,IF(V190=1,-Assumptions!$G$141/SUM($H$190:$BY$190)*V185,0)),0)</f>
        <v>0</v>
      </c>
      <c r="W203" s="73">
        <f>IFERROR((1+Sensitivity_tables!$N$13)*IF(AND(W190=1,Assumptions!$G$139="Detailed",Assumptions!$G$138="yes"),-Assumptions_Detailed!W$53,IF(W190=1,-Assumptions!$G$141/SUM($H$190:$BY$190)*W185,0)),0)</f>
        <v>0</v>
      </c>
      <c r="X203" s="73">
        <f>IFERROR((1+Sensitivity_tables!$N$13)*IF(AND(X190=1,Assumptions!$G$139="Detailed",Assumptions!$G$138="yes"),-Assumptions_Detailed!X$53,IF(X190=1,-Assumptions!$G$141/SUM($H$190:$BY$190)*X185,0)),0)</f>
        <v>0</v>
      </c>
      <c r="Y203" s="73">
        <f>IFERROR((1+Sensitivity_tables!$N$13)*IF(AND(Y190=1,Assumptions!$G$139="Detailed",Assumptions!$G$138="yes"),-Assumptions_Detailed!Y$53,IF(Y190=1,-Assumptions!$G$141/SUM($H$190:$BY$190)*Y185,0)),0)</f>
        <v>0</v>
      </c>
      <c r="Z203" s="73">
        <f>IFERROR((1+Sensitivity_tables!$N$13)*IF(AND(Z190=1,Assumptions!$G$139="Detailed",Assumptions!$G$138="yes"),-Assumptions_Detailed!Z$53,IF(Z190=1,-Assumptions!$G$141/SUM($H$190:$BY$190)*Z185,0)),0)</f>
        <v>0</v>
      </c>
      <c r="AA203" s="73">
        <f>IFERROR((1+Sensitivity_tables!$N$13)*IF(AND(AA190=1,Assumptions!$G$139="Detailed",Assumptions!$G$138="yes"),-Assumptions_Detailed!AA$53,IF(AA190=1,-Assumptions!$G$141/SUM($H$190:$BY$190)*AA185,0)),0)</f>
        <v>0</v>
      </c>
      <c r="AB203" s="73">
        <f>IFERROR((1+Sensitivity_tables!$N$13)*IF(AND(AB190=1,Assumptions!$G$139="Detailed",Assumptions!$G$138="yes"),-Assumptions_Detailed!AB$53,IF(AB190=1,-Assumptions!$G$141/SUM($H$190:$BY$190)*AB185,0)),0)</f>
        <v>0</v>
      </c>
      <c r="AC203" s="73">
        <f>IFERROR((1+Sensitivity_tables!$N$13)*IF(AND(AC190=1,Assumptions!$G$139="Detailed",Assumptions!$G$138="yes"),-Assumptions_Detailed!AC$53,IF(AC190=1,-Assumptions!$G$141/SUM($H$190:$BY$190)*AC185,0)),0)</f>
        <v>0</v>
      </c>
      <c r="AD203" s="73">
        <f>IFERROR((1+Sensitivity_tables!$N$13)*IF(AND(AD190=1,Assumptions!$G$139="Detailed",Assumptions!$G$138="yes"),-Assumptions_Detailed!AD$53,IF(AD190=1,-Assumptions!$G$141/SUM($H$190:$BY$190)*AD185,0)),0)</f>
        <v>0</v>
      </c>
      <c r="AE203" s="73">
        <f>IFERROR((1+Sensitivity_tables!$N$13)*IF(AND(AE190=1,Assumptions!$G$139="Detailed",Assumptions!$G$138="yes"),-Assumptions_Detailed!AE$53,IF(AE190=1,-Assumptions!$G$141/SUM($H$190:$BY$190)*AE185,0)),0)</f>
        <v>0</v>
      </c>
      <c r="AF203" s="73">
        <f>IFERROR((1+Sensitivity_tables!$N$13)*IF(AND(AF190=1,Assumptions!$G$139="Detailed",Assumptions!$G$138="yes"),-Assumptions_Detailed!AF$53,IF(AF190=1,-Assumptions!$G$141/SUM($H$190:$BY$190)*AF185,0)),0)</f>
        <v>0</v>
      </c>
      <c r="AG203" s="73">
        <f>IFERROR((1+Sensitivity_tables!$N$13)*IF(AND(AG190=1,Assumptions!$G$139="Detailed",Assumptions!$G$138="yes"),-Assumptions_Detailed!AG$53,IF(AG190=1,-Assumptions!$G$141/SUM($H$190:$BY$190)*AG185,0)),0)</f>
        <v>0</v>
      </c>
      <c r="AH203" s="73">
        <f>IFERROR((1+Sensitivity_tables!$N$13)*IF(AND(AH190=1,Assumptions!$G$139="Detailed",Assumptions!$G$138="yes"),-Assumptions_Detailed!AH$53,IF(AH190=1,-Assumptions!$G$141/SUM($H$190:$BY$190)*AH185,0)),0)</f>
        <v>0</v>
      </c>
      <c r="AI203" s="73">
        <f>IFERROR((1+Sensitivity_tables!$N$13)*IF(AND(AI190=1,Assumptions!$G$139="Detailed",Assumptions!$G$138="yes"),-Assumptions_Detailed!AI$53,IF(AI190=1,-Assumptions!$G$141/SUM($H$190:$BY$190)*AI185,0)),0)</f>
        <v>0</v>
      </c>
      <c r="AJ203" s="73">
        <f>IFERROR((1+Sensitivity_tables!$N$13)*IF(AND(AJ190=1,Assumptions!$G$139="Detailed",Assumptions!$G$138="yes"),-Assumptions_Detailed!AJ$53,IF(AJ190=1,-Assumptions!$G$141/SUM($H$190:$BY$190)*AJ185,0)),0)</f>
        <v>0</v>
      </c>
      <c r="AK203" s="73">
        <f>IFERROR((1+Sensitivity_tables!$N$13)*IF(AND(AK190=1,Assumptions!$G$139="Detailed",Assumptions!$G$138="yes"),-Assumptions_Detailed!AK$53,IF(AK190=1,-Assumptions!$G$141/SUM($H$190:$BY$190)*AK185,0)),0)</f>
        <v>0</v>
      </c>
      <c r="AL203" s="73">
        <f>IFERROR((1+Sensitivity_tables!$N$13)*IF(AND(AL190=1,Assumptions!$G$139="Detailed",Assumptions!$G$138="yes"),-Assumptions_Detailed!AL$53,IF(AL190=1,-Assumptions!$G$141/SUM($H$190:$BY$190)*AL185,0)),0)</f>
        <v>0</v>
      </c>
      <c r="AM203" s="73">
        <f>IFERROR((1+Sensitivity_tables!$N$13)*IF(AND(AM190=1,Assumptions!$G$139="Detailed",Assumptions!$G$138="yes"),-Assumptions_Detailed!AM$53,IF(AM190=1,-Assumptions!$G$141/SUM($H$190:$BY$190)*AM185,0)),0)</f>
        <v>0</v>
      </c>
      <c r="AN203" s="73">
        <f>IFERROR((1+Sensitivity_tables!$N$13)*IF(AND(AN190=1,Assumptions!$G$139="Detailed",Assumptions!$G$138="yes"),-Assumptions_Detailed!AN$53,IF(AN190=1,-Assumptions!$G$141/SUM($H$190:$BY$190)*AN185,0)),0)</f>
        <v>0</v>
      </c>
      <c r="AO203" s="73">
        <f>IFERROR((1+Sensitivity_tables!$N$13)*IF(AND(AO190=1,Assumptions!$G$139="Detailed",Assumptions!$G$138="yes"),-Assumptions_Detailed!AO$53,IF(AO190=1,-Assumptions!$G$141/SUM($H$190:$BY$190)*AO185,0)),0)</f>
        <v>0</v>
      </c>
      <c r="AP203" s="73">
        <f>IFERROR((1+Sensitivity_tables!$N$13)*IF(AND(AP190=1,Assumptions!$G$139="Detailed",Assumptions!$G$138="yes"),-Assumptions_Detailed!AP$53,IF(AP190=1,-Assumptions!$G$141/SUM($H$190:$BY$190)*AP185,0)),0)</f>
        <v>0</v>
      </c>
      <c r="AQ203" s="73">
        <f>IFERROR((1+Sensitivity_tables!$N$13)*IF(AND(AQ190=1,Assumptions!$G$139="Detailed",Assumptions!$G$138="yes"),-Assumptions_Detailed!AQ$53,IF(AQ190=1,-Assumptions!$G$141/SUM($H$190:$BY$190)*AQ185,0)),0)</f>
        <v>0</v>
      </c>
      <c r="AR203" s="73">
        <f>IFERROR((1+Sensitivity_tables!$N$13)*IF(AND(AR190=1,Assumptions!$G$139="Detailed",Assumptions!$G$138="yes"),-Assumptions_Detailed!AR$53,IF(AR190=1,-Assumptions!$G$141/SUM($H$190:$BY$190)*AR185,0)),0)</f>
        <v>0</v>
      </c>
      <c r="AS203" s="73">
        <f>IFERROR((1+Sensitivity_tables!$N$13)*IF(AND(AS190=1,Assumptions!$G$139="Detailed",Assumptions!$G$138="yes"),-Assumptions_Detailed!AS$53,IF(AS190=1,-Assumptions!$G$141/SUM($H$190:$BY$190)*AS185,0)),0)</f>
        <v>0</v>
      </c>
      <c r="AT203" s="73">
        <f>IFERROR((1+Sensitivity_tables!$N$13)*IF(AND(AT190=1,Assumptions!$G$139="Detailed",Assumptions!$G$138="yes"),-Assumptions_Detailed!AT$53,IF(AT190=1,-Assumptions!$G$141/SUM($H$190:$BY$190)*AT185,0)),0)</f>
        <v>0</v>
      </c>
      <c r="AU203" s="73">
        <f>IFERROR((1+Sensitivity_tables!$N$13)*IF(AND(AU190=1,Assumptions!$G$139="Detailed",Assumptions!$G$138="yes"),-Assumptions_Detailed!AU$53,IF(AU190=1,-Assumptions!$G$141/SUM($H$190:$BY$190)*AU185,0)),0)</f>
        <v>0</v>
      </c>
      <c r="AV203" s="73">
        <f>IFERROR((1+Sensitivity_tables!$N$13)*IF(AND(AV190=1,Assumptions!$G$139="Detailed",Assumptions!$G$138="yes"),-Assumptions_Detailed!AV$53,IF(AV190=1,-Assumptions!$G$141/SUM($H$190:$BY$190)*AV185,0)),0)</f>
        <v>0</v>
      </c>
      <c r="AW203" s="73">
        <f>IFERROR((1+Sensitivity_tables!$N$13)*IF(AND(AW190=1,Assumptions!$G$139="Detailed",Assumptions!$G$138="yes"),-Assumptions_Detailed!AW$53,IF(AW190=1,-Assumptions!$G$141/SUM($H$190:$BY$190)*AW185,0)),0)</f>
        <v>0</v>
      </c>
      <c r="AX203" s="73">
        <f>IFERROR((1+Sensitivity_tables!$N$13)*IF(AND(AX190=1,Assumptions!$G$139="Detailed",Assumptions!$G$138="yes"),-Assumptions_Detailed!AX$53,IF(AX190=1,-Assumptions!$G$141/SUM($H$190:$BY$190)*AX185,0)),0)</f>
        <v>0</v>
      </c>
      <c r="AY203" s="73">
        <f>IFERROR((1+Sensitivity_tables!$N$13)*IF(AND(AY190=1,Assumptions!$G$139="Detailed",Assumptions!$G$138="yes"),-Assumptions_Detailed!AY$53,IF(AY190=1,-Assumptions!$G$141/SUM($H$190:$BY$190)*AY185,0)),0)</f>
        <v>0</v>
      </c>
      <c r="AZ203" s="73">
        <f>IFERROR((1+Sensitivity_tables!$N$13)*IF(AND(AZ190=1,Assumptions!$G$139="Detailed",Assumptions!$G$138="yes"),-Assumptions_Detailed!AZ$53,IF(AZ190=1,-Assumptions!$G$141/SUM($H$190:$BY$190)*AZ185,0)),0)</f>
        <v>0</v>
      </c>
      <c r="BA203" s="73">
        <f>IFERROR((1+Sensitivity_tables!$N$13)*IF(AND(BA190=1,Assumptions!$G$139="Detailed",Assumptions!$G$138="yes"),-Assumptions_Detailed!BA$53,IF(BA190=1,-Assumptions!$G$141/SUM($H$190:$BY$190)*BA185,0)),0)</f>
        <v>0</v>
      </c>
      <c r="BB203" s="73">
        <f>IFERROR((1+Sensitivity_tables!$N$13)*IF(AND(BB190=1,Assumptions!$G$139="Detailed",Assumptions!$G$138="yes"),-Assumptions_Detailed!BB$53,IF(BB190=1,-Assumptions!$G$141/SUM($H$190:$BY$190)*BB185,0)),0)</f>
        <v>0</v>
      </c>
      <c r="BC203" s="73">
        <f>IFERROR((1+Sensitivity_tables!$N$13)*IF(AND(BC190=1,Assumptions!$G$139="Detailed",Assumptions!$G$138="yes"),-Assumptions_Detailed!BC$53,IF(BC190=1,-Assumptions!$G$141/SUM($H$190:$BY$190)*BC185,0)),0)</f>
        <v>0</v>
      </c>
      <c r="BD203" s="73">
        <f>IFERROR((1+Sensitivity_tables!$N$13)*IF(AND(BD190=1,Assumptions!$G$139="Detailed",Assumptions!$G$138="yes"),-Assumptions_Detailed!BD$53,IF(BD190=1,-Assumptions!$G$141/SUM($H$190:$BY$190)*BD185,0)),0)</f>
        <v>0</v>
      </c>
      <c r="BE203" s="73">
        <f>IFERROR((1+Sensitivity_tables!$N$13)*IF(AND(BE190=1,Assumptions!$G$139="Detailed",Assumptions!$G$138="yes"),-Assumptions_Detailed!BE$53,IF(BE190=1,-Assumptions!$G$141/SUM($H$190:$BY$190)*BE185,0)),0)</f>
        <v>0</v>
      </c>
      <c r="BF203" s="73">
        <f>IFERROR((1+Sensitivity_tables!$N$13)*IF(AND(BF190=1,Assumptions!$G$139="Detailed",Assumptions!$G$138="yes"),-Assumptions_Detailed!BF$53,IF(BF190=1,-Assumptions!$G$141/SUM($H$190:$BY$190)*BF185,0)),0)</f>
        <v>0</v>
      </c>
      <c r="BG203" s="73">
        <f>IFERROR((1+Sensitivity_tables!$N$13)*IF(AND(BG190=1,Assumptions!$G$139="Detailed",Assumptions!$G$138="yes"),-Assumptions_Detailed!BG$53,IF(BG190=1,-Assumptions!$G$141/SUM($H$190:$BY$190)*BG185,0)),0)</f>
        <v>0</v>
      </c>
      <c r="BH203" s="73">
        <f>IFERROR((1+Sensitivity_tables!$N$13)*IF(AND(BH190=1,Assumptions!$G$139="Detailed",Assumptions!$G$138="yes"),-Assumptions_Detailed!BH$53,IF(BH190=1,-Assumptions!$G$141/SUM($H$190:$BY$190)*BH185,0)),0)</f>
        <v>0</v>
      </c>
      <c r="BI203" s="73">
        <f>IFERROR((1+Sensitivity_tables!$N$13)*IF(AND(BI190=1,Assumptions!$G$139="Detailed",Assumptions!$G$138="yes"),-Assumptions_Detailed!BI$53,IF(BI190=1,-Assumptions!$G$141/SUM($H$190:$BY$190)*BI185,0)),0)</f>
        <v>0</v>
      </c>
      <c r="BJ203" s="73">
        <f>IFERROR((1+Sensitivity_tables!$N$13)*IF(AND(BJ190=1,Assumptions!$G$139="Detailed",Assumptions!$G$138="yes"),-Assumptions_Detailed!BJ$53,IF(BJ190=1,-Assumptions!$G$141/SUM($H$190:$BY$190)*BJ185,0)),0)</f>
        <v>0</v>
      </c>
      <c r="BK203" s="73">
        <f>IFERROR((1+Sensitivity_tables!$N$13)*IF(AND(BK190=1,Assumptions!$G$139="Detailed",Assumptions!$G$138="yes"),-Assumptions_Detailed!BK$53,IF(BK190=1,-Assumptions!$G$141/SUM($H$190:$BY$190)*BK185,0)),0)</f>
        <v>0</v>
      </c>
      <c r="BL203" s="73">
        <f>IFERROR((1+Sensitivity_tables!$N$13)*IF(AND(BL190=1,Assumptions!$G$139="Detailed",Assumptions!$G$138="yes"),-Assumptions_Detailed!BL$53,IF(BL190=1,-Assumptions!$G$141/SUM($H$190:$BY$190)*BL185,0)),0)</f>
        <v>0</v>
      </c>
      <c r="BM203" s="73">
        <f>IFERROR((1+Sensitivity_tables!$N$13)*IF(AND(BM190=1,Assumptions!$G$139="Detailed",Assumptions!$G$138="yes"),-Assumptions_Detailed!BM$53,IF(BM190=1,-Assumptions!$G$141/SUM($H$190:$BY$190)*BM185,0)),0)</f>
        <v>0</v>
      </c>
      <c r="BN203" s="73">
        <f>IFERROR((1+Sensitivity_tables!$N$13)*IF(AND(BN190=1,Assumptions!$G$139="Detailed",Assumptions!$G$138="yes"),-Assumptions_Detailed!BN$53,IF(BN190=1,-Assumptions!$G$141/SUM($H$190:$BY$190)*BN185,0)),0)</f>
        <v>0</v>
      </c>
      <c r="BO203" s="73">
        <f>IFERROR((1+Sensitivity_tables!$N$13)*IF(AND(BO190=1,Assumptions!$G$139="Detailed",Assumptions!$G$138="yes"),-Assumptions_Detailed!BO$53,IF(BO190=1,-Assumptions!$G$141/SUM($H$190:$BY$190)*BO185,0)),0)</f>
        <v>0</v>
      </c>
      <c r="BP203" s="73">
        <f>IFERROR((1+Sensitivity_tables!$N$13)*IF(AND(BP190=1,Assumptions!$G$139="Detailed",Assumptions!$G$138="yes"),-Assumptions_Detailed!BP$53,IF(BP190=1,-Assumptions!$G$141/SUM($H$190:$BY$190)*BP185,0)),0)</f>
        <v>0</v>
      </c>
      <c r="BQ203" s="73">
        <f>IFERROR((1+Sensitivity_tables!$N$13)*IF(AND(BQ190=1,Assumptions!$G$139="Detailed",Assumptions!$G$138="yes"),-Assumptions_Detailed!BQ$53,IF(BQ190=1,-Assumptions!$G$141/SUM($H$190:$BY$190)*BQ185,0)),0)</f>
        <v>0</v>
      </c>
      <c r="BR203" s="73">
        <f>IFERROR((1+Sensitivity_tables!$N$13)*IF(AND(BR190=1,Assumptions!$G$139="Detailed",Assumptions!$G$138="yes"),-Assumptions_Detailed!BR$53,IF(BR190=1,-Assumptions!$G$141/SUM($H$190:$BY$190)*BR185,0)),0)</f>
        <v>0</v>
      </c>
      <c r="BS203" s="73">
        <f>IFERROR((1+Sensitivity_tables!$N$13)*IF(AND(BS190=1,Assumptions!$G$139="Detailed",Assumptions!$G$138="yes"),-Assumptions_Detailed!BS$53,IF(BS190=1,-Assumptions!$G$141/SUM($H$190:$BY$190)*BS185,0)),0)</f>
        <v>0</v>
      </c>
      <c r="BT203" s="73">
        <f>IFERROR((1+Sensitivity_tables!$N$13)*IF(AND(BT190=1,Assumptions!$G$139="Detailed",Assumptions!$G$138="yes"),-Assumptions_Detailed!BT$53,IF(BT190=1,-Assumptions!$G$141/SUM($H$190:$BY$190)*BT185,0)),0)</f>
        <v>0</v>
      </c>
      <c r="BU203" s="73">
        <f>IFERROR((1+Sensitivity_tables!$N$13)*IF(AND(BU190=1,Assumptions!$G$139="Detailed",Assumptions!$G$138="yes"),-Assumptions_Detailed!BU$53,IF(BU190=1,-Assumptions!$G$141/SUM($H$190:$BY$190)*BU185,0)),0)</f>
        <v>0</v>
      </c>
      <c r="BV203" s="73">
        <f>IFERROR((1+Sensitivity_tables!$N$13)*IF(AND(BV190=1,Assumptions!$G$139="Detailed",Assumptions!$G$138="yes"),-Assumptions_Detailed!BV$53,IF(BV190=1,-Assumptions!$G$141/SUM($H$190:$BY$190)*BV185,0)),0)</f>
        <v>0</v>
      </c>
      <c r="BW203" s="73">
        <f>IFERROR((1+Sensitivity_tables!$N$13)*IF(AND(BW190=1,Assumptions!$G$139="Detailed",Assumptions!$G$138="yes"),-Assumptions_Detailed!BW$53,IF(BW190=1,-Assumptions!$G$141/SUM($H$190:$BY$190)*BW185,0)),0)</f>
        <v>0</v>
      </c>
      <c r="BX203" s="73">
        <f>IFERROR((1+Sensitivity_tables!$N$13)*IF(AND(BX190=1,Assumptions!$G$139="Detailed",Assumptions!$G$138="yes"),-Assumptions_Detailed!BX$53,IF(BX190=1,-Assumptions!$G$141/SUM($H$190:$BY$190)*BX185,0)),0)</f>
        <v>0</v>
      </c>
      <c r="BY203" s="73">
        <f>IFERROR((1+Sensitivity_tables!$N$13)*IF(AND(BY190=1,Assumptions!$G$139="Detailed",Assumptions!$G$138="yes"),-Assumptions_Detailed!BY$53,IF(BY190=1,-Assumptions!$G$141/SUM($H$190:$BY$190)*BY185,0)),0)</f>
        <v>0</v>
      </c>
    </row>
    <row r="204" spans="2:77" outlineLevel="1">
      <c r="E204" t="s">
        <v>207</v>
      </c>
      <c r="F204" s="80" t="str">
        <f>+Assumptions!$G$8</f>
        <v>USD</v>
      </c>
      <c r="G204" s="23"/>
      <c r="H204" s="33">
        <f>SUM(H202:H203)</f>
        <v>0</v>
      </c>
      <c r="I204" s="33">
        <f t="shared" ref="I204:BT204" si="287">SUM(I202:I203)</f>
        <v>-3183123.5042179185</v>
      </c>
      <c r="J204" s="33">
        <f t="shared" si="287"/>
        <v>-3246785.974302277</v>
      </c>
      <c r="K204" s="33">
        <f t="shared" si="287"/>
        <v>0</v>
      </c>
      <c r="L204" s="33">
        <f t="shared" si="287"/>
        <v>0</v>
      </c>
      <c r="M204" s="33">
        <f t="shared" si="287"/>
        <v>0</v>
      </c>
      <c r="N204" s="33">
        <f t="shared" si="287"/>
        <v>0</v>
      </c>
      <c r="O204" s="33">
        <f t="shared" si="287"/>
        <v>0</v>
      </c>
      <c r="P204" s="33">
        <f t="shared" si="287"/>
        <v>0</v>
      </c>
      <c r="Q204" s="33">
        <f t="shared" si="287"/>
        <v>0</v>
      </c>
      <c r="R204" s="33">
        <f t="shared" si="287"/>
        <v>0</v>
      </c>
      <c r="S204" s="33">
        <f t="shared" si="287"/>
        <v>0</v>
      </c>
      <c r="T204" s="33">
        <f t="shared" si="287"/>
        <v>0</v>
      </c>
      <c r="U204" s="33">
        <f t="shared" si="287"/>
        <v>0</v>
      </c>
      <c r="V204" s="33">
        <f t="shared" si="287"/>
        <v>0</v>
      </c>
      <c r="W204" s="33">
        <f t="shared" si="287"/>
        <v>0</v>
      </c>
      <c r="X204" s="33">
        <f t="shared" si="287"/>
        <v>0</v>
      </c>
      <c r="Y204" s="33">
        <f t="shared" si="287"/>
        <v>0</v>
      </c>
      <c r="Z204" s="33">
        <f t="shared" si="287"/>
        <v>0</v>
      </c>
      <c r="AA204" s="33">
        <f t="shared" si="287"/>
        <v>0</v>
      </c>
      <c r="AB204" s="33">
        <f t="shared" si="287"/>
        <v>0</v>
      </c>
      <c r="AC204" s="33">
        <f t="shared" si="287"/>
        <v>0</v>
      </c>
      <c r="AD204" s="33">
        <f t="shared" si="287"/>
        <v>0</v>
      </c>
      <c r="AE204" s="33">
        <f t="shared" si="287"/>
        <v>0</v>
      </c>
      <c r="AF204" s="33">
        <f t="shared" si="287"/>
        <v>0</v>
      </c>
      <c r="AG204" s="33">
        <f t="shared" si="287"/>
        <v>0</v>
      </c>
      <c r="AH204" s="33">
        <f t="shared" si="287"/>
        <v>0</v>
      </c>
      <c r="AI204" s="33">
        <f t="shared" si="287"/>
        <v>0</v>
      </c>
      <c r="AJ204" s="33">
        <f t="shared" si="287"/>
        <v>0</v>
      </c>
      <c r="AK204" s="33">
        <f t="shared" si="287"/>
        <v>0</v>
      </c>
      <c r="AL204" s="33">
        <f t="shared" si="287"/>
        <v>0</v>
      </c>
      <c r="AM204" s="33">
        <f t="shared" si="287"/>
        <v>0</v>
      </c>
      <c r="AN204" s="33">
        <f t="shared" si="287"/>
        <v>0</v>
      </c>
      <c r="AO204" s="33">
        <f t="shared" si="287"/>
        <v>0</v>
      </c>
      <c r="AP204" s="33">
        <f t="shared" si="287"/>
        <v>0</v>
      </c>
      <c r="AQ204" s="33">
        <f t="shared" si="287"/>
        <v>0</v>
      </c>
      <c r="AR204" s="33">
        <f t="shared" si="287"/>
        <v>0</v>
      </c>
      <c r="AS204" s="33">
        <f t="shared" si="287"/>
        <v>0</v>
      </c>
      <c r="AT204" s="33">
        <f t="shared" si="287"/>
        <v>0</v>
      </c>
      <c r="AU204" s="33">
        <f t="shared" si="287"/>
        <v>0</v>
      </c>
      <c r="AV204" s="33">
        <f t="shared" si="287"/>
        <v>0</v>
      </c>
      <c r="AW204" s="33">
        <f t="shared" si="287"/>
        <v>0</v>
      </c>
      <c r="AX204" s="33">
        <f t="shared" si="287"/>
        <v>0</v>
      </c>
      <c r="AY204" s="33">
        <f t="shared" si="287"/>
        <v>0</v>
      </c>
      <c r="AZ204" s="33">
        <f t="shared" si="287"/>
        <v>0</v>
      </c>
      <c r="BA204" s="33">
        <f t="shared" si="287"/>
        <v>0</v>
      </c>
      <c r="BB204" s="33">
        <f t="shared" si="287"/>
        <v>0</v>
      </c>
      <c r="BC204" s="33">
        <f t="shared" si="287"/>
        <v>0</v>
      </c>
      <c r="BD204" s="33">
        <f t="shared" si="287"/>
        <v>0</v>
      </c>
      <c r="BE204" s="33">
        <f t="shared" si="287"/>
        <v>0</v>
      </c>
      <c r="BF204" s="33">
        <f t="shared" si="287"/>
        <v>0</v>
      </c>
      <c r="BG204" s="33">
        <f t="shared" si="287"/>
        <v>0</v>
      </c>
      <c r="BH204" s="33">
        <f t="shared" si="287"/>
        <v>0</v>
      </c>
      <c r="BI204" s="33">
        <f t="shared" si="287"/>
        <v>0</v>
      </c>
      <c r="BJ204" s="33">
        <f t="shared" si="287"/>
        <v>0</v>
      </c>
      <c r="BK204" s="33">
        <f t="shared" si="287"/>
        <v>0</v>
      </c>
      <c r="BL204" s="33">
        <f t="shared" si="287"/>
        <v>0</v>
      </c>
      <c r="BM204" s="33">
        <f t="shared" si="287"/>
        <v>0</v>
      </c>
      <c r="BN204" s="33">
        <f t="shared" si="287"/>
        <v>0</v>
      </c>
      <c r="BO204" s="33">
        <f t="shared" si="287"/>
        <v>0</v>
      </c>
      <c r="BP204" s="33">
        <f t="shared" si="287"/>
        <v>0</v>
      </c>
      <c r="BQ204" s="33">
        <f t="shared" si="287"/>
        <v>0</v>
      </c>
      <c r="BR204" s="33">
        <f t="shared" si="287"/>
        <v>0</v>
      </c>
      <c r="BS204" s="33">
        <f t="shared" si="287"/>
        <v>0</v>
      </c>
      <c r="BT204" s="33">
        <f t="shared" si="287"/>
        <v>0</v>
      </c>
      <c r="BU204" s="33">
        <f t="shared" ref="BU204:BY204" si="288">SUM(BU202:BU203)</f>
        <v>0</v>
      </c>
      <c r="BV204" s="33">
        <f t="shared" si="288"/>
        <v>0</v>
      </c>
      <c r="BW204" s="33">
        <f t="shared" si="288"/>
        <v>0</v>
      </c>
      <c r="BX204" s="33">
        <f t="shared" si="288"/>
        <v>0</v>
      </c>
      <c r="BY204" s="33">
        <f t="shared" si="288"/>
        <v>0</v>
      </c>
    </row>
    <row r="205" spans="2:77" outlineLevel="1">
      <c r="F205" s="23"/>
      <c r="G205" s="23"/>
      <c r="BF205" s="33"/>
      <c r="BG205" s="33"/>
      <c r="BH205" s="33"/>
      <c r="BI205" s="33"/>
      <c r="BJ205" s="33"/>
      <c r="BK205" s="33"/>
      <c r="BL205" s="33"/>
      <c r="BM205" s="33"/>
      <c r="BN205" s="33"/>
      <c r="BO205" s="33"/>
      <c r="BP205" s="33"/>
      <c r="BQ205" s="33"/>
      <c r="BR205" s="33"/>
      <c r="BS205" s="33"/>
      <c r="BT205" s="33"/>
      <c r="BU205" s="33"/>
      <c r="BV205" s="33"/>
      <c r="BW205" s="33"/>
      <c r="BX205" s="33"/>
      <c r="BY205" s="33"/>
    </row>
    <row r="206" spans="2:77" s="19" customFormat="1" ht="12.75" outlineLevel="1">
      <c r="B206" s="18" t="s">
        <v>256</v>
      </c>
    </row>
    <row r="207" spans="2:77" outlineLevel="1">
      <c r="F207" s="23"/>
      <c r="G207" s="23"/>
      <c r="BF207" s="33"/>
      <c r="BG207" s="33"/>
      <c r="BH207" s="33"/>
      <c r="BI207" s="33"/>
      <c r="BJ207" s="33"/>
      <c r="BK207" s="33"/>
      <c r="BL207" s="33"/>
      <c r="BM207" s="33"/>
      <c r="BN207" s="33"/>
      <c r="BO207" s="33"/>
      <c r="BP207" s="33"/>
      <c r="BQ207" s="33"/>
      <c r="BR207" s="33"/>
      <c r="BS207" s="33"/>
      <c r="BT207" s="33"/>
      <c r="BU207" s="33"/>
      <c r="BV207" s="33"/>
      <c r="BW207" s="33"/>
      <c r="BX207" s="33"/>
      <c r="BY207" s="33"/>
    </row>
    <row r="208" spans="2:77" ht="15" outlineLevel="1">
      <c r="C208" s="74" t="s">
        <v>489</v>
      </c>
      <c r="E208" s="22" t="s">
        <v>461</v>
      </c>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row>
    <row r="209" spans="2:77" ht="15" outlineLevel="1">
      <c r="C209" s="74"/>
      <c r="E209" t="s">
        <v>197</v>
      </c>
      <c r="F209" s="80" t="str">
        <f>+Assumptions!$G$8</f>
        <v>USD</v>
      </c>
      <c r="H209" s="33">
        <f>IFERROR((1+Sensitivity_tables!$N$13)*IF(AND(H195=1,Assumptions!$G$159="Detailed",Assumptions!$G$158="yes"),-Assumptions_Detailed!H$58,IF(H195=1,-Assumptions!$G$161/SUM($H$195:$BY$195)*H185,0)),0)</f>
        <v>0</v>
      </c>
      <c r="I209" s="33">
        <f>IFERROR((1+Sensitivity_tables!$N$13)*IF(AND(I195=1,Assumptions!$G$159="Detailed",Assumptions!$G$158="yes"),-Assumptions_Detailed!I$58,IF(I195=1,-Assumptions!$G$161/SUM($H$195:$BY$195)*I185,0)),0)</f>
        <v>0</v>
      </c>
      <c r="J209" s="33">
        <f>IFERROR((1+Sensitivity_tables!$N$13)*IF(AND(J195=1,Assumptions!$G$159="Detailed",Assumptions!$G$158="yes"),-Assumptions_Detailed!J$58,IF(J195=1,-Assumptions!$G$161/SUM($H$195:$BY$195)*J185,0)),0)</f>
        <v>0</v>
      </c>
      <c r="K209" s="33">
        <f>IFERROR((1+Sensitivity_tables!$N$13)*IF(AND(K195=1,Assumptions!$G$159="Detailed",Assumptions!$G$158="yes"),-Assumptions_Detailed!K$58,IF(K195=1,-Assumptions!$G$161/SUM($H$195:$BY$195)*K185,0)),0)</f>
        <v>0</v>
      </c>
      <c r="L209" s="33">
        <f>IFERROR((1+Sensitivity_tables!$N$13)*IF(AND(L195=1,Assumptions!$G$159="Detailed",Assumptions!$G$158="yes"),-Assumptions_Detailed!L$58,IF(L195=1,-Assumptions!$G$161/SUM($H$195:$BY$195)*L185,0)),0)</f>
        <v>0</v>
      </c>
      <c r="M209" s="33">
        <f>IFERROR((1+Sensitivity_tables!$N$13)*IF(AND(M195=1,Assumptions!$G$159="Detailed",Assumptions!$G$158="yes"),-Assumptions_Detailed!M$58,IF(M195=1,-Assumptions!$G$161/SUM($H$195:$BY$195)*M185,0)),0)</f>
        <v>0</v>
      </c>
      <c r="N209" s="33">
        <f>IFERROR((1+Sensitivity_tables!$N$13)*IF(AND(N195=1,Assumptions!$G$159="Detailed",Assumptions!$G$158="yes"),-Assumptions_Detailed!N$58,IF(N195=1,-Assumptions!$G$161/SUM($H$195:$BY$195)*N185,0)),0)</f>
        <v>0</v>
      </c>
      <c r="O209" s="33">
        <f>IFERROR((1+Sensitivity_tables!$N$13)*IF(AND(O195=1,Assumptions!$G$159="Detailed",Assumptions!$G$158="yes"),-Assumptions_Detailed!O$58,IF(O195=1,-Assumptions!$G$161/SUM($H$195:$BY$195)*O185,0)),0)</f>
        <v>0</v>
      </c>
      <c r="P209" s="33">
        <f>IFERROR((1+Sensitivity_tables!$N$13)*IF(AND(P195=1,Assumptions!$G$159="Detailed",Assumptions!$G$158="yes"),-Assumptions_Detailed!P$58,IF(P195=1,-Assumptions!$G$161/SUM($H$195:$BY$195)*P185,0)),0)</f>
        <v>0</v>
      </c>
      <c r="Q209" s="33">
        <f>IFERROR((1+Sensitivity_tables!$N$13)*IF(AND(Q195=1,Assumptions!$G$159="Detailed",Assumptions!$G$158="yes"),-Assumptions_Detailed!Q$58,IF(Q195=1,-Assumptions!$G$161/SUM($H$195:$BY$195)*Q185,0)),0)</f>
        <v>0</v>
      </c>
      <c r="R209" s="33">
        <f>IFERROR((1+Sensitivity_tables!$N$13)*IF(AND(R195=1,Assumptions!$G$159="Detailed",Assumptions!$G$158="yes"),-Assumptions_Detailed!R$58,IF(R195=1,-Assumptions!$G$161/SUM($H$195:$BY$195)*R185,0)),0)</f>
        <v>0</v>
      </c>
      <c r="S209" s="33">
        <f>IFERROR((1+Sensitivity_tables!$N$13)*IF(AND(S195=1,Assumptions!$G$159="Detailed",Assumptions!$G$158="yes"),-Assumptions_Detailed!S$58,IF(S195=1,-Assumptions!$G$161/SUM($H$195:$BY$195)*S185,0)),0)</f>
        <v>0</v>
      </c>
      <c r="T209" s="33">
        <f>IFERROR((1+Sensitivity_tables!$N$13)*IF(AND(T195=1,Assumptions!$G$159="Detailed",Assumptions!$G$158="yes"),-Assumptions_Detailed!T$58,IF(T195=1,-Assumptions!$G$161/SUM($H$195:$BY$195)*T185,0)),0)</f>
        <v>0</v>
      </c>
      <c r="U209" s="33">
        <f>IFERROR((1+Sensitivity_tables!$N$13)*IF(AND(U195=1,Assumptions!$G$159="Detailed",Assumptions!$G$158="yes"),-Assumptions_Detailed!U$58,IF(U195=1,-Assumptions!$G$161/SUM($H$195:$BY$195)*U185,0)),0)</f>
        <v>0</v>
      </c>
      <c r="V209" s="33">
        <f>IFERROR((1+Sensitivity_tables!$N$13)*IF(AND(V195=1,Assumptions!$G$159="Detailed",Assumptions!$G$158="yes"),-Assumptions_Detailed!V$58,IF(V195=1,-Assumptions!$G$161/SUM($H$195:$BY$195)*V185,0)),0)</f>
        <v>0</v>
      </c>
      <c r="W209" s="33">
        <f>IFERROR((1+Sensitivity_tables!$N$13)*IF(AND(W195=1,Assumptions!$G$159="Detailed",Assumptions!$G$158="yes"),-Assumptions_Detailed!W$58,IF(W195=1,-Assumptions!$G$161/SUM($H$195:$BY$195)*W185,0)),0)</f>
        <v>0</v>
      </c>
      <c r="X209" s="33">
        <f>IFERROR((1+Sensitivity_tables!$N$13)*IF(AND(X195=1,Assumptions!$G$159="Detailed",Assumptions!$G$158="yes"),-Assumptions_Detailed!X$58,IF(X195=1,-Assumptions!$G$161/SUM($H$195:$BY$195)*X185,0)),0)</f>
        <v>0</v>
      </c>
      <c r="Y209" s="33">
        <f>IFERROR((1+Sensitivity_tables!$N$13)*IF(AND(Y195=1,Assumptions!$G$159="Detailed",Assumptions!$G$158="yes"),-Assumptions_Detailed!Y$58,IF(Y195=1,-Assumptions!$G$161/SUM($H$195:$BY$195)*Y185,0)),0)</f>
        <v>0</v>
      </c>
      <c r="Z209" s="33">
        <f>IFERROR((1+Sensitivity_tables!$N$13)*IF(AND(Z195=1,Assumptions!$G$159="Detailed",Assumptions!$G$158="yes"),-Assumptions_Detailed!Z$58,IF(Z195=1,-Assumptions!$G$161/SUM($H$195:$BY$195)*Z185,0)),0)</f>
        <v>0</v>
      </c>
      <c r="AA209" s="33">
        <f>IFERROR((1+Sensitivity_tables!$N$13)*IF(AND(AA195=1,Assumptions!$G$159="Detailed",Assumptions!$G$158="yes"),-Assumptions_Detailed!AA$58,IF(AA195=1,-Assumptions!$G$161/SUM($H$195:$BY$195)*AA185,0)),0)</f>
        <v>0</v>
      </c>
      <c r="AB209" s="33">
        <f>IFERROR((1+Sensitivity_tables!$N$13)*IF(AND(AB195=1,Assumptions!$G$159="Detailed",Assumptions!$G$158="yes"),-Assumptions_Detailed!AB$58,IF(AB195=1,-Assumptions!$G$161/SUM($H$195:$BY$195)*AB185,0)),0)</f>
        <v>0</v>
      </c>
      <c r="AC209" s="33">
        <f>IFERROR((1+Sensitivity_tables!$N$13)*IF(AND(AC195=1,Assumptions!$G$159="Detailed",Assumptions!$G$158="yes"),-Assumptions_Detailed!AC$58,IF(AC195=1,-Assumptions!$G$161/SUM($H$195:$BY$195)*AC185,0)),0)</f>
        <v>0</v>
      </c>
      <c r="AD209" s="33">
        <f>IFERROR((1+Sensitivity_tables!$N$13)*IF(AND(AD195=1,Assumptions!$G$159="Detailed",Assumptions!$G$158="yes"),-Assumptions_Detailed!AD$58,IF(AD195=1,-Assumptions!$G$161/SUM($H$195:$BY$195)*AD185,0)),0)</f>
        <v>0</v>
      </c>
      <c r="AE209" s="33">
        <f>IFERROR((1+Sensitivity_tables!$N$13)*IF(AND(AE195=1,Assumptions!$G$159="Detailed",Assumptions!$G$158="yes"),-Assumptions_Detailed!AE$58,IF(AE195=1,-Assumptions!$G$161/SUM($H$195:$BY$195)*AE185,0)),0)</f>
        <v>0</v>
      </c>
      <c r="AF209" s="33">
        <f>IFERROR((1+Sensitivity_tables!$N$13)*IF(AND(AF195=1,Assumptions!$G$159="Detailed",Assumptions!$G$158="yes"),-Assumptions_Detailed!AF$58,IF(AF195=1,-Assumptions!$G$161/SUM($H$195:$BY$195)*AF185,0)),0)</f>
        <v>0</v>
      </c>
      <c r="AG209" s="33">
        <f>IFERROR((1+Sensitivity_tables!$N$13)*IF(AND(AG195=1,Assumptions!$G$159="Detailed",Assumptions!$G$158="yes"),-Assumptions_Detailed!AG$58,IF(AG195=1,-Assumptions!$G$161/SUM($H$195:$BY$195)*AG185,0)),0)</f>
        <v>0</v>
      </c>
      <c r="AH209" s="33">
        <f>IFERROR((1+Sensitivity_tables!$N$13)*IF(AND(AH195=1,Assumptions!$G$159="Detailed",Assumptions!$G$158="yes"),-Assumptions_Detailed!AH$58,IF(AH195=1,-Assumptions!$G$161/SUM($H$195:$BY$195)*AH185,0)),0)</f>
        <v>0</v>
      </c>
      <c r="AI209" s="33">
        <f>IFERROR((1+Sensitivity_tables!$N$13)*IF(AND(AI195=1,Assumptions!$G$159="Detailed",Assumptions!$G$158="yes"),-Assumptions_Detailed!AI$58,IF(AI195=1,-Assumptions!$G$161/SUM($H$195:$BY$195)*AI185,0)),0)</f>
        <v>0</v>
      </c>
      <c r="AJ209" s="33">
        <f>IFERROR((1+Sensitivity_tables!$N$13)*IF(AND(AJ195=1,Assumptions!$G$159="Detailed",Assumptions!$G$158="yes"),-Assumptions_Detailed!AJ$58,IF(AJ195=1,-Assumptions!$G$161/SUM($H$195:$BY$195)*AJ185,0)),0)</f>
        <v>0</v>
      </c>
      <c r="AK209" s="33">
        <f>IFERROR((1+Sensitivity_tables!$N$13)*IF(AND(AK195=1,Assumptions!$G$159="Detailed",Assumptions!$G$158="yes"),-Assumptions_Detailed!AK$58,IF(AK195=1,-Assumptions!$G$161/SUM($H$195:$BY$195)*AK185,0)),0)</f>
        <v>0</v>
      </c>
      <c r="AL209" s="33">
        <f>IFERROR((1+Sensitivity_tables!$N$13)*IF(AND(AL195=1,Assumptions!$G$159="Detailed",Assumptions!$G$158="yes"),-Assumptions_Detailed!AL$58,IF(AL195=1,-Assumptions!$G$161/SUM($H$195:$BY$195)*AL185,0)),0)</f>
        <v>0</v>
      </c>
      <c r="AM209" s="33">
        <f>IFERROR((1+Sensitivity_tables!$N$13)*IF(AND(AM195=1,Assumptions!$G$159="Detailed",Assumptions!$G$158="yes"),-Assumptions_Detailed!AM$58,IF(AM195=1,-Assumptions!$G$161/SUM($H$195:$BY$195)*AM185,0)),0)</f>
        <v>0</v>
      </c>
      <c r="AN209" s="33">
        <f>IFERROR((1+Sensitivity_tables!$N$13)*IF(AND(AN195=1,Assumptions!$G$159="Detailed",Assumptions!$G$158="yes"),-Assumptions_Detailed!AN$58,IF(AN195=1,-Assumptions!$G$161/SUM($H$195:$BY$195)*AN185,0)),0)</f>
        <v>0</v>
      </c>
      <c r="AO209" s="33">
        <f>IFERROR((1+Sensitivity_tables!$N$13)*IF(AND(AO195=1,Assumptions!$G$159="Detailed",Assumptions!$G$158="yes"),-Assumptions_Detailed!AO$58,IF(AO195=1,-Assumptions!$G$161/SUM($H$195:$BY$195)*AO185,0)),0)</f>
        <v>0</v>
      </c>
      <c r="AP209" s="33">
        <f>IFERROR((1+Sensitivity_tables!$N$13)*IF(AND(AP195=1,Assumptions!$G$159="Detailed",Assumptions!$G$158="yes"),-Assumptions_Detailed!AP$58,IF(AP195=1,-Assumptions!$G$161/SUM($H$195:$BY$195)*AP185,0)),0)</f>
        <v>0</v>
      </c>
      <c r="AQ209" s="33">
        <f>IFERROR((1+Sensitivity_tables!$N$13)*IF(AND(AQ195=1,Assumptions!$G$159="Detailed",Assumptions!$G$158="yes"),-Assumptions_Detailed!AQ$58,IF(AQ195=1,-Assumptions!$G$161/SUM($H$195:$BY$195)*AQ185,0)),0)</f>
        <v>0</v>
      </c>
      <c r="AR209" s="33">
        <f>IFERROR((1+Sensitivity_tables!$N$13)*IF(AND(AR195=1,Assumptions!$G$159="Detailed",Assumptions!$G$158="yes"),-Assumptions_Detailed!AR$58,IF(AR195=1,-Assumptions!$G$161/SUM($H$195:$BY$195)*AR185,0)),0)</f>
        <v>0</v>
      </c>
      <c r="AS209" s="33">
        <f>IFERROR((1+Sensitivity_tables!$N$13)*IF(AND(AS195=1,Assumptions!$G$159="Detailed",Assumptions!$G$158="yes"),-Assumptions_Detailed!AS$58,IF(AS195=1,-Assumptions!$G$161/SUM($H$195:$BY$195)*AS185,0)),0)</f>
        <v>0</v>
      </c>
      <c r="AT209" s="33">
        <f>IFERROR((1+Sensitivity_tables!$N$13)*IF(AND(AT195=1,Assumptions!$G$159="Detailed",Assumptions!$G$158="yes"),-Assumptions_Detailed!AT$58,IF(AT195=1,-Assumptions!$G$161/SUM($H$195:$BY$195)*AT185,0)),0)</f>
        <v>0</v>
      </c>
      <c r="AU209" s="33">
        <f>IFERROR((1+Sensitivity_tables!$N$13)*IF(AND(AU195=1,Assumptions!$G$159="Detailed",Assumptions!$G$158="yes"),-Assumptions_Detailed!AU$58,IF(AU195=1,-Assumptions!$G$161/SUM($H$195:$BY$195)*AU185,0)),0)</f>
        <v>0</v>
      </c>
      <c r="AV209" s="33">
        <f>IFERROR((1+Sensitivity_tables!$N$13)*IF(AND(AV195=1,Assumptions!$G$159="Detailed",Assumptions!$G$158="yes"),-Assumptions_Detailed!AV$58,IF(AV195=1,-Assumptions!$G$161/SUM($H$195:$BY$195)*AV185,0)),0)</f>
        <v>0</v>
      </c>
      <c r="AW209" s="33">
        <f>IFERROR((1+Sensitivity_tables!$N$13)*IF(AND(AW195=1,Assumptions!$G$159="Detailed",Assumptions!$G$158="yes"),-Assumptions_Detailed!AW$58,IF(AW195=1,-Assumptions!$G$161/SUM($H$195:$BY$195)*AW185,0)),0)</f>
        <v>0</v>
      </c>
      <c r="AX209" s="33">
        <f>IFERROR((1+Sensitivity_tables!$N$13)*IF(AND(AX195=1,Assumptions!$G$159="Detailed",Assumptions!$G$158="yes"),-Assumptions_Detailed!AX$58,IF(AX195=1,-Assumptions!$G$161/SUM($H$195:$BY$195)*AX185,0)),0)</f>
        <v>0</v>
      </c>
      <c r="AY209" s="33">
        <f>IFERROR((1+Sensitivity_tables!$N$13)*IF(AND(AY195=1,Assumptions!$G$159="Detailed",Assumptions!$G$158="yes"),-Assumptions_Detailed!AY$58,IF(AY195=1,-Assumptions!$G$161/SUM($H$195:$BY$195)*AY185,0)),0)</f>
        <v>0</v>
      </c>
      <c r="AZ209" s="33">
        <f>IFERROR((1+Sensitivity_tables!$N$13)*IF(AND(AZ195=1,Assumptions!$G$159="Detailed",Assumptions!$G$158="yes"),-Assumptions_Detailed!AZ$58,IF(AZ195=1,-Assumptions!$G$161/SUM($H$195:$BY$195)*AZ185,0)),0)</f>
        <v>0</v>
      </c>
      <c r="BA209" s="33">
        <f>IFERROR((1+Sensitivity_tables!$N$13)*IF(AND(BA195=1,Assumptions!$G$159="Detailed",Assumptions!$G$158="yes"),-Assumptions_Detailed!BA$58,IF(BA195=1,-Assumptions!$G$161/SUM($H$195:$BY$195)*BA185,0)),0)</f>
        <v>0</v>
      </c>
      <c r="BB209" s="33">
        <f>IFERROR((1+Sensitivity_tables!$N$13)*IF(AND(BB195=1,Assumptions!$G$159="Detailed",Assumptions!$G$158="yes"),-Assumptions_Detailed!BB$58,IF(BB195=1,-Assumptions!$G$161/SUM($H$195:$BY$195)*BB185,0)),0)</f>
        <v>0</v>
      </c>
      <c r="BC209" s="33">
        <f>IFERROR((1+Sensitivity_tables!$N$13)*IF(AND(BC195=1,Assumptions!$G$159="Detailed",Assumptions!$G$158="yes"),-Assumptions_Detailed!BC$58,IF(BC195=1,-Assumptions!$G$161/SUM($H$195:$BY$195)*BC185,0)),0)</f>
        <v>0</v>
      </c>
      <c r="BD209" s="33">
        <f>IFERROR((1+Sensitivity_tables!$N$13)*IF(AND(BD195=1,Assumptions!$G$159="Detailed",Assumptions!$G$158="yes"),-Assumptions_Detailed!BD$58,IF(BD195=1,-Assumptions!$G$161/SUM($H$195:$BY$195)*BD185,0)),0)</f>
        <v>0</v>
      </c>
      <c r="BE209" s="33">
        <f>IFERROR((1+Sensitivity_tables!$N$13)*IF(AND(BE195=1,Assumptions!$G$159="Detailed",Assumptions!$G$158="yes"),-Assumptions_Detailed!BE$58,IF(BE195=1,-Assumptions!$G$161/SUM($H$195:$BY$195)*BE185,0)),0)</f>
        <v>0</v>
      </c>
      <c r="BF209" s="33">
        <f>IFERROR((1+Sensitivity_tables!$N$13)*IF(AND(BF195=1,Assumptions!$G$159="Detailed",Assumptions!$G$158="yes"),-Assumptions_Detailed!BF$58,IF(BF195=1,-Assumptions!$G$161/SUM($H$195:$BY$195)*BF185,0)),0)</f>
        <v>0</v>
      </c>
      <c r="BG209" s="33">
        <f>IFERROR((1+Sensitivity_tables!$N$13)*IF(AND(BG195=1,Assumptions!$G$159="Detailed",Assumptions!$G$158="yes"),-Assumptions_Detailed!BG$58,IF(BG195=1,-Assumptions!$G$161/SUM($H$195:$BY$195)*BG185,0)),0)</f>
        <v>0</v>
      </c>
      <c r="BH209" s="33">
        <f>IFERROR((1+Sensitivity_tables!$N$13)*IF(AND(BH195=1,Assumptions!$G$159="Detailed",Assumptions!$G$158="yes"),-Assumptions_Detailed!BH$58,IF(BH195=1,-Assumptions!$G$161/SUM($H$195:$BY$195)*BH185,0)),0)</f>
        <v>0</v>
      </c>
      <c r="BI209" s="33">
        <f>IFERROR((1+Sensitivity_tables!$N$13)*IF(AND(BI195=1,Assumptions!$G$159="Detailed",Assumptions!$G$158="yes"),-Assumptions_Detailed!BI$58,IF(BI195=1,-Assumptions!$G$161/SUM($H$195:$BY$195)*BI185,0)),0)</f>
        <v>0</v>
      </c>
      <c r="BJ209" s="33">
        <f>IFERROR((1+Sensitivity_tables!$N$13)*IF(AND(BJ195=1,Assumptions!$G$159="Detailed",Assumptions!$G$158="yes"),-Assumptions_Detailed!BJ$58,IF(BJ195=1,-Assumptions!$G$161/SUM($H$195:$BY$195)*BJ185,0)),0)</f>
        <v>0</v>
      </c>
      <c r="BK209" s="33">
        <f>IFERROR((1+Sensitivity_tables!$N$13)*IF(AND(BK195=1,Assumptions!$G$159="Detailed",Assumptions!$G$158="yes"),-Assumptions_Detailed!BK$58,IF(BK195=1,-Assumptions!$G$161/SUM($H$195:$BY$195)*BK185,0)),0)</f>
        <v>0</v>
      </c>
      <c r="BL209" s="33">
        <f>IFERROR((1+Sensitivity_tables!$N$13)*IF(AND(BL195=1,Assumptions!$G$159="Detailed",Assumptions!$G$158="yes"),-Assumptions_Detailed!BL$58,IF(BL195=1,-Assumptions!$G$161/SUM($H$195:$BY$195)*BL185,0)),0)</f>
        <v>0</v>
      </c>
      <c r="BM209" s="33">
        <f>IFERROR((1+Sensitivity_tables!$N$13)*IF(AND(BM195=1,Assumptions!$G$159="Detailed",Assumptions!$G$158="yes"),-Assumptions_Detailed!BM$58,IF(BM195=1,-Assumptions!$G$161/SUM($H$195:$BY$195)*BM185,0)),0)</f>
        <v>0</v>
      </c>
      <c r="BN209" s="33">
        <f>IFERROR((1+Sensitivity_tables!$N$13)*IF(AND(BN195=1,Assumptions!$G$159="Detailed",Assumptions!$G$158="yes"),-Assumptions_Detailed!BN$58,IF(BN195=1,-Assumptions!$G$161/SUM($H$195:$BY$195)*BN185,0)),0)</f>
        <v>0</v>
      </c>
      <c r="BO209" s="33">
        <f>IFERROR((1+Sensitivity_tables!$N$13)*IF(AND(BO195=1,Assumptions!$G$159="Detailed",Assumptions!$G$158="yes"),-Assumptions_Detailed!BO$58,IF(BO195=1,-Assumptions!$G$161/SUM($H$195:$BY$195)*BO185,0)),0)</f>
        <v>0</v>
      </c>
      <c r="BP209" s="33">
        <f>IFERROR((1+Sensitivity_tables!$N$13)*IF(AND(BP195=1,Assumptions!$G$159="Detailed",Assumptions!$G$158="yes"),-Assumptions_Detailed!BP$58,IF(BP195=1,-Assumptions!$G$161/SUM($H$195:$BY$195)*BP185,0)),0)</f>
        <v>0</v>
      </c>
      <c r="BQ209" s="33">
        <f>IFERROR((1+Sensitivity_tables!$N$13)*IF(AND(BQ195=1,Assumptions!$G$159="Detailed",Assumptions!$G$158="yes"),-Assumptions_Detailed!BQ$58,IF(BQ195=1,-Assumptions!$G$161/SUM($H$195:$BY$195)*BQ185,0)),0)</f>
        <v>0</v>
      </c>
      <c r="BR209" s="33">
        <f>IFERROR((1+Sensitivity_tables!$N$13)*IF(AND(BR195=1,Assumptions!$G$159="Detailed",Assumptions!$G$158="yes"),-Assumptions_Detailed!BR$58,IF(BR195=1,-Assumptions!$G$161/SUM($H$195:$BY$195)*BR185,0)),0)</f>
        <v>0</v>
      </c>
      <c r="BS209" s="33">
        <f>IFERROR((1+Sensitivity_tables!$N$13)*IF(AND(BS195=1,Assumptions!$G$159="Detailed",Assumptions!$G$158="yes"),-Assumptions_Detailed!BS$58,IF(BS195=1,-Assumptions!$G$161/SUM($H$195:$BY$195)*BS185,0)),0)</f>
        <v>0</v>
      </c>
      <c r="BT209" s="33">
        <f>IFERROR((1+Sensitivity_tables!$N$13)*IF(AND(BT195=1,Assumptions!$G$159="Detailed",Assumptions!$G$158="yes"),-Assumptions_Detailed!BT$58,IF(BT195=1,-Assumptions!$G$161/SUM($H$195:$BY$195)*BT185,0)),0)</f>
        <v>0</v>
      </c>
      <c r="BU209" s="33">
        <f>IFERROR((1+Sensitivity_tables!$N$13)*IF(AND(BU195=1,Assumptions!$G$159="Detailed",Assumptions!$G$158="yes"),-Assumptions_Detailed!BU$58,IF(BU195=1,-Assumptions!$G$161/SUM($H$195:$BY$195)*BU185,0)),0)</f>
        <v>0</v>
      </c>
      <c r="BV209" s="33">
        <f>IFERROR((1+Sensitivity_tables!$N$13)*IF(AND(BV195=1,Assumptions!$G$159="Detailed",Assumptions!$G$158="yes"),-Assumptions_Detailed!BV$58,IF(BV195=1,-Assumptions!$G$161/SUM($H$195:$BY$195)*BV185,0)),0)</f>
        <v>0</v>
      </c>
      <c r="BW209" s="33">
        <f>IFERROR((1+Sensitivity_tables!$N$13)*IF(AND(BW195=1,Assumptions!$G$159="Detailed",Assumptions!$G$158="yes"),-Assumptions_Detailed!BW$58,IF(BW195=1,-Assumptions!$G$161/SUM($H$195:$BY$195)*BW185,0)),0)</f>
        <v>0</v>
      </c>
      <c r="BX209" s="33">
        <f>IFERROR((1+Sensitivity_tables!$N$13)*IF(AND(BX195=1,Assumptions!$G$159="Detailed",Assumptions!$G$158="yes"),-Assumptions_Detailed!BX$58,IF(BX195=1,-Assumptions!$G$161/SUM($H$195:$BY$195)*BX185,0)),0)</f>
        <v>0</v>
      </c>
      <c r="BY209" s="33">
        <f>IFERROR((1+Sensitivity_tables!$N$13)*IF(AND(BY195=1,Assumptions!$G$159="Detailed",Assumptions!$G$158="yes"),-Assumptions_Detailed!BY$58,IF(BY195=1,-Assumptions!$G$161/SUM($H$195:$BY$195)*BY185,0)),0)</f>
        <v>0</v>
      </c>
    </row>
    <row r="210" spans="2:77" outlineLevel="1">
      <c r="C210" s="76">
        <f>+SUM(H210:BY210)</f>
        <v>-4148328.6958194803</v>
      </c>
      <c r="E210" s="25" t="s">
        <v>200</v>
      </c>
      <c r="F210" s="81" t="str">
        <f>+Assumptions!$G$8</f>
        <v>USD</v>
      </c>
      <c r="G210" s="30"/>
      <c r="H210" s="73">
        <f>IFERROR((1+Sensitivity_tables!$N$13)*IF(AND(H196=1,Assumptions!$G$165="Detailed",Assumptions!$G$164="yes"),-Assumptions_Detailed!H$59,IF(H196=1,-Assumptions!$G$167/SUM($H$196:$BY$196)*H185,0)),0)</f>
        <v>0</v>
      </c>
      <c r="I210" s="73">
        <f>IFERROR((1+Sensitivity_tables!$N$13)*IF(AND(I196=1,Assumptions!$G$165="Detailed",Assumptions!$G$164="yes"),-Assumptions_Detailed!I$59,IF(I196=1,-Assumptions!$G$167/SUM($H$196:$BY$196)*I185,0)),0)</f>
        <v>-2053628.0672373667</v>
      </c>
      <c r="J210" s="73">
        <f>IFERROR((1+Sensitivity_tables!$N$13)*IF(AND(J196=1,Assumptions!$G$165="Detailed",Assumptions!$G$164="yes"),-Assumptions_Detailed!J$59,IF(J196=1,-Assumptions!$G$167/SUM($H$196:$BY$196)*J185,0)),0)</f>
        <v>-2094700.6285821139</v>
      </c>
      <c r="K210" s="73">
        <f>IFERROR((1+Sensitivity_tables!$N$13)*IF(AND(K196=1,Assumptions!$G$165="Detailed",Assumptions!$G$164="yes"),-Assumptions_Detailed!K$59,IF(K196=1,-Assumptions!$G$167/SUM($H$196:$BY$196)*K185,0)),0)</f>
        <v>0</v>
      </c>
      <c r="L210" s="73">
        <f>IFERROR((1+Sensitivity_tables!$N$13)*IF(AND(L196=1,Assumptions!$G$165="Detailed",Assumptions!$G$164="yes"),-Assumptions_Detailed!L$59,IF(L196=1,-Assumptions!$G$167/SUM($H$196:$BY$196)*L185,0)),0)</f>
        <v>0</v>
      </c>
      <c r="M210" s="73">
        <f>IFERROR((1+Sensitivity_tables!$N$13)*IF(AND(M196=1,Assumptions!$G$165="Detailed",Assumptions!$G$164="yes"),-Assumptions_Detailed!M$59,IF(M196=1,-Assumptions!$G$167/SUM($H$196:$BY$196)*M185,0)),0)</f>
        <v>0</v>
      </c>
      <c r="N210" s="73">
        <f>IFERROR((1+Sensitivity_tables!$N$13)*IF(AND(N196=1,Assumptions!$G$165="Detailed",Assumptions!$G$164="yes"),-Assumptions_Detailed!N$59,IF(N196=1,-Assumptions!$G$167/SUM($H$196:$BY$196)*N185,0)),0)</f>
        <v>0</v>
      </c>
      <c r="O210" s="73">
        <f>IFERROR((1+Sensitivity_tables!$N$13)*IF(AND(O196=1,Assumptions!$G$165="Detailed",Assumptions!$G$164="yes"),-Assumptions_Detailed!O$59,IF(O196=1,-Assumptions!$G$167/SUM($H$196:$BY$196)*O185,0)),0)</f>
        <v>0</v>
      </c>
      <c r="P210" s="73">
        <f>IFERROR((1+Sensitivity_tables!$N$13)*IF(AND(P196=1,Assumptions!$G$165="Detailed",Assumptions!$G$164="yes"),-Assumptions_Detailed!P$59,IF(P196=1,-Assumptions!$G$167/SUM($H$196:$BY$196)*P185,0)),0)</f>
        <v>0</v>
      </c>
      <c r="Q210" s="73">
        <f>IFERROR((1+Sensitivity_tables!$N$13)*IF(AND(Q196=1,Assumptions!$G$165="Detailed",Assumptions!$G$164="yes"),-Assumptions_Detailed!Q$59,IF(Q196=1,-Assumptions!$G$167/SUM($H$196:$BY$196)*Q185,0)),0)</f>
        <v>0</v>
      </c>
      <c r="R210" s="73">
        <f>IFERROR((1+Sensitivity_tables!$N$13)*IF(AND(R196=1,Assumptions!$G$165="Detailed",Assumptions!$G$164="yes"),-Assumptions_Detailed!R$59,IF(R196=1,-Assumptions!$G$167/SUM($H$196:$BY$196)*R185,0)),0)</f>
        <v>0</v>
      </c>
      <c r="S210" s="73">
        <f>IFERROR((1+Sensitivity_tables!$N$13)*IF(AND(S196=1,Assumptions!$G$165="Detailed",Assumptions!$G$164="yes"),-Assumptions_Detailed!S$59,IF(S196=1,-Assumptions!$G$167/SUM($H$196:$BY$196)*S185,0)),0)</f>
        <v>0</v>
      </c>
      <c r="T210" s="73">
        <f>IFERROR((1+Sensitivity_tables!$N$13)*IF(AND(T196=1,Assumptions!$G$165="Detailed",Assumptions!$G$164="yes"),-Assumptions_Detailed!T$59,IF(T196=1,-Assumptions!$G$167/SUM($H$196:$BY$196)*T185,0)),0)</f>
        <v>0</v>
      </c>
      <c r="U210" s="73">
        <f>IFERROR((1+Sensitivity_tables!$N$13)*IF(AND(U196=1,Assumptions!$G$165="Detailed",Assumptions!$G$164="yes"),-Assumptions_Detailed!U$59,IF(U196=1,-Assumptions!$G$167/SUM($H$196:$BY$196)*U185,0)),0)</f>
        <v>0</v>
      </c>
      <c r="V210" s="73">
        <f>IFERROR((1+Sensitivity_tables!$N$13)*IF(AND(V196=1,Assumptions!$G$165="Detailed",Assumptions!$G$164="yes"),-Assumptions_Detailed!V$59,IF(V196=1,-Assumptions!$G$167/SUM($H$196:$BY$196)*V185,0)),0)</f>
        <v>0</v>
      </c>
      <c r="W210" s="73">
        <f>IFERROR((1+Sensitivity_tables!$N$13)*IF(AND(W196=1,Assumptions!$G$165="Detailed",Assumptions!$G$164="yes"),-Assumptions_Detailed!W$59,IF(W196=1,-Assumptions!$G$167/SUM($H$196:$BY$196)*W185,0)),0)</f>
        <v>0</v>
      </c>
      <c r="X210" s="73">
        <f>IFERROR((1+Sensitivity_tables!$N$13)*IF(AND(X196=1,Assumptions!$G$165="Detailed",Assumptions!$G$164="yes"),-Assumptions_Detailed!X$59,IF(X196=1,-Assumptions!$G$167/SUM($H$196:$BY$196)*X185,0)),0)</f>
        <v>0</v>
      </c>
      <c r="Y210" s="73">
        <f>IFERROR((1+Sensitivity_tables!$N$13)*IF(AND(Y196=1,Assumptions!$G$165="Detailed",Assumptions!$G$164="yes"),-Assumptions_Detailed!Y$59,IF(Y196=1,-Assumptions!$G$167/SUM($H$196:$BY$196)*Y185,0)),0)</f>
        <v>0</v>
      </c>
      <c r="Z210" s="73">
        <f>IFERROR((1+Sensitivity_tables!$N$13)*IF(AND(Z196=1,Assumptions!$G$165="Detailed",Assumptions!$G$164="yes"),-Assumptions_Detailed!Z$59,IF(Z196=1,-Assumptions!$G$167/SUM($H$196:$BY$196)*Z185,0)),0)</f>
        <v>0</v>
      </c>
      <c r="AA210" s="73">
        <f>IFERROR((1+Sensitivity_tables!$N$13)*IF(AND(AA196=1,Assumptions!$G$165="Detailed",Assumptions!$G$164="yes"),-Assumptions_Detailed!AA$59,IF(AA196=1,-Assumptions!$G$167/SUM($H$196:$BY$196)*AA185,0)),0)</f>
        <v>0</v>
      </c>
      <c r="AB210" s="73">
        <f>IFERROR((1+Sensitivity_tables!$N$13)*IF(AND(AB196=1,Assumptions!$G$165="Detailed",Assumptions!$G$164="yes"),-Assumptions_Detailed!AB$59,IF(AB196=1,-Assumptions!$G$167/SUM($H$196:$BY$196)*AB185,0)),0)</f>
        <v>0</v>
      </c>
      <c r="AC210" s="73">
        <f>IFERROR((1+Sensitivity_tables!$N$13)*IF(AND(AC196=1,Assumptions!$G$165="Detailed",Assumptions!$G$164="yes"),-Assumptions_Detailed!AC$59,IF(AC196=1,-Assumptions!$G$167/SUM($H$196:$BY$196)*AC185,0)),0)</f>
        <v>0</v>
      </c>
      <c r="AD210" s="73">
        <f>IFERROR((1+Sensitivity_tables!$N$13)*IF(AND(AD196=1,Assumptions!$G$165="Detailed",Assumptions!$G$164="yes"),-Assumptions_Detailed!AD$59,IF(AD196=1,-Assumptions!$G$167/SUM($H$196:$BY$196)*AD185,0)),0)</f>
        <v>0</v>
      </c>
      <c r="AE210" s="73">
        <f>IFERROR((1+Sensitivity_tables!$N$13)*IF(AND(AE196=1,Assumptions!$G$165="Detailed",Assumptions!$G$164="yes"),-Assumptions_Detailed!AE$59,IF(AE196=1,-Assumptions!$G$167/SUM($H$196:$BY$196)*AE185,0)),0)</f>
        <v>0</v>
      </c>
      <c r="AF210" s="73">
        <f>IFERROR((1+Sensitivity_tables!$N$13)*IF(AND(AF196=1,Assumptions!$G$165="Detailed",Assumptions!$G$164="yes"),-Assumptions_Detailed!AF$59,IF(AF196=1,-Assumptions!$G$167/SUM($H$196:$BY$196)*AF185,0)),0)</f>
        <v>0</v>
      </c>
      <c r="AG210" s="73">
        <f>IFERROR((1+Sensitivity_tables!$N$13)*IF(AND(AG196=1,Assumptions!$G$165="Detailed",Assumptions!$G$164="yes"),-Assumptions_Detailed!AG$59,IF(AG196=1,-Assumptions!$G$167/SUM($H$196:$BY$196)*AG185,0)),0)</f>
        <v>0</v>
      </c>
      <c r="AH210" s="73">
        <f>IFERROR((1+Sensitivity_tables!$N$13)*IF(AND(AH196=1,Assumptions!$G$165="Detailed",Assumptions!$G$164="yes"),-Assumptions_Detailed!AH$59,IF(AH196=1,-Assumptions!$G$167/SUM($H$196:$BY$196)*AH185,0)),0)</f>
        <v>0</v>
      </c>
      <c r="AI210" s="73">
        <f>IFERROR((1+Sensitivity_tables!$N$13)*IF(AND(AI196=1,Assumptions!$G$165="Detailed",Assumptions!$G$164="yes"),-Assumptions_Detailed!AI$59,IF(AI196=1,-Assumptions!$G$167/SUM($H$196:$BY$196)*AI185,0)),0)</f>
        <v>0</v>
      </c>
      <c r="AJ210" s="73">
        <f>IFERROR((1+Sensitivity_tables!$N$13)*IF(AND(AJ196=1,Assumptions!$G$165="Detailed",Assumptions!$G$164="yes"),-Assumptions_Detailed!AJ$59,IF(AJ196=1,-Assumptions!$G$167/SUM($H$196:$BY$196)*AJ185,0)),0)</f>
        <v>0</v>
      </c>
      <c r="AK210" s="73">
        <f>IFERROR((1+Sensitivity_tables!$N$13)*IF(AND(AK196=1,Assumptions!$G$165="Detailed",Assumptions!$G$164="yes"),-Assumptions_Detailed!AK$59,IF(AK196=1,-Assumptions!$G$167/SUM($H$196:$BY$196)*AK185,0)),0)</f>
        <v>0</v>
      </c>
      <c r="AL210" s="73">
        <f>IFERROR((1+Sensitivity_tables!$N$13)*IF(AND(AL196=1,Assumptions!$G$165="Detailed",Assumptions!$G$164="yes"),-Assumptions_Detailed!AL$59,IF(AL196=1,-Assumptions!$G$167/SUM($H$196:$BY$196)*AL185,0)),0)</f>
        <v>0</v>
      </c>
      <c r="AM210" s="73">
        <f>IFERROR((1+Sensitivity_tables!$N$13)*IF(AND(AM196=1,Assumptions!$G$165="Detailed",Assumptions!$G$164="yes"),-Assumptions_Detailed!AM$59,IF(AM196=1,-Assumptions!$G$167/SUM($H$196:$BY$196)*AM185,0)),0)</f>
        <v>0</v>
      </c>
      <c r="AN210" s="73">
        <f>IFERROR((1+Sensitivity_tables!$N$13)*IF(AND(AN196=1,Assumptions!$G$165="Detailed",Assumptions!$G$164="yes"),-Assumptions_Detailed!AN$59,IF(AN196=1,-Assumptions!$G$167/SUM($H$196:$BY$196)*AN185,0)),0)</f>
        <v>0</v>
      </c>
      <c r="AO210" s="73">
        <f>IFERROR((1+Sensitivity_tables!$N$13)*IF(AND(AO196=1,Assumptions!$G$165="Detailed",Assumptions!$G$164="yes"),-Assumptions_Detailed!AO$59,IF(AO196=1,-Assumptions!$G$167/SUM($H$196:$BY$196)*AO185,0)),0)</f>
        <v>0</v>
      </c>
      <c r="AP210" s="73">
        <f>IFERROR((1+Sensitivity_tables!$N$13)*IF(AND(AP196=1,Assumptions!$G$165="Detailed",Assumptions!$G$164="yes"),-Assumptions_Detailed!AP$59,IF(AP196=1,-Assumptions!$G$167/SUM($H$196:$BY$196)*AP185,0)),0)</f>
        <v>0</v>
      </c>
      <c r="AQ210" s="73">
        <f>IFERROR((1+Sensitivity_tables!$N$13)*IF(AND(AQ196=1,Assumptions!$G$165="Detailed",Assumptions!$G$164="yes"),-Assumptions_Detailed!AQ$59,IF(AQ196=1,-Assumptions!$G$167/SUM($H$196:$BY$196)*AQ185,0)),0)</f>
        <v>0</v>
      </c>
      <c r="AR210" s="73">
        <f>IFERROR((1+Sensitivity_tables!$N$13)*IF(AND(AR196=1,Assumptions!$G$165="Detailed",Assumptions!$G$164="yes"),-Assumptions_Detailed!AR$59,IF(AR196=1,-Assumptions!$G$167/SUM($H$196:$BY$196)*AR185,0)),0)</f>
        <v>0</v>
      </c>
      <c r="AS210" s="73">
        <f>IFERROR((1+Sensitivity_tables!$N$13)*IF(AND(AS196=1,Assumptions!$G$165="Detailed",Assumptions!$G$164="yes"),-Assumptions_Detailed!AS$59,IF(AS196=1,-Assumptions!$G$167/SUM($H$196:$BY$196)*AS185,0)),0)</f>
        <v>0</v>
      </c>
      <c r="AT210" s="73">
        <f>IFERROR((1+Sensitivity_tables!$N$13)*IF(AND(AT196=1,Assumptions!$G$165="Detailed",Assumptions!$G$164="yes"),-Assumptions_Detailed!AT$59,IF(AT196=1,-Assumptions!$G$167/SUM($H$196:$BY$196)*AT185,0)),0)</f>
        <v>0</v>
      </c>
      <c r="AU210" s="73">
        <f>IFERROR((1+Sensitivity_tables!$N$13)*IF(AND(AU196=1,Assumptions!$G$165="Detailed",Assumptions!$G$164="yes"),-Assumptions_Detailed!AU$59,IF(AU196=1,-Assumptions!$G$167/SUM($H$196:$BY$196)*AU185,0)),0)</f>
        <v>0</v>
      </c>
      <c r="AV210" s="73">
        <f>IFERROR((1+Sensitivity_tables!$N$13)*IF(AND(AV196=1,Assumptions!$G$165="Detailed",Assumptions!$G$164="yes"),-Assumptions_Detailed!AV$59,IF(AV196=1,-Assumptions!$G$167/SUM($H$196:$BY$196)*AV185,0)),0)</f>
        <v>0</v>
      </c>
      <c r="AW210" s="73">
        <f>IFERROR((1+Sensitivity_tables!$N$13)*IF(AND(AW196=1,Assumptions!$G$165="Detailed",Assumptions!$G$164="yes"),-Assumptions_Detailed!AW$59,IF(AW196=1,-Assumptions!$G$167/SUM($H$196:$BY$196)*AW185,0)),0)</f>
        <v>0</v>
      </c>
      <c r="AX210" s="73">
        <f>IFERROR((1+Sensitivity_tables!$N$13)*IF(AND(AX196=1,Assumptions!$G$165="Detailed",Assumptions!$G$164="yes"),-Assumptions_Detailed!AX$59,IF(AX196=1,-Assumptions!$G$167/SUM($H$196:$BY$196)*AX185,0)),0)</f>
        <v>0</v>
      </c>
      <c r="AY210" s="73">
        <f>IFERROR((1+Sensitivity_tables!$N$13)*IF(AND(AY196=1,Assumptions!$G$165="Detailed",Assumptions!$G$164="yes"),-Assumptions_Detailed!AY$59,IF(AY196=1,-Assumptions!$G$167/SUM($H$196:$BY$196)*AY185,0)),0)</f>
        <v>0</v>
      </c>
      <c r="AZ210" s="73">
        <f>IFERROR((1+Sensitivity_tables!$N$13)*IF(AND(AZ196=1,Assumptions!$G$165="Detailed",Assumptions!$G$164="yes"),-Assumptions_Detailed!AZ$59,IF(AZ196=1,-Assumptions!$G$167/SUM($H$196:$BY$196)*AZ185,0)),0)</f>
        <v>0</v>
      </c>
      <c r="BA210" s="73">
        <f>IFERROR((1+Sensitivity_tables!$N$13)*IF(AND(BA196=1,Assumptions!$G$165="Detailed",Assumptions!$G$164="yes"),-Assumptions_Detailed!BA$59,IF(BA196=1,-Assumptions!$G$167/SUM($H$196:$BY$196)*BA185,0)),0)</f>
        <v>0</v>
      </c>
      <c r="BB210" s="73">
        <f>IFERROR((1+Sensitivity_tables!$N$13)*IF(AND(BB196=1,Assumptions!$G$165="Detailed",Assumptions!$G$164="yes"),-Assumptions_Detailed!BB$59,IF(BB196=1,-Assumptions!$G$167/SUM($H$196:$BY$196)*BB185,0)),0)</f>
        <v>0</v>
      </c>
      <c r="BC210" s="73">
        <f>IFERROR((1+Sensitivity_tables!$N$13)*IF(AND(BC196=1,Assumptions!$G$165="Detailed",Assumptions!$G$164="yes"),-Assumptions_Detailed!BC$59,IF(BC196=1,-Assumptions!$G$167/SUM($H$196:$BY$196)*BC185,0)),0)</f>
        <v>0</v>
      </c>
      <c r="BD210" s="73">
        <f>IFERROR((1+Sensitivity_tables!$N$13)*IF(AND(BD196=1,Assumptions!$G$165="Detailed",Assumptions!$G$164="yes"),-Assumptions_Detailed!BD$59,IF(BD196=1,-Assumptions!$G$167/SUM($H$196:$BY$196)*BD185,0)),0)</f>
        <v>0</v>
      </c>
      <c r="BE210" s="73">
        <f>IFERROR((1+Sensitivity_tables!$N$13)*IF(AND(BE196=1,Assumptions!$G$165="Detailed",Assumptions!$G$164="yes"),-Assumptions_Detailed!BE$59,IF(BE196=1,-Assumptions!$G$167/SUM($H$196:$BY$196)*BE185,0)),0)</f>
        <v>0</v>
      </c>
      <c r="BF210" s="73">
        <f>IFERROR((1+Sensitivity_tables!$N$13)*IF(AND(BF196=1,Assumptions!$G$165="Detailed",Assumptions!$G$164="yes"),-Assumptions_Detailed!BF$59,IF(BF196=1,-Assumptions!$G$167/SUM($H$196:$BY$196)*BF185,0)),0)</f>
        <v>0</v>
      </c>
      <c r="BG210" s="73">
        <f>IFERROR((1+Sensitivity_tables!$N$13)*IF(AND(BG196=1,Assumptions!$G$165="Detailed",Assumptions!$G$164="yes"),-Assumptions_Detailed!BG$59,IF(BG196=1,-Assumptions!$G$167/SUM($H$196:$BY$196)*BG185,0)),0)</f>
        <v>0</v>
      </c>
      <c r="BH210" s="73">
        <f>IFERROR((1+Sensitivity_tables!$N$13)*IF(AND(BH196=1,Assumptions!$G$165="Detailed",Assumptions!$G$164="yes"),-Assumptions_Detailed!BH$59,IF(BH196=1,-Assumptions!$G$167/SUM($H$196:$BY$196)*BH185,0)),0)</f>
        <v>0</v>
      </c>
      <c r="BI210" s="73">
        <f>IFERROR((1+Sensitivity_tables!$N$13)*IF(AND(BI196=1,Assumptions!$G$165="Detailed",Assumptions!$G$164="yes"),-Assumptions_Detailed!BI$59,IF(BI196=1,-Assumptions!$G$167/SUM($H$196:$BY$196)*BI185,0)),0)</f>
        <v>0</v>
      </c>
      <c r="BJ210" s="73">
        <f>IFERROR((1+Sensitivity_tables!$N$13)*IF(AND(BJ196=1,Assumptions!$G$165="Detailed",Assumptions!$G$164="yes"),-Assumptions_Detailed!BJ$59,IF(BJ196=1,-Assumptions!$G$167/SUM($H$196:$BY$196)*BJ185,0)),0)</f>
        <v>0</v>
      </c>
      <c r="BK210" s="73">
        <f>IFERROR((1+Sensitivity_tables!$N$13)*IF(AND(BK196=1,Assumptions!$G$165="Detailed",Assumptions!$G$164="yes"),-Assumptions_Detailed!BK$59,IF(BK196=1,-Assumptions!$G$167/SUM($H$196:$BY$196)*BK185,0)),0)</f>
        <v>0</v>
      </c>
      <c r="BL210" s="73">
        <f>IFERROR((1+Sensitivity_tables!$N$13)*IF(AND(BL196=1,Assumptions!$G$165="Detailed",Assumptions!$G$164="yes"),-Assumptions_Detailed!BL$59,IF(BL196=1,-Assumptions!$G$167/SUM($H$196:$BY$196)*BL185,0)),0)</f>
        <v>0</v>
      </c>
      <c r="BM210" s="73">
        <f>IFERROR((1+Sensitivity_tables!$N$13)*IF(AND(BM196=1,Assumptions!$G$165="Detailed",Assumptions!$G$164="yes"),-Assumptions_Detailed!BM$59,IF(BM196=1,-Assumptions!$G$167/SUM($H$196:$BY$196)*BM185,0)),0)</f>
        <v>0</v>
      </c>
      <c r="BN210" s="73">
        <f>IFERROR((1+Sensitivity_tables!$N$13)*IF(AND(BN196=1,Assumptions!$G$165="Detailed",Assumptions!$G$164="yes"),-Assumptions_Detailed!BN$59,IF(BN196=1,-Assumptions!$G$167/SUM($H$196:$BY$196)*BN185,0)),0)</f>
        <v>0</v>
      </c>
      <c r="BO210" s="73">
        <f>IFERROR((1+Sensitivity_tables!$N$13)*IF(AND(BO196=1,Assumptions!$G$165="Detailed",Assumptions!$G$164="yes"),-Assumptions_Detailed!BO$59,IF(BO196=1,-Assumptions!$G$167/SUM($H$196:$BY$196)*BO185,0)),0)</f>
        <v>0</v>
      </c>
      <c r="BP210" s="73">
        <f>IFERROR((1+Sensitivity_tables!$N$13)*IF(AND(BP196=1,Assumptions!$G$165="Detailed",Assumptions!$G$164="yes"),-Assumptions_Detailed!BP$59,IF(BP196=1,-Assumptions!$G$167/SUM($H$196:$BY$196)*BP185,0)),0)</f>
        <v>0</v>
      </c>
      <c r="BQ210" s="73">
        <f>IFERROR((1+Sensitivity_tables!$N$13)*IF(AND(BQ196=1,Assumptions!$G$165="Detailed",Assumptions!$G$164="yes"),-Assumptions_Detailed!BQ$59,IF(BQ196=1,-Assumptions!$G$167/SUM($H$196:$BY$196)*BQ185,0)),0)</f>
        <v>0</v>
      </c>
      <c r="BR210" s="73">
        <f>IFERROR((1+Sensitivity_tables!$N$13)*IF(AND(BR196=1,Assumptions!$G$165="Detailed",Assumptions!$G$164="yes"),-Assumptions_Detailed!BR$59,IF(BR196=1,-Assumptions!$G$167/SUM($H$196:$BY$196)*BR185,0)),0)</f>
        <v>0</v>
      </c>
      <c r="BS210" s="73">
        <f>IFERROR((1+Sensitivity_tables!$N$13)*IF(AND(BS196=1,Assumptions!$G$165="Detailed",Assumptions!$G$164="yes"),-Assumptions_Detailed!BS$59,IF(BS196=1,-Assumptions!$G$167/SUM($H$196:$BY$196)*BS185,0)),0)</f>
        <v>0</v>
      </c>
      <c r="BT210" s="73">
        <f>IFERROR((1+Sensitivity_tables!$N$13)*IF(AND(BT196=1,Assumptions!$G$165="Detailed",Assumptions!$G$164="yes"),-Assumptions_Detailed!BT$59,IF(BT196=1,-Assumptions!$G$167/SUM($H$196:$BY$196)*BT185,0)),0)</f>
        <v>0</v>
      </c>
      <c r="BU210" s="73">
        <f>IFERROR((1+Sensitivity_tables!$N$13)*IF(AND(BU196=1,Assumptions!$G$165="Detailed",Assumptions!$G$164="yes"),-Assumptions_Detailed!BU$59,IF(BU196=1,-Assumptions!$G$167/SUM($H$196:$BY$196)*BU185,0)),0)</f>
        <v>0</v>
      </c>
      <c r="BV210" s="73">
        <f>IFERROR((1+Sensitivity_tables!$N$13)*IF(AND(BV196=1,Assumptions!$G$165="Detailed",Assumptions!$G$164="yes"),-Assumptions_Detailed!BV$59,IF(BV196=1,-Assumptions!$G$167/SUM($H$196:$BY$196)*BV185,0)),0)</f>
        <v>0</v>
      </c>
      <c r="BW210" s="73">
        <f>IFERROR((1+Sensitivity_tables!$N$13)*IF(AND(BW196=1,Assumptions!$G$165="Detailed",Assumptions!$G$164="yes"),-Assumptions_Detailed!BW$59,IF(BW196=1,-Assumptions!$G$167/SUM($H$196:$BY$196)*BW185,0)),0)</f>
        <v>0</v>
      </c>
      <c r="BX210" s="73">
        <f>IFERROR((1+Sensitivity_tables!$N$13)*IF(AND(BX196=1,Assumptions!$G$165="Detailed",Assumptions!$G$164="yes"),-Assumptions_Detailed!BX$59,IF(BX196=1,-Assumptions!$G$167/SUM($H$196:$BY$196)*BX185,0)),0)</f>
        <v>0</v>
      </c>
      <c r="BY210" s="73">
        <f>IFERROR((1+Sensitivity_tables!$N$13)*IF(AND(BY196=1,Assumptions!$G$165="Detailed",Assumptions!$G$164="yes"),-Assumptions_Detailed!BY$59,IF(BY196=1,-Assumptions!$G$167/SUM($H$196:$BY$196)*BY185,0)),0)</f>
        <v>0</v>
      </c>
    </row>
    <row r="211" spans="2:77" outlineLevel="1">
      <c r="E211" t="s">
        <v>207</v>
      </c>
      <c r="F211" s="80" t="str">
        <f>+Assumptions!$G$8</f>
        <v>USD</v>
      </c>
      <c r="G211" s="23"/>
      <c r="H211" s="33">
        <f>SUM(H209:H210)</f>
        <v>0</v>
      </c>
      <c r="I211" s="33">
        <f t="shared" ref="I211:BT211" si="289">SUM(I209:I210)</f>
        <v>-2053628.0672373667</v>
      </c>
      <c r="J211" s="33">
        <f t="shared" si="289"/>
        <v>-2094700.6285821139</v>
      </c>
      <c r="K211" s="33">
        <f t="shared" si="289"/>
        <v>0</v>
      </c>
      <c r="L211" s="33">
        <f t="shared" si="289"/>
        <v>0</v>
      </c>
      <c r="M211" s="33">
        <f t="shared" si="289"/>
        <v>0</v>
      </c>
      <c r="N211" s="33">
        <f t="shared" si="289"/>
        <v>0</v>
      </c>
      <c r="O211" s="33">
        <f t="shared" si="289"/>
        <v>0</v>
      </c>
      <c r="P211" s="33">
        <f t="shared" si="289"/>
        <v>0</v>
      </c>
      <c r="Q211" s="33">
        <f t="shared" si="289"/>
        <v>0</v>
      </c>
      <c r="R211" s="33">
        <f t="shared" si="289"/>
        <v>0</v>
      </c>
      <c r="S211" s="33">
        <f t="shared" si="289"/>
        <v>0</v>
      </c>
      <c r="T211" s="33">
        <f t="shared" si="289"/>
        <v>0</v>
      </c>
      <c r="U211" s="33">
        <f t="shared" si="289"/>
        <v>0</v>
      </c>
      <c r="V211" s="33">
        <f t="shared" si="289"/>
        <v>0</v>
      </c>
      <c r="W211" s="33">
        <f t="shared" si="289"/>
        <v>0</v>
      </c>
      <c r="X211" s="33">
        <f t="shared" si="289"/>
        <v>0</v>
      </c>
      <c r="Y211" s="33">
        <f t="shared" si="289"/>
        <v>0</v>
      </c>
      <c r="Z211" s="33">
        <f t="shared" si="289"/>
        <v>0</v>
      </c>
      <c r="AA211" s="33">
        <f t="shared" si="289"/>
        <v>0</v>
      </c>
      <c r="AB211" s="33">
        <f t="shared" si="289"/>
        <v>0</v>
      </c>
      <c r="AC211" s="33">
        <f t="shared" si="289"/>
        <v>0</v>
      </c>
      <c r="AD211" s="33">
        <f t="shared" si="289"/>
        <v>0</v>
      </c>
      <c r="AE211" s="33">
        <f t="shared" si="289"/>
        <v>0</v>
      </c>
      <c r="AF211" s="33">
        <f t="shared" si="289"/>
        <v>0</v>
      </c>
      <c r="AG211" s="33">
        <f t="shared" si="289"/>
        <v>0</v>
      </c>
      <c r="AH211" s="33">
        <f t="shared" si="289"/>
        <v>0</v>
      </c>
      <c r="AI211" s="33">
        <f t="shared" si="289"/>
        <v>0</v>
      </c>
      <c r="AJ211" s="33">
        <f t="shared" si="289"/>
        <v>0</v>
      </c>
      <c r="AK211" s="33">
        <f t="shared" si="289"/>
        <v>0</v>
      </c>
      <c r="AL211" s="33">
        <f t="shared" si="289"/>
        <v>0</v>
      </c>
      <c r="AM211" s="33">
        <f t="shared" si="289"/>
        <v>0</v>
      </c>
      <c r="AN211" s="33">
        <f t="shared" si="289"/>
        <v>0</v>
      </c>
      <c r="AO211" s="33">
        <f t="shared" si="289"/>
        <v>0</v>
      </c>
      <c r="AP211" s="33">
        <f t="shared" si="289"/>
        <v>0</v>
      </c>
      <c r="AQ211" s="33">
        <f t="shared" si="289"/>
        <v>0</v>
      </c>
      <c r="AR211" s="33">
        <f t="shared" si="289"/>
        <v>0</v>
      </c>
      <c r="AS211" s="33">
        <f t="shared" si="289"/>
        <v>0</v>
      </c>
      <c r="AT211" s="33">
        <f t="shared" si="289"/>
        <v>0</v>
      </c>
      <c r="AU211" s="33">
        <f t="shared" si="289"/>
        <v>0</v>
      </c>
      <c r="AV211" s="33">
        <f t="shared" si="289"/>
        <v>0</v>
      </c>
      <c r="AW211" s="33">
        <f t="shared" si="289"/>
        <v>0</v>
      </c>
      <c r="AX211" s="33">
        <f t="shared" si="289"/>
        <v>0</v>
      </c>
      <c r="AY211" s="33">
        <f t="shared" si="289"/>
        <v>0</v>
      </c>
      <c r="AZ211" s="33">
        <f t="shared" si="289"/>
        <v>0</v>
      </c>
      <c r="BA211" s="33">
        <f t="shared" si="289"/>
        <v>0</v>
      </c>
      <c r="BB211" s="33">
        <f t="shared" si="289"/>
        <v>0</v>
      </c>
      <c r="BC211" s="33">
        <f t="shared" si="289"/>
        <v>0</v>
      </c>
      <c r="BD211" s="33">
        <f t="shared" si="289"/>
        <v>0</v>
      </c>
      <c r="BE211" s="33">
        <f t="shared" si="289"/>
        <v>0</v>
      </c>
      <c r="BF211" s="33">
        <f t="shared" si="289"/>
        <v>0</v>
      </c>
      <c r="BG211" s="33">
        <f t="shared" si="289"/>
        <v>0</v>
      </c>
      <c r="BH211" s="33">
        <f t="shared" si="289"/>
        <v>0</v>
      </c>
      <c r="BI211" s="33">
        <f t="shared" si="289"/>
        <v>0</v>
      </c>
      <c r="BJ211" s="33">
        <f t="shared" si="289"/>
        <v>0</v>
      </c>
      <c r="BK211" s="33">
        <f t="shared" si="289"/>
        <v>0</v>
      </c>
      <c r="BL211" s="33">
        <f t="shared" si="289"/>
        <v>0</v>
      </c>
      <c r="BM211" s="33">
        <f t="shared" si="289"/>
        <v>0</v>
      </c>
      <c r="BN211" s="33">
        <f t="shared" si="289"/>
        <v>0</v>
      </c>
      <c r="BO211" s="33">
        <f t="shared" si="289"/>
        <v>0</v>
      </c>
      <c r="BP211" s="33">
        <f t="shared" si="289"/>
        <v>0</v>
      </c>
      <c r="BQ211" s="33">
        <f t="shared" si="289"/>
        <v>0</v>
      </c>
      <c r="BR211" s="33">
        <f t="shared" si="289"/>
        <v>0</v>
      </c>
      <c r="BS211" s="33">
        <f t="shared" si="289"/>
        <v>0</v>
      </c>
      <c r="BT211" s="33">
        <f t="shared" si="289"/>
        <v>0</v>
      </c>
      <c r="BU211" s="33">
        <f t="shared" ref="BU211:BY211" si="290">SUM(BU209:BU210)</f>
        <v>0</v>
      </c>
      <c r="BV211" s="33">
        <f t="shared" si="290"/>
        <v>0</v>
      </c>
      <c r="BW211" s="33">
        <f t="shared" si="290"/>
        <v>0</v>
      </c>
      <c r="BX211" s="33">
        <f t="shared" si="290"/>
        <v>0</v>
      </c>
      <c r="BY211" s="33">
        <f t="shared" si="290"/>
        <v>0</v>
      </c>
    </row>
    <row r="212" spans="2:77" outlineLevel="1"/>
    <row r="213" spans="2:77" s="19" customFormat="1" ht="12.75" outlineLevel="1">
      <c r="B213" s="18" t="s">
        <v>258</v>
      </c>
    </row>
    <row r="214" spans="2:77" outlineLevel="1">
      <c r="C214" s="21"/>
      <c r="BF214" s="33"/>
      <c r="BG214" s="33"/>
      <c r="BH214" s="33"/>
      <c r="BI214" s="33"/>
      <c r="BJ214" s="33"/>
      <c r="BK214" s="33"/>
      <c r="BL214" s="33"/>
      <c r="BM214" s="33"/>
      <c r="BN214" s="33"/>
      <c r="BO214" s="33"/>
      <c r="BP214" s="33"/>
      <c r="BQ214" s="33"/>
      <c r="BR214" s="33"/>
      <c r="BS214" s="33"/>
      <c r="BT214" s="33"/>
      <c r="BU214" s="33"/>
      <c r="BV214" s="33"/>
      <c r="BW214" s="33"/>
      <c r="BX214" s="33"/>
      <c r="BY214" s="33"/>
    </row>
    <row r="215" spans="2:77" ht="15" outlineLevel="1">
      <c r="E215" s="22" t="s">
        <v>450</v>
      </c>
      <c r="BF215" s="33"/>
      <c r="BG215" s="33"/>
      <c r="BH215" s="33"/>
      <c r="BI215" s="33"/>
      <c r="BJ215" s="33"/>
      <c r="BK215" s="33"/>
      <c r="BL215" s="33"/>
      <c r="BM215" s="33"/>
      <c r="BN215" s="33"/>
      <c r="BO215" s="33"/>
      <c r="BP215" s="33"/>
      <c r="BQ215" s="33"/>
      <c r="BR215" s="33"/>
      <c r="BS215" s="33"/>
      <c r="BT215" s="33"/>
      <c r="BU215" s="33"/>
      <c r="BV215" s="33"/>
      <c r="BW215" s="33"/>
      <c r="BX215" s="33"/>
      <c r="BY215" s="33"/>
    </row>
    <row r="216" spans="2:77" outlineLevel="1">
      <c r="D216" s="33"/>
      <c r="E216" t="str">
        <f>+Assumptions!D177</f>
        <v>Implied - (Storage) Total OPEX</v>
      </c>
      <c r="F216" s="80" t="str">
        <f>+Assumptions!$G$8</f>
        <v>USD</v>
      </c>
      <c r="G216" s="23"/>
      <c r="H216" s="33">
        <f>IFERROR((1+Sensitivity_tables!$N$18)*IF(AND(Assumptions!$G$174="Yes",Assumptions!$G$175="Detailed"),-Assumptions_Detailed!H$64*H191,IF(H$191=1,-Assumptions!$G$177*H$185,0)),0)</f>
        <v>0</v>
      </c>
      <c r="I216" s="33">
        <f>IFERROR((1+Sensitivity_tables!$N$18)*IF(AND(Assumptions!$G$174="Yes",Assumptions!$G$175="Detailed"),-Assumptions_Detailed!I$64*I191,IF(I$191=1,-Assumptions!$G$177*I$185,0)),0)</f>
        <v>0</v>
      </c>
      <c r="J216" s="33">
        <f>IFERROR((1+Sensitivity_tables!$N$18)*IF(AND(Assumptions!$G$174="Yes",Assumptions!$G$175="Detailed"),-Assumptions_Detailed!J$64*J191,IF(J$191=1,-Assumptions!$G$177*J$185,0)),0)</f>
        <v>0</v>
      </c>
      <c r="K216" s="33">
        <f>IFERROR((1+Sensitivity_tables!$N$18)*IF(AND(Assumptions!$G$174="Yes",Assumptions!$G$175="Detailed"),-Assumptions_Detailed!K$64*K191,IF(K$191=1,-Assumptions!$G$177*K$185,0)),0)</f>
        <v>-13246.886775153287</v>
      </c>
      <c r="L216" s="33">
        <f>IFERROR((1+Sensitivity_tables!$N$18)*IF(AND(Assumptions!$G$174="Yes",Assumptions!$G$175="Detailed"),-Assumptions_Detailed!L$64*L191,IF(L$191=1,-Assumptions!$G$177*L$185,0)),0)</f>
        <v>-13511.824510656354</v>
      </c>
      <c r="M216" s="33">
        <f>IFERROR((1+Sensitivity_tables!$N$18)*IF(AND(Assumptions!$G$174="Yes",Assumptions!$G$175="Detailed"),-Assumptions_Detailed!M$64*M191,IF(M$191=1,-Assumptions!$G$177*M$185,0)),0)</f>
        <v>-13782.061000869482</v>
      </c>
      <c r="N216" s="33">
        <f>IFERROR((1+Sensitivity_tables!$N$18)*IF(AND(Assumptions!$G$174="Yes",Assumptions!$G$175="Detailed"),-Assumptions_Detailed!N$64*N191,IF(N$191=1,-Assumptions!$G$177*N$185,0)),0)</f>
        <v>-14057.702220886868</v>
      </c>
      <c r="O216" s="33">
        <f>IFERROR((1+Sensitivity_tables!$N$18)*IF(AND(Assumptions!$G$174="Yes",Assumptions!$G$175="Detailed"),-Assumptions_Detailed!O$64*O191,IF(O$191=1,-Assumptions!$G$177*O$185,0)),0)</f>
        <v>-14338.856265304606</v>
      </c>
      <c r="P216" s="33">
        <f>IFERROR((1+Sensitivity_tables!$N$18)*IF(AND(Assumptions!$G$174="Yes",Assumptions!$G$175="Detailed"),-Assumptions_Detailed!P$64*P191,IF(P$191=1,-Assumptions!$G$177*P$185,0)),0)</f>
        <v>-14625.633390610699</v>
      </c>
      <c r="Q216" s="33">
        <f>IFERROR((1+Sensitivity_tables!$N$18)*IF(AND(Assumptions!$G$174="Yes",Assumptions!$G$175="Detailed"),-Assumptions_Detailed!Q$64*Q191,IF(Q$191=1,-Assumptions!$G$177*Q$185,0)),0)</f>
        <v>-14918.146058422913</v>
      </c>
      <c r="R216" s="33">
        <f>IFERROR((1+Sensitivity_tables!$N$18)*IF(AND(Assumptions!$G$174="Yes",Assumptions!$G$175="Detailed"),-Assumptions_Detailed!R$64*R191,IF(R$191=1,-Assumptions!$G$177*R$185,0)),0)</f>
        <v>-15216.508979591368</v>
      </c>
      <c r="S216" s="33">
        <f>IFERROR((1+Sensitivity_tables!$N$18)*IF(AND(Assumptions!$G$174="Yes",Assumptions!$G$175="Detailed"),-Assumptions_Detailed!S$64*S191,IF(S$191=1,-Assumptions!$G$177*S$185,0)),0)</f>
        <v>-15520.839159183199</v>
      </c>
      <c r="T216" s="33">
        <f>IFERROR((1+Sensitivity_tables!$N$18)*IF(AND(Assumptions!$G$174="Yes",Assumptions!$G$175="Detailed"),-Assumptions_Detailed!T$64*T191,IF(T$191=1,-Assumptions!$G$177*T$185,0)),0)</f>
        <v>-15831.255942366863</v>
      </c>
      <c r="U216" s="33">
        <f>IFERROR((1+Sensitivity_tables!$N$18)*IF(AND(Assumptions!$G$174="Yes",Assumptions!$G$175="Detailed"),-Assumptions_Detailed!U$64*U191,IF(U$191=1,-Assumptions!$G$177*U$185,0)),0)</f>
        <v>-16147.881061214201</v>
      </c>
      <c r="V216" s="33">
        <f>IFERROR((1+Sensitivity_tables!$N$18)*IF(AND(Assumptions!$G$174="Yes",Assumptions!$G$175="Detailed"),-Assumptions_Detailed!V$64*V191,IF(V$191=1,-Assumptions!$G$177*V$185,0)),0)</f>
        <v>-16470.83868243848</v>
      </c>
      <c r="W216" s="33">
        <f>IFERROR((1+Sensitivity_tables!$N$18)*IF(AND(Assumptions!$G$174="Yes",Assumptions!$G$175="Detailed"),-Assumptions_Detailed!W$64*W191,IF(W$191=1,-Assumptions!$G$177*W$185,0)),0)</f>
        <v>-16800.255456087252</v>
      </c>
      <c r="X216" s="33">
        <f>IFERROR((1+Sensitivity_tables!$N$18)*IF(AND(Assumptions!$G$174="Yes",Assumptions!$G$175="Detailed"),-Assumptions_Detailed!X$64*X191,IF(X$191=1,-Assumptions!$G$177*X$185,0)),0)</f>
        <v>-17136.260565208999</v>
      </c>
      <c r="Y216" s="33">
        <f>IFERROR((1+Sensitivity_tables!$N$18)*IF(AND(Assumptions!$G$174="Yes",Assumptions!$G$175="Detailed"),-Assumptions_Detailed!Y$64*Y191,IF(Y$191=1,-Assumptions!$G$177*Y$185,0)),0)</f>
        <v>-17478.985776513178</v>
      </c>
      <c r="Z216" s="33">
        <f>IFERROR((1+Sensitivity_tables!$N$18)*IF(AND(Assumptions!$G$174="Yes",Assumptions!$G$175="Detailed"),-Assumptions_Detailed!Z$64*Z191,IF(Z$191=1,-Assumptions!$G$177*Z$185,0)),0)</f>
        <v>0</v>
      </c>
      <c r="AA216" s="33">
        <f>IFERROR((1+Sensitivity_tables!$N$18)*IF(AND(Assumptions!$G$174="Yes",Assumptions!$G$175="Detailed"),-Assumptions_Detailed!AA$64*AA191,IF(AA$191=1,-Assumptions!$G$177*AA$185,0)),0)</f>
        <v>0</v>
      </c>
      <c r="AB216" s="33">
        <f>IFERROR((1+Sensitivity_tables!$N$18)*IF(AND(Assumptions!$G$174="Yes",Assumptions!$G$175="Detailed"),-Assumptions_Detailed!AB$64*AB191,IF(AB$191=1,-Assumptions!$G$177*AB$185,0)),0)</f>
        <v>0</v>
      </c>
      <c r="AC216" s="33">
        <f>IFERROR((1+Sensitivity_tables!$N$18)*IF(AND(Assumptions!$G$174="Yes",Assumptions!$G$175="Detailed"),-Assumptions_Detailed!AC$64*AC191,IF(AC$191=1,-Assumptions!$G$177*AC$185,0)),0)</f>
        <v>0</v>
      </c>
      <c r="AD216" s="33">
        <f>IFERROR((1+Sensitivity_tables!$N$18)*IF(AND(Assumptions!$G$174="Yes",Assumptions!$G$175="Detailed"),-Assumptions_Detailed!AD$64*AD191,IF(AD$191=1,-Assumptions!$G$177*AD$185,0)),0)</f>
        <v>0</v>
      </c>
      <c r="AE216" s="33">
        <f>IFERROR((1+Sensitivity_tables!$N$18)*IF(AND(Assumptions!$G$174="Yes",Assumptions!$G$175="Detailed"),-Assumptions_Detailed!AE$64*AE191,IF(AE$191=1,-Assumptions!$G$177*AE$185,0)),0)</f>
        <v>0</v>
      </c>
      <c r="AF216" s="33">
        <f>IFERROR((1+Sensitivity_tables!$N$18)*IF(AND(Assumptions!$G$174="Yes",Assumptions!$G$175="Detailed"),-Assumptions_Detailed!AF$64*AF191,IF(AF$191=1,-Assumptions!$G$177*AF$185,0)),0)</f>
        <v>0</v>
      </c>
      <c r="AG216" s="33">
        <f>IFERROR((1+Sensitivity_tables!$N$18)*IF(AND(Assumptions!$G$174="Yes",Assumptions!$G$175="Detailed"),-Assumptions_Detailed!AG$64*AG191,IF(AG$191=1,-Assumptions!$G$177*AG$185,0)),0)</f>
        <v>0</v>
      </c>
      <c r="AH216" s="33">
        <f>IFERROR((1+Sensitivity_tables!$N$18)*IF(AND(Assumptions!$G$174="Yes",Assumptions!$G$175="Detailed"),-Assumptions_Detailed!AH$64*AH191,IF(AH$191=1,-Assumptions!$G$177*AH$185,0)),0)</f>
        <v>0</v>
      </c>
      <c r="AI216" s="33">
        <f>IFERROR((1+Sensitivity_tables!$N$18)*IF(AND(Assumptions!$G$174="Yes",Assumptions!$G$175="Detailed"),-Assumptions_Detailed!AI$64*AI191,IF(AI$191=1,-Assumptions!$G$177*AI$185,0)),0)</f>
        <v>0</v>
      </c>
      <c r="AJ216" s="33">
        <f>IFERROR((1+Sensitivity_tables!$N$18)*IF(AND(Assumptions!$G$174="Yes",Assumptions!$G$175="Detailed"),-Assumptions_Detailed!AJ$64*AJ191,IF(AJ$191=1,-Assumptions!$G$177*AJ$185,0)),0)</f>
        <v>0</v>
      </c>
      <c r="AK216" s="33">
        <f>IFERROR((1+Sensitivity_tables!$N$18)*IF(AND(Assumptions!$G$174="Yes",Assumptions!$G$175="Detailed"),-Assumptions_Detailed!AK$64*AK191,IF(AK$191=1,-Assumptions!$G$177*AK$185,0)),0)</f>
        <v>0</v>
      </c>
      <c r="AL216" s="33">
        <f>IFERROR((1+Sensitivity_tables!$N$18)*IF(AND(Assumptions!$G$174="Yes",Assumptions!$G$175="Detailed"),-Assumptions_Detailed!AL$64*AL191,IF(AL$191=1,-Assumptions!$G$177*AL$185,0)),0)</f>
        <v>0</v>
      </c>
      <c r="AM216" s="33">
        <f>IFERROR((1+Sensitivity_tables!$N$18)*IF(AND(Assumptions!$G$174="Yes",Assumptions!$G$175="Detailed"),-Assumptions_Detailed!AM$64*AM191,IF(AM$191=1,-Assumptions!$G$177*AM$185,0)),0)</f>
        <v>0</v>
      </c>
      <c r="AN216" s="33">
        <f>IFERROR((1+Sensitivity_tables!$N$18)*IF(AND(Assumptions!$G$174="Yes",Assumptions!$G$175="Detailed"),-Assumptions_Detailed!AN$64*AN191,IF(AN$191=1,-Assumptions!$G$177*AN$185,0)),0)</f>
        <v>0</v>
      </c>
      <c r="AO216" s="33">
        <f>IFERROR((1+Sensitivity_tables!$N$18)*IF(AND(Assumptions!$G$174="Yes",Assumptions!$G$175="Detailed"),-Assumptions_Detailed!AO$64*AO191,IF(AO$191=1,-Assumptions!$G$177*AO$185,0)),0)</f>
        <v>0</v>
      </c>
      <c r="AP216" s="33">
        <f>IFERROR((1+Sensitivity_tables!$N$18)*IF(AND(Assumptions!$G$174="Yes",Assumptions!$G$175="Detailed"),-Assumptions_Detailed!AP$64*AP191,IF(AP$191=1,-Assumptions!$G$177*AP$185,0)),0)</f>
        <v>0</v>
      </c>
      <c r="AQ216" s="33">
        <f>IFERROR((1+Sensitivity_tables!$N$18)*IF(AND(Assumptions!$G$174="Yes",Assumptions!$G$175="Detailed"),-Assumptions_Detailed!AQ$64*AQ191,IF(AQ$191=1,-Assumptions!$G$177*AQ$185,0)),0)</f>
        <v>0</v>
      </c>
      <c r="AR216" s="33">
        <f>IFERROR((1+Sensitivity_tables!$N$18)*IF(AND(Assumptions!$G$174="Yes",Assumptions!$G$175="Detailed"),-Assumptions_Detailed!AR$64*AR191,IF(AR$191=1,-Assumptions!$G$177*AR$185,0)),0)</f>
        <v>0</v>
      </c>
      <c r="AS216" s="33">
        <f>IFERROR((1+Sensitivity_tables!$N$18)*IF(AND(Assumptions!$G$174="Yes",Assumptions!$G$175="Detailed"),-Assumptions_Detailed!AS$64*AS191,IF(AS$191=1,-Assumptions!$G$177*AS$185,0)),0)</f>
        <v>0</v>
      </c>
      <c r="AT216" s="33">
        <f>IFERROR((1+Sensitivity_tables!$N$18)*IF(AND(Assumptions!$G$174="Yes",Assumptions!$G$175="Detailed"),-Assumptions_Detailed!AT$64*AT191,IF(AT$191=1,-Assumptions!$G$177*AT$185,0)),0)</f>
        <v>0</v>
      </c>
      <c r="AU216" s="33">
        <f>IFERROR((1+Sensitivity_tables!$N$18)*IF(AND(Assumptions!$G$174="Yes",Assumptions!$G$175="Detailed"),-Assumptions_Detailed!AU$64*AU191,IF(AU$191=1,-Assumptions!$G$177*AU$185,0)),0)</f>
        <v>0</v>
      </c>
      <c r="AV216" s="33">
        <f>IFERROR((1+Sensitivity_tables!$N$18)*IF(AND(Assumptions!$G$174="Yes",Assumptions!$G$175="Detailed"),-Assumptions_Detailed!AV$64*AV191,IF(AV$191=1,-Assumptions!$G$177*AV$185,0)),0)</f>
        <v>0</v>
      </c>
      <c r="AW216" s="33">
        <f>IFERROR((1+Sensitivity_tables!$N$18)*IF(AND(Assumptions!$G$174="Yes",Assumptions!$G$175="Detailed"),-Assumptions_Detailed!AW$64*AW191,IF(AW$191=1,-Assumptions!$G$177*AW$185,0)),0)</f>
        <v>0</v>
      </c>
      <c r="AX216" s="33">
        <f>IFERROR((1+Sensitivity_tables!$N$18)*IF(AND(Assumptions!$G$174="Yes",Assumptions!$G$175="Detailed"),-Assumptions_Detailed!AX$64*AX191,IF(AX$191=1,-Assumptions!$G$177*AX$185,0)),0)</f>
        <v>0</v>
      </c>
      <c r="AY216" s="33">
        <f>IFERROR((1+Sensitivity_tables!$N$18)*IF(AND(Assumptions!$G$174="Yes",Assumptions!$G$175="Detailed"),-Assumptions_Detailed!AY$64*AY191,IF(AY$191=1,-Assumptions!$G$177*AY$185,0)),0)</f>
        <v>0</v>
      </c>
      <c r="AZ216" s="33">
        <f>IFERROR((1+Sensitivity_tables!$N$18)*IF(AND(Assumptions!$G$174="Yes",Assumptions!$G$175="Detailed"),-Assumptions_Detailed!AZ$64*AZ191,IF(AZ$191=1,-Assumptions!$G$177*AZ$185,0)),0)</f>
        <v>0</v>
      </c>
      <c r="BA216" s="33">
        <f>IFERROR((1+Sensitivity_tables!$N$18)*IF(AND(Assumptions!$G$174="Yes",Assumptions!$G$175="Detailed"),-Assumptions_Detailed!BA$64*BA191,IF(BA$191=1,-Assumptions!$G$177*BA$185,0)),0)</f>
        <v>0</v>
      </c>
      <c r="BB216" s="33">
        <f>IFERROR((1+Sensitivity_tables!$N$18)*IF(AND(Assumptions!$G$174="Yes",Assumptions!$G$175="Detailed"),-Assumptions_Detailed!BB$64*BB191,IF(BB$191=1,-Assumptions!$G$177*BB$185,0)),0)</f>
        <v>0</v>
      </c>
      <c r="BC216" s="33">
        <f>IFERROR((1+Sensitivity_tables!$N$18)*IF(AND(Assumptions!$G$174="Yes",Assumptions!$G$175="Detailed"),-Assumptions_Detailed!BC$64*BC191,IF(BC$191=1,-Assumptions!$G$177*BC$185,0)),0)</f>
        <v>0</v>
      </c>
      <c r="BD216" s="33">
        <f>IFERROR((1+Sensitivity_tables!$N$18)*IF(AND(Assumptions!$G$174="Yes",Assumptions!$G$175="Detailed"),-Assumptions_Detailed!BD$64*BD191,IF(BD$191=1,-Assumptions!$G$177*BD$185,0)),0)</f>
        <v>0</v>
      </c>
      <c r="BE216" s="33">
        <f>IFERROR((1+Sensitivity_tables!$N$18)*IF(AND(Assumptions!$G$174="Yes",Assumptions!$G$175="Detailed"),-Assumptions_Detailed!BE$64*BE191,IF(BE$191=1,-Assumptions!$G$177*BE$185,0)),0)</f>
        <v>0</v>
      </c>
      <c r="BF216" s="33">
        <f>IFERROR((1+Sensitivity_tables!$N$18)*IF(AND(Assumptions!$G$174="Yes",Assumptions!$G$175="Detailed"),-Assumptions_Detailed!BF$64*BF191,IF(BF$191=1,-Assumptions!$G$177*BF$185,0)),0)</f>
        <v>0</v>
      </c>
      <c r="BG216" s="33">
        <f>IFERROR((1+Sensitivity_tables!$N$18)*IF(AND(Assumptions!$G$174="Yes",Assumptions!$G$175="Detailed"),-Assumptions_Detailed!BG$64*BG191,IF(BG$191=1,-Assumptions!$G$177*BG$185,0)),0)</f>
        <v>0</v>
      </c>
      <c r="BH216" s="33">
        <f>IFERROR((1+Sensitivity_tables!$N$18)*IF(AND(Assumptions!$G$174="Yes",Assumptions!$G$175="Detailed"),-Assumptions_Detailed!BH$64*BH191,IF(BH$191=1,-Assumptions!$G$177*BH$185,0)),0)</f>
        <v>0</v>
      </c>
      <c r="BI216" s="33">
        <f>IFERROR((1+Sensitivity_tables!$N$18)*IF(AND(Assumptions!$G$174="Yes",Assumptions!$G$175="Detailed"),-Assumptions_Detailed!BI$64*BI191,IF(BI$191=1,-Assumptions!$G$177*BI$185,0)),0)</f>
        <v>0</v>
      </c>
      <c r="BJ216" s="33">
        <f>IFERROR((1+Sensitivity_tables!$N$18)*IF(AND(Assumptions!$G$174="Yes",Assumptions!$G$175="Detailed"),-Assumptions_Detailed!BJ$64*BJ191,IF(BJ$191=1,-Assumptions!$G$177*BJ$185,0)),0)</f>
        <v>0</v>
      </c>
      <c r="BK216" s="33">
        <f>IFERROR((1+Sensitivity_tables!$N$18)*IF(AND(Assumptions!$G$174="Yes",Assumptions!$G$175="Detailed"),-Assumptions_Detailed!BK$64*BK191,IF(BK$191=1,-Assumptions!$G$177*BK$185,0)),0)</f>
        <v>0</v>
      </c>
      <c r="BL216" s="33">
        <f>IFERROR((1+Sensitivity_tables!$N$18)*IF(AND(Assumptions!$G$174="Yes",Assumptions!$G$175="Detailed"),-Assumptions_Detailed!BL$64*BL191,IF(BL$191=1,-Assumptions!$G$177*BL$185,0)),0)</f>
        <v>0</v>
      </c>
      <c r="BM216" s="33">
        <f>IFERROR((1+Sensitivity_tables!$N$18)*IF(AND(Assumptions!$G$174="Yes",Assumptions!$G$175="Detailed"),-Assumptions_Detailed!BM$64*BM191,IF(BM$191=1,-Assumptions!$G$177*BM$185,0)),0)</f>
        <v>0</v>
      </c>
      <c r="BN216" s="33">
        <f>IFERROR((1+Sensitivity_tables!$N$18)*IF(AND(Assumptions!$G$174="Yes",Assumptions!$G$175="Detailed"),-Assumptions_Detailed!BN$64*BN191,IF(BN$191=1,-Assumptions!$G$177*BN$185,0)),0)</f>
        <v>0</v>
      </c>
      <c r="BO216" s="33">
        <f>IFERROR((1+Sensitivity_tables!$N$18)*IF(AND(Assumptions!$G$174="Yes",Assumptions!$G$175="Detailed"),-Assumptions_Detailed!BO$64*BO191,IF(BO$191=1,-Assumptions!$G$177*BO$185,0)),0)</f>
        <v>0</v>
      </c>
      <c r="BP216" s="33">
        <f>IFERROR((1+Sensitivity_tables!$N$18)*IF(AND(Assumptions!$G$174="Yes",Assumptions!$G$175="Detailed"),-Assumptions_Detailed!BP$64*BP191,IF(BP$191=1,-Assumptions!$G$177*BP$185,0)),0)</f>
        <v>0</v>
      </c>
      <c r="BQ216" s="33">
        <f>IFERROR((1+Sensitivity_tables!$N$18)*IF(AND(Assumptions!$G$174="Yes",Assumptions!$G$175="Detailed"),-Assumptions_Detailed!BQ$64*BQ191,IF(BQ$191=1,-Assumptions!$G$177*BQ$185,0)),0)</f>
        <v>0</v>
      </c>
      <c r="BR216" s="33">
        <f>IFERROR((1+Sensitivity_tables!$N$18)*IF(AND(Assumptions!$G$174="Yes",Assumptions!$G$175="Detailed"),-Assumptions_Detailed!BR$64*BR191,IF(BR$191=1,-Assumptions!$G$177*BR$185,0)),0)</f>
        <v>0</v>
      </c>
      <c r="BS216" s="33">
        <f>IFERROR((1+Sensitivity_tables!$N$18)*IF(AND(Assumptions!$G$174="Yes",Assumptions!$G$175="Detailed"),-Assumptions_Detailed!BS$64*BS191,IF(BS$191=1,-Assumptions!$G$177*BS$185,0)),0)</f>
        <v>0</v>
      </c>
      <c r="BT216" s="33">
        <f>IFERROR((1+Sensitivity_tables!$N$18)*IF(AND(Assumptions!$G$174="Yes",Assumptions!$G$175="Detailed"),-Assumptions_Detailed!BT$64*BT191,IF(BT$191=1,-Assumptions!$G$177*BT$185,0)),0)</f>
        <v>0</v>
      </c>
      <c r="BU216" s="33">
        <f>IFERROR((1+Sensitivity_tables!$N$18)*IF(AND(Assumptions!$G$174="Yes",Assumptions!$G$175="Detailed"),-Assumptions_Detailed!BU$64*BU191,IF(BU$191=1,-Assumptions!$G$177*BU$185,0)),0)</f>
        <v>0</v>
      </c>
      <c r="BV216" s="33">
        <f>IFERROR((1+Sensitivity_tables!$N$18)*IF(AND(Assumptions!$G$174="Yes",Assumptions!$G$175="Detailed"),-Assumptions_Detailed!BV$64*BV191,IF(BV$191=1,-Assumptions!$G$177*BV$185,0)),0)</f>
        <v>0</v>
      </c>
      <c r="BW216" s="33">
        <f>IFERROR((1+Sensitivity_tables!$N$18)*IF(AND(Assumptions!$G$174="Yes",Assumptions!$G$175="Detailed"),-Assumptions_Detailed!BW$64*BW191,IF(BW$191=1,-Assumptions!$G$177*BW$185,0)),0)</f>
        <v>0</v>
      </c>
      <c r="BX216" s="33">
        <f>IFERROR((1+Sensitivity_tables!$N$18)*IF(AND(Assumptions!$G$174="Yes",Assumptions!$G$175="Detailed"),-Assumptions_Detailed!BX$64*BX191,IF(BX$191=1,-Assumptions!$G$177*BX$185,0)),0)</f>
        <v>0</v>
      </c>
      <c r="BY216" s="33">
        <f>IFERROR((1+Sensitivity_tables!$N$18)*IF(AND(Assumptions!$G$174="Yes",Assumptions!$G$175="Detailed"),-Assumptions_Detailed!BY$64*BY191,IF(BY$191=1,-Assumptions!$G$177*BY$185,0)),0)</f>
        <v>0</v>
      </c>
    </row>
    <row r="217" spans="2:77" outlineLevel="1">
      <c r="D217" s="33"/>
      <c r="E217" s="25" t="str">
        <f>+Assumptions!D179</f>
        <v>Implied - (Barge) Total OPEX</v>
      </c>
      <c r="F217" s="81" t="str">
        <f>+Assumptions!$G$8</f>
        <v>USD</v>
      </c>
      <c r="G217" s="30"/>
      <c r="H217" s="34">
        <f>IFERROR((1+Sensitivity_tables!$N$18)*IF(AND(Assumptions!$G$174="Yes",Assumptions!$G$175="Detailed"),-Assumptions_Detailed!H$65*H191,IF(H$191=1,-Assumptions!$G$179*H$185,0)),0)</f>
        <v>0</v>
      </c>
      <c r="I217" s="34">
        <f>IFERROR((1+Sensitivity_tables!$N$18)*IF(AND(Assumptions!$G$174="Yes",Assumptions!$G$175="Detailed"),-Assumptions_Detailed!I$65*I191,IF(I$191=1,-Assumptions!$G$179*I$185,0)),0)</f>
        <v>0</v>
      </c>
      <c r="J217" s="34">
        <f>IFERROR((1+Sensitivity_tables!$N$18)*IF(AND(Assumptions!$G$174="Yes",Assumptions!$G$175="Detailed"),-Assumptions_Detailed!J$65*J191,IF(J$191=1,-Assumptions!$G$179*J$185,0)),0)</f>
        <v>0</v>
      </c>
      <c r="K217" s="34">
        <f>IFERROR((1+Sensitivity_tables!$N$18)*IF(AND(Assumptions!$G$174="Yes",Assumptions!$G$175="Detailed"),-Assumptions_Detailed!K$65*K191,IF(K$191=1,-Assumptions!$G$179*K$185,0)),0)</f>
        <v>-28487.928548716751</v>
      </c>
      <c r="L217" s="34">
        <f>IFERROR((1+Sensitivity_tables!$N$18)*IF(AND(Assumptions!$G$174="Yes",Assumptions!$G$175="Detailed"),-Assumptions_Detailed!L$65*L191,IF(L$191=1,-Assumptions!$G$179*L$185,0)),0)</f>
        <v>-29057.687119691087</v>
      </c>
      <c r="M217" s="34">
        <f>IFERROR((1+Sensitivity_tables!$N$18)*IF(AND(Assumptions!$G$174="Yes",Assumptions!$G$175="Detailed"),-Assumptions_Detailed!M$65*M191,IF(M$191=1,-Assumptions!$G$179*M$185,0)),0)</f>
        <v>-29638.840862084908</v>
      </c>
      <c r="N217" s="34">
        <f>IFERROR((1+Sensitivity_tables!$N$18)*IF(AND(Assumptions!$G$174="Yes",Assumptions!$G$175="Detailed"),-Assumptions_Detailed!N$65*N191,IF(N$191=1,-Assumptions!$G$179*N$185,0)),0)</f>
        <v>-30231.617679326599</v>
      </c>
      <c r="O217" s="34">
        <f>IFERROR((1+Sensitivity_tables!$N$18)*IF(AND(Assumptions!$G$174="Yes",Assumptions!$G$175="Detailed"),-Assumptions_Detailed!O$65*O191,IF(O$191=1,-Assumptions!$G$179*O$185,0)),0)</f>
        <v>-30836.250032913136</v>
      </c>
      <c r="P217" s="34">
        <f>IFERROR((1+Sensitivity_tables!$N$18)*IF(AND(Assumptions!$G$174="Yes",Assumptions!$G$175="Detailed"),-Assumptions_Detailed!P$65*P191,IF(P$191=1,-Assumptions!$G$179*P$185,0)),0)</f>
        <v>-31452.975033571398</v>
      </c>
      <c r="Q217" s="34">
        <f>IFERROR((1+Sensitivity_tables!$N$18)*IF(AND(Assumptions!$G$174="Yes",Assumptions!$G$175="Detailed"),-Assumptions_Detailed!Q$65*Q191,IF(Q$191=1,-Assumptions!$G$179*Q$185,0)),0)</f>
        <v>-32082.034534242826</v>
      </c>
      <c r="R217" s="34">
        <f>IFERROR((1+Sensitivity_tables!$N$18)*IF(AND(Assumptions!$G$174="Yes",Assumptions!$G$175="Detailed"),-Assumptions_Detailed!R$65*R191,IF(R$191=1,-Assumptions!$G$179*R$185,0)),0)</f>
        <v>-32723.675224927676</v>
      </c>
      <c r="S217" s="34">
        <f>IFERROR((1+Sensitivity_tables!$N$18)*IF(AND(Assumptions!$G$174="Yes",Assumptions!$G$175="Detailed"),-Assumptions_Detailed!S$65*S191,IF(S$191=1,-Assumptions!$G$179*S$185,0)),0)</f>
        <v>-33378.148729426233</v>
      </c>
      <c r="T217" s="34">
        <f>IFERROR((1+Sensitivity_tables!$N$18)*IF(AND(Assumptions!$G$174="Yes",Assumptions!$G$175="Detailed"),-Assumptions_Detailed!T$65*T191,IF(T$191=1,-Assumptions!$G$179*T$185,0)),0)</f>
        <v>-34045.711704014757</v>
      </c>
      <c r="U217" s="34">
        <f>IFERROR((1+Sensitivity_tables!$N$18)*IF(AND(Assumptions!$G$174="Yes",Assumptions!$G$175="Detailed"),-Assumptions_Detailed!U$65*U191,IF(U$191=1,-Assumptions!$G$179*U$185,0)),0)</f>
        <v>-34726.625938095058</v>
      </c>
      <c r="V217" s="34">
        <f>IFERROR((1+Sensitivity_tables!$N$18)*IF(AND(Assumptions!$G$174="Yes",Assumptions!$G$175="Detailed"),-Assumptions_Detailed!V$65*V191,IF(V$191=1,-Assumptions!$G$179*V$185,0)),0)</f>
        <v>-35421.158456856952</v>
      </c>
      <c r="W217" s="34">
        <f>IFERROR((1+Sensitivity_tables!$N$18)*IF(AND(Assumptions!$G$174="Yes",Assumptions!$G$175="Detailed"),-Assumptions_Detailed!W$65*W191,IF(W$191=1,-Assumptions!$G$179*W$185,0)),0)</f>
        <v>-36129.581625994091</v>
      </c>
      <c r="X217" s="34">
        <f>IFERROR((1+Sensitivity_tables!$N$18)*IF(AND(Assumptions!$G$174="Yes",Assumptions!$G$175="Detailed"),-Assumptions_Detailed!X$65*X191,IF(X$191=1,-Assumptions!$G$179*X$185,0)),0)</f>
        <v>-36852.173258513976</v>
      </c>
      <c r="Y217" s="34">
        <f>IFERROR((1+Sensitivity_tables!$N$18)*IF(AND(Assumptions!$G$174="Yes",Assumptions!$G$175="Detailed"),-Assumptions_Detailed!Y$65*Y191,IF(Y$191=1,-Assumptions!$G$179*Y$185,0)),0)</f>
        <v>-37589.216723684258</v>
      </c>
      <c r="Z217" s="34">
        <f>IFERROR((1+Sensitivity_tables!$N$18)*IF(AND(Assumptions!$G$174="Yes",Assumptions!$G$175="Detailed"),-Assumptions_Detailed!Z$65*Z191,IF(Z$191=1,-Assumptions!$G$179*Z$185,0)),0)</f>
        <v>0</v>
      </c>
      <c r="AA217" s="34">
        <f>IFERROR((1+Sensitivity_tables!$N$18)*IF(AND(Assumptions!$G$174="Yes",Assumptions!$G$175="Detailed"),-Assumptions_Detailed!AA$65*AA191,IF(AA$191=1,-Assumptions!$G$179*AA$185,0)),0)</f>
        <v>0</v>
      </c>
      <c r="AB217" s="34">
        <f>IFERROR((1+Sensitivity_tables!$N$18)*IF(AND(Assumptions!$G$174="Yes",Assumptions!$G$175="Detailed"),-Assumptions_Detailed!AB$65*AB191,IF(AB$191=1,-Assumptions!$G$179*AB$185,0)),0)</f>
        <v>0</v>
      </c>
      <c r="AC217" s="34">
        <f>IFERROR((1+Sensitivity_tables!$N$18)*IF(AND(Assumptions!$G$174="Yes",Assumptions!$G$175="Detailed"),-Assumptions_Detailed!AC$65*AC191,IF(AC$191=1,-Assumptions!$G$179*AC$185,0)),0)</f>
        <v>0</v>
      </c>
      <c r="AD217" s="34">
        <f>IFERROR((1+Sensitivity_tables!$N$18)*IF(AND(Assumptions!$G$174="Yes",Assumptions!$G$175="Detailed"),-Assumptions_Detailed!AD$65*AD191,IF(AD$191=1,-Assumptions!$G$179*AD$185,0)),0)</f>
        <v>0</v>
      </c>
      <c r="AE217" s="34">
        <f>IFERROR((1+Sensitivity_tables!$N$18)*IF(AND(Assumptions!$G$174="Yes",Assumptions!$G$175="Detailed"),-Assumptions_Detailed!AE$65*AE191,IF(AE$191=1,-Assumptions!$G$179*AE$185,0)),0)</f>
        <v>0</v>
      </c>
      <c r="AF217" s="34">
        <f>IFERROR((1+Sensitivity_tables!$N$18)*IF(AND(Assumptions!$G$174="Yes",Assumptions!$G$175="Detailed"),-Assumptions_Detailed!AF$65*AF191,IF(AF$191=1,-Assumptions!$G$179*AF$185,0)),0)</f>
        <v>0</v>
      </c>
      <c r="AG217" s="34">
        <f>IFERROR((1+Sensitivity_tables!$N$18)*IF(AND(Assumptions!$G$174="Yes",Assumptions!$G$175="Detailed"),-Assumptions_Detailed!AG$65*AG191,IF(AG$191=1,-Assumptions!$G$179*AG$185,0)),0)</f>
        <v>0</v>
      </c>
      <c r="AH217" s="34">
        <f>IFERROR((1+Sensitivity_tables!$N$18)*IF(AND(Assumptions!$G$174="Yes",Assumptions!$G$175="Detailed"),-Assumptions_Detailed!AH$65*AH191,IF(AH$191=1,-Assumptions!$G$179*AH$185,0)),0)</f>
        <v>0</v>
      </c>
      <c r="AI217" s="34">
        <f>IFERROR((1+Sensitivity_tables!$N$18)*IF(AND(Assumptions!$G$174="Yes",Assumptions!$G$175="Detailed"),-Assumptions_Detailed!AI$65*AI191,IF(AI$191=1,-Assumptions!$G$179*AI$185,0)),0)</f>
        <v>0</v>
      </c>
      <c r="AJ217" s="34">
        <f>IFERROR((1+Sensitivity_tables!$N$18)*IF(AND(Assumptions!$G$174="Yes",Assumptions!$G$175="Detailed"),-Assumptions_Detailed!AJ$65*AJ191,IF(AJ$191=1,-Assumptions!$G$179*AJ$185,0)),0)</f>
        <v>0</v>
      </c>
      <c r="AK217" s="34">
        <f>IFERROR((1+Sensitivity_tables!$N$18)*IF(AND(Assumptions!$G$174="Yes",Assumptions!$G$175="Detailed"),-Assumptions_Detailed!AK$65*AK191,IF(AK$191=1,-Assumptions!$G$179*AK$185,0)),0)</f>
        <v>0</v>
      </c>
      <c r="AL217" s="34">
        <f>IFERROR((1+Sensitivity_tables!$N$18)*IF(AND(Assumptions!$G$174="Yes",Assumptions!$G$175="Detailed"),-Assumptions_Detailed!AL$65*AL191,IF(AL$191=1,-Assumptions!$G$179*AL$185,0)),0)</f>
        <v>0</v>
      </c>
      <c r="AM217" s="34">
        <f>IFERROR((1+Sensitivity_tables!$N$18)*IF(AND(Assumptions!$G$174="Yes",Assumptions!$G$175="Detailed"),-Assumptions_Detailed!AM$65*AM191,IF(AM$191=1,-Assumptions!$G$179*AM$185,0)),0)</f>
        <v>0</v>
      </c>
      <c r="AN217" s="34">
        <f>IFERROR((1+Sensitivity_tables!$N$18)*IF(AND(Assumptions!$G$174="Yes",Assumptions!$G$175="Detailed"),-Assumptions_Detailed!AN$65*AN191,IF(AN$191=1,-Assumptions!$G$179*AN$185,0)),0)</f>
        <v>0</v>
      </c>
      <c r="AO217" s="34">
        <f>IFERROR((1+Sensitivity_tables!$N$18)*IF(AND(Assumptions!$G$174="Yes",Assumptions!$G$175="Detailed"),-Assumptions_Detailed!AO$65*AO191,IF(AO$191=1,-Assumptions!$G$179*AO$185,0)),0)</f>
        <v>0</v>
      </c>
      <c r="AP217" s="34">
        <f>IFERROR((1+Sensitivity_tables!$N$18)*IF(AND(Assumptions!$G$174="Yes",Assumptions!$G$175="Detailed"),-Assumptions_Detailed!AP$65*AP191,IF(AP$191=1,-Assumptions!$G$179*AP$185,0)),0)</f>
        <v>0</v>
      </c>
      <c r="AQ217" s="34">
        <f>IFERROR((1+Sensitivity_tables!$N$18)*IF(AND(Assumptions!$G$174="Yes",Assumptions!$G$175="Detailed"),-Assumptions_Detailed!AQ$65*AQ191,IF(AQ$191=1,-Assumptions!$G$179*AQ$185,0)),0)</f>
        <v>0</v>
      </c>
      <c r="AR217" s="34">
        <f>IFERROR((1+Sensitivity_tables!$N$18)*IF(AND(Assumptions!$G$174="Yes",Assumptions!$G$175="Detailed"),-Assumptions_Detailed!AR$65*AR191,IF(AR$191=1,-Assumptions!$G$179*AR$185,0)),0)</f>
        <v>0</v>
      </c>
      <c r="AS217" s="34">
        <f>IFERROR((1+Sensitivity_tables!$N$18)*IF(AND(Assumptions!$G$174="Yes",Assumptions!$G$175="Detailed"),-Assumptions_Detailed!AS$65*AS191,IF(AS$191=1,-Assumptions!$G$179*AS$185,0)),0)</f>
        <v>0</v>
      </c>
      <c r="AT217" s="34">
        <f>IFERROR((1+Sensitivity_tables!$N$18)*IF(AND(Assumptions!$G$174="Yes",Assumptions!$G$175="Detailed"),-Assumptions_Detailed!AT$65*AT191,IF(AT$191=1,-Assumptions!$G$179*AT$185,0)),0)</f>
        <v>0</v>
      </c>
      <c r="AU217" s="34">
        <f>IFERROR((1+Sensitivity_tables!$N$18)*IF(AND(Assumptions!$G$174="Yes",Assumptions!$G$175="Detailed"),-Assumptions_Detailed!AU$65*AU191,IF(AU$191=1,-Assumptions!$G$179*AU$185,0)),0)</f>
        <v>0</v>
      </c>
      <c r="AV217" s="34">
        <f>IFERROR((1+Sensitivity_tables!$N$18)*IF(AND(Assumptions!$G$174="Yes",Assumptions!$G$175="Detailed"),-Assumptions_Detailed!AV$65*AV191,IF(AV$191=1,-Assumptions!$G$179*AV$185,0)),0)</f>
        <v>0</v>
      </c>
      <c r="AW217" s="34">
        <f>IFERROR((1+Sensitivity_tables!$N$18)*IF(AND(Assumptions!$G$174="Yes",Assumptions!$G$175="Detailed"),-Assumptions_Detailed!AW$65*AW191,IF(AW$191=1,-Assumptions!$G$179*AW$185,0)),0)</f>
        <v>0</v>
      </c>
      <c r="AX217" s="34">
        <f>IFERROR((1+Sensitivity_tables!$N$18)*IF(AND(Assumptions!$G$174="Yes",Assumptions!$G$175="Detailed"),-Assumptions_Detailed!AX$65*AX191,IF(AX$191=1,-Assumptions!$G$179*AX$185,0)),0)</f>
        <v>0</v>
      </c>
      <c r="AY217" s="34">
        <f>IFERROR((1+Sensitivity_tables!$N$18)*IF(AND(Assumptions!$G$174="Yes",Assumptions!$G$175="Detailed"),-Assumptions_Detailed!AY$65*AY191,IF(AY$191=1,-Assumptions!$G$179*AY$185,0)),0)</f>
        <v>0</v>
      </c>
      <c r="AZ217" s="34">
        <f>IFERROR((1+Sensitivity_tables!$N$18)*IF(AND(Assumptions!$G$174="Yes",Assumptions!$G$175="Detailed"),-Assumptions_Detailed!AZ$65*AZ191,IF(AZ$191=1,-Assumptions!$G$179*AZ$185,0)),0)</f>
        <v>0</v>
      </c>
      <c r="BA217" s="34">
        <f>IFERROR((1+Sensitivity_tables!$N$18)*IF(AND(Assumptions!$G$174="Yes",Assumptions!$G$175="Detailed"),-Assumptions_Detailed!BA$65*BA191,IF(BA$191=1,-Assumptions!$G$179*BA$185,0)),0)</f>
        <v>0</v>
      </c>
      <c r="BB217" s="34">
        <f>IFERROR((1+Sensitivity_tables!$N$18)*IF(AND(Assumptions!$G$174="Yes",Assumptions!$G$175="Detailed"),-Assumptions_Detailed!BB$65*BB191,IF(BB$191=1,-Assumptions!$G$179*BB$185,0)),0)</f>
        <v>0</v>
      </c>
      <c r="BC217" s="34">
        <f>IFERROR((1+Sensitivity_tables!$N$18)*IF(AND(Assumptions!$G$174="Yes",Assumptions!$G$175="Detailed"),-Assumptions_Detailed!BC$65*BC191,IF(BC$191=1,-Assumptions!$G$179*BC$185,0)),0)</f>
        <v>0</v>
      </c>
      <c r="BD217" s="34">
        <f>IFERROR((1+Sensitivity_tables!$N$18)*IF(AND(Assumptions!$G$174="Yes",Assumptions!$G$175="Detailed"),-Assumptions_Detailed!BD$65*BD191,IF(BD$191=1,-Assumptions!$G$179*BD$185,0)),0)</f>
        <v>0</v>
      </c>
      <c r="BE217" s="34">
        <f>IFERROR((1+Sensitivity_tables!$N$18)*IF(AND(Assumptions!$G$174="Yes",Assumptions!$G$175="Detailed"),-Assumptions_Detailed!BE$65*BE191,IF(BE$191=1,-Assumptions!$G$179*BE$185,0)),0)</f>
        <v>0</v>
      </c>
      <c r="BF217" s="34">
        <f>IFERROR((1+Sensitivity_tables!$N$18)*IF(AND(Assumptions!$G$174="Yes",Assumptions!$G$175="Detailed"),-Assumptions_Detailed!BF$65*BF191,IF(BF$191=1,-Assumptions!$G$179*BF$185,0)),0)</f>
        <v>0</v>
      </c>
      <c r="BG217" s="34">
        <f>IFERROR((1+Sensitivity_tables!$N$18)*IF(AND(Assumptions!$G$174="Yes",Assumptions!$G$175="Detailed"),-Assumptions_Detailed!BG$65*BG191,IF(BG$191=1,-Assumptions!$G$179*BG$185,0)),0)</f>
        <v>0</v>
      </c>
      <c r="BH217" s="34">
        <f>IFERROR((1+Sensitivity_tables!$N$18)*IF(AND(Assumptions!$G$174="Yes",Assumptions!$G$175="Detailed"),-Assumptions_Detailed!BH$65*BH191,IF(BH$191=1,-Assumptions!$G$179*BH$185,0)),0)</f>
        <v>0</v>
      </c>
      <c r="BI217" s="34">
        <f>IFERROR((1+Sensitivity_tables!$N$18)*IF(AND(Assumptions!$G$174="Yes",Assumptions!$G$175="Detailed"),-Assumptions_Detailed!BI$65*BI191,IF(BI$191=1,-Assumptions!$G$179*BI$185,0)),0)</f>
        <v>0</v>
      </c>
      <c r="BJ217" s="34">
        <f>IFERROR((1+Sensitivity_tables!$N$18)*IF(AND(Assumptions!$G$174="Yes",Assumptions!$G$175="Detailed"),-Assumptions_Detailed!BJ$65*BJ191,IF(BJ$191=1,-Assumptions!$G$179*BJ$185,0)),0)</f>
        <v>0</v>
      </c>
      <c r="BK217" s="34">
        <f>IFERROR((1+Sensitivity_tables!$N$18)*IF(AND(Assumptions!$G$174="Yes",Assumptions!$G$175="Detailed"),-Assumptions_Detailed!BK$65*BK191,IF(BK$191=1,-Assumptions!$G$179*BK$185,0)),0)</f>
        <v>0</v>
      </c>
      <c r="BL217" s="34">
        <f>IFERROR((1+Sensitivity_tables!$N$18)*IF(AND(Assumptions!$G$174="Yes",Assumptions!$G$175="Detailed"),-Assumptions_Detailed!BL$65*BL191,IF(BL$191=1,-Assumptions!$G$179*BL$185,0)),0)</f>
        <v>0</v>
      </c>
      <c r="BM217" s="34">
        <f>IFERROR((1+Sensitivity_tables!$N$18)*IF(AND(Assumptions!$G$174="Yes",Assumptions!$G$175="Detailed"),-Assumptions_Detailed!BM$65*BM191,IF(BM$191=1,-Assumptions!$G$179*BM$185,0)),0)</f>
        <v>0</v>
      </c>
      <c r="BN217" s="34">
        <f>IFERROR((1+Sensitivity_tables!$N$18)*IF(AND(Assumptions!$G$174="Yes",Assumptions!$G$175="Detailed"),-Assumptions_Detailed!BN$65*BN191,IF(BN$191=1,-Assumptions!$G$179*BN$185,0)),0)</f>
        <v>0</v>
      </c>
      <c r="BO217" s="34">
        <f>IFERROR((1+Sensitivity_tables!$N$18)*IF(AND(Assumptions!$G$174="Yes",Assumptions!$G$175="Detailed"),-Assumptions_Detailed!BO$65*BO191,IF(BO$191=1,-Assumptions!$G$179*BO$185,0)),0)</f>
        <v>0</v>
      </c>
      <c r="BP217" s="34">
        <f>IFERROR((1+Sensitivity_tables!$N$18)*IF(AND(Assumptions!$G$174="Yes",Assumptions!$G$175="Detailed"),-Assumptions_Detailed!BP$65*BP191,IF(BP$191=1,-Assumptions!$G$179*BP$185,0)),0)</f>
        <v>0</v>
      </c>
      <c r="BQ217" s="34">
        <f>IFERROR((1+Sensitivity_tables!$N$18)*IF(AND(Assumptions!$G$174="Yes",Assumptions!$G$175="Detailed"),-Assumptions_Detailed!BQ$65*BQ191,IF(BQ$191=1,-Assumptions!$G$179*BQ$185,0)),0)</f>
        <v>0</v>
      </c>
      <c r="BR217" s="34">
        <f>IFERROR((1+Sensitivity_tables!$N$18)*IF(AND(Assumptions!$G$174="Yes",Assumptions!$G$175="Detailed"),-Assumptions_Detailed!BR$65*BR191,IF(BR$191=1,-Assumptions!$G$179*BR$185,0)),0)</f>
        <v>0</v>
      </c>
      <c r="BS217" s="34">
        <f>IFERROR((1+Sensitivity_tables!$N$18)*IF(AND(Assumptions!$G$174="Yes",Assumptions!$G$175="Detailed"),-Assumptions_Detailed!BS$65*BS191,IF(BS$191=1,-Assumptions!$G$179*BS$185,0)),0)</f>
        <v>0</v>
      </c>
      <c r="BT217" s="34">
        <f>IFERROR((1+Sensitivity_tables!$N$18)*IF(AND(Assumptions!$G$174="Yes",Assumptions!$G$175="Detailed"),-Assumptions_Detailed!BT$65*BT191,IF(BT$191=1,-Assumptions!$G$179*BT$185,0)),0)</f>
        <v>0</v>
      </c>
      <c r="BU217" s="34">
        <f>IFERROR((1+Sensitivity_tables!$N$18)*IF(AND(Assumptions!$G$174="Yes",Assumptions!$G$175="Detailed"),-Assumptions_Detailed!BU$65*BU191,IF(BU$191=1,-Assumptions!$G$179*BU$185,0)),0)</f>
        <v>0</v>
      </c>
      <c r="BV217" s="34">
        <f>IFERROR((1+Sensitivity_tables!$N$18)*IF(AND(Assumptions!$G$174="Yes",Assumptions!$G$175="Detailed"),-Assumptions_Detailed!BV$65*BV191,IF(BV$191=1,-Assumptions!$G$179*BV$185,0)),0)</f>
        <v>0</v>
      </c>
      <c r="BW217" s="34">
        <f>IFERROR((1+Sensitivity_tables!$N$18)*IF(AND(Assumptions!$G$174="Yes",Assumptions!$G$175="Detailed"),-Assumptions_Detailed!BW$65*BW191,IF(BW$191=1,-Assumptions!$G$179*BW$185,0)),0)</f>
        <v>0</v>
      </c>
      <c r="BX217" s="34">
        <f>IFERROR((1+Sensitivity_tables!$N$18)*IF(AND(Assumptions!$G$174="Yes",Assumptions!$G$175="Detailed"),-Assumptions_Detailed!BX$65*BX191,IF(BX$191=1,-Assumptions!$G$179*BX$185,0)),0)</f>
        <v>0</v>
      </c>
      <c r="BY217" s="34">
        <f>IFERROR((1+Sensitivity_tables!$N$18)*IF(AND(Assumptions!$G$174="Yes",Assumptions!$G$175="Detailed"),-Assumptions_Detailed!BY$65*BY191,IF(BY$191=1,-Assumptions!$G$179*BY$185,0)),0)</f>
        <v>0</v>
      </c>
    </row>
    <row r="218" spans="2:77" outlineLevel="1">
      <c r="D218" s="33"/>
      <c r="E218" t="s">
        <v>494</v>
      </c>
      <c r="F218" s="80" t="str">
        <f>+Assumptions!$G$8</f>
        <v>USD</v>
      </c>
      <c r="G218" s="23"/>
      <c r="H218" s="33">
        <f>SUM(H216:H217)</f>
        <v>0</v>
      </c>
      <c r="I218" s="33">
        <f t="shared" ref="I218:BT218" si="291">SUM(I216:I217)</f>
        <v>0</v>
      </c>
      <c r="J218" s="33">
        <f t="shared" si="291"/>
        <v>0</v>
      </c>
      <c r="K218" s="33">
        <f t="shared" si="291"/>
        <v>-41734.81532387004</v>
      </c>
      <c r="L218" s="33">
        <f t="shared" si="291"/>
        <v>-42569.511630347442</v>
      </c>
      <c r="M218" s="33">
        <f t="shared" si="291"/>
        <v>-43420.901862954386</v>
      </c>
      <c r="N218" s="33">
        <f t="shared" si="291"/>
        <v>-44289.319900213464</v>
      </c>
      <c r="O218" s="33">
        <f t="shared" si="291"/>
        <v>-45175.106298217739</v>
      </c>
      <c r="P218" s="33">
        <f t="shared" si="291"/>
        <v>-46078.608424182094</v>
      </c>
      <c r="Q218" s="33">
        <f t="shared" si="291"/>
        <v>-47000.18059266574</v>
      </c>
      <c r="R218" s="33">
        <f t="shared" si="291"/>
        <v>-47940.184204519042</v>
      </c>
      <c r="S218" s="33">
        <f t="shared" si="291"/>
        <v>-48898.98788860943</v>
      </c>
      <c r="T218" s="33">
        <f t="shared" si="291"/>
        <v>-49876.967646381621</v>
      </c>
      <c r="U218" s="33">
        <f t="shared" si="291"/>
        <v>-50874.506999309262</v>
      </c>
      <c r="V218" s="33">
        <f t="shared" si="291"/>
        <v>-51891.997139295432</v>
      </c>
      <c r="W218" s="33">
        <f t="shared" si="291"/>
        <v>-52929.837082081343</v>
      </c>
      <c r="X218" s="33">
        <f t="shared" si="291"/>
        <v>-53988.433823722975</v>
      </c>
      <c r="Y218" s="33">
        <f t="shared" si="291"/>
        <v>-55068.20250019744</v>
      </c>
      <c r="Z218" s="33">
        <f t="shared" si="291"/>
        <v>0</v>
      </c>
      <c r="AA218" s="33">
        <f t="shared" si="291"/>
        <v>0</v>
      </c>
      <c r="AB218" s="33">
        <f t="shared" si="291"/>
        <v>0</v>
      </c>
      <c r="AC218" s="33">
        <f t="shared" si="291"/>
        <v>0</v>
      </c>
      <c r="AD218" s="33">
        <f t="shared" si="291"/>
        <v>0</v>
      </c>
      <c r="AE218" s="33">
        <f t="shared" si="291"/>
        <v>0</v>
      </c>
      <c r="AF218" s="33">
        <f t="shared" si="291"/>
        <v>0</v>
      </c>
      <c r="AG218" s="33">
        <f t="shared" si="291"/>
        <v>0</v>
      </c>
      <c r="AH218" s="33">
        <f t="shared" si="291"/>
        <v>0</v>
      </c>
      <c r="AI218" s="33">
        <f t="shared" si="291"/>
        <v>0</v>
      </c>
      <c r="AJ218" s="33">
        <f t="shared" si="291"/>
        <v>0</v>
      </c>
      <c r="AK218" s="33">
        <f t="shared" si="291"/>
        <v>0</v>
      </c>
      <c r="AL218" s="33">
        <f t="shared" si="291"/>
        <v>0</v>
      </c>
      <c r="AM218" s="33">
        <f t="shared" si="291"/>
        <v>0</v>
      </c>
      <c r="AN218" s="33">
        <f t="shared" si="291"/>
        <v>0</v>
      </c>
      <c r="AO218" s="33">
        <f t="shared" si="291"/>
        <v>0</v>
      </c>
      <c r="AP218" s="33">
        <f t="shared" si="291"/>
        <v>0</v>
      </c>
      <c r="AQ218" s="33">
        <f t="shared" si="291"/>
        <v>0</v>
      </c>
      <c r="AR218" s="33">
        <f t="shared" si="291"/>
        <v>0</v>
      </c>
      <c r="AS218" s="33">
        <f t="shared" si="291"/>
        <v>0</v>
      </c>
      <c r="AT218" s="33">
        <f t="shared" si="291"/>
        <v>0</v>
      </c>
      <c r="AU218" s="33">
        <f t="shared" si="291"/>
        <v>0</v>
      </c>
      <c r="AV218" s="33">
        <f t="shared" si="291"/>
        <v>0</v>
      </c>
      <c r="AW218" s="33">
        <f t="shared" si="291"/>
        <v>0</v>
      </c>
      <c r="AX218" s="33">
        <f t="shared" si="291"/>
        <v>0</v>
      </c>
      <c r="AY218" s="33">
        <f t="shared" si="291"/>
        <v>0</v>
      </c>
      <c r="AZ218" s="33">
        <f t="shared" si="291"/>
        <v>0</v>
      </c>
      <c r="BA218" s="33">
        <f t="shared" si="291"/>
        <v>0</v>
      </c>
      <c r="BB218" s="33">
        <f t="shared" si="291"/>
        <v>0</v>
      </c>
      <c r="BC218" s="33">
        <f t="shared" si="291"/>
        <v>0</v>
      </c>
      <c r="BD218" s="33">
        <f t="shared" si="291"/>
        <v>0</v>
      </c>
      <c r="BE218" s="33">
        <f t="shared" si="291"/>
        <v>0</v>
      </c>
      <c r="BF218" s="33">
        <f t="shared" si="291"/>
        <v>0</v>
      </c>
      <c r="BG218" s="33">
        <f t="shared" si="291"/>
        <v>0</v>
      </c>
      <c r="BH218" s="33">
        <f t="shared" si="291"/>
        <v>0</v>
      </c>
      <c r="BI218" s="33">
        <f t="shared" si="291"/>
        <v>0</v>
      </c>
      <c r="BJ218" s="33">
        <f t="shared" si="291"/>
        <v>0</v>
      </c>
      <c r="BK218" s="33">
        <f t="shared" si="291"/>
        <v>0</v>
      </c>
      <c r="BL218" s="33">
        <f t="shared" si="291"/>
        <v>0</v>
      </c>
      <c r="BM218" s="33">
        <f t="shared" si="291"/>
        <v>0</v>
      </c>
      <c r="BN218" s="33">
        <f t="shared" si="291"/>
        <v>0</v>
      </c>
      <c r="BO218" s="33">
        <f t="shared" si="291"/>
        <v>0</v>
      </c>
      <c r="BP218" s="33">
        <f t="shared" si="291"/>
        <v>0</v>
      </c>
      <c r="BQ218" s="33">
        <f t="shared" si="291"/>
        <v>0</v>
      </c>
      <c r="BR218" s="33">
        <f t="shared" si="291"/>
        <v>0</v>
      </c>
      <c r="BS218" s="33">
        <f t="shared" si="291"/>
        <v>0</v>
      </c>
      <c r="BT218" s="33">
        <f t="shared" si="291"/>
        <v>0</v>
      </c>
      <c r="BU218" s="33">
        <f t="shared" ref="BU218:BY218" si="292">SUM(BU216:BU217)</f>
        <v>0</v>
      </c>
      <c r="BV218" s="33">
        <f t="shared" si="292"/>
        <v>0</v>
      </c>
      <c r="BW218" s="33">
        <f t="shared" si="292"/>
        <v>0</v>
      </c>
      <c r="BX218" s="33">
        <f t="shared" si="292"/>
        <v>0</v>
      </c>
      <c r="BY218" s="33">
        <f t="shared" si="292"/>
        <v>0</v>
      </c>
    </row>
    <row r="219" spans="2:77" outlineLevel="1">
      <c r="F219" s="80"/>
      <c r="G219" s="23"/>
      <c r="BF219" s="33"/>
      <c r="BG219" s="33"/>
      <c r="BH219" s="33"/>
      <c r="BI219" s="33"/>
      <c r="BJ219" s="33"/>
      <c r="BK219" s="33"/>
      <c r="BL219" s="33"/>
      <c r="BM219" s="33"/>
      <c r="BN219" s="33"/>
      <c r="BO219" s="33"/>
      <c r="BP219" s="33"/>
      <c r="BQ219" s="33"/>
      <c r="BR219" s="33"/>
      <c r="BS219" s="33"/>
      <c r="BT219" s="33"/>
      <c r="BU219" s="33"/>
      <c r="BV219" s="33"/>
      <c r="BW219" s="33"/>
      <c r="BX219" s="33"/>
      <c r="BY219" s="33"/>
    </row>
    <row r="220" spans="2:77" outlineLevel="1">
      <c r="F220" s="80"/>
      <c r="G220" s="23"/>
      <c r="BF220" s="33"/>
      <c r="BG220" s="33"/>
      <c r="BH220" s="33"/>
      <c r="BI220" s="33"/>
      <c r="BJ220" s="33"/>
      <c r="BK220" s="33"/>
      <c r="BL220" s="33"/>
      <c r="BM220" s="33"/>
      <c r="BN220" s="33"/>
      <c r="BO220" s="33"/>
      <c r="BP220" s="33"/>
      <c r="BQ220" s="33"/>
      <c r="BR220" s="33"/>
      <c r="BS220" s="33"/>
      <c r="BT220" s="33"/>
      <c r="BU220" s="33"/>
      <c r="BV220" s="33"/>
      <c r="BW220" s="33"/>
      <c r="BX220" s="33"/>
      <c r="BY220" s="33"/>
    </row>
    <row r="221" spans="2:77" ht="15" outlineLevel="1">
      <c r="E221" s="22" t="s">
        <v>529</v>
      </c>
      <c r="F221" s="80"/>
      <c r="G221" s="23"/>
      <c r="BF221" s="33"/>
      <c r="BG221" s="33"/>
      <c r="BH221" s="33"/>
      <c r="BI221" s="33"/>
      <c r="BJ221" s="33"/>
      <c r="BK221" s="33"/>
      <c r="BL221" s="33"/>
      <c r="BM221" s="33"/>
      <c r="BN221" s="33"/>
      <c r="BO221" s="33"/>
      <c r="BP221" s="33"/>
      <c r="BQ221" s="33"/>
      <c r="BR221" s="33"/>
      <c r="BS221" s="33"/>
      <c r="BT221" s="33"/>
      <c r="BU221" s="33"/>
      <c r="BV221" s="33"/>
      <c r="BW221" s="33"/>
      <c r="BX221" s="33"/>
      <c r="BY221" s="33"/>
    </row>
    <row r="222" spans="2:77" outlineLevel="1">
      <c r="E222" t="s">
        <v>530</v>
      </c>
      <c r="F222" s="80" t="s">
        <v>531</v>
      </c>
      <c r="G222" s="23"/>
      <c r="H222" s="33">
        <f>+IF(Assumptions!$G$495="No",IF(H197=0,0,_xlfn.XLOOKUP(SUM($H$197:H197),Assumptions!$H$507:$H$516,Assumptions!$I$507:$I$516,0,-1)),IF(H197=0,0,_xlfn.XLOOKUP(SUM($H$197:H197),Assumptions!$H$507:$H$516,Assumptions!$G$507:$G$516,0,-1)))</f>
        <v>0</v>
      </c>
      <c r="I222" s="33">
        <f>+IF(Assumptions!$G$495="No",IF(I197=0,0,_xlfn.XLOOKUP(SUM($H$197:I197),Assumptions!$H$507:$H$516,Assumptions!$I$507:$I$516,0,-1)),IF(I197=0,0,_xlfn.XLOOKUP(SUM($H$197:I197),Assumptions!$H$507:$H$516,Assumptions!$G$507:$G$516,0,-1)))</f>
        <v>0</v>
      </c>
      <c r="J222" s="33">
        <f>+IF(Assumptions!$G$495="No",IF(J197=0,0,_xlfn.XLOOKUP(SUM($H$197:J197),Assumptions!$H$507:$H$516,Assumptions!$I$507:$I$516,0,-1)),IF(J197=0,0,_xlfn.XLOOKUP(SUM($H$197:J197),Assumptions!$H$507:$H$516,Assumptions!$G$507:$G$516,0,-1)))</f>
        <v>0</v>
      </c>
      <c r="K222" s="33">
        <f>+IF(Assumptions!$G$495="No",IF(K197=0,0,_xlfn.XLOOKUP(SUM($H$197:K197),Assumptions!$H$507:$H$516,Assumptions!$I$507:$I$516,0,-1)),IF(K197=0,0,_xlfn.XLOOKUP(SUM($H$197:K197),Assumptions!$H$507:$H$516,Assumptions!$G$507:$G$516,0,-1)))</f>
        <v>0</v>
      </c>
      <c r="L222" s="33">
        <f>+IF(Assumptions!$G$495="No",IF(L197=0,0,_xlfn.XLOOKUP(SUM($H$197:L197),Assumptions!$H$507:$H$516,Assumptions!$I$507:$I$516,0,-1)),IF(L197=0,0,_xlfn.XLOOKUP(SUM($H$197:L197),Assumptions!$H$507:$H$516,Assumptions!$G$507:$G$516,0,-1)))</f>
        <v>0</v>
      </c>
      <c r="M222" s="33">
        <f>+IF(Assumptions!$G$495="No",IF(M197=0,0,_xlfn.XLOOKUP(SUM($H$197:M197),Assumptions!$H$507:$H$516,Assumptions!$I$507:$I$516,0,-1)),IF(M197=0,0,_xlfn.XLOOKUP(SUM($H$197:M197),Assumptions!$H$507:$H$516,Assumptions!$G$507:$G$516,0,-1)))</f>
        <v>0</v>
      </c>
      <c r="N222" s="33">
        <f>+IF(Assumptions!$G$495="No",IF(N197=0,0,_xlfn.XLOOKUP(SUM($H$197:N197),Assumptions!$H$507:$H$516,Assumptions!$I$507:$I$516,0,-1)),IF(N197=0,0,_xlfn.XLOOKUP(SUM($H$197:N197),Assumptions!$H$507:$H$516,Assumptions!$G$507:$G$516,0,-1)))</f>
        <v>0</v>
      </c>
      <c r="O222" s="33">
        <f>+IF(Assumptions!$G$495="No",IF(O197=0,0,_xlfn.XLOOKUP(SUM($H$197:O197),Assumptions!$H$507:$H$516,Assumptions!$I$507:$I$516,0,-1)),IF(O197=0,0,_xlfn.XLOOKUP(SUM($H$197:O197),Assumptions!$H$507:$H$516,Assumptions!$G$507:$G$516,0,-1)))</f>
        <v>0</v>
      </c>
      <c r="P222" s="33">
        <f>+IF(Assumptions!$G$495="No",IF(P197=0,0,_xlfn.XLOOKUP(SUM($H$197:P197),Assumptions!$H$507:$H$516,Assumptions!$I$507:$I$516,0,-1)),IF(P197=0,0,_xlfn.XLOOKUP(SUM($H$197:P197),Assumptions!$H$507:$H$516,Assumptions!$G$507:$G$516,0,-1)))</f>
        <v>0</v>
      </c>
      <c r="Q222" s="33">
        <f>+IF(Assumptions!$G$495="No",IF(Q197=0,0,_xlfn.XLOOKUP(SUM($H$197:Q197),Assumptions!$H$507:$H$516,Assumptions!$I$507:$I$516,0,-1)),IF(Q197=0,0,_xlfn.XLOOKUP(SUM($H$197:Q197),Assumptions!$H$507:$H$516,Assumptions!$G$507:$G$516,0,-1)))</f>
        <v>0</v>
      </c>
      <c r="R222" s="33">
        <f>+IF(Assumptions!$G$495="No",IF(R197=0,0,_xlfn.XLOOKUP(SUM($H$197:R197),Assumptions!$H$507:$H$516,Assumptions!$I$507:$I$516,0,-1)),IF(R197=0,0,_xlfn.XLOOKUP(SUM($H$197:R197),Assumptions!$H$507:$H$516,Assumptions!$G$507:$G$516,0,-1)))</f>
        <v>0</v>
      </c>
      <c r="S222" s="33">
        <f>+IF(Assumptions!$G$495="No",IF(S197=0,0,_xlfn.XLOOKUP(SUM($H$197:S197),Assumptions!$H$507:$H$516,Assumptions!$I$507:$I$516,0,-1)),IF(S197=0,0,_xlfn.XLOOKUP(SUM($H$197:S197),Assumptions!$H$507:$H$516,Assumptions!$G$507:$G$516,0,-1)))</f>
        <v>0</v>
      </c>
      <c r="T222" s="33">
        <f>+IF(Assumptions!$G$495="No",IF(T197=0,0,_xlfn.XLOOKUP(SUM($H$197:T197),Assumptions!$H$507:$H$516,Assumptions!$I$507:$I$516,0,-1)),IF(T197=0,0,_xlfn.XLOOKUP(SUM($H$197:T197),Assumptions!$H$507:$H$516,Assumptions!$G$507:$G$516,0,-1)))</f>
        <v>0</v>
      </c>
      <c r="U222" s="33">
        <f>+IF(Assumptions!$G$495="No",IF(U197=0,0,_xlfn.XLOOKUP(SUM($H$197:U197),Assumptions!$H$507:$H$516,Assumptions!$I$507:$I$516,0,-1)),IF(U197=0,0,_xlfn.XLOOKUP(SUM($H$197:U197),Assumptions!$H$507:$H$516,Assumptions!$G$507:$G$516,0,-1)))</f>
        <v>0</v>
      </c>
      <c r="V222" s="33">
        <f>+IF(Assumptions!$G$495="No",IF(V197=0,0,_xlfn.XLOOKUP(SUM($H$197:V197),Assumptions!$H$507:$H$516,Assumptions!$I$507:$I$516,0,-1)),IF(V197=0,0,_xlfn.XLOOKUP(SUM($H$197:V197),Assumptions!$H$507:$H$516,Assumptions!$G$507:$G$516,0,-1)))</f>
        <v>0</v>
      </c>
      <c r="W222" s="33">
        <f>+IF(Assumptions!$G$495="No",IF(W197=0,0,_xlfn.XLOOKUP(SUM($H$197:W197),Assumptions!$H$507:$H$516,Assumptions!$I$507:$I$516,0,-1)),IF(W197=0,0,_xlfn.XLOOKUP(SUM($H$197:W197),Assumptions!$H$507:$H$516,Assumptions!$G$507:$G$516,0,-1)))</f>
        <v>0</v>
      </c>
      <c r="X222" s="33">
        <f>+IF(Assumptions!$G$495="No",IF(X197=0,0,_xlfn.XLOOKUP(SUM($H$197:X197),Assumptions!$H$507:$H$516,Assumptions!$I$507:$I$516,0,-1)),IF(X197=0,0,_xlfn.XLOOKUP(SUM($H$197:X197),Assumptions!$H$507:$H$516,Assumptions!$G$507:$G$516,0,-1)))</f>
        <v>0</v>
      </c>
      <c r="Y222" s="33">
        <f>+IF(Assumptions!$G$495="No",IF(Y197=0,0,_xlfn.XLOOKUP(SUM($H$197:Y197),Assumptions!$H$507:$H$516,Assumptions!$I$507:$I$516,0,-1)),IF(Y197=0,0,_xlfn.XLOOKUP(SUM($H$197:Y197),Assumptions!$H$507:$H$516,Assumptions!$G$507:$G$516,0,-1)))</f>
        <v>0</v>
      </c>
      <c r="Z222" s="33">
        <f>+IF(Assumptions!$G$495="No",IF(Z197=0,0,_xlfn.XLOOKUP(SUM($H$197:Z197),Assumptions!$H$507:$H$516,Assumptions!$I$507:$I$516,0,-1)),IF(Z197=0,0,_xlfn.XLOOKUP(SUM($H$197:Z197),Assumptions!$H$507:$H$516,Assumptions!$G$507:$G$516,0,-1)))</f>
        <v>0</v>
      </c>
      <c r="AA222" s="33">
        <f>+IF(Assumptions!$G$495="No",IF(AA197=0,0,_xlfn.XLOOKUP(SUM($H$197:AA197),Assumptions!$H$507:$H$516,Assumptions!$I$507:$I$516,0,-1)),IF(AA197=0,0,_xlfn.XLOOKUP(SUM($H$197:AA197),Assumptions!$H$507:$H$516,Assumptions!$G$507:$G$516,0,-1)))</f>
        <v>0</v>
      </c>
      <c r="AB222" s="33">
        <f>+IF(Assumptions!$G$495="No",IF(AB197=0,0,_xlfn.XLOOKUP(SUM($H$197:AB197),Assumptions!$H$507:$H$516,Assumptions!$I$507:$I$516,0,-1)),IF(AB197=0,0,_xlfn.XLOOKUP(SUM($H$197:AB197),Assumptions!$H$507:$H$516,Assumptions!$G$507:$G$516,0,-1)))</f>
        <v>0</v>
      </c>
      <c r="AC222" s="33">
        <f>+IF(Assumptions!$G$495="No",IF(AC197=0,0,_xlfn.XLOOKUP(SUM($H$197:AC197),Assumptions!$H$507:$H$516,Assumptions!$I$507:$I$516,0,-1)),IF(AC197=0,0,_xlfn.XLOOKUP(SUM($H$197:AC197),Assumptions!$H$507:$H$516,Assumptions!$G$507:$G$516,0,-1)))</f>
        <v>0</v>
      </c>
      <c r="AD222" s="33">
        <f>+IF(Assumptions!$G$495="No",IF(AD197=0,0,_xlfn.XLOOKUP(SUM($H$197:AD197),Assumptions!$H$507:$H$516,Assumptions!$I$507:$I$516,0,-1)),IF(AD197=0,0,_xlfn.XLOOKUP(SUM($H$197:AD197),Assumptions!$H$507:$H$516,Assumptions!$G$507:$G$516,0,-1)))</f>
        <v>0</v>
      </c>
      <c r="AE222" s="33">
        <f>+IF(Assumptions!$G$495="No",IF(AE197=0,0,_xlfn.XLOOKUP(SUM($H$197:AE197),Assumptions!$H$507:$H$516,Assumptions!$I$507:$I$516,0,-1)),IF(AE197=0,0,_xlfn.XLOOKUP(SUM($H$197:AE197),Assumptions!$H$507:$H$516,Assumptions!$G$507:$G$516,0,-1)))</f>
        <v>0</v>
      </c>
      <c r="AF222" s="33">
        <f>+IF(Assumptions!$G$495="No",IF(AF197=0,0,_xlfn.XLOOKUP(SUM($H$197:AF197),Assumptions!$H$507:$H$516,Assumptions!$I$507:$I$516,0,-1)),IF(AF197=0,0,_xlfn.XLOOKUP(SUM($H$197:AF197),Assumptions!$H$507:$H$516,Assumptions!$G$507:$G$516,0,-1)))</f>
        <v>0</v>
      </c>
      <c r="AG222" s="33">
        <f>+IF(Assumptions!$G$495="No",IF(AG197=0,0,_xlfn.XLOOKUP(SUM($H$197:AG197),Assumptions!$H$507:$H$516,Assumptions!$I$507:$I$516,0,-1)),IF(AG197=0,0,_xlfn.XLOOKUP(SUM($H$197:AG197),Assumptions!$H$507:$H$516,Assumptions!$G$507:$G$516,0,-1)))</f>
        <v>0</v>
      </c>
      <c r="AH222" s="33">
        <f>+IF(Assumptions!$G$495="No",IF(AH197=0,0,_xlfn.XLOOKUP(SUM($H$197:AH197),Assumptions!$H$507:$H$516,Assumptions!$I$507:$I$516,0,-1)),IF(AH197=0,0,_xlfn.XLOOKUP(SUM($H$197:AH197),Assumptions!$H$507:$H$516,Assumptions!$G$507:$G$516,0,-1)))</f>
        <v>0</v>
      </c>
      <c r="AI222" s="33">
        <f>+IF(Assumptions!$G$495="No",IF(AI197=0,0,_xlfn.XLOOKUP(SUM($H$197:AI197),Assumptions!$H$507:$H$516,Assumptions!$I$507:$I$516,0,-1)),IF(AI197=0,0,_xlfn.XLOOKUP(SUM($H$197:AI197),Assumptions!$H$507:$H$516,Assumptions!$G$507:$G$516,0,-1)))</f>
        <v>0</v>
      </c>
      <c r="AJ222" s="33">
        <f>+IF(Assumptions!$G$495="No",IF(AJ197=0,0,_xlfn.XLOOKUP(SUM($H$197:AJ197),Assumptions!$H$507:$H$516,Assumptions!$I$507:$I$516,0,-1)),IF(AJ197=0,0,_xlfn.XLOOKUP(SUM($H$197:AJ197),Assumptions!$H$507:$H$516,Assumptions!$G$507:$G$516,0,-1)))</f>
        <v>0</v>
      </c>
      <c r="AK222" s="33">
        <f>+IF(Assumptions!$G$495="No",IF(AK197=0,0,_xlfn.XLOOKUP(SUM($H$197:AK197),Assumptions!$H$507:$H$516,Assumptions!$I$507:$I$516,0,-1)),IF(AK197=0,0,_xlfn.XLOOKUP(SUM($H$197:AK197),Assumptions!$H$507:$H$516,Assumptions!$G$507:$G$516,0,-1)))</f>
        <v>0</v>
      </c>
      <c r="AL222" s="33">
        <f>+IF(Assumptions!$G$495="No",IF(AL197=0,0,_xlfn.XLOOKUP(SUM($H$197:AL197),Assumptions!$H$507:$H$516,Assumptions!$I$507:$I$516,0,-1)),IF(AL197=0,0,_xlfn.XLOOKUP(SUM($H$197:AL197),Assumptions!$H$507:$H$516,Assumptions!$G$507:$G$516,0,-1)))</f>
        <v>0</v>
      </c>
      <c r="AM222" s="33">
        <f>+IF(Assumptions!$G$495="No",IF(AM197=0,0,_xlfn.XLOOKUP(SUM($H$197:AM197),Assumptions!$H$507:$H$516,Assumptions!$I$507:$I$516,0,-1)),IF(AM197=0,0,_xlfn.XLOOKUP(SUM($H$197:AM197),Assumptions!$H$507:$H$516,Assumptions!$G$507:$G$516,0,-1)))</f>
        <v>0</v>
      </c>
      <c r="AN222" s="33">
        <f>+IF(Assumptions!$G$495="No",IF(AN197=0,0,_xlfn.XLOOKUP(SUM($H$197:AN197),Assumptions!$H$507:$H$516,Assumptions!$I$507:$I$516,0,-1)),IF(AN197=0,0,_xlfn.XLOOKUP(SUM($H$197:AN197),Assumptions!$H$507:$H$516,Assumptions!$G$507:$G$516,0,-1)))</f>
        <v>0</v>
      </c>
      <c r="AO222" s="33">
        <f>+IF(Assumptions!$G$495="No",IF(AO197=0,0,_xlfn.XLOOKUP(SUM($H$197:AO197),Assumptions!$H$507:$H$516,Assumptions!$I$507:$I$516,0,-1)),IF(AO197=0,0,_xlfn.XLOOKUP(SUM($H$197:AO197),Assumptions!$H$507:$H$516,Assumptions!$G$507:$G$516,0,-1)))</f>
        <v>0</v>
      </c>
      <c r="AP222" s="33">
        <f>+IF(Assumptions!$G$495="No",IF(AP197=0,0,_xlfn.XLOOKUP(SUM($H$197:AP197),Assumptions!$H$507:$H$516,Assumptions!$I$507:$I$516,0,-1)),IF(AP197=0,0,_xlfn.XLOOKUP(SUM($H$197:AP197),Assumptions!$H$507:$H$516,Assumptions!$G$507:$G$516,0,-1)))</f>
        <v>0</v>
      </c>
      <c r="AQ222" s="33">
        <f>+IF(Assumptions!$G$495="No",IF(AQ197=0,0,_xlfn.XLOOKUP(SUM($H$197:AQ197),Assumptions!$H$507:$H$516,Assumptions!$I$507:$I$516,0,-1)),IF(AQ197=0,0,_xlfn.XLOOKUP(SUM($H$197:AQ197),Assumptions!$H$507:$H$516,Assumptions!$G$507:$G$516,0,-1)))</f>
        <v>0</v>
      </c>
      <c r="AR222" s="33">
        <f>+IF(Assumptions!$G$495="No",IF(AR197=0,0,_xlfn.XLOOKUP(SUM($H$197:AR197),Assumptions!$H$507:$H$516,Assumptions!$I$507:$I$516,0,-1)),IF(AR197=0,0,_xlfn.XLOOKUP(SUM($H$197:AR197),Assumptions!$H$507:$H$516,Assumptions!$G$507:$G$516,0,-1)))</f>
        <v>0</v>
      </c>
      <c r="AS222" s="33">
        <f>+IF(Assumptions!$G$495="No",IF(AS197=0,0,_xlfn.XLOOKUP(SUM($H$197:AS197),Assumptions!$H$507:$H$516,Assumptions!$I$507:$I$516,0,-1)),IF(AS197=0,0,_xlfn.XLOOKUP(SUM($H$197:AS197),Assumptions!$H$507:$H$516,Assumptions!$G$507:$G$516,0,-1)))</f>
        <v>0</v>
      </c>
      <c r="AT222" s="33">
        <f>+IF(Assumptions!$G$495="No",IF(AT197=0,0,_xlfn.XLOOKUP(SUM($H$197:AT197),Assumptions!$H$507:$H$516,Assumptions!$I$507:$I$516,0,-1)),IF(AT197=0,0,_xlfn.XLOOKUP(SUM($H$197:AT197),Assumptions!$H$507:$H$516,Assumptions!$G$507:$G$516,0,-1)))</f>
        <v>0</v>
      </c>
      <c r="AU222" s="33">
        <f>+IF(Assumptions!$G$495="No",IF(AU197=0,0,_xlfn.XLOOKUP(SUM($H$197:AU197),Assumptions!$H$507:$H$516,Assumptions!$I$507:$I$516,0,-1)),IF(AU197=0,0,_xlfn.XLOOKUP(SUM($H$197:AU197),Assumptions!$H$507:$H$516,Assumptions!$G$507:$G$516,0,-1)))</f>
        <v>0</v>
      </c>
      <c r="AV222" s="33">
        <f>+IF(Assumptions!$G$495="No",IF(AV197=0,0,_xlfn.XLOOKUP(SUM($H$197:AV197),Assumptions!$H$507:$H$516,Assumptions!$I$507:$I$516,0,-1)),IF(AV197=0,0,_xlfn.XLOOKUP(SUM($H$197:AV197),Assumptions!$H$507:$H$516,Assumptions!$G$507:$G$516,0,-1)))</f>
        <v>0</v>
      </c>
      <c r="AW222" s="33">
        <f>+IF(Assumptions!$G$495="No",IF(AW197=0,0,_xlfn.XLOOKUP(SUM($H$197:AW197),Assumptions!$H$507:$H$516,Assumptions!$I$507:$I$516,0,-1)),IF(AW197=0,0,_xlfn.XLOOKUP(SUM($H$197:AW197),Assumptions!$H$507:$H$516,Assumptions!$G$507:$G$516,0,-1)))</f>
        <v>0</v>
      </c>
      <c r="AX222" s="33">
        <f>+IF(Assumptions!$G$495="No",IF(AX197=0,0,_xlfn.XLOOKUP(SUM($H$197:AX197),Assumptions!$H$507:$H$516,Assumptions!$I$507:$I$516,0,-1)),IF(AX197=0,0,_xlfn.XLOOKUP(SUM($H$197:AX197),Assumptions!$H$507:$H$516,Assumptions!$G$507:$G$516,0,-1)))</f>
        <v>0</v>
      </c>
      <c r="AY222" s="33">
        <f>+IF(Assumptions!$G$495="No",IF(AY197=0,0,_xlfn.XLOOKUP(SUM($H$197:AY197),Assumptions!$H$507:$H$516,Assumptions!$I$507:$I$516,0,-1)),IF(AY197=0,0,_xlfn.XLOOKUP(SUM($H$197:AY197),Assumptions!$H$507:$H$516,Assumptions!$G$507:$G$516,0,-1)))</f>
        <v>0</v>
      </c>
      <c r="AZ222" s="33">
        <f>+IF(Assumptions!$G$495="No",IF(AZ197=0,0,_xlfn.XLOOKUP(SUM($H$197:AZ197),Assumptions!$H$507:$H$516,Assumptions!$I$507:$I$516,0,-1)),IF(AZ197=0,0,_xlfn.XLOOKUP(SUM($H$197:AZ197),Assumptions!$H$507:$H$516,Assumptions!$G$507:$G$516,0,-1)))</f>
        <v>0</v>
      </c>
      <c r="BA222" s="33">
        <f>+IF(Assumptions!$G$495="No",IF(BA197=0,0,_xlfn.XLOOKUP(SUM($H$197:BA197),Assumptions!$H$507:$H$516,Assumptions!$I$507:$I$516,0,-1)),IF(BA197=0,0,_xlfn.XLOOKUP(SUM($H$197:BA197),Assumptions!$H$507:$H$516,Assumptions!$G$507:$G$516,0,-1)))</f>
        <v>0</v>
      </c>
      <c r="BB222" s="33">
        <f>+IF(Assumptions!$G$495="No",IF(BB197=0,0,_xlfn.XLOOKUP(SUM($H$197:BB197),Assumptions!$H$507:$H$516,Assumptions!$I$507:$I$516,0,-1)),IF(BB197=0,0,_xlfn.XLOOKUP(SUM($H$197:BB197),Assumptions!$H$507:$H$516,Assumptions!$G$507:$G$516,0,-1)))</f>
        <v>0</v>
      </c>
      <c r="BC222" s="33">
        <f>+IF(Assumptions!$G$495="No",IF(BC197=0,0,_xlfn.XLOOKUP(SUM($H$197:BC197),Assumptions!$H$507:$H$516,Assumptions!$I$507:$I$516,0,-1)),IF(BC197=0,0,_xlfn.XLOOKUP(SUM($H$197:BC197),Assumptions!$H$507:$H$516,Assumptions!$G$507:$G$516,0,-1)))</f>
        <v>0</v>
      </c>
      <c r="BD222" s="33">
        <f>+IF(Assumptions!$G$495="No",IF(BD197=0,0,_xlfn.XLOOKUP(SUM($H$197:BD197),Assumptions!$H$507:$H$516,Assumptions!$I$507:$I$516,0,-1)),IF(BD197=0,0,_xlfn.XLOOKUP(SUM($H$197:BD197),Assumptions!$H$507:$H$516,Assumptions!$G$507:$G$516,0,-1)))</f>
        <v>0</v>
      </c>
      <c r="BE222" s="33">
        <f>+IF(Assumptions!$G$495="No",IF(BE197=0,0,_xlfn.XLOOKUP(SUM($H$197:BE197),Assumptions!$H$507:$H$516,Assumptions!$I$507:$I$516,0,-1)),IF(BE197=0,0,_xlfn.XLOOKUP(SUM($H$197:BE197),Assumptions!$H$507:$H$516,Assumptions!$G$507:$G$516,0,-1)))</f>
        <v>0</v>
      </c>
      <c r="BF222" s="33">
        <f>+IF(Assumptions!$G$495="No",IF(BF197=0,0,_xlfn.XLOOKUP(SUM($H$197:BF197),Assumptions!$H$507:$H$516,Assumptions!$I$507:$I$516,0,-1)),IF(BF197=0,0,_xlfn.XLOOKUP(SUM($H$197:BF197),Assumptions!$H$507:$H$516,Assumptions!$G$507:$G$516,0,-1)))</f>
        <v>0</v>
      </c>
      <c r="BG222" s="33">
        <f>+IF(Assumptions!$G$495="No",IF(BG197=0,0,_xlfn.XLOOKUP(SUM($H$197:BG197),Assumptions!$H$507:$H$516,Assumptions!$I$507:$I$516,0,-1)),IF(BG197=0,0,_xlfn.XLOOKUP(SUM($H$197:BG197),Assumptions!$H$507:$H$516,Assumptions!$G$507:$G$516,0,-1)))</f>
        <v>0</v>
      </c>
      <c r="BH222" s="33">
        <f>+IF(Assumptions!$G$495="No",IF(BH197=0,0,_xlfn.XLOOKUP(SUM($H$197:BH197),Assumptions!$H$507:$H$516,Assumptions!$I$507:$I$516,0,-1)),IF(BH197=0,0,_xlfn.XLOOKUP(SUM($H$197:BH197),Assumptions!$H$507:$H$516,Assumptions!$G$507:$G$516,0,-1)))</f>
        <v>0</v>
      </c>
      <c r="BI222" s="33">
        <f>+IF(Assumptions!$G$495="No",IF(BI197=0,0,_xlfn.XLOOKUP(SUM($H$197:BI197),Assumptions!$H$507:$H$516,Assumptions!$I$507:$I$516,0,-1)),IF(BI197=0,0,_xlfn.XLOOKUP(SUM($H$197:BI197),Assumptions!$H$507:$H$516,Assumptions!$G$507:$G$516,0,-1)))</f>
        <v>0</v>
      </c>
      <c r="BJ222" s="33">
        <f>+IF(Assumptions!$G$495="No",IF(BJ197=0,0,_xlfn.XLOOKUP(SUM($H$197:BJ197),Assumptions!$H$507:$H$516,Assumptions!$I$507:$I$516,0,-1)),IF(BJ197=0,0,_xlfn.XLOOKUP(SUM($H$197:BJ197),Assumptions!$H$507:$H$516,Assumptions!$G$507:$G$516,0,-1)))</f>
        <v>0</v>
      </c>
      <c r="BK222" s="33">
        <f>+IF(Assumptions!$G$495="No",IF(BK197=0,0,_xlfn.XLOOKUP(SUM($H$197:BK197),Assumptions!$H$507:$H$516,Assumptions!$I$507:$I$516,0,-1)),IF(BK197=0,0,_xlfn.XLOOKUP(SUM($H$197:BK197),Assumptions!$H$507:$H$516,Assumptions!$G$507:$G$516,0,-1)))</f>
        <v>0</v>
      </c>
      <c r="BL222" s="33">
        <f>+IF(Assumptions!$G$495="No",IF(BL197=0,0,_xlfn.XLOOKUP(SUM($H$197:BL197),Assumptions!$H$507:$H$516,Assumptions!$I$507:$I$516,0,-1)),IF(BL197=0,0,_xlfn.XLOOKUP(SUM($H$197:BL197),Assumptions!$H$507:$H$516,Assumptions!$G$507:$G$516,0,-1)))</f>
        <v>0</v>
      </c>
      <c r="BM222" s="33">
        <f>+IF(Assumptions!$G$495="No",IF(BM197=0,0,_xlfn.XLOOKUP(SUM($H$197:BM197),Assumptions!$H$507:$H$516,Assumptions!$I$507:$I$516,0,-1)),IF(BM197=0,0,_xlfn.XLOOKUP(SUM($H$197:BM197),Assumptions!$H$507:$H$516,Assumptions!$G$507:$G$516,0,-1)))</f>
        <v>0</v>
      </c>
      <c r="BN222" s="33">
        <f>+IF(Assumptions!$G$495="No",IF(BN197=0,0,_xlfn.XLOOKUP(SUM($H$197:BN197),Assumptions!$H$507:$H$516,Assumptions!$I$507:$I$516,0,-1)),IF(BN197=0,0,_xlfn.XLOOKUP(SUM($H$197:BN197),Assumptions!$H$507:$H$516,Assumptions!$G$507:$G$516,0,-1)))</f>
        <v>0</v>
      </c>
      <c r="BO222" s="33">
        <f>+IF(Assumptions!$G$495="No",IF(BO197=0,0,_xlfn.XLOOKUP(SUM($H$197:BO197),Assumptions!$H$507:$H$516,Assumptions!$I$507:$I$516,0,-1)),IF(BO197=0,0,_xlfn.XLOOKUP(SUM($H$197:BO197),Assumptions!$H$507:$H$516,Assumptions!$G$507:$G$516,0,-1)))</f>
        <v>0</v>
      </c>
      <c r="BP222" s="33">
        <f>+IF(Assumptions!$G$495="No",IF(BP197=0,0,_xlfn.XLOOKUP(SUM($H$197:BP197),Assumptions!$H$507:$H$516,Assumptions!$I$507:$I$516,0,-1)),IF(BP197=0,0,_xlfn.XLOOKUP(SUM($H$197:BP197),Assumptions!$H$507:$H$516,Assumptions!$G$507:$G$516,0,-1)))</f>
        <v>0</v>
      </c>
      <c r="BQ222" s="33">
        <f>+IF(Assumptions!$G$495="No",IF(BQ197=0,0,_xlfn.XLOOKUP(SUM($H$197:BQ197),Assumptions!$H$507:$H$516,Assumptions!$I$507:$I$516,0,-1)),IF(BQ197=0,0,_xlfn.XLOOKUP(SUM($H$197:BQ197),Assumptions!$H$507:$H$516,Assumptions!$G$507:$G$516,0,-1)))</f>
        <v>0</v>
      </c>
      <c r="BR222" s="33">
        <f>+IF(Assumptions!$G$495="No",IF(BR197=0,0,_xlfn.XLOOKUP(SUM($H$197:BR197),Assumptions!$H$507:$H$516,Assumptions!$I$507:$I$516,0,-1)),IF(BR197=0,0,_xlfn.XLOOKUP(SUM($H$197:BR197),Assumptions!$H$507:$H$516,Assumptions!$G$507:$G$516,0,-1)))</f>
        <v>0</v>
      </c>
      <c r="BS222" s="33">
        <f>+IF(Assumptions!$G$495="No",IF(BS197=0,0,_xlfn.XLOOKUP(SUM($H$197:BS197),Assumptions!$H$507:$H$516,Assumptions!$I$507:$I$516,0,-1)),IF(BS197=0,0,_xlfn.XLOOKUP(SUM($H$197:BS197),Assumptions!$H$507:$H$516,Assumptions!$G$507:$G$516,0,-1)))</f>
        <v>0</v>
      </c>
      <c r="BT222" s="33">
        <f>+IF(Assumptions!$G$495="No",IF(BT197=0,0,_xlfn.XLOOKUP(SUM($H$197:BT197),Assumptions!$H$507:$H$516,Assumptions!$I$507:$I$516,0,-1)),IF(BT197=0,0,_xlfn.XLOOKUP(SUM($H$197:BT197),Assumptions!$H$507:$H$516,Assumptions!$G$507:$G$516,0,-1)))</f>
        <v>0</v>
      </c>
      <c r="BU222" s="33">
        <f>+IF(Assumptions!$G$495="No",IF(BU197=0,0,_xlfn.XLOOKUP(SUM($H$197:BU197),Assumptions!$H$507:$H$516,Assumptions!$I$507:$I$516,0,-1)),IF(BU197=0,0,_xlfn.XLOOKUP(SUM($H$197:BU197),Assumptions!$H$507:$H$516,Assumptions!$G$507:$G$516,0,-1)))</f>
        <v>0</v>
      </c>
      <c r="BV222" s="33">
        <f>+IF(Assumptions!$G$495="No",IF(BV197=0,0,_xlfn.XLOOKUP(SUM($H$197:BV197),Assumptions!$H$507:$H$516,Assumptions!$I$507:$I$516,0,-1)),IF(BV197=0,0,_xlfn.XLOOKUP(SUM($H$197:BV197),Assumptions!$H$507:$H$516,Assumptions!$G$507:$G$516,0,-1)))</f>
        <v>0</v>
      </c>
      <c r="BW222" s="33">
        <f>+IF(Assumptions!$G$495="No",IF(BW197=0,0,_xlfn.XLOOKUP(SUM($H$197:BW197),Assumptions!$H$507:$H$516,Assumptions!$I$507:$I$516,0,-1)),IF(BW197=0,0,_xlfn.XLOOKUP(SUM($H$197:BW197),Assumptions!$H$507:$H$516,Assumptions!$G$507:$G$516,0,-1)))</f>
        <v>0</v>
      </c>
      <c r="BX222" s="33">
        <f>+IF(Assumptions!$G$495="No",IF(BX197=0,0,_xlfn.XLOOKUP(SUM($H$197:BX197),Assumptions!$H$507:$H$516,Assumptions!$I$507:$I$516,0,-1)),IF(BX197=0,0,_xlfn.XLOOKUP(SUM($H$197:BX197),Assumptions!$H$507:$H$516,Assumptions!$G$507:$G$516,0,-1)))</f>
        <v>0</v>
      </c>
      <c r="BY222" s="33">
        <f>+IF(Assumptions!$G$495="No",IF(BY197=0,0,_xlfn.XLOOKUP(SUM($H$197:BY197),Assumptions!$H$507:$H$516,Assumptions!$I$507:$I$516,0,-1)),IF(BY197=0,0,_xlfn.XLOOKUP(SUM($H$197:BY197),Assumptions!$H$507:$H$516,Assumptions!$G$507:$G$516,0,-1)))</f>
        <v>0</v>
      </c>
    </row>
    <row r="223" spans="2:77" outlineLevel="1">
      <c r="E223" t="s">
        <v>532</v>
      </c>
      <c r="F223" s="80" t="s">
        <v>425</v>
      </c>
      <c r="G223" s="23"/>
      <c r="H223" s="33" t="str">
        <f>IF(H$434=1,Assumptions!$G$286*H222,"")</f>
        <v/>
      </c>
      <c r="I223" s="33" t="str">
        <f>IF(I$434=1,Assumptions!$G$286*I222,"")</f>
        <v/>
      </c>
      <c r="J223" s="33" t="str">
        <f>IF(J$434=1,Assumptions!$G$286*J222,"")</f>
        <v/>
      </c>
      <c r="K223" s="33">
        <f>IF(K$434=1,Assumptions!$G$286*K222,"")</f>
        <v>0</v>
      </c>
      <c r="L223" s="33">
        <f>IF(L$434=1,Assumptions!$G$286*L222,"")</f>
        <v>0</v>
      </c>
      <c r="M223" s="33">
        <f>IF(M$434=1,Assumptions!$G$286*M222,"")</f>
        <v>0</v>
      </c>
      <c r="N223" s="33">
        <f>IF(N$434=1,Assumptions!$G$286*N222,"")</f>
        <v>0</v>
      </c>
      <c r="O223" s="33">
        <f>IF(O$434=1,Assumptions!$G$286*O222,"")</f>
        <v>0</v>
      </c>
      <c r="P223" s="33">
        <f>IF(P$434=1,Assumptions!$G$286*P222,"")</f>
        <v>0</v>
      </c>
      <c r="Q223" s="33">
        <f>IF(Q$434=1,Assumptions!$G$286*Q222,"")</f>
        <v>0</v>
      </c>
      <c r="R223" s="33">
        <f>IF(R$434=1,Assumptions!$G$286*R222,"")</f>
        <v>0</v>
      </c>
      <c r="S223" s="33">
        <f>IF(S$434=1,Assumptions!$G$286*S222,"")</f>
        <v>0</v>
      </c>
      <c r="T223" s="33">
        <f>IF(T$434=1,Assumptions!$G$286*T222,"")</f>
        <v>0</v>
      </c>
      <c r="U223" s="33">
        <f>IF(U$434=1,Assumptions!$G$286*U222,"")</f>
        <v>0</v>
      </c>
      <c r="V223" s="33">
        <f>IF(V$434=1,Assumptions!$G$286*V222,"")</f>
        <v>0</v>
      </c>
      <c r="W223" s="33">
        <f>IF(W$434=1,Assumptions!$G$286*W222,"")</f>
        <v>0</v>
      </c>
      <c r="X223" s="33">
        <f>IF(X$434=1,Assumptions!$G$286*X222,"")</f>
        <v>0</v>
      </c>
      <c r="Y223" s="33">
        <f>IF(Y$434=1,Assumptions!$G$286*Y222,"")</f>
        <v>0</v>
      </c>
      <c r="Z223" s="33" t="str">
        <f>IF(Z$434=1,Assumptions!$G$286*Z222,"")</f>
        <v/>
      </c>
      <c r="AA223" s="33" t="str">
        <f>IF(AA$434=1,Assumptions!$G$286*AA222,"")</f>
        <v/>
      </c>
      <c r="AB223" s="33" t="str">
        <f>IF(AB$434=1,Assumptions!$G$286*AB222,"")</f>
        <v/>
      </c>
      <c r="AC223" s="33" t="str">
        <f>IF(AC$434=1,Assumptions!$G$286*AC222,"")</f>
        <v/>
      </c>
      <c r="AD223" s="33" t="str">
        <f>IF(AD$434=1,Assumptions!$G$286*AD222,"")</f>
        <v/>
      </c>
      <c r="AE223" s="33" t="str">
        <f>IF(AE$434=1,Assumptions!$G$286*AE222,"")</f>
        <v/>
      </c>
      <c r="AF223" s="33" t="str">
        <f>IF(AF$434=1,Assumptions!$G$286*AF222,"")</f>
        <v/>
      </c>
      <c r="AG223" s="33" t="str">
        <f>IF(AG$434=1,Assumptions!$G$286*AG222,"")</f>
        <v/>
      </c>
      <c r="AH223" s="33" t="str">
        <f>IF(AH$434=1,Assumptions!$G$286*AH222,"")</f>
        <v/>
      </c>
      <c r="AI223" s="33" t="str">
        <f>IF(AI$434=1,Assumptions!$G$286*AI222,"")</f>
        <v/>
      </c>
      <c r="AJ223" s="33" t="str">
        <f>IF(AJ$434=1,Assumptions!$G$286*AJ222,"")</f>
        <v/>
      </c>
      <c r="AK223" s="33" t="str">
        <f>IF(AK$434=1,Assumptions!$G$286*AK222,"")</f>
        <v/>
      </c>
      <c r="AL223" s="33" t="str">
        <f>IF(AL$434=1,Assumptions!$G$286*AL222,"")</f>
        <v/>
      </c>
      <c r="AM223" s="33" t="str">
        <f>IF(AM$434=1,Assumptions!$G$286*AM222,"")</f>
        <v/>
      </c>
      <c r="AN223" s="33" t="str">
        <f>IF(AN$434=1,Assumptions!$G$286*AN222,"")</f>
        <v/>
      </c>
      <c r="AO223" s="33" t="str">
        <f>IF(AO$434=1,Assumptions!$G$286*AO222,"")</f>
        <v/>
      </c>
      <c r="AP223" s="33" t="str">
        <f>IF(AP$434=1,Assumptions!$G$286*AP222,"")</f>
        <v/>
      </c>
      <c r="AQ223" s="33" t="str">
        <f>IF(AQ$434=1,Assumptions!$G$286*AQ222,"")</f>
        <v/>
      </c>
      <c r="AR223" s="33" t="str">
        <f>IF(AR$434=1,Assumptions!$G$286*AR222,"")</f>
        <v/>
      </c>
      <c r="AS223" s="33" t="str">
        <f>IF(AS$434=1,Assumptions!$G$286*AS222,"")</f>
        <v/>
      </c>
      <c r="AT223" s="33" t="str">
        <f>IF(AT$434=1,Assumptions!$G$286*AT222,"")</f>
        <v/>
      </c>
      <c r="AU223" s="33" t="str">
        <f>IF(AU$434=1,Assumptions!$G$286*AU222,"")</f>
        <v/>
      </c>
      <c r="AV223" s="33" t="str">
        <f>IF(AV$434=1,Assumptions!$G$286*AV222,"")</f>
        <v/>
      </c>
      <c r="AW223" s="33" t="str">
        <f>IF(AW$434=1,Assumptions!$G$286*AW222,"")</f>
        <v/>
      </c>
      <c r="AX223" s="33" t="str">
        <f>IF(AX$434=1,Assumptions!$G$286*AX222,"")</f>
        <v/>
      </c>
      <c r="AY223" s="33" t="str">
        <f>IF(AY$434=1,Assumptions!$G$286*AY222,"")</f>
        <v/>
      </c>
      <c r="AZ223" s="33" t="str">
        <f>IF(AZ$434=1,Assumptions!$G$286*AZ222,"")</f>
        <v/>
      </c>
      <c r="BA223" s="33" t="str">
        <f>IF(BA$434=1,Assumptions!$G$286*BA222,"")</f>
        <v/>
      </c>
      <c r="BB223" s="33" t="str">
        <f>IF(BB$434=1,Assumptions!$G$286*BB222,"")</f>
        <v/>
      </c>
      <c r="BC223" s="33" t="str">
        <f>IF(BC$434=1,Assumptions!$G$286*BC222,"")</f>
        <v/>
      </c>
      <c r="BD223" s="33" t="str">
        <f>IF(BD$434=1,Assumptions!$G$286*BD222,"")</f>
        <v/>
      </c>
      <c r="BE223" s="33" t="str">
        <f>IF(BE$434=1,Assumptions!$G$286*BE222,"")</f>
        <v/>
      </c>
      <c r="BF223" s="33" t="str">
        <f>IF(BF$434=1,Assumptions!$G$286*BF222,"")</f>
        <v/>
      </c>
      <c r="BG223" s="33" t="str">
        <f>IF(BG$434=1,Assumptions!$G$286*BG222,"")</f>
        <v/>
      </c>
      <c r="BH223" s="33" t="str">
        <f>IF(BH$434=1,Assumptions!$G$286*BH222,"")</f>
        <v/>
      </c>
      <c r="BI223" s="33" t="str">
        <f>IF(BI$434=1,Assumptions!$G$286*BI222,"")</f>
        <v/>
      </c>
      <c r="BJ223" s="33" t="str">
        <f>IF(BJ$434=1,Assumptions!$G$286*BJ222,"")</f>
        <v/>
      </c>
      <c r="BK223" s="33" t="str">
        <f>IF(BK$434=1,Assumptions!$G$286*BK222,"")</f>
        <v/>
      </c>
      <c r="BL223" s="33" t="str">
        <f>IF(BL$434=1,Assumptions!$G$286*BL222,"")</f>
        <v/>
      </c>
      <c r="BM223" s="33" t="str">
        <f>IF(BM$434=1,Assumptions!$G$286*BM222,"")</f>
        <v/>
      </c>
      <c r="BN223" s="33" t="str">
        <f>IF(BN$434=1,Assumptions!$G$286*BN222,"")</f>
        <v/>
      </c>
      <c r="BO223" s="33" t="str">
        <f>IF(BO$434=1,Assumptions!$G$286*BO222,"")</f>
        <v/>
      </c>
      <c r="BP223" s="33" t="str">
        <f>IF(BP$434=1,Assumptions!$G$286*BP222,"")</f>
        <v/>
      </c>
      <c r="BQ223" s="33" t="str">
        <f>IF(BQ$434=1,Assumptions!$G$286*BQ222,"")</f>
        <v/>
      </c>
      <c r="BR223" s="33" t="str">
        <f>IF(BR$434=1,Assumptions!$G$286*BR222,"")</f>
        <v/>
      </c>
      <c r="BS223" s="33" t="str">
        <f>IF(BS$434=1,Assumptions!$G$286*BS222,"")</f>
        <v/>
      </c>
      <c r="BT223" s="33" t="str">
        <f>IF(BT$434=1,Assumptions!$G$286*BT222,"")</f>
        <v/>
      </c>
      <c r="BU223" s="33" t="str">
        <f>IF(BU$434=1,Assumptions!$G$286*BU222,"")</f>
        <v/>
      </c>
      <c r="BV223" s="33" t="str">
        <f>IF(BV$434=1,Assumptions!$G$286*BV222,"")</f>
        <v/>
      </c>
      <c r="BW223" s="33" t="str">
        <f>IF(BW$434=1,Assumptions!$G$286*BW222,"")</f>
        <v/>
      </c>
      <c r="BX223" s="33" t="str">
        <f>IF(BX$434=1,Assumptions!$G$286*BX222,"")</f>
        <v/>
      </c>
      <c r="BY223" s="33" t="str">
        <f>IF(BY$434=1,Assumptions!$G$286*BY222,"")</f>
        <v/>
      </c>
    </row>
    <row r="224" spans="2:77" outlineLevel="1">
      <c r="E224" t="s">
        <v>533</v>
      </c>
      <c r="F224" s="80" t="s">
        <v>534</v>
      </c>
      <c r="G224" s="23"/>
      <c r="H224" s="33">
        <f t="shared" ref="H224:J224" si="293">+IFERROR(H218/H223,0)</f>
        <v>0</v>
      </c>
      <c r="I224" s="33">
        <f t="shared" si="293"/>
        <v>0</v>
      </c>
      <c r="J224" s="33">
        <f t="shared" si="293"/>
        <v>0</v>
      </c>
      <c r="K224" s="33">
        <f>+IFERROR(K218/K223,0)</f>
        <v>0</v>
      </c>
      <c r="L224" s="33">
        <f t="shared" ref="L224:BW224" si="294">+IFERROR(L218/L223,0)</f>
        <v>0</v>
      </c>
      <c r="M224" s="33">
        <f t="shared" si="294"/>
        <v>0</v>
      </c>
      <c r="N224" s="33">
        <f t="shared" si="294"/>
        <v>0</v>
      </c>
      <c r="O224" s="33">
        <f t="shared" si="294"/>
        <v>0</v>
      </c>
      <c r="P224" s="33">
        <f t="shared" si="294"/>
        <v>0</v>
      </c>
      <c r="Q224" s="33">
        <f t="shared" si="294"/>
        <v>0</v>
      </c>
      <c r="R224" s="33">
        <f t="shared" si="294"/>
        <v>0</v>
      </c>
      <c r="S224" s="33">
        <f t="shared" si="294"/>
        <v>0</v>
      </c>
      <c r="T224" s="33">
        <f t="shared" si="294"/>
        <v>0</v>
      </c>
      <c r="U224" s="33">
        <f t="shared" si="294"/>
        <v>0</v>
      </c>
      <c r="V224" s="33">
        <f t="shared" si="294"/>
        <v>0</v>
      </c>
      <c r="W224" s="33">
        <f t="shared" si="294"/>
        <v>0</v>
      </c>
      <c r="X224" s="33">
        <f t="shared" si="294"/>
        <v>0</v>
      </c>
      <c r="Y224" s="33">
        <f t="shared" si="294"/>
        <v>0</v>
      </c>
      <c r="Z224" s="33">
        <f t="shared" si="294"/>
        <v>0</v>
      </c>
      <c r="AA224" s="33">
        <f t="shared" si="294"/>
        <v>0</v>
      </c>
      <c r="AB224" s="33">
        <f t="shared" si="294"/>
        <v>0</v>
      </c>
      <c r="AC224" s="33">
        <f t="shared" si="294"/>
        <v>0</v>
      </c>
      <c r="AD224" s="33">
        <f t="shared" si="294"/>
        <v>0</v>
      </c>
      <c r="AE224" s="33">
        <f t="shared" si="294"/>
        <v>0</v>
      </c>
      <c r="AF224" s="33">
        <f t="shared" si="294"/>
        <v>0</v>
      </c>
      <c r="AG224" s="33">
        <f t="shared" si="294"/>
        <v>0</v>
      </c>
      <c r="AH224" s="33">
        <f t="shared" si="294"/>
        <v>0</v>
      </c>
      <c r="AI224" s="33">
        <f t="shared" si="294"/>
        <v>0</v>
      </c>
      <c r="AJ224" s="33">
        <f t="shared" si="294"/>
        <v>0</v>
      </c>
      <c r="AK224" s="33">
        <f t="shared" si="294"/>
        <v>0</v>
      </c>
      <c r="AL224" s="33">
        <f t="shared" si="294"/>
        <v>0</v>
      </c>
      <c r="AM224" s="33">
        <f t="shared" si="294"/>
        <v>0</v>
      </c>
      <c r="AN224" s="33">
        <f t="shared" si="294"/>
        <v>0</v>
      </c>
      <c r="AO224" s="33">
        <f t="shared" si="294"/>
        <v>0</v>
      </c>
      <c r="AP224" s="33">
        <f t="shared" si="294"/>
        <v>0</v>
      </c>
      <c r="AQ224" s="33">
        <f t="shared" si="294"/>
        <v>0</v>
      </c>
      <c r="AR224" s="33">
        <f t="shared" si="294"/>
        <v>0</v>
      </c>
      <c r="AS224" s="33">
        <f t="shared" si="294"/>
        <v>0</v>
      </c>
      <c r="AT224" s="33">
        <f t="shared" si="294"/>
        <v>0</v>
      </c>
      <c r="AU224" s="33">
        <f t="shared" si="294"/>
        <v>0</v>
      </c>
      <c r="AV224" s="33">
        <f t="shared" si="294"/>
        <v>0</v>
      </c>
      <c r="AW224" s="33">
        <f t="shared" si="294"/>
        <v>0</v>
      </c>
      <c r="AX224" s="33">
        <f t="shared" si="294"/>
        <v>0</v>
      </c>
      <c r="AY224" s="33">
        <f t="shared" si="294"/>
        <v>0</v>
      </c>
      <c r="AZ224" s="33">
        <f t="shared" si="294"/>
        <v>0</v>
      </c>
      <c r="BA224" s="33">
        <f t="shared" si="294"/>
        <v>0</v>
      </c>
      <c r="BB224" s="33">
        <f t="shared" si="294"/>
        <v>0</v>
      </c>
      <c r="BC224" s="33">
        <f t="shared" si="294"/>
        <v>0</v>
      </c>
      <c r="BD224" s="33">
        <f t="shared" si="294"/>
        <v>0</v>
      </c>
      <c r="BE224" s="33">
        <f t="shared" si="294"/>
        <v>0</v>
      </c>
      <c r="BF224" s="33">
        <f t="shared" si="294"/>
        <v>0</v>
      </c>
      <c r="BG224" s="33">
        <f t="shared" si="294"/>
        <v>0</v>
      </c>
      <c r="BH224" s="33">
        <f t="shared" si="294"/>
        <v>0</v>
      </c>
      <c r="BI224" s="33">
        <f t="shared" si="294"/>
        <v>0</v>
      </c>
      <c r="BJ224" s="33">
        <f t="shared" si="294"/>
        <v>0</v>
      </c>
      <c r="BK224" s="33">
        <f t="shared" si="294"/>
        <v>0</v>
      </c>
      <c r="BL224" s="33">
        <f t="shared" si="294"/>
        <v>0</v>
      </c>
      <c r="BM224" s="33">
        <f t="shared" si="294"/>
        <v>0</v>
      </c>
      <c r="BN224" s="33">
        <f t="shared" si="294"/>
        <v>0</v>
      </c>
      <c r="BO224" s="33">
        <f t="shared" si="294"/>
        <v>0</v>
      </c>
      <c r="BP224" s="33">
        <f t="shared" si="294"/>
        <v>0</v>
      </c>
      <c r="BQ224" s="33">
        <f t="shared" si="294"/>
        <v>0</v>
      </c>
      <c r="BR224" s="33">
        <f t="shared" si="294"/>
        <v>0</v>
      </c>
      <c r="BS224" s="33">
        <f t="shared" si="294"/>
        <v>0</v>
      </c>
      <c r="BT224" s="33">
        <f t="shared" si="294"/>
        <v>0</v>
      </c>
      <c r="BU224" s="33">
        <f t="shared" si="294"/>
        <v>0</v>
      </c>
      <c r="BV224" s="33">
        <f t="shared" si="294"/>
        <v>0</v>
      </c>
      <c r="BW224" s="33">
        <f t="shared" si="294"/>
        <v>0</v>
      </c>
      <c r="BX224" s="33">
        <f t="shared" ref="BX224:BY224" si="295">+IFERROR(BX218/BX223,0)</f>
        <v>0</v>
      </c>
      <c r="BY224" s="33">
        <f t="shared" si="295"/>
        <v>0</v>
      </c>
    </row>
    <row r="225" spans="2:77" outlineLevel="1">
      <c r="E225" t="s">
        <v>535</v>
      </c>
      <c r="F225" s="80" t="s">
        <v>534</v>
      </c>
      <c r="G225" s="33"/>
      <c r="H225" s="33">
        <f>+IF(H$434=1,-Assumptions!$G$505*H185,0)</f>
        <v>0</v>
      </c>
      <c r="I225" s="33">
        <f>+IF(I$434=1,-Assumptions!$G$503*I185,0)</f>
        <v>0</v>
      </c>
      <c r="J225" s="33">
        <f>+IF(J$434=1,-Assumptions!$G$503*J185,0)</f>
        <v>0</v>
      </c>
      <c r="K225" s="33">
        <f>+IF(K$434=1,-Assumptions!$G$503*K185,0)</f>
        <v>-32.4729648</v>
      </c>
      <c r="L225" s="33">
        <f>+IF(L$434=1,-Assumptions!$G$503*L185,0)</f>
        <v>-33.122424096000003</v>
      </c>
      <c r="M225" s="33">
        <f>+IF(M$434=1,-Assumptions!$G$503*M185,0)</f>
        <v>-33.784872577920005</v>
      </c>
      <c r="N225" s="33">
        <f>+IF(N$434=1,-Assumptions!$G$503*N185,0)</f>
        <v>-34.460570029478397</v>
      </c>
      <c r="O225" s="33">
        <f>+IF(O$434=1,-Assumptions!$G$503*O185,0)</f>
        <v>-35.149781430067968</v>
      </c>
      <c r="P225" s="33">
        <f>+IF(P$434=1,-Assumptions!$G$503*P185,0)</f>
        <v>-35.852777058669325</v>
      </c>
      <c r="Q225" s="33">
        <f>+IF(Q$434=1,-Assumptions!$G$503*Q185,0)</f>
        <v>-36.569832599842712</v>
      </c>
      <c r="R225" s="33">
        <f>+IF(R$434=1,-Assumptions!$G$503*R185,0)</f>
        <v>-37.301229251839558</v>
      </c>
      <c r="S225" s="33">
        <f>+IF(S$434=1,-Assumptions!$G$503*S185,0)</f>
        <v>-38.047253836876358</v>
      </c>
      <c r="T225" s="33">
        <f>+IF(T$434=1,-Assumptions!$G$503*T185,0)</f>
        <v>-38.808198913613886</v>
      </c>
      <c r="U225" s="33">
        <f>+IF(U$434=1,-Assumptions!$G$503*U185,0)</f>
        <v>-39.584362891886165</v>
      </c>
      <c r="V225" s="33">
        <f>+IF(V$434=1,-Assumptions!$G$503*V185,0)</f>
        <v>-40.376050149723874</v>
      </c>
      <c r="W225" s="33">
        <f>+IF(W$434=1,-Assumptions!$G$503*W185,0)</f>
        <v>-41.183571152718358</v>
      </c>
      <c r="X225" s="33">
        <f>+IF(X$434=1,-Assumptions!$G$503*X185,0)</f>
        <v>-42.007242575772729</v>
      </c>
      <c r="Y225" s="33">
        <f>+IF(Y$434=1,-Assumptions!$G$503*Y185,0)</f>
        <v>-42.847387427288183</v>
      </c>
      <c r="Z225" s="33">
        <f>+IF(Z$434=1,-Assumptions!$G$503*Z185,0)</f>
        <v>0</v>
      </c>
      <c r="AA225" s="33">
        <f>+IF(AA$434=1,-Assumptions!$G$503*AA185,0)</f>
        <v>0</v>
      </c>
      <c r="AB225" s="33">
        <f>+IF(AB$434=1,-Assumptions!$G$503*AB185,0)</f>
        <v>0</v>
      </c>
      <c r="AC225" s="33">
        <f>+IF(AC$434=1,-Assumptions!$G$503*AC185,0)</f>
        <v>0</v>
      </c>
      <c r="AD225" s="33">
        <f>+IF(AD$434=1,-Assumptions!$G$503*AD185,0)</f>
        <v>0</v>
      </c>
      <c r="AE225" s="33">
        <f>+IF(AE$434=1,-Assumptions!$G$503*AE185,0)</f>
        <v>0</v>
      </c>
      <c r="AF225" s="33">
        <f>+IF(AF$434=1,-Assumptions!$G$503*AF185,0)</f>
        <v>0</v>
      </c>
      <c r="AG225" s="33">
        <f>+IF(AG$434=1,-Assumptions!$G$503*AG185,0)</f>
        <v>0</v>
      </c>
      <c r="AH225" s="33">
        <f>+IF(AH$434=1,-Assumptions!$G$503*AH185,0)</f>
        <v>0</v>
      </c>
      <c r="AI225" s="33">
        <f>+IF(AI$434=1,-Assumptions!$G$503*AI185,0)</f>
        <v>0</v>
      </c>
      <c r="AJ225" s="33">
        <f>+IF(AJ$434=1,-Assumptions!$G$503*AJ185,0)</f>
        <v>0</v>
      </c>
      <c r="AK225" s="33">
        <f>+IF(AK$434=1,-Assumptions!$G$503*AK185,0)</f>
        <v>0</v>
      </c>
      <c r="AL225" s="33">
        <f>+IF(AL$434=1,-Assumptions!$G$503*AL185,0)</f>
        <v>0</v>
      </c>
      <c r="AM225" s="33">
        <f>+IF(AM$434=1,-Assumptions!$G$503*AM185,0)</f>
        <v>0</v>
      </c>
      <c r="AN225" s="33">
        <f>+IF(AN$434=1,-Assumptions!$G$503*AN185,0)</f>
        <v>0</v>
      </c>
      <c r="AO225" s="33">
        <f>+IF(AO$434=1,-Assumptions!$G$503*AO185,0)</f>
        <v>0</v>
      </c>
      <c r="AP225" s="33">
        <f>+IF(AP$434=1,-Assumptions!$G$503*AP185,0)</f>
        <v>0</v>
      </c>
      <c r="AQ225" s="33">
        <f>+IF(AQ$434=1,-Assumptions!$G$503*AQ185,0)</f>
        <v>0</v>
      </c>
      <c r="AR225" s="33">
        <f>+IF(AR$434=1,-Assumptions!$G$503*AR185,0)</f>
        <v>0</v>
      </c>
      <c r="AS225" s="33">
        <f>+IF(AS$434=1,-Assumptions!$G$503*AS185,0)</f>
        <v>0</v>
      </c>
      <c r="AT225" s="33">
        <f>+IF(AT$434=1,-Assumptions!$G$503*AT185,0)</f>
        <v>0</v>
      </c>
      <c r="AU225" s="33">
        <f>+IF(AU$434=1,-Assumptions!$G$503*AU185,0)</f>
        <v>0</v>
      </c>
      <c r="AV225" s="33">
        <f>+IF(AV$434=1,-Assumptions!$G$503*AV185,0)</f>
        <v>0</v>
      </c>
      <c r="AW225" s="33">
        <f>+IF(AW$434=1,-Assumptions!$G$503*AW185,0)</f>
        <v>0</v>
      </c>
      <c r="AX225" s="33">
        <f>+IF(AX$434=1,-Assumptions!$G$503*AX185,0)</f>
        <v>0</v>
      </c>
      <c r="AY225" s="33">
        <f>+IF(AY$434=1,-Assumptions!$G$503*AY185,0)</f>
        <v>0</v>
      </c>
      <c r="AZ225" s="33">
        <f>+IF(AZ$434=1,-Assumptions!$G$503*AZ185,0)</f>
        <v>0</v>
      </c>
      <c r="BA225" s="33">
        <f>+IF(BA$434=1,-Assumptions!$G$503*BA185,0)</f>
        <v>0</v>
      </c>
      <c r="BB225" s="33">
        <f>+IF(BB$434=1,-Assumptions!$G$503*BB185,0)</f>
        <v>0</v>
      </c>
      <c r="BC225" s="33">
        <f>+IF(BC$434=1,-Assumptions!$G$503*BC185,0)</f>
        <v>0</v>
      </c>
      <c r="BD225" s="33">
        <f>+IF(BD$434=1,-Assumptions!$G$503*BD185,0)</f>
        <v>0</v>
      </c>
      <c r="BE225" s="33">
        <f>+IF(BE$434=1,-Assumptions!$G$503*BE185,0)</f>
        <v>0</v>
      </c>
      <c r="BF225" s="33">
        <f>+IF(BF$434=1,-Assumptions!$G$503*BF185,0)</f>
        <v>0</v>
      </c>
      <c r="BG225" s="33">
        <f>+IF(BG$434=1,-Assumptions!$G$503*BG185,0)</f>
        <v>0</v>
      </c>
      <c r="BH225" s="33">
        <f>+IF(BH$434=1,-Assumptions!$G$503*BH185,0)</f>
        <v>0</v>
      </c>
      <c r="BI225" s="33">
        <f>+IF(BI$434=1,-Assumptions!$G$503*BI185,0)</f>
        <v>0</v>
      </c>
      <c r="BJ225" s="33">
        <f>+IF(BJ$434=1,-Assumptions!$G$503*BJ185,0)</f>
        <v>0</v>
      </c>
      <c r="BK225" s="33">
        <f>+IF(BK$434=1,-Assumptions!$G$503*BK185,0)</f>
        <v>0</v>
      </c>
      <c r="BL225" s="33">
        <f>+IF(BL$434=1,-Assumptions!$G$503*BL185,0)</f>
        <v>0</v>
      </c>
      <c r="BM225" s="33">
        <f>+IF(BM$434=1,-Assumptions!$G$503*BM185,0)</f>
        <v>0</v>
      </c>
      <c r="BN225" s="33">
        <f>+IF(BN$434=1,-Assumptions!$G$503*BN185,0)</f>
        <v>0</v>
      </c>
      <c r="BO225" s="33">
        <f>+IF(BO$434=1,-Assumptions!$G$503*BO185,0)</f>
        <v>0</v>
      </c>
      <c r="BP225" s="33">
        <f>+IF(BP$434=1,-Assumptions!$G$503*BP185,0)</f>
        <v>0</v>
      </c>
      <c r="BQ225" s="33">
        <f>+IF(BQ$434=1,-Assumptions!$G$503*BQ185,0)</f>
        <v>0</v>
      </c>
      <c r="BR225" s="33">
        <f>+IF(BR$434=1,-Assumptions!$G$503*BR185,0)</f>
        <v>0</v>
      </c>
      <c r="BS225" s="33">
        <f>+IF(BS$434=1,-Assumptions!$G$503*BS185,0)</f>
        <v>0</v>
      </c>
      <c r="BT225" s="33">
        <f>+IF(BT$434=1,-Assumptions!$G$503*BT185,0)</f>
        <v>0</v>
      </c>
      <c r="BU225" s="33">
        <f>+IF(BU$434=1,-Assumptions!$G$503*BU185,0)</f>
        <v>0</v>
      </c>
      <c r="BV225" s="33">
        <f>+IF(BV$434=1,-Assumptions!$G$503*BV185,0)</f>
        <v>0</v>
      </c>
      <c r="BW225" s="33">
        <f>+IF(BW$434=1,-Assumptions!$G$503*BW185,0)</f>
        <v>0</v>
      </c>
      <c r="BX225" s="33">
        <f>+IF(BX$434=1,-Assumptions!$G$503*BX185,0)</f>
        <v>0</v>
      </c>
      <c r="BY225" s="33">
        <f>+IF(BY$434=1,-Assumptions!$G$503*BY185,0)</f>
        <v>0</v>
      </c>
    </row>
    <row r="226" spans="2:77" outlineLevel="1">
      <c r="E226" t="s">
        <v>536</v>
      </c>
      <c r="F226" s="80" t="s">
        <v>534</v>
      </c>
      <c r="G226" s="33"/>
      <c r="H226" s="33">
        <f>+IFERROR(H197*H185*Assumptions!$H$504,0)</f>
        <v>0</v>
      </c>
      <c r="I226" s="33">
        <f>+IFERROR(I197*I185*Assumptions!$H$504,0)</f>
        <v>0</v>
      </c>
      <c r="J226" s="33">
        <f>+IFERROR(J197*J185*Assumptions!$H$504,0)</f>
        <v>0</v>
      </c>
      <c r="K226" s="33">
        <f>+IFERROR(K197*K185*Assumptions!$H$504,0)</f>
        <v>0.87866720969647427</v>
      </c>
      <c r="L226" s="33">
        <f>+IFERROR(L197*L185*Assumptions!$H$504,0)</f>
        <v>0.8962405538904038</v>
      </c>
      <c r="M226" s="33">
        <f>+IFERROR(M197*M185*Assumptions!$H$504,0)</f>
        <v>0.91416536496821199</v>
      </c>
      <c r="N226" s="33">
        <f>+IFERROR(N197*N185*Assumptions!$H$504,0)</f>
        <v>0.932448672267576</v>
      </c>
      <c r="O226" s="33">
        <f>+IFERROR(O197*O185*Assumptions!$H$504,0)</f>
        <v>0.95109764571292765</v>
      </c>
      <c r="P226" s="33">
        <f>+IFERROR(P197*P185*Assumptions!$H$504,0)</f>
        <v>0.97011959862718611</v>
      </c>
      <c r="Q226" s="33">
        <f>+IFERROR(Q197*Q185*Assumptions!$H$504,0)</f>
        <v>0.98952199059972989</v>
      </c>
      <c r="R226" s="33">
        <f>+IFERROR(R197*R185*Assumptions!$H$504,0)</f>
        <v>1.0093124304117242</v>
      </c>
      <c r="S226" s="33">
        <f>+IFERROR(S197*S185*Assumptions!$H$504,0)</f>
        <v>1.029498679019959</v>
      </c>
      <c r="T226" s="33">
        <f>+IFERROR(T197*T185*Assumptions!$H$504,0)</f>
        <v>1.0500886526003581</v>
      </c>
      <c r="U226" s="33">
        <f>+IFERROR(U197*U185*Assumptions!$H$504,0)</f>
        <v>1.0710904256523655</v>
      </c>
      <c r="V226" s="33">
        <f>+IFERROR(V197*V185*Assumptions!$H$504,0)</f>
        <v>1.0925122341654123</v>
      </c>
      <c r="W226" s="33">
        <f>+IFERROR(W197*W185*Assumptions!$H$504,0)</f>
        <v>1.1143624788487207</v>
      </c>
      <c r="X226" s="33">
        <f>+IFERROR(X197*X185*Assumptions!$H$504,0)</f>
        <v>1.1366497284256953</v>
      </c>
      <c r="Y226" s="33">
        <f>+IFERROR(Y197*Y185*Assumptions!$H$504,0)</f>
        <v>1.1593827229942091</v>
      </c>
      <c r="Z226" s="33">
        <f>+IFERROR(Z197*Z185*Assumptions!$H$504,0)</f>
        <v>1.1825703774540932</v>
      </c>
      <c r="AA226" s="33">
        <f>+IFERROR(AA197*AA185*Assumptions!$H$504,0)</f>
        <v>0</v>
      </c>
      <c r="AB226" s="33">
        <f>+IFERROR(AB197*AB185*Assumptions!$H$504,0)</f>
        <v>0</v>
      </c>
      <c r="AC226" s="33">
        <f>+IFERROR(AC197*AC185*Assumptions!$H$504,0)</f>
        <v>0</v>
      </c>
      <c r="AD226" s="33">
        <f>+IFERROR(AD197*AD185*Assumptions!$H$504,0)</f>
        <v>0</v>
      </c>
      <c r="AE226" s="33">
        <f>+IFERROR(AE197*AE185*Assumptions!$H$504,0)</f>
        <v>0</v>
      </c>
      <c r="AF226" s="33">
        <f>+IFERROR(AF197*AF185*Assumptions!$H$504,0)</f>
        <v>0</v>
      </c>
      <c r="AG226" s="33">
        <f>+IFERROR(AG197*AG185*Assumptions!$H$504,0)</f>
        <v>0</v>
      </c>
      <c r="AH226" s="33">
        <f>+IFERROR(AH197*AH185*Assumptions!$H$504,0)</f>
        <v>0</v>
      </c>
      <c r="AI226" s="33">
        <f>+IFERROR(AI197*AI185*Assumptions!$H$504,0)</f>
        <v>0</v>
      </c>
      <c r="AJ226" s="33">
        <f>+IFERROR(AJ197*AJ185*Assumptions!$H$504,0)</f>
        <v>0</v>
      </c>
      <c r="AK226" s="33">
        <f>+IFERROR(AK197*AK185*Assumptions!$H$504,0)</f>
        <v>0</v>
      </c>
      <c r="AL226" s="33">
        <f>+IFERROR(AL197*AL185*Assumptions!$H$504,0)</f>
        <v>0</v>
      </c>
      <c r="AM226" s="33">
        <f>+IFERROR(AM197*AM185*Assumptions!$H$504,0)</f>
        <v>0</v>
      </c>
      <c r="AN226" s="33">
        <f>+IFERROR(AN197*AN185*Assumptions!$H$504,0)</f>
        <v>0</v>
      </c>
      <c r="AO226" s="33">
        <f>+IFERROR(AO197*AO185*Assumptions!$H$504,0)</f>
        <v>0</v>
      </c>
      <c r="AP226" s="33">
        <f>+IFERROR(AP197*AP185*Assumptions!$H$504,0)</f>
        <v>0</v>
      </c>
      <c r="AQ226" s="33">
        <f>+IFERROR(AQ197*AQ185*Assumptions!$H$504,0)</f>
        <v>0</v>
      </c>
      <c r="AR226" s="33">
        <f>+IFERROR(AR197*AR185*Assumptions!$H$504,0)</f>
        <v>0</v>
      </c>
      <c r="AS226" s="33">
        <f>+IFERROR(AS197*AS185*Assumptions!$H$504,0)</f>
        <v>0</v>
      </c>
      <c r="AT226" s="33">
        <f>+IFERROR(AT197*AT185*Assumptions!$H$504,0)</f>
        <v>0</v>
      </c>
      <c r="AU226" s="33">
        <f>+IFERROR(AU197*AU185*Assumptions!$H$504,0)</f>
        <v>0</v>
      </c>
      <c r="AV226" s="33">
        <f>+IFERROR(AV197*AV185*Assumptions!$H$504,0)</f>
        <v>0</v>
      </c>
      <c r="AW226" s="33">
        <f>+IFERROR(AW197*AW185*Assumptions!$H$504,0)</f>
        <v>0</v>
      </c>
      <c r="AX226" s="33">
        <f>+IFERROR(AX197*AX185*Assumptions!$H$504,0)</f>
        <v>0</v>
      </c>
      <c r="AY226" s="33">
        <f>+IFERROR(AY197*AY185*Assumptions!$H$504,0)</f>
        <v>0</v>
      </c>
      <c r="AZ226" s="33">
        <f>+IFERROR(AZ197*AZ185*Assumptions!$H$504,0)</f>
        <v>0</v>
      </c>
      <c r="BA226" s="33">
        <f>+IFERROR(BA197*BA185*Assumptions!$H$504,0)</f>
        <v>0</v>
      </c>
      <c r="BB226" s="33">
        <f>+IFERROR(BB197*BB185*Assumptions!$H$504,0)</f>
        <v>0</v>
      </c>
      <c r="BC226" s="33">
        <f>+IFERROR(BC197*BC185*Assumptions!$H$504,0)</f>
        <v>0</v>
      </c>
      <c r="BD226" s="33">
        <f>+IFERROR(BD197*BD185*Assumptions!$H$504,0)</f>
        <v>0</v>
      </c>
      <c r="BE226" s="33">
        <f>+IFERROR(BE197*BE185*Assumptions!$H$504,0)</f>
        <v>0</v>
      </c>
      <c r="BF226" s="33">
        <f>+IFERROR(BF197*BF185*Assumptions!$H$504,0)</f>
        <v>0</v>
      </c>
      <c r="BG226" s="33">
        <f>+IFERROR(BG197*BG185*Assumptions!$H$504,0)</f>
        <v>0</v>
      </c>
      <c r="BH226" s="33">
        <f>+IFERROR(BH197*BH185*Assumptions!$H$504,0)</f>
        <v>0</v>
      </c>
      <c r="BI226" s="33">
        <f>+IFERROR(BI197*BI185*Assumptions!$H$504,0)</f>
        <v>0</v>
      </c>
      <c r="BJ226" s="33">
        <f>+IFERROR(BJ197*BJ185*Assumptions!$H$504,0)</f>
        <v>0</v>
      </c>
      <c r="BK226" s="33">
        <f>+IFERROR(BK197*BK185*Assumptions!$H$504,0)</f>
        <v>0</v>
      </c>
      <c r="BL226" s="33">
        <f>+IFERROR(BL197*BL185*Assumptions!$H$504,0)</f>
        <v>0</v>
      </c>
      <c r="BM226" s="33">
        <f>+IFERROR(BM197*BM185*Assumptions!$H$504,0)</f>
        <v>0</v>
      </c>
      <c r="BN226" s="33">
        <f>+IFERROR(BN197*BN185*Assumptions!$H$504,0)</f>
        <v>0</v>
      </c>
      <c r="BO226" s="33">
        <f>+IFERROR(BO197*BO185*Assumptions!$H$504,0)</f>
        <v>0</v>
      </c>
      <c r="BP226" s="33">
        <f>+IFERROR(BP197*BP185*Assumptions!$H$504,0)</f>
        <v>0</v>
      </c>
      <c r="BQ226" s="33">
        <f>+IFERROR(BQ197*BQ185*Assumptions!$H$504,0)</f>
        <v>0</v>
      </c>
      <c r="BR226" s="33">
        <f>+IFERROR(BR197*BR185*Assumptions!$H$504,0)</f>
        <v>0</v>
      </c>
      <c r="BS226" s="33">
        <f>+IFERROR(BS197*BS185*Assumptions!$H$504,0)</f>
        <v>0</v>
      </c>
      <c r="BT226" s="33">
        <f>+IFERROR(BT197*BT185*Assumptions!$H$504,0)</f>
        <v>0</v>
      </c>
      <c r="BU226" s="33">
        <f>+IFERROR(BU197*BU185*Assumptions!$H$504,0)</f>
        <v>0</v>
      </c>
      <c r="BV226" s="33">
        <f>+IFERROR(BV197*BV185*Assumptions!$H$504,0)</f>
        <v>0</v>
      </c>
      <c r="BW226" s="33">
        <f>+IFERROR(BW197*BW185*Assumptions!$H$504,0)</f>
        <v>0</v>
      </c>
      <c r="BX226" s="33">
        <f>+IFERROR(BX197*BX185*Assumptions!$H$504,0)</f>
        <v>0</v>
      </c>
      <c r="BY226" s="33">
        <f>+IFERROR(BY197*BY185*Assumptions!$H$504,0)</f>
        <v>0</v>
      </c>
    </row>
    <row r="227" spans="2:77" outlineLevel="1">
      <c r="E227" t="s">
        <v>537</v>
      </c>
      <c r="F227" s="80" t="s">
        <v>159</v>
      </c>
      <c r="G227" s="23"/>
      <c r="H227" s="33">
        <f t="shared" ref="H227:AM227" si="296">+IF(IFERROR((H224-H225+H226)*H223,0)&lt;0,(H224-H225+H226)*H223,0)</f>
        <v>0</v>
      </c>
      <c r="I227" s="33">
        <f t="shared" si="296"/>
        <v>0</v>
      </c>
      <c r="J227" s="33">
        <f t="shared" si="296"/>
        <v>0</v>
      </c>
      <c r="K227" s="33">
        <f t="shared" si="296"/>
        <v>0</v>
      </c>
      <c r="L227" s="33">
        <f t="shared" si="296"/>
        <v>0</v>
      </c>
      <c r="M227" s="33">
        <f t="shared" si="296"/>
        <v>0</v>
      </c>
      <c r="N227" s="33">
        <f t="shared" si="296"/>
        <v>0</v>
      </c>
      <c r="O227" s="33">
        <f t="shared" si="296"/>
        <v>0</v>
      </c>
      <c r="P227" s="33">
        <f t="shared" si="296"/>
        <v>0</v>
      </c>
      <c r="Q227" s="33">
        <f t="shared" si="296"/>
        <v>0</v>
      </c>
      <c r="R227" s="33">
        <f t="shared" si="296"/>
        <v>0</v>
      </c>
      <c r="S227" s="33">
        <f t="shared" si="296"/>
        <v>0</v>
      </c>
      <c r="T227" s="33">
        <f t="shared" si="296"/>
        <v>0</v>
      </c>
      <c r="U227" s="33">
        <f t="shared" si="296"/>
        <v>0</v>
      </c>
      <c r="V227" s="33">
        <f t="shared" si="296"/>
        <v>0</v>
      </c>
      <c r="W227" s="33">
        <f t="shared" si="296"/>
        <v>0</v>
      </c>
      <c r="X227" s="33">
        <f t="shared" si="296"/>
        <v>0</v>
      </c>
      <c r="Y227" s="33">
        <f t="shared" si="296"/>
        <v>0</v>
      </c>
      <c r="Z227" s="33">
        <f t="shared" si="296"/>
        <v>0</v>
      </c>
      <c r="AA227" s="33">
        <f t="shared" si="296"/>
        <v>0</v>
      </c>
      <c r="AB227" s="33">
        <f t="shared" si="296"/>
        <v>0</v>
      </c>
      <c r="AC227" s="33">
        <f t="shared" si="296"/>
        <v>0</v>
      </c>
      <c r="AD227" s="33">
        <f t="shared" si="296"/>
        <v>0</v>
      </c>
      <c r="AE227" s="33">
        <f t="shared" si="296"/>
        <v>0</v>
      </c>
      <c r="AF227" s="33">
        <f t="shared" si="296"/>
        <v>0</v>
      </c>
      <c r="AG227" s="33">
        <f t="shared" si="296"/>
        <v>0</v>
      </c>
      <c r="AH227" s="33">
        <f t="shared" si="296"/>
        <v>0</v>
      </c>
      <c r="AI227" s="33">
        <f t="shared" si="296"/>
        <v>0</v>
      </c>
      <c r="AJ227" s="33">
        <f t="shared" si="296"/>
        <v>0</v>
      </c>
      <c r="AK227" s="33">
        <f t="shared" si="296"/>
        <v>0</v>
      </c>
      <c r="AL227" s="33">
        <f t="shared" si="296"/>
        <v>0</v>
      </c>
      <c r="AM227" s="33">
        <f t="shared" si="296"/>
        <v>0</v>
      </c>
      <c r="AN227" s="33">
        <f t="shared" ref="AN227:BS227" si="297">+IF(IFERROR((AN224-AN225+AN226)*AN223,0)&lt;0,(AN224-AN225+AN226)*AN223,0)</f>
        <v>0</v>
      </c>
      <c r="AO227" s="33">
        <f t="shared" si="297"/>
        <v>0</v>
      </c>
      <c r="AP227" s="33">
        <f t="shared" si="297"/>
        <v>0</v>
      </c>
      <c r="AQ227" s="33">
        <f t="shared" si="297"/>
        <v>0</v>
      </c>
      <c r="AR227" s="33">
        <f t="shared" si="297"/>
        <v>0</v>
      </c>
      <c r="AS227" s="33">
        <f t="shared" si="297"/>
        <v>0</v>
      </c>
      <c r="AT227" s="33">
        <f t="shared" si="297"/>
        <v>0</v>
      </c>
      <c r="AU227" s="33">
        <f t="shared" si="297"/>
        <v>0</v>
      </c>
      <c r="AV227" s="33">
        <f t="shared" si="297"/>
        <v>0</v>
      </c>
      <c r="AW227" s="33">
        <f t="shared" si="297"/>
        <v>0</v>
      </c>
      <c r="AX227" s="33">
        <f t="shared" si="297"/>
        <v>0</v>
      </c>
      <c r="AY227" s="33">
        <f t="shared" si="297"/>
        <v>0</v>
      </c>
      <c r="AZ227" s="33">
        <f t="shared" si="297"/>
        <v>0</v>
      </c>
      <c r="BA227" s="33">
        <f t="shared" si="297"/>
        <v>0</v>
      </c>
      <c r="BB227" s="33">
        <f t="shared" si="297"/>
        <v>0</v>
      </c>
      <c r="BC227" s="33">
        <f t="shared" si="297"/>
        <v>0</v>
      </c>
      <c r="BD227" s="33">
        <f t="shared" si="297"/>
        <v>0</v>
      </c>
      <c r="BE227" s="33">
        <f t="shared" si="297"/>
        <v>0</v>
      </c>
      <c r="BF227" s="33">
        <f t="shared" si="297"/>
        <v>0</v>
      </c>
      <c r="BG227" s="33">
        <f t="shared" si="297"/>
        <v>0</v>
      </c>
      <c r="BH227" s="33">
        <f t="shared" si="297"/>
        <v>0</v>
      </c>
      <c r="BI227" s="33">
        <f t="shared" si="297"/>
        <v>0</v>
      </c>
      <c r="BJ227" s="33">
        <f t="shared" si="297"/>
        <v>0</v>
      </c>
      <c r="BK227" s="33">
        <f t="shared" si="297"/>
        <v>0</v>
      </c>
      <c r="BL227" s="33">
        <f t="shared" si="297"/>
        <v>0</v>
      </c>
      <c r="BM227" s="33">
        <f t="shared" si="297"/>
        <v>0</v>
      </c>
      <c r="BN227" s="33">
        <f t="shared" si="297"/>
        <v>0</v>
      </c>
      <c r="BO227" s="33">
        <f t="shared" si="297"/>
        <v>0</v>
      </c>
      <c r="BP227" s="33">
        <f t="shared" si="297"/>
        <v>0</v>
      </c>
      <c r="BQ227" s="33">
        <f t="shared" si="297"/>
        <v>0</v>
      </c>
      <c r="BR227" s="33">
        <f t="shared" si="297"/>
        <v>0</v>
      </c>
      <c r="BS227" s="33">
        <f t="shared" si="297"/>
        <v>0</v>
      </c>
      <c r="BT227" s="33">
        <f t="shared" ref="BT227:BY227" si="298">+IF(IFERROR((BT224-BT225+BT226)*BT223,0)&lt;0,(BT224-BT225+BT226)*BT223,0)</f>
        <v>0</v>
      </c>
      <c r="BU227" s="33">
        <f t="shared" si="298"/>
        <v>0</v>
      </c>
      <c r="BV227" s="33">
        <f t="shared" si="298"/>
        <v>0</v>
      </c>
      <c r="BW227" s="33">
        <f t="shared" si="298"/>
        <v>0</v>
      </c>
      <c r="BX227" s="33">
        <f t="shared" si="298"/>
        <v>0</v>
      </c>
      <c r="BY227" s="33">
        <f t="shared" si="298"/>
        <v>0</v>
      </c>
    </row>
    <row r="228" spans="2:77" outlineLevel="1">
      <c r="E228" t="s">
        <v>243</v>
      </c>
      <c r="F228" s="80" t="s">
        <v>423</v>
      </c>
      <c r="G228" s="23"/>
      <c r="H228" s="86">
        <f ca="1">1/(1+Assumptions!$G$213)*IF(G228=0,1,G228)</f>
        <v>0.95979422011920645</v>
      </c>
      <c r="I228" s="86">
        <f ca="1">1/(1+Assumptions!$G$213)*IF(H228=0,1,H228)</f>
        <v>0.92120494497423577</v>
      </c>
      <c r="J228" s="86">
        <f ca="1">1/(1+Assumptions!$G$213)*IF(I228=0,1,I228)</f>
        <v>0.8841671817315031</v>
      </c>
      <c r="K228" s="86">
        <f ca="1">1/(1+Assumptions!$G$213)*IF(J228=0,1,J228)</f>
        <v>0.8486185506449847</v>
      </c>
      <c r="L228" s="86">
        <f ca="1">1/(1+Assumptions!$G$213)*IF(K228=0,1,K228)</f>
        <v>0.81449917999499444</v>
      </c>
      <c r="M228" s="86">
        <f ca="1">1/(1+Assumptions!$G$213)*IF(L228=0,1,L228)</f>
        <v>0.78175160525102882</v>
      </c>
      <c r="N228" s="86">
        <f ca="1">1/(1+Assumptions!$G$213)*IF(M228=0,1,M228)</f>
        <v>0.75032067228884891</v>
      </c>
      <c r="O228" s="86">
        <f ca="1">1/(1+Assumptions!$G$213)*IF(N228=0,1,N228)</f>
        <v>0.72015344449879437</v>
      </c>
      <c r="P228" s="86">
        <f ca="1">1/(1+Assumptions!$G$213)*IF(O228=0,1,O228)</f>
        <v>0.69119911362888053</v>
      </c>
      <c r="Q228" s="86">
        <f ca="1">1/(1+Assumptions!$G$213)*IF(P228=0,1,P228)</f>
        <v>0.66340891421251813</v>
      </c>
      <c r="R228" s="86">
        <f ca="1">1/(1+Assumptions!$G$213)*IF(Q228=0,1,Q228)</f>
        <v>0.63673604143673335</v>
      </c>
      <c r="S228" s="86">
        <f ca="1">1/(1+Assumptions!$G$213)*IF(R228=0,1,R228)</f>
        <v>0.61113557231256022</v>
      </c>
      <c r="T228" s="86">
        <f ca="1">1/(1+Assumptions!$G$213)*IF(S228=0,1,S228)</f>
        <v>0.58656439001483862</v>
      </c>
      <c r="U228" s="86">
        <f ca="1">1/(1+Assumptions!$G$213)*IF(T228=0,1,T228)</f>
        <v>0.56298111126399009</v>
      </c>
      <c r="V228" s="86">
        <f ca="1">1/(1+Assumptions!$G$213)*IF(U228=0,1,U228)</f>
        <v>0.54034601662746551</v>
      </c>
      <c r="W228" s="86">
        <f ca="1">1/(1+Assumptions!$G$213)*IF(V228=0,1,V228)</f>
        <v>0.51862098362347797</v>
      </c>
      <c r="X228" s="86">
        <f ca="1">1/(1+Assumptions!$G$213)*IF(W228=0,1,W228)</f>
        <v>0.4977694225143518</v>
      </c>
      <c r="Y228" s="86">
        <f ca="1">1/(1+Assumptions!$G$213)*IF(X228=0,1,X228)</f>
        <v>0.47775621468135004</v>
      </c>
      <c r="Z228" s="86">
        <f ca="1">1/(1+Assumptions!$G$213)*IF(Y228=0,1,Y228)</f>
        <v>0.45854765347719056</v>
      </c>
      <c r="AA228" s="86">
        <f ca="1">1/(1+Assumptions!$G$213)*IF(Z228=0,1,Z228)</f>
        <v>0.44011138745663225</v>
      </c>
      <c r="AB228" s="86">
        <f ca="1">1/(1+Assumptions!$G$213)*IF(AA228=0,1,AA228)</f>
        <v>0.42241636588952025</v>
      </c>
      <c r="AC228" s="86">
        <f ca="1">1/(1+Assumptions!$G$213)*IF(AB228=0,1,AB228)</f>
        <v>0.40543278646452147</v>
      </c>
      <c r="AD228" s="86">
        <f ca="1">1/(1+Assumptions!$G$213)*IF(AC228=0,1,AC228)</f>
        <v>0.38913204509547217</v>
      </c>
      <c r="AE228" s="86">
        <f ca="1">1/(1+Assumptions!$G$213)*IF(AD228=0,1,AD228)</f>
        <v>0.37348668774580057</v>
      </c>
      <c r="AF228" s="86">
        <f ca="1">1/(1+Assumptions!$G$213)*IF(AE228=0,1,AE228)</f>
        <v>0.35847036418988626</v>
      </c>
      <c r="AG228" s="86">
        <f ca="1">1/(1+Assumptions!$G$213)*IF(AF228=0,1,AF228)</f>
        <v>0.34405778363347977</v>
      </c>
      <c r="AH228" s="86">
        <f ca="1">1/(1+Assumptions!$G$213)*IF(AG228=0,1,AG228)</f>
        <v>0.33022467211843837</v>
      </c>
      <c r="AI228" s="86">
        <f ca="1">1/(1+Assumptions!$G$213)*IF(AH228=0,1,AH228)</f>
        <v>0.3169477316400372</v>
      </c>
      <c r="AJ228" s="86">
        <f ca="1">1/(1+Assumptions!$G$213)*IF(AI228=0,1,AI228)</f>
        <v>0.30420460090800105</v>
      </c>
      <c r="AK228" s="86">
        <f ca="1">1/(1+Assumptions!$G$213)*IF(AJ228=0,1,AJ228)</f>
        <v>0.29197381768516933</v>
      </c>
      <c r="AL228" s="86">
        <f ca="1">1/(1+Assumptions!$G$213)*IF(AK228=0,1,AK228)</f>
        <v>0.28023478264036444</v>
      </c>
      <c r="AM228" s="86">
        <f ca="1">1/(1+Assumptions!$G$213)*IF(AL228=0,1,AL228)</f>
        <v>0.26896772465458391</v>
      </c>
      <c r="AN228" s="86">
        <f ca="1">1/(1+Assumptions!$G$213)*IF(AM228=0,1,AM228)</f>
        <v>0.2581536675220838</v>
      </c>
      <c r="AO228" s="86">
        <f ca="1">1/(1+Assumptions!$G$213)*IF(AN228=0,1,AN228)</f>
        <v>0.24777439799027134</v>
      </c>
      <c r="AP228" s="86">
        <f ca="1">1/(1+Assumptions!$G$213)*IF(AO228=0,1,AO228)</f>
        <v>0.23781243508457836</v>
      </c>
      <c r="AQ228" s="86">
        <f ca="1">1/(1+Assumptions!$G$213)*IF(AP228=0,1,AP228)</f>
        <v>0.2282510006666523</v>
      </c>
      <c r="AR228" s="86">
        <f ca="1">1/(1+Assumptions!$G$213)*IF(AQ228=0,1,AQ228)</f>
        <v>0.21907399117627802</v>
      </c>
      <c r="AS228" s="86">
        <f ca="1">1/(1+Assumptions!$G$213)*IF(AR228=0,1,AR228)</f>
        <v>0.21026595050943767</v>
      </c>
      <c r="AT228" s="86">
        <f ca="1">1/(1+Assumptions!$G$213)*IF(AS228=0,1,AS228)</f>
        <v>0.20181204398682939</v>
      </c>
      <c r="AU228" s="86">
        <f ca="1">1/(1+Assumptions!$G$213)*IF(AT228=0,1,AT228)</f>
        <v>0.1936980333690019</v>
      </c>
      <c r="AV228" s="86">
        <f ca="1">1/(1+Assumptions!$G$213)*IF(AU228=0,1,AU228)</f>
        <v>0.18591025287602522</v>
      </c>
      <c r="AW228" s="86">
        <f ca="1">1/(1+Assumptions!$G$213)*IF(AV228=0,1,AV228)</f>
        <v>0.17843558617130909</v>
      </c>
      <c r="AX228" s="86">
        <f ca="1">1/(1+Assumptions!$G$213)*IF(AW228=0,1,AW228)</f>
        <v>0.17126144427080506</v>
      </c>
      <c r="AY228" s="86">
        <f ca="1">1/(1+Assumptions!$G$213)*IF(AX228=0,1,AX228)</f>
        <v>0.16437574434038627</v>
      </c>
      <c r="AZ228" s="86">
        <f ca="1">1/(1+Assumptions!$G$213)*IF(AY228=0,1,AY228)</f>
        <v>0.1577668893456951</v>
      </c>
      <c r="BA228" s="86">
        <f ca="1">1/(1+Assumptions!$G$213)*IF(AZ228=0,1,AZ228)</f>
        <v>0.15142374852018459</v>
      </c>
      <c r="BB228" s="86">
        <f ca="1">1/(1+Assumptions!$G$213)*IF(BA228=0,1,BA228)</f>
        <v>0.14533563861845741</v>
      </c>
      <c r="BC228" s="86">
        <f ca="1">1/(1+Assumptions!$G$213)*IF(BB228=0,1,BB228)</f>
        <v>0.13949230592332915</v>
      </c>
      <c r="BD228" s="86">
        <f ca="1">1/(1+Assumptions!$G$213)*IF(BC228=0,1,BC228)</f>
        <v>0.13388390897631147</v>
      </c>
      <c r="BE228" s="86">
        <f ca="1">1/(1+Assumptions!$G$213)*IF(BD228=0,1,BD228)</f>
        <v>0.1285010020024297</v>
      </c>
      <c r="BF228" s="86">
        <f ca="1">1/(1+Assumptions!$G$213)*IF(BE228=0,1,BE228)</f>
        <v>0.1233345190014586</v>
      </c>
      <c r="BG228" s="86">
        <f ca="1">1/(1+Assumptions!$G$213)*IF(BF228=0,1,BF228)</f>
        <v>0.11837575847878241</v>
      </c>
      <c r="BH228" s="86">
        <f ca="1">1/(1+Assumptions!$G$213)*IF(BG228=0,1,BG228)</f>
        <v>0.11361636879016251</v>
      </c>
      <c r="BI228" s="86">
        <f ca="1">1/(1+Assumptions!$G$213)*IF(BH228=0,1,BH228)</f>
        <v>0.10904833407573018</v>
      </c>
      <c r="BJ228" s="86">
        <f ca="1">1/(1+Assumptions!$G$213)*IF(BI228=0,1,BI228)</f>
        <v>0.10466396075951413</v>
      </c>
      <c r="BK228" s="86">
        <f ca="1">1/(1+Assumptions!$G$213)*IF(BJ228=0,1,BJ228)</f>
        <v>0.10045586459176509</v>
      </c>
      <c r="BL228" s="86">
        <f ca="1">1/(1+Assumptions!$G$213)*IF(BK228=0,1,BK228)</f>
        <v>9.6416958212253781E-2</v>
      </c>
      <c r="BM228" s="86">
        <f ca="1">1/(1+Assumptions!$G$213)*IF(BL228=0,1,BL228)</f>
        <v>9.254043921359624E-2</v>
      </c>
      <c r="BN228" s="86">
        <f ca="1">1/(1+Assumptions!$G$213)*IF(BM228=0,1,BM228)</f>
        <v>8.8819778684502429E-2</v>
      </c>
      <c r="BO228" s="86">
        <f ca="1">1/(1+Assumptions!$G$213)*IF(BN228=0,1,BN228)</f>
        <v>8.5248710213652532E-2</v>
      </c>
      <c r="BP228" s="86">
        <f ca="1">1/(1+Assumptions!$G$213)*IF(BO228=0,1,BO228)</f>
        <v>8.1821219335680859E-2</v>
      </c>
      <c r="BQ228" s="86">
        <f ca="1">1/(1+Assumptions!$G$213)*IF(BP228=0,1,BP228)</f>
        <v>7.853153340149234E-2</v>
      </c>
      <c r="BR228" s="86">
        <f ca="1">1/(1+Assumptions!$G$213)*IF(BQ228=0,1,BQ228)</f>
        <v>7.5374111855850759E-2</v>
      </c>
      <c r="BS228" s="86">
        <f ca="1">1/(1+Assumptions!$G$213)*IF(BR228=0,1,BR228)</f>
        <v>7.2343636905864109E-2</v>
      </c>
      <c r="BT228" s="86">
        <f ca="1">1/(1+Assumptions!$G$213)*IF(BS228=0,1,BS228)</f>
        <v>6.943500456465089E-2</v>
      </c>
      <c r="BU228" s="86">
        <f ca="1">1/(1+Assumptions!$G$213)*IF(BT228=0,1,BT228)</f>
        <v>6.6643316055102639E-2</v>
      </c>
      <c r="BV228" s="86">
        <f ca="1">1/(1+Assumptions!$G$213)*IF(BU228=0,1,BU228)</f>
        <v>6.396386955926503E-2</v>
      </c>
      <c r="BW228" s="86">
        <f ca="1">1/(1+Assumptions!$G$213)*IF(BV228=0,1,BV228)</f>
        <v>6.1392152299441428E-2</v>
      </c>
      <c r="BX228" s="86">
        <f ca="1">1/(1+Assumptions!$G$213)*IF(BW228=0,1,BW228)</f>
        <v>5.8923832937681934E-2</v>
      </c>
      <c r="BY228" s="86">
        <f ca="1">1/(1+Assumptions!$G$213)*IF(BX228=0,1,BX228)</f>
        <v>5.6554754280856843E-2</v>
      </c>
    </row>
    <row r="229" spans="2:77" outlineLevel="1">
      <c r="E229" t="s">
        <v>538</v>
      </c>
      <c r="F229" s="23" t="s">
        <v>356</v>
      </c>
      <c r="G229" s="23"/>
      <c r="H229" s="33">
        <f t="shared" ref="H229:AM229" ca="1" si="299">+H228*H227</f>
        <v>0</v>
      </c>
      <c r="I229" s="33">
        <f t="shared" ca="1" si="299"/>
        <v>0</v>
      </c>
      <c r="J229" s="33">
        <f t="shared" ca="1" si="299"/>
        <v>0</v>
      </c>
      <c r="K229" s="33">
        <f t="shared" ca="1" si="299"/>
        <v>0</v>
      </c>
      <c r="L229" s="33">
        <f t="shared" ca="1" si="299"/>
        <v>0</v>
      </c>
      <c r="M229" s="33">
        <f t="shared" ca="1" si="299"/>
        <v>0</v>
      </c>
      <c r="N229" s="33">
        <f t="shared" ca="1" si="299"/>
        <v>0</v>
      </c>
      <c r="O229" s="33">
        <f t="shared" ca="1" si="299"/>
        <v>0</v>
      </c>
      <c r="P229" s="33">
        <f t="shared" ca="1" si="299"/>
        <v>0</v>
      </c>
      <c r="Q229" s="33">
        <f t="shared" ca="1" si="299"/>
        <v>0</v>
      </c>
      <c r="R229" s="33">
        <f t="shared" ca="1" si="299"/>
        <v>0</v>
      </c>
      <c r="S229" s="33">
        <f t="shared" ca="1" si="299"/>
        <v>0</v>
      </c>
      <c r="T229" s="33">
        <f t="shared" ca="1" si="299"/>
        <v>0</v>
      </c>
      <c r="U229" s="33">
        <f t="shared" ca="1" si="299"/>
        <v>0</v>
      </c>
      <c r="V229" s="33">
        <f t="shared" ca="1" si="299"/>
        <v>0</v>
      </c>
      <c r="W229" s="33">
        <f t="shared" ca="1" si="299"/>
        <v>0</v>
      </c>
      <c r="X229" s="33">
        <f t="shared" ca="1" si="299"/>
        <v>0</v>
      </c>
      <c r="Y229" s="33">
        <f t="shared" ca="1" si="299"/>
        <v>0</v>
      </c>
      <c r="Z229" s="33">
        <f t="shared" ca="1" si="299"/>
        <v>0</v>
      </c>
      <c r="AA229" s="33">
        <f t="shared" ca="1" si="299"/>
        <v>0</v>
      </c>
      <c r="AB229" s="33">
        <f t="shared" ca="1" si="299"/>
        <v>0</v>
      </c>
      <c r="AC229" s="33">
        <f t="shared" ca="1" si="299"/>
        <v>0</v>
      </c>
      <c r="AD229" s="33">
        <f t="shared" ca="1" si="299"/>
        <v>0</v>
      </c>
      <c r="AE229" s="33">
        <f t="shared" ca="1" si="299"/>
        <v>0</v>
      </c>
      <c r="AF229" s="33">
        <f t="shared" ca="1" si="299"/>
        <v>0</v>
      </c>
      <c r="AG229" s="33">
        <f t="shared" ca="1" si="299"/>
        <v>0</v>
      </c>
      <c r="AH229" s="33">
        <f t="shared" ca="1" si="299"/>
        <v>0</v>
      </c>
      <c r="AI229" s="33">
        <f t="shared" ca="1" si="299"/>
        <v>0</v>
      </c>
      <c r="AJ229" s="33">
        <f t="shared" ca="1" si="299"/>
        <v>0</v>
      </c>
      <c r="AK229" s="33">
        <f t="shared" ca="1" si="299"/>
        <v>0</v>
      </c>
      <c r="AL229" s="33">
        <f t="shared" ca="1" si="299"/>
        <v>0</v>
      </c>
      <c r="AM229" s="33">
        <f t="shared" ca="1" si="299"/>
        <v>0</v>
      </c>
      <c r="AN229" s="33">
        <f t="shared" ref="AN229:BS229" ca="1" si="300">+AN228*AN227</f>
        <v>0</v>
      </c>
      <c r="AO229" s="33">
        <f t="shared" ca="1" si="300"/>
        <v>0</v>
      </c>
      <c r="AP229" s="33">
        <f t="shared" ca="1" si="300"/>
        <v>0</v>
      </c>
      <c r="AQ229" s="33">
        <f t="shared" ca="1" si="300"/>
        <v>0</v>
      </c>
      <c r="AR229" s="33">
        <f t="shared" ca="1" si="300"/>
        <v>0</v>
      </c>
      <c r="AS229" s="33">
        <f t="shared" ca="1" si="300"/>
        <v>0</v>
      </c>
      <c r="AT229" s="33">
        <f t="shared" ca="1" si="300"/>
        <v>0</v>
      </c>
      <c r="AU229" s="33">
        <f t="shared" ca="1" si="300"/>
        <v>0</v>
      </c>
      <c r="AV229" s="33">
        <f t="shared" ca="1" si="300"/>
        <v>0</v>
      </c>
      <c r="AW229" s="33">
        <f t="shared" ca="1" si="300"/>
        <v>0</v>
      </c>
      <c r="AX229" s="33">
        <f t="shared" ca="1" si="300"/>
        <v>0</v>
      </c>
      <c r="AY229" s="33">
        <f t="shared" ca="1" si="300"/>
        <v>0</v>
      </c>
      <c r="AZ229" s="33">
        <f t="shared" ca="1" si="300"/>
        <v>0</v>
      </c>
      <c r="BA229" s="33">
        <f t="shared" ca="1" si="300"/>
        <v>0</v>
      </c>
      <c r="BB229" s="33">
        <f t="shared" ca="1" si="300"/>
        <v>0</v>
      </c>
      <c r="BC229" s="33">
        <f t="shared" ca="1" si="300"/>
        <v>0</v>
      </c>
      <c r="BD229" s="33">
        <f t="shared" ca="1" si="300"/>
        <v>0</v>
      </c>
      <c r="BE229" s="33">
        <f t="shared" ca="1" si="300"/>
        <v>0</v>
      </c>
      <c r="BF229" s="33">
        <f t="shared" ca="1" si="300"/>
        <v>0</v>
      </c>
      <c r="BG229" s="33">
        <f t="shared" ca="1" si="300"/>
        <v>0</v>
      </c>
      <c r="BH229" s="33">
        <f t="shared" ca="1" si="300"/>
        <v>0</v>
      </c>
      <c r="BI229" s="33">
        <f t="shared" ca="1" si="300"/>
        <v>0</v>
      </c>
      <c r="BJ229" s="33">
        <f t="shared" ca="1" si="300"/>
        <v>0</v>
      </c>
      <c r="BK229" s="33">
        <f t="shared" ca="1" si="300"/>
        <v>0</v>
      </c>
      <c r="BL229" s="33">
        <f t="shared" ca="1" si="300"/>
        <v>0</v>
      </c>
      <c r="BM229" s="33">
        <f t="shared" ca="1" si="300"/>
        <v>0</v>
      </c>
      <c r="BN229" s="33">
        <f t="shared" ca="1" si="300"/>
        <v>0</v>
      </c>
      <c r="BO229" s="33">
        <f t="shared" ca="1" si="300"/>
        <v>0</v>
      </c>
      <c r="BP229" s="33">
        <f t="shared" ca="1" si="300"/>
        <v>0</v>
      </c>
      <c r="BQ229" s="33">
        <f t="shared" ca="1" si="300"/>
        <v>0</v>
      </c>
      <c r="BR229" s="33">
        <f t="shared" ca="1" si="300"/>
        <v>0</v>
      </c>
      <c r="BS229" s="33">
        <f t="shared" ca="1" si="300"/>
        <v>0</v>
      </c>
      <c r="BT229" s="33">
        <f t="shared" ref="BT229:BY229" ca="1" si="301">+BT228*BT227</f>
        <v>0</v>
      </c>
      <c r="BU229" s="33">
        <f t="shared" ca="1" si="301"/>
        <v>0</v>
      </c>
      <c r="BV229" s="33">
        <f t="shared" ca="1" si="301"/>
        <v>0</v>
      </c>
      <c r="BW229" s="33">
        <f t="shared" ca="1" si="301"/>
        <v>0</v>
      </c>
      <c r="BX229" s="33">
        <f t="shared" ca="1" si="301"/>
        <v>0</v>
      </c>
      <c r="BY229" s="33">
        <f t="shared" ca="1" si="301"/>
        <v>0</v>
      </c>
    </row>
    <row r="230" spans="2:77" outlineLevel="1">
      <c r="F230" s="23"/>
      <c r="G230" s="23"/>
      <c r="BF230" s="33"/>
      <c r="BG230" s="33"/>
      <c r="BH230" s="33"/>
      <c r="BI230" s="33"/>
      <c r="BJ230" s="33"/>
      <c r="BK230" s="33"/>
      <c r="BL230" s="33"/>
      <c r="BM230" s="33"/>
      <c r="BN230" s="33"/>
      <c r="BO230" s="33"/>
      <c r="BP230" s="33"/>
      <c r="BQ230" s="33"/>
      <c r="BR230" s="33"/>
      <c r="BS230" s="33"/>
      <c r="BT230" s="33"/>
      <c r="BU230" s="33"/>
      <c r="BV230" s="33"/>
      <c r="BW230" s="33"/>
      <c r="BX230" s="33"/>
      <c r="BY230" s="33"/>
    </row>
    <row r="231" spans="2:77" outlineLevel="1">
      <c r="E231" t="s">
        <v>539</v>
      </c>
      <c r="F231" s="23" t="s">
        <v>356</v>
      </c>
      <c r="G231" s="23"/>
      <c r="H231" s="33">
        <f t="shared" ref="H231:AM231" ca="1" si="302">+IFERROR(MAX(H225,H224)*H223*H228,0)</f>
        <v>0</v>
      </c>
      <c r="I231" s="33">
        <f t="shared" ca="1" si="302"/>
        <v>0</v>
      </c>
      <c r="J231" s="33">
        <f t="shared" ca="1" si="302"/>
        <v>0</v>
      </c>
      <c r="K231" s="33">
        <f t="shared" ca="1" si="302"/>
        <v>0</v>
      </c>
      <c r="L231" s="33">
        <f t="shared" ca="1" si="302"/>
        <v>0</v>
      </c>
      <c r="M231" s="33">
        <f t="shared" ca="1" si="302"/>
        <v>0</v>
      </c>
      <c r="N231" s="33">
        <f t="shared" ca="1" si="302"/>
        <v>0</v>
      </c>
      <c r="O231" s="33">
        <f t="shared" ca="1" si="302"/>
        <v>0</v>
      </c>
      <c r="P231" s="33">
        <f t="shared" ca="1" si="302"/>
        <v>0</v>
      </c>
      <c r="Q231" s="33">
        <f t="shared" ca="1" si="302"/>
        <v>0</v>
      </c>
      <c r="R231" s="33">
        <f t="shared" ca="1" si="302"/>
        <v>0</v>
      </c>
      <c r="S231" s="33">
        <f t="shared" ca="1" si="302"/>
        <v>0</v>
      </c>
      <c r="T231" s="33">
        <f t="shared" ca="1" si="302"/>
        <v>0</v>
      </c>
      <c r="U231" s="33">
        <f t="shared" ca="1" si="302"/>
        <v>0</v>
      </c>
      <c r="V231" s="33">
        <f t="shared" ca="1" si="302"/>
        <v>0</v>
      </c>
      <c r="W231" s="33">
        <f t="shared" ca="1" si="302"/>
        <v>0</v>
      </c>
      <c r="X231" s="33">
        <f t="shared" ca="1" si="302"/>
        <v>0</v>
      </c>
      <c r="Y231" s="33">
        <f t="shared" ca="1" si="302"/>
        <v>0</v>
      </c>
      <c r="Z231" s="33">
        <f t="shared" ca="1" si="302"/>
        <v>0</v>
      </c>
      <c r="AA231" s="33">
        <f t="shared" ca="1" si="302"/>
        <v>0</v>
      </c>
      <c r="AB231" s="33">
        <f t="shared" ca="1" si="302"/>
        <v>0</v>
      </c>
      <c r="AC231" s="33">
        <f t="shared" ca="1" si="302"/>
        <v>0</v>
      </c>
      <c r="AD231" s="33">
        <f t="shared" ca="1" si="302"/>
        <v>0</v>
      </c>
      <c r="AE231" s="33">
        <f t="shared" ca="1" si="302"/>
        <v>0</v>
      </c>
      <c r="AF231" s="33">
        <f t="shared" ca="1" si="302"/>
        <v>0</v>
      </c>
      <c r="AG231" s="33">
        <f t="shared" ca="1" si="302"/>
        <v>0</v>
      </c>
      <c r="AH231" s="33">
        <f t="shared" ca="1" si="302"/>
        <v>0</v>
      </c>
      <c r="AI231" s="33">
        <f t="shared" ca="1" si="302"/>
        <v>0</v>
      </c>
      <c r="AJ231" s="33">
        <f t="shared" ca="1" si="302"/>
        <v>0</v>
      </c>
      <c r="AK231" s="33">
        <f t="shared" ca="1" si="302"/>
        <v>0</v>
      </c>
      <c r="AL231" s="33">
        <f t="shared" ca="1" si="302"/>
        <v>0</v>
      </c>
      <c r="AM231" s="33">
        <f t="shared" ca="1" si="302"/>
        <v>0</v>
      </c>
      <c r="AN231" s="33">
        <f t="shared" ref="AN231:BS231" ca="1" si="303">+IFERROR(MAX(AN225,AN224)*AN223*AN228,0)</f>
        <v>0</v>
      </c>
      <c r="AO231" s="33">
        <f t="shared" ca="1" si="303"/>
        <v>0</v>
      </c>
      <c r="AP231" s="33">
        <f t="shared" ca="1" si="303"/>
        <v>0</v>
      </c>
      <c r="AQ231" s="33">
        <f t="shared" ca="1" si="303"/>
        <v>0</v>
      </c>
      <c r="AR231" s="33">
        <f t="shared" ca="1" si="303"/>
        <v>0</v>
      </c>
      <c r="AS231" s="33">
        <f t="shared" ca="1" si="303"/>
        <v>0</v>
      </c>
      <c r="AT231" s="33">
        <f t="shared" ca="1" si="303"/>
        <v>0</v>
      </c>
      <c r="AU231" s="33">
        <f t="shared" ca="1" si="303"/>
        <v>0</v>
      </c>
      <c r="AV231" s="33">
        <f t="shared" ca="1" si="303"/>
        <v>0</v>
      </c>
      <c r="AW231" s="33">
        <f t="shared" ca="1" si="303"/>
        <v>0</v>
      </c>
      <c r="AX231" s="33">
        <f t="shared" ca="1" si="303"/>
        <v>0</v>
      </c>
      <c r="AY231" s="33">
        <f t="shared" ca="1" si="303"/>
        <v>0</v>
      </c>
      <c r="AZ231" s="33">
        <f t="shared" ca="1" si="303"/>
        <v>0</v>
      </c>
      <c r="BA231" s="33">
        <f t="shared" ca="1" si="303"/>
        <v>0</v>
      </c>
      <c r="BB231" s="33">
        <f t="shared" ca="1" si="303"/>
        <v>0</v>
      </c>
      <c r="BC231" s="33">
        <f t="shared" ca="1" si="303"/>
        <v>0</v>
      </c>
      <c r="BD231" s="33">
        <f t="shared" ca="1" si="303"/>
        <v>0</v>
      </c>
      <c r="BE231" s="33">
        <f t="shared" ca="1" si="303"/>
        <v>0</v>
      </c>
      <c r="BF231" s="33">
        <f t="shared" ca="1" si="303"/>
        <v>0</v>
      </c>
      <c r="BG231" s="33">
        <f t="shared" ca="1" si="303"/>
        <v>0</v>
      </c>
      <c r="BH231" s="33">
        <f t="shared" ca="1" si="303"/>
        <v>0</v>
      </c>
      <c r="BI231" s="33">
        <f t="shared" ca="1" si="303"/>
        <v>0</v>
      </c>
      <c r="BJ231" s="33">
        <f t="shared" ca="1" si="303"/>
        <v>0</v>
      </c>
      <c r="BK231" s="33">
        <f t="shared" ca="1" si="303"/>
        <v>0</v>
      </c>
      <c r="BL231" s="33">
        <f t="shared" ca="1" si="303"/>
        <v>0</v>
      </c>
      <c r="BM231" s="33">
        <f t="shared" ca="1" si="303"/>
        <v>0</v>
      </c>
      <c r="BN231" s="33">
        <f t="shared" ca="1" si="303"/>
        <v>0</v>
      </c>
      <c r="BO231" s="33">
        <f t="shared" ca="1" si="303"/>
        <v>0</v>
      </c>
      <c r="BP231" s="33">
        <f t="shared" ca="1" si="303"/>
        <v>0</v>
      </c>
      <c r="BQ231" s="33">
        <f t="shared" ca="1" si="303"/>
        <v>0</v>
      </c>
      <c r="BR231" s="33">
        <f t="shared" ca="1" si="303"/>
        <v>0</v>
      </c>
      <c r="BS231" s="33">
        <f t="shared" ca="1" si="303"/>
        <v>0</v>
      </c>
      <c r="BT231" s="33">
        <f t="shared" ref="BT231:BY231" ca="1" si="304">+IFERROR(MAX(BT225,BT224)*BT223*BT228,0)</f>
        <v>0</v>
      </c>
      <c r="BU231" s="33">
        <f t="shared" ca="1" si="304"/>
        <v>0</v>
      </c>
      <c r="BV231" s="33">
        <f t="shared" ca="1" si="304"/>
        <v>0</v>
      </c>
      <c r="BW231" s="33">
        <f t="shared" ca="1" si="304"/>
        <v>0</v>
      </c>
      <c r="BX231" s="33">
        <f t="shared" ca="1" si="304"/>
        <v>0</v>
      </c>
      <c r="BY231" s="33">
        <f t="shared" ca="1" si="304"/>
        <v>0</v>
      </c>
    </row>
    <row r="232" spans="2:77" outlineLevel="1">
      <c r="E232" t="s">
        <v>540</v>
      </c>
      <c r="F232" s="23" t="s">
        <v>356</v>
      </c>
      <c r="G232" s="23"/>
      <c r="H232" s="33">
        <f ca="1">+IFERROR(MAX(H225+Assumptions!$H$504,H224)*H223*H228,0)</f>
        <v>0</v>
      </c>
      <c r="I232" s="33">
        <f ca="1">+IFERROR(MAX(I225+Assumptions!$H$504,I224)*I223*I228,0)</f>
        <v>0</v>
      </c>
      <c r="J232" s="33">
        <f ca="1">+IFERROR(MAX(J225+Assumptions!$H$504,J224)*J223*J228,0)</f>
        <v>0</v>
      </c>
      <c r="K232" s="33">
        <f ca="1">+IFERROR(MAX(K225+Assumptions!$H$504,K224)*K223*K228,0)</f>
        <v>0</v>
      </c>
      <c r="L232" s="33">
        <f ca="1">+IFERROR(MAX(L225+Assumptions!$H$504,L224)*L223*L228,0)</f>
        <v>0</v>
      </c>
      <c r="M232" s="33">
        <f ca="1">+IFERROR(MAX(M225+Assumptions!$H$504,M224)*M223*M228,0)</f>
        <v>0</v>
      </c>
      <c r="N232" s="33">
        <f ca="1">+IFERROR(MAX(N225+Assumptions!$H$504,N224)*N223*N228,0)</f>
        <v>0</v>
      </c>
      <c r="O232" s="33">
        <f ca="1">+IFERROR(MAX(O225+Assumptions!$H$504,O224)*O223*O228,0)</f>
        <v>0</v>
      </c>
      <c r="P232" s="33">
        <f ca="1">+IFERROR(MAX(P225+Assumptions!$H$504,P224)*P223*P228,0)</f>
        <v>0</v>
      </c>
      <c r="Q232" s="33">
        <f ca="1">+IFERROR(MAX(Q225+Assumptions!$H$504,Q224)*Q223*Q228,0)</f>
        <v>0</v>
      </c>
      <c r="R232" s="33">
        <f ca="1">+IFERROR(MAX(R225+Assumptions!$H$504,R224)*R223*R228,0)</f>
        <v>0</v>
      </c>
      <c r="S232" s="33">
        <f ca="1">+IFERROR(MAX(S225+Assumptions!$H$504,S224)*S223*S228,0)</f>
        <v>0</v>
      </c>
      <c r="T232" s="33">
        <f ca="1">+IFERROR(MAX(T225+Assumptions!$H$504,T224)*T223*T228,0)</f>
        <v>0</v>
      </c>
      <c r="U232" s="33">
        <f ca="1">+IFERROR(MAX(U225+Assumptions!$H$504,U224)*U223*U228,0)</f>
        <v>0</v>
      </c>
      <c r="V232" s="33">
        <f ca="1">+IFERROR(MAX(V225+Assumptions!$H$504,V224)*V223*V228,0)</f>
        <v>0</v>
      </c>
      <c r="W232" s="33">
        <f ca="1">+IFERROR(MAX(W225+Assumptions!$H$504,W224)*W223*W228,0)</f>
        <v>0</v>
      </c>
      <c r="X232" s="33">
        <f ca="1">+IFERROR(MAX(X225+Assumptions!$H$504,X224)*X223*X228,0)</f>
        <v>0</v>
      </c>
      <c r="Y232" s="33">
        <f ca="1">+IFERROR(MAX(Y225+Assumptions!$H$504,Y224)*Y223*Y228,0)</f>
        <v>0</v>
      </c>
      <c r="Z232" s="33">
        <f ca="1">+IFERROR(MAX(Z225+Assumptions!$H$504,Z224)*Z223*Z228,0)</f>
        <v>0</v>
      </c>
      <c r="AA232" s="33">
        <f ca="1">+IFERROR(MAX(AA225+Assumptions!$H$504,AA224)*AA223*AA228,0)</f>
        <v>0</v>
      </c>
      <c r="AB232" s="33">
        <f ca="1">+IFERROR(MAX(AB225+Assumptions!$H$504,AB224)*AB223*AB228,0)</f>
        <v>0</v>
      </c>
      <c r="AC232" s="33">
        <f ca="1">+IFERROR(MAX(AC225+Assumptions!$H$504,AC224)*AC223*AC228,0)</f>
        <v>0</v>
      </c>
      <c r="AD232" s="33">
        <f ca="1">+IFERROR(MAX(AD225+Assumptions!$H$504,AD224)*AD223*AD228,0)</f>
        <v>0</v>
      </c>
      <c r="AE232" s="33">
        <f ca="1">+IFERROR(MAX(AE225+Assumptions!$H$504,AE224)*AE223*AE228,0)</f>
        <v>0</v>
      </c>
      <c r="AF232" s="33">
        <f ca="1">+IFERROR(MAX(AF225+Assumptions!$H$504,AF224)*AF223*AF228,0)</f>
        <v>0</v>
      </c>
      <c r="AG232" s="33">
        <f ca="1">+IFERROR(MAX(AG225+Assumptions!$H$504,AG224)*AG223*AG228,0)</f>
        <v>0</v>
      </c>
      <c r="AH232" s="33">
        <f ca="1">+IFERROR(MAX(AH225+Assumptions!$H$504,AH224)*AH223*AH228,0)</f>
        <v>0</v>
      </c>
      <c r="AI232" s="33">
        <f ca="1">+IFERROR(MAX(AI225+Assumptions!$H$504,AI224)*AI223*AI228,0)</f>
        <v>0</v>
      </c>
      <c r="AJ232" s="33">
        <f ca="1">+IFERROR(MAX(AJ225+Assumptions!$H$504,AJ224)*AJ223*AJ228,0)</f>
        <v>0</v>
      </c>
      <c r="AK232" s="33">
        <f ca="1">+IFERROR(MAX(AK225+Assumptions!$H$504,AK224)*AK223*AK228,0)</f>
        <v>0</v>
      </c>
      <c r="AL232" s="33">
        <f ca="1">+IFERROR(MAX(AL225+Assumptions!$H$504,AL224)*AL223*AL228,0)</f>
        <v>0</v>
      </c>
      <c r="AM232" s="33">
        <f ca="1">+IFERROR(MAX(AM225+Assumptions!$H$504,AM224)*AM223*AM228,0)</f>
        <v>0</v>
      </c>
      <c r="AN232" s="33">
        <f ca="1">+IFERROR(MAX(AN225+Assumptions!$H$504,AN224)*AN223*AN228,0)</f>
        <v>0</v>
      </c>
      <c r="AO232" s="33">
        <f ca="1">+IFERROR(MAX(AO225+Assumptions!$H$504,AO224)*AO223*AO228,0)</f>
        <v>0</v>
      </c>
      <c r="AP232" s="33">
        <f ca="1">+IFERROR(MAX(AP225+Assumptions!$H$504,AP224)*AP223*AP228,0)</f>
        <v>0</v>
      </c>
      <c r="AQ232" s="33">
        <f ca="1">+IFERROR(MAX(AQ225+Assumptions!$H$504,AQ224)*AQ223*AQ228,0)</f>
        <v>0</v>
      </c>
      <c r="AR232" s="33">
        <f ca="1">+IFERROR(MAX(AR225+Assumptions!$H$504,AR224)*AR223*AR228,0)</f>
        <v>0</v>
      </c>
      <c r="AS232" s="33">
        <f ca="1">+IFERROR(MAX(AS225+Assumptions!$H$504,AS224)*AS223*AS228,0)</f>
        <v>0</v>
      </c>
      <c r="AT232" s="33">
        <f ca="1">+IFERROR(MAX(AT225+Assumptions!$H$504,AT224)*AT223*AT228,0)</f>
        <v>0</v>
      </c>
      <c r="AU232" s="33">
        <f ca="1">+IFERROR(MAX(AU225+Assumptions!$H$504,AU224)*AU223*AU228,0)</f>
        <v>0</v>
      </c>
      <c r="AV232" s="33">
        <f ca="1">+IFERROR(MAX(AV225+Assumptions!$H$504,AV224)*AV223*AV228,0)</f>
        <v>0</v>
      </c>
      <c r="AW232" s="33">
        <f ca="1">+IFERROR(MAX(AW225+Assumptions!$H$504,AW224)*AW223*AW228,0)</f>
        <v>0</v>
      </c>
      <c r="AX232" s="33">
        <f ca="1">+IFERROR(MAX(AX225+Assumptions!$H$504,AX224)*AX223*AX228,0)</f>
        <v>0</v>
      </c>
      <c r="AY232" s="33">
        <f ca="1">+IFERROR(MAX(AY225+Assumptions!$H$504,AY224)*AY223*AY228,0)</f>
        <v>0</v>
      </c>
      <c r="AZ232" s="33">
        <f ca="1">+IFERROR(MAX(AZ225+Assumptions!$H$504,AZ224)*AZ223*AZ228,0)</f>
        <v>0</v>
      </c>
      <c r="BA232" s="33">
        <f ca="1">+IFERROR(MAX(BA225+Assumptions!$H$504,BA224)*BA223*BA228,0)</f>
        <v>0</v>
      </c>
      <c r="BB232" s="33">
        <f ca="1">+IFERROR(MAX(BB225+Assumptions!$H$504,BB224)*BB223*BB228,0)</f>
        <v>0</v>
      </c>
      <c r="BC232" s="33">
        <f ca="1">+IFERROR(MAX(BC225+Assumptions!$H$504,BC224)*BC223*BC228,0)</f>
        <v>0</v>
      </c>
      <c r="BD232" s="33">
        <f ca="1">+IFERROR(MAX(BD225+Assumptions!$H$504,BD224)*BD223*BD228,0)</f>
        <v>0</v>
      </c>
      <c r="BE232" s="33">
        <f ca="1">+IFERROR(MAX(BE225+Assumptions!$H$504,BE224)*BE223*BE228,0)</f>
        <v>0</v>
      </c>
      <c r="BF232" s="33">
        <f ca="1">+IFERROR(MAX(BF225+Assumptions!$H$504,BF224)*BF223*BF228,0)</f>
        <v>0</v>
      </c>
      <c r="BG232" s="33">
        <f ca="1">+IFERROR(MAX(BG225+Assumptions!$H$504,BG224)*BG223*BG228,0)</f>
        <v>0</v>
      </c>
      <c r="BH232" s="33">
        <f ca="1">+IFERROR(MAX(BH225+Assumptions!$H$504,BH224)*BH223*BH228,0)</f>
        <v>0</v>
      </c>
      <c r="BI232" s="33">
        <f ca="1">+IFERROR(MAX(BI225+Assumptions!$H$504,BI224)*BI223*BI228,0)</f>
        <v>0</v>
      </c>
      <c r="BJ232" s="33">
        <f ca="1">+IFERROR(MAX(BJ225+Assumptions!$H$504,BJ224)*BJ223*BJ228,0)</f>
        <v>0</v>
      </c>
      <c r="BK232" s="33">
        <f ca="1">+IFERROR(MAX(BK225+Assumptions!$H$504,BK224)*BK223*BK228,0)</f>
        <v>0</v>
      </c>
      <c r="BL232" s="33">
        <f ca="1">+IFERROR(MAX(BL225+Assumptions!$H$504,BL224)*BL223*BL228,0)</f>
        <v>0</v>
      </c>
      <c r="BM232" s="33">
        <f ca="1">+IFERROR(MAX(BM225+Assumptions!$H$504,BM224)*BM223*BM228,0)</f>
        <v>0</v>
      </c>
      <c r="BN232" s="33">
        <f ca="1">+IFERROR(MAX(BN225+Assumptions!$H$504,BN224)*BN223*BN228,0)</f>
        <v>0</v>
      </c>
      <c r="BO232" s="33">
        <f ca="1">+IFERROR(MAX(BO225+Assumptions!$H$504,BO224)*BO223*BO228,0)</f>
        <v>0</v>
      </c>
      <c r="BP232" s="33">
        <f ca="1">+IFERROR(MAX(BP225+Assumptions!$H$504,BP224)*BP223*BP228,0)</f>
        <v>0</v>
      </c>
      <c r="BQ232" s="33">
        <f ca="1">+IFERROR(MAX(BQ225+Assumptions!$H$504,BQ224)*BQ223*BQ228,0)</f>
        <v>0</v>
      </c>
      <c r="BR232" s="33">
        <f ca="1">+IFERROR(MAX(BR225+Assumptions!$H$504,BR224)*BR223*BR228,0)</f>
        <v>0</v>
      </c>
      <c r="BS232" s="33">
        <f ca="1">+IFERROR(MAX(BS225+Assumptions!$H$504,BS224)*BS223*BS228,0)</f>
        <v>0</v>
      </c>
      <c r="BT232" s="33">
        <f ca="1">+IFERROR(MAX(BT225+Assumptions!$H$504,BT224)*BT223*BT228,0)</f>
        <v>0</v>
      </c>
      <c r="BU232" s="33">
        <f ca="1">+IFERROR(MAX(BU225+Assumptions!$H$504,BU224)*BU223*BU228,0)</f>
        <v>0</v>
      </c>
      <c r="BV232" s="33">
        <f ca="1">+IFERROR(MAX(BV225+Assumptions!$H$504,BV224)*BV223*BV228,0)</f>
        <v>0</v>
      </c>
      <c r="BW232" s="33">
        <f ca="1">+IFERROR(MAX(BW225+Assumptions!$H$504,BW224)*BW223*BW228,0)</f>
        <v>0</v>
      </c>
      <c r="BX232" s="33">
        <f ca="1">+IFERROR(MAX(BX225+Assumptions!$H$504,BX224)*BX223*BX228,0)</f>
        <v>0</v>
      </c>
      <c r="BY232" s="33">
        <f ca="1">+IFERROR(MAX(BY225+Assumptions!$H$504,BY224)*BY223*BY228,0)</f>
        <v>0</v>
      </c>
    </row>
    <row r="233" spans="2:77" outlineLevel="1">
      <c r="E233" t="s">
        <v>541</v>
      </c>
      <c r="F233" s="23" t="s">
        <v>356</v>
      </c>
      <c r="G233" s="23"/>
      <c r="H233" s="33">
        <f ca="1">+IFERROR(MAX(H225+Assumptions!$H$504,H224)*Assumptions!$G$286*Assumptions!$G$268*H228*H191,0)</f>
        <v>0</v>
      </c>
      <c r="I233" s="33">
        <f ca="1">+IFERROR(MAX(I225+Assumptions!$H$504,I224)*Assumptions!$G$286*Assumptions!$G$268*I228*I191,0)</f>
        <v>0</v>
      </c>
      <c r="J233" s="33">
        <f ca="1">+IFERROR(MAX(J225+Assumptions!$H$504,J224)*Assumptions!$G$286*Assumptions!$G$268*J228*J191,0)</f>
        <v>0</v>
      </c>
      <c r="K233" s="33">
        <f ca="1">+IFERROR(MAX(K225+Assumptions!$H$504,K224)*Assumptions!$G$286*Assumptions!$G$268*K228*K191,0)</f>
        <v>0</v>
      </c>
      <c r="L233" s="33">
        <f ca="1">+IFERROR(MAX(L225+Assumptions!$H$504,L224)*Assumptions!$G$286*Assumptions!$G$268*L228*L191,0)</f>
        <v>0</v>
      </c>
      <c r="M233" s="33">
        <f ca="1">+IFERROR(MAX(M225+Assumptions!$H$504,M224)*Assumptions!$G$286*Assumptions!$G$268*M228*M191,0)</f>
        <v>0</v>
      </c>
      <c r="N233" s="33">
        <f ca="1">+IFERROR(MAX(N225+Assumptions!$H$504,N224)*Assumptions!$G$286*Assumptions!$G$268*N228*N191,0)</f>
        <v>0</v>
      </c>
      <c r="O233" s="33">
        <f ca="1">+IFERROR(MAX(O225+Assumptions!$H$504,O224)*Assumptions!$G$286*Assumptions!$G$268*O228*O191,0)</f>
        <v>0</v>
      </c>
      <c r="P233" s="33">
        <f ca="1">+IFERROR(MAX(P225+Assumptions!$H$504,P224)*Assumptions!$G$286*Assumptions!$G$268*P228*P191,0)</f>
        <v>0</v>
      </c>
      <c r="Q233" s="33">
        <f ca="1">+IFERROR(MAX(Q225+Assumptions!$H$504,Q224)*Assumptions!$G$286*Assumptions!$G$268*Q228*Q191,0)</f>
        <v>0</v>
      </c>
      <c r="R233" s="33">
        <f ca="1">+IFERROR(MAX(R225+Assumptions!$H$504,R224)*Assumptions!$G$286*Assumptions!$G$268*R228*R191,0)</f>
        <v>0</v>
      </c>
      <c r="S233" s="33">
        <f ca="1">+IFERROR(MAX(S225+Assumptions!$H$504,S224)*Assumptions!$G$286*Assumptions!$G$268*S228*S191,0)</f>
        <v>0</v>
      </c>
      <c r="T233" s="33">
        <f ca="1">+IFERROR(MAX(T225+Assumptions!$H$504,T224)*Assumptions!$G$286*Assumptions!$G$268*T228*T191,0)</f>
        <v>0</v>
      </c>
      <c r="U233" s="33">
        <f ca="1">+IFERROR(MAX(U225+Assumptions!$H$504,U224)*Assumptions!$G$286*Assumptions!$G$268*U228*U191,0)</f>
        <v>0</v>
      </c>
      <c r="V233" s="33">
        <f ca="1">+IFERROR(MAX(V225+Assumptions!$H$504,V224)*Assumptions!$G$286*Assumptions!$G$268*V228*V191,0)</f>
        <v>0</v>
      </c>
      <c r="W233" s="33">
        <f ca="1">+IFERROR(MAX(W225+Assumptions!$H$504,W224)*Assumptions!$G$286*Assumptions!$G$268*W228*W191,0)</f>
        <v>0</v>
      </c>
      <c r="X233" s="33">
        <f ca="1">+IFERROR(MAX(X225+Assumptions!$H$504,X224)*Assumptions!$G$286*Assumptions!$G$268*X228*X191,0)</f>
        <v>0</v>
      </c>
      <c r="Y233" s="33">
        <f ca="1">+IFERROR(MAX(Y225+Assumptions!$H$504,Y224)*Assumptions!$G$286*Assumptions!$G$268*Y228*Y191,0)</f>
        <v>0</v>
      </c>
      <c r="Z233" s="33">
        <f ca="1">+IFERROR(MAX(Z225+Assumptions!$H$504,Z224)*Assumptions!$G$286*Assumptions!$G$268*Z228*Z191,0)</f>
        <v>0</v>
      </c>
      <c r="AA233" s="33">
        <f ca="1">+IFERROR(MAX(AA225+Assumptions!$H$504,AA224)*Assumptions!$G$286*Assumptions!$G$268*AA228*AA191,0)</f>
        <v>0</v>
      </c>
      <c r="AB233" s="33">
        <f ca="1">+IFERROR(MAX(AB225+Assumptions!$H$504,AB224)*Assumptions!$G$286*Assumptions!$G$268*AB228*AB191,0)</f>
        <v>0</v>
      </c>
      <c r="AC233" s="33">
        <f ca="1">+IFERROR(MAX(AC225+Assumptions!$H$504,AC224)*Assumptions!$G$286*Assumptions!$G$268*AC228*AC191,0)</f>
        <v>0</v>
      </c>
      <c r="AD233" s="33">
        <f ca="1">+IFERROR(MAX(AD225+Assumptions!$H$504,AD224)*Assumptions!$G$286*Assumptions!$G$268*AD228*AD191,0)</f>
        <v>0</v>
      </c>
      <c r="AE233" s="33">
        <f ca="1">+IFERROR(MAX(AE225+Assumptions!$H$504,AE224)*Assumptions!$G$286*Assumptions!$G$268*AE228*AE191,0)</f>
        <v>0</v>
      </c>
      <c r="AF233" s="33">
        <f ca="1">+IFERROR(MAX(AF225+Assumptions!$H$504,AF224)*Assumptions!$G$286*Assumptions!$G$268*AF228*AF191,0)</f>
        <v>0</v>
      </c>
      <c r="AG233" s="33">
        <f ca="1">+IFERROR(MAX(AG225+Assumptions!$H$504,AG224)*Assumptions!$G$286*Assumptions!$G$268*AG228*AG191,0)</f>
        <v>0</v>
      </c>
      <c r="AH233" s="33">
        <f ca="1">+IFERROR(MAX(AH225+Assumptions!$H$504,AH224)*Assumptions!$G$286*Assumptions!$G$268*AH228*AH191,0)</f>
        <v>0</v>
      </c>
      <c r="AI233" s="33">
        <f ca="1">+IFERROR(MAX(AI225+Assumptions!$H$504,AI224)*Assumptions!$G$286*Assumptions!$G$268*AI228*AI191,0)</f>
        <v>0</v>
      </c>
      <c r="AJ233" s="33">
        <f ca="1">+IFERROR(MAX(AJ225+Assumptions!$H$504,AJ224)*Assumptions!$G$286*Assumptions!$G$268*AJ228*AJ191,0)</f>
        <v>0</v>
      </c>
      <c r="AK233" s="33">
        <f ca="1">+IFERROR(MAX(AK225+Assumptions!$H$504,AK224)*Assumptions!$G$286*Assumptions!$G$268*AK228*AK191,0)</f>
        <v>0</v>
      </c>
      <c r="AL233" s="33">
        <f ca="1">+IFERROR(MAX(AL225+Assumptions!$H$504,AL224)*Assumptions!$G$286*Assumptions!$G$268*AL228*AL191,0)</f>
        <v>0</v>
      </c>
      <c r="AM233" s="33">
        <f ca="1">+IFERROR(MAX(AM225+Assumptions!$H$504,AM224)*Assumptions!$G$286*Assumptions!$G$268*AM228*AM191,0)</f>
        <v>0</v>
      </c>
      <c r="AN233" s="33">
        <f ca="1">+IFERROR(MAX(AN225+Assumptions!$H$504,AN224)*Assumptions!$G$286*Assumptions!$G$268*AN228*AN191,0)</f>
        <v>0</v>
      </c>
      <c r="AO233" s="33">
        <f ca="1">+IFERROR(MAX(AO225+Assumptions!$H$504,AO224)*Assumptions!$G$286*Assumptions!$G$268*AO228*AO191,0)</f>
        <v>0</v>
      </c>
      <c r="AP233" s="33">
        <f ca="1">+IFERROR(MAX(AP225+Assumptions!$H$504,AP224)*Assumptions!$G$286*Assumptions!$G$268*AP228*AP191,0)</f>
        <v>0</v>
      </c>
      <c r="AQ233" s="33">
        <f ca="1">+IFERROR(MAX(AQ225+Assumptions!$H$504,AQ224)*Assumptions!$G$286*Assumptions!$G$268*AQ228*AQ191,0)</f>
        <v>0</v>
      </c>
      <c r="AR233" s="33">
        <f ca="1">+IFERROR(MAX(AR225+Assumptions!$H$504,AR224)*Assumptions!$G$286*Assumptions!$G$268*AR228*AR191,0)</f>
        <v>0</v>
      </c>
      <c r="AS233" s="33">
        <f ca="1">+IFERROR(MAX(AS225+Assumptions!$H$504,AS224)*Assumptions!$G$286*Assumptions!$G$268*AS228*AS191,0)</f>
        <v>0</v>
      </c>
      <c r="AT233" s="33">
        <f ca="1">+IFERROR(MAX(AT225+Assumptions!$H$504,AT224)*Assumptions!$G$286*Assumptions!$G$268*AT228*AT191,0)</f>
        <v>0</v>
      </c>
      <c r="AU233" s="33">
        <f ca="1">+IFERROR(MAX(AU225+Assumptions!$H$504,AU224)*Assumptions!$G$286*Assumptions!$G$268*AU228*AU191,0)</f>
        <v>0</v>
      </c>
      <c r="AV233" s="33">
        <f ca="1">+IFERROR(MAX(AV225+Assumptions!$H$504,AV224)*Assumptions!$G$286*Assumptions!$G$268*AV228*AV191,0)</f>
        <v>0</v>
      </c>
      <c r="AW233" s="33">
        <f ca="1">+IFERROR(MAX(AW225+Assumptions!$H$504,AW224)*Assumptions!$G$286*Assumptions!$G$268*AW228*AW191,0)</f>
        <v>0</v>
      </c>
      <c r="AX233" s="33">
        <f ca="1">+IFERROR(MAX(AX225+Assumptions!$H$504,AX224)*Assumptions!$G$286*Assumptions!$G$268*AX228*AX191,0)</f>
        <v>0</v>
      </c>
      <c r="AY233" s="33">
        <f ca="1">+IFERROR(MAX(AY225+Assumptions!$H$504,AY224)*Assumptions!$G$286*Assumptions!$G$268*AY228*AY191,0)</f>
        <v>0</v>
      </c>
      <c r="AZ233" s="33">
        <f ca="1">+IFERROR(MAX(AZ225+Assumptions!$H$504,AZ224)*Assumptions!$G$286*Assumptions!$G$268*AZ228*AZ191,0)</f>
        <v>0</v>
      </c>
      <c r="BA233" s="33">
        <f ca="1">+IFERROR(MAX(BA225+Assumptions!$H$504,BA224)*Assumptions!$G$286*Assumptions!$G$268*BA228*BA191,0)</f>
        <v>0</v>
      </c>
      <c r="BB233" s="33">
        <f ca="1">+IFERROR(MAX(BB225+Assumptions!$H$504,BB224)*Assumptions!$G$286*Assumptions!$G$268*BB228*BB191,0)</f>
        <v>0</v>
      </c>
      <c r="BC233" s="33">
        <f ca="1">+IFERROR(MAX(BC225+Assumptions!$H$504,BC224)*Assumptions!$G$286*Assumptions!$G$268*BC228*BC191,0)</f>
        <v>0</v>
      </c>
      <c r="BD233" s="33">
        <f ca="1">+IFERROR(MAX(BD225+Assumptions!$H$504,BD224)*Assumptions!$G$286*Assumptions!$G$268*BD228*BD191,0)</f>
        <v>0</v>
      </c>
      <c r="BE233" s="33">
        <f ca="1">+IFERROR(MAX(BE225+Assumptions!$H$504,BE224)*Assumptions!$G$286*Assumptions!$G$268*BE228*BE191,0)</f>
        <v>0</v>
      </c>
      <c r="BF233" s="33">
        <f ca="1">+IFERROR(MAX(BF225+Assumptions!$H$504,BF224)*Assumptions!$G$286*Assumptions!$G$268*BF228*BF191,0)</f>
        <v>0</v>
      </c>
      <c r="BG233" s="33">
        <f ca="1">+IFERROR(MAX(BG225+Assumptions!$H$504,BG224)*Assumptions!$G$286*Assumptions!$G$268*BG228*BG191,0)</f>
        <v>0</v>
      </c>
      <c r="BH233" s="33">
        <f ca="1">+IFERROR(MAX(BH225+Assumptions!$H$504,BH224)*Assumptions!$G$286*Assumptions!$G$268*BH228*BH191,0)</f>
        <v>0</v>
      </c>
      <c r="BI233" s="33">
        <f ca="1">+IFERROR(MAX(BI225+Assumptions!$H$504,BI224)*Assumptions!$G$286*Assumptions!$G$268*BI228*BI191,0)</f>
        <v>0</v>
      </c>
      <c r="BJ233" s="33">
        <f ca="1">+IFERROR(MAX(BJ225+Assumptions!$H$504,BJ224)*Assumptions!$G$286*Assumptions!$G$268*BJ228*BJ191,0)</f>
        <v>0</v>
      </c>
      <c r="BK233" s="33">
        <f ca="1">+IFERROR(MAX(BK225+Assumptions!$H$504,BK224)*Assumptions!$G$286*Assumptions!$G$268*BK228*BK191,0)</f>
        <v>0</v>
      </c>
      <c r="BL233" s="33">
        <f ca="1">+IFERROR(MAX(BL225+Assumptions!$H$504,BL224)*Assumptions!$G$286*Assumptions!$G$268*BL228*BL191,0)</f>
        <v>0</v>
      </c>
      <c r="BM233" s="33">
        <f ca="1">+IFERROR(MAX(BM225+Assumptions!$H$504,BM224)*Assumptions!$G$286*Assumptions!$G$268*BM228*BM191,0)</f>
        <v>0</v>
      </c>
      <c r="BN233" s="33">
        <f ca="1">+IFERROR(MAX(BN225+Assumptions!$H$504,BN224)*Assumptions!$G$286*Assumptions!$G$268*BN228*BN191,0)</f>
        <v>0</v>
      </c>
      <c r="BO233" s="33">
        <f ca="1">+IFERROR(MAX(BO225+Assumptions!$H$504,BO224)*Assumptions!$G$286*Assumptions!$G$268*BO228*BO191,0)</f>
        <v>0</v>
      </c>
      <c r="BP233" s="33">
        <f ca="1">+IFERROR(MAX(BP225+Assumptions!$H$504,BP224)*Assumptions!$G$286*Assumptions!$G$268*BP228*BP191,0)</f>
        <v>0</v>
      </c>
      <c r="BQ233" s="33">
        <f ca="1">+IFERROR(MAX(BQ225+Assumptions!$H$504,BQ224)*Assumptions!$G$286*Assumptions!$G$268*BQ228*BQ191,0)</f>
        <v>0</v>
      </c>
      <c r="BR233" s="33">
        <f ca="1">+IFERROR(MAX(BR225+Assumptions!$H$504,BR224)*Assumptions!$G$286*Assumptions!$G$268*BR228*BR191,0)</f>
        <v>0</v>
      </c>
      <c r="BS233" s="33">
        <f ca="1">+IFERROR(MAX(BS225+Assumptions!$H$504,BS224)*Assumptions!$G$286*Assumptions!$G$268*BS228*BS191,0)</f>
        <v>0</v>
      </c>
      <c r="BT233" s="33">
        <f ca="1">+IFERROR(MAX(BT225+Assumptions!$H$504,BT224)*Assumptions!$G$286*Assumptions!$G$268*BT228*BT191,0)</f>
        <v>0</v>
      </c>
      <c r="BU233" s="33">
        <f ca="1">+IFERROR(MAX(BU225+Assumptions!$H$504,BU224)*Assumptions!$G$286*Assumptions!$G$268*BU228*BU191,0)</f>
        <v>0</v>
      </c>
      <c r="BV233" s="33">
        <f ca="1">+IFERROR(MAX(BV225+Assumptions!$H$504,BV224)*Assumptions!$G$286*Assumptions!$G$268*BV228*BV191,0)</f>
        <v>0</v>
      </c>
      <c r="BW233" s="33">
        <f ca="1">+IFERROR(MAX(BW225+Assumptions!$H$504,BW224)*Assumptions!$G$286*Assumptions!$G$268*BW228*BW191,0)</f>
        <v>0</v>
      </c>
      <c r="BX233" s="33">
        <f ca="1">+IFERROR(MAX(BX225+Assumptions!$H$504,BX224)*Assumptions!$G$286*Assumptions!$G$268*BX228*BX191,0)</f>
        <v>0</v>
      </c>
      <c r="BY233" s="33">
        <f ca="1">+IFERROR(MAX(BY225+Assumptions!$H$504,BY224)*Assumptions!$G$286*Assumptions!$G$268*BY228*BY191,0)</f>
        <v>0</v>
      </c>
    </row>
    <row r="234" spans="2:77" outlineLevel="1">
      <c r="W234" s="41"/>
      <c r="BF234" s="33"/>
      <c r="BG234" s="33"/>
      <c r="BH234" s="33"/>
      <c r="BI234" s="33"/>
      <c r="BJ234" s="33"/>
      <c r="BK234" s="33"/>
      <c r="BL234" s="33"/>
      <c r="BM234" s="33"/>
      <c r="BN234" s="33"/>
      <c r="BO234" s="33"/>
      <c r="BP234" s="33"/>
      <c r="BQ234" s="33"/>
      <c r="BR234" s="33"/>
      <c r="BS234" s="33"/>
      <c r="BT234" s="33"/>
      <c r="BU234" s="33"/>
      <c r="BV234" s="33"/>
      <c r="BW234" s="33"/>
      <c r="BX234" s="33"/>
      <c r="BY234" s="33"/>
    </row>
    <row r="235" spans="2:77" s="19" customFormat="1" ht="12.75" outlineLevel="1">
      <c r="B235" s="18" t="s">
        <v>264</v>
      </c>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row>
    <row r="236" spans="2:77" outlineLevel="1">
      <c r="BF236" s="33"/>
      <c r="BG236" s="33"/>
      <c r="BH236" s="33"/>
      <c r="BI236" s="33"/>
      <c r="BJ236" s="33"/>
      <c r="BK236" s="33"/>
      <c r="BL236" s="33"/>
      <c r="BM236" s="33"/>
      <c r="BN236" s="33"/>
      <c r="BO236" s="33"/>
      <c r="BP236" s="33"/>
      <c r="BQ236" s="33"/>
      <c r="BR236" s="33"/>
      <c r="BS236" s="33"/>
      <c r="BT236" s="33"/>
      <c r="BU236" s="33"/>
      <c r="BV236" s="33"/>
      <c r="BW236" s="33"/>
      <c r="BX236" s="33"/>
      <c r="BY236" s="33"/>
    </row>
    <row r="237" spans="2:77" ht="15" outlineLevel="1">
      <c r="C237" s="22" t="s">
        <v>496</v>
      </c>
      <c r="BF237" s="33"/>
      <c r="BG237" s="33"/>
      <c r="BH237" s="33"/>
      <c r="BI237" s="33"/>
      <c r="BJ237" s="33"/>
      <c r="BK237" s="33"/>
      <c r="BL237" s="33"/>
      <c r="BM237" s="33"/>
      <c r="BN237" s="33"/>
      <c r="BO237" s="33"/>
      <c r="BP237" s="33"/>
      <c r="BQ237" s="33"/>
      <c r="BR237" s="33"/>
      <c r="BS237" s="33"/>
      <c r="BT237" s="33"/>
      <c r="BU237" s="33"/>
      <c r="BV237" s="33"/>
      <c r="BW237" s="33"/>
      <c r="BX237" s="33"/>
      <c r="BY237" s="33"/>
    </row>
    <row r="238" spans="2:77" outlineLevel="1">
      <c r="C238" s="75">
        <f>Assumptions!$G$208*C203</f>
        <v>-1928972.8435560591</v>
      </c>
      <c r="E238" t="s">
        <v>456</v>
      </c>
      <c r="F238" s="80" t="str">
        <f>+Assumptions!$G$8</f>
        <v>USD</v>
      </c>
      <c r="H238" s="32">
        <f>IF(AND(Assumptions!$G$183="Yes",Assumptions!$G$184="Detailed"),-Assumptions_Detailed!H$71,IF(SUM($H$190:H190)&gt;0,IF(SUM($H$203:H203)&lt;$C$238,MAX($C$238-SUM($G$238:G238),H203),H203),0))</f>
        <v>0</v>
      </c>
      <c r="I238" s="32">
        <f>IF(AND(Assumptions!$G$183="Yes",Assumptions!$G$184="Detailed"),-Assumptions_Detailed!I$71,IF(SUM($H$190:I190)&gt;0,IF(SUM($H$203:I203)&lt;$C$238,MAX($C$238-SUM($G$238:H238),I203),I203),0))</f>
        <v>-1928972.8435560591</v>
      </c>
      <c r="J238" s="32">
        <f>IF(AND(Assumptions!$G$183="Yes",Assumptions!$G$184="Detailed"),-Assumptions_Detailed!J$71,IF(SUM($H$190:J190)&gt;0,IF(SUM($H$203:J203)&lt;$C$238,MAX($C$238-SUM($G$238:I238),J203),J203),0))</f>
        <v>0</v>
      </c>
      <c r="K238" s="32">
        <f>IF(AND(Assumptions!$G$183="Yes",Assumptions!$G$184="Detailed"),-Assumptions_Detailed!K$71,IF(SUM($H$190:K190)&gt;0,IF(SUM($H$203:K203)&lt;$C$238,MAX($C$238-SUM($G$238:J238),K203),K203),0))</f>
        <v>0</v>
      </c>
      <c r="L238" s="32">
        <f>IF(AND(Assumptions!$G$183="Yes",Assumptions!$G$184="Detailed"),-Assumptions_Detailed!L$71,IF(SUM($H$190:L190)&gt;0,IF(SUM($H$203:L203)&lt;$C$238,MAX($C$238-SUM($G$238:K238),L203),L203),0))</f>
        <v>0</v>
      </c>
      <c r="M238" s="32">
        <f>IF(AND(Assumptions!$G$183="Yes",Assumptions!$G$184="Detailed"),-Assumptions_Detailed!M$71,IF(SUM($H$190:M190)&gt;0,IF(SUM($H$203:M203)&lt;$C$238,MAX($C$238-SUM($G$238:L238),M203),M203),0))</f>
        <v>0</v>
      </c>
      <c r="N238" s="32">
        <f>IF(AND(Assumptions!$G$183="Yes",Assumptions!$G$184="Detailed"),-Assumptions_Detailed!N$71,IF(SUM($H$190:N190)&gt;0,IF(SUM($H$203:N203)&lt;$C$238,MAX($C$238-SUM($G$238:M238),N203),N203),0))</f>
        <v>0</v>
      </c>
      <c r="O238" s="32">
        <f>IF(AND(Assumptions!$G$183="Yes",Assumptions!$G$184="Detailed"),-Assumptions_Detailed!O$71,IF(SUM($H$190:O190)&gt;0,IF(SUM($H$203:O203)&lt;$C$238,MAX($C$238-SUM($G$238:N238),O203),O203),0))</f>
        <v>0</v>
      </c>
      <c r="P238" s="32">
        <f>IF(AND(Assumptions!$G$183="Yes",Assumptions!$G$184="Detailed"),-Assumptions_Detailed!P$71,IF(SUM($H$190:P190)&gt;0,IF(SUM($H$203:P203)&lt;$C$238,MAX($C$238-SUM($G$238:O238),P203),P203),0))</f>
        <v>0</v>
      </c>
      <c r="Q238" s="32">
        <f>IF(AND(Assumptions!$G$183="Yes",Assumptions!$G$184="Detailed"),-Assumptions_Detailed!Q$71,IF(SUM($H$190:Q190)&gt;0,IF(SUM($H$203:Q203)&lt;$C$238,MAX($C$238-SUM($G$238:P238),Q203),Q203),0))</f>
        <v>0</v>
      </c>
      <c r="R238" s="32">
        <f>IF(AND(Assumptions!$G$183="Yes",Assumptions!$G$184="Detailed"),-Assumptions_Detailed!R$71,IF(SUM($H$190:R190)&gt;0,IF(SUM($H$203:R203)&lt;$C$238,MAX($C$238-SUM($G$238:Q238),R203),R203),0))</f>
        <v>0</v>
      </c>
      <c r="S238" s="32">
        <f>IF(AND(Assumptions!$G$183="Yes",Assumptions!$G$184="Detailed"),-Assumptions_Detailed!S$71,IF(SUM($H$190:S190)&gt;0,IF(SUM($H$203:S203)&lt;$C$238,MAX($C$238-SUM($G$238:R238),S203),S203),0))</f>
        <v>0</v>
      </c>
      <c r="T238" s="32">
        <f>IF(AND(Assumptions!$G$183="Yes",Assumptions!$G$184="Detailed"),-Assumptions_Detailed!T$71,IF(SUM($H$190:T190)&gt;0,IF(SUM($H$203:T203)&lt;$C$238,MAX($C$238-SUM($G$238:S238),T203),T203),0))</f>
        <v>0</v>
      </c>
      <c r="U238" s="32">
        <f>IF(AND(Assumptions!$G$183="Yes",Assumptions!$G$184="Detailed"),-Assumptions_Detailed!U$71,IF(SUM($H$190:U190)&gt;0,IF(SUM($H$203:U203)&lt;$C$238,MAX($C$238-SUM($G$238:T238),U203),U203),0))</f>
        <v>0</v>
      </c>
      <c r="V238" s="32">
        <f>IF(AND(Assumptions!$G$183="Yes",Assumptions!$G$184="Detailed"),-Assumptions_Detailed!V$71,IF(SUM($H$190:V190)&gt;0,IF(SUM($H$203:V203)&lt;$C$238,MAX($C$238-SUM($G$238:U238),V203),V203),0))</f>
        <v>0</v>
      </c>
      <c r="W238" s="32">
        <f>IF(AND(Assumptions!$G$183="Yes",Assumptions!$G$184="Detailed"),-Assumptions_Detailed!W$71,IF(SUM($H$190:W190)&gt;0,IF(SUM($H$203:W203)&lt;$C$238,MAX($C$238-SUM($G$238:V238),W203),W203),0))</f>
        <v>0</v>
      </c>
      <c r="X238" s="32">
        <f>IF(AND(Assumptions!$G$183="Yes",Assumptions!$G$184="Detailed"),-Assumptions_Detailed!X$71,IF(SUM($H$190:X190)&gt;0,IF(SUM($H$203:X203)&lt;$C$238,MAX($C$238-SUM($G$238:W238),X203),X203),0))</f>
        <v>0</v>
      </c>
      <c r="Y238" s="32">
        <f>IF(AND(Assumptions!$G$183="Yes",Assumptions!$G$184="Detailed"),-Assumptions_Detailed!Y$71,IF(SUM($H$190:Y190)&gt;0,IF(SUM($H$203:Y203)&lt;$C$238,MAX($C$238-SUM($G$238:X238),Y203),Y203),0))</f>
        <v>0</v>
      </c>
      <c r="Z238" s="32">
        <f>IF(AND(Assumptions!$G$183="Yes",Assumptions!$G$184="Detailed"),-Assumptions_Detailed!Z$71,IF(SUM($H$190:Z190)&gt;0,IF(SUM($H$203:Z203)&lt;$C$238,MAX($C$238-SUM($G$238:Y238),Z203),Z203),0))</f>
        <v>0</v>
      </c>
      <c r="AA238" s="32">
        <f>IF(AND(Assumptions!$G$183="Yes",Assumptions!$G$184="Detailed"),-Assumptions_Detailed!AA$71,IF(SUM($H$190:AA190)&gt;0,IF(SUM($H$203:AA203)&lt;$C$238,MAX($C$238-SUM($G$238:Z238),AA203),AA203),0))</f>
        <v>0</v>
      </c>
      <c r="AB238" s="32">
        <f>IF(AND(Assumptions!$G$183="Yes",Assumptions!$G$184="Detailed"),-Assumptions_Detailed!AB$71,IF(SUM($H$190:AB190)&gt;0,IF(SUM($H$203:AB203)&lt;$C$238,MAX($C$238-SUM($G$238:AA238),AB203),AB203),0))</f>
        <v>0</v>
      </c>
      <c r="AC238" s="32">
        <f>IF(AND(Assumptions!$G$183="Yes",Assumptions!$G$184="Detailed"),-Assumptions_Detailed!AC$71,IF(SUM($H$190:AC190)&gt;0,IF(SUM($H$203:AC203)&lt;$C$238,MAX($C$238-SUM($G$238:AB238),AC203),AC203),0))</f>
        <v>0</v>
      </c>
      <c r="AD238" s="32">
        <f>IF(AND(Assumptions!$G$183="Yes",Assumptions!$G$184="Detailed"),-Assumptions_Detailed!AD$71,IF(SUM($H$190:AD190)&gt;0,IF(SUM($H$203:AD203)&lt;$C$238,MAX($C$238-SUM($G$238:AC238),AD203),AD203),0))</f>
        <v>0</v>
      </c>
      <c r="AE238" s="32">
        <f>IF(AND(Assumptions!$G$183="Yes",Assumptions!$G$184="Detailed"),-Assumptions_Detailed!AE$71,IF(SUM($H$190:AE190)&gt;0,IF(SUM($H$203:AE203)&lt;$C$238,MAX($C$238-SUM($G$238:AD238),AE203),AE203),0))</f>
        <v>0</v>
      </c>
      <c r="AF238" s="32">
        <f>IF(AND(Assumptions!$G$183="Yes",Assumptions!$G$184="Detailed"),-Assumptions_Detailed!AF$71,IF(SUM($H$190:AF190)&gt;0,IF(SUM($H$203:AF203)&lt;$C$238,MAX($C$238-SUM($G$238:AE238),AF203),AF203),0))</f>
        <v>0</v>
      </c>
      <c r="AG238" s="32">
        <f>IF(AND(Assumptions!$G$183="Yes",Assumptions!$G$184="Detailed"),-Assumptions_Detailed!AG$71,IF(SUM($H$190:AG190)&gt;0,IF(SUM($H$203:AG203)&lt;$C$238,MAX($C$238-SUM($G$238:AF238),AG203),AG203),0))</f>
        <v>0</v>
      </c>
      <c r="AH238" s="32">
        <f>IF(AND(Assumptions!$G$183="Yes",Assumptions!$G$184="Detailed"),-Assumptions_Detailed!AH$71,IF(SUM($H$190:AH190)&gt;0,IF(SUM($H$203:AH203)&lt;$C$238,MAX($C$238-SUM($G$238:AG238),AH203),AH203),0))</f>
        <v>0</v>
      </c>
      <c r="AI238" s="32">
        <f>IF(AND(Assumptions!$G$183="Yes",Assumptions!$G$184="Detailed"),-Assumptions_Detailed!AI$71,IF(SUM($H$190:AI190)&gt;0,IF(SUM($H$203:AI203)&lt;$C$238,MAX($C$238-SUM($G$238:AH238),AI203),AI203),0))</f>
        <v>0</v>
      </c>
      <c r="AJ238" s="32">
        <f>IF(AND(Assumptions!$G$183="Yes",Assumptions!$G$184="Detailed"),-Assumptions_Detailed!AJ$71,IF(SUM($H$190:AJ190)&gt;0,IF(SUM($H$203:AJ203)&lt;$C$238,MAX($C$238-SUM($G$238:AI238),AJ203),AJ203),0))</f>
        <v>0</v>
      </c>
      <c r="AK238" s="32">
        <f>IF(AND(Assumptions!$G$183="Yes",Assumptions!$G$184="Detailed"),-Assumptions_Detailed!AK$71,IF(SUM($H$190:AK190)&gt;0,IF(SUM($H$203:AK203)&lt;$C$238,MAX($C$238-SUM($G$238:AJ238),AK203),AK203),0))</f>
        <v>0</v>
      </c>
      <c r="AL238" s="32">
        <f>IF(AND(Assumptions!$G$183="Yes",Assumptions!$G$184="Detailed"),-Assumptions_Detailed!AL$71,IF(SUM($H$190:AL190)&gt;0,IF(SUM($H$203:AL203)&lt;$C$238,MAX($C$238-SUM($G$238:AK238),AL203),AL203),0))</f>
        <v>0</v>
      </c>
      <c r="AM238" s="32">
        <f>IF(AND(Assumptions!$G$183="Yes",Assumptions!$G$184="Detailed"),-Assumptions_Detailed!AM$71,IF(SUM($H$190:AM190)&gt;0,IF(SUM($H$203:AM203)&lt;$C$238,MAX($C$238-SUM($G$238:AL238),AM203),AM203),0))</f>
        <v>0</v>
      </c>
      <c r="AN238" s="32">
        <f>IF(AND(Assumptions!$G$183="Yes",Assumptions!$G$184="Detailed"),-Assumptions_Detailed!AN$71,IF(SUM($H$190:AN190)&gt;0,IF(SUM($H$203:AN203)&lt;$C$238,MAX($C$238-SUM($G$238:AM238),AN203),AN203),0))</f>
        <v>0</v>
      </c>
      <c r="AO238" s="32">
        <f>IF(AND(Assumptions!$G$183="Yes",Assumptions!$G$184="Detailed"),-Assumptions_Detailed!AO$71,IF(SUM($H$190:AO190)&gt;0,IF(SUM($H$203:AO203)&lt;$C$238,MAX($C$238-SUM($G$238:AN238),AO203),AO203),0))</f>
        <v>0</v>
      </c>
      <c r="AP238" s="32">
        <f>IF(AND(Assumptions!$G$183="Yes",Assumptions!$G$184="Detailed"),-Assumptions_Detailed!AP$71,IF(SUM($H$190:AP190)&gt;0,IF(SUM($H$203:AP203)&lt;$C$238,MAX($C$238-SUM($G$238:AO238),AP203),AP203),0))</f>
        <v>0</v>
      </c>
      <c r="AQ238" s="32">
        <f>IF(AND(Assumptions!$G$183="Yes",Assumptions!$G$184="Detailed"),-Assumptions_Detailed!AQ$71,IF(SUM($H$190:AQ190)&gt;0,IF(SUM($H$203:AQ203)&lt;$C$238,MAX($C$238-SUM($G$238:AP238),AQ203),AQ203),0))</f>
        <v>0</v>
      </c>
      <c r="AR238" s="32">
        <f>IF(AND(Assumptions!$G$183="Yes",Assumptions!$G$184="Detailed"),-Assumptions_Detailed!AR$71,IF(SUM($H$190:AR190)&gt;0,IF(SUM($H$203:AR203)&lt;$C$238,MAX($C$238-SUM($G$238:AQ238),AR203),AR203),0))</f>
        <v>0</v>
      </c>
      <c r="AS238" s="32">
        <f>IF(AND(Assumptions!$G$183="Yes",Assumptions!$G$184="Detailed"),-Assumptions_Detailed!AS$71,IF(SUM($H$190:AS190)&gt;0,IF(SUM($H$203:AS203)&lt;$C$238,MAX($C$238-SUM($G$238:AR238),AS203),AS203),0))</f>
        <v>0</v>
      </c>
      <c r="AT238" s="32">
        <f>IF(AND(Assumptions!$G$183="Yes",Assumptions!$G$184="Detailed"),-Assumptions_Detailed!AT$71,IF(SUM($H$190:AT190)&gt;0,IF(SUM($H$203:AT203)&lt;$C$238,MAX($C$238-SUM($G$238:AS238),AT203),AT203),0))</f>
        <v>0</v>
      </c>
      <c r="AU238" s="32">
        <f>IF(AND(Assumptions!$G$183="Yes",Assumptions!$G$184="Detailed"),-Assumptions_Detailed!AU$71,IF(SUM($H$190:AU190)&gt;0,IF(SUM($H$203:AU203)&lt;$C$238,MAX($C$238-SUM($G$238:AT238),AU203),AU203),0))</f>
        <v>0</v>
      </c>
      <c r="AV238" s="32">
        <f>IF(AND(Assumptions!$G$183="Yes",Assumptions!$G$184="Detailed"),-Assumptions_Detailed!AV$71,IF(SUM($H$190:AV190)&gt;0,IF(SUM($H$203:AV203)&lt;$C$238,MAX($C$238-SUM($G$238:AU238),AV203),AV203),0))</f>
        <v>0</v>
      </c>
      <c r="AW238" s="32">
        <f>IF(AND(Assumptions!$G$183="Yes",Assumptions!$G$184="Detailed"),-Assumptions_Detailed!AW$71,IF(SUM($H$190:AW190)&gt;0,IF(SUM($H$203:AW203)&lt;$C$238,MAX($C$238-SUM($G$238:AV238),AW203),AW203),0))</f>
        <v>0</v>
      </c>
      <c r="AX238" s="32">
        <f>IF(AND(Assumptions!$G$183="Yes",Assumptions!$G$184="Detailed"),-Assumptions_Detailed!AX$71,IF(SUM($H$190:AX190)&gt;0,IF(SUM($H$203:AX203)&lt;$C$238,MAX($C$238-SUM($G$238:AW238),AX203),AX203),0))</f>
        <v>0</v>
      </c>
      <c r="AY238" s="32">
        <f>IF(AND(Assumptions!$G$183="Yes",Assumptions!$G$184="Detailed"),-Assumptions_Detailed!AY$71,IF(SUM($H$190:AY190)&gt;0,IF(SUM($H$203:AY203)&lt;$C$238,MAX($C$238-SUM($G$238:AX238),AY203),AY203),0))</f>
        <v>0</v>
      </c>
      <c r="AZ238" s="32">
        <f>IF(AND(Assumptions!$G$183="Yes",Assumptions!$G$184="Detailed"),-Assumptions_Detailed!AZ$71,IF(SUM($H$190:AZ190)&gt;0,IF(SUM($H$203:AZ203)&lt;$C$238,MAX($C$238-SUM($G$238:AY238),AZ203),AZ203),0))</f>
        <v>0</v>
      </c>
      <c r="BA238" s="32">
        <f>IF(AND(Assumptions!$G$183="Yes",Assumptions!$G$184="Detailed"),-Assumptions_Detailed!BA$71,IF(SUM($H$190:BA190)&gt;0,IF(SUM($H$203:BA203)&lt;$C$238,MAX($C$238-SUM($G$238:AZ238),BA203),BA203),0))</f>
        <v>0</v>
      </c>
      <c r="BB238" s="32">
        <f>IF(AND(Assumptions!$G$183="Yes",Assumptions!$G$184="Detailed"),-Assumptions_Detailed!BB$71,IF(SUM($H$190:BB190)&gt;0,IF(SUM($H$203:BB203)&lt;$C$238,MAX($C$238-SUM($G$238:BA238),BB203),BB203),0))</f>
        <v>0</v>
      </c>
      <c r="BC238" s="32">
        <f>IF(AND(Assumptions!$G$183="Yes",Assumptions!$G$184="Detailed"),-Assumptions_Detailed!BC$71,IF(SUM($H$190:BC190)&gt;0,IF(SUM($H$203:BC203)&lt;$C$238,MAX($C$238-SUM($G$238:BB238),BC203),BC203),0))</f>
        <v>0</v>
      </c>
      <c r="BD238" s="32">
        <f>IF(AND(Assumptions!$G$183="Yes",Assumptions!$G$184="Detailed"),-Assumptions_Detailed!BD$71,IF(SUM($H$190:BD190)&gt;0,IF(SUM($H$203:BD203)&lt;$C$238,MAX($C$238-SUM($G$238:BC238),BD203),BD203),0))</f>
        <v>0</v>
      </c>
      <c r="BE238" s="32">
        <f>IF(AND(Assumptions!$G$183="Yes",Assumptions!$G$184="Detailed"),-Assumptions_Detailed!BE$71,IF(SUM($H$190:BE190)&gt;0,IF(SUM($H$203:BE203)&lt;$C$238,MAX($C$238-SUM($G$238:BD238),BE203),BE203),0))</f>
        <v>0</v>
      </c>
      <c r="BF238" s="32">
        <f>IF(AND(Assumptions!$G$183="Yes",Assumptions!$G$184="Detailed"),-Assumptions_Detailed!BF$71,IF(SUM($H$190:BF190)&gt;0,IF(SUM($H$203:BF203)&lt;$C$238,MAX($C$238-SUM($G$238:BE238),BF203),BF203),0))</f>
        <v>0</v>
      </c>
      <c r="BG238" s="32">
        <f>IF(AND(Assumptions!$G$183="Yes",Assumptions!$G$184="Detailed"),-Assumptions_Detailed!BG$71,IF(SUM($H$190:BG190)&gt;0,IF(SUM($H$203:BG203)&lt;$C$238,MAX($C$238-SUM($G$238:BF238),BG203),BG203),0))</f>
        <v>0</v>
      </c>
      <c r="BH238" s="32">
        <f>IF(AND(Assumptions!$G$183="Yes",Assumptions!$G$184="Detailed"),-Assumptions_Detailed!BH$71,IF(SUM($H$190:BH190)&gt;0,IF(SUM($H$203:BH203)&lt;$C$238,MAX($C$238-SUM($G$238:BG238),BH203),BH203),0))</f>
        <v>0</v>
      </c>
      <c r="BI238" s="32">
        <f>IF(AND(Assumptions!$G$183="Yes",Assumptions!$G$184="Detailed"),-Assumptions_Detailed!BI$71,IF(SUM($H$190:BI190)&gt;0,IF(SUM($H$203:BI203)&lt;$C$238,MAX($C$238-SUM($G$238:BH238),BI203),BI203),0))</f>
        <v>0</v>
      </c>
      <c r="BJ238" s="32">
        <f>IF(AND(Assumptions!$G$183="Yes",Assumptions!$G$184="Detailed"),-Assumptions_Detailed!BJ$71,IF(SUM($H$190:BJ190)&gt;0,IF(SUM($H$203:BJ203)&lt;$C$238,MAX($C$238-SUM($G$238:BI238),BJ203),BJ203),0))</f>
        <v>0</v>
      </c>
      <c r="BK238" s="32">
        <f>IF(AND(Assumptions!$G$183="Yes",Assumptions!$G$184="Detailed"),-Assumptions_Detailed!BK$71,IF(SUM($H$190:BK190)&gt;0,IF(SUM($H$203:BK203)&lt;$C$238,MAX($C$238-SUM($G$238:BJ238),BK203),BK203),0))</f>
        <v>0</v>
      </c>
      <c r="BL238" s="32">
        <f>IF(AND(Assumptions!$G$183="Yes",Assumptions!$G$184="Detailed"),-Assumptions_Detailed!BL$71,IF(SUM($H$190:BL190)&gt;0,IF(SUM($H$203:BL203)&lt;$C$238,MAX($C$238-SUM($G$238:BK238),BL203),BL203),0))</f>
        <v>0</v>
      </c>
      <c r="BM238" s="32">
        <f>IF(AND(Assumptions!$G$183="Yes",Assumptions!$G$184="Detailed"),-Assumptions_Detailed!BM$71,IF(SUM($H$190:BM190)&gt;0,IF(SUM($H$203:BM203)&lt;$C$238,MAX($C$238-SUM($G$238:BL238),BM203),BM203),0))</f>
        <v>0</v>
      </c>
      <c r="BN238" s="32">
        <f>IF(AND(Assumptions!$G$183="Yes",Assumptions!$G$184="Detailed"),-Assumptions_Detailed!BN$71,IF(SUM($H$190:BN190)&gt;0,IF(SUM($H$203:BN203)&lt;$C$238,MAX($C$238-SUM($G$238:BM238),BN203),BN203),0))</f>
        <v>0</v>
      </c>
      <c r="BO238" s="32">
        <f>IF(AND(Assumptions!$G$183="Yes",Assumptions!$G$184="Detailed"),-Assumptions_Detailed!BO$71,IF(SUM($H$190:BO190)&gt;0,IF(SUM($H$203:BO203)&lt;$C$238,MAX($C$238-SUM($G$238:BN238),BO203),BO203),0))</f>
        <v>0</v>
      </c>
      <c r="BP238" s="32">
        <f>IF(AND(Assumptions!$G$183="Yes",Assumptions!$G$184="Detailed"),-Assumptions_Detailed!BP$71,IF(SUM($H$190:BP190)&gt;0,IF(SUM($H$203:BP203)&lt;$C$238,MAX($C$238-SUM($G$238:BO238),BP203),BP203),0))</f>
        <v>0</v>
      </c>
      <c r="BQ238" s="32">
        <f>IF(AND(Assumptions!$G$183="Yes",Assumptions!$G$184="Detailed"),-Assumptions_Detailed!BQ$71,IF(SUM($H$190:BQ190)&gt;0,IF(SUM($H$203:BQ203)&lt;$C$238,MAX($C$238-SUM($G$238:BP238),BQ203),BQ203),0))</f>
        <v>0</v>
      </c>
      <c r="BR238" s="32">
        <f>IF(AND(Assumptions!$G$183="Yes",Assumptions!$G$184="Detailed"),-Assumptions_Detailed!BR$71,IF(SUM($H$190:BR190)&gt;0,IF(SUM($H$203:BR203)&lt;$C$238,MAX($C$238-SUM($G$238:BQ238),BR203),BR203),0))</f>
        <v>0</v>
      </c>
      <c r="BS238" s="32">
        <f>IF(AND(Assumptions!$G$183="Yes",Assumptions!$G$184="Detailed"),-Assumptions_Detailed!BS$71,IF(SUM($H$190:BS190)&gt;0,IF(SUM($H$203:BS203)&lt;$C$238,MAX($C$238-SUM($G$238:BR238),BS203),BS203),0))</f>
        <v>0</v>
      </c>
      <c r="BT238" s="32">
        <f>IF(AND(Assumptions!$G$183="Yes",Assumptions!$G$184="Detailed"),-Assumptions_Detailed!BT$71,IF(SUM($H$190:BT190)&gt;0,IF(SUM($H$203:BT203)&lt;$C$238,MAX($C$238-SUM($G$238:BS238),BT203),BT203),0))</f>
        <v>0</v>
      </c>
      <c r="BU238" s="32">
        <f>IF(AND(Assumptions!$G$183="Yes",Assumptions!$G$184="Detailed"),-Assumptions_Detailed!BU$71,IF(SUM($H$190:BU190)&gt;0,IF(SUM($H$203:BU203)&lt;$C$238,MAX($C$238-SUM($G$238:BT238),BU203),BU203),0))</f>
        <v>0</v>
      </c>
      <c r="BV238" s="32">
        <f>IF(AND(Assumptions!$G$183="Yes",Assumptions!$G$184="Detailed"),-Assumptions_Detailed!BV$71,IF(SUM($H$190:BV190)&gt;0,IF(SUM($H$203:BV203)&lt;$C$238,MAX($C$238-SUM($G$238:BU238),BV203),BV203),0))</f>
        <v>0</v>
      </c>
      <c r="BW238" s="32">
        <f>IF(AND(Assumptions!$G$183="Yes",Assumptions!$G$184="Detailed"),-Assumptions_Detailed!BW$71,IF(SUM($H$190:BW190)&gt;0,IF(SUM($H$203:BW203)&lt;$C$238,MAX($C$238-SUM($G$238:BV238),BW203),BW203),0))</f>
        <v>0</v>
      </c>
      <c r="BX238" s="32">
        <f>IF(AND(Assumptions!$G$183="Yes",Assumptions!$G$184="Detailed"),-Assumptions_Detailed!BX$71,IF(SUM($H$190:BX190)&gt;0,IF(SUM($H$203:BX203)&lt;$C$238,MAX($C$238-SUM($G$238:BW238),BX203),BX203),0))</f>
        <v>0</v>
      </c>
      <c r="BY238" s="32">
        <f>IF(AND(Assumptions!$G$183="Yes",Assumptions!$G$184="Detailed"),-Assumptions_Detailed!BY$71,IF(SUM($H$190:BY190)&gt;0,IF(SUM($H$203:BY203)&lt;$C$238,MAX($C$238-SUM($G$238:BX238),BY203),BY203),0))</f>
        <v>0</v>
      </c>
    </row>
    <row r="239" spans="2:77" outlineLevel="1"/>
    <row r="240" spans="2:77" outlineLevel="1"/>
    <row r="241" spans="3:77" ht="15" outlineLevel="1">
      <c r="C241" s="22" t="s">
        <v>497</v>
      </c>
      <c r="D241" s="31"/>
    </row>
    <row r="242" spans="3:77" ht="15" outlineLevel="1">
      <c r="C242" s="68" t="str">
        <f>+Assumptions!G205</f>
        <v>Equity-first</v>
      </c>
      <c r="D242" s="28"/>
      <c r="E242" s="22" t="s">
        <v>457</v>
      </c>
      <c r="H242" s="32"/>
      <c r="BF242" s="33"/>
      <c r="BG242" s="33"/>
      <c r="BH242" s="33"/>
      <c r="BI242" s="33"/>
      <c r="BJ242" s="33"/>
      <c r="BK242" s="33"/>
      <c r="BL242" s="33"/>
      <c r="BM242" s="33"/>
      <c r="BN242" s="33"/>
      <c r="BO242" s="33"/>
      <c r="BP242" s="33"/>
      <c r="BQ242" s="33"/>
      <c r="BR242" s="33"/>
      <c r="BS242" s="33"/>
      <c r="BT242" s="33"/>
      <c r="BU242" s="33"/>
      <c r="BV242" s="33"/>
      <c r="BW242" s="33"/>
      <c r="BX242" s="33"/>
      <c r="BY242" s="33"/>
    </row>
    <row r="243" spans="3:77" outlineLevel="1">
      <c r="C243" s="68" t="str">
        <f>+Assumptions!G206</f>
        <v>Annuity</v>
      </c>
      <c r="D243" s="28"/>
      <c r="E243" t="s">
        <v>458</v>
      </c>
      <c r="F243" s="80" t="str">
        <f>+Assumptions!$G$8</f>
        <v>USD</v>
      </c>
      <c r="H243" s="32">
        <f>IF(AND(Assumptions!$G$183="Yes",Assumptions!$G$184="Detailed"),-Assumptions_Detailed!H$74,MAX(IFERROR(H203-H238,0),$C$246-SUM($G$243:G243)))</f>
        <v>0</v>
      </c>
      <c r="I243" s="32">
        <f>IF(AND(Assumptions!$G$183="Yes",Assumptions!$G$184="Detailed"),-Assumptions_Detailed!I$74,MAX(IFERROR(I203-I238,0),$C$246-SUM($G$243:H243)))</f>
        <v>-1254150.6606618594</v>
      </c>
      <c r="J243" s="32">
        <f>IF(AND(Assumptions!$G$183="Yes",Assumptions!$G$184="Detailed"),-Assumptions_Detailed!J$74,MAX(IFERROR(J203-J238,0),$C$246-SUM($G$243:I243)))</f>
        <v>-3246785.974302277</v>
      </c>
      <c r="K243" s="32">
        <f>IF(AND(Assumptions!$G$183="Yes",Assumptions!$G$184="Detailed"),-Assumptions_Detailed!K$74,MAX(IFERROR(K203-K238,0),$C$246-SUM($G$243:J243)))</f>
        <v>0</v>
      </c>
      <c r="L243" s="32">
        <f>IF(AND(Assumptions!$G$183="Yes",Assumptions!$G$184="Detailed"),-Assumptions_Detailed!L$74,MAX(IFERROR(L203-L238,0),$C$246-SUM($G$243:K243)))</f>
        <v>0</v>
      </c>
      <c r="M243" s="32">
        <f>IF(AND(Assumptions!$G$183="Yes",Assumptions!$G$184="Detailed"),-Assumptions_Detailed!M$74,MAX(IFERROR(M203-M238,0),$C$246-SUM($G$243:L243)))</f>
        <v>0</v>
      </c>
      <c r="N243" s="32">
        <f>IF(AND(Assumptions!$G$183="Yes",Assumptions!$G$184="Detailed"),-Assumptions_Detailed!N$74,MAX(IFERROR(N203-N238,0),$C$246-SUM($G$243:M243)))</f>
        <v>0</v>
      </c>
      <c r="O243" s="32">
        <f>IF(AND(Assumptions!$G$183="Yes",Assumptions!$G$184="Detailed"),-Assumptions_Detailed!O$74,MAX(IFERROR(O203-O238,0),$C$246-SUM($G$243:N243)))</f>
        <v>0</v>
      </c>
      <c r="P243" s="32">
        <f>IF(AND(Assumptions!$G$183="Yes",Assumptions!$G$184="Detailed"),-Assumptions_Detailed!P$74,MAX(IFERROR(P203-P238,0),$C$246-SUM($G$243:O243)))</f>
        <v>0</v>
      </c>
      <c r="Q243" s="32">
        <f>IF(AND(Assumptions!$G$183="Yes",Assumptions!$G$184="Detailed"),-Assumptions_Detailed!Q$74,MAX(IFERROR(Q203-Q238,0),$C$246-SUM($G$243:P243)))</f>
        <v>0</v>
      </c>
      <c r="R243" s="32">
        <f>IF(AND(Assumptions!$G$183="Yes",Assumptions!$G$184="Detailed"),-Assumptions_Detailed!R$74,MAX(IFERROR(R203-R238,0),$C$246-SUM($G$243:Q243)))</f>
        <v>0</v>
      </c>
      <c r="S243" s="32">
        <f>IF(AND(Assumptions!$G$183="Yes",Assumptions!$G$184="Detailed"),-Assumptions_Detailed!S$74,MAX(IFERROR(S203-S238,0),$C$246-SUM($G$243:R243)))</f>
        <v>0</v>
      </c>
      <c r="T243" s="32">
        <f>IF(AND(Assumptions!$G$183="Yes",Assumptions!$G$184="Detailed"),-Assumptions_Detailed!T$74,MAX(IFERROR(T203-T238,0),$C$246-SUM($G$243:S243)))</f>
        <v>0</v>
      </c>
      <c r="U243" s="32">
        <f>IF(AND(Assumptions!$G$183="Yes",Assumptions!$G$184="Detailed"),-Assumptions_Detailed!U$74,MAX(IFERROR(U203-U238,0),$C$246-SUM($G$243:T243)))</f>
        <v>0</v>
      </c>
      <c r="V243" s="32">
        <f>IF(AND(Assumptions!$G$183="Yes",Assumptions!$G$184="Detailed"),-Assumptions_Detailed!V$74,MAX(IFERROR(V203-V238,0),$C$246-SUM($G$243:U243)))</f>
        <v>0</v>
      </c>
      <c r="W243" s="32">
        <f>IF(AND(Assumptions!$G$183="Yes",Assumptions!$G$184="Detailed"),-Assumptions_Detailed!W$74,MAX(IFERROR(W203-W238,0),$C$246-SUM($G$243:V243)))</f>
        <v>0</v>
      </c>
      <c r="X243" s="32">
        <f>IF(AND(Assumptions!$G$183="Yes",Assumptions!$G$184="Detailed"),-Assumptions_Detailed!X$74,MAX(IFERROR(X203-X238,0),$C$246-SUM($G$243:W243)))</f>
        <v>0</v>
      </c>
      <c r="Y243" s="32">
        <f>IF(AND(Assumptions!$G$183="Yes",Assumptions!$G$184="Detailed"),-Assumptions_Detailed!Y$74,MAX(IFERROR(Y203-Y238,0),$C$246-SUM($G$243:X243)))</f>
        <v>0</v>
      </c>
      <c r="Z243" s="32">
        <f>IF(AND(Assumptions!$G$183="Yes",Assumptions!$G$184="Detailed"),-Assumptions_Detailed!Z$74,MAX(IFERROR(Z203-Z238,0),$C$246-SUM($G$243:Y243)))</f>
        <v>0</v>
      </c>
      <c r="AA243" s="32">
        <f>IF(AND(Assumptions!$G$183="Yes",Assumptions!$G$184="Detailed"),-Assumptions_Detailed!AA$74,MAX(IFERROR(AA203-AA238,0),$C$246-SUM($G$243:Z243)))</f>
        <v>0</v>
      </c>
      <c r="AB243" s="32">
        <f>IF(AND(Assumptions!$G$183="Yes",Assumptions!$G$184="Detailed"),-Assumptions_Detailed!AB$74,MAX(IFERROR(AB203-AB238,0),$C$246-SUM($G$243:AA243)))</f>
        <v>0</v>
      </c>
      <c r="AC243" s="32">
        <f>IF(AND(Assumptions!$G$183="Yes",Assumptions!$G$184="Detailed"),-Assumptions_Detailed!AC$74,MAX(IFERROR(AC203-AC238,0),$C$246-SUM($G$243:AB243)))</f>
        <v>0</v>
      </c>
      <c r="AD243" s="32">
        <f>IF(AND(Assumptions!$G$183="Yes",Assumptions!$G$184="Detailed"),-Assumptions_Detailed!AD$74,MAX(IFERROR(AD203-AD238,0),$C$246-SUM($G$243:AC243)))</f>
        <v>0</v>
      </c>
      <c r="AE243" s="32">
        <f>IF(AND(Assumptions!$G$183="Yes",Assumptions!$G$184="Detailed"),-Assumptions_Detailed!AE$74,MAX(IFERROR(AE203-AE238,0),$C$246-SUM($G$243:AD243)))</f>
        <v>0</v>
      </c>
      <c r="AF243" s="32">
        <f>IF(AND(Assumptions!$G$183="Yes",Assumptions!$G$184="Detailed"),-Assumptions_Detailed!AF$74,MAX(IFERROR(AF203-AF238,0),$C$246-SUM($G$243:AE243)))</f>
        <v>0</v>
      </c>
      <c r="AG243" s="32">
        <f>IF(AND(Assumptions!$G$183="Yes",Assumptions!$G$184="Detailed"),-Assumptions_Detailed!AG$74,MAX(IFERROR(AG203-AG238,0),$C$246-SUM($G$243:AF243)))</f>
        <v>0</v>
      </c>
      <c r="AH243" s="32">
        <f>IF(AND(Assumptions!$G$183="Yes",Assumptions!$G$184="Detailed"),-Assumptions_Detailed!AH$74,MAX(IFERROR(AH203-AH238,0),$C$246-SUM($G$243:AG243)))</f>
        <v>0</v>
      </c>
      <c r="AI243" s="32">
        <f>IF(AND(Assumptions!$G$183="Yes",Assumptions!$G$184="Detailed"),-Assumptions_Detailed!AI$74,MAX(IFERROR(AI203-AI238,0),$C$246-SUM($G$243:AH243)))</f>
        <v>0</v>
      </c>
      <c r="AJ243" s="32">
        <f>IF(AND(Assumptions!$G$183="Yes",Assumptions!$G$184="Detailed"),-Assumptions_Detailed!AJ$74,MAX(IFERROR(AJ203-AJ238,0),$C$246-SUM($G$243:AI243)))</f>
        <v>0</v>
      </c>
      <c r="AK243" s="32">
        <f>IF(AND(Assumptions!$G$183="Yes",Assumptions!$G$184="Detailed"),-Assumptions_Detailed!AK$74,MAX(IFERROR(AK203-AK238,0),$C$246-SUM($G$243:AJ243)))</f>
        <v>0</v>
      </c>
      <c r="AL243" s="32">
        <f>IF(AND(Assumptions!$G$183="Yes",Assumptions!$G$184="Detailed"),-Assumptions_Detailed!AL$74,MAX(IFERROR(AL203-AL238,0),$C$246-SUM($G$243:AK243)))</f>
        <v>0</v>
      </c>
      <c r="AM243" s="32">
        <f>IF(AND(Assumptions!$G$183="Yes",Assumptions!$G$184="Detailed"),-Assumptions_Detailed!AM$74,MAX(IFERROR(AM203-AM238,0),$C$246-SUM($G$243:AL243)))</f>
        <v>0</v>
      </c>
      <c r="AN243" s="32">
        <f>IF(AND(Assumptions!$G$183="Yes",Assumptions!$G$184="Detailed"),-Assumptions_Detailed!AN$74,MAX(IFERROR(AN203-AN238,0),$C$246-SUM($G$243:AM243)))</f>
        <v>0</v>
      </c>
      <c r="AO243" s="32">
        <f>IF(AND(Assumptions!$G$183="Yes",Assumptions!$G$184="Detailed"),-Assumptions_Detailed!AO$74,MAX(IFERROR(AO203-AO238,0),$C$246-SUM($G$243:AN243)))</f>
        <v>0</v>
      </c>
      <c r="AP243" s="32">
        <f>IF(AND(Assumptions!$G$183="Yes",Assumptions!$G$184="Detailed"),-Assumptions_Detailed!AP$74,MAX(IFERROR(AP203-AP238,0),$C$246-SUM($G$243:AO243)))</f>
        <v>0</v>
      </c>
      <c r="AQ243" s="32">
        <f>IF(AND(Assumptions!$G$183="Yes",Assumptions!$G$184="Detailed"),-Assumptions_Detailed!AQ$74,MAX(IFERROR(AQ203-AQ238,0),$C$246-SUM($G$243:AP243)))</f>
        <v>0</v>
      </c>
      <c r="AR243" s="32">
        <f>IF(AND(Assumptions!$G$183="Yes",Assumptions!$G$184="Detailed"),-Assumptions_Detailed!AR$74,MAX(IFERROR(AR203-AR238,0),$C$246-SUM($G$243:AQ243)))</f>
        <v>0</v>
      </c>
      <c r="AS243" s="32">
        <f>IF(AND(Assumptions!$G$183="Yes",Assumptions!$G$184="Detailed"),-Assumptions_Detailed!AS$74,MAX(IFERROR(AS203-AS238,0),$C$246-SUM($G$243:AR243)))</f>
        <v>0</v>
      </c>
      <c r="AT243" s="32">
        <f>IF(AND(Assumptions!$G$183="Yes",Assumptions!$G$184="Detailed"),-Assumptions_Detailed!AT$74,MAX(IFERROR(AT203-AT238,0),$C$246-SUM($G$243:AS243)))</f>
        <v>0</v>
      </c>
      <c r="AU243" s="32">
        <f>IF(AND(Assumptions!$G$183="Yes",Assumptions!$G$184="Detailed"),-Assumptions_Detailed!AU$74,MAX(IFERROR(AU203-AU238,0),$C$246-SUM($G$243:AT243)))</f>
        <v>0</v>
      </c>
      <c r="AV243" s="32">
        <f>IF(AND(Assumptions!$G$183="Yes",Assumptions!$G$184="Detailed"),-Assumptions_Detailed!AV$74,MAX(IFERROR(AV203-AV238,0),$C$246-SUM($G$243:AU243)))</f>
        <v>0</v>
      </c>
      <c r="AW243" s="32">
        <f>IF(AND(Assumptions!$G$183="Yes",Assumptions!$G$184="Detailed"),-Assumptions_Detailed!AW$74,MAX(IFERROR(AW203-AW238,0),$C$246-SUM($G$243:AV243)))</f>
        <v>0</v>
      </c>
      <c r="AX243" s="32">
        <f>IF(AND(Assumptions!$G$183="Yes",Assumptions!$G$184="Detailed"),-Assumptions_Detailed!AX$74,MAX(IFERROR(AX203-AX238,0),$C$246-SUM($G$243:AW243)))</f>
        <v>0</v>
      </c>
      <c r="AY243" s="32">
        <f>IF(AND(Assumptions!$G$183="Yes",Assumptions!$G$184="Detailed"),-Assumptions_Detailed!AY$74,MAX(IFERROR(AY203-AY238,0),$C$246-SUM($G$243:AX243)))</f>
        <v>0</v>
      </c>
      <c r="AZ243" s="32">
        <f>IF(AND(Assumptions!$G$183="Yes",Assumptions!$G$184="Detailed"),-Assumptions_Detailed!AZ$74,MAX(IFERROR(AZ203-AZ238,0),$C$246-SUM($G$243:AY243)))</f>
        <v>0</v>
      </c>
      <c r="BA243" s="32">
        <f>IF(AND(Assumptions!$G$183="Yes",Assumptions!$G$184="Detailed"),-Assumptions_Detailed!BA$74,MAX(IFERROR(BA203-BA238,0),$C$246-SUM($G$243:AZ243)))</f>
        <v>0</v>
      </c>
      <c r="BB243" s="32">
        <f>IF(AND(Assumptions!$G$183="Yes",Assumptions!$G$184="Detailed"),-Assumptions_Detailed!BB$74,MAX(IFERROR(BB203-BB238,0),$C$246-SUM($G$243:BA243)))</f>
        <v>0</v>
      </c>
      <c r="BC243" s="32">
        <f>IF(AND(Assumptions!$G$183="Yes",Assumptions!$G$184="Detailed"),-Assumptions_Detailed!BC$74,MAX(IFERROR(BC203-BC238,0),$C$246-SUM($G$243:BB243)))</f>
        <v>0</v>
      </c>
      <c r="BD243" s="32">
        <f>IF(AND(Assumptions!$G$183="Yes",Assumptions!$G$184="Detailed"),-Assumptions_Detailed!BD$74,MAX(IFERROR(BD203-BD238,0),$C$246-SUM($G$243:BC243)))</f>
        <v>0</v>
      </c>
      <c r="BE243" s="32">
        <f>IF(AND(Assumptions!$G$183="Yes",Assumptions!$G$184="Detailed"),-Assumptions_Detailed!BE$74,MAX(IFERROR(BE203-BE238,0),$C$246-SUM($G$243:BD243)))</f>
        <v>0</v>
      </c>
      <c r="BF243" s="32">
        <f>IF(AND(Assumptions!$G$183="Yes",Assumptions!$G$184="Detailed"),-Assumptions_Detailed!BF$74,MAX(IFERROR(BF203-BF238,0),$C$246-SUM($G$243:BE243)))</f>
        <v>0</v>
      </c>
      <c r="BG243" s="32">
        <f>IF(AND(Assumptions!$G$183="Yes",Assumptions!$G$184="Detailed"),-Assumptions_Detailed!BG$74,MAX(IFERROR(BG203-BG238,0),$C$246-SUM($G$243:BF243)))</f>
        <v>0</v>
      </c>
      <c r="BH243" s="32">
        <f>IF(AND(Assumptions!$G$183="Yes",Assumptions!$G$184="Detailed"),-Assumptions_Detailed!BH$74,MAX(IFERROR(BH203-BH238,0),$C$246-SUM($G$243:BG243)))</f>
        <v>0</v>
      </c>
      <c r="BI243" s="32">
        <f>IF(AND(Assumptions!$G$183="Yes",Assumptions!$G$184="Detailed"),-Assumptions_Detailed!BI$74,MAX(IFERROR(BI203-BI238,0),$C$246-SUM($G$243:BH243)))</f>
        <v>0</v>
      </c>
      <c r="BJ243" s="32">
        <f>IF(AND(Assumptions!$G$183="Yes",Assumptions!$G$184="Detailed"),-Assumptions_Detailed!BJ$74,MAX(IFERROR(BJ203-BJ238,0),$C$246-SUM($G$243:BI243)))</f>
        <v>0</v>
      </c>
      <c r="BK243" s="32">
        <f>IF(AND(Assumptions!$G$183="Yes",Assumptions!$G$184="Detailed"),-Assumptions_Detailed!BK$74,MAX(IFERROR(BK203-BK238,0),$C$246-SUM($G$243:BJ243)))</f>
        <v>0</v>
      </c>
      <c r="BL243" s="32">
        <f>IF(AND(Assumptions!$G$183="Yes",Assumptions!$G$184="Detailed"),-Assumptions_Detailed!BL$74,MAX(IFERROR(BL203-BL238,0),$C$246-SUM($G$243:BK243)))</f>
        <v>0</v>
      </c>
      <c r="BM243" s="32">
        <f>IF(AND(Assumptions!$G$183="Yes",Assumptions!$G$184="Detailed"),-Assumptions_Detailed!BM$74,MAX(IFERROR(BM203-BM238,0),$C$246-SUM($G$243:BL243)))</f>
        <v>0</v>
      </c>
      <c r="BN243" s="32">
        <f>IF(AND(Assumptions!$G$183="Yes",Assumptions!$G$184="Detailed"),-Assumptions_Detailed!BN$74,MAX(IFERROR(BN203-BN238,0),$C$246-SUM($G$243:BM243)))</f>
        <v>0</v>
      </c>
      <c r="BO243" s="32">
        <f>IF(AND(Assumptions!$G$183="Yes",Assumptions!$G$184="Detailed"),-Assumptions_Detailed!BO$74,MAX(IFERROR(BO203-BO238,0),$C$246-SUM($G$243:BN243)))</f>
        <v>0</v>
      </c>
      <c r="BP243" s="32">
        <f>IF(AND(Assumptions!$G$183="Yes",Assumptions!$G$184="Detailed"),-Assumptions_Detailed!BP$74,MAX(IFERROR(BP203-BP238,0),$C$246-SUM($G$243:BO243)))</f>
        <v>0</v>
      </c>
      <c r="BQ243" s="32">
        <f>IF(AND(Assumptions!$G$183="Yes",Assumptions!$G$184="Detailed"),-Assumptions_Detailed!BQ$74,MAX(IFERROR(BQ203-BQ238,0),$C$246-SUM($G$243:BP243)))</f>
        <v>0</v>
      </c>
      <c r="BR243" s="32">
        <f>IF(AND(Assumptions!$G$183="Yes",Assumptions!$G$184="Detailed"),-Assumptions_Detailed!BR$74,MAX(IFERROR(BR203-BR238,0),$C$246-SUM($G$243:BQ243)))</f>
        <v>0</v>
      </c>
      <c r="BS243" s="32">
        <f>IF(AND(Assumptions!$G$183="Yes",Assumptions!$G$184="Detailed"),-Assumptions_Detailed!BS$74,MAX(IFERROR(BS203-BS238,0),$C$246-SUM($G$243:BR243)))</f>
        <v>0</v>
      </c>
      <c r="BT243" s="32">
        <f>IF(AND(Assumptions!$G$183="Yes",Assumptions!$G$184="Detailed"),-Assumptions_Detailed!BT$74,MAX(IFERROR(BT203-BT238,0),$C$246-SUM($G$243:BS243)))</f>
        <v>0</v>
      </c>
      <c r="BU243" s="32">
        <f>IF(AND(Assumptions!$G$183="Yes",Assumptions!$G$184="Detailed"),-Assumptions_Detailed!BU$74,MAX(IFERROR(BU203-BU238,0),$C$246-SUM($G$243:BT243)))</f>
        <v>0</v>
      </c>
      <c r="BV243" s="32">
        <f>IF(AND(Assumptions!$G$183="Yes",Assumptions!$G$184="Detailed"),-Assumptions_Detailed!BV$74,MAX(IFERROR(BV203-BV238,0),$C$246-SUM($G$243:BU243)))</f>
        <v>0</v>
      </c>
      <c r="BW243" s="32">
        <f>IF(AND(Assumptions!$G$183="Yes",Assumptions!$G$184="Detailed"),-Assumptions_Detailed!BW$74,MAX(IFERROR(BW203-BW238,0),$C$246-SUM($G$243:BV243)))</f>
        <v>0</v>
      </c>
      <c r="BX243" s="32">
        <f>IF(AND(Assumptions!$G$183="Yes",Assumptions!$G$184="Detailed"),-Assumptions_Detailed!BX$74,MAX(IFERROR(BX203-BX238,0),$C$246-SUM($G$243:BW243)))</f>
        <v>0</v>
      </c>
      <c r="BY243" s="32">
        <f>IF(AND(Assumptions!$G$183="Yes",Assumptions!$G$184="Detailed"),-Assumptions_Detailed!BY$74,MAX(IFERROR(BY203-BY238,0),$C$246-SUM($G$243:BX243)))</f>
        <v>0</v>
      </c>
    </row>
    <row r="244" spans="3:77" outlineLevel="1">
      <c r="D244" s="31"/>
      <c r="BF244" s="33"/>
      <c r="BG244" s="33"/>
      <c r="BH244" s="33"/>
      <c r="BI244" s="33"/>
      <c r="BJ244" s="33"/>
      <c r="BK244" s="33"/>
      <c r="BL244" s="33"/>
      <c r="BM244" s="33"/>
      <c r="BN244" s="33"/>
      <c r="BO244" s="33"/>
      <c r="BP244" s="33"/>
      <c r="BQ244" s="33"/>
      <c r="BR244" s="33"/>
      <c r="BS244" s="33"/>
      <c r="BT244" s="33"/>
      <c r="BU244" s="33"/>
      <c r="BV244" s="33"/>
      <c r="BW244" s="33"/>
      <c r="BX244" s="33"/>
      <c r="BY244" s="33"/>
    </row>
    <row r="245" spans="3:77" ht="15" outlineLevel="1">
      <c r="C245" s="22" t="s">
        <v>498</v>
      </c>
      <c r="D245" s="31"/>
      <c r="BF245" s="33"/>
      <c r="BG245" s="33"/>
      <c r="BH245" s="33"/>
      <c r="BI245" s="33"/>
      <c r="BJ245" s="33"/>
      <c r="BK245" s="33"/>
      <c r="BL245" s="33"/>
      <c r="BM245" s="33"/>
      <c r="BN245" s="33"/>
      <c r="BO245" s="33"/>
      <c r="BP245" s="33"/>
      <c r="BQ245" s="33"/>
      <c r="BR245" s="33"/>
      <c r="BS245" s="33"/>
      <c r="BT245" s="33"/>
      <c r="BU245" s="33"/>
      <c r="BV245" s="33"/>
      <c r="BW245" s="33"/>
      <c r="BX245" s="33"/>
      <c r="BY245" s="33"/>
    </row>
    <row r="246" spans="3:77" outlineLevel="1">
      <c r="C246" s="94">
        <f>+Assumptions!$G$188*C203</f>
        <v>-4500936.6349641364</v>
      </c>
      <c r="D246" s="31"/>
      <c r="BF246" s="33"/>
      <c r="BG246" s="33"/>
      <c r="BH246" s="33"/>
      <c r="BI246" s="33"/>
      <c r="BJ246" s="33"/>
      <c r="BK246" s="33"/>
      <c r="BL246" s="33"/>
      <c r="BM246" s="33"/>
      <c r="BN246" s="33"/>
      <c r="BO246" s="33"/>
      <c r="BP246" s="33"/>
      <c r="BQ246" s="33"/>
      <c r="BR246" s="33"/>
      <c r="BS246" s="33"/>
      <c r="BT246" s="33"/>
      <c r="BU246" s="33"/>
      <c r="BV246" s="33"/>
      <c r="BW246" s="33"/>
      <c r="BX246" s="33"/>
      <c r="BY246" s="33"/>
    </row>
    <row r="247" spans="3:77" outlineLevel="1">
      <c r="D247" s="31"/>
      <c r="E247" t="s">
        <v>499</v>
      </c>
      <c r="F247" s="23" t="s">
        <v>500</v>
      </c>
      <c r="G247" s="33"/>
      <c r="H247" s="33">
        <f>+IF(AND(H$243=$C249,H$243&lt;0),1,0)</f>
        <v>0</v>
      </c>
      <c r="I247" s="33">
        <f t="shared" ref="I247:BT247" si="305">+IF(AND(I$243=$C249,I$243&lt;0),1,0)</f>
        <v>1</v>
      </c>
      <c r="J247" s="33">
        <f t="shared" si="305"/>
        <v>0</v>
      </c>
      <c r="K247" s="33">
        <f t="shared" si="305"/>
        <v>0</v>
      </c>
      <c r="L247" s="33">
        <f t="shared" si="305"/>
        <v>0</v>
      </c>
      <c r="M247" s="33">
        <f t="shared" si="305"/>
        <v>0</v>
      </c>
      <c r="N247" s="33">
        <f t="shared" si="305"/>
        <v>0</v>
      </c>
      <c r="O247" s="33">
        <f t="shared" si="305"/>
        <v>0</v>
      </c>
      <c r="P247" s="33">
        <f t="shared" si="305"/>
        <v>0</v>
      </c>
      <c r="Q247" s="33">
        <f t="shared" si="305"/>
        <v>0</v>
      </c>
      <c r="R247" s="33">
        <f t="shared" si="305"/>
        <v>0</v>
      </c>
      <c r="S247" s="33">
        <f t="shared" si="305"/>
        <v>0</v>
      </c>
      <c r="T247" s="33">
        <f t="shared" si="305"/>
        <v>0</v>
      </c>
      <c r="U247" s="33">
        <f t="shared" si="305"/>
        <v>0</v>
      </c>
      <c r="V247" s="33">
        <f t="shared" si="305"/>
        <v>0</v>
      </c>
      <c r="W247" s="33">
        <f t="shared" si="305"/>
        <v>0</v>
      </c>
      <c r="X247" s="33">
        <f t="shared" si="305"/>
        <v>0</v>
      </c>
      <c r="Y247" s="33">
        <f t="shared" si="305"/>
        <v>0</v>
      </c>
      <c r="Z247" s="33">
        <f t="shared" si="305"/>
        <v>0</v>
      </c>
      <c r="AA247" s="33">
        <f t="shared" si="305"/>
        <v>0</v>
      </c>
      <c r="AB247" s="33">
        <f t="shared" si="305"/>
        <v>0</v>
      </c>
      <c r="AC247" s="33">
        <f t="shared" si="305"/>
        <v>0</v>
      </c>
      <c r="AD247" s="33">
        <f t="shared" si="305"/>
        <v>0</v>
      </c>
      <c r="AE247" s="33">
        <f t="shared" si="305"/>
        <v>0</v>
      </c>
      <c r="AF247" s="33">
        <f t="shared" si="305"/>
        <v>0</v>
      </c>
      <c r="AG247" s="33">
        <f t="shared" si="305"/>
        <v>0</v>
      </c>
      <c r="AH247" s="33">
        <f t="shared" si="305"/>
        <v>0</v>
      </c>
      <c r="AI247" s="33">
        <f t="shared" si="305"/>
        <v>0</v>
      </c>
      <c r="AJ247" s="33">
        <f t="shared" si="305"/>
        <v>0</v>
      </c>
      <c r="AK247" s="33">
        <f t="shared" si="305"/>
        <v>0</v>
      </c>
      <c r="AL247" s="33">
        <f t="shared" si="305"/>
        <v>0</v>
      </c>
      <c r="AM247" s="33">
        <f t="shared" si="305"/>
        <v>0</v>
      </c>
      <c r="AN247" s="33">
        <f t="shared" si="305"/>
        <v>0</v>
      </c>
      <c r="AO247" s="33">
        <f t="shared" si="305"/>
        <v>0</v>
      </c>
      <c r="AP247" s="33">
        <f t="shared" si="305"/>
        <v>0</v>
      </c>
      <c r="AQ247" s="33">
        <f t="shared" si="305"/>
        <v>0</v>
      </c>
      <c r="AR247" s="33">
        <f t="shared" si="305"/>
        <v>0</v>
      </c>
      <c r="AS247" s="33">
        <f t="shared" si="305"/>
        <v>0</v>
      </c>
      <c r="AT247" s="33">
        <f t="shared" si="305"/>
        <v>0</v>
      </c>
      <c r="AU247" s="33">
        <f t="shared" si="305"/>
        <v>0</v>
      </c>
      <c r="AV247" s="33">
        <f t="shared" si="305"/>
        <v>0</v>
      </c>
      <c r="AW247" s="33">
        <f t="shared" si="305"/>
        <v>0</v>
      </c>
      <c r="AX247" s="33">
        <f t="shared" si="305"/>
        <v>0</v>
      </c>
      <c r="AY247" s="33">
        <f t="shared" si="305"/>
        <v>0</v>
      </c>
      <c r="AZ247" s="33">
        <f t="shared" si="305"/>
        <v>0</v>
      </c>
      <c r="BA247" s="33">
        <f t="shared" si="305"/>
        <v>0</v>
      </c>
      <c r="BB247" s="33">
        <f t="shared" si="305"/>
        <v>0</v>
      </c>
      <c r="BC247" s="33">
        <f t="shared" si="305"/>
        <v>0</v>
      </c>
      <c r="BD247" s="33">
        <f t="shared" si="305"/>
        <v>0</v>
      </c>
      <c r="BE247" s="33">
        <f t="shared" si="305"/>
        <v>0</v>
      </c>
      <c r="BF247" s="33">
        <f t="shared" si="305"/>
        <v>0</v>
      </c>
      <c r="BG247" s="33">
        <f t="shared" si="305"/>
        <v>0</v>
      </c>
      <c r="BH247" s="33">
        <f t="shared" si="305"/>
        <v>0</v>
      </c>
      <c r="BI247" s="33">
        <f t="shared" si="305"/>
        <v>0</v>
      </c>
      <c r="BJ247" s="33">
        <f t="shared" si="305"/>
        <v>0</v>
      </c>
      <c r="BK247" s="33">
        <f t="shared" si="305"/>
        <v>0</v>
      </c>
      <c r="BL247" s="33">
        <f t="shared" si="305"/>
        <v>0</v>
      </c>
      <c r="BM247" s="33">
        <f t="shared" si="305"/>
        <v>0</v>
      </c>
      <c r="BN247" s="33">
        <f t="shared" si="305"/>
        <v>0</v>
      </c>
      <c r="BO247" s="33">
        <f t="shared" si="305"/>
        <v>0</v>
      </c>
      <c r="BP247" s="33">
        <f t="shared" si="305"/>
        <v>0</v>
      </c>
      <c r="BQ247" s="33">
        <f t="shared" si="305"/>
        <v>0</v>
      </c>
      <c r="BR247" s="33">
        <f t="shared" si="305"/>
        <v>0</v>
      </c>
      <c r="BS247" s="33">
        <f t="shared" si="305"/>
        <v>0</v>
      </c>
      <c r="BT247" s="33">
        <f t="shared" si="305"/>
        <v>0</v>
      </c>
      <c r="BU247" s="33">
        <f t="shared" ref="BU247:BY247" si="306">+IF(AND(BU$243=$C249,BU$243&lt;0),1,0)</f>
        <v>0</v>
      </c>
      <c r="BV247" s="33">
        <f t="shared" si="306"/>
        <v>0</v>
      </c>
      <c r="BW247" s="33">
        <f t="shared" si="306"/>
        <v>0</v>
      </c>
      <c r="BX247" s="33">
        <f t="shared" si="306"/>
        <v>0</v>
      </c>
      <c r="BY247" s="33">
        <f t="shared" si="306"/>
        <v>0</v>
      </c>
    </row>
    <row r="248" spans="3:77" ht="15" outlineLevel="1">
      <c r="C248" s="22" t="s">
        <v>501</v>
      </c>
      <c r="D248" s="31"/>
      <c r="E248" t="s">
        <v>502</v>
      </c>
      <c r="F248" s="23" t="s">
        <v>500</v>
      </c>
      <c r="H248" s="33">
        <f t="shared" ref="H248:BS248" si="307">+IF(AND(H$243=$C250,H$243&lt;0),1,0)</f>
        <v>0</v>
      </c>
      <c r="I248" s="33">
        <f t="shared" si="307"/>
        <v>0</v>
      </c>
      <c r="J248" s="33">
        <f t="shared" si="307"/>
        <v>1</v>
      </c>
      <c r="K248" s="33">
        <f t="shared" si="307"/>
        <v>0</v>
      </c>
      <c r="L248" s="33">
        <f t="shared" si="307"/>
        <v>0</v>
      </c>
      <c r="M248" s="33">
        <f t="shared" si="307"/>
        <v>0</v>
      </c>
      <c r="N248" s="33">
        <f t="shared" si="307"/>
        <v>0</v>
      </c>
      <c r="O248" s="33">
        <f t="shared" si="307"/>
        <v>0</v>
      </c>
      <c r="P248" s="33">
        <f t="shared" si="307"/>
        <v>0</v>
      </c>
      <c r="Q248" s="33">
        <f t="shared" si="307"/>
        <v>0</v>
      </c>
      <c r="R248" s="33">
        <f t="shared" si="307"/>
        <v>0</v>
      </c>
      <c r="S248" s="33">
        <f t="shared" si="307"/>
        <v>0</v>
      </c>
      <c r="T248" s="33">
        <f t="shared" si="307"/>
        <v>0</v>
      </c>
      <c r="U248" s="33">
        <f t="shared" si="307"/>
        <v>0</v>
      </c>
      <c r="V248" s="33">
        <f t="shared" si="307"/>
        <v>0</v>
      </c>
      <c r="W248" s="33">
        <f t="shared" si="307"/>
        <v>0</v>
      </c>
      <c r="X248" s="33">
        <f t="shared" si="307"/>
        <v>0</v>
      </c>
      <c r="Y248" s="33">
        <f t="shared" si="307"/>
        <v>0</v>
      </c>
      <c r="Z248" s="33">
        <f t="shared" si="307"/>
        <v>0</v>
      </c>
      <c r="AA248" s="33">
        <f t="shared" si="307"/>
        <v>0</v>
      </c>
      <c r="AB248" s="33">
        <f t="shared" si="307"/>
        <v>0</v>
      </c>
      <c r="AC248" s="33">
        <f t="shared" si="307"/>
        <v>0</v>
      </c>
      <c r="AD248" s="33">
        <f t="shared" si="307"/>
        <v>0</v>
      </c>
      <c r="AE248" s="33">
        <f t="shared" si="307"/>
        <v>0</v>
      </c>
      <c r="AF248" s="33">
        <f t="shared" si="307"/>
        <v>0</v>
      </c>
      <c r="AG248" s="33">
        <f t="shared" si="307"/>
        <v>0</v>
      </c>
      <c r="AH248" s="33">
        <f t="shared" si="307"/>
        <v>0</v>
      </c>
      <c r="AI248" s="33">
        <f t="shared" si="307"/>
        <v>0</v>
      </c>
      <c r="AJ248" s="33">
        <f t="shared" si="307"/>
        <v>0</v>
      </c>
      <c r="AK248" s="33">
        <f t="shared" si="307"/>
        <v>0</v>
      </c>
      <c r="AL248" s="33">
        <f t="shared" si="307"/>
        <v>0</v>
      </c>
      <c r="AM248" s="33">
        <f t="shared" si="307"/>
        <v>0</v>
      </c>
      <c r="AN248" s="33">
        <f t="shared" si="307"/>
        <v>0</v>
      </c>
      <c r="AO248" s="33">
        <f t="shared" si="307"/>
        <v>0</v>
      </c>
      <c r="AP248" s="33">
        <f t="shared" si="307"/>
        <v>0</v>
      </c>
      <c r="AQ248" s="33">
        <f t="shared" si="307"/>
        <v>0</v>
      </c>
      <c r="AR248" s="33">
        <f t="shared" si="307"/>
        <v>0</v>
      </c>
      <c r="AS248" s="33">
        <f t="shared" si="307"/>
        <v>0</v>
      </c>
      <c r="AT248" s="33">
        <f t="shared" si="307"/>
        <v>0</v>
      </c>
      <c r="AU248" s="33">
        <f t="shared" si="307"/>
        <v>0</v>
      </c>
      <c r="AV248" s="33">
        <f t="shared" si="307"/>
        <v>0</v>
      </c>
      <c r="AW248" s="33">
        <f t="shared" si="307"/>
        <v>0</v>
      </c>
      <c r="AX248" s="33">
        <f t="shared" si="307"/>
        <v>0</v>
      </c>
      <c r="AY248" s="33">
        <f t="shared" si="307"/>
        <v>0</v>
      </c>
      <c r="AZ248" s="33">
        <f t="shared" si="307"/>
        <v>0</v>
      </c>
      <c r="BA248" s="33">
        <f t="shared" si="307"/>
        <v>0</v>
      </c>
      <c r="BB248" s="33">
        <f t="shared" si="307"/>
        <v>0</v>
      </c>
      <c r="BC248" s="33">
        <f t="shared" si="307"/>
        <v>0</v>
      </c>
      <c r="BD248" s="33">
        <f t="shared" si="307"/>
        <v>0</v>
      </c>
      <c r="BE248" s="33">
        <f t="shared" si="307"/>
        <v>0</v>
      </c>
      <c r="BF248" s="33">
        <f t="shared" si="307"/>
        <v>0</v>
      </c>
      <c r="BG248" s="33">
        <f t="shared" si="307"/>
        <v>0</v>
      </c>
      <c r="BH248" s="33">
        <f t="shared" si="307"/>
        <v>0</v>
      </c>
      <c r="BI248" s="33">
        <f t="shared" si="307"/>
        <v>0</v>
      </c>
      <c r="BJ248" s="33">
        <f t="shared" si="307"/>
        <v>0</v>
      </c>
      <c r="BK248" s="33">
        <f t="shared" si="307"/>
        <v>0</v>
      </c>
      <c r="BL248" s="33">
        <f t="shared" si="307"/>
        <v>0</v>
      </c>
      <c r="BM248" s="33">
        <f t="shared" si="307"/>
        <v>0</v>
      </c>
      <c r="BN248" s="33">
        <f t="shared" si="307"/>
        <v>0</v>
      </c>
      <c r="BO248" s="33">
        <f t="shared" si="307"/>
        <v>0</v>
      </c>
      <c r="BP248" s="33">
        <f t="shared" si="307"/>
        <v>0</v>
      </c>
      <c r="BQ248" s="33">
        <f t="shared" si="307"/>
        <v>0</v>
      </c>
      <c r="BR248" s="33">
        <f t="shared" si="307"/>
        <v>0</v>
      </c>
      <c r="BS248" s="33">
        <f t="shared" si="307"/>
        <v>0</v>
      </c>
      <c r="BT248" s="33">
        <f t="shared" ref="BT248:BY248" si="308">+IF(AND(BT$243=$C250,BT$243&lt;0),1,0)</f>
        <v>0</v>
      </c>
      <c r="BU248" s="33">
        <f t="shared" si="308"/>
        <v>0</v>
      </c>
      <c r="BV248" s="33">
        <f t="shared" si="308"/>
        <v>0</v>
      </c>
      <c r="BW248" s="33">
        <f t="shared" si="308"/>
        <v>0</v>
      </c>
      <c r="BX248" s="33">
        <f t="shared" si="308"/>
        <v>0</v>
      </c>
      <c r="BY248" s="33">
        <f t="shared" si="308"/>
        <v>0</v>
      </c>
    </row>
    <row r="249" spans="3:77" outlineLevel="1">
      <c r="C249" s="32" cm="1">
        <f t="array" ref="C249:C250">+TRANSPOSE(_xlfn._xlws.FILTER(H243:BY243,H243:BY243))</f>
        <v>-1254150.6606618594</v>
      </c>
      <c r="D249" s="31"/>
      <c r="E249" t="s">
        <v>503</v>
      </c>
      <c r="F249" s="23" t="s">
        <v>500</v>
      </c>
      <c r="H249" s="33">
        <f t="shared" ref="H249:BS249" si="309">+IF(AND(H$243=$C251,H$243&lt;0),1,0)</f>
        <v>0</v>
      </c>
      <c r="I249" s="33">
        <f t="shared" si="309"/>
        <v>0</v>
      </c>
      <c r="J249" s="33">
        <f t="shared" si="309"/>
        <v>0</v>
      </c>
      <c r="K249" s="33">
        <f t="shared" si="309"/>
        <v>0</v>
      </c>
      <c r="L249" s="33">
        <f t="shared" si="309"/>
        <v>0</v>
      </c>
      <c r="M249" s="33">
        <f t="shared" si="309"/>
        <v>0</v>
      </c>
      <c r="N249" s="33">
        <f t="shared" si="309"/>
        <v>0</v>
      </c>
      <c r="O249" s="33">
        <f t="shared" si="309"/>
        <v>0</v>
      </c>
      <c r="P249" s="33">
        <f t="shared" si="309"/>
        <v>0</v>
      </c>
      <c r="Q249" s="33">
        <f t="shared" si="309"/>
        <v>0</v>
      </c>
      <c r="R249" s="33">
        <f t="shared" si="309"/>
        <v>0</v>
      </c>
      <c r="S249" s="33">
        <f t="shared" si="309"/>
        <v>0</v>
      </c>
      <c r="T249" s="33">
        <f t="shared" si="309"/>
        <v>0</v>
      </c>
      <c r="U249" s="33">
        <f t="shared" si="309"/>
        <v>0</v>
      </c>
      <c r="V249" s="33">
        <f t="shared" si="309"/>
        <v>0</v>
      </c>
      <c r="W249" s="33">
        <f t="shared" si="309"/>
        <v>0</v>
      </c>
      <c r="X249" s="33">
        <f t="shared" si="309"/>
        <v>0</v>
      </c>
      <c r="Y249" s="33">
        <f t="shared" si="309"/>
        <v>0</v>
      </c>
      <c r="Z249" s="33">
        <f t="shared" si="309"/>
        <v>0</v>
      </c>
      <c r="AA249" s="33">
        <f t="shared" si="309"/>
        <v>0</v>
      </c>
      <c r="AB249" s="33">
        <f t="shared" si="309"/>
        <v>0</v>
      </c>
      <c r="AC249" s="33">
        <f t="shared" si="309"/>
        <v>0</v>
      </c>
      <c r="AD249" s="33">
        <f t="shared" si="309"/>
        <v>0</v>
      </c>
      <c r="AE249" s="33">
        <f t="shared" si="309"/>
        <v>0</v>
      </c>
      <c r="AF249" s="33">
        <f t="shared" si="309"/>
        <v>0</v>
      </c>
      <c r="AG249" s="33">
        <f t="shared" si="309"/>
        <v>0</v>
      </c>
      <c r="AH249" s="33">
        <f t="shared" si="309"/>
        <v>0</v>
      </c>
      <c r="AI249" s="33">
        <f t="shared" si="309"/>
        <v>0</v>
      </c>
      <c r="AJ249" s="33">
        <f t="shared" si="309"/>
        <v>0</v>
      </c>
      <c r="AK249" s="33">
        <f t="shared" si="309"/>
        <v>0</v>
      </c>
      <c r="AL249" s="33">
        <f t="shared" si="309"/>
        <v>0</v>
      </c>
      <c r="AM249" s="33">
        <f t="shared" si="309"/>
        <v>0</v>
      </c>
      <c r="AN249" s="33">
        <f t="shared" si="309"/>
        <v>0</v>
      </c>
      <c r="AO249" s="33">
        <f t="shared" si="309"/>
        <v>0</v>
      </c>
      <c r="AP249" s="33">
        <f t="shared" si="309"/>
        <v>0</v>
      </c>
      <c r="AQ249" s="33">
        <f t="shared" si="309"/>
        <v>0</v>
      </c>
      <c r="AR249" s="33">
        <f t="shared" si="309"/>
        <v>0</v>
      </c>
      <c r="AS249" s="33">
        <f t="shared" si="309"/>
        <v>0</v>
      </c>
      <c r="AT249" s="33">
        <f t="shared" si="309"/>
        <v>0</v>
      </c>
      <c r="AU249" s="33">
        <f t="shared" si="309"/>
        <v>0</v>
      </c>
      <c r="AV249" s="33">
        <f t="shared" si="309"/>
        <v>0</v>
      </c>
      <c r="AW249" s="33">
        <f t="shared" si="309"/>
        <v>0</v>
      </c>
      <c r="AX249" s="33">
        <f t="shared" si="309"/>
        <v>0</v>
      </c>
      <c r="AY249" s="33">
        <f t="shared" si="309"/>
        <v>0</v>
      </c>
      <c r="AZ249" s="33">
        <f t="shared" si="309"/>
        <v>0</v>
      </c>
      <c r="BA249" s="33">
        <f t="shared" si="309"/>
        <v>0</v>
      </c>
      <c r="BB249" s="33">
        <f t="shared" si="309"/>
        <v>0</v>
      </c>
      <c r="BC249" s="33">
        <f t="shared" si="309"/>
        <v>0</v>
      </c>
      <c r="BD249" s="33">
        <f t="shared" si="309"/>
        <v>0</v>
      </c>
      <c r="BE249" s="33">
        <f t="shared" si="309"/>
        <v>0</v>
      </c>
      <c r="BF249" s="33">
        <f t="shared" si="309"/>
        <v>0</v>
      </c>
      <c r="BG249" s="33">
        <f t="shared" si="309"/>
        <v>0</v>
      </c>
      <c r="BH249" s="33">
        <f t="shared" si="309"/>
        <v>0</v>
      </c>
      <c r="BI249" s="33">
        <f t="shared" si="309"/>
        <v>0</v>
      </c>
      <c r="BJ249" s="33">
        <f t="shared" si="309"/>
        <v>0</v>
      </c>
      <c r="BK249" s="33">
        <f t="shared" si="309"/>
        <v>0</v>
      </c>
      <c r="BL249" s="33">
        <f t="shared" si="309"/>
        <v>0</v>
      </c>
      <c r="BM249" s="33">
        <f t="shared" si="309"/>
        <v>0</v>
      </c>
      <c r="BN249" s="33">
        <f t="shared" si="309"/>
        <v>0</v>
      </c>
      <c r="BO249" s="33">
        <f t="shared" si="309"/>
        <v>0</v>
      </c>
      <c r="BP249" s="33">
        <f t="shared" si="309"/>
        <v>0</v>
      </c>
      <c r="BQ249" s="33">
        <f t="shared" si="309"/>
        <v>0</v>
      </c>
      <c r="BR249" s="33">
        <f t="shared" si="309"/>
        <v>0</v>
      </c>
      <c r="BS249" s="33">
        <f t="shared" si="309"/>
        <v>0</v>
      </c>
      <c r="BT249" s="33">
        <f t="shared" ref="BT249:BY249" si="310">+IF(AND(BT$243=$C251,BT$243&lt;0),1,0)</f>
        <v>0</v>
      </c>
      <c r="BU249" s="33">
        <f t="shared" si="310"/>
        <v>0</v>
      </c>
      <c r="BV249" s="33">
        <f t="shared" si="310"/>
        <v>0</v>
      </c>
      <c r="BW249" s="33">
        <f t="shared" si="310"/>
        <v>0</v>
      </c>
      <c r="BX249" s="33">
        <f t="shared" si="310"/>
        <v>0</v>
      </c>
      <c r="BY249" s="33">
        <f t="shared" si="310"/>
        <v>0</v>
      </c>
    </row>
    <row r="250" spans="3:77" outlineLevel="1">
      <c r="C250" s="32">
        <v>-3246785.974302277</v>
      </c>
      <c r="D250" s="31"/>
      <c r="E250" t="s">
        <v>504</v>
      </c>
      <c r="F250" s="23" t="s">
        <v>500</v>
      </c>
      <c r="H250" s="33">
        <f t="shared" ref="H250:BS250" si="311">+IF(AND(H$243=$C252,H$243&lt;0),1,0)</f>
        <v>0</v>
      </c>
      <c r="I250" s="33">
        <f t="shared" si="311"/>
        <v>0</v>
      </c>
      <c r="J250" s="33">
        <f t="shared" si="311"/>
        <v>0</v>
      </c>
      <c r="K250" s="33">
        <f t="shared" si="311"/>
        <v>0</v>
      </c>
      <c r="L250" s="33">
        <f t="shared" si="311"/>
        <v>0</v>
      </c>
      <c r="M250" s="33">
        <f t="shared" si="311"/>
        <v>0</v>
      </c>
      <c r="N250" s="33">
        <f t="shared" si="311"/>
        <v>0</v>
      </c>
      <c r="O250" s="33">
        <f t="shared" si="311"/>
        <v>0</v>
      </c>
      <c r="P250" s="33">
        <f t="shared" si="311"/>
        <v>0</v>
      </c>
      <c r="Q250" s="33">
        <f t="shared" si="311"/>
        <v>0</v>
      </c>
      <c r="R250" s="33">
        <f t="shared" si="311"/>
        <v>0</v>
      </c>
      <c r="S250" s="33">
        <f t="shared" si="311"/>
        <v>0</v>
      </c>
      <c r="T250" s="33">
        <f t="shared" si="311"/>
        <v>0</v>
      </c>
      <c r="U250" s="33">
        <f t="shared" si="311"/>
        <v>0</v>
      </c>
      <c r="V250" s="33">
        <f t="shared" si="311"/>
        <v>0</v>
      </c>
      <c r="W250" s="33">
        <f t="shared" si="311"/>
        <v>0</v>
      </c>
      <c r="X250" s="33">
        <f t="shared" si="311"/>
        <v>0</v>
      </c>
      <c r="Y250" s="33">
        <f t="shared" si="311"/>
        <v>0</v>
      </c>
      <c r="Z250" s="33">
        <f t="shared" si="311"/>
        <v>0</v>
      </c>
      <c r="AA250" s="33">
        <f t="shared" si="311"/>
        <v>0</v>
      </c>
      <c r="AB250" s="33">
        <f t="shared" si="311"/>
        <v>0</v>
      </c>
      <c r="AC250" s="33">
        <f t="shared" si="311"/>
        <v>0</v>
      </c>
      <c r="AD250" s="33">
        <f t="shared" si="311"/>
        <v>0</v>
      </c>
      <c r="AE250" s="33">
        <f t="shared" si="311"/>
        <v>0</v>
      </c>
      <c r="AF250" s="33">
        <f t="shared" si="311"/>
        <v>0</v>
      </c>
      <c r="AG250" s="33">
        <f t="shared" si="311"/>
        <v>0</v>
      </c>
      <c r="AH250" s="33">
        <f t="shared" si="311"/>
        <v>0</v>
      </c>
      <c r="AI250" s="33">
        <f t="shared" si="311"/>
        <v>0</v>
      </c>
      <c r="AJ250" s="33">
        <f t="shared" si="311"/>
        <v>0</v>
      </c>
      <c r="AK250" s="33">
        <f t="shared" si="311"/>
        <v>0</v>
      </c>
      <c r="AL250" s="33">
        <f t="shared" si="311"/>
        <v>0</v>
      </c>
      <c r="AM250" s="33">
        <f t="shared" si="311"/>
        <v>0</v>
      </c>
      <c r="AN250" s="33">
        <f t="shared" si="311"/>
        <v>0</v>
      </c>
      <c r="AO250" s="33">
        <f t="shared" si="311"/>
        <v>0</v>
      </c>
      <c r="AP250" s="33">
        <f t="shared" si="311"/>
        <v>0</v>
      </c>
      <c r="AQ250" s="33">
        <f t="shared" si="311"/>
        <v>0</v>
      </c>
      <c r="AR250" s="33">
        <f t="shared" si="311"/>
        <v>0</v>
      </c>
      <c r="AS250" s="33">
        <f t="shared" si="311"/>
        <v>0</v>
      </c>
      <c r="AT250" s="33">
        <f t="shared" si="311"/>
        <v>0</v>
      </c>
      <c r="AU250" s="33">
        <f t="shared" si="311"/>
        <v>0</v>
      </c>
      <c r="AV250" s="33">
        <f t="shared" si="311"/>
        <v>0</v>
      </c>
      <c r="AW250" s="33">
        <f t="shared" si="311"/>
        <v>0</v>
      </c>
      <c r="AX250" s="33">
        <f t="shared" si="311"/>
        <v>0</v>
      </c>
      <c r="AY250" s="33">
        <f t="shared" si="311"/>
        <v>0</v>
      </c>
      <c r="AZ250" s="33">
        <f t="shared" si="311"/>
        <v>0</v>
      </c>
      <c r="BA250" s="33">
        <f t="shared" si="311"/>
        <v>0</v>
      </c>
      <c r="BB250" s="33">
        <f t="shared" si="311"/>
        <v>0</v>
      </c>
      <c r="BC250" s="33">
        <f t="shared" si="311"/>
        <v>0</v>
      </c>
      <c r="BD250" s="33">
        <f t="shared" si="311"/>
        <v>0</v>
      </c>
      <c r="BE250" s="33">
        <f t="shared" si="311"/>
        <v>0</v>
      </c>
      <c r="BF250" s="33">
        <f t="shared" si="311"/>
        <v>0</v>
      </c>
      <c r="BG250" s="33">
        <f t="shared" si="311"/>
        <v>0</v>
      </c>
      <c r="BH250" s="33">
        <f t="shared" si="311"/>
        <v>0</v>
      </c>
      <c r="BI250" s="33">
        <f t="shared" si="311"/>
        <v>0</v>
      </c>
      <c r="BJ250" s="33">
        <f t="shared" si="311"/>
        <v>0</v>
      </c>
      <c r="BK250" s="33">
        <f t="shared" si="311"/>
        <v>0</v>
      </c>
      <c r="BL250" s="33">
        <f t="shared" si="311"/>
        <v>0</v>
      </c>
      <c r="BM250" s="33">
        <f t="shared" si="311"/>
        <v>0</v>
      </c>
      <c r="BN250" s="33">
        <f t="shared" si="311"/>
        <v>0</v>
      </c>
      <c r="BO250" s="33">
        <f t="shared" si="311"/>
        <v>0</v>
      </c>
      <c r="BP250" s="33">
        <f t="shared" si="311"/>
        <v>0</v>
      </c>
      <c r="BQ250" s="33">
        <f t="shared" si="311"/>
        <v>0</v>
      </c>
      <c r="BR250" s="33">
        <f t="shared" si="311"/>
        <v>0</v>
      </c>
      <c r="BS250" s="33">
        <f t="shared" si="311"/>
        <v>0</v>
      </c>
      <c r="BT250" s="33">
        <f t="shared" ref="BT250:BY250" si="312">+IF(AND(BT$243=$C252,BT$243&lt;0),1,0)</f>
        <v>0</v>
      </c>
      <c r="BU250" s="33">
        <f t="shared" si="312"/>
        <v>0</v>
      </c>
      <c r="BV250" s="33">
        <f t="shared" si="312"/>
        <v>0</v>
      </c>
      <c r="BW250" s="33">
        <f t="shared" si="312"/>
        <v>0</v>
      </c>
      <c r="BX250" s="33">
        <f t="shared" si="312"/>
        <v>0</v>
      </c>
      <c r="BY250" s="33">
        <f t="shared" si="312"/>
        <v>0</v>
      </c>
    </row>
    <row r="251" spans="3:77" outlineLevel="1">
      <c r="C251" s="32"/>
      <c r="D251" s="31"/>
      <c r="E251" t="s">
        <v>505</v>
      </c>
      <c r="F251" s="23" t="s">
        <v>500</v>
      </c>
      <c r="H251" s="33">
        <f t="shared" ref="H251:BS251" si="313">+IF(AND(H$243=$C253,H$243&lt;0),1,0)</f>
        <v>0</v>
      </c>
      <c r="I251" s="33">
        <f t="shared" si="313"/>
        <v>0</v>
      </c>
      <c r="J251" s="33">
        <f t="shared" si="313"/>
        <v>0</v>
      </c>
      <c r="K251" s="33">
        <f t="shared" si="313"/>
        <v>0</v>
      </c>
      <c r="L251" s="33">
        <f t="shared" si="313"/>
        <v>0</v>
      </c>
      <c r="M251" s="33">
        <f t="shared" si="313"/>
        <v>0</v>
      </c>
      <c r="N251" s="33">
        <f t="shared" si="313"/>
        <v>0</v>
      </c>
      <c r="O251" s="33">
        <f t="shared" si="313"/>
        <v>0</v>
      </c>
      <c r="P251" s="33">
        <f t="shared" si="313"/>
        <v>0</v>
      </c>
      <c r="Q251" s="33">
        <f t="shared" si="313"/>
        <v>0</v>
      </c>
      <c r="R251" s="33">
        <f t="shared" si="313"/>
        <v>0</v>
      </c>
      <c r="S251" s="33">
        <f t="shared" si="313"/>
        <v>0</v>
      </c>
      <c r="T251" s="33">
        <f t="shared" si="313"/>
        <v>0</v>
      </c>
      <c r="U251" s="33">
        <f t="shared" si="313"/>
        <v>0</v>
      </c>
      <c r="V251" s="33">
        <f t="shared" si="313"/>
        <v>0</v>
      </c>
      <c r="W251" s="33">
        <f t="shared" si="313"/>
        <v>0</v>
      </c>
      <c r="X251" s="33">
        <f t="shared" si="313"/>
        <v>0</v>
      </c>
      <c r="Y251" s="33">
        <f t="shared" si="313"/>
        <v>0</v>
      </c>
      <c r="Z251" s="33">
        <f t="shared" si="313"/>
        <v>0</v>
      </c>
      <c r="AA251" s="33">
        <f t="shared" si="313"/>
        <v>0</v>
      </c>
      <c r="AB251" s="33">
        <f t="shared" si="313"/>
        <v>0</v>
      </c>
      <c r="AC251" s="33">
        <f t="shared" si="313"/>
        <v>0</v>
      </c>
      <c r="AD251" s="33">
        <f t="shared" si="313"/>
        <v>0</v>
      </c>
      <c r="AE251" s="33">
        <f t="shared" si="313"/>
        <v>0</v>
      </c>
      <c r="AF251" s="33">
        <f t="shared" si="313"/>
        <v>0</v>
      </c>
      <c r="AG251" s="33">
        <f t="shared" si="313"/>
        <v>0</v>
      </c>
      <c r="AH251" s="33">
        <f t="shared" si="313"/>
        <v>0</v>
      </c>
      <c r="AI251" s="33">
        <f t="shared" si="313"/>
        <v>0</v>
      </c>
      <c r="AJ251" s="33">
        <f t="shared" si="313"/>
        <v>0</v>
      </c>
      <c r="AK251" s="33">
        <f t="shared" si="313"/>
        <v>0</v>
      </c>
      <c r="AL251" s="33">
        <f t="shared" si="313"/>
        <v>0</v>
      </c>
      <c r="AM251" s="33">
        <f t="shared" si="313"/>
        <v>0</v>
      </c>
      <c r="AN251" s="33">
        <f t="shared" si="313"/>
        <v>0</v>
      </c>
      <c r="AO251" s="33">
        <f t="shared" si="313"/>
        <v>0</v>
      </c>
      <c r="AP251" s="33">
        <f t="shared" si="313"/>
        <v>0</v>
      </c>
      <c r="AQ251" s="33">
        <f t="shared" si="313"/>
        <v>0</v>
      </c>
      <c r="AR251" s="33">
        <f t="shared" si="313"/>
        <v>0</v>
      </c>
      <c r="AS251" s="33">
        <f t="shared" si="313"/>
        <v>0</v>
      </c>
      <c r="AT251" s="33">
        <f t="shared" si="313"/>
        <v>0</v>
      </c>
      <c r="AU251" s="33">
        <f t="shared" si="313"/>
        <v>0</v>
      </c>
      <c r="AV251" s="33">
        <f t="shared" si="313"/>
        <v>0</v>
      </c>
      <c r="AW251" s="33">
        <f t="shared" si="313"/>
        <v>0</v>
      </c>
      <c r="AX251" s="33">
        <f t="shared" si="313"/>
        <v>0</v>
      </c>
      <c r="AY251" s="33">
        <f t="shared" si="313"/>
        <v>0</v>
      </c>
      <c r="AZ251" s="33">
        <f t="shared" si="313"/>
        <v>0</v>
      </c>
      <c r="BA251" s="33">
        <f t="shared" si="313"/>
        <v>0</v>
      </c>
      <c r="BB251" s="33">
        <f t="shared" si="313"/>
        <v>0</v>
      </c>
      <c r="BC251" s="33">
        <f t="shared" si="313"/>
        <v>0</v>
      </c>
      <c r="BD251" s="33">
        <f t="shared" si="313"/>
        <v>0</v>
      </c>
      <c r="BE251" s="33">
        <f t="shared" si="313"/>
        <v>0</v>
      </c>
      <c r="BF251" s="33">
        <f t="shared" si="313"/>
        <v>0</v>
      </c>
      <c r="BG251" s="33">
        <f t="shared" si="313"/>
        <v>0</v>
      </c>
      <c r="BH251" s="33">
        <f t="shared" si="313"/>
        <v>0</v>
      </c>
      <c r="BI251" s="33">
        <f t="shared" si="313"/>
        <v>0</v>
      </c>
      <c r="BJ251" s="33">
        <f t="shared" si="313"/>
        <v>0</v>
      </c>
      <c r="BK251" s="33">
        <f t="shared" si="313"/>
        <v>0</v>
      </c>
      <c r="BL251" s="33">
        <f t="shared" si="313"/>
        <v>0</v>
      </c>
      <c r="BM251" s="33">
        <f t="shared" si="313"/>
        <v>0</v>
      </c>
      <c r="BN251" s="33">
        <f t="shared" si="313"/>
        <v>0</v>
      </c>
      <c r="BO251" s="33">
        <f t="shared" si="313"/>
        <v>0</v>
      </c>
      <c r="BP251" s="33">
        <f t="shared" si="313"/>
        <v>0</v>
      </c>
      <c r="BQ251" s="33">
        <f t="shared" si="313"/>
        <v>0</v>
      </c>
      <c r="BR251" s="33">
        <f t="shared" si="313"/>
        <v>0</v>
      </c>
      <c r="BS251" s="33">
        <f t="shared" si="313"/>
        <v>0</v>
      </c>
      <c r="BT251" s="33">
        <f t="shared" ref="BT251:BY251" si="314">+IF(AND(BT$243=$C253,BT$243&lt;0),1,0)</f>
        <v>0</v>
      </c>
      <c r="BU251" s="33">
        <f t="shared" si="314"/>
        <v>0</v>
      </c>
      <c r="BV251" s="33">
        <f t="shared" si="314"/>
        <v>0</v>
      </c>
      <c r="BW251" s="33">
        <f t="shared" si="314"/>
        <v>0</v>
      </c>
      <c r="BX251" s="33">
        <f t="shared" si="314"/>
        <v>0</v>
      </c>
      <c r="BY251" s="33">
        <f t="shared" si="314"/>
        <v>0</v>
      </c>
    </row>
    <row r="252" spans="3:77" outlineLevel="1">
      <c r="C252" s="32"/>
      <c r="D252" s="31"/>
      <c r="E252" t="s">
        <v>506</v>
      </c>
      <c r="F252" s="23" t="s">
        <v>500</v>
      </c>
      <c r="H252" s="33">
        <f t="shared" ref="H252:BS252" si="315">+IF(AND(H$243=$C254,H$243&lt;0),1,0)</f>
        <v>0</v>
      </c>
      <c r="I252" s="33">
        <f t="shared" si="315"/>
        <v>0</v>
      </c>
      <c r="J252" s="33">
        <f t="shared" si="315"/>
        <v>0</v>
      </c>
      <c r="K252" s="33">
        <f t="shared" si="315"/>
        <v>0</v>
      </c>
      <c r="L252" s="33">
        <f t="shared" si="315"/>
        <v>0</v>
      </c>
      <c r="M252" s="33">
        <f t="shared" si="315"/>
        <v>0</v>
      </c>
      <c r="N252" s="33">
        <f t="shared" si="315"/>
        <v>0</v>
      </c>
      <c r="O252" s="33">
        <f t="shared" si="315"/>
        <v>0</v>
      </c>
      <c r="P252" s="33">
        <f t="shared" si="315"/>
        <v>0</v>
      </c>
      <c r="Q252" s="33">
        <f t="shared" si="315"/>
        <v>0</v>
      </c>
      <c r="R252" s="33">
        <f t="shared" si="315"/>
        <v>0</v>
      </c>
      <c r="S252" s="33">
        <f t="shared" si="315"/>
        <v>0</v>
      </c>
      <c r="T252" s="33">
        <f t="shared" si="315"/>
        <v>0</v>
      </c>
      <c r="U252" s="33">
        <f t="shared" si="315"/>
        <v>0</v>
      </c>
      <c r="V252" s="33">
        <f t="shared" si="315"/>
        <v>0</v>
      </c>
      <c r="W252" s="33">
        <f t="shared" si="315"/>
        <v>0</v>
      </c>
      <c r="X252" s="33">
        <f t="shared" si="315"/>
        <v>0</v>
      </c>
      <c r="Y252" s="33">
        <f t="shared" si="315"/>
        <v>0</v>
      </c>
      <c r="Z252" s="33">
        <f t="shared" si="315"/>
        <v>0</v>
      </c>
      <c r="AA252" s="33">
        <f t="shared" si="315"/>
        <v>0</v>
      </c>
      <c r="AB252" s="33">
        <f t="shared" si="315"/>
        <v>0</v>
      </c>
      <c r="AC252" s="33">
        <f t="shared" si="315"/>
        <v>0</v>
      </c>
      <c r="AD252" s="33">
        <f t="shared" si="315"/>
        <v>0</v>
      </c>
      <c r="AE252" s="33">
        <f t="shared" si="315"/>
        <v>0</v>
      </c>
      <c r="AF252" s="33">
        <f t="shared" si="315"/>
        <v>0</v>
      </c>
      <c r="AG252" s="33">
        <f t="shared" si="315"/>
        <v>0</v>
      </c>
      <c r="AH252" s="33">
        <f t="shared" si="315"/>
        <v>0</v>
      </c>
      <c r="AI252" s="33">
        <f t="shared" si="315"/>
        <v>0</v>
      </c>
      <c r="AJ252" s="33">
        <f t="shared" si="315"/>
        <v>0</v>
      </c>
      <c r="AK252" s="33">
        <f t="shared" si="315"/>
        <v>0</v>
      </c>
      <c r="AL252" s="33">
        <f t="shared" si="315"/>
        <v>0</v>
      </c>
      <c r="AM252" s="33">
        <f t="shared" si="315"/>
        <v>0</v>
      </c>
      <c r="AN252" s="33">
        <f t="shared" si="315"/>
        <v>0</v>
      </c>
      <c r="AO252" s="33">
        <f t="shared" si="315"/>
        <v>0</v>
      </c>
      <c r="AP252" s="33">
        <f t="shared" si="315"/>
        <v>0</v>
      </c>
      <c r="AQ252" s="33">
        <f t="shared" si="315"/>
        <v>0</v>
      </c>
      <c r="AR252" s="33">
        <f t="shared" si="315"/>
        <v>0</v>
      </c>
      <c r="AS252" s="33">
        <f t="shared" si="315"/>
        <v>0</v>
      </c>
      <c r="AT252" s="33">
        <f t="shared" si="315"/>
        <v>0</v>
      </c>
      <c r="AU252" s="33">
        <f t="shared" si="315"/>
        <v>0</v>
      </c>
      <c r="AV252" s="33">
        <f t="shared" si="315"/>
        <v>0</v>
      </c>
      <c r="AW252" s="33">
        <f t="shared" si="315"/>
        <v>0</v>
      </c>
      <c r="AX252" s="33">
        <f t="shared" si="315"/>
        <v>0</v>
      </c>
      <c r="AY252" s="33">
        <f t="shared" si="315"/>
        <v>0</v>
      </c>
      <c r="AZ252" s="33">
        <f t="shared" si="315"/>
        <v>0</v>
      </c>
      <c r="BA252" s="33">
        <f t="shared" si="315"/>
        <v>0</v>
      </c>
      <c r="BB252" s="33">
        <f t="shared" si="315"/>
        <v>0</v>
      </c>
      <c r="BC252" s="33">
        <f t="shared" si="315"/>
        <v>0</v>
      </c>
      <c r="BD252" s="33">
        <f t="shared" si="315"/>
        <v>0</v>
      </c>
      <c r="BE252" s="33">
        <f t="shared" si="315"/>
        <v>0</v>
      </c>
      <c r="BF252" s="33">
        <f t="shared" si="315"/>
        <v>0</v>
      </c>
      <c r="BG252" s="33">
        <f t="shared" si="315"/>
        <v>0</v>
      </c>
      <c r="BH252" s="33">
        <f t="shared" si="315"/>
        <v>0</v>
      </c>
      <c r="BI252" s="33">
        <f t="shared" si="315"/>
        <v>0</v>
      </c>
      <c r="BJ252" s="33">
        <f t="shared" si="315"/>
        <v>0</v>
      </c>
      <c r="BK252" s="33">
        <f t="shared" si="315"/>
        <v>0</v>
      </c>
      <c r="BL252" s="33">
        <f t="shared" si="315"/>
        <v>0</v>
      </c>
      <c r="BM252" s="33">
        <f t="shared" si="315"/>
        <v>0</v>
      </c>
      <c r="BN252" s="33">
        <f t="shared" si="315"/>
        <v>0</v>
      </c>
      <c r="BO252" s="33">
        <f t="shared" si="315"/>
        <v>0</v>
      </c>
      <c r="BP252" s="33">
        <f t="shared" si="315"/>
        <v>0</v>
      </c>
      <c r="BQ252" s="33">
        <f t="shared" si="315"/>
        <v>0</v>
      </c>
      <c r="BR252" s="33">
        <f t="shared" si="315"/>
        <v>0</v>
      </c>
      <c r="BS252" s="33">
        <f t="shared" si="315"/>
        <v>0</v>
      </c>
      <c r="BT252" s="33">
        <f t="shared" ref="BT252:BY252" si="316">+IF(AND(BT$243=$C254,BT$243&lt;0),1,0)</f>
        <v>0</v>
      </c>
      <c r="BU252" s="33">
        <f t="shared" si="316"/>
        <v>0</v>
      </c>
      <c r="BV252" s="33">
        <f t="shared" si="316"/>
        <v>0</v>
      </c>
      <c r="BW252" s="33">
        <f t="shared" si="316"/>
        <v>0</v>
      </c>
      <c r="BX252" s="33">
        <f t="shared" si="316"/>
        <v>0</v>
      </c>
      <c r="BY252" s="33">
        <f t="shared" si="316"/>
        <v>0</v>
      </c>
    </row>
    <row r="253" spans="3:77" outlineLevel="1">
      <c r="C253" s="32"/>
      <c r="D253" s="31"/>
      <c r="E253" t="s">
        <v>507</v>
      </c>
      <c r="F253" s="23" t="s">
        <v>500</v>
      </c>
      <c r="H253" s="33">
        <f t="shared" ref="H253:BS253" si="317">+IF(AND(H$243=$C255,H$243&lt;0),1,0)</f>
        <v>0</v>
      </c>
      <c r="I253" s="33">
        <f t="shared" si="317"/>
        <v>0</v>
      </c>
      <c r="J253" s="33">
        <f t="shared" si="317"/>
        <v>0</v>
      </c>
      <c r="K253" s="33">
        <f t="shared" si="317"/>
        <v>0</v>
      </c>
      <c r="L253" s="33">
        <f t="shared" si="317"/>
        <v>0</v>
      </c>
      <c r="M253" s="33">
        <f t="shared" si="317"/>
        <v>0</v>
      </c>
      <c r="N253" s="33">
        <f t="shared" si="317"/>
        <v>0</v>
      </c>
      <c r="O253" s="33">
        <f t="shared" si="317"/>
        <v>0</v>
      </c>
      <c r="P253" s="33">
        <f t="shared" si="317"/>
        <v>0</v>
      </c>
      <c r="Q253" s="33">
        <f t="shared" si="317"/>
        <v>0</v>
      </c>
      <c r="R253" s="33">
        <f t="shared" si="317"/>
        <v>0</v>
      </c>
      <c r="S253" s="33">
        <f t="shared" si="317"/>
        <v>0</v>
      </c>
      <c r="T253" s="33">
        <f t="shared" si="317"/>
        <v>0</v>
      </c>
      <c r="U253" s="33">
        <f t="shared" si="317"/>
        <v>0</v>
      </c>
      <c r="V253" s="33">
        <f t="shared" si="317"/>
        <v>0</v>
      </c>
      <c r="W253" s="33">
        <f t="shared" si="317"/>
        <v>0</v>
      </c>
      <c r="X253" s="33">
        <f t="shared" si="317"/>
        <v>0</v>
      </c>
      <c r="Y253" s="33">
        <f t="shared" si="317"/>
        <v>0</v>
      </c>
      <c r="Z253" s="33">
        <f t="shared" si="317"/>
        <v>0</v>
      </c>
      <c r="AA253" s="33">
        <f t="shared" si="317"/>
        <v>0</v>
      </c>
      <c r="AB253" s="33">
        <f t="shared" si="317"/>
        <v>0</v>
      </c>
      <c r="AC253" s="33">
        <f t="shared" si="317"/>
        <v>0</v>
      </c>
      <c r="AD253" s="33">
        <f t="shared" si="317"/>
        <v>0</v>
      </c>
      <c r="AE253" s="33">
        <f t="shared" si="317"/>
        <v>0</v>
      </c>
      <c r="AF253" s="33">
        <f t="shared" si="317"/>
        <v>0</v>
      </c>
      <c r="AG253" s="33">
        <f t="shared" si="317"/>
        <v>0</v>
      </c>
      <c r="AH253" s="33">
        <f t="shared" si="317"/>
        <v>0</v>
      </c>
      <c r="AI253" s="33">
        <f t="shared" si="317"/>
        <v>0</v>
      </c>
      <c r="AJ253" s="33">
        <f t="shared" si="317"/>
        <v>0</v>
      </c>
      <c r="AK253" s="33">
        <f t="shared" si="317"/>
        <v>0</v>
      </c>
      <c r="AL253" s="33">
        <f t="shared" si="317"/>
        <v>0</v>
      </c>
      <c r="AM253" s="33">
        <f t="shared" si="317"/>
        <v>0</v>
      </c>
      <c r="AN253" s="33">
        <f t="shared" si="317"/>
        <v>0</v>
      </c>
      <c r="AO253" s="33">
        <f t="shared" si="317"/>
        <v>0</v>
      </c>
      <c r="AP253" s="33">
        <f t="shared" si="317"/>
        <v>0</v>
      </c>
      <c r="AQ253" s="33">
        <f t="shared" si="317"/>
        <v>0</v>
      </c>
      <c r="AR253" s="33">
        <f t="shared" si="317"/>
        <v>0</v>
      </c>
      <c r="AS253" s="33">
        <f t="shared" si="317"/>
        <v>0</v>
      </c>
      <c r="AT253" s="33">
        <f t="shared" si="317"/>
        <v>0</v>
      </c>
      <c r="AU253" s="33">
        <f t="shared" si="317"/>
        <v>0</v>
      </c>
      <c r="AV253" s="33">
        <f t="shared" si="317"/>
        <v>0</v>
      </c>
      <c r="AW253" s="33">
        <f t="shared" si="317"/>
        <v>0</v>
      </c>
      <c r="AX253" s="33">
        <f t="shared" si="317"/>
        <v>0</v>
      </c>
      <c r="AY253" s="33">
        <f t="shared" si="317"/>
        <v>0</v>
      </c>
      <c r="AZ253" s="33">
        <f t="shared" si="317"/>
        <v>0</v>
      </c>
      <c r="BA253" s="33">
        <f t="shared" si="317"/>
        <v>0</v>
      </c>
      <c r="BB253" s="33">
        <f t="shared" si="317"/>
        <v>0</v>
      </c>
      <c r="BC253" s="33">
        <f t="shared" si="317"/>
        <v>0</v>
      </c>
      <c r="BD253" s="33">
        <f t="shared" si="317"/>
        <v>0</v>
      </c>
      <c r="BE253" s="33">
        <f t="shared" si="317"/>
        <v>0</v>
      </c>
      <c r="BF253" s="33">
        <f t="shared" si="317"/>
        <v>0</v>
      </c>
      <c r="BG253" s="33">
        <f t="shared" si="317"/>
        <v>0</v>
      </c>
      <c r="BH253" s="33">
        <f t="shared" si="317"/>
        <v>0</v>
      </c>
      <c r="BI253" s="33">
        <f t="shared" si="317"/>
        <v>0</v>
      </c>
      <c r="BJ253" s="33">
        <f t="shared" si="317"/>
        <v>0</v>
      </c>
      <c r="BK253" s="33">
        <f t="shared" si="317"/>
        <v>0</v>
      </c>
      <c r="BL253" s="33">
        <f t="shared" si="317"/>
        <v>0</v>
      </c>
      <c r="BM253" s="33">
        <f t="shared" si="317"/>
        <v>0</v>
      </c>
      <c r="BN253" s="33">
        <f t="shared" si="317"/>
        <v>0</v>
      </c>
      <c r="BO253" s="33">
        <f t="shared" si="317"/>
        <v>0</v>
      </c>
      <c r="BP253" s="33">
        <f t="shared" si="317"/>
        <v>0</v>
      </c>
      <c r="BQ253" s="33">
        <f t="shared" si="317"/>
        <v>0</v>
      </c>
      <c r="BR253" s="33">
        <f t="shared" si="317"/>
        <v>0</v>
      </c>
      <c r="BS253" s="33">
        <f t="shared" si="317"/>
        <v>0</v>
      </c>
      <c r="BT253" s="33">
        <f t="shared" ref="BT253:BY253" si="318">+IF(AND(BT$243=$C255,BT$243&lt;0),1,0)</f>
        <v>0</v>
      </c>
      <c r="BU253" s="33">
        <f t="shared" si="318"/>
        <v>0</v>
      </c>
      <c r="BV253" s="33">
        <f t="shared" si="318"/>
        <v>0</v>
      </c>
      <c r="BW253" s="33">
        <f t="shared" si="318"/>
        <v>0</v>
      </c>
      <c r="BX253" s="33">
        <f t="shared" si="318"/>
        <v>0</v>
      </c>
      <c r="BY253" s="33">
        <f t="shared" si="318"/>
        <v>0</v>
      </c>
    </row>
    <row r="254" spans="3:77" outlineLevel="1">
      <c r="C254" s="32"/>
      <c r="D254" s="31"/>
      <c r="E254" t="s">
        <v>508</v>
      </c>
      <c r="F254" s="23" t="s">
        <v>500</v>
      </c>
      <c r="H254" s="33">
        <f t="shared" ref="H254:BS254" si="319">+IF(AND(H$243=$C256,H$243&lt;0),1,0)</f>
        <v>0</v>
      </c>
      <c r="I254" s="33">
        <f t="shared" si="319"/>
        <v>0</v>
      </c>
      <c r="J254" s="33">
        <f t="shared" si="319"/>
        <v>0</v>
      </c>
      <c r="K254" s="33">
        <f t="shared" si="319"/>
        <v>0</v>
      </c>
      <c r="L254" s="33">
        <f t="shared" si="319"/>
        <v>0</v>
      </c>
      <c r="M254" s="33">
        <f t="shared" si="319"/>
        <v>0</v>
      </c>
      <c r="N254" s="33">
        <f t="shared" si="319"/>
        <v>0</v>
      </c>
      <c r="O254" s="33">
        <f t="shared" si="319"/>
        <v>0</v>
      </c>
      <c r="P254" s="33">
        <f t="shared" si="319"/>
        <v>0</v>
      </c>
      <c r="Q254" s="33">
        <f t="shared" si="319"/>
        <v>0</v>
      </c>
      <c r="R254" s="33">
        <f t="shared" si="319"/>
        <v>0</v>
      </c>
      <c r="S254" s="33">
        <f t="shared" si="319"/>
        <v>0</v>
      </c>
      <c r="T254" s="33">
        <f t="shared" si="319"/>
        <v>0</v>
      </c>
      <c r="U254" s="33">
        <f t="shared" si="319"/>
        <v>0</v>
      </c>
      <c r="V254" s="33">
        <f t="shared" si="319"/>
        <v>0</v>
      </c>
      <c r="W254" s="33">
        <f t="shared" si="319"/>
        <v>0</v>
      </c>
      <c r="X254" s="33">
        <f t="shared" si="319"/>
        <v>0</v>
      </c>
      <c r="Y254" s="33">
        <f t="shared" si="319"/>
        <v>0</v>
      </c>
      <c r="Z254" s="33">
        <f t="shared" si="319"/>
        <v>0</v>
      </c>
      <c r="AA254" s="33">
        <f t="shared" si="319"/>
        <v>0</v>
      </c>
      <c r="AB254" s="33">
        <f t="shared" si="319"/>
        <v>0</v>
      </c>
      <c r="AC254" s="33">
        <f t="shared" si="319"/>
        <v>0</v>
      </c>
      <c r="AD254" s="33">
        <f t="shared" si="319"/>
        <v>0</v>
      </c>
      <c r="AE254" s="33">
        <f t="shared" si="319"/>
        <v>0</v>
      </c>
      <c r="AF254" s="33">
        <f t="shared" si="319"/>
        <v>0</v>
      </c>
      <c r="AG254" s="33">
        <f t="shared" si="319"/>
        <v>0</v>
      </c>
      <c r="AH254" s="33">
        <f t="shared" si="319"/>
        <v>0</v>
      </c>
      <c r="AI254" s="33">
        <f t="shared" si="319"/>
        <v>0</v>
      </c>
      <c r="AJ254" s="33">
        <f t="shared" si="319"/>
        <v>0</v>
      </c>
      <c r="AK254" s="33">
        <f t="shared" si="319"/>
        <v>0</v>
      </c>
      <c r="AL254" s="33">
        <f t="shared" si="319"/>
        <v>0</v>
      </c>
      <c r="AM254" s="33">
        <f t="shared" si="319"/>
        <v>0</v>
      </c>
      <c r="AN254" s="33">
        <f t="shared" si="319"/>
        <v>0</v>
      </c>
      <c r="AO254" s="33">
        <f t="shared" si="319"/>
        <v>0</v>
      </c>
      <c r="AP254" s="33">
        <f t="shared" si="319"/>
        <v>0</v>
      </c>
      <c r="AQ254" s="33">
        <f t="shared" si="319"/>
        <v>0</v>
      </c>
      <c r="AR254" s="33">
        <f t="shared" si="319"/>
        <v>0</v>
      </c>
      <c r="AS254" s="33">
        <f t="shared" si="319"/>
        <v>0</v>
      </c>
      <c r="AT254" s="33">
        <f t="shared" si="319"/>
        <v>0</v>
      </c>
      <c r="AU254" s="33">
        <f t="shared" si="319"/>
        <v>0</v>
      </c>
      <c r="AV254" s="33">
        <f t="shared" si="319"/>
        <v>0</v>
      </c>
      <c r="AW254" s="33">
        <f t="shared" si="319"/>
        <v>0</v>
      </c>
      <c r="AX254" s="33">
        <f t="shared" si="319"/>
        <v>0</v>
      </c>
      <c r="AY254" s="33">
        <f t="shared" si="319"/>
        <v>0</v>
      </c>
      <c r="AZ254" s="33">
        <f t="shared" si="319"/>
        <v>0</v>
      </c>
      <c r="BA254" s="33">
        <f t="shared" si="319"/>
        <v>0</v>
      </c>
      <c r="BB254" s="33">
        <f t="shared" si="319"/>
        <v>0</v>
      </c>
      <c r="BC254" s="33">
        <f t="shared" si="319"/>
        <v>0</v>
      </c>
      <c r="BD254" s="33">
        <f t="shared" si="319"/>
        <v>0</v>
      </c>
      <c r="BE254" s="33">
        <f t="shared" si="319"/>
        <v>0</v>
      </c>
      <c r="BF254" s="33">
        <f t="shared" si="319"/>
        <v>0</v>
      </c>
      <c r="BG254" s="33">
        <f t="shared" si="319"/>
        <v>0</v>
      </c>
      <c r="BH254" s="33">
        <f t="shared" si="319"/>
        <v>0</v>
      </c>
      <c r="BI254" s="33">
        <f t="shared" si="319"/>
        <v>0</v>
      </c>
      <c r="BJ254" s="33">
        <f t="shared" si="319"/>
        <v>0</v>
      </c>
      <c r="BK254" s="33">
        <f t="shared" si="319"/>
        <v>0</v>
      </c>
      <c r="BL254" s="33">
        <f t="shared" si="319"/>
        <v>0</v>
      </c>
      <c r="BM254" s="33">
        <f t="shared" si="319"/>
        <v>0</v>
      </c>
      <c r="BN254" s="33">
        <f t="shared" si="319"/>
        <v>0</v>
      </c>
      <c r="BO254" s="33">
        <f t="shared" si="319"/>
        <v>0</v>
      </c>
      <c r="BP254" s="33">
        <f t="shared" si="319"/>
        <v>0</v>
      </c>
      <c r="BQ254" s="33">
        <f t="shared" si="319"/>
        <v>0</v>
      </c>
      <c r="BR254" s="33">
        <f t="shared" si="319"/>
        <v>0</v>
      </c>
      <c r="BS254" s="33">
        <f t="shared" si="319"/>
        <v>0</v>
      </c>
      <c r="BT254" s="33">
        <f t="shared" ref="BT254:BY254" si="320">+IF(AND(BT$243=$C256,BT$243&lt;0),1,0)</f>
        <v>0</v>
      </c>
      <c r="BU254" s="33">
        <f t="shared" si="320"/>
        <v>0</v>
      </c>
      <c r="BV254" s="33">
        <f t="shared" si="320"/>
        <v>0</v>
      </c>
      <c r="BW254" s="33">
        <f t="shared" si="320"/>
        <v>0</v>
      </c>
      <c r="BX254" s="33">
        <f t="shared" si="320"/>
        <v>0</v>
      </c>
      <c r="BY254" s="33">
        <f t="shared" si="320"/>
        <v>0</v>
      </c>
    </row>
    <row r="255" spans="3:77" outlineLevel="1">
      <c r="C255" s="32"/>
      <c r="D255" s="31"/>
      <c r="E255" t="s">
        <v>509</v>
      </c>
      <c r="F255" s="23" t="s">
        <v>500</v>
      </c>
      <c r="H255" s="33">
        <f t="shared" ref="H255:BS255" si="321">+IF(AND(H$243=$C257,H$243&lt;0),1,0)</f>
        <v>0</v>
      </c>
      <c r="I255" s="33">
        <f t="shared" si="321"/>
        <v>0</v>
      </c>
      <c r="J255" s="33">
        <f t="shared" si="321"/>
        <v>0</v>
      </c>
      <c r="K255" s="33">
        <f t="shared" si="321"/>
        <v>0</v>
      </c>
      <c r="L255" s="33">
        <f t="shared" si="321"/>
        <v>0</v>
      </c>
      <c r="M255" s="33">
        <f t="shared" si="321"/>
        <v>0</v>
      </c>
      <c r="N255" s="33">
        <f t="shared" si="321"/>
        <v>0</v>
      </c>
      <c r="O255" s="33">
        <f t="shared" si="321"/>
        <v>0</v>
      </c>
      <c r="P255" s="33">
        <f t="shared" si="321"/>
        <v>0</v>
      </c>
      <c r="Q255" s="33">
        <f t="shared" si="321"/>
        <v>0</v>
      </c>
      <c r="R255" s="33">
        <f t="shared" si="321"/>
        <v>0</v>
      </c>
      <c r="S255" s="33">
        <f t="shared" si="321"/>
        <v>0</v>
      </c>
      <c r="T255" s="33">
        <f t="shared" si="321"/>
        <v>0</v>
      </c>
      <c r="U255" s="33">
        <f t="shared" si="321"/>
        <v>0</v>
      </c>
      <c r="V255" s="33">
        <f t="shared" si="321"/>
        <v>0</v>
      </c>
      <c r="W255" s="33">
        <f t="shared" si="321"/>
        <v>0</v>
      </c>
      <c r="X255" s="33">
        <f t="shared" si="321"/>
        <v>0</v>
      </c>
      <c r="Y255" s="33">
        <f t="shared" si="321"/>
        <v>0</v>
      </c>
      <c r="Z255" s="33">
        <f t="shared" si="321"/>
        <v>0</v>
      </c>
      <c r="AA255" s="33">
        <f t="shared" si="321"/>
        <v>0</v>
      </c>
      <c r="AB255" s="33">
        <f t="shared" si="321"/>
        <v>0</v>
      </c>
      <c r="AC255" s="33">
        <f t="shared" si="321"/>
        <v>0</v>
      </c>
      <c r="AD255" s="33">
        <f t="shared" si="321"/>
        <v>0</v>
      </c>
      <c r="AE255" s="33">
        <f t="shared" si="321"/>
        <v>0</v>
      </c>
      <c r="AF255" s="33">
        <f t="shared" si="321"/>
        <v>0</v>
      </c>
      <c r="AG255" s="33">
        <f t="shared" si="321"/>
        <v>0</v>
      </c>
      <c r="AH255" s="33">
        <f t="shared" si="321"/>
        <v>0</v>
      </c>
      <c r="AI255" s="33">
        <f t="shared" si="321"/>
        <v>0</v>
      </c>
      <c r="AJ255" s="33">
        <f t="shared" si="321"/>
        <v>0</v>
      </c>
      <c r="AK255" s="33">
        <f t="shared" si="321"/>
        <v>0</v>
      </c>
      <c r="AL255" s="33">
        <f t="shared" si="321"/>
        <v>0</v>
      </c>
      <c r="AM255" s="33">
        <f t="shared" si="321"/>
        <v>0</v>
      </c>
      <c r="AN255" s="33">
        <f t="shared" si="321"/>
        <v>0</v>
      </c>
      <c r="AO255" s="33">
        <f t="shared" si="321"/>
        <v>0</v>
      </c>
      <c r="AP255" s="33">
        <f t="shared" si="321"/>
        <v>0</v>
      </c>
      <c r="AQ255" s="33">
        <f t="shared" si="321"/>
        <v>0</v>
      </c>
      <c r="AR255" s="33">
        <f t="shared" si="321"/>
        <v>0</v>
      </c>
      <c r="AS255" s="33">
        <f t="shared" si="321"/>
        <v>0</v>
      </c>
      <c r="AT255" s="33">
        <f t="shared" si="321"/>
        <v>0</v>
      </c>
      <c r="AU255" s="33">
        <f t="shared" si="321"/>
        <v>0</v>
      </c>
      <c r="AV255" s="33">
        <f t="shared" si="321"/>
        <v>0</v>
      </c>
      <c r="AW255" s="33">
        <f t="shared" si="321"/>
        <v>0</v>
      </c>
      <c r="AX255" s="33">
        <f t="shared" si="321"/>
        <v>0</v>
      </c>
      <c r="AY255" s="33">
        <f t="shared" si="321"/>
        <v>0</v>
      </c>
      <c r="AZ255" s="33">
        <f t="shared" si="321"/>
        <v>0</v>
      </c>
      <c r="BA255" s="33">
        <f t="shared" si="321"/>
        <v>0</v>
      </c>
      <c r="BB255" s="33">
        <f t="shared" si="321"/>
        <v>0</v>
      </c>
      <c r="BC255" s="33">
        <f t="shared" si="321"/>
        <v>0</v>
      </c>
      <c r="BD255" s="33">
        <f t="shared" si="321"/>
        <v>0</v>
      </c>
      <c r="BE255" s="33">
        <f t="shared" si="321"/>
        <v>0</v>
      </c>
      <c r="BF255" s="33">
        <f t="shared" si="321"/>
        <v>0</v>
      </c>
      <c r="BG255" s="33">
        <f t="shared" si="321"/>
        <v>0</v>
      </c>
      <c r="BH255" s="33">
        <f t="shared" si="321"/>
        <v>0</v>
      </c>
      <c r="BI255" s="33">
        <f t="shared" si="321"/>
        <v>0</v>
      </c>
      <c r="BJ255" s="33">
        <f t="shared" si="321"/>
        <v>0</v>
      </c>
      <c r="BK255" s="33">
        <f t="shared" si="321"/>
        <v>0</v>
      </c>
      <c r="BL255" s="33">
        <f t="shared" si="321"/>
        <v>0</v>
      </c>
      <c r="BM255" s="33">
        <f t="shared" si="321"/>
        <v>0</v>
      </c>
      <c r="BN255" s="33">
        <f t="shared" si="321"/>
        <v>0</v>
      </c>
      <c r="BO255" s="33">
        <f t="shared" si="321"/>
        <v>0</v>
      </c>
      <c r="BP255" s="33">
        <f t="shared" si="321"/>
        <v>0</v>
      </c>
      <c r="BQ255" s="33">
        <f t="shared" si="321"/>
        <v>0</v>
      </c>
      <c r="BR255" s="33">
        <f t="shared" si="321"/>
        <v>0</v>
      </c>
      <c r="BS255" s="33">
        <f t="shared" si="321"/>
        <v>0</v>
      </c>
      <c r="BT255" s="33">
        <f t="shared" ref="BT255:BY255" si="322">+IF(AND(BT$243=$C257,BT$243&lt;0),1,0)</f>
        <v>0</v>
      </c>
      <c r="BU255" s="33">
        <f t="shared" si="322"/>
        <v>0</v>
      </c>
      <c r="BV255" s="33">
        <f t="shared" si="322"/>
        <v>0</v>
      </c>
      <c r="BW255" s="33">
        <f t="shared" si="322"/>
        <v>0</v>
      </c>
      <c r="BX255" s="33">
        <f t="shared" si="322"/>
        <v>0</v>
      </c>
      <c r="BY255" s="33">
        <f t="shared" si="322"/>
        <v>0</v>
      </c>
    </row>
    <row r="256" spans="3:77" outlineLevel="1">
      <c r="C256" s="32"/>
      <c r="D256" s="31"/>
      <c r="E256" s="25" t="s">
        <v>510</v>
      </c>
      <c r="F256" s="30" t="s">
        <v>500</v>
      </c>
      <c r="G256" s="25"/>
      <c r="H256" s="34">
        <f t="shared" ref="H256:BS256" si="323">+IF(AND(H$243=$C258,H$243&lt;0),1,0)</f>
        <v>0</v>
      </c>
      <c r="I256" s="34">
        <f t="shared" si="323"/>
        <v>0</v>
      </c>
      <c r="J256" s="34">
        <f t="shared" si="323"/>
        <v>0</v>
      </c>
      <c r="K256" s="34">
        <f t="shared" si="323"/>
        <v>0</v>
      </c>
      <c r="L256" s="34">
        <f t="shared" si="323"/>
        <v>0</v>
      </c>
      <c r="M256" s="34">
        <f t="shared" si="323"/>
        <v>0</v>
      </c>
      <c r="N256" s="34">
        <f t="shared" si="323"/>
        <v>0</v>
      </c>
      <c r="O256" s="34">
        <f t="shared" si="323"/>
        <v>0</v>
      </c>
      <c r="P256" s="34">
        <f t="shared" si="323"/>
        <v>0</v>
      </c>
      <c r="Q256" s="34">
        <f t="shared" si="323"/>
        <v>0</v>
      </c>
      <c r="R256" s="34">
        <f t="shared" si="323"/>
        <v>0</v>
      </c>
      <c r="S256" s="34">
        <f t="shared" si="323"/>
        <v>0</v>
      </c>
      <c r="T256" s="34">
        <f t="shared" si="323"/>
        <v>0</v>
      </c>
      <c r="U256" s="34">
        <f t="shared" si="323"/>
        <v>0</v>
      </c>
      <c r="V256" s="34">
        <f t="shared" si="323"/>
        <v>0</v>
      </c>
      <c r="W256" s="34">
        <f t="shared" si="323"/>
        <v>0</v>
      </c>
      <c r="X256" s="34">
        <f t="shared" si="323"/>
        <v>0</v>
      </c>
      <c r="Y256" s="34">
        <f t="shared" si="323"/>
        <v>0</v>
      </c>
      <c r="Z256" s="34">
        <f t="shared" si="323"/>
        <v>0</v>
      </c>
      <c r="AA256" s="34">
        <f t="shared" si="323"/>
        <v>0</v>
      </c>
      <c r="AB256" s="34">
        <f t="shared" si="323"/>
        <v>0</v>
      </c>
      <c r="AC256" s="34">
        <f t="shared" si="323"/>
        <v>0</v>
      </c>
      <c r="AD256" s="34">
        <f t="shared" si="323"/>
        <v>0</v>
      </c>
      <c r="AE256" s="34">
        <f t="shared" si="323"/>
        <v>0</v>
      </c>
      <c r="AF256" s="34">
        <f t="shared" si="323"/>
        <v>0</v>
      </c>
      <c r="AG256" s="34">
        <f t="shared" si="323"/>
        <v>0</v>
      </c>
      <c r="AH256" s="34">
        <f t="shared" si="323"/>
        <v>0</v>
      </c>
      <c r="AI256" s="34">
        <f t="shared" si="323"/>
        <v>0</v>
      </c>
      <c r="AJ256" s="34">
        <f t="shared" si="323"/>
        <v>0</v>
      </c>
      <c r="AK256" s="34">
        <f t="shared" si="323"/>
        <v>0</v>
      </c>
      <c r="AL256" s="34">
        <f t="shared" si="323"/>
        <v>0</v>
      </c>
      <c r="AM256" s="34">
        <f t="shared" si="323"/>
        <v>0</v>
      </c>
      <c r="AN256" s="34">
        <f t="shared" si="323"/>
        <v>0</v>
      </c>
      <c r="AO256" s="34">
        <f t="shared" si="323"/>
        <v>0</v>
      </c>
      <c r="AP256" s="34">
        <f t="shared" si="323"/>
        <v>0</v>
      </c>
      <c r="AQ256" s="34">
        <f t="shared" si="323"/>
        <v>0</v>
      </c>
      <c r="AR256" s="34">
        <f t="shared" si="323"/>
        <v>0</v>
      </c>
      <c r="AS256" s="34">
        <f t="shared" si="323"/>
        <v>0</v>
      </c>
      <c r="AT256" s="34">
        <f t="shared" si="323"/>
        <v>0</v>
      </c>
      <c r="AU256" s="34">
        <f t="shared" si="323"/>
        <v>0</v>
      </c>
      <c r="AV256" s="34">
        <f t="shared" si="323"/>
        <v>0</v>
      </c>
      <c r="AW256" s="34">
        <f t="shared" si="323"/>
        <v>0</v>
      </c>
      <c r="AX256" s="34">
        <f t="shared" si="323"/>
        <v>0</v>
      </c>
      <c r="AY256" s="34">
        <f t="shared" si="323"/>
        <v>0</v>
      </c>
      <c r="AZ256" s="34">
        <f t="shared" si="323"/>
        <v>0</v>
      </c>
      <c r="BA256" s="34">
        <f t="shared" si="323"/>
        <v>0</v>
      </c>
      <c r="BB256" s="34">
        <f t="shared" si="323"/>
        <v>0</v>
      </c>
      <c r="BC256" s="34">
        <f t="shared" si="323"/>
        <v>0</v>
      </c>
      <c r="BD256" s="34">
        <f t="shared" si="323"/>
        <v>0</v>
      </c>
      <c r="BE256" s="34">
        <f t="shared" si="323"/>
        <v>0</v>
      </c>
      <c r="BF256" s="34">
        <f t="shared" si="323"/>
        <v>0</v>
      </c>
      <c r="BG256" s="34">
        <f t="shared" si="323"/>
        <v>0</v>
      </c>
      <c r="BH256" s="34">
        <f t="shared" si="323"/>
        <v>0</v>
      </c>
      <c r="BI256" s="34">
        <f t="shared" si="323"/>
        <v>0</v>
      </c>
      <c r="BJ256" s="34">
        <f t="shared" si="323"/>
        <v>0</v>
      </c>
      <c r="BK256" s="34">
        <f t="shared" si="323"/>
        <v>0</v>
      </c>
      <c r="BL256" s="34">
        <f t="shared" si="323"/>
        <v>0</v>
      </c>
      <c r="BM256" s="34">
        <f t="shared" si="323"/>
        <v>0</v>
      </c>
      <c r="BN256" s="34">
        <f t="shared" si="323"/>
        <v>0</v>
      </c>
      <c r="BO256" s="34">
        <f t="shared" si="323"/>
        <v>0</v>
      </c>
      <c r="BP256" s="34">
        <f t="shared" si="323"/>
        <v>0</v>
      </c>
      <c r="BQ256" s="34">
        <f t="shared" si="323"/>
        <v>0</v>
      </c>
      <c r="BR256" s="34">
        <f t="shared" si="323"/>
        <v>0</v>
      </c>
      <c r="BS256" s="34">
        <f t="shared" si="323"/>
        <v>0</v>
      </c>
      <c r="BT256" s="34">
        <f t="shared" ref="BT256:BY256" si="324">+IF(AND(BT$243=$C258,BT$243&lt;0),1,0)</f>
        <v>0</v>
      </c>
      <c r="BU256" s="34">
        <f t="shared" si="324"/>
        <v>0</v>
      </c>
      <c r="BV256" s="34">
        <f t="shared" si="324"/>
        <v>0</v>
      </c>
      <c r="BW256" s="34">
        <f t="shared" si="324"/>
        <v>0</v>
      </c>
      <c r="BX256" s="34">
        <f t="shared" si="324"/>
        <v>0</v>
      </c>
      <c r="BY256" s="34">
        <f t="shared" si="324"/>
        <v>0</v>
      </c>
    </row>
    <row r="257" spans="5:77" outlineLevel="1">
      <c r="E257" t="s">
        <v>511</v>
      </c>
      <c r="F257" s="80" t="str">
        <f>+Assumptions!$G$8</f>
        <v>USD</v>
      </c>
      <c r="H257" s="32">
        <f t="shared" ref="H257" si="325">+G271</f>
        <v>0</v>
      </c>
      <c r="I257" s="32">
        <f t="shared" ref="I257" si="326">+H271</f>
        <v>0</v>
      </c>
      <c r="J257" s="32">
        <f>+I271</f>
        <v>-1254150.6606618594</v>
      </c>
      <c r="K257" s="32">
        <f t="shared" ref="K257" ca="1" si="327">+J271</f>
        <v>-4445974.6045398526</v>
      </c>
      <c r="L257" s="32">
        <f t="shared" ref="L257" ca="1" si="328">+K271</f>
        <v>-4245570.8132586312</v>
      </c>
      <c r="M257" s="32">
        <f t="shared" ref="M257" ca="1" si="329">+L271</f>
        <v>-4033665.8483957802</v>
      </c>
      <c r="N257" s="32">
        <f t="shared" ref="N257" ca="1" si="330">+M271</f>
        <v>-3809599.6575994501</v>
      </c>
      <c r="O257" s="32">
        <f t="shared" ref="O257" ca="1" si="331">+N271</f>
        <v>-3572674.3081133189</v>
      </c>
      <c r="P257" s="32">
        <f t="shared" ref="P257" ca="1" si="332">+O271</f>
        <v>-3322151.8128201785</v>
      </c>
      <c r="Q257" s="32">
        <f t="shared" ref="Q257" ca="1" si="333">+P271</f>
        <v>-3057251.8315221649</v>
      </c>
      <c r="R257" s="32">
        <f t="shared" ref="R257" ca="1" si="334">+Q271</f>
        <v>-2777149.2402974581</v>
      </c>
      <c r="S257" s="32">
        <f t="shared" ref="S257" ca="1" si="335">+R271</f>
        <v>-2480971.5613623653</v>
      </c>
      <c r="T257" s="32">
        <f t="shared" ref="T257" ca="1" si="336">+S271</f>
        <v>-2167796.2454331876</v>
      </c>
      <c r="U257" s="32">
        <f t="shared" ref="U257" ca="1" si="337">+T271</f>
        <v>-1836647.7981228344</v>
      </c>
      <c r="V257" s="32">
        <f t="shared" ref="V257" ca="1" si="338">+U271</f>
        <v>-1486494.74142134</v>
      </c>
      <c r="W257" s="32">
        <f t="shared" ref="W257" ca="1" si="339">+V271</f>
        <v>-1116246.4007957468</v>
      </c>
      <c r="X257" s="32">
        <f t="shared" ref="X257" ca="1" si="340">+W271</f>
        <v>-724749.50790165085</v>
      </c>
      <c r="Y257" s="32">
        <f t="shared" ref="Y257" ca="1" si="341">+X271</f>
        <v>-310784.60832436272</v>
      </c>
      <c r="Z257" s="32">
        <f t="shared" ref="Z257" ca="1" si="342">+Y271</f>
        <v>-2.2700987756252289E-9</v>
      </c>
      <c r="AA257" s="32">
        <f t="shared" ref="AA257" ca="1" si="343">+Z271</f>
        <v>-2.2700987756252289E-9</v>
      </c>
      <c r="AB257" s="32">
        <f t="shared" ref="AB257" ca="1" si="344">+AA271</f>
        <v>-2.2700987756252289E-9</v>
      </c>
      <c r="AC257" s="32">
        <f t="shared" ref="AC257" ca="1" si="345">+AB271</f>
        <v>-2.2700987756252289E-9</v>
      </c>
      <c r="AD257" s="32">
        <f t="shared" ref="AD257" ca="1" si="346">+AC271</f>
        <v>-2.2700987756252289E-9</v>
      </c>
      <c r="AE257" s="32">
        <f t="shared" ref="AE257" ca="1" si="347">+AD271</f>
        <v>-2.2700987756252289E-9</v>
      </c>
      <c r="AF257" s="32">
        <f t="shared" ref="AF257" ca="1" si="348">+AE271</f>
        <v>-2.2700987756252289E-9</v>
      </c>
      <c r="AG257" s="32">
        <f t="shared" ref="AG257" ca="1" si="349">+AF271</f>
        <v>-2.2700987756252289E-9</v>
      </c>
      <c r="AH257" s="32">
        <f t="shared" ref="AH257" ca="1" si="350">+AG271</f>
        <v>-2.2700987756252289E-9</v>
      </c>
      <c r="AI257" s="32">
        <f t="shared" ref="AI257" ca="1" si="351">+AH271</f>
        <v>-2.2700987756252289E-9</v>
      </c>
      <c r="AJ257" s="32">
        <f t="shared" ref="AJ257" ca="1" si="352">+AI271</f>
        <v>-2.2700987756252289E-9</v>
      </c>
      <c r="AK257" s="32">
        <f t="shared" ref="AK257" ca="1" si="353">+AJ271</f>
        <v>-2.2700987756252289E-9</v>
      </c>
      <c r="AL257" s="32">
        <f t="shared" ref="AL257" ca="1" si="354">+AK271</f>
        <v>-2.2700987756252289E-9</v>
      </c>
      <c r="AM257" s="32">
        <f t="shared" ref="AM257" ca="1" si="355">+AL271</f>
        <v>-2.2700987756252289E-9</v>
      </c>
      <c r="AN257" s="32">
        <f t="shared" ref="AN257" ca="1" si="356">+AM271</f>
        <v>-2.2700987756252289E-9</v>
      </c>
      <c r="AO257" s="32">
        <f t="shared" ref="AO257" ca="1" si="357">+AN271</f>
        <v>-2.2700987756252289E-9</v>
      </c>
      <c r="AP257" s="32">
        <f t="shared" ref="AP257" ca="1" si="358">+AO271</f>
        <v>-2.2700987756252289E-9</v>
      </c>
      <c r="AQ257" s="32">
        <f t="shared" ref="AQ257" ca="1" si="359">+AP271</f>
        <v>-2.2700987756252289E-9</v>
      </c>
      <c r="AR257" s="32">
        <f t="shared" ref="AR257" ca="1" si="360">+AQ271</f>
        <v>-2.2700987756252289E-9</v>
      </c>
      <c r="AS257" s="32">
        <f t="shared" ref="AS257" ca="1" si="361">+AR271</f>
        <v>-2.2700987756252289E-9</v>
      </c>
      <c r="AT257" s="32">
        <f t="shared" ref="AT257" ca="1" si="362">+AS271</f>
        <v>-2.2700987756252289E-9</v>
      </c>
      <c r="AU257" s="32">
        <f t="shared" ref="AU257" ca="1" si="363">+AT271</f>
        <v>-2.2700987756252289E-9</v>
      </c>
      <c r="AV257" s="32">
        <f t="shared" ref="AV257" ca="1" si="364">+AU271</f>
        <v>-2.2700987756252289E-9</v>
      </c>
      <c r="AW257" s="32">
        <f t="shared" ref="AW257" ca="1" si="365">+AV271</f>
        <v>-2.2700987756252289E-9</v>
      </c>
      <c r="AX257" s="32">
        <f t="shared" ref="AX257" ca="1" si="366">+AW271</f>
        <v>-2.2700987756252289E-9</v>
      </c>
      <c r="AY257" s="32">
        <f t="shared" ref="AY257" ca="1" si="367">+AX271</f>
        <v>-2.2700987756252289E-9</v>
      </c>
      <c r="AZ257" s="32">
        <f t="shared" ref="AZ257" ca="1" si="368">+AY271</f>
        <v>-2.2700987756252289E-9</v>
      </c>
      <c r="BA257" s="32">
        <f t="shared" ref="BA257" ca="1" si="369">+AZ271</f>
        <v>-2.2700987756252289E-9</v>
      </c>
      <c r="BB257" s="32">
        <f t="shared" ref="BB257" ca="1" si="370">+BA271</f>
        <v>-2.2700987756252289E-9</v>
      </c>
      <c r="BC257" s="32">
        <f t="shared" ref="BC257" ca="1" si="371">+BB271</f>
        <v>-2.2700987756252289E-9</v>
      </c>
      <c r="BD257" s="32">
        <f t="shared" ref="BD257" ca="1" si="372">+BC271</f>
        <v>-2.2700987756252289E-9</v>
      </c>
      <c r="BE257" s="32">
        <f t="shared" ref="BE257" ca="1" si="373">+BD271</f>
        <v>-2.2700987756252289E-9</v>
      </c>
      <c r="BF257" s="32">
        <f t="shared" ref="BF257" ca="1" si="374">+BE271</f>
        <v>-2.2700987756252289E-9</v>
      </c>
      <c r="BG257" s="32">
        <f t="shared" ref="BG257" ca="1" si="375">+BF271</f>
        <v>-2.2700987756252289E-9</v>
      </c>
      <c r="BH257" s="32">
        <f t="shared" ref="BH257" ca="1" si="376">+BG271</f>
        <v>-2.2700987756252289E-9</v>
      </c>
      <c r="BI257" s="32">
        <f t="shared" ref="BI257" ca="1" si="377">+BH271</f>
        <v>-2.2700987756252289E-9</v>
      </c>
      <c r="BJ257" s="32">
        <f t="shared" ref="BJ257" ca="1" si="378">+BI271</f>
        <v>-2.2700987756252289E-9</v>
      </c>
      <c r="BK257" s="32">
        <f t="shared" ref="BK257" ca="1" si="379">+BJ271</f>
        <v>-2.2700987756252289E-9</v>
      </c>
      <c r="BL257" s="32">
        <f t="shared" ref="BL257" ca="1" si="380">+BK271</f>
        <v>-2.2700987756252289E-9</v>
      </c>
      <c r="BM257" s="32">
        <f t="shared" ref="BM257" ca="1" si="381">+BL271</f>
        <v>-2.2700987756252289E-9</v>
      </c>
      <c r="BN257" s="32">
        <f t="shared" ref="BN257" ca="1" si="382">+BM271</f>
        <v>-2.2700987756252289E-9</v>
      </c>
      <c r="BO257" s="32">
        <f t="shared" ref="BO257" ca="1" si="383">+BN271</f>
        <v>-2.2700987756252289E-9</v>
      </c>
      <c r="BP257" s="32">
        <f t="shared" ref="BP257" ca="1" si="384">+BO271</f>
        <v>-2.2700987756252289E-9</v>
      </c>
      <c r="BQ257" s="32">
        <f t="shared" ref="BQ257" ca="1" si="385">+BP271</f>
        <v>-2.2700987756252289E-9</v>
      </c>
      <c r="BR257" s="32">
        <f t="shared" ref="BR257" ca="1" si="386">+BQ271</f>
        <v>-2.2700987756252289E-9</v>
      </c>
      <c r="BS257" s="32">
        <f t="shared" ref="BS257" ca="1" si="387">+BR271</f>
        <v>-2.2700987756252289E-9</v>
      </c>
      <c r="BT257" s="32">
        <f t="shared" ref="BT257" ca="1" si="388">+BS271</f>
        <v>-2.2700987756252289E-9</v>
      </c>
      <c r="BU257" s="32">
        <f t="shared" ref="BU257" ca="1" si="389">+BT271</f>
        <v>-2.2700987756252289E-9</v>
      </c>
      <c r="BV257" s="32">
        <f t="shared" ref="BV257" ca="1" si="390">+BU271</f>
        <v>-2.2700987756252289E-9</v>
      </c>
      <c r="BW257" s="32">
        <f t="shared" ref="BW257" ca="1" si="391">+BV271</f>
        <v>-2.2700987756252289E-9</v>
      </c>
      <c r="BX257" s="32">
        <f t="shared" ref="BX257" ca="1" si="392">+BW271</f>
        <v>-2.2700987756252289E-9</v>
      </c>
      <c r="BY257" s="32">
        <f t="shared" ref="BY257" ca="1" si="393">+BX271</f>
        <v>-2.2700987756252289E-9</v>
      </c>
    </row>
    <row r="258" spans="5:77" outlineLevel="1">
      <c r="E258" t="s">
        <v>512</v>
      </c>
      <c r="F258" s="80" t="str">
        <f>+Assumptions!$G$8</f>
        <v>USD</v>
      </c>
      <c r="H258" s="33">
        <f ca="1">+H257*Assumptions!$G$191</f>
        <v>0</v>
      </c>
      <c r="I258" s="33">
        <f ca="1">+I257*Assumptions!$G$191</f>
        <v>0</v>
      </c>
      <c r="J258" s="33">
        <f ca="1">+J257*Assumptions!$G$191</f>
        <v>-71975.70641538412</v>
      </c>
      <c r="K258" s="33">
        <f ca="1">+K257*Assumptions!$G$191</f>
        <v>-255154.48255454216</v>
      </c>
      <c r="L258" s="33">
        <f ca="1">+L257*Assumptions!$G$191</f>
        <v>-243653.30897291287</v>
      </c>
      <c r="M258" s="33">
        <f ca="1">+M257*Assumptions!$G$191</f>
        <v>-231492.08303943384</v>
      </c>
      <c r="N258" s="33">
        <f ca="1">+N257*Assumptions!$G$191</f>
        <v>-218632.92434963246</v>
      </c>
      <c r="O258" s="33">
        <f ca="1">+O257*Assumptions!$G$191</f>
        <v>-205035.77854262339</v>
      </c>
      <c r="P258" s="33">
        <f ca="1">+P257*Assumptions!$G$191</f>
        <v>-190658.29253775007</v>
      </c>
      <c r="Q258" s="33">
        <f ca="1">+Q257*Assumptions!$G$191</f>
        <v>-175455.68261105704</v>
      </c>
      <c r="R258" s="33">
        <f ca="1">+R257*Assumptions!$G$191</f>
        <v>-159380.59490067113</v>
      </c>
      <c r="S258" s="33">
        <f ca="1">+S257*Assumptions!$G$191</f>
        <v>-142382.95790658615</v>
      </c>
      <c r="T258" s="33">
        <f ca="1">+T257*Assumptions!$G$191</f>
        <v>-124409.82652541064</v>
      </c>
      <c r="U258" s="33">
        <f ca="1">+U257*Assumptions!$G$191</f>
        <v>-105405.21713426948</v>
      </c>
      <c r="V258" s="33">
        <f ca="1">+V257*Assumptions!$G$191</f>
        <v>-85309.933210170711</v>
      </c>
      <c r="W258" s="33">
        <f ca="1">+W257*Assumptions!$G$191</f>
        <v>-64061.380941667914</v>
      </c>
      <c r="X258" s="33">
        <f ca="1">+X257*Assumptions!$G$191</f>
        <v>-41593.374258475742</v>
      </c>
      <c r="Y258" s="33">
        <f ca="1">+Y257*Assumptions!$G$191</f>
        <v>-17835.928671735179</v>
      </c>
      <c r="Z258" s="33">
        <f ca="1">+Z257*Assumptions!$G$191</f>
        <v>-1.3028096873313189E-10</v>
      </c>
      <c r="AA258" s="33">
        <f ca="1">+AA257*Assumptions!$G$191</f>
        <v>-1.3028096873313189E-10</v>
      </c>
      <c r="AB258" s="33">
        <f ca="1">+AB257*Assumptions!$G$191</f>
        <v>-1.3028096873313189E-10</v>
      </c>
      <c r="AC258" s="33">
        <f ca="1">+AC257*Assumptions!$G$191</f>
        <v>-1.3028096873313189E-10</v>
      </c>
      <c r="AD258" s="33">
        <f ca="1">+AD257*Assumptions!$G$191</f>
        <v>-1.3028096873313189E-10</v>
      </c>
      <c r="AE258" s="33">
        <f ca="1">+AE257*Assumptions!$G$191</f>
        <v>-1.3028096873313189E-10</v>
      </c>
      <c r="AF258" s="33">
        <f ca="1">+AF257*Assumptions!$G$191</f>
        <v>-1.3028096873313189E-10</v>
      </c>
      <c r="AG258" s="33">
        <f ca="1">+AG257*Assumptions!$G$191</f>
        <v>-1.3028096873313189E-10</v>
      </c>
      <c r="AH258" s="33">
        <f ca="1">+AH257*Assumptions!$G$191</f>
        <v>-1.3028096873313189E-10</v>
      </c>
      <c r="AI258" s="33">
        <f ca="1">+AI257*Assumptions!$G$191</f>
        <v>-1.3028096873313189E-10</v>
      </c>
      <c r="AJ258" s="33">
        <f ca="1">+AJ257*Assumptions!$G$191</f>
        <v>-1.3028096873313189E-10</v>
      </c>
      <c r="AK258" s="33">
        <f ca="1">+AK257*Assumptions!$G$191</f>
        <v>-1.3028096873313189E-10</v>
      </c>
      <c r="AL258" s="33">
        <f ca="1">+AL257*Assumptions!$G$191</f>
        <v>-1.3028096873313189E-10</v>
      </c>
      <c r="AM258" s="33">
        <f ca="1">+AM257*Assumptions!$G$191</f>
        <v>-1.3028096873313189E-10</v>
      </c>
      <c r="AN258" s="33">
        <f ca="1">+AN257*Assumptions!$G$191</f>
        <v>-1.3028096873313189E-10</v>
      </c>
      <c r="AO258" s="33">
        <f ca="1">+AO257*Assumptions!$G$191</f>
        <v>-1.3028096873313189E-10</v>
      </c>
      <c r="AP258" s="33">
        <f ca="1">+AP257*Assumptions!$G$191</f>
        <v>-1.3028096873313189E-10</v>
      </c>
      <c r="AQ258" s="33">
        <f ca="1">+AQ257*Assumptions!$G$191</f>
        <v>-1.3028096873313189E-10</v>
      </c>
      <c r="AR258" s="33">
        <f ca="1">+AR257*Assumptions!$G$191</f>
        <v>-1.3028096873313189E-10</v>
      </c>
      <c r="AS258" s="33">
        <f ca="1">+AS257*Assumptions!$G$191</f>
        <v>-1.3028096873313189E-10</v>
      </c>
      <c r="AT258" s="33">
        <f ca="1">+AT257*Assumptions!$G$191</f>
        <v>-1.3028096873313189E-10</v>
      </c>
      <c r="AU258" s="33">
        <f ca="1">+AU257*Assumptions!$G$191</f>
        <v>-1.3028096873313189E-10</v>
      </c>
      <c r="AV258" s="33">
        <f ca="1">+AV257*Assumptions!$G$191</f>
        <v>-1.3028096873313189E-10</v>
      </c>
      <c r="AW258" s="33">
        <f ca="1">+AW257*Assumptions!$G$191</f>
        <v>-1.3028096873313189E-10</v>
      </c>
      <c r="AX258" s="33">
        <f ca="1">+AX257*Assumptions!$G$191</f>
        <v>-1.3028096873313189E-10</v>
      </c>
      <c r="AY258" s="33">
        <f ca="1">+AY257*Assumptions!$G$191</f>
        <v>-1.3028096873313189E-10</v>
      </c>
      <c r="AZ258" s="33">
        <f ca="1">+AZ257*Assumptions!$G$191</f>
        <v>-1.3028096873313189E-10</v>
      </c>
      <c r="BA258" s="33">
        <f ca="1">+BA257*Assumptions!$G$191</f>
        <v>-1.3028096873313189E-10</v>
      </c>
      <c r="BB258" s="33">
        <f ca="1">+BB257*Assumptions!$G$191</f>
        <v>-1.3028096873313189E-10</v>
      </c>
      <c r="BC258" s="33">
        <f ca="1">+BC257*Assumptions!$G$191</f>
        <v>-1.3028096873313189E-10</v>
      </c>
      <c r="BD258" s="33">
        <f ca="1">+BD257*Assumptions!$G$191</f>
        <v>-1.3028096873313189E-10</v>
      </c>
      <c r="BE258" s="33">
        <f ca="1">+BE257*Assumptions!$G$191</f>
        <v>-1.3028096873313189E-10</v>
      </c>
      <c r="BF258" s="33">
        <f ca="1">+BF257*Assumptions!$G$191</f>
        <v>-1.3028096873313189E-10</v>
      </c>
      <c r="BG258" s="33">
        <f ca="1">+BG257*Assumptions!$G$191</f>
        <v>-1.3028096873313189E-10</v>
      </c>
      <c r="BH258" s="33">
        <f ca="1">+BH257*Assumptions!$G$191</f>
        <v>-1.3028096873313189E-10</v>
      </c>
      <c r="BI258" s="33">
        <f ca="1">+BI257*Assumptions!$G$191</f>
        <v>-1.3028096873313189E-10</v>
      </c>
      <c r="BJ258" s="33">
        <f ca="1">+BJ257*Assumptions!$G$191</f>
        <v>-1.3028096873313189E-10</v>
      </c>
      <c r="BK258" s="33">
        <f ca="1">+BK257*Assumptions!$G$191</f>
        <v>-1.3028096873313189E-10</v>
      </c>
      <c r="BL258" s="33">
        <f ca="1">+BL257*Assumptions!$G$191</f>
        <v>-1.3028096873313189E-10</v>
      </c>
      <c r="BM258" s="33">
        <f ca="1">+BM257*Assumptions!$G$191</f>
        <v>-1.3028096873313189E-10</v>
      </c>
      <c r="BN258" s="33">
        <f ca="1">+BN257*Assumptions!$G$191</f>
        <v>-1.3028096873313189E-10</v>
      </c>
      <c r="BO258" s="33">
        <f ca="1">+BO257*Assumptions!$G$191</f>
        <v>-1.3028096873313189E-10</v>
      </c>
      <c r="BP258" s="33">
        <f ca="1">+BP257*Assumptions!$G$191</f>
        <v>-1.3028096873313189E-10</v>
      </c>
      <c r="BQ258" s="33">
        <f ca="1">+BQ257*Assumptions!$G$191</f>
        <v>-1.3028096873313189E-10</v>
      </c>
      <c r="BR258" s="33">
        <f ca="1">+BR257*Assumptions!$G$191</f>
        <v>-1.3028096873313189E-10</v>
      </c>
      <c r="BS258" s="33">
        <f ca="1">+BS257*Assumptions!$G$191</f>
        <v>-1.3028096873313189E-10</v>
      </c>
      <c r="BT258" s="33">
        <f ca="1">+BT257*Assumptions!$G$191</f>
        <v>-1.3028096873313189E-10</v>
      </c>
      <c r="BU258" s="33">
        <f ca="1">+BU257*Assumptions!$G$191</f>
        <v>-1.3028096873313189E-10</v>
      </c>
      <c r="BV258" s="33">
        <f ca="1">+BV257*Assumptions!$G$191</f>
        <v>-1.3028096873313189E-10</v>
      </c>
      <c r="BW258" s="33">
        <f ca="1">+BW257*Assumptions!$G$191</f>
        <v>-1.3028096873313189E-10</v>
      </c>
      <c r="BX258" s="33">
        <f ca="1">+BX257*Assumptions!$G$191</f>
        <v>-1.3028096873313189E-10</v>
      </c>
      <c r="BY258" s="33">
        <f ca="1">+BY257*Assumptions!$G$191</f>
        <v>-1.3028096873313189E-10</v>
      </c>
    </row>
    <row r="259" spans="5:77" outlineLevel="1">
      <c r="E259" s="25" t="s">
        <v>513</v>
      </c>
      <c r="F259" s="81" t="str">
        <f>+Assumptions!$G$8</f>
        <v>USD</v>
      </c>
      <c r="G259" s="25"/>
      <c r="H259" s="34">
        <f>IF(SUM(H260:H269)=0,0,+SUM(H260:H269)-H258)</f>
        <v>0</v>
      </c>
      <c r="I259" s="34">
        <f t="shared" ref="I259:BT259" si="394">IF(SUM(I260:I269)=0,0,+SUM(I260:I269)-I258)</f>
        <v>0</v>
      </c>
      <c r="J259" s="34">
        <f t="shared" ca="1" si="394"/>
        <v>-54962.030424284138</v>
      </c>
      <c r="K259" s="34">
        <f t="shared" ca="1" si="394"/>
        <v>-200403.7912812217</v>
      </c>
      <c r="L259" s="34">
        <f t="shared" ca="1" si="394"/>
        <v>-211904.96486285099</v>
      </c>
      <c r="M259" s="34">
        <f t="shared" ca="1" si="394"/>
        <v>-224066.19079633002</v>
      </c>
      <c r="N259" s="34">
        <f t="shared" ca="1" si="394"/>
        <v>-236925.3494861314</v>
      </c>
      <c r="O259" s="34">
        <f t="shared" ca="1" si="394"/>
        <v>-250522.49529314047</v>
      </c>
      <c r="P259" s="34">
        <f t="shared" ca="1" si="394"/>
        <v>-264899.98129801382</v>
      </c>
      <c r="Q259" s="34">
        <f t="shared" ca="1" si="394"/>
        <v>-280102.59122470685</v>
      </c>
      <c r="R259" s="34">
        <f t="shared" ca="1" si="394"/>
        <v>-296177.67893509276</v>
      </c>
      <c r="S259" s="34">
        <f t="shared" ca="1" si="394"/>
        <v>-313175.31592917768</v>
      </c>
      <c r="T259" s="34">
        <f t="shared" ca="1" si="394"/>
        <v>-331148.44731035322</v>
      </c>
      <c r="U259" s="34">
        <f t="shared" ca="1" si="394"/>
        <v>-350153.05670149438</v>
      </c>
      <c r="V259" s="34">
        <f t="shared" ca="1" si="394"/>
        <v>-370248.34062559315</v>
      </c>
      <c r="W259" s="34">
        <f t="shared" ca="1" si="394"/>
        <v>-391496.89289409597</v>
      </c>
      <c r="X259" s="34">
        <f t="shared" ca="1" si="394"/>
        <v>-413964.89957728813</v>
      </c>
      <c r="Y259" s="34">
        <f t="shared" ca="1" si="394"/>
        <v>-310784.60832436045</v>
      </c>
      <c r="Z259" s="34">
        <f t="shared" si="394"/>
        <v>0</v>
      </c>
      <c r="AA259" s="34">
        <f t="shared" si="394"/>
        <v>0</v>
      </c>
      <c r="AB259" s="34">
        <f t="shared" si="394"/>
        <v>0</v>
      </c>
      <c r="AC259" s="34">
        <f t="shared" si="394"/>
        <v>0</v>
      </c>
      <c r="AD259" s="34">
        <f t="shared" si="394"/>
        <v>0</v>
      </c>
      <c r="AE259" s="34">
        <f t="shared" si="394"/>
        <v>0</v>
      </c>
      <c r="AF259" s="34">
        <f t="shared" si="394"/>
        <v>0</v>
      </c>
      <c r="AG259" s="34">
        <f t="shared" si="394"/>
        <v>0</v>
      </c>
      <c r="AH259" s="34">
        <f t="shared" si="394"/>
        <v>0</v>
      </c>
      <c r="AI259" s="34">
        <f t="shared" si="394"/>
        <v>0</v>
      </c>
      <c r="AJ259" s="34">
        <f t="shared" si="394"/>
        <v>0</v>
      </c>
      <c r="AK259" s="34">
        <f t="shared" si="394"/>
        <v>0</v>
      </c>
      <c r="AL259" s="34">
        <f t="shared" si="394"/>
        <v>0</v>
      </c>
      <c r="AM259" s="34">
        <f t="shared" si="394"/>
        <v>0</v>
      </c>
      <c r="AN259" s="34">
        <f t="shared" si="394"/>
        <v>0</v>
      </c>
      <c r="AO259" s="34">
        <f t="shared" si="394"/>
        <v>0</v>
      </c>
      <c r="AP259" s="34">
        <f t="shared" si="394"/>
        <v>0</v>
      </c>
      <c r="AQ259" s="34">
        <f t="shared" si="394"/>
        <v>0</v>
      </c>
      <c r="AR259" s="34">
        <f t="shared" si="394"/>
        <v>0</v>
      </c>
      <c r="AS259" s="34">
        <f t="shared" si="394"/>
        <v>0</v>
      </c>
      <c r="AT259" s="34">
        <f t="shared" si="394"/>
        <v>0</v>
      </c>
      <c r="AU259" s="34">
        <f t="shared" si="394"/>
        <v>0</v>
      </c>
      <c r="AV259" s="34">
        <f t="shared" si="394"/>
        <v>0</v>
      </c>
      <c r="AW259" s="34">
        <f t="shared" si="394"/>
        <v>0</v>
      </c>
      <c r="AX259" s="34">
        <f t="shared" si="394"/>
        <v>0</v>
      </c>
      <c r="AY259" s="34">
        <f t="shared" si="394"/>
        <v>0</v>
      </c>
      <c r="AZ259" s="34">
        <f t="shared" si="394"/>
        <v>0</v>
      </c>
      <c r="BA259" s="34">
        <f t="shared" si="394"/>
        <v>0</v>
      </c>
      <c r="BB259" s="34">
        <f t="shared" si="394"/>
        <v>0</v>
      </c>
      <c r="BC259" s="34">
        <f t="shared" si="394"/>
        <v>0</v>
      </c>
      <c r="BD259" s="34">
        <f t="shared" si="394"/>
        <v>0</v>
      </c>
      <c r="BE259" s="34">
        <f t="shared" si="394"/>
        <v>0</v>
      </c>
      <c r="BF259" s="34">
        <f t="shared" si="394"/>
        <v>0</v>
      </c>
      <c r="BG259" s="34">
        <f t="shared" si="394"/>
        <v>0</v>
      </c>
      <c r="BH259" s="34">
        <f t="shared" si="394"/>
        <v>0</v>
      </c>
      <c r="BI259" s="34">
        <f t="shared" si="394"/>
        <v>0</v>
      </c>
      <c r="BJ259" s="34">
        <f t="shared" si="394"/>
        <v>0</v>
      </c>
      <c r="BK259" s="34">
        <f t="shared" si="394"/>
        <v>0</v>
      </c>
      <c r="BL259" s="34">
        <f t="shared" si="394"/>
        <v>0</v>
      </c>
      <c r="BM259" s="34">
        <f t="shared" si="394"/>
        <v>0</v>
      </c>
      <c r="BN259" s="34">
        <f t="shared" si="394"/>
        <v>0</v>
      </c>
      <c r="BO259" s="34">
        <f t="shared" si="394"/>
        <v>0</v>
      </c>
      <c r="BP259" s="34">
        <f t="shared" si="394"/>
        <v>0</v>
      </c>
      <c r="BQ259" s="34">
        <f t="shared" si="394"/>
        <v>0</v>
      </c>
      <c r="BR259" s="34">
        <f t="shared" si="394"/>
        <v>0</v>
      </c>
      <c r="BS259" s="34">
        <f t="shared" si="394"/>
        <v>0</v>
      </c>
      <c r="BT259" s="34">
        <f t="shared" si="394"/>
        <v>0</v>
      </c>
      <c r="BU259" s="34">
        <f t="shared" ref="BU259:BY259" si="395">IF(SUM(BU260:BU269)=0,0,+SUM(BU260:BU269)-BU258)</f>
        <v>0</v>
      </c>
      <c r="BV259" s="34">
        <f t="shared" si="395"/>
        <v>0</v>
      </c>
      <c r="BW259" s="34">
        <f t="shared" si="395"/>
        <v>0</v>
      </c>
      <c r="BX259" s="34">
        <f t="shared" si="395"/>
        <v>0</v>
      </c>
      <c r="BY259" s="34">
        <f t="shared" si="395"/>
        <v>0</v>
      </c>
    </row>
    <row r="260" spans="5:77" outlineLevel="1">
      <c r="E260" s="24" t="s">
        <v>514</v>
      </c>
      <c r="F260" s="80" t="str">
        <f>+Assumptions!$G$8</f>
        <v>USD</v>
      </c>
      <c r="G260" s="24"/>
      <c r="H260" s="39">
        <f>+IFERROR(-ABS(IF(EDATE(_xlfn.XLOOKUP(1,$H247:$BE247,$H$4:$BE$4),12*Assumptions!$G$193+12)=H$4,0,IF(G247=1,PMT(Assumptions!$G$191,Assumptions!$G$193,$C249),G260))),0)</f>
        <v>0</v>
      </c>
      <c r="I260" s="39">
        <f>+IFERROR(-ABS(IF(EDATE(_xlfn.XLOOKUP(1,$H247:$BE247,$H$4:$BE$4),12*Assumptions!$G$193+12)=I$4,0,IF(H247=1,PMT(Assumptions!$G$191,Assumptions!$G$193,$C249),H260))),0)</f>
        <v>0</v>
      </c>
      <c r="J260" s="39">
        <f ca="1">+IFERROR(-ABS(IF(EDATE(_xlfn.XLOOKUP(1,$H247:$BE247,$H$4:$BE$4),12*Assumptions!$G$193+12)=J$4,0,IF(I247=1,PMT(Assumptions!$G$191,Assumptions!$G$193,$C249),I260))),0)</f>
        <v>-126937.73683966826</v>
      </c>
      <c r="K260" s="39">
        <f ca="1">+IFERROR(-ABS(IF(EDATE(_xlfn.XLOOKUP(1,$H247:$BE247,$H$4:$BE$4),12*Assumptions!$G$193+12)=K$4,0,IF(J247=1,PMT(Assumptions!$G$191,Assumptions!$G$193,$C249),J260))),0)</f>
        <v>-126937.73683966826</v>
      </c>
      <c r="L260" s="39">
        <f ca="1">+IFERROR(-ABS(IF(EDATE(_xlfn.XLOOKUP(1,$H247:$BE247,$H$4:$BE$4),12*Assumptions!$G$193+12)=L$4,0,IF(K247=1,PMT(Assumptions!$G$191,Assumptions!$G$193,$C249),K260))),0)</f>
        <v>-126937.73683966826</v>
      </c>
      <c r="M260" s="39">
        <f ca="1">+IFERROR(-ABS(IF(EDATE(_xlfn.XLOOKUP(1,$H247:$BE247,$H$4:$BE$4),12*Assumptions!$G$193+12)=M$4,0,IF(L247=1,PMT(Assumptions!$G$191,Assumptions!$G$193,$C249),L260))),0)</f>
        <v>-126937.73683966826</v>
      </c>
      <c r="N260" s="39">
        <f ca="1">+IFERROR(-ABS(IF(EDATE(_xlfn.XLOOKUP(1,$H247:$BE247,$H$4:$BE$4),12*Assumptions!$G$193+12)=N$4,0,IF(M247=1,PMT(Assumptions!$G$191,Assumptions!$G$193,$C249),M260))),0)</f>
        <v>-126937.73683966826</v>
      </c>
      <c r="O260" s="39">
        <f ca="1">+IFERROR(-ABS(IF(EDATE(_xlfn.XLOOKUP(1,$H247:$BE247,$H$4:$BE$4),12*Assumptions!$G$193+12)=O$4,0,IF(N247=1,PMT(Assumptions!$G$191,Assumptions!$G$193,$C249),N260))),0)</f>
        <v>-126937.73683966826</v>
      </c>
      <c r="P260" s="39">
        <f ca="1">+IFERROR(-ABS(IF(EDATE(_xlfn.XLOOKUP(1,$H247:$BE247,$H$4:$BE$4),12*Assumptions!$G$193+12)=P$4,0,IF(O247=1,PMT(Assumptions!$G$191,Assumptions!$G$193,$C249),O260))),0)</f>
        <v>-126937.73683966826</v>
      </c>
      <c r="Q260" s="39">
        <f ca="1">+IFERROR(-ABS(IF(EDATE(_xlfn.XLOOKUP(1,$H247:$BE247,$H$4:$BE$4),12*Assumptions!$G$193+12)=Q$4,0,IF(P247=1,PMT(Assumptions!$G$191,Assumptions!$G$193,$C249),P260))),0)</f>
        <v>-126937.73683966826</v>
      </c>
      <c r="R260" s="39">
        <f ca="1">+IFERROR(-ABS(IF(EDATE(_xlfn.XLOOKUP(1,$H247:$BE247,$H$4:$BE$4),12*Assumptions!$G$193+12)=R$4,0,IF(Q247=1,PMT(Assumptions!$G$191,Assumptions!$G$193,$C249),Q260))),0)</f>
        <v>-126937.73683966826</v>
      </c>
      <c r="S260" s="39">
        <f ca="1">+IFERROR(-ABS(IF(EDATE(_xlfn.XLOOKUP(1,$H247:$BE247,$H$4:$BE$4),12*Assumptions!$G$193+12)=S$4,0,IF(R247=1,PMT(Assumptions!$G$191,Assumptions!$G$193,$C249),R260))),0)</f>
        <v>-126937.73683966826</v>
      </c>
      <c r="T260" s="39">
        <f ca="1">+IFERROR(-ABS(IF(EDATE(_xlfn.XLOOKUP(1,$H247:$BE247,$H$4:$BE$4),12*Assumptions!$G$193+12)=T$4,0,IF(S247=1,PMT(Assumptions!$G$191,Assumptions!$G$193,$C249),S260))),0)</f>
        <v>-126937.73683966826</v>
      </c>
      <c r="U260" s="39">
        <f ca="1">+IFERROR(-ABS(IF(EDATE(_xlfn.XLOOKUP(1,$H247:$BE247,$H$4:$BE$4),12*Assumptions!$G$193+12)=U$4,0,IF(T247=1,PMT(Assumptions!$G$191,Assumptions!$G$193,$C249),T260))),0)</f>
        <v>-126937.73683966826</v>
      </c>
      <c r="V260" s="39">
        <f ca="1">+IFERROR(-ABS(IF(EDATE(_xlfn.XLOOKUP(1,$H247:$BE247,$H$4:$BE$4),12*Assumptions!$G$193+12)=V$4,0,IF(U247=1,PMT(Assumptions!$G$191,Assumptions!$G$193,$C249),U260))),0)</f>
        <v>-126937.73683966826</v>
      </c>
      <c r="W260" s="39">
        <f ca="1">+IFERROR(-ABS(IF(EDATE(_xlfn.XLOOKUP(1,$H247:$BE247,$H$4:$BE$4),12*Assumptions!$G$193+12)=W$4,0,IF(V247=1,PMT(Assumptions!$G$191,Assumptions!$G$193,$C249),V260))),0)</f>
        <v>-126937.73683966826</v>
      </c>
      <c r="X260" s="39">
        <f ca="1">+IFERROR(-ABS(IF(EDATE(_xlfn.XLOOKUP(1,$H247:$BE247,$H$4:$BE$4),12*Assumptions!$G$193+12)=X$4,0,IF(W247=1,PMT(Assumptions!$G$191,Assumptions!$G$193,$C249),W260))),0)</f>
        <v>-126937.73683966826</v>
      </c>
      <c r="Y260" s="39">
        <f>+IFERROR(-ABS(IF(EDATE(_xlfn.XLOOKUP(1,$H247:$BE247,$H$4:$BE$4),12*Assumptions!$G$193+12)=Y$4,0,IF(X247=1,PMT(Assumptions!$G$191,Assumptions!$G$193,$C249),X260))),0)</f>
        <v>0</v>
      </c>
      <c r="Z260" s="39">
        <f>+IFERROR(-ABS(IF(EDATE(_xlfn.XLOOKUP(1,$H247:$BE247,$H$4:$BE$4),12*Assumptions!$G$193+12)=Z$4,0,IF(Y247=1,PMT(Assumptions!$G$191,Assumptions!$G$193,$C249),Y260))),0)</f>
        <v>0</v>
      </c>
      <c r="AA260" s="39">
        <f>+IFERROR(-ABS(IF(EDATE(_xlfn.XLOOKUP(1,$H247:$BE247,$H$4:$BE$4),12*Assumptions!$G$193+12)=AA$4,0,IF(Z247=1,PMT(Assumptions!$G$191,Assumptions!$G$193,$C249),Z260))),0)</f>
        <v>0</v>
      </c>
      <c r="AB260" s="39">
        <f>+IFERROR(-ABS(IF(EDATE(_xlfn.XLOOKUP(1,$H247:$BE247,$H$4:$BE$4),12*Assumptions!$G$193+12)=AB$4,0,IF(AA247=1,PMT(Assumptions!$G$191,Assumptions!$G$193,$C249),AA260))),0)</f>
        <v>0</v>
      </c>
      <c r="AC260" s="39">
        <f>+IFERROR(-ABS(IF(EDATE(_xlfn.XLOOKUP(1,$H247:$BE247,$H$4:$BE$4),12*Assumptions!$G$193+12)=AC$4,0,IF(AB247=1,PMT(Assumptions!$G$191,Assumptions!$G$193,$C249),AB260))),0)</f>
        <v>0</v>
      </c>
      <c r="AD260" s="39">
        <f>+IFERROR(-ABS(IF(EDATE(_xlfn.XLOOKUP(1,$H247:$BE247,$H$4:$BE$4),12*Assumptions!$G$193+12)=AD$4,0,IF(AC247=1,PMT(Assumptions!$G$191,Assumptions!$G$193,$C249),AC260))),0)</f>
        <v>0</v>
      </c>
      <c r="AE260" s="39">
        <f>+IFERROR(-ABS(IF(EDATE(_xlfn.XLOOKUP(1,$H247:$BE247,$H$4:$BE$4),12*Assumptions!$G$193+12)=AE$4,0,IF(AD247=1,PMT(Assumptions!$G$191,Assumptions!$G$193,$C249),AD260))),0)</f>
        <v>0</v>
      </c>
      <c r="AF260" s="39">
        <f>+IFERROR(-ABS(IF(EDATE(_xlfn.XLOOKUP(1,$H247:$BE247,$H$4:$BE$4),12*Assumptions!$G$193+12)=AF$4,0,IF(AE247=1,PMT(Assumptions!$G$191,Assumptions!$G$193,$C249),AE260))),0)</f>
        <v>0</v>
      </c>
      <c r="AG260" s="39">
        <f>+IFERROR(-ABS(IF(EDATE(_xlfn.XLOOKUP(1,$H247:$BE247,$H$4:$BE$4),12*Assumptions!$G$193+12)=AG$4,0,IF(AF247=1,PMT(Assumptions!$G$191,Assumptions!$G$193,$C249),AF260))),0)</f>
        <v>0</v>
      </c>
      <c r="AH260" s="39">
        <f>+IFERROR(-ABS(IF(EDATE(_xlfn.XLOOKUP(1,$H247:$BE247,$H$4:$BE$4),12*Assumptions!$G$193+12)=AH$4,0,IF(AG247=1,PMT(Assumptions!$G$191,Assumptions!$G$193,$C249),AG260))),0)</f>
        <v>0</v>
      </c>
      <c r="AI260" s="39">
        <f>+IFERROR(-ABS(IF(EDATE(_xlfn.XLOOKUP(1,$H247:$BE247,$H$4:$BE$4),12*Assumptions!$G$193+12)=AI$4,0,IF(AH247=1,PMT(Assumptions!$G$191,Assumptions!$G$193,$C249),AH260))),0)</f>
        <v>0</v>
      </c>
      <c r="AJ260" s="39">
        <f>+IFERROR(-ABS(IF(EDATE(_xlfn.XLOOKUP(1,$H247:$BE247,$H$4:$BE$4),12*Assumptions!$G$193+12)=AJ$4,0,IF(AI247=1,PMT(Assumptions!$G$191,Assumptions!$G$193,$C249),AI260))),0)</f>
        <v>0</v>
      </c>
      <c r="AK260" s="39">
        <f>+IFERROR(-ABS(IF(EDATE(_xlfn.XLOOKUP(1,$H247:$BE247,$H$4:$BE$4),12*Assumptions!$G$193+12)=AK$4,0,IF(AJ247=1,PMT(Assumptions!$G$191,Assumptions!$G$193,$C249),AJ260))),0)</f>
        <v>0</v>
      </c>
      <c r="AL260" s="39">
        <f>+IFERROR(-ABS(IF(EDATE(_xlfn.XLOOKUP(1,$H247:$BE247,$H$4:$BE$4),12*Assumptions!$G$193+12)=AL$4,0,IF(AK247=1,PMT(Assumptions!$G$191,Assumptions!$G$193,$C249),AK260))),0)</f>
        <v>0</v>
      </c>
      <c r="AM260" s="39">
        <f>+IFERROR(-ABS(IF(EDATE(_xlfn.XLOOKUP(1,$H247:$BE247,$H$4:$BE$4),12*Assumptions!$G$193+12)=AM$4,0,IF(AL247=1,PMT(Assumptions!$G$191,Assumptions!$G$193,$C249),AL260))),0)</f>
        <v>0</v>
      </c>
      <c r="AN260" s="39">
        <f>+IFERROR(-ABS(IF(EDATE(_xlfn.XLOOKUP(1,$H247:$BE247,$H$4:$BE$4),12*Assumptions!$G$193+12)=AN$4,0,IF(AM247=1,PMT(Assumptions!$G$191,Assumptions!$G$193,$C249),AM260))),0)</f>
        <v>0</v>
      </c>
      <c r="AO260" s="39">
        <f>+IFERROR(-ABS(IF(EDATE(_xlfn.XLOOKUP(1,$H247:$BE247,$H$4:$BE$4),12*Assumptions!$G$193+12)=AO$4,0,IF(AN247=1,PMT(Assumptions!$G$191,Assumptions!$G$193,$C249),AN260))),0)</f>
        <v>0</v>
      </c>
      <c r="AP260" s="39">
        <f>+IFERROR(-ABS(IF(EDATE(_xlfn.XLOOKUP(1,$H247:$BE247,$H$4:$BE$4),12*Assumptions!$G$193+12)=AP$4,0,IF(AO247=1,PMT(Assumptions!$G$191,Assumptions!$G$193,$C249),AO260))),0)</f>
        <v>0</v>
      </c>
      <c r="AQ260" s="39">
        <f>+IFERROR(-ABS(IF(EDATE(_xlfn.XLOOKUP(1,$H247:$BE247,$H$4:$BE$4),12*Assumptions!$G$193+12)=AQ$4,0,IF(AP247=1,PMT(Assumptions!$G$191,Assumptions!$G$193,$C249),AP260))),0)</f>
        <v>0</v>
      </c>
      <c r="AR260" s="39">
        <f>+IFERROR(-ABS(IF(EDATE(_xlfn.XLOOKUP(1,$H247:$BE247,$H$4:$BE$4),12*Assumptions!$G$193+12)=AR$4,0,IF(AQ247=1,PMT(Assumptions!$G$191,Assumptions!$G$193,$C249),AQ260))),0)</f>
        <v>0</v>
      </c>
      <c r="AS260" s="39">
        <f>+IFERROR(-ABS(IF(EDATE(_xlfn.XLOOKUP(1,$H247:$BE247,$H$4:$BE$4),12*Assumptions!$G$193+12)=AS$4,0,IF(AR247=1,PMT(Assumptions!$G$191,Assumptions!$G$193,$C249),AR260))),0)</f>
        <v>0</v>
      </c>
      <c r="AT260" s="39">
        <f>+IFERROR(-ABS(IF(EDATE(_xlfn.XLOOKUP(1,$H247:$BE247,$H$4:$BE$4),12*Assumptions!$G$193+12)=AT$4,0,IF(AS247=1,PMT(Assumptions!$G$191,Assumptions!$G$193,$C249),AS260))),0)</f>
        <v>0</v>
      </c>
      <c r="AU260" s="39">
        <f>+IFERROR(-ABS(IF(EDATE(_xlfn.XLOOKUP(1,$H247:$BE247,$H$4:$BE$4),12*Assumptions!$G$193+12)=AU$4,0,IF(AT247=1,PMT(Assumptions!$G$191,Assumptions!$G$193,$C249),AT260))),0)</f>
        <v>0</v>
      </c>
      <c r="AV260" s="39">
        <f>+IFERROR(-ABS(IF(EDATE(_xlfn.XLOOKUP(1,$H247:$BE247,$H$4:$BE$4),12*Assumptions!$G$193+12)=AV$4,0,IF(AU247=1,PMT(Assumptions!$G$191,Assumptions!$G$193,$C249),AU260))),0)</f>
        <v>0</v>
      </c>
      <c r="AW260" s="39">
        <f>+IFERROR(-ABS(IF(EDATE(_xlfn.XLOOKUP(1,$H247:$BE247,$H$4:$BE$4),12*Assumptions!$G$193+12)=AW$4,0,IF(AV247=1,PMT(Assumptions!$G$191,Assumptions!$G$193,$C249),AV260))),0)</f>
        <v>0</v>
      </c>
      <c r="AX260" s="39">
        <f>+IFERROR(-ABS(IF(EDATE(_xlfn.XLOOKUP(1,$H247:$BE247,$H$4:$BE$4),12*Assumptions!$G$193+12)=AX$4,0,IF(AW247=1,PMT(Assumptions!$G$191,Assumptions!$G$193,$C249),AW260))),0)</f>
        <v>0</v>
      </c>
      <c r="AY260" s="39">
        <f>+IFERROR(-ABS(IF(EDATE(_xlfn.XLOOKUP(1,$H247:$BE247,$H$4:$BE$4),12*Assumptions!$G$193+12)=AY$4,0,IF(AX247=1,PMT(Assumptions!$G$191,Assumptions!$G$193,$C249),AX260))),0)</f>
        <v>0</v>
      </c>
      <c r="AZ260" s="39">
        <f>+IFERROR(-ABS(IF(EDATE(_xlfn.XLOOKUP(1,$H247:$BE247,$H$4:$BE$4),12*Assumptions!$G$193+12)=AZ$4,0,IF(AY247=1,PMT(Assumptions!$G$191,Assumptions!$G$193,$C249),AY260))),0)</f>
        <v>0</v>
      </c>
      <c r="BA260" s="39">
        <f>+IFERROR(-ABS(IF(EDATE(_xlfn.XLOOKUP(1,$H247:$BE247,$H$4:$BE$4),12*Assumptions!$G$193+12)=BA$4,0,IF(AZ247=1,PMT(Assumptions!$G$191,Assumptions!$G$193,$C249),AZ260))),0)</f>
        <v>0</v>
      </c>
      <c r="BB260" s="39">
        <f>+IFERROR(-ABS(IF(EDATE(_xlfn.XLOOKUP(1,$H247:$BE247,$H$4:$BE$4),12*Assumptions!$G$193+12)=BB$4,0,IF(BA247=1,PMT(Assumptions!$G$191,Assumptions!$G$193,$C249),BA260))),0)</f>
        <v>0</v>
      </c>
      <c r="BC260" s="39">
        <f>+IFERROR(-ABS(IF(EDATE(_xlfn.XLOOKUP(1,$H247:$BE247,$H$4:$BE$4),12*Assumptions!$G$193+12)=BC$4,0,IF(BB247=1,PMT(Assumptions!$G$191,Assumptions!$G$193,$C249),BB260))),0)</f>
        <v>0</v>
      </c>
      <c r="BD260" s="39">
        <f>+IFERROR(-ABS(IF(EDATE(_xlfn.XLOOKUP(1,$H247:$BE247,$H$4:$BE$4),12*Assumptions!$G$193+12)=BD$4,0,IF(BC247=1,PMT(Assumptions!$G$191,Assumptions!$G$193,$C249),BC260))),0)</f>
        <v>0</v>
      </c>
      <c r="BE260" s="39">
        <f>+IFERROR(-ABS(IF(EDATE(_xlfn.XLOOKUP(1,$H247:$BE247,$H$4:$BE$4),12*Assumptions!$G$193+12)=BE$4,0,IF(BD247=1,PMT(Assumptions!$G$191,Assumptions!$G$193,$C249),BD260))),0)</f>
        <v>0</v>
      </c>
      <c r="BF260" s="39">
        <f>+IFERROR(-ABS(IF(EDATE(_xlfn.XLOOKUP(1,$H247:$BE247,$H$4:$BE$4),12*Assumptions!$G$193+12)=BF$4,0,IF(BE247=1,PMT(Assumptions!$G$191,Assumptions!$G$193,$C249),BE260))),0)</f>
        <v>0</v>
      </c>
      <c r="BG260" s="39">
        <f>+IFERROR(-ABS(IF(EDATE(_xlfn.XLOOKUP(1,$H247:$BE247,$H$4:$BE$4),12*Assumptions!$G$193+12)=BG$4,0,IF(BF247=1,PMT(Assumptions!$G$191,Assumptions!$G$193,$C249),BF260))),0)</f>
        <v>0</v>
      </c>
      <c r="BH260" s="39">
        <f>+IFERROR(-ABS(IF(EDATE(_xlfn.XLOOKUP(1,$H247:$BE247,$H$4:$BE$4),12*Assumptions!$G$193+12)=BH$4,0,IF(BG247=1,PMT(Assumptions!$G$191,Assumptions!$G$193,$C249),BG260))),0)</f>
        <v>0</v>
      </c>
      <c r="BI260" s="39">
        <f>+IFERROR(-ABS(IF(EDATE(_xlfn.XLOOKUP(1,$H247:$BE247,$H$4:$BE$4),12*Assumptions!$G$193+12)=BI$4,0,IF(BH247=1,PMT(Assumptions!$G$191,Assumptions!$G$193,$C249),BH260))),0)</f>
        <v>0</v>
      </c>
      <c r="BJ260" s="39">
        <f>+IFERROR(-ABS(IF(EDATE(_xlfn.XLOOKUP(1,$H247:$BE247,$H$4:$BE$4),12*Assumptions!$G$193+12)=BJ$4,0,IF(BI247=1,PMT(Assumptions!$G$191,Assumptions!$G$193,$C249),BI260))),0)</f>
        <v>0</v>
      </c>
      <c r="BK260" s="39">
        <f>+IFERROR(-ABS(IF(EDATE(_xlfn.XLOOKUP(1,$H247:$BE247,$H$4:$BE$4),12*Assumptions!$G$193+12)=BK$4,0,IF(BJ247=1,PMT(Assumptions!$G$191,Assumptions!$G$193,$C249),BJ260))),0)</f>
        <v>0</v>
      </c>
      <c r="BL260" s="39">
        <f>+IFERROR(-ABS(IF(EDATE(_xlfn.XLOOKUP(1,$H247:$BE247,$H$4:$BE$4),12*Assumptions!$G$193+12)=BL$4,0,IF(BK247=1,PMT(Assumptions!$G$191,Assumptions!$G$193,$C249),BK260))),0)</f>
        <v>0</v>
      </c>
      <c r="BM260" s="39">
        <f>+IFERROR(-ABS(IF(EDATE(_xlfn.XLOOKUP(1,$H247:$BE247,$H$4:$BE$4),12*Assumptions!$G$193+12)=BM$4,0,IF(BL247=1,PMT(Assumptions!$G$191,Assumptions!$G$193,$C249),BL260))),0)</f>
        <v>0</v>
      </c>
      <c r="BN260" s="39">
        <f>+IFERROR(-ABS(IF(EDATE(_xlfn.XLOOKUP(1,$H247:$BE247,$H$4:$BE$4),12*Assumptions!$G$193+12)=BN$4,0,IF(BM247=1,PMT(Assumptions!$G$191,Assumptions!$G$193,$C249),BM260))),0)</f>
        <v>0</v>
      </c>
      <c r="BO260" s="39">
        <f>+IFERROR(-ABS(IF(EDATE(_xlfn.XLOOKUP(1,$H247:$BE247,$H$4:$BE$4),12*Assumptions!$G$193+12)=BO$4,0,IF(BN247=1,PMT(Assumptions!$G$191,Assumptions!$G$193,$C249),BN260))),0)</f>
        <v>0</v>
      </c>
      <c r="BP260" s="39">
        <f>+IFERROR(-ABS(IF(EDATE(_xlfn.XLOOKUP(1,$H247:$BE247,$H$4:$BE$4),12*Assumptions!$G$193+12)=BP$4,0,IF(BO247=1,PMT(Assumptions!$G$191,Assumptions!$G$193,$C249),BO260))),0)</f>
        <v>0</v>
      </c>
      <c r="BQ260" s="39">
        <f>+IFERROR(-ABS(IF(EDATE(_xlfn.XLOOKUP(1,$H247:$BE247,$H$4:$BE$4),12*Assumptions!$G$193+12)=BQ$4,0,IF(BP247=1,PMT(Assumptions!$G$191,Assumptions!$G$193,$C249),BP260))),0)</f>
        <v>0</v>
      </c>
      <c r="BR260" s="39">
        <f>+IFERROR(-ABS(IF(EDATE(_xlfn.XLOOKUP(1,$H247:$BE247,$H$4:$BE$4),12*Assumptions!$G$193+12)=BR$4,0,IF(BQ247=1,PMT(Assumptions!$G$191,Assumptions!$G$193,$C249),BQ260))),0)</f>
        <v>0</v>
      </c>
      <c r="BS260" s="39">
        <f>+IFERROR(-ABS(IF(EDATE(_xlfn.XLOOKUP(1,$H247:$BE247,$H$4:$BE$4),12*Assumptions!$G$193+12)=BS$4,0,IF(BR247=1,PMT(Assumptions!$G$191,Assumptions!$G$193,$C249),BR260))),0)</f>
        <v>0</v>
      </c>
      <c r="BT260" s="39">
        <f>+IFERROR(-ABS(IF(EDATE(_xlfn.XLOOKUP(1,$H247:$BE247,$H$4:$BE$4),12*Assumptions!$G$193+12)=BT$4,0,IF(BS247=1,PMT(Assumptions!$G$191,Assumptions!$G$193,$C249),BS260))),0)</f>
        <v>0</v>
      </c>
      <c r="BU260" s="39">
        <f>+IFERROR(-ABS(IF(EDATE(_xlfn.XLOOKUP(1,$H247:$BE247,$H$4:$BE$4),12*Assumptions!$G$193+12)=BU$4,0,IF(BT247=1,PMT(Assumptions!$G$191,Assumptions!$G$193,$C249),BT260))),0)</f>
        <v>0</v>
      </c>
      <c r="BV260" s="39">
        <f>+IFERROR(-ABS(IF(EDATE(_xlfn.XLOOKUP(1,$H247:$BE247,$H$4:$BE$4),12*Assumptions!$G$193+12)=BV$4,0,IF(BU247=1,PMT(Assumptions!$G$191,Assumptions!$G$193,$C249),BU260))),0)</f>
        <v>0</v>
      </c>
      <c r="BW260" s="39">
        <f>+IFERROR(-ABS(IF(EDATE(_xlfn.XLOOKUP(1,$H247:$BE247,$H$4:$BE$4),12*Assumptions!$G$193+12)=BW$4,0,IF(BV247=1,PMT(Assumptions!$G$191,Assumptions!$G$193,$C249),BV260))),0)</f>
        <v>0</v>
      </c>
      <c r="BX260" s="39">
        <f>+IFERROR(-ABS(IF(EDATE(_xlfn.XLOOKUP(1,$H247:$BE247,$H$4:$BE$4),12*Assumptions!$G$193+12)=BX$4,0,IF(BW247=1,PMT(Assumptions!$G$191,Assumptions!$G$193,$C249),BW260))),0)</f>
        <v>0</v>
      </c>
      <c r="BY260" s="39">
        <f>+IFERROR(-ABS(IF(EDATE(_xlfn.XLOOKUP(1,$H247:$BE247,$H$4:$BE$4),12*Assumptions!$G$193+12)=BY$4,0,IF(BX247=1,PMT(Assumptions!$G$191,Assumptions!$G$193,$C249),BX260))),0)</f>
        <v>0</v>
      </c>
    </row>
    <row r="261" spans="5:77" outlineLevel="1">
      <c r="E261" s="24" t="s">
        <v>515</v>
      </c>
      <c r="F261" s="80" t="str">
        <f>+Assumptions!$G$8</f>
        <v>USD</v>
      </c>
      <c r="G261" s="24"/>
      <c r="H261" s="39">
        <f>+IFERROR(-ABS(IF(EDATE(_xlfn.XLOOKUP(1,$H248:$BE248,$H$4:$BE$4),12*Assumptions!$G$193+12)=H$4,0,IF(G248=1,PMT(Assumptions!$G$191,Assumptions!$G$193,$C250),G261))),0)</f>
        <v>0</v>
      </c>
      <c r="I261" s="39">
        <f>+IFERROR(-ABS(IF(EDATE(_xlfn.XLOOKUP(1,$H248:$BE248,$H$4:$BE$4),12*Assumptions!$G$193+12)=I$4,0,IF(H248=1,PMT(Assumptions!$G$191,Assumptions!$G$193,$C250),H261))),0)</f>
        <v>0</v>
      </c>
      <c r="J261" s="39">
        <f>+IFERROR(-ABS(IF(EDATE(_xlfn.XLOOKUP(1,$H248:$BE248,$H$4:$BE$4),12*Assumptions!$G$193+12)=J$4,0,IF(I248=1,PMT(Assumptions!$G$191,Assumptions!$G$193,$C250),I261))),0)</f>
        <v>0</v>
      </c>
      <c r="K261" s="39">
        <f ca="1">+IFERROR(-ABS(IF(EDATE(_xlfn.XLOOKUP(1,$H248:$BE248,$H$4:$BE$4),12*Assumptions!$G$193+12)=K$4,0,IF(J248=1,PMT(Assumptions!$G$191,Assumptions!$G$193,$C250),J261))),0)</f>
        <v>-328620.53699609562</v>
      </c>
      <c r="L261" s="39">
        <f ca="1">+IFERROR(-ABS(IF(EDATE(_xlfn.XLOOKUP(1,$H248:$BE248,$H$4:$BE$4),12*Assumptions!$G$193+12)=L$4,0,IF(K248=1,PMT(Assumptions!$G$191,Assumptions!$G$193,$C250),K261))),0)</f>
        <v>-328620.53699609562</v>
      </c>
      <c r="M261" s="39">
        <f ca="1">+IFERROR(-ABS(IF(EDATE(_xlfn.XLOOKUP(1,$H248:$BE248,$H$4:$BE$4),12*Assumptions!$G$193+12)=M$4,0,IF(L248=1,PMT(Assumptions!$G$191,Assumptions!$G$193,$C250),L261))),0)</f>
        <v>-328620.53699609562</v>
      </c>
      <c r="N261" s="39">
        <f ca="1">+IFERROR(-ABS(IF(EDATE(_xlfn.XLOOKUP(1,$H248:$BE248,$H$4:$BE$4),12*Assumptions!$G$193+12)=N$4,0,IF(M248=1,PMT(Assumptions!$G$191,Assumptions!$G$193,$C250),M261))),0)</f>
        <v>-328620.53699609562</v>
      </c>
      <c r="O261" s="39">
        <f ca="1">+IFERROR(-ABS(IF(EDATE(_xlfn.XLOOKUP(1,$H248:$BE248,$H$4:$BE$4),12*Assumptions!$G$193+12)=O$4,0,IF(N248=1,PMT(Assumptions!$G$191,Assumptions!$G$193,$C250),N261))),0)</f>
        <v>-328620.53699609562</v>
      </c>
      <c r="P261" s="39">
        <f ca="1">+IFERROR(-ABS(IF(EDATE(_xlfn.XLOOKUP(1,$H248:$BE248,$H$4:$BE$4),12*Assumptions!$G$193+12)=P$4,0,IF(O248=1,PMT(Assumptions!$G$191,Assumptions!$G$193,$C250),O261))),0)</f>
        <v>-328620.53699609562</v>
      </c>
      <c r="Q261" s="39">
        <f ca="1">+IFERROR(-ABS(IF(EDATE(_xlfn.XLOOKUP(1,$H248:$BE248,$H$4:$BE$4),12*Assumptions!$G$193+12)=Q$4,0,IF(P248=1,PMT(Assumptions!$G$191,Assumptions!$G$193,$C250),P261))),0)</f>
        <v>-328620.53699609562</v>
      </c>
      <c r="R261" s="39">
        <f ca="1">+IFERROR(-ABS(IF(EDATE(_xlfn.XLOOKUP(1,$H248:$BE248,$H$4:$BE$4),12*Assumptions!$G$193+12)=R$4,0,IF(Q248=1,PMT(Assumptions!$G$191,Assumptions!$G$193,$C250),Q261))),0)</f>
        <v>-328620.53699609562</v>
      </c>
      <c r="S261" s="39">
        <f ca="1">+IFERROR(-ABS(IF(EDATE(_xlfn.XLOOKUP(1,$H248:$BE248,$H$4:$BE$4),12*Assumptions!$G$193+12)=S$4,0,IF(R248=1,PMT(Assumptions!$G$191,Assumptions!$G$193,$C250),R261))),0)</f>
        <v>-328620.53699609562</v>
      </c>
      <c r="T261" s="39">
        <f ca="1">+IFERROR(-ABS(IF(EDATE(_xlfn.XLOOKUP(1,$H248:$BE248,$H$4:$BE$4),12*Assumptions!$G$193+12)=T$4,0,IF(S248=1,PMT(Assumptions!$G$191,Assumptions!$G$193,$C250),S261))),0)</f>
        <v>-328620.53699609562</v>
      </c>
      <c r="U261" s="39">
        <f ca="1">+IFERROR(-ABS(IF(EDATE(_xlfn.XLOOKUP(1,$H248:$BE248,$H$4:$BE$4),12*Assumptions!$G$193+12)=U$4,0,IF(T248=1,PMT(Assumptions!$G$191,Assumptions!$G$193,$C250),T261))),0)</f>
        <v>-328620.53699609562</v>
      </c>
      <c r="V261" s="39">
        <f ca="1">+IFERROR(-ABS(IF(EDATE(_xlfn.XLOOKUP(1,$H248:$BE248,$H$4:$BE$4),12*Assumptions!$G$193+12)=V$4,0,IF(U248=1,PMT(Assumptions!$G$191,Assumptions!$G$193,$C250),U261))),0)</f>
        <v>-328620.53699609562</v>
      </c>
      <c r="W261" s="39">
        <f ca="1">+IFERROR(-ABS(IF(EDATE(_xlfn.XLOOKUP(1,$H248:$BE248,$H$4:$BE$4),12*Assumptions!$G$193+12)=W$4,0,IF(V248=1,PMT(Assumptions!$G$191,Assumptions!$G$193,$C250),V261))),0)</f>
        <v>-328620.53699609562</v>
      </c>
      <c r="X261" s="39">
        <f ca="1">+IFERROR(-ABS(IF(EDATE(_xlfn.XLOOKUP(1,$H248:$BE248,$H$4:$BE$4),12*Assumptions!$G$193+12)=X$4,0,IF(W248=1,PMT(Assumptions!$G$191,Assumptions!$G$193,$C250),W261))),0)</f>
        <v>-328620.53699609562</v>
      </c>
      <c r="Y261" s="39">
        <f ca="1">+IFERROR(-ABS(IF(EDATE(_xlfn.XLOOKUP(1,$H248:$BE248,$H$4:$BE$4),12*Assumptions!$G$193+12)=Y$4,0,IF(X248=1,PMT(Assumptions!$G$191,Assumptions!$G$193,$C250),X261))),0)</f>
        <v>-328620.53699609562</v>
      </c>
      <c r="Z261" s="39">
        <f>+IFERROR(-ABS(IF(EDATE(_xlfn.XLOOKUP(1,$H248:$BE248,$H$4:$BE$4),12*Assumptions!$G$193+12)=Z$4,0,IF(Y248=1,PMT(Assumptions!$G$191,Assumptions!$G$193,$C250),Y261))),0)</f>
        <v>0</v>
      </c>
      <c r="AA261" s="39">
        <f>+IFERROR(-ABS(IF(EDATE(_xlfn.XLOOKUP(1,$H248:$BE248,$H$4:$BE$4),12*Assumptions!$G$193+12)=AA$4,0,IF(Z248=1,PMT(Assumptions!$G$191,Assumptions!$G$193,$C250),Z261))),0)</f>
        <v>0</v>
      </c>
      <c r="AB261" s="39">
        <f>+IFERROR(-ABS(IF(EDATE(_xlfn.XLOOKUP(1,$H248:$BE248,$H$4:$BE$4),12*Assumptions!$G$193+12)=AB$4,0,IF(AA248=1,PMT(Assumptions!$G$191,Assumptions!$G$193,$C250),AA261))),0)</f>
        <v>0</v>
      </c>
      <c r="AC261" s="39">
        <f>+IFERROR(-ABS(IF(EDATE(_xlfn.XLOOKUP(1,$H248:$BE248,$H$4:$BE$4),12*Assumptions!$G$193+12)=AC$4,0,IF(AB248=1,PMT(Assumptions!$G$191,Assumptions!$G$193,$C250),AB261))),0)</f>
        <v>0</v>
      </c>
      <c r="AD261" s="39">
        <f>+IFERROR(-ABS(IF(EDATE(_xlfn.XLOOKUP(1,$H248:$BE248,$H$4:$BE$4),12*Assumptions!$G$193+12)=AD$4,0,IF(AC248=1,PMT(Assumptions!$G$191,Assumptions!$G$193,$C250),AC261))),0)</f>
        <v>0</v>
      </c>
      <c r="AE261" s="39">
        <f>+IFERROR(-ABS(IF(EDATE(_xlfn.XLOOKUP(1,$H248:$BE248,$H$4:$BE$4),12*Assumptions!$G$193+12)=AE$4,0,IF(AD248=1,PMT(Assumptions!$G$191,Assumptions!$G$193,$C250),AD261))),0)</f>
        <v>0</v>
      </c>
      <c r="AF261" s="39">
        <f>+IFERROR(-ABS(IF(EDATE(_xlfn.XLOOKUP(1,$H248:$BE248,$H$4:$BE$4),12*Assumptions!$G$193+12)=AF$4,0,IF(AE248=1,PMT(Assumptions!$G$191,Assumptions!$G$193,$C250),AE261))),0)</f>
        <v>0</v>
      </c>
      <c r="AG261" s="39">
        <f>+IFERROR(-ABS(IF(EDATE(_xlfn.XLOOKUP(1,$H248:$BE248,$H$4:$BE$4),12*Assumptions!$G$193+12)=AG$4,0,IF(AF248=1,PMT(Assumptions!$G$191,Assumptions!$G$193,$C250),AF261))),0)</f>
        <v>0</v>
      </c>
      <c r="AH261" s="39">
        <f>+IFERROR(-ABS(IF(EDATE(_xlfn.XLOOKUP(1,$H248:$BE248,$H$4:$BE$4),12*Assumptions!$G$193+12)=AH$4,0,IF(AG248=1,PMT(Assumptions!$G$191,Assumptions!$G$193,$C250),AG261))),0)</f>
        <v>0</v>
      </c>
      <c r="AI261" s="39">
        <f>+IFERROR(-ABS(IF(EDATE(_xlfn.XLOOKUP(1,$H248:$BE248,$H$4:$BE$4),12*Assumptions!$G$193+12)=AI$4,0,IF(AH248=1,PMT(Assumptions!$G$191,Assumptions!$G$193,$C250),AH261))),0)</f>
        <v>0</v>
      </c>
      <c r="AJ261" s="39">
        <f>+IFERROR(-ABS(IF(EDATE(_xlfn.XLOOKUP(1,$H248:$BE248,$H$4:$BE$4),12*Assumptions!$G$193+12)=AJ$4,0,IF(AI248=1,PMT(Assumptions!$G$191,Assumptions!$G$193,$C250),AI261))),0)</f>
        <v>0</v>
      </c>
      <c r="AK261" s="39">
        <f>+IFERROR(-ABS(IF(EDATE(_xlfn.XLOOKUP(1,$H248:$BE248,$H$4:$BE$4),12*Assumptions!$G$193+12)=AK$4,0,IF(AJ248=1,PMT(Assumptions!$G$191,Assumptions!$G$193,$C250),AJ261))),0)</f>
        <v>0</v>
      </c>
      <c r="AL261" s="39">
        <f>+IFERROR(-ABS(IF(EDATE(_xlfn.XLOOKUP(1,$H248:$BE248,$H$4:$BE$4),12*Assumptions!$G$193+12)=AL$4,0,IF(AK248=1,PMT(Assumptions!$G$191,Assumptions!$G$193,$C250),AK261))),0)</f>
        <v>0</v>
      </c>
      <c r="AM261" s="39">
        <f>+IFERROR(-ABS(IF(EDATE(_xlfn.XLOOKUP(1,$H248:$BE248,$H$4:$BE$4),12*Assumptions!$G$193+12)=AM$4,0,IF(AL248=1,PMT(Assumptions!$G$191,Assumptions!$G$193,$C250),AL261))),0)</f>
        <v>0</v>
      </c>
      <c r="AN261" s="39">
        <f>+IFERROR(-ABS(IF(EDATE(_xlfn.XLOOKUP(1,$H248:$BE248,$H$4:$BE$4),12*Assumptions!$G$193+12)=AN$4,0,IF(AM248=1,PMT(Assumptions!$G$191,Assumptions!$G$193,$C250),AM261))),0)</f>
        <v>0</v>
      </c>
      <c r="AO261" s="39">
        <f>+IFERROR(-ABS(IF(EDATE(_xlfn.XLOOKUP(1,$H248:$BE248,$H$4:$BE$4),12*Assumptions!$G$193+12)=AO$4,0,IF(AN248=1,PMT(Assumptions!$G$191,Assumptions!$G$193,$C250),AN261))),0)</f>
        <v>0</v>
      </c>
      <c r="AP261" s="39">
        <f>+IFERROR(-ABS(IF(EDATE(_xlfn.XLOOKUP(1,$H248:$BE248,$H$4:$BE$4),12*Assumptions!$G$193+12)=AP$4,0,IF(AO248=1,PMT(Assumptions!$G$191,Assumptions!$G$193,$C250),AO261))),0)</f>
        <v>0</v>
      </c>
      <c r="AQ261" s="39">
        <f>+IFERROR(-ABS(IF(EDATE(_xlfn.XLOOKUP(1,$H248:$BE248,$H$4:$BE$4),12*Assumptions!$G$193+12)=AQ$4,0,IF(AP248=1,PMT(Assumptions!$G$191,Assumptions!$G$193,$C250),AP261))),0)</f>
        <v>0</v>
      </c>
      <c r="AR261" s="39">
        <f>+IFERROR(-ABS(IF(EDATE(_xlfn.XLOOKUP(1,$H248:$BE248,$H$4:$BE$4),12*Assumptions!$G$193+12)=AR$4,0,IF(AQ248=1,PMT(Assumptions!$G$191,Assumptions!$G$193,$C250),AQ261))),0)</f>
        <v>0</v>
      </c>
      <c r="AS261" s="39">
        <f>+IFERROR(-ABS(IF(EDATE(_xlfn.XLOOKUP(1,$H248:$BE248,$H$4:$BE$4),12*Assumptions!$G$193+12)=AS$4,0,IF(AR248=1,PMT(Assumptions!$G$191,Assumptions!$G$193,$C250),AR261))),0)</f>
        <v>0</v>
      </c>
      <c r="AT261" s="39">
        <f>+IFERROR(-ABS(IF(EDATE(_xlfn.XLOOKUP(1,$H248:$BE248,$H$4:$BE$4),12*Assumptions!$G$193+12)=AT$4,0,IF(AS248=1,PMT(Assumptions!$G$191,Assumptions!$G$193,$C250),AS261))),0)</f>
        <v>0</v>
      </c>
      <c r="AU261" s="39">
        <f>+IFERROR(-ABS(IF(EDATE(_xlfn.XLOOKUP(1,$H248:$BE248,$H$4:$BE$4),12*Assumptions!$G$193+12)=AU$4,0,IF(AT248=1,PMT(Assumptions!$G$191,Assumptions!$G$193,$C250),AT261))),0)</f>
        <v>0</v>
      </c>
      <c r="AV261" s="39">
        <f>+IFERROR(-ABS(IF(EDATE(_xlfn.XLOOKUP(1,$H248:$BE248,$H$4:$BE$4),12*Assumptions!$G$193+12)=AV$4,0,IF(AU248=1,PMT(Assumptions!$G$191,Assumptions!$G$193,$C250),AU261))),0)</f>
        <v>0</v>
      </c>
      <c r="AW261" s="39">
        <f>+IFERROR(-ABS(IF(EDATE(_xlfn.XLOOKUP(1,$H248:$BE248,$H$4:$BE$4),12*Assumptions!$G$193+12)=AW$4,0,IF(AV248=1,PMT(Assumptions!$G$191,Assumptions!$G$193,$C250),AV261))),0)</f>
        <v>0</v>
      </c>
      <c r="AX261" s="39">
        <f>+IFERROR(-ABS(IF(EDATE(_xlfn.XLOOKUP(1,$H248:$BE248,$H$4:$BE$4),12*Assumptions!$G$193+12)=AX$4,0,IF(AW248=1,PMT(Assumptions!$G$191,Assumptions!$G$193,$C250),AW261))),0)</f>
        <v>0</v>
      </c>
      <c r="AY261" s="39">
        <f>+IFERROR(-ABS(IF(EDATE(_xlfn.XLOOKUP(1,$H248:$BE248,$H$4:$BE$4),12*Assumptions!$G$193+12)=AY$4,0,IF(AX248=1,PMT(Assumptions!$G$191,Assumptions!$G$193,$C250),AX261))),0)</f>
        <v>0</v>
      </c>
      <c r="AZ261" s="39">
        <f>+IFERROR(-ABS(IF(EDATE(_xlfn.XLOOKUP(1,$H248:$BE248,$H$4:$BE$4),12*Assumptions!$G$193+12)=AZ$4,0,IF(AY248=1,PMT(Assumptions!$G$191,Assumptions!$G$193,$C250),AY261))),0)</f>
        <v>0</v>
      </c>
      <c r="BA261" s="39">
        <f>+IFERROR(-ABS(IF(EDATE(_xlfn.XLOOKUP(1,$H248:$BE248,$H$4:$BE$4),12*Assumptions!$G$193+12)=BA$4,0,IF(AZ248=1,PMT(Assumptions!$G$191,Assumptions!$G$193,$C250),AZ261))),0)</f>
        <v>0</v>
      </c>
      <c r="BB261" s="39">
        <f>+IFERROR(-ABS(IF(EDATE(_xlfn.XLOOKUP(1,$H248:$BE248,$H$4:$BE$4),12*Assumptions!$G$193+12)=BB$4,0,IF(BA248=1,PMT(Assumptions!$G$191,Assumptions!$G$193,$C250),BA261))),0)</f>
        <v>0</v>
      </c>
      <c r="BC261" s="39">
        <f>+IFERROR(-ABS(IF(EDATE(_xlfn.XLOOKUP(1,$H248:$BE248,$H$4:$BE$4),12*Assumptions!$G$193+12)=BC$4,0,IF(BB248=1,PMT(Assumptions!$G$191,Assumptions!$G$193,$C250),BB261))),0)</f>
        <v>0</v>
      </c>
      <c r="BD261" s="39">
        <f>+IFERROR(-ABS(IF(EDATE(_xlfn.XLOOKUP(1,$H248:$BE248,$H$4:$BE$4),12*Assumptions!$G$193+12)=BD$4,0,IF(BC248=1,PMT(Assumptions!$G$191,Assumptions!$G$193,$C250),BC261))),0)</f>
        <v>0</v>
      </c>
      <c r="BE261" s="39">
        <f>+IFERROR(-ABS(IF(EDATE(_xlfn.XLOOKUP(1,$H248:$BE248,$H$4:$BE$4),12*Assumptions!$G$193+12)=BE$4,0,IF(BD248=1,PMT(Assumptions!$G$191,Assumptions!$G$193,$C250),BD261))),0)</f>
        <v>0</v>
      </c>
      <c r="BF261" s="39">
        <f>+IFERROR(-ABS(IF(EDATE(_xlfn.XLOOKUP(1,$H248:$BE248,$H$4:$BE$4),12*Assumptions!$G$193+12)=BF$4,0,IF(BE248=1,PMT(Assumptions!$G$191,Assumptions!$G$193,$C250),BE261))),0)</f>
        <v>0</v>
      </c>
      <c r="BG261" s="39">
        <f>+IFERROR(-ABS(IF(EDATE(_xlfn.XLOOKUP(1,$H248:$BE248,$H$4:$BE$4),12*Assumptions!$G$193+12)=BG$4,0,IF(BF248=1,PMT(Assumptions!$G$191,Assumptions!$G$193,$C250),BF261))),0)</f>
        <v>0</v>
      </c>
      <c r="BH261" s="39">
        <f>+IFERROR(-ABS(IF(EDATE(_xlfn.XLOOKUP(1,$H248:$BE248,$H$4:$BE$4),12*Assumptions!$G$193+12)=BH$4,0,IF(BG248=1,PMT(Assumptions!$G$191,Assumptions!$G$193,$C250),BG261))),0)</f>
        <v>0</v>
      </c>
      <c r="BI261" s="39">
        <f>+IFERROR(-ABS(IF(EDATE(_xlfn.XLOOKUP(1,$H248:$BE248,$H$4:$BE$4),12*Assumptions!$G$193+12)=BI$4,0,IF(BH248=1,PMT(Assumptions!$G$191,Assumptions!$G$193,$C250),BH261))),0)</f>
        <v>0</v>
      </c>
      <c r="BJ261" s="39">
        <f>+IFERROR(-ABS(IF(EDATE(_xlfn.XLOOKUP(1,$H248:$BE248,$H$4:$BE$4),12*Assumptions!$G$193+12)=BJ$4,0,IF(BI248=1,PMT(Assumptions!$G$191,Assumptions!$G$193,$C250),BI261))),0)</f>
        <v>0</v>
      </c>
      <c r="BK261" s="39">
        <f>+IFERROR(-ABS(IF(EDATE(_xlfn.XLOOKUP(1,$H248:$BE248,$H$4:$BE$4),12*Assumptions!$G$193+12)=BK$4,0,IF(BJ248=1,PMT(Assumptions!$G$191,Assumptions!$G$193,$C250),BJ261))),0)</f>
        <v>0</v>
      </c>
      <c r="BL261" s="39">
        <f>+IFERROR(-ABS(IF(EDATE(_xlfn.XLOOKUP(1,$H248:$BE248,$H$4:$BE$4),12*Assumptions!$G$193+12)=BL$4,0,IF(BK248=1,PMT(Assumptions!$G$191,Assumptions!$G$193,$C250),BK261))),0)</f>
        <v>0</v>
      </c>
      <c r="BM261" s="39">
        <f>+IFERROR(-ABS(IF(EDATE(_xlfn.XLOOKUP(1,$H248:$BE248,$H$4:$BE$4),12*Assumptions!$G$193+12)=BM$4,0,IF(BL248=1,PMT(Assumptions!$G$191,Assumptions!$G$193,$C250),BL261))),0)</f>
        <v>0</v>
      </c>
      <c r="BN261" s="39">
        <f>+IFERROR(-ABS(IF(EDATE(_xlfn.XLOOKUP(1,$H248:$BE248,$H$4:$BE$4),12*Assumptions!$G$193+12)=BN$4,0,IF(BM248=1,PMT(Assumptions!$G$191,Assumptions!$G$193,$C250),BM261))),0)</f>
        <v>0</v>
      </c>
      <c r="BO261" s="39">
        <f>+IFERROR(-ABS(IF(EDATE(_xlfn.XLOOKUP(1,$H248:$BE248,$H$4:$BE$4),12*Assumptions!$G$193+12)=BO$4,0,IF(BN248=1,PMT(Assumptions!$G$191,Assumptions!$G$193,$C250),BN261))),0)</f>
        <v>0</v>
      </c>
      <c r="BP261" s="39">
        <f>+IFERROR(-ABS(IF(EDATE(_xlfn.XLOOKUP(1,$H248:$BE248,$H$4:$BE$4),12*Assumptions!$G$193+12)=BP$4,0,IF(BO248=1,PMT(Assumptions!$G$191,Assumptions!$G$193,$C250),BO261))),0)</f>
        <v>0</v>
      </c>
      <c r="BQ261" s="39">
        <f>+IFERROR(-ABS(IF(EDATE(_xlfn.XLOOKUP(1,$H248:$BE248,$H$4:$BE$4),12*Assumptions!$G$193+12)=BQ$4,0,IF(BP248=1,PMT(Assumptions!$G$191,Assumptions!$G$193,$C250),BP261))),0)</f>
        <v>0</v>
      </c>
      <c r="BR261" s="39">
        <f>+IFERROR(-ABS(IF(EDATE(_xlfn.XLOOKUP(1,$H248:$BE248,$H$4:$BE$4),12*Assumptions!$G$193+12)=BR$4,0,IF(BQ248=1,PMT(Assumptions!$G$191,Assumptions!$G$193,$C250),BQ261))),0)</f>
        <v>0</v>
      </c>
      <c r="BS261" s="39">
        <f>+IFERROR(-ABS(IF(EDATE(_xlfn.XLOOKUP(1,$H248:$BE248,$H$4:$BE$4),12*Assumptions!$G$193+12)=BS$4,0,IF(BR248=1,PMT(Assumptions!$G$191,Assumptions!$G$193,$C250),BR261))),0)</f>
        <v>0</v>
      </c>
      <c r="BT261" s="39">
        <f>+IFERROR(-ABS(IF(EDATE(_xlfn.XLOOKUP(1,$H248:$BE248,$H$4:$BE$4),12*Assumptions!$G$193+12)=BT$4,0,IF(BS248=1,PMT(Assumptions!$G$191,Assumptions!$G$193,$C250),BS261))),0)</f>
        <v>0</v>
      </c>
      <c r="BU261" s="39">
        <f>+IFERROR(-ABS(IF(EDATE(_xlfn.XLOOKUP(1,$H248:$BE248,$H$4:$BE$4),12*Assumptions!$G$193+12)=BU$4,0,IF(BT248=1,PMT(Assumptions!$G$191,Assumptions!$G$193,$C250),BT261))),0)</f>
        <v>0</v>
      </c>
      <c r="BV261" s="39">
        <f>+IFERROR(-ABS(IF(EDATE(_xlfn.XLOOKUP(1,$H248:$BE248,$H$4:$BE$4),12*Assumptions!$G$193+12)=BV$4,0,IF(BU248=1,PMT(Assumptions!$G$191,Assumptions!$G$193,$C250),BU261))),0)</f>
        <v>0</v>
      </c>
      <c r="BW261" s="39">
        <f>+IFERROR(-ABS(IF(EDATE(_xlfn.XLOOKUP(1,$H248:$BE248,$H$4:$BE$4),12*Assumptions!$G$193+12)=BW$4,0,IF(BV248=1,PMT(Assumptions!$G$191,Assumptions!$G$193,$C250),BV261))),0)</f>
        <v>0</v>
      </c>
      <c r="BX261" s="39">
        <f>+IFERROR(-ABS(IF(EDATE(_xlfn.XLOOKUP(1,$H248:$BE248,$H$4:$BE$4),12*Assumptions!$G$193+12)=BX$4,0,IF(BW248=1,PMT(Assumptions!$G$191,Assumptions!$G$193,$C250),BW261))),0)</f>
        <v>0</v>
      </c>
      <c r="BY261" s="39">
        <f>+IFERROR(-ABS(IF(EDATE(_xlfn.XLOOKUP(1,$H248:$BE248,$H$4:$BE$4),12*Assumptions!$G$193+12)=BY$4,0,IF(BX248=1,PMT(Assumptions!$G$191,Assumptions!$G$193,$C250),BX261))),0)</f>
        <v>0</v>
      </c>
    </row>
    <row r="262" spans="5:77" outlineLevel="1">
      <c r="E262" s="24" t="s">
        <v>516</v>
      </c>
      <c r="F262" s="80" t="str">
        <f>+Assumptions!$G$8</f>
        <v>USD</v>
      </c>
      <c r="G262" s="24"/>
      <c r="H262" s="39">
        <f>+IFERROR(-ABS(IF(EDATE(_xlfn.XLOOKUP(1,$H249:$BE249,$H$4:$BE$4),12*Assumptions!$G$193+12)=H$4,0,IF(G249=1,PMT(Assumptions!$G$191,Assumptions!$G$193,$C251),G262))),0)</f>
        <v>0</v>
      </c>
      <c r="I262" s="39">
        <f>+IFERROR(-ABS(IF(EDATE(_xlfn.XLOOKUP(1,$H249:$BE249,$H$4:$BE$4),12*Assumptions!$G$193+12)=I$4,0,IF(H249=1,PMT(Assumptions!$G$191,Assumptions!$G$193,$C251),H262))),0)</f>
        <v>0</v>
      </c>
      <c r="J262" s="39">
        <f>+IFERROR(-ABS(IF(EDATE(_xlfn.XLOOKUP(1,$H249:$BE249,$H$4:$BE$4),12*Assumptions!$G$193+12)=J$4,0,IF(I249=1,PMT(Assumptions!$G$191,Assumptions!$G$193,$C251),I262))),0)</f>
        <v>0</v>
      </c>
      <c r="K262" s="39">
        <f>+IFERROR(-ABS(IF(EDATE(_xlfn.XLOOKUP(1,$H249:$BE249,$H$4:$BE$4),12*Assumptions!$G$193+12)=K$4,0,IF(J249=1,PMT(Assumptions!$G$191,Assumptions!$G$193,$C251),J262))),0)</f>
        <v>0</v>
      </c>
      <c r="L262" s="39">
        <f>+IFERROR(-ABS(IF(EDATE(_xlfn.XLOOKUP(1,$H249:$BE249,$H$4:$BE$4),12*Assumptions!$G$193+12)=L$4,0,IF(K249=1,PMT(Assumptions!$G$191,Assumptions!$G$193,$C251),K262))),0)</f>
        <v>0</v>
      </c>
      <c r="M262" s="39">
        <f>+IFERROR(-ABS(IF(EDATE(_xlfn.XLOOKUP(1,$H249:$BE249,$H$4:$BE$4),12*Assumptions!$G$193+12)=M$4,0,IF(L249=1,PMT(Assumptions!$G$191,Assumptions!$G$193,$C251),L262))),0)</f>
        <v>0</v>
      </c>
      <c r="N262" s="39">
        <f>+IFERROR(-ABS(IF(EDATE(_xlfn.XLOOKUP(1,$H249:$BE249,$H$4:$BE$4),12*Assumptions!$G$193+12)=N$4,0,IF(M249=1,PMT(Assumptions!$G$191,Assumptions!$G$193,$C251),M262))),0)</f>
        <v>0</v>
      </c>
      <c r="O262" s="39">
        <f>+IFERROR(-ABS(IF(EDATE(_xlfn.XLOOKUP(1,$H249:$BE249,$H$4:$BE$4),12*Assumptions!$G$193+12)=O$4,0,IF(N249=1,PMT(Assumptions!$G$191,Assumptions!$G$193,$C251),N262))),0)</f>
        <v>0</v>
      </c>
      <c r="P262" s="39">
        <f>+IFERROR(-ABS(IF(EDATE(_xlfn.XLOOKUP(1,$H249:$BE249,$H$4:$BE$4),12*Assumptions!$G$193+12)=P$4,0,IF(O249=1,PMT(Assumptions!$G$191,Assumptions!$G$193,$C251),O262))),0)</f>
        <v>0</v>
      </c>
      <c r="Q262" s="39">
        <f>+IFERROR(-ABS(IF(EDATE(_xlfn.XLOOKUP(1,$H249:$BE249,$H$4:$BE$4),12*Assumptions!$G$193+12)=Q$4,0,IF(P249=1,PMT(Assumptions!$G$191,Assumptions!$G$193,$C251),P262))),0)</f>
        <v>0</v>
      </c>
      <c r="R262" s="39">
        <f>+IFERROR(-ABS(IF(EDATE(_xlfn.XLOOKUP(1,$H249:$BE249,$H$4:$BE$4),12*Assumptions!$G$193+12)=R$4,0,IF(Q249=1,PMT(Assumptions!$G$191,Assumptions!$G$193,$C251),Q262))),0)</f>
        <v>0</v>
      </c>
      <c r="S262" s="39">
        <f>+IFERROR(-ABS(IF(EDATE(_xlfn.XLOOKUP(1,$H249:$BE249,$H$4:$BE$4),12*Assumptions!$G$193+12)=S$4,0,IF(R249=1,PMT(Assumptions!$G$191,Assumptions!$G$193,$C251),R262))),0)</f>
        <v>0</v>
      </c>
      <c r="T262" s="39">
        <f>+IFERROR(-ABS(IF(EDATE(_xlfn.XLOOKUP(1,$H249:$BE249,$H$4:$BE$4),12*Assumptions!$G$193+12)=T$4,0,IF(S249=1,PMT(Assumptions!$G$191,Assumptions!$G$193,$C251),S262))),0)</f>
        <v>0</v>
      </c>
      <c r="U262" s="39">
        <f>+IFERROR(-ABS(IF(EDATE(_xlfn.XLOOKUP(1,$H249:$BE249,$H$4:$BE$4),12*Assumptions!$G$193+12)=U$4,0,IF(T249=1,PMT(Assumptions!$G$191,Assumptions!$G$193,$C251),T262))),0)</f>
        <v>0</v>
      </c>
      <c r="V262" s="39">
        <f>+IFERROR(-ABS(IF(EDATE(_xlfn.XLOOKUP(1,$H249:$BE249,$H$4:$BE$4),12*Assumptions!$G$193+12)=V$4,0,IF(U249=1,PMT(Assumptions!$G$191,Assumptions!$G$193,$C251),U262))),0)</f>
        <v>0</v>
      </c>
      <c r="W262" s="39">
        <f>+IFERROR(-ABS(IF(EDATE(_xlfn.XLOOKUP(1,$H249:$BE249,$H$4:$BE$4),12*Assumptions!$G$193+12)=W$4,0,IF(V249=1,PMT(Assumptions!$G$191,Assumptions!$G$193,$C251),V262))),0)</f>
        <v>0</v>
      </c>
      <c r="X262" s="39">
        <f>+IFERROR(-ABS(IF(EDATE(_xlfn.XLOOKUP(1,$H249:$BE249,$H$4:$BE$4),12*Assumptions!$G$193+12)=X$4,0,IF(W249=1,PMT(Assumptions!$G$191,Assumptions!$G$193,$C251),W262))),0)</f>
        <v>0</v>
      </c>
      <c r="Y262" s="39">
        <f>+IFERROR(-ABS(IF(EDATE(_xlfn.XLOOKUP(1,$H249:$BE249,$H$4:$BE$4),12*Assumptions!$G$193+12)=Y$4,0,IF(X249=1,PMT(Assumptions!$G$191,Assumptions!$G$193,$C251),X262))),0)</f>
        <v>0</v>
      </c>
      <c r="Z262" s="39">
        <f>+IFERROR(-ABS(IF(EDATE(_xlfn.XLOOKUP(1,$H249:$BE249,$H$4:$BE$4),12*Assumptions!$G$193+12)=Z$4,0,IF(Y249=1,PMT(Assumptions!$G$191,Assumptions!$G$193,$C251),Y262))),0)</f>
        <v>0</v>
      </c>
      <c r="AA262" s="39">
        <f>+IFERROR(-ABS(IF(EDATE(_xlfn.XLOOKUP(1,$H249:$BE249,$H$4:$BE$4),12*Assumptions!$G$193+12)=AA$4,0,IF(Z249=1,PMT(Assumptions!$G$191,Assumptions!$G$193,$C251),Z262))),0)</f>
        <v>0</v>
      </c>
      <c r="AB262" s="39">
        <f>+IFERROR(-ABS(IF(EDATE(_xlfn.XLOOKUP(1,$H249:$BE249,$H$4:$BE$4),12*Assumptions!$G$193+12)=AB$4,0,IF(AA249=1,PMT(Assumptions!$G$191,Assumptions!$G$193,$C251),AA262))),0)</f>
        <v>0</v>
      </c>
      <c r="AC262" s="39">
        <f>+IFERROR(-ABS(IF(EDATE(_xlfn.XLOOKUP(1,$H249:$BE249,$H$4:$BE$4),12*Assumptions!$G$193+12)=AC$4,0,IF(AB249=1,PMT(Assumptions!$G$191,Assumptions!$G$193,$C251),AB262))),0)</f>
        <v>0</v>
      </c>
      <c r="AD262" s="39">
        <f>+IFERROR(-ABS(IF(EDATE(_xlfn.XLOOKUP(1,$H249:$BE249,$H$4:$BE$4),12*Assumptions!$G$193+12)=AD$4,0,IF(AC249=1,PMT(Assumptions!$G$191,Assumptions!$G$193,$C251),AC262))),0)</f>
        <v>0</v>
      </c>
      <c r="AE262" s="39">
        <f>+IFERROR(-ABS(IF(EDATE(_xlfn.XLOOKUP(1,$H249:$BE249,$H$4:$BE$4),12*Assumptions!$G$193+12)=AE$4,0,IF(AD249=1,PMT(Assumptions!$G$191,Assumptions!$G$193,$C251),AD262))),0)</f>
        <v>0</v>
      </c>
      <c r="AF262" s="39">
        <f>+IFERROR(-ABS(IF(EDATE(_xlfn.XLOOKUP(1,$H249:$BE249,$H$4:$BE$4),12*Assumptions!$G$193+12)=AF$4,0,IF(AE249=1,PMT(Assumptions!$G$191,Assumptions!$G$193,$C251),AE262))),0)</f>
        <v>0</v>
      </c>
      <c r="AG262" s="39">
        <f>+IFERROR(-ABS(IF(EDATE(_xlfn.XLOOKUP(1,$H249:$BE249,$H$4:$BE$4),12*Assumptions!$G$193+12)=AG$4,0,IF(AF249=1,PMT(Assumptions!$G$191,Assumptions!$G$193,$C251),AF262))),0)</f>
        <v>0</v>
      </c>
      <c r="AH262" s="39">
        <f>+IFERROR(-ABS(IF(EDATE(_xlfn.XLOOKUP(1,$H249:$BE249,$H$4:$BE$4),12*Assumptions!$G$193+12)=AH$4,0,IF(AG249=1,PMT(Assumptions!$G$191,Assumptions!$G$193,$C251),AG262))),0)</f>
        <v>0</v>
      </c>
      <c r="AI262" s="39">
        <f>+IFERROR(-ABS(IF(EDATE(_xlfn.XLOOKUP(1,$H249:$BE249,$H$4:$BE$4),12*Assumptions!$G$193+12)=AI$4,0,IF(AH249=1,PMT(Assumptions!$G$191,Assumptions!$G$193,$C251),AH262))),0)</f>
        <v>0</v>
      </c>
      <c r="AJ262" s="39">
        <f>+IFERROR(-ABS(IF(EDATE(_xlfn.XLOOKUP(1,$H249:$BE249,$H$4:$BE$4),12*Assumptions!$G$193+12)=AJ$4,0,IF(AI249=1,PMT(Assumptions!$G$191,Assumptions!$G$193,$C251),AI262))),0)</f>
        <v>0</v>
      </c>
      <c r="AK262" s="39">
        <f>+IFERROR(-ABS(IF(EDATE(_xlfn.XLOOKUP(1,$H249:$BE249,$H$4:$BE$4),12*Assumptions!$G$193+12)=AK$4,0,IF(AJ249=1,PMT(Assumptions!$G$191,Assumptions!$G$193,$C251),AJ262))),0)</f>
        <v>0</v>
      </c>
      <c r="AL262" s="39">
        <f>+IFERROR(-ABS(IF(EDATE(_xlfn.XLOOKUP(1,$H249:$BE249,$H$4:$BE$4),12*Assumptions!$G$193+12)=AL$4,0,IF(AK249=1,PMT(Assumptions!$G$191,Assumptions!$G$193,$C251),AK262))),0)</f>
        <v>0</v>
      </c>
      <c r="AM262" s="39">
        <f>+IFERROR(-ABS(IF(EDATE(_xlfn.XLOOKUP(1,$H249:$BE249,$H$4:$BE$4),12*Assumptions!$G$193+12)=AM$4,0,IF(AL249=1,PMT(Assumptions!$G$191,Assumptions!$G$193,$C251),AL262))),0)</f>
        <v>0</v>
      </c>
      <c r="AN262" s="39">
        <f>+IFERROR(-ABS(IF(EDATE(_xlfn.XLOOKUP(1,$H249:$BE249,$H$4:$BE$4),12*Assumptions!$G$193+12)=AN$4,0,IF(AM249=1,PMT(Assumptions!$G$191,Assumptions!$G$193,$C251),AM262))),0)</f>
        <v>0</v>
      </c>
      <c r="AO262" s="39">
        <f>+IFERROR(-ABS(IF(EDATE(_xlfn.XLOOKUP(1,$H249:$BE249,$H$4:$BE$4),12*Assumptions!$G$193+12)=AO$4,0,IF(AN249=1,PMT(Assumptions!$G$191,Assumptions!$G$193,$C251),AN262))),0)</f>
        <v>0</v>
      </c>
      <c r="AP262" s="39">
        <f>+IFERROR(-ABS(IF(EDATE(_xlfn.XLOOKUP(1,$H249:$BE249,$H$4:$BE$4),12*Assumptions!$G$193+12)=AP$4,0,IF(AO249=1,PMT(Assumptions!$G$191,Assumptions!$G$193,$C251),AO262))),0)</f>
        <v>0</v>
      </c>
      <c r="AQ262" s="39">
        <f>+IFERROR(-ABS(IF(EDATE(_xlfn.XLOOKUP(1,$H249:$BE249,$H$4:$BE$4),12*Assumptions!$G$193+12)=AQ$4,0,IF(AP249=1,PMT(Assumptions!$G$191,Assumptions!$G$193,$C251),AP262))),0)</f>
        <v>0</v>
      </c>
      <c r="AR262" s="39">
        <f>+IFERROR(-ABS(IF(EDATE(_xlfn.XLOOKUP(1,$H249:$BE249,$H$4:$BE$4),12*Assumptions!$G$193+12)=AR$4,0,IF(AQ249=1,PMT(Assumptions!$G$191,Assumptions!$G$193,$C251),AQ262))),0)</f>
        <v>0</v>
      </c>
      <c r="AS262" s="39">
        <f>+IFERROR(-ABS(IF(EDATE(_xlfn.XLOOKUP(1,$H249:$BE249,$H$4:$BE$4),12*Assumptions!$G$193+12)=AS$4,0,IF(AR249=1,PMT(Assumptions!$G$191,Assumptions!$G$193,$C251),AR262))),0)</f>
        <v>0</v>
      </c>
      <c r="AT262" s="39">
        <f>+IFERROR(-ABS(IF(EDATE(_xlfn.XLOOKUP(1,$H249:$BE249,$H$4:$BE$4),12*Assumptions!$G$193+12)=AT$4,0,IF(AS249=1,PMT(Assumptions!$G$191,Assumptions!$G$193,$C251),AS262))),0)</f>
        <v>0</v>
      </c>
      <c r="AU262" s="39">
        <f>+IFERROR(-ABS(IF(EDATE(_xlfn.XLOOKUP(1,$H249:$BE249,$H$4:$BE$4),12*Assumptions!$G$193+12)=AU$4,0,IF(AT249=1,PMT(Assumptions!$G$191,Assumptions!$G$193,$C251),AT262))),0)</f>
        <v>0</v>
      </c>
      <c r="AV262" s="39">
        <f>+IFERROR(-ABS(IF(EDATE(_xlfn.XLOOKUP(1,$H249:$BE249,$H$4:$BE$4),12*Assumptions!$G$193+12)=AV$4,0,IF(AU249=1,PMT(Assumptions!$G$191,Assumptions!$G$193,$C251),AU262))),0)</f>
        <v>0</v>
      </c>
      <c r="AW262" s="39">
        <f>+IFERROR(-ABS(IF(EDATE(_xlfn.XLOOKUP(1,$H249:$BE249,$H$4:$BE$4),12*Assumptions!$G$193+12)=AW$4,0,IF(AV249=1,PMT(Assumptions!$G$191,Assumptions!$G$193,$C251),AV262))),0)</f>
        <v>0</v>
      </c>
      <c r="AX262" s="39">
        <f>+IFERROR(-ABS(IF(EDATE(_xlfn.XLOOKUP(1,$H249:$BE249,$H$4:$BE$4),12*Assumptions!$G$193+12)=AX$4,0,IF(AW249=1,PMT(Assumptions!$G$191,Assumptions!$G$193,$C251),AW262))),0)</f>
        <v>0</v>
      </c>
      <c r="AY262" s="39">
        <f>+IFERROR(-ABS(IF(EDATE(_xlfn.XLOOKUP(1,$H249:$BE249,$H$4:$BE$4),12*Assumptions!$G$193+12)=AY$4,0,IF(AX249=1,PMT(Assumptions!$G$191,Assumptions!$G$193,$C251),AX262))),0)</f>
        <v>0</v>
      </c>
      <c r="AZ262" s="39">
        <f>+IFERROR(-ABS(IF(EDATE(_xlfn.XLOOKUP(1,$H249:$BE249,$H$4:$BE$4),12*Assumptions!$G$193+12)=AZ$4,0,IF(AY249=1,PMT(Assumptions!$G$191,Assumptions!$G$193,$C251),AY262))),0)</f>
        <v>0</v>
      </c>
      <c r="BA262" s="39">
        <f>+IFERROR(-ABS(IF(EDATE(_xlfn.XLOOKUP(1,$H249:$BE249,$H$4:$BE$4),12*Assumptions!$G$193+12)=BA$4,0,IF(AZ249=1,PMT(Assumptions!$G$191,Assumptions!$G$193,$C251),AZ262))),0)</f>
        <v>0</v>
      </c>
      <c r="BB262" s="39">
        <f>+IFERROR(-ABS(IF(EDATE(_xlfn.XLOOKUP(1,$H249:$BE249,$H$4:$BE$4),12*Assumptions!$G$193+12)=BB$4,0,IF(BA249=1,PMT(Assumptions!$G$191,Assumptions!$G$193,$C251),BA262))),0)</f>
        <v>0</v>
      </c>
      <c r="BC262" s="39">
        <f>+IFERROR(-ABS(IF(EDATE(_xlfn.XLOOKUP(1,$H249:$BE249,$H$4:$BE$4),12*Assumptions!$G$193+12)=BC$4,0,IF(BB249=1,PMT(Assumptions!$G$191,Assumptions!$G$193,$C251),BB262))),0)</f>
        <v>0</v>
      </c>
      <c r="BD262" s="39">
        <f>+IFERROR(-ABS(IF(EDATE(_xlfn.XLOOKUP(1,$H249:$BE249,$H$4:$BE$4),12*Assumptions!$G$193+12)=BD$4,0,IF(BC249=1,PMT(Assumptions!$G$191,Assumptions!$G$193,$C251),BC262))),0)</f>
        <v>0</v>
      </c>
      <c r="BE262" s="39">
        <f>+IFERROR(-ABS(IF(EDATE(_xlfn.XLOOKUP(1,$H249:$BE249,$H$4:$BE$4),12*Assumptions!$G$193+12)=BE$4,0,IF(BD249=1,PMT(Assumptions!$G$191,Assumptions!$G$193,$C251),BD262))),0)</f>
        <v>0</v>
      </c>
      <c r="BF262" s="39">
        <f>+IFERROR(-ABS(IF(EDATE(_xlfn.XLOOKUP(1,$H249:$BE249,$H$4:$BE$4),12*Assumptions!$G$193+12)=BF$4,0,IF(BE249=1,PMT(Assumptions!$G$191,Assumptions!$G$193,$C251),BE262))),0)</f>
        <v>0</v>
      </c>
      <c r="BG262" s="39">
        <f>+IFERROR(-ABS(IF(EDATE(_xlfn.XLOOKUP(1,$H249:$BE249,$H$4:$BE$4),12*Assumptions!$G$193+12)=BG$4,0,IF(BF249=1,PMT(Assumptions!$G$191,Assumptions!$G$193,$C251),BF262))),0)</f>
        <v>0</v>
      </c>
      <c r="BH262" s="39">
        <f>+IFERROR(-ABS(IF(EDATE(_xlfn.XLOOKUP(1,$H249:$BE249,$H$4:$BE$4),12*Assumptions!$G$193+12)=BH$4,0,IF(BG249=1,PMT(Assumptions!$G$191,Assumptions!$G$193,$C251),BG262))),0)</f>
        <v>0</v>
      </c>
      <c r="BI262" s="39">
        <f>+IFERROR(-ABS(IF(EDATE(_xlfn.XLOOKUP(1,$H249:$BE249,$H$4:$BE$4),12*Assumptions!$G$193+12)=BI$4,0,IF(BH249=1,PMT(Assumptions!$G$191,Assumptions!$G$193,$C251),BH262))),0)</f>
        <v>0</v>
      </c>
      <c r="BJ262" s="39">
        <f>+IFERROR(-ABS(IF(EDATE(_xlfn.XLOOKUP(1,$H249:$BE249,$H$4:$BE$4),12*Assumptions!$G$193+12)=BJ$4,0,IF(BI249=1,PMT(Assumptions!$G$191,Assumptions!$G$193,$C251),BI262))),0)</f>
        <v>0</v>
      </c>
      <c r="BK262" s="39">
        <f>+IFERROR(-ABS(IF(EDATE(_xlfn.XLOOKUP(1,$H249:$BE249,$H$4:$BE$4),12*Assumptions!$G$193+12)=BK$4,0,IF(BJ249=1,PMT(Assumptions!$G$191,Assumptions!$G$193,$C251),BJ262))),0)</f>
        <v>0</v>
      </c>
      <c r="BL262" s="39">
        <f>+IFERROR(-ABS(IF(EDATE(_xlfn.XLOOKUP(1,$H249:$BE249,$H$4:$BE$4),12*Assumptions!$G$193+12)=BL$4,0,IF(BK249=1,PMT(Assumptions!$G$191,Assumptions!$G$193,$C251),BK262))),0)</f>
        <v>0</v>
      </c>
      <c r="BM262" s="39">
        <f>+IFERROR(-ABS(IF(EDATE(_xlfn.XLOOKUP(1,$H249:$BE249,$H$4:$BE$4),12*Assumptions!$G$193+12)=BM$4,0,IF(BL249=1,PMT(Assumptions!$G$191,Assumptions!$G$193,$C251),BL262))),0)</f>
        <v>0</v>
      </c>
      <c r="BN262" s="39">
        <f>+IFERROR(-ABS(IF(EDATE(_xlfn.XLOOKUP(1,$H249:$BE249,$H$4:$BE$4),12*Assumptions!$G$193+12)=BN$4,0,IF(BM249=1,PMT(Assumptions!$G$191,Assumptions!$G$193,$C251),BM262))),0)</f>
        <v>0</v>
      </c>
      <c r="BO262" s="39">
        <f>+IFERROR(-ABS(IF(EDATE(_xlfn.XLOOKUP(1,$H249:$BE249,$H$4:$BE$4),12*Assumptions!$G$193+12)=BO$4,0,IF(BN249=1,PMT(Assumptions!$G$191,Assumptions!$G$193,$C251),BN262))),0)</f>
        <v>0</v>
      </c>
      <c r="BP262" s="39">
        <f>+IFERROR(-ABS(IF(EDATE(_xlfn.XLOOKUP(1,$H249:$BE249,$H$4:$BE$4),12*Assumptions!$G$193+12)=BP$4,0,IF(BO249=1,PMT(Assumptions!$G$191,Assumptions!$G$193,$C251),BO262))),0)</f>
        <v>0</v>
      </c>
      <c r="BQ262" s="39">
        <f>+IFERROR(-ABS(IF(EDATE(_xlfn.XLOOKUP(1,$H249:$BE249,$H$4:$BE$4),12*Assumptions!$G$193+12)=BQ$4,0,IF(BP249=1,PMT(Assumptions!$G$191,Assumptions!$G$193,$C251),BP262))),0)</f>
        <v>0</v>
      </c>
      <c r="BR262" s="39">
        <f>+IFERROR(-ABS(IF(EDATE(_xlfn.XLOOKUP(1,$H249:$BE249,$H$4:$BE$4),12*Assumptions!$G$193+12)=BR$4,0,IF(BQ249=1,PMT(Assumptions!$G$191,Assumptions!$G$193,$C251),BQ262))),0)</f>
        <v>0</v>
      </c>
      <c r="BS262" s="39">
        <f>+IFERROR(-ABS(IF(EDATE(_xlfn.XLOOKUP(1,$H249:$BE249,$H$4:$BE$4),12*Assumptions!$G$193+12)=BS$4,0,IF(BR249=1,PMT(Assumptions!$G$191,Assumptions!$G$193,$C251),BR262))),0)</f>
        <v>0</v>
      </c>
      <c r="BT262" s="39">
        <f>+IFERROR(-ABS(IF(EDATE(_xlfn.XLOOKUP(1,$H249:$BE249,$H$4:$BE$4),12*Assumptions!$G$193+12)=BT$4,0,IF(BS249=1,PMT(Assumptions!$G$191,Assumptions!$G$193,$C251),BS262))),0)</f>
        <v>0</v>
      </c>
      <c r="BU262" s="39">
        <f>+IFERROR(-ABS(IF(EDATE(_xlfn.XLOOKUP(1,$H249:$BE249,$H$4:$BE$4),12*Assumptions!$G$193+12)=BU$4,0,IF(BT249=1,PMT(Assumptions!$G$191,Assumptions!$G$193,$C251),BT262))),0)</f>
        <v>0</v>
      </c>
      <c r="BV262" s="39">
        <f>+IFERROR(-ABS(IF(EDATE(_xlfn.XLOOKUP(1,$H249:$BE249,$H$4:$BE$4),12*Assumptions!$G$193+12)=BV$4,0,IF(BU249=1,PMT(Assumptions!$G$191,Assumptions!$G$193,$C251),BU262))),0)</f>
        <v>0</v>
      </c>
      <c r="BW262" s="39">
        <f>+IFERROR(-ABS(IF(EDATE(_xlfn.XLOOKUP(1,$H249:$BE249,$H$4:$BE$4),12*Assumptions!$G$193+12)=BW$4,0,IF(BV249=1,PMT(Assumptions!$G$191,Assumptions!$G$193,$C251),BV262))),0)</f>
        <v>0</v>
      </c>
      <c r="BX262" s="39">
        <f>+IFERROR(-ABS(IF(EDATE(_xlfn.XLOOKUP(1,$H249:$BE249,$H$4:$BE$4),12*Assumptions!$G$193+12)=BX$4,0,IF(BW249=1,PMT(Assumptions!$G$191,Assumptions!$G$193,$C251),BW262))),0)</f>
        <v>0</v>
      </c>
      <c r="BY262" s="39">
        <f>+IFERROR(-ABS(IF(EDATE(_xlfn.XLOOKUP(1,$H249:$BE249,$H$4:$BE$4),12*Assumptions!$G$193+12)=BY$4,0,IF(BX249=1,PMT(Assumptions!$G$191,Assumptions!$G$193,$C251),BX262))),0)</f>
        <v>0</v>
      </c>
    </row>
    <row r="263" spans="5:77" outlineLevel="1">
      <c r="E263" s="24" t="s">
        <v>517</v>
      </c>
      <c r="F263" s="80" t="str">
        <f>+Assumptions!$G$8</f>
        <v>USD</v>
      </c>
      <c r="G263" s="24"/>
      <c r="H263" s="39">
        <f>+IFERROR(-ABS(IF(EDATE(_xlfn.XLOOKUP(1,$H250:$BE250,$H$4:$BE$4),12*Assumptions!$G$193+12)=H$4,0,IF(G250=1,PMT(Assumptions!$G$191,Assumptions!$G$193,$C252),G263))),0)</f>
        <v>0</v>
      </c>
      <c r="I263" s="39">
        <f>+IFERROR(-ABS(IF(EDATE(_xlfn.XLOOKUP(1,$H250:$BE250,$H$4:$BE$4),12*Assumptions!$G$193+12)=I$4,0,IF(H250=1,PMT(Assumptions!$G$191,Assumptions!$G$193,$C252),H263))),0)</f>
        <v>0</v>
      </c>
      <c r="J263" s="39">
        <f>+IFERROR(-ABS(IF(EDATE(_xlfn.XLOOKUP(1,$H250:$BE250,$H$4:$BE$4),12*Assumptions!$G$193+12)=J$4,0,IF(I250=1,PMT(Assumptions!$G$191,Assumptions!$G$193,$C252),I263))),0)</f>
        <v>0</v>
      </c>
      <c r="K263" s="39">
        <f>+IFERROR(-ABS(IF(EDATE(_xlfn.XLOOKUP(1,$H250:$BE250,$H$4:$BE$4),12*Assumptions!$G$193+12)=K$4,0,IF(J250=1,PMT(Assumptions!$G$191,Assumptions!$G$193,$C252),J263))),0)</f>
        <v>0</v>
      </c>
      <c r="L263" s="39">
        <f>+IFERROR(-ABS(IF(EDATE(_xlfn.XLOOKUP(1,$H250:$BE250,$H$4:$BE$4),12*Assumptions!$G$193+12)=L$4,0,IF(K250=1,PMT(Assumptions!$G$191,Assumptions!$G$193,$C252),K263))),0)</f>
        <v>0</v>
      </c>
      <c r="M263" s="39">
        <f>+IFERROR(-ABS(IF(EDATE(_xlfn.XLOOKUP(1,$H250:$BE250,$H$4:$BE$4),12*Assumptions!$G$193+12)=M$4,0,IF(L250=1,PMT(Assumptions!$G$191,Assumptions!$G$193,$C252),L263))),0)</f>
        <v>0</v>
      </c>
      <c r="N263" s="39">
        <f>+IFERROR(-ABS(IF(EDATE(_xlfn.XLOOKUP(1,$H250:$BE250,$H$4:$BE$4),12*Assumptions!$G$193+12)=N$4,0,IF(M250=1,PMT(Assumptions!$G$191,Assumptions!$G$193,$C252),M263))),0)</f>
        <v>0</v>
      </c>
      <c r="O263" s="39">
        <f>+IFERROR(-ABS(IF(EDATE(_xlfn.XLOOKUP(1,$H250:$BE250,$H$4:$BE$4),12*Assumptions!$G$193+12)=O$4,0,IF(N250=1,PMT(Assumptions!$G$191,Assumptions!$G$193,$C252),N263))),0)</f>
        <v>0</v>
      </c>
      <c r="P263" s="39">
        <f>+IFERROR(-ABS(IF(EDATE(_xlfn.XLOOKUP(1,$H250:$BE250,$H$4:$BE$4),12*Assumptions!$G$193+12)=P$4,0,IF(O250=1,PMT(Assumptions!$G$191,Assumptions!$G$193,$C252),O263))),0)</f>
        <v>0</v>
      </c>
      <c r="Q263" s="39">
        <f>+IFERROR(-ABS(IF(EDATE(_xlfn.XLOOKUP(1,$H250:$BE250,$H$4:$BE$4),12*Assumptions!$G$193+12)=Q$4,0,IF(P250=1,PMT(Assumptions!$G$191,Assumptions!$G$193,$C252),P263))),0)</f>
        <v>0</v>
      </c>
      <c r="R263" s="39">
        <f>+IFERROR(-ABS(IF(EDATE(_xlfn.XLOOKUP(1,$H250:$BE250,$H$4:$BE$4),12*Assumptions!$G$193+12)=R$4,0,IF(Q250=1,PMT(Assumptions!$G$191,Assumptions!$G$193,$C252),Q263))),0)</f>
        <v>0</v>
      </c>
      <c r="S263" s="39">
        <f>+IFERROR(-ABS(IF(EDATE(_xlfn.XLOOKUP(1,$H250:$BE250,$H$4:$BE$4),12*Assumptions!$G$193+12)=S$4,0,IF(R250=1,PMT(Assumptions!$G$191,Assumptions!$G$193,$C252),R263))),0)</f>
        <v>0</v>
      </c>
      <c r="T263" s="39">
        <f>+IFERROR(-ABS(IF(EDATE(_xlfn.XLOOKUP(1,$H250:$BE250,$H$4:$BE$4),12*Assumptions!$G$193+12)=T$4,0,IF(S250=1,PMT(Assumptions!$G$191,Assumptions!$G$193,$C252),S263))),0)</f>
        <v>0</v>
      </c>
      <c r="U263" s="39">
        <f>+IFERROR(-ABS(IF(EDATE(_xlfn.XLOOKUP(1,$H250:$BE250,$H$4:$BE$4),12*Assumptions!$G$193+12)=U$4,0,IF(T250=1,PMT(Assumptions!$G$191,Assumptions!$G$193,$C252),T263))),0)</f>
        <v>0</v>
      </c>
      <c r="V263" s="39">
        <f>+IFERROR(-ABS(IF(EDATE(_xlfn.XLOOKUP(1,$H250:$BE250,$H$4:$BE$4),12*Assumptions!$G$193+12)=V$4,0,IF(U250=1,PMT(Assumptions!$G$191,Assumptions!$G$193,$C252),U263))),0)</f>
        <v>0</v>
      </c>
      <c r="W263" s="39">
        <f>+IFERROR(-ABS(IF(EDATE(_xlfn.XLOOKUP(1,$H250:$BE250,$H$4:$BE$4),12*Assumptions!$G$193+12)=W$4,0,IF(V250=1,PMT(Assumptions!$G$191,Assumptions!$G$193,$C252),V263))),0)</f>
        <v>0</v>
      </c>
      <c r="X263" s="39">
        <f>+IFERROR(-ABS(IF(EDATE(_xlfn.XLOOKUP(1,$H250:$BE250,$H$4:$BE$4),12*Assumptions!$G$193+12)=X$4,0,IF(W250=1,PMT(Assumptions!$G$191,Assumptions!$G$193,$C252),W263))),0)</f>
        <v>0</v>
      </c>
      <c r="Y263" s="39">
        <f>+IFERROR(-ABS(IF(EDATE(_xlfn.XLOOKUP(1,$H250:$BE250,$H$4:$BE$4),12*Assumptions!$G$193+12)=Y$4,0,IF(X250=1,PMT(Assumptions!$G$191,Assumptions!$G$193,$C252),X263))),0)</f>
        <v>0</v>
      </c>
      <c r="Z263" s="39">
        <f>+IFERROR(-ABS(IF(EDATE(_xlfn.XLOOKUP(1,$H250:$BE250,$H$4:$BE$4),12*Assumptions!$G$193+12)=Z$4,0,IF(Y250=1,PMT(Assumptions!$G$191,Assumptions!$G$193,$C252),Y263))),0)</f>
        <v>0</v>
      </c>
      <c r="AA263" s="39">
        <f>+IFERROR(-ABS(IF(EDATE(_xlfn.XLOOKUP(1,$H250:$BE250,$H$4:$BE$4),12*Assumptions!$G$193+12)=AA$4,0,IF(Z250=1,PMT(Assumptions!$G$191,Assumptions!$G$193,$C252),Z263))),0)</f>
        <v>0</v>
      </c>
      <c r="AB263" s="39">
        <f>+IFERROR(-ABS(IF(EDATE(_xlfn.XLOOKUP(1,$H250:$BE250,$H$4:$BE$4),12*Assumptions!$G$193+12)=AB$4,0,IF(AA250=1,PMT(Assumptions!$G$191,Assumptions!$G$193,$C252),AA263))),0)</f>
        <v>0</v>
      </c>
      <c r="AC263" s="39">
        <f>+IFERROR(-ABS(IF(EDATE(_xlfn.XLOOKUP(1,$H250:$BE250,$H$4:$BE$4),12*Assumptions!$G$193+12)=AC$4,0,IF(AB250=1,PMT(Assumptions!$G$191,Assumptions!$G$193,$C252),AB263))),0)</f>
        <v>0</v>
      </c>
      <c r="AD263" s="39">
        <f>+IFERROR(-ABS(IF(EDATE(_xlfn.XLOOKUP(1,$H250:$BE250,$H$4:$BE$4),12*Assumptions!$G$193+12)=AD$4,0,IF(AC250=1,PMT(Assumptions!$G$191,Assumptions!$G$193,$C252),AC263))),0)</f>
        <v>0</v>
      </c>
      <c r="AE263" s="39">
        <f>+IFERROR(-ABS(IF(EDATE(_xlfn.XLOOKUP(1,$H250:$BE250,$H$4:$BE$4),12*Assumptions!$G$193+12)=AE$4,0,IF(AD250=1,PMT(Assumptions!$G$191,Assumptions!$G$193,$C252),AD263))),0)</f>
        <v>0</v>
      </c>
      <c r="AF263" s="39">
        <f>+IFERROR(-ABS(IF(EDATE(_xlfn.XLOOKUP(1,$H250:$BE250,$H$4:$BE$4),12*Assumptions!$G$193+12)=AF$4,0,IF(AE250=1,PMT(Assumptions!$G$191,Assumptions!$G$193,$C252),AE263))),0)</f>
        <v>0</v>
      </c>
      <c r="AG263" s="39">
        <f>+IFERROR(-ABS(IF(EDATE(_xlfn.XLOOKUP(1,$H250:$BE250,$H$4:$BE$4),12*Assumptions!$G$193+12)=AG$4,0,IF(AF250=1,PMT(Assumptions!$G$191,Assumptions!$G$193,$C252),AF263))),0)</f>
        <v>0</v>
      </c>
      <c r="AH263" s="39">
        <f>+IFERROR(-ABS(IF(EDATE(_xlfn.XLOOKUP(1,$H250:$BE250,$H$4:$BE$4),12*Assumptions!$G$193+12)=AH$4,0,IF(AG250=1,PMT(Assumptions!$G$191,Assumptions!$G$193,$C252),AG263))),0)</f>
        <v>0</v>
      </c>
      <c r="AI263" s="39">
        <f>+IFERROR(-ABS(IF(EDATE(_xlfn.XLOOKUP(1,$H250:$BE250,$H$4:$BE$4),12*Assumptions!$G$193+12)=AI$4,0,IF(AH250=1,PMT(Assumptions!$G$191,Assumptions!$G$193,$C252),AH263))),0)</f>
        <v>0</v>
      </c>
      <c r="AJ263" s="39">
        <f>+IFERROR(-ABS(IF(EDATE(_xlfn.XLOOKUP(1,$H250:$BE250,$H$4:$BE$4),12*Assumptions!$G$193+12)=AJ$4,0,IF(AI250=1,PMT(Assumptions!$G$191,Assumptions!$G$193,$C252),AI263))),0)</f>
        <v>0</v>
      </c>
      <c r="AK263" s="39">
        <f>+IFERROR(-ABS(IF(EDATE(_xlfn.XLOOKUP(1,$H250:$BE250,$H$4:$BE$4),12*Assumptions!$G$193+12)=AK$4,0,IF(AJ250=1,PMT(Assumptions!$G$191,Assumptions!$G$193,$C252),AJ263))),0)</f>
        <v>0</v>
      </c>
      <c r="AL263" s="39">
        <f>+IFERROR(-ABS(IF(EDATE(_xlfn.XLOOKUP(1,$H250:$BE250,$H$4:$BE$4),12*Assumptions!$G$193+12)=AL$4,0,IF(AK250=1,PMT(Assumptions!$G$191,Assumptions!$G$193,$C252),AK263))),0)</f>
        <v>0</v>
      </c>
      <c r="AM263" s="39">
        <f>+IFERROR(-ABS(IF(EDATE(_xlfn.XLOOKUP(1,$H250:$BE250,$H$4:$BE$4),12*Assumptions!$G$193+12)=AM$4,0,IF(AL250=1,PMT(Assumptions!$G$191,Assumptions!$G$193,$C252),AL263))),0)</f>
        <v>0</v>
      </c>
      <c r="AN263" s="39">
        <f>+IFERROR(-ABS(IF(EDATE(_xlfn.XLOOKUP(1,$H250:$BE250,$H$4:$BE$4),12*Assumptions!$G$193+12)=AN$4,0,IF(AM250=1,PMT(Assumptions!$G$191,Assumptions!$G$193,$C252),AM263))),0)</f>
        <v>0</v>
      </c>
      <c r="AO263" s="39">
        <f>+IFERROR(-ABS(IF(EDATE(_xlfn.XLOOKUP(1,$H250:$BE250,$H$4:$BE$4),12*Assumptions!$G$193+12)=AO$4,0,IF(AN250=1,PMT(Assumptions!$G$191,Assumptions!$G$193,$C252),AN263))),0)</f>
        <v>0</v>
      </c>
      <c r="AP263" s="39">
        <f>+IFERROR(-ABS(IF(EDATE(_xlfn.XLOOKUP(1,$H250:$BE250,$H$4:$BE$4),12*Assumptions!$G$193+12)=AP$4,0,IF(AO250=1,PMT(Assumptions!$G$191,Assumptions!$G$193,$C252),AO263))),0)</f>
        <v>0</v>
      </c>
      <c r="AQ263" s="39">
        <f>+IFERROR(-ABS(IF(EDATE(_xlfn.XLOOKUP(1,$H250:$BE250,$H$4:$BE$4),12*Assumptions!$G$193+12)=AQ$4,0,IF(AP250=1,PMT(Assumptions!$G$191,Assumptions!$G$193,$C252),AP263))),0)</f>
        <v>0</v>
      </c>
      <c r="AR263" s="39">
        <f>+IFERROR(-ABS(IF(EDATE(_xlfn.XLOOKUP(1,$H250:$BE250,$H$4:$BE$4),12*Assumptions!$G$193+12)=AR$4,0,IF(AQ250=1,PMT(Assumptions!$G$191,Assumptions!$G$193,$C252),AQ263))),0)</f>
        <v>0</v>
      </c>
      <c r="AS263" s="39">
        <f>+IFERROR(-ABS(IF(EDATE(_xlfn.XLOOKUP(1,$H250:$BE250,$H$4:$BE$4),12*Assumptions!$G$193+12)=AS$4,0,IF(AR250=1,PMT(Assumptions!$G$191,Assumptions!$G$193,$C252),AR263))),0)</f>
        <v>0</v>
      </c>
      <c r="AT263" s="39">
        <f>+IFERROR(-ABS(IF(EDATE(_xlfn.XLOOKUP(1,$H250:$BE250,$H$4:$BE$4),12*Assumptions!$G$193+12)=AT$4,0,IF(AS250=1,PMT(Assumptions!$G$191,Assumptions!$G$193,$C252),AS263))),0)</f>
        <v>0</v>
      </c>
      <c r="AU263" s="39">
        <f>+IFERROR(-ABS(IF(EDATE(_xlfn.XLOOKUP(1,$H250:$BE250,$H$4:$BE$4),12*Assumptions!$G$193+12)=AU$4,0,IF(AT250=1,PMT(Assumptions!$G$191,Assumptions!$G$193,$C252),AT263))),0)</f>
        <v>0</v>
      </c>
      <c r="AV263" s="39">
        <f>+IFERROR(-ABS(IF(EDATE(_xlfn.XLOOKUP(1,$H250:$BE250,$H$4:$BE$4),12*Assumptions!$G$193+12)=AV$4,0,IF(AU250=1,PMT(Assumptions!$G$191,Assumptions!$G$193,$C252),AU263))),0)</f>
        <v>0</v>
      </c>
      <c r="AW263" s="39">
        <f>+IFERROR(-ABS(IF(EDATE(_xlfn.XLOOKUP(1,$H250:$BE250,$H$4:$BE$4),12*Assumptions!$G$193+12)=AW$4,0,IF(AV250=1,PMT(Assumptions!$G$191,Assumptions!$G$193,$C252),AV263))),0)</f>
        <v>0</v>
      </c>
      <c r="AX263" s="39">
        <f>+IFERROR(-ABS(IF(EDATE(_xlfn.XLOOKUP(1,$H250:$BE250,$H$4:$BE$4),12*Assumptions!$G$193+12)=AX$4,0,IF(AW250=1,PMT(Assumptions!$G$191,Assumptions!$G$193,$C252),AW263))),0)</f>
        <v>0</v>
      </c>
      <c r="AY263" s="39">
        <f>+IFERROR(-ABS(IF(EDATE(_xlfn.XLOOKUP(1,$H250:$BE250,$H$4:$BE$4),12*Assumptions!$G$193+12)=AY$4,0,IF(AX250=1,PMT(Assumptions!$G$191,Assumptions!$G$193,$C252),AX263))),0)</f>
        <v>0</v>
      </c>
      <c r="AZ263" s="39">
        <f>+IFERROR(-ABS(IF(EDATE(_xlfn.XLOOKUP(1,$H250:$BE250,$H$4:$BE$4),12*Assumptions!$G$193+12)=AZ$4,0,IF(AY250=1,PMT(Assumptions!$G$191,Assumptions!$G$193,$C252),AY263))),0)</f>
        <v>0</v>
      </c>
      <c r="BA263" s="39">
        <f>+IFERROR(-ABS(IF(EDATE(_xlfn.XLOOKUP(1,$H250:$BE250,$H$4:$BE$4),12*Assumptions!$G$193+12)=BA$4,0,IF(AZ250=1,PMT(Assumptions!$G$191,Assumptions!$G$193,$C252),AZ263))),0)</f>
        <v>0</v>
      </c>
      <c r="BB263" s="39">
        <f>+IFERROR(-ABS(IF(EDATE(_xlfn.XLOOKUP(1,$H250:$BE250,$H$4:$BE$4),12*Assumptions!$G$193+12)=BB$4,0,IF(BA250=1,PMT(Assumptions!$G$191,Assumptions!$G$193,$C252),BA263))),0)</f>
        <v>0</v>
      </c>
      <c r="BC263" s="39">
        <f>+IFERROR(-ABS(IF(EDATE(_xlfn.XLOOKUP(1,$H250:$BE250,$H$4:$BE$4),12*Assumptions!$G$193+12)=BC$4,0,IF(BB250=1,PMT(Assumptions!$G$191,Assumptions!$G$193,$C252),BB263))),0)</f>
        <v>0</v>
      </c>
      <c r="BD263" s="39">
        <f>+IFERROR(-ABS(IF(EDATE(_xlfn.XLOOKUP(1,$H250:$BE250,$H$4:$BE$4),12*Assumptions!$G$193+12)=BD$4,0,IF(BC250=1,PMT(Assumptions!$G$191,Assumptions!$G$193,$C252),BC263))),0)</f>
        <v>0</v>
      </c>
      <c r="BE263" s="39">
        <f>+IFERROR(-ABS(IF(EDATE(_xlfn.XLOOKUP(1,$H250:$BE250,$H$4:$BE$4),12*Assumptions!$G$193+12)=BE$4,0,IF(BD250=1,PMT(Assumptions!$G$191,Assumptions!$G$193,$C252),BD263))),0)</f>
        <v>0</v>
      </c>
      <c r="BF263" s="39">
        <f>+IFERROR(-ABS(IF(EDATE(_xlfn.XLOOKUP(1,$H250:$BE250,$H$4:$BE$4),12*Assumptions!$G$193+12)=BF$4,0,IF(BE250=1,PMT(Assumptions!$G$191,Assumptions!$G$193,$C252),BE263))),0)</f>
        <v>0</v>
      </c>
      <c r="BG263" s="39">
        <f>+IFERROR(-ABS(IF(EDATE(_xlfn.XLOOKUP(1,$H250:$BE250,$H$4:$BE$4),12*Assumptions!$G$193+12)=BG$4,0,IF(BF250=1,PMT(Assumptions!$G$191,Assumptions!$G$193,$C252),BF263))),0)</f>
        <v>0</v>
      </c>
      <c r="BH263" s="39">
        <f>+IFERROR(-ABS(IF(EDATE(_xlfn.XLOOKUP(1,$H250:$BE250,$H$4:$BE$4),12*Assumptions!$G$193+12)=BH$4,0,IF(BG250=1,PMT(Assumptions!$G$191,Assumptions!$G$193,$C252),BG263))),0)</f>
        <v>0</v>
      </c>
      <c r="BI263" s="39">
        <f>+IFERROR(-ABS(IF(EDATE(_xlfn.XLOOKUP(1,$H250:$BE250,$H$4:$BE$4),12*Assumptions!$G$193+12)=BI$4,0,IF(BH250=1,PMT(Assumptions!$G$191,Assumptions!$G$193,$C252),BH263))),0)</f>
        <v>0</v>
      </c>
      <c r="BJ263" s="39">
        <f>+IFERROR(-ABS(IF(EDATE(_xlfn.XLOOKUP(1,$H250:$BE250,$H$4:$BE$4),12*Assumptions!$G$193+12)=BJ$4,0,IF(BI250=1,PMT(Assumptions!$G$191,Assumptions!$G$193,$C252),BI263))),0)</f>
        <v>0</v>
      </c>
      <c r="BK263" s="39">
        <f>+IFERROR(-ABS(IF(EDATE(_xlfn.XLOOKUP(1,$H250:$BE250,$H$4:$BE$4),12*Assumptions!$G$193+12)=BK$4,0,IF(BJ250=1,PMT(Assumptions!$G$191,Assumptions!$G$193,$C252),BJ263))),0)</f>
        <v>0</v>
      </c>
      <c r="BL263" s="39">
        <f>+IFERROR(-ABS(IF(EDATE(_xlfn.XLOOKUP(1,$H250:$BE250,$H$4:$BE$4),12*Assumptions!$G$193+12)=BL$4,0,IF(BK250=1,PMT(Assumptions!$G$191,Assumptions!$G$193,$C252),BK263))),0)</f>
        <v>0</v>
      </c>
      <c r="BM263" s="39">
        <f>+IFERROR(-ABS(IF(EDATE(_xlfn.XLOOKUP(1,$H250:$BE250,$H$4:$BE$4),12*Assumptions!$G$193+12)=BM$4,0,IF(BL250=1,PMT(Assumptions!$G$191,Assumptions!$G$193,$C252),BL263))),0)</f>
        <v>0</v>
      </c>
      <c r="BN263" s="39">
        <f>+IFERROR(-ABS(IF(EDATE(_xlfn.XLOOKUP(1,$H250:$BE250,$H$4:$BE$4),12*Assumptions!$G$193+12)=BN$4,0,IF(BM250=1,PMT(Assumptions!$G$191,Assumptions!$G$193,$C252),BM263))),0)</f>
        <v>0</v>
      </c>
      <c r="BO263" s="39">
        <f>+IFERROR(-ABS(IF(EDATE(_xlfn.XLOOKUP(1,$H250:$BE250,$H$4:$BE$4),12*Assumptions!$G$193+12)=BO$4,0,IF(BN250=1,PMT(Assumptions!$G$191,Assumptions!$G$193,$C252),BN263))),0)</f>
        <v>0</v>
      </c>
      <c r="BP263" s="39">
        <f>+IFERROR(-ABS(IF(EDATE(_xlfn.XLOOKUP(1,$H250:$BE250,$H$4:$BE$4),12*Assumptions!$G$193+12)=BP$4,0,IF(BO250=1,PMT(Assumptions!$G$191,Assumptions!$G$193,$C252),BO263))),0)</f>
        <v>0</v>
      </c>
      <c r="BQ263" s="39">
        <f>+IFERROR(-ABS(IF(EDATE(_xlfn.XLOOKUP(1,$H250:$BE250,$H$4:$BE$4),12*Assumptions!$G$193+12)=BQ$4,0,IF(BP250=1,PMT(Assumptions!$G$191,Assumptions!$G$193,$C252),BP263))),0)</f>
        <v>0</v>
      </c>
      <c r="BR263" s="39">
        <f>+IFERROR(-ABS(IF(EDATE(_xlfn.XLOOKUP(1,$H250:$BE250,$H$4:$BE$4),12*Assumptions!$G$193+12)=BR$4,0,IF(BQ250=1,PMT(Assumptions!$G$191,Assumptions!$G$193,$C252),BQ263))),0)</f>
        <v>0</v>
      </c>
      <c r="BS263" s="39">
        <f>+IFERROR(-ABS(IF(EDATE(_xlfn.XLOOKUP(1,$H250:$BE250,$H$4:$BE$4),12*Assumptions!$G$193+12)=BS$4,0,IF(BR250=1,PMT(Assumptions!$G$191,Assumptions!$G$193,$C252),BR263))),0)</f>
        <v>0</v>
      </c>
      <c r="BT263" s="39">
        <f>+IFERROR(-ABS(IF(EDATE(_xlfn.XLOOKUP(1,$H250:$BE250,$H$4:$BE$4),12*Assumptions!$G$193+12)=BT$4,0,IF(BS250=1,PMT(Assumptions!$G$191,Assumptions!$G$193,$C252),BS263))),0)</f>
        <v>0</v>
      </c>
      <c r="BU263" s="39">
        <f>+IFERROR(-ABS(IF(EDATE(_xlfn.XLOOKUP(1,$H250:$BE250,$H$4:$BE$4),12*Assumptions!$G$193+12)=BU$4,0,IF(BT250=1,PMT(Assumptions!$G$191,Assumptions!$G$193,$C252),BT263))),0)</f>
        <v>0</v>
      </c>
      <c r="BV263" s="39">
        <f>+IFERROR(-ABS(IF(EDATE(_xlfn.XLOOKUP(1,$H250:$BE250,$H$4:$BE$4),12*Assumptions!$G$193+12)=BV$4,0,IF(BU250=1,PMT(Assumptions!$G$191,Assumptions!$G$193,$C252),BU263))),0)</f>
        <v>0</v>
      </c>
      <c r="BW263" s="39">
        <f>+IFERROR(-ABS(IF(EDATE(_xlfn.XLOOKUP(1,$H250:$BE250,$H$4:$BE$4),12*Assumptions!$G$193+12)=BW$4,0,IF(BV250=1,PMT(Assumptions!$G$191,Assumptions!$G$193,$C252),BV263))),0)</f>
        <v>0</v>
      </c>
      <c r="BX263" s="39">
        <f>+IFERROR(-ABS(IF(EDATE(_xlfn.XLOOKUP(1,$H250:$BE250,$H$4:$BE$4),12*Assumptions!$G$193+12)=BX$4,0,IF(BW250=1,PMT(Assumptions!$G$191,Assumptions!$G$193,$C252),BW263))),0)</f>
        <v>0</v>
      </c>
      <c r="BY263" s="39">
        <f>+IFERROR(-ABS(IF(EDATE(_xlfn.XLOOKUP(1,$H250:$BE250,$H$4:$BE$4),12*Assumptions!$G$193+12)=BY$4,0,IF(BX250=1,PMT(Assumptions!$G$191,Assumptions!$G$193,$C252),BX263))),0)</f>
        <v>0</v>
      </c>
    </row>
    <row r="264" spans="5:77" outlineLevel="1">
      <c r="E264" s="24" t="s">
        <v>518</v>
      </c>
      <c r="F264" s="80" t="str">
        <f>+Assumptions!$G$8</f>
        <v>USD</v>
      </c>
      <c r="G264" s="24"/>
      <c r="H264" s="39">
        <f>+IFERROR(-ABS(IF(EDATE(_xlfn.XLOOKUP(1,$H251:$BE251,$H$4:$BE$4),12*Assumptions!$G$193+12)=H$4,0,IF(G251=1,PMT(Assumptions!$G$191,Assumptions!$G$193,$C253),G264))),0)</f>
        <v>0</v>
      </c>
      <c r="I264" s="39">
        <f>+IFERROR(-ABS(IF(EDATE(_xlfn.XLOOKUP(1,$H251:$BE251,$H$4:$BE$4),12*Assumptions!$G$193+12)=I$4,0,IF(H251=1,PMT(Assumptions!$G$191,Assumptions!$G$193,$C253),H264))),0)</f>
        <v>0</v>
      </c>
      <c r="J264" s="39">
        <f>+IFERROR(-ABS(IF(EDATE(_xlfn.XLOOKUP(1,$H251:$BE251,$H$4:$BE$4),12*Assumptions!$G$193+12)=J$4,0,IF(I251=1,PMT(Assumptions!$G$191,Assumptions!$G$193,$C253),I264))),0)</f>
        <v>0</v>
      </c>
      <c r="K264" s="39">
        <f>+IFERROR(-ABS(IF(EDATE(_xlfn.XLOOKUP(1,$H251:$BE251,$H$4:$BE$4),12*Assumptions!$G$193+12)=K$4,0,IF(J251=1,PMT(Assumptions!$G$191,Assumptions!$G$193,$C253),J264))),0)</f>
        <v>0</v>
      </c>
      <c r="L264" s="39">
        <f>+IFERROR(-ABS(IF(EDATE(_xlfn.XLOOKUP(1,$H251:$BE251,$H$4:$BE$4),12*Assumptions!$G$193+12)=L$4,0,IF(K251=1,PMT(Assumptions!$G$191,Assumptions!$G$193,$C253),K264))),0)</f>
        <v>0</v>
      </c>
      <c r="M264" s="39">
        <f>+IFERROR(-ABS(IF(EDATE(_xlfn.XLOOKUP(1,$H251:$BE251,$H$4:$BE$4),12*Assumptions!$G$193+12)=M$4,0,IF(L251=1,PMT(Assumptions!$G$191,Assumptions!$G$193,$C253),L264))),0)</f>
        <v>0</v>
      </c>
      <c r="N264" s="39">
        <f>+IFERROR(-ABS(IF(EDATE(_xlfn.XLOOKUP(1,$H251:$BE251,$H$4:$BE$4),12*Assumptions!$G$193+12)=N$4,0,IF(M251=1,PMT(Assumptions!$G$191,Assumptions!$G$193,$C253),M264))),0)</f>
        <v>0</v>
      </c>
      <c r="O264" s="39">
        <f>+IFERROR(-ABS(IF(EDATE(_xlfn.XLOOKUP(1,$H251:$BE251,$H$4:$BE$4),12*Assumptions!$G$193+12)=O$4,0,IF(N251=1,PMT(Assumptions!$G$191,Assumptions!$G$193,$C253),N264))),0)</f>
        <v>0</v>
      </c>
      <c r="P264" s="39">
        <f>+IFERROR(-ABS(IF(EDATE(_xlfn.XLOOKUP(1,$H251:$BE251,$H$4:$BE$4),12*Assumptions!$G$193+12)=P$4,0,IF(O251=1,PMT(Assumptions!$G$191,Assumptions!$G$193,$C253),O264))),0)</f>
        <v>0</v>
      </c>
      <c r="Q264" s="39">
        <f>+IFERROR(-ABS(IF(EDATE(_xlfn.XLOOKUP(1,$H251:$BE251,$H$4:$BE$4),12*Assumptions!$G$193+12)=Q$4,0,IF(P251=1,PMT(Assumptions!$G$191,Assumptions!$G$193,$C253),P264))),0)</f>
        <v>0</v>
      </c>
      <c r="R264" s="39">
        <f>+IFERROR(-ABS(IF(EDATE(_xlfn.XLOOKUP(1,$H251:$BE251,$H$4:$BE$4),12*Assumptions!$G$193+12)=R$4,0,IF(Q251=1,PMT(Assumptions!$G$191,Assumptions!$G$193,$C253),Q264))),0)</f>
        <v>0</v>
      </c>
      <c r="S264" s="39">
        <f>+IFERROR(-ABS(IF(EDATE(_xlfn.XLOOKUP(1,$H251:$BE251,$H$4:$BE$4),12*Assumptions!$G$193+12)=S$4,0,IF(R251=1,PMT(Assumptions!$G$191,Assumptions!$G$193,$C253),R264))),0)</f>
        <v>0</v>
      </c>
      <c r="T264" s="39">
        <f>+IFERROR(-ABS(IF(EDATE(_xlfn.XLOOKUP(1,$H251:$BE251,$H$4:$BE$4),12*Assumptions!$G$193+12)=T$4,0,IF(S251=1,PMT(Assumptions!$G$191,Assumptions!$G$193,$C253),S264))),0)</f>
        <v>0</v>
      </c>
      <c r="U264" s="39">
        <f>+IFERROR(-ABS(IF(EDATE(_xlfn.XLOOKUP(1,$H251:$BE251,$H$4:$BE$4),12*Assumptions!$G$193+12)=U$4,0,IF(T251=1,PMT(Assumptions!$G$191,Assumptions!$G$193,$C253),T264))),0)</f>
        <v>0</v>
      </c>
      <c r="V264" s="39">
        <f>+IFERROR(-ABS(IF(EDATE(_xlfn.XLOOKUP(1,$H251:$BE251,$H$4:$BE$4),12*Assumptions!$G$193+12)=V$4,0,IF(U251=1,PMT(Assumptions!$G$191,Assumptions!$G$193,$C253),U264))),0)</f>
        <v>0</v>
      </c>
      <c r="W264" s="39">
        <f>+IFERROR(-ABS(IF(EDATE(_xlfn.XLOOKUP(1,$H251:$BE251,$H$4:$BE$4),12*Assumptions!$G$193+12)=W$4,0,IF(V251=1,PMT(Assumptions!$G$191,Assumptions!$G$193,$C253),V264))),0)</f>
        <v>0</v>
      </c>
      <c r="X264" s="39">
        <f>+IFERROR(-ABS(IF(EDATE(_xlfn.XLOOKUP(1,$H251:$BE251,$H$4:$BE$4),12*Assumptions!$G$193+12)=X$4,0,IF(W251=1,PMT(Assumptions!$G$191,Assumptions!$G$193,$C253),W264))),0)</f>
        <v>0</v>
      </c>
      <c r="Y264" s="39">
        <f>+IFERROR(-ABS(IF(EDATE(_xlfn.XLOOKUP(1,$H251:$BE251,$H$4:$BE$4),12*Assumptions!$G$193+12)=Y$4,0,IF(X251=1,PMT(Assumptions!$G$191,Assumptions!$G$193,$C253),X264))),0)</f>
        <v>0</v>
      </c>
      <c r="Z264" s="39">
        <f>+IFERROR(-ABS(IF(EDATE(_xlfn.XLOOKUP(1,$H251:$BE251,$H$4:$BE$4),12*Assumptions!$G$193+12)=Z$4,0,IF(Y251=1,PMT(Assumptions!$G$191,Assumptions!$G$193,$C253),Y264))),0)</f>
        <v>0</v>
      </c>
      <c r="AA264" s="39">
        <f>+IFERROR(-ABS(IF(EDATE(_xlfn.XLOOKUP(1,$H251:$BE251,$H$4:$BE$4),12*Assumptions!$G$193+12)=AA$4,0,IF(Z251=1,PMT(Assumptions!$G$191,Assumptions!$G$193,$C253),Z264))),0)</f>
        <v>0</v>
      </c>
      <c r="AB264" s="39">
        <f>+IFERROR(-ABS(IF(EDATE(_xlfn.XLOOKUP(1,$H251:$BE251,$H$4:$BE$4),12*Assumptions!$G$193+12)=AB$4,0,IF(AA251=1,PMT(Assumptions!$G$191,Assumptions!$G$193,$C253),AA264))),0)</f>
        <v>0</v>
      </c>
      <c r="AC264" s="39">
        <f>+IFERROR(-ABS(IF(EDATE(_xlfn.XLOOKUP(1,$H251:$BE251,$H$4:$BE$4),12*Assumptions!$G$193+12)=AC$4,0,IF(AB251=1,PMT(Assumptions!$G$191,Assumptions!$G$193,$C253),AB264))),0)</f>
        <v>0</v>
      </c>
      <c r="AD264" s="39">
        <f>+IFERROR(-ABS(IF(EDATE(_xlfn.XLOOKUP(1,$H251:$BE251,$H$4:$BE$4),12*Assumptions!$G$193+12)=AD$4,0,IF(AC251=1,PMT(Assumptions!$G$191,Assumptions!$G$193,$C253),AC264))),0)</f>
        <v>0</v>
      </c>
      <c r="AE264" s="39">
        <f>+IFERROR(-ABS(IF(EDATE(_xlfn.XLOOKUP(1,$H251:$BE251,$H$4:$BE$4),12*Assumptions!$G$193+12)=AE$4,0,IF(AD251=1,PMT(Assumptions!$G$191,Assumptions!$G$193,$C253),AD264))),0)</f>
        <v>0</v>
      </c>
      <c r="AF264" s="39">
        <f>+IFERROR(-ABS(IF(EDATE(_xlfn.XLOOKUP(1,$H251:$BE251,$H$4:$BE$4),12*Assumptions!$G$193+12)=AF$4,0,IF(AE251=1,PMT(Assumptions!$G$191,Assumptions!$G$193,$C253),AE264))),0)</f>
        <v>0</v>
      </c>
      <c r="AG264" s="39">
        <f>+IFERROR(-ABS(IF(EDATE(_xlfn.XLOOKUP(1,$H251:$BE251,$H$4:$BE$4),12*Assumptions!$G$193+12)=AG$4,0,IF(AF251=1,PMT(Assumptions!$G$191,Assumptions!$G$193,$C253),AF264))),0)</f>
        <v>0</v>
      </c>
      <c r="AH264" s="39">
        <f>+IFERROR(-ABS(IF(EDATE(_xlfn.XLOOKUP(1,$H251:$BE251,$H$4:$BE$4),12*Assumptions!$G$193+12)=AH$4,0,IF(AG251=1,PMT(Assumptions!$G$191,Assumptions!$G$193,$C253),AG264))),0)</f>
        <v>0</v>
      </c>
      <c r="AI264" s="39">
        <f>+IFERROR(-ABS(IF(EDATE(_xlfn.XLOOKUP(1,$H251:$BE251,$H$4:$BE$4),12*Assumptions!$G$193+12)=AI$4,0,IF(AH251=1,PMT(Assumptions!$G$191,Assumptions!$G$193,$C253),AH264))),0)</f>
        <v>0</v>
      </c>
      <c r="AJ264" s="39">
        <f>+IFERROR(-ABS(IF(EDATE(_xlfn.XLOOKUP(1,$H251:$BE251,$H$4:$BE$4),12*Assumptions!$G$193+12)=AJ$4,0,IF(AI251=1,PMT(Assumptions!$G$191,Assumptions!$G$193,$C253),AI264))),0)</f>
        <v>0</v>
      </c>
      <c r="AK264" s="39">
        <f>+IFERROR(-ABS(IF(EDATE(_xlfn.XLOOKUP(1,$H251:$BE251,$H$4:$BE$4),12*Assumptions!$G$193+12)=AK$4,0,IF(AJ251=1,PMT(Assumptions!$G$191,Assumptions!$G$193,$C253),AJ264))),0)</f>
        <v>0</v>
      </c>
      <c r="AL264" s="39">
        <f>+IFERROR(-ABS(IF(EDATE(_xlfn.XLOOKUP(1,$H251:$BE251,$H$4:$BE$4),12*Assumptions!$G$193+12)=AL$4,0,IF(AK251=1,PMT(Assumptions!$G$191,Assumptions!$G$193,$C253),AK264))),0)</f>
        <v>0</v>
      </c>
      <c r="AM264" s="39">
        <f>+IFERROR(-ABS(IF(EDATE(_xlfn.XLOOKUP(1,$H251:$BE251,$H$4:$BE$4),12*Assumptions!$G$193+12)=AM$4,0,IF(AL251=1,PMT(Assumptions!$G$191,Assumptions!$G$193,$C253),AL264))),0)</f>
        <v>0</v>
      </c>
      <c r="AN264" s="39">
        <f>+IFERROR(-ABS(IF(EDATE(_xlfn.XLOOKUP(1,$H251:$BE251,$H$4:$BE$4),12*Assumptions!$G$193+12)=AN$4,0,IF(AM251=1,PMT(Assumptions!$G$191,Assumptions!$G$193,$C253),AM264))),0)</f>
        <v>0</v>
      </c>
      <c r="AO264" s="39">
        <f>+IFERROR(-ABS(IF(EDATE(_xlfn.XLOOKUP(1,$H251:$BE251,$H$4:$BE$4),12*Assumptions!$G$193+12)=AO$4,0,IF(AN251=1,PMT(Assumptions!$G$191,Assumptions!$G$193,$C253),AN264))),0)</f>
        <v>0</v>
      </c>
      <c r="AP264" s="39">
        <f>+IFERROR(-ABS(IF(EDATE(_xlfn.XLOOKUP(1,$H251:$BE251,$H$4:$BE$4),12*Assumptions!$G$193+12)=AP$4,0,IF(AO251=1,PMT(Assumptions!$G$191,Assumptions!$G$193,$C253),AO264))),0)</f>
        <v>0</v>
      </c>
      <c r="AQ264" s="39">
        <f>+IFERROR(-ABS(IF(EDATE(_xlfn.XLOOKUP(1,$H251:$BE251,$H$4:$BE$4),12*Assumptions!$G$193+12)=AQ$4,0,IF(AP251=1,PMT(Assumptions!$G$191,Assumptions!$G$193,$C253),AP264))),0)</f>
        <v>0</v>
      </c>
      <c r="AR264" s="39">
        <f>+IFERROR(-ABS(IF(EDATE(_xlfn.XLOOKUP(1,$H251:$BE251,$H$4:$BE$4),12*Assumptions!$G$193+12)=AR$4,0,IF(AQ251=1,PMT(Assumptions!$G$191,Assumptions!$G$193,$C253),AQ264))),0)</f>
        <v>0</v>
      </c>
      <c r="AS264" s="39">
        <f>+IFERROR(-ABS(IF(EDATE(_xlfn.XLOOKUP(1,$H251:$BE251,$H$4:$BE$4),12*Assumptions!$G$193+12)=AS$4,0,IF(AR251=1,PMT(Assumptions!$G$191,Assumptions!$G$193,$C253),AR264))),0)</f>
        <v>0</v>
      </c>
      <c r="AT264" s="39">
        <f>+IFERROR(-ABS(IF(EDATE(_xlfn.XLOOKUP(1,$H251:$BE251,$H$4:$BE$4),12*Assumptions!$G$193+12)=AT$4,0,IF(AS251=1,PMT(Assumptions!$G$191,Assumptions!$G$193,$C253),AS264))),0)</f>
        <v>0</v>
      </c>
      <c r="AU264" s="39">
        <f>+IFERROR(-ABS(IF(EDATE(_xlfn.XLOOKUP(1,$H251:$BE251,$H$4:$BE$4),12*Assumptions!$G$193+12)=AU$4,0,IF(AT251=1,PMT(Assumptions!$G$191,Assumptions!$G$193,$C253),AT264))),0)</f>
        <v>0</v>
      </c>
      <c r="AV264" s="39">
        <f>+IFERROR(-ABS(IF(EDATE(_xlfn.XLOOKUP(1,$H251:$BE251,$H$4:$BE$4),12*Assumptions!$G$193+12)=AV$4,0,IF(AU251=1,PMT(Assumptions!$G$191,Assumptions!$G$193,$C253),AU264))),0)</f>
        <v>0</v>
      </c>
      <c r="AW264" s="39">
        <f>+IFERROR(-ABS(IF(EDATE(_xlfn.XLOOKUP(1,$H251:$BE251,$H$4:$BE$4),12*Assumptions!$G$193+12)=AW$4,0,IF(AV251=1,PMT(Assumptions!$G$191,Assumptions!$G$193,$C253),AV264))),0)</f>
        <v>0</v>
      </c>
      <c r="AX264" s="39">
        <f>+IFERROR(-ABS(IF(EDATE(_xlfn.XLOOKUP(1,$H251:$BE251,$H$4:$BE$4),12*Assumptions!$G$193+12)=AX$4,0,IF(AW251=1,PMT(Assumptions!$G$191,Assumptions!$G$193,$C253),AW264))),0)</f>
        <v>0</v>
      </c>
      <c r="AY264" s="39">
        <f>+IFERROR(-ABS(IF(EDATE(_xlfn.XLOOKUP(1,$H251:$BE251,$H$4:$BE$4),12*Assumptions!$G$193+12)=AY$4,0,IF(AX251=1,PMT(Assumptions!$G$191,Assumptions!$G$193,$C253),AX264))),0)</f>
        <v>0</v>
      </c>
      <c r="AZ264" s="39">
        <f>+IFERROR(-ABS(IF(EDATE(_xlfn.XLOOKUP(1,$H251:$BE251,$H$4:$BE$4),12*Assumptions!$G$193+12)=AZ$4,0,IF(AY251=1,PMT(Assumptions!$G$191,Assumptions!$G$193,$C253),AY264))),0)</f>
        <v>0</v>
      </c>
      <c r="BA264" s="39">
        <f>+IFERROR(-ABS(IF(EDATE(_xlfn.XLOOKUP(1,$H251:$BE251,$H$4:$BE$4),12*Assumptions!$G$193+12)=BA$4,0,IF(AZ251=1,PMT(Assumptions!$G$191,Assumptions!$G$193,$C253),AZ264))),0)</f>
        <v>0</v>
      </c>
      <c r="BB264" s="39">
        <f>+IFERROR(-ABS(IF(EDATE(_xlfn.XLOOKUP(1,$H251:$BE251,$H$4:$BE$4),12*Assumptions!$G$193+12)=BB$4,0,IF(BA251=1,PMT(Assumptions!$G$191,Assumptions!$G$193,$C253),BA264))),0)</f>
        <v>0</v>
      </c>
      <c r="BC264" s="39">
        <f>+IFERROR(-ABS(IF(EDATE(_xlfn.XLOOKUP(1,$H251:$BE251,$H$4:$BE$4),12*Assumptions!$G$193+12)=BC$4,0,IF(BB251=1,PMT(Assumptions!$G$191,Assumptions!$G$193,$C253),BB264))),0)</f>
        <v>0</v>
      </c>
      <c r="BD264" s="39">
        <f>+IFERROR(-ABS(IF(EDATE(_xlfn.XLOOKUP(1,$H251:$BE251,$H$4:$BE$4),12*Assumptions!$G$193+12)=BD$4,0,IF(BC251=1,PMT(Assumptions!$G$191,Assumptions!$G$193,$C253),BC264))),0)</f>
        <v>0</v>
      </c>
      <c r="BE264" s="39">
        <f>+IFERROR(-ABS(IF(EDATE(_xlfn.XLOOKUP(1,$H251:$BE251,$H$4:$BE$4),12*Assumptions!$G$193+12)=BE$4,0,IF(BD251=1,PMT(Assumptions!$G$191,Assumptions!$G$193,$C253),BD264))),0)</f>
        <v>0</v>
      </c>
      <c r="BF264" s="39">
        <f>+IFERROR(-ABS(IF(EDATE(_xlfn.XLOOKUP(1,$H251:$BE251,$H$4:$BE$4),12*Assumptions!$G$193+12)=BF$4,0,IF(BE251=1,PMT(Assumptions!$G$191,Assumptions!$G$193,$C253),BE264))),0)</f>
        <v>0</v>
      </c>
      <c r="BG264" s="39">
        <f>+IFERROR(-ABS(IF(EDATE(_xlfn.XLOOKUP(1,$H251:$BE251,$H$4:$BE$4),12*Assumptions!$G$193+12)=BG$4,0,IF(BF251=1,PMT(Assumptions!$G$191,Assumptions!$G$193,$C253),BF264))),0)</f>
        <v>0</v>
      </c>
      <c r="BH264" s="39">
        <f>+IFERROR(-ABS(IF(EDATE(_xlfn.XLOOKUP(1,$H251:$BE251,$H$4:$BE$4),12*Assumptions!$G$193+12)=BH$4,0,IF(BG251=1,PMT(Assumptions!$G$191,Assumptions!$G$193,$C253),BG264))),0)</f>
        <v>0</v>
      </c>
      <c r="BI264" s="39">
        <f>+IFERROR(-ABS(IF(EDATE(_xlfn.XLOOKUP(1,$H251:$BE251,$H$4:$BE$4),12*Assumptions!$G$193+12)=BI$4,0,IF(BH251=1,PMT(Assumptions!$G$191,Assumptions!$G$193,$C253),BH264))),0)</f>
        <v>0</v>
      </c>
      <c r="BJ264" s="39">
        <f>+IFERROR(-ABS(IF(EDATE(_xlfn.XLOOKUP(1,$H251:$BE251,$H$4:$BE$4),12*Assumptions!$G$193+12)=BJ$4,0,IF(BI251=1,PMT(Assumptions!$G$191,Assumptions!$G$193,$C253),BI264))),0)</f>
        <v>0</v>
      </c>
      <c r="BK264" s="39">
        <f>+IFERROR(-ABS(IF(EDATE(_xlfn.XLOOKUP(1,$H251:$BE251,$H$4:$BE$4),12*Assumptions!$G$193+12)=BK$4,0,IF(BJ251=1,PMT(Assumptions!$G$191,Assumptions!$G$193,$C253),BJ264))),0)</f>
        <v>0</v>
      </c>
      <c r="BL264" s="39">
        <f>+IFERROR(-ABS(IF(EDATE(_xlfn.XLOOKUP(1,$H251:$BE251,$H$4:$BE$4),12*Assumptions!$G$193+12)=BL$4,0,IF(BK251=1,PMT(Assumptions!$G$191,Assumptions!$G$193,$C253),BK264))),0)</f>
        <v>0</v>
      </c>
      <c r="BM264" s="39">
        <f>+IFERROR(-ABS(IF(EDATE(_xlfn.XLOOKUP(1,$H251:$BE251,$H$4:$BE$4),12*Assumptions!$G$193+12)=BM$4,0,IF(BL251=1,PMT(Assumptions!$G$191,Assumptions!$G$193,$C253),BL264))),0)</f>
        <v>0</v>
      </c>
      <c r="BN264" s="39">
        <f>+IFERROR(-ABS(IF(EDATE(_xlfn.XLOOKUP(1,$H251:$BE251,$H$4:$BE$4),12*Assumptions!$G$193+12)=BN$4,0,IF(BM251=1,PMT(Assumptions!$G$191,Assumptions!$G$193,$C253),BM264))),0)</f>
        <v>0</v>
      </c>
      <c r="BO264" s="39">
        <f>+IFERROR(-ABS(IF(EDATE(_xlfn.XLOOKUP(1,$H251:$BE251,$H$4:$BE$4),12*Assumptions!$G$193+12)=BO$4,0,IF(BN251=1,PMT(Assumptions!$G$191,Assumptions!$G$193,$C253),BN264))),0)</f>
        <v>0</v>
      </c>
      <c r="BP264" s="39">
        <f>+IFERROR(-ABS(IF(EDATE(_xlfn.XLOOKUP(1,$H251:$BE251,$H$4:$BE$4),12*Assumptions!$G$193+12)=BP$4,0,IF(BO251=1,PMT(Assumptions!$G$191,Assumptions!$G$193,$C253),BO264))),0)</f>
        <v>0</v>
      </c>
      <c r="BQ264" s="39">
        <f>+IFERROR(-ABS(IF(EDATE(_xlfn.XLOOKUP(1,$H251:$BE251,$H$4:$BE$4),12*Assumptions!$G$193+12)=BQ$4,0,IF(BP251=1,PMT(Assumptions!$G$191,Assumptions!$G$193,$C253),BP264))),0)</f>
        <v>0</v>
      </c>
      <c r="BR264" s="39">
        <f>+IFERROR(-ABS(IF(EDATE(_xlfn.XLOOKUP(1,$H251:$BE251,$H$4:$BE$4),12*Assumptions!$G$193+12)=BR$4,0,IF(BQ251=1,PMT(Assumptions!$G$191,Assumptions!$G$193,$C253),BQ264))),0)</f>
        <v>0</v>
      </c>
      <c r="BS264" s="39">
        <f>+IFERROR(-ABS(IF(EDATE(_xlfn.XLOOKUP(1,$H251:$BE251,$H$4:$BE$4),12*Assumptions!$G$193+12)=BS$4,0,IF(BR251=1,PMT(Assumptions!$G$191,Assumptions!$G$193,$C253),BR264))),0)</f>
        <v>0</v>
      </c>
      <c r="BT264" s="39">
        <f>+IFERROR(-ABS(IF(EDATE(_xlfn.XLOOKUP(1,$H251:$BE251,$H$4:$BE$4),12*Assumptions!$G$193+12)=BT$4,0,IF(BS251=1,PMT(Assumptions!$G$191,Assumptions!$G$193,$C253),BS264))),0)</f>
        <v>0</v>
      </c>
      <c r="BU264" s="39">
        <f>+IFERROR(-ABS(IF(EDATE(_xlfn.XLOOKUP(1,$H251:$BE251,$H$4:$BE$4),12*Assumptions!$G$193+12)=BU$4,0,IF(BT251=1,PMT(Assumptions!$G$191,Assumptions!$G$193,$C253),BT264))),0)</f>
        <v>0</v>
      </c>
      <c r="BV264" s="39">
        <f>+IFERROR(-ABS(IF(EDATE(_xlfn.XLOOKUP(1,$H251:$BE251,$H$4:$BE$4),12*Assumptions!$G$193+12)=BV$4,0,IF(BU251=1,PMT(Assumptions!$G$191,Assumptions!$G$193,$C253),BU264))),0)</f>
        <v>0</v>
      </c>
      <c r="BW264" s="39">
        <f>+IFERROR(-ABS(IF(EDATE(_xlfn.XLOOKUP(1,$H251:$BE251,$H$4:$BE$4),12*Assumptions!$G$193+12)=BW$4,0,IF(BV251=1,PMT(Assumptions!$G$191,Assumptions!$G$193,$C253),BV264))),0)</f>
        <v>0</v>
      </c>
      <c r="BX264" s="39">
        <f>+IFERROR(-ABS(IF(EDATE(_xlfn.XLOOKUP(1,$H251:$BE251,$H$4:$BE$4),12*Assumptions!$G$193+12)=BX$4,0,IF(BW251=1,PMT(Assumptions!$G$191,Assumptions!$G$193,$C253),BW264))),0)</f>
        <v>0</v>
      </c>
      <c r="BY264" s="39">
        <f>+IFERROR(-ABS(IF(EDATE(_xlfn.XLOOKUP(1,$H251:$BE251,$H$4:$BE$4),12*Assumptions!$G$193+12)=BY$4,0,IF(BX251=1,PMT(Assumptions!$G$191,Assumptions!$G$193,$C253),BX264))),0)</f>
        <v>0</v>
      </c>
    </row>
    <row r="265" spans="5:77" outlineLevel="1">
      <c r="E265" s="24" t="s">
        <v>519</v>
      </c>
      <c r="F265" s="80" t="str">
        <f>+Assumptions!$G$8</f>
        <v>USD</v>
      </c>
      <c r="G265" s="24"/>
      <c r="H265" s="39">
        <f>+IFERROR(-ABS(IF(EDATE(_xlfn.XLOOKUP(1,$H252:$BE252,$H$4:$BE$4),12*Assumptions!$G$193+12)=H$4,0,IF(G252=1,PMT(Assumptions!$G$191,Assumptions!$G$193,$C254),G265))),0)</f>
        <v>0</v>
      </c>
      <c r="I265" s="39">
        <f>+IFERROR(-ABS(IF(EDATE(_xlfn.XLOOKUP(1,$H252:$BE252,$H$4:$BE$4),12*Assumptions!$G$193+12)=I$4,0,IF(H252=1,PMT(Assumptions!$G$191,Assumptions!$G$193,$C254),H265))),0)</f>
        <v>0</v>
      </c>
      <c r="J265" s="39">
        <f>+IFERROR(-ABS(IF(EDATE(_xlfn.XLOOKUP(1,$H252:$BE252,$H$4:$BE$4),12*Assumptions!$G$193+12)=J$4,0,IF(I252=1,PMT(Assumptions!$G$191,Assumptions!$G$193,$C254),I265))),0)</f>
        <v>0</v>
      </c>
      <c r="K265" s="39">
        <f>+IFERROR(-ABS(IF(EDATE(_xlfn.XLOOKUP(1,$H252:$BE252,$H$4:$BE$4),12*Assumptions!$G$193+12)=K$4,0,IF(J252=1,PMT(Assumptions!$G$191,Assumptions!$G$193,$C254),J265))),0)</f>
        <v>0</v>
      </c>
      <c r="L265" s="39">
        <f>+IFERROR(-ABS(IF(EDATE(_xlfn.XLOOKUP(1,$H252:$BE252,$H$4:$BE$4),12*Assumptions!$G$193+12)=L$4,0,IF(K252=1,PMT(Assumptions!$G$191,Assumptions!$G$193,$C254),K265))),0)</f>
        <v>0</v>
      </c>
      <c r="M265" s="39">
        <f>+IFERROR(-ABS(IF(EDATE(_xlfn.XLOOKUP(1,$H252:$BE252,$H$4:$BE$4),12*Assumptions!$G$193+12)=M$4,0,IF(L252=1,PMT(Assumptions!$G$191,Assumptions!$G$193,$C254),L265))),0)</f>
        <v>0</v>
      </c>
      <c r="N265" s="39">
        <f>+IFERROR(-ABS(IF(EDATE(_xlfn.XLOOKUP(1,$H252:$BE252,$H$4:$BE$4),12*Assumptions!$G$193+12)=N$4,0,IF(M252=1,PMT(Assumptions!$G$191,Assumptions!$G$193,$C254),M265))),0)</f>
        <v>0</v>
      </c>
      <c r="O265" s="39">
        <f>+IFERROR(-ABS(IF(EDATE(_xlfn.XLOOKUP(1,$H252:$BE252,$H$4:$BE$4),12*Assumptions!$G$193+12)=O$4,0,IF(N252=1,PMT(Assumptions!$G$191,Assumptions!$G$193,$C254),N265))),0)</f>
        <v>0</v>
      </c>
      <c r="P265" s="39">
        <f>+IFERROR(-ABS(IF(EDATE(_xlfn.XLOOKUP(1,$H252:$BE252,$H$4:$BE$4),12*Assumptions!$G$193+12)=P$4,0,IF(O252=1,PMT(Assumptions!$G$191,Assumptions!$G$193,$C254),O265))),0)</f>
        <v>0</v>
      </c>
      <c r="Q265" s="39">
        <f>+IFERROR(-ABS(IF(EDATE(_xlfn.XLOOKUP(1,$H252:$BE252,$H$4:$BE$4),12*Assumptions!$G$193+12)=Q$4,0,IF(P252=1,PMT(Assumptions!$G$191,Assumptions!$G$193,$C254),P265))),0)</f>
        <v>0</v>
      </c>
      <c r="R265" s="39">
        <f>+IFERROR(-ABS(IF(EDATE(_xlfn.XLOOKUP(1,$H252:$BE252,$H$4:$BE$4),12*Assumptions!$G$193+12)=R$4,0,IF(Q252=1,PMT(Assumptions!$G$191,Assumptions!$G$193,$C254),Q265))),0)</f>
        <v>0</v>
      </c>
      <c r="S265" s="39">
        <f>+IFERROR(-ABS(IF(EDATE(_xlfn.XLOOKUP(1,$H252:$BE252,$H$4:$BE$4),12*Assumptions!$G$193+12)=S$4,0,IF(R252=1,PMT(Assumptions!$G$191,Assumptions!$G$193,$C254),R265))),0)</f>
        <v>0</v>
      </c>
      <c r="T265" s="39">
        <f>+IFERROR(-ABS(IF(EDATE(_xlfn.XLOOKUP(1,$H252:$BE252,$H$4:$BE$4),12*Assumptions!$G$193+12)=T$4,0,IF(S252=1,PMT(Assumptions!$G$191,Assumptions!$G$193,$C254),S265))),0)</f>
        <v>0</v>
      </c>
      <c r="U265" s="39">
        <f>+IFERROR(-ABS(IF(EDATE(_xlfn.XLOOKUP(1,$H252:$BE252,$H$4:$BE$4),12*Assumptions!$G$193+12)=U$4,0,IF(T252=1,PMT(Assumptions!$G$191,Assumptions!$G$193,$C254),T265))),0)</f>
        <v>0</v>
      </c>
      <c r="V265" s="39">
        <f>+IFERROR(-ABS(IF(EDATE(_xlfn.XLOOKUP(1,$H252:$BE252,$H$4:$BE$4),12*Assumptions!$G$193+12)=V$4,0,IF(U252=1,PMT(Assumptions!$G$191,Assumptions!$G$193,$C254),U265))),0)</f>
        <v>0</v>
      </c>
      <c r="W265" s="39">
        <f>+IFERROR(-ABS(IF(EDATE(_xlfn.XLOOKUP(1,$H252:$BE252,$H$4:$BE$4),12*Assumptions!$G$193+12)=W$4,0,IF(V252=1,PMT(Assumptions!$G$191,Assumptions!$G$193,$C254),V265))),0)</f>
        <v>0</v>
      </c>
      <c r="X265" s="39">
        <f>+IFERROR(-ABS(IF(EDATE(_xlfn.XLOOKUP(1,$H252:$BE252,$H$4:$BE$4),12*Assumptions!$G$193+12)=X$4,0,IF(W252=1,PMT(Assumptions!$G$191,Assumptions!$G$193,$C254),W265))),0)</f>
        <v>0</v>
      </c>
      <c r="Y265" s="39">
        <f>+IFERROR(-ABS(IF(EDATE(_xlfn.XLOOKUP(1,$H252:$BE252,$H$4:$BE$4),12*Assumptions!$G$193+12)=Y$4,0,IF(X252=1,PMT(Assumptions!$G$191,Assumptions!$G$193,$C254),X265))),0)</f>
        <v>0</v>
      </c>
      <c r="Z265" s="39">
        <f>+IFERROR(-ABS(IF(EDATE(_xlfn.XLOOKUP(1,$H252:$BE252,$H$4:$BE$4),12*Assumptions!$G$193+12)=Z$4,0,IF(Y252=1,PMT(Assumptions!$G$191,Assumptions!$G$193,$C254),Y265))),0)</f>
        <v>0</v>
      </c>
      <c r="AA265" s="39">
        <f>+IFERROR(-ABS(IF(EDATE(_xlfn.XLOOKUP(1,$H252:$BE252,$H$4:$BE$4),12*Assumptions!$G$193+12)=AA$4,0,IF(Z252=1,PMT(Assumptions!$G$191,Assumptions!$G$193,$C254),Z265))),0)</f>
        <v>0</v>
      </c>
      <c r="AB265" s="39">
        <f>+IFERROR(-ABS(IF(EDATE(_xlfn.XLOOKUP(1,$H252:$BE252,$H$4:$BE$4),12*Assumptions!$G$193+12)=AB$4,0,IF(AA252=1,PMT(Assumptions!$G$191,Assumptions!$G$193,$C254),AA265))),0)</f>
        <v>0</v>
      </c>
      <c r="AC265" s="39">
        <f>+IFERROR(-ABS(IF(EDATE(_xlfn.XLOOKUP(1,$H252:$BE252,$H$4:$BE$4),12*Assumptions!$G$193+12)=AC$4,0,IF(AB252=1,PMT(Assumptions!$G$191,Assumptions!$G$193,$C254),AB265))),0)</f>
        <v>0</v>
      </c>
      <c r="AD265" s="39">
        <f>+IFERROR(-ABS(IF(EDATE(_xlfn.XLOOKUP(1,$H252:$BE252,$H$4:$BE$4),12*Assumptions!$G$193+12)=AD$4,0,IF(AC252=1,PMT(Assumptions!$G$191,Assumptions!$G$193,$C254),AC265))),0)</f>
        <v>0</v>
      </c>
      <c r="AE265" s="39">
        <f>+IFERROR(-ABS(IF(EDATE(_xlfn.XLOOKUP(1,$H252:$BE252,$H$4:$BE$4),12*Assumptions!$G$193+12)=AE$4,0,IF(AD252=1,PMT(Assumptions!$G$191,Assumptions!$G$193,$C254),AD265))),0)</f>
        <v>0</v>
      </c>
      <c r="AF265" s="39">
        <f>+IFERROR(-ABS(IF(EDATE(_xlfn.XLOOKUP(1,$H252:$BE252,$H$4:$BE$4),12*Assumptions!$G$193+12)=AF$4,0,IF(AE252=1,PMT(Assumptions!$G$191,Assumptions!$G$193,$C254),AE265))),0)</f>
        <v>0</v>
      </c>
      <c r="AG265" s="39">
        <f>+IFERROR(-ABS(IF(EDATE(_xlfn.XLOOKUP(1,$H252:$BE252,$H$4:$BE$4),12*Assumptions!$G$193+12)=AG$4,0,IF(AF252=1,PMT(Assumptions!$G$191,Assumptions!$G$193,$C254),AF265))),0)</f>
        <v>0</v>
      </c>
      <c r="AH265" s="39">
        <f>+IFERROR(-ABS(IF(EDATE(_xlfn.XLOOKUP(1,$H252:$BE252,$H$4:$BE$4),12*Assumptions!$G$193+12)=AH$4,0,IF(AG252=1,PMT(Assumptions!$G$191,Assumptions!$G$193,$C254),AG265))),0)</f>
        <v>0</v>
      </c>
      <c r="AI265" s="39">
        <f>+IFERROR(-ABS(IF(EDATE(_xlfn.XLOOKUP(1,$H252:$BE252,$H$4:$BE$4),12*Assumptions!$G$193+12)=AI$4,0,IF(AH252=1,PMT(Assumptions!$G$191,Assumptions!$G$193,$C254),AH265))),0)</f>
        <v>0</v>
      </c>
      <c r="AJ265" s="39">
        <f>+IFERROR(-ABS(IF(EDATE(_xlfn.XLOOKUP(1,$H252:$BE252,$H$4:$BE$4),12*Assumptions!$G$193+12)=AJ$4,0,IF(AI252=1,PMT(Assumptions!$G$191,Assumptions!$G$193,$C254),AI265))),0)</f>
        <v>0</v>
      </c>
      <c r="AK265" s="39">
        <f>+IFERROR(-ABS(IF(EDATE(_xlfn.XLOOKUP(1,$H252:$BE252,$H$4:$BE$4),12*Assumptions!$G$193+12)=AK$4,0,IF(AJ252=1,PMT(Assumptions!$G$191,Assumptions!$G$193,$C254),AJ265))),0)</f>
        <v>0</v>
      </c>
      <c r="AL265" s="39">
        <f>+IFERROR(-ABS(IF(EDATE(_xlfn.XLOOKUP(1,$H252:$BE252,$H$4:$BE$4),12*Assumptions!$G$193+12)=AL$4,0,IF(AK252=1,PMT(Assumptions!$G$191,Assumptions!$G$193,$C254),AK265))),0)</f>
        <v>0</v>
      </c>
      <c r="AM265" s="39">
        <f>+IFERROR(-ABS(IF(EDATE(_xlfn.XLOOKUP(1,$H252:$BE252,$H$4:$BE$4),12*Assumptions!$G$193+12)=AM$4,0,IF(AL252=1,PMT(Assumptions!$G$191,Assumptions!$G$193,$C254),AL265))),0)</f>
        <v>0</v>
      </c>
      <c r="AN265" s="39">
        <f>+IFERROR(-ABS(IF(EDATE(_xlfn.XLOOKUP(1,$H252:$BE252,$H$4:$BE$4),12*Assumptions!$G$193+12)=AN$4,0,IF(AM252=1,PMT(Assumptions!$G$191,Assumptions!$G$193,$C254),AM265))),0)</f>
        <v>0</v>
      </c>
      <c r="AO265" s="39">
        <f>+IFERROR(-ABS(IF(EDATE(_xlfn.XLOOKUP(1,$H252:$BE252,$H$4:$BE$4),12*Assumptions!$G$193+12)=AO$4,0,IF(AN252=1,PMT(Assumptions!$G$191,Assumptions!$G$193,$C254),AN265))),0)</f>
        <v>0</v>
      </c>
      <c r="AP265" s="39">
        <f>+IFERROR(-ABS(IF(EDATE(_xlfn.XLOOKUP(1,$H252:$BE252,$H$4:$BE$4),12*Assumptions!$G$193+12)=AP$4,0,IF(AO252=1,PMT(Assumptions!$G$191,Assumptions!$G$193,$C254),AO265))),0)</f>
        <v>0</v>
      </c>
      <c r="AQ265" s="39">
        <f>+IFERROR(-ABS(IF(EDATE(_xlfn.XLOOKUP(1,$H252:$BE252,$H$4:$BE$4),12*Assumptions!$G$193+12)=AQ$4,0,IF(AP252=1,PMT(Assumptions!$G$191,Assumptions!$G$193,$C254),AP265))),0)</f>
        <v>0</v>
      </c>
      <c r="AR265" s="39">
        <f>+IFERROR(-ABS(IF(EDATE(_xlfn.XLOOKUP(1,$H252:$BE252,$H$4:$BE$4),12*Assumptions!$G$193+12)=AR$4,0,IF(AQ252=1,PMT(Assumptions!$G$191,Assumptions!$G$193,$C254),AQ265))),0)</f>
        <v>0</v>
      </c>
      <c r="AS265" s="39">
        <f>+IFERROR(-ABS(IF(EDATE(_xlfn.XLOOKUP(1,$H252:$BE252,$H$4:$BE$4),12*Assumptions!$G$193+12)=AS$4,0,IF(AR252=1,PMT(Assumptions!$G$191,Assumptions!$G$193,$C254),AR265))),0)</f>
        <v>0</v>
      </c>
      <c r="AT265" s="39">
        <f>+IFERROR(-ABS(IF(EDATE(_xlfn.XLOOKUP(1,$H252:$BE252,$H$4:$BE$4),12*Assumptions!$G$193+12)=AT$4,0,IF(AS252=1,PMT(Assumptions!$G$191,Assumptions!$G$193,$C254),AS265))),0)</f>
        <v>0</v>
      </c>
      <c r="AU265" s="39">
        <f>+IFERROR(-ABS(IF(EDATE(_xlfn.XLOOKUP(1,$H252:$BE252,$H$4:$BE$4),12*Assumptions!$G$193+12)=AU$4,0,IF(AT252=1,PMT(Assumptions!$G$191,Assumptions!$G$193,$C254),AT265))),0)</f>
        <v>0</v>
      </c>
      <c r="AV265" s="39">
        <f>+IFERROR(-ABS(IF(EDATE(_xlfn.XLOOKUP(1,$H252:$BE252,$H$4:$BE$4),12*Assumptions!$G$193+12)=AV$4,0,IF(AU252=1,PMT(Assumptions!$G$191,Assumptions!$G$193,$C254),AU265))),0)</f>
        <v>0</v>
      </c>
      <c r="AW265" s="39">
        <f>+IFERROR(-ABS(IF(EDATE(_xlfn.XLOOKUP(1,$H252:$BE252,$H$4:$BE$4),12*Assumptions!$G$193+12)=AW$4,0,IF(AV252=1,PMT(Assumptions!$G$191,Assumptions!$G$193,$C254),AV265))),0)</f>
        <v>0</v>
      </c>
      <c r="AX265" s="39">
        <f>+IFERROR(-ABS(IF(EDATE(_xlfn.XLOOKUP(1,$H252:$BE252,$H$4:$BE$4),12*Assumptions!$G$193+12)=AX$4,0,IF(AW252=1,PMT(Assumptions!$G$191,Assumptions!$G$193,$C254),AW265))),0)</f>
        <v>0</v>
      </c>
      <c r="AY265" s="39">
        <f>+IFERROR(-ABS(IF(EDATE(_xlfn.XLOOKUP(1,$H252:$BE252,$H$4:$BE$4),12*Assumptions!$G$193+12)=AY$4,0,IF(AX252=1,PMT(Assumptions!$G$191,Assumptions!$G$193,$C254),AX265))),0)</f>
        <v>0</v>
      </c>
      <c r="AZ265" s="39">
        <f>+IFERROR(-ABS(IF(EDATE(_xlfn.XLOOKUP(1,$H252:$BE252,$H$4:$BE$4),12*Assumptions!$G$193+12)=AZ$4,0,IF(AY252=1,PMT(Assumptions!$G$191,Assumptions!$G$193,$C254),AY265))),0)</f>
        <v>0</v>
      </c>
      <c r="BA265" s="39">
        <f>+IFERROR(-ABS(IF(EDATE(_xlfn.XLOOKUP(1,$H252:$BE252,$H$4:$BE$4),12*Assumptions!$G$193+12)=BA$4,0,IF(AZ252=1,PMT(Assumptions!$G$191,Assumptions!$G$193,$C254),AZ265))),0)</f>
        <v>0</v>
      </c>
      <c r="BB265" s="39">
        <f>+IFERROR(-ABS(IF(EDATE(_xlfn.XLOOKUP(1,$H252:$BE252,$H$4:$BE$4),12*Assumptions!$G$193+12)=BB$4,0,IF(BA252=1,PMT(Assumptions!$G$191,Assumptions!$G$193,$C254),BA265))),0)</f>
        <v>0</v>
      </c>
      <c r="BC265" s="39">
        <f>+IFERROR(-ABS(IF(EDATE(_xlfn.XLOOKUP(1,$H252:$BE252,$H$4:$BE$4),12*Assumptions!$G$193+12)=BC$4,0,IF(BB252=1,PMT(Assumptions!$G$191,Assumptions!$G$193,$C254),BB265))),0)</f>
        <v>0</v>
      </c>
      <c r="BD265" s="39">
        <f>+IFERROR(-ABS(IF(EDATE(_xlfn.XLOOKUP(1,$H252:$BE252,$H$4:$BE$4),12*Assumptions!$G$193+12)=BD$4,0,IF(BC252=1,PMT(Assumptions!$G$191,Assumptions!$G$193,$C254),BC265))),0)</f>
        <v>0</v>
      </c>
      <c r="BE265" s="39">
        <f>+IFERROR(-ABS(IF(EDATE(_xlfn.XLOOKUP(1,$H252:$BE252,$H$4:$BE$4),12*Assumptions!$G$193+12)=BE$4,0,IF(BD252=1,PMT(Assumptions!$G$191,Assumptions!$G$193,$C254),BD265))),0)</f>
        <v>0</v>
      </c>
      <c r="BF265" s="39">
        <f>+IFERROR(-ABS(IF(EDATE(_xlfn.XLOOKUP(1,$H252:$BE252,$H$4:$BE$4),12*Assumptions!$G$193+12)=BF$4,0,IF(BE252=1,PMT(Assumptions!$G$191,Assumptions!$G$193,$C254),BE265))),0)</f>
        <v>0</v>
      </c>
      <c r="BG265" s="39">
        <f>+IFERROR(-ABS(IF(EDATE(_xlfn.XLOOKUP(1,$H252:$BE252,$H$4:$BE$4),12*Assumptions!$G$193+12)=BG$4,0,IF(BF252=1,PMT(Assumptions!$G$191,Assumptions!$G$193,$C254),BF265))),0)</f>
        <v>0</v>
      </c>
      <c r="BH265" s="39">
        <f>+IFERROR(-ABS(IF(EDATE(_xlfn.XLOOKUP(1,$H252:$BE252,$H$4:$BE$4),12*Assumptions!$G$193+12)=BH$4,0,IF(BG252=1,PMT(Assumptions!$G$191,Assumptions!$G$193,$C254),BG265))),0)</f>
        <v>0</v>
      </c>
      <c r="BI265" s="39">
        <f>+IFERROR(-ABS(IF(EDATE(_xlfn.XLOOKUP(1,$H252:$BE252,$H$4:$BE$4),12*Assumptions!$G$193+12)=BI$4,0,IF(BH252=1,PMT(Assumptions!$G$191,Assumptions!$G$193,$C254),BH265))),0)</f>
        <v>0</v>
      </c>
      <c r="BJ265" s="39">
        <f>+IFERROR(-ABS(IF(EDATE(_xlfn.XLOOKUP(1,$H252:$BE252,$H$4:$BE$4),12*Assumptions!$G$193+12)=BJ$4,0,IF(BI252=1,PMT(Assumptions!$G$191,Assumptions!$G$193,$C254),BI265))),0)</f>
        <v>0</v>
      </c>
      <c r="BK265" s="39">
        <f>+IFERROR(-ABS(IF(EDATE(_xlfn.XLOOKUP(1,$H252:$BE252,$H$4:$BE$4),12*Assumptions!$G$193+12)=BK$4,0,IF(BJ252=1,PMT(Assumptions!$G$191,Assumptions!$G$193,$C254),BJ265))),0)</f>
        <v>0</v>
      </c>
      <c r="BL265" s="39">
        <f>+IFERROR(-ABS(IF(EDATE(_xlfn.XLOOKUP(1,$H252:$BE252,$H$4:$BE$4),12*Assumptions!$G$193+12)=BL$4,0,IF(BK252=1,PMT(Assumptions!$G$191,Assumptions!$G$193,$C254),BK265))),0)</f>
        <v>0</v>
      </c>
      <c r="BM265" s="39">
        <f>+IFERROR(-ABS(IF(EDATE(_xlfn.XLOOKUP(1,$H252:$BE252,$H$4:$BE$4),12*Assumptions!$G$193+12)=BM$4,0,IF(BL252=1,PMT(Assumptions!$G$191,Assumptions!$G$193,$C254),BL265))),0)</f>
        <v>0</v>
      </c>
      <c r="BN265" s="39">
        <f>+IFERROR(-ABS(IF(EDATE(_xlfn.XLOOKUP(1,$H252:$BE252,$H$4:$BE$4),12*Assumptions!$G$193+12)=BN$4,0,IF(BM252=1,PMT(Assumptions!$G$191,Assumptions!$G$193,$C254),BM265))),0)</f>
        <v>0</v>
      </c>
      <c r="BO265" s="39">
        <f>+IFERROR(-ABS(IF(EDATE(_xlfn.XLOOKUP(1,$H252:$BE252,$H$4:$BE$4),12*Assumptions!$G$193+12)=BO$4,0,IF(BN252=1,PMT(Assumptions!$G$191,Assumptions!$G$193,$C254),BN265))),0)</f>
        <v>0</v>
      </c>
      <c r="BP265" s="39">
        <f>+IFERROR(-ABS(IF(EDATE(_xlfn.XLOOKUP(1,$H252:$BE252,$H$4:$BE$4),12*Assumptions!$G$193+12)=BP$4,0,IF(BO252=1,PMT(Assumptions!$G$191,Assumptions!$G$193,$C254),BO265))),0)</f>
        <v>0</v>
      </c>
      <c r="BQ265" s="39">
        <f>+IFERROR(-ABS(IF(EDATE(_xlfn.XLOOKUP(1,$H252:$BE252,$H$4:$BE$4),12*Assumptions!$G$193+12)=BQ$4,0,IF(BP252=1,PMT(Assumptions!$G$191,Assumptions!$G$193,$C254),BP265))),0)</f>
        <v>0</v>
      </c>
      <c r="BR265" s="39">
        <f>+IFERROR(-ABS(IF(EDATE(_xlfn.XLOOKUP(1,$H252:$BE252,$H$4:$BE$4),12*Assumptions!$G$193+12)=BR$4,0,IF(BQ252=1,PMT(Assumptions!$G$191,Assumptions!$G$193,$C254),BQ265))),0)</f>
        <v>0</v>
      </c>
      <c r="BS265" s="39">
        <f>+IFERROR(-ABS(IF(EDATE(_xlfn.XLOOKUP(1,$H252:$BE252,$H$4:$BE$4),12*Assumptions!$G$193+12)=BS$4,0,IF(BR252=1,PMT(Assumptions!$G$191,Assumptions!$G$193,$C254),BR265))),0)</f>
        <v>0</v>
      </c>
      <c r="BT265" s="39">
        <f>+IFERROR(-ABS(IF(EDATE(_xlfn.XLOOKUP(1,$H252:$BE252,$H$4:$BE$4),12*Assumptions!$G$193+12)=BT$4,0,IF(BS252=1,PMT(Assumptions!$G$191,Assumptions!$G$193,$C254),BS265))),0)</f>
        <v>0</v>
      </c>
      <c r="BU265" s="39">
        <f>+IFERROR(-ABS(IF(EDATE(_xlfn.XLOOKUP(1,$H252:$BE252,$H$4:$BE$4),12*Assumptions!$G$193+12)=BU$4,0,IF(BT252=1,PMT(Assumptions!$G$191,Assumptions!$G$193,$C254),BT265))),0)</f>
        <v>0</v>
      </c>
      <c r="BV265" s="39">
        <f>+IFERROR(-ABS(IF(EDATE(_xlfn.XLOOKUP(1,$H252:$BE252,$H$4:$BE$4),12*Assumptions!$G$193+12)=BV$4,0,IF(BU252=1,PMT(Assumptions!$G$191,Assumptions!$G$193,$C254),BU265))),0)</f>
        <v>0</v>
      </c>
      <c r="BW265" s="39">
        <f>+IFERROR(-ABS(IF(EDATE(_xlfn.XLOOKUP(1,$H252:$BE252,$H$4:$BE$4),12*Assumptions!$G$193+12)=BW$4,0,IF(BV252=1,PMT(Assumptions!$G$191,Assumptions!$G$193,$C254),BV265))),0)</f>
        <v>0</v>
      </c>
      <c r="BX265" s="39">
        <f>+IFERROR(-ABS(IF(EDATE(_xlfn.XLOOKUP(1,$H252:$BE252,$H$4:$BE$4),12*Assumptions!$G$193+12)=BX$4,0,IF(BW252=1,PMT(Assumptions!$G$191,Assumptions!$G$193,$C254),BW265))),0)</f>
        <v>0</v>
      </c>
      <c r="BY265" s="39">
        <f>+IFERROR(-ABS(IF(EDATE(_xlfn.XLOOKUP(1,$H252:$BE252,$H$4:$BE$4),12*Assumptions!$G$193+12)=BY$4,0,IF(BX252=1,PMT(Assumptions!$G$191,Assumptions!$G$193,$C254),BX265))),0)</f>
        <v>0</v>
      </c>
    </row>
    <row r="266" spans="5:77" outlineLevel="1">
      <c r="E266" s="24" t="s">
        <v>520</v>
      </c>
      <c r="F266" s="80" t="str">
        <f>+Assumptions!$G$8</f>
        <v>USD</v>
      </c>
      <c r="G266" s="24"/>
      <c r="H266" s="39">
        <f>+IFERROR(-ABS(IF(EDATE(_xlfn.XLOOKUP(1,$H253:$BE253,$H$4:$BE$4),12*Assumptions!$G$193+12)=H$4,0,IF(G253=1,PMT(Assumptions!$G$191,Assumptions!$G$193,$C255),G266))),0)</f>
        <v>0</v>
      </c>
      <c r="I266" s="39">
        <f>+IFERROR(-ABS(IF(EDATE(_xlfn.XLOOKUP(1,$H253:$BE253,$H$4:$BE$4),12*Assumptions!$G$193+12)=I$4,0,IF(H253=1,PMT(Assumptions!$G$191,Assumptions!$G$193,$C255),H266))),0)</f>
        <v>0</v>
      </c>
      <c r="J266" s="39">
        <f>+IFERROR(-ABS(IF(EDATE(_xlfn.XLOOKUP(1,$H253:$BE253,$H$4:$BE$4),12*Assumptions!$G$193+12)=J$4,0,IF(I253=1,PMT(Assumptions!$G$191,Assumptions!$G$193,$C255),I266))),0)</f>
        <v>0</v>
      </c>
      <c r="K266" s="39">
        <f>+IFERROR(-ABS(IF(EDATE(_xlfn.XLOOKUP(1,$H253:$BE253,$H$4:$BE$4),12*Assumptions!$G$193+12)=K$4,0,IF(J253=1,PMT(Assumptions!$G$191,Assumptions!$G$193,$C255),J266))),0)</f>
        <v>0</v>
      </c>
      <c r="L266" s="39">
        <f>+IFERROR(-ABS(IF(EDATE(_xlfn.XLOOKUP(1,$H253:$BE253,$H$4:$BE$4),12*Assumptions!$G$193+12)=L$4,0,IF(K253=1,PMT(Assumptions!$G$191,Assumptions!$G$193,$C255),K266))),0)</f>
        <v>0</v>
      </c>
      <c r="M266" s="39">
        <f>+IFERROR(-ABS(IF(EDATE(_xlfn.XLOOKUP(1,$H253:$BE253,$H$4:$BE$4),12*Assumptions!$G$193+12)=M$4,0,IF(L253=1,PMT(Assumptions!$G$191,Assumptions!$G$193,$C255),L266))),0)</f>
        <v>0</v>
      </c>
      <c r="N266" s="39">
        <f>+IFERROR(-ABS(IF(EDATE(_xlfn.XLOOKUP(1,$H253:$BE253,$H$4:$BE$4),12*Assumptions!$G$193+12)=N$4,0,IF(M253=1,PMT(Assumptions!$G$191,Assumptions!$G$193,$C255),M266))),0)</f>
        <v>0</v>
      </c>
      <c r="O266" s="39">
        <f>+IFERROR(-ABS(IF(EDATE(_xlfn.XLOOKUP(1,$H253:$BE253,$H$4:$BE$4),12*Assumptions!$G$193+12)=O$4,0,IF(N253=1,PMT(Assumptions!$G$191,Assumptions!$G$193,$C255),N266))),0)</f>
        <v>0</v>
      </c>
      <c r="P266" s="39">
        <f>+IFERROR(-ABS(IF(EDATE(_xlfn.XLOOKUP(1,$H253:$BE253,$H$4:$BE$4),12*Assumptions!$G$193+12)=P$4,0,IF(O253=1,PMT(Assumptions!$G$191,Assumptions!$G$193,$C255),O266))),0)</f>
        <v>0</v>
      </c>
      <c r="Q266" s="39">
        <f>+IFERROR(-ABS(IF(EDATE(_xlfn.XLOOKUP(1,$H253:$BE253,$H$4:$BE$4),12*Assumptions!$G$193+12)=Q$4,0,IF(P253=1,PMT(Assumptions!$G$191,Assumptions!$G$193,$C255),P266))),0)</f>
        <v>0</v>
      </c>
      <c r="R266" s="39">
        <f>+IFERROR(-ABS(IF(EDATE(_xlfn.XLOOKUP(1,$H253:$BE253,$H$4:$BE$4),12*Assumptions!$G$193+12)=R$4,0,IF(Q253=1,PMT(Assumptions!$G$191,Assumptions!$G$193,$C255),Q266))),0)</f>
        <v>0</v>
      </c>
      <c r="S266" s="39">
        <f>+IFERROR(-ABS(IF(EDATE(_xlfn.XLOOKUP(1,$H253:$BE253,$H$4:$BE$4),12*Assumptions!$G$193+12)=S$4,0,IF(R253=1,PMT(Assumptions!$G$191,Assumptions!$G$193,$C255),R266))),0)</f>
        <v>0</v>
      </c>
      <c r="T266" s="39">
        <f>+IFERROR(-ABS(IF(EDATE(_xlfn.XLOOKUP(1,$H253:$BE253,$H$4:$BE$4),12*Assumptions!$G$193+12)=T$4,0,IF(S253=1,PMT(Assumptions!$G$191,Assumptions!$G$193,$C255),S266))),0)</f>
        <v>0</v>
      </c>
      <c r="U266" s="39">
        <f>+IFERROR(-ABS(IF(EDATE(_xlfn.XLOOKUP(1,$H253:$BE253,$H$4:$BE$4),12*Assumptions!$G$193+12)=U$4,0,IF(T253=1,PMT(Assumptions!$G$191,Assumptions!$G$193,$C255),T266))),0)</f>
        <v>0</v>
      </c>
      <c r="V266" s="39">
        <f>+IFERROR(-ABS(IF(EDATE(_xlfn.XLOOKUP(1,$H253:$BE253,$H$4:$BE$4),12*Assumptions!$G$193+12)=V$4,0,IF(U253=1,PMT(Assumptions!$G$191,Assumptions!$G$193,$C255),U266))),0)</f>
        <v>0</v>
      </c>
      <c r="W266" s="39">
        <f>+IFERROR(-ABS(IF(EDATE(_xlfn.XLOOKUP(1,$H253:$BE253,$H$4:$BE$4),12*Assumptions!$G$193+12)=W$4,0,IF(V253=1,PMT(Assumptions!$G$191,Assumptions!$G$193,$C255),V266))),0)</f>
        <v>0</v>
      </c>
      <c r="X266" s="39">
        <f>+IFERROR(-ABS(IF(EDATE(_xlfn.XLOOKUP(1,$H253:$BE253,$H$4:$BE$4),12*Assumptions!$G$193+12)=X$4,0,IF(W253=1,PMT(Assumptions!$G$191,Assumptions!$G$193,$C255),W266))),0)</f>
        <v>0</v>
      </c>
      <c r="Y266" s="39">
        <f>+IFERROR(-ABS(IF(EDATE(_xlfn.XLOOKUP(1,$H253:$BE253,$H$4:$BE$4),12*Assumptions!$G$193+12)=Y$4,0,IF(X253=1,PMT(Assumptions!$G$191,Assumptions!$G$193,$C255),X266))),0)</f>
        <v>0</v>
      </c>
      <c r="Z266" s="39">
        <f>+IFERROR(-ABS(IF(EDATE(_xlfn.XLOOKUP(1,$H253:$BE253,$H$4:$BE$4),12*Assumptions!$G$193+12)=Z$4,0,IF(Y253=1,PMT(Assumptions!$G$191,Assumptions!$G$193,$C255),Y266))),0)</f>
        <v>0</v>
      </c>
      <c r="AA266" s="39">
        <f>+IFERROR(-ABS(IF(EDATE(_xlfn.XLOOKUP(1,$H253:$BE253,$H$4:$BE$4),12*Assumptions!$G$193+12)=AA$4,0,IF(Z253=1,PMT(Assumptions!$G$191,Assumptions!$G$193,$C255),Z266))),0)</f>
        <v>0</v>
      </c>
      <c r="AB266" s="39">
        <f>+IFERROR(-ABS(IF(EDATE(_xlfn.XLOOKUP(1,$H253:$BE253,$H$4:$BE$4),12*Assumptions!$G$193+12)=AB$4,0,IF(AA253=1,PMT(Assumptions!$G$191,Assumptions!$G$193,$C255),AA266))),0)</f>
        <v>0</v>
      </c>
      <c r="AC266" s="39">
        <f>+IFERROR(-ABS(IF(EDATE(_xlfn.XLOOKUP(1,$H253:$BE253,$H$4:$BE$4),12*Assumptions!$G$193+12)=AC$4,0,IF(AB253=1,PMT(Assumptions!$G$191,Assumptions!$G$193,$C255),AB266))),0)</f>
        <v>0</v>
      </c>
      <c r="AD266" s="39">
        <f>+IFERROR(-ABS(IF(EDATE(_xlfn.XLOOKUP(1,$H253:$BE253,$H$4:$BE$4),12*Assumptions!$G$193+12)=AD$4,0,IF(AC253=1,PMT(Assumptions!$G$191,Assumptions!$G$193,$C255),AC266))),0)</f>
        <v>0</v>
      </c>
      <c r="AE266" s="39">
        <f>+IFERROR(-ABS(IF(EDATE(_xlfn.XLOOKUP(1,$H253:$BE253,$H$4:$BE$4),12*Assumptions!$G$193+12)=AE$4,0,IF(AD253=1,PMT(Assumptions!$G$191,Assumptions!$G$193,$C255),AD266))),0)</f>
        <v>0</v>
      </c>
      <c r="AF266" s="39">
        <f>+IFERROR(-ABS(IF(EDATE(_xlfn.XLOOKUP(1,$H253:$BE253,$H$4:$BE$4),12*Assumptions!$G$193+12)=AF$4,0,IF(AE253=1,PMT(Assumptions!$G$191,Assumptions!$G$193,$C255),AE266))),0)</f>
        <v>0</v>
      </c>
      <c r="AG266" s="39">
        <f>+IFERROR(-ABS(IF(EDATE(_xlfn.XLOOKUP(1,$H253:$BE253,$H$4:$BE$4),12*Assumptions!$G$193+12)=AG$4,0,IF(AF253=1,PMT(Assumptions!$G$191,Assumptions!$G$193,$C255),AF266))),0)</f>
        <v>0</v>
      </c>
      <c r="AH266" s="39">
        <f>+IFERROR(-ABS(IF(EDATE(_xlfn.XLOOKUP(1,$H253:$BE253,$H$4:$BE$4),12*Assumptions!$G$193+12)=AH$4,0,IF(AG253=1,PMT(Assumptions!$G$191,Assumptions!$G$193,$C255),AG266))),0)</f>
        <v>0</v>
      </c>
      <c r="AI266" s="39">
        <f>+IFERROR(-ABS(IF(EDATE(_xlfn.XLOOKUP(1,$H253:$BE253,$H$4:$BE$4),12*Assumptions!$G$193+12)=AI$4,0,IF(AH253=1,PMT(Assumptions!$G$191,Assumptions!$G$193,$C255),AH266))),0)</f>
        <v>0</v>
      </c>
      <c r="AJ266" s="39">
        <f>+IFERROR(-ABS(IF(EDATE(_xlfn.XLOOKUP(1,$H253:$BE253,$H$4:$BE$4),12*Assumptions!$G$193+12)=AJ$4,0,IF(AI253=1,PMT(Assumptions!$G$191,Assumptions!$G$193,$C255),AI266))),0)</f>
        <v>0</v>
      </c>
      <c r="AK266" s="39">
        <f>+IFERROR(-ABS(IF(EDATE(_xlfn.XLOOKUP(1,$H253:$BE253,$H$4:$BE$4),12*Assumptions!$G$193+12)=AK$4,0,IF(AJ253=1,PMT(Assumptions!$G$191,Assumptions!$G$193,$C255),AJ266))),0)</f>
        <v>0</v>
      </c>
      <c r="AL266" s="39">
        <f>+IFERROR(-ABS(IF(EDATE(_xlfn.XLOOKUP(1,$H253:$BE253,$H$4:$BE$4),12*Assumptions!$G$193+12)=AL$4,0,IF(AK253=1,PMT(Assumptions!$G$191,Assumptions!$G$193,$C255),AK266))),0)</f>
        <v>0</v>
      </c>
      <c r="AM266" s="39">
        <f>+IFERROR(-ABS(IF(EDATE(_xlfn.XLOOKUP(1,$H253:$BE253,$H$4:$BE$4),12*Assumptions!$G$193+12)=AM$4,0,IF(AL253=1,PMT(Assumptions!$G$191,Assumptions!$G$193,$C255),AL266))),0)</f>
        <v>0</v>
      </c>
      <c r="AN266" s="39">
        <f>+IFERROR(-ABS(IF(EDATE(_xlfn.XLOOKUP(1,$H253:$BE253,$H$4:$BE$4),12*Assumptions!$G$193+12)=AN$4,0,IF(AM253=1,PMT(Assumptions!$G$191,Assumptions!$G$193,$C255),AM266))),0)</f>
        <v>0</v>
      </c>
      <c r="AO266" s="39">
        <f>+IFERROR(-ABS(IF(EDATE(_xlfn.XLOOKUP(1,$H253:$BE253,$H$4:$BE$4),12*Assumptions!$G$193+12)=AO$4,0,IF(AN253=1,PMT(Assumptions!$G$191,Assumptions!$G$193,$C255),AN266))),0)</f>
        <v>0</v>
      </c>
      <c r="AP266" s="39">
        <f>+IFERROR(-ABS(IF(EDATE(_xlfn.XLOOKUP(1,$H253:$BE253,$H$4:$BE$4),12*Assumptions!$G$193+12)=AP$4,0,IF(AO253=1,PMT(Assumptions!$G$191,Assumptions!$G$193,$C255),AO266))),0)</f>
        <v>0</v>
      </c>
      <c r="AQ266" s="39">
        <f>+IFERROR(-ABS(IF(EDATE(_xlfn.XLOOKUP(1,$H253:$BE253,$H$4:$BE$4),12*Assumptions!$G$193+12)=AQ$4,0,IF(AP253=1,PMT(Assumptions!$G$191,Assumptions!$G$193,$C255),AP266))),0)</f>
        <v>0</v>
      </c>
      <c r="AR266" s="39">
        <f>+IFERROR(-ABS(IF(EDATE(_xlfn.XLOOKUP(1,$H253:$BE253,$H$4:$BE$4),12*Assumptions!$G$193+12)=AR$4,0,IF(AQ253=1,PMT(Assumptions!$G$191,Assumptions!$G$193,$C255),AQ266))),0)</f>
        <v>0</v>
      </c>
      <c r="AS266" s="39">
        <f>+IFERROR(-ABS(IF(EDATE(_xlfn.XLOOKUP(1,$H253:$BE253,$H$4:$BE$4),12*Assumptions!$G$193+12)=AS$4,0,IF(AR253=1,PMT(Assumptions!$G$191,Assumptions!$G$193,$C255),AR266))),0)</f>
        <v>0</v>
      </c>
      <c r="AT266" s="39">
        <f>+IFERROR(-ABS(IF(EDATE(_xlfn.XLOOKUP(1,$H253:$BE253,$H$4:$BE$4),12*Assumptions!$G$193+12)=AT$4,0,IF(AS253=1,PMT(Assumptions!$G$191,Assumptions!$G$193,$C255),AS266))),0)</f>
        <v>0</v>
      </c>
      <c r="AU266" s="39">
        <f>+IFERROR(-ABS(IF(EDATE(_xlfn.XLOOKUP(1,$H253:$BE253,$H$4:$BE$4),12*Assumptions!$G$193+12)=AU$4,0,IF(AT253=1,PMT(Assumptions!$G$191,Assumptions!$G$193,$C255),AT266))),0)</f>
        <v>0</v>
      </c>
      <c r="AV266" s="39">
        <f>+IFERROR(-ABS(IF(EDATE(_xlfn.XLOOKUP(1,$H253:$BE253,$H$4:$BE$4),12*Assumptions!$G$193+12)=AV$4,0,IF(AU253=1,PMT(Assumptions!$G$191,Assumptions!$G$193,$C255),AU266))),0)</f>
        <v>0</v>
      </c>
      <c r="AW266" s="39">
        <f>+IFERROR(-ABS(IF(EDATE(_xlfn.XLOOKUP(1,$H253:$BE253,$H$4:$BE$4),12*Assumptions!$G$193+12)=AW$4,0,IF(AV253=1,PMT(Assumptions!$G$191,Assumptions!$G$193,$C255),AV266))),0)</f>
        <v>0</v>
      </c>
      <c r="AX266" s="39">
        <f>+IFERROR(-ABS(IF(EDATE(_xlfn.XLOOKUP(1,$H253:$BE253,$H$4:$BE$4),12*Assumptions!$G$193+12)=AX$4,0,IF(AW253=1,PMT(Assumptions!$G$191,Assumptions!$G$193,$C255),AW266))),0)</f>
        <v>0</v>
      </c>
      <c r="AY266" s="39">
        <f>+IFERROR(-ABS(IF(EDATE(_xlfn.XLOOKUP(1,$H253:$BE253,$H$4:$BE$4),12*Assumptions!$G$193+12)=AY$4,0,IF(AX253=1,PMT(Assumptions!$G$191,Assumptions!$G$193,$C255),AX266))),0)</f>
        <v>0</v>
      </c>
      <c r="AZ266" s="39">
        <f>+IFERROR(-ABS(IF(EDATE(_xlfn.XLOOKUP(1,$H253:$BE253,$H$4:$BE$4),12*Assumptions!$G$193+12)=AZ$4,0,IF(AY253=1,PMT(Assumptions!$G$191,Assumptions!$G$193,$C255),AY266))),0)</f>
        <v>0</v>
      </c>
      <c r="BA266" s="39">
        <f>+IFERROR(-ABS(IF(EDATE(_xlfn.XLOOKUP(1,$H253:$BE253,$H$4:$BE$4),12*Assumptions!$G$193+12)=BA$4,0,IF(AZ253=1,PMT(Assumptions!$G$191,Assumptions!$G$193,$C255),AZ266))),0)</f>
        <v>0</v>
      </c>
      <c r="BB266" s="39">
        <f>+IFERROR(-ABS(IF(EDATE(_xlfn.XLOOKUP(1,$H253:$BE253,$H$4:$BE$4),12*Assumptions!$G$193+12)=BB$4,0,IF(BA253=1,PMT(Assumptions!$G$191,Assumptions!$G$193,$C255),BA266))),0)</f>
        <v>0</v>
      </c>
      <c r="BC266" s="39">
        <f>+IFERROR(-ABS(IF(EDATE(_xlfn.XLOOKUP(1,$H253:$BE253,$H$4:$BE$4),12*Assumptions!$G$193+12)=BC$4,0,IF(BB253=1,PMT(Assumptions!$G$191,Assumptions!$G$193,$C255),BB266))),0)</f>
        <v>0</v>
      </c>
      <c r="BD266" s="39">
        <f>+IFERROR(-ABS(IF(EDATE(_xlfn.XLOOKUP(1,$H253:$BE253,$H$4:$BE$4),12*Assumptions!$G$193+12)=BD$4,0,IF(BC253=1,PMT(Assumptions!$G$191,Assumptions!$G$193,$C255),BC266))),0)</f>
        <v>0</v>
      </c>
      <c r="BE266" s="39">
        <f>+IFERROR(-ABS(IF(EDATE(_xlfn.XLOOKUP(1,$H253:$BE253,$H$4:$BE$4),12*Assumptions!$G$193+12)=BE$4,0,IF(BD253=1,PMT(Assumptions!$G$191,Assumptions!$G$193,$C255),BD266))),0)</f>
        <v>0</v>
      </c>
      <c r="BF266" s="39">
        <f>+IFERROR(-ABS(IF(EDATE(_xlfn.XLOOKUP(1,$H253:$BE253,$H$4:$BE$4),12*Assumptions!$G$193+12)=BF$4,0,IF(BE253=1,PMT(Assumptions!$G$191,Assumptions!$G$193,$C255),BE266))),0)</f>
        <v>0</v>
      </c>
      <c r="BG266" s="39">
        <f>+IFERROR(-ABS(IF(EDATE(_xlfn.XLOOKUP(1,$H253:$BE253,$H$4:$BE$4),12*Assumptions!$G$193+12)=BG$4,0,IF(BF253=1,PMT(Assumptions!$G$191,Assumptions!$G$193,$C255),BF266))),0)</f>
        <v>0</v>
      </c>
      <c r="BH266" s="39">
        <f>+IFERROR(-ABS(IF(EDATE(_xlfn.XLOOKUP(1,$H253:$BE253,$H$4:$BE$4),12*Assumptions!$G$193+12)=BH$4,0,IF(BG253=1,PMT(Assumptions!$G$191,Assumptions!$G$193,$C255),BG266))),0)</f>
        <v>0</v>
      </c>
      <c r="BI266" s="39">
        <f>+IFERROR(-ABS(IF(EDATE(_xlfn.XLOOKUP(1,$H253:$BE253,$H$4:$BE$4),12*Assumptions!$G$193+12)=BI$4,0,IF(BH253=1,PMT(Assumptions!$G$191,Assumptions!$G$193,$C255),BH266))),0)</f>
        <v>0</v>
      </c>
      <c r="BJ266" s="39">
        <f>+IFERROR(-ABS(IF(EDATE(_xlfn.XLOOKUP(1,$H253:$BE253,$H$4:$BE$4),12*Assumptions!$G$193+12)=BJ$4,0,IF(BI253=1,PMT(Assumptions!$G$191,Assumptions!$G$193,$C255),BI266))),0)</f>
        <v>0</v>
      </c>
      <c r="BK266" s="39">
        <f>+IFERROR(-ABS(IF(EDATE(_xlfn.XLOOKUP(1,$H253:$BE253,$H$4:$BE$4),12*Assumptions!$G$193+12)=BK$4,0,IF(BJ253=1,PMT(Assumptions!$G$191,Assumptions!$G$193,$C255),BJ266))),0)</f>
        <v>0</v>
      </c>
      <c r="BL266" s="39">
        <f>+IFERROR(-ABS(IF(EDATE(_xlfn.XLOOKUP(1,$H253:$BE253,$H$4:$BE$4),12*Assumptions!$G$193+12)=BL$4,0,IF(BK253=1,PMT(Assumptions!$G$191,Assumptions!$G$193,$C255),BK266))),0)</f>
        <v>0</v>
      </c>
      <c r="BM266" s="39">
        <f>+IFERROR(-ABS(IF(EDATE(_xlfn.XLOOKUP(1,$H253:$BE253,$H$4:$BE$4),12*Assumptions!$G$193+12)=BM$4,0,IF(BL253=1,PMT(Assumptions!$G$191,Assumptions!$G$193,$C255),BL266))),0)</f>
        <v>0</v>
      </c>
      <c r="BN266" s="39">
        <f>+IFERROR(-ABS(IF(EDATE(_xlfn.XLOOKUP(1,$H253:$BE253,$H$4:$BE$4),12*Assumptions!$G$193+12)=BN$4,0,IF(BM253=1,PMT(Assumptions!$G$191,Assumptions!$G$193,$C255),BM266))),0)</f>
        <v>0</v>
      </c>
      <c r="BO266" s="39">
        <f>+IFERROR(-ABS(IF(EDATE(_xlfn.XLOOKUP(1,$H253:$BE253,$H$4:$BE$4),12*Assumptions!$G$193+12)=BO$4,0,IF(BN253=1,PMT(Assumptions!$G$191,Assumptions!$G$193,$C255),BN266))),0)</f>
        <v>0</v>
      </c>
      <c r="BP266" s="39">
        <f>+IFERROR(-ABS(IF(EDATE(_xlfn.XLOOKUP(1,$H253:$BE253,$H$4:$BE$4),12*Assumptions!$G$193+12)=BP$4,0,IF(BO253=1,PMT(Assumptions!$G$191,Assumptions!$G$193,$C255),BO266))),0)</f>
        <v>0</v>
      </c>
      <c r="BQ266" s="39">
        <f>+IFERROR(-ABS(IF(EDATE(_xlfn.XLOOKUP(1,$H253:$BE253,$H$4:$BE$4),12*Assumptions!$G$193+12)=BQ$4,0,IF(BP253=1,PMT(Assumptions!$G$191,Assumptions!$G$193,$C255),BP266))),0)</f>
        <v>0</v>
      </c>
      <c r="BR266" s="39">
        <f>+IFERROR(-ABS(IF(EDATE(_xlfn.XLOOKUP(1,$H253:$BE253,$H$4:$BE$4),12*Assumptions!$G$193+12)=BR$4,0,IF(BQ253=1,PMT(Assumptions!$G$191,Assumptions!$G$193,$C255),BQ266))),0)</f>
        <v>0</v>
      </c>
      <c r="BS266" s="39">
        <f>+IFERROR(-ABS(IF(EDATE(_xlfn.XLOOKUP(1,$H253:$BE253,$H$4:$BE$4),12*Assumptions!$G$193+12)=BS$4,0,IF(BR253=1,PMT(Assumptions!$G$191,Assumptions!$G$193,$C255),BR266))),0)</f>
        <v>0</v>
      </c>
      <c r="BT266" s="39">
        <f>+IFERROR(-ABS(IF(EDATE(_xlfn.XLOOKUP(1,$H253:$BE253,$H$4:$BE$4),12*Assumptions!$G$193+12)=BT$4,0,IF(BS253=1,PMT(Assumptions!$G$191,Assumptions!$G$193,$C255),BS266))),0)</f>
        <v>0</v>
      </c>
      <c r="BU266" s="39">
        <f>+IFERROR(-ABS(IF(EDATE(_xlfn.XLOOKUP(1,$H253:$BE253,$H$4:$BE$4),12*Assumptions!$G$193+12)=BU$4,0,IF(BT253=1,PMT(Assumptions!$G$191,Assumptions!$G$193,$C255),BT266))),0)</f>
        <v>0</v>
      </c>
      <c r="BV266" s="39">
        <f>+IFERROR(-ABS(IF(EDATE(_xlfn.XLOOKUP(1,$H253:$BE253,$H$4:$BE$4),12*Assumptions!$G$193+12)=BV$4,0,IF(BU253=1,PMT(Assumptions!$G$191,Assumptions!$G$193,$C255),BU266))),0)</f>
        <v>0</v>
      </c>
      <c r="BW266" s="39">
        <f>+IFERROR(-ABS(IF(EDATE(_xlfn.XLOOKUP(1,$H253:$BE253,$H$4:$BE$4),12*Assumptions!$G$193+12)=BW$4,0,IF(BV253=1,PMT(Assumptions!$G$191,Assumptions!$G$193,$C255),BV266))),0)</f>
        <v>0</v>
      </c>
      <c r="BX266" s="39">
        <f>+IFERROR(-ABS(IF(EDATE(_xlfn.XLOOKUP(1,$H253:$BE253,$H$4:$BE$4),12*Assumptions!$G$193+12)=BX$4,0,IF(BW253=1,PMT(Assumptions!$G$191,Assumptions!$G$193,$C255),BW266))),0)</f>
        <v>0</v>
      </c>
      <c r="BY266" s="39">
        <f>+IFERROR(-ABS(IF(EDATE(_xlfn.XLOOKUP(1,$H253:$BE253,$H$4:$BE$4),12*Assumptions!$G$193+12)=BY$4,0,IF(BX253=1,PMT(Assumptions!$G$191,Assumptions!$G$193,$C255),BX266))),0)</f>
        <v>0</v>
      </c>
    </row>
    <row r="267" spans="5:77" outlineLevel="1">
      <c r="E267" s="24" t="s">
        <v>521</v>
      </c>
      <c r="F267" s="80" t="str">
        <f>+Assumptions!$G$8</f>
        <v>USD</v>
      </c>
      <c r="G267" s="24"/>
      <c r="H267" s="39">
        <f>+IFERROR(-ABS(IF(EDATE(_xlfn.XLOOKUP(1,$H254:$BE254,$H$4:$BE$4),12*Assumptions!$G$193+12)=H$4,0,IF(G254=1,PMT(Assumptions!$G$191,Assumptions!$G$193,$C256),G267))),0)</f>
        <v>0</v>
      </c>
      <c r="I267" s="39">
        <f>+IFERROR(-ABS(IF(EDATE(_xlfn.XLOOKUP(1,$H254:$BE254,$H$4:$BE$4),12*Assumptions!$G$193+12)=I$4,0,IF(H254=1,PMT(Assumptions!$G$191,Assumptions!$G$193,$C256),H267))),0)</f>
        <v>0</v>
      </c>
      <c r="J267" s="39">
        <f>+IFERROR(-ABS(IF(EDATE(_xlfn.XLOOKUP(1,$H254:$BE254,$H$4:$BE$4),12*Assumptions!$G$193+12)=J$4,0,IF(I254=1,PMT(Assumptions!$G$191,Assumptions!$G$193,$C256),I267))),0)</f>
        <v>0</v>
      </c>
      <c r="K267" s="39">
        <f>+IFERROR(-ABS(IF(EDATE(_xlfn.XLOOKUP(1,$H254:$BE254,$H$4:$BE$4),12*Assumptions!$G$193+12)=K$4,0,IF(J254=1,PMT(Assumptions!$G$191,Assumptions!$G$193,$C256),J267))),0)</f>
        <v>0</v>
      </c>
      <c r="L267" s="39">
        <f>+IFERROR(-ABS(IF(EDATE(_xlfn.XLOOKUP(1,$H254:$BE254,$H$4:$BE$4),12*Assumptions!$G$193+12)=L$4,0,IF(K254=1,PMT(Assumptions!$G$191,Assumptions!$G$193,$C256),K267))),0)</f>
        <v>0</v>
      </c>
      <c r="M267" s="39">
        <f>+IFERROR(-ABS(IF(EDATE(_xlfn.XLOOKUP(1,$H254:$BE254,$H$4:$BE$4),12*Assumptions!$G$193+12)=M$4,0,IF(L254=1,PMT(Assumptions!$G$191,Assumptions!$G$193,$C256),L267))),0)</f>
        <v>0</v>
      </c>
      <c r="N267" s="39">
        <f>+IFERROR(-ABS(IF(EDATE(_xlfn.XLOOKUP(1,$H254:$BE254,$H$4:$BE$4),12*Assumptions!$G$193+12)=N$4,0,IF(M254=1,PMT(Assumptions!$G$191,Assumptions!$G$193,$C256),M267))),0)</f>
        <v>0</v>
      </c>
      <c r="O267" s="39">
        <f>+IFERROR(-ABS(IF(EDATE(_xlfn.XLOOKUP(1,$H254:$BE254,$H$4:$BE$4),12*Assumptions!$G$193+12)=O$4,0,IF(N254=1,PMT(Assumptions!$G$191,Assumptions!$G$193,$C256),N267))),0)</f>
        <v>0</v>
      </c>
      <c r="P267" s="39">
        <f>+IFERROR(-ABS(IF(EDATE(_xlfn.XLOOKUP(1,$H254:$BE254,$H$4:$BE$4),12*Assumptions!$G$193+12)=P$4,0,IF(O254=1,PMT(Assumptions!$G$191,Assumptions!$G$193,$C256),O267))),0)</f>
        <v>0</v>
      </c>
      <c r="Q267" s="39">
        <f>+IFERROR(-ABS(IF(EDATE(_xlfn.XLOOKUP(1,$H254:$BE254,$H$4:$BE$4),12*Assumptions!$G$193+12)=Q$4,0,IF(P254=1,PMT(Assumptions!$G$191,Assumptions!$G$193,$C256),P267))),0)</f>
        <v>0</v>
      </c>
      <c r="R267" s="39">
        <f>+IFERROR(-ABS(IF(EDATE(_xlfn.XLOOKUP(1,$H254:$BE254,$H$4:$BE$4),12*Assumptions!$G$193+12)=R$4,0,IF(Q254=1,PMT(Assumptions!$G$191,Assumptions!$G$193,$C256),Q267))),0)</f>
        <v>0</v>
      </c>
      <c r="S267" s="39">
        <f>+IFERROR(-ABS(IF(EDATE(_xlfn.XLOOKUP(1,$H254:$BE254,$H$4:$BE$4),12*Assumptions!$G$193+12)=S$4,0,IF(R254=1,PMT(Assumptions!$G$191,Assumptions!$G$193,$C256),R267))),0)</f>
        <v>0</v>
      </c>
      <c r="T267" s="39">
        <f>+IFERROR(-ABS(IF(EDATE(_xlfn.XLOOKUP(1,$H254:$BE254,$H$4:$BE$4),12*Assumptions!$G$193+12)=T$4,0,IF(S254=1,PMT(Assumptions!$G$191,Assumptions!$G$193,$C256),S267))),0)</f>
        <v>0</v>
      </c>
      <c r="U267" s="39">
        <f>+IFERROR(-ABS(IF(EDATE(_xlfn.XLOOKUP(1,$H254:$BE254,$H$4:$BE$4),12*Assumptions!$G$193+12)=U$4,0,IF(T254=1,PMT(Assumptions!$G$191,Assumptions!$G$193,$C256),T267))),0)</f>
        <v>0</v>
      </c>
      <c r="V267" s="39">
        <f>+IFERROR(-ABS(IF(EDATE(_xlfn.XLOOKUP(1,$H254:$BE254,$H$4:$BE$4),12*Assumptions!$G$193+12)=V$4,0,IF(U254=1,PMT(Assumptions!$G$191,Assumptions!$G$193,$C256),U267))),0)</f>
        <v>0</v>
      </c>
      <c r="W267" s="39">
        <f>+IFERROR(-ABS(IF(EDATE(_xlfn.XLOOKUP(1,$H254:$BE254,$H$4:$BE$4),12*Assumptions!$G$193+12)=W$4,0,IF(V254=1,PMT(Assumptions!$G$191,Assumptions!$G$193,$C256),V267))),0)</f>
        <v>0</v>
      </c>
      <c r="X267" s="39">
        <f>+IFERROR(-ABS(IF(EDATE(_xlfn.XLOOKUP(1,$H254:$BE254,$H$4:$BE$4),12*Assumptions!$G$193+12)=X$4,0,IF(W254=1,PMT(Assumptions!$G$191,Assumptions!$G$193,$C256),W267))),0)</f>
        <v>0</v>
      </c>
      <c r="Y267" s="39">
        <f>+IFERROR(-ABS(IF(EDATE(_xlfn.XLOOKUP(1,$H254:$BE254,$H$4:$BE$4),12*Assumptions!$G$193+12)=Y$4,0,IF(X254=1,PMT(Assumptions!$G$191,Assumptions!$G$193,$C256),X267))),0)</f>
        <v>0</v>
      </c>
      <c r="Z267" s="39">
        <f>+IFERROR(-ABS(IF(EDATE(_xlfn.XLOOKUP(1,$H254:$BE254,$H$4:$BE$4),12*Assumptions!$G$193+12)=Z$4,0,IF(Y254=1,PMT(Assumptions!$G$191,Assumptions!$G$193,$C256),Y267))),0)</f>
        <v>0</v>
      </c>
      <c r="AA267" s="39">
        <f>+IFERROR(-ABS(IF(EDATE(_xlfn.XLOOKUP(1,$H254:$BE254,$H$4:$BE$4),12*Assumptions!$G$193+12)=AA$4,0,IF(Z254=1,PMT(Assumptions!$G$191,Assumptions!$G$193,$C256),Z267))),0)</f>
        <v>0</v>
      </c>
      <c r="AB267" s="39">
        <f>+IFERROR(-ABS(IF(EDATE(_xlfn.XLOOKUP(1,$H254:$BE254,$H$4:$BE$4),12*Assumptions!$G$193+12)=AB$4,0,IF(AA254=1,PMT(Assumptions!$G$191,Assumptions!$G$193,$C256),AA267))),0)</f>
        <v>0</v>
      </c>
      <c r="AC267" s="39">
        <f>+IFERROR(-ABS(IF(EDATE(_xlfn.XLOOKUP(1,$H254:$BE254,$H$4:$BE$4),12*Assumptions!$G$193+12)=AC$4,0,IF(AB254=1,PMT(Assumptions!$G$191,Assumptions!$G$193,$C256),AB267))),0)</f>
        <v>0</v>
      </c>
      <c r="AD267" s="39">
        <f>+IFERROR(-ABS(IF(EDATE(_xlfn.XLOOKUP(1,$H254:$BE254,$H$4:$BE$4),12*Assumptions!$G$193+12)=AD$4,0,IF(AC254=1,PMT(Assumptions!$G$191,Assumptions!$G$193,$C256),AC267))),0)</f>
        <v>0</v>
      </c>
      <c r="AE267" s="39">
        <f>+IFERROR(-ABS(IF(EDATE(_xlfn.XLOOKUP(1,$H254:$BE254,$H$4:$BE$4),12*Assumptions!$G$193+12)=AE$4,0,IF(AD254=1,PMT(Assumptions!$G$191,Assumptions!$G$193,$C256),AD267))),0)</f>
        <v>0</v>
      </c>
      <c r="AF267" s="39">
        <f>+IFERROR(-ABS(IF(EDATE(_xlfn.XLOOKUP(1,$H254:$BE254,$H$4:$BE$4),12*Assumptions!$G$193+12)=AF$4,0,IF(AE254=1,PMT(Assumptions!$G$191,Assumptions!$G$193,$C256),AE267))),0)</f>
        <v>0</v>
      </c>
      <c r="AG267" s="39">
        <f>+IFERROR(-ABS(IF(EDATE(_xlfn.XLOOKUP(1,$H254:$BE254,$H$4:$BE$4),12*Assumptions!$G$193+12)=AG$4,0,IF(AF254=1,PMT(Assumptions!$G$191,Assumptions!$G$193,$C256),AF267))),0)</f>
        <v>0</v>
      </c>
      <c r="AH267" s="39">
        <f>+IFERROR(-ABS(IF(EDATE(_xlfn.XLOOKUP(1,$H254:$BE254,$H$4:$BE$4),12*Assumptions!$G$193+12)=AH$4,0,IF(AG254=1,PMT(Assumptions!$G$191,Assumptions!$G$193,$C256),AG267))),0)</f>
        <v>0</v>
      </c>
      <c r="AI267" s="39">
        <f>+IFERROR(-ABS(IF(EDATE(_xlfn.XLOOKUP(1,$H254:$BE254,$H$4:$BE$4),12*Assumptions!$G$193+12)=AI$4,0,IF(AH254=1,PMT(Assumptions!$G$191,Assumptions!$G$193,$C256),AH267))),0)</f>
        <v>0</v>
      </c>
      <c r="AJ267" s="39">
        <f>+IFERROR(-ABS(IF(EDATE(_xlfn.XLOOKUP(1,$H254:$BE254,$H$4:$BE$4),12*Assumptions!$G$193+12)=AJ$4,0,IF(AI254=1,PMT(Assumptions!$G$191,Assumptions!$G$193,$C256),AI267))),0)</f>
        <v>0</v>
      </c>
      <c r="AK267" s="39">
        <f>+IFERROR(-ABS(IF(EDATE(_xlfn.XLOOKUP(1,$H254:$BE254,$H$4:$BE$4),12*Assumptions!$G$193+12)=AK$4,0,IF(AJ254=1,PMT(Assumptions!$G$191,Assumptions!$G$193,$C256),AJ267))),0)</f>
        <v>0</v>
      </c>
      <c r="AL267" s="39">
        <f>+IFERROR(-ABS(IF(EDATE(_xlfn.XLOOKUP(1,$H254:$BE254,$H$4:$BE$4),12*Assumptions!$G$193+12)=AL$4,0,IF(AK254=1,PMT(Assumptions!$G$191,Assumptions!$G$193,$C256),AK267))),0)</f>
        <v>0</v>
      </c>
      <c r="AM267" s="39">
        <f>+IFERROR(-ABS(IF(EDATE(_xlfn.XLOOKUP(1,$H254:$BE254,$H$4:$BE$4),12*Assumptions!$G$193+12)=AM$4,0,IF(AL254=1,PMT(Assumptions!$G$191,Assumptions!$G$193,$C256),AL267))),0)</f>
        <v>0</v>
      </c>
      <c r="AN267" s="39">
        <f>+IFERROR(-ABS(IF(EDATE(_xlfn.XLOOKUP(1,$H254:$BE254,$H$4:$BE$4),12*Assumptions!$G$193+12)=AN$4,0,IF(AM254=1,PMT(Assumptions!$G$191,Assumptions!$G$193,$C256),AM267))),0)</f>
        <v>0</v>
      </c>
      <c r="AO267" s="39">
        <f>+IFERROR(-ABS(IF(EDATE(_xlfn.XLOOKUP(1,$H254:$BE254,$H$4:$BE$4),12*Assumptions!$G$193+12)=AO$4,0,IF(AN254=1,PMT(Assumptions!$G$191,Assumptions!$G$193,$C256),AN267))),0)</f>
        <v>0</v>
      </c>
      <c r="AP267" s="39">
        <f>+IFERROR(-ABS(IF(EDATE(_xlfn.XLOOKUP(1,$H254:$BE254,$H$4:$BE$4),12*Assumptions!$G$193+12)=AP$4,0,IF(AO254=1,PMT(Assumptions!$G$191,Assumptions!$G$193,$C256),AO267))),0)</f>
        <v>0</v>
      </c>
      <c r="AQ267" s="39">
        <f>+IFERROR(-ABS(IF(EDATE(_xlfn.XLOOKUP(1,$H254:$BE254,$H$4:$BE$4),12*Assumptions!$G$193+12)=AQ$4,0,IF(AP254=1,PMT(Assumptions!$G$191,Assumptions!$G$193,$C256),AP267))),0)</f>
        <v>0</v>
      </c>
      <c r="AR267" s="39">
        <f>+IFERROR(-ABS(IF(EDATE(_xlfn.XLOOKUP(1,$H254:$BE254,$H$4:$BE$4),12*Assumptions!$G$193+12)=AR$4,0,IF(AQ254=1,PMT(Assumptions!$G$191,Assumptions!$G$193,$C256),AQ267))),0)</f>
        <v>0</v>
      </c>
      <c r="AS267" s="39">
        <f>+IFERROR(-ABS(IF(EDATE(_xlfn.XLOOKUP(1,$H254:$BE254,$H$4:$BE$4),12*Assumptions!$G$193+12)=AS$4,0,IF(AR254=1,PMT(Assumptions!$G$191,Assumptions!$G$193,$C256),AR267))),0)</f>
        <v>0</v>
      </c>
      <c r="AT267" s="39">
        <f>+IFERROR(-ABS(IF(EDATE(_xlfn.XLOOKUP(1,$H254:$BE254,$H$4:$BE$4),12*Assumptions!$G$193+12)=AT$4,0,IF(AS254=1,PMT(Assumptions!$G$191,Assumptions!$G$193,$C256),AS267))),0)</f>
        <v>0</v>
      </c>
      <c r="AU267" s="39">
        <f>+IFERROR(-ABS(IF(EDATE(_xlfn.XLOOKUP(1,$H254:$BE254,$H$4:$BE$4),12*Assumptions!$G$193+12)=AU$4,0,IF(AT254=1,PMT(Assumptions!$G$191,Assumptions!$G$193,$C256),AT267))),0)</f>
        <v>0</v>
      </c>
      <c r="AV267" s="39">
        <f>+IFERROR(-ABS(IF(EDATE(_xlfn.XLOOKUP(1,$H254:$BE254,$H$4:$BE$4),12*Assumptions!$G$193+12)=AV$4,0,IF(AU254=1,PMT(Assumptions!$G$191,Assumptions!$G$193,$C256),AU267))),0)</f>
        <v>0</v>
      </c>
      <c r="AW267" s="39">
        <f>+IFERROR(-ABS(IF(EDATE(_xlfn.XLOOKUP(1,$H254:$BE254,$H$4:$BE$4),12*Assumptions!$G$193+12)=AW$4,0,IF(AV254=1,PMT(Assumptions!$G$191,Assumptions!$G$193,$C256),AV267))),0)</f>
        <v>0</v>
      </c>
      <c r="AX267" s="39">
        <f>+IFERROR(-ABS(IF(EDATE(_xlfn.XLOOKUP(1,$H254:$BE254,$H$4:$BE$4),12*Assumptions!$G$193+12)=AX$4,0,IF(AW254=1,PMT(Assumptions!$G$191,Assumptions!$G$193,$C256),AW267))),0)</f>
        <v>0</v>
      </c>
      <c r="AY267" s="39">
        <f>+IFERROR(-ABS(IF(EDATE(_xlfn.XLOOKUP(1,$H254:$BE254,$H$4:$BE$4),12*Assumptions!$G$193+12)=AY$4,0,IF(AX254=1,PMT(Assumptions!$G$191,Assumptions!$G$193,$C256),AX267))),0)</f>
        <v>0</v>
      </c>
      <c r="AZ267" s="39">
        <f>+IFERROR(-ABS(IF(EDATE(_xlfn.XLOOKUP(1,$H254:$BE254,$H$4:$BE$4),12*Assumptions!$G$193+12)=AZ$4,0,IF(AY254=1,PMT(Assumptions!$G$191,Assumptions!$G$193,$C256),AY267))),0)</f>
        <v>0</v>
      </c>
      <c r="BA267" s="39">
        <f>+IFERROR(-ABS(IF(EDATE(_xlfn.XLOOKUP(1,$H254:$BE254,$H$4:$BE$4),12*Assumptions!$G$193+12)=BA$4,0,IF(AZ254=1,PMT(Assumptions!$G$191,Assumptions!$G$193,$C256),AZ267))),0)</f>
        <v>0</v>
      </c>
      <c r="BB267" s="39">
        <f>+IFERROR(-ABS(IF(EDATE(_xlfn.XLOOKUP(1,$H254:$BE254,$H$4:$BE$4),12*Assumptions!$G$193+12)=BB$4,0,IF(BA254=1,PMT(Assumptions!$G$191,Assumptions!$G$193,$C256),BA267))),0)</f>
        <v>0</v>
      </c>
      <c r="BC267" s="39">
        <f>+IFERROR(-ABS(IF(EDATE(_xlfn.XLOOKUP(1,$H254:$BE254,$H$4:$BE$4),12*Assumptions!$G$193+12)=BC$4,0,IF(BB254=1,PMT(Assumptions!$G$191,Assumptions!$G$193,$C256),BB267))),0)</f>
        <v>0</v>
      </c>
      <c r="BD267" s="39">
        <f>+IFERROR(-ABS(IF(EDATE(_xlfn.XLOOKUP(1,$H254:$BE254,$H$4:$BE$4),12*Assumptions!$G$193+12)=BD$4,0,IF(BC254=1,PMT(Assumptions!$G$191,Assumptions!$G$193,$C256),BC267))),0)</f>
        <v>0</v>
      </c>
      <c r="BE267" s="39">
        <f>+IFERROR(-ABS(IF(EDATE(_xlfn.XLOOKUP(1,$H254:$BE254,$H$4:$BE$4),12*Assumptions!$G$193+12)=BE$4,0,IF(BD254=1,PMT(Assumptions!$G$191,Assumptions!$G$193,$C256),BD267))),0)</f>
        <v>0</v>
      </c>
      <c r="BF267" s="39">
        <f>+IFERROR(-ABS(IF(EDATE(_xlfn.XLOOKUP(1,$H254:$BE254,$H$4:$BE$4),12*Assumptions!$G$193+12)=BF$4,0,IF(BE254=1,PMT(Assumptions!$G$191,Assumptions!$G$193,$C256),BE267))),0)</f>
        <v>0</v>
      </c>
      <c r="BG267" s="39">
        <f>+IFERROR(-ABS(IF(EDATE(_xlfn.XLOOKUP(1,$H254:$BE254,$H$4:$BE$4),12*Assumptions!$G$193+12)=BG$4,0,IF(BF254=1,PMT(Assumptions!$G$191,Assumptions!$G$193,$C256),BF267))),0)</f>
        <v>0</v>
      </c>
      <c r="BH267" s="39">
        <f>+IFERROR(-ABS(IF(EDATE(_xlfn.XLOOKUP(1,$H254:$BE254,$H$4:$BE$4),12*Assumptions!$G$193+12)=BH$4,0,IF(BG254=1,PMT(Assumptions!$G$191,Assumptions!$G$193,$C256),BG267))),0)</f>
        <v>0</v>
      </c>
      <c r="BI267" s="39">
        <f>+IFERROR(-ABS(IF(EDATE(_xlfn.XLOOKUP(1,$H254:$BE254,$H$4:$BE$4),12*Assumptions!$G$193+12)=BI$4,0,IF(BH254=1,PMT(Assumptions!$G$191,Assumptions!$G$193,$C256),BH267))),0)</f>
        <v>0</v>
      </c>
      <c r="BJ267" s="39">
        <f>+IFERROR(-ABS(IF(EDATE(_xlfn.XLOOKUP(1,$H254:$BE254,$H$4:$BE$4),12*Assumptions!$G$193+12)=BJ$4,0,IF(BI254=1,PMT(Assumptions!$G$191,Assumptions!$G$193,$C256),BI267))),0)</f>
        <v>0</v>
      </c>
      <c r="BK267" s="39">
        <f>+IFERROR(-ABS(IF(EDATE(_xlfn.XLOOKUP(1,$H254:$BE254,$H$4:$BE$4),12*Assumptions!$G$193+12)=BK$4,0,IF(BJ254=1,PMT(Assumptions!$G$191,Assumptions!$G$193,$C256),BJ267))),0)</f>
        <v>0</v>
      </c>
      <c r="BL267" s="39">
        <f>+IFERROR(-ABS(IF(EDATE(_xlfn.XLOOKUP(1,$H254:$BE254,$H$4:$BE$4),12*Assumptions!$G$193+12)=BL$4,0,IF(BK254=1,PMT(Assumptions!$G$191,Assumptions!$G$193,$C256),BK267))),0)</f>
        <v>0</v>
      </c>
      <c r="BM267" s="39">
        <f>+IFERROR(-ABS(IF(EDATE(_xlfn.XLOOKUP(1,$H254:$BE254,$H$4:$BE$4),12*Assumptions!$G$193+12)=BM$4,0,IF(BL254=1,PMT(Assumptions!$G$191,Assumptions!$G$193,$C256),BL267))),0)</f>
        <v>0</v>
      </c>
      <c r="BN267" s="39">
        <f>+IFERROR(-ABS(IF(EDATE(_xlfn.XLOOKUP(1,$H254:$BE254,$H$4:$BE$4),12*Assumptions!$G$193+12)=BN$4,0,IF(BM254=1,PMT(Assumptions!$G$191,Assumptions!$G$193,$C256),BM267))),0)</f>
        <v>0</v>
      </c>
      <c r="BO267" s="39">
        <f>+IFERROR(-ABS(IF(EDATE(_xlfn.XLOOKUP(1,$H254:$BE254,$H$4:$BE$4),12*Assumptions!$G$193+12)=BO$4,0,IF(BN254=1,PMT(Assumptions!$G$191,Assumptions!$G$193,$C256),BN267))),0)</f>
        <v>0</v>
      </c>
      <c r="BP267" s="39">
        <f>+IFERROR(-ABS(IF(EDATE(_xlfn.XLOOKUP(1,$H254:$BE254,$H$4:$BE$4),12*Assumptions!$G$193+12)=BP$4,0,IF(BO254=1,PMT(Assumptions!$G$191,Assumptions!$G$193,$C256),BO267))),0)</f>
        <v>0</v>
      </c>
      <c r="BQ267" s="39">
        <f>+IFERROR(-ABS(IF(EDATE(_xlfn.XLOOKUP(1,$H254:$BE254,$H$4:$BE$4),12*Assumptions!$G$193+12)=BQ$4,0,IF(BP254=1,PMT(Assumptions!$G$191,Assumptions!$G$193,$C256),BP267))),0)</f>
        <v>0</v>
      </c>
      <c r="BR267" s="39">
        <f>+IFERROR(-ABS(IF(EDATE(_xlfn.XLOOKUP(1,$H254:$BE254,$H$4:$BE$4),12*Assumptions!$G$193+12)=BR$4,0,IF(BQ254=1,PMT(Assumptions!$G$191,Assumptions!$G$193,$C256),BQ267))),0)</f>
        <v>0</v>
      </c>
      <c r="BS267" s="39">
        <f>+IFERROR(-ABS(IF(EDATE(_xlfn.XLOOKUP(1,$H254:$BE254,$H$4:$BE$4),12*Assumptions!$G$193+12)=BS$4,0,IF(BR254=1,PMT(Assumptions!$G$191,Assumptions!$G$193,$C256),BR267))),0)</f>
        <v>0</v>
      </c>
      <c r="BT267" s="39">
        <f>+IFERROR(-ABS(IF(EDATE(_xlfn.XLOOKUP(1,$H254:$BE254,$H$4:$BE$4),12*Assumptions!$G$193+12)=BT$4,0,IF(BS254=1,PMT(Assumptions!$G$191,Assumptions!$G$193,$C256),BS267))),0)</f>
        <v>0</v>
      </c>
      <c r="BU267" s="39">
        <f>+IFERROR(-ABS(IF(EDATE(_xlfn.XLOOKUP(1,$H254:$BE254,$H$4:$BE$4),12*Assumptions!$G$193+12)=BU$4,0,IF(BT254=1,PMT(Assumptions!$G$191,Assumptions!$G$193,$C256),BT267))),0)</f>
        <v>0</v>
      </c>
      <c r="BV267" s="39">
        <f>+IFERROR(-ABS(IF(EDATE(_xlfn.XLOOKUP(1,$H254:$BE254,$H$4:$BE$4),12*Assumptions!$G$193+12)=BV$4,0,IF(BU254=1,PMT(Assumptions!$G$191,Assumptions!$G$193,$C256),BU267))),0)</f>
        <v>0</v>
      </c>
      <c r="BW267" s="39">
        <f>+IFERROR(-ABS(IF(EDATE(_xlfn.XLOOKUP(1,$H254:$BE254,$H$4:$BE$4),12*Assumptions!$G$193+12)=BW$4,0,IF(BV254=1,PMT(Assumptions!$G$191,Assumptions!$G$193,$C256),BV267))),0)</f>
        <v>0</v>
      </c>
      <c r="BX267" s="39">
        <f>+IFERROR(-ABS(IF(EDATE(_xlfn.XLOOKUP(1,$H254:$BE254,$H$4:$BE$4),12*Assumptions!$G$193+12)=BX$4,0,IF(BW254=1,PMT(Assumptions!$G$191,Assumptions!$G$193,$C256),BW267))),0)</f>
        <v>0</v>
      </c>
      <c r="BY267" s="39">
        <f>+IFERROR(-ABS(IF(EDATE(_xlfn.XLOOKUP(1,$H254:$BE254,$H$4:$BE$4),12*Assumptions!$G$193+12)=BY$4,0,IF(BX254=1,PMT(Assumptions!$G$191,Assumptions!$G$193,$C256),BX267))),0)</f>
        <v>0</v>
      </c>
    </row>
    <row r="268" spans="5:77" outlineLevel="1">
      <c r="E268" s="24" t="s">
        <v>522</v>
      </c>
      <c r="F268" s="80" t="str">
        <f>+Assumptions!$G$8</f>
        <v>USD</v>
      </c>
      <c r="G268" s="24"/>
      <c r="H268" s="39">
        <f>+IFERROR(-ABS(IF(EDATE(_xlfn.XLOOKUP(1,$H255:$BE255,$H$4:$BE$4),12*Assumptions!$G$193+12)=H$4,0,IF(G255=1,PMT(Assumptions!$G$191,Assumptions!$G$193,$C257),G268))),0)</f>
        <v>0</v>
      </c>
      <c r="I268" s="39">
        <f>+IFERROR(-ABS(IF(EDATE(_xlfn.XLOOKUP(1,$H255:$BE255,$H$4:$BE$4),12*Assumptions!$G$193+12)=I$4,0,IF(H255=1,PMT(Assumptions!$G$191,Assumptions!$G$193,$C257),H268))),0)</f>
        <v>0</v>
      </c>
      <c r="J268" s="39">
        <f>+IFERROR(-ABS(IF(EDATE(_xlfn.XLOOKUP(1,$H255:$BE255,$H$4:$BE$4),12*Assumptions!$G$193+12)=J$4,0,IF(I255=1,PMT(Assumptions!$G$191,Assumptions!$G$193,$C257),I268))),0)</f>
        <v>0</v>
      </c>
      <c r="K268" s="39">
        <f>+IFERROR(-ABS(IF(EDATE(_xlfn.XLOOKUP(1,$H255:$BE255,$H$4:$BE$4),12*Assumptions!$G$193+12)=K$4,0,IF(J255=1,PMT(Assumptions!$G$191,Assumptions!$G$193,$C257),J268))),0)</f>
        <v>0</v>
      </c>
      <c r="L268" s="39">
        <f>+IFERROR(-ABS(IF(EDATE(_xlfn.XLOOKUP(1,$H255:$BE255,$H$4:$BE$4),12*Assumptions!$G$193+12)=L$4,0,IF(K255=1,PMT(Assumptions!$G$191,Assumptions!$G$193,$C257),K268))),0)</f>
        <v>0</v>
      </c>
      <c r="M268" s="39">
        <f>+IFERROR(-ABS(IF(EDATE(_xlfn.XLOOKUP(1,$H255:$BE255,$H$4:$BE$4),12*Assumptions!$G$193+12)=M$4,0,IF(L255=1,PMT(Assumptions!$G$191,Assumptions!$G$193,$C257),L268))),0)</f>
        <v>0</v>
      </c>
      <c r="N268" s="39">
        <f>+IFERROR(-ABS(IF(EDATE(_xlfn.XLOOKUP(1,$H255:$BE255,$H$4:$BE$4),12*Assumptions!$G$193+12)=N$4,0,IF(M255=1,PMT(Assumptions!$G$191,Assumptions!$G$193,$C257),M268))),0)</f>
        <v>0</v>
      </c>
      <c r="O268" s="39">
        <f>+IFERROR(-ABS(IF(EDATE(_xlfn.XLOOKUP(1,$H255:$BE255,$H$4:$BE$4),12*Assumptions!$G$193+12)=O$4,0,IF(N255=1,PMT(Assumptions!$G$191,Assumptions!$G$193,$C257),N268))),0)</f>
        <v>0</v>
      </c>
      <c r="P268" s="39">
        <f>+IFERROR(-ABS(IF(EDATE(_xlfn.XLOOKUP(1,$H255:$BE255,$H$4:$BE$4),12*Assumptions!$G$193+12)=P$4,0,IF(O255=1,PMT(Assumptions!$G$191,Assumptions!$G$193,$C257),O268))),0)</f>
        <v>0</v>
      </c>
      <c r="Q268" s="39">
        <f>+IFERROR(-ABS(IF(EDATE(_xlfn.XLOOKUP(1,$H255:$BE255,$H$4:$BE$4),12*Assumptions!$G$193+12)=Q$4,0,IF(P255=1,PMT(Assumptions!$G$191,Assumptions!$G$193,$C257),P268))),0)</f>
        <v>0</v>
      </c>
      <c r="R268" s="39">
        <f>+IFERROR(-ABS(IF(EDATE(_xlfn.XLOOKUP(1,$H255:$BE255,$H$4:$BE$4),12*Assumptions!$G$193+12)=R$4,0,IF(Q255=1,PMT(Assumptions!$G$191,Assumptions!$G$193,$C257),Q268))),0)</f>
        <v>0</v>
      </c>
      <c r="S268" s="39">
        <f>+IFERROR(-ABS(IF(EDATE(_xlfn.XLOOKUP(1,$H255:$BE255,$H$4:$BE$4),12*Assumptions!$G$193+12)=S$4,0,IF(R255=1,PMT(Assumptions!$G$191,Assumptions!$G$193,$C257),R268))),0)</f>
        <v>0</v>
      </c>
      <c r="T268" s="39">
        <f>+IFERROR(-ABS(IF(EDATE(_xlfn.XLOOKUP(1,$H255:$BE255,$H$4:$BE$4),12*Assumptions!$G$193+12)=T$4,0,IF(S255=1,PMT(Assumptions!$G$191,Assumptions!$G$193,$C257),S268))),0)</f>
        <v>0</v>
      </c>
      <c r="U268" s="39">
        <f>+IFERROR(-ABS(IF(EDATE(_xlfn.XLOOKUP(1,$H255:$BE255,$H$4:$BE$4),12*Assumptions!$G$193+12)=U$4,0,IF(T255=1,PMT(Assumptions!$G$191,Assumptions!$G$193,$C257),T268))),0)</f>
        <v>0</v>
      </c>
      <c r="V268" s="39">
        <f>+IFERROR(-ABS(IF(EDATE(_xlfn.XLOOKUP(1,$H255:$BE255,$H$4:$BE$4),12*Assumptions!$G$193+12)=V$4,0,IF(U255=1,PMT(Assumptions!$G$191,Assumptions!$G$193,$C257),U268))),0)</f>
        <v>0</v>
      </c>
      <c r="W268" s="39">
        <f>+IFERROR(-ABS(IF(EDATE(_xlfn.XLOOKUP(1,$H255:$BE255,$H$4:$BE$4),12*Assumptions!$G$193+12)=W$4,0,IF(V255=1,PMT(Assumptions!$G$191,Assumptions!$G$193,$C257),V268))),0)</f>
        <v>0</v>
      </c>
      <c r="X268" s="39">
        <f>+IFERROR(-ABS(IF(EDATE(_xlfn.XLOOKUP(1,$H255:$BE255,$H$4:$BE$4),12*Assumptions!$G$193+12)=X$4,0,IF(W255=1,PMT(Assumptions!$G$191,Assumptions!$G$193,$C257),W268))),0)</f>
        <v>0</v>
      </c>
      <c r="Y268" s="39">
        <f>+IFERROR(-ABS(IF(EDATE(_xlfn.XLOOKUP(1,$H255:$BE255,$H$4:$BE$4),12*Assumptions!$G$193+12)=Y$4,0,IF(X255=1,PMT(Assumptions!$G$191,Assumptions!$G$193,$C257),X268))),0)</f>
        <v>0</v>
      </c>
      <c r="Z268" s="39">
        <f>+IFERROR(-ABS(IF(EDATE(_xlfn.XLOOKUP(1,$H255:$BE255,$H$4:$BE$4),12*Assumptions!$G$193+12)=Z$4,0,IF(Y255=1,PMT(Assumptions!$G$191,Assumptions!$G$193,$C257),Y268))),0)</f>
        <v>0</v>
      </c>
      <c r="AA268" s="39">
        <f>+IFERROR(-ABS(IF(EDATE(_xlfn.XLOOKUP(1,$H255:$BE255,$H$4:$BE$4),12*Assumptions!$G$193+12)=AA$4,0,IF(Z255=1,PMT(Assumptions!$G$191,Assumptions!$G$193,$C257),Z268))),0)</f>
        <v>0</v>
      </c>
      <c r="AB268" s="39">
        <f>+IFERROR(-ABS(IF(EDATE(_xlfn.XLOOKUP(1,$H255:$BE255,$H$4:$BE$4),12*Assumptions!$G$193+12)=AB$4,0,IF(AA255=1,PMT(Assumptions!$G$191,Assumptions!$G$193,$C257),AA268))),0)</f>
        <v>0</v>
      </c>
      <c r="AC268" s="39">
        <f>+IFERROR(-ABS(IF(EDATE(_xlfn.XLOOKUP(1,$H255:$BE255,$H$4:$BE$4),12*Assumptions!$G$193+12)=AC$4,0,IF(AB255=1,PMT(Assumptions!$G$191,Assumptions!$G$193,$C257),AB268))),0)</f>
        <v>0</v>
      </c>
      <c r="AD268" s="39">
        <f>+IFERROR(-ABS(IF(EDATE(_xlfn.XLOOKUP(1,$H255:$BE255,$H$4:$BE$4),12*Assumptions!$G$193+12)=AD$4,0,IF(AC255=1,PMT(Assumptions!$G$191,Assumptions!$G$193,$C257),AC268))),0)</f>
        <v>0</v>
      </c>
      <c r="AE268" s="39">
        <f>+IFERROR(-ABS(IF(EDATE(_xlfn.XLOOKUP(1,$H255:$BE255,$H$4:$BE$4),12*Assumptions!$G$193+12)=AE$4,0,IF(AD255=1,PMT(Assumptions!$G$191,Assumptions!$G$193,$C257),AD268))),0)</f>
        <v>0</v>
      </c>
      <c r="AF268" s="39">
        <f>+IFERROR(-ABS(IF(EDATE(_xlfn.XLOOKUP(1,$H255:$BE255,$H$4:$BE$4),12*Assumptions!$G$193+12)=AF$4,0,IF(AE255=1,PMT(Assumptions!$G$191,Assumptions!$G$193,$C257),AE268))),0)</f>
        <v>0</v>
      </c>
      <c r="AG268" s="39">
        <f>+IFERROR(-ABS(IF(EDATE(_xlfn.XLOOKUP(1,$H255:$BE255,$H$4:$BE$4),12*Assumptions!$G$193+12)=AG$4,0,IF(AF255=1,PMT(Assumptions!$G$191,Assumptions!$G$193,$C257),AF268))),0)</f>
        <v>0</v>
      </c>
      <c r="AH268" s="39">
        <f>+IFERROR(-ABS(IF(EDATE(_xlfn.XLOOKUP(1,$H255:$BE255,$H$4:$BE$4),12*Assumptions!$G$193+12)=AH$4,0,IF(AG255=1,PMT(Assumptions!$G$191,Assumptions!$G$193,$C257),AG268))),0)</f>
        <v>0</v>
      </c>
      <c r="AI268" s="39">
        <f>+IFERROR(-ABS(IF(EDATE(_xlfn.XLOOKUP(1,$H255:$BE255,$H$4:$BE$4),12*Assumptions!$G$193+12)=AI$4,0,IF(AH255=1,PMT(Assumptions!$G$191,Assumptions!$G$193,$C257),AH268))),0)</f>
        <v>0</v>
      </c>
      <c r="AJ268" s="39">
        <f>+IFERROR(-ABS(IF(EDATE(_xlfn.XLOOKUP(1,$H255:$BE255,$H$4:$BE$4),12*Assumptions!$G$193+12)=AJ$4,0,IF(AI255=1,PMT(Assumptions!$G$191,Assumptions!$G$193,$C257),AI268))),0)</f>
        <v>0</v>
      </c>
      <c r="AK268" s="39">
        <f>+IFERROR(-ABS(IF(EDATE(_xlfn.XLOOKUP(1,$H255:$BE255,$H$4:$BE$4),12*Assumptions!$G$193+12)=AK$4,0,IF(AJ255=1,PMT(Assumptions!$G$191,Assumptions!$G$193,$C257),AJ268))),0)</f>
        <v>0</v>
      </c>
      <c r="AL268" s="39">
        <f>+IFERROR(-ABS(IF(EDATE(_xlfn.XLOOKUP(1,$H255:$BE255,$H$4:$BE$4),12*Assumptions!$G$193+12)=AL$4,0,IF(AK255=1,PMT(Assumptions!$G$191,Assumptions!$G$193,$C257),AK268))),0)</f>
        <v>0</v>
      </c>
      <c r="AM268" s="39">
        <f>+IFERROR(-ABS(IF(EDATE(_xlfn.XLOOKUP(1,$H255:$BE255,$H$4:$BE$4),12*Assumptions!$G$193+12)=AM$4,0,IF(AL255=1,PMT(Assumptions!$G$191,Assumptions!$G$193,$C257),AL268))),0)</f>
        <v>0</v>
      </c>
      <c r="AN268" s="39">
        <f>+IFERROR(-ABS(IF(EDATE(_xlfn.XLOOKUP(1,$H255:$BE255,$H$4:$BE$4),12*Assumptions!$G$193+12)=AN$4,0,IF(AM255=1,PMT(Assumptions!$G$191,Assumptions!$G$193,$C257),AM268))),0)</f>
        <v>0</v>
      </c>
      <c r="AO268" s="39">
        <f>+IFERROR(-ABS(IF(EDATE(_xlfn.XLOOKUP(1,$H255:$BE255,$H$4:$BE$4),12*Assumptions!$G$193+12)=AO$4,0,IF(AN255=1,PMT(Assumptions!$G$191,Assumptions!$G$193,$C257),AN268))),0)</f>
        <v>0</v>
      </c>
      <c r="AP268" s="39">
        <f>+IFERROR(-ABS(IF(EDATE(_xlfn.XLOOKUP(1,$H255:$BE255,$H$4:$BE$4),12*Assumptions!$G$193+12)=AP$4,0,IF(AO255=1,PMT(Assumptions!$G$191,Assumptions!$G$193,$C257),AO268))),0)</f>
        <v>0</v>
      </c>
      <c r="AQ268" s="39">
        <f>+IFERROR(-ABS(IF(EDATE(_xlfn.XLOOKUP(1,$H255:$BE255,$H$4:$BE$4),12*Assumptions!$G$193+12)=AQ$4,0,IF(AP255=1,PMT(Assumptions!$G$191,Assumptions!$G$193,$C257),AP268))),0)</f>
        <v>0</v>
      </c>
      <c r="AR268" s="39">
        <f>+IFERROR(-ABS(IF(EDATE(_xlfn.XLOOKUP(1,$H255:$BE255,$H$4:$BE$4),12*Assumptions!$G$193+12)=AR$4,0,IF(AQ255=1,PMT(Assumptions!$G$191,Assumptions!$G$193,$C257),AQ268))),0)</f>
        <v>0</v>
      </c>
      <c r="AS268" s="39">
        <f>+IFERROR(-ABS(IF(EDATE(_xlfn.XLOOKUP(1,$H255:$BE255,$H$4:$BE$4),12*Assumptions!$G$193+12)=AS$4,0,IF(AR255=1,PMT(Assumptions!$G$191,Assumptions!$G$193,$C257),AR268))),0)</f>
        <v>0</v>
      </c>
      <c r="AT268" s="39">
        <f>+IFERROR(-ABS(IF(EDATE(_xlfn.XLOOKUP(1,$H255:$BE255,$H$4:$BE$4),12*Assumptions!$G$193+12)=AT$4,0,IF(AS255=1,PMT(Assumptions!$G$191,Assumptions!$G$193,$C257),AS268))),0)</f>
        <v>0</v>
      </c>
      <c r="AU268" s="39">
        <f>+IFERROR(-ABS(IF(EDATE(_xlfn.XLOOKUP(1,$H255:$BE255,$H$4:$BE$4),12*Assumptions!$G$193+12)=AU$4,0,IF(AT255=1,PMT(Assumptions!$G$191,Assumptions!$G$193,$C257),AT268))),0)</f>
        <v>0</v>
      </c>
      <c r="AV268" s="39">
        <f>+IFERROR(-ABS(IF(EDATE(_xlfn.XLOOKUP(1,$H255:$BE255,$H$4:$BE$4),12*Assumptions!$G$193+12)=AV$4,0,IF(AU255=1,PMT(Assumptions!$G$191,Assumptions!$G$193,$C257),AU268))),0)</f>
        <v>0</v>
      </c>
      <c r="AW268" s="39">
        <f>+IFERROR(-ABS(IF(EDATE(_xlfn.XLOOKUP(1,$H255:$BE255,$H$4:$BE$4),12*Assumptions!$G$193+12)=AW$4,0,IF(AV255=1,PMT(Assumptions!$G$191,Assumptions!$G$193,$C257),AV268))),0)</f>
        <v>0</v>
      </c>
      <c r="AX268" s="39">
        <f>+IFERROR(-ABS(IF(EDATE(_xlfn.XLOOKUP(1,$H255:$BE255,$H$4:$BE$4),12*Assumptions!$G$193+12)=AX$4,0,IF(AW255=1,PMT(Assumptions!$G$191,Assumptions!$G$193,$C257),AW268))),0)</f>
        <v>0</v>
      </c>
      <c r="AY268" s="39">
        <f>+IFERROR(-ABS(IF(EDATE(_xlfn.XLOOKUP(1,$H255:$BE255,$H$4:$BE$4),12*Assumptions!$G$193+12)=AY$4,0,IF(AX255=1,PMT(Assumptions!$G$191,Assumptions!$G$193,$C257),AX268))),0)</f>
        <v>0</v>
      </c>
      <c r="AZ268" s="39">
        <f>+IFERROR(-ABS(IF(EDATE(_xlfn.XLOOKUP(1,$H255:$BE255,$H$4:$BE$4),12*Assumptions!$G$193+12)=AZ$4,0,IF(AY255=1,PMT(Assumptions!$G$191,Assumptions!$G$193,$C257),AY268))),0)</f>
        <v>0</v>
      </c>
      <c r="BA268" s="39">
        <f>+IFERROR(-ABS(IF(EDATE(_xlfn.XLOOKUP(1,$H255:$BE255,$H$4:$BE$4),12*Assumptions!$G$193+12)=BA$4,0,IF(AZ255=1,PMT(Assumptions!$G$191,Assumptions!$G$193,$C257),AZ268))),0)</f>
        <v>0</v>
      </c>
      <c r="BB268" s="39">
        <f>+IFERROR(-ABS(IF(EDATE(_xlfn.XLOOKUP(1,$H255:$BE255,$H$4:$BE$4),12*Assumptions!$G$193+12)=BB$4,0,IF(BA255=1,PMT(Assumptions!$G$191,Assumptions!$G$193,$C257),BA268))),0)</f>
        <v>0</v>
      </c>
      <c r="BC268" s="39">
        <f>+IFERROR(-ABS(IF(EDATE(_xlfn.XLOOKUP(1,$H255:$BE255,$H$4:$BE$4),12*Assumptions!$G$193+12)=BC$4,0,IF(BB255=1,PMT(Assumptions!$G$191,Assumptions!$G$193,$C257),BB268))),0)</f>
        <v>0</v>
      </c>
      <c r="BD268" s="39">
        <f>+IFERROR(-ABS(IF(EDATE(_xlfn.XLOOKUP(1,$H255:$BE255,$H$4:$BE$4),12*Assumptions!$G$193+12)=BD$4,0,IF(BC255=1,PMT(Assumptions!$G$191,Assumptions!$G$193,$C257),BC268))),0)</f>
        <v>0</v>
      </c>
      <c r="BE268" s="39">
        <f>+IFERROR(-ABS(IF(EDATE(_xlfn.XLOOKUP(1,$H255:$BE255,$H$4:$BE$4),12*Assumptions!$G$193+12)=BE$4,0,IF(BD255=1,PMT(Assumptions!$G$191,Assumptions!$G$193,$C257),BD268))),0)</f>
        <v>0</v>
      </c>
      <c r="BF268" s="39">
        <f>+IFERROR(-ABS(IF(EDATE(_xlfn.XLOOKUP(1,$H255:$BE255,$H$4:$BE$4),12*Assumptions!$G$193+12)=BF$4,0,IF(BE255=1,PMT(Assumptions!$G$191,Assumptions!$G$193,$C257),BE268))),0)</f>
        <v>0</v>
      </c>
      <c r="BG268" s="39">
        <f>+IFERROR(-ABS(IF(EDATE(_xlfn.XLOOKUP(1,$H255:$BE255,$H$4:$BE$4),12*Assumptions!$G$193+12)=BG$4,0,IF(BF255=1,PMT(Assumptions!$G$191,Assumptions!$G$193,$C257),BF268))),0)</f>
        <v>0</v>
      </c>
      <c r="BH268" s="39">
        <f>+IFERROR(-ABS(IF(EDATE(_xlfn.XLOOKUP(1,$H255:$BE255,$H$4:$BE$4),12*Assumptions!$G$193+12)=BH$4,0,IF(BG255=1,PMT(Assumptions!$G$191,Assumptions!$G$193,$C257),BG268))),0)</f>
        <v>0</v>
      </c>
      <c r="BI268" s="39">
        <f>+IFERROR(-ABS(IF(EDATE(_xlfn.XLOOKUP(1,$H255:$BE255,$H$4:$BE$4),12*Assumptions!$G$193+12)=BI$4,0,IF(BH255=1,PMT(Assumptions!$G$191,Assumptions!$G$193,$C257),BH268))),0)</f>
        <v>0</v>
      </c>
      <c r="BJ268" s="39">
        <f>+IFERROR(-ABS(IF(EDATE(_xlfn.XLOOKUP(1,$H255:$BE255,$H$4:$BE$4),12*Assumptions!$G$193+12)=BJ$4,0,IF(BI255=1,PMT(Assumptions!$G$191,Assumptions!$G$193,$C257),BI268))),0)</f>
        <v>0</v>
      </c>
      <c r="BK268" s="39">
        <f>+IFERROR(-ABS(IF(EDATE(_xlfn.XLOOKUP(1,$H255:$BE255,$H$4:$BE$4),12*Assumptions!$G$193+12)=BK$4,0,IF(BJ255=1,PMT(Assumptions!$G$191,Assumptions!$G$193,$C257),BJ268))),0)</f>
        <v>0</v>
      </c>
      <c r="BL268" s="39">
        <f>+IFERROR(-ABS(IF(EDATE(_xlfn.XLOOKUP(1,$H255:$BE255,$H$4:$BE$4),12*Assumptions!$G$193+12)=BL$4,0,IF(BK255=1,PMT(Assumptions!$G$191,Assumptions!$G$193,$C257),BK268))),0)</f>
        <v>0</v>
      </c>
      <c r="BM268" s="39">
        <f>+IFERROR(-ABS(IF(EDATE(_xlfn.XLOOKUP(1,$H255:$BE255,$H$4:$BE$4),12*Assumptions!$G$193+12)=BM$4,0,IF(BL255=1,PMT(Assumptions!$G$191,Assumptions!$G$193,$C257),BL268))),0)</f>
        <v>0</v>
      </c>
      <c r="BN268" s="39">
        <f>+IFERROR(-ABS(IF(EDATE(_xlfn.XLOOKUP(1,$H255:$BE255,$H$4:$BE$4),12*Assumptions!$G$193+12)=BN$4,0,IF(BM255=1,PMT(Assumptions!$G$191,Assumptions!$G$193,$C257),BM268))),0)</f>
        <v>0</v>
      </c>
      <c r="BO268" s="39">
        <f>+IFERROR(-ABS(IF(EDATE(_xlfn.XLOOKUP(1,$H255:$BE255,$H$4:$BE$4),12*Assumptions!$G$193+12)=BO$4,0,IF(BN255=1,PMT(Assumptions!$G$191,Assumptions!$G$193,$C257),BN268))),0)</f>
        <v>0</v>
      </c>
      <c r="BP268" s="39">
        <f>+IFERROR(-ABS(IF(EDATE(_xlfn.XLOOKUP(1,$H255:$BE255,$H$4:$BE$4),12*Assumptions!$G$193+12)=BP$4,0,IF(BO255=1,PMT(Assumptions!$G$191,Assumptions!$G$193,$C257),BO268))),0)</f>
        <v>0</v>
      </c>
      <c r="BQ268" s="39">
        <f>+IFERROR(-ABS(IF(EDATE(_xlfn.XLOOKUP(1,$H255:$BE255,$H$4:$BE$4),12*Assumptions!$G$193+12)=BQ$4,0,IF(BP255=1,PMT(Assumptions!$G$191,Assumptions!$G$193,$C257),BP268))),0)</f>
        <v>0</v>
      </c>
      <c r="BR268" s="39">
        <f>+IFERROR(-ABS(IF(EDATE(_xlfn.XLOOKUP(1,$H255:$BE255,$H$4:$BE$4),12*Assumptions!$G$193+12)=BR$4,0,IF(BQ255=1,PMT(Assumptions!$G$191,Assumptions!$G$193,$C257),BQ268))),0)</f>
        <v>0</v>
      </c>
      <c r="BS268" s="39">
        <f>+IFERROR(-ABS(IF(EDATE(_xlfn.XLOOKUP(1,$H255:$BE255,$H$4:$BE$4),12*Assumptions!$G$193+12)=BS$4,0,IF(BR255=1,PMT(Assumptions!$G$191,Assumptions!$G$193,$C257),BR268))),0)</f>
        <v>0</v>
      </c>
      <c r="BT268" s="39">
        <f>+IFERROR(-ABS(IF(EDATE(_xlfn.XLOOKUP(1,$H255:$BE255,$H$4:$BE$4),12*Assumptions!$G$193+12)=BT$4,0,IF(BS255=1,PMT(Assumptions!$G$191,Assumptions!$G$193,$C257),BS268))),0)</f>
        <v>0</v>
      </c>
      <c r="BU268" s="39">
        <f>+IFERROR(-ABS(IF(EDATE(_xlfn.XLOOKUP(1,$H255:$BE255,$H$4:$BE$4),12*Assumptions!$G$193+12)=BU$4,0,IF(BT255=1,PMT(Assumptions!$G$191,Assumptions!$G$193,$C257),BT268))),0)</f>
        <v>0</v>
      </c>
      <c r="BV268" s="39">
        <f>+IFERROR(-ABS(IF(EDATE(_xlfn.XLOOKUP(1,$H255:$BE255,$H$4:$BE$4),12*Assumptions!$G$193+12)=BV$4,0,IF(BU255=1,PMT(Assumptions!$G$191,Assumptions!$G$193,$C257),BU268))),0)</f>
        <v>0</v>
      </c>
      <c r="BW268" s="39">
        <f>+IFERROR(-ABS(IF(EDATE(_xlfn.XLOOKUP(1,$H255:$BE255,$H$4:$BE$4),12*Assumptions!$G$193+12)=BW$4,0,IF(BV255=1,PMT(Assumptions!$G$191,Assumptions!$G$193,$C257),BV268))),0)</f>
        <v>0</v>
      </c>
      <c r="BX268" s="39">
        <f>+IFERROR(-ABS(IF(EDATE(_xlfn.XLOOKUP(1,$H255:$BE255,$H$4:$BE$4),12*Assumptions!$G$193+12)=BX$4,0,IF(BW255=1,PMT(Assumptions!$G$191,Assumptions!$G$193,$C257),BW268))),0)</f>
        <v>0</v>
      </c>
      <c r="BY268" s="39">
        <f>+IFERROR(-ABS(IF(EDATE(_xlfn.XLOOKUP(1,$H255:$BE255,$H$4:$BE$4),12*Assumptions!$G$193+12)=BY$4,0,IF(BX255=1,PMT(Assumptions!$G$191,Assumptions!$G$193,$C257),BX268))),0)</f>
        <v>0</v>
      </c>
    </row>
    <row r="269" spans="5:77" outlineLevel="1">
      <c r="E269" s="24" t="s">
        <v>523</v>
      </c>
      <c r="F269" s="80" t="str">
        <f>+Assumptions!$G$8</f>
        <v>USD</v>
      </c>
      <c r="G269" s="24"/>
      <c r="H269" s="39">
        <f>+IFERROR(-ABS(IF(EDATE(_xlfn.XLOOKUP(1,$H256:$BE256,$H$4:$BE$4),12*Assumptions!$G$193+12)=H$4,0,IF(G256=1,PMT(Assumptions!$G$191,Assumptions!$G$193,$C258),G269))),0)</f>
        <v>0</v>
      </c>
      <c r="I269" s="39">
        <f>+IFERROR(-ABS(IF(EDATE(_xlfn.XLOOKUP(1,$H256:$BE256,$H$4:$BE$4),12*Assumptions!$G$193+12)=I$4,0,IF(H256=1,PMT(Assumptions!$G$191,Assumptions!$G$193,$C258),H269))),0)</f>
        <v>0</v>
      </c>
      <c r="J269" s="39">
        <f>+IFERROR(-ABS(IF(EDATE(_xlfn.XLOOKUP(1,$H256:$BE256,$H$4:$BE$4),12*Assumptions!$G$193+12)=J$4,0,IF(I256=1,PMT(Assumptions!$G$191,Assumptions!$G$193,$C258),I269))),0)</f>
        <v>0</v>
      </c>
      <c r="K269" s="39">
        <f>+IFERROR(-ABS(IF(EDATE(_xlfn.XLOOKUP(1,$H256:$BE256,$H$4:$BE$4),12*Assumptions!$G$193+12)=K$4,0,IF(J256=1,PMT(Assumptions!$G$191,Assumptions!$G$193,$C258),J269))),0)</f>
        <v>0</v>
      </c>
      <c r="L269" s="39">
        <f>+IFERROR(-ABS(IF(EDATE(_xlfn.XLOOKUP(1,$H256:$BE256,$H$4:$BE$4),12*Assumptions!$G$193+12)=L$4,0,IF(K256=1,PMT(Assumptions!$G$191,Assumptions!$G$193,$C258),K269))),0)</f>
        <v>0</v>
      </c>
      <c r="M269" s="39">
        <f>+IFERROR(-ABS(IF(EDATE(_xlfn.XLOOKUP(1,$H256:$BE256,$H$4:$BE$4),12*Assumptions!$G$193+12)=M$4,0,IF(L256=1,PMT(Assumptions!$G$191,Assumptions!$G$193,$C258),L269))),0)</f>
        <v>0</v>
      </c>
      <c r="N269" s="39">
        <f>+IFERROR(-ABS(IF(EDATE(_xlfn.XLOOKUP(1,$H256:$BE256,$H$4:$BE$4),12*Assumptions!$G$193+12)=N$4,0,IF(M256=1,PMT(Assumptions!$G$191,Assumptions!$G$193,$C258),M269))),0)</f>
        <v>0</v>
      </c>
      <c r="O269" s="39">
        <f>+IFERROR(-ABS(IF(EDATE(_xlfn.XLOOKUP(1,$H256:$BE256,$H$4:$BE$4),12*Assumptions!$G$193+12)=O$4,0,IF(N256=1,PMT(Assumptions!$G$191,Assumptions!$G$193,$C258),N269))),0)</f>
        <v>0</v>
      </c>
      <c r="P269" s="39">
        <f>+IFERROR(-ABS(IF(EDATE(_xlfn.XLOOKUP(1,$H256:$BE256,$H$4:$BE$4),12*Assumptions!$G$193+12)=P$4,0,IF(O256=1,PMT(Assumptions!$G$191,Assumptions!$G$193,$C258),O269))),0)</f>
        <v>0</v>
      </c>
      <c r="Q269" s="39">
        <f>+IFERROR(-ABS(IF(EDATE(_xlfn.XLOOKUP(1,$H256:$BE256,$H$4:$BE$4),12*Assumptions!$G$193+12)=Q$4,0,IF(P256=1,PMT(Assumptions!$G$191,Assumptions!$G$193,$C258),P269))),0)</f>
        <v>0</v>
      </c>
      <c r="R269" s="39">
        <f>+IFERROR(-ABS(IF(EDATE(_xlfn.XLOOKUP(1,$H256:$BE256,$H$4:$BE$4),12*Assumptions!$G$193+12)=R$4,0,IF(Q256=1,PMT(Assumptions!$G$191,Assumptions!$G$193,$C258),Q269))),0)</f>
        <v>0</v>
      </c>
      <c r="S269" s="39">
        <f>+IFERROR(-ABS(IF(EDATE(_xlfn.XLOOKUP(1,$H256:$BE256,$H$4:$BE$4),12*Assumptions!$G$193+12)=S$4,0,IF(R256=1,PMT(Assumptions!$G$191,Assumptions!$G$193,$C258),R269))),0)</f>
        <v>0</v>
      </c>
      <c r="T269" s="39">
        <f>+IFERROR(-ABS(IF(EDATE(_xlfn.XLOOKUP(1,$H256:$BE256,$H$4:$BE$4),12*Assumptions!$G$193+12)=T$4,0,IF(S256=1,PMT(Assumptions!$G$191,Assumptions!$G$193,$C258),S269))),0)</f>
        <v>0</v>
      </c>
      <c r="U269" s="39">
        <f>+IFERROR(-ABS(IF(EDATE(_xlfn.XLOOKUP(1,$H256:$BE256,$H$4:$BE$4),12*Assumptions!$G$193+12)=U$4,0,IF(T256=1,PMT(Assumptions!$G$191,Assumptions!$G$193,$C258),T269))),0)</f>
        <v>0</v>
      </c>
      <c r="V269" s="39">
        <f>+IFERROR(-ABS(IF(EDATE(_xlfn.XLOOKUP(1,$H256:$BE256,$H$4:$BE$4),12*Assumptions!$G$193+12)=V$4,0,IF(U256=1,PMT(Assumptions!$G$191,Assumptions!$G$193,$C258),U269))),0)</f>
        <v>0</v>
      </c>
      <c r="W269" s="39">
        <f>+IFERROR(-ABS(IF(EDATE(_xlfn.XLOOKUP(1,$H256:$BE256,$H$4:$BE$4),12*Assumptions!$G$193+12)=W$4,0,IF(V256=1,PMT(Assumptions!$G$191,Assumptions!$G$193,$C258),V269))),0)</f>
        <v>0</v>
      </c>
      <c r="X269" s="39">
        <f>+IFERROR(-ABS(IF(EDATE(_xlfn.XLOOKUP(1,$H256:$BE256,$H$4:$BE$4),12*Assumptions!$G$193+12)=X$4,0,IF(W256=1,PMT(Assumptions!$G$191,Assumptions!$G$193,$C258),W269))),0)</f>
        <v>0</v>
      </c>
      <c r="Y269" s="39">
        <f>+IFERROR(-ABS(IF(EDATE(_xlfn.XLOOKUP(1,$H256:$BE256,$H$4:$BE$4),12*Assumptions!$G$193+12)=Y$4,0,IF(X256=1,PMT(Assumptions!$G$191,Assumptions!$G$193,$C258),X269))),0)</f>
        <v>0</v>
      </c>
      <c r="Z269" s="39">
        <f>+IFERROR(-ABS(IF(EDATE(_xlfn.XLOOKUP(1,$H256:$BE256,$H$4:$BE$4),12*Assumptions!$G$193+12)=Z$4,0,IF(Y256=1,PMT(Assumptions!$G$191,Assumptions!$G$193,$C258),Y269))),0)</f>
        <v>0</v>
      </c>
      <c r="AA269" s="39">
        <f>+IFERROR(-ABS(IF(EDATE(_xlfn.XLOOKUP(1,$H256:$BE256,$H$4:$BE$4),12*Assumptions!$G$193+12)=AA$4,0,IF(Z256=1,PMT(Assumptions!$G$191,Assumptions!$G$193,$C258),Z269))),0)</f>
        <v>0</v>
      </c>
      <c r="AB269" s="39">
        <f>+IFERROR(-ABS(IF(EDATE(_xlfn.XLOOKUP(1,$H256:$BE256,$H$4:$BE$4),12*Assumptions!$G$193+12)=AB$4,0,IF(AA256=1,PMT(Assumptions!$G$191,Assumptions!$G$193,$C258),AA269))),0)</f>
        <v>0</v>
      </c>
      <c r="AC269" s="39">
        <f>+IFERROR(-ABS(IF(EDATE(_xlfn.XLOOKUP(1,$H256:$BE256,$H$4:$BE$4),12*Assumptions!$G$193+12)=AC$4,0,IF(AB256=1,PMT(Assumptions!$G$191,Assumptions!$G$193,$C258),AB269))),0)</f>
        <v>0</v>
      </c>
      <c r="AD269" s="39">
        <f>+IFERROR(-ABS(IF(EDATE(_xlfn.XLOOKUP(1,$H256:$BE256,$H$4:$BE$4),12*Assumptions!$G$193+12)=AD$4,0,IF(AC256=1,PMT(Assumptions!$G$191,Assumptions!$G$193,$C258),AC269))),0)</f>
        <v>0</v>
      </c>
      <c r="AE269" s="39">
        <f>+IFERROR(-ABS(IF(EDATE(_xlfn.XLOOKUP(1,$H256:$BE256,$H$4:$BE$4),12*Assumptions!$G$193+12)=AE$4,0,IF(AD256=1,PMT(Assumptions!$G$191,Assumptions!$G$193,$C258),AD269))),0)</f>
        <v>0</v>
      </c>
      <c r="AF269" s="39">
        <f>+IFERROR(-ABS(IF(EDATE(_xlfn.XLOOKUP(1,$H256:$BE256,$H$4:$BE$4),12*Assumptions!$G$193+12)=AF$4,0,IF(AE256=1,PMT(Assumptions!$G$191,Assumptions!$G$193,$C258),AE269))),0)</f>
        <v>0</v>
      </c>
      <c r="AG269" s="39">
        <f>+IFERROR(-ABS(IF(EDATE(_xlfn.XLOOKUP(1,$H256:$BE256,$H$4:$BE$4),12*Assumptions!$G$193+12)=AG$4,0,IF(AF256=1,PMT(Assumptions!$G$191,Assumptions!$G$193,$C258),AF269))),0)</f>
        <v>0</v>
      </c>
      <c r="AH269" s="39">
        <f>+IFERROR(-ABS(IF(EDATE(_xlfn.XLOOKUP(1,$H256:$BE256,$H$4:$BE$4),12*Assumptions!$G$193+12)=AH$4,0,IF(AG256=1,PMT(Assumptions!$G$191,Assumptions!$G$193,$C258),AG269))),0)</f>
        <v>0</v>
      </c>
      <c r="AI269" s="39">
        <f>+IFERROR(-ABS(IF(EDATE(_xlfn.XLOOKUP(1,$H256:$BE256,$H$4:$BE$4),12*Assumptions!$G$193+12)=AI$4,0,IF(AH256=1,PMT(Assumptions!$G$191,Assumptions!$G$193,$C258),AH269))),0)</f>
        <v>0</v>
      </c>
      <c r="AJ269" s="39">
        <f>+IFERROR(-ABS(IF(EDATE(_xlfn.XLOOKUP(1,$H256:$BE256,$H$4:$BE$4),12*Assumptions!$G$193+12)=AJ$4,0,IF(AI256=1,PMT(Assumptions!$G$191,Assumptions!$G$193,$C258),AI269))),0)</f>
        <v>0</v>
      </c>
      <c r="AK269" s="39">
        <f>+IFERROR(-ABS(IF(EDATE(_xlfn.XLOOKUP(1,$H256:$BE256,$H$4:$BE$4),12*Assumptions!$G$193+12)=AK$4,0,IF(AJ256=1,PMT(Assumptions!$G$191,Assumptions!$G$193,$C258),AJ269))),0)</f>
        <v>0</v>
      </c>
      <c r="AL269" s="39">
        <f>+IFERROR(-ABS(IF(EDATE(_xlfn.XLOOKUP(1,$H256:$BE256,$H$4:$BE$4),12*Assumptions!$G$193+12)=AL$4,0,IF(AK256=1,PMT(Assumptions!$G$191,Assumptions!$G$193,$C258),AK269))),0)</f>
        <v>0</v>
      </c>
      <c r="AM269" s="39">
        <f>+IFERROR(-ABS(IF(EDATE(_xlfn.XLOOKUP(1,$H256:$BE256,$H$4:$BE$4),12*Assumptions!$G$193+12)=AM$4,0,IF(AL256=1,PMT(Assumptions!$G$191,Assumptions!$G$193,$C258),AL269))),0)</f>
        <v>0</v>
      </c>
      <c r="AN269" s="39">
        <f>+IFERROR(-ABS(IF(EDATE(_xlfn.XLOOKUP(1,$H256:$BE256,$H$4:$BE$4),12*Assumptions!$G$193+12)=AN$4,0,IF(AM256=1,PMT(Assumptions!$G$191,Assumptions!$G$193,$C258),AM269))),0)</f>
        <v>0</v>
      </c>
      <c r="AO269" s="39">
        <f>+IFERROR(-ABS(IF(EDATE(_xlfn.XLOOKUP(1,$H256:$BE256,$H$4:$BE$4),12*Assumptions!$G$193+12)=AO$4,0,IF(AN256=1,PMT(Assumptions!$G$191,Assumptions!$G$193,$C258),AN269))),0)</f>
        <v>0</v>
      </c>
      <c r="AP269" s="39">
        <f>+IFERROR(-ABS(IF(EDATE(_xlfn.XLOOKUP(1,$H256:$BE256,$H$4:$BE$4),12*Assumptions!$G$193+12)=AP$4,0,IF(AO256=1,PMT(Assumptions!$G$191,Assumptions!$G$193,$C258),AO269))),0)</f>
        <v>0</v>
      </c>
      <c r="AQ269" s="39">
        <f>+IFERROR(-ABS(IF(EDATE(_xlfn.XLOOKUP(1,$H256:$BE256,$H$4:$BE$4),12*Assumptions!$G$193+12)=AQ$4,0,IF(AP256=1,PMT(Assumptions!$G$191,Assumptions!$G$193,$C258),AP269))),0)</f>
        <v>0</v>
      </c>
      <c r="AR269" s="39">
        <f>+IFERROR(-ABS(IF(EDATE(_xlfn.XLOOKUP(1,$H256:$BE256,$H$4:$BE$4),12*Assumptions!$G$193+12)=AR$4,0,IF(AQ256=1,PMT(Assumptions!$G$191,Assumptions!$G$193,$C258),AQ269))),0)</f>
        <v>0</v>
      </c>
      <c r="AS269" s="39">
        <f>+IFERROR(-ABS(IF(EDATE(_xlfn.XLOOKUP(1,$H256:$BE256,$H$4:$BE$4),12*Assumptions!$G$193+12)=AS$4,0,IF(AR256=1,PMT(Assumptions!$G$191,Assumptions!$G$193,$C258),AR269))),0)</f>
        <v>0</v>
      </c>
      <c r="AT269" s="39">
        <f>+IFERROR(-ABS(IF(EDATE(_xlfn.XLOOKUP(1,$H256:$BE256,$H$4:$BE$4),12*Assumptions!$G$193+12)=AT$4,0,IF(AS256=1,PMT(Assumptions!$G$191,Assumptions!$G$193,$C258),AS269))),0)</f>
        <v>0</v>
      </c>
      <c r="AU269" s="39">
        <f>+IFERROR(-ABS(IF(EDATE(_xlfn.XLOOKUP(1,$H256:$BE256,$H$4:$BE$4),12*Assumptions!$G$193+12)=AU$4,0,IF(AT256=1,PMT(Assumptions!$G$191,Assumptions!$G$193,$C258),AT269))),0)</f>
        <v>0</v>
      </c>
      <c r="AV269" s="39">
        <f>+IFERROR(-ABS(IF(EDATE(_xlfn.XLOOKUP(1,$H256:$BE256,$H$4:$BE$4),12*Assumptions!$G$193+12)=AV$4,0,IF(AU256=1,PMT(Assumptions!$G$191,Assumptions!$G$193,$C258),AU269))),0)</f>
        <v>0</v>
      </c>
      <c r="AW269" s="39">
        <f>+IFERROR(-ABS(IF(EDATE(_xlfn.XLOOKUP(1,$H256:$BE256,$H$4:$BE$4),12*Assumptions!$G$193+12)=AW$4,0,IF(AV256=1,PMT(Assumptions!$G$191,Assumptions!$G$193,$C258),AV269))),0)</f>
        <v>0</v>
      </c>
      <c r="AX269" s="39">
        <f>+IFERROR(-ABS(IF(EDATE(_xlfn.XLOOKUP(1,$H256:$BE256,$H$4:$BE$4),12*Assumptions!$G$193+12)=AX$4,0,IF(AW256=1,PMT(Assumptions!$G$191,Assumptions!$G$193,$C258),AW269))),0)</f>
        <v>0</v>
      </c>
      <c r="AY269" s="39">
        <f>+IFERROR(-ABS(IF(EDATE(_xlfn.XLOOKUP(1,$H256:$BE256,$H$4:$BE$4),12*Assumptions!$G$193+12)=AY$4,0,IF(AX256=1,PMT(Assumptions!$G$191,Assumptions!$G$193,$C258),AX269))),0)</f>
        <v>0</v>
      </c>
      <c r="AZ269" s="39">
        <f>+IFERROR(-ABS(IF(EDATE(_xlfn.XLOOKUP(1,$H256:$BE256,$H$4:$BE$4),12*Assumptions!$G$193+12)=AZ$4,0,IF(AY256=1,PMT(Assumptions!$G$191,Assumptions!$G$193,$C258),AY269))),0)</f>
        <v>0</v>
      </c>
      <c r="BA269" s="39">
        <f>+IFERROR(-ABS(IF(EDATE(_xlfn.XLOOKUP(1,$H256:$BE256,$H$4:$BE$4),12*Assumptions!$G$193+12)=BA$4,0,IF(AZ256=1,PMT(Assumptions!$G$191,Assumptions!$G$193,$C258),AZ269))),0)</f>
        <v>0</v>
      </c>
      <c r="BB269" s="39">
        <f>+IFERROR(-ABS(IF(EDATE(_xlfn.XLOOKUP(1,$H256:$BE256,$H$4:$BE$4),12*Assumptions!$G$193+12)=BB$4,0,IF(BA256=1,PMT(Assumptions!$G$191,Assumptions!$G$193,$C258),BA269))),0)</f>
        <v>0</v>
      </c>
      <c r="BC269" s="39">
        <f>+IFERROR(-ABS(IF(EDATE(_xlfn.XLOOKUP(1,$H256:$BE256,$H$4:$BE$4),12*Assumptions!$G$193+12)=BC$4,0,IF(BB256=1,PMT(Assumptions!$G$191,Assumptions!$G$193,$C258),BB269))),0)</f>
        <v>0</v>
      </c>
      <c r="BD269" s="39">
        <f>+IFERROR(-ABS(IF(EDATE(_xlfn.XLOOKUP(1,$H256:$BE256,$H$4:$BE$4),12*Assumptions!$G$193+12)=BD$4,0,IF(BC256=1,PMT(Assumptions!$G$191,Assumptions!$G$193,$C258),BC269))),0)</f>
        <v>0</v>
      </c>
      <c r="BE269" s="39">
        <f>+IFERROR(-ABS(IF(EDATE(_xlfn.XLOOKUP(1,$H256:$BE256,$H$4:$BE$4),12*Assumptions!$G$193+12)=BE$4,0,IF(BD256=1,PMT(Assumptions!$G$191,Assumptions!$G$193,$C258),BD269))),0)</f>
        <v>0</v>
      </c>
      <c r="BF269" s="39">
        <f>+IFERROR(-ABS(IF(EDATE(_xlfn.XLOOKUP(1,$H256:$BE256,$H$4:$BE$4),12*Assumptions!$G$193+12)=BF$4,0,IF(BE256=1,PMT(Assumptions!$G$191,Assumptions!$G$193,$C258),BE269))),0)</f>
        <v>0</v>
      </c>
      <c r="BG269" s="39">
        <f>+IFERROR(-ABS(IF(EDATE(_xlfn.XLOOKUP(1,$H256:$BE256,$H$4:$BE$4),12*Assumptions!$G$193+12)=BG$4,0,IF(BF256=1,PMT(Assumptions!$G$191,Assumptions!$G$193,$C258),BF269))),0)</f>
        <v>0</v>
      </c>
      <c r="BH269" s="39">
        <f>+IFERROR(-ABS(IF(EDATE(_xlfn.XLOOKUP(1,$H256:$BE256,$H$4:$BE$4),12*Assumptions!$G$193+12)=BH$4,0,IF(BG256=1,PMT(Assumptions!$G$191,Assumptions!$G$193,$C258),BG269))),0)</f>
        <v>0</v>
      </c>
      <c r="BI269" s="39">
        <f>+IFERROR(-ABS(IF(EDATE(_xlfn.XLOOKUP(1,$H256:$BE256,$H$4:$BE$4),12*Assumptions!$G$193+12)=BI$4,0,IF(BH256=1,PMT(Assumptions!$G$191,Assumptions!$G$193,$C258),BH269))),0)</f>
        <v>0</v>
      </c>
      <c r="BJ269" s="39">
        <f>+IFERROR(-ABS(IF(EDATE(_xlfn.XLOOKUP(1,$H256:$BE256,$H$4:$BE$4),12*Assumptions!$G$193+12)=BJ$4,0,IF(BI256=1,PMT(Assumptions!$G$191,Assumptions!$G$193,$C258),BI269))),0)</f>
        <v>0</v>
      </c>
      <c r="BK269" s="39">
        <f>+IFERROR(-ABS(IF(EDATE(_xlfn.XLOOKUP(1,$H256:$BE256,$H$4:$BE$4),12*Assumptions!$G$193+12)=BK$4,0,IF(BJ256=1,PMT(Assumptions!$G$191,Assumptions!$G$193,$C258),BJ269))),0)</f>
        <v>0</v>
      </c>
      <c r="BL269" s="39">
        <f>+IFERROR(-ABS(IF(EDATE(_xlfn.XLOOKUP(1,$H256:$BE256,$H$4:$BE$4),12*Assumptions!$G$193+12)=BL$4,0,IF(BK256=1,PMT(Assumptions!$G$191,Assumptions!$G$193,$C258),BK269))),0)</f>
        <v>0</v>
      </c>
      <c r="BM269" s="39">
        <f>+IFERROR(-ABS(IF(EDATE(_xlfn.XLOOKUP(1,$H256:$BE256,$H$4:$BE$4),12*Assumptions!$G$193+12)=BM$4,0,IF(BL256=1,PMT(Assumptions!$G$191,Assumptions!$G$193,$C258),BL269))),0)</f>
        <v>0</v>
      </c>
      <c r="BN269" s="39">
        <f>+IFERROR(-ABS(IF(EDATE(_xlfn.XLOOKUP(1,$H256:$BE256,$H$4:$BE$4),12*Assumptions!$G$193+12)=BN$4,0,IF(BM256=1,PMT(Assumptions!$G$191,Assumptions!$G$193,$C258),BM269))),0)</f>
        <v>0</v>
      </c>
      <c r="BO269" s="39">
        <f>+IFERROR(-ABS(IF(EDATE(_xlfn.XLOOKUP(1,$H256:$BE256,$H$4:$BE$4),12*Assumptions!$G$193+12)=BO$4,0,IF(BN256=1,PMT(Assumptions!$G$191,Assumptions!$G$193,$C258),BN269))),0)</f>
        <v>0</v>
      </c>
      <c r="BP269" s="39">
        <f>+IFERROR(-ABS(IF(EDATE(_xlfn.XLOOKUP(1,$H256:$BE256,$H$4:$BE$4),12*Assumptions!$G$193+12)=BP$4,0,IF(BO256=1,PMT(Assumptions!$G$191,Assumptions!$G$193,$C258),BO269))),0)</f>
        <v>0</v>
      </c>
      <c r="BQ269" s="39">
        <f>+IFERROR(-ABS(IF(EDATE(_xlfn.XLOOKUP(1,$H256:$BE256,$H$4:$BE$4),12*Assumptions!$G$193+12)=BQ$4,0,IF(BP256=1,PMT(Assumptions!$G$191,Assumptions!$G$193,$C258),BP269))),0)</f>
        <v>0</v>
      </c>
      <c r="BR269" s="39">
        <f>+IFERROR(-ABS(IF(EDATE(_xlfn.XLOOKUP(1,$H256:$BE256,$H$4:$BE$4),12*Assumptions!$G$193+12)=BR$4,0,IF(BQ256=1,PMT(Assumptions!$G$191,Assumptions!$G$193,$C258),BQ269))),0)</f>
        <v>0</v>
      </c>
      <c r="BS269" s="39">
        <f>+IFERROR(-ABS(IF(EDATE(_xlfn.XLOOKUP(1,$H256:$BE256,$H$4:$BE$4),12*Assumptions!$G$193+12)=BS$4,0,IF(BR256=1,PMT(Assumptions!$G$191,Assumptions!$G$193,$C258),BR269))),0)</f>
        <v>0</v>
      </c>
      <c r="BT269" s="39">
        <f>+IFERROR(-ABS(IF(EDATE(_xlfn.XLOOKUP(1,$H256:$BE256,$H$4:$BE$4),12*Assumptions!$G$193+12)=BT$4,0,IF(BS256=1,PMT(Assumptions!$G$191,Assumptions!$G$193,$C258),BS269))),0)</f>
        <v>0</v>
      </c>
      <c r="BU269" s="39">
        <f>+IFERROR(-ABS(IF(EDATE(_xlfn.XLOOKUP(1,$H256:$BE256,$H$4:$BE$4),12*Assumptions!$G$193+12)=BU$4,0,IF(BT256=1,PMT(Assumptions!$G$191,Assumptions!$G$193,$C258),BT269))),0)</f>
        <v>0</v>
      </c>
      <c r="BV269" s="39">
        <f>+IFERROR(-ABS(IF(EDATE(_xlfn.XLOOKUP(1,$H256:$BE256,$H$4:$BE$4),12*Assumptions!$G$193+12)=BV$4,0,IF(BU256=1,PMT(Assumptions!$G$191,Assumptions!$G$193,$C258),BU269))),0)</f>
        <v>0</v>
      </c>
      <c r="BW269" s="39">
        <f>+IFERROR(-ABS(IF(EDATE(_xlfn.XLOOKUP(1,$H256:$BE256,$H$4:$BE$4),12*Assumptions!$G$193+12)=BW$4,0,IF(BV256=1,PMT(Assumptions!$G$191,Assumptions!$G$193,$C258),BV269))),0)</f>
        <v>0</v>
      </c>
      <c r="BX269" s="39">
        <f>+IFERROR(-ABS(IF(EDATE(_xlfn.XLOOKUP(1,$H256:$BE256,$H$4:$BE$4),12*Assumptions!$G$193+12)=BX$4,0,IF(BW256=1,PMT(Assumptions!$G$191,Assumptions!$G$193,$C258),BW269))),0)</f>
        <v>0</v>
      </c>
      <c r="BY269" s="39">
        <f>+IFERROR(-ABS(IF(EDATE(_xlfn.XLOOKUP(1,$H256:$BE256,$H$4:$BE$4),12*Assumptions!$G$193+12)=BY$4,0,IF(BX256=1,PMT(Assumptions!$G$191,Assumptions!$G$193,$C258),BX269))),0)</f>
        <v>0</v>
      </c>
    </row>
    <row r="270" spans="5:77" outlineLevel="1">
      <c r="E270" s="24"/>
      <c r="F270" s="23"/>
      <c r="G270" s="24"/>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row>
    <row r="271" spans="5:77" outlineLevel="1">
      <c r="E271" t="s">
        <v>524</v>
      </c>
      <c r="F271" s="80" t="str">
        <f>+Assumptions!$G$8</f>
        <v>USD</v>
      </c>
      <c r="H271" s="32">
        <f>MIN(+H243-H259+H257,0)</f>
        <v>0</v>
      </c>
      <c r="I271" s="32">
        <f t="shared" ref="I271:BT271" si="396">MIN(+I243-I259+I257,0)</f>
        <v>-1254150.6606618594</v>
      </c>
      <c r="J271" s="32">
        <f t="shared" ca="1" si="396"/>
        <v>-4445974.6045398526</v>
      </c>
      <c r="K271" s="32">
        <f t="shared" ca="1" si="396"/>
        <v>-4245570.8132586312</v>
      </c>
      <c r="L271" s="32">
        <f t="shared" ca="1" si="396"/>
        <v>-4033665.8483957802</v>
      </c>
      <c r="M271" s="32">
        <f t="shared" ca="1" si="396"/>
        <v>-3809599.6575994501</v>
      </c>
      <c r="N271" s="32">
        <f t="shared" ca="1" si="396"/>
        <v>-3572674.3081133189</v>
      </c>
      <c r="O271" s="32">
        <f t="shared" ca="1" si="396"/>
        <v>-3322151.8128201785</v>
      </c>
      <c r="P271" s="32">
        <f t="shared" ca="1" si="396"/>
        <v>-3057251.8315221649</v>
      </c>
      <c r="Q271" s="32">
        <f t="shared" ca="1" si="396"/>
        <v>-2777149.2402974581</v>
      </c>
      <c r="R271" s="32">
        <f t="shared" ca="1" si="396"/>
        <v>-2480971.5613623653</v>
      </c>
      <c r="S271" s="32">
        <f t="shared" ca="1" si="396"/>
        <v>-2167796.2454331876</v>
      </c>
      <c r="T271" s="32">
        <f t="shared" ca="1" si="396"/>
        <v>-1836647.7981228344</v>
      </c>
      <c r="U271" s="32">
        <f t="shared" ca="1" si="396"/>
        <v>-1486494.74142134</v>
      </c>
      <c r="V271" s="32">
        <f t="shared" ca="1" si="396"/>
        <v>-1116246.4007957468</v>
      </c>
      <c r="W271" s="32">
        <f t="shared" ca="1" si="396"/>
        <v>-724749.50790165085</v>
      </c>
      <c r="X271" s="32">
        <f t="shared" ca="1" si="396"/>
        <v>-310784.60832436272</v>
      </c>
      <c r="Y271" s="32">
        <f t="shared" ca="1" si="396"/>
        <v>-2.2700987756252289E-9</v>
      </c>
      <c r="Z271" s="32">
        <f t="shared" ca="1" si="396"/>
        <v>-2.2700987756252289E-9</v>
      </c>
      <c r="AA271" s="32">
        <f t="shared" ca="1" si="396"/>
        <v>-2.2700987756252289E-9</v>
      </c>
      <c r="AB271" s="32">
        <f t="shared" ca="1" si="396"/>
        <v>-2.2700987756252289E-9</v>
      </c>
      <c r="AC271" s="32">
        <f t="shared" ca="1" si="396"/>
        <v>-2.2700987756252289E-9</v>
      </c>
      <c r="AD271" s="32">
        <f t="shared" ca="1" si="396"/>
        <v>-2.2700987756252289E-9</v>
      </c>
      <c r="AE271" s="32">
        <f t="shared" ca="1" si="396"/>
        <v>-2.2700987756252289E-9</v>
      </c>
      <c r="AF271" s="32">
        <f t="shared" ca="1" si="396"/>
        <v>-2.2700987756252289E-9</v>
      </c>
      <c r="AG271" s="32">
        <f t="shared" ca="1" si="396"/>
        <v>-2.2700987756252289E-9</v>
      </c>
      <c r="AH271" s="32">
        <f t="shared" ca="1" si="396"/>
        <v>-2.2700987756252289E-9</v>
      </c>
      <c r="AI271" s="32">
        <f t="shared" ca="1" si="396"/>
        <v>-2.2700987756252289E-9</v>
      </c>
      <c r="AJ271" s="32">
        <f t="shared" ca="1" si="396"/>
        <v>-2.2700987756252289E-9</v>
      </c>
      <c r="AK271" s="32">
        <f t="shared" ca="1" si="396"/>
        <v>-2.2700987756252289E-9</v>
      </c>
      <c r="AL271" s="32">
        <f t="shared" ca="1" si="396"/>
        <v>-2.2700987756252289E-9</v>
      </c>
      <c r="AM271" s="32">
        <f t="shared" ca="1" si="396"/>
        <v>-2.2700987756252289E-9</v>
      </c>
      <c r="AN271" s="32">
        <f t="shared" ca="1" si="396"/>
        <v>-2.2700987756252289E-9</v>
      </c>
      <c r="AO271" s="32">
        <f t="shared" ca="1" si="396"/>
        <v>-2.2700987756252289E-9</v>
      </c>
      <c r="AP271" s="32">
        <f t="shared" ca="1" si="396"/>
        <v>-2.2700987756252289E-9</v>
      </c>
      <c r="AQ271" s="32">
        <f t="shared" ca="1" si="396"/>
        <v>-2.2700987756252289E-9</v>
      </c>
      <c r="AR271" s="32">
        <f t="shared" ca="1" si="396"/>
        <v>-2.2700987756252289E-9</v>
      </c>
      <c r="AS271" s="32">
        <f t="shared" ca="1" si="396"/>
        <v>-2.2700987756252289E-9</v>
      </c>
      <c r="AT271" s="32">
        <f t="shared" ca="1" si="396"/>
        <v>-2.2700987756252289E-9</v>
      </c>
      <c r="AU271" s="32">
        <f t="shared" ca="1" si="396"/>
        <v>-2.2700987756252289E-9</v>
      </c>
      <c r="AV271" s="32">
        <f t="shared" ca="1" si="396"/>
        <v>-2.2700987756252289E-9</v>
      </c>
      <c r="AW271" s="32">
        <f t="shared" ca="1" si="396"/>
        <v>-2.2700987756252289E-9</v>
      </c>
      <c r="AX271" s="32">
        <f t="shared" ca="1" si="396"/>
        <v>-2.2700987756252289E-9</v>
      </c>
      <c r="AY271" s="32">
        <f t="shared" ca="1" si="396"/>
        <v>-2.2700987756252289E-9</v>
      </c>
      <c r="AZ271" s="32">
        <f t="shared" ca="1" si="396"/>
        <v>-2.2700987756252289E-9</v>
      </c>
      <c r="BA271" s="32">
        <f t="shared" ca="1" si="396"/>
        <v>-2.2700987756252289E-9</v>
      </c>
      <c r="BB271" s="32">
        <f t="shared" ca="1" si="396"/>
        <v>-2.2700987756252289E-9</v>
      </c>
      <c r="BC271" s="32">
        <f t="shared" ca="1" si="396"/>
        <v>-2.2700987756252289E-9</v>
      </c>
      <c r="BD271" s="32">
        <f t="shared" ca="1" si="396"/>
        <v>-2.2700987756252289E-9</v>
      </c>
      <c r="BE271" s="32">
        <f t="shared" ca="1" si="396"/>
        <v>-2.2700987756252289E-9</v>
      </c>
      <c r="BF271" s="32">
        <f t="shared" ca="1" si="396"/>
        <v>-2.2700987756252289E-9</v>
      </c>
      <c r="BG271" s="32">
        <f t="shared" ca="1" si="396"/>
        <v>-2.2700987756252289E-9</v>
      </c>
      <c r="BH271" s="32">
        <f t="shared" ca="1" si="396"/>
        <v>-2.2700987756252289E-9</v>
      </c>
      <c r="BI271" s="32">
        <f t="shared" ca="1" si="396"/>
        <v>-2.2700987756252289E-9</v>
      </c>
      <c r="BJ271" s="32">
        <f t="shared" ca="1" si="396"/>
        <v>-2.2700987756252289E-9</v>
      </c>
      <c r="BK271" s="32">
        <f t="shared" ca="1" si="396"/>
        <v>-2.2700987756252289E-9</v>
      </c>
      <c r="BL271" s="32">
        <f t="shared" ca="1" si="396"/>
        <v>-2.2700987756252289E-9</v>
      </c>
      <c r="BM271" s="32">
        <f t="shared" ca="1" si="396"/>
        <v>-2.2700987756252289E-9</v>
      </c>
      <c r="BN271" s="32">
        <f t="shared" ca="1" si="396"/>
        <v>-2.2700987756252289E-9</v>
      </c>
      <c r="BO271" s="32">
        <f t="shared" ca="1" si="396"/>
        <v>-2.2700987756252289E-9</v>
      </c>
      <c r="BP271" s="32">
        <f t="shared" ca="1" si="396"/>
        <v>-2.2700987756252289E-9</v>
      </c>
      <c r="BQ271" s="32">
        <f t="shared" ca="1" si="396"/>
        <v>-2.2700987756252289E-9</v>
      </c>
      <c r="BR271" s="32">
        <f t="shared" ca="1" si="396"/>
        <v>-2.2700987756252289E-9</v>
      </c>
      <c r="BS271" s="32">
        <f t="shared" ca="1" si="396"/>
        <v>-2.2700987756252289E-9</v>
      </c>
      <c r="BT271" s="32">
        <f t="shared" ca="1" si="396"/>
        <v>-2.2700987756252289E-9</v>
      </c>
      <c r="BU271" s="32">
        <f t="shared" ref="BU271:BY271" ca="1" si="397">MIN(+BU243-BU259+BU257,0)</f>
        <v>-2.2700987756252289E-9</v>
      </c>
      <c r="BV271" s="32">
        <f t="shared" ca="1" si="397"/>
        <v>-2.2700987756252289E-9</v>
      </c>
      <c r="BW271" s="32">
        <f t="shared" ca="1" si="397"/>
        <v>-2.2700987756252289E-9</v>
      </c>
      <c r="BX271" s="32">
        <f t="shared" ca="1" si="397"/>
        <v>-2.2700987756252289E-9</v>
      </c>
      <c r="BY271" s="32">
        <f t="shared" ca="1" si="397"/>
        <v>-2.2700987756252289E-9</v>
      </c>
    </row>
    <row r="272" spans="5:77" outlineLevel="1"/>
    <row r="273" spans="3:77" ht="15" outlineLevel="1">
      <c r="C273" s="22" t="s">
        <v>525</v>
      </c>
      <c r="D273" s="31"/>
    </row>
    <row r="274" spans="3:77" ht="15" outlineLevel="1">
      <c r="C274" s="68" t="str">
        <f>+Assumptions!$G$99</f>
        <v>Equity-first</v>
      </c>
      <c r="D274" s="28"/>
      <c r="E274" s="22" t="s">
        <v>459</v>
      </c>
      <c r="H274" s="32"/>
      <c r="BF274" s="33"/>
      <c r="BG274" s="33"/>
      <c r="BH274" s="33"/>
      <c r="BI274" s="33"/>
      <c r="BJ274" s="33"/>
      <c r="BK274" s="33"/>
      <c r="BL274" s="33"/>
      <c r="BM274" s="33"/>
      <c r="BN274" s="33"/>
      <c r="BO274" s="33"/>
      <c r="BP274" s="33"/>
      <c r="BQ274" s="33"/>
      <c r="BR274" s="33"/>
      <c r="BS274" s="33"/>
      <c r="BT274" s="33"/>
      <c r="BU274" s="33"/>
      <c r="BV274" s="33"/>
      <c r="BW274" s="33"/>
      <c r="BX274" s="33"/>
      <c r="BY274" s="33"/>
    </row>
    <row r="275" spans="3:77" outlineLevel="1">
      <c r="C275" s="68" t="str">
        <f>+Assumptions!$G$100</f>
        <v>Annuity</v>
      </c>
      <c r="D275" s="28"/>
      <c r="E275" t="s">
        <v>458</v>
      </c>
      <c r="F275" s="80" t="str">
        <f>+Assumptions!$G$8</f>
        <v>USD</v>
      </c>
      <c r="H275" s="32">
        <f>IF(AND(Assumptions!$G$183="Yes",Assumptions!$G$184="Detailed"),-Assumptions_Detailed!H$77,MAX(IFERROR(H203-H238-H243,0),$C$278-SUM($G$275:G275)))</f>
        <v>0</v>
      </c>
      <c r="I275" s="32">
        <f>IF(AND(Assumptions!$G$183="Yes",Assumptions!$G$184="Detailed"),-Assumptions_Detailed!I$77,MAX(IFERROR(I203-I238-I243,0),$C$278-SUM($G$275:H275)))</f>
        <v>0</v>
      </c>
      <c r="J275" s="32">
        <f>IF(AND(Assumptions!$G$183="Yes",Assumptions!$G$184="Detailed"),-Assumptions_Detailed!J$77,MAX(IFERROR(J203-J238-J243,0),$C$278-SUM($G$275:I275)))</f>
        <v>0</v>
      </c>
      <c r="K275" s="32">
        <f>IF(AND(Assumptions!$G$183="Yes",Assumptions!$G$184="Detailed"),-Assumptions_Detailed!K$77,MAX(IFERROR(K203-K238-K243,0),$C$278-SUM($G$275:J275)))</f>
        <v>0</v>
      </c>
      <c r="L275" s="32">
        <f>IF(AND(Assumptions!$G$183="Yes",Assumptions!$G$184="Detailed"),-Assumptions_Detailed!L$77,MAX(IFERROR(L203-L238-L243,0),$C$278-SUM($G$275:K275)))</f>
        <v>0</v>
      </c>
      <c r="M275" s="32">
        <f>IF(AND(Assumptions!$G$183="Yes",Assumptions!$G$184="Detailed"),-Assumptions_Detailed!M$77,MAX(IFERROR(M203-M238-M243,0),$C$278-SUM($G$275:L275)))</f>
        <v>0</v>
      </c>
      <c r="N275" s="32">
        <f>IF(AND(Assumptions!$G$183="Yes",Assumptions!$G$184="Detailed"),-Assumptions_Detailed!N$77,MAX(IFERROR(N203-N238-N243,0),$C$278-SUM($G$275:M275)))</f>
        <v>0</v>
      </c>
      <c r="O275" s="32">
        <f>IF(AND(Assumptions!$G$183="Yes",Assumptions!$G$184="Detailed"),-Assumptions_Detailed!O$77,MAX(IFERROR(O203-O238-O243,0),$C$278-SUM($G$275:N275)))</f>
        <v>0</v>
      </c>
      <c r="P275" s="32">
        <f>IF(AND(Assumptions!$G$183="Yes",Assumptions!$G$184="Detailed"),-Assumptions_Detailed!P$77,MAX(IFERROR(P203-P238-P243,0),$C$278-SUM($G$275:O275)))</f>
        <v>0</v>
      </c>
      <c r="Q275" s="32">
        <f>IF(AND(Assumptions!$G$183="Yes",Assumptions!$G$184="Detailed"),-Assumptions_Detailed!Q$77,MAX(IFERROR(Q203-Q238-Q243,0),$C$278-SUM($G$275:P275)))</f>
        <v>0</v>
      </c>
      <c r="R275" s="32">
        <f>IF(AND(Assumptions!$G$183="Yes",Assumptions!$G$184="Detailed"),-Assumptions_Detailed!R$77,MAX(IFERROR(R203-R238-R243,0),$C$278-SUM($G$275:Q275)))</f>
        <v>0</v>
      </c>
      <c r="S275" s="32">
        <f>IF(AND(Assumptions!$G$183="Yes",Assumptions!$G$184="Detailed"),-Assumptions_Detailed!S$77,MAX(IFERROR(S203-S238-S243,0),$C$278-SUM($G$275:R275)))</f>
        <v>0</v>
      </c>
      <c r="T275" s="32">
        <f>IF(AND(Assumptions!$G$183="Yes",Assumptions!$G$184="Detailed"),-Assumptions_Detailed!T$77,MAX(IFERROR(T203-T238-T243,0),$C$278-SUM($G$275:S275)))</f>
        <v>0</v>
      </c>
      <c r="U275" s="32">
        <f>IF(AND(Assumptions!$G$183="Yes",Assumptions!$G$184="Detailed"),-Assumptions_Detailed!U$77,MAX(IFERROR(U203-U238-U243,0),$C$278-SUM($G$275:T275)))</f>
        <v>0</v>
      </c>
      <c r="V275" s="32">
        <f>IF(AND(Assumptions!$G$183="Yes",Assumptions!$G$184="Detailed"),-Assumptions_Detailed!V$77,MAX(IFERROR(V203-V238-V243,0),$C$278-SUM($G$275:U275)))</f>
        <v>0</v>
      </c>
      <c r="W275" s="32">
        <f>IF(AND(Assumptions!$G$183="Yes",Assumptions!$G$184="Detailed"),-Assumptions_Detailed!W$77,MAX(IFERROR(W203-W238-W243,0),$C$278-SUM($G$275:V275)))</f>
        <v>0</v>
      </c>
      <c r="X275" s="32">
        <f>IF(AND(Assumptions!$G$183="Yes",Assumptions!$G$184="Detailed"),-Assumptions_Detailed!X$77,MAX(IFERROR(X203-X238-X243,0),$C$278-SUM($G$275:W275)))</f>
        <v>0</v>
      </c>
      <c r="Y275" s="32">
        <f>IF(AND(Assumptions!$G$183="Yes",Assumptions!$G$184="Detailed"),-Assumptions_Detailed!Y$77,MAX(IFERROR(Y203-Y238-Y243,0),$C$278-SUM($G$275:X275)))</f>
        <v>0</v>
      </c>
      <c r="Z275" s="32">
        <f>IF(AND(Assumptions!$G$183="Yes",Assumptions!$G$184="Detailed"),-Assumptions_Detailed!Z$77,MAX(IFERROR(Z203-Z238-Z243,0),$C$278-SUM($G$275:Y275)))</f>
        <v>0</v>
      </c>
      <c r="AA275" s="32">
        <f>IF(AND(Assumptions!$G$183="Yes",Assumptions!$G$184="Detailed"),-Assumptions_Detailed!AA$77,MAX(IFERROR(AA203-AA238-AA243,0),$C$278-SUM($G$275:Z275)))</f>
        <v>0</v>
      </c>
      <c r="AB275" s="32">
        <f>IF(AND(Assumptions!$G$183="Yes",Assumptions!$G$184="Detailed"),-Assumptions_Detailed!AB$77,MAX(IFERROR(AB203-AB238-AB243,0),$C$278-SUM($G$275:AA275)))</f>
        <v>0</v>
      </c>
      <c r="AC275" s="32">
        <f>IF(AND(Assumptions!$G$183="Yes",Assumptions!$G$184="Detailed"),-Assumptions_Detailed!AC$77,MAX(IFERROR(AC203-AC238-AC243,0),$C$278-SUM($G$275:AB275)))</f>
        <v>0</v>
      </c>
      <c r="AD275" s="32">
        <f>IF(AND(Assumptions!$G$183="Yes",Assumptions!$G$184="Detailed"),-Assumptions_Detailed!AD$77,MAX(IFERROR(AD203-AD238-AD243,0),$C$278-SUM($G$275:AC275)))</f>
        <v>0</v>
      </c>
      <c r="AE275" s="32">
        <f>IF(AND(Assumptions!$G$183="Yes",Assumptions!$G$184="Detailed"),-Assumptions_Detailed!AE$77,MAX(IFERROR(AE203-AE238-AE243,0),$C$278-SUM($G$275:AD275)))</f>
        <v>0</v>
      </c>
      <c r="AF275" s="32">
        <f>IF(AND(Assumptions!$G$183="Yes",Assumptions!$G$184="Detailed"),-Assumptions_Detailed!AF$77,MAX(IFERROR(AF203-AF238-AF243,0),$C$278-SUM($G$275:AE275)))</f>
        <v>0</v>
      </c>
      <c r="AG275" s="32">
        <f>IF(AND(Assumptions!$G$183="Yes",Assumptions!$G$184="Detailed"),-Assumptions_Detailed!AG$77,MAX(IFERROR(AG203-AG238-AG243,0),$C$278-SUM($G$275:AF275)))</f>
        <v>0</v>
      </c>
      <c r="AH275" s="32">
        <f>IF(AND(Assumptions!$G$183="Yes",Assumptions!$G$184="Detailed"),-Assumptions_Detailed!AH$77,MAX(IFERROR(AH203-AH238-AH243,0),$C$278-SUM($G$275:AG275)))</f>
        <v>0</v>
      </c>
      <c r="AI275" s="32">
        <f>IF(AND(Assumptions!$G$183="Yes",Assumptions!$G$184="Detailed"),-Assumptions_Detailed!AI$77,MAX(IFERROR(AI203-AI238-AI243,0),$C$278-SUM($G$275:AH275)))</f>
        <v>0</v>
      </c>
      <c r="AJ275" s="32">
        <f>IF(AND(Assumptions!$G$183="Yes",Assumptions!$G$184="Detailed"),-Assumptions_Detailed!AJ$77,MAX(IFERROR(AJ203-AJ238-AJ243,0),$C$278-SUM($G$275:AI275)))</f>
        <v>0</v>
      </c>
      <c r="AK275" s="32">
        <f>IF(AND(Assumptions!$G$183="Yes",Assumptions!$G$184="Detailed"),-Assumptions_Detailed!AK$77,MAX(IFERROR(AK203-AK238-AK243,0),$C$278-SUM($G$275:AJ275)))</f>
        <v>0</v>
      </c>
      <c r="AL275" s="32">
        <f>IF(AND(Assumptions!$G$183="Yes",Assumptions!$G$184="Detailed"),-Assumptions_Detailed!AL$77,MAX(IFERROR(AL203-AL238-AL243,0),$C$278-SUM($G$275:AK275)))</f>
        <v>0</v>
      </c>
      <c r="AM275" s="32">
        <f>IF(AND(Assumptions!$G$183="Yes",Assumptions!$G$184="Detailed"),-Assumptions_Detailed!AM$77,MAX(IFERROR(AM203-AM238-AM243,0),$C$278-SUM($G$275:AL275)))</f>
        <v>0</v>
      </c>
      <c r="AN275" s="32">
        <f>IF(AND(Assumptions!$G$183="Yes",Assumptions!$G$184="Detailed"),-Assumptions_Detailed!AN$77,MAX(IFERROR(AN203-AN238-AN243,0),$C$278-SUM($G$275:AM275)))</f>
        <v>0</v>
      </c>
      <c r="AO275" s="32">
        <f>IF(AND(Assumptions!$G$183="Yes",Assumptions!$G$184="Detailed"),-Assumptions_Detailed!AO$77,MAX(IFERROR(AO203-AO238-AO243,0),$C$278-SUM($G$275:AN275)))</f>
        <v>0</v>
      </c>
      <c r="AP275" s="32">
        <f>IF(AND(Assumptions!$G$183="Yes",Assumptions!$G$184="Detailed"),-Assumptions_Detailed!AP$77,MAX(IFERROR(AP203-AP238-AP243,0),$C$278-SUM($G$275:AO275)))</f>
        <v>0</v>
      </c>
      <c r="AQ275" s="32">
        <f>IF(AND(Assumptions!$G$183="Yes",Assumptions!$G$184="Detailed"),-Assumptions_Detailed!AQ$77,MAX(IFERROR(AQ203-AQ238-AQ243,0),$C$278-SUM($G$275:AP275)))</f>
        <v>0</v>
      </c>
      <c r="AR275" s="32">
        <f>IF(AND(Assumptions!$G$183="Yes",Assumptions!$G$184="Detailed"),-Assumptions_Detailed!AR$77,MAX(IFERROR(AR203-AR238-AR243,0),$C$278-SUM($G$275:AQ275)))</f>
        <v>0</v>
      </c>
      <c r="AS275" s="32">
        <f>IF(AND(Assumptions!$G$183="Yes",Assumptions!$G$184="Detailed"),-Assumptions_Detailed!AS$77,MAX(IFERROR(AS203-AS238-AS243,0),$C$278-SUM($G$275:AR275)))</f>
        <v>0</v>
      </c>
      <c r="AT275" s="32">
        <f>IF(AND(Assumptions!$G$183="Yes",Assumptions!$G$184="Detailed"),-Assumptions_Detailed!AT$77,MAX(IFERROR(AT203-AT238-AT243,0),$C$278-SUM($G$275:AS275)))</f>
        <v>0</v>
      </c>
      <c r="AU275" s="32">
        <f>IF(AND(Assumptions!$G$183="Yes",Assumptions!$G$184="Detailed"),-Assumptions_Detailed!AU$77,MAX(IFERROR(AU203-AU238-AU243,0),$C$278-SUM($G$275:AT275)))</f>
        <v>0</v>
      </c>
      <c r="AV275" s="32">
        <f>IF(AND(Assumptions!$G$183="Yes",Assumptions!$G$184="Detailed"),-Assumptions_Detailed!AV$77,MAX(IFERROR(AV203-AV238-AV243,0),$C$278-SUM($G$275:AU275)))</f>
        <v>0</v>
      </c>
      <c r="AW275" s="32">
        <f>IF(AND(Assumptions!$G$183="Yes",Assumptions!$G$184="Detailed"),-Assumptions_Detailed!AW$77,MAX(IFERROR(AW203-AW238-AW243,0),$C$278-SUM($G$275:AV275)))</f>
        <v>0</v>
      </c>
      <c r="AX275" s="32">
        <f>IF(AND(Assumptions!$G$183="Yes",Assumptions!$G$184="Detailed"),-Assumptions_Detailed!AX$77,MAX(IFERROR(AX203-AX238-AX243,0),$C$278-SUM($G$275:AW275)))</f>
        <v>0</v>
      </c>
      <c r="AY275" s="32">
        <f>IF(AND(Assumptions!$G$183="Yes",Assumptions!$G$184="Detailed"),-Assumptions_Detailed!AY$77,MAX(IFERROR(AY203-AY238-AY243,0),$C$278-SUM($G$275:AX275)))</f>
        <v>0</v>
      </c>
      <c r="AZ275" s="32">
        <f>IF(AND(Assumptions!$G$183="Yes",Assumptions!$G$184="Detailed"),-Assumptions_Detailed!AZ$77,MAX(IFERROR(AZ203-AZ238-AZ243,0),$C$278-SUM($G$275:AY275)))</f>
        <v>0</v>
      </c>
      <c r="BA275" s="32">
        <f>IF(AND(Assumptions!$G$183="Yes",Assumptions!$G$184="Detailed"),-Assumptions_Detailed!BA$77,MAX(IFERROR(BA203-BA238-BA243,0),$C$278-SUM($G$275:AZ275)))</f>
        <v>0</v>
      </c>
      <c r="BB275" s="32">
        <f>IF(AND(Assumptions!$G$183="Yes",Assumptions!$G$184="Detailed"),-Assumptions_Detailed!BB$77,MAX(IFERROR(BB203-BB238-BB243,0),$C$278-SUM($G$275:BA275)))</f>
        <v>0</v>
      </c>
      <c r="BC275" s="32">
        <f>IF(AND(Assumptions!$G$183="Yes",Assumptions!$G$184="Detailed"),-Assumptions_Detailed!BC$77,MAX(IFERROR(BC203-BC238-BC243,0),$C$278-SUM($G$275:BB275)))</f>
        <v>0</v>
      </c>
      <c r="BD275" s="32">
        <f>IF(AND(Assumptions!$G$183="Yes",Assumptions!$G$184="Detailed"),-Assumptions_Detailed!BD$77,MAX(IFERROR(BD203-BD238-BD243,0),$C$278-SUM($G$275:BC275)))</f>
        <v>0</v>
      </c>
      <c r="BE275" s="32">
        <f>IF(AND(Assumptions!$G$183="Yes",Assumptions!$G$184="Detailed"),-Assumptions_Detailed!BE$77,MAX(IFERROR(BE203-BE238-BE243,0),$C$278-SUM($G$275:BD275)))</f>
        <v>0</v>
      </c>
      <c r="BF275" s="32">
        <f>IF(AND(Assumptions!$G$183="Yes",Assumptions!$G$184="Detailed"),-Assumptions_Detailed!BF$77,MAX(IFERROR(BF203-BF238-BF243,0),$C$278-SUM($G$275:BE275)))</f>
        <v>0</v>
      </c>
      <c r="BG275" s="32">
        <f>IF(AND(Assumptions!$G$183="Yes",Assumptions!$G$184="Detailed"),-Assumptions_Detailed!BG$77,MAX(IFERROR(BG203-BG238-BG243,0),$C$278-SUM($G$275:BF275)))</f>
        <v>0</v>
      </c>
      <c r="BH275" s="32">
        <f>IF(AND(Assumptions!$G$183="Yes",Assumptions!$G$184="Detailed"),-Assumptions_Detailed!BH$77,MAX(IFERROR(BH203-BH238-BH243,0),$C$278-SUM($G$275:BG275)))</f>
        <v>0</v>
      </c>
      <c r="BI275" s="32">
        <f>IF(AND(Assumptions!$G$183="Yes",Assumptions!$G$184="Detailed"),-Assumptions_Detailed!BI$77,MAX(IFERROR(BI203-BI238-BI243,0),$C$278-SUM($G$275:BH275)))</f>
        <v>0</v>
      </c>
      <c r="BJ275" s="32">
        <f>IF(AND(Assumptions!$G$183="Yes",Assumptions!$G$184="Detailed"),-Assumptions_Detailed!BJ$77,MAX(IFERROR(BJ203-BJ238-BJ243,0),$C$278-SUM($G$275:BI275)))</f>
        <v>0</v>
      </c>
      <c r="BK275" s="32">
        <f>IF(AND(Assumptions!$G$183="Yes",Assumptions!$G$184="Detailed"),-Assumptions_Detailed!BK$77,MAX(IFERROR(BK203-BK238-BK243,0),$C$278-SUM($G$275:BJ275)))</f>
        <v>0</v>
      </c>
      <c r="BL275" s="32">
        <f>IF(AND(Assumptions!$G$183="Yes",Assumptions!$G$184="Detailed"),-Assumptions_Detailed!BL$77,MAX(IFERROR(BL203-BL238-BL243,0),$C$278-SUM($G$275:BK275)))</f>
        <v>0</v>
      </c>
      <c r="BM275" s="32">
        <f>IF(AND(Assumptions!$G$183="Yes",Assumptions!$G$184="Detailed"),-Assumptions_Detailed!BM$77,MAX(IFERROR(BM203-BM238-BM243,0),$C$278-SUM($G$275:BL275)))</f>
        <v>0</v>
      </c>
      <c r="BN275" s="32">
        <f>IF(AND(Assumptions!$G$183="Yes",Assumptions!$G$184="Detailed"),-Assumptions_Detailed!BN$77,MAX(IFERROR(BN203-BN238-BN243,0),$C$278-SUM($G$275:BM275)))</f>
        <v>0</v>
      </c>
      <c r="BO275" s="32">
        <f>IF(AND(Assumptions!$G$183="Yes",Assumptions!$G$184="Detailed"),-Assumptions_Detailed!BO$77,MAX(IFERROR(BO203-BO238-BO243,0),$C$278-SUM($G$275:BN275)))</f>
        <v>0</v>
      </c>
      <c r="BP275" s="32">
        <f>IF(AND(Assumptions!$G$183="Yes",Assumptions!$G$184="Detailed"),-Assumptions_Detailed!BP$77,MAX(IFERROR(BP203-BP238-BP243,0),$C$278-SUM($G$275:BO275)))</f>
        <v>0</v>
      </c>
      <c r="BQ275" s="32">
        <f>IF(AND(Assumptions!$G$183="Yes",Assumptions!$G$184="Detailed"),-Assumptions_Detailed!BQ$77,MAX(IFERROR(BQ203-BQ238-BQ243,0),$C$278-SUM($G$275:BP275)))</f>
        <v>0</v>
      </c>
      <c r="BR275" s="32">
        <f>IF(AND(Assumptions!$G$183="Yes",Assumptions!$G$184="Detailed"),-Assumptions_Detailed!BR$77,MAX(IFERROR(BR203-BR238-BR243,0),$C$278-SUM($G$275:BQ275)))</f>
        <v>0</v>
      </c>
      <c r="BS275" s="32">
        <f>IF(AND(Assumptions!$G$183="Yes",Assumptions!$G$184="Detailed"),-Assumptions_Detailed!BS$77,MAX(IFERROR(BS203-BS238-BS243,0),$C$278-SUM($G$275:BR275)))</f>
        <v>0</v>
      </c>
      <c r="BT275" s="32">
        <f>IF(AND(Assumptions!$G$183="Yes",Assumptions!$G$184="Detailed"),-Assumptions_Detailed!BT$77,MAX(IFERROR(BT203-BT238-BT243,0),$C$278-SUM($G$275:BS275)))</f>
        <v>0</v>
      </c>
      <c r="BU275" s="32">
        <f>IF(AND(Assumptions!$G$183="Yes",Assumptions!$G$184="Detailed"),-Assumptions_Detailed!BU$77,MAX(IFERROR(BU203-BU238-BU243,0),$C$278-SUM($G$275:BT275)))</f>
        <v>0</v>
      </c>
      <c r="BV275" s="32">
        <f>IF(AND(Assumptions!$G$183="Yes",Assumptions!$G$184="Detailed"),-Assumptions_Detailed!BV$77,MAX(IFERROR(BV203-BV238-BV243,0),$C$278-SUM($G$275:BU275)))</f>
        <v>0</v>
      </c>
      <c r="BW275" s="32">
        <f>IF(AND(Assumptions!$G$183="Yes",Assumptions!$G$184="Detailed"),-Assumptions_Detailed!BW$77,MAX(IFERROR(BW203-BW238-BW243,0),$C$278-SUM($G$275:BV275)))</f>
        <v>0</v>
      </c>
      <c r="BX275" s="32">
        <f>IF(AND(Assumptions!$G$183="Yes",Assumptions!$G$184="Detailed"),-Assumptions_Detailed!BX$77,MAX(IFERROR(BX203-BX238-BX243,0),$C$278-SUM($G$275:BW275)))</f>
        <v>0</v>
      </c>
      <c r="BY275" s="32">
        <f>IF(AND(Assumptions!$G$183="Yes",Assumptions!$G$184="Detailed"),-Assumptions_Detailed!BY$77,MAX(IFERROR(BY203-BY238-BY243,0),$C$278-SUM($G$275:BX275)))</f>
        <v>0</v>
      </c>
    </row>
    <row r="276" spans="3:77" outlineLevel="1">
      <c r="D276" s="31"/>
      <c r="BF276" s="33"/>
      <c r="BG276" s="33"/>
      <c r="BH276" s="33"/>
      <c r="BI276" s="33"/>
      <c r="BJ276" s="33"/>
      <c r="BK276" s="33"/>
      <c r="BL276" s="33"/>
      <c r="BM276" s="33"/>
      <c r="BN276" s="33"/>
      <c r="BO276" s="33"/>
      <c r="BP276" s="33"/>
      <c r="BQ276" s="33"/>
      <c r="BR276" s="33"/>
      <c r="BS276" s="33"/>
      <c r="BT276" s="33"/>
      <c r="BU276" s="33"/>
      <c r="BV276" s="33"/>
      <c r="BW276" s="33"/>
      <c r="BX276" s="33"/>
      <c r="BY276" s="33"/>
    </row>
    <row r="277" spans="3:77" ht="15" outlineLevel="1">
      <c r="C277" s="22" t="s">
        <v>498</v>
      </c>
      <c r="D277" s="31"/>
      <c r="BF277" s="33"/>
      <c r="BG277" s="33"/>
      <c r="BH277" s="33"/>
      <c r="BI277" s="33"/>
      <c r="BJ277" s="33"/>
      <c r="BK277" s="33"/>
      <c r="BL277" s="33"/>
      <c r="BM277" s="33"/>
      <c r="BN277" s="33"/>
      <c r="BO277" s="33"/>
      <c r="BP277" s="33"/>
      <c r="BQ277" s="33"/>
      <c r="BR277" s="33"/>
      <c r="BS277" s="33"/>
      <c r="BT277" s="33"/>
      <c r="BU277" s="33"/>
      <c r="BV277" s="33"/>
      <c r="BW277" s="33"/>
      <c r="BX277" s="33"/>
      <c r="BY277" s="33"/>
    </row>
    <row r="278" spans="3:77" outlineLevel="1">
      <c r="C278" s="94">
        <f>Assumptions!$G$199*C203</f>
        <v>0</v>
      </c>
      <c r="D278" s="31"/>
      <c r="BF278" s="33"/>
      <c r="BG278" s="33"/>
      <c r="BH278" s="33"/>
      <c r="BI278" s="33"/>
      <c r="BJ278" s="33"/>
      <c r="BK278" s="33"/>
      <c r="BL278" s="33"/>
      <c r="BM278" s="33"/>
      <c r="BN278" s="33"/>
      <c r="BO278" s="33"/>
      <c r="BP278" s="33"/>
      <c r="BQ278" s="33"/>
      <c r="BR278" s="33"/>
      <c r="BS278" s="33"/>
      <c r="BT278" s="33"/>
      <c r="BU278" s="33"/>
      <c r="BV278" s="33"/>
      <c r="BW278" s="33"/>
      <c r="BX278" s="33"/>
      <c r="BY278" s="33"/>
    </row>
    <row r="279" spans="3:77" outlineLevel="1">
      <c r="D279" s="137"/>
      <c r="E279" t="s">
        <v>499</v>
      </c>
      <c r="F279" s="40" t="s">
        <v>500</v>
      </c>
      <c r="G279" s="33"/>
      <c r="H279" s="33" t="e" vm="1">
        <f>+IF(AND(H$275=$C281,H$275&lt;0),1,0)</f>
        <v>#VALUE!</v>
      </c>
      <c r="I279" s="33" t="e" vm="1">
        <f t="shared" ref="I279:BT279" si="398">+IF(AND(I$275=$C281,I$275&lt;0),1,0)</f>
        <v>#VALUE!</v>
      </c>
      <c r="J279" s="33" t="e" vm="1">
        <f t="shared" si="398"/>
        <v>#VALUE!</v>
      </c>
      <c r="K279" s="33" t="e" vm="1">
        <f t="shared" si="398"/>
        <v>#VALUE!</v>
      </c>
      <c r="L279" s="33" t="e" vm="1">
        <f t="shared" si="398"/>
        <v>#VALUE!</v>
      </c>
      <c r="M279" s="33" t="e" vm="1">
        <f t="shared" si="398"/>
        <v>#VALUE!</v>
      </c>
      <c r="N279" s="33" t="e" vm="1">
        <f t="shared" si="398"/>
        <v>#VALUE!</v>
      </c>
      <c r="O279" s="33" t="e" vm="1">
        <f t="shared" si="398"/>
        <v>#VALUE!</v>
      </c>
      <c r="P279" s="33" t="e" vm="1">
        <f t="shared" si="398"/>
        <v>#VALUE!</v>
      </c>
      <c r="Q279" s="33" t="e" vm="1">
        <f t="shared" si="398"/>
        <v>#VALUE!</v>
      </c>
      <c r="R279" s="33" t="e" vm="1">
        <f t="shared" si="398"/>
        <v>#VALUE!</v>
      </c>
      <c r="S279" s="33" t="e" vm="1">
        <f t="shared" si="398"/>
        <v>#VALUE!</v>
      </c>
      <c r="T279" s="33" t="e" vm="1">
        <f t="shared" si="398"/>
        <v>#VALUE!</v>
      </c>
      <c r="U279" s="33" t="e" vm="1">
        <f t="shared" si="398"/>
        <v>#VALUE!</v>
      </c>
      <c r="V279" s="33" t="e" vm="1">
        <f t="shared" si="398"/>
        <v>#VALUE!</v>
      </c>
      <c r="W279" s="33" t="e" vm="1">
        <f t="shared" si="398"/>
        <v>#VALUE!</v>
      </c>
      <c r="X279" s="33" t="e" vm="1">
        <f t="shared" si="398"/>
        <v>#VALUE!</v>
      </c>
      <c r="Y279" s="33" t="e" vm="1">
        <f t="shared" si="398"/>
        <v>#VALUE!</v>
      </c>
      <c r="Z279" s="33" t="e" vm="1">
        <f t="shared" si="398"/>
        <v>#VALUE!</v>
      </c>
      <c r="AA279" s="33" t="e" vm="1">
        <f t="shared" si="398"/>
        <v>#VALUE!</v>
      </c>
      <c r="AB279" s="33" t="e" vm="1">
        <f t="shared" si="398"/>
        <v>#VALUE!</v>
      </c>
      <c r="AC279" s="33" t="e" vm="1">
        <f t="shared" si="398"/>
        <v>#VALUE!</v>
      </c>
      <c r="AD279" s="33" t="e" vm="1">
        <f t="shared" si="398"/>
        <v>#VALUE!</v>
      </c>
      <c r="AE279" s="33" t="e" vm="1">
        <f t="shared" si="398"/>
        <v>#VALUE!</v>
      </c>
      <c r="AF279" s="33" t="e" vm="1">
        <f t="shared" si="398"/>
        <v>#VALUE!</v>
      </c>
      <c r="AG279" s="33" t="e" vm="1">
        <f t="shared" si="398"/>
        <v>#VALUE!</v>
      </c>
      <c r="AH279" s="33" t="e" vm="1">
        <f t="shared" si="398"/>
        <v>#VALUE!</v>
      </c>
      <c r="AI279" s="33" t="e" vm="1">
        <f t="shared" si="398"/>
        <v>#VALUE!</v>
      </c>
      <c r="AJ279" s="33" t="e" vm="1">
        <f t="shared" si="398"/>
        <v>#VALUE!</v>
      </c>
      <c r="AK279" s="33" t="e" vm="1">
        <f t="shared" si="398"/>
        <v>#VALUE!</v>
      </c>
      <c r="AL279" s="33" t="e" vm="1">
        <f t="shared" si="398"/>
        <v>#VALUE!</v>
      </c>
      <c r="AM279" s="33" t="e" vm="1">
        <f t="shared" si="398"/>
        <v>#VALUE!</v>
      </c>
      <c r="AN279" s="33" t="e" vm="1">
        <f t="shared" si="398"/>
        <v>#VALUE!</v>
      </c>
      <c r="AO279" s="33" t="e" vm="1">
        <f t="shared" si="398"/>
        <v>#VALUE!</v>
      </c>
      <c r="AP279" s="33" t="e" vm="1">
        <f t="shared" si="398"/>
        <v>#VALUE!</v>
      </c>
      <c r="AQ279" s="33" t="e" vm="1">
        <f t="shared" si="398"/>
        <v>#VALUE!</v>
      </c>
      <c r="AR279" s="33" t="e" vm="1">
        <f t="shared" si="398"/>
        <v>#VALUE!</v>
      </c>
      <c r="AS279" s="33" t="e" vm="1">
        <f t="shared" si="398"/>
        <v>#VALUE!</v>
      </c>
      <c r="AT279" s="33" t="e" vm="1">
        <f t="shared" si="398"/>
        <v>#VALUE!</v>
      </c>
      <c r="AU279" s="33" t="e" vm="1">
        <f t="shared" si="398"/>
        <v>#VALUE!</v>
      </c>
      <c r="AV279" s="33" t="e" vm="1">
        <f t="shared" si="398"/>
        <v>#VALUE!</v>
      </c>
      <c r="AW279" s="33" t="e" vm="1">
        <f t="shared" si="398"/>
        <v>#VALUE!</v>
      </c>
      <c r="AX279" s="33" t="e" vm="1">
        <f t="shared" si="398"/>
        <v>#VALUE!</v>
      </c>
      <c r="AY279" s="33" t="e" vm="1">
        <f t="shared" si="398"/>
        <v>#VALUE!</v>
      </c>
      <c r="AZ279" s="33" t="e" vm="1">
        <f t="shared" si="398"/>
        <v>#VALUE!</v>
      </c>
      <c r="BA279" s="33" t="e" vm="1">
        <f t="shared" si="398"/>
        <v>#VALUE!</v>
      </c>
      <c r="BB279" s="33" t="e" vm="1">
        <f t="shared" si="398"/>
        <v>#VALUE!</v>
      </c>
      <c r="BC279" s="33" t="e" vm="1">
        <f t="shared" si="398"/>
        <v>#VALUE!</v>
      </c>
      <c r="BD279" s="33" t="e" vm="1">
        <f t="shared" si="398"/>
        <v>#VALUE!</v>
      </c>
      <c r="BE279" s="33" t="e" vm="1">
        <f t="shared" si="398"/>
        <v>#VALUE!</v>
      </c>
      <c r="BF279" s="33" t="e" vm="1">
        <f t="shared" si="398"/>
        <v>#VALUE!</v>
      </c>
      <c r="BG279" s="33" t="e" vm="1">
        <f t="shared" si="398"/>
        <v>#VALUE!</v>
      </c>
      <c r="BH279" s="33" t="e" vm="1">
        <f t="shared" si="398"/>
        <v>#VALUE!</v>
      </c>
      <c r="BI279" s="33" t="e" vm="1">
        <f t="shared" si="398"/>
        <v>#VALUE!</v>
      </c>
      <c r="BJ279" s="33" t="e" vm="1">
        <f t="shared" si="398"/>
        <v>#VALUE!</v>
      </c>
      <c r="BK279" s="33" t="e" vm="1">
        <f t="shared" si="398"/>
        <v>#VALUE!</v>
      </c>
      <c r="BL279" s="33" t="e" vm="1">
        <f t="shared" si="398"/>
        <v>#VALUE!</v>
      </c>
      <c r="BM279" s="33" t="e" vm="1">
        <f t="shared" si="398"/>
        <v>#VALUE!</v>
      </c>
      <c r="BN279" s="33" t="e" vm="1">
        <f t="shared" si="398"/>
        <v>#VALUE!</v>
      </c>
      <c r="BO279" s="33" t="e" vm="1">
        <f t="shared" si="398"/>
        <v>#VALUE!</v>
      </c>
      <c r="BP279" s="33" t="e" vm="1">
        <f t="shared" si="398"/>
        <v>#VALUE!</v>
      </c>
      <c r="BQ279" s="33" t="e" vm="1">
        <f t="shared" si="398"/>
        <v>#VALUE!</v>
      </c>
      <c r="BR279" s="33" t="e" vm="1">
        <f t="shared" si="398"/>
        <v>#VALUE!</v>
      </c>
      <c r="BS279" s="33" t="e" vm="1">
        <f t="shared" si="398"/>
        <v>#VALUE!</v>
      </c>
      <c r="BT279" s="33" t="e" vm="1">
        <f t="shared" si="398"/>
        <v>#VALUE!</v>
      </c>
      <c r="BU279" s="33" t="e" vm="1">
        <f t="shared" ref="BU279:BY279" si="399">+IF(AND(BU$275=$C281,BU$275&lt;0),1,0)</f>
        <v>#VALUE!</v>
      </c>
      <c r="BV279" s="33" t="e" vm="1">
        <f t="shared" si="399"/>
        <v>#VALUE!</v>
      </c>
      <c r="BW279" s="33" t="e" vm="1">
        <f t="shared" si="399"/>
        <v>#VALUE!</v>
      </c>
      <c r="BX279" s="33" t="e" vm="1">
        <f t="shared" si="399"/>
        <v>#VALUE!</v>
      </c>
      <c r="BY279" s="33" t="e" vm="1">
        <f t="shared" si="399"/>
        <v>#VALUE!</v>
      </c>
    </row>
    <row r="280" spans="3:77" ht="15" outlineLevel="1">
      <c r="C280" s="22" t="s">
        <v>501</v>
      </c>
      <c r="D280" s="31"/>
      <c r="E280" t="s">
        <v>502</v>
      </c>
      <c r="F280" s="23" t="s">
        <v>500</v>
      </c>
      <c r="H280" s="33">
        <f t="shared" ref="H280:BS280" si="400">+IF(AND(H$275=$C282,H$275&lt;0),1,0)</f>
        <v>0</v>
      </c>
      <c r="I280" s="33">
        <f t="shared" si="400"/>
        <v>0</v>
      </c>
      <c r="J280" s="33">
        <f t="shared" si="400"/>
        <v>0</v>
      </c>
      <c r="K280" s="33">
        <f t="shared" si="400"/>
        <v>0</v>
      </c>
      <c r="L280" s="33">
        <f t="shared" si="400"/>
        <v>0</v>
      </c>
      <c r="M280" s="33">
        <f t="shared" si="400"/>
        <v>0</v>
      </c>
      <c r="N280" s="33">
        <f t="shared" si="400"/>
        <v>0</v>
      </c>
      <c r="O280" s="33">
        <f t="shared" si="400"/>
        <v>0</v>
      </c>
      <c r="P280" s="33">
        <f t="shared" si="400"/>
        <v>0</v>
      </c>
      <c r="Q280" s="33">
        <f t="shared" si="400"/>
        <v>0</v>
      </c>
      <c r="R280" s="33">
        <f t="shared" si="400"/>
        <v>0</v>
      </c>
      <c r="S280" s="33">
        <f t="shared" si="400"/>
        <v>0</v>
      </c>
      <c r="T280" s="33">
        <f t="shared" si="400"/>
        <v>0</v>
      </c>
      <c r="U280" s="33">
        <f t="shared" si="400"/>
        <v>0</v>
      </c>
      <c r="V280" s="33">
        <f t="shared" si="400"/>
        <v>0</v>
      </c>
      <c r="W280" s="33">
        <f t="shared" si="400"/>
        <v>0</v>
      </c>
      <c r="X280" s="33">
        <f t="shared" si="400"/>
        <v>0</v>
      </c>
      <c r="Y280" s="33">
        <f t="shared" si="400"/>
        <v>0</v>
      </c>
      <c r="Z280" s="33">
        <f t="shared" si="400"/>
        <v>0</v>
      </c>
      <c r="AA280" s="33">
        <f t="shared" si="400"/>
        <v>0</v>
      </c>
      <c r="AB280" s="33">
        <f t="shared" si="400"/>
        <v>0</v>
      </c>
      <c r="AC280" s="33">
        <f t="shared" si="400"/>
        <v>0</v>
      </c>
      <c r="AD280" s="33">
        <f t="shared" si="400"/>
        <v>0</v>
      </c>
      <c r="AE280" s="33">
        <f t="shared" si="400"/>
        <v>0</v>
      </c>
      <c r="AF280" s="33">
        <f t="shared" si="400"/>
        <v>0</v>
      </c>
      <c r="AG280" s="33">
        <f t="shared" si="400"/>
        <v>0</v>
      </c>
      <c r="AH280" s="33">
        <f t="shared" si="400"/>
        <v>0</v>
      </c>
      <c r="AI280" s="33">
        <f t="shared" si="400"/>
        <v>0</v>
      </c>
      <c r="AJ280" s="33">
        <f t="shared" si="400"/>
        <v>0</v>
      </c>
      <c r="AK280" s="33">
        <f t="shared" si="400"/>
        <v>0</v>
      </c>
      <c r="AL280" s="33">
        <f t="shared" si="400"/>
        <v>0</v>
      </c>
      <c r="AM280" s="33">
        <f t="shared" si="400"/>
        <v>0</v>
      </c>
      <c r="AN280" s="33">
        <f t="shared" si="400"/>
        <v>0</v>
      </c>
      <c r="AO280" s="33">
        <f t="shared" si="400"/>
        <v>0</v>
      </c>
      <c r="AP280" s="33">
        <f t="shared" si="400"/>
        <v>0</v>
      </c>
      <c r="AQ280" s="33">
        <f t="shared" si="400"/>
        <v>0</v>
      </c>
      <c r="AR280" s="33">
        <f t="shared" si="400"/>
        <v>0</v>
      </c>
      <c r="AS280" s="33">
        <f t="shared" si="400"/>
        <v>0</v>
      </c>
      <c r="AT280" s="33">
        <f t="shared" si="400"/>
        <v>0</v>
      </c>
      <c r="AU280" s="33">
        <f t="shared" si="400"/>
        <v>0</v>
      </c>
      <c r="AV280" s="33">
        <f t="shared" si="400"/>
        <v>0</v>
      </c>
      <c r="AW280" s="33">
        <f t="shared" si="400"/>
        <v>0</v>
      </c>
      <c r="AX280" s="33">
        <f t="shared" si="400"/>
        <v>0</v>
      </c>
      <c r="AY280" s="33">
        <f t="shared" si="400"/>
        <v>0</v>
      </c>
      <c r="AZ280" s="33">
        <f t="shared" si="400"/>
        <v>0</v>
      </c>
      <c r="BA280" s="33">
        <f t="shared" si="400"/>
        <v>0</v>
      </c>
      <c r="BB280" s="33">
        <f t="shared" si="400"/>
        <v>0</v>
      </c>
      <c r="BC280" s="33">
        <f t="shared" si="400"/>
        <v>0</v>
      </c>
      <c r="BD280" s="33">
        <f t="shared" si="400"/>
        <v>0</v>
      </c>
      <c r="BE280" s="33">
        <f t="shared" si="400"/>
        <v>0</v>
      </c>
      <c r="BF280" s="33">
        <f t="shared" si="400"/>
        <v>0</v>
      </c>
      <c r="BG280" s="33">
        <f t="shared" si="400"/>
        <v>0</v>
      </c>
      <c r="BH280" s="33">
        <f t="shared" si="400"/>
        <v>0</v>
      </c>
      <c r="BI280" s="33">
        <f t="shared" si="400"/>
        <v>0</v>
      </c>
      <c r="BJ280" s="33">
        <f t="shared" si="400"/>
        <v>0</v>
      </c>
      <c r="BK280" s="33">
        <f t="shared" si="400"/>
        <v>0</v>
      </c>
      <c r="BL280" s="33">
        <f t="shared" si="400"/>
        <v>0</v>
      </c>
      <c r="BM280" s="33">
        <f t="shared" si="400"/>
        <v>0</v>
      </c>
      <c r="BN280" s="33">
        <f t="shared" si="400"/>
        <v>0</v>
      </c>
      <c r="BO280" s="33">
        <f t="shared" si="400"/>
        <v>0</v>
      </c>
      <c r="BP280" s="33">
        <f t="shared" si="400"/>
        <v>0</v>
      </c>
      <c r="BQ280" s="33">
        <f t="shared" si="400"/>
        <v>0</v>
      </c>
      <c r="BR280" s="33">
        <f t="shared" si="400"/>
        <v>0</v>
      </c>
      <c r="BS280" s="33">
        <f t="shared" si="400"/>
        <v>0</v>
      </c>
      <c r="BT280" s="33">
        <f t="shared" ref="BT280:BY280" si="401">+IF(AND(BT$275=$C282,BT$275&lt;0),1,0)</f>
        <v>0</v>
      </c>
      <c r="BU280" s="33">
        <f t="shared" si="401"/>
        <v>0</v>
      </c>
      <c r="BV280" s="33">
        <f t="shared" si="401"/>
        <v>0</v>
      </c>
      <c r="BW280" s="33">
        <f t="shared" si="401"/>
        <v>0</v>
      </c>
      <c r="BX280" s="33">
        <f t="shared" si="401"/>
        <v>0</v>
      </c>
      <c r="BY280" s="33">
        <f t="shared" si="401"/>
        <v>0</v>
      </c>
    </row>
    <row r="281" spans="3:77" outlineLevel="1">
      <c r="C281" s="32" t="e" cm="1" vm="2">
        <f t="array" ref="C281">+TRANSPOSE(_xlfn._xlws.FILTER(H275:BY275,H275:BY275))</f>
        <v>#VALUE!</v>
      </c>
      <c r="D281" s="31"/>
      <c r="E281" t="s">
        <v>503</v>
      </c>
      <c r="F281" s="23" t="s">
        <v>500</v>
      </c>
      <c r="H281" s="33">
        <f t="shared" ref="H281:BS281" si="402">+IF(AND(H$275=$C283,H$275&lt;0),1,0)</f>
        <v>0</v>
      </c>
      <c r="I281" s="33">
        <f t="shared" si="402"/>
        <v>0</v>
      </c>
      <c r="J281" s="33">
        <f t="shared" si="402"/>
        <v>0</v>
      </c>
      <c r="K281" s="33">
        <f t="shared" si="402"/>
        <v>0</v>
      </c>
      <c r="L281" s="33">
        <f t="shared" si="402"/>
        <v>0</v>
      </c>
      <c r="M281" s="33">
        <f t="shared" si="402"/>
        <v>0</v>
      </c>
      <c r="N281" s="33">
        <f t="shared" si="402"/>
        <v>0</v>
      </c>
      <c r="O281" s="33">
        <f t="shared" si="402"/>
        <v>0</v>
      </c>
      <c r="P281" s="33">
        <f t="shared" si="402"/>
        <v>0</v>
      </c>
      <c r="Q281" s="33">
        <f t="shared" si="402"/>
        <v>0</v>
      </c>
      <c r="R281" s="33">
        <f t="shared" si="402"/>
        <v>0</v>
      </c>
      <c r="S281" s="33">
        <f t="shared" si="402"/>
        <v>0</v>
      </c>
      <c r="T281" s="33">
        <f t="shared" si="402"/>
        <v>0</v>
      </c>
      <c r="U281" s="33">
        <f t="shared" si="402"/>
        <v>0</v>
      </c>
      <c r="V281" s="33">
        <f t="shared" si="402"/>
        <v>0</v>
      </c>
      <c r="W281" s="33">
        <f t="shared" si="402"/>
        <v>0</v>
      </c>
      <c r="X281" s="33">
        <f t="shared" si="402"/>
        <v>0</v>
      </c>
      <c r="Y281" s="33">
        <f t="shared" si="402"/>
        <v>0</v>
      </c>
      <c r="Z281" s="33">
        <f t="shared" si="402"/>
        <v>0</v>
      </c>
      <c r="AA281" s="33">
        <f t="shared" si="402"/>
        <v>0</v>
      </c>
      <c r="AB281" s="33">
        <f t="shared" si="402"/>
        <v>0</v>
      </c>
      <c r="AC281" s="33">
        <f t="shared" si="402"/>
        <v>0</v>
      </c>
      <c r="AD281" s="33">
        <f t="shared" si="402"/>
        <v>0</v>
      </c>
      <c r="AE281" s="33">
        <f t="shared" si="402"/>
        <v>0</v>
      </c>
      <c r="AF281" s="33">
        <f t="shared" si="402"/>
        <v>0</v>
      </c>
      <c r="AG281" s="33">
        <f t="shared" si="402"/>
        <v>0</v>
      </c>
      <c r="AH281" s="33">
        <f t="shared" si="402"/>
        <v>0</v>
      </c>
      <c r="AI281" s="33">
        <f t="shared" si="402"/>
        <v>0</v>
      </c>
      <c r="AJ281" s="33">
        <f t="shared" si="402"/>
        <v>0</v>
      </c>
      <c r="AK281" s="33">
        <f t="shared" si="402"/>
        <v>0</v>
      </c>
      <c r="AL281" s="33">
        <f t="shared" si="402"/>
        <v>0</v>
      </c>
      <c r="AM281" s="33">
        <f t="shared" si="402"/>
        <v>0</v>
      </c>
      <c r="AN281" s="33">
        <f t="shared" si="402"/>
        <v>0</v>
      </c>
      <c r="AO281" s="33">
        <f t="shared" si="402"/>
        <v>0</v>
      </c>
      <c r="AP281" s="33">
        <f t="shared" si="402"/>
        <v>0</v>
      </c>
      <c r="AQ281" s="33">
        <f t="shared" si="402"/>
        <v>0</v>
      </c>
      <c r="AR281" s="33">
        <f t="shared" si="402"/>
        <v>0</v>
      </c>
      <c r="AS281" s="33">
        <f t="shared" si="402"/>
        <v>0</v>
      </c>
      <c r="AT281" s="33">
        <f t="shared" si="402"/>
        <v>0</v>
      </c>
      <c r="AU281" s="33">
        <f t="shared" si="402"/>
        <v>0</v>
      </c>
      <c r="AV281" s="33">
        <f t="shared" si="402"/>
        <v>0</v>
      </c>
      <c r="AW281" s="33">
        <f t="shared" si="402"/>
        <v>0</v>
      </c>
      <c r="AX281" s="33">
        <f t="shared" si="402"/>
        <v>0</v>
      </c>
      <c r="AY281" s="33">
        <f t="shared" si="402"/>
        <v>0</v>
      </c>
      <c r="AZ281" s="33">
        <f t="shared" si="402"/>
        <v>0</v>
      </c>
      <c r="BA281" s="33">
        <f t="shared" si="402"/>
        <v>0</v>
      </c>
      <c r="BB281" s="33">
        <f t="shared" si="402"/>
        <v>0</v>
      </c>
      <c r="BC281" s="33">
        <f t="shared" si="402"/>
        <v>0</v>
      </c>
      <c r="BD281" s="33">
        <f t="shared" si="402"/>
        <v>0</v>
      </c>
      <c r="BE281" s="33">
        <f t="shared" si="402"/>
        <v>0</v>
      </c>
      <c r="BF281" s="33">
        <f t="shared" si="402"/>
        <v>0</v>
      </c>
      <c r="BG281" s="33">
        <f t="shared" si="402"/>
        <v>0</v>
      </c>
      <c r="BH281" s="33">
        <f t="shared" si="402"/>
        <v>0</v>
      </c>
      <c r="BI281" s="33">
        <f t="shared" si="402"/>
        <v>0</v>
      </c>
      <c r="BJ281" s="33">
        <f t="shared" si="402"/>
        <v>0</v>
      </c>
      <c r="BK281" s="33">
        <f t="shared" si="402"/>
        <v>0</v>
      </c>
      <c r="BL281" s="33">
        <f t="shared" si="402"/>
        <v>0</v>
      </c>
      <c r="BM281" s="33">
        <f t="shared" si="402"/>
        <v>0</v>
      </c>
      <c r="BN281" s="33">
        <f t="shared" si="402"/>
        <v>0</v>
      </c>
      <c r="BO281" s="33">
        <f t="shared" si="402"/>
        <v>0</v>
      </c>
      <c r="BP281" s="33">
        <f t="shared" si="402"/>
        <v>0</v>
      </c>
      <c r="BQ281" s="33">
        <f t="shared" si="402"/>
        <v>0</v>
      </c>
      <c r="BR281" s="33">
        <f t="shared" si="402"/>
        <v>0</v>
      </c>
      <c r="BS281" s="33">
        <f t="shared" si="402"/>
        <v>0</v>
      </c>
      <c r="BT281" s="33">
        <f t="shared" ref="BT281:BY281" si="403">+IF(AND(BT$275=$C283,BT$275&lt;0),1,0)</f>
        <v>0</v>
      </c>
      <c r="BU281" s="33">
        <f t="shared" si="403"/>
        <v>0</v>
      </c>
      <c r="BV281" s="33">
        <f t="shared" si="403"/>
        <v>0</v>
      </c>
      <c r="BW281" s="33">
        <f t="shared" si="403"/>
        <v>0</v>
      </c>
      <c r="BX281" s="33">
        <f t="shared" si="403"/>
        <v>0</v>
      </c>
      <c r="BY281" s="33">
        <f t="shared" si="403"/>
        <v>0</v>
      </c>
    </row>
    <row r="282" spans="3:77" outlineLevel="1">
      <c r="C282" s="32"/>
      <c r="D282" s="31"/>
      <c r="E282" t="s">
        <v>504</v>
      </c>
      <c r="F282" s="23" t="s">
        <v>500</v>
      </c>
      <c r="H282" s="33">
        <f t="shared" ref="H282:BS282" si="404">+IF(AND(H$275=$C284,H$275&lt;0),1,0)</f>
        <v>0</v>
      </c>
      <c r="I282" s="33">
        <f t="shared" si="404"/>
        <v>0</v>
      </c>
      <c r="J282" s="33">
        <f t="shared" si="404"/>
        <v>0</v>
      </c>
      <c r="K282" s="33">
        <f t="shared" si="404"/>
        <v>0</v>
      </c>
      <c r="L282" s="33">
        <f t="shared" si="404"/>
        <v>0</v>
      </c>
      <c r="M282" s="33">
        <f t="shared" si="404"/>
        <v>0</v>
      </c>
      <c r="N282" s="33">
        <f t="shared" si="404"/>
        <v>0</v>
      </c>
      <c r="O282" s="33">
        <f t="shared" si="404"/>
        <v>0</v>
      </c>
      <c r="P282" s="33">
        <f t="shared" si="404"/>
        <v>0</v>
      </c>
      <c r="Q282" s="33">
        <f t="shared" si="404"/>
        <v>0</v>
      </c>
      <c r="R282" s="33">
        <f t="shared" si="404"/>
        <v>0</v>
      </c>
      <c r="S282" s="33">
        <f t="shared" si="404"/>
        <v>0</v>
      </c>
      <c r="T282" s="33">
        <f t="shared" si="404"/>
        <v>0</v>
      </c>
      <c r="U282" s="33">
        <f t="shared" si="404"/>
        <v>0</v>
      </c>
      <c r="V282" s="33">
        <f t="shared" si="404"/>
        <v>0</v>
      </c>
      <c r="W282" s="33">
        <f t="shared" si="404"/>
        <v>0</v>
      </c>
      <c r="X282" s="33">
        <f t="shared" si="404"/>
        <v>0</v>
      </c>
      <c r="Y282" s="33">
        <f t="shared" si="404"/>
        <v>0</v>
      </c>
      <c r="Z282" s="33">
        <f t="shared" si="404"/>
        <v>0</v>
      </c>
      <c r="AA282" s="33">
        <f t="shared" si="404"/>
        <v>0</v>
      </c>
      <c r="AB282" s="33">
        <f t="shared" si="404"/>
        <v>0</v>
      </c>
      <c r="AC282" s="33">
        <f t="shared" si="404"/>
        <v>0</v>
      </c>
      <c r="AD282" s="33">
        <f t="shared" si="404"/>
        <v>0</v>
      </c>
      <c r="AE282" s="33">
        <f t="shared" si="404"/>
        <v>0</v>
      </c>
      <c r="AF282" s="33">
        <f t="shared" si="404"/>
        <v>0</v>
      </c>
      <c r="AG282" s="33">
        <f t="shared" si="404"/>
        <v>0</v>
      </c>
      <c r="AH282" s="33">
        <f t="shared" si="404"/>
        <v>0</v>
      </c>
      <c r="AI282" s="33">
        <f t="shared" si="404"/>
        <v>0</v>
      </c>
      <c r="AJ282" s="33">
        <f t="shared" si="404"/>
        <v>0</v>
      </c>
      <c r="AK282" s="33">
        <f t="shared" si="404"/>
        <v>0</v>
      </c>
      <c r="AL282" s="33">
        <f t="shared" si="404"/>
        <v>0</v>
      </c>
      <c r="AM282" s="33">
        <f t="shared" si="404"/>
        <v>0</v>
      </c>
      <c r="AN282" s="33">
        <f t="shared" si="404"/>
        <v>0</v>
      </c>
      <c r="AO282" s="33">
        <f t="shared" si="404"/>
        <v>0</v>
      </c>
      <c r="AP282" s="33">
        <f t="shared" si="404"/>
        <v>0</v>
      </c>
      <c r="AQ282" s="33">
        <f t="shared" si="404"/>
        <v>0</v>
      </c>
      <c r="AR282" s="33">
        <f t="shared" si="404"/>
        <v>0</v>
      </c>
      <c r="AS282" s="33">
        <f t="shared" si="404"/>
        <v>0</v>
      </c>
      <c r="AT282" s="33">
        <f t="shared" si="404"/>
        <v>0</v>
      </c>
      <c r="AU282" s="33">
        <f t="shared" si="404"/>
        <v>0</v>
      </c>
      <c r="AV282" s="33">
        <f t="shared" si="404"/>
        <v>0</v>
      </c>
      <c r="AW282" s="33">
        <f t="shared" si="404"/>
        <v>0</v>
      </c>
      <c r="AX282" s="33">
        <f t="shared" si="404"/>
        <v>0</v>
      </c>
      <c r="AY282" s="33">
        <f t="shared" si="404"/>
        <v>0</v>
      </c>
      <c r="AZ282" s="33">
        <f t="shared" si="404"/>
        <v>0</v>
      </c>
      <c r="BA282" s="33">
        <f t="shared" si="404"/>
        <v>0</v>
      </c>
      <c r="BB282" s="33">
        <f t="shared" si="404"/>
        <v>0</v>
      </c>
      <c r="BC282" s="33">
        <f t="shared" si="404"/>
        <v>0</v>
      </c>
      <c r="BD282" s="33">
        <f t="shared" si="404"/>
        <v>0</v>
      </c>
      <c r="BE282" s="33">
        <f t="shared" si="404"/>
        <v>0</v>
      </c>
      <c r="BF282" s="33">
        <f t="shared" si="404"/>
        <v>0</v>
      </c>
      <c r="BG282" s="33">
        <f t="shared" si="404"/>
        <v>0</v>
      </c>
      <c r="BH282" s="33">
        <f t="shared" si="404"/>
        <v>0</v>
      </c>
      <c r="BI282" s="33">
        <f t="shared" si="404"/>
        <v>0</v>
      </c>
      <c r="BJ282" s="33">
        <f t="shared" si="404"/>
        <v>0</v>
      </c>
      <c r="BK282" s="33">
        <f t="shared" si="404"/>
        <v>0</v>
      </c>
      <c r="BL282" s="33">
        <f t="shared" si="404"/>
        <v>0</v>
      </c>
      <c r="BM282" s="33">
        <f t="shared" si="404"/>
        <v>0</v>
      </c>
      <c r="BN282" s="33">
        <f t="shared" si="404"/>
        <v>0</v>
      </c>
      <c r="BO282" s="33">
        <f t="shared" si="404"/>
        <v>0</v>
      </c>
      <c r="BP282" s="33">
        <f t="shared" si="404"/>
        <v>0</v>
      </c>
      <c r="BQ282" s="33">
        <f t="shared" si="404"/>
        <v>0</v>
      </c>
      <c r="BR282" s="33">
        <f t="shared" si="404"/>
        <v>0</v>
      </c>
      <c r="BS282" s="33">
        <f t="shared" si="404"/>
        <v>0</v>
      </c>
      <c r="BT282" s="33">
        <f t="shared" ref="BT282:BY282" si="405">+IF(AND(BT$275=$C284,BT$275&lt;0),1,0)</f>
        <v>0</v>
      </c>
      <c r="BU282" s="33">
        <f t="shared" si="405"/>
        <v>0</v>
      </c>
      <c r="BV282" s="33">
        <f t="shared" si="405"/>
        <v>0</v>
      </c>
      <c r="BW282" s="33">
        <f t="shared" si="405"/>
        <v>0</v>
      </c>
      <c r="BX282" s="33">
        <f t="shared" si="405"/>
        <v>0</v>
      </c>
      <c r="BY282" s="33">
        <f t="shared" si="405"/>
        <v>0</v>
      </c>
    </row>
    <row r="283" spans="3:77" outlineLevel="1">
      <c r="C283" s="32"/>
      <c r="D283" s="31"/>
      <c r="E283" t="s">
        <v>505</v>
      </c>
      <c r="F283" s="23" t="s">
        <v>500</v>
      </c>
      <c r="H283" s="33">
        <f t="shared" ref="H283:BS283" si="406">+IF(AND(H$275=$C285,H$275&lt;0),1,0)</f>
        <v>0</v>
      </c>
      <c r="I283" s="33">
        <f t="shared" si="406"/>
        <v>0</v>
      </c>
      <c r="J283" s="33">
        <f t="shared" si="406"/>
        <v>0</v>
      </c>
      <c r="K283" s="33">
        <f t="shared" si="406"/>
        <v>0</v>
      </c>
      <c r="L283" s="33">
        <f t="shared" si="406"/>
        <v>0</v>
      </c>
      <c r="M283" s="33">
        <f t="shared" si="406"/>
        <v>0</v>
      </c>
      <c r="N283" s="33">
        <f t="shared" si="406"/>
        <v>0</v>
      </c>
      <c r="O283" s="33">
        <f t="shared" si="406"/>
        <v>0</v>
      </c>
      <c r="P283" s="33">
        <f t="shared" si="406"/>
        <v>0</v>
      </c>
      <c r="Q283" s="33">
        <f t="shared" si="406"/>
        <v>0</v>
      </c>
      <c r="R283" s="33">
        <f t="shared" si="406"/>
        <v>0</v>
      </c>
      <c r="S283" s="33">
        <f t="shared" si="406"/>
        <v>0</v>
      </c>
      <c r="T283" s="33">
        <f t="shared" si="406"/>
        <v>0</v>
      </c>
      <c r="U283" s="33">
        <f t="shared" si="406"/>
        <v>0</v>
      </c>
      <c r="V283" s="33">
        <f t="shared" si="406"/>
        <v>0</v>
      </c>
      <c r="W283" s="33">
        <f t="shared" si="406"/>
        <v>0</v>
      </c>
      <c r="X283" s="33">
        <f t="shared" si="406"/>
        <v>0</v>
      </c>
      <c r="Y283" s="33">
        <f t="shared" si="406"/>
        <v>0</v>
      </c>
      <c r="Z283" s="33">
        <f t="shared" si="406"/>
        <v>0</v>
      </c>
      <c r="AA283" s="33">
        <f t="shared" si="406"/>
        <v>0</v>
      </c>
      <c r="AB283" s="33">
        <f t="shared" si="406"/>
        <v>0</v>
      </c>
      <c r="AC283" s="33">
        <f t="shared" si="406"/>
        <v>0</v>
      </c>
      <c r="AD283" s="33">
        <f t="shared" si="406"/>
        <v>0</v>
      </c>
      <c r="AE283" s="33">
        <f t="shared" si="406"/>
        <v>0</v>
      </c>
      <c r="AF283" s="33">
        <f t="shared" si="406"/>
        <v>0</v>
      </c>
      <c r="AG283" s="33">
        <f t="shared" si="406"/>
        <v>0</v>
      </c>
      <c r="AH283" s="33">
        <f t="shared" si="406"/>
        <v>0</v>
      </c>
      <c r="AI283" s="33">
        <f t="shared" si="406"/>
        <v>0</v>
      </c>
      <c r="AJ283" s="33">
        <f t="shared" si="406"/>
        <v>0</v>
      </c>
      <c r="AK283" s="33">
        <f t="shared" si="406"/>
        <v>0</v>
      </c>
      <c r="AL283" s="33">
        <f t="shared" si="406"/>
        <v>0</v>
      </c>
      <c r="AM283" s="33">
        <f t="shared" si="406"/>
        <v>0</v>
      </c>
      <c r="AN283" s="33">
        <f t="shared" si="406"/>
        <v>0</v>
      </c>
      <c r="AO283" s="33">
        <f t="shared" si="406"/>
        <v>0</v>
      </c>
      <c r="AP283" s="33">
        <f t="shared" si="406"/>
        <v>0</v>
      </c>
      <c r="AQ283" s="33">
        <f t="shared" si="406"/>
        <v>0</v>
      </c>
      <c r="AR283" s="33">
        <f t="shared" si="406"/>
        <v>0</v>
      </c>
      <c r="AS283" s="33">
        <f t="shared" si="406"/>
        <v>0</v>
      </c>
      <c r="AT283" s="33">
        <f t="shared" si="406"/>
        <v>0</v>
      </c>
      <c r="AU283" s="33">
        <f t="shared" si="406"/>
        <v>0</v>
      </c>
      <c r="AV283" s="33">
        <f t="shared" si="406"/>
        <v>0</v>
      </c>
      <c r="AW283" s="33">
        <f t="shared" si="406"/>
        <v>0</v>
      </c>
      <c r="AX283" s="33">
        <f t="shared" si="406"/>
        <v>0</v>
      </c>
      <c r="AY283" s="33">
        <f t="shared" si="406"/>
        <v>0</v>
      </c>
      <c r="AZ283" s="33">
        <f t="shared" si="406"/>
        <v>0</v>
      </c>
      <c r="BA283" s="33">
        <f t="shared" si="406"/>
        <v>0</v>
      </c>
      <c r="BB283" s="33">
        <f t="shared" si="406"/>
        <v>0</v>
      </c>
      <c r="BC283" s="33">
        <f t="shared" si="406"/>
        <v>0</v>
      </c>
      <c r="BD283" s="33">
        <f t="shared" si="406"/>
        <v>0</v>
      </c>
      <c r="BE283" s="33">
        <f t="shared" si="406"/>
        <v>0</v>
      </c>
      <c r="BF283" s="33">
        <f t="shared" si="406"/>
        <v>0</v>
      </c>
      <c r="BG283" s="33">
        <f t="shared" si="406"/>
        <v>0</v>
      </c>
      <c r="BH283" s="33">
        <f t="shared" si="406"/>
        <v>0</v>
      </c>
      <c r="BI283" s="33">
        <f t="shared" si="406"/>
        <v>0</v>
      </c>
      <c r="BJ283" s="33">
        <f t="shared" si="406"/>
        <v>0</v>
      </c>
      <c r="BK283" s="33">
        <f t="shared" si="406"/>
        <v>0</v>
      </c>
      <c r="BL283" s="33">
        <f t="shared" si="406"/>
        <v>0</v>
      </c>
      <c r="BM283" s="33">
        <f t="shared" si="406"/>
        <v>0</v>
      </c>
      <c r="BN283" s="33">
        <f t="shared" si="406"/>
        <v>0</v>
      </c>
      <c r="BO283" s="33">
        <f t="shared" si="406"/>
        <v>0</v>
      </c>
      <c r="BP283" s="33">
        <f t="shared" si="406"/>
        <v>0</v>
      </c>
      <c r="BQ283" s="33">
        <f t="shared" si="406"/>
        <v>0</v>
      </c>
      <c r="BR283" s="33">
        <f t="shared" si="406"/>
        <v>0</v>
      </c>
      <c r="BS283" s="33">
        <f t="shared" si="406"/>
        <v>0</v>
      </c>
      <c r="BT283" s="33">
        <f t="shared" ref="BT283:BY283" si="407">+IF(AND(BT$275=$C285,BT$275&lt;0),1,0)</f>
        <v>0</v>
      </c>
      <c r="BU283" s="33">
        <f t="shared" si="407"/>
        <v>0</v>
      </c>
      <c r="BV283" s="33">
        <f t="shared" si="407"/>
        <v>0</v>
      </c>
      <c r="BW283" s="33">
        <f t="shared" si="407"/>
        <v>0</v>
      </c>
      <c r="BX283" s="33">
        <f t="shared" si="407"/>
        <v>0</v>
      </c>
      <c r="BY283" s="33">
        <f t="shared" si="407"/>
        <v>0</v>
      </c>
    </row>
    <row r="284" spans="3:77" outlineLevel="1">
      <c r="C284" s="32"/>
      <c r="D284" s="31"/>
      <c r="E284" t="s">
        <v>506</v>
      </c>
      <c r="F284" s="23" t="s">
        <v>500</v>
      </c>
      <c r="H284" s="33">
        <f t="shared" ref="H284:BS284" si="408">+IF(AND(H$275=$C286,H$275&lt;0),1,0)</f>
        <v>0</v>
      </c>
      <c r="I284" s="33">
        <f t="shared" si="408"/>
        <v>0</v>
      </c>
      <c r="J284" s="33">
        <f t="shared" si="408"/>
        <v>0</v>
      </c>
      <c r="K284" s="33">
        <f t="shared" si="408"/>
        <v>0</v>
      </c>
      <c r="L284" s="33">
        <f t="shared" si="408"/>
        <v>0</v>
      </c>
      <c r="M284" s="33">
        <f t="shared" si="408"/>
        <v>0</v>
      </c>
      <c r="N284" s="33">
        <f t="shared" si="408"/>
        <v>0</v>
      </c>
      <c r="O284" s="33">
        <f t="shared" si="408"/>
        <v>0</v>
      </c>
      <c r="P284" s="33">
        <f t="shared" si="408"/>
        <v>0</v>
      </c>
      <c r="Q284" s="33">
        <f t="shared" si="408"/>
        <v>0</v>
      </c>
      <c r="R284" s="33">
        <f t="shared" si="408"/>
        <v>0</v>
      </c>
      <c r="S284" s="33">
        <f t="shared" si="408"/>
        <v>0</v>
      </c>
      <c r="T284" s="33">
        <f t="shared" si="408"/>
        <v>0</v>
      </c>
      <c r="U284" s="33">
        <f t="shared" si="408"/>
        <v>0</v>
      </c>
      <c r="V284" s="33">
        <f t="shared" si="408"/>
        <v>0</v>
      </c>
      <c r="W284" s="33">
        <f t="shared" si="408"/>
        <v>0</v>
      </c>
      <c r="X284" s="33">
        <f t="shared" si="408"/>
        <v>0</v>
      </c>
      <c r="Y284" s="33">
        <f t="shared" si="408"/>
        <v>0</v>
      </c>
      <c r="Z284" s="33">
        <f t="shared" si="408"/>
        <v>0</v>
      </c>
      <c r="AA284" s="33">
        <f t="shared" si="408"/>
        <v>0</v>
      </c>
      <c r="AB284" s="33">
        <f t="shared" si="408"/>
        <v>0</v>
      </c>
      <c r="AC284" s="33">
        <f t="shared" si="408"/>
        <v>0</v>
      </c>
      <c r="AD284" s="33">
        <f t="shared" si="408"/>
        <v>0</v>
      </c>
      <c r="AE284" s="33">
        <f t="shared" si="408"/>
        <v>0</v>
      </c>
      <c r="AF284" s="33">
        <f t="shared" si="408"/>
        <v>0</v>
      </c>
      <c r="AG284" s="33">
        <f t="shared" si="408"/>
        <v>0</v>
      </c>
      <c r="AH284" s="33">
        <f t="shared" si="408"/>
        <v>0</v>
      </c>
      <c r="AI284" s="33">
        <f t="shared" si="408"/>
        <v>0</v>
      </c>
      <c r="AJ284" s="33">
        <f t="shared" si="408"/>
        <v>0</v>
      </c>
      <c r="AK284" s="33">
        <f t="shared" si="408"/>
        <v>0</v>
      </c>
      <c r="AL284" s="33">
        <f t="shared" si="408"/>
        <v>0</v>
      </c>
      <c r="AM284" s="33">
        <f t="shared" si="408"/>
        <v>0</v>
      </c>
      <c r="AN284" s="33">
        <f t="shared" si="408"/>
        <v>0</v>
      </c>
      <c r="AO284" s="33">
        <f t="shared" si="408"/>
        <v>0</v>
      </c>
      <c r="AP284" s="33">
        <f t="shared" si="408"/>
        <v>0</v>
      </c>
      <c r="AQ284" s="33">
        <f t="shared" si="408"/>
        <v>0</v>
      </c>
      <c r="AR284" s="33">
        <f t="shared" si="408"/>
        <v>0</v>
      </c>
      <c r="AS284" s="33">
        <f t="shared" si="408"/>
        <v>0</v>
      </c>
      <c r="AT284" s="33">
        <f t="shared" si="408"/>
        <v>0</v>
      </c>
      <c r="AU284" s="33">
        <f t="shared" si="408"/>
        <v>0</v>
      </c>
      <c r="AV284" s="33">
        <f t="shared" si="408"/>
        <v>0</v>
      </c>
      <c r="AW284" s="33">
        <f t="shared" si="408"/>
        <v>0</v>
      </c>
      <c r="AX284" s="33">
        <f t="shared" si="408"/>
        <v>0</v>
      </c>
      <c r="AY284" s="33">
        <f t="shared" si="408"/>
        <v>0</v>
      </c>
      <c r="AZ284" s="33">
        <f t="shared" si="408"/>
        <v>0</v>
      </c>
      <c r="BA284" s="33">
        <f t="shared" si="408"/>
        <v>0</v>
      </c>
      <c r="BB284" s="33">
        <f t="shared" si="408"/>
        <v>0</v>
      </c>
      <c r="BC284" s="33">
        <f t="shared" si="408"/>
        <v>0</v>
      </c>
      <c r="BD284" s="33">
        <f t="shared" si="408"/>
        <v>0</v>
      </c>
      <c r="BE284" s="33">
        <f t="shared" si="408"/>
        <v>0</v>
      </c>
      <c r="BF284" s="33">
        <f t="shared" si="408"/>
        <v>0</v>
      </c>
      <c r="BG284" s="33">
        <f t="shared" si="408"/>
        <v>0</v>
      </c>
      <c r="BH284" s="33">
        <f t="shared" si="408"/>
        <v>0</v>
      </c>
      <c r="BI284" s="33">
        <f t="shared" si="408"/>
        <v>0</v>
      </c>
      <c r="BJ284" s="33">
        <f t="shared" si="408"/>
        <v>0</v>
      </c>
      <c r="BK284" s="33">
        <f t="shared" si="408"/>
        <v>0</v>
      </c>
      <c r="BL284" s="33">
        <f t="shared" si="408"/>
        <v>0</v>
      </c>
      <c r="BM284" s="33">
        <f t="shared" si="408"/>
        <v>0</v>
      </c>
      <c r="BN284" s="33">
        <f t="shared" si="408"/>
        <v>0</v>
      </c>
      <c r="BO284" s="33">
        <f t="shared" si="408"/>
        <v>0</v>
      </c>
      <c r="BP284" s="33">
        <f t="shared" si="408"/>
        <v>0</v>
      </c>
      <c r="BQ284" s="33">
        <f t="shared" si="408"/>
        <v>0</v>
      </c>
      <c r="BR284" s="33">
        <f t="shared" si="408"/>
        <v>0</v>
      </c>
      <c r="BS284" s="33">
        <f t="shared" si="408"/>
        <v>0</v>
      </c>
      <c r="BT284" s="33">
        <f t="shared" ref="BT284:BY284" si="409">+IF(AND(BT$275=$C286,BT$275&lt;0),1,0)</f>
        <v>0</v>
      </c>
      <c r="BU284" s="33">
        <f t="shared" si="409"/>
        <v>0</v>
      </c>
      <c r="BV284" s="33">
        <f t="shared" si="409"/>
        <v>0</v>
      </c>
      <c r="BW284" s="33">
        <f t="shared" si="409"/>
        <v>0</v>
      </c>
      <c r="BX284" s="33">
        <f t="shared" si="409"/>
        <v>0</v>
      </c>
      <c r="BY284" s="33">
        <f t="shared" si="409"/>
        <v>0</v>
      </c>
    </row>
    <row r="285" spans="3:77" outlineLevel="1">
      <c r="C285" s="32"/>
      <c r="D285" s="31"/>
      <c r="E285" t="s">
        <v>507</v>
      </c>
      <c r="F285" s="23" t="s">
        <v>500</v>
      </c>
      <c r="H285" s="33">
        <f t="shared" ref="H285:BS285" si="410">+IF(AND(H$275=$C287,H$275&lt;0),1,0)</f>
        <v>0</v>
      </c>
      <c r="I285" s="33">
        <f t="shared" si="410"/>
        <v>0</v>
      </c>
      <c r="J285" s="33">
        <f t="shared" si="410"/>
        <v>0</v>
      </c>
      <c r="K285" s="33">
        <f t="shared" si="410"/>
        <v>0</v>
      </c>
      <c r="L285" s="33">
        <f t="shared" si="410"/>
        <v>0</v>
      </c>
      <c r="M285" s="33">
        <f t="shared" si="410"/>
        <v>0</v>
      </c>
      <c r="N285" s="33">
        <f t="shared" si="410"/>
        <v>0</v>
      </c>
      <c r="O285" s="33">
        <f t="shared" si="410"/>
        <v>0</v>
      </c>
      <c r="P285" s="33">
        <f t="shared" si="410"/>
        <v>0</v>
      </c>
      <c r="Q285" s="33">
        <f t="shared" si="410"/>
        <v>0</v>
      </c>
      <c r="R285" s="33">
        <f t="shared" si="410"/>
        <v>0</v>
      </c>
      <c r="S285" s="33">
        <f t="shared" si="410"/>
        <v>0</v>
      </c>
      <c r="T285" s="33">
        <f t="shared" si="410"/>
        <v>0</v>
      </c>
      <c r="U285" s="33">
        <f t="shared" si="410"/>
        <v>0</v>
      </c>
      <c r="V285" s="33">
        <f t="shared" si="410"/>
        <v>0</v>
      </c>
      <c r="W285" s="33">
        <f t="shared" si="410"/>
        <v>0</v>
      </c>
      <c r="X285" s="33">
        <f t="shared" si="410"/>
        <v>0</v>
      </c>
      <c r="Y285" s="33">
        <f t="shared" si="410"/>
        <v>0</v>
      </c>
      <c r="Z285" s="33">
        <f t="shared" si="410"/>
        <v>0</v>
      </c>
      <c r="AA285" s="33">
        <f t="shared" si="410"/>
        <v>0</v>
      </c>
      <c r="AB285" s="33">
        <f t="shared" si="410"/>
        <v>0</v>
      </c>
      <c r="AC285" s="33">
        <f t="shared" si="410"/>
        <v>0</v>
      </c>
      <c r="AD285" s="33">
        <f t="shared" si="410"/>
        <v>0</v>
      </c>
      <c r="AE285" s="33">
        <f t="shared" si="410"/>
        <v>0</v>
      </c>
      <c r="AF285" s="33">
        <f t="shared" si="410"/>
        <v>0</v>
      </c>
      <c r="AG285" s="33">
        <f t="shared" si="410"/>
        <v>0</v>
      </c>
      <c r="AH285" s="33">
        <f t="shared" si="410"/>
        <v>0</v>
      </c>
      <c r="AI285" s="33">
        <f t="shared" si="410"/>
        <v>0</v>
      </c>
      <c r="AJ285" s="33">
        <f t="shared" si="410"/>
        <v>0</v>
      </c>
      <c r="AK285" s="33">
        <f t="shared" si="410"/>
        <v>0</v>
      </c>
      <c r="AL285" s="33">
        <f t="shared" si="410"/>
        <v>0</v>
      </c>
      <c r="AM285" s="33">
        <f t="shared" si="410"/>
        <v>0</v>
      </c>
      <c r="AN285" s="33">
        <f t="shared" si="410"/>
        <v>0</v>
      </c>
      <c r="AO285" s="33">
        <f t="shared" si="410"/>
        <v>0</v>
      </c>
      <c r="AP285" s="33">
        <f t="shared" si="410"/>
        <v>0</v>
      </c>
      <c r="AQ285" s="33">
        <f t="shared" si="410"/>
        <v>0</v>
      </c>
      <c r="AR285" s="33">
        <f t="shared" si="410"/>
        <v>0</v>
      </c>
      <c r="AS285" s="33">
        <f t="shared" si="410"/>
        <v>0</v>
      </c>
      <c r="AT285" s="33">
        <f t="shared" si="410"/>
        <v>0</v>
      </c>
      <c r="AU285" s="33">
        <f t="shared" si="410"/>
        <v>0</v>
      </c>
      <c r="AV285" s="33">
        <f t="shared" si="410"/>
        <v>0</v>
      </c>
      <c r="AW285" s="33">
        <f t="shared" si="410"/>
        <v>0</v>
      </c>
      <c r="AX285" s="33">
        <f t="shared" si="410"/>
        <v>0</v>
      </c>
      <c r="AY285" s="33">
        <f t="shared" si="410"/>
        <v>0</v>
      </c>
      <c r="AZ285" s="33">
        <f t="shared" si="410"/>
        <v>0</v>
      </c>
      <c r="BA285" s="33">
        <f t="shared" si="410"/>
        <v>0</v>
      </c>
      <c r="BB285" s="33">
        <f t="shared" si="410"/>
        <v>0</v>
      </c>
      <c r="BC285" s="33">
        <f t="shared" si="410"/>
        <v>0</v>
      </c>
      <c r="BD285" s="33">
        <f t="shared" si="410"/>
        <v>0</v>
      </c>
      <c r="BE285" s="33">
        <f t="shared" si="410"/>
        <v>0</v>
      </c>
      <c r="BF285" s="33">
        <f t="shared" si="410"/>
        <v>0</v>
      </c>
      <c r="BG285" s="33">
        <f t="shared" si="410"/>
        <v>0</v>
      </c>
      <c r="BH285" s="33">
        <f t="shared" si="410"/>
        <v>0</v>
      </c>
      <c r="BI285" s="33">
        <f t="shared" si="410"/>
        <v>0</v>
      </c>
      <c r="BJ285" s="33">
        <f t="shared" si="410"/>
        <v>0</v>
      </c>
      <c r="BK285" s="33">
        <f t="shared" si="410"/>
        <v>0</v>
      </c>
      <c r="BL285" s="33">
        <f t="shared" si="410"/>
        <v>0</v>
      </c>
      <c r="BM285" s="33">
        <f t="shared" si="410"/>
        <v>0</v>
      </c>
      <c r="BN285" s="33">
        <f t="shared" si="410"/>
        <v>0</v>
      </c>
      <c r="BO285" s="33">
        <f t="shared" si="410"/>
        <v>0</v>
      </c>
      <c r="BP285" s="33">
        <f t="shared" si="410"/>
        <v>0</v>
      </c>
      <c r="BQ285" s="33">
        <f t="shared" si="410"/>
        <v>0</v>
      </c>
      <c r="BR285" s="33">
        <f t="shared" si="410"/>
        <v>0</v>
      </c>
      <c r="BS285" s="33">
        <f t="shared" si="410"/>
        <v>0</v>
      </c>
      <c r="BT285" s="33">
        <f t="shared" ref="BT285:BY285" si="411">+IF(AND(BT$275=$C287,BT$275&lt;0),1,0)</f>
        <v>0</v>
      </c>
      <c r="BU285" s="33">
        <f t="shared" si="411"/>
        <v>0</v>
      </c>
      <c r="BV285" s="33">
        <f t="shared" si="411"/>
        <v>0</v>
      </c>
      <c r="BW285" s="33">
        <f t="shared" si="411"/>
        <v>0</v>
      </c>
      <c r="BX285" s="33">
        <f t="shared" si="411"/>
        <v>0</v>
      </c>
      <c r="BY285" s="33">
        <f t="shared" si="411"/>
        <v>0</v>
      </c>
    </row>
    <row r="286" spans="3:77" outlineLevel="1">
      <c r="C286" s="32"/>
      <c r="D286" s="31"/>
      <c r="E286" t="s">
        <v>508</v>
      </c>
      <c r="F286" s="23" t="s">
        <v>500</v>
      </c>
      <c r="H286" s="33">
        <f t="shared" ref="H286:BS286" si="412">+IF(AND(H$275=$C288,H$275&lt;0),1,0)</f>
        <v>0</v>
      </c>
      <c r="I286" s="33">
        <f t="shared" si="412"/>
        <v>0</v>
      </c>
      <c r="J286" s="33">
        <f t="shared" si="412"/>
        <v>0</v>
      </c>
      <c r="K286" s="33">
        <f t="shared" si="412"/>
        <v>0</v>
      </c>
      <c r="L286" s="33">
        <f t="shared" si="412"/>
        <v>0</v>
      </c>
      <c r="M286" s="33">
        <f t="shared" si="412"/>
        <v>0</v>
      </c>
      <c r="N286" s="33">
        <f t="shared" si="412"/>
        <v>0</v>
      </c>
      <c r="O286" s="33">
        <f t="shared" si="412"/>
        <v>0</v>
      </c>
      <c r="P286" s="33">
        <f t="shared" si="412"/>
        <v>0</v>
      </c>
      <c r="Q286" s="33">
        <f t="shared" si="412"/>
        <v>0</v>
      </c>
      <c r="R286" s="33">
        <f t="shared" si="412"/>
        <v>0</v>
      </c>
      <c r="S286" s="33">
        <f t="shared" si="412"/>
        <v>0</v>
      </c>
      <c r="T286" s="33">
        <f t="shared" si="412"/>
        <v>0</v>
      </c>
      <c r="U286" s="33">
        <f t="shared" si="412"/>
        <v>0</v>
      </c>
      <c r="V286" s="33">
        <f t="shared" si="412"/>
        <v>0</v>
      </c>
      <c r="W286" s="33">
        <f t="shared" si="412"/>
        <v>0</v>
      </c>
      <c r="X286" s="33">
        <f t="shared" si="412"/>
        <v>0</v>
      </c>
      <c r="Y286" s="33">
        <f t="shared" si="412"/>
        <v>0</v>
      </c>
      <c r="Z286" s="33">
        <f t="shared" si="412"/>
        <v>0</v>
      </c>
      <c r="AA286" s="33">
        <f t="shared" si="412"/>
        <v>0</v>
      </c>
      <c r="AB286" s="33">
        <f t="shared" si="412"/>
        <v>0</v>
      </c>
      <c r="AC286" s="33">
        <f t="shared" si="412"/>
        <v>0</v>
      </c>
      <c r="AD286" s="33">
        <f t="shared" si="412"/>
        <v>0</v>
      </c>
      <c r="AE286" s="33">
        <f t="shared" si="412"/>
        <v>0</v>
      </c>
      <c r="AF286" s="33">
        <f t="shared" si="412"/>
        <v>0</v>
      </c>
      <c r="AG286" s="33">
        <f t="shared" si="412"/>
        <v>0</v>
      </c>
      <c r="AH286" s="33">
        <f t="shared" si="412"/>
        <v>0</v>
      </c>
      <c r="AI286" s="33">
        <f t="shared" si="412"/>
        <v>0</v>
      </c>
      <c r="AJ286" s="33">
        <f t="shared" si="412"/>
        <v>0</v>
      </c>
      <c r="AK286" s="33">
        <f t="shared" si="412"/>
        <v>0</v>
      </c>
      <c r="AL286" s="33">
        <f t="shared" si="412"/>
        <v>0</v>
      </c>
      <c r="AM286" s="33">
        <f t="shared" si="412"/>
        <v>0</v>
      </c>
      <c r="AN286" s="33">
        <f t="shared" si="412"/>
        <v>0</v>
      </c>
      <c r="AO286" s="33">
        <f t="shared" si="412"/>
        <v>0</v>
      </c>
      <c r="AP286" s="33">
        <f t="shared" si="412"/>
        <v>0</v>
      </c>
      <c r="AQ286" s="33">
        <f t="shared" si="412"/>
        <v>0</v>
      </c>
      <c r="AR286" s="33">
        <f t="shared" si="412"/>
        <v>0</v>
      </c>
      <c r="AS286" s="33">
        <f t="shared" si="412"/>
        <v>0</v>
      </c>
      <c r="AT286" s="33">
        <f t="shared" si="412"/>
        <v>0</v>
      </c>
      <c r="AU286" s="33">
        <f t="shared" si="412"/>
        <v>0</v>
      </c>
      <c r="AV286" s="33">
        <f t="shared" si="412"/>
        <v>0</v>
      </c>
      <c r="AW286" s="33">
        <f t="shared" si="412"/>
        <v>0</v>
      </c>
      <c r="AX286" s="33">
        <f t="shared" si="412"/>
        <v>0</v>
      </c>
      <c r="AY286" s="33">
        <f t="shared" si="412"/>
        <v>0</v>
      </c>
      <c r="AZ286" s="33">
        <f t="shared" si="412"/>
        <v>0</v>
      </c>
      <c r="BA286" s="33">
        <f t="shared" si="412"/>
        <v>0</v>
      </c>
      <c r="BB286" s="33">
        <f t="shared" si="412"/>
        <v>0</v>
      </c>
      <c r="BC286" s="33">
        <f t="shared" si="412"/>
        <v>0</v>
      </c>
      <c r="BD286" s="33">
        <f t="shared" si="412"/>
        <v>0</v>
      </c>
      <c r="BE286" s="33">
        <f t="shared" si="412"/>
        <v>0</v>
      </c>
      <c r="BF286" s="33">
        <f t="shared" si="412"/>
        <v>0</v>
      </c>
      <c r="BG286" s="33">
        <f t="shared" si="412"/>
        <v>0</v>
      </c>
      <c r="BH286" s="33">
        <f t="shared" si="412"/>
        <v>0</v>
      </c>
      <c r="BI286" s="33">
        <f t="shared" si="412"/>
        <v>0</v>
      </c>
      <c r="BJ286" s="33">
        <f t="shared" si="412"/>
        <v>0</v>
      </c>
      <c r="BK286" s="33">
        <f t="shared" si="412"/>
        <v>0</v>
      </c>
      <c r="BL286" s="33">
        <f t="shared" si="412"/>
        <v>0</v>
      </c>
      <c r="BM286" s="33">
        <f t="shared" si="412"/>
        <v>0</v>
      </c>
      <c r="BN286" s="33">
        <f t="shared" si="412"/>
        <v>0</v>
      </c>
      <c r="BO286" s="33">
        <f t="shared" si="412"/>
        <v>0</v>
      </c>
      <c r="BP286" s="33">
        <f t="shared" si="412"/>
        <v>0</v>
      </c>
      <c r="BQ286" s="33">
        <f t="shared" si="412"/>
        <v>0</v>
      </c>
      <c r="BR286" s="33">
        <f t="shared" si="412"/>
        <v>0</v>
      </c>
      <c r="BS286" s="33">
        <f t="shared" si="412"/>
        <v>0</v>
      </c>
      <c r="BT286" s="33">
        <f t="shared" ref="BT286:BY286" si="413">+IF(AND(BT$275=$C288,BT$275&lt;0),1,0)</f>
        <v>0</v>
      </c>
      <c r="BU286" s="33">
        <f t="shared" si="413"/>
        <v>0</v>
      </c>
      <c r="BV286" s="33">
        <f t="shared" si="413"/>
        <v>0</v>
      </c>
      <c r="BW286" s="33">
        <f t="shared" si="413"/>
        <v>0</v>
      </c>
      <c r="BX286" s="33">
        <f t="shared" si="413"/>
        <v>0</v>
      </c>
      <c r="BY286" s="33">
        <f t="shared" si="413"/>
        <v>0</v>
      </c>
    </row>
    <row r="287" spans="3:77" outlineLevel="1">
      <c r="C287" s="32"/>
      <c r="D287" s="31"/>
      <c r="E287" t="s">
        <v>509</v>
      </c>
      <c r="F287" s="23" t="s">
        <v>500</v>
      </c>
      <c r="H287" s="33">
        <f t="shared" ref="H287:BS287" si="414">+IF(AND(H$275=$C289,H$275&lt;0),1,0)</f>
        <v>0</v>
      </c>
      <c r="I287" s="33">
        <f t="shared" si="414"/>
        <v>0</v>
      </c>
      <c r="J287" s="33">
        <f t="shared" si="414"/>
        <v>0</v>
      </c>
      <c r="K287" s="33">
        <f t="shared" si="414"/>
        <v>0</v>
      </c>
      <c r="L287" s="33">
        <f t="shared" si="414"/>
        <v>0</v>
      </c>
      <c r="M287" s="33">
        <f t="shared" si="414"/>
        <v>0</v>
      </c>
      <c r="N287" s="33">
        <f t="shared" si="414"/>
        <v>0</v>
      </c>
      <c r="O287" s="33">
        <f t="shared" si="414"/>
        <v>0</v>
      </c>
      <c r="P287" s="33">
        <f t="shared" si="414"/>
        <v>0</v>
      </c>
      <c r="Q287" s="33">
        <f t="shared" si="414"/>
        <v>0</v>
      </c>
      <c r="R287" s="33">
        <f t="shared" si="414"/>
        <v>0</v>
      </c>
      <c r="S287" s="33">
        <f t="shared" si="414"/>
        <v>0</v>
      </c>
      <c r="T287" s="33">
        <f t="shared" si="414"/>
        <v>0</v>
      </c>
      <c r="U287" s="33">
        <f t="shared" si="414"/>
        <v>0</v>
      </c>
      <c r="V287" s="33">
        <f t="shared" si="414"/>
        <v>0</v>
      </c>
      <c r="W287" s="33">
        <f t="shared" si="414"/>
        <v>0</v>
      </c>
      <c r="X287" s="33">
        <f t="shared" si="414"/>
        <v>0</v>
      </c>
      <c r="Y287" s="33">
        <f t="shared" si="414"/>
        <v>0</v>
      </c>
      <c r="Z287" s="33">
        <f t="shared" si="414"/>
        <v>0</v>
      </c>
      <c r="AA287" s="33">
        <f t="shared" si="414"/>
        <v>0</v>
      </c>
      <c r="AB287" s="33">
        <f t="shared" si="414"/>
        <v>0</v>
      </c>
      <c r="AC287" s="33">
        <f t="shared" si="414"/>
        <v>0</v>
      </c>
      <c r="AD287" s="33">
        <f t="shared" si="414"/>
        <v>0</v>
      </c>
      <c r="AE287" s="33">
        <f t="shared" si="414"/>
        <v>0</v>
      </c>
      <c r="AF287" s="33">
        <f t="shared" si="414"/>
        <v>0</v>
      </c>
      <c r="AG287" s="33">
        <f t="shared" si="414"/>
        <v>0</v>
      </c>
      <c r="AH287" s="33">
        <f t="shared" si="414"/>
        <v>0</v>
      </c>
      <c r="AI287" s="33">
        <f t="shared" si="414"/>
        <v>0</v>
      </c>
      <c r="AJ287" s="33">
        <f t="shared" si="414"/>
        <v>0</v>
      </c>
      <c r="AK287" s="33">
        <f t="shared" si="414"/>
        <v>0</v>
      </c>
      <c r="AL287" s="33">
        <f t="shared" si="414"/>
        <v>0</v>
      </c>
      <c r="AM287" s="33">
        <f t="shared" si="414"/>
        <v>0</v>
      </c>
      <c r="AN287" s="33">
        <f t="shared" si="414"/>
        <v>0</v>
      </c>
      <c r="AO287" s="33">
        <f t="shared" si="414"/>
        <v>0</v>
      </c>
      <c r="AP287" s="33">
        <f t="shared" si="414"/>
        <v>0</v>
      </c>
      <c r="AQ287" s="33">
        <f t="shared" si="414"/>
        <v>0</v>
      </c>
      <c r="AR287" s="33">
        <f t="shared" si="414"/>
        <v>0</v>
      </c>
      <c r="AS287" s="33">
        <f t="shared" si="414"/>
        <v>0</v>
      </c>
      <c r="AT287" s="33">
        <f t="shared" si="414"/>
        <v>0</v>
      </c>
      <c r="AU287" s="33">
        <f t="shared" si="414"/>
        <v>0</v>
      </c>
      <c r="AV287" s="33">
        <f t="shared" si="414"/>
        <v>0</v>
      </c>
      <c r="AW287" s="33">
        <f t="shared" si="414"/>
        <v>0</v>
      </c>
      <c r="AX287" s="33">
        <f t="shared" si="414"/>
        <v>0</v>
      </c>
      <c r="AY287" s="33">
        <f t="shared" si="414"/>
        <v>0</v>
      </c>
      <c r="AZ287" s="33">
        <f t="shared" si="414"/>
        <v>0</v>
      </c>
      <c r="BA287" s="33">
        <f t="shared" si="414"/>
        <v>0</v>
      </c>
      <c r="BB287" s="33">
        <f t="shared" si="414"/>
        <v>0</v>
      </c>
      <c r="BC287" s="33">
        <f t="shared" si="414"/>
        <v>0</v>
      </c>
      <c r="BD287" s="33">
        <f t="shared" si="414"/>
        <v>0</v>
      </c>
      <c r="BE287" s="33">
        <f t="shared" si="414"/>
        <v>0</v>
      </c>
      <c r="BF287" s="33">
        <f t="shared" si="414"/>
        <v>0</v>
      </c>
      <c r="BG287" s="33">
        <f t="shared" si="414"/>
        <v>0</v>
      </c>
      <c r="BH287" s="33">
        <f t="shared" si="414"/>
        <v>0</v>
      </c>
      <c r="BI287" s="33">
        <f t="shared" si="414"/>
        <v>0</v>
      </c>
      <c r="BJ287" s="33">
        <f t="shared" si="414"/>
        <v>0</v>
      </c>
      <c r="BK287" s="33">
        <f t="shared" si="414"/>
        <v>0</v>
      </c>
      <c r="BL287" s="33">
        <f t="shared" si="414"/>
        <v>0</v>
      </c>
      <c r="BM287" s="33">
        <f t="shared" si="414"/>
        <v>0</v>
      </c>
      <c r="BN287" s="33">
        <f t="shared" si="414"/>
        <v>0</v>
      </c>
      <c r="BO287" s="33">
        <f t="shared" si="414"/>
        <v>0</v>
      </c>
      <c r="BP287" s="33">
        <f t="shared" si="414"/>
        <v>0</v>
      </c>
      <c r="BQ287" s="33">
        <f t="shared" si="414"/>
        <v>0</v>
      </c>
      <c r="BR287" s="33">
        <f t="shared" si="414"/>
        <v>0</v>
      </c>
      <c r="BS287" s="33">
        <f t="shared" si="414"/>
        <v>0</v>
      </c>
      <c r="BT287" s="33">
        <f t="shared" ref="BT287:BY287" si="415">+IF(AND(BT$275=$C289,BT$275&lt;0),1,0)</f>
        <v>0</v>
      </c>
      <c r="BU287" s="33">
        <f t="shared" si="415"/>
        <v>0</v>
      </c>
      <c r="BV287" s="33">
        <f t="shared" si="415"/>
        <v>0</v>
      </c>
      <c r="BW287" s="33">
        <f t="shared" si="415"/>
        <v>0</v>
      </c>
      <c r="BX287" s="33">
        <f t="shared" si="415"/>
        <v>0</v>
      </c>
      <c r="BY287" s="33">
        <f t="shared" si="415"/>
        <v>0</v>
      </c>
    </row>
    <row r="288" spans="3:77" outlineLevel="1">
      <c r="C288" s="32"/>
      <c r="D288" s="31"/>
      <c r="E288" s="25" t="s">
        <v>510</v>
      </c>
      <c r="F288" s="30" t="s">
        <v>500</v>
      </c>
      <c r="G288" s="25"/>
      <c r="H288" s="34">
        <f t="shared" ref="H288:BS288" si="416">+IF(AND(H$275=$C290,H$275&lt;0),1,0)</f>
        <v>0</v>
      </c>
      <c r="I288" s="34">
        <f t="shared" si="416"/>
        <v>0</v>
      </c>
      <c r="J288" s="34">
        <f t="shared" si="416"/>
        <v>0</v>
      </c>
      <c r="K288" s="34">
        <f t="shared" si="416"/>
        <v>0</v>
      </c>
      <c r="L288" s="34">
        <f t="shared" si="416"/>
        <v>0</v>
      </c>
      <c r="M288" s="34">
        <f t="shared" si="416"/>
        <v>0</v>
      </c>
      <c r="N288" s="34">
        <f t="shared" si="416"/>
        <v>0</v>
      </c>
      <c r="O288" s="34">
        <f t="shared" si="416"/>
        <v>0</v>
      </c>
      <c r="P288" s="34">
        <f t="shared" si="416"/>
        <v>0</v>
      </c>
      <c r="Q288" s="34">
        <f t="shared" si="416"/>
        <v>0</v>
      </c>
      <c r="R288" s="34">
        <f t="shared" si="416"/>
        <v>0</v>
      </c>
      <c r="S288" s="34">
        <f t="shared" si="416"/>
        <v>0</v>
      </c>
      <c r="T288" s="34">
        <f t="shared" si="416"/>
        <v>0</v>
      </c>
      <c r="U288" s="34">
        <f t="shared" si="416"/>
        <v>0</v>
      </c>
      <c r="V288" s="34">
        <f t="shared" si="416"/>
        <v>0</v>
      </c>
      <c r="W288" s="34">
        <f t="shared" si="416"/>
        <v>0</v>
      </c>
      <c r="X288" s="34">
        <f t="shared" si="416"/>
        <v>0</v>
      </c>
      <c r="Y288" s="34">
        <f t="shared" si="416"/>
        <v>0</v>
      </c>
      <c r="Z288" s="34">
        <f t="shared" si="416"/>
        <v>0</v>
      </c>
      <c r="AA288" s="34">
        <f t="shared" si="416"/>
        <v>0</v>
      </c>
      <c r="AB288" s="34">
        <f t="shared" si="416"/>
        <v>0</v>
      </c>
      <c r="AC288" s="34">
        <f t="shared" si="416"/>
        <v>0</v>
      </c>
      <c r="AD288" s="34">
        <f t="shared" si="416"/>
        <v>0</v>
      </c>
      <c r="AE288" s="34">
        <f t="shared" si="416"/>
        <v>0</v>
      </c>
      <c r="AF288" s="34">
        <f t="shared" si="416"/>
        <v>0</v>
      </c>
      <c r="AG288" s="34">
        <f t="shared" si="416"/>
        <v>0</v>
      </c>
      <c r="AH288" s="34">
        <f t="shared" si="416"/>
        <v>0</v>
      </c>
      <c r="AI288" s="34">
        <f t="shared" si="416"/>
        <v>0</v>
      </c>
      <c r="AJ288" s="34">
        <f t="shared" si="416"/>
        <v>0</v>
      </c>
      <c r="AK288" s="34">
        <f t="shared" si="416"/>
        <v>0</v>
      </c>
      <c r="AL288" s="34">
        <f t="shared" si="416"/>
        <v>0</v>
      </c>
      <c r="AM288" s="34">
        <f t="shared" si="416"/>
        <v>0</v>
      </c>
      <c r="AN288" s="34">
        <f t="shared" si="416"/>
        <v>0</v>
      </c>
      <c r="AO288" s="34">
        <f t="shared" si="416"/>
        <v>0</v>
      </c>
      <c r="AP288" s="34">
        <f t="shared" si="416"/>
        <v>0</v>
      </c>
      <c r="AQ288" s="34">
        <f t="shared" si="416"/>
        <v>0</v>
      </c>
      <c r="AR288" s="34">
        <f t="shared" si="416"/>
        <v>0</v>
      </c>
      <c r="AS288" s="34">
        <f t="shared" si="416"/>
        <v>0</v>
      </c>
      <c r="AT288" s="34">
        <f t="shared" si="416"/>
        <v>0</v>
      </c>
      <c r="AU288" s="34">
        <f t="shared" si="416"/>
        <v>0</v>
      </c>
      <c r="AV288" s="34">
        <f t="shared" si="416"/>
        <v>0</v>
      </c>
      <c r="AW288" s="34">
        <f t="shared" si="416"/>
        <v>0</v>
      </c>
      <c r="AX288" s="34">
        <f t="shared" si="416"/>
        <v>0</v>
      </c>
      <c r="AY288" s="34">
        <f t="shared" si="416"/>
        <v>0</v>
      </c>
      <c r="AZ288" s="34">
        <f t="shared" si="416"/>
        <v>0</v>
      </c>
      <c r="BA288" s="34">
        <f t="shared" si="416"/>
        <v>0</v>
      </c>
      <c r="BB288" s="34">
        <f t="shared" si="416"/>
        <v>0</v>
      </c>
      <c r="BC288" s="34">
        <f t="shared" si="416"/>
        <v>0</v>
      </c>
      <c r="BD288" s="34">
        <f t="shared" si="416"/>
        <v>0</v>
      </c>
      <c r="BE288" s="34">
        <f t="shared" si="416"/>
        <v>0</v>
      </c>
      <c r="BF288" s="34">
        <f t="shared" si="416"/>
        <v>0</v>
      </c>
      <c r="BG288" s="34">
        <f t="shared" si="416"/>
        <v>0</v>
      </c>
      <c r="BH288" s="34">
        <f t="shared" si="416"/>
        <v>0</v>
      </c>
      <c r="BI288" s="34">
        <f t="shared" si="416"/>
        <v>0</v>
      </c>
      <c r="BJ288" s="34">
        <f t="shared" si="416"/>
        <v>0</v>
      </c>
      <c r="BK288" s="34">
        <f t="shared" si="416"/>
        <v>0</v>
      </c>
      <c r="BL288" s="34">
        <f t="shared" si="416"/>
        <v>0</v>
      </c>
      <c r="BM288" s="34">
        <f t="shared" si="416"/>
        <v>0</v>
      </c>
      <c r="BN288" s="34">
        <f t="shared" si="416"/>
        <v>0</v>
      </c>
      <c r="BO288" s="34">
        <f t="shared" si="416"/>
        <v>0</v>
      </c>
      <c r="BP288" s="34">
        <f t="shared" si="416"/>
        <v>0</v>
      </c>
      <c r="BQ288" s="34">
        <f t="shared" si="416"/>
        <v>0</v>
      </c>
      <c r="BR288" s="34">
        <f t="shared" si="416"/>
        <v>0</v>
      </c>
      <c r="BS288" s="34">
        <f t="shared" si="416"/>
        <v>0</v>
      </c>
      <c r="BT288" s="34">
        <f t="shared" ref="BT288:BY288" si="417">+IF(AND(BT$275=$C290,BT$275&lt;0),1,0)</f>
        <v>0</v>
      </c>
      <c r="BU288" s="34">
        <f t="shared" si="417"/>
        <v>0</v>
      </c>
      <c r="BV288" s="34">
        <f t="shared" si="417"/>
        <v>0</v>
      </c>
      <c r="BW288" s="34">
        <f t="shared" si="417"/>
        <v>0</v>
      </c>
      <c r="BX288" s="34">
        <f t="shared" si="417"/>
        <v>0</v>
      </c>
      <c r="BY288" s="34">
        <f t="shared" si="417"/>
        <v>0</v>
      </c>
    </row>
    <row r="289" spans="5:77" outlineLevel="1">
      <c r="E289" t="s">
        <v>511</v>
      </c>
      <c r="F289" s="80" t="str">
        <f>+Assumptions!$G$8</f>
        <v>USD</v>
      </c>
      <c r="H289" s="32">
        <f t="shared" ref="H289" si="418">+G303</f>
        <v>0</v>
      </c>
      <c r="I289" s="32">
        <f t="shared" ref="I289" si="419">+H303</f>
        <v>0</v>
      </c>
      <c r="J289" s="32">
        <f>+I303</f>
        <v>0</v>
      </c>
      <c r="K289" s="32">
        <f t="shared" ref="K289" si="420">+J303</f>
        <v>0</v>
      </c>
      <c r="L289" s="32">
        <f t="shared" ref="L289" si="421">+K303</f>
        <v>0</v>
      </c>
      <c r="M289" s="32">
        <f t="shared" ref="M289" si="422">+L303</f>
        <v>0</v>
      </c>
      <c r="N289" s="32">
        <f t="shared" ref="N289" si="423">+M303</f>
        <v>0</v>
      </c>
      <c r="O289" s="32">
        <f t="shared" ref="O289" si="424">+N303</f>
        <v>0</v>
      </c>
      <c r="P289" s="32">
        <f t="shared" ref="P289" si="425">+O303</f>
        <v>0</v>
      </c>
      <c r="Q289" s="32">
        <f t="shared" ref="Q289" si="426">+P303</f>
        <v>0</v>
      </c>
      <c r="R289" s="32">
        <f t="shared" ref="R289" si="427">+Q303</f>
        <v>0</v>
      </c>
      <c r="S289" s="32">
        <f t="shared" ref="S289" si="428">+R303</f>
        <v>0</v>
      </c>
      <c r="T289" s="32">
        <f t="shared" ref="T289" si="429">+S303</f>
        <v>0</v>
      </c>
      <c r="U289" s="32">
        <f t="shared" ref="U289" si="430">+T303</f>
        <v>0</v>
      </c>
      <c r="V289" s="32">
        <f t="shared" ref="V289" si="431">+U303</f>
        <v>0</v>
      </c>
      <c r="W289" s="32">
        <f t="shared" ref="W289" si="432">+V303</f>
        <v>0</v>
      </c>
      <c r="X289" s="32">
        <f t="shared" ref="X289" si="433">+W303</f>
        <v>0</v>
      </c>
      <c r="Y289" s="32">
        <f t="shared" ref="Y289" si="434">+X303</f>
        <v>0</v>
      </c>
      <c r="Z289" s="32">
        <f t="shared" ref="Z289" si="435">+Y303</f>
        <v>0</v>
      </c>
      <c r="AA289" s="32">
        <f t="shared" ref="AA289" si="436">+Z303</f>
        <v>0</v>
      </c>
      <c r="AB289" s="32">
        <f t="shared" ref="AB289" si="437">+AA303</f>
        <v>0</v>
      </c>
      <c r="AC289" s="32">
        <f t="shared" ref="AC289" si="438">+AB303</f>
        <v>0</v>
      </c>
      <c r="AD289" s="32">
        <f t="shared" ref="AD289" si="439">+AC303</f>
        <v>0</v>
      </c>
      <c r="AE289" s="32">
        <f t="shared" ref="AE289" si="440">+AD303</f>
        <v>0</v>
      </c>
      <c r="AF289" s="32">
        <f t="shared" ref="AF289" si="441">+AE303</f>
        <v>0</v>
      </c>
      <c r="AG289" s="32">
        <f t="shared" ref="AG289" si="442">+AF303</f>
        <v>0</v>
      </c>
      <c r="AH289" s="32">
        <f t="shared" ref="AH289" si="443">+AG303</f>
        <v>0</v>
      </c>
      <c r="AI289" s="32">
        <f t="shared" ref="AI289" si="444">+AH303</f>
        <v>0</v>
      </c>
      <c r="AJ289" s="32">
        <f t="shared" ref="AJ289" si="445">+AI303</f>
        <v>0</v>
      </c>
      <c r="AK289" s="32">
        <f t="shared" ref="AK289" si="446">+AJ303</f>
        <v>0</v>
      </c>
      <c r="AL289" s="32">
        <f t="shared" ref="AL289" si="447">+AK303</f>
        <v>0</v>
      </c>
      <c r="AM289" s="32">
        <f t="shared" ref="AM289" si="448">+AL303</f>
        <v>0</v>
      </c>
      <c r="AN289" s="32">
        <f t="shared" ref="AN289" si="449">+AM303</f>
        <v>0</v>
      </c>
      <c r="AO289" s="32">
        <f t="shared" ref="AO289" si="450">+AN303</f>
        <v>0</v>
      </c>
      <c r="AP289" s="32">
        <f t="shared" ref="AP289" si="451">+AO303</f>
        <v>0</v>
      </c>
      <c r="AQ289" s="32">
        <f t="shared" ref="AQ289" si="452">+AP303</f>
        <v>0</v>
      </c>
      <c r="AR289" s="32">
        <f t="shared" ref="AR289" si="453">+AQ303</f>
        <v>0</v>
      </c>
      <c r="AS289" s="32">
        <f t="shared" ref="AS289" si="454">+AR303</f>
        <v>0</v>
      </c>
      <c r="AT289" s="32">
        <f t="shared" ref="AT289" si="455">+AS303</f>
        <v>0</v>
      </c>
      <c r="AU289" s="32">
        <f t="shared" ref="AU289" si="456">+AT303</f>
        <v>0</v>
      </c>
      <c r="AV289" s="32">
        <f t="shared" ref="AV289" si="457">+AU303</f>
        <v>0</v>
      </c>
      <c r="AW289" s="32">
        <f t="shared" ref="AW289" si="458">+AV303</f>
        <v>0</v>
      </c>
      <c r="AX289" s="32">
        <f t="shared" ref="AX289" si="459">+AW303</f>
        <v>0</v>
      </c>
      <c r="AY289" s="32">
        <f t="shared" ref="AY289" si="460">+AX303</f>
        <v>0</v>
      </c>
      <c r="AZ289" s="32">
        <f t="shared" ref="AZ289" si="461">+AY303</f>
        <v>0</v>
      </c>
      <c r="BA289" s="32">
        <f t="shared" ref="BA289" si="462">+AZ303</f>
        <v>0</v>
      </c>
      <c r="BB289" s="32">
        <f t="shared" ref="BB289" si="463">+BA303</f>
        <v>0</v>
      </c>
      <c r="BC289" s="32">
        <f t="shared" ref="BC289" si="464">+BB303</f>
        <v>0</v>
      </c>
      <c r="BD289" s="32">
        <f t="shared" ref="BD289" si="465">+BC303</f>
        <v>0</v>
      </c>
      <c r="BE289" s="32">
        <f t="shared" ref="BE289" si="466">+BD303</f>
        <v>0</v>
      </c>
      <c r="BF289" s="32">
        <f t="shared" ref="BF289" si="467">+BE303</f>
        <v>0</v>
      </c>
      <c r="BG289" s="32">
        <f t="shared" ref="BG289" si="468">+BF303</f>
        <v>0</v>
      </c>
      <c r="BH289" s="32">
        <f t="shared" ref="BH289" si="469">+BG303</f>
        <v>0</v>
      </c>
      <c r="BI289" s="32">
        <f t="shared" ref="BI289" si="470">+BH303</f>
        <v>0</v>
      </c>
      <c r="BJ289" s="32">
        <f t="shared" ref="BJ289" si="471">+BI303</f>
        <v>0</v>
      </c>
      <c r="BK289" s="32">
        <f t="shared" ref="BK289" si="472">+BJ303</f>
        <v>0</v>
      </c>
      <c r="BL289" s="32">
        <f t="shared" ref="BL289" si="473">+BK303</f>
        <v>0</v>
      </c>
      <c r="BM289" s="32">
        <f t="shared" ref="BM289" si="474">+BL303</f>
        <v>0</v>
      </c>
      <c r="BN289" s="32">
        <f t="shared" ref="BN289" si="475">+BM303</f>
        <v>0</v>
      </c>
      <c r="BO289" s="32">
        <f t="shared" ref="BO289" si="476">+BN303</f>
        <v>0</v>
      </c>
      <c r="BP289" s="32">
        <f t="shared" ref="BP289" si="477">+BO303</f>
        <v>0</v>
      </c>
      <c r="BQ289" s="32">
        <f t="shared" ref="BQ289" si="478">+BP303</f>
        <v>0</v>
      </c>
      <c r="BR289" s="32">
        <f t="shared" ref="BR289" si="479">+BQ303</f>
        <v>0</v>
      </c>
      <c r="BS289" s="32">
        <f t="shared" ref="BS289" si="480">+BR303</f>
        <v>0</v>
      </c>
      <c r="BT289" s="32">
        <f t="shared" ref="BT289" si="481">+BS303</f>
        <v>0</v>
      </c>
      <c r="BU289" s="32">
        <f t="shared" ref="BU289" si="482">+BT303</f>
        <v>0</v>
      </c>
      <c r="BV289" s="32">
        <f t="shared" ref="BV289" si="483">+BU303</f>
        <v>0</v>
      </c>
      <c r="BW289" s="32">
        <f t="shared" ref="BW289" si="484">+BV303</f>
        <v>0</v>
      </c>
      <c r="BX289" s="32">
        <f t="shared" ref="BX289" si="485">+BW303</f>
        <v>0</v>
      </c>
      <c r="BY289" s="32">
        <f t="shared" ref="BY289" si="486">+BX303</f>
        <v>0</v>
      </c>
    </row>
    <row r="290" spans="5:77" outlineLevel="1">
      <c r="E290" t="s">
        <v>512</v>
      </c>
      <c r="F290" s="80" t="str">
        <f>+Assumptions!$G$8</f>
        <v>USD</v>
      </c>
      <c r="H290" s="33">
        <f ca="1">+H289*Assumptions!$G$202</f>
        <v>0</v>
      </c>
      <c r="I290" s="33">
        <f ca="1">+I289*Assumptions!$G$202</f>
        <v>0</v>
      </c>
      <c r="J290" s="33">
        <f ca="1">+J289*Assumptions!$G$202</f>
        <v>0</v>
      </c>
      <c r="K290" s="33">
        <f ca="1">+K289*Assumptions!$G$202</f>
        <v>0</v>
      </c>
      <c r="L290" s="33">
        <f ca="1">+L289*Assumptions!$G$202</f>
        <v>0</v>
      </c>
      <c r="M290" s="33">
        <f ca="1">+M289*Assumptions!$G$202</f>
        <v>0</v>
      </c>
      <c r="N290" s="33">
        <f ca="1">+N289*Assumptions!$G$202</f>
        <v>0</v>
      </c>
      <c r="O290" s="33">
        <f ca="1">+O289*Assumptions!$G$202</f>
        <v>0</v>
      </c>
      <c r="P290" s="33">
        <f ca="1">+P289*Assumptions!$G$202</f>
        <v>0</v>
      </c>
      <c r="Q290" s="33">
        <f ca="1">+Q289*Assumptions!$G$202</f>
        <v>0</v>
      </c>
      <c r="R290" s="33">
        <f ca="1">+R289*Assumptions!$G$202</f>
        <v>0</v>
      </c>
      <c r="S290" s="33">
        <f ca="1">+S289*Assumptions!$G$202</f>
        <v>0</v>
      </c>
      <c r="T290" s="33">
        <f ca="1">+T289*Assumptions!$G$202</f>
        <v>0</v>
      </c>
      <c r="U290" s="33">
        <f ca="1">+U289*Assumptions!$G$202</f>
        <v>0</v>
      </c>
      <c r="V290" s="33">
        <f ca="1">+V289*Assumptions!$G$202</f>
        <v>0</v>
      </c>
      <c r="W290" s="33">
        <f ca="1">+W289*Assumptions!$G$202</f>
        <v>0</v>
      </c>
      <c r="X290" s="33">
        <f ca="1">+X289*Assumptions!$G$202</f>
        <v>0</v>
      </c>
      <c r="Y290" s="33">
        <f ca="1">+Y289*Assumptions!$G$202</f>
        <v>0</v>
      </c>
      <c r="Z290" s="33">
        <f ca="1">+Z289*Assumptions!$G$202</f>
        <v>0</v>
      </c>
      <c r="AA290" s="33">
        <f ca="1">+AA289*Assumptions!$G$202</f>
        <v>0</v>
      </c>
      <c r="AB290" s="33">
        <f ca="1">+AB289*Assumptions!$G$202</f>
        <v>0</v>
      </c>
      <c r="AC290" s="33">
        <f ca="1">+AC289*Assumptions!$G$202</f>
        <v>0</v>
      </c>
      <c r="AD290" s="33">
        <f ca="1">+AD289*Assumptions!$G$202</f>
        <v>0</v>
      </c>
      <c r="AE290" s="33">
        <f ca="1">+AE289*Assumptions!$G$202</f>
        <v>0</v>
      </c>
      <c r="AF290" s="33">
        <f ca="1">+AF289*Assumptions!$G$202</f>
        <v>0</v>
      </c>
      <c r="AG290" s="33">
        <f ca="1">+AG289*Assumptions!$G$202</f>
        <v>0</v>
      </c>
      <c r="AH290" s="33">
        <f ca="1">+AH289*Assumptions!$G$202</f>
        <v>0</v>
      </c>
      <c r="AI290" s="33">
        <f ca="1">+AI289*Assumptions!$G$202</f>
        <v>0</v>
      </c>
      <c r="AJ290" s="33">
        <f ca="1">+AJ289*Assumptions!$G$202</f>
        <v>0</v>
      </c>
      <c r="AK290" s="33">
        <f ca="1">+AK289*Assumptions!$G$202</f>
        <v>0</v>
      </c>
      <c r="AL290" s="33">
        <f ca="1">+AL289*Assumptions!$G$202</f>
        <v>0</v>
      </c>
      <c r="AM290" s="33">
        <f ca="1">+AM289*Assumptions!$G$202</f>
        <v>0</v>
      </c>
      <c r="AN290" s="33">
        <f ca="1">+AN289*Assumptions!$G$202</f>
        <v>0</v>
      </c>
      <c r="AO290" s="33">
        <f ca="1">+AO289*Assumptions!$G$202</f>
        <v>0</v>
      </c>
      <c r="AP290" s="33">
        <f ca="1">+AP289*Assumptions!$G$202</f>
        <v>0</v>
      </c>
      <c r="AQ290" s="33">
        <f ca="1">+AQ289*Assumptions!$G$202</f>
        <v>0</v>
      </c>
      <c r="AR290" s="33">
        <f ca="1">+AR289*Assumptions!$G$202</f>
        <v>0</v>
      </c>
      <c r="AS290" s="33">
        <f ca="1">+AS289*Assumptions!$G$202</f>
        <v>0</v>
      </c>
      <c r="AT290" s="33">
        <f ca="1">+AT289*Assumptions!$G$202</f>
        <v>0</v>
      </c>
      <c r="AU290" s="33">
        <f ca="1">+AU289*Assumptions!$G$202</f>
        <v>0</v>
      </c>
      <c r="AV290" s="33">
        <f ca="1">+AV289*Assumptions!$G$202</f>
        <v>0</v>
      </c>
      <c r="AW290" s="33">
        <f ca="1">+AW289*Assumptions!$G$202</f>
        <v>0</v>
      </c>
      <c r="AX290" s="33">
        <f ca="1">+AX289*Assumptions!$G$202</f>
        <v>0</v>
      </c>
      <c r="AY290" s="33">
        <f ca="1">+AY289*Assumptions!$G$202</f>
        <v>0</v>
      </c>
      <c r="AZ290" s="33">
        <f ca="1">+AZ289*Assumptions!$G$202</f>
        <v>0</v>
      </c>
      <c r="BA290" s="33">
        <f ca="1">+BA289*Assumptions!$G$202</f>
        <v>0</v>
      </c>
      <c r="BB290" s="33">
        <f ca="1">+BB289*Assumptions!$G$202</f>
        <v>0</v>
      </c>
      <c r="BC290" s="33">
        <f ca="1">+BC289*Assumptions!$G$202</f>
        <v>0</v>
      </c>
      <c r="BD290" s="33">
        <f ca="1">+BD289*Assumptions!$G$202</f>
        <v>0</v>
      </c>
      <c r="BE290" s="33">
        <f ca="1">+BE289*Assumptions!$G$202</f>
        <v>0</v>
      </c>
      <c r="BF290" s="33">
        <f ca="1">+BF289*Assumptions!$G$202</f>
        <v>0</v>
      </c>
      <c r="BG290" s="33">
        <f ca="1">+BG289*Assumptions!$G$202</f>
        <v>0</v>
      </c>
      <c r="BH290" s="33">
        <f ca="1">+BH289*Assumptions!$G$202</f>
        <v>0</v>
      </c>
      <c r="BI290" s="33">
        <f ca="1">+BI289*Assumptions!$G$202</f>
        <v>0</v>
      </c>
      <c r="BJ290" s="33">
        <f ca="1">+BJ289*Assumptions!$G$202</f>
        <v>0</v>
      </c>
      <c r="BK290" s="33">
        <f ca="1">+BK289*Assumptions!$G$202</f>
        <v>0</v>
      </c>
      <c r="BL290" s="33">
        <f ca="1">+BL289*Assumptions!$G$202</f>
        <v>0</v>
      </c>
      <c r="BM290" s="33">
        <f ca="1">+BM289*Assumptions!$G$202</f>
        <v>0</v>
      </c>
      <c r="BN290" s="33">
        <f ca="1">+BN289*Assumptions!$G$202</f>
        <v>0</v>
      </c>
      <c r="BO290" s="33">
        <f ca="1">+BO289*Assumptions!$G$202</f>
        <v>0</v>
      </c>
      <c r="BP290" s="33">
        <f ca="1">+BP289*Assumptions!$G$202</f>
        <v>0</v>
      </c>
      <c r="BQ290" s="33">
        <f ca="1">+BQ289*Assumptions!$G$202</f>
        <v>0</v>
      </c>
      <c r="BR290" s="33">
        <f ca="1">+BR289*Assumptions!$G$202</f>
        <v>0</v>
      </c>
      <c r="BS290" s="33">
        <f ca="1">+BS289*Assumptions!$G$202</f>
        <v>0</v>
      </c>
      <c r="BT290" s="33">
        <f ca="1">+BT289*Assumptions!$G$202</f>
        <v>0</v>
      </c>
      <c r="BU290" s="33">
        <f ca="1">+BU289*Assumptions!$G$202</f>
        <v>0</v>
      </c>
      <c r="BV290" s="33">
        <f ca="1">+BV289*Assumptions!$G$202</f>
        <v>0</v>
      </c>
      <c r="BW290" s="33">
        <f ca="1">+BW289*Assumptions!$G$202</f>
        <v>0</v>
      </c>
      <c r="BX290" s="33">
        <f ca="1">+BX289*Assumptions!$G$202</f>
        <v>0</v>
      </c>
      <c r="BY290" s="33">
        <f ca="1">+BY289*Assumptions!$G$202</f>
        <v>0</v>
      </c>
    </row>
    <row r="291" spans="5:77" outlineLevel="1">
      <c r="E291" s="25" t="s">
        <v>513</v>
      </c>
      <c r="F291" s="81" t="str">
        <f>+Assumptions!$G$8</f>
        <v>USD</v>
      </c>
      <c r="G291" s="25"/>
      <c r="H291" s="34">
        <f>IF(SUM(H292:H301)=0,0,+SUM(H292:H301)-H290)</f>
        <v>0</v>
      </c>
      <c r="I291" s="34">
        <f t="shared" ref="I291:BT291" si="487">IF(SUM(I292:I301)=0,0,+SUM(I292:I301)-I290)</f>
        <v>0</v>
      </c>
      <c r="J291" s="34">
        <f t="shared" si="487"/>
        <v>0</v>
      </c>
      <c r="K291" s="34">
        <f t="shared" si="487"/>
        <v>0</v>
      </c>
      <c r="L291" s="34">
        <f t="shared" si="487"/>
        <v>0</v>
      </c>
      <c r="M291" s="34">
        <f t="shared" si="487"/>
        <v>0</v>
      </c>
      <c r="N291" s="34">
        <f t="shared" si="487"/>
        <v>0</v>
      </c>
      <c r="O291" s="34">
        <f t="shared" si="487"/>
        <v>0</v>
      </c>
      <c r="P291" s="34">
        <f t="shared" si="487"/>
        <v>0</v>
      </c>
      <c r="Q291" s="34">
        <f t="shared" si="487"/>
        <v>0</v>
      </c>
      <c r="R291" s="34">
        <f t="shared" si="487"/>
        <v>0</v>
      </c>
      <c r="S291" s="34">
        <f t="shared" si="487"/>
        <v>0</v>
      </c>
      <c r="T291" s="34">
        <f t="shared" si="487"/>
        <v>0</v>
      </c>
      <c r="U291" s="34">
        <f t="shared" si="487"/>
        <v>0</v>
      </c>
      <c r="V291" s="34">
        <f t="shared" si="487"/>
        <v>0</v>
      </c>
      <c r="W291" s="34">
        <f t="shared" si="487"/>
        <v>0</v>
      </c>
      <c r="X291" s="34">
        <f t="shared" si="487"/>
        <v>0</v>
      </c>
      <c r="Y291" s="34">
        <f t="shared" si="487"/>
        <v>0</v>
      </c>
      <c r="Z291" s="34">
        <f t="shared" si="487"/>
        <v>0</v>
      </c>
      <c r="AA291" s="34">
        <f t="shared" si="487"/>
        <v>0</v>
      </c>
      <c r="AB291" s="34">
        <f t="shared" si="487"/>
        <v>0</v>
      </c>
      <c r="AC291" s="34">
        <f t="shared" si="487"/>
        <v>0</v>
      </c>
      <c r="AD291" s="34">
        <f t="shared" si="487"/>
        <v>0</v>
      </c>
      <c r="AE291" s="34">
        <f t="shared" si="487"/>
        <v>0</v>
      </c>
      <c r="AF291" s="34">
        <f t="shared" si="487"/>
        <v>0</v>
      </c>
      <c r="AG291" s="34">
        <f t="shared" si="487"/>
        <v>0</v>
      </c>
      <c r="AH291" s="34">
        <f t="shared" si="487"/>
        <v>0</v>
      </c>
      <c r="AI291" s="34">
        <f t="shared" si="487"/>
        <v>0</v>
      </c>
      <c r="AJ291" s="34">
        <f t="shared" si="487"/>
        <v>0</v>
      </c>
      <c r="AK291" s="34">
        <f t="shared" si="487"/>
        <v>0</v>
      </c>
      <c r="AL291" s="34">
        <f t="shared" si="487"/>
        <v>0</v>
      </c>
      <c r="AM291" s="34">
        <f t="shared" si="487"/>
        <v>0</v>
      </c>
      <c r="AN291" s="34">
        <f t="shared" si="487"/>
        <v>0</v>
      </c>
      <c r="AO291" s="34">
        <f t="shared" si="487"/>
        <v>0</v>
      </c>
      <c r="AP291" s="34">
        <f t="shared" si="487"/>
        <v>0</v>
      </c>
      <c r="AQ291" s="34">
        <f t="shared" si="487"/>
        <v>0</v>
      </c>
      <c r="AR291" s="34">
        <f t="shared" si="487"/>
        <v>0</v>
      </c>
      <c r="AS291" s="34">
        <f t="shared" si="487"/>
        <v>0</v>
      </c>
      <c r="AT291" s="34">
        <f t="shared" si="487"/>
        <v>0</v>
      </c>
      <c r="AU291" s="34">
        <f t="shared" si="487"/>
        <v>0</v>
      </c>
      <c r="AV291" s="34">
        <f t="shared" si="487"/>
        <v>0</v>
      </c>
      <c r="AW291" s="34">
        <f t="shared" si="487"/>
        <v>0</v>
      </c>
      <c r="AX291" s="34">
        <f t="shared" si="487"/>
        <v>0</v>
      </c>
      <c r="AY291" s="34">
        <f t="shared" si="487"/>
        <v>0</v>
      </c>
      <c r="AZ291" s="34">
        <f t="shared" si="487"/>
        <v>0</v>
      </c>
      <c r="BA291" s="34">
        <f t="shared" si="487"/>
        <v>0</v>
      </c>
      <c r="BB291" s="34">
        <f t="shared" si="487"/>
        <v>0</v>
      </c>
      <c r="BC291" s="34">
        <f t="shared" si="487"/>
        <v>0</v>
      </c>
      <c r="BD291" s="34">
        <f t="shared" si="487"/>
        <v>0</v>
      </c>
      <c r="BE291" s="34">
        <f t="shared" si="487"/>
        <v>0</v>
      </c>
      <c r="BF291" s="34">
        <f t="shared" si="487"/>
        <v>0</v>
      </c>
      <c r="BG291" s="34">
        <f t="shared" si="487"/>
        <v>0</v>
      </c>
      <c r="BH291" s="34">
        <f t="shared" si="487"/>
        <v>0</v>
      </c>
      <c r="BI291" s="34">
        <f t="shared" si="487"/>
        <v>0</v>
      </c>
      <c r="BJ291" s="34">
        <f t="shared" si="487"/>
        <v>0</v>
      </c>
      <c r="BK291" s="34">
        <f t="shared" si="487"/>
        <v>0</v>
      </c>
      <c r="BL291" s="34">
        <f t="shared" si="487"/>
        <v>0</v>
      </c>
      <c r="BM291" s="34">
        <f t="shared" si="487"/>
        <v>0</v>
      </c>
      <c r="BN291" s="34">
        <f t="shared" si="487"/>
        <v>0</v>
      </c>
      <c r="BO291" s="34">
        <f t="shared" si="487"/>
        <v>0</v>
      </c>
      <c r="BP291" s="34">
        <f t="shared" si="487"/>
        <v>0</v>
      </c>
      <c r="BQ291" s="34">
        <f t="shared" si="487"/>
        <v>0</v>
      </c>
      <c r="BR291" s="34">
        <f t="shared" si="487"/>
        <v>0</v>
      </c>
      <c r="BS291" s="34">
        <f t="shared" si="487"/>
        <v>0</v>
      </c>
      <c r="BT291" s="34">
        <f t="shared" si="487"/>
        <v>0</v>
      </c>
      <c r="BU291" s="34">
        <f t="shared" ref="BU291:BY291" si="488">IF(SUM(BU292:BU301)=0,0,+SUM(BU292:BU301)-BU290)</f>
        <v>0</v>
      </c>
      <c r="BV291" s="34">
        <f t="shared" si="488"/>
        <v>0</v>
      </c>
      <c r="BW291" s="34">
        <f t="shared" si="488"/>
        <v>0</v>
      </c>
      <c r="BX291" s="34">
        <f t="shared" si="488"/>
        <v>0</v>
      </c>
      <c r="BY291" s="34">
        <f t="shared" si="488"/>
        <v>0</v>
      </c>
    </row>
    <row r="292" spans="5:77" outlineLevel="1">
      <c r="E292" s="24" t="s">
        <v>514</v>
      </c>
      <c r="F292" s="80" t="str">
        <f>+Assumptions!$G$8</f>
        <v>USD</v>
      </c>
      <c r="G292" s="24"/>
      <c r="H292" s="39">
        <f>+IFERROR(-ABS(IF(EDATE(_xlfn.XLOOKUP(1,$H279:$BE279,$H$4:$BE$4),12*Assumptions!$G$204+12)=H$4,0,IF(G279=1,PMT(Assumptions!$G$202,Assumptions!$G$204,$C281),G292))),0)</f>
        <v>0</v>
      </c>
      <c r="I292" s="39">
        <f>+IFERROR(-ABS(IF(EDATE(_xlfn.XLOOKUP(1,$H279:$BE279,$H$4:$BE$4),12*Assumptions!$G$204+12)=I$4,0,IF(H279=1,PMT(Assumptions!$G$202,Assumptions!$G$204,$C281),H292))),0)</f>
        <v>0</v>
      </c>
      <c r="J292" s="39">
        <f>+IFERROR(-ABS(IF(EDATE(_xlfn.XLOOKUP(1,$H279:$BE279,$H$4:$BE$4),12*Assumptions!$G$204+12)=J$4,0,IF(I279=1,PMT(Assumptions!$G$202,Assumptions!$G$204,$C281),I292))),0)</f>
        <v>0</v>
      </c>
      <c r="K292" s="39">
        <f>+IFERROR(-ABS(IF(EDATE(_xlfn.XLOOKUP(1,$H279:$BE279,$H$4:$BE$4),12*Assumptions!$G$204+12)=K$4,0,IF(J279=1,PMT(Assumptions!$G$202,Assumptions!$G$204,$C281),J292))),0)</f>
        <v>0</v>
      </c>
      <c r="L292" s="39">
        <f>+IFERROR(-ABS(IF(EDATE(_xlfn.XLOOKUP(1,$H279:$BE279,$H$4:$BE$4),12*Assumptions!$G$204+12)=L$4,0,IF(K279=1,PMT(Assumptions!$G$202,Assumptions!$G$204,$C281),K292))),0)</f>
        <v>0</v>
      </c>
      <c r="M292" s="39">
        <f>+IFERROR(-ABS(IF(EDATE(_xlfn.XLOOKUP(1,$H279:$BE279,$H$4:$BE$4),12*Assumptions!$G$204+12)=M$4,0,IF(L279=1,PMT(Assumptions!$G$202,Assumptions!$G$204,$C281),L292))),0)</f>
        <v>0</v>
      </c>
      <c r="N292" s="39">
        <f>+IFERROR(-ABS(IF(EDATE(_xlfn.XLOOKUP(1,$H279:$BE279,$H$4:$BE$4),12*Assumptions!$G$204+12)=N$4,0,IF(M279=1,PMT(Assumptions!$G$202,Assumptions!$G$204,$C281),M292))),0)</f>
        <v>0</v>
      </c>
      <c r="O292" s="39">
        <f>+IFERROR(-ABS(IF(EDATE(_xlfn.XLOOKUP(1,$H279:$BE279,$H$4:$BE$4),12*Assumptions!$G$204+12)=O$4,0,IF(N279=1,PMT(Assumptions!$G$202,Assumptions!$G$204,$C281),N292))),0)</f>
        <v>0</v>
      </c>
      <c r="P292" s="39">
        <f>+IFERROR(-ABS(IF(EDATE(_xlfn.XLOOKUP(1,$H279:$BE279,$H$4:$BE$4),12*Assumptions!$G$204+12)=P$4,0,IF(O279=1,PMT(Assumptions!$G$202,Assumptions!$G$204,$C281),O292))),0)</f>
        <v>0</v>
      </c>
      <c r="Q292" s="39">
        <f>+IFERROR(-ABS(IF(EDATE(_xlfn.XLOOKUP(1,$H279:$BE279,$H$4:$BE$4),12*Assumptions!$G$204+12)=Q$4,0,IF(P279=1,PMT(Assumptions!$G$202,Assumptions!$G$204,$C281),P292))),0)</f>
        <v>0</v>
      </c>
      <c r="R292" s="39">
        <f>+IFERROR(-ABS(IF(EDATE(_xlfn.XLOOKUP(1,$H279:$BE279,$H$4:$BE$4),12*Assumptions!$G$204+12)=R$4,0,IF(Q279=1,PMT(Assumptions!$G$202,Assumptions!$G$204,$C281),Q292))),0)</f>
        <v>0</v>
      </c>
      <c r="S292" s="39">
        <f>+IFERROR(-ABS(IF(EDATE(_xlfn.XLOOKUP(1,$H279:$BE279,$H$4:$BE$4),12*Assumptions!$G$204+12)=S$4,0,IF(R279=1,PMT(Assumptions!$G$202,Assumptions!$G$204,$C281),R292))),0)</f>
        <v>0</v>
      </c>
      <c r="T292" s="39">
        <f>+IFERROR(-ABS(IF(EDATE(_xlfn.XLOOKUP(1,$H279:$BE279,$H$4:$BE$4),12*Assumptions!$G$204+12)=T$4,0,IF(S279=1,PMT(Assumptions!$G$202,Assumptions!$G$204,$C281),S292))),0)</f>
        <v>0</v>
      </c>
      <c r="U292" s="39">
        <f>+IFERROR(-ABS(IF(EDATE(_xlfn.XLOOKUP(1,$H279:$BE279,$H$4:$BE$4),12*Assumptions!$G$204+12)=U$4,0,IF(T279=1,PMT(Assumptions!$G$202,Assumptions!$G$204,$C281),T292))),0)</f>
        <v>0</v>
      </c>
      <c r="V292" s="39">
        <f>+IFERROR(-ABS(IF(EDATE(_xlfn.XLOOKUP(1,$H279:$BE279,$H$4:$BE$4),12*Assumptions!$G$204+12)=V$4,0,IF(U279=1,PMT(Assumptions!$G$202,Assumptions!$G$204,$C281),U292))),0)</f>
        <v>0</v>
      </c>
      <c r="W292" s="39">
        <f>+IFERROR(-ABS(IF(EDATE(_xlfn.XLOOKUP(1,$H279:$BE279,$H$4:$BE$4),12*Assumptions!$G$204+12)=W$4,0,IF(V279=1,PMT(Assumptions!$G$202,Assumptions!$G$204,$C281),V292))),0)</f>
        <v>0</v>
      </c>
      <c r="X292" s="39">
        <f>+IFERROR(-ABS(IF(EDATE(_xlfn.XLOOKUP(1,$H279:$BE279,$H$4:$BE$4),12*Assumptions!$G$204+12)=X$4,0,IF(W279=1,PMT(Assumptions!$G$202,Assumptions!$G$204,$C281),W292))),0)</f>
        <v>0</v>
      </c>
      <c r="Y292" s="39">
        <f>+IFERROR(-ABS(IF(EDATE(_xlfn.XLOOKUP(1,$H279:$BE279,$H$4:$BE$4),12*Assumptions!$G$204+12)=Y$4,0,IF(X279=1,PMT(Assumptions!$G$202,Assumptions!$G$204,$C281),X292))),0)</f>
        <v>0</v>
      </c>
      <c r="Z292" s="39">
        <f>+IFERROR(-ABS(IF(EDATE(_xlfn.XLOOKUP(1,$H279:$BE279,$H$4:$BE$4),12*Assumptions!$G$204+12)=Z$4,0,IF(Y279=1,PMT(Assumptions!$G$202,Assumptions!$G$204,$C281),Y292))),0)</f>
        <v>0</v>
      </c>
      <c r="AA292" s="39">
        <f>+IFERROR(-ABS(IF(EDATE(_xlfn.XLOOKUP(1,$H279:$BE279,$H$4:$BE$4),12*Assumptions!$G$204+12)=AA$4,0,IF(Z279=1,PMT(Assumptions!$G$202,Assumptions!$G$204,$C281),Z292))),0)</f>
        <v>0</v>
      </c>
      <c r="AB292" s="39">
        <f>+IFERROR(-ABS(IF(EDATE(_xlfn.XLOOKUP(1,$H279:$BE279,$H$4:$BE$4),12*Assumptions!$G$204+12)=AB$4,0,IF(AA279=1,PMT(Assumptions!$G$202,Assumptions!$G$204,$C281),AA292))),0)</f>
        <v>0</v>
      </c>
      <c r="AC292" s="39">
        <f>+IFERROR(-ABS(IF(EDATE(_xlfn.XLOOKUP(1,$H279:$BE279,$H$4:$BE$4),12*Assumptions!$G$204+12)=AC$4,0,IF(AB279=1,PMT(Assumptions!$G$202,Assumptions!$G$204,$C281),AB292))),0)</f>
        <v>0</v>
      </c>
      <c r="AD292" s="39">
        <f>+IFERROR(-ABS(IF(EDATE(_xlfn.XLOOKUP(1,$H279:$BE279,$H$4:$BE$4),12*Assumptions!$G$204+12)=AD$4,0,IF(AC279=1,PMT(Assumptions!$G$202,Assumptions!$G$204,$C281),AC292))),0)</f>
        <v>0</v>
      </c>
      <c r="AE292" s="39">
        <f>+IFERROR(-ABS(IF(EDATE(_xlfn.XLOOKUP(1,$H279:$BE279,$H$4:$BE$4),12*Assumptions!$G$204+12)=AE$4,0,IF(AD279=1,PMT(Assumptions!$G$202,Assumptions!$G$204,$C281),AD292))),0)</f>
        <v>0</v>
      </c>
      <c r="AF292" s="39">
        <f>+IFERROR(-ABS(IF(EDATE(_xlfn.XLOOKUP(1,$H279:$BE279,$H$4:$BE$4),12*Assumptions!$G$204+12)=AF$4,0,IF(AE279=1,PMT(Assumptions!$G$202,Assumptions!$G$204,$C281),AE292))),0)</f>
        <v>0</v>
      </c>
      <c r="AG292" s="39">
        <f>+IFERROR(-ABS(IF(EDATE(_xlfn.XLOOKUP(1,$H279:$BE279,$H$4:$BE$4),12*Assumptions!$G$204+12)=AG$4,0,IF(AF279=1,PMT(Assumptions!$G$202,Assumptions!$G$204,$C281),AF292))),0)</f>
        <v>0</v>
      </c>
      <c r="AH292" s="39">
        <f>+IFERROR(-ABS(IF(EDATE(_xlfn.XLOOKUP(1,$H279:$BE279,$H$4:$BE$4),12*Assumptions!$G$204+12)=AH$4,0,IF(AG279=1,PMT(Assumptions!$G$202,Assumptions!$G$204,$C281),AG292))),0)</f>
        <v>0</v>
      </c>
      <c r="AI292" s="39">
        <f>+IFERROR(-ABS(IF(EDATE(_xlfn.XLOOKUP(1,$H279:$BE279,$H$4:$BE$4),12*Assumptions!$G$204+12)=AI$4,0,IF(AH279=1,PMT(Assumptions!$G$202,Assumptions!$G$204,$C281),AH292))),0)</f>
        <v>0</v>
      </c>
      <c r="AJ292" s="39">
        <f>+IFERROR(-ABS(IF(EDATE(_xlfn.XLOOKUP(1,$H279:$BE279,$H$4:$BE$4),12*Assumptions!$G$204+12)=AJ$4,0,IF(AI279=1,PMT(Assumptions!$G$202,Assumptions!$G$204,$C281),AI292))),0)</f>
        <v>0</v>
      </c>
      <c r="AK292" s="39">
        <f>+IFERROR(-ABS(IF(EDATE(_xlfn.XLOOKUP(1,$H279:$BE279,$H$4:$BE$4),12*Assumptions!$G$204+12)=AK$4,0,IF(AJ279=1,PMT(Assumptions!$G$202,Assumptions!$G$204,$C281),AJ292))),0)</f>
        <v>0</v>
      </c>
      <c r="AL292" s="39">
        <f>+IFERROR(-ABS(IF(EDATE(_xlfn.XLOOKUP(1,$H279:$BE279,$H$4:$BE$4),12*Assumptions!$G$204+12)=AL$4,0,IF(AK279=1,PMT(Assumptions!$G$202,Assumptions!$G$204,$C281),AK292))),0)</f>
        <v>0</v>
      </c>
      <c r="AM292" s="39">
        <f>+IFERROR(-ABS(IF(EDATE(_xlfn.XLOOKUP(1,$H279:$BE279,$H$4:$BE$4),12*Assumptions!$G$204+12)=AM$4,0,IF(AL279=1,PMT(Assumptions!$G$202,Assumptions!$G$204,$C281),AL292))),0)</f>
        <v>0</v>
      </c>
      <c r="AN292" s="39">
        <f>+IFERROR(-ABS(IF(EDATE(_xlfn.XLOOKUP(1,$H279:$BE279,$H$4:$BE$4),12*Assumptions!$G$204+12)=AN$4,0,IF(AM279=1,PMT(Assumptions!$G$202,Assumptions!$G$204,$C281),AM292))),0)</f>
        <v>0</v>
      </c>
      <c r="AO292" s="39">
        <f>+IFERROR(-ABS(IF(EDATE(_xlfn.XLOOKUP(1,$H279:$BE279,$H$4:$BE$4),12*Assumptions!$G$204+12)=AO$4,0,IF(AN279=1,PMT(Assumptions!$G$202,Assumptions!$G$204,$C281),AN292))),0)</f>
        <v>0</v>
      </c>
      <c r="AP292" s="39">
        <f>+IFERROR(-ABS(IF(EDATE(_xlfn.XLOOKUP(1,$H279:$BE279,$H$4:$BE$4),12*Assumptions!$G$204+12)=AP$4,0,IF(AO279=1,PMT(Assumptions!$G$202,Assumptions!$G$204,$C281),AO292))),0)</f>
        <v>0</v>
      </c>
      <c r="AQ292" s="39">
        <f>+IFERROR(-ABS(IF(EDATE(_xlfn.XLOOKUP(1,$H279:$BE279,$H$4:$BE$4),12*Assumptions!$G$204+12)=AQ$4,0,IF(AP279=1,PMT(Assumptions!$G$202,Assumptions!$G$204,$C281),AP292))),0)</f>
        <v>0</v>
      </c>
      <c r="AR292" s="39">
        <f>+IFERROR(-ABS(IF(EDATE(_xlfn.XLOOKUP(1,$H279:$BE279,$H$4:$BE$4),12*Assumptions!$G$204+12)=AR$4,0,IF(AQ279=1,PMT(Assumptions!$G$202,Assumptions!$G$204,$C281),AQ292))),0)</f>
        <v>0</v>
      </c>
      <c r="AS292" s="39">
        <f>+IFERROR(-ABS(IF(EDATE(_xlfn.XLOOKUP(1,$H279:$BE279,$H$4:$BE$4),12*Assumptions!$G$204+12)=AS$4,0,IF(AR279=1,PMT(Assumptions!$G$202,Assumptions!$G$204,$C281),AR292))),0)</f>
        <v>0</v>
      </c>
      <c r="AT292" s="39">
        <f>+IFERROR(-ABS(IF(EDATE(_xlfn.XLOOKUP(1,$H279:$BE279,$H$4:$BE$4),12*Assumptions!$G$204+12)=AT$4,0,IF(AS279=1,PMT(Assumptions!$G$202,Assumptions!$G$204,$C281),AS292))),0)</f>
        <v>0</v>
      </c>
      <c r="AU292" s="39">
        <f>+IFERROR(-ABS(IF(EDATE(_xlfn.XLOOKUP(1,$H279:$BE279,$H$4:$BE$4),12*Assumptions!$G$204+12)=AU$4,0,IF(AT279=1,PMT(Assumptions!$G$202,Assumptions!$G$204,$C281),AT292))),0)</f>
        <v>0</v>
      </c>
      <c r="AV292" s="39">
        <f>+IFERROR(-ABS(IF(EDATE(_xlfn.XLOOKUP(1,$H279:$BE279,$H$4:$BE$4),12*Assumptions!$G$204+12)=AV$4,0,IF(AU279=1,PMT(Assumptions!$G$202,Assumptions!$G$204,$C281),AU292))),0)</f>
        <v>0</v>
      </c>
      <c r="AW292" s="39">
        <f>+IFERROR(-ABS(IF(EDATE(_xlfn.XLOOKUP(1,$H279:$BE279,$H$4:$BE$4),12*Assumptions!$G$204+12)=AW$4,0,IF(AV279=1,PMT(Assumptions!$G$202,Assumptions!$G$204,$C281),AV292))),0)</f>
        <v>0</v>
      </c>
      <c r="AX292" s="39">
        <f>+IFERROR(-ABS(IF(EDATE(_xlfn.XLOOKUP(1,$H279:$BE279,$H$4:$BE$4),12*Assumptions!$G$204+12)=AX$4,0,IF(AW279=1,PMT(Assumptions!$G$202,Assumptions!$G$204,$C281),AW292))),0)</f>
        <v>0</v>
      </c>
      <c r="AY292" s="39">
        <f>+IFERROR(-ABS(IF(EDATE(_xlfn.XLOOKUP(1,$H279:$BE279,$H$4:$BE$4),12*Assumptions!$G$204+12)=AY$4,0,IF(AX279=1,PMT(Assumptions!$G$202,Assumptions!$G$204,$C281),AX292))),0)</f>
        <v>0</v>
      </c>
      <c r="AZ292" s="39">
        <f>+IFERROR(-ABS(IF(EDATE(_xlfn.XLOOKUP(1,$H279:$BE279,$H$4:$BE$4),12*Assumptions!$G$204+12)=AZ$4,0,IF(AY279=1,PMT(Assumptions!$G$202,Assumptions!$G$204,$C281),AY292))),0)</f>
        <v>0</v>
      </c>
      <c r="BA292" s="39">
        <f>+IFERROR(-ABS(IF(EDATE(_xlfn.XLOOKUP(1,$H279:$BE279,$H$4:$BE$4),12*Assumptions!$G$204+12)=BA$4,0,IF(AZ279=1,PMT(Assumptions!$G$202,Assumptions!$G$204,$C281),AZ292))),0)</f>
        <v>0</v>
      </c>
      <c r="BB292" s="39">
        <f>+IFERROR(-ABS(IF(EDATE(_xlfn.XLOOKUP(1,$H279:$BE279,$H$4:$BE$4),12*Assumptions!$G$204+12)=BB$4,0,IF(BA279=1,PMT(Assumptions!$G$202,Assumptions!$G$204,$C281),BA292))),0)</f>
        <v>0</v>
      </c>
      <c r="BC292" s="39">
        <f>+IFERROR(-ABS(IF(EDATE(_xlfn.XLOOKUP(1,$H279:$BE279,$H$4:$BE$4),12*Assumptions!$G$204+12)=BC$4,0,IF(BB279=1,PMT(Assumptions!$G$202,Assumptions!$G$204,$C281),BB292))),0)</f>
        <v>0</v>
      </c>
      <c r="BD292" s="39">
        <f>+IFERROR(-ABS(IF(EDATE(_xlfn.XLOOKUP(1,$H279:$BE279,$H$4:$BE$4),12*Assumptions!$G$204+12)=BD$4,0,IF(BC279=1,PMT(Assumptions!$G$202,Assumptions!$G$204,$C281),BC292))),0)</f>
        <v>0</v>
      </c>
      <c r="BE292" s="39">
        <f>+IFERROR(-ABS(IF(EDATE(_xlfn.XLOOKUP(1,$H279:$BE279,$H$4:$BE$4),12*Assumptions!$G$204+12)=BE$4,0,IF(BD279=1,PMT(Assumptions!$G$202,Assumptions!$G$204,$C281),BD292))),0)</f>
        <v>0</v>
      </c>
      <c r="BF292" s="39">
        <f>+IFERROR(-ABS(IF(EDATE(_xlfn.XLOOKUP(1,$H279:$BE279,$H$4:$BE$4),12*Assumptions!$G$204+12)=BF$4,0,IF(BE279=1,PMT(Assumptions!$G$202,Assumptions!$G$204,$C281),BE292))),0)</f>
        <v>0</v>
      </c>
      <c r="BG292" s="39">
        <f>+IFERROR(-ABS(IF(EDATE(_xlfn.XLOOKUP(1,$H279:$BE279,$H$4:$BE$4),12*Assumptions!$G$204+12)=BG$4,0,IF(BF279=1,PMT(Assumptions!$G$202,Assumptions!$G$204,$C281),BF292))),0)</f>
        <v>0</v>
      </c>
      <c r="BH292" s="39">
        <f>+IFERROR(-ABS(IF(EDATE(_xlfn.XLOOKUP(1,$H279:$BE279,$H$4:$BE$4),12*Assumptions!$G$204+12)=BH$4,0,IF(BG279=1,PMT(Assumptions!$G$202,Assumptions!$G$204,$C281),BG292))),0)</f>
        <v>0</v>
      </c>
      <c r="BI292" s="39">
        <f>+IFERROR(-ABS(IF(EDATE(_xlfn.XLOOKUP(1,$H279:$BE279,$H$4:$BE$4),12*Assumptions!$G$204+12)=BI$4,0,IF(BH279=1,PMT(Assumptions!$G$202,Assumptions!$G$204,$C281),BH292))),0)</f>
        <v>0</v>
      </c>
      <c r="BJ292" s="39">
        <f>+IFERROR(-ABS(IF(EDATE(_xlfn.XLOOKUP(1,$H279:$BE279,$H$4:$BE$4),12*Assumptions!$G$204+12)=BJ$4,0,IF(BI279=1,PMT(Assumptions!$G$202,Assumptions!$G$204,$C281),BI292))),0)</f>
        <v>0</v>
      </c>
      <c r="BK292" s="39">
        <f>+IFERROR(-ABS(IF(EDATE(_xlfn.XLOOKUP(1,$H279:$BE279,$H$4:$BE$4),12*Assumptions!$G$204+12)=BK$4,0,IF(BJ279=1,PMT(Assumptions!$G$202,Assumptions!$G$204,$C281),BJ292))),0)</f>
        <v>0</v>
      </c>
      <c r="BL292" s="39">
        <f>+IFERROR(-ABS(IF(EDATE(_xlfn.XLOOKUP(1,$H279:$BE279,$H$4:$BE$4),12*Assumptions!$G$204+12)=BL$4,0,IF(BK279=1,PMT(Assumptions!$G$202,Assumptions!$G$204,$C281),BK292))),0)</f>
        <v>0</v>
      </c>
      <c r="BM292" s="39">
        <f>+IFERROR(-ABS(IF(EDATE(_xlfn.XLOOKUP(1,$H279:$BE279,$H$4:$BE$4),12*Assumptions!$G$204+12)=BM$4,0,IF(BL279=1,PMT(Assumptions!$G$202,Assumptions!$G$204,$C281),BL292))),0)</f>
        <v>0</v>
      </c>
      <c r="BN292" s="39">
        <f>+IFERROR(-ABS(IF(EDATE(_xlfn.XLOOKUP(1,$H279:$BE279,$H$4:$BE$4),12*Assumptions!$G$204+12)=BN$4,0,IF(BM279=1,PMT(Assumptions!$G$202,Assumptions!$G$204,$C281),BM292))),0)</f>
        <v>0</v>
      </c>
      <c r="BO292" s="39">
        <f>+IFERROR(-ABS(IF(EDATE(_xlfn.XLOOKUP(1,$H279:$BE279,$H$4:$BE$4),12*Assumptions!$G$204+12)=BO$4,0,IF(BN279=1,PMT(Assumptions!$G$202,Assumptions!$G$204,$C281),BN292))),0)</f>
        <v>0</v>
      </c>
      <c r="BP292" s="39">
        <f>+IFERROR(-ABS(IF(EDATE(_xlfn.XLOOKUP(1,$H279:$BE279,$H$4:$BE$4),12*Assumptions!$G$204+12)=BP$4,0,IF(BO279=1,PMT(Assumptions!$G$202,Assumptions!$G$204,$C281),BO292))),0)</f>
        <v>0</v>
      </c>
      <c r="BQ292" s="39">
        <f>+IFERROR(-ABS(IF(EDATE(_xlfn.XLOOKUP(1,$H279:$BE279,$H$4:$BE$4),12*Assumptions!$G$204+12)=BQ$4,0,IF(BP279=1,PMT(Assumptions!$G$202,Assumptions!$G$204,$C281),BP292))),0)</f>
        <v>0</v>
      </c>
      <c r="BR292" s="39">
        <f>+IFERROR(-ABS(IF(EDATE(_xlfn.XLOOKUP(1,$H279:$BE279,$H$4:$BE$4),12*Assumptions!$G$204+12)=BR$4,0,IF(BQ279=1,PMT(Assumptions!$G$202,Assumptions!$G$204,$C281),BQ292))),0)</f>
        <v>0</v>
      </c>
      <c r="BS292" s="39">
        <f>+IFERROR(-ABS(IF(EDATE(_xlfn.XLOOKUP(1,$H279:$BE279,$H$4:$BE$4),12*Assumptions!$G$204+12)=BS$4,0,IF(BR279=1,PMT(Assumptions!$G$202,Assumptions!$G$204,$C281),BR292))),0)</f>
        <v>0</v>
      </c>
      <c r="BT292" s="39">
        <f>+IFERROR(-ABS(IF(EDATE(_xlfn.XLOOKUP(1,$H279:$BE279,$H$4:$BE$4),12*Assumptions!$G$204+12)=BT$4,0,IF(BS279=1,PMT(Assumptions!$G$202,Assumptions!$G$204,$C281),BS292))),0)</f>
        <v>0</v>
      </c>
      <c r="BU292" s="39">
        <f>+IFERROR(-ABS(IF(EDATE(_xlfn.XLOOKUP(1,$H279:$BE279,$H$4:$BE$4),12*Assumptions!$G$204+12)=BU$4,0,IF(BT279=1,PMT(Assumptions!$G$202,Assumptions!$G$204,$C281),BT292))),0)</f>
        <v>0</v>
      </c>
      <c r="BV292" s="39">
        <f>+IFERROR(-ABS(IF(EDATE(_xlfn.XLOOKUP(1,$H279:$BE279,$H$4:$BE$4),12*Assumptions!$G$204+12)=BV$4,0,IF(BU279=1,PMT(Assumptions!$G$202,Assumptions!$G$204,$C281),BU292))),0)</f>
        <v>0</v>
      </c>
      <c r="BW292" s="39">
        <f>+IFERROR(-ABS(IF(EDATE(_xlfn.XLOOKUP(1,$H279:$BE279,$H$4:$BE$4),12*Assumptions!$G$204+12)=BW$4,0,IF(BV279=1,PMT(Assumptions!$G$202,Assumptions!$G$204,$C281),BV292))),0)</f>
        <v>0</v>
      </c>
      <c r="BX292" s="39">
        <f>+IFERROR(-ABS(IF(EDATE(_xlfn.XLOOKUP(1,$H279:$BE279,$H$4:$BE$4),12*Assumptions!$G$204+12)=BX$4,0,IF(BW279=1,PMT(Assumptions!$G$202,Assumptions!$G$204,$C281),BW292))),0)</f>
        <v>0</v>
      </c>
      <c r="BY292" s="39">
        <f>+IFERROR(-ABS(IF(EDATE(_xlfn.XLOOKUP(1,$H279:$BE279,$H$4:$BE$4),12*Assumptions!$G$204+12)=BY$4,0,IF(BX279=1,PMT(Assumptions!$G$202,Assumptions!$G$204,$C281),BX292))),0)</f>
        <v>0</v>
      </c>
    </row>
    <row r="293" spans="5:77" outlineLevel="1">
      <c r="E293" s="24" t="s">
        <v>515</v>
      </c>
      <c r="F293" s="80" t="str">
        <f>+Assumptions!$G$8</f>
        <v>USD</v>
      </c>
      <c r="G293" s="24"/>
      <c r="H293" s="39">
        <f>+IFERROR(-ABS(IF(EDATE(_xlfn.XLOOKUP(1,$H280:$BE280,$H$4:$BE$4),12*Assumptions!$G$204+12)=H$4,0,IF(G280=1,PMT(Assumptions!$G$202,Assumptions!$G$204,$C282),G293))),0)</f>
        <v>0</v>
      </c>
      <c r="I293" s="39">
        <f>+IFERROR(-ABS(IF(EDATE(_xlfn.XLOOKUP(1,$H280:$BE280,$H$4:$BE$4),12*Assumptions!$G$204+12)=I$4,0,IF(H280=1,PMT(Assumptions!$G$202,Assumptions!$G$204,$C282),H293))),0)</f>
        <v>0</v>
      </c>
      <c r="J293" s="39">
        <f>+IFERROR(-ABS(IF(EDATE(_xlfn.XLOOKUP(1,$H280:$BE280,$H$4:$BE$4),12*Assumptions!$G$204+12)=J$4,0,IF(I280=1,PMT(Assumptions!$G$202,Assumptions!$G$204,$C282),I293))),0)</f>
        <v>0</v>
      </c>
      <c r="K293" s="39">
        <f>+IFERROR(-ABS(IF(EDATE(_xlfn.XLOOKUP(1,$H280:$BE280,$H$4:$BE$4),12*Assumptions!$G$204+12)=K$4,0,IF(J280=1,PMT(Assumptions!$G$202,Assumptions!$G$204,$C282),J293))),0)</f>
        <v>0</v>
      </c>
      <c r="L293" s="39">
        <f>+IFERROR(-ABS(IF(EDATE(_xlfn.XLOOKUP(1,$H280:$BE280,$H$4:$BE$4),12*Assumptions!$G$204+12)=L$4,0,IF(K280=1,PMT(Assumptions!$G$202,Assumptions!$G$204,$C282),K293))),0)</f>
        <v>0</v>
      </c>
      <c r="M293" s="39">
        <f>+IFERROR(-ABS(IF(EDATE(_xlfn.XLOOKUP(1,$H280:$BE280,$H$4:$BE$4),12*Assumptions!$G$204+12)=M$4,0,IF(L280=1,PMT(Assumptions!$G$202,Assumptions!$G$204,$C282),L293))),0)</f>
        <v>0</v>
      </c>
      <c r="N293" s="39">
        <f>+IFERROR(-ABS(IF(EDATE(_xlfn.XLOOKUP(1,$H280:$BE280,$H$4:$BE$4),12*Assumptions!$G$204+12)=N$4,0,IF(M280=1,PMT(Assumptions!$G$202,Assumptions!$G$204,$C282),M293))),0)</f>
        <v>0</v>
      </c>
      <c r="O293" s="39">
        <f>+IFERROR(-ABS(IF(EDATE(_xlfn.XLOOKUP(1,$H280:$BE280,$H$4:$BE$4),12*Assumptions!$G$204+12)=O$4,0,IF(N280=1,PMT(Assumptions!$G$202,Assumptions!$G$204,$C282),N293))),0)</f>
        <v>0</v>
      </c>
      <c r="P293" s="39">
        <f>+IFERROR(-ABS(IF(EDATE(_xlfn.XLOOKUP(1,$H280:$BE280,$H$4:$BE$4),12*Assumptions!$G$204+12)=P$4,0,IF(O280=1,PMT(Assumptions!$G$202,Assumptions!$G$204,$C282),O293))),0)</f>
        <v>0</v>
      </c>
      <c r="Q293" s="39">
        <f>+IFERROR(-ABS(IF(EDATE(_xlfn.XLOOKUP(1,$H280:$BE280,$H$4:$BE$4),12*Assumptions!$G$204+12)=Q$4,0,IF(P280=1,PMT(Assumptions!$G$202,Assumptions!$G$204,$C282),P293))),0)</f>
        <v>0</v>
      </c>
      <c r="R293" s="39">
        <f>+IFERROR(-ABS(IF(EDATE(_xlfn.XLOOKUP(1,$H280:$BE280,$H$4:$BE$4),12*Assumptions!$G$204+12)=R$4,0,IF(Q280=1,PMT(Assumptions!$G$202,Assumptions!$G$204,$C282),Q293))),0)</f>
        <v>0</v>
      </c>
      <c r="S293" s="39">
        <f>+IFERROR(-ABS(IF(EDATE(_xlfn.XLOOKUP(1,$H280:$BE280,$H$4:$BE$4),12*Assumptions!$G$204+12)=S$4,0,IF(R280=1,PMT(Assumptions!$G$202,Assumptions!$G$204,$C282),R293))),0)</f>
        <v>0</v>
      </c>
      <c r="T293" s="39">
        <f>+IFERROR(-ABS(IF(EDATE(_xlfn.XLOOKUP(1,$H280:$BE280,$H$4:$BE$4),12*Assumptions!$G$204+12)=T$4,0,IF(S280=1,PMT(Assumptions!$G$202,Assumptions!$G$204,$C282),S293))),0)</f>
        <v>0</v>
      </c>
      <c r="U293" s="39">
        <f>+IFERROR(-ABS(IF(EDATE(_xlfn.XLOOKUP(1,$H280:$BE280,$H$4:$BE$4),12*Assumptions!$G$204+12)=U$4,0,IF(T280=1,PMT(Assumptions!$G$202,Assumptions!$G$204,$C282),T293))),0)</f>
        <v>0</v>
      </c>
      <c r="V293" s="39">
        <f>+IFERROR(-ABS(IF(EDATE(_xlfn.XLOOKUP(1,$H280:$BE280,$H$4:$BE$4),12*Assumptions!$G$204+12)=V$4,0,IF(U280=1,PMT(Assumptions!$G$202,Assumptions!$G$204,$C282),U293))),0)</f>
        <v>0</v>
      </c>
      <c r="W293" s="39">
        <f>+IFERROR(-ABS(IF(EDATE(_xlfn.XLOOKUP(1,$H280:$BE280,$H$4:$BE$4),12*Assumptions!$G$204+12)=W$4,0,IF(V280=1,PMT(Assumptions!$G$202,Assumptions!$G$204,$C282),V293))),0)</f>
        <v>0</v>
      </c>
      <c r="X293" s="39">
        <f>+IFERROR(-ABS(IF(EDATE(_xlfn.XLOOKUP(1,$H280:$BE280,$H$4:$BE$4),12*Assumptions!$G$204+12)=X$4,0,IF(W280=1,PMT(Assumptions!$G$202,Assumptions!$G$204,$C282),W293))),0)</f>
        <v>0</v>
      </c>
      <c r="Y293" s="39">
        <f>+IFERROR(-ABS(IF(EDATE(_xlfn.XLOOKUP(1,$H280:$BE280,$H$4:$BE$4),12*Assumptions!$G$204+12)=Y$4,0,IF(X280=1,PMT(Assumptions!$G$202,Assumptions!$G$204,$C282),X293))),0)</f>
        <v>0</v>
      </c>
      <c r="Z293" s="39">
        <f>+IFERROR(-ABS(IF(EDATE(_xlfn.XLOOKUP(1,$H280:$BE280,$H$4:$BE$4),12*Assumptions!$G$204+12)=Z$4,0,IF(Y280=1,PMT(Assumptions!$G$202,Assumptions!$G$204,$C282),Y293))),0)</f>
        <v>0</v>
      </c>
      <c r="AA293" s="39">
        <f>+IFERROR(-ABS(IF(EDATE(_xlfn.XLOOKUP(1,$H280:$BE280,$H$4:$BE$4),12*Assumptions!$G$204+12)=AA$4,0,IF(Z280=1,PMT(Assumptions!$G$202,Assumptions!$G$204,$C282),Z293))),0)</f>
        <v>0</v>
      </c>
      <c r="AB293" s="39">
        <f>+IFERROR(-ABS(IF(EDATE(_xlfn.XLOOKUP(1,$H280:$BE280,$H$4:$BE$4),12*Assumptions!$G$204+12)=AB$4,0,IF(AA280=1,PMT(Assumptions!$G$202,Assumptions!$G$204,$C282),AA293))),0)</f>
        <v>0</v>
      </c>
      <c r="AC293" s="39">
        <f>+IFERROR(-ABS(IF(EDATE(_xlfn.XLOOKUP(1,$H280:$BE280,$H$4:$BE$4),12*Assumptions!$G$204+12)=AC$4,0,IF(AB280=1,PMT(Assumptions!$G$202,Assumptions!$G$204,$C282),AB293))),0)</f>
        <v>0</v>
      </c>
      <c r="AD293" s="39">
        <f>+IFERROR(-ABS(IF(EDATE(_xlfn.XLOOKUP(1,$H280:$BE280,$H$4:$BE$4),12*Assumptions!$G$204+12)=AD$4,0,IF(AC280=1,PMT(Assumptions!$G$202,Assumptions!$G$204,$C282),AC293))),0)</f>
        <v>0</v>
      </c>
      <c r="AE293" s="39">
        <f>+IFERROR(-ABS(IF(EDATE(_xlfn.XLOOKUP(1,$H280:$BE280,$H$4:$BE$4),12*Assumptions!$G$204+12)=AE$4,0,IF(AD280=1,PMT(Assumptions!$G$202,Assumptions!$G$204,$C282),AD293))),0)</f>
        <v>0</v>
      </c>
      <c r="AF293" s="39">
        <f>+IFERROR(-ABS(IF(EDATE(_xlfn.XLOOKUP(1,$H280:$BE280,$H$4:$BE$4),12*Assumptions!$G$204+12)=AF$4,0,IF(AE280=1,PMT(Assumptions!$G$202,Assumptions!$G$204,$C282),AE293))),0)</f>
        <v>0</v>
      </c>
      <c r="AG293" s="39">
        <f>+IFERROR(-ABS(IF(EDATE(_xlfn.XLOOKUP(1,$H280:$BE280,$H$4:$BE$4),12*Assumptions!$G$204+12)=AG$4,0,IF(AF280=1,PMT(Assumptions!$G$202,Assumptions!$G$204,$C282),AF293))),0)</f>
        <v>0</v>
      </c>
      <c r="AH293" s="39">
        <f>+IFERROR(-ABS(IF(EDATE(_xlfn.XLOOKUP(1,$H280:$BE280,$H$4:$BE$4),12*Assumptions!$G$204+12)=AH$4,0,IF(AG280=1,PMT(Assumptions!$G$202,Assumptions!$G$204,$C282),AG293))),0)</f>
        <v>0</v>
      </c>
      <c r="AI293" s="39">
        <f>+IFERROR(-ABS(IF(EDATE(_xlfn.XLOOKUP(1,$H280:$BE280,$H$4:$BE$4),12*Assumptions!$G$204+12)=AI$4,0,IF(AH280=1,PMT(Assumptions!$G$202,Assumptions!$G$204,$C282),AH293))),0)</f>
        <v>0</v>
      </c>
      <c r="AJ293" s="39">
        <f>+IFERROR(-ABS(IF(EDATE(_xlfn.XLOOKUP(1,$H280:$BE280,$H$4:$BE$4),12*Assumptions!$G$204+12)=AJ$4,0,IF(AI280=1,PMT(Assumptions!$G$202,Assumptions!$G$204,$C282),AI293))),0)</f>
        <v>0</v>
      </c>
      <c r="AK293" s="39">
        <f>+IFERROR(-ABS(IF(EDATE(_xlfn.XLOOKUP(1,$H280:$BE280,$H$4:$BE$4),12*Assumptions!$G$204+12)=AK$4,0,IF(AJ280=1,PMT(Assumptions!$G$202,Assumptions!$G$204,$C282),AJ293))),0)</f>
        <v>0</v>
      </c>
      <c r="AL293" s="39">
        <f>+IFERROR(-ABS(IF(EDATE(_xlfn.XLOOKUP(1,$H280:$BE280,$H$4:$BE$4),12*Assumptions!$G$204+12)=AL$4,0,IF(AK280=1,PMT(Assumptions!$G$202,Assumptions!$G$204,$C282),AK293))),0)</f>
        <v>0</v>
      </c>
      <c r="AM293" s="39">
        <f>+IFERROR(-ABS(IF(EDATE(_xlfn.XLOOKUP(1,$H280:$BE280,$H$4:$BE$4),12*Assumptions!$G$204+12)=AM$4,0,IF(AL280=1,PMT(Assumptions!$G$202,Assumptions!$G$204,$C282),AL293))),0)</f>
        <v>0</v>
      </c>
      <c r="AN293" s="39">
        <f>+IFERROR(-ABS(IF(EDATE(_xlfn.XLOOKUP(1,$H280:$BE280,$H$4:$BE$4),12*Assumptions!$G$204+12)=AN$4,0,IF(AM280=1,PMT(Assumptions!$G$202,Assumptions!$G$204,$C282),AM293))),0)</f>
        <v>0</v>
      </c>
      <c r="AO293" s="39">
        <f>+IFERROR(-ABS(IF(EDATE(_xlfn.XLOOKUP(1,$H280:$BE280,$H$4:$BE$4),12*Assumptions!$G$204+12)=AO$4,0,IF(AN280=1,PMT(Assumptions!$G$202,Assumptions!$G$204,$C282),AN293))),0)</f>
        <v>0</v>
      </c>
      <c r="AP293" s="39">
        <f>+IFERROR(-ABS(IF(EDATE(_xlfn.XLOOKUP(1,$H280:$BE280,$H$4:$BE$4),12*Assumptions!$G$204+12)=AP$4,0,IF(AO280=1,PMT(Assumptions!$G$202,Assumptions!$G$204,$C282),AO293))),0)</f>
        <v>0</v>
      </c>
      <c r="AQ293" s="39">
        <f>+IFERROR(-ABS(IF(EDATE(_xlfn.XLOOKUP(1,$H280:$BE280,$H$4:$BE$4),12*Assumptions!$G$204+12)=AQ$4,0,IF(AP280=1,PMT(Assumptions!$G$202,Assumptions!$G$204,$C282),AP293))),0)</f>
        <v>0</v>
      </c>
      <c r="AR293" s="39">
        <f>+IFERROR(-ABS(IF(EDATE(_xlfn.XLOOKUP(1,$H280:$BE280,$H$4:$BE$4),12*Assumptions!$G$204+12)=AR$4,0,IF(AQ280=1,PMT(Assumptions!$G$202,Assumptions!$G$204,$C282),AQ293))),0)</f>
        <v>0</v>
      </c>
      <c r="AS293" s="39">
        <f>+IFERROR(-ABS(IF(EDATE(_xlfn.XLOOKUP(1,$H280:$BE280,$H$4:$BE$4),12*Assumptions!$G$204+12)=AS$4,0,IF(AR280=1,PMT(Assumptions!$G$202,Assumptions!$G$204,$C282),AR293))),0)</f>
        <v>0</v>
      </c>
      <c r="AT293" s="39">
        <f>+IFERROR(-ABS(IF(EDATE(_xlfn.XLOOKUP(1,$H280:$BE280,$H$4:$BE$4),12*Assumptions!$G$204+12)=AT$4,0,IF(AS280=1,PMT(Assumptions!$G$202,Assumptions!$G$204,$C282),AS293))),0)</f>
        <v>0</v>
      </c>
      <c r="AU293" s="39">
        <f>+IFERROR(-ABS(IF(EDATE(_xlfn.XLOOKUP(1,$H280:$BE280,$H$4:$BE$4),12*Assumptions!$G$204+12)=AU$4,0,IF(AT280=1,PMT(Assumptions!$G$202,Assumptions!$G$204,$C282),AT293))),0)</f>
        <v>0</v>
      </c>
      <c r="AV293" s="39">
        <f>+IFERROR(-ABS(IF(EDATE(_xlfn.XLOOKUP(1,$H280:$BE280,$H$4:$BE$4),12*Assumptions!$G$204+12)=AV$4,0,IF(AU280=1,PMT(Assumptions!$G$202,Assumptions!$G$204,$C282),AU293))),0)</f>
        <v>0</v>
      </c>
      <c r="AW293" s="39">
        <f>+IFERROR(-ABS(IF(EDATE(_xlfn.XLOOKUP(1,$H280:$BE280,$H$4:$BE$4),12*Assumptions!$G$204+12)=AW$4,0,IF(AV280=1,PMT(Assumptions!$G$202,Assumptions!$G$204,$C282),AV293))),0)</f>
        <v>0</v>
      </c>
      <c r="AX293" s="39">
        <f>+IFERROR(-ABS(IF(EDATE(_xlfn.XLOOKUP(1,$H280:$BE280,$H$4:$BE$4),12*Assumptions!$G$204+12)=AX$4,0,IF(AW280=1,PMT(Assumptions!$G$202,Assumptions!$G$204,$C282),AW293))),0)</f>
        <v>0</v>
      </c>
      <c r="AY293" s="39">
        <f>+IFERROR(-ABS(IF(EDATE(_xlfn.XLOOKUP(1,$H280:$BE280,$H$4:$BE$4),12*Assumptions!$G$204+12)=AY$4,0,IF(AX280=1,PMT(Assumptions!$G$202,Assumptions!$G$204,$C282),AX293))),0)</f>
        <v>0</v>
      </c>
      <c r="AZ293" s="39">
        <f>+IFERROR(-ABS(IF(EDATE(_xlfn.XLOOKUP(1,$H280:$BE280,$H$4:$BE$4),12*Assumptions!$G$204+12)=AZ$4,0,IF(AY280=1,PMT(Assumptions!$G$202,Assumptions!$G$204,$C282),AY293))),0)</f>
        <v>0</v>
      </c>
      <c r="BA293" s="39">
        <f>+IFERROR(-ABS(IF(EDATE(_xlfn.XLOOKUP(1,$H280:$BE280,$H$4:$BE$4),12*Assumptions!$G$204+12)=BA$4,0,IF(AZ280=1,PMT(Assumptions!$G$202,Assumptions!$G$204,$C282),AZ293))),0)</f>
        <v>0</v>
      </c>
      <c r="BB293" s="39">
        <f>+IFERROR(-ABS(IF(EDATE(_xlfn.XLOOKUP(1,$H280:$BE280,$H$4:$BE$4),12*Assumptions!$G$204+12)=BB$4,0,IF(BA280=1,PMT(Assumptions!$G$202,Assumptions!$G$204,$C282),BA293))),0)</f>
        <v>0</v>
      </c>
      <c r="BC293" s="39">
        <f>+IFERROR(-ABS(IF(EDATE(_xlfn.XLOOKUP(1,$H280:$BE280,$H$4:$BE$4),12*Assumptions!$G$204+12)=BC$4,0,IF(BB280=1,PMT(Assumptions!$G$202,Assumptions!$G$204,$C282),BB293))),0)</f>
        <v>0</v>
      </c>
      <c r="BD293" s="39">
        <f>+IFERROR(-ABS(IF(EDATE(_xlfn.XLOOKUP(1,$H280:$BE280,$H$4:$BE$4),12*Assumptions!$G$204+12)=BD$4,0,IF(BC280=1,PMT(Assumptions!$G$202,Assumptions!$G$204,$C282),BC293))),0)</f>
        <v>0</v>
      </c>
      <c r="BE293" s="39">
        <f>+IFERROR(-ABS(IF(EDATE(_xlfn.XLOOKUP(1,$H280:$BE280,$H$4:$BE$4),12*Assumptions!$G$204+12)=BE$4,0,IF(BD280=1,PMT(Assumptions!$G$202,Assumptions!$G$204,$C282),BD293))),0)</f>
        <v>0</v>
      </c>
      <c r="BF293" s="39">
        <f>+IFERROR(-ABS(IF(EDATE(_xlfn.XLOOKUP(1,$H280:$BE280,$H$4:$BE$4),12*Assumptions!$G$204+12)=BF$4,0,IF(BE280=1,PMT(Assumptions!$G$202,Assumptions!$G$204,$C282),BE293))),0)</f>
        <v>0</v>
      </c>
      <c r="BG293" s="39">
        <f>+IFERROR(-ABS(IF(EDATE(_xlfn.XLOOKUP(1,$H280:$BE280,$H$4:$BE$4),12*Assumptions!$G$204+12)=BG$4,0,IF(BF280=1,PMT(Assumptions!$G$202,Assumptions!$G$204,$C282),BF293))),0)</f>
        <v>0</v>
      </c>
      <c r="BH293" s="39">
        <f>+IFERROR(-ABS(IF(EDATE(_xlfn.XLOOKUP(1,$H280:$BE280,$H$4:$BE$4),12*Assumptions!$G$204+12)=BH$4,0,IF(BG280=1,PMT(Assumptions!$G$202,Assumptions!$G$204,$C282),BG293))),0)</f>
        <v>0</v>
      </c>
      <c r="BI293" s="39">
        <f>+IFERROR(-ABS(IF(EDATE(_xlfn.XLOOKUP(1,$H280:$BE280,$H$4:$BE$4),12*Assumptions!$G$204+12)=BI$4,0,IF(BH280=1,PMT(Assumptions!$G$202,Assumptions!$G$204,$C282),BH293))),0)</f>
        <v>0</v>
      </c>
      <c r="BJ293" s="39">
        <f>+IFERROR(-ABS(IF(EDATE(_xlfn.XLOOKUP(1,$H280:$BE280,$H$4:$BE$4),12*Assumptions!$G$204+12)=BJ$4,0,IF(BI280=1,PMT(Assumptions!$G$202,Assumptions!$G$204,$C282),BI293))),0)</f>
        <v>0</v>
      </c>
      <c r="BK293" s="39">
        <f>+IFERROR(-ABS(IF(EDATE(_xlfn.XLOOKUP(1,$H280:$BE280,$H$4:$BE$4),12*Assumptions!$G$204+12)=BK$4,0,IF(BJ280=1,PMT(Assumptions!$G$202,Assumptions!$G$204,$C282),BJ293))),0)</f>
        <v>0</v>
      </c>
      <c r="BL293" s="39">
        <f>+IFERROR(-ABS(IF(EDATE(_xlfn.XLOOKUP(1,$H280:$BE280,$H$4:$BE$4),12*Assumptions!$G$204+12)=BL$4,0,IF(BK280=1,PMT(Assumptions!$G$202,Assumptions!$G$204,$C282),BK293))),0)</f>
        <v>0</v>
      </c>
      <c r="BM293" s="39">
        <f>+IFERROR(-ABS(IF(EDATE(_xlfn.XLOOKUP(1,$H280:$BE280,$H$4:$BE$4),12*Assumptions!$G$204+12)=BM$4,0,IF(BL280=1,PMT(Assumptions!$G$202,Assumptions!$G$204,$C282),BL293))),0)</f>
        <v>0</v>
      </c>
      <c r="BN293" s="39">
        <f>+IFERROR(-ABS(IF(EDATE(_xlfn.XLOOKUP(1,$H280:$BE280,$H$4:$BE$4),12*Assumptions!$G$204+12)=BN$4,0,IF(BM280=1,PMT(Assumptions!$G$202,Assumptions!$G$204,$C282),BM293))),0)</f>
        <v>0</v>
      </c>
      <c r="BO293" s="39">
        <f>+IFERROR(-ABS(IF(EDATE(_xlfn.XLOOKUP(1,$H280:$BE280,$H$4:$BE$4),12*Assumptions!$G$204+12)=BO$4,0,IF(BN280=1,PMT(Assumptions!$G$202,Assumptions!$G$204,$C282),BN293))),0)</f>
        <v>0</v>
      </c>
      <c r="BP293" s="39">
        <f>+IFERROR(-ABS(IF(EDATE(_xlfn.XLOOKUP(1,$H280:$BE280,$H$4:$BE$4),12*Assumptions!$G$204+12)=BP$4,0,IF(BO280=1,PMT(Assumptions!$G$202,Assumptions!$G$204,$C282),BO293))),0)</f>
        <v>0</v>
      </c>
      <c r="BQ293" s="39">
        <f>+IFERROR(-ABS(IF(EDATE(_xlfn.XLOOKUP(1,$H280:$BE280,$H$4:$BE$4),12*Assumptions!$G$204+12)=BQ$4,0,IF(BP280=1,PMT(Assumptions!$G$202,Assumptions!$G$204,$C282),BP293))),0)</f>
        <v>0</v>
      </c>
      <c r="BR293" s="39">
        <f>+IFERROR(-ABS(IF(EDATE(_xlfn.XLOOKUP(1,$H280:$BE280,$H$4:$BE$4),12*Assumptions!$G$204+12)=BR$4,0,IF(BQ280=1,PMT(Assumptions!$G$202,Assumptions!$G$204,$C282),BQ293))),0)</f>
        <v>0</v>
      </c>
      <c r="BS293" s="39">
        <f>+IFERROR(-ABS(IF(EDATE(_xlfn.XLOOKUP(1,$H280:$BE280,$H$4:$BE$4),12*Assumptions!$G$204+12)=BS$4,0,IF(BR280=1,PMT(Assumptions!$G$202,Assumptions!$G$204,$C282),BR293))),0)</f>
        <v>0</v>
      </c>
      <c r="BT293" s="39">
        <f>+IFERROR(-ABS(IF(EDATE(_xlfn.XLOOKUP(1,$H280:$BE280,$H$4:$BE$4),12*Assumptions!$G$204+12)=BT$4,0,IF(BS280=1,PMT(Assumptions!$G$202,Assumptions!$G$204,$C282),BS293))),0)</f>
        <v>0</v>
      </c>
      <c r="BU293" s="39">
        <f>+IFERROR(-ABS(IF(EDATE(_xlfn.XLOOKUP(1,$H280:$BE280,$H$4:$BE$4),12*Assumptions!$G$204+12)=BU$4,0,IF(BT280=1,PMT(Assumptions!$G$202,Assumptions!$G$204,$C282),BT293))),0)</f>
        <v>0</v>
      </c>
      <c r="BV293" s="39">
        <f>+IFERROR(-ABS(IF(EDATE(_xlfn.XLOOKUP(1,$H280:$BE280,$H$4:$BE$4),12*Assumptions!$G$204+12)=BV$4,0,IF(BU280=1,PMT(Assumptions!$G$202,Assumptions!$G$204,$C282),BU293))),0)</f>
        <v>0</v>
      </c>
      <c r="BW293" s="39">
        <f>+IFERROR(-ABS(IF(EDATE(_xlfn.XLOOKUP(1,$H280:$BE280,$H$4:$BE$4),12*Assumptions!$G$204+12)=BW$4,0,IF(BV280=1,PMT(Assumptions!$G$202,Assumptions!$G$204,$C282),BV293))),0)</f>
        <v>0</v>
      </c>
      <c r="BX293" s="39">
        <f>+IFERROR(-ABS(IF(EDATE(_xlfn.XLOOKUP(1,$H280:$BE280,$H$4:$BE$4),12*Assumptions!$G$204+12)=BX$4,0,IF(BW280=1,PMT(Assumptions!$G$202,Assumptions!$G$204,$C282),BW293))),0)</f>
        <v>0</v>
      </c>
      <c r="BY293" s="39">
        <f>+IFERROR(-ABS(IF(EDATE(_xlfn.XLOOKUP(1,$H280:$BE280,$H$4:$BE$4),12*Assumptions!$G$204+12)=BY$4,0,IF(BX280=1,PMT(Assumptions!$G$202,Assumptions!$G$204,$C282),BX293))),0)</f>
        <v>0</v>
      </c>
    </row>
    <row r="294" spans="5:77" outlineLevel="1">
      <c r="E294" s="24" t="s">
        <v>516</v>
      </c>
      <c r="F294" s="80" t="str">
        <f>+Assumptions!$G$8</f>
        <v>USD</v>
      </c>
      <c r="G294" s="24"/>
      <c r="H294" s="39">
        <f>+IFERROR(-ABS(IF(EDATE(_xlfn.XLOOKUP(1,$H281:$BE281,$H$4:$BE$4),12*Assumptions!$G$204+12)=H$4,0,IF(G281=1,PMT(Assumptions!$G$202,Assumptions!$G$204,$C283),G294))),0)</f>
        <v>0</v>
      </c>
      <c r="I294" s="39">
        <f>+IFERROR(-ABS(IF(EDATE(_xlfn.XLOOKUP(1,$H281:$BE281,$H$4:$BE$4),12*Assumptions!$G$204+12)=I$4,0,IF(H281=1,PMT(Assumptions!$G$202,Assumptions!$G$204,$C283),H294))),0)</f>
        <v>0</v>
      </c>
      <c r="J294" s="39">
        <f>+IFERROR(-ABS(IF(EDATE(_xlfn.XLOOKUP(1,$H281:$BE281,$H$4:$BE$4),12*Assumptions!$G$204+12)=J$4,0,IF(I281=1,PMT(Assumptions!$G$202,Assumptions!$G$204,$C283),I294))),0)</f>
        <v>0</v>
      </c>
      <c r="K294" s="39">
        <f>+IFERROR(-ABS(IF(EDATE(_xlfn.XLOOKUP(1,$H281:$BE281,$H$4:$BE$4),12*Assumptions!$G$204+12)=K$4,0,IF(J281=1,PMT(Assumptions!$G$202,Assumptions!$G$204,$C283),J294))),0)</f>
        <v>0</v>
      </c>
      <c r="L294" s="39">
        <f>+IFERROR(-ABS(IF(EDATE(_xlfn.XLOOKUP(1,$H281:$BE281,$H$4:$BE$4),12*Assumptions!$G$204+12)=L$4,0,IF(K281=1,PMT(Assumptions!$G$202,Assumptions!$G$204,$C283),K294))),0)</f>
        <v>0</v>
      </c>
      <c r="M294" s="39">
        <f>+IFERROR(-ABS(IF(EDATE(_xlfn.XLOOKUP(1,$H281:$BE281,$H$4:$BE$4),12*Assumptions!$G$204+12)=M$4,0,IF(L281=1,PMT(Assumptions!$G$202,Assumptions!$G$204,$C283),L294))),0)</f>
        <v>0</v>
      </c>
      <c r="N294" s="39">
        <f>+IFERROR(-ABS(IF(EDATE(_xlfn.XLOOKUP(1,$H281:$BE281,$H$4:$BE$4),12*Assumptions!$G$204+12)=N$4,0,IF(M281=1,PMT(Assumptions!$G$202,Assumptions!$G$204,$C283),M294))),0)</f>
        <v>0</v>
      </c>
      <c r="O294" s="39">
        <f>+IFERROR(-ABS(IF(EDATE(_xlfn.XLOOKUP(1,$H281:$BE281,$H$4:$BE$4),12*Assumptions!$G$204+12)=O$4,0,IF(N281=1,PMT(Assumptions!$G$202,Assumptions!$G$204,$C283),N294))),0)</f>
        <v>0</v>
      </c>
      <c r="P294" s="39">
        <f>+IFERROR(-ABS(IF(EDATE(_xlfn.XLOOKUP(1,$H281:$BE281,$H$4:$BE$4),12*Assumptions!$G$204+12)=P$4,0,IF(O281=1,PMT(Assumptions!$G$202,Assumptions!$G$204,$C283),O294))),0)</f>
        <v>0</v>
      </c>
      <c r="Q294" s="39">
        <f>+IFERROR(-ABS(IF(EDATE(_xlfn.XLOOKUP(1,$H281:$BE281,$H$4:$BE$4),12*Assumptions!$G$204+12)=Q$4,0,IF(P281=1,PMT(Assumptions!$G$202,Assumptions!$G$204,$C283),P294))),0)</f>
        <v>0</v>
      </c>
      <c r="R294" s="39">
        <f>+IFERROR(-ABS(IF(EDATE(_xlfn.XLOOKUP(1,$H281:$BE281,$H$4:$BE$4),12*Assumptions!$G$204+12)=R$4,0,IF(Q281=1,PMT(Assumptions!$G$202,Assumptions!$G$204,$C283),Q294))),0)</f>
        <v>0</v>
      </c>
      <c r="S294" s="39">
        <f>+IFERROR(-ABS(IF(EDATE(_xlfn.XLOOKUP(1,$H281:$BE281,$H$4:$BE$4),12*Assumptions!$G$204+12)=S$4,0,IF(R281=1,PMT(Assumptions!$G$202,Assumptions!$G$204,$C283),R294))),0)</f>
        <v>0</v>
      </c>
      <c r="T294" s="39">
        <f>+IFERROR(-ABS(IF(EDATE(_xlfn.XLOOKUP(1,$H281:$BE281,$H$4:$BE$4),12*Assumptions!$G$204+12)=T$4,0,IF(S281=1,PMT(Assumptions!$G$202,Assumptions!$G$204,$C283),S294))),0)</f>
        <v>0</v>
      </c>
      <c r="U294" s="39">
        <f>+IFERROR(-ABS(IF(EDATE(_xlfn.XLOOKUP(1,$H281:$BE281,$H$4:$BE$4),12*Assumptions!$G$204+12)=U$4,0,IF(T281=1,PMT(Assumptions!$G$202,Assumptions!$G$204,$C283),T294))),0)</f>
        <v>0</v>
      </c>
      <c r="V294" s="39">
        <f>+IFERROR(-ABS(IF(EDATE(_xlfn.XLOOKUP(1,$H281:$BE281,$H$4:$BE$4),12*Assumptions!$G$204+12)=V$4,0,IF(U281=1,PMT(Assumptions!$G$202,Assumptions!$G$204,$C283),U294))),0)</f>
        <v>0</v>
      </c>
      <c r="W294" s="39">
        <f>+IFERROR(-ABS(IF(EDATE(_xlfn.XLOOKUP(1,$H281:$BE281,$H$4:$BE$4),12*Assumptions!$G$204+12)=W$4,0,IF(V281=1,PMT(Assumptions!$G$202,Assumptions!$G$204,$C283),V294))),0)</f>
        <v>0</v>
      </c>
      <c r="X294" s="39">
        <f>+IFERROR(-ABS(IF(EDATE(_xlfn.XLOOKUP(1,$H281:$BE281,$H$4:$BE$4),12*Assumptions!$G$204+12)=X$4,0,IF(W281=1,PMT(Assumptions!$G$202,Assumptions!$G$204,$C283),W294))),0)</f>
        <v>0</v>
      </c>
      <c r="Y294" s="39">
        <f>+IFERROR(-ABS(IF(EDATE(_xlfn.XLOOKUP(1,$H281:$BE281,$H$4:$BE$4),12*Assumptions!$G$204+12)=Y$4,0,IF(X281=1,PMT(Assumptions!$G$202,Assumptions!$G$204,$C283),X294))),0)</f>
        <v>0</v>
      </c>
      <c r="Z294" s="39">
        <f>+IFERROR(-ABS(IF(EDATE(_xlfn.XLOOKUP(1,$H281:$BE281,$H$4:$BE$4),12*Assumptions!$G$204+12)=Z$4,0,IF(Y281=1,PMT(Assumptions!$G$202,Assumptions!$G$204,$C283),Y294))),0)</f>
        <v>0</v>
      </c>
      <c r="AA294" s="39">
        <f>+IFERROR(-ABS(IF(EDATE(_xlfn.XLOOKUP(1,$H281:$BE281,$H$4:$BE$4),12*Assumptions!$G$204+12)=AA$4,0,IF(Z281=1,PMT(Assumptions!$G$202,Assumptions!$G$204,$C283),Z294))),0)</f>
        <v>0</v>
      </c>
      <c r="AB294" s="39">
        <f>+IFERROR(-ABS(IF(EDATE(_xlfn.XLOOKUP(1,$H281:$BE281,$H$4:$BE$4),12*Assumptions!$G$204+12)=AB$4,0,IF(AA281=1,PMT(Assumptions!$G$202,Assumptions!$G$204,$C283),AA294))),0)</f>
        <v>0</v>
      </c>
      <c r="AC294" s="39">
        <f>+IFERROR(-ABS(IF(EDATE(_xlfn.XLOOKUP(1,$H281:$BE281,$H$4:$BE$4),12*Assumptions!$G$204+12)=AC$4,0,IF(AB281=1,PMT(Assumptions!$G$202,Assumptions!$G$204,$C283),AB294))),0)</f>
        <v>0</v>
      </c>
      <c r="AD294" s="39">
        <f>+IFERROR(-ABS(IF(EDATE(_xlfn.XLOOKUP(1,$H281:$BE281,$H$4:$BE$4),12*Assumptions!$G$204+12)=AD$4,0,IF(AC281=1,PMT(Assumptions!$G$202,Assumptions!$G$204,$C283),AC294))),0)</f>
        <v>0</v>
      </c>
      <c r="AE294" s="39">
        <f>+IFERROR(-ABS(IF(EDATE(_xlfn.XLOOKUP(1,$H281:$BE281,$H$4:$BE$4),12*Assumptions!$G$204+12)=AE$4,0,IF(AD281=1,PMT(Assumptions!$G$202,Assumptions!$G$204,$C283),AD294))),0)</f>
        <v>0</v>
      </c>
      <c r="AF294" s="39">
        <f>+IFERROR(-ABS(IF(EDATE(_xlfn.XLOOKUP(1,$H281:$BE281,$H$4:$BE$4),12*Assumptions!$G$204+12)=AF$4,0,IF(AE281=1,PMT(Assumptions!$G$202,Assumptions!$G$204,$C283),AE294))),0)</f>
        <v>0</v>
      </c>
      <c r="AG294" s="39">
        <f>+IFERROR(-ABS(IF(EDATE(_xlfn.XLOOKUP(1,$H281:$BE281,$H$4:$BE$4),12*Assumptions!$G$204+12)=AG$4,0,IF(AF281=1,PMT(Assumptions!$G$202,Assumptions!$G$204,$C283),AF294))),0)</f>
        <v>0</v>
      </c>
      <c r="AH294" s="39">
        <f>+IFERROR(-ABS(IF(EDATE(_xlfn.XLOOKUP(1,$H281:$BE281,$H$4:$BE$4),12*Assumptions!$G$204+12)=AH$4,0,IF(AG281=1,PMT(Assumptions!$G$202,Assumptions!$G$204,$C283),AG294))),0)</f>
        <v>0</v>
      </c>
      <c r="AI294" s="39">
        <f>+IFERROR(-ABS(IF(EDATE(_xlfn.XLOOKUP(1,$H281:$BE281,$H$4:$BE$4),12*Assumptions!$G$204+12)=AI$4,0,IF(AH281=1,PMT(Assumptions!$G$202,Assumptions!$G$204,$C283),AH294))),0)</f>
        <v>0</v>
      </c>
      <c r="AJ294" s="39">
        <f>+IFERROR(-ABS(IF(EDATE(_xlfn.XLOOKUP(1,$H281:$BE281,$H$4:$BE$4),12*Assumptions!$G$204+12)=AJ$4,0,IF(AI281=1,PMT(Assumptions!$G$202,Assumptions!$G$204,$C283),AI294))),0)</f>
        <v>0</v>
      </c>
      <c r="AK294" s="39">
        <f>+IFERROR(-ABS(IF(EDATE(_xlfn.XLOOKUP(1,$H281:$BE281,$H$4:$BE$4),12*Assumptions!$G$204+12)=AK$4,0,IF(AJ281=1,PMT(Assumptions!$G$202,Assumptions!$G$204,$C283),AJ294))),0)</f>
        <v>0</v>
      </c>
      <c r="AL294" s="39">
        <f>+IFERROR(-ABS(IF(EDATE(_xlfn.XLOOKUP(1,$H281:$BE281,$H$4:$BE$4),12*Assumptions!$G$204+12)=AL$4,0,IF(AK281=1,PMT(Assumptions!$G$202,Assumptions!$G$204,$C283),AK294))),0)</f>
        <v>0</v>
      </c>
      <c r="AM294" s="39">
        <f>+IFERROR(-ABS(IF(EDATE(_xlfn.XLOOKUP(1,$H281:$BE281,$H$4:$BE$4),12*Assumptions!$G$204+12)=AM$4,0,IF(AL281=1,PMT(Assumptions!$G$202,Assumptions!$G$204,$C283),AL294))),0)</f>
        <v>0</v>
      </c>
      <c r="AN294" s="39">
        <f>+IFERROR(-ABS(IF(EDATE(_xlfn.XLOOKUP(1,$H281:$BE281,$H$4:$BE$4),12*Assumptions!$G$204+12)=AN$4,0,IF(AM281=1,PMT(Assumptions!$G$202,Assumptions!$G$204,$C283),AM294))),0)</f>
        <v>0</v>
      </c>
      <c r="AO294" s="39">
        <f>+IFERROR(-ABS(IF(EDATE(_xlfn.XLOOKUP(1,$H281:$BE281,$H$4:$BE$4),12*Assumptions!$G$204+12)=AO$4,0,IF(AN281=1,PMT(Assumptions!$G$202,Assumptions!$G$204,$C283),AN294))),0)</f>
        <v>0</v>
      </c>
      <c r="AP294" s="39">
        <f>+IFERROR(-ABS(IF(EDATE(_xlfn.XLOOKUP(1,$H281:$BE281,$H$4:$BE$4),12*Assumptions!$G$204+12)=AP$4,0,IF(AO281=1,PMT(Assumptions!$G$202,Assumptions!$G$204,$C283),AO294))),0)</f>
        <v>0</v>
      </c>
      <c r="AQ294" s="39">
        <f>+IFERROR(-ABS(IF(EDATE(_xlfn.XLOOKUP(1,$H281:$BE281,$H$4:$BE$4),12*Assumptions!$G$204+12)=AQ$4,0,IF(AP281=1,PMT(Assumptions!$G$202,Assumptions!$G$204,$C283),AP294))),0)</f>
        <v>0</v>
      </c>
      <c r="AR294" s="39">
        <f>+IFERROR(-ABS(IF(EDATE(_xlfn.XLOOKUP(1,$H281:$BE281,$H$4:$BE$4),12*Assumptions!$G$204+12)=AR$4,0,IF(AQ281=1,PMT(Assumptions!$G$202,Assumptions!$G$204,$C283),AQ294))),0)</f>
        <v>0</v>
      </c>
      <c r="AS294" s="39">
        <f>+IFERROR(-ABS(IF(EDATE(_xlfn.XLOOKUP(1,$H281:$BE281,$H$4:$BE$4),12*Assumptions!$G$204+12)=AS$4,0,IF(AR281=1,PMT(Assumptions!$G$202,Assumptions!$G$204,$C283),AR294))),0)</f>
        <v>0</v>
      </c>
      <c r="AT294" s="39">
        <f>+IFERROR(-ABS(IF(EDATE(_xlfn.XLOOKUP(1,$H281:$BE281,$H$4:$BE$4),12*Assumptions!$G$204+12)=AT$4,0,IF(AS281=1,PMT(Assumptions!$G$202,Assumptions!$G$204,$C283),AS294))),0)</f>
        <v>0</v>
      </c>
      <c r="AU294" s="39">
        <f>+IFERROR(-ABS(IF(EDATE(_xlfn.XLOOKUP(1,$H281:$BE281,$H$4:$BE$4),12*Assumptions!$G$204+12)=AU$4,0,IF(AT281=1,PMT(Assumptions!$G$202,Assumptions!$G$204,$C283),AT294))),0)</f>
        <v>0</v>
      </c>
      <c r="AV294" s="39">
        <f>+IFERROR(-ABS(IF(EDATE(_xlfn.XLOOKUP(1,$H281:$BE281,$H$4:$BE$4),12*Assumptions!$G$204+12)=AV$4,0,IF(AU281=1,PMT(Assumptions!$G$202,Assumptions!$G$204,$C283),AU294))),0)</f>
        <v>0</v>
      </c>
      <c r="AW294" s="39">
        <f>+IFERROR(-ABS(IF(EDATE(_xlfn.XLOOKUP(1,$H281:$BE281,$H$4:$BE$4),12*Assumptions!$G$204+12)=AW$4,0,IF(AV281=1,PMT(Assumptions!$G$202,Assumptions!$G$204,$C283),AV294))),0)</f>
        <v>0</v>
      </c>
      <c r="AX294" s="39">
        <f>+IFERROR(-ABS(IF(EDATE(_xlfn.XLOOKUP(1,$H281:$BE281,$H$4:$BE$4),12*Assumptions!$G$204+12)=AX$4,0,IF(AW281=1,PMT(Assumptions!$G$202,Assumptions!$G$204,$C283),AW294))),0)</f>
        <v>0</v>
      </c>
      <c r="AY294" s="39">
        <f>+IFERROR(-ABS(IF(EDATE(_xlfn.XLOOKUP(1,$H281:$BE281,$H$4:$BE$4),12*Assumptions!$G$204+12)=AY$4,0,IF(AX281=1,PMT(Assumptions!$G$202,Assumptions!$G$204,$C283),AX294))),0)</f>
        <v>0</v>
      </c>
      <c r="AZ294" s="39">
        <f>+IFERROR(-ABS(IF(EDATE(_xlfn.XLOOKUP(1,$H281:$BE281,$H$4:$BE$4),12*Assumptions!$G$204+12)=AZ$4,0,IF(AY281=1,PMT(Assumptions!$G$202,Assumptions!$G$204,$C283),AY294))),0)</f>
        <v>0</v>
      </c>
      <c r="BA294" s="39">
        <f>+IFERROR(-ABS(IF(EDATE(_xlfn.XLOOKUP(1,$H281:$BE281,$H$4:$BE$4),12*Assumptions!$G$204+12)=BA$4,0,IF(AZ281=1,PMT(Assumptions!$G$202,Assumptions!$G$204,$C283),AZ294))),0)</f>
        <v>0</v>
      </c>
      <c r="BB294" s="39">
        <f>+IFERROR(-ABS(IF(EDATE(_xlfn.XLOOKUP(1,$H281:$BE281,$H$4:$BE$4),12*Assumptions!$G$204+12)=BB$4,0,IF(BA281=1,PMT(Assumptions!$G$202,Assumptions!$G$204,$C283),BA294))),0)</f>
        <v>0</v>
      </c>
      <c r="BC294" s="39">
        <f>+IFERROR(-ABS(IF(EDATE(_xlfn.XLOOKUP(1,$H281:$BE281,$H$4:$BE$4),12*Assumptions!$G$204+12)=BC$4,0,IF(BB281=1,PMT(Assumptions!$G$202,Assumptions!$G$204,$C283),BB294))),0)</f>
        <v>0</v>
      </c>
      <c r="BD294" s="39">
        <f>+IFERROR(-ABS(IF(EDATE(_xlfn.XLOOKUP(1,$H281:$BE281,$H$4:$BE$4),12*Assumptions!$G$204+12)=BD$4,0,IF(BC281=1,PMT(Assumptions!$G$202,Assumptions!$G$204,$C283),BC294))),0)</f>
        <v>0</v>
      </c>
      <c r="BE294" s="39">
        <f>+IFERROR(-ABS(IF(EDATE(_xlfn.XLOOKUP(1,$H281:$BE281,$H$4:$BE$4),12*Assumptions!$G$204+12)=BE$4,0,IF(BD281=1,PMT(Assumptions!$G$202,Assumptions!$G$204,$C283),BD294))),0)</f>
        <v>0</v>
      </c>
      <c r="BF294" s="39">
        <f>+IFERROR(-ABS(IF(EDATE(_xlfn.XLOOKUP(1,$H281:$BE281,$H$4:$BE$4),12*Assumptions!$G$204+12)=BF$4,0,IF(BE281=1,PMT(Assumptions!$G$202,Assumptions!$G$204,$C283),BE294))),0)</f>
        <v>0</v>
      </c>
      <c r="BG294" s="39">
        <f>+IFERROR(-ABS(IF(EDATE(_xlfn.XLOOKUP(1,$H281:$BE281,$H$4:$BE$4),12*Assumptions!$G$204+12)=BG$4,0,IF(BF281=1,PMT(Assumptions!$G$202,Assumptions!$G$204,$C283),BF294))),0)</f>
        <v>0</v>
      </c>
      <c r="BH294" s="39">
        <f>+IFERROR(-ABS(IF(EDATE(_xlfn.XLOOKUP(1,$H281:$BE281,$H$4:$BE$4),12*Assumptions!$G$204+12)=BH$4,0,IF(BG281=1,PMT(Assumptions!$G$202,Assumptions!$G$204,$C283),BG294))),0)</f>
        <v>0</v>
      </c>
      <c r="BI294" s="39">
        <f>+IFERROR(-ABS(IF(EDATE(_xlfn.XLOOKUP(1,$H281:$BE281,$H$4:$BE$4),12*Assumptions!$G$204+12)=BI$4,0,IF(BH281=1,PMT(Assumptions!$G$202,Assumptions!$G$204,$C283),BH294))),0)</f>
        <v>0</v>
      </c>
      <c r="BJ294" s="39">
        <f>+IFERROR(-ABS(IF(EDATE(_xlfn.XLOOKUP(1,$H281:$BE281,$H$4:$BE$4),12*Assumptions!$G$204+12)=BJ$4,0,IF(BI281=1,PMT(Assumptions!$G$202,Assumptions!$G$204,$C283),BI294))),0)</f>
        <v>0</v>
      </c>
      <c r="BK294" s="39">
        <f>+IFERROR(-ABS(IF(EDATE(_xlfn.XLOOKUP(1,$H281:$BE281,$H$4:$BE$4),12*Assumptions!$G$204+12)=BK$4,0,IF(BJ281=1,PMT(Assumptions!$G$202,Assumptions!$G$204,$C283),BJ294))),0)</f>
        <v>0</v>
      </c>
      <c r="BL294" s="39">
        <f>+IFERROR(-ABS(IF(EDATE(_xlfn.XLOOKUP(1,$H281:$BE281,$H$4:$BE$4),12*Assumptions!$G$204+12)=BL$4,0,IF(BK281=1,PMT(Assumptions!$G$202,Assumptions!$G$204,$C283),BK294))),0)</f>
        <v>0</v>
      </c>
      <c r="BM294" s="39">
        <f>+IFERROR(-ABS(IF(EDATE(_xlfn.XLOOKUP(1,$H281:$BE281,$H$4:$BE$4),12*Assumptions!$G$204+12)=BM$4,0,IF(BL281=1,PMT(Assumptions!$G$202,Assumptions!$G$204,$C283),BL294))),0)</f>
        <v>0</v>
      </c>
      <c r="BN294" s="39">
        <f>+IFERROR(-ABS(IF(EDATE(_xlfn.XLOOKUP(1,$H281:$BE281,$H$4:$BE$4),12*Assumptions!$G$204+12)=BN$4,0,IF(BM281=1,PMT(Assumptions!$G$202,Assumptions!$G$204,$C283),BM294))),0)</f>
        <v>0</v>
      </c>
      <c r="BO294" s="39">
        <f>+IFERROR(-ABS(IF(EDATE(_xlfn.XLOOKUP(1,$H281:$BE281,$H$4:$BE$4),12*Assumptions!$G$204+12)=BO$4,0,IF(BN281=1,PMT(Assumptions!$G$202,Assumptions!$G$204,$C283),BN294))),0)</f>
        <v>0</v>
      </c>
      <c r="BP294" s="39">
        <f>+IFERROR(-ABS(IF(EDATE(_xlfn.XLOOKUP(1,$H281:$BE281,$H$4:$BE$4),12*Assumptions!$G$204+12)=BP$4,0,IF(BO281=1,PMT(Assumptions!$G$202,Assumptions!$G$204,$C283),BO294))),0)</f>
        <v>0</v>
      </c>
      <c r="BQ294" s="39">
        <f>+IFERROR(-ABS(IF(EDATE(_xlfn.XLOOKUP(1,$H281:$BE281,$H$4:$BE$4),12*Assumptions!$G$204+12)=BQ$4,0,IF(BP281=1,PMT(Assumptions!$G$202,Assumptions!$G$204,$C283),BP294))),0)</f>
        <v>0</v>
      </c>
      <c r="BR294" s="39">
        <f>+IFERROR(-ABS(IF(EDATE(_xlfn.XLOOKUP(1,$H281:$BE281,$H$4:$BE$4),12*Assumptions!$G$204+12)=BR$4,0,IF(BQ281=1,PMT(Assumptions!$G$202,Assumptions!$G$204,$C283),BQ294))),0)</f>
        <v>0</v>
      </c>
      <c r="BS294" s="39">
        <f>+IFERROR(-ABS(IF(EDATE(_xlfn.XLOOKUP(1,$H281:$BE281,$H$4:$BE$4),12*Assumptions!$G$204+12)=BS$4,0,IF(BR281=1,PMT(Assumptions!$G$202,Assumptions!$G$204,$C283),BR294))),0)</f>
        <v>0</v>
      </c>
      <c r="BT294" s="39">
        <f>+IFERROR(-ABS(IF(EDATE(_xlfn.XLOOKUP(1,$H281:$BE281,$H$4:$BE$4),12*Assumptions!$G$204+12)=BT$4,0,IF(BS281=1,PMT(Assumptions!$G$202,Assumptions!$G$204,$C283),BS294))),0)</f>
        <v>0</v>
      </c>
      <c r="BU294" s="39">
        <f>+IFERROR(-ABS(IF(EDATE(_xlfn.XLOOKUP(1,$H281:$BE281,$H$4:$BE$4),12*Assumptions!$G$204+12)=BU$4,0,IF(BT281=1,PMT(Assumptions!$G$202,Assumptions!$G$204,$C283),BT294))),0)</f>
        <v>0</v>
      </c>
      <c r="BV294" s="39">
        <f>+IFERROR(-ABS(IF(EDATE(_xlfn.XLOOKUP(1,$H281:$BE281,$H$4:$BE$4),12*Assumptions!$G$204+12)=BV$4,0,IF(BU281=1,PMT(Assumptions!$G$202,Assumptions!$G$204,$C283),BU294))),0)</f>
        <v>0</v>
      </c>
      <c r="BW294" s="39">
        <f>+IFERROR(-ABS(IF(EDATE(_xlfn.XLOOKUP(1,$H281:$BE281,$H$4:$BE$4),12*Assumptions!$G$204+12)=BW$4,0,IF(BV281=1,PMT(Assumptions!$G$202,Assumptions!$G$204,$C283),BV294))),0)</f>
        <v>0</v>
      </c>
      <c r="BX294" s="39">
        <f>+IFERROR(-ABS(IF(EDATE(_xlfn.XLOOKUP(1,$H281:$BE281,$H$4:$BE$4),12*Assumptions!$G$204+12)=BX$4,0,IF(BW281=1,PMT(Assumptions!$G$202,Assumptions!$G$204,$C283),BW294))),0)</f>
        <v>0</v>
      </c>
      <c r="BY294" s="39">
        <f>+IFERROR(-ABS(IF(EDATE(_xlfn.XLOOKUP(1,$H281:$BE281,$H$4:$BE$4),12*Assumptions!$G$204+12)=BY$4,0,IF(BX281=1,PMT(Assumptions!$G$202,Assumptions!$G$204,$C283),BX294))),0)</f>
        <v>0</v>
      </c>
    </row>
    <row r="295" spans="5:77" outlineLevel="1">
      <c r="E295" s="24" t="s">
        <v>517</v>
      </c>
      <c r="F295" s="80" t="str">
        <f>+Assumptions!$G$8</f>
        <v>USD</v>
      </c>
      <c r="G295" s="24"/>
      <c r="H295" s="39">
        <f>+IFERROR(-ABS(IF(EDATE(_xlfn.XLOOKUP(1,$H282:$BE282,$H$4:$BE$4),12*Assumptions!$G$204+12)=H$4,0,IF(G282=1,PMT(Assumptions!$G$202,Assumptions!$G$204,$C284),G295))),0)</f>
        <v>0</v>
      </c>
      <c r="I295" s="39">
        <f>+IFERROR(-ABS(IF(EDATE(_xlfn.XLOOKUP(1,$H282:$BE282,$H$4:$BE$4),12*Assumptions!$G$204+12)=I$4,0,IF(H282=1,PMT(Assumptions!$G$202,Assumptions!$G$204,$C284),H295))),0)</f>
        <v>0</v>
      </c>
      <c r="J295" s="39">
        <f>+IFERROR(-ABS(IF(EDATE(_xlfn.XLOOKUP(1,$H282:$BE282,$H$4:$BE$4),12*Assumptions!$G$204+12)=J$4,0,IF(I282=1,PMT(Assumptions!$G$202,Assumptions!$G$204,$C284),I295))),0)</f>
        <v>0</v>
      </c>
      <c r="K295" s="39">
        <f>+IFERROR(-ABS(IF(EDATE(_xlfn.XLOOKUP(1,$H282:$BE282,$H$4:$BE$4),12*Assumptions!$G$204+12)=K$4,0,IF(J282=1,PMT(Assumptions!$G$202,Assumptions!$G$204,$C284),J295))),0)</f>
        <v>0</v>
      </c>
      <c r="L295" s="39">
        <f>+IFERROR(-ABS(IF(EDATE(_xlfn.XLOOKUP(1,$H282:$BE282,$H$4:$BE$4),12*Assumptions!$G$204+12)=L$4,0,IF(K282=1,PMT(Assumptions!$G$202,Assumptions!$G$204,$C284),K295))),0)</f>
        <v>0</v>
      </c>
      <c r="M295" s="39">
        <f>+IFERROR(-ABS(IF(EDATE(_xlfn.XLOOKUP(1,$H282:$BE282,$H$4:$BE$4),12*Assumptions!$G$204+12)=M$4,0,IF(L282=1,PMT(Assumptions!$G$202,Assumptions!$G$204,$C284),L295))),0)</f>
        <v>0</v>
      </c>
      <c r="N295" s="39">
        <f>+IFERROR(-ABS(IF(EDATE(_xlfn.XLOOKUP(1,$H282:$BE282,$H$4:$BE$4),12*Assumptions!$G$204+12)=N$4,0,IF(M282=1,PMT(Assumptions!$G$202,Assumptions!$G$204,$C284),M295))),0)</f>
        <v>0</v>
      </c>
      <c r="O295" s="39">
        <f>+IFERROR(-ABS(IF(EDATE(_xlfn.XLOOKUP(1,$H282:$BE282,$H$4:$BE$4),12*Assumptions!$G$204+12)=O$4,0,IF(N282=1,PMT(Assumptions!$G$202,Assumptions!$G$204,$C284),N295))),0)</f>
        <v>0</v>
      </c>
      <c r="P295" s="39">
        <f>+IFERROR(-ABS(IF(EDATE(_xlfn.XLOOKUP(1,$H282:$BE282,$H$4:$BE$4),12*Assumptions!$G$204+12)=P$4,0,IF(O282=1,PMT(Assumptions!$G$202,Assumptions!$G$204,$C284),O295))),0)</f>
        <v>0</v>
      </c>
      <c r="Q295" s="39">
        <f>+IFERROR(-ABS(IF(EDATE(_xlfn.XLOOKUP(1,$H282:$BE282,$H$4:$BE$4),12*Assumptions!$G$204+12)=Q$4,0,IF(P282=1,PMT(Assumptions!$G$202,Assumptions!$G$204,$C284),P295))),0)</f>
        <v>0</v>
      </c>
      <c r="R295" s="39">
        <f>+IFERROR(-ABS(IF(EDATE(_xlfn.XLOOKUP(1,$H282:$BE282,$H$4:$BE$4),12*Assumptions!$G$204+12)=R$4,0,IF(Q282=1,PMT(Assumptions!$G$202,Assumptions!$G$204,$C284),Q295))),0)</f>
        <v>0</v>
      </c>
      <c r="S295" s="39">
        <f>+IFERROR(-ABS(IF(EDATE(_xlfn.XLOOKUP(1,$H282:$BE282,$H$4:$BE$4),12*Assumptions!$G$204+12)=S$4,0,IF(R282=1,PMT(Assumptions!$G$202,Assumptions!$G$204,$C284),R295))),0)</f>
        <v>0</v>
      </c>
      <c r="T295" s="39">
        <f>+IFERROR(-ABS(IF(EDATE(_xlfn.XLOOKUP(1,$H282:$BE282,$H$4:$BE$4),12*Assumptions!$G$204+12)=T$4,0,IF(S282=1,PMT(Assumptions!$G$202,Assumptions!$G$204,$C284),S295))),0)</f>
        <v>0</v>
      </c>
      <c r="U295" s="39">
        <f>+IFERROR(-ABS(IF(EDATE(_xlfn.XLOOKUP(1,$H282:$BE282,$H$4:$BE$4),12*Assumptions!$G$204+12)=U$4,0,IF(T282=1,PMT(Assumptions!$G$202,Assumptions!$G$204,$C284),T295))),0)</f>
        <v>0</v>
      </c>
      <c r="V295" s="39">
        <f>+IFERROR(-ABS(IF(EDATE(_xlfn.XLOOKUP(1,$H282:$BE282,$H$4:$BE$4),12*Assumptions!$G$204+12)=V$4,0,IF(U282=1,PMT(Assumptions!$G$202,Assumptions!$G$204,$C284),U295))),0)</f>
        <v>0</v>
      </c>
      <c r="W295" s="39">
        <f>+IFERROR(-ABS(IF(EDATE(_xlfn.XLOOKUP(1,$H282:$BE282,$H$4:$BE$4),12*Assumptions!$G$204+12)=W$4,0,IF(V282=1,PMT(Assumptions!$G$202,Assumptions!$G$204,$C284),V295))),0)</f>
        <v>0</v>
      </c>
      <c r="X295" s="39">
        <f>+IFERROR(-ABS(IF(EDATE(_xlfn.XLOOKUP(1,$H282:$BE282,$H$4:$BE$4),12*Assumptions!$G$204+12)=X$4,0,IF(W282=1,PMT(Assumptions!$G$202,Assumptions!$G$204,$C284),W295))),0)</f>
        <v>0</v>
      </c>
      <c r="Y295" s="39">
        <f>+IFERROR(-ABS(IF(EDATE(_xlfn.XLOOKUP(1,$H282:$BE282,$H$4:$BE$4),12*Assumptions!$G$204+12)=Y$4,0,IF(X282=1,PMT(Assumptions!$G$202,Assumptions!$G$204,$C284),X295))),0)</f>
        <v>0</v>
      </c>
      <c r="Z295" s="39">
        <f>+IFERROR(-ABS(IF(EDATE(_xlfn.XLOOKUP(1,$H282:$BE282,$H$4:$BE$4),12*Assumptions!$G$204+12)=Z$4,0,IF(Y282=1,PMT(Assumptions!$G$202,Assumptions!$G$204,$C284),Y295))),0)</f>
        <v>0</v>
      </c>
      <c r="AA295" s="39">
        <f>+IFERROR(-ABS(IF(EDATE(_xlfn.XLOOKUP(1,$H282:$BE282,$H$4:$BE$4),12*Assumptions!$G$204+12)=AA$4,0,IF(Z282=1,PMT(Assumptions!$G$202,Assumptions!$G$204,$C284),Z295))),0)</f>
        <v>0</v>
      </c>
      <c r="AB295" s="39">
        <f>+IFERROR(-ABS(IF(EDATE(_xlfn.XLOOKUP(1,$H282:$BE282,$H$4:$BE$4),12*Assumptions!$G$204+12)=AB$4,0,IF(AA282=1,PMT(Assumptions!$G$202,Assumptions!$G$204,$C284),AA295))),0)</f>
        <v>0</v>
      </c>
      <c r="AC295" s="39">
        <f>+IFERROR(-ABS(IF(EDATE(_xlfn.XLOOKUP(1,$H282:$BE282,$H$4:$BE$4),12*Assumptions!$G$204+12)=AC$4,0,IF(AB282=1,PMT(Assumptions!$G$202,Assumptions!$G$204,$C284),AB295))),0)</f>
        <v>0</v>
      </c>
      <c r="AD295" s="39">
        <f>+IFERROR(-ABS(IF(EDATE(_xlfn.XLOOKUP(1,$H282:$BE282,$H$4:$BE$4),12*Assumptions!$G$204+12)=AD$4,0,IF(AC282=1,PMT(Assumptions!$G$202,Assumptions!$G$204,$C284),AC295))),0)</f>
        <v>0</v>
      </c>
      <c r="AE295" s="39">
        <f>+IFERROR(-ABS(IF(EDATE(_xlfn.XLOOKUP(1,$H282:$BE282,$H$4:$BE$4),12*Assumptions!$G$204+12)=AE$4,0,IF(AD282=1,PMT(Assumptions!$G$202,Assumptions!$G$204,$C284),AD295))),0)</f>
        <v>0</v>
      </c>
      <c r="AF295" s="39">
        <f>+IFERROR(-ABS(IF(EDATE(_xlfn.XLOOKUP(1,$H282:$BE282,$H$4:$BE$4),12*Assumptions!$G$204+12)=AF$4,0,IF(AE282=1,PMT(Assumptions!$G$202,Assumptions!$G$204,$C284),AE295))),0)</f>
        <v>0</v>
      </c>
      <c r="AG295" s="39">
        <f>+IFERROR(-ABS(IF(EDATE(_xlfn.XLOOKUP(1,$H282:$BE282,$H$4:$BE$4),12*Assumptions!$G$204+12)=AG$4,0,IF(AF282=1,PMT(Assumptions!$G$202,Assumptions!$G$204,$C284),AF295))),0)</f>
        <v>0</v>
      </c>
      <c r="AH295" s="39">
        <f>+IFERROR(-ABS(IF(EDATE(_xlfn.XLOOKUP(1,$H282:$BE282,$H$4:$BE$4),12*Assumptions!$G$204+12)=AH$4,0,IF(AG282=1,PMT(Assumptions!$G$202,Assumptions!$G$204,$C284),AG295))),0)</f>
        <v>0</v>
      </c>
      <c r="AI295" s="39">
        <f>+IFERROR(-ABS(IF(EDATE(_xlfn.XLOOKUP(1,$H282:$BE282,$H$4:$BE$4),12*Assumptions!$G$204+12)=AI$4,0,IF(AH282=1,PMT(Assumptions!$G$202,Assumptions!$G$204,$C284),AH295))),0)</f>
        <v>0</v>
      </c>
      <c r="AJ295" s="39">
        <f>+IFERROR(-ABS(IF(EDATE(_xlfn.XLOOKUP(1,$H282:$BE282,$H$4:$BE$4),12*Assumptions!$G$204+12)=AJ$4,0,IF(AI282=1,PMT(Assumptions!$G$202,Assumptions!$G$204,$C284),AI295))),0)</f>
        <v>0</v>
      </c>
      <c r="AK295" s="39">
        <f>+IFERROR(-ABS(IF(EDATE(_xlfn.XLOOKUP(1,$H282:$BE282,$H$4:$BE$4),12*Assumptions!$G$204+12)=AK$4,0,IF(AJ282=1,PMT(Assumptions!$G$202,Assumptions!$G$204,$C284),AJ295))),0)</f>
        <v>0</v>
      </c>
      <c r="AL295" s="39">
        <f>+IFERROR(-ABS(IF(EDATE(_xlfn.XLOOKUP(1,$H282:$BE282,$H$4:$BE$4),12*Assumptions!$G$204+12)=AL$4,0,IF(AK282=1,PMT(Assumptions!$G$202,Assumptions!$G$204,$C284),AK295))),0)</f>
        <v>0</v>
      </c>
      <c r="AM295" s="39">
        <f>+IFERROR(-ABS(IF(EDATE(_xlfn.XLOOKUP(1,$H282:$BE282,$H$4:$BE$4),12*Assumptions!$G$204+12)=AM$4,0,IF(AL282=1,PMT(Assumptions!$G$202,Assumptions!$G$204,$C284),AL295))),0)</f>
        <v>0</v>
      </c>
      <c r="AN295" s="39">
        <f>+IFERROR(-ABS(IF(EDATE(_xlfn.XLOOKUP(1,$H282:$BE282,$H$4:$BE$4),12*Assumptions!$G$204+12)=AN$4,0,IF(AM282=1,PMT(Assumptions!$G$202,Assumptions!$G$204,$C284),AM295))),0)</f>
        <v>0</v>
      </c>
      <c r="AO295" s="39">
        <f>+IFERROR(-ABS(IF(EDATE(_xlfn.XLOOKUP(1,$H282:$BE282,$H$4:$BE$4),12*Assumptions!$G$204+12)=AO$4,0,IF(AN282=1,PMT(Assumptions!$G$202,Assumptions!$G$204,$C284),AN295))),0)</f>
        <v>0</v>
      </c>
      <c r="AP295" s="39">
        <f>+IFERROR(-ABS(IF(EDATE(_xlfn.XLOOKUP(1,$H282:$BE282,$H$4:$BE$4),12*Assumptions!$G$204+12)=AP$4,0,IF(AO282=1,PMT(Assumptions!$G$202,Assumptions!$G$204,$C284),AO295))),0)</f>
        <v>0</v>
      </c>
      <c r="AQ295" s="39">
        <f>+IFERROR(-ABS(IF(EDATE(_xlfn.XLOOKUP(1,$H282:$BE282,$H$4:$BE$4),12*Assumptions!$G$204+12)=AQ$4,0,IF(AP282=1,PMT(Assumptions!$G$202,Assumptions!$G$204,$C284),AP295))),0)</f>
        <v>0</v>
      </c>
      <c r="AR295" s="39">
        <f>+IFERROR(-ABS(IF(EDATE(_xlfn.XLOOKUP(1,$H282:$BE282,$H$4:$BE$4),12*Assumptions!$G$204+12)=AR$4,0,IF(AQ282=1,PMT(Assumptions!$G$202,Assumptions!$G$204,$C284),AQ295))),0)</f>
        <v>0</v>
      </c>
      <c r="AS295" s="39">
        <f>+IFERROR(-ABS(IF(EDATE(_xlfn.XLOOKUP(1,$H282:$BE282,$H$4:$BE$4),12*Assumptions!$G$204+12)=AS$4,0,IF(AR282=1,PMT(Assumptions!$G$202,Assumptions!$G$204,$C284),AR295))),0)</f>
        <v>0</v>
      </c>
      <c r="AT295" s="39">
        <f>+IFERROR(-ABS(IF(EDATE(_xlfn.XLOOKUP(1,$H282:$BE282,$H$4:$BE$4),12*Assumptions!$G$204+12)=AT$4,0,IF(AS282=1,PMT(Assumptions!$G$202,Assumptions!$G$204,$C284),AS295))),0)</f>
        <v>0</v>
      </c>
      <c r="AU295" s="39">
        <f>+IFERROR(-ABS(IF(EDATE(_xlfn.XLOOKUP(1,$H282:$BE282,$H$4:$BE$4),12*Assumptions!$G$204+12)=AU$4,0,IF(AT282=1,PMT(Assumptions!$G$202,Assumptions!$G$204,$C284),AT295))),0)</f>
        <v>0</v>
      </c>
      <c r="AV295" s="39">
        <f>+IFERROR(-ABS(IF(EDATE(_xlfn.XLOOKUP(1,$H282:$BE282,$H$4:$BE$4),12*Assumptions!$G$204+12)=AV$4,0,IF(AU282=1,PMT(Assumptions!$G$202,Assumptions!$G$204,$C284),AU295))),0)</f>
        <v>0</v>
      </c>
      <c r="AW295" s="39">
        <f>+IFERROR(-ABS(IF(EDATE(_xlfn.XLOOKUP(1,$H282:$BE282,$H$4:$BE$4),12*Assumptions!$G$204+12)=AW$4,0,IF(AV282=1,PMT(Assumptions!$G$202,Assumptions!$G$204,$C284),AV295))),0)</f>
        <v>0</v>
      </c>
      <c r="AX295" s="39">
        <f>+IFERROR(-ABS(IF(EDATE(_xlfn.XLOOKUP(1,$H282:$BE282,$H$4:$BE$4),12*Assumptions!$G$204+12)=AX$4,0,IF(AW282=1,PMT(Assumptions!$G$202,Assumptions!$G$204,$C284),AW295))),0)</f>
        <v>0</v>
      </c>
      <c r="AY295" s="39">
        <f>+IFERROR(-ABS(IF(EDATE(_xlfn.XLOOKUP(1,$H282:$BE282,$H$4:$BE$4),12*Assumptions!$G$204+12)=AY$4,0,IF(AX282=1,PMT(Assumptions!$G$202,Assumptions!$G$204,$C284),AX295))),0)</f>
        <v>0</v>
      </c>
      <c r="AZ295" s="39">
        <f>+IFERROR(-ABS(IF(EDATE(_xlfn.XLOOKUP(1,$H282:$BE282,$H$4:$BE$4),12*Assumptions!$G$204+12)=AZ$4,0,IF(AY282=1,PMT(Assumptions!$G$202,Assumptions!$G$204,$C284),AY295))),0)</f>
        <v>0</v>
      </c>
      <c r="BA295" s="39">
        <f>+IFERROR(-ABS(IF(EDATE(_xlfn.XLOOKUP(1,$H282:$BE282,$H$4:$BE$4),12*Assumptions!$G$204+12)=BA$4,0,IF(AZ282=1,PMT(Assumptions!$G$202,Assumptions!$G$204,$C284),AZ295))),0)</f>
        <v>0</v>
      </c>
      <c r="BB295" s="39">
        <f>+IFERROR(-ABS(IF(EDATE(_xlfn.XLOOKUP(1,$H282:$BE282,$H$4:$BE$4),12*Assumptions!$G$204+12)=BB$4,0,IF(BA282=1,PMT(Assumptions!$G$202,Assumptions!$G$204,$C284),BA295))),0)</f>
        <v>0</v>
      </c>
      <c r="BC295" s="39">
        <f>+IFERROR(-ABS(IF(EDATE(_xlfn.XLOOKUP(1,$H282:$BE282,$H$4:$BE$4),12*Assumptions!$G$204+12)=BC$4,0,IF(BB282=1,PMT(Assumptions!$G$202,Assumptions!$G$204,$C284),BB295))),0)</f>
        <v>0</v>
      </c>
      <c r="BD295" s="39">
        <f>+IFERROR(-ABS(IF(EDATE(_xlfn.XLOOKUP(1,$H282:$BE282,$H$4:$BE$4),12*Assumptions!$G$204+12)=BD$4,0,IF(BC282=1,PMT(Assumptions!$G$202,Assumptions!$G$204,$C284),BC295))),0)</f>
        <v>0</v>
      </c>
      <c r="BE295" s="39">
        <f>+IFERROR(-ABS(IF(EDATE(_xlfn.XLOOKUP(1,$H282:$BE282,$H$4:$BE$4),12*Assumptions!$G$204+12)=BE$4,0,IF(BD282=1,PMT(Assumptions!$G$202,Assumptions!$G$204,$C284),BD295))),0)</f>
        <v>0</v>
      </c>
      <c r="BF295" s="39">
        <f>+IFERROR(-ABS(IF(EDATE(_xlfn.XLOOKUP(1,$H282:$BE282,$H$4:$BE$4),12*Assumptions!$G$204+12)=BF$4,0,IF(BE282=1,PMT(Assumptions!$G$202,Assumptions!$G$204,$C284),BE295))),0)</f>
        <v>0</v>
      </c>
      <c r="BG295" s="39">
        <f>+IFERROR(-ABS(IF(EDATE(_xlfn.XLOOKUP(1,$H282:$BE282,$H$4:$BE$4),12*Assumptions!$G$204+12)=BG$4,0,IF(BF282=1,PMT(Assumptions!$G$202,Assumptions!$G$204,$C284),BF295))),0)</f>
        <v>0</v>
      </c>
      <c r="BH295" s="39">
        <f>+IFERROR(-ABS(IF(EDATE(_xlfn.XLOOKUP(1,$H282:$BE282,$H$4:$BE$4),12*Assumptions!$G$204+12)=BH$4,0,IF(BG282=1,PMT(Assumptions!$G$202,Assumptions!$G$204,$C284),BG295))),0)</f>
        <v>0</v>
      </c>
      <c r="BI295" s="39">
        <f>+IFERROR(-ABS(IF(EDATE(_xlfn.XLOOKUP(1,$H282:$BE282,$H$4:$BE$4),12*Assumptions!$G$204+12)=BI$4,0,IF(BH282=1,PMT(Assumptions!$G$202,Assumptions!$G$204,$C284),BH295))),0)</f>
        <v>0</v>
      </c>
      <c r="BJ295" s="39">
        <f>+IFERROR(-ABS(IF(EDATE(_xlfn.XLOOKUP(1,$H282:$BE282,$H$4:$BE$4),12*Assumptions!$G$204+12)=BJ$4,0,IF(BI282=1,PMT(Assumptions!$G$202,Assumptions!$G$204,$C284),BI295))),0)</f>
        <v>0</v>
      </c>
      <c r="BK295" s="39">
        <f>+IFERROR(-ABS(IF(EDATE(_xlfn.XLOOKUP(1,$H282:$BE282,$H$4:$BE$4),12*Assumptions!$G$204+12)=BK$4,0,IF(BJ282=1,PMT(Assumptions!$G$202,Assumptions!$G$204,$C284),BJ295))),0)</f>
        <v>0</v>
      </c>
      <c r="BL295" s="39">
        <f>+IFERROR(-ABS(IF(EDATE(_xlfn.XLOOKUP(1,$H282:$BE282,$H$4:$BE$4),12*Assumptions!$G$204+12)=BL$4,0,IF(BK282=1,PMT(Assumptions!$G$202,Assumptions!$G$204,$C284),BK295))),0)</f>
        <v>0</v>
      </c>
      <c r="BM295" s="39">
        <f>+IFERROR(-ABS(IF(EDATE(_xlfn.XLOOKUP(1,$H282:$BE282,$H$4:$BE$4),12*Assumptions!$G$204+12)=BM$4,0,IF(BL282=1,PMT(Assumptions!$G$202,Assumptions!$G$204,$C284),BL295))),0)</f>
        <v>0</v>
      </c>
      <c r="BN295" s="39">
        <f>+IFERROR(-ABS(IF(EDATE(_xlfn.XLOOKUP(1,$H282:$BE282,$H$4:$BE$4),12*Assumptions!$G$204+12)=BN$4,0,IF(BM282=1,PMT(Assumptions!$G$202,Assumptions!$G$204,$C284),BM295))),0)</f>
        <v>0</v>
      </c>
      <c r="BO295" s="39">
        <f>+IFERROR(-ABS(IF(EDATE(_xlfn.XLOOKUP(1,$H282:$BE282,$H$4:$BE$4),12*Assumptions!$G$204+12)=BO$4,0,IF(BN282=1,PMT(Assumptions!$G$202,Assumptions!$G$204,$C284),BN295))),0)</f>
        <v>0</v>
      </c>
      <c r="BP295" s="39">
        <f>+IFERROR(-ABS(IF(EDATE(_xlfn.XLOOKUP(1,$H282:$BE282,$H$4:$BE$4),12*Assumptions!$G$204+12)=BP$4,0,IF(BO282=1,PMT(Assumptions!$G$202,Assumptions!$G$204,$C284),BO295))),0)</f>
        <v>0</v>
      </c>
      <c r="BQ295" s="39">
        <f>+IFERROR(-ABS(IF(EDATE(_xlfn.XLOOKUP(1,$H282:$BE282,$H$4:$BE$4),12*Assumptions!$G$204+12)=BQ$4,0,IF(BP282=1,PMT(Assumptions!$G$202,Assumptions!$G$204,$C284),BP295))),0)</f>
        <v>0</v>
      </c>
      <c r="BR295" s="39">
        <f>+IFERROR(-ABS(IF(EDATE(_xlfn.XLOOKUP(1,$H282:$BE282,$H$4:$BE$4),12*Assumptions!$G$204+12)=BR$4,0,IF(BQ282=1,PMT(Assumptions!$G$202,Assumptions!$G$204,$C284),BQ295))),0)</f>
        <v>0</v>
      </c>
      <c r="BS295" s="39">
        <f>+IFERROR(-ABS(IF(EDATE(_xlfn.XLOOKUP(1,$H282:$BE282,$H$4:$BE$4),12*Assumptions!$G$204+12)=BS$4,0,IF(BR282=1,PMT(Assumptions!$G$202,Assumptions!$G$204,$C284),BR295))),0)</f>
        <v>0</v>
      </c>
      <c r="BT295" s="39">
        <f>+IFERROR(-ABS(IF(EDATE(_xlfn.XLOOKUP(1,$H282:$BE282,$H$4:$BE$4),12*Assumptions!$G$204+12)=BT$4,0,IF(BS282=1,PMT(Assumptions!$G$202,Assumptions!$G$204,$C284),BS295))),0)</f>
        <v>0</v>
      </c>
      <c r="BU295" s="39">
        <f>+IFERROR(-ABS(IF(EDATE(_xlfn.XLOOKUP(1,$H282:$BE282,$H$4:$BE$4),12*Assumptions!$G$204+12)=BU$4,0,IF(BT282=1,PMT(Assumptions!$G$202,Assumptions!$G$204,$C284),BT295))),0)</f>
        <v>0</v>
      </c>
      <c r="BV295" s="39">
        <f>+IFERROR(-ABS(IF(EDATE(_xlfn.XLOOKUP(1,$H282:$BE282,$H$4:$BE$4),12*Assumptions!$G$204+12)=BV$4,0,IF(BU282=1,PMT(Assumptions!$G$202,Assumptions!$G$204,$C284),BU295))),0)</f>
        <v>0</v>
      </c>
      <c r="BW295" s="39">
        <f>+IFERROR(-ABS(IF(EDATE(_xlfn.XLOOKUP(1,$H282:$BE282,$H$4:$BE$4),12*Assumptions!$G$204+12)=BW$4,0,IF(BV282=1,PMT(Assumptions!$G$202,Assumptions!$G$204,$C284),BV295))),0)</f>
        <v>0</v>
      </c>
      <c r="BX295" s="39">
        <f>+IFERROR(-ABS(IF(EDATE(_xlfn.XLOOKUP(1,$H282:$BE282,$H$4:$BE$4),12*Assumptions!$G$204+12)=BX$4,0,IF(BW282=1,PMT(Assumptions!$G$202,Assumptions!$G$204,$C284),BW295))),0)</f>
        <v>0</v>
      </c>
      <c r="BY295" s="39">
        <f>+IFERROR(-ABS(IF(EDATE(_xlfn.XLOOKUP(1,$H282:$BE282,$H$4:$BE$4),12*Assumptions!$G$204+12)=BY$4,0,IF(BX282=1,PMT(Assumptions!$G$202,Assumptions!$G$204,$C284),BX295))),0)</f>
        <v>0</v>
      </c>
    </row>
    <row r="296" spans="5:77" outlineLevel="1">
      <c r="E296" s="24" t="s">
        <v>518</v>
      </c>
      <c r="F296" s="80" t="str">
        <f>+Assumptions!$G$8</f>
        <v>USD</v>
      </c>
      <c r="G296" s="24"/>
      <c r="H296" s="39">
        <f>+IFERROR(-ABS(IF(EDATE(_xlfn.XLOOKUP(1,$H283:$BE283,$H$4:$BE$4),12*Assumptions!$G$204+12)=H$4,0,IF(G283=1,PMT(Assumptions!$G$202,Assumptions!$G$204,$C285),G296))),0)</f>
        <v>0</v>
      </c>
      <c r="I296" s="39">
        <f>+IFERROR(-ABS(IF(EDATE(_xlfn.XLOOKUP(1,$H283:$BE283,$H$4:$BE$4),12*Assumptions!$G$204+12)=I$4,0,IF(H283=1,PMT(Assumptions!$G$202,Assumptions!$G$204,$C285),H296))),0)</f>
        <v>0</v>
      </c>
      <c r="J296" s="39">
        <f>+IFERROR(-ABS(IF(EDATE(_xlfn.XLOOKUP(1,$H283:$BE283,$H$4:$BE$4),12*Assumptions!$G$204+12)=J$4,0,IF(I283=1,PMT(Assumptions!$G$202,Assumptions!$G$204,$C285),I296))),0)</f>
        <v>0</v>
      </c>
      <c r="K296" s="39">
        <f>+IFERROR(-ABS(IF(EDATE(_xlfn.XLOOKUP(1,$H283:$BE283,$H$4:$BE$4),12*Assumptions!$G$204+12)=K$4,0,IF(J283=1,PMT(Assumptions!$G$202,Assumptions!$G$204,$C285),J296))),0)</f>
        <v>0</v>
      </c>
      <c r="L296" s="39">
        <f>+IFERROR(-ABS(IF(EDATE(_xlfn.XLOOKUP(1,$H283:$BE283,$H$4:$BE$4),12*Assumptions!$G$204+12)=L$4,0,IF(K283=1,PMT(Assumptions!$G$202,Assumptions!$G$204,$C285),K296))),0)</f>
        <v>0</v>
      </c>
      <c r="M296" s="39">
        <f>+IFERROR(-ABS(IF(EDATE(_xlfn.XLOOKUP(1,$H283:$BE283,$H$4:$BE$4),12*Assumptions!$G$204+12)=M$4,0,IF(L283=1,PMT(Assumptions!$G$202,Assumptions!$G$204,$C285),L296))),0)</f>
        <v>0</v>
      </c>
      <c r="N296" s="39">
        <f>+IFERROR(-ABS(IF(EDATE(_xlfn.XLOOKUP(1,$H283:$BE283,$H$4:$BE$4),12*Assumptions!$G$204+12)=N$4,0,IF(M283=1,PMT(Assumptions!$G$202,Assumptions!$G$204,$C285),M296))),0)</f>
        <v>0</v>
      </c>
      <c r="O296" s="39">
        <f>+IFERROR(-ABS(IF(EDATE(_xlfn.XLOOKUP(1,$H283:$BE283,$H$4:$BE$4),12*Assumptions!$G$204+12)=O$4,0,IF(N283=1,PMT(Assumptions!$G$202,Assumptions!$G$204,$C285),N296))),0)</f>
        <v>0</v>
      </c>
      <c r="P296" s="39">
        <f>+IFERROR(-ABS(IF(EDATE(_xlfn.XLOOKUP(1,$H283:$BE283,$H$4:$BE$4),12*Assumptions!$G$204+12)=P$4,0,IF(O283=1,PMT(Assumptions!$G$202,Assumptions!$G$204,$C285),O296))),0)</f>
        <v>0</v>
      </c>
      <c r="Q296" s="39">
        <f>+IFERROR(-ABS(IF(EDATE(_xlfn.XLOOKUP(1,$H283:$BE283,$H$4:$BE$4),12*Assumptions!$G$204+12)=Q$4,0,IF(P283=1,PMT(Assumptions!$G$202,Assumptions!$G$204,$C285),P296))),0)</f>
        <v>0</v>
      </c>
      <c r="R296" s="39">
        <f>+IFERROR(-ABS(IF(EDATE(_xlfn.XLOOKUP(1,$H283:$BE283,$H$4:$BE$4),12*Assumptions!$G$204+12)=R$4,0,IF(Q283=1,PMT(Assumptions!$G$202,Assumptions!$G$204,$C285),Q296))),0)</f>
        <v>0</v>
      </c>
      <c r="S296" s="39">
        <f>+IFERROR(-ABS(IF(EDATE(_xlfn.XLOOKUP(1,$H283:$BE283,$H$4:$BE$4),12*Assumptions!$G$204+12)=S$4,0,IF(R283=1,PMT(Assumptions!$G$202,Assumptions!$G$204,$C285),R296))),0)</f>
        <v>0</v>
      </c>
      <c r="T296" s="39">
        <f>+IFERROR(-ABS(IF(EDATE(_xlfn.XLOOKUP(1,$H283:$BE283,$H$4:$BE$4),12*Assumptions!$G$204+12)=T$4,0,IF(S283=1,PMT(Assumptions!$G$202,Assumptions!$G$204,$C285),S296))),0)</f>
        <v>0</v>
      </c>
      <c r="U296" s="39">
        <f>+IFERROR(-ABS(IF(EDATE(_xlfn.XLOOKUP(1,$H283:$BE283,$H$4:$BE$4),12*Assumptions!$G$204+12)=U$4,0,IF(T283=1,PMT(Assumptions!$G$202,Assumptions!$G$204,$C285),T296))),0)</f>
        <v>0</v>
      </c>
      <c r="V296" s="39">
        <f>+IFERROR(-ABS(IF(EDATE(_xlfn.XLOOKUP(1,$H283:$BE283,$H$4:$BE$4),12*Assumptions!$G$204+12)=V$4,0,IF(U283=1,PMT(Assumptions!$G$202,Assumptions!$G$204,$C285),U296))),0)</f>
        <v>0</v>
      </c>
      <c r="W296" s="39">
        <f>+IFERROR(-ABS(IF(EDATE(_xlfn.XLOOKUP(1,$H283:$BE283,$H$4:$BE$4),12*Assumptions!$G$204+12)=W$4,0,IF(V283=1,PMT(Assumptions!$G$202,Assumptions!$G$204,$C285),V296))),0)</f>
        <v>0</v>
      </c>
      <c r="X296" s="39">
        <f>+IFERROR(-ABS(IF(EDATE(_xlfn.XLOOKUP(1,$H283:$BE283,$H$4:$BE$4),12*Assumptions!$G$204+12)=X$4,0,IF(W283=1,PMT(Assumptions!$G$202,Assumptions!$G$204,$C285),W296))),0)</f>
        <v>0</v>
      </c>
      <c r="Y296" s="39">
        <f>+IFERROR(-ABS(IF(EDATE(_xlfn.XLOOKUP(1,$H283:$BE283,$H$4:$BE$4),12*Assumptions!$G$204+12)=Y$4,0,IF(X283=1,PMT(Assumptions!$G$202,Assumptions!$G$204,$C285),X296))),0)</f>
        <v>0</v>
      </c>
      <c r="Z296" s="39">
        <f>+IFERROR(-ABS(IF(EDATE(_xlfn.XLOOKUP(1,$H283:$BE283,$H$4:$BE$4),12*Assumptions!$G$204+12)=Z$4,0,IF(Y283=1,PMT(Assumptions!$G$202,Assumptions!$G$204,$C285),Y296))),0)</f>
        <v>0</v>
      </c>
      <c r="AA296" s="39">
        <f>+IFERROR(-ABS(IF(EDATE(_xlfn.XLOOKUP(1,$H283:$BE283,$H$4:$BE$4),12*Assumptions!$G$204+12)=AA$4,0,IF(Z283=1,PMT(Assumptions!$G$202,Assumptions!$G$204,$C285),Z296))),0)</f>
        <v>0</v>
      </c>
      <c r="AB296" s="39">
        <f>+IFERROR(-ABS(IF(EDATE(_xlfn.XLOOKUP(1,$H283:$BE283,$H$4:$BE$4),12*Assumptions!$G$204+12)=AB$4,0,IF(AA283=1,PMT(Assumptions!$G$202,Assumptions!$G$204,$C285),AA296))),0)</f>
        <v>0</v>
      </c>
      <c r="AC296" s="39">
        <f>+IFERROR(-ABS(IF(EDATE(_xlfn.XLOOKUP(1,$H283:$BE283,$H$4:$BE$4),12*Assumptions!$G$204+12)=AC$4,0,IF(AB283=1,PMT(Assumptions!$G$202,Assumptions!$G$204,$C285),AB296))),0)</f>
        <v>0</v>
      </c>
      <c r="AD296" s="39">
        <f>+IFERROR(-ABS(IF(EDATE(_xlfn.XLOOKUP(1,$H283:$BE283,$H$4:$BE$4),12*Assumptions!$G$204+12)=AD$4,0,IF(AC283=1,PMT(Assumptions!$G$202,Assumptions!$G$204,$C285),AC296))),0)</f>
        <v>0</v>
      </c>
      <c r="AE296" s="39">
        <f>+IFERROR(-ABS(IF(EDATE(_xlfn.XLOOKUP(1,$H283:$BE283,$H$4:$BE$4),12*Assumptions!$G$204+12)=AE$4,0,IF(AD283=1,PMT(Assumptions!$G$202,Assumptions!$G$204,$C285),AD296))),0)</f>
        <v>0</v>
      </c>
      <c r="AF296" s="39">
        <f>+IFERROR(-ABS(IF(EDATE(_xlfn.XLOOKUP(1,$H283:$BE283,$H$4:$BE$4),12*Assumptions!$G$204+12)=AF$4,0,IF(AE283=1,PMT(Assumptions!$G$202,Assumptions!$G$204,$C285),AE296))),0)</f>
        <v>0</v>
      </c>
      <c r="AG296" s="39">
        <f>+IFERROR(-ABS(IF(EDATE(_xlfn.XLOOKUP(1,$H283:$BE283,$H$4:$BE$4),12*Assumptions!$G$204+12)=AG$4,0,IF(AF283=1,PMT(Assumptions!$G$202,Assumptions!$G$204,$C285),AF296))),0)</f>
        <v>0</v>
      </c>
      <c r="AH296" s="39">
        <f>+IFERROR(-ABS(IF(EDATE(_xlfn.XLOOKUP(1,$H283:$BE283,$H$4:$BE$4),12*Assumptions!$G$204+12)=AH$4,0,IF(AG283=1,PMT(Assumptions!$G$202,Assumptions!$G$204,$C285),AG296))),0)</f>
        <v>0</v>
      </c>
      <c r="AI296" s="39">
        <f>+IFERROR(-ABS(IF(EDATE(_xlfn.XLOOKUP(1,$H283:$BE283,$H$4:$BE$4),12*Assumptions!$G$204+12)=AI$4,0,IF(AH283=1,PMT(Assumptions!$G$202,Assumptions!$G$204,$C285),AH296))),0)</f>
        <v>0</v>
      </c>
      <c r="AJ296" s="39">
        <f>+IFERROR(-ABS(IF(EDATE(_xlfn.XLOOKUP(1,$H283:$BE283,$H$4:$BE$4),12*Assumptions!$G$204+12)=AJ$4,0,IF(AI283=1,PMT(Assumptions!$G$202,Assumptions!$G$204,$C285),AI296))),0)</f>
        <v>0</v>
      </c>
      <c r="AK296" s="39">
        <f>+IFERROR(-ABS(IF(EDATE(_xlfn.XLOOKUP(1,$H283:$BE283,$H$4:$BE$4),12*Assumptions!$G$204+12)=AK$4,0,IF(AJ283=1,PMT(Assumptions!$G$202,Assumptions!$G$204,$C285),AJ296))),0)</f>
        <v>0</v>
      </c>
      <c r="AL296" s="39">
        <f>+IFERROR(-ABS(IF(EDATE(_xlfn.XLOOKUP(1,$H283:$BE283,$H$4:$BE$4),12*Assumptions!$G$204+12)=AL$4,0,IF(AK283=1,PMT(Assumptions!$G$202,Assumptions!$G$204,$C285),AK296))),0)</f>
        <v>0</v>
      </c>
      <c r="AM296" s="39">
        <f>+IFERROR(-ABS(IF(EDATE(_xlfn.XLOOKUP(1,$H283:$BE283,$H$4:$BE$4),12*Assumptions!$G$204+12)=AM$4,0,IF(AL283=1,PMT(Assumptions!$G$202,Assumptions!$G$204,$C285),AL296))),0)</f>
        <v>0</v>
      </c>
      <c r="AN296" s="39">
        <f>+IFERROR(-ABS(IF(EDATE(_xlfn.XLOOKUP(1,$H283:$BE283,$H$4:$BE$4),12*Assumptions!$G$204+12)=AN$4,0,IF(AM283=1,PMT(Assumptions!$G$202,Assumptions!$G$204,$C285),AM296))),0)</f>
        <v>0</v>
      </c>
      <c r="AO296" s="39">
        <f>+IFERROR(-ABS(IF(EDATE(_xlfn.XLOOKUP(1,$H283:$BE283,$H$4:$BE$4),12*Assumptions!$G$204+12)=AO$4,0,IF(AN283=1,PMT(Assumptions!$G$202,Assumptions!$G$204,$C285),AN296))),0)</f>
        <v>0</v>
      </c>
      <c r="AP296" s="39">
        <f>+IFERROR(-ABS(IF(EDATE(_xlfn.XLOOKUP(1,$H283:$BE283,$H$4:$BE$4),12*Assumptions!$G$204+12)=AP$4,0,IF(AO283=1,PMT(Assumptions!$G$202,Assumptions!$G$204,$C285),AO296))),0)</f>
        <v>0</v>
      </c>
      <c r="AQ296" s="39">
        <f>+IFERROR(-ABS(IF(EDATE(_xlfn.XLOOKUP(1,$H283:$BE283,$H$4:$BE$4),12*Assumptions!$G$204+12)=AQ$4,0,IF(AP283=1,PMT(Assumptions!$G$202,Assumptions!$G$204,$C285),AP296))),0)</f>
        <v>0</v>
      </c>
      <c r="AR296" s="39">
        <f>+IFERROR(-ABS(IF(EDATE(_xlfn.XLOOKUP(1,$H283:$BE283,$H$4:$BE$4),12*Assumptions!$G$204+12)=AR$4,0,IF(AQ283=1,PMT(Assumptions!$G$202,Assumptions!$G$204,$C285),AQ296))),0)</f>
        <v>0</v>
      </c>
      <c r="AS296" s="39">
        <f>+IFERROR(-ABS(IF(EDATE(_xlfn.XLOOKUP(1,$H283:$BE283,$H$4:$BE$4),12*Assumptions!$G$204+12)=AS$4,0,IF(AR283=1,PMT(Assumptions!$G$202,Assumptions!$G$204,$C285),AR296))),0)</f>
        <v>0</v>
      </c>
      <c r="AT296" s="39">
        <f>+IFERROR(-ABS(IF(EDATE(_xlfn.XLOOKUP(1,$H283:$BE283,$H$4:$BE$4),12*Assumptions!$G$204+12)=AT$4,0,IF(AS283=1,PMT(Assumptions!$G$202,Assumptions!$G$204,$C285),AS296))),0)</f>
        <v>0</v>
      </c>
      <c r="AU296" s="39">
        <f>+IFERROR(-ABS(IF(EDATE(_xlfn.XLOOKUP(1,$H283:$BE283,$H$4:$BE$4),12*Assumptions!$G$204+12)=AU$4,0,IF(AT283=1,PMT(Assumptions!$G$202,Assumptions!$G$204,$C285),AT296))),0)</f>
        <v>0</v>
      </c>
      <c r="AV296" s="39">
        <f>+IFERROR(-ABS(IF(EDATE(_xlfn.XLOOKUP(1,$H283:$BE283,$H$4:$BE$4),12*Assumptions!$G$204+12)=AV$4,0,IF(AU283=1,PMT(Assumptions!$G$202,Assumptions!$G$204,$C285),AU296))),0)</f>
        <v>0</v>
      </c>
      <c r="AW296" s="39">
        <f>+IFERROR(-ABS(IF(EDATE(_xlfn.XLOOKUP(1,$H283:$BE283,$H$4:$BE$4),12*Assumptions!$G$204+12)=AW$4,0,IF(AV283=1,PMT(Assumptions!$G$202,Assumptions!$G$204,$C285),AV296))),0)</f>
        <v>0</v>
      </c>
      <c r="AX296" s="39">
        <f>+IFERROR(-ABS(IF(EDATE(_xlfn.XLOOKUP(1,$H283:$BE283,$H$4:$BE$4),12*Assumptions!$G$204+12)=AX$4,0,IF(AW283=1,PMT(Assumptions!$G$202,Assumptions!$G$204,$C285),AW296))),0)</f>
        <v>0</v>
      </c>
      <c r="AY296" s="39">
        <f>+IFERROR(-ABS(IF(EDATE(_xlfn.XLOOKUP(1,$H283:$BE283,$H$4:$BE$4),12*Assumptions!$G$204+12)=AY$4,0,IF(AX283=1,PMT(Assumptions!$G$202,Assumptions!$G$204,$C285),AX296))),0)</f>
        <v>0</v>
      </c>
      <c r="AZ296" s="39">
        <f>+IFERROR(-ABS(IF(EDATE(_xlfn.XLOOKUP(1,$H283:$BE283,$H$4:$BE$4),12*Assumptions!$G$204+12)=AZ$4,0,IF(AY283=1,PMT(Assumptions!$G$202,Assumptions!$G$204,$C285),AY296))),0)</f>
        <v>0</v>
      </c>
      <c r="BA296" s="39">
        <f>+IFERROR(-ABS(IF(EDATE(_xlfn.XLOOKUP(1,$H283:$BE283,$H$4:$BE$4),12*Assumptions!$G$204+12)=BA$4,0,IF(AZ283=1,PMT(Assumptions!$G$202,Assumptions!$G$204,$C285),AZ296))),0)</f>
        <v>0</v>
      </c>
      <c r="BB296" s="39">
        <f>+IFERROR(-ABS(IF(EDATE(_xlfn.XLOOKUP(1,$H283:$BE283,$H$4:$BE$4),12*Assumptions!$G$204+12)=BB$4,0,IF(BA283=1,PMT(Assumptions!$G$202,Assumptions!$G$204,$C285),BA296))),0)</f>
        <v>0</v>
      </c>
      <c r="BC296" s="39">
        <f>+IFERROR(-ABS(IF(EDATE(_xlfn.XLOOKUP(1,$H283:$BE283,$H$4:$BE$4),12*Assumptions!$G$204+12)=BC$4,0,IF(BB283=1,PMT(Assumptions!$G$202,Assumptions!$G$204,$C285),BB296))),0)</f>
        <v>0</v>
      </c>
      <c r="BD296" s="39">
        <f>+IFERROR(-ABS(IF(EDATE(_xlfn.XLOOKUP(1,$H283:$BE283,$H$4:$BE$4),12*Assumptions!$G$204+12)=BD$4,0,IF(BC283=1,PMT(Assumptions!$G$202,Assumptions!$G$204,$C285),BC296))),0)</f>
        <v>0</v>
      </c>
      <c r="BE296" s="39">
        <f>+IFERROR(-ABS(IF(EDATE(_xlfn.XLOOKUP(1,$H283:$BE283,$H$4:$BE$4),12*Assumptions!$G$204+12)=BE$4,0,IF(BD283=1,PMT(Assumptions!$G$202,Assumptions!$G$204,$C285),BD296))),0)</f>
        <v>0</v>
      </c>
      <c r="BF296" s="39">
        <f>+IFERROR(-ABS(IF(EDATE(_xlfn.XLOOKUP(1,$H283:$BE283,$H$4:$BE$4),12*Assumptions!$G$204+12)=BF$4,0,IF(BE283=1,PMT(Assumptions!$G$202,Assumptions!$G$204,$C285),BE296))),0)</f>
        <v>0</v>
      </c>
      <c r="BG296" s="39">
        <f>+IFERROR(-ABS(IF(EDATE(_xlfn.XLOOKUP(1,$H283:$BE283,$H$4:$BE$4),12*Assumptions!$G$204+12)=BG$4,0,IF(BF283=1,PMT(Assumptions!$G$202,Assumptions!$G$204,$C285),BF296))),0)</f>
        <v>0</v>
      </c>
      <c r="BH296" s="39">
        <f>+IFERROR(-ABS(IF(EDATE(_xlfn.XLOOKUP(1,$H283:$BE283,$H$4:$BE$4),12*Assumptions!$G$204+12)=BH$4,0,IF(BG283=1,PMT(Assumptions!$G$202,Assumptions!$G$204,$C285),BG296))),0)</f>
        <v>0</v>
      </c>
      <c r="BI296" s="39">
        <f>+IFERROR(-ABS(IF(EDATE(_xlfn.XLOOKUP(1,$H283:$BE283,$H$4:$BE$4),12*Assumptions!$G$204+12)=BI$4,0,IF(BH283=1,PMT(Assumptions!$G$202,Assumptions!$G$204,$C285),BH296))),0)</f>
        <v>0</v>
      </c>
      <c r="BJ296" s="39">
        <f>+IFERROR(-ABS(IF(EDATE(_xlfn.XLOOKUP(1,$H283:$BE283,$H$4:$BE$4),12*Assumptions!$G$204+12)=BJ$4,0,IF(BI283=1,PMT(Assumptions!$G$202,Assumptions!$G$204,$C285),BI296))),0)</f>
        <v>0</v>
      </c>
      <c r="BK296" s="39">
        <f>+IFERROR(-ABS(IF(EDATE(_xlfn.XLOOKUP(1,$H283:$BE283,$H$4:$BE$4),12*Assumptions!$G$204+12)=BK$4,0,IF(BJ283=1,PMT(Assumptions!$G$202,Assumptions!$G$204,$C285),BJ296))),0)</f>
        <v>0</v>
      </c>
      <c r="BL296" s="39">
        <f>+IFERROR(-ABS(IF(EDATE(_xlfn.XLOOKUP(1,$H283:$BE283,$H$4:$BE$4),12*Assumptions!$G$204+12)=BL$4,0,IF(BK283=1,PMT(Assumptions!$G$202,Assumptions!$G$204,$C285),BK296))),0)</f>
        <v>0</v>
      </c>
      <c r="BM296" s="39">
        <f>+IFERROR(-ABS(IF(EDATE(_xlfn.XLOOKUP(1,$H283:$BE283,$H$4:$BE$4),12*Assumptions!$G$204+12)=BM$4,0,IF(BL283=1,PMT(Assumptions!$G$202,Assumptions!$G$204,$C285),BL296))),0)</f>
        <v>0</v>
      </c>
      <c r="BN296" s="39">
        <f>+IFERROR(-ABS(IF(EDATE(_xlfn.XLOOKUP(1,$H283:$BE283,$H$4:$BE$4),12*Assumptions!$G$204+12)=BN$4,0,IF(BM283=1,PMT(Assumptions!$G$202,Assumptions!$G$204,$C285),BM296))),0)</f>
        <v>0</v>
      </c>
      <c r="BO296" s="39">
        <f>+IFERROR(-ABS(IF(EDATE(_xlfn.XLOOKUP(1,$H283:$BE283,$H$4:$BE$4),12*Assumptions!$G$204+12)=BO$4,0,IF(BN283=1,PMT(Assumptions!$G$202,Assumptions!$G$204,$C285),BN296))),0)</f>
        <v>0</v>
      </c>
      <c r="BP296" s="39">
        <f>+IFERROR(-ABS(IF(EDATE(_xlfn.XLOOKUP(1,$H283:$BE283,$H$4:$BE$4),12*Assumptions!$G$204+12)=BP$4,0,IF(BO283=1,PMT(Assumptions!$G$202,Assumptions!$G$204,$C285),BO296))),0)</f>
        <v>0</v>
      </c>
      <c r="BQ296" s="39">
        <f>+IFERROR(-ABS(IF(EDATE(_xlfn.XLOOKUP(1,$H283:$BE283,$H$4:$BE$4),12*Assumptions!$G$204+12)=BQ$4,0,IF(BP283=1,PMT(Assumptions!$G$202,Assumptions!$G$204,$C285),BP296))),0)</f>
        <v>0</v>
      </c>
      <c r="BR296" s="39">
        <f>+IFERROR(-ABS(IF(EDATE(_xlfn.XLOOKUP(1,$H283:$BE283,$H$4:$BE$4),12*Assumptions!$G$204+12)=BR$4,0,IF(BQ283=1,PMT(Assumptions!$G$202,Assumptions!$G$204,$C285),BQ296))),0)</f>
        <v>0</v>
      </c>
      <c r="BS296" s="39">
        <f>+IFERROR(-ABS(IF(EDATE(_xlfn.XLOOKUP(1,$H283:$BE283,$H$4:$BE$4),12*Assumptions!$G$204+12)=BS$4,0,IF(BR283=1,PMT(Assumptions!$G$202,Assumptions!$G$204,$C285),BR296))),0)</f>
        <v>0</v>
      </c>
      <c r="BT296" s="39">
        <f>+IFERROR(-ABS(IF(EDATE(_xlfn.XLOOKUP(1,$H283:$BE283,$H$4:$BE$4),12*Assumptions!$G$204+12)=BT$4,0,IF(BS283=1,PMT(Assumptions!$G$202,Assumptions!$G$204,$C285),BS296))),0)</f>
        <v>0</v>
      </c>
      <c r="BU296" s="39">
        <f>+IFERROR(-ABS(IF(EDATE(_xlfn.XLOOKUP(1,$H283:$BE283,$H$4:$BE$4),12*Assumptions!$G$204+12)=BU$4,0,IF(BT283=1,PMT(Assumptions!$G$202,Assumptions!$G$204,$C285),BT296))),0)</f>
        <v>0</v>
      </c>
      <c r="BV296" s="39">
        <f>+IFERROR(-ABS(IF(EDATE(_xlfn.XLOOKUP(1,$H283:$BE283,$H$4:$BE$4),12*Assumptions!$G$204+12)=BV$4,0,IF(BU283=1,PMT(Assumptions!$G$202,Assumptions!$G$204,$C285),BU296))),0)</f>
        <v>0</v>
      </c>
      <c r="BW296" s="39">
        <f>+IFERROR(-ABS(IF(EDATE(_xlfn.XLOOKUP(1,$H283:$BE283,$H$4:$BE$4),12*Assumptions!$G$204+12)=BW$4,0,IF(BV283=1,PMT(Assumptions!$G$202,Assumptions!$G$204,$C285),BV296))),0)</f>
        <v>0</v>
      </c>
      <c r="BX296" s="39">
        <f>+IFERROR(-ABS(IF(EDATE(_xlfn.XLOOKUP(1,$H283:$BE283,$H$4:$BE$4),12*Assumptions!$G$204+12)=BX$4,0,IF(BW283=1,PMT(Assumptions!$G$202,Assumptions!$G$204,$C285),BW296))),0)</f>
        <v>0</v>
      </c>
      <c r="BY296" s="39">
        <f>+IFERROR(-ABS(IF(EDATE(_xlfn.XLOOKUP(1,$H283:$BE283,$H$4:$BE$4),12*Assumptions!$G$204+12)=BY$4,0,IF(BX283=1,PMT(Assumptions!$G$202,Assumptions!$G$204,$C285),BX296))),0)</f>
        <v>0</v>
      </c>
    </row>
    <row r="297" spans="5:77" outlineLevel="1">
      <c r="E297" s="24" t="s">
        <v>519</v>
      </c>
      <c r="F297" s="80" t="str">
        <f>+Assumptions!$G$8</f>
        <v>USD</v>
      </c>
      <c r="G297" s="24"/>
      <c r="H297" s="39">
        <f>+IFERROR(-ABS(IF(EDATE(_xlfn.XLOOKUP(1,$H284:$BE284,$H$4:$BE$4),12*Assumptions!$G$204+12)=H$4,0,IF(G284=1,PMT(Assumptions!$G$202,Assumptions!$G$204,$C286),G297))),0)</f>
        <v>0</v>
      </c>
      <c r="I297" s="39">
        <f>+IFERROR(-ABS(IF(EDATE(_xlfn.XLOOKUP(1,$H284:$BE284,$H$4:$BE$4),12*Assumptions!$G$204+12)=I$4,0,IF(H284=1,PMT(Assumptions!$G$202,Assumptions!$G$204,$C286),H297))),0)</f>
        <v>0</v>
      </c>
      <c r="J297" s="39">
        <f>+IFERROR(-ABS(IF(EDATE(_xlfn.XLOOKUP(1,$H284:$BE284,$H$4:$BE$4),12*Assumptions!$G$204+12)=J$4,0,IF(I284=1,PMT(Assumptions!$G$202,Assumptions!$G$204,$C286),I297))),0)</f>
        <v>0</v>
      </c>
      <c r="K297" s="39">
        <f>+IFERROR(-ABS(IF(EDATE(_xlfn.XLOOKUP(1,$H284:$BE284,$H$4:$BE$4),12*Assumptions!$G$204+12)=K$4,0,IF(J284=1,PMT(Assumptions!$G$202,Assumptions!$G$204,$C286),J297))),0)</f>
        <v>0</v>
      </c>
      <c r="L297" s="39">
        <f>+IFERROR(-ABS(IF(EDATE(_xlfn.XLOOKUP(1,$H284:$BE284,$H$4:$BE$4),12*Assumptions!$G$204+12)=L$4,0,IF(K284=1,PMT(Assumptions!$G$202,Assumptions!$G$204,$C286),K297))),0)</f>
        <v>0</v>
      </c>
      <c r="M297" s="39">
        <f>+IFERROR(-ABS(IF(EDATE(_xlfn.XLOOKUP(1,$H284:$BE284,$H$4:$BE$4),12*Assumptions!$G$204+12)=M$4,0,IF(L284=1,PMT(Assumptions!$G$202,Assumptions!$G$204,$C286),L297))),0)</f>
        <v>0</v>
      </c>
      <c r="N297" s="39">
        <f>+IFERROR(-ABS(IF(EDATE(_xlfn.XLOOKUP(1,$H284:$BE284,$H$4:$BE$4),12*Assumptions!$G$204+12)=N$4,0,IF(M284=1,PMT(Assumptions!$G$202,Assumptions!$G$204,$C286),M297))),0)</f>
        <v>0</v>
      </c>
      <c r="O297" s="39">
        <f>+IFERROR(-ABS(IF(EDATE(_xlfn.XLOOKUP(1,$H284:$BE284,$H$4:$BE$4),12*Assumptions!$G$204+12)=O$4,0,IF(N284=1,PMT(Assumptions!$G$202,Assumptions!$G$204,$C286),N297))),0)</f>
        <v>0</v>
      </c>
      <c r="P297" s="39">
        <f>+IFERROR(-ABS(IF(EDATE(_xlfn.XLOOKUP(1,$H284:$BE284,$H$4:$BE$4),12*Assumptions!$G$204+12)=P$4,0,IF(O284=1,PMT(Assumptions!$G$202,Assumptions!$G$204,$C286),O297))),0)</f>
        <v>0</v>
      </c>
      <c r="Q297" s="39">
        <f>+IFERROR(-ABS(IF(EDATE(_xlfn.XLOOKUP(1,$H284:$BE284,$H$4:$BE$4),12*Assumptions!$G$204+12)=Q$4,0,IF(P284=1,PMT(Assumptions!$G$202,Assumptions!$G$204,$C286),P297))),0)</f>
        <v>0</v>
      </c>
      <c r="R297" s="39">
        <f>+IFERROR(-ABS(IF(EDATE(_xlfn.XLOOKUP(1,$H284:$BE284,$H$4:$BE$4),12*Assumptions!$G$204+12)=R$4,0,IF(Q284=1,PMT(Assumptions!$G$202,Assumptions!$G$204,$C286),Q297))),0)</f>
        <v>0</v>
      </c>
      <c r="S297" s="39">
        <f>+IFERROR(-ABS(IF(EDATE(_xlfn.XLOOKUP(1,$H284:$BE284,$H$4:$BE$4),12*Assumptions!$G$204+12)=S$4,0,IF(R284=1,PMT(Assumptions!$G$202,Assumptions!$G$204,$C286),R297))),0)</f>
        <v>0</v>
      </c>
      <c r="T297" s="39">
        <f>+IFERROR(-ABS(IF(EDATE(_xlfn.XLOOKUP(1,$H284:$BE284,$H$4:$BE$4),12*Assumptions!$G$204+12)=T$4,0,IF(S284=1,PMT(Assumptions!$G$202,Assumptions!$G$204,$C286),S297))),0)</f>
        <v>0</v>
      </c>
      <c r="U297" s="39">
        <f>+IFERROR(-ABS(IF(EDATE(_xlfn.XLOOKUP(1,$H284:$BE284,$H$4:$BE$4),12*Assumptions!$G$204+12)=U$4,0,IF(T284=1,PMT(Assumptions!$G$202,Assumptions!$G$204,$C286),T297))),0)</f>
        <v>0</v>
      </c>
      <c r="V297" s="39">
        <f>+IFERROR(-ABS(IF(EDATE(_xlfn.XLOOKUP(1,$H284:$BE284,$H$4:$BE$4),12*Assumptions!$G$204+12)=V$4,0,IF(U284=1,PMT(Assumptions!$G$202,Assumptions!$G$204,$C286),U297))),0)</f>
        <v>0</v>
      </c>
      <c r="W297" s="39">
        <f>+IFERROR(-ABS(IF(EDATE(_xlfn.XLOOKUP(1,$H284:$BE284,$H$4:$BE$4),12*Assumptions!$G$204+12)=W$4,0,IF(V284=1,PMT(Assumptions!$G$202,Assumptions!$G$204,$C286),V297))),0)</f>
        <v>0</v>
      </c>
      <c r="X297" s="39">
        <f>+IFERROR(-ABS(IF(EDATE(_xlfn.XLOOKUP(1,$H284:$BE284,$H$4:$BE$4),12*Assumptions!$G$204+12)=X$4,0,IF(W284=1,PMT(Assumptions!$G$202,Assumptions!$G$204,$C286),W297))),0)</f>
        <v>0</v>
      </c>
      <c r="Y297" s="39">
        <f>+IFERROR(-ABS(IF(EDATE(_xlfn.XLOOKUP(1,$H284:$BE284,$H$4:$BE$4),12*Assumptions!$G$204+12)=Y$4,0,IF(X284=1,PMT(Assumptions!$G$202,Assumptions!$G$204,$C286),X297))),0)</f>
        <v>0</v>
      </c>
      <c r="Z297" s="39">
        <f>+IFERROR(-ABS(IF(EDATE(_xlfn.XLOOKUP(1,$H284:$BE284,$H$4:$BE$4),12*Assumptions!$G$204+12)=Z$4,0,IF(Y284=1,PMT(Assumptions!$G$202,Assumptions!$G$204,$C286),Y297))),0)</f>
        <v>0</v>
      </c>
      <c r="AA297" s="39">
        <f>+IFERROR(-ABS(IF(EDATE(_xlfn.XLOOKUP(1,$H284:$BE284,$H$4:$BE$4),12*Assumptions!$G$204+12)=AA$4,0,IF(Z284=1,PMT(Assumptions!$G$202,Assumptions!$G$204,$C286),Z297))),0)</f>
        <v>0</v>
      </c>
      <c r="AB297" s="39">
        <f>+IFERROR(-ABS(IF(EDATE(_xlfn.XLOOKUP(1,$H284:$BE284,$H$4:$BE$4),12*Assumptions!$G$204+12)=AB$4,0,IF(AA284=1,PMT(Assumptions!$G$202,Assumptions!$G$204,$C286),AA297))),0)</f>
        <v>0</v>
      </c>
      <c r="AC297" s="39">
        <f>+IFERROR(-ABS(IF(EDATE(_xlfn.XLOOKUP(1,$H284:$BE284,$H$4:$BE$4),12*Assumptions!$G$204+12)=AC$4,0,IF(AB284=1,PMT(Assumptions!$G$202,Assumptions!$G$204,$C286),AB297))),0)</f>
        <v>0</v>
      </c>
      <c r="AD297" s="39">
        <f>+IFERROR(-ABS(IF(EDATE(_xlfn.XLOOKUP(1,$H284:$BE284,$H$4:$BE$4),12*Assumptions!$G$204+12)=AD$4,0,IF(AC284=1,PMT(Assumptions!$G$202,Assumptions!$G$204,$C286),AC297))),0)</f>
        <v>0</v>
      </c>
      <c r="AE297" s="39">
        <f>+IFERROR(-ABS(IF(EDATE(_xlfn.XLOOKUP(1,$H284:$BE284,$H$4:$BE$4),12*Assumptions!$G$204+12)=AE$4,0,IF(AD284=1,PMT(Assumptions!$G$202,Assumptions!$G$204,$C286),AD297))),0)</f>
        <v>0</v>
      </c>
      <c r="AF297" s="39">
        <f>+IFERROR(-ABS(IF(EDATE(_xlfn.XLOOKUP(1,$H284:$BE284,$H$4:$BE$4),12*Assumptions!$G$204+12)=AF$4,0,IF(AE284=1,PMT(Assumptions!$G$202,Assumptions!$G$204,$C286),AE297))),0)</f>
        <v>0</v>
      </c>
      <c r="AG297" s="39">
        <f>+IFERROR(-ABS(IF(EDATE(_xlfn.XLOOKUP(1,$H284:$BE284,$H$4:$BE$4),12*Assumptions!$G$204+12)=AG$4,0,IF(AF284=1,PMT(Assumptions!$G$202,Assumptions!$G$204,$C286),AF297))),0)</f>
        <v>0</v>
      </c>
      <c r="AH297" s="39">
        <f>+IFERROR(-ABS(IF(EDATE(_xlfn.XLOOKUP(1,$H284:$BE284,$H$4:$BE$4),12*Assumptions!$G$204+12)=AH$4,0,IF(AG284=1,PMT(Assumptions!$G$202,Assumptions!$G$204,$C286),AG297))),0)</f>
        <v>0</v>
      </c>
      <c r="AI297" s="39">
        <f>+IFERROR(-ABS(IF(EDATE(_xlfn.XLOOKUP(1,$H284:$BE284,$H$4:$BE$4),12*Assumptions!$G$204+12)=AI$4,0,IF(AH284=1,PMT(Assumptions!$G$202,Assumptions!$G$204,$C286),AH297))),0)</f>
        <v>0</v>
      </c>
      <c r="AJ297" s="39">
        <f>+IFERROR(-ABS(IF(EDATE(_xlfn.XLOOKUP(1,$H284:$BE284,$H$4:$BE$4),12*Assumptions!$G$204+12)=AJ$4,0,IF(AI284=1,PMT(Assumptions!$G$202,Assumptions!$G$204,$C286),AI297))),0)</f>
        <v>0</v>
      </c>
      <c r="AK297" s="39">
        <f>+IFERROR(-ABS(IF(EDATE(_xlfn.XLOOKUP(1,$H284:$BE284,$H$4:$BE$4),12*Assumptions!$G$204+12)=AK$4,0,IF(AJ284=1,PMT(Assumptions!$G$202,Assumptions!$G$204,$C286),AJ297))),0)</f>
        <v>0</v>
      </c>
      <c r="AL297" s="39">
        <f>+IFERROR(-ABS(IF(EDATE(_xlfn.XLOOKUP(1,$H284:$BE284,$H$4:$BE$4),12*Assumptions!$G$204+12)=AL$4,0,IF(AK284=1,PMT(Assumptions!$G$202,Assumptions!$G$204,$C286),AK297))),0)</f>
        <v>0</v>
      </c>
      <c r="AM297" s="39">
        <f>+IFERROR(-ABS(IF(EDATE(_xlfn.XLOOKUP(1,$H284:$BE284,$H$4:$BE$4),12*Assumptions!$G$204+12)=AM$4,0,IF(AL284=1,PMT(Assumptions!$G$202,Assumptions!$G$204,$C286),AL297))),0)</f>
        <v>0</v>
      </c>
      <c r="AN297" s="39">
        <f>+IFERROR(-ABS(IF(EDATE(_xlfn.XLOOKUP(1,$H284:$BE284,$H$4:$BE$4),12*Assumptions!$G$204+12)=AN$4,0,IF(AM284=1,PMT(Assumptions!$G$202,Assumptions!$G$204,$C286),AM297))),0)</f>
        <v>0</v>
      </c>
      <c r="AO297" s="39">
        <f>+IFERROR(-ABS(IF(EDATE(_xlfn.XLOOKUP(1,$H284:$BE284,$H$4:$BE$4),12*Assumptions!$G$204+12)=AO$4,0,IF(AN284=1,PMT(Assumptions!$G$202,Assumptions!$G$204,$C286),AN297))),0)</f>
        <v>0</v>
      </c>
      <c r="AP297" s="39">
        <f>+IFERROR(-ABS(IF(EDATE(_xlfn.XLOOKUP(1,$H284:$BE284,$H$4:$BE$4),12*Assumptions!$G$204+12)=AP$4,0,IF(AO284=1,PMT(Assumptions!$G$202,Assumptions!$G$204,$C286),AO297))),0)</f>
        <v>0</v>
      </c>
      <c r="AQ297" s="39">
        <f>+IFERROR(-ABS(IF(EDATE(_xlfn.XLOOKUP(1,$H284:$BE284,$H$4:$BE$4),12*Assumptions!$G$204+12)=AQ$4,0,IF(AP284=1,PMT(Assumptions!$G$202,Assumptions!$G$204,$C286),AP297))),0)</f>
        <v>0</v>
      </c>
      <c r="AR297" s="39">
        <f>+IFERROR(-ABS(IF(EDATE(_xlfn.XLOOKUP(1,$H284:$BE284,$H$4:$BE$4),12*Assumptions!$G$204+12)=AR$4,0,IF(AQ284=1,PMT(Assumptions!$G$202,Assumptions!$G$204,$C286),AQ297))),0)</f>
        <v>0</v>
      </c>
      <c r="AS297" s="39">
        <f>+IFERROR(-ABS(IF(EDATE(_xlfn.XLOOKUP(1,$H284:$BE284,$H$4:$BE$4),12*Assumptions!$G$204+12)=AS$4,0,IF(AR284=1,PMT(Assumptions!$G$202,Assumptions!$G$204,$C286),AR297))),0)</f>
        <v>0</v>
      </c>
      <c r="AT297" s="39">
        <f>+IFERROR(-ABS(IF(EDATE(_xlfn.XLOOKUP(1,$H284:$BE284,$H$4:$BE$4),12*Assumptions!$G$204+12)=AT$4,0,IF(AS284=1,PMT(Assumptions!$G$202,Assumptions!$G$204,$C286),AS297))),0)</f>
        <v>0</v>
      </c>
      <c r="AU297" s="39">
        <f>+IFERROR(-ABS(IF(EDATE(_xlfn.XLOOKUP(1,$H284:$BE284,$H$4:$BE$4),12*Assumptions!$G$204+12)=AU$4,0,IF(AT284=1,PMT(Assumptions!$G$202,Assumptions!$G$204,$C286),AT297))),0)</f>
        <v>0</v>
      </c>
      <c r="AV297" s="39">
        <f>+IFERROR(-ABS(IF(EDATE(_xlfn.XLOOKUP(1,$H284:$BE284,$H$4:$BE$4),12*Assumptions!$G$204+12)=AV$4,0,IF(AU284=1,PMT(Assumptions!$G$202,Assumptions!$G$204,$C286),AU297))),0)</f>
        <v>0</v>
      </c>
      <c r="AW297" s="39">
        <f>+IFERROR(-ABS(IF(EDATE(_xlfn.XLOOKUP(1,$H284:$BE284,$H$4:$BE$4),12*Assumptions!$G$204+12)=AW$4,0,IF(AV284=1,PMT(Assumptions!$G$202,Assumptions!$G$204,$C286),AV297))),0)</f>
        <v>0</v>
      </c>
      <c r="AX297" s="39">
        <f>+IFERROR(-ABS(IF(EDATE(_xlfn.XLOOKUP(1,$H284:$BE284,$H$4:$BE$4),12*Assumptions!$G$204+12)=AX$4,0,IF(AW284=1,PMT(Assumptions!$G$202,Assumptions!$G$204,$C286),AW297))),0)</f>
        <v>0</v>
      </c>
      <c r="AY297" s="39">
        <f>+IFERROR(-ABS(IF(EDATE(_xlfn.XLOOKUP(1,$H284:$BE284,$H$4:$BE$4),12*Assumptions!$G$204+12)=AY$4,0,IF(AX284=1,PMT(Assumptions!$G$202,Assumptions!$G$204,$C286),AX297))),0)</f>
        <v>0</v>
      </c>
      <c r="AZ297" s="39">
        <f>+IFERROR(-ABS(IF(EDATE(_xlfn.XLOOKUP(1,$H284:$BE284,$H$4:$BE$4),12*Assumptions!$G$204+12)=AZ$4,0,IF(AY284=1,PMT(Assumptions!$G$202,Assumptions!$G$204,$C286),AY297))),0)</f>
        <v>0</v>
      </c>
      <c r="BA297" s="39">
        <f>+IFERROR(-ABS(IF(EDATE(_xlfn.XLOOKUP(1,$H284:$BE284,$H$4:$BE$4),12*Assumptions!$G$204+12)=BA$4,0,IF(AZ284=1,PMT(Assumptions!$G$202,Assumptions!$G$204,$C286),AZ297))),0)</f>
        <v>0</v>
      </c>
      <c r="BB297" s="39">
        <f>+IFERROR(-ABS(IF(EDATE(_xlfn.XLOOKUP(1,$H284:$BE284,$H$4:$BE$4),12*Assumptions!$G$204+12)=BB$4,0,IF(BA284=1,PMT(Assumptions!$G$202,Assumptions!$G$204,$C286),BA297))),0)</f>
        <v>0</v>
      </c>
      <c r="BC297" s="39">
        <f>+IFERROR(-ABS(IF(EDATE(_xlfn.XLOOKUP(1,$H284:$BE284,$H$4:$BE$4),12*Assumptions!$G$204+12)=BC$4,0,IF(BB284=1,PMT(Assumptions!$G$202,Assumptions!$G$204,$C286),BB297))),0)</f>
        <v>0</v>
      </c>
      <c r="BD297" s="39">
        <f>+IFERROR(-ABS(IF(EDATE(_xlfn.XLOOKUP(1,$H284:$BE284,$H$4:$BE$4),12*Assumptions!$G$204+12)=BD$4,0,IF(BC284=1,PMT(Assumptions!$G$202,Assumptions!$G$204,$C286),BC297))),0)</f>
        <v>0</v>
      </c>
      <c r="BE297" s="39">
        <f>+IFERROR(-ABS(IF(EDATE(_xlfn.XLOOKUP(1,$H284:$BE284,$H$4:$BE$4),12*Assumptions!$G$204+12)=BE$4,0,IF(BD284=1,PMT(Assumptions!$G$202,Assumptions!$G$204,$C286),BD297))),0)</f>
        <v>0</v>
      </c>
      <c r="BF297" s="39">
        <f>+IFERROR(-ABS(IF(EDATE(_xlfn.XLOOKUP(1,$H284:$BE284,$H$4:$BE$4),12*Assumptions!$G$204+12)=BF$4,0,IF(BE284=1,PMT(Assumptions!$G$202,Assumptions!$G$204,$C286),BE297))),0)</f>
        <v>0</v>
      </c>
      <c r="BG297" s="39">
        <f>+IFERROR(-ABS(IF(EDATE(_xlfn.XLOOKUP(1,$H284:$BE284,$H$4:$BE$4),12*Assumptions!$G$204+12)=BG$4,0,IF(BF284=1,PMT(Assumptions!$G$202,Assumptions!$G$204,$C286),BF297))),0)</f>
        <v>0</v>
      </c>
      <c r="BH297" s="39">
        <f>+IFERROR(-ABS(IF(EDATE(_xlfn.XLOOKUP(1,$H284:$BE284,$H$4:$BE$4),12*Assumptions!$G$204+12)=BH$4,0,IF(BG284=1,PMT(Assumptions!$G$202,Assumptions!$G$204,$C286),BG297))),0)</f>
        <v>0</v>
      </c>
      <c r="BI297" s="39">
        <f>+IFERROR(-ABS(IF(EDATE(_xlfn.XLOOKUP(1,$H284:$BE284,$H$4:$BE$4),12*Assumptions!$G$204+12)=BI$4,0,IF(BH284=1,PMT(Assumptions!$G$202,Assumptions!$G$204,$C286),BH297))),0)</f>
        <v>0</v>
      </c>
      <c r="BJ297" s="39">
        <f>+IFERROR(-ABS(IF(EDATE(_xlfn.XLOOKUP(1,$H284:$BE284,$H$4:$BE$4),12*Assumptions!$G$204+12)=BJ$4,0,IF(BI284=1,PMT(Assumptions!$G$202,Assumptions!$G$204,$C286),BI297))),0)</f>
        <v>0</v>
      </c>
      <c r="BK297" s="39">
        <f>+IFERROR(-ABS(IF(EDATE(_xlfn.XLOOKUP(1,$H284:$BE284,$H$4:$BE$4),12*Assumptions!$G$204+12)=BK$4,0,IF(BJ284=1,PMT(Assumptions!$G$202,Assumptions!$G$204,$C286),BJ297))),0)</f>
        <v>0</v>
      </c>
      <c r="BL297" s="39">
        <f>+IFERROR(-ABS(IF(EDATE(_xlfn.XLOOKUP(1,$H284:$BE284,$H$4:$BE$4),12*Assumptions!$G$204+12)=BL$4,0,IF(BK284=1,PMT(Assumptions!$G$202,Assumptions!$G$204,$C286),BK297))),0)</f>
        <v>0</v>
      </c>
      <c r="BM297" s="39">
        <f>+IFERROR(-ABS(IF(EDATE(_xlfn.XLOOKUP(1,$H284:$BE284,$H$4:$BE$4),12*Assumptions!$G$204+12)=BM$4,0,IF(BL284=1,PMT(Assumptions!$G$202,Assumptions!$G$204,$C286),BL297))),0)</f>
        <v>0</v>
      </c>
      <c r="BN297" s="39">
        <f>+IFERROR(-ABS(IF(EDATE(_xlfn.XLOOKUP(1,$H284:$BE284,$H$4:$BE$4),12*Assumptions!$G$204+12)=BN$4,0,IF(BM284=1,PMT(Assumptions!$G$202,Assumptions!$G$204,$C286),BM297))),0)</f>
        <v>0</v>
      </c>
      <c r="BO297" s="39">
        <f>+IFERROR(-ABS(IF(EDATE(_xlfn.XLOOKUP(1,$H284:$BE284,$H$4:$BE$4),12*Assumptions!$G$204+12)=BO$4,0,IF(BN284=1,PMT(Assumptions!$G$202,Assumptions!$G$204,$C286),BN297))),0)</f>
        <v>0</v>
      </c>
      <c r="BP297" s="39">
        <f>+IFERROR(-ABS(IF(EDATE(_xlfn.XLOOKUP(1,$H284:$BE284,$H$4:$BE$4),12*Assumptions!$G$204+12)=BP$4,0,IF(BO284=1,PMT(Assumptions!$G$202,Assumptions!$G$204,$C286),BO297))),0)</f>
        <v>0</v>
      </c>
      <c r="BQ297" s="39">
        <f>+IFERROR(-ABS(IF(EDATE(_xlfn.XLOOKUP(1,$H284:$BE284,$H$4:$BE$4),12*Assumptions!$G$204+12)=BQ$4,0,IF(BP284=1,PMT(Assumptions!$G$202,Assumptions!$G$204,$C286),BP297))),0)</f>
        <v>0</v>
      </c>
      <c r="BR297" s="39">
        <f>+IFERROR(-ABS(IF(EDATE(_xlfn.XLOOKUP(1,$H284:$BE284,$H$4:$BE$4),12*Assumptions!$G$204+12)=BR$4,0,IF(BQ284=1,PMT(Assumptions!$G$202,Assumptions!$G$204,$C286),BQ297))),0)</f>
        <v>0</v>
      </c>
      <c r="BS297" s="39">
        <f>+IFERROR(-ABS(IF(EDATE(_xlfn.XLOOKUP(1,$H284:$BE284,$H$4:$BE$4),12*Assumptions!$G$204+12)=BS$4,0,IF(BR284=1,PMT(Assumptions!$G$202,Assumptions!$G$204,$C286),BR297))),0)</f>
        <v>0</v>
      </c>
      <c r="BT297" s="39">
        <f>+IFERROR(-ABS(IF(EDATE(_xlfn.XLOOKUP(1,$H284:$BE284,$H$4:$BE$4),12*Assumptions!$G$204+12)=BT$4,0,IF(BS284=1,PMT(Assumptions!$G$202,Assumptions!$G$204,$C286),BS297))),0)</f>
        <v>0</v>
      </c>
      <c r="BU297" s="39">
        <f>+IFERROR(-ABS(IF(EDATE(_xlfn.XLOOKUP(1,$H284:$BE284,$H$4:$BE$4),12*Assumptions!$G$204+12)=BU$4,0,IF(BT284=1,PMT(Assumptions!$G$202,Assumptions!$G$204,$C286),BT297))),0)</f>
        <v>0</v>
      </c>
      <c r="BV297" s="39">
        <f>+IFERROR(-ABS(IF(EDATE(_xlfn.XLOOKUP(1,$H284:$BE284,$H$4:$BE$4),12*Assumptions!$G$204+12)=BV$4,0,IF(BU284=1,PMT(Assumptions!$G$202,Assumptions!$G$204,$C286),BU297))),0)</f>
        <v>0</v>
      </c>
      <c r="BW297" s="39">
        <f>+IFERROR(-ABS(IF(EDATE(_xlfn.XLOOKUP(1,$H284:$BE284,$H$4:$BE$4),12*Assumptions!$G$204+12)=BW$4,0,IF(BV284=1,PMT(Assumptions!$G$202,Assumptions!$G$204,$C286),BV297))),0)</f>
        <v>0</v>
      </c>
      <c r="BX297" s="39">
        <f>+IFERROR(-ABS(IF(EDATE(_xlfn.XLOOKUP(1,$H284:$BE284,$H$4:$BE$4),12*Assumptions!$G$204+12)=BX$4,0,IF(BW284=1,PMT(Assumptions!$G$202,Assumptions!$G$204,$C286),BW297))),0)</f>
        <v>0</v>
      </c>
      <c r="BY297" s="39">
        <f>+IFERROR(-ABS(IF(EDATE(_xlfn.XLOOKUP(1,$H284:$BE284,$H$4:$BE$4),12*Assumptions!$G$204+12)=BY$4,0,IF(BX284=1,PMT(Assumptions!$G$202,Assumptions!$G$204,$C286),BX297))),0)</f>
        <v>0</v>
      </c>
    </row>
    <row r="298" spans="5:77" outlineLevel="1">
      <c r="E298" s="24" t="s">
        <v>520</v>
      </c>
      <c r="F298" s="80" t="str">
        <f>+Assumptions!$G$8</f>
        <v>USD</v>
      </c>
      <c r="G298" s="24"/>
      <c r="H298" s="39">
        <f>+IFERROR(-ABS(IF(EDATE(_xlfn.XLOOKUP(1,$H285:$BE285,$H$4:$BE$4),12*Assumptions!$G$204+12)=H$4,0,IF(G285=1,PMT(Assumptions!$G$202,Assumptions!$G$204,$C287),G298))),0)</f>
        <v>0</v>
      </c>
      <c r="I298" s="39">
        <f>+IFERROR(-ABS(IF(EDATE(_xlfn.XLOOKUP(1,$H285:$BE285,$H$4:$BE$4),12*Assumptions!$G$204+12)=I$4,0,IF(H285=1,PMT(Assumptions!$G$202,Assumptions!$G$204,$C287),H298))),0)</f>
        <v>0</v>
      </c>
      <c r="J298" s="39">
        <f>+IFERROR(-ABS(IF(EDATE(_xlfn.XLOOKUP(1,$H285:$BE285,$H$4:$BE$4),12*Assumptions!$G$204+12)=J$4,0,IF(I285=1,PMT(Assumptions!$G$202,Assumptions!$G$204,$C287),I298))),0)</f>
        <v>0</v>
      </c>
      <c r="K298" s="39">
        <f>+IFERROR(-ABS(IF(EDATE(_xlfn.XLOOKUP(1,$H285:$BE285,$H$4:$BE$4),12*Assumptions!$G$204+12)=K$4,0,IF(J285=1,PMT(Assumptions!$G$202,Assumptions!$G$204,$C287),J298))),0)</f>
        <v>0</v>
      </c>
      <c r="L298" s="39">
        <f>+IFERROR(-ABS(IF(EDATE(_xlfn.XLOOKUP(1,$H285:$BE285,$H$4:$BE$4),12*Assumptions!$G$204+12)=L$4,0,IF(K285=1,PMT(Assumptions!$G$202,Assumptions!$G$204,$C287),K298))),0)</f>
        <v>0</v>
      </c>
      <c r="M298" s="39">
        <f>+IFERROR(-ABS(IF(EDATE(_xlfn.XLOOKUP(1,$H285:$BE285,$H$4:$BE$4),12*Assumptions!$G$204+12)=M$4,0,IF(L285=1,PMT(Assumptions!$G$202,Assumptions!$G$204,$C287),L298))),0)</f>
        <v>0</v>
      </c>
      <c r="N298" s="39">
        <f>+IFERROR(-ABS(IF(EDATE(_xlfn.XLOOKUP(1,$H285:$BE285,$H$4:$BE$4),12*Assumptions!$G$204+12)=N$4,0,IF(M285=1,PMT(Assumptions!$G$202,Assumptions!$G$204,$C287),M298))),0)</f>
        <v>0</v>
      </c>
      <c r="O298" s="39">
        <f>+IFERROR(-ABS(IF(EDATE(_xlfn.XLOOKUP(1,$H285:$BE285,$H$4:$BE$4),12*Assumptions!$G$204+12)=O$4,0,IF(N285=1,PMT(Assumptions!$G$202,Assumptions!$G$204,$C287),N298))),0)</f>
        <v>0</v>
      </c>
      <c r="P298" s="39">
        <f>+IFERROR(-ABS(IF(EDATE(_xlfn.XLOOKUP(1,$H285:$BE285,$H$4:$BE$4),12*Assumptions!$G$204+12)=P$4,0,IF(O285=1,PMT(Assumptions!$G$202,Assumptions!$G$204,$C287),O298))),0)</f>
        <v>0</v>
      </c>
      <c r="Q298" s="39">
        <f>+IFERROR(-ABS(IF(EDATE(_xlfn.XLOOKUP(1,$H285:$BE285,$H$4:$BE$4),12*Assumptions!$G$204+12)=Q$4,0,IF(P285=1,PMT(Assumptions!$G$202,Assumptions!$G$204,$C287),P298))),0)</f>
        <v>0</v>
      </c>
      <c r="R298" s="39">
        <f>+IFERROR(-ABS(IF(EDATE(_xlfn.XLOOKUP(1,$H285:$BE285,$H$4:$BE$4),12*Assumptions!$G$204+12)=R$4,0,IF(Q285=1,PMT(Assumptions!$G$202,Assumptions!$G$204,$C287),Q298))),0)</f>
        <v>0</v>
      </c>
      <c r="S298" s="39">
        <f>+IFERROR(-ABS(IF(EDATE(_xlfn.XLOOKUP(1,$H285:$BE285,$H$4:$BE$4),12*Assumptions!$G$204+12)=S$4,0,IF(R285=1,PMT(Assumptions!$G$202,Assumptions!$G$204,$C287),R298))),0)</f>
        <v>0</v>
      </c>
      <c r="T298" s="39">
        <f>+IFERROR(-ABS(IF(EDATE(_xlfn.XLOOKUP(1,$H285:$BE285,$H$4:$BE$4),12*Assumptions!$G$204+12)=T$4,0,IF(S285=1,PMT(Assumptions!$G$202,Assumptions!$G$204,$C287),S298))),0)</f>
        <v>0</v>
      </c>
      <c r="U298" s="39">
        <f>+IFERROR(-ABS(IF(EDATE(_xlfn.XLOOKUP(1,$H285:$BE285,$H$4:$BE$4),12*Assumptions!$G$204+12)=U$4,0,IF(T285=1,PMT(Assumptions!$G$202,Assumptions!$G$204,$C287),T298))),0)</f>
        <v>0</v>
      </c>
      <c r="V298" s="39">
        <f>+IFERROR(-ABS(IF(EDATE(_xlfn.XLOOKUP(1,$H285:$BE285,$H$4:$BE$4),12*Assumptions!$G$204+12)=V$4,0,IF(U285=1,PMT(Assumptions!$G$202,Assumptions!$G$204,$C287),U298))),0)</f>
        <v>0</v>
      </c>
      <c r="W298" s="39">
        <f>+IFERROR(-ABS(IF(EDATE(_xlfn.XLOOKUP(1,$H285:$BE285,$H$4:$BE$4),12*Assumptions!$G$204+12)=W$4,0,IF(V285=1,PMT(Assumptions!$G$202,Assumptions!$G$204,$C287),V298))),0)</f>
        <v>0</v>
      </c>
      <c r="X298" s="39">
        <f>+IFERROR(-ABS(IF(EDATE(_xlfn.XLOOKUP(1,$H285:$BE285,$H$4:$BE$4),12*Assumptions!$G$204+12)=X$4,0,IF(W285=1,PMT(Assumptions!$G$202,Assumptions!$G$204,$C287),W298))),0)</f>
        <v>0</v>
      </c>
      <c r="Y298" s="39">
        <f>+IFERROR(-ABS(IF(EDATE(_xlfn.XLOOKUP(1,$H285:$BE285,$H$4:$BE$4),12*Assumptions!$G$204+12)=Y$4,0,IF(X285=1,PMT(Assumptions!$G$202,Assumptions!$G$204,$C287),X298))),0)</f>
        <v>0</v>
      </c>
      <c r="Z298" s="39">
        <f>+IFERROR(-ABS(IF(EDATE(_xlfn.XLOOKUP(1,$H285:$BE285,$H$4:$BE$4),12*Assumptions!$G$204+12)=Z$4,0,IF(Y285=1,PMT(Assumptions!$G$202,Assumptions!$G$204,$C287),Y298))),0)</f>
        <v>0</v>
      </c>
      <c r="AA298" s="39">
        <f>+IFERROR(-ABS(IF(EDATE(_xlfn.XLOOKUP(1,$H285:$BE285,$H$4:$BE$4),12*Assumptions!$G$204+12)=AA$4,0,IF(Z285=1,PMT(Assumptions!$G$202,Assumptions!$G$204,$C287),Z298))),0)</f>
        <v>0</v>
      </c>
      <c r="AB298" s="39">
        <f>+IFERROR(-ABS(IF(EDATE(_xlfn.XLOOKUP(1,$H285:$BE285,$H$4:$BE$4),12*Assumptions!$G$204+12)=AB$4,0,IF(AA285=1,PMT(Assumptions!$G$202,Assumptions!$G$204,$C287),AA298))),0)</f>
        <v>0</v>
      </c>
      <c r="AC298" s="39">
        <f>+IFERROR(-ABS(IF(EDATE(_xlfn.XLOOKUP(1,$H285:$BE285,$H$4:$BE$4),12*Assumptions!$G$204+12)=AC$4,0,IF(AB285=1,PMT(Assumptions!$G$202,Assumptions!$G$204,$C287),AB298))),0)</f>
        <v>0</v>
      </c>
      <c r="AD298" s="39">
        <f>+IFERROR(-ABS(IF(EDATE(_xlfn.XLOOKUP(1,$H285:$BE285,$H$4:$BE$4),12*Assumptions!$G$204+12)=AD$4,0,IF(AC285=1,PMT(Assumptions!$G$202,Assumptions!$G$204,$C287),AC298))),0)</f>
        <v>0</v>
      </c>
      <c r="AE298" s="39">
        <f>+IFERROR(-ABS(IF(EDATE(_xlfn.XLOOKUP(1,$H285:$BE285,$H$4:$BE$4),12*Assumptions!$G$204+12)=AE$4,0,IF(AD285=1,PMT(Assumptions!$G$202,Assumptions!$G$204,$C287),AD298))),0)</f>
        <v>0</v>
      </c>
      <c r="AF298" s="39">
        <f>+IFERROR(-ABS(IF(EDATE(_xlfn.XLOOKUP(1,$H285:$BE285,$H$4:$BE$4),12*Assumptions!$G$204+12)=AF$4,0,IF(AE285=1,PMT(Assumptions!$G$202,Assumptions!$G$204,$C287),AE298))),0)</f>
        <v>0</v>
      </c>
      <c r="AG298" s="39">
        <f>+IFERROR(-ABS(IF(EDATE(_xlfn.XLOOKUP(1,$H285:$BE285,$H$4:$BE$4),12*Assumptions!$G$204+12)=AG$4,0,IF(AF285=1,PMT(Assumptions!$G$202,Assumptions!$G$204,$C287),AF298))),0)</f>
        <v>0</v>
      </c>
      <c r="AH298" s="39">
        <f>+IFERROR(-ABS(IF(EDATE(_xlfn.XLOOKUP(1,$H285:$BE285,$H$4:$BE$4),12*Assumptions!$G$204+12)=AH$4,0,IF(AG285=1,PMT(Assumptions!$G$202,Assumptions!$G$204,$C287),AG298))),0)</f>
        <v>0</v>
      </c>
      <c r="AI298" s="39">
        <f>+IFERROR(-ABS(IF(EDATE(_xlfn.XLOOKUP(1,$H285:$BE285,$H$4:$BE$4),12*Assumptions!$G$204+12)=AI$4,0,IF(AH285=1,PMT(Assumptions!$G$202,Assumptions!$G$204,$C287),AH298))),0)</f>
        <v>0</v>
      </c>
      <c r="AJ298" s="39">
        <f>+IFERROR(-ABS(IF(EDATE(_xlfn.XLOOKUP(1,$H285:$BE285,$H$4:$BE$4),12*Assumptions!$G$204+12)=AJ$4,0,IF(AI285=1,PMT(Assumptions!$G$202,Assumptions!$G$204,$C287),AI298))),0)</f>
        <v>0</v>
      </c>
      <c r="AK298" s="39">
        <f>+IFERROR(-ABS(IF(EDATE(_xlfn.XLOOKUP(1,$H285:$BE285,$H$4:$BE$4),12*Assumptions!$G$204+12)=AK$4,0,IF(AJ285=1,PMT(Assumptions!$G$202,Assumptions!$G$204,$C287),AJ298))),0)</f>
        <v>0</v>
      </c>
      <c r="AL298" s="39">
        <f>+IFERROR(-ABS(IF(EDATE(_xlfn.XLOOKUP(1,$H285:$BE285,$H$4:$BE$4),12*Assumptions!$G$204+12)=AL$4,0,IF(AK285=1,PMT(Assumptions!$G$202,Assumptions!$G$204,$C287),AK298))),0)</f>
        <v>0</v>
      </c>
      <c r="AM298" s="39">
        <f>+IFERROR(-ABS(IF(EDATE(_xlfn.XLOOKUP(1,$H285:$BE285,$H$4:$BE$4),12*Assumptions!$G$204+12)=AM$4,0,IF(AL285=1,PMT(Assumptions!$G$202,Assumptions!$G$204,$C287),AL298))),0)</f>
        <v>0</v>
      </c>
      <c r="AN298" s="39">
        <f>+IFERROR(-ABS(IF(EDATE(_xlfn.XLOOKUP(1,$H285:$BE285,$H$4:$BE$4),12*Assumptions!$G$204+12)=AN$4,0,IF(AM285=1,PMT(Assumptions!$G$202,Assumptions!$G$204,$C287),AM298))),0)</f>
        <v>0</v>
      </c>
      <c r="AO298" s="39">
        <f>+IFERROR(-ABS(IF(EDATE(_xlfn.XLOOKUP(1,$H285:$BE285,$H$4:$BE$4),12*Assumptions!$G$204+12)=AO$4,0,IF(AN285=1,PMT(Assumptions!$G$202,Assumptions!$G$204,$C287),AN298))),0)</f>
        <v>0</v>
      </c>
      <c r="AP298" s="39">
        <f>+IFERROR(-ABS(IF(EDATE(_xlfn.XLOOKUP(1,$H285:$BE285,$H$4:$BE$4),12*Assumptions!$G$204+12)=AP$4,0,IF(AO285=1,PMT(Assumptions!$G$202,Assumptions!$G$204,$C287),AO298))),0)</f>
        <v>0</v>
      </c>
      <c r="AQ298" s="39">
        <f>+IFERROR(-ABS(IF(EDATE(_xlfn.XLOOKUP(1,$H285:$BE285,$H$4:$BE$4),12*Assumptions!$G$204+12)=AQ$4,0,IF(AP285=1,PMT(Assumptions!$G$202,Assumptions!$G$204,$C287),AP298))),0)</f>
        <v>0</v>
      </c>
      <c r="AR298" s="39">
        <f>+IFERROR(-ABS(IF(EDATE(_xlfn.XLOOKUP(1,$H285:$BE285,$H$4:$BE$4),12*Assumptions!$G$204+12)=AR$4,0,IF(AQ285=1,PMT(Assumptions!$G$202,Assumptions!$G$204,$C287),AQ298))),0)</f>
        <v>0</v>
      </c>
      <c r="AS298" s="39">
        <f>+IFERROR(-ABS(IF(EDATE(_xlfn.XLOOKUP(1,$H285:$BE285,$H$4:$BE$4),12*Assumptions!$G$204+12)=AS$4,0,IF(AR285=1,PMT(Assumptions!$G$202,Assumptions!$G$204,$C287),AR298))),0)</f>
        <v>0</v>
      </c>
      <c r="AT298" s="39">
        <f>+IFERROR(-ABS(IF(EDATE(_xlfn.XLOOKUP(1,$H285:$BE285,$H$4:$BE$4),12*Assumptions!$G$204+12)=AT$4,0,IF(AS285=1,PMT(Assumptions!$G$202,Assumptions!$G$204,$C287),AS298))),0)</f>
        <v>0</v>
      </c>
      <c r="AU298" s="39">
        <f>+IFERROR(-ABS(IF(EDATE(_xlfn.XLOOKUP(1,$H285:$BE285,$H$4:$BE$4),12*Assumptions!$G$204+12)=AU$4,0,IF(AT285=1,PMT(Assumptions!$G$202,Assumptions!$G$204,$C287),AT298))),0)</f>
        <v>0</v>
      </c>
      <c r="AV298" s="39">
        <f>+IFERROR(-ABS(IF(EDATE(_xlfn.XLOOKUP(1,$H285:$BE285,$H$4:$BE$4),12*Assumptions!$G$204+12)=AV$4,0,IF(AU285=1,PMT(Assumptions!$G$202,Assumptions!$G$204,$C287),AU298))),0)</f>
        <v>0</v>
      </c>
      <c r="AW298" s="39">
        <f>+IFERROR(-ABS(IF(EDATE(_xlfn.XLOOKUP(1,$H285:$BE285,$H$4:$BE$4),12*Assumptions!$G$204+12)=AW$4,0,IF(AV285=1,PMT(Assumptions!$G$202,Assumptions!$G$204,$C287),AV298))),0)</f>
        <v>0</v>
      </c>
      <c r="AX298" s="39">
        <f>+IFERROR(-ABS(IF(EDATE(_xlfn.XLOOKUP(1,$H285:$BE285,$H$4:$BE$4),12*Assumptions!$G$204+12)=AX$4,0,IF(AW285=1,PMT(Assumptions!$G$202,Assumptions!$G$204,$C287),AW298))),0)</f>
        <v>0</v>
      </c>
      <c r="AY298" s="39">
        <f>+IFERROR(-ABS(IF(EDATE(_xlfn.XLOOKUP(1,$H285:$BE285,$H$4:$BE$4),12*Assumptions!$G$204+12)=AY$4,0,IF(AX285=1,PMT(Assumptions!$G$202,Assumptions!$G$204,$C287),AX298))),0)</f>
        <v>0</v>
      </c>
      <c r="AZ298" s="39">
        <f>+IFERROR(-ABS(IF(EDATE(_xlfn.XLOOKUP(1,$H285:$BE285,$H$4:$BE$4),12*Assumptions!$G$204+12)=AZ$4,0,IF(AY285=1,PMT(Assumptions!$G$202,Assumptions!$G$204,$C287),AY298))),0)</f>
        <v>0</v>
      </c>
      <c r="BA298" s="39">
        <f>+IFERROR(-ABS(IF(EDATE(_xlfn.XLOOKUP(1,$H285:$BE285,$H$4:$BE$4),12*Assumptions!$G$204+12)=BA$4,0,IF(AZ285=1,PMT(Assumptions!$G$202,Assumptions!$G$204,$C287),AZ298))),0)</f>
        <v>0</v>
      </c>
      <c r="BB298" s="39">
        <f>+IFERROR(-ABS(IF(EDATE(_xlfn.XLOOKUP(1,$H285:$BE285,$H$4:$BE$4),12*Assumptions!$G$204+12)=BB$4,0,IF(BA285=1,PMT(Assumptions!$G$202,Assumptions!$G$204,$C287),BA298))),0)</f>
        <v>0</v>
      </c>
      <c r="BC298" s="39">
        <f>+IFERROR(-ABS(IF(EDATE(_xlfn.XLOOKUP(1,$H285:$BE285,$H$4:$BE$4),12*Assumptions!$G$204+12)=BC$4,0,IF(BB285=1,PMT(Assumptions!$G$202,Assumptions!$G$204,$C287),BB298))),0)</f>
        <v>0</v>
      </c>
      <c r="BD298" s="39">
        <f>+IFERROR(-ABS(IF(EDATE(_xlfn.XLOOKUP(1,$H285:$BE285,$H$4:$BE$4),12*Assumptions!$G$204+12)=BD$4,0,IF(BC285=1,PMT(Assumptions!$G$202,Assumptions!$G$204,$C287),BC298))),0)</f>
        <v>0</v>
      </c>
      <c r="BE298" s="39">
        <f>+IFERROR(-ABS(IF(EDATE(_xlfn.XLOOKUP(1,$H285:$BE285,$H$4:$BE$4),12*Assumptions!$G$204+12)=BE$4,0,IF(BD285=1,PMT(Assumptions!$G$202,Assumptions!$G$204,$C287),BD298))),0)</f>
        <v>0</v>
      </c>
      <c r="BF298" s="39">
        <f>+IFERROR(-ABS(IF(EDATE(_xlfn.XLOOKUP(1,$H285:$BE285,$H$4:$BE$4),12*Assumptions!$G$204+12)=BF$4,0,IF(BE285=1,PMT(Assumptions!$G$202,Assumptions!$G$204,$C287),BE298))),0)</f>
        <v>0</v>
      </c>
      <c r="BG298" s="39">
        <f>+IFERROR(-ABS(IF(EDATE(_xlfn.XLOOKUP(1,$H285:$BE285,$H$4:$BE$4),12*Assumptions!$G$204+12)=BG$4,0,IF(BF285=1,PMT(Assumptions!$G$202,Assumptions!$G$204,$C287),BF298))),0)</f>
        <v>0</v>
      </c>
      <c r="BH298" s="39">
        <f>+IFERROR(-ABS(IF(EDATE(_xlfn.XLOOKUP(1,$H285:$BE285,$H$4:$BE$4),12*Assumptions!$G$204+12)=BH$4,0,IF(BG285=1,PMT(Assumptions!$G$202,Assumptions!$G$204,$C287),BG298))),0)</f>
        <v>0</v>
      </c>
      <c r="BI298" s="39">
        <f>+IFERROR(-ABS(IF(EDATE(_xlfn.XLOOKUP(1,$H285:$BE285,$H$4:$BE$4),12*Assumptions!$G$204+12)=BI$4,0,IF(BH285=1,PMT(Assumptions!$G$202,Assumptions!$G$204,$C287),BH298))),0)</f>
        <v>0</v>
      </c>
      <c r="BJ298" s="39">
        <f>+IFERROR(-ABS(IF(EDATE(_xlfn.XLOOKUP(1,$H285:$BE285,$H$4:$BE$4),12*Assumptions!$G$204+12)=BJ$4,0,IF(BI285=1,PMT(Assumptions!$G$202,Assumptions!$G$204,$C287),BI298))),0)</f>
        <v>0</v>
      </c>
      <c r="BK298" s="39">
        <f>+IFERROR(-ABS(IF(EDATE(_xlfn.XLOOKUP(1,$H285:$BE285,$H$4:$BE$4),12*Assumptions!$G$204+12)=BK$4,0,IF(BJ285=1,PMT(Assumptions!$G$202,Assumptions!$G$204,$C287),BJ298))),0)</f>
        <v>0</v>
      </c>
      <c r="BL298" s="39">
        <f>+IFERROR(-ABS(IF(EDATE(_xlfn.XLOOKUP(1,$H285:$BE285,$H$4:$BE$4),12*Assumptions!$G$204+12)=BL$4,0,IF(BK285=1,PMT(Assumptions!$G$202,Assumptions!$G$204,$C287),BK298))),0)</f>
        <v>0</v>
      </c>
      <c r="BM298" s="39">
        <f>+IFERROR(-ABS(IF(EDATE(_xlfn.XLOOKUP(1,$H285:$BE285,$H$4:$BE$4),12*Assumptions!$G$204+12)=BM$4,0,IF(BL285=1,PMT(Assumptions!$G$202,Assumptions!$G$204,$C287),BL298))),0)</f>
        <v>0</v>
      </c>
      <c r="BN298" s="39">
        <f>+IFERROR(-ABS(IF(EDATE(_xlfn.XLOOKUP(1,$H285:$BE285,$H$4:$BE$4),12*Assumptions!$G$204+12)=BN$4,0,IF(BM285=1,PMT(Assumptions!$G$202,Assumptions!$G$204,$C287),BM298))),0)</f>
        <v>0</v>
      </c>
      <c r="BO298" s="39">
        <f>+IFERROR(-ABS(IF(EDATE(_xlfn.XLOOKUP(1,$H285:$BE285,$H$4:$BE$4),12*Assumptions!$G$204+12)=BO$4,0,IF(BN285=1,PMT(Assumptions!$G$202,Assumptions!$G$204,$C287),BN298))),0)</f>
        <v>0</v>
      </c>
      <c r="BP298" s="39">
        <f>+IFERROR(-ABS(IF(EDATE(_xlfn.XLOOKUP(1,$H285:$BE285,$H$4:$BE$4),12*Assumptions!$G$204+12)=BP$4,0,IF(BO285=1,PMT(Assumptions!$G$202,Assumptions!$G$204,$C287),BO298))),0)</f>
        <v>0</v>
      </c>
      <c r="BQ298" s="39">
        <f>+IFERROR(-ABS(IF(EDATE(_xlfn.XLOOKUP(1,$H285:$BE285,$H$4:$BE$4),12*Assumptions!$G$204+12)=BQ$4,0,IF(BP285=1,PMT(Assumptions!$G$202,Assumptions!$G$204,$C287),BP298))),0)</f>
        <v>0</v>
      </c>
      <c r="BR298" s="39">
        <f>+IFERROR(-ABS(IF(EDATE(_xlfn.XLOOKUP(1,$H285:$BE285,$H$4:$BE$4),12*Assumptions!$G$204+12)=BR$4,0,IF(BQ285=1,PMT(Assumptions!$G$202,Assumptions!$G$204,$C287),BQ298))),0)</f>
        <v>0</v>
      </c>
      <c r="BS298" s="39">
        <f>+IFERROR(-ABS(IF(EDATE(_xlfn.XLOOKUP(1,$H285:$BE285,$H$4:$BE$4),12*Assumptions!$G$204+12)=BS$4,0,IF(BR285=1,PMT(Assumptions!$G$202,Assumptions!$G$204,$C287),BR298))),0)</f>
        <v>0</v>
      </c>
      <c r="BT298" s="39">
        <f>+IFERROR(-ABS(IF(EDATE(_xlfn.XLOOKUP(1,$H285:$BE285,$H$4:$BE$4),12*Assumptions!$G$204+12)=BT$4,0,IF(BS285=1,PMT(Assumptions!$G$202,Assumptions!$G$204,$C287),BS298))),0)</f>
        <v>0</v>
      </c>
      <c r="BU298" s="39">
        <f>+IFERROR(-ABS(IF(EDATE(_xlfn.XLOOKUP(1,$H285:$BE285,$H$4:$BE$4),12*Assumptions!$G$204+12)=BU$4,0,IF(BT285=1,PMT(Assumptions!$G$202,Assumptions!$G$204,$C287),BT298))),0)</f>
        <v>0</v>
      </c>
      <c r="BV298" s="39">
        <f>+IFERROR(-ABS(IF(EDATE(_xlfn.XLOOKUP(1,$H285:$BE285,$H$4:$BE$4),12*Assumptions!$G$204+12)=BV$4,0,IF(BU285=1,PMT(Assumptions!$G$202,Assumptions!$G$204,$C287),BU298))),0)</f>
        <v>0</v>
      </c>
      <c r="BW298" s="39">
        <f>+IFERROR(-ABS(IF(EDATE(_xlfn.XLOOKUP(1,$H285:$BE285,$H$4:$BE$4),12*Assumptions!$G$204+12)=BW$4,0,IF(BV285=1,PMT(Assumptions!$G$202,Assumptions!$G$204,$C287),BV298))),0)</f>
        <v>0</v>
      </c>
      <c r="BX298" s="39">
        <f>+IFERROR(-ABS(IF(EDATE(_xlfn.XLOOKUP(1,$H285:$BE285,$H$4:$BE$4),12*Assumptions!$G$204+12)=BX$4,0,IF(BW285=1,PMT(Assumptions!$G$202,Assumptions!$G$204,$C287),BW298))),0)</f>
        <v>0</v>
      </c>
      <c r="BY298" s="39">
        <f>+IFERROR(-ABS(IF(EDATE(_xlfn.XLOOKUP(1,$H285:$BE285,$H$4:$BE$4),12*Assumptions!$G$204+12)=BY$4,0,IF(BX285=1,PMT(Assumptions!$G$202,Assumptions!$G$204,$C287),BX298))),0)</f>
        <v>0</v>
      </c>
    </row>
    <row r="299" spans="5:77" outlineLevel="1">
      <c r="E299" s="24" t="s">
        <v>521</v>
      </c>
      <c r="F299" s="80" t="str">
        <f>+Assumptions!$G$8</f>
        <v>USD</v>
      </c>
      <c r="G299" s="24"/>
      <c r="H299" s="39">
        <f>+IFERROR(-ABS(IF(EDATE(_xlfn.XLOOKUP(1,$H286:$BE286,$H$4:$BE$4),12*Assumptions!$G$204+12)=H$4,0,IF(G286=1,PMT(Assumptions!$G$202,Assumptions!$G$204,$C288),G299))),0)</f>
        <v>0</v>
      </c>
      <c r="I299" s="39">
        <f>+IFERROR(-ABS(IF(EDATE(_xlfn.XLOOKUP(1,$H286:$BE286,$H$4:$BE$4),12*Assumptions!$G$204+12)=I$4,0,IF(H286=1,PMT(Assumptions!$G$202,Assumptions!$G$204,$C288),H299))),0)</f>
        <v>0</v>
      </c>
      <c r="J299" s="39">
        <f>+IFERROR(-ABS(IF(EDATE(_xlfn.XLOOKUP(1,$H286:$BE286,$H$4:$BE$4),12*Assumptions!$G$204+12)=J$4,0,IF(I286=1,PMT(Assumptions!$G$202,Assumptions!$G$204,$C288),I299))),0)</f>
        <v>0</v>
      </c>
      <c r="K299" s="39">
        <f>+IFERROR(-ABS(IF(EDATE(_xlfn.XLOOKUP(1,$H286:$BE286,$H$4:$BE$4),12*Assumptions!$G$204+12)=K$4,0,IF(J286=1,PMT(Assumptions!$G$202,Assumptions!$G$204,$C288),J299))),0)</f>
        <v>0</v>
      </c>
      <c r="L299" s="39">
        <f>+IFERROR(-ABS(IF(EDATE(_xlfn.XLOOKUP(1,$H286:$BE286,$H$4:$BE$4),12*Assumptions!$G$204+12)=L$4,0,IF(K286=1,PMT(Assumptions!$G$202,Assumptions!$G$204,$C288),K299))),0)</f>
        <v>0</v>
      </c>
      <c r="M299" s="39">
        <f>+IFERROR(-ABS(IF(EDATE(_xlfn.XLOOKUP(1,$H286:$BE286,$H$4:$BE$4),12*Assumptions!$G$204+12)=M$4,0,IF(L286=1,PMT(Assumptions!$G$202,Assumptions!$G$204,$C288),L299))),0)</f>
        <v>0</v>
      </c>
      <c r="N299" s="39">
        <f>+IFERROR(-ABS(IF(EDATE(_xlfn.XLOOKUP(1,$H286:$BE286,$H$4:$BE$4),12*Assumptions!$G$204+12)=N$4,0,IF(M286=1,PMT(Assumptions!$G$202,Assumptions!$G$204,$C288),M299))),0)</f>
        <v>0</v>
      </c>
      <c r="O299" s="39">
        <f>+IFERROR(-ABS(IF(EDATE(_xlfn.XLOOKUP(1,$H286:$BE286,$H$4:$BE$4),12*Assumptions!$G$204+12)=O$4,0,IF(N286=1,PMT(Assumptions!$G$202,Assumptions!$G$204,$C288),N299))),0)</f>
        <v>0</v>
      </c>
      <c r="P299" s="39">
        <f>+IFERROR(-ABS(IF(EDATE(_xlfn.XLOOKUP(1,$H286:$BE286,$H$4:$BE$4),12*Assumptions!$G$204+12)=P$4,0,IF(O286=1,PMT(Assumptions!$G$202,Assumptions!$G$204,$C288),O299))),0)</f>
        <v>0</v>
      </c>
      <c r="Q299" s="39">
        <f>+IFERROR(-ABS(IF(EDATE(_xlfn.XLOOKUP(1,$H286:$BE286,$H$4:$BE$4),12*Assumptions!$G$204+12)=Q$4,0,IF(P286=1,PMT(Assumptions!$G$202,Assumptions!$G$204,$C288),P299))),0)</f>
        <v>0</v>
      </c>
      <c r="R299" s="39">
        <f>+IFERROR(-ABS(IF(EDATE(_xlfn.XLOOKUP(1,$H286:$BE286,$H$4:$BE$4),12*Assumptions!$G$204+12)=R$4,0,IF(Q286=1,PMT(Assumptions!$G$202,Assumptions!$G$204,$C288),Q299))),0)</f>
        <v>0</v>
      </c>
      <c r="S299" s="39">
        <f>+IFERROR(-ABS(IF(EDATE(_xlfn.XLOOKUP(1,$H286:$BE286,$H$4:$BE$4),12*Assumptions!$G$204+12)=S$4,0,IF(R286=1,PMT(Assumptions!$G$202,Assumptions!$G$204,$C288),R299))),0)</f>
        <v>0</v>
      </c>
      <c r="T299" s="39">
        <f>+IFERROR(-ABS(IF(EDATE(_xlfn.XLOOKUP(1,$H286:$BE286,$H$4:$BE$4),12*Assumptions!$G$204+12)=T$4,0,IF(S286=1,PMT(Assumptions!$G$202,Assumptions!$G$204,$C288),S299))),0)</f>
        <v>0</v>
      </c>
      <c r="U299" s="39">
        <f>+IFERROR(-ABS(IF(EDATE(_xlfn.XLOOKUP(1,$H286:$BE286,$H$4:$BE$4),12*Assumptions!$G$204+12)=U$4,0,IF(T286=1,PMT(Assumptions!$G$202,Assumptions!$G$204,$C288),T299))),0)</f>
        <v>0</v>
      </c>
      <c r="V299" s="39">
        <f>+IFERROR(-ABS(IF(EDATE(_xlfn.XLOOKUP(1,$H286:$BE286,$H$4:$BE$4),12*Assumptions!$G$204+12)=V$4,0,IF(U286=1,PMT(Assumptions!$G$202,Assumptions!$G$204,$C288),U299))),0)</f>
        <v>0</v>
      </c>
      <c r="W299" s="39">
        <f>+IFERROR(-ABS(IF(EDATE(_xlfn.XLOOKUP(1,$H286:$BE286,$H$4:$BE$4),12*Assumptions!$G$204+12)=W$4,0,IF(V286=1,PMT(Assumptions!$G$202,Assumptions!$G$204,$C288),V299))),0)</f>
        <v>0</v>
      </c>
      <c r="X299" s="39">
        <f>+IFERROR(-ABS(IF(EDATE(_xlfn.XLOOKUP(1,$H286:$BE286,$H$4:$BE$4),12*Assumptions!$G$204+12)=X$4,0,IF(W286=1,PMT(Assumptions!$G$202,Assumptions!$G$204,$C288),W299))),0)</f>
        <v>0</v>
      </c>
      <c r="Y299" s="39">
        <f>+IFERROR(-ABS(IF(EDATE(_xlfn.XLOOKUP(1,$H286:$BE286,$H$4:$BE$4),12*Assumptions!$G$204+12)=Y$4,0,IF(X286=1,PMT(Assumptions!$G$202,Assumptions!$G$204,$C288),X299))),0)</f>
        <v>0</v>
      </c>
      <c r="Z299" s="39">
        <f>+IFERROR(-ABS(IF(EDATE(_xlfn.XLOOKUP(1,$H286:$BE286,$H$4:$BE$4),12*Assumptions!$G$204+12)=Z$4,0,IF(Y286=1,PMT(Assumptions!$G$202,Assumptions!$G$204,$C288),Y299))),0)</f>
        <v>0</v>
      </c>
      <c r="AA299" s="39">
        <f>+IFERROR(-ABS(IF(EDATE(_xlfn.XLOOKUP(1,$H286:$BE286,$H$4:$BE$4),12*Assumptions!$G$204+12)=AA$4,0,IF(Z286=1,PMT(Assumptions!$G$202,Assumptions!$G$204,$C288),Z299))),0)</f>
        <v>0</v>
      </c>
      <c r="AB299" s="39">
        <f>+IFERROR(-ABS(IF(EDATE(_xlfn.XLOOKUP(1,$H286:$BE286,$H$4:$BE$4),12*Assumptions!$G$204+12)=AB$4,0,IF(AA286=1,PMT(Assumptions!$G$202,Assumptions!$G$204,$C288),AA299))),0)</f>
        <v>0</v>
      </c>
      <c r="AC299" s="39">
        <f>+IFERROR(-ABS(IF(EDATE(_xlfn.XLOOKUP(1,$H286:$BE286,$H$4:$BE$4),12*Assumptions!$G$204+12)=AC$4,0,IF(AB286=1,PMT(Assumptions!$G$202,Assumptions!$G$204,$C288),AB299))),0)</f>
        <v>0</v>
      </c>
      <c r="AD299" s="39">
        <f>+IFERROR(-ABS(IF(EDATE(_xlfn.XLOOKUP(1,$H286:$BE286,$H$4:$BE$4),12*Assumptions!$G$204+12)=AD$4,0,IF(AC286=1,PMT(Assumptions!$G$202,Assumptions!$G$204,$C288),AC299))),0)</f>
        <v>0</v>
      </c>
      <c r="AE299" s="39">
        <f>+IFERROR(-ABS(IF(EDATE(_xlfn.XLOOKUP(1,$H286:$BE286,$H$4:$BE$4),12*Assumptions!$G$204+12)=AE$4,0,IF(AD286=1,PMT(Assumptions!$G$202,Assumptions!$G$204,$C288),AD299))),0)</f>
        <v>0</v>
      </c>
      <c r="AF299" s="39">
        <f>+IFERROR(-ABS(IF(EDATE(_xlfn.XLOOKUP(1,$H286:$BE286,$H$4:$BE$4),12*Assumptions!$G$204+12)=AF$4,0,IF(AE286=1,PMT(Assumptions!$G$202,Assumptions!$G$204,$C288),AE299))),0)</f>
        <v>0</v>
      </c>
      <c r="AG299" s="39">
        <f>+IFERROR(-ABS(IF(EDATE(_xlfn.XLOOKUP(1,$H286:$BE286,$H$4:$BE$4),12*Assumptions!$G$204+12)=AG$4,0,IF(AF286=1,PMT(Assumptions!$G$202,Assumptions!$G$204,$C288),AF299))),0)</f>
        <v>0</v>
      </c>
      <c r="AH299" s="39">
        <f>+IFERROR(-ABS(IF(EDATE(_xlfn.XLOOKUP(1,$H286:$BE286,$H$4:$BE$4),12*Assumptions!$G$204+12)=AH$4,0,IF(AG286=1,PMT(Assumptions!$G$202,Assumptions!$G$204,$C288),AG299))),0)</f>
        <v>0</v>
      </c>
      <c r="AI299" s="39">
        <f>+IFERROR(-ABS(IF(EDATE(_xlfn.XLOOKUP(1,$H286:$BE286,$H$4:$BE$4),12*Assumptions!$G$204+12)=AI$4,0,IF(AH286=1,PMT(Assumptions!$G$202,Assumptions!$G$204,$C288),AH299))),0)</f>
        <v>0</v>
      </c>
      <c r="AJ299" s="39">
        <f>+IFERROR(-ABS(IF(EDATE(_xlfn.XLOOKUP(1,$H286:$BE286,$H$4:$BE$4),12*Assumptions!$G$204+12)=AJ$4,0,IF(AI286=1,PMT(Assumptions!$G$202,Assumptions!$G$204,$C288),AI299))),0)</f>
        <v>0</v>
      </c>
      <c r="AK299" s="39">
        <f>+IFERROR(-ABS(IF(EDATE(_xlfn.XLOOKUP(1,$H286:$BE286,$H$4:$BE$4),12*Assumptions!$G$204+12)=AK$4,0,IF(AJ286=1,PMT(Assumptions!$G$202,Assumptions!$G$204,$C288),AJ299))),0)</f>
        <v>0</v>
      </c>
      <c r="AL299" s="39">
        <f>+IFERROR(-ABS(IF(EDATE(_xlfn.XLOOKUP(1,$H286:$BE286,$H$4:$BE$4),12*Assumptions!$G$204+12)=AL$4,0,IF(AK286=1,PMT(Assumptions!$G$202,Assumptions!$G$204,$C288),AK299))),0)</f>
        <v>0</v>
      </c>
      <c r="AM299" s="39">
        <f>+IFERROR(-ABS(IF(EDATE(_xlfn.XLOOKUP(1,$H286:$BE286,$H$4:$BE$4),12*Assumptions!$G$204+12)=AM$4,0,IF(AL286=1,PMT(Assumptions!$G$202,Assumptions!$G$204,$C288),AL299))),0)</f>
        <v>0</v>
      </c>
      <c r="AN299" s="39">
        <f>+IFERROR(-ABS(IF(EDATE(_xlfn.XLOOKUP(1,$H286:$BE286,$H$4:$BE$4),12*Assumptions!$G$204+12)=AN$4,0,IF(AM286=1,PMT(Assumptions!$G$202,Assumptions!$G$204,$C288),AM299))),0)</f>
        <v>0</v>
      </c>
      <c r="AO299" s="39">
        <f>+IFERROR(-ABS(IF(EDATE(_xlfn.XLOOKUP(1,$H286:$BE286,$H$4:$BE$4),12*Assumptions!$G$204+12)=AO$4,0,IF(AN286=1,PMT(Assumptions!$G$202,Assumptions!$G$204,$C288),AN299))),0)</f>
        <v>0</v>
      </c>
      <c r="AP299" s="39">
        <f>+IFERROR(-ABS(IF(EDATE(_xlfn.XLOOKUP(1,$H286:$BE286,$H$4:$BE$4),12*Assumptions!$G$204+12)=AP$4,0,IF(AO286=1,PMT(Assumptions!$G$202,Assumptions!$G$204,$C288),AO299))),0)</f>
        <v>0</v>
      </c>
      <c r="AQ299" s="39">
        <f>+IFERROR(-ABS(IF(EDATE(_xlfn.XLOOKUP(1,$H286:$BE286,$H$4:$BE$4),12*Assumptions!$G$204+12)=AQ$4,0,IF(AP286=1,PMT(Assumptions!$G$202,Assumptions!$G$204,$C288),AP299))),0)</f>
        <v>0</v>
      </c>
      <c r="AR299" s="39">
        <f>+IFERROR(-ABS(IF(EDATE(_xlfn.XLOOKUP(1,$H286:$BE286,$H$4:$BE$4),12*Assumptions!$G$204+12)=AR$4,0,IF(AQ286=1,PMT(Assumptions!$G$202,Assumptions!$G$204,$C288),AQ299))),0)</f>
        <v>0</v>
      </c>
      <c r="AS299" s="39">
        <f>+IFERROR(-ABS(IF(EDATE(_xlfn.XLOOKUP(1,$H286:$BE286,$H$4:$BE$4),12*Assumptions!$G$204+12)=AS$4,0,IF(AR286=1,PMT(Assumptions!$G$202,Assumptions!$G$204,$C288),AR299))),0)</f>
        <v>0</v>
      </c>
      <c r="AT299" s="39">
        <f>+IFERROR(-ABS(IF(EDATE(_xlfn.XLOOKUP(1,$H286:$BE286,$H$4:$BE$4),12*Assumptions!$G$204+12)=AT$4,0,IF(AS286=1,PMT(Assumptions!$G$202,Assumptions!$G$204,$C288),AS299))),0)</f>
        <v>0</v>
      </c>
      <c r="AU299" s="39">
        <f>+IFERROR(-ABS(IF(EDATE(_xlfn.XLOOKUP(1,$H286:$BE286,$H$4:$BE$4),12*Assumptions!$G$204+12)=AU$4,0,IF(AT286=1,PMT(Assumptions!$G$202,Assumptions!$G$204,$C288),AT299))),0)</f>
        <v>0</v>
      </c>
      <c r="AV299" s="39">
        <f>+IFERROR(-ABS(IF(EDATE(_xlfn.XLOOKUP(1,$H286:$BE286,$H$4:$BE$4),12*Assumptions!$G$204+12)=AV$4,0,IF(AU286=1,PMT(Assumptions!$G$202,Assumptions!$G$204,$C288),AU299))),0)</f>
        <v>0</v>
      </c>
      <c r="AW299" s="39">
        <f>+IFERROR(-ABS(IF(EDATE(_xlfn.XLOOKUP(1,$H286:$BE286,$H$4:$BE$4),12*Assumptions!$G$204+12)=AW$4,0,IF(AV286=1,PMT(Assumptions!$G$202,Assumptions!$G$204,$C288),AV299))),0)</f>
        <v>0</v>
      </c>
      <c r="AX299" s="39">
        <f>+IFERROR(-ABS(IF(EDATE(_xlfn.XLOOKUP(1,$H286:$BE286,$H$4:$BE$4),12*Assumptions!$G$204+12)=AX$4,0,IF(AW286=1,PMT(Assumptions!$G$202,Assumptions!$G$204,$C288),AW299))),0)</f>
        <v>0</v>
      </c>
      <c r="AY299" s="39">
        <f>+IFERROR(-ABS(IF(EDATE(_xlfn.XLOOKUP(1,$H286:$BE286,$H$4:$BE$4),12*Assumptions!$G$204+12)=AY$4,0,IF(AX286=1,PMT(Assumptions!$G$202,Assumptions!$G$204,$C288),AX299))),0)</f>
        <v>0</v>
      </c>
      <c r="AZ299" s="39">
        <f>+IFERROR(-ABS(IF(EDATE(_xlfn.XLOOKUP(1,$H286:$BE286,$H$4:$BE$4),12*Assumptions!$G$204+12)=AZ$4,0,IF(AY286=1,PMT(Assumptions!$G$202,Assumptions!$G$204,$C288),AY299))),0)</f>
        <v>0</v>
      </c>
      <c r="BA299" s="39">
        <f>+IFERROR(-ABS(IF(EDATE(_xlfn.XLOOKUP(1,$H286:$BE286,$H$4:$BE$4),12*Assumptions!$G$204+12)=BA$4,0,IF(AZ286=1,PMT(Assumptions!$G$202,Assumptions!$G$204,$C288),AZ299))),0)</f>
        <v>0</v>
      </c>
      <c r="BB299" s="39">
        <f>+IFERROR(-ABS(IF(EDATE(_xlfn.XLOOKUP(1,$H286:$BE286,$H$4:$BE$4),12*Assumptions!$G$204+12)=BB$4,0,IF(BA286=1,PMT(Assumptions!$G$202,Assumptions!$G$204,$C288),BA299))),0)</f>
        <v>0</v>
      </c>
      <c r="BC299" s="39">
        <f>+IFERROR(-ABS(IF(EDATE(_xlfn.XLOOKUP(1,$H286:$BE286,$H$4:$BE$4),12*Assumptions!$G$204+12)=BC$4,0,IF(BB286=1,PMT(Assumptions!$G$202,Assumptions!$G$204,$C288),BB299))),0)</f>
        <v>0</v>
      </c>
      <c r="BD299" s="39">
        <f>+IFERROR(-ABS(IF(EDATE(_xlfn.XLOOKUP(1,$H286:$BE286,$H$4:$BE$4),12*Assumptions!$G$204+12)=BD$4,0,IF(BC286=1,PMT(Assumptions!$G$202,Assumptions!$G$204,$C288),BC299))),0)</f>
        <v>0</v>
      </c>
      <c r="BE299" s="39">
        <f>+IFERROR(-ABS(IF(EDATE(_xlfn.XLOOKUP(1,$H286:$BE286,$H$4:$BE$4),12*Assumptions!$G$204+12)=BE$4,0,IF(BD286=1,PMT(Assumptions!$G$202,Assumptions!$G$204,$C288),BD299))),0)</f>
        <v>0</v>
      </c>
      <c r="BF299" s="39">
        <f>+IFERROR(-ABS(IF(EDATE(_xlfn.XLOOKUP(1,$H286:$BE286,$H$4:$BE$4),12*Assumptions!$G$204+12)=BF$4,0,IF(BE286=1,PMT(Assumptions!$G$202,Assumptions!$G$204,$C288),BE299))),0)</f>
        <v>0</v>
      </c>
      <c r="BG299" s="39">
        <f>+IFERROR(-ABS(IF(EDATE(_xlfn.XLOOKUP(1,$H286:$BE286,$H$4:$BE$4),12*Assumptions!$G$204+12)=BG$4,0,IF(BF286=1,PMT(Assumptions!$G$202,Assumptions!$G$204,$C288),BF299))),0)</f>
        <v>0</v>
      </c>
      <c r="BH299" s="39">
        <f>+IFERROR(-ABS(IF(EDATE(_xlfn.XLOOKUP(1,$H286:$BE286,$H$4:$BE$4),12*Assumptions!$G$204+12)=BH$4,0,IF(BG286=1,PMT(Assumptions!$G$202,Assumptions!$G$204,$C288),BG299))),0)</f>
        <v>0</v>
      </c>
      <c r="BI299" s="39">
        <f>+IFERROR(-ABS(IF(EDATE(_xlfn.XLOOKUP(1,$H286:$BE286,$H$4:$BE$4),12*Assumptions!$G$204+12)=BI$4,0,IF(BH286=1,PMT(Assumptions!$G$202,Assumptions!$G$204,$C288),BH299))),0)</f>
        <v>0</v>
      </c>
      <c r="BJ299" s="39">
        <f>+IFERROR(-ABS(IF(EDATE(_xlfn.XLOOKUP(1,$H286:$BE286,$H$4:$BE$4),12*Assumptions!$G$204+12)=BJ$4,0,IF(BI286=1,PMT(Assumptions!$G$202,Assumptions!$G$204,$C288),BI299))),0)</f>
        <v>0</v>
      </c>
      <c r="BK299" s="39">
        <f>+IFERROR(-ABS(IF(EDATE(_xlfn.XLOOKUP(1,$H286:$BE286,$H$4:$BE$4),12*Assumptions!$G$204+12)=BK$4,0,IF(BJ286=1,PMT(Assumptions!$G$202,Assumptions!$G$204,$C288),BJ299))),0)</f>
        <v>0</v>
      </c>
      <c r="BL299" s="39">
        <f>+IFERROR(-ABS(IF(EDATE(_xlfn.XLOOKUP(1,$H286:$BE286,$H$4:$BE$4),12*Assumptions!$G$204+12)=BL$4,0,IF(BK286=1,PMT(Assumptions!$G$202,Assumptions!$G$204,$C288),BK299))),0)</f>
        <v>0</v>
      </c>
      <c r="BM299" s="39">
        <f>+IFERROR(-ABS(IF(EDATE(_xlfn.XLOOKUP(1,$H286:$BE286,$H$4:$BE$4),12*Assumptions!$G$204+12)=BM$4,0,IF(BL286=1,PMT(Assumptions!$G$202,Assumptions!$G$204,$C288),BL299))),0)</f>
        <v>0</v>
      </c>
      <c r="BN299" s="39">
        <f>+IFERROR(-ABS(IF(EDATE(_xlfn.XLOOKUP(1,$H286:$BE286,$H$4:$BE$4),12*Assumptions!$G$204+12)=BN$4,0,IF(BM286=1,PMT(Assumptions!$G$202,Assumptions!$G$204,$C288),BM299))),0)</f>
        <v>0</v>
      </c>
      <c r="BO299" s="39">
        <f>+IFERROR(-ABS(IF(EDATE(_xlfn.XLOOKUP(1,$H286:$BE286,$H$4:$BE$4),12*Assumptions!$G$204+12)=BO$4,0,IF(BN286=1,PMT(Assumptions!$G$202,Assumptions!$G$204,$C288),BN299))),0)</f>
        <v>0</v>
      </c>
      <c r="BP299" s="39">
        <f>+IFERROR(-ABS(IF(EDATE(_xlfn.XLOOKUP(1,$H286:$BE286,$H$4:$BE$4),12*Assumptions!$G$204+12)=BP$4,0,IF(BO286=1,PMT(Assumptions!$G$202,Assumptions!$G$204,$C288),BO299))),0)</f>
        <v>0</v>
      </c>
      <c r="BQ299" s="39">
        <f>+IFERROR(-ABS(IF(EDATE(_xlfn.XLOOKUP(1,$H286:$BE286,$H$4:$BE$4),12*Assumptions!$G$204+12)=BQ$4,0,IF(BP286=1,PMT(Assumptions!$G$202,Assumptions!$G$204,$C288),BP299))),0)</f>
        <v>0</v>
      </c>
      <c r="BR299" s="39">
        <f>+IFERROR(-ABS(IF(EDATE(_xlfn.XLOOKUP(1,$H286:$BE286,$H$4:$BE$4),12*Assumptions!$G$204+12)=BR$4,0,IF(BQ286=1,PMT(Assumptions!$G$202,Assumptions!$G$204,$C288),BQ299))),0)</f>
        <v>0</v>
      </c>
      <c r="BS299" s="39">
        <f>+IFERROR(-ABS(IF(EDATE(_xlfn.XLOOKUP(1,$H286:$BE286,$H$4:$BE$4),12*Assumptions!$G$204+12)=BS$4,0,IF(BR286=1,PMT(Assumptions!$G$202,Assumptions!$G$204,$C288),BR299))),0)</f>
        <v>0</v>
      </c>
      <c r="BT299" s="39">
        <f>+IFERROR(-ABS(IF(EDATE(_xlfn.XLOOKUP(1,$H286:$BE286,$H$4:$BE$4),12*Assumptions!$G$204+12)=BT$4,0,IF(BS286=1,PMT(Assumptions!$G$202,Assumptions!$G$204,$C288),BS299))),0)</f>
        <v>0</v>
      </c>
      <c r="BU299" s="39">
        <f>+IFERROR(-ABS(IF(EDATE(_xlfn.XLOOKUP(1,$H286:$BE286,$H$4:$BE$4),12*Assumptions!$G$204+12)=BU$4,0,IF(BT286=1,PMT(Assumptions!$G$202,Assumptions!$G$204,$C288),BT299))),0)</f>
        <v>0</v>
      </c>
      <c r="BV299" s="39">
        <f>+IFERROR(-ABS(IF(EDATE(_xlfn.XLOOKUP(1,$H286:$BE286,$H$4:$BE$4),12*Assumptions!$G$204+12)=BV$4,0,IF(BU286=1,PMT(Assumptions!$G$202,Assumptions!$G$204,$C288),BU299))),0)</f>
        <v>0</v>
      </c>
      <c r="BW299" s="39">
        <f>+IFERROR(-ABS(IF(EDATE(_xlfn.XLOOKUP(1,$H286:$BE286,$H$4:$BE$4),12*Assumptions!$G$204+12)=BW$4,0,IF(BV286=1,PMT(Assumptions!$G$202,Assumptions!$G$204,$C288),BV299))),0)</f>
        <v>0</v>
      </c>
      <c r="BX299" s="39">
        <f>+IFERROR(-ABS(IF(EDATE(_xlfn.XLOOKUP(1,$H286:$BE286,$H$4:$BE$4),12*Assumptions!$G$204+12)=BX$4,0,IF(BW286=1,PMT(Assumptions!$G$202,Assumptions!$G$204,$C288),BW299))),0)</f>
        <v>0</v>
      </c>
      <c r="BY299" s="39">
        <f>+IFERROR(-ABS(IF(EDATE(_xlfn.XLOOKUP(1,$H286:$BE286,$H$4:$BE$4),12*Assumptions!$G$204+12)=BY$4,0,IF(BX286=1,PMT(Assumptions!$G$202,Assumptions!$G$204,$C288),BX299))),0)</f>
        <v>0</v>
      </c>
    </row>
    <row r="300" spans="5:77" outlineLevel="1">
      <c r="E300" s="24" t="s">
        <v>522</v>
      </c>
      <c r="F300" s="80" t="str">
        <f>+Assumptions!$G$8</f>
        <v>USD</v>
      </c>
      <c r="G300" s="24"/>
      <c r="H300" s="39">
        <f>+IFERROR(-ABS(IF(EDATE(_xlfn.XLOOKUP(1,$H287:$BE287,$H$4:$BE$4),12*Assumptions!$G$204+12)=H$4,0,IF(G287=1,PMT(Assumptions!$G$202,Assumptions!$G$204,$C289),G300))),0)</f>
        <v>0</v>
      </c>
      <c r="I300" s="39">
        <f>+IFERROR(-ABS(IF(EDATE(_xlfn.XLOOKUP(1,$H287:$BE287,$H$4:$BE$4),12*Assumptions!$G$204+12)=I$4,0,IF(H287=1,PMT(Assumptions!$G$202,Assumptions!$G$204,$C289),H300))),0)</f>
        <v>0</v>
      </c>
      <c r="J300" s="39">
        <f>+IFERROR(-ABS(IF(EDATE(_xlfn.XLOOKUP(1,$H287:$BE287,$H$4:$BE$4),12*Assumptions!$G$204+12)=J$4,0,IF(I287=1,PMT(Assumptions!$G$202,Assumptions!$G$204,$C289),I300))),0)</f>
        <v>0</v>
      </c>
      <c r="K300" s="39">
        <f>+IFERROR(-ABS(IF(EDATE(_xlfn.XLOOKUP(1,$H287:$BE287,$H$4:$BE$4),12*Assumptions!$G$204+12)=K$4,0,IF(J287=1,PMT(Assumptions!$G$202,Assumptions!$G$204,$C289),J300))),0)</f>
        <v>0</v>
      </c>
      <c r="L300" s="39">
        <f>+IFERROR(-ABS(IF(EDATE(_xlfn.XLOOKUP(1,$H287:$BE287,$H$4:$BE$4),12*Assumptions!$G$204+12)=L$4,0,IF(K287=1,PMT(Assumptions!$G$202,Assumptions!$G$204,$C289),K300))),0)</f>
        <v>0</v>
      </c>
      <c r="M300" s="39">
        <f>+IFERROR(-ABS(IF(EDATE(_xlfn.XLOOKUP(1,$H287:$BE287,$H$4:$BE$4),12*Assumptions!$G$204+12)=M$4,0,IF(L287=1,PMT(Assumptions!$G$202,Assumptions!$G$204,$C289),L300))),0)</f>
        <v>0</v>
      </c>
      <c r="N300" s="39">
        <f>+IFERROR(-ABS(IF(EDATE(_xlfn.XLOOKUP(1,$H287:$BE287,$H$4:$BE$4),12*Assumptions!$G$204+12)=N$4,0,IF(M287=1,PMT(Assumptions!$G$202,Assumptions!$G$204,$C289),M300))),0)</f>
        <v>0</v>
      </c>
      <c r="O300" s="39">
        <f>+IFERROR(-ABS(IF(EDATE(_xlfn.XLOOKUP(1,$H287:$BE287,$H$4:$BE$4),12*Assumptions!$G$204+12)=O$4,0,IF(N287=1,PMT(Assumptions!$G$202,Assumptions!$G$204,$C289),N300))),0)</f>
        <v>0</v>
      </c>
      <c r="P300" s="39">
        <f>+IFERROR(-ABS(IF(EDATE(_xlfn.XLOOKUP(1,$H287:$BE287,$H$4:$BE$4),12*Assumptions!$G$204+12)=P$4,0,IF(O287=1,PMT(Assumptions!$G$202,Assumptions!$G$204,$C289),O300))),0)</f>
        <v>0</v>
      </c>
      <c r="Q300" s="39">
        <f>+IFERROR(-ABS(IF(EDATE(_xlfn.XLOOKUP(1,$H287:$BE287,$H$4:$BE$4),12*Assumptions!$G$204+12)=Q$4,0,IF(P287=1,PMT(Assumptions!$G$202,Assumptions!$G$204,$C289),P300))),0)</f>
        <v>0</v>
      </c>
      <c r="R300" s="39">
        <f>+IFERROR(-ABS(IF(EDATE(_xlfn.XLOOKUP(1,$H287:$BE287,$H$4:$BE$4),12*Assumptions!$G$204+12)=R$4,0,IF(Q287=1,PMT(Assumptions!$G$202,Assumptions!$G$204,$C289),Q300))),0)</f>
        <v>0</v>
      </c>
      <c r="S300" s="39">
        <f>+IFERROR(-ABS(IF(EDATE(_xlfn.XLOOKUP(1,$H287:$BE287,$H$4:$BE$4),12*Assumptions!$G$204+12)=S$4,0,IF(R287=1,PMT(Assumptions!$G$202,Assumptions!$G$204,$C289),R300))),0)</f>
        <v>0</v>
      </c>
      <c r="T300" s="39">
        <f>+IFERROR(-ABS(IF(EDATE(_xlfn.XLOOKUP(1,$H287:$BE287,$H$4:$BE$4),12*Assumptions!$G$204+12)=T$4,0,IF(S287=1,PMT(Assumptions!$G$202,Assumptions!$G$204,$C289),S300))),0)</f>
        <v>0</v>
      </c>
      <c r="U300" s="39">
        <f>+IFERROR(-ABS(IF(EDATE(_xlfn.XLOOKUP(1,$H287:$BE287,$H$4:$BE$4),12*Assumptions!$G$204+12)=U$4,0,IF(T287=1,PMT(Assumptions!$G$202,Assumptions!$G$204,$C289),T300))),0)</f>
        <v>0</v>
      </c>
      <c r="V300" s="39">
        <f>+IFERROR(-ABS(IF(EDATE(_xlfn.XLOOKUP(1,$H287:$BE287,$H$4:$BE$4),12*Assumptions!$G$204+12)=V$4,0,IF(U287=1,PMT(Assumptions!$G$202,Assumptions!$G$204,$C289),U300))),0)</f>
        <v>0</v>
      </c>
      <c r="W300" s="39">
        <f>+IFERROR(-ABS(IF(EDATE(_xlfn.XLOOKUP(1,$H287:$BE287,$H$4:$BE$4),12*Assumptions!$G$204+12)=W$4,0,IF(V287=1,PMT(Assumptions!$G$202,Assumptions!$G$204,$C289),V300))),0)</f>
        <v>0</v>
      </c>
      <c r="X300" s="39">
        <f>+IFERROR(-ABS(IF(EDATE(_xlfn.XLOOKUP(1,$H287:$BE287,$H$4:$BE$4),12*Assumptions!$G$204+12)=X$4,0,IF(W287=1,PMT(Assumptions!$G$202,Assumptions!$G$204,$C289),W300))),0)</f>
        <v>0</v>
      </c>
      <c r="Y300" s="39">
        <f>+IFERROR(-ABS(IF(EDATE(_xlfn.XLOOKUP(1,$H287:$BE287,$H$4:$BE$4),12*Assumptions!$G$204+12)=Y$4,0,IF(X287=1,PMT(Assumptions!$G$202,Assumptions!$G$204,$C289),X300))),0)</f>
        <v>0</v>
      </c>
      <c r="Z300" s="39">
        <f>+IFERROR(-ABS(IF(EDATE(_xlfn.XLOOKUP(1,$H287:$BE287,$H$4:$BE$4),12*Assumptions!$G$204+12)=Z$4,0,IF(Y287=1,PMT(Assumptions!$G$202,Assumptions!$G$204,$C289),Y300))),0)</f>
        <v>0</v>
      </c>
      <c r="AA300" s="39">
        <f>+IFERROR(-ABS(IF(EDATE(_xlfn.XLOOKUP(1,$H287:$BE287,$H$4:$BE$4),12*Assumptions!$G$204+12)=AA$4,0,IF(Z287=1,PMT(Assumptions!$G$202,Assumptions!$G$204,$C289),Z300))),0)</f>
        <v>0</v>
      </c>
      <c r="AB300" s="39">
        <f>+IFERROR(-ABS(IF(EDATE(_xlfn.XLOOKUP(1,$H287:$BE287,$H$4:$BE$4),12*Assumptions!$G$204+12)=AB$4,0,IF(AA287=1,PMT(Assumptions!$G$202,Assumptions!$G$204,$C289),AA300))),0)</f>
        <v>0</v>
      </c>
      <c r="AC300" s="39">
        <f>+IFERROR(-ABS(IF(EDATE(_xlfn.XLOOKUP(1,$H287:$BE287,$H$4:$BE$4),12*Assumptions!$G$204+12)=AC$4,0,IF(AB287=1,PMT(Assumptions!$G$202,Assumptions!$G$204,$C289),AB300))),0)</f>
        <v>0</v>
      </c>
      <c r="AD300" s="39">
        <f>+IFERROR(-ABS(IF(EDATE(_xlfn.XLOOKUP(1,$H287:$BE287,$H$4:$BE$4),12*Assumptions!$G$204+12)=AD$4,0,IF(AC287=1,PMT(Assumptions!$G$202,Assumptions!$G$204,$C289),AC300))),0)</f>
        <v>0</v>
      </c>
      <c r="AE300" s="39">
        <f>+IFERROR(-ABS(IF(EDATE(_xlfn.XLOOKUP(1,$H287:$BE287,$H$4:$BE$4),12*Assumptions!$G$204+12)=AE$4,0,IF(AD287=1,PMT(Assumptions!$G$202,Assumptions!$G$204,$C289),AD300))),0)</f>
        <v>0</v>
      </c>
      <c r="AF300" s="39">
        <f>+IFERROR(-ABS(IF(EDATE(_xlfn.XLOOKUP(1,$H287:$BE287,$H$4:$BE$4),12*Assumptions!$G$204+12)=AF$4,0,IF(AE287=1,PMT(Assumptions!$G$202,Assumptions!$G$204,$C289),AE300))),0)</f>
        <v>0</v>
      </c>
      <c r="AG300" s="39">
        <f>+IFERROR(-ABS(IF(EDATE(_xlfn.XLOOKUP(1,$H287:$BE287,$H$4:$BE$4),12*Assumptions!$G$204+12)=AG$4,0,IF(AF287=1,PMT(Assumptions!$G$202,Assumptions!$G$204,$C289),AF300))),0)</f>
        <v>0</v>
      </c>
      <c r="AH300" s="39">
        <f>+IFERROR(-ABS(IF(EDATE(_xlfn.XLOOKUP(1,$H287:$BE287,$H$4:$BE$4),12*Assumptions!$G$204+12)=AH$4,0,IF(AG287=1,PMT(Assumptions!$G$202,Assumptions!$G$204,$C289),AG300))),0)</f>
        <v>0</v>
      </c>
      <c r="AI300" s="39">
        <f>+IFERROR(-ABS(IF(EDATE(_xlfn.XLOOKUP(1,$H287:$BE287,$H$4:$BE$4),12*Assumptions!$G$204+12)=AI$4,0,IF(AH287=1,PMT(Assumptions!$G$202,Assumptions!$G$204,$C289),AH300))),0)</f>
        <v>0</v>
      </c>
      <c r="AJ300" s="39">
        <f>+IFERROR(-ABS(IF(EDATE(_xlfn.XLOOKUP(1,$H287:$BE287,$H$4:$BE$4),12*Assumptions!$G$204+12)=AJ$4,0,IF(AI287=1,PMT(Assumptions!$G$202,Assumptions!$G$204,$C289),AI300))),0)</f>
        <v>0</v>
      </c>
      <c r="AK300" s="39">
        <f>+IFERROR(-ABS(IF(EDATE(_xlfn.XLOOKUP(1,$H287:$BE287,$H$4:$BE$4),12*Assumptions!$G$204+12)=AK$4,0,IF(AJ287=1,PMT(Assumptions!$G$202,Assumptions!$G$204,$C289),AJ300))),0)</f>
        <v>0</v>
      </c>
      <c r="AL300" s="39">
        <f>+IFERROR(-ABS(IF(EDATE(_xlfn.XLOOKUP(1,$H287:$BE287,$H$4:$BE$4),12*Assumptions!$G$204+12)=AL$4,0,IF(AK287=1,PMT(Assumptions!$G$202,Assumptions!$G$204,$C289),AK300))),0)</f>
        <v>0</v>
      </c>
      <c r="AM300" s="39">
        <f>+IFERROR(-ABS(IF(EDATE(_xlfn.XLOOKUP(1,$H287:$BE287,$H$4:$BE$4),12*Assumptions!$G$204+12)=AM$4,0,IF(AL287=1,PMT(Assumptions!$G$202,Assumptions!$G$204,$C289),AL300))),0)</f>
        <v>0</v>
      </c>
      <c r="AN300" s="39">
        <f>+IFERROR(-ABS(IF(EDATE(_xlfn.XLOOKUP(1,$H287:$BE287,$H$4:$BE$4),12*Assumptions!$G$204+12)=AN$4,0,IF(AM287=1,PMT(Assumptions!$G$202,Assumptions!$G$204,$C289),AM300))),0)</f>
        <v>0</v>
      </c>
      <c r="AO300" s="39">
        <f>+IFERROR(-ABS(IF(EDATE(_xlfn.XLOOKUP(1,$H287:$BE287,$H$4:$BE$4),12*Assumptions!$G$204+12)=AO$4,0,IF(AN287=1,PMT(Assumptions!$G$202,Assumptions!$G$204,$C289),AN300))),0)</f>
        <v>0</v>
      </c>
      <c r="AP300" s="39">
        <f>+IFERROR(-ABS(IF(EDATE(_xlfn.XLOOKUP(1,$H287:$BE287,$H$4:$BE$4),12*Assumptions!$G$204+12)=AP$4,0,IF(AO287=1,PMT(Assumptions!$G$202,Assumptions!$G$204,$C289),AO300))),0)</f>
        <v>0</v>
      </c>
      <c r="AQ300" s="39">
        <f>+IFERROR(-ABS(IF(EDATE(_xlfn.XLOOKUP(1,$H287:$BE287,$H$4:$BE$4),12*Assumptions!$G$204+12)=AQ$4,0,IF(AP287=1,PMT(Assumptions!$G$202,Assumptions!$G$204,$C289),AP300))),0)</f>
        <v>0</v>
      </c>
      <c r="AR300" s="39">
        <f>+IFERROR(-ABS(IF(EDATE(_xlfn.XLOOKUP(1,$H287:$BE287,$H$4:$BE$4),12*Assumptions!$G$204+12)=AR$4,0,IF(AQ287=1,PMT(Assumptions!$G$202,Assumptions!$G$204,$C289),AQ300))),0)</f>
        <v>0</v>
      </c>
      <c r="AS300" s="39">
        <f>+IFERROR(-ABS(IF(EDATE(_xlfn.XLOOKUP(1,$H287:$BE287,$H$4:$BE$4),12*Assumptions!$G$204+12)=AS$4,0,IF(AR287=1,PMT(Assumptions!$G$202,Assumptions!$G$204,$C289),AR300))),0)</f>
        <v>0</v>
      </c>
      <c r="AT300" s="39">
        <f>+IFERROR(-ABS(IF(EDATE(_xlfn.XLOOKUP(1,$H287:$BE287,$H$4:$BE$4),12*Assumptions!$G$204+12)=AT$4,0,IF(AS287=1,PMT(Assumptions!$G$202,Assumptions!$G$204,$C289),AS300))),0)</f>
        <v>0</v>
      </c>
      <c r="AU300" s="39">
        <f>+IFERROR(-ABS(IF(EDATE(_xlfn.XLOOKUP(1,$H287:$BE287,$H$4:$BE$4),12*Assumptions!$G$204+12)=AU$4,0,IF(AT287=1,PMT(Assumptions!$G$202,Assumptions!$G$204,$C289),AT300))),0)</f>
        <v>0</v>
      </c>
      <c r="AV300" s="39">
        <f>+IFERROR(-ABS(IF(EDATE(_xlfn.XLOOKUP(1,$H287:$BE287,$H$4:$BE$4),12*Assumptions!$G$204+12)=AV$4,0,IF(AU287=1,PMT(Assumptions!$G$202,Assumptions!$G$204,$C289),AU300))),0)</f>
        <v>0</v>
      </c>
      <c r="AW300" s="39">
        <f>+IFERROR(-ABS(IF(EDATE(_xlfn.XLOOKUP(1,$H287:$BE287,$H$4:$BE$4),12*Assumptions!$G$204+12)=AW$4,0,IF(AV287=1,PMT(Assumptions!$G$202,Assumptions!$G$204,$C289),AV300))),0)</f>
        <v>0</v>
      </c>
      <c r="AX300" s="39">
        <f>+IFERROR(-ABS(IF(EDATE(_xlfn.XLOOKUP(1,$H287:$BE287,$H$4:$BE$4),12*Assumptions!$G$204+12)=AX$4,0,IF(AW287=1,PMT(Assumptions!$G$202,Assumptions!$G$204,$C289),AW300))),0)</f>
        <v>0</v>
      </c>
      <c r="AY300" s="39">
        <f>+IFERROR(-ABS(IF(EDATE(_xlfn.XLOOKUP(1,$H287:$BE287,$H$4:$BE$4),12*Assumptions!$G$204+12)=AY$4,0,IF(AX287=1,PMT(Assumptions!$G$202,Assumptions!$G$204,$C289),AX300))),0)</f>
        <v>0</v>
      </c>
      <c r="AZ300" s="39">
        <f>+IFERROR(-ABS(IF(EDATE(_xlfn.XLOOKUP(1,$H287:$BE287,$H$4:$BE$4),12*Assumptions!$G$204+12)=AZ$4,0,IF(AY287=1,PMT(Assumptions!$G$202,Assumptions!$G$204,$C289),AY300))),0)</f>
        <v>0</v>
      </c>
      <c r="BA300" s="39">
        <f>+IFERROR(-ABS(IF(EDATE(_xlfn.XLOOKUP(1,$H287:$BE287,$H$4:$BE$4),12*Assumptions!$G$204+12)=BA$4,0,IF(AZ287=1,PMT(Assumptions!$G$202,Assumptions!$G$204,$C289),AZ300))),0)</f>
        <v>0</v>
      </c>
      <c r="BB300" s="39">
        <f>+IFERROR(-ABS(IF(EDATE(_xlfn.XLOOKUP(1,$H287:$BE287,$H$4:$BE$4),12*Assumptions!$G$204+12)=BB$4,0,IF(BA287=1,PMT(Assumptions!$G$202,Assumptions!$G$204,$C289),BA300))),0)</f>
        <v>0</v>
      </c>
      <c r="BC300" s="39">
        <f>+IFERROR(-ABS(IF(EDATE(_xlfn.XLOOKUP(1,$H287:$BE287,$H$4:$BE$4),12*Assumptions!$G$204+12)=BC$4,0,IF(BB287=1,PMT(Assumptions!$G$202,Assumptions!$G$204,$C289),BB300))),0)</f>
        <v>0</v>
      </c>
      <c r="BD300" s="39">
        <f>+IFERROR(-ABS(IF(EDATE(_xlfn.XLOOKUP(1,$H287:$BE287,$H$4:$BE$4),12*Assumptions!$G$204+12)=BD$4,0,IF(BC287=1,PMT(Assumptions!$G$202,Assumptions!$G$204,$C289),BC300))),0)</f>
        <v>0</v>
      </c>
      <c r="BE300" s="39">
        <f>+IFERROR(-ABS(IF(EDATE(_xlfn.XLOOKUP(1,$H287:$BE287,$H$4:$BE$4),12*Assumptions!$G$204+12)=BE$4,0,IF(BD287=1,PMT(Assumptions!$G$202,Assumptions!$G$204,$C289),BD300))),0)</f>
        <v>0</v>
      </c>
      <c r="BF300" s="39">
        <f>+IFERROR(-ABS(IF(EDATE(_xlfn.XLOOKUP(1,$H287:$BE287,$H$4:$BE$4),12*Assumptions!$G$204+12)=BF$4,0,IF(BE287=1,PMT(Assumptions!$G$202,Assumptions!$G$204,$C289),BE300))),0)</f>
        <v>0</v>
      </c>
      <c r="BG300" s="39">
        <f>+IFERROR(-ABS(IF(EDATE(_xlfn.XLOOKUP(1,$H287:$BE287,$H$4:$BE$4),12*Assumptions!$G$204+12)=BG$4,0,IF(BF287=1,PMT(Assumptions!$G$202,Assumptions!$G$204,$C289),BF300))),0)</f>
        <v>0</v>
      </c>
      <c r="BH300" s="39">
        <f>+IFERROR(-ABS(IF(EDATE(_xlfn.XLOOKUP(1,$H287:$BE287,$H$4:$BE$4),12*Assumptions!$G$204+12)=BH$4,0,IF(BG287=1,PMT(Assumptions!$G$202,Assumptions!$G$204,$C289),BG300))),0)</f>
        <v>0</v>
      </c>
      <c r="BI300" s="39">
        <f>+IFERROR(-ABS(IF(EDATE(_xlfn.XLOOKUP(1,$H287:$BE287,$H$4:$BE$4),12*Assumptions!$G$204+12)=BI$4,0,IF(BH287=1,PMT(Assumptions!$G$202,Assumptions!$G$204,$C289),BH300))),0)</f>
        <v>0</v>
      </c>
      <c r="BJ300" s="39">
        <f>+IFERROR(-ABS(IF(EDATE(_xlfn.XLOOKUP(1,$H287:$BE287,$H$4:$BE$4),12*Assumptions!$G$204+12)=BJ$4,0,IF(BI287=1,PMT(Assumptions!$G$202,Assumptions!$G$204,$C289),BI300))),0)</f>
        <v>0</v>
      </c>
      <c r="BK300" s="39">
        <f>+IFERROR(-ABS(IF(EDATE(_xlfn.XLOOKUP(1,$H287:$BE287,$H$4:$BE$4),12*Assumptions!$G$204+12)=BK$4,0,IF(BJ287=1,PMT(Assumptions!$G$202,Assumptions!$G$204,$C289),BJ300))),0)</f>
        <v>0</v>
      </c>
      <c r="BL300" s="39">
        <f>+IFERROR(-ABS(IF(EDATE(_xlfn.XLOOKUP(1,$H287:$BE287,$H$4:$BE$4),12*Assumptions!$G$204+12)=BL$4,0,IF(BK287=1,PMT(Assumptions!$G$202,Assumptions!$G$204,$C289),BK300))),0)</f>
        <v>0</v>
      </c>
      <c r="BM300" s="39">
        <f>+IFERROR(-ABS(IF(EDATE(_xlfn.XLOOKUP(1,$H287:$BE287,$H$4:$BE$4),12*Assumptions!$G$204+12)=BM$4,0,IF(BL287=1,PMT(Assumptions!$G$202,Assumptions!$G$204,$C289),BL300))),0)</f>
        <v>0</v>
      </c>
      <c r="BN300" s="39">
        <f>+IFERROR(-ABS(IF(EDATE(_xlfn.XLOOKUP(1,$H287:$BE287,$H$4:$BE$4),12*Assumptions!$G$204+12)=BN$4,0,IF(BM287=1,PMT(Assumptions!$G$202,Assumptions!$G$204,$C289),BM300))),0)</f>
        <v>0</v>
      </c>
      <c r="BO300" s="39">
        <f>+IFERROR(-ABS(IF(EDATE(_xlfn.XLOOKUP(1,$H287:$BE287,$H$4:$BE$4),12*Assumptions!$G$204+12)=BO$4,0,IF(BN287=1,PMT(Assumptions!$G$202,Assumptions!$G$204,$C289),BN300))),0)</f>
        <v>0</v>
      </c>
      <c r="BP300" s="39">
        <f>+IFERROR(-ABS(IF(EDATE(_xlfn.XLOOKUP(1,$H287:$BE287,$H$4:$BE$4),12*Assumptions!$G$204+12)=BP$4,0,IF(BO287=1,PMT(Assumptions!$G$202,Assumptions!$G$204,$C289),BO300))),0)</f>
        <v>0</v>
      </c>
      <c r="BQ300" s="39">
        <f>+IFERROR(-ABS(IF(EDATE(_xlfn.XLOOKUP(1,$H287:$BE287,$H$4:$BE$4),12*Assumptions!$G$204+12)=BQ$4,0,IF(BP287=1,PMT(Assumptions!$G$202,Assumptions!$G$204,$C289),BP300))),0)</f>
        <v>0</v>
      </c>
      <c r="BR300" s="39">
        <f>+IFERROR(-ABS(IF(EDATE(_xlfn.XLOOKUP(1,$H287:$BE287,$H$4:$BE$4),12*Assumptions!$G$204+12)=BR$4,0,IF(BQ287=1,PMT(Assumptions!$G$202,Assumptions!$G$204,$C289),BQ300))),0)</f>
        <v>0</v>
      </c>
      <c r="BS300" s="39">
        <f>+IFERROR(-ABS(IF(EDATE(_xlfn.XLOOKUP(1,$H287:$BE287,$H$4:$BE$4),12*Assumptions!$G$204+12)=BS$4,0,IF(BR287=1,PMT(Assumptions!$G$202,Assumptions!$G$204,$C289),BR300))),0)</f>
        <v>0</v>
      </c>
      <c r="BT300" s="39">
        <f>+IFERROR(-ABS(IF(EDATE(_xlfn.XLOOKUP(1,$H287:$BE287,$H$4:$BE$4),12*Assumptions!$G$204+12)=BT$4,0,IF(BS287=1,PMT(Assumptions!$G$202,Assumptions!$G$204,$C289),BS300))),0)</f>
        <v>0</v>
      </c>
      <c r="BU300" s="39">
        <f>+IFERROR(-ABS(IF(EDATE(_xlfn.XLOOKUP(1,$H287:$BE287,$H$4:$BE$4),12*Assumptions!$G$204+12)=BU$4,0,IF(BT287=1,PMT(Assumptions!$G$202,Assumptions!$G$204,$C289),BT300))),0)</f>
        <v>0</v>
      </c>
      <c r="BV300" s="39">
        <f>+IFERROR(-ABS(IF(EDATE(_xlfn.XLOOKUP(1,$H287:$BE287,$H$4:$BE$4),12*Assumptions!$G$204+12)=BV$4,0,IF(BU287=1,PMT(Assumptions!$G$202,Assumptions!$G$204,$C289),BU300))),0)</f>
        <v>0</v>
      </c>
      <c r="BW300" s="39">
        <f>+IFERROR(-ABS(IF(EDATE(_xlfn.XLOOKUP(1,$H287:$BE287,$H$4:$BE$4),12*Assumptions!$G$204+12)=BW$4,0,IF(BV287=1,PMT(Assumptions!$G$202,Assumptions!$G$204,$C289),BV300))),0)</f>
        <v>0</v>
      </c>
      <c r="BX300" s="39">
        <f>+IFERROR(-ABS(IF(EDATE(_xlfn.XLOOKUP(1,$H287:$BE287,$H$4:$BE$4),12*Assumptions!$G$204+12)=BX$4,0,IF(BW287=1,PMT(Assumptions!$G$202,Assumptions!$G$204,$C289),BW300))),0)</f>
        <v>0</v>
      </c>
      <c r="BY300" s="39">
        <f>+IFERROR(-ABS(IF(EDATE(_xlfn.XLOOKUP(1,$H287:$BE287,$H$4:$BE$4),12*Assumptions!$G$204+12)=BY$4,0,IF(BX287=1,PMT(Assumptions!$G$202,Assumptions!$G$204,$C289),BX300))),0)</f>
        <v>0</v>
      </c>
    </row>
    <row r="301" spans="5:77" outlineLevel="1">
      <c r="E301" s="24" t="s">
        <v>523</v>
      </c>
      <c r="F301" s="80" t="str">
        <f>+Assumptions!$G$8</f>
        <v>USD</v>
      </c>
      <c r="G301" s="24"/>
      <c r="H301" s="39">
        <f>+IFERROR(-ABS(IF(EDATE(_xlfn.XLOOKUP(1,$H288:$BE288,$H$4:$BE$4),12*Assumptions!$G$204+12)=H$4,0,IF(G288=1,PMT(Assumptions!$G$202,Assumptions!$G$204,$C290),G301))),0)</f>
        <v>0</v>
      </c>
      <c r="I301" s="39">
        <f>+IFERROR(-ABS(IF(EDATE(_xlfn.XLOOKUP(1,$H288:$BE288,$H$4:$BE$4),12*Assumptions!$G$204+12)=I$4,0,IF(H288=1,PMT(Assumptions!$G$202,Assumptions!$G$204,$C290),H301))),0)</f>
        <v>0</v>
      </c>
      <c r="J301" s="39">
        <f>+IFERROR(-ABS(IF(EDATE(_xlfn.XLOOKUP(1,$H288:$BE288,$H$4:$BE$4),12*Assumptions!$G$204+12)=J$4,0,IF(I288=1,PMT(Assumptions!$G$202,Assumptions!$G$204,$C290),I301))),0)</f>
        <v>0</v>
      </c>
      <c r="K301" s="39">
        <f>+IFERROR(-ABS(IF(EDATE(_xlfn.XLOOKUP(1,$H288:$BE288,$H$4:$BE$4),12*Assumptions!$G$204+12)=K$4,0,IF(J288=1,PMT(Assumptions!$G$202,Assumptions!$G$204,$C290),J301))),0)</f>
        <v>0</v>
      </c>
      <c r="L301" s="39">
        <f>+IFERROR(-ABS(IF(EDATE(_xlfn.XLOOKUP(1,$H288:$BE288,$H$4:$BE$4),12*Assumptions!$G$204+12)=L$4,0,IF(K288=1,PMT(Assumptions!$G$202,Assumptions!$G$204,$C290),K301))),0)</f>
        <v>0</v>
      </c>
      <c r="M301" s="39">
        <f>+IFERROR(-ABS(IF(EDATE(_xlfn.XLOOKUP(1,$H288:$BE288,$H$4:$BE$4),12*Assumptions!$G$204+12)=M$4,0,IF(L288=1,PMT(Assumptions!$G$202,Assumptions!$G$204,$C290),L301))),0)</f>
        <v>0</v>
      </c>
      <c r="N301" s="39">
        <f>+IFERROR(-ABS(IF(EDATE(_xlfn.XLOOKUP(1,$H288:$BE288,$H$4:$BE$4),12*Assumptions!$G$204+12)=N$4,0,IF(M288=1,PMT(Assumptions!$G$202,Assumptions!$G$204,$C290),M301))),0)</f>
        <v>0</v>
      </c>
      <c r="O301" s="39">
        <f>+IFERROR(-ABS(IF(EDATE(_xlfn.XLOOKUP(1,$H288:$BE288,$H$4:$BE$4),12*Assumptions!$G$204+12)=O$4,0,IF(N288=1,PMT(Assumptions!$G$202,Assumptions!$G$204,$C290),N301))),0)</f>
        <v>0</v>
      </c>
      <c r="P301" s="39">
        <f>+IFERROR(-ABS(IF(EDATE(_xlfn.XLOOKUP(1,$H288:$BE288,$H$4:$BE$4),12*Assumptions!$G$204+12)=P$4,0,IF(O288=1,PMT(Assumptions!$G$202,Assumptions!$G$204,$C290),O301))),0)</f>
        <v>0</v>
      </c>
      <c r="Q301" s="39">
        <f>+IFERROR(-ABS(IF(EDATE(_xlfn.XLOOKUP(1,$H288:$BE288,$H$4:$BE$4),12*Assumptions!$G$204+12)=Q$4,0,IF(P288=1,PMT(Assumptions!$G$202,Assumptions!$G$204,$C290),P301))),0)</f>
        <v>0</v>
      </c>
      <c r="R301" s="39">
        <f>+IFERROR(-ABS(IF(EDATE(_xlfn.XLOOKUP(1,$H288:$BE288,$H$4:$BE$4),12*Assumptions!$G$204+12)=R$4,0,IF(Q288=1,PMT(Assumptions!$G$202,Assumptions!$G$204,$C290),Q301))),0)</f>
        <v>0</v>
      </c>
      <c r="S301" s="39">
        <f>+IFERROR(-ABS(IF(EDATE(_xlfn.XLOOKUP(1,$H288:$BE288,$H$4:$BE$4),12*Assumptions!$G$204+12)=S$4,0,IF(R288=1,PMT(Assumptions!$G$202,Assumptions!$G$204,$C290),R301))),0)</f>
        <v>0</v>
      </c>
      <c r="T301" s="39">
        <f>+IFERROR(-ABS(IF(EDATE(_xlfn.XLOOKUP(1,$H288:$BE288,$H$4:$BE$4),12*Assumptions!$G$204+12)=T$4,0,IF(S288=1,PMT(Assumptions!$G$202,Assumptions!$G$204,$C290),S301))),0)</f>
        <v>0</v>
      </c>
      <c r="U301" s="39">
        <f>+IFERROR(-ABS(IF(EDATE(_xlfn.XLOOKUP(1,$H288:$BE288,$H$4:$BE$4),12*Assumptions!$G$204+12)=U$4,0,IF(T288=1,PMT(Assumptions!$G$202,Assumptions!$G$204,$C290),T301))),0)</f>
        <v>0</v>
      </c>
      <c r="V301" s="39">
        <f>+IFERROR(-ABS(IF(EDATE(_xlfn.XLOOKUP(1,$H288:$BE288,$H$4:$BE$4),12*Assumptions!$G$204+12)=V$4,0,IF(U288=1,PMT(Assumptions!$G$202,Assumptions!$G$204,$C290),U301))),0)</f>
        <v>0</v>
      </c>
      <c r="W301" s="39">
        <f>+IFERROR(-ABS(IF(EDATE(_xlfn.XLOOKUP(1,$H288:$BE288,$H$4:$BE$4),12*Assumptions!$G$204+12)=W$4,0,IF(V288=1,PMT(Assumptions!$G$202,Assumptions!$G$204,$C290),V301))),0)</f>
        <v>0</v>
      </c>
      <c r="X301" s="39">
        <f>+IFERROR(-ABS(IF(EDATE(_xlfn.XLOOKUP(1,$H288:$BE288,$H$4:$BE$4),12*Assumptions!$G$204+12)=X$4,0,IF(W288=1,PMT(Assumptions!$G$202,Assumptions!$G$204,$C290),W301))),0)</f>
        <v>0</v>
      </c>
      <c r="Y301" s="39">
        <f>+IFERROR(-ABS(IF(EDATE(_xlfn.XLOOKUP(1,$H288:$BE288,$H$4:$BE$4),12*Assumptions!$G$204+12)=Y$4,0,IF(X288=1,PMT(Assumptions!$G$202,Assumptions!$G$204,$C290),X301))),0)</f>
        <v>0</v>
      </c>
      <c r="Z301" s="39">
        <f>+IFERROR(-ABS(IF(EDATE(_xlfn.XLOOKUP(1,$H288:$BE288,$H$4:$BE$4),12*Assumptions!$G$204+12)=Z$4,0,IF(Y288=1,PMT(Assumptions!$G$202,Assumptions!$G$204,$C290),Y301))),0)</f>
        <v>0</v>
      </c>
      <c r="AA301" s="39">
        <f>+IFERROR(-ABS(IF(EDATE(_xlfn.XLOOKUP(1,$H288:$BE288,$H$4:$BE$4),12*Assumptions!$G$204+12)=AA$4,0,IF(Z288=1,PMT(Assumptions!$G$202,Assumptions!$G$204,$C290),Z301))),0)</f>
        <v>0</v>
      </c>
      <c r="AB301" s="39">
        <f>+IFERROR(-ABS(IF(EDATE(_xlfn.XLOOKUP(1,$H288:$BE288,$H$4:$BE$4),12*Assumptions!$G$204+12)=AB$4,0,IF(AA288=1,PMT(Assumptions!$G$202,Assumptions!$G$204,$C290),AA301))),0)</f>
        <v>0</v>
      </c>
      <c r="AC301" s="39">
        <f>+IFERROR(-ABS(IF(EDATE(_xlfn.XLOOKUP(1,$H288:$BE288,$H$4:$BE$4),12*Assumptions!$G$204+12)=AC$4,0,IF(AB288=1,PMT(Assumptions!$G$202,Assumptions!$G$204,$C290),AB301))),0)</f>
        <v>0</v>
      </c>
      <c r="AD301" s="39">
        <f>+IFERROR(-ABS(IF(EDATE(_xlfn.XLOOKUP(1,$H288:$BE288,$H$4:$BE$4),12*Assumptions!$G$204+12)=AD$4,0,IF(AC288=1,PMT(Assumptions!$G$202,Assumptions!$G$204,$C290),AC301))),0)</f>
        <v>0</v>
      </c>
      <c r="AE301" s="39">
        <f>+IFERROR(-ABS(IF(EDATE(_xlfn.XLOOKUP(1,$H288:$BE288,$H$4:$BE$4),12*Assumptions!$G$204+12)=AE$4,0,IF(AD288=1,PMT(Assumptions!$G$202,Assumptions!$G$204,$C290),AD301))),0)</f>
        <v>0</v>
      </c>
      <c r="AF301" s="39">
        <f>+IFERROR(-ABS(IF(EDATE(_xlfn.XLOOKUP(1,$H288:$BE288,$H$4:$BE$4),12*Assumptions!$G$204+12)=AF$4,0,IF(AE288=1,PMT(Assumptions!$G$202,Assumptions!$G$204,$C290),AE301))),0)</f>
        <v>0</v>
      </c>
      <c r="AG301" s="39">
        <f>+IFERROR(-ABS(IF(EDATE(_xlfn.XLOOKUP(1,$H288:$BE288,$H$4:$BE$4),12*Assumptions!$G$204+12)=AG$4,0,IF(AF288=1,PMT(Assumptions!$G$202,Assumptions!$G$204,$C290),AF301))),0)</f>
        <v>0</v>
      </c>
      <c r="AH301" s="39">
        <f>+IFERROR(-ABS(IF(EDATE(_xlfn.XLOOKUP(1,$H288:$BE288,$H$4:$BE$4),12*Assumptions!$G$204+12)=AH$4,0,IF(AG288=1,PMT(Assumptions!$G$202,Assumptions!$G$204,$C290),AG301))),0)</f>
        <v>0</v>
      </c>
      <c r="AI301" s="39">
        <f>+IFERROR(-ABS(IF(EDATE(_xlfn.XLOOKUP(1,$H288:$BE288,$H$4:$BE$4),12*Assumptions!$G$204+12)=AI$4,0,IF(AH288=1,PMT(Assumptions!$G$202,Assumptions!$G$204,$C290),AH301))),0)</f>
        <v>0</v>
      </c>
      <c r="AJ301" s="39">
        <f>+IFERROR(-ABS(IF(EDATE(_xlfn.XLOOKUP(1,$H288:$BE288,$H$4:$BE$4),12*Assumptions!$G$204+12)=AJ$4,0,IF(AI288=1,PMT(Assumptions!$G$202,Assumptions!$G$204,$C290),AI301))),0)</f>
        <v>0</v>
      </c>
      <c r="AK301" s="39">
        <f>+IFERROR(-ABS(IF(EDATE(_xlfn.XLOOKUP(1,$H288:$BE288,$H$4:$BE$4),12*Assumptions!$G$204+12)=AK$4,0,IF(AJ288=1,PMT(Assumptions!$G$202,Assumptions!$G$204,$C290),AJ301))),0)</f>
        <v>0</v>
      </c>
      <c r="AL301" s="39">
        <f>+IFERROR(-ABS(IF(EDATE(_xlfn.XLOOKUP(1,$H288:$BE288,$H$4:$BE$4),12*Assumptions!$G$204+12)=AL$4,0,IF(AK288=1,PMT(Assumptions!$G$202,Assumptions!$G$204,$C290),AK301))),0)</f>
        <v>0</v>
      </c>
      <c r="AM301" s="39">
        <f>+IFERROR(-ABS(IF(EDATE(_xlfn.XLOOKUP(1,$H288:$BE288,$H$4:$BE$4),12*Assumptions!$G$204+12)=AM$4,0,IF(AL288=1,PMT(Assumptions!$G$202,Assumptions!$G$204,$C290),AL301))),0)</f>
        <v>0</v>
      </c>
      <c r="AN301" s="39">
        <f>+IFERROR(-ABS(IF(EDATE(_xlfn.XLOOKUP(1,$H288:$BE288,$H$4:$BE$4),12*Assumptions!$G$204+12)=AN$4,0,IF(AM288=1,PMT(Assumptions!$G$202,Assumptions!$G$204,$C290),AM301))),0)</f>
        <v>0</v>
      </c>
      <c r="AO301" s="39">
        <f>+IFERROR(-ABS(IF(EDATE(_xlfn.XLOOKUP(1,$H288:$BE288,$H$4:$BE$4),12*Assumptions!$G$204+12)=AO$4,0,IF(AN288=1,PMT(Assumptions!$G$202,Assumptions!$G$204,$C290),AN301))),0)</f>
        <v>0</v>
      </c>
      <c r="AP301" s="39">
        <f>+IFERROR(-ABS(IF(EDATE(_xlfn.XLOOKUP(1,$H288:$BE288,$H$4:$BE$4),12*Assumptions!$G$204+12)=AP$4,0,IF(AO288=1,PMT(Assumptions!$G$202,Assumptions!$G$204,$C290),AO301))),0)</f>
        <v>0</v>
      </c>
      <c r="AQ301" s="39">
        <f>+IFERROR(-ABS(IF(EDATE(_xlfn.XLOOKUP(1,$H288:$BE288,$H$4:$BE$4),12*Assumptions!$G$204+12)=AQ$4,0,IF(AP288=1,PMT(Assumptions!$G$202,Assumptions!$G$204,$C290),AP301))),0)</f>
        <v>0</v>
      </c>
      <c r="AR301" s="39">
        <f>+IFERROR(-ABS(IF(EDATE(_xlfn.XLOOKUP(1,$H288:$BE288,$H$4:$BE$4),12*Assumptions!$G$204+12)=AR$4,0,IF(AQ288=1,PMT(Assumptions!$G$202,Assumptions!$G$204,$C290),AQ301))),0)</f>
        <v>0</v>
      </c>
      <c r="AS301" s="39">
        <f>+IFERROR(-ABS(IF(EDATE(_xlfn.XLOOKUP(1,$H288:$BE288,$H$4:$BE$4),12*Assumptions!$G$204+12)=AS$4,0,IF(AR288=1,PMT(Assumptions!$G$202,Assumptions!$G$204,$C290),AR301))),0)</f>
        <v>0</v>
      </c>
      <c r="AT301" s="39">
        <f>+IFERROR(-ABS(IF(EDATE(_xlfn.XLOOKUP(1,$H288:$BE288,$H$4:$BE$4),12*Assumptions!$G$204+12)=AT$4,0,IF(AS288=1,PMT(Assumptions!$G$202,Assumptions!$G$204,$C290),AS301))),0)</f>
        <v>0</v>
      </c>
      <c r="AU301" s="39">
        <f>+IFERROR(-ABS(IF(EDATE(_xlfn.XLOOKUP(1,$H288:$BE288,$H$4:$BE$4),12*Assumptions!$G$204+12)=AU$4,0,IF(AT288=1,PMT(Assumptions!$G$202,Assumptions!$G$204,$C290),AT301))),0)</f>
        <v>0</v>
      </c>
      <c r="AV301" s="39">
        <f>+IFERROR(-ABS(IF(EDATE(_xlfn.XLOOKUP(1,$H288:$BE288,$H$4:$BE$4),12*Assumptions!$G$204+12)=AV$4,0,IF(AU288=1,PMT(Assumptions!$G$202,Assumptions!$G$204,$C290),AU301))),0)</f>
        <v>0</v>
      </c>
      <c r="AW301" s="39">
        <f>+IFERROR(-ABS(IF(EDATE(_xlfn.XLOOKUP(1,$H288:$BE288,$H$4:$BE$4),12*Assumptions!$G$204+12)=AW$4,0,IF(AV288=1,PMT(Assumptions!$G$202,Assumptions!$G$204,$C290),AV301))),0)</f>
        <v>0</v>
      </c>
      <c r="AX301" s="39">
        <f>+IFERROR(-ABS(IF(EDATE(_xlfn.XLOOKUP(1,$H288:$BE288,$H$4:$BE$4),12*Assumptions!$G$204+12)=AX$4,0,IF(AW288=1,PMT(Assumptions!$G$202,Assumptions!$G$204,$C290),AW301))),0)</f>
        <v>0</v>
      </c>
      <c r="AY301" s="39">
        <f>+IFERROR(-ABS(IF(EDATE(_xlfn.XLOOKUP(1,$H288:$BE288,$H$4:$BE$4),12*Assumptions!$G$204+12)=AY$4,0,IF(AX288=1,PMT(Assumptions!$G$202,Assumptions!$G$204,$C290),AX301))),0)</f>
        <v>0</v>
      </c>
      <c r="AZ301" s="39">
        <f>+IFERROR(-ABS(IF(EDATE(_xlfn.XLOOKUP(1,$H288:$BE288,$H$4:$BE$4),12*Assumptions!$G$204+12)=AZ$4,0,IF(AY288=1,PMT(Assumptions!$G$202,Assumptions!$G$204,$C290),AY301))),0)</f>
        <v>0</v>
      </c>
      <c r="BA301" s="39">
        <f>+IFERROR(-ABS(IF(EDATE(_xlfn.XLOOKUP(1,$H288:$BE288,$H$4:$BE$4),12*Assumptions!$G$204+12)=BA$4,0,IF(AZ288=1,PMT(Assumptions!$G$202,Assumptions!$G$204,$C290),AZ301))),0)</f>
        <v>0</v>
      </c>
      <c r="BB301" s="39">
        <f>+IFERROR(-ABS(IF(EDATE(_xlfn.XLOOKUP(1,$H288:$BE288,$H$4:$BE$4),12*Assumptions!$G$204+12)=BB$4,0,IF(BA288=1,PMT(Assumptions!$G$202,Assumptions!$G$204,$C290),BA301))),0)</f>
        <v>0</v>
      </c>
      <c r="BC301" s="39">
        <f>+IFERROR(-ABS(IF(EDATE(_xlfn.XLOOKUP(1,$H288:$BE288,$H$4:$BE$4),12*Assumptions!$G$204+12)=BC$4,0,IF(BB288=1,PMT(Assumptions!$G$202,Assumptions!$G$204,$C290),BB301))),0)</f>
        <v>0</v>
      </c>
      <c r="BD301" s="39">
        <f>+IFERROR(-ABS(IF(EDATE(_xlfn.XLOOKUP(1,$H288:$BE288,$H$4:$BE$4),12*Assumptions!$G$204+12)=BD$4,0,IF(BC288=1,PMT(Assumptions!$G$202,Assumptions!$G$204,$C290),BC301))),0)</f>
        <v>0</v>
      </c>
      <c r="BE301" s="39">
        <f>+IFERROR(-ABS(IF(EDATE(_xlfn.XLOOKUP(1,$H288:$BE288,$H$4:$BE$4),12*Assumptions!$G$204+12)=BE$4,0,IF(BD288=1,PMT(Assumptions!$G$202,Assumptions!$G$204,$C290),BD301))),0)</f>
        <v>0</v>
      </c>
      <c r="BF301" s="39">
        <f>+IFERROR(-ABS(IF(EDATE(_xlfn.XLOOKUP(1,$H288:$BE288,$H$4:$BE$4),12*Assumptions!$G$204+12)=BF$4,0,IF(BE288=1,PMT(Assumptions!$G$202,Assumptions!$G$204,$C290),BE301))),0)</f>
        <v>0</v>
      </c>
      <c r="BG301" s="39">
        <f>+IFERROR(-ABS(IF(EDATE(_xlfn.XLOOKUP(1,$H288:$BE288,$H$4:$BE$4),12*Assumptions!$G$204+12)=BG$4,0,IF(BF288=1,PMT(Assumptions!$G$202,Assumptions!$G$204,$C290),BF301))),0)</f>
        <v>0</v>
      </c>
      <c r="BH301" s="39">
        <f>+IFERROR(-ABS(IF(EDATE(_xlfn.XLOOKUP(1,$H288:$BE288,$H$4:$BE$4),12*Assumptions!$G$204+12)=BH$4,0,IF(BG288=1,PMT(Assumptions!$G$202,Assumptions!$G$204,$C290),BG301))),0)</f>
        <v>0</v>
      </c>
      <c r="BI301" s="39">
        <f>+IFERROR(-ABS(IF(EDATE(_xlfn.XLOOKUP(1,$H288:$BE288,$H$4:$BE$4),12*Assumptions!$G$204+12)=BI$4,0,IF(BH288=1,PMT(Assumptions!$G$202,Assumptions!$G$204,$C290),BH301))),0)</f>
        <v>0</v>
      </c>
      <c r="BJ301" s="39">
        <f>+IFERROR(-ABS(IF(EDATE(_xlfn.XLOOKUP(1,$H288:$BE288,$H$4:$BE$4),12*Assumptions!$G$204+12)=BJ$4,0,IF(BI288=1,PMT(Assumptions!$G$202,Assumptions!$G$204,$C290),BI301))),0)</f>
        <v>0</v>
      </c>
      <c r="BK301" s="39">
        <f>+IFERROR(-ABS(IF(EDATE(_xlfn.XLOOKUP(1,$H288:$BE288,$H$4:$BE$4),12*Assumptions!$G$204+12)=BK$4,0,IF(BJ288=1,PMT(Assumptions!$G$202,Assumptions!$G$204,$C290),BJ301))),0)</f>
        <v>0</v>
      </c>
      <c r="BL301" s="39">
        <f>+IFERROR(-ABS(IF(EDATE(_xlfn.XLOOKUP(1,$H288:$BE288,$H$4:$BE$4),12*Assumptions!$G$204+12)=BL$4,0,IF(BK288=1,PMT(Assumptions!$G$202,Assumptions!$G$204,$C290),BK301))),0)</f>
        <v>0</v>
      </c>
      <c r="BM301" s="39">
        <f>+IFERROR(-ABS(IF(EDATE(_xlfn.XLOOKUP(1,$H288:$BE288,$H$4:$BE$4),12*Assumptions!$G$204+12)=BM$4,0,IF(BL288=1,PMT(Assumptions!$G$202,Assumptions!$G$204,$C290),BL301))),0)</f>
        <v>0</v>
      </c>
      <c r="BN301" s="39">
        <f>+IFERROR(-ABS(IF(EDATE(_xlfn.XLOOKUP(1,$H288:$BE288,$H$4:$BE$4),12*Assumptions!$G$204+12)=BN$4,0,IF(BM288=1,PMT(Assumptions!$G$202,Assumptions!$G$204,$C290),BM301))),0)</f>
        <v>0</v>
      </c>
      <c r="BO301" s="39">
        <f>+IFERROR(-ABS(IF(EDATE(_xlfn.XLOOKUP(1,$H288:$BE288,$H$4:$BE$4),12*Assumptions!$G$204+12)=BO$4,0,IF(BN288=1,PMT(Assumptions!$G$202,Assumptions!$G$204,$C290),BN301))),0)</f>
        <v>0</v>
      </c>
      <c r="BP301" s="39">
        <f>+IFERROR(-ABS(IF(EDATE(_xlfn.XLOOKUP(1,$H288:$BE288,$H$4:$BE$4),12*Assumptions!$G$204+12)=BP$4,0,IF(BO288=1,PMT(Assumptions!$G$202,Assumptions!$G$204,$C290),BO301))),0)</f>
        <v>0</v>
      </c>
      <c r="BQ301" s="39">
        <f>+IFERROR(-ABS(IF(EDATE(_xlfn.XLOOKUP(1,$H288:$BE288,$H$4:$BE$4),12*Assumptions!$G$204+12)=BQ$4,0,IF(BP288=1,PMT(Assumptions!$G$202,Assumptions!$G$204,$C290),BP301))),0)</f>
        <v>0</v>
      </c>
      <c r="BR301" s="39">
        <f>+IFERROR(-ABS(IF(EDATE(_xlfn.XLOOKUP(1,$H288:$BE288,$H$4:$BE$4),12*Assumptions!$G$204+12)=BR$4,0,IF(BQ288=1,PMT(Assumptions!$G$202,Assumptions!$G$204,$C290),BQ301))),0)</f>
        <v>0</v>
      </c>
      <c r="BS301" s="39">
        <f>+IFERROR(-ABS(IF(EDATE(_xlfn.XLOOKUP(1,$H288:$BE288,$H$4:$BE$4),12*Assumptions!$G$204+12)=BS$4,0,IF(BR288=1,PMT(Assumptions!$G$202,Assumptions!$G$204,$C290),BR301))),0)</f>
        <v>0</v>
      </c>
      <c r="BT301" s="39">
        <f>+IFERROR(-ABS(IF(EDATE(_xlfn.XLOOKUP(1,$H288:$BE288,$H$4:$BE$4),12*Assumptions!$G$204+12)=BT$4,0,IF(BS288=1,PMT(Assumptions!$G$202,Assumptions!$G$204,$C290),BS301))),0)</f>
        <v>0</v>
      </c>
      <c r="BU301" s="39">
        <f>+IFERROR(-ABS(IF(EDATE(_xlfn.XLOOKUP(1,$H288:$BE288,$H$4:$BE$4),12*Assumptions!$G$204+12)=BU$4,0,IF(BT288=1,PMT(Assumptions!$G$202,Assumptions!$G$204,$C290),BT301))),0)</f>
        <v>0</v>
      </c>
      <c r="BV301" s="39">
        <f>+IFERROR(-ABS(IF(EDATE(_xlfn.XLOOKUP(1,$H288:$BE288,$H$4:$BE$4),12*Assumptions!$G$204+12)=BV$4,0,IF(BU288=1,PMT(Assumptions!$G$202,Assumptions!$G$204,$C290),BU301))),0)</f>
        <v>0</v>
      </c>
      <c r="BW301" s="39">
        <f>+IFERROR(-ABS(IF(EDATE(_xlfn.XLOOKUP(1,$H288:$BE288,$H$4:$BE$4),12*Assumptions!$G$204+12)=BW$4,0,IF(BV288=1,PMT(Assumptions!$G$202,Assumptions!$G$204,$C290),BV301))),0)</f>
        <v>0</v>
      </c>
      <c r="BX301" s="39">
        <f>+IFERROR(-ABS(IF(EDATE(_xlfn.XLOOKUP(1,$H288:$BE288,$H$4:$BE$4),12*Assumptions!$G$204+12)=BX$4,0,IF(BW288=1,PMT(Assumptions!$G$202,Assumptions!$G$204,$C290),BW301))),0)</f>
        <v>0</v>
      </c>
      <c r="BY301" s="39">
        <f>+IFERROR(-ABS(IF(EDATE(_xlfn.XLOOKUP(1,$H288:$BE288,$H$4:$BE$4),12*Assumptions!$G$204+12)=BY$4,0,IF(BX288=1,PMT(Assumptions!$G$202,Assumptions!$G$204,$C290),BX301))),0)</f>
        <v>0</v>
      </c>
    </row>
    <row r="302" spans="5:77" outlineLevel="1">
      <c r="E302" s="24"/>
      <c r="F302" s="23"/>
      <c r="G302" s="24"/>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row>
    <row r="303" spans="5:77" outlineLevel="1">
      <c r="E303" t="s">
        <v>524</v>
      </c>
      <c r="F303" s="80" t="str">
        <f>+Assumptions!$G$8</f>
        <v>USD</v>
      </c>
      <c r="H303" s="32">
        <f>MIN(+H275-H291+H289,0)</f>
        <v>0</v>
      </c>
      <c r="I303" s="32">
        <f t="shared" ref="I303:BT303" si="489">MIN(+I275-I291+I289,0)</f>
        <v>0</v>
      </c>
      <c r="J303" s="32">
        <f t="shared" si="489"/>
        <v>0</v>
      </c>
      <c r="K303" s="32">
        <f t="shared" si="489"/>
        <v>0</v>
      </c>
      <c r="L303" s="32">
        <f t="shared" si="489"/>
        <v>0</v>
      </c>
      <c r="M303" s="32">
        <f t="shared" si="489"/>
        <v>0</v>
      </c>
      <c r="N303" s="32">
        <f t="shared" si="489"/>
        <v>0</v>
      </c>
      <c r="O303" s="32">
        <f t="shared" si="489"/>
        <v>0</v>
      </c>
      <c r="P303" s="32">
        <f t="shared" si="489"/>
        <v>0</v>
      </c>
      <c r="Q303" s="32">
        <f t="shared" si="489"/>
        <v>0</v>
      </c>
      <c r="R303" s="32">
        <f t="shared" si="489"/>
        <v>0</v>
      </c>
      <c r="S303" s="32">
        <f t="shared" si="489"/>
        <v>0</v>
      </c>
      <c r="T303" s="32">
        <f t="shared" si="489"/>
        <v>0</v>
      </c>
      <c r="U303" s="32">
        <f t="shared" si="489"/>
        <v>0</v>
      </c>
      <c r="V303" s="32">
        <f t="shared" si="489"/>
        <v>0</v>
      </c>
      <c r="W303" s="32">
        <f t="shared" si="489"/>
        <v>0</v>
      </c>
      <c r="X303" s="32">
        <f t="shared" si="489"/>
        <v>0</v>
      </c>
      <c r="Y303" s="32">
        <f t="shared" si="489"/>
        <v>0</v>
      </c>
      <c r="Z303" s="32">
        <f t="shared" si="489"/>
        <v>0</v>
      </c>
      <c r="AA303" s="32">
        <f t="shared" si="489"/>
        <v>0</v>
      </c>
      <c r="AB303" s="32">
        <f t="shared" si="489"/>
        <v>0</v>
      </c>
      <c r="AC303" s="32">
        <f t="shared" si="489"/>
        <v>0</v>
      </c>
      <c r="AD303" s="32">
        <f t="shared" si="489"/>
        <v>0</v>
      </c>
      <c r="AE303" s="32">
        <f t="shared" si="489"/>
        <v>0</v>
      </c>
      <c r="AF303" s="32">
        <f t="shared" si="489"/>
        <v>0</v>
      </c>
      <c r="AG303" s="32">
        <f t="shared" si="489"/>
        <v>0</v>
      </c>
      <c r="AH303" s="32">
        <f t="shared" si="489"/>
        <v>0</v>
      </c>
      <c r="AI303" s="32">
        <f t="shared" si="489"/>
        <v>0</v>
      </c>
      <c r="AJ303" s="32">
        <f t="shared" si="489"/>
        <v>0</v>
      </c>
      <c r="AK303" s="32">
        <f t="shared" si="489"/>
        <v>0</v>
      </c>
      <c r="AL303" s="32">
        <f t="shared" si="489"/>
        <v>0</v>
      </c>
      <c r="AM303" s="32">
        <f t="shared" si="489"/>
        <v>0</v>
      </c>
      <c r="AN303" s="32">
        <f t="shared" si="489"/>
        <v>0</v>
      </c>
      <c r="AO303" s="32">
        <f t="shared" si="489"/>
        <v>0</v>
      </c>
      <c r="AP303" s="32">
        <f t="shared" si="489"/>
        <v>0</v>
      </c>
      <c r="AQ303" s="32">
        <f t="shared" si="489"/>
        <v>0</v>
      </c>
      <c r="AR303" s="32">
        <f t="shared" si="489"/>
        <v>0</v>
      </c>
      <c r="AS303" s="32">
        <f t="shared" si="489"/>
        <v>0</v>
      </c>
      <c r="AT303" s="32">
        <f t="shared" si="489"/>
        <v>0</v>
      </c>
      <c r="AU303" s="32">
        <f t="shared" si="489"/>
        <v>0</v>
      </c>
      <c r="AV303" s="32">
        <f t="shared" si="489"/>
        <v>0</v>
      </c>
      <c r="AW303" s="32">
        <f t="shared" si="489"/>
        <v>0</v>
      </c>
      <c r="AX303" s="32">
        <f t="shared" si="489"/>
        <v>0</v>
      </c>
      <c r="AY303" s="32">
        <f t="shared" si="489"/>
        <v>0</v>
      </c>
      <c r="AZ303" s="32">
        <f t="shared" si="489"/>
        <v>0</v>
      </c>
      <c r="BA303" s="32">
        <f t="shared" si="489"/>
        <v>0</v>
      </c>
      <c r="BB303" s="32">
        <f t="shared" si="489"/>
        <v>0</v>
      </c>
      <c r="BC303" s="32">
        <f t="shared" si="489"/>
        <v>0</v>
      </c>
      <c r="BD303" s="32">
        <f t="shared" si="489"/>
        <v>0</v>
      </c>
      <c r="BE303" s="32">
        <f t="shared" si="489"/>
        <v>0</v>
      </c>
      <c r="BF303" s="32">
        <f t="shared" si="489"/>
        <v>0</v>
      </c>
      <c r="BG303" s="32">
        <f t="shared" si="489"/>
        <v>0</v>
      </c>
      <c r="BH303" s="32">
        <f t="shared" si="489"/>
        <v>0</v>
      </c>
      <c r="BI303" s="32">
        <f t="shared" si="489"/>
        <v>0</v>
      </c>
      <c r="BJ303" s="32">
        <f t="shared" si="489"/>
        <v>0</v>
      </c>
      <c r="BK303" s="32">
        <f t="shared" si="489"/>
        <v>0</v>
      </c>
      <c r="BL303" s="32">
        <f t="shared" si="489"/>
        <v>0</v>
      </c>
      <c r="BM303" s="32">
        <f t="shared" si="489"/>
        <v>0</v>
      </c>
      <c r="BN303" s="32">
        <f t="shared" si="489"/>
        <v>0</v>
      </c>
      <c r="BO303" s="32">
        <f t="shared" si="489"/>
        <v>0</v>
      </c>
      <c r="BP303" s="32">
        <f t="shared" si="489"/>
        <v>0</v>
      </c>
      <c r="BQ303" s="32">
        <f t="shared" si="489"/>
        <v>0</v>
      </c>
      <c r="BR303" s="32">
        <f t="shared" si="489"/>
        <v>0</v>
      </c>
      <c r="BS303" s="32">
        <f t="shared" si="489"/>
        <v>0</v>
      </c>
      <c r="BT303" s="32">
        <f t="shared" si="489"/>
        <v>0</v>
      </c>
      <c r="BU303" s="32">
        <f t="shared" ref="BU303:BY303" si="490">MIN(+BU275-BU291+BU289,0)</f>
        <v>0</v>
      </c>
      <c r="BV303" s="32">
        <f t="shared" si="490"/>
        <v>0</v>
      </c>
      <c r="BW303" s="32">
        <f t="shared" si="490"/>
        <v>0</v>
      </c>
      <c r="BX303" s="32">
        <f t="shared" si="490"/>
        <v>0</v>
      </c>
      <c r="BY303" s="32">
        <f t="shared" si="490"/>
        <v>0</v>
      </c>
    </row>
    <row r="304" spans="5:77" outlineLevel="1"/>
    <row r="305" spans="2:77" outlineLevel="1"/>
    <row r="306" spans="2:77" outlineLevel="1"/>
    <row r="307" spans="2:77" s="19" customFormat="1" ht="12.75" outlineLevel="1">
      <c r="B307" s="18" t="s">
        <v>266</v>
      </c>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row>
    <row r="308" spans="2:77" outlineLevel="1">
      <c r="BF308" s="33"/>
      <c r="BG308" s="33"/>
      <c r="BH308" s="33"/>
      <c r="BI308" s="33"/>
      <c r="BJ308" s="33"/>
      <c r="BK308" s="33"/>
      <c r="BL308" s="33"/>
      <c r="BM308" s="33"/>
      <c r="BN308" s="33"/>
      <c r="BO308" s="33"/>
      <c r="BP308" s="33"/>
      <c r="BQ308" s="33"/>
      <c r="BR308" s="33"/>
      <c r="BS308" s="33"/>
      <c r="BT308" s="33"/>
      <c r="BU308" s="33"/>
      <c r="BV308" s="33"/>
      <c r="BW308" s="33"/>
      <c r="BX308" s="33"/>
      <c r="BY308" s="33"/>
    </row>
    <row r="309" spans="2:77" ht="15" outlineLevel="1">
      <c r="C309" s="22" t="s">
        <v>496</v>
      </c>
      <c r="BF309" s="33"/>
      <c r="BG309" s="33"/>
      <c r="BH309" s="33"/>
      <c r="BI309" s="33"/>
      <c r="BJ309" s="33"/>
      <c r="BK309" s="33"/>
      <c r="BL309" s="33"/>
      <c r="BM309" s="33"/>
      <c r="BN309" s="33"/>
      <c r="BO309" s="33"/>
      <c r="BP309" s="33"/>
      <c r="BQ309" s="33"/>
      <c r="BR309" s="33"/>
      <c r="BS309" s="33"/>
      <c r="BT309" s="33"/>
      <c r="BU309" s="33"/>
      <c r="BV309" s="33"/>
      <c r="BW309" s="33"/>
      <c r="BX309" s="33"/>
      <c r="BY309" s="33"/>
    </row>
    <row r="310" spans="2:77" outlineLevel="1">
      <c r="C310" s="75">
        <f>Assumptions!$G$246*C210</f>
        <v>-1244498.6087458443</v>
      </c>
      <c r="E310" t="s">
        <v>456</v>
      </c>
      <c r="F310" s="80" t="str">
        <f>+Assumptions!$G$8</f>
        <v>USD</v>
      </c>
      <c r="H310" s="32">
        <f>IF(AND(Assumptions!$G$221="Yes",Assumptions!$G$222="Detailed"),-Assumptions_Detailed!H$82,IF(SUM($H$196:H196)&gt;0,IF(SUM($H$210:H210)&lt;$C$310,MAX($C$310-SUM($G$310:G310),H210),H210),0))</f>
        <v>0</v>
      </c>
      <c r="I310" s="32">
        <f>IF(AND(Assumptions!$G$221="Yes",Assumptions!$G$222="Detailed"),-Assumptions_Detailed!I$82,IF(SUM($H$196:I196)&gt;0,IF(SUM($H$210:I210)&lt;$C$310,MAX($C$310-SUM($G$310:H310),I210),I210),0))</f>
        <v>-1244498.6087458443</v>
      </c>
      <c r="J310" s="32">
        <f>IF(AND(Assumptions!$G$221="Yes",Assumptions!$G$222="Detailed"),-Assumptions_Detailed!J$82,IF(SUM($H$196:J196)&gt;0,IF(SUM($H$210:J210)&lt;$C$310,MAX($C$310-SUM($G$310:I310),J210),J210),0))</f>
        <v>0</v>
      </c>
      <c r="K310" s="32">
        <f>IF(AND(Assumptions!$G$221="Yes",Assumptions!$G$222="Detailed"),-Assumptions_Detailed!K$82,IF(SUM($H$196:K196)&gt;0,IF(SUM($H$210:K210)&lt;$C$310,MAX($C$310-SUM($G$310:J310),K210),K210),0))</f>
        <v>0</v>
      </c>
      <c r="L310" s="32">
        <f>IF(AND(Assumptions!$G$221="Yes",Assumptions!$G$222="Detailed"),-Assumptions_Detailed!L$82,IF(SUM($H$196:L196)&gt;0,IF(SUM($H$210:L210)&lt;$C$310,MAX($C$310-SUM($G$310:K310),L210),L210),0))</f>
        <v>0</v>
      </c>
      <c r="M310" s="32">
        <f>IF(AND(Assumptions!$G$221="Yes",Assumptions!$G$222="Detailed"),-Assumptions_Detailed!M$82,IF(SUM($H$196:M196)&gt;0,IF(SUM($H$210:M210)&lt;$C$310,MAX($C$310-SUM($G$310:L310),M210),M210),0))</f>
        <v>0</v>
      </c>
      <c r="N310" s="32">
        <f>IF(AND(Assumptions!$G$221="Yes",Assumptions!$G$222="Detailed"),-Assumptions_Detailed!N$82,IF(SUM($H$196:N196)&gt;0,IF(SUM($H$210:N210)&lt;$C$310,MAX($C$310-SUM($G$310:M310),N210),N210),0))</f>
        <v>0</v>
      </c>
      <c r="O310" s="32">
        <f>IF(AND(Assumptions!$G$221="Yes",Assumptions!$G$222="Detailed"),-Assumptions_Detailed!O$82,IF(SUM($H$196:O196)&gt;0,IF(SUM($H$210:O210)&lt;$C$310,MAX($C$310-SUM($G$310:N310),O210),O210),0))</f>
        <v>0</v>
      </c>
      <c r="P310" s="32">
        <f>IF(AND(Assumptions!$G$221="Yes",Assumptions!$G$222="Detailed"),-Assumptions_Detailed!P$82,IF(SUM($H$196:P196)&gt;0,IF(SUM($H$210:P210)&lt;$C$310,MAX($C$310-SUM($G$310:O310),P210),P210),0))</f>
        <v>0</v>
      </c>
      <c r="Q310" s="32">
        <f>IF(AND(Assumptions!$G$221="Yes",Assumptions!$G$222="Detailed"),-Assumptions_Detailed!Q$82,IF(SUM($H$196:Q196)&gt;0,IF(SUM($H$210:Q210)&lt;$C$310,MAX($C$310-SUM($G$310:P310),Q210),Q210),0))</f>
        <v>0</v>
      </c>
      <c r="R310" s="32">
        <f>IF(AND(Assumptions!$G$221="Yes",Assumptions!$G$222="Detailed"),-Assumptions_Detailed!R$82,IF(SUM($H$196:R196)&gt;0,IF(SUM($H$210:R210)&lt;$C$310,MAX($C$310-SUM($G$310:Q310),R210),R210),0))</f>
        <v>0</v>
      </c>
      <c r="S310" s="32">
        <f>IF(AND(Assumptions!$G$221="Yes",Assumptions!$G$222="Detailed"),-Assumptions_Detailed!S$82,IF(SUM($H$196:S196)&gt;0,IF(SUM($H$210:S210)&lt;$C$310,MAX($C$310-SUM($G$310:R310),S210),S210),0))</f>
        <v>0</v>
      </c>
      <c r="T310" s="32">
        <f>IF(AND(Assumptions!$G$221="Yes",Assumptions!$G$222="Detailed"),-Assumptions_Detailed!T$82,IF(SUM($H$196:T196)&gt;0,IF(SUM($H$210:T210)&lt;$C$310,MAX($C$310-SUM($G$310:S310),T210),T210),0))</f>
        <v>0</v>
      </c>
      <c r="U310" s="32">
        <f>IF(AND(Assumptions!$G$221="Yes",Assumptions!$G$222="Detailed"),-Assumptions_Detailed!U$82,IF(SUM($H$196:U196)&gt;0,IF(SUM($H$210:U210)&lt;$C$310,MAX($C$310-SUM($G$310:T310),U210),U210),0))</f>
        <v>0</v>
      </c>
      <c r="V310" s="32">
        <f>IF(AND(Assumptions!$G$221="Yes",Assumptions!$G$222="Detailed"),-Assumptions_Detailed!V$82,IF(SUM($H$196:V196)&gt;0,IF(SUM($H$210:V210)&lt;$C$310,MAX($C$310-SUM($G$310:U310),V210),V210),0))</f>
        <v>0</v>
      </c>
      <c r="W310" s="32">
        <f>IF(AND(Assumptions!$G$221="Yes",Assumptions!$G$222="Detailed"),-Assumptions_Detailed!W$82,IF(SUM($H$196:W196)&gt;0,IF(SUM($H$210:W210)&lt;$C$310,MAX($C$310-SUM($G$310:V310),W210),W210),0))</f>
        <v>0</v>
      </c>
      <c r="X310" s="32">
        <f>IF(AND(Assumptions!$G$221="Yes",Assumptions!$G$222="Detailed"),-Assumptions_Detailed!X$82,IF(SUM($H$196:X196)&gt;0,IF(SUM($H$210:X210)&lt;$C$310,MAX($C$310-SUM($G$310:W310),X210),X210),0))</f>
        <v>0</v>
      </c>
      <c r="Y310" s="32">
        <f>IF(AND(Assumptions!$G$221="Yes",Assumptions!$G$222="Detailed"),-Assumptions_Detailed!Y$82,IF(SUM($H$196:Y196)&gt;0,IF(SUM($H$210:Y210)&lt;$C$310,MAX($C$310-SUM($G$310:X310),Y210),Y210),0))</f>
        <v>0</v>
      </c>
      <c r="Z310" s="32">
        <f>IF(AND(Assumptions!$G$221="Yes",Assumptions!$G$222="Detailed"),-Assumptions_Detailed!Z$82,IF(SUM($H$196:Z196)&gt;0,IF(SUM($H$210:Z210)&lt;$C$310,MAX($C$310-SUM($G$310:Y310),Z210),Z210),0))</f>
        <v>0</v>
      </c>
      <c r="AA310" s="32">
        <f>IF(AND(Assumptions!$G$221="Yes",Assumptions!$G$222="Detailed"),-Assumptions_Detailed!AA$82,IF(SUM($H$196:AA196)&gt;0,IF(SUM($H$210:AA210)&lt;$C$310,MAX($C$310-SUM($G$310:Z310),AA210),AA210),0))</f>
        <v>0</v>
      </c>
      <c r="AB310" s="32">
        <f>IF(AND(Assumptions!$G$221="Yes",Assumptions!$G$222="Detailed"),-Assumptions_Detailed!AB$82,IF(SUM($H$196:AB196)&gt;0,IF(SUM($H$210:AB210)&lt;$C$310,MAX($C$310-SUM($G$310:AA310),AB210),AB210),0))</f>
        <v>0</v>
      </c>
      <c r="AC310" s="32">
        <f>IF(AND(Assumptions!$G$221="Yes",Assumptions!$G$222="Detailed"),-Assumptions_Detailed!AC$82,IF(SUM($H$196:AC196)&gt;0,IF(SUM($H$210:AC210)&lt;$C$310,MAX($C$310-SUM($G$310:AB310),AC210),AC210),0))</f>
        <v>0</v>
      </c>
      <c r="AD310" s="32">
        <f>IF(AND(Assumptions!$G$221="Yes",Assumptions!$G$222="Detailed"),-Assumptions_Detailed!AD$82,IF(SUM($H$196:AD196)&gt;0,IF(SUM($H$210:AD210)&lt;$C$310,MAX($C$310-SUM($G$310:AC310),AD210),AD210),0))</f>
        <v>0</v>
      </c>
      <c r="AE310" s="32">
        <f>IF(AND(Assumptions!$G$221="Yes",Assumptions!$G$222="Detailed"),-Assumptions_Detailed!AE$82,IF(SUM($H$196:AE196)&gt;0,IF(SUM($H$210:AE210)&lt;$C$310,MAX($C$310-SUM($G$310:AD310),AE210),AE210),0))</f>
        <v>0</v>
      </c>
      <c r="AF310" s="32">
        <f>IF(AND(Assumptions!$G$221="Yes",Assumptions!$G$222="Detailed"),-Assumptions_Detailed!AF$82,IF(SUM($H$196:AF196)&gt;0,IF(SUM($H$210:AF210)&lt;$C$310,MAX($C$310-SUM($G$310:AE310),AF210),AF210),0))</f>
        <v>0</v>
      </c>
      <c r="AG310" s="32">
        <f>IF(AND(Assumptions!$G$221="Yes",Assumptions!$G$222="Detailed"),-Assumptions_Detailed!AG$82,IF(SUM($H$196:AG196)&gt;0,IF(SUM($H$210:AG210)&lt;$C$310,MAX($C$310-SUM($G$310:AF310),AG210),AG210),0))</f>
        <v>0</v>
      </c>
      <c r="AH310" s="32">
        <f>IF(AND(Assumptions!$G$221="Yes",Assumptions!$G$222="Detailed"),-Assumptions_Detailed!AH$82,IF(SUM($H$196:AH196)&gt;0,IF(SUM($H$210:AH210)&lt;$C$310,MAX($C$310-SUM($G$310:AG310),AH210),AH210),0))</f>
        <v>0</v>
      </c>
      <c r="AI310" s="32">
        <f>IF(AND(Assumptions!$G$221="Yes",Assumptions!$G$222="Detailed"),-Assumptions_Detailed!AI$82,IF(SUM($H$196:AI196)&gt;0,IF(SUM($H$210:AI210)&lt;$C$310,MAX($C$310-SUM($G$310:AH310),AI210),AI210),0))</f>
        <v>0</v>
      </c>
      <c r="AJ310" s="32">
        <f>IF(AND(Assumptions!$G$221="Yes",Assumptions!$G$222="Detailed"),-Assumptions_Detailed!AJ$82,IF(SUM($H$196:AJ196)&gt;0,IF(SUM($H$210:AJ210)&lt;$C$310,MAX($C$310-SUM($G$310:AI310),AJ210),AJ210),0))</f>
        <v>0</v>
      </c>
      <c r="AK310" s="32">
        <f>IF(AND(Assumptions!$G$221="Yes",Assumptions!$G$222="Detailed"),-Assumptions_Detailed!AK$82,IF(SUM($H$196:AK196)&gt;0,IF(SUM($H$210:AK210)&lt;$C$310,MAX($C$310-SUM($G$310:AJ310),AK210),AK210),0))</f>
        <v>0</v>
      </c>
      <c r="AL310" s="32">
        <f>IF(AND(Assumptions!$G$221="Yes",Assumptions!$G$222="Detailed"),-Assumptions_Detailed!AL$82,IF(SUM($H$196:AL196)&gt;0,IF(SUM($H$210:AL210)&lt;$C$310,MAX($C$310-SUM($G$310:AK310),AL210),AL210),0))</f>
        <v>0</v>
      </c>
      <c r="AM310" s="32">
        <f>IF(AND(Assumptions!$G$221="Yes",Assumptions!$G$222="Detailed"),-Assumptions_Detailed!AM$82,IF(SUM($H$196:AM196)&gt;0,IF(SUM($H$210:AM210)&lt;$C$310,MAX($C$310-SUM($G$310:AL310),AM210),AM210),0))</f>
        <v>0</v>
      </c>
      <c r="AN310" s="32">
        <f>IF(AND(Assumptions!$G$221="Yes",Assumptions!$G$222="Detailed"),-Assumptions_Detailed!AN$82,IF(SUM($H$196:AN196)&gt;0,IF(SUM($H$210:AN210)&lt;$C$310,MAX($C$310-SUM($G$310:AM310),AN210),AN210),0))</f>
        <v>0</v>
      </c>
      <c r="AO310" s="32">
        <f>IF(AND(Assumptions!$G$221="Yes",Assumptions!$G$222="Detailed"),-Assumptions_Detailed!AO$82,IF(SUM($H$196:AO196)&gt;0,IF(SUM($H$210:AO210)&lt;$C$310,MAX($C$310-SUM($G$310:AN310),AO210),AO210),0))</f>
        <v>0</v>
      </c>
      <c r="AP310" s="32">
        <f>IF(AND(Assumptions!$G$221="Yes",Assumptions!$G$222="Detailed"),-Assumptions_Detailed!AP$82,IF(SUM($H$196:AP196)&gt;0,IF(SUM($H$210:AP210)&lt;$C$310,MAX($C$310-SUM($G$310:AO310),AP210),AP210),0))</f>
        <v>0</v>
      </c>
      <c r="AQ310" s="32">
        <f>IF(AND(Assumptions!$G$221="Yes",Assumptions!$G$222="Detailed"),-Assumptions_Detailed!AQ$82,IF(SUM($H$196:AQ196)&gt;0,IF(SUM($H$210:AQ210)&lt;$C$310,MAX($C$310-SUM($G$310:AP310),AQ210),AQ210),0))</f>
        <v>0</v>
      </c>
      <c r="AR310" s="32">
        <f>IF(AND(Assumptions!$G$221="Yes",Assumptions!$G$222="Detailed"),-Assumptions_Detailed!AR$82,IF(SUM($H$196:AR196)&gt;0,IF(SUM($H$210:AR210)&lt;$C$310,MAX($C$310-SUM($G$310:AQ310),AR210),AR210),0))</f>
        <v>0</v>
      </c>
      <c r="AS310" s="32">
        <f>IF(AND(Assumptions!$G$221="Yes",Assumptions!$G$222="Detailed"),-Assumptions_Detailed!AS$82,IF(SUM($H$196:AS196)&gt;0,IF(SUM($H$210:AS210)&lt;$C$310,MAX($C$310-SUM($G$310:AR310),AS210),AS210),0))</f>
        <v>0</v>
      </c>
      <c r="AT310" s="32">
        <f>IF(AND(Assumptions!$G$221="Yes",Assumptions!$G$222="Detailed"),-Assumptions_Detailed!AT$82,IF(SUM($H$196:AT196)&gt;0,IF(SUM($H$210:AT210)&lt;$C$310,MAX($C$310-SUM($G$310:AS310),AT210),AT210),0))</f>
        <v>0</v>
      </c>
      <c r="AU310" s="32">
        <f>IF(AND(Assumptions!$G$221="Yes",Assumptions!$G$222="Detailed"),-Assumptions_Detailed!AU$82,IF(SUM($H$196:AU196)&gt;0,IF(SUM($H$210:AU210)&lt;$C$310,MAX($C$310-SUM($G$310:AT310),AU210),AU210),0))</f>
        <v>0</v>
      </c>
      <c r="AV310" s="32">
        <f>IF(AND(Assumptions!$G$221="Yes",Assumptions!$G$222="Detailed"),-Assumptions_Detailed!AV$82,IF(SUM($H$196:AV196)&gt;0,IF(SUM($H$210:AV210)&lt;$C$310,MAX($C$310-SUM($G$310:AU310),AV210),AV210),0))</f>
        <v>0</v>
      </c>
      <c r="AW310" s="32">
        <f>IF(AND(Assumptions!$G$221="Yes",Assumptions!$G$222="Detailed"),-Assumptions_Detailed!AW$82,IF(SUM($H$196:AW196)&gt;0,IF(SUM($H$210:AW210)&lt;$C$310,MAX($C$310-SUM($G$310:AV310),AW210),AW210),0))</f>
        <v>0</v>
      </c>
      <c r="AX310" s="32">
        <f>IF(AND(Assumptions!$G$221="Yes",Assumptions!$G$222="Detailed"),-Assumptions_Detailed!AX$82,IF(SUM($H$196:AX196)&gt;0,IF(SUM($H$210:AX210)&lt;$C$310,MAX($C$310-SUM($G$310:AW310),AX210),AX210),0))</f>
        <v>0</v>
      </c>
      <c r="AY310" s="32">
        <f>IF(AND(Assumptions!$G$221="Yes",Assumptions!$G$222="Detailed"),-Assumptions_Detailed!AY$82,IF(SUM($H$196:AY196)&gt;0,IF(SUM($H$210:AY210)&lt;$C$310,MAX($C$310-SUM($G$310:AX310),AY210),AY210),0))</f>
        <v>0</v>
      </c>
      <c r="AZ310" s="32">
        <f>IF(AND(Assumptions!$G$221="Yes",Assumptions!$G$222="Detailed"),-Assumptions_Detailed!AZ$82,IF(SUM($H$196:AZ196)&gt;0,IF(SUM($H$210:AZ210)&lt;$C$310,MAX($C$310-SUM($G$310:AY310),AZ210),AZ210),0))</f>
        <v>0</v>
      </c>
      <c r="BA310" s="32">
        <f>IF(AND(Assumptions!$G$221="Yes",Assumptions!$G$222="Detailed"),-Assumptions_Detailed!BA$82,IF(SUM($H$196:BA196)&gt;0,IF(SUM($H$210:BA210)&lt;$C$310,MAX($C$310-SUM($G$310:AZ310),BA210),BA210),0))</f>
        <v>0</v>
      </c>
      <c r="BB310" s="32">
        <f>IF(AND(Assumptions!$G$221="Yes",Assumptions!$G$222="Detailed"),-Assumptions_Detailed!BB$82,IF(SUM($H$196:BB196)&gt;0,IF(SUM($H$210:BB210)&lt;$C$310,MAX($C$310-SUM($G$310:BA310),BB210),BB210),0))</f>
        <v>0</v>
      </c>
      <c r="BC310" s="32">
        <f>IF(AND(Assumptions!$G$221="Yes",Assumptions!$G$222="Detailed"),-Assumptions_Detailed!BC$82,IF(SUM($H$196:BC196)&gt;0,IF(SUM($H$210:BC210)&lt;$C$310,MAX($C$310-SUM($G$310:BB310),BC210),BC210),0))</f>
        <v>0</v>
      </c>
      <c r="BD310" s="32">
        <f>IF(AND(Assumptions!$G$221="Yes",Assumptions!$G$222="Detailed"),-Assumptions_Detailed!BD$82,IF(SUM($H$196:BD196)&gt;0,IF(SUM($H$210:BD210)&lt;$C$310,MAX($C$310-SUM($G$310:BC310),BD210),BD210),0))</f>
        <v>0</v>
      </c>
      <c r="BE310" s="32">
        <f>IF(AND(Assumptions!$G$221="Yes",Assumptions!$G$222="Detailed"),-Assumptions_Detailed!BE$82,IF(SUM($H$196:BE196)&gt;0,IF(SUM($H$210:BE210)&lt;$C$310,MAX($C$310-SUM($G$310:BD310),BE210),BE210),0))</f>
        <v>0</v>
      </c>
      <c r="BF310" s="32">
        <f>IF(AND(Assumptions!$G$221="Yes",Assumptions!$G$222="Detailed"),-Assumptions_Detailed!BF$82,IF(SUM($H$196:BF196)&gt;0,IF(SUM($H$210:BF210)&lt;$C$310,MAX($C$310-SUM($G$310:BE310),BF210),BF210),0))</f>
        <v>0</v>
      </c>
      <c r="BG310" s="32">
        <f>IF(AND(Assumptions!$G$221="Yes",Assumptions!$G$222="Detailed"),-Assumptions_Detailed!BG$82,IF(SUM($H$196:BG196)&gt;0,IF(SUM($H$210:BG210)&lt;$C$310,MAX($C$310-SUM($G$310:BF310),BG210),BG210),0))</f>
        <v>0</v>
      </c>
      <c r="BH310" s="32">
        <f>IF(AND(Assumptions!$G$221="Yes",Assumptions!$G$222="Detailed"),-Assumptions_Detailed!BH$82,IF(SUM($H$196:BH196)&gt;0,IF(SUM($H$210:BH210)&lt;$C$310,MAX($C$310-SUM($G$310:BG310),BH210),BH210),0))</f>
        <v>0</v>
      </c>
      <c r="BI310" s="32">
        <f>IF(AND(Assumptions!$G$221="Yes",Assumptions!$G$222="Detailed"),-Assumptions_Detailed!BI$82,IF(SUM($H$196:BI196)&gt;0,IF(SUM($H$210:BI210)&lt;$C$310,MAX($C$310-SUM($G$310:BH310),BI210),BI210),0))</f>
        <v>0</v>
      </c>
      <c r="BJ310" s="32">
        <f>IF(AND(Assumptions!$G$221="Yes",Assumptions!$G$222="Detailed"),-Assumptions_Detailed!BJ$82,IF(SUM($H$196:BJ196)&gt;0,IF(SUM($H$210:BJ210)&lt;$C$310,MAX($C$310-SUM($G$310:BI310),BJ210),BJ210),0))</f>
        <v>0</v>
      </c>
      <c r="BK310" s="32">
        <f>IF(AND(Assumptions!$G$221="Yes",Assumptions!$G$222="Detailed"),-Assumptions_Detailed!BK$82,IF(SUM($H$196:BK196)&gt;0,IF(SUM($H$210:BK210)&lt;$C$310,MAX($C$310-SUM($G$310:BJ310),BK210),BK210),0))</f>
        <v>0</v>
      </c>
      <c r="BL310" s="32">
        <f>IF(AND(Assumptions!$G$221="Yes",Assumptions!$G$222="Detailed"),-Assumptions_Detailed!BL$82,IF(SUM($H$196:BL196)&gt;0,IF(SUM($H$210:BL210)&lt;$C$310,MAX($C$310-SUM($G$310:BK310),BL210),BL210),0))</f>
        <v>0</v>
      </c>
      <c r="BM310" s="32">
        <f>IF(AND(Assumptions!$G$221="Yes",Assumptions!$G$222="Detailed"),-Assumptions_Detailed!BM$82,IF(SUM($H$196:BM196)&gt;0,IF(SUM($H$210:BM210)&lt;$C$310,MAX($C$310-SUM($G$310:BL310),BM210),BM210),0))</f>
        <v>0</v>
      </c>
      <c r="BN310" s="32">
        <f>IF(AND(Assumptions!$G$221="Yes",Assumptions!$G$222="Detailed"),-Assumptions_Detailed!BN$82,IF(SUM($H$196:BN196)&gt;0,IF(SUM($H$210:BN210)&lt;$C$310,MAX($C$310-SUM($G$310:BM310),BN210),BN210),0))</f>
        <v>0</v>
      </c>
      <c r="BO310" s="32">
        <f>IF(AND(Assumptions!$G$221="Yes",Assumptions!$G$222="Detailed"),-Assumptions_Detailed!BO$82,IF(SUM($H$196:BO196)&gt;0,IF(SUM($H$210:BO210)&lt;$C$310,MAX($C$310-SUM($G$310:BN310),BO210),BO210),0))</f>
        <v>0</v>
      </c>
      <c r="BP310" s="32">
        <f>IF(AND(Assumptions!$G$221="Yes",Assumptions!$G$222="Detailed"),-Assumptions_Detailed!BP$82,IF(SUM($H$196:BP196)&gt;0,IF(SUM($H$210:BP210)&lt;$C$310,MAX($C$310-SUM($G$310:BO310),BP210),BP210),0))</f>
        <v>0</v>
      </c>
      <c r="BQ310" s="32">
        <f>IF(AND(Assumptions!$G$221="Yes",Assumptions!$G$222="Detailed"),-Assumptions_Detailed!BQ$82,IF(SUM($H$196:BQ196)&gt;0,IF(SUM($H$210:BQ210)&lt;$C$310,MAX($C$310-SUM($G$310:BP310),BQ210),BQ210),0))</f>
        <v>0</v>
      </c>
      <c r="BR310" s="32">
        <f>IF(AND(Assumptions!$G$221="Yes",Assumptions!$G$222="Detailed"),-Assumptions_Detailed!BR$82,IF(SUM($H$196:BR196)&gt;0,IF(SUM($H$210:BR210)&lt;$C$310,MAX($C$310-SUM($G$310:BQ310),BR210),BR210),0))</f>
        <v>0</v>
      </c>
      <c r="BS310" s="32">
        <f>IF(AND(Assumptions!$G$221="Yes",Assumptions!$G$222="Detailed"),-Assumptions_Detailed!BS$82,IF(SUM($H$196:BS196)&gt;0,IF(SUM($H$210:BS210)&lt;$C$310,MAX($C$310-SUM($G$310:BR310),BS210),BS210),0))</f>
        <v>0</v>
      </c>
      <c r="BT310" s="32">
        <f>IF(AND(Assumptions!$G$221="Yes",Assumptions!$G$222="Detailed"),-Assumptions_Detailed!BT$82,IF(SUM($H$196:BT196)&gt;0,IF(SUM($H$210:BT210)&lt;$C$310,MAX($C$310-SUM($G$310:BS310),BT210),BT210),0))</f>
        <v>0</v>
      </c>
      <c r="BU310" s="32">
        <f>IF(AND(Assumptions!$G$221="Yes",Assumptions!$G$222="Detailed"),-Assumptions_Detailed!BU$82,IF(SUM($H$196:BU196)&gt;0,IF(SUM($H$210:BU210)&lt;$C$310,MAX($C$310-SUM($G$310:BT310),BU210),BU210),0))</f>
        <v>0</v>
      </c>
      <c r="BV310" s="32">
        <f>IF(AND(Assumptions!$G$221="Yes",Assumptions!$G$222="Detailed"),-Assumptions_Detailed!BV$82,IF(SUM($H$196:BV196)&gt;0,IF(SUM($H$210:BV210)&lt;$C$310,MAX($C$310-SUM($G$310:BU310),BV210),BV210),0))</f>
        <v>0</v>
      </c>
      <c r="BW310" s="32">
        <f>IF(AND(Assumptions!$G$221="Yes",Assumptions!$G$222="Detailed"),-Assumptions_Detailed!BW$82,IF(SUM($H$196:BW196)&gt;0,IF(SUM($H$210:BW210)&lt;$C$310,MAX($C$310-SUM($G$310:BV310),BW210),BW210),0))</f>
        <v>0</v>
      </c>
      <c r="BX310" s="32">
        <f>IF(AND(Assumptions!$G$221="Yes",Assumptions!$G$222="Detailed"),-Assumptions_Detailed!BX$82,IF(SUM($H$196:BX196)&gt;0,IF(SUM($H$210:BX210)&lt;$C$310,MAX($C$310-SUM($G$310:BW310),BX210),BX210),0))</f>
        <v>0</v>
      </c>
      <c r="BY310" s="32">
        <f>IF(AND(Assumptions!$G$221="Yes",Assumptions!$G$222="Detailed"),-Assumptions_Detailed!BY$82,IF(SUM($H$196:BY196)&gt;0,IF(SUM($H$210:BY210)&lt;$C$310,MAX($C$310-SUM($G$310:BX310),BY210),BY210),0))</f>
        <v>0</v>
      </c>
    </row>
    <row r="311" spans="2:77" outlineLevel="1">
      <c r="BF311" s="33"/>
      <c r="BG311" s="33"/>
      <c r="BH311" s="33"/>
      <c r="BI311" s="33"/>
      <c r="BJ311" s="33"/>
      <c r="BK311" s="33"/>
      <c r="BL311" s="33"/>
      <c r="BM311" s="33"/>
      <c r="BN311" s="33"/>
      <c r="BO311" s="33"/>
      <c r="BP311" s="33"/>
      <c r="BQ311" s="33"/>
      <c r="BR311" s="33"/>
      <c r="BS311" s="33"/>
      <c r="BT311" s="33"/>
      <c r="BU311" s="33"/>
      <c r="BV311" s="33"/>
      <c r="BW311" s="33"/>
      <c r="BX311" s="33"/>
      <c r="BY311" s="33"/>
    </row>
    <row r="312" spans="2:77" outlineLevel="1">
      <c r="BF312" s="33"/>
      <c r="BG312" s="33"/>
      <c r="BH312" s="33"/>
      <c r="BI312" s="33"/>
      <c r="BJ312" s="33"/>
      <c r="BK312" s="33"/>
      <c r="BL312" s="33"/>
      <c r="BM312" s="33"/>
      <c r="BN312" s="33"/>
      <c r="BO312" s="33"/>
      <c r="BP312" s="33"/>
      <c r="BQ312" s="33"/>
      <c r="BR312" s="33"/>
      <c r="BS312" s="33"/>
      <c r="BT312" s="33"/>
      <c r="BU312" s="33"/>
      <c r="BV312" s="33"/>
      <c r="BW312" s="33"/>
      <c r="BX312" s="33"/>
      <c r="BY312" s="33"/>
    </row>
    <row r="313" spans="2:77" ht="15" outlineLevel="1">
      <c r="C313" s="22" t="s">
        <v>497</v>
      </c>
      <c r="D313" s="31"/>
    </row>
    <row r="314" spans="2:77" ht="15" outlineLevel="1">
      <c r="C314" s="68" t="str">
        <f>Assumptions!G232</f>
        <v>Equity-first</v>
      </c>
      <c r="D314" s="28"/>
      <c r="E314" s="22" t="s">
        <v>457</v>
      </c>
      <c r="H314" s="32"/>
      <c r="BF314" s="33"/>
      <c r="BG314" s="33"/>
      <c r="BH314" s="33"/>
      <c r="BI314" s="33"/>
      <c r="BJ314" s="33"/>
      <c r="BK314" s="33"/>
      <c r="BL314" s="33"/>
      <c r="BM314" s="33"/>
      <c r="BN314" s="33"/>
      <c r="BO314" s="33"/>
      <c r="BP314" s="33"/>
      <c r="BQ314" s="33"/>
      <c r="BR314" s="33"/>
      <c r="BS314" s="33"/>
      <c r="BT314" s="33"/>
      <c r="BU314" s="33"/>
      <c r="BV314" s="33"/>
      <c r="BW314" s="33"/>
      <c r="BX314" s="33"/>
      <c r="BY314" s="33"/>
    </row>
    <row r="315" spans="2:77" outlineLevel="1">
      <c r="C315" s="68" t="str">
        <f>Assumptions!G233</f>
        <v>Annuity</v>
      </c>
      <c r="D315" s="28"/>
      <c r="E315" t="s">
        <v>458</v>
      </c>
      <c r="F315" s="80" t="str">
        <f>+Assumptions!$G$8</f>
        <v>USD</v>
      </c>
      <c r="H315" s="32">
        <f>IF(AND(Assumptions!$G$221="Yes",Assumptions!$G$222="Detailed"),-Assumptions_Detailed!H$85,MAX(IFERROR(H210-H310,0),$C$318-SUM($G$315:G315)))</f>
        <v>0</v>
      </c>
      <c r="I315" s="32">
        <f>IF(AND(Assumptions!$G$221="Yes",Assumptions!$G$222="Detailed"),-Assumptions_Detailed!I$85,MAX(IFERROR(I210-I310,0),$C$318-SUM($G$315:H315)))</f>
        <v>-809129.45849152235</v>
      </c>
      <c r="J315" s="32">
        <f>IF(AND(Assumptions!$G$221="Yes",Assumptions!$G$222="Detailed"),-Assumptions_Detailed!J$85,MAX(IFERROR(J210-J310,0),$C$318-SUM($G$315:I315)))</f>
        <v>-2094700.6285821139</v>
      </c>
      <c r="K315" s="32">
        <f>IF(AND(Assumptions!$G$221="Yes",Assumptions!$G$222="Detailed"),-Assumptions_Detailed!K$85,MAX(IFERROR(K210-K310,0),$C$318-SUM($G$315:J315)))</f>
        <v>0</v>
      </c>
      <c r="L315" s="32">
        <f>IF(AND(Assumptions!$G$221="Yes",Assumptions!$G$222="Detailed"),-Assumptions_Detailed!L$85,MAX(IFERROR(L210-L310,0),$C$318-SUM($G$315:K315)))</f>
        <v>0</v>
      </c>
      <c r="M315" s="32">
        <f>IF(AND(Assumptions!$G$221="Yes",Assumptions!$G$222="Detailed"),-Assumptions_Detailed!M$85,MAX(IFERROR(M210-M310,0),$C$318-SUM($G$315:L315)))</f>
        <v>0</v>
      </c>
      <c r="N315" s="32">
        <f>IF(AND(Assumptions!$G$221="Yes",Assumptions!$G$222="Detailed"),-Assumptions_Detailed!N$85,MAX(IFERROR(N210-N310,0),$C$318-SUM($G$315:M315)))</f>
        <v>0</v>
      </c>
      <c r="O315" s="32">
        <f>IF(AND(Assumptions!$G$221="Yes",Assumptions!$G$222="Detailed"),-Assumptions_Detailed!O$85,MAX(IFERROR(O210-O310,0),$C$318-SUM($G$315:N315)))</f>
        <v>0</v>
      </c>
      <c r="P315" s="32">
        <f>IF(AND(Assumptions!$G$221="Yes",Assumptions!$G$222="Detailed"),-Assumptions_Detailed!P$85,MAX(IFERROR(P210-P310,0),$C$318-SUM($G$315:O315)))</f>
        <v>0</v>
      </c>
      <c r="Q315" s="32">
        <f>IF(AND(Assumptions!$G$221="Yes",Assumptions!$G$222="Detailed"),-Assumptions_Detailed!Q$85,MAX(IFERROR(Q210-Q310,0),$C$318-SUM($G$315:P315)))</f>
        <v>0</v>
      </c>
      <c r="R315" s="32">
        <f>IF(AND(Assumptions!$G$221="Yes",Assumptions!$G$222="Detailed"),-Assumptions_Detailed!R$85,MAX(IFERROR(R210-R310,0),$C$318-SUM($G$315:Q315)))</f>
        <v>0</v>
      </c>
      <c r="S315" s="32">
        <f>IF(AND(Assumptions!$G$221="Yes",Assumptions!$G$222="Detailed"),-Assumptions_Detailed!S$85,MAX(IFERROR(S210-S310,0),$C$318-SUM($G$315:R315)))</f>
        <v>0</v>
      </c>
      <c r="T315" s="32">
        <f>IF(AND(Assumptions!$G$221="Yes",Assumptions!$G$222="Detailed"),-Assumptions_Detailed!T$85,MAX(IFERROR(T210-T310,0),$C$318-SUM($G$315:S315)))</f>
        <v>0</v>
      </c>
      <c r="U315" s="32">
        <f>IF(AND(Assumptions!$G$221="Yes",Assumptions!$G$222="Detailed"),-Assumptions_Detailed!U$85,MAX(IFERROR(U210-U310,0),$C$318-SUM($G$315:T315)))</f>
        <v>0</v>
      </c>
      <c r="V315" s="32">
        <f>IF(AND(Assumptions!$G$221="Yes",Assumptions!$G$222="Detailed"),-Assumptions_Detailed!V$85,MAX(IFERROR(V210-V310,0),$C$318-SUM($G$315:U315)))</f>
        <v>0</v>
      </c>
      <c r="W315" s="32">
        <f>IF(AND(Assumptions!$G$221="Yes",Assumptions!$G$222="Detailed"),-Assumptions_Detailed!W$85,MAX(IFERROR(W210-W310,0),$C$318-SUM($G$315:V315)))</f>
        <v>0</v>
      </c>
      <c r="X315" s="32">
        <f>IF(AND(Assumptions!$G$221="Yes",Assumptions!$G$222="Detailed"),-Assumptions_Detailed!X$85,MAX(IFERROR(X210-X310,0),$C$318-SUM($G$315:W315)))</f>
        <v>0</v>
      </c>
      <c r="Y315" s="32">
        <f>IF(AND(Assumptions!$G$221="Yes",Assumptions!$G$222="Detailed"),-Assumptions_Detailed!Y$85,MAX(IFERROR(Y210-Y310,0),$C$318-SUM($G$315:X315)))</f>
        <v>0</v>
      </c>
      <c r="Z315" s="32">
        <f>IF(AND(Assumptions!$G$221="Yes",Assumptions!$G$222="Detailed"),-Assumptions_Detailed!Z$85,MAX(IFERROR(Z210-Z310,0),$C$318-SUM($G$315:Y315)))</f>
        <v>0</v>
      </c>
      <c r="AA315" s="32">
        <f>IF(AND(Assumptions!$G$221="Yes",Assumptions!$G$222="Detailed"),-Assumptions_Detailed!AA$85,MAX(IFERROR(AA210-AA310,0),$C$318-SUM($G$315:Z315)))</f>
        <v>0</v>
      </c>
      <c r="AB315" s="32">
        <f>IF(AND(Assumptions!$G$221="Yes",Assumptions!$G$222="Detailed"),-Assumptions_Detailed!AB$85,MAX(IFERROR(AB210-AB310,0),$C$318-SUM($G$315:AA315)))</f>
        <v>0</v>
      </c>
      <c r="AC315" s="32">
        <f>IF(AND(Assumptions!$G$221="Yes",Assumptions!$G$222="Detailed"),-Assumptions_Detailed!AC$85,MAX(IFERROR(AC210-AC310,0),$C$318-SUM($G$315:AB315)))</f>
        <v>0</v>
      </c>
      <c r="AD315" s="32">
        <f>IF(AND(Assumptions!$G$221="Yes",Assumptions!$G$222="Detailed"),-Assumptions_Detailed!AD$85,MAX(IFERROR(AD210-AD310,0),$C$318-SUM($G$315:AC315)))</f>
        <v>0</v>
      </c>
      <c r="AE315" s="32">
        <f>IF(AND(Assumptions!$G$221="Yes",Assumptions!$G$222="Detailed"),-Assumptions_Detailed!AE$85,MAX(IFERROR(AE210-AE310,0),$C$318-SUM($G$315:AD315)))</f>
        <v>0</v>
      </c>
      <c r="AF315" s="32">
        <f>IF(AND(Assumptions!$G$221="Yes",Assumptions!$G$222="Detailed"),-Assumptions_Detailed!AF$85,MAX(IFERROR(AF210-AF310,0),$C$318-SUM($G$315:AE315)))</f>
        <v>0</v>
      </c>
      <c r="AG315" s="32">
        <f>IF(AND(Assumptions!$G$221="Yes",Assumptions!$G$222="Detailed"),-Assumptions_Detailed!AG$85,MAX(IFERROR(AG210-AG310,0),$C$318-SUM($G$315:AF315)))</f>
        <v>0</v>
      </c>
      <c r="AH315" s="32">
        <f>IF(AND(Assumptions!$G$221="Yes",Assumptions!$G$222="Detailed"),-Assumptions_Detailed!AH$85,MAX(IFERROR(AH210-AH310,0),$C$318-SUM($G$315:AG315)))</f>
        <v>0</v>
      </c>
      <c r="AI315" s="32">
        <f>IF(AND(Assumptions!$G$221="Yes",Assumptions!$G$222="Detailed"),-Assumptions_Detailed!AI$85,MAX(IFERROR(AI210-AI310,0),$C$318-SUM($G$315:AH315)))</f>
        <v>0</v>
      </c>
      <c r="AJ315" s="32">
        <f>IF(AND(Assumptions!$G$221="Yes",Assumptions!$G$222="Detailed"),-Assumptions_Detailed!AJ$85,MAX(IFERROR(AJ210-AJ310,0),$C$318-SUM($G$315:AI315)))</f>
        <v>0</v>
      </c>
      <c r="AK315" s="32">
        <f>IF(AND(Assumptions!$G$221="Yes",Assumptions!$G$222="Detailed"),-Assumptions_Detailed!AK$85,MAX(IFERROR(AK210-AK310,0),$C$318-SUM($G$315:AJ315)))</f>
        <v>0</v>
      </c>
      <c r="AL315" s="32">
        <f>IF(AND(Assumptions!$G$221="Yes",Assumptions!$G$222="Detailed"),-Assumptions_Detailed!AL$85,MAX(IFERROR(AL210-AL310,0),$C$318-SUM($G$315:AK315)))</f>
        <v>0</v>
      </c>
      <c r="AM315" s="32">
        <f>IF(AND(Assumptions!$G$221="Yes",Assumptions!$G$222="Detailed"),-Assumptions_Detailed!AM$85,MAX(IFERROR(AM210-AM310,0),$C$318-SUM($G$315:AL315)))</f>
        <v>0</v>
      </c>
      <c r="AN315" s="32">
        <f>IF(AND(Assumptions!$G$221="Yes",Assumptions!$G$222="Detailed"),-Assumptions_Detailed!AN$85,MAX(IFERROR(AN210-AN310,0),$C$318-SUM($G$315:AM315)))</f>
        <v>0</v>
      </c>
      <c r="AO315" s="32">
        <f>IF(AND(Assumptions!$G$221="Yes",Assumptions!$G$222="Detailed"),-Assumptions_Detailed!AO$85,MAX(IFERROR(AO210-AO310,0),$C$318-SUM($G$315:AN315)))</f>
        <v>0</v>
      </c>
      <c r="AP315" s="32">
        <f>IF(AND(Assumptions!$G$221="Yes",Assumptions!$G$222="Detailed"),-Assumptions_Detailed!AP$85,MAX(IFERROR(AP210-AP310,0),$C$318-SUM($G$315:AO315)))</f>
        <v>0</v>
      </c>
      <c r="AQ315" s="32">
        <f>IF(AND(Assumptions!$G$221="Yes",Assumptions!$G$222="Detailed"),-Assumptions_Detailed!AQ$85,MAX(IFERROR(AQ210-AQ310,0),$C$318-SUM($G$315:AP315)))</f>
        <v>0</v>
      </c>
      <c r="AR315" s="32">
        <f>IF(AND(Assumptions!$G$221="Yes",Assumptions!$G$222="Detailed"),-Assumptions_Detailed!AR$85,MAX(IFERROR(AR210-AR310,0),$C$318-SUM($G$315:AQ315)))</f>
        <v>0</v>
      </c>
      <c r="AS315" s="32">
        <f>IF(AND(Assumptions!$G$221="Yes",Assumptions!$G$222="Detailed"),-Assumptions_Detailed!AS$85,MAX(IFERROR(AS210-AS310,0),$C$318-SUM($G$315:AR315)))</f>
        <v>0</v>
      </c>
      <c r="AT315" s="32">
        <f>IF(AND(Assumptions!$G$221="Yes",Assumptions!$G$222="Detailed"),-Assumptions_Detailed!AT$85,MAX(IFERROR(AT210-AT310,0),$C$318-SUM($G$315:AS315)))</f>
        <v>0</v>
      </c>
      <c r="AU315" s="32">
        <f>IF(AND(Assumptions!$G$221="Yes",Assumptions!$G$222="Detailed"),-Assumptions_Detailed!AU$85,MAX(IFERROR(AU210-AU310,0),$C$318-SUM($G$315:AT315)))</f>
        <v>0</v>
      </c>
      <c r="AV315" s="32">
        <f>IF(AND(Assumptions!$G$221="Yes",Assumptions!$G$222="Detailed"),-Assumptions_Detailed!AV$85,MAX(IFERROR(AV210-AV310,0),$C$318-SUM($G$315:AU315)))</f>
        <v>0</v>
      </c>
      <c r="AW315" s="32">
        <f>IF(AND(Assumptions!$G$221="Yes",Assumptions!$G$222="Detailed"),-Assumptions_Detailed!AW$85,MAX(IFERROR(AW210-AW310,0),$C$318-SUM($G$315:AV315)))</f>
        <v>0</v>
      </c>
      <c r="AX315" s="32">
        <f>IF(AND(Assumptions!$G$221="Yes",Assumptions!$G$222="Detailed"),-Assumptions_Detailed!AX$85,MAX(IFERROR(AX210-AX310,0),$C$318-SUM($G$315:AW315)))</f>
        <v>0</v>
      </c>
      <c r="AY315" s="32">
        <f>IF(AND(Assumptions!$G$221="Yes",Assumptions!$G$222="Detailed"),-Assumptions_Detailed!AY$85,MAX(IFERROR(AY210-AY310,0),$C$318-SUM($G$315:AX315)))</f>
        <v>0</v>
      </c>
      <c r="AZ315" s="32">
        <f>IF(AND(Assumptions!$G$221="Yes",Assumptions!$G$222="Detailed"),-Assumptions_Detailed!AZ$85,MAX(IFERROR(AZ210-AZ310,0),$C$318-SUM($G$315:AY315)))</f>
        <v>0</v>
      </c>
      <c r="BA315" s="32">
        <f>IF(AND(Assumptions!$G$221="Yes",Assumptions!$G$222="Detailed"),-Assumptions_Detailed!BA$85,MAX(IFERROR(BA210-BA310,0),$C$318-SUM($G$315:AZ315)))</f>
        <v>0</v>
      </c>
      <c r="BB315" s="32">
        <f>IF(AND(Assumptions!$G$221="Yes",Assumptions!$G$222="Detailed"),-Assumptions_Detailed!BB$85,MAX(IFERROR(BB210-BB310,0),$C$318-SUM($G$315:BA315)))</f>
        <v>0</v>
      </c>
      <c r="BC315" s="32">
        <f>IF(AND(Assumptions!$G$221="Yes",Assumptions!$G$222="Detailed"),-Assumptions_Detailed!BC$85,MAX(IFERROR(BC210-BC310,0),$C$318-SUM($G$315:BB315)))</f>
        <v>0</v>
      </c>
      <c r="BD315" s="32">
        <f>IF(AND(Assumptions!$G$221="Yes",Assumptions!$G$222="Detailed"),-Assumptions_Detailed!BD$85,MAX(IFERROR(BD210-BD310,0),$C$318-SUM($G$315:BC315)))</f>
        <v>0</v>
      </c>
      <c r="BE315" s="32">
        <f>IF(AND(Assumptions!$G$221="Yes",Assumptions!$G$222="Detailed"),-Assumptions_Detailed!BE$85,MAX(IFERROR(BE210-BE310,0),$C$318-SUM($G$315:BD315)))</f>
        <v>0</v>
      </c>
      <c r="BF315" s="32">
        <f>IF(AND(Assumptions!$G$221="Yes",Assumptions!$G$222="Detailed"),-Assumptions_Detailed!BF$85,MAX(IFERROR(BF210-BF310,0),$C$318-SUM($G$315:BE315)))</f>
        <v>0</v>
      </c>
      <c r="BG315" s="32">
        <f>IF(AND(Assumptions!$G$221="Yes",Assumptions!$G$222="Detailed"),-Assumptions_Detailed!BG$85,MAX(IFERROR(BG210-BG310,0),$C$318-SUM($G$315:BF315)))</f>
        <v>0</v>
      </c>
      <c r="BH315" s="32">
        <f>IF(AND(Assumptions!$G$221="Yes",Assumptions!$G$222="Detailed"),-Assumptions_Detailed!BH$85,MAX(IFERROR(BH210-BH310,0),$C$318-SUM($G$315:BG315)))</f>
        <v>0</v>
      </c>
      <c r="BI315" s="32">
        <f>IF(AND(Assumptions!$G$221="Yes",Assumptions!$G$222="Detailed"),-Assumptions_Detailed!BI$85,MAX(IFERROR(BI210-BI310,0),$C$318-SUM($G$315:BH315)))</f>
        <v>0</v>
      </c>
      <c r="BJ315" s="32">
        <f>IF(AND(Assumptions!$G$221="Yes",Assumptions!$G$222="Detailed"),-Assumptions_Detailed!BJ$85,MAX(IFERROR(BJ210-BJ310,0),$C$318-SUM($G$315:BI315)))</f>
        <v>0</v>
      </c>
      <c r="BK315" s="32">
        <f>IF(AND(Assumptions!$G$221="Yes",Assumptions!$G$222="Detailed"),-Assumptions_Detailed!BK$85,MAX(IFERROR(BK210-BK310,0),$C$318-SUM($G$315:BJ315)))</f>
        <v>0</v>
      </c>
      <c r="BL315" s="32">
        <f>IF(AND(Assumptions!$G$221="Yes",Assumptions!$G$222="Detailed"),-Assumptions_Detailed!BL$85,MAX(IFERROR(BL210-BL310,0),$C$318-SUM($G$315:BK315)))</f>
        <v>0</v>
      </c>
      <c r="BM315" s="32">
        <f>IF(AND(Assumptions!$G$221="Yes",Assumptions!$G$222="Detailed"),-Assumptions_Detailed!BM$85,MAX(IFERROR(BM210-BM310,0),$C$318-SUM($G$315:BL315)))</f>
        <v>0</v>
      </c>
      <c r="BN315" s="32">
        <f>IF(AND(Assumptions!$G$221="Yes",Assumptions!$G$222="Detailed"),-Assumptions_Detailed!BN$85,MAX(IFERROR(BN210-BN310,0),$C$318-SUM($G$315:BM315)))</f>
        <v>0</v>
      </c>
      <c r="BO315" s="32">
        <f>IF(AND(Assumptions!$G$221="Yes",Assumptions!$G$222="Detailed"),-Assumptions_Detailed!BO$85,MAX(IFERROR(BO210-BO310,0),$C$318-SUM($G$315:BN315)))</f>
        <v>0</v>
      </c>
      <c r="BP315" s="32">
        <f>IF(AND(Assumptions!$G$221="Yes",Assumptions!$G$222="Detailed"),-Assumptions_Detailed!BP$85,MAX(IFERROR(BP210-BP310,0),$C$318-SUM($G$315:BO315)))</f>
        <v>0</v>
      </c>
      <c r="BQ315" s="32">
        <f>IF(AND(Assumptions!$G$221="Yes",Assumptions!$G$222="Detailed"),-Assumptions_Detailed!BQ$85,MAX(IFERROR(BQ210-BQ310,0),$C$318-SUM($G$315:BP315)))</f>
        <v>0</v>
      </c>
      <c r="BR315" s="32">
        <f>IF(AND(Assumptions!$G$221="Yes",Assumptions!$G$222="Detailed"),-Assumptions_Detailed!BR$85,MAX(IFERROR(BR210-BR310,0),$C$318-SUM($G$315:BQ315)))</f>
        <v>0</v>
      </c>
      <c r="BS315" s="32">
        <f>IF(AND(Assumptions!$G$221="Yes",Assumptions!$G$222="Detailed"),-Assumptions_Detailed!BS$85,MAX(IFERROR(BS210-BS310,0),$C$318-SUM($G$315:BR315)))</f>
        <v>0</v>
      </c>
      <c r="BT315" s="32">
        <f>IF(AND(Assumptions!$G$221="Yes",Assumptions!$G$222="Detailed"),-Assumptions_Detailed!BT$85,MAX(IFERROR(BT210-BT310,0),$C$318-SUM($G$315:BS315)))</f>
        <v>0</v>
      </c>
      <c r="BU315" s="32">
        <f>IF(AND(Assumptions!$G$221="Yes",Assumptions!$G$222="Detailed"),-Assumptions_Detailed!BU$85,MAX(IFERROR(BU210-BU310,0),$C$318-SUM($G$315:BT315)))</f>
        <v>0</v>
      </c>
      <c r="BV315" s="32">
        <f>IF(AND(Assumptions!$G$221="Yes",Assumptions!$G$222="Detailed"),-Assumptions_Detailed!BV$85,MAX(IFERROR(BV210-BV310,0),$C$318-SUM($G$315:BU315)))</f>
        <v>0</v>
      </c>
      <c r="BW315" s="32">
        <f>IF(AND(Assumptions!$G$221="Yes",Assumptions!$G$222="Detailed"),-Assumptions_Detailed!BW$85,MAX(IFERROR(BW210-BW310,0),$C$318-SUM($G$315:BV315)))</f>
        <v>0</v>
      </c>
      <c r="BX315" s="32">
        <f>IF(AND(Assumptions!$G$221="Yes",Assumptions!$G$222="Detailed"),-Assumptions_Detailed!BX$85,MAX(IFERROR(BX210-BX310,0),$C$318-SUM($G$315:BW315)))</f>
        <v>0</v>
      </c>
      <c r="BY315" s="32">
        <f>IF(AND(Assumptions!$G$221="Yes",Assumptions!$G$222="Detailed"),-Assumptions_Detailed!BY$85,MAX(IFERROR(BY210-BY310,0),$C$318-SUM($G$315:BX315)))</f>
        <v>0</v>
      </c>
    </row>
    <row r="316" spans="2:77" outlineLevel="1">
      <c r="D316" s="31"/>
      <c r="BF316" s="33"/>
      <c r="BG316" s="33"/>
      <c r="BH316" s="33"/>
      <c r="BI316" s="33"/>
      <c r="BJ316" s="33"/>
      <c r="BK316" s="33"/>
      <c r="BL316" s="33"/>
      <c r="BM316" s="33"/>
      <c r="BN316" s="33"/>
      <c r="BO316" s="33"/>
      <c r="BP316" s="33"/>
      <c r="BQ316" s="33"/>
      <c r="BR316" s="33"/>
      <c r="BS316" s="33"/>
      <c r="BT316" s="33"/>
      <c r="BU316" s="33"/>
      <c r="BV316" s="33"/>
      <c r="BW316" s="33"/>
      <c r="BX316" s="33"/>
      <c r="BY316" s="33"/>
    </row>
    <row r="317" spans="2:77" ht="15" outlineLevel="1">
      <c r="C317" s="22" t="s">
        <v>498</v>
      </c>
      <c r="D317" s="31"/>
      <c r="BF317" s="33"/>
      <c r="BG317" s="33"/>
      <c r="BH317" s="33"/>
      <c r="BI317" s="33"/>
      <c r="BJ317" s="33"/>
      <c r="BK317" s="33"/>
      <c r="BL317" s="33"/>
      <c r="BM317" s="33"/>
      <c r="BN317" s="33"/>
      <c r="BO317" s="33"/>
      <c r="BP317" s="33"/>
      <c r="BQ317" s="33"/>
      <c r="BR317" s="33"/>
      <c r="BS317" s="33"/>
      <c r="BT317" s="33"/>
      <c r="BU317" s="33"/>
      <c r="BV317" s="33"/>
      <c r="BW317" s="33"/>
      <c r="BX317" s="33"/>
      <c r="BY317" s="33"/>
    </row>
    <row r="318" spans="2:77" outlineLevel="1">
      <c r="C318" s="94">
        <f>Assumptions!$G$226*C210</f>
        <v>-2903830.0870736362</v>
      </c>
      <c r="D318" s="31"/>
      <c r="BF318" s="33"/>
      <c r="BG318" s="33"/>
      <c r="BH318" s="33"/>
      <c r="BI318" s="33"/>
      <c r="BJ318" s="33"/>
      <c r="BK318" s="33"/>
      <c r="BL318" s="33"/>
      <c r="BM318" s="33"/>
      <c r="BN318" s="33"/>
      <c r="BO318" s="33"/>
      <c r="BP318" s="33"/>
      <c r="BQ318" s="33"/>
      <c r="BR318" s="33"/>
      <c r="BS318" s="33"/>
      <c r="BT318" s="33"/>
      <c r="BU318" s="33"/>
      <c r="BV318" s="33"/>
      <c r="BW318" s="33"/>
      <c r="BX318" s="33"/>
      <c r="BY318" s="33"/>
    </row>
    <row r="319" spans="2:77" outlineLevel="1">
      <c r="D319" s="31"/>
      <c r="E319" t="s">
        <v>499</v>
      </c>
      <c r="F319" s="23" t="s">
        <v>500</v>
      </c>
      <c r="G319" s="33"/>
      <c r="H319" s="33">
        <f>+IF(AND(H$315=$C321,H$315&lt;0),1,0)</f>
        <v>0</v>
      </c>
      <c r="I319" s="33">
        <f t="shared" ref="I319:BT319" si="491">+IF(AND(I$315=$C321,I$315&lt;0),1,0)</f>
        <v>1</v>
      </c>
      <c r="J319" s="33">
        <f t="shared" si="491"/>
        <v>0</v>
      </c>
      <c r="K319" s="33">
        <f t="shared" si="491"/>
        <v>0</v>
      </c>
      <c r="L319" s="33">
        <f t="shared" si="491"/>
        <v>0</v>
      </c>
      <c r="M319" s="33">
        <f t="shared" si="491"/>
        <v>0</v>
      </c>
      <c r="N319" s="33">
        <f t="shared" si="491"/>
        <v>0</v>
      </c>
      <c r="O319" s="33">
        <f t="shared" si="491"/>
        <v>0</v>
      </c>
      <c r="P319" s="33">
        <f t="shared" si="491"/>
        <v>0</v>
      </c>
      <c r="Q319" s="33">
        <f t="shared" si="491"/>
        <v>0</v>
      </c>
      <c r="R319" s="33">
        <f t="shared" si="491"/>
        <v>0</v>
      </c>
      <c r="S319" s="33">
        <f t="shared" si="491"/>
        <v>0</v>
      </c>
      <c r="T319" s="33">
        <f t="shared" si="491"/>
        <v>0</v>
      </c>
      <c r="U319" s="33">
        <f t="shared" si="491"/>
        <v>0</v>
      </c>
      <c r="V319" s="33">
        <f t="shared" si="491"/>
        <v>0</v>
      </c>
      <c r="W319" s="33">
        <f t="shared" si="491"/>
        <v>0</v>
      </c>
      <c r="X319" s="33">
        <f t="shared" si="491"/>
        <v>0</v>
      </c>
      <c r="Y319" s="33">
        <f t="shared" si="491"/>
        <v>0</v>
      </c>
      <c r="Z319" s="33">
        <f t="shared" si="491"/>
        <v>0</v>
      </c>
      <c r="AA319" s="33">
        <f t="shared" si="491"/>
        <v>0</v>
      </c>
      <c r="AB319" s="33">
        <f t="shared" si="491"/>
        <v>0</v>
      </c>
      <c r="AC319" s="33">
        <f t="shared" si="491"/>
        <v>0</v>
      </c>
      <c r="AD319" s="33">
        <f t="shared" si="491"/>
        <v>0</v>
      </c>
      <c r="AE319" s="33">
        <f t="shared" si="491"/>
        <v>0</v>
      </c>
      <c r="AF319" s="33">
        <f t="shared" si="491"/>
        <v>0</v>
      </c>
      <c r="AG319" s="33">
        <f t="shared" si="491"/>
        <v>0</v>
      </c>
      <c r="AH319" s="33">
        <f t="shared" si="491"/>
        <v>0</v>
      </c>
      <c r="AI319" s="33">
        <f t="shared" si="491"/>
        <v>0</v>
      </c>
      <c r="AJ319" s="33">
        <f t="shared" si="491"/>
        <v>0</v>
      </c>
      <c r="AK319" s="33">
        <f t="shared" si="491"/>
        <v>0</v>
      </c>
      <c r="AL319" s="33">
        <f t="shared" si="491"/>
        <v>0</v>
      </c>
      <c r="AM319" s="33">
        <f t="shared" si="491"/>
        <v>0</v>
      </c>
      <c r="AN319" s="33">
        <f t="shared" si="491"/>
        <v>0</v>
      </c>
      <c r="AO319" s="33">
        <f t="shared" si="491"/>
        <v>0</v>
      </c>
      <c r="AP319" s="33">
        <f t="shared" si="491"/>
        <v>0</v>
      </c>
      <c r="AQ319" s="33">
        <f t="shared" si="491"/>
        <v>0</v>
      </c>
      <c r="AR319" s="33">
        <f t="shared" si="491"/>
        <v>0</v>
      </c>
      <c r="AS319" s="33">
        <f t="shared" si="491"/>
        <v>0</v>
      </c>
      <c r="AT319" s="33">
        <f t="shared" si="491"/>
        <v>0</v>
      </c>
      <c r="AU319" s="33">
        <f t="shared" si="491"/>
        <v>0</v>
      </c>
      <c r="AV319" s="33">
        <f t="shared" si="491"/>
        <v>0</v>
      </c>
      <c r="AW319" s="33">
        <f t="shared" si="491"/>
        <v>0</v>
      </c>
      <c r="AX319" s="33">
        <f t="shared" si="491"/>
        <v>0</v>
      </c>
      <c r="AY319" s="33">
        <f t="shared" si="491"/>
        <v>0</v>
      </c>
      <c r="AZ319" s="33">
        <f t="shared" si="491"/>
        <v>0</v>
      </c>
      <c r="BA319" s="33">
        <f t="shared" si="491"/>
        <v>0</v>
      </c>
      <c r="BB319" s="33">
        <f t="shared" si="491"/>
        <v>0</v>
      </c>
      <c r="BC319" s="33">
        <f t="shared" si="491"/>
        <v>0</v>
      </c>
      <c r="BD319" s="33">
        <f t="shared" si="491"/>
        <v>0</v>
      </c>
      <c r="BE319" s="33">
        <f t="shared" si="491"/>
        <v>0</v>
      </c>
      <c r="BF319" s="33">
        <f t="shared" si="491"/>
        <v>0</v>
      </c>
      <c r="BG319" s="33">
        <f t="shared" si="491"/>
        <v>0</v>
      </c>
      <c r="BH319" s="33">
        <f t="shared" si="491"/>
        <v>0</v>
      </c>
      <c r="BI319" s="33">
        <f t="shared" si="491"/>
        <v>0</v>
      </c>
      <c r="BJ319" s="33">
        <f t="shared" si="491"/>
        <v>0</v>
      </c>
      <c r="BK319" s="33">
        <f t="shared" si="491"/>
        <v>0</v>
      </c>
      <c r="BL319" s="33">
        <f t="shared" si="491"/>
        <v>0</v>
      </c>
      <c r="BM319" s="33">
        <f t="shared" si="491"/>
        <v>0</v>
      </c>
      <c r="BN319" s="33">
        <f t="shared" si="491"/>
        <v>0</v>
      </c>
      <c r="BO319" s="33">
        <f t="shared" si="491"/>
        <v>0</v>
      </c>
      <c r="BP319" s="33">
        <f t="shared" si="491"/>
        <v>0</v>
      </c>
      <c r="BQ319" s="33">
        <f t="shared" si="491"/>
        <v>0</v>
      </c>
      <c r="BR319" s="33">
        <f t="shared" si="491"/>
        <v>0</v>
      </c>
      <c r="BS319" s="33">
        <f t="shared" si="491"/>
        <v>0</v>
      </c>
      <c r="BT319" s="33">
        <f t="shared" si="491"/>
        <v>0</v>
      </c>
      <c r="BU319" s="33">
        <f t="shared" ref="BU319:BY319" si="492">+IF(AND(BU$315=$C321,BU$315&lt;0),1,0)</f>
        <v>0</v>
      </c>
      <c r="BV319" s="33">
        <f t="shared" si="492"/>
        <v>0</v>
      </c>
      <c r="BW319" s="33">
        <f t="shared" si="492"/>
        <v>0</v>
      </c>
      <c r="BX319" s="33">
        <f t="shared" si="492"/>
        <v>0</v>
      </c>
      <c r="BY319" s="33">
        <f t="shared" si="492"/>
        <v>0</v>
      </c>
    </row>
    <row r="320" spans="2:77" ht="15" outlineLevel="1">
      <c r="C320" s="22" t="s">
        <v>501</v>
      </c>
      <c r="D320" s="31"/>
      <c r="E320" t="s">
        <v>502</v>
      </c>
      <c r="F320" s="23" t="s">
        <v>500</v>
      </c>
      <c r="H320" s="33">
        <f t="shared" ref="H320:BS320" si="493">+IF(AND(H$315=$C322,H$315&lt;0),1,0)</f>
        <v>0</v>
      </c>
      <c r="I320" s="33">
        <f t="shared" si="493"/>
        <v>0</v>
      </c>
      <c r="J320" s="33">
        <f t="shared" si="493"/>
        <v>1</v>
      </c>
      <c r="K320" s="33">
        <f t="shared" si="493"/>
        <v>0</v>
      </c>
      <c r="L320" s="33">
        <f t="shared" si="493"/>
        <v>0</v>
      </c>
      <c r="M320" s="33">
        <f t="shared" si="493"/>
        <v>0</v>
      </c>
      <c r="N320" s="33">
        <f t="shared" si="493"/>
        <v>0</v>
      </c>
      <c r="O320" s="33">
        <f t="shared" si="493"/>
        <v>0</v>
      </c>
      <c r="P320" s="33">
        <f t="shared" si="493"/>
        <v>0</v>
      </c>
      <c r="Q320" s="33">
        <f t="shared" si="493"/>
        <v>0</v>
      </c>
      <c r="R320" s="33">
        <f t="shared" si="493"/>
        <v>0</v>
      </c>
      <c r="S320" s="33">
        <f t="shared" si="493"/>
        <v>0</v>
      </c>
      <c r="T320" s="33">
        <f t="shared" si="493"/>
        <v>0</v>
      </c>
      <c r="U320" s="33">
        <f t="shared" si="493"/>
        <v>0</v>
      </c>
      <c r="V320" s="33">
        <f t="shared" si="493"/>
        <v>0</v>
      </c>
      <c r="W320" s="33">
        <f t="shared" si="493"/>
        <v>0</v>
      </c>
      <c r="X320" s="33">
        <f t="shared" si="493"/>
        <v>0</v>
      </c>
      <c r="Y320" s="33">
        <f t="shared" si="493"/>
        <v>0</v>
      </c>
      <c r="Z320" s="33">
        <f t="shared" si="493"/>
        <v>0</v>
      </c>
      <c r="AA320" s="33">
        <f t="shared" si="493"/>
        <v>0</v>
      </c>
      <c r="AB320" s="33">
        <f t="shared" si="493"/>
        <v>0</v>
      </c>
      <c r="AC320" s="33">
        <f t="shared" si="493"/>
        <v>0</v>
      </c>
      <c r="AD320" s="33">
        <f t="shared" si="493"/>
        <v>0</v>
      </c>
      <c r="AE320" s="33">
        <f t="shared" si="493"/>
        <v>0</v>
      </c>
      <c r="AF320" s="33">
        <f t="shared" si="493"/>
        <v>0</v>
      </c>
      <c r="AG320" s="33">
        <f t="shared" si="493"/>
        <v>0</v>
      </c>
      <c r="AH320" s="33">
        <f t="shared" si="493"/>
        <v>0</v>
      </c>
      <c r="AI320" s="33">
        <f t="shared" si="493"/>
        <v>0</v>
      </c>
      <c r="AJ320" s="33">
        <f t="shared" si="493"/>
        <v>0</v>
      </c>
      <c r="AK320" s="33">
        <f t="shared" si="493"/>
        <v>0</v>
      </c>
      <c r="AL320" s="33">
        <f t="shared" si="493"/>
        <v>0</v>
      </c>
      <c r="AM320" s="33">
        <f t="shared" si="493"/>
        <v>0</v>
      </c>
      <c r="AN320" s="33">
        <f t="shared" si="493"/>
        <v>0</v>
      </c>
      <c r="AO320" s="33">
        <f t="shared" si="493"/>
        <v>0</v>
      </c>
      <c r="AP320" s="33">
        <f t="shared" si="493"/>
        <v>0</v>
      </c>
      <c r="AQ320" s="33">
        <f t="shared" si="493"/>
        <v>0</v>
      </c>
      <c r="AR320" s="33">
        <f t="shared" si="493"/>
        <v>0</v>
      </c>
      <c r="AS320" s="33">
        <f t="shared" si="493"/>
        <v>0</v>
      </c>
      <c r="AT320" s="33">
        <f t="shared" si="493"/>
        <v>0</v>
      </c>
      <c r="AU320" s="33">
        <f t="shared" si="493"/>
        <v>0</v>
      </c>
      <c r="AV320" s="33">
        <f t="shared" si="493"/>
        <v>0</v>
      </c>
      <c r="AW320" s="33">
        <f t="shared" si="493"/>
        <v>0</v>
      </c>
      <c r="AX320" s="33">
        <f t="shared" si="493"/>
        <v>0</v>
      </c>
      <c r="AY320" s="33">
        <f t="shared" si="493"/>
        <v>0</v>
      </c>
      <c r="AZ320" s="33">
        <f t="shared" si="493"/>
        <v>0</v>
      </c>
      <c r="BA320" s="33">
        <f t="shared" si="493"/>
        <v>0</v>
      </c>
      <c r="BB320" s="33">
        <f t="shared" si="493"/>
        <v>0</v>
      </c>
      <c r="BC320" s="33">
        <f t="shared" si="493"/>
        <v>0</v>
      </c>
      <c r="BD320" s="33">
        <f t="shared" si="493"/>
        <v>0</v>
      </c>
      <c r="BE320" s="33">
        <f t="shared" si="493"/>
        <v>0</v>
      </c>
      <c r="BF320" s="33">
        <f t="shared" si="493"/>
        <v>0</v>
      </c>
      <c r="BG320" s="33">
        <f t="shared" si="493"/>
        <v>0</v>
      </c>
      <c r="BH320" s="33">
        <f t="shared" si="493"/>
        <v>0</v>
      </c>
      <c r="BI320" s="33">
        <f t="shared" si="493"/>
        <v>0</v>
      </c>
      <c r="BJ320" s="33">
        <f t="shared" si="493"/>
        <v>0</v>
      </c>
      <c r="BK320" s="33">
        <f t="shared" si="493"/>
        <v>0</v>
      </c>
      <c r="BL320" s="33">
        <f t="shared" si="493"/>
        <v>0</v>
      </c>
      <c r="BM320" s="33">
        <f t="shared" si="493"/>
        <v>0</v>
      </c>
      <c r="BN320" s="33">
        <f t="shared" si="493"/>
        <v>0</v>
      </c>
      <c r="BO320" s="33">
        <f t="shared" si="493"/>
        <v>0</v>
      </c>
      <c r="BP320" s="33">
        <f t="shared" si="493"/>
        <v>0</v>
      </c>
      <c r="BQ320" s="33">
        <f t="shared" si="493"/>
        <v>0</v>
      </c>
      <c r="BR320" s="33">
        <f t="shared" si="493"/>
        <v>0</v>
      </c>
      <c r="BS320" s="33">
        <f t="shared" si="493"/>
        <v>0</v>
      </c>
      <c r="BT320" s="33">
        <f t="shared" ref="BT320:BY320" si="494">+IF(AND(BT$315=$C322,BT$315&lt;0),1,0)</f>
        <v>0</v>
      </c>
      <c r="BU320" s="33">
        <f t="shared" si="494"/>
        <v>0</v>
      </c>
      <c r="BV320" s="33">
        <f t="shared" si="494"/>
        <v>0</v>
      </c>
      <c r="BW320" s="33">
        <f t="shared" si="494"/>
        <v>0</v>
      </c>
      <c r="BX320" s="33">
        <f t="shared" si="494"/>
        <v>0</v>
      </c>
      <c r="BY320" s="33">
        <f t="shared" si="494"/>
        <v>0</v>
      </c>
    </row>
    <row r="321" spans="3:77" outlineLevel="1">
      <c r="C321" s="32" cm="1">
        <f t="array" ref="C321:C322">+TRANSPOSE(_xlfn._xlws.FILTER(H315:BY315,H315:BY315))</f>
        <v>-809129.45849152235</v>
      </c>
      <c r="D321" s="31"/>
      <c r="E321" t="s">
        <v>503</v>
      </c>
      <c r="F321" s="23" t="s">
        <v>500</v>
      </c>
      <c r="H321" s="33">
        <f t="shared" ref="H321:BS321" si="495">+IF(AND(H$315=$C323,H$315&lt;0),1,0)</f>
        <v>0</v>
      </c>
      <c r="I321" s="33">
        <f t="shared" si="495"/>
        <v>0</v>
      </c>
      <c r="J321" s="33">
        <f t="shared" si="495"/>
        <v>0</v>
      </c>
      <c r="K321" s="33">
        <f t="shared" si="495"/>
        <v>0</v>
      </c>
      <c r="L321" s="33">
        <f t="shared" si="495"/>
        <v>0</v>
      </c>
      <c r="M321" s="33">
        <f t="shared" si="495"/>
        <v>0</v>
      </c>
      <c r="N321" s="33">
        <f t="shared" si="495"/>
        <v>0</v>
      </c>
      <c r="O321" s="33">
        <f t="shared" si="495"/>
        <v>0</v>
      </c>
      <c r="P321" s="33">
        <f t="shared" si="495"/>
        <v>0</v>
      </c>
      <c r="Q321" s="33">
        <f t="shared" si="495"/>
        <v>0</v>
      </c>
      <c r="R321" s="33">
        <f t="shared" si="495"/>
        <v>0</v>
      </c>
      <c r="S321" s="33">
        <f t="shared" si="495"/>
        <v>0</v>
      </c>
      <c r="T321" s="33">
        <f t="shared" si="495"/>
        <v>0</v>
      </c>
      <c r="U321" s="33">
        <f t="shared" si="495"/>
        <v>0</v>
      </c>
      <c r="V321" s="33">
        <f t="shared" si="495"/>
        <v>0</v>
      </c>
      <c r="W321" s="33">
        <f t="shared" si="495"/>
        <v>0</v>
      </c>
      <c r="X321" s="33">
        <f t="shared" si="495"/>
        <v>0</v>
      </c>
      <c r="Y321" s="33">
        <f t="shared" si="495"/>
        <v>0</v>
      </c>
      <c r="Z321" s="33">
        <f t="shared" si="495"/>
        <v>0</v>
      </c>
      <c r="AA321" s="33">
        <f t="shared" si="495"/>
        <v>0</v>
      </c>
      <c r="AB321" s="33">
        <f t="shared" si="495"/>
        <v>0</v>
      </c>
      <c r="AC321" s="33">
        <f t="shared" si="495"/>
        <v>0</v>
      </c>
      <c r="AD321" s="33">
        <f t="shared" si="495"/>
        <v>0</v>
      </c>
      <c r="AE321" s="33">
        <f t="shared" si="495"/>
        <v>0</v>
      </c>
      <c r="AF321" s="33">
        <f t="shared" si="495"/>
        <v>0</v>
      </c>
      <c r="AG321" s="33">
        <f t="shared" si="495"/>
        <v>0</v>
      </c>
      <c r="AH321" s="33">
        <f t="shared" si="495"/>
        <v>0</v>
      </c>
      <c r="AI321" s="33">
        <f t="shared" si="495"/>
        <v>0</v>
      </c>
      <c r="AJ321" s="33">
        <f t="shared" si="495"/>
        <v>0</v>
      </c>
      <c r="AK321" s="33">
        <f t="shared" si="495"/>
        <v>0</v>
      </c>
      <c r="AL321" s="33">
        <f t="shared" si="495"/>
        <v>0</v>
      </c>
      <c r="AM321" s="33">
        <f t="shared" si="495"/>
        <v>0</v>
      </c>
      <c r="AN321" s="33">
        <f t="shared" si="495"/>
        <v>0</v>
      </c>
      <c r="AO321" s="33">
        <f t="shared" si="495"/>
        <v>0</v>
      </c>
      <c r="AP321" s="33">
        <f t="shared" si="495"/>
        <v>0</v>
      </c>
      <c r="AQ321" s="33">
        <f t="shared" si="495"/>
        <v>0</v>
      </c>
      <c r="AR321" s="33">
        <f t="shared" si="495"/>
        <v>0</v>
      </c>
      <c r="AS321" s="33">
        <f t="shared" si="495"/>
        <v>0</v>
      </c>
      <c r="AT321" s="33">
        <f t="shared" si="495"/>
        <v>0</v>
      </c>
      <c r="AU321" s="33">
        <f t="shared" si="495"/>
        <v>0</v>
      </c>
      <c r="AV321" s="33">
        <f t="shared" si="495"/>
        <v>0</v>
      </c>
      <c r="AW321" s="33">
        <f t="shared" si="495"/>
        <v>0</v>
      </c>
      <c r="AX321" s="33">
        <f t="shared" si="495"/>
        <v>0</v>
      </c>
      <c r="AY321" s="33">
        <f t="shared" si="495"/>
        <v>0</v>
      </c>
      <c r="AZ321" s="33">
        <f t="shared" si="495"/>
        <v>0</v>
      </c>
      <c r="BA321" s="33">
        <f t="shared" si="495"/>
        <v>0</v>
      </c>
      <c r="BB321" s="33">
        <f t="shared" si="495"/>
        <v>0</v>
      </c>
      <c r="BC321" s="33">
        <f t="shared" si="495"/>
        <v>0</v>
      </c>
      <c r="BD321" s="33">
        <f t="shared" si="495"/>
        <v>0</v>
      </c>
      <c r="BE321" s="33">
        <f t="shared" si="495"/>
        <v>0</v>
      </c>
      <c r="BF321" s="33">
        <f t="shared" si="495"/>
        <v>0</v>
      </c>
      <c r="BG321" s="33">
        <f t="shared" si="495"/>
        <v>0</v>
      </c>
      <c r="BH321" s="33">
        <f t="shared" si="495"/>
        <v>0</v>
      </c>
      <c r="BI321" s="33">
        <f t="shared" si="495"/>
        <v>0</v>
      </c>
      <c r="BJ321" s="33">
        <f t="shared" si="495"/>
        <v>0</v>
      </c>
      <c r="BK321" s="33">
        <f t="shared" si="495"/>
        <v>0</v>
      </c>
      <c r="BL321" s="33">
        <f t="shared" si="495"/>
        <v>0</v>
      </c>
      <c r="BM321" s="33">
        <f t="shared" si="495"/>
        <v>0</v>
      </c>
      <c r="BN321" s="33">
        <f t="shared" si="495"/>
        <v>0</v>
      </c>
      <c r="BO321" s="33">
        <f t="shared" si="495"/>
        <v>0</v>
      </c>
      <c r="BP321" s="33">
        <f t="shared" si="495"/>
        <v>0</v>
      </c>
      <c r="BQ321" s="33">
        <f t="shared" si="495"/>
        <v>0</v>
      </c>
      <c r="BR321" s="33">
        <f t="shared" si="495"/>
        <v>0</v>
      </c>
      <c r="BS321" s="33">
        <f t="shared" si="495"/>
        <v>0</v>
      </c>
      <c r="BT321" s="33">
        <f t="shared" ref="BT321:BY321" si="496">+IF(AND(BT$315=$C323,BT$315&lt;0),1,0)</f>
        <v>0</v>
      </c>
      <c r="BU321" s="33">
        <f t="shared" si="496"/>
        <v>0</v>
      </c>
      <c r="BV321" s="33">
        <f t="shared" si="496"/>
        <v>0</v>
      </c>
      <c r="BW321" s="33">
        <f t="shared" si="496"/>
        <v>0</v>
      </c>
      <c r="BX321" s="33">
        <f t="shared" si="496"/>
        <v>0</v>
      </c>
      <c r="BY321" s="33">
        <f t="shared" si="496"/>
        <v>0</v>
      </c>
    </row>
    <row r="322" spans="3:77" outlineLevel="1">
      <c r="C322" s="32">
        <v>-2094700.6285821139</v>
      </c>
      <c r="D322" s="31"/>
      <c r="E322" t="s">
        <v>504</v>
      </c>
      <c r="F322" s="23" t="s">
        <v>500</v>
      </c>
      <c r="H322" s="33">
        <f t="shared" ref="H322:BS322" si="497">+IF(AND(H$315=$C324,H$315&lt;0),1,0)</f>
        <v>0</v>
      </c>
      <c r="I322" s="33">
        <f t="shared" si="497"/>
        <v>0</v>
      </c>
      <c r="J322" s="33">
        <f t="shared" si="497"/>
        <v>0</v>
      </c>
      <c r="K322" s="33">
        <f t="shared" si="497"/>
        <v>0</v>
      </c>
      <c r="L322" s="33">
        <f t="shared" si="497"/>
        <v>0</v>
      </c>
      <c r="M322" s="33">
        <f t="shared" si="497"/>
        <v>0</v>
      </c>
      <c r="N322" s="33">
        <f t="shared" si="497"/>
        <v>0</v>
      </c>
      <c r="O322" s="33">
        <f t="shared" si="497"/>
        <v>0</v>
      </c>
      <c r="P322" s="33">
        <f t="shared" si="497"/>
        <v>0</v>
      </c>
      <c r="Q322" s="33">
        <f t="shared" si="497"/>
        <v>0</v>
      </c>
      <c r="R322" s="33">
        <f t="shared" si="497"/>
        <v>0</v>
      </c>
      <c r="S322" s="33">
        <f t="shared" si="497"/>
        <v>0</v>
      </c>
      <c r="T322" s="33">
        <f t="shared" si="497"/>
        <v>0</v>
      </c>
      <c r="U322" s="33">
        <f t="shared" si="497"/>
        <v>0</v>
      </c>
      <c r="V322" s="33">
        <f t="shared" si="497"/>
        <v>0</v>
      </c>
      <c r="W322" s="33">
        <f t="shared" si="497"/>
        <v>0</v>
      </c>
      <c r="X322" s="33">
        <f t="shared" si="497"/>
        <v>0</v>
      </c>
      <c r="Y322" s="33">
        <f t="shared" si="497"/>
        <v>0</v>
      </c>
      <c r="Z322" s="33">
        <f t="shared" si="497"/>
        <v>0</v>
      </c>
      <c r="AA322" s="33">
        <f t="shared" si="497"/>
        <v>0</v>
      </c>
      <c r="AB322" s="33">
        <f t="shared" si="497"/>
        <v>0</v>
      </c>
      <c r="AC322" s="33">
        <f t="shared" si="497"/>
        <v>0</v>
      </c>
      <c r="AD322" s="33">
        <f t="shared" si="497"/>
        <v>0</v>
      </c>
      <c r="AE322" s="33">
        <f t="shared" si="497"/>
        <v>0</v>
      </c>
      <c r="AF322" s="33">
        <f t="shared" si="497"/>
        <v>0</v>
      </c>
      <c r="AG322" s="33">
        <f t="shared" si="497"/>
        <v>0</v>
      </c>
      <c r="AH322" s="33">
        <f t="shared" si="497"/>
        <v>0</v>
      </c>
      <c r="AI322" s="33">
        <f t="shared" si="497"/>
        <v>0</v>
      </c>
      <c r="AJ322" s="33">
        <f t="shared" si="497"/>
        <v>0</v>
      </c>
      <c r="AK322" s="33">
        <f t="shared" si="497"/>
        <v>0</v>
      </c>
      <c r="AL322" s="33">
        <f t="shared" si="497"/>
        <v>0</v>
      </c>
      <c r="AM322" s="33">
        <f t="shared" si="497"/>
        <v>0</v>
      </c>
      <c r="AN322" s="33">
        <f t="shared" si="497"/>
        <v>0</v>
      </c>
      <c r="AO322" s="33">
        <f t="shared" si="497"/>
        <v>0</v>
      </c>
      <c r="AP322" s="33">
        <f t="shared" si="497"/>
        <v>0</v>
      </c>
      <c r="AQ322" s="33">
        <f t="shared" si="497"/>
        <v>0</v>
      </c>
      <c r="AR322" s="33">
        <f t="shared" si="497"/>
        <v>0</v>
      </c>
      <c r="AS322" s="33">
        <f t="shared" si="497"/>
        <v>0</v>
      </c>
      <c r="AT322" s="33">
        <f t="shared" si="497"/>
        <v>0</v>
      </c>
      <c r="AU322" s="33">
        <f t="shared" si="497"/>
        <v>0</v>
      </c>
      <c r="AV322" s="33">
        <f t="shared" si="497"/>
        <v>0</v>
      </c>
      <c r="AW322" s="33">
        <f t="shared" si="497"/>
        <v>0</v>
      </c>
      <c r="AX322" s="33">
        <f t="shared" si="497"/>
        <v>0</v>
      </c>
      <c r="AY322" s="33">
        <f t="shared" si="497"/>
        <v>0</v>
      </c>
      <c r="AZ322" s="33">
        <f t="shared" si="497"/>
        <v>0</v>
      </c>
      <c r="BA322" s="33">
        <f t="shared" si="497"/>
        <v>0</v>
      </c>
      <c r="BB322" s="33">
        <f t="shared" si="497"/>
        <v>0</v>
      </c>
      <c r="BC322" s="33">
        <f t="shared" si="497"/>
        <v>0</v>
      </c>
      <c r="BD322" s="33">
        <f t="shared" si="497"/>
        <v>0</v>
      </c>
      <c r="BE322" s="33">
        <f t="shared" si="497"/>
        <v>0</v>
      </c>
      <c r="BF322" s="33">
        <f t="shared" si="497"/>
        <v>0</v>
      </c>
      <c r="BG322" s="33">
        <f t="shared" si="497"/>
        <v>0</v>
      </c>
      <c r="BH322" s="33">
        <f t="shared" si="497"/>
        <v>0</v>
      </c>
      <c r="BI322" s="33">
        <f t="shared" si="497"/>
        <v>0</v>
      </c>
      <c r="BJ322" s="33">
        <f t="shared" si="497"/>
        <v>0</v>
      </c>
      <c r="BK322" s="33">
        <f t="shared" si="497"/>
        <v>0</v>
      </c>
      <c r="BL322" s="33">
        <f t="shared" si="497"/>
        <v>0</v>
      </c>
      <c r="BM322" s="33">
        <f t="shared" si="497"/>
        <v>0</v>
      </c>
      <c r="BN322" s="33">
        <f t="shared" si="497"/>
        <v>0</v>
      </c>
      <c r="BO322" s="33">
        <f t="shared" si="497"/>
        <v>0</v>
      </c>
      <c r="BP322" s="33">
        <f t="shared" si="497"/>
        <v>0</v>
      </c>
      <c r="BQ322" s="33">
        <f t="shared" si="497"/>
        <v>0</v>
      </c>
      <c r="BR322" s="33">
        <f t="shared" si="497"/>
        <v>0</v>
      </c>
      <c r="BS322" s="33">
        <f t="shared" si="497"/>
        <v>0</v>
      </c>
      <c r="BT322" s="33">
        <f t="shared" ref="BT322:BY322" si="498">+IF(AND(BT$315=$C324,BT$315&lt;0),1,0)</f>
        <v>0</v>
      </c>
      <c r="BU322" s="33">
        <f t="shared" si="498"/>
        <v>0</v>
      </c>
      <c r="BV322" s="33">
        <f t="shared" si="498"/>
        <v>0</v>
      </c>
      <c r="BW322" s="33">
        <f t="shared" si="498"/>
        <v>0</v>
      </c>
      <c r="BX322" s="33">
        <f t="shared" si="498"/>
        <v>0</v>
      </c>
      <c r="BY322" s="33">
        <f t="shared" si="498"/>
        <v>0</v>
      </c>
    </row>
    <row r="323" spans="3:77" outlineLevel="1">
      <c r="C323" s="32"/>
      <c r="D323" s="31"/>
      <c r="E323" t="s">
        <v>505</v>
      </c>
      <c r="F323" s="23" t="s">
        <v>500</v>
      </c>
      <c r="H323" s="33">
        <f t="shared" ref="H323:BS323" si="499">+IF(AND(H$315=$C325,H$315&lt;0),1,0)</f>
        <v>0</v>
      </c>
      <c r="I323" s="33">
        <f t="shared" si="499"/>
        <v>0</v>
      </c>
      <c r="J323" s="33">
        <f t="shared" si="499"/>
        <v>0</v>
      </c>
      <c r="K323" s="33">
        <f t="shared" si="499"/>
        <v>0</v>
      </c>
      <c r="L323" s="33">
        <f t="shared" si="499"/>
        <v>0</v>
      </c>
      <c r="M323" s="33">
        <f t="shared" si="499"/>
        <v>0</v>
      </c>
      <c r="N323" s="33">
        <f t="shared" si="499"/>
        <v>0</v>
      </c>
      <c r="O323" s="33">
        <f t="shared" si="499"/>
        <v>0</v>
      </c>
      <c r="P323" s="33">
        <f t="shared" si="499"/>
        <v>0</v>
      </c>
      <c r="Q323" s="33">
        <f t="shared" si="499"/>
        <v>0</v>
      </c>
      <c r="R323" s="33">
        <f t="shared" si="499"/>
        <v>0</v>
      </c>
      <c r="S323" s="33">
        <f t="shared" si="499"/>
        <v>0</v>
      </c>
      <c r="T323" s="33">
        <f t="shared" si="499"/>
        <v>0</v>
      </c>
      <c r="U323" s="33">
        <f t="shared" si="499"/>
        <v>0</v>
      </c>
      <c r="V323" s="33">
        <f t="shared" si="499"/>
        <v>0</v>
      </c>
      <c r="W323" s="33">
        <f t="shared" si="499"/>
        <v>0</v>
      </c>
      <c r="X323" s="33">
        <f t="shared" si="499"/>
        <v>0</v>
      </c>
      <c r="Y323" s="33">
        <f t="shared" si="499"/>
        <v>0</v>
      </c>
      <c r="Z323" s="33">
        <f t="shared" si="499"/>
        <v>0</v>
      </c>
      <c r="AA323" s="33">
        <f t="shared" si="499"/>
        <v>0</v>
      </c>
      <c r="AB323" s="33">
        <f t="shared" si="499"/>
        <v>0</v>
      </c>
      <c r="AC323" s="33">
        <f t="shared" si="499"/>
        <v>0</v>
      </c>
      <c r="AD323" s="33">
        <f t="shared" si="499"/>
        <v>0</v>
      </c>
      <c r="AE323" s="33">
        <f t="shared" si="499"/>
        <v>0</v>
      </c>
      <c r="AF323" s="33">
        <f t="shared" si="499"/>
        <v>0</v>
      </c>
      <c r="AG323" s="33">
        <f t="shared" si="499"/>
        <v>0</v>
      </c>
      <c r="AH323" s="33">
        <f t="shared" si="499"/>
        <v>0</v>
      </c>
      <c r="AI323" s="33">
        <f t="shared" si="499"/>
        <v>0</v>
      </c>
      <c r="AJ323" s="33">
        <f t="shared" si="499"/>
        <v>0</v>
      </c>
      <c r="AK323" s="33">
        <f t="shared" si="499"/>
        <v>0</v>
      </c>
      <c r="AL323" s="33">
        <f t="shared" si="499"/>
        <v>0</v>
      </c>
      <c r="AM323" s="33">
        <f t="shared" si="499"/>
        <v>0</v>
      </c>
      <c r="AN323" s="33">
        <f t="shared" si="499"/>
        <v>0</v>
      </c>
      <c r="AO323" s="33">
        <f t="shared" si="499"/>
        <v>0</v>
      </c>
      <c r="AP323" s="33">
        <f t="shared" si="499"/>
        <v>0</v>
      </c>
      <c r="AQ323" s="33">
        <f t="shared" si="499"/>
        <v>0</v>
      </c>
      <c r="AR323" s="33">
        <f t="shared" si="499"/>
        <v>0</v>
      </c>
      <c r="AS323" s="33">
        <f t="shared" si="499"/>
        <v>0</v>
      </c>
      <c r="AT323" s="33">
        <f t="shared" si="499"/>
        <v>0</v>
      </c>
      <c r="AU323" s="33">
        <f t="shared" si="499"/>
        <v>0</v>
      </c>
      <c r="AV323" s="33">
        <f t="shared" si="499"/>
        <v>0</v>
      </c>
      <c r="AW323" s="33">
        <f t="shared" si="499"/>
        <v>0</v>
      </c>
      <c r="AX323" s="33">
        <f t="shared" si="499"/>
        <v>0</v>
      </c>
      <c r="AY323" s="33">
        <f t="shared" si="499"/>
        <v>0</v>
      </c>
      <c r="AZ323" s="33">
        <f t="shared" si="499"/>
        <v>0</v>
      </c>
      <c r="BA323" s="33">
        <f t="shared" si="499"/>
        <v>0</v>
      </c>
      <c r="BB323" s="33">
        <f t="shared" si="499"/>
        <v>0</v>
      </c>
      <c r="BC323" s="33">
        <f t="shared" si="499"/>
        <v>0</v>
      </c>
      <c r="BD323" s="33">
        <f t="shared" si="499"/>
        <v>0</v>
      </c>
      <c r="BE323" s="33">
        <f t="shared" si="499"/>
        <v>0</v>
      </c>
      <c r="BF323" s="33">
        <f t="shared" si="499"/>
        <v>0</v>
      </c>
      <c r="BG323" s="33">
        <f t="shared" si="499"/>
        <v>0</v>
      </c>
      <c r="BH323" s="33">
        <f t="shared" si="499"/>
        <v>0</v>
      </c>
      <c r="BI323" s="33">
        <f t="shared" si="499"/>
        <v>0</v>
      </c>
      <c r="BJ323" s="33">
        <f t="shared" si="499"/>
        <v>0</v>
      </c>
      <c r="BK323" s="33">
        <f t="shared" si="499"/>
        <v>0</v>
      </c>
      <c r="BL323" s="33">
        <f t="shared" si="499"/>
        <v>0</v>
      </c>
      <c r="BM323" s="33">
        <f t="shared" si="499"/>
        <v>0</v>
      </c>
      <c r="BN323" s="33">
        <f t="shared" si="499"/>
        <v>0</v>
      </c>
      <c r="BO323" s="33">
        <f t="shared" si="499"/>
        <v>0</v>
      </c>
      <c r="BP323" s="33">
        <f t="shared" si="499"/>
        <v>0</v>
      </c>
      <c r="BQ323" s="33">
        <f t="shared" si="499"/>
        <v>0</v>
      </c>
      <c r="BR323" s="33">
        <f t="shared" si="499"/>
        <v>0</v>
      </c>
      <c r="BS323" s="33">
        <f t="shared" si="499"/>
        <v>0</v>
      </c>
      <c r="BT323" s="33">
        <f t="shared" ref="BT323:BY323" si="500">+IF(AND(BT$315=$C325,BT$315&lt;0),1,0)</f>
        <v>0</v>
      </c>
      <c r="BU323" s="33">
        <f t="shared" si="500"/>
        <v>0</v>
      </c>
      <c r="BV323" s="33">
        <f t="shared" si="500"/>
        <v>0</v>
      </c>
      <c r="BW323" s="33">
        <f t="shared" si="500"/>
        <v>0</v>
      </c>
      <c r="BX323" s="33">
        <f t="shared" si="500"/>
        <v>0</v>
      </c>
      <c r="BY323" s="33">
        <f t="shared" si="500"/>
        <v>0</v>
      </c>
    </row>
    <row r="324" spans="3:77" outlineLevel="1">
      <c r="C324" s="32"/>
      <c r="D324" s="31"/>
      <c r="E324" t="s">
        <v>506</v>
      </c>
      <c r="F324" s="23" t="s">
        <v>500</v>
      </c>
      <c r="H324" s="33">
        <f t="shared" ref="H324:BS324" si="501">+IF(AND(H$315=$C326,H$315&lt;0),1,0)</f>
        <v>0</v>
      </c>
      <c r="I324" s="33">
        <f t="shared" si="501"/>
        <v>0</v>
      </c>
      <c r="J324" s="33">
        <f t="shared" si="501"/>
        <v>0</v>
      </c>
      <c r="K324" s="33">
        <f t="shared" si="501"/>
        <v>0</v>
      </c>
      <c r="L324" s="33">
        <f t="shared" si="501"/>
        <v>0</v>
      </c>
      <c r="M324" s="33">
        <f t="shared" si="501"/>
        <v>0</v>
      </c>
      <c r="N324" s="33">
        <f t="shared" si="501"/>
        <v>0</v>
      </c>
      <c r="O324" s="33">
        <f t="shared" si="501"/>
        <v>0</v>
      </c>
      <c r="P324" s="33">
        <f t="shared" si="501"/>
        <v>0</v>
      </c>
      <c r="Q324" s="33">
        <f t="shared" si="501"/>
        <v>0</v>
      </c>
      <c r="R324" s="33">
        <f t="shared" si="501"/>
        <v>0</v>
      </c>
      <c r="S324" s="33">
        <f t="shared" si="501"/>
        <v>0</v>
      </c>
      <c r="T324" s="33">
        <f t="shared" si="501"/>
        <v>0</v>
      </c>
      <c r="U324" s="33">
        <f t="shared" si="501"/>
        <v>0</v>
      </c>
      <c r="V324" s="33">
        <f t="shared" si="501"/>
        <v>0</v>
      </c>
      <c r="W324" s="33">
        <f t="shared" si="501"/>
        <v>0</v>
      </c>
      <c r="X324" s="33">
        <f t="shared" si="501"/>
        <v>0</v>
      </c>
      <c r="Y324" s="33">
        <f t="shared" si="501"/>
        <v>0</v>
      </c>
      <c r="Z324" s="33">
        <f t="shared" si="501"/>
        <v>0</v>
      </c>
      <c r="AA324" s="33">
        <f t="shared" si="501"/>
        <v>0</v>
      </c>
      <c r="AB324" s="33">
        <f t="shared" si="501"/>
        <v>0</v>
      </c>
      <c r="AC324" s="33">
        <f t="shared" si="501"/>
        <v>0</v>
      </c>
      <c r="AD324" s="33">
        <f t="shared" si="501"/>
        <v>0</v>
      </c>
      <c r="AE324" s="33">
        <f t="shared" si="501"/>
        <v>0</v>
      </c>
      <c r="AF324" s="33">
        <f t="shared" si="501"/>
        <v>0</v>
      </c>
      <c r="AG324" s="33">
        <f t="shared" si="501"/>
        <v>0</v>
      </c>
      <c r="AH324" s="33">
        <f t="shared" si="501"/>
        <v>0</v>
      </c>
      <c r="AI324" s="33">
        <f t="shared" si="501"/>
        <v>0</v>
      </c>
      <c r="AJ324" s="33">
        <f t="shared" si="501"/>
        <v>0</v>
      </c>
      <c r="AK324" s="33">
        <f t="shared" si="501"/>
        <v>0</v>
      </c>
      <c r="AL324" s="33">
        <f t="shared" si="501"/>
        <v>0</v>
      </c>
      <c r="AM324" s="33">
        <f t="shared" si="501"/>
        <v>0</v>
      </c>
      <c r="AN324" s="33">
        <f t="shared" si="501"/>
        <v>0</v>
      </c>
      <c r="AO324" s="33">
        <f t="shared" si="501"/>
        <v>0</v>
      </c>
      <c r="AP324" s="33">
        <f t="shared" si="501"/>
        <v>0</v>
      </c>
      <c r="AQ324" s="33">
        <f t="shared" si="501"/>
        <v>0</v>
      </c>
      <c r="AR324" s="33">
        <f t="shared" si="501"/>
        <v>0</v>
      </c>
      <c r="AS324" s="33">
        <f t="shared" si="501"/>
        <v>0</v>
      </c>
      <c r="AT324" s="33">
        <f t="shared" si="501"/>
        <v>0</v>
      </c>
      <c r="AU324" s="33">
        <f t="shared" si="501"/>
        <v>0</v>
      </c>
      <c r="AV324" s="33">
        <f t="shared" si="501"/>
        <v>0</v>
      </c>
      <c r="AW324" s="33">
        <f t="shared" si="501"/>
        <v>0</v>
      </c>
      <c r="AX324" s="33">
        <f t="shared" si="501"/>
        <v>0</v>
      </c>
      <c r="AY324" s="33">
        <f t="shared" si="501"/>
        <v>0</v>
      </c>
      <c r="AZ324" s="33">
        <f t="shared" si="501"/>
        <v>0</v>
      </c>
      <c r="BA324" s="33">
        <f t="shared" si="501"/>
        <v>0</v>
      </c>
      <c r="BB324" s="33">
        <f t="shared" si="501"/>
        <v>0</v>
      </c>
      <c r="BC324" s="33">
        <f t="shared" si="501"/>
        <v>0</v>
      </c>
      <c r="BD324" s="33">
        <f t="shared" si="501"/>
        <v>0</v>
      </c>
      <c r="BE324" s="33">
        <f t="shared" si="501"/>
        <v>0</v>
      </c>
      <c r="BF324" s="33">
        <f t="shared" si="501"/>
        <v>0</v>
      </c>
      <c r="BG324" s="33">
        <f t="shared" si="501"/>
        <v>0</v>
      </c>
      <c r="BH324" s="33">
        <f t="shared" si="501"/>
        <v>0</v>
      </c>
      <c r="BI324" s="33">
        <f t="shared" si="501"/>
        <v>0</v>
      </c>
      <c r="BJ324" s="33">
        <f t="shared" si="501"/>
        <v>0</v>
      </c>
      <c r="BK324" s="33">
        <f t="shared" si="501"/>
        <v>0</v>
      </c>
      <c r="BL324" s="33">
        <f t="shared" si="501"/>
        <v>0</v>
      </c>
      <c r="BM324" s="33">
        <f t="shared" si="501"/>
        <v>0</v>
      </c>
      <c r="BN324" s="33">
        <f t="shared" si="501"/>
        <v>0</v>
      </c>
      <c r="BO324" s="33">
        <f t="shared" si="501"/>
        <v>0</v>
      </c>
      <c r="BP324" s="33">
        <f t="shared" si="501"/>
        <v>0</v>
      </c>
      <c r="BQ324" s="33">
        <f t="shared" si="501"/>
        <v>0</v>
      </c>
      <c r="BR324" s="33">
        <f t="shared" si="501"/>
        <v>0</v>
      </c>
      <c r="BS324" s="33">
        <f t="shared" si="501"/>
        <v>0</v>
      </c>
      <c r="BT324" s="33">
        <f t="shared" ref="BT324:BY324" si="502">+IF(AND(BT$315=$C326,BT$315&lt;0),1,0)</f>
        <v>0</v>
      </c>
      <c r="BU324" s="33">
        <f t="shared" si="502"/>
        <v>0</v>
      </c>
      <c r="BV324" s="33">
        <f t="shared" si="502"/>
        <v>0</v>
      </c>
      <c r="BW324" s="33">
        <f t="shared" si="502"/>
        <v>0</v>
      </c>
      <c r="BX324" s="33">
        <f t="shared" si="502"/>
        <v>0</v>
      </c>
      <c r="BY324" s="33">
        <f t="shared" si="502"/>
        <v>0</v>
      </c>
    </row>
    <row r="325" spans="3:77" outlineLevel="1">
      <c r="C325" s="32"/>
      <c r="D325" s="31"/>
      <c r="E325" t="s">
        <v>507</v>
      </c>
      <c r="F325" s="23" t="s">
        <v>500</v>
      </c>
      <c r="H325" s="33">
        <f t="shared" ref="H325:BS325" si="503">+IF(AND(H$315=$C327,H$315&lt;0),1,0)</f>
        <v>0</v>
      </c>
      <c r="I325" s="33">
        <f t="shared" si="503"/>
        <v>0</v>
      </c>
      <c r="J325" s="33">
        <f t="shared" si="503"/>
        <v>0</v>
      </c>
      <c r="K325" s="33">
        <f t="shared" si="503"/>
        <v>0</v>
      </c>
      <c r="L325" s="33">
        <f t="shared" si="503"/>
        <v>0</v>
      </c>
      <c r="M325" s="33">
        <f t="shared" si="503"/>
        <v>0</v>
      </c>
      <c r="N325" s="33">
        <f t="shared" si="503"/>
        <v>0</v>
      </c>
      <c r="O325" s="33">
        <f t="shared" si="503"/>
        <v>0</v>
      </c>
      <c r="P325" s="33">
        <f t="shared" si="503"/>
        <v>0</v>
      </c>
      <c r="Q325" s="33">
        <f t="shared" si="503"/>
        <v>0</v>
      </c>
      <c r="R325" s="33">
        <f t="shared" si="503"/>
        <v>0</v>
      </c>
      <c r="S325" s="33">
        <f t="shared" si="503"/>
        <v>0</v>
      </c>
      <c r="T325" s="33">
        <f t="shared" si="503"/>
        <v>0</v>
      </c>
      <c r="U325" s="33">
        <f t="shared" si="503"/>
        <v>0</v>
      </c>
      <c r="V325" s="33">
        <f t="shared" si="503"/>
        <v>0</v>
      </c>
      <c r="W325" s="33">
        <f t="shared" si="503"/>
        <v>0</v>
      </c>
      <c r="X325" s="33">
        <f t="shared" si="503"/>
        <v>0</v>
      </c>
      <c r="Y325" s="33">
        <f t="shared" si="503"/>
        <v>0</v>
      </c>
      <c r="Z325" s="33">
        <f t="shared" si="503"/>
        <v>0</v>
      </c>
      <c r="AA325" s="33">
        <f t="shared" si="503"/>
        <v>0</v>
      </c>
      <c r="AB325" s="33">
        <f t="shared" si="503"/>
        <v>0</v>
      </c>
      <c r="AC325" s="33">
        <f t="shared" si="503"/>
        <v>0</v>
      </c>
      <c r="AD325" s="33">
        <f t="shared" si="503"/>
        <v>0</v>
      </c>
      <c r="AE325" s="33">
        <f t="shared" si="503"/>
        <v>0</v>
      </c>
      <c r="AF325" s="33">
        <f t="shared" si="503"/>
        <v>0</v>
      </c>
      <c r="AG325" s="33">
        <f t="shared" si="503"/>
        <v>0</v>
      </c>
      <c r="AH325" s="33">
        <f t="shared" si="503"/>
        <v>0</v>
      </c>
      <c r="AI325" s="33">
        <f t="shared" si="503"/>
        <v>0</v>
      </c>
      <c r="AJ325" s="33">
        <f t="shared" si="503"/>
        <v>0</v>
      </c>
      <c r="AK325" s="33">
        <f t="shared" si="503"/>
        <v>0</v>
      </c>
      <c r="AL325" s="33">
        <f t="shared" si="503"/>
        <v>0</v>
      </c>
      <c r="AM325" s="33">
        <f t="shared" si="503"/>
        <v>0</v>
      </c>
      <c r="AN325" s="33">
        <f t="shared" si="503"/>
        <v>0</v>
      </c>
      <c r="AO325" s="33">
        <f t="shared" si="503"/>
        <v>0</v>
      </c>
      <c r="AP325" s="33">
        <f t="shared" si="503"/>
        <v>0</v>
      </c>
      <c r="AQ325" s="33">
        <f t="shared" si="503"/>
        <v>0</v>
      </c>
      <c r="AR325" s="33">
        <f t="shared" si="503"/>
        <v>0</v>
      </c>
      <c r="AS325" s="33">
        <f t="shared" si="503"/>
        <v>0</v>
      </c>
      <c r="AT325" s="33">
        <f t="shared" si="503"/>
        <v>0</v>
      </c>
      <c r="AU325" s="33">
        <f t="shared" si="503"/>
        <v>0</v>
      </c>
      <c r="AV325" s="33">
        <f t="shared" si="503"/>
        <v>0</v>
      </c>
      <c r="AW325" s="33">
        <f t="shared" si="503"/>
        <v>0</v>
      </c>
      <c r="AX325" s="33">
        <f t="shared" si="503"/>
        <v>0</v>
      </c>
      <c r="AY325" s="33">
        <f t="shared" si="503"/>
        <v>0</v>
      </c>
      <c r="AZ325" s="33">
        <f t="shared" si="503"/>
        <v>0</v>
      </c>
      <c r="BA325" s="33">
        <f t="shared" si="503"/>
        <v>0</v>
      </c>
      <c r="BB325" s="33">
        <f t="shared" si="503"/>
        <v>0</v>
      </c>
      <c r="BC325" s="33">
        <f t="shared" si="503"/>
        <v>0</v>
      </c>
      <c r="BD325" s="33">
        <f t="shared" si="503"/>
        <v>0</v>
      </c>
      <c r="BE325" s="33">
        <f t="shared" si="503"/>
        <v>0</v>
      </c>
      <c r="BF325" s="33">
        <f t="shared" si="503"/>
        <v>0</v>
      </c>
      <c r="BG325" s="33">
        <f t="shared" si="503"/>
        <v>0</v>
      </c>
      <c r="BH325" s="33">
        <f t="shared" si="503"/>
        <v>0</v>
      </c>
      <c r="BI325" s="33">
        <f t="shared" si="503"/>
        <v>0</v>
      </c>
      <c r="BJ325" s="33">
        <f t="shared" si="503"/>
        <v>0</v>
      </c>
      <c r="BK325" s="33">
        <f t="shared" si="503"/>
        <v>0</v>
      </c>
      <c r="BL325" s="33">
        <f t="shared" si="503"/>
        <v>0</v>
      </c>
      <c r="BM325" s="33">
        <f t="shared" si="503"/>
        <v>0</v>
      </c>
      <c r="BN325" s="33">
        <f t="shared" si="503"/>
        <v>0</v>
      </c>
      <c r="BO325" s="33">
        <f t="shared" si="503"/>
        <v>0</v>
      </c>
      <c r="BP325" s="33">
        <f t="shared" si="503"/>
        <v>0</v>
      </c>
      <c r="BQ325" s="33">
        <f t="shared" si="503"/>
        <v>0</v>
      </c>
      <c r="BR325" s="33">
        <f t="shared" si="503"/>
        <v>0</v>
      </c>
      <c r="BS325" s="33">
        <f t="shared" si="503"/>
        <v>0</v>
      </c>
      <c r="BT325" s="33">
        <f t="shared" ref="BT325:BY325" si="504">+IF(AND(BT$315=$C327,BT$315&lt;0),1,0)</f>
        <v>0</v>
      </c>
      <c r="BU325" s="33">
        <f t="shared" si="504"/>
        <v>0</v>
      </c>
      <c r="BV325" s="33">
        <f t="shared" si="504"/>
        <v>0</v>
      </c>
      <c r="BW325" s="33">
        <f t="shared" si="504"/>
        <v>0</v>
      </c>
      <c r="BX325" s="33">
        <f t="shared" si="504"/>
        <v>0</v>
      </c>
      <c r="BY325" s="33">
        <f t="shared" si="504"/>
        <v>0</v>
      </c>
    </row>
    <row r="326" spans="3:77" outlineLevel="1">
      <c r="C326" s="32"/>
      <c r="D326" s="31"/>
      <c r="E326" t="s">
        <v>508</v>
      </c>
      <c r="F326" s="23" t="s">
        <v>500</v>
      </c>
      <c r="H326" s="33">
        <f t="shared" ref="H326:BS326" si="505">+IF(AND(H$315=$C328,H$315&lt;0),1,0)</f>
        <v>0</v>
      </c>
      <c r="I326" s="33">
        <f t="shared" si="505"/>
        <v>0</v>
      </c>
      <c r="J326" s="33">
        <f t="shared" si="505"/>
        <v>0</v>
      </c>
      <c r="K326" s="33">
        <f t="shared" si="505"/>
        <v>0</v>
      </c>
      <c r="L326" s="33">
        <f t="shared" si="505"/>
        <v>0</v>
      </c>
      <c r="M326" s="33">
        <f t="shared" si="505"/>
        <v>0</v>
      </c>
      <c r="N326" s="33">
        <f t="shared" si="505"/>
        <v>0</v>
      </c>
      <c r="O326" s="33">
        <f t="shared" si="505"/>
        <v>0</v>
      </c>
      <c r="P326" s="33">
        <f t="shared" si="505"/>
        <v>0</v>
      </c>
      <c r="Q326" s="33">
        <f t="shared" si="505"/>
        <v>0</v>
      </c>
      <c r="R326" s="33">
        <f t="shared" si="505"/>
        <v>0</v>
      </c>
      <c r="S326" s="33">
        <f t="shared" si="505"/>
        <v>0</v>
      </c>
      <c r="T326" s="33">
        <f t="shared" si="505"/>
        <v>0</v>
      </c>
      <c r="U326" s="33">
        <f t="shared" si="505"/>
        <v>0</v>
      </c>
      <c r="V326" s="33">
        <f t="shared" si="505"/>
        <v>0</v>
      </c>
      <c r="W326" s="33">
        <f t="shared" si="505"/>
        <v>0</v>
      </c>
      <c r="X326" s="33">
        <f t="shared" si="505"/>
        <v>0</v>
      </c>
      <c r="Y326" s="33">
        <f t="shared" si="505"/>
        <v>0</v>
      </c>
      <c r="Z326" s="33">
        <f t="shared" si="505"/>
        <v>0</v>
      </c>
      <c r="AA326" s="33">
        <f t="shared" si="505"/>
        <v>0</v>
      </c>
      <c r="AB326" s="33">
        <f t="shared" si="505"/>
        <v>0</v>
      </c>
      <c r="AC326" s="33">
        <f t="shared" si="505"/>
        <v>0</v>
      </c>
      <c r="AD326" s="33">
        <f t="shared" si="505"/>
        <v>0</v>
      </c>
      <c r="AE326" s="33">
        <f t="shared" si="505"/>
        <v>0</v>
      </c>
      <c r="AF326" s="33">
        <f t="shared" si="505"/>
        <v>0</v>
      </c>
      <c r="AG326" s="33">
        <f t="shared" si="505"/>
        <v>0</v>
      </c>
      <c r="AH326" s="33">
        <f t="shared" si="505"/>
        <v>0</v>
      </c>
      <c r="AI326" s="33">
        <f t="shared" si="505"/>
        <v>0</v>
      </c>
      <c r="AJ326" s="33">
        <f t="shared" si="505"/>
        <v>0</v>
      </c>
      <c r="AK326" s="33">
        <f t="shared" si="505"/>
        <v>0</v>
      </c>
      <c r="AL326" s="33">
        <f t="shared" si="505"/>
        <v>0</v>
      </c>
      <c r="AM326" s="33">
        <f t="shared" si="505"/>
        <v>0</v>
      </c>
      <c r="AN326" s="33">
        <f t="shared" si="505"/>
        <v>0</v>
      </c>
      <c r="AO326" s="33">
        <f t="shared" si="505"/>
        <v>0</v>
      </c>
      <c r="AP326" s="33">
        <f t="shared" si="505"/>
        <v>0</v>
      </c>
      <c r="AQ326" s="33">
        <f t="shared" si="505"/>
        <v>0</v>
      </c>
      <c r="AR326" s="33">
        <f t="shared" si="505"/>
        <v>0</v>
      </c>
      <c r="AS326" s="33">
        <f t="shared" si="505"/>
        <v>0</v>
      </c>
      <c r="AT326" s="33">
        <f t="shared" si="505"/>
        <v>0</v>
      </c>
      <c r="AU326" s="33">
        <f t="shared" si="505"/>
        <v>0</v>
      </c>
      <c r="AV326" s="33">
        <f t="shared" si="505"/>
        <v>0</v>
      </c>
      <c r="AW326" s="33">
        <f t="shared" si="505"/>
        <v>0</v>
      </c>
      <c r="AX326" s="33">
        <f t="shared" si="505"/>
        <v>0</v>
      </c>
      <c r="AY326" s="33">
        <f t="shared" si="505"/>
        <v>0</v>
      </c>
      <c r="AZ326" s="33">
        <f t="shared" si="505"/>
        <v>0</v>
      </c>
      <c r="BA326" s="33">
        <f t="shared" si="505"/>
        <v>0</v>
      </c>
      <c r="BB326" s="33">
        <f t="shared" si="505"/>
        <v>0</v>
      </c>
      <c r="BC326" s="33">
        <f t="shared" si="505"/>
        <v>0</v>
      </c>
      <c r="BD326" s="33">
        <f t="shared" si="505"/>
        <v>0</v>
      </c>
      <c r="BE326" s="33">
        <f t="shared" si="505"/>
        <v>0</v>
      </c>
      <c r="BF326" s="33">
        <f t="shared" si="505"/>
        <v>0</v>
      </c>
      <c r="BG326" s="33">
        <f t="shared" si="505"/>
        <v>0</v>
      </c>
      <c r="BH326" s="33">
        <f t="shared" si="505"/>
        <v>0</v>
      </c>
      <c r="BI326" s="33">
        <f t="shared" si="505"/>
        <v>0</v>
      </c>
      <c r="BJ326" s="33">
        <f t="shared" si="505"/>
        <v>0</v>
      </c>
      <c r="BK326" s="33">
        <f t="shared" si="505"/>
        <v>0</v>
      </c>
      <c r="BL326" s="33">
        <f t="shared" si="505"/>
        <v>0</v>
      </c>
      <c r="BM326" s="33">
        <f t="shared" si="505"/>
        <v>0</v>
      </c>
      <c r="BN326" s="33">
        <f t="shared" si="505"/>
        <v>0</v>
      </c>
      <c r="BO326" s="33">
        <f t="shared" si="505"/>
        <v>0</v>
      </c>
      <c r="BP326" s="33">
        <f t="shared" si="505"/>
        <v>0</v>
      </c>
      <c r="BQ326" s="33">
        <f t="shared" si="505"/>
        <v>0</v>
      </c>
      <c r="BR326" s="33">
        <f t="shared" si="505"/>
        <v>0</v>
      </c>
      <c r="BS326" s="33">
        <f t="shared" si="505"/>
        <v>0</v>
      </c>
      <c r="BT326" s="33">
        <f t="shared" ref="BT326:BY326" si="506">+IF(AND(BT$315=$C328,BT$315&lt;0),1,0)</f>
        <v>0</v>
      </c>
      <c r="BU326" s="33">
        <f t="shared" si="506"/>
        <v>0</v>
      </c>
      <c r="BV326" s="33">
        <f t="shared" si="506"/>
        <v>0</v>
      </c>
      <c r="BW326" s="33">
        <f t="shared" si="506"/>
        <v>0</v>
      </c>
      <c r="BX326" s="33">
        <f t="shared" si="506"/>
        <v>0</v>
      </c>
      <c r="BY326" s="33">
        <f t="shared" si="506"/>
        <v>0</v>
      </c>
    </row>
    <row r="327" spans="3:77" outlineLevel="1">
      <c r="C327" s="32"/>
      <c r="D327" s="31"/>
      <c r="E327" t="s">
        <v>509</v>
      </c>
      <c r="F327" s="23" t="s">
        <v>500</v>
      </c>
      <c r="H327" s="33">
        <f t="shared" ref="H327:BS327" si="507">+IF(AND(H$315=$C329,H$315&lt;0),1,0)</f>
        <v>0</v>
      </c>
      <c r="I327" s="33">
        <f t="shared" si="507"/>
        <v>0</v>
      </c>
      <c r="J327" s="33">
        <f t="shared" si="507"/>
        <v>0</v>
      </c>
      <c r="K327" s="33">
        <f t="shared" si="507"/>
        <v>0</v>
      </c>
      <c r="L327" s="33">
        <f t="shared" si="507"/>
        <v>0</v>
      </c>
      <c r="M327" s="33">
        <f t="shared" si="507"/>
        <v>0</v>
      </c>
      <c r="N327" s="33">
        <f t="shared" si="507"/>
        <v>0</v>
      </c>
      <c r="O327" s="33">
        <f t="shared" si="507"/>
        <v>0</v>
      </c>
      <c r="P327" s="33">
        <f t="shared" si="507"/>
        <v>0</v>
      </c>
      <c r="Q327" s="33">
        <f t="shared" si="507"/>
        <v>0</v>
      </c>
      <c r="R327" s="33">
        <f t="shared" si="507"/>
        <v>0</v>
      </c>
      <c r="S327" s="33">
        <f t="shared" si="507"/>
        <v>0</v>
      </c>
      <c r="T327" s="33">
        <f t="shared" si="507"/>
        <v>0</v>
      </c>
      <c r="U327" s="33">
        <f t="shared" si="507"/>
        <v>0</v>
      </c>
      <c r="V327" s="33">
        <f t="shared" si="507"/>
        <v>0</v>
      </c>
      <c r="W327" s="33">
        <f t="shared" si="507"/>
        <v>0</v>
      </c>
      <c r="X327" s="33">
        <f t="shared" si="507"/>
        <v>0</v>
      </c>
      <c r="Y327" s="33">
        <f t="shared" si="507"/>
        <v>0</v>
      </c>
      <c r="Z327" s="33">
        <f t="shared" si="507"/>
        <v>0</v>
      </c>
      <c r="AA327" s="33">
        <f t="shared" si="507"/>
        <v>0</v>
      </c>
      <c r="AB327" s="33">
        <f t="shared" si="507"/>
        <v>0</v>
      </c>
      <c r="AC327" s="33">
        <f t="shared" si="507"/>
        <v>0</v>
      </c>
      <c r="AD327" s="33">
        <f t="shared" si="507"/>
        <v>0</v>
      </c>
      <c r="AE327" s="33">
        <f t="shared" si="507"/>
        <v>0</v>
      </c>
      <c r="AF327" s="33">
        <f t="shared" si="507"/>
        <v>0</v>
      </c>
      <c r="AG327" s="33">
        <f t="shared" si="507"/>
        <v>0</v>
      </c>
      <c r="AH327" s="33">
        <f t="shared" si="507"/>
        <v>0</v>
      </c>
      <c r="AI327" s="33">
        <f t="shared" si="507"/>
        <v>0</v>
      </c>
      <c r="AJ327" s="33">
        <f t="shared" si="507"/>
        <v>0</v>
      </c>
      <c r="AK327" s="33">
        <f t="shared" si="507"/>
        <v>0</v>
      </c>
      <c r="AL327" s="33">
        <f t="shared" si="507"/>
        <v>0</v>
      </c>
      <c r="AM327" s="33">
        <f t="shared" si="507"/>
        <v>0</v>
      </c>
      <c r="AN327" s="33">
        <f t="shared" si="507"/>
        <v>0</v>
      </c>
      <c r="AO327" s="33">
        <f t="shared" si="507"/>
        <v>0</v>
      </c>
      <c r="AP327" s="33">
        <f t="shared" si="507"/>
        <v>0</v>
      </c>
      <c r="AQ327" s="33">
        <f t="shared" si="507"/>
        <v>0</v>
      </c>
      <c r="AR327" s="33">
        <f t="shared" si="507"/>
        <v>0</v>
      </c>
      <c r="AS327" s="33">
        <f t="shared" si="507"/>
        <v>0</v>
      </c>
      <c r="AT327" s="33">
        <f t="shared" si="507"/>
        <v>0</v>
      </c>
      <c r="AU327" s="33">
        <f t="shared" si="507"/>
        <v>0</v>
      </c>
      <c r="AV327" s="33">
        <f t="shared" si="507"/>
        <v>0</v>
      </c>
      <c r="AW327" s="33">
        <f t="shared" si="507"/>
        <v>0</v>
      </c>
      <c r="AX327" s="33">
        <f t="shared" si="507"/>
        <v>0</v>
      </c>
      <c r="AY327" s="33">
        <f t="shared" si="507"/>
        <v>0</v>
      </c>
      <c r="AZ327" s="33">
        <f t="shared" si="507"/>
        <v>0</v>
      </c>
      <c r="BA327" s="33">
        <f t="shared" si="507"/>
        <v>0</v>
      </c>
      <c r="BB327" s="33">
        <f t="shared" si="507"/>
        <v>0</v>
      </c>
      <c r="BC327" s="33">
        <f t="shared" si="507"/>
        <v>0</v>
      </c>
      <c r="BD327" s="33">
        <f t="shared" si="507"/>
        <v>0</v>
      </c>
      <c r="BE327" s="33">
        <f t="shared" si="507"/>
        <v>0</v>
      </c>
      <c r="BF327" s="33">
        <f t="shared" si="507"/>
        <v>0</v>
      </c>
      <c r="BG327" s="33">
        <f t="shared" si="507"/>
        <v>0</v>
      </c>
      <c r="BH327" s="33">
        <f t="shared" si="507"/>
        <v>0</v>
      </c>
      <c r="BI327" s="33">
        <f t="shared" si="507"/>
        <v>0</v>
      </c>
      <c r="BJ327" s="33">
        <f t="shared" si="507"/>
        <v>0</v>
      </c>
      <c r="BK327" s="33">
        <f t="shared" si="507"/>
        <v>0</v>
      </c>
      <c r="BL327" s="33">
        <f t="shared" si="507"/>
        <v>0</v>
      </c>
      <c r="BM327" s="33">
        <f t="shared" si="507"/>
        <v>0</v>
      </c>
      <c r="BN327" s="33">
        <f t="shared" si="507"/>
        <v>0</v>
      </c>
      <c r="BO327" s="33">
        <f t="shared" si="507"/>
        <v>0</v>
      </c>
      <c r="BP327" s="33">
        <f t="shared" si="507"/>
        <v>0</v>
      </c>
      <c r="BQ327" s="33">
        <f t="shared" si="507"/>
        <v>0</v>
      </c>
      <c r="BR327" s="33">
        <f t="shared" si="507"/>
        <v>0</v>
      </c>
      <c r="BS327" s="33">
        <f t="shared" si="507"/>
        <v>0</v>
      </c>
      <c r="BT327" s="33">
        <f t="shared" ref="BT327:BY327" si="508">+IF(AND(BT$315=$C329,BT$315&lt;0),1,0)</f>
        <v>0</v>
      </c>
      <c r="BU327" s="33">
        <f t="shared" si="508"/>
        <v>0</v>
      </c>
      <c r="BV327" s="33">
        <f t="shared" si="508"/>
        <v>0</v>
      </c>
      <c r="BW327" s="33">
        <f t="shared" si="508"/>
        <v>0</v>
      </c>
      <c r="BX327" s="33">
        <f t="shared" si="508"/>
        <v>0</v>
      </c>
      <c r="BY327" s="33">
        <f t="shared" si="508"/>
        <v>0</v>
      </c>
    </row>
    <row r="328" spans="3:77" outlineLevel="1">
      <c r="C328" s="32"/>
      <c r="D328" s="31"/>
      <c r="E328" s="25" t="s">
        <v>510</v>
      </c>
      <c r="F328" s="30" t="s">
        <v>500</v>
      </c>
      <c r="G328" s="25"/>
      <c r="H328" s="34">
        <f t="shared" ref="H328:BS328" si="509">+IF(AND(H$315=$C330,H$315&lt;0),1,0)</f>
        <v>0</v>
      </c>
      <c r="I328" s="34">
        <f t="shared" si="509"/>
        <v>0</v>
      </c>
      <c r="J328" s="34">
        <f t="shared" si="509"/>
        <v>0</v>
      </c>
      <c r="K328" s="34">
        <f t="shared" si="509"/>
        <v>0</v>
      </c>
      <c r="L328" s="34">
        <f t="shared" si="509"/>
        <v>0</v>
      </c>
      <c r="M328" s="34">
        <f t="shared" si="509"/>
        <v>0</v>
      </c>
      <c r="N328" s="34">
        <f t="shared" si="509"/>
        <v>0</v>
      </c>
      <c r="O328" s="34">
        <f t="shared" si="509"/>
        <v>0</v>
      </c>
      <c r="P328" s="34">
        <f t="shared" si="509"/>
        <v>0</v>
      </c>
      <c r="Q328" s="34">
        <f t="shared" si="509"/>
        <v>0</v>
      </c>
      <c r="R328" s="34">
        <f t="shared" si="509"/>
        <v>0</v>
      </c>
      <c r="S328" s="34">
        <f t="shared" si="509"/>
        <v>0</v>
      </c>
      <c r="T328" s="34">
        <f t="shared" si="509"/>
        <v>0</v>
      </c>
      <c r="U328" s="34">
        <f t="shared" si="509"/>
        <v>0</v>
      </c>
      <c r="V328" s="34">
        <f t="shared" si="509"/>
        <v>0</v>
      </c>
      <c r="W328" s="34">
        <f t="shared" si="509"/>
        <v>0</v>
      </c>
      <c r="X328" s="34">
        <f t="shared" si="509"/>
        <v>0</v>
      </c>
      <c r="Y328" s="34">
        <f t="shared" si="509"/>
        <v>0</v>
      </c>
      <c r="Z328" s="34">
        <f t="shared" si="509"/>
        <v>0</v>
      </c>
      <c r="AA328" s="34">
        <f t="shared" si="509"/>
        <v>0</v>
      </c>
      <c r="AB328" s="34">
        <f t="shared" si="509"/>
        <v>0</v>
      </c>
      <c r="AC328" s="34">
        <f t="shared" si="509"/>
        <v>0</v>
      </c>
      <c r="AD328" s="34">
        <f t="shared" si="509"/>
        <v>0</v>
      </c>
      <c r="AE328" s="34">
        <f t="shared" si="509"/>
        <v>0</v>
      </c>
      <c r="AF328" s="34">
        <f t="shared" si="509"/>
        <v>0</v>
      </c>
      <c r="AG328" s="34">
        <f t="shared" si="509"/>
        <v>0</v>
      </c>
      <c r="AH328" s="34">
        <f t="shared" si="509"/>
        <v>0</v>
      </c>
      <c r="AI328" s="34">
        <f t="shared" si="509"/>
        <v>0</v>
      </c>
      <c r="AJ328" s="34">
        <f t="shared" si="509"/>
        <v>0</v>
      </c>
      <c r="AK328" s="34">
        <f t="shared" si="509"/>
        <v>0</v>
      </c>
      <c r="AL328" s="34">
        <f t="shared" si="509"/>
        <v>0</v>
      </c>
      <c r="AM328" s="34">
        <f t="shared" si="509"/>
        <v>0</v>
      </c>
      <c r="AN328" s="34">
        <f t="shared" si="509"/>
        <v>0</v>
      </c>
      <c r="AO328" s="34">
        <f t="shared" si="509"/>
        <v>0</v>
      </c>
      <c r="AP328" s="34">
        <f t="shared" si="509"/>
        <v>0</v>
      </c>
      <c r="AQ328" s="34">
        <f t="shared" si="509"/>
        <v>0</v>
      </c>
      <c r="AR328" s="34">
        <f t="shared" si="509"/>
        <v>0</v>
      </c>
      <c r="AS328" s="34">
        <f t="shared" si="509"/>
        <v>0</v>
      </c>
      <c r="AT328" s="34">
        <f t="shared" si="509"/>
        <v>0</v>
      </c>
      <c r="AU328" s="34">
        <f t="shared" si="509"/>
        <v>0</v>
      </c>
      <c r="AV328" s="34">
        <f t="shared" si="509"/>
        <v>0</v>
      </c>
      <c r="AW328" s="34">
        <f t="shared" si="509"/>
        <v>0</v>
      </c>
      <c r="AX328" s="34">
        <f t="shared" si="509"/>
        <v>0</v>
      </c>
      <c r="AY328" s="34">
        <f t="shared" si="509"/>
        <v>0</v>
      </c>
      <c r="AZ328" s="34">
        <f t="shared" si="509"/>
        <v>0</v>
      </c>
      <c r="BA328" s="34">
        <f t="shared" si="509"/>
        <v>0</v>
      </c>
      <c r="BB328" s="34">
        <f t="shared" si="509"/>
        <v>0</v>
      </c>
      <c r="BC328" s="34">
        <f t="shared" si="509"/>
        <v>0</v>
      </c>
      <c r="BD328" s="34">
        <f t="shared" si="509"/>
        <v>0</v>
      </c>
      <c r="BE328" s="34">
        <f t="shared" si="509"/>
        <v>0</v>
      </c>
      <c r="BF328" s="34">
        <f t="shared" si="509"/>
        <v>0</v>
      </c>
      <c r="BG328" s="34">
        <f t="shared" si="509"/>
        <v>0</v>
      </c>
      <c r="BH328" s="34">
        <f t="shared" si="509"/>
        <v>0</v>
      </c>
      <c r="BI328" s="34">
        <f t="shared" si="509"/>
        <v>0</v>
      </c>
      <c r="BJ328" s="34">
        <f t="shared" si="509"/>
        <v>0</v>
      </c>
      <c r="BK328" s="34">
        <f t="shared" si="509"/>
        <v>0</v>
      </c>
      <c r="BL328" s="34">
        <f t="shared" si="509"/>
        <v>0</v>
      </c>
      <c r="BM328" s="34">
        <f t="shared" si="509"/>
        <v>0</v>
      </c>
      <c r="BN328" s="34">
        <f t="shared" si="509"/>
        <v>0</v>
      </c>
      <c r="BO328" s="34">
        <f t="shared" si="509"/>
        <v>0</v>
      </c>
      <c r="BP328" s="34">
        <f t="shared" si="509"/>
        <v>0</v>
      </c>
      <c r="BQ328" s="34">
        <f t="shared" si="509"/>
        <v>0</v>
      </c>
      <c r="BR328" s="34">
        <f t="shared" si="509"/>
        <v>0</v>
      </c>
      <c r="BS328" s="34">
        <f t="shared" si="509"/>
        <v>0</v>
      </c>
      <c r="BT328" s="34">
        <f t="shared" ref="BT328:BY328" si="510">+IF(AND(BT$315=$C330,BT$315&lt;0),1,0)</f>
        <v>0</v>
      </c>
      <c r="BU328" s="34">
        <f t="shared" si="510"/>
        <v>0</v>
      </c>
      <c r="BV328" s="34">
        <f t="shared" si="510"/>
        <v>0</v>
      </c>
      <c r="BW328" s="34">
        <f t="shared" si="510"/>
        <v>0</v>
      </c>
      <c r="BX328" s="34">
        <f t="shared" si="510"/>
        <v>0</v>
      </c>
      <c r="BY328" s="34">
        <f t="shared" si="510"/>
        <v>0</v>
      </c>
    </row>
    <row r="329" spans="3:77" outlineLevel="1">
      <c r="C329" s="32"/>
      <c r="D329" s="31"/>
      <c r="E329" t="s">
        <v>511</v>
      </c>
      <c r="F329" s="80" t="str">
        <f>+Assumptions!$G$8</f>
        <v>USD</v>
      </c>
      <c r="H329" s="32">
        <f t="shared" ref="H329" si="511">+G343</f>
        <v>0</v>
      </c>
      <c r="I329" s="32">
        <f t="shared" ref="I329" si="512">+H343</f>
        <v>0</v>
      </c>
      <c r="J329" s="32">
        <f>+I343</f>
        <v>-809129.45849152235</v>
      </c>
      <c r="K329" s="32">
        <f t="shared" ref="K329" ca="1" si="513">+J343</f>
        <v>-2868370.7126063565</v>
      </c>
      <c r="L329" s="32">
        <f t="shared" ref="L329" ca="1" si="514">+K343</f>
        <v>-2739077.9440378263</v>
      </c>
      <c r="M329" s="32">
        <f t="shared" ref="M329" ca="1" si="515">+L343</f>
        <v>-2602365.0634811483</v>
      </c>
      <c r="N329" s="32">
        <f t="shared" ref="N329" ca="1" si="516">+M343</f>
        <v>-2457806.2307093227</v>
      </c>
      <c r="O329" s="32">
        <f t="shared" ref="O329" ca="1" si="517">+N343</f>
        <v>-2304951.1665247218</v>
      </c>
      <c r="P329" s="32">
        <f t="shared" ref="P329" ca="1" si="518">+O343</f>
        <v>-2143323.7502065664</v>
      </c>
      <c r="Q329" s="32">
        <f t="shared" ref="Q329" ca="1" si="519">+P343</f>
        <v>-1972420.5364659124</v>
      </c>
      <c r="R329" s="32">
        <f t="shared" ref="R329" ca="1" si="520">+Q343</f>
        <v>-1791709.1872886822</v>
      </c>
      <c r="S329" s="32">
        <f t="shared" ref="S329" ca="1" si="521">+R343</f>
        <v>-1600626.8137821709</v>
      </c>
      <c r="T329" s="32">
        <f t="shared" ref="T329" ca="1" si="522">+S343</f>
        <v>-1398578.2228601207</v>
      </c>
      <c r="U329" s="32">
        <f t="shared" ref="U329" ca="1" si="523">+T343</f>
        <v>-1184934.0633050541</v>
      </c>
      <c r="V329" s="32">
        <f t="shared" ref="V329" ca="1" si="524">+U343</f>
        <v>-959028.86543312226</v>
      </c>
      <c r="W329" s="32">
        <f t="shared" ref="W329" ca="1" si="525">+V343</f>
        <v>-720158.96825532021</v>
      </c>
      <c r="X329" s="32">
        <f t="shared" ref="X329" ca="1" si="526">+W343</f>
        <v>-467580.32767848414</v>
      </c>
      <c r="Y329" s="32">
        <f t="shared" ref="Y329" ca="1" si="527">+X343</f>
        <v>-200506.19891894341</v>
      </c>
      <c r="Z329" s="32">
        <f t="shared" ref="Z329" ca="1" si="528">+Y343</f>
        <v>-1.2223608791828156E-9</v>
      </c>
      <c r="AA329" s="32">
        <f t="shared" ref="AA329" ca="1" si="529">+Z343</f>
        <v>-1.2223608791828156E-9</v>
      </c>
      <c r="AB329" s="32">
        <f t="shared" ref="AB329" ca="1" si="530">+AA343</f>
        <v>-1.2223608791828156E-9</v>
      </c>
      <c r="AC329" s="32">
        <f t="shared" ref="AC329" ca="1" si="531">+AB343</f>
        <v>-1.2223608791828156E-9</v>
      </c>
      <c r="AD329" s="32">
        <f t="shared" ref="AD329" ca="1" si="532">+AC343</f>
        <v>-1.2223608791828156E-9</v>
      </c>
      <c r="AE329" s="32">
        <f t="shared" ref="AE329" ca="1" si="533">+AD343</f>
        <v>-1.2223608791828156E-9</v>
      </c>
      <c r="AF329" s="32">
        <f t="shared" ref="AF329" ca="1" si="534">+AE343</f>
        <v>-1.2223608791828156E-9</v>
      </c>
      <c r="AG329" s="32">
        <f t="shared" ref="AG329" ca="1" si="535">+AF343</f>
        <v>-1.2223608791828156E-9</v>
      </c>
      <c r="AH329" s="32">
        <f t="shared" ref="AH329" ca="1" si="536">+AG343</f>
        <v>-1.2223608791828156E-9</v>
      </c>
      <c r="AI329" s="32">
        <f t="shared" ref="AI329" ca="1" si="537">+AH343</f>
        <v>-1.2223608791828156E-9</v>
      </c>
      <c r="AJ329" s="32">
        <f t="shared" ref="AJ329" ca="1" si="538">+AI343</f>
        <v>-1.2223608791828156E-9</v>
      </c>
      <c r="AK329" s="32">
        <f t="shared" ref="AK329" ca="1" si="539">+AJ343</f>
        <v>-1.2223608791828156E-9</v>
      </c>
      <c r="AL329" s="32">
        <f t="shared" ref="AL329" ca="1" si="540">+AK343</f>
        <v>-1.2223608791828156E-9</v>
      </c>
      <c r="AM329" s="32">
        <f t="shared" ref="AM329" ca="1" si="541">+AL343</f>
        <v>-1.2223608791828156E-9</v>
      </c>
      <c r="AN329" s="32">
        <f t="shared" ref="AN329" ca="1" si="542">+AM343</f>
        <v>-1.2223608791828156E-9</v>
      </c>
      <c r="AO329" s="32">
        <f t="shared" ref="AO329" ca="1" si="543">+AN343</f>
        <v>-1.2223608791828156E-9</v>
      </c>
      <c r="AP329" s="32">
        <f t="shared" ref="AP329" ca="1" si="544">+AO343</f>
        <v>-1.2223608791828156E-9</v>
      </c>
      <c r="AQ329" s="32">
        <f t="shared" ref="AQ329" ca="1" si="545">+AP343</f>
        <v>-1.2223608791828156E-9</v>
      </c>
      <c r="AR329" s="32">
        <f t="shared" ref="AR329" ca="1" si="546">+AQ343</f>
        <v>-1.2223608791828156E-9</v>
      </c>
      <c r="AS329" s="32">
        <f t="shared" ref="AS329" ca="1" si="547">+AR343</f>
        <v>-1.2223608791828156E-9</v>
      </c>
      <c r="AT329" s="32">
        <f t="shared" ref="AT329" ca="1" si="548">+AS343</f>
        <v>-1.2223608791828156E-9</v>
      </c>
      <c r="AU329" s="32">
        <f t="shared" ref="AU329" ca="1" si="549">+AT343</f>
        <v>-1.2223608791828156E-9</v>
      </c>
      <c r="AV329" s="32">
        <f t="shared" ref="AV329" ca="1" si="550">+AU343</f>
        <v>-1.2223608791828156E-9</v>
      </c>
      <c r="AW329" s="32">
        <f t="shared" ref="AW329" ca="1" si="551">+AV343</f>
        <v>-1.2223608791828156E-9</v>
      </c>
      <c r="AX329" s="32">
        <f t="shared" ref="AX329" ca="1" si="552">+AW343</f>
        <v>-1.2223608791828156E-9</v>
      </c>
      <c r="AY329" s="32">
        <f t="shared" ref="AY329" ca="1" si="553">+AX343</f>
        <v>-1.2223608791828156E-9</v>
      </c>
      <c r="AZ329" s="32">
        <f t="shared" ref="AZ329" ca="1" si="554">+AY343</f>
        <v>-1.2223608791828156E-9</v>
      </c>
      <c r="BA329" s="32">
        <f t="shared" ref="BA329" ca="1" si="555">+AZ343</f>
        <v>-1.2223608791828156E-9</v>
      </c>
      <c r="BB329" s="32">
        <f t="shared" ref="BB329" ca="1" si="556">+BA343</f>
        <v>-1.2223608791828156E-9</v>
      </c>
      <c r="BC329" s="32">
        <f t="shared" ref="BC329" ca="1" si="557">+BB343</f>
        <v>-1.2223608791828156E-9</v>
      </c>
      <c r="BD329" s="32">
        <f t="shared" ref="BD329" ca="1" si="558">+BC343</f>
        <v>-1.2223608791828156E-9</v>
      </c>
      <c r="BE329" s="32">
        <f t="shared" ref="BE329" ca="1" si="559">+BD343</f>
        <v>-1.2223608791828156E-9</v>
      </c>
      <c r="BF329" s="32">
        <f t="shared" ref="BF329" ca="1" si="560">+BE343</f>
        <v>-1.2223608791828156E-9</v>
      </c>
      <c r="BG329" s="32">
        <f t="shared" ref="BG329" ca="1" si="561">+BF343</f>
        <v>-1.2223608791828156E-9</v>
      </c>
      <c r="BH329" s="32">
        <f t="shared" ref="BH329" ca="1" si="562">+BG343</f>
        <v>-1.2223608791828156E-9</v>
      </c>
      <c r="BI329" s="32">
        <f t="shared" ref="BI329" ca="1" si="563">+BH343</f>
        <v>-1.2223608791828156E-9</v>
      </c>
      <c r="BJ329" s="32">
        <f t="shared" ref="BJ329" ca="1" si="564">+BI343</f>
        <v>-1.2223608791828156E-9</v>
      </c>
      <c r="BK329" s="32">
        <f t="shared" ref="BK329" ca="1" si="565">+BJ343</f>
        <v>-1.2223608791828156E-9</v>
      </c>
      <c r="BL329" s="32">
        <f t="shared" ref="BL329" ca="1" si="566">+BK343</f>
        <v>-1.2223608791828156E-9</v>
      </c>
      <c r="BM329" s="32">
        <f t="shared" ref="BM329" ca="1" si="567">+BL343</f>
        <v>-1.2223608791828156E-9</v>
      </c>
      <c r="BN329" s="32">
        <f t="shared" ref="BN329" ca="1" si="568">+BM343</f>
        <v>-1.2223608791828156E-9</v>
      </c>
      <c r="BO329" s="32">
        <f t="shared" ref="BO329" ca="1" si="569">+BN343</f>
        <v>-1.2223608791828156E-9</v>
      </c>
      <c r="BP329" s="32">
        <f t="shared" ref="BP329" ca="1" si="570">+BO343</f>
        <v>-1.2223608791828156E-9</v>
      </c>
      <c r="BQ329" s="32">
        <f t="shared" ref="BQ329" ca="1" si="571">+BP343</f>
        <v>-1.2223608791828156E-9</v>
      </c>
      <c r="BR329" s="32">
        <f t="shared" ref="BR329" ca="1" si="572">+BQ343</f>
        <v>-1.2223608791828156E-9</v>
      </c>
      <c r="BS329" s="32">
        <f t="shared" ref="BS329" ca="1" si="573">+BR343</f>
        <v>-1.2223608791828156E-9</v>
      </c>
      <c r="BT329" s="32">
        <f t="shared" ref="BT329" ca="1" si="574">+BS343</f>
        <v>-1.2223608791828156E-9</v>
      </c>
      <c r="BU329" s="32">
        <f t="shared" ref="BU329" ca="1" si="575">+BT343</f>
        <v>-1.2223608791828156E-9</v>
      </c>
      <c r="BV329" s="32">
        <f t="shared" ref="BV329" ca="1" si="576">+BU343</f>
        <v>-1.2223608791828156E-9</v>
      </c>
      <c r="BW329" s="32">
        <f t="shared" ref="BW329" ca="1" si="577">+BV343</f>
        <v>-1.2223608791828156E-9</v>
      </c>
      <c r="BX329" s="32">
        <f t="shared" ref="BX329" ca="1" si="578">+BW343</f>
        <v>-1.2223608791828156E-9</v>
      </c>
      <c r="BY329" s="32">
        <f t="shared" ref="BY329" ca="1" si="579">+BX343</f>
        <v>-1.2223608791828156E-9</v>
      </c>
    </row>
    <row r="330" spans="3:77" outlineLevel="1">
      <c r="C330" s="32"/>
      <c r="D330" s="31"/>
      <c r="E330" t="s">
        <v>512</v>
      </c>
      <c r="F330" s="80" t="str">
        <f>+Assumptions!$G$8</f>
        <v>USD</v>
      </c>
      <c r="H330" s="33">
        <f ca="1">+H329*Assumptions!$G$229</f>
        <v>0</v>
      </c>
      <c r="I330" s="33">
        <f ca="1">+I329*Assumptions!$G$229</f>
        <v>0</v>
      </c>
      <c r="J330" s="33">
        <f ca="1">+J329*Assumptions!$G$229</f>
        <v>-46435.939622828468</v>
      </c>
      <c r="K330" s="33">
        <f ca="1">+K329*Assumptions!$G$229</f>
        <v>-164615.79519647881</v>
      </c>
      <c r="L330" s="33">
        <f ca="1">+L329*Assumptions!$G$229</f>
        <v>-157195.68320833085</v>
      </c>
      <c r="M330" s="33">
        <f ca="1">+M329*Assumptions!$G$229</f>
        <v>-149349.73099318313</v>
      </c>
      <c r="N330" s="33">
        <f ca="1">+N329*Assumptions!$G$229</f>
        <v>-141053.49958040804</v>
      </c>
      <c r="O330" s="33">
        <f ca="1">+O329*Assumptions!$G$229</f>
        <v>-132281.14744685378</v>
      </c>
      <c r="P330" s="33">
        <f ca="1">+P329*Assumptions!$G$229</f>
        <v>-123005.35002435485</v>
      </c>
      <c r="Q330" s="33">
        <f ca="1">+Q329*Assumptions!$G$229</f>
        <v>-113197.21458777871</v>
      </c>
      <c r="R330" s="33">
        <f ca="1">+R329*Assumptions!$G$229</f>
        <v>-102826.19025849747</v>
      </c>
      <c r="S330" s="33">
        <f ca="1">+S329*Assumptions!$G$229</f>
        <v>-91859.972842958799</v>
      </c>
      <c r="T330" s="33">
        <f ca="1">+T329*Assumptions!$G$229</f>
        <v>-80264.404209942339</v>
      </c>
      <c r="U330" s="33">
        <f ca="1">+U329*Assumptions!$G$229</f>
        <v>-68003.365893077062</v>
      </c>
      <c r="V330" s="33">
        <f ca="1">+V329*Assumptions!$G$229</f>
        <v>-55038.666587206892</v>
      </c>
      <c r="W330" s="33">
        <f ca="1">+W329*Assumptions!$G$229</f>
        <v>-41329.923188172826</v>
      </c>
      <c r="X330" s="33">
        <f ca="1">+X329*Assumptions!$G$229</f>
        <v>-26834.435005468207</v>
      </c>
      <c r="Y330" s="33">
        <f ca="1">+Y329*Assumptions!$G$229</f>
        <v>-11507.050755958164</v>
      </c>
      <c r="Z330" s="33">
        <f ca="1">+Z329*Assumptions!$G$229</f>
        <v>-7.0151290856301784E-11</v>
      </c>
      <c r="AA330" s="33">
        <f ca="1">+AA329*Assumptions!$G$229</f>
        <v>-7.0151290856301784E-11</v>
      </c>
      <c r="AB330" s="33">
        <f ca="1">+AB329*Assumptions!$G$229</f>
        <v>-7.0151290856301784E-11</v>
      </c>
      <c r="AC330" s="33">
        <f ca="1">+AC329*Assumptions!$G$229</f>
        <v>-7.0151290856301784E-11</v>
      </c>
      <c r="AD330" s="33">
        <f ca="1">+AD329*Assumptions!$G$229</f>
        <v>-7.0151290856301784E-11</v>
      </c>
      <c r="AE330" s="33">
        <f ca="1">+AE329*Assumptions!$G$229</f>
        <v>-7.0151290856301784E-11</v>
      </c>
      <c r="AF330" s="33">
        <f ca="1">+AF329*Assumptions!$G$229</f>
        <v>-7.0151290856301784E-11</v>
      </c>
      <c r="AG330" s="33">
        <f ca="1">+AG329*Assumptions!$G$229</f>
        <v>-7.0151290856301784E-11</v>
      </c>
      <c r="AH330" s="33">
        <f ca="1">+AH329*Assumptions!$G$229</f>
        <v>-7.0151290856301784E-11</v>
      </c>
      <c r="AI330" s="33">
        <f ca="1">+AI329*Assumptions!$G$229</f>
        <v>-7.0151290856301784E-11</v>
      </c>
      <c r="AJ330" s="33">
        <f ca="1">+AJ329*Assumptions!$G$229</f>
        <v>-7.0151290856301784E-11</v>
      </c>
      <c r="AK330" s="33">
        <f ca="1">+AK329*Assumptions!$G$229</f>
        <v>-7.0151290856301784E-11</v>
      </c>
      <c r="AL330" s="33">
        <f ca="1">+AL329*Assumptions!$G$229</f>
        <v>-7.0151290856301784E-11</v>
      </c>
      <c r="AM330" s="33">
        <f ca="1">+AM329*Assumptions!$G$229</f>
        <v>-7.0151290856301784E-11</v>
      </c>
      <c r="AN330" s="33">
        <f ca="1">+AN329*Assumptions!$G$229</f>
        <v>-7.0151290856301784E-11</v>
      </c>
      <c r="AO330" s="33">
        <f ca="1">+AO329*Assumptions!$G$229</f>
        <v>-7.0151290856301784E-11</v>
      </c>
      <c r="AP330" s="33">
        <f ca="1">+AP329*Assumptions!$G$229</f>
        <v>-7.0151290856301784E-11</v>
      </c>
      <c r="AQ330" s="33">
        <f ca="1">+AQ329*Assumptions!$G$229</f>
        <v>-7.0151290856301784E-11</v>
      </c>
      <c r="AR330" s="33">
        <f ca="1">+AR329*Assumptions!$G$229</f>
        <v>-7.0151290856301784E-11</v>
      </c>
      <c r="AS330" s="33">
        <f ca="1">+AS329*Assumptions!$G$229</f>
        <v>-7.0151290856301784E-11</v>
      </c>
      <c r="AT330" s="33">
        <f ca="1">+AT329*Assumptions!$G$229</f>
        <v>-7.0151290856301784E-11</v>
      </c>
      <c r="AU330" s="33">
        <f ca="1">+AU329*Assumptions!$G$229</f>
        <v>-7.0151290856301784E-11</v>
      </c>
      <c r="AV330" s="33">
        <f ca="1">+AV329*Assumptions!$G$229</f>
        <v>-7.0151290856301784E-11</v>
      </c>
      <c r="AW330" s="33">
        <f ca="1">+AW329*Assumptions!$G$229</f>
        <v>-7.0151290856301784E-11</v>
      </c>
      <c r="AX330" s="33">
        <f ca="1">+AX329*Assumptions!$G$229</f>
        <v>-7.0151290856301784E-11</v>
      </c>
      <c r="AY330" s="33">
        <f ca="1">+AY329*Assumptions!$G$229</f>
        <v>-7.0151290856301784E-11</v>
      </c>
      <c r="AZ330" s="33">
        <f ca="1">+AZ329*Assumptions!$G$229</f>
        <v>-7.0151290856301784E-11</v>
      </c>
      <c r="BA330" s="33">
        <f ca="1">+BA329*Assumptions!$G$229</f>
        <v>-7.0151290856301784E-11</v>
      </c>
      <c r="BB330" s="33">
        <f ca="1">+BB329*Assumptions!$G$229</f>
        <v>-7.0151290856301784E-11</v>
      </c>
      <c r="BC330" s="33">
        <f ca="1">+BC329*Assumptions!$G$229</f>
        <v>-7.0151290856301784E-11</v>
      </c>
      <c r="BD330" s="33">
        <f ca="1">+BD329*Assumptions!$G$229</f>
        <v>-7.0151290856301784E-11</v>
      </c>
      <c r="BE330" s="33">
        <f ca="1">+BE329*Assumptions!$G$229</f>
        <v>-7.0151290856301784E-11</v>
      </c>
      <c r="BF330" s="33">
        <f ca="1">+BF329*Assumptions!$G$229</f>
        <v>-7.0151290856301784E-11</v>
      </c>
      <c r="BG330" s="33">
        <f ca="1">+BG329*Assumptions!$G$229</f>
        <v>-7.0151290856301784E-11</v>
      </c>
      <c r="BH330" s="33">
        <f ca="1">+BH329*Assumptions!$G$229</f>
        <v>-7.0151290856301784E-11</v>
      </c>
      <c r="BI330" s="33">
        <f ca="1">+BI329*Assumptions!$G$229</f>
        <v>-7.0151290856301784E-11</v>
      </c>
      <c r="BJ330" s="33">
        <f ca="1">+BJ329*Assumptions!$G$229</f>
        <v>-7.0151290856301784E-11</v>
      </c>
      <c r="BK330" s="33">
        <f ca="1">+BK329*Assumptions!$G$229</f>
        <v>-7.0151290856301784E-11</v>
      </c>
      <c r="BL330" s="33">
        <f ca="1">+BL329*Assumptions!$G$229</f>
        <v>-7.0151290856301784E-11</v>
      </c>
      <c r="BM330" s="33">
        <f ca="1">+BM329*Assumptions!$G$229</f>
        <v>-7.0151290856301784E-11</v>
      </c>
      <c r="BN330" s="33">
        <f ca="1">+BN329*Assumptions!$G$229</f>
        <v>-7.0151290856301784E-11</v>
      </c>
      <c r="BO330" s="33">
        <f ca="1">+BO329*Assumptions!$G$229</f>
        <v>-7.0151290856301784E-11</v>
      </c>
      <c r="BP330" s="33">
        <f ca="1">+BP329*Assumptions!$G$229</f>
        <v>-7.0151290856301784E-11</v>
      </c>
      <c r="BQ330" s="33">
        <f ca="1">+BQ329*Assumptions!$G$229</f>
        <v>-7.0151290856301784E-11</v>
      </c>
      <c r="BR330" s="33">
        <f ca="1">+BR329*Assumptions!$G$229</f>
        <v>-7.0151290856301784E-11</v>
      </c>
      <c r="BS330" s="33">
        <f ca="1">+BS329*Assumptions!$G$229</f>
        <v>-7.0151290856301784E-11</v>
      </c>
      <c r="BT330" s="33">
        <f ca="1">+BT329*Assumptions!$G$229</f>
        <v>-7.0151290856301784E-11</v>
      </c>
      <c r="BU330" s="33">
        <f ca="1">+BU329*Assumptions!$G$229</f>
        <v>-7.0151290856301784E-11</v>
      </c>
      <c r="BV330" s="33">
        <f ca="1">+BV329*Assumptions!$G$229</f>
        <v>-7.0151290856301784E-11</v>
      </c>
      <c r="BW330" s="33">
        <f ca="1">+BW329*Assumptions!$G$229</f>
        <v>-7.0151290856301784E-11</v>
      </c>
      <c r="BX330" s="33">
        <f ca="1">+BX329*Assumptions!$G$229</f>
        <v>-7.0151290856301784E-11</v>
      </c>
      <c r="BY330" s="33">
        <f ca="1">+BY329*Assumptions!$G$229</f>
        <v>-7.0151290856301784E-11</v>
      </c>
    </row>
    <row r="331" spans="3:77" outlineLevel="1">
      <c r="C331" s="31"/>
      <c r="E331" s="25" t="s">
        <v>513</v>
      </c>
      <c r="F331" s="81" t="str">
        <f>+Assumptions!$G$8</f>
        <v>USD</v>
      </c>
      <c r="G331" s="25"/>
      <c r="H331" s="34">
        <f>IF(SUM(H332:H341)=0,0,+SUM(H332:H341)-H330)</f>
        <v>0</v>
      </c>
      <c r="I331" s="34">
        <f t="shared" ref="I331:BT331" si="580">IF(SUM(I332:I341)=0,0,+SUM(I332:I341)-I330)</f>
        <v>0</v>
      </c>
      <c r="J331" s="34">
        <f t="shared" ca="1" si="580"/>
        <v>-35459.374467280089</v>
      </c>
      <c r="K331" s="34">
        <f t="shared" ca="1" si="580"/>
        <v>-129292.76856853013</v>
      </c>
      <c r="L331" s="34">
        <f t="shared" ca="1" si="580"/>
        <v>-136712.88055667808</v>
      </c>
      <c r="M331" s="34">
        <f t="shared" ca="1" si="580"/>
        <v>-144558.83277182581</v>
      </c>
      <c r="N331" s="34">
        <f t="shared" ca="1" si="580"/>
        <v>-152855.06418460089</v>
      </c>
      <c r="O331" s="34">
        <f t="shared" ca="1" si="580"/>
        <v>-161627.41631815516</v>
      </c>
      <c r="P331" s="34">
        <f t="shared" ca="1" si="580"/>
        <v>-170903.21374065409</v>
      </c>
      <c r="Q331" s="34">
        <f t="shared" ca="1" si="580"/>
        <v>-180711.34917723021</v>
      </c>
      <c r="R331" s="34">
        <f t="shared" ca="1" si="580"/>
        <v>-191082.37350651145</v>
      </c>
      <c r="S331" s="34">
        <f t="shared" ca="1" si="580"/>
        <v>-202048.59092205012</v>
      </c>
      <c r="T331" s="34">
        <f t="shared" ca="1" si="580"/>
        <v>-213644.15955506661</v>
      </c>
      <c r="U331" s="34">
        <f t="shared" ca="1" si="580"/>
        <v>-225905.19787193189</v>
      </c>
      <c r="V331" s="34">
        <f t="shared" ca="1" si="580"/>
        <v>-238869.89717780205</v>
      </c>
      <c r="W331" s="34">
        <f t="shared" ca="1" si="580"/>
        <v>-252578.6405768361</v>
      </c>
      <c r="X331" s="34">
        <f t="shared" ca="1" si="580"/>
        <v>-267074.12875954073</v>
      </c>
      <c r="Y331" s="34">
        <f t="shared" ca="1" si="580"/>
        <v>-200506.19891894219</v>
      </c>
      <c r="Z331" s="34">
        <f t="shared" si="580"/>
        <v>0</v>
      </c>
      <c r="AA331" s="34">
        <f t="shared" si="580"/>
        <v>0</v>
      </c>
      <c r="AB331" s="34">
        <f t="shared" si="580"/>
        <v>0</v>
      </c>
      <c r="AC331" s="34">
        <f t="shared" si="580"/>
        <v>0</v>
      </c>
      <c r="AD331" s="34">
        <f t="shared" si="580"/>
        <v>0</v>
      </c>
      <c r="AE331" s="34">
        <f t="shared" si="580"/>
        <v>0</v>
      </c>
      <c r="AF331" s="34">
        <f t="shared" si="580"/>
        <v>0</v>
      </c>
      <c r="AG331" s="34">
        <f t="shared" si="580"/>
        <v>0</v>
      </c>
      <c r="AH331" s="34">
        <f t="shared" si="580"/>
        <v>0</v>
      </c>
      <c r="AI331" s="34">
        <f t="shared" si="580"/>
        <v>0</v>
      </c>
      <c r="AJ331" s="34">
        <f t="shared" si="580"/>
        <v>0</v>
      </c>
      <c r="AK331" s="34">
        <f t="shared" si="580"/>
        <v>0</v>
      </c>
      <c r="AL331" s="34">
        <f t="shared" si="580"/>
        <v>0</v>
      </c>
      <c r="AM331" s="34">
        <f t="shared" si="580"/>
        <v>0</v>
      </c>
      <c r="AN331" s="34">
        <f t="shared" si="580"/>
        <v>0</v>
      </c>
      <c r="AO331" s="34">
        <f t="shared" si="580"/>
        <v>0</v>
      </c>
      <c r="AP331" s="34">
        <f t="shared" si="580"/>
        <v>0</v>
      </c>
      <c r="AQ331" s="34">
        <f t="shared" si="580"/>
        <v>0</v>
      </c>
      <c r="AR331" s="34">
        <f t="shared" si="580"/>
        <v>0</v>
      </c>
      <c r="AS331" s="34">
        <f t="shared" si="580"/>
        <v>0</v>
      </c>
      <c r="AT331" s="34">
        <f t="shared" si="580"/>
        <v>0</v>
      </c>
      <c r="AU331" s="34">
        <f t="shared" si="580"/>
        <v>0</v>
      </c>
      <c r="AV331" s="34">
        <f t="shared" si="580"/>
        <v>0</v>
      </c>
      <c r="AW331" s="34">
        <f t="shared" si="580"/>
        <v>0</v>
      </c>
      <c r="AX331" s="34">
        <f t="shared" si="580"/>
        <v>0</v>
      </c>
      <c r="AY331" s="34">
        <f t="shared" si="580"/>
        <v>0</v>
      </c>
      <c r="AZ331" s="34">
        <f t="shared" si="580"/>
        <v>0</v>
      </c>
      <c r="BA331" s="34">
        <f t="shared" si="580"/>
        <v>0</v>
      </c>
      <c r="BB331" s="34">
        <f t="shared" si="580"/>
        <v>0</v>
      </c>
      <c r="BC331" s="34">
        <f t="shared" si="580"/>
        <v>0</v>
      </c>
      <c r="BD331" s="34">
        <f t="shared" si="580"/>
        <v>0</v>
      </c>
      <c r="BE331" s="34">
        <f t="shared" si="580"/>
        <v>0</v>
      </c>
      <c r="BF331" s="34">
        <f t="shared" si="580"/>
        <v>0</v>
      </c>
      <c r="BG331" s="34">
        <f t="shared" si="580"/>
        <v>0</v>
      </c>
      <c r="BH331" s="34">
        <f t="shared" si="580"/>
        <v>0</v>
      </c>
      <c r="BI331" s="34">
        <f t="shared" si="580"/>
        <v>0</v>
      </c>
      <c r="BJ331" s="34">
        <f t="shared" si="580"/>
        <v>0</v>
      </c>
      <c r="BK331" s="34">
        <f t="shared" si="580"/>
        <v>0</v>
      </c>
      <c r="BL331" s="34">
        <f t="shared" si="580"/>
        <v>0</v>
      </c>
      <c r="BM331" s="34">
        <f t="shared" si="580"/>
        <v>0</v>
      </c>
      <c r="BN331" s="34">
        <f t="shared" si="580"/>
        <v>0</v>
      </c>
      <c r="BO331" s="34">
        <f t="shared" si="580"/>
        <v>0</v>
      </c>
      <c r="BP331" s="34">
        <f t="shared" si="580"/>
        <v>0</v>
      </c>
      <c r="BQ331" s="34">
        <f t="shared" si="580"/>
        <v>0</v>
      </c>
      <c r="BR331" s="34">
        <f t="shared" si="580"/>
        <v>0</v>
      </c>
      <c r="BS331" s="34">
        <f t="shared" si="580"/>
        <v>0</v>
      </c>
      <c r="BT331" s="34">
        <f t="shared" si="580"/>
        <v>0</v>
      </c>
      <c r="BU331" s="34">
        <f t="shared" ref="BU331:BY331" si="581">IF(SUM(BU332:BU341)=0,0,+SUM(BU332:BU341)-BU330)</f>
        <v>0</v>
      </c>
      <c r="BV331" s="34">
        <f t="shared" si="581"/>
        <v>0</v>
      </c>
      <c r="BW331" s="34">
        <f t="shared" si="581"/>
        <v>0</v>
      </c>
      <c r="BX331" s="34">
        <f t="shared" si="581"/>
        <v>0</v>
      </c>
      <c r="BY331" s="34">
        <f t="shared" si="581"/>
        <v>0</v>
      </c>
    </row>
    <row r="332" spans="3:77" outlineLevel="1">
      <c r="C332" s="31"/>
      <c r="E332" s="24" t="s">
        <v>514</v>
      </c>
      <c r="F332" s="80" t="str">
        <f>+Assumptions!$G$8</f>
        <v>USD</v>
      </c>
      <c r="G332" s="24"/>
      <c r="H332" s="39">
        <f>+IFERROR(-ABS(IF(EDATE(_xlfn.XLOOKUP(1,$H319:$BE319,$H$4:$BE$4),12*Assumptions!$G$231+12)=H$4,0,IF(G319=1,PMT(Assumptions!$G$229,Assumptions!$G$231,$C321),G332))),0)</f>
        <v>0</v>
      </c>
      <c r="I332" s="39">
        <f>+IFERROR(-ABS(IF(EDATE(_xlfn.XLOOKUP(1,$H319:$BE319,$H$4:$BE$4),12*Assumptions!$G$231+12)=I$4,0,IF(H319=1,PMT(Assumptions!$G$229,Assumptions!$G$231,$C321),H332))),0)</f>
        <v>0</v>
      </c>
      <c r="J332" s="39">
        <f ca="1">+IFERROR(-ABS(IF(EDATE(_xlfn.XLOOKUP(1,$H319:$BE319,$H$4:$BE$4),12*Assumptions!$G$231+12)=J$4,0,IF(I319=1,PMT(Assumptions!$G$229,Assumptions!$G$231,$C321),I332))),0)</f>
        <v>-81895.314090108557</v>
      </c>
      <c r="K332" s="39">
        <f ca="1">+IFERROR(-ABS(IF(EDATE(_xlfn.XLOOKUP(1,$H319:$BE319,$H$4:$BE$4),12*Assumptions!$G$231+12)=K$4,0,IF(J319=1,PMT(Assumptions!$G$229,Assumptions!$G$231,$C321),J332))),0)</f>
        <v>-81895.314090108557</v>
      </c>
      <c r="L332" s="39">
        <f ca="1">+IFERROR(-ABS(IF(EDATE(_xlfn.XLOOKUP(1,$H319:$BE319,$H$4:$BE$4),12*Assumptions!$G$231+12)=L$4,0,IF(K319=1,PMT(Assumptions!$G$229,Assumptions!$G$231,$C321),K332))),0)</f>
        <v>-81895.314090108557</v>
      </c>
      <c r="M332" s="39">
        <f ca="1">+IFERROR(-ABS(IF(EDATE(_xlfn.XLOOKUP(1,$H319:$BE319,$H$4:$BE$4),12*Assumptions!$G$231+12)=M$4,0,IF(L319=1,PMT(Assumptions!$G$229,Assumptions!$G$231,$C321),L332))),0)</f>
        <v>-81895.314090108557</v>
      </c>
      <c r="N332" s="39">
        <f ca="1">+IFERROR(-ABS(IF(EDATE(_xlfn.XLOOKUP(1,$H319:$BE319,$H$4:$BE$4),12*Assumptions!$G$231+12)=N$4,0,IF(M319=1,PMT(Assumptions!$G$229,Assumptions!$G$231,$C321),M332))),0)</f>
        <v>-81895.314090108557</v>
      </c>
      <c r="O332" s="39">
        <f ca="1">+IFERROR(-ABS(IF(EDATE(_xlfn.XLOOKUP(1,$H319:$BE319,$H$4:$BE$4),12*Assumptions!$G$231+12)=O$4,0,IF(N319=1,PMT(Assumptions!$G$229,Assumptions!$G$231,$C321),N332))),0)</f>
        <v>-81895.314090108557</v>
      </c>
      <c r="P332" s="39">
        <f ca="1">+IFERROR(-ABS(IF(EDATE(_xlfn.XLOOKUP(1,$H319:$BE319,$H$4:$BE$4),12*Assumptions!$G$231+12)=P$4,0,IF(O319=1,PMT(Assumptions!$G$229,Assumptions!$G$231,$C321),O332))),0)</f>
        <v>-81895.314090108557</v>
      </c>
      <c r="Q332" s="39">
        <f ca="1">+IFERROR(-ABS(IF(EDATE(_xlfn.XLOOKUP(1,$H319:$BE319,$H$4:$BE$4),12*Assumptions!$G$231+12)=Q$4,0,IF(P319=1,PMT(Assumptions!$G$229,Assumptions!$G$231,$C321),P332))),0)</f>
        <v>-81895.314090108557</v>
      </c>
      <c r="R332" s="39">
        <f ca="1">+IFERROR(-ABS(IF(EDATE(_xlfn.XLOOKUP(1,$H319:$BE319,$H$4:$BE$4),12*Assumptions!$G$231+12)=R$4,0,IF(Q319=1,PMT(Assumptions!$G$229,Assumptions!$G$231,$C321),Q332))),0)</f>
        <v>-81895.314090108557</v>
      </c>
      <c r="S332" s="39">
        <f ca="1">+IFERROR(-ABS(IF(EDATE(_xlfn.XLOOKUP(1,$H319:$BE319,$H$4:$BE$4),12*Assumptions!$G$231+12)=S$4,0,IF(R319=1,PMT(Assumptions!$G$229,Assumptions!$G$231,$C321),R332))),0)</f>
        <v>-81895.314090108557</v>
      </c>
      <c r="T332" s="39">
        <f ca="1">+IFERROR(-ABS(IF(EDATE(_xlfn.XLOOKUP(1,$H319:$BE319,$H$4:$BE$4),12*Assumptions!$G$231+12)=T$4,0,IF(S319=1,PMT(Assumptions!$G$229,Assumptions!$G$231,$C321),S332))),0)</f>
        <v>-81895.314090108557</v>
      </c>
      <c r="U332" s="39">
        <f ca="1">+IFERROR(-ABS(IF(EDATE(_xlfn.XLOOKUP(1,$H319:$BE319,$H$4:$BE$4),12*Assumptions!$G$231+12)=U$4,0,IF(T319=1,PMT(Assumptions!$G$229,Assumptions!$G$231,$C321),T332))),0)</f>
        <v>-81895.314090108557</v>
      </c>
      <c r="V332" s="39">
        <f ca="1">+IFERROR(-ABS(IF(EDATE(_xlfn.XLOOKUP(1,$H319:$BE319,$H$4:$BE$4),12*Assumptions!$G$231+12)=V$4,0,IF(U319=1,PMT(Assumptions!$G$229,Assumptions!$G$231,$C321),U332))),0)</f>
        <v>-81895.314090108557</v>
      </c>
      <c r="W332" s="39">
        <f ca="1">+IFERROR(-ABS(IF(EDATE(_xlfn.XLOOKUP(1,$H319:$BE319,$H$4:$BE$4),12*Assumptions!$G$231+12)=W$4,0,IF(V319=1,PMT(Assumptions!$G$229,Assumptions!$G$231,$C321),V332))),0)</f>
        <v>-81895.314090108557</v>
      </c>
      <c r="X332" s="39">
        <f ca="1">+IFERROR(-ABS(IF(EDATE(_xlfn.XLOOKUP(1,$H319:$BE319,$H$4:$BE$4),12*Assumptions!$G$231+12)=X$4,0,IF(W319=1,PMT(Assumptions!$G$229,Assumptions!$G$231,$C321),W332))),0)</f>
        <v>-81895.314090108557</v>
      </c>
      <c r="Y332" s="39">
        <f>+IFERROR(-ABS(IF(EDATE(_xlfn.XLOOKUP(1,$H319:$BE319,$H$4:$BE$4),12*Assumptions!$G$231+12)=Y$4,0,IF(X319=1,PMT(Assumptions!$G$229,Assumptions!$G$231,$C321),X332))),0)</f>
        <v>0</v>
      </c>
      <c r="Z332" s="39">
        <f>+IFERROR(-ABS(IF(EDATE(_xlfn.XLOOKUP(1,$H319:$BE319,$H$4:$BE$4),12*Assumptions!$G$231+12)=Z$4,0,IF(Y319=1,PMT(Assumptions!$G$229,Assumptions!$G$231,$C321),Y332))),0)</f>
        <v>0</v>
      </c>
      <c r="AA332" s="39">
        <f>+IFERROR(-ABS(IF(EDATE(_xlfn.XLOOKUP(1,$H319:$BE319,$H$4:$BE$4),12*Assumptions!$G$231+12)=AA$4,0,IF(Z319=1,PMT(Assumptions!$G$229,Assumptions!$G$231,$C321),Z332))),0)</f>
        <v>0</v>
      </c>
      <c r="AB332" s="39">
        <f>+IFERROR(-ABS(IF(EDATE(_xlfn.XLOOKUP(1,$H319:$BE319,$H$4:$BE$4),12*Assumptions!$G$231+12)=AB$4,0,IF(AA319=1,PMT(Assumptions!$G$229,Assumptions!$G$231,$C321),AA332))),0)</f>
        <v>0</v>
      </c>
      <c r="AC332" s="39">
        <f>+IFERROR(-ABS(IF(EDATE(_xlfn.XLOOKUP(1,$H319:$BE319,$H$4:$BE$4),12*Assumptions!$G$231+12)=AC$4,0,IF(AB319=1,PMT(Assumptions!$G$229,Assumptions!$G$231,$C321),AB332))),0)</f>
        <v>0</v>
      </c>
      <c r="AD332" s="39">
        <f>+IFERROR(-ABS(IF(EDATE(_xlfn.XLOOKUP(1,$H319:$BE319,$H$4:$BE$4),12*Assumptions!$G$231+12)=AD$4,0,IF(AC319=1,PMT(Assumptions!$G$229,Assumptions!$G$231,$C321),AC332))),0)</f>
        <v>0</v>
      </c>
      <c r="AE332" s="39">
        <f>+IFERROR(-ABS(IF(EDATE(_xlfn.XLOOKUP(1,$H319:$BE319,$H$4:$BE$4),12*Assumptions!$G$231+12)=AE$4,0,IF(AD319=1,PMT(Assumptions!$G$229,Assumptions!$G$231,$C321),AD332))),0)</f>
        <v>0</v>
      </c>
      <c r="AF332" s="39">
        <f>+IFERROR(-ABS(IF(EDATE(_xlfn.XLOOKUP(1,$H319:$BE319,$H$4:$BE$4),12*Assumptions!$G$231+12)=AF$4,0,IF(AE319=1,PMT(Assumptions!$G$229,Assumptions!$G$231,$C321),AE332))),0)</f>
        <v>0</v>
      </c>
      <c r="AG332" s="39">
        <f>+IFERROR(-ABS(IF(EDATE(_xlfn.XLOOKUP(1,$H319:$BE319,$H$4:$BE$4),12*Assumptions!$G$231+12)=AG$4,0,IF(AF319=1,PMT(Assumptions!$G$229,Assumptions!$G$231,$C321),AF332))),0)</f>
        <v>0</v>
      </c>
      <c r="AH332" s="39">
        <f>+IFERROR(-ABS(IF(EDATE(_xlfn.XLOOKUP(1,$H319:$BE319,$H$4:$BE$4),12*Assumptions!$G$231+12)=AH$4,0,IF(AG319=1,PMT(Assumptions!$G$229,Assumptions!$G$231,$C321),AG332))),0)</f>
        <v>0</v>
      </c>
      <c r="AI332" s="39">
        <f>+IFERROR(-ABS(IF(EDATE(_xlfn.XLOOKUP(1,$H319:$BE319,$H$4:$BE$4),12*Assumptions!$G$231+12)=AI$4,0,IF(AH319=1,PMT(Assumptions!$G$229,Assumptions!$G$231,$C321),AH332))),0)</f>
        <v>0</v>
      </c>
      <c r="AJ332" s="39">
        <f>+IFERROR(-ABS(IF(EDATE(_xlfn.XLOOKUP(1,$H319:$BE319,$H$4:$BE$4),12*Assumptions!$G$231+12)=AJ$4,0,IF(AI319=1,PMT(Assumptions!$G$229,Assumptions!$G$231,$C321),AI332))),0)</f>
        <v>0</v>
      </c>
      <c r="AK332" s="39">
        <f>+IFERROR(-ABS(IF(EDATE(_xlfn.XLOOKUP(1,$H319:$BE319,$H$4:$BE$4),12*Assumptions!$G$231+12)=AK$4,0,IF(AJ319=1,PMT(Assumptions!$G$229,Assumptions!$G$231,$C321),AJ332))),0)</f>
        <v>0</v>
      </c>
      <c r="AL332" s="39">
        <f>+IFERROR(-ABS(IF(EDATE(_xlfn.XLOOKUP(1,$H319:$BE319,$H$4:$BE$4),12*Assumptions!$G$231+12)=AL$4,0,IF(AK319=1,PMT(Assumptions!$G$229,Assumptions!$G$231,$C321),AK332))),0)</f>
        <v>0</v>
      </c>
      <c r="AM332" s="39">
        <f>+IFERROR(-ABS(IF(EDATE(_xlfn.XLOOKUP(1,$H319:$BE319,$H$4:$BE$4),12*Assumptions!$G$231+12)=AM$4,0,IF(AL319=1,PMT(Assumptions!$G$229,Assumptions!$G$231,$C321),AL332))),0)</f>
        <v>0</v>
      </c>
      <c r="AN332" s="39">
        <f>+IFERROR(-ABS(IF(EDATE(_xlfn.XLOOKUP(1,$H319:$BE319,$H$4:$BE$4),12*Assumptions!$G$231+12)=AN$4,0,IF(AM319=1,PMT(Assumptions!$G$229,Assumptions!$G$231,$C321),AM332))),0)</f>
        <v>0</v>
      </c>
      <c r="AO332" s="39">
        <f>+IFERROR(-ABS(IF(EDATE(_xlfn.XLOOKUP(1,$H319:$BE319,$H$4:$BE$4),12*Assumptions!$G$231+12)=AO$4,0,IF(AN319=1,PMT(Assumptions!$G$229,Assumptions!$G$231,$C321),AN332))),0)</f>
        <v>0</v>
      </c>
      <c r="AP332" s="39">
        <f>+IFERROR(-ABS(IF(EDATE(_xlfn.XLOOKUP(1,$H319:$BE319,$H$4:$BE$4),12*Assumptions!$G$231+12)=AP$4,0,IF(AO319=1,PMT(Assumptions!$G$229,Assumptions!$G$231,$C321),AO332))),0)</f>
        <v>0</v>
      </c>
      <c r="AQ332" s="39">
        <f>+IFERROR(-ABS(IF(EDATE(_xlfn.XLOOKUP(1,$H319:$BE319,$H$4:$BE$4),12*Assumptions!$G$231+12)=AQ$4,0,IF(AP319=1,PMT(Assumptions!$G$229,Assumptions!$G$231,$C321),AP332))),0)</f>
        <v>0</v>
      </c>
      <c r="AR332" s="39">
        <f>+IFERROR(-ABS(IF(EDATE(_xlfn.XLOOKUP(1,$H319:$BE319,$H$4:$BE$4),12*Assumptions!$G$231+12)=AR$4,0,IF(AQ319=1,PMT(Assumptions!$G$229,Assumptions!$G$231,$C321),AQ332))),0)</f>
        <v>0</v>
      </c>
      <c r="AS332" s="39">
        <f>+IFERROR(-ABS(IF(EDATE(_xlfn.XLOOKUP(1,$H319:$BE319,$H$4:$BE$4),12*Assumptions!$G$231+12)=AS$4,0,IF(AR319=1,PMT(Assumptions!$G$229,Assumptions!$G$231,$C321),AR332))),0)</f>
        <v>0</v>
      </c>
      <c r="AT332" s="39">
        <f>+IFERROR(-ABS(IF(EDATE(_xlfn.XLOOKUP(1,$H319:$BE319,$H$4:$BE$4),12*Assumptions!$G$231+12)=AT$4,0,IF(AS319=1,PMT(Assumptions!$G$229,Assumptions!$G$231,$C321),AS332))),0)</f>
        <v>0</v>
      </c>
      <c r="AU332" s="39">
        <f>+IFERROR(-ABS(IF(EDATE(_xlfn.XLOOKUP(1,$H319:$BE319,$H$4:$BE$4),12*Assumptions!$G$231+12)=AU$4,0,IF(AT319=1,PMT(Assumptions!$G$229,Assumptions!$G$231,$C321),AT332))),0)</f>
        <v>0</v>
      </c>
      <c r="AV332" s="39">
        <f>+IFERROR(-ABS(IF(EDATE(_xlfn.XLOOKUP(1,$H319:$BE319,$H$4:$BE$4),12*Assumptions!$G$231+12)=AV$4,0,IF(AU319=1,PMT(Assumptions!$G$229,Assumptions!$G$231,$C321),AU332))),0)</f>
        <v>0</v>
      </c>
      <c r="AW332" s="39">
        <f>+IFERROR(-ABS(IF(EDATE(_xlfn.XLOOKUP(1,$H319:$BE319,$H$4:$BE$4),12*Assumptions!$G$231+12)=AW$4,0,IF(AV319=1,PMT(Assumptions!$G$229,Assumptions!$G$231,$C321),AV332))),0)</f>
        <v>0</v>
      </c>
      <c r="AX332" s="39">
        <f>+IFERROR(-ABS(IF(EDATE(_xlfn.XLOOKUP(1,$H319:$BE319,$H$4:$BE$4),12*Assumptions!$G$231+12)=AX$4,0,IF(AW319=1,PMT(Assumptions!$G$229,Assumptions!$G$231,$C321),AW332))),0)</f>
        <v>0</v>
      </c>
      <c r="AY332" s="39">
        <f>+IFERROR(-ABS(IF(EDATE(_xlfn.XLOOKUP(1,$H319:$BE319,$H$4:$BE$4),12*Assumptions!$G$231+12)=AY$4,0,IF(AX319=1,PMT(Assumptions!$G$229,Assumptions!$G$231,$C321),AX332))),0)</f>
        <v>0</v>
      </c>
      <c r="AZ332" s="39">
        <f>+IFERROR(-ABS(IF(EDATE(_xlfn.XLOOKUP(1,$H319:$BE319,$H$4:$BE$4),12*Assumptions!$G$231+12)=AZ$4,0,IF(AY319=1,PMT(Assumptions!$G$229,Assumptions!$G$231,$C321),AY332))),0)</f>
        <v>0</v>
      </c>
      <c r="BA332" s="39">
        <f>+IFERROR(-ABS(IF(EDATE(_xlfn.XLOOKUP(1,$H319:$BE319,$H$4:$BE$4),12*Assumptions!$G$231+12)=BA$4,0,IF(AZ319=1,PMT(Assumptions!$G$229,Assumptions!$G$231,$C321),AZ332))),0)</f>
        <v>0</v>
      </c>
      <c r="BB332" s="39">
        <f>+IFERROR(-ABS(IF(EDATE(_xlfn.XLOOKUP(1,$H319:$BE319,$H$4:$BE$4),12*Assumptions!$G$231+12)=BB$4,0,IF(BA319=1,PMT(Assumptions!$G$229,Assumptions!$G$231,$C321),BA332))),0)</f>
        <v>0</v>
      </c>
      <c r="BC332" s="39">
        <f>+IFERROR(-ABS(IF(EDATE(_xlfn.XLOOKUP(1,$H319:$BE319,$H$4:$BE$4),12*Assumptions!$G$231+12)=BC$4,0,IF(BB319=1,PMT(Assumptions!$G$229,Assumptions!$G$231,$C321),BB332))),0)</f>
        <v>0</v>
      </c>
      <c r="BD332" s="39">
        <f>+IFERROR(-ABS(IF(EDATE(_xlfn.XLOOKUP(1,$H319:$BE319,$H$4:$BE$4),12*Assumptions!$G$231+12)=BD$4,0,IF(BC319=1,PMT(Assumptions!$G$229,Assumptions!$G$231,$C321),BC332))),0)</f>
        <v>0</v>
      </c>
      <c r="BE332" s="39">
        <f>+IFERROR(-ABS(IF(EDATE(_xlfn.XLOOKUP(1,$H319:$BE319,$H$4:$BE$4),12*Assumptions!$G$231+12)=BE$4,0,IF(BD319=1,PMT(Assumptions!$G$229,Assumptions!$G$231,$C321),BD332))),0)</f>
        <v>0</v>
      </c>
      <c r="BF332" s="39">
        <f>+IFERROR(-ABS(IF(EDATE(_xlfn.XLOOKUP(1,$H319:$BE319,$H$4:$BE$4),12*Assumptions!$G$231+12)=BF$4,0,IF(BE319=1,PMT(Assumptions!$G$229,Assumptions!$G$231,$C321),BE332))),0)</f>
        <v>0</v>
      </c>
      <c r="BG332" s="39">
        <f>+IFERROR(-ABS(IF(EDATE(_xlfn.XLOOKUP(1,$H319:$BE319,$H$4:$BE$4),12*Assumptions!$G$231+12)=BG$4,0,IF(BF319=1,PMT(Assumptions!$G$229,Assumptions!$G$231,$C321),BF332))),0)</f>
        <v>0</v>
      </c>
      <c r="BH332" s="39">
        <f>+IFERROR(-ABS(IF(EDATE(_xlfn.XLOOKUP(1,$H319:$BE319,$H$4:$BE$4),12*Assumptions!$G$231+12)=BH$4,0,IF(BG319=1,PMT(Assumptions!$G$229,Assumptions!$G$231,$C321),BG332))),0)</f>
        <v>0</v>
      </c>
      <c r="BI332" s="39">
        <f>+IFERROR(-ABS(IF(EDATE(_xlfn.XLOOKUP(1,$H319:$BE319,$H$4:$BE$4),12*Assumptions!$G$231+12)=BI$4,0,IF(BH319=1,PMT(Assumptions!$G$229,Assumptions!$G$231,$C321),BH332))),0)</f>
        <v>0</v>
      </c>
      <c r="BJ332" s="39">
        <f>+IFERROR(-ABS(IF(EDATE(_xlfn.XLOOKUP(1,$H319:$BE319,$H$4:$BE$4),12*Assumptions!$G$231+12)=BJ$4,0,IF(BI319=1,PMT(Assumptions!$G$229,Assumptions!$G$231,$C321),BI332))),0)</f>
        <v>0</v>
      </c>
      <c r="BK332" s="39">
        <f>+IFERROR(-ABS(IF(EDATE(_xlfn.XLOOKUP(1,$H319:$BE319,$H$4:$BE$4),12*Assumptions!$G$231+12)=BK$4,0,IF(BJ319=1,PMT(Assumptions!$G$229,Assumptions!$G$231,$C321),BJ332))),0)</f>
        <v>0</v>
      </c>
      <c r="BL332" s="39">
        <f>+IFERROR(-ABS(IF(EDATE(_xlfn.XLOOKUP(1,$H319:$BE319,$H$4:$BE$4),12*Assumptions!$G$231+12)=BL$4,0,IF(BK319=1,PMT(Assumptions!$G$229,Assumptions!$G$231,$C321),BK332))),0)</f>
        <v>0</v>
      </c>
      <c r="BM332" s="39">
        <f>+IFERROR(-ABS(IF(EDATE(_xlfn.XLOOKUP(1,$H319:$BE319,$H$4:$BE$4),12*Assumptions!$G$231+12)=BM$4,0,IF(BL319=1,PMT(Assumptions!$G$229,Assumptions!$G$231,$C321),BL332))),0)</f>
        <v>0</v>
      </c>
      <c r="BN332" s="39">
        <f>+IFERROR(-ABS(IF(EDATE(_xlfn.XLOOKUP(1,$H319:$BE319,$H$4:$BE$4),12*Assumptions!$G$231+12)=BN$4,0,IF(BM319=1,PMT(Assumptions!$G$229,Assumptions!$G$231,$C321),BM332))),0)</f>
        <v>0</v>
      </c>
      <c r="BO332" s="39">
        <f>+IFERROR(-ABS(IF(EDATE(_xlfn.XLOOKUP(1,$H319:$BE319,$H$4:$BE$4),12*Assumptions!$G$231+12)=BO$4,0,IF(BN319=1,PMT(Assumptions!$G$229,Assumptions!$G$231,$C321),BN332))),0)</f>
        <v>0</v>
      </c>
      <c r="BP332" s="39">
        <f>+IFERROR(-ABS(IF(EDATE(_xlfn.XLOOKUP(1,$H319:$BE319,$H$4:$BE$4),12*Assumptions!$G$231+12)=BP$4,0,IF(BO319=1,PMT(Assumptions!$G$229,Assumptions!$G$231,$C321),BO332))),0)</f>
        <v>0</v>
      </c>
      <c r="BQ332" s="39">
        <f>+IFERROR(-ABS(IF(EDATE(_xlfn.XLOOKUP(1,$H319:$BE319,$H$4:$BE$4),12*Assumptions!$G$231+12)=BQ$4,0,IF(BP319=1,PMT(Assumptions!$G$229,Assumptions!$G$231,$C321),BP332))),0)</f>
        <v>0</v>
      </c>
      <c r="BR332" s="39">
        <f>+IFERROR(-ABS(IF(EDATE(_xlfn.XLOOKUP(1,$H319:$BE319,$H$4:$BE$4),12*Assumptions!$G$231+12)=BR$4,0,IF(BQ319=1,PMT(Assumptions!$G$229,Assumptions!$G$231,$C321),BQ332))),0)</f>
        <v>0</v>
      </c>
      <c r="BS332" s="39">
        <f>+IFERROR(-ABS(IF(EDATE(_xlfn.XLOOKUP(1,$H319:$BE319,$H$4:$BE$4),12*Assumptions!$G$231+12)=BS$4,0,IF(BR319=1,PMT(Assumptions!$G$229,Assumptions!$G$231,$C321),BR332))),0)</f>
        <v>0</v>
      </c>
      <c r="BT332" s="39">
        <f>+IFERROR(-ABS(IF(EDATE(_xlfn.XLOOKUP(1,$H319:$BE319,$H$4:$BE$4),12*Assumptions!$G$231+12)=BT$4,0,IF(BS319=1,PMT(Assumptions!$G$229,Assumptions!$G$231,$C321),BS332))),0)</f>
        <v>0</v>
      </c>
      <c r="BU332" s="39">
        <f>+IFERROR(-ABS(IF(EDATE(_xlfn.XLOOKUP(1,$H319:$BE319,$H$4:$BE$4),12*Assumptions!$G$231+12)=BU$4,0,IF(BT319=1,PMT(Assumptions!$G$229,Assumptions!$G$231,$C321),BT332))),0)</f>
        <v>0</v>
      </c>
      <c r="BV332" s="39">
        <f>+IFERROR(-ABS(IF(EDATE(_xlfn.XLOOKUP(1,$H319:$BE319,$H$4:$BE$4),12*Assumptions!$G$231+12)=BV$4,0,IF(BU319=1,PMT(Assumptions!$G$229,Assumptions!$G$231,$C321),BU332))),0)</f>
        <v>0</v>
      </c>
      <c r="BW332" s="39">
        <f>+IFERROR(-ABS(IF(EDATE(_xlfn.XLOOKUP(1,$H319:$BE319,$H$4:$BE$4),12*Assumptions!$G$231+12)=BW$4,0,IF(BV319=1,PMT(Assumptions!$G$229,Assumptions!$G$231,$C321),BV332))),0)</f>
        <v>0</v>
      </c>
      <c r="BX332" s="39">
        <f>+IFERROR(-ABS(IF(EDATE(_xlfn.XLOOKUP(1,$H319:$BE319,$H$4:$BE$4),12*Assumptions!$G$231+12)=BX$4,0,IF(BW319=1,PMT(Assumptions!$G$229,Assumptions!$G$231,$C321),BW332))),0)</f>
        <v>0</v>
      </c>
      <c r="BY332" s="39">
        <f>+IFERROR(-ABS(IF(EDATE(_xlfn.XLOOKUP(1,$H319:$BE319,$H$4:$BE$4),12*Assumptions!$G$231+12)=BY$4,0,IF(BX319=1,PMT(Assumptions!$G$229,Assumptions!$G$231,$C321),BX332))),0)</f>
        <v>0</v>
      </c>
    </row>
    <row r="333" spans="3:77" outlineLevel="1">
      <c r="C333" s="31"/>
      <c r="E333" s="24" t="s">
        <v>515</v>
      </c>
      <c r="F333" s="80" t="str">
        <f>+Assumptions!$G$8</f>
        <v>USD</v>
      </c>
      <c r="G333" s="24"/>
      <c r="H333" s="39">
        <f>+IFERROR(-ABS(IF(EDATE(_xlfn.XLOOKUP(1,$H320:$BE320,$H$4:$BE$4),12*Assumptions!$G$231+12)=H$4,0,IF(G320=1,PMT(Assumptions!$G$229,Assumptions!$G$231,$C322),G333))),0)</f>
        <v>0</v>
      </c>
      <c r="I333" s="39">
        <f>+IFERROR(-ABS(IF(EDATE(_xlfn.XLOOKUP(1,$H320:$BE320,$H$4:$BE$4),12*Assumptions!$G$231+12)=I$4,0,IF(H320=1,PMT(Assumptions!$G$229,Assumptions!$G$231,$C322),H333))),0)</f>
        <v>0</v>
      </c>
      <c r="J333" s="39">
        <f>+IFERROR(-ABS(IF(EDATE(_xlfn.XLOOKUP(1,$H320:$BE320,$H$4:$BE$4),12*Assumptions!$G$231+12)=J$4,0,IF(I320=1,PMT(Assumptions!$G$229,Assumptions!$G$231,$C322),I333))),0)</f>
        <v>0</v>
      </c>
      <c r="K333" s="39">
        <f ca="1">+IFERROR(-ABS(IF(EDATE(_xlfn.XLOOKUP(1,$H320:$BE320,$H$4:$BE$4),12*Assumptions!$G$231+12)=K$4,0,IF(J320=1,PMT(Assumptions!$G$229,Assumptions!$G$231,$C322),J333))),0)</f>
        <v>-212013.24967490035</v>
      </c>
      <c r="L333" s="39">
        <f ca="1">+IFERROR(-ABS(IF(EDATE(_xlfn.XLOOKUP(1,$H320:$BE320,$H$4:$BE$4),12*Assumptions!$G$231+12)=L$4,0,IF(K320=1,PMT(Assumptions!$G$229,Assumptions!$G$231,$C322),K333))),0)</f>
        <v>-212013.24967490035</v>
      </c>
      <c r="M333" s="39">
        <f ca="1">+IFERROR(-ABS(IF(EDATE(_xlfn.XLOOKUP(1,$H320:$BE320,$H$4:$BE$4),12*Assumptions!$G$231+12)=M$4,0,IF(L320=1,PMT(Assumptions!$G$229,Assumptions!$G$231,$C322),L333))),0)</f>
        <v>-212013.24967490035</v>
      </c>
      <c r="N333" s="39">
        <f ca="1">+IFERROR(-ABS(IF(EDATE(_xlfn.XLOOKUP(1,$H320:$BE320,$H$4:$BE$4),12*Assumptions!$G$231+12)=N$4,0,IF(M320=1,PMT(Assumptions!$G$229,Assumptions!$G$231,$C322),M333))),0)</f>
        <v>-212013.24967490035</v>
      </c>
      <c r="O333" s="39">
        <f ca="1">+IFERROR(-ABS(IF(EDATE(_xlfn.XLOOKUP(1,$H320:$BE320,$H$4:$BE$4),12*Assumptions!$G$231+12)=O$4,0,IF(N320=1,PMT(Assumptions!$G$229,Assumptions!$G$231,$C322),N333))),0)</f>
        <v>-212013.24967490035</v>
      </c>
      <c r="P333" s="39">
        <f ca="1">+IFERROR(-ABS(IF(EDATE(_xlfn.XLOOKUP(1,$H320:$BE320,$H$4:$BE$4),12*Assumptions!$G$231+12)=P$4,0,IF(O320=1,PMT(Assumptions!$G$229,Assumptions!$G$231,$C322),O333))),0)</f>
        <v>-212013.24967490035</v>
      </c>
      <c r="Q333" s="39">
        <f ca="1">+IFERROR(-ABS(IF(EDATE(_xlfn.XLOOKUP(1,$H320:$BE320,$H$4:$BE$4),12*Assumptions!$G$231+12)=Q$4,0,IF(P320=1,PMT(Assumptions!$G$229,Assumptions!$G$231,$C322),P333))),0)</f>
        <v>-212013.24967490035</v>
      </c>
      <c r="R333" s="39">
        <f ca="1">+IFERROR(-ABS(IF(EDATE(_xlfn.XLOOKUP(1,$H320:$BE320,$H$4:$BE$4),12*Assumptions!$G$231+12)=R$4,0,IF(Q320=1,PMT(Assumptions!$G$229,Assumptions!$G$231,$C322),Q333))),0)</f>
        <v>-212013.24967490035</v>
      </c>
      <c r="S333" s="39">
        <f ca="1">+IFERROR(-ABS(IF(EDATE(_xlfn.XLOOKUP(1,$H320:$BE320,$H$4:$BE$4),12*Assumptions!$G$231+12)=S$4,0,IF(R320=1,PMT(Assumptions!$G$229,Assumptions!$G$231,$C322),R333))),0)</f>
        <v>-212013.24967490035</v>
      </c>
      <c r="T333" s="39">
        <f ca="1">+IFERROR(-ABS(IF(EDATE(_xlfn.XLOOKUP(1,$H320:$BE320,$H$4:$BE$4),12*Assumptions!$G$231+12)=T$4,0,IF(S320=1,PMT(Assumptions!$G$229,Assumptions!$G$231,$C322),S333))),0)</f>
        <v>-212013.24967490035</v>
      </c>
      <c r="U333" s="39">
        <f ca="1">+IFERROR(-ABS(IF(EDATE(_xlfn.XLOOKUP(1,$H320:$BE320,$H$4:$BE$4),12*Assumptions!$G$231+12)=U$4,0,IF(T320=1,PMT(Assumptions!$G$229,Assumptions!$G$231,$C322),T333))),0)</f>
        <v>-212013.24967490035</v>
      </c>
      <c r="V333" s="39">
        <f ca="1">+IFERROR(-ABS(IF(EDATE(_xlfn.XLOOKUP(1,$H320:$BE320,$H$4:$BE$4),12*Assumptions!$G$231+12)=V$4,0,IF(U320=1,PMT(Assumptions!$G$229,Assumptions!$G$231,$C322),U333))),0)</f>
        <v>-212013.24967490035</v>
      </c>
      <c r="W333" s="39">
        <f ca="1">+IFERROR(-ABS(IF(EDATE(_xlfn.XLOOKUP(1,$H320:$BE320,$H$4:$BE$4),12*Assumptions!$G$231+12)=W$4,0,IF(V320=1,PMT(Assumptions!$G$229,Assumptions!$G$231,$C322),V333))),0)</f>
        <v>-212013.24967490035</v>
      </c>
      <c r="X333" s="39">
        <f ca="1">+IFERROR(-ABS(IF(EDATE(_xlfn.XLOOKUP(1,$H320:$BE320,$H$4:$BE$4),12*Assumptions!$G$231+12)=X$4,0,IF(W320=1,PMT(Assumptions!$G$229,Assumptions!$G$231,$C322),W333))),0)</f>
        <v>-212013.24967490035</v>
      </c>
      <c r="Y333" s="39">
        <f ca="1">+IFERROR(-ABS(IF(EDATE(_xlfn.XLOOKUP(1,$H320:$BE320,$H$4:$BE$4),12*Assumptions!$G$231+12)=Y$4,0,IF(X320=1,PMT(Assumptions!$G$229,Assumptions!$G$231,$C322),X333))),0)</f>
        <v>-212013.24967490035</v>
      </c>
      <c r="Z333" s="39">
        <f>+IFERROR(-ABS(IF(EDATE(_xlfn.XLOOKUP(1,$H320:$BE320,$H$4:$BE$4),12*Assumptions!$G$231+12)=Z$4,0,IF(Y320=1,PMT(Assumptions!$G$229,Assumptions!$G$231,$C322),Y333))),0)</f>
        <v>0</v>
      </c>
      <c r="AA333" s="39">
        <f>+IFERROR(-ABS(IF(EDATE(_xlfn.XLOOKUP(1,$H320:$BE320,$H$4:$BE$4),12*Assumptions!$G$231+12)=AA$4,0,IF(Z320=1,PMT(Assumptions!$G$229,Assumptions!$G$231,$C322),Z333))),0)</f>
        <v>0</v>
      </c>
      <c r="AB333" s="39">
        <f>+IFERROR(-ABS(IF(EDATE(_xlfn.XLOOKUP(1,$H320:$BE320,$H$4:$BE$4),12*Assumptions!$G$231+12)=AB$4,0,IF(AA320=1,PMT(Assumptions!$G$229,Assumptions!$G$231,$C322),AA333))),0)</f>
        <v>0</v>
      </c>
      <c r="AC333" s="39">
        <f>+IFERROR(-ABS(IF(EDATE(_xlfn.XLOOKUP(1,$H320:$BE320,$H$4:$BE$4),12*Assumptions!$G$231+12)=AC$4,0,IF(AB320=1,PMT(Assumptions!$G$229,Assumptions!$G$231,$C322),AB333))),0)</f>
        <v>0</v>
      </c>
      <c r="AD333" s="39">
        <f>+IFERROR(-ABS(IF(EDATE(_xlfn.XLOOKUP(1,$H320:$BE320,$H$4:$BE$4),12*Assumptions!$G$231+12)=AD$4,0,IF(AC320=1,PMT(Assumptions!$G$229,Assumptions!$G$231,$C322),AC333))),0)</f>
        <v>0</v>
      </c>
      <c r="AE333" s="39">
        <f>+IFERROR(-ABS(IF(EDATE(_xlfn.XLOOKUP(1,$H320:$BE320,$H$4:$BE$4),12*Assumptions!$G$231+12)=AE$4,0,IF(AD320=1,PMT(Assumptions!$G$229,Assumptions!$G$231,$C322),AD333))),0)</f>
        <v>0</v>
      </c>
      <c r="AF333" s="39">
        <f>+IFERROR(-ABS(IF(EDATE(_xlfn.XLOOKUP(1,$H320:$BE320,$H$4:$BE$4),12*Assumptions!$G$231+12)=AF$4,0,IF(AE320=1,PMT(Assumptions!$G$229,Assumptions!$G$231,$C322),AE333))),0)</f>
        <v>0</v>
      </c>
      <c r="AG333" s="39">
        <f>+IFERROR(-ABS(IF(EDATE(_xlfn.XLOOKUP(1,$H320:$BE320,$H$4:$BE$4),12*Assumptions!$G$231+12)=AG$4,0,IF(AF320=1,PMT(Assumptions!$G$229,Assumptions!$G$231,$C322),AF333))),0)</f>
        <v>0</v>
      </c>
      <c r="AH333" s="39">
        <f>+IFERROR(-ABS(IF(EDATE(_xlfn.XLOOKUP(1,$H320:$BE320,$H$4:$BE$4),12*Assumptions!$G$231+12)=AH$4,0,IF(AG320=1,PMT(Assumptions!$G$229,Assumptions!$G$231,$C322),AG333))),0)</f>
        <v>0</v>
      </c>
      <c r="AI333" s="39">
        <f>+IFERROR(-ABS(IF(EDATE(_xlfn.XLOOKUP(1,$H320:$BE320,$H$4:$BE$4),12*Assumptions!$G$231+12)=AI$4,0,IF(AH320=1,PMT(Assumptions!$G$229,Assumptions!$G$231,$C322),AH333))),0)</f>
        <v>0</v>
      </c>
      <c r="AJ333" s="39">
        <f>+IFERROR(-ABS(IF(EDATE(_xlfn.XLOOKUP(1,$H320:$BE320,$H$4:$BE$4),12*Assumptions!$G$231+12)=AJ$4,0,IF(AI320=1,PMT(Assumptions!$G$229,Assumptions!$G$231,$C322),AI333))),0)</f>
        <v>0</v>
      </c>
      <c r="AK333" s="39">
        <f>+IFERROR(-ABS(IF(EDATE(_xlfn.XLOOKUP(1,$H320:$BE320,$H$4:$BE$4),12*Assumptions!$G$231+12)=AK$4,0,IF(AJ320=1,PMT(Assumptions!$G$229,Assumptions!$G$231,$C322),AJ333))),0)</f>
        <v>0</v>
      </c>
      <c r="AL333" s="39">
        <f>+IFERROR(-ABS(IF(EDATE(_xlfn.XLOOKUP(1,$H320:$BE320,$H$4:$BE$4),12*Assumptions!$G$231+12)=AL$4,0,IF(AK320=1,PMT(Assumptions!$G$229,Assumptions!$G$231,$C322),AK333))),0)</f>
        <v>0</v>
      </c>
      <c r="AM333" s="39">
        <f>+IFERROR(-ABS(IF(EDATE(_xlfn.XLOOKUP(1,$H320:$BE320,$H$4:$BE$4),12*Assumptions!$G$231+12)=AM$4,0,IF(AL320=1,PMT(Assumptions!$G$229,Assumptions!$G$231,$C322),AL333))),0)</f>
        <v>0</v>
      </c>
      <c r="AN333" s="39">
        <f>+IFERROR(-ABS(IF(EDATE(_xlfn.XLOOKUP(1,$H320:$BE320,$H$4:$BE$4),12*Assumptions!$G$231+12)=AN$4,0,IF(AM320=1,PMT(Assumptions!$G$229,Assumptions!$G$231,$C322),AM333))),0)</f>
        <v>0</v>
      </c>
      <c r="AO333" s="39">
        <f>+IFERROR(-ABS(IF(EDATE(_xlfn.XLOOKUP(1,$H320:$BE320,$H$4:$BE$4),12*Assumptions!$G$231+12)=AO$4,0,IF(AN320=1,PMT(Assumptions!$G$229,Assumptions!$G$231,$C322),AN333))),0)</f>
        <v>0</v>
      </c>
      <c r="AP333" s="39">
        <f>+IFERROR(-ABS(IF(EDATE(_xlfn.XLOOKUP(1,$H320:$BE320,$H$4:$BE$4),12*Assumptions!$G$231+12)=AP$4,0,IF(AO320=1,PMT(Assumptions!$G$229,Assumptions!$G$231,$C322),AO333))),0)</f>
        <v>0</v>
      </c>
      <c r="AQ333" s="39">
        <f>+IFERROR(-ABS(IF(EDATE(_xlfn.XLOOKUP(1,$H320:$BE320,$H$4:$BE$4),12*Assumptions!$G$231+12)=AQ$4,0,IF(AP320=1,PMT(Assumptions!$G$229,Assumptions!$G$231,$C322),AP333))),0)</f>
        <v>0</v>
      </c>
      <c r="AR333" s="39">
        <f>+IFERROR(-ABS(IF(EDATE(_xlfn.XLOOKUP(1,$H320:$BE320,$H$4:$BE$4),12*Assumptions!$G$231+12)=AR$4,0,IF(AQ320=1,PMT(Assumptions!$G$229,Assumptions!$G$231,$C322),AQ333))),0)</f>
        <v>0</v>
      </c>
      <c r="AS333" s="39">
        <f>+IFERROR(-ABS(IF(EDATE(_xlfn.XLOOKUP(1,$H320:$BE320,$H$4:$BE$4),12*Assumptions!$G$231+12)=AS$4,0,IF(AR320=1,PMT(Assumptions!$G$229,Assumptions!$G$231,$C322),AR333))),0)</f>
        <v>0</v>
      </c>
      <c r="AT333" s="39">
        <f>+IFERROR(-ABS(IF(EDATE(_xlfn.XLOOKUP(1,$H320:$BE320,$H$4:$BE$4),12*Assumptions!$G$231+12)=AT$4,0,IF(AS320=1,PMT(Assumptions!$G$229,Assumptions!$G$231,$C322),AS333))),0)</f>
        <v>0</v>
      </c>
      <c r="AU333" s="39">
        <f>+IFERROR(-ABS(IF(EDATE(_xlfn.XLOOKUP(1,$H320:$BE320,$H$4:$BE$4),12*Assumptions!$G$231+12)=AU$4,0,IF(AT320=1,PMT(Assumptions!$G$229,Assumptions!$G$231,$C322),AT333))),0)</f>
        <v>0</v>
      </c>
      <c r="AV333" s="39">
        <f>+IFERROR(-ABS(IF(EDATE(_xlfn.XLOOKUP(1,$H320:$BE320,$H$4:$BE$4),12*Assumptions!$G$231+12)=AV$4,0,IF(AU320=1,PMT(Assumptions!$G$229,Assumptions!$G$231,$C322),AU333))),0)</f>
        <v>0</v>
      </c>
      <c r="AW333" s="39">
        <f>+IFERROR(-ABS(IF(EDATE(_xlfn.XLOOKUP(1,$H320:$BE320,$H$4:$BE$4),12*Assumptions!$G$231+12)=AW$4,0,IF(AV320=1,PMT(Assumptions!$G$229,Assumptions!$G$231,$C322),AV333))),0)</f>
        <v>0</v>
      </c>
      <c r="AX333" s="39">
        <f>+IFERROR(-ABS(IF(EDATE(_xlfn.XLOOKUP(1,$H320:$BE320,$H$4:$BE$4),12*Assumptions!$G$231+12)=AX$4,0,IF(AW320=1,PMT(Assumptions!$G$229,Assumptions!$G$231,$C322),AW333))),0)</f>
        <v>0</v>
      </c>
      <c r="AY333" s="39">
        <f>+IFERROR(-ABS(IF(EDATE(_xlfn.XLOOKUP(1,$H320:$BE320,$H$4:$BE$4),12*Assumptions!$G$231+12)=AY$4,0,IF(AX320=1,PMT(Assumptions!$G$229,Assumptions!$G$231,$C322),AX333))),0)</f>
        <v>0</v>
      </c>
      <c r="AZ333" s="39">
        <f>+IFERROR(-ABS(IF(EDATE(_xlfn.XLOOKUP(1,$H320:$BE320,$H$4:$BE$4),12*Assumptions!$G$231+12)=AZ$4,0,IF(AY320=1,PMT(Assumptions!$G$229,Assumptions!$G$231,$C322),AY333))),0)</f>
        <v>0</v>
      </c>
      <c r="BA333" s="39">
        <f>+IFERROR(-ABS(IF(EDATE(_xlfn.XLOOKUP(1,$H320:$BE320,$H$4:$BE$4),12*Assumptions!$G$231+12)=BA$4,0,IF(AZ320=1,PMT(Assumptions!$G$229,Assumptions!$G$231,$C322),AZ333))),0)</f>
        <v>0</v>
      </c>
      <c r="BB333" s="39">
        <f>+IFERROR(-ABS(IF(EDATE(_xlfn.XLOOKUP(1,$H320:$BE320,$H$4:$BE$4),12*Assumptions!$G$231+12)=BB$4,0,IF(BA320=1,PMT(Assumptions!$G$229,Assumptions!$G$231,$C322),BA333))),0)</f>
        <v>0</v>
      </c>
      <c r="BC333" s="39">
        <f>+IFERROR(-ABS(IF(EDATE(_xlfn.XLOOKUP(1,$H320:$BE320,$H$4:$BE$4),12*Assumptions!$G$231+12)=BC$4,0,IF(BB320=1,PMT(Assumptions!$G$229,Assumptions!$G$231,$C322),BB333))),0)</f>
        <v>0</v>
      </c>
      <c r="BD333" s="39">
        <f>+IFERROR(-ABS(IF(EDATE(_xlfn.XLOOKUP(1,$H320:$BE320,$H$4:$BE$4),12*Assumptions!$G$231+12)=BD$4,0,IF(BC320=1,PMT(Assumptions!$G$229,Assumptions!$G$231,$C322),BC333))),0)</f>
        <v>0</v>
      </c>
      <c r="BE333" s="39">
        <f>+IFERROR(-ABS(IF(EDATE(_xlfn.XLOOKUP(1,$H320:$BE320,$H$4:$BE$4),12*Assumptions!$G$231+12)=BE$4,0,IF(BD320=1,PMT(Assumptions!$G$229,Assumptions!$G$231,$C322),BD333))),0)</f>
        <v>0</v>
      </c>
      <c r="BF333" s="39">
        <f>+IFERROR(-ABS(IF(EDATE(_xlfn.XLOOKUP(1,$H320:$BE320,$H$4:$BE$4),12*Assumptions!$G$231+12)=BF$4,0,IF(BE320=1,PMT(Assumptions!$G$229,Assumptions!$G$231,$C322),BE333))),0)</f>
        <v>0</v>
      </c>
      <c r="BG333" s="39">
        <f>+IFERROR(-ABS(IF(EDATE(_xlfn.XLOOKUP(1,$H320:$BE320,$H$4:$BE$4),12*Assumptions!$G$231+12)=BG$4,0,IF(BF320=1,PMT(Assumptions!$G$229,Assumptions!$G$231,$C322),BF333))),0)</f>
        <v>0</v>
      </c>
      <c r="BH333" s="39">
        <f>+IFERROR(-ABS(IF(EDATE(_xlfn.XLOOKUP(1,$H320:$BE320,$H$4:$BE$4),12*Assumptions!$G$231+12)=BH$4,0,IF(BG320=1,PMT(Assumptions!$G$229,Assumptions!$G$231,$C322),BG333))),0)</f>
        <v>0</v>
      </c>
      <c r="BI333" s="39">
        <f>+IFERROR(-ABS(IF(EDATE(_xlfn.XLOOKUP(1,$H320:$BE320,$H$4:$BE$4),12*Assumptions!$G$231+12)=BI$4,0,IF(BH320=1,PMT(Assumptions!$G$229,Assumptions!$G$231,$C322),BH333))),0)</f>
        <v>0</v>
      </c>
      <c r="BJ333" s="39">
        <f>+IFERROR(-ABS(IF(EDATE(_xlfn.XLOOKUP(1,$H320:$BE320,$H$4:$BE$4),12*Assumptions!$G$231+12)=BJ$4,0,IF(BI320=1,PMT(Assumptions!$G$229,Assumptions!$G$231,$C322),BI333))),0)</f>
        <v>0</v>
      </c>
      <c r="BK333" s="39">
        <f>+IFERROR(-ABS(IF(EDATE(_xlfn.XLOOKUP(1,$H320:$BE320,$H$4:$BE$4),12*Assumptions!$G$231+12)=BK$4,0,IF(BJ320=1,PMT(Assumptions!$G$229,Assumptions!$G$231,$C322),BJ333))),0)</f>
        <v>0</v>
      </c>
      <c r="BL333" s="39">
        <f>+IFERROR(-ABS(IF(EDATE(_xlfn.XLOOKUP(1,$H320:$BE320,$H$4:$BE$4),12*Assumptions!$G$231+12)=BL$4,0,IF(BK320=1,PMT(Assumptions!$G$229,Assumptions!$G$231,$C322),BK333))),0)</f>
        <v>0</v>
      </c>
      <c r="BM333" s="39">
        <f>+IFERROR(-ABS(IF(EDATE(_xlfn.XLOOKUP(1,$H320:$BE320,$H$4:$BE$4),12*Assumptions!$G$231+12)=BM$4,0,IF(BL320=1,PMT(Assumptions!$G$229,Assumptions!$G$231,$C322),BL333))),0)</f>
        <v>0</v>
      </c>
      <c r="BN333" s="39">
        <f>+IFERROR(-ABS(IF(EDATE(_xlfn.XLOOKUP(1,$H320:$BE320,$H$4:$BE$4),12*Assumptions!$G$231+12)=BN$4,0,IF(BM320=1,PMT(Assumptions!$G$229,Assumptions!$G$231,$C322),BM333))),0)</f>
        <v>0</v>
      </c>
      <c r="BO333" s="39">
        <f>+IFERROR(-ABS(IF(EDATE(_xlfn.XLOOKUP(1,$H320:$BE320,$H$4:$BE$4),12*Assumptions!$G$231+12)=BO$4,0,IF(BN320=1,PMT(Assumptions!$G$229,Assumptions!$G$231,$C322),BN333))),0)</f>
        <v>0</v>
      </c>
      <c r="BP333" s="39">
        <f>+IFERROR(-ABS(IF(EDATE(_xlfn.XLOOKUP(1,$H320:$BE320,$H$4:$BE$4),12*Assumptions!$G$231+12)=BP$4,0,IF(BO320=1,PMT(Assumptions!$G$229,Assumptions!$G$231,$C322),BO333))),0)</f>
        <v>0</v>
      </c>
      <c r="BQ333" s="39">
        <f>+IFERROR(-ABS(IF(EDATE(_xlfn.XLOOKUP(1,$H320:$BE320,$H$4:$BE$4),12*Assumptions!$G$231+12)=BQ$4,0,IF(BP320=1,PMT(Assumptions!$G$229,Assumptions!$G$231,$C322),BP333))),0)</f>
        <v>0</v>
      </c>
      <c r="BR333" s="39">
        <f>+IFERROR(-ABS(IF(EDATE(_xlfn.XLOOKUP(1,$H320:$BE320,$H$4:$BE$4),12*Assumptions!$G$231+12)=BR$4,0,IF(BQ320=1,PMT(Assumptions!$G$229,Assumptions!$G$231,$C322),BQ333))),0)</f>
        <v>0</v>
      </c>
      <c r="BS333" s="39">
        <f>+IFERROR(-ABS(IF(EDATE(_xlfn.XLOOKUP(1,$H320:$BE320,$H$4:$BE$4),12*Assumptions!$G$231+12)=BS$4,0,IF(BR320=1,PMT(Assumptions!$G$229,Assumptions!$G$231,$C322),BR333))),0)</f>
        <v>0</v>
      </c>
      <c r="BT333" s="39">
        <f>+IFERROR(-ABS(IF(EDATE(_xlfn.XLOOKUP(1,$H320:$BE320,$H$4:$BE$4),12*Assumptions!$G$231+12)=BT$4,0,IF(BS320=1,PMT(Assumptions!$G$229,Assumptions!$G$231,$C322),BS333))),0)</f>
        <v>0</v>
      </c>
      <c r="BU333" s="39">
        <f>+IFERROR(-ABS(IF(EDATE(_xlfn.XLOOKUP(1,$H320:$BE320,$H$4:$BE$4),12*Assumptions!$G$231+12)=BU$4,0,IF(BT320=1,PMT(Assumptions!$G$229,Assumptions!$G$231,$C322),BT333))),0)</f>
        <v>0</v>
      </c>
      <c r="BV333" s="39">
        <f>+IFERROR(-ABS(IF(EDATE(_xlfn.XLOOKUP(1,$H320:$BE320,$H$4:$BE$4),12*Assumptions!$G$231+12)=BV$4,0,IF(BU320=1,PMT(Assumptions!$G$229,Assumptions!$G$231,$C322),BU333))),0)</f>
        <v>0</v>
      </c>
      <c r="BW333" s="39">
        <f>+IFERROR(-ABS(IF(EDATE(_xlfn.XLOOKUP(1,$H320:$BE320,$H$4:$BE$4),12*Assumptions!$G$231+12)=BW$4,0,IF(BV320=1,PMT(Assumptions!$G$229,Assumptions!$G$231,$C322),BV333))),0)</f>
        <v>0</v>
      </c>
      <c r="BX333" s="39">
        <f>+IFERROR(-ABS(IF(EDATE(_xlfn.XLOOKUP(1,$H320:$BE320,$H$4:$BE$4),12*Assumptions!$G$231+12)=BX$4,0,IF(BW320=1,PMT(Assumptions!$G$229,Assumptions!$G$231,$C322),BW333))),0)</f>
        <v>0</v>
      </c>
      <c r="BY333" s="39">
        <f>+IFERROR(-ABS(IF(EDATE(_xlfn.XLOOKUP(1,$H320:$BE320,$H$4:$BE$4),12*Assumptions!$G$231+12)=BY$4,0,IF(BX320=1,PMT(Assumptions!$G$229,Assumptions!$G$231,$C322),BX333))),0)</f>
        <v>0</v>
      </c>
    </row>
    <row r="334" spans="3:77" outlineLevel="1">
      <c r="E334" s="24" t="s">
        <v>516</v>
      </c>
      <c r="F334" s="80" t="str">
        <f>+Assumptions!$G$8</f>
        <v>USD</v>
      </c>
      <c r="G334" s="24"/>
      <c r="H334" s="39">
        <f>+IFERROR(-ABS(IF(EDATE(_xlfn.XLOOKUP(1,$H321:$BE321,$H$4:$BE$4),12*Assumptions!$G$231+12)=H$4,0,IF(G321=1,PMT(Assumptions!$G$229,Assumptions!$G$231,$C323),G334))),0)</f>
        <v>0</v>
      </c>
      <c r="I334" s="39">
        <f>+IFERROR(-ABS(IF(EDATE(_xlfn.XLOOKUP(1,$H321:$BE321,$H$4:$BE$4),12*Assumptions!$G$231+12)=I$4,0,IF(H321=1,PMT(Assumptions!$G$229,Assumptions!$G$231,$C323),H334))),0)</f>
        <v>0</v>
      </c>
      <c r="J334" s="39">
        <f>+IFERROR(-ABS(IF(EDATE(_xlfn.XLOOKUP(1,$H321:$BE321,$H$4:$BE$4),12*Assumptions!$G$231+12)=J$4,0,IF(I321=1,PMT(Assumptions!$G$229,Assumptions!$G$231,$C323),I334))),0)</f>
        <v>0</v>
      </c>
      <c r="K334" s="39">
        <f>+IFERROR(-ABS(IF(EDATE(_xlfn.XLOOKUP(1,$H321:$BE321,$H$4:$BE$4),12*Assumptions!$G$231+12)=K$4,0,IF(J321=1,PMT(Assumptions!$G$229,Assumptions!$G$231,$C323),J334))),0)</f>
        <v>0</v>
      </c>
      <c r="L334" s="39">
        <f>+IFERROR(-ABS(IF(EDATE(_xlfn.XLOOKUP(1,$H321:$BE321,$H$4:$BE$4),12*Assumptions!$G$231+12)=L$4,0,IF(K321=1,PMT(Assumptions!$G$229,Assumptions!$G$231,$C323),K334))),0)</f>
        <v>0</v>
      </c>
      <c r="M334" s="39">
        <f>+IFERROR(-ABS(IF(EDATE(_xlfn.XLOOKUP(1,$H321:$BE321,$H$4:$BE$4),12*Assumptions!$G$231+12)=M$4,0,IF(L321=1,PMT(Assumptions!$G$229,Assumptions!$G$231,$C323),L334))),0)</f>
        <v>0</v>
      </c>
      <c r="N334" s="39">
        <f>+IFERROR(-ABS(IF(EDATE(_xlfn.XLOOKUP(1,$H321:$BE321,$H$4:$BE$4),12*Assumptions!$G$231+12)=N$4,0,IF(M321=1,PMT(Assumptions!$G$229,Assumptions!$G$231,$C323),M334))),0)</f>
        <v>0</v>
      </c>
      <c r="O334" s="39">
        <f>+IFERROR(-ABS(IF(EDATE(_xlfn.XLOOKUP(1,$H321:$BE321,$H$4:$BE$4),12*Assumptions!$G$231+12)=O$4,0,IF(N321=1,PMT(Assumptions!$G$229,Assumptions!$G$231,$C323),N334))),0)</f>
        <v>0</v>
      </c>
      <c r="P334" s="39">
        <f>+IFERROR(-ABS(IF(EDATE(_xlfn.XLOOKUP(1,$H321:$BE321,$H$4:$BE$4),12*Assumptions!$G$231+12)=P$4,0,IF(O321=1,PMT(Assumptions!$G$229,Assumptions!$G$231,$C323),O334))),0)</f>
        <v>0</v>
      </c>
      <c r="Q334" s="39">
        <f>+IFERROR(-ABS(IF(EDATE(_xlfn.XLOOKUP(1,$H321:$BE321,$H$4:$BE$4),12*Assumptions!$G$231+12)=Q$4,0,IF(P321=1,PMT(Assumptions!$G$229,Assumptions!$G$231,$C323),P334))),0)</f>
        <v>0</v>
      </c>
      <c r="R334" s="39">
        <f>+IFERROR(-ABS(IF(EDATE(_xlfn.XLOOKUP(1,$H321:$BE321,$H$4:$BE$4),12*Assumptions!$G$231+12)=R$4,0,IF(Q321=1,PMT(Assumptions!$G$229,Assumptions!$G$231,$C323),Q334))),0)</f>
        <v>0</v>
      </c>
      <c r="S334" s="39">
        <f>+IFERROR(-ABS(IF(EDATE(_xlfn.XLOOKUP(1,$H321:$BE321,$H$4:$BE$4),12*Assumptions!$G$231+12)=S$4,0,IF(R321=1,PMT(Assumptions!$G$229,Assumptions!$G$231,$C323),R334))),0)</f>
        <v>0</v>
      </c>
      <c r="T334" s="39">
        <f>+IFERROR(-ABS(IF(EDATE(_xlfn.XLOOKUP(1,$H321:$BE321,$H$4:$BE$4),12*Assumptions!$G$231+12)=T$4,0,IF(S321=1,PMT(Assumptions!$G$229,Assumptions!$G$231,$C323),S334))),0)</f>
        <v>0</v>
      </c>
      <c r="U334" s="39">
        <f>+IFERROR(-ABS(IF(EDATE(_xlfn.XLOOKUP(1,$H321:$BE321,$H$4:$BE$4),12*Assumptions!$G$231+12)=U$4,0,IF(T321=1,PMT(Assumptions!$G$229,Assumptions!$G$231,$C323),T334))),0)</f>
        <v>0</v>
      </c>
      <c r="V334" s="39">
        <f>+IFERROR(-ABS(IF(EDATE(_xlfn.XLOOKUP(1,$H321:$BE321,$H$4:$BE$4),12*Assumptions!$G$231+12)=V$4,0,IF(U321=1,PMT(Assumptions!$G$229,Assumptions!$G$231,$C323),U334))),0)</f>
        <v>0</v>
      </c>
      <c r="W334" s="39">
        <f>+IFERROR(-ABS(IF(EDATE(_xlfn.XLOOKUP(1,$H321:$BE321,$H$4:$BE$4),12*Assumptions!$G$231+12)=W$4,0,IF(V321=1,PMT(Assumptions!$G$229,Assumptions!$G$231,$C323),V334))),0)</f>
        <v>0</v>
      </c>
      <c r="X334" s="39">
        <f>+IFERROR(-ABS(IF(EDATE(_xlfn.XLOOKUP(1,$H321:$BE321,$H$4:$BE$4),12*Assumptions!$G$231+12)=X$4,0,IF(W321=1,PMT(Assumptions!$G$229,Assumptions!$G$231,$C323),W334))),0)</f>
        <v>0</v>
      </c>
      <c r="Y334" s="39">
        <f>+IFERROR(-ABS(IF(EDATE(_xlfn.XLOOKUP(1,$H321:$BE321,$H$4:$BE$4),12*Assumptions!$G$231+12)=Y$4,0,IF(X321=1,PMT(Assumptions!$G$229,Assumptions!$G$231,$C323),X334))),0)</f>
        <v>0</v>
      </c>
      <c r="Z334" s="39">
        <f>+IFERROR(-ABS(IF(EDATE(_xlfn.XLOOKUP(1,$H321:$BE321,$H$4:$BE$4),12*Assumptions!$G$231+12)=Z$4,0,IF(Y321=1,PMT(Assumptions!$G$229,Assumptions!$G$231,$C323),Y334))),0)</f>
        <v>0</v>
      </c>
      <c r="AA334" s="39">
        <f>+IFERROR(-ABS(IF(EDATE(_xlfn.XLOOKUP(1,$H321:$BE321,$H$4:$BE$4),12*Assumptions!$G$231+12)=AA$4,0,IF(Z321=1,PMT(Assumptions!$G$229,Assumptions!$G$231,$C323),Z334))),0)</f>
        <v>0</v>
      </c>
      <c r="AB334" s="39">
        <f>+IFERROR(-ABS(IF(EDATE(_xlfn.XLOOKUP(1,$H321:$BE321,$H$4:$BE$4),12*Assumptions!$G$231+12)=AB$4,0,IF(AA321=1,PMT(Assumptions!$G$229,Assumptions!$G$231,$C323),AA334))),0)</f>
        <v>0</v>
      </c>
      <c r="AC334" s="39">
        <f>+IFERROR(-ABS(IF(EDATE(_xlfn.XLOOKUP(1,$H321:$BE321,$H$4:$BE$4),12*Assumptions!$G$231+12)=AC$4,0,IF(AB321=1,PMT(Assumptions!$G$229,Assumptions!$G$231,$C323),AB334))),0)</f>
        <v>0</v>
      </c>
      <c r="AD334" s="39">
        <f>+IFERROR(-ABS(IF(EDATE(_xlfn.XLOOKUP(1,$H321:$BE321,$H$4:$BE$4),12*Assumptions!$G$231+12)=AD$4,0,IF(AC321=1,PMT(Assumptions!$G$229,Assumptions!$G$231,$C323),AC334))),0)</f>
        <v>0</v>
      </c>
      <c r="AE334" s="39">
        <f>+IFERROR(-ABS(IF(EDATE(_xlfn.XLOOKUP(1,$H321:$BE321,$H$4:$BE$4),12*Assumptions!$G$231+12)=AE$4,0,IF(AD321=1,PMT(Assumptions!$G$229,Assumptions!$G$231,$C323),AD334))),0)</f>
        <v>0</v>
      </c>
      <c r="AF334" s="39">
        <f>+IFERROR(-ABS(IF(EDATE(_xlfn.XLOOKUP(1,$H321:$BE321,$H$4:$BE$4),12*Assumptions!$G$231+12)=AF$4,0,IF(AE321=1,PMT(Assumptions!$G$229,Assumptions!$G$231,$C323),AE334))),0)</f>
        <v>0</v>
      </c>
      <c r="AG334" s="39">
        <f>+IFERROR(-ABS(IF(EDATE(_xlfn.XLOOKUP(1,$H321:$BE321,$H$4:$BE$4),12*Assumptions!$G$231+12)=AG$4,0,IF(AF321=1,PMT(Assumptions!$G$229,Assumptions!$G$231,$C323),AF334))),0)</f>
        <v>0</v>
      </c>
      <c r="AH334" s="39">
        <f>+IFERROR(-ABS(IF(EDATE(_xlfn.XLOOKUP(1,$H321:$BE321,$H$4:$BE$4),12*Assumptions!$G$231+12)=AH$4,0,IF(AG321=1,PMT(Assumptions!$G$229,Assumptions!$G$231,$C323),AG334))),0)</f>
        <v>0</v>
      </c>
      <c r="AI334" s="39">
        <f>+IFERROR(-ABS(IF(EDATE(_xlfn.XLOOKUP(1,$H321:$BE321,$H$4:$BE$4),12*Assumptions!$G$231+12)=AI$4,0,IF(AH321=1,PMT(Assumptions!$G$229,Assumptions!$G$231,$C323),AH334))),0)</f>
        <v>0</v>
      </c>
      <c r="AJ334" s="39">
        <f>+IFERROR(-ABS(IF(EDATE(_xlfn.XLOOKUP(1,$H321:$BE321,$H$4:$BE$4),12*Assumptions!$G$231+12)=AJ$4,0,IF(AI321=1,PMT(Assumptions!$G$229,Assumptions!$G$231,$C323),AI334))),0)</f>
        <v>0</v>
      </c>
      <c r="AK334" s="39">
        <f>+IFERROR(-ABS(IF(EDATE(_xlfn.XLOOKUP(1,$H321:$BE321,$H$4:$BE$4),12*Assumptions!$G$231+12)=AK$4,0,IF(AJ321=1,PMT(Assumptions!$G$229,Assumptions!$G$231,$C323),AJ334))),0)</f>
        <v>0</v>
      </c>
      <c r="AL334" s="39">
        <f>+IFERROR(-ABS(IF(EDATE(_xlfn.XLOOKUP(1,$H321:$BE321,$H$4:$BE$4),12*Assumptions!$G$231+12)=AL$4,0,IF(AK321=1,PMT(Assumptions!$G$229,Assumptions!$G$231,$C323),AK334))),0)</f>
        <v>0</v>
      </c>
      <c r="AM334" s="39">
        <f>+IFERROR(-ABS(IF(EDATE(_xlfn.XLOOKUP(1,$H321:$BE321,$H$4:$BE$4),12*Assumptions!$G$231+12)=AM$4,0,IF(AL321=1,PMT(Assumptions!$G$229,Assumptions!$G$231,$C323),AL334))),0)</f>
        <v>0</v>
      </c>
      <c r="AN334" s="39">
        <f>+IFERROR(-ABS(IF(EDATE(_xlfn.XLOOKUP(1,$H321:$BE321,$H$4:$BE$4),12*Assumptions!$G$231+12)=AN$4,0,IF(AM321=1,PMT(Assumptions!$G$229,Assumptions!$G$231,$C323),AM334))),0)</f>
        <v>0</v>
      </c>
      <c r="AO334" s="39">
        <f>+IFERROR(-ABS(IF(EDATE(_xlfn.XLOOKUP(1,$H321:$BE321,$H$4:$BE$4),12*Assumptions!$G$231+12)=AO$4,0,IF(AN321=1,PMT(Assumptions!$G$229,Assumptions!$G$231,$C323),AN334))),0)</f>
        <v>0</v>
      </c>
      <c r="AP334" s="39">
        <f>+IFERROR(-ABS(IF(EDATE(_xlfn.XLOOKUP(1,$H321:$BE321,$H$4:$BE$4),12*Assumptions!$G$231+12)=AP$4,0,IF(AO321=1,PMT(Assumptions!$G$229,Assumptions!$G$231,$C323),AO334))),0)</f>
        <v>0</v>
      </c>
      <c r="AQ334" s="39">
        <f>+IFERROR(-ABS(IF(EDATE(_xlfn.XLOOKUP(1,$H321:$BE321,$H$4:$BE$4),12*Assumptions!$G$231+12)=AQ$4,0,IF(AP321=1,PMT(Assumptions!$G$229,Assumptions!$G$231,$C323),AP334))),0)</f>
        <v>0</v>
      </c>
      <c r="AR334" s="39">
        <f>+IFERROR(-ABS(IF(EDATE(_xlfn.XLOOKUP(1,$H321:$BE321,$H$4:$BE$4),12*Assumptions!$G$231+12)=AR$4,0,IF(AQ321=1,PMT(Assumptions!$G$229,Assumptions!$G$231,$C323),AQ334))),0)</f>
        <v>0</v>
      </c>
      <c r="AS334" s="39">
        <f>+IFERROR(-ABS(IF(EDATE(_xlfn.XLOOKUP(1,$H321:$BE321,$H$4:$BE$4),12*Assumptions!$G$231+12)=AS$4,0,IF(AR321=1,PMT(Assumptions!$G$229,Assumptions!$G$231,$C323),AR334))),0)</f>
        <v>0</v>
      </c>
      <c r="AT334" s="39">
        <f>+IFERROR(-ABS(IF(EDATE(_xlfn.XLOOKUP(1,$H321:$BE321,$H$4:$BE$4),12*Assumptions!$G$231+12)=AT$4,0,IF(AS321=1,PMT(Assumptions!$G$229,Assumptions!$G$231,$C323),AS334))),0)</f>
        <v>0</v>
      </c>
      <c r="AU334" s="39">
        <f>+IFERROR(-ABS(IF(EDATE(_xlfn.XLOOKUP(1,$H321:$BE321,$H$4:$BE$4),12*Assumptions!$G$231+12)=AU$4,0,IF(AT321=1,PMT(Assumptions!$G$229,Assumptions!$G$231,$C323),AT334))),0)</f>
        <v>0</v>
      </c>
      <c r="AV334" s="39">
        <f>+IFERROR(-ABS(IF(EDATE(_xlfn.XLOOKUP(1,$H321:$BE321,$H$4:$BE$4),12*Assumptions!$G$231+12)=AV$4,0,IF(AU321=1,PMT(Assumptions!$G$229,Assumptions!$G$231,$C323),AU334))),0)</f>
        <v>0</v>
      </c>
      <c r="AW334" s="39">
        <f>+IFERROR(-ABS(IF(EDATE(_xlfn.XLOOKUP(1,$H321:$BE321,$H$4:$BE$4),12*Assumptions!$G$231+12)=AW$4,0,IF(AV321=1,PMT(Assumptions!$G$229,Assumptions!$G$231,$C323),AV334))),0)</f>
        <v>0</v>
      </c>
      <c r="AX334" s="39">
        <f>+IFERROR(-ABS(IF(EDATE(_xlfn.XLOOKUP(1,$H321:$BE321,$H$4:$BE$4),12*Assumptions!$G$231+12)=AX$4,0,IF(AW321=1,PMT(Assumptions!$G$229,Assumptions!$G$231,$C323),AW334))),0)</f>
        <v>0</v>
      </c>
      <c r="AY334" s="39">
        <f>+IFERROR(-ABS(IF(EDATE(_xlfn.XLOOKUP(1,$H321:$BE321,$H$4:$BE$4),12*Assumptions!$G$231+12)=AY$4,0,IF(AX321=1,PMT(Assumptions!$G$229,Assumptions!$G$231,$C323),AX334))),0)</f>
        <v>0</v>
      </c>
      <c r="AZ334" s="39">
        <f>+IFERROR(-ABS(IF(EDATE(_xlfn.XLOOKUP(1,$H321:$BE321,$H$4:$BE$4),12*Assumptions!$G$231+12)=AZ$4,0,IF(AY321=1,PMT(Assumptions!$G$229,Assumptions!$G$231,$C323),AY334))),0)</f>
        <v>0</v>
      </c>
      <c r="BA334" s="39">
        <f>+IFERROR(-ABS(IF(EDATE(_xlfn.XLOOKUP(1,$H321:$BE321,$H$4:$BE$4),12*Assumptions!$G$231+12)=BA$4,0,IF(AZ321=1,PMT(Assumptions!$G$229,Assumptions!$G$231,$C323),AZ334))),0)</f>
        <v>0</v>
      </c>
      <c r="BB334" s="39">
        <f>+IFERROR(-ABS(IF(EDATE(_xlfn.XLOOKUP(1,$H321:$BE321,$H$4:$BE$4),12*Assumptions!$G$231+12)=BB$4,0,IF(BA321=1,PMT(Assumptions!$G$229,Assumptions!$G$231,$C323),BA334))),0)</f>
        <v>0</v>
      </c>
      <c r="BC334" s="39">
        <f>+IFERROR(-ABS(IF(EDATE(_xlfn.XLOOKUP(1,$H321:$BE321,$H$4:$BE$4),12*Assumptions!$G$231+12)=BC$4,0,IF(BB321=1,PMT(Assumptions!$G$229,Assumptions!$G$231,$C323),BB334))),0)</f>
        <v>0</v>
      </c>
      <c r="BD334" s="39">
        <f>+IFERROR(-ABS(IF(EDATE(_xlfn.XLOOKUP(1,$H321:$BE321,$H$4:$BE$4),12*Assumptions!$G$231+12)=BD$4,0,IF(BC321=1,PMT(Assumptions!$G$229,Assumptions!$G$231,$C323),BC334))),0)</f>
        <v>0</v>
      </c>
      <c r="BE334" s="39">
        <f>+IFERROR(-ABS(IF(EDATE(_xlfn.XLOOKUP(1,$H321:$BE321,$H$4:$BE$4),12*Assumptions!$G$231+12)=BE$4,0,IF(BD321=1,PMT(Assumptions!$G$229,Assumptions!$G$231,$C323),BD334))),0)</f>
        <v>0</v>
      </c>
      <c r="BF334" s="39">
        <f>+IFERROR(-ABS(IF(EDATE(_xlfn.XLOOKUP(1,$H321:$BE321,$H$4:$BE$4),12*Assumptions!$G$231+12)=BF$4,0,IF(BE321=1,PMT(Assumptions!$G$229,Assumptions!$G$231,$C323),BE334))),0)</f>
        <v>0</v>
      </c>
      <c r="BG334" s="39">
        <f>+IFERROR(-ABS(IF(EDATE(_xlfn.XLOOKUP(1,$H321:$BE321,$H$4:$BE$4),12*Assumptions!$G$231+12)=BG$4,0,IF(BF321=1,PMT(Assumptions!$G$229,Assumptions!$G$231,$C323),BF334))),0)</f>
        <v>0</v>
      </c>
      <c r="BH334" s="39">
        <f>+IFERROR(-ABS(IF(EDATE(_xlfn.XLOOKUP(1,$H321:$BE321,$H$4:$BE$4),12*Assumptions!$G$231+12)=BH$4,0,IF(BG321=1,PMT(Assumptions!$G$229,Assumptions!$G$231,$C323),BG334))),0)</f>
        <v>0</v>
      </c>
      <c r="BI334" s="39">
        <f>+IFERROR(-ABS(IF(EDATE(_xlfn.XLOOKUP(1,$H321:$BE321,$H$4:$BE$4),12*Assumptions!$G$231+12)=BI$4,0,IF(BH321=1,PMT(Assumptions!$G$229,Assumptions!$G$231,$C323),BH334))),0)</f>
        <v>0</v>
      </c>
      <c r="BJ334" s="39">
        <f>+IFERROR(-ABS(IF(EDATE(_xlfn.XLOOKUP(1,$H321:$BE321,$H$4:$BE$4),12*Assumptions!$G$231+12)=BJ$4,0,IF(BI321=1,PMT(Assumptions!$G$229,Assumptions!$G$231,$C323),BI334))),0)</f>
        <v>0</v>
      </c>
      <c r="BK334" s="39">
        <f>+IFERROR(-ABS(IF(EDATE(_xlfn.XLOOKUP(1,$H321:$BE321,$H$4:$BE$4),12*Assumptions!$G$231+12)=BK$4,0,IF(BJ321=1,PMT(Assumptions!$G$229,Assumptions!$G$231,$C323),BJ334))),0)</f>
        <v>0</v>
      </c>
      <c r="BL334" s="39">
        <f>+IFERROR(-ABS(IF(EDATE(_xlfn.XLOOKUP(1,$H321:$BE321,$H$4:$BE$4),12*Assumptions!$G$231+12)=BL$4,0,IF(BK321=1,PMT(Assumptions!$G$229,Assumptions!$G$231,$C323),BK334))),0)</f>
        <v>0</v>
      </c>
      <c r="BM334" s="39">
        <f>+IFERROR(-ABS(IF(EDATE(_xlfn.XLOOKUP(1,$H321:$BE321,$H$4:$BE$4),12*Assumptions!$G$231+12)=BM$4,0,IF(BL321=1,PMT(Assumptions!$G$229,Assumptions!$G$231,$C323),BL334))),0)</f>
        <v>0</v>
      </c>
      <c r="BN334" s="39">
        <f>+IFERROR(-ABS(IF(EDATE(_xlfn.XLOOKUP(1,$H321:$BE321,$H$4:$BE$4),12*Assumptions!$G$231+12)=BN$4,0,IF(BM321=1,PMT(Assumptions!$G$229,Assumptions!$G$231,$C323),BM334))),0)</f>
        <v>0</v>
      </c>
      <c r="BO334" s="39">
        <f>+IFERROR(-ABS(IF(EDATE(_xlfn.XLOOKUP(1,$H321:$BE321,$H$4:$BE$4),12*Assumptions!$G$231+12)=BO$4,0,IF(BN321=1,PMT(Assumptions!$G$229,Assumptions!$G$231,$C323),BN334))),0)</f>
        <v>0</v>
      </c>
      <c r="BP334" s="39">
        <f>+IFERROR(-ABS(IF(EDATE(_xlfn.XLOOKUP(1,$H321:$BE321,$H$4:$BE$4),12*Assumptions!$G$231+12)=BP$4,0,IF(BO321=1,PMT(Assumptions!$G$229,Assumptions!$G$231,$C323),BO334))),0)</f>
        <v>0</v>
      </c>
      <c r="BQ334" s="39">
        <f>+IFERROR(-ABS(IF(EDATE(_xlfn.XLOOKUP(1,$H321:$BE321,$H$4:$BE$4),12*Assumptions!$G$231+12)=BQ$4,0,IF(BP321=1,PMT(Assumptions!$G$229,Assumptions!$G$231,$C323),BP334))),0)</f>
        <v>0</v>
      </c>
      <c r="BR334" s="39">
        <f>+IFERROR(-ABS(IF(EDATE(_xlfn.XLOOKUP(1,$H321:$BE321,$H$4:$BE$4),12*Assumptions!$G$231+12)=BR$4,0,IF(BQ321=1,PMT(Assumptions!$G$229,Assumptions!$G$231,$C323),BQ334))),0)</f>
        <v>0</v>
      </c>
      <c r="BS334" s="39">
        <f>+IFERROR(-ABS(IF(EDATE(_xlfn.XLOOKUP(1,$H321:$BE321,$H$4:$BE$4),12*Assumptions!$G$231+12)=BS$4,0,IF(BR321=1,PMT(Assumptions!$G$229,Assumptions!$G$231,$C323),BR334))),0)</f>
        <v>0</v>
      </c>
      <c r="BT334" s="39">
        <f>+IFERROR(-ABS(IF(EDATE(_xlfn.XLOOKUP(1,$H321:$BE321,$H$4:$BE$4),12*Assumptions!$G$231+12)=BT$4,0,IF(BS321=1,PMT(Assumptions!$G$229,Assumptions!$G$231,$C323),BS334))),0)</f>
        <v>0</v>
      </c>
      <c r="BU334" s="39">
        <f>+IFERROR(-ABS(IF(EDATE(_xlfn.XLOOKUP(1,$H321:$BE321,$H$4:$BE$4),12*Assumptions!$G$231+12)=BU$4,0,IF(BT321=1,PMT(Assumptions!$G$229,Assumptions!$G$231,$C323),BT334))),0)</f>
        <v>0</v>
      </c>
      <c r="BV334" s="39">
        <f>+IFERROR(-ABS(IF(EDATE(_xlfn.XLOOKUP(1,$H321:$BE321,$H$4:$BE$4),12*Assumptions!$G$231+12)=BV$4,0,IF(BU321=1,PMT(Assumptions!$G$229,Assumptions!$G$231,$C323),BU334))),0)</f>
        <v>0</v>
      </c>
      <c r="BW334" s="39">
        <f>+IFERROR(-ABS(IF(EDATE(_xlfn.XLOOKUP(1,$H321:$BE321,$H$4:$BE$4),12*Assumptions!$G$231+12)=BW$4,0,IF(BV321=1,PMT(Assumptions!$G$229,Assumptions!$G$231,$C323),BV334))),0)</f>
        <v>0</v>
      </c>
      <c r="BX334" s="39">
        <f>+IFERROR(-ABS(IF(EDATE(_xlfn.XLOOKUP(1,$H321:$BE321,$H$4:$BE$4),12*Assumptions!$G$231+12)=BX$4,0,IF(BW321=1,PMT(Assumptions!$G$229,Assumptions!$G$231,$C323),BW334))),0)</f>
        <v>0</v>
      </c>
      <c r="BY334" s="39">
        <f>+IFERROR(-ABS(IF(EDATE(_xlfn.XLOOKUP(1,$H321:$BE321,$H$4:$BE$4),12*Assumptions!$G$231+12)=BY$4,0,IF(BX321=1,PMT(Assumptions!$G$229,Assumptions!$G$231,$C323),BX334))),0)</f>
        <v>0</v>
      </c>
    </row>
    <row r="335" spans="3:77" outlineLevel="1">
      <c r="E335" s="24" t="s">
        <v>517</v>
      </c>
      <c r="F335" s="80" t="str">
        <f>+Assumptions!$G$8</f>
        <v>USD</v>
      </c>
      <c r="G335" s="24"/>
      <c r="H335" s="39">
        <f>+IFERROR(-ABS(IF(EDATE(_xlfn.XLOOKUP(1,$H322:$BE322,$H$4:$BE$4),12*Assumptions!$G$231+12)=H$4,0,IF(G322=1,PMT(Assumptions!$G$229,Assumptions!$G$231,$C324),G335))),0)</f>
        <v>0</v>
      </c>
      <c r="I335" s="39">
        <f>+IFERROR(-ABS(IF(EDATE(_xlfn.XLOOKUP(1,$H322:$BE322,$H$4:$BE$4),12*Assumptions!$G$231+12)=I$4,0,IF(H322=1,PMT(Assumptions!$G$229,Assumptions!$G$231,$C324),H335))),0)</f>
        <v>0</v>
      </c>
      <c r="J335" s="39">
        <f>+IFERROR(-ABS(IF(EDATE(_xlfn.XLOOKUP(1,$H322:$BE322,$H$4:$BE$4),12*Assumptions!$G$231+12)=J$4,0,IF(I322=1,PMT(Assumptions!$G$229,Assumptions!$G$231,$C324),I335))),0)</f>
        <v>0</v>
      </c>
      <c r="K335" s="39">
        <f>+IFERROR(-ABS(IF(EDATE(_xlfn.XLOOKUP(1,$H322:$BE322,$H$4:$BE$4),12*Assumptions!$G$231+12)=K$4,0,IF(J322=1,PMT(Assumptions!$G$229,Assumptions!$G$231,$C324),J335))),0)</f>
        <v>0</v>
      </c>
      <c r="L335" s="39">
        <f>+IFERROR(-ABS(IF(EDATE(_xlfn.XLOOKUP(1,$H322:$BE322,$H$4:$BE$4),12*Assumptions!$G$231+12)=L$4,0,IF(K322=1,PMT(Assumptions!$G$229,Assumptions!$G$231,$C324),K335))),0)</f>
        <v>0</v>
      </c>
      <c r="M335" s="39">
        <f>+IFERROR(-ABS(IF(EDATE(_xlfn.XLOOKUP(1,$H322:$BE322,$H$4:$BE$4),12*Assumptions!$G$231+12)=M$4,0,IF(L322=1,PMT(Assumptions!$G$229,Assumptions!$G$231,$C324),L335))),0)</f>
        <v>0</v>
      </c>
      <c r="N335" s="39">
        <f>+IFERROR(-ABS(IF(EDATE(_xlfn.XLOOKUP(1,$H322:$BE322,$H$4:$BE$4),12*Assumptions!$G$231+12)=N$4,0,IF(M322=1,PMT(Assumptions!$G$229,Assumptions!$G$231,$C324),M335))),0)</f>
        <v>0</v>
      </c>
      <c r="O335" s="39">
        <f>+IFERROR(-ABS(IF(EDATE(_xlfn.XLOOKUP(1,$H322:$BE322,$H$4:$BE$4),12*Assumptions!$G$231+12)=O$4,0,IF(N322=1,PMT(Assumptions!$G$229,Assumptions!$G$231,$C324),N335))),0)</f>
        <v>0</v>
      </c>
      <c r="P335" s="39">
        <f>+IFERROR(-ABS(IF(EDATE(_xlfn.XLOOKUP(1,$H322:$BE322,$H$4:$BE$4),12*Assumptions!$G$231+12)=P$4,0,IF(O322=1,PMT(Assumptions!$G$229,Assumptions!$G$231,$C324),O335))),0)</f>
        <v>0</v>
      </c>
      <c r="Q335" s="39">
        <f>+IFERROR(-ABS(IF(EDATE(_xlfn.XLOOKUP(1,$H322:$BE322,$H$4:$BE$4),12*Assumptions!$G$231+12)=Q$4,0,IF(P322=1,PMT(Assumptions!$G$229,Assumptions!$G$231,$C324),P335))),0)</f>
        <v>0</v>
      </c>
      <c r="R335" s="39">
        <f>+IFERROR(-ABS(IF(EDATE(_xlfn.XLOOKUP(1,$H322:$BE322,$H$4:$BE$4),12*Assumptions!$G$231+12)=R$4,0,IF(Q322=1,PMT(Assumptions!$G$229,Assumptions!$G$231,$C324),Q335))),0)</f>
        <v>0</v>
      </c>
      <c r="S335" s="39">
        <f>+IFERROR(-ABS(IF(EDATE(_xlfn.XLOOKUP(1,$H322:$BE322,$H$4:$BE$4),12*Assumptions!$G$231+12)=S$4,0,IF(R322=1,PMT(Assumptions!$G$229,Assumptions!$G$231,$C324),R335))),0)</f>
        <v>0</v>
      </c>
      <c r="T335" s="39">
        <f>+IFERROR(-ABS(IF(EDATE(_xlfn.XLOOKUP(1,$H322:$BE322,$H$4:$BE$4),12*Assumptions!$G$231+12)=T$4,0,IF(S322=1,PMT(Assumptions!$G$229,Assumptions!$G$231,$C324),S335))),0)</f>
        <v>0</v>
      </c>
      <c r="U335" s="39">
        <f>+IFERROR(-ABS(IF(EDATE(_xlfn.XLOOKUP(1,$H322:$BE322,$H$4:$BE$4),12*Assumptions!$G$231+12)=U$4,0,IF(T322=1,PMT(Assumptions!$G$229,Assumptions!$G$231,$C324),T335))),0)</f>
        <v>0</v>
      </c>
      <c r="V335" s="39">
        <f>+IFERROR(-ABS(IF(EDATE(_xlfn.XLOOKUP(1,$H322:$BE322,$H$4:$BE$4),12*Assumptions!$G$231+12)=V$4,0,IF(U322=1,PMT(Assumptions!$G$229,Assumptions!$G$231,$C324),U335))),0)</f>
        <v>0</v>
      </c>
      <c r="W335" s="39">
        <f>+IFERROR(-ABS(IF(EDATE(_xlfn.XLOOKUP(1,$H322:$BE322,$H$4:$BE$4),12*Assumptions!$G$231+12)=W$4,0,IF(V322=1,PMT(Assumptions!$G$229,Assumptions!$G$231,$C324),V335))),0)</f>
        <v>0</v>
      </c>
      <c r="X335" s="39">
        <f>+IFERROR(-ABS(IF(EDATE(_xlfn.XLOOKUP(1,$H322:$BE322,$H$4:$BE$4),12*Assumptions!$G$231+12)=X$4,0,IF(W322=1,PMT(Assumptions!$G$229,Assumptions!$G$231,$C324),W335))),0)</f>
        <v>0</v>
      </c>
      <c r="Y335" s="39">
        <f>+IFERROR(-ABS(IF(EDATE(_xlfn.XLOOKUP(1,$H322:$BE322,$H$4:$BE$4),12*Assumptions!$G$231+12)=Y$4,0,IF(X322=1,PMT(Assumptions!$G$229,Assumptions!$G$231,$C324),X335))),0)</f>
        <v>0</v>
      </c>
      <c r="Z335" s="39">
        <f>+IFERROR(-ABS(IF(EDATE(_xlfn.XLOOKUP(1,$H322:$BE322,$H$4:$BE$4),12*Assumptions!$G$231+12)=Z$4,0,IF(Y322=1,PMT(Assumptions!$G$229,Assumptions!$G$231,$C324),Y335))),0)</f>
        <v>0</v>
      </c>
      <c r="AA335" s="39">
        <f>+IFERROR(-ABS(IF(EDATE(_xlfn.XLOOKUP(1,$H322:$BE322,$H$4:$BE$4),12*Assumptions!$G$231+12)=AA$4,0,IF(Z322=1,PMT(Assumptions!$G$229,Assumptions!$G$231,$C324),Z335))),0)</f>
        <v>0</v>
      </c>
      <c r="AB335" s="39">
        <f>+IFERROR(-ABS(IF(EDATE(_xlfn.XLOOKUP(1,$H322:$BE322,$H$4:$BE$4),12*Assumptions!$G$231+12)=AB$4,0,IF(AA322=1,PMT(Assumptions!$G$229,Assumptions!$G$231,$C324),AA335))),0)</f>
        <v>0</v>
      </c>
      <c r="AC335" s="39">
        <f>+IFERROR(-ABS(IF(EDATE(_xlfn.XLOOKUP(1,$H322:$BE322,$H$4:$BE$4),12*Assumptions!$G$231+12)=AC$4,0,IF(AB322=1,PMT(Assumptions!$G$229,Assumptions!$G$231,$C324),AB335))),0)</f>
        <v>0</v>
      </c>
      <c r="AD335" s="39">
        <f>+IFERROR(-ABS(IF(EDATE(_xlfn.XLOOKUP(1,$H322:$BE322,$H$4:$BE$4),12*Assumptions!$G$231+12)=AD$4,0,IF(AC322=1,PMT(Assumptions!$G$229,Assumptions!$G$231,$C324),AC335))),0)</f>
        <v>0</v>
      </c>
      <c r="AE335" s="39">
        <f>+IFERROR(-ABS(IF(EDATE(_xlfn.XLOOKUP(1,$H322:$BE322,$H$4:$BE$4),12*Assumptions!$G$231+12)=AE$4,0,IF(AD322=1,PMT(Assumptions!$G$229,Assumptions!$G$231,$C324),AD335))),0)</f>
        <v>0</v>
      </c>
      <c r="AF335" s="39">
        <f>+IFERROR(-ABS(IF(EDATE(_xlfn.XLOOKUP(1,$H322:$BE322,$H$4:$BE$4),12*Assumptions!$G$231+12)=AF$4,0,IF(AE322=1,PMT(Assumptions!$G$229,Assumptions!$G$231,$C324),AE335))),0)</f>
        <v>0</v>
      </c>
      <c r="AG335" s="39">
        <f>+IFERROR(-ABS(IF(EDATE(_xlfn.XLOOKUP(1,$H322:$BE322,$H$4:$BE$4),12*Assumptions!$G$231+12)=AG$4,0,IF(AF322=1,PMT(Assumptions!$G$229,Assumptions!$G$231,$C324),AF335))),0)</f>
        <v>0</v>
      </c>
      <c r="AH335" s="39">
        <f>+IFERROR(-ABS(IF(EDATE(_xlfn.XLOOKUP(1,$H322:$BE322,$H$4:$BE$4),12*Assumptions!$G$231+12)=AH$4,0,IF(AG322=1,PMT(Assumptions!$G$229,Assumptions!$G$231,$C324),AG335))),0)</f>
        <v>0</v>
      </c>
      <c r="AI335" s="39">
        <f>+IFERROR(-ABS(IF(EDATE(_xlfn.XLOOKUP(1,$H322:$BE322,$H$4:$BE$4),12*Assumptions!$G$231+12)=AI$4,0,IF(AH322=1,PMT(Assumptions!$G$229,Assumptions!$G$231,$C324),AH335))),0)</f>
        <v>0</v>
      </c>
      <c r="AJ335" s="39">
        <f>+IFERROR(-ABS(IF(EDATE(_xlfn.XLOOKUP(1,$H322:$BE322,$H$4:$BE$4),12*Assumptions!$G$231+12)=AJ$4,0,IF(AI322=1,PMT(Assumptions!$G$229,Assumptions!$G$231,$C324),AI335))),0)</f>
        <v>0</v>
      </c>
      <c r="AK335" s="39">
        <f>+IFERROR(-ABS(IF(EDATE(_xlfn.XLOOKUP(1,$H322:$BE322,$H$4:$BE$4),12*Assumptions!$G$231+12)=AK$4,0,IF(AJ322=1,PMT(Assumptions!$G$229,Assumptions!$G$231,$C324),AJ335))),0)</f>
        <v>0</v>
      </c>
      <c r="AL335" s="39">
        <f>+IFERROR(-ABS(IF(EDATE(_xlfn.XLOOKUP(1,$H322:$BE322,$H$4:$BE$4),12*Assumptions!$G$231+12)=AL$4,0,IF(AK322=1,PMT(Assumptions!$G$229,Assumptions!$G$231,$C324),AK335))),0)</f>
        <v>0</v>
      </c>
      <c r="AM335" s="39">
        <f>+IFERROR(-ABS(IF(EDATE(_xlfn.XLOOKUP(1,$H322:$BE322,$H$4:$BE$4),12*Assumptions!$G$231+12)=AM$4,0,IF(AL322=1,PMT(Assumptions!$G$229,Assumptions!$G$231,$C324),AL335))),0)</f>
        <v>0</v>
      </c>
      <c r="AN335" s="39">
        <f>+IFERROR(-ABS(IF(EDATE(_xlfn.XLOOKUP(1,$H322:$BE322,$H$4:$BE$4),12*Assumptions!$G$231+12)=AN$4,0,IF(AM322=1,PMT(Assumptions!$G$229,Assumptions!$G$231,$C324),AM335))),0)</f>
        <v>0</v>
      </c>
      <c r="AO335" s="39">
        <f>+IFERROR(-ABS(IF(EDATE(_xlfn.XLOOKUP(1,$H322:$BE322,$H$4:$BE$4),12*Assumptions!$G$231+12)=AO$4,0,IF(AN322=1,PMT(Assumptions!$G$229,Assumptions!$G$231,$C324),AN335))),0)</f>
        <v>0</v>
      </c>
      <c r="AP335" s="39">
        <f>+IFERROR(-ABS(IF(EDATE(_xlfn.XLOOKUP(1,$H322:$BE322,$H$4:$BE$4),12*Assumptions!$G$231+12)=AP$4,0,IF(AO322=1,PMT(Assumptions!$G$229,Assumptions!$G$231,$C324),AO335))),0)</f>
        <v>0</v>
      </c>
      <c r="AQ335" s="39">
        <f>+IFERROR(-ABS(IF(EDATE(_xlfn.XLOOKUP(1,$H322:$BE322,$H$4:$BE$4),12*Assumptions!$G$231+12)=AQ$4,0,IF(AP322=1,PMT(Assumptions!$G$229,Assumptions!$G$231,$C324),AP335))),0)</f>
        <v>0</v>
      </c>
      <c r="AR335" s="39">
        <f>+IFERROR(-ABS(IF(EDATE(_xlfn.XLOOKUP(1,$H322:$BE322,$H$4:$BE$4),12*Assumptions!$G$231+12)=AR$4,0,IF(AQ322=1,PMT(Assumptions!$G$229,Assumptions!$G$231,$C324),AQ335))),0)</f>
        <v>0</v>
      </c>
      <c r="AS335" s="39">
        <f>+IFERROR(-ABS(IF(EDATE(_xlfn.XLOOKUP(1,$H322:$BE322,$H$4:$BE$4),12*Assumptions!$G$231+12)=AS$4,0,IF(AR322=1,PMT(Assumptions!$G$229,Assumptions!$G$231,$C324),AR335))),0)</f>
        <v>0</v>
      </c>
      <c r="AT335" s="39">
        <f>+IFERROR(-ABS(IF(EDATE(_xlfn.XLOOKUP(1,$H322:$BE322,$H$4:$BE$4),12*Assumptions!$G$231+12)=AT$4,0,IF(AS322=1,PMT(Assumptions!$G$229,Assumptions!$G$231,$C324),AS335))),0)</f>
        <v>0</v>
      </c>
      <c r="AU335" s="39">
        <f>+IFERROR(-ABS(IF(EDATE(_xlfn.XLOOKUP(1,$H322:$BE322,$H$4:$BE$4),12*Assumptions!$G$231+12)=AU$4,0,IF(AT322=1,PMT(Assumptions!$G$229,Assumptions!$G$231,$C324),AT335))),0)</f>
        <v>0</v>
      </c>
      <c r="AV335" s="39">
        <f>+IFERROR(-ABS(IF(EDATE(_xlfn.XLOOKUP(1,$H322:$BE322,$H$4:$BE$4),12*Assumptions!$G$231+12)=AV$4,0,IF(AU322=1,PMT(Assumptions!$G$229,Assumptions!$G$231,$C324),AU335))),0)</f>
        <v>0</v>
      </c>
      <c r="AW335" s="39">
        <f>+IFERROR(-ABS(IF(EDATE(_xlfn.XLOOKUP(1,$H322:$BE322,$H$4:$BE$4),12*Assumptions!$G$231+12)=AW$4,0,IF(AV322=1,PMT(Assumptions!$G$229,Assumptions!$G$231,$C324),AV335))),0)</f>
        <v>0</v>
      </c>
      <c r="AX335" s="39">
        <f>+IFERROR(-ABS(IF(EDATE(_xlfn.XLOOKUP(1,$H322:$BE322,$H$4:$BE$4),12*Assumptions!$G$231+12)=AX$4,0,IF(AW322=1,PMT(Assumptions!$G$229,Assumptions!$G$231,$C324),AW335))),0)</f>
        <v>0</v>
      </c>
      <c r="AY335" s="39">
        <f>+IFERROR(-ABS(IF(EDATE(_xlfn.XLOOKUP(1,$H322:$BE322,$H$4:$BE$4),12*Assumptions!$G$231+12)=AY$4,0,IF(AX322=1,PMT(Assumptions!$G$229,Assumptions!$G$231,$C324),AX335))),0)</f>
        <v>0</v>
      </c>
      <c r="AZ335" s="39">
        <f>+IFERROR(-ABS(IF(EDATE(_xlfn.XLOOKUP(1,$H322:$BE322,$H$4:$BE$4),12*Assumptions!$G$231+12)=AZ$4,0,IF(AY322=1,PMT(Assumptions!$G$229,Assumptions!$G$231,$C324),AY335))),0)</f>
        <v>0</v>
      </c>
      <c r="BA335" s="39">
        <f>+IFERROR(-ABS(IF(EDATE(_xlfn.XLOOKUP(1,$H322:$BE322,$H$4:$BE$4),12*Assumptions!$G$231+12)=BA$4,0,IF(AZ322=1,PMT(Assumptions!$G$229,Assumptions!$G$231,$C324),AZ335))),0)</f>
        <v>0</v>
      </c>
      <c r="BB335" s="39">
        <f>+IFERROR(-ABS(IF(EDATE(_xlfn.XLOOKUP(1,$H322:$BE322,$H$4:$BE$4),12*Assumptions!$G$231+12)=BB$4,0,IF(BA322=1,PMT(Assumptions!$G$229,Assumptions!$G$231,$C324),BA335))),0)</f>
        <v>0</v>
      </c>
      <c r="BC335" s="39">
        <f>+IFERROR(-ABS(IF(EDATE(_xlfn.XLOOKUP(1,$H322:$BE322,$H$4:$BE$4),12*Assumptions!$G$231+12)=BC$4,0,IF(BB322=1,PMT(Assumptions!$G$229,Assumptions!$G$231,$C324),BB335))),0)</f>
        <v>0</v>
      </c>
      <c r="BD335" s="39">
        <f>+IFERROR(-ABS(IF(EDATE(_xlfn.XLOOKUP(1,$H322:$BE322,$H$4:$BE$4),12*Assumptions!$G$231+12)=BD$4,0,IF(BC322=1,PMT(Assumptions!$G$229,Assumptions!$G$231,$C324),BC335))),0)</f>
        <v>0</v>
      </c>
      <c r="BE335" s="39">
        <f>+IFERROR(-ABS(IF(EDATE(_xlfn.XLOOKUP(1,$H322:$BE322,$H$4:$BE$4),12*Assumptions!$G$231+12)=BE$4,0,IF(BD322=1,PMT(Assumptions!$G$229,Assumptions!$G$231,$C324),BD335))),0)</f>
        <v>0</v>
      </c>
      <c r="BF335" s="39">
        <f>+IFERROR(-ABS(IF(EDATE(_xlfn.XLOOKUP(1,$H322:$BE322,$H$4:$BE$4),12*Assumptions!$G$231+12)=BF$4,0,IF(BE322=1,PMT(Assumptions!$G$229,Assumptions!$G$231,$C324),BE335))),0)</f>
        <v>0</v>
      </c>
      <c r="BG335" s="39">
        <f>+IFERROR(-ABS(IF(EDATE(_xlfn.XLOOKUP(1,$H322:$BE322,$H$4:$BE$4),12*Assumptions!$G$231+12)=BG$4,0,IF(BF322=1,PMT(Assumptions!$G$229,Assumptions!$G$231,$C324),BF335))),0)</f>
        <v>0</v>
      </c>
      <c r="BH335" s="39">
        <f>+IFERROR(-ABS(IF(EDATE(_xlfn.XLOOKUP(1,$H322:$BE322,$H$4:$BE$4),12*Assumptions!$G$231+12)=BH$4,0,IF(BG322=1,PMT(Assumptions!$G$229,Assumptions!$G$231,$C324),BG335))),0)</f>
        <v>0</v>
      </c>
      <c r="BI335" s="39">
        <f>+IFERROR(-ABS(IF(EDATE(_xlfn.XLOOKUP(1,$H322:$BE322,$H$4:$BE$4),12*Assumptions!$G$231+12)=BI$4,0,IF(BH322=1,PMT(Assumptions!$G$229,Assumptions!$G$231,$C324),BH335))),0)</f>
        <v>0</v>
      </c>
      <c r="BJ335" s="39">
        <f>+IFERROR(-ABS(IF(EDATE(_xlfn.XLOOKUP(1,$H322:$BE322,$H$4:$BE$4),12*Assumptions!$G$231+12)=BJ$4,0,IF(BI322=1,PMT(Assumptions!$G$229,Assumptions!$G$231,$C324),BI335))),0)</f>
        <v>0</v>
      </c>
      <c r="BK335" s="39">
        <f>+IFERROR(-ABS(IF(EDATE(_xlfn.XLOOKUP(1,$H322:$BE322,$H$4:$BE$4),12*Assumptions!$G$231+12)=BK$4,0,IF(BJ322=1,PMT(Assumptions!$G$229,Assumptions!$G$231,$C324),BJ335))),0)</f>
        <v>0</v>
      </c>
      <c r="BL335" s="39">
        <f>+IFERROR(-ABS(IF(EDATE(_xlfn.XLOOKUP(1,$H322:$BE322,$H$4:$BE$4),12*Assumptions!$G$231+12)=BL$4,0,IF(BK322=1,PMT(Assumptions!$G$229,Assumptions!$G$231,$C324),BK335))),0)</f>
        <v>0</v>
      </c>
      <c r="BM335" s="39">
        <f>+IFERROR(-ABS(IF(EDATE(_xlfn.XLOOKUP(1,$H322:$BE322,$H$4:$BE$4),12*Assumptions!$G$231+12)=BM$4,0,IF(BL322=1,PMT(Assumptions!$G$229,Assumptions!$G$231,$C324),BL335))),0)</f>
        <v>0</v>
      </c>
      <c r="BN335" s="39">
        <f>+IFERROR(-ABS(IF(EDATE(_xlfn.XLOOKUP(1,$H322:$BE322,$H$4:$BE$4),12*Assumptions!$G$231+12)=BN$4,0,IF(BM322=1,PMT(Assumptions!$G$229,Assumptions!$G$231,$C324),BM335))),0)</f>
        <v>0</v>
      </c>
      <c r="BO335" s="39">
        <f>+IFERROR(-ABS(IF(EDATE(_xlfn.XLOOKUP(1,$H322:$BE322,$H$4:$BE$4),12*Assumptions!$G$231+12)=BO$4,0,IF(BN322=1,PMT(Assumptions!$G$229,Assumptions!$G$231,$C324),BN335))),0)</f>
        <v>0</v>
      </c>
      <c r="BP335" s="39">
        <f>+IFERROR(-ABS(IF(EDATE(_xlfn.XLOOKUP(1,$H322:$BE322,$H$4:$BE$4),12*Assumptions!$G$231+12)=BP$4,0,IF(BO322=1,PMT(Assumptions!$G$229,Assumptions!$G$231,$C324),BO335))),0)</f>
        <v>0</v>
      </c>
      <c r="BQ335" s="39">
        <f>+IFERROR(-ABS(IF(EDATE(_xlfn.XLOOKUP(1,$H322:$BE322,$H$4:$BE$4),12*Assumptions!$G$231+12)=BQ$4,0,IF(BP322=1,PMT(Assumptions!$G$229,Assumptions!$G$231,$C324),BP335))),0)</f>
        <v>0</v>
      </c>
      <c r="BR335" s="39">
        <f>+IFERROR(-ABS(IF(EDATE(_xlfn.XLOOKUP(1,$H322:$BE322,$H$4:$BE$4),12*Assumptions!$G$231+12)=BR$4,0,IF(BQ322=1,PMT(Assumptions!$G$229,Assumptions!$G$231,$C324),BQ335))),0)</f>
        <v>0</v>
      </c>
      <c r="BS335" s="39">
        <f>+IFERROR(-ABS(IF(EDATE(_xlfn.XLOOKUP(1,$H322:$BE322,$H$4:$BE$4),12*Assumptions!$G$231+12)=BS$4,0,IF(BR322=1,PMT(Assumptions!$G$229,Assumptions!$G$231,$C324),BR335))),0)</f>
        <v>0</v>
      </c>
      <c r="BT335" s="39">
        <f>+IFERROR(-ABS(IF(EDATE(_xlfn.XLOOKUP(1,$H322:$BE322,$H$4:$BE$4),12*Assumptions!$G$231+12)=BT$4,0,IF(BS322=1,PMT(Assumptions!$G$229,Assumptions!$G$231,$C324),BS335))),0)</f>
        <v>0</v>
      </c>
      <c r="BU335" s="39">
        <f>+IFERROR(-ABS(IF(EDATE(_xlfn.XLOOKUP(1,$H322:$BE322,$H$4:$BE$4),12*Assumptions!$G$231+12)=BU$4,0,IF(BT322=1,PMT(Assumptions!$G$229,Assumptions!$G$231,$C324),BT335))),0)</f>
        <v>0</v>
      </c>
      <c r="BV335" s="39">
        <f>+IFERROR(-ABS(IF(EDATE(_xlfn.XLOOKUP(1,$H322:$BE322,$H$4:$BE$4),12*Assumptions!$G$231+12)=BV$4,0,IF(BU322=1,PMT(Assumptions!$G$229,Assumptions!$G$231,$C324),BU335))),0)</f>
        <v>0</v>
      </c>
      <c r="BW335" s="39">
        <f>+IFERROR(-ABS(IF(EDATE(_xlfn.XLOOKUP(1,$H322:$BE322,$H$4:$BE$4),12*Assumptions!$G$231+12)=BW$4,0,IF(BV322=1,PMT(Assumptions!$G$229,Assumptions!$G$231,$C324),BV335))),0)</f>
        <v>0</v>
      </c>
      <c r="BX335" s="39">
        <f>+IFERROR(-ABS(IF(EDATE(_xlfn.XLOOKUP(1,$H322:$BE322,$H$4:$BE$4),12*Assumptions!$G$231+12)=BX$4,0,IF(BW322=1,PMT(Assumptions!$G$229,Assumptions!$G$231,$C324),BW335))),0)</f>
        <v>0</v>
      </c>
      <c r="BY335" s="39">
        <f>+IFERROR(-ABS(IF(EDATE(_xlfn.XLOOKUP(1,$H322:$BE322,$H$4:$BE$4),12*Assumptions!$G$231+12)=BY$4,0,IF(BX322=1,PMT(Assumptions!$G$229,Assumptions!$G$231,$C324),BX335))),0)</f>
        <v>0</v>
      </c>
    </row>
    <row r="336" spans="3:77" outlineLevel="1">
      <c r="E336" s="24" t="s">
        <v>518</v>
      </c>
      <c r="F336" s="80" t="str">
        <f>+Assumptions!$G$8</f>
        <v>USD</v>
      </c>
      <c r="G336" s="24"/>
      <c r="H336" s="39">
        <f>+IFERROR(-ABS(IF(EDATE(_xlfn.XLOOKUP(1,$H323:$BE323,$H$4:$BE$4),12*Assumptions!$G$231+12)=H$4,0,IF(G323=1,PMT(Assumptions!$G$229,Assumptions!$G$231,$C325),G336))),0)</f>
        <v>0</v>
      </c>
      <c r="I336" s="39">
        <f>+IFERROR(-ABS(IF(EDATE(_xlfn.XLOOKUP(1,$H323:$BE323,$H$4:$BE$4),12*Assumptions!$G$231+12)=I$4,0,IF(H323=1,PMT(Assumptions!$G$229,Assumptions!$G$231,$C325),H336))),0)</f>
        <v>0</v>
      </c>
      <c r="J336" s="39">
        <f>+IFERROR(-ABS(IF(EDATE(_xlfn.XLOOKUP(1,$H323:$BE323,$H$4:$BE$4),12*Assumptions!$G$231+12)=J$4,0,IF(I323=1,PMT(Assumptions!$G$229,Assumptions!$G$231,$C325),I336))),0)</f>
        <v>0</v>
      </c>
      <c r="K336" s="39">
        <f>+IFERROR(-ABS(IF(EDATE(_xlfn.XLOOKUP(1,$H323:$BE323,$H$4:$BE$4),12*Assumptions!$G$231+12)=K$4,0,IF(J323=1,PMT(Assumptions!$G$229,Assumptions!$G$231,$C325),J336))),0)</f>
        <v>0</v>
      </c>
      <c r="L336" s="39">
        <f>+IFERROR(-ABS(IF(EDATE(_xlfn.XLOOKUP(1,$H323:$BE323,$H$4:$BE$4),12*Assumptions!$G$231+12)=L$4,0,IF(K323=1,PMT(Assumptions!$G$229,Assumptions!$G$231,$C325),K336))),0)</f>
        <v>0</v>
      </c>
      <c r="M336" s="39">
        <f>+IFERROR(-ABS(IF(EDATE(_xlfn.XLOOKUP(1,$H323:$BE323,$H$4:$BE$4),12*Assumptions!$G$231+12)=M$4,0,IF(L323=1,PMT(Assumptions!$G$229,Assumptions!$G$231,$C325),L336))),0)</f>
        <v>0</v>
      </c>
      <c r="N336" s="39">
        <f>+IFERROR(-ABS(IF(EDATE(_xlfn.XLOOKUP(1,$H323:$BE323,$H$4:$BE$4),12*Assumptions!$G$231+12)=N$4,0,IF(M323=1,PMT(Assumptions!$G$229,Assumptions!$G$231,$C325),M336))),0)</f>
        <v>0</v>
      </c>
      <c r="O336" s="39">
        <f>+IFERROR(-ABS(IF(EDATE(_xlfn.XLOOKUP(1,$H323:$BE323,$H$4:$BE$4),12*Assumptions!$G$231+12)=O$4,0,IF(N323=1,PMT(Assumptions!$G$229,Assumptions!$G$231,$C325),N336))),0)</f>
        <v>0</v>
      </c>
      <c r="P336" s="39">
        <f>+IFERROR(-ABS(IF(EDATE(_xlfn.XLOOKUP(1,$H323:$BE323,$H$4:$BE$4),12*Assumptions!$G$231+12)=P$4,0,IF(O323=1,PMT(Assumptions!$G$229,Assumptions!$G$231,$C325),O336))),0)</f>
        <v>0</v>
      </c>
      <c r="Q336" s="39">
        <f>+IFERROR(-ABS(IF(EDATE(_xlfn.XLOOKUP(1,$H323:$BE323,$H$4:$BE$4),12*Assumptions!$G$231+12)=Q$4,0,IF(P323=1,PMT(Assumptions!$G$229,Assumptions!$G$231,$C325),P336))),0)</f>
        <v>0</v>
      </c>
      <c r="R336" s="39">
        <f>+IFERROR(-ABS(IF(EDATE(_xlfn.XLOOKUP(1,$H323:$BE323,$H$4:$BE$4),12*Assumptions!$G$231+12)=R$4,0,IF(Q323=1,PMT(Assumptions!$G$229,Assumptions!$G$231,$C325),Q336))),0)</f>
        <v>0</v>
      </c>
      <c r="S336" s="39">
        <f>+IFERROR(-ABS(IF(EDATE(_xlfn.XLOOKUP(1,$H323:$BE323,$H$4:$BE$4),12*Assumptions!$G$231+12)=S$4,0,IF(R323=1,PMT(Assumptions!$G$229,Assumptions!$G$231,$C325),R336))),0)</f>
        <v>0</v>
      </c>
      <c r="T336" s="39">
        <f>+IFERROR(-ABS(IF(EDATE(_xlfn.XLOOKUP(1,$H323:$BE323,$H$4:$BE$4),12*Assumptions!$G$231+12)=T$4,0,IF(S323=1,PMT(Assumptions!$G$229,Assumptions!$G$231,$C325),S336))),0)</f>
        <v>0</v>
      </c>
      <c r="U336" s="39">
        <f>+IFERROR(-ABS(IF(EDATE(_xlfn.XLOOKUP(1,$H323:$BE323,$H$4:$BE$4),12*Assumptions!$G$231+12)=U$4,0,IF(T323=1,PMT(Assumptions!$G$229,Assumptions!$G$231,$C325),T336))),0)</f>
        <v>0</v>
      </c>
      <c r="V336" s="39">
        <f>+IFERROR(-ABS(IF(EDATE(_xlfn.XLOOKUP(1,$H323:$BE323,$H$4:$BE$4),12*Assumptions!$G$231+12)=V$4,0,IF(U323=1,PMT(Assumptions!$G$229,Assumptions!$G$231,$C325),U336))),0)</f>
        <v>0</v>
      </c>
      <c r="W336" s="39">
        <f>+IFERROR(-ABS(IF(EDATE(_xlfn.XLOOKUP(1,$H323:$BE323,$H$4:$BE$4),12*Assumptions!$G$231+12)=W$4,0,IF(V323=1,PMT(Assumptions!$G$229,Assumptions!$G$231,$C325),V336))),0)</f>
        <v>0</v>
      </c>
      <c r="X336" s="39">
        <f>+IFERROR(-ABS(IF(EDATE(_xlfn.XLOOKUP(1,$H323:$BE323,$H$4:$BE$4),12*Assumptions!$G$231+12)=X$4,0,IF(W323=1,PMT(Assumptions!$G$229,Assumptions!$G$231,$C325),W336))),0)</f>
        <v>0</v>
      </c>
      <c r="Y336" s="39">
        <f>+IFERROR(-ABS(IF(EDATE(_xlfn.XLOOKUP(1,$H323:$BE323,$H$4:$BE$4),12*Assumptions!$G$231+12)=Y$4,0,IF(X323=1,PMT(Assumptions!$G$229,Assumptions!$G$231,$C325),X336))),0)</f>
        <v>0</v>
      </c>
      <c r="Z336" s="39">
        <f>+IFERROR(-ABS(IF(EDATE(_xlfn.XLOOKUP(1,$H323:$BE323,$H$4:$BE$4),12*Assumptions!$G$231+12)=Z$4,0,IF(Y323=1,PMT(Assumptions!$G$229,Assumptions!$G$231,$C325),Y336))),0)</f>
        <v>0</v>
      </c>
      <c r="AA336" s="39">
        <f>+IFERROR(-ABS(IF(EDATE(_xlfn.XLOOKUP(1,$H323:$BE323,$H$4:$BE$4),12*Assumptions!$G$231+12)=AA$4,0,IF(Z323=1,PMT(Assumptions!$G$229,Assumptions!$G$231,$C325),Z336))),0)</f>
        <v>0</v>
      </c>
      <c r="AB336" s="39">
        <f>+IFERROR(-ABS(IF(EDATE(_xlfn.XLOOKUP(1,$H323:$BE323,$H$4:$BE$4),12*Assumptions!$G$231+12)=AB$4,0,IF(AA323=1,PMT(Assumptions!$G$229,Assumptions!$G$231,$C325),AA336))),0)</f>
        <v>0</v>
      </c>
      <c r="AC336" s="39">
        <f>+IFERROR(-ABS(IF(EDATE(_xlfn.XLOOKUP(1,$H323:$BE323,$H$4:$BE$4),12*Assumptions!$G$231+12)=AC$4,0,IF(AB323=1,PMT(Assumptions!$G$229,Assumptions!$G$231,$C325),AB336))),0)</f>
        <v>0</v>
      </c>
      <c r="AD336" s="39">
        <f>+IFERROR(-ABS(IF(EDATE(_xlfn.XLOOKUP(1,$H323:$BE323,$H$4:$BE$4),12*Assumptions!$G$231+12)=AD$4,0,IF(AC323=1,PMT(Assumptions!$G$229,Assumptions!$G$231,$C325),AC336))),0)</f>
        <v>0</v>
      </c>
      <c r="AE336" s="39">
        <f>+IFERROR(-ABS(IF(EDATE(_xlfn.XLOOKUP(1,$H323:$BE323,$H$4:$BE$4),12*Assumptions!$G$231+12)=AE$4,0,IF(AD323=1,PMT(Assumptions!$G$229,Assumptions!$G$231,$C325),AD336))),0)</f>
        <v>0</v>
      </c>
      <c r="AF336" s="39">
        <f>+IFERROR(-ABS(IF(EDATE(_xlfn.XLOOKUP(1,$H323:$BE323,$H$4:$BE$4),12*Assumptions!$G$231+12)=AF$4,0,IF(AE323=1,PMT(Assumptions!$G$229,Assumptions!$G$231,$C325),AE336))),0)</f>
        <v>0</v>
      </c>
      <c r="AG336" s="39">
        <f>+IFERROR(-ABS(IF(EDATE(_xlfn.XLOOKUP(1,$H323:$BE323,$H$4:$BE$4),12*Assumptions!$G$231+12)=AG$4,0,IF(AF323=1,PMT(Assumptions!$G$229,Assumptions!$G$231,$C325),AF336))),0)</f>
        <v>0</v>
      </c>
      <c r="AH336" s="39">
        <f>+IFERROR(-ABS(IF(EDATE(_xlfn.XLOOKUP(1,$H323:$BE323,$H$4:$BE$4),12*Assumptions!$G$231+12)=AH$4,0,IF(AG323=1,PMT(Assumptions!$G$229,Assumptions!$G$231,$C325),AG336))),0)</f>
        <v>0</v>
      </c>
      <c r="AI336" s="39">
        <f>+IFERROR(-ABS(IF(EDATE(_xlfn.XLOOKUP(1,$H323:$BE323,$H$4:$BE$4),12*Assumptions!$G$231+12)=AI$4,0,IF(AH323=1,PMT(Assumptions!$G$229,Assumptions!$G$231,$C325),AH336))),0)</f>
        <v>0</v>
      </c>
      <c r="AJ336" s="39">
        <f>+IFERROR(-ABS(IF(EDATE(_xlfn.XLOOKUP(1,$H323:$BE323,$H$4:$BE$4),12*Assumptions!$G$231+12)=AJ$4,0,IF(AI323=1,PMT(Assumptions!$G$229,Assumptions!$G$231,$C325),AI336))),0)</f>
        <v>0</v>
      </c>
      <c r="AK336" s="39">
        <f>+IFERROR(-ABS(IF(EDATE(_xlfn.XLOOKUP(1,$H323:$BE323,$H$4:$BE$4),12*Assumptions!$G$231+12)=AK$4,0,IF(AJ323=1,PMT(Assumptions!$G$229,Assumptions!$G$231,$C325),AJ336))),0)</f>
        <v>0</v>
      </c>
      <c r="AL336" s="39">
        <f>+IFERROR(-ABS(IF(EDATE(_xlfn.XLOOKUP(1,$H323:$BE323,$H$4:$BE$4),12*Assumptions!$G$231+12)=AL$4,0,IF(AK323=1,PMT(Assumptions!$G$229,Assumptions!$G$231,$C325),AK336))),0)</f>
        <v>0</v>
      </c>
      <c r="AM336" s="39">
        <f>+IFERROR(-ABS(IF(EDATE(_xlfn.XLOOKUP(1,$H323:$BE323,$H$4:$BE$4),12*Assumptions!$G$231+12)=AM$4,0,IF(AL323=1,PMT(Assumptions!$G$229,Assumptions!$G$231,$C325),AL336))),0)</f>
        <v>0</v>
      </c>
      <c r="AN336" s="39">
        <f>+IFERROR(-ABS(IF(EDATE(_xlfn.XLOOKUP(1,$H323:$BE323,$H$4:$BE$4),12*Assumptions!$G$231+12)=AN$4,0,IF(AM323=1,PMT(Assumptions!$G$229,Assumptions!$G$231,$C325),AM336))),0)</f>
        <v>0</v>
      </c>
      <c r="AO336" s="39">
        <f>+IFERROR(-ABS(IF(EDATE(_xlfn.XLOOKUP(1,$H323:$BE323,$H$4:$BE$4),12*Assumptions!$G$231+12)=AO$4,0,IF(AN323=1,PMT(Assumptions!$G$229,Assumptions!$G$231,$C325),AN336))),0)</f>
        <v>0</v>
      </c>
      <c r="AP336" s="39">
        <f>+IFERROR(-ABS(IF(EDATE(_xlfn.XLOOKUP(1,$H323:$BE323,$H$4:$BE$4),12*Assumptions!$G$231+12)=AP$4,0,IF(AO323=1,PMT(Assumptions!$G$229,Assumptions!$G$231,$C325),AO336))),0)</f>
        <v>0</v>
      </c>
      <c r="AQ336" s="39">
        <f>+IFERROR(-ABS(IF(EDATE(_xlfn.XLOOKUP(1,$H323:$BE323,$H$4:$BE$4),12*Assumptions!$G$231+12)=AQ$4,0,IF(AP323=1,PMT(Assumptions!$G$229,Assumptions!$G$231,$C325),AP336))),0)</f>
        <v>0</v>
      </c>
      <c r="AR336" s="39">
        <f>+IFERROR(-ABS(IF(EDATE(_xlfn.XLOOKUP(1,$H323:$BE323,$H$4:$BE$4),12*Assumptions!$G$231+12)=AR$4,0,IF(AQ323=1,PMT(Assumptions!$G$229,Assumptions!$G$231,$C325),AQ336))),0)</f>
        <v>0</v>
      </c>
      <c r="AS336" s="39">
        <f>+IFERROR(-ABS(IF(EDATE(_xlfn.XLOOKUP(1,$H323:$BE323,$H$4:$BE$4),12*Assumptions!$G$231+12)=AS$4,0,IF(AR323=1,PMT(Assumptions!$G$229,Assumptions!$G$231,$C325),AR336))),0)</f>
        <v>0</v>
      </c>
      <c r="AT336" s="39">
        <f>+IFERROR(-ABS(IF(EDATE(_xlfn.XLOOKUP(1,$H323:$BE323,$H$4:$BE$4),12*Assumptions!$G$231+12)=AT$4,0,IF(AS323=1,PMT(Assumptions!$G$229,Assumptions!$G$231,$C325),AS336))),0)</f>
        <v>0</v>
      </c>
      <c r="AU336" s="39">
        <f>+IFERROR(-ABS(IF(EDATE(_xlfn.XLOOKUP(1,$H323:$BE323,$H$4:$BE$4),12*Assumptions!$G$231+12)=AU$4,0,IF(AT323=1,PMT(Assumptions!$G$229,Assumptions!$G$231,$C325),AT336))),0)</f>
        <v>0</v>
      </c>
      <c r="AV336" s="39">
        <f>+IFERROR(-ABS(IF(EDATE(_xlfn.XLOOKUP(1,$H323:$BE323,$H$4:$BE$4),12*Assumptions!$G$231+12)=AV$4,0,IF(AU323=1,PMT(Assumptions!$G$229,Assumptions!$G$231,$C325),AU336))),0)</f>
        <v>0</v>
      </c>
      <c r="AW336" s="39">
        <f>+IFERROR(-ABS(IF(EDATE(_xlfn.XLOOKUP(1,$H323:$BE323,$H$4:$BE$4),12*Assumptions!$G$231+12)=AW$4,0,IF(AV323=1,PMT(Assumptions!$G$229,Assumptions!$G$231,$C325),AV336))),0)</f>
        <v>0</v>
      </c>
      <c r="AX336" s="39">
        <f>+IFERROR(-ABS(IF(EDATE(_xlfn.XLOOKUP(1,$H323:$BE323,$H$4:$BE$4),12*Assumptions!$G$231+12)=AX$4,0,IF(AW323=1,PMT(Assumptions!$G$229,Assumptions!$G$231,$C325),AW336))),0)</f>
        <v>0</v>
      </c>
      <c r="AY336" s="39">
        <f>+IFERROR(-ABS(IF(EDATE(_xlfn.XLOOKUP(1,$H323:$BE323,$H$4:$BE$4),12*Assumptions!$G$231+12)=AY$4,0,IF(AX323=1,PMT(Assumptions!$G$229,Assumptions!$G$231,$C325),AX336))),0)</f>
        <v>0</v>
      </c>
      <c r="AZ336" s="39">
        <f>+IFERROR(-ABS(IF(EDATE(_xlfn.XLOOKUP(1,$H323:$BE323,$H$4:$BE$4),12*Assumptions!$G$231+12)=AZ$4,0,IF(AY323=1,PMT(Assumptions!$G$229,Assumptions!$G$231,$C325),AY336))),0)</f>
        <v>0</v>
      </c>
      <c r="BA336" s="39">
        <f>+IFERROR(-ABS(IF(EDATE(_xlfn.XLOOKUP(1,$H323:$BE323,$H$4:$BE$4),12*Assumptions!$G$231+12)=BA$4,0,IF(AZ323=1,PMT(Assumptions!$G$229,Assumptions!$G$231,$C325),AZ336))),0)</f>
        <v>0</v>
      </c>
      <c r="BB336" s="39">
        <f>+IFERROR(-ABS(IF(EDATE(_xlfn.XLOOKUP(1,$H323:$BE323,$H$4:$BE$4),12*Assumptions!$G$231+12)=BB$4,0,IF(BA323=1,PMT(Assumptions!$G$229,Assumptions!$G$231,$C325),BA336))),0)</f>
        <v>0</v>
      </c>
      <c r="BC336" s="39">
        <f>+IFERROR(-ABS(IF(EDATE(_xlfn.XLOOKUP(1,$H323:$BE323,$H$4:$BE$4),12*Assumptions!$G$231+12)=BC$4,0,IF(BB323=1,PMT(Assumptions!$G$229,Assumptions!$G$231,$C325),BB336))),0)</f>
        <v>0</v>
      </c>
      <c r="BD336" s="39">
        <f>+IFERROR(-ABS(IF(EDATE(_xlfn.XLOOKUP(1,$H323:$BE323,$H$4:$BE$4),12*Assumptions!$G$231+12)=BD$4,0,IF(BC323=1,PMT(Assumptions!$G$229,Assumptions!$G$231,$C325),BC336))),0)</f>
        <v>0</v>
      </c>
      <c r="BE336" s="39">
        <f>+IFERROR(-ABS(IF(EDATE(_xlfn.XLOOKUP(1,$H323:$BE323,$H$4:$BE$4),12*Assumptions!$G$231+12)=BE$4,0,IF(BD323=1,PMT(Assumptions!$G$229,Assumptions!$G$231,$C325),BD336))),0)</f>
        <v>0</v>
      </c>
      <c r="BF336" s="39">
        <f>+IFERROR(-ABS(IF(EDATE(_xlfn.XLOOKUP(1,$H323:$BE323,$H$4:$BE$4),12*Assumptions!$G$231+12)=BF$4,0,IF(BE323=1,PMT(Assumptions!$G$229,Assumptions!$G$231,$C325),BE336))),0)</f>
        <v>0</v>
      </c>
      <c r="BG336" s="39">
        <f>+IFERROR(-ABS(IF(EDATE(_xlfn.XLOOKUP(1,$H323:$BE323,$H$4:$BE$4),12*Assumptions!$G$231+12)=BG$4,0,IF(BF323=1,PMT(Assumptions!$G$229,Assumptions!$G$231,$C325),BF336))),0)</f>
        <v>0</v>
      </c>
      <c r="BH336" s="39">
        <f>+IFERROR(-ABS(IF(EDATE(_xlfn.XLOOKUP(1,$H323:$BE323,$H$4:$BE$4),12*Assumptions!$G$231+12)=BH$4,0,IF(BG323=1,PMT(Assumptions!$G$229,Assumptions!$G$231,$C325),BG336))),0)</f>
        <v>0</v>
      </c>
      <c r="BI336" s="39">
        <f>+IFERROR(-ABS(IF(EDATE(_xlfn.XLOOKUP(1,$H323:$BE323,$H$4:$BE$4),12*Assumptions!$G$231+12)=BI$4,0,IF(BH323=1,PMT(Assumptions!$G$229,Assumptions!$G$231,$C325),BH336))),0)</f>
        <v>0</v>
      </c>
      <c r="BJ336" s="39">
        <f>+IFERROR(-ABS(IF(EDATE(_xlfn.XLOOKUP(1,$H323:$BE323,$H$4:$BE$4),12*Assumptions!$G$231+12)=BJ$4,0,IF(BI323=1,PMT(Assumptions!$G$229,Assumptions!$G$231,$C325),BI336))),0)</f>
        <v>0</v>
      </c>
      <c r="BK336" s="39">
        <f>+IFERROR(-ABS(IF(EDATE(_xlfn.XLOOKUP(1,$H323:$BE323,$H$4:$BE$4),12*Assumptions!$G$231+12)=BK$4,0,IF(BJ323=1,PMT(Assumptions!$G$229,Assumptions!$G$231,$C325),BJ336))),0)</f>
        <v>0</v>
      </c>
      <c r="BL336" s="39">
        <f>+IFERROR(-ABS(IF(EDATE(_xlfn.XLOOKUP(1,$H323:$BE323,$H$4:$BE$4),12*Assumptions!$G$231+12)=BL$4,0,IF(BK323=1,PMT(Assumptions!$G$229,Assumptions!$G$231,$C325),BK336))),0)</f>
        <v>0</v>
      </c>
      <c r="BM336" s="39">
        <f>+IFERROR(-ABS(IF(EDATE(_xlfn.XLOOKUP(1,$H323:$BE323,$H$4:$BE$4),12*Assumptions!$G$231+12)=BM$4,0,IF(BL323=1,PMT(Assumptions!$G$229,Assumptions!$G$231,$C325),BL336))),0)</f>
        <v>0</v>
      </c>
      <c r="BN336" s="39">
        <f>+IFERROR(-ABS(IF(EDATE(_xlfn.XLOOKUP(1,$H323:$BE323,$H$4:$BE$4),12*Assumptions!$G$231+12)=BN$4,0,IF(BM323=1,PMT(Assumptions!$G$229,Assumptions!$G$231,$C325),BM336))),0)</f>
        <v>0</v>
      </c>
      <c r="BO336" s="39">
        <f>+IFERROR(-ABS(IF(EDATE(_xlfn.XLOOKUP(1,$H323:$BE323,$H$4:$BE$4),12*Assumptions!$G$231+12)=BO$4,0,IF(BN323=1,PMT(Assumptions!$G$229,Assumptions!$G$231,$C325),BN336))),0)</f>
        <v>0</v>
      </c>
      <c r="BP336" s="39">
        <f>+IFERROR(-ABS(IF(EDATE(_xlfn.XLOOKUP(1,$H323:$BE323,$H$4:$BE$4),12*Assumptions!$G$231+12)=BP$4,0,IF(BO323=1,PMT(Assumptions!$G$229,Assumptions!$G$231,$C325),BO336))),0)</f>
        <v>0</v>
      </c>
      <c r="BQ336" s="39">
        <f>+IFERROR(-ABS(IF(EDATE(_xlfn.XLOOKUP(1,$H323:$BE323,$H$4:$BE$4),12*Assumptions!$G$231+12)=BQ$4,0,IF(BP323=1,PMT(Assumptions!$G$229,Assumptions!$G$231,$C325),BP336))),0)</f>
        <v>0</v>
      </c>
      <c r="BR336" s="39">
        <f>+IFERROR(-ABS(IF(EDATE(_xlfn.XLOOKUP(1,$H323:$BE323,$H$4:$BE$4),12*Assumptions!$G$231+12)=BR$4,0,IF(BQ323=1,PMT(Assumptions!$G$229,Assumptions!$G$231,$C325),BQ336))),0)</f>
        <v>0</v>
      </c>
      <c r="BS336" s="39">
        <f>+IFERROR(-ABS(IF(EDATE(_xlfn.XLOOKUP(1,$H323:$BE323,$H$4:$BE$4),12*Assumptions!$G$231+12)=BS$4,0,IF(BR323=1,PMT(Assumptions!$G$229,Assumptions!$G$231,$C325),BR336))),0)</f>
        <v>0</v>
      </c>
      <c r="BT336" s="39">
        <f>+IFERROR(-ABS(IF(EDATE(_xlfn.XLOOKUP(1,$H323:$BE323,$H$4:$BE$4),12*Assumptions!$G$231+12)=BT$4,0,IF(BS323=1,PMT(Assumptions!$G$229,Assumptions!$G$231,$C325),BS336))),0)</f>
        <v>0</v>
      </c>
      <c r="BU336" s="39">
        <f>+IFERROR(-ABS(IF(EDATE(_xlfn.XLOOKUP(1,$H323:$BE323,$H$4:$BE$4),12*Assumptions!$G$231+12)=BU$4,0,IF(BT323=1,PMT(Assumptions!$G$229,Assumptions!$G$231,$C325),BT336))),0)</f>
        <v>0</v>
      </c>
      <c r="BV336" s="39">
        <f>+IFERROR(-ABS(IF(EDATE(_xlfn.XLOOKUP(1,$H323:$BE323,$H$4:$BE$4),12*Assumptions!$G$231+12)=BV$4,0,IF(BU323=1,PMT(Assumptions!$G$229,Assumptions!$G$231,$C325),BU336))),0)</f>
        <v>0</v>
      </c>
      <c r="BW336" s="39">
        <f>+IFERROR(-ABS(IF(EDATE(_xlfn.XLOOKUP(1,$H323:$BE323,$H$4:$BE$4),12*Assumptions!$G$231+12)=BW$4,0,IF(BV323=1,PMT(Assumptions!$G$229,Assumptions!$G$231,$C325),BV336))),0)</f>
        <v>0</v>
      </c>
      <c r="BX336" s="39">
        <f>+IFERROR(-ABS(IF(EDATE(_xlfn.XLOOKUP(1,$H323:$BE323,$H$4:$BE$4),12*Assumptions!$G$231+12)=BX$4,0,IF(BW323=1,PMT(Assumptions!$G$229,Assumptions!$G$231,$C325),BW336))),0)</f>
        <v>0</v>
      </c>
      <c r="BY336" s="39">
        <f>+IFERROR(-ABS(IF(EDATE(_xlfn.XLOOKUP(1,$H323:$BE323,$H$4:$BE$4),12*Assumptions!$G$231+12)=BY$4,0,IF(BX323=1,PMT(Assumptions!$G$229,Assumptions!$G$231,$C325),BX336))),0)</f>
        <v>0</v>
      </c>
    </row>
    <row r="337" spans="3:77" outlineLevel="1">
      <c r="E337" s="24" t="s">
        <v>519</v>
      </c>
      <c r="F337" s="80" t="str">
        <f>+Assumptions!$G$8</f>
        <v>USD</v>
      </c>
      <c r="G337" s="24"/>
      <c r="H337" s="39">
        <f>+IFERROR(-ABS(IF(EDATE(_xlfn.XLOOKUP(1,$H324:$BE324,$H$4:$BE$4),12*Assumptions!$G$231+12)=H$4,0,IF(G324=1,PMT(Assumptions!$G$229,Assumptions!$G$231,$C326),G337))),0)</f>
        <v>0</v>
      </c>
      <c r="I337" s="39">
        <f>+IFERROR(-ABS(IF(EDATE(_xlfn.XLOOKUP(1,$H324:$BE324,$H$4:$BE$4),12*Assumptions!$G$231+12)=I$4,0,IF(H324=1,PMT(Assumptions!$G$229,Assumptions!$G$231,$C326),H337))),0)</f>
        <v>0</v>
      </c>
      <c r="J337" s="39">
        <f>+IFERROR(-ABS(IF(EDATE(_xlfn.XLOOKUP(1,$H324:$BE324,$H$4:$BE$4),12*Assumptions!$G$231+12)=J$4,0,IF(I324=1,PMT(Assumptions!$G$229,Assumptions!$G$231,$C326),I337))),0)</f>
        <v>0</v>
      </c>
      <c r="K337" s="39">
        <f>+IFERROR(-ABS(IF(EDATE(_xlfn.XLOOKUP(1,$H324:$BE324,$H$4:$BE$4),12*Assumptions!$G$231+12)=K$4,0,IF(J324=1,PMT(Assumptions!$G$229,Assumptions!$G$231,$C326),J337))),0)</f>
        <v>0</v>
      </c>
      <c r="L337" s="39">
        <f>+IFERROR(-ABS(IF(EDATE(_xlfn.XLOOKUP(1,$H324:$BE324,$H$4:$BE$4),12*Assumptions!$G$231+12)=L$4,0,IF(K324=1,PMT(Assumptions!$G$229,Assumptions!$G$231,$C326),K337))),0)</f>
        <v>0</v>
      </c>
      <c r="M337" s="39">
        <f>+IFERROR(-ABS(IF(EDATE(_xlfn.XLOOKUP(1,$H324:$BE324,$H$4:$BE$4),12*Assumptions!$G$231+12)=M$4,0,IF(L324=1,PMT(Assumptions!$G$229,Assumptions!$G$231,$C326),L337))),0)</f>
        <v>0</v>
      </c>
      <c r="N337" s="39">
        <f>+IFERROR(-ABS(IF(EDATE(_xlfn.XLOOKUP(1,$H324:$BE324,$H$4:$BE$4),12*Assumptions!$G$231+12)=N$4,0,IF(M324=1,PMT(Assumptions!$G$229,Assumptions!$G$231,$C326),M337))),0)</f>
        <v>0</v>
      </c>
      <c r="O337" s="39">
        <f>+IFERROR(-ABS(IF(EDATE(_xlfn.XLOOKUP(1,$H324:$BE324,$H$4:$BE$4),12*Assumptions!$G$231+12)=O$4,0,IF(N324=1,PMT(Assumptions!$G$229,Assumptions!$G$231,$C326),N337))),0)</f>
        <v>0</v>
      </c>
      <c r="P337" s="39">
        <f>+IFERROR(-ABS(IF(EDATE(_xlfn.XLOOKUP(1,$H324:$BE324,$H$4:$BE$4),12*Assumptions!$G$231+12)=P$4,0,IF(O324=1,PMT(Assumptions!$G$229,Assumptions!$G$231,$C326),O337))),0)</f>
        <v>0</v>
      </c>
      <c r="Q337" s="39">
        <f>+IFERROR(-ABS(IF(EDATE(_xlfn.XLOOKUP(1,$H324:$BE324,$H$4:$BE$4),12*Assumptions!$G$231+12)=Q$4,0,IF(P324=1,PMT(Assumptions!$G$229,Assumptions!$G$231,$C326),P337))),0)</f>
        <v>0</v>
      </c>
      <c r="R337" s="39">
        <f>+IFERROR(-ABS(IF(EDATE(_xlfn.XLOOKUP(1,$H324:$BE324,$H$4:$BE$4),12*Assumptions!$G$231+12)=R$4,0,IF(Q324=1,PMT(Assumptions!$G$229,Assumptions!$G$231,$C326),Q337))),0)</f>
        <v>0</v>
      </c>
      <c r="S337" s="39">
        <f>+IFERROR(-ABS(IF(EDATE(_xlfn.XLOOKUP(1,$H324:$BE324,$H$4:$BE$4),12*Assumptions!$G$231+12)=S$4,0,IF(R324=1,PMT(Assumptions!$G$229,Assumptions!$G$231,$C326),R337))),0)</f>
        <v>0</v>
      </c>
      <c r="T337" s="39">
        <f>+IFERROR(-ABS(IF(EDATE(_xlfn.XLOOKUP(1,$H324:$BE324,$H$4:$BE$4),12*Assumptions!$G$231+12)=T$4,0,IF(S324=1,PMT(Assumptions!$G$229,Assumptions!$G$231,$C326),S337))),0)</f>
        <v>0</v>
      </c>
      <c r="U337" s="39">
        <f>+IFERROR(-ABS(IF(EDATE(_xlfn.XLOOKUP(1,$H324:$BE324,$H$4:$BE$4),12*Assumptions!$G$231+12)=U$4,0,IF(T324=1,PMT(Assumptions!$G$229,Assumptions!$G$231,$C326),T337))),0)</f>
        <v>0</v>
      </c>
      <c r="V337" s="39">
        <f>+IFERROR(-ABS(IF(EDATE(_xlfn.XLOOKUP(1,$H324:$BE324,$H$4:$BE$4),12*Assumptions!$G$231+12)=V$4,0,IF(U324=1,PMT(Assumptions!$G$229,Assumptions!$G$231,$C326),U337))),0)</f>
        <v>0</v>
      </c>
      <c r="W337" s="39">
        <f>+IFERROR(-ABS(IF(EDATE(_xlfn.XLOOKUP(1,$H324:$BE324,$H$4:$BE$4),12*Assumptions!$G$231+12)=W$4,0,IF(V324=1,PMT(Assumptions!$G$229,Assumptions!$G$231,$C326),V337))),0)</f>
        <v>0</v>
      </c>
      <c r="X337" s="39">
        <f>+IFERROR(-ABS(IF(EDATE(_xlfn.XLOOKUP(1,$H324:$BE324,$H$4:$BE$4),12*Assumptions!$G$231+12)=X$4,0,IF(W324=1,PMT(Assumptions!$G$229,Assumptions!$G$231,$C326),W337))),0)</f>
        <v>0</v>
      </c>
      <c r="Y337" s="39">
        <f>+IFERROR(-ABS(IF(EDATE(_xlfn.XLOOKUP(1,$H324:$BE324,$H$4:$BE$4),12*Assumptions!$G$231+12)=Y$4,0,IF(X324=1,PMT(Assumptions!$G$229,Assumptions!$G$231,$C326),X337))),0)</f>
        <v>0</v>
      </c>
      <c r="Z337" s="39">
        <f>+IFERROR(-ABS(IF(EDATE(_xlfn.XLOOKUP(1,$H324:$BE324,$H$4:$BE$4),12*Assumptions!$G$231+12)=Z$4,0,IF(Y324=1,PMT(Assumptions!$G$229,Assumptions!$G$231,$C326),Y337))),0)</f>
        <v>0</v>
      </c>
      <c r="AA337" s="39">
        <f>+IFERROR(-ABS(IF(EDATE(_xlfn.XLOOKUP(1,$H324:$BE324,$H$4:$BE$4),12*Assumptions!$G$231+12)=AA$4,0,IF(Z324=1,PMT(Assumptions!$G$229,Assumptions!$G$231,$C326),Z337))),0)</f>
        <v>0</v>
      </c>
      <c r="AB337" s="39">
        <f>+IFERROR(-ABS(IF(EDATE(_xlfn.XLOOKUP(1,$H324:$BE324,$H$4:$BE$4),12*Assumptions!$G$231+12)=AB$4,0,IF(AA324=1,PMT(Assumptions!$G$229,Assumptions!$G$231,$C326),AA337))),0)</f>
        <v>0</v>
      </c>
      <c r="AC337" s="39">
        <f>+IFERROR(-ABS(IF(EDATE(_xlfn.XLOOKUP(1,$H324:$BE324,$H$4:$BE$4),12*Assumptions!$G$231+12)=AC$4,0,IF(AB324=1,PMT(Assumptions!$G$229,Assumptions!$G$231,$C326),AB337))),0)</f>
        <v>0</v>
      </c>
      <c r="AD337" s="39">
        <f>+IFERROR(-ABS(IF(EDATE(_xlfn.XLOOKUP(1,$H324:$BE324,$H$4:$BE$4),12*Assumptions!$G$231+12)=AD$4,0,IF(AC324=1,PMT(Assumptions!$G$229,Assumptions!$G$231,$C326),AC337))),0)</f>
        <v>0</v>
      </c>
      <c r="AE337" s="39">
        <f>+IFERROR(-ABS(IF(EDATE(_xlfn.XLOOKUP(1,$H324:$BE324,$H$4:$BE$4),12*Assumptions!$G$231+12)=AE$4,0,IF(AD324=1,PMT(Assumptions!$G$229,Assumptions!$G$231,$C326),AD337))),0)</f>
        <v>0</v>
      </c>
      <c r="AF337" s="39">
        <f>+IFERROR(-ABS(IF(EDATE(_xlfn.XLOOKUP(1,$H324:$BE324,$H$4:$BE$4),12*Assumptions!$G$231+12)=AF$4,0,IF(AE324=1,PMT(Assumptions!$G$229,Assumptions!$G$231,$C326),AE337))),0)</f>
        <v>0</v>
      </c>
      <c r="AG337" s="39">
        <f>+IFERROR(-ABS(IF(EDATE(_xlfn.XLOOKUP(1,$H324:$BE324,$H$4:$BE$4),12*Assumptions!$G$231+12)=AG$4,0,IF(AF324=1,PMT(Assumptions!$G$229,Assumptions!$G$231,$C326),AF337))),0)</f>
        <v>0</v>
      </c>
      <c r="AH337" s="39">
        <f>+IFERROR(-ABS(IF(EDATE(_xlfn.XLOOKUP(1,$H324:$BE324,$H$4:$BE$4),12*Assumptions!$G$231+12)=AH$4,0,IF(AG324=1,PMT(Assumptions!$G$229,Assumptions!$G$231,$C326),AG337))),0)</f>
        <v>0</v>
      </c>
      <c r="AI337" s="39">
        <f>+IFERROR(-ABS(IF(EDATE(_xlfn.XLOOKUP(1,$H324:$BE324,$H$4:$BE$4),12*Assumptions!$G$231+12)=AI$4,0,IF(AH324=1,PMT(Assumptions!$G$229,Assumptions!$G$231,$C326),AH337))),0)</f>
        <v>0</v>
      </c>
      <c r="AJ337" s="39">
        <f>+IFERROR(-ABS(IF(EDATE(_xlfn.XLOOKUP(1,$H324:$BE324,$H$4:$BE$4),12*Assumptions!$G$231+12)=AJ$4,0,IF(AI324=1,PMT(Assumptions!$G$229,Assumptions!$G$231,$C326),AI337))),0)</f>
        <v>0</v>
      </c>
      <c r="AK337" s="39">
        <f>+IFERROR(-ABS(IF(EDATE(_xlfn.XLOOKUP(1,$H324:$BE324,$H$4:$BE$4),12*Assumptions!$G$231+12)=AK$4,0,IF(AJ324=1,PMT(Assumptions!$G$229,Assumptions!$G$231,$C326),AJ337))),0)</f>
        <v>0</v>
      </c>
      <c r="AL337" s="39">
        <f>+IFERROR(-ABS(IF(EDATE(_xlfn.XLOOKUP(1,$H324:$BE324,$H$4:$BE$4),12*Assumptions!$G$231+12)=AL$4,0,IF(AK324=1,PMT(Assumptions!$G$229,Assumptions!$G$231,$C326),AK337))),0)</f>
        <v>0</v>
      </c>
      <c r="AM337" s="39">
        <f>+IFERROR(-ABS(IF(EDATE(_xlfn.XLOOKUP(1,$H324:$BE324,$H$4:$BE$4),12*Assumptions!$G$231+12)=AM$4,0,IF(AL324=1,PMT(Assumptions!$G$229,Assumptions!$G$231,$C326),AL337))),0)</f>
        <v>0</v>
      </c>
      <c r="AN337" s="39">
        <f>+IFERROR(-ABS(IF(EDATE(_xlfn.XLOOKUP(1,$H324:$BE324,$H$4:$BE$4),12*Assumptions!$G$231+12)=AN$4,0,IF(AM324=1,PMT(Assumptions!$G$229,Assumptions!$G$231,$C326),AM337))),0)</f>
        <v>0</v>
      </c>
      <c r="AO337" s="39">
        <f>+IFERROR(-ABS(IF(EDATE(_xlfn.XLOOKUP(1,$H324:$BE324,$H$4:$BE$4),12*Assumptions!$G$231+12)=AO$4,0,IF(AN324=1,PMT(Assumptions!$G$229,Assumptions!$G$231,$C326),AN337))),0)</f>
        <v>0</v>
      </c>
      <c r="AP337" s="39">
        <f>+IFERROR(-ABS(IF(EDATE(_xlfn.XLOOKUP(1,$H324:$BE324,$H$4:$BE$4),12*Assumptions!$G$231+12)=AP$4,0,IF(AO324=1,PMT(Assumptions!$G$229,Assumptions!$G$231,$C326),AO337))),0)</f>
        <v>0</v>
      </c>
      <c r="AQ337" s="39">
        <f>+IFERROR(-ABS(IF(EDATE(_xlfn.XLOOKUP(1,$H324:$BE324,$H$4:$BE$4),12*Assumptions!$G$231+12)=AQ$4,0,IF(AP324=1,PMT(Assumptions!$G$229,Assumptions!$G$231,$C326),AP337))),0)</f>
        <v>0</v>
      </c>
      <c r="AR337" s="39">
        <f>+IFERROR(-ABS(IF(EDATE(_xlfn.XLOOKUP(1,$H324:$BE324,$H$4:$BE$4),12*Assumptions!$G$231+12)=AR$4,0,IF(AQ324=1,PMT(Assumptions!$G$229,Assumptions!$G$231,$C326),AQ337))),0)</f>
        <v>0</v>
      </c>
      <c r="AS337" s="39">
        <f>+IFERROR(-ABS(IF(EDATE(_xlfn.XLOOKUP(1,$H324:$BE324,$H$4:$BE$4),12*Assumptions!$G$231+12)=AS$4,0,IF(AR324=1,PMT(Assumptions!$G$229,Assumptions!$G$231,$C326),AR337))),0)</f>
        <v>0</v>
      </c>
      <c r="AT337" s="39">
        <f>+IFERROR(-ABS(IF(EDATE(_xlfn.XLOOKUP(1,$H324:$BE324,$H$4:$BE$4),12*Assumptions!$G$231+12)=AT$4,0,IF(AS324=1,PMT(Assumptions!$G$229,Assumptions!$G$231,$C326),AS337))),0)</f>
        <v>0</v>
      </c>
      <c r="AU337" s="39">
        <f>+IFERROR(-ABS(IF(EDATE(_xlfn.XLOOKUP(1,$H324:$BE324,$H$4:$BE$4),12*Assumptions!$G$231+12)=AU$4,0,IF(AT324=1,PMT(Assumptions!$G$229,Assumptions!$G$231,$C326),AT337))),0)</f>
        <v>0</v>
      </c>
      <c r="AV337" s="39">
        <f>+IFERROR(-ABS(IF(EDATE(_xlfn.XLOOKUP(1,$H324:$BE324,$H$4:$BE$4),12*Assumptions!$G$231+12)=AV$4,0,IF(AU324=1,PMT(Assumptions!$G$229,Assumptions!$G$231,$C326),AU337))),0)</f>
        <v>0</v>
      </c>
      <c r="AW337" s="39">
        <f>+IFERROR(-ABS(IF(EDATE(_xlfn.XLOOKUP(1,$H324:$BE324,$H$4:$BE$4),12*Assumptions!$G$231+12)=AW$4,0,IF(AV324=1,PMT(Assumptions!$G$229,Assumptions!$G$231,$C326),AV337))),0)</f>
        <v>0</v>
      </c>
      <c r="AX337" s="39">
        <f>+IFERROR(-ABS(IF(EDATE(_xlfn.XLOOKUP(1,$H324:$BE324,$H$4:$BE$4),12*Assumptions!$G$231+12)=AX$4,0,IF(AW324=1,PMT(Assumptions!$G$229,Assumptions!$G$231,$C326),AW337))),0)</f>
        <v>0</v>
      </c>
      <c r="AY337" s="39">
        <f>+IFERROR(-ABS(IF(EDATE(_xlfn.XLOOKUP(1,$H324:$BE324,$H$4:$BE$4),12*Assumptions!$G$231+12)=AY$4,0,IF(AX324=1,PMT(Assumptions!$G$229,Assumptions!$G$231,$C326),AX337))),0)</f>
        <v>0</v>
      </c>
      <c r="AZ337" s="39">
        <f>+IFERROR(-ABS(IF(EDATE(_xlfn.XLOOKUP(1,$H324:$BE324,$H$4:$BE$4),12*Assumptions!$G$231+12)=AZ$4,0,IF(AY324=1,PMT(Assumptions!$G$229,Assumptions!$G$231,$C326),AY337))),0)</f>
        <v>0</v>
      </c>
      <c r="BA337" s="39">
        <f>+IFERROR(-ABS(IF(EDATE(_xlfn.XLOOKUP(1,$H324:$BE324,$H$4:$BE$4),12*Assumptions!$G$231+12)=BA$4,0,IF(AZ324=1,PMT(Assumptions!$G$229,Assumptions!$G$231,$C326),AZ337))),0)</f>
        <v>0</v>
      </c>
      <c r="BB337" s="39">
        <f>+IFERROR(-ABS(IF(EDATE(_xlfn.XLOOKUP(1,$H324:$BE324,$H$4:$BE$4),12*Assumptions!$G$231+12)=BB$4,0,IF(BA324=1,PMT(Assumptions!$G$229,Assumptions!$G$231,$C326),BA337))),0)</f>
        <v>0</v>
      </c>
      <c r="BC337" s="39">
        <f>+IFERROR(-ABS(IF(EDATE(_xlfn.XLOOKUP(1,$H324:$BE324,$H$4:$BE$4),12*Assumptions!$G$231+12)=BC$4,0,IF(BB324=1,PMT(Assumptions!$G$229,Assumptions!$G$231,$C326),BB337))),0)</f>
        <v>0</v>
      </c>
      <c r="BD337" s="39">
        <f>+IFERROR(-ABS(IF(EDATE(_xlfn.XLOOKUP(1,$H324:$BE324,$H$4:$BE$4),12*Assumptions!$G$231+12)=BD$4,0,IF(BC324=1,PMT(Assumptions!$G$229,Assumptions!$G$231,$C326),BC337))),0)</f>
        <v>0</v>
      </c>
      <c r="BE337" s="39">
        <f>+IFERROR(-ABS(IF(EDATE(_xlfn.XLOOKUP(1,$H324:$BE324,$H$4:$BE$4),12*Assumptions!$G$231+12)=BE$4,0,IF(BD324=1,PMT(Assumptions!$G$229,Assumptions!$G$231,$C326),BD337))),0)</f>
        <v>0</v>
      </c>
      <c r="BF337" s="39">
        <f>+IFERROR(-ABS(IF(EDATE(_xlfn.XLOOKUP(1,$H324:$BE324,$H$4:$BE$4),12*Assumptions!$G$231+12)=BF$4,0,IF(BE324=1,PMT(Assumptions!$G$229,Assumptions!$G$231,$C326),BE337))),0)</f>
        <v>0</v>
      </c>
      <c r="BG337" s="39">
        <f>+IFERROR(-ABS(IF(EDATE(_xlfn.XLOOKUP(1,$H324:$BE324,$H$4:$BE$4),12*Assumptions!$G$231+12)=BG$4,0,IF(BF324=1,PMT(Assumptions!$G$229,Assumptions!$G$231,$C326),BF337))),0)</f>
        <v>0</v>
      </c>
      <c r="BH337" s="39">
        <f>+IFERROR(-ABS(IF(EDATE(_xlfn.XLOOKUP(1,$H324:$BE324,$H$4:$BE$4),12*Assumptions!$G$231+12)=BH$4,0,IF(BG324=1,PMT(Assumptions!$G$229,Assumptions!$G$231,$C326),BG337))),0)</f>
        <v>0</v>
      </c>
      <c r="BI337" s="39">
        <f>+IFERROR(-ABS(IF(EDATE(_xlfn.XLOOKUP(1,$H324:$BE324,$H$4:$BE$4),12*Assumptions!$G$231+12)=BI$4,0,IF(BH324=1,PMT(Assumptions!$G$229,Assumptions!$G$231,$C326),BH337))),0)</f>
        <v>0</v>
      </c>
      <c r="BJ337" s="39">
        <f>+IFERROR(-ABS(IF(EDATE(_xlfn.XLOOKUP(1,$H324:$BE324,$H$4:$BE$4),12*Assumptions!$G$231+12)=BJ$4,0,IF(BI324=1,PMT(Assumptions!$G$229,Assumptions!$G$231,$C326),BI337))),0)</f>
        <v>0</v>
      </c>
      <c r="BK337" s="39">
        <f>+IFERROR(-ABS(IF(EDATE(_xlfn.XLOOKUP(1,$H324:$BE324,$H$4:$BE$4),12*Assumptions!$G$231+12)=BK$4,0,IF(BJ324=1,PMT(Assumptions!$G$229,Assumptions!$G$231,$C326),BJ337))),0)</f>
        <v>0</v>
      </c>
      <c r="BL337" s="39">
        <f>+IFERROR(-ABS(IF(EDATE(_xlfn.XLOOKUP(1,$H324:$BE324,$H$4:$BE$4),12*Assumptions!$G$231+12)=BL$4,0,IF(BK324=1,PMT(Assumptions!$G$229,Assumptions!$G$231,$C326),BK337))),0)</f>
        <v>0</v>
      </c>
      <c r="BM337" s="39">
        <f>+IFERROR(-ABS(IF(EDATE(_xlfn.XLOOKUP(1,$H324:$BE324,$H$4:$BE$4),12*Assumptions!$G$231+12)=BM$4,0,IF(BL324=1,PMT(Assumptions!$G$229,Assumptions!$G$231,$C326),BL337))),0)</f>
        <v>0</v>
      </c>
      <c r="BN337" s="39">
        <f>+IFERROR(-ABS(IF(EDATE(_xlfn.XLOOKUP(1,$H324:$BE324,$H$4:$BE$4),12*Assumptions!$G$231+12)=BN$4,0,IF(BM324=1,PMT(Assumptions!$G$229,Assumptions!$G$231,$C326),BM337))),0)</f>
        <v>0</v>
      </c>
      <c r="BO337" s="39">
        <f>+IFERROR(-ABS(IF(EDATE(_xlfn.XLOOKUP(1,$H324:$BE324,$H$4:$BE$4),12*Assumptions!$G$231+12)=BO$4,0,IF(BN324=1,PMT(Assumptions!$G$229,Assumptions!$G$231,$C326),BN337))),0)</f>
        <v>0</v>
      </c>
      <c r="BP337" s="39">
        <f>+IFERROR(-ABS(IF(EDATE(_xlfn.XLOOKUP(1,$H324:$BE324,$H$4:$BE$4),12*Assumptions!$G$231+12)=BP$4,0,IF(BO324=1,PMT(Assumptions!$G$229,Assumptions!$G$231,$C326),BO337))),0)</f>
        <v>0</v>
      </c>
      <c r="BQ337" s="39">
        <f>+IFERROR(-ABS(IF(EDATE(_xlfn.XLOOKUP(1,$H324:$BE324,$H$4:$BE$4),12*Assumptions!$G$231+12)=BQ$4,0,IF(BP324=1,PMT(Assumptions!$G$229,Assumptions!$G$231,$C326),BP337))),0)</f>
        <v>0</v>
      </c>
      <c r="BR337" s="39">
        <f>+IFERROR(-ABS(IF(EDATE(_xlfn.XLOOKUP(1,$H324:$BE324,$H$4:$BE$4),12*Assumptions!$G$231+12)=BR$4,0,IF(BQ324=1,PMT(Assumptions!$G$229,Assumptions!$G$231,$C326),BQ337))),0)</f>
        <v>0</v>
      </c>
      <c r="BS337" s="39">
        <f>+IFERROR(-ABS(IF(EDATE(_xlfn.XLOOKUP(1,$H324:$BE324,$H$4:$BE$4),12*Assumptions!$G$231+12)=BS$4,0,IF(BR324=1,PMT(Assumptions!$G$229,Assumptions!$G$231,$C326),BR337))),0)</f>
        <v>0</v>
      </c>
      <c r="BT337" s="39">
        <f>+IFERROR(-ABS(IF(EDATE(_xlfn.XLOOKUP(1,$H324:$BE324,$H$4:$BE$4),12*Assumptions!$G$231+12)=BT$4,0,IF(BS324=1,PMT(Assumptions!$G$229,Assumptions!$G$231,$C326),BS337))),0)</f>
        <v>0</v>
      </c>
      <c r="BU337" s="39">
        <f>+IFERROR(-ABS(IF(EDATE(_xlfn.XLOOKUP(1,$H324:$BE324,$H$4:$BE$4),12*Assumptions!$G$231+12)=BU$4,0,IF(BT324=1,PMT(Assumptions!$G$229,Assumptions!$G$231,$C326),BT337))),0)</f>
        <v>0</v>
      </c>
      <c r="BV337" s="39">
        <f>+IFERROR(-ABS(IF(EDATE(_xlfn.XLOOKUP(1,$H324:$BE324,$H$4:$BE$4),12*Assumptions!$G$231+12)=BV$4,0,IF(BU324=1,PMT(Assumptions!$G$229,Assumptions!$G$231,$C326),BU337))),0)</f>
        <v>0</v>
      </c>
      <c r="BW337" s="39">
        <f>+IFERROR(-ABS(IF(EDATE(_xlfn.XLOOKUP(1,$H324:$BE324,$H$4:$BE$4),12*Assumptions!$G$231+12)=BW$4,0,IF(BV324=1,PMT(Assumptions!$G$229,Assumptions!$G$231,$C326),BV337))),0)</f>
        <v>0</v>
      </c>
      <c r="BX337" s="39">
        <f>+IFERROR(-ABS(IF(EDATE(_xlfn.XLOOKUP(1,$H324:$BE324,$H$4:$BE$4),12*Assumptions!$G$231+12)=BX$4,0,IF(BW324=1,PMT(Assumptions!$G$229,Assumptions!$G$231,$C326),BW337))),0)</f>
        <v>0</v>
      </c>
      <c r="BY337" s="39">
        <f>+IFERROR(-ABS(IF(EDATE(_xlfn.XLOOKUP(1,$H324:$BE324,$H$4:$BE$4),12*Assumptions!$G$231+12)=BY$4,0,IF(BX324=1,PMT(Assumptions!$G$229,Assumptions!$G$231,$C326),BX337))),0)</f>
        <v>0</v>
      </c>
    </row>
    <row r="338" spans="3:77" outlineLevel="1">
      <c r="E338" s="24" t="s">
        <v>520</v>
      </c>
      <c r="F338" s="80" t="str">
        <f>+Assumptions!$G$8</f>
        <v>USD</v>
      </c>
      <c r="G338" s="24"/>
      <c r="H338" s="39">
        <f>+IFERROR(-ABS(IF(EDATE(_xlfn.XLOOKUP(1,$H325:$BE325,$H$4:$BE$4),12*Assumptions!$G$231+12)=H$4,0,IF(G325=1,PMT(Assumptions!$G$229,Assumptions!$G$231,$C327),G338))),0)</f>
        <v>0</v>
      </c>
      <c r="I338" s="39">
        <f>+IFERROR(-ABS(IF(EDATE(_xlfn.XLOOKUP(1,$H325:$BE325,$H$4:$BE$4),12*Assumptions!$G$231+12)=I$4,0,IF(H325=1,PMT(Assumptions!$G$229,Assumptions!$G$231,$C327),H338))),0)</f>
        <v>0</v>
      </c>
      <c r="J338" s="39">
        <f>+IFERROR(-ABS(IF(EDATE(_xlfn.XLOOKUP(1,$H325:$BE325,$H$4:$BE$4),12*Assumptions!$G$231+12)=J$4,0,IF(I325=1,PMT(Assumptions!$G$229,Assumptions!$G$231,$C327),I338))),0)</f>
        <v>0</v>
      </c>
      <c r="K338" s="39">
        <f>+IFERROR(-ABS(IF(EDATE(_xlfn.XLOOKUP(1,$H325:$BE325,$H$4:$BE$4),12*Assumptions!$G$231+12)=K$4,0,IF(J325=1,PMT(Assumptions!$G$229,Assumptions!$G$231,$C327),J338))),0)</f>
        <v>0</v>
      </c>
      <c r="L338" s="39">
        <f>+IFERROR(-ABS(IF(EDATE(_xlfn.XLOOKUP(1,$H325:$BE325,$H$4:$BE$4),12*Assumptions!$G$231+12)=L$4,0,IF(K325=1,PMT(Assumptions!$G$229,Assumptions!$G$231,$C327),K338))),0)</f>
        <v>0</v>
      </c>
      <c r="M338" s="39">
        <f>+IFERROR(-ABS(IF(EDATE(_xlfn.XLOOKUP(1,$H325:$BE325,$H$4:$BE$4),12*Assumptions!$G$231+12)=M$4,0,IF(L325=1,PMT(Assumptions!$G$229,Assumptions!$G$231,$C327),L338))),0)</f>
        <v>0</v>
      </c>
      <c r="N338" s="39">
        <f>+IFERROR(-ABS(IF(EDATE(_xlfn.XLOOKUP(1,$H325:$BE325,$H$4:$BE$4),12*Assumptions!$G$231+12)=N$4,0,IF(M325=1,PMT(Assumptions!$G$229,Assumptions!$G$231,$C327),M338))),0)</f>
        <v>0</v>
      </c>
      <c r="O338" s="39">
        <f>+IFERROR(-ABS(IF(EDATE(_xlfn.XLOOKUP(1,$H325:$BE325,$H$4:$BE$4),12*Assumptions!$G$231+12)=O$4,0,IF(N325=1,PMT(Assumptions!$G$229,Assumptions!$G$231,$C327),N338))),0)</f>
        <v>0</v>
      </c>
      <c r="P338" s="39">
        <f>+IFERROR(-ABS(IF(EDATE(_xlfn.XLOOKUP(1,$H325:$BE325,$H$4:$BE$4),12*Assumptions!$G$231+12)=P$4,0,IF(O325=1,PMT(Assumptions!$G$229,Assumptions!$G$231,$C327),O338))),0)</f>
        <v>0</v>
      </c>
      <c r="Q338" s="39">
        <f>+IFERROR(-ABS(IF(EDATE(_xlfn.XLOOKUP(1,$H325:$BE325,$H$4:$BE$4),12*Assumptions!$G$231+12)=Q$4,0,IF(P325=1,PMT(Assumptions!$G$229,Assumptions!$G$231,$C327),P338))),0)</f>
        <v>0</v>
      </c>
      <c r="R338" s="39">
        <f>+IFERROR(-ABS(IF(EDATE(_xlfn.XLOOKUP(1,$H325:$BE325,$H$4:$BE$4),12*Assumptions!$G$231+12)=R$4,0,IF(Q325=1,PMT(Assumptions!$G$229,Assumptions!$G$231,$C327),Q338))),0)</f>
        <v>0</v>
      </c>
      <c r="S338" s="39">
        <f>+IFERROR(-ABS(IF(EDATE(_xlfn.XLOOKUP(1,$H325:$BE325,$H$4:$BE$4),12*Assumptions!$G$231+12)=S$4,0,IF(R325=1,PMT(Assumptions!$G$229,Assumptions!$G$231,$C327),R338))),0)</f>
        <v>0</v>
      </c>
      <c r="T338" s="39">
        <f>+IFERROR(-ABS(IF(EDATE(_xlfn.XLOOKUP(1,$H325:$BE325,$H$4:$BE$4),12*Assumptions!$G$231+12)=T$4,0,IF(S325=1,PMT(Assumptions!$G$229,Assumptions!$G$231,$C327),S338))),0)</f>
        <v>0</v>
      </c>
      <c r="U338" s="39">
        <f>+IFERROR(-ABS(IF(EDATE(_xlfn.XLOOKUP(1,$H325:$BE325,$H$4:$BE$4),12*Assumptions!$G$231+12)=U$4,0,IF(T325=1,PMT(Assumptions!$G$229,Assumptions!$G$231,$C327),T338))),0)</f>
        <v>0</v>
      </c>
      <c r="V338" s="39">
        <f>+IFERROR(-ABS(IF(EDATE(_xlfn.XLOOKUP(1,$H325:$BE325,$H$4:$BE$4),12*Assumptions!$G$231+12)=V$4,0,IF(U325=1,PMT(Assumptions!$G$229,Assumptions!$G$231,$C327),U338))),0)</f>
        <v>0</v>
      </c>
      <c r="W338" s="39">
        <f>+IFERROR(-ABS(IF(EDATE(_xlfn.XLOOKUP(1,$H325:$BE325,$H$4:$BE$4),12*Assumptions!$G$231+12)=W$4,0,IF(V325=1,PMT(Assumptions!$G$229,Assumptions!$G$231,$C327),V338))),0)</f>
        <v>0</v>
      </c>
      <c r="X338" s="39">
        <f>+IFERROR(-ABS(IF(EDATE(_xlfn.XLOOKUP(1,$H325:$BE325,$H$4:$BE$4),12*Assumptions!$G$231+12)=X$4,0,IF(W325=1,PMT(Assumptions!$G$229,Assumptions!$G$231,$C327),W338))),0)</f>
        <v>0</v>
      </c>
      <c r="Y338" s="39">
        <f>+IFERROR(-ABS(IF(EDATE(_xlfn.XLOOKUP(1,$H325:$BE325,$H$4:$BE$4),12*Assumptions!$G$231+12)=Y$4,0,IF(X325=1,PMT(Assumptions!$G$229,Assumptions!$G$231,$C327),X338))),0)</f>
        <v>0</v>
      </c>
      <c r="Z338" s="39">
        <f>+IFERROR(-ABS(IF(EDATE(_xlfn.XLOOKUP(1,$H325:$BE325,$H$4:$BE$4),12*Assumptions!$G$231+12)=Z$4,0,IF(Y325=1,PMT(Assumptions!$G$229,Assumptions!$G$231,$C327),Y338))),0)</f>
        <v>0</v>
      </c>
      <c r="AA338" s="39">
        <f>+IFERROR(-ABS(IF(EDATE(_xlfn.XLOOKUP(1,$H325:$BE325,$H$4:$BE$4),12*Assumptions!$G$231+12)=AA$4,0,IF(Z325=1,PMT(Assumptions!$G$229,Assumptions!$G$231,$C327),Z338))),0)</f>
        <v>0</v>
      </c>
      <c r="AB338" s="39">
        <f>+IFERROR(-ABS(IF(EDATE(_xlfn.XLOOKUP(1,$H325:$BE325,$H$4:$BE$4),12*Assumptions!$G$231+12)=AB$4,0,IF(AA325=1,PMT(Assumptions!$G$229,Assumptions!$G$231,$C327),AA338))),0)</f>
        <v>0</v>
      </c>
      <c r="AC338" s="39">
        <f>+IFERROR(-ABS(IF(EDATE(_xlfn.XLOOKUP(1,$H325:$BE325,$H$4:$BE$4),12*Assumptions!$G$231+12)=AC$4,0,IF(AB325=1,PMT(Assumptions!$G$229,Assumptions!$G$231,$C327),AB338))),0)</f>
        <v>0</v>
      </c>
      <c r="AD338" s="39">
        <f>+IFERROR(-ABS(IF(EDATE(_xlfn.XLOOKUP(1,$H325:$BE325,$H$4:$BE$4),12*Assumptions!$G$231+12)=AD$4,0,IF(AC325=1,PMT(Assumptions!$G$229,Assumptions!$G$231,$C327),AC338))),0)</f>
        <v>0</v>
      </c>
      <c r="AE338" s="39">
        <f>+IFERROR(-ABS(IF(EDATE(_xlfn.XLOOKUP(1,$H325:$BE325,$H$4:$BE$4),12*Assumptions!$G$231+12)=AE$4,0,IF(AD325=1,PMT(Assumptions!$G$229,Assumptions!$G$231,$C327),AD338))),0)</f>
        <v>0</v>
      </c>
      <c r="AF338" s="39">
        <f>+IFERROR(-ABS(IF(EDATE(_xlfn.XLOOKUP(1,$H325:$BE325,$H$4:$BE$4),12*Assumptions!$G$231+12)=AF$4,0,IF(AE325=1,PMT(Assumptions!$G$229,Assumptions!$G$231,$C327),AE338))),0)</f>
        <v>0</v>
      </c>
      <c r="AG338" s="39">
        <f>+IFERROR(-ABS(IF(EDATE(_xlfn.XLOOKUP(1,$H325:$BE325,$H$4:$BE$4),12*Assumptions!$G$231+12)=AG$4,0,IF(AF325=1,PMT(Assumptions!$G$229,Assumptions!$G$231,$C327),AF338))),0)</f>
        <v>0</v>
      </c>
      <c r="AH338" s="39">
        <f>+IFERROR(-ABS(IF(EDATE(_xlfn.XLOOKUP(1,$H325:$BE325,$H$4:$BE$4),12*Assumptions!$G$231+12)=AH$4,0,IF(AG325=1,PMT(Assumptions!$G$229,Assumptions!$G$231,$C327),AG338))),0)</f>
        <v>0</v>
      </c>
      <c r="AI338" s="39">
        <f>+IFERROR(-ABS(IF(EDATE(_xlfn.XLOOKUP(1,$H325:$BE325,$H$4:$BE$4),12*Assumptions!$G$231+12)=AI$4,0,IF(AH325=1,PMT(Assumptions!$G$229,Assumptions!$G$231,$C327),AH338))),0)</f>
        <v>0</v>
      </c>
      <c r="AJ338" s="39">
        <f>+IFERROR(-ABS(IF(EDATE(_xlfn.XLOOKUP(1,$H325:$BE325,$H$4:$BE$4),12*Assumptions!$G$231+12)=AJ$4,0,IF(AI325=1,PMT(Assumptions!$G$229,Assumptions!$G$231,$C327),AI338))),0)</f>
        <v>0</v>
      </c>
      <c r="AK338" s="39">
        <f>+IFERROR(-ABS(IF(EDATE(_xlfn.XLOOKUP(1,$H325:$BE325,$H$4:$BE$4),12*Assumptions!$G$231+12)=AK$4,0,IF(AJ325=1,PMT(Assumptions!$G$229,Assumptions!$G$231,$C327),AJ338))),0)</f>
        <v>0</v>
      </c>
      <c r="AL338" s="39">
        <f>+IFERROR(-ABS(IF(EDATE(_xlfn.XLOOKUP(1,$H325:$BE325,$H$4:$BE$4),12*Assumptions!$G$231+12)=AL$4,0,IF(AK325=1,PMT(Assumptions!$G$229,Assumptions!$G$231,$C327),AK338))),0)</f>
        <v>0</v>
      </c>
      <c r="AM338" s="39">
        <f>+IFERROR(-ABS(IF(EDATE(_xlfn.XLOOKUP(1,$H325:$BE325,$H$4:$BE$4),12*Assumptions!$G$231+12)=AM$4,0,IF(AL325=1,PMT(Assumptions!$G$229,Assumptions!$G$231,$C327),AL338))),0)</f>
        <v>0</v>
      </c>
      <c r="AN338" s="39">
        <f>+IFERROR(-ABS(IF(EDATE(_xlfn.XLOOKUP(1,$H325:$BE325,$H$4:$BE$4),12*Assumptions!$G$231+12)=AN$4,0,IF(AM325=1,PMT(Assumptions!$G$229,Assumptions!$G$231,$C327),AM338))),0)</f>
        <v>0</v>
      </c>
      <c r="AO338" s="39">
        <f>+IFERROR(-ABS(IF(EDATE(_xlfn.XLOOKUP(1,$H325:$BE325,$H$4:$BE$4),12*Assumptions!$G$231+12)=AO$4,0,IF(AN325=1,PMT(Assumptions!$G$229,Assumptions!$G$231,$C327),AN338))),0)</f>
        <v>0</v>
      </c>
      <c r="AP338" s="39">
        <f>+IFERROR(-ABS(IF(EDATE(_xlfn.XLOOKUP(1,$H325:$BE325,$H$4:$BE$4),12*Assumptions!$G$231+12)=AP$4,0,IF(AO325=1,PMT(Assumptions!$G$229,Assumptions!$G$231,$C327),AO338))),0)</f>
        <v>0</v>
      </c>
      <c r="AQ338" s="39">
        <f>+IFERROR(-ABS(IF(EDATE(_xlfn.XLOOKUP(1,$H325:$BE325,$H$4:$BE$4),12*Assumptions!$G$231+12)=AQ$4,0,IF(AP325=1,PMT(Assumptions!$G$229,Assumptions!$G$231,$C327),AP338))),0)</f>
        <v>0</v>
      </c>
      <c r="AR338" s="39">
        <f>+IFERROR(-ABS(IF(EDATE(_xlfn.XLOOKUP(1,$H325:$BE325,$H$4:$BE$4),12*Assumptions!$G$231+12)=AR$4,0,IF(AQ325=1,PMT(Assumptions!$G$229,Assumptions!$G$231,$C327),AQ338))),0)</f>
        <v>0</v>
      </c>
      <c r="AS338" s="39">
        <f>+IFERROR(-ABS(IF(EDATE(_xlfn.XLOOKUP(1,$H325:$BE325,$H$4:$BE$4),12*Assumptions!$G$231+12)=AS$4,0,IF(AR325=1,PMT(Assumptions!$G$229,Assumptions!$G$231,$C327),AR338))),0)</f>
        <v>0</v>
      </c>
      <c r="AT338" s="39">
        <f>+IFERROR(-ABS(IF(EDATE(_xlfn.XLOOKUP(1,$H325:$BE325,$H$4:$BE$4),12*Assumptions!$G$231+12)=AT$4,0,IF(AS325=1,PMT(Assumptions!$G$229,Assumptions!$G$231,$C327),AS338))),0)</f>
        <v>0</v>
      </c>
      <c r="AU338" s="39">
        <f>+IFERROR(-ABS(IF(EDATE(_xlfn.XLOOKUP(1,$H325:$BE325,$H$4:$BE$4),12*Assumptions!$G$231+12)=AU$4,0,IF(AT325=1,PMT(Assumptions!$G$229,Assumptions!$G$231,$C327),AT338))),0)</f>
        <v>0</v>
      </c>
      <c r="AV338" s="39">
        <f>+IFERROR(-ABS(IF(EDATE(_xlfn.XLOOKUP(1,$H325:$BE325,$H$4:$BE$4),12*Assumptions!$G$231+12)=AV$4,0,IF(AU325=1,PMT(Assumptions!$G$229,Assumptions!$G$231,$C327),AU338))),0)</f>
        <v>0</v>
      </c>
      <c r="AW338" s="39">
        <f>+IFERROR(-ABS(IF(EDATE(_xlfn.XLOOKUP(1,$H325:$BE325,$H$4:$BE$4),12*Assumptions!$G$231+12)=AW$4,0,IF(AV325=1,PMT(Assumptions!$G$229,Assumptions!$G$231,$C327),AV338))),0)</f>
        <v>0</v>
      </c>
      <c r="AX338" s="39">
        <f>+IFERROR(-ABS(IF(EDATE(_xlfn.XLOOKUP(1,$H325:$BE325,$H$4:$BE$4),12*Assumptions!$G$231+12)=AX$4,0,IF(AW325=1,PMT(Assumptions!$G$229,Assumptions!$G$231,$C327),AW338))),0)</f>
        <v>0</v>
      </c>
      <c r="AY338" s="39">
        <f>+IFERROR(-ABS(IF(EDATE(_xlfn.XLOOKUP(1,$H325:$BE325,$H$4:$BE$4),12*Assumptions!$G$231+12)=AY$4,0,IF(AX325=1,PMT(Assumptions!$G$229,Assumptions!$G$231,$C327),AX338))),0)</f>
        <v>0</v>
      </c>
      <c r="AZ338" s="39">
        <f>+IFERROR(-ABS(IF(EDATE(_xlfn.XLOOKUP(1,$H325:$BE325,$H$4:$BE$4),12*Assumptions!$G$231+12)=AZ$4,0,IF(AY325=1,PMT(Assumptions!$G$229,Assumptions!$G$231,$C327),AY338))),0)</f>
        <v>0</v>
      </c>
      <c r="BA338" s="39">
        <f>+IFERROR(-ABS(IF(EDATE(_xlfn.XLOOKUP(1,$H325:$BE325,$H$4:$BE$4),12*Assumptions!$G$231+12)=BA$4,0,IF(AZ325=1,PMT(Assumptions!$G$229,Assumptions!$G$231,$C327),AZ338))),0)</f>
        <v>0</v>
      </c>
      <c r="BB338" s="39">
        <f>+IFERROR(-ABS(IF(EDATE(_xlfn.XLOOKUP(1,$H325:$BE325,$H$4:$BE$4),12*Assumptions!$G$231+12)=BB$4,0,IF(BA325=1,PMT(Assumptions!$G$229,Assumptions!$G$231,$C327),BA338))),0)</f>
        <v>0</v>
      </c>
      <c r="BC338" s="39">
        <f>+IFERROR(-ABS(IF(EDATE(_xlfn.XLOOKUP(1,$H325:$BE325,$H$4:$BE$4),12*Assumptions!$G$231+12)=BC$4,0,IF(BB325=1,PMT(Assumptions!$G$229,Assumptions!$G$231,$C327),BB338))),0)</f>
        <v>0</v>
      </c>
      <c r="BD338" s="39">
        <f>+IFERROR(-ABS(IF(EDATE(_xlfn.XLOOKUP(1,$H325:$BE325,$H$4:$BE$4),12*Assumptions!$G$231+12)=BD$4,0,IF(BC325=1,PMT(Assumptions!$G$229,Assumptions!$G$231,$C327),BC338))),0)</f>
        <v>0</v>
      </c>
      <c r="BE338" s="39">
        <f>+IFERROR(-ABS(IF(EDATE(_xlfn.XLOOKUP(1,$H325:$BE325,$H$4:$BE$4),12*Assumptions!$G$231+12)=BE$4,0,IF(BD325=1,PMT(Assumptions!$G$229,Assumptions!$G$231,$C327),BD338))),0)</f>
        <v>0</v>
      </c>
      <c r="BF338" s="39">
        <f>+IFERROR(-ABS(IF(EDATE(_xlfn.XLOOKUP(1,$H325:$BE325,$H$4:$BE$4),12*Assumptions!$G$231+12)=BF$4,0,IF(BE325=1,PMT(Assumptions!$G$229,Assumptions!$G$231,$C327),BE338))),0)</f>
        <v>0</v>
      </c>
      <c r="BG338" s="39">
        <f>+IFERROR(-ABS(IF(EDATE(_xlfn.XLOOKUP(1,$H325:$BE325,$H$4:$BE$4),12*Assumptions!$G$231+12)=BG$4,0,IF(BF325=1,PMT(Assumptions!$G$229,Assumptions!$G$231,$C327),BF338))),0)</f>
        <v>0</v>
      </c>
      <c r="BH338" s="39">
        <f>+IFERROR(-ABS(IF(EDATE(_xlfn.XLOOKUP(1,$H325:$BE325,$H$4:$BE$4),12*Assumptions!$G$231+12)=BH$4,0,IF(BG325=1,PMT(Assumptions!$G$229,Assumptions!$G$231,$C327),BG338))),0)</f>
        <v>0</v>
      </c>
      <c r="BI338" s="39">
        <f>+IFERROR(-ABS(IF(EDATE(_xlfn.XLOOKUP(1,$H325:$BE325,$H$4:$BE$4),12*Assumptions!$G$231+12)=BI$4,0,IF(BH325=1,PMT(Assumptions!$G$229,Assumptions!$G$231,$C327),BH338))),0)</f>
        <v>0</v>
      </c>
      <c r="BJ338" s="39">
        <f>+IFERROR(-ABS(IF(EDATE(_xlfn.XLOOKUP(1,$H325:$BE325,$H$4:$BE$4),12*Assumptions!$G$231+12)=BJ$4,0,IF(BI325=1,PMT(Assumptions!$G$229,Assumptions!$G$231,$C327),BI338))),0)</f>
        <v>0</v>
      </c>
      <c r="BK338" s="39">
        <f>+IFERROR(-ABS(IF(EDATE(_xlfn.XLOOKUP(1,$H325:$BE325,$H$4:$BE$4),12*Assumptions!$G$231+12)=BK$4,0,IF(BJ325=1,PMT(Assumptions!$G$229,Assumptions!$G$231,$C327),BJ338))),0)</f>
        <v>0</v>
      </c>
      <c r="BL338" s="39">
        <f>+IFERROR(-ABS(IF(EDATE(_xlfn.XLOOKUP(1,$H325:$BE325,$H$4:$BE$4),12*Assumptions!$G$231+12)=BL$4,0,IF(BK325=1,PMT(Assumptions!$G$229,Assumptions!$G$231,$C327),BK338))),0)</f>
        <v>0</v>
      </c>
      <c r="BM338" s="39">
        <f>+IFERROR(-ABS(IF(EDATE(_xlfn.XLOOKUP(1,$H325:$BE325,$H$4:$BE$4),12*Assumptions!$G$231+12)=BM$4,0,IF(BL325=1,PMT(Assumptions!$G$229,Assumptions!$G$231,$C327),BL338))),0)</f>
        <v>0</v>
      </c>
      <c r="BN338" s="39">
        <f>+IFERROR(-ABS(IF(EDATE(_xlfn.XLOOKUP(1,$H325:$BE325,$H$4:$BE$4),12*Assumptions!$G$231+12)=BN$4,0,IF(BM325=1,PMT(Assumptions!$G$229,Assumptions!$G$231,$C327),BM338))),0)</f>
        <v>0</v>
      </c>
      <c r="BO338" s="39">
        <f>+IFERROR(-ABS(IF(EDATE(_xlfn.XLOOKUP(1,$H325:$BE325,$H$4:$BE$4),12*Assumptions!$G$231+12)=BO$4,0,IF(BN325=1,PMT(Assumptions!$G$229,Assumptions!$G$231,$C327),BN338))),0)</f>
        <v>0</v>
      </c>
      <c r="BP338" s="39">
        <f>+IFERROR(-ABS(IF(EDATE(_xlfn.XLOOKUP(1,$H325:$BE325,$H$4:$BE$4),12*Assumptions!$G$231+12)=BP$4,0,IF(BO325=1,PMT(Assumptions!$G$229,Assumptions!$G$231,$C327),BO338))),0)</f>
        <v>0</v>
      </c>
      <c r="BQ338" s="39">
        <f>+IFERROR(-ABS(IF(EDATE(_xlfn.XLOOKUP(1,$H325:$BE325,$H$4:$BE$4),12*Assumptions!$G$231+12)=BQ$4,0,IF(BP325=1,PMT(Assumptions!$G$229,Assumptions!$G$231,$C327),BP338))),0)</f>
        <v>0</v>
      </c>
      <c r="BR338" s="39">
        <f>+IFERROR(-ABS(IF(EDATE(_xlfn.XLOOKUP(1,$H325:$BE325,$H$4:$BE$4),12*Assumptions!$G$231+12)=BR$4,0,IF(BQ325=1,PMT(Assumptions!$G$229,Assumptions!$G$231,$C327),BQ338))),0)</f>
        <v>0</v>
      </c>
      <c r="BS338" s="39">
        <f>+IFERROR(-ABS(IF(EDATE(_xlfn.XLOOKUP(1,$H325:$BE325,$H$4:$BE$4),12*Assumptions!$G$231+12)=BS$4,0,IF(BR325=1,PMT(Assumptions!$G$229,Assumptions!$G$231,$C327),BR338))),0)</f>
        <v>0</v>
      </c>
      <c r="BT338" s="39">
        <f>+IFERROR(-ABS(IF(EDATE(_xlfn.XLOOKUP(1,$H325:$BE325,$H$4:$BE$4),12*Assumptions!$G$231+12)=BT$4,0,IF(BS325=1,PMT(Assumptions!$G$229,Assumptions!$G$231,$C327),BS338))),0)</f>
        <v>0</v>
      </c>
      <c r="BU338" s="39">
        <f>+IFERROR(-ABS(IF(EDATE(_xlfn.XLOOKUP(1,$H325:$BE325,$H$4:$BE$4),12*Assumptions!$G$231+12)=BU$4,0,IF(BT325=1,PMT(Assumptions!$G$229,Assumptions!$G$231,$C327),BT338))),0)</f>
        <v>0</v>
      </c>
      <c r="BV338" s="39">
        <f>+IFERROR(-ABS(IF(EDATE(_xlfn.XLOOKUP(1,$H325:$BE325,$H$4:$BE$4),12*Assumptions!$G$231+12)=BV$4,0,IF(BU325=1,PMT(Assumptions!$G$229,Assumptions!$G$231,$C327),BU338))),0)</f>
        <v>0</v>
      </c>
      <c r="BW338" s="39">
        <f>+IFERROR(-ABS(IF(EDATE(_xlfn.XLOOKUP(1,$H325:$BE325,$H$4:$BE$4),12*Assumptions!$G$231+12)=BW$4,0,IF(BV325=1,PMT(Assumptions!$G$229,Assumptions!$G$231,$C327),BV338))),0)</f>
        <v>0</v>
      </c>
      <c r="BX338" s="39">
        <f>+IFERROR(-ABS(IF(EDATE(_xlfn.XLOOKUP(1,$H325:$BE325,$H$4:$BE$4),12*Assumptions!$G$231+12)=BX$4,0,IF(BW325=1,PMT(Assumptions!$G$229,Assumptions!$G$231,$C327),BW338))),0)</f>
        <v>0</v>
      </c>
      <c r="BY338" s="39">
        <f>+IFERROR(-ABS(IF(EDATE(_xlfn.XLOOKUP(1,$H325:$BE325,$H$4:$BE$4),12*Assumptions!$G$231+12)=BY$4,0,IF(BX325=1,PMT(Assumptions!$G$229,Assumptions!$G$231,$C327),BX338))),0)</f>
        <v>0</v>
      </c>
    </row>
    <row r="339" spans="3:77" outlineLevel="1">
      <c r="E339" s="24" t="s">
        <v>521</v>
      </c>
      <c r="F339" s="80" t="str">
        <f>+Assumptions!$G$8</f>
        <v>USD</v>
      </c>
      <c r="G339" s="24"/>
      <c r="H339" s="39">
        <f>+IFERROR(-ABS(IF(EDATE(_xlfn.XLOOKUP(1,$H326:$BE326,$H$4:$BE$4),12*Assumptions!$G$231+12)=H$4,0,IF(G326=1,PMT(Assumptions!$G$229,Assumptions!$G$231,$C328),G339))),0)</f>
        <v>0</v>
      </c>
      <c r="I339" s="39">
        <f>+IFERROR(-ABS(IF(EDATE(_xlfn.XLOOKUP(1,$H326:$BE326,$H$4:$BE$4),12*Assumptions!$G$231+12)=I$4,0,IF(H326=1,PMT(Assumptions!$G$229,Assumptions!$G$231,$C328),H339))),0)</f>
        <v>0</v>
      </c>
      <c r="J339" s="39">
        <f>+IFERROR(-ABS(IF(EDATE(_xlfn.XLOOKUP(1,$H326:$BE326,$H$4:$BE$4),12*Assumptions!$G$231+12)=J$4,0,IF(I326=1,PMT(Assumptions!$G$229,Assumptions!$G$231,$C328),I339))),0)</f>
        <v>0</v>
      </c>
      <c r="K339" s="39">
        <f>+IFERROR(-ABS(IF(EDATE(_xlfn.XLOOKUP(1,$H326:$BE326,$H$4:$BE$4),12*Assumptions!$G$231+12)=K$4,0,IF(J326=1,PMT(Assumptions!$G$229,Assumptions!$G$231,$C328),J339))),0)</f>
        <v>0</v>
      </c>
      <c r="L339" s="39">
        <f>+IFERROR(-ABS(IF(EDATE(_xlfn.XLOOKUP(1,$H326:$BE326,$H$4:$BE$4),12*Assumptions!$G$231+12)=L$4,0,IF(K326=1,PMT(Assumptions!$G$229,Assumptions!$G$231,$C328),K339))),0)</f>
        <v>0</v>
      </c>
      <c r="M339" s="39">
        <f>+IFERROR(-ABS(IF(EDATE(_xlfn.XLOOKUP(1,$H326:$BE326,$H$4:$BE$4),12*Assumptions!$G$231+12)=M$4,0,IF(L326=1,PMT(Assumptions!$G$229,Assumptions!$G$231,$C328),L339))),0)</f>
        <v>0</v>
      </c>
      <c r="N339" s="39">
        <f>+IFERROR(-ABS(IF(EDATE(_xlfn.XLOOKUP(1,$H326:$BE326,$H$4:$BE$4),12*Assumptions!$G$231+12)=N$4,0,IF(M326=1,PMT(Assumptions!$G$229,Assumptions!$G$231,$C328),M339))),0)</f>
        <v>0</v>
      </c>
      <c r="O339" s="39">
        <f>+IFERROR(-ABS(IF(EDATE(_xlfn.XLOOKUP(1,$H326:$BE326,$H$4:$BE$4),12*Assumptions!$G$231+12)=O$4,0,IF(N326=1,PMT(Assumptions!$G$229,Assumptions!$G$231,$C328),N339))),0)</f>
        <v>0</v>
      </c>
      <c r="P339" s="39">
        <f>+IFERROR(-ABS(IF(EDATE(_xlfn.XLOOKUP(1,$H326:$BE326,$H$4:$BE$4),12*Assumptions!$G$231+12)=P$4,0,IF(O326=1,PMT(Assumptions!$G$229,Assumptions!$G$231,$C328),O339))),0)</f>
        <v>0</v>
      </c>
      <c r="Q339" s="39">
        <f>+IFERROR(-ABS(IF(EDATE(_xlfn.XLOOKUP(1,$H326:$BE326,$H$4:$BE$4),12*Assumptions!$G$231+12)=Q$4,0,IF(P326=1,PMT(Assumptions!$G$229,Assumptions!$G$231,$C328),P339))),0)</f>
        <v>0</v>
      </c>
      <c r="R339" s="39">
        <f>+IFERROR(-ABS(IF(EDATE(_xlfn.XLOOKUP(1,$H326:$BE326,$H$4:$BE$4),12*Assumptions!$G$231+12)=R$4,0,IF(Q326=1,PMT(Assumptions!$G$229,Assumptions!$G$231,$C328),Q339))),0)</f>
        <v>0</v>
      </c>
      <c r="S339" s="39">
        <f>+IFERROR(-ABS(IF(EDATE(_xlfn.XLOOKUP(1,$H326:$BE326,$H$4:$BE$4),12*Assumptions!$G$231+12)=S$4,0,IF(R326=1,PMT(Assumptions!$G$229,Assumptions!$G$231,$C328),R339))),0)</f>
        <v>0</v>
      </c>
      <c r="T339" s="39">
        <f>+IFERROR(-ABS(IF(EDATE(_xlfn.XLOOKUP(1,$H326:$BE326,$H$4:$BE$4),12*Assumptions!$G$231+12)=T$4,0,IF(S326=1,PMT(Assumptions!$G$229,Assumptions!$G$231,$C328),S339))),0)</f>
        <v>0</v>
      </c>
      <c r="U339" s="39">
        <f>+IFERROR(-ABS(IF(EDATE(_xlfn.XLOOKUP(1,$H326:$BE326,$H$4:$BE$4),12*Assumptions!$G$231+12)=U$4,0,IF(T326=1,PMT(Assumptions!$G$229,Assumptions!$G$231,$C328),T339))),0)</f>
        <v>0</v>
      </c>
      <c r="V339" s="39">
        <f>+IFERROR(-ABS(IF(EDATE(_xlfn.XLOOKUP(1,$H326:$BE326,$H$4:$BE$4),12*Assumptions!$G$231+12)=V$4,0,IF(U326=1,PMT(Assumptions!$G$229,Assumptions!$G$231,$C328),U339))),0)</f>
        <v>0</v>
      </c>
      <c r="W339" s="39">
        <f>+IFERROR(-ABS(IF(EDATE(_xlfn.XLOOKUP(1,$H326:$BE326,$H$4:$BE$4),12*Assumptions!$G$231+12)=W$4,0,IF(V326=1,PMT(Assumptions!$G$229,Assumptions!$G$231,$C328),V339))),0)</f>
        <v>0</v>
      </c>
      <c r="X339" s="39">
        <f>+IFERROR(-ABS(IF(EDATE(_xlfn.XLOOKUP(1,$H326:$BE326,$H$4:$BE$4),12*Assumptions!$G$231+12)=X$4,0,IF(W326=1,PMT(Assumptions!$G$229,Assumptions!$G$231,$C328),W339))),0)</f>
        <v>0</v>
      </c>
      <c r="Y339" s="39">
        <f>+IFERROR(-ABS(IF(EDATE(_xlfn.XLOOKUP(1,$H326:$BE326,$H$4:$BE$4),12*Assumptions!$G$231+12)=Y$4,0,IF(X326=1,PMT(Assumptions!$G$229,Assumptions!$G$231,$C328),X339))),0)</f>
        <v>0</v>
      </c>
      <c r="Z339" s="39">
        <f>+IFERROR(-ABS(IF(EDATE(_xlfn.XLOOKUP(1,$H326:$BE326,$H$4:$BE$4),12*Assumptions!$G$231+12)=Z$4,0,IF(Y326=1,PMT(Assumptions!$G$229,Assumptions!$G$231,$C328),Y339))),0)</f>
        <v>0</v>
      </c>
      <c r="AA339" s="39">
        <f>+IFERROR(-ABS(IF(EDATE(_xlfn.XLOOKUP(1,$H326:$BE326,$H$4:$BE$4),12*Assumptions!$G$231+12)=AA$4,0,IF(Z326=1,PMT(Assumptions!$G$229,Assumptions!$G$231,$C328),Z339))),0)</f>
        <v>0</v>
      </c>
      <c r="AB339" s="39">
        <f>+IFERROR(-ABS(IF(EDATE(_xlfn.XLOOKUP(1,$H326:$BE326,$H$4:$BE$4),12*Assumptions!$G$231+12)=AB$4,0,IF(AA326=1,PMT(Assumptions!$G$229,Assumptions!$G$231,$C328),AA339))),0)</f>
        <v>0</v>
      </c>
      <c r="AC339" s="39">
        <f>+IFERROR(-ABS(IF(EDATE(_xlfn.XLOOKUP(1,$H326:$BE326,$H$4:$BE$4),12*Assumptions!$G$231+12)=AC$4,0,IF(AB326=1,PMT(Assumptions!$G$229,Assumptions!$G$231,$C328),AB339))),0)</f>
        <v>0</v>
      </c>
      <c r="AD339" s="39">
        <f>+IFERROR(-ABS(IF(EDATE(_xlfn.XLOOKUP(1,$H326:$BE326,$H$4:$BE$4),12*Assumptions!$G$231+12)=AD$4,0,IF(AC326=1,PMT(Assumptions!$G$229,Assumptions!$G$231,$C328),AC339))),0)</f>
        <v>0</v>
      </c>
      <c r="AE339" s="39">
        <f>+IFERROR(-ABS(IF(EDATE(_xlfn.XLOOKUP(1,$H326:$BE326,$H$4:$BE$4),12*Assumptions!$G$231+12)=AE$4,0,IF(AD326=1,PMT(Assumptions!$G$229,Assumptions!$G$231,$C328),AD339))),0)</f>
        <v>0</v>
      </c>
      <c r="AF339" s="39">
        <f>+IFERROR(-ABS(IF(EDATE(_xlfn.XLOOKUP(1,$H326:$BE326,$H$4:$BE$4),12*Assumptions!$G$231+12)=AF$4,0,IF(AE326=1,PMT(Assumptions!$G$229,Assumptions!$G$231,$C328),AE339))),0)</f>
        <v>0</v>
      </c>
      <c r="AG339" s="39">
        <f>+IFERROR(-ABS(IF(EDATE(_xlfn.XLOOKUP(1,$H326:$BE326,$H$4:$BE$4),12*Assumptions!$G$231+12)=AG$4,0,IF(AF326=1,PMT(Assumptions!$G$229,Assumptions!$G$231,$C328),AF339))),0)</f>
        <v>0</v>
      </c>
      <c r="AH339" s="39">
        <f>+IFERROR(-ABS(IF(EDATE(_xlfn.XLOOKUP(1,$H326:$BE326,$H$4:$BE$4),12*Assumptions!$G$231+12)=AH$4,0,IF(AG326=1,PMT(Assumptions!$G$229,Assumptions!$G$231,$C328),AG339))),0)</f>
        <v>0</v>
      </c>
      <c r="AI339" s="39">
        <f>+IFERROR(-ABS(IF(EDATE(_xlfn.XLOOKUP(1,$H326:$BE326,$H$4:$BE$4),12*Assumptions!$G$231+12)=AI$4,0,IF(AH326=1,PMT(Assumptions!$G$229,Assumptions!$G$231,$C328),AH339))),0)</f>
        <v>0</v>
      </c>
      <c r="AJ339" s="39">
        <f>+IFERROR(-ABS(IF(EDATE(_xlfn.XLOOKUP(1,$H326:$BE326,$H$4:$BE$4),12*Assumptions!$G$231+12)=AJ$4,0,IF(AI326=1,PMT(Assumptions!$G$229,Assumptions!$G$231,$C328),AI339))),0)</f>
        <v>0</v>
      </c>
      <c r="AK339" s="39">
        <f>+IFERROR(-ABS(IF(EDATE(_xlfn.XLOOKUP(1,$H326:$BE326,$H$4:$BE$4),12*Assumptions!$G$231+12)=AK$4,0,IF(AJ326=1,PMT(Assumptions!$G$229,Assumptions!$G$231,$C328),AJ339))),0)</f>
        <v>0</v>
      </c>
      <c r="AL339" s="39">
        <f>+IFERROR(-ABS(IF(EDATE(_xlfn.XLOOKUP(1,$H326:$BE326,$H$4:$BE$4),12*Assumptions!$G$231+12)=AL$4,0,IF(AK326=1,PMT(Assumptions!$G$229,Assumptions!$G$231,$C328),AK339))),0)</f>
        <v>0</v>
      </c>
      <c r="AM339" s="39">
        <f>+IFERROR(-ABS(IF(EDATE(_xlfn.XLOOKUP(1,$H326:$BE326,$H$4:$BE$4),12*Assumptions!$G$231+12)=AM$4,0,IF(AL326=1,PMT(Assumptions!$G$229,Assumptions!$G$231,$C328),AL339))),0)</f>
        <v>0</v>
      </c>
      <c r="AN339" s="39">
        <f>+IFERROR(-ABS(IF(EDATE(_xlfn.XLOOKUP(1,$H326:$BE326,$H$4:$BE$4),12*Assumptions!$G$231+12)=AN$4,0,IF(AM326=1,PMT(Assumptions!$G$229,Assumptions!$G$231,$C328),AM339))),0)</f>
        <v>0</v>
      </c>
      <c r="AO339" s="39">
        <f>+IFERROR(-ABS(IF(EDATE(_xlfn.XLOOKUP(1,$H326:$BE326,$H$4:$BE$4),12*Assumptions!$G$231+12)=AO$4,0,IF(AN326=1,PMT(Assumptions!$G$229,Assumptions!$G$231,$C328),AN339))),0)</f>
        <v>0</v>
      </c>
      <c r="AP339" s="39">
        <f>+IFERROR(-ABS(IF(EDATE(_xlfn.XLOOKUP(1,$H326:$BE326,$H$4:$BE$4),12*Assumptions!$G$231+12)=AP$4,0,IF(AO326=1,PMT(Assumptions!$G$229,Assumptions!$G$231,$C328),AO339))),0)</f>
        <v>0</v>
      </c>
      <c r="AQ339" s="39">
        <f>+IFERROR(-ABS(IF(EDATE(_xlfn.XLOOKUP(1,$H326:$BE326,$H$4:$BE$4),12*Assumptions!$G$231+12)=AQ$4,0,IF(AP326=1,PMT(Assumptions!$G$229,Assumptions!$G$231,$C328),AP339))),0)</f>
        <v>0</v>
      </c>
      <c r="AR339" s="39">
        <f>+IFERROR(-ABS(IF(EDATE(_xlfn.XLOOKUP(1,$H326:$BE326,$H$4:$BE$4),12*Assumptions!$G$231+12)=AR$4,0,IF(AQ326=1,PMT(Assumptions!$G$229,Assumptions!$G$231,$C328),AQ339))),0)</f>
        <v>0</v>
      </c>
      <c r="AS339" s="39">
        <f>+IFERROR(-ABS(IF(EDATE(_xlfn.XLOOKUP(1,$H326:$BE326,$H$4:$BE$4),12*Assumptions!$G$231+12)=AS$4,0,IF(AR326=1,PMT(Assumptions!$G$229,Assumptions!$G$231,$C328),AR339))),0)</f>
        <v>0</v>
      </c>
      <c r="AT339" s="39">
        <f>+IFERROR(-ABS(IF(EDATE(_xlfn.XLOOKUP(1,$H326:$BE326,$H$4:$BE$4),12*Assumptions!$G$231+12)=AT$4,0,IF(AS326=1,PMT(Assumptions!$G$229,Assumptions!$G$231,$C328),AS339))),0)</f>
        <v>0</v>
      </c>
      <c r="AU339" s="39">
        <f>+IFERROR(-ABS(IF(EDATE(_xlfn.XLOOKUP(1,$H326:$BE326,$H$4:$BE$4),12*Assumptions!$G$231+12)=AU$4,0,IF(AT326=1,PMT(Assumptions!$G$229,Assumptions!$G$231,$C328),AT339))),0)</f>
        <v>0</v>
      </c>
      <c r="AV339" s="39">
        <f>+IFERROR(-ABS(IF(EDATE(_xlfn.XLOOKUP(1,$H326:$BE326,$H$4:$BE$4),12*Assumptions!$G$231+12)=AV$4,0,IF(AU326=1,PMT(Assumptions!$G$229,Assumptions!$G$231,$C328),AU339))),0)</f>
        <v>0</v>
      </c>
      <c r="AW339" s="39">
        <f>+IFERROR(-ABS(IF(EDATE(_xlfn.XLOOKUP(1,$H326:$BE326,$H$4:$BE$4),12*Assumptions!$G$231+12)=AW$4,0,IF(AV326=1,PMT(Assumptions!$G$229,Assumptions!$G$231,$C328),AV339))),0)</f>
        <v>0</v>
      </c>
      <c r="AX339" s="39">
        <f>+IFERROR(-ABS(IF(EDATE(_xlfn.XLOOKUP(1,$H326:$BE326,$H$4:$BE$4),12*Assumptions!$G$231+12)=AX$4,0,IF(AW326=1,PMT(Assumptions!$G$229,Assumptions!$G$231,$C328),AW339))),0)</f>
        <v>0</v>
      </c>
      <c r="AY339" s="39">
        <f>+IFERROR(-ABS(IF(EDATE(_xlfn.XLOOKUP(1,$H326:$BE326,$H$4:$BE$4),12*Assumptions!$G$231+12)=AY$4,0,IF(AX326=1,PMT(Assumptions!$G$229,Assumptions!$G$231,$C328),AX339))),0)</f>
        <v>0</v>
      </c>
      <c r="AZ339" s="39">
        <f>+IFERROR(-ABS(IF(EDATE(_xlfn.XLOOKUP(1,$H326:$BE326,$H$4:$BE$4),12*Assumptions!$G$231+12)=AZ$4,0,IF(AY326=1,PMT(Assumptions!$G$229,Assumptions!$G$231,$C328),AY339))),0)</f>
        <v>0</v>
      </c>
      <c r="BA339" s="39">
        <f>+IFERROR(-ABS(IF(EDATE(_xlfn.XLOOKUP(1,$H326:$BE326,$H$4:$BE$4),12*Assumptions!$G$231+12)=BA$4,0,IF(AZ326=1,PMT(Assumptions!$G$229,Assumptions!$G$231,$C328),AZ339))),0)</f>
        <v>0</v>
      </c>
      <c r="BB339" s="39">
        <f>+IFERROR(-ABS(IF(EDATE(_xlfn.XLOOKUP(1,$H326:$BE326,$H$4:$BE$4),12*Assumptions!$G$231+12)=BB$4,0,IF(BA326=1,PMT(Assumptions!$G$229,Assumptions!$G$231,$C328),BA339))),0)</f>
        <v>0</v>
      </c>
      <c r="BC339" s="39">
        <f>+IFERROR(-ABS(IF(EDATE(_xlfn.XLOOKUP(1,$H326:$BE326,$H$4:$BE$4),12*Assumptions!$G$231+12)=BC$4,0,IF(BB326=1,PMT(Assumptions!$G$229,Assumptions!$G$231,$C328),BB339))),0)</f>
        <v>0</v>
      </c>
      <c r="BD339" s="39">
        <f>+IFERROR(-ABS(IF(EDATE(_xlfn.XLOOKUP(1,$H326:$BE326,$H$4:$BE$4),12*Assumptions!$G$231+12)=BD$4,0,IF(BC326=1,PMT(Assumptions!$G$229,Assumptions!$G$231,$C328),BC339))),0)</f>
        <v>0</v>
      </c>
      <c r="BE339" s="39">
        <f>+IFERROR(-ABS(IF(EDATE(_xlfn.XLOOKUP(1,$H326:$BE326,$H$4:$BE$4),12*Assumptions!$G$231+12)=BE$4,0,IF(BD326=1,PMT(Assumptions!$G$229,Assumptions!$G$231,$C328),BD339))),0)</f>
        <v>0</v>
      </c>
      <c r="BF339" s="39">
        <f>+IFERROR(-ABS(IF(EDATE(_xlfn.XLOOKUP(1,$H326:$BE326,$H$4:$BE$4),12*Assumptions!$G$231+12)=BF$4,0,IF(BE326=1,PMT(Assumptions!$G$229,Assumptions!$G$231,$C328),BE339))),0)</f>
        <v>0</v>
      </c>
      <c r="BG339" s="39">
        <f>+IFERROR(-ABS(IF(EDATE(_xlfn.XLOOKUP(1,$H326:$BE326,$H$4:$BE$4),12*Assumptions!$G$231+12)=BG$4,0,IF(BF326=1,PMT(Assumptions!$G$229,Assumptions!$G$231,$C328),BF339))),0)</f>
        <v>0</v>
      </c>
      <c r="BH339" s="39">
        <f>+IFERROR(-ABS(IF(EDATE(_xlfn.XLOOKUP(1,$H326:$BE326,$H$4:$BE$4),12*Assumptions!$G$231+12)=BH$4,0,IF(BG326=1,PMT(Assumptions!$G$229,Assumptions!$G$231,$C328),BG339))),0)</f>
        <v>0</v>
      </c>
      <c r="BI339" s="39">
        <f>+IFERROR(-ABS(IF(EDATE(_xlfn.XLOOKUP(1,$H326:$BE326,$H$4:$BE$4),12*Assumptions!$G$231+12)=BI$4,0,IF(BH326=1,PMT(Assumptions!$G$229,Assumptions!$G$231,$C328),BH339))),0)</f>
        <v>0</v>
      </c>
      <c r="BJ339" s="39">
        <f>+IFERROR(-ABS(IF(EDATE(_xlfn.XLOOKUP(1,$H326:$BE326,$H$4:$BE$4),12*Assumptions!$G$231+12)=BJ$4,0,IF(BI326=1,PMT(Assumptions!$G$229,Assumptions!$G$231,$C328),BI339))),0)</f>
        <v>0</v>
      </c>
      <c r="BK339" s="39">
        <f>+IFERROR(-ABS(IF(EDATE(_xlfn.XLOOKUP(1,$H326:$BE326,$H$4:$BE$4),12*Assumptions!$G$231+12)=BK$4,0,IF(BJ326=1,PMT(Assumptions!$G$229,Assumptions!$G$231,$C328),BJ339))),0)</f>
        <v>0</v>
      </c>
      <c r="BL339" s="39">
        <f>+IFERROR(-ABS(IF(EDATE(_xlfn.XLOOKUP(1,$H326:$BE326,$H$4:$BE$4),12*Assumptions!$G$231+12)=BL$4,0,IF(BK326=1,PMT(Assumptions!$G$229,Assumptions!$G$231,$C328),BK339))),0)</f>
        <v>0</v>
      </c>
      <c r="BM339" s="39">
        <f>+IFERROR(-ABS(IF(EDATE(_xlfn.XLOOKUP(1,$H326:$BE326,$H$4:$BE$4),12*Assumptions!$G$231+12)=BM$4,0,IF(BL326=1,PMT(Assumptions!$G$229,Assumptions!$G$231,$C328),BL339))),0)</f>
        <v>0</v>
      </c>
      <c r="BN339" s="39">
        <f>+IFERROR(-ABS(IF(EDATE(_xlfn.XLOOKUP(1,$H326:$BE326,$H$4:$BE$4),12*Assumptions!$G$231+12)=BN$4,0,IF(BM326=1,PMT(Assumptions!$G$229,Assumptions!$G$231,$C328),BM339))),0)</f>
        <v>0</v>
      </c>
      <c r="BO339" s="39">
        <f>+IFERROR(-ABS(IF(EDATE(_xlfn.XLOOKUP(1,$H326:$BE326,$H$4:$BE$4),12*Assumptions!$G$231+12)=BO$4,0,IF(BN326=1,PMT(Assumptions!$G$229,Assumptions!$G$231,$C328),BN339))),0)</f>
        <v>0</v>
      </c>
      <c r="BP339" s="39">
        <f>+IFERROR(-ABS(IF(EDATE(_xlfn.XLOOKUP(1,$H326:$BE326,$H$4:$BE$4),12*Assumptions!$G$231+12)=BP$4,0,IF(BO326=1,PMT(Assumptions!$G$229,Assumptions!$G$231,$C328),BO339))),0)</f>
        <v>0</v>
      </c>
      <c r="BQ339" s="39">
        <f>+IFERROR(-ABS(IF(EDATE(_xlfn.XLOOKUP(1,$H326:$BE326,$H$4:$BE$4),12*Assumptions!$G$231+12)=BQ$4,0,IF(BP326=1,PMT(Assumptions!$G$229,Assumptions!$G$231,$C328),BP339))),0)</f>
        <v>0</v>
      </c>
      <c r="BR339" s="39">
        <f>+IFERROR(-ABS(IF(EDATE(_xlfn.XLOOKUP(1,$H326:$BE326,$H$4:$BE$4),12*Assumptions!$G$231+12)=BR$4,0,IF(BQ326=1,PMT(Assumptions!$G$229,Assumptions!$G$231,$C328),BQ339))),0)</f>
        <v>0</v>
      </c>
      <c r="BS339" s="39">
        <f>+IFERROR(-ABS(IF(EDATE(_xlfn.XLOOKUP(1,$H326:$BE326,$H$4:$BE$4),12*Assumptions!$G$231+12)=BS$4,0,IF(BR326=1,PMT(Assumptions!$G$229,Assumptions!$G$231,$C328),BR339))),0)</f>
        <v>0</v>
      </c>
      <c r="BT339" s="39">
        <f>+IFERROR(-ABS(IF(EDATE(_xlfn.XLOOKUP(1,$H326:$BE326,$H$4:$BE$4),12*Assumptions!$G$231+12)=BT$4,0,IF(BS326=1,PMT(Assumptions!$G$229,Assumptions!$G$231,$C328),BS339))),0)</f>
        <v>0</v>
      </c>
      <c r="BU339" s="39">
        <f>+IFERROR(-ABS(IF(EDATE(_xlfn.XLOOKUP(1,$H326:$BE326,$H$4:$BE$4),12*Assumptions!$G$231+12)=BU$4,0,IF(BT326=1,PMT(Assumptions!$G$229,Assumptions!$G$231,$C328),BT339))),0)</f>
        <v>0</v>
      </c>
      <c r="BV339" s="39">
        <f>+IFERROR(-ABS(IF(EDATE(_xlfn.XLOOKUP(1,$H326:$BE326,$H$4:$BE$4),12*Assumptions!$G$231+12)=BV$4,0,IF(BU326=1,PMT(Assumptions!$G$229,Assumptions!$G$231,$C328),BU339))),0)</f>
        <v>0</v>
      </c>
      <c r="BW339" s="39">
        <f>+IFERROR(-ABS(IF(EDATE(_xlfn.XLOOKUP(1,$H326:$BE326,$H$4:$BE$4),12*Assumptions!$G$231+12)=BW$4,0,IF(BV326=1,PMT(Assumptions!$G$229,Assumptions!$G$231,$C328),BV339))),0)</f>
        <v>0</v>
      </c>
      <c r="BX339" s="39">
        <f>+IFERROR(-ABS(IF(EDATE(_xlfn.XLOOKUP(1,$H326:$BE326,$H$4:$BE$4),12*Assumptions!$G$231+12)=BX$4,0,IF(BW326=1,PMT(Assumptions!$G$229,Assumptions!$G$231,$C328),BW339))),0)</f>
        <v>0</v>
      </c>
      <c r="BY339" s="39">
        <f>+IFERROR(-ABS(IF(EDATE(_xlfn.XLOOKUP(1,$H326:$BE326,$H$4:$BE$4),12*Assumptions!$G$231+12)=BY$4,0,IF(BX326=1,PMT(Assumptions!$G$229,Assumptions!$G$231,$C328),BX339))),0)</f>
        <v>0</v>
      </c>
    </row>
    <row r="340" spans="3:77" outlineLevel="1">
      <c r="E340" s="24" t="s">
        <v>522</v>
      </c>
      <c r="F340" s="80" t="str">
        <f>+Assumptions!$G$8</f>
        <v>USD</v>
      </c>
      <c r="G340" s="24"/>
      <c r="H340" s="39">
        <f>+IFERROR(-ABS(IF(EDATE(_xlfn.XLOOKUP(1,$H327:$BE327,$H$4:$BE$4),12*Assumptions!$G$231+12)=H$4,0,IF(G327=1,PMT(Assumptions!$G$229,Assumptions!$G$231,$C329),G340))),0)</f>
        <v>0</v>
      </c>
      <c r="I340" s="39">
        <f>+IFERROR(-ABS(IF(EDATE(_xlfn.XLOOKUP(1,$H327:$BE327,$H$4:$BE$4),12*Assumptions!$G$231+12)=I$4,0,IF(H327=1,PMT(Assumptions!$G$229,Assumptions!$G$231,$C329),H340))),0)</f>
        <v>0</v>
      </c>
      <c r="J340" s="39">
        <f>+IFERROR(-ABS(IF(EDATE(_xlfn.XLOOKUP(1,$H327:$BE327,$H$4:$BE$4),12*Assumptions!$G$231+12)=J$4,0,IF(I327=1,PMT(Assumptions!$G$229,Assumptions!$G$231,$C329),I340))),0)</f>
        <v>0</v>
      </c>
      <c r="K340" s="39">
        <f>+IFERROR(-ABS(IF(EDATE(_xlfn.XLOOKUP(1,$H327:$BE327,$H$4:$BE$4),12*Assumptions!$G$231+12)=K$4,0,IF(J327=1,PMT(Assumptions!$G$229,Assumptions!$G$231,$C329),J340))),0)</f>
        <v>0</v>
      </c>
      <c r="L340" s="39">
        <f>+IFERROR(-ABS(IF(EDATE(_xlfn.XLOOKUP(1,$H327:$BE327,$H$4:$BE$4),12*Assumptions!$G$231+12)=L$4,0,IF(K327=1,PMT(Assumptions!$G$229,Assumptions!$G$231,$C329),K340))),0)</f>
        <v>0</v>
      </c>
      <c r="M340" s="39">
        <f>+IFERROR(-ABS(IF(EDATE(_xlfn.XLOOKUP(1,$H327:$BE327,$H$4:$BE$4),12*Assumptions!$G$231+12)=M$4,0,IF(L327=1,PMT(Assumptions!$G$229,Assumptions!$G$231,$C329),L340))),0)</f>
        <v>0</v>
      </c>
      <c r="N340" s="39">
        <f>+IFERROR(-ABS(IF(EDATE(_xlfn.XLOOKUP(1,$H327:$BE327,$H$4:$BE$4),12*Assumptions!$G$231+12)=N$4,0,IF(M327=1,PMT(Assumptions!$G$229,Assumptions!$G$231,$C329),M340))),0)</f>
        <v>0</v>
      </c>
      <c r="O340" s="39">
        <f>+IFERROR(-ABS(IF(EDATE(_xlfn.XLOOKUP(1,$H327:$BE327,$H$4:$BE$4),12*Assumptions!$G$231+12)=O$4,0,IF(N327=1,PMT(Assumptions!$G$229,Assumptions!$G$231,$C329),N340))),0)</f>
        <v>0</v>
      </c>
      <c r="P340" s="39">
        <f>+IFERROR(-ABS(IF(EDATE(_xlfn.XLOOKUP(1,$H327:$BE327,$H$4:$BE$4),12*Assumptions!$G$231+12)=P$4,0,IF(O327=1,PMT(Assumptions!$G$229,Assumptions!$G$231,$C329),O340))),0)</f>
        <v>0</v>
      </c>
      <c r="Q340" s="39">
        <f>+IFERROR(-ABS(IF(EDATE(_xlfn.XLOOKUP(1,$H327:$BE327,$H$4:$BE$4),12*Assumptions!$G$231+12)=Q$4,0,IF(P327=1,PMT(Assumptions!$G$229,Assumptions!$G$231,$C329),P340))),0)</f>
        <v>0</v>
      </c>
      <c r="R340" s="39">
        <f>+IFERROR(-ABS(IF(EDATE(_xlfn.XLOOKUP(1,$H327:$BE327,$H$4:$BE$4),12*Assumptions!$G$231+12)=R$4,0,IF(Q327=1,PMT(Assumptions!$G$229,Assumptions!$G$231,$C329),Q340))),0)</f>
        <v>0</v>
      </c>
      <c r="S340" s="39">
        <f>+IFERROR(-ABS(IF(EDATE(_xlfn.XLOOKUP(1,$H327:$BE327,$H$4:$BE$4),12*Assumptions!$G$231+12)=S$4,0,IF(R327=1,PMT(Assumptions!$G$229,Assumptions!$G$231,$C329),R340))),0)</f>
        <v>0</v>
      </c>
      <c r="T340" s="39">
        <f>+IFERROR(-ABS(IF(EDATE(_xlfn.XLOOKUP(1,$H327:$BE327,$H$4:$BE$4),12*Assumptions!$G$231+12)=T$4,0,IF(S327=1,PMT(Assumptions!$G$229,Assumptions!$G$231,$C329),S340))),0)</f>
        <v>0</v>
      </c>
      <c r="U340" s="39">
        <f>+IFERROR(-ABS(IF(EDATE(_xlfn.XLOOKUP(1,$H327:$BE327,$H$4:$BE$4),12*Assumptions!$G$231+12)=U$4,0,IF(T327=1,PMT(Assumptions!$G$229,Assumptions!$G$231,$C329),T340))),0)</f>
        <v>0</v>
      </c>
      <c r="V340" s="39">
        <f>+IFERROR(-ABS(IF(EDATE(_xlfn.XLOOKUP(1,$H327:$BE327,$H$4:$BE$4),12*Assumptions!$G$231+12)=V$4,0,IF(U327=1,PMT(Assumptions!$G$229,Assumptions!$G$231,$C329),U340))),0)</f>
        <v>0</v>
      </c>
      <c r="W340" s="39">
        <f>+IFERROR(-ABS(IF(EDATE(_xlfn.XLOOKUP(1,$H327:$BE327,$H$4:$BE$4),12*Assumptions!$G$231+12)=W$4,0,IF(V327=1,PMT(Assumptions!$G$229,Assumptions!$G$231,$C329),V340))),0)</f>
        <v>0</v>
      </c>
      <c r="X340" s="39">
        <f>+IFERROR(-ABS(IF(EDATE(_xlfn.XLOOKUP(1,$H327:$BE327,$H$4:$BE$4),12*Assumptions!$G$231+12)=X$4,0,IF(W327=1,PMT(Assumptions!$G$229,Assumptions!$G$231,$C329),W340))),0)</f>
        <v>0</v>
      </c>
      <c r="Y340" s="39">
        <f>+IFERROR(-ABS(IF(EDATE(_xlfn.XLOOKUP(1,$H327:$BE327,$H$4:$BE$4),12*Assumptions!$G$231+12)=Y$4,0,IF(X327=1,PMT(Assumptions!$G$229,Assumptions!$G$231,$C329),X340))),0)</f>
        <v>0</v>
      </c>
      <c r="Z340" s="39">
        <f>+IFERROR(-ABS(IF(EDATE(_xlfn.XLOOKUP(1,$H327:$BE327,$H$4:$BE$4),12*Assumptions!$G$231+12)=Z$4,0,IF(Y327=1,PMT(Assumptions!$G$229,Assumptions!$G$231,$C329),Y340))),0)</f>
        <v>0</v>
      </c>
      <c r="AA340" s="39">
        <f>+IFERROR(-ABS(IF(EDATE(_xlfn.XLOOKUP(1,$H327:$BE327,$H$4:$BE$4),12*Assumptions!$G$231+12)=AA$4,0,IF(Z327=1,PMT(Assumptions!$G$229,Assumptions!$G$231,$C329),Z340))),0)</f>
        <v>0</v>
      </c>
      <c r="AB340" s="39">
        <f>+IFERROR(-ABS(IF(EDATE(_xlfn.XLOOKUP(1,$H327:$BE327,$H$4:$BE$4),12*Assumptions!$G$231+12)=AB$4,0,IF(AA327=1,PMT(Assumptions!$G$229,Assumptions!$G$231,$C329),AA340))),0)</f>
        <v>0</v>
      </c>
      <c r="AC340" s="39">
        <f>+IFERROR(-ABS(IF(EDATE(_xlfn.XLOOKUP(1,$H327:$BE327,$H$4:$BE$4),12*Assumptions!$G$231+12)=AC$4,0,IF(AB327=1,PMT(Assumptions!$G$229,Assumptions!$G$231,$C329),AB340))),0)</f>
        <v>0</v>
      </c>
      <c r="AD340" s="39">
        <f>+IFERROR(-ABS(IF(EDATE(_xlfn.XLOOKUP(1,$H327:$BE327,$H$4:$BE$4),12*Assumptions!$G$231+12)=AD$4,0,IF(AC327=1,PMT(Assumptions!$G$229,Assumptions!$G$231,$C329),AC340))),0)</f>
        <v>0</v>
      </c>
      <c r="AE340" s="39">
        <f>+IFERROR(-ABS(IF(EDATE(_xlfn.XLOOKUP(1,$H327:$BE327,$H$4:$BE$4),12*Assumptions!$G$231+12)=AE$4,0,IF(AD327=1,PMT(Assumptions!$G$229,Assumptions!$G$231,$C329),AD340))),0)</f>
        <v>0</v>
      </c>
      <c r="AF340" s="39">
        <f>+IFERROR(-ABS(IF(EDATE(_xlfn.XLOOKUP(1,$H327:$BE327,$H$4:$BE$4),12*Assumptions!$G$231+12)=AF$4,0,IF(AE327=1,PMT(Assumptions!$G$229,Assumptions!$G$231,$C329),AE340))),0)</f>
        <v>0</v>
      </c>
      <c r="AG340" s="39">
        <f>+IFERROR(-ABS(IF(EDATE(_xlfn.XLOOKUP(1,$H327:$BE327,$H$4:$BE$4),12*Assumptions!$G$231+12)=AG$4,0,IF(AF327=1,PMT(Assumptions!$G$229,Assumptions!$G$231,$C329),AF340))),0)</f>
        <v>0</v>
      </c>
      <c r="AH340" s="39">
        <f>+IFERROR(-ABS(IF(EDATE(_xlfn.XLOOKUP(1,$H327:$BE327,$H$4:$BE$4),12*Assumptions!$G$231+12)=AH$4,0,IF(AG327=1,PMT(Assumptions!$G$229,Assumptions!$G$231,$C329),AG340))),0)</f>
        <v>0</v>
      </c>
      <c r="AI340" s="39">
        <f>+IFERROR(-ABS(IF(EDATE(_xlfn.XLOOKUP(1,$H327:$BE327,$H$4:$BE$4),12*Assumptions!$G$231+12)=AI$4,0,IF(AH327=1,PMT(Assumptions!$G$229,Assumptions!$G$231,$C329),AH340))),0)</f>
        <v>0</v>
      </c>
      <c r="AJ340" s="39">
        <f>+IFERROR(-ABS(IF(EDATE(_xlfn.XLOOKUP(1,$H327:$BE327,$H$4:$BE$4),12*Assumptions!$G$231+12)=AJ$4,0,IF(AI327=1,PMT(Assumptions!$G$229,Assumptions!$G$231,$C329),AI340))),0)</f>
        <v>0</v>
      </c>
      <c r="AK340" s="39">
        <f>+IFERROR(-ABS(IF(EDATE(_xlfn.XLOOKUP(1,$H327:$BE327,$H$4:$BE$4),12*Assumptions!$G$231+12)=AK$4,0,IF(AJ327=1,PMT(Assumptions!$G$229,Assumptions!$G$231,$C329),AJ340))),0)</f>
        <v>0</v>
      </c>
      <c r="AL340" s="39">
        <f>+IFERROR(-ABS(IF(EDATE(_xlfn.XLOOKUP(1,$H327:$BE327,$H$4:$BE$4),12*Assumptions!$G$231+12)=AL$4,0,IF(AK327=1,PMT(Assumptions!$G$229,Assumptions!$G$231,$C329),AK340))),0)</f>
        <v>0</v>
      </c>
      <c r="AM340" s="39">
        <f>+IFERROR(-ABS(IF(EDATE(_xlfn.XLOOKUP(1,$H327:$BE327,$H$4:$BE$4),12*Assumptions!$G$231+12)=AM$4,0,IF(AL327=1,PMT(Assumptions!$G$229,Assumptions!$G$231,$C329),AL340))),0)</f>
        <v>0</v>
      </c>
      <c r="AN340" s="39">
        <f>+IFERROR(-ABS(IF(EDATE(_xlfn.XLOOKUP(1,$H327:$BE327,$H$4:$BE$4),12*Assumptions!$G$231+12)=AN$4,0,IF(AM327=1,PMT(Assumptions!$G$229,Assumptions!$G$231,$C329),AM340))),0)</f>
        <v>0</v>
      </c>
      <c r="AO340" s="39">
        <f>+IFERROR(-ABS(IF(EDATE(_xlfn.XLOOKUP(1,$H327:$BE327,$H$4:$BE$4),12*Assumptions!$G$231+12)=AO$4,0,IF(AN327=1,PMT(Assumptions!$G$229,Assumptions!$G$231,$C329),AN340))),0)</f>
        <v>0</v>
      </c>
      <c r="AP340" s="39">
        <f>+IFERROR(-ABS(IF(EDATE(_xlfn.XLOOKUP(1,$H327:$BE327,$H$4:$BE$4),12*Assumptions!$G$231+12)=AP$4,0,IF(AO327=1,PMT(Assumptions!$G$229,Assumptions!$G$231,$C329),AO340))),0)</f>
        <v>0</v>
      </c>
      <c r="AQ340" s="39">
        <f>+IFERROR(-ABS(IF(EDATE(_xlfn.XLOOKUP(1,$H327:$BE327,$H$4:$BE$4),12*Assumptions!$G$231+12)=AQ$4,0,IF(AP327=1,PMT(Assumptions!$G$229,Assumptions!$G$231,$C329),AP340))),0)</f>
        <v>0</v>
      </c>
      <c r="AR340" s="39">
        <f>+IFERROR(-ABS(IF(EDATE(_xlfn.XLOOKUP(1,$H327:$BE327,$H$4:$BE$4),12*Assumptions!$G$231+12)=AR$4,0,IF(AQ327=1,PMT(Assumptions!$G$229,Assumptions!$G$231,$C329),AQ340))),0)</f>
        <v>0</v>
      </c>
      <c r="AS340" s="39">
        <f>+IFERROR(-ABS(IF(EDATE(_xlfn.XLOOKUP(1,$H327:$BE327,$H$4:$BE$4),12*Assumptions!$G$231+12)=AS$4,0,IF(AR327=1,PMT(Assumptions!$G$229,Assumptions!$G$231,$C329),AR340))),0)</f>
        <v>0</v>
      </c>
      <c r="AT340" s="39">
        <f>+IFERROR(-ABS(IF(EDATE(_xlfn.XLOOKUP(1,$H327:$BE327,$H$4:$BE$4),12*Assumptions!$G$231+12)=AT$4,0,IF(AS327=1,PMT(Assumptions!$G$229,Assumptions!$G$231,$C329),AS340))),0)</f>
        <v>0</v>
      </c>
      <c r="AU340" s="39">
        <f>+IFERROR(-ABS(IF(EDATE(_xlfn.XLOOKUP(1,$H327:$BE327,$H$4:$BE$4),12*Assumptions!$G$231+12)=AU$4,0,IF(AT327=1,PMT(Assumptions!$G$229,Assumptions!$G$231,$C329),AT340))),0)</f>
        <v>0</v>
      </c>
      <c r="AV340" s="39">
        <f>+IFERROR(-ABS(IF(EDATE(_xlfn.XLOOKUP(1,$H327:$BE327,$H$4:$BE$4),12*Assumptions!$G$231+12)=AV$4,0,IF(AU327=1,PMT(Assumptions!$G$229,Assumptions!$G$231,$C329),AU340))),0)</f>
        <v>0</v>
      </c>
      <c r="AW340" s="39">
        <f>+IFERROR(-ABS(IF(EDATE(_xlfn.XLOOKUP(1,$H327:$BE327,$H$4:$BE$4),12*Assumptions!$G$231+12)=AW$4,0,IF(AV327=1,PMT(Assumptions!$G$229,Assumptions!$G$231,$C329),AV340))),0)</f>
        <v>0</v>
      </c>
      <c r="AX340" s="39">
        <f>+IFERROR(-ABS(IF(EDATE(_xlfn.XLOOKUP(1,$H327:$BE327,$H$4:$BE$4),12*Assumptions!$G$231+12)=AX$4,0,IF(AW327=1,PMT(Assumptions!$G$229,Assumptions!$G$231,$C329),AW340))),0)</f>
        <v>0</v>
      </c>
      <c r="AY340" s="39">
        <f>+IFERROR(-ABS(IF(EDATE(_xlfn.XLOOKUP(1,$H327:$BE327,$H$4:$BE$4),12*Assumptions!$G$231+12)=AY$4,0,IF(AX327=1,PMT(Assumptions!$G$229,Assumptions!$G$231,$C329),AX340))),0)</f>
        <v>0</v>
      </c>
      <c r="AZ340" s="39">
        <f>+IFERROR(-ABS(IF(EDATE(_xlfn.XLOOKUP(1,$H327:$BE327,$H$4:$BE$4),12*Assumptions!$G$231+12)=AZ$4,0,IF(AY327=1,PMT(Assumptions!$G$229,Assumptions!$G$231,$C329),AY340))),0)</f>
        <v>0</v>
      </c>
      <c r="BA340" s="39">
        <f>+IFERROR(-ABS(IF(EDATE(_xlfn.XLOOKUP(1,$H327:$BE327,$H$4:$BE$4),12*Assumptions!$G$231+12)=BA$4,0,IF(AZ327=1,PMT(Assumptions!$G$229,Assumptions!$G$231,$C329),AZ340))),0)</f>
        <v>0</v>
      </c>
      <c r="BB340" s="39">
        <f>+IFERROR(-ABS(IF(EDATE(_xlfn.XLOOKUP(1,$H327:$BE327,$H$4:$BE$4),12*Assumptions!$G$231+12)=BB$4,0,IF(BA327=1,PMT(Assumptions!$G$229,Assumptions!$G$231,$C329),BA340))),0)</f>
        <v>0</v>
      </c>
      <c r="BC340" s="39">
        <f>+IFERROR(-ABS(IF(EDATE(_xlfn.XLOOKUP(1,$H327:$BE327,$H$4:$BE$4),12*Assumptions!$G$231+12)=BC$4,0,IF(BB327=1,PMT(Assumptions!$G$229,Assumptions!$G$231,$C329),BB340))),0)</f>
        <v>0</v>
      </c>
      <c r="BD340" s="39">
        <f>+IFERROR(-ABS(IF(EDATE(_xlfn.XLOOKUP(1,$H327:$BE327,$H$4:$BE$4),12*Assumptions!$G$231+12)=BD$4,0,IF(BC327=1,PMT(Assumptions!$G$229,Assumptions!$G$231,$C329),BC340))),0)</f>
        <v>0</v>
      </c>
      <c r="BE340" s="39">
        <f>+IFERROR(-ABS(IF(EDATE(_xlfn.XLOOKUP(1,$H327:$BE327,$H$4:$BE$4),12*Assumptions!$G$231+12)=BE$4,0,IF(BD327=1,PMT(Assumptions!$G$229,Assumptions!$G$231,$C329),BD340))),0)</f>
        <v>0</v>
      </c>
      <c r="BF340" s="39">
        <f>+IFERROR(-ABS(IF(EDATE(_xlfn.XLOOKUP(1,$H327:$BE327,$H$4:$BE$4),12*Assumptions!$G$231+12)=BF$4,0,IF(BE327=1,PMT(Assumptions!$G$229,Assumptions!$G$231,$C329),BE340))),0)</f>
        <v>0</v>
      </c>
      <c r="BG340" s="39">
        <f>+IFERROR(-ABS(IF(EDATE(_xlfn.XLOOKUP(1,$H327:$BE327,$H$4:$BE$4),12*Assumptions!$G$231+12)=BG$4,0,IF(BF327=1,PMT(Assumptions!$G$229,Assumptions!$G$231,$C329),BF340))),0)</f>
        <v>0</v>
      </c>
      <c r="BH340" s="39">
        <f>+IFERROR(-ABS(IF(EDATE(_xlfn.XLOOKUP(1,$H327:$BE327,$H$4:$BE$4),12*Assumptions!$G$231+12)=BH$4,0,IF(BG327=1,PMT(Assumptions!$G$229,Assumptions!$G$231,$C329),BG340))),0)</f>
        <v>0</v>
      </c>
      <c r="BI340" s="39">
        <f>+IFERROR(-ABS(IF(EDATE(_xlfn.XLOOKUP(1,$H327:$BE327,$H$4:$BE$4),12*Assumptions!$G$231+12)=BI$4,0,IF(BH327=1,PMT(Assumptions!$G$229,Assumptions!$G$231,$C329),BH340))),0)</f>
        <v>0</v>
      </c>
      <c r="BJ340" s="39">
        <f>+IFERROR(-ABS(IF(EDATE(_xlfn.XLOOKUP(1,$H327:$BE327,$H$4:$BE$4),12*Assumptions!$G$231+12)=BJ$4,0,IF(BI327=1,PMT(Assumptions!$G$229,Assumptions!$G$231,$C329),BI340))),0)</f>
        <v>0</v>
      </c>
      <c r="BK340" s="39">
        <f>+IFERROR(-ABS(IF(EDATE(_xlfn.XLOOKUP(1,$H327:$BE327,$H$4:$BE$4),12*Assumptions!$G$231+12)=BK$4,0,IF(BJ327=1,PMT(Assumptions!$G$229,Assumptions!$G$231,$C329),BJ340))),0)</f>
        <v>0</v>
      </c>
      <c r="BL340" s="39">
        <f>+IFERROR(-ABS(IF(EDATE(_xlfn.XLOOKUP(1,$H327:$BE327,$H$4:$BE$4),12*Assumptions!$G$231+12)=BL$4,0,IF(BK327=1,PMT(Assumptions!$G$229,Assumptions!$G$231,$C329),BK340))),0)</f>
        <v>0</v>
      </c>
      <c r="BM340" s="39">
        <f>+IFERROR(-ABS(IF(EDATE(_xlfn.XLOOKUP(1,$H327:$BE327,$H$4:$BE$4),12*Assumptions!$G$231+12)=BM$4,0,IF(BL327=1,PMT(Assumptions!$G$229,Assumptions!$G$231,$C329),BL340))),0)</f>
        <v>0</v>
      </c>
      <c r="BN340" s="39">
        <f>+IFERROR(-ABS(IF(EDATE(_xlfn.XLOOKUP(1,$H327:$BE327,$H$4:$BE$4),12*Assumptions!$G$231+12)=BN$4,0,IF(BM327=1,PMT(Assumptions!$G$229,Assumptions!$G$231,$C329),BM340))),0)</f>
        <v>0</v>
      </c>
      <c r="BO340" s="39">
        <f>+IFERROR(-ABS(IF(EDATE(_xlfn.XLOOKUP(1,$H327:$BE327,$H$4:$BE$4),12*Assumptions!$G$231+12)=BO$4,0,IF(BN327=1,PMT(Assumptions!$G$229,Assumptions!$G$231,$C329),BN340))),0)</f>
        <v>0</v>
      </c>
      <c r="BP340" s="39">
        <f>+IFERROR(-ABS(IF(EDATE(_xlfn.XLOOKUP(1,$H327:$BE327,$H$4:$BE$4),12*Assumptions!$G$231+12)=BP$4,0,IF(BO327=1,PMT(Assumptions!$G$229,Assumptions!$G$231,$C329),BO340))),0)</f>
        <v>0</v>
      </c>
      <c r="BQ340" s="39">
        <f>+IFERROR(-ABS(IF(EDATE(_xlfn.XLOOKUP(1,$H327:$BE327,$H$4:$BE$4),12*Assumptions!$G$231+12)=BQ$4,0,IF(BP327=1,PMT(Assumptions!$G$229,Assumptions!$G$231,$C329),BP340))),0)</f>
        <v>0</v>
      </c>
      <c r="BR340" s="39">
        <f>+IFERROR(-ABS(IF(EDATE(_xlfn.XLOOKUP(1,$H327:$BE327,$H$4:$BE$4),12*Assumptions!$G$231+12)=BR$4,0,IF(BQ327=1,PMT(Assumptions!$G$229,Assumptions!$G$231,$C329),BQ340))),0)</f>
        <v>0</v>
      </c>
      <c r="BS340" s="39">
        <f>+IFERROR(-ABS(IF(EDATE(_xlfn.XLOOKUP(1,$H327:$BE327,$H$4:$BE$4),12*Assumptions!$G$231+12)=BS$4,0,IF(BR327=1,PMT(Assumptions!$G$229,Assumptions!$G$231,$C329),BR340))),0)</f>
        <v>0</v>
      </c>
      <c r="BT340" s="39">
        <f>+IFERROR(-ABS(IF(EDATE(_xlfn.XLOOKUP(1,$H327:$BE327,$H$4:$BE$4),12*Assumptions!$G$231+12)=BT$4,0,IF(BS327=1,PMT(Assumptions!$G$229,Assumptions!$G$231,$C329),BS340))),0)</f>
        <v>0</v>
      </c>
      <c r="BU340" s="39">
        <f>+IFERROR(-ABS(IF(EDATE(_xlfn.XLOOKUP(1,$H327:$BE327,$H$4:$BE$4),12*Assumptions!$G$231+12)=BU$4,0,IF(BT327=1,PMT(Assumptions!$G$229,Assumptions!$G$231,$C329),BT340))),0)</f>
        <v>0</v>
      </c>
      <c r="BV340" s="39">
        <f>+IFERROR(-ABS(IF(EDATE(_xlfn.XLOOKUP(1,$H327:$BE327,$H$4:$BE$4),12*Assumptions!$G$231+12)=BV$4,0,IF(BU327=1,PMT(Assumptions!$G$229,Assumptions!$G$231,$C329),BU340))),0)</f>
        <v>0</v>
      </c>
      <c r="BW340" s="39">
        <f>+IFERROR(-ABS(IF(EDATE(_xlfn.XLOOKUP(1,$H327:$BE327,$H$4:$BE$4),12*Assumptions!$G$231+12)=BW$4,0,IF(BV327=1,PMT(Assumptions!$G$229,Assumptions!$G$231,$C329),BV340))),0)</f>
        <v>0</v>
      </c>
      <c r="BX340" s="39">
        <f>+IFERROR(-ABS(IF(EDATE(_xlfn.XLOOKUP(1,$H327:$BE327,$H$4:$BE$4),12*Assumptions!$G$231+12)=BX$4,0,IF(BW327=1,PMT(Assumptions!$G$229,Assumptions!$G$231,$C329),BW340))),0)</f>
        <v>0</v>
      </c>
      <c r="BY340" s="39">
        <f>+IFERROR(-ABS(IF(EDATE(_xlfn.XLOOKUP(1,$H327:$BE327,$H$4:$BE$4),12*Assumptions!$G$231+12)=BY$4,0,IF(BX327=1,PMT(Assumptions!$G$229,Assumptions!$G$231,$C329),BX340))),0)</f>
        <v>0</v>
      </c>
    </row>
    <row r="341" spans="3:77" outlineLevel="1">
      <c r="E341" s="24" t="s">
        <v>523</v>
      </c>
      <c r="F341" s="80" t="str">
        <f>+Assumptions!$G$8</f>
        <v>USD</v>
      </c>
      <c r="G341" s="24"/>
      <c r="H341" s="39">
        <f>+IFERROR(-ABS(IF(EDATE(_xlfn.XLOOKUP(1,$H328:$BE328,$H$4:$BE$4),12*Assumptions!$G$231+12)=H$4,0,IF(G328=1,PMT(Assumptions!$G$229,Assumptions!$G$231,$C330),G341))),0)</f>
        <v>0</v>
      </c>
      <c r="I341" s="39">
        <f>+IFERROR(-ABS(IF(EDATE(_xlfn.XLOOKUP(1,$H328:$BE328,$H$4:$BE$4),12*Assumptions!$G$231+12)=I$4,0,IF(H328=1,PMT(Assumptions!$G$229,Assumptions!$G$231,$C330),H341))),0)</f>
        <v>0</v>
      </c>
      <c r="J341" s="39">
        <f>+IFERROR(-ABS(IF(EDATE(_xlfn.XLOOKUP(1,$H328:$BE328,$H$4:$BE$4),12*Assumptions!$G$231+12)=J$4,0,IF(I328=1,PMT(Assumptions!$G$229,Assumptions!$G$231,$C330),I341))),0)</f>
        <v>0</v>
      </c>
      <c r="K341" s="39">
        <f>+IFERROR(-ABS(IF(EDATE(_xlfn.XLOOKUP(1,$H328:$BE328,$H$4:$BE$4),12*Assumptions!$G$231+12)=K$4,0,IF(J328=1,PMT(Assumptions!$G$229,Assumptions!$G$231,$C330),J341))),0)</f>
        <v>0</v>
      </c>
      <c r="L341" s="39">
        <f>+IFERROR(-ABS(IF(EDATE(_xlfn.XLOOKUP(1,$H328:$BE328,$H$4:$BE$4),12*Assumptions!$G$231+12)=L$4,0,IF(K328=1,PMT(Assumptions!$G$229,Assumptions!$G$231,$C330),K341))),0)</f>
        <v>0</v>
      </c>
      <c r="M341" s="39">
        <f>+IFERROR(-ABS(IF(EDATE(_xlfn.XLOOKUP(1,$H328:$BE328,$H$4:$BE$4),12*Assumptions!$G$231+12)=M$4,0,IF(L328=1,PMT(Assumptions!$G$229,Assumptions!$G$231,$C330),L341))),0)</f>
        <v>0</v>
      </c>
      <c r="N341" s="39">
        <f>+IFERROR(-ABS(IF(EDATE(_xlfn.XLOOKUP(1,$H328:$BE328,$H$4:$BE$4),12*Assumptions!$G$231+12)=N$4,0,IF(M328=1,PMT(Assumptions!$G$229,Assumptions!$G$231,$C330),M341))),0)</f>
        <v>0</v>
      </c>
      <c r="O341" s="39">
        <f>+IFERROR(-ABS(IF(EDATE(_xlfn.XLOOKUP(1,$H328:$BE328,$H$4:$BE$4),12*Assumptions!$G$231+12)=O$4,0,IF(N328=1,PMT(Assumptions!$G$229,Assumptions!$G$231,$C330),N341))),0)</f>
        <v>0</v>
      </c>
      <c r="P341" s="39">
        <f>+IFERROR(-ABS(IF(EDATE(_xlfn.XLOOKUP(1,$H328:$BE328,$H$4:$BE$4),12*Assumptions!$G$231+12)=P$4,0,IF(O328=1,PMT(Assumptions!$G$229,Assumptions!$G$231,$C330),O341))),0)</f>
        <v>0</v>
      </c>
      <c r="Q341" s="39">
        <f>+IFERROR(-ABS(IF(EDATE(_xlfn.XLOOKUP(1,$H328:$BE328,$H$4:$BE$4),12*Assumptions!$G$231+12)=Q$4,0,IF(P328=1,PMT(Assumptions!$G$229,Assumptions!$G$231,$C330),P341))),0)</f>
        <v>0</v>
      </c>
      <c r="R341" s="39">
        <f>+IFERROR(-ABS(IF(EDATE(_xlfn.XLOOKUP(1,$H328:$BE328,$H$4:$BE$4),12*Assumptions!$G$231+12)=R$4,0,IF(Q328=1,PMT(Assumptions!$G$229,Assumptions!$G$231,$C330),Q341))),0)</f>
        <v>0</v>
      </c>
      <c r="S341" s="39">
        <f>+IFERROR(-ABS(IF(EDATE(_xlfn.XLOOKUP(1,$H328:$BE328,$H$4:$BE$4),12*Assumptions!$G$231+12)=S$4,0,IF(R328=1,PMT(Assumptions!$G$229,Assumptions!$G$231,$C330),R341))),0)</f>
        <v>0</v>
      </c>
      <c r="T341" s="39">
        <f>+IFERROR(-ABS(IF(EDATE(_xlfn.XLOOKUP(1,$H328:$BE328,$H$4:$BE$4),12*Assumptions!$G$231+12)=T$4,0,IF(S328=1,PMT(Assumptions!$G$229,Assumptions!$G$231,$C330),S341))),0)</f>
        <v>0</v>
      </c>
      <c r="U341" s="39">
        <f>+IFERROR(-ABS(IF(EDATE(_xlfn.XLOOKUP(1,$H328:$BE328,$H$4:$BE$4),12*Assumptions!$G$231+12)=U$4,0,IF(T328=1,PMT(Assumptions!$G$229,Assumptions!$G$231,$C330),T341))),0)</f>
        <v>0</v>
      </c>
      <c r="V341" s="39">
        <f>+IFERROR(-ABS(IF(EDATE(_xlfn.XLOOKUP(1,$H328:$BE328,$H$4:$BE$4),12*Assumptions!$G$231+12)=V$4,0,IF(U328=1,PMT(Assumptions!$G$229,Assumptions!$G$231,$C330),U341))),0)</f>
        <v>0</v>
      </c>
      <c r="W341" s="39">
        <f>+IFERROR(-ABS(IF(EDATE(_xlfn.XLOOKUP(1,$H328:$BE328,$H$4:$BE$4),12*Assumptions!$G$231+12)=W$4,0,IF(V328=1,PMT(Assumptions!$G$229,Assumptions!$G$231,$C330),V341))),0)</f>
        <v>0</v>
      </c>
      <c r="X341" s="39">
        <f>+IFERROR(-ABS(IF(EDATE(_xlfn.XLOOKUP(1,$H328:$BE328,$H$4:$BE$4),12*Assumptions!$G$231+12)=X$4,0,IF(W328=1,PMT(Assumptions!$G$229,Assumptions!$G$231,$C330),W341))),0)</f>
        <v>0</v>
      </c>
      <c r="Y341" s="39">
        <f>+IFERROR(-ABS(IF(EDATE(_xlfn.XLOOKUP(1,$H328:$BE328,$H$4:$BE$4),12*Assumptions!$G$231+12)=Y$4,0,IF(X328=1,PMT(Assumptions!$G$229,Assumptions!$G$231,$C330),X341))),0)</f>
        <v>0</v>
      </c>
      <c r="Z341" s="39">
        <f>+IFERROR(-ABS(IF(EDATE(_xlfn.XLOOKUP(1,$H328:$BE328,$H$4:$BE$4),12*Assumptions!$G$231+12)=Z$4,0,IF(Y328=1,PMT(Assumptions!$G$229,Assumptions!$G$231,$C330),Y341))),0)</f>
        <v>0</v>
      </c>
      <c r="AA341" s="39">
        <f>+IFERROR(-ABS(IF(EDATE(_xlfn.XLOOKUP(1,$H328:$BE328,$H$4:$BE$4),12*Assumptions!$G$231+12)=AA$4,0,IF(Z328=1,PMT(Assumptions!$G$229,Assumptions!$G$231,$C330),Z341))),0)</f>
        <v>0</v>
      </c>
      <c r="AB341" s="39">
        <f>+IFERROR(-ABS(IF(EDATE(_xlfn.XLOOKUP(1,$H328:$BE328,$H$4:$BE$4),12*Assumptions!$G$231+12)=AB$4,0,IF(AA328=1,PMT(Assumptions!$G$229,Assumptions!$G$231,$C330),AA341))),0)</f>
        <v>0</v>
      </c>
      <c r="AC341" s="39">
        <f>+IFERROR(-ABS(IF(EDATE(_xlfn.XLOOKUP(1,$H328:$BE328,$H$4:$BE$4),12*Assumptions!$G$231+12)=AC$4,0,IF(AB328=1,PMT(Assumptions!$G$229,Assumptions!$G$231,$C330),AB341))),0)</f>
        <v>0</v>
      </c>
      <c r="AD341" s="39">
        <f>+IFERROR(-ABS(IF(EDATE(_xlfn.XLOOKUP(1,$H328:$BE328,$H$4:$BE$4),12*Assumptions!$G$231+12)=AD$4,0,IF(AC328=1,PMT(Assumptions!$G$229,Assumptions!$G$231,$C330),AC341))),0)</f>
        <v>0</v>
      </c>
      <c r="AE341" s="39">
        <f>+IFERROR(-ABS(IF(EDATE(_xlfn.XLOOKUP(1,$H328:$BE328,$H$4:$BE$4),12*Assumptions!$G$231+12)=AE$4,0,IF(AD328=1,PMT(Assumptions!$G$229,Assumptions!$G$231,$C330),AD341))),0)</f>
        <v>0</v>
      </c>
      <c r="AF341" s="39">
        <f>+IFERROR(-ABS(IF(EDATE(_xlfn.XLOOKUP(1,$H328:$BE328,$H$4:$BE$4),12*Assumptions!$G$231+12)=AF$4,0,IF(AE328=1,PMT(Assumptions!$G$229,Assumptions!$G$231,$C330),AE341))),0)</f>
        <v>0</v>
      </c>
      <c r="AG341" s="39">
        <f>+IFERROR(-ABS(IF(EDATE(_xlfn.XLOOKUP(1,$H328:$BE328,$H$4:$BE$4),12*Assumptions!$G$231+12)=AG$4,0,IF(AF328=1,PMT(Assumptions!$G$229,Assumptions!$G$231,$C330),AF341))),0)</f>
        <v>0</v>
      </c>
      <c r="AH341" s="39">
        <f>+IFERROR(-ABS(IF(EDATE(_xlfn.XLOOKUP(1,$H328:$BE328,$H$4:$BE$4),12*Assumptions!$G$231+12)=AH$4,0,IF(AG328=1,PMT(Assumptions!$G$229,Assumptions!$G$231,$C330),AG341))),0)</f>
        <v>0</v>
      </c>
      <c r="AI341" s="39">
        <f>+IFERROR(-ABS(IF(EDATE(_xlfn.XLOOKUP(1,$H328:$BE328,$H$4:$BE$4),12*Assumptions!$G$231+12)=AI$4,0,IF(AH328=1,PMT(Assumptions!$G$229,Assumptions!$G$231,$C330),AH341))),0)</f>
        <v>0</v>
      </c>
      <c r="AJ341" s="39">
        <f>+IFERROR(-ABS(IF(EDATE(_xlfn.XLOOKUP(1,$H328:$BE328,$H$4:$BE$4),12*Assumptions!$G$231+12)=AJ$4,0,IF(AI328=1,PMT(Assumptions!$G$229,Assumptions!$G$231,$C330),AI341))),0)</f>
        <v>0</v>
      </c>
      <c r="AK341" s="39">
        <f>+IFERROR(-ABS(IF(EDATE(_xlfn.XLOOKUP(1,$H328:$BE328,$H$4:$BE$4),12*Assumptions!$G$231+12)=AK$4,0,IF(AJ328=1,PMT(Assumptions!$G$229,Assumptions!$G$231,$C330),AJ341))),0)</f>
        <v>0</v>
      </c>
      <c r="AL341" s="39">
        <f>+IFERROR(-ABS(IF(EDATE(_xlfn.XLOOKUP(1,$H328:$BE328,$H$4:$BE$4),12*Assumptions!$G$231+12)=AL$4,0,IF(AK328=1,PMT(Assumptions!$G$229,Assumptions!$G$231,$C330),AK341))),0)</f>
        <v>0</v>
      </c>
      <c r="AM341" s="39">
        <f>+IFERROR(-ABS(IF(EDATE(_xlfn.XLOOKUP(1,$H328:$BE328,$H$4:$BE$4),12*Assumptions!$G$231+12)=AM$4,0,IF(AL328=1,PMT(Assumptions!$G$229,Assumptions!$G$231,$C330),AL341))),0)</f>
        <v>0</v>
      </c>
      <c r="AN341" s="39">
        <f>+IFERROR(-ABS(IF(EDATE(_xlfn.XLOOKUP(1,$H328:$BE328,$H$4:$BE$4),12*Assumptions!$G$231+12)=AN$4,0,IF(AM328=1,PMT(Assumptions!$G$229,Assumptions!$G$231,$C330),AM341))),0)</f>
        <v>0</v>
      </c>
      <c r="AO341" s="39">
        <f>+IFERROR(-ABS(IF(EDATE(_xlfn.XLOOKUP(1,$H328:$BE328,$H$4:$BE$4),12*Assumptions!$G$231+12)=AO$4,0,IF(AN328=1,PMT(Assumptions!$G$229,Assumptions!$G$231,$C330),AN341))),0)</f>
        <v>0</v>
      </c>
      <c r="AP341" s="39">
        <f>+IFERROR(-ABS(IF(EDATE(_xlfn.XLOOKUP(1,$H328:$BE328,$H$4:$BE$4),12*Assumptions!$G$231+12)=AP$4,0,IF(AO328=1,PMT(Assumptions!$G$229,Assumptions!$G$231,$C330),AO341))),0)</f>
        <v>0</v>
      </c>
      <c r="AQ341" s="39">
        <f>+IFERROR(-ABS(IF(EDATE(_xlfn.XLOOKUP(1,$H328:$BE328,$H$4:$BE$4),12*Assumptions!$G$231+12)=AQ$4,0,IF(AP328=1,PMT(Assumptions!$G$229,Assumptions!$G$231,$C330),AP341))),0)</f>
        <v>0</v>
      </c>
      <c r="AR341" s="39">
        <f>+IFERROR(-ABS(IF(EDATE(_xlfn.XLOOKUP(1,$H328:$BE328,$H$4:$BE$4),12*Assumptions!$G$231+12)=AR$4,0,IF(AQ328=1,PMT(Assumptions!$G$229,Assumptions!$G$231,$C330),AQ341))),0)</f>
        <v>0</v>
      </c>
      <c r="AS341" s="39">
        <f>+IFERROR(-ABS(IF(EDATE(_xlfn.XLOOKUP(1,$H328:$BE328,$H$4:$BE$4),12*Assumptions!$G$231+12)=AS$4,0,IF(AR328=1,PMT(Assumptions!$G$229,Assumptions!$G$231,$C330),AR341))),0)</f>
        <v>0</v>
      </c>
      <c r="AT341" s="39">
        <f>+IFERROR(-ABS(IF(EDATE(_xlfn.XLOOKUP(1,$H328:$BE328,$H$4:$BE$4),12*Assumptions!$G$231+12)=AT$4,0,IF(AS328=1,PMT(Assumptions!$G$229,Assumptions!$G$231,$C330),AS341))),0)</f>
        <v>0</v>
      </c>
      <c r="AU341" s="39">
        <f>+IFERROR(-ABS(IF(EDATE(_xlfn.XLOOKUP(1,$H328:$BE328,$H$4:$BE$4),12*Assumptions!$G$231+12)=AU$4,0,IF(AT328=1,PMT(Assumptions!$G$229,Assumptions!$G$231,$C330),AT341))),0)</f>
        <v>0</v>
      </c>
      <c r="AV341" s="39">
        <f>+IFERROR(-ABS(IF(EDATE(_xlfn.XLOOKUP(1,$H328:$BE328,$H$4:$BE$4),12*Assumptions!$G$231+12)=AV$4,0,IF(AU328=1,PMT(Assumptions!$G$229,Assumptions!$G$231,$C330),AU341))),0)</f>
        <v>0</v>
      </c>
      <c r="AW341" s="39">
        <f>+IFERROR(-ABS(IF(EDATE(_xlfn.XLOOKUP(1,$H328:$BE328,$H$4:$BE$4),12*Assumptions!$G$231+12)=AW$4,0,IF(AV328=1,PMT(Assumptions!$G$229,Assumptions!$G$231,$C330),AV341))),0)</f>
        <v>0</v>
      </c>
      <c r="AX341" s="39">
        <f>+IFERROR(-ABS(IF(EDATE(_xlfn.XLOOKUP(1,$H328:$BE328,$H$4:$BE$4),12*Assumptions!$G$231+12)=AX$4,0,IF(AW328=1,PMT(Assumptions!$G$229,Assumptions!$G$231,$C330),AW341))),0)</f>
        <v>0</v>
      </c>
      <c r="AY341" s="39">
        <f>+IFERROR(-ABS(IF(EDATE(_xlfn.XLOOKUP(1,$H328:$BE328,$H$4:$BE$4),12*Assumptions!$G$231+12)=AY$4,0,IF(AX328=1,PMT(Assumptions!$G$229,Assumptions!$G$231,$C330),AX341))),0)</f>
        <v>0</v>
      </c>
      <c r="AZ341" s="39">
        <f>+IFERROR(-ABS(IF(EDATE(_xlfn.XLOOKUP(1,$H328:$BE328,$H$4:$BE$4),12*Assumptions!$G$231+12)=AZ$4,0,IF(AY328=1,PMT(Assumptions!$G$229,Assumptions!$G$231,$C330),AY341))),0)</f>
        <v>0</v>
      </c>
      <c r="BA341" s="39">
        <f>+IFERROR(-ABS(IF(EDATE(_xlfn.XLOOKUP(1,$H328:$BE328,$H$4:$BE$4),12*Assumptions!$G$231+12)=BA$4,0,IF(AZ328=1,PMT(Assumptions!$G$229,Assumptions!$G$231,$C330),AZ341))),0)</f>
        <v>0</v>
      </c>
      <c r="BB341" s="39">
        <f>+IFERROR(-ABS(IF(EDATE(_xlfn.XLOOKUP(1,$H328:$BE328,$H$4:$BE$4),12*Assumptions!$G$231+12)=BB$4,0,IF(BA328=1,PMT(Assumptions!$G$229,Assumptions!$G$231,$C330),BA341))),0)</f>
        <v>0</v>
      </c>
      <c r="BC341" s="39">
        <f>+IFERROR(-ABS(IF(EDATE(_xlfn.XLOOKUP(1,$H328:$BE328,$H$4:$BE$4),12*Assumptions!$G$231+12)=BC$4,0,IF(BB328=1,PMT(Assumptions!$G$229,Assumptions!$G$231,$C330),BB341))),0)</f>
        <v>0</v>
      </c>
      <c r="BD341" s="39">
        <f>+IFERROR(-ABS(IF(EDATE(_xlfn.XLOOKUP(1,$H328:$BE328,$H$4:$BE$4),12*Assumptions!$G$231+12)=BD$4,0,IF(BC328=1,PMT(Assumptions!$G$229,Assumptions!$G$231,$C330),BC341))),0)</f>
        <v>0</v>
      </c>
      <c r="BE341" s="39">
        <f>+IFERROR(-ABS(IF(EDATE(_xlfn.XLOOKUP(1,$H328:$BE328,$H$4:$BE$4),12*Assumptions!$G$231+12)=BE$4,0,IF(BD328=1,PMT(Assumptions!$G$229,Assumptions!$G$231,$C330),BD341))),0)</f>
        <v>0</v>
      </c>
      <c r="BF341" s="39">
        <f>+IFERROR(-ABS(IF(EDATE(_xlfn.XLOOKUP(1,$H328:$BE328,$H$4:$BE$4),12*Assumptions!$G$231+12)=BF$4,0,IF(BE328=1,PMT(Assumptions!$G$229,Assumptions!$G$231,$C330),BE341))),0)</f>
        <v>0</v>
      </c>
      <c r="BG341" s="39">
        <f>+IFERROR(-ABS(IF(EDATE(_xlfn.XLOOKUP(1,$H328:$BE328,$H$4:$BE$4),12*Assumptions!$G$231+12)=BG$4,0,IF(BF328=1,PMT(Assumptions!$G$229,Assumptions!$G$231,$C330),BF341))),0)</f>
        <v>0</v>
      </c>
      <c r="BH341" s="39">
        <f>+IFERROR(-ABS(IF(EDATE(_xlfn.XLOOKUP(1,$H328:$BE328,$H$4:$BE$4),12*Assumptions!$G$231+12)=BH$4,0,IF(BG328=1,PMT(Assumptions!$G$229,Assumptions!$G$231,$C330),BG341))),0)</f>
        <v>0</v>
      </c>
      <c r="BI341" s="39">
        <f>+IFERROR(-ABS(IF(EDATE(_xlfn.XLOOKUP(1,$H328:$BE328,$H$4:$BE$4),12*Assumptions!$G$231+12)=BI$4,0,IF(BH328=1,PMT(Assumptions!$G$229,Assumptions!$G$231,$C330),BH341))),0)</f>
        <v>0</v>
      </c>
      <c r="BJ341" s="39">
        <f>+IFERROR(-ABS(IF(EDATE(_xlfn.XLOOKUP(1,$H328:$BE328,$H$4:$BE$4),12*Assumptions!$G$231+12)=BJ$4,0,IF(BI328=1,PMT(Assumptions!$G$229,Assumptions!$G$231,$C330),BI341))),0)</f>
        <v>0</v>
      </c>
      <c r="BK341" s="39">
        <f>+IFERROR(-ABS(IF(EDATE(_xlfn.XLOOKUP(1,$H328:$BE328,$H$4:$BE$4),12*Assumptions!$G$231+12)=BK$4,0,IF(BJ328=1,PMT(Assumptions!$G$229,Assumptions!$G$231,$C330),BJ341))),0)</f>
        <v>0</v>
      </c>
      <c r="BL341" s="39">
        <f>+IFERROR(-ABS(IF(EDATE(_xlfn.XLOOKUP(1,$H328:$BE328,$H$4:$BE$4),12*Assumptions!$G$231+12)=BL$4,0,IF(BK328=1,PMT(Assumptions!$G$229,Assumptions!$G$231,$C330),BK341))),0)</f>
        <v>0</v>
      </c>
      <c r="BM341" s="39">
        <f>+IFERROR(-ABS(IF(EDATE(_xlfn.XLOOKUP(1,$H328:$BE328,$H$4:$BE$4),12*Assumptions!$G$231+12)=BM$4,0,IF(BL328=1,PMT(Assumptions!$G$229,Assumptions!$G$231,$C330),BL341))),0)</f>
        <v>0</v>
      </c>
      <c r="BN341" s="39">
        <f>+IFERROR(-ABS(IF(EDATE(_xlfn.XLOOKUP(1,$H328:$BE328,$H$4:$BE$4),12*Assumptions!$G$231+12)=BN$4,0,IF(BM328=1,PMT(Assumptions!$G$229,Assumptions!$G$231,$C330),BM341))),0)</f>
        <v>0</v>
      </c>
      <c r="BO341" s="39">
        <f>+IFERROR(-ABS(IF(EDATE(_xlfn.XLOOKUP(1,$H328:$BE328,$H$4:$BE$4),12*Assumptions!$G$231+12)=BO$4,0,IF(BN328=1,PMT(Assumptions!$G$229,Assumptions!$G$231,$C330),BN341))),0)</f>
        <v>0</v>
      </c>
      <c r="BP341" s="39">
        <f>+IFERROR(-ABS(IF(EDATE(_xlfn.XLOOKUP(1,$H328:$BE328,$H$4:$BE$4),12*Assumptions!$G$231+12)=BP$4,0,IF(BO328=1,PMT(Assumptions!$G$229,Assumptions!$G$231,$C330),BO341))),0)</f>
        <v>0</v>
      </c>
      <c r="BQ341" s="39">
        <f>+IFERROR(-ABS(IF(EDATE(_xlfn.XLOOKUP(1,$H328:$BE328,$H$4:$BE$4),12*Assumptions!$G$231+12)=BQ$4,0,IF(BP328=1,PMT(Assumptions!$G$229,Assumptions!$G$231,$C330),BP341))),0)</f>
        <v>0</v>
      </c>
      <c r="BR341" s="39">
        <f>+IFERROR(-ABS(IF(EDATE(_xlfn.XLOOKUP(1,$H328:$BE328,$H$4:$BE$4),12*Assumptions!$G$231+12)=BR$4,0,IF(BQ328=1,PMT(Assumptions!$G$229,Assumptions!$G$231,$C330),BQ341))),0)</f>
        <v>0</v>
      </c>
      <c r="BS341" s="39">
        <f>+IFERROR(-ABS(IF(EDATE(_xlfn.XLOOKUP(1,$H328:$BE328,$H$4:$BE$4),12*Assumptions!$G$231+12)=BS$4,0,IF(BR328=1,PMT(Assumptions!$G$229,Assumptions!$G$231,$C330),BR341))),0)</f>
        <v>0</v>
      </c>
      <c r="BT341" s="39">
        <f>+IFERROR(-ABS(IF(EDATE(_xlfn.XLOOKUP(1,$H328:$BE328,$H$4:$BE$4),12*Assumptions!$G$231+12)=BT$4,0,IF(BS328=1,PMT(Assumptions!$G$229,Assumptions!$G$231,$C330),BS341))),0)</f>
        <v>0</v>
      </c>
      <c r="BU341" s="39">
        <f>+IFERROR(-ABS(IF(EDATE(_xlfn.XLOOKUP(1,$H328:$BE328,$H$4:$BE$4),12*Assumptions!$G$231+12)=BU$4,0,IF(BT328=1,PMT(Assumptions!$G$229,Assumptions!$G$231,$C330),BT341))),0)</f>
        <v>0</v>
      </c>
      <c r="BV341" s="39">
        <f>+IFERROR(-ABS(IF(EDATE(_xlfn.XLOOKUP(1,$H328:$BE328,$H$4:$BE$4),12*Assumptions!$G$231+12)=BV$4,0,IF(BU328=1,PMT(Assumptions!$G$229,Assumptions!$G$231,$C330),BU341))),0)</f>
        <v>0</v>
      </c>
      <c r="BW341" s="39">
        <f>+IFERROR(-ABS(IF(EDATE(_xlfn.XLOOKUP(1,$H328:$BE328,$H$4:$BE$4),12*Assumptions!$G$231+12)=BW$4,0,IF(BV328=1,PMT(Assumptions!$G$229,Assumptions!$G$231,$C330),BV341))),0)</f>
        <v>0</v>
      </c>
      <c r="BX341" s="39">
        <f>+IFERROR(-ABS(IF(EDATE(_xlfn.XLOOKUP(1,$H328:$BE328,$H$4:$BE$4),12*Assumptions!$G$231+12)=BX$4,0,IF(BW328=1,PMT(Assumptions!$G$229,Assumptions!$G$231,$C330),BW341))),0)</f>
        <v>0</v>
      </c>
      <c r="BY341" s="39">
        <f>+IFERROR(-ABS(IF(EDATE(_xlfn.XLOOKUP(1,$H328:$BE328,$H$4:$BE$4),12*Assumptions!$G$231+12)=BY$4,0,IF(BX328=1,PMT(Assumptions!$G$229,Assumptions!$G$231,$C330),BX341))),0)</f>
        <v>0</v>
      </c>
    </row>
    <row r="342" spans="3:77" outlineLevel="1">
      <c r="E342" s="24"/>
      <c r="F342" s="23"/>
      <c r="G342" s="24"/>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row>
    <row r="343" spans="3:77" outlineLevel="1">
      <c r="E343" t="s">
        <v>524</v>
      </c>
      <c r="F343" s="80" t="str">
        <f>+Assumptions!$G$8</f>
        <v>USD</v>
      </c>
      <c r="H343" s="32">
        <f>MIN(+H315-H331+H329,0)</f>
        <v>0</v>
      </c>
      <c r="I343" s="32">
        <f t="shared" ref="I343:BT343" si="582">MIN(+I315-I331+I329,0)</f>
        <v>-809129.45849152235</v>
      </c>
      <c r="J343" s="32">
        <f t="shared" ca="1" si="582"/>
        <v>-2868370.7126063565</v>
      </c>
      <c r="K343" s="32">
        <f t="shared" ca="1" si="582"/>
        <v>-2739077.9440378263</v>
      </c>
      <c r="L343" s="32">
        <f t="shared" ca="1" si="582"/>
        <v>-2602365.0634811483</v>
      </c>
      <c r="M343" s="32">
        <f t="shared" ca="1" si="582"/>
        <v>-2457806.2307093227</v>
      </c>
      <c r="N343" s="32">
        <f t="shared" ca="1" si="582"/>
        <v>-2304951.1665247218</v>
      </c>
      <c r="O343" s="32">
        <f t="shared" ca="1" si="582"/>
        <v>-2143323.7502065664</v>
      </c>
      <c r="P343" s="32">
        <f t="shared" ca="1" si="582"/>
        <v>-1972420.5364659124</v>
      </c>
      <c r="Q343" s="32">
        <f t="shared" ca="1" si="582"/>
        <v>-1791709.1872886822</v>
      </c>
      <c r="R343" s="32">
        <f t="shared" ca="1" si="582"/>
        <v>-1600626.8137821709</v>
      </c>
      <c r="S343" s="32">
        <f t="shared" ca="1" si="582"/>
        <v>-1398578.2228601207</v>
      </c>
      <c r="T343" s="32">
        <f t="shared" ca="1" si="582"/>
        <v>-1184934.0633050541</v>
      </c>
      <c r="U343" s="32">
        <f t="shared" ca="1" si="582"/>
        <v>-959028.86543312226</v>
      </c>
      <c r="V343" s="32">
        <f t="shared" ca="1" si="582"/>
        <v>-720158.96825532021</v>
      </c>
      <c r="W343" s="32">
        <f t="shared" ca="1" si="582"/>
        <v>-467580.32767848414</v>
      </c>
      <c r="X343" s="32">
        <f t="shared" ca="1" si="582"/>
        <v>-200506.19891894341</v>
      </c>
      <c r="Y343" s="32">
        <f t="shared" ca="1" si="582"/>
        <v>-1.2223608791828156E-9</v>
      </c>
      <c r="Z343" s="32">
        <f t="shared" ca="1" si="582"/>
        <v>-1.2223608791828156E-9</v>
      </c>
      <c r="AA343" s="32">
        <f t="shared" ca="1" si="582"/>
        <v>-1.2223608791828156E-9</v>
      </c>
      <c r="AB343" s="32">
        <f t="shared" ca="1" si="582"/>
        <v>-1.2223608791828156E-9</v>
      </c>
      <c r="AC343" s="32">
        <f t="shared" ca="1" si="582"/>
        <v>-1.2223608791828156E-9</v>
      </c>
      <c r="AD343" s="32">
        <f t="shared" ca="1" si="582"/>
        <v>-1.2223608791828156E-9</v>
      </c>
      <c r="AE343" s="32">
        <f t="shared" ca="1" si="582"/>
        <v>-1.2223608791828156E-9</v>
      </c>
      <c r="AF343" s="32">
        <f t="shared" ca="1" si="582"/>
        <v>-1.2223608791828156E-9</v>
      </c>
      <c r="AG343" s="32">
        <f t="shared" ca="1" si="582"/>
        <v>-1.2223608791828156E-9</v>
      </c>
      <c r="AH343" s="32">
        <f t="shared" ca="1" si="582"/>
        <v>-1.2223608791828156E-9</v>
      </c>
      <c r="AI343" s="32">
        <f t="shared" ca="1" si="582"/>
        <v>-1.2223608791828156E-9</v>
      </c>
      <c r="AJ343" s="32">
        <f t="shared" ca="1" si="582"/>
        <v>-1.2223608791828156E-9</v>
      </c>
      <c r="AK343" s="32">
        <f t="shared" ca="1" si="582"/>
        <v>-1.2223608791828156E-9</v>
      </c>
      <c r="AL343" s="32">
        <f t="shared" ca="1" si="582"/>
        <v>-1.2223608791828156E-9</v>
      </c>
      <c r="AM343" s="32">
        <f t="shared" ca="1" si="582"/>
        <v>-1.2223608791828156E-9</v>
      </c>
      <c r="AN343" s="32">
        <f t="shared" ca="1" si="582"/>
        <v>-1.2223608791828156E-9</v>
      </c>
      <c r="AO343" s="32">
        <f t="shared" ca="1" si="582"/>
        <v>-1.2223608791828156E-9</v>
      </c>
      <c r="AP343" s="32">
        <f t="shared" ca="1" si="582"/>
        <v>-1.2223608791828156E-9</v>
      </c>
      <c r="AQ343" s="32">
        <f t="shared" ca="1" si="582"/>
        <v>-1.2223608791828156E-9</v>
      </c>
      <c r="AR343" s="32">
        <f t="shared" ca="1" si="582"/>
        <v>-1.2223608791828156E-9</v>
      </c>
      <c r="AS343" s="32">
        <f t="shared" ca="1" si="582"/>
        <v>-1.2223608791828156E-9</v>
      </c>
      <c r="AT343" s="32">
        <f t="shared" ca="1" si="582"/>
        <v>-1.2223608791828156E-9</v>
      </c>
      <c r="AU343" s="32">
        <f t="shared" ca="1" si="582"/>
        <v>-1.2223608791828156E-9</v>
      </c>
      <c r="AV343" s="32">
        <f t="shared" ca="1" si="582"/>
        <v>-1.2223608791828156E-9</v>
      </c>
      <c r="AW343" s="32">
        <f t="shared" ca="1" si="582"/>
        <v>-1.2223608791828156E-9</v>
      </c>
      <c r="AX343" s="32">
        <f t="shared" ca="1" si="582"/>
        <v>-1.2223608791828156E-9</v>
      </c>
      <c r="AY343" s="32">
        <f t="shared" ca="1" si="582"/>
        <v>-1.2223608791828156E-9</v>
      </c>
      <c r="AZ343" s="32">
        <f t="shared" ca="1" si="582"/>
        <v>-1.2223608791828156E-9</v>
      </c>
      <c r="BA343" s="32">
        <f t="shared" ca="1" si="582"/>
        <v>-1.2223608791828156E-9</v>
      </c>
      <c r="BB343" s="32">
        <f t="shared" ca="1" si="582"/>
        <v>-1.2223608791828156E-9</v>
      </c>
      <c r="BC343" s="32">
        <f t="shared" ca="1" si="582"/>
        <v>-1.2223608791828156E-9</v>
      </c>
      <c r="BD343" s="32">
        <f t="shared" ca="1" si="582"/>
        <v>-1.2223608791828156E-9</v>
      </c>
      <c r="BE343" s="32">
        <f t="shared" ca="1" si="582"/>
        <v>-1.2223608791828156E-9</v>
      </c>
      <c r="BF343" s="32">
        <f t="shared" ca="1" si="582"/>
        <v>-1.2223608791828156E-9</v>
      </c>
      <c r="BG343" s="32">
        <f t="shared" ca="1" si="582"/>
        <v>-1.2223608791828156E-9</v>
      </c>
      <c r="BH343" s="32">
        <f t="shared" ca="1" si="582"/>
        <v>-1.2223608791828156E-9</v>
      </c>
      <c r="BI343" s="32">
        <f t="shared" ca="1" si="582"/>
        <v>-1.2223608791828156E-9</v>
      </c>
      <c r="BJ343" s="32">
        <f t="shared" ca="1" si="582"/>
        <v>-1.2223608791828156E-9</v>
      </c>
      <c r="BK343" s="32">
        <f t="shared" ca="1" si="582"/>
        <v>-1.2223608791828156E-9</v>
      </c>
      <c r="BL343" s="32">
        <f t="shared" ca="1" si="582"/>
        <v>-1.2223608791828156E-9</v>
      </c>
      <c r="BM343" s="32">
        <f t="shared" ca="1" si="582"/>
        <v>-1.2223608791828156E-9</v>
      </c>
      <c r="BN343" s="32">
        <f t="shared" ca="1" si="582"/>
        <v>-1.2223608791828156E-9</v>
      </c>
      <c r="BO343" s="32">
        <f t="shared" ca="1" si="582"/>
        <v>-1.2223608791828156E-9</v>
      </c>
      <c r="BP343" s="32">
        <f t="shared" ca="1" si="582"/>
        <v>-1.2223608791828156E-9</v>
      </c>
      <c r="BQ343" s="32">
        <f t="shared" ca="1" si="582"/>
        <v>-1.2223608791828156E-9</v>
      </c>
      <c r="BR343" s="32">
        <f t="shared" ca="1" si="582"/>
        <v>-1.2223608791828156E-9</v>
      </c>
      <c r="BS343" s="32">
        <f t="shared" ca="1" si="582"/>
        <v>-1.2223608791828156E-9</v>
      </c>
      <c r="BT343" s="32">
        <f t="shared" ca="1" si="582"/>
        <v>-1.2223608791828156E-9</v>
      </c>
      <c r="BU343" s="32">
        <f t="shared" ref="BU343:BY343" ca="1" si="583">MIN(+BU315-BU331+BU329,0)</f>
        <v>-1.2223608791828156E-9</v>
      </c>
      <c r="BV343" s="32">
        <f t="shared" ca="1" si="583"/>
        <v>-1.2223608791828156E-9</v>
      </c>
      <c r="BW343" s="32">
        <f t="shared" ca="1" si="583"/>
        <v>-1.2223608791828156E-9</v>
      </c>
      <c r="BX343" s="32">
        <f t="shared" ca="1" si="583"/>
        <v>-1.2223608791828156E-9</v>
      </c>
      <c r="BY343" s="32">
        <f t="shared" ca="1" si="583"/>
        <v>-1.2223608791828156E-9</v>
      </c>
    </row>
    <row r="344" spans="3:77" outlineLevel="1">
      <c r="F344" s="23"/>
      <c r="BF344" s="33"/>
      <c r="BG344" s="33"/>
      <c r="BH344" s="33"/>
      <c r="BI344" s="33"/>
      <c r="BJ344" s="33"/>
      <c r="BK344" s="33"/>
      <c r="BL344" s="33"/>
      <c r="BM344" s="33"/>
      <c r="BN344" s="33"/>
      <c r="BO344" s="33"/>
      <c r="BP344" s="33"/>
      <c r="BQ344" s="33"/>
      <c r="BR344" s="33"/>
      <c r="BS344" s="33"/>
      <c r="BT344" s="33"/>
      <c r="BU344" s="33"/>
      <c r="BV344" s="33"/>
      <c r="BW344" s="33"/>
      <c r="BX344" s="33"/>
      <c r="BY344" s="33"/>
    </row>
    <row r="345" spans="3:77" ht="15" outlineLevel="1">
      <c r="C345" s="22" t="s">
        <v>525</v>
      </c>
      <c r="D345" s="31"/>
    </row>
    <row r="346" spans="3:77" ht="15" outlineLevel="1">
      <c r="C346" s="68" t="str">
        <f>+Assumptions!G243</f>
        <v>Equity-first</v>
      </c>
      <c r="D346" s="28"/>
      <c r="E346" s="22" t="s">
        <v>459</v>
      </c>
      <c r="H346" s="32"/>
      <c r="BF346" s="33"/>
      <c r="BG346" s="33"/>
      <c r="BH346" s="33"/>
      <c r="BI346" s="33"/>
      <c r="BJ346" s="33"/>
      <c r="BK346" s="33"/>
      <c r="BL346" s="33"/>
      <c r="BM346" s="33"/>
      <c r="BN346" s="33"/>
      <c r="BO346" s="33"/>
      <c r="BP346" s="33"/>
      <c r="BQ346" s="33"/>
      <c r="BR346" s="33"/>
      <c r="BS346" s="33"/>
      <c r="BT346" s="33"/>
      <c r="BU346" s="33"/>
      <c r="BV346" s="33"/>
      <c r="BW346" s="33"/>
      <c r="BX346" s="33"/>
      <c r="BY346" s="33"/>
    </row>
    <row r="347" spans="3:77" outlineLevel="1">
      <c r="C347" s="68" t="str">
        <f>+Assumptions!G244</f>
        <v>Annuity</v>
      </c>
      <c r="D347" s="28"/>
      <c r="E347" t="s">
        <v>458</v>
      </c>
      <c r="F347" s="80" t="str">
        <f>+Assumptions!$G$8</f>
        <v>USD</v>
      </c>
      <c r="H347" s="32">
        <f>IF(AND(Assumptions!$G$221="Yes",Assumptions!$G$222="Detailed"),-Assumptions_Detailed!H$88,MAX(IFERROR(H210-H310-H315,0),$C$350-SUM($G$347:G347)))</f>
        <v>0</v>
      </c>
      <c r="I347" s="32">
        <f>IF(AND(Assumptions!$G$221="Yes",Assumptions!$G$222="Detailed"),-Assumptions_Detailed!I$88,MAX(IFERROR(I210-I310-I315,0),$C$350-SUM($G$347:H347)))</f>
        <v>0</v>
      </c>
      <c r="J347" s="32">
        <f>IF(AND(Assumptions!$G$221="Yes",Assumptions!$G$222="Detailed"),-Assumptions_Detailed!J$88,MAX(IFERROR(J210-J310-J315,0),$C$350-SUM($G$347:I347)))</f>
        <v>0</v>
      </c>
      <c r="K347" s="32">
        <f>IF(AND(Assumptions!$G$221="Yes",Assumptions!$G$222="Detailed"),-Assumptions_Detailed!K$88,MAX(IFERROR(K210-K310-K315,0),$C$350-SUM($G$347:J347)))</f>
        <v>0</v>
      </c>
      <c r="L347" s="32">
        <f>IF(AND(Assumptions!$G$221="Yes",Assumptions!$G$222="Detailed"),-Assumptions_Detailed!L$88,MAX(IFERROR(L210-L310-L315,0),$C$350-SUM($G$347:K347)))</f>
        <v>0</v>
      </c>
      <c r="M347" s="32">
        <f>IF(AND(Assumptions!$G$221="Yes",Assumptions!$G$222="Detailed"),-Assumptions_Detailed!M$88,MAX(IFERROR(M210-M310-M315,0),$C$350-SUM($G$347:L347)))</f>
        <v>0</v>
      </c>
      <c r="N347" s="32">
        <f>IF(AND(Assumptions!$G$221="Yes",Assumptions!$G$222="Detailed"),-Assumptions_Detailed!N$88,MAX(IFERROR(N210-N310-N315,0),$C$350-SUM($G$347:M347)))</f>
        <v>0</v>
      </c>
      <c r="O347" s="32">
        <f>IF(AND(Assumptions!$G$221="Yes",Assumptions!$G$222="Detailed"),-Assumptions_Detailed!O$88,MAX(IFERROR(O210-O310-O315,0),$C$350-SUM($G$347:N347)))</f>
        <v>0</v>
      </c>
      <c r="P347" s="32">
        <f>IF(AND(Assumptions!$G$221="Yes",Assumptions!$G$222="Detailed"),-Assumptions_Detailed!P$88,MAX(IFERROR(P210-P310-P315,0),$C$350-SUM($G$347:O347)))</f>
        <v>0</v>
      </c>
      <c r="Q347" s="32">
        <f>IF(AND(Assumptions!$G$221="Yes",Assumptions!$G$222="Detailed"),-Assumptions_Detailed!Q$88,MAX(IFERROR(Q210-Q310-Q315,0),$C$350-SUM($G$347:P347)))</f>
        <v>0</v>
      </c>
      <c r="R347" s="32">
        <f>IF(AND(Assumptions!$G$221="Yes",Assumptions!$G$222="Detailed"),-Assumptions_Detailed!R$88,MAX(IFERROR(R210-R310-R315,0),$C$350-SUM($G$347:Q347)))</f>
        <v>0</v>
      </c>
      <c r="S347" s="32">
        <f>IF(AND(Assumptions!$G$221="Yes",Assumptions!$G$222="Detailed"),-Assumptions_Detailed!S$88,MAX(IFERROR(S210-S310-S315,0),$C$350-SUM($G$347:R347)))</f>
        <v>0</v>
      </c>
      <c r="T347" s="32">
        <f>IF(AND(Assumptions!$G$221="Yes",Assumptions!$G$222="Detailed"),-Assumptions_Detailed!T$88,MAX(IFERROR(T210-T310-T315,0),$C$350-SUM($G$347:S347)))</f>
        <v>0</v>
      </c>
      <c r="U347" s="32">
        <f>IF(AND(Assumptions!$G$221="Yes",Assumptions!$G$222="Detailed"),-Assumptions_Detailed!U$88,MAX(IFERROR(U210-U310-U315,0),$C$350-SUM($G$347:T347)))</f>
        <v>0</v>
      </c>
      <c r="V347" s="32">
        <f>IF(AND(Assumptions!$G$221="Yes",Assumptions!$G$222="Detailed"),-Assumptions_Detailed!V$88,MAX(IFERROR(V210-V310-V315,0),$C$350-SUM($G$347:U347)))</f>
        <v>0</v>
      </c>
      <c r="W347" s="32">
        <f>IF(AND(Assumptions!$G$221="Yes",Assumptions!$G$222="Detailed"),-Assumptions_Detailed!W$88,MAX(IFERROR(W210-W310-W315,0),$C$350-SUM($G$347:V347)))</f>
        <v>0</v>
      </c>
      <c r="X347" s="32">
        <f>IF(AND(Assumptions!$G$221="Yes",Assumptions!$G$222="Detailed"),-Assumptions_Detailed!X$88,MAX(IFERROR(X210-X310-X315,0),$C$350-SUM($G$347:W347)))</f>
        <v>0</v>
      </c>
      <c r="Y347" s="32">
        <f>IF(AND(Assumptions!$G$221="Yes",Assumptions!$G$222="Detailed"),-Assumptions_Detailed!Y$88,MAX(IFERROR(Y210-Y310-Y315,0),$C$350-SUM($G$347:X347)))</f>
        <v>0</v>
      </c>
      <c r="Z347" s="32">
        <f>IF(AND(Assumptions!$G$221="Yes",Assumptions!$G$222="Detailed"),-Assumptions_Detailed!Z$88,MAX(IFERROR(Z210-Z310-Z315,0),$C$350-SUM($G$347:Y347)))</f>
        <v>0</v>
      </c>
      <c r="AA347" s="32">
        <f>IF(AND(Assumptions!$G$221="Yes",Assumptions!$G$222="Detailed"),-Assumptions_Detailed!AA$88,MAX(IFERROR(AA210-AA310-AA315,0),$C$350-SUM($G$347:Z347)))</f>
        <v>0</v>
      </c>
      <c r="AB347" s="32">
        <f>IF(AND(Assumptions!$G$221="Yes",Assumptions!$G$222="Detailed"),-Assumptions_Detailed!AB$88,MAX(IFERROR(AB210-AB310-AB315,0),$C$350-SUM($G$347:AA347)))</f>
        <v>0</v>
      </c>
      <c r="AC347" s="32">
        <f>IF(AND(Assumptions!$G$221="Yes",Assumptions!$G$222="Detailed"),-Assumptions_Detailed!AC$88,MAX(IFERROR(AC210-AC310-AC315,0),$C$350-SUM($G$347:AB347)))</f>
        <v>0</v>
      </c>
      <c r="AD347" s="32">
        <f>IF(AND(Assumptions!$G$221="Yes",Assumptions!$G$222="Detailed"),-Assumptions_Detailed!AD$88,MAX(IFERROR(AD210-AD310-AD315,0),$C$350-SUM($G$347:AC347)))</f>
        <v>0</v>
      </c>
      <c r="AE347" s="32">
        <f>IF(AND(Assumptions!$G$221="Yes",Assumptions!$G$222="Detailed"),-Assumptions_Detailed!AE$88,MAX(IFERROR(AE210-AE310-AE315,0),$C$350-SUM($G$347:AD347)))</f>
        <v>0</v>
      </c>
      <c r="AF347" s="32">
        <f>IF(AND(Assumptions!$G$221="Yes",Assumptions!$G$222="Detailed"),-Assumptions_Detailed!AF$88,MAX(IFERROR(AF210-AF310-AF315,0),$C$350-SUM($G$347:AE347)))</f>
        <v>0</v>
      </c>
      <c r="AG347" s="32">
        <f>IF(AND(Assumptions!$G$221="Yes",Assumptions!$G$222="Detailed"),-Assumptions_Detailed!AG$88,MAX(IFERROR(AG210-AG310-AG315,0),$C$350-SUM($G$347:AF347)))</f>
        <v>0</v>
      </c>
      <c r="AH347" s="32">
        <f>IF(AND(Assumptions!$G$221="Yes",Assumptions!$G$222="Detailed"),-Assumptions_Detailed!AH$88,MAX(IFERROR(AH210-AH310-AH315,0),$C$350-SUM($G$347:AG347)))</f>
        <v>0</v>
      </c>
      <c r="AI347" s="32">
        <f>IF(AND(Assumptions!$G$221="Yes",Assumptions!$G$222="Detailed"),-Assumptions_Detailed!AI$88,MAX(IFERROR(AI210-AI310-AI315,0),$C$350-SUM($G$347:AH347)))</f>
        <v>0</v>
      </c>
      <c r="AJ347" s="32">
        <f>IF(AND(Assumptions!$G$221="Yes",Assumptions!$G$222="Detailed"),-Assumptions_Detailed!AJ$88,MAX(IFERROR(AJ210-AJ310-AJ315,0),$C$350-SUM($G$347:AI347)))</f>
        <v>0</v>
      </c>
      <c r="AK347" s="32">
        <f>IF(AND(Assumptions!$G$221="Yes",Assumptions!$G$222="Detailed"),-Assumptions_Detailed!AK$88,MAX(IFERROR(AK210-AK310-AK315,0),$C$350-SUM($G$347:AJ347)))</f>
        <v>0</v>
      </c>
      <c r="AL347" s="32">
        <f>IF(AND(Assumptions!$G$221="Yes",Assumptions!$G$222="Detailed"),-Assumptions_Detailed!AL$88,MAX(IFERROR(AL210-AL310-AL315,0),$C$350-SUM($G$347:AK347)))</f>
        <v>0</v>
      </c>
      <c r="AM347" s="32">
        <f>IF(AND(Assumptions!$G$221="Yes",Assumptions!$G$222="Detailed"),-Assumptions_Detailed!AM$88,MAX(IFERROR(AM210-AM310-AM315,0),$C$350-SUM($G$347:AL347)))</f>
        <v>0</v>
      </c>
      <c r="AN347" s="32">
        <f>IF(AND(Assumptions!$G$221="Yes",Assumptions!$G$222="Detailed"),-Assumptions_Detailed!AN$88,MAX(IFERROR(AN210-AN310-AN315,0),$C$350-SUM($G$347:AM347)))</f>
        <v>0</v>
      </c>
      <c r="AO347" s="32">
        <f>IF(AND(Assumptions!$G$221="Yes",Assumptions!$G$222="Detailed"),-Assumptions_Detailed!AO$88,MAX(IFERROR(AO210-AO310-AO315,0),$C$350-SUM($G$347:AN347)))</f>
        <v>0</v>
      </c>
      <c r="AP347" s="32">
        <f>IF(AND(Assumptions!$G$221="Yes",Assumptions!$G$222="Detailed"),-Assumptions_Detailed!AP$88,MAX(IFERROR(AP210-AP310-AP315,0),$C$350-SUM($G$347:AO347)))</f>
        <v>0</v>
      </c>
      <c r="AQ347" s="32">
        <f>IF(AND(Assumptions!$G$221="Yes",Assumptions!$G$222="Detailed"),-Assumptions_Detailed!AQ$88,MAX(IFERROR(AQ210-AQ310-AQ315,0),$C$350-SUM($G$347:AP347)))</f>
        <v>0</v>
      </c>
      <c r="AR347" s="32">
        <f>IF(AND(Assumptions!$G$221="Yes",Assumptions!$G$222="Detailed"),-Assumptions_Detailed!AR$88,MAX(IFERROR(AR210-AR310-AR315,0),$C$350-SUM($G$347:AQ347)))</f>
        <v>0</v>
      </c>
      <c r="AS347" s="32">
        <f>IF(AND(Assumptions!$G$221="Yes",Assumptions!$G$222="Detailed"),-Assumptions_Detailed!AS$88,MAX(IFERROR(AS210-AS310-AS315,0),$C$350-SUM($G$347:AR347)))</f>
        <v>0</v>
      </c>
      <c r="AT347" s="32">
        <f>IF(AND(Assumptions!$G$221="Yes",Assumptions!$G$222="Detailed"),-Assumptions_Detailed!AT$88,MAX(IFERROR(AT210-AT310-AT315,0),$C$350-SUM($G$347:AS347)))</f>
        <v>0</v>
      </c>
      <c r="AU347" s="32">
        <f>IF(AND(Assumptions!$G$221="Yes",Assumptions!$G$222="Detailed"),-Assumptions_Detailed!AU$88,MAX(IFERROR(AU210-AU310-AU315,0),$C$350-SUM($G$347:AT347)))</f>
        <v>0</v>
      </c>
      <c r="AV347" s="32">
        <f>IF(AND(Assumptions!$G$221="Yes",Assumptions!$G$222="Detailed"),-Assumptions_Detailed!AV$88,MAX(IFERROR(AV210-AV310-AV315,0),$C$350-SUM($G$347:AU347)))</f>
        <v>0</v>
      </c>
      <c r="AW347" s="32">
        <f>IF(AND(Assumptions!$G$221="Yes",Assumptions!$G$222="Detailed"),-Assumptions_Detailed!AW$88,MAX(IFERROR(AW210-AW310-AW315,0),$C$350-SUM($G$347:AV347)))</f>
        <v>0</v>
      </c>
      <c r="AX347" s="32">
        <f>IF(AND(Assumptions!$G$221="Yes",Assumptions!$G$222="Detailed"),-Assumptions_Detailed!AX$88,MAX(IFERROR(AX210-AX310-AX315,0),$C$350-SUM($G$347:AW347)))</f>
        <v>0</v>
      </c>
      <c r="AY347" s="32">
        <f>IF(AND(Assumptions!$G$221="Yes",Assumptions!$G$222="Detailed"),-Assumptions_Detailed!AY$88,MAX(IFERROR(AY210-AY310-AY315,0),$C$350-SUM($G$347:AX347)))</f>
        <v>0</v>
      </c>
      <c r="AZ347" s="32">
        <f>IF(AND(Assumptions!$G$221="Yes",Assumptions!$G$222="Detailed"),-Assumptions_Detailed!AZ$88,MAX(IFERROR(AZ210-AZ310-AZ315,0),$C$350-SUM($G$347:AY347)))</f>
        <v>0</v>
      </c>
      <c r="BA347" s="32">
        <f>IF(AND(Assumptions!$G$221="Yes",Assumptions!$G$222="Detailed"),-Assumptions_Detailed!BA$88,MAX(IFERROR(BA210-BA310-BA315,0),$C$350-SUM($G$347:AZ347)))</f>
        <v>0</v>
      </c>
      <c r="BB347" s="32">
        <f>IF(AND(Assumptions!$G$221="Yes",Assumptions!$G$222="Detailed"),-Assumptions_Detailed!BB$88,MAX(IFERROR(BB210-BB310-BB315,0),$C$350-SUM($G$347:BA347)))</f>
        <v>0</v>
      </c>
      <c r="BC347" s="32">
        <f>IF(AND(Assumptions!$G$221="Yes",Assumptions!$G$222="Detailed"),-Assumptions_Detailed!BC$88,MAX(IFERROR(BC210-BC310-BC315,0),$C$350-SUM($G$347:BB347)))</f>
        <v>0</v>
      </c>
      <c r="BD347" s="32">
        <f>IF(AND(Assumptions!$G$221="Yes",Assumptions!$G$222="Detailed"),-Assumptions_Detailed!BD$88,MAX(IFERROR(BD210-BD310-BD315,0),$C$350-SUM($G$347:BC347)))</f>
        <v>0</v>
      </c>
      <c r="BE347" s="32">
        <f>IF(AND(Assumptions!$G$221="Yes",Assumptions!$G$222="Detailed"),-Assumptions_Detailed!BE$88,MAX(IFERROR(BE210-BE310-BE315,0),$C$350-SUM($G$347:BD347)))</f>
        <v>0</v>
      </c>
      <c r="BF347" s="32">
        <f>IF(AND(Assumptions!$G$221="Yes",Assumptions!$G$222="Detailed"),-Assumptions_Detailed!BF$88,MAX(IFERROR(BF210-BF310-BF315,0),$C$350-SUM($G$347:BE347)))</f>
        <v>0</v>
      </c>
      <c r="BG347" s="32">
        <f>IF(AND(Assumptions!$G$221="Yes",Assumptions!$G$222="Detailed"),-Assumptions_Detailed!BG$88,MAX(IFERROR(BG210-BG310-BG315,0),$C$350-SUM($G$347:BF347)))</f>
        <v>0</v>
      </c>
      <c r="BH347" s="32">
        <f>IF(AND(Assumptions!$G$221="Yes",Assumptions!$G$222="Detailed"),-Assumptions_Detailed!BH$88,MAX(IFERROR(BH210-BH310-BH315,0),$C$350-SUM($G$347:BG347)))</f>
        <v>0</v>
      </c>
      <c r="BI347" s="32">
        <f>IF(AND(Assumptions!$G$221="Yes",Assumptions!$G$222="Detailed"),-Assumptions_Detailed!BI$88,MAX(IFERROR(BI210-BI310-BI315,0),$C$350-SUM($G$347:BH347)))</f>
        <v>0</v>
      </c>
      <c r="BJ347" s="32">
        <f>IF(AND(Assumptions!$G$221="Yes",Assumptions!$G$222="Detailed"),-Assumptions_Detailed!BJ$88,MAX(IFERROR(BJ210-BJ310-BJ315,0),$C$350-SUM($G$347:BI347)))</f>
        <v>0</v>
      </c>
      <c r="BK347" s="32">
        <f>IF(AND(Assumptions!$G$221="Yes",Assumptions!$G$222="Detailed"),-Assumptions_Detailed!BK$88,MAX(IFERROR(BK210-BK310-BK315,0),$C$350-SUM($G$347:BJ347)))</f>
        <v>0</v>
      </c>
      <c r="BL347" s="32">
        <f>IF(AND(Assumptions!$G$221="Yes",Assumptions!$G$222="Detailed"),-Assumptions_Detailed!BL$88,MAX(IFERROR(BL210-BL310-BL315,0),$C$350-SUM($G$347:BK347)))</f>
        <v>0</v>
      </c>
      <c r="BM347" s="32">
        <f>IF(AND(Assumptions!$G$221="Yes",Assumptions!$G$222="Detailed"),-Assumptions_Detailed!BM$88,MAX(IFERROR(BM210-BM310-BM315,0),$C$350-SUM($G$347:BL347)))</f>
        <v>0</v>
      </c>
      <c r="BN347" s="32">
        <f>IF(AND(Assumptions!$G$221="Yes",Assumptions!$G$222="Detailed"),-Assumptions_Detailed!BN$88,MAX(IFERROR(BN210-BN310-BN315,0),$C$350-SUM($G$347:BM347)))</f>
        <v>0</v>
      </c>
      <c r="BO347" s="32">
        <f>IF(AND(Assumptions!$G$221="Yes",Assumptions!$G$222="Detailed"),-Assumptions_Detailed!BO$88,MAX(IFERROR(BO210-BO310-BO315,0),$C$350-SUM($G$347:BN347)))</f>
        <v>0</v>
      </c>
      <c r="BP347" s="32">
        <f>IF(AND(Assumptions!$G$221="Yes",Assumptions!$G$222="Detailed"),-Assumptions_Detailed!BP$88,MAX(IFERROR(BP210-BP310-BP315,0),$C$350-SUM($G$347:BO347)))</f>
        <v>0</v>
      </c>
      <c r="BQ347" s="32">
        <f>IF(AND(Assumptions!$G$221="Yes",Assumptions!$G$222="Detailed"),-Assumptions_Detailed!BQ$88,MAX(IFERROR(BQ210-BQ310-BQ315,0),$C$350-SUM($G$347:BP347)))</f>
        <v>0</v>
      </c>
      <c r="BR347" s="32">
        <f>IF(AND(Assumptions!$G$221="Yes",Assumptions!$G$222="Detailed"),-Assumptions_Detailed!BR$88,MAX(IFERROR(BR210-BR310-BR315,0),$C$350-SUM($G$347:BQ347)))</f>
        <v>0</v>
      </c>
      <c r="BS347" s="32">
        <f>IF(AND(Assumptions!$G$221="Yes",Assumptions!$G$222="Detailed"),-Assumptions_Detailed!BS$88,MAX(IFERROR(BS210-BS310-BS315,0),$C$350-SUM($G$347:BR347)))</f>
        <v>0</v>
      </c>
      <c r="BT347" s="32">
        <f>IF(AND(Assumptions!$G$221="Yes",Assumptions!$G$222="Detailed"),-Assumptions_Detailed!BT$88,MAX(IFERROR(BT210-BT310-BT315,0),$C$350-SUM($G$347:BS347)))</f>
        <v>0</v>
      </c>
      <c r="BU347" s="32">
        <f>IF(AND(Assumptions!$G$221="Yes",Assumptions!$G$222="Detailed"),-Assumptions_Detailed!BU$88,MAX(IFERROR(BU210-BU310-BU315,0),$C$350-SUM($G$347:BT347)))</f>
        <v>0</v>
      </c>
      <c r="BV347" s="32">
        <f>IF(AND(Assumptions!$G$221="Yes",Assumptions!$G$222="Detailed"),-Assumptions_Detailed!BV$88,MAX(IFERROR(BV210-BV310-BV315,0),$C$350-SUM($G$347:BU347)))</f>
        <v>0</v>
      </c>
      <c r="BW347" s="32">
        <f>IF(AND(Assumptions!$G$221="Yes",Assumptions!$G$222="Detailed"),-Assumptions_Detailed!BW$88,MAX(IFERROR(BW210-BW310-BW315,0),$C$350-SUM($G$347:BV347)))</f>
        <v>0</v>
      </c>
      <c r="BX347" s="32">
        <f>IF(AND(Assumptions!$G$221="Yes",Assumptions!$G$222="Detailed"),-Assumptions_Detailed!BX$88,MAX(IFERROR(BX210-BX310-BX315,0),$C$350-SUM($G$347:BW347)))</f>
        <v>0</v>
      </c>
      <c r="BY347" s="32">
        <f>IF(AND(Assumptions!$G$221="Yes",Assumptions!$G$222="Detailed"),-Assumptions_Detailed!BY$88,MAX(IFERROR(BY210-BY310-BY315,0),$C$350-SUM($G$347:BX347)))</f>
        <v>0</v>
      </c>
    </row>
    <row r="348" spans="3:77" outlineLevel="1">
      <c r="D348" s="31"/>
      <c r="BF348" s="33"/>
      <c r="BG348" s="33"/>
      <c r="BH348" s="33"/>
      <c r="BI348" s="33"/>
      <c r="BJ348" s="33"/>
      <c r="BK348" s="33"/>
      <c r="BL348" s="33"/>
      <c r="BM348" s="33"/>
      <c r="BN348" s="33"/>
      <c r="BO348" s="33"/>
      <c r="BP348" s="33"/>
      <c r="BQ348" s="33"/>
      <c r="BR348" s="33"/>
      <c r="BS348" s="33"/>
      <c r="BT348" s="33"/>
      <c r="BU348" s="33"/>
      <c r="BV348" s="33"/>
      <c r="BW348" s="33"/>
      <c r="BX348" s="33"/>
      <c r="BY348" s="33"/>
    </row>
    <row r="349" spans="3:77" ht="15" outlineLevel="1">
      <c r="C349" s="22" t="s">
        <v>498</v>
      </c>
      <c r="D349" s="31"/>
      <c r="BF349" s="33"/>
      <c r="BG349" s="33"/>
      <c r="BH349" s="33"/>
      <c r="BI349" s="33"/>
      <c r="BJ349" s="33"/>
      <c r="BK349" s="33"/>
      <c r="BL349" s="33"/>
      <c r="BM349" s="33"/>
      <c r="BN349" s="33"/>
      <c r="BO349" s="33"/>
      <c r="BP349" s="33"/>
      <c r="BQ349" s="33"/>
      <c r="BR349" s="33"/>
      <c r="BS349" s="33"/>
      <c r="BT349" s="33"/>
      <c r="BU349" s="33"/>
      <c r="BV349" s="33"/>
      <c r="BW349" s="33"/>
      <c r="BX349" s="33"/>
      <c r="BY349" s="33"/>
    </row>
    <row r="350" spans="3:77" outlineLevel="1">
      <c r="C350" s="94">
        <f>Assumptions!$G$237*C210</f>
        <v>0</v>
      </c>
      <c r="D350" s="31"/>
      <c r="BF350" s="33"/>
      <c r="BG350" s="33"/>
      <c r="BH350" s="33"/>
      <c r="BI350" s="33"/>
      <c r="BJ350" s="33"/>
      <c r="BK350" s="33"/>
      <c r="BL350" s="33"/>
      <c r="BM350" s="33"/>
      <c r="BN350" s="33"/>
      <c r="BO350" s="33"/>
      <c r="BP350" s="33"/>
      <c r="BQ350" s="33"/>
      <c r="BR350" s="33"/>
      <c r="BS350" s="33"/>
      <c r="BT350" s="33"/>
      <c r="BU350" s="33"/>
      <c r="BV350" s="33"/>
      <c r="BW350" s="33"/>
      <c r="BX350" s="33"/>
      <c r="BY350" s="33"/>
    </row>
    <row r="351" spans="3:77" outlineLevel="1">
      <c r="D351" s="31"/>
      <c r="E351" t="s">
        <v>499</v>
      </c>
      <c r="F351" s="23" t="s">
        <v>500</v>
      </c>
      <c r="G351" s="33"/>
      <c r="H351" s="33" t="e" vm="1">
        <f>+IF(AND(H$347=$C353,H$347&lt;0),1,0)</f>
        <v>#VALUE!</v>
      </c>
      <c r="I351" s="33" t="e" vm="1">
        <f t="shared" ref="I351:BT351" si="584">+IF(AND(I$347=$C353,I$347&lt;0),1,0)</f>
        <v>#VALUE!</v>
      </c>
      <c r="J351" s="33" t="e" vm="1">
        <f t="shared" si="584"/>
        <v>#VALUE!</v>
      </c>
      <c r="K351" s="33" t="e" vm="1">
        <f t="shared" si="584"/>
        <v>#VALUE!</v>
      </c>
      <c r="L351" s="33" t="e" vm="1">
        <f t="shared" si="584"/>
        <v>#VALUE!</v>
      </c>
      <c r="M351" s="33" t="e" vm="1">
        <f t="shared" si="584"/>
        <v>#VALUE!</v>
      </c>
      <c r="N351" s="33" t="e" vm="1">
        <f t="shared" si="584"/>
        <v>#VALUE!</v>
      </c>
      <c r="O351" s="33" t="e" vm="1">
        <f t="shared" si="584"/>
        <v>#VALUE!</v>
      </c>
      <c r="P351" s="33" t="e" vm="1">
        <f t="shared" si="584"/>
        <v>#VALUE!</v>
      </c>
      <c r="Q351" s="33" t="e" vm="1">
        <f t="shared" si="584"/>
        <v>#VALUE!</v>
      </c>
      <c r="R351" s="33" t="e" vm="1">
        <f t="shared" si="584"/>
        <v>#VALUE!</v>
      </c>
      <c r="S351" s="33" t="e" vm="1">
        <f t="shared" si="584"/>
        <v>#VALUE!</v>
      </c>
      <c r="T351" s="33" t="e" vm="1">
        <f t="shared" si="584"/>
        <v>#VALUE!</v>
      </c>
      <c r="U351" s="33" t="e" vm="1">
        <f t="shared" si="584"/>
        <v>#VALUE!</v>
      </c>
      <c r="V351" s="33" t="e" vm="1">
        <f t="shared" si="584"/>
        <v>#VALUE!</v>
      </c>
      <c r="W351" s="33" t="e" vm="1">
        <f t="shared" si="584"/>
        <v>#VALUE!</v>
      </c>
      <c r="X351" s="33" t="e" vm="1">
        <f t="shared" si="584"/>
        <v>#VALUE!</v>
      </c>
      <c r="Y351" s="33" t="e" vm="1">
        <f t="shared" si="584"/>
        <v>#VALUE!</v>
      </c>
      <c r="Z351" s="33" t="e" vm="1">
        <f t="shared" si="584"/>
        <v>#VALUE!</v>
      </c>
      <c r="AA351" s="33" t="e" vm="1">
        <f t="shared" si="584"/>
        <v>#VALUE!</v>
      </c>
      <c r="AB351" s="33" t="e" vm="1">
        <f t="shared" si="584"/>
        <v>#VALUE!</v>
      </c>
      <c r="AC351" s="33" t="e" vm="1">
        <f t="shared" si="584"/>
        <v>#VALUE!</v>
      </c>
      <c r="AD351" s="33" t="e" vm="1">
        <f t="shared" si="584"/>
        <v>#VALUE!</v>
      </c>
      <c r="AE351" s="33" t="e" vm="1">
        <f t="shared" si="584"/>
        <v>#VALUE!</v>
      </c>
      <c r="AF351" s="33" t="e" vm="1">
        <f t="shared" si="584"/>
        <v>#VALUE!</v>
      </c>
      <c r="AG351" s="33" t="e" vm="1">
        <f t="shared" si="584"/>
        <v>#VALUE!</v>
      </c>
      <c r="AH351" s="33" t="e" vm="1">
        <f t="shared" si="584"/>
        <v>#VALUE!</v>
      </c>
      <c r="AI351" s="33" t="e" vm="1">
        <f t="shared" si="584"/>
        <v>#VALUE!</v>
      </c>
      <c r="AJ351" s="33" t="e" vm="1">
        <f t="shared" si="584"/>
        <v>#VALUE!</v>
      </c>
      <c r="AK351" s="33" t="e" vm="1">
        <f t="shared" si="584"/>
        <v>#VALUE!</v>
      </c>
      <c r="AL351" s="33" t="e" vm="1">
        <f t="shared" si="584"/>
        <v>#VALUE!</v>
      </c>
      <c r="AM351" s="33" t="e" vm="1">
        <f t="shared" si="584"/>
        <v>#VALUE!</v>
      </c>
      <c r="AN351" s="33" t="e" vm="1">
        <f t="shared" si="584"/>
        <v>#VALUE!</v>
      </c>
      <c r="AO351" s="33" t="e" vm="1">
        <f t="shared" si="584"/>
        <v>#VALUE!</v>
      </c>
      <c r="AP351" s="33" t="e" vm="1">
        <f t="shared" si="584"/>
        <v>#VALUE!</v>
      </c>
      <c r="AQ351" s="33" t="e" vm="1">
        <f t="shared" si="584"/>
        <v>#VALUE!</v>
      </c>
      <c r="AR351" s="33" t="e" vm="1">
        <f t="shared" si="584"/>
        <v>#VALUE!</v>
      </c>
      <c r="AS351" s="33" t="e" vm="1">
        <f t="shared" si="584"/>
        <v>#VALUE!</v>
      </c>
      <c r="AT351" s="33" t="e" vm="1">
        <f t="shared" si="584"/>
        <v>#VALUE!</v>
      </c>
      <c r="AU351" s="33" t="e" vm="1">
        <f t="shared" si="584"/>
        <v>#VALUE!</v>
      </c>
      <c r="AV351" s="33" t="e" vm="1">
        <f t="shared" si="584"/>
        <v>#VALUE!</v>
      </c>
      <c r="AW351" s="33" t="e" vm="1">
        <f t="shared" si="584"/>
        <v>#VALUE!</v>
      </c>
      <c r="AX351" s="33" t="e" vm="1">
        <f t="shared" si="584"/>
        <v>#VALUE!</v>
      </c>
      <c r="AY351" s="33" t="e" vm="1">
        <f t="shared" si="584"/>
        <v>#VALUE!</v>
      </c>
      <c r="AZ351" s="33" t="e" vm="1">
        <f t="shared" si="584"/>
        <v>#VALUE!</v>
      </c>
      <c r="BA351" s="33" t="e" vm="1">
        <f t="shared" si="584"/>
        <v>#VALUE!</v>
      </c>
      <c r="BB351" s="33" t="e" vm="1">
        <f t="shared" si="584"/>
        <v>#VALUE!</v>
      </c>
      <c r="BC351" s="33" t="e" vm="1">
        <f t="shared" si="584"/>
        <v>#VALUE!</v>
      </c>
      <c r="BD351" s="33" t="e" vm="1">
        <f t="shared" si="584"/>
        <v>#VALUE!</v>
      </c>
      <c r="BE351" s="33" t="e" vm="1">
        <f t="shared" si="584"/>
        <v>#VALUE!</v>
      </c>
      <c r="BF351" s="33" t="e" vm="1">
        <f t="shared" si="584"/>
        <v>#VALUE!</v>
      </c>
      <c r="BG351" s="33" t="e" vm="1">
        <f t="shared" si="584"/>
        <v>#VALUE!</v>
      </c>
      <c r="BH351" s="33" t="e" vm="1">
        <f t="shared" si="584"/>
        <v>#VALUE!</v>
      </c>
      <c r="BI351" s="33" t="e" vm="1">
        <f t="shared" si="584"/>
        <v>#VALUE!</v>
      </c>
      <c r="BJ351" s="33" t="e" vm="1">
        <f t="shared" si="584"/>
        <v>#VALUE!</v>
      </c>
      <c r="BK351" s="33" t="e" vm="1">
        <f t="shared" si="584"/>
        <v>#VALUE!</v>
      </c>
      <c r="BL351" s="33" t="e" vm="1">
        <f t="shared" si="584"/>
        <v>#VALUE!</v>
      </c>
      <c r="BM351" s="33" t="e" vm="1">
        <f t="shared" si="584"/>
        <v>#VALUE!</v>
      </c>
      <c r="BN351" s="33" t="e" vm="1">
        <f t="shared" si="584"/>
        <v>#VALUE!</v>
      </c>
      <c r="BO351" s="33" t="e" vm="1">
        <f t="shared" si="584"/>
        <v>#VALUE!</v>
      </c>
      <c r="BP351" s="33" t="e" vm="1">
        <f t="shared" si="584"/>
        <v>#VALUE!</v>
      </c>
      <c r="BQ351" s="33" t="e" vm="1">
        <f t="shared" si="584"/>
        <v>#VALUE!</v>
      </c>
      <c r="BR351" s="33" t="e" vm="1">
        <f t="shared" si="584"/>
        <v>#VALUE!</v>
      </c>
      <c r="BS351" s="33" t="e" vm="1">
        <f t="shared" si="584"/>
        <v>#VALUE!</v>
      </c>
      <c r="BT351" s="33" t="e" vm="1">
        <f t="shared" si="584"/>
        <v>#VALUE!</v>
      </c>
      <c r="BU351" s="33" t="e" vm="1">
        <f t="shared" ref="BU351:BY351" si="585">+IF(AND(BU$347=$C353,BU$347&lt;0),1,0)</f>
        <v>#VALUE!</v>
      </c>
      <c r="BV351" s="33" t="e" vm="1">
        <f t="shared" si="585"/>
        <v>#VALUE!</v>
      </c>
      <c r="BW351" s="33" t="e" vm="1">
        <f t="shared" si="585"/>
        <v>#VALUE!</v>
      </c>
      <c r="BX351" s="33" t="e" vm="1">
        <f t="shared" si="585"/>
        <v>#VALUE!</v>
      </c>
      <c r="BY351" s="33" t="e" vm="1">
        <f t="shared" si="585"/>
        <v>#VALUE!</v>
      </c>
    </row>
    <row r="352" spans="3:77" ht="15" outlineLevel="1">
      <c r="C352" s="22" t="s">
        <v>501</v>
      </c>
      <c r="D352" s="31"/>
      <c r="E352" t="s">
        <v>502</v>
      </c>
      <c r="F352" s="23" t="s">
        <v>500</v>
      </c>
      <c r="H352" s="33">
        <f t="shared" ref="H352:BS352" si="586">+IF(AND(H$347=$C354,H$347&lt;0),1,0)</f>
        <v>0</v>
      </c>
      <c r="I352" s="33">
        <f t="shared" si="586"/>
        <v>0</v>
      </c>
      <c r="J352" s="33">
        <f t="shared" si="586"/>
        <v>0</v>
      </c>
      <c r="K352" s="33">
        <f t="shared" si="586"/>
        <v>0</v>
      </c>
      <c r="L352" s="33">
        <f t="shared" si="586"/>
        <v>0</v>
      </c>
      <c r="M352" s="33">
        <f t="shared" si="586"/>
        <v>0</v>
      </c>
      <c r="N352" s="33">
        <f t="shared" si="586"/>
        <v>0</v>
      </c>
      <c r="O352" s="33">
        <f t="shared" si="586"/>
        <v>0</v>
      </c>
      <c r="P352" s="33">
        <f t="shared" si="586"/>
        <v>0</v>
      </c>
      <c r="Q352" s="33">
        <f t="shared" si="586"/>
        <v>0</v>
      </c>
      <c r="R352" s="33">
        <f t="shared" si="586"/>
        <v>0</v>
      </c>
      <c r="S352" s="33">
        <f t="shared" si="586"/>
        <v>0</v>
      </c>
      <c r="T352" s="33">
        <f t="shared" si="586"/>
        <v>0</v>
      </c>
      <c r="U352" s="33">
        <f t="shared" si="586"/>
        <v>0</v>
      </c>
      <c r="V352" s="33">
        <f t="shared" si="586"/>
        <v>0</v>
      </c>
      <c r="W352" s="33">
        <f t="shared" si="586"/>
        <v>0</v>
      </c>
      <c r="X352" s="33">
        <f t="shared" si="586"/>
        <v>0</v>
      </c>
      <c r="Y352" s="33">
        <f t="shared" si="586"/>
        <v>0</v>
      </c>
      <c r="Z352" s="33">
        <f t="shared" si="586"/>
        <v>0</v>
      </c>
      <c r="AA352" s="33">
        <f t="shared" si="586"/>
        <v>0</v>
      </c>
      <c r="AB352" s="33">
        <f t="shared" si="586"/>
        <v>0</v>
      </c>
      <c r="AC352" s="33">
        <f t="shared" si="586"/>
        <v>0</v>
      </c>
      <c r="AD352" s="33">
        <f t="shared" si="586"/>
        <v>0</v>
      </c>
      <c r="AE352" s="33">
        <f t="shared" si="586"/>
        <v>0</v>
      </c>
      <c r="AF352" s="33">
        <f t="shared" si="586"/>
        <v>0</v>
      </c>
      <c r="AG352" s="33">
        <f t="shared" si="586"/>
        <v>0</v>
      </c>
      <c r="AH352" s="33">
        <f t="shared" si="586"/>
        <v>0</v>
      </c>
      <c r="AI352" s="33">
        <f t="shared" si="586"/>
        <v>0</v>
      </c>
      <c r="AJ352" s="33">
        <f t="shared" si="586"/>
        <v>0</v>
      </c>
      <c r="AK352" s="33">
        <f t="shared" si="586"/>
        <v>0</v>
      </c>
      <c r="AL352" s="33">
        <f t="shared" si="586"/>
        <v>0</v>
      </c>
      <c r="AM352" s="33">
        <f t="shared" si="586"/>
        <v>0</v>
      </c>
      <c r="AN352" s="33">
        <f t="shared" si="586"/>
        <v>0</v>
      </c>
      <c r="AO352" s="33">
        <f t="shared" si="586"/>
        <v>0</v>
      </c>
      <c r="AP352" s="33">
        <f t="shared" si="586"/>
        <v>0</v>
      </c>
      <c r="AQ352" s="33">
        <f t="shared" si="586"/>
        <v>0</v>
      </c>
      <c r="AR352" s="33">
        <f t="shared" si="586"/>
        <v>0</v>
      </c>
      <c r="AS352" s="33">
        <f t="shared" si="586"/>
        <v>0</v>
      </c>
      <c r="AT352" s="33">
        <f t="shared" si="586"/>
        <v>0</v>
      </c>
      <c r="AU352" s="33">
        <f t="shared" si="586"/>
        <v>0</v>
      </c>
      <c r="AV352" s="33">
        <f t="shared" si="586"/>
        <v>0</v>
      </c>
      <c r="AW352" s="33">
        <f t="shared" si="586"/>
        <v>0</v>
      </c>
      <c r="AX352" s="33">
        <f t="shared" si="586"/>
        <v>0</v>
      </c>
      <c r="AY352" s="33">
        <f t="shared" si="586"/>
        <v>0</v>
      </c>
      <c r="AZ352" s="33">
        <f t="shared" si="586"/>
        <v>0</v>
      </c>
      <c r="BA352" s="33">
        <f t="shared" si="586"/>
        <v>0</v>
      </c>
      <c r="BB352" s="33">
        <f t="shared" si="586"/>
        <v>0</v>
      </c>
      <c r="BC352" s="33">
        <f t="shared" si="586"/>
        <v>0</v>
      </c>
      <c r="BD352" s="33">
        <f t="shared" si="586"/>
        <v>0</v>
      </c>
      <c r="BE352" s="33">
        <f t="shared" si="586"/>
        <v>0</v>
      </c>
      <c r="BF352" s="33">
        <f t="shared" si="586"/>
        <v>0</v>
      </c>
      <c r="BG352" s="33">
        <f t="shared" si="586"/>
        <v>0</v>
      </c>
      <c r="BH352" s="33">
        <f t="shared" si="586"/>
        <v>0</v>
      </c>
      <c r="BI352" s="33">
        <f t="shared" si="586"/>
        <v>0</v>
      </c>
      <c r="BJ352" s="33">
        <f t="shared" si="586"/>
        <v>0</v>
      </c>
      <c r="BK352" s="33">
        <f t="shared" si="586"/>
        <v>0</v>
      </c>
      <c r="BL352" s="33">
        <f t="shared" si="586"/>
        <v>0</v>
      </c>
      <c r="BM352" s="33">
        <f t="shared" si="586"/>
        <v>0</v>
      </c>
      <c r="BN352" s="33">
        <f t="shared" si="586"/>
        <v>0</v>
      </c>
      <c r="BO352" s="33">
        <f t="shared" si="586"/>
        <v>0</v>
      </c>
      <c r="BP352" s="33">
        <f t="shared" si="586"/>
        <v>0</v>
      </c>
      <c r="BQ352" s="33">
        <f t="shared" si="586"/>
        <v>0</v>
      </c>
      <c r="BR352" s="33">
        <f t="shared" si="586"/>
        <v>0</v>
      </c>
      <c r="BS352" s="33">
        <f t="shared" si="586"/>
        <v>0</v>
      </c>
      <c r="BT352" s="33">
        <f t="shared" ref="BT352:BY352" si="587">+IF(AND(BT$347=$C354,BT$347&lt;0),1,0)</f>
        <v>0</v>
      </c>
      <c r="BU352" s="33">
        <f t="shared" si="587"/>
        <v>0</v>
      </c>
      <c r="BV352" s="33">
        <f t="shared" si="587"/>
        <v>0</v>
      </c>
      <c r="BW352" s="33">
        <f t="shared" si="587"/>
        <v>0</v>
      </c>
      <c r="BX352" s="33">
        <f t="shared" si="587"/>
        <v>0</v>
      </c>
      <c r="BY352" s="33">
        <f t="shared" si="587"/>
        <v>0</v>
      </c>
    </row>
    <row r="353" spans="3:77" outlineLevel="1">
      <c r="C353" s="32" t="e" cm="1" vm="2">
        <f t="array" ref="C353">+TRANSPOSE(_xlfn._xlws.FILTER(H347:BY347,H347:BY347))</f>
        <v>#VALUE!</v>
      </c>
      <c r="D353" s="31"/>
      <c r="E353" t="s">
        <v>503</v>
      </c>
      <c r="F353" s="23" t="s">
        <v>500</v>
      </c>
      <c r="H353" s="33">
        <f t="shared" ref="H353:BS353" si="588">+IF(AND(H$347=$C355,H$347&lt;0),1,0)</f>
        <v>0</v>
      </c>
      <c r="I353" s="33">
        <f t="shared" si="588"/>
        <v>0</v>
      </c>
      <c r="J353" s="33">
        <f t="shared" si="588"/>
        <v>0</v>
      </c>
      <c r="K353" s="33">
        <f t="shared" si="588"/>
        <v>0</v>
      </c>
      <c r="L353" s="33">
        <f t="shared" si="588"/>
        <v>0</v>
      </c>
      <c r="M353" s="33">
        <f t="shared" si="588"/>
        <v>0</v>
      </c>
      <c r="N353" s="33">
        <f t="shared" si="588"/>
        <v>0</v>
      </c>
      <c r="O353" s="33">
        <f t="shared" si="588"/>
        <v>0</v>
      </c>
      <c r="P353" s="33">
        <f t="shared" si="588"/>
        <v>0</v>
      </c>
      <c r="Q353" s="33">
        <f t="shared" si="588"/>
        <v>0</v>
      </c>
      <c r="R353" s="33">
        <f t="shared" si="588"/>
        <v>0</v>
      </c>
      <c r="S353" s="33">
        <f t="shared" si="588"/>
        <v>0</v>
      </c>
      <c r="T353" s="33">
        <f t="shared" si="588"/>
        <v>0</v>
      </c>
      <c r="U353" s="33">
        <f t="shared" si="588"/>
        <v>0</v>
      </c>
      <c r="V353" s="33">
        <f t="shared" si="588"/>
        <v>0</v>
      </c>
      <c r="W353" s="33">
        <f t="shared" si="588"/>
        <v>0</v>
      </c>
      <c r="X353" s="33">
        <f t="shared" si="588"/>
        <v>0</v>
      </c>
      <c r="Y353" s="33">
        <f t="shared" si="588"/>
        <v>0</v>
      </c>
      <c r="Z353" s="33">
        <f t="shared" si="588"/>
        <v>0</v>
      </c>
      <c r="AA353" s="33">
        <f t="shared" si="588"/>
        <v>0</v>
      </c>
      <c r="AB353" s="33">
        <f t="shared" si="588"/>
        <v>0</v>
      </c>
      <c r="AC353" s="33">
        <f t="shared" si="588"/>
        <v>0</v>
      </c>
      <c r="AD353" s="33">
        <f t="shared" si="588"/>
        <v>0</v>
      </c>
      <c r="AE353" s="33">
        <f t="shared" si="588"/>
        <v>0</v>
      </c>
      <c r="AF353" s="33">
        <f t="shared" si="588"/>
        <v>0</v>
      </c>
      <c r="AG353" s="33">
        <f t="shared" si="588"/>
        <v>0</v>
      </c>
      <c r="AH353" s="33">
        <f t="shared" si="588"/>
        <v>0</v>
      </c>
      <c r="AI353" s="33">
        <f t="shared" si="588"/>
        <v>0</v>
      </c>
      <c r="AJ353" s="33">
        <f t="shared" si="588"/>
        <v>0</v>
      </c>
      <c r="AK353" s="33">
        <f t="shared" si="588"/>
        <v>0</v>
      </c>
      <c r="AL353" s="33">
        <f t="shared" si="588"/>
        <v>0</v>
      </c>
      <c r="AM353" s="33">
        <f t="shared" si="588"/>
        <v>0</v>
      </c>
      <c r="AN353" s="33">
        <f t="shared" si="588"/>
        <v>0</v>
      </c>
      <c r="AO353" s="33">
        <f t="shared" si="588"/>
        <v>0</v>
      </c>
      <c r="AP353" s="33">
        <f t="shared" si="588"/>
        <v>0</v>
      </c>
      <c r="AQ353" s="33">
        <f t="shared" si="588"/>
        <v>0</v>
      </c>
      <c r="AR353" s="33">
        <f t="shared" si="588"/>
        <v>0</v>
      </c>
      <c r="AS353" s="33">
        <f t="shared" si="588"/>
        <v>0</v>
      </c>
      <c r="AT353" s="33">
        <f t="shared" si="588"/>
        <v>0</v>
      </c>
      <c r="AU353" s="33">
        <f t="shared" si="588"/>
        <v>0</v>
      </c>
      <c r="AV353" s="33">
        <f t="shared" si="588"/>
        <v>0</v>
      </c>
      <c r="AW353" s="33">
        <f t="shared" si="588"/>
        <v>0</v>
      </c>
      <c r="AX353" s="33">
        <f t="shared" si="588"/>
        <v>0</v>
      </c>
      <c r="AY353" s="33">
        <f t="shared" si="588"/>
        <v>0</v>
      </c>
      <c r="AZ353" s="33">
        <f t="shared" si="588"/>
        <v>0</v>
      </c>
      <c r="BA353" s="33">
        <f t="shared" si="588"/>
        <v>0</v>
      </c>
      <c r="BB353" s="33">
        <f t="shared" si="588"/>
        <v>0</v>
      </c>
      <c r="BC353" s="33">
        <f t="shared" si="588"/>
        <v>0</v>
      </c>
      <c r="BD353" s="33">
        <f t="shared" si="588"/>
        <v>0</v>
      </c>
      <c r="BE353" s="33">
        <f t="shared" si="588"/>
        <v>0</v>
      </c>
      <c r="BF353" s="33">
        <f t="shared" si="588"/>
        <v>0</v>
      </c>
      <c r="BG353" s="33">
        <f t="shared" si="588"/>
        <v>0</v>
      </c>
      <c r="BH353" s="33">
        <f t="shared" si="588"/>
        <v>0</v>
      </c>
      <c r="BI353" s="33">
        <f t="shared" si="588"/>
        <v>0</v>
      </c>
      <c r="BJ353" s="33">
        <f t="shared" si="588"/>
        <v>0</v>
      </c>
      <c r="BK353" s="33">
        <f t="shared" si="588"/>
        <v>0</v>
      </c>
      <c r="BL353" s="33">
        <f t="shared" si="588"/>
        <v>0</v>
      </c>
      <c r="BM353" s="33">
        <f t="shared" si="588"/>
        <v>0</v>
      </c>
      <c r="BN353" s="33">
        <f t="shared" si="588"/>
        <v>0</v>
      </c>
      <c r="BO353" s="33">
        <f t="shared" si="588"/>
        <v>0</v>
      </c>
      <c r="BP353" s="33">
        <f t="shared" si="588"/>
        <v>0</v>
      </c>
      <c r="BQ353" s="33">
        <f t="shared" si="588"/>
        <v>0</v>
      </c>
      <c r="BR353" s="33">
        <f t="shared" si="588"/>
        <v>0</v>
      </c>
      <c r="BS353" s="33">
        <f t="shared" si="588"/>
        <v>0</v>
      </c>
      <c r="BT353" s="33">
        <f t="shared" ref="BT353:BY353" si="589">+IF(AND(BT$347=$C355,BT$347&lt;0),1,0)</f>
        <v>0</v>
      </c>
      <c r="BU353" s="33">
        <f t="shared" si="589"/>
        <v>0</v>
      </c>
      <c r="BV353" s="33">
        <f t="shared" si="589"/>
        <v>0</v>
      </c>
      <c r="BW353" s="33">
        <f t="shared" si="589"/>
        <v>0</v>
      </c>
      <c r="BX353" s="33">
        <f t="shared" si="589"/>
        <v>0</v>
      </c>
      <c r="BY353" s="33">
        <f t="shared" si="589"/>
        <v>0</v>
      </c>
    </row>
    <row r="354" spans="3:77" outlineLevel="1">
      <c r="C354" s="32"/>
      <c r="D354" s="31"/>
      <c r="E354" t="s">
        <v>504</v>
      </c>
      <c r="F354" s="23" t="s">
        <v>500</v>
      </c>
      <c r="H354" s="33">
        <f t="shared" ref="H354:BS354" si="590">+IF(AND(H$347=$C356,H$347&lt;0),1,0)</f>
        <v>0</v>
      </c>
      <c r="I354" s="33">
        <f t="shared" si="590"/>
        <v>0</v>
      </c>
      <c r="J354" s="33">
        <f t="shared" si="590"/>
        <v>0</v>
      </c>
      <c r="K354" s="33">
        <f t="shared" si="590"/>
        <v>0</v>
      </c>
      <c r="L354" s="33">
        <f t="shared" si="590"/>
        <v>0</v>
      </c>
      <c r="M354" s="33">
        <f t="shared" si="590"/>
        <v>0</v>
      </c>
      <c r="N354" s="33">
        <f t="shared" si="590"/>
        <v>0</v>
      </c>
      <c r="O354" s="33">
        <f t="shared" si="590"/>
        <v>0</v>
      </c>
      <c r="P354" s="33">
        <f t="shared" si="590"/>
        <v>0</v>
      </c>
      <c r="Q354" s="33">
        <f t="shared" si="590"/>
        <v>0</v>
      </c>
      <c r="R354" s="33">
        <f t="shared" si="590"/>
        <v>0</v>
      </c>
      <c r="S354" s="33">
        <f t="shared" si="590"/>
        <v>0</v>
      </c>
      <c r="T354" s="33">
        <f t="shared" si="590"/>
        <v>0</v>
      </c>
      <c r="U354" s="33">
        <f t="shared" si="590"/>
        <v>0</v>
      </c>
      <c r="V354" s="33">
        <f t="shared" si="590"/>
        <v>0</v>
      </c>
      <c r="W354" s="33">
        <f t="shared" si="590"/>
        <v>0</v>
      </c>
      <c r="X354" s="33">
        <f t="shared" si="590"/>
        <v>0</v>
      </c>
      <c r="Y354" s="33">
        <f t="shared" si="590"/>
        <v>0</v>
      </c>
      <c r="Z354" s="33">
        <f t="shared" si="590"/>
        <v>0</v>
      </c>
      <c r="AA354" s="33">
        <f t="shared" si="590"/>
        <v>0</v>
      </c>
      <c r="AB354" s="33">
        <f t="shared" si="590"/>
        <v>0</v>
      </c>
      <c r="AC354" s="33">
        <f t="shared" si="590"/>
        <v>0</v>
      </c>
      <c r="AD354" s="33">
        <f t="shared" si="590"/>
        <v>0</v>
      </c>
      <c r="AE354" s="33">
        <f t="shared" si="590"/>
        <v>0</v>
      </c>
      <c r="AF354" s="33">
        <f t="shared" si="590"/>
        <v>0</v>
      </c>
      <c r="AG354" s="33">
        <f t="shared" si="590"/>
        <v>0</v>
      </c>
      <c r="AH354" s="33">
        <f t="shared" si="590"/>
        <v>0</v>
      </c>
      <c r="AI354" s="33">
        <f t="shared" si="590"/>
        <v>0</v>
      </c>
      <c r="AJ354" s="33">
        <f t="shared" si="590"/>
        <v>0</v>
      </c>
      <c r="AK354" s="33">
        <f t="shared" si="590"/>
        <v>0</v>
      </c>
      <c r="AL354" s="33">
        <f t="shared" si="590"/>
        <v>0</v>
      </c>
      <c r="AM354" s="33">
        <f t="shared" si="590"/>
        <v>0</v>
      </c>
      <c r="AN354" s="33">
        <f t="shared" si="590"/>
        <v>0</v>
      </c>
      <c r="AO354" s="33">
        <f t="shared" si="590"/>
        <v>0</v>
      </c>
      <c r="AP354" s="33">
        <f t="shared" si="590"/>
        <v>0</v>
      </c>
      <c r="AQ354" s="33">
        <f t="shared" si="590"/>
        <v>0</v>
      </c>
      <c r="AR354" s="33">
        <f t="shared" si="590"/>
        <v>0</v>
      </c>
      <c r="AS354" s="33">
        <f t="shared" si="590"/>
        <v>0</v>
      </c>
      <c r="AT354" s="33">
        <f t="shared" si="590"/>
        <v>0</v>
      </c>
      <c r="AU354" s="33">
        <f t="shared" si="590"/>
        <v>0</v>
      </c>
      <c r="AV354" s="33">
        <f t="shared" si="590"/>
        <v>0</v>
      </c>
      <c r="AW354" s="33">
        <f t="shared" si="590"/>
        <v>0</v>
      </c>
      <c r="AX354" s="33">
        <f t="shared" si="590"/>
        <v>0</v>
      </c>
      <c r="AY354" s="33">
        <f t="shared" si="590"/>
        <v>0</v>
      </c>
      <c r="AZ354" s="33">
        <f t="shared" si="590"/>
        <v>0</v>
      </c>
      <c r="BA354" s="33">
        <f t="shared" si="590"/>
        <v>0</v>
      </c>
      <c r="BB354" s="33">
        <f t="shared" si="590"/>
        <v>0</v>
      </c>
      <c r="BC354" s="33">
        <f t="shared" si="590"/>
        <v>0</v>
      </c>
      <c r="BD354" s="33">
        <f t="shared" si="590"/>
        <v>0</v>
      </c>
      <c r="BE354" s="33">
        <f t="shared" si="590"/>
        <v>0</v>
      </c>
      <c r="BF354" s="33">
        <f t="shared" si="590"/>
        <v>0</v>
      </c>
      <c r="BG354" s="33">
        <f t="shared" si="590"/>
        <v>0</v>
      </c>
      <c r="BH354" s="33">
        <f t="shared" si="590"/>
        <v>0</v>
      </c>
      <c r="BI354" s="33">
        <f t="shared" si="590"/>
        <v>0</v>
      </c>
      <c r="BJ354" s="33">
        <f t="shared" si="590"/>
        <v>0</v>
      </c>
      <c r="BK354" s="33">
        <f t="shared" si="590"/>
        <v>0</v>
      </c>
      <c r="BL354" s="33">
        <f t="shared" si="590"/>
        <v>0</v>
      </c>
      <c r="BM354" s="33">
        <f t="shared" si="590"/>
        <v>0</v>
      </c>
      <c r="BN354" s="33">
        <f t="shared" si="590"/>
        <v>0</v>
      </c>
      <c r="BO354" s="33">
        <f t="shared" si="590"/>
        <v>0</v>
      </c>
      <c r="BP354" s="33">
        <f t="shared" si="590"/>
        <v>0</v>
      </c>
      <c r="BQ354" s="33">
        <f t="shared" si="590"/>
        <v>0</v>
      </c>
      <c r="BR354" s="33">
        <f t="shared" si="590"/>
        <v>0</v>
      </c>
      <c r="BS354" s="33">
        <f t="shared" si="590"/>
        <v>0</v>
      </c>
      <c r="BT354" s="33">
        <f t="shared" ref="BT354:BY354" si="591">+IF(AND(BT$347=$C356,BT$347&lt;0),1,0)</f>
        <v>0</v>
      </c>
      <c r="BU354" s="33">
        <f t="shared" si="591"/>
        <v>0</v>
      </c>
      <c r="BV354" s="33">
        <f t="shared" si="591"/>
        <v>0</v>
      </c>
      <c r="BW354" s="33">
        <f t="shared" si="591"/>
        <v>0</v>
      </c>
      <c r="BX354" s="33">
        <f t="shared" si="591"/>
        <v>0</v>
      </c>
      <c r="BY354" s="33">
        <f t="shared" si="591"/>
        <v>0</v>
      </c>
    </row>
    <row r="355" spans="3:77" outlineLevel="1">
      <c r="C355" s="32"/>
      <c r="D355" s="31"/>
      <c r="E355" t="s">
        <v>505</v>
      </c>
      <c r="F355" s="23" t="s">
        <v>500</v>
      </c>
      <c r="H355" s="33">
        <f t="shared" ref="H355:BS355" si="592">+IF(AND(H$347=$C357,H$347&lt;0),1,0)</f>
        <v>0</v>
      </c>
      <c r="I355" s="33">
        <f t="shared" si="592"/>
        <v>0</v>
      </c>
      <c r="J355" s="33">
        <f t="shared" si="592"/>
        <v>0</v>
      </c>
      <c r="K355" s="33">
        <f t="shared" si="592"/>
        <v>0</v>
      </c>
      <c r="L355" s="33">
        <f t="shared" si="592"/>
        <v>0</v>
      </c>
      <c r="M355" s="33">
        <f t="shared" si="592"/>
        <v>0</v>
      </c>
      <c r="N355" s="33">
        <f t="shared" si="592"/>
        <v>0</v>
      </c>
      <c r="O355" s="33">
        <f t="shared" si="592"/>
        <v>0</v>
      </c>
      <c r="P355" s="33">
        <f t="shared" si="592"/>
        <v>0</v>
      </c>
      <c r="Q355" s="33">
        <f t="shared" si="592"/>
        <v>0</v>
      </c>
      <c r="R355" s="33">
        <f t="shared" si="592"/>
        <v>0</v>
      </c>
      <c r="S355" s="33">
        <f t="shared" si="592"/>
        <v>0</v>
      </c>
      <c r="T355" s="33">
        <f t="shared" si="592"/>
        <v>0</v>
      </c>
      <c r="U355" s="33">
        <f t="shared" si="592"/>
        <v>0</v>
      </c>
      <c r="V355" s="33">
        <f t="shared" si="592"/>
        <v>0</v>
      </c>
      <c r="W355" s="33">
        <f t="shared" si="592"/>
        <v>0</v>
      </c>
      <c r="X355" s="33">
        <f t="shared" si="592"/>
        <v>0</v>
      </c>
      <c r="Y355" s="33">
        <f t="shared" si="592"/>
        <v>0</v>
      </c>
      <c r="Z355" s="33">
        <f t="shared" si="592"/>
        <v>0</v>
      </c>
      <c r="AA355" s="33">
        <f t="shared" si="592"/>
        <v>0</v>
      </c>
      <c r="AB355" s="33">
        <f t="shared" si="592"/>
        <v>0</v>
      </c>
      <c r="AC355" s="33">
        <f t="shared" si="592"/>
        <v>0</v>
      </c>
      <c r="AD355" s="33">
        <f t="shared" si="592"/>
        <v>0</v>
      </c>
      <c r="AE355" s="33">
        <f t="shared" si="592"/>
        <v>0</v>
      </c>
      <c r="AF355" s="33">
        <f t="shared" si="592"/>
        <v>0</v>
      </c>
      <c r="AG355" s="33">
        <f t="shared" si="592"/>
        <v>0</v>
      </c>
      <c r="AH355" s="33">
        <f t="shared" si="592"/>
        <v>0</v>
      </c>
      <c r="AI355" s="33">
        <f t="shared" si="592"/>
        <v>0</v>
      </c>
      <c r="AJ355" s="33">
        <f t="shared" si="592"/>
        <v>0</v>
      </c>
      <c r="AK355" s="33">
        <f t="shared" si="592"/>
        <v>0</v>
      </c>
      <c r="AL355" s="33">
        <f t="shared" si="592"/>
        <v>0</v>
      </c>
      <c r="AM355" s="33">
        <f t="shared" si="592"/>
        <v>0</v>
      </c>
      <c r="AN355" s="33">
        <f t="shared" si="592"/>
        <v>0</v>
      </c>
      <c r="AO355" s="33">
        <f t="shared" si="592"/>
        <v>0</v>
      </c>
      <c r="AP355" s="33">
        <f t="shared" si="592"/>
        <v>0</v>
      </c>
      <c r="AQ355" s="33">
        <f t="shared" si="592"/>
        <v>0</v>
      </c>
      <c r="AR355" s="33">
        <f t="shared" si="592"/>
        <v>0</v>
      </c>
      <c r="AS355" s="33">
        <f t="shared" si="592"/>
        <v>0</v>
      </c>
      <c r="AT355" s="33">
        <f t="shared" si="592"/>
        <v>0</v>
      </c>
      <c r="AU355" s="33">
        <f t="shared" si="592"/>
        <v>0</v>
      </c>
      <c r="AV355" s="33">
        <f t="shared" si="592"/>
        <v>0</v>
      </c>
      <c r="AW355" s="33">
        <f t="shared" si="592"/>
        <v>0</v>
      </c>
      <c r="AX355" s="33">
        <f t="shared" si="592"/>
        <v>0</v>
      </c>
      <c r="AY355" s="33">
        <f t="shared" si="592"/>
        <v>0</v>
      </c>
      <c r="AZ355" s="33">
        <f t="shared" si="592"/>
        <v>0</v>
      </c>
      <c r="BA355" s="33">
        <f t="shared" si="592"/>
        <v>0</v>
      </c>
      <c r="BB355" s="33">
        <f t="shared" si="592"/>
        <v>0</v>
      </c>
      <c r="BC355" s="33">
        <f t="shared" si="592"/>
        <v>0</v>
      </c>
      <c r="BD355" s="33">
        <f t="shared" si="592"/>
        <v>0</v>
      </c>
      <c r="BE355" s="33">
        <f t="shared" si="592"/>
        <v>0</v>
      </c>
      <c r="BF355" s="33">
        <f t="shared" si="592"/>
        <v>0</v>
      </c>
      <c r="BG355" s="33">
        <f t="shared" si="592"/>
        <v>0</v>
      </c>
      <c r="BH355" s="33">
        <f t="shared" si="592"/>
        <v>0</v>
      </c>
      <c r="BI355" s="33">
        <f t="shared" si="592"/>
        <v>0</v>
      </c>
      <c r="BJ355" s="33">
        <f t="shared" si="592"/>
        <v>0</v>
      </c>
      <c r="BK355" s="33">
        <f t="shared" si="592"/>
        <v>0</v>
      </c>
      <c r="BL355" s="33">
        <f t="shared" si="592"/>
        <v>0</v>
      </c>
      <c r="BM355" s="33">
        <f t="shared" si="592"/>
        <v>0</v>
      </c>
      <c r="BN355" s="33">
        <f t="shared" si="592"/>
        <v>0</v>
      </c>
      <c r="BO355" s="33">
        <f t="shared" si="592"/>
        <v>0</v>
      </c>
      <c r="BP355" s="33">
        <f t="shared" si="592"/>
        <v>0</v>
      </c>
      <c r="BQ355" s="33">
        <f t="shared" si="592"/>
        <v>0</v>
      </c>
      <c r="BR355" s="33">
        <f t="shared" si="592"/>
        <v>0</v>
      </c>
      <c r="BS355" s="33">
        <f t="shared" si="592"/>
        <v>0</v>
      </c>
      <c r="BT355" s="33">
        <f t="shared" ref="BT355:BY355" si="593">+IF(AND(BT$347=$C357,BT$347&lt;0),1,0)</f>
        <v>0</v>
      </c>
      <c r="BU355" s="33">
        <f t="shared" si="593"/>
        <v>0</v>
      </c>
      <c r="BV355" s="33">
        <f t="shared" si="593"/>
        <v>0</v>
      </c>
      <c r="BW355" s="33">
        <f t="shared" si="593"/>
        <v>0</v>
      </c>
      <c r="BX355" s="33">
        <f t="shared" si="593"/>
        <v>0</v>
      </c>
      <c r="BY355" s="33">
        <f t="shared" si="593"/>
        <v>0</v>
      </c>
    </row>
    <row r="356" spans="3:77" outlineLevel="1">
      <c r="C356" s="32"/>
      <c r="D356" s="31"/>
      <c r="E356" t="s">
        <v>506</v>
      </c>
      <c r="F356" s="23" t="s">
        <v>500</v>
      </c>
      <c r="H356" s="33">
        <f t="shared" ref="H356:BS356" si="594">+IF(AND(H$347=$C358,H$347&lt;0),1,0)</f>
        <v>0</v>
      </c>
      <c r="I356" s="33">
        <f t="shared" si="594"/>
        <v>0</v>
      </c>
      <c r="J356" s="33">
        <f t="shared" si="594"/>
        <v>0</v>
      </c>
      <c r="K356" s="33">
        <f t="shared" si="594"/>
        <v>0</v>
      </c>
      <c r="L356" s="33">
        <f t="shared" si="594"/>
        <v>0</v>
      </c>
      <c r="M356" s="33">
        <f t="shared" si="594"/>
        <v>0</v>
      </c>
      <c r="N356" s="33">
        <f t="shared" si="594"/>
        <v>0</v>
      </c>
      <c r="O356" s="33">
        <f t="shared" si="594"/>
        <v>0</v>
      </c>
      <c r="P356" s="33">
        <f t="shared" si="594"/>
        <v>0</v>
      </c>
      <c r="Q356" s="33">
        <f t="shared" si="594"/>
        <v>0</v>
      </c>
      <c r="R356" s="33">
        <f t="shared" si="594"/>
        <v>0</v>
      </c>
      <c r="S356" s="33">
        <f t="shared" si="594"/>
        <v>0</v>
      </c>
      <c r="T356" s="33">
        <f t="shared" si="594"/>
        <v>0</v>
      </c>
      <c r="U356" s="33">
        <f t="shared" si="594"/>
        <v>0</v>
      </c>
      <c r="V356" s="33">
        <f t="shared" si="594"/>
        <v>0</v>
      </c>
      <c r="W356" s="33">
        <f t="shared" si="594"/>
        <v>0</v>
      </c>
      <c r="X356" s="33">
        <f t="shared" si="594"/>
        <v>0</v>
      </c>
      <c r="Y356" s="33">
        <f t="shared" si="594"/>
        <v>0</v>
      </c>
      <c r="Z356" s="33">
        <f t="shared" si="594"/>
        <v>0</v>
      </c>
      <c r="AA356" s="33">
        <f t="shared" si="594"/>
        <v>0</v>
      </c>
      <c r="AB356" s="33">
        <f t="shared" si="594"/>
        <v>0</v>
      </c>
      <c r="AC356" s="33">
        <f t="shared" si="594"/>
        <v>0</v>
      </c>
      <c r="AD356" s="33">
        <f t="shared" si="594"/>
        <v>0</v>
      </c>
      <c r="AE356" s="33">
        <f t="shared" si="594"/>
        <v>0</v>
      </c>
      <c r="AF356" s="33">
        <f t="shared" si="594"/>
        <v>0</v>
      </c>
      <c r="AG356" s="33">
        <f t="shared" si="594"/>
        <v>0</v>
      </c>
      <c r="AH356" s="33">
        <f t="shared" si="594"/>
        <v>0</v>
      </c>
      <c r="AI356" s="33">
        <f t="shared" si="594"/>
        <v>0</v>
      </c>
      <c r="AJ356" s="33">
        <f t="shared" si="594"/>
        <v>0</v>
      </c>
      <c r="AK356" s="33">
        <f t="shared" si="594"/>
        <v>0</v>
      </c>
      <c r="AL356" s="33">
        <f t="shared" si="594"/>
        <v>0</v>
      </c>
      <c r="AM356" s="33">
        <f t="shared" si="594"/>
        <v>0</v>
      </c>
      <c r="AN356" s="33">
        <f t="shared" si="594"/>
        <v>0</v>
      </c>
      <c r="AO356" s="33">
        <f t="shared" si="594"/>
        <v>0</v>
      </c>
      <c r="AP356" s="33">
        <f t="shared" si="594"/>
        <v>0</v>
      </c>
      <c r="AQ356" s="33">
        <f t="shared" si="594"/>
        <v>0</v>
      </c>
      <c r="AR356" s="33">
        <f t="shared" si="594"/>
        <v>0</v>
      </c>
      <c r="AS356" s="33">
        <f t="shared" si="594"/>
        <v>0</v>
      </c>
      <c r="AT356" s="33">
        <f t="shared" si="594"/>
        <v>0</v>
      </c>
      <c r="AU356" s="33">
        <f t="shared" si="594"/>
        <v>0</v>
      </c>
      <c r="AV356" s="33">
        <f t="shared" si="594"/>
        <v>0</v>
      </c>
      <c r="AW356" s="33">
        <f t="shared" si="594"/>
        <v>0</v>
      </c>
      <c r="AX356" s="33">
        <f t="shared" si="594"/>
        <v>0</v>
      </c>
      <c r="AY356" s="33">
        <f t="shared" si="594"/>
        <v>0</v>
      </c>
      <c r="AZ356" s="33">
        <f t="shared" si="594"/>
        <v>0</v>
      </c>
      <c r="BA356" s="33">
        <f t="shared" si="594"/>
        <v>0</v>
      </c>
      <c r="BB356" s="33">
        <f t="shared" si="594"/>
        <v>0</v>
      </c>
      <c r="BC356" s="33">
        <f t="shared" si="594"/>
        <v>0</v>
      </c>
      <c r="BD356" s="33">
        <f t="shared" si="594"/>
        <v>0</v>
      </c>
      <c r="BE356" s="33">
        <f t="shared" si="594"/>
        <v>0</v>
      </c>
      <c r="BF356" s="33">
        <f t="shared" si="594"/>
        <v>0</v>
      </c>
      <c r="BG356" s="33">
        <f t="shared" si="594"/>
        <v>0</v>
      </c>
      <c r="BH356" s="33">
        <f t="shared" si="594"/>
        <v>0</v>
      </c>
      <c r="BI356" s="33">
        <f t="shared" si="594"/>
        <v>0</v>
      </c>
      <c r="BJ356" s="33">
        <f t="shared" si="594"/>
        <v>0</v>
      </c>
      <c r="BK356" s="33">
        <f t="shared" si="594"/>
        <v>0</v>
      </c>
      <c r="BL356" s="33">
        <f t="shared" si="594"/>
        <v>0</v>
      </c>
      <c r="BM356" s="33">
        <f t="shared" si="594"/>
        <v>0</v>
      </c>
      <c r="BN356" s="33">
        <f t="shared" si="594"/>
        <v>0</v>
      </c>
      <c r="BO356" s="33">
        <f t="shared" si="594"/>
        <v>0</v>
      </c>
      <c r="BP356" s="33">
        <f t="shared" si="594"/>
        <v>0</v>
      </c>
      <c r="BQ356" s="33">
        <f t="shared" si="594"/>
        <v>0</v>
      </c>
      <c r="BR356" s="33">
        <f t="shared" si="594"/>
        <v>0</v>
      </c>
      <c r="BS356" s="33">
        <f t="shared" si="594"/>
        <v>0</v>
      </c>
      <c r="BT356" s="33">
        <f t="shared" ref="BT356:BY356" si="595">+IF(AND(BT$347=$C358,BT$347&lt;0),1,0)</f>
        <v>0</v>
      </c>
      <c r="BU356" s="33">
        <f t="shared" si="595"/>
        <v>0</v>
      </c>
      <c r="BV356" s="33">
        <f t="shared" si="595"/>
        <v>0</v>
      </c>
      <c r="BW356" s="33">
        <f t="shared" si="595"/>
        <v>0</v>
      </c>
      <c r="BX356" s="33">
        <f t="shared" si="595"/>
        <v>0</v>
      </c>
      <c r="BY356" s="33">
        <f t="shared" si="595"/>
        <v>0</v>
      </c>
    </row>
    <row r="357" spans="3:77" outlineLevel="1">
      <c r="C357" s="32"/>
      <c r="D357" s="31"/>
      <c r="E357" t="s">
        <v>507</v>
      </c>
      <c r="F357" s="23" t="s">
        <v>500</v>
      </c>
      <c r="H357" s="33">
        <f t="shared" ref="H357:BS357" si="596">+IF(AND(H$347=$C359,H$347&lt;0),1,0)</f>
        <v>0</v>
      </c>
      <c r="I357" s="33">
        <f t="shared" si="596"/>
        <v>0</v>
      </c>
      <c r="J357" s="33">
        <f t="shared" si="596"/>
        <v>0</v>
      </c>
      <c r="K357" s="33">
        <f t="shared" si="596"/>
        <v>0</v>
      </c>
      <c r="L357" s="33">
        <f t="shared" si="596"/>
        <v>0</v>
      </c>
      <c r="M357" s="33">
        <f t="shared" si="596"/>
        <v>0</v>
      </c>
      <c r="N357" s="33">
        <f t="shared" si="596"/>
        <v>0</v>
      </c>
      <c r="O357" s="33">
        <f t="shared" si="596"/>
        <v>0</v>
      </c>
      <c r="P357" s="33">
        <f t="shared" si="596"/>
        <v>0</v>
      </c>
      <c r="Q357" s="33">
        <f t="shared" si="596"/>
        <v>0</v>
      </c>
      <c r="R357" s="33">
        <f t="shared" si="596"/>
        <v>0</v>
      </c>
      <c r="S357" s="33">
        <f t="shared" si="596"/>
        <v>0</v>
      </c>
      <c r="T357" s="33">
        <f t="shared" si="596"/>
        <v>0</v>
      </c>
      <c r="U357" s="33">
        <f t="shared" si="596"/>
        <v>0</v>
      </c>
      <c r="V357" s="33">
        <f t="shared" si="596"/>
        <v>0</v>
      </c>
      <c r="W357" s="33">
        <f t="shared" si="596"/>
        <v>0</v>
      </c>
      <c r="X357" s="33">
        <f t="shared" si="596"/>
        <v>0</v>
      </c>
      <c r="Y357" s="33">
        <f t="shared" si="596"/>
        <v>0</v>
      </c>
      <c r="Z357" s="33">
        <f t="shared" si="596"/>
        <v>0</v>
      </c>
      <c r="AA357" s="33">
        <f t="shared" si="596"/>
        <v>0</v>
      </c>
      <c r="AB357" s="33">
        <f t="shared" si="596"/>
        <v>0</v>
      </c>
      <c r="AC357" s="33">
        <f t="shared" si="596"/>
        <v>0</v>
      </c>
      <c r="AD357" s="33">
        <f t="shared" si="596"/>
        <v>0</v>
      </c>
      <c r="AE357" s="33">
        <f t="shared" si="596"/>
        <v>0</v>
      </c>
      <c r="AF357" s="33">
        <f t="shared" si="596"/>
        <v>0</v>
      </c>
      <c r="AG357" s="33">
        <f t="shared" si="596"/>
        <v>0</v>
      </c>
      <c r="AH357" s="33">
        <f t="shared" si="596"/>
        <v>0</v>
      </c>
      <c r="AI357" s="33">
        <f t="shared" si="596"/>
        <v>0</v>
      </c>
      <c r="AJ357" s="33">
        <f t="shared" si="596"/>
        <v>0</v>
      </c>
      <c r="AK357" s="33">
        <f t="shared" si="596"/>
        <v>0</v>
      </c>
      <c r="AL357" s="33">
        <f t="shared" si="596"/>
        <v>0</v>
      </c>
      <c r="AM357" s="33">
        <f t="shared" si="596"/>
        <v>0</v>
      </c>
      <c r="AN357" s="33">
        <f t="shared" si="596"/>
        <v>0</v>
      </c>
      <c r="AO357" s="33">
        <f t="shared" si="596"/>
        <v>0</v>
      </c>
      <c r="AP357" s="33">
        <f t="shared" si="596"/>
        <v>0</v>
      </c>
      <c r="AQ357" s="33">
        <f t="shared" si="596"/>
        <v>0</v>
      </c>
      <c r="AR357" s="33">
        <f t="shared" si="596"/>
        <v>0</v>
      </c>
      <c r="AS357" s="33">
        <f t="shared" si="596"/>
        <v>0</v>
      </c>
      <c r="AT357" s="33">
        <f t="shared" si="596"/>
        <v>0</v>
      </c>
      <c r="AU357" s="33">
        <f t="shared" si="596"/>
        <v>0</v>
      </c>
      <c r="AV357" s="33">
        <f t="shared" si="596"/>
        <v>0</v>
      </c>
      <c r="AW357" s="33">
        <f t="shared" si="596"/>
        <v>0</v>
      </c>
      <c r="AX357" s="33">
        <f t="shared" si="596"/>
        <v>0</v>
      </c>
      <c r="AY357" s="33">
        <f t="shared" si="596"/>
        <v>0</v>
      </c>
      <c r="AZ357" s="33">
        <f t="shared" si="596"/>
        <v>0</v>
      </c>
      <c r="BA357" s="33">
        <f t="shared" si="596"/>
        <v>0</v>
      </c>
      <c r="BB357" s="33">
        <f t="shared" si="596"/>
        <v>0</v>
      </c>
      <c r="BC357" s="33">
        <f t="shared" si="596"/>
        <v>0</v>
      </c>
      <c r="BD357" s="33">
        <f t="shared" si="596"/>
        <v>0</v>
      </c>
      <c r="BE357" s="33">
        <f t="shared" si="596"/>
        <v>0</v>
      </c>
      <c r="BF357" s="33">
        <f t="shared" si="596"/>
        <v>0</v>
      </c>
      <c r="BG357" s="33">
        <f t="shared" si="596"/>
        <v>0</v>
      </c>
      <c r="BH357" s="33">
        <f t="shared" si="596"/>
        <v>0</v>
      </c>
      <c r="BI357" s="33">
        <f t="shared" si="596"/>
        <v>0</v>
      </c>
      <c r="BJ357" s="33">
        <f t="shared" si="596"/>
        <v>0</v>
      </c>
      <c r="BK357" s="33">
        <f t="shared" si="596"/>
        <v>0</v>
      </c>
      <c r="BL357" s="33">
        <f t="shared" si="596"/>
        <v>0</v>
      </c>
      <c r="BM357" s="33">
        <f t="shared" si="596"/>
        <v>0</v>
      </c>
      <c r="BN357" s="33">
        <f t="shared" si="596"/>
        <v>0</v>
      </c>
      <c r="BO357" s="33">
        <f t="shared" si="596"/>
        <v>0</v>
      </c>
      <c r="BP357" s="33">
        <f t="shared" si="596"/>
        <v>0</v>
      </c>
      <c r="BQ357" s="33">
        <f t="shared" si="596"/>
        <v>0</v>
      </c>
      <c r="BR357" s="33">
        <f t="shared" si="596"/>
        <v>0</v>
      </c>
      <c r="BS357" s="33">
        <f t="shared" si="596"/>
        <v>0</v>
      </c>
      <c r="BT357" s="33">
        <f t="shared" ref="BT357:BY357" si="597">+IF(AND(BT$347=$C359,BT$347&lt;0),1,0)</f>
        <v>0</v>
      </c>
      <c r="BU357" s="33">
        <f t="shared" si="597"/>
        <v>0</v>
      </c>
      <c r="BV357" s="33">
        <f t="shared" si="597"/>
        <v>0</v>
      </c>
      <c r="BW357" s="33">
        <f t="shared" si="597"/>
        <v>0</v>
      </c>
      <c r="BX357" s="33">
        <f t="shared" si="597"/>
        <v>0</v>
      </c>
      <c r="BY357" s="33">
        <f t="shared" si="597"/>
        <v>0</v>
      </c>
    </row>
    <row r="358" spans="3:77" outlineLevel="1">
      <c r="C358" s="32"/>
      <c r="D358" s="31"/>
      <c r="E358" t="s">
        <v>508</v>
      </c>
      <c r="F358" s="23" t="s">
        <v>500</v>
      </c>
      <c r="H358" s="33">
        <f t="shared" ref="H358:BS358" si="598">+IF(AND(H$347=$C360,H$347&lt;0),1,0)</f>
        <v>0</v>
      </c>
      <c r="I358" s="33">
        <f t="shared" si="598"/>
        <v>0</v>
      </c>
      <c r="J358" s="33">
        <f t="shared" si="598"/>
        <v>0</v>
      </c>
      <c r="K358" s="33">
        <f t="shared" si="598"/>
        <v>0</v>
      </c>
      <c r="L358" s="33">
        <f t="shared" si="598"/>
        <v>0</v>
      </c>
      <c r="M358" s="33">
        <f t="shared" si="598"/>
        <v>0</v>
      </c>
      <c r="N358" s="33">
        <f t="shared" si="598"/>
        <v>0</v>
      </c>
      <c r="O358" s="33">
        <f t="shared" si="598"/>
        <v>0</v>
      </c>
      <c r="P358" s="33">
        <f t="shared" si="598"/>
        <v>0</v>
      </c>
      <c r="Q358" s="33">
        <f t="shared" si="598"/>
        <v>0</v>
      </c>
      <c r="R358" s="33">
        <f t="shared" si="598"/>
        <v>0</v>
      </c>
      <c r="S358" s="33">
        <f t="shared" si="598"/>
        <v>0</v>
      </c>
      <c r="T358" s="33">
        <f t="shared" si="598"/>
        <v>0</v>
      </c>
      <c r="U358" s="33">
        <f t="shared" si="598"/>
        <v>0</v>
      </c>
      <c r="V358" s="33">
        <f t="shared" si="598"/>
        <v>0</v>
      </c>
      <c r="W358" s="33">
        <f t="shared" si="598"/>
        <v>0</v>
      </c>
      <c r="X358" s="33">
        <f t="shared" si="598"/>
        <v>0</v>
      </c>
      <c r="Y358" s="33">
        <f t="shared" si="598"/>
        <v>0</v>
      </c>
      <c r="Z358" s="33">
        <f t="shared" si="598"/>
        <v>0</v>
      </c>
      <c r="AA358" s="33">
        <f t="shared" si="598"/>
        <v>0</v>
      </c>
      <c r="AB358" s="33">
        <f t="shared" si="598"/>
        <v>0</v>
      </c>
      <c r="AC358" s="33">
        <f t="shared" si="598"/>
        <v>0</v>
      </c>
      <c r="AD358" s="33">
        <f t="shared" si="598"/>
        <v>0</v>
      </c>
      <c r="AE358" s="33">
        <f t="shared" si="598"/>
        <v>0</v>
      </c>
      <c r="AF358" s="33">
        <f t="shared" si="598"/>
        <v>0</v>
      </c>
      <c r="AG358" s="33">
        <f t="shared" si="598"/>
        <v>0</v>
      </c>
      <c r="AH358" s="33">
        <f t="shared" si="598"/>
        <v>0</v>
      </c>
      <c r="AI358" s="33">
        <f t="shared" si="598"/>
        <v>0</v>
      </c>
      <c r="AJ358" s="33">
        <f t="shared" si="598"/>
        <v>0</v>
      </c>
      <c r="AK358" s="33">
        <f t="shared" si="598"/>
        <v>0</v>
      </c>
      <c r="AL358" s="33">
        <f t="shared" si="598"/>
        <v>0</v>
      </c>
      <c r="AM358" s="33">
        <f t="shared" si="598"/>
        <v>0</v>
      </c>
      <c r="AN358" s="33">
        <f t="shared" si="598"/>
        <v>0</v>
      </c>
      <c r="AO358" s="33">
        <f t="shared" si="598"/>
        <v>0</v>
      </c>
      <c r="AP358" s="33">
        <f t="shared" si="598"/>
        <v>0</v>
      </c>
      <c r="AQ358" s="33">
        <f t="shared" si="598"/>
        <v>0</v>
      </c>
      <c r="AR358" s="33">
        <f t="shared" si="598"/>
        <v>0</v>
      </c>
      <c r="AS358" s="33">
        <f t="shared" si="598"/>
        <v>0</v>
      </c>
      <c r="AT358" s="33">
        <f t="shared" si="598"/>
        <v>0</v>
      </c>
      <c r="AU358" s="33">
        <f t="shared" si="598"/>
        <v>0</v>
      </c>
      <c r="AV358" s="33">
        <f t="shared" si="598"/>
        <v>0</v>
      </c>
      <c r="AW358" s="33">
        <f t="shared" si="598"/>
        <v>0</v>
      </c>
      <c r="AX358" s="33">
        <f t="shared" si="598"/>
        <v>0</v>
      </c>
      <c r="AY358" s="33">
        <f t="shared" si="598"/>
        <v>0</v>
      </c>
      <c r="AZ358" s="33">
        <f t="shared" si="598"/>
        <v>0</v>
      </c>
      <c r="BA358" s="33">
        <f t="shared" si="598"/>
        <v>0</v>
      </c>
      <c r="BB358" s="33">
        <f t="shared" si="598"/>
        <v>0</v>
      </c>
      <c r="BC358" s="33">
        <f t="shared" si="598"/>
        <v>0</v>
      </c>
      <c r="BD358" s="33">
        <f t="shared" si="598"/>
        <v>0</v>
      </c>
      <c r="BE358" s="33">
        <f t="shared" si="598"/>
        <v>0</v>
      </c>
      <c r="BF358" s="33">
        <f t="shared" si="598"/>
        <v>0</v>
      </c>
      <c r="BG358" s="33">
        <f t="shared" si="598"/>
        <v>0</v>
      </c>
      <c r="BH358" s="33">
        <f t="shared" si="598"/>
        <v>0</v>
      </c>
      <c r="BI358" s="33">
        <f t="shared" si="598"/>
        <v>0</v>
      </c>
      <c r="BJ358" s="33">
        <f t="shared" si="598"/>
        <v>0</v>
      </c>
      <c r="BK358" s="33">
        <f t="shared" si="598"/>
        <v>0</v>
      </c>
      <c r="BL358" s="33">
        <f t="shared" si="598"/>
        <v>0</v>
      </c>
      <c r="BM358" s="33">
        <f t="shared" si="598"/>
        <v>0</v>
      </c>
      <c r="BN358" s="33">
        <f t="shared" si="598"/>
        <v>0</v>
      </c>
      <c r="BO358" s="33">
        <f t="shared" si="598"/>
        <v>0</v>
      </c>
      <c r="BP358" s="33">
        <f t="shared" si="598"/>
        <v>0</v>
      </c>
      <c r="BQ358" s="33">
        <f t="shared" si="598"/>
        <v>0</v>
      </c>
      <c r="BR358" s="33">
        <f t="shared" si="598"/>
        <v>0</v>
      </c>
      <c r="BS358" s="33">
        <f t="shared" si="598"/>
        <v>0</v>
      </c>
      <c r="BT358" s="33">
        <f t="shared" ref="BT358:BY358" si="599">+IF(AND(BT$347=$C360,BT$347&lt;0),1,0)</f>
        <v>0</v>
      </c>
      <c r="BU358" s="33">
        <f t="shared" si="599"/>
        <v>0</v>
      </c>
      <c r="BV358" s="33">
        <f t="shared" si="599"/>
        <v>0</v>
      </c>
      <c r="BW358" s="33">
        <f t="shared" si="599"/>
        <v>0</v>
      </c>
      <c r="BX358" s="33">
        <f t="shared" si="599"/>
        <v>0</v>
      </c>
      <c r="BY358" s="33">
        <f t="shared" si="599"/>
        <v>0</v>
      </c>
    </row>
    <row r="359" spans="3:77" outlineLevel="1">
      <c r="C359" s="32"/>
      <c r="D359" s="31"/>
      <c r="E359" t="s">
        <v>509</v>
      </c>
      <c r="F359" s="23" t="s">
        <v>500</v>
      </c>
      <c r="H359" s="33">
        <f t="shared" ref="H359:BS359" si="600">+IF(AND(H$347=$C361,H$347&lt;0),1,0)</f>
        <v>0</v>
      </c>
      <c r="I359" s="33">
        <f t="shared" si="600"/>
        <v>0</v>
      </c>
      <c r="J359" s="33">
        <f t="shared" si="600"/>
        <v>0</v>
      </c>
      <c r="K359" s="33">
        <f t="shared" si="600"/>
        <v>0</v>
      </c>
      <c r="L359" s="33">
        <f t="shared" si="600"/>
        <v>0</v>
      </c>
      <c r="M359" s="33">
        <f t="shared" si="600"/>
        <v>0</v>
      </c>
      <c r="N359" s="33">
        <f t="shared" si="600"/>
        <v>0</v>
      </c>
      <c r="O359" s="33">
        <f t="shared" si="600"/>
        <v>0</v>
      </c>
      <c r="P359" s="33">
        <f t="shared" si="600"/>
        <v>0</v>
      </c>
      <c r="Q359" s="33">
        <f t="shared" si="600"/>
        <v>0</v>
      </c>
      <c r="R359" s="33">
        <f t="shared" si="600"/>
        <v>0</v>
      </c>
      <c r="S359" s="33">
        <f t="shared" si="600"/>
        <v>0</v>
      </c>
      <c r="T359" s="33">
        <f t="shared" si="600"/>
        <v>0</v>
      </c>
      <c r="U359" s="33">
        <f t="shared" si="600"/>
        <v>0</v>
      </c>
      <c r="V359" s="33">
        <f t="shared" si="600"/>
        <v>0</v>
      </c>
      <c r="W359" s="33">
        <f t="shared" si="600"/>
        <v>0</v>
      </c>
      <c r="X359" s="33">
        <f t="shared" si="600"/>
        <v>0</v>
      </c>
      <c r="Y359" s="33">
        <f t="shared" si="600"/>
        <v>0</v>
      </c>
      <c r="Z359" s="33">
        <f t="shared" si="600"/>
        <v>0</v>
      </c>
      <c r="AA359" s="33">
        <f t="shared" si="600"/>
        <v>0</v>
      </c>
      <c r="AB359" s="33">
        <f t="shared" si="600"/>
        <v>0</v>
      </c>
      <c r="AC359" s="33">
        <f t="shared" si="600"/>
        <v>0</v>
      </c>
      <c r="AD359" s="33">
        <f t="shared" si="600"/>
        <v>0</v>
      </c>
      <c r="AE359" s="33">
        <f t="shared" si="600"/>
        <v>0</v>
      </c>
      <c r="AF359" s="33">
        <f t="shared" si="600"/>
        <v>0</v>
      </c>
      <c r="AG359" s="33">
        <f t="shared" si="600"/>
        <v>0</v>
      </c>
      <c r="AH359" s="33">
        <f t="shared" si="600"/>
        <v>0</v>
      </c>
      <c r="AI359" s="33">
        <f t="shared" si="600"/>
        <v>0</v>
      </c>
      <c r="AJ359" s="33">
        <f t="shared" si="600"/>
        <v>0</v>
      </c>
      <c r="AK359" s="33">
        <f t="shared" si="600"/>
        <v>0</v>
      </c>
      <c r="AL359" s="33">
        <f t="shared" si="600"/>
        <v>0</v>
      </c>
      <c r="AM359" s="33">
        <f t="shared" si="600"/>
        <v>0</v>
      </c>
      <c r="AN359" s="33">
        <f t="shared" si="600"/>
        <v>0</v>
      </c>
      <c r="AO359" s="33">
        <f t="shared" si="600"/>
        <v>0</v>
      </c>
      <c r="AP359" s="33">
        <f t="shared" si="600"/>
        <v>0</v>
      </c>
      <c r="AQ359" s="33">
        <f t="shared" si="600"/>
        <v>0</v>
      </c>
      <c r="AR359" s="33">
        <f t="shared" si="600"/>
        <v>0</v>
      </c>
      <c r="AS359" s="33">
        <f t="shared" si="600"/>
        <v>0</v>
      </c>
      <c r="AT359" s="33">
        <f t="shared" si="600"/>
        <v>0</v>
      </c>
      <c r="AU359" s="33">
        <f t="shared" si="600"/>
        <v>0</v>
      </c>
      <c r="AV359" s="33">
        <f t="shared" si="600"/>
        <v>0</v>
      </c>
      <c r="AW359" s="33">
        <f t="shared" si="600"/>
        <v>0</v>
      </c>
      <c r="AX359" s="33">
        <f t="shared" si="600"/>
        <v>0</v>
      </c>
      <c r="AY359" s="33">
        <f t="shared" si="600"/>
        <v>0</v>
      </c>
      <c r="AZ359" s="33">
        <f t="shared" si="600"/>
        <v>0</v>
      </c>
      <c r="BA359" s="33">
        <f t="shared" si="600"/>
        <v>0</v>
      </c>
      <c r="BB359" s="33">
        <f t="shared" si="600"/>
        <v>0</v>
      </c>
      <c r="BC359" s="33">
        <f t="shared" si="600"/>
        <v>0</v>
      </c>
      <c r="BD359" s="33">
        <f t="shared" si="600"/>
        <v>0</v>
      </c>
      <c r="BE359" s="33">
        <f t="shared" si="600"/>
        <v>0</v>
      </c>
      <c r="BF359" s="33">
        <f t="shared" si="600"/>
        <v>0</v>
      </c>
      <c r="BG359" s="33">
        <f t="shared" si="600"/>
        <v>0</v>
      </c>
      <c r="BH359" s="33">
        <f t="shared" si="600"/>
        <v>0</v>
      </c>
      <c r="BI359" s="33">
        <f t="shared" si="600"/>
        <v>0</v>
      </c>
      <c r="BJ359" s="33">
        <f t="shared" si="600"/>
        <v>0</v>
      </c>
      <c r="BK359" s="33">
        <f t="shared" si="600"/>
        <v>0</v>
      </c>
      <c r="BL359" s="33">
        <f t="shared" si="600"/>
        <v>0</v>
      </c>
      <c r="BM359" s="33">
        <f t="shared" si="600"/>
        <v>0</v>
      </c>
      <c r="BN359" s="33">
        <f t="shared" si="600"/>
        <v>0</v>
      </c>
      <c r="BO359" s="33">
        <f t="shared" si="600"/>
        <v>0</v>
      </c>
      <c r="BP359" s="33">
        <f t="shared" si="600"/>
        <v>0</v>
      </c>
      <c r="BQ359" s="33">
        <f t="shared" si="600"/>
        <v>0</v>
      </c>
      <c r="BR359" s="33">
        <f t="shared" si="600"/>
        <v>0</v>
      </c>
      <c r="BS359" s="33">
        <f t="shared" si="600"/>
        <v>0</v>
      </c>
      <c r="BT359" s="33">
        <f t="shared" ref="BT359:BY359" si="601">+IF(AND(BT$347=$C361,BT$347&lt;0),1,0)</f>
        <v>0</v>
      </c>
      <c r="BU359" s="33">
        <f t="shared" si="601"/>
        <v>0</v>
      </c>
      <c r="BV359" s="33">
        <f t="shared" si="601"/>
        <v>0</v>
      </c>
      <c r="BW359" s="33">
        <f t="shared" si="601"/>
        <v>0</v>
      </c>
      <c r="BX359" s="33">
        <f t="shared" si="601"/>
        <v>0</v>
      </c>
      <c r="BY359" s="33">
        <f t="shared" si="601"/>
        <v>0</v>
      </c>
    </row>
    <row r="360" spans="3:77" outlineLevel="1">
      <c r="C360" s="32"/>
      <c r="D360" s="31"/>
      <c r="E360" s="25" t="s">
        <v>510</v>
      </c>
      <c r="F360" s="30" t="s">
        <v>500</v>
      </c>
      <c r="G360" s="25"/>
      <c r="H360" s="34">
        <f t="shared" ref="H360:BS360" si="602">+IF(AND(H$347=$C362,H$347&lt;0),1,0)</f>
        <v>0</v>
      </c>
      <c r="I360" s="34">
        <f t="shared" si="602"/>
        <v>0</v>
      </c>
      <c r="J360" s="34">
        <f t="shared" si="602"/>
        <v>0</v>
      </c>
      <c r="K360" s="34">
        <f t="shared" si="602"/>
        <v>0</v>
      </c>
      <c r="L360" s="34">
        <f t="shared" si="602"/>
        <v>0</v>
      </c>
      <c r="M360" s="34">
        <f t="shared" si="602"/>
        <v>0</v>
      </c>
      <c r="N360" s="34">
        <f t="shared" si="602"/>
        <v>0</v>
      </c>
      <c r="O360" s="34">
        <f t="shared" si="602"/>
        <v>0</v>
      </c>
      <c r="P360" s="34">
        <f t="shared" si="602"/>
        <v>0</v>
      </c>
      <c r="Q360" s="34">
        <f t="shared" si="602"/>
        <v>0</v>
      </c>
      <c r="R360" s="34">
        <f t="shared" si="602"/>
        <v>0</v>
      </c>
      <c r="S360" s="34">
        <f t="shared" si="602"/>
        <v>0</v>
      </c>
      <c r="T360" s="34">
        <f t="shared" si="602"/>
        <v>0</v>
      </c>
      <c r="U360" s="34">
        <f t="shared" si="602"/>
        <v>0</v>
      </c>
      <c r="V360" s="34">
        <f t="shared" si="602"/>
        <v>0</v>
      </c>
      <c r="W360" s="34">
        <f t="shared" si="602"/>
        <v>0</v>
      </c>
      <c r="X360" s="34">
        <f t="shared" si="602"/>
        <v>0</v>
      </c>
      <c r="Y360" s="34">
        <f t="shared" si="602"/>
        <v>0</v>
      </c>
      <c r="Z360" s="34">
        <f t="shared" si="602"/>
        <v>0</v>
      </c>
      <c r="AA360" s="34">
        <f t="shared" si="602"/>
        <v>0</v>
      </c>
      <c r="AB360" s="34">
        <f t="shared" si="602"/>
        <v>0</v>
      </c>
      <c r="AC360" s="34">
        <f t="shared" si="602"/>
        <v>0</v>
      </c>
      <c r="AD360" s="34">
        <f t="shared" si="602"/>
        <v>0</v>
      </c>
      <c r="AE360" s="34">
        <f t="shared" si="602"/>
        <v>0</v>
      </c>
      <c r="AF360" s="34">
        <f t="shared" si="602"/>
        <v>0</v>
      </c>
      <c r="AG360" s="34">
        <f t="shared" si="602"/>
        <v>0</v>
      </c>
      <c r="AH360" s="34">
        <f t="shared" si="602"/>
        <v>0</v>
      </c>
      <c r="AI360" s="34">
        <f t="shared" si="602"/>
        <v>0</v>
      </c>
      <c r="AJ360" s="34">
        <f t="shared" si="602"/>
        <v>0</v>
      </c>
      <c r="AK360" s="34">
        <f t="shared" si="602"/>
        <v>0</v>
      </c>
      <c r="AL360" s="34">
        <f t="shared" si="602"/>
        <v>0</v>
      </c>
      <c r="AM360" s="34">
        <f t="shared" si="602"/>
        <v>0</v>
      </c>
      <c r="AN360" s="34">
        <f t="shared" si="602"/>
        <v>0</v>
      </c>
      <c r="AO360" s="34">
        <f t="shared" si="602"/>
        <v>0</v>
      </c>
      <c r="AP360" s="34">
        <f t="shared" si="602"/>
        <v>0</v>
      </c>
      <c r="AQ360" s="34">
        <f t="shared" si="602"/>
        <v>0</v>
      </c>
      <c r="AR360" s="34">
        <f t="shared" si="602"/>
        <v>0</v>
      </c>
      <c r="AS360" s="34">
        <f t="shared" si="602"/>
        <v>0</v>
      </c>
      <c r="AT360" s="34">
        <f t="shared" si="602"/>
        <v>0</v>
      </c>
      <c r="AU360" s="34">
        <f t="shared" si="602"/>
        <v>0</v>
      </c>
      <c r="AV360" s="34">
        <f t="shared" si="602"/>
        <v>0</v>
      </c>
      <c r="AW360" s="34">
        <f t="shared" si="602"/>
        <v>0</v>
      </c>
      <c r="AX360" s="34">
        <f t="shared" si="602"/>
        <v>0</v>
      </c>
      <c r="AY360" s="34">
        <f t="shared" si="602"/>
        <v>0</v>
      </c>
      <c r="AZ360" s="34">
        <f t="shared" si="602"/>
        <v>0</v>
      </c>
      <c r="BA360" s="34">
        <f t="shared" si="602"/>
        <v>0</v>
      </c>
      <c r="BB360" s="34">
        <f t="shared" si="602"/>
        <v>0</v>
      </c>
      <c r="BC360" s="34">
        <f t="shared" si="602"/>
        <v>0</v>
      </c>
      <c r="BD360" s="34">
        <f t="shared" si="602"/>
        <v>0</v>
      </c>
      <c r="BE360" s="34">
        <f t="shared" si="602"/>
        <v>0</v>
      </c>
      <c r="BF360" s="34">
        <f t="shared" si="602"/>
        <v>0</v>
      </c>
      <c r="BG360" s="34">
        <f t="shared" si="602"/>
        <v>0</v>
      </c>
      <c r="BH360" s="34">
        <f t="shared" si="602"/>
        <v>0</v>
      </c>
      <c r="BI360" s="34">
        <f t="shared" si="602"/>
        <v>0</v>
      </c>
      <c r="BJ360" s="34">
        <f t="shared" si="602"/>
        <v>0</v>
      </c>
      <c r="BK360" s="34">
        <f t="shared" si="602"/>
        <v>0</v>
      </c>
      <c r="BL360" s="34">
        <f t="shared" si="602"/>
        <v>0</v>
      </c>
      <c r="BM360" s="34">
        <f t="shared" si="602"/>
        <v>0</v>
      </c>
      <c r="BN360" s="34">
        <f t="shared" si="602"/>
        <v>0</v>
      </c>
      <c r="BO360" s="34">
        <f t="shared" si="602"/>
        <v>0</v>
      </c>
      <c r="BP360" s="34">
        <f t="shared" si="602"/>
        <v>0</v>
      </c>
      <c r="BQ360" s="34">
        <f t="shared" si="602"/>
        <v>0</v>
      </c>
      <c r="BR360" s="34">
        <f t="shared" si="602"/>
        <v>0</v>
      </c>
      <c r="BS360" s="34">
        <f t="shared" si="602"/>
        <v>0</v>
      </c>
      <c r="BT360" s="34">
        <f t="shared" ref="BT360:BY360" si="603">+IF(AND(BT$347=$C362,BT$347&lt;0),1,0)</f>
        <v>0</v>
      </c>
      <c r="BU360" s="34">
        <f t="shared" si="603"/>
        <v>0</v>
      </c>
      <c r="BV360" s="34">
        <f t="shared" si="603"/>
        <v>0</v>
      </c>
      <c r="BW360" s="34">
        <f t="shared" si="603"/>
        <v>0</v>
      </c>
      <c r="BX360" s="34">
        <f t="shared" si="603"/>
        <v>0</v>
      </c>
      <c r="BY360" s="34">
        <f t="shared" si="603"/>
        <v>0</v>
      </c>
    </row>
    <row r="361" spans="3:77" outlineLevel="1">
      <c r="C361" s="32"/>
      <c r="D361" s="31"/>
      <c r="E361" t="s">
        <v>511</v>
      </c>
      <c r="F361" s="80" t="str">
        <f>+Assumptions!$G$8</f>
        <v>USD</v>
      </c>
      <c r="H361" s="32">
        <f t="shared" ref="H361" si="604">+G375</f>
        <v>0</v>
      </c>
      <c r="I361" s="32">
        <f t="shared" ref="I361" si="605">+H375</f>
        <v>0</v>
      </c>
      <c r="J361" s="32">
        <f>+I375</f>
        <v>0</v>
      </c>
      <c r="K361" s="32">
        <f t="shared" ref="K361" si="606">+J375</f>
        <v>0</v>
      </c>
      <c r="L361" s="32">
        <f t="shared" ref="L361" si="607">+K375</f>
        <v>0</v>
      </c>
      <c r="M361" s="32">
        <f t="shared" ref="M361" si="608">+L375</f>
        <v>0</v>
      </c>
      <c r="N361" s="32">
        <f t="shared" ref="N361" si="609">+M375</f>
        <v>0</v>
      </c>
      <c r="O361" s="32">
        <f t="shared" ref="O361" si="610">+N375</f>
        <v>0</v>
      </c>
      <c r="P361" s="32">
        <f t="shared" ref="P361" si="611">+O375</f>
        <v>0</v>
      </c>
      <c r="Q361" s="32">
        <f t="shared" ref="Q361" si="612">+P375</f>
        <v>0</v>
      </c>
      <c r="R361" s="32">
        <f t="shared" ref="R361" si="613">+Q375</f>
        <v>0</v>
      </c>
      <c r="S361" s="32">
        <f t="shared" ref="S361" si="614">+R375</f>
        <v>0</v>
      </c>
      <c r="T361" s="32">
        <f t="shared" ref="T361" si="615">+S375</f>
        <v>0</v>
      </c>
      <c r="U361" s="32">
        <f t="shared" ref="U361" si="616">+T375</f>
        <v>0</v>
      </c>
      <c r="V361" s="32">
        <f t="shared" ref="V361" si="617">+U375</f>
        <v>0</v>
      </c>
      <c r="W361" s="32">
        <f t="shared" ref="W361" si="618">+V375</f>
        <v>0</v>
      </c>
      <c r="X361" s="32">
        <f t="shared" ref="X361" si="619">+W375</f>
        <v>0</v>
      </c>
      <c r="Y361" s="32">
        <f t="shared" ref="Y361" si="620">+X375</f>
        <v>0</v>
      </c>
      <c r="Z361" s="32">
        <f t="shared" ref="Z361" si="621">+Y375</f>
        <v>0</v>
      </c>
      <c r="AA361" s="32">
        <f t="shared" ref="AA361" si="622">+Z375</f>
        <v>0</v>
      </c>
      <c r="AB361" s="32">
        <f t="shared" ref="AB361" si="623">+AA375</f>
        <v>0</v>
      </c>
      <c r="AC361" s="32">
        <f t="shared" ref="AC361" si="624">+AB375</f>
        <v>0</v>
      </c>
      <c r="AD361" s="32">
        <f t="shared" ref="AD361" si="625">+AC375</f>
        <v>0</v>
      </c>
      <c r="AE361" s="32">
        <f t="shared" ref="AE361" si="626">+AD375</f>
        <v>0</v>
      </c>
      <c r="AF361" s="32">
        <f t="shared" ref="AF361" si="627">+AE375</f>
        <v>0</v>
      </c>
      <c r="AG361" s="32">
        <f t="shared" ref="AG361" si="628">+AF375</f>
        <v>0</v>
      </c>
      <c r="AH361" s="32">
        <f t="shared" ref="AH361" si="629">+AG375</f>
        <v>0</v>
      </c>
      <c r="AI361" s="32">
        <f t="shared" ref="AI361" si="630">+AH375</f>
        <v>0</v>
      </c>
      <c r="AJ361" s="32">
        <f t="shared" ref="AJ361" si="631">+AI375</f>
        <v>0</v>
      </c>
      <c r="AK361" s="32">
        <f t="shared" ref="AK361" si="632">+AJ375</f>
        <v>0</v>
      </c>
      <c r="AL361" s="32">
        <f t="shared" ref="AL361" si="633">+AK375</f>
        <v>0</v>
      </c>
      <c r="AM361" s="32">
        <f t="shared" ref="AM361" si="634">+AL375</f>
        <v>0</v>
      </c>
      <c r="AN361" s="32">
        <f t="shared" ref="AN361" si="635">+AM375</f>
        <v>0</v>
      </c>
      <c r="AO361" s="32">
        <f t="shared" ref="AO361" si="636">+AN375</f>
        <v>0</v>
      </c>
      <c r="AP361" s="32">
        <f t="shared" ref="AP361" si="637">+AO375</f>
        <v>0</v>
      </c>
      <c r="AQ361" s="32">
        <f t="shared" ref="AQ361" si="638">+AP375</f>
        <v>0</v>
      </c>
      <c r="AR361" s="32">
        <f t="shared" ref="AR361" si="639">+AQ375</f>
        <v>0</v>
      </c>
      <c r="AS361" s="32">
        <f t="shared" ref="AS361" si="640">+AR375</f>
        <v>0</v>
      </c>
      <c r="AT361" s="32">
        <f t="shared" ref="AT361" si="641">+AS375</f>
        <v>0</v>
      </c>
      <c r="AU361" s="32">
        <f t="shared" ref="AU361" si="642">+AT375</f>
        <v>0</v>
      </c>
      <c r="AV361" s="32">
        <f t="shared" ref="AV361" si="643">+AU375</f>
        <v>0</v>
      </c>
      <c r="AW361" s="32">
        <f t="shared" ref="AW361" si="644">+AV375</f>
        <v>0</v>
      </c>
      <c r="AX361" s="32">
        <f t="shared" ref="AX361" si="645">+AW375</f>
        <v>0</v>
      </c>
      <c r="AY361" s="32">
        <f t="shared" ref="AY361" si="646">+AX375</f>
        <v>0</v>
      </c>
      <c r="AZ361" s="32">
        <f t="shared" ref="AZ361" si="647">+AY375</f>
        <v>0</v>
      </c>
      <c r="BA361" s="32">
        <f t="shared" ref="BA361" si="648">+AZ375</f>
        <v>0</v>
      </c>
      <c r="BB361" s="32">
        <f t="shared" ref="BB361" si="649">+BA375</f>
        <v>0</v>
      </c>
      <c r="BC361" s="32">
        <f t="shared" ref="BC361" si="650">+BB375</f>
        <v>0</v>
      </c>
      <c r="BD361" s="32">
        <f t="shared" ref="BD361" si="651">+BC375</f>
        <v>0</v>
      </c>
      <c r="BE361" s="32">
        <f t="shared" ref="BE361" si="652">+BD375</f>
        <v>0</v>
      </c>
      <c r="BF361" s="32">
        <f t="shared" ref="BF361" si="653">+BE375</f>
        <v>0</v>
      </c>
      <c r="BG361" s="32">
        <f t="shared" ref="BG361" si="654">+BF375</f>
        <v>0</v>
      </c>
      <c r="BH361" s="32">
        <f t="shared" ref="BH361" si="655">+BG375</f>
        <v>0</v>
      </c>
      <c r="BI361" s="32">
        <f t="shared" ref="BI361" si="656">+BH375</f>
        <v>0</v>
      </c>
      <c r="BJ361" s="32">
        <f t="shared" ref="BJ361" si="657">+BI375</f>
        <v>0</v>
      </c>
      <c r="BK361" s="32">
        <f t="shared" ref="BK361" si="658">+BJ375</f>
        <v>0</v>
      </c>
      <c r="BL361" s="32">
        <f t="shared" ref="BL361" si="659">+BK375</f>
        <v>0</v>
      </c>
      <c r="BM361" s="32">
        <f t="shared" ref="BM361" si="660">+BL375</f>
        <v>0</v>
      </c>
      <c r="BN361" s="32">
        <f t="shared" ref="BN361" si="661">+BM375</f>
        <v>0</v>
      </c>
      <c r="BO361" s="32">
        <f t="shared" ref="BO361" si="662">+BN375</f>
        <v>0</v>
      </c>
      <c r="BP361" s="32">
        <f t="shared" ref="BP361" si="663">+BO375</f>
        <v>0</v>
      </c>
      <c r="BQ361" s="32">
        <f t="shared" ref="BQ361" si="664">+BP375</f>
        <v>0</v>
      </c>
      <c r="BR361" s="32">
        <f t="shared" ref="BR361" si="665">+BQ375</f>
        <v>0</v>
      </c>
      <c r="BS361" s="32">
        <f t="shared" ref="BS361" si="666">+BR375</f>
        <v>0</v>
      </c>
      <c r="BT361" s="32">
        <f t="shared" ref="BT361" si="667">+BS375</f>
        <v>0</v>
      </c>
      <c r="BU361" s="32">
        <f t="shared" ref="BU361" si="668">+BT375</f>
        <v>0</v>
      </c>
      <c r="BV361" s="32">
        <f t="shared" ref="BV361" si="669">+BU375</f>
        <v>0</v>
      </c>
      <c r="BW361" s="32">
        <f t="shared" ref="BW361" si="670">+BV375</f>
        <v>0</v>
      </c>
      <c r="BX361" s="32">
        <f t="shared" ref="BX361" si="671">+BW375</f>
        <v>0</v>
      </c>
      <c r="BY361" s="32">
        <f t="shared" ref="BY361" si="672">+BX375</f>
        <v>0</v>
      </c>
    </row>
    <row r="362" spans="3:77" outlineLevel="1">
      <c r="C362" s="32"/>
      <c r="D362" s="31"/>
      <c r="E362" t="s">
        <v>512</v>
      </c>
      <c r="F362" s="80" t="str">
        <f>+Assumptions!$G$8</f>
        <v>USD</v>
      </c>
      <c r="H362" s="33">
        <f ca="1">+H361*Assumptions!$G$240</f>
        <v>0</v>
      </c>
      <c r="I362" s="33">
        <f ca="1">+I361*Assumptions!$G$240</f>
        <v>0</v>
      </c>
      <c r="J362" s="33">
        <f ca="1">+J361*Assumptions!$G$240</f>
        <v>0</v>
      </c>
      <c r="K362" s="33">
        <f ca="1">+K361*Assumptions!$G$240</f>
        <v>0</v>
      </c>
      <c r="L362" s="33">
        <f ca="1">+L361*Assumptions!$G$240</f>
        <v>0</v>
      </c>
      <c r="M362" s="33">
        <f ca="1">+M361*Assumptions!$G$240</f>
        <v>0</v>
      </c>
      <c r="N362" s="33">
        <f ca="1">+N361*Assumptions!$G$240</f>
        <v>0</v>
      </c>
      <c r="O362" s="33">
        <f ca="1">+O361*Assumptions!$G$240</f>
        <v>0</v>
      </c>
      <c r="P362" s="33">
        <f ca="1">+P361*Assumptions!$G$240</f>
        <v>0</v>
      </c>
      <c r="Q362" s="33">
        <f ca="1">+Q361*Assumptions!$G$240</f>
        <v>0</v>
      </c>
      <c r="R362" s="33">
        <f ca="1">+R361*Assumptions!$G$240</f>
        <v>0</v>
      </c>
      <c r="S362" s="33">
        <f ca="1">+S361*Assumptions!$G$240</f>
        <v>0</v>
      </c>
      <c r="T362" s="33">
        <f ca="1">+T361*Assumptions!$G$240</f>
        <v>0</v>
      </c>
      <c r="U362" s="33">
        <f ca="1">+U361*Assumptions!$G$240</f>
        <v>0</v>
      </c>
      <c r="V362" s="33">
        <f ca="1">+V361*Assumptions!$G$240</f>
        <v>0</v>
      </c>
      <c r="W362" s="33">
        <f ca="1">+W361*Assumptions!$G$240</f>
        <v>0</v>
      </c>
      <c r="X362" s="33">
        <f ca="1">+X361*Assumptions!$G$240</f>
        <v>0</v>
      </c>
      <c r="Y362" s="33">
        <f ca="1">+Y361*Assumptions!$G$240</f>
        <v>0</v>
      </c>
      <c r="Z362" s="33">
        <f ca="1">+Z361*Assumptions!$G$240</f>
        <v>0</v>
      </c>
      <c r="AA362" s="33">
        <f ca="1">+AA361*Assumptions!$G$240</f>
        <v>0</v>
      </c>
      <c r="AB362" s="33">
        <f ca="1">+AB361*Assumptions!$G$240</f>
        <v>0</v>
      </c>
      <c r="AC362" s="33">
        <f ca="1">+AC361*Assumptions!$G$240</f>
        <v>0</v>
      </c>
      <c r="AD362" s="33">
        <f ca="1">+AD361*Assumptions!$G$240</f>
        <v>0</v>
      </c>
      <c r="AE362" s="33">
        <f ca="1">+AE361*Assumptions!$G$240</f>
        <v>0</v>
      </c>
      <c r="AF362" s="33">
        <f ca="1">+AF361*Assumptions!$G$240</f>
        <v>0</v>
      </c>
      <c r="AG362" s="33">
        <f ca="1">+AG361*Assumptions!$G$240</f>
        <v>0</v>
      </c>
      <c r="AH362" s="33">
        <f ca="1">+AH361*Assumptions!$G$240</f>
        <v>0</v>
      </c>
      <c r="AI362" s="33">
        <f ca="1">+AI361*Assumptions!$G$240</f>
        <v>0</v>
      </c>
      <c r="AJ362" s="33">
        <f ca="1">+AJ361*Assumptions!$G$240</f>
        <v>0</v>
      </c>
      <c r="AK362" s="33">
        <f ca="1">+AK361*Assumptions!$G$240</f>
        <v>0</v>
      </c>
      <c r="AL362" s="33">
        <f ca="1">+AL361*Assumptions!$G$240</f>
        <v>0</v>
      </c>
      <c r="AM362" s="33">
        <f ca="1">+AM361*Assumptions!$G$240</f>
        <v>0</v>
      </c>
      <c r="AN362" s="33">
        <f ca="1">+AN361*Assumptions!$G$240</f>
        <v>0</v>
      </c>
      <c r="AO362" s="33">
        <f ca="1">+AO361*Assumptions!$G$240</f>
        <v>0</v>
      </c>
      <c r="AP362" s="33">
        <f ca="1">+AP361*Assumptions!$G$240</f>
        <v>0</v>
      </c>
      <c r="AQ362" s="33">
        <f ca="1">+AQ361*Assumptions!$G$240</f>
        <v>0</v>
      </c>
      <c r="AR362" s="33">
        <f ca="1">+AR361*Assumptions!$G$240</f>
        <v>0</v>
      </c>
      <c r="AS362" s="33">
        <f ca="1">+AS361*Assumptions!$G$240</f>
        <v>0</v>
      </c>
      <c r="AT362" s="33">
        <f ca="1">+AT361*Assumptions!$G$240</f>
        <v>0</v>
      </c>
      <c r="AU362" s="33">
        <f ca="1">+AU361*Assumptions!$G$240</f>
        <v>0</v>
      </c>
      <c r="AV362" s="33">
        <f ca="1">+AV361*Assumptions!$G$240</f>
        <v>0</v>
      </c>
      <c r="AW362" s="33">
        <f ca="1">+AW361*Assumptions!$G$240</f>
        <v>0</v>
      </c>
      <c r="AX362" s="33">
        <f ca="1">+AX361*Assumptions!$G$240</f>
        <v>0</v>
      </c>
      <c r="AY362" s="33">
        <f ca="1">+AY361*Assumptions!$G$240</f>
        <v>0</v>
      </c>
      <c r="AZ362" s="33">
        <f ca="1">+AZ361*Assumptions!$G$240</f>
        <v>0</v>
      </c>
      <c r="BA362" s="33">
        <f ca="1">+BA361*Assumptions!$G$240</f>
        <v>0</v>
      </c>
      <c r="BB362" s="33">
        <f ca="1">+BB361*Assumptions!$G$240</f>
        <v>0</v>
      </c>
      <c r="BC362" s="33">
        <f ca="1">+BC361*Assumptions!$G$240</f>
        <v>0</v>
      </c>
      <c r="BD362" s="33">
        <f ca="1">+BD361*Assumptions!$G$240</f>
        <v>0</v>
      </c>
      <c r="BE362" s="33">
        <f ca="1">+BE361*Assumptions!$G$240</f>
        <v>0</v>
      </c>
      <c r="BF362" s="33">
        <f ca="1">+BF361*Assumptions!$G$240</f>
        <v>0</v>
      </c>
      <c r="BG362" s="33">
        <f ca="1">+BG361*Assumptions!$G$240</f>
        <v>0</v>
      </c>
      <c r="BH362" s="33">
        <f ca="1">+BH361*Assumptions!$G$240</f>
        <v>0</v>
      </c>
      <c r="BI362" s="33">
        <f ca="1">+BI361*Assumptions!$G$240</f>
        <v>0</v>
      </c>
      <c r="BJ362" s="33">
        <f ca="1">+BJ361*Assumptions!$G$240</f>
        <v>0</v>
      </c>
      <c r="BK362" s="33">
        <f ca="1">+BK361*Assumptions!$G$240</f>
        <v>0</v>
      </c>
      <c r="BL362" s="33">
        <f ca="1">+BL361*Assumptions!$G$240</f>
        <v>0</v>
      </c>
      <c r="BM362" s="33">
        <f ca="1">+BM361*Assumptions!$G$240</f>
        <v>0</v>
      </c>
      <c r="BN362" s="33">
        <f ca="1">+BN361*Assumptions!$G$240</f>
        <v>0</v>
      </c>
      <c r="BO362" s="33">
        <f ca="1">+BO361*Assumptions!$G$240</f>
        <v>0</v>
      </c>
      <c r="BP362" s="33">
        <f ca="1">+BP361*Assumptions!$G$240</f>
        <v>0</v>
      </c>
      <c r="BQ362" s="33">
        <f ca="1">+BQ361*Assumptions!$G$240</f>
        <v>0</v>
      </c>
      <c r="BR362" s="33">
        <f ca="1">+BR361*Assumptions!$G$240</f>
        <v>0</v>
      </c>
      <c r="BS362" s="33">
        <f ca="1">+BS361*Assumptions!$G$240</f>
        <v>0</v>
      </c>
      <c r="BT362" s="33">
        <f ca="1">+BT361*Assumptions!$G$240</f>
        <v>0</v>
      </c>
      <c r="BU362" s="33">
        <f ca="1">+BU361*Assumptions!$G$240</f>
        <v>0</v>
      </c>
      <c r="BV362" s="33">
        <f ca="1">+BV361*Assumptions!$G$240</f>
        <v>0</v>
      </c>
      <c r="BW362" s="33">
        <f ca="1">+BW361*Assumptions!$G$240</f>
        <v>0</v>
      </c>
      <c r="BX362" s="33">
        <f ca="1">+BX361*Assumptions!$G$240</f>
        <v>0</v>
      </c>
      <c r="BY362" s="33">
        <f ca="1">+BY361*Assumptions!$G$240</f>
        <v>0</v>
      </c>
    </row>
    <row r="363" spans="3:77" outlineLevel="1">
      <c r="C363" s="31"/>
      <c r="E363" s="25" t="s">
        <v>513</v>
      </c>
      <c r="F363" s="81" t="str">
        <f>+Assumptions!$G$8</f>
        <v>USD</v>
      </c>
      <c r="G363" s="25"/>
      <c r="H363" s="34">
        <f>IF(SUM(H364:H373)=0,0,+SUM(H364:H373)-H362)</f>
        <v>0</v>
      </c>
      <c r="I363" s="34">
        <f t="shared" ref="I363:BT363" si="673">IF(SUM(I364:I373)=0,0,+SUM(I364:I373)-I362)</f>
        <v>0</v>
      </c>
      <c r="J363" s="34">
        <f t="shared" si="673"/>
        <v>0</v>
      </c>
      <c r="K363" s="34">
        <f t="shared" si="673"/>
        <v>0</v>
      </c>
      <c r="L363" s="34">
        <f t="shared" si="673"/>
        <v>0</v>
      </c>
      <c r="M363" s="34">
        <f t="shared" si="673"/>
        <v>0</v>
      </c>
      <c r="N363" s="34">
        <f t="shared" si="673"/>
        <v>0</v>
      </c>
      <c r="O363" s="34">
        <f t="shared" si="673"/>
        <v>0</v>
      </c>
      <c r="P363" s="34">
        <f t="shared" si="673"/>
        <v>0</v>
      </c>
      <c r="Q363" s="34">
        <f t="shared" si="673"/>
        <v>0</v>
      </c>
      <c r="R363" s="34">
        <f t="shared" si="673"/>
        <v>0</v>
      </c>
      <c r="S363" s="34">
        <f t="shared" si="673"/>
        <v>0</v>
      </c>
      <c r="T363" s="34">
        <f t="shared" si="673"/>
        <v>0</v>
      </c>
      <c r="U363" s="34">
        <f t="shared" si="673"/>
        <v>0</v>
      </c>
      <c r="V363" s="34">
        <f t="shared" si="673"/>
        <v>0</v>
      </c>
      <c r="W363" s="34">
        <f t="shared" si="673"/>
        <v>0</v>
      </c>
      <c r="X363" s="34">
        <f t="shared" si="673"/>
        <v>0</v>
      </c>
      <c r="Y363" s="34">
        <f t="shared" si="673"/>
        <v>0</v>
      </c>
      <c r="Z363" s="34">
        <f t="shared" si="673"/>
        <v>0</v>
      </c>
      <c r="AA363" s="34">
        <f t="shared" si="673"/>
        <v>0</v>
      </c>
      <c r="AB363" s="34">
        <f t="shared" si="673"/>
        <v>0</v>
      </c>
      <c r="AC363" s="34">
        <f t="shared" si="673"/>
        <v>0</v>
      </c>
      <c r="AD363" s="34">
        <f t="shared" si="673"/>
        <v>0</v>
      </c>
      <c r="AE363" s="34">
        <f t="shared" si="673"/>
        <v>0</v>
      </c>
      <c r="AF363" s="34">
        <f t="shared" si="673"/>
        <v>0</v>
      </c>
      <c r="AG363" s="34">
        <f t="shared" si="673"/>
        <v>0</v>
      </c>
      <c r="AH363" s="34">
        <f t="shared" si="673"/>
        <v>0</v>
      </c>
      <c r="AI363" s="34">
        <f t="shared" si="673"/>
        <v>0</v>
      </c>
      <c r="AJ363" s="34">
        <f t="shared" si="673"/>
        <v>0</v>
      </c>
      <c r="AK363" s="34">
        <f t="shared" si="673"/>
        <v>0</v>
      </c>
      <c r="AL363" s="34">
        <f t="shared" si="673"/>
        <v>0</v>
      </c>
      <c r="AM363" s="34">
        <f t="shared" si="673"/>
        <v>0</v>
      </c>
      <c r="AN363" s="34">
        <f t="shared" si="673"/>
        <v>0</v>
      </c>
      <c r="AO363" s="34">
        <f t="shared" si="673"/>
        <v>0</v>
      </c>
      <c r="AP363" s="34">
        <f t="shared" si="673"/>
        <v>0</v>
      </c>
      <c r="AQ363" s="34">
        <f t="shared" si="673"/>
        <v>0</v>
      </c>
      <c r="AR363" s="34">
        <f t="shared" si="673"/>
        <v>0</v>
      </c>
      <c r="AS363" s="34">
        <f t="shared" si="673"/>
        <v>0</v>
      </c>
      <c r="AT363" s="34">
        <f t="shared" si="673"/>
        <v>0</v>
      </c>
      <c r="AU363" s="34">
        <f t="shared" si="673"/>
        <v>0</v>
      </c>
      <c r="AV363" s="34">
        <f t="shared" si="673"/>
        <v>0</v>
      </c>
      <c r="AW363" s="34">
        <f t="shared" si="673"/>
        <v>0</v>
      </c>
      <c r="AX363" s="34">
        <f t="shared" si="673"/>
        <v>0</v>
      </c>
      <c r="AY363" s="34">
        <f t="shared" si="673"/>
        <v>0</v>
      </c>
      <c r="AZ363" s="34">
        <f t="shared" si="673"/>
        <v>0</v>
      </c>
      <c r="BA363" s="34">
        <f t="shared" si="673"/>
        <v>0</v>
      </c>
      <c r="BB363" s="34">
        <f t="shared" si="673"/>
        <v>0</v>
      </c>
      <c r="BC363" s="34">
        <f t="shared" si="673"/>
        <v>0</v>
      </c>
      <c r="BD363" s="34">
        <f t="shared" si="673"/>
        <v>0</v>
      </c>
      <c r="BE363" s="34">
        <f t="shared" si="673"/>
        <v>0</v>
      </c>
      <c r="BF363" s="34">
        <f t="shared" si="673"/>
        <v>0</v>
      </c>
      <c r="BG363" s="34">
        <f t="shared" si="673"/>
        <v>0</v>
      </c>
      <c r="BH363" s="34">
        <f t="shared" si="673"/>
        <v>0</v>
      </c>
      <c r="BI363" s="34">
        <f t="shared" si="673"/>
        <v>0</v>
      </c>
      <c r="BJ363" s="34">
        <f t="shared" si="673"/>
        <v>0</v>
      </c>
      <c r="BK363" s="34">
        <f t="shared" si="673"/>
        <v>0</v>
      </c>
      <c r="BL363" s="34">
        <f t="shared" si="673"/>
        <v>0</v>
      </c>
      <c r="BM363" s="34">
        <f t="shared" si="673"/>
        <v>0</v>
      </c>
      <c r="BN363" s="34">
        <f t="shared" si="673"/>
        <v>0</v>
      </c>
      <c r="BO363" s="34">
        <f t="shared" si="673"/>
        <v>0</v>
      </c>
      <c r="BP363" s="34">
        <f t="shared" si="673"/>
        <v>0</v>
      </c>
      <c r="BQ363" s="34">
        <f t="shared" si="673"/>
        <v>0</v>
      </c>
      <c r="BR363" s="34">
        <f t="shared" si="673"/>
        <v>0</v>
      </c>
      <c r="BS363" s="34">
        <f t="shared" si="673"/>
        <v>0</v>
      </c>
      <c r="BT363" s="34">
        <f t="shared" si="673"/>
        <v>0</v>
      </c>
      <c r="BU363" s="34">
        <f t="shared" ref="BU363:BY363" si="674">IF(SUM(BU364:BU373)=0,0,+SUM(BU364:BU373)-BU362)</f>
        <v>0</v>
      </c>
      <c r="BV363" s="34">
        <f t="shared" si="674"/>
        <v>0</v>
      </c>
      <c r="BW363" s="34">
        <f t="shared" si="674"/>
        <v>0</v>
      </c>
      <c r="BX363" s="34">
        <f t="shared" si="674"/>
        <v>0</v>
      </c>
      <c r="BY363" s="34">
        <f t="shared" si="674"/>
        <v>0</v>
      </c>
    </row>
    <row r="364" spans="3:77" outlineLevel="1">
      <c r="C364" s="31"/>
      <c r="E364" s="24" t="s">
        <v>514</v>
      </c>
      <c r="F364" s="80" t="str">
        <f>+Assumptions!$G$8</f>
        <v>USD</v>
      </c>
      <c r="G364" s="24"/>
      <c r="H364" s="39">
        <f>+IFERROR(-ABS(IF(EDATE(_xlfn.XLOOKUP(1,$H351:$BE351,$H$4:$BE$4),12*Assumptions!$G$242+12)=H$4,0,IF(G351=1,PMT(Assumptions!$G$240,Assumptions!$G$242,$C353),G364))),0)</f>
        <v>0</v>
      </c>
      <c r="I364" s="39">
        <f>+IFERROR(-ABS(IF(EDATE(_xlfn.XLOOKUP(1,$H351:$BE351,$H$4:$BE$4),12*Assumptions!$G$242+12)=I$4,0,IF(H351=1,PMT(Assumptions!$G$240,Assumptions!$G$242,$C353),H364))),0)</f>
        <v>0</v>
      </c>
      <c r="J364" s="39">
        <f>+IFERROR(-ABS(IF(EDATE(_xlfn.XLOOKUP(1,$H351:$BE351,$H$4:$BE$4),12*Assumptions!$G$242+12)=J$4,0,IF(I351=1,PMT(Assumptions!$G$240,Assumptions!$G$242,$C353),I364))),0)</f>
        <v>0</v>
      </c>
      <c r="K364" s="39">
        <f>+IFERROR(-ABS(IF(EDATE(_xlfn.XLOOKUP(1,$H351:$BE351,$H$4:$BE$4),12*Assumptions!$G$242+12)=K$4,0,IF(J351=1,PMT(Assumptions!$G$240,Assumptions!$G$242,$C353),J364))),0)</f>
        <v>0</v>
      </c>
      <c r="L364" s="39">
        <f>+IFERROR(-ABS(IF(EDATE(_xlfn.XLOOKUP(1,$H351:$BE351,$H$4:$BE$4),12*Assumptions!$G$242+12)=L$4,0,IF(K351=1,PMT(Assumptions!$G$240,Assumptions!$G$242,$C353),K364))),0)</f>
        <v>0</v>
      </c>
      <c r="M364" s="39">
        <f>+IFERROR(-ABS(IF(EDATE(_xlfn.XLOOKUP(1,$H351:$BE351,$H$4:$BE$4),12*Assumptions!$G$242+12)=M$4,0,IF(L351=1,PMT(Assumptions!$G$240,Assumptions!$G$242,$C353),L364))),0)</f>
        <v>0</v>
      </c>
      <c r="N364" s="39">
        <f>+IFERROR(-ABS(IF(EDATE(_xlfn.XLOOKUP(1,$H351:$BE351,$H$4:$BE$4),12*Assumptions!$G$242+12)=N$4,0,IF(M351=1,PMT(Assumptions!$G$240,Assumptions!$G$242,$C353),M364))),0)</f>
        <v>0</v>
      </c>
      <c r="O364" s="39">
        <f>+IFERROR(-ABS(IF(EDATE(_xlfn.XLOOKUP(1,$H351:$BE351,$H$4:$BE$4),12*Assumptions!$G$242+12)=O$4,0,IF(N351=1,PMT(Assumptions!$G$240,Assumptions!$G$242,$C353),N364))),0)</f>
        <v>0</v>
      </c>
      <c r="P364" s="39">
        <f>+IFERROR(-ABS(IF(EDATE(_xlfn.XLOOKUP(1,$H351:$BE351,$H$4:$BE$4),12*Assumptions!$G$242+12)=P$4,0,IF(O351=1,PMT(Assumptions!$G$240,Assumptions!$G$242,$C353),O364))),0)</f>
        <v>0</v>
      </c>
      <c r="Q364" s="39">
        <f>+IFERROR(-ABS(IF(EDATE(_xlfn.XLOOKUP(1,$H351:$BE351,$H$4:$BE$4),12*Assumptions!$G$242+12)=Q$4,0,IF(P351=1,PMT(Assumptions!$G$240,Assumptions!$G$242,$C353),P364))),0)</f>
        <v>0</v>
      </c>
      <c r="R364" s="39">
        <f>+IFERROR(-ABS(IF(EDATE(_xlfn.XLOOKUP(1,$H351:$BE351,$H$4:$BE$4),12*Assumptions!$G$242+12)=R$4,0,IF(Q351=1,PMT(Assumptions!$G$240,Assumptions!$G$242,$C353),Q364))),0)</f>
        <v>0</v>
      </c>
      <c r="S364" s="39">
        <f>+IFERROR(-ABS(IF(EDATE(_xlfn.XLOOKUP(1,$H351:$BE351,$H$4:$BE$4),12*Assumptions!$G$242+12)=S$4,0,IF(R351=1,PMT(Assumptions!$G$240,Assumptions!$G$242,$C353),R364))),0)</f>
        <v>0</v>
      </c>
      <c r="T364" s="39">
        <f>+IFERROR(-ABS(IF(EDATE(_xlfn.XLOOKUP(1,$H351:$BE351,$H$4:$BE$4),12*Assumptions!$G$242+12)=T$4,0,IF(S351=1,PMT(Assumptions!$G$240,Assumptions!$G$242,$C353),S364))),0)</f>
        <v>0</v>
      </c>
      <c r="U364" s="39">
        <f>+IFERROR(-ABS(IF(EDATE(_xlfn.XLOOKUP(1,$H351:$BE351,$H$4:$BE$4),12*Assumptions!$G$242+12)=U$4,0,IF(T351=1,PMT(Assumptions!$G$240,Assumptions!$G$242,$C353),T364))),0)</f>
        <v>0</v>
      </c>
      <c r="V364" s="39">
        <f>+IFERROR(-ABS(IF(EDATE(_xlfn.XLOOKUP(1,$H351:$BE351,$H$4:$BE$4),12*Assumptions!$G$242+12)=V$4,0,IF(U351=1,PMT(Assumptions!$G$240,Assumptions!$G$242,$C353),U364))),0)</f>
        <v>0</v>
      </c>
      <c r="W364" s="39">
        <f>+IFERROR(-ABS(IF(EDATE(_xlfn.XLOOKUP(1,$H351:$BE351,$H$4:$BE$4),12*Assumptions!$G$242+12)=W$4,0,IF(V351=1,PMT(Assumptions!$G$240,Assumptions!$G$242,$C353),V364))),0)</f>
        <v>0</v>
      </c>
      <c r="X364" s="39">
        <f>+IFERROR(-ABS(IF(EDATE(_xlfn.XLOOKUP(1,$H351:$BE351,$H$4:$BE$4),12*Assumptions!$G$242+12)=X$4,0,IF(W351=1,PMT(Assumptions!$G$240,Assumptions!$G$242,$C353),W364))),0)</f>
        <v>0</v>
      </c>
      <c r="Y364" s="39">
        <f>+IFERROR(-ABS(IF(EDATE(_xlfn.XLOOKUP(1,$H351:$BE351,$H$4:$BE$4),12*Assumptions!$G$242+12)=Y$4,0,IF(X351=1,PMT(Assumptions!$G$240,Assumptions!$G$242,$C353),X364))),0)</f>
        <v>0</v>
      </c>
      <c r="Z364" s="39">
        <f>+IFERROR(-ABS(IF(EDATE(_xlfn.XLOOKUP(1,$H351:$BE351,$H$4:$BE$4),12*Assumptions!$G$242+12)=Z$4,0,IF(Y351=1,PMT(Assumptions!$G$240,Assumptions!$G$242,$C353),Y364))),0)</f>
        <v>0</v>
      </c>
      <c r="AA364" s="39">
        <f>+IFERROR(-ABS(IF(EDATE(_xlfn.XLOOKUP(1,$H351:$BE351,$H$4:$BE$4),12*Assumptions!$G$242+12)=AA$4,0,IF(Z351=1,PMT(Assumptions!$G$240,Assumptions!$G$242,$C353),Z364))),0)</f>
        <v>0</v>
      </c>
      <c r="AB364" s="39">
        <f>+IFERROR(-ABS(IF(EDATE(_xlfn.XLOOKUP(1,$H351:$BE351,$H$4:$BE$4),12*Assumptions!$G$242+12)=AB$4,0,IF(AA351=1,PMT(Assumptions!$G$240,Assumptions!$G$242,$C353),AA364))),0)</f>
        <v>0</v>
      </c>
      <c r="AC364" s="39">
        <f>+IFERROR(-ABS(IF(EDATE(_xlfn.XLOOKUP(1,$H351:$BE351,$H$4:$BE$4),12*Assumptions!$G$242+12)=AC$4,0,IF(AB351=1,PMT(Assumptions!$G$240,Assumptions!$G$242,$C353),AB364))),0)</f>
        <v>0</v>
      </c>
      <c r="AD364" s="39">
        <f>+IFERROR(-ABS(IF(EDATE(_xlfn.XLOOKUP(1,$H351:$BE351,$H$4:$BE$4),12*Assumptions!$G$242+12)=AD$4,0,IF(AC351=1,PMT(Assumptions!$G$240,Assumptions!$G$242,$C353),AC364))),0)</f>
        <v>0</v>
      </c>
      <c r="AE364" s="39">
        <f>+IFERROR(-ABS(IF(EDATE(_xlfn.XLOOKUP(1,$H351:$BE351,$H$4:$BE$4),12*Assumptions!$G$242+12)=AE$4,0,IF(AD351=1,PMT(Assumptions!$G$240,Assumptions!$G$242,$C353),AD364))),0)</f>
        <v>0</v>
      </c>
      <c r="AF364" s="39">
        <f>+IFERROR(-ABS(IF(EDATE(_xlfn.XLOOKUP(1,$H351:$BE351,$H$4:$BE$4),12*Assumptions!$G$242+12)=AF$4,0,IF(AE351=1,PMT(Assumptions!$G$240,Assumptions!$G$242,$C353),AE364))),0)</f>
        <v>0</v>
      </c>
      <c r="AG364" s="39">
        <f>+IFERROR(-ABS(IF(EDATE(_xlfn.XLOOKUP(1,$H351:$BE351,$H$4:$BE$4),12*Assumptions!$G$242+12)=AG$4,0,IF(AF351=1,PMT(Assumptions!$G$240,Assumptions!$G$242,$C353),AF364))),0)</f>
        <v>0</v>
      </c>
      <c r="AH364" s="39">
        <f>+IFERROR(-ABS(IF(EDATE(_xlfn.XLOOKUP(1,$H351:$BE351,$H$4:$BE$4),12*Assumptions!$G$242+12)=AH$4,0,IF(AG351=1,PMT(Assumptions!$G$240,Assumptions!$G$242,$C353),AG364))),0)</f>
        <v>0</v>
      </c>
      <c r="AI364" s="39">
        <f>+IFERROR(-ABS(IF(EDATE(_xlfn.XLOOKUP(1,$H351:$BE351,$H$4:$BE$4),12*Assumptions!$G$242+12)=AI$4,0,IF(AH351=1,PMT(Assumptions!$G$240,Assumptions!$G$242,$C353),AH364))),0)</f>
        <v>0</v>
      </c>
      <c r="AJ364" s="39">
        <f>+IFERROR(-ABS(IF(EDATE(_xlfn.XLOOKUP(1,$H351:$BE351,$H$4:$BE$4),12*Assumptions!$G$242+12)=AJ$4,0,IF(AI351=1,PMT(Assumptions!$G$240,Assumptions!$G$242,$C353),AI364))),0)</f>
        <v>0</v>
      </c>
      <c r="AK364" s="39">
        <f>+IFERROR(-ABS(IF(EDATE(_xlfn.XLOOKUP(1,$H351:$BE351,$H$4:$BE$4),12*Assumptions!$G$242+12)=AK$4,0,IF(AJ351=1,PMT(Assumptions!$G$240,Assumptions!$G$242,$C353),AJ364))),0)</f>
        <v>0</v>
      </c>
      <c r="AL364" s="39">
        <f>+IFERROR(-ABS(IF(EDATE(_xlfn.XLOOKUP(1,$H351:$BE351,$H$4:$BE$4),12*Assumptions!$G$242+12)=AL$4,0,IF(AK351=1,PMT(Assumptions!$G$240,Assumptions!$G$242,$C353),AK364))),0)</f>
        <v>0</v>
      </c>
      <c r="AM364" s="39">
        <f>+IFERROR(-ABS(IF(EDATE(_xlfn.XLOOKUP(1,$H351:$BE351,$H$4:$BE$4),12*Assumptions!$G$242+12)=AM$4,0,IF(AL351=1,PMT(Assumptions!$G$240,Assumptions!$G$242,$C353),AL364))),0)</f>
        <v>0</v>
      </c>
      <c r="AN364" s="39">
        <f>+IFERROR(-ABS(IF(EDATE(_xlfn.XLOOKUP(1,$H351:$BE351,$H$4:$BE$4),12*Assumptions!$G$242+12)=AN$4,0,IF(AM351=1,PMT(Assumptions!$G$240,Assumptions!$G$242,$C353),AM364))),0)</f>
        <v>0</v>
      </c>
      <c r="AO364" s="39">
        <f>+IFERROR(-ABS(IF(EDATE(_xlfn.XLOOKUP(1,$H351:$BE351,$H$4:$BE$4),12*Assumptions!$G$242+12)=AO$4,0,IF(AN351=1,PMT(Assumptions!$G$240,Assumptions!$G$242,$C353),AN364))),0)</f>
        <v>0</v>
      </c>
      <c r="AP364" s="39">
        <f>+IFERROR(-ABS(IF(EDATE(_xlfn.XLOOKUP(1,$H351:$BE351,$H$4:$BE$4),12*Assumptions!$G$242+12)=AP$4,0,IF(AO351=1,PMT(Assumptions!$G$240,Assumptions!$G$242,$C353),AO364))),0)</f>
        <v>0</v>
      </c>
      <c r="AQ364" s="39">
        <f>+IFERROR(-ABS(IF(EDATE(_xlfn.XLOOKUP(1,$H351:$BE351,$H$4:$BE$4),12*Assumptions!$G$242+12)=AQ$4,0,IF(AP351=1,PMT(Assumptions!$G$240,Assumptions!$G$242,$C353),AP364))),0)</f>
        <v>0</v>
      </c>
      <c r="AR364" s="39">
        <f>+IFERROR(-ABS(IF(EDATE(_xlfn.XLOOKUP(1,$H351:$BE351,$H$4:$BE$4),12*Assumptions!$G$242+12)=AR$4,0,IF(AQ351=1,PMT(Assumptions!$G$240,Assumptions!$G$242,$C353),AQ364))),0)</f>
        <v>0</v>
      </c>
      <c r="AS364" s="39">
        <f>+IFERROR(-ABS(IF(EDATE(_xlfn.XLOOKUP(1,$H351:$BE351,$H$4:$BE$4),12*Assumptions!$G$242+12)=AS$4,0,IF(AR351=1,PMT(Assumptions!$G$240,Assumptions!$G$242,$C353),AR364))),0)</f>
        <v>0</v>
      </c>
      <c r="AT364" s="39">
        <f>+IFERROR(-ABS(IF(EDATE(_xlfn.XLOOKUP(1,$H351:$BE351,$H$4:$BE$4),12*Assumptions!$G$242+12)=AT$4,0,IF(AS351=1,PMT(Assumptions!$G$240,Assumptions!$G$242,$C353),AS364))),0)</f>
        <v>0</v>
      </c>
      <c r="AU364" s="39">
        <f>+IFERROR(-ABS(IF(EDATE(_xlfn.XLOOKUP(1,$H351:$BE351,$H$4:$BE$4),12*Assumptions!$G$242+12)=AU$4,0,IF(AT351=1,PMT(Assumptions!$G$240,Assumptions!$G$242,$C353),AT364))),0)</f>
        <v>0</v>
      </c>
      <c r="AV364" s="39">
        <f>+IFERROR(-ABS(IF(EDATE(_xlfn.XLOOKUP(1,$H351:$BE351,$H$4:$BE$4),12*Assumptions!$G$242+12)=AV$4,0,IF(AU351=1,PMT(Assumptions!$G$240,Assumptions!$G$242,$C353),AU364))),0)</f>
        <v>0</v>
      </c>
      <c r="AW364" s="39">
        <f>+IFERROR(-ABS(IF(EDATE(_xlfn.XLOOKUP(1,$H351:$BE351,$H$4:$BE$4),12*Assumptions!$G$242+12)=AW$4,0,IF(AV351=1,PMT(Assumptions!$G$240,Assumptions!$G$242,$C353),AV364))),0)</f>
        <v>0</v>
      </c>
      <c r="AX364" s="39">
        <f>+IFERROR(-ABS(IF(EDATE(_xlfn.XLOOKUP(1,$H351:$BE351,$H$4:$BE$4),12*Assumptions!$G$242+12)=AX$4,0,IF(AW351=1,PMT(Assumptions!$G$240,Assumptions!$G$242,$C353),AW364))),0)</f>
        <v>0</v>
      </c>
      <c r="AY364" s="39">
        <f>+IFERROR(-ABS(IF(EDATE(_xlfn.XLOOKUP(1,$H351:$BE351,$H$4:$BE$4),12*Assumptions!$G$242+12)=AY$4,0,IF(AX351=1,PMT(Assumptions!$G$240,Assumptions!$G$242,$C353),AX364))),0)</f>
        <v>0</v>
      </c>
      <c r="AZ364" s="39">
        <f>+IFERROR(-ABS(IF(EDATE(_xlfn.XLOOKUP(1,$H351:$BE351,$H$4:$BE$4),12*Assumptions!$G$242+12)=AZ$4,0,IF(AY351=1,PMT(Assumptions!$G$240,Assumptions!$G$242,$C353),AY364))),0)</f>
        <v>0</v>
      </c>
      <c r="BA364" s="39">
        <f>+IFERROR(-ABS(IF(EDATE(_xlfn.XLOOKUP(1,$H351:$BE351,$H$4:$BE$4),12*Assumptions!$G$242+12)=BA$4,0,IF(AZ351=1,PMT(Assumptions!$G$240,Assumptions!$G$242,$C353),AZ364))),0)</f>
        <v>0</v>
      </c>
      <c r="BB364" s="39">
        <f>+IFERROR(-ABS(IF(EDATE(_xlfn.XLOOKUP(1,$H351:$BE351,$H$4:$BE$4),12*Assumptions!$G$242+12)=BB$4,0,IF(BA351=1,PMT(Assumptions!$G$240,Assumptions!$G$242,$C353),BA364))),0)</f>
        <v>0</v>
      </c>
      <c r="BC364" s="39">
        <f>+IFERROR(-ABS(IF(EDATE(_xlfn.XLOOKUP(1,$H351:$BE351,$H$4:$BE$4),12*Assumptions!$G$242+12)=BC$4,0,IF(BB351=1,PMT(Assumptions!$G$240,Assumptions!$G$242,$C353),BB364))),0)</f>
        <v>0</v>
      </c>
      <c r="BD364" s="39">
        <f>+IFERROR(-ABS(IF(EDATE(_xlfn.XLOOKUP(1,$H351:$BE351,$H$4:$BE$4),12*Assumptions!$G$242+12)=BD$4,0,IF(BC351=1,PMT(Assumptions!$G$240,Assumptions!$G$242,$C353),BC364))),0)</f>
        <v>0</v>
      </c>
      <c r="BE364" s="39">
        <f>+IFERROR(-ABS(IF(EDATE(_xlfn.XLOOKUP(1,$H351:$BE351,$H$4:$BE$4),12*Assumptions!$G$242+12)=BE$4,0,IF(BD351=1,PMT(Assumptions!$G$240,Assumptions!$G$242,$C353),BD364))),0)</f>
        <v>0</v>
      </c>
      <c r="BF364" s="39">
        <f>+IFERROR(-ABS(IF(EDATE(_xlfn.XLOOKUP(1,$H351:$BE351,$H$4:$BE$4),12*Assumptions!$G$242+12)=BF$4,0,IF(BE351=1,PMT(Assumptions!$G$240,Assumptions!$G$242,$C353),BE364))),0)</f>
        <v>0</v>
      </c>
      <c r="BG364" s="39">
        <f>+IFERROR(-ABS(IF(EDATE(_xlfn.XLOOKUP(1,$H351:$BE351,$H$4:$BE$4),12*Assumptions!$G$242+12)=BG$4,0,IF(BF351=1,PMT(Assumptions!$G$240,Assumptions!$G$242,$C353),BF364))),0)</f>
        <v>0</v>
      </c>
      <c r="BH364" s="39">
        <f>+IFERROR(-ABS(IF(EDATE(_xlfn.XLOOKUP(1,$H351:$BE351,$H$4:$BE$4),12*Assumptions!$G$242+12)=BH$4,0,IF(BG351=1,PMT(Assumptions!$G$240,Assumptions!$G$242,$C353),BG364))),0)</f>
        <v>0</v>
      </c>
      <c r="BI364" s="39">
        <f>+IFERROR(-ABS(IF(EDATE(_xlfn.XLOOKUP(1,$H351:$BE351,$H$4:$BE$4),12*Assumptions!$G$242+12)=BI$4,0,IF(BH351=1,PMT(Assumptions!$G$240,Assumptions!$G$242,$C353),BH364))),0)</f>
        <v>0</v>
      </c>
      <c r="BJ364" s="39">
        <f>+IFERROR(-ABS(IF(EDATE(_xlfn.XLOOKUP(1,$H351:$BE351,$H$4:$BE$4),12*Assumptions!$G$242+12)=BJ$4,0,IF(BI351=1,PMT(Assumptions!$G$240,Assumptions!$G$242,$C353),BI364))),0)</f>
        <v>0</v>
      </c>
      <c r="BK364" s="39">
        <f>+IFERROR(-ABS(IF(EDATE(_xlfn.XLOOKUP(1,$H351:$BE351,$H$4:$BE$4),12*Assumptions!$G$242+12)=BK$4,0,IF(BJ351=1,PMT(Assumptions!$G$240,Assumptions!$G$242,$C353),BJ364))),0)</f>
        <v>0</v>
      </c>
      <c r="BL364" s="39">
        <f>+IFERROR(-ABS(IF(EDATE(_xlfn.XLOOKUP(1,$H351:$BE351,$H$4:$BE$4),12*Assumptions!$G$242+12)=BL$4,0,IF(BK351=1,PMT(Assumptions!$G$240,Assumptions!$G$242,$C353),BK364))),0)</f>
        <v>0</v>
      </c>
      <c r="BM364" s="39">
        <f>+IFERROR(-ABS(IF(EDATE(_xlfn.XLOOKUP(1,$H351:$BE351,$H$4:$BE$4),12*Assumptions!$G$242+12)=BM$4,0,IF(BL351=1,PMT(Assumptions!$G$240,Assumptions!$G$242,$C353),BL364))),0)</f>
        <v>0</v>
      </c>
      <c r="BN364" s="39">
        <f>+IFERROR(-ABS(IF(EDATE(_xlfn.XLOOKUP(1,$H351:$BE351,$H$4:$BE$4),12*Assumptions!$G$242+12)=BN$4,0,IF(BM351=1,PMT(Assumptions!$G$240,Assumptions!$G$242,$C353),BM364))),0)</f>
        <v>0</v>
      </c>
      <c r="BO364" s="39">
        <f>+IFERROR(-ABS(IF(EDATE(_xlfn.XLOOKUP(1,$H351:$BE351,$H$4:$BE$4),12*Assumptions!$G$242+12)=BO$4,0,IF(BN351=1,PMT(Assumptions!$G$240,Assumptions!$G$242,$C353),BN364))),0)</f>
        <v>0</v>
      </c>
      <c r="BP364" s="39">
        <f>+IFERROR(-ABS(IF(EDATE(_xlfn.XLOOKUP(1,$H351:$BE351,$H$4:$BE$4),12*Assumptions!$G$242+12)=BP$4,0,IF(BO351=1,PMT(Assumptions!$G$240,Assumptions!$G$242,$C353),BO364))),0)</f>
        <v>0</v>
      </c>
      <c r="BQ364" s="39">
        <f>+IFERROR(-ABS(IF(EDATE(_xlfn.XLOOKUP(1,$H351:$BE351,$H$4:$BE$4),12*Assumptions!$G$242+12)=BQ$4,0,IF(BP351=1,PMT(Assumptions!$G$240,Assumptions!$G$242,$C353),BP364))),0)</f>
        <v>0</v>
      </c>
      <c r="BR364" s="39">
        <f>+IFERROR(-ABS(IF(EDATE(_xlfn.XLOOKUP(1,$H351:$BE351,$H$4:$BE$4),12*Assumptions!$G$242+12)=BR$4,0,IF(BQ351=1,PMT(Assumptions!$G$240,Assumptions!$G$242,$C353),BQ364))),0)</f>
        <v>0</v>
      </c>
      <c r="BS364" s="39">
        <f>+IFERROR(-ABS(IF(EDATE(_xlfn.XLOOKUP(1,$H351:$BE351,$H$4:$BE$4),12*Assumptions!$G$242+12)=BS$4,0,IF(BR351=1,PMT(Assumptions!$G$240,Assumptions!$G$242,$C353),BR364))),0)</f>
        <v>0</v>
      </c>
      <c r="BT364" s="39">
        <f>+IFERROR(-ABS(IF(EDATE(_xlfn.XLOOKUP(1,$H351:$BE351,$H$4:$BE$4),12*Assumptions!$G$242+12)=BT$4,0,IF(BS351=1,PMT(Assumptions!$G$240,Assumptions!$G$242,$C353),BS364))),0)</f>
        <v>0</v>
      </c>
      <c r="BU364" s="39">
        <f>+IFERROR(-ABS(IF(EDATE(_xlfn.XLOOKUP(1,$H351:$BE351,$H$4:$BE$4),12*Assumptions!$G$242+12)=BU$4,0,IF(BT351=1,PMT(Assumptions!$G$240,Assumptions!$G$242,$C353),BT364))),0)</f>
        <v>0</v>
      </c>
      <c r="BV364" s="39">
        <f>+IFERROR(-ABS(IF(EDATE(_xlfn.XLOOKUP(1,$H351:$BE351,$H$4:$BE$4),12*Assumptions!$G$242+12)=BV$4,0,IF(BU351=1,PMT(Assumptions!$G$240,Assumptions!$G$242,$C353),BU364))),0)</f>
        <v>0</v>
      </c>
      <c r="BW364" s="39">
        <f>+IFERROR(-ABS(IF(EDATE(_xlfn.XLOOKUP(1,$H351:$BE351,$H$4:$BE$4),12*Assumptions!$G$242+12)=BW$4,0,IF(BV351=1,PMT(Assumptions!$G$240,Assumptions!$G$242,$C353),BV364))),0)</f>
        <v>0</v>
      </c>
      <c r="BX364" s="39">
        <f>+IFERROR(-ABS(IF(EDATE(_xlfn.XLOOKUP(1,$H351:$BE351,$H$4:$BE$4),12*Assumptions!$G$242+12)=BX$4,0,IF(BW351=1,PMT(Assumptions!$G$240,Assumptions!$G$242,$C353),BW364))),0)</f>
        <v>0</v>
      </c>
      <c r="BY364" s="39">
        <f>+IFERROR(-ABS(IF(EDATE(_xlfn.XLOOKUP(1,$H351:$BE351,$H$4:$BE$4),12*Assumptions!$G$242+12)=BY$4,0,IF(BX351=1,PMT(Assumptions!$G$240,Assumptions!$G$242,$C353),BX364))),0)</f>
        <v>0</v>
      </c>
    </row>
    <row r="365" spans="3:77" outlineLevel="1">
      <c r="C365" s="31"/>
      <c r="E365" s="24" t="s">
        <v>515</v>
      </c>
      <c r="F365" s="80" t="str">
        <f>+Assumptions!$G$8</f>
        <v>USD</v>
      </c>
      <c r="G365" s="24"/>
      <c r="H365" s="39">
        <f>+IFERROR(-ABS(IF(EDATE(_xlfn.XLOOKUP(1,$H352:$BE352,$H$4:$BE$4),12*Assumptions!$G$242+12)=H$4,0,IF(G352=1,PMT(Assumptions!$G$240,Assumptions!$G$242,$C354),G365))),0)</f>
        <v>0</v>
      </c>
      <c r="I365" s="39">
        <f>+IFERROR(-ABS(IF(EDATE(_xlfn.XLOOKUP(1,$H352:$BE352,$H$4:$BE$4),12*Assumptions!$G$242+12)=I$4,0,IF(H352=1,PMT(Assumptions!$G$240,Assumptions!$G$242,$C354),H365))),0)</f>
        <v>0</v>
      </c>
      <c r="J365" s="39">
        <f>+IFERROR(-ABS(IF(EDATE(_xlfn.XLOOKUP(1,$H352:$BE352,$H$4:$BE$4),12*Assumptions!$G$242+12)=J$4,0,IF(I352=1,PMT(Assumptions!$G$240,Assumptions!$G$242,$C354),I365))),0)</f>
        <v>0</v>
      </c>
      <c r="K365" s="39">
        <f>+IFERROR(-ABS(IF(EDATE(_xlfn.XLOOKUP(1,$H352:$BE352,$H$4:$BE$4),12*Assumptions!$G$242+12)=K$4,0,IF(J352=1,PMT(Assumptions!$G$240,Assumptions!$G$242,$C354),J365))),0)</f>
        <v>0</v>
      </c>
      <c r="L365" s="39">
        <f>+IFERROR(-ABS(IF(EDATE(_xlfn.XLOOKUP(1,$H352:$BE352,$H$4:$BE$4),12*Assumptions!$G$242+12)=L$4,0,IF(K352=1,PMT(Assumptions!$G$240,Assumptions!$G$242,$C354),K365))),0)</f>
        <v>0</v>
      </c>
      <c r="M365" s="39">
        <f>+IFERROR(-ABS(IF(EDATE(_xlfn.XLOOKUP(1,$H352:$BE352,$H$4:$BE$4),12*Assumptions!$G$242+12)=M$4,0,IF(L352=1,PMT(Assumptions!$G$240,Assumptions!$G$242,$C354),L365))),0)</f>
        <v>0</v>
      </c>
      <c r="N365" s="39">
        <f>+IFERROR(-ABS(IF(EDATE(_xlfn.XLOOKUP(1,$H352:$BE352,$H$4:$BE$4),12*Assumptions!$G$242+12)=N$4,0,IF(M352=1,PMT(Assumptions!$G$240,Assumptions!$G$242,$C354),M365))),0)</f>
        <v>0</v>
      </c>
      <c r="O365" s="39">
        <f>+IFERROR(-ABS(IF(EDATE(_xlfn.XLOOKUP(1,$H352:$BE352,$H$4:$BE$4),12*Assumptions!$G$242+12)=O$4,0,IF(N352=1,PMT(Assumptions!$G$240,Assumptions!$G$242,$C354),N365))),0)</f>
        <v>0</v>
      </c>
      <c r="P365" s="39">
        <f>+IFERROR(-ABS(IF(EDATE(_xlfn.XLOOKUP(1,$H352:$BE352,$H$4:$BE$4),12*Assumptions!$G$242+12)=P$4,0,IF(O352=1,PMT(Assumptions!$G$240,Assumptions!$G$242,$C354),O365))),0)</f>
        <v>0</v>
      </c>
      <c r="Q365" s="39">
        <f>+IFERROR(-ABS(IF(EDATE(_xlfn.XLOOKUP(1,$H352:$BE352,$H$4:$BE$4),12*Assumptions!$G$242+12)=Q$4,0,IF(P352=1,PMT(Assumptions!$G$240,Assumptions!$G$242,$C354),P365))),0)</f>
        <v>0</v>
      </c>
      <c r="R365" s="39">
        <f>+IFERROR(-ABS(IF(EDATE(_xlfn.XLOOKUP(1,$H352:$BE352,$H$4:$BE$4),12*Assumptions!$G$242+12)=R$4,0,IF(Q352=1,PMT(Assumptions!$G$240,Assumptions!$G$242,$C354),Q365))),0)</f>
        <v>0</v>
      </c>
      <c r="S365" s="39">
        <f>+IFERROR(-ABS(IF(EDATE(_xlfn.XLOOKUP(1,$H352:$BE352,$H$4:$BE$4),12*Assumptions!$G$242+12)=S$4,0,IF(R352=1,PMT(Assumptions!$G$240,Assumptions!$G$242,$C354),R365))),0)</f>
        <v>0</v>
      </c>
      <c r="T365" s="39">
        <f>+IFERROR(-ABS(IF(EDATE(_xlfn.XLOOKUP(1,$H352:$BE352,$H$4:$BE$4),12*Assumptions!$G$242+12)=T$4,0,IF(S352=1,PMT(Assumptions!$G$240,Assumptions!$G$242,$C354),S365))),0)</f>
        <v>0</v>
      </c>
      <c r="U365" s="39">
        <f>+IFERROR(-ABS(IF(EDATE(_xlfn.XLOOKUP(1,$H352:$BE352,$H$4:$BE$4),12*Assumptions!$G$242+12)=U$4,0,IF(T352=1,PMT(Assumptions!$G$240,Assumptions!$G$242,$C354),T365))),0)</f>
        <v>0</v>
      </c>
      <c r="V365" s="39">
        <f>+IFERROR(-ABS(IF(EDATE(_xlfn.XLOOKUP(1,$H352:$BE352,$H$4:$BE$4),12*Assumptions!$G$242+12)=V$4,0,IF(U352=1,PMT(Assumptions!$G$240,Assumptions!$G$242,$C354),U365))),0)</f>
        <v>0</v>
      </c>
      <c r="W365" s="39">
        <f>+IFERROR(-ABS(IF(EDATE(_xlfn.XLOOKUP(1,$H352:$BE352,$H$4:$BE$4),12*Assumptions!$G$242+12)=W$4,0,IF(V352=1,PMT(Assumptions!$G$240,Assumptions!$G$242,$C354),V365))),0)</f>
        <v>0</v>
      </c>
      <c r="X365" s="39">
        <f>+IFERROR(-ABS(IF(EDATE(_xlfn.XLOOKUP(1,$H352:$BE352,$H$4:$BE$4),12*Assumptions!$G$242+12)=X$4,0,IF(W352=1,PMT(Assumptions!$G$240,Assumptions!$G$242,$C354),W365))),0)</f>
        <v>0</v>
      </c>
      <c r="Y365" s="39">
        <f>+IFERROR(-ABS(IF(EDATE(_xlfn.XLOOKUP(1,$H352:$BE352,$H$4:$BE$4),12*Assumptions!$G$242+12)=Y$4,0,IF(X352=1,PMT(Assumptions!$G$240,Assumptions!$G$242,$C354),X365))),0)</f>
        <v>0</v>
      </c>
      <c r="Z365" s="39">
        <f>+IFERROR(-ABS(IF(EDATE(_xlfn.XLOOKUP(1,$H352:$BE352,$H$4:$BE$4),12*Assumptions!$G$242+12)=Z$4,0,IF(Y352=1,PMT(Assumptions!$G$240,Assumptions!$G$242,$C354),Y365))),0)</f>
        <v>0</v>
      </c>
      <c r="AA365" s="39">
        <f>+IFERROR(-ABS(IF(EDATE(_xlfn.XLOOKUP(1,$H352:$BE352,$H$4:$BE$4),12*Assumptions!$G$242+12)=AA$4,0,IF(Z352=1,PMT(Assumptions!$G$240,Assumptions!$G$242,$C354),Z365))),0)</f>
        <v>0</v>
      </c>
      <c r="AB365" s="39">
        <f>+IFERROR(-ABS(IF(EDATE(_xlfn.XLOOKUP(1,$H352:$BE352,$H$4:$BE$4),12*Assumptions!$G$242+12)=AB$4,0,IF(AA352=1,PMT(Assumptions!$G$240,Assumptions!$G$242,$C354),AA365))),0)</f>
        <v>0</v>
      </c>
      <c r="AC365" s="39">
        <f>+IFERROR(-ABS(IF(EDATE(_xlfn.XLOOKUP(1,$H352:$BE352,$H$4:$BE$4),12*Assumptions!$G$242+12)=AC$4,0,IF(AB352=1,PMT(Assumptions!$G$240,Assumptions!$G$242,$C354),AB365))),0)</f>
        <v>0</v>
      </c>
      <c r="AD365" s="39">
        <f>+IFERROR(-ABS(IF(EDATE(_xlfn.XLOOKUP(1,$H352:$BE352,$H$4:$BE$4),12*Assumptions!$G$242+12)=AD$4,0,IF(AC352=1,PMT(Assumptions!$G$240,Assumptions!$G$242,$C354),AC365))),0)</f>
        <v>0</v>
      </c>
      <c r="AE365" s="39">
        <f>+IFERROR(-ABS(IF(EDATE(_xlfn.XLOOKUP(1,$H352:$BE352,$H$4:$BE$4),12*Assumptions!$G$242+12)=AE$4,0,IF(AD352=1,PMT(Assumptions!$G$240,Assumptions!$G$242,$C354),AD365))),0)</f>
        <v>0</v>
      </c>
      <c r="AF365" s="39">
        <f>+IFERROR(-ABS(IF(EDATE(_xlfn.XLOOKUP(1,$H352:$BE352,$H$4:$BE$4),12*Assumptions!$G$242+12)=AF$4,0,IF(AE352=1,PMT(Assumptions!$G$240,Assumptions!$G$242,$C354),AE365))),0)</f>
        <v>0</v>
      </c>
      <c r="AG365" s="39">
        <f>+IFERROR(-ABS(IF(EDATE(_xlfn.XLOOKUP(1,$H352:$BE352,$H$4:$BE$4),12*Assumptions!$G$242+12)=AG$4,0,IF(AF352=1,PMT(Assumptions!$G$240,Assumptions!$G$242,$C354),AF365))),0)</f>
        <v>0</v>
      </c>
      <c r="AH365" s="39">
        <f>+IFERROR(-ABS(IF(EDATE(_xlfn.XLOOKUP(1,$H352:$BE352,$H$4:$BE$4),12*Assumptions!$G$242+12)=AH$4,0,IF(AG352=1,PMT(Assumptions!$G$240,Assumptions!$G$242,$C354),AG365))),0)</f>
        <v>0</v>
      </c>
      <c r="AI365" s="39">
        <f>+IFERROR(-ABS(IF(EDATE(_xlfn.XLOOKUP(1,$H352:$BE352,$H$4:$BE$4),12*Assumptions!$G$242+12)=AI$4,0,IF(AH352=1,PMT(Assumptions!$G$240,Assumptions!$G$242,$C354),AH365))),0)</f>
        <v>0</v>
      </c>
      <c r="AJ365" s="39">
        <f>+IFERROR(-ABS(IF(EDATE(_xlfn.XLOOKUP(1,$H352:$BE352,$H$4:$BE$4),12*Assumptions!$G$242+12)=AJ$4,0,IF(AI352=1,PMT(Assumptions!$G$240,Assumptions!$G$242,$C354),AI365))),0)</f>
        <v>0</v>
      </c>
      <c r="AK365" s="39">
        <f>+IFERROR(-ABS(IF(EDATE(_xlfn.XLOOKUP(1,$H352:$BE352,$H$4:$BE$4),12*Assumptions!$G$242+12)=AK$4,0,IF(AJ352=1,PMT(Assumptions!$G$240,Assumptions!$G$242,$C354),AJ365))),0)</f>
        <v>0</v>
      </c>
      <c r="AL365" s="39">
        <f>+IFERROR(-ABS(IF(EDATE(_xlfn.XLOOKUP(1,$H352:$BE352,$H$4:$BE$4),12*Assumptions!$G$242+12)=AL$4,0,IF(AK352=1,PMT(Assumptions!$G$240,Assumptions!$G$242,$C354),AK365))),0)</f>
        <v>0</v>
      </c>
      <c r="AM365" s="39">
        <f>+IFERROR(-ABS(IF(EDATE(_xlfn.XLOOKUP(1,$H352:$BE352,$H$4:$BE$4),12*Assumptions!$G$242+12)=AM$4,0,IF(AL352=1,PMT(Assumptions!$G$240,Assumptions!$G$242,$C354),AL365))),0)</f>
        <v>0</v>
      </c>
      <c r="AN365" s="39">
        <f>+IFERROR(-ABS(IF(EDATE(_xlfn.XLOOKUP(1,$H352:$BE352,$H$4:$BE$4),12*Assumptions!$G$242+12)=AN$4,0,IF(AM352=1,PMT(Assumptions!$G$240,Assumptions!$G$242,$C354),AM365))),0)</f>
        <v>0</v>
      </c>
      <c r="AO365" s="39">
        <f>+IFERROR(-ABS(IF(EDATE(_xlfn.XLOOKUP(1,$H352:$BE352,$H$4:$BE$4),12*Assumptions!$G$242+12)=AO$4,0,IF(AN352=1,PMT(Assumptions!$G$240,Assumptions!$G$242,$C354),AN365))),0)</f>
        <v>0</v>
      </c>
      <c r="AP365" s="39">
        <f>+IFERROR(-ABS(IF(EDATE(_xlfn.XLOOKUP(1,$H352:$BE352,$H$4:$BE$4),12*Assumptions!$G$242+12)=AP$4,0,IF(AO352=1,PMT(Assumptions!$G$240,Assumptions!$G$242,$C354),AO365))),0)</f>
        <v>0</v>
      </c>
      <c r="AQ365" s="39">
        <f>+IFERROR(-ABS(IF(EDATE(_xlfn.XLOOKUP(1,$H352:$BE352,$H$4:$BE$4),12*Assumptions!$G$242+12)=AQ$4,0,IF(AP352=1,PMT(Assumptions!$G$240,Assumptions!$G$242,$C354),AP365))),0)</f>
        <v>0</v>
      </c>
      <c r="AR365" s="39">
        <f>+IFERROR(-ABS(IF(EDATE(_xlfn.XLOOKUP(1,$H352:$BE352,$H$4:$BE$4),12*Assumptions!$G$242+12)=AR$4,0,IF(AQ352=1,PMT(Assumptions!$G$240,Assumptions!$G$242,$C354),AQ365))),0)</f>
        <v>0</v>
      </c>
      <c r="AS365" s="39">
        <f>+IFERROR(-ABS(IF(EDATE(_xlfn.XLOOKUP(1,$H352:$BE352,$H$4:$BE$4),12*Assumptions!$G$242+12)=AS$4,0,IF(AR352=1,PMT(Assumptions!$G$240,Assumptions!$G$242,$C354),AR365))),0)</f>
        <v>0</v>
      </c>
      <c r="AT365" s="39">
        <f>+IFERROR(-ABS(IF(EDATE(_xlfn.XLOOKUP(1,$H352:$BE352,$H$4:$BE$4),12*Assumptions!$G$242+12)=AT$4,0,IF(AS352=1,PMT(Assumptions!$G$240,Assumptions!$G$242,$C354),AS365))),0)</f>
        <v>0</v>
      </c>
      <c r="AU365" s="39">
        <f>+IFERROR(-ABS(IF(EDATE(_xlfn.XLOOKUP(1,$H352:$BE352,$H$4:$BE$4),12*Assumptions!$G$242+12)=AU$4,0,IF(AT352=1,PMT(Assumptions!$G$240,Assumptions!$G$242,$C354),AT365))),0)</f>
        <v>0</v>
      </c>
      <c r="AV365" s="39">
        <f>+IFERROR(-ABS(IF(EDATE(_xlfn.XLOOKUP(1,$H352:$BE352,$H$4:$BE$4),12*Assumptions!$G$242+12)=AV$4,0,IF(AU352=1,PMT(Assumptions!$G$240,Assumptions!$G$242,$C354),AU365))),0)</f>
        <v>0</v>
      </c>
      <c r="AW365" s="39">
        <f>+IFERROR(-ABS(IF(EDATE(_xlfn.XLOOKUP(1,$H352:$BE352,$H$4:$BE$4),12*Assumptions!$G$242+12)=AW$4,0,IF(AV352=1,PMT(Assumptions!$G$240,Assumptions!$G$242,$C354),AV365))),0)</f>
        <v>0</v>
      </c>
      <c r="AX365" s="39">
        <f>+IFERROR(-ABS(IF(EDATE(_xlfn.XLOOKUP(1,$H352:$BE352,$H$4:$BE$4),12*Assumptions!$G$242+12)=AX$4,0,IF(AW352=1,PMT(Assumptions!$G$240,Assumptions!$G$242,$C354),AW365))),0)</f>
        <v>0</v>
      </c>
      <c r="AY365" s="39">
        <f>+IFERROR(-ABS(IF(EDATE(_xlfn.XLOOKUP(1,$H352:$BE352,$H$4:$BE$4),12*Assumptions!$G$242+12)=AY$4,0,IF(AX352=1,PMT(Assumptions!$G$240,Assumptions!$G$242,$C354),AX365))),0)</f>
        <v>0</v>
      </c>
      <c r="AZ365" s="39">
        <f>+IFERROR(-ABS(IF(EDATE(_xlfn.XLOOKUP(1,$H352:$BE352,$H$4:$BE$4),12*Assumptions!$G$242+12)=AZ$4,0,IF(AY352=1,PMT(Assumptions!$G$240,Assumptions!$G$242,$C354),AY365))),0)</f>
        <v>0</v>
      </c>
      <c r="BA365" s="39">
        <f>+IFERROR(-ABS(IF(EDATE(_xlfn.XLOOKUP(1,$H352:$BE352,$H$4:$BE$4),12*Assumptions!$G$242+12)=BA$4,0,IF(AZ352=1,PMT(Assumptions!$G$240,Assumptions!$G$242,$C354),AZ365))),0)</f>
        <v>0</v>
      </c>
      <c r="BB365" s="39">
        <f>+IFERROR(-ABS(IF(EDATE(_xlfn.XLOOKUP(1,$H352:$BE352,$H$4:$BE$4),12*Assumptions!$G$242+12)=BB$4,0,IF(BA352=1,PMT(Assumptions!$G$240,Assumptions!$G$242,$C354),BA365))),0)</f>
        <v>0</v>
      </c>
      <c r="BC365" s="39">
        <f>+IFERROR(-ABS(IF(EDATE(_xlfn.XLOOKUP(1,$H352:$BE352,$H$4:$BE$4),12*Assumptions!$G$242+12)=BC$4,0,IF(BB352=1,PMT(Assumptions!$G$240,Assumptions!$G$242,$C354),BB365))),0)</f>
        <v>0</v>
      </c>
      <c r="BD365" s="39">
        <f>+IFERROR(-ABS(IF(EDATE(_xlfn.XLOOKUP(1,$H352:$BE352,$H$4:$BE$4),12*Assumptions!$G$242+12)=BD$4,0,IF(BC352=1,PMT(Assumptions!$G$240,Assumptions!$G$242,$C354),BC365))),0)</f>
        <v>0</v>
      </c>
      <c r="BE365" s="39">
        <f>+IFERROR(-ABS(IF(EDATE(_xlfn.XLOOKUP(1,$H352:$BE352,$H$4:$BE$4),12*Assumptions!$G$242+12)=BE$4,0,IF(BD352=1,PMT(Assumptions!$G$240,Assumptions!$G$242,$C354),BD365))),0)</f>
        <v>0</v>
      </c>
      <c r="BF365" s="39">
        <f>+IFERROR(-ABS(IF(EDATE(_xlfn.XLOOKUP(1,$H352:$BE352,$H$4:$BE$4),12*Assumptions!$G$242+12)=BF$4,0,IF(BE352=1,PMT(Assumptions!$G$240,Assumptions!$G$242,$C354),BE365))),0)</f>
        <v>0</v>
      </c>
      <c r="BG365" s="39">
        <f>+IFERROR(-ABS(IF(EDATE(_xlfn.XLOOKUP(1,$H352:$BE352,$H$4:$BE$4),12*Assumptions!$G$242+12)=BG$4,0,IF(BF352=1,PMT(Assumptions!$G$240,Assumptions!$G$242,$C354),BF365))),0)</f>
        <v>0</v>
      </c>
      <c r="BH365" s="39">
        <f>+IFERROR(-ABS(IF(EDATE(_xlfn.XLOOKUP(1,$H352:$BE352,$H$4:$BE$4),12*Assumptions!$G$242+12)=BH$4,0,IF(BG352=1,PMT(Assumptions!$G$240,Assumptions!$G$242,$C354),BG365))),0)</f>
        <v>0</v>
      </c>
      <c r="BI365" s="39">
        <f>+IFERROR(-ABS(IF(EDATE(_xlfn.XLOOKUP(1,$H352:$BE352,$H$4:$BE$4),12*Assumptions!$G$242+12)=BI$4,0,IF(BH352=1,PMT(Assumptions!$G$240,Assumptions!$G$242,$C354),BH365))),0)</f>
        <v>0</v>
      </c>
      <c r="BJ365" s="39">
        <f>+IFERROR(-ABS(IF(EDATE(_xlfn.XLOOKUP(1,$H352:$BE352,$H$4:$BE$4),12*Assumptions!$G$242+12)=BJ$4,0,IF(BI352=1,PMT(Assumptions!$G$240,Assumptions!$G$242,$C354),BI365))),0)</f>
        <v>0</v>
      </c>
      <c r="BK365" s="39">
        <f>+IFERROR(-ABS(IF(EDATE(_xlfn.XLOOKUP(1,$H352:$BE352,$H$4:$BE$4),12*Assumptions!$G$242+12)=BK$4,0,IF(BJ352=1,PMT(Assumptions!$G$240,Assumptions!$G$242,$C354),BJ365))),0)</f>
        <v>0</v>
      </c>
      <c r="BL365" s="39">
        <f>+IFERROR(-ABS(IF(EDATE(_xlfn.XLOOKUP(1,$H352:$BE352,$H$4:$BE$4),12*Assumptions!$G$242+12)=BL$4,0,IF(BK352=1,PMT(Assumptions!$G$240,Assumptions!$G$242,$C354),BK365))),0)</f>
        <v>0</v>
      </c>
      <c r="BM365" s="39">
        <f>+IFERROR(-ABS(IF(EDATE(_xlfn.XLOOKUP(1,$H352:$BE352,$H$4:$BE$4),12*Assumptions!$G$242+12)=BM$4,0,IF(BL352=1,PMT(Assumptions!$G$240,Assumptions!$G$242,$C354),BL365))),0)</f>
        <v>0</v>
      </c>
      <c r="BN365" s="39">
        <f>+IFERROR(-ABS(IF(EDATE(_xlfn.XLOOKUP(1,$H352:$BE352,$H$4:$BE$4),12*Assumptions!$G$242+12)=BN$4,0,IF(BM352=1,PMT(Assumptions!$G$240,Assumptions!$G$242,$C354),BM365))),0)</f>
        <v>0</v>
      </c>
      <c r="BO365" s="39">
        <f>+IFERROR(-ABS(IF(EDATE(_xlfn.XLOOKUP(1,$H352:$BE352,$H$4:$BE$4),12*Assumptions!$G$242+12)=BO$4,0,IF(BN352=1,PMT(Assumptions!$G$240,Assumptions!$G$242,$C354),BN365))),0)</f>
        <v>0</v>
      </c>
      <c r="BP365" s="39">
        <f>+IFERROR(-ABS(IF(EDATE(_xlfn.XLOOKUP(1,$H352:$BE352,$H$4:$BE$4),12*Assumptions!$G$242+12)=BP$4,0,IF(BO352=1,PMT(Assumptions!$G$240,Assumptions!$G$242,$C354),BO365))),0)</f>
        <v>0</v>
      </c>
      <c r="BQ365" s="39">
        <f>+IFERROR(-ABS(IF(EDATE(_xlfn.XLOOKUP(1,$H352:$BE352,$H$4:$BE$4),12*Assumptions!$G$242+12)=BQ$4,0,IF(BP352=1,PMT(Assumptions!$G$240,Assumptions!$G$242,$C354),BP365))),0)</f>
        <v>0</v>
      </c>
      <c r="BR365" s="39">
        <f>+IFERROR(-ABS(IF(EDATE(_xlfn.XLOOKUP(1,$H352:$BE352,$H$4:$BE$4),12*Assumptions!$G$242+12)=BR$4,0,IF(BQ352=1,PMT(Assumptions!$G$240,Assumptions!$G$242,$C354),BQ365))),0)</f>
        <v>0</v>
      </c>
      <c r="BS365" s="39">
        <f>+IFERROR(-ABS(IF(EDATE(_xlfn.XLOOKUP(1,$H352:$BE352,$H$4:$BE$4),12*Assumptions!$G$242+12)=BS$4,0,IF(BR352=1,PMT(Assumptions!$G$240,Assumptions!$G$242,$C354),BR365))),0)</f>
        <v>0</v>
      </c>
      <c r="BT365" s="39">
        <f>+IFERROR(-ABS(IF(EDATE(_xlfn.XLOOKUP(1,$H352:$BE352,$H$4:$BE$4),12*Assumptions!$G$242+12)=BT$4,0,IF(BS352=1,PMT(Assumptions!$G$240,Assumptions!$G$242,$C354),BS365))),0)</f>
        <v>0</v>
      </c>
      <c r="BU365" s="39">
        <f>+IFERROR(-ABS(IF(EDATE(_xlfn.XLOOKUP(1,$H352:$BE352,$H$4:$BE$4),12*Assumptions!$G$242+12)=BU$4,0,IF(BT352=1,PMT(Assumptions!$G$240,Assumptions!$G$242,$C354),BT365))),0)</f>
        <v>0</v>
      </c>
      <c r="BV365" s="39">
        <f>+IFERROR(-ABS(IF(EDATE(_xlfn.XLOOKUP(1,$H352:$BE352,$H$4:$BE$4),12*Assumptions!$G$242+12)=BV$4,0,IF(BU352=1,PMT(Assumptions!$G$240,Assumptions!$G$242,$C354),BU365))),0)</f>
        <v>0</v>
      </c>
      <c r="BW365" s="39">
        <f>+IFERROR(-ABS(IF(EDATE(_xlfn.XLOOKUP(1,$H352:$BE352,$H$4:$BE$4),12*Assumptions!$G$242+12)=BW$4,0,IF(BV352=1,PMT(Assumptions!$G$240,Assumptions!$G$242,$C354),BV365))),0)</f>
        <v>0</v>
      </c>
      <c r="BX365" s="39">
        <f>+IFERROR(-ABS(IF(EDATE(_xlfn.XLOOKUP(1,$H352:$BE352,$H$4:$BE$4),12*Assumptions!$G$242+12)=BX$4,0,IF(BW352=1,PMT(Assumptions!$G$240,Assumptions!$G$242,$C354),BW365))),0)</f>
        <v>0</v>
      </c>
      <c r="BY365" s="39">
        <f>+IFERROR(-ABS(IF(EDATE(_xlfn.XLOOKUP(1,$H352:$BE352,$H$4:$BE$4),12*Assumptions!$G$242+12)=BY$4,0,IF(BX352=1,PMT(Assumptions!$G$240,Assumptions!$G$242,$C354),BX365))),0)</f>
        <v>0</v>
      </c>
    </row>
    <row r="366" spans="3:77" outlineLevel="1">
      <c r="E366" s="24" t="s">
        <v>516</v>
      </c>
      <c r="F366" s="80" t="str">
        <f>+Assumptions!$G$8</f>
        <v>USD</v>
      </c>
      <c r="G366" s="24"/>
      <c r="H366" s="39">
        <f>+IFERROR(-ABS(IF(EDATE(_xlfn.XLOOKUP(1,$H353:$BE353,$H$4:$BE$4),12*Assumptions!$G$242+12)=H$4,0,IF(G353=1,PMT(Assumptions!$G$240,Assumptions!$G$242,$C355),G366))),0)</f>
        <v>0</v>
      </c>
      <c r="I366" s="39">
        <f>+IFERROR(-ABS(IF(EDATE(_xlfn.XLOOKUP(1,$H353:$BE353,$H$4:$BE$4),12*Assumptions!$G$242+12)=I$4,0,IF(H353=1,PMT(Assumptions!$G$240,Assumptions!$G$242,$C355),H366))),0)</f>
        <v>0</v>
      </c>
      <c r="J366" s="39">
        <f>+IFERROR(-ABS(IF(EDATE(_xlfn.XLOOKUP(1,$H353:$BE353,$H$4:$BE$4),12*Assumptions!$G$242+12)=J$4,0,IF(I353=1,PMT(Assumptions!$G$240,Assumptions!$G$242,$C355),I366))),0)</f>
        <v>0</v>
      </c>
      <c r="K366" s="39">
        <f>+IFERROR(-ABS(IF(EDATE(_xlfn.XLOOKUP(1,$H353:$BE353,$H$4:$BE$4),12*Assumptions!$G$242+12)=K$4,0,IF(J353=1,PMT(Assumptions!$G$240,Assumptions!$G$242,$C355),J366))),0)</f>
        <v>0</v>
      </c>
      <c r="L366" s="39">
        <f>+IFERROR(-ABS(IF(EDATE(_xlfn.XLOOKUP(1,$H353:$BE353,$H$4:$BE$4),12*Assumptions!$G$242+12)=L$4,0,IF(K353=1,PMT(Assumptions!$G$240,Assumptions!$G$242,$C355),K366))),0)</f>
        <v>0</v>
      </c>
      <c r="M366" s="39">
        <f>+IFERROR(-ABS(IF(EDATE(_xlfn.XLOOKUP(1,$H353:$BE353,$H$4:$BE$4),12*Assumptions!$G$242+12)=M$4,0,IF(L353=1,PMT(Assumptions!$G$240,Assumptions!$G$242,$C355),L366))),0)</f>
        <v>0</v>
      </c>
      <c r="N366" s="39">
        <f>+IFERROR(-ABS(IF(EDATE(_xlfn.XLOOKUP(1,$H353:$BE353,$H$4:$BE$4),12*Assumptions!$G$242+12)=N$4,0,IF(M353=1,PMT(Assumptions!$G$240,Assumptions!$G$242,$C355),M366))),0)</f>
        <v>0</v>
      </c>
      <c r="O366" s="39">
        <f>+IFERROR(-ABS(IF(EDATE(_xlfn.XLOOKUP(1,$H353:$BE353,$H$4:$BE$4),12*Assumptions!$G$242+12)=O$4,0,IF(N353=1,PMT(Assumptions!$G$240,Assumptions!$G$242,$C355),N366))),0)</f>
        <v>0</v>
      </c>
      <c r="P366" s="39">
        <f>+IFERROR(-ABS(IF(EDATE(_xlfn.XLOOKUP(1,$H353:$BE353,$H$4:$BE$4),12*Assumptions!$G$242+12)=P$4,0,IF(O353=1,PMT(Assumptions!$G$240,Assumptions!$G$242,$C355),O366))),0)</f>
        <v>0</v>
      </c>
      <c r="Q366" s="39">
        <f>+IFERROR(-ABS(IF(EDATE(_xlfn.XLOOKUP(1,$H353:$BE353,$H$4:$BE$4),12*Assumptions!$G$242+12)=Q$4,0,IF(P353=1,PMT(Assumptions!$G$240,Assumptions!$G$242,$C355),P366))),0)</f>
        <v>0</v>
      </c>
      <c r="R366" s="39">
        <f>+IFERROR(-ABS(IF(EDATE(_xlfn.XLOOKUP(1,$H353:$BE353,$H$4:$BE$4),12*Assumptions!$G$242+12)=R$4,0,IF(Q353=1,PMT(Assumptions!$G$240,Assumptions!$G$242,$C355),Q366))),0)</f>
        <v>0</v>
      </c>
      <c r="S366" s="39">
        <f>+IFERROR(-ABS(IF(EDATE(_xlfn.XLOOKUP(1,$H353:$BE353,$H$4:$BE$4),12*Assumptions!$G$242+12)=S$4,0,IF(R353=1,PMT(Assumptions!$G$240,Assumptions!$G$242,$C355),R366))),0)</f>
        <v>0</v>
      </c>
      <c r="T366" s="39">
        <f>+IFERROR(-ABS(IF(EDATE(_xlfn.XLOOKUP(1,$H353:$BE353,$H$4:$BE$4),12*Assumptions!$G$242+12)=T$4,0,IF(S353=1,PMT(Assumptions!$G$240,Assumptions!$G$242,$C355),S366))),0)</f>
        <v>0</v>
      </c>
      <c r="U366" s="39">
        <f>+IFERROR(-ABS(IF(EDATE(_xlfn.XLOOKUP(1,$H353:$BE353,$H$4:$BE$4),12*Assumptions!$G$242+12)=U$4,0,IF(T353=1,PMT(Assumptions!$G$240,Assumptions!$G$242,$C355),T366))),0)</f>
        <v>0</v>
      </c>
      <c r="V366" s="39">
        <f>+IFERROR(-ABS(IF(EDATE(_xlfn.XLOOKUP(1,$H353:$BE353,$H$4:$BE$4),12*Assumptions!$G$242+12)=V$4,0,IF(U353=1,PMT(Assumptions!$G$240,Assumptions!$G$242,$C355),U366))),0)</f>
        <v>0</v>
      </c>
      <c r="W366" s="39">
        <f>+IFERROR(-ABS(IF(EDATE(_xlfn.XLOOKUP(1,$H353:$BE353,$H$4:$BE$4),12*Assumptions!$G$242+12)=W$4,0,IF(V353=1,PMT(Assumptions!$G$240,Assumptions!$G$242,$C355),V366))),0)</f>
        <v>0</v>
      </c>
      <c r="X366" s="39">
        <f>+IFERROR(-ABS(IF(EDATE(_xlfn.XLOOKUP(1,$H353:$BE353,$H$4:$BE$4),12*Assumptions!$G$242+12)=X$4,0,IF(W353=1,PMT(Assumptions!$G$240,Assumptions!$G$242,$C355),W366))),0)</f>
        <v>0</v>
      </c>
      <c r="Y366" s="39">
        <f>+IFERROR(-ABS(IF(EDATE(_xlfn.XLOOKUP(1,$H353:$BE353,$H$4:$BE$4),12*Assumptions!$G$242+12)=Y$4,0,IF(X353=1,PMT(Assumptions!$G$240,Assumptions!$G$242,$C355),X366))),0)</f>
        <v>0</v>
      </c>
      <c r="Z366" s="39">
        <f>+IFERROR(-ABS(IF(EDATE(_xlfn.XLOOKUP(1,$H353:$BE353,$H$4:$BE$4),12*Assumptions!$G$242+12)=Z$4,0,IF(Y353=1,PMT(Assumptions!$G$240,Assumptions!$G$242,$C355),Y366))),0)</f>
        <v>0</v>
      </c>
      <c r="AA366" s="39">
        <f>+IFERROR(-ABS(IF(EDATE(_xlfn.XLOOKUP(1,$H353:$BE353,$H$4:$BE$4),12*Assumptions!$G$242+12)=AA$4,0,IF(Z353=1,PMT(Assumptions!$G$240,Assumptions!$G$242,$C355),Z366))),0)</f>
        <v>0</v>
      </c>
      <c r="AB366" s="39">
        <f>+IFERROR(-ABS(IF(EDATE(_xlfn.XLOOKUP(1,$H353:$BE353,$H$4:$BE$4),12*Assumptions!$G$242+12)=AB$4,0,IF(AA353=1,PMT(Assumptions!$G$240,Assumptions!$G$242,$C355),AA366))),0)</f>
        <v>0</v>
      </c>
      <c r="AC366" s="39">
        <f>+IFERROR(-ABS(IF(EDATE(_xlfn.XLOOKUP(1,$H353:$BE353,$H$4:$BE$4),12*Assumptions!$G$242+12)=AC$4,0,IF(AB353=1,PMT(Assumptions!$G$240,Assumptions!$G$242,$C355),AB366))),0)</f>
        <v>0</v>
      </c>
      <c r="AD366" s="39">
        <f>+IFERROR(-ABS(IF(EDATE(_xlfn.XLOOKUP(1,$H353:$BE353,$H$4:$BE$4),12*Assumptions!$G$242+12)=AD$4,0,IF(AC353=1,PMT(Assumptions!$G$240,Assumptions!$G$242,$C355),AC366))),0)</f>
        <v>0</v>
      </c>
      <c r="AE366" s="39">
        <f>+IFERROR(-ABS(IF(EDATE(_xlfn.XLOOKUP(1,$H353:$BE353,$H$4:$BE$4),12*Assumptions!$G$242+12)=AE$4,0,IF(AD353=1,PMT(Assumptions!$G$240,Assumptions!$G$242,$C355),AD366))),0)</f>
        <v>0</v>
      </c>
      <c r="AF366" s="39">
        <f>+IFERROR(-ABS(IF(EDATE(_xlfn.XLOOKUP(1,$H353:$BE353,$H$4:$BE$4),12*Assumptions!$G$242+12)=AF$4,0,IF(AE353=1,PMT(Assumptions!$G$240,Assumptions!$G$242,$C355),AE366))),0)</f>
        <v>0</v>
      </c>
      <c r="AG366" s="39">
        <f>+IFERROR(-ABS(IF(EDATE(_xlfn.XLOOKUP(1,$H353:$BE353,$H$4:$BE$4),12*Assumptions!$G$242+12)=AG$4,0,IF(AF353=1,PMT(Assumptions!$G$240,Assumptions!$G$242,$C355),AF366))),0)</f>
        <v>0</v>
      </c>
      <c r="AH366" s="39">
        <f>+IFERROR(-ABS(IF(EDATE(_xlfn.XLOOKUP(1,$H353:$BE353,$H$4:$BE$4),12*Assumptions!$G$242+12)=AH$4,0,IF(AG353=1,PMT(Assumptions!$G$240,Assumptions!$G$242,$C355),AG366))),0)</f>
        <v>0</v>
      </c>
      <c r="AI366" s="39">
        <f>+IFERROR(-ABS(IF(EDATE(_xlfn.XLOOKUP(1,$H353:$BE353,$H$4:$BE$4),12*Assumptions!$G$242+12)=AI$4,0,IF(AH353=1,PMT(Assumptions!$G$240,Assumptions!$G$242,$C355),AH366))),0)</f>
        <v>0</v>
      </c>
      <c r="AJ366" s="39">
        <f>+IFERROR(-ABS(IF(EDATE(_xlfn.XLOOKUP(1,$H353:$BE353,$H$4:$BE$4),12*Assumptions!$G$242+12)=AJ$4,0,IF(AI353=1,PMT(Assumptions!$G$240,Assumptions!$G$242,$C355),AI366))),0)</f>
        <v>0</v>
      </c>
      <c r="AK366" s="39">
        <f>+IFERROR(-ABS(IF(EDATE(_xlfn.XLOOKUP(1,$H353:$BE353,$H$4:$BE$4),12*Assumptions!$G$242+12)=AK$4,0,IF(AJ353=1,PMT(Assumptions!$G$240,Assumptions!$G$242,$C355),AJ366))),0)</f>
        <v>0</v>
      </c>
      <c r="AL366" s="39">
        <f>+IFERROR(-ABS(IF(EDATE(_xlfn.XLOOKUP(1,$H353:$BE353,$H$4:$BE$4),12*Assumptions!$G$242+12)=AL$4,0,IF(AK353=1,PMT(Assumptions!$G$240,Assumptions!$G$242,$C355),AK366))),0)</f>
        <v>0</v>
      </c>
      <c r="AM366" s="39">
        <f>+IFERROR(-ABS(IF(EDATE(_xlfn.XLOOKUP(1,$H353:$BE353,$H$4:$BE$4),12*Assumptions!$G$242+12)=AM$4,0,IF(AL353=1,PMT(Assumptions!$G$240,Assumptions!$G$242,$C355),AL366))),0)</f>
        <v>0</v>
      </c>
      <c r="AN366" s="39">
        <f>+IFERROR(-ABS(IF(EDATE(_xlfn.XLOOKUP(1,$H353:$BE353,$H$4:$BE$4),12*Assumptions!$G$242+12)=AN$4,0,IF(AM353=1,PMT(Assumptions!$G$240,Assumptions!$G$242,$C355),AM366))),0)</f>
        <v>0</v>
      </c>
      <c r="AO366" s="39">
        <f>+IFERROR(-ABS(IF(EDATE(_xlfn.XLOOKUP(1,$H353:$BE353,$H$4:$BE$4),12*Assumptions!$G$242+12)=AO$4,0,IF(AN353=1,PMT(Assumptions!$G$240,Assumptions!$G$242,$C355),AN366))),0)</f>
        <v>0</v>
      </c>
      <c r="AP366" s="39">
        <f>+IFERROR(-ABS(IF(EDATE(_xlfn.XLOOKUP(1,$H353:$BE353,$H$4:$BE$4),12*Assumptions!$G$242+12)=AP$4,0,IF(AO353=1,PMT(Assumptions!$G$240,Assumptions!$G$242,$C355),AO366))),0)</f>
        <v>0</v>
      </c>
      <c r="AQ366" s="39">
        <f>+IFERROR(-ABS(IF(EDATE(_xlfn.XLOOKUP(1,$H353:$BE353,$H$4:$BE$4),12*Assumptions!$G$242+12)=AQ$4,0,IF(AP353=1,PMT(Assumptions!$G$240,Assumptions!$G$242,$C355),AP366))),0)</f>
        <v>0</v>
      </c>
      <c r="AR366" s="39">
        <f>+IFERROR(-ABS(IF(EDATE(_xlfn.XLOOKUP(1,$H353:$BE353,$H$4:$BE$4),12*Assumptions!$G$242+12)=AR$4,0,IF(AQ353=1,PMT(Assumptions!$G$240,Assumptions!$G$242,$C355),AQ366))),0)</f>
        <v>0</v>
      </c>
      <c r="AS366" s="39">
        <f>+IFERROR(-ABS(IF(EDATE(_xlfn.XLOOKUP(1,$H353:$BE353,$H$4:$BE$4),12*Assumptions!$G$242+12)=AS$4,0,IF(AR353=1,PMT(Assumptions!$G$240,Assumptions!$G$242,$C355),AR366))),0)</f>
        <v>0</v>
      </c>
      <c r="AT366" s="39">
        <f>+IFERROR(-ABS(IF(EDATE(_xlfn.XLOOKUP(1,$H353:$BE353,$H$4:$BE$4),12*Assumptions!$G$242+12)=AT$4,0,IF(AS353=1,PMT(Assumptions!$G$240,Assumptions!$G$242,$C355),AS366))),0)</f>
        <v>0</v>
      </c>
      <c r="AU366" s="39">
        <f>+IFERROR(-ABS(IF(EDATE(_xlfn.XLOOKUP(1,$H353:$BE353,$H$4:$BE$4),12*Assumptions!$G$242+12)=AU$4,0,IF(AT353=1,PMT(Assumptions!$G$240,Assumptions!$G$242,$C355),AT366))),0)</f>
        <v>0</v>
      </c>
      <c r="AV366" s="39">
        <f>+IFERROR(-ABS(IF(EDATE(_xlfn.XLOOKUP(1,$H353:$BE353,$H$4:$BE$4),12*Assumptions!$G$242+12)=AV$4,0,IF(AU353=1,PMT(Assumptions!$G$240,Assumptions!$G$242,$C355),AU366))),0)</f>
        <v>0</v>
      </c>
      <c r="AW366" s="39">
        <f>+IFERROR(-ABS(IF(EDATE(_xlfn.XLOOKUP(1,$H353:$BE353,$H$4:$BE$4),12*Assumptions!$G$242+12)=AW$4,0,IF(AV353=1,PMT(Assumptions!$G$240,Assumptions!$G$242,$C355),AV366))),0)</f>
        <v>0</v>
      </c>
      <c r="AX366" s="39">
        <f>+IFERROR(-ABS(IF(EDATE(_xlfn.XLOOKUP(1,$H353:$BE353,$H$4:$BE$4),12*Assumptions!$G$242+12)=AX$4,0,IF(AW353=1,PMT(Assumptions!$G$240,Assumptions!$G$242,$C355),AW366))),0)</f>
        <v>0</v>
      </c>
      <c r="AY366" s="39">
        <f>+IFERROR(-ABS(IF(EDATE(_xlfn.XLOOKUP(1,$H353:$BE353,$H$4:$BE$4),12*Assumptions!$G$242+12)=AY$4,0,IF(AX353=1,PMT(Assumptions!$G$240,Assumptions!$G$242,$C355),AX366))),0)</f>
        <v>0</v>
      </c>
      <c r="AZ366" s="39">
        <f>+IFERROR(-ABS(IF(EDATE(_xlfn.XLOOKUP(1,$H353:$BE353,$H$4:$BE$4),12*Assumptions!$G$242+12)=AZ$4,0,IF(AY353=1,PMT(Assumptions!$G$240,Assumptions!$G$242,$C355),AY366))),0)</f>
        <v>0</v>
      </c>
      <c r="BA366" s="39">
        <f>+IFERROR(-ABS(IF(EDATE(_xlfn.XLOOKUP(1,$H353:$BE353,$H$4:$BE$4),12*Assumptions!$G$242+12)=BA$4,0,IF(AZ353=1,PMT(Assumptions!$G$240,Assumptions!$G$242,$C355),AZ366))),0)</f>
        <v>0</v>
      </c>
      <c r="BB366" s="39">
        <f>+IFERROR(-ABS(IF(EDATE(_xlfn.XLOOKUP(1,$H353:$BE353,$H$4:$BE$4),12*Assumptions!$G$242+12)=BB$4,0,IF(BA353=1,PMT(Assumptions!$G$240,Assumptions!$G$242,$C355),BA366))),0)</f>
        <v>0</v>
      </c>
      <c r="BC366" s="39">
        <f>+IFERROR(-ABS(IF(EDATE(_xlfn.XLOOKUP(1,$H353:$BE353,$H$4:$BE$4),12*Assumptions!$G$242+12)=BC$4,0,IF(BB353=1,PMT(Assumptions!$G$240,Assumptions!$G$242,$C355),BB366))),0)</f>
        <v>0</v>
      </c>
      <c r="BD366" s="39">
        <f>+IFERROR(-ABS(IF(EDATE(_xlfn.XLOOKUP(1,$H353:$BE353,$H$4:$BE$4),12*Assumptions!$G$242+12)=BD$4,0,IF(BC353=1,PMT(Assumptions!$G$240,Assumptions!$G$242,$C355),BC366))),0)</f>
        <v>0</v>
      </c>
      <c r="BE366" s="39">
        <f>+IFERROR(-ABS(IF(EDATE(_xlfn.XLOOKUP(1,$H353:$BE353,$H$4:$BE$4),12*Assumptions!$G$242+12)=BE$4,0,IF(BD353=1,PMT(Assumptions!$G$240,Assumptions!$G$242,$C355),BD366))),0)</f>
        <v>0</v>
      </c>
      <c r="BF366" s="39">
        <f>+IFERROR(-ABS(IF(EDATE(_xlfn.XLOOKUP(1,$H353:$BE353,$H$4:$BE$4),12*Assumptions!$G$242+12)=BF$4,0,IF(BE353=1,PMT(Assumptions!$G$240,Assumptions!$G$242,$C355),BE366))),0)</f>
        <v>0</v>
      </c>
      <c r="BG366" s="39">
        <f>+IFERROR(-ABS(IF(EDATE(_xlfn.XLOOKUP(1,$H353:$BE353,$H$4:$BE$4),12*Assumptions!$G$242+12)=BG$4,0,IF(BF353=1,PMT(Assumptions!$G$240,Assumptions!$G$242,$C355),BF366))),0)</f>
        <v>0</v>
      </c>
      <c r="BH366" s="39">
        <f>+IFERROR(-ABS(IF(EDATE(_xlfn.XLOOKUP(1,$H353:$BE353,$H$4:$BE$4),12*Assumptions!$G$242+12)=BH$4,0,IF(BG353=1,PMT(Assumptions!$G$240,Assumptions!$G$242,$C355),BG366))),0)</f>
        <v>0</v>
      </c>
      <c r="BI366" s="39">
        <f>+IFERROR(-ABS(IF(EDATE(_xlfn.XLOOKUP(1,$H353:$BE353,$H$4:$BE$4),12*Assumptions!$G$242+12)=BI$4,0,IF(BH353=1,PMT(Assumptions!$G$240,Assumptions!$G$242,$C355),BH366))),0)</f>
        <v>0</v>
      </c>
      <c r="BJ366" s="39">
        <f>+IFERROR(-ABS(IF(EDATE(_xlfn.XLOOKUP(1,$H353:$BE353,$H$4:$BE$4),12*Assumptions!$G$242+12)=BJ$4,0,IF(BI353=1,PMT(Assumptions!$G$240,Assumptions!$G$242,$C355),BI366))),0)</f>
        <v>0</v>
      </c>
      <c r="BK366" s="39">
        <f>+IFERROR(-ABS(IF(EDATE(_xlfn.XLOOKUP(1,$H353:$BE353,$H$4:$BE$4),12*Assumptions!$G$242+12)=BK$4,0,IF(BJ353=1,PMT(Assumptions!$G$240,Assumptions!$G$242,$C355),BJ366))),0)</f>
        <v>0</v>
      </c>
      <c r="BL366" s="39">
        <f>+IFERROR(-ABS(IF(EDATE(_xlfn.XLOOKUP(1,$H353:$BE353,$H$4:$BE$4),12*Assumptions!$G$242+12)=BL$4,0,IF(BK353=1,PMT(Assumptions!$G$240,Assumptions!$G$242,$C355),BK366))),0)</f>
        <v>0</v>
      </c>
      <c r="BM366" s="39">
        <f>+IFERROR(-ABS(IF(EDATE(_xlfn.XLOOKUP(1,$H353:$BE353,$H$4:$BE$4),12*Assumptions!$G$242+12)=BM$4,0,IF(BL353=1,PMT(Assumptions!$G$240,Assumptions!$G$242,$C355),BL366))),0)</f>
        <v>0</v>
      </c>
      <c r="BN366" s="39">
        <f>+IFERROR(-ABS(IF(EDATE(_xlfn.XLOOKUP(1,$H353:$BE353,$H$4:$BE$4),12*Assumptions!$G$242+12)=BN$4,0,IF(BM353=1,PMT(Assumptions!$G$240,Assumptions!$G$242,$C355),BM366))),0)</f>
        <v>0</v>
      </c>
      <c r="BO366" s="39">
        <f>+IFERROR(-ABS(IF(EDATE(_xlfn.XLOOKUP(1,$H353:$BE353,$H$4:$BE$4),12*Assumptions!$G$242+12)=BO$4,0,IF(BN353=1,PMT(Assumptions!$G$240,Assumptions!$G$242,$C355),BN366))),0)</f>
        <v>0</v>
      </c>
      <c r="BP366" s="39">
        <f>+IFERROR(-ABS(IF(EDATE(_xlfn.XLOOKUP(1,$H353:$BE353,$H$4:$BE$4),12*Assumptions!$G$242+12)=BP$4,0,IF(BO353=1,PMT(Assumptions!$G$240,Assumptions!$G$242,$C355),BO366))),0)</f>
        <v>0</v>
      </c>
      <c r="BQ366" s="39">
        <f>+IFERROR(-ABS(IF(EDATE(_xlfn.XLOOKUP(1,$H353:$BE353,$H$4:$BE$4),12*Assumptions!$G$242+12)=BQ$4,0,IF(BP353=1,PMT(Assumptions!$G$240,Assumptions!$G$242,$C355),BP366))),0)</f>
        <v>0</v>
      </c>
      <c r="BR366" s="39">
        <f>+IFERROR(-ABS(IF(EDATE(_xlfn.XLOOKUP(1,$H353:$BE353,$H$4:$BE$4),12*Assumptions!$G$242+12)=BR$4,0,IF(BQ353=1,PMT(Assumptions!$G$240,Assumptions!$G$242,$C355),BQ366))),0)</f>
        <v>0</v>
      </c>
      <c r="BS366" s="39">
        <f>+IFERROR(-ABS(IF(EDATE(_xlfn.XLOOKUP(1,$H353:$BE353,$H$4:$BE$4),12*Assumptions!$G$242+12)=BS$4,0,IF(BR353=1,PMT(Assumptions!$G$240,Assumptions!$G$242,$C355),BR366))),0)</f>
        <v>0</v>
      </c>
      <c r="BT366" s="39">
        <f>+IFERROR(-ABS(IF(EDATE(_xlfn.XLOOKUP(1,$H353:$BE353,$H$4:$BE$4),12*Assumptions!$G$242+12)=BT$4,0,IF(BS353=1,PMT(Assumptions!$G$240,Assumptions!$G$242,$C355),BS366))),0)</f>
        <v>0</v>
      </c>
      <c r="BU366" s="39">
        <f>+IFERROR(-ABS(IF(EDATE(_xlfn.XLOOKUP(1,$H353:$BE353,$H$4:$BE$4),12*Assumptions!$G$242+12)=BU$4,0,IF(BT353=1,PMT(Assumptions!$G$240,Assumptions!$G$242,$C355),BT366))),0)</f>
        <v>0</v>
      </c>
      <c r="BV366" s="39">
        <f>+IFERROR(-ABS(IF(EDATE(_xlfn.XLOOKUP(1,$H353:$BE353,$H$4:$BE$4),12*Assumptions!$G$242+12)=BV$4,0,IF(BU353=1,PMT(Assumptions!$G$240,Assumptions!$G$242,$C355),BU366))),0)</f>
        <v>0</v>
      </c>
      <c r="BW366" s="39">
        <f>+IFERROR(-ABS(IF(EDATE(_xlfn.XLOOKUP(1,$H353:$BE353,$H$4:$BE$4),12*Assumptions!$G$242+12)=BW$4,0,IF(BV353=1,PMT(Assumptions!$G$240,Assumptions!$G$242,$C355),BV366))),0)</f>
        <v>0</v>
      </c>
      <c r="BX366" s="39">
        <f>+IFERROR(-ABS(IF(EDATE(_xlfn.XLOOKUP(1,$H353:$BE353,$H$4:$BE$4),12*Assumptions!$G$242+12)=BX$4,0,IF(BW353=1,PMT(Assumptions!$G$240,Assumptions!$G$242,$C355),BW366))),0)</f>
        <v>0</v>
      </c>
      <c r="BY366" s="39">
        <f>+IFERROR(-ABS(IF(EDATE(_xlfn.XLOOKUP(1,$H353:$BE353,$H$4:$BE$4),12*Assumptions!$G$242+12)=BY$4,0,IF(BX353=1,PMT(Assumptions!$G$240,Assumptions!$G$242,$C355),BX366))),0)</f>
        <v>0</v>
      </c>
    </row>
    <row r="367" spans="3:77" outlineLevel="1">
      <c r="E367" s="24" t="s">
        <v>517</v>
      </c>
      <c r="F367" s="80" t="str">
        <f>+Assumptions!$G$8</f>
        <v>USD</v>
      </c>
      <c r="G367" s="24"/>
      <c r="H367" s="39">
        <f>+IFERROR(-ABS(IF(EDATE(_xlfn.XLOOKUP(1,$H354:$BE354,$H$4:$BE$4),12*Assumptions!$G$242+12)=H$4,0,IF(G354=1,PMT(Assumptions!$G$240,Assumptions!$G$242,$C356),G367))),0)</f>
        <v>0</v>
      </c>
      <c r="I367" s="39">
        <f>+IFERROR(-ABS(IF(EDATE(_xlfn.XLOOKUP(1,$H354:$BE354,$H$4:$BE$4),12*Assumptions!$G$242+12)=I$4,0,IF(H354=1,PMT(Assumptions!$G$240,Assumptions!$G$242,$C356),H367))),0)</f>
        <v>0</v>
      </c>
      <c r="J367" s="39">
        <f>+IFERROR(-ABS(IF(EDATE(_xlfn.XLOOKUP(1,$H354:$BE354,$H$4:$BE$4),12*Assumptions!$G$242+12)=J$4,0,IF(I354=1,PMT(Assumptions!$G$240,Assumptions!$G$242,$C356),I367))),0)</f>
        <v>0</v>
      </c>
      <c r="K367" s="39">
        <f>+IFERROR(-ABS(IF(EDATE(_xlfn.XLOOKUP(1,$H354:$BE354,$H$4:$BE$4),12*Assumptions!$G$242+12)=K$4,0,IF(J354=1,PMT(Assumptions!$G$240,Assumptions!$G$242,$C356),J367))),0)</f>
        <v>0</v>
      </c>
      <c r="L367" s="39">
        <f>+IFERROR(-ABS(IF(EDATE(_xlfn.XLOOKUP(1,$H354:$BE354,$H$4:$BE$4),12*Assumptions!$G$242+12)=L$4,0,IF(K354=1,PMT(Assumptions!$G$240,Assumptions!$G$242,$C356),K367))),0)</f>
        <v>0</v>
      </c>
      <c r="M367" s="39">
        <f>+IFERROR(-ABS(IF(EDATE(_xlfn.XLOOKUP(1,$H354:$BE354,$H$4:$BE$4),12*Assumptions!$G$242+12)=M$4,0,IF(L354=1,PMT(Assumptions!$G$240,Assumptions!$G$242,$C356),L367))),0)</f>
        <v>0</v>
      </c>
      <c r="N367" s="39">
        <f>+IFERROR(-ABS(IF(EDATE(_xlfn.XLOOKUP(1,$H354:$BE354,$H$4:$BE$4),12*Assumptions!$G$242+12)=N$4,0,IF(M354=1,PMT(Assumptions!$G$240,Assumptions!$G$242,$C356),M367))),0)</f>
        <v>0</v>
      </c>
      <c r="O367" s="39">
        <f>+IFERROR(-ABS(IF(EDATE(_xlfn.XLOOKUP(1,$H354:$BE354,$H$4:$BE$4),12*Assumptions!$G$242+12)=O$4,0,IF(N354=1,PMT(Assumptions!$G$240,Assumptions!$G$242,$C356),N367))),0)</f>
        <v>0</v>
      </c>
      <c r="P367" s="39">
        <f>+IFERROR(-ABS(IF(EDATE(_xlfn.XLOOKUP(1,$H354:$BE354,$H$4:$BE$4),12*Assumptions!$G$242+12)=P$4,0,IF(O354=1,PMT(Assumptions!$G$240,Assumptions!$G$242,$C356),O367))),0)</f>
        <v>0</v>
      </c>
      <c r="Q367" s="39">
        <f>+IFERROR(-ABS(IF(EDATE(_xlfn.XLOOKUP(1,$H354:$BE354,$H$4:$BE$4),12*Assumptions!$G$242+12)=Q$4,0,IF(P354=1,PMT(Assumptions!$G$240,Assumptions!$G$242,$C356),P367))),0)</f>
        <v>0</v>
      </c>
      <c r="R367" s="39">
        <f>+IFERROR(-ABS(IF(EDATE(_xlfn.XLOOKUP(1,$H354:$BE354,$H$4:$BE$4),12*Assumptions!$G$242+12)=R$4,0,IF(Q354=1,PMT(Assumptions!$G$240,Assumptions!$G$242,$C356),Q367))),0)</f>
        <v>0</v>
      </c>
      <c r="S367" s="39">
        <f>+IFERROR(-ABS(IF(EDATE(_xlfn.XLOOKUP(1,$H354:$BE354,$H$4:$BE$4),12*Assumptions!$G$242+12)=S$4,0,IF(R354=1,PMT(Assumptions!$G$240,Assumptions!$G$242,$C356),R367))),0)</f>
        <v>0</v>
      </c>
      <c r="T367" s="39">
        <f>+IFERROR(-ABS(IF(EDATE(_xlfn.XLOOKUP(1,$H354:$BE354,$H$4:$BE$4),12*Assumptions!$G$242+12)=T$4,0,IF(S354=1,PMT(Assumptions!$G$240,Assumptions!$G$242,$C356),S367))),0)</f>
        <v>0</v>
      </c>
      <c r="U367" s="39">
        <f>+IFERROR(-ABS(IF(EDATE(_xlfn.XLOOKUP(1,$H354:$BE354,$H$4:$BE$4),12*Assumptions!$G$242+12)=U$4,0,IF(T354=1,PMT(Assumptions!$G$240,Assumptions!$G$242,$C356),T367))),0)</f>
        <v>0</v>
      </c>
      <c r="V367" s="39">
        <f>+IFERROR(-ABS(IF(EDATE(_xlfn.XLOOKUP(1,$H354:$BE354,$H$4:$BE$4),12*Assumptions!$G$242+12)=V$4,0,IF(U354=1,PMT(Assumptions!$G$240,Assumptions!$G$242,$C356),U367))),0)</f>
        <v>0</v>
      </c>
      <c r="W367" s="39">
        <f>+IFERROR(-ABS(IF(EDATE(_xlfn.XLOOKUP(1,$H354:$BE354,$H$4:$BE$4),12*Assumptions!$G$242+12)=W$4,0,IF(V354=1,PMT(Assumptions!$G$240,Assumptions!$G$242,$C356),V367))),0)</f>
        <v>0</v>
      </c>
      <c r="X367" s="39">
        <f>+IFERROR(-ABS(IF(EDATE(_xlfn.XLOOKUP(1,$H354:$BE354,$H$4:$BE$4),12*Assumptions!$G$242+12)=X$4,0,IF(W354=1,PMT(Assumptions!$G$240,Assumptions!$G$242,$C356),W367))),0)</f>
        <v>0</v>
      </c>
      <c r="Y367" s="39">
        <f>+IFERROR(-ABS(IF(EDATE(_xlfn.XLOOKUP(1,$H354:$BE354,$H$4:$BE$4),12*Assumptions!$G$242+12)=Y$4,0,IF(X354=1,PMT(Assumptions!$G$240,Assumptions!$G$242,$C356),X367))),0)</f>
        <v>0</v>
      </c>
      <c r="Z367" s="39">
        <f>+IFERROR(-ABS(IF(EDATE(_xlfn.XLOOKUP(1,$H354:$BE354,$H$4:$BE$4),12*Assumptions!$G$242+12)=Z$4,0,IF(Y354=1,PMT(Assumptions!$G$240,Assumptions!$G$242,$C356),Y367))),0)</f>
        <v>0</v>
      </c>
      <c r="AA367" s="39">
        <f>+IFERROR(-ABS(IF(EDATE(_xlfn.XLOOKUP(1,$H354:$BE354,$H$4:$BE$4),12*Assumptions!$G$242+12)=AA$4,0,IF(Z354=1,PMT(Assumptions!$G$240,Assumptions!$G$242,$C356),Z367))),0)</f>
        <v>0</v>
      </c>
      <c r="AB367" s="39">
        <f>+IFERROR(-ABS(IF(EDATE(_xlfn.XLOOKUP(1,$H354:$BE354,$H$4:$BE$4),12*Assumptions!$G$242+12)=AB$4,0,IF(AA354=1,PMT(Assumptions!$G$240,Assumptions!$G$242,$C356),AA367))),0)</f>
        <v>0</v>
      </c>
      <c r="AC367" s="39">
        <f>+IFERROR(-ABS(IF(EDATE(_xlfn.XLOOKUP(1,$H354:$BE354,$H$4:$BE$4),12*Assumptions!$G$242+12)=AC$4,0,IF(AB354=1,PMT(Assumptions!$G$240,Assumptions!$G$242,$C356),AB367))),0)</f>
        <v>0</v>
      </c>
      <c r="AD367" s="39">
        <f>+IFERROR(-ABS(IF(EDATE(_xlfn.XLOOKUP(1,$H354:$BE354,$H$4:$BE$4),12*Assumptions!$G$242+12)=AD$4,0,IF(AC354=1,PMT(Assumptions!$G$240,Assumptions!$G$242,$C356),AC367))),0)</f>
        <v>0</v>
      </c>
      <c r="AE367" s="39">
        <f>+IFERROR(-ABS(IF(EDATE(_xlfn.XLOOKUP(1,$H354:$BE354,$H$4:$BE$4),12*Assumptions!$G$242+12)=AE$4,0,IF(AD354=1,PMT(Assumptions!$G$240,Assumptions!$G$242,$C356),AD367))),0)</f>
        <v>0</v>
      </c>
      <c r="AF367" s="39">
        <f>+IFERROR(-ABS(IF(EDATE(_xlfn.XLOOKUP(1,$H354:$BE354,$H$4:$BE$4),12*Assumptions!$G$242+12)=AF$4,0,IF(AE354=1,PMT(Assumptions!$G$240,Assumptions!$G$242,$C356),AE367))),0)</f>
        <v>0</v>
      </c>
      <c r="AG367" s="39">
        <f>+IFERROR(-ABS(IF(EDATE(_xlfn.XLOOKUP(1,$H354:$BE354,$H$4:$BE$4),12*Assumptions!$G$242+12)=AG$4,0,IF(AF354=1,PMT(Assumptions!$G$240,Assumptions!$G$242,$C356),AF367))),0)</f>
        <v>0</v>
      </c>
      <c r="AH367" s="39">
        <f>+IFERROR(-ABS(IF(EDATE(_xlfn.XLOOKUP(1,$H354:$BE354,$H$4:$BE$4),12*Assumptions!$G$242+12)=AH$4,0,IF(AG354=1,PMT(Assumptions!$G$240,Assumptions!$G$242,$C356),AG367))),0)</f>
        <v>0</v>
      </c>
      <c r="AI367" s="39">
        <f>+IFERROR(-ABS(IF(EDATE(_xlfn.XLOOKUP(1,$H354:$BE354,$H$4:$BE$4),12*Assumptions!$G$242+12)=AI$4,0,IF(AH354=1,PMT(Assumptions!$G$240,Assumptions!$G$242,$C356),AH367))),0)</f>
        <v>0</v>
      </c>
      <c r="AJ367" s="39">
        <f>+IFERROR(-ABS(IF(EDATE(_xlfn.XLOOKUP(1,$H354:$BE354,$H$4:$BE$4),12*Assumptions!$G$242+12)=AJ$4,0,IF(AI354=1,PMT(Assumptions!$G$240,Assumptions!$G$242,$C356),AI367))),0)</f>
        <v>0</v>
      </c>
      <c r="AK367" s="39">
        <f>+IFERROR(-ABS(IF(EDATE(_xlfn.XLOOKUP(1,$H354:$BE354,$H$4:$BE$4),12*Assumptions!$G$242+12)=AK$4,0,IF(AJ354=1,PMT(Assumptions!$G$240,Assumptions!$G$242,$C356),AJ367))),0)</f>
        <v>0</v>
      </c>
      <c r="AL367" s="39">
        <f>+IFERROR(-ABS(IF(EDATE(_xlfn.XLOOKUP(1,$H354:$BE354,$H$4:$BE$4),12*Assumptions!$G$242+12)=AL$4,0,IF(AK354=1,PMT(Assumptions!$G$240,Assumptions!$G$242,$C356),AK367))),0)</f>
        <v>0</v>
      </c>
      <c r="AM367" s="39">
        <f>+IFERROR(-ABS(IF(EDATE(_xlfn.XLOOKUP(1,$H354:$BE354,$H$4:$BE$4),12*Assumptions!$G$242+12)=AM$4,0,IF(AL354=1,PMT(Assumptions!$G$240,Assumptions!$G$242,$C356),AL367))),0)</f>
        <v>0</v>
      </c>
      <c r="AN367" s="39">
        <f>+IFERROR(-ABS(IF(EDATE(_xlfn.XLOOKUP(1,$H354:$BE354,$H$4:$BE$4),12*Assumptions!$G$242+12)=AN$4,0,IF(AM354=1,PMT(Assumptions!$G$240,Assumptions!$G$242,$C356),AM367))),0)</f>
        <v>0</v>
      </c>
      <c r="AO367" s="39">
        <f>+IFERROR(-ABS(IF(EDATE(_xlfn.XLOOKUP(1,$H354:$BE354,$H$4:$BE$4),12*Assumptions!$G$242+12)=AO$4,0,IF(AN354=1,PMT(Assumptions!$G$240,Assumptions!$G$242,$C356),AN367))),0)</f>
        <v>0</v>
      </c>
      <c r="AP367" s="39">
        <f>+IFERROR(-ABS(IF(EDATE(_xlfn.XLOOKUP(1,$H354:$BE354,$H$4:$BE$4),12*Assumptions!$G$242+12)=AP$4,0,IF(AO354=1,PMT(Assumptions!$G$240,Assumptions!$G$242,$C356),AO367))),0)</f>
        <v>0</v>
      </c>
      <c r="AQ367" s="39">
        <f>+IFERROR(-ABS(IF(EDATE(_xlfn.XLOOKUP(1,$H354:$BE354,$H$4:$BE$4),12*Assumptions!$G$242+12)=AQ$4,0,IF(AP354=1,PMT(Assumptions!$G$240,Assumptions!$G$242,$C356),AP367))),0)</f>
        <v>0</v>
      </c>
      <c r="AR367" s="39">
        <f>+IFERROR(-ABS(IF(EDATE(_xlfn.XLOOKUP(1,$H354:$BE354,$H$4:$BE$4),12*Assumptions!$G$242+12)=AR$4,0,IF(AQ354=1,PMT(Assumptions!$G$240,Assumptions!$G$242,$C356),AQ367))),0)</f>
        <v>0</v>
      </c>
      <c r="AS367" s="39">
        <f>+IFERROR(-ABS(IF(EDATE(_xlfn.XLOOKUP(1,$H354:$BE354,$H$4:$BE$4),12*Assumptions!$G$242+12)=AS$4,0,IF(AR354=1,PMT(Assumptions!$G$240,Assumptions!$G$242,$C356),AR367))),0)</f>
        <v>0</v>
      </c>
      <c r="AT367" s="39">
        <f>+IFERROR(-ABS(IF(EDATE(_xlfn.XLOOKUP(1,$H354:$BE354,$H$4:$BE$4),12*Assumptions!$G$242+12)=AT$4,0,IF(AS354=1,PMT(Assumptions!$G$240,Assumptions!$G$242,$C356),AS367))),0)</f>
        <v>0</v>
      </c>
      <c r="AU367" s="39">
        <f>+IFERROR(-ABS(IF(EDATE(_xlfn.XLOOKUP(1,$H354:$BE354,$H$4:$BE$4),12*Assumptions!$G$242+12)=AU$4,0,IF(AT354=1,PMT(Assumptions!$G$240,Assumptions!$G$242,$C356),AT367))),0)</f>
        <v>0</v>
      </c>
      <c r="AV367" s="39">
        <f>+IFERROR(-ABS(IF(EDATE(_xlfn.XLOOKUP(1,$H354:$BE354,$H$4:$BE$4),12*Assumptions!$G$242+12)=AV$4,0,IF(AU354=1,PMT(Assumptions!$G$240,Assumptions!$G$242,$C356),AU367))),0)</f>
        <v>0</v>
      </c>
      <c r="AW367" s="39">
        <f>+IFERROR(-ABS(IF(EDATE(_xlfn.XLOOKUP(1,$H354:$BE354,$H$4:$BE$4),12*Assumptions!$G$242+12)=AW$4,0,IF(AV354=1,PMT(Assumptions!$G$240,Assumptions!$G$242,$C356),AV367))),0)</f>
        <v>0</v>
      </c>
      <c r="AX367" s="39">
        <f>+IFERROR(-ABS(IF(EDATE(_xlfn.XLOOKUP(1,$H354:$BE354,$H$4:$BE$4),12*Assumptions!$G$242+12)=AX$4,0,IF(AW354=1,PMT(Assumptions!$G$240,Assumptions!$G$242,$C356),AW367))),0)</f>
        <v>0</v>
      </c>
      <c r="AY367" s="39">
        <f>+IFERROR(-ABS(IF(EDATE(_xlfn.XLOOKUP(1,$H354:$BE354,$H$4:$BE$4),12*Assumptions!$G$242+12)=AY$4,0,IF(AX354=1,PMT(Assumptions!$G$240,Assumptions!$G$242,$C356),AX367))),0)</f>
        <v>0</v>
      </c>
      <c r="AZ367" s="39">
        <f>+IFERROR(-ABS(IF(EDATE(_xlfn.XLOOKUP(1,$H354:$BE354,$H$4:$BE$4),12*Assumptions!$G$242+12)=AZ$4,0,IF(AY354=1,PMT(Assumptions!$G$240,Assumptions!$G$242,$C356),AY367))),0)</f>
        <v>0</v>
      </c>
      <c r="BA367" s="39">
        <f>+IFERROR(-ABS(IF(EDATE(_xlfn.XLOOKUP(1,$H354:$BE354,$H$4:$BE$4),12*Assumptions!$G$242+12)=BA$4,0,IF(AZ354=1,PMT(Assumptions!$G$240,Assumptions!$G$242,$C356),AZ367))),0)</f>
        <v>0</v>
      </c>
      <c r="BB367" s="39">
        <f>+IFERROR(-ABS(IF(EDATE(_xlfn.XLOOKUP(1,$H354:$BE354,$H$4:$BE$4),12*Assumptions!$G$242+12)=BB$4,0,IF(BA354=1,PMT(Assumptions!$G$240,Assumptions!$G$242,$C356),BA367))),0)</f>
        <v>0</v>
      </c>
      <c r="BC367" s="39">
        <f>+IFERROR(-ABS(IF(EDATE(_xlfn.XLOOKUP(1,$H354:$BE354,$H$4:$BE$4),12*Assumptions!$G$242+12)=BC$4,0,IF(BB354=1,PMT(Assumptions!$G$240,Assumptions!$G$242,$C356),BB367))),0)</f>
        <v>0</v>
      </c>
      <c r="BD367" s="39">
        <f>+IFERROR(-ABS(IF(EDATE(_xlfn.XLOOKUP(1,$H354:$BE354,$H$4:$BE$4),12*Assumptions!$G$242+12)=BD$4,0,IF(BC354=1,PMT(Assumptions!$G$240,Assumptions!$G$242,$C356),BC367))),0)</f>
        <v>0</v>
      </c>
      <c r="BE367" s="39">
        <f>+IFERROR(-ABS(IF(EDATE(_xlfn.XLOOKUP(1,$H354:$BE354,$H$4:$BE$4),12*Assumptions!$G$242+12)=BE$4,0,IF(BD354=1,PMT(Assumptions!$G$240,Assumptions!$G$242,$C356),BD367))),0)</f>
        <v>0</v>
      </c>
      <c r="BF367" s="39">
        <f>+IFERROR(-ABS(IF(EDATE(_xlfn.XLOOKUP(1,$H354:$BE354,$H$4:$BE$4),12*Assumptions!$G$242+12)=BF$4,0,IF(BE354=1,PMT(Assumptions!$G$240,Assumptions!$G$242,$C356),BE367))),0)</f>
        <v>0</v>
      </c>
      <c r="BG367" s="39">
        <f>+IFERROR(-ABS(IF(EDATE(_xlfn.XLOOKUP(1,$H354:$BE354,$H$4:$BE$4),12*Assumptions!$G$242+12)=BG$4,0,IF(BF354=1,PMT(Assumptions!$G$240,Assumptions!$G$242,$C356),BF367))),0)</f>
        <v>0</v>
      </c>
      <c r="BH367" s="39">
        <f>+IFERROR(-ABS(IF(EDATE(_xlfn.XLOOKUP(1,$H354:$BE354,$H$4:$BE$4),12*Assumptions!$G$242+12)=BH$4,0,IF(BG354=1,PMT(Assumptions!$G$240,Assumptions!$G$242,$C356),BG367))),0)</f>
        <v>0</v>
      </c>
      <c r="BI367" s="39">
        <f>+IFERROR(-ABS(IF(EDATE(_xlfn.XLOOKUP(1,$H354:$BE354,$H$4:$BE$4),12*Assumptions!$G$242+12)=BI$4,0,IF(BH354=1,PMT(Assumptions!$G$240,Assumptions!$G$242,$C356),BH367))),0)</f>
        <v>0</v>
      </c>
      <c r="BJ367" s="39">
        <f>+IFERROR(-ABS(IF(EDATE(_xlfn.XLOOKUP(1,$H354:$BE354,$H$4:$BE$4),12*Assumptions!$G$242+12)=BJ$4,0,IF(BI354=1,PMT(Assumptions!$G$240,Assumptions!$G$242,$C356),BI367))),0)</f>
        <v>0</v>
      </c>
      <c r="BK367" s="39">
        <f>+IFERROR(-ABS(IF(EDATE(_xlfn.XLOOKUP(1,$H354:$BE354,$H$4:$BE$4),12*Assumptions!$G$242+12)=BK$4,0,IF(BJ354=1,PMT(Assumptions!$G$240,Assumptions!$G$242,$C356),BJ367))),0)</f>
        <v>0</v>
      </c>
      <c r="BL367" s="39">
        <f>+IFERROR(-ABS(IF(EDATE(_xlfn.XLOOKUP(1,$H354:$BE354,$H$4:$BE$4),12*Assumptions!$G$242+12)=BL$4,0,IF(BK354=1,PMT(Assumptions!$G$240,Assumptions!$G$242,$C356),BK367))),0)</f>
        <v>0</v>
      </c>
      <c r="BM367" s="39">
        <f>+IFERROR(-ABS(IF(EDATE(_xlfn.XLOOKUP(1,$H354:$BE354,$H$4:$BE$4),12*Assumptions!$G$242+12)=BM$4,0,IF(BL354=1,PMT(Assumptions!$G$240,Assumptions!$G$242,$C356),BL367))),0)</f>
        <v>0</v>
      </c>
      <c r="BN367" s="39">
        <f>+IFERROR(-ABS(IF(EDATE(_xlfn.XLOOKUP(1,$H354:$BE354,$H$4:$BE$4),12*Assumptions!$G$242+12)=BN$4,0,IF(BM354=1,PMT(Assumptions!$G$240,Assumptions!$G$242,$C356),BM367))),0)</f>
        <v>0</v>
      </c>
      <c r="BO367" s="39">
        <f>+IFERROR(-ABS(IF(EDATE(_xlfn.XLOOKUP(1,$H354:$BE354,$H$4:$BE$4),12*Assumptions!$G$242+12)=BO$4,0,IF(BN354=1,PMT(Assumptions!$G$240,Assumptions!$G$242,$C356),BN367))),0)</f>
        <v>0</v>
      </c>
      <c r="BP367" s="39">
        <f>+IFERROR(-ABS(IF(EDATE(_xlfn.XLOOKUP(1,$H354:$BE354,$H$4:$BE$4),12*Assumptions!$G$242+12)=BP$4,0,IF(BO354=1,PMT(Assumptions!$G$240,Assumptions!$G$242,$C356),BO367))),0)</f>
        <v>0</v>
      </c>
      <c r="BQ367" s="39">
        <f>+IFERROR(-ABS(IF(EDATE(_xlfn.XLOOKUP(1,$H354:$BE354,$H$4:$BE$4),12*Assumptions!$G$242+12)=BQ$4,0,IF(BP354=1,PMT(Assumptions!$G$240,Assumptions!$G$242,$C356),BP367))),0)</f>
        <v>0</v>
      </c>
      <c r="BR367" s="39">
        <f>+IFERROR(-ABS(IF(EDATE(_xlfn.XLOOKUP(1,$H354:$BE354,$H$4:$BE$4),12*Assumptions!$G$242+12)=BR$4,0,IF(BQ354=1,PMT(Assumptions!$G$240,Assumptions!$G$242,$C356),BQ367))),0)</f>
        <v>0</v>
      </c>
      <c r="BS367" s="39">
        <f>+IFERROR(-ABS(IF(EDATE(_xlfn.XLOOKUP(1,$H354:$BE354,$H$4:$BE$4),12*Assumptions!$G$242+12)=BS$4,0,IF(BR354=1,PMT(Assumptions!$G$240,Assumptions!$G$242,$C356),BR367))),0)</f>
        <v>0</v>
      </c>
      <c r="BT367" s="39">
        <f>+IFERROR(-ABS(IF(EDATE(_xlfn.XLOOKUP(1,$H354:$BE354,$H$4:$BE$4),12*Assumptions!$G$242+12)=BT$4,0,IF(BS354=1,PMT(Assumptions!$G$240,Assumptions!$G$242,$C356),BS367))),0)</f>
        <v>0</v>
      </c>
      <c r="BU367" s="39">
        <f>+IFERROR(-ABS(IF(EDATE(_xlfn.XLOOKUP(1,$H354:$BE354,$H$4:$BE$4),12*Assumptions!$G$242+12)=BU$4,0,IF(BT354=1,PMT(Assumptions!$G$240,Assumptions!$G$242,$C356),BT367))),0)</f>
        <v>0</v>
      </c>
      <c r="BV367" s="39">
        <f>+IFERROR(-ABS(IF(EDATE(_xlfn.XLOOKUP(1,$H354:$BE354,$H$4:$BE$4),12*Assumptions!$G$242+12)=BV$4,0,IF(BU354=1,PMT(Assumptions!$G$240,Assumptions!$G$242,$C356),BU367))),0)</f>
        <v>0</v>
      </c>
      <c r="BW367" s="39">
        <f>+IFERROR(-ABS(IF(EDATE(_xlfn.XLOOKUP(1,$H354:$BE354,$H$4:$BE$4),12*Assumptions!$G$242+12)=BW$4,0,IF(BV354=1,PMT(Assumptions!$G$240,Assumptions!$G$242,$C356),BV367))),0)</f>
        <v>0</v>
      </c>
      <c r="BX367" s="39">
        <f>+IFERROR(-ABS(IF(EDATE(_xlfn.XLOOKUP(1,$H354:$BE354,$H$4:$BE$4),12*Assumptions!$G$242+12)=BX$4,0,IF(BW354=1,PMT(Assumptions!$G$240,Assumptions!$G$242,$C356),BW367))),0)</f>
        <v>0</v>
      </c>
      <c r="BY367" s="39">
        <f>+IFERROR(-ABS(IF(EDATE(_xlfn.XLOOKUP(1,$H354:$BE354,$H$4:$BE$4),12*Assumptions!$G$242+12)=BY$4,0,IF(BX354=1,PMT(Assumptions!$G$240,Assumptions!$G$242,$C356),BX367))),0)</f>
        <v>0</v>
      </c>
    </row>
    <row r="368" spans="3:77" outlineLevel="1">
      <c r="E368" s="24" t="s">
        <v>518</v>
      </c>
      <c r="F368" s="80" t="str">
        <f>+Assumptions!$G$8</f>
        <v>USD</v>
      </c>
      <c r="G368" s="24"/>
      <c r="H368" s="39">
        <f>+IFERROR(-ABS(IF(EDATE(_xlfn.XLOOKUP(1,$H355:$BE355,$H$4:$BE$4),12*Assumptions!$G$242+12)=H$4,0,IF(G355=1,PMT(Assumptions!$G$240,Assumptions!$G$242,$C357),G368))),0)</f>
        <v>0</v>
      </c>
      <c r="I368" s="39">
        <f>+IFERROR(-ABS(IF(EDATE(_xlfn.XLOOKUP(1,$H355:$BE355,$H$4:$BE$4),12*Assumptions!$G$242+12)=I$4,0,IF(H355=1,PMT(Assumptions!$G$240,Assumptions!$G$242,$C357),H368))),0)</f>
        <v>0</v>
      </c>
      <c r="J368" s="39">
        <f>+IFERROR(-ABS(IF(EDATE(_xlfn.XLOOKUP(1,$H355:$BE355,$H$4:$BE$4),12*Assumptions!$G$242+12)=J$4,0,IF(I355=1,PMT(Assumptions!$G$240,Assumptions!$G$242,$C357),I368))),0)</f>
        <v>0</v>
      </c>
      <c r="K368" s="39">
        <f>+IFERROR(-ABS(IF(EDATE(_xlfn.XLOOKUP(1,$H355:$BE355,$H$4:$BE$4),12*Assumptions!$G$242+12)=K$4,0,IF(J355=1,PMT(Assumptions!$G$240,Assumptions!$G$242,$C357),J368))),0)</f>
        <v>0</v>
      </c>
      <c r="L368" s="39">
        <f>+IFERROR(-ABS(IF(EDATE(_xlfn.XLOOKUP(1,$H355:$BE355,$H$4:$BE$4),12*Assumptions!$G$242+12)=L$4,0,IF(K355=1,PMT(Assumptions!$G$240,Assumptions!$G$242,$C357),K368))),0)</f>
        <v>0</v>
      </c>
      <c r="M368" s="39">
        <f>+IFERROR(-ABS(IF(EDATE(_xlfn.XLOOKUP(1,$H355:$BE355,$H$4:$BE$4),12*Assumptions!$G$242+12)=M$4,0,IF(L355=1,PMT(Assumptions!$G$240,Assumptions!$G$242,$C357),L368))),0)</f>
        <v>0</v>
      </c>
      <c r="N368" s="39">
        <f>+IFERROR(-ABS(IF(EDATE(_xlfn.XLOOKUP(1,$H355:$BE355,$H$4:$BE$4),12*Assumptions!$G$242+12)=N$4,0,IF(M355=1,PMT(Assumptions!$G$240,Assumptions!$G$242,$C357),M368))),0)</f>
        <v>0</v>
      </c>
      <c r="O368" s="39">
        <f>+IFERROR(-ABS(IF(EDATE(_xlfn.XLOOKUP(1,$H355:$BE355,$H$4:$BE$4),12*Assumptions!$G$242+12)=O$4,0,IF(N355=1,PMT(Assumptions!$G$240,Assumptions!$G$242,$C357),N368))),0)</f>
        <v>0</v>
      </c>
      <c r="P368" s="39">
        <f>+IFERROR(-ABS(IF(EDATE(_xlfn.XLOOKUP(1,$H355:$BE355,$H$4:$BE$4),12*Assumptions!$G$242+12)=P$4,0,IF(O355=1,PMT(Assumptions!$G$240,Assumptions!$G$242,$C357),O368))),0)</f>
        <v>0</v>
      </c>
      <c r="Q368" s="39">
        <f>+IFERROR(-ABS(IF(EDATE(_xlfn.XLOOKUP(1,$H355:$BE355,$H$4:$BE$4),12*Assumptions!$G$242+12)=Q$4,0,IF(P355=1,PMT(Assumptions!$G$240,Assumptions!$G$242,$C357),P368))),0)</f>
        <v>0</v>
      </c>
      <c r="R368" s="39">
        <f>+IFERROR(-ABS(IF(EDATE(_xlfn.XLOOKUP(1,$H355:$BE355,$H$4:$BE$4),12*Assumptions!$G$242+12)=R$4,0,IF(Q355=1,PMT(Assumptions!$G$240,Assumptions!$G$242,$C357),Q368))),0)</f>
        <v>0</v>
      </c>
      <c r="S368" s="39">
        <f>+IFERROR(-ABS(IF(EDATE(_xlfn.XLOOKUP(1,$H355:$BE355,$H$4:$BE$4),12*Assumptions!$G$242+12)=S$4,0,IF(R355=1,PMT(Assumptions!$G$240,Assumptions!$G$242,$C357),R368))),0)</f>
        <v>0</v>
      </c>
      <c r="T368" s="39">
        <f>+IFERROR(-ABS(IF(EDATE(_xlfn.XLOOKUP(1,$H355:$BE355,$H$4:$BE$4),12*Assumptions!$G$242+12)=T$4,0,IF(S355=1,PMT(Assumptions!$G$240,Assumptions!$G$242,$C357),S368))),0)</f>
        <v>0</v>
      </c>
      <c r="U368" s="39">
        <f>+IFERROR(-ABS(IF(EDATE(_xlfn.XLOOKUP(1,$H355:$BE355,$H$4:$BE$4),12*Assumptions!$G$242+12)=U$4,0,IF(T355=1,PMT(Assumptions!$G$240,Assumptions!$G$242,$C357),T368))),0)</f>
        <v>0</v>
      </c>
      <c r="V368" s="39">
        <f>+IFERROR(-ABS(IF(EDATE(_xlfn.XLOOKUP(1,$H355:$BE355,$H$4:$BE$4),12*Assumptions!$G$242+12)=V$4,0,IF(U355=1,PMT(Assumptions!$G$240,Assumptions!$G$242,$C357),U368))),0)</f>
        <v>0</v>
      </c>
      <c r="W368" s="39">
        <f>+IFERROR(-ABS(IF(EDATE(_xlfn.XLOOKUP(1,$H355:$BE355,$H$4:$BE$4),12*Assumptions!$G$242+12)=W$4,0,IF(V355=1,PMT(Assumptions!$G$240,Assumptions!$G$242,$C357),V368))),0)</f>
        <v>0</v>
      </c>
      <c r="X368" s="39">
        <f>+IFERROR(-ABS(IF(EDATE(_xlfn.XLOOKUP(1,$H355:$BE355,$H$4:$BE$4),12*Assumptions!$G$242+12)=X$4,0,IF(W355=1,PMT(Assumptions!$G$240,Assumptions!$G$242,$C357),W368))),0)</f>
        <v>0</v>
      </c>
      <c r="Y368" s="39">
        <f>+IFERROR(-ABS(IF(EDATE(_xlfn.XLOOKUP(1,$H355:$BE355,$H$4:$BE$4),12*Assumptions!$G$242+12)=Y$4,0,IF(X355=1,PMT(Assumptions!$G$240,Assumptions!$G$242,$C357),X368))),0)</f>
        <v>0</v>
      </c>
      <c r="Z368" s="39">
        <f>+IFERROR(-ABS(IF(EDATE(_xlfn.XLOOKUP(1,$H355:$BE355,$H$4:$BE$4),12*Assumptions!$G$242+12)=Z$4,0,IF(Y355=1,PMT(Assumptions!$G$240,Assumptions!$G$242,$C357),Y368))),0)</f>
        <v>0</v>
      </c>
      <c r="AA368" s="39">
        <f>+IFERROR(-ABS(IF(EDATE(_xlfn.XLOOKUP(1,$H355:$BE355,$H$4:$BE$4),12*Assumptions!$G$242+12)=AA$4,0,IF(Z355=1,PMT(Assumptions!$G$240,Assumptions!$G$242,$C357),Z368))),0)</f>
        <v>0</v>
      </c>
      <c r="AB368" s="39">
        <f>+IFERROR(-ABS(IF(EDATE(_xlfn.XLOOKUP(1,$H355:$BE355,$H$4:$BE$4),12*Assumptions!$G$242+12)=AB$4,0,IF(AA355=1,PMT(Assumptions!$G$240,Assumptions!$G$242,$C357),AA368))),0)</f>
        <v>0</v>
      </c>
      <c r="AC368" s="39">
        <f>+IFERROR(-ABS(IF(EDATE(_xlfn.XLOOKUP(1,$H355:$BE355,$H$4:$BE$4),12*Assumptions!$G$242+12)=AC$4,0,IF(AB355=1,PMT(Assumptions!$G$240,Assumptions!$G$242,$C357),AB368))),0)</f>
        <v>0</v>
      </c>
      <c r="AD368" s="39">
        <f>+IFERROR(-ABS(IF(EDATE(_xlfn.XLOOKUP(1,$H355:$BE355,$H$4:$BE$4),12*Assumptions!$G$242+12)=AD$4,0,IF(AC355=1,PMT(Assumptions!$G$240,Assumptions!$G$242,$C357),AC368))),0)</f>
        <v>0</v>
      </c>
      <c r="AE368" s="39">
        <f>+IFERROR(-ABS(IF(EDATE(_xlfn.XLOOKUP(1,$H355:$BE355,$H$4:$BE$4),12*Assumptions!$G$242+12)=AE$4,0,IF(AD355=1,PMT(Assumptions!$G$240,Assumptions!$G$242,$C357),AD368))),0)</f>
        <v>0</v>
      </c>
      <c r="AF368" s="39">
        <f>+IFERROR(-ABS(IF(EDATE(_xlfn.XLOOKUP(1,$H355:$BE355,$H$4:$BE$4),12*Assumptions!$G$242+12)=AF$4,0,IF(AE355=1,PMT(Assumptions!$G$240,Assumptions!$G$242,$C357),AE368))),0)</f>
        <v>0</v>
      </c>
      <c r="AG368" s="39">
        <f>+IFERROR(-ABS(IF(EDATE(_xlfn.XLOOKUP(1,$H355:$BE355,$H$4:$BE$4),12*Assumptions!$G$242+12)=AG$4,0,IF(AF355=1,PMT(Assumptions!$G$240,Assumptions!$G$242,$C357),AF368))),0)</f>
        <v>0</v>
      </c>
      <c r="AH368" s="39">
        <f>+IFERROR(-ABS(IF(EDATE(_xlfn.XLOOKUP(1,$H355:$BE355,$H$4:$BE$4),12*Assumptions!$G$242+12)=AH$4,0,IF(AG355=1,PMT(Assumptions!$G$240,Assumptions!$G$242,$C357),AG368))),0)</f>
        <v>0</v>
      </c>
      <c r="AI368" s="39">
        <f>+IFERROR(-ABS(IF(EDATE(_xlfn.XLOOKUP(1,$H355:$BE355,$H$4:$BE$4),12*Assumptions!$G$242+12)=AI$4,0,IF(AH355=1,PMT(Assumptions!$G$240,Assumptions!$G$242,$C357),AH368))),0)</f>
        <v>0</v>
      </c>
      <c r="AJ368" s="39">
        <f>+IFERROR(-ABS(IF(EDATE(_xlfn.XLOOKUP(1,$H355:$BE355,$H$4:$BE$4),12*Assumptions!$G$242+12)=AJ$4,0,IF(AI355=1,PMT(Assumptions!$G$240,Assumptions!$G$242,$C357),AI368))),0)</f>
        <v>0</v>
      </c>
      <c r="AK368" s="39">
        <f>+IFERROR(-ABS(IF(EDATE(_xlfn.XLOOKUP(1,$H355:$BE355,$H$4:$BE$4),12*Assumptions!$G$242+12)=AK$4,0,IF(AJ355=1,PMT(Assumptions!$G$240,Assumptions!$G$242,$C357),AJ368))),0)</f>
        <v>0</v>
      </c>
      <c r="AL368" s="39">
        <f>+IFERROR(-ABS(IF(EDATE(_xlfn.XLOOKUP(1,$H355:$BE355,$H$4:$BE$4),12*Assumptions!$G$242+12)=AL$4,0,IF(AK355=1,PMT(Assumptions!$G$240,Assumptions!$G$242,$C357),AK368))),0)</f>
        <v>0</v>
      </c>
      <c r="AM368" s="39">
        <f>+IFERROR(-ABS(IF(EDATE(_xlfn.XLOOKUP(1,$H355:$BE355,$H$4:$BE$4),12*Assumptions!$G$242+12)=AM$4,0,IF(AL355=1,PMT(Assumptions!$G$240,Assumptions!$G$242,$C357),AL368))),0)</f>
        <v>0</v>
      </c>
      <c r="AN368" s="39">
        <f>+IFERROR(-ABS(IF(EDATE(_xlfn.XLOOKUP(1,$H355:$BE355,$H$4:$BE$4),12*Assumptions!$G$242+12)=AN$4,0,IF(AM355=1,PMT(Assumptions!$G$240,Assumptions!$G$242,$C357),AM368))),0)</f>
        <v>0</v>
      </c>
      <c r="AO368" s="39">
        <f>+IFERROR(-ABS(IF(EDATE(_xlfn.XLOOKUP(1,$H355:$BE355,$H$4:$BE$4),12*Assumptions!$G$242+12)=AO$4,0,IF(AN355=1,PMT(Assumptions!$G$240,Assumptions!$G$242,$C357),AN368))),0)</f>
        <v>0</v>
      </c>
      <c r="AP368" s="39">
        <f>+IFERROR(-ABS(IF(EDATE(_xlfn.XLOOKUP(1,$H355:$BE355,$H$4:$BE$4),12*Assumptions!$G$242+12)=AP$4,0,IF(AO355=1,PMT(Assumptions!$G$240,Assumptions!$G$242,$C357),AO368))),0)</f>
        <v>0</v>
      </c>
      <c r="AQ368" s="39">
        <f>+IFERROR(-ABS(IF(EDATE(_xlfn.XLOOKUP(1,$H355:$BE355,$H$4:$BE$4),12*Assumptions!$G$242+12)=AQ$4,0,IF(AP355=1,PMT(Assumptions!$G$240,Assumptions!$G$242,$C357),AP368))),0)</f>
        <v>0</v>
      </c>
      <c r="AR368" s="39">
        <f>+IFERROR(-ABS(IF(EDATE(_xlfn.XLOOKUP(1,$H355:$BE355,$H$4:$BE$4),12*Assumptions!$G$242+12)=AR$4,0,IF(AQ355=1,PMT(Assumptions!$G$240,Assumptions!$G$242,$C357),AQ368))),0)</f>
        <v>0</v>
      </c>
      <c r="AS368" s="39">
        <f>+IFERROR(-ABS(IF(EDATE(_xlfn.XLOOKUP(1,$H355:$BE355,$H$4:$BE$4),12*Assumptions!$G$242+12)=AS$4,0,IF(AR355=1,PMT(Assumptions!$G$240,Assumptions!$G$242,$C357),AR368))),0)</f>
        <v>0</v>
      </c>
      <c r="AT368" s="39">
        <f>+IFERROR(-ABS(IF(EDATE(_xlfn.XLOOKUP(1,$H355:$BE355,$H$4:$BE$4),12*Assumptions!$G$242+12)=AT$4,0,IF(AS355=1,PMT(Assumptions!$G$240,Assumptions!$G$242,$C357),AS368))),0)</f>
        <v>0</v>
      </c>
      <c r="AU368" s="39">
        <f>+IFERROR(-ABS(IF(EDATE(_xlfn.XLOOKUP(1,$H355:$BE355,$H$4:$BE$4),12*Assumptions!$G$242+12)=AU$4,0,IF(AT355=1,PMT(Assumptions!$G$240,Assumptions!$G$242,$C357),AT368))),0)</f>
        <v>0</v>
      </c>
      <c r="AV368" s="39">
        <f>+IFERROR(-ABS(IF(EDATE(_xlfn.XLOOKUP(1,$H355:$BE355,$H$4:$BE$4),12*Assumptions!$G$242+12)=AV$4,0,IF(AU355=1,PMT(Assumptions!$G$240,Assumptions!$G$242,$C357),AU368))),0)</f>
        <v>0</v>
      </c>
      <c r="AW368" s="39">
        <f>+IFERROR(-ABS(IF(EDATE(_xlfn.XLOOKUP(1,$H355:$BE355,$H$4:$BE$4),12*Assumptions!$G$242+12)=AW$4,0,IF(AV355=1,PMT(Assumptions!$G$240,Assumptions!$G$242,$C357),AV368))),0)</f>
        <v>0</v>
      </c>
      <c r="AX368" s="39">
        <f>+IFERROR(-ABS(IF(EDATE(_xlfn.XLOOKUP(1,$H355:$BE355,$H$4:$BE$4),12*Assumptions!$G$242+12)=AX$4,0,IF(AW355=1,PMT(Assumptions!$G$240,Assumptions!$G$242,$C357),AW368))),0)</f>
        <v>0</v>
      </c>
      <c r="AY368" s="39">
        <f>+IFERROR(-ABS(IF(EDATE(_xlfn.XLOOKUP(1,$H355:$BE355,$H$4:$BE$4),12*Assumptions!$G$242+12)=AY$4,0,IF(AX355=1,PMT(Assumptions!$G$240,Assumptions!$G$242,$C357),AX368))),0)</f>
        <v>0</v>
      </c>
      <c r="AZ368" s="39">
        <f>+IFERROR(-ABS(IF(EDATE(_xlfn.XLOOKUP(1,$H355:$BE355,$H$4:$BE$4),12*Assumptions!$G$242+12)=AZ$4,0,IF(AY355=1,PMT(Assumptions!$G$240,Assumptions!$G$242,$C357),AY368))),0)</f>
        <v>0</v>
      </c>
      <c r="BA368" s="39">
        <f>+IFERROR(-ABS(IF(EDATE(_xlfn.XLOOKUP(1,$H355:$BE355,$H$4:$BE$4),12*Assumptions!$G$242+12)=BA$4,0,IF(AZ355=1,PMT(Assumptions!$G$240,Assumptions!$G$242,$C357),AZ368))),0)</f>
        <v>0</v>
      </c>
      <c r="BB368" s="39">
        <f>+IFERROR(-ABS(IF(EDATE(_xlfn.XLOOKUP(1,$H355:$BE355,$H$4:$BE$4),12*Assumptions!$G$242+12)=BB$4,0,IF(BA355=1,PMT(Assumptions!$G$240,Assumptions!$G$242,$C357),BA368))),0)</f>
        <v>0</v>
      </c>
      <c r="BC368" s="39">
        <f>+IFERROR(-ABS(IF(EDATE(_xlfn.XLOOKUP(1,$H355:$BE355,$H$4:$BE$4),12*Assumptions!$G$242+12)=BC$4,0,IF(BB355=1,PMT(Assumptions!$G$240,Assumptions!$G$242,$C357),BB368))),0)</f>
        <v>0</v>
      </c>
      <c r="BD368" s="39">
        <f>+IFERROR(-ABS(IF(EDATE(_xlfn.XLOOKUP(1,$H355:$BE355,$H$4:$BE$4),12*Assumptions!$G$242+12)=BD$4,0,IF(BC355=1,PMT(Assumptions!$G$240,Assumptions!$G$242,$C357),BC368))),0)</f>
        <v>0</v>
      </c>
      <c r="BE368" s="39">
        <f>+IFERROR(-ABS(IF(EDATE(_xlfn.XLOOKUP(1,$H355:$BE355,$H$4:$BE$4),12*Assumptions!$G$242+12)=BE$4,0,IF(BD355=1,PMT(Assumptions!$G$240,Assumptions!$G$242,$C357),BD368))),0)</f>
        <v>0</v>
      </c>
      <c r="BF368" s="39">
        <f>+IFERROR(-ABS(IF(EDATE(_xlfn.XLOOKUP(1,$H355:$BE355,$H$4:$BE$4),12*Assumptions!$G$242+12)=BF$4,0,IF(BE355=1,PMT(Assumptions!$G$240,Assumptions!$G$242,$C357),BE368))),0)</f>
        <v>0</v>
      </c>
      <c r="BG368" s="39">
        <f>+IFERROR(-ABS(IF(EDATE(_xlfn.XLOOKUP(1,$H355:$BE355,$H$4:$BE$4),12*Assumptions!$G$242+12)=BG$4,0,IF(BF355=1,PMT(Assumptions!$G$240,Assumptions!$G$242,$C357),BF368))),0)</f>
        <v>0</v>
      </c>
      <c r="BH368" s="39">
        <f>+IFERROR(-ABS(IF(EDATE(_xlfn.XLOOKUP(1,$H355:$BE355,$H$4:$BE$4),12*Assumptions!$G$242+12)=BH$4,0,IF(BG355=1,PMT(Assumptions!$G$240,Assumptions!$G$242,$C357),BG368))),0)</f>
        <v>0</v>
      </c>
      <c r="BI368" s="39">
        <f>+IFERROR(-ABS(IF(EDATE(_xlfn.XLOOKUP(1,$H355:$BE355,$H$4:$BE$4),12*Assumptions!$G$242+12)=BI$4,0,IF(BH355=1,PMT(Assumptions!$G$240,Assumptions!$G$242,$C357),BH368))),0)</f>
        <v>0</v>
      </c>
      <c r="BJ368" s="39">
        <f>+IFERROR(-ABS(IF(EDATE(_xlfn.XLOOKUP(1,$H355:$BE355,$H$4:$BE$4),12*Assumptions!$G$242+12)=BJ$4,0,IF(BI355=1,PMT(Assumptions!$G$240,Assumptions!$G$242,$C357),BI368))),0)</f>
        <v>0</v>
      </c>
      <c r="BK368" s="39">
        <f>+IFERROR(-ABS(IF(EDATE(_xlfn.XLOOKUP(1,$H355:$BE355,$H$4:$BE$4),12*Assumptions!$G$242+12)=BK$4,0,IF(BJ355=1,PMT(Assumptions!$G$240,Assumptions!$G$242,$C357),BJ368))),0)</f>
        <v>0</v>
      </c>
      <c r="BL368" s="39">
        <f>+IFERROR(-ABS(IF(EDATE(_xlfn.XLOOKUP(1,$H355:$BE355,$H$4:$BE$4),12*Assumptions!$G$242+12)=BL$4,0,IF(BK355=1,PMT(Assumptions!$G$240,Assumptions!$G$242,$C357),BK368))),0)</f>
        <v>0</v>
      </c>
      <c r="BM368" s="39">
        <f>+IFERROR(-ABS(IF(EDATE(_xlfn.XLOOKUP(1,$H355:$BE355,$H$4:$BE$4),12*Assumptions!$G$242+12)=BM$4,0,IF(BL355=1,PMT(Assumptions!$G$240,Assumptions!$G$242,$C357),BL368))),0)</f>
        <v>0</v>
      </c>
      <c r="BN368" s="39">
        <f>+IFERROR(-ABS(IF(EDATE(_xlfn.XLOOKUP(1,$H355:$BE355,$H$4:$BE$4),12*Assumptions!$G$242+12)=BN$4,0,IF(BM355=1,PMT(Assumptions!$G$240,Assumptions!$G$242,$C357),BM368))),0)</f>
        <v>0</v>
      </c>
      <c r="BO368" s="39">
        <f>+IFERROR(-ABS(IF(EDATE(_xlfn.XLOOKUP(1,$H355:$BE355,$H$4:$BE$4),12*Assumptions!$G$242+12)=BO$4,0,IF(BN355=1,PMT(Assumptions!$G$240,Assumptions!$G$242,$C357),BN368))),0)</f>
        <v>0</v>
      </c>
      <c r="BP368" s="39">
        <f>+IFERROR(-ABS(IF(EDATE(_xlfn.XLOOKUP(1,$H355:$BE355,$H$4:$BE$4),12*Assumptions!$G$242+12)=BP$4,0,IF(BO355=1,PMT(Assumptions!$G$240,Assumptions!$G$242,$C357),BO368))),0)</f>
        <v>0</v>
      </c>
      <c r="BQ368" s="39">
        <f>+IFERROR(-ABS(IF(EDATE(_xlfn.XLOOKUP(1,$H355:$BE355,$H$4:$BE$4),12*Assumptions!$G$242+12)=BQ$4,0,IF(BP355=1,PMT(Assumptions!$G$240,Assumptions!$G$242,$C357),BP368))),0)</f>
        <v>0</v>
      </c>
      <c r="BR368" s="39">
        <f>+IFERROR(-ABS(IF(EDATE(_xlfn.XLOOKUP(1,$H355:$BE355,$H$4:$BE$4),12*Assumptions!$G$242+12)=BR$4,0,IF(BQ355=1,PMT(Assumptions!$G$240,Assumptions!$G$242,$C357),BQ368))),0)</f>
        <v>0</v>
      </c>
      <c r="BS368" s="39">
        <f>+IFERROR(-ABS(IF(EDATE(_xlfn.XLOOKUP(1,$H355:$BE355,$H$4:$BE$4),12*Assumptions!$G$242+12)=BS$4,0,IF(BR355=1,PMT(Assumptions!$G$240,Assumptions!$G$242,$C357),BR368))),0)</f>
        <v>0</v>
      </c>
      <c r="BT368" s="39">
        <f>+IFERROR(-ABS(IF(EDATE(_xlfn.XLOOKUP(1,$H355:$BE355,$H$4:$BE$4),12*Assumptions!$G$242+12)=BT$4,0,IF(BS355=1,PMT(Assumptions!$G$240,Assumptions!$G$242,$C357),BS368))),0)</f>
        <v>0</v>
      </c>
      <c r="BU368" s="39">
        <f>+IFERROR(-ABS(IF(EDATE(_xlfn.XLOOKUP(1,$H355:$BE355,$H$4:$BE$4),12*Assumptions!$G$242+12)=BU$4,0,IF(BT355=1,PMT(Assumptions!$G$240,Assumptions!$G$242,$C357),BT368))),0)</f>
        <v>0</v>
      </c>
      <c r="BV368" s="39">
        <f>+IFERROR(-ABS(IF(EDATE(_xlfn.XLOOKUP(1,$H355:$BE355,$H$4:$BE$4),12*Assumptions!$G$242+12)=BV$4,0,IF(BU355=1,PMT(Assumptions!$G$240,Assumptions!$G$242,$C357),BU368))),0)</f>
        <v>0</v>
      </c>
      <c r="BW368" s="39">
        <f>+IFERROR(-ABS(IF(EDATE(_xlfn.XLOOKUP(1,$H355:$BE355,$H$4:$BE$4),12*Assumptions!$G$242+12)=BW$4,0,IF(BV355=1,PMT(Assumptions!$G$240,Assumptions!$G$242,$C357),BV368))),0)</f>
        <v>0</v>
      </c>
      <c r="BX368" s="39">
        <f>+IFERROR(-ABS(IF(EDATE(_xlfn.XLOOKUP(1,$H355:$BE355,$H$4:$BE$4),12*Assumptions!$G$242+12)=BX$4,0,IF(BW355=1,PMT(Assumptions!$G$240,Assumptions!$G$242,$C357),BW368))),0)</f>
        <v>0</v>
      </c>
      <c r="BY368" s="39">
        <f>+IFERROR(-ABS(IF(EDATE(_xlfn.XLOOKUP(1,$H355:$BE355,$H$4:$BE$4),12*Assumptions!$G$242+12)=BY$4,0,IF(BX355=1,PMT(Assumptions!$G$240,Assumptions!$G$242,$C357),BX368))),0)</f>
        <v>0</v>
      </c>
    </row>
    <row r="369" spans="2:77" outlineLevel="1">
      <c r="E369" s="24" t="s">
        <v>519</v>
      </c>
      <c r="F369" s="80" t="str">
        <f>+Assumptions!$G$8</f>
        <v>USD</v>
      </c>
      <c r="G369" s="24"/>
      <c r="H369" s="39">
        <f>+IFERROR(-ABS(IF(EDATE(_xlfn.XLOOKUP(1,$H356:$BE356,$H$4:$BE$4),12*Assumptions!$G$242+12)=H$4,0,IF(G356=1,PMT(Assumptions!$G$240,Assumptions!$G$242,$C358),G369))),0)</f>
        <v>0</v>
      </c>
      <c r="I369" s="39">
        <f>+IFERROR(-ABS(IF(EDATE(_xlfn.XLOOKUP(1,$H356:$BE356,$H$4:$BE$4),12*Assumptions!$G$242+12)=I$4,0,IF(H356=1,PMT(Assumptions!$G$240,Assumptions!$G$242,$C358),H369))),0)</f>
        <v>0</v>
      </c>
      <c r="J369" s="39">
        <f>+IFERROR(-ABS(IF(EDATE(_xlfn.XLOOKUP(1,$H356:$BE356,$H$4:$BE$4),12*Assumptions!$G$242+12)=J$4,0,IF(I356=1,PMT(Assumptions!$G$240,Assumptions!$G$242,$C358),I369))),0)</f>
        <v>0</v>
      </c>
      <c r="K369" s="39">
        <f>+IFERROR(-ABS(IF(EDATE(_xlfn.XLOOKUP(1,$H356:$BE356,$H$4:$BE$4),12*Assumptions!$G$242+12)=K$4,0,IF(J356=1,PMT(Assumptions!$G$240,Assumptions!$G$242,$C358),J369))),0)</f>
        <v>0</v>
      </c>
      <c r="L369" s="39">
        <f>+IFERROR(-ABS(IF(EDATE(_xlfn.XLOOKUP(1,$H356:$BE356,$H$4:$BE$4),12*Assumptions!$G$242+12)=L$4,0,IF(K356=1,PMT(Assumptions!$G$240,Assumptions!$G$242,$C358),K369))),0)</f>
        <v>0</v>
      </c>
      <c r="M369" s="39">
        <f>+IFERROR(-ABS(IF(EDATE(_xlfn.XLOOKUP(1,$H356:$BE356,$H$4:$BE$4),12*Assumptions!$G$242+12)=M$4,0,IF(L356=1,PMT(Assumptions!$G$240,Assumptions!$G$242,$C358),L369))),0)</f>
        <v>0</v>
      </c>
      <c r="N369" s="39">
        <f>+IFERROR(-ABS(IF(EDATE(_xlfn.XLOOKUP(1,$H356:$BE356,$H$4:$BE$4),12*Assumptions!$G$242+12)=N$4,0,IF(M356=1,PMT(Assumptions!$G$240,Assumptions!$G$242,$C358),M369))),0)</f>
        <v>0</v>
      </c>
      <c r="O369" s="39">
        <f>+IFERROR(-ABS(IF(EDATE(_xlfn.XLOOKUP(1,$H356:$BE356,$H$4:$BE$4),12*Assumptions!$G$242+12)=O$4,0,IF(N356=1,PMT(Assumptions!$G$240,Assumptions!$G$242,$C358),N369))),0)</f>
        <v>0</v>
      </c>
      <c r="P369" s="39">
        <f>+IFERROR(-ABS(IF(EDATE(_xlfn.XLOOKUP(1,$H356:$BE356,$H$4:$BE$4),12*Assumptions!$G$242+12)=P$4,0,IF(O356=1,PMT(Assumptions!$G$240,Assumptions!$G$242,$C358),O369))),0)</f>
        <v>0</v>
      </c>
      <c r="Q369" s="39">
        <f>+IFERROR(-ABS(IF(EDATE(_xlfn.XLOOKUP(1,$H356:$BE356,$H$4:$BE$4),12*Assumptions!$G$242+12)=Q$4,0,IF(P356=1,PMT(Assumptions!$G$240,Assumptions!$G$242,$C358),P369))),0)</f>
        <v>0</v>
      </c>
      <c r="R369" s="39">
        <f>+IFERROR(-ABS(IF(EDATE(_xlfn.XLOOKUP(1,$H356:$BE356,$H$4:$BE$4),12*Assumptions!$G$242+12)=R$4,0,IF(Q356=1,PMT(Assumptions!$G$240,Assumptions!$G$242,$C358),Q369))),0)</f>
        <v>0</v>
      </c>
      <c r="S369" s="39">
        <f>+IFERROR(-ABS(IF(EDATE(_xlfn.XLOOKUP(1,$H356:$BE356,$H$4:$BE$4),12*Assumptions!$G$242+12)=S$4,0,IF(R356=1,PMT(Assumptions!$G$240,Assumptions!$G$242,$C358),R369))),0)</f>
        <v>0</v>
      </c>
      <c r="T369" s="39">
        <f>+IFERROR(-ABS(IF(EDATE(_xlfn.XLOOKUP(1,$H356:$BE356,$H$4:$BE$4),12*Assumptions!$G$242+12)=T$4,0,IF(S356=1,PMT(Assumptions!$G$240,Assumptions!$G$242,$C358),S369))),0)</f>
        <v>0</v>
      </c>
      <c r="U369" s="39">
        <f>+IFERROR(-ABS(IF(EDATE(_xlfn.XLOOKUP(1,$H356:$BE356,$H$4:$BE$4),12*Assumptions!$G$242+12)=U$4,0,IF(T356=1,PMT(Assumptions!$G$240,Assumptions!$G$242,$C358),T369))),0)</f>
        <v>0</v>
      </c>
      <c r="V369" s="39">
        <f>+IFERROR(-ABS(IF(EDATE(_xlfn.XLOOKUP(1,$H356:$BE356,$H$4:$BE$4),12*Assumptions!$G$242+12)=V$4,0,IF(U356=1,PMT(Assumptions!$G$240,Assumptions!$G$242,$C358),U369))),0)</f>
        <v>0</v>
      </c>
      <c r="W369" s="39">
        <f>+IFERROR(-ABS(IF(EDATE(_xlfn.XLOOKUP(1,$H356:$BE356,$H$4:$BE$4),12*Assumptions!$G$242+12)=W$4,0,IF(V356=1,PMT(Assumptions!$G$240,Assumptions!$G$242,$C358),V369))),0)</f>
        <v>0</v>
      </c>
      <c r="X369" s="39">
        <f>+IFERROR(-ABS(IF(EDATE(_xlfn.XLOOKUP(1,$H356:$BE356,$H$4:$BE$4),12*Assumptions!$G$242+12)=X$4,0,IF(W356=1,PMT(Assumptions!$G$240,Assumptions!$G$242,$C358),W369))),0)</f>
        <v>0</v>
      </c>
      <c r="Y369" s="39">
        <f>+IFERROR(-ABS(IF(EDATE(_xlfn.XLOOKUP(1,$H356:$BE356,$H$4:$BE$4),12*Assumptions!$G$242+12)=Y$4,0,IF(X356=1,PMT(Assumptions!$G$240,Assumptions!$G$242,$C358),X369))),0)</f>
        <v>0</v>
      </c>
      <c r="Z369" s="39">
        <f>+IFERROR(-ABS(IF(EDATE(_xlfn.XLOOKUP(1,$H356:$BE356,$H$4:$BE$4),12*Assumptions!$G$242+12)=Z$4,0,IF(Y356=1,PMT(Assumptions!$G$240,Assumptions!$G$242,$C358),Y369))),0)</f>
        <v>0</v>
      </c>
      <c r="AA369" s="39">
        <f>+IFERROR(-ABS(IF(EDATE(_xlfn.XLOOKUP(1,$H356:$BE356,$H$4:$BE$4),12*Assumptions!$G$242+12)=AA$4,0,IF(Z356=1,PMT(Assumptions!$G$240,Assumptions!$G$242,$C358),Z369))),0)</f>
        <v>0</v>
      </c>
      <c r="AB369" s="39">
        <f>+IFERROR(-ABS(IF(EDATE(_xlfn.XLOOKUP(1,$H356:$BE356,$H$4:$BE$4),12*Assumptions!$G$242+12)=AB$4,0,IF(AA356=1,PMT(Assumptions!$G$240,Assumptions!$G$242,$C358),AA369))),0)</f>
        <v>0</v>
      </c>
      <c r="AC369" s="39">
        <f>+IFERROR(-ABS(IF(EDATE(_xlfn.XLOOKUP(1,$H356:$BE356,$H$4:$BE$4),12*Assumptions!$G$242+12)=AC$4,0,IF(AB356=1,PMT(Assumptions!$G$240,Assumptions!$G$242,$C358),AB369))),0)</f>
        <v>0</v>
      </c>
      <c r="AD369" s="39">
        <f>+IFERROR(-ABS(IF(EDATE(_xlfn.XLOOKUP(1,$H356:$BE356,$H$4:$BE$4),12*Assumptions!$G$242+12)=AD$4,0,IF(AC356=1,PMT(Assumptions!$G$240,Assumptions!$G$242,$C358),AC369))),0)</f>
        <v>0</v>
      </c>
      <c r="AE369" s="39">
        <f>+IFERROR(-ABS(IF(EDATE(_xlfn.XLOOKUP(1,$H356:$BE356,$H$4:$BE$4),12*Assumptions!$G$242+12)=AE$4,0,IF(AD356=1,PMT(Assumptions!$G$240,Assumptions!$G$242,$C358),AD369))),0)</f>
        <v>0</v>
      </c>
      <c r="AF369" s="39">
        <f>+IFERROR(-ABS(IF(EDATE(_xlfn.XLOOKUP(1,$H356:$BE356,$H$4:$BE$4),12*Assumptions!$G$242+12)=AF$4,0,IF(AE356=1,PMT(Assumptions!$G$240,Assumptions!$G$242,$C358),AE369))),0)</f>
        <v>0</v>
      </c>
      <c r="AG369" s="39">
        <f>+IFERROR(-ABS(IF(EDATE(_xlfn.XLOOKUP(1,$H356:$BE356,$H$4:$BE$4),12*Assumptions!$G$242+12)=AG$4,0,IF(AF356=1,PMT(Assumptions!$G$240,Assumptions!$G$242,$C358),AF369))),0)</f>
        <v>0</v>
      </c>
      <c r="AH369" s="39">
        <f>+IFERROR(-ABS(IF(EDATE(_xlfn.XLOOKUP(1,$H356:$BE356,$H$4:$BE$4),12*Assumptions!$G$242+12)=AH$4,0,IF(AG356=1,PMT(Assumptions!$G$240,Assumptions!$G$242,$C358),AG369))),0)</f>
        <v>0</v>
      </c>
      <c r="AI369" s="39">
        <f>+IFERROR(-ABS(IF(EDATE(_xlfn.XLOOKUP(1,$H356:$BE356,$H$4:$BE$4),12*Assumptions!$G$242+12)=AI$4,0,IF(AH356=1,PMT(Assumptions!$G$240,Assumptions!$G$242,$C358),AH369))),0)</f>
        <v>0</v>
      </c>
      <c r="AJ369" s="39">
        <f>+IFERROR(-ABS(IF(EDATE(_xlfn.XLOOKUP(1,$H356:$BE356,$H$4:$BE$4),12*Assumptions!$G$242+12)=AJ$4,0,IF(AI356=1,PMT(Assumptions!$G$240,Assumptions!$G$242,$C358),AI369))),0)</f>
        <v>0</v>
      </c>
      <c r="AK369" s="39">
        <f>+IFERROR(-ABS(IF(EDATE(_xlfn.XLOOKUP(1,$H356:$BE356,$H$4:$BE$4),12*Assumptions!$G$242+12)=AK$4,0,IF(AJ356=1,PMT(Assumptions!$G$240,Assumptions!$G$242,$C358),AJ369))),0)</f>
        <v>0</v>
      </c>
      <c r="AL369" s="39">
        <f>+IFERROR(-ABS(IF(EDATE(_xlfn.XLOOKUP(1,$H356:$BE356,$H$4:$BE$4),12*Assumptions!$G$242+12)=AL$4,0,IF(AK356=1,PMT(Assumptions!$G$240,Assumptions!$G$242,$C358),AK369))),0)</f>
        <v>0</v>
      </c>
      <c r="AM369" s="39">
        <f>+IFERROR(-ABS(IF(EDATE(_xlfn.XLOOKUP(1,$H356:$BE356,$H$4:$BE$4),12*Assumptions!$G$242+12)=AM$4,0,IF(AL356=1,PMT(Assumptions!$G$240,Assumptions!$G$242,$C358),AL369))),0)</f>
        <v>0</v>
      </c>
      <c r="AN369" s="39">
        <f>+IFERROR(-ABS(IF(EDATE(_xlfn.XLOOKUP(1,$H356:$BE356,$H$4:$BE$4),12*Assumptions!$G$242+12)=AN$4,0,IF(AM356=1,PMT(Assumptions!$G$240,Assumptions!$G$242,$C358),AM369))),0)</f>
        <v>0</v>
      </c>
      <c r="AO369" s="39">
        <f>+IFERROR(-ABS(IF(EDATE(_xlfn.XLOOKUP(1,$H356:$BE356,$H$4:$BE$4),12*Assumptions!$G$242+12)=AO$4,0,IF(AN356=1,PMT(Assumptions!$G$240,Assumptions!$G$242,$C358),AN369))),0)</f>
        <v>0</v>
      </c>
      <c r="AP369" s="39">
        <f>+IFERROR(-ABS(IF(EDATE(_xlfn.XLOOKUP(1,$H356:$BE356,$H$4:$BE$4),12*Assumptions!$G$242+12)=AP$4,0,IF(AO356=1,PMT(Assumptions!$G$240,Assumptions!$G$242,$C358),AO369))),0)</f>
        <v>0</v>
      </c>
      <c r="AQ369" s="39">
        <f>+IFERROR(-ABS(IF(EDATE(_xlfn.XLOOKUP(1,$H356:$BE356,$H$4:$BE$4),12*Assumptions!$G$242+12)=AQ$4,0,IF(AP356=1,PMT(Assumptions!$G$240,Assumptions!$G$242,$C358),AP369))),0)</f>
        <v>0</v>
      </c>
      <c r="AR369" s="39">
        <f>+IFERROR(-ABS(IF(EDATE(_xlfn.XLOOKUP(1,$H356:$BE356,$H$4:$BE$4),12*Assumptions!$G$242+12)=AR$4,0,IF(AQ356=1,PMT(Assumptions!$G$240,Assumptions!$G$242,$C358),AQ369))),0)</f>
        <v>0</v>
      </c>
      <c r="AS369" s="39">
        <f>+IFERROR(-ABS(IF(EDATE(_xlfn.XLOOKUP(1,$H356:$BE356,$H$4:$BE$4),12*Assumptions!$G$242+12)=AS$4,0,IF(AR356=1,PMT(Assumptions!$G$240,Assumptions!$G$242,$C358),AR369))),0)</f>
        <v>0</v>
      </c>
      <c r="AT369" s="39">
        <f>+IFERROR(-ABS(IF(EDATE(_xlfn.XLOOKUP(1,$H356:$BE356,$H$4:$BE$4),12*Assumptions!$G$242+12)=AT$4,0,IF(AS356=1,PMT(Assumptions!$G$240,Assumptions!$G$242,$C358),AS369))),0)</f>
        <v>0</v>
      </c>
      <c r="AU369" s="39">
        <f>+IFERROR(-ABS(IF(EDATE(_xlfn.XLOOKUP(1,$H356:$BE356,$H$4:$BE$4),12*Assumptions!$G$242+12)=AU$4,0,IF(AT356=1,PMT(Assumptions!$G$240,Assumptions!$G$242,$C358),AT369))),0)</f>
        <v>0</v>
      </c>
      <c r="AV369" s="39">
        <f>+IFERROR(-ABS(IF(EDATE(_xlfn.XLOOKUP(1,$H356:$BE356,$H$4:$BE$4),12*Assumptions!$G$242+12)=AV$4,0,IF(AU356=1,PMT(Assumptions!$G$240,Assumptions!$G$242,$C358),AU369))),0)</f>
        <v>0</v>
      </c>
      <c r="AW369" s="39">
        <f>+IFERROR(-ABS(IF(EDATE(_xlfn.XLOOKUP(1,$H356:$BE356,$H$4:$BE$4),12*Assumptions!$G$242+12)=AW$4,0,IF(AV356=1,PMT(Assumptions!$G$240,Assumptions!$G$242,$C358),AV369))),0)</f>
        <v>0</v>
      </c>
      <c r="AX369" s="39">
        <f>+IFERROR(-ABS(IF(EDATE(_xlfn.XLOOKUP(1,$H356:$BE356,$H$4:$BE$4),12*Assumptions!$G$242+12)=AX$4,0,IF(AW356=1,PMT(Assumptions!$G$240,Assumptions!$G$242,$C358),AW369))),0)</f>
        <v>0</v>
      </c>
      <c r="AY369" s="39">
        <f>+IFERROR(-ABS(IF(EDATE(_xlfn.XLOOKUP(1,$H356:$BE356,$H$4:$BE$4),12*Assumptions!$G$242+12)=AY$4,0,IF(AX356=1,PMT(Assumptions!$G$240,Assumptions!$G$242,$C358),AX369))),0)</f>
        <v>0</v>
      </c>
      <c r="AZ369" s="39">
        <f>+IFERROR(-ABS(IF(EDATE(_xlfn.XLOOKUP(1,$H356:$BE356,$H$4:$BE$4),12*Assumptions!$G$242+12)=AZ$4,0,IF(AY356=1,PMT(Assumptions!$G$240,Assumptions!$G$242,$C358),AY369))),0)</f>
        <v>0</v>
      </c>
      <c r="BA369" s="39">
        <f>+IFERROR(-ABS(IF(EDATE(_xlfn.XLOOKUP(1,$H356:$BE356,$H$4:$BE$4),12*Assumptions!$G$242+12)=BA$4,0,IF(AZ356=1,PMT(Assumptions!$G$240,Assumptions!$G$242,$C358),AZ369))),0)</f>
        <v>0</v>
      </c>
      <c r="BB369" s="39">
        <f>+IFERROR(-ABS(IF(EDATE(_xlfn.XLOOKUP(1,$H356:$BE356,$H$4:$BE$4),12*Assumptions!$G$242+12)=BB$4,0,IF(BA356=1,PMT(Assumptions!$G$240,Assumptions!$G$242,$C358),BA369))),0)</f>
        <v>0</v>
      </c>
      <c r="BC369" s="39">
        <f>+IFERROR(-ABS(IF(EDATE(_xlfn.XLOOKUP(1,$H356:$BE356,$H$4:$BE$4),12*Assumptions!$G$242+12)=BC$4,0,IF(BB356=1,PMT(Assumptions!$G$240,Assumptions!$G$242,$C358),BB369))),0)</f>
        <v>0</v>
      </c>
      <c r="BD369" s="39">
        <f>+IFERROR(-ABS(IF(EDATE(_xlfn.XLOOKUP(1,$H356:$BE356,$H$4:$BE$4),12*Assumptions!$G$242+12)=BD$4,0,IF(BC356=1,PMT(Assumptions!$G$240,Assumptions!$G$242,$C358),BC369))),0)</f>
        <v>0</v>
      </c>
      <c r="BE369" s="39">
        <f>+IFERROR(-ABS(IF(EDATE(_xlfn.XLOOKUP(1,$H356:$BE356,$H$4:$BE$4),12*Assumptions!$G$242+12)=BE$4,0,IF(BD356=1,PMT(Assumptions!$G$240,Assumptions!$G$242,$C358),BD369))),0)</f>
        <v>0</v>
      </c>
      <c r="BF369" s="39">
        <f>+IFERROR(-ABS(IF(EDATE(_xlfn.XLOOKUP(1,$H356:$BE356,$H$4:$BE$4),12*Assumptions!$G$242+12)=BF$4,0,IF(BE356=1,PMT(Assumptions!$G$240,Assumptions!$G$242,$C358),BE369))),0)</f>
        <v>0</v>
      </c>
      <c r="BG369" s="39">
        <f>+IFERROR(-ABS(IF(EDATE(_xlfn.XLOOKUP(1,$H356:$BE356,$H$4:$BE$4),12*Assumptions!$G$242+12)=BG$4,0,IF(BF356=1,PMT(Assumptions!$G$240,Assumptions!$G$242,$C358),BF369))),0)</f>
        <v>0</v>
      </c>
      <c r="BH369" s="39">
        <f>+IFERROR(-ABS(IF(EDATE(_xlfn.XLOOKUP(1,$H356:$BE356,$H$4:$BE$4),12*Assumptions!$G$242+12)=BH$4,0,IF(BG356=1,PMT(Assumptions!$G$240,Assumptions!$G$242,$C358),BG369))),0)</f>
        <v>0</v>
      </c>
      <c r="BI369" s="39">
        <f>+IFERROR(-ABS(IF(EDATE(_xlfn.XLOOKUP(1,$H356:$BE356,$H$4:$BE$4),12*Assumptions!$G$242+12)=BI$4,0,IF(BH356=1,PMT(Assumptions!$G$240,Assumptions!$G$242,$C358),BH369))),0)</f>
        <v>0</v>
      </c>
      <c r="BJ369" s="39">
        <f>+IFERROR(-ABS(IF(EDATE(_xlfn.XLOOKUP(1,$H356:$BE356,$H$4:$BE$4),12*Assumptions!$G$242+12)=BJ$4,0,IF(BI356=1,PMT(Assumptions!$G$240,Assumptions!$G$242,$C358),BI369))),0)</f>
        <v>0</v>
      </c>
      <c r="BK369" s="39">
        <f>+IFERROR(-ABS(IF(EDATE(_xlfn.XLOOKUP(1,$H356:$BE356,$H$4:$BE$4),12*Assumptions!$G$242+12)=BK$4,0,IF(BJ356=1,PMT(Assumptions!$G$240,Assumptions!$G$242,$C358),BJ369))),0)</f>
        <v>0</v>
      </c>
      <c r="BL369" s="39">
        <f>+IFERROR(-ABS(IF(EDATE(_xlfn.XLOOKUP(1,$H356:$BE356,$H$4:$BE$4),12*Assumptions!$G$242+12)=BL$4,0,IF(BK356=1,PMT(Assumptions!$G$240,Assumptions!$G$242,$C358),BK369))),0)</f>
        <v>0</v>
      </c>
      <c r="BM369" s="39">
        <f>+IFERROR(-ABS(IF(EDATE(_xlfn.XLOOKUP(1,$H356:$BE356,$H$4:$BE$4),12*Assumptions!$G$242+12)=BM$4,0,IF(BL356=1,PMT(Assumptions!$G$240,Assumptions!$G$242,$C358),BL369))),0)</f>
        <v>0</v>
      </c>
      <c r="BN369" s="39">
        <f>+IFERROR(-ABS(IF(EDATE(_xlfn.XLOOKUP(1,$H356:$BE356,$H$4:$BE$4),12*Assumptions!$G$242+12)=BN$4,0,IF(BM356=1,PMT(Assumptions!$G$240,Assumptions!$G$242,$C358),BM369))),0)</f>
        <v>0</v>
      </c>
      <c r="BO369" s="39">
        <f>+IFERROR(-ABS(IF(EDATE(_xlfn.XLOOKUP(1,$H356:$BE356,$H$4:$BE$4),12*Assumptions!$G$242+12)=BO$4,0,IF(BN356=1,PMT(Assumptions!$G$240,Assumptions!$G$242,$C358),BN369))),0)</f>
        <v>0</v>
      </c>
      <c r="BP369" s="39">
        <f>+IFERROR(-ABS(IF(EDATE(_xlfn.XLOOKUP(1,$H356:$BE356,$H$4:$BE$4),12*Assumptions!$G$242+12)=BP$4,0,IF(BO356=1,PMT(Assumptions!$G$240,Assumptions!$G$242,$C358),BO369))),0)</f>
        <v>0</v>
      </c>
      <c r="BQ369" s="39">
        <f>+IFERROR(-ABS(IF(EDATE(_xlfn.XLOOKUP(1,$H356:$BE356,$H$4:$BE$4),12*Assumptions!$G$242+12)=BQ$4,0,IF(BP356=1,PMT(Assumptions!$G$240,Assumptions!$G$242,$C358),BP369))),0)</f>
        <v>0</v>
      </c>
      <c r="BR369" s="39">
        <f>+IFERROR(-ABS(IF(EDATE(_xlfn.XLOOKUP(1,$H356:$BE356,$H$4:$BE$4),12*Assumptions!$G$242+12)=BR$4,0,IF(BQ356=1,PMT(Assumptions!$G$240,Assumptions!$G$242,$C358),BQ369))),0)</f>
        <v>0</v>
      </c>
      <c r="BS369" s="39">
        <f>+IFERROR(-ABS(IF(EDATE(_xlfn.XLOOKUP(1,$H356:$BE356,$H$4:$BE$4),12*Assumptions!$G$242+12)=BS$4,0,IF(BR356=1,PMT(Assumptions!$G$240,Assumptions!$G$242,$C358),BR369))),0)</f>
        <v>0</v>
      </c>
      <c r="BT369" s="39">
        <f>+IFERROR(-ABS(IF(EDATE(_xlfn.XLOOKUP(1,$H356:$BE356,$H$4:$BE$4),12*Assumptions!$G$242+12)=BT$4,0,IF(BS356=1,PMT(Assumptions!$G$240,Assumptions!$G$242,$C358),BS369))),0)</f>
        <v>0</v>
      </c>
      <c r="BU369" s="39">
        <f>+IFERROR(-ABS(IF(EDATE(_xlfn.XLOOKUP(1,$H356:$BE356,$H$4:$BE$4),12*Assumptions!$G$242+12)=BU$4,0,IF(BT356=1,PMT(Assumptions!$G$240,Assumptions!$G$242,$C358),BT369))),0)</f>
        <v>0</v>
      </c>
      <c r="BV369" s="39">
        <f>+IFERROR(-ABS(IF(EDATE(_xlfn.XLOOKUP(1,$H356:$BE356,$H$4:$BE$4),12*Assumptions!$G$242+12)=BV$4,0,IF(BU356=1,PMT(Assumptions!$G$240,Assumptions!$G$242,$C358),BU369))),0)</f>
        <v>0</v>
      </c>
      <c r="BW369" s="39">
        <f>+IFERROR(-ABS(IF(EDATE(_xlfn.XLOOKUP(1,$H356:$BE356,$H$4:$BE$4),12*Assumptions!$G$242+12)=BW$4,0,IF(BV356=1,PMT(Assumptions!$G$240,Assumptions!$G$242,$C358),BV369))),0)</f>
        <v>0</v>
      </c>
      <c r="BX369" s="39">
        <f>+IFERROR(-ABS(IF(EDATE(_xlfn.XLOOKUP(1,$H356:$BE356,$H$4:$BE$4),12*Assumptions!$G$242+12)=BX$4,0,IF(BW356=1,PMT(Assumptions!$G$240,Assumptions!$G$242,$C358),BW369))),0)</f>
        <v>0</v>
      </c>
      <c r="BY369" s="39">
        <f>+IFERROR(-ABS(IF(EDATE(_xlfn.XLOOKUP(1,$H356:$BE356,$H$4:$BE$4),12*Assumptions!$G$242+12)=BY$4,0,IF(BX356=1,PMT(Assumptions!$G$240,Assumptions!$G$242,$C358),BX369))),0)</f>
        <v>0</v>
      </c>
    </row>
    <row r="370" spans="2:77" outlineLevel="1">
      <c r="E370" s="24" t="s">
        <v>520</v>
      </c>
      <c r="F370" s="80" t="str">
        <f>+Assumptions!$G$8</f>
        <v>USD</v>
      </c>
      <c r="G370" s="24"/>
      <c r="H370" s="39">
        <f>+IFERROR(-ABS(IF(EDATE(_xlfn.XLOOKUP(1,$H357:$BE357,$H$4:$BE$4),12*Assumptions!$G$242+12)=H$4,0,IF(G357=1,PMT(Assumptions!$G$240,Assumptions!$G$242,$C359),G370))),0)</f>
        <v>0</v>
      </c>
      <c r="I370" s="39">
        <f>+IFERROR(-ABS(IF(EDATE(_xlfn.XLOOKUP(1,$H357:$BE357,$H$4:$BE$4),12*Assumptions!$G$242+12)=I$4,0,IF(H357=1,PMT(Assumptions!$G$240,Assumptions!$G$242,$C359),H370))),0)</f>
        <v>0</v>
      </c>
      <c r="J370" s="39">
        <f>+IFERROR(-ABS(IF(EDATE(_xlfn.XLOOKUP(1,$H357:$BE357,$H$4:$BE$4),12*Assumptions!$G$242+12)=J$4,0,IF(I357=1,PMT(Assumptions!$G$240,Assumptions!$G$242,$C359),I370))),0)</f>
        <v>0</v>
      </c>
      <c r="K370" s="39">
        <f>+IFERROR(-ABS(IF(EDATE(_xlfn.XLOOKUP(1,$H357:$BE357,$H$4:$BE$4),12*Assumptions!$G$242+12)=K$4,0,IF(J357=1,PMT(Assumptions!$G$240,Assumptions!$G$242,$C359),J370))),0)</f>
        <v>0</v>
      </c>
      <c r="L370" s="39">
        <f>+IFERROR(-ABS(IF(EDATE(_xlfn.XLOOKUP(1,$H357:$BE357,$H$4:$BE$4),12*Assumptions!$G$242+12)=L$4,0,IF(K357=1,PMT(Assumptions!$G$240,Assumptions!$G$242,$C359),K370))),0)</f>
        <v>0</v>
      </c>
      <c r="M370" s="39">
        <f>+IFERROR(-ABS(IF(EDATE(_xlfn.XLOOKUP(1,$H357:$BE357,$H$4:$BE$4),12*Assumptions!$G$242+12)=M$4,0,IF(L357=1,PMT(Assumptions!$G$240,Assumptions!$G$242,$C359),L370))),0)</f>
        <v>0</v>
      </c>
      <c r="N370" s="39">
        <f>+IFERROR(-ABS(IF(EDATE(_xlfn.XLOOKUP(1,$H357:$BE357,$H$4:$BE$4),12*Assumptions!$G$242+12)=N$4,0,IF(M357=1,PMT(Assumptions!$G$240,Assumptions!$G$242,$C359),M370))),0)</f>
        <v>0</v>
      </c>
      <c r="O370" s="39">
        <f>+IFERROR(-ABS(IF(EDATE(_xlfn.XLOOKUP(1,$H357:$BE357,$H$4:$BE$4),12*Assumptions!$G$242+12)=O$4,0,IF(N357=1,PMT(Assumptions!$G$240,Assumptions!$G$242,$C359),N370))),0)</f>
        <v>0</v>
      </c>
      <c r="P370" s="39">
        <f>+IFERROR(-ABS(IF(EDATE(_xlfn.XLOOKUP(1,$H357:$BE357,$H$4:$BE$4),12*Assumptions!$G$242+12)=P$4,0,IF(O357=1,PMT(Assumptions!$G$240,Assumptions!$G$242,$C359),O370))),0)</f>
        <v>0</v>
      </c>
      <c r="Q370" s="39">
        <f>+IFERROR(-ABS(IF(EDATE(_xlfn.XLOOKUP(1,$H357:$BE357,$H$4:$BE$4),12*Assumptions!$G$242+12)=Q$4,0,IF(P357=1,PMT(Assumptions!$G$240,Assumptions!$G$242,$C359),P370))),0)</f>
        <v>0</v>
      </c>
      <c r="R370" s="39">
        <f>+IFERROR(-ABS(IF(EDATE(_xlfn.XLOOKUP(1,$H357:$BE357,$H$4:$BE$4),12*Assumptions!$G$242+12)=R$4,0,IF(Q357=1,PMT(Assumptions!$G$240,Assumptions!$G$242,$C359),Q370))),0)</f>
        <v>0</v>
      </c>
      <c r="S370" s="39">
        <f>+IFERROR(-ABS(IF(EDATE(_xlfn.XLOOKUP(1,$H357:$BE357,$H$4:$BE$4),12*Assumptions!$G$242+12)=S$4,0,IF(R357=1,PMT(Assumptions!$G$240,Assumptions!$G$242,$C359),R370))),0)</f>
        <v>0</v>
      </c>
      <c r="T370" s="39">
        <f>+IFERROR(-ABS(IF(EDATE(_xlfn.XLOOKUP(1,$H357:$BE357,$H$4:$BE$4),12*Assumptions!$G$242+12)=T$4,0,IF(S357=1,PMT(Assumptions!$G$240,Assumptions!$G$242,$C359),S370))),0)</f>
        <v>0</v>
      </c>
      <c r="U370" s="39">
        <f>+IFERROR(-ABS(IF(EDATE(_xlfn.XLOOKUP(1,$H357:$BE357,$H$4:$BE$4),12*Assumptions!$G$242+12)=U$4,0,IF(T357=1,PMT(Assumptions!$G$240,Assumptions!$G$242,$C359),T370))),0)</f>
        <v>0</v>
      </c>
      <c r="V370" s="39">
        <f>+IFERROR(-ABS(IF(EDATE(_xlfn.XLOOKUP(1,$H357:$BE357,$H$4:$BE$4),12*Assumptions!$G$242+12)=V$4,0,IF(U357=1,PMT(Assumptions!$G$240,Assumptions!$G$242,$C359),U370))),0)</f>
        <v>0</v>
      </c>
      <c r="W370" s="39">
        <f>+IFERROR(-ABS(IF(EDATE(_xlfn.XLOOKUP(1,$H357:$BE357,$H$4:$BE$4),12*Assumptions!$G$242+12)=W$4,0,IF(V357=1,PMT(Assumptions!$G$240,Assumptions!$G$242,$C359),V370))),0)</f>
        <v>0</v>
      </c>
      <c r="X370" s="39">
        <f>+IFERROR(-ABS(IF(EDATE(_xlfn.XLOOKUP(1,$H357:$BE357,$H$4:$BE$4),12*Assumptions!$G$242+12)=X$4,0,IF(W357=1,PMT(Assumptions!$G$240,Assumptions!$G$242,$C359),W370))),0)</f>
        <v>0</v>
      </c>
      <c r="Y370" s="39">
        <f>+IFERROR(-ABS(IF(EDATE(_xlfn.XLOOKUP(1,$H357:$BE357,$H$4:$BE$4),12*Assumptions!$G$242+12)=Y$4,0,IF(X357=1,PMT(Assumptions!$G$240,Assumptions!$G$242,$C359),X370))),0)</f>
        <v>0</v>
      </c>
      <c r="Z370" s="39">
        <f>+IFERROR(-ABS(IF(EDATE(_xlfn.XLOOKUP(1,$H357:$BE357,$H$4:$BE$4),12*Assumptions!$G$242+12)=Z$4,0,IF(Y357=1,PMT(Assumptions!$G$240,Assumptions!$G$242,$C359),Y370))),0)</f>
        <v>0</v>
      </c>
      <c r="AA370" s="39">
        <f>+IFERROR(-ABS(IF(EDATE(_xlfn.XLOOKUP(1,$H357:$BE357,$H$4:$BE$4),12*Assumptions!$G$242+12)=AA$4,0,IF(Z357=1,PMT(Assumptions!$G$240,Assumptions!$G$242,$C359),Z370))),0)</f>
        <v>0</v>
      </c>
      <c r="AB370" s="39">
        <f>+IFERROR(-ABS(IF(EDATE(_xlfn.XLOOKUP(1,$H357:$BE357,$H$4:$BE$4),12*Assumptions!$G$242+12)=AB$4,0,IF(AA357=1,PMT(Assumptions!$G$240,Assumptions!$G$242,$C359),AA370))),0)</f>
        <v>0</v>
      </c>
      <c r="AC370" s="39">
        <f>+IFERROR(-ABS(IF(EDATE(_xlfn.XLOOKUP(1,$H357:$BE357,$H$4:$BE$4),12*Assumptions!$G$242+12)=AC$4,0,IF(AB357=1,PMT(Assumptions!$G$240,Assumptions!$G$242,$C359),AB370))),0)</f>
        <v>0</v>
      </c>
      <c r="AD370" s="39">
        <f>+IFERROR(-ABS(IF(EDATE(_xlfn.XLOOKUP(1,$H357:$BE357,$H$4:$BE$4),12*Assumptions!$G$242+12)=AD$4,0,IF(AC357=1,PMT(Assumptions!$G$240,Assumptions!$G$242,$C359),AC370))),0)</f>
        <v>0</v>
      </c>
      <c r="AE370" s="39">
        <f>+IFERROR(-ABS(IF(EDATE(_xlfn.XLOOKUP(1,$H357:$BE357,$H$4:$BE$4),12*Assumptions!$G$242+12)=AE$4,0,IF(AD357=1,PMT(Assumptions!$G$240,Assumptions!$G$242,$C359),AD370))),0)</f>
        <v>0</v>
      </c>
      <c r="AF370" s="39">
        <f>+IFERROR(-ABS(IF(EDATE(_xlfn.XLOOKUP(1,$H357:$BE357,$H$4:$BE$4),12*Assumptions!$G$242+12)=AF$4,0,IF(AE357=1,PMT(Assumptions!$G$240,Assumptions!$G$242,$C359),AE370))),0)</f>
        <v>0</v>
      </c>
      <c r="AG370" s="39">
        <f>+IFERROR(-ABS(IF(EDATE(_xlfn.XLOOKUP(1,$H357:$BE357,$H$4:$BE$4),12*Assumptions!$G$242+12)=AG$4,0,IF(AF357=1,PMT(Assumptions!$G$240,Assumptions!$G$242,$C359),AF370))),0)</f>
        <v>0</v>
      </c>
      <c r="AH370" s="39">
        <f>+IFERROR(-ABS(IF(EDATE(_xlfn.XLOOKUP(1,$H357:$BE357,$H$4:$BE$4),12*Assumptions!$G$242+12)=AH$4,0,IF(AG357=1,PMT(Assumptions!$G$240,Assumptions!$G$242,$C359),AG370))),0)</f>
        <v>0</v>
      </c>
      <c r="AI370" s="39">
        <f>+IFERROR(-ABS(IF(EDATE(_xlfn.XLOOKUP(1,$H357:$BE357,$H$4:$BE$4),12*Assumptions!$G$242+12)=AI$4,0,IF(AH357=1,PMT(Assumptions!$G$240,Assumptions!$G$242,$C359),AH370))),0)</f>
        <v>0</v>
      </c>
      <c r="AJ370" s="39">
        <f>+IFERROR(-ABS(IF(EDATE(_xlfn.XLOOKUP(1,$H357:$BE357,$H$4:$BE$4),12*Assumptions!$G$242+12)=AJ$4,0,IF(AI357=1,PMT(Assumptions!$G$240,Assumptions!$G$242,$C359),AI370))),0)</f>
        <v>0</v>
      </c>
      <c r="AK370" s="39">
        <f>+IFERROR(-ABS(IF(EDATE(_xlfn.XLOOKUP(1,$H357:$BE357,$H$4:$BE$4),12*Assumptions!$G$242+12)=AK$4,0,IF(AJ357=1,PMT(Assumptions!$G$240,Assumptions!$G$242,$C359),AJ370))),0)</f>
        <v>0</v>
      </c>
      <c r="AL370" s="39">
        <f>+IFERROR(-ABS(IF(EDATE(_xlfn.XLOOKUP(1,$H357:$BE357,$H$4:$BE$4),12*Assumptions!$G$242+12)=AL$4,0,IF(AK357=1,PMT(Assumptions!$G$240,Assumptions!$G$242,$C359),AK370))),0)</f>
        <v>0</v>
      </c>
      <c r="AM370" s="39">
        <f>+IFERROR(-ABS(IF(EDATE(_xlfn.XLOOKUP(1,$H357:$BE357,$H$4:$BE$4),12*Assumptions!$G$242+12)=AM$4,0,IF(AL357=1,PMT(Assumptions!$G$240,Assumptions!$G$242,$C359),AL370))),0)</f>
        <v>0</v>
      </c>
      <c r="AN370" s="39">
        <f>+IFERROR(-ABS(IF(EDATE(_xlfn.XLOOKUP(1,$H357:$BE357,$H$4:$BE$4),12*Assumptions!$G$242+12)=AN$4,0,IF(AM357=1,PMT(Assumptions!$G$240,Assumptions!$G$242,$C359),AM370))),0)</f>
        <v>0</v>
      </c>
      <c r="AO370" s="39">
        <f>+IFERROR(-ABS(IF(EDATE(_xlfn.XLOOKUP(1,$H357:$BE357,$H$4:$BE$4),12*Assumptions!$G$242+12)=AO$4,0,IF(AN357=1,PMT(Assumptions!$G$240,Assumptions!$G$242,$C359),AN370))),0)</f>
        <v>0</v>
      </c>
      <c r="AP370" s="39">
        <f>+IFERROR(-ABS(IF(EDATE(_xlfn.XLOOKUP(1,$H357:$BE357,$H$4:$BE$4),12*Assumptions!$G$242+12)=AP$4,0,IF(AO357=1,PMT(Assumptions!$G$240,Assumptions!$G$242,$C359),AO370))),0)</f>
        <v>0</v>
      </c>
      <c r="AQ370" s="39">
        <f>+IFERROR(-ABS(IF(EDATE(_xlfn.XLOOKUP(1,$H357:$BE357,$H$4:$BE$4),12*Assumptions!$G$242+12)=AQ$4,0,IF(AP357=1,PMT(Assumptions!$G$240,Assumptions!$G$242,$C359),AP370))),0)</f>
        <v>0</v>
      </c>
      <c r="AR370" s="39">
        <f>+IFERROR(-ABS(IF(EDATE(_xlfn.XLOOKUP(1,$H357:$BE357,$H$4:$BE$4),12*Assumptions!$G$242+12)=AR$4,0,IF(AQ357=1,PMT(Assumptions!$G$240,Assumptions!$G$242,$C359),AQ370))),0)</f>
        <v>0</v>
      </c>
      <c r="AS370" s="39">
        <f>+IFERROR(-ABS(IF(EDATE(_xlfn.XLOOKUP(1,$H357:$BE357,$H$4:$BE$4),12*Assumptions!$G$242+12)=AS$4,0,IF(AR357=1,PMT(Assumptions!$G$240,Assumptions!$G$242,$C359),AR370))),0)</f>
        <v>0</v>
      </c>
      <c r="AT370" s="39">
        <f>+IFERROR(-ABS(IF(EDATE(_xlfn.XLOOKUP(1,$H357:$BE357,$H$4:$BE$4),12*Assumptions!$G$242+12)=AT$4,0,IF(AS357=1,PMT(Assumptions!$G$240,Assumptions!$G$242,$C359),AS370))),0)</f>
        <v>0</v>
      </c>
      <c r="AU370" s="39">
        <f>+IFERROR(-ABS(IF(EDATE(_xlfn.XLOOKUP(1,$H357:$BE357,$H$4:$BE$4),12*Assumptions!$G$242+12)=AU$4,0,IF(AT357=1,PMT(Assumptions!$G$240,Assumptions!$G$242,$C359),AT370))),0)</f>
        <v>0</v>
      </c>
      <c r="AV370" s="39">
        <f>+IFERROR(-ABS(IF(EDATE(_xlfn.XLOOKUP(1,$H357:$BE357,$H$4:$BE$4),12*Assumptions!$G$242+12)=AV$4,0,IF(AU357=1,PMT(Assumptions!$G$240,Assumptions!$G$242,$C359),AU370))),0)</f>
        <v>0</v>
      </c>
      <c r="AW370" s="39">
        <f>+IFERROR(-ABS(IF(EDATE(_xlfn.XLOOKUP(1,$H357:$BE357,$H$4:$BE$4),12*Assumptions!$G$242+12)=AW$4,0,IF(AV357=1,PMT(Assumptions!$G$240,Assumptions!$G$242,$C359),AV370))),0)</f>
        <v>0</v>
      </c>
      <c r="AX370" s="39">
        <f>+IFERROR(-ABS(IF(EDATE(_xlfn.XLOOKUP(1,$H357:$BE357,$H$4:$BE$4),12*Assumptions!$G$242+12)=AX$4,0,IF(AW357=1,PMT(Assumptions!$G$240,Assumptions!$G$242,$C359),AW370))),0)</f>
        <v>0</v>
      </c>
      <c r="AY370" s="39">
        <f>+IFERROR(-ABS(IF(EDATE(_xlfn.XLOOKUP(1,$H357:$BE357,$H$4:$BE$4),12*Assumptions!$G$242+12)=AY$4,0,IF(AX357=1,PMT(Assumptions!$G$240,Assumptions!$G$242,$C359),AX370))),0)</f>
        <v>0</v>
      </c>
      <c r="AZ370" s="39">
        <f>+IFERROR(-ABS(IF(EDATE(_xlfn.XLOOKUP(1,$H357:$BE357,$H$4:$BE$4),12*Assumptions!$G$242+12)=AZ$4,0,IF(AY357=1,PMT(Assumptions!$G$240,Assumptions!$G$242,$C359),AY370))),0)</f>
        <v>0</v>
      </c>
      <c r="BA370" s="39">
        <f>+IFERROR(-ABS(IF(EDATE(_xlfn.XLOOKUP(1,$H357:$BE357,$H$4:$BE$4),12*Assumptions!$G$242+12)=BA$4,0,IF(AZ357=1,PMT(Assumptions!$G$240,Assumptions!$G$242,$C359),AZ370))),0)</f>
        <v>0</v>
      </c>
      <c r="BB370" s="39">
        <f>+IFERROR(-ABS(IF(EDATE(_xlfn.XLOOKUP(1,$H357:$BE357,$H$4:$BE$4),12*Assumptions!$G$242+12)=BB$4,0,IF(BA357=1,PMT(Assumptions!$G$240,Assumptions!$G$242,$C359),BA370))),0)</f>
        <v>0</v>
      </c>
      <c r="BC370" s="39">
        <f>+IFERROR(-ABS(IF(EDATE(_xlfn.XLOOKUP(1,$H357:$BE357,$H$4:$BE$4),12*Assumptions!$G$242+12)=BC$4,0,IF(BB357=1,PMT(Assumptions!$G$240,Assumptions!$G$242,$C359),BB370))),0)</f>
        <v>0</v>
      </c>
      <c r="BD370" s="39">
        <f>+IFERROR(-ABS(IF(EDATE(_xlfn.XLOOKUP(1,$H357:$BE357,$H$4:$BE$4),12*Assumptions!$G$242+12)=BD$4,0,IF(BC357=1,PMT(Assumptions!$G$240,Assumptions!$G$242,$C359),BC370))),0)</f>
        <v>0</v>
      </c>
      <c r="BE370" s="39">
        <f>+IFERROR(-ABS(IF(EDATE(_xlfn.XLOOKUP(1,$H357:$BE357,$H$4:$BE$4),12*Assumptions!$G$242+12)=BE$4,0,IF(BD357=1,PMT(Assumptions!$G$240,Assumptions!$G$242,$C359),BD370))),0)</f>
        <v>0</v>
      </c>
      <c r="BF370" s="39">
        <f>+IFERROR(-ABS(IF(EDATE(_xlfn.XLOOKUP(1,$H357:$BE357,$H$4:$BE$4),12*Assumptions!$G$242+12)=BF$4,0,IF(BE357=1,PMT(Assumptions!$G$240,Assumptions!$G$242,$C359),BE370))),0)</f>
        <v>0</v>
      </c>
      <c r="BG370" s="39">
        <f>+IFERROR(-ABS(IF(EDATE(_xlfn.XLOOKUP(1,$H357:$BE357,$H$4:$BE$4),12*Assumptions!$G$242+12)=BG$4,0,IF(BF357=1,PMT(Assumptions!$G$240,Assumptions!$G$242,$C359),BF370))),0)</f>
        <v>0</v>
      </c>
      <c r="BH370" s="39">
        <f>+IFERROR(-ABS(IF(EDATE(_xlfn.XLOOKUP(1,$H357:$BE357,$H$4:$BE$4),12*Assumptions!$G$242+12)=BH$4,0,IF(BG357=1,PMT(Assumptions!$G$240,Assumptions!$G$242,$C359),BG370))),0)</f>
        <v>0</v>
      </c>
      <c r="BI370" s="39">
        <f>+IFERROR(-ABS(IF(EDATE(_xlfn.XLOOKUP(1,$H357:$BE357,$H$4:$BE$4),12*Assumptions!$G$242+12)=BI$4,0,IF(BH357=1,PMT(Assumptions!$G$240,Assumptions!$G$242,$C359),BH370))),0)</f>
        <v>0</v>
      </c>
      <c r="BJ370" s="39">
        <f>+IFERROR(-ABS(IF(EDATE(_xlfn.XLOOKUP(1,$H357:$BE357,$H$4:$BE$4),12*Assumptions!$G$242+12)=BJ$4,0,IF(BI357=1,PMT(Assumptions!$G$240,Assumptions!$G$242,$C359),BI370))),0)</f>
        <v>0</v>
      </c>
      <c r="BK370" s="39">
        <f>+IFERROR(-ABS(IF(EDATE(_xlfn.XLOOKUP(1,$H357:$BE357,$H$4:$BE$4),12*Assumptions!$G$242+12)=BK$4,0,IF(BJ357=1,PMT(Assumptions!$G$240,Assumptions!$G$242,$C359),BJ370))),0)</f>
        <v>0</v>
      </c>
      <c r="BL370" s="39">
        <f>+IFERROR(-ABS(IF(EDATE(_xlfn.XLOOKUP(1,$H357:$BE357,$H$4:$BE$4),12*Assumptions!$G$242+12)=BL$4,0,IF(BK357=1,PMT(Assumptions!$G$240,Assumptions!$G$242,$C359),BK370))),0)</f>
        <v>0</v>
      </c>
      <c r="BM370" s="39">
        <f>+IFERROR(-ABS(IF(EDATE(_xlfn.XLOOKUP(1,$H357:$BE357,$H$4:$BE$4),12*Assumptions!$G$242+12)=BM$4,0,IF(BL357=1,PMT(Assumptions!$G$240,Assumptions!$G$242,$C359),BL370))),0)</f>
        <v>0</v>
      </c>
      <c r="BN370" s="39">
        <f>+IFERROR(-ABS(IF(EDATE(_xlfn.XLOOKUP(1,$H357:$BE357,$H$4:$BE$4),12*Assumptions!$G$242+12)=BN$4,0,IF(BM357=1,PMT(Assumptions!$G$240,Assumptions!$G$242,$C359),BM370))),0)</f>
        <v>0</v>
      </c>
      <c r="BO370" s="39">
        <f>+IFERROR(-ABS(IF(EDATE(_xlfn.XLOOKUP(1,$H357:$BE357,$H$4:$BE$4),12*Assumptions!$G$242+12)=BO$4,0,IF(BN357=1,PMT(Assumptions!$G$240,Assumptions!$G$242,$C359),BN370))),0)</f>
        <v>0</v>
      </c>
      <c r="BP370" s="39">
        <f>+IFERROR(-ABS(IF(EDATE(_xlfn.XLOOKUP(1,$H357:$BE357,$H$4:$BE$4),12*Assumptions!$G$242+12)=BP$4,0,IF(BO357=1,PMT(Assumptions!$G$240,Assumptions!$G$242,$C359),BO370))),0)</f>
        <v>0</v>
      </c>
      <c r="BQ370" s="39">
        <f>+IFERROR(-ABS(IF(EDATE(_xlfn.XLOOKUP(1,$H357:$BE357,$H$4:$BE$4),12*Assumptions!$G$242+12)=BQ$4,0,IF(BP357=1,PMT(Assumptions!$G$240,Assumptions!$G$242,$C359),BP370))),0)</f>
        <v>0</v>
      </c>
      <c r="BR370" s="39">
        <f>+IFERROR(-ABS(IF(EDATE(_xlfn.XLOOKUP(1,$H357:$BE357,$H$4:$BE$4),12*Assumptions!$G$242+12)=BR$4,0,IF(BQ357=1,PMT(Assumptions!$G$240,Assumptions!$G$242,$C359),BQ370))),0)</f>
        <v>0</v>
      </c>
      <c r="BS370" s="39">
        <f>+IFERROR(-ABS(IF(EDATE(_xlfn.XLOOKUP(1,$H357:$BE357,$H$4:$BE$4),12*Assumptions!$G$242+12)=BS$4,0,IF(BR357=1,PMT(Assumptions!$G$240,Assumptions!$G$242,$C359),BR370))),0)</f>
        <v>0</v>
      </c>
      <c r="BT370" s="39">
        <f>+IFERROR(-ABS(IF(EDATE(_xlfn.XLOOKUP(1,$H357:$BE357,$H$4:$BE$4),12*Assumptions!$G$242+12)=BT$4,0,IF(BS357=1,PMT(Assumptions!$G$240,Assumptions!$G$242,$C359),BS370))),0)</f>
        <v>0</v>
      </c>
      <c r="BU370" s="39">
        <f>+IFERROR(-ABS(IF(EDATE(_xlfn.XLOOKUP(1,$H357:$BE357,$H$4:$BE$4),12*Assumptions!$G$242+12)=BU$4,0,IF(BT357=1,PMT(Assumptions!$G$240,Assumptions!$G$242,$C359),BT370))),0)</f>
        <v>0</v>
      </c>
      <c r="BV370" s="39">
        <f>+IFERROR(-ABS(IF(EDATE(_xlfn.XLOOKUP(1,$H357:$BE357,$H$4:$BE$4),12*Assumptions!$G$242+12)=BV$4,0,IF(BU357=1,PMT(Assumptions!$G$240,Assumptions!$G$242,$C359),BU370))),0)</f>
        <v>0</v>
      </c>
      <c r="BW370" s="39">
        <f>+IFERROR(-ABS(IF(EDATE(_xlfn.XLOOKUP(1,$H357:$BE357,$H$4:$BE$4),12*Assumptions!$G$242+12)=BW$4,0,IF(BV357=1,PMT(Assumptions!$G$240,Assumptions!$G$242,$C359),BV370))),0)</f>
        <v>0</v>
      </c>
      <c r="BX370" s="39">
        <f>+IFERROR(-ABS(IF(EDATE(_xlfn.XLOOKUP(1,$H357:$BE357,$H$4:$BE$4),12*Assumptions!$G$242+12)=BX$4,0,IF(BW357=1,PMT(Assumptions!$G$240,Assumptions!$G$242,$C359),BW370))),0)</f>
        <v>0</v>
      </c>
      <c r="BY370" s="39">
        <f>+IFERROR(-ABS(IF(EDATE(_xlfn.XLOOKUP(1,$H357:$BE357,$H$4:$BE$4),12*Assumptions!$G$242+12)=BY$4,0,IF(BX357=1,PMT(Assumptions!$G$240,Assumptions!$G$242,$C359),BX370))),0)</f>
        <v>0</v>
      </c>
    </row>
    <row r="371" spans="2:77" outlineLevel="1">
      <c r="E371" s="24" t="s">
        <v>521</v>
      </c>
      <c r="F371" s="80" t="str">
        <f>+Assumptions!$G$8</f>
        <v>USD</v>
      </c>
      <c r="G371" s="24"/>
      <c r="H371" s="39">
        <f>+IFERROR(-ABS(IF(EDATE(_xlfn.XLOOKUP(1,$H358:$BE358,$H$4:$BE$4),12*Assumptions!$G$242+12)=H$4,0,IF(G358=1,PMT(Assumptions!$G$240,Assumptions!$G$242,$C360),G371))),0)</f>
        <v>0</v>
      </c>
      <c r="I371" s="39">
        <f>+IFERROR(-ABS(IF(EDATE(_xlfn.XLOOKUP(1,$H358:$BE358,$H$4:$BE$4),12*Assumptions!$G$242+12)=I$4,0,IF(H358=1,PMT(Assumptions!$G$240,Assumptions!$G$242,$C360),H371))),0)</f>
        <v>0</v>
      </c>
      <c r="J371" s="39">
        <f>+IFERROR(-ABS(IF(EDATE(_xlfn.XLOOKUP(1,$H358:$BE358,$H$4:$BE$4),12*Assumptions!$G$242+12)=J$4,0,IF(I358=1,PMT(Assumptions!$G$240,Assumptions!$G$242,$C360),I371))),0)</f>
        <v>0</v>
      </c>
      <c r="K371" s="39">
        <f>+IFERROR(-ABS(IF(EDATE(_xlfn.XLOOKUP(1,$H358:$BE358,$H$4:$BE$4),12*Assumptions!$G$242+12)=K$4,0,IF(J358=1,PMT(Assumptions!$G$240,Assumptions!$G$242,$C360),J371))),0)</f>
        <v>0</v>
      </c>
      <c r="L371" s="39">
        <f>+IFERROR(-ABS(IF(EDATE(_xlfn.XLOOKUP(1,$H358:$BE358,$H$4:$BE$4),12*Assumptions!$G$242+12)=L$4,0,IF(K358=1,PMT(Assumptions!$G$240,Assumptions!$G$242,$C360),K371))),0)</f>
        <v>0</v>
      </c>
      <c r="M371" s="39">
        <f>+IFERROR(-ABS(IF(EDATE(_xlfn.XLOOKUP(1,$H358:$BE358,$H$4:$BE$4),12*Assumptions!$G$242+12)=M$4,0,IF(L358=1,PMT(Assumptions!$G$240,Assumptions!$G$242,$C360),L371))),0)</f>
        <v>0</v>
      </c>
      <c r="N371" s="39">
        <f>+IFERROR(-ABS(IF(EDATE(_xlfn.XLOOKUP(1,$H358:$BE358,$H$4:$BE$4),12*Assumptions!$G$242+12)=N$4,0,IF(M358=1,PMT(Assumptions!$G$240,Assumptions!$G$242,$C360),M371))),0)</f>
        <v>0</v>
      </c>
      <c r="O371" s="39">
        <f>+IFERROR(-ABS(IF(EDATE(_xlfn.XLOOKUP(1,$H358:$BE358,$H$4:$BE$4),12*Assumptions!$G$242+12)=O$4,0,IF(N358=1,PMT(Assumptions!$G$240,Assumptions!$G$242,$C360),N371))),0)</f>
        <v>0</v>
      </c>
      <c r="P371" s="39">
        <f>+IFERROR(-ABS(IF(EDATE(_xlfn.XLOOKUP(1,$H358:$BE358,$H$4:$BE$4),12*Assumptions!$G$242+12)=P$4,0,IF(O358=1,PMT(Assumptions!$G$240,Assumptions!$G$242,$C360),O371))),0)</f>
        <v>0</v>
      </c>
      <c r="Q371" s="39">
        <f>+IFERROR(-ABS(IF(EDATE(_xlfn.XLOOKUP(1,$H358:$BE358,$H$4:$BE$4),12*Assumptions!$G$242+12)=Q$4,0,IF(P358=1,PMT(Assumptions!$G$240,Assumptions!$G$242,$C360),P371))),0)</f>
        <v>0</v>
      </c>
      <c r="R371" s="39">
        <f>+IFERROR(-ABS(IF(EDATE(_xlfn.XLOOKUP(1,$H358:$BE358,$H$4:$BE$4),12*Assumptions!$G$242+12)=R$4,0,IF(Q358=1,PMT(Assumptions!$G$240,Assumptions!$G$242,$C360),Q371))),0)</f>
        <v>0</v>
      </c>
      <c r="S371" s="39">
        <f>+IFERROR(-ABS(IF(EDATE(_xlfn.XLOOKUP(1,$H358:$BE358,$H$4:$BE$4),12*Assumptions!$G$242+12)=S$4,0,IF(R358=1,PMT(Assumptions!$G$240,Assumptions!$G$242,$C360),R371))),0)</f>
        <v>0</v>
      </c>
      <c r="T371" s="39">
        <f>+IFERROR(-ABS(IF(EDATE(_xlfn.XLOOKUP(1,$H358:$BE358,$H$4:$BE$4),12*Assumptions!$G$242+12)=T$4,0,IF(S358=1,PMT(Assumptions!$G$240,Assumptions!$G$242,$C360),S371))),0)</f>
        <v>0</v>
      </c>
      <c r="U371" s="39">
        <f>+IFERROR(-ABS(IF(EDATE(_xlfn.XLOOKUP(1,$H358:$BE358,$H$4:$BE$4),12*Assumptions!$G$242+12)=U$4,0,IF(T358=1,PMT(Assumptions!$G$240,Assumptions!$G$242,$C360),T371))),0)</f>
        <v>0</v>
      </c>
      <c r="V371" s="39">
        <f>+IFERROR(-ABS(IF(EDATE(_xlfn.XLOOKUP(1,$H358:$BE358,$H$4:$BE$4),12*Assumptions!$G$242+12)=V$4,0,IF(U358=1,PMT(Assumptions!$G$240,Assumptions!$G$242,$C360),U371))),0)</f>
        <v>0</v>
      </c>
      <c r="W371" s="39">
        <f>+IFERROR(-ABS(IF(EDATE(_xlfn.XLOOKUP(1,$H358:$BE358,$H$4:$BE$4),12*Assumptions!$G$242+12)=W$4,0,IF(V358=1,PMT(Assumptions!$G$240,Assumptions!$G$242,$C360),V371))),0)</f>
        <v>0</v>
      </c>
      <c r="X371" s="39">
        <f>+IFERROR(-ABS(IF(EDATE(_xlfn.XLOOKUP(1,$H358:$BE358,$H$4:$BE$4),12*Assumptions!$G$242+12)=X$4,0,IF(W358=1,PMT(Assumptions!$G$240,Assumptions!$G$242,$C360),W371))),0)</f>
        <v>0</v>
      </c>
      <c r="Y371" s="39">
        <f>+IFERROR(-ABS(IF(EDATE(_xlfn.XLOOKUP(1,$H358:$BE358,$H$4:$BE$4),12*Assumptions!$G$242+12)=Y$4,0,IF(X358=1,PMT(Assumptions!$G$240,Assumptions!$G$242,$C360),X371))),0)</f>
        <v>0</v>
      </c>
      <c r="Z371" s="39">
        <f>+IFERROR(-ABS(IF(EDATE(_xlfn.XLOOKUP(1,$H358:$BE358,$H$4:$BE$4),12*Assumptions!$G$242+12)=Z$4,0,IF(Y358=1,PMT(Assumptions!$G$240,Assumptions!$G$242,$C360),Y371))),0)</f>
        <v>0</v>
      </c>
      <c r="AA371" s="39">
        <f>+IFERROR(-ABS(IF(EDATE(_xlfn.XLOOKUP(1,$H358:$BE358,$H$4:$BE$4),12*Assumptions!$G$242+12)=AA$4,0,IF(Z358=1,PMT(Assumptions!$G$240,Assumptions!$G$242,$C360),Z371))),0)</f>
        <v>0</v>
      </c>
      <c r="AB371" s="39">
        <f>+IFERROR(-ABS(IF(EDATE(_xlfn.XLOOKUP(1,$H358:$BE358,$H$4:$BE$4),12*Assumptions!$G$242+12)=AB$4,0,IF(AA358=1,PMT(Assumptions!$G$240,Assumptions!$G$242,$C360),AA371))),0)</f>
        <v>0</v>
      </c>
      <c r="AC371" s="39">
        <f>+IFERROR(-ABS(IF(EDATE(_xlfn.XLOOKUP(1,$H358:$BE358,$H$4:$BE$4),12*Assumptions!$G$242+12)=AC$4,0,IF(AB358=1,PMT(Assumptions!$G$240,Assumptions!$G$242,$C360),AB371))),0)</f>
        <v>0</v>
      </c>
      <c r="AD371" s="39">
        <f>+IFERROR(-ABS(IF(EDATE(_xlfn.XLOOKUP(1,$H358:$BE358,$H$4:$BE$4),12*Assumptions!$G$242+12)=AD$4,0,IF(AC358=1,PMT(Assumptions!$G$240,Assumptions!$G$242,$C360),AC371))),0)</f>
        <v>0</v>
      </c>
      <c r="AE371" s="39">
        <f>+IFERROR(-ABS(IF(EDATE(_xlfn.XLOOKUP(1,$H358:$BE358,$H$4:$BE$4),12*Assumptions!$G$242+12)=AE$4,0,IF(AD358=1,PMT(Assumptions!$G$240,Assumptions!$G$242,$C360),AD371))),0)</f>
        <v>0</v>
      </c>
      <c r="AF371" s="39">
        <f>+IFERROR(-ABS(IF(EDATE(_xlfn.XLOOKUP(1,$H358:$BE358,$H$4:$BE$4),12*Assumptions!$G$242+12)=AF$4,0,IF(AE358=1,PMT(Assumptions!$G$240,Assumptions!$G$242,$C360),AE371))),0)</f>
        <v>0</v>
      </c>
      <c r="AG371" s="39">
        <f>+IFERROR(-ABS(IF(EDATE(_xlfn.XLOOKUP(1,$H358:$BE358,$H$4:$BE$4),12*Assumptions!$G$242+12)=AG$4,0,IF(AF358=1,PMT(Assumptions!$G$240,Assumptions!$G$242,$C360),AF371))),0)</f>
        <v>0</v>
      </c>
      <c r="AH371" s="39">
        <f>+IFERROR(-ABS(IF(EDATE(_xlfn.XLOOKUP(1,$H358:$BE358,$H$4:$BE$4),12*Assumptions!$G$242+12)=AH$4,0,IF(AG358=1,PMT(Assumptions!$G$240,Assumptions!$G$242,$C360),AG371))),0)</f>
        <v>0</v>
      </c>
      <c r="AI371" s="39">
        <f>+IFERROR(-ABS(IF(EDATE(_xlfn.XLOOKUP(1,$H358:$BE358,$H$4:$BE$4),12*Assumptions!$G$242+12)=AI$4,0,IF(AH358=1,PMT(Assumptions!$G$240,Assumptions!$G$242,$C360),AH371))),0)</f>
        <v>0</v>
      </c>
      <c r="AJ371" s="39">
        <f>+IFERROR(-ABS(IF(EDATE(_xlfn.XLOOKUP(1,$H358:$BE358,$H$4:$BE$4),12*Assumptions!$G$242+12)=AJ$4,0,IF(AI358=1,PMT(Assumptions!$G$240,Assumptions!$G$242,$C360),AI371))),0)</f>
        <v>0</v>
      </c>
      <c r="AK371" s="39">
        <f>+IFERROR(-ABS(IF(EDATE(_xlfn.XLOOKUP(1,$H358:$BE358,$H$4:$BE$4),12*Assumptions!$G$242+12)=AK$4,0,IF(AJ358=1,PMT(Assumptions!$G$240,Assumptions!$G$242,$C360),AJ371))),0)</f>
        <v>0</v>
      </c>
      <c r="AL371" s="39">
        <f>+IFERROR(-ABS(IF(EDATE(_xlfn.XLOOKUP(1,$H358:$BE358,$H$4:$BE$4),12*Assumptions!$G$242+12)=AL$4,0,IF(AK358=1,PMT(Assumptions!$G$240,Assumptions!$G$242,$C360),AK371))),0)</f>
        <v>0</v>
      </c>
      <c r="AM371" s="39">
        <f>+IFERROR(-ABS(IF(EDATE(_xlfn.XLOOKUP(1,$H358:$BE358,$H$4:$BE$4),12*Assumptions!$G$242+12)=AM$4,0,IF(AL358=1,PMT(Assumptions!$G$240,Assumptions!$G$242,$C360),AL371))),0)</f>
        <v>0</v>
      </c>
      <c r="AN371" s="39">
        <f>+IFERROR(-ABS(IF(EDATE(_xlfn.XLOOKUP(1,$H358:$BE358,$H$4:$BE$4),12*Assumptions!$G$242+12)=AN$4,0,IF(AM358=1,PMT(Assumptions!$G$240,Assumptions!$G$242,$C360),AM371))),0)</f>
        <v>0</v>
      </c>
      <c r="AO371" s="39">
        <f>+IFERROR(-ABS(IF(EDATE(_xlfn.XLOOKUP(1,$H358:$BE358,$H$4:$BE$4),12*Assumptions!$G$242+12)=AO$4,0,IF(AN358=1,PMT(Assumptions!$G$240,Assumptions!$G$242,$C360),AN371))),0)</f>
        <v>0</v>
      </c>
      <c r="AP371" s="39">
        <f>+IFERROR(-ABS(IF(EDATE(_xlfn.XLOOKUP(1,$H358:$BE358,$H$4:$BE$4),12*Assumptions!$G$242+12)=AP$4,0,IF(AO358=1,PMT(Assumptions!$G$240,Assumptions!$G$242,$C360),AO371))),0)</f>
        <v>0</v>
      </c>
      <c r="AQ371" s="39">
        <f>+IFERROR(-ABS(IF(EDATE(_xlfn.XLOOKUP(1,$H358:$BE358,$H$4:$BE$4),12*Assumptions!$G$242+12)=AQ$4,0,IF(AP358=1,PMT(Assumptions!$G$240,Assumptions!$G$242,$C360),AP371))),0)</f>
        <v>0</v>
      </c>
      <c r="AR371" s="39">
        <f>+IFERROR(-ABS(IF(EDATE(_xlfn.XLOOKUP(1,$H358:$BE358,$H$4:$BE$4),12*Assumptions!$G$242+12)=AR$4,0,IF(AQ358=1,PMT(Assumptions!$G$240,Assumptions!$G$242,$C360),AQ371))),0)</f>
        <v>0</v>
      </c>
      <c r="AS371" s="39">
        <f>+IFERROR(-ABS(IF(EDATE(_xlfn.XLOOKUP(1,$H358:$BE358,$H$4:$BE$4),12*Assumptions!$G$242+12)=AS$4,0,IF(AR358=1,PMT(Assumptions!$G$240,Assumptions!$G$242,$C360),AR371))),0)</f>
        <v>0</v>
      </c>
      <c r="AT371" s="39">
        <f>+IFERROR(-ABS(IF(EDATE(_xlfn.XLOOKUP(1,$H358:$BE358,$H$4:$BE$4),12*Assumptions!$G$242+12)=AT$4,0,IF(AS358=1,PMT(Assumptions!$G$240,Assumptions!$G$242,$C360),AS371))),0)</f>
        <v>0</v>
      </c>
      <c r="AU371" s="39">
        <f>+IFERROR(-ABS(IF(EDATE(_xlfn.XLOOKUP(1,$H358:$BE358,$H$4:$BE$4),12*Assumptions!$G$242+12)=AU$4,0,IF(AT358=1,PMT(Assumptions!$G$240,Assumptions!$G$242,$C360),AT371))),0)</f>
        <v>0</v>
      </c>
      <c r="AV371" s="39">
        <f>+IFERROR(-ABS(IF(EDATE(_xlfn.XLOOKUP(1,$H358:$BE358,$H$4:$BE$4),12*Assumptions!$G$242+12)=AV$4,0,IF(AU358=1,PMT(Assumptions!$G$240,Assumptions!$G$242,$C360),AU371))),0)</f>
        <v>0</v>
      </c>
      <c r="AW371" s="39">
        <f>+IFERROR(-ABS(IF(EDATE(_xlfn.XLOOKUP(1,$H358:$BE358,$H$4:$BE$4),12*Assumptions!$G$242+12)=AW$4,0,IF(AV358=1,PMT(Assumptions!$G$240,Assumptions!$G$242,$C360),AV371))),0)</f>
        <v>0</v>
      </c>
      <c r="AX371" s="39">
        <f>+IFERROR(-ABS(IF(EDATE(_xlfn.XLOOKUP(1,$H358:$BE358,$H$4:$BE$4),12*Assumptions!$G$242+12)=AX$4,0,IF(AW358=1,PMT(Assumptions!$G$240,Assumptions!$G$242,$C360),AW371))),0)</f>
        <v>0</v>
      </c>
      <c r="AY371" s="39">
        <f>+IFERROR(-ABS(IF(EDATE(_xlfn.XLOOKUP(1,$H358:$BE358,$H$4:$BE$4),12*Assumptions!$G$242+12)=AY$4,0,IF(AX358=1,PMT(Assumptions!$G$240,Assumptions!$G$242,$C360),AX371))),0)</f>
        <v>0</v>
      </c>
      <c r="AZ371" s="39">
        <f>+IFERROR(-ABS(IF(EDATE(_xlfn.XLOOKUP(1,$H358:$BE358,$H$4:$BE$4),12*Assumptions!$G$242+12)=AZ$4,0,IF(AY358=1,PMT(Assumptions!$G$240,Assumptions!$G$242,$C360),AY371))),0)</f>
        <v>0</v>
      </c>
      <c r="BA371" s="39">
        <f>+IFERROR(-ABS(IF(EDATE(_xlfn.XLOOKUP(1,$H358:$BE358,$H$4:$BE$4),12*Assumptions!$G$242+12)=BA$4,0,IF(AZ358=1,PMT(Assumptions!$G$240,Assumptions!$G$242,$C360),AZ371))),0)</f>
        <v>0</v>
      </c>
      <c r="BB371" s="39">
        <f>+IFERROR(-ABS(IF(EDATE(_xlfn.XLOOKUP(1,$H358:$BE358,$H$4:$BE$4),12*Assumptions!$G$242+12)=BB$4,0,IF(BA358=1,PMT(Assumptions!$G$240,Assumptions!$G$242,$C360),BA371))),0)</f>
        <v>0</v>
      </c>
      <c r="BC371" s="39">
        <f>+IFERROR(-ABS(IF(EDATE(_xlfn.XLOOKUP(1,$H358:$BE358,$H$4:$BE$4),12*Assumptions!$G$242+12)=BC$4,0,IF(BB358=1,PMT(Assumptions!$G$240,Assumptions!$G$242,$C360),BB371))),0)</f>
        <v>0</v>
      </c>
      <c r="BD371" s="39">
        <f>+IFERROR(-ABS(IF(EDATE(_xlfn.XLOOKUP(1,$H358:$BE358,$H$4:$BE$4),12*Assumptions!$G$242+12)=BD$4,0,IF(BC358=1,PMT(Assumptions!$G$240,Assumptions!$G$242,$C360),BC371))),0)</f>
        <v>0</v>
      </c>
      <c r="BE371" s="39">
        <f>+IFERROR(-ABS(IF(EDATE(_xlfn.XLOOKUP(1,$H358:$BE358,$H$4:$BE$4),12*Assumptions!$G$242+12)=BE$4,0,IF(BD358=1,PMT(Assumptions!$G$240,Assumptions!$G$242,$C360),BD371))),0)</f>
        <v>0</v>
      </c>
      <c r="BF371" s="39">
        <f>+IFERROR(-ABS(IF(EDATE(_xlfn.XLOOKUP(1,$H358:$BE358,$H$4:$BE$4),12*Assumptions!$G$242+12)=BF$4,0,IF(BE358=1,PMT(Assumptions!$G$240,Assumptions!$G$242,$C360),BE371))),0)</f>
        <v>0</v>
      </c>
      <c r="BG371" s="39">
        <f>+IFERROR(-ABS(IF(EDATE(_xlfn.XLOOKUP(1,$H358:$BE358,$H$4:$BE$4),12*Assumptions!$G$242+12)=BG$4,0,IF(BF358=1,PMT(Assumptions!$G$240,Assumptions!$G$242,$C360),BF371))),0)</f>
        <v>0</v>
      </c>
      <c r="BH371" s="39">
        <f>+IFERROR(-ABS(IF(EDATE(_xlfn.XLOOKUP(1,$H358:$BE358,$H$4:$BE$4),12*Assumptions!$G$242+12)=BH$4,0,IF(BG358=1,PMT(Assumptions!$G$240,Assumptions!$G$242,$C360),BG371))),0)</f>
        <v>0</v>
      </c>
      <c r="BI371" s="39">
        <f>+IFERROR(-ABS(IF(EDATE(_xlfn.XLOOKUP(1,$H358:$BE358,$H$4:$BE$4),12*Assumptions!$G$242+12)=BI$4,0,IF(BH358=1,PMT(Assumptions!$G$240,Assumptions!$G$242,$C360),BH371))),0)</f>
        <v>0</v>
      </c>
      <c r="BJ371" s="39">
        <f>+IFERROR(-ABS(IF(EDATE(_xlfn.XLOOKUP(1,$H358:$BE358,$H$4:$BE$4),12*Assumptions!$G$242+12)=BJ$4,0,IF(BI358=1,PMT(Assumptions!$G$240,Assumptions!$G$242,$C360),BI371))),0)</f>
        <v>0</v>
      </c>
      <c r="BK371" s="39">
        <f>+IFERROR(-ABS(IF(EDATE(_xlfn.XLOOKUP(1,$H358:$BE358,$H$4:$BE$4),12*Assumptions!$G$242+12)=BK$4,0,IF(BJ358=1,PMT(Assumptions!$G$240,Assumptions!$G$242,$C360),BJ371))),0)</f>
        <v>0</v>
      </c>
      <c r="BL371" s="39">
        <f>+IFERROR(-ABS(IF(EDATE(_xlfn.XLOOKUP(1,$H358:$BE358,$H$4:$BE$4),12*Assumptions!$G$242+12)=BL$4,0,IF(BK358=1,PMT(Assumptions!$G$240,Assumptions!$G$242,$C360),BK371))),0)</f>
        <v>0</v>
      </c>
      <c r="BM371" s="39">
        <f>+IFERROR(-ABS(IF(EDATE(_xlfn.XLOOKUP(1,$H358:$BE358,$H$4:$BE$4),12*Assumptions!$G$242+12)=BM$4,0,IF(BL358=1,PMT(Assumptions!$G$240,Assumptions!$G$242,$C360),BL371))),0)</f>
        <v>0</v>
      </c>
      <c r="BN371" s="39">
        <f>+IFERROR(-ABS(IF(EDATE(_xlfn.XLOOKUP(1,$H358:$BE358,$H$4:$BE$4),12*Assumptions!$G$242+12)=BN$4,0,IF(BM358=1,PMT(Assumptions!$G$240,Assumptions!$G$242,$C360),BM371))),0)</f>
        <v>0</v>
      </c>
      <c r="BO371" s="39">
        <f>+IFERROR(-ABS(IF(EDATE(_xlfn.XLOOKUP(1,$H358:$BE358,$H$4:$BE$4),12*Assumptions!$G$242+12)=BO$4,0,IF(BN358=1,PMT(Assumptions!$G$240,Assumptions!$G$242,$C360),BN371))),0)</f>
        <v>0</v>
      </c>
      <c r="BP371" s="39">
        <f>+IFERROR(-ABS(IF(EDATE(_xlfn.XLOOKUP(1,$H358:$BE358,$H$4:$BE$4),12*Assumptions!$G$242+12)=BP$4,0,IF(BO358=1,PMT(Assumptions!$G$240,Assumptions!$G$242,$C360),BO371))),0)</f>
        <v>0</v>
      </c>
      <c r="BQ371" s="39">
        <f>+IFERROR(-ABS(IF(EDATE(_xlfn.XLOOKUP(1,$H358:$BE358,$H$4:$BE$4),12*Assumptions!$G$242+12)=BQ$4,0,IF(BP358=1,PMT(Assumptions!$G$240,Assumptions!$G$242,$C360),BP371))),0)</f>
        <v>0</v>
      </c>
      <c r="BR371" s="39">
        <f>+IFERROR(-ABS(IF(EDATE(_xlfn.XLOOKUP(1,$H358:$BE358,$H$4:$BE$4),12*Assumptions!$G$242+12)=BR$4,0,IF(BQ358=1,PMT(Assumptions!$G$240,Assumptions!$G$242,$C360),BQ371))),0)</f>
        <v>0</v>
      </c>
      <c r="BS371" s="39">
        <f>+IFERROR(-ABS(IF(EDATE(_xlfn.XLOOKUP(1,$H358:$BE358,$H$4:$BE$4),12*Assumptions!$G$242+12)=BS$4,0,IF(BR358=1,PMT(Assumptions!$G$240,Assumptions!$G$242,$C360),BR371))),0)</f>
        <v>0</v>
      </c>
      <c r="BT371" s="39">
        <f>+IFERROR(-ABS(IF(EDATE(_xlfn.XLOOKUP(1,$H358:$BE358,$H$4:$BE$4),12*Assumptions!$G$242+12)=BT$4,0,IF(BS358=1,PMT(Assumptions!$G$240,Assumptions!$G$242,$C360),BS371))),0)</f>
        <v>0</v>
      </c>
      <c r="BU371" s="39">
        <f>+IFERROR(-ABS(IF(EDATE(_xlfn.XLOOKUP(1,$H358:$BE358,$H$4:$BE$4),12*Assumptions!$G$242+12)=BU$4,0,IF(BT358=1,PMT(Assumptions!$G$240,Assumptions!$G$242,$C360),BT371))),0)</f>
        <v>0</v>
      </c>
      <c r="BV371" s="39">
        <f>+IFERROR(-ABS(IF(EDATE(_xlfn.XLOOKUP(1,$H358:$BE358,$H$4:$BE$4),12*Assumptions!$G$242+12)=BV$4,0,IF(BU358=1,PMT(Assumptions!$G$240,Assumptions!$G$242,$C360),BU371))),0)</f>
        <v>0</v>
      </c>
      <c r="BW371" s="39">
        <f>+IFERROR(-ABS(IF(EDATE(_xlfn.XLOOKUP(1,$H358:$BE358,$H$4:$BE$4),12*Assumptions!$G$242+12)=BW$4,0,IF(BV358=1,PMT(Assumptions!$G$240,Assumptions!$G$242,$C360),BV371))),0)</f>
        <v>0</v>
      </c>
      <c r="BX371" s="39">
        <f>+IFERROR(-ABS(IF(EDATE(_xlfn.XLOOKUP(1,$H358:$BE358,$H$4:$BE$4),12*Assumptions!$G$242+12)=BX$4,0,IF(BW358=1,PMT(Assumptions!$G$240,Assumptions!$G$242,$C360),BW371))),0)</f>
        <v>0</v>
      </c>
      <c r="BY371" s="39">
        <f>+IFERROR(-ABS(IF(EDATE(_xlfn.XLOOKUP(1,$H358:$BE358,$H$4:$BE$4),12*Assumptions!$G$242+12)=BY$4,0,IF(BX358=1,PMT(Assumptions!$G$240,Assumptions!$G$242,$C360),BX371))),0)</f>
        <v>0</v>
      </c>
    </row>
    <row r="372" spans="2:77" outlineLevel="1">
      <c r="E372" s="24" t="s">
        <v>522</v>
      </c>
      <c r="F372" s="80" t="str">
        <f>+Assumptions!$G$8</f>
        <v>USD</v>
      </c>
      <c r="G372" s="24"/>
      <c r="H372" s="39">
        <f>+IFERROR(-ABS(IF(EDATE(_xlfn.XLOOKUP(1,$H359:$BE359,$H$4:$BE$4),12*Assumptions!$G$242+12)=H$4,0,IF(G359=1,PMT(Assumptions!$G$240,Assumptions!$G$242,$C361),G372))),0)</f>
        <v>0</v>
      </c>
      <c r="I372" s="39">
        <f>+IFERROR(-ABS(IF(EDATE(_xlfn.XLOOKUP(1,$H359:$BE359,$H$4:$BE$4),12*Assumptions!$G$242+12)=I$4,0,IF(H359=1,PMT(Assumptions!$G$240,Assumptions!$G$242,$C361),H372))),0)</f>
        <v>0</v>
      </c>
      <c r="J372" s="39">
        <f>+IFERROR(-ABS(IF(EDATE(_xlfn.XLOOKUP(1,$H359:$BE359,$H$4:$BE$4),12*Assumptions!$G$242+12)=J$4,0,IF(I359=1,PMT(Assumptions!$G$240,Assumptions!$G$242,$C361),I372))),0)</f>
        <v>0</v>
      </c>
      <c r="K372" s="39">
        <f>+IFERROR(-ABS(IF(EDATE(_xlfn.XLOOKUP(1,$H359:$BE359,$H$4:$BE$4),12*Assumptions!$G$242+12)=K$4,0,IF(J359=1,PMT(Assumptions!$G$240,Assumptions!$G$242,$C361),J372))),0)</f>
        <v>0</v>
      </c>
      <c r="L372" s="39">
        <f>+IFERROR(-ABS(IF(EDATE(_xlfn.XLOOKUP(1,$H359:$BE359,$H$4:$BE$4),12*Assumptions!$G$242+12)=L$4,0,IF(K359=1,PMT(Assumptions!$G$240,Assumptions!$G$242,$C361),K372))),0)</f>
        <v>0</v>
      </c>
      <c r="M372" s="39">
        <f>+IFERROR(-ABS(IF(EDATE(_xlfn.XLOOKUP(1,$H359:$BE359,$H$4:$BE$4),12*Assumptions!$G$242+12)=M$4,0,IF(L359=1,PMT(Assumptions!$G$240,Assumptions!$G$242,$C361),L372))),0)</f>
        <v>0</v>
      </c>
      <c r="N372" s="39">
        <f>+IFERROR(-ABS(IF(EDATE(_xlfn.XLOOKUP(1,$H359:$BE359,$H$4:$BE$4),12*Assumptions!$G$242+12)=N$4,0,IF(M359=1,PMT(Assumptions!$G$240,Assumptions!$G$242,$C361),M372))),0)</f>
        <v>0</v>
      </c>
      <c r="O372" s="39">
        <f>+IFERROR(-ABS(IF(EDATE(_xlfn.XLOOKUP(1,$H359:$BE359,$H$4:$BE$4),12*Assumptions!$G$242+12)=O$4,0,IF(N359=1,PMT(Assumptions!$G$240,Assumptions!$G$242,$C361),N372))),0)</f>
        <v>0</v>
      </c>
      <c r="P372" s="39">
        <f>+IFERROR(-ABS(IF(EDATE(_xlfn.XLOOKUP(1,$H359:$BE359,$H$4:$BE$4),12*Assumptions!$G$242+12)=P$4,0,IF(O359=1,PMT(Assumptions!$G$240,Assumptions!$G$242,$C361),O372))),0)</f>
        <v>0</v>
      </c>
      <c r="Q372" s="39">
        <f>+IFERROR(-ABS(IF(EDATE(_xlfn.XLOOKUP(1,$H359:$BE359,$H$4:$BE$4),12*Assumptions!$G$242+12)=Q$4,0,IF(P359=1,PMT(Assumptions!$G$240,Assumptions!$G$242,$C361),P372))),0)</f>
        <v>0</v>
      </c>
      <c r="R372" s="39">
        <f>+IFERROR(-ABS(IF(EDATE(_xlfn.XLOOKUP(1,$H359:$BE359,$H$4:$BE$4),12*Assumptions!$G$242+12)=R$4,0,IF(Q359=1,PMT(Assumptions!$G$240,Assumptions!$G$242,$C361),Q372))),0)</f>
        <v>0</v>
      </c>
      <c r="S372" s="39">
        <f>+IFERROR(-ABS(IF(EDATE(_xlfn.XLOOKUP(1,$H359:$BE359,$H$4:$BE$4),12*Assumptions!$G$242+12)=S$4,0,IF(R359=1,PMT(Assumptions!$G$240,Assumptions!$G$242,$C361),R372))),0)</f>
        <v>0</v>
      </c>
      <c r="T372" s="39">
        <f>+IFERROR(-ABS(IF(EDATE(_xlfn.XLOOKUP(1,$H359:$BE359,$H$4:$BE$4),12*Assumptions!$G$242+12)=T$4,0,IF(S359=1,PMT(Assumptions!$G$240,Assumptions!$G$242,$C361),S372))),0)</f>
        <v>0</v>
      </c>
      <c r="U372" s="39">
        <f>+IFERROR(-ABS(IF(EDATE(_xlfn.XLOOKUP(1,$H359:$BE359,$H$4:$BE$4),12*Assumptions!$G$242+12)=U$4,0,IF(T359=1,PMT(Assumptions!$G$240,Assumptions!$G$242,$C361),T372))),0)</f>
        <v>0</v>
      </c>
      <c r="V372" s="39">
        <f>+IFERROR(-ABS(IF(EDATE(_xlfn.XLOOKUP(1,$H359:$BE359,$H$4:$BE$4),12*Assumptions!$G$242+12)=V$4,0,IF(U359=1,PMT(Assumptions!$G$240,Assumptions!$G$242,$C361),U372))),0)</f>
        <v>0</v>
      </c>
      <c r="W372" s="39">
        <f>+IFERROR(-ABS(IF(EDATE(_xlfn.XLOOKUP(1,$H359:$BE359,$H$4:$BE$4),12*Assumptions!$G$242+12)=W$4,0,IF(V359=1,PMT(Assumptions!$G$240,Assumptions!$G$242,$C361),V372))),0)</f>
        <v>0</v>
      </c>
      <c r="X372" s="39">
        <f>+IFERROR(-ABS(IF(EDATE(_xlfn.XLOOKUP(1,$H359:$BE359,$H$4:$BE$4),12*Assumptions!$G$242+12)=X$4,0,IF(W359=1,PMT(Assumptions!$G$240,Assumptions!$G$242,$C361),W372))),0)</f>
        <v>0</v>
      </c>
      <c r="Y372" s="39">
        <f>+IFERROR(-ABS(IF(EDATE(_xlfn.XLOOKUP(1,$H359:$BE359,$H$4:$BE$4),12*Assumptions!$G$242+12)=Y$4,0,IF(X359=1,PMT(Assumptions!$G$240,Assumptions!$G$242,$C361),X372))),0)</f>
        <v>0</v>
      </c>
      <c r="Z372" s="39">
        <f>+IFERROR(-ABS(IF(EDATE(_xlfn.XLOOKUP(1,$H359:$BE359,$H$4:$BE$4),12*Assumptions!$G$242+12)=Z$4,0,IF(Y359=1,PMT(Assumptions!$G$240,Assumptions!$G$242,$C361),Y372))),0)</f>
        <v>0</v>
      </c>
      <c r="AA372" s="39">
        <f>+IFERROR(-ABS(IF(EDATE(_xlfn.XLOOKUP(1,$H359:$BE359,$H$4:$BE$4),12*Assumptions!$G$242+12)=AA$4,0,IF(Z359=1,PMT(Assumptions!$G$240,Assumptions!$G$242,$C361),Z372))),0)</f>
        <v>0</v>
      </c>
      <c r="AB372" s="39">
        <f>+IFERROR(-ABS(IF(EDATE(_xlfn.XLOOKUP(1,$H359:$BE359,$H$4:$BE$4),12*Assumptions!$G$242+12)=AB$4,0,IF(AA359=1,PMT(Assumptions!$G$240,Assumptions!$G$242,$C361),AA372))),0)</f>
        <v>0</v>
      </c>
      <c r="AC372" s="39">
        <f>+IFERROR(-ABS(IF(EDATE(_xlfn.XLOOKUP(1,$H359:$BE359,$H$4:$BE$4),12*Assumptions!$G$242+12)=AC$4,0,IF(AB359=1,PMT(Assumptions!$G$240,Assumptions!$G$242,$C361),AB372))),0)</f>
        <v>0</v>
      </c>
      <c r="AD372" s="39">
        <f>+IFERROR(-ABS(IF(EDATE(_xlfn.XLOOKUP(1,$H359:$BE359,$H$4:$BE$4),12*Assumptions!$G$242+12)=AD$4,0,IF(AC359=1,PMT(Assumptions!$G$240,Assumptions!$G$242,$C361),AC372))),0)</f>
        <v>0</v>
      </c>
      <c r="AE372" s="39">
        <f>+IFERROR(-ABS(IF(EDATE(_xlfn.XLOOKUP(1,$H359:$BE359,$H$4:$BE$4),12*Assumptions!$G$242+12)=AE$4,0,IF(AD359=1,PMT(Assumptions!$G$240,Assumptions!$G$242,$C361),AD372))),0)</f>
        <v>0</v>
      </c>
      <c r="AF372" s="39">
        <f>+IFERROR(-ABS(IF(EDATE(_xlfn.XLOOKUP(1,$H359:$BE359,$H$4:$BE$4),12*Assumptions!$G$242+12)=AF$4,0,IF(AE359=1,PMT(Assumptions!$G$240,Assumptions!$G$242,$C361),AE372))),0)</f>
        <v>0</v>
      </c>
      <c r="AG372" s="39">
        <f>+IFERROR(-ABS(IF(EDATE(_xlfn.XLOOKUP(1,$H359:$BE359,$H$4:$BE$4),12*Assumptions!$G$242+12)=AG$4,0,IF(AF359=1,PMT(Assumptions!$G$240,Assumptions!$G$242,$C361),AF372))),0)</f>
        <v>0</v>
      </c>
      <c r="AH372" s="39">
        <f>+IFERROR(-ABS(IF(EDATE(_xlfn.XLOOKUP(1,$H359:$BE359,$H$4:$BE$4),12*Assumptions!$G$242+12)=AH$4,0,IF(AG359=1,PMT(Assumptions!$G$240,Assumptions!$G$242,$C361),AG372))),0)</f>
        <v>0</v>
      </c>
      <c r="AI372" s="39">
        <f>+IFERROR(-ABS(IF(EDATE(_xlfn.XLOOKUP(1,$H359:$BE359,$H$4:$BE$4),12*Assumptions!$G$242+12)=AI$4,0,IF(AH359=1,PMT(Assumptions!$G$240,Assumptions!$G$242,$C361),AH372))),0)</f>
        <v>0</v>
      </c>
      <c r="AJ372" s="39">
        <f>+IFERROR(-ABS(IF(EDATE(_xlfn.XLOOKUP(1,$H359:$BE359,$H$4:$BE$4),12*Assumptions!$G$242+12)=AJ$4,0,IF(AI359=1,PMT(Assumptions!$G$240,Assumptions!$G$242,$C361),AI372))),0)</f>
        <v>0</v>
      </c>
      <c r="AK372" s="39">
        <f>+IFERROR(-ABS(IF(EDATE(_xlfn.XLOOKUP(1,$H359:$BE359,$H$4:$BE$4),12*Assumptions!$G$242+12)=AK$4,0,IF(AJ359=1,PMT(Assumptions!$G$240,Assumptions!$G$242,$C361),AJ372))),0)</f>
        <v>0</v>
      </c>
      <c r="AL372" s="39">
        <f>+IFERROR(-ABS(IF(EDATE(_xlfn.XLOOKUP(1,$H359:$BE359,$H$4:$BE$4),12*Assumptions!$G$242+12)=AL$4,0,IF(AK359=1,PMT(Assumptions!$G$240,Assumptions!$G$242,$C361),AK372))),0)</f>
        <v>0</v>
      </c>
      <c r="AM372" s="39">
        <f>+IFERROR(-ABS(IF(EDATE(_xlfn.XLOOKUP(1,$H359:$BE359,$H$4:$BE$4),12*Assumptions!$G$242+12)=AM$4,0,IF(AL359=1,PMT(Assumptions!$G$240,Assumptions!$G$242,$C361),AL372))),0)</f>
        <v>0</v>
      </c>
      <c r="AN372" s="39">
        <f>+IFERROR(-ABS(IF(EDATE(_xlfn.XLOOKUP(1,$H359:$BE359,$H$4:$BE$4),12*Assumptions!$G$242+12)=AN$4,0,IF(AM359=1,PMT(Assumptions!$G$240,Assumptions!$G$242,$C361),AM372))),0)</f>
        <v>0</v>
      </c>
      <c r="AO372" s="39">
        <f>+IFERROR(-ABS(IF(EDATE(_xlfn.XLOOKUP(1,$H359:$BE359,$H$4:$BE$4),12*Assumptions!$G$242+12)=AO$4,0,IF(AN359=1,PMT(Assumptions!$G$240,Assumptions!$G$242,$C361),AN372))),0)</f>
        <v>0</v>
      </c>
      <c r="AP372" s="39">
        <f>+IFERROR(-ABS(IF(EDATE(_xlfn.XLOOKUP(1,$H359:$BE359,$H$4:$BE$4),12*Assumptions!$G$242+12)=AP$4,0,IF(AO359=1,PMT(Assumptions!$G$240,Assumptions!$G$242,$C361),AO372))),0)</f>
        <v>0</v>
      </c>
      <c r="AQ372" s="39">
        <f>+IFERROR(-ABS(IF(EDATE(_xlfn.XLOOKUP(1,$H359:$BE359,$H$4:$BE$4),12*Assumptions!$G$242+12)=AQ$4,0,IF(AP359=1,PMT(Assumptions!$G$240,Assumptions!$G$242,$C361),AP372))),0)</f>
        <v>0</v>
      </c>
      <c r="AR372" s="39">
        <f>+IFERROR(-ABS(IF(EDATE(_xlfn.XLOOKUP(1,$H359:$BE359,$H$4:$BE$4),12*Assumptions!$G$242+12)=AR$4,0,IF(AQ359=1,PMT(Assumptions!$G$240,Assumptions!$G$242,$C361),AQ372))),0)</f>
        <v>0</v>
      </c>
      <c r="AS372" s="39">
        <f>+IFERROR(-ABS(IF(EDATE(_xlfn.XLOOKUP(1,$H359:$BE359,$H$4:$BE$4),12*Assumptions!$G$242+12)=AS$4,0,IF(AR359=1,PMT(Assumptions!$G$240,Assumptions!$G$242,$C361),AR372))),0)</f>
        <v>0</v>
      </c>
      <c r="AT372" s="39">
        <f>+IFERROR(-ABS(IF(EDATE(_xlfn.XLOOKUP(1,$H359:$BE359,$H$4:$BE$4),12*Assumptions!$G$242+12)=AT$4,0,IF(AS359=1,PMT(Assumptions!$G$240,Assumptions!$G$242,$C361),AS372))),0)</f>
        <v>0</v>
      </c>
      <c r="AU372" s="39">
        <f>+IFERROR(-ABS(IF(EDATE(_xlfn.XLOOKUP(1,$H359:$BE359,$H$4:$BE$4),12*Assumptions!$G$242+12)=AU$4,0,IF(AT359=1,PMT(Assumptions!$G$240,Assumptions!$G$242,$C361),AT372))),0)</f>
        <v>0</v>
      </c>
      <c r="AV372" s="39">
        <f>+IFERROR(-ABS(IF(EDATE(_xlfn.XLOOKUP(1,$H359:$BE359,$H$4:$BE$4),12*Assumptions!$G$242+12)=AV$4,0,IF(AU359=1,PMT(Assumptions!$G$240,Assumptions!$G$242,$C361),AU372))),0)</f>
        <v>0</v>
      </c>
      <c r="AW372" s="39">
        <f>+IFERROR(-ABS(IF(EDATE(_xlfn.XLOOKUP(1,$H359:$BE359,$H$4:$BE$4),12*Assumptions!$G$242+12)=AW$4,0,IF(AV359=1,PMT(Assumptions!$G$240,Assumptions!$G$242,$C361),AV372))),0)</f>
        <v>0</v>
      </c>
      <c r="AX372" s="39">
        <f>+IFERROR(-ABS(IF(EDATE(_xlfn.XLOOKUP(1,$H359:$BE359,$H$4:$BE$4),12*Assumptions!$G$242+12)=AX$4,0,IF(AW359=1,PMT(Assumptions!$G$240,Assumptions!$G$242,$C361),AW372))),0)</f>
        <v>0</v>
      </c>
      <c r="AY372" s="39">
        <f>+IFERROR(-ABS(IF(EDATE(_xlfn.XLOOKUP(1,$H359:$BE359,$H$4:$BE$4),12*Assumptions!$G$242+12)=AY$4,0,IF(AX359=1,PMT(Assumptions!$G$240,Assumptions!$G$242,$C361),AX372))),0)</f>
        <v>0</v>
      </c>
      <c r="AZ372" s="39">
        <f>+IFERROR(-ABS(IF(EDATE(_xlfn.XLOOKUP(1,$H359:$BE359,$H$4:$BE$4),12*Assumptions!$G$242+12)=AZ$4,0,IF(AY359=1,PMT(Assumptions!$G$240,Assumptions!$G$242,$C361),AY372))),0)</f>
        <v>0</v>
      </c>
      <c r="BA372" s="39">
        <f>+IFERROR(-ABS(IF(EDATE(_xlfn.XLOOKUP(1,$H359:$BE359,$H$4:$BE$4),12*Assumptions!$G$242+12)=BA$4,0,IF(AZ359=1,PMT(Assumptions!$G$240,Assumptions!$G$242,$C361),AZ372))),0)</f>
        <v>0</v>
      </c>
      <c r="BB372" s="39">
        <f>+IFERROR(-ABS(IF(EDATE(_xlfn.XLOOKUP(1,$H359:$BE359,$H$4:$BE$4),12*Assumptions!$G$242+12)=BB$4,0,IF(BA359=1,PMT(Assumptions!$G$240,Assumptions!$G$242,$C361),BA372))),0)</f>
        <v>0</v>
      </c>
      <c r="BC372" s="39">
        <f>+IFERROR(-ABS(IF(EDATE(_xlfn.XLOOKUP(1,$H359:$BE359,$H$4:$BE$4),12*Assumptions!$G$242+12)=BC$4,0,IF(BB359=1,PMT(Assumptions!$G$240,Assumptions!$G$242,$C361),BB372))),0)</f>
        <v>0</v>
      </c>
      <c r="BD372" s="39">
        <f>+IFERROR(-ABS(IF(EDATE(_xlfn.XLOOKUP(1,$H359:$BE359,$H$4:$BE$4),12*Assumptions!$G$242+12)=BD$4,0,IF(BC359=1,PMT(Assumptions!$G$240,Assumptions!$G$242,$C361),BC372))),0)</f>
        <v>0</v>
      </c>
      <c r="BE372" s="39">
        <f>+IFERROR(-ABS(IF(EDATE(_xlfn.XLOOKUP(1,$H359:$BE359,$H$4:$BE$4),12*Assumptions!$G$242+12)=BE$4,0,IF(BD359=1,PMT(Assumptions!$G$240,Assumptions!$G$242,$C361),BD372))),0)</f>
        <v>0</v>
      </c>
      <c r="BF372" s="39">
        <f>+IFERROR(-ABS(IF(EDATE(_xlfn.XLOOKUP(1,$H359:$BE359,$H$4:$BE$4),12*Assumptions!$G$242+12)=BF$4,0,IF(BE359=1,PMT(Assumptions!$G$240,Assumptions!$G$242,$C361),BE372))),0)</f>
        <v>0</v>
      </c>
      <c r="BG372" s="39">
        <f>+IFERROR(-ABS(IF(EDATE(_xlfn.XLOOKUP(1,$H359:$BE359,$H$4:$BE$4),12*Assumptions!$G$242+12)=BG$4,0,IF(BF359=1,PMT(Assumptions!$G$240,Assumptions!$G$242,$C361),BF372))),0)</f>
        <v>0</v>
      </c>
      <c r="BH372" s="39">
        <f>+IFERROR(-ABS(IF(EDATE(_xlfn.XLOOKUP(1,$H359:$BE359,$H$4:$BE$4),12*Assumptions!$G$242+12)=BH$4,0,IF(BG359=1,PMT(Assumptions!$G$240,Assumptions!$G$242,$C361),BG372))),0)</f>
        <v>0</v>
      </c>
      <c r="BI372" s="39">
        <f>+IFERROR(-ABS(IF(EDATE(_xlfn.XLOOKUP(1,$H359:$BE359,$H$4:$BE$4),12*Assumptions!$G$242+12)=BI$4,0,IF(BH359=1,PMT(Assumptions!$G$240,Assumptions!$G$242,$C361),BH372))),0)</f>
        <v>0</v>
      </c>
      <c r="BJ372" s="39">
        <f>+IFERROR(-ABS(IF(EDATE(_xlfn.XLOOKUP(1,$H359:$BE359,$H$4:$BE$4),12*Assumptions!$G$242+12)=BJ$4,0,IF(BI359=1,PMT(Assumptions!$G$240,Assumptions!$G$242,$C361),BI372))),0)</f>
        <v>0</v>
      </c>
      <c r="BK372" s="39">
        <f>+IFERROR(-ABS(IF(EDATE(_xlfn.XLOOKUP(1,$H359:$BE359,$H$4:$BE$4),12*Assumptions!$G$242+12)=BK$4,0,IF(BJ359=1,PMT(Assumptions!$G$240,Assumptions!$G$242,$C361),BJ372))),0)</f>
        <v>0</v>
      </c>
      <c r="BL372" s="39">
        <f>+IFERROR(-ABS(IF(EDATE(_xlfn.XLOOKUP(1,$H359:$BE359,$H$4:$BE$4),12*Assumptions!$G$242+12)=BL$4,0,IF(BK359=1,PMT(Assumptions!$G$240,Assumptions!$G$242,$C361),BK372))),0)</f>
        <v>0</v>
      </c>
      <c r="BM372" s="39">
        <f>+IFERROR(-ABS(IF(EDATE(_xlfn.XLOOKUP(1,$H359:$BE359,$H$4:$BE$4),12*Assumptions!$G$242+12)=BM$4,0,IF(BL359=1,PMT(Assumptions!$G$240,Assumptions!$G$242,$C361),BL372))),0)</f>
        <v>0</v>
      </c>
      <c r="BN372" s="39">
        <f>+IFERROR(-ABS(IF(EDATE(_xlfn.XLOOKUP(1,$H359:$BE359,$H$4:$BE$4),12*Assumptions!$G$242+12)=BN$4,0,IF(BM359=1,PMT(Assumptions!$G$240,Assumptions!$G$242,$C361),BM372))),0)</f>
        <v>0</v>
      </c>
      <c r="BO372" s="39">
        <f>+IFERROR(-ABS(IF(EDATE(_xlfn.XLOOKUP(1,$H359:$BE359,$H$4:$BE$4),12*Assumptions!$G$242+12)=BO$4,0,IF(BN359=1,PMT(Assumptions!$G$240,Assumptions!$G$242,$C361),BN372))),0)</f>
        <v>0</v>
      </c>
      <c r="BP372" s="39">
        <f>+IFERROR(-ABS(IF(EDATE(_xlfn.XLOOKUP(1,$H359:$BE359,$H$4:$BE$4),12*Assumptions!$G$242+12)=BP$4,0,IF(BO359=1,PMT(Assumptions!$G$240,Assumptions!$G$242,$C361),BO372))),0)</f>
        <v>0</v>
      </c>
      <c r="BQ372" s="39">
        <f>+IFERROR(-ABS(IF(EDATE(_xlfn.XLOOKUP(1,$H359:$BE359,$H$4:$BE$4),12*Assumptions!$G$242+12)=BQ$4,0,IF(BP359=1,PMT(Assumptions!$G$240,Assumptions!$G$242,$C361),BP372))),0)</f>
        <v>0</v>
      </c>
      <c r="BR372" s="39">
        <f>+IFERROR(-ABS(IF(EDATE(_xlfn.XLOOKUP(1,$H359:$BE359,$H$4:$BE$4),12*Assumptions!$G$242+12)=BR$4,0,IF(BQ359=1,PMT(Assumptions!$G$240,Assumptions!$G$242,$C361),BQ372))),0)</f>
        <v>0</v>
      </c>
      <c r="BS372" s="39">
        <f>+IFERROR(-ABS(IF(EDATE(_xlfn.XLOOKUP(1,$H359:$BE359,$H$4:$BE$4),12*Assumptions!$G$242+12)=BS$4,0,IF(BR359=1,PMT(Assumptions!$G$240,Assumptions!$G$242,$C361),BR372))),0)</f>
        <v>0</v>
      </c>
      <c r="BT372" s="39">
        <f>+IFERROR(-ABS(IF(EDATE(_xlfn.XLOOKUP(1,$H359:$BE359,$H$4:$BE$4),12*Assumptions!$G$242+12)=BT$4,0,IF(BS359=1,PMT(Assumptions!$G$240,Assumptions!$G$242,$C361),BS372))),0)</f>
        <v>0</v>
      </c>
      <c r="BU372" s="39">
        <f>+IFERROR(-ABS(IF(EDATE(_xlfn.XLOOKUP(1,$H359:$BE359,$H$4:$BE$4),12*Assumptions!$G$242+12)=BU$4,0,IF(BT359=1,PMT(Assumptions!$G$240,Assumptions!$G$242,$C361),BT372))),0)</f>
        <v>0</v>
      </c>
      <c r="BV372" s="39">
        <f>+IFERROR(-ABS(IF(EDATE(_xlfn.XLOOKUP(1,$H359:$BE359,$H$4:$BE$4),12*Assumptions!$G$242+12)=BV$4,0,IF(BU359=1,PMT(Assumptions!$G$240,Assumptions!$G$242,$C361),BU372))),0)</f>
        <v>0</v>
      </c>
      <c r="BW372" s="39">
        <f>+IFERROR(-ABS(IF(EDATE(_xlfn.XLOOKUP(1,$H359:$BE359,$H$4:$BE$4),12*Assumptions!$G$242+12)=BW$4,0,IF(BV359=1,PMT(Assumptions!$G$240,Assumptions!$G$242,$C361),BV372))),0)</f>
        <v>0</v>
      </c>
      <c r="BX372" s="39">
        <f>+IFERROR(-ABS(IF(EDATE(_xlfn.XLOOKUP(1,$H359:$BE359,$H$4:$BE$4),12*Assumptions!$G$242+12)=BX$4,0,IF(BW359=1,PMT(Assumptions!$G$240,Assumptions!$G$242,$C361),BW372))),0)</f>
        <v>0</v>
      </c>
      <c r="BY372" s="39">
        <f>+IFERROR(-ABS(IF(EDATE(_xlfn.XLOOKUP(1,$H359:$BE359,$H$4:$BE$4),12*Assumptions!$G$242+12)=BY$4,0,IF(BX359=1,PMT(Assumptions!$G$240,Assumptions!$G$242,$C361),BX372))),0)</f>
        <v>0</v>
      </c>
    </row>
    <row r="373" spans="2:77" outlineLevel="1">
      <c r="E373" s="24" t="s">
        <v>523</v>
      </c>
      <c r="F373" s="80" t="str">
        <f>+Assumptions!$G$8</f>
        <v>USD</v>
      </c>
      <c r="G373" s="24"/>
      <c r="H373" s="39">
        <f>+IFERROR(-ABS(IF(EDATE(_xlfn.XLOOKUP(1,$H360:$BE360,$H$4:$BE$4),12*Assumptions!$G$242+12)=H$4,0,IF(G360=1,PMT(Assumptions!$G$240,Assumptions!$G$242,$C362),G373))),0)</f>
        <v>0</v>
      </c>
      <c r="I373" s="39">
        <f>+IFERROR(-ABS(IF(EDATE(_xlfn.XLOOKUP(1,$H360:$BE360,$H$4:$BE$4),12*Assumptions!$G$242+12)=I$4,0,IF(H360=1,PMT(Assumptions!$G$240,Assumptions!$G$242,$C362),H373))),0)</f>
        <v>0</v>
      </c>
      <c r="J373" s="39">
        <f>+IFERROR(-ABS(IF(EDATE(_xlfn.XLOOKUP(1,$H360:$BE360,$H$4:$BE$4),12*Assumptions!$G$242+12)=J$4,0,IF(I360=1,PMT(Assumptions!$G$240,Assumptions!$G$242,$C362),I373))),0)</f>
        <v>0</v>
      </c>
      <c r="K373" s="39">
        <f>+IFERROR(-ABS(IF(EDATE(_xlfn.XLOOKUP(1,$H360:$BE360,$H$4:$BE$4),12*Assumptions!$G$242+12)=K$4,0,IF(J360=1,PMT(Assumptions!$G$240,Assumptions!$G$242,$C362),J373))),0)</f>
        <v>0</v>
      </c>
      <c r="L373" s="39">
        <f>+IFERROR(-ABS(IF(EDATE(_xlfn.XLOOKUP(1,$H360:$BE360,$H$4:$BE$4),12*Assumptions!$G$242+12)=L$4,0,IF(K360=1,PMT(Assumptions!$G$240,Assumptions!$G$242,$C362),K373))),0)</f>
        <v>0</v>
      </c>
      <c r="M373" s="39">
        <f>+IFERROR(-ABS(IF(EDATE(_xlfn.XLOOKUP(1,$H360:$BE360,$H$4:$BE$4),12*Assumptions!$G$242+12)=M$4,0,IF(L360=1,PMT(Assumptions!$G$240,Assumptions!$G$242,$C362),L373))),0)</f>
        <v>0</v>
      </c>
      <c r="N373" s="39">
        <f>+IFERROR(-ABS(IF(EDATE(_xlfn.XLOOKUP(1,$H360:$BE360,$H$4:$BE$4),12*Assumptions!$G$242+12)=N$4,0,IF(M360=1,PMT(Assumptions!$G$240,Assumptions!$G$242,$C362),M373))),0)</f>
        <v>0</v>
      </c>
      <c r="O373" s="39">
        <f>+IFERROR(-ABS(IF(EDATE(_xlfn.XLOOKUP(1,$H360:$BE360,$H$4:$BE$4),12*Assumptions!$G$242+12)=O$4,0,IF(N360=1,PMT(Assumptions!$G$240,Assumptions!$G$242,$C362),N373))),0)</f>
        <v>0</v>
      </c>
      <c r="P373" s="39">
        <f>+IFERROR(-ABS(IF(EDATE(_xlfn.XLOOKUP(1,$H360:$BE360,$H$4:$BE$4),12*Assumptions!$G$242+12)=P$4,0,IF(O360=1,PMT(Assumptions!$G$240,Assumptions!$G$242,$C362),O373))),0)</f>
        <v>0</v>
      </c>
      <c r="Q373" s="39">
        <f>+IFERROR(-ABS(IF(EDATE(_xlfn.XLOOKUP(1,$H360:$BE360,$H$4:$BE$4),12*Assumptions!$G$242+12)=Q$4,0,IF(P360=1,PMT(Assumptions!$G$240,Assumptions!$G$242,$C362),P373))),0)</f>
        <v>0</v>
      </c>
      <c r="R373" s="39">
        <f>+IFERROR(-ABS(IF(EDATE(_xlfn.XLOOKUP(1,$H360:$BE360,$H$4:$BE$4),12*Assumptions!$G$242+12)=R$4,0,IF(Q360=1,PMT(Assumptions!$G$240,Assumptions!$G$242,$C362),Q373))),0)</f>
        <v>0</v>
      </c>
      <c r="S373" s="39">
        <f>+IFERROR(-ABS(IF(EDATE(_xlfn.XLOOKUP(1,$H360:$BE360,$H$4:$BE$4),12*Assumptions!$G$242+12)=S$4,0,IF(R360=1,PMT(Assumptions!$G$240,Assumptions!$G$242,$C362),R373))),0)</f>
        <v>0</v>
      </c>
      <c r="T373" s="39">
        <f>+IFERROR(-ABS(IF(EDATE(_xlfn.XLOOKUP(1,$H360:$BE360,$H$4:$BE$4),12*Assumptions!$G$242+12)=T$4,0,IF(S360=1,PMT(Assumptions!$G$240,Assumptions!$G$242,$C362),S373))),0)</f>
        <v>0</v>
      </c>
      <c r="U373" s="39">
        <f>+IFERROR(-ABS(IF(EDATE(_xlfn.XLOOKUP(1,$H360:$BE360,$H$4:$BE$4),12*Assumptions!$G$242+12)=U$4,0,IF(T360=1,PMT(Assumptions!$G$240,Assumptions!$G$242,$C362),T373))),0)</f>
        <v>0</v>
      </c>
      <c r="V373" s="39">
        <f>+IFERROR(-ABS(IF(EDATE(_xlfn.XLOOKUP(1,$H360:$BE360,$H$4:$BE$4),12*Assumptions!$G$242+12)=V$4,0,IF(U360=1,PMT(Assumptions!$G$240,Assumptions!$G$242,$C362),U373))),0)</f>
        <v>0</v>
      </c>
      <c r="W373" s="39">
        <f>+IFERROR(-ABS(IF(EDATE(_xlfn.XLOOKUP(1,$H360:$BE360,$H$4:$BE$4),12*Assumptions!$G$242+12)=W$4,0,IF(V360=1,PMT(Assumptions!$G$240,Assumptions!$G$242,$C362),V373))),0)</f>
        <v>0</v>
      </c>
      <c r="X373" s="39">
        <f>+IFERROR(-ABS(IF(EDATE(_xlfn.XLOOKUP(1,$H360:$BE360,$H$4:$BE$4),12*Assumptions!$G$242+12)=X$4,0,IF(W360=1,PMT(Assumptions!$G$240,Assumptions!$G$242,$C362),W373))),0)</f>
        <v>0</v>
      </c>
      <c r="Y373" s="39">
        <f>+IFERROR(-ABS(IF(EDATE(_xlfn.XLOOKUP(1,$H360:$BE360,$H$4:$BE$4),12*Assumptions!$G$242+12)=Y$4,0,IF(X360=1,PMT(Assumptions!$G$240,Assumptions!$G$242,$C362),X373))),0)</f>
        <v>0</v>
      </c>
      <c r="Z373" s="39">
        <f>+IFERROR(-ABS(IF(EDATE(_xlfn.XLOOKUP(1,$H360:$BE360,$H$4:$BE$4),12*Assumptions!$G$242+12)=Z$4,0,IF(Y360=1,PMT(Assumptions!$G$240,Assumptions!$G$242,$C362),Y373))),0)</f>
        <v>0</v>
      </c>
      <c r="AA373" s="39">
        <f>+IFERROR(-ABS(IF(EDATE(_xlfn.XLOOKUP(1,$H360:$BE360,$H$4:$BE$4),12*Assumptions!$G$242+12)=AA$4,0,IF(Z360=1,PMT(Assumptions!$G$240,Assumptions!$G$242,$C362),Z373))),0)</f>
        <v>0</v>
      </c>
      <c r="AB373" s="39">
        <f>+IFERROR(-ABS(IF(EDATE(_xlfn.XLOOKUP(1,$H360:$BE360,$H$4:$BE$4),12*Assumptions!$G$242+12)=AB$4,0,IF(AA360=1,PMT(Assumptions!$G$240,Assumptions!$G$242,$C362),AA373))),0)</f>
        <v>0</v>
      </c>
      <c r="AC373" s="39">
        <f>+IFERROR(-ABS(IF(EDATE(_xlfn.XLOOKUP(1,$H360:$BE360,$H$4:$BE$4),12*Assumptions!$G$242+12)=AC$4,0,IF(AB360=1,PMT(Assumptions!$G$240,Assumptions!$G$242,$C362),AB373))),0)</f>
        <v>0</v>
      </c>
      <c r="AD373" s="39">
        <f>+IFERROR(-ABS(IF(EDATE(_xlfn.XLOOKUP(1,$H360:$BE360,$H$4:$BE$4),12*Assumptions!$G$242+12)=AD$4,0,IF(AC360=1,PMT(Assumptions!$G$240,Assumptions!$G$242,$C362),AC373))),0)</f>
        <v>0</v>
      </c>
      <c r="AE373" s="39">
        <f>+IFERROR(-ABS(IF(EDATE(_xlfn.XLOOKUP(1,$H360:$BE360,$H$4:$BE$4),12*Assumptions!$G$242+12)=AE$4,0,IF(AD360=1,PMT(Assumptions!$G$240,Assumptions!$G$242,$C362),AD373))),0)</f>
        <v>0</v>
      </c>
      <c r="AF373" s="39">
        <f>+IFERROR(-ABS(IF(EDATE(_xlfn.XLOOKUP(1,$H360:$BE360,$H$4:$BE$4),12*Assumptions!$G$242+12)=AF$4,0,IF(AE360=1,PMT(Assumptions!$G$240,Assumptions!$G$242,$C362),AE373))),0)</f>
        <v>0</v>
      </c>
      <c r="AG373" s="39">
        <f>+IFERROR(-ABS(IF(EDATE(_xlfn.XLOOKUP(1,$H360:$BE360,$H$4:$BE$4),12*Assumptions!$G$242+12)=AG$4,0,IF(AF360=1,PMT(Assumptions!$G$240,Assumptions!$G$242,$C362),AF373))),0)</f>
        <v>0</v>
      </c>
      <c r="AH373" s="39">
        <f>+IFERROR(-ABS(IF(EDATE(_xlfn.XLOOKUP(1,$H360:$BE360,$H$4:$BE$4),12*Assumptions!$G$242+12)=AH$4,0,IF(AG360=1,PMT(Assumptions!$G$240,Assumptions!$G$242,$C362),AG373))),0)</f>
        <v>0</v>
      </c>
      <c r="AI373" s="39">
        <f>+IFERROR(-ABS(IF(EDATE(_xlfn.XLOOKUP(1,$H360:$BE360,$H$4:$BE$4),12*Assumptions!$G$242+12)=AI$4,0,IF(AH360=1,PMT(Assumptions!$G$240,Assumptions!$G$242,$C362),AH373))),0)</f>
        <v>0</v>
      </c>
      <c r="AJ373" s="39">
        <f>+IFERROR(-ABS(IF(EDATE(_xlfn.XLOOKUP(1,$H360:$BE360,$H$4:$BE$4),12*Assumptions!$G$242+12)=AJ$4,0,IF(AI360=1,PMT(Assumptions!$G$240,Assumptions!$G$242,$C362),AI373))),0)</f>
        <v>0</v>
      </c>
      <c r="AK373" s="39">
        <f>+IFERROR(-ABS(IF(EDATE(_xlfn.XLOOKUP(1,$H360:$BE360,$H$4:$BE$4),12*Assumptions!$G$242+12)=AK$4,0,IF(AJ360=1,PMT(Assumptions!$G$240,Assumptions!$G$242,$C362),AJ373))),0)</f>
        <v>0</v>
      </c>
      <c r="AL373" s="39">
        <f>+IFERROR(-ABS(IF(EDATE(_xlfn.XLOOKUP(1,$H360:$BE360,$H$4:$BE$4),12*Assumptions!$G$242+12)=AL$4,0,IF(AK360=1,PMT(Assumptions!$G$240,Assumptions!$G$242,$C362),AK373))),0)</f>
        <v>0</v>
      </c>
      <c r="AM373" s="39">
        <f>+IFERROR(-ABS(IF(EDATE(_xlfn.XLOOKUP(1,$H360:$BE360,$H$4:$BE$4),12*Assumptions!$G$242+12)=AM$4,0,IF(AL360=1,PMT(Assumptions!$G$240,Assumptions!$G$242,$C362),AL373))),0)</f>
        <v>0</v>
      </c>
      <c r="AN373" s="39">
        <f>+IFERROR(-ABS(IF(EDATE(_xlfn.XLOOKUP(1,$H360:$BE360,$H$4:$BE$4),12*Assumptions!$G$242+12)=AN$4,0,IF(AM360=1,PMT(Assumptions!$G$240,Assumptions!$G$242,$C362),AM373))),0)</f>
        <v>0</v>
      </c>
      <c r="AO373" s="39">
        <f>+IFERROR(-ABS(IF(EDATE(_xlfn.XLOOKUP(1,$H360:$BE360,$H$4:$BE$4),12*Assumptions!$G$242+12)=AO$4,0,IF(AN360=1,PMT(Assumptions!$G$240,Assumptions!$G$242,$C362),AN373))),0)</f>
        <v>0</v>
      </c>
      <c r="AP373" s="39">
        <f>+IFERROR(-ABS(IF(EDATE(_xlfn.XLOOKUP(1,$H360:$BE360,$H$4:$BE$4),12*Assumptions!$G$242+12)=AP$4,0,IF(AO360=1,PMT(Assumptions!$G$240,Assumptions!$G$242,$C362),AO373))),0)</f>
        <v>0</v>
      </c>
      <c r="AQ373" s="39">
        <f>+IFERROR(-ABS(IF(EDATE(_xlfn.XLOOKUP(1,$H360:$BE360,$H$4:$BE$4),12*Assumptions!$G$242+12)=AQ$4,0,IF(AP360=1,PMT(Assumptions!$G$240,Assumptions!$G$242,$C362),AP373))),0)</f>
        <v>0</v>
      </c>
      <c r="AR373" s="39">
        <f>+IFERROR(-ABS(IF(EDATE(_xlfn.XLOOKUP(1,$H360:$BE360,$H$4:$BE$4),12*Assumptions!$G$242+12)=AR$4,0,IF(AQ360=1,PMT(Assumptions!$G$240,Assumptions!$G$242,$C362),AQ373))),0)</f>
        <v>0</v>
      </c>
      <c r="AS373" s="39">
        <f>+IFERROR(-ABS(IF(EDATE(_xlfn.XLOOKUP(1,$H360:$BE360,$H$4:$BE$4),12*Assumptions!$G$242+12)=AS$4,0,IF(AR360=1,PMT(Assumptions!$G$240,Assumptions!$G$242,$C362),AR373))),0)</f>
        <v>0</v>
      </c>
      <c r="AT373" s="39">
        <f>+IFERROR(-ABS(IF(EDATE(_xlfn.XLOOKUP(1,$H360:$BE360,$H$4:$BE$4),12*Assumptions!$G$242+12)=AT$4,0,IF(AS360=1,PMT(Assumptions!$G$240,Assumptions!$G$242,$C362),AS373))),0)</f>
        <v>0</v>
      </c>
      <c r="AU373" s="39">
        <f>+IFERROR(-ABS(IF(EDATE(_xlfn.XLOOKUP(1,$H360:$BE360,$H$4:$BE$4),12*Assumptions!$G$242+12)=AU$4,0,IF(AT360=1,PMT(Assumptions!$G$240,Assumptions!$G$242,$C362),AT373))),0)</f>
        <v>0</v>
      </c>
      <c r="AV373" s="39">
        <f>+IFERROR(-ABS(IF(EDATE(_xlfn.XLOOKUP(1,$H360:$BE360,$H$4:$BE$4),12*Assumptions!$G$242+12)=AV$4,0,IF(AU360=1,PMT(Assumptions!$G$240,Assumptions!$G$242,$C362),AU373))),0)</f>
        <v>0</v>
      </c>
      <c r="AW373" s="39">
        <f>+IFERROR(-ABS(IF(EDATE(_xlfn.XLOOKUP(1,$H360:$BE360,$H$4:$BE$4),12*Assumptions!$G$242+12)=AW$4,0,IF(AV360=1,PMT(Assumptions!$G$240,Assumptions!$G$242,$C362),AV373))),0)</f>
        <v>0</v>
      </c>
      <c r="AX373" s="39">
        <f>+IFERROR(-ABS(IF(EDATE(_xlfn.XLOOKUP(1,$H360:$BE360,$H$4:$BE$4),12*Assumptions!$G$242+12)=AX$4,0,IF(AW360=1,PMT(Assumptions!$G$240,Assumptions!$G$242,$C362),AW373))),0)</f>
        <v>0</v>
      </c>
      <c r="AY373" s="39">
        <f>+IFERROR(-ABS(IF(EDATE(_xlfn.XLOOKUP(1,$H360:$BE360,$H$4:$BE$4),12*Assumptions!$G$242+12)=AY$4,0,IF(AX360=1,PMT(Assumptions!$G$240,Assumptions!$G$242,$C362),AX373))),0)</f>
        <v>0</v>
      </c>
      <c r="AZ373" s="39">
        <f>+IFERROR(-ABS(IF(EDATE(_xlfn.XLOOKUP(1,$H360:$BE360,$H$4:$BE$4),12*Assumptions!$G$242+12)=AZ$4,0,IF(AY360=1,PMT(Assumptions!$G$240,Assumptions!$G$242,$C362),AY373))),0)</f>
        <v>0</v>
      </c>
      <c r="BA373" s="39">
        <f>+IFERROR(-ABS(IF(EDATE(_xlfn.XLOOKUP(1,$H360:$BE360,$H$4:$BE$4),12*Assumptions!$G$242+12)=BA$4,0,IF(AZ360=1,PMT(Assumptions!$G$240,Assumptions!$G$242,$C362),AZ373))),0)</f>
        <v>0</v>
      </c>
      <c r="BB373" s="39">
        <f>+IFERROR(-ABS(IF(EDATE(_xlfn.XLOOKUP(1,$H360:$BE360,$H$4:$BE$4),12*Assumptions!$G$242+12)=BB$4,0,IF(BA360=1,PMT(Assumptions!$G$240,Assumptions!$G$242,$C362),BA373))),0)</f>
        <v>0</v>
      </c>
      <c r="BC373" s="39">
        <f>+IFERROR(-ABS(IF(EDATE(_xlfn.XLOOKUP(1,$H360:$BE360,$H$4:$BE$4),12*Assumptions!$G$242+12)=BC$4,0,IF(BB360=1,PMT(Assumptions!$G$240,Assumptions!$G$242,$C362),BB373))),0)</f>
        <v>0</v>
      </c>
      <c r="BD373" s="39">
        <f>+IFERROR(-ABS(IF(EDATE(_xlfn.XLOOKUP(1,$H360:$BE360,$H$4:$BE$4),12*Assumptions!$G$242+12)=BD$4,0,IF(BC360=1,PMT(Assumptions!$G$240,Assumptions!$G$242,$C362),BC373))),0)</f>
        <v>0</v>
      </c>
      <c r="BE373" s="39">
        <f>+IFERROR(-ABS(IF(EDATE(_xlfn.XLOOKUP(1,$H360:$BE360,$H$4:$BE$4),12*Assumptions!$G$242+12)=BE$4,0,IF(BD360=1,PMT(Assumptions!$G$240,Assumptions!$G$242,$C362),BD373))),0)</f>
        <v>0</v>
      </c>
      <c r="BF373" s="39">
        <f>+IFERROR(-ABS(IF(EDATE(_xlfn.XLOOKUP(1,$H360:$BE360,$H$4:$BE$4),12*Assumptions!$G$242+12)=BF$4,0,IF(BE360=1,PMT(Assumptions!$G$240,Assumptions!$G$242,$C362),BE373))),0)</f>
        <v>0</v>
      </c>
      <c r="BG373" s="39">
        <f>+IFERROR(-ABS(IF(EDATE(_xlfn.XLOOKUP(1,$H360:$BE360,$H$4:$BE$4),12*Assumptions!$G$242+12)=BG$4,0,IF(BF360=1,PMT(Assumptions!$G$240,Assumptions!$G$242,$C362),BF373))),0)</f>
        <v>0</v>
      </c>
      <c r="BH373" s="39">
        <f>+IFERROR(-ABS(IF(EDATE(_xlfn.XLOOKUP(1,$H360:$BE360,$H$4:$BE$4),12*Assumptions!$G$242+12)=BH$4,0,IF(BG360=1,PMT(Assumptions!$G$240,Assumptions!$G$242,$C362),BG373))),0)</f>
        <v>0</v>
      </c>
      <c r="BI373" s="39">
        <f>+IFERROR(-ABS(IF(EDATE(_xlfn.XLOOKUP(1,$H360:$BE360,$H$4:$BE$4),12*Assumptions!$G$242+12)=BI$4,0,IF(BH360=1,PMT(Assumptions!$G$240,Assumptions!$G$242,$C362),BH373))),0)</f>
        <v>0</v>
      </c>
      <c r="BJ373" s="39">
        <f>+IFERROR(-ABS(IF(EDATE(_xlfn.XLOOKUP(1,$H360:$BE360,$H$4:$BE$4),12*Assumptions!$G$242+12)=BJ$4,0,IF(BI360=1,PMT(Assumptions!$G$240,Assumptions!$G$242,$C362),BI373))),0)</f>
        <v>0</v>
      </c>
      <c r="BK373" s="39">
        <f>+IFERROR(-ABS(IF(EDATE(_xlfn.XLOOKUP(1,$H360:$BE360,$H$4:$BE$4),12*Assumptions!$G$242+12)=BK$4,0,IF(BJ360=1,PMT(Assumptions!$G$240,Assumptions!$G$242,$C362),BJ373))),0)</f>
        <v>0</v>
      </c>
      <c r="BL373" s="39">
        <f>+IFERROR(-ABS(IF(EDATE(_xlfn.XLOOKUP(1,$H360:$BE360,$H$4:$BE$4),12*Assumptions!$G$242+12)=BL$4,0,IF(BK360=1,PMT(Assumptions!$G$240,Assumptions!$G$242,$C362),BK373))),0)</f>
        <v>0</v>
      </c>
      <c r="BM373" s="39">
        <f>+IFERROR(-ABS(IF(EDATE(_xlfn.XLOOKUP(1,$H360:$BE360,$H$4:$BE$4),12*Assumptions!$G$242+12)=BM$4,0,IF(BL360=1,PMT(Assumptions!$G$240,Assumptions!$G$242,$C362),BL373))),0)</f>
        <v>0</v>
      </c>
      <c r="BN373" s="39">
        <f>+IFERROR(-ABS(IF(EDATE(_xlfn.XLOOKUP(1,$H360:$BE360,$H$4:$BE$4),12*Assumptions!$G$242+12)=BN$4,0,IF(BM360=1,PMT(Assumptions!$G$240,Assumptions!$G$242,$C362),BM373))),0)</f>
        <v>0</v>
      </c>
      <c r="BO373" s="39">
        <f>+IFERROR(-ABS(IF(EDATE(_xlfn.XLOOKUP(1,$H360:$BE360,$H$4:$BE$4),12*Assumptions!$G$242+12)=BO$4,0,IF(BN360=1,PMT(Assumptions!$G$240,Assumptions!$G$242,$C362),BN373))),0)</f>
        <v>0</v>
      </c>
      <c r="BP373" s="39">
        <f>+IFERROR(-ABS(IF(EDATE(_xlfn.XLOOKUP(1,$H360:$BE360,$H$4:$BE$4),12*Assumptions!$G$242+12)=BP$4,0,IF(BO360=1,PMT(Assumptions!$G$240,Assumptions!$G$242,$C362),BO373))),0)</f>
        <v>0</v>
      </c>
      <c r="BQ373" s="39">
        <f>+IFERROR(-ABS(IF(EDATE(_xlfn.XLOOKUP(1,$H360:$BE360,$H$4:$BE$4),12*Assumptions!$G$242+12)=BQ$4,0,IF(BP360=1,PMT(Assumptions!$G$240,Assumptions!$G$242,$C362),BP373))),0)</f>
        <v>0</v>
      </c>
      <c r="BR373" s="39">
        <f>+IFERROR(-ABS(IF(EDATE(_xlfn.XLOOKUP(1,$H360:$BE360,$H$4:$BE$4),12*Assumptions!$G$242+12)=BR$4,0,IF(BQ360=1,PMT(Assumptions!$G$240,Assumptions!$G$242,$C362),BQ373))),0)</f>
        <v>0</v>
      </c>
      <c r="BS373" s="39">
        <f>+IFERROR(-ABS(IF(EDATE(_xlfn.XLOOKUP(1,$H360:$BE360,$H$4:$BE$4),12*Assumptions!$G$242+12)=BS$4,0,IF(BR360=1,PMT(Assumptions!$G$240,Assumptions!$G$242,$C362),BR373))),0)</f>
        <v>0</v>
      </c>
      <c r="BT373" s="39">
        <f>+IFERROR(-ABS(IF(EDATE(_xlfn.XLOOKUP(1,$H360:$BE360,$H$4:$BE$4),12*Assumptions!$G$242+12)=BT$4,0,IF(BS360=1,PMT(Assumptions!$G$240,Assumptions!$G$242,$C362),BS373))),0)</f>
        <v>0</v>
      </c>
      <c r="BU373" s="39">
        <f>+IFERROR(-ABS(IF(EDATE(_xlfn.XLOOKUP(1,$H360:$BE360,$H$4:$BE$4),12*Assumptions!$G$242+12)=BU$4,0,IF(BT360=1,PMT(Assumptions!$G$240,Assumptions!$G$242,$C362),BT373))),0)</f>
        <v>0</v>
      </c>
      <c r="BV373" s="39">
        <f>+IFERROR(-ABS(IF(EDATE(_xlfn.XLOOKUP(1,$H360:$BE360,$H$4:$BE$4),12*Assumptions!$G$242+12)=BV$4,0,IF(BU360=1,PMT(Assumptions!$G$240,Assumptions!$G$242,$C362),BU373))),0)</f>
        <v>0</v>
      </c>
      <c r="BW373" s="39">
        <f>+IFERROR(-ABS(IF(EDATE(_xlfn.XLOOKUP(1,$H360:$BE360,$H$4:$BE$4),12*Assumptions!$G$242+12)=BW$4,0,IF(BV360=1,PMT(Assumptions!$G$240,Assumptions!$G$242,$C362),BV373))),0)</f>
        <v>0</v>
      </c>
      <c r="BX373" s="39">
        <f>+IFERROR(-ABS(IF(EDATE(_xlfn.XLOOKUP(1,$H360:$BE360,$H$4:$BE$4),12*Assumptions!$G$242+12)=BX$4,0,IF(BW360=1,PMT(Assumptions!$G$240,Assumptions!$G$242,$C362),BW373))),0)</f>
        <v>0</v>
      </c>
      <c r="BY373" s="39">
        <f>+IFERROR(-ABS(IF(EDATE(_xlfn.XLOOKUP(1,$H360:$BE360,$H$4:$BE$4),12*Assumptions!$G$242+12)=BY$4,0,IF(BX360=1,PMT(Assumptions!$G$240,Assumptions!$G$242,$C362),BX373))),0)</f>
        <v>0</v>
      </c>
    </row>
    <row r="374" spans="2:77" outlineLevel="1">
      <c r="E374" s="24"/>
      <c r="F374" s="23"/>
      <c r="G374" s="24"/>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row>
    <row r="375" spans="2:77" outlineLevel="1">
      <c r="E375" t="s">
        <v>524</v>
      </c>
      <c r="F375" s="80" t="str">
        <f>+Assumptions!$G$8</f>
        <v>USD</v>
      </c>
      <c r="H375" s="32">
        <f>MIN(+H347-H363+H361,0)</f>
        <v>0</v>
      </c>
      <c r="I375" s="32">
        <f t="shared" ref="I375:BT375" si="675">MIN(+I347-I363+I361,0)</f>
        <v>0</v>
      </c>
      <c r="J375" s="32">
        <f t="shared" si="675"/>
        <v>0</v>
      </c>
      <c r="K375" s="32">
        <f t="shared" si="675"/>
        <v>0</v>
      </c>
      <c r="L375" s="32">
        <f t="shared" si="675"/>
        <v>0</v>
      </c>
      <c r="M375" s="32">
        <f t="shared" si="675"/>
        <v>0</v>
      </c>
      <c r="N375" s="32">
        <f t="shared" si="675"/>
        <v>0</v>
      </c>
      <c r="O375" s="32">
        <f t="shared" si="675"/>
        <v>0</v>
      </c>
      <c r="P375" s="32">
        <f t="shared" si="675"/>
        <v>0</v>
      </c>
      <c r="Q375" s="32">
        <f t="shared" si="675"/>
        <v>0</v>
      </c>
      <c r="R375" s="32">
        <f t="shared" si="675"/>
        <v>0</v>
      </c>
      <c r="S375" s="32">
        <f t="shared" si="675"/>
        <v>0</v>
      </c>
      <c r="T375" s="32">
        <f t="shared" si="675"/>
        <v>0</v>
      </c>
      <c r="U375" s="32">
        <f t="shared" si="675"/>
        <v>0</v>
      </c>
      <c r="V375" s="32">
        <f t="shared" si="675"/>
        <v>0</v>
      </c>
      <c r="W375" s="32">
        <f t="shared" si="675"/>
        <v>0</v>
      </c>
      <c r="X375" s="32">
        <f t="shared" si="675"/>
        <v>0</v>
      </c>
      <c r="Y375" s="32">
        <f t="shared" si="675"/>
        <v>0</v>
      </c>
      <c r="Z375" s="32">
        <f t="shared" si="675"/>
        <v>0</v>
      </c>
      <c r="AA375" s="32">
        <f t="shared" si="675"/>
        <v>0</v>
      </c>
      <c r="AB375" s="32">
        <f t="shared" si="675"/>
        <v>0</v>
      </c>
      <c r="AC375" s="32">
        <f t="shared" si="675"/>
        <v>0</v>
      </c>
      <c r="AD375" s="32">
        <f t="shared" si="675"/>
        <v>0</v>
      </c>
      <c r="AE375" s="32">
        <f t="shared" si="675"/>
        <v>0</v>
      </c>
      <c r="AF375" s="32">
        <f t="shared" si="675"/>
        <v>0</v>
      </c>
      <c r="AG375" s="32">
        <f t="shared" si="675"/>
        <v>0</v>
      </c>
      <c r="AH375" s="32">
        <f t="shared" si="675"/>
        <v>0</v>
      </c>
      <c r="AI375" s="32">
        <f t="shared" si="675"/>
        <v>0</v>
      </c>
      <c r="AJ375" s="32">
        <f t="shared" si="675"/>
        <v>0</v>
      </c>
      <c r="AK375" s="32">
        <f t="shared" si="675"/>
        <v>0</v>
      </c>
      <c r="AL375" s="32">
        <f t="shared" si="675"/>
        <v>0</v>
      </c>
      <c r="AM375" s="32">
        <f t="shared" si="675"/>
        <v>0</v>
      </c>
      <c r="AN375" s="32">
        <f t="shared" si="675"/>
        <v>0</v>
      </c>
      <c r="AO375" s="32">
        <f t="shared" si="675"/>
        <v>0</v>
      </c>
      <c r="AP375" s="32">
        <f t="shared" si="675"/>
        <v>0</v>
      </c>
      <c r="AQ375" s="32">
        <f t="shared" si="675"/>
        <v>0</v>
      </c>
      <c r="AR375" s="32">
        <f t="shared" si="675"/>
        <v>0</v>
      </c>
      <c r="AS375" s="32">
        <f t="shared" si="675"/>
        <v>0</v>
      </c>
      <c r="AT375" s="32">
        <f t="shared" si="675"/>
        <v>0</v>
      </c>
      <c r="AU375" s="32">
        <f t="shared" si="675"/>
        <v>0</v>
      </c>
      <c r="AV375" s="32">
        <f t="shared" si="675"/>
        <v>0</v>
      </c>
      <c r="AW375" s="32">
        <f t="shared" si="675"/>
        <v>0</v>
      </c>
      <c r="AX375" s="32">
        <f t="shared" si="675"/>
        <v>0</v>
      </c>
      <c r="AY375" s="32">
        <f t="shared" si="675"/>
        <v>0</v>
      </c>
      <c r="AZ375" s="32">
        <f t="shared" si="675"/>
        <v>0</v>
      </c>
      <c r="BA375" s="32">
        <f t="shared" si="675"/>
        <v>0</v>
      </c>
      <c r="BB375" s="32">
        <f t="shared" si="675"/>
        <v>0</v>
      </c>
      <c r="BC375" s="32">
        <f t="shared" si="675"/>
        <v>0</v>
      </c>
      <c r="BD375" s="32">
        <f t="shared" si="675"/>
        <v>0</v>
      </c>
      <c r="BE375" s="32">
        <f t="shared" si="675"/>
        <v>0</v>
      </c>
      <c r="BF375" s="32">
        <f t="shared" si="675"/>
        <v>0</v>
      </c>
      <c r="BG375" s="32">
        <f t="shared" si="675"/>
        <v>0</v>
      </c>
      <c r="BH375" s="32">
        <f t="shared" si="675"/>
        <v>0</v>
      </c>
      <c r="BI375" s="32">
        <f t="shared" si="675"/>
        <v>0</v>
      </c>
      <c r="BJ375" s="32">
        <f t="shared" si="675"/>
        <v>0</v>
      </c>
      <c r="BK375" s="32">
        <f t="shared" si="675"/>
        <v>0</v>
      </c>
      <c r="BL375" s="32">
        <f t="shared" si="675"/>
        <v>0</v>
      </c>
      <c r="BM375" s="32">
        <f t="shared" si="675"/>
        <v>0</v>
      </c>
      <c r="BN375" s="32">
        <f t="shared" si="675"/>
        <v>0</v>
      </c>
      <c r="BO375" s="32">
        <f t="shared" si="675"/>
        <v>0</v>
      </c>
      <c r="BP375" s="32">
        <f t="shared" si="675"/>
        <v>0</v>
      </c>
      <c r="BQ375" s="32">
        <f t="shared" si="675"/>
        <v>0</v>
      </c>
      <c r="BR375" s="32">
        <f t="shared" si="675"/>
        <v>0</v>
      </c>
      <c r="BS375" s="32">
        <f t="shared" si="675"/>
        <v>0</v>
      </c>
      <c r="BT375" s="32">
        <f t="shared" si="675"/>
        <v>0</v>
      </c>
      <c r="BU375" s="32">
        <f t="shared" ref="BU375:BY375" si="676">MIN(+BU347-BU363+BU361,0)</f>
        <v>0</v>
      </c>
      <c r="BV375" s="32">
        <f t="shared" si="676"/>
        <v>0</v>
      </c>
      <c r="BW375" s="32">
        <f t="shared" si="676"/>
        <v>0</v>
      </c>
      <c r="BX375" s="32">
        <f t="shared" si="676"/>
        <v>0</v>
      </c>
      <c r="BY375" s="32">
        <f t="shared" si="676"/>
        <v>0</v>
      </c>
    </row>
    <row r="376" spans="2:77" outlineLevel="1">
      <c r="F376" s="80"/>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row>
    <row r="377" spans="2:77" outlineLevel="1">
      <c r="F377" s="43"/>
      <c r="BF377" s="33"/>
      <c r="BG377" s="33"/>
      <c r="BH377" s="33"/>
      <c r="BI377" s="33"/>
      <c r="BJ377" s="33"/>
      <c r="BK377" s="33"/>
      <c r="BL377" s="33"/>
      <c r="BM377" s="33"/>
      <c r="BN377" s="33"/>
      <c r="BO377" s="33"/>
      <c r="BP377" s="33"/>
      <c r="BQ377" s="33"/>
      <c r="BR377" s="33"/>
      <c r="BS377" s="33"/>
      <c r="BT377" s="33"/>
      <c r="BU377" s="33"/>
      <c r="BV377" s="33"/>
      <c r="BW377" s="33"/>
      <c r="BX377" s="33"/>
      <c r="BY377" s="33"/>
    </row>
    <row r="378" spans="2:77" s="19" customFormat="1" ht="12.75" outlineLevel="1">
      <c r="B378" s="18" t="s">
        <v>526</v>
      </c>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5"/>
      <c r="BW378" s="35"/>
      <c r="BX378" s="35"/>
      <c r="BY378" s="35"/>
    </row>
    <row r="379" spans="2:77" outlineLevel="1">
      <c r="BF379" s="33"/>
      <c r="BG379" s="33"/>
      <c r="BH379" s="33"/>
      <c r="BI379" s="33"/>
      <c r="BJ379" s="33"/>
      <c r="BK379" s="33"/>
      <c r="BL379" s="33"/>
      <c r="BM379" s="33"/>
      <c r="BN379" s="33"/>
      <c r="BO379" s="33"/>
      <c r="BP379" s="33"/>
      <c r="BQ379" s="33"/>
      <c r="BR379" s="33"/>
      <c r="BS379" s="33"/>
      <c r="BT379" s="33"/>
      <c r="BU379" s="33"/>
      <c r="BV379" s="33"/>
      <c r="BW379" s="33"/>
      <c r="BX379" s="33"/>
      <c r="BY379" s="33"/>
    </row>
    <row r="380" spans="2:77" ht="15" outlineLevel="1">
      <c r="E380" s="77" t="s">
        <v>365</v>
      </c>
      <c r="BF380" s="33"/>
      <c r="BG380" s="33"/>
      <c r="BH380" s="33"/>
      <c r="BI380" s="33"/>
      <c r="BJ380" s="33"/>
      <c r="BK380" s="33"/>
      <c r="BL380" s="33"/>
      <c r="BM380" s="33"/>
      <c r="BN380" s="33"/>
      <c r="BO380" s="33"/>
      <c r="BP380" s="33"/>
      <c r="BQ380" s="33"/>
      <c r="BR380" s="33"/>
      <c r="BS380" s="33"/>
      <c r="BT380" s="33"/>
      <c r="BU380" s="33"/>
      <c r="BV380" s="33"/>
      <c r="BW380" s="33"/>
      <c r="BX380" s="33"/>
      <c r="BY380" s="33"/>
    </row>
    <row r="381" spans="2:77" s="33" customFormat="1" outlineLevel="1">
      <c r="B381"/>
      <c r="D381"/>
      <c r="E381" t="s">
        <v>450</v>
      </c>
      <c r="F381" s="23" t="s">
        <v>466</v>
      </c>
      <c r="G381"/>
      <c r="H381" s="33">
        <f t="shared" ref="H381:AM381" si="677">+SUM(H216:H216)</f>
        <v>0</v>
      </c>
      <c r="I381" s="33">
        <f t="shared" si="677"/>
        <v>0</v>
      </c>
      <c r="J381" s="33">
        <f t="shared" si="677"/>
        <v>0</v>
      </c>
      <c r="K381" s="33">
        <f t="shared" si="677"/>
        <v>-13246.886775153287</v>
      </c>
      <c r="L381" s="33">
        <f t="shared" si="677"/>
        <v>-13511.824510656354</v>
      </c>
      <c r="M381" s="33">
        <f t="shared" si="677"/>
        <v>-13782.061000869482</v>
      </c>
      <c r="N381" s="33">
        <f t="shared" si="677"/>
        <v>-14057.702220886868</v>
      </c>
      <c r="O381" s="33">
        <f t="shared" si="677"/>
        <v>-14338.856265304606</v>
      </c>
      <c r="P381" s="33">
        <f t="shared" si="677"/>
        <v>-14625.633390610699</v>
      </c>
      <c r="Q381" s="33">
        <f t="shared" si="677"/>
        <v>-14918.146058422913</v>
      </c>
      <c r="R381" s="33">
        <f t="shared" si="677"/>
        <v>-15216.508979591368</v>
      </c>
      <c r="S381" s="33">
        <f t="shared" si="677"/>
        <v>-15520.839159183199</v>
      </c>
      <c r="T381" s="33">
        <f t="shared" si="677"/>
        <v>-15831.255942366863</v>
      </c>
      <c r="U381" s="33">
        <f t="shared" si="677"/>
        <v>-16147.881061214201</v>
      </c>
      <c r="V381" s="33">
        <f t="shared" si="677"/>
        <v>-16470.83868243848</v>
      </c>
      <c r="W381" s="33">
        <f t="shared" si="677"/>
        <v>-16800.255456087252</v>
      </c>
      <c r="X381" s="33">
        <f t="shared" si="677"/>
        <v>-17136.260565208999</v>
      </c>
      <c r="Y381" s="33">
        <f t="shared" si="677"/>
        <v>-17478.985776513178</v>
      </c>
      <c r="Z381" s="33">
        <f t="shared" si="677"/>
        <v>0</v>
      </c>
      <c r="AA381" s="33">
        <f t="shared" si="677"/>
        <v>0</v>
      </c>
      <c r="AB381" s="33">
        <f t="shared" si="677"/>
        <v>0</v>
      </c>
      <c r="AC381" s="33">
        <f t="shared" si="677"/>
        <v>0</v>
      </c>
      <c r="AD381" s="33">
        <f t="shared" si="677"/>
        <v>0</v>
      </c>
      <c r="AE381" s="33">
        <f t="shared" si="677"/>
        <v>0</v>
      </c>
      <c r="AF381" s="33">
        <f t="shared" si="677"/>
        <v>0</v>
      </c>
      <c r="AG381" s="33">
        <f t="shared" si="677"/>
        <v>0</v>
      </c>
      <c r="AH381" s="33">
        <f t="shared" si="677"/>
        <v>0</v>
      </c>
      <c r="AI381" s="33">
        <f t="shared" si="677"/>
        <v>0</v>
      </c>
      <c r="AJ381" s="33">
        <f t="shared" si="677"/>
        <v>0</v>
      </c>
      <c r="AK381" s="33">
        <f t="shared" si="677"/>
        <v>0</v>
      </c>
      <c r="AL381" s="33">
        <f t="shared" si="677"/>
        <v>0</v>
      </c>
      <c r="AM381" s="33">
        <f t="shared" si="677"/>
        <v>0</v>
      </c>
      <c r="AN381" s="33">
        <f t="shared" ref="AN381:BS381" si="678">+SUM(AN216:AN216)</f>
        <v>0</v>
      </c>
      <c r="AO381" s="33">
        <f t="shared" si="678"/>
        <v>0</v>
      </c>
      <c r="AP381" s="33">
        <f t="shared" si="678"/>
        <v>0</v>
      </c>
      <c r="AQ381" s="33">
        <f t="shared" si="678"/>
        <v>0</v>
      </c>
      <c r="AR381" s="33">
        <f t="shared" si="678"/>
        <v>0</v>
      </c>
      <c r="AS381" s="33">
        <f t="shared" si="678"/>
        <v>0</v>
      </c>
      <c r="AT381" s="33">
        <f t="shared" si="678"/>
        <v>0</v>
      </c>
      <c r="AU381" s="33">
        <f t="shared" si="678"/>
        <v>0</v>
      </c>
      <c r="AV381" s="33">
        <f t="shared" si="678"/>
        <v>0</v>
      </c>
      <c r="AW381" s="33">
        <f t="shared" si="678"/>
        <v>0</v>
      </c>
      <c r="AX381" s="33">
        <f t="shared" si="678"/>
        <v>0</v>
      </c>
      <c r="AY381" s="33">
        <f t="shared" si="678"/>
        <v>0</v>
      </c>
      <c r="AZ381" s="33">
        <f t="shared" si="678"/>
        <v>0</v>
      </c>
      <c r="BA381" s="33">
        <f t="shared" si="678"/>
        <v>0</v>
      </c>
      <c r="BB381" s="33">
        <f t="shared" si="678"/>
        <v>0</v>
      </c>
      <c r="BC381" s="33">
        <f t="shared" si="678"/>
        <v>0</v>
      </c>
      <c r="BD381" s="33">
        <f t="shared" si="678"/>
        <v>0</v>
      </c>
      <c r="BE381" s="33">
        <f t="shared" si="678"/>
        <v>0</v>
      </c>
      <c r="BF381" s="33">
        <f t="shared" si="678"/>
        <v>0</v>
      </c>
      <c r="BG381" s="33">
        <f t="shared" si="678"/>
        <v>0</v>
      </c>
      <c r="BH381" s="33">
        <f t="shared" si="678"/>
        <v>0</v>
      </c>
      <c r="BI381" s="33">
        <f t="shared" si="678"/>
        <v>0</v>
      </c>
      <c r="BJ381" s="33">
        <f t="shared" si="678"/>
        <v>0</v>
      </c>
      <c r="BK381" s="33">
        <f t="shared" si="678"/>
        <v>0</v>
      </c>
      <c r="BL381" s="33">
        <f t="shared" si="678"/>
        <v>0</v>
      </c>
      <c r="BM381" s="33">
        <f t="shared" si="678"/>
        <v>0</v>
      </c>
      <c r="BN381" s="33">
        <f t="shared" si="678"/>
        <v>0</v>
      </c>
      <c r="BO381" s="33">
        <f t="shared" si="678"/>
        <v>0</v>
      </c>
      <c r="BP381" s="33">
        <f t="shared" si="678"/>
        <v>0</v>
      </c>
      <c r="BQ381" s="33">
        <f t="shared" si="678"/>
        <v>0</v>
      </c>
      <c r="BR381" s="33">
        <f t="shared" si="678"/>
        <v>0</v>
      </c>
      <c r="BS381" s="33">
        <f t="shared" si="678"/>
        <v>0</v>
      </c>
      <c r="BT381" s="33">
        <f t="shared" ref="BT381:BY381" si="679">+SUM(BT216:BT216)</f>
        <v>0</v>
      </c>
      <c r="BU381" s="33">
        <f t="shared" si="679"/>
        <v>0</v>
      </c>
      <c r="BV381" s="33">
        <f t="shared" si="679"/>
        <v>0</v>
      </c>
      <c r="BW381" s="33">
        <f t="shared" si="679"/>
        <v>0</v>
      </c>
      <c r="BX381" s="33">
        <f t="shared" si="679"/>
        <v>0</v>
      </c>
      <c r="BY381" s="33">
        <f t="shared" si="679"/>
        <v>0</v>
      </c>
    </row>
    <row r="382" spans="2:77" s="33" customFormat="1" ht="15" outlineLevel="1">
      <c r="B382" s="22"/>
      <c r="D382"/>
      <c r="E382" t="s">
        <v>467</v>
      </c>
      <c r="F382" s="23" t="s">
        <v>466</v>
      </c>
      <c r="G382"/>
      <c r="H382" s="33">
        <f>$C$203/Assumptions!$G$144*H191</f>
        <v>0</v>
      </c>
      <c r="I382" s="33">
        <f>$C$203/Assumptions!$G$144*I191</f>
        <v>0</v>
      </c>
      <c r="J382" s="33">
        <f>$C$203/Assumptions!$G$144*J191</f>
        <v>0</v>
      </c>
      <c r="K382" s="33">
        <f>$C$203/Assumptions!$G$144*K191</f>
        <v>-428660.63190134638</v>
      </c>
      <c r="L382" s="33">
        <f>$C$203/Assumptions!$G$144*L191</f>
        <v>-428660.63190134638</v>
      </c>
      <c r="M382" s="33">
        <f>$C$203/Assumptions!$G$144*M191</f>
        <v>-428660.63190134638</v>
      </c>
      <c r="N382" s="33">
        <f>$C$203/Assumptions!$G$144*N191</f>
        <v>-428660.63190134638</v>
      </c>
      <c r="O382" s="33">
        <f>$C$203/Assumptions!$G$144*O191</f>
        <v>-428660.63190134638</v>
      </c>
      <c r="P382" s="33">
        <f>$C$203/Assumptions!$G$144*P191</f>
        <v>-428660.63190134638</v>
      </c>
      <c r="Q382" s="33">
        <f>$C$203/Assumptions!$G$144*Q191</f>
        <v>-428660.63190134638</v>
      </c>
      <c r="R382" s="33">
        <f>$C$203/Assumptions!$G$144*R191</f>
        <v>-428660.63190134638</v>
      </c>
      <c r="S382" s="33">
        <f>$C$203/Assumptions!$G$144*S191</f>
        <v>-428660.63190134638</v>
      </c>
      <c r="T382" s="33">
        <f>$C$203/Assumptions!$G$144*T191</f>
        <v>-428660.63190134638</v>
      </c>
      <c r="U382" s="33">
        <f>$C$203/Assumptions!$G$144*U191</f>
        <v>-428660.63190134638</v>
      </c>
      <c r="V382" s="33">
        <f>$C$203/Assumptions!$G$144*V191</f>
        <v>-428660.63190134638</v>
      </c>
      <c r="W382" s="33">
        <f>$C$203/Assumptions!$G$144*W191</f>
        <v>-428660.63190134638</v>
      </c>
      <c r="X382" s="33">
        <f>$C$203/Assumptions!$G$144*X191</f>
        <v>-428660.63190134638</v>
      </c>
      <c r="Y382" s="33">
        <f>$C$203/Assumptions!$G$144*Y191</f>
        <v>-428660.63190134638</v>
      </c>
      <c r="Z382" s="33">
        <f>$C$203/Assumptions!$G$144*Z191</f>
        <v>0</v>
      </c>
      <c r="AA382" s="33">
        <f>$C$203/Assumptions!$G$144*AA191</f>
        <v>0</v>
      </c>
      <c r="AB382" s="33">
        <f>$C$203/Assumptions!$G$144*AB191</f>
        <v>0</v>
      </c>
      <c r="AC382" s="33">
        <f>$C$203/Assumptions!$G$144*AC191</f>
        <v>0</v>
      </c>
      <c r="AD382" s="33">
        <f>$C$203/Assumptions!$G$144*AD191</f>
        <v>0</v>
      </c>
      <c r="AE382" s="33">
        <f>$C$203/Assumptions!$G$144*AE191</f>
        <v>0</v>
      </c>
      <c r="AF382" s="33">
        <f>$C$203/Assumptions!$G$144*AF191</f>
        <v>0</v>
      </c>
      <c r="AG382" s="33">
        <f>$C$203/Assumptions!$G$144*AG191</f>
        <v>0</v>
      </c>
      <c r="AH382" s="33">
        <f>$C$203/Assumptions!$G$144*AH191</f>
        <v>0</v>
      </c>
      <c r="AI382" s="33">
        <f>$C$203/Assumptions!$G$144*AI191</f>
        <v>0</v>
      </c>
      <c r="AJ382" s="33">
        <f>$C$203/Assumptions!$G$144*AJ191</f>
        <v>0</v>
      </c>
      <c r="AK382" s="33">
        <f>$C$203/Assumptions!$G$144*AK191</f>
        <v>0</v>
      </c>
      <c r="AL382" s="33">
        <f>$C$203/Assumptions!$G$144*AL191</f>
        <v>0</v>
      </c>
      <c r="AM382" s="33">
        <f>$C$203/Assumptions!$G$144*AM191</f>
        <v>0</v>
      </c>
      <c r="AN382" s="33">
        <f>$C$203/Assumptions!$G$144*AN191</f>
        <v>0</v>
      </c>
      <c r="AO382" s="33">
        <f>$C$203/Assumptions!$G$144*AO191</f>
        <v>0</v>
      </c>
      <c r="AP382" s="33">
        <f>$C$203/Assumptions!$G$144*AP191</f>
        <v>0</v>
      </c>
      <c r="AQ382" s="33">
        <f>$C$203/Assumptions!$G$144*AQ191</f>
        <v>0</v>
      </c>
      <c r="AR382" s="33">
        <f>$C$203/Assumptions!$G$144*AR191</f>
        <v>0</v>
      </c>
      <c r="AS382" s="33">
        <f>$C$203/Assumptions!$G$144*AS191</f>
        <v>0</v>
      </c>
      <c r="AT382" s="33">
        <f>$C$203/Assumptions!$G$144*AT191</f>
        <v>0</v>
      </c>
      <c r="AU382" s="33">
        <f>$C$203/Assumptions!$G$144*AU191</f>
        <v>0</v>
      </c>
      <c r="AV382" s="33">
        <f>$C$203/Assumptions!$G$144*AV191</f>
        <v>0</v>
      </c>
      <c r="AW382" s="33">
        <f>$C$203/Assumptions!$G$144*AW191</f>
        <v>0</v>
      </c>
      <c r="AX382" s="33">
        <f>$C$203/Assumptions!$G$144*AX191</f>
        <v>0</v>
      </c>
      <c r="AY382" s="33">
        <f>$C$203/Assumptions!$G$144*AY191</f>
        <v>0</v>
      </c>
      <c r="AZ382" s="33">
        <f>$C$203/Assumptions!$G$144*AZ191</f>
        <v>0</v>
      </c>
      <c r="BA382" s="33">
        <f>$C$203/Assumptions!$G$144*BA191</f>
        <v>0</v>
      </c>
      <c r="BB382" s="33">
        <f>$C$203/Assumptions!$G$144*BB191</f>
        <v>0</v>
      </c>
      <c r="BC382" s="33">
        <f>$C$203/Assumptions!$G$144*BC191</f>
        <v>0</v>
      </c>
      <c r="BD382" s="33">
        <f>$C$203/Assumptions!$G$144*BD191</f>
        <v>0</v>
      </c>
      <c r="BE382" s="33">
        <f>$C$203/Assumptions!$G$144*BE191</f>
        <v>0</v>
      </c>
      <c r="BF382" s="33">
        <f>$C$203/Assumptions!$G$144*BF191</f>
        <v>0</v>
      </c>
      <c r="BG382" s="33">
        <f>$C$203/Assumptions!$G$144*BG191</f>
        <v>0</v>
      </c>
      <c r="BH382" s="33">
        <f>$C$203/Assumptions!$G$144*BH191</f>
        <v>0</v>
      </c>
      <c r="BI382" s="33">
        <f>$C$203/Assumptions!$G$144*BI191</f>
        <v>0</v>
      </c>
      <c r="BJ382" s="33">
        <f>$C$203/Assumptions!$G$144*BJ191</f>
        <v>0</v>
      </c>
      <c r="BK382" s="33">
        <f>$C$203/Assumptions!$G$144*BK191</f>
        <v>0</v>
      </c>
      <c r="BL382" s="33">
        <f>$C$203/Assumptions!$G$144*BL191</f>
        <v>0</v>
      </c>
      <c r="BM382" s="33">
        <f>$C$203/Assumptions!$G$144*BM191</f>
        <v>0</v>
      </c>
      <c r="BN382" s="33">
        <f>$C$203/Assumptions!$G$144*BN191</f>
        <v>0</v>
      </c>
      <c r="BO382" s="33">
        <f>$C$203/Assumptions!$G$144*BO191</f>
        <v>0</v>
      </c>
      <c r="BP382" s="33">
        <f>$C$203/Assumptions!$G$144*BP191</f>
        <v>0</v>
      </c>
      <c r="BQ382" s="33">
        <f>$C$203/Assumptions!$G$144*BQ191</f>
        <v>0</v>
      </c>
      <c r="BR382" s="33">
        <f>$C$203/Assumptions!$G$144*BR191</f>
        <v>0</v>
      </c>
      <c r="BS382" s="33">
        <f>$C$203/Assumptions!$G$144*BS191</f>
        <v>0</v>
      </c>
      <c r="BT382" s="33">
        <f>$C$203/Assumptions!$G$144*BT191</f>
        <v>0</v>
      </c>
      <c r="BU382" s="33">
        <f>$C$203/Assumptions!$G$144*BU191</f>
        <v>0</v>
      </c>
      <c r="BV382" s="33">
        <f>$C$203/Assumptions!$G$144*BV191</f>
        <v>0</v>
      </c>
      <c r="BW382" s="33">
        <f>$C$203/Assumptions!$G$144*BW191</f>
        <v>0</v>
      </c>
      <c r="BX382" s="33">
        <f>$C$203/Assumptions!$G$144*BX191</f>
        <v>0</v>
      </c>
      <c r="BY382" s="33">
        <f>$C$203/Assumptions!$G$144*BY191</f>
        <v>0</v>
      </c>
    </row>
    <row r="383" spans="2:77" s="33" customFormat="1" ht="15" outlineLevel="1">
      <c r="B383" s="22"/>
      <c r="D383"/>
      <c r="E383" t="s">
        <v>468</v>
      </c>
      <c r="F383" s="23" t="s">
        <v>466</v>
      </c>
      <c r="G383"/>
      <c r="H383" s="33">
        <f t="shared" ref="H383:AM383" ca="1" si="680">+H258+H290</f>
        <v>0</v>
      </c>
      <c r="I383" s="33">
        <f t="shared" ca="1" si="680"/>
        <v>0</v>
      </c>
      <c r="J383" s="33">
        <f t="shared" ca="1" si="680"/>
        <v>-71975.70641538412</v>
      </c>
      <c r="K383" s="33">
        <f t="shared" ca="1" si="680"/>
        <v>-255154.48255454216</v>
      </c>
      <c r="L383" s="33">
        <f t="shared" ca="1" si="680"/>
        <v>-243653.30897291287</v>
      </c>
      <c r="M383" s="33">
        <f t="shared" ca="1" si="680"/>
        <v>-231492.08303943384</v>
      </c>
      <c r="N383" s="33">
        <f t="shared" ca="1" si="680"/>
        <v>-218632.92434963246</v>
      </c>
      <c r="O383" s="33">
        <f t="shared" ca="1" si="680"/>
        <v>-205035.77854262339</v>
      </c>
      <c r="P383" s="33">
        <f t="shared" ca="1" si="680"/>
        <v>-190658.29253775007</v>
      </c>
      <c r="Q383" s="33">
        <f t="shared" ca="1" si="680"/>
        <v>-175455.68261105704</v>
      </c>
      <c r="R383" s="33">
        <f t="shared" ca="1" si="680"/>
        <v>-159380.59490067113</v>
      </c>
      <c r="S383" s="33">
        <f t="shared" ca="1" si="680"/>
        <v>-142382.95790658615</v>
      </c>
      <c r="T383" s="33">
        <f t="shared" ca="1" si="680"/>
        <v>-124409.82652541064</v>
      </c>
      <c r="U383" s="33">
        <f t="shared" ca="1" si="680"/>
        <v>-105405.21713426948</v>
      </c>
      <c r="V383" s="33">
        <f t="shared" ca="1" si="680"/>
        <v>-85309.933210170711</v>
      </c>
      <c r="W383" s="33">
        <f t="shared" ca="1" si="680"/>
        <v>-64061.380941667914</v>
      </c>
      <c r="X383" s="33">
        <f t="shared" ca="1" si="680"/>
        <v>-41593.374258475742</v>
      </c>
      <c r="Y383" s="33">
        <f t="shared" ca="1" si="680"/>
        <v>-17835.928671735179</v>
      </c>
      <c r="Z383" s="33">
        <f t="shared" ca="1" si="680"/>
        <v>-1.3028096873313189E-10</v>
      </c>
      <c r="AA383" s="33">
        <f t="shared" ca="1" si="680"/>
        <v>-1.3028096873313189E-10</v>
      </c>
      <c r="AB383" s="33">
        <f t="shared" ca="1" si="680"/>
        <v>-1.3028096873313189E-10</v>
      </c>
      <c r="AC383" s="33">
        <f t="shared" ca="1" si="680"/>
        <v>-1.3028096873313189E-10</v>
      </c>
      <c r="AD383" s="33">
        <f t="shared" ca="1" si="680"/>
        <v>-1.3028096873313189E-10</v>
      </c>
      <c r="AE383" s="33">
        <f t="shared" ca="1" si="680"/>
        <v>-1.3028096873313189E-10</v>
      </c>
      <c r="AF383" s="33">
        <f t="shared" ca="1" si="680"/>
        <v>-1.3028096873313189E-10</v>
      </c>
      <c r="AG383" s="33">
        <f t="shared" ca="1" si="680"/>
        <v>-1.3028096873313189E-10</v>
      </c>
      <c r="AH383" s="33">
        <f t="shared" ca="1" si="680"/>
        <v>-1.3028096873313189E-10</v>
      </c>
      <c r="AI383" s="33">
        <f t="shared" ca="1" si="680"/>
        <v>-1.3028096873313189E-10</v>
      </c>
      <c r="AJ383" s="33">
        <f t="shared" ca="1" si="680"/>
        <v>-1.3028096873313189E-10</v>
      </c>
      <c r="AK383" s="33">
        <f t="shared" ca="1" si="680"/>
        <v>-1.3028096873313189E-10</v>
      </c>
      <c r="AL383" s="33">
        <f t="shared" ca="1" si="680"/>
        <v>-1.3028096873313189E-10</v>
      </c>
      <c r="AM383" s="33">
        <f t="shared" ca="1" si="680"/>
        <v>-1.3028096873313189E-10</v>
      </c>
      <c r="AN383" s="33">
        <f t="shared" ref="AN383:BS383" ca="1" si="681">+AN258+AN290</f>
        <v>-1.3028096873313189E-10</v>
      </c>
      <c r="AO383" s="33">
        <f t="shared" ca="1" si="681"/>
        <v>-1.3028096873313189E-10</v>
      </c>
      <c r="AP383" s="33">
        <f t="shared" ca="1" si="681"/>
        <v>-1.3028096873313189E-10</v>
      </c>
      <c r="AQ383" s="33">
        <f t="shared" ca="1" si="681"/>
        <v>-1.3028096873313189E-10</v>
      </c>
      <c r="AR383" s="33">
        <f t="shared" ca="1" si="681"/>
        <v>-1.3028096873313189E-10</v>
      </c>
      <c r="AS383" s="33">
        <f t="shared" ca="1" si="681"/>
        <v>-1.3028096873313189E-10</v>
      </c>
      <c r="AT383" s="33">
        <f t="shared" ca="1" si="681"/>
        <v>-1.3028096873313189E-10</v>
      </c>
      <c r="AU383" s="33">
        <f t="shared" ca="1" si="681"/>
        <v>-1.3028096873313189E-10</v>
      </c>
      <c r="AV383" s="33">
        <f t="shared" ca="1" si="681"/>
        <v>-1.3028096873313189E-10</v>
      </c>
      <c r="AW383" s="33">
        <f t="shared" ca="1" si="681"/>
        <v>-1.3028096873313189E-10</v>
      </c>
      <c r="AX383" s="33">
        <f t="shared" ca="1" si="681"/>
        <v>-1.3028096873313189E-10</v>
      </c>
      <c r="AY383" s="33">
        <f t="shared" ca="1" si="681"/>
        <v>-1.3028096873313189E-10</v>
      </c>
      <c r="AZ383" s="33">
        <f t="shared" ca="1" si="681"/>
        <v>-1.3028096873313189E-10</v>
      </c>
      <c r="BA383" s="33">
        <f t="shared" ca="1" si="681"/>
        <v>-1.3028096873313189E-10</v>
      </c>
      <c r="BB383" s="33">
        <f t="shared" ca="1" si="681"/>
        <v>-1.3028096873313189E-10</v>
      </c>
      <c r="BC383" s="33">
        <f t="shared" ca="1" si="681"/>
        <v>-1.3028096873313189E-10</v>
      </c>
      <c r="BD383" s="33">
        <f t="shared" ca="1" si="681"/>
        <v>-1.3028096873313189E-10</v>
      </c>
      <c r="BE383" s="33">
        <f t="shared" ca="1" si="681"/>
        <v>-1.3028096873313189E-10</v>
      </c>
      <c r="BF383" s="33">
        <f t="shared" ca="1" si="681"/>
        <v>-1.3028096873313189E-10</v>
      </c>
      <c r="BG383" s="33">
        <f t="shared" ca="1" si="681"/>
        <v>-1.3028096873313189E-10</v>
      </c>
      <c r="BH383" s="33">
        <f t="shared" ca="1" si="681"/>
        <v>-1.3028096873313189E-10</v>
      </c>
      <c r="BI383" s="33">
        <f t="shared" ca="1" si="681"/>
        <v>-1.3028096873313189E-10</v>
      </c>
      <c r="BJ383" s="33">
        <f t="shared" ca="1" si="681"/>
        <v>-1.3028096873313189E-10</v>
      </c>
      <c r="BK383" s="33">
        <f t="shared" ca="1" si="681"/>
        <v>-1.3028096873313189E-10</v>
      </c>
      <c r="BL383" s="33">
        <f t="shared" ca="1" si="681"/>
        <v>-1.3028096873313189E-10</v>
      </c>
      <c r="BM383" s="33">
        <f t="shared" ca="1" si="681"/>
        <v>-1.3028096873313189E-10</v>
      </c>
      <c r="BN383" s="33">
        <f t="shared" ca="1" si="681"/>
        <v>-1.3028096873313189E-10</v>
      </c>
      <c r="BO383" s="33">
        <f t="shared" ca="1" si="681"/>
        <v>-1.3028096873313189E-10</v>
      </c>
      <c r="BP383" s="33">
        <f t="shared" ca="1" si="681"/>
        <v>-1.3028096873313189E-10</v>
      </c>
      <c r="BQ383" s="33">
        <f t="shared" ca="1" si="681"/>
        <v>-1.3028096873313189E-10</v>
      </c>
      <c r="BR383" s="33">
        <f t="shared" ca="1" si="681"/>
        <v>-1.3028096873313189E-10</v>
      </c>
      <c r="BS383" s="33">
        <f t="shared" ca="1" si="681"/>
        <v>-1.3028096873313189E-10</v>
      </c>
      <c r="BT383" s="33">
        <f t="shared" ref="BT383:BY383" ca="1" si="682">+BT258+BT290</f>
        <v>-1.3028096873313189E-10</v>
      </c>
      <c r="BU383" s="33">
        <f t="shared" ca="1" si="682"/>
        <v>-1.3028096873313189E-10</v>
      </c>
      <c r="BV383" s="33">
        <f t="shared" ca="1" si="682"/>
        <v>-1.3028096873313189E-10</v>
      </c>
      <c r="BW383" s="33">
        <f t="shared" ca="1" si="682"/>
        <v>-1.3028096873313189E-10</v>
      </c>
      <c r="BX383" s="33">
        <f t="shared" ca="1" si="682"/>
        <v>-1.3028096873313189E-10</v>
      </c>
      <c r="BY383" s="33">
        <f t="shared" ca="1" si="682"/>
        <v>-1.3028096873313189E-10</v>
      </c>
    </row>
    <row r="384" spans="2:77" s="37" customFormat="1" ht="15" outlineLevel="1">
      <c r="B384"/>
      <c r="D384" s="22"/>
      <c r="E384" s="22" t="s">
        <v>469</v>
      </c>
      <c r="F384" s="36" t="s">
        <v>470</v>
      </c>
      <c r="G384" s="22"/>
      <c r="H384" s="37">
        <f ca="1">+SUM(H381:H383)</f>
        <v>0</v>
      </c>
      <c r="I384" s="37">
        <f t="shared" ref="I384:BT384" ca="1" si="683">+SUM(I381:I383)</f>
        <v>0</v>
      </c>
      <c r="J384" s="37">
        <f t="shared" ca="1" si="683"/>
        <v>-71975.70641538412</v>
      </c>
      <c r="K384" s="37">
        <f t="shared" ca="1" si="683"/>
        <v>-697062.00123104185</v>
      </c>
      <c r="L384" s="37">
        <f t="shared" ca="1" si="683"/>
        <v>-685825.76538491563</v>
      </c>
      <c r="M384" s="37">
        <f t="shared" ca="1" si="683"/>
        <v>-673934.77594164968</v>
      </c>
      <c r="N384" s="37">
        <f t="shared" ca="1" si="683"/>
        <v>-661351.25847186567</v>
      </c>
      <c r="O384" s="37">
        <f t="shared" ca="1" si="683"/>
        <v>-648035.26670927438</v>
      </c>
      <c r="P384" s="37">
        <f t="shared" ca="1" si="683"/>
        <v>-633944.55782970716</v>
      </c>
      <c r="Q384" s="37">
        <f t="shared" ca="1" si="683"/>
        <v>-619034.46057082631</v>
      </c>
      <c r="R384" s="37">
        <f t="shared" ca="1" si="683"/>
        <v>-603257.73578160885</v>
      </c>
      <c r="S384" s="37">
        <f t="shared" ca="1" si="683"/>
        <v>-586564.4289671157</v>
      </c>
      <c r="T384" s="37">
        <f t="shared" ca="1" si="683"/>
        <v>-568901.7143691238</v>
      </c>
      <c r="U384" s="37">
        <f t="shared" ca="1" si="683"/>
        <v>-550213.73009683006</v>
      </c>
      <c r="V384" s="37">
        <f t="shared" ca="1" si="683"/>
        <v>-530441.40379395557</v>
      </c>
      <c r="W384" s="37">
        <f t="shared" ca="1" si="683"/>
        <v>-509522.2682991015</v>
      </c>
      <c r="X384" s="37">
        <f t="shared" ca="1" si="683"/>
        <v>-487390.26672503108</v>
      </c>
      <c r="Y384" s="37">
        <f t="shared" ca="1" si="683"/>
        <v>-463975.54634959472</v>
      </c>
      <c r="Z384" s="37">
        <f t="shared" ca="1" si="683"/>
        <v>-1.3028096873313189E-10</v>
      </c>
      <c r="AA384" s="37">
        <f t="shared" ca="1" si="683"/>
        <v>-1.3028096873313189E-10</v>
      </c>
      <c r="AB384" s="37">
        <f t="shared" ca="1" si="683"/>
        <v>-1.3028096873313189E-10</v>
      </c>
      <c r="AC384" s="37">
        <f t="shared" ca="1" si="683"/>
        <v>-1.3028096873313189E-10</v>
      </c>
      <c r="AD384" s="37">
        <f t="shared" ca="1" si="683"/>
        <v>-1.3028096873313189E-10</v>
      </c>
      <c r="AE384" s="37">
        <f t="shared" ca="1" si="683"/>
        <v>-1.3028096873313189E-10</v>
      </c>
      <c r="AF384" s="37">
        <f t="shared" ca="1" si="683"/>
        <v>-1.3028096873313189E-10</v>
      </c>
      <c r="AG384" s="37">
        <f t="shared" ca="1" si="683"/>
        <v>-1.3028096873313189E-10</v>
      </c>
      <c r="AH384" s="37">
        <f t="shared" ca="1" si="683"/>
        <v>-1.3028096873313189E-10</v>
      </c>
      <c r="AI384" s="37">
        <f t="shared" ca="1" si="683"/>
        <v>-1.3028096873313189E-10</v>
      </c>
      <c r="AJ384" s="37">
        <f t="shared" ca="1" si="683"/>
        <v>-1.3028096873313189E-10</v>
      </c>
      <c r="AK384" s="37">
        <f t="shared" ca="1" si="683"/>
        <v>-1.3028096873313189E-10</v>
      </c>
      <c r="AL384" s="37">
        <f t="shared" ca="1" si="683"/>
        <v>-1.3028096873313189E-10</v>
      </c>
      <c r="AM384" s="37">
        <f t="shared" ca="1" si="683"/>
        <v>-1.3028096873313189E-10</v>
      </c>
      <c r="AN384" s="37">
        <f t="shared" ca="1" si="683"/>
        <v>-1.3028096873313189E-10</v>
      </c>
      <c r="AO384" s="37">
        <f t="shared" ca="1" si="683"/>
        <v>-1.3028096873313189E-10</v>
      </c>
      <c r="AP384" s="37">
        <f t="shared" ca="1" si="683"/>
        <v>-1.3028096873313189E-10</v>
      </c>
      <c r="AQ384" s="37">
        <f t="shared" ca="1" si="683"/>
        <v>-1.3028096873313189E-10</v>
      </c>
      <c r="AR384" s="37">
        <f t="shared" ca="1" si="683"/>
        <v>-1.3028096873313189E-10</v>
      </c>
      <c r="AS384" s="37">
        <f t="shared" ca="1" si="683"/>
        <v>-1.3028096873313189E-10</v>
      </c>
      <c r="AT384" s="37">
        <f t="shared" ca="1" si="683"/>
        <v>-1.3028096873313189E-10</v>
      </c>
      <c r="AU384" s="37">
        <f t="shared" ca="1" si="683"/>
        <v>-1.3028096873313189E-10</v>
      </c>
      <c r="AV384" s="37">
        <f t="shared" ca="1" si="683"/>
        <v>-1.3028096873313189E-10</v>
      </c>
      <c r="AW384" s="37">
        <f t="shared" ca="1" si="683"/>
        <v>-1.3028096873313189E-10</v>
      </c>
      <c r="AX384" s="37">
        <f t="shared" ca="1" si="683"/>
        <v>-1.3028096873313189E-10</v>
      </c>
      <c r="AY384" s="37">
        <f t="shared" ca="1" si="683"/>
        <v>-1.3028096873313189E-10</v>
      </c>
      <c r="AZ384" s="37">
        <f t="shared" ca="1" si="683"/>
        <v>-1.3028096873313189E-10</v>
      </c>
      <c r="BA384" s="37">
        <f t="shared" ca="1" si="683"/>
        <v>-1.3028096873313189E-10</v>
      </c>
      <c r="BB384" s="37">
        <f t="shared" ca="1" si="683"/>
        <v>-1.3028096873313189E-10</v>
      </c>
      <c r="BC384" s="37">
        <f t="shared" ca="1" si="683"/>
        <v>-1.3028096873313189E-10</v>
      </c>
      <c r="BD384" s="37">
        <f t="shared" ca="1" si="683"/>
        <v>-1.3028096873313189E-10</v>
      </c>
      <c r="BE384" s="37">
        <f t="shared" ca="1" si="683"/>
        <v>-1.3028096873313189E-10</v>
      </c>
      <c r="BF384" s="37">
        <f t="shared" ca="1" si="683"/>
        <v>-1.3028096873313189E-10</v>
      </c>
      <c r="BG384" s="37">
        <f t="shared" ca="1" si="683"/>
        <v>-1.3028096873313189E-10</v>
      </c>
      <c r="BH384" s="37">
        <f t="shared" ca="1" si="683"/>
        <v>-1.3028096873313189E-10</v>
      </c>
      <c r="BI384" s="37">
        <f t="shared" ca="1" si="683"/>
        <v>-1.3028096873313189E-10</v>
      </c>
      <c r="BJ384" s="37">
        <f t="shared" ca="1" si="683"/>
        <v>-1.3028096873313189E-10</v>
      </c>
      <c r="BK384" s="37">
        <f t="shared" ca="1" si="683"/>
        <v>-1.3028096873313189E-10</v>
      </c>
      <c r="BL384" s="37">
        <f t="shared" ca="1" si="683"/>
        <v>-1.3028096873313189E-10</v>
      </c>
      <c r="BM384" s="37">
        <f t="shared" ca="1" si="683"/>
        <v>-1.3028096873313189E-10</v>
      </c>
      <c r="BN384" s="37">
        <f t="shared" ca="1" si="683"/>
        <v>-1.3028096873313189E-10</v>
      </c>
      <c r="BO384" s="37">
        <f t="shared" ca="1" si="683"/>
        <v>-1.3028096873313189E-10</v>
      </c>
      <c r="BP384" s="37">
        <f t="shared" ca="1" si="683"/>
        <v>-1.3028096873313189E-10</v>
      </c>
      <c r="BQ384" s="37">
        <f t="shared" ca="1" si="683"/>
        <v>-1.3028096873313189E-10</v>
      </c>
      <c r="BR384" s="37">
        <f t="shared" ca="1" si="683"/>
        <v>-1.3028096873313189E-10</v>
      </c>
      <c r="BS384" s="37">
        <f t="shared" ca="1" si="683"/>
        <v>-1.3028096873313189E-10</v>
      </c>
      <c r="BT384" s="37">
        <f t="shared" ca="1" si="683"/>
        <v>-1.3028096873313189E-10</v>
      </c>
      <c r="BU384" s="37">
        <f t="shared" ref="BU384:BY384" ca="1" si="684">+SUM(BU381:BU383)</f>
        <v>-1.3028096873313189E-10</v>
      </c>
      <c r="BV384" s="37">
        <f t="shared" ca="1" si="684"/>
        <v>-1.3028096873313189E-10</v>
      </c>
      <c r="BW384" s="37">
        <f t="shared" ca="1" si="684"/>
        <v>-1.3028096873313189E-10</v>
      </c>
      <c r="BX384" s="37">
        <f t="shared" ca="1" si="684"/>
        <v>-1.3028096873313189E-10</v>
      </c>
      <c r="BY384" s="37">
        <f t="shared" ca="1" si="684"/>
        <v>-1.3028096873313189E-10</v>
      </c>
    </row>
    <row r="385" spans="2:77" s="33" customFormat="1" ht="15" outlineLevel="1">
      <c r="B385" s="22"/>
      <c r="D385"/>
      <c r="E385" s="25" t="s">
        <v>471</v>
      </c>
      <c r="F385" s="30" t="s">
        <v>466</v>
      </c>
      <c r="G385" s="25"/>
      <c r="H385" s="34">
        <f ca="1">+H384*-Assumptions!$G$117</f>
        <v>0</v>
      </c>
      <c r="I385" s="34">
        <f ca="1">+I384*-Assumptions!$G$117</f>
        <v>0</v>
      </c>
      <c r="J385" s="34">
        <f ca="1">+J384*-Assumptions!$G$117</f>
        <v>0</v>
      </c>
      <c r="K385" s="34">
        <f ca="1">+K384*-Assumptions!$G$117</f>
        <v>0</v>
      </c>
      <c r="L385" s="34">
        <f ca="1">+L384*-Assumptions!$G$117</f>
        <v>0</v>
      </c>
      <c r="M385" s="34">
        <f ca="1">+M384*-Assumptions!$G$117</f>
        <v>0</v>
      </c>
      <c r="N385" s="34">
        <f ca="1">+N384*-Assumptions!$G$117</f>
        <v>0</v>
      </c>
      <c r="O385" s="34">
        <f ca="1">+O384*-Assumptions!$G$117</f>
        <v>0</v>
      </c>
      <c r="P385" s="34">
        <f ca="1">+P384*-Assumptions!$G$117</f>
        <v>0</v>
      </c>
      <c r="Q385" s="34">
        <f ca="1">+Q384*-Assumptions!$G$117</f>
        <v>0</v>
      </c>
      <c r="R385" s="34">
        <f ca="1">+R384*-Assumptions!$G$117</f>
        <v>0</v>
      </c>
      <c r="S385" s="34">
        <f ca="1">+S384*-Assumptions!$G$117</f>
        <v>0</v>
      </c>
      <c r="T385" s="34">
        <f ca="1">+T384*-Assumptions!$G$117</f>
        <v>0</v>
      </c>
      <c r="U385" s="34">
        <f ca="1">+U384*-Assumptions!$G$117</f>
        <v>0</v>
      </c>
      <c r="V385" s="34">
        <f ca="1">+V384*-Assumptions!$G$117</f>
        <v>0</v>
      </c>
      <c r="W385" s="34">
        <f ca="1">+W384*-Assumptions!$G$117</f>
        <v>0</v>
      </c>
      <c r="X385" s="34">
        <f ca="1">+X384*-Assumptions!$G$117</f>
        <v>0</v>
      </c>
      <c r="Y385" s="34">
        <f ca="1">+Y384*-Assumptions!$G$117</f>
        <v>0</v>
      </c>
      <c r="Z385" s="34">
        <f ca="1">+Z384*-Assumptions!$G$117</f>
        <v>0</v>
      </c>
      <c r="AA385" s="34">
        <f ca="1">+AA384*-Assumptions!$G$117</f>
        <v>0</v>
      </c>
      <c r="AB385" s="34">
        <f ca="1">+AB384*-Assumptions!$G$117</f>
        <v>0</v>
      </c>
      <c r="AC385" s="34">
        <f ca="1">+AC384*-Assumptions!$G$117</f>
        <v>0</v>
      </c>
      <c r="AD385" s="34">
        <f ca="1">+AD384*-Assumptions!$G$117</f>
        <v>0</v>
      </c>
      <c r="AE385" s="34">
        <f ca="1">+AE384*-Assumptions!$G$117</f>
        <v>0</v>
      </c>
      <c r="AF385" s="34">
        <f ca="1">+AF384*-Assumptions!$G$117</f>
        <v>0</v>
      </c>
      <c r="AG385" s="34">
        <f ca="1">+AG384*-Assumptions!$G$117</f>
        <v>0</v>
      </c>
      <c r="AH385" s="34">
        <f ca="1">+AH384*-Assumptions!$G$117</f>
        <v>0</v>
      </c>
      <c r="AI385" s="34">
        <f ca="1">+AI384*-Assumptions!$G$117</f>
        <v>0</v>
      </c>
      <c r="AJ385" s="34">
        <f ca="1">+AJ384*-Assumptions!$G$117</f>
        <v>0</v>
      </c>
      <c r="AK385" s="34">
        <f ca="1">+AK384*-Assumptions!$G$117</f>
        <v>0</v>
      </c>
      <c r="AL385" s="34">
        <f ca="1">+AL384*-Assumptions!$G$117</f>
        <v>0</v>
      </c>
      <c r="AM385" s="34">
        <f ca="1">+AM384*-Assumptions!$G$117</f>
        <v>0</v>
      </c>
      <c r="AN385" s="34">
        <f ca="1">+AN384*-Assumptions!$G$117</f>
        <v>0</v>
      </c>
      <c r="AO385" s="34">
        <f ca="1">+AO384*-Assumptions!$G$117</f>
        <v>0</v>
      </c>
      <c r="AP385" s="34">
        <f ca="1">+AP384*-Assumptions!$G$117</f>
        <v>0</v>
      </c>
      <c r="AQ385" s="34">
        <f ca="1">+AQ384*-Assumptions!$G$117</f>
        <v>0</v>
      </c>
      <c r="AR385" s="34">
        <f ca="1">+AR384*-Assumptions!$G$117</f>
        <v>0</v>
      </c>
      <c r="AS385" s="34">
        <f ca="1">+AS384*-Assumptions!$G$117</f>
        <v>0</v>
      </c>
      <c r="AT385" s="34">
        <f ca="1">+AT384*-Assumptions!$G$117</f>
        <v>0</v>
      </c>
      <c r="AU385" s="34">
        <f ca="1">+AU384*-Assumptions!$G$117</f>
        <v>0</v>
      </c>
      <c r="AV385" s="34">
        <f ca="1">+AV384*-Assumptions!$G$117</f>
        <v>0</v>
      </c>
      <c r="AW385" s="34">
        <f ca="1">+AW384*-Assumptions!$G$117</f>
        <v>0</v>
      </c>
      <c r="AX385" s="34">
        <f ca="1">+AX384*-Assumptions!$G$117</f>
        <v>0</v>
      </c>
      <c r="AY385" s="34">
        <f ca="1">+AY384*-Assumptions!$G$117</f>
        <v>0</v>
      </c>
      <c r="AZ385" s="34">
        <f ca="1">+AZ384*-Assumptions!$G$117</f>
        <v>0</v>
      </c>
      <c r="BA385" s="34">
        <f ca="1">+BA384*-Assumptions!$G$117</f>
        <v>0</v>
      </c>
      <c r="BB385" s="34">
        <f ca="1">+BB384*-Assumptions!$G$117</f>
        <v>0</v>
      </c>
      <c r="BC385" s="34">
        <f ca="1">+BC384*-Assumptions!$G$117</f>
        <v>0</v>
      </c>
      <c r="BD385" s="34">
        <f ca="1">+BD384*-Assumptions!$G$117</f>
        <v>0</v>
      </c>
      <c r="BE385" s="34">
        <f ca="1">+BE384*-Assumptions!$G$117</f>
        <v>0</v>
      </c>
      <c r="BF385" s="34">
        <f ca="1">+BF384*-Assumptions!$G$117</f>
        <v>0</v>
      </c>
      <c r="BG385" s="34">
        <f ca="1">+BG384*-Assumptions!$G$117</f>
        <v>0</v>
      </c>
      <c r="BH385" s="34">
        <f ca="1">+BH384*-Assumptions!$G$117</f>
        <v>0</v>
      </c>
      <c r="BI385" s="34">
        <f ca="1">+BI384*-Assumptions!$G$117</f>
        <v>0</v>
      </c>
      <c r="BJ385" s="34">
        <f ca="1">+BJ384*-Assumptions!$G$117</f>
        <v>0</v>
      </c>
      <c r="BK385" s="34">
        <f ca="1">+BK384*-Assumptions!$G$117</f>
        <v>0</v>
      </c>
      <c r="BL385" s="34">
        <f ca="1">+BL384*-Assumptions!$G$117</f>
        <v>0</v>
      </c>
      <c r="BM385" s="34">
        <f ca="1">+BM384*-Assumptions!$G$117</f>
        <v>0</v>
      </c>
      <c r="BN385" s="34">
        <f ca="1">+BN384*-Assumptions!$G$117</f>
        <v>0</v>
      </c>
      <c r="BO385" s="34">
        <f ca="1">+BO384*-Assumptions!$G$117</f>
        <v>0</v>
      </c>
      <c r="BP385" s="34">
        <f ca="1">+BP384*-Assumptions!$G$117</f>
        <v>0</v>
      </c>
      <c r="BQ385" s="34">
        <f ca="1">+BQ384*-Assumptions!$G$117</f>
        <v>0</v>
      </c>
      <c r="BR385" s="34">
        <f ca="1">+BR384*-Assumptions!$G$117</f>
        <v>0</v>
      </c>
      <c r="BS385" s="34">
        <f ca="1">+BS384*-Assumptions!$G$117</f>
        <v>0</v>
      </c>
      <c r="BT385" s="34">
        <f ca="1">+BT384*-Assumptions!$G$117</f>
        <v>0</v>
      </c>
      <c r="BU385" s="34">
        <f ca="1">+BU384*-Assumptions!$G$117</f>
        <v>0</v>
      </c>
      <c r="BV385" s="34">
        <f ca="1">+BV384*-Assumptions!$G$117</f>
        <v>0</v>
      </c>
      <c r="BW385" s="34">
        <f ca="1">+BW384*-Assumptions!$G$117</f>
        <v>0</v>
      </c>
      <c r="BX385" s="34">
        <f ca="1">+BX384*-Assumptions!$G$117</f>
        <v>0</v>
      </c>
      <c r="BY385" s="34">
        <f ca="1">+BY384*-Assumptions!$G$117</f>
        <v>0</v>
      </c>
    </row>
    <row r="386" spans="2:77" s="37" customFormat="1" ht="15" outlineLevel="1">
      <c r="B386" s="22"/>
      <c r="D386" s="22"/>
      <c r="E386" s="22" t="s">
        <v>527</v>
      </c>
      <c r="F386" s="36" t="s">
        <v>470</v>
      </c>
      <c r="G386" s="22"/>
      <c r="H386" s="37">
        <f t="shared" ref="H386:AM386" ca="1" si="685">+SUM(H384:H385)</f>
        <v>0</v>
      </c>
      <c r="I386" s="37">
        <f t="shared" ca="1" si="685"/>
        <v>0</v>
      </c>
      <c r="J386" s="37">
        <f t="shared" ca="1" si="685"/>
        <v>-71975.70641538412</v>
      </c>
      <c r="K386" s="37">
        <f t="shared" ca="1" si="685"/>
        <v>-697062.00123104185</v>
      </c>
      <c r="L386" s="37">
        <f t="shared" ca="1" si="685"/>
        <v>-685825.76538491563</v>
      </c>
      <c r="M386" s="37">
        <f t="shared" ca="1" si="685"/>
        <v>-673934.77594164968</v>
      </c>
      <c r="N386" s="37">
        <f t="shared" ca="1" si="685"/>
        <v>-661351.25847186567</v>
      </c>
      <c r="O386" s="37">
        <f t="shared" ca="1" si="685"/>
        <v>-648035.26670927438</v>
      </c>
      <c r="P386" s="37">
        <f t="shared" ca="1" si="685"/>
        <v>-633944.55782970716</v>
      </c>
      <c r="Q386" s="37">
        <f t="shared" ca="1" si="685"/>
        <v>-619034.46057082631</v>
      </c>
      <c r="R386" s="37">
        <f t="shared" ca="1" si="685"/>
        <v>-603257.73578160885</v>
      </c>
      <c r="S386" s="37">
        <f t="shared" ca="1" si="685"/>
        <v>-586564.4289671157</v>
      </c>
      <c r="T386" s="37">
        <f t="shared" ca="1" si="685"/>
        <v>-568901.7143691238</v>
      </c>
      <c r="U386" s="37">
        <f t="shared" ca="1" si="685"/>
        <v>-550213.73009683006</v>
      </c>
      <c r="V386" s="37">
        <f t="shared" ca="1" si="685"/>
        <v>-530441.40379395557</v>
      </c>
      <c r="W386" s="37">
        <f t="shared" ca="1" si="685"/>
        <v>-509522.2682991015</v>
      </c>
      <c r="X386" s="37">
        <f t="shared" ca="1" si="685"/>
        <v>-487390.26672503108</v>
      </c>
      <c r="Y386" s="37">
        <f t="shared" ca="1" si="685"/>
        <v>-463975.54634959472</v>
      </c>
      <c r="Z386" s="37">
        <f t="shared" ca="1" si="685"/>
        <v>-1.3028096873313189E-10</v>
      </c>
      <c r="AA386" s="37">
        <f t="shared" ca="1" si="685"/>
        <v>-1.3028096873313189E-10</v>
      </c>
      <c r="AB386" s="37">
        <f t="shared" ca="1" si="685"/>
        <v>-1.3028096873313189E-10</v>
      </c>
      <c r="AC386" s="37">
        <f t="shared" ca="1" si="685"/>
        <v>-1.3028096873313189E-10</v>
      </c>
      <c r="AD386" s="37">
        <f t="shared" ca="1" si="685"/>
        <v>-1.3028096873313189E-10</v>
      </c>
      <c r="AE386" s="37">
        <f t="shared" ca="1" si="685"/>
        <v>-1.3028096873313189E-10</v>
      </c>
      <c r="AF386" s="37">
        <f t="shared" ca="1" si="685"/>
        <v>-1.3028096873313189E-10</v>
      </c>
      <c r="AG386" s="37">
        <f t="shared" ca="1" si="685"/>
        <v>-1.3028096873313189E-10</v>
      </c>
      <c r="AH386" s="37">
        <f t="shared" ca="1" si="685"/>
        <v>-1.3028096873313189E-10</v>
      </c>
      <c r="AI386" s="37">
        <f t="shared" ca="1" si="685"/>
        <v>-1.3028096873313189E-10</v>
      </c>
      <c r="AJ386" s="37">
        <f t="shared" ca="1" si="685"/>
        <v>-1.3028096873313189E-10</v>
      </c>
      <c r="AK386" s="37">
        <f t="shared" ca="1" si="685"/>
        <v>-1.3028096873313189E-10</v>
      </c>
      <c r="AL386" s="37">
        <f t="shared" ca="1" si="685"/>
        <v>-1.3028096873313189E-10</v>
      </c>
      <c r="AM386" s="37">
        <f t="shared" ca="1" si="685"/>
        <v>-1.3028096873313189E-10</v>
      </c>
      <c r="AN386" s="37">
        <f t="shared" ref="AN386:BS386" ca="1" si="686">+SUM(AN384:AN385)</f>
        <v>-1.3028096873313189E-10</v>
      </c>
      <c r="AO386" s="37">
        <f t="shared" ca="1" si="686"/>
        <v>-1.3028096873313189E-10</v>
      </c>
      <c r="AP386" s="37">
        <f t="shared" ca="1" si="686"/>
        <v>-1.3028096873313189E-10</v>
      </c>
      <c r="AQ386" s="37">
        <f t="shared" ca="1" si="686"/>
        <v>-1.3028096873313189E-10</v>
      </c>
      <c r="AR386" s="37">
        <f t="shared" ca="1" si="686"/>
        <v>-1.3028096873313189E-10</v>
      </c>
      <c r="AS386" s="37">
        <f t="shared" ca="1" si="686"/>
        <v>-1.3028096873313189E-10</v>
      </c>
      <c r="AT386" s="37">
        <f t="shared" ca="1" si="686"/>
        <v>-1.3028096873313189E-10</v>
      </c>
      <c r="AU386" s="37">
        <f t="shared" ca="1" si="686"/>
        <v>-1.3028096873313189E-10</v>
      </c>
      <c r="AV386" s="37">
        <f t="shared" ca="1" si="686"/>
        <v>-1.3028096873313189E-10</v>
      </c>
      <c r="AW386" s="37">
        <f t="shared" ca="1" si="686"/>
        <v>-1.3028096873313189E-10</v>
      </c>
      <c r="AX386" s="37">
        <f t="shared" ca="1" si="686"/>
        <v>-1.3028096873313189E-10</v>
      </c>
      <c r="AY386" s="37">
        <f t="shared" ca="1" si="686"/>
        <v>-1.3028096873313189E-10</v>
      </c>
      <c r="AZ386" s="37">
        <f t="shared" ca="1" si="686"/>
        <v>-1.3028096873313189E-10</v>
      </c>
      <c r="BA386" s="37">
        <f t="shared" ca="1" si="686"/>
        <v>-1.3028096873313189E-10</v>
      </c>
      <c r="BB386" s="37">
        <f t="shared" ca="1" si="686"/>
        <v>-1.3028096873313189E-10</v>
      </c>
      <c r="BC386" s="37">
        <f t="shared" ca="1" si="686"/>
        <v>-1.3028096873313189E-10</v>
      </c>
      <c r="BD386" s="37">
        <f t="shared" ca="1" si="686"/>
        <v>-1.3028096873313189E-10</v>
      </c>
      <c r="BE386" s="37">
        <f t="shared" ca="1" si="686"/>
        <v>-1.3028096873313189E-10</v>
      </c>
      <c r="BF386" s="37">
        <f t="shared" ca="1" si="686"/>
        <v>-1.3028096873313189E-10</v>
      </c>
      <c r="BG386" s="37">
        <f t="shared" ca="1" si="686"/>
        <v>-1.3028096873313189E-10</v>
      </c>
      <c r="BH386" s="37">
        <f t="shared" ca="1" si="686"/>
        <v>-1.3028096873313189E-10</v>
      </c>
      <c r="BI386" s="37">
        <f t="shared" ca="1" si="686"/>
        <v>-1.3028096873313189E-10</v>
      </c>
      <c r="BJ386" s="37">
        <f t="shared" ca="1" si="686"/>
        <v>-1.3028096873313189E-10</v>
      </c>
      <c r="BK386" s="37">
        <f t="shared" ca="1" si="686"/>
        <v>-1.3028096873313189E-10</v>
      </c>
      <c r="BL386" s="37">
        <f t="shared" ca="1" si="686"/>
        <v>-1.3028096873313189E-10</v>
      </c>
      <c r="BM386" s="37">
        <f t="shared" ca="1" si="686"/>
        <v>-1.3028096873313189E-10</v>
      </c>
      <c r="BN386" s="37">
        <f t="shared" ca="1" si="686"/>
        <v>-1.3028096873313189E-10</v>
      </c>
      <c r="BO386" s="37">
        <f t="shared" ca="1" si="686"/>
        <v>-1.3028096873313189E-10</v>
      </c>
      <c r="BP386" s="37">
        <f t="shared" ca="1" si="686"/>
        <v>-1.3028096873313189E-10</v>
      </c>
      <c r="BQ386" s="37">
        <f t="shared" ca="1" si="686"/>
        <v>-1.3028096873313189E-10</v>
      </c>
      <c r="BR386" s="37">
        <f t="shared" ca="1" si="686"/>
        <v>-1.3028096873313189E-10</v>
      </c>
      <c r="BS386" s="37">
        <f t="shared" ca="1" si="686"/>
        <v>-1.3028096873313189E-10</v>
      </c>
      <c r="BT386" s="37">
        <f t="shared" ref="BT386:BY386" ca="1" si="687">+SUM(BT384:BT385)</f>
        <v>-1.3028096873313189E-10</v>
      </c>
      <c r="BU386" s="37">
        <f t="shared" ca="1" si="687"/>
        <v>-1.3028096873313189E-10</v>
      </c>
      <c r="BV386" s="37">
        <f t="shared" ca="1" si="687"/>
        <v>-1.3028096873313189E-10</v>
      </c>
      <c r="BW386" s="37">
        <f t="shared" ca="1" si="687"/>
        <v>-1.3028096873313189E-10</v>
      </c>
      <c r="BX386" s="37">
        <f t="shared" ca="1" si="687"/>
        <v>-1.3028096873313189E-10</v>
      </c>
      <c r="BY386" s="37">
        <f t="shared" ca="1" si="687"/>
        <v>-1.3028096873313189E-10</v>
      </c>
    </row>
    <row r="387" spans="2:77" s="37" customFormat="1" ht="15" outlineLevel="1">
      <c r="B387" s="22"/>
      <c r="D387" s="22"/>
      <c r="E387" s="22"/>
      <c r="F387" s="36"/>
      <c r="G387" s="22"/>
    </row>
    <row r="388" spans="2:77" s="37" customFormat="1" ht="15" outlineLevel="1">
      <c r="B388" s="22"/>
      <c r="D388" s="22"/>
      <c r="F388" s="36"/>
      <c r="G388" s="22"/>
    </row>
    <row r="389" spans="2:77" s="37" customFormat="1" ht="15" outlineLevel="1">
      <c r="B389" s="22"/>
      <c r="D389" s="22"/>
      <c r="E389" s="77" t="s">
        <v>366</v>
      </c>
      <c r="F389" s="23"/>
      <c r="G389"/>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c r="BY389" s="33"/>
    </row>
    <row r="390" spans="2:77" s="37" customFormat="1" ht="15" outlineLevel="1">
      <c r="B390" s="22"/>
      <c r="C390" s="22"/>
      <c r="D390" s="22"/>
      <c r="E390" t="s">
        <v>450</v>
      </c>
      <c r="F390" s="23" t="s">
        <v>466</v>
      </c>
      <c r="G390"/>
      <c r="H390" s="33">
        <f t="shared" ref="H390:AM390" si="688">+SUM(H217:H217)</f>
        <v>0</v>
      </c>
      <c r="I390" s="33">
        <f t="shared" si="688"/>
        <v>0</v>
      </c>
      <c r="J390" s="33">
        <f t="shared" si="688"/>
        <v>0</v>
      </c>
      <c r="K390" s="33">
        <f t="shared" si="688"/>
        <v>-28487.928548716751</v>
      </c>
      <c r="L390" s="33">
        <f t="shared" si="688"/>
        <v>-29057.687119691087</v>
      </c>
      <c r="M390" s="33">
        <f t="shared" si="688"/>
        <v>-29638.840862084908</v>
      </c>
      <c r="N390" s="33">
        <f t="shared" si="688"/>
        <v>-30231.617679326599</v>
      </c>
      <c r="O390" s="33">
        <f t="shared" si="688"/>
        <v>-30836.250032913136</v>
      </c>
      <c r="P390" s="33">
        <f t="shared" si="688"/>
        <v>-31452.975033571398</v>
      </c>
      <c r="Q390" s="33">
        <f t="shared" si="688"/>
        <v>-32082.034534242826</v>
      </c>
      <c r="R390" s="33">
        <f t="shared" si="688"/>
        <v>-32723.675224927676</v>
      </c>
      <c r="S390" s="33">
        <f t="shared" si="688"/>
        <v>-33378.148729426233</v>
      </c>
      <c r="T390" s="33">
        <f t="shared" si="688"/>
        <v>-34045.711704014757</v>
      </c>
      <c r="U390" s="33">
        <f t="shared" si="688"/>
        <v>-34726.625938095058</v>
      </c>
      <c r="V390" s="33">
        <f t="shared" si="688"/>
        <v>-35421.158456856952</v>
      </c>
      <c r="W390" s="33">
        <f t="shared" si="688"/>
        <v>-36129.581625994091</v>
      </c>
      <c r="X390" s="33">
        <f t="shared" si="688"/>
        <v>-36852.173258513976</v>
      </c>
      <c r="Y390" s="33">
        <f t="shared" si="688"/>
        <v>-37589.216723684258</v>
      </c>
      <c r="Z390" s="33">
        <f t="shared" si="688"/>
        <v>0</v>
      </c>
      <c r="AA390" s="33">
        <f t="shared" si="688"/>
        <v>0</v>
      </c>
      <c r="AB390" s="33">
        <f t="shared" si="688"/>
        <v>0</v>
      </c>
      <c r="AC390" s="33">
        <f t="shared" si="688"/>
        <v>0</v>
      </c>
      <c r="AD390" s="33">
        <f t="shared" si="688"/>
        <v>0</v>
      </c>
      <c r="AE390" s="33">
        <f t="shared" si="688"/>
        <v>0</v>
      </c>
      <c r="AF390" s="33">
        <f t="shared" si="688"/>
        <v>0</v>
      </c>
      <c r="AG390" s="33">
        <f t="shared" si="688"/>
        <v>0</v>
      </c>
      <c r="AH390" s="33">
        <f t="shared" si="688"/>
        <v>0</v>
      </c>
      <c r="AI390" s="33">
        <f t="shared" si="688"/>
        <v>0</v>
      </c>
      <c r="AJ390" s="33">
        <f t="shared" si="688"/>
        <v>0</v>
      </c>
      <c r="AK390" s="33">
        <f t="shared" si="688"/>
        <v>0</v>
      </c>
      <c r="AL390" s="33">
        <f t="shared" si="688"/>
        <v>0</v>
      </c>
      <c r="AM390" s="33">
        <f t="shared" si="688"/>
        <v>0</v>
      </c>
      <c r="AN390" s="33">
        <f t="shared" ref="AN390:BS390" si="689">+SUM(AN217:AN217)</f>
        <v>0</v>
      </c>
      <c r="AO390" s="33">
        <f t="shared" si="689"/>
        <v>0</v>
      </c>
      <c r="AP390" s="33">
        <f t="shared" si="689"/>
        <v>0</v>
      </c>
      <c r="AQ390" s="33">
        <f t="shared" si="689"/>
        <v>0</v>
      </c>
      <c r="AR390" s="33">
        <f t="shared" si="689"/>
        <v>0</v>
      </c>
      <c r="AS390" s="33">
        <f t="shared" si="689"/>
        <v>0</v>
      </c>
      <c r="AT390" s="33">
        <f t="shared" si="689"/>
        <v>0</v>
      </c>
      <c r="AU390" s="33">
        <f t="shared" si="689"/>
        <v>0</v>
      </c>
      <c r="AV390" s="33">
        <f t="shared" si="689"/>
        <v>0</v>
      </c>
      <c r="AW390" s="33">
        <f t="shared" si="689"/>
        <v>0</v>
      </c>
      <c r="AX390" s="33">
        <f t="shared" si="689"/>
        <v>0</v>
      </c>
      <c r="AY390" s="33">
        <f t="shared" si="689"/>
        <v>0</v>
      </c>
      <c r="AZ390" s="33">
        <f t="shared" si="689"/>
        <v>0</v>
      </c>
      <c r="BA390" s="33">
        <f t="shared" si="689"/>
        <v>0</v>
      </c>
      <c r="BB390" s="33">
        <f t="shared" si="689"/>
        <v>0</v>
      </c>
      <c r="BC390" s="33">
        <f t="shared" si="689"/>
        <v>0</v>
      </c>
      <c r="BD390" s="33">
        <f t="shared" si="689"/>
        <v>0</v>
      </c>
      <c r="BE390" s="33">
        <f t="shared" si="689"/>
        <v>0</v>
      </c>
      <c r="BF390" s="33">
        <f t="shared" si="689"/>
        <v>0</v>
      </c>
      <c r="BG390" s="33">
        <f t="shared" si="689"/>
        <v>0</v>
      </c>
      <c r="BH390" s="33">
        <f t="shared" si="689"/>
        <v>0</v>
      </c>
      <c r="BI390" s="33">
        <f t="shared" si="689"/>
        <v>0</v>
      </c>
      <c r="BJ390" s="33">
        <f t="shared" si="689"/>
        <v>0</v>
      </c>
      <c r="BK390" s="33">
        <f t="shared" si="689"/>
        <v>0</v>
      </c>
      <c r="BL390" s="33">
        <f t="shared" si="689"/>
        <v>0</v>
      </c>
      <c r="BM390" s="33">
        <f t="shared" si="689"/>
        <v>0</v>
      </c>
      <c r="BN390" s="33">
        <f t="shared" si="689"/>
        <v>0</v>
      </c>
      <c r="BO390" s="33">
        <f t="shared" si="689"/>
        <v>0</v>
      </c>
      <c r="BP390" s="33">
        <f t="shared" si="689"/>
        <v>0</v>
      </c>
      <c r="BQ390" s="33">
        <f t="shared" si="689"/>
        <v>0</v>
      </c>
      <c r="BR390" s="33">
        <f t="shared" si="689"/>
        <v>0</v>
      </c>
      <c r="BS390" s="33">
        <f t="shared" si="689"/>
        <v>0</v>
      </c>
      <c r="BT390" s="33">
        <f t="shared" ref="BT390:BY390" si="690">+SUM(BT217:BT217)</f>
        <v>0</v>
      </c>
      <c r="BU390" s="33">
        <f t="shared" si="690"/>
        <v>0</v>
      </c>
      <c r="BV390" s="33">
        <f t="shared" si="690"/>
        <v>0</v>
      </c>
      <c r="BW390" s="33">
        <f t="shared" si="690"/>
        <v>0</v>
      </c>
      <c r="BX390" s="33">
        <f t="shared" si="690"/>
        <v>0</v>
      </c>
      <c r="BY390" s="33">
        <f t="shared" si="690"/>
        <v>0</v>
      </c>
    </row>
    <row r="391" spans="2:77" s="37" customFormat="1" ht="15" outlineLevel="1">
      <c r="B391" s="22"/>
      <c r="C391" s="22"/>
      <c r="D391" s="22"/>
      <c r="E391" t="s">
        <v>467</v>
      </c>
      <c r="F391" s="23" t="s">
        <v>466</v>
      </c>
      <c r="G391"/>
      <c r="H391" s="33">
        <f>+$C$210/Assumptions!$G$170*H197</f>
        <v>0</v>
      </c>
      <c r="I391" s="33">
        <f>+$C$210/Assumptions!$G$170*I197</f>
        <v>0</v>
      </c>
      <c r="J391" s="33">
        <f>+$C$210/Assumptions!$G$170*J197</f>
        <v>0</v>
      </c>
      <c r="K391" s="33">
        <f>+$C$210/Assumptions!$G$170*K197</f>
        <v>-165933.14783277921</v>
      </c>
      <c r="L391" s="33">
        <f>+$C$210/Assumptions!$G$170*L197</f>
        <v>-165933.14783277921</v>
      </c>
      <c r="M391" s="33">
        <f>+$C$210/Assumptions!$G$170*M197</f>
        <v>-165933.14783277921</v>
      </c>
      <c r="N391" s="33">
        <f>+$C$210/Assumptions!$G$170*N197</f>
        <v>-165933.14783277921</v>
      </c>
      <c r="O391" s="33">
        <f>+$C$210/Assumptions!$G$170*O197</f>
        <v>-165933.14783277921</v>
      </c>
      <c r="P391" s="33">
        <f>+$C$210/Assumptions!$G$170*P197</f>
        <v>-165933.14783277921</v>
      </c>
      <c r="Q391" s="33">
        <f>+$C$210/Assumptions!$G$170*Q197</f>
        <v>-165933.14783277921</v>
      </c>
      <c r="R391" s="33">
        <f>+$C$210/Assumptions!$G$170*R197</f>
        <v>-165933.14783277921</v>
      </c>
      <c r="S391" s="33">
        <f>+$C$210/Assumptions!$G$170*S197</f>
        <v>-165933.14783277921</v>
      </c>
      <c r="T391" s="33">
        <f>+$C$210/Assumptions!$G$170*T197</f>
        <v>-165933.14783277921</v>
      </c>
      <c r="U391" s="33">
        <f>+$C$210/Assumptions!$G$170*U197</f>
        <v>-165933.14783277921</v>
      </c>
      <c r="V391" s="33">
        <f>+$C$210/Assumptions!$G$170*V197</f>
        <v>-165933.14783277921</v>
      </c>
      <c r="W391" s="33">
        <f>+$C$210/Assumptions!$G$170*W197</f>
        <v>-165933.14783277921</v>
      </c>
      <c r="X391" s="33">
        <f>+$C$210/Assumptions!$G$170*X197</f>
        <v>-165933.14783277921</v>
      </c>
      <c r="Y391" s="33">
        <f>+$C$210/Assumptions!$G$170*Y197</f>
        <v>-165933.14783277921</v>
      </c>
      <c r="Z391" s="33">
        <f>+$C$210/Assumptions!$G$170*Z197</f>
        <v>-165933.14783277921</v>
      </c>
      <c r="AA391" s="33">
        <f>+$C$210/Assumptions!$G$170*AA197</f>
        <v>0</v>
      </c>
      <c r="AB391" s="33">
        <f>+$C$210/Assumptions!$G$170*AB197</f>
        <v>0</v>
      </c>
      <c r="AC391" s="33">
        <f>+$C$210/Assumptions!$G$170*AC197</f>
        <v>0</v>
      </c>
      <c r="AD391" s="33">
        <f>+$C$210/Assumptions!$G$170*AD197</f>
        <v>0</v>
      </c>
      <c r="AE391" s="33">
        <f>+$C$210/Assumptions!$G$170*AE197</f>
        <v>0</v>
      </c>
      <c r="AF391" s="33">
        <f>+$C$210/Assumptions!$G$170*AF197</f>
        <v>0</v>
      </c>
      <c r="AG391" s="33">
        <f>+$C$210/Assumptions!$G$170*AG197</f>
        <v>0</v>
      </c>
      <c r="AH391" s="33">
        <f>+$C$210/Assumptions!$G$170*AH197</f>
        <v>0</v>
      </c>
      <c r="AI391" s="33">
        <f>+$C$210/Assumptions!$G$170*AI197</f>
        <v>0</v>
      </c>
      <c r="AJ391" s="33">
        <f>+$C$210/Assumptions!$G$170*AJ197</f>
        <v>0</v>
      </c>
      <c r="AK391" s="33">
        <f>+$C$210/Assumptions!$G$170*AK197</f>
        <v>0</v>
      </c>
      <c r="AL391" s="33">
        <f>+$C$210/Assumptions!$G$170*AL197</f>
        <v>0</v>
      </c>
      <c r="AM391" s="33">
        <f>+$C$210/Assumptions!$G$170*AM197</f>
        <v>0</v>
      </c>
      <c r="AN391" s="33">
        <f>+$C$210/Assumptions!$G$170*AN197</f>
        <v>0</v>
      </c>
      <c r="AO391" s="33">
        <f>+$C$210/Assumptions!$G$170*AO197</f>
        <v>0</v>
      </c>
      <c r="AP391" s="33">
        <f>+$C$210/Assumptions!$G$170*AP197</f>
        <v>0</v>
      </c>
      <c r="AQ391" s="33">
        <f>+$C$210/Assumptions!$G$170*AQ197</f>
        <v>0</v>
      </c>
      <c r="AR391" s="33">
        <f>+$C$210/Assumptions!$G$170*AR197</f>
        <v>0</v>
      </c>
      <c r="AS391" s="33">
        <f>+$C$210/Assumptions!$G$170*AS197</f>
        <v>0</v>
      </c>
      <c r="AT391" s="33">
        <f>+$C$210/Assumptions!$G$170*AT197</f>
        <v>0</v>
      </c>
      <c r="AU391" s="33">
        <f>+$C$210/Assumptions!$G$170*AU197</f>
        <v>0</v>
      </c>
      <c r="AV391" s="33">
        <f>+$C$210/Assumptions!$G$170*AV197</f>
        <v>0</v>
      </c>
      <c r="AW391" s="33">
        <f>+$C$210/Assumptions!$G$170*AW197</f>
        <v>0</v>
      </c>
      <c r="AX391" s="33">
        <f>+$C$210/Assumptions!$G$170*AX197</f>
        <v>0</v>
      </c>
      <c r="AY391" s="33">
        <f>+$C$210/Assumptions!$G$170*AY197</f>
        <v>0</v>
      </c>
      <c r="AZ391" s="33">
        <f>+$C$210/Assumptions!$G$170*AZ197</f>
        <v>0</v>
      </c>
      <c r="BA391" s="33">
        <f>+$C$210/Assumptions!$G$170*BA197</f>
        <v>0</v>
      </c>
      <c r="BB391" s="33">
        <f>+$C$210/Assumptions!$G$170*BB197</f>
        <v>0</v>
      </c>
      <c r="BC391" s="33">
        <f>+$C$210/Assumptions!$G$170*BC197</f>
        <v>0</v>
      </c>
      <c r="BD391" s="33">
        <f>+$C$210/Assumptions!$G$170*BD197</f>
        <v>0</v>
      </c>
      <c r="BE391" s="33">
        <f>+$C$210/Assumptions!$G$170*BE197</f>
        <v>0</v>
      </c>
      <c r="BF391" s="33">
        <f>+$C$210/Assumptions!$G$170*BF197</f>
        <v>0</v>
      </c>
      <c r="BG391" s="33">
        <f>+$C$210/Assumptions!$G$170*BG197</f>
        <v>0</v>
      </c>
      <c r="BH391" s="33">
        <f>+$C$210/Assumptions!$G$170*BH197</f>
        <v>0</v>
      </c>
      <c r="BI391" s="33">
        <f>+$C$210/Assumptions!$G$170*BI197</f>
        <v>0</v>
      </c>
      <c r="BJ391" s="33">
        <f>+$C$210/Assumptions!$G$170*BJ197</f>
        <v>0</v>
      </c>
      <c r="BK391" s="33">
        <f>+$C$210/Assumptions!$G$170*BK197</f>
        <v>0</v>
      </c>
      <c r="BL391" s="33">
        <f>+$C$210/Assumptions!$G$170*BL197</f>
        <v>0</v>
      </c>
      <c r="BM391" s="33">
        <f>+$C$210/Assumptions!$G$170*BM197</f>
        <v>0</v>
      </c>
      <c r="BN391" s="33">
        <f>+$C$210/Assumptions!$G$170*BN197</f>
        <v>0</v>
      </c>
      <c r="BO391" s="33">
        <f>+$C$210/Assumptions!$G$170*BO197</f>
        <v>0</v>
      </c>
      <c r="BP391" s="33">
        <f>+$C$210/Assumptions!$G$170*BP197</f>
        <v>0</v>
      </c>
      <c r="BQ391" s="33">
        <f>+$C$210/Assumptions!$G$170*BQ197</f>
        <v>0</v>
      </c>
      <c r="BR391" s="33">
        <f>+$C$210/Assumptions!$G$170*BR197</f>
        <v>0</v>
      </c>
      <c r="BS391" s="33">
        <f>+$C$210/Assumptions!$G$170*BS197</f>
        <v>0</v>
      </c>
      <c r="BT391" s="33">
        <f>+$C$210/Assumptions!$G$170*BT197</f>
        <v>0</v>
      </c>
      <c r="BU391" s="33">
        <f>+$C$210/Assumptions!$G$170*BU197</f>
        <v>0</v>
      </c>
      <c r="BV391" s="33">
        <f>+$C$210/Assumptions!$G$170*BV197</f>
        <v>0</v>
      </c>
      <c r="BW391" s="33">
        <f>+$C$210/Assumptions!$G$170*BW197</f>
        <v>0</v>
      </c>
      <c r="BX391" s="33">
        <f>+$C$210/Assumptions!$G$170*BX197</f>
        <v>0</v>
      </c>
      <c r="BY391" s="33">
        <f>+$C$210/Assumptions!$G$170*BY197</f>
        <v>0</v>
      </c>
    </row>
    <row r="392" spans="2:77" s="37" customFormat="1" ht="15" outlineLevel="1">
      <c r="B392" s="22"/>
      <c r="C392" s="22"/>
      <c r="D392" s="22"/>
      <c r="E392" t="s">
        <v>468</v>
      </c>
      <c r="F392" s="23" t="s">
        <v>466</v>
      </c>
      <c r="G392"/>
      <c r="H392" s="33">
        <f t="shared" ref="H392:AM392" ca="1" si="691">+H330+H362</f>
        <v>0</v>
      </c>
      <c r="I392" s="33">
        <f t="shared" ca="1" si="691"/>
        <v>0</v>
      </c>
      <c r="J392" s="33">
        <f t="shared" ca="1" si="691"/>
        <v>-46435.939622828468</v>
      </c>
      <c r="K392" s="33">
        <f t="shared" ca="1" si="691"/>
        <v>-164615.79519647881</v>
      </c>
      <c r="L392" s="33">
        <f t="shared" ca="1" si="691"/>
        <v>-157195.68320833085</v>
      </c>
      <c r="M392" s="33">
        <f t="shared" ca="1" si="691"/>
        <v>-149349.73099318313</v>
      </c>
      <c r="N392" s="33">
        <f t="shared" ca="1" si="691"/>
        <v>-141053.49958040804</v>
      </c>
      <c r="O392" s="33">
        <f t="shared" ca="1" si="691"/>
        <v>-132281.14744685378</v>
      </c>
      <c r="P392" s="33">
        <f t="shared" ca="1" si="691"/>
        <v>-123005.35002435485</v>
      </c>
      <c r="Q392" s="33">
        <f t="shared" ca="1" si="691"/>
        <v>-113197.21458777871</v>
      </c>
      <c r="R392" s="33">
        <f t="shared" ca="1" si="691"/>
        <v>-102826.19025849747</v>
      </c>
      <c r="S392" s="33">
        <f t="shared" ca="1" si="691"/>
        <v>-91859.972842958799</v>
      </c>
      <c r="T392" s="33">
        <f t="shared" ca="1" si="691"/>
        <v>-80264.404209942339</v>
      </c>
      <c r="U392" s="33">
        <f t="shared" ca="1" si="691"/>
        <v>-68003.365893077062</v>
      </c>
      <c r="V392" s="33">
        <f t="shared" ca="1" si="691"/>
        <v>-55038.666587206892</v>
      </c>
      <c r="W392" s="33">
        <f t="shared" ca="1" si="691"/>
        <v>-41329.923188172826</v>
      </c>
      <c r="X392" s="33">
        <f t="shared" ca="1" si="691"/>
        <v>-26834.435005468207</v>
      </c>
      <c r="Y392" s="33">
        <f t="shared" ca="1" si="691"/>
        <v>-11507.050755958164</v>
      </c>
      <c r="Z392" s="33">
        <f t="shared" ca="1" si="691"/>
        <v>-7.0151290856301784E-11</v>
      </c>
      <c r="AA392" s="33">
        <f t="shared" ca="1" si="691"/>
        <v>-7.0151290856301784E-11</v>
      </c>
      <c r="AB392" s="33">
        <f t="shared" ca="1" si="691"/>
        <v>-7.0151290856301784E-11</v>
      </c>
      <c r="AC392" s="33">
        <f t="shared" ca="1" si="691"/>
        <v>-7.0151290856301784E-11</v>
      </c>
      <c r="AD392" s="33">
        <f t="shared" ca="1" si="691"/>
        <v>-7.0151290856301784E-11</v>
      </c>
      <c r="AE392" s="33">
        <f t="shared" ca="1" si="691"/>
        <v>-7.0151290856301784E-11</v>
      </c>
      <c r="AF392" s="33">
        <f t="shared" ca="1" si="691"/>
        <v>-7.0151290856301784E-11</v>
      </c>
      <c r="AG392" s="33">
        <f t="shared" ca="1" si="691"/>
        <v>-7.0151290856301784E-11</v>
      </c>
      <c r="AH392" s="33">
        <f t="shared" ca="1" si="691"/>
        <v>-7.0151290856301784E-11</v>
      </c>
      <c r="AI392" s="33">
        <f t="shared" ca="1" si="691"/>
        <v>-7.0151290856301784E-11</v>
      </c>
      <c r="AJ392" s="33">
        <f t="shared" ca="1" si="691"/>
        <v>-7.0151290856301784E-11</v>
      </c>
      <c r="AK392" s="33">
        <f t="shared" ca="1" si="691"/>
        <v>-7.0151290856301784E-11</v>
      </c>
      <c r="AL392" s="33">
        <f t="shared" ca="1" si="691"/>
        <v>-7.0151290856301784E-11</v>
      </c>
      <c r="AM392" s="33">
        <f t="shared" ca="1" si="691"/>
        <v>-7.0151290856301784E-11</v>
      </c>
      <c r="AN392" s="33">
        <f t="shared" ref="AN392:BS392" ca="1" si="692">+AN330+AN362</f>
        <v>-7.0151290856301784E-11</v>
      </c>
      <c r="AO392" s="33">
        <f t="shared" ca="1" si="692"/>
        <v>-7.0151290856301784E-11</v>
      </c>
      <c r="AP392" s="33">
        <f t="shared" ca="1" si="692"/>
        <v>-7.0151290856301784E-11</v>
      </c>
      <c r="AQ392" s="33">
        <f t="shared" ca="1" si="692"/>
        <v>-7.0151290856301784E-11</v>
      </c>
      <c r="AR392" s="33">
        <f t="shared" ca="1" si="692"/>
        <v>-7.0151290856301784E-11</v>
      </c>
      <c r="AS392" s="33">
        <f t="shared" ca="1" si="692"/>
        <v>-7.0151290856301784E-11</v>
      </c>
      <c r="AT392" s="33">
        <f t="shared" ca="1" si="692"/>
        <v>-7.0151290856301784E-11</v>
      </c>
      <c r="AU392" s="33">
        <f t="shared" ca="1" si="692"/>
        <v>-7.0151290856301784E-11</v>
      </c>
      <c r="AV392" s="33">
        <f t="shared" ca="1" si="692"/>
        <v>-7.0151290856301784E-11</v>
      </c>
      <c r="AW392" s="33">
        <f t="shared" ca="1" si="692"/>
        <v>-7.0151290856301784E-11</v>
      </c>
      <c r="AX392" s="33">
        <f t="shared" ca="1" si="692"/>
        <v>-7.0151290856301784E-11</v>
      </c>
      <c r="AY392" s="33">
        <f t="shared" ca="1" si="692"/>
        <v>-7.0151290856301784E-11</v>
      </c>
      <c r="AZ392" s="33">
        <f t="shared" ca="1" si="692"/>
        <v>-7.0151290856301784E-11</v>
      </c>
      <c r="BA392" s="33">
        <f t="shared" ca="1" si="692"/>
        <v>-7.0151290856301784E-11</v>
      </c>
      <c r="BB392" s="33">
        <f t="shared" ca="1" si="692"/>
        <v>-7.0151290856301784E-11</v>
      </c>
      <c r="BC392" s="33">
        <f t="shared" ca="1" si="692"/>
        <v>-7.0151290856301784E-11</v>
      </c>
      <c r="BD392" s="33">
        <f t="shared" ca="1" si="692"/>
        <v>-7.0151290856301784E-11</v>
      </c>
      <c r="BE392" s="33">
        <f t="shared" ca="1" si="692"/>
        <v>-7.0151290856301784E-11</v>
      </c>
      <c r="BF392" s="33">
        <f t="shared" ca="1" si="692"/>
        <v>-7.0151290856301784E-11</v>
      </c>
      <c r="BG392" s="33">
        <f t="shared" ca="1" si="692"/>
        <v>-7.0151290856301784E-11</v>
      </c>
      <c r="BH392" s="33">
        <f t="shared" ca="1" si="692"/>
        <v>-7.0151290856301784E-11</v>
      </c>
      <c r="BI392" s="33">
        <f t="shared" ca="1" si="692"/>
        <v>-7.0151290856301784E-11</v>
      </c>
      <c r="BJ392" s="33">
        <f t="shared" ca="1" si="692"/>
        <v>-7.0151290856301784E-11</v>
      </c>
      <c r="BK392" s="33">
        <f t="shared" ca="1" si="692"/>
        <v>-7.0151290856301784E-11</v>
      </c>
      <c r="BL392" s="33">
        <f t="shared" ca="1" si="692"/>
        <v>-7.0151290856301784E-11</v>
      </c>
      <c r="BM392" s="33">
        <f t="shared" ca="1" si="692"/>
        <v>-7.0151290856301784E-11</v>
      </c>
      <c r="BN392" s="33">
        <f t="shared" ca="1" si="692"/>
        <v>-7.0151290856301784E-11</v>
      </c>
      <c r="BO392" s="33">
        <f t="shared" ca="1" si="692"/>
        <v>-7.0151290856301784E-11</v>
      </c>
      <c r="BP392" s="33">
        <f t="shared" ca="1" si="692"/>
        <v>-7.0151290856301784E-11</v>
      </c>
      <c r="BQ392" s="33">
        <f t="shared" ca="1" si="692"/>
        <v>-7.0151290856301784E-11</v>
      </c>
      <c r="BR392" s="33">
        <f t="shared" ca="1" si="692"/>
        <v>-7.0151290856301784E-11</v>
      </c>
      <c r="BS392" s="33">
        <f t="shared" ca="1" si="692"/>
        <v>-7.0151290856301784E-11</v>
      </c>
      <c r="BT392" s="33">
        <f t="shared" ref="BT392:BY392" ca="1" si="693">+BT330+BT362</f>
        <v>-7.0151290856301784E-11</v>
      </c>
      <c r="BU392" s="33">
        <f t="shared" ca="1" si="693"/>
        <v>-7.0151290856301784E-11</v>
      </c>
      <c r="BV392" s="33">
        <f t="shared" ca="1" si="693"/>
        <v>-7.0151290856301784E-11</v>
      </c>
      <c r="BW392" s="33">
        <f t="shared" ca="1" si="693"/>
        <v>-7.0151290856301784E-11</v>
      </c>
      <c r="BX392" s="33">
        <f t="shared" ca="1" si="693"/>
        <v>-7.0151290856301784E-11</v>
      </c>
      <c r="BY392" s="33">
        <f t="shared" ca="1" si="693"/>
        <v>-7.0151290856301784E-11</v>
      </c>
    </row>
    <row r="393" spans="2:77" s="37" customFormat="1" ht="15" outlineLevel="1">
      <c r="B393" s="22"/>
      <c r="C393" s="22"/>
      <c r="D393" s="22"/>
      <c r="E393" s="22" t="s">
        <v>469</v>
      </c>
      <c r="F393" s="36" t="s">
        <v>470</v>
      </c>
      <c r="G393" s="22"/>
      <c r="H393" s="37">
        <f ca="1">+SUM(H390:H392)</f>
        <v>0</v>
      </c>
      <c r="I393" s="37">
        <f t="shared" ref="I393:BT393" ca="1" si="694">+SUM(I390:I392)</f>
        <v>0</v>
      </c>
      <c r="J393" s="37">
        <f t="shared" ca="1" si="694"/>
        <v>-46435.939622828468</v>
      </c>
      <c r="K393" s="37">
        <f t="shared" ca="1" si="694"/>
        <v>-359036.87157797476</v>
      </c>
      <c r="L393" s="37">
        <f t="shared" ca="1" si="694"/>
        <v>-352186.51816080115</v>
      </c>
      <c r="M393" s="37">
        <f t="shared" ca="1" si="694"/>
        <v>-344921.71968804725</v>
      </c>
      <c r="N393" s="37">
        <f t="shared" ca="1" si="694"/>
        <v>-337218.26509251387</v>
      </c>
      <c r="O393" s="37">
        <f t="shared" ca="1" si="694"/>
        <v>-329050.54531254614</v>
      </c>
      <c r="P393" s="37">
        <f t="shared" ca="1" si="694"/>
        <v>-320391.47289070545</v>
      </c>
      <c r="Q393" s="37">
        <f t="shared" ca="1" si="694"/>
        <v>-311212.39695480076</v>
      </c>
      <c r="R393" s="37">
        <f t="shared" ca="1" si="694"/>
        <v>-301483.01331620436</v>
      </c>
      <c r="S393" s="37">
        <f t="shared" ca="1" si="694"/>
        <v>-291171.26940516423</v>
      </c>
      <c r="T393" s="37">
        <f t="shared" ca="1" si="694"/>
        <v>-280243.26374673628</v>
      </c>
      <c r="U393" s="37">
        <f t="shared" ca="1" si="694"/>
        <v>-268663.13966395136</v>
      </c>
      <c r="V393" s="37">
        <f t="shared" ca="1" si="694"/>
        <v>-256392.97287684307</v>
      </c>
      <c r="W393" s="37">
        <f t="shared" ca="1" si="694"/>
        <v>-243392.65264694614</v>
      </c>
      <c r="X393" s="37">
        <f t="shared" ca="1" si="694"/>
        <v>-229619.75609676138</v>
      </c>
      <c r="Y393" s="37">
        <f t="shared" ca="1" si="694"/>
        <v>-215029.41531242162</v>
      </c>
      <c r="Z393" s="37">
        <f t="shared" ca="1" si="694"/>
        <v>-165933.14783277927</v>
      </c>
      <c r="AA393" s="37">
        <f t="shared" ca="1" si="694"/>
        <v>-7.0151290856301784E-11</v>
      </c>
      <c r="AB393" s="37">
        <f t="shared" ca="1" si="694"/>
        <v>-7.0151290856301784E-11</v>
      </c>
      <c r="AC393" s="37">
        <f t="shared" ca="1" si="694"/>
        <v>-7.0151290856301784E-11</v>
      </c>
      <c r="AD393" s="37">
        <f t="shared" ca="1" si="694"/>
        <v>-7.0151290856301784E-11</v>
      </c>
      <c r="AE393" s="37">
        <f t="shared" ca="1" si="694"/>
        <v>-7.0151290856301784E-11</v>
      </c>
      <c r="AF393" s="37">
        <f t="shared" ca="1" si="694"/>
        <v>-7.0151290856301784E-11</v>
      </c>
      <c r="AG393" s="37">
        <f t="shared" ca="1" si="694"/>
        <v>-7.0151290856301784E-11</v>
      </c>
      <c r="AH393" s="37">
        <f t="shared" ca="1" si="694"/>
        <v>-7.0151290856301784E-11</v>
      </c>
      <c r="AI393" s="37">
        <f t="shared" ca="1" si="694"/>
        <v>-7.0151290856301784E-11</v>
      </c>
      <c r="AJ393" s="37">
        <f t="shared" ca="1" si="694"/>
        <v>-7.0151290856301784E-11</v>
      </c>
      <c r="AK393" s="37">
        <f t="shared" ca="1" si="694"/>
        <v>-7.0151290856301784E-11</v>
      </c>
      <c r="AL393" s="37">
        <f t="shared" ca="1" si="694"/>
        <v>-7.0151290856301784E-11</v>
      </c>
      <c r="AM393" s="37">
        <f t="shared" ca="1" si="694"/>
        <v>-7.0151290856301784E-11</v>
      </c>
      <c r="AN393" s="37">
        <f t="shared" ca="1" si="694"/>
        <v>-7.0151290856301784E-11</v>
      </c>
      <c r="AO393" s="37">
        <f t="shared" ca="1" si="694"/>
        <v>-7.0151290856301784E-11</v>
      </c>
      <c r="AP393" s="37">
        <f t="shared" ca="1" si="694"/>
        <v>-7.0151290856301784E-11</v>
      </c>
      <c r="AQ393" s="37">
        <f t="shared" ca="1" si="694"/>
        <v>-7.0151290856301784E-11</v>
      </c>
      <c r="AR393" s="37">
        <f t="shared" ca="1" si="694"/>
        <v>-7.0151290856301784E-11</v>
      </c>
      <c r="AS393" s="37">
        <f t="shared" ca="1" si="694"/>
        <v>-7.0151290856301784E-11</v>
      </c>
      <c r="AT393" s="37">
        <f t="shared" ca="1" si="694"/>
        <v>-7.0151290856301784E-11</v>
      </c>
      <c r="AU393" s="37">
        <f t="shared" ca="1" si="694"/>
        <v>-7.0151290856301784E-11</v>
      </c>
      <c r="AV393" s="37">
        <f t="shared" ca="1" si="694"/>
        <v>-7.0151290856301784E-11</v>
      </c>
      <c r="AW393" s="37">
        <f t="shared" ca="1" si="694"/>
        <v>-7.0151290856301784E-11</v>
      </c>
      <c r="AX393" s="37">
        <f t="shared" ca="1" si="694"/>
        <v>-7.0151290856301784E-11</v>
      </c>
      <c r="AY393" s="37">
        <f t="shared" ca="1" si="694"/>
        <v>-7.0151290856301784E-11</v>
      </c>
      <c r="AZ393" s="37">
        <f t="shared" ca="1" si="694"/>
        <v>-7.0151290856301784E-11</v>
      </c>
      <c r="BA393" s="37">
        <f t="shared" ca="1" si="694"/>
        <v>-7.0151290856301784E-11</v>
      </c>
      <c r="BB393" s="37">
        <f t="shared" ca="1" si="694"/>
        <v>-7.0151290856301784E-11</v>
      </c>
      <c r="BC393" s="37">
        <f t="shared" ca="1" si="694"/>
        <v>-7.0151290856301784E-11</v>
      </c>
      <c r="BD393" s="37">
        <f t="shared" ca="1" si="694"/>
        <v>-7.0151290856301784E-11</v>
      </c>
      <c r="BE393" s="37">
        <f t="shared" ca="1" si="694"/>
        <v>-7.0151290856301784E-11</v>
      </c>
      <c r="BF393" s="37">
        <f t="shared" ca="1" si="694"/>
        <v>-7.0151290856301784E-11</v>
      </c>
      <c r="BG393" s="37">
        <f t="shared" ca="1" si="694"/>
        <v>-7.0151290856301784E-11</v>
      </c>
      <c r="BH393" s="37">
        <f t="shared" ca="1" si="694"/>
        <v>-7.0151290856301784E-11</v>
      </c>
      <c r="BI393" s="37">
        <f t="shared" ca="1" si="694"/>
        <v>-7.0151290856301784E-11</v>
      </c>
      <c r="BJ393" s="37">
        <f t="shared" ca="1" si="694"/>
        <v>-7.0151290856301784E-11</v>
      </c>
      <c r="BK393" s="37">
        <f t="shared" ca="1" si="694"/>
        <v>-7.0151290856301784E-11</v>
      </c>
      <c r="BL393" s="37">
        <f t="shared" ca="1" si="694"/>
        <v>-7.0151290856301784E-11</v>
      </c>
      <c r="BM393" s="37">
        <f t="shared" ca="1" si="694"/>
        <v>-7.0151290856301784E-11</v>
      </c>
      <c r="BN393" s="37">
        <f t="shared" ca="1" si="694"/>
        <v>-7.0151290856301784E-11</v>
      </c>
      <c r="BO393" s="37">
        <f t="shared" ca="1" si="694"/>
        <v>-7.0151290856301784E-11</v>
      </c>
      <c r="BP393" s="37">
        <f t="shared" ca="1" si="694"/>
        <v>-7.0151290856301784E-11</v>
      </c>
      <c r="BQ393" s="37">
        <f t="shared" ca="1" si="694"/>
        <v>-7.0151290856301784E-11</v>
      </c>
      <c r="BR393" s="37">
        <f t="shared" ca="1" si="694"/>
        <v>-7.0151290856301784E-11</v>
      </c>
      <c r="BS393" s="37">
        <f t="shared" ca="1" si="694"/>
        <v>-7.0151290856301784E-11</v>
      </c>
      <c r="BT393" s="37">
        <f t="shared" ca="1" si="694"/>
        <v>-7.0151290856301784E-11</v>
      </c>
      <c r="BU393" s="37">
        <f t="shared" ref="BU393:BY393" ca="1" si="695">+SUM(BU390:BU392)</f>
        <v>-7.0151290856301784E-11</v>
      </c>
      <c r="BV393" s="37">
        <f t="shared" ca="1" si="695"/>
        <v>-7.0151290856301784E-11</v>
      </c>
      <c r="BW393" s="37">
        <f t="shared" ca="1" si="695"/>
        <v>-7.0151290856301784E-11</v>
      </c>
      <c r="BX393" s="37">
        <f t="shared" ca="1" si="695"/>
        <v>-7.0151290856301784E-11</v>
      </c>
      <c r="BY393" s="37">
        <f t="shared" ca="1" si="695"/>
        <v>-7.0151290856301784E-11</v>
      </c>
    </row>
    <row r="394" spans="2:77" s="37" customFormat="1" ht="15" outlineLevel="1">
      <c r="B394" s="22"/>
      <c r="C394" s="22"/>
      <c r="D394" s="22"/>
      <c r="E394" s="25" t="s">
        <v>471</v>
      </c>
      <c r="F394" s="30" t="s">
        <v>466</v>
      </c>
      <c r="G394" s="25"/>
      <c r="H394" s="34">
        <f ca="1">+H393*-Assumptions!$G$117</f>
        <v>0</v>
      </c>
      <c r="I394" s="34">
        <f ca="1">+I393*-Assumptions!$G$117</f>
        <v>0</v>
      </c>
      <c r="J394" s="34">
        <f ca="1">+J393*-Assumptions!$G$117</f>
        <v>0</v>
      </c>
      <c r="K394" s="34">
        <f ca="1">+K393*-Assumptions!$G$117</f>
        <v>0</v>
      </c>
      <c r="L394" s="34">
        <f ca="1">+L393*-Assumptions!$G$117</f>
        <v>0</v>
      </c>
      <c r="M394" s="34">
        <f ca="1">+M393*-Assumptions!$G$117</f>
        <v>0</v>
      </c>
      <c r="N394" s="34">
        <f ca="1">+N393*-Assumptions!$G$117</f>
        <v>0</v>
      </c>
      <c r="O394" s="34">
        <f ca="1">+O393*-Assumptions!$G$117</f>
        <v>0</v>
      </c>
      <c r="P394" s="34">
        <f ca="1">+P393*-Assumptions!$G$117</f>
        <v>0</v>
      </c>
      <c r="Q394" s="34">
        <f ca="1">+Q393*-Assumptions!$G$117</f>
        <v>0</v>
      </c>
      <c r="R394" s="34">
        <f ca="1">+R393*-Assumptions!$G$117</f>
        <v>0</v>
      </c>
      <c r="S394" s="34">
        <f ca="1">+S393*-Assumptions!$G$117</f>
        <v>0</v>
      </c>
      <c r="T394" s="34">
        <f ca="1">+T393*-Assumptions!$G$117</f>
        <v>0</v>
      </c>
      <c r="U394" s="34">
        <f ca="1">+U393*-Assumptions!$G$117</f>
        <v>0</v>
      </c>
      <c r="V394" s="34">
        <f ca="1">+V393*-Assumptions!$G$117</f>
        <v>0</v>
      </c>
      <c r="W394" s="34">
        <f ca="1">+W393*-Assumptions!$G$117</f>
        <v>0</v>
      </c>
      <c r="X394" s="34">
        <f ca="1">+X393*-Assumptions!$G$117</f>
        <v>0</v>
      </c>
      <c r="Y394" s="34">
        <f ca="1">+Y393*-Assumptions!$G$117</f>
        <v>0</v>
      </c>
      <c r="Z394" s="34">
        <f ca="1">+Z393*-Assumptions!$G$117</f>
        <v>0</v>
      </c>
      <c r="AA394" s="34">
        <f ca="1">+AA393*-Assumptions!$G$117</f>
        <v>0</v>
      </c>
      <c r="AB394" s="34">
        <f ca="1">+AB393*-Assumptions!$G$117</f>
        <v>0</v>
      </c>
      <c r="AC394" s="34">
        <f ca="1">+AC393*-Assumptions!$G$117</f>
        <v>0</v>
      </c>
      <c r="AD394" s="34">
        <f ca="1">+AD393*-Assumptions!$G$117</f>
        <v>0</v>
      </c>
      <c r="AE394" s="34">
        <f ca="1">+AE393*-Assumptions!$G$117</f>
        <v>0</v>
      </c>
      <c r="AF394" s="34">
        <f ca="1">+AF393*-Assumptions!$G$117</f>
        <v>0</v>
      </c>
      <c r="AG394" s="34">
        <f ca="1">+AG393*-Assumptions!$G$117</f>
        <v>0</v>
      </c>
      <c r="AH394" s="34">
        <f ca="1">+AH393*-Assumptions!$G$117</f>
        <v>0</v>
      </c>
      <c r="AI394" s="34">
        <f ca="1">+AI393*-Assumptions!$G$117</f>
        <v>0</v>
      </c>
      <c r="AJ394" s="34">
        <f ca="1">+AJ393*-Assumptions!$G$117</f>
        <v>0</v>
      </c>
      <c r="AK394" s="34">
        <f ca="1">+AK393*-Assumptions!$G$117</f>
        <v>0</v>
      </c>
      <c r="AL394" s="34">
        <f ca="1">+AL393*-Assumptions!$G$117</f>
        <v>0</v>
      </c>
      <c r="AM394" s="34">
        <f ca="1">+AM393*-Assumptions!$G$117</f>
        <v>0</v>
      </c>
      <c r="AN394" s="34">
        <f ca="1">+AN393*-Assumptions!$G$117</f>
        <v>0</v>
      </c>
      <c r="AO394" s="34">
        <f ca="1">+AO393*-Assumptions!$G$117</f>
        <v>0</v>
      </c>
      <c r="AP394" s="34">
        <f ca="1">+AP393*-Assumptions!$G$117</f>
        <v>0</v>
      </c>
      <c r="AQ394" s="34">
        <f ca="1">+AQ393*-Assumptions!$G$117</f>
        <v>0</v>
      </c>
      <c r="AR394" s="34">
        <f ca="1">+AR393*-Assumptions!$G$117</f>
        <v>0</v>
      </c>
      <c r="AS394" s="34">
        <f ca="1">+AS393*-Assumptions!$G$117</f>
        <v>0</v>
      </c>
      <c r="AT394" s="34">
        <f ca="1">+AT393*-Assumptions!$G$117</f>
        <v>0</v>
      </c>
      <c r="AU394" s="34">
        <f ca="1">+AU393*-Assumptions!$G$117</f>
        <v>0</v>
      </c>
      <c r="AV394" s="34">
        <f ca="1">+AV393*-Assumptions!$G$117</f>
        <v>0</v>
      </c>
      <c r="AW394" s="34">
        <f ca="1">+AW393*-Assumptions!$G$117</f>
        <v>0</v>
      </c>
      <c r="AX394" s="34">
        <f ca="1">+AX393*-Assumptions!$G$117</f>
        <v>0</v>
      </c>
      <c r="AY394" s="34">
        <f ca="1">+AY393*-Assumptions!$G$117</f>
        <v>0</v>
      </c>
      <c r="AZ394" s="34">
        <f ca="1">+AZ393*-Assumptions!$G$117</f>
        <v>0</v>
      </c>
      <c r="BA394" s="34">
        <f ca="1">+BA393*-Assumptions!$G$117</f>
        <v>0</v>
      </c>
      <c r="BB394" s="34">
        <f ca="1">+BB393*-Assumptions!$G$117</f>
        <v>0</v>
      </c>
      <c r="BC394" s="34">
        <f ca="1">+BC393*-Assumptions!$G$117</f>
        <v>0</v>
      </c>
      <c r="BD394" s="34">
        <f ca="1">+BD393*-Assumptions!$G$117</f>
        <v>0</v>
      </c>
      <c r="BE394" s="34">
        <f ca="1">+BE393*-Assumptions!$G$117</f>
        <v>0</v>
      </c>
      <c r="BF394" s="34">
        <f ca="1">+BF393*-Assumptions!$G$117</f>
        <v>0</v>
      </c>
      <c r="BG394" s="34">
        <f ca="1">+BG393*-Assumptions!$G$117</f>
        <v>0</v>
      </c>
      <c r="BH394" s="34">
        <f ca="1">+BH393*-Assumptions!$G$117</f>
        <v>0</v>
      </c>
      <c r="BI394" s="34">
        <f ca="1">+BI393*-Assumptions!$G$117</f>
        <v>0</v>
      </c>
      <c r="BJ394" s="34">
        <f ca="1">+BJ393*-Assumptions!$G$117</f>
        <v>0</v>
      </c>
      <c r="BK394" s="34">
        <f ca="1">+BK393*-Assumptions!$G$117</f>
        <v>0</v>
      </c>
      <c r="BL394" s="34">
        <f ca="1">+BL393*-Assumptions!$G$117</f>
        <v>0</v>
      </c>
      <c r="BM394" s="34">
        <f ca="1">+BM393*-Assumptions!$G$117</f>
        <v>0</v>
      </c>
      <c r="BN394" s="34">
        <f ca="1">+BN393*-Assumptions!$G$117</f>
        <v>0</v>
      </c>
      <c r="BO394" s="34">
        <f ca="1">+BO393*-Assumptions!$G$117</f>
        <v>0</v>
      </c>
      <c r="BP394" s="34">
        <f ca="1">+BP393*-Assumptions!$G$117</f>
        <v>0</v>
      </c>
      <c r="BQ394" s="34">
        <f ca="1">+BQ393*-Assumptions!$G$117</f>
        <v>0</v>
      </c>
      <c r="BR394" s="34">
        <f ca="1">+BR393*-Assumptions!$G$117</f>
        <v>0</v>
      </c>
      <c r="BS394" s="34">
        <f ca="1">+BS393*-Assumptions!$G$117</f>
        <v>0</v>
      </c>
      <c r="BT394" s="34">
        <f ca="1">+BT393*-Assumptions!$G$117</f>
        <v>0</v>
      </c>
      <c r="BU394" s="34">
        <f ca="1">+BU393*-Assumptions!$G$117</f>
        <v>0</v>
      </c>
      <c r="BV394" s="34">
        <f ca="1">+BV393*-Assumptions!$G$117</f>
        <v>0</v>
      </c>
      <c r="BW394" s="34">
        <f ca="1">+BW393*-Assumptions!$G$117</f>
        <v>0</v>
      </c>
      <c r="BX394" s="34">
        <f ca="1">+BX393*-Assumptions!$G$117</f>
        <v>0</v>
      </c>
      <c r="BY394" s="34">
        <f ca="1">+BY393*-Assumptions!$G$117</f>
        <v>0</v>
      </c>
    </row>
    <row r="395" spans="2:77" s="22" customFormat="1" ht="15" outlineLevel="1">
      <c r="E395" s="22" t="s">
        <v>527</v>
      </c>
      <c r="F395" s="36" t="s">
        <v>470</v>
      </c>
      <c r="H395" s="37">
        <f t="shared" ref="H395" ca="1" si="696">+SUM(H393:H394)</f>
        <v>0</v>
      </c>
      <c r="I395" s="37">
        <f t="shared" ref="I395:BT395" ca="1" si="697">+SUM(I393:I394)</f>
        <v>0</v>
      </c>
      <c r="J395" s="37">
        <f t="shared" ca="1" si="697"/>
        <v>-46435.939622828468</v>
      </c>
      <c r="K395" s="37">
        <f t="shared" ca="1" si="697"/>
        <v>-359036.87157797476</v>
      </c>
      <c r="L395" s="37">
        <f t="shared" ca="1" si="697"/>
        <v>-352186.51816080115</v>
      </c>
      <c r="M395" s="37">
        <f t="shared" ca="1" si="697"/>
        <v>-344921.71968804725</v>
      </c>
      <c r="N395" s="37">
        <f t="shared" ca="1" si="697"/>
        <v>-337218.26509251387</v>
      </c>
      <c r="O395" s="37">
        <f t="shared" ca="1" si="697"/>
        <v>-329050.54531254614</v>
      </c>
      <c r="P395" s="37">
        <f t="shared" ca="1" si="697"/>
        <v>-320391.47289070545</v>
      </c>
      <c r="Q395" s="37">
        <f t="shared" ca="1" si="697"/>
        <v>-311212.39695480076</v>
      </c>
      <c r="R395" s="37">
        <f t="shared" ca="1" si="697"/>
        <v>-301483.01331620436</v>
      </c>
      <c r="S395" s="37">
        <f t="shared" ca="1" si="697"/>
        <v>-291171.26940516423</v>
      </c>
      <c r="T395" s="37">
        <f t="shared" ca="1" si="697"/>
        <v>-280243.26374673628</v>
      </c>
      <c r="U395" s="37">
        <f t="shared" ca="1" si="697"/>
        <v>-268663.13966395136</v>
      </c>
      <c r="V395" s="37">
        <f t="shared" ca="1" si="697"/>
        <v>-256392.97287684307</v>
      </c>
      <c r="W395" s="37">
        <f t="shared" ca="1" si="697"/>
        <v>-243392.65264694614</v>
      </c>
      <c r="X395" s="37">
        <f t="shared" ca="1" si="697"/>
        <v>-229619.75609676138</v>
      </c>
      <c r="Y395" s="37">
        <f t="shared" ca="1" si="697"/>
        <v>-215029.41531242162</v>
      </c>
      <c r="Z395" s="37">
        <f t="shared" ca="1" si="697"/>
        <v>-165933.14783277927</v>
      </c>
      <c r="AA395" s="37">
        <f t="shared" ca="1" si="697"/>
        <v>-7.0151290856301784E-11</v>
      </c>
      <c r="AB395" s="37">
        <f t="shared" ca="1" si="697"/>
        <v>-7.0151290856301784E-11</v>
      </c>
      <c r="AC395" s="37">
        <f t="shared" ca="1" si="697"/>
        <v>-7.0151290856301784E-11</v>
      </c>
      <c r="AD395" s="37">
        <f t="shared" ca="1" si="697"/>
        <v>-7.0151290856301784E-11</v>
      </c>
      <c r="AE395" s="37">
        <f t="shared" ca="1" si="697"/>
        <v>-7.0151290856301784E-11</v>
      </c>
      <c r="AF395" s="37">
        <f t="shared" ca="1" si="697"/>
        <v>-7.0151290856301784E-11</v>
      </c>
      <c r="AG395" s="37">
        <f t="shared" ca="1" si="697"/>
        <v>-7.0151290856301784E-11</v>
      </c>
      <c r="AH395" s="37">
        <f t="shared" ca="1" si="697"/>
        <v>-7.0151290856301784E-11</v>
      </c>
      <c r="AI395" s="37">
        <f t="shared" ca="1" si="697"/>
        <v>-7.0151290856301784E-11</v>
      </c>
      <c r="AJ395" s="37">
        <f t="shared" ca="1" si="697"/>
        <v>-7.0151290856301784E-11</v>
      </c>
      <c r="AK395" s="37">
        <f t="shared" ca="1" si="697"/>
        <v>-7.0151290856301784E-11</v>
      </c>
      <c r="AL395" s="37">
        <f t="shared" ca="1" si="697"/>
        <v>-7.0151290856301784E-11</v>
      </c>
      <c r="AM395" s="37">
        <f t="shared" ca="1" si="697"/>
        <v>-7.0151290856301784E-11</v>
      </c>
      <c r="AN395" s="37">
        <f t="shared" ca="1" si="697"/>
        <v>-7.0151290856301784E-11</v>
      </c>
      <c r="AO395" s="37">
        <f t="shared" ca="1" si="697"/>
        <v>-7.0151290856301784E-11</v>
      </c>
      <c r="AP395" s="37">
        <f t="shared" ca="1" si="697"/>
        <v>-7.0151290856301784E-11</v>
      </c>
      <c r="AQ395" s="37">
        <f t="shared" ca="1" si="697"/>
        <v>-7.0151290856301784E-11</v>
      </c>
      <c r="AR395" s="37">
        <f t="shared" ca="1" si="697"/>
        <v>-7.0151290856301784E-11</v>
      </c>
      <c r="AS395" s="37">
        <f t="shared" ca="1" si="697"/>
        <v>-7.0151290856301784E-11</v>
      </c>
      <c r="AT395" s="37">
        <f t="shared" ca="1" si="697"/>
        <v>-7.0151290856301784E-11</v>
      </c>
      <c r="AU395" s="37">
        <f t="shared" ca="1" si="697"/>
        <v>-7.0151290856301784E-11</v>
      </c>
      <c r="AV395" s="37">
        <f t="shared" ca="1" si="697"/>
        <v>-7.0151290856301784E-11</v>
      </c>
      <c r="AW395" s="37">
        <f t="shared" ca="1" si="697"/>
        <v>-7.0151290856301784E-11</v>
      </c>
      <c r="AX395" s="37">
        <f t="shared" ca="1" si="697"/>
        <v>-7.0151290856301784E-11</v>
      </c>
      <c r="AY395" s="37">
        <f t="shared" ca="1" si="697"/>
        <v>-7.0151290856301784E-11</v>
      </c>
      <c r="AZ395" s="37">
        <f t="shared" ca="1" si="697"/>
        <v>-7.0151290856301784E-11</v>
      </c>
      <c r="BA395" s="37">
        <f t="shared" ca="1" si="697"/>
        <v>-7.0151290856301784E-11</v>
      </c>
      <c r="BB395" s="37">
        <f t="shared" ca="1" si="697"/>
        <v>-7.0151290856301784E-11</v>
      </c>
      <c r="BC395" s="37">
        <f t="shared" ca="1" si="697"/>
        <v>-7.0151290856301784E-11</v>
      </c>
      <c r="BD395" s="37">
        <f t="shared" ca="1" si="697"/>
        <v>-7.0151290856301784E-11</v>
      </c>
      <c r="BE395" s="37">
        <f t="shared" ca="1" si="697"/>
        <v>-7.0151290856301784E-11</v>
      </c>
      <c r="BF395" s="37">
        <f t="shared" ca="1" si="697"/>
        <v>-7.0151290856301784E-11</v>
      </c>
      <c r="BG395" s="37">
        <f t="shared" ca="1" si="697"/>
        <v>-7.0151290856301784E-11</v>
      </c>
      <c r="BH395" s="37">
        <f t="shared" ca="1" si="697"/>
        <v>-7.0151290856301784E-11</v>
      </c>
      <c r="BI395" s="37">
        <f t="shared" ca="1" si="697"/>
        <v>-7.0151290856301784E-11</v>
      </c>
      <c r="BJ395" s="37">
        <f t="shared" ca="1" si="697"/>
        <v>-7.0151290856301784E-11</v>
      </c>
      <c r="BK395" s="37">
        <f t="shared" ca="1" si="697"/>
        <v>-7.0151290856301784E-11</v>
      </c>
      <c r="BL395" s="37">
        <f t="shared" ca="1" si="697"/>
        <v>-7.0151290856301784E-11</v>
      </c>
      <c r="BM395" s="37">
        <f t="shared" ca="1" si="697"/>
        <v>-7.0151290856301784E-11</v>
      </c>
      <c r="BN395" s="37">
        <f t="shared" ca="1" si="697"/>
        <v>-7.0151290856301784E-11</v>
      </c>
      <c r="BO395" s="37">
        <f t="shared" ca="1" si="697"/>
        <v>-7.0151290856301784E-11</v>
      </c>
      <c r="BP395" s="37">
        <f t="shared" ca="1" si="697"/>
        <v>-7.0151290856301784E-11</v>
      </c>
      <c r="BQ395" s="37">
        <f t="shared" ca="1" si="697"/>
        <v>-7.0151290856301784E-11</v>
      </c>
      <c r="BR395" s="37">
        <f t="shared" ca="1" si="697"/>
        <v>-7.0151290856301784E-11</v>
      </c>
      <c r="BS395" s="37">
        <f t="shared" ca="1" si="697"/>
        <v>-7.0151290856301784E-11</v>
      </c>
      <c r="BT395" s="37">
        <f t="shared" ca="1" si="697"/>
        <v>-7.0151290856301784E-11</v>
      </c>
      <c r="BU395" s="37">
        <f t="shared" ref="BU395:BY395" ca="1" si="698">+SUM(BU393:BU394)</f>
        <v>-7.0151290856301784E-11</v>
      </c>
      <c r="BV395" s="37">
        <f t="shared" ca="1" si="698"/>
        <v>-7.0151290856301784E-11</v>
      </c>
      <c r="BW395" s="37">
        <f t="shared" ca="1" si="698"/>
        <v>-7.0151290856301784E-11</v>
      </c>
      <c r="BX395" s="37">
        <f t="shared" ca="1" si="698"/>
        <v>-7.0151290856301784E-11</v>
      </c>
      <c r="BY395" s="37">
        <f t="shared" ca="1" si="698"/>
        <v>-7.0151290856301784E-11</v>
      </c>
    </row>
    <row r="396" spans="2:77" s="22" customFormat="1" ht="15" outlineLevel="1">
      <c r="F396" s="36"/>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c r="BX396" s="37"/>
      <c r="BY396" s="37"/>
    </row>
    <row r="397" spans="2:77" s="22" customFormat="1" ht="15" outlineLevel="1">
      <c r="F397" s="36"/>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c r="BX397" s="37"/>
      <c r="BY397" s="37"/>
    </row>
    <row r="398" spans="2:77" s="19" customFormat="1" ht="12.75" outlineLevel="1">
      <c r="B398" s="18" t="s">
        <v>528</v>
      </c>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row>
    <row r="399" spans="2:77" outlineLevel="1">
      <c r="BF399" s="33"/>
      <c r="BG399" s="33"/>
      <c r="BH399" s="33"/>
      <c r="BI399" s="33"/>
      <c r="BJ399" s="33"/>
      <c r="BK399" s="33"/>
      <c r="BL399" s="33"/>
      <c r="BM399" s="33"/>
      <c r="BN399" s="33"/>
      <c r="BO399" s="33"/>
      <c r="BP399" s="33"/>
      <c r="BQ399" s="33"/>
      <c r="BR399" s="33"/>
      <c r="BS399" s="33"/>
      <c r="BT399" s="33"/>
      <c r="BU399" s="33"/>
      <c r="BV399" s="33"/>
      <c r="BW399" s="33"/>
      <c r="BX399" s="33"/>
      <c r="BY399" s="33"/>
    </row>
    <row r="400" spans="2:77" ht="15" outlineLevel="1">
      <c r="E400" s="77" t="s">
        <v>365</v>
      </c>
      <c r="BF400" s="33"/>
      <c r="BG400" s="33"/>
      <c r="BH400" s="33"/>
      <c r="BI400" s="33"/>
      <c r="BJ400" s="33"/>
      <c r="BK400" s="33"/>
      <c r="BL400" s="33"/>
      <c r="BM400" s="33"/>
      <c r="BN400" s="33"/>
      <c r="BO400" s="33"/>
      <c r="BP400" s="33"/>
      <c r="BQ400" s="33"/>
      <c r="BR400" s="33"/>
      <c r="BS400" s="33"/>
      <c r="BT400" s="33"/>
      <c r="BU400" s="33"/>
      <c r="BV400" s="33"/>
      <c r="BW400" s="33"/>
      <c r="BX400" s="33"/>
      <c r="BY400" s="33"/>
    </row>
    <row r="401" spans="5:77" s="22" customFormat="1" ht="15" outlineLevel="1">
      <c r="E401" t="s">
        <v>474</v>
      </c>
      <c r="F401" s="23" t="s">
        <v>475</v>
      </c>
      <c r="G401"/>
      <c r="H401" s="33">
        <f t="shared" ref="H401:AM401" si="699">+H381+H382</f>
        <v>0</v>
      </c>
      <c r="I401" s="33">
        <f t="shared" si="699"/>
        <v>0</v>
      </c>
      <c r="J401" s="33">
        <f t="shared" si="699"/>
        <v>0</v>
      </c>
      <c r="K401" s="33">
        <f t="shared" si="699"/>
        <v>-441907.51867649966</v>
      </c>
      <c r="L401" s="33">
        <f t="shared" si="699"/>
        <v>-442172.45641200274</v>
      </c>
      <c r="M401" s="33">
        <f t="shared" si="699"/>
        <v>-442442.69290221587</v>
      </c>
      <c r="N401" s="33">
        <f t="shared" si="699"/>
        <v>-442718.33412223327</v>
      </c>
      <c r="O401" s="33">
        <f t="shared" si="699"/>
        <v>-442999.48816665099</v>
      </c>
      <c r="P401" s="33">
        <f t="shared" si="699"/>
        <v>-443286.26529195707</v>
      </c>
      <c r="Q401" s="33">
        <f t="shared" si="699"/>
        <v>-443578.7779597693</v>
      </c>
      <c r="R401" s="33">
        <f t="shared" si="699"/>
        <v>-443877.14088093775</v>
      </c>
      <c r="S401" s="33">
        <f t="shared" si="699"/>
        <v>-444181.47106052958</v>
      </c>
      <c r="T401" s="33">
        <f t="shared" si="699"/>
        <v>-444491.88784371322</v>
      </c>
      <c r="U401" s="33">
        <f t="shared" si="699"/>
        <v>-444808.51296256058</v>
      </c>
      <c r="V401" s="33">
        <f t="shared" si="699"/>
        <v>-445131.47058378486</v>
      </c>
      <c r="W401" s="33">
        <f t="shared" si="699"/>
        <v>-445460.88735743362</v>
      </c>
      <c r="X401" s="33">
        <f t="shared" si="699"/>
        <v>-445796.89246655535</v>
      </c>
      <c r="Y401" s="33">
        <f t="shared" si="699"/>
        <v>-446139.61767785955</v>
      </c>
      <c r="Z401" s="33">
        <f t="shared" si="699"/>
        <v>0</v>
      </c>
      <c r="AA401" s="33">
        <f t="shared" si="699"/>
        <v>0</v>
      </c>
      <c r="AB401" s="33">
        <f t="shared" si="699"/>
        <v>0</v>
      </c>
      <c r="AC401" s="33">
        <f t="shared" si="699"/>
        <v>0</v>
      </c>
      <c r="AD401" s="33">
        <f t="shared" si="699"/>
        <v>0</v>
      </c>
      <c r="AE401" s="33">
        <f t="shared" si="699"/>
        <v>0</v>
      </c>
      <c r="AF401" s="33">
        <f t="shared" si="699"/>
        <v>0</v>
      </c>
      <c r="AG401" s="33">
        <f t="shared" si="699"/>
        <v>0</v>
      </c>
      <c r="AH401" s="33">
        <f t="shared" si="699"/>
        <v>0</v>
      </c>
      <c r="AI401" s="33">
        <f t="shared" si="699"/>
        <v>0</v>
      </c>
      <c r="AJ401" s="33">
        <f t="shared" si="699"/>
        <v>0</v>
      </c>
      <c r="AK401" s="33">
        <f t="shared" si="699"/>
        <v>0</v>
      </c>
      <c r="AL401" s="33">
        <f t="shared" si="699"/>
        <v>0</v>
      </c>
      <c r="AM401" s="33">
        <f t="shared" si="699"/>
        <v>0</v>
      </c>
      <c r="AN401" s="33">
        <f t="shared" ref="AN401:BS401" si="700">+AN381+AN382</f>
        <v>0</v>
      </c>
      <c r="AO401" s="33">
        <f t="shared" si="700"/>
        <v>0</v>
      </c>
      <c r="AP401" s="33">
        <f t="shared" si="700"/>
        <v>0</v>
      </c>
      <c r="AQ401" s="33">
        <f t="shared" si="700"/>
        <v>0</v>
      </c>
      <c r="AR401" s="33">
        <f t="shared" si="700"/>
        <v>0</v>
      </c>
      <c r="AS401" s="33">
        <f t="shared" si="700"/>
        <v>0</v>
      </c>
      <c r="AT401" s="33">
        <f t="shared" si="700"/>
        <v>0</v>
      </c>
      <c r="AU401" s="33">
        <f t="shared" si="700"/>
        <v>0</v>
      </c>
      <c r="AV401" s="33">
        <f t="shared" si="700"/>
        <v>0</v>
      </c>
      <c r="AW401" s="33">
        <f t="shared" si="700"/>
        <v>0</v>
      </c>
      <c r="AX401" s="33">
        <f t="shared" si="700"/>
        <v>0</v>
      </c>
      <c r="AY401" s="33">
        <f t="shared" si="700"/>
        <v>0</v>
      </c>
      <c r="AZ401" s="33">
        <f t="shared" si="700"/>
        <v>0</v>
      </c>
      <c r="BA401" s="33">
        <f t="shared" si="700"/>
        <v>0</v>
      </c>
      <c r="BB401" s="33">
        <f t="shared" si="700"/>
        <v>0</v>
      </c>
      <c r="BC401" s="33">
        <f t="shared" si="700"/>
        <v>0</v>
      </c>
      <c r="BD401" s="33">
        <f t="shared" si="700"/>
        <v>0</v>
      </c>
      <c r="BE401" s="33">
        <f t="shared" si="700"/>
        <v>0</v>
      </c>
      <c r="BF401" s="33">
        <f t="shared" si="700"/>
        <v>0</v>
      </c>
      <c r="BG401" s="33">
        <f t="shared" si="700"/>
        <v>0</v>
      </c>
      <c r="BH401" s="33">
        <f t="shared" si="700"/>
        <v>0</v>
      </c>
      <c r="BI401" s="33">
        <f t="shared" si="700"/>
        <v>0</v>
      </c>
      <c r="BJ401" s="33">
        <f t="shared" si="700"/>
        <v>0</v>
      </c>
      <c r="BK401" s="33">
        <f t="shared" si="700"/>
        <v>0</v>
      </c>
      <c r="BL401" s="33">
        <f t="shared" si="700"/>
        <v>0</v>
      </c>
      <c r="BM401" s="33">
        <f t="shared" si="700"/>
        <v>0</v>
      </c>
      <c r="BN401" s="33">
        <f t="shared" si="700"/>
        <v>0</v>
      </c>
      <c r="BO401" s="33">
        <f t="shared" si="700"/>
        <v>0</v>
      </c>
      <c r="BP401" s="33">
        <f t="shared" si="700"/>
        <v>0</v>
      </c>
      <c r="BQ401" s="33">
        <f t="shared" si="700"/>
        <v>0</v>
      </c>
      <c r="BR401" s="33">
        <f t="shared" si="700"/>
        <v>0</v>
      </c>
      <c r="BS401" s="33">
        <f t="shared" si="700"/>
        <v>0</v>
      </c>
      <c r="BT401" s="33">
        <f t="shared" ref="BT401:BY401" si="701">+BT381+BT382</f>
        <v>0</v>
      </c>
      <c r="BU401" s="33">
        <f t="shared" si="701"/>
        <v>0</v>
      </c>
      <c r="BV401" s="33">
        <f t="shared" si="701"/>
        <v>0</v>
      </c>
      <c r="BW401" s="33">
        <f t="shared" si="701"/>
        <v>0</v>
      </c>
      <c r="BX401" s="33">
        <f t="shared" si="701"/>
        <v>0</v>
      </c>
      <c r="BY401" s="33">
        <f t="shared" si="701"/>
        <v>0</v>
      </c>
    </row>
    <row r="402" spans="5:77" s="22" customFormat="1" ht="15" outlineLevel="1">
      <c r="E402" t="s">
        <v>476</v>
      </c>
      <c r="F402" s="23" t="s">
        <v>475</v>
      </c>
      <c r="G402"/>
      <c r="H402" s="33">
        <f t="shared" ref="H402:AM402" si="702">-H382</f>
        <v>0</v>
      </c>
      <c r="I402" s="33">
        <f t="shared" si="702"/>
        <v>0</v>
      </c>
      <c r="J402" s="33">
        <f t="shared" si="702"/>
        <v>0</v>
      </c>
      <c r="K402" s="33">
        <f t="shared" si="702"/>
        <v>428660.63190134638</v>
      </c>
      <c r="L402" s="33">
        <f t="shared" si="702"/>
        <v>428660.63190134638</v>
      </c>
      <c r="M402" s="33">
        <f t="shared" si="702"/>
        <v>428660.63190134638</v>
      </c>
      <c r="N402" s="33">
        <f t="shared" si="702"/>
        <v>428660.63190134638</v>
      </c>
      <c r="O402" s="33">
        <f t="shared" si="702"/>
        <v>428660.63190134638</v>
      </c>
      <c r="P402" s="33">
        <f t="shared" si="702"/>
        <v>428660.63190134638</v>
      </c>
      <c r="Q402" s="33">
        <f t="shared" si="702"/>
        <v>428660.63190134638</v>
      </c>
      <c r="R402" s="33">
        <f t="shared" si="702"/>
        <v>428660.63190134638</v>
      </c>
      <c r="S402" s="33">
        <f t="shared" si="702"/>
        <v>428660.63190134638</v>
      </c>
      <c r="T402" s="33">
        <f t="shared" si="702"/>
        <v>428660.63190134638</v>
      </c>
      <c r="U402" s="33">
        <f t="shared" si="702"/>
        <v>428660.63190134638</v>
      </c>
      <c r="V402" s="33">
        <f t="shared" si="702"/>
        <v>428660.63190134638</v>
      </c>
      <c r="W402" s="33">
        <f t="shared" si="702"/>
        <v>428660.63190134638</v>
      </c>
      <c r="X402" s="33">
        <f t="shared" si="702"/>
        <v>428660.63190134638</v>
      </c>
      <c r="Y402" s="33">
        <f t="shared" si="702"/>
        <v>428660.63190134638</v>
      </c>
      <c r="Z402" s="33">
        <f t="shared" si="702"/>
        <v>0</v>
      </c>
      <c r="AA402" s="33">
        <f t="shared" si="702"/>
        <v>0</v>
      </c>
      <c r="AB402" s="33">
        <f t="shared" si="702"/>
        <v>0</v>
      </c>
      <c r="AC402" s="33">
        <f t="shared" si="702"/>
        <v>0</v>
      </c>
      <c r="AD402" s="33">
        <f t="shared" si="702"/>
        <v>0</v>
      </c>
      <c r="AE402" s="33">
        <f t="shared" si="702"/>
        <v>0</v>
      </c>
      <c r="AF402" s="33">
        <f t="shared" si="702"/>
        <v>0</v>
      </c>
      <c r="AG402" s="33">
        <f t="shared" si="702"/>
        <v>0</v>
      </c>
      <c r="AH402" s="33">
        <f t="shared" si="702"/>
        <v>0</v>
      </c>
      <c r="AI402" s="33">
        <f t="shared" si="702"/>
        <v>0</v>
      </c>
      <c r="AJ402" s="33">
        <f t="shared" si="702"/>
        <v>0</v>
      </c>
      <c r="AK402" s="33">
        <f t="shared" si="702"/>
        <v>0</v>
      </c>
      <c r="AL402" s="33">
        <f t="shared" si="702"/>
        <v>0</v>
      </c>
      <c r="AM402" s="33">
        <f t="shared" si="702"/>
        <v>0</v>
      </c>
      <c r="AN402" s="33">
        <f t="shared" ref="AN402:BS402" si="703">-AN382</f>
        <v>0</v>
      </c>
      <c r="AO402" s="33">
        <f t="shared" si="703"/>
        <v>0</v>
      </c>
      <c r="AP402" s="33">
        <f t="shared" si="703"/>
        <v>0</v>
      </c>
      <c r="AQ402" s="33">
        <f t="shared" si="703"/>
        <v>0</v>
      </c>
      <c r="AR402" s="33">
        <f t="shared" si="703"/>
        <v>0</v>
      </c>
      <c r="AS402" s="33">
        <f t="shared" si="703"/>
        <v>0</v>
      </c>
      <c r="AT402" s="33">
        <f t="shared" si="703"/>
        <v>0</v>
      </c>
      <c r="AU402" s="33">
        <f t="shared" si="703"/>
        <v>0</v>
      </c>
      <c r="AV402" s="33">
        <f t="shared" si="703"/>
        <v>0</v>
      </c>
      <c r="AW402" s="33">
        <f t="shared" si="703"/>
        <v>0</v>
      </c>
      <c r="AX402" s="33">
        <f t="shared" si="703"/>
        <v>0</v>
      </c>
      <c r="AY402" s="33">
        <f t="shared" si="703"/>
        <v>0</v>
      </c>
      <c r="AZ402" s="33">
        <f t="shared" si="703"/>
        <v>0</v>
      </c>
      <c r="BA402" s="33">
        <f t="shared" si="703"/>
        <v>0</v>
      </c>
      <c r="BB402" s="33">
        <f t="shared" si="703"/>
        <v>0</v>
      </c>
      <c r="BC402" s="33">
        <f t="shared" si="703"/>
        <v>0</v>
      </c>
      <c r="BD402" s="33">
        <f t="shared" si="703"/>
        <v>0</v>
      </c>
      <c r="BE402" s="33">
        <f t="shared" si="703"/>
        <v>0</v>
      </c>
      <c r="BF402" s="33">
        <f t="shared" si="703"/>
        <v>0</v>
      </c>
      <c r="BG402" s="33">
        <f t="shared" si="703"/>
        <v>0</v>
      </c>
      <c r="BH402" s="33">
        <f t="shared" si="703"/>
        <v>0</v>
      </c>
      <c r="BI402" s="33">
        <f t="shared" si="703"/>
        <v>0</v>
      </c>
      <c r="BJ402" s="33">
        <f t="shared" si="703"/>
        <v>0</v>
      </c>
      <c r="BK402" s="33">
        <f t="shared" si="703"/>
        <v>0</v>
      </c>
      <c r="BL402" s="33">
        <f t="shared" si="703"/>
        <v>0</v>
      </c>
      <c r="BM402" s="33">
        <f t="shared" si="703"/>
        <v>0</v>
      </c>
      <c r="BN402" s="33">
        <f t="shared" si="703"/>
        <v>0</v>
      </c>
      <c r="BO402" s="33">
        <f t="shared" si="703"/>
        <v>0</v>
      </c>
      <c r="BP402" s="33">
        <f t="shared" si="703"/>
        <v>0</v>
      </c>
      <c r="BQ402" s="33">
        <f t="shared" si="703"/>
        <v>0</v>
      </c>
      <c r="BR402" s="33">
        <f t="shared" si="703"/>
        <v>0</v>
      </c>
      <c r="BS402" s="33">
        <f t="shared" si="703"/>
        <v>0</v>
      </c>
      <c r="BT402" s="33">
        <f t="shared" ref="BT402:BY402" si="704">-BT382</f>
        <v>0</v>
      </c>
      <c r="BU402" s="33">
        <f t="shared" si="704"/>
        <v>0</v>
      </c>
      <c r="BV402" s="33">
        <f t="shared" si="704"/>
        <v>0</v>
      </c>
      <c r="BW402" s="33">
        <f t="shared" si="704"/>
        <v>0</v>
      </c>
      <c r="BX402" s="33">
        <f t="shared" si="704"/>
        <v>0</v>
      </c>
      <c r="BY402" s="33">
        <f t="shared" si="704"/>
        <v>0</v>
      </c>
    </row>
    <row r="403" spans="5:77" s="22" customFormat="1" ht="15" outlineLevel="1">
      <c r="E403" t="s">
        <v>477</v>
      </c>
      <c r="F403" s="23" t="s">
        <v>466</v>
      </c>
      <c r="G403"/>
      <c r="H403" s="33">
        <v>0</v>
      </c>
      <c r="I403" s="33">
        <v>0</v>
      </c>
      <c r="J403" s="33">
        <v>0</v>
      </c>
      <c r="K403" s="33">
        <v>0</v>
      </c>
      <c r="L403" s="33">
        <v>0</v>
      </c>
      <c r="M403" s="33">
        <v>0</v>
      </c>
      <c r="N403" s="33">
        <v>0</v>
      </c>
      <c r="O403" s="33">
        <v>0</v>
      </c>
      <c r="P403" s="33">
        <v>0</v>
      </c>
      <c r="Q403" s="33">
        <v>0</v>
      </c>
      <c r="R403" s="33">
        <v>0</v>
      </c>
      <c r="S403" s="33">
        <v>0</v>
      </c>
      <c r="T403" s="33">
        <v>0</v>
      </c>
      <c r="U403" s="33">
        <v>0</v>
      </c>
      <c r="V403" s="33">
        <v>0</v>
      </c>
      <c r="W403" s="33">
        <v>0</v>
      </c>
      <c r="X403" s="33">
        <v>0</v>
      </c>
      <c r="Y403" s="33">
        <v>0</v>
      </c>
      <c r="Z403" s="33">
        <v>0</v>
      </c>
      <c r="AA403" s="33">
        <v>0</v>
      </c>
      <c r="AB403" s="33">
        <v>0</v>
      </c>
      <c r="AC403" s="33">
        <v>0</v>
      </c>
      <c r="AD403" s="33">
        <v>0</v>
      </c>
      <c r="AE403" s="33">
        <v>0</v>
      </c>
      <c r="AF403" s="33">
        <v>0</v>
      </c>
      <c r="AG403" s="33">
        <v>0</v>
      </c>
      <c r="AH403" s="33">
        <v>0</v>
      </c>
      <c r="AI403" s="33">
        <v>0</v>
      </c>
      <c r="AJ403" s="33">
        <v>0</v>
      </c>
      <c r="AK403" s="33">
        <v>0</v>
      </c>
      <c r="AL403" s="33">
        <v>0</v>
      </c>
      <c r="AM403" s="33">
        <v>0</v>
      </c>
      <c r="AN403" s="33">
        <v>0</v>
      </c>
      <c r="AO403" s="33">
        <v>0</v>
      </c>
      <c r="AP403" s="33">
        <v>0</v>
      </c>
      <c r="AQ403" s="33">
        <v>0</v>
      </c>
      <c r="AR403" s="33">
        <v>0</v>
      </c>
      <c r="AS403" s="33">
        <v>0</v>
      </c>
      <c r="AT403" s="33">
        <v>0</v>
      </c>
      <c r="AU403" s="33">
        <v>0</v>
      </c>
      <c r="AV403" s="33">
        <v>0</v>
      </c>
      <c r="AW403" s="33">
        <v>0</v>
      </c>
      <c r="AX403" s="33">
        <v>0</v>
      </c>
      <c r="AY403" s="33">
        <v>0</v>
      </c>
      <c r="AZ403" s="33">
        <v>0</v>
      </c>
      <c r="BA403" s="33">
        <v>0</v>
      </c>
      <c r="BB403" s="33">
        <v>0</v>
      </c>
      <c r="BC403" s="33">
        <v>0</v>
      </c>
      <c r="BD403" s="33">
        <v>0</v>
      </c>
      <c r="BE403" s="33">
        <v>0</v>
      </c>
      <c r="BF403" s="33">
        <v>0</v>
      </c>
      <c r="BG403" s="33">
        <v>0</v>
      </c>
      <c r="BH403" s="33">
        <v>0</v>
      </c>
      <c r="BI403" s="33">
        <v>0</v>
      </c>
      <c r="BJ403" s="33">
        <v>0</v>
      </c>
      <c r="BK403" s="33">
        <v>0</v>
      </c>
      <c r="BL403" s="33">
        <v>0</v>
      </c>
      <c r="BM403" s="33">
        <v>0</v>
      </c>
      <c r="BN403" s="33">
        <v>0</v>
      </c>
      <c r="BO403" s="33">
        <v>0</v>
      </c>
      <c r="BP403" s="33">
        <v>0</v>
      </c>
      <c r="BQ403" s="33">
        <v>0</v>
      </c>
      <c r="BR403" s="33">
        <v>0</v>
      </c>
      <c r="BS403" s="33">
        <v>0</v>
      </c>
      <c r="BT403" s="33">
        <v>0</v>
      </c>
      <c r="BU403" s="33">
        <v>0</v>
      </c>
      <c r="BV403" s="33">
        <v>0</v>
      </c>
      <c r="BW403" s="33">
        <v>0</v>
      </c>
      <c r="BX403" s="33">
        <v>0</v>
      </c>
      <c r="BY403" s="33">
        <v>0</v>
      </c>
    </row>
    <row r="404" spans="5:77" s="22" customFormat="1" ht="15" outlineLevel="1">
      <c r="E404" t="s">
        <v>471</v>
      </c>
      <c r="F404" s="23" t="s">
        <v>466</v>
      </c>
      <c r="G404"/>
      <c r="H404" s="33">
        <f t="shared" ref="H404:AM404" ca="1" si="705">+H385</f>
        <v>0</v>
      </c>
      <c r="I404" s="33">
        <f t="shared" ca="1" si="705"/>
        <v>0</v>
      </c>
      <c r="J404" s="33">
        <f t="shared" ca="1" si="705"/>
        <v>0</v>
      </c>
      <c r="K404" s="33">
        <f t="shared" ca="1" si="705"/>
        <v>0</v>
      </c>
      <c r="L404" s="33">
        <f t="shared" ca="1" si="705"/>
        <v>0</v>
      </c>
      <c r="M404" s="33">
        <f t="shared" ca="1" si="705"/>
        <v>0</v>
      </c>
      <c r="N404" s="33">
        <f t="shared" ca="1" si="705"/>
        <v>0</v>
      </c>
      <c r="O404" s="33">
        <f t="shared" ca="1" si="705"/>
        <v>0</v>
      </c>
      <c r="P404" s="33">
        <f t="shared" ca="1" si="705"/>
        <v>0</v>
      </c>
      <c r="Q404" s="33">
        <f t="shared" ca="1" si="705"/>
        <v>0</v>
      </c>
      <c r="R404" s="33">
        <f t="shared" ca="1" si="705"/>
        <v>0</v>
      </c>
      <c r="S404" s="33">
        <f t="shared" ca="1" si="705"/>
        <v>0</v>
      </c>
      <c r="T404" s="33">
        <f t="shared" ca="1" si="705"/>
        <v>0</v>
      </c>
      <c r="U404" s="33">
        <f t="shared" ca="1" si="705"/>
        <v>0</v>
      </c>
      <c r="V404" s="33">
        <f t="shared" ca="1" si="705"/>
        <v>0</v>
      </c>
      <c r="W404" s="33">
        <f t="shared" ca="1" si="705"/>
        <v>0</v>
      </c>
      <c r="X404" s="33">
        <f t="shared" ca="1" si="705"/>
        <v>0</v>
      </c>
      <c r="Y404" s="33">
        <f t="shared" ca="1" si="705"/>
        <v>0</v>
      </c>
      <c r="Z404" s="33">
        <f t="shared" ca="1" si="705"/>
        <v>0</v>
      </c>
      <c r="AA404" s="33">
        <f t="shared" ca="1" si="705"/>
        <v>0</v>
      </c>
      <c r="AB404" s="33">
        <f t="shared" ca="1" si="705"/>
        <v>0</v>
      </c>
      <c r="AC404" s="33">
        <f t="shared" ca="1" si="705"/>
        <v>0</v>
      </c>
      <c r="AD404" s="33">
        <f t="shared" ca="1" si="705"/>
        <v>0</v>
      </c>
      <c r="AE404" s="33">
        <f t="shared" ca="1" si="705"/>
        <v>0</v>
      </c>
      <c r="AF404" s="33">
        <f t="shared" ca="1" si="705"/>
        <v>0</v>
      </c>
      <c r="AG404" s="33">
        <f t="shared" ca="1" si="705"/>
        <v>0</v>
      </c>
      <c r="AH404" s="33">
        <f t="shared" ca="1" si="705"/>
        <v>0</v>
      </c>
      <c r="AI404" s="33">
        <f t="shared" ca="1" si="705"/>
        <v>0</v>
      </c>
      <c r="AJ404" s="33">
        <f t="shared" ca="1" si="705"/>
        <v>0</v>
      </c>
      <c r="AK404" s="33">
        <f t="shared" ca="1" si="705"/>
        <v>0</v>
      </c>
      <c r="AL404" s="33">
        <f t="shared" ca="1" si="705"/>
        <v>0</v>
      </c>
      <c r="AM404" s="33">
        <f t="shared" ca="1" si="705"/>
        <v>0</v>
      </c>
      <c r="AN404" s="33">
        <f t="shared" ref="AN404:BS404" ca="1" si="706">+AN385</f>
        <v>0</v>
      </c>
      <c r="AO404" s="33">
        <f t="shared" ca="1" si="706"/>
        <v>0</v>
      </c>
      <c r="AP404" s="33">
        <f t="shared" ca="1" si="706"/>
        <v>0</v>
      </c>
      <c r="AQ404" s="33">
        <f t="shared" ca="1" si="706"/>
        <v>0</v>
      </c>
      <c r="AR404" s="33">
        <f t="shared" ca="1" si="706"/>
        <v>0</v>
      </c>
      <c r="AS404" s="33">
        <f t="shared" ca="1" si="706"/>
        <v>0</v>
      </c>
      <c r="AT404" s="33">
        <f t="shared" ca="1" si="706"/>
        <v>0</v>
      </c>
      <c r="AU404" s="33">
        <f t="shared" ca="1" si="706"/>
        <v>0</v>
      </c>
      <c r="AV404" s="33">
        <f t="shared" ca="1" si="706"/>
        <v>0</v>
      </c>
      <c r="AW404" s="33">
        <f t="shared" ca="1" si="706"/>
        <v>0</v>
      </c>
      <c r="AX404" s="33">
        <f t="shared" ca="1" si="706"/>
        <v>0</v>
      </c>
      <c r="AY404" s="33">
        <f t="shared" ca="1" si="706"/>
        <v>0</v>
      </c>
      <c r="AZ404" s="33">
        <f t="shared" ca="1" si="706"/>
        <v>0</v>
      </c>
      <c r="BA404" s="33">
        <f t="shared" ca="1" si="706"/>
        <v>0</v>
      </c>
      <c r="BB404" s="33">
        <f t="shared" ca="1" si="706"/>
        <v>0</v>
      </c>
      <c r="BC404" s="33">
        <f t="shared" ca="1" si="706"/>
        <v>0</v>
      </c>
      <c r="BD404" s="33">
        <f t="shared" ca="1" si="706"/>
        <v>0</v>
      </c>
      <c r="BE404" s="33">
        <f t="shared" ca="1" si="706"/>
        <v>0</v>
      </c>
      <c r="BF404" s="33">
        <f t="shared" ca="1" si="706"/>
        <v>0</v>
      </c>
      <c r="BG404" s="33">
        <f t="shared" ca="1" si="706"/>
        <v>0</v>
      </c>
      <c r="BH404" s="33">
        <f t="shared" ca="1" si="706"/>
        <v>0</v>
      </c>
      <c r="BI404" s="33">
        <f t="shared" ca="1" si="706"/>
        <v>0</v>
      </c>
      <c r="BJ404" s="33">
        <f t="shared" ca="1" si="706"/>
        <v>0</v>
      </c>
      <c r="BK404" s="33">
        <f t="shared" ca="1" si="706"/>
        <v>0</v>
      </c>
      <c r="BL404" s="33">
        <f t="shared" ca="1" si="706"/>
        <v>0</v>
      </c>
      <c r="BM404" s="33">
        <f t="shared" ca="1" si="706"/>
        <v>0</v>
      </c>
      <c r="BN404" s="33">
        <f t="shared" ca="1" si="706"/>
        <v>0</v>
      </c>
      <c r="BO404" s="33">
        <f t="shared" ca="1" si="706"/>
        <v>0</v>
      </c>
      <c r="BP404" s="33">
        <f t="shared" ca="1" si="706"/>
        <v>0</v>
      </c>
      <c r="BQ404" s="33">
        <f t="shared" ca="1" si="706"/>
        <v>0</v>
      </c>
      <c r="BR404" s="33">
        <f t="shared" ca="1" si="706"/>
        <v>0</v>
      </c>
      <c r="BS404" s="33">
        <f t="shared" ca="1" si="706"/>
        <v>0</v>
      </c>
      <c r="BT404" s="33">
        <f t="shared" ref="BT404:BY404" ca="1" si="707">+BT385</f>
        <v>0</v>
      </c>
      <c r="BU404" s="33">
        <f t="shared" ca="1" si="707"/>
        <v>0</v>
      </c>
      <c r="BV404" s="33">
        <f t="shared" ca="1" si="707"/>
        <v>0</v>
      </c>
      <c r="BW404" s="33">
        <f t="shared" ca="1" si="707"/>
        <v>0</v>
      </c>
      <c r="BX404" s="33">
        <f t="shared" ca="1" si="707"/>
        <v>0</v>
      </c>
      <c r="BY404" s="33">
        <f t="shared" ca="1" si="707"/>
        <v>0</v>
      </c>
    </row>
    <row r="405" spans="5:77" s="22" customFormat="1" ht="15" outlineLevel="1">
      <c r="E405" s="22" t="s">
        <v>478</v>
      </c>
      <c r="F405" s="36" t="s">
        <v>470</v>
      </c>
      <c r="H405" s="37">
        <f ca="1">+SUM(H401:H404)</f>
        <v>0</v>
      </c>
      <c r="I405" s="37">
        <f t="shared" ref="I405:BT405" ca="1" si="708">+SUM(I401:I404)</f>
        <v>0</v>
      </c>
      <c r="J405" s="37">
        <f t="shared" ca="1" si="708"/>
        <v>0</v>
      </c>
      <c r="K405" s="37">
        <f t="shared" ca="1" si="708"/>
        <v>-13246.886775153282</v>
      </c>
      <c r="L405" s="37">
        <f t="shared" ca="1" si="708"/>
        <v>-13511.824510656355</v>
      </c>
      <c r="M405" s="37">
        <f t="shared" ca="1" si="708"/>
        <v>-13782.061000869493</v>
      </c>
      <c r="N405" s="37">
        <f t="shared" ca="1" si="708"/>
        <v>-14057.702220886888</v>
      </c>
      <c r="O405" s="37">
        <f t="shared" ca="1" si="708"/>
        <v>-14338.85626530461</v>
      </c>
      <c r="P405" s="37">
        <f t="shared" ca="1" si="708"/>
        <v>-14625.633390610688</v>
      </c>
      <c r="Q405" s="37">
        <f t="shared" ca="1" si="708"/>
        <v>-14918.146058422921</v>
      </c>
      <c r="R405" s="37">
        <f t="shared" ca="1" si="708"/>
        <v>-15216.508979591366</v>
      </c>
      <c r="S405" s="37">
        <f t="shared" ca="1" si="708"/>
        <v>-15520.839159183204</v>
      </c>
      <c r="T405" s="37">
        <f t="shared" ca="1" si="708"/>
        <v>-15831.255942366843</v>
      </c>
      <c r="U405" s="37">
        <f t="shared" ca="1" si="708"/>
        <v>-16147.881061214197</v>
      </c>
      <c r="V405" s="37">
        <f t="shared" ca="1" si="708"/>
        <v>-16470.83868243848</v>
      </c>
      <c r="W405" s="37">
        <f t="shared" ca="1" si="708"/>
        <v>-16800.255456087238</v>
      </c>
      <c r="X405" s="37">
        <f t="shared" ca="1" si="708"/>
        <v>-17136.26056520897</v>
      </c>
      <c r="Y405" s="37">
        <f t="shared" ca="1" si="708"/>
        <v>-17478.985776513175</v>
      </c>
      <c r="Z405" s="37">
        <f t="shared" ca="1" si="708"/>
        <v>0</v>
      </c>
      <c r="AA405" s="37">
        <f t="shared" ca="1" si="708"/>
        <v>0</v>
      </c>
      <c r="AB405" s="37">
        <f t="shared" ca="1" si="708"/>
        <v>0</v>
      </c>
      <c r="AC405" s="37">
        <f t="shared" ca="1" si="708"/>
        <v>0</v>
      </c>
      <c r="AD405" s="37">
        <f t="shared" ca="1" si="708"/>
        <v>0</v>
      </c>
      <c r="AE405" s="37">
        <f t="shared" ca="1" si="708"/>
        <v>0</v>
      </c>
      <c r="AF405" s="37">
        <f t="shared" ca="1" si="708"/>
        <v>0</v>
      </c>
      <c r="AG405" s="37">
        <f t="shared" ca="1" si="708"/>
        <v>0</v>
      </c>
      <c r="AH405" s="37">
        <f t="shared" ca="1" si="708"/>
        <v>0</v>
      </c>
      <c r="AI405" s="37">
        <f t="shared" ca="1" si="708"/>
        <v>0</v>
      </c>
      <c r="AJ405" s="37">
        <f t="shared" ca="1" si="708"/>
        <v>0</v>
      </c>
      <c r="AK405" s="37">
        <f t="shared" ca="1" si="708"/>
        <v>0</v>
      </c>
      <c r="AL405" s="37">
        <f t="shared" ca="1" si="708"/>
        <v>0</v>
      </c>
      <c r="AM405" s="37">
        <f t="shared" ca="1" si="708"/>
        <v>0</v>
      </c>
      <c r="AN405" s="37">
        <f t="shared" ca="1" si="708"/>
        <v>0</v>
      </c>
      <c r="AO405" s="37">
        <f t="shared" ca="1" si="708"/>
        <v>0</v>
      </c>
      <c r="AP405" s="37">
        <f t="shared" ca="1" si="708"/>
        <v>0</v>
      </c>
      <c r="AQ405" s="37">
        <f t="shared" ca="1" si="708"/>
        <v>0</v>
      </c>
      <c r="AR405" s="37">
        <f t="shared" ca="1" si="708"/>
        <v>0</v>
      </c>
      <c r="AS405" s="37">
        <f t="shared" ca="1" si="708"/>
        <v>0</v>
      </c>
      <c r="AT405" s="37">
        <f t="shared" ca="1" si="708"/>
        <v>0</v>
      </c>
      <c r="AU405" s="37">
        <f t="shared" ca="1" si="708"/>
        <v>0</v>
      </c>
      <c r="AV405" s="37">
        <f t="shared" ca="1" si="708"/>
        <v>0</v>
      </c>
      <c r="AW405" s="37">
        <f t="shared" ca="1" si="708"/>
        <v>0</v>
      </c>
      <c r="AX405" s="37">
        <f t="shared" ca="1" si="708"/>
        <v>0</v>
      </c>
      <c r="AY405" s="37">
        <f t="shared" ca="1" si="708"/>
        <v>0</v>
      </c>
      <c r="AZ405" s="37">
        <f t="shared" ca="1" si="708"/>
        <v>0</v>
      </c>
      <c r="BA405" s="37">
        <f t="shared" ca="1" si="708"/>
        <v>0</v>
      </c>
      <c r="BB405" s="37">
        <f t="shared" ca="1" si="708"/>
        <v>0</v>
      </c>
      <c r="BC405" s="37">
        <f t="shared" ca="1" si="708"/>
        <v>0</v>
      </c>
      <c r="BD405" s="37">
        <f t="shared" ca="1" si="708"/>
        <v>0</v>
      </c>
      <c r="BE405" s="37">
        <f t="shared" ca="1" si="708"/>
        <v>0</v>
      </c>
      <c r="BF405" s="37">
        <f t="shared" ca="1" si="708"/>
        <v>0</v>
      </c>
      <c r="BG405" s="37">
        <f t="shared" ca="1" si="708"/>
        <v>0</v>
      </c>
      <c r="BH405" s="37">
        <f t="shared" ca="1" si="708"/>
        <v>0</v>
      </c>
      <c r="BI405" s="37">
        <f t="shared" ca="1" si="708"/>
        <v>0</v>
      </c>
      <c r="BJ405" s="37">
        <f t="shared" ca="1" si="708"/>
        <v>0</v>
      </c>
      <c r="BK405" s="37">
        <f t="shared" ca="1" si="708"/>
        <v>0</v>
      </c>
      <c r="BL405" s="37">
        <f t="shared" ca="1" si="708"/>
        <v>0</v>
      </c>
      <c r="BM405" s="37">
        <f t="shared" ca="1" si="708"/>
        <v>0</v>
      </c>
      <c r="BN405" s="37">
        <f t="shared" ca="1" si="708"/>
        <v>0</v>
      </c>
      <c r="BO405" s="37">
        <f t="shared" ca="1" si="708"/>
        <v>0</v>
      </c>
      <c r="BP405" s="37">
        <f t="shared" ca="1" si="708"/>
        <v>0</v>
      </c>
      <c r="BQ405" s="37">
        <f t="shared" ca="1" si="708"/>
        <v>0</v>
      </c>
      <c r="BR405" s="37">
        <f t="shared" ca="1" si="708"/>
        <v>0</v>
      </c>
      <c r="BS405" s="37">
        <f t="shared" ca="1" si="708"/>
        <v>0</v>
      </c>
      <c r="BT405" s="37">
        <f t="shared" ca="1" si="708"/>
        <v>0</v>
      </c>
      <c r="BU405" s="37">
        <f t="shared" ref="BU405:BY405" ca="1" si="709">+SUM(BU401:BU404)</f>
        <v>0</v>
      </c>
      <c r="BV405" s="37">
        <f t="shared" ca="1" si="709"/>
        <v>0</v>
      </c>
      <c r="BW405" s="37">
        <f t="shared" ca="1" si="709"/>
        <v>0</v>
      </c>
      <c r="BX405" s="37">
        <f t="shared" ca="1" si="709"/>
        <v>0</v>
      </c>
      <c r="BY405" s="37">
        <f t="shared" ca="1" si="709"/>
        <v>0</v>
      </c>
    </row>
    <row r="406" spans="5:77" s="22" customFormat="1" ht="15" outlineLevel="1">
      <c r="E406" t="s">
        <v>446</v>
      </c>
      <c r="F406" s="23" t="s">
        <v>466</v>
      </c>
      <c r="G406"/>
      <c r="H406" s="33">
        <f t="shared" ref="H406:AM406" si="710">+H204</f>
        <v>0</v>
      </c>
      <c r="I406" s="33">
        <f t="shared" si="710"/>
        <v>-3183123.5042179185</v>
      </c>
      <c r="J406" s="33">
        <f t="shared" si="710"/>
        <v>-3246785.974302277</v>
      </c>
      <c r="K406" s="33">
        <f t="shared" si="710"/>
        <v>0</v>
      </c>
      <c r="L406" s="33">
        <f t="shared" si="710"/>
        <v>0</v>
      </c>
      <c r="M406" s="33">
        <f t="shared" si="710"/>
        <v>0</v>
      </c>
      <c r="N406" s="33">
        <f t="shared" si="710"/>
        <v>0</v>
      </c>
      <c r="O406" s="33">
        <f t="shared" si="710"/>
        <v>0</v>
      </c>
      <c r="P406" s="33">
        <f t="shared" si="710"/>
        <v>0</v>
      </c>
      <c r="Q406" s="33">
        <f t="shared" si="710"/>
        <v>0</v>
      </c>
      <c r="R406" s="33">
        <f t="shared" si="710"/>
        <v>0</v>
      </c>
      <c r="S406" s="33">
        <f t="shared" si="710"/>
        <v>0</v>
      </c>
      <c r="T406" s="33">
        <f t="shared" si="710"/>
        <v>0</v>
      </c>
      <c r="U406" s="33">
        <f t="shared" si="710"/>
        <v>0</v>
      </c>
      <c r="V406" s="33">
        <f t="shared" si="710"/>
        <v>0</v>
      </c>
      <c r="W406" s="33">
        <f t="shared" si="710"/>
        <v>0</v>
      </c>
      <c r="X406" s="33">
        <f t="shared" si="710"/>
        <v>0</v>
      </c>
      <c r="Y406" s="33">
        <f t="shared" si="710"/>
        <v>0</v>
      </c>
      <c r="Z406" s="33">
        <f t="shared" si="710"/>
        <v>0</v>
      </c>
      <c r="AA406" s="33">
        <f t="shared" si="710"/>
        <v>0</v>
      </c>
      <c r="AB406" s="33">
        <f t="shared" si="710"/>
        <v>0</v>
      </c>
      <c r="AC406" s="33">
        <f t="shared" si="710"/>
        <v>0</v>
      </c>
      <c r="AD406" s="33">
        <f t="shared" si="710"/>
        <v>0</v>
      </c>
      <c r="AE406" s="33">
        <f t="shared" si="710"/>
        <v>0</v>
      </c>
      <c r="AF406" s="33">
        <f t="shared" si="710"/>
        <v>0</v>
      </c>
      <c r="AG406" s="33">
        <f t="shared" si="710"/>
        <v>0</v>
      </c>
      <c r="AH406" s="33">
        <f t="shared" si="710"/>
        <v>0</v>
      </c>
      <c r="AI406" s="33">
        <f t="shared" si="710"/>
        <v>0</v>
      </c>
      <c r="AJ406" s="33">
        <f t="shared" si="710"/>
        <v>0</v>
      </c>
      <c r="AK406" s="33">
        <f t="shared" si="710"/>
        <v>0</v>
      </c>
      <c r="AL406" s="33">
        <f t="shared" si="710"/>
        <v>0</v>
      </c>
      <c r="AM406" s="33">
        <f t="shared" si="710"/>
        <v>0</v>
      </c>
      <c r="AN406" s="33">
        <f t="shared" ref="AN406:BS406" si="711">+AN204</f>
        <v>0</v>
      </c>
      <c r="AO406" s="33">
        <f t="shared" si="711"/>
        <v>0</v>
      </c>
      <c r="AP406" s="33">
        <f t="shared" si="711"/>
        <v>0</v>
      </c>
      <c r="AQ406" s="33">
        <f t="shared" si="711"/>
        <v>0</v>
      </c>
      <c r="AR406" s="33">
        <f t="shared" si="711"/>
        <v>0</v>
      </c>
      <c r="AS406" s="33">
        <f t="shared" si="711"/>
        <v>0</v>
      </c>
      <c r="AT406" s="33">
        <f t="shared" si="711"/>
        <v>0</v>
      </c>
      <c r="AU406" s="33">
        <f t="shared" si="711"/>
        <v>0</v>
      </c>
      <c r="AV406" s="33">
        <f t="shared" si="711"/>
        <v>0</v>
      </c>
      <c r="AW406" s="33">
        <f t="shared" si="711"/>
        <v>0</v>
      </c>
      <c r="AX406" s="33">
        <f t="shared" si="711"/>
        <v>0</v>
      </c>
      <c r="AY406" s="33">
        <f t="shared" si="711"/>
        <v>0</v>
      </c>
      <c r="AZ406" s="33">
        <f t="shared" si="711"/>
        <v>0</v>
      </c>
      <c r="BA406" s="33">
        <f t="shared" si="711"/>
        <v>0</v>
      </c>
      <c r="BB406" s="33">
        <f t="shared" si="711"/>
        <v>0</v>
      </c>
      <c r="BC406" s="33">
        <f t="shared" si="711"/>
        <v>0</v>
      </c>
      <c r="BD406" s="33">
        <f t="shared" si="711"/>
        <v>0</v>
      </c>
      <c r="BE406" s="33">
        <f t="shared" si="711"/>
        <v>0</v>
      </c>
      <c r="BF406" s="33">
        <f t="shared" si="711"/>
        <v>0</v>
      </c>
      <c r="BG406" s="33">
        <f t="shared" si="711"/>
        <v>0</v>
      </c>
      <c r="BH406" s="33">
        <f t="shared" si="711"/>
        <v>0</v>
      </c>
      <c r="BI406" s="33">
        <f t="shared" si="711"/>
        <v>0</v>
      </c>
      <c r="BJ406" s="33">
        <f t="shared" si="711"/>
        <v>0</v>
      </c>
      <c r="BK406" s="33">
        <f t="shared" si="711"/>
        <v>0</v>
      </c>
      <c r="BL406" s="33">
        <f t="shared" si="711"/>
        <v>0</v>
      </c>
      <c r="BM406" s="33">
        <f t="shared" si="711"/>
        <v>0</v>
      </c>
      <c r="BN406" s="33">
        <f t="shared" si="711"/>
        <v>0</v>
      </c>
      <c r="BO406" s="33">
        <f t="shared" si="711"/>
        <v>0</v>
      </c>
      <c r="BP406" s="33">
        <f t="shared" si="711"/>
        <v>0</v>
      </c>
      <c r="BQ406" s="33">
        <f t="shared" si="711"/>
        <v>0</v>
      </c>
      <c r="BR406" s="33">
        <f t="shared" si="711"/>
        <v>0</v>
      </c>
      <c r="BS406" s="33">
        <f t="shared" si="711"/>
        <v>0</v>
      </c>
      <c r="BT406" s="33">
        <f t="shared" ref="BT406:BY406" si="712">+BT204</f>
        <v>0</v>
      </c>
      <c r="BU406" s="33">
        <f t="shared" si="712"/>
        <v>0</v>
      </c>
      <c r="BV406" s="33">
        <f t="shared" si="712"/>
        <v>0</v>
      </c>
      <c r="BW406" s="33">
        <f t="shared" si="712"/>
        <v>0</v>
      </c>
      <c r="BX406" s="33">
        <f t="shared" si="712"/>
        <v>0</v>
      </c>
      <c r="BY406" s="33">
        <f t="shared" si="712"/>
        <v>0</v>
      </c>
    </row>
    <row r="407" spans="5:77" s="22" customFormat="1" ht="15" outlineLevel="1">
      <c r="E407" s="22" t="s">
        <v>479</v>
      </c>
      <c r="F407" s="36" t="s">
        <v>470</v>
      </c>
      <c r="H407" s="37">
        <f ca="1">+SUM(H405:H406)</f>
        <v>0</v>
      </c>
      <c r="I407" s="37">
        <f t="shared" ref="I407:BT407" ca="1" si="713">+SUM(I405:I406)</f>
        <v>-3183123.5042179185</v>
      </c>
      <c r="J407" s="37">
        <f t="shared" ca="1" si="713"/>
        <v>-3246785.974302277</v>
      </c>
      <c r="K407" s="37">
        <f t="shared" ca="1" si="713"/>
        <v>-13246.886775153282</v>
      </c>
      <c r="L407" s="37">
        <f t="shared" ca="1" si="713"/>
        <v>-13511.824510656355</v>
      </c>
      <c r="M407" s="37">
        <f t="shared" ca="1" si="713"/>
        <v>-13782.061000869493</v>
      </c>
      <c r="N407" s="37">
        <f t="shared" ca="1" si="713"/>
        <v>-14057.702220886888</v>
      </c>
      <c r="O407" s="37">
        <f t="shared" ca="1" si="713"/>
        <v>-14338.85626530461</v>
      </c>
      <c r="P407" s="37">
        <f t="shared" ca="1" si="713"/>
        <v>-14625.633390610688</v>
      </c>
      <c r="Q407" s="37">
        <f t="shared" ca="1" si="713"/>
        <v>-14918.146058422921</v>
      </c>
      <c r="R407" s="37">
        <f t="shared" ca="1" si="713"/>
        <v>-15216.508979591366</v>
      </c>
      <c r="S407" s="37">
        <f t="shared" ca="1" si="713"/>
        <v>-15520.839159183204</v>
      </c>
      <c r="T407" s="37">
        <f t="shared" ca="1" si="713"/>
        <v>-15831.255942366843</v>
      </c>
      <c r="U407" s="37">
        <f t="shared" ca="1" si="713"/>
        <v>-16147.881061214197</v>
      </c>
      <c r="V407" s="37">
        <f t="shared" ca="1" si="713"/>
        <v>-16470.83868243848</v>
      </c>
      <c r="W407" s="37">
        <f t="shared" ca="1" si="713"/>
        <v>-16800.255456087238</v>
      </c>
      <c r="X407" s="37">
        <f t="shared" ca="1" si="713"/>
        <v>-17136.26056520897</v>
      </c>
      <c r="Y407" s="37">
        <f t="shared" ca="1" si="713"/>
        <v>-17478.985776513175</v>
      </c>
      <c r="Z407" s="37">
        <f t="shared" ca="1" si="713"/>
        <v>0</v>
      </c>
      <c r="AA407" s="37">
        <f t="shared" ca="1" si="713"/>
        <v>0</v>
      </c>
      <c r="AB407" s="37">
        <f t="shared" ca="1" si="713"/>
        <v>0</v>
      </c>
      <c r="AC407" s="37">
        <f t="shared" ca="1" si="713"/>
        <v>0</v>
      </c>
      <c r="AD407" s="37">
        <f t="shared" ca="1" si="713"/>
        <v>0</v>
      </c>
      <c r="AE407" s="37">
        <f t="shared" ca="1" si="713"/>
        <v>0</v>
      </c>
      <c r="AF407" s="37">
        <f t="shared" ca="1" si="713"/>
        <v>0</v>
      </c>
      <c r="AG407" s="37">
        <f t="shared" ca="1" si="713"/>
        <v>0</v>
      </c>
      <c r="AH407" s="37">
        <f t="shared" ca="1" si="713"/>
        <v>0</v>
      </c>
      <c r="AI407" s="37">
        <f t="shared" ca="1" si="713"/>
        <v>0</v>
      </c>
      <c r="AJ407" s="37">
        <f t="shared" ca="1" si="713"/>
        <v>0</v>
      </c>
      <c r="AK407" s="37">
        <f t="shared" ca="1" si="713"/>
        <v>0</v>
      </c>
      <c r="AL407" s="37">
        <f t="shared" ca="1" si="713"/>
        <v>0</v>
      </c>
      <c r="AM407" s="37">
        <f t="shared" ca="1" si="713"/>
        <v>0</v>
      </c>
      <c r="AN407" s="37">
        <f t="shared" ca="1" si="713"/>
        <v>0</v>
      </c>
      <c r="AO407" s="37">
        <f t="shared" ca="1" si="713"/>
        <v>0</v>
      </c>
      <c r="AP407" s="37">
        <f t="shared" ca="1" si="713"/>
        <v>0</v>
      </c>
      <c r="AQ407" s="37">
        <f t="shared" ca="1" si="713"/>
        <v>0</v>
      </c>
      <c r="AR407" s="37">
        <f t="shared" ca="1" si="713"/>
        <v>0</v>
      </c>
      <c r="AS407" s="37">
        <f t="shared" ca="1" si="713"/>
        <v>0</v>
      </c>
      <c r="AT407" s="37">
        <f t="shared" ca="1" si="713"/>
        <v>0</v>
      </c>
      <c r="AU407" s="37">
        <f t="shared" ca="1" si="713"/>
        <v>0</v>
      </c>
      <c r="AV407" s="37">
        <f t="shared" ca="1" si="713"/>
        <v>0</v>
      </c>
      <c r="AW407" s="37">
        <f t="shared" ca="1" si="713"/>
        <v>0</v>
      </c>
      <c r="AX407" s="37">
        <f t="shared" ca="1" si="713"/>
        <v>0</v>
      </c>
      <c r="AY407" s="37">
        <f t="shared" ca="1" si="713"/>
        <v>0</v>
      </c>
      <c r="AZ407" s="37">
        <f t="shared" ca="1" si="713"/>
        <v>0</v>
      </c>
      <c r="BA407" s="37">
        <f t="shared" ca="1" si="713"/>
        <v>0</v>
      </c>
      <c r="BB407" s="37">
        <f t="shared" ca="1" si="713"/>
        <v>0</v>
      </c>
      <c r="BC407" s="37">
        <f t="shared" ca="1" si="713"/>
        <v>0</v>
      </c>
      <c r="BD407" s="37">
        <f t="shared" ca="1" si="713"/>
        <v>0</v>
      </c>
      <c r="BE407" s="37">
        <f t="shared" ca="1" si="713"/>
        <v>0</v>
      </c>
      <c r="BF407" s="37">
        <f t="shared" ca="1" si="713"/>
        <v>0</v>
      </c>
      <c r="BG407" s="37">
        <f t="shared" ca="1" si="713"/>
        <v>0</v>
      </c>
      <c r="BH407" s="37">
        <f t="shared" ca="1" si="713"/>
        <v>0</v>
      </c>
      <c r="BI407" s="37">
        <f t="shared" ca="1" si="713"/>
        <v>0</v>
      </c>
      <c r="BJ407" s="37">
        <f t="shared" ca="1" si="713"/>
        <v>0</v>
      </c>
      <c r="BK407" s="37">
        <f t="shared" ca="1" si="713"/>
        <v>0</v>
      </c>
      <c r="BL407" s="37">
        <f t="shared" ca="1" si="713"/>
        <v>0</v>
      </c>
      <c r="BM407" s="37">
        <f t="shared" ca="1" si="713"/>
        <v>0</v>
      </c>
      <c r="BN407" s="37">
        <f t="shared" ca="1" si="713"/>
        <v>0</v>
      </c>
      <c r="BO407" s="37">
        <f t="shared" ca="1" si="713"/>
        <v>0</v>
      </c>
      <c r="BP407" s="37">
        <f t="shared" ca="1" si="713"/>
        <v>0</v>
      </c>
      <c r="BQ407" s="37">
        <f t="shared" ca="1" si="713"/>
        <v>0</v>
      </c>
      <c r="BR407" s="37">
        <f t="shared" ca="1" si="713"/>
        <v>0</v>
      </c>
      <c r="BS407" s="37">
        <f t="shared" ca="1" si="713"/>
        <v>0</v>
      </c>
      <c r="BT407" s="37">
        <f t="shared" ca="1" si="713"/>
        <v>0</v>
      </c>
      <c r="BU407" s="37">
        <f t="shared" ref="BU407:BY407" ca="1" si="714">+SUM(BU405:BU406)</f>
        <v>0</v>
      </c>
      <c r="BV407" s="37">
        <f t="shared" ca="1" si="714"/>
        <v>0</v>
      </c>
      <c r="BW407" s="37">
        <f t="shared" ca="1" si="714"/>
        <v>0</v>
      </c>
      <c r="BX407" s="37">
        <f t="shared" ca="1" si="714"/>
        <v>0</v>
      </c>
      <c r="BY407" s="37">
        <f t="shared" ca="1" si="714"/>
        <v>0</v>
      </c>
    </row>
    <row r="408" spans="5:77" s="22" customFormat="1" ht="15" outlineLevel="1">
      <c r="E408" t="s">
        <v>480</v>
      </c>
      <c r="F408" s="40" t="s">
        <v>475</v>
      </c>
      <c r="G408"/>
      <c r="H408" s="33">
        <f t="shared" ref="H408:AM408" si="715">-H243+H259-H275+H291</f>
        <v>0</v>
      </c>
      <c r="I408" s="33">
        <f t="shared" si="715"/>
        <v>1254150.6606618594</v>
      </c>
      <c r="J408" s="33">
        <f t="shared" ca="1" si="715"/>
        <v>3191823.9438779927</v>
      </c>
      <c r="K408" s="33">
        <f t="shared" ca="1" si="715"/>
        <v>-200403.7912812217</v>
      </c>
      <c r="L408" s="33">
        <f t="shared" ca="1" si="715"/>
        <v>-211904.96486285099</v>
      </c>
      <c r="M408" s="33">
        <f t="shared" ca="1" si="715"/>
        <v>-224066.19079633002</v>
      </c>
      <c r="N408" s="33">
        <f t="shared" ca="1" si="715"/>
        <v>-236925.3494861314</v>
      </c>
      <c r="O408" s="33">
        <f t="shared" ca="1" si="715"/>
        <v>-250522.49529314047</v>
      </c>
      <c r="P408" s="33">
        <f t="shared" ca="1" si="715"/>
        <v>-264899.98129801382</v>
      </c>
      <c r="Q408" s="33">
        <f t="shared" ca="1" si="715"/>
        <v>-280102.59122470685</v>
      </c>
      <c r="R408" s="33">
        <f t="shared" ca="1" si="715"/>
        <v>-296177.67893509276</v>
      </c>
      <c r="S408" s="33">
        <f t="shared" ca="1" si="715"/>
        <v>-313175.31592917768</v>
      </c>
      <c r="T408" s="33">
        <f t="shared" ca="1" si="715"/>
        <v>-331148.44731035322</v>
      </c>
      <c r="U408" s="33">
        <f t="shared" ca="1" si="715"/>
        <v>-350153.05670149438</v>
      </c>
      <c r="V408" s="33">
        <f t="shared" ca="1" si="715"/>
        <v>-370248.34062559315</v>
      </c>
      <c r="W408" s="33">
        <f t="shared" ca="1" si="715"/>
        <v>-391496.89289409597</v>
      </c>
      <c r="X408" s="33">
        <f t="shared" ca="1" si="715"/>
        <v>-413964.89957728813</v>
      </c>
      <c r="Y408" s="33">
        <f t="shared" ca="1" si="715"/>
        <v>-310784.60832436045</v>
      </c>
      <c r="Z408" s="33">
        <f t="shared" si="715"/>
        <v>0</v>
      </c>
      <c r="AA408" s="33">
        <f t="shared" si="715"/>
        <v>0</v>
      </c>
      <c r="AB408" s="33">
        <f t="shared" si="715"/>
        <v>0</v>
      </c>
      <c r="AC408" s="33">
        <f t="shared" si="715"/>
        <v>0</v>
      </c>
      <c r="AD408" s="33">
        <f t="shared" si="715"/>
        <v>0</v>
      </c>
      <c r="AE408" s="33">
        <f t="shared" si="715"/>
        <v>0</v>
      </c>
      <c r="AF408" s="33">
        <f t="shared" si="715"/>
        <v>0</v>
      </c>
      <c r="AG408" s="33">
        <f t="shared" si="715"/>
        <v>0</v>
      </c>
      <c r="AH408" s="33">
        <f t="shared" si="715"/>
        <v>0</v>
      </c>
      <c r="AI408" s="33">
        <f t="shared" si="715"/>
        <v>0</v>
      </c>
      <c r="AJ408" s="33">
        <f t="shared" si="715"/>
        <v>0</v>
      </c>
      <c r="AK408" s="33">
        <f t="shared" si="715"/>
        <v>0</v>
      </c>
      <c r="AL408" s="33">
        <f t="shared" si="715"/>
        <v>0</v>
      </c>
      <c r="AM408" s="33">
        <f t="shared" si="715"/>
        <v>0</v>
      </c>
      <c r="AN408" s="33">
        <f t="shared" ref="AN408:BS408" si="716">-AN243+AN259-AN275+AN291</f>
        <v>0</v>
      </c>
      <c r="AO408" s="33">
        <f t="shared" si="716"/>
        <v>0</v>
      </c>
      <c r="AP408" s="33">
        <f t="shared" si="716"/>
        <v>0</v>
      </c>
      <c r="AQ408" s="33">
        <f t="shared" si="716"/>
        <v>0</v>
      </c>
      <c r="AR408" s="33">
        <f t="shared" si="716"/>
        <v>0</v>
      </c>
      <c r="AS408" s="33">
        <f t="shared" si="716"/>
        <v>0</v>
      </c>
      <c r="AT408" s="33">
        <f t="shared" si="716"/>
        <v>0</v>
      </c>
      <c r="AU408" s="33">
        <f t="shared" si="716"/>
        <v>0</v>
      </c>
      <c r="AV408" s="33">
        <f t="shared" si="716"/>
        <v>0</v>
      </c>
      <c r="AW408" s="33">
        <f t="shared" si="716"/>
        <v>0</v>
      </c>
      <c r="AX408" s="33">
        <f t="shared" si="716"/>
        <v>0</v>
      </c>
      <c r="AY408" s="33">
        <f t="shared" si="716"/>
        <v>0</v>
      </c>
      <c r="AZ408" s="33">
        <f t="shared" si="716"/>
        <v>0</v>
      </c>
      <c r="BA408" s="33">
        <f t="shared" si="716"/>
        <v>0</v>
      </c>
      <c r="BB408" s="33">
        <f t="shared" si="716"/>
        <v>0</v>
      </c>
      <c r="BC408" s="33">
        <f t="shared" si="716"/>
        <v>0</v>
      </c>
      <c r="BD408" s="33">
        <f t="shared" si="716"/>
        <v>0</v>
      </c>
      <c r="BE408" s="33">
        <f t="shared" si="716"/>
        <v>0</v>
      </c>
      <c r="BF408" s="33">
        <f t="shared" si="716"/>
        <v>0</v>
      </c>
      <c r="BG408" s="33">
        <f t="shared" si="716"/>
        <v>0</v>
      </c>
      <c r="BH408" s="33">
        <f t="shared" si="716"/>
        <v>0</v>
      </c>
      <c r="BI408" s="33">
        <f t="shared" si="716"/>
        <v>0</v>
      </c>
      <c r="BJ408" s="33">
        <f t="shared" si="716"/>
        <v>0</v>
      </c>
      <c r="BK408" s="33">
        <f t="shared" si="716"/>
        <v>0</v>
      </c>
      <c r="BL408" s="33">
        <f t="shared" si="716"/>
        <v>0</v>
      </c>
      <c r="BM408" s="33">
        <f t="shared" si="716"/>
        <v>0</v>
      </c>
      <c r="BN408" s="33">
        <f t="shared" si="716"/>
        <v>0</v>
      </c>
      <c r="BO408" s="33">
        <f t="shared" si="716"/>
        <v>0</v>
      </c>
      <c r="BP408" s="33">
        <f t="shared" si="716"/>
        <v>0</v>
      </c>
      <c r="BQ408" s="33">
        <f t="shared" si="716"/>
        <v>0</v>
      </c>
      <c r="BR408" s="33">
        <f t="shared" si="716"/>
        <v>0</v>
      </c>
      <c r="BS408" s="33">
        <f t="shared" si="716"/>
        <v>0</v>
      </c>
      <c r="BT408" s="33">
        <f t="shared" ref="BT408:BY408" si="717">-BT243+BT259-BT275+BT291</f>
        <v>0</v>
      </c>
      <c r="BU408" s="33">
        <f t="shared" si="717"/>
        <v>0</v>
      </c>
      <c r="BV408" s="33">
        <f t="shared" si="717"/>
        <v>0</v>
      </c>
      <c r="BW408" s="33">
        <f t="shared" si="717"/>
        <v>0</v>
      </c>
      <c r="BX408" s="33">
        <f t="shared" si="717"/>
        <v>0</v>
      </c>
      <c r="BY408" s="33">
        <f t="shared" si="717"/>
        <v>0</v>
      </c>
    </row>
    <row r="409" spans="5:77" s="22" customFormat="1" ht="15" outlineLevel="1">
      <c r="E409" s="25" t="s">
        <v>468</v>
      </c>
      <c r="F409" s="30" t="s">
        <v>466</v>
      </c>
      <c r="G409" s="25"/>
      <c r="H409" s="34">
        <f t="shared" ref="H409:AM409" ca="1" si="718">+H383</f>
        <v>0</v>
      </c>
      <c r="I409" s="34">
        <f t="shared" ca="1" si="718"/>
        <v>0</v>
      </c>
      <c r="J409" s="34">
        <f t="shared" ca="1" si="718"/>
        <v>-71975.70641538412</v>
      </c>
      <c r="K409" s="34">
        <f t="shared" ca="1" si="718"/>
        <v>-255154.48255454216</v>
      </c>
      <c r="L409" s="34">
        <f t="shared" ca="1" si="718"/>
        <v>-243653.30897291287</v>
      </c>
      <c r="M409" s="34">
        <f t="shared" ca="1" si="718"/>
        <v>-231492.08303943384</v>
      </c>
      <c r="N409" s="34">
        <f t="shared" ca="1" si="718"/>
        <v>-218632.92434963246</v>
      </c>
      <c r="O409" s="34">
        <f t="shared" ca="1" si="718"/>
        <v>-205035.77854262339</v>
      </c>
      <c r="P409" s="34">
        <f t="shared" ca="1" si="718"/>
        <v>-190658.29253775007</v>
      </c>
      <c r="Q409" s="34">
        <f t="shared" ca="1" si="718"/>
        <v>-175455.68261105704</v>
      </c>
      <c r="R409" s="34">
        <f t="shared" ca="1" si="718"/>
        <v>-159380.59490067113</v>
      </c>
      <c r="S409" s="34">
        <f t="shared" ca="1" si="718"/>
        <v>-142382.95790658615</v>
      </c>
      <c r="T409" s="34">
        <f t="shared" ca="1" si="718"/>
        <v>-124409.82652541064</v>
      </c>
      <c r="U409" s="34">
        <f t="shared" ca="1" si="718"/>
        <v>-105405.21713426948</v>
      </c>
      <c r="V409" s="34">
        <f t="shared" ca="1" si="718"/>
        <v>-85309.933210170711</v>
      </c>
      <c r="W409" s="34">
        <f t="shared" ca="1" si="718"/>
        <v>-64061.380941667914</v>
      </c>
      <c r="X409" s="34">
        <f t="shared" ca="1" si="718"/>
        <v>-41593.374258475742</v>
      </c>
      <c r="Y409" s="34">
        <f t="shared" ca="1" si="718"/>
        <v>-17835.928671735179</v>
      </c>
      <c r="Z409" s="34">
        <f t="shared" ca="1" si="718"/>
        <v>-1.3028096873313189E-10</v>
      </c>
      <c r="AA409" s="34">
        <f t="shared" ca="1" si="718"/>
        <v>-1.3028096873313189E-10</v>
      </c>
      <c r="AB409" s="34">
        <f t="shared" ca="1" si="718"/>
        <v>-1.3028096873313189E-10</v>
      </c>
      <c r="AC409" s="34">
        <f t="shared" ca="1" si="718"/>
        <v>-1.3028096873313189E-10</v>
      </c>
      <c r="AD409" s="34">
        <f t="shared" ca="1" si="718"/>
        <v>-1.3028096873313189E-10</v>
      </c>
      <c r="AE409" s="34">
        <f t="shared" ca="1" si="718"/>
        <v>-1.3028096873313189E-10</v>
      </c>
      <c r="AF409" s="34">
        <f t="shared" ca="1" si="718"/>
        <v>-1.3028096873313189E-10</v>
      </c>
      <c r="AG409" s="34">
        <f t="shared" ca="1" si="718"/>
        <v>-1.3028096873313189E-10</v>
      </c>
      <c r="AH409" s="34">
        <f t="shared" ca="1" si="718"/>
        <v>-1.3028096873313189E-10</v>
      </c>
      <c r="AI409" s="34">
        <f t="shared" ca="1" si="718"/>
        <v>-1.3028096873313189E-10</v>
      </c>
      <c r="AJ409" s="34">
        <f t="shared" ca="1" si="718"/>
        <v>-1.3028096873313189E-10</v>
      </c>
      <c r="AK409" s="34">
        <f t="shared" ca="1" si="718"/>
        <v>-1.3028096873313189E-10</v>
      </c>
      <c r="AL409" s="34">
        <f t="shared" ca="1" si="718"/>
        <v>-1.3028096873313189E-10</v>
      </c>
      <c r="AM409" s="34">
        <f t="shared" ca="1" si="718"/>
        <v>-1.3028096873313189E-10</v>
      </c>
      <c r="AN409" s="34">
        <f t="shared" ref="AN409:BS409" ca="1" si="719">+AN383</f>
        <v>-1.3028096873313189E-10</v>
      </c>
      <c r="AO409" s="34">
        <f t="shared" ca="1" si="719"/>
        <v>-1.3028096873313189E-10</v>
      </c>
      <c r="AP409" s="34">
        <f t="shared" ca="1" si="719"/>
        <v>-1.3028096873313189E-10</v>
      </c>
      <c r="AQ409" s="34">
        <f t="shared" ca="1" si="719"/>
        <v>-1.3028096873313189E-10</v>
      </c>
      <c r="AR409" s="34">
        <f t="shared" ca="1" si="719"/>
        <v>-1.3028096873313189E-10</v>
      </c>
      <c r="AS409" s="34">
        <f t="shared" ca="1" si="719"/>
        <v>-1.3028096873313189E-10</v>
      </c>
      <c r="AT409" s="34">
        <f t="shared" ca="1" si="719"/>
        <v>-1.3028096873313189E-10</v>
      </c>
      <c r="AU409" s="34">
        <f t="shared" ca="1" si="719"/>
        <v>-1.3028096873313189E-10</v>
      </c>
      <c r="AV409" s="34">
        <f t="shared" ca="1" si="719"/>
        <v>-1.3028096873313189E-10</v>
      </c>
      <c r="AW409" s="34">
        <f t="shared" ca="1" si="719"/>
        <v>-1.3028096873313189E-10</v>
      </c>
      <c r="AX409" s="34">
        <f t="shared" ca="1" si="719"/>
        <v>-1.3028096873313189E-10</v>
      </c>
      <c r="AY409" s="34">
        <f t="shared" ca="1" si="719"/>
        <v>-1.3028096873313189E-10</v>
      </c>
      <c r="AZ409" s="34">
        <f t="shared" ca="1" si="719"/>
        <v>-1.3028096873313189E-10</v>
      </c>
      <c r="BA409" s="34">
        <f t="shared" ca="1" si="719"/>
        <v>-1.3028096873313189E-10</v>
      </c>
      <c r="BB409" s="34">
        <f t="shared" ca="1" si="719"/>
        <v>-1.3028096873313189E-10</v>
      </c>
      <c r="BC409" s="34">
        <f t="shared" ca="1" si="719"/>
        <v>-1.3028096873313189E-10</v>
      </c>
      <c r="BD409" s="34">
        <f t="shared" ca="1" si="719"/>
        <v>-1.3028096873313189E-10</v>
      </c>
      <c r="BE409" s="34">
        <f t="shared" ca="1" si="719"/>
        <v>-1.3028096873313189E-10</v>
      </c>
      <c r="BF409" s="34">
        <f t="shared" ca="1" si="719"/>
        <v>-1.3028096873313189E-10</v>
      </c>
      <c r="BG409" s="34">
        <f t="shared" ca="1" si="719"/>
        <v>-1.3028096873313189E-10</v>
      </c>
      <c r="BH409" s="34">
        <f t="shared" ca="1" si="719"/>
        <v>-1.3028096873313189E-10</v>
      </c>
      <c r="BI409" s="34">
        <f t="shared" ca="1" si="719"/>
        <v>-1.3028096873313189E-10</v>
      </c>
      <c r="BJ409" s="34">
        <f t="shared" ca="1" si="719"/>
        <v>-1.3028096873313189E-10</v>
      </c>
      <c r="BK409" s="34">
        <f t="shared" ca="1" si="719"/>
        <v>-1.3028096873313189E-10</v>
      </c>
      <c r="BL409" s="34">
        <f t="shared" ca="1" si="719"/>
        <v>-1.3028096873313189E-10</v>
      </c>
      <c r="BM409" s="34">
        <f t="shared" ca="1" si="719"/>
        <v>-1.3028096873313189E-10</v>
      </c>
      <c r="BN409" s="34">
        <f t="shared" ca="1" si="719"/>
        <v>-1.3028096873313189E-10</v>
      </c>
      <c r="BO409" s="34">
        <f t="shared" ca="1" si="719"/>
        <v>-1.3028096873313189E-10</v>
      </c>
      <c r="BP409" s="34">
        <f t="shared" ca="1" si="719"/>
        <v>-1.3028096873313189E-10</v>
      </c>
      <c r="BQ409" s="34">
        <f t="shared" ca="1" si="719"/>
        <v>-1.3028096873313189E-10</v>
      </c>
      <c r="BR409" s="34">
        <f t="shared" ca="1" si="719"/>
        <v>-1.3028096873313189E-10</v>
      </c>
      <c r="BS409" s="34">
        <f t="shared" ca="1" si="719"/>
        <v>-1.3028096873313189E-10</v>
      </c>
      <c r="BT409" s="34">
        <f t="shared" ref="BT409:BY409" ca="1" si="720">+BT383</f>
        <v>-1.3028096873313189E-10</v>
      </c>
      <c r="BU409" s="34">
        <f t="shared" ca="1" si="720"/>
        <v>-1.3028096873313189E-10</v>
      </c>
      <c r="BV409" s="34">
        <f t="shared" ca="1" si="720"/>
        <v>-1.3028096873313189E-10</v>
      </c>
      <c r="BW409" s="34">
        <f t="shared" ca="1" si="720"/>
        <v>-1.3028096873313189E-10</v>
      </c>
      <c r="BX409" s="34">
        <f t="shared" ca="1" si="720"/>
        <v>-1.3028096873313189E-10</v>
      </c>
      <c r="BY409" s="34">
        <f t="shared" ca="1" si="720"/>
        <v>-1.3028096873313189E-10</v>
      </c>
    </row>
    <row r="410" spans="5:77" s="22" customFormat="1" ht="15" outlineLevel="1">
      <c r="E410" s="22" t="s">
        <v>481</v>
      </c>
      <c r="F410" s="36" t="s">
        <v>470</v>
      </c>
      <c r="G410" s="45"/>
      <c r="H410" s="47">
        <f ca="1">+SUM(H407:H409)</f>
        <v>0</v>
      </c>
      <c r="I410" s="47">
        <f t="shared" ref="I410:BT410" ca="1" si="721">+SUM(I407:I409)</f>
        <v>-1928972.8435560591</v>
      </c>
      <c r="J410" s="47">
        <f t="shared" ca="1" si="721"/>
        <v>-126937.7368396684</v>
      </c>
      <c r="K410" s="47">
        <f t="shared" ca="1" si="721"/>
        <v>-468805.16061091714</v>
      </c>
      <c r="L410" s="47">
        <f t="shared" ca="1" si="721"/>
        <v>-469070.09834642021</v>
      </c>
      <c r="M410" s="47">
        <f t="shared" ca="1" si="721"/>
        <v>-469340.33483663335</v>
      </c>
      <c r="N410" s="47">
        <f t="shared" ca="1" si="721"/>
        <v>-469615.97605665075</v>
      </c>
      <c r="O410" s="47">
        <f t="shared" ca="1" si="721"/>
        <v>-469897.13010106847</v>
      </c>
      <c r="P410" s="47">
        <f t="shared" ca="1" si="721"/>
        <v>-470183.90722637461</v>
      </c>
      <c r="Q410" s="47">
        <f t="shared" ca="1" si="721"/>
        <v>-470476.41989418678</v>
      </c>
      <c r="R410" s="47">
        <f t="shared" ca="1" si="721"/>
        <v>-470774.78281535523</v>
      </c>
      <c r="S410" s="47">
        <f t="shared" ca="1" si="721"/>
        <v>-471079.11299494701</v>
      </c>
      <c r="T410" s="47">
        <f t="shared" ca="1" si="721"/>
        <v>-471389.5297781307</v>
      </c>
      <c r="U410" s="47">
        <f t="shared" ca="1" si="721"/>
        <v>-471706.15489697806</v>
      </c>
      <c r="V410" s="47">
        <f t="shared" ca="1" si="721"/>
        <v>-472029.11251820234</v>
      </c>
      <c r="W410" s="47">
        <f t="shared" ca="1" si="721"/>
        <v>-472358.5292918511</v>
      </c>
      <c r="X410" s="47">
        <f t="shared" ca="1" si="721"/>
        <v>-472694.53440097283</v>
      </c>
      <c r="Y410" s="47">
        <f t="shared" ca="1" si="721"/>
        <v>-346099.52277260879</v>
      </c>
      <c r="Z410" s="47">
        <f t="shared" ca="1" si="721"/>
        <v>-1.3028096873313189E-10</v>
      </c>
      <c r="AA410" s="47">
        <f t="shared" ca="1" si="721"/>
        <v>-1.3028096873313189E-10</v>
      </c>
      <c r="AB410" s="47">
        <f t="shared" ca="1" si="721"/>
        <v>-1.3028096873313189E-10</v>
      </c>
      <c r="AC410" s="47">
        <f t="shared" ca="1" si="721"/>
        <v>-1.3028096873313189E-10</v>
      </c>
      <c r="AD410" s="47">
        <f t="shared" ca="1" si="721"/>
        <v>-1.3028096873313189E-10</v>
      </c>
      <c r="AE410" s="47">
        <f t="shared" ca="1" si="721"/>
        <v>-1.3028096873313189E-10</v>
      </c>
      <c r="AF410" s="47">
        <f t="shared" ca="1" si="721"/>
        <v>-1.3028096873313189E-10</v>
      </c>
      <c r="AG410" s="47">
        <f t="shared" ca="1" si="721"/>
        <v>-1.3028096873313189E-10</v>
      </c>
      <c r="AH410" s="47">
        <f t="shared" ca="1" si="721"/>
        <v>-1.3028096873313189E-10</v>
      </c>
      <c r="AI410" s="47">
        <f t="shared" ca="1" si="721"/>
        <v>-1.3028096873313189E-10</v>
      </c>
      <c r="AJ410" s="47">
        <f t="shared" ca="1" si="721"/>
        <v>-1.3028096873313189E-10</v>
      </c>
      <c r="AK410" s="47">
        <f t="shared" ca="1" si="721"/>
        <v>-1.3028096873313189E-10</v>
      </c>
      <c r="AL410" s="47">
        <f t="shared" ca="1" si="721"/>
        <v>-1.3028096873313189E-10</v>
      </c>
      <c r="AM410" s="47">
        <f t="shared" ca="1" si="721"/>
        <v>-1.3028096873313189E-10</v>
      </c>
      <c r="AN410" s="47">
        <f t="shared" ca="1" si="721"/>
        <v>-1.3028096873313189E-10</v>
      </c>
      <c r="AO410" s="47">
        <f t="shared" ca="1" si="721"/>
        <v>-1.3028096873313189E-10</v>
      </c>
      <c r="AP410" s="47">
        <f t="shared" ca="1" si="721"/>
        <v>-1.3028096873313189E-10</v>
      </c>
      <c r="AQ410" s="47">
        <f t="shared" ca="1" si="721"/>
        <v>-1.3028096873313189E-10</v>
      </c>
      <c r="AR410" s="47">
        <f t="shared" ca="1" si="721"/>
        <v>-1.3028096873313189E-10</v>
      </c>
      <c r="AS410" s="47">
        <f t="shared" ca="1" si="721"/>
        <v>-1.3028096873313189E-10</v>
      </c>
      <c r="AT410" s="47">
        <f t="shared" ca="1" si="721"/>
        <v>-1.3028096873313189E-10</v>
      </c>
      <c r="AU410" s="47">
        <f t="shared" ca="1" si="721"/>
        <v>-1.3028096873313189E-10</v>
      </c>
      <c r="AV410" s="47">
        <f t="shared" ca="1" si="721"/>
        <v>-1.3028096873313189E-10</v>
      </c>
      <c r="AW410" s="47">
        <f t="shared" ca="1" si="721"/>
        <v>-1.3028096873313189E-10</v>
      </c>
      <c r="AX410" s="47">
        <f t="shared" ca="1" si="721"/>
        <v>-1.3028096873313189E-10</v>
      </c>
      <c r="AY410" s="47">
        <f t="shared" ca="1" si="721"/>
        <v>-1.3028096873313189E-10</v>
      </c>
      <c r="AZ410" s="47">
        <f t="shared" ca="1" si="721"/>
        <v>-1.3028096873313189E-10</v>
      </c>
      <c r="BA410" s="47">
        <f t="shared" ca="1" si="721"/>
        <v>-1.3028096873313189E-10</v>
      </c>
      <c r="BB410" s="47">
        <f t="shared" ca="1" si="721"/>
        <v>-1.3028096873313189E-10</v>
      </c>
      <c r="BC410" s="47">
        <f t="shared" ca="1" si="721"/>
        <v>-1.3028096873313189E-10</v>
      </c>
      <c r="BD410" s="47">
        <f t="shared" ca="1" si="721"/>
        <v>-1.3028096873313189E-10</v>
      </c>
      <c r="BE410" s="47">
        <f t="shared" ca="1" si="721"/>
        <v>-1.3028096873313189E-10</v>
      </c>
      <c r="BF410" s="47">
        <f t="shared" ca="1" si="721"/>
        <v>-1.3028096873313189E-10</v>
      </c>
      <c r="BG410" s="47">
        <f t="shared" ca="1" si="721"/>
        <v>-1.3028096873313189E-10</v>
      </c>
      <c r="BH410" s="47">
        <f t="shared" ca="1" si="721"/>
        <v>-1.3028096873313189E-10</v>
      </c>
      <c r="BI410" s="47">
        <f t="shared" ca="1" si="721"/>
        <v>-1.3028096873313189E-10</v>
      </c>
      <c r="BJ410" s="47">
        <f t="shared" ca="1" si="721"/>
        <v>-1.3028096873313189E-10</v>
      </c>
      <c r="BK410" s="47">
        <f t="shared" ca="1" si="721"/>
        <v>-1.3028096873313189E-10</v>
      </c>
      <c r="BL410" s="47">
        <f t="shared" ca="1" si="721"/>
        <v>-1.3028096873313189E-10</v>
      </c>
      <c r="BM410" s="47">
        <f t="shared" ca="1" si="721"/>
        <v>-1.3028096873313189E-10</v>
      </c>
      <c r="BN410" s="47">
        <f t="shared" ca="1" si="721"/>
        <v>-1.3028096873313189E-10</v>
      </c>
      <c r="BO410" s="47">
        <f t="shared" ca="1" si="721"/>
        <v>-1.3028096873313189E-10</v>
      </c>
      <c r="BP410" s="47">
        <f t="shared" ca="1" si="721"/>
        <v>-1.3028096873313189E-10</v>
      </c>
      <c r="BQ410" s="47">
        <f t="shared" ca="1" si="721"/>
        <v>-1.3028096873313189E-10</v>
      </c>
      <c r="BR410" s="47">
        <f t="shared" ca="1" si="721"/>
        <v>-1.3028096873313189E-10</v>
      </c>
      <c r="BS410" s="47">
        <f t="shared" ca="1" si="721"/>
        <v>-1.3028096873313189E-10</v>
      </c>
      <c r="BT410" s="47">
        <f t="shared" ca="1" si="721"/>
        <v>-1.3028096873313189E-10</v>
      </c>
      <c r="BU410" s="47">
        <f t="shared" ref="BU410:BY410" ca="1" si="722">+SUM(BU407:BU409)</f>
        <v>-1.3028096873313189E-10</v>
      </c>
      <c r="BV410" s="47">
        <f t="shared" ca="1" si="722"/>
        <v>-1.3028096873313189E-10</v>
      </c>
      <c r="BW410" s="47">
        <f t="shared" ca="1" si="722"/>
        <v>-1.3028096873313189E-10</v>
      </c>
      <c r="BX410" s="47">
        <f t="shared" ca="1" si="722"/>
        <v>-1.3028096873313189E-10</v>
      </c>
      <c r="BY410" s="47">
        <f t="shared" ca="1" si="722"/>
        <v>-1.3028096873313189E-10</v>
      </c>
    </row>
    <row r="411" spans="5:77" outlineLevel="1">
      <c r="BF411" s="33"/>
      <c r="BG411" s="33"/>
      <c r="BH411" s="33"/>
      <c r="BI411" s="33"/>
      <c r="BJ411" s="33"/>
      <c r="BK411" s="33"/>
      <c r="BL411" s="33"/>
      <c r="BM411" s="33"/>
      <c r="BN411" s="33"/>
      <c r="BO411" s="33"/>
      <c r="BP411" s="33"/>
      <c r="BQ411" s="33"/>
      <c r="BR411" s="33"/>
      <c r="BS411" s="33"/>
      <c r="BT411" s="33"/>
      <c r="BU411" s="33"/>
      <c r="BV411" s="33"/>
      <c r="BW411" s="33"/>
      <c r="BX411" s="33"/>
      <c r="BY411" s="33"/>
    </row>
    <row r="412" spans="5:77" outlineLevel="1">
      <c r="BF412" s="33"/>
      <c r="BG412" s="33"/>
      <c r="BH412" s="33"/>
      <c r="BI412" s="33"/>
      <c r="BJ412" s="33"/>
      <c r="BK412" s="33"/>
      <c r="BL412" s="33"/>
      <c r="BM412" s="33"/>
      <c r="BN412" s="33"/>
      <c r="BO412" s="33"/>
      <c r="BP412" s="33"/>
      <c r="BQ412" s="33"/>
      <c r="BR412" s="33"/>
      <c r="BS412" s="33"/>
      <c r="BT412" s="33"/>
      <c r="BU412" s="33"/>
      <c r="BV412" s="33"/>
      <c r="BW412" s="33"/>
      <c r="BX412" s="33"/>
      <c r="BY412" s="33"/>
    </row>
    <row r="413" spans="5:77" ht="15" outlineLevel="1">
      <c r="E413" s="77" t="s">
        <v>366</v>
      </c>
      <c r="BF413" s="33"/>
      <c r="BG413" s="33"/>
      <c r="BH413" s="33"/>
      <c r="BI413" s="33"/>
      <c r="BJ413" s="33"/>
      <c r="BK413" s="33"/>
      <c r="BL413" s="33"/>
      <c r="BM413" s="33"/>
      <c r="BN413" s="33"/>
      <c r="BO413" s="33"/>
      <c r="BP413" s="33"/>
      <c r="BQ413" s="33"/>
      <c r="BR413" s="33"/>
      <c r="BS413" s="33"/>
      <c r="BT413" s="33"/>
      <c r="BU413" s="33"/>
      <c r="BV413" s="33"/>
      <c r="BW413" s="33"/>
      <c r="BX413" s="33"/>
      <c r="BY413" s="33"/>
    </row>
    <row r="414" spans="5:77" s="22" customFormat="1" ht="15" outlineLevel="1">
      <c r="E414" t="s">
        <v>474</v>
      </c>
      <c r="F414" s="23" t="s">
        <v>475</v>
      </c>
      <c r="G414"/>
      <c r="H414" s="33">
        <f t="shared" ref="H414:AM414" si="723">+H390+H391</f>
        <v>0</v>
      </c>
      <c r="I414" s="33">
        <f t="shared" si="723"/>
        <v>0</v>
      </c>
      <c r="J414" s="33">
        <f t="shared" si="723"/>
        <v>0</v>
      </c>
      <c r="K414" s="33">
        <f t="shared" si="723"/>
        <v>-194421.07638149598</v>
      </c>
      <c r="L414" s="33">
        <f t="shared" si="723"/>
        <v>-194990.83495247029</v>
      </c>
      <c r="M414" s="33">
        <f t="shared" si="723"/>
        <v>-195571.98869486412</v>
      </c>
      <c r="N414" s="33">
        <f t="shared" si="723"/>
        <v>-196164.76551210581</v>
      </c>
      <c r="O414" s="33">
        <f t="shared" si="723"/>
        <v>-196769.39786569236</v>
      </c>
      <c r="P414" s="33">
        <f t="shared" si="723"/>
        <v>-197386.1228663506</v>
      </c>
      <c r="Q414" s="33">
        <f t="shared" si="723"/>
        <v>-198015.18236702203</v>
      </c>
      <c r="R414" s="33">
        <f t="shared" si="723"/>
        <v>-198656.82305770688</v>
      </c>
      <c r="S414" s="33">
        <f t="shared" si="723"/>
        <v>-199311.29656220545</v>
      </c>
      <c r="T414" s="33">
        <f t="shared" si="723"/>
        <v>-199978.85953679396</v>
      </c>
      <c r="U414" s="33">
        <f t="shared" si="723"/>
        <v>-200659.77377087428</v>
      </c>
      <c r="V414" s="33">
        <f t="shared" si="723"/>
        <v>-201354.30628963618</v>
      </c>
      <c r="W414" s="33">
        <f t="shared" si="723"/>
        <v>-202062.7294587733</v>
      </c>
      <c r="X414" s="33">
        <f t="shared" si="723"/>
        <v>-202785.32109129318</v>
      </c>
      <c r="Y414" s="33">
        <f t="shared" si="723"/>
        <v>-203522.36455646346</v>
      </c>
      <c r="Z414" s="33">
        <f t="shared" si="723"/>
        <v>-165933.14783277921</v>
      </c>
      <c r="AA414" s="33">
        <f t="shared" si="723"/>
        <v>0</v>
      </c>
      <c r="AB414" s="33">
        <f t="shared" si="723"/>
        <v>0</v>
      </c>
      <c r="AC414" s="33">
        <f t="shared" si="723"/>
        <v>0</v>
      </c>
      <c r="AD414" s="33">
        <f t="shared" si="723"/>
        <v>0</v>
      </c>
      <c r="AE414" s="33">
        <f t="shared" si="723"/>
        <v>0</v>
      </c>
      <c r="AF414" s="33">
        <f t="shared" si="723"/>
        <v>0</v>
      </c>
      <c r="AG414" s="33">
        <f t="shared" si="723"/>
        <v>0</v>
      </c>
      <c r="AH414" s="33">
        <f t="shared" si="723"/>
        <v>0</v>
      </c>
      <c r="AI414" s="33">
        <f t="shared" si="723"/>
        <v>0</v>
      </c>
      <c r="AJ414" s="33">
        <f t="shared" si="723"/>
        <v>0</v>
      </c>
      <c r="AK414" s="33">
        <f t="shared" si="723"/>
        <v>0</v>
      </c>
      <c r="AL414" s="33">
        <f t="shared" si="723"/>
        <v>0</v>
      </c>
      <c r="AM414" s="33">
        <f t="shared" si="723"/>
        <v>0</v>
      </c>
      <c r="AN414" s="33">
        <f t="shared" ref="AN414:BS414" si="724">+AN390+AN391</f>
        <v>0</v>
      </c>
      <c r="AO414" s="33">
        <f t="shared" si="724"/>
        <v>0</v>
      </c>
      <c r="AP414" s="33">
        <f t="shared" si="724"/>
        <v>0</v>
      </c>
      <c r="AQ414" s="33">
        <f t="shared" si="724"/>
        <v>0</v>
      </c>
      <c r="AR414" s="33">
        <f t="shared" si="724"/>
        <v>0</v>
      </c>
      <c r="AS414" s="33">
        <f t="shared" si="724"/>
        <v>0</v>
      </c>
      <c r="AT414" s="33">
        <f t="shared" si="724"/>
        <v>0</v>
      </c>
      <c r="AU414" s="33">
        <f t="shared" si="724"/>
        <v>0</v>
      </c>
      <c r="AV414" s="33">
        <f t="shared" si="724"/>
        <v>0</v>
      </c>
      <c r="AW414" s="33">
        <f t="shared" si="724"/>
        <v>0</v>
      </c>
      <c r="AX414" s="33">
        <f t="shared" si="724"/>
        <v>0</v>
      </c>
      <c r="AY414" s="33">
        <f t="shared" si="724"/>
        <v>0</v>
      </c>
      <c r="AZ414" s="33">
        <f t="shared" si="724"/>
        <v>0</v>
      </c>
      <c r="BA414" s="33">
        <f t="shared" si="724"/>
        <v>0</v>
      </c>
      <c r="BB414" s="33">
        <f t="shared" si="724"/>
        <v>0</v>
      </c>
      <c r="BC414" s="33">
        <f t="shared" si="724"/>
        <v>0</v>
      </c>
      <c r="BD414" s="33">
        <f t="shared" si="724"/>
        <v>0</v>
      </c>
      <c r="BE414" s="33">
        <f t="shared" si="724"/>
        <v>0</v>
      </c>
      <c r="BF414" s="33">
        <f t="shared" si="724"/>
        <v>0</v>
      </c>
      <c r="BG414" s="33">
        <f t="shared" si="724"/>
        <v>0</v>
      </c>
      <c r="BH414" s="33">
        <f t="shared" si="724"/>
        <v>0</v>
      </c>
      <c r="BI414" s="33">
        <f t="shared" si="724"/>
        <v>0</v>
      </c>
      <c r="BJ414" s="33">
        <f t="shared" si="724"/>
        <v>0</v>
      </c>
      <c r="BK414" s="33">
        <f t="shared" si="724"/>
        <v>0</v>
      </c>
      <c r="BL414" s="33">
        <f t="shared" si="724"/>
        <v>0</v>
      </c>
      <c r="BM414" s="33">
        <f t="shared" si="724"/>
        <v>0</v>
      </c>
      <c r="BN414" s="33">
        <f t="shared" si="724"/>
        <v>0</v>
      </c>
      <c r="BO414" s="33">
        <f t="shared" si="724"/>
        <v>0</v>
      </c>
      <c r="BP414" s="33">
        <f t="shared" si="724"/>
        <v>0</v>
      </c>
      <c r="BQ414" s="33">
        <f t="shared" si="724"/>
        <v>0</v>
      </c>
      <c r="BR414" s="33">
        <f t="shared" si="724"/>
        <v>0</v>
      </c>
      <c r="BS414" s="33">
        <f t="shared" si="724"/>
        <v>0</v>
      </c>
      <c r="BT414" s="33">
        <f t="shared" ref="BT414:BY414" si="725">+BT390+BT391</f>
        <v>0</v>
      </c>
      <c r="BU414" s="33">
        <f t="shared" si="725"/>
        <v>0</v>
      </c>
      <c r="BV414" s="33">
        <f t="shared" si="725"/>
        <v>0</v>
      </c>
      <c r="BW414" s="33">
        <f t="shared" si="725"/>
        <v>0</v>
      </c>
      <c r="BX414" s="33">
        <f t="shared" si="725"/>
        <v>0</v>
      </c>
      <c r="BY414" s="33">
        <f t="shared" si="725"/>
        <v>0</v>
      </c>
    </row>
    <row r="415" spans="5:77" s="22" customFormat="1" ht="15" outlineLevel="1">
      <c r="E415" t="s">
        <v>476</v>
      </c>
      <c r="F415" s="23" t="s">
        <v>475</v>
      </c>
      <c r="G415"/>
      <c r="H415" s="33">
        <f t="shared" ref="H415:AM415" si="726">-H391</f>
        <v>0</v>
      </c>
      <c r="I415" s="33">
        <f t="shared" si="726"/>
        <v>0</v>
      </c>
      <c r="J415" s="33">
        <f t="shared" si="726"/>
        <v>0</v>
      </c>
      <c r="K415" s="33">
        <f t="shared" si="726"/>
        <v>165933.14783277921</v>
      </c>
      <c r="L415" s="33">
        <f t="shared" si="726"/>
        <v>165933.14783277921</v>
      </c>
      <c r="M415" s="33">
        <f t="shared" si="726"/>
        <v>165933.14783277921</v>
      </c>
      <c r="N415" s="33">
        <f t="shared" si="726"/>
        <v>165933.14783277921</v>
      </c>
      <c r="O415" s="33">
        <f t="shared" si="726"/>
        <v>165933.14783277921</v>
      </c>
      <c r="P415" s="33">
        <f t="shared" si="726"/>
        <v>165933.14783277921</v>
      </c>
      <c r="Q415" s="33">
        <f t="shared" si="726"/>
        <v>165933.14783277921</v>
      </c>
      <c r="R415" s="33">
        <f t="shared" si="726"/>
        <v>165933.14783277921</v>
      </c>
      <c r="S415" s="33">
        <f t="shared" si="726"/>
        <v>165933.14783277921</v>
      </c>
      <c r="T415" s="33">
        <f t="shared" si="726"/>
        <v>165933.14783277921</v>
      </c>
      <c r="U415" s="33">
        <f t="shared" si="726"/>
        <v>165933.14783277921</v>
      </c>
      <c r="V415" s="33">
        <f t="shared" si="726"/>
        <v>165933.14783277921</v>
      </c>
      <c r="W415" s="33">
        <f t="shared" si="726"/>
        <v>165933.14783277921</v>
      </c>
      <c r="X415" s="33">
        <f t="shared" si="726"/>
        <v>165933.14783277921</v>
      </c>
      <c r="Y415" s="33">
        <f t="shared" si="726"/>
        <v>165933.14783277921</v>
      </c>
      <c r="Z415" s="33">
        <f t="shared" si="726"/>
        <v>165933.14783277921</v>
      </c>
      <c r="AA415" s="33">
        <f t="shared" si="726"/>
        <v>0</v>
      </c>
      <c r="AB415" s="33">
        <f t="shared" si="726"/>
        <v>0</v>
      </c>
      <c r="AC415" s="33">
        <f t="shared" si="726"/>
        <v>0</v>
      </c>
      <c r="AD415" s="33">
        <f t="shared" si="726"/>
        <v>0</v>
      </c>
      <c r="AE415" s="33">
        <f t="shared" si="726"/>
        <v>0</v>
      </c>
      <c r="AF415" s="33">
        <f t="shared" si="726"/>
        <v>0</v>
      </c>
      <c r="AG415" s="33">
        <f t="shared" si="726"/>
        <v>0</v>
      </c>
      <c r="AH415" s="33">
        <f t="shared" si="726"/>
        <v>0</v>
      </c>
      <c r="AI415" s="33">
        <f t="shared" si="726"/>
        <v>0</v>
      </c>
      <c r="AJ415" s="33">
        <f t="shared" si="726"/>
        <v>0</v>
      </c>
      <c r="AK415" s="33">
        <f t="shared" si="726"/>
        <v>0</v>
      </c>
      <c r="AL415" s="33">
        <f t="shared" si="726"/>
        <v>0</v>
      </c>
      <c r="AM415" s="33">
        <f t="shared" si="726"/>
        <v>0</v>
      </c>
      <c r="AN415" s="33">
        <f t="shared" ref="AN415:BS415" si="727">-AN391</f>
        <v>0</v>
      </c>
      <c r="AO415" s="33">
        <f t="shared" si="727"/>
        <v>0</v>
      </c>
      <c r="AP415" s="33">
        <f t="shared" si="727"/>
        <v>0</v>
      </c>
      <c r="AQ415" s="33">
        <f t="shared" si="727"/>
        <v>0</v>
      </c>
      <c r="AR415" s="33">
        <f t="shared" si="727"/>
        <v>0</v>
      </c>
      <c r="AS415" s="33">
        <f t="shared" si="727"/>
        <v>0</v>
      </c>
      <c r="AT415" s="33">
        <f t="shared" si="727"/>
        <v>0</v>
      </c>
      <c r="AU415" s="33">
        <f t="shared" si="727"/>
        <v>0</v>
      </c>
      <c r="AV415" s="33">
        <f t="shared" si="727"/>
        <v>0</v>
      </c>
      <c r="AW415" s="33">
        <f t="shared" si="727"/>
        <v>0</v>
      </c>
      <c r="AX415" s="33">
        <f t="shared" si="727"/>
        <v>0</v>
      </c>
      <c r="AY415" s="33">
        <f t="shared" si="727"/>
        <v>0</v>
      </c>
      <c r="AZ415" s="33">
        <f t="shared" si="727"/>
        <v>0</v>
      </c>
      <c r="BA415" s="33">
        <f t="shared" si="727"/>
        <v>0</v>
      </c>
      <c r="BB415" s="33">
        <f t="shared" si="727"/>
        <v>0</v>
      </c>
      <c r="BC415" s="33">
        <f t="shared" si="727"/>
        <v>0</v>
      </c>
      <c r="BD415" s="33">
        <f t="shared" si="727"/>
        <v>0</v>
      </c>
      <c r="BE415" s="33">
        <f t="shared" si="727"/>
        <v>0</v>
      </c>
      <c r="BF415" s="33">
        <f t="shared" si="727"/>
        <v>0</v>
      </c>
      <c r="BG415" s="33">
        <f t="shared" si="727"/>
        <v>0</v>
      </c>
      <c r="BH415" s="33">
        <f t="shared" si="727"/>
        <v>0</v>
      </c>
      <c r="BI415" s="33">
        <f t="shared" si="727"/>
        <v>0</v>
      </c>
      <c r="BJ415" s="33">
        <f t="shared" si="727"/>
        <v>0</v>
      </c>
      <c r="BK415" s="33">
        <f t="shared" si="727"/>
        <v>0</v>
      </c>
      <c r="BL415" s="33">
        <f t="shared" si="727"/>
        <v>0</v>
      </c>
      <c r="BM415" s="33">
        <f t="shared" si="727"/>
        <v>0</v>
      </c>
      <c r="BN415" s="33">
        <f t="shared" si="727"/>
        <v>0</v>
      </c>
      <c r="BO415" s="33">
        <f t="shared" si="727"/>
        <v>0</v>
      </c>
      <c r="BP415" s="33">
        <f t="shared" si="727"/>
        <v>0</v>
      </c>
      <c r="BQ415" s="33">
        <f t="shared" si="727"/>
        <v>0</v>
      </c>
      <c r="BR415" s="33">
        <f t="shared" si="727"/>
        <v>0</v>
      </c>
      <c r="BS415" s="33">
        <f t="shared" si="727"/>
        <v>0</v>
      </c>
      <c r="BT415" s="33">
        <f t="shared" ref="BT415:BY415" si="728">-BT391</f>
        <v>0</v>
      </c>
      <c r="BU415" s="33">
        <f t="shared" si="728"/>
        <v>0</v>
      </c>
      <c r="BV415" s="33">
        <f t="shared" si="728"/>
        <v>0</v>
      </c>
      <c r="BW415" s="33">
        <f t="shared" si="728"/>
        <v>0</v>
      </c>
      <c r="BX415" s="33">
        <f t="shared" si="728"/>
        <v>0</v>
      </c>
      <c r="BY415" s="33">
        <f t="shared" si="728"/>
        <v>0</v>
      </c>
    </row>
    <row r="416" spans="5:77" s="22" customFormat="1" ht="15" outlineLevel="1">
      <c r="E416" t="s">
        <v>477</v>
      </c>
      <c r="F416" s="23" t="s">
        <v>466</v>
      </c>
      <c r="G416"/>
      <c r="H416" s="33">
        <v>0</v>
      </c>
      <c r="I416" s="33">
        <v>0</v>
      </c>
      <c r="J416" s="33">
        <v>0</v>
      </c>
      <c r="K416" s="33">
        <v>0</v>
      </c>
      <c r="L416" s="33">
        <v>0</v>
      </c>
      <c r="M416" s="33">
        <v>0</v>
      </c>
      <c r="N416" s="33">
        <v>0</v>
      </c>
      <c r="O416" s="33">
        <v>0</v>
      </c>
      <c r="P416" s="33">
        <v>0</v>
      </c>
      <c r="Q416" s="33">
        <v>0</v>
      </c>
      <c r="R416" s="33">
        <v>0</v>
      </c>
      <c r="S416" s="33">
        <v>0</v>
      </c>
      <c r="T416" s="33">
        <v>0</v>
      </c>
      <c r="U416" s="33">
        <v>0</v>
      </c>
      <c r="V416" s="33">
        <v>0</v>
      </c>
      <c r="W416" s="33">
        <v>0</v>
      </c>
      <c r="X416" s="33">
        <v>0</v>
      </c>
      <c r="Y416" s="33">
        <v>0</v>
      </c>
      <c r="Z416" s="33">
        <v>0</v>
      </c>
      <c r="AA416" s="33">
        <v>0</v>
      </c>
      <c r="AB416" s="33">
        <v>0</v>
      </c>
      <c r="AC416" s="33">
        <v>0</v>
      </c>
      <c r="AD416" s="33">
        <v>0</v>
      </c>
      <c r="AE416" s="33">
        <v>0</v>
      </c>
      <c r="AF416" s="33">
        <v>0</v>
      </c>
      <c r="AG416" s="33">
        <v>0</v>
      </c>
      <c r="AH416" s="33">
        <v>0</v>
      </c>
      <c r="AI416" s="33">
        <v>0</v>
      </c>
      <c r="AJ416" s="33">
        <v>0</v>
      </c>
      <c r="AK416" s="33">
        <v>0</v>
      </c>
      <c r="AL416" s="33">
        <v>0</v>
      </c>
      <c r="AM416" s="33">
        <v>0</v>
      </c>
      <c r="AN416" s="33">
        <v>0</v>
      </c>
      <c r="AO416" s="33">
        <v>0</v>
      </c>
      <c r="AP416" s="33">
        <v>0</v>
      </c>
      <c r="AQ416" s="33">
        <v>0</v>
      </c>
      <c r="AR416" s="33">
        <v>0</v>
      </c>
      <c r="AS416" s="33">
        <v>0</v>
      </c>
      <c r="AT416" s="33">
        <v>0</v>
      </c>
      <c r="AU416" s="33">
        <v>0</v>
      </c>
      <c r="AV416" s="33">
        <v>0</v>
      </c>
      <c r="AW416" s="33">
        <v>0</v>
      </c>
      <c r="AX416" s="33">
        <v>0</v>
      </c>
      <c r="AY416" s="33">
        <v>0</v>
      </c>
      <c r="AZ416" s="33">
        <v>0</v>
      </c>
      <c r="BA416" s="33">
        <v>0</v>
      </c>
      <c r="BB416" s="33">
        <v>0</v>
      </c>
      <c r="BC416" s="33">
        <v>0</v>
      </c>
      <c r="BD416" s="33">
        <v>0</v>
      </c>
      <c r="BE416" s="33">
        <v>0</v>
      </c>
      <c r="BF416" s="33">
        <v>0</v>
      </c>
      <c r="BG416" s="33">
        <v>0</v>
      </c>
      <c r="BH416" s="33">
        <v>0</v>
      </c>
      <c r="BI416" s="33">
        <v>0</v>
      </c>
      <c r="BJ416" s="33">
        <v>0</v>
      </c>
      <c r="BK416" s="33">
        <v>0</v>
      </c>
      <c r="BL416" s="33">
        <v>0</v>
      </c>
      <c r="BM416" s="33">
        <v>0</v>
      </c>
      <c r="BN416" s="33">
        <v>0</v>
      </c>
      <c r="BO416" s="33">
        <v>0</v>
      </c>
      <c r="BP416" s="33">
        <v>0</v>
      </c>
      <c r="BQ416" s="33">
        <v>0</v>
      </c>
      <c r="BR416" s="33">
        <v>0</v>
      </c>
      <c r="BS416" s="33">
        <v>0</v>
      </c>
      <c r="BT416" s="33">
        <v>0</v>
      </c>
      <c r="BU416" s="33">
        <v>0</v>
      </c>
      <c r="BV416" s="33">
        <v>0</v>
      </c>
      <c r="BW416" s="33">
        <v>0</v>
      </c>
      <c r="BX416" s="33">
        <v>0</v>
      </c>
      <c r="BY416" s="33">
        <v>0</v>
      </c>
    </row>
    <row r="417" spans="1:77" s="22" customFormat="1" ht="15" outlineLevel="1">
      <c r="A417"/>
      <c r="D417"/>
      <c r="E417" t="s">
        <v>471</v>
      </c>
      <c r="F417" s="23" t="s">
        <v>466</v>
      </c>
      <c r="G417"/>
      <c r="H417" s="33">
        <f t="shared" ref="H417:AM417" ca="1" si="729">+H394</f>
        <v>0</v>
      </c>
      <c r="I417" s="33">
        <f t="shared" ca="1" si="729"/>
        <v>0</v>
      </c>
      <c r="J417" s="33">
        <f t="shared" ca="1" si="729"/>
        <v>0</v>
      </c>
      <c r="K417" s="33">
        <f t="shared" ca="1" si="729"/>
        <v>0</v>
      </c>
      <c r="L417" s="33">
        <f t="shared" ca="1" si="729"/>
        <v>0</v>
      </c>
      <c r="M417" s="33">
        <f t="shared" ca="1" si="729"/>
        <v>0</v>
      </c>
      <c r="N417" s="33">
        <f t="shared" ca="1" si="729"/>
        <v>0</v>
      </c>
      <c r="O417" s="33">
        <f t="shared" ca="1" si="729"/>
        <v>0</v>
      </c>
      <c r="P417" s="33">
        <f t="shared" ca="1" si="729"/>
        <v>0</v>
      </c>
      <c r="Q417" s="33">
        <f t="shared" ca="1" si="729"/>
        <v>0</v>
      </c>
      <c r="R417" s="33">
        <f t="shared" ca="1" si="729"/>
        <v>0</v>
      </c>
      <c r="S417" s="33">
        <f t="shared" ca="1" si="729"/>
        <v>0</v>
      </c>
      <c r="T417" s="33">
        <f t="shared" ca="1" si="729"/>
        <v>0</v>
      </c>
      <c r="U417" s="33">
        <f t="shared" ca="1" si="729"/>
        <v>0</v>
      </c>
      <c r="V417" s="33">
        <f t="shared" ca="1" si="729"/>
        <v>0</v>
      </c>
      <c r="W417" s="33">
        <f t="shared" ca="1" si="729"/>
        <v>0</v>
      </c>
      <c r="X417" s="33">
        <f t="shared" ca="1" si="729"/>
        <v>0</v>
      </c>
      <c r="Y417" s="33">
        <f t="shared" ca="1" si="729"/>
        <v>0</v>
      </c>
      <c r="Z417" s="33">
        <f t="shared" ca="1" si="729"/>
        <v>0</v>
      </c>
      <c r="AA417" s="33">
        <f t="shared" ca="1" si="729"/>
        <v>0</v>
      </c>
      <c r="AB417" s="33">
        <f t="shared" ca="1" si="729"/>
        <v>0</v>
      </c>
      <c r="AC417" s="33">
        <f t="shared" ca="1" si="729"/>
        <v>0</v>
      </c>
      <c r="AD417" s="33">
        <f t="shared" ca="1" si="729"/>
        <v>0</v>
      </c>
      <c r="AE417" s="33">
        <f t="shared" ca="1" si="729"/>
        <v>0</v>
      </c>
      <c r="AF417" s="33">
        <f t="shared" ca="1" si="729"/>
        <v>0</v>
      </c>
      <c r="AG417" s="33">
        <f t="shared" ca="1" si="729"/>
        <v>0</v>
      </c>
      <c r="AH417" s="33">
        <f t="shared" ca="1" si="729"/>
        <v>0</v>
      </c>
      <c r="AI417" s="33">
        <f t="shared" ca="1" si="729"/>
        <v>0</v>
      </c>
      <c r="AJ417" s="33">
        <f t="shared" ca="1" si="729"/>
        <v>0</v>
      </c>
      <c r="AK417" s="33">
        <f t="shared" ca="1" si="729"/>
        <v>0</v>
      </c>
      <c r="AL417" s="33">
        <f t="shared" ca="1" si="729"/>
        <v>0</v>
      </c>
      <c r="AM417" s="33">
        <f t="shared" ca="1" si="729"/>
        <v>0</v>
      </c>
      <c r="AN417" s="33">
        <f t="shared" ref="AN417:BS417" ca="1" si="730">+AN394</f>
        <v>0</v>
      </c>
      <c r="AO417" s="33">
        <f t="shared" ca="1" si="730"/>
        <v>0</v>
      </c>
      <c r="AP417" s="33">
        <f t="shared" ca="1" si="730"/>
        <v>0</v>
      </c>
      <c r="AQ417" s="33">
        <f t="shared" ca="1" si="730"/>
        <v>0</v>
      </c>
      <c r="AR417" s="33">
        <f t="shared" ca="1" si="730"/>
        <v>0</v>
      </c>
      <c r="AS417" s="33">
        <f t="shared" ca="1" si="730"/>
        <v>0</v>
      </c>
      <c r="AT417" s="33">
        <f t="shared" ca="1" si="730"/>
        <v>0</v>
      </c>
      <c r="AU417" s="33">
        <f t="shared" ca="1" si="730"/>
        <v>0</v>
      </c>
      <c r="AV417" s="33">
        <f t="shared" ca="1" si="730"/>
        <v>0</v>
      </c>
      <c r="AW417" s="33">
        <f t="shared" ca="1" si="730"/>
        <v>0</v>
      </c>
      <c r="AX417" s="33">
        <f t="shared" ca="1" si="730"/>
        <v>0</v>
      </c>
      <c r="AY417" s="33">
        <f t="shared" ca="1" si="730"/>
        <v>0</v>
      </c>
      <c r="AZ417" s="33">
        <f t="shared" ca="1" si="730"/>
        <v>0</v>
      </c>
      <c r="BA417" s="33">
        <f t="shared" ca="1" si="730"/>
        <v>0</v>
      </c>
      <c r="BB417" s="33">
        <f t="shared" ca="1" si="730"/>
        <v>0</v>
      </c>
      <c r="BC417" s="33">
        <f t="shared" ca="1" si="730"/>
        <v>0</v>
      </c>
      <c r="BD417" s="33">
        <f t="shared" ca="1" si="730"/>
        <v>0</v>
      </c>
      <c r="BE417" s="33">
        <f t="shared" ca="1" si="730"/>
        <v>0</v>
      </c>
      <c r="BF417" s="33">
        <f t="shared" ca="1" si="730"/>
        <v>0</v>
      </c>
      <c r="BG417" s="33">
        <f t="shared" ca="1" si="730"/>
        <v>0</v>
      </c>
      <c r="BH417" s="33">
        <f t="shared" ca="1" si="730"/>
        <v>0</v>
      </c>
      <c r="BI417" s="33">
        <f t="shared" ca="1" si="730"/>
        <v>0</v>
      </c>
      <c r="BJ417" s="33">
        <f t="shared" ca="1" si="730"/>
        <v>0</v>
      </c>
      <c r="BK417" s="33">
        <f t="shared" ca="1" si="730"/>
        <v>0</v>
      </c>
      <c r="BL417" s="33">
        <f t="shared" ca="1" si="730"/>
        <v>0</v>
      </c>
      <c r="BM417" s="33">
        <f t="shared" ca="1" si="730"/>
        <v>0</v>
      </c>
      <c r="BN417" s="33">
        <f t="shared" ca="1" si="730"/>
        <v>0</v>
      </c>
      <c r="BO417" s="33">
        <f t="shared" ca="1" si="730"/>
        <v>0</v>
      </c>
      <c r="BP417" s="33">
        <f t="shared" ca="1" si="730"/>
        <v>0</v>
      </c>
      <c r="BQ417" s="33">
        <f t="shared" ca="1" si="730"/>
        <v>0</v>
      </c>
      <c r="BR417" s="33">
        <f t="shared" ca="1" si="730"/>
        <v>0</v>
      </c>
      <c r="BS417" s="33">
        <f t="shared" ca="1" si="730"/>
        <v>0</v>
      </c>
      <c r="BT417" s="33">
        <f t="shared" ref="BT417:BY417" ca="1" si="731">+BT394</f>
        <v>0</v>
      </c>
      <c r="BU417" s="33">
        <f t="shared" ca="1" si="731"/>
        <v>0</v>
      </c>
      <c r="BV417" s="33">
        <f t="shared" ca="1" si="731"/>
        <v>0</v>
      </c>
      <c r="BW417" s="33">
        <f t="shared" ca="1" si="731"/>
        <v>0</v>
      </c>
      <c r="BX417" s="33">
        <f t="shared" ca="1" si="731"/>
        <v>0</v>
      </c>
      <c r="BY417" s="33">
        <f t="shared" ca="1" si="731"/>
        <v>0</v>
      </c>
    </row>
    <row r="418" spans="1:77" s="22" customFormat="1" ht="15" outlineLevel="1">
      <c r="A418"/>
      <c r="D418" s="38"/>
      <c r="E418" s="22" t="s">
        <v>478</v>
      </c>
      <c r="F418" s="36" t="s">
        <v>470</v>
      </c>
      <c r="H418" s="37">
        <f ca="1">+SUM(H414:H417)</f>
        <v>0</v>
      </c>
      <c r="I418" s="37">
        <f t="shared" ref="I418:BT418" ca="1" si="732">+SUM(I414:I417)</f>
        <v>0</v>
      </c>
      <c r="J418" s="37">
        <f t="shared" ca="1" si="732"/>
        <v>0</v>
      </c>
      <c r="K418" s="37">
        <f t="shared" ca="1" si="732"/>
        <v>-28487.928548716765</v>
      </c>
      <c r="L418" s="37">
        <f t="shared" ca="1" si="732"/>
        <v>-29057.68711969108</v>
      </c>
      <c r="M418" s="37">
        <f t="shared" ca="1" si="732"/>
        <v>-29638.840862084908</v>
      </c>
      <c r="N418" s="37">
        <f t="shared" ca="1" si="732"/>
        <v>-30231.617679326591</v>
      </c>
      <c r="O418" s="37">
        <f t="shared" ca="1" si="732"/>
        <v>-30836.250032913144</v>
      </c>
      <c r="P418" s="37">
        <f t="shared" ca="1" si="732"/>
        <v>-31452.975033571391</v>
      </c>
      <c r="Q418" s="37">
        <f t="shared" ca="1" si="732"/>
        <v>-32082.034534242819</v>
      </c>
      <c r="R418" s="37">
        <f t="shared" ca="1" si="732"/>
        <v>-32723.675224927661</v>
      </c>
      <c r="S418" s="37">
        <f t="shared" ca="1" si="732"/>
        <v>-33378.148729426233</v>
      </c>
      <c r="T418" s="37">
        <f t="shared" ca="1" si="732"/>
        <v>-34045.711704014742</v>
      </c>
      <c r="U418" s="37">
        <f t="shared" ca="1" si="732"/>
        <v>-34726.625938095065</v>
      </c>
      <c r="V418" s="37">
        <f t="shared" ca="1" si="732"/>
        <v>-35421.158456856967</v>
      </c>
      <c r="W418" s="37">
        <f t="shared" ca="1" si="732"/>
        <v>-36129.581625994091</v>
      </c>
      <c r="X418" s="37">
        <f t="shared" ca="1" si="732"/>
        <v>-36852.173258513969</v>
      </c>
      <c r="Y418" s="37">
        <f t="shared" ca="1" si="732"/>
        <v>-37589.216723684251</v>
      </c>
      <c r="Z418" s="37">
        <f t="shared" ca="1" si="732"/>
        <v>0</v>
      </c>
      <c r="AA418" s="37">
        <f t="shared" ca="1" si="732"/>
        <v>0</v>
      </c>
      <c r="AB418" s="37">
        <f t="shared" ca="1" si="732"/>
        <v>0</v>
      </c>
      <c r="AC418" s="37">
        <f t="shared" ca="1" si="732"/>
        <v>0</v>
      </c>
      <c r="AD418" s="37">
        <f t="shared" ca="1" si="732"/>
        <v>0</v>
      </c>
      <c r="AE418" s="37">
        <f t="shared" ca="1" si="732"/>
        <v>0</v>
      </c>
      <c r="AF418" s="37">
        <f t="shared" ca="1" si="732"/>
        <v>0</v>
      </c>
      <c r="AG418" s="37">
        <f t="shared" ca="1" si="732"/>
        <v>0</v>
      </c>
      <c r="AH418" s="37">
        <f t="shared" ca="1" si="732"/>
        <v>0</v>
      </c>
      <c r="AI418" s="37">
        <f t="shared" ca="1" si="732"/>
        <v>0</v>
      </c>
      <c r="AJ418" s="37">
        <f t="shared" ca="1" si="732"/>
        <v>0</v>
      </c>
      <c r="AK418" s="37">
        <f t="shared" ca="1" si="732"/>
        <v>0</v>
      </c>
      <c r="AL418" s="37">
        <f t="shared" ca="1" si="732"/>
        <v>0</v>
      </c>
      <c r="AM418" s="37">
        <f t="shared" ca="1" si="732"/>
        <v>0</v>
      </c>
      <c r="AN418" s="37">
        <f t="shared" ca="1" si="732"/>
        <v>0</v>
      </c>
      <c r="AO418" s="37">
        <f t="shared" ca="1" si="732"/>
        <v>0</v>
      </c>
      <c r="AP418" s="37">
        <f t="shared" ca="1" si="732"/>
        <v>0</v>
      </c>
      <c r="AQ418" s="37">
        <f t="shared" ca="1" si="732"/>
        <v>0</v>
      </c>
      <c r="AR418" s="37">
        <f t="shared" ca="1" si="732"/>
        <v>0</v>
      </c>
      <c r="AS418" s="37">
        <f t="shared" ca="1" si="732"/>
        <v>0</v>
      </c>
      <c r="AT418" s="37">
        <f t="shared" ca="1" si="732"/>
        <v>0</v>
      </c>
      <c r="AU418" s="37">
        <f t="shared" ca="1" si="732"/>
        <v>0</v>
      </c>
      <c r="AV418" s="37">
        <f t="shared" ca="1" si="732"/>
        <v>0</v>
      </c>
      <c r="AW418" s="37">
        <f t="shared" ca="1" si="732"/>
        <v>0</v>
      </c>
      <c r="AX418" s="37">
        <f t="shared" ca="1" si="732"/>
        <v>0</v>
      </c>
      <c r="AY418" s="37">
        <f t="shared" ca="1" si="732"/>
        <v>0</v>
      </c>
      <c r="AZ418" s="37">
        <f t="shared" ca="1" si="732"/>
        <v>0</v>
      </c>
      <c r="BA418" s="37">
        <f t="shared" ca="1" si="732"/>
        <v>0</v>
      </c>
      <c r="BB418" s="37">
        <f t="shared" ca="1" si="732"/>
        <v>0</v>
      </c>
      <c r="BC418" s="37">
        <f t="shared" ca="1" si="732"/>
        <v>0</v>
      </c>
      <c r="BD418" s="37">
        <f t="shared" ca="1" si="732"/>
        <v>0</v>
      </c>
      <c r="BE418" s="37">
        <f t="shared" ca="1" si="732"/>
        <v>0</v>
      </c>
      <c r="BF418" s="37">
        <f t="shared" ca="1" si="732"/>
        <v>0</v>
      </c>
      <c r="BG418" s="37">
        <f t="shared" ca="1" si="732"/>
        <v>0</v>
      </c>
      <c r="BH418" s="37">
        <f t="shared" ca="1" si="732"/>
        <v>0</v>
      </c>
      <c r="BI418" s="37">
        <f t="shared" ca="1" si="732"/>
        <v>0</v>
      </c>
      <c r="BJ418" s="37">
        <f t="shared" ca="1" si="732"/>
        <v>0</v>
      </c>
      <c r="BK418" s="37">
        <f t="shared" ca="1" si="732"/>
        <v>0</v>
      </c>
      <c r="BL418" s="37">
        <f t="shared" ca="1" si="732"/>
        <v>0</v>
      </c>
      <c r="BM418" s="37">
        <f t="shared" ca="1" si="732"/>
        <v>0</v>
      </c>
      <c r="BN418" s="37">
        <f t="shared" ca="1" si="732"/>
        <v>0</v>
      </c>
      <c r="BO418" s="37">
        <f t="shared" ca="1" si="732"/>
        <v>0</v>
      </c>
      <c r="BP418" s="37">
        <f t="shared" ca="1" si="732"/>
        <v>0</v>
      </c>
      <c r="BQ418" s="37">
        <f t="shared" ca="1" si="732"/>
        <v>0</v>
      </c>
      <c r="BR418" s="37">
        <f t="shared" ca="1" si="732"/>
        <v>0</v>
      </c>
      <c r="BS418" s="37">
        <f t="shared" ca="1" si="732"/>
        <v>0</v>
      </c>
      <c r="BT418" s="37">
        <f t="shared" ca="1" si="732"/>
        <v>0</v>
      </c>
      <c r="BU418" s="37">
        <f t="shared" ref="BU418:BY418" ca="1" si="733">+SUM(BU414:BU417)</f>
        <v>0</v>
      </c>
      <c r="BV418" s="37">
        <f t="shared" ca="1" si="733"/>
        <v>0</v>
      </c>
      <c r="BW418" s="37">
        <f t="shared" ca="1" si="733"/>
        <v>0</v>
      </c>
      <c r="BX418" s="37">
        <f t="shared" ca="1" si="733"/>
        <v>0</v>
      </c>
      <c r="BY418" s="37">
        <f t="shared" ca="1" si="733"/>
        <v>0</v>
      </c>
    </row>
    <row r="419" spans="1:77" s="22" customFormat="1" ht="15" outlineLevel="1">
      <c r="A419"/>
      <c r="D419" s="46"/>
      <c r="E419" t="s">
        <v>446</v>
      </c>
      <c r="F419" s="23" t="s">
        <v>466</v>
      </c>
      <c r="G419"/>
      <c r="H419" s="33">
        <f t="shared" ref="H419:AM419" si="734">+H211</f>
        <v>0</v>
      </c>
      <c r="I419" s="33">
        <f t="shared" si="734"/>
        <v>-2053628.0672373667</v>
      </c>
      <c r="J419" s="33">
        <f t="shared" si="734"/>
        <v>-2094700.6285821139</v>
      </c>
      <c r="K419" s="33">
        <f t="shared" si="734"/>
        <v>0</v>
      </c>
      <c r="L419" s="33">
        <f t="shared" si="734"/>
        <v>0</v>
      </c>
      <c r="M419" s="33">
        <f t="shared" si="734"/>
        <v>0</v>
      </c>
      <c r="N419" s="33">
        <f t="shared" si="734"/>
        <v>0</v>
      </c>
      <c r="O419" s="33">
        <f t="shared" si="734"/>
        <v>0</v>
      </c>
      <c r="P419" s="33">
        <f t="shared" si="734"/>
        <v>0</v>
      </c>
      <c r="Q419" s="33">
        <f t="shared" si="734"/>
        <v>0</v>
      </c>
      <c r="R419" s="33">
        <f t="shared" si="734"/>
        <v>0</v>
      </c>
      <c r="S419" s="33">
        <f t="shared" si="734"/>
        <v>0</v>
      </c>
      <c r="T419" s="33">
        <f t="shared" si="734"/>
        <v>0</v>
      </c>
      <c r="U419" s="33">
        <f t="shared" si="734"/>
        <v>0</v>
      </c>
      <c r="V419" s="33">
        <f t="shared" si="734"/>
        <v>0</v>
      </c>
      <c r="W419" s="33">
        <f t="shared" si="734"/>
        <v>0</v>
      </c>
      <c r="X419" s="33">
        <f t="shared" si="734"/>
        <v>0</v>
      </c>
      <c r="Y419" s="33">
        <f t="shared" si="734"/>
        <v>0</v>
      </c>
      <c r="Z419" s="33">
        <f t="shared" si="734"/>
        <v>0</v>
      </c>
      <c r="AA419" s="33">
        <f t="shared" si="734"/>
        <v>0</v>
      </c>
      <c r="AB419" s="33">
        <f t="shared" si="734"/>
        <v>0</v>
      </c>
      <c r="AC419" s="33">
        <f t="shared" si="734"/>
        <v>0</v>
      </c>
      <c r="AD419" s="33">
        <f t="shared" si="734"/>
        <v>0</v>
      </c>
      <c r="AE419" s="33">
        <f t="shared" si="734"/>
        <v>0</v>
      </c>
      <c r="AF419" s="33">
        <f t="shared" si="734"/>
        <v>0</v>
      </c>
      <c r="AG419" s="33">
        <f t="shared" si="734"/>
        <v>0</v>
      </c>
      <c r="AH419" s="33">
        <f t="shared" si="734"/>
        <v>0</v>
      </c>
      <c r="AI419" s="33">
        <f t="shared" si="734"/>
        <v>0</v>
      </c>
      <c r="AJ419" s="33">
        <f t="shared" si="734"/>
        <v>0</v>
      </c>
      <c r="AK419" s="33">
        <f t="shared" si="734"/>
        <v>0</v>
      </c>
      <c r="AL419" s="33">
        <f t="shared" si="734"/>
        <v>0</v>
      </c>
      <c r="AM419" s="33">
        <f t="shared" si="734"/>
        <v>0</v>
      </c>
      <c r="AN419" s="33">
        <f t="shared" ref="AN419:BS419" si="735">+AN211</f>
        <v>0</v>
      </c>
      <c r="AO419" s="33">
        <f t="shared" si="735"/>
        <v>0</v>
      </c>
      <c r="AP419" s="33">
        <f t="shared" si="735"/>
        <v>0</v>
      </c>
      <c r="AQ419" s="33">
        <f t="shared" si="735"/>
        <v>0</v>
      </c>
      <c r="AR419" s="33">
        <f t="shared" si="735"/>
        <v>0</v>
      </c>
      <c r="AS419" s="33">
        <f t="shared" si="735"/>
        <v>0</v>
      </c>
      <c r="AT419" s="33">
        <f t="shared" si="735"/>
        <v>0</v>
      </c>
      <c r="AU419" s="33">
        <f t="shared" si="735"/>
        <v>0</v>
      </c>
      <c r="AV419" s="33">
        <f t="shared" si="735"/>
        <v>0</v>
      </c>
      <c r="AW419" s="33">
        <f t="shared" si="735"/>
        <v>0</v>
      </c>
      <c r="AX419" s="33">
        <f t="shared" si="735"/>
        <v>0</v>
      </c>
      <c r="AY419" s="33">
        <f t="shared" si="735"/>
        <v>0</v>
      </c>
      <c r="AZ419" s="33">
        <f t="shared" si="735"/>
        <v>0</v>
      </c>
      <c r="BA419" s="33">
        <f t="shared" si="735"/>
        <v>0</v>
      </c>
      <c r="BB419" s="33">
        <f t="shared" si="735"/>
        <v>0</v>
      </c>
      <c r="BC419" s="33">
        <f t="shared" si="735"/>
        <v>0</v>
      </c>
      <c r="BD419" s="33">
        <f t="shared" si="735"/>
        <v>0</v>
      </c>
      <c r="BE419" s="33">
        <f t="shared" si="735"/>
        <v>0</v>
      </c>
      <c r="BF419" s="33">
        <f t="shared" si="735"/>
        <v>0</v>
      </c>
      <c r="BG419" s="33">
        <f t="shared" si="735"/>
        <v>0</v>
      </c>
      <c r="BH419" s="33">
        <f t="shared" si="735"/>
        <v>0</v>
      </c>
      <c r="BI419" s="33">
        <f t="shared" si="735"/>
        <v>0</v>
      </c>
      <c r="BJ419" s="33">
        <f t="shared" si="735"/>
        <v>0</v>
      </c>
      <c r="BK419" s="33">
        <f t="shared" si="735"/>
        <v>0</v>
      </c>
      <c r="BL419" s="33">
        <f t="shared" si="735"/>
        <v>0</v>
      </c>
      <c r="BM419" s="33">
        <f t="shared" si="735"/>
        <v>0</v>
      </c>
      <c r="BN419" s="33">
        <f t="shared" si="735"/>
        <v>0</v>
      </c>
      <c r="BO419" s="33">
        <f t="shared" si="735"/>
        <v>0</v>
      </c>
      <c r="BP419" s="33">
        <f t="shared" si="735"/>
        <v>0</v>
      </c>
      <c r="BQ419" s="33">
        <f t="shared" si="735"/>
        <v>0</v>
      </c>
      <c r="BR419" s="33">
        <f t="shared" si="735"/>
        <v>0</v>
      </c>
      <c r="BS419" s="33">
        <f t="shared" si="735"/>
        <v>0</v>
      </c>
      <c r="BT419" s="33">
        <f t="shared" ref="BT419:BY419" si="736">+BT211</f>
        <v>0</v>
      </c>
      <c r="BU419" s="33">
        <f t="shared" si="736"/>
        <v>0</v>
      </c>
      <c r="BV419" s="33">
        <f t="shared" si="736"/>
        <v>0</v>
      </c>
      <c r="BW419" s="33">
        <f t="shared" si="736"/>
        <v>0</v>
      </c>
      <c r="BX419" s="33">
        <f t="shared" si="736"/>
        <v>0</v>
      </c>
      <c r="BY419" s="33">
        <f t="shared" si="736"/>
        <v>0</v>
      </c>
    </row>
    <row r="420" spans="1:77" s="22" customFormat="1" ht="15" outlineLevel="1">
      <c r="A420"/>
      <c r="D420" s="45"/>
      <c r="E420" s="22" t="s">
        <v>479</v>
      </c>
      <c r="F420" s="36" t="s">
        <v>470</v>
      </c>
      <c r="H420" s="37">
        <f ca="1">+SUM(H418:H419)</f>
        <v>0</v>
      </c>
      <c r="I420" s="37">
        <f t="shared" ref="I420:BT420" ca="1" si="737">+SUM(I418:I419)</f>
        <v>-2053628.0672373667</v>
      </c>
      <c r="J420" s="37">
        <f t="shared" ca="1" si="737"/>
        <v>-2094700.6285821139</v>
      </c>
      <c r="K420" s="37">
        <f t="shared" ca="1" si="737"/>
        <v>-28487.928548716765</v>
      </c>
      <c r="L420" s="37">
        <f t="shared" ca="1" si="737"/>
        <v>-29057.68711969108</v>
      </c>
      <c r="M420" s="37">
        <f t="shared" ca="1" si="737"/>
        <v>-29638.840862084908</v>
      </c>
      <c r="N420" s="37">
        <f t="shared" ca="1" si="737"/>
        <v>-30231.617679326591</v>
      </c>
      <c r="O420" s="37">
        <f t="shared" ca="1" si="737"/>
        <v>-30836.250032913144</v>
      </c>
      <c r="P420" s="37">
        <f t="shared" ca="1" si="737"/>
        <v>-31452.975033571391</v>
      </c>
      <c r="Q420" s="37">
        <f t="shared" ca="1" si="737"/>
        <v>-32082.034534242819</v>
      </c>
      <c r="R420" s="37">
        <f t="shared" ca="1" si="737"/>
        <v>-32723.675224927661</v>
      </c>
      <c r="S420" s="37">
        <f t="shared" ca="1" si="737"/>
        <v>-33378.148729426233</v>
      </c>
      <c r="T420" s="37">
        <f t="shared" ca="1" si="737"/>
        <v>-34045.711704014742</v>
      </c>
      <c r="U420" s="37">
        <f t="shared" ca="1" si="737"/>
        <v>-34726.625938095065</v>
      </c>
      <c r="V420" s="37">
        <f t="shared" ca="1" si="737"/>
        <v>-35421.158456856967</v>
      </c>
      <c r="W420" s="37">
        <f t="shared" ca="1" si="737"/>
        <v>-36129.581625994091</v>
      </c>
      <c r="X420" s="37">
        <f t="shared" ca="1" si="737"/>
        <v>-36852.173258513969</v>
      </c>
      <c r="Y420" s="37">
        <f t="shared" ca="1" si="737"/>
        <v>-37589.216723684251</v>
      </c>
      <c r="Z420" s="37">
        <f t="shared" ca="1" si="737"/>
        <v>0</v>
      </c>
      <c r="AA420" s="37">
        <f t="shared" ca="1" si="737"/>
        <v>0</v>
      </c>
      <c r="AB420" s="37">
        <f t="shared" ca="1" si="737"/>
        <v>0</v>
      </c>
      <c r="AC420" s="37">
        <f t="shared" ca="1" si="737"/>
        <v>0</v>
      </c>
      <c r="AD420" s="37">
        <f t="shared" ca="1" si="737"/>
        <v>0</v>
      </c>
      <c r="AE420" s="37">
        <f t="shared" ca="1" si="737"/>
        <v>0</v>
      </c>
      <c r="AF420" s="37">
        <f t="shared" ca="1" si="737"/>
        <v>0</v>
      </c>
      <c r="AG420" s="37">
        <f t="shared" ca="1" si="737"/>
        <v>0</v>
      </c>
      <c r="AH420" s="37">
        <f t="shared" ca="1" si="737"/>
        <v>0</v>
      </c>
      <c r="AI420" s="37">
        <f t="shared" ca="1" si="737"/>
        <v>0</v>
      </c>
      <c r="AJ420" s="37">
        <f t="shared" ca="1" si="737"/>
        <v>0</v>
      </c>
      <c r="AK420" s="37">
        <f t="shared" ca="1" si="737"/>
        <v>0</v>
      </c>
      <c r="AL420" s="37">
        <f t="shared" ca="1" si="737"/>
        <v>0</v>
      </c>
      <c r="AM420" s="37">
        <f t="shared" ca="1" si="737"/>
        <v>0</v>
      </c>
      <c r="AN420" s="37">
        <f t="shared" ca="1" si="737"/>
        <v>0</v>
      </c>
      <c r="AO420" s="37">
        <f t="shared" ca="1" si="737"/>
        <v>0</v>
      </c>
      <c r="AP420" s="37">
        <f t="shared" ca="1" si="737"/>
        <v>0</v>
      </c>
      <c r="AQ420" s="37">
        <f t="shared" ca="1" si="737"/>
        <v>0</v>
      </c>
      <c r="AR420" s="37">
        <f t="shared" ca="1" si="737"/>
        <v>0</v>
      </c>
      <c r="AS420" s="37">
        <f t="shared" ca="1" si="737"/>
        <v>0</v>
      </c>
      <c r="AT420" s="37">
        <f t="shared" ca="1" si="737"/>
        <v>0</v>
      </c>
      <c r="AU420" s="37">
        <f t="shared" ca="1" si="737"/>
        <v>0</v>
      </c>
      <c r="AV420" s="37">
        <f t="shared" ca="1" si="737"/>
        <v>0</v>
      </c>
      <c r="AW420" s="37">
        <f t="shared" ca="1" si="737"/>
        <v>0</v>
      </c>
      <c r="AX420" s="37">
        <f t="shared" ca="1" si="737"/>
        <v>0</v>
      </c>
      <c r="AY420" s="37">
        <f t="shared" ca="1" si="737"/>
        <v>0</v>
      </c>
      <c r="AZ420" s="37">
        <f t="shared" ca="1" si="737"/>
        <v>0</v>
      </c>
      <c r="BA420" s="37">
        <f t="shared" ca="1" si="737"/>
        <v>0</v>
      </c>
      <c r="BB420" s="37">
        <f t="shared" ca="1" si="737"/>
        <v>0</v>
      </c>
      <c r="BC420" s="37">
        <f t="shared" ca="1" si="737"/>
        <v>0</v>
      </c>
      <c r="BD420" s="37">
        <f t="shared" ca="1" si="737"/>
        <v>0</v>
      </c>
      <c r="BE420" s="37">
        <f t="shared" ca="1" si="737"/>
        <v>0</v>
      </c>
      <c r="BF420" s="37">
        <f t="shared" ca="1" si="737"/>
        <v>0</v>
      </c>
      <c r="BG420" s="37">
        <f t="shared" ca="1" si="737"/>
        <v>0</v>
      </c>
      <c r="BH420" s="37">
        <f t="shared" ca="1" si="737"/>
        <v>0</v>
      </c>
      <c r="BI420" s="37">
        <f t="shared" ca="1" si="737"/>
        <v>0</v>
      </c>
      <c r="BJ420" s="37">
        <f t="shared" ca="1" si="737"/>
        <v>0</v>
      </c>
      <c r="BK420" s="37">
        <f t="shared" ca="1" si="737"/>
        <v>0</v>
      </c>
      <c r="BL420" s="37">
        <f t="shared" ca="1" si="737"/>
        <v>0</v>
      </c>
      <c r="BM420" s="37">
        <f t="shared" ca="1" si="737"/>
        <v>0</v>
      </c>
      <c r="BN420" s="37">
        <f t="shared" ca="1" si="737"/>
        <v>0</v>
      </c>
      <c r="BO420" s="37">
        <f t="shared" ca="1" si="737"/>
        <v>0</v>
      </c>
      <c r="BP420" s="37">
        <f t="shared" ca="1" si="737"/>
        <v>0</v>
      </c>
      <c r="BQ420" s="37">
        <f t="shared" ca="1" si="737"/>
        <v>0</v>
      </c>
      <c r="BR420" s="37">
        <f t="shared" ca="1" si="737"/>
        <v>0</v>
      </c>
      <c r="BS420" s="37">
        <f t="shared" ca="1" si="737"/>
        <v>0</v>
      </c>
      <c r="BT420" s="37">
        <f t="shared" ca="1" si="737"/>
        <v>0</v>
      </c>
      <c r="BU420" s="37">
        <f t="shared" ref="BU420:BY420" ca="1" si="738">+SUM(BU418:BU419)</f>
        <v>0</v>
      </c>
      <c r="BV420" s="37">
        <f t="shared" ca="1" si="738"/>
        <v>0</v>
      </c>
      <c r="BW420" s="37">
        <f t="shared" ca="1" si="738"/>
        <v>0</v>
      </c>
      <c r="BX420" s="37">
        <f t="shared" ca="1" si="738"/>
        <v>0</v>
      </c>
      <c r="BY420" s="37">
        <f t="shared" ca="1" si="738"/>
        <v>0</v>
      </c>
    </row>
    <row r="421" spans="1:77" s="22" customFormat="1" ht="15" outlineLevel="1">
      <c r="A421"/>
      <c r="D421" s="46"/>
      <c r="E421" t="s">
        <v>480</v>
      </c>
      <c r="F421" s="40" t="s">
        <v>475</v>
      </c>
      <c r="G421"/>
      <c r="H421" s="33">
        <f t="shared" ref="H421:AM421" si="739">-H315+H331-H347+H363</f>
        <v>0</v>
      </c>
      <c r="I421" s="33">
        <f t="shared" si="739"/>
        <v>809129.45849152235</v>
      </c>
      <c r="J421" s="33">
        <f t="shared" ca="1" si="739"/>
        <v>2059241.2541148339</v>
      </c>
      <c r="K421" s="33">
        <f t="shared" ca="1" si="739"/>
        <v>-129292.76856853013</v>
      </c>
      <c r="L421" s="33">
        <f t="shared" ca="1" si="739"/>
        <v>-136712.88055667808</v>
      </c>
      <c r="M421" s="33">
        <f t="shared" ca="1" si="739"/>
        <v>-144558.83277182581</v>
      </c>
      <c r="N421" s="33">
        <f t="shared" ca="1" si="739"/>
        <v>-152855.06418460089</v>
      </c>
      <c r="O421" s="33">
        <f t="shared" ca="1" si="739"/>
        <v>-161627.41631815516</v>
      </c>
      <c r="P421" s="33">
        <f t="shared" ca="1" si="739"/>
        <v>-170903.21374065409</v>
      </c>
      <c r="Q421" s="33">
        <f t="shared" ca="1" si="739"/>
        <v>-180711.34917723021</v>
      </c>
      <c r="R421" s="33">
        <f t="shared" ca="1" si="739"/>
        <v>-191082.37350651145</v>
      </c>
      <c r="S421" s="33">
        <f t="shared" ca="1" si="739"/>
        <v>-202048.59092205012</v>
      </c>
      <c r="T421" s="33">
        <f t="shared" ca="1" si="739"/>
        <v>-213644.15955506661</v>
      </c>
      <c r="U421" s="33">
        <f t="shared" ca="1" si="739"/>
        <v>-225905.19787193189</v>
      </c>
      <c r="V421" s="33">
        <f t="shared" ca="1" si="739"/>
        <v>-238869.89717780205</v>
      </c>
      <c r="W421" s="33">
        <f t="shared" ca="1" si="739"/>
        <v>-252578.6405768361</v>
      </c>
      <c r="X421" s="33">
        <f t="shared" ca="1" si="739"/>
        <v>-267074.12875954073</v>
      </c>
      <c r="Y421" s="33">
        <f t="shared" ca="1" si="739"/>
        <v>-200506.19891894219</v>
      </c>
      <c r="Z421" s="33">
        <f t="shared" si="739"/>
        <v>0</v>
      </c>
      <c r="AA421" s="33">
        <f t="shared" si="739"/>
        <v>0</v>
      </c>
      <c r="AB421" s="33">
        <f t="shared" si="739"/>
        <v>0</v>
      </c>
      <c r="AC421" s="33">
        <f t="shared" si="739"/>
        <v>0</v>
      </c>
      <c r="AD421" s="33">
        <f t="shared" si="739"/>
        <v>0</v>
      </c>
      <c r="AE421" s="33">
        <f t="shared" si="739"/>
        <v>0</v>
      </c>
      <c r="AF421" s="33">
        <f t="shared" si="739"/>
        <v>0</v>
      </c>
      <c r="AG421" s="33">
        <f t="shared" si="739"/>
        <v>0</v>
      </c>
      <c r="AH421" s="33">
        <f t="shared" si="739"/>
        <v>0</v>
      </c>
      <c r="AI421" s="33">
        <f t="shared" si="739"/>
        <v>0</v>
      </c>
      <c r="AJ421" s="33">
        <f t="shared" si="739"/>
        <v>0</v>
      </c>
      <c r="AK421" s="33">
        <f t="shared" si="739"/>
        <v>0</v>
      </c>
      <c r="AL421" s="33">
        <f t="shared" si="739"/>
        <v>0</v>
      </c>
      <c r="AM421" s="33">
        <f t="shared" si="739"/>
        <v>0</v>
      </c>
      <c r="AN421" s="33">
        <f t="shared" ref="AN421:BS421" si="740">-AN315+AN331-AN347+AN363</f>
        <v>0</v>
      </c>
      <c r="AO421" s="33">
        <f t="shared" si="740"/>
        <v>0</v>
      </c>
      <c r="AP421" s="33">
        <f t="shared" si="740"/>
        <v>0</v>
      </c>
      <c r="AQ421" s="33">
        <f t="shared" si="740"/>
        <v>0</v>
      </c>
      <c r="AR421" s="33">
        <f t="shared" si="740"/>
        <v>0</v>
      </c>
      <c r="AS421" s="33">
        <f t="shared" si="740"/>
        <v>0</v>
      </c>
      <c r="AT421" s="33">
        <f t="shared" si="740"/>
        <v>0</v>
      </c>
      <c r="AU421" s="33">
        <f t="shared" si="740"/>
        <v>0</v>
      </c>
      <c r="AV421" s="33">
        <f t="shared" si="740"/>
        <v>0</v>
      </c>
      <c r="AW421" s="33">
        <f t="shared" si="740"/>
        <v>0</v>
      </c>
      <c r="AX421" s="33">
        <f t="shared" si="740"/>
        <v>0</v>
      </c>
      <c r="AY421" s="33">
        <f t="shared" si="740"/>
        <v>0</v>
      </c>
      <c r="AZ421" s="33">
        <f t="shared" si="740"/>
        <v>0</v>
      </c>
      <c r="BA421" s="33">
        <f t="shared" si="740"/>
        <v>0</v>
      </c>
      <c r="BB421" s="33">
        <f t="shared" si="740"/>
        <v>0</v>
      </c>
      <c r="BC421" s="33">
        <f t="shared" si="740"/>
        <v>0</v>
      </c>
      <c r="BD421" s="33">
        <f t="shared" si="740"/>
        <v>0</v>
      </c>
      <c r="BE421" s="33">
        <f t="shared" si="740"/>
        <v>0</v>
      </c>
      <c r="BF421" s="33">
        <f t="shared" si="740"/>
        <v>0</v>
      </c>
      <c r="BG421" s="33">
        <f t="shared" si="740"/>
        <v>0</v>
      </c>
      <c r="BH421" s="33">
        <f t="shared" si="740"/>
        <v>0</v>
      </c>
      <c r="BI421" s="33">
        <f t="shared" si="740"/>
        <v>0</v>
      </c>
      <c r="BJ421" s="33">
        <f t="shared" si="740"/>
        <v>0</v>
      </c>
      <c r="BK421" s="33">
        <f t="shared" si="740"/>
        <v>0</v>
      </c>
      <c r="BL421" s="33">
        <f t="shared" si="740"/>
        <v>0</v>
      </c>
      <c r="BM421" s="33">
        <f t="shared" si="740"/>
        <v>0</v>
      </c>
      <c r="BN421" s="33">
        <f t="shared" si="740"/>
        <v>0</v>
      </c>
      <c r="BO421" s="33">
        <f t="shared" si="740"/>
        <v>0</v>
      </c>
      <c r="BP421" s="33">
        <f t="shared" si="740"/>
        <v>0</v>
      </c>
      <c r="BQ421" s="33">
        <f t="shared" si="740"/>
        <v>0</v>
      </c>
      <c r="BR421" s="33">
        <f t="shared" si="740"/>
        <v>0</v>
      </c>
      <c r="BS421" s="33">
        <f t="shared" si="740"/>
        <v>0</v>
      </c>
      <c r="BT421" s="33">
        <f t="shared" ref="BT421:BY421" si="741">-BT315+BT331-BT347+BT363</f>
        <v>0</v>
      </c>
      <c r="BU421" s="33">
        <f t="shared" si="741"/>
        <v>0</v>
      </c>
      <c r="BV421" s="33">
        <f t="shared" si="741"/>
        <v>0</v>
      </c>
      <c r="BW421" s="33">
        <f t="shared" si="741"/>
        <v>0</v>
      </c>
      <c r="BX421" s="33">
        <f t="shared" si="741"/>
        <v>0</v>
      </c>
      <c r="BY421" s="33">
        <f t="shared" si="741"/>
        <v>0</v>
      </c>
    </row>
    <row r="422" spans="1:77" s="22" customFormat="1" ht="15" outlineLevel="1">
      <c r="A422"/>
      <c r="D422" s="46"/>
      <c r="E422" s="25" t="s">
        <v>468</v>
      </c>
      <c r="F422" s="30" t="s">
        <v>466</v>
      </c>
      <c r="G422" s="25"/>
      <c r="H422" s="34">
        <f t="shared" ref="H422:AM422" ca="1" si="742">+H392</f>
        <v>0</v>
      </c>
      <c r="I422" s="34">
        <f t="shared" ca="1" si="742"/>
        <v>0</v>
      </c>
      <c r="J422" s="34">
        <f t="shared" ca="1" si="742"/>
        <v>-46435.939622828468</v>
      </c>
      <c r="K422" s="34">
        <f t="shared" ca="1" si="742"/>
        <v>-164615.79519647881</v>
      </c>
      <c r="L422" s="34">
        <f t="shared" ca="1" si="742"/>
        <v>-157195.68320833085</v>
      </c>
      <c r="M422" s="34">
        <f t="shared" ca="1" si="742"/>
        <v>-149349.73099318313</v>
      </c>
      <c r="N422" s="34">
        <f t="shared" ca="1" si="742"/>
        <v>-141053.49958040804</v>
      </c>
      <c r="O422" s="34">
        <f t="shared" ca="1" si="742"/>
        <v>-132281.14744685378</v>
      </c>
      <c r="P422" s="34">
        <f t="shared" ca="1" si="742"/>
        <v>-123005.35002435485</v>
      </c>
      <c r="Q422" s="34">
        <f t="shared" ca="1" si="742"/>
        <v>-113197.21458777871</v>
      </c>
      <c r="R422" s="34">
        <f t="shared" ca="1" si="742"/>
        <v>-102826.19025849747</v>
      </c>
      <c r="S422" s="34">
        <f t="shared" ca="1" si="742"/>
        <v>-91859.972842958799</v>
      </c>
      <c r="T422" s="34">
        <f t="shared" ca="1" si="742"/>
        <v>-80264.404209942339</v>
      </c>
      <c r="U422" s="34">
        <f t="shared" ca="1" si="742"/>
        <v>-68003.365893077062</v>
      </c>
      <c r="V422" s="34">
        <f t="shared" ca="1" si="742"/>
        <v>-55038.666587206892</v>
      </c>
      <c r="W422" s="34">
        <f t="shared" ca="1" si="742"/>
        <v>-41329.923188172826</v>
      </c>
      <c r="X422" s="34">
        <f t="shared" ca="1" si="742"/>
        <v>-26834.435005468207</v>
      </c>
      <c r="Y422" s="34">
        <f t="shared" ca="1" si="742"/>
        <v>-11507.050755958164</v>
      </c>
      <c r="Z422" s="34">
        <f t="shared" ca="1" si="742"/>
        <v>-7.0151290856301784E-11</v>
      </c>
      <c r="AA422" s="34">
        <f t="shared" ca="1" si="742"/>
        <v>-7.0151290856301784E-11</v>
      </c>
      <c r="AB422" s="34">
        <f t="shared" ca="1" si="742"/>
        <v>-7.0151290856301784E-11</v>
      </c>
      <c r="AC422" s="34">
        <f t="shared" ca="1" si="742"/>
        <v>-7.0151290856301784E-11</v>
      </c>
      <c r="AD422" s="34">
        <f t="shared" ca="1" si="742"/>
        <v>-7.0151290856301784E-11</v>
      </c>
      <c r="AE422" s="34">
        <f t="shared" ca="1" si="742"/>
        <v>-7.0151290856301784E-11</v>
      </c>
      <c r="AF422" s="34">
        <f t="shared" ca="1" si="742"/>
        <v>-7.0151290856301784E-11</v>
      </c>
      <c r="AG422" s="34">
        <f t="shared" ca="1" si="742"/>
        <v>-7.0151290856301784E-11</v>
      </c>
      <c r="AH422" s="34">
        <f t="shared" ca="1" si="742"/>
        <v>-7.0151290856301784E-11</v>
      </c>
      <c r="AI422" s="34">
        <f t="shared" ca="1" si="742"/>
        <v>-7.0151290856301784E-11</v>
      </c>
      <c r="AJ422" s="34">
        <f t="shared" ca="1" si="742"/>
        <v>-7.0151290856301784E-11</v>
      </c>
      <c r="AK422" s="34">
        <f t="shared" ca="1" si="742"/>
        <v>-7.0151290856301784E-11</v>
      </c>
      <c r="AL422" s="34">
        <f t="shared" ca="1" si="742"/>
        <v>-7.0151290856301784E-11</v>
      </c>
      <c r="AM422" s="34">
        <f t="shared" ca="1" si="742"/>
        <v>-7.0151290856301784E-11</v>
      </c>
      <c r="AN422" s="34">
        <f t="shared" ref="AN422:BS422" ca="1" si="743">+AN392</f>
        <v>-7.0151290856301784E-11</v>
      </c>
      <c r="AO422" s="34">
        <f t="shared" ca="1" si="743"/>
        <v>-7.0151290856301784E-11</v>
      </c>
      <c r="AP422" s="34">
        <f t="shared" ca="1" si="743"/>
        <v>-7.0151290856301784E-11</v>
      </c>
      <c r="AQ422" s="34">
        <f t="shared" ca="1" si="743"/>
        <v>-7.0151290856301784E-11</v>
      </c>
      <c r="AR422" s="34">
        <f t="shared" ca="1" si="743"/>
        <v>-7.0151290856301784E-11</v>
      </c>
      <c r="AS422" s="34">
        <f t="shared" ca="1" si="743"/>
        <v>-7.0151290856301784E-11</v>
      </c>
      <c r="AT422" s="34">
        <f t="shared" ca="1" si="743"/>
        <v>-7.0151290856301784E-11</v>
      </c>
      <c r="AU422" s="34">
        <f t="shared" ca="1" si="743"/>
        <v>-7.0151290856301784E-11</v>
      </c>
      <c r="AV422" s="34">
        <f t="shared" ca="1" si="743"/>
        <v>-7.0151290856301784E-11</v>
      </c>
      <c r="AW422" s="34">
        <f t="shared" ca="1" si="743"/>
        <v>-7.0151290856301784E-11</v>
      </c>
      <c r="AX422" s="34">
        <f t="shared" ca="1" si="743"/>
        <v>-7.0151290856301784E-11</v>
      </c>
      <c r="AY422" s="34">
        <f t="shared" ca="1" si="743"/>
        <v>-7.0151290856301784E-11</v>
      </c>
      <c r="AZ422" s="34">
        <f t="shared" ca="1" si="743"/>
        <v>-7.0151290856301784E-11</v>
      </c>
      <c r="BA422" s="34">
        <f t="shared" ca="1" si="743"/>
        <v>-7.0151290856301784E-11</v>
      </c>
      <c r="BB422" s="34">
        <f t="shared" ca="1" si="743"/>
        <v>-7.0151290856301784E-11</v>
      </c>
      <c r="BC422" s="34">
        <f t="shared" ca="1" si="743"/>
        <v>-7.0151290856301784E-11</v>
      </c>
      <c r="BD422" s="34">
        <f t="shared" ca="1" si="743"/>
        <v>-7.0151290856301784E-11</v>
      </c>
      <c r="BE422" s="34">
        <f t="shared" ca="1" si="743"/>
        <v>-7.0151290856301784E-11</v>
      </c>
      <c r="BF422" s="34">
        <f t="shared" ca="1" si="743"/>
        <v>-7.0151290856301784E-11</v>
      </c>
      <c r="BG422" s="34">
        <f t="shared" ca="1" si="743"/>
        <v>-7.0151290856301784E-11</v>
      </c>
      <c r="BH422" s="34">
        <f t="shared" ca="1" si="743"/>
        <v>-7.0151290856301784E-11</v>
      </c>
      <c r="BI422" s="34">
        <f t="shared" ca="1" si="743"/>
        <v>-7.0151290856301784E-11</v>
      </c>
      <c r="BJ422" s="34">
        <f t="shared" ca="1" si="743"/>
        <v>-7.0151290856301784E-11</v>
      </c>
      <c r="BK422" s="34">
        <f t="shared" ca="1" si="743"/>
        <v>-7.0151290856301784E-11</v>
      </c>
      <c r="BL422" s="34">
        <f t="shared" ca="1" si="743"/>
        <v>-7.0151290856301784E-11</v>
      </c>
      <c r="BM422" s="34">
        <f t="shared" ca="1" si="743"/>
        <v>-7.0151290856301784E-11</v>
      </c>
      <c r="BN422" s="34">
        <f t="shared" ca="1" si="743"/>
        <v>-7.0151290856301784E-11</v>
      </c>
      <c r="BO422" s="34">
        <f t="shared" ca="1" si="743"/>
        <v>-7.0151290856301784E-11</v>
      </c>
      <c r="BP422" s="34">
        <f t="shared" ca="1" si="743"/>
        <v>-7.0151290856301784E-11</v>
      </c>
      <c r="BQ422" s="34">
        <f t="shared" ca="1" si="743"/>
        <v>-7.0151290856301784E-11</v>
      </c>
      <c r="BR422" s="34">
        <f t="shared" ca="1" si="743"/>
        <v>-7.0151290856301784E-11</v>
      </c>
      <c r="BS422" s="34">
        <f t="shared" ca="1" si="743"/>
        <v>-7.0151290856301784E-11</v>
      </c>
      <c r="BT422" s="34">
        <f t="shared" ref="BT422:BY422" ca="1" si="744">+BT392</f>
        <v>-7.0151290856301784E-11</v>
      </c>
      <c r="BU422" s="34">
        <f t="shared" ca="1" si="744"/>
        <v>-7.0151290856301784E-11</v>
      </c>
      <c r="BV422" s="34">
        <f t="shared" ca="1" si="744"/>
        <v>-7.0151290856301784E-11</v>
      </c>
      <c r="BW422" s="34">
        <f t="shared" ca="1" si="744"/>
        <v>-7.0151290856301784E-11</v>
      </c>
      <c r="BX422" s="34">
        <f t="shared" ca="1" si="744"/>
        <v>-7.0151290856301784E-11</v>
      </c>
      <c r="BY422" s="34">
        <f t="shared" ca="1" si="744"/>
        <v>-7.0151290856301784E-11</v>
      </c>
    </row>
    <row r="423" spans="1:77" s="22" customFormat="1" ht="15" outlineLevel="1">
      <c r="A423"/>
      <c r="D423" s="48"/>
      <c r="E423" s="22" t="s">
        <v>481</v>
      </c>
      <c r="F423" s="36" t="s">
        <v>470</v>
      </c>
      <c r="G423" s="45"/>
      <c r="H423" s="47">
        <f ca="1">+SUM(H420:H422)</f>
        <v>0</v>
      </c>
      <c r="I423" s="47">
        <f t="shared" ref="I423:BT423" ca="1" si="745">+SUM(I420:I422)</f>
        <v>-1244498.6087458443</v>
      </c>
      <c r="J423" s="47">
        <f t="shared" ca="1" si="745"/>
        <v>-81895.31409010847</v>
      </c>
      <c r="K423" s="47">
        <f t="shared" ca="1" si="745"/>
        <v>-322396.4923137257</v>
      </c>
      <c r="L423" s="47">
        <f t="shared" ca="1" si="745"/>
        <v>-322966.25088469998</v>
      </c>
      <c r="M423" s="47">
        <f t="shared" ca="1" si="745"/>
        <v>-323547.40462709381</v>
      </c>
      <c r="N423" s="47">
        <f t="shared" ca="1" si="745"/>
        <v>-324140.1814443355</v>
      </c>
      <c r="O423" s="47">
        <f t="shared" ca="1" si="745"/>
        <v>-324744.81379792211</v>
      </c>
      <c r="P423" s="47">
        <f t="shared" ca="1" si="745"/>
        <v>-325361.5387985803</v>
      </c>
      <c r="Q423" s="47">
        <f t="shared" ca="1" si="745"/>
        <v>-325990.59829925175</v>
      </c>
      <c r="R423" s="47">
        <f t="shared" ca="1" si="745"/>
        <v>-326632.2389899366</v>
      </c>
      <c r="S423" s="47">
        <f t="shared" ca="1" si="745"/>
        <v>-327286.71249443514</v>
      </c>
      <c r="T423" s="47">
        <f t="shared" ca="1" si="745"/>
        <v>-327954.27546902368</v>
      </c>
      <c r="U423" s="47">
        <f t="shared" ca="1" si="745"/>
        <v>-328635.18970310403</v>
      </c>
      <c r="V423" s="47">
        <f t="shared" ca="1" si="745"/>
        <v>-329329.7222218659</v>
      </c>
      <c r="W423" s="47">
        <f t="shared" ca="1" si="745"/>
        <v>-330038.145391003</v>
      </c>
      <c r="X423" s="47">
        <f t="shared" ca="1" si="745"/>
        <v>-330760.7370235229</v>
      </c>
      <c r="Y423" s="47">
        <f t="shared" ca="1" si="745"/>
        <v>-249602.4663985846</v>
      </c>
      <c r="Z423" s="47">
        <f t="shared" ca="1" si="745"/>
        <v>-7.0151290856301784E-11</v>
      </c>
      <c r="AA423" s="47">
        <f t="shared" ca="1" si="745"/>
        <v>-7.0151290856301784E-11</v>
      </c>
      <c r="AB423" s="47">
        <f t="shared" ca="1" si="745"/>
        <v>-7.0151290856301784E-11</v>
      </c>
      <c r="AC423" s="47">
        <f t="shared" ca="1" si="745"/>
        <v>-7.0151290856301784E-11</v>
      </c>
      <c r="AD423" s="47">
        <f t="shared" ca="1" si="745"/>
        <v>-7.0151290856301784E-11</v>
      </c>
      <c r="AE423" s="47">
        <f t="shared" ca="1" si="745"/>
        <v>-7.0151290856301784E-11</v>
      </c>
      <c r="AF423" s="47">
        <f t="shared" ca="1" si="745"/>
        <v>-7.0151290856301784E-11</v>
      </c>
      <c r="AG423" s="47">
        <f t="shared" ca="1" si="745"/>
        <v>-7.0151290856301784E-11</v>
      </c>
      <c r="AH423" s="47">
        <f t="shared" ca="1" si="745"/>
        <v>-7.0151290856301784E-11</v>
      </c>
      <c r="AI423" s="47">
        <f t="shared" ca="1" si="745"/>
        <v>-7.0151290856301784E-11</v>
      </c>
      <c r="AJ423" s="47">
        <f t="shared" ca="1" si="745"/>
        <v>-7.0151290856301784E-11</v>
      </c>
      <c r="AK423" s="47">
        <f t="shared" ca="1" si="745"/>
        <v>-7.0151290856301784E-11</v>
      </c>
      <c r="AL423" s="47">
        <f t="shared" ca="1" si="745"/>
        <v>-7.0151290856301784E-11</v>
      </c>
      <c r="AM423" s="47">
        <f t="shared" ca="1" si="745"/>
        <v>-7.0151290856301784E-11</v>
      </c>
      <c r="AN423" s="47">
        <f t="shared" ca="1" si="745"/>
        <v>-7.0151290856301784E-11</v>
      </c>
      <c r="AO423" s="47">
        <f t="shared" ca="1" si="745"/>
        <v>-7.0151290856301784E-11</v>
      </c>
      <c r="AP423" s="47">
        <f t="shared" ca="1" si="745"/>
        <v>-7.0151290856301784E-11</v>
      </c>
      <c r="AQ423" s="47">
        <f t="shared" ca="1" si="745"/>
        <v>-7.0151290856301784E-11</v>
      </c>
      <c r="AR423" s="47">
        <f t="shared" ca="1" si="745"/>
        <v>-7.0151290856301784E-11</v>
      </c>
      <c r="AS423" s="47">
        <f t="shared" ca="1" si="745"/>
        <v>-7.0151290856301784E-11</v>
      </c>
      <c r="AT423" s="47">
        <f t="shared" ca="1" si="745"/>
        <v>-7.0151290856301784E-11</v>
      </c>
      <c r="AU423" s="47">
        <f t="shared" ca="1" si="745"/>
        <v>-7.0151290856301784E-11</v>
      </c>
      <c r="AV423" s="47">
        <f t="shared" ca="1" si="745"/>
        <v>-7.0151290856301784E-11</v>
      </c>
      <c r="AW423" s="47">
        <f t="shared" ca="1" si="745"/>
        <v>-7.0151290856301784E-11</v>
      </c>
      <c r="AX423" s="47">
        <f t="shared" ca="1" si="745"/>
        <v>-7.0151290856301784E-11</v>
      </c>
      <c r="AY423" s="47">
        <f t="shared" ca="1" si="745"/>
        <v>-7.0151290856301784E-11</v>
      </c>
      <c r="AZ423" s="47">
        <f t="shared" ca="1" si="745"/>
        <v>-7.0151290856301784E-11</v>
      </c>
      <c r="BA423" s="47">
        <f t="shared" ca="1" si="745"/>
        <v>-7.0151290856301784E-11</v>
      </c>
      <c r="BB423" s="47">
        <f t="shared" ca="1" si="745"/>
        <v>-7.0151290856301784E-11</v>
      </c>
      <c r="BC423" s="47">
        <f t="shared" ca="1" si="745"/>
        <v>-7.0151290856301784E-11</v>
      </c>
      <c r="BD423" s="47">
        <f t="shared" ca="1" si="745"/>
        <v>-7.0151290856301784E-11</v>
      </c>
      <c r="BE423" s="47">
        <f t="shared" ca="1" si="745"/>
        <v>-7.0151290856301784E-11</v>
      </c>
      <c r="BF423" s="47">
        <f t="shared" ca="1" si="745"/>
        <v>-7.0151290856301784E-11</v>
      </c>
      <c r="BG423" s="47">
        <f t="shared" ca="1" si="745"/>
        <v>-7.0151290856301784E-11</v>
      </c>
      <c r="BH423" s="47">
        <f t="shared" ca="1" si="745"/>
        <v>-7.0151290856301784E-11</v>
      </c>
      <c r="BI423" s="47">
        <f t="shared" ca="1" si="745"/>
        <v>-7.0151290856301784E-11</v>
      </c>
      <c r="BJ423" s="47">
        <f t="shared" ca="1" si="745"/>
        <v>-7.0151290856301784E-11</v>
      </c>
      <c r="BK423" s="47">
        <f t="shared" ca="1" si="745"/>
        <v>-7.0151290856301784E-11</v>
      </c>
      <c r="BL423" s="47">
        <f t="shared" ca="1" si="745"/>
        <v>-7.0151290856301784E-11</v>
      </c>
      <c r="BM423" s="47">
        <f t="shared" ca="1" si="745"/>
        <v>-7.0151290856301784E-11</v>
      </c>
      <c r="BN423" s="47">
        <f t="shared" ca="1" si="745"/>
        <v>-7.0151290856301784E-11</v>
      </c>
      <c r="BO423" s="47">
        <f t="shared" ca="1" si="745"/>
        <v>-7.0151290856301784E-11</v>
      </c>
      <c r="BP423" s="47">
        <f t="shared" ca="1" si="745"/>
        <v>-7.0151290856301784E-11</v>
      </c>
      <c r="BQ423" s="47">
        <f t="shared" ca="1" si="745"/>
        <v>-7.0151290856301784E-11</v>
      </c>
      <c r="BR423" s="47">
        <f t="shared" ca="1" si="745"/>
        <v>-7.0151290856301784E-11</v>
      </c>
      <c r="BS423" s="47">
        <f t="shared" ca="1" si="745"/>
        <v>-7.0151290856301784E-11</v>
      </c>
      <c r="BT423" s="47">
        <f t="shared" ca="1" si="745"/>
        <v>-7.0151290856301784E-11</v>
      </c>
      <c r="BU423" s="47">
        <f t="shared" ref="BU423:BY423" ca="1" si="746">+SUM(BU420:BU422)</f>
        <v>-7.0151290856301784E-11</v>
      </c>
      <c r="BV423" s="47">
        <f t="shared" ca="1" si="746"/>
        <v>-7.0151290856301784E-11</v>
      </c>
      <c r="BW423" s="47">
        <f t="shared" ca="1" si="746"/>
        <v>-7.0151290856301784E-11</v>
      </c>
      <c r="BX423" s="47">
        <f t="shared" ca="1" si="746"/>
        <v>-7.0151290856301784E-11</v>
      </c>
      <c r="BY423" s="47">
        <f t="shared" ca="1" si="746"/>
        <v>-7.0151290856301784E-11</v>
      </c>
    </row>
    <row r="424" spans="1:77" s="22" customFormat="1" ht="15">
      <c r="A424"/>
      <c r="D424" s="48"/>
      <c r="F424" s="36"/>
      <c r="G424" s="45"/>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47"/>
      <c r="BD424" s="47"/>
      <c r="BE424" s="47"/>
      <c r="BF424" s="47"/>
      <c r="BG424" s="47"/>
      <c r="BH424" s="47"/>
      <c r="BI424" s="47"/>
      <c r="BJ424" s="47"/>
      <c r="BK424" s="47"/>
      <c r="BL424" s="47"/>
      <c r="BM424" s="47"/>
      <c r="BN424" s="47"/>
      <c r="BO424" s="47"/>
      <c r="BP424" s="47"/>
      <c r="BQ424" s="47"/>
      <c r="BR424" s="47"/>
      <c r="BS424" s="47"/>
      <c r="BT424" s="47"/>
      <c r="BU424" s="47"/>
      <c r="BV424" s="47"/>
      <c r="BW424" s="47"/>
      <c r="BX424" s="47"/>
      <c r="BY424" s="47"/>
    </row>
    <row r="426" spans="1:77" s="66" customFormat="1" ht="15">
      <c r="A426" s="66" t="str">
        <f>+Assumptions!B259</f>
        <v>3.0 Vessel</v>
      </c>
    </row>
    <row r="427" spans="1:77" s="19" customFormat="1" outlineLevel="1">
      <c r="A427"/>
      <c r="B427" s="18" t="s">
        <v>542</v>
      </c>
    </row>
    <row r="428" spans="1:77" outlineLevel="1">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row>
    <row r="429" spans="1:77" outlineLevel="1">
      <c r="E429" t="s">
        <v>487</v>
      </c>
      <c r="F429" s="23" t="s">
        <v>423</v>
      </c>
      <c r="H429" s="31">
        <f>IFERROR(+(1+Assumptions!$G$10)^(YEARFRAC(Assumptions!$G$11,H$4)),"")</f>
        <v>1.02</v>
      </c>
      <c r="I429" s="31">
        <f>IFERROR(+(1+Assumptions!$G$10)^(YEARFRAC(Assumptions!$G$11,I$4)),"")</f>
        <v>1.0404</v>
      </c>
      <c r="J429" s="31">
        <f>IFERROR(+(1+Assumptions!$G$10)^(YEARFRAC(Assumptions!$G$11,J$4)),"")</f>
        <v>1.0612079999999999</v>
      </c>
      <c r="K429" s="31">
        <f>IFERROR(+(1+Assumptions!$G$10)^(YEARFRAC(Assumptions!$G$11,K$4)),"")</f>
        <v>1.08243216</v>
      </c>
      <c r="L429" s="31">
        <f>IFERROR(+(1+Assumptions!$G$10)^(YEARFRAC(Assumptions!$G$11,L$4)),"")</f>
        <v>1.1040808032</v>
      </c>
      <c r="M429" s="31">
        <f>IFERROR(+(1+Assumptions!$G$10)^(YEARFRAC(Assumptions!$G$11,M$4)),"")</f>
        <v>1.1261624192640001</v>
      </c>
      <c r="N429" s="31">
        <f>IFERROR(+(1+Assumptions!$G$10)^(YEARFRAC(Assumptions!$G$11,N$4)),"")</f>
        <v>1.1486856676492798</v>
      </c>
      <c r="O429" s="31">
        <f>IFERROR(+(1+Assumptions!$G$10)^(YEARFRAC(Assumptions!$G$11,O$4)),"")</f>
        <v>1.1716593810022655</v>
      </c>
      <c r="P429" s="31">
        <f>IFERROR(+(1+Assumptions!$G$10)^(YEARFRAC(Assumptions!$G$11,P$4)),"")</f>
        <v>1.1950925686223108</v>
      </c>
      <c r="Q429" s="31">
        <f>IFERROR(+(1+Assumptions!$G$10)^(YEARFRAC(Assumptions!$G$11,Q$4)),"")</f>
        <v>1.2189944199947571</v>
      </c>
      <c r="R429" s="31">
        <f>IFERROR(+(1+Assumptions!$G$10)^(YEARFRAC(Assumptions!$G$11,R$4)),"")</f>
        <v>1.243374308394652</v>
      </c>
      <c r="S429" s="31">
        <f>IFERROR(+(1+Assumptions!$G$10)^(YEARFRAC(Assumptions!$G$11,S$4)),"")</f>
        <v>1.2682417945625453</v>
      </c>
      <c r="T429" s="31">
        <f>IFERROR(+(1+Assumptions!$G$10)^(YEARFRAC(Assumptions!$G$11,T$4)),"")</f>
        <v>1.2936066304537961</v>
      </c>
      <c r="U429" s="31">
        <f>IFERROR(+(1+Assumptions!$G$10)^(YEARFRAC(Assumptions!$G$11,U$4)),"")</f>
        <v>1.3194787630628722</v>
      </c>
      <c r="V429" s="31">
        <f>IFERROR(+(1+Assumptions!$G$10)^(YEARFRAC(Assumptions!$G$11,V$4)),"")</f>
        <v>1.3458683383241292</v>
      </c>
      <c r="W429" s="31">
        <f>IFERROR(+(1+Assumptions!$G$10)^(YEARFRAC(Assumptions!$G$11,W$4)),"")</f>
        <v>1.372785705090612</v>
      </c>
      <c r="X429" s="31">
        <f>IFERROR(+(1+Assumptions!$G$10)^(YEARFRAC(Assumptions!$G$11,X$4)),"")</f>
        <v>1.4002414191924244</v>
      </c>
      <c r="Y429" s="31">
        <f>IFERROR(+(1+Assumptions!$G$10)^(YEARFRAC(Assumptions!$G$11,Y$4)),"")</f>
        <v>1.4282462475762727</v>
      </c>
      <c r="Z429" s="31">
        <f>IFERROR(+(1+Assumptions!$G$10)^(YEARFRAC(Assumptions!$G$11,Z$4)),"")</f>
        <v>1.4568111725277981</v>
      </c>
      <c r="AA429" s="31" t="str">
        <f>IFERROR(+(1+Assumptions!$G$10)^(YEARFRAC(Assumptions!$G$11,AA$4)),"")</f>
        <v/>
      </c>
      <c r="AB429" s="31" t="str">
        <f>IFERROR(+(1+Assumptions!$G$10)^(YEARFRAC(Assumptions!$G$11,AB$4)),"")</f>
        <v/>
      </c>
      <c r="AC429" s="31" t="str">
        <f>IFERROR(+(1+Assumptions!$G$10)^(YEARFRAC(Assumptions!$G$11,AC$4)),"")</f>
        <v/>
      </c>
      <c r="AD429" s="31" t="str">
        <f>IFERROR(+(1+Assumptions!$G$10)^(YEARFRAC(Assumptions!$G$11,AD$4)),"")</f>
        <v/>
      </c>
      <c r="AE429" s="31" t="str">
        <f>IFERROR(+(1+Assumptions!$G$10)^(YEARFRAC(Assumptions!$G$11,AE$4)),"")</f>
        <v/>
      </c>
      <c r="AF429" s="31" t="str">
        <f>IFERROR(+(1+Assumptions!$G$10)^(YEARFRAC(Assumptions!$G$11,AF$4)),"")</f>
        <v/>
      </c>
      <c r="AG429" s="31" t="str">
        <f>IFERROR(+(1+Assumptions!$G$10)^(YEARFRAC(Assumptions!$G$11,AG$4)),"")</f>
        <v/>
      </c>
      <c r="AH429" s="31" t="str">
        <f>IFERROR(+(1+Assumptions!$G$10)^(YEARFRAC(Assumptions!$G$11,AH$4)),"")</f>
        <v/>
      </c>
      <c r="AI429" s="31" t="str">
        <f>IFERROR(+(1+Assumptions!$G$10)^(YEARFRAC(Assumptions!$G$11,AI$4)),"")</f>
        <v/>
      </c>
      <c r="AJ429" s="31" t="str">
        <f>IFERROR(+(1+Assumptions!$G$10)^(YEARFRAC(Assumptions!$G$11,AJ$4)),"")</f>
        <v/>
      </c>
      <c r="AK429" s="31" t="str">
        <f>IFERROR(+(1+Assumptions!$G$10)^(YEARFRAC(Assumptions!$G$11,AK$4)),"")</f>
        <v/>
      </c>
      <c r="AL429" s="31" t="str">
        <f>IFERROR(+(1+Assumptions!$G$10)^(YEARFRAC(Assumptions!$G$11,AL$4)),"")</f>
        <v/>
      </c>
      <c r="AM429" s="31" t="str">
        <f>IFERROR(+(1+Assumptions!$G$10)^(YEARFRAC(Assumptions!$G$11,AM$4)),"")</f>
        <v/>
      </c>
      <c r="AN429" s="31" t="str">
        <f>IFERROR(+(1+Assumptions!$G$10)^(YEARFRAC(Assumptions!$G$11,AN$4)),"")</f>
        <v/>
      </c>
      <c r="AO429" s="31" t="str">
        <f>IFERROR(+(1+Assumptions!$G$10)^(YEARFRAC(Assumptions!$G$11,AO$4)),"")</f>
        <v/>
      </c>
      <c r="AP429" s="31" t="str">
        <f>IFERROR(+(1+Assumptions!$G$10)^(YEARFRAC(Assumptions!$G$11,AP$4)),"")</f>
        <v/>
      </c>
      <c r="AQ429" s="31" t="str">
        <f>IFERROR(+(1+Assumptions!$G$10)^(YEARFRAC(Assumptions!$G$11,AQ$4)),"")</f>
        <v/>
      </c>
      <c r="AR429" s="31" t="str">
        <f>IFERROR(+(1+Assumptions!$G$10)^(YEARFRAC(Assumptions!$G$11,AR$4)),"")</f>
        <v/>
      </c>
      <c r="AS429" s="31" t="str">
        <f>IFERROR(+(1+Assumptions!$G$10)^(YEARFRAC(Assumptions!$G$11,AS$4)),"")</f>
        <v/>
      </c>
      <c r="AT429" s="31" t="str">
        <f>IFERROR(+(1+Assumptions!$G$10)^(YEARFRAC(Assumptions!$G$11,AT$4)),"")</f>
        <v/>
      </c>
      <c r="AU429" s="31" t="str">
        <f>IFERROR(+(1+Assumptions!$G$10)^(YEARFRAC(Assumptions!$G$11,AU$4)),"")</f>
        <v/>
      </c>
      <c r="AV429" s="31" t="str">
        <f>IFERROR(+(1+Assumptions!$G$10)^(YEARFRAC(Assumptions!$G$11,AV$4)),"")</f>
        <v/>
      </c>
      <c r="AW429" s="31" t="str">
        <f>IFERROR(+(1+Assumptions!$G$10)^(YEARFRAC(Assumptions!$G$11,AW$4)),"")</f>
        <v/>
      </c>
      <c r="AX429" s="31" t="str">
        <f>IFERROR(+(1+Assumptions!$G$10)^(YEARFRAC(Assumptions!$G$11,AX$4)),"")</f>
        <v/>
      </c>
      <c r="AY429" s="31" t="str">
        <f>IFERROR(+(1+Assumptions!$G$10)^(YEARFRAC(Assumptions!$G$11,AY$4)),"")</f>
        <v/>
      </c>
      <c r="AZ429" s="31" t="str">
        <f>IFERROR(+(1+Assumptions!$G$10)^(YEARFRAC(Assumptions!$G$11,AZ$4)),"")</f>
        <v/>
      </c>
      <c r="BA429" s="31" t="str">
        <f>IFERROR(+(1+Assumptions!$G$10)^(YEARFRAC(Assumptions!$G$11,BA$4)),"")</f>
        <v/>
      </c>
      <c r="BB429" s="31" t="str">
        <f>IFERROR(+(1+Assumptions!$G$10)^(YEARFRAC(Assumptions!$G$11,BB$4)),"")</f>
        <v/>
      </c>
      <c r="BC429" s="31" t="str">
        <f>IFERROR(+(1+Assumptions!$G$10)^(YEARFRAC(Assumptions!$G$11,BC$4)),"")</f>
        <v/>
      </c>
      <c r="BD429" s="31" t="str">
        <f>IFERROR(+(1+Assumptions!$G$10)^(YEARFRAC(Assumptions!$G$11,BD$4)),"")</f>
        <v/>
      </c>
      <c r="BE429" s="31" t="str">
        <f>IFERROR(+(1+Assumptions!$G$10)^(YEARFRAC(Assumptions!$G$11,BE$4)),"")</f>
        <v/>
      </c>
      <c r="BF429" s="31" t="str">
        <f>IFERROR(+(1+Assumptions!$G$10)^(YEARFRAC(Assumptions!$G$11,BF$4)),"")</f>
        <v/>
      </c>
      <c r="BG429" s="31" t="str">
        <f>IFERROR(+(1+Assumptions!$G$10)^(YEARFRAC(Assumptions!$G$11,BG$4)),"")</f>
        <v/>
      </c>
      <c r="BH429" s="31" t="str">
        <f>IFERROR(+(1+Assumptions!$G$10)^(YEARFRAC(Assumptions!$G$11,BH$4)),"")</f>
        <v/>
      </c>
      <c r="BI429" s="31" t="str">
        <f>IFERROR(+(1+Assumptions!$G$10)^(YEARFRAC(Assumptions!$G$11,BI$4)),"")</f>
        <v/>
      </c>
      <c r="BJ429" s="31" t="str">
        <f>IFERROR(+(1+Assumptions!$G$10)^(YEARFRAC(Assumptions!$G$11,BJ$4)),"")</f>
        <v/>
      </c>
      <c r="BK429" s="31" t="str">
        <f>IFERROR(+(1+Assumptions!$G$10)^(YEARFRAC(Assumptions!$G$11,BK$4)),"")</f>
        <v/>
      </c>
      <c r="BL429" s="31" t="str">
        <f>IFERROR(+(1+Assumptions!$G$10)^(YEARFRAC(Assumptions!$G$11,BL$4)),"")</f>
        <v/>
      </c>
      <c r="BM429" s="31" t="str">
        <f>IFERROR(+(1+Assumptions!$G$10)^(YEARFRAC(Assumptions!$G$11,BM$4)),"")</f>
        <v/>
      </c>
      <c r="BN429" s="31" t="str">
        <f>IFERROR(+(1+Assumptions!$G$10)^(YEARFRAC(Assumptions!$G$11,BN$4)),"")</f>
        <v/>
      </c>
      <c r="BO429" s="31" t="str">
        <f>IFERROR(+(1+Assumptions!$G$10)^(YEARFRAC(Assumptions!$G$11,BO$4)),"")</f>
        <v/>
      </c>
      <c r="BP429" s="31" t="str">
        <f>IFERROR(+(1+Assumptions!$G$10)^(YEARFRAC(Assumptions!$G$11,BP$4)),"")</f>
        <v/>
      </c>
      <c r="BQ429" s="31" t="str">
        <f>IFERROR(+(1+Assumptions!$G$10)^(YEARFRAC(Assumptions!$G$11,BQ$4)),"")</f>
        <v/>
      </c>
      <c r="BR429" s="31" t="str">
        <f>IFERROR(+(1+Assumptions!$G$10)^(YEARFRAC(Assumptions!$G$11,BR$4)),"")</f>
        <v/>
      </c>
      <c r="BS429" s="31" t="str">
        <f>IFERROR(+(1+Assumptions!$G$10)^(YEARFRAC(Assumptions!$G$11,BS$4)),"")</f>
        <v/>
      </c>
      <c r="BT429" s="31" t="str">
        <f>IFERROR(+(1+Assumptions!$G$10)^(YEARFRAC(Assumptions!$G$11,BT$4)),"")</f>
        <v/>
      </c>
      <c r="BU429" s="31" t="str">
        <f>IFERROR(+(1+Assumptions!$G$10)^(YEARFRAC(Assumptions!$G$11,BU$4)),"")</f>
        <v/>
      </c>
      <c r="BV429" s="31" t="str">
        <f>IFERROR(+(1+Assumptions!$G$10)^(YEARFRAC(Assumptions!$G$11,BV$4)),"")</f>
        <v/>
      </c>
      <c r="BW429" s="31" t="str">
        <f>IFERROR(+(1+Assumptions!$G$10)^(YEARFRAC(Assumptions!$G$11,BW$4)),"")</f>
        <v/>
      </c>
      <c r="BX429" s="31" t="str">
        <f>IFERROR(+(1+Assumptions!$G$10)^(YEARFRAC(Assumptions!$G$11,BX$4)),"")</f>
        <v/>
      </c>
      <c r="BY429" s="31" t="str">
        <f>IFERROR(+(1+Assumptions!$G$10)^(YEARFRAC(Assumptions!$G$11,BY$4)),"")</f>
        <v/>
      </c>
    </row>
    <row r="430" spans="1:77" outlineLevel="1">
      <c r="H430" s="41"/>
      <c r="I430" s="41"/>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row>
    <row r="431" spans="1:77" outlineLevel="1">
      <c r="E431" t="s">
        <v>195</v>
      </c>
      <c r="F431" s="23" t="s">
        <v>488</v>
      </c>
      <c r="H431">
        <f>+IF(AND(Assumptions!$G$294&gt;=H$3,Assumptions!$G$294&lt;H$4),1,0)</f>
        <v>1</v>
      </c>
      <c r="I431">
        <f>+IF(AND(Assumptions!$G$294&gt;=I$3,Assumptions!$G$294&lt;I$4),1,0)</f>
        <v>0</v>
      </c>
      <c r="J431">
        <f>+IF(AND(Assumptions!$G$294&gt;=J$3,Assumptions!$G$294&lt;J$4),1,0)</f>
        <v>0</v>
      </c>
      <c r="K431">
        <f>+IF(AND(Assumptions!$G$294&gt;=K$3,Assumptions!$G$294&lt;K$4),1,0)</f>
        <v>0</v>
      </c>
      <c r="L431">
        <f>+IF(AND(Assumptions!$G$294&gt;=L$3,Assumptions!$G$294&lt;L$4),1,0)</f>
        <v>0</v>
      </c>
      <c r="M431">
        <f>+IF(AND(Assumptions!$G$294&gt;=M$3,Assumptions!$G$294&lt;M$4),1,0)</f>
        <v>0</v>
      </c>
      <c r="N431">
        <f>+IF(AND(Assumptions!$G$294&gt;=N$3,Assumptions!$G$294&lt;N$4),1,0)</f>
        <v>0</v>
      </c>
      <c r="O431">
        <f>+IF(AND(Assumptions!$G$294&gt;=O$3,Assumptions!$G$294&lt;O$4),1,0)</f>
        <v>0</v>
      </c>
      <c r="P431">
        <f>+IF(AND(Assumptions!$G$294&gt;=P$3,Assumptions!$G$294&lt;P$4),1,0)</f>
        <v>0</v>
      </c>
      <c r="Q431">
        <f>+IF(AND(Assumptions!$G$294&gt;=Q$3,Assumptions!$G$294&lt;Q$4),1,0)</f>
        <v>0</v>
      </c>
      <c r="R431">
        <f>+IF(AND(Assumptions!$G$294&gt;=R$3,Assumptions!$G$294&lt;R$4),1,0)</f>
        <v>0</v>
      </c>
      <c r="S431">
        <f>+IF(AND(Assumptions!$G$294&gt;=S$3,Assumptions!$G$294&lt;S$4),1,0)</f>
        <v>0</v>
      </c>
      <c r="T431">
        <f>+IF(AND(Assumptions!$G$294&gt;=T$3,Assumptions!$G$294&lt;T$4),1,0)</f>
        <v>0</v>
      </c>
      <c r="U431">
        <f>+IF(AND(Assumptions!$G$294&gt;=U$3,Assumptions!$G$294&lt;U$4),1,0)</f>
        <v>0</v>
      </c>
      <c r="V431">
        <f>+IF(AND(Assumptions!$G$294&gt;=V$3,Assumptions!$G$294&lt;V$4),1,0)</f>
        <v>0</v>
      </c>
      <c r="W431">
        <f>+IF(AND(Assumptions!$G$294&gt;=W$3,Assumptions!$G$294&lt;W$4),1,0)</f>
        <v>0</v>
      </c>
      <c r="X431">
        <f>+IF(AND(Assumptions!$G$294&gt;=X$3,Assumptions!$G$294&lt;X$4),1,0)</f>
        <v>0</v>
      </c>
      <c r="Y431">
        <f>+IF(AND(Assumptions!$G$294&gt;=Y$3,Assumptions!$G$294&lt;Y$4),1,0)</f>
        <v>0</v>
      </c>
      <c r="Z431">
        <f>+IF(AND(Assumptions!$G$294&gt;=Z$3,Assumptions!$G$294&lt;Z$4),1,0)</f>
        <v>0</v>
      </c>
      <c r="AA431">
        <f>+IF(AND(Assumptions!$G$294&gt;=AA$3,Assumptions!$G$294&lt;AA$4),1,0)</f>
        <v>0</v>
      </c>
      <c r="AB431">
        <f>+IF(AND(Assumptions!$G$294&gt;=AB$3,Assumptions!$G$294&lt;AB$4),1,0)</f>
        <v>0</v>
      </c>
      <c r="AC431">
        <f>+IF(AND(Assumptions!$G$294&gt;=AC$3,Assumptions!$G$294&lt;AC$4),1,0)</f>
        <v>0</v>
      </c>
      <c r="AD431">
        <f>+IF(AND(Assumptions!$G$294&gt;=AD$3,Assumptions!$G$294&lt;AD$4),1,0)</f>
        <v>0</v>
      </c>
      <c r="AE431">
        <f>+IF(AND(Assumptions!$G$294&gt;=AE$3,Assumptions!$G$294&lt;AE$4),1,0)</f>
        <v>0</v>
      </c>
      <c r="AF431">
        <f>+IF(AND(Assumptions!$G$294&gt;=AF$3,Assumptions!$G$294&lt;AF$4),1,0)</f>
        <v>0</v>
      </c>
      <c r="AG431">
        <f>+IF(AND(Assumptions!$G$294&gt;=AG$3,Assumptions!$G$294&lt;AG$4),1,0)</f>
        <v>0</v>
      </c>
      <c r="AH431">
        <f>+IF(AND(Assumptions!$G$294&gt;=AH$3,Assumptions!$G$294&lt;AH$4),1,0)</f>
        <v>0</v>
      </c>
      <c r="AI431">
        <f>+IF(AND(Assumptions!$G$294&gt;=AI$3,Assumptions!$G$294&lt;AI$4),1,0)</f>
        <v>0</v>
      </c>
      <c r="AJ431">
        <f>+IF(AND(Assumptions!$G$294&gt;=AJ$3,Assumptions!$G$294&lt;AJ$4),1,0)</f>
        <v>0</v>
      </c>
      <c r="AK431">
        <f>+IF(AND(Assumptions!$G$294&gt;=AK$3,Assumptions!$G$294&lt;AK$4),1,0)</f>
        <v>0</v>
      </c>
      <c r="AL431">
        <f>+IF(AND(Assumptions!$G$294&gt;=AL$3,Assumptions!$G$294&lt;AL$4),1,0)</f>
        <v>0</v>
      </c>
      <c r="AM431">
        <f>+IF(AND(Assumptions!$G$294&gt;=AM$3,Assumptions!$G$294&lt;AM$4),1,0)</f>
        <v>0</v>
      </c>
      <c r="AN431">
        <f>+IF(AND(Assumptions!$G$294&gt;=AN$3,Assumptions!$G$294&lt;AN$4),1,0)</f>
        <v>0</v>
      </c>
      <c r="AO431">
        <f>+IF(AND(Assumptions!$G$294&gt;=AO$3,Assumptions!$G$294&lt;AO$4),1,0)</f>
        <v>0</v>
      </c>
      <c r="AP431">
        <f>+IF(AND(Assumptions!$G$294&gt;=AP$3,Assumptions!$G$294&lt;AP$4),1,0)</f>
        <v>0</v>
      </c>
      <c r="AQ431">
        <f>+IF(AND(Assumptions!$G$294&gt;=AQ$3,Assumptions!$G$294&lt;AQ$4),1,0)</f>
        <v>0</v>
      </c>
      <c r="AR431">
        <f>+IF(AND(Assumptions!$G$294&gt;=AR$3,Assumptions!$G$294&lt;AR$4),1,0)</f>
        <v>0</v>
      </c>
      <c r="AS431">
        <f>+IF(AND(Assumptions!$G$294&gt;=AS$3,Assumptions!$G$294&lt;AS$4),1,0)</f>
        <v>0</v>
      </c>
      <c r="AT431">
        <f>+IF(AND(Assumptions!$G$294&gt;=AT$3,Assumptions!$G$294&lt;AT$4),1,0)</f>
        <v>0</v>
      </c>
      <c r="AU431">
        <f>+IF(AND(Assumptions!$G$294&gt;=AU$3,Assumptions!$G$294&lt;AU$4),1,0)</f>
        <v>0</v>
      </c>
      <c r="AV431">
        <f>+IF(AND(Assumptions!$G$294&gt;=AV$3,Assumptions!$G$294&lt;AV$4),1,0)</f>
        <v>0</v>
      </c>
      <c r="AW431">
        <f>+IF(AND(Assumptions!$G$294&gt;=AW$3,Assumptions!$G$294&lt;AW$4),1,0)</f>
        <v>0</v>
      </c>
      <c r="AX431">
        <f>+IF(AND(Assumptions!$G$294&gt;=AX$3,Assumptions!$G$294&lt;AX$4),1,0)</f>
        <v>0</v>
      </c>
      <c r="AY431">
        <f>+IF(AND(Assumptions!$G$294&gt;=AY$3,Assumptions!$G$294&lt;AY$4),1,0)</f>
        <v>0</v>
      </c>
      <c r="AZ431">
        <f>+IF(AND(Assumptions!$G$294&gt;=AZ$3,Assumptions!$G$294&lt;AZ$4),1,0)</f>
        <v>0</v>
      </c>
      <c r="BA431">
        <f>+IF(AND(Assumptions!$G$294&gt;=BA$3,Assumptions!$G$294&lt;BA$4),1,0)</f>
        <v>0</v>
      </c>
      <c r="BB431">
        <f>+IF(AND(Assumptions!$G$294&gt;=BB$3,Assumptions!$G$294&lt;BB$4),1,0)</f>
        <v>0</v>
      </c>
      <c r="BC431">
        <f>+IF(AND(Assumptions!$G$294&gt;=BC$3,Assumptions!$G$294&lt;BC$4),1,0)</f>
        <v>0</v>
      </c>
      <c r="BD431">
        <f>+IF(AND(Assumptions!$G$294&gt;=BD$3,Assumptions!$G$294&lt;BD$4),1,0)</f>
        <v>0</v>
      </c>
      <c r="BE431">
        <f>+IF(AND(Assumptions!$G$294&gt;=BE$3,Assumptions!$G$294&lt;BE$4),1,0)</f>
        <v>0</v>
      </c>
      <c r="BF431">
        <f>+IF(AND(Assumptions!$G$294&gt;=BF$3,Assumptions!$G$294&lt;BF$4),1,0)</f>
        <v>0</v>
      </c>
      <c r="BG431">
        <f>+IF(AND(Assumptions!$G$294&gt;=BG$3,Assumptions!$G$294&lt;BG$4),1,0)</f>
        <v>0</v>
      </c>
      <c r="BH431">
        <f>+IF(AND(Assumptions!$G$294&gt;=BH$3,Assumptions!$G$294&lt;BH$4),1,0)</f>
        <v>0</v>
      </c>
      <c r="BI431">
        <f>+IF(AND(Assumptions!$G$294&gt;=BI$3,Assumptions!$G$294&lt;BI$4),1,0)</f>
        <v>0</v>
      </c>
      <c r="BJ431">
        <f>+IF(AND(Assumptions!$G$294&gt;=BJ$3,Assumptions!$G$294&lt;BJ$4),1,0)</f>
        <v>0</v>
      </c>
      <c r="BK431">
        <f>+IF(AND(Assumptions!$G$294&gt;=BK$3,Assumptions!$G$294&lt;BK$4),1,0)</f>
        <v>0</v>
      </c>
      <c r="BL431">
        <f>+IF(AND(Assumptions!$G$294&gt;=BL$3,Assumptions!$G$294&lt;BL$4),1,0)</f>
        <v>0</v>
      </c>
      <c r="BM431">
        <f>+IF(AND(Assumptions!$G$294&gt;=BM$3,Assumptions!$G$294&lt;BM$4),1,0)</f>
        <v>0</v>
      </c>
      <c r="BN431">
        <f>+IF(AND(Assumptions!$G$294&gt;=BN$3,Assumptions!$G$294&lt;BN$4),1,0)</f>
        <v>0</v>
      </c>
      <c r="BO431">
        <f>+IF(AND(Assumptions!$G$294&gt;=BO$3,Assumptions!$G$294&lt;BO$4),1,0)</f>
        <v>0</v>
      </c>
      <c r="BP431">
        <f>+IF(AND(Assumptions!$G$294&gt;=BP$3,Assumptions!$G$294&lt;BP$4),1,0)</f>
        <v>0</v>
      </c>
      <c r="BQ431">
        <f>+IF(AND(Assumptions!$G$294&gt;=BQ$3,Assumptions!$G$294&lt;BQ$4),1,0)</f>
        <v>0</v>
      </c>
      <c r="BR431">
        <f>+IF(AND(Assumptions!$G$294&gt;=BR$3,Assumptions!$G$294&lt;BR$4),1,0)</f>
        <v>0</v>
      </c>
      <c r="BS431">
        <f>+IF(AND(Assumptions!$G$294&gt;=BS$3,Assumptions!$G$294&lt;BS$4),1,0)</f>
        <v>0</v>
      </c>
      <c r="BT431">
        <f>+IF(AND(Assumptions!$G$294&gt;=BT$3,Assumptions!$G$294&lt;BT$4),1,0)</f>
        <v>0</v>
      </c>
      <c r="BU431">
        <f>+IF(AND(Assumptions!$G$294&gt;=BU$3,Assumptions!$G$294&lt;BU$4),1,0)</f>
        <v>0</v>
      </c>
      <c r="BV431">
        <f>+IF(AND(Assumptions!$G$294&gt;=BV$3,Assumptions!$G$294&lt;BV$4),1,0)</f>
        <v>0</v>
      </c>
      <c r="BW431">
        <f>+IF(AND(Assumptions!$G$294&gt;=BW$3,Assumptions!$G$294&lt;BW$4),1,0)</f>
        <v>0</v>
      </c>
      <c r="BX431">
        <f>+IF(AND(Assumptions!$G$294&gt;=BX$3,Assumptions!$G$294&lt;BX$4),1,0)</f>
        <v>0</v>
      </c>
      <c r="BY431">
        <f>+IF(AND(Assumptions!$G$294&gt;=BY$3,Assumptions!$G$294&lt;BY$4),1,0)</f>
        <v>0</v>
      </c>
    </row>
    <row r="432" spans="1:77" outlineLevel="1">
      <c r="E432" t="s">
        <v>197</v>
      </c>
      <c r="F432" s="23" t="s">
        <v>488</v>
      </c>
      <c r="H432" s="67">
        <f>+IF(AND(H$3&gt;=Assumptions!$G$294,H$3&lt;Assumptions!$G$296),1,0)</f>
        <v>1</v>
      </c>
      <c r="I432" s="67">
        <f>+IF(AND(I$3&gt;=Assumptions!$G$294,I$3&lt;Assumptions!$G$296),1,0)</f>
        <v>0</v>
      </c>
      <c r="J432" s="67">
        <f>+IF(AND(J$3&gt;=Assumptions!$G$294,J$3&lt;Assumptions!$G$296),1,0)</f>
        <v>0</v>
      </c>
      <c r="K432" s="67">
        <f>+IF(AND(K$3&gt;=Assumptions!$G$294,K$3&lt;Assumptions!$G$296),1,0)</f>
        <v>0</v>
      </c>
      <c r="L432" s="67">
        <f>+IF(AND(L$3&gt;=Assumptions!$G$294,L$3&lt;Assumptions!$G$296),1,0)</f>
        <v>0</v>
      </c>
      <c r="M432" s="67">
        <f>+IF(AND(M$3&gt;=Assumptions!$G$294,M$3&lt;Assumptions!$G$296),1,0)</f>
        <v>0</v>
      </c>
      <c r="N432" s="67">
        <f>+IF(AND(N$3&gt;=Assumptions!$G$294,N$3&lt;Assumptions!$G$296),1,0)</f>
        <v>0</v>
      </c>
      <c r="O432" s="67">
        <f>+IF(AND(O$3&gt;=Assumptions!$G$294,O$3&lt;Assumptions!$G$296),1,0)</f>
        <v>0</v>
      </c>
      <c r="P432" s="67">
        <f>+IF(AND(P$3&gt;=Assumptions!$G$294,P$3&lt;Assumptions!$G$296),1,0)</f>
        <v>0</v>
      </c>
      <c r="Q432" s="67">
        <f>+IF(AND(Q$3&gt;=Assumptions!$G$294,Q$3&lt;Assumptions!$G$296),1,0)</f>
        <v>0</v>
      </c>
      <c r="R432" s="67">
        <f>+IF(AND(R$3&gt;=Assumptions!$G$294,R$3&lt;Assumptions!$G$296),1,0)</f>
        <v>0</v>
      </c>
      <c r="S432" s="67">
        <f>+IF(AND(S$3&gt;=Assumptions!$G$294,S$3&lt;Assumptions!$G$296),1,0)</f>
        <v>0</v>
      </c>
      <c r="T432" s="67">
        <f>+IF(AND(T$3&gt;=Assumptions!$G$294,T$3&lt;Assumptions!$G$296),1,0)</f>
        <v>0</v>
      </c>
      <c r="U432" s="67">
        <f>+IF(AND(U$3&gt;=Assumptions!$G$294,U$3&lt;Assumptions!$G$296),1,0)</f>
        <v>0</v>
      </c>
      <c r="V432" s="67">
        <f>+IF(AND(V$3&gt;=Assumptions!$G$294,V$3&lt;Assumptions!$G$296),1,0)</f>
        <v>0</v>
      </c>
      <c r="W432" s="67">
        <f>+IF(AND(W$3&gt;=Assumptions!$G$294,W$3&lt;Assumptions!$G$296),1,0)</f>
        <v>0</v>
      </c>
      <c r="X432" s="67">
        <f>+IF(AND(X$3&gt;=Assumptions!$G$294,X$3&lt;Assumptions!$G$296),1,0)</f>
        <v>0</v>
      </c>
      <c r="Y432" s="67">
        <f>+IF(AND(Y$3&gt;=Assumptions!$G$294,Y$3&lt;Assumptions!$G$296),1,0)</f>
        <v>0</v>
      </c>
      <c r="Z432" s="67">
        <f>+IF(AND(Z$3&gt;=Assumptions!$G$294,Z$3&lt;Assumptions!$G$296),1,0)</f>
        <v>0</v>
      </c>
      <c r="AA432" s="67">
        <f>+IF(AND(AA$3&gt;=Assumptions!$G$294,AA$3&lt;Assumptions!$G$296),1,0)</f>
        <v>0</v>
      </c>
      <c r="AB432" s="67">
        <f>+IF(AND(AB$3&gt;=Assumptions!$G$294,AB$3&lt;Assumptions!$G$296),1,0)</f>
        <v>0</v>
      </c>
      <c r="AC432" s="67">
        <f>+IF(AND(AC$3&gt;=Assumptions!$G$294,AC$3&lt;Assumptions!$G$296),1,0)</f>
        <v>0</v>
      </c>
      <c r="AD432" s="67">
        <f>+IF(AND(AD$3&gt;=Assumptions!$G$294,AD$3&lt;Assumptions!$G$296),1,0)</f>
        <v>0</v>
      </c>
      <c r="AE432" s="67">
        <f>+IF(AND(AE$3&gt;=Assumptions!$G$294,AE$3&lt;Assumptions!$G$296),1,0)</f>
        <v>0</v>
      </c>
      <c r="AF432" s="67">
        <f>+IF(AND(AF$3&gt;=Assumptions!$G$294,AF$3&lt;Assumptions!$G$296),1,0)</f>
        <v>0</v>
      </c>
      <c r="AG432" s="67">
        <f>+IF(AND(AG$3&gt;=Assumptions!$G$294,AG$3&lt;Assumptions!$G$296),1,0)</f>
        <v>0</v>
      </c>
      <c r="AH432" s="67">
        <f>+IF(AND(AH$3&gt;=Assumptions!$G$294,AH$3&lt;Assumptions!$G$296),1,0)</f>
        <v>0</v>
      </c>
      <c r="AI432" s="67">
        <f>+IF(AND(AI$3&gt;=Assumptions!$G$294,AI$3&lt;Assumptions!$G$296),1,0)</f>
        <v>0</v>
      </c>
      <c r="AJ432" s="67">
        <f>+IF(AND(AJ$3&gt;=Assumptions!$G$294,AJ$3&lt;Assumptions!$G$296),1,0)</f>
        <v>0</v>
      </c>
      <c r="AK432" s="67">
        <f>+IF(AND(AK$3&gt;=Assumptions!$G$294,AK$3&lt;Assumptions!$G$296),1,0)</f>
        <v>0</v>
      </c>
      <c r="AL432" s="67">
        <f>+IF(AND(AL$3&gt;=Assumptions!$G$294,AL$3&lt;Assumptions!$G$296),1,0)</f>
        <v>0</v>
      </c>
      <c r="AM432" s="67">
        <f>+IF(AND(AM$3&gt;=Assumptions!$G$294,AM$3&lt;Assumptions!$G$296),1,0)</f>
        <v>0</v>
      </c>
      <c r="AN432" s="67">
        <f>+IF(AND(AN$3&gt;=Assumptions!$G$294,AN$3&lt;Assumptions!$G$296),1,0)</f>
        <v>0</v>
      </c>
      <c r="AO432" s="67">
        <f>+IF(AND(AO$3&gt;=Assumptions!$G$294,AO$3&lt;Assumptions!$G$296),1,0)</f>
        <v>0</v>
      </c>
      <c r="AP432" s="67">
        <f>+IF(AND(AP$3&gt;=Assumptions!$G$294,AP$3&lt;Assumptions!$G$296),1,0)</f>
        <v>0</v>
      </c>
      <c r="AQ432" s="67">
        <f>+IF(AND(AQ$3&gt;=Assumptions!$G$294,AQ$3&lt;Assumptions!$G$296),1,0)</f>
        <v>0</v>
      </c>
      <c r="AR432" s="67">
        <f>+IF(AND(AR$3&gt;=Assumptions!$G$294,AR$3&lt;Assumptions!$G$296),1,0)</f>
        <v>0</v>
      </c>
      <c r="AS432" s="67">
        <f>+IF(AND(AS$3&gt;=Assumptions!$G$294,AS$3&lt;Assumptions!$G$296),1,0)</f>
        <v>0</v>
      </c>
      <c r="AT432" s="67">
        <f>+IF(AND(AT$3&gt;=Assumptions!$G$294,AT$3&lt;Assumptions!$G$296),1,0)</f>
        <v>0</v>
      </c>
      <c r="AU432" s="67">
        <f>+IF(AND(AU$3&gt;=Assumptions!$G$294,AU$3&lt;Assumptions!$G$296),1,0)</f>
        <v>0</v>
      </c>
      <c r="AV432" s="67">
        <f>+IF(AND(AV$3&gt;=Assumptions!$G$294,AV$3&lt;Assumptions!$G$296),1,0)</f>
        <v>0</v>
      </c>
      <c r="AW432" s="67">
        <f>+IF(AND(AW$3&gt;=Assumptions!$G$294,AW$3&lt;Assumptions!$G$296),1,0)</f>
        <v>0</v>
      </c>
      <c r="AX432" s="67">
        <f>+IF(AND(AX$3&gt;=Assumptions!$G$294,AX$3&lt;Assumptions!$G$296),1,0)</f>
        <v>0</v>
      </c>
      <c r="AY432" s="67">
        <f>+IF(AND(AY$3&gt;=Assumptions!$G$294,AY$3&lt;Assumptions!$G$296),1,0)</f>
        <v>0</v>
      </c>
      <c r="AZ432" s="67">
        <f>+IF(AND(AZ$3&gt;=Assumptions!$G$294,AZ$3&lt;Assumptions!$G$296),1,0)</f>
        <v>0</v>
      </c>
      <c r="BA432" s="67">
        <f>+IF(AND(BA$3&gt;=Assumptions!$G$294,BA$3&lt;Assumptions!$G$296),1,0)</f>
        <v>0</v>
      </c>
      <c r="BB432" s="67">
        <f>+IF(AND(BB$3&gt;=Assumptions!$G$294,BB$3&lt;Assumptions!$G$296),1,0)</f>
        <v>0</v>
      </c>
      <c r="BC432" s="67">
        <f>+IF(AND(BC$3&gt;=Assumptions!$G$294,BC$3&lt;Assumptions!$G$296),1,0)</f>
        <v>0</v>
      </c>
      <c r="BD432" s="67">
        <f>+IF(AND(BD$3&gt;=Assumptions!$G$294,BD$3&lt;Assumptions!$G$296),1,0)</f>
        <v>0</v>
      </c>
      <c r="BE432" s="67">
        <f>+IF(AND(BE$3&gt;=Assumptions!$G$294,BE$3&lt;Assumptions!$G$296),1,0)</f>
        <v>0</v>
      </c>
      <c r="BF432" s="67">
        <f>+IF(AND(BF$3&gt;=Assumptions!$G$294,BF$3&lt;Assumptions!$G$296),1,0)</f>
        <v>0</v>
      </c>
      <c r="BG432" s="67">
        <f>+IF(AND(BG$3&gt;=Assumptions!$G$294,BG$3&lt;Assumptions!$G$296),1,0)</f>
        <v>0</v>
      </c>
      <c r="BH432" s="67">
        <f>+IF(AND(BH$3&gt;=Assumptions!$G$294,BH$3&lt;Assumptions!$G$296),1,0)</f>
        <v>0</v>
      </c>
      <c r="BI432" s="67">
        <f>+IF(AND(BI$3&gt;=Assumptions!$G$294,BI$3&lt;Assumptions!$G$296),1,0)</f>
        <v>0</v>
      </c>
      <c r="BJ432" s="67">
        <f>+IF(AND(BJ$3&gt;=Assumptions!$G$294,BJ$3&lt;Assumptions!$G$296),1,0)</f>
        <v>0</v>
      </c>
      <c r="BK432" s="67">
        <f>+IF(AND(BK$3&gt;=Assumptions!$G$294,BK$3&lt;Assumptions!$G$296),1,0)</f>
        <v>0</v>
      </c>
      <c r="BL432" s="67">
        <f>+IF(AND(BL$3&gt;=Assumptions!$G$294,BL$3&lt;Assumptions!$G$296),1,0)</f>
        <v>0</v>
      </c>
      <c r="BM432" s="67">
        <f>+IF(AND(BM$3&gt;=Assumptions!$G$294,BM$3&lt;Assumptions!$G$296),1,0)</f>
        <v>0</v>
      </c>
      <c r="BN432" s="67">
        <f>+IF(AND(BN$3&gt;=Assumptions!$G$294,BN$3&lt;Assumptions!$G$296),1,0)</f>
        <v>0</v>
      </c>
      <c r="BO432" s="67">
        <f>+IF(AND(BO$3&gt;=Assumptions!$G$294,BO$3&lt;Assumptions!$G$296),1,0)</f>
        <v>0</v>
      </c>
      <c r="BP432" s="67">
        <f>+IF(AND(BP$3&gt;=Assumptions!$G$294,BP$3&lt;Assumptions!$G$296),1,0)</f>
        <v>0</v>
      </c>
      <c r="BQ432" s="67">
        <f>+IF(AND(BQ$3&gt;=Assumptions!$G$294,BQ$3&lt;Assumptions!$G$296),1,0)</f>
        <v>0</v>
      </c>
      <c r="BR432" s="67">
        <f>+IF(AND(BR$3&gt;=Assumptions!$G$294,BR$3&lt;Assumptions!$G$296),1,0)</f>
        <v>0</v>
      </c>
      <c r="BS432" s="67">
        <f>+IF(AND(BS$3&gt;=Assumptions!$G$294,BS$3&lt;Assumptions!$G$296),1,0)</f>
        <v>0</v>
      </c>
      <c r="BT432" s="67">
        <f>+IF(AND(BT$3&gt;=Assumptions!$G$294,BT$3&lt;Assumptions!$G$296),1,0)</f>
        <v>0</v>
      </c>
      <c r="BU432" s="67">
        <f>+IF(AND(BU$3&gt;=Assumptions!$G$294,BU$3&lt;Assumptions!$G$296),1,0)</f>
        <v>0</v>
      </c>
      <c r="BV432" s="67">
        <f>+IF(AND(BV$3&gt;=Assumptions!$G$294,BV$3&lt;Assumptions!$G$296),1,0)</f>
        <v>0</v>
      </c>
      <c r="BW432" s="67">
        <f>+IF(AND(BW$3&gt;=Assumptions!$G$294,BW$3&lt;Assumptions!$G$296),1,0)</f>
        <v>0</v>
      </c>
      <c r="BX432" s="67">
        <f>+IF(AND(BX$3&gt;=Assumptions!$G$294,BX$3&lt;Assumptions!$G$296),1,0)</f>
        <v>0</v>
      </c>
      <c r="BY432" s="67">
        <f>+IF(AND(BY$3&gt;=Assumptions!$G$294,BY$3&lt;Assumptions!$G$296),1,0)</f>
        <v>0</v>
      </c>
    </row>
    <row r="433" spans="2:77" outlineLevel="1">
      <c r="E433" t="s">
        <v>200</v>
      </c>
      <c r="F433" s="23" t="s">
        <v>488</v>
      </c>
      <c r="H433" s="67">
        <f>+IF(AND(H$3&gt;=Assumptions!$G$296,H$3&lt;Assumptions!$G$298),1,0)</f>
        <v>0</v>
      </c>
      <c r="I433" s="67">
        <f>+IF(AND(I$3&gt;=Assumptions!$G$296,I$3&lt;Assumptions!$G$298),1,0)</f>
        <v>1</v>
      </c>
      <c r="J433" s="67">
        <f>+IF(AND(J$3&gt;=Assumptions!$G$296,J$3&lt;Assumptions!$G$298),1,0)</f>
        <v>1</v>
      </c>
      <c r="K433" s="67">
        <f>+IF(AND(K$3&gt;=Assumptions!$G$296,K$3&lt;Assumptions!$G$298),1,0)</f>
        <v>0</v>
      </c>
      <c r="L433" s="67">
        <f>+IF(AND(L$3&gt;=Assumptions!$G$296,L$3&lt;Assumptions!$G$298),1,0)</f>
        <v>0</v>
      </c>
      <c r="M433" s="67">
        <f>+IF(AND(M$3&gt;=Assumptions!$G$296,M$3&lt;Assumptions!$G$298),1,0)</f>
        <v>0</v>
      </c>
      <c r="N433" s="67">
        <f>+IF(AND(N$3&gt;=Assumptions!$G$296,N$3&lt;Assumptions!$G$298),1,0)</f>
        <v>0</v>
      </c>
      <c r="O433" s="67">
        <f>+IF(AND(O$3&gt;=Assumptions!$G$296,O$3&lt;Assumptions!$G$298),1,0)</f>
        <v>0</v>
      </c>
      <c r="P433" s="67">
        <f>+IF(AND(P$3&gt;=Assumptions!$G$296,P$3&lt;Assumptions!$G$298),1,0)</f>
        <v>0</v>
      </c>
      <c r="Q433" s="67">
        <f>+IF(AND(Q$3&gt;=Assumptions!$G$296,Q$3&lt;Assumptions!$G$298),1,0)</f>
        <v>0</v>
      </c>
      <c r="R433" s="67">
        <f>+IF(AND(R$3&gt;=Assumptions!$G$296,R$3&lt;Assumptions!$G$298),1,0)</f>
        <v>0</v>
      </c>
      <c r="S433" s="67">
        <f>+IF(AND(S$3&gt;=Assumptions!$G$296,S$3&lt;Assumptions!$G$298),1,0)</f>
        <v>0</v>
      </c>
      <c r="T433" s="67">
        <f>+IF(AND(T$3&gt;=Assumptions!$G$296,T$3&lt;Assumptions!$G$298),1,0)</f>
        <v>0</v>
      </c>
      <c r="U433" s="67">
        <f>+IF(AND(U$3&gt;=Assumptions!$G$296,U$3&lt;Assumptions!$G$298),1,0)</f>
        <v>0</v>
      </c>
      <c r="V433" s="67">
        <f>+IF(AND(V$3&gt;=Assumptions!$G$296,V$3&lt;Assumptions!$G$298),1,0)</f>
        <v>0</v>
      </c>
      <c r="W433" s="67">
        <f>+IF(AND(W$3&gt;=Assumptions!$G$296,W$3&lt;Assumptions!$G$298),1,0)</f>
        <v>0</v>
      </c>
      <c r="X433" s="67">
        <f>+IF(AND(X$3&gt;=Assumptions!$G$296,X$3&lt;Assumptions!$G$298),1,0)</f>
        <v>0</v>
      </c>
      <c r="Y433" s="67">
        <f>+IF(AND(Y$3&gt;=Assumptions!$G$296,Y$3&lt;Assumptions!$G$298),1,0)</f>
        <v>0</v>
      </c>
      <c r="Z433" s="67">
        <f>+IF(AND(Z$3&gt;=Assumptions!$G$296,Z$3&lt;Assumptions!$G$298),1,0)</f>
        <v>0</v>
      </c>
      <c r="AA433" s="67">
        <f>+IF(AND(AA$3&gt;=Assumptions!$G$296,AA$3&lt;Assumptions!$G$298),1,0)</f>
        <v>0</v>
      </c>
      <c r="AB433" s="67">
        <f>+IF(AND(AB$3&gt;=Assumptions!$G$296,AB$3&lt;Assumptions!$G$298),1,0)</f>
        <v>0</v>
      </c>
      <c r="AC433" s="67">
        <f>+IF(AND(AC$3&gt;=Assumptions!$G$296,AC$3&lt;Assumptions!$G$298),1,0)</f>
        <v>0</v>
      </c>
      <c r="AD433" s="67">
        <f>+IF(AND(AD$3&gt;=Assumptions!$G$296,AD$3&lt;Assumptions!$G$298),1,0)</f>
        <v>0</v>
      </c>
      <c r="AE433" s="67">
        <f>+IF(AND(AE$3&gt;=Assumptions!$G$296,AE$3&lt;Assumptions!$G$298),1,0)</f>
        <v>0</v>
      </c>
      <c r="AF433" s="67">
        <f>+IF(AND(AF$3&gt;=Assumptions!$G$296,AF$3&lt;Assumptions!$G$298),1,0)</f>
        <v>0</v>
      </c>
      <c r="AG433" s="67">
        <f>+IF(AND(AG$3&gt;=Assumptions!$G$296,AG$3&lt;Assumptions!$G$298),1,0)</f>
        <v>0</v>
      </c>
      <c r="AH433" s="67">
        <f>+IF(AND(AH$3&gt;=Assumptions!$G$296,AH$3&lt;Assumptions!$G$298),1,0)</f>
        <v>0</v>
      </c>
      <c r="AI433" s="67">
        <f>+IF(AND(AI$3&gt;=Assumptions!$G$296,AI$3&lt;Assumptions!$G$298),1,0)</f>
        <v>0</v>
      </c>
      <c r="AJ433" s="67">
        <f>+IF(AND(AJ$3&gt;=Assumptions!$G$296,AJ$3&lt;Assumptions!$G$298),1,0)</f>
        <v>0</v>
      </c>
      <c r="AK433" s="67">
        <f>+IF(AND(AK$3&gt;=Assumptions!$G$296,AK$3&lt;Assumptions!$G$298),1,0)</f>
        <v>0</v>
      </c>
      <c r="AL433" s="67">
        <f>+IF(AND(AL$3&gt;=Assumptions!$G$296,AL$3&lt;Assumptions!$G$298),1,0)</f>
        <v>0</v>
      </c>
      <c r="AM433" s="67">
        <f>+IF(AND(AM$3&gt;=Assumptions!$G$296,AM$3&lt;Assumptions!$G$298),1,0)</f>
        <v>0</v>
      </c>
      <c r="AN433" s="67">
        <f>+IF(AND(AN$3&gt;=Assumptions!$G$296,AN$3&lt;Assumptions!$G$298),1,0)</f>
        <v>0</v>
      </c>
      <c r="AO433" s="67">
        <f>+IF(AND(AO$3&gt;=Assumptions!$G$296,AO$3&lt;Assumptions!$G$298),1,0)</f>
        <v>0</v>
      </c>
      <c r="AP433" s="67">
        <f>+IF(AND(AP$3&gt;=Assumptions!$G$296,AP$3&lt;Assumptions!$G$298),1,0)</f>
        <v>0</v>
      </c>
      <c r="AQ433" s="67">
        <f>+IF(AND(AQ$3&gt;=Assumptions!$G$296,AQ$3&lt;Assumptions!$G$298),1,0)</f>
        <v>0</v>
      </c>
      <c r="AR433" s="67">
        <f>+IF(AND(AR$3&gt;=Assumptions!$G$296,AR$3&lt;Assumptions!$G$298),1,0)</f>
        <v>0</v>
      </c>
      <c r="AS433" s="67">
        <f>+IF(AND(AS$3&gt;=Assumptions!$G$296,AS$3&lt;Assumptions!$G$298),1,0)</f>
        <v>0</v>
      </c>
      <c r="AT433" s="67">
        <f>+IF(AND(AT$3&gt;=Assumptions!$G$296,AT$3&lt;Assumptions!$G$298),1,0)</f>
        <v>0</v>
      </c>
      <c r="AU433" s="67">
        <f>+IF(AND(AU$3&gt;=Assumptions!$G$296,AU$3&lt;Assumptions!$G$298),1,0)</f>
        <v>0</v>
      </c>
      <c r="AV433" s="67">
        <f>+IF(AND(AV$3&gt;=Assumptions!$G$296,AV$3&lt;Assumptions!$G$298),1,0)</f>
        <v>0</v>
      </c>
      <c r="AW433" s="67">
        <f>+IF(AND(AW$3&gt;=Assumptions!$G$296,AW$3&lt;Assumptions!$G$298),1,0)</f>
        <v>0</v>
      </c>
      <c r="AX433" s="67">
        <f>+IF(AND(AX$3&gt;=Assumptions!$G$296,AX$3&lt;Assumptions!$G$298),1,0)</f>
        <v>0</v>
      </c>
      <c r="AY433" s="67">
        <f>+IF(AND(AY$3&gt;=Assumptions!$G$296,AY$3&lt;Assumptions!$G$298),1,0)</f>
        <v>0</v>
      </c>
      <c r="AZ433" s="67">
        <f>+IF(AND(AZ$3&gt;=Assumptions!$G$296,AZ$3&lt;Assumptions!$G$298),1,0)</f>
        <v>0</v>
      </c>
      <c r="BA433" s="67">
        <f>+IF(AND(BA$3&gt;=Assumptions!$G$296,BA$3&lt;Assumptions!$G$298),1,0)</f>
        <v>0</v>
      </c>
      <c r="BB433" s="67">
        <f>+IF(AND(BB$3&gt;=Assumptions!$G$296,BB$3&lt;Assumptions!$G$298),1,0)</f>
        <v>0</v>
      </c>
      <c r="BC433" s="67">
        <f>+IF(AND(BC$3&gt;=Assumptions!$G$296,BC$3&lt;Assumptions!$G$298),1,0)</f>
        <v>0</v>
      </c>
      <c r="BD433" s="67">
        <f>+IF(AND(BD$3&gt;=Assumptions!$G$296,BD$3&lt;Assumptions!$G$298),1,0)</f>
        <v>0</v>
      </c>
      <c r="BE433" s="67">
        <f>+IF(AND(BE$3&gt;=Assumptions!$G$296,BE$3&lt;Assumptions!$G$298),1,0)</f>
        <v>0</v>
      </c>
      <c r="BF433" s="67">
        <f>+IF(AND(BF$3&gt;=Assumptions!$G$296,BF$3&lt;Assumptions!$G$298),1,0)</f>
        <v>0</v>
      </c>
      <c r="BG433" s="67">
        <f>+IF(AND(BG$3&gt;=Assumptions!$G$296,BG$3&lt;Assumptions!$G$298),1,0)</f>
        <v>0</v>
      </c>
      <c r="BH433" s="67">
        <f>+IF(AND(BH$3&gt;=Assumptions!$G$296,BH$3&lt;Assumptions!$G$298),1,0)</f>
        <v>0</v>
      </c>
      <c r="BI433" s="67">
        <f>+IF(AND(BI$3&gt;=Assumptions!$G$296,BI$3&lt;Assumptions!$G$298),1,0)</f>
        <v>0</v>
      </c>
      <c r="BJ433" s="67">
        <f>+IF(AND(BJ$3&gt;=Assumptions!$G$296,BJ$3&lt;Assumptions!$G$298),1,0)</f>
        <v>0</v>
      </c>
      <c r="BK433" s="67">
        <f>+IF(AND(BK$3&gt;=Assumptions!$G$296,BK$3&lt;Assumptions!$G$298),1,0)</f>
        <v>0</v>
      </c>
      <c r="BL433" s="67">
        <f>+IF(AND(BL$3&gt;=Assumptions!$G$296,BL$3&lt;Assumptions!$G$298),1,0)</f>
        <v>0</v>
      </c>
      <c r="BM433" s="67">
        <f>+IF(AND(BM$3&gt;=Assumptions!$G$296,BM$3&lt;Assumptions!$G$298),1,0)</f>
        <v>0</v>
      </c>
      <c r="BN433" s="67">
        <f>+IF(AND(BN$3&gt;=Assumptions!$G$296,BN$3&lt;Assumptions!$G$298),1,0)</f>
        <v>0</v>
      </c>
      <c r="BO433" s="67">
        <f>+IF(AND(BO$3&gt;=Assumptions!$G$296,BO$3&lt;Assumptions!$G$298),1,0)</f>
        <v>0</v>
      </c>
      <c r="BP433" s="67">
        <f>+IF(AND(BP$3&gt;=Assumptions!$G$296,BP$3&lt;Assumptions!$G$298),1,0)</f>
        <v>0</v>
      </c>
      <c r="BQ433" s="67">
        <f>+IF(AND(BQ$3&gt;=Assumptions!$G$296,BQ$3&lt;Assumptions!$G$298),1,0)</f>
        <v>0</v>
      </c>
      <c r="BR433" s="67">
        <f>+IF(AND(BR$3&gt;=Assumptions!$G$296,BR$3&lt;Assumptions!$G$298),1,0)</f>
        <v>0</v>
      </c>
      <c r="BS433" s="67">
        <f>+IF(AND(BS$3&gt;=Assumptions!$G$296,BS$3&lt;Assumptions!$G$298),1,0)</f>
        <v>0</v>
      </c>
      <c r="BT433" s="67">
        <f>+IF(AND(BT$3&gt;=Assumptions!$G$296,BT$3&lt;Assumptions!$G$298),1,0)</f>
        <v>0</v>
      </c>
      <c r="BU433" s="67">
        <f>+IF(AND(BU$3&gt;=Assumptions!$G$296,BU$3&lt;Assumptions!$G$298),1,0)</f>
        <v>0</v>
      </c>
      <c r="BV433" s="67">
        <f>+IF(AND(BV$3&gt;=Assumptions!$G$296,BV$3&lt;Assumptions!$G$298),1,0)</f>
        <v>0</v>
      </c>
      <c r="BW433" s="67">
        <f>+IF(AND(BW$3&gt;=Assumptions!$G$296,BW$3&lt;Assumptions!$G$298),1,0)</f>
        <v>0</v>
      </c>
      <c r="BX433" s="67">
        <f>+IF(AND(BX$3&gt;=Assumptions!$G$296,BX$3&lt;Assumptions!$G$298),1,0)</f>
        <v>0</v>
      </c>
      <c r="BY433" s="67">
        <f>+IF(AND(BY$3&gt;=Assumptions!$G$296,BY$3&lt;Assumptions!$G$298),1,0)</f>
        <v>0</v>
      </c>
    </row>
    <row r="434" spans="2:77" outlineLevel="1">
      <c r="E434" t="s">
        <v>202</v>
      </c>
      <c r="F434" s="23" t="s">
        <v>488</v>
      </c>
      <c r="H434">
        <f>+IF(AND(SUM(H433:$BY433)=0,EDATE(Assumptions!$G$294,SUM(Assumptions!$G$295,Assumptions!$G$297,Assumptions!$G$300)*12)&gt;H$3),1,0)</f>
        <v>0</v>
      </c>
      <c r="I434">
        <f>+IF(AND(SUM(I433:$BY433)=0,EDATE(Assumptions!$G$294,SUM(Assumptions!$G$295,Assumptions!$G$297,Assumptions!$G$300)*12)&gt;I$3),1,0)</f>
        <v>0</v>
      </c>
      <c r="J434">
        <f>+IF(AND(SUM(J433:$BY433)=0,EDATE(Assumptions!$G$294,SUM(Assumptions!$G$295,Assumptions!$G$297,Assumptions!$G$300)*12)&gt;J$3),1,0)</f>
        <v>0</v>
      </c>
      <c r="K434">
        <f>+IF(AND(SUM(K433:$BY433)=0,EDATE(Assumptions!$G$294,SUM(Assumptions!$G$295,Assumptions!$G$297,Assumptions!$G$300)*12)&gt;K$3),1,0)</f>
        <v>1</v>
      </c>
      <c r="L434">
        <f>+IF(AND(SUM(L433:$BY433)=0,EDATE(Assumptions!$G$294,SUM(Assumptions!$G$295,Assumptions!$G$297,Assumptions!$G$300)*12)&gt;L$3),1,0)</f>
        <v>1</v>
      </c>
      <c r="M434">
        <f>+IF(AND(SUM(M433:$BY433)=0,EDATE(Assumptions!$G$294,SUM(Assumptions!$G$295,Assumptions!$G$297,Assumptions!$G$300)*12)&gt;M$3),1,0)</f>
        <v>1</v>
      </c>
      <c r="N434">
        <f>+IF(AND(SUM(N433:$BY433)=0,EDATE(Assumptions!$G$294,SUM(Assumptions!$G$295,Assumptions!$G$297,Assumptions!$G$300)*12)&gt;N$3),1,0)</f>
        <v>1</v>
      </c>
      <c r="O434">
        <f>+IF(AND(SUM(O433:$BY433)=0,EDATE(Assumptions!$G$294,SUM(Assumptions!$G$295,Assumptions!$G$297,Assumptions!$G$300)*12)&gt;O$3),1,0)</f>
        <v>1</v>
      </c>
      <c r="P434">
        <f>+IF(AND(SUM(P433:$BY433)=0,EDATE(Assumptions!$G$294,SUM(Assumptions!$G$295,Assumptions!$G$297,Assumptions!$G$300)*12)&gt;P$3),1,0)</f>
        <v>1</v>
      </c>
      <c r="Q434">
        <f>+IF(AND(SUM(Q433:$BY433)=0,EDATE(Assumptions!$G$294,SUM(Assumptions!$G$295,Assumptions!$G$297,Assumptions!$G$300)*12)&gt;Q$3),1,0)</f>
        <v>1</v>
      </c>
      <c r="R434">
        <f>+IF(AND(SUM(R433:$BY433)=0,EDATE(Assumptions!$G$294,SUM(Assumptions!$G$295,Assumptions!$G$297,Assumptions!$G$300)*12)&gt;R$3),1,0)</f>
        <v>1</v>
      </c>
      <c r="S434">
        <f>+IF(AND(SUM(S433:$BY433)=0,EDATE(Assumptions!$G$294,SUM(Assumptions!$G$295,Assumptions!$G$297,Assumptions!$G$300)*12)&gt;S$3),1,0)</f>
        <v>1</v>
      </c>
      <c r="T434">
        <f>+IF(AND(SUM(T433:$BY433)=0,EDATE(Assumptions!$G$294,SUM(Assumptions!$G$295,Assumptions!$G$297,Assumptions!$G$300)*12)&gt;T$3),1,0)</f>
        <v>1</v>
      </c>
      <c r="U434">
        <f>+IF(AND(SUM(U433:$BY433)=0,EDATE(Assumptions!$G$294,SUM(Assumptions!$G$295,Assumptions!$G$297,Assumptions!$G$300)*12)&gt;U$3),1,0)</f>
        <v>1</v>
      </c>
      <c r="V434">
        <f>+IF(AND(SUM(V433:$BY433)=0,EDATE(Assumptions!$G$294,SUM(Assumptions!$G$295,Assumptions!$G$297,Assumptions!$G$300)*12)&gt;V$3),1,0)</f>
        <v>1</v>
      </c>
      <c r="W434">
        <f>+IF(AND(SUM(W433:$BY433)=0,EDATE(Assumptions!$G$294,SUM(Assumptions!$G$295,Assumptions!$G$297,Assumptions!$G$300)*12)&gt;W$3),1,0)</f>
        <v>1</v>
      </c>
      <c r="X434">
        <f>+IF(AND(SUM(X433:$BY433)=0,EDATE(Assumptions!$G$294,SUM(Assumptions!$G$295,Assumptions!$G$297,Assumptions!$G$300)*12)&gt;X$3),1,0)</f>
        <v>1</v>
      </c>
      <c r="Y434">
        <f>+IF(AND(SUM(Y433:$BY433)=0,EDATE(Assumptions!$G$294,SUM(Assumptions!$G$295,Assumptions!$G$297,Assumptions!$G$300)*12)&gt;Y$3),1,0)</f>
        <v>1</v>
      </c>
      <c r="Z434">
        <f>+IF(AND(SUM(Z433:$BY433)=0,EDATE(Assumptions!$G$294,SUM(Assumptions!$G$295,Assumptions!$G$297,Assumptions!$G$300)*12)&gt;Z$3),1,0)</f>
        <v>0</v>
      </c>
      <c r="AA434">
        <f>+IF(AND(SUM(AA433:$BY433)=0,EDATE(Assumptions!$G$294,SUM(Assumptions!$G$295,Assumptions!$G$297,Assumptions!$G$300)*12)&gt;AA$3),1,0)</f>
        <v>0</v>
      </c>
      <c r="AB434">
        <f>+IF(AND(SUM(AB433:$BY433)=0,EDATE(Assumptions!$G$294,SUM(Assumptions!$G$295,Assumptions!$G$297,Assumptions!$G$300)*12)&gt;AB$3),1,0)</f>
        <v>0</v>
      </c>
      <c r="AC434">
        <f>+IF(AND(SUM(AC433:$BY433)=0,EDATE(Assumptions!$G$294,SUM(Assumptions!$G$295,Assumptions!$G$297,Assumptions!$G$300)*12)&gt;AC$3),1,0)</f>
        <v>0</v>
      </c>
      <c r="AD434">
        <f>+IF(AND(SUM(AD433:$BY433)=0,EDATE(Assumptions!$G$294,SUM(Assumptions!$G$295,Assumptions!$G$297,Assumptions!$G$300)*12)&gt;AD$3),1,0)</f>
        <v>0</v>
      </c>
      <c r="AE434">
        <f>+IF(AND(SUM(AE433:$BY433)=0,EDATE(Assumptions!$G$294,SUM(Assumptions!$G$295,Assumptions!$G$297,Assumptions!$G$300)*12)&gt;AE$3),1,0)</f>
        <v>0</v>
      </c>
      <c r="AF434">
        <f>+IF(AND(SUM(AF433:$BY433)=0,EDATE(Assumptions!$G$294,SUM(Assumptions!$G$295,Assumptions!$G$297,Assumptions!$G$300)*12)&gt;AF$3),1,0)</f>
        <v>0</v>
      </c>
      <c r="AG434">
        <f>+IF(AND(SUM(AG433:$BY433)=0,EDATE(Assumptions!$G$294,SUM(Assumptions!$G$295,Assumptions!$G$297,Assumptions!$G$300)*12)&gt;AG$3),1,0)</f>
        <v>0</v>
      </c>
      <c r="AH434">
        <f>+IF(AND(SUM(AH433:$BY433)=0,EDATE(Assumptions!$G$294,SUM(Assumptions!$G$295,Assumptions!$G$297,Assumptions!$G$300)*12)&gt;AH$3),1,0)</f>
        <v>0</v>
      </c>
      <c r="AI434">
        <f>+IF(AND(SUM(AI433:$BY433)=0,EDATE(Assumptions!$G$294,SUM(Assumptions!$G$295,Assumptions!$G$297,Assumptions!$G$300)*12)&gt;AI$3),1,0)</f>
        <v>0</v>
      </c>
      <c r="AJ434">
        <f>+IF(AND(SUM(AJ433:$BY433)=0,EDATE(Assumptions!$G$294,SUM(Assumptions!$G$295,Assumptions!$G$297,Assumptions!$G$300)*12)&gt;AJ$3),1,0)</f>
        <v>0</v>
      </c>
      <c r="AK434">
        <f>+IF(AND(SUM(AK433:$BY433)=0,EDATE(Assumptions!$G$294,SUM(Assumptions!$G$295,Assumptions!$G$297,Assumptions!$G$300)*12)&gt;AK$3),1,0)</f>
        <v>0</v>
      </c>
      <c r="AL434">
        <f>+IF(AND(SUM(AL433:$BY433)=0,EDATE(Assumptions!$G$294,SUM(Assumptions!$G$295,Assumptions!$G$297,Assumptions!$G$300)*12)&gt;AL$3),1,0)</f>
        <v>0</v>
      </c>
      <c r="AM434">
        <f>+IF(AND(SUM(AM433:$BY433)=0,EDATE(Assumptions!$G$294,SUM(Assumptions!$G$295,Assumptions!$G$297,Assumptions!$G$300)*12)&gt;AM$3),1,0)</f>
        <v>0</v>
      </c>
      <c r="AN434">
        <f>+IF(AND(SUM(AN433:$BY433)=0,EDATE(Assumptions!$G$294,SUM(Assumptions!$G$295,Assumptions!$G$297,Assumptions!$G$300)*12)&gt;AN$3),1,0)</f>
        <v>0</v>
      </c>
      <c r="AO434">
        <f>+IF(AND(SUM(AO433:$BY433)=0,EDATE(Assumptions!$G$294,SUM(Assumptions!$G$295,Assumptions!$G$297,Assumptions!$G$300)*12)&gt;AO$3),1,0)</f>
        <v>0</v>
      </c>
      <c r="AP434">
        <f>+IF(AND(SUM(AP433:$BY433)=0,EDATE(Assumptions!$G$294,SUM(Assumptions!$G$295,Assumptions!$G$297,Assumptions!$G$300)*12)&gt;AP$3),1,0)</f>
        <v>0</v>
      </c>
      <c r="AQ434">
        <f>+IF(AND(SUM(AQ433:$BY433)=0,EDATE(Assumptions!$G$294,SUM(Assumptions!$G$295,Assumptions!$G$297,Assumptions!$G$300)*12)&gt;AQ$3),1,0)</f>
        <v>0</v>
      </c>
      <c r="AR434">
        <f>+IF(AND(SUM(AR433:$BY433)=0,EDATE(Assumptions!$G$294,SUM(Assumptions!$G$295,Assumptions!$G$297,Assumptions!$G$300)*12)&gt;AR$3),1,0)</f>
        <v>0</v>
      </c>
      <c r="AS434">
        <f>+IF(AND(SUM(AS433:$BY433)=0,EDATE(Assumptions!$G$294,SUM(Assumptions!$G$295,Assumptions!$G$297,Assumptions!$G$300)*12)&gt;AS$3),1,0)</f>
        <v>0</v>
      </c>
      <c r="AT434">
        <f>+IF(AND(SUM(AT433:$BY433)=0,EDATE(Assumptions!$G$294,SUM(Assumptions!$G$295,Assumptions!$G$297,Assumptions!$G$300)*12)&gt;AT$3),1,0)</f>
        <v>0</v>
      </c>
      <c r="AU434">
        <f>+IF(AND(SUM(AU433:$BY433)=0,EDATE(Assumptions!$G$294,SUM(Assumptions!$G$295,Assumptions!$G$297,Assumptions!$G$300)*12)&gt;AU$3),1,0)</f>
        <v>0</v>
      </c>
      <c r="AV434">
        <f>+IF(AND(SUM(AV433:$BY433)=0,EDATE(Assumptions!$G$294,SUM(Assumptions!$G$295,Assumptions!$G$297,Assumptions!$G$300)*12)&gt;AV$3),1,0)</f>
        <v>0</v>
      </c>
      <c r="AW434">
        <f>+IF(AND(SUM(AW433:$BY433)=0,EDATE(Assumptions!$G$294,SUM(Assumptions!$G$295,Assumptions!$G$297,Assumptions!$G$300)*12)&gt;AW$3),1,0)</f>
        <v>0</v>
      </c>
      <c r="AX434">
        <f>+IF(AND(SUM(AX433:$BY433)=0,EDATE(Assumptions!$G$294,SUM(Assumptions!$G$295,Assumptions!$G$297,Assumptions!$G$300)*12)&gt;AX$3),1,0)</f>
        <v>0</v>
      </c>
      <c r="AY434">
        <f>+IF(AND(SUM(AY433:$BY433)=0,EDATE(Assumptions!$G$294,SUM(Assumptions!$G$295,Assumptions!$G$297,Assumptions!$G$300)*12)&gt;AY$3),1,0)</f>
        <v>0</v>
      </c>
      <c r="AZ434">
        <f>+IF(AND(SUM(AZ433:$BY433)=0,EDATE(Assumptions!$G$294,SUM(Assumptions!$G$295,Assumptions!$G$297,Assumptions!$G$300)*12)&gt;AZ$3),1,0)</f>
        <v>0</v>
      </c>
      <c r="BA434">
        <f>+IF(AND(SUM(BA433:$BY433)=0,EDATE(Assumptions!$G$294,SUM(Assumptions!$G$295,Assumptions!$G$297,Assumptions!$G$300)*12)&gt;BA$3),1,0)</f>
        <v>0</v>
      </c>
      <c r="BB434">
        <f>+IF(AND(SUM(BB433:$BY433)=0,EDATE(Assumptions!$G$294,SUM(Assumptions!$G$295,Assumptions!$G$297,Assumptions!$G$300)*12)&gt;BB$3),1,0)</f>
        <v>0</v>
      </c>
      <c r="BC434">
        <f>+IF(AND(SUM(BC433:$BY433)=0,EDATE(Assumptions!$G$294,SUM(Assumptions!$G$295,Assumptions!$G$297,Assumptions!$G$300)*12)&gt;BC$3),1,0)</f>
        <v>0</v>
      </c>
      <c r="BD434">
        <f>+IF(AND(SUM(BD433:$BY433)=0,EDATE(Assumptions!$G$294,SUM(Assumptions!$G$295,Assumptions!$G$297,Assumptions!$G$300)*12)&gt;BD$3),1,0)</f>
        <v>0</v>
      </c>
      <c r="BE434">
        <f>+IF(AND(SUM(BE433:$BY433)=0,EDATE(Assumptions!$G$294,SUM(Assumptions!$G$295,Assumptions!$G$297,Assumptions!$G$300)*12)&gt;BE$3),1,0)</f>
        <v>0</v>
      </c>
      <c r="BF434">
        <f>+IF(AND(SUM(BF433:$BY433)=0,EDATE(Assumptions!$G$294,SUM(Assumptions!$G$295,Assumptions!$G$297,Assumptions!$G$300)*12)&gt;BF$3),1,0)</f>
        <v>0</v>
      </c>
      <c r="BG434">
        <f>+IF(AND(SUM(BG433:$BY433)=0,EDATE(Assumptions!$G$294,SUM(Assumptions!$G$295,Assumptions!$G$297,Assumptions!$G$300)*12)&gt;BG$3),1,0)</f>
        <v>0</v>
      </c>
      <c r="BH434">
        <f>+IF(AND(SUM(BH433:$BY433)=0,EDATE(Assumptions!$G$294,SUM(Assumptions!$G$295,Assumptions!$G$297,Assumptions!$G$300)*12)&gt;BH$3),1,0)</f>
        <v>0</v>
      </c>
      <c r="BI434">
        <f>+IF(AND(SUM(BI433:$BY433)=0,EDATE(Assumptions!$G$294,SUM(Assumptions!$G$295,Assumptions!$G$297,Assumptions!$G$300)*12)&gt;BI$3),1,0)</f>
        <v>0</v>
      </c>
      <c r="BJ434">
        <f>+IF(AND(SUM(BJ433:$BY433)=0,EDATE(Assumptions!$G$294,SUM(Assumptions!$G$295,Assumptions!$G$297,Assumptions!$G$300)*12)&gt;BJ$3),1,0)</f>
        <v>0</v>
      </c>
      <c r="BK434">
        <f>+IF(AND(SUM(BK433:$BY433)=0,EDATE(Assumptions!$G$294,SUM(Assumptions!$G$295,Assumptions!$G$297,Assumptions!$G$300)*12)&gt;BK$3),1,0)</f>
        <v>0</v>
      </c>
      <c r="BL434">
        <f>+IF(AND(SUM(BL433:$BY433)=0,EDATE(Assumptions!$G$294,SUM(Assumptions!$G$295,Assumptions!$G$297,Assumptions!$G$300)*12)&gt;BL$3),1,0)</f>
        <v>0</v>
      </c>
      <c r="BM434">
        <f>+IF(AND(SUM(BM433:$BY433)=0,EDATE(Assumptions!$G$294,SUM(Assumptions!$G$295,Assumptions!$G$297,Assumptions!$G$300)*12)&gt;BM$3),1,0)</f>
        <v>0</v>
      </c>
      <c r="BN434">
        <f>+IF(AND(SUM(BN433:$BY433)=0,EDATE(Assumptions!$G$294,SUM(Assumptions!$G$295,Assumptions!$G$297,Assumptions!$G$300)*12)&gt;BN$3),1,0)</f>
        <v>0</v>
      </c>
      <c r="BO434">
        <f>+IF(AND(SUM(BO433:$BY433)=0,EDATE(Assumptions!$G$294,SUM(Assumptions!$G$295,Assumptions!$G$297,Assumptions!$G$300)*12)&gt;BO$3),1,0)</f>
        <v>0</v>
      </c>
      <c r="BP434">
        <f>+IF(AND(SUM(BP433:$BY433)=0,EDATE(Assumptions!$G$294,SUM(Assumptions!$G$295,Assumptions!$G$297,Assumptions!$G$300)*12)&gt;BP$3),1,0)</f>
        <v>0</v>
      </c>
      <c r="BQ434">
        <f>+IF(AND(SUM(BQ433:$BY433)=0,EDATE(Assumptions!$G$294,SUM(Assumptions!$G$295,Assumptions!$G$297,Assumptions!$G$300)*12)&gt;BQ$3),1,0)</f>
        <v>0</v>
      </c>
      <c r="BR434">
        <f>+IF(AND(SUM(BR433:$BY433)=0,EDATE(Assumptions!$G$294,SUM(Assumptions!$G$295,Assumptions!$G$297,Assumptions!$G$300)*12)&gt;BR$3),1,0)</f>
        <v>0</v>
      </c>
      <c r="BS434">
        <f>+IF(AND(SUM(BS433:$BY433)=0,EDATE(Assumptions!$G$294,SUM(Assumptions!$G$295,Assumptions!$G$297,Assumptions!$G$300)*12)&gt;BS$3),1,0)</f>
        <v>0</v>
      </c>
      <c r="BT434">
        <f>+IF(AND(SUM(BT433:$BY433)=0,EDATE(Assumptions!$G$294,SUM(Assumptions!$G$295,Assumptions!$G$297,Assumptions!$G$300)*12)&gt;BT$3),1,0)</f>
        <v>0</v>
      </c>
      <c r="BU434">
        <f>+IF(AND(SUM(BU433:$BY433)=0,EDATE(Assumptions!$G$294,SUM(Assumptions!$G$295,Assumptions!$G$297,Assumptions!$G$300)*12)&gt;BU$3),1,0)</f>
        <v>0</v>
      </c>
      <c r="BV434">
        <f>+IF(AND(SUM(BV433:$BY433)=0,EDATE(Assumptions!$G$294,SUM(Assumptions!$G$295,Assumptions!$G$297,Assumptions!$G$300)*12)&gt;BV$3),1,0)</f>
        <v>0</v>
      </c>
      <c r="BW434">
        <f>+IF(AND(SUM(BW433:$BY433)=0,EDATE(Assumptions!$G$294,SUM(Assumptions!$G$295,Assumptions!$G$297,Assumptions!$G$300)*12)&gt;BW$3),1,0)</f>
        <v>0</v>
      </c>
      <c r="BX434">
        <f>+IF(AND(SUM(BX433:$BY433)=0,EDATE(Assumptions!$G$294,SUM(Assumptions!$G$295,Assumptions!$G$297,Assumptions!$G$300)*12)&gt;BX$3),1,0)</f>
        <v>0</v>
      </c>
      <c r="BY434">
        <f>+IF(AND(SUM(BY433:$BY433)=0,EDATE(Assumptions!$G$294,SUM(Assumptions!$G$295,Assumptions!$G$297,Assumptions!$G$300)*12)&gt;BY$3),1,0)</f>
        <v>0</v>
      </c>
    </row>
    <row r="435" spans="2:77" outlineLevel="1">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row>
    <row r="436" spans="2:77" s="19" customFormat="1" ht="12.75" outlineLevel="1">
      <c r="B436" s="18" t="s">
        <v>309</v>
      </c>
    </row>
    <row r="437" spans="2:77" outlineLevel="1">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row>
    <row r="438" spans="2:77" ht="15" outlineLevel="1">
      <c r="C438" s="74" t="s">
        <v>489</v>
      </c>
      <c r="E438" s="22" t="s">
        <v>446</v>
      </c>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row>
    <row r="439" spans="2:77" outlineLevel="1">
      <c r="C439" s="76">
        <f>+SUM(H440:BY440)</f>
        <v>-410028974.81999999</v>
      </c>
      <c r="E439" t="s">
        <v>197</v>
      </c>
      <c r="F439" s="80" t="str">
        <f>+Assumptions!$G$8</f>
        <v>USD</v>
      </c>
      <c r="H439" s="33">
        <f>IFERROR((1+Sensitivity_tables!$N$13)*IF(AND(H432=1,Assumptions!$G$304="Detailed",Assumptions!$G$303="yes"),-Assumptions_Detailed!H$94,IF(H432=1,-Assumptions!$G$306/SUM($H$432:$BY$432)*H429,0)),0)</f>
        <v>0</v>
      </c>
      <c r="I439" s="33">
        <f>IFERROR((1+Sensitivity_tables!$N$13)*IF(AND(I432=1,Assumptions!$G$304="Detailed",Assumptions!$G$303="yes"),-Assumptions_Detailed!I$94,IF(I432=1,-Assumptions!$G$306/SUM($H$432:$BY$432)*I429,0)),0)</f>
        <v>0</v>
      </c>
      <c r="J439" s="33">
        <f>IFERROR((1+Sensitivity_tables!$N$13)*IF(AND(J432=1,Assumptions!$G$304="Detailed",Assumptions!$G$303="yes"),-Assumptions_Detailed!J$94,IF(J432=1,-Assumptions!$G$306/SUM($H$432:$BY$432)*J429,0)),0)</f>
        <v>0</v>
      </c>
      <c r="K439" s="33">
        <f>IFERROR((1+Sensitivity_tables!$N$13)*IF(AND(K432=1,Assumptions!$G$304="Detailed",Assumptions!$G$303="yes"),-Assumptions_Detailed!K$94,IF(K432=1,-Assumptions!$G$306/SUM($H$432:$BY$432)*K429,0)),0)</f>
        <v>0</v>
      </c>
      <c r="L439" s="33">
        <f>IFERROR((1+Sensitivity_tables!$N$13)*IF(AND(L432=1,Assumptions!$G$304="Detailed",Assumptions!$G$303="yes"),-Assumptions_Detailed!L$94,IF(L432=1,-Assumptions!$G$306/SUM($H$432:$BY$432)*L429,0)),0)</f>
        <v>0</v>
      </c>
      <c r="M439" s="33">
        <f>IFERROR((1+Sensitivity_tables!$N$13)*IF(AND(M432=1,Assumptions!$G$304="Detailed",Assumptions!$G$303="yes"),-Assumptions_Detailed!M$94,IF(M432=1,-Assumptions!$G$306/SUM($H$432:$BY$432)*M429,0)),0)</f>
        <v>0</v>
      </c>
      <c r="N439" s="33">
        <f>IFERROR((1+Sensitivity_tables!$N$13)*IF(AND(N432=1,Assumptions!$G$304="Detailed",Assumptions!$G$303="yes"),-Assumptions_Detailed!N$94,IF(N432=1,-Assumptions!$G$306/SUM($H$432:$BY$432)*N429,0)),0)</f>
        <v>0</v>
      </c>
      <c r="O439" s="33">
        <f>IFERROR((1+Sensitivity_tables!$N$13)*IF(AND(O432=1,Assumptions!$G$304="Detailed",Assumptions!$G$303="yes"),-Assumptions_Detailed!O$94,IF(O432=1,-Assumptions!$G$306/SUM($H$432:$BY$432)*O429,0)),0)</f>
        <v>0</v>
      </c>
      <c r="P439" s="33">
        <f>IFERROR((1+Sensitivity_tables!$N$13)*IF(AND(P432=1,Assumptions!$G$304="Detailed",Assumptions!$G$303="yes"),-Assumptions_Detailed!P$94,IF(P432=1,-Assumptions!$G$306/SUM($H$432:$BY$432)*P429,0)),0)</f>
        <v>0</v>
      </c>
      <c r="Q439" s="33">
        <f>IFERROR((1+Sensitivity_tables!$N$13)*IF(AND(Q432=1,Assumptions!$G$304="Detailed",Assumptions!$G$303="yes"),-Assumptions_Detailed!Q$94,IF(Q432=1,-Assumptions!$G$306/SUM($H$432:$BY$432)*Q429,0)),0)</f>
        <v>0</v>
      </c>
      <c r="R439" s="33">
        <f>IFERROR((1+Sensitivity_tables!$N$13)*IF(AND(R432=1,Assumptions!$G$304="Detailed",Assumptions!$G$303="yes"),-Assumptions_Detailed!R$94,IF(R432=1,-Assumptions!$G$306/SUM($H$432:$BY$432)*R429,0)),0)</f>
        <v>0</v>
      </c>
      <c r="S439" s="33">
        <f>IFERROR((1+Sensitivity_tables!$N$13)*IF(AND(S432=1,Assumptions!$G$304="Detailed",Assumptions!$G$303="yes"),-Assumptions_Detailed!S$94,IF(S432=1,-Assumptions!$G$306/SUM($H$432:$BY$432)*S429,0)),0)</f>
        <v>0</v>
      </c>
      <c r="T439" s="33">
        <f>IFERROR((1+Sensitivity_tables!$N$13)*IF(AND(T432=1,Assumptions!$G$304="Detailed",Assumptions!$G$303="yes"),-Assumptions_Detailed!T$94,IF(T432=1,-Assumptions!$G$306/SUM($H$432:$BY$432)*T429,0)),0)</f>
        <v>0</v>
      </c>
      <c r="U439" s="33">
        <f>IFERROR((1+Sensitivity_tables!$N$13)*IF(AND(U432=1,Assumptions!$G$304="Detailed",Assumptions!$G$303="yes"),-Assumptions_Detailed!U$94,IF(U432=1,-Assumptions!$G$306/SUM($H$432:$BY$432)*U429,0)),0)</f>
        <v>0</v>
      </c>
      <c r="V439" s="33">
        <f>IFERROR((1+Sensitivity_tables!$N$13)*IF(AND(V432=1,Assumptions!$G$304="Detailed",Assumptions!$G$303="yes"),-Assumptions_Detailed!V$94,IF(V432=1,-Assumptions!$G$306/SUM($H$432:$BY$432)*V429,0)),0)</f>
        <v>0</v>
      </c>
      <c r="W439" s="33">
        <f>IFERROR((1+Sensitivity_tables!$N$13)*IF(AND(W432=1,Assumptions!$G$304="Detailed",Assumptions!$G$303="yes"),-Assumptions_Detailed!W$94,IF(W432=1,-Assumptions!$G$306/SUM($H$432:$BY$432)*W429,0)),0)</f>
        <v>0</v>
      </c>
      <c r="X439" s="33">
        <f>IFERROR((1+Sensitivity_tables!$N$13)*IF(AND(X432=1,Assumptions!$G$304="Detailed",Assumptions!$G$303="yes"),-Assumptions_Detailed!X$94,IF(X432=1,-Assumptions!$G$306/SUM($H$432:$BY$432)*X429,0)),0)</f>
        <v>0</v>
      </c>
      <c r="Y439" s="33">
        <f>IFERROR((1+Sensitivity_tables!$N$13)*IF(AND(Y432=1,Assumptions!$G$304="Detailed",Assumptions!$G$303="yes"),-Assumptions_Detailed!Y$94,IF(Y432=1,-Assumptions!$G$306/SUM($H$432:$BY$432)*Y429,0)),0)</f>
        <v>0</v>
      </c>
      <c r="Z439" s="33">
        <f>IFERROR((1+Sensitivity_tables!$N$13)*IF(AND(Z432=1,Assumptions!$G$304="Detailed",Assumptions!$G$303="yes"),-Assumptions_Detailed!Z$94,IF(Z432=1,-Assumptions!$G$306/SUM($H$432:$BY$432)*Z429,0)),0)</f>
        <v>0</v>
      </c>
      <c r="AA439" s="33">
        <f>IFERROR((1+Sensitivity_tables!$N$13)*IF(AND(AA432=1,Assumptions!$G$304="Detailed",Assumptions!$G$303="yes"),-Assumptions_Detailed!AA$94,IF(AA432=1,-Assumptions!$G$306/SUM($H$432:$BY$432)*AA429,0)),0)</f>
        <v>0</v>
      </c>
      <c r="AB439" s="33">
        <f>IFERROR((1+Sensitivity_tables!$N$13)*IF(AND(AB432=1,Assumptions!$G$304="Detailed",Assumptions!$G$303="yes"),-Assumptions_Detailed!AB$94,IF(AB432=1,-Assumptions!$G$306/SUM($H$432:$BY$432)*AB429,0)),0)</f>
        <v>0</v>
      </c>
      <c r="AC439" s="33">
        <f>IFERROR((1+Sensitivity_tables!$N$13)*IF(AND(AC432=1,Assumptions!$G$304="Detailed",Assumptions!$G$303="yes"),-Assumptions_Detailed!AC$94,IF(AC432=1,-Assumptions!$G$306/SUM($H$432:$BY$432)*AC429,0)),0)</f>
        <v>0</v>
      </c>
      <c r="AD439" s="33">
        <f>IFERROR((1+Sensitivity_tables!$N$13)*IF(AND(AD432=1,Assumptions!$G$304="Detailed",Assumptions!$G$303="yes"),-Assumptions_Detailed!AD$94,IF(AD432=1,-Assumptions!$G$306/SUM($H$432:$BY$432)*AD429,0)),0)</f>
        <v>0</v>
      </c>
      <c r="AE439" s="33">
        <f>IFERROR((1+Sensitivity_tables!$N$13)*IF(AND(AE432=1,Assumptions!$G$304="Detailed",Assumptions!$G$303="yes"),-Assumptions_Detailed!AE$94,IF(AE432=1,-Assumptions!$G$306/SUM($H$432:$BY$432)*AE429,0)),0)</f>
        <v>0</v>
      </c>
      <c r="AF439" s="33">
        <f>IFERROR((1+Sensitivity_tables!$N$13)*IF(AND(AF432=1,Assumptions!$G$304="Detailed",Assumptions!$G$303="yes"),-Assumptions_Detailed!AF$94,IF(AF432=1,-Assumptions!$G$306/SUM($H$432:$BY$432)*AF429,0)),0)</f>
        <v>0</v>
      </c>
      <c r="AG439" s="33">
        <f>IFERROR((1+Sensitivity_tables!$N$13)*IF(AND(AG432=1,Assumptions!$G$304="Detailed",Assumptions!$G$303="yes"),-Assumptions_Detailed!AG$94,IF(AG432=1,-Assumptions!$G$306/SUM($H$432:$BY$432)*AG429,0)),0)</f>
        <v>0</v>
      </c>
      <c r="AH439" s="33">
        <f>IFERROR((1+Sensitivity_tables!$N$13)*IF(AND(AH432=1,Assumptions!$G$304="Detailed",Assumptions!$G$303="yes"),-Assumptions_Detailed!AH$94,IF(AH432=1,-Assumptions!$G$306/SUM($H$432:$BY$432)*AH429,0)),0)</f>
        <v>0</v>
      </c>
      <c r="AI439" s="33">
        <f>IFERROR((1+Sensitivity_tables!$N$13)*IF(AND(AI432=1,Assumptions!$G$304="Detailed",Assumptions!$G$303="yes"),-Assumptions_Detailed!AI$94,IF(AI432=1,-Assumptions!$G$306/SUM($H$432:$BY$432)*AI429,0)),0)</f>
        <v>0</v>
      </c>
      <c r="AJ439" s="33">
        <f>IFERROR((1+Sensitivity_tables!$N$13)*IF(AND(AJ432=1,Assumptions!$G$304="Detailed",Assumptions!$G$303="yes"),-Assumptions_Detailed!AJ$94,IF(AJ432=1,-Assumptions!$G$306/SUM($H$432:$BY$432)*AJ429,0)),0)</f>
        <v>0</v>
      </c>
      <c r="AK439" s="33">
        <f>IFERROR((1+Sensitivity_tables!$N$13)*IF(AND(AK432=1,Assumptions!$G$304="Detailed",Assumptions!$G$303="yes"),-Assumptions_Detailed!AK$94,IF(AK432=1,-Assumptions!$G$306/SUM($H$432:$BY$432)*AK429,0)),0)</f>
        <v>0</v>
      </c>
      <c r="AL439" s="33">
        <f>IFERROR((1+Sensitivity_tables!$N$13)*IF(AND(AL432=1,Assumptions!$G$304="Detailed",Assumptions!$G$303="yes"),-Assumptions_Detailed!AL$94,IF(AL432=1,-Assumptions!$G$306/SUM($H$432:$BY$432)*AL429,0)),0)</f>
        <v>0</v>
      </c>
      <c r="AM439" s="33">
        <f>IFERROR((1+Sensitivity_tables!$N$13)*IF(AND(AM432=1,Assumptions!$G$304="Detailed",Assumptions!$G$303="yes"),-Assumptions_Detailed!AM$94,IF(AM432=1,-Assumptions!$G$306/SUM($H$432:$BY$432)*AM429,0)),0)</f>
        <v>0</v>
      </c>
      <c r="AN439" s="33">
        <f>IFERROR((1+Sensitivity_tables!$N$13)*IF(AND(AN432=1,Assumptions!$G$304="Detailed",Assumptions!$G$303="yes"),-Assumptions_Detailed!AN$94,IF(AN432=1,-Assumptions!$G$306/SUM($H$432:$BY$432)*AN429,0)),0)</f>
        <v>0</v>
      </c>
      <c r="AO439" s="33">
        <f>IFERROR((1+Sensitivity_tables!$N$13)*IF(AND(AO432=1,Assumptions!$G$304="Detailed",Assumptions!$G$303="yes"),-Assumptions_Detailed!AO$94,IF(AO432=1,-Assumptions!$G$306/SUM($H$432:$BY$432)*AO429,0)),0)</f>
        <v>0</v>
      </c>
      <c r="AP439" s="33">
        <f>IFERROR((1+Sensitivity_tables!$N$13)*IF(AND(AP432=1,Assumptions!$G$304="Detailed",Assumptions!$G$303="yes"),-Assumptions_Detailed!AP$94,IF(AP432=1,-Assumptions!$G$306/SUM($H$432:$BY$432)*AP429,0)),0)</f>
        <v>0</v>
      </c>
      <c r="AQ439" s="33">
        <f>IFERROR((1+Sensitivity_tables!$N$13)*IF(AND(AQ432=1,Assumptions!$G$304="Detailed",Assumptions!$G$303="yes"),-Assumptions_Detailed!AQ$94,IF(AQ432=1,-Assumptions!$G$306/SUM($H$432:$BY$432)*AQ429,0)),0)</f>
        <v>0</v>
      </c>
      <c r="AR439" s="33">
        <f>IFERROR((1+Sensitivity_tables!$N$13)*IF(AND(AR432=1,Assumptions!$G$304="Detailed",Assumptions!$G$303="yes"),-Assumptions_Detailed!AR$94,IF(AR432=1,-Assumptions!$G$306/SUM($H$432:$BY$432)*AR429,0)),0)</f>
        <v>0</v>
      </c>
      <c r="AS439" s="33">
        <f>IFERROR((1+Sensitivity_tables!$N$13)*IF(AND(AS432=1,Assumptions!$G$304="Detailed",Assumptions!$G$303="yes"),-Assumptions_Detailed!AS$94,IF(AS432=1,-Assumptions!$G$306/SUM($H$432:$BY$432)*AS429,0)),0)</f>
        <v>0</v>
      </c>
      <c r="AT439" s="33">
        <f>IFERROR((1+Sensitivity_tables!$N$13)*IF(AND(AT432=1,Assumptions!$G$304="Detailed",Assumptions!$G$303="yes"),-Assumptions_Detailed!AT$94,IF(AT432=1,-Assumptions!$G$306/SUM($H$432:$BY$432)*AT429,0)),0)</f>
        <v>0</v>
      </c>
      <c r="AU439" s="33">
        <f>IFERROR((1+Sensitivity_tables!$N$13)*IF(AND(AU432=1,Assumptions!$G$304="Detailed",Assumptions!$G$303="yes"),-Assumptions_Detailed!AU$94,IF(AU432=1,-Assumptions!$G$306/SUM($H$432:$BY$432)*AU429,0)),0)</f>
        <v>0</v>
      </c>
      <c r="AV439" s="33">
        <f>IFERROR((1+Sensitivity_tables!$N$13)*IF(AND(AV432=1,Assumptions!$G$304="Detailed",Assumptions!$G$303="yes"),-Assumptions_Detailed!AV$94,IF(AV432=1,-Assumptions!$G$306/SUM($H$432:$BY$432)*AV429,0)),0)</f>
        <v>0</v>
      </c>
      <c r="AW439" s="33">
        <f>IFERROR((1+Sensitivity_tables!$N$13)*IF(AND(AW432=1,Assumptions!$G$304="Detailed",Assumptions!$G$303="yes"),-Assumptions_Detailed!AW$94,IF(AW432=1,-Assumptions!$G$306/SUM($H$432:$BY$432)*AW429,0)),0)</f>
        <v>0</v>
      </c>
      <c r="AX439" s="33">
        <f>IFERROR((1+Sensitivity_tables!$N$13)*IF(AND(AX432=1,Assumptions!$G$304="Detailed",Assumptions!$G$303="yes"),-Assumptions_Detailed!AX$94,IF(AX432=1,-Assumptions!$G$306/SUM($H$432:$BY$432)*AX429,0)),0)</f>
        <v>0</v>
      </c>
      <c r="AY439" s="33">
        <f>IFERROR((1+Sensitivity_tables!$N$13)*IF(AND(AY432=1,Assumptions!$G$304="Detailed",Assumptions!$G$303="yes"),-Assumptions_Detailed!AY$94,IF(AY432=1,-Assumptions!$G$306/SUM($H$432:$BY$432)*AY429,0)),0)</f>
        <v>0</v>
      </c>
      <c r="AZ439" s="33">
        <f>IFERROR((1+Sensitivity_tables!$N$13)*IF(AND(AZ432=1,Assumptions!$G$304="Detailed",Assumptions!$G$303="yes"),-Assumptions_Detailed!AZ$94,IF(AZ432=1,-Assumptions!$G$306/SUM($H$432:$BY$432)*AZ429,0)),0)</f>
        <v>0</v>
      </c>
      <c r="BA439" s="33">
        <f>IFERROR((1+Sensitivity_tables!$N$13)*IF(AND(BA432=1,Assumptions!$G$304="Detailed",Assumptions!$G$303="yes"),-Assumptions_Detailed!BA$94,IF(BA432=1,-Assumptions!$G$306/SUM($H$432:$BY$432)*BA429,0)),0)</f>
        <v>0</v>
      </c>
      <c r="BB439" s="33">
        <f>IFERROR((1+Sensitivity_tables!$N$13)*IF(AND(BB432=1,Assumptions!$G$304="Detailed",Assumptions!$G$303="yes"),-Assumptions_Detailed!BB$94,IF(BB432=1,-Assumptions!$G$306/SUM($H$432:$BY$432)*BB429,0)),0)</f>
        <v>0</v>
      </c>
      <c r="BC439" s="33">
        <f>IFERROR((1+Sensitivity_tables!$N$13)*IF(AND(BC432=1,Assumptions!$G$304="Detailed",Assumptions!$G$303="yes"),-Assumptions_Detailed!BC$94,IF(BC432=1,-Assumptions!$G$306/SUM($H$432:$BY$432)*BC429,0)),0)</f>
        <v>0</v>
      </c>
      <c r="BD439" s="33">
        <f>IFERROR((1+Sensitivity_tables!$N$13)*IF(AND(BD432=1,Assumptions!$G$304="Detailed",Assumptions!$G$303="yes"),-Assumptions_Detailed!BD$94,IF(BD432=1,-Assumptions!$G$306/SUM($H$432:$BY$432)*BD429,0)),0)</f>
        <v>0</v>
      </c>
      <c r="BE439" s="33">
        <f>IFERROR((1+Sensitivity_tables!$N$13)*IF(AND(BE432=1,Assumptions!$G$304="Detailed",Assumptions!$G$303="yes"),-Assumptions_Detailed!BE$94,IF(BE432=1,-Assumptions!$G$306/SUM($H$432:$BY$432)*BE429,0)),0)</f>
        <v>0</v>
      </c>
      <c r="BF439" s="33">
        <f>IFERROR((1+Sensitivity_tables!$N$13)*IF(AND(BF432=1,Assumptions!$G$304="Detailed",Assumptions!$G$303="yes"),-Assumptions_Detailed!BF$94,IF(BF432=1,-Assumptions!$G$306/SUM($H$432:$BY$432)*BF429,0)),0)</f>
        <v>0</v>
      </c>
      <c r="BG439" s="33">
        <f>IFERROR((1+Sensitivity_tables!$N$13)*IF(AND(BG432=1,Assumptions!$G$304="Detailed",Assumptions!$G$303="yes"),-Assumptions_Detailed!BG$94,IF(BG432=1,-Assumptions!$G$306/SUM($H$432:$BY$432)*BG429,0)),0)</f>
        <v>0</v>
      </c>
      <c r="BH439" s="33">
        <f>IFERROR((1+Sensitivity_tables!$N$13)*IF(AND(BH432=1,Assumptions!$G$304="Detailed",Assumptions!$G$303="yes"),-Assumptions_Detailed!BH$94,IF(BH432=1,-Assumptions!$G$306/SUM($H$432:$BY$432)*BH429,0)),0)</f>
        <v>0</v>
      </c>
      <c r="BI439" s="33">
        <f>IFERROR((1+Sensitivity_tables!$N$13)*IF(AND(BI432=1,Assumptions!$G$304="Detailed",Assumptions!$G$303="yes"),-Assumptions_Detailed!BI$94,IF(BI432=1,-Assumptions!$G$306/SUM($H$432:$BY$432)*BI429,0)),0)</f>
        <v>0</v>
      </c>
      <c r="BJ439" s="33">
        <f>IFERROR((1+Sensitivity_tables!$N$13)*IF(AND(BJ432=1,Assumptions!$G$304="Detailed",Assumptions!$G$303="yes"),-Assumptions_Detailed!BJ$94,IF(BJ432=1,-Assumptions!$G$306/SUM($H$432:$BY$432)*BJ429,0)),0)</f>
        <v>0</v>
      </c>
      <c r="BK439" s="33">
        <f>IFERROR((1+Sensitivity_tables!$N$13)*IF(AND(BK432=1,Assumptions!$G$304="Detailed",Assumptions!$G$303="yes"),-Assumptions_Detailed!BK$94,IF(BK432=1,-Assumptions!$G$306/SUM($H$432:$BY$432)*BK429,0)),0)</f>
        <v>0</v>
      </c>
      <c r="BL439" s="33">
        <f>IFERROR((1+Sensitivity_tables!$N$13)*IF(AND(BL432=1,Assumptions!$G$304="Detailed",Assumptions!$G$303="yes"),-Assumptions_Detailed!BL$94,IF(BL432=1,-Assumptions!$G$306/SUM($H$432:$BY$432)*BL429,0)),0)</f>
        <v>0</v>
      </c>
      <c r="BM439" s="33">
        <f>IFERROR((1+Sensitivity_tables!$N$13)*IF(AND(BM432=1,Assumptions!$G$304="Detailed",Assumptions!$G$303="yes"),-Assumptions_Detailed!BM$94,IF(BM432=1,-Assumptions!$G$306/SUM($H$432:$BY$432)*BM429,0)),0)</f>
        <v>0</v>
      </c>
      <c r="BN439" s="33">
        <f>IFERROR((1+Sensitivity_tables!$N$13)*IF(AND(BN432=1,Assumptions!$G$304="Detailed",Assumptions!$G$303="yes"),-Assumptions_Detailed!BN$94,IF(BN432=1,-Assumptions!$G$306/SUM($H$432:$BY$432)*BN429,0)),0)</f>
        <v>0</v>
      </c>
      <c r="BO439" s="33">
        <f>IFERROR((1+Sensitivity_tables!$N$13)*IF(AND(BO432=1,Assumptions!$G$304="Detailed",Assumptions!$G$303="yes"),-Assumptions_Detailed!BO$94,IF(BO432=1,-Assumptions!$G$306/SUM($H$432:$BY$432)*BO429,0)),0)</f>
        <v>0</v>
      </c>
      <c r="BP439" s="33">
        <f>IFERROR((1+Sensitivity_tables!$N$13)*IF(AND(BP432=1,Assumptions!$G$304="Detailed",Assumptions!$G$303="yes"),-Assumptions_Detailed!BP$94,IF(BP432=1,-Assumptions!$G$306/SUM($H$432:$BY$432)*BP429,0)),0)</f>
        <v>0</v>
      </c>
      <c r="BQ439" s="33">
        <f>IFERROR((1+Sensitivity_tables!$N$13)*IF(AND(BQ432=1,Assumptions!$G$304="Detailed",Assumptions!$G$303="yes"),-Assumptions_Detailed!BQ$94,IF(BQ432=1,-Assumptions!$G$306/SUM($H$432:$BY$432)*BQ429,0)),0)</f>
        <v>0</v>
      </c>
      <c r="BR439" s="33">
        <f>IFERROR((1+Sensitivity_tables!$N$13)*IF(AND(BR432=1,Assumptions!$G$304="Detailed",Assumptions!$G$303="yes"),-Assumptions_Detailed!BR$94,IF(BR432=1,-Assumptions!$G$306/SUM($H$432:$BY$432)*BR429,0)),0)</f>
        <v>0</v>
      </c>
      <c r="BS439" s="33">
        <f>IFERROR((1+Sensitivity_tables!$N$13)*IF(AND(BS432=1,Assumptions!$G$304="Detailed",Assumptions!$G$303="yes"),-Assumptions_Detailed!BS$94,IF(BS432=1,-Assumptions!$G$306/SUM($H$432:$BY$432)*BS429,0)),0)</f>
        <v>0</v>
      </c>
      <c r="BT439" s="33">
        <f>IFERROR((1+Sensitivity_tables!$N$13)*IF(AND(BT432=1,Assumptions!$G$304="Detailed",Assumptions!$G$303="yes"),-Assumptions_Detailed!BT$94,IF(BT432=1,-Assumptions!$G$306/SUM($H$432:$BY$432)*BT429,0)),0)</f>
        <v>0</v>
      </c>
      <c r="BU439" s="33">
        <f>IFERROR((1+Sensitivity_tables!$N$13)*IF(AND(BU432=1,Assumptions!$G$304="Detailed",Assumptions!$G$303="yes"),-Assumptions_Detailed!BU$94,IF(BU432=1,-Assumptions!$G$306/SUM($H$432:$BY$432)*BU429,0)),0)</f>
        <v>0</v>
      </c>
      <c r="BV439" s="33">
        <f>IFERROR((1+Sensitivity_tables!$N$13)*IF(AND(BV432=1,Assumptions!$G$304="Detailed",Assumptions!$G$303="yes"),-Assumptions_Detailed!BV$94,IF(BV432=1,-Assumptions!$G$306/SUM($H$432:$BY$432)*BV429,0)),0)</f>
        <v>0</v>
      </c>
      <c r="BW439" s="33">
        <f>IFERROR((1+Sensitivity_tables!$N$13)*IF(AND(BW432=1,Assumptions!$G$304="Detailed",Assumptions!$G$303="yes"),-Assumptions_Detailed!BW$94,IF(BW432=1,-Assumptions!$G$306/SUM($H$432:$BY$432)*BW429,0)),0)</f>
        <v>0</v>
      </c>
      <c r="BX439" s="33">
        <f>IFERROR((1+Sensitivity_tables!$N$13)*IF(AND(BX432=1,Assumptions!$G$304="Detailed",Assumptions!$G$303="yes"),-Assumptions_Detailed!BX$94,IF(BX432=1,-Assumptions!$G$306/SUM($H$432:$BY$432)*BX429,0)),0)</f>
        <v>0</v>
      </c>
      <c r="BY439" s="33">
        <f>IFERROR((1+Sensitivity_tables!$N$13)*IF(AND(BY432=1,Assumptions!$G$304="Detailed",Assumptions!$G$303="yes"),-Assumptions_Detailed!BY$94,IF(BY432=1,-Assumptions!$G$306/SUM($H$432:$BY$432)*BY429,0)),0)</f>
        <v>0</v>
      </c>
    </row>
    <row r="440" spans="2:77" outlineLevel="1">
      <c r="E440" s="25" t="s">
        <v>200</v>
      </c>
      <c r="F440" s="81" t="str">
        <f>+Assumptions!$G$8</f>
        <v>USD</v>
      </c>
      <c r="G440" s="30"/>
      <c r="H440" s="73">
        <f>IFERROR((1+Sensitivity_tables!$N$13)*IF(AND(H433=1,Assumptions!$G$311="Detailed",Assumptions!$G$310="yes"),-Assumptions_Detailed!H$95,IF(H433=1,-SUM(Assumptions!$G$313)/SUM($H433:$BY433)*H$429,0)),0)</f>
        <v>0</v>
      </c>
      <c r="I440" s="73">
        <f>IFERROR((1+Sensitivity_tables!$N$13)*IF(AND(I433=1,Assumptions!$G$311="Detailed",Assumptions!$G$310="yes"),-Assumptions_Detailed!I$95,IF(I433=1,-SUM(Assumptions!$G$313)/SUM($H433:$BY433)*I$429,0)),0)</f>
        <v>-202984641</v>
      </c>
      <c r="J440" s="73">
        <f>IFERROR((1+Sensitivity_tables!$N$13)*IF(AND(J433=1,Assumptions!$G$311="Detailed",Assumptions!$G$310="yes"),-Assumptions_Detailed!J$95,IF(J433=1,-SUM(Assumptions!$G$313)/SUM($H433:$BY433)*J$429,0)),0)</f>
        <v>-207044333.81999999</v>
      </c>
      <c r="K440" s="73">
        <f>IFERROR((1+Sensitivity_tables!$N$13)*IF(AND(K433=1,Assumptions!$G$311="Detailed",Assumptions!$G$310="yes"),-Assumptions_Detailed!K$95,IF(K433=1,-SUM(Assumptions!$G$313)/SUM($H433:$BY433)*K$429,0)),0)</f>
        <v>0</v>
      </c>
      <c r="L440" s="73">
        <f>IFERROR((1+Sensitivity_tables!$N$13)*IF(AND(L433=1,Assumptions!$G$311="Detailed",Assumptions!$G$310="yes"),-Assumptions_Detailed!L$95,IF(L433=1,-SUM(Assumptions!$G$313)/SUM($H433:$BY433)*L$429,0)),0)</f>
        <v>0</v>
      </c>
      <c r="M440" s="73">
        <f>IFERROR((1+Sensitivity_tables!$N$13)*IF(AND(M433=1,Assumptions!$G$311="Detailed",Assumptions!$G$310="yes"),-Assumptions_Detailed!M$95,IF(M433=1,-SUM(Assumptions!$G$313)/SUM($H433:$BY433)*M$429,0)),0)</f>
        <v>0</v>
      </c>
      <c r="N440" s="73">
        <f>IFERROR((1+Sensitivity_tables!$N$13)*IF(AND(N433=1,Assumptions!$G$311="Detailed",Assumptions!$G$310="yes"),-Assumptions_Detailed!N$95,IF(N433=1,-SUM(Assumptions!$G$313)/SUM($H433:$BY433)*N$429,0)),0)</f>
        <v>0</v>
      </c>
      <c r="O440" s="73">
        <f>IFERROR((1+Sensitivity_tables!$N$13)*IF(AND(O433=1,Assumptions!$G$311="Detailed",Assumptions!$G$310="yes"),-Assumptions_Detailed!O$95,IF(O433=1,-SUM(Assumptions!$G$313)/SUM($H433:$BY433)*O$429,0)),0)</f>
        <v>0</v>
      </c>
      <c r="P440" s="73">
        <f>IFERROR((1+Sensitivity_tables!$N$13)*IF(AND(P433=1,Assumptions!$G$311="Detailed",Assumptions!$G$310="yes"),-Assumptions_Detailed!P$95,IF(P433=1,-SUM(Assumptions!$G$313)/SUM($H433:$BY433)*P$429,0)),0)</f>
        <v>0</v>
      </c>
      <c r="Q440" s="73">
        <f>IFERROR((1+Sensitivity_tables!$N$13)*IF(AND(Q433=1,Assumptions!$G$311="Detailed",Assumptions!$G$310="yes"),-Assumptions_Detailed!Q$95,IF(Q433=1,-SUM(Assumptions!$G$313)/SUM($H433:$BY433)*Q$429,0)),0)</f>
        <v>0</v>
      </c>
      <c r="R440" s="73">
        <f>IFERROR((1+Sensitivity_tables!$N$13)*IF(AND(R433=1,Assumptions!$G$311="Detailed",Assumptions!$G$310="yes"),-Assumptions_Detailed!R$95,IF(R433=1,-SUM(Assumptions!$G$313)/SUM($H433:$BY433)*R$429,0)),0)</f>
        <v>0</v>
      </c>
      <c r="S440" s="73">
        <f>IFERROR((1+Sensitivity_tables!$N$13)*IF(AND(S433=1,Assumptions!$G$311="Detailed",Assumptions!$G$310="yes"),-Assumptions_Detailed!S$95,IF(S433=1,-SUM(Assumptions!$G$313)/SUM($H433:$BY433)*S$429,0)),0)</f>
        <v>0</v>
      </c>
      <c r="T440" s="73">
        <f>IFERROR((1+Sensitivity_tables!$N$13)*IF(AND(T433=1,Assumptions!$G$311="Detailed",Assumptions!$G$310="yes"),-Assumptions_Detailed!T$95,IF(T433=1,-SUM(Assumptions!$G$313)/SUM($H433:$BY433)*T$429,0)),0)</f>
        <v>0</v>
      </c>
      <c r="U440" s="73">
        <f>IFERROR((1+Sensitivity_tables!$N$13)*IF(AND(U433=1,Assumptions!$G$311="Detailed",Assumptions!$G$310="yes"),-Assumptions_Detailed!U$95,IF(U433=1,-SUM(Assumptions!$G$313)/SUM($H433:$BY433)*U$429,0)),0)</f>
        <v>0</v>
      </c>
      <c r="V440" s="73">
        <f>IFERROR((1+Sensitivity_tables!$N$13)*IF(AND(V433=1,Assumptions!$G$311="Detailed",Assumptions!$G$310="yes"),-Assumptions_Detailed!V$95,IF(V433=1,-SUM(Assumptions!$G$313)/SUM($H433:$BY433)*V$429,0)),0)</f>
        <v>0</v>
      </c>
      <c r="W440" s="73">
        <f>IFERROR((1+Sensitivity_tables!$N$13)*IF(AND(W433=1,Assumptions!$G$311="Detailed",Assumptions!$G$310="yes"),-Assumptions_Detailed!W$95,IF(W433=1,-SUM(Assumptions!$G$313)/SUM($H433:$BY433)*W$429,0)),0)</f>
        <v>0</v>
      </c>
      <c r="X440" s="73">
        <f>IFERROR((1+Sensitivity_tables!$N$13)*IF(AND(X433=1,Assumptions!$G$311="Detailed",Assumptions!$G$310="yes"),-Assumptions_Detailed!X$95,IF(X433=1,-SUM(Assumptions!$G$313)/SUM($H433:$BY433)*X$429,0)),0)</f>
        <v>0</v>
      </c>
      <c r="Y440" s="73">
        <f>IFERROR((1+Sensitivity_tables!$N$13)*IF(AND(Y433=1,Assumptions!$G$311="Detailed",Assumptions!$G$310="yes"),-Assumptions_Detailed!Y$95,IF(Y433=1,-SUM(Assumptions!$G$313)/SUM($H433:$BY433)*Y$429,0)),0)</f>
        <v>0</v>
      </c>
      <c r="Z440" s="73">
        <f>IFERROR((1+Sensitivity_tables!$N$13)*IF(AND(Z433=1,Assumptions!$G$311="Detailed",Assumptions!$G$310="yes"),-Assumptions_Detailed!Z$95,IF(Z433=1,-SUM(Assumptions!$G$313)/SUM($H433:$BY433)*Z$429,0)),0)</f>
        <v>0</v>
      </c>
      <c r="AA440" s="73">
        <f>IFERROR((1+Sensitivity_tables!$N$13)*IF(AND(AA433=1,Assumptions!$G$311="Detailed",Assumptions!$G$310="yes"),-Assumptions_Detailed!AA$95,IF(AA433=1,-SUM(Assumptions!$G$313)/SUM($H433:$BY433)*AA$429,0)),0)</f>
        <v>0</v>
      </c>
      <c r="AB440" s="73">
        <f>IFERROR((1+Sensitivity_tables!$N$13)*IF(AND(AB433=1,Assumptions!$G$311="Detailed",Assumptions!$G$310="yes"),-Assumptions_Detailed!AB$95,IF(AB433=1,-SUM(Assumptions!$G$313)/SUM($H433:$BY433)*AB$429,0)),0)</f>
        <v>0</v>
      </c>
      <c r="AC440" s="73">
        <f>IFERROR((1+Sensitivity_tables!$N$13)*IF(AND(AC433=1,Assumptions!$G$311="Detailed",Assumptions!$G$310="yes"),-Assumptions_Detailed!AC$95,IF(AC433=1,-SUM(Assumptions!$G$313)/SUM($H433:$BY433)*AC$429,0)),0)</f>
        <v>0</v>
      </c>
      <c r="AD440" s="73">
        <f>IFERROR((1+Sensitivity_tables!$N$13)*IF(AND(AD433=1,Assumptions!$G$311="Detailed",Assumptions!$G$310="yes"),-Assumptions_Detailed!AD$95,IF(AD433=1,-SUM(Assumptions!$G$313)/SUM($H433:$BY433)*AD$429,0)),0)</f>
        <v>0</v>
      </c>
      <c r="AE440" s="73">
        <f>IFERROR((1+Sensitivity_tables!$N$13)*IF(AND(AE433=1,Assumptions!$G$311="Detailed",Assumptions!$G$310="yes"),-Assumptions_Detailed!AE$95,IF(AE433=1,-SUM(Assumptions!$G$313)/SUM($H433:$BY433)*AE$429,0)),0)</f>
        <v>0</v>
      </c>
      <c r="AF440" s="73">
        <f>IFERROR((1+Sensitivity_tables!$N$13)*IF(AND(AF433=1,Assumptions!$G$311="Detailed",Assumptions!$G$310="yes"),-Assumptions_Detailed!AF$95,IF(AF433=1,-SUM(Assumptions!$G$313)/SUM($H433:$BY433)*AF$429,0)),0)</f>
        <v>0</v>
      </c>
      <c r="AG440" s="73">
        <f>IFERROR((1+Sensitivity_tables!$N$13)*IF(AND(AG433=1,Assumptions!$G$311="Detailed",Assumptions!$G$310="yes"),-Assumptions_Detailed!AG$95,IF(AG433=1,-SUM(Assumptions!$G$313)/SUM($H433:$BY433)*AG$429,0)),0)</f>
        <v>0</v>
      </c>
      <c r="AH440" s="73">
        <f>IFERROR((1+Sensitivity_tables!$N$13)*IF(AND(AH433=1,Assumptions!$G$311="Detailed",Assumptions!$G$310="yes"),-Assumptions_Detailed!AH$95,IF(AH433=1,-SUM(Assumptions!$G$313)/SUM($H433:$BY433)*AH$429,0)),0)</f>
        <v>0</v>
      </c>
      <c r="AI440" s="73">
        <f>IFERROR((1+Sensitivity_tables!$N$13)*IF(AND(AI433=1,Assumptions!$G$311="Detailed",Assumptions!$G$310="yes"),-Assumptions_Detailed!AI$95,IF(AI433=1,-SUM(Assumptions!$G$313)/SUM($H433:$BY433)*AI$429,0)),0)</f>
        <v>0</v>
      </c>
      <c r="AJ440" s="73">
        <f>IFERROR((1+Sensitivity_tables!$N$13)*IF(AND(AJ433=1,Assumptions!$G$311="Detailed",Assumptions!$G$310="yes"),-Assumptions_Detailed!AJ$95,IF(AJ433=1,-SUM(Assumptions!$G$313)/SUM($H433:$BY433)*AJ$429,0)),0)</f>
        <v>0</v>
      </c>
      <c r="AK440" s="73">
        <f>IFERROR((1+Sensitivity_tables!$N$13)*IF(AND(AK433=1,Assumptions!$G$311="Detailed",Assumptions!$G$310="yes"),-Assumptions_Detailed!AK$95,IF(AK433=1,-SUM(Assumptions!$G$313)/SUM($H433:$BY433)*AK$429,0)),0)</f>
        <v>0</v>
      </c>
      <c r="AL440" s="73">
        <f>IFERROR((1+Sensitivity_tables!$N$13)*IF(AND(AL433=1,Assumptions!$G$311="Detailed",Assumptions!$G$310="yes"),-Assumptions_Detailed!AL$95,IF(AL433=1,-SUM(Assumptions!$G$313)/SUM($H433:$BY433)*AL$429,0)),0)</f>
        <v>0</v>
      </c>
      <c r="AM440" s="73">
        <f>IFERROR((1+Sensitivity_tables!$N$13)*IF(AND(AM433=1,Assumptions!$G$311="Detailed",Assumptions!$G$310="yes"),-Assumptions_Detailed!AM$95,IF(AM433=1,-SUM(Assumptions!$G$313)/SUM($H433:$BY433)*AM$429,0)),0)</f>
        <v>0</v>
      </c>
      <c r="AN440" s="73">
        <f>IFERROR((1+Sensitivity_tables!$N$13)*IF(AND(AN433=1,Assumptions!$G$311="Detailed",Assumptions!$G$310="yes"),-Assumptions_Detailed!AN$95,IF(AN433=1,-SUM(Assumptions!$G$313)/SUM($H433:$BY433)*AN$429,0)),0)</f>
        <v>0</v>
      </c>
      <c r="AO440" s="73">
        <f>IFERROR((1+Sensitivity_tables!$N$13)*IF(AND(AO433=1,Assumptions!$G$311="Detailed",Assumptions!$G$310="yes"),-Assumptions_Detailed!AO$95,IF(AO433=1,-SUM(Assumptions!$G$313)/SUM($H433:$BY433)*AO$429,0)),0)</f>
        <v>0</v>
      </c>
      <c r="AP440" s="73">
        <f>IFERROR((1+Sensitivity_tables!$N$13)*IF(AND(AP433=1,Assumptions!$G$311="Detailed",Assumptions!$G$310="yes"),-Assumptions_Detailed!AP$95,IF(AP433=1,-SUM(Assumptions!$G$313)/SUM($H433:$BY433)*AP$429,0)),0)</f>
        <v>0</v>
      </c>
      <c r="AQ440" s="73">
        <f>IFERROR((1+Sensitivity_tables!$N$13)*IF(AND(AQ433=1,Assumptions!$G$311="Detailed",Assumptions!$G$310="yes"),-Assumptions_Detailed!AQ$95,IF(AQ433=1,-SUM(Assumptions!$G$313)/SUM($H433:$BY433)*AQ$429,0)),0)</f>
        <v>0</v>
      </c>
      <c r="AR440" s="73">
        <f>IFERROR((1+Sensitivity_tables!$N$13)*IF(AND(AR433=1,Assumptions!$G$311="Detailed",Assumptions!$G$310="yes"),-Assumptions_Detailed!AR$95,IF(AR433=1,-SUM(Assumptions!$G$313)/SUM($H433:$BY433)*AR$429,0)),0)</f>
        <v>0</v>
      </c>
      <c r="AS440" s="73">
        <f>IFERROR((1+Sensitivity_tables!$N$13)*IF(AND(AS433=1,Assumptions!$G$311="Detailed",Assumptions!$G$310="yes"),-Assumptions_Detailed!AS$95,IF(AS433=1,-SUM(Assumptions!$G$313)/SUM($H433:$BY433)*AS$429,0)),0)</f>
        <v>0</v>
      </c>
      <c r="AT440" s="73">
        <f>IFERROR((1+Sensitivity_tables!$N$13)*IF(AND(AT433=1,Assumptions!$G$311="Detailed",Assumptions!$G$310="yes"),-Assumptions_Detailed!AT$95,IF(AT433=1,-SUM(Assumptions!$G$313)/SUM($H433:$BY433)*AT$429,0)),0)</f>
        <v>0</v>
      </c>
      <c r="AU440" s="73">
        <f>IFERROR((1+Sensitivity_tables!$N$13)*IF(AND(AU433=1,Assumptions!$G$311="Detailed",Assumptions!$G$310="yes"),-Assumptions_Detailed!AU$95,IF(AU433=1,-SUM(Assumptions!$G$313)/SUM($H433:$BY433)*AU$429,0)),0)</f>
        <v>0</v>
      </c>
      <c r="AV440" s="73">
        <f>IFERROR((1+Sensitivity_tables!$N$13)*IF(AND(AV433=1,Assumptions!$G$311="Detailed",Assumptions!$G$310="yes"),-Assumptions_Detailed!AV$95,IF(AV433=1,-SUM(Assumptions!$G$313)/SUM($H433:$BY433)*AV$429,0)),0)</f>
        <v>0</v>
      </c>
      <c r="AW440" s="73">
        <f>IFERROR((1+Sensitivity_tables!$N$13)*IF(AND(AW433=1,Assumptions!$G$311="Detailed",Assumptions!$G$310="yes"),-Assumptions_Detailed!AW$95,IF(AW433=1,-SUM(Assumptions!$G$313)/SUM($H433:$BY433)*AW$429,0)),0)</f>
        <v>0</v>
      </c>
      <c r="AX440" s="73">
        <f>IFERROR((1+Sensitivity_tables!$N$13)*IF(AND(AX433=1,Assumptions!$G$311="Detailed",Assumptions!$G$310="yes"),-Assumptions_Detailed!AX$95,IF(AX433=1,-SUM(Assumptions!$G$313)/SUM($H433:$BY433)*AX$429,0)),0)</f>
        <v>0</v>
      </c>
      <c r="AY440" s="73">
        <f>IFERROR((1+Sensitivity_tables!$N$13)*IF(AND(AY433=1,Assumptions!$G$311="Detailed",Assumptions!$G$310="yes"),-Assumptions_Detailed!AY$95,IF(AY433=1,-SUM(Assumptions!$G$313)/SUM($H433:$BY433)*AY$429,0)),0)</f>
        <v>0</v>
      </c>
      <c r="AZ440" s="73">
        <f>IFERROR((1+Sensitivity_tables!$N$13)*IF(AND(AZ433=1,Assumptions!$G$311="Detailed",Assumptions!$G$310="yes"),-Assumptions_Detailed!AZ$95,IF(AZ433=1,-SUM(Assumptions!$G$313)/SUM($H433:$BY433)*AZ$429,0)),0)</f>
        <v>0</v>
      </c>
      <c r="BA440" s="73">
        <f>IFERROR((1+Sensitivity_tables!$N$13)*IF(AND(BA433=1,Assumptions!$G$311="Detailed",Assumptions!$G$310="yes"),-Assumptions_Detailed!BA$95,IF(BA433=1,-SUM(Assumptions!$G$313)/SUM($H433:$BY433)*BA$429,0)),0)</f>
        <v>0</v>
      </c>
      <c r="BB440" s="73">
        <f>IFERROR((1+Sensitivity_tables!$N$13)*IF(AND(BB433=1,Assumptions!$G$311="Detailed",Assumptions!$G$310="yes"),-Assumptions_Detailed!BB$95,IF(BB433=1,-SUM(Assumptions!$G$313)/SUM($H433:$BY433)*BB$429,0)),0)</f>
        <v>0</v>
      </c>
      <c r="BC440" s="73">
        <f>IFERROR((1+Sensitivity_tables!$N$13)*IF(AND(BC433=1,Assumptions!$G$311="Detailed",Assumptions!$G$310="yes"),-Assumptions_Detailed!BC$95,IF(BC433=1,-SUM(Assumptions!$G$313)/SUM($H433:$BY433)*BC$429,0)),0)</f>
        <v>0</v>
      </c>
      <c r="BD440" s="73">
        <f>IFERROR((1+Sensitivity_tables!$N$13)*IF(AND(BD433=1,Assumptions!$G$311="Detailed",Assumptions!$G$310="yes"),-Assumptions_Detailed!BD$95,IF(BD433=1,-SUM(Assumptions!$G$313)/SUM($H433:$BY433)*BD$429,0)),0)</f>
        <v>0</v>
      </c>
      <c r="BE440" s="73">
        <f>IFERROR((1+Sensitivity_tables!$N$13)*IF(AND(BE433=1,Assumptions!$G$311="Detailed",Assumptions!$G$310="yes"),-Assumptions_Detailed!BE$95,IF(BE433=1,-SUM(Assumptions!$G$313)/SUM($H433:$BY433)*BE$429,0)),0)</f>
        <v>0</v>
      </c>
      <c r="BF440" s="73">
        <f>IFERROR((1+Sensitivity_tables!$N$13)*IF(AND(BF433=1,Assumptions!$G$311="Detailed",Assumptions!$G$310="yes"),-Assumptions_Detailed!BF$95,IF(BF433=1,-SUM(Assumptions!$G$313)/SUM($H433:$BY433)*BF$429,0)),0)</f>
        <v>0</v>
      </c>
      <c r="BG440" s="73">
        <f>IFERROR((1+Sensitivity_tables!$N$13)*IF(AND(BG433=1,Assumptions!$G$311="Detailed",Assumptions!$G$310="yes"),-Assumptions_Detailed!BG$95,IF(BG433=1,-SUM(Assumptions!$G$313)/SUM($H433:$BY433)*BG$429,0)),0)</f>
        <v>0</v>
      </c>
      <c r="BH440" s="73">
        <f>IFERROR((1+Sensitivity_tables!$N$13)*IF(AND(BH433=1,Assumptions!$G$311="Detailed",Assumptions!$G$310="yes"),-Assumptions_Detailed!BH$95,IF(BH433=1,-SUM(Assumptions!$G$313)/SUM($H433:$BY433)*BH$429,0)),0)</f>
        <v>0</v>
      </c>
      <c r="BI440" s="73">
        <f>IFERROR((1+Sensitivity_tables!$N$13)*IF(AND(BI433=1,Assumptions!$G$311="Detailed",Assumptions!$G$310="yes"),-Assumptions_Detailed!BI$95,IF(BI433=1,-SUM(Assumptions!$G$313)/SUM($H433:$BY433)*BI$429,0)),0)</f>
        <v>0</v>
      </c>
      <c r="BJ440" s="73">
        <f>IFERROR((1+Sensitivity_tables!$N$13)*IF(AND(BJ433=1,Assumptions!$G$311="Detailed",Assumptions!$G$310="yes"),-Assumptions_Detailed!BJ$95,IF(BJ433=1,-SUM(Assumptions!$G$313)/SUM($H433:$BY433)*BJ$429,0)),0)</f>
        <v>0</v>
      </c>
      <c r="BK440" s="73">
        <f>IFERROR((1+Sensitivity_tables!$N$13)*IF(AND(BK433=1,Assumptions!$G$311="Detailed",Assumptions!$G$310="yes"),-Assumptions_Detailed!BK$95,IF(BK433=1,-SUM(Assumptions!$G$313)/SUM($H433:$BY433)*BK$429,0)),0)</f>
        <v>0</v>
      </c>
      <c r="BL440" s="73">
        <f>IFERROR((1+Sensitivity_tables!$N$13)*IF(AND(BL433=1,Assumptions!$G$311="Detailed",Assumptions!$G$310="yes"),-Assumptions_Detailed!BL$95,IF(BL433=1,-SUM(Assumptions!$G$313)/SUM($H433:$BY433)*BL$429,0)),0)</f>
        <v>0</v>
      </c>
      <c r="BM440" s="73">
        <f>IFERROR((1+Sensitivity_tables!$N$13)*IF(AND(BM433=1,Assumptions!$G$311="Detailed",Assumptions!$G$310="yes"),-Assumptions_Detailed!BM$95,IF(BM433=1,-SUM(Assumptions!$G$313)/SUM($H433:$BY433)*BM$429,0)),0)</f>
        <v>0</v>
      </c>
      <c r="BN440" s="73">
        <f>IFERROR((1+Sensitivity_tables!$N$13)*IF(AND(BN433=1,Assumptions!$G$311="Detailed",Assumptions!$G$310="yes"),-Assumptions_Detailed!BN$95,IF(BN433=1,-SUM(Assumptions!$G$313)/SUM($H433:$BY433)*BN$429,0)),0)</f>
        <v>0</v>
      </c>
      <c r="BO440" s="73">
        <f>IFERROR((1+Sensitivity_tables!$N$13)*IF(AND(BO433=1,Assumptions!$G$311="Detailed",Assumptions!$G$310="yes"),-Assumptions_Detailed!BO$95,IF(BO433=1,-SUM(Assumptions!$G$313)/SUM($H433:$BY433)*BO$429,0)),0)</f>
        <v>0</v>
      </c>
      <c r="BP440" s="73">
        <f>IFERROR((1+Sensitivity_tables!$N$13)*IF(AND(BP433=1,Assumptions!$G$311="Detailed",Assumptions!$G$310="yes"),-Assumptions_Detailed!BP$95,IF(BP433=1,-SUM(Assumptions!$G$313)/SUM($H433:$BY433)*BP$429,0)),0)</f>
        <v>0</v>
      </c>
      <c r="BQ440" s="73">
        <f>IFERROR((1+Sensitivity_tables!$N$13)*IF(AND(BQ433=1,Assumptions!$G$311="Detailed",Assumptions!$G$310="yes"),-Assumptions_Detailed!BQ$95,IF(BQ433=1,-SUM(Assumptions!$G$313)/SUM($H433:$BY433)*BQ$429,0)),0)</f>
        <v>0</v>
      </c>
      <c r="BR440" s="73">
        <f>IFERROR((1+Sensitivity_tables!$N$13)*IF(AND(BR433=1,Assumptions!$G$311="Detailed",Assumptions!$G$310="yes"),-Assumptions_Detailed!BR$95,IF(BR433=1,-SUM(Assumptions!$G$313)/SUM($H433:$BY433)*BR$429,0)),0)</f>
        <v>0</v>
      </c>
      <c r="BS440" s="73">
        <f>IFERROR((1+Sensitivity_tables!$N$13)*IF(AND(BS433=1,Assumptions!$G$311="Detailed",Assumptions!$G$310="yes"),-Assumptions_Detailed!BS$95,IF(BS433=1,-SUM(Assumptions!$G$313)/SUM($H433:$BY433)*BS$429,0)),0)</f>
        <v>0</v>
      </c>
      <c r="BT440" s="73">
        <f>IFERROR((1+Sensitivity_tables!$N$13)*IF(AND(BT433=1,Assumptions!$G$311="Detailed",Assumptions!$G$310="yes"),-Assumptions_Detailed!BT$95,IF(BT433=1,-SUM(Assumptions!$G$313)/SUM($H433:$BY433)*BT$429,0)),0)</f>
        <v>0</v>
      </c>
      <c r="BU440" s="73">
        <f>IFERROR((1+Sensitivity_tables!$N$13)*IF(AND(BU433=1,Assumptions!$G$311="Detailed",Assumptions!$G$310="yes"),-Assumptions_Detailed!BU$95,IF(BU433=1,-SUM(Assumptions!$G$313)/SUM($H433:$BY433)*BU$429,0)),0)</f>
        <v>0</v>
      </c>
      <c r="BV440" s="73">
        <f>IFERROR((1+Sensitivity_tables!$N$13)*IF(AND(BV433=1,Assumptions!$G$311="Detailed",Assumptions!$G$310="yes"),-Assumptions_Detailed!BV$95,IF(BV433=1,-SUM(Assumptions!$G$313)/SUM($H433:$BY433)*BV$429,0)),0)</f>
        <v>0</v>
      </c>
      <c r="BW440" s="73">
        <f>IFERROR((1+Sensitivity_tables!$N$13)*IF(AND(BW433=1,Assumptions!$G$311="Detailed",Assumptions!$G$310="yes"),-Assumptions_Detailed!BW$95,IF(BW433=1,-SUM(Assumptions!$G$313)/SUM($H433:$BY433)*BW$429,0)),0)</f>
        <v>0</v>
      </c>
      <c r="BX440" s="73">
        <f>IFERROR((1+Sensitivity_tables!$N$13)*IF(AND(BX433=1,Assumptions!$G$311="Detailed",Assumptions!$G$310="yes"),-Assumptions_Detailed!BX$95,IF(BX433=1,-SUM(Assumptions!$G$313)/SUM($H433:$BY433)*BX$429,0)),0)</f>
        <v>0</v>
      </c>
      <c r="BY440" s="73">
        <f>IFERROR((1+Sensitivity_tables!$N$13)*IF(AND(BY433=1,Assumptions!$G$311="Detailed",Assumptions!$G$310="yes"),-Assumptions_Detailed!BY$95,IF(BY433=1,-SUM(Assumptions!$G$313)/SUM($H433:$BY433)*BY$429,0)),0)</f>
        <v>0</v>
      </c>
    </row>
    <row r="441" spans="2:77" outlineLevel="1">
      <c r="E441" t="s">
        <v>207</v>
      </c>
      <c r="F441" s="80" t="str">
        <f>+Assumptions!$G$8</f>
        <v>USD</v>
      </c>
      <c r="G441" s="23"/>
      <c r="H441" s="33">
        <f>SUM(H440:H440)</f>
        <v>0</v>
      </c>
      <c r="I441" s="33">
        <f t="shared" ref="I441:BT441" si="747">SUM(I440:I440)</f>
        <v>-202984641</v>
      </c>
      <c r="J441" s="33">
        <f t="shared" si="747"/>
        <v>-207044333.81999999</v>
      </c>
      <c r="K441" s="33">
        <f t="shared" si="747"/>
        <v>0</v>
      </c>
      <c r="L441" s="33">
        <f t="shared" si="747"/>
        <v>0</v>
      </c>
      <c r="M441" s="33">
        <f t="shared" si="747"/>
        <v>0</v>
      </c>
      <c r="N441" s="33">
        <f t="shared" si="747"/>
        <v>0</v>
      </c>
      <c r="O441" s="33">
        <f t="shared" si="747"/>
        <v>0</v>
      </c>
      <c r="P441" s="33">
        <f t="shared" si="747"/>
        <v>0</v>
      </c>
      <c r="Q441" s="33">
        <f t="shared" si="747"/>
        <v>0</v>
      </c>
      <c r="R441" s="33">
        <f t="shared" si="747"/>
        <v>0</v>
      </c>
      <c r="S441" s="33">
        <f t="shared" si="747"/>
        <v>0</v>
      </c>
      <c r="T441" s="33">
        <f t="shared" si="747"/>
        <v>0</v>
      </c>
      <c r="U441" s="33">
        <f t="shared" si="747"/>
        <v>0</v>
      </c>
      <c r="V441" s="33">
        <f t="shared" si="747"/>
        <v>0</v>
      </c>
      <c r="W441" s="33">
        <f t="shared" si="747"/>
        <v>0</v>
      </c>
      <c r="X441" s="33">
        <f t="shared" si="747"/>
        <v>0</v>
      </c>
      <c r="Y441" s="33">
        <f t="shared" si="747"/>
        <v>0</v>
      </c>
      <c r="Z441" s="33">
        <f t="shared" si="747"/>
        <v>0</v>
      </c>
      <c r="AA441" s="33">
        <f t="shared" si="747"/>
        <v>0</v>
      </c>
      <c r="AB441" s="33">
        <f t="shared" si="747"/>
        <v>0</v>
      </c>
      <c r="AC441" s="33">
        <f t="shared" si="747"/>
        <v>0</v>
      </c>
      <c r="AD441" s="33">
        <f t="shared" si="747"/>
        <v>0</v>
      </c>
      <c r="AE441" s="33">
        <f t="shared" si="747"/>
        <v>0</v>
      </c>
      <c r="AF441" s="33">
        <f t="shared" si="747"/>
        <v>0</v>
      </c>
      <c r="AG441" s="33">
        <f t="shared" si="747"/>
        <v>0</v>
      </c>
      <c r="AH441" s="33">
        <f t="shared" si="747"/>
        <v>0</v>
      </c>
      <c r="AI441" s="33">
        <f t="shared" si="747"/>
        <v>0</v>
      </c>
      <c r="AJ441" s="33">
        <f t="shared" si="747"/>
        <v>0</v>
      </c>
      <c r="AK441" s="33">
        <f t="shared" si="747"/>
        <v>0</v>
      </c>
      <c r="AL441" s="33">
        <f t="shared" si="747"/>
        <v>0</v>
      </c>
      <c r="AM441" s="33">
        <f t="shared" si="747"/>
        <v>0</v>
      </c>
      <c r="AN441" s="33">
        <f t="shared" si="747"/>
        <v>0</v>
      </c>
      <c r="AO441" s="33">
        <f t="shared" si="747"/>
        <v>0</v>
      </c>
      <c r="AP441" s="33">
        <f t="shared" si="747"/>
        <v>0</v>
      </c>
      <c r="AQ441" s="33">
        <f t="shared" si="747"/>
        <v>0</v>
      </c>
      <c r="AR441" s="33">
        <f t="shared" si="747"/>
        <v>0</v>
      </c>
      <c r="AS441" s="33">
        <f t="shared" si="747"/>
        <v>0</v>
      </c>
      <c r="AT441" s="33">
        <f t="shared" si="747"/>
        <v>0</v>
      </c>
      <c r="AU441" s="33">
        <f t="shared" si="747"/>
        <v>0</v>
      </c>
      <c r="AV441" s="33">
        <f t="shared" si="747"/>
        <v>0</v>
      </c>
      <c r="AW441" s="33">
        <f t="shared" si="747"/>
        <v>0</v>
      </c>
      <c r="AX441" s="33">
        <f t="shared" si="747"/>
        <v>0</v>
      </c>
      <c r="AY441" s="33">
        <f t="shared" si="747"/>
        <v>0</v>
      </c>
      <c r="AZ441" s="33">
        <f t="shared" si="747"/>
        <v>0</v>
      </c>
      <c r="BA441" s="33">
        <f t="shared" si="747"/>
        <v>0</v>
      </c>
      <c r="BB441" s="33">
        <f t="shared" si="747"/>
        <v>0</v>
      </c>
      <c r="BC441" s="33">
        <f t="shared" si="747"/>
        <v>0</v>
      </c>
      <c r="BD441" s="33">
        <f t="shared" si="747"/>
        <v>0</v>
      </c>
      <c r="BE441" s="33">
        <f t="shared" si="747"/>
        <v>0</v>
      </c>
      <c r="BF441" s="33">
        <f t="shared" si="747"/>
        <v>0</v>
      </c>
      <c r="BG441" s="33">
        <f t="shared" si="747"/>
        <v>0</v>
      </c>
      <c r="BH441" s="33">
        <f t="shared" si="747"/>
        <v>0</v>
      </c>
      <c r="BI441" s="33">
        <f t="shared" si="747"/>
        <v>0</v>
      </c>
      <c r="BJ441" s="33">
        <f t="shared" si="747"/>
        <v>0</v>
      </c>
      <c r="BK441" s="33">
        <f t="shared" si="747"/>
        <v>0</v>
      </c>
      <c r="BL441" s="33">
        <f t="shared" si="747"/>
        <v>0</v>
      </c>
      <c r="BM441" s="33">
        <f t="shared" si="747"/>
        <v>0</v>
      </c>
      <c r="BN441" s="33">
        <f t="shared" si="747"/>
        <v>0</v>
      </c>
      <c r="BO441" s="33">
        <f t="shared" si="747"/>
        <v>0</v>
      </c>
      <c r="BP441" s="33">
        <f t="shared" si="747"/>
        <v>0</v>
      </c>
      <c r="BQ441" s="33">
        <f t="shared" si="747"/>
        <v>0</v>
      </c>
      <c r="BR441" s="33">
        <f t="shared" si="747"/>
        <v>0</v>
      </c>
      <c r="BS441" s="33">
        <f t="shared" si="747"/>
        <v>0</v>
      </c>
      <c r="BT441" s="33">
        <f t="shared" si="747"/>
        <v>0</v>
      </c>
      <c r="BU441" s="33">
        <f t="shared" ref="BU441:BY441" si="748">SUM(BU440:BU440)</f>
        <v>0</v>
      </c>
      <c r="BV441" s="33">
        <f t="shared" si="748"/>
        <v>0</v>
      </c>
      <c r="BW441" s="33">
        <f t="shared" si="748"/>
        <v>0</v>
      </c>
      <c r="BX441" s="33">
        <f t="shared" si="748"/>
        <v>0</v>
      </c>
      <c r="BY441" s="33">
        <f t="shared" si="748"/>
        <v>0</v>
      </c>
    </row>
    <row r="442" spans="2:77" outlineLevel="1">
      <c r="F442" s="23"/>
      <c r="G442" s="23"/>
      <c r="BF442" s="33"/>
      <c r="BG442" s="33"/>
      <c r="BH442" s="33"/>
      <c r="BI442" s="33"/>
      <c r="BJ442" s="33"/>
      <c r="BK442" s="33"/>
      <c r="BL442" s="33"/>
      <c r="BM442" s="33"/>
      <c r="BN442" s="33"/>
      <c r="BO442" s="33"/>
      <c r="BP442" s="33"/>
      <c r="BQ442" s="33"/>
      <c r="BR442" s="33"/>
      <c r="BS442" s="33"/>
      <c r="BT442" s="33"/>
      <c r="BU442" s="33"/>
      <c r="BV442" s="33"/>
      <c r="BW442" s="33"/>
      <c r="BX442" s="33"/>
      <c r="BY442" s="33"/>
    </row>
    <row r="443" spans="2:77" s="19" customFormat="1" ht="12.75" outlineLevel="1">
      <c r="B443" s="18" t="s">
        <v>314</v>
      </c>
    </row>
    <row r="444" spans="2:77" outlineLevel="1">
      <c r="C444" s="21"/>
      <c r="BF444" s="33"/>
      <c r="BG444" s="33"/>
      <c r="BH444" s="33"/>
      <c r="BI444" s="33"/>
      <c r="BJ444" s="33"/>
      <c r="BK444" s="33"/>
      <c r="BL444" s="33"/>
      <c r="BM444" s="33"/>
      <c r="BN444" s="33"/>
      <c r="BO444" s="33"/>
      <c r="BP444" s="33"/>
      <c r="BQ444" s="33"/>
      <c r="BR444" s="33"/>
      <c r="BS444" s="33"/>
      <c r="BT444" s="33"/>
      <c r="BU444" s="33"/>
      <c r="BV444" s="33"/>
      <c r="BW444" s="33"/>
      <c r="BX444" s="33"/>
      <c r="BY444" s="33"/>
    </row>
    <row r="445" spans="2:77" ht="15" outlineLevel="1">
      <c r="E445" s="22" t="s">
        <v>450</v>
      </c>
      <c r="BF445" s="33"/>
      <c r="BG445" s="33"/>
      <c r="BH445" s="33"/>
      <c r="BI445" s="33"/>
      <c r="BJ445" s="33"/>
      <c r="BK445" s="33"/>
      <c r="BL445" s="33"/>
      <c r="BM445" s="33"/>
      <c r="BN445" s="33"/>
      <c r="BO445" s="33"/>
      <c r="BP445" s="33"/>
      <c r="BQ445" s="33"/>
      <c r="BR445" s="33"/>
      <c r="BS445" s="33"/>
      <c r="BT445" s="33"/>
      <c r="BU445" s="33"/>
      <c r="BV445" s="33"/>
      <c r="BW445" s="33"/>
      <c r="BX445" s="33"/>
      <c r="BY445" s="33"/>
    </row>
    <row r="446" spans="2:77" outlineLevel="1">
      <c r="E446" s="25" t="s">
        <v>450</v>
      </c>
      <c r="F446" s="81" t="str">
        <f>+Assumptions!$G$8</f>
        <v>USD</v>
      </c>
      <c r="G446" s="30"/>
      <c r="H446" s="34">
        <f>IFERROR((1+Sensitivity_tables!$N$18)*IF(AND(H434=1,Assumptions!$G$321="Detailed",Assumptions!$G$320="yes"),-Assumptions_Detailed!H$99,IF(H$434=1,-Assumptions!$G$324*Assumptions!$G$268*H$429,0)),0)</f>
        <v>0</v>
      </c>
      <c r="I446" s="34">
        <f>IFERROR((1+Sensitivity_tables!$N$18)*IF(AND(I434=1,Assumptions!$G$321="Detailed",Assumptions!$G$320="yes"),-Assumptions_Detailed!I$99,IF(I$434=1,-Assumptions!$G$324*Assumptions!$G$268*I$429,0)),0)</f>
        <v>0</v>
      </c>
      <c r="J446" s="34">
        <f>IFERROR((1+Sensitivity_tables!$N$18)*IF(AND(J434=1,Assumptions!$G$321="Detailed",Assumptions!$G$320="yes"),-Assumptions_Detailed!J$99,IF(J$434=1,-Assumptions!$G$324*Assumptions!$G$268*J$429,0)),0)</f>
        <v>0</v>
      </c>
      <c r="K446" s="34">
        <f>IFERROR((1+Sensitivity_tables!$N$18)*IF(AND(K434=1,Assumptions!$G$321="Detailed",Assumptions!$G$320="yes"),-Assumptions_Detailed!K$99,IF(K$434=1,-Assumptions!$G$324*Assumptions!$G$268*K$429,0)),0)</f>
        <v>-22081280.510030404</v>
      </c>
      <c r="L446" s="34">
        <f>IFERROR((1+Sensitivity_tables!$N$18)*IF(AND(L434=1,Assumptions!$G$321="Detailed",Assumptions!$G$320="yes"),-Assumptions_Detailed!L$99,IF(L$434=1,-Assumptions!$G$324*Assumptions!$G$268*L$429,0)),0)</f>
        <v>-22522906.120231014</v>
      </c>
      <c r="M446" s="34">
        <f>IFERROR((1+Sensitivity_tables!$N$18)*IF(AND(M434=1,Assumptions!$G$321="Detailed",Assumptions!$G$320="yes"),-Assumptions_Detailed!M$99,IF(M$434=1,-Assumptions!$G$324*Assumptions!$G$268*M$429,0)),0)</f>
        <v>-22973364.242635634</v>
      </c>
      <c r="N446" s="34">
        <f>IFERROR((1+Sensitivity_tables!$N$18)*IF(AND(N434=1,Assumptions!$G$321="Detailed",Assumptions!$G$320="yes"),-Assumptions_Detailed!N$99,IF(N$434=1,-Assumptions!$G$324*Assumptions!$G$268*N$429,0)),0)</f>
        <v>-23432831.52748834</v>
      </c>
      <c r="O446" s="34">
        <f>IFERROR((1+Sensitivity_tables!$N$18)*IF(AND(O434=1,Assumptions!$G$321="Detailed",Assumptions!$G$320="yes"),-Assumptions_Detailed!O$99,IF(O$434=1,-Assumptions!$G$324*Assumptions!$G$268*O$429,0)),0)</f>
        <v>-23901488.15803811</v>
      </c>
      <c r="P446" s="34">
        <f>IFERROR((1+Sensitivity_tables!$N$18)*IF(AND(P434=1,Assumptions!$G$321="Detailed",Assumptions!$G$320="yes"),-Assumptions_Detailed!P$99,IF(P$434=1,-Assumptions!$G$324*Assumptions!$G$268*P$429,0)),0)</f>
        <v>-24379517.921198871</v>
      </c>
      <c r="Q446" s="34">
        <f>IFERROR((1+Sensitivity_tables!$N$18)*IF(AND(Q434=1,Assumptions!$G$321="Detailed",Assumptions!$G$320="yes"),-Assumptions_Detailed!Q$99,IF(Q$434=1,-Assumptions!$G$324*Assumptions!$G$268*Q$429,0)),0)</f>
        <v>-24867108.279622853</v>
      </c>
      <c r="R446" s="34">
        <f>IFERROR((1+Sensitivity_tables!$N$18)*IF(AND(R434=1,Assumptions!$G$321="Detailed",Assumptions!$G$320="yes"),-Assumptions_Detailed!R$99,IF(R$434=1,-Assumptions!$G$324*Assumptions!$G$268*R$429,0)),0)</f>
        <v>-25364450.445215303</v>
      </c>
      <c r="S446" s="34">
        <f>IFERROR((1+Sensitivity_tables!$N$18)*IF(AND(S434=1,Assumptions!$G$321="Detailed",Assumptions!$G$320="yes"),-Assumptions_Detailed!S$99,IF(S$434=1,-Assumptions!$G$324*Assumptions!$G$268*S$429,0)),0)</f>
        <v>-25871739.454119615</v>
      </c>
      <c r="T446" s="34">
        <f>IFERROR((1+Sensitivity_tables!$N$18)*IF(AND(T434=1,Assumptions!$G$321="Detailed",Assumptions!$G$320="yes"),-Assumptions_Detailed!T$99,IF(T$434=1,-Assumptions!$G$324*Assumptions!$G$268*T$429,0)),0)</f>
        <v>-26389174.243202005</v>
      </c>
      <c r="U446" s="34">
        <f>IFERROR((1+Sensitivity_tables!$N$18)*IF(AND(U434=1,Assumptions!$G$321="Detailed",Assumptions!$G$320="yes"),-Assumptions_Detailed!U$99,IF(U$434=1,-Assumptions!$G$324*Assumptions!$G$268*U$429,0)),0)</f>
        <v>-26916957.728066046</v>
      </c>
      <c r="V446" s="34">
        <f>IFERROR((1+Sensitivity_tables!$N$18)*IF(AND(V434=1,Assumptions!$G$321="Detailed",Assumptions!$G$320="yes"),-Assumptions_Detailed!V$99,IF(V$434=1,-Assumptions!$G$324*Assumptions!$G$268*V$429,0)),0)</f>
        <v>-27455296.882627361</v>
      </c>
      <c r="W446" s="34">
        <f>IFERROR((1+Sensitivity_tables!$N$18)*IF(AND(W434=1,Assumptions!$G$321="Detailed",Assumptions!$G$320="yes"),-Assumptions_Detailed!W$99,IF(W$434=1,-Assumptions!$G$324*Assumptions!$G$268*W$429,0)),0)</f>
        <v>-28004402.820279911</v>
      </c>
      <c r="X446" s="34">
        <f>IFERROR((1+Sensitivity_tables!$N$18)*IF(AND(X434=1,Assumptions!$G$321="Detailed",Assumptions!$G$320="yes"),-Assumptions_Detailed!X$99,IF(X$434=1,-Assumptions!$G$324*Assumptions!$G$268*X$429,0)),0)</f>
        <v>-28564490.876685515</v>
      </c>
      <c r="Y446" s="34">
        <f>IFERROR((1+Sensitivity_tables!$N$18)*IF(AND(Y434=1,Assumptions!$G$321="Detailed",Assumptions!$G$320="yes"),-Assumptions_Detailed!Y$99,IF(Y$434=1,-Assumptions!$G$324*Assumptions!$G$268*Y$429,0)),0)</f>
        <v>-29135780.69421922</v>
      </c>
      <c r="Z446" s="34">
        <f>IFERROR((1+Sensitivity_tables!$N$18)*IF(AND(Z434=1,Assumptions!$G$321="Detailed",Assumptions!$G$320="yes"),-Assumptions_Detailed!Z$99,IF(Z$434=1,-Assumptions!$G$324*Assumptions!$G$268*Z$429,0)),0)</f>
        <v>0</v>
      </c>
      <c r="AA446" s="34">
        <f>IFERROR((1+Sensitivity_tables!$N$18)*IF(AND(AA434=1,Assumptions!$G$321="Detailed",Assumptions!$G$320="yes"),-Assumptions_Detailed!AA$99,IF(AA$434=1,-Assumptions!$G$324*Assumptions!$G$268*AA$429,0)),0)</f>
        <v>0</v>
      </c>
      <c r="AB446" s="34">
        <f>IFERROR((1+Sensitivity_tables!$N$18)*IF(AND(AB434=1,Assumptions!$G$321="Detailed",Assumptions!$G$320="yes"),-Assumptions_Detailed!AB$99,IF(AB$434=1,-Assumptions!$G$324*Assumptions!$G$268*AB$429,0)),0)</f>
        <v>0</v>
      </c>
      <c r="AC446" s="34">
        <f>IFERROR((1+Sensitivity_tables!$N$18)*IF(AND(AC434=1,Assumptions!$G$321="Detailed",Assumptions!$G$320="yes"),-Assumptions_Detailed!AC$99,IF(AC$434=1,-Assumptions!$G$324*Assumptions!$G$268*AC$429,0)),0)</f>
        <v>0</v>
      </c>
      <c r="AD446" s="34">
        <f>IFERROR((1+Sensitivity_tables!$N$18)*IF(AND(AD434=1,Assumptions!$G$321="Detailed",Assumptions!$G$320="yes"),-Assumptions_Detailed!AD$99,IF(AD$434=1,-Assumptions!$G$324*Assumptions!$G$268*AD$429,0)),0)</f>
        <v>0</v>
      </c>
      <c r="AE446" s="34">
        <f>IFERROR((1+Sensitivity_tables!$N$18)*IF(AND(AE434=1,Assumptions!$G$321="Detailed",Assumptions!$G$320="yes"),-Assumptions_Detailed!AE$99,IF(AE$434=1,-Assumptions!$G$324*Assumptions!$G$268*AE$429,0)),0)</f>
        <v>0</v>
      </c>
      <c r="AF446" s="34">
        <f>IFERROR((1+Sensitivity_tables!$N$18)*IF(AND(AF434=1,Assumptions!$G$321="Detailed",Assumptions!$G$320="yes"),-Assumptions_Detailed!AF$99,IF(AF$434=1,-Assumptions!$G$324*Assumptions!$G$268*AF$429,0)),0)</f>
        <v>0</v>
      </c>
      <c r="AG446" s="34">
        <f>IFERROR((1+Sensitivity_tables!$N$18)*IF(AND(AG434=1,Assumptions!$G$321="Detailed",Assumptions!$G$320="yes"),-Assumptions_Detailed!AG$99,IF(AG$434=1,-Assumptions!$G$324*Assumptions!$G$268*AG$429,0)),0)</f>
        <v>0</v>
      </c>
      <c r="AH446" s="34">
        <f>IFERROR((1+Sensitivity_tables!$N$18)*IF(AND(AH434=1,Assumptions!$G$321="Detailed",Assumptions!$G$320="yes"),-Assumptions_Detailed!AH$99,IF(AH$434=1,-Assumptions!$G$324*Assumptions!$G$268*AH$429,0)),0)</f>
        <v>0</v>
      </c>
      <c r="AI446" s="34">
        <f>IFERROR((1+Sensitivity_tables!$N$18)*IF(AND(AI434=1,Assumptions!$G$321="Detailed",Assumptions!$G$320="yes"),-Assumptions_Detailed!AI$99,IF(AI$434=1,-Assumptions!$G$324*Assumptions!$G$268*AI$429,0)),0)</f>
        <v>0</v>
      </c>
      <c r="AJ446" s="34">
        <f>IFERROR((1+Sensitivity_tables!$N$18)*IF(AND(AJ434=1,Assumptions!$G$321="Detailed",Assumptions!$G$320="yes"),-Assumptions_Detailed!AJ$99,IF(AJ$434=1,-Assumptions!$G$324*Assumptions!$G$268*AJ$429,0)),0)</f>
        <v>0</v>
      </c>
      <c r="AK446" s="34">
        <f>IFERROR((1+Sensitivity_tables!$N$18)*IF(AND(AK434=1,Assumptions!$G$321="Detailed",Assumptions!$G$320="yes"),-Assumptions_Detailed!AK$99,IF(AK$434=1,-Assumptions!$G$324*Assumptions!$G$268*AK$429,0)),0)</f>
        <v>0</v>
      </c>
      <c r="AL446" s="34">
        <f>IFERROR((1+Sensitivity_tables!$N$18)*IF(AND(AL434=1,Assumptions!$G$321="Detailed",Assumptions!$G$320="yes"),-Assumptions_Detailed!AL$99,IF(AL$434=1,-Assumptions!$G$324*Assumptions!$G$268*AL$429,0)),0)</f>
        <v>0</v>
      </c>
      <c r="AM446" s="34">
        <f>IFERROR((1+Sensitivity_tables!$N$18)*IF(AND(AM434=1,Assumptions!$G$321="Detailed",Assumptions!$G$320="yes"),-Assumptions_Detailed!AM$99,IF(AM$434=1,-Assumptions!$G$324*Assumptions!$G$268*AM$429,0)),0)</f>
        <v>0</v>
      </c>
      <c r="AN446" s="34">
        <f>IFERROR((1+Sensitivity_tables!$N$18)*IF(AND(AN434=1,Assumptions!$G$321="Detailed",Assumptions!$G$320="yes"),-Assumptions_Detailed!AN$99,IF(AN$434=1,-Assumptions!$G$324*Assumptions!$G$268*AN$429,0)),0)</f>
        <v>0</v>
      </c>
      <c r="AO446" s="34">
        <f>IFERROR((1+Sensitivity_tables!$N$18)*IF(AND(AO434=1,Assumptions!$G$321="Detailed",Assumptions!$G$320="yes"),-Assumptions_Detailed!AO$99,IF(AO$434=1,-Assumptions!$G$324*Assumptions!$G$268*AO$429,0)),0)</f>
        <v>0</v>
      </c>
      <c r="AP446" s="34">
        <f>IFERROR((1+Sensitivity_tables!$N$18)*IF(AND(AP434=1,Assumptions!$G$321="Detailed",Assumptions!$G$320="yes"),-Assumptions_Detailed!AP$99,IF(AP$434=1,-Assumptions!$G$324*Assumptions!$G$268*AP$429,0)),0)</f>
        <v>0</v>
      </c>
      <c r="AQ446" s="34">
        <f>IFERROR((1+Sensitivity_tables!$N$18)*IF(AND(AQ434=1,Assumptions!$G$321="Detailed",Assumptions!$G$320="yes"),-Assumptions_Detailed!AQ$99,IF(AQ$434=1,-Assumptions!$G$324*Assumptions!$G$268*AQ$429,0)),0)</f>
        <v>0</v>
      </c>
      <c r="AR446" s="34">
        <f>IFERROR((1+Sensitivity_tables!$N$18)*IF(AND(AR434=1,Assumptions!$G$321="Detailed",Assumptions!$G$320="yes"),-Assumptions_Detailed!AR$99,IF(AR$434=1,-Assumptions!$G$324*Assumptions!$G$268*AR$429,0)),0)</f>
        <v>0</v>
      </c>
      <c r="AS446" s="34">
        <f>IFERROR((1+Sensitivity_tables!$N$18)*IF(AND(AS434=1,Assumptions!$G$321="Detailed",Assumptions!$G$320="yes"),-Assumptions_Detailed!AS$99,IF(AS$434=1,-Assumptions!$G$324*Assumptions!$G$268*AS$429,0)),0)</f>
        <v>0</v>
      </c>
      <c r="AT446" s="34">
        <f>IFERROR((1+Sensitivity_tables!$N$18)*IF(AND(AT434=1,Assumptions!$G$321="Detailed",Assumptions!$G$320="yes"),-Assumptions_Detailed!AT$99,IF(AT$434=1,-Assumptions!$G$324*Assumptions!$G$268*AT$429,0)),0)</f>
        <v>0</v>
      </c>
      <c r="AU446" s="34">
        <f>IFERROR((1+Sensitivity_tables!$N$18)*IF(AND(AU434=1,Assumptions!$G$321="Detailed",Assumptions!$G$320="yes"),-Assumptions_Detailed!AU$99,IF(AU$434=1,-Assumptions!$G$324*Assumptions!$G$268*AU$429,0)),0)</f>
        <v>0</v>
      </c>
      <c r="AV446" s="34">
        <f>IFERROR((1+Sensitivity_tables!$N$18)*IF(AND(AV434=1,Assumptions!$G$321="Detailed",Assumptions!$G$320="yes"),-Assumptions_Detailed!AV$99,IF(AV$434=1,-Assumptions!$G$324*Assumptions!$G$268*AV$429,0)),0)</f>
        <v>0</v>
      </c>
      <c r="AW446" s="34">
        <f>IFERROR((1+Sensitivity_tables!$N$18)*IF(AND(AW434=1,Assumptions!$G$321="Detailed",Assumptions!$G$320="yes"),-Assumptions_Detailed!AW$99,IF(AW$434=1,-Assumptions!$G$324*Assumptions!$G$268*AW$429,0)),0)</f>
        <v>0</v>
      </c>
      <c r="AX446" s="34">
        <f>IFERROR((1+Sensitivity_tables!$N$18)*IF(AND(AX434=1,Assumptions!$G$321="Detailed",Assumptions!$G$320="yes"),-Assumptions_Detailed!AX$99,IF(AX$434=1,-Assumptions!$G$324*Assumptions!$G$268*AX$429,0)),0)</f>
        <v>0</v>
      </c>
      <c r="AY446" s="34">
        <f>IFERROR((1+Sensitivity_tables!$N$18)*IF(AND(AY434=1,Assumptions!$G$321="Detailed",Assumptions!$G$320="yes"),-Assumptions_Detailed!AY$99,IF(AY$434=1,-Assumptions!$G$324*Assumptions!$G$268*AY$429,0)),0)</f>
        <v>0</v>
      </c>
      <c r="AZ446" s="34">
        <f>IFERROR((1+Sensitivity_tables!$N$18)*IF(AND(AZ434=1,Assumptions!$G$321="Detailed",Assumptions!$G$320="yes"),-Assumptions_Detailed!AZ$99,IF(AZ$434=1,-Assumptions!$G$324*Assumptions!$G$268*AZ$429,0)),0)</f>
        <v>0</v>
      </c>
      <c r="BA446" s="34">
        <f>IFERROR((1+Sensitivity_tables!$N$18)*IF(AND(BA434=1,Assumptions!$G$321="Detailed",Assumptions!$G$320="yes"),-Assumptions_Detailed!BA$99,IF(BA$434=1,-Assumptions!$G$324*Assumptions!$G$268*BA$429,0)),0)</f>
        <v>0</v>
      </c>
      <c r="BB446" s="34">
        <f>IFERROR((1+Sensitivity_tables!$N$18)*IF(AND(BB434=1,Assumptions!$G$321="Detailed",Assumptions!$G$320="yes"),-Assumptions_Detailed!BB$99,IF(BB$434=1,-Assumptions!$G$324*Assumptions!$G$268*BB$429,0)),0)</f>
        <v>0</v>
      </c>
      <c r="BC446" s="34">
        <f>IFERROR((1+Sensitivity_tables!$N$18)*IF(AND(BC434=1,Assumptions!$G$321="Detailed",Assumptions!$G$320="yes"),-Assumptions_Detailed!BC$99,IF(BC$434=1,-Assumptions!$G$324*Assumptions!$G$268*BC$429,0)),0)</f>
        <v>0</v>
      </c>
      <c r="BD446" s="34">
        <f>IFERROR((1+Sensitivity_tables!$N$18)*IF(AND(BD434=1,Assumptions!$G$321="Detailed",Assumptions!$G$320="yes"),-Assumptions_Detailed!BD$99,IF(BD$434=1,-Assumptions!$G$324*Assumptions!$G$268*BD$429,0)),0)</f>
        <v>0</v>
      </c>
      <c r="BE446" s="34">
        <f>IFERROR((1+Sensitivity_tables!$N$18)*IF(AND(BE434=1,Assumptions!$G$321="Detailed",Assumptions!$G$320="yes"),-Assumptions_Detailed!BE$99,IF(BE$434=1,-Assumptions!$G$324*Assumptions!$G$268*BE$429,0)),0)</f>
        <v>0</v>
      </c>
      <c r="BF446" s="34">
        <f>IFERROR((1+Sensitivity_tables!$N$18)*IF(AND(BF434=1,Assumptions!$G$321="Detailed",Assumptions!$G$320="yes"),-Assumptions_Detailed!BF$99,IF(BF$434=1,-Assumptions!$G$324*Assumptions!$G$268*BF$429,0)),0)</f>
        <v>0</v>
      </c>
      <c r="BG446" s="34">
        <f>IFERROR((1+Sensitivity_tables!$N$18)*IF(AND(BG434=1,Assumptions!$G$321="Detailed",Assumptions!$G$320="yes"),-Assumptions_Detailed!BG$99,IF(BG$434=1,-Assumptions!$G$324*Assumptions!$G$268*BG$429,0)),0)</f>
        <v>0</v>
      </c>
      <c r="BH446" s="34">
        <f>IFERROR((1+Sensitivity_tables!$N$18)*IF(AND(BH434=1,Assumptions!$G$321="Detailed",Assumptions!$G$320="yes"),-Assumptions_Detailed!BH$99,IF(BH$434=1,-Assumptions!$G$324*Assumptions!$G$268*BH$429,0)),0)</f>
        <v>0</v>
      </c>
      <c r="BI446" s="34">
        <f>IFERROR((1+Sensitivity_tables!$N$18)*IF(AND(BI434=1,Assumptions!$G$321="Detailed",Assumptions!$G$320="yes"),-Assumptions_Detailed!BI$99,IF(BI$434=1,-Assumptions!$G$324*Assumptions!$G$268*BI$429,0)),0)</f>
        <v>0</v>
      </c>
      <c r="BJ446" s="34">
        <f>IFERROR((1+Sensitivity_tables!$N$18)*IF(AND(BJ434=1,Assumptions!$G$321="Detailed",Assumptions!$G$320="yes"),-Assumptions_Detailed!BJ$99,IF(BJ$434=1,-Assumptions!$G$324*Assumptions!$G$268*BJ$429,0)),0)</f>
        <v>0</v>
      </c>
      <c r="BK446" s="34">
        <f>IFERROR((1+Sensitivity_tables!$N$18)*IF(AND(BK434=1,Assumptions!$G$321="Detailed",Assumptions!$G$320="yes"),-Assumptions_Detailed!BK$99,IF(BK$434=1,-Assumptions!$G$324*Assumptions!$G$268*BK$429,0)),0)</f>
        <v>0</v>
      </c>
      <c r="BL446" s="34">
        <f>IFERROR((1+Sensitivity_tables!$N$18)*IF(AND(BL434=1,Assumptions!$G$321="Detailed",Assumptions!$G$320="yes"),-Assumptions_Detailed!BL$99,IF(BL$434=1,-Assumptions!$G$324*Assumptions!$G$268*BL$429,0)),0)</f>
        <v>0</v>
      </c>
      <c r="BM446" s="34">
        <f>IFERROR((1+Sensitivity_tables!$N$18)*IF(AND(BM434=1,Assumptions!$G$321="Detailed",Assumptions!$G$320="yes"),-Assumptions_Detailed!BM$99,IF(BM$434=1,-Assumptions!$G$324*Assumptions!$G$268*BM$429,0)),0)</f>
        <v>0</v>
      </c>
      <c r="BN446" s="34">
        <f>IFERROR((1+Sensitivity_tables!$N$18)*IF(AND(BN434=1,Assumptions!$G$321="Detailed",Assumptions!$G$320="yes"),-Assumptions_Detailed!BN$99,IF(BN$434=1,-Assumptions!$G$324*Assumptions!$G$268*BN$429,0)),0)</f>
        <v>0</v>
      </c>
      <c r="BO446" s="34">
        <f>IFERROR((1+Sensitivity_tables!$N$18)*IF(AND(BO434=1,Assumptions!$G$321="Detailed",Assumptions!$G$320="yes"),-Assumptions_Detailed!BO$99,IF(BO$434=1,-Assumptions!$G$324*Assumptions!$G$268*BO$429,0)),0)</f>
        <v>0</v>
      </c>
      <c r="BP446" s="34">
        <f>IFERROR((1+Sensitivity_tables!$N$18)*IF(AND(BP434=1,Assumptions!$G$321="Detailed",Assumptions!$G$320="yes"),-Assumptions_Detailed!BP$99,IF(BP$434=1,-Assumptions!$G$324*Assumptions!$G$268*BP$429,0)),0)</f>
        <v>0</v>
      </c>
      <c r="BQ446" s="34">
        <f>IFERROR((1+Sensitivity_tables!$N$18)*IF(AND(BQ434=1,Assumptions!$G$321="Detailed",Assumptions!$G$320="yes"),-Assumptions_Detailed!BQ$99,IF(BQ$434=1,-Assumptions!$G$324*Assumptions!$G$268*BQ$429,0)),0)</f>
        <v>0</v>
      </c>
      <c r="BR446" s="34">
        <f>IFERROR((1+Sensitivity_tables!$N$18)*IF(AND(BR434=1,Assumptions!$G$321="Detailed",Assumptions!$G$320="yes"),-Assumptions_Detailed!BR$99,IF(BR$434=1,-Assumptions!$G$324*Assumptions!$G$268*BR$429,0)),0)</f>
        <v>0</v>
      </c>
      <c r="BS446" s="34">
        <f>IFERROR((1+Sensitivity_tables!$N$18)*IF(AND(BS434=1,Assumptions!$G$321="Detailed",Assumptions!$G$320="yes"),-Assumptions_Detailed!BS$99,IF(BS$434=1,-Assumptions!$G$324*Assumptions!$G$268*BS$429,0)),0)</f>
        <v>0</v>
      </c>
      <c r="BT446" s="34">
        <f>IFERROR((1+Sensitivity_tables!$N$18)*IF(AND(BT434=1,Assumptions!$G$321="Detailed",Assumptions!$G$320="yes"),-Assumptions_Detailed!BT$99,IF(BT$434=1,-Assumptions!$G$324*Assumptions!$G$268*BT$429,0)),0)</f>
        <v>0</v>
      </c>
      <c r="BU446" s="34">
        <f>IFERROR((1+Sensitivity_tables!$N$18)*IF(AND(BU434=1,Assumptions!$G$321="Detailed",Assumptions!$G$320="yes"),-Assumptions_Detailed!BU$99,IF(BU$434=1,-Assumptions!$G$324*Assumptions!$G$268*BU$429,0)),0)</f>
        <v>0</v>
      </c>
      <c r="BV446" s="34">
        <f>IFERROR((1+Sensitivity_tables!$N$18)*IF(AND(BV434=1,Assumptions!$G$321="Detailed",Assumptions!$G$320="yes"),-Assumptions_Detailed!BV$99,IF(BV$434=1,-Assumptions!$G$324*Assumptions!$G$268*BV$429,0)),0)</f>
        <v>0</v>
      </c>
      <c r="BW446" s="34">
        <f>IFERROR((1+Sensitivity_tables!$N$18)*IF(AND(BW434=1,Assumptions!$G$321="Detailed",Assumptions!$G$320="yes"),-Assumptions_Detailed!BW$99,IF(BW$434=1,-Assumptions!$G$324*Assumptions!$G$268*BW$429,0)),0)</f>
        <v>0</v>
      </c>
      <c r="BX446" s="34">
        <f>IFERROR((1+Sensitivity_tables!$N$18)*IF(AND(BX434=1,Assumptions!$G$321="Detailed",Assumptions!$G$320="yes"),-Assumptions_Detailed!BX$99,IF(BX$434=1,-Assumptions!$G$324*Assumptions!$G$268*BX$429,0)),0)</f>
        <v>0</v>
      </c>
      <c r="BY446" s="34">
        <f>IFERROR((1+Sensitivity_tables!$N$18)*IF(AND(BY434=1,Assumptions!$G$321="Detailed",Assumptions!$G$320="yes"),-Assumptions_Detailed!BY$99,IF(BY$434=1,-Assumptions!$G$324*Assumptions!$G$268*BY$429,0)),0)</f>
        <v>0</v>
      </c>
    </row>
    <row r="447" spans="2:77" outlineLevel="1">
      <c r="D447" s="33"/>
      <c r="E447" t="s">
        <v>494</v>
      </c>
      <c r="F447" s="80" t="str">
        <f>+Assumptions!$G$8</f>
        <v>USD</v>
      </c>
      <c r="G447" s="23"/>
      <c r="H447" s="33">
        <f>SUM(H446:H446)</f>
        <v>0</v>
      </c>
      <c r="I447" s="33">
        <f t="shared" ref="I447:BT447" si="749">SUM(I446:I446)</f>
        <v>0</v>
      </c>
      <c r="J447" s="33">
        <f t="shared" si="749"/>
        <v>0</v>
      </c>
      <c r="K447" s="33">
        <f t="shared" si="749"/>
        <v>-22081280.510030404</v>
      </c>
      <c r="L447" s="33">
        <f t="shared" si="749"/>
        <v>-22522906.120231014</v>
      </c>
      <c r="M447" s="33">
        <f t="shared" si="749"/>
        <v>-22973364.242635634</v>
      </c>
      <c r="N447" s="33">
        <f t="shared" si="749"/>
        <v>-23432831.52748834</v>
      </c>
      <c r="O447" s="33">
        <f t="shared" si="749"/>
        <v>-23901488.15803811</v>
      </c>
      <c r="P447" s="33">
        <f t="shared" si="749"/>
        <v>-24379517.921198871</v>
      </c>
      <c r="Q447" s="33">
        <f t="shared" si="749"/>
        <v>-24867108.279622853</v>
      </c>
      <c r="R447" s="33">
        <f t="shared" si="749"/>
        <v>-25364450.445215303</v>
      </c>
      <c r="S447" s="33">
        <f t="shared" si="749"/>
        <v>-25871739.454119615</v>
      </c>
      <c r="T447" s="33">
        <f t="shared" si="749"/>
        <v>-26389174.243202005</v>
      </c>
      <c r="U447" s="33">
        <f t="shared" si="749"/>
        <v>-26916957.728066046</v>
      </c>
      <c r="V447" s="33">
        <f t="shared" si="749"/>
        <v>-27455296.882627361</v>
      </c>
      <c r="W447" s="33">
        <f t="shared" si="749"/>
        <v>-28004402.820279911</v>
      </c>
      <c r="X447" s="33">
        <f t="shared" si="749"/>
        <v>-28564490.876685515</v>
      </c>
      <c r="Y447" s="33">
        <f t="shared" si="749"/>
        <v>-29135780.69421922</v>
      </c>
      <c r="Z447" s="33">
        <f t="shared" si="749"/>
        <v>0</v>
      </c>
      <c r="AA447" s="33">
        <f t="shared" si="749"/>
        <v>0</v>
      </c>
      <c r="AB447" s="33">
        <f t="shared" si="749"/>
        <v>0</v>
      </c>
      <c r="AC447" s="33">
        <f t="shared" si="749"/>
        <v>0</v>
      </c>
      <c r="AD447" s="33">
        <f t="shared" si="749"/>
        <v>0</v>
      </c>
      <c r="AE447" s="33">
        <f t="shared" si="749"/>
        <v>0</v>
      </c>
      <c r="AF447" s="33">
        <f t="shared" si="749"/>
        <v>0</v>
      </c>
      <c r="AG447" s="33">
        <f t="shared" si="749"/>
        <v>0</v>
      </c>
      <c r="AH447" s="33">
        <f t="shared" si="749"/>
        <v>0</v>
      </c>
      <c r="AI447" s="33">
        <f t="shared" si="749"/>
        <v>0</v>
      </c>
      <c r="AJ447" s="33">
        <f t="shared" si="749"/>
        <v>0</v>
      </c>
      <c r="AK447" s="33">
        <f t="shared" si="749"/>
        <v>0</v>
      </c>
      <c r="AL447" s="33">
        <f t="shared" si="749"/>
        <v>0</v>
      </c>
      <c r="AM447" s="33">
        <f t="shared" si="749"/>
        <v>0</v>
      </c>
      <c r="AN447" s="33">
        <f t="shared" si="749"/>
        <v>0</v>
      </c>
      <c r="AO447" s="33">
        <f t="shared" si="749"/>
        <v>0</v>
      </c>
      <c r="AP447" s="33">
        <f t="shared" si="749"/>
        <v>0</v>
      </c>
      <c r="AQ447" s="33">
        <f t="shared" si="749"/>
        <v>0</v>
      </c>
      <c r="AR447" s="33">
        <f t="shared" si="749"/>
        <v>0</v>
      </c>
      <c r="AS447" s="33">
        <f t="shared" si="749"/>
        <v>0</v>
      </c>
      <c r="AT447" s="33">
        <f t="shared" si="749"/>
        <v>0</v>
      </c>
      <c r="AU447" s="33">
        <f t="shared" si="749"/>
        <v>0</v>
      </c>
      <c r="AV447" s="33">
        <f t="shared" si="749"/>
        <v>0</v>
      </c>
      <c r="AW447" s="33">
        <f t="shared" si="749"/>
        <v>0</v>
      </c>
      <c r="AX447" s="33">
        <f t="shared" si="749"/>
        <v>0</v>
      </c>
      <c r="AY447" s="33">
        <f t="shared" si="749"/>
        <v>0</v>
      </c>
      <c r="AZ447" s="33">
        <f t="shared" si="749"/>
        <v>0</v>
      </c>
      <c r="BA447" s="33">
        <f t="shared" si="749"/>
        <v>0</v>
      </c>
      <c r="BB447" s="33">
        <f t="shared" si="749"/>
        <v>0</v>
      </c>
      <c r="BC447" s="33">
        <f t="shared" si="749"/>
        <v>0</v>
      </c>
      <c r="BD447" s="33">
        <f t="shared" si="749"/>
        <v>0</v>
      </c>
      <c r="BE447" s="33">
        <f t="shared" si="749"/>
        <v>0</v>
      </c>
      <c r="BF447" s="33">
        <f t="shared" si="749"/>
        <v>0</v>
      </c>
      <c r="BG447" s="33">
        <f t="shared" si="749"/>
        <v>0</v>
      </c>
      <c r="BH447" s="33">
        <f t="shared" si="749"/>
        <v>0</v>
      </c>
      <c r="BI447" s="33">
        <f t="shared" si="749"/>
        <v>0</v>
      </c>
      <c r="BJ447" s="33">
        <f t="shared" si="749"/>
        <v>0</v>
      </c>
      <c r="BK447" s="33">
        <f t="shared" si="749"/>
        <v>0</v>
      </c>
      <c r="BL447" s="33">
        <f t="shared" si="749"/>
        <v>0</v>
      </c>
      <c r="BM447" s="33">
        <f t="shared" si="749"/>
        <v>0</v>
      </c>
      <c r="BN447" s="33">
        <f t="shared" si="749"/>
        <v>0</v>
      </c>
      <c r="BO447" s="33">
        <f t="shared" si="749"/>
        <v>0</v>
      </c>
      <c r="BP447" s="33">
        <f t="shared" si="749"/>
        <v>0</v>
      </c>
      <c r="BQ447" s="33">
        <f t="shared" si="749"/>
        <v>0</v>
      </c>
      <c r="BR447" s="33">
        <f t="shared" si="749"/>
        <v>0</v>
      </c>
      <c r="BS447" s="33">
        <f t="shared" si="749"/>
        <v>0</v>
      </c>
      <c r="BT447" s="33">
        <f t="shared" si="749"/>
        <v>0</v>
      </c>
      <c r="BU447" s="33">
        <f t="shared" ref="BU447:BY447" si="750">SUM(BU446:BU446)</f>
        <v>0</v>
      </c>
      <c r="BV447" s="33">
        <f t="shared" si="750"/>
        <v>0</v>
      </c>
      <c r="BW447" s="33">
        <f t="shared" si="750"/>
        <v>0</v>
      </c>
      <c r="BX447" s="33">
        <f t="shared" si="750"/>
        <v>0</v>
      </c>
      <c r="BY447" s="33">
        <f t="shared" si="750"/>
        <v>0</v>
      </c>
    </row>
    <row r="448" spans="2:77" outlineLevel="1"/>
    <row r="449" spans="2:77" outlineLevel="1"/>
    <row r="450" spans="2:77" outlineLevel="1"/>
    <row r="451" spans="2:77" s="19" customFormat="1" ht="12.75" outlineLevel="1">
      <c r="B451" s="18" t="s">
        <v>317</v>
      </c>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row>
    <row r="452" spans="2:77" outlineLevel="1">
      <c r="BF452" s="33"/>
      <c r="BG452" s="33"/>
      <c r="BH452" s="33"/>
      <c r="BI452" s="33"/>
      <c r="BJ452" s="33"/>
      <c r="BK452" s="33"/>
      <c r="BL452" s="33"/>
      <c r="BM452" s="33"/>
      <c r="BN452" s="33"/>
      <c r="BO452" s="33"/>
      <c r="BP452" s="33"/>
      <c r="BQ452" s="33"/>
      <c r="BR452" s="33"/>
      <c r="BS452" s="33"/>
      <c r="BT452" s="33"/>
      <c r="BU452" s="33"/>
      <c r="BV452" s="33"/>
      <c r="BW452" s="33"/>
      <c r="BX452" s="33"/>
      <c r="BY452" s="33"/>
    </row>
    <row r="453" spans="2:77" ht="15" outlineLevel="1">
      <c r="C453" s="22" t="s">
        <v>496</v>
      </c>
      <c r="BF453" s="33"/>
      <c r="BG453" s="33"/>
      <c r="BH453" s="33"/>
      <c r="BI453" s="33"/>
      <c r="BJ453" s="33"/>
      <c r="BK453" s="33"/>
      <c r="BL453" s="33"/>
      <c r="BM453" s="33"/>
      <c r="BN453" s="33"/>
      <c r="BO453" s="33"/>
      <c r="BP453" s="33"/>
      <c r="BQ453" s="33"/>
      <c r="BR453" s="33"/>
      <c r="BS453" s="33"/>
      <c r="BT453" s="33"/>
      <c r="BU453" s="33"/>
      <c r="BV453" s="33"/>
      <c r="BW453" s="33"/>
      <c r="BX453" s="33"/>
      <c r="BY453" s="33"/>
    </row>
    <row r="454" spans="2:77" outlineLevel="1">
      <c r="C454" s="75">
        <f>Assumptions!$G$352*C439</f>
        <v>-164011589.928</v>
      </c>
      <c r="E454" t="s">
        <v>456</v>
      </c>
      <c r="F454" s="80" t="str">
        <f>+Assumptions!$G$8</f>
        <v>USD</v>
      </c>
      <c r="H454" s="32">
        <f>IF(AND(H434=1,Assumptions!$G$328="Detailed",Assumptions!$G$327="yes"),-Assumptions_Detailed!H$105,IF(SUM($H$433:H433)&gt;0,IF(SUM($H$440:H440)&lt;$C$454,MAX($C$454-SUM($G$454:G454),H440),H440),0))</f>
        <v>0</v>
      </c>
      <c r="I454" s="32">
        <f>IF(AND(I434=1,Assumptions!$G$328="Detailed",Assumptions!$G$327="yes"),-Assumptions_Detailed!I$105,IF(SUM($H$433:I433)&gt;0,IF(SUM($H$440:I440)&lt;$C$454,MAX($C$454-SUM($G$454:H454),I440),I440),0))</f>
        <v>-164011589.928</v>
      </c>
      <c r="J454" s="32">
        <f>IF(AND(J434=1,Assumptions!$G$328="Detailed",Assumptions!$G$327="yes"),-Assumptions_Detailed!J$105,IF(SUM($H$433:J433)&gt;0,IF(SUM($H$440:J440)&lt;$C$454,MAX($C$454-SUM($G$454:I454),J440),J440),0))</f>
        <v>0</v>
      </c>
      <c r="K454" s="32">
        <f>IF(AND(K434=1,Assumptions!$G$328="Detailed",Assumptions!$G$327="yes"),-Assumptions_Detailed!K$105,IF(SUM($H$433:K433)&gt;0,IF(SUM($H$440:K440)&lt;$C$454,MAX($C$454-SUM($G$454:J454),K440),K440),0))</f>
        <v>0</v>
      </c>
      <c r="L454" s="32">
        <f>IF(AND(L434=1,Assumptions!$G$328="Detailed",Assumptions!$G$327="yes"),-Assumptions_Detailed!L$105,IF(SUM($H$433:L433)&gt;0,IF(SUM($H$440:L440)&lt;$C$454,MAX($C$454-SUM($G$454:K454),L440),L440),0))</f>
        <v>0</v>
      </c>
      <c r="M454" s="32">
        <f>IF(AND(M434=1,Assumptions!$G$328="Detailed",Assumptions!$G$327="yes"),-Assumptions_Detailed!M$105,IF(SUM($H$433:M433)&gt;0,IF(SUM($H$440:M440)&lt;$C$454,MAX($C$454-SUM($G$454:L454),M440),M440),0))</f>
        <v>0</v>
      </c>
      <c r="N454" s="32">
        <f>IF(AND(N434=1,Assumptions!$G$328="Detailed",Assumptions!$G$327="yes"),-Assumptions_Detailed!N$105,IF(SUM($H$433:N433)&gt;0,IF(SUM($H$440:N440)&lt;$C$454,MAX($C$454-SUM($G$454:M454),N440),N440),0))</f>
        <v>0</v>
      </c>
      <c r="O454" s="32">
        <f>IF(AND(O434=1,Assumptions!$G$328="Detailed",Assumptions!$G$327="yes"),-Assumptions_Detailed!O$105,IF(SUM($H$433:O433)&gt;0,IF(SUM($H$440:O440)&lt;$C$454,MAX($C$454-SUM($G$454:N454),O440),O440),0))</f>
        <v>0</v>
      </c>
      <c r="P454" s="32">
        <f>IF(AND(P434=1,Assumptions!$G$328="Detailed",Assumptions!$G$327="yes"),-Assumptions_Detailed!P$105,IF(SUM($H$433:P433)&gt;0,IF(SUM($H$440:P440)&lt;$C$454,MAX($C$454-SUM($G$454:O454),P440),P440),0))</f>
        <v>0</v>
      </c>
      <c r="Q454" s="32">
        <f>IF(AND(Q434=1,Assumptions!$G$328="Detailed",Assumptions!$G$327="yes"),-Assumptions_Detailed!Q$105,IF(SUM($H$433:Q433)&gt;0,IF(SUM($H$440:Q440)&lt;$C$454,MAX($C$454-SUM($G$454:P454),Q440),Q440),0))</f>
        <v>0</v>
      </c>
      <c r="R454" s="32">
        <f>IF(AND(R434=1,Assumptions!$G$328="Detailed",Assumptions!$G$327="yes"),-Assumptions_Detailed!R$105,IF(SUM($H$433:R433)&gt;0,IF(SUM($H$440:R440)&lt;$C$454,MAX($C$454-SUM($G$454:Q454),R440),R440),0))</f>
        <v>0</v>
      </c>
      <c r="S454" s="32">
        <f>IF(AND(S434=1,Assumptions!$G$328="Detailed",Assumptions!$G$327="yes"),-Assumptions_Detailed!S$105,IF(SUM($H$433:S433)&gt;0,IF(SUM($H$440:S440)&lt;$C$454,MAX($C$454-SUM($G$454:R454),S440),S440),0))</f>
        <v>0</v>
      </c>
      <c r="T454" s="32">
        <f>IF(AND(T434=1,Assumptions!$G$328="Detailed",Assumptions!$G$327="yes"),-Assumptions_Detailed!T$105,IF(SUM($H$433:T433)&gt;0,IF(SUM($H$440:T440)&lt;$C$454,MAX($C$454-SUM($G$454:S454),T440),T440),0))</f>
        <v>0</v>
      </c>
      <c r="U454" s="32">
        <f>IF(AND(U434=1,Assumptions!$G$328="Detailed",Assumptions!$G$327="yes"),-Assumptions_Detailed!U$105,IF(SUM($H$433:U433)&gt;0,IF(SUM($H$440:U440)&lt;$C$454,MAX($C$454-SUM($G$454:T454),U440),U440),0))</f>
        <v>0</v>
      </c>
      <c r="V454" s="32">
        <f>IF(AND(V434=1,Assumptions!$G$328="Detailed",Assumptions!$G$327="yes"),-Assumptions_Detailed!V$105,IF(SUM($H$433:V433)&gt;0,IF(SUM($H$440:V440)&lt;$C$454,MAX($C$454-SUM($G$454:U454),V440),V440),0))</f>
        <v>0</v>
      </c>
      <c r="W454" s="32">
        <f>IF(AND(W434=1,Assumptions!$G$328="Detailed",Assumptions!$G$327="yes"),-Assumptions_Detailed!W$105,IF(SUM($H$433:W433)&gt;0,IF(SUM($H$440:W440)&lt;$C$454,MAX($C$454-SUM($G$454:V454),W440),W440),0))</f>
        <v>0</v>
      </c>
      <c r="X454" s="32">
        <f>IF(AND(X434=1,Assumptions!$G$328="Detailed",Assumptions!$G$327="yes"),-Assumptions_Detailed!X$105,IF(SUM($H$433:X433)&gt;0,IF(SUM($H$440:X440)&lt;$C$454,MAX($C$454-SUM($G$454:W454),X440),X440),0))</f>
        <v>0</v>
      </c>
      <c r="Y454" s="32">
        <f>IF(AND(Y434=1,Assumptions!$G$328="Detailed",Assumptions!$G$327="yes"),-Assumptions_Detailed!Y$105,IF(SUM($H$433:Y433)&gt;0,IF(SUM($H$440:Y440)&lt;$C$454,MAX($C$454-SUM($G$454:X454),Y440),Y440),0))</f>
        <v>0</v>
      </c>
      <c r="Z454" s="32">
        <f>IF(AND(Z434=1,Assumptions!$G$328="Detailed",Assumptions!$G$327="yes"),-Assumptions_Detailed!Z$105,IF(SUM($H$433:Z433)&gt;0,IF(SUM($H$440:Z440)&lt;$C$454,MAX($C$454-SUM($G$454:Y454),Z440),Z440),0))</f>
        <v>0</v>
      </c>
      <c r="AA454" s="32">
        <f>IF(AND(AA434=1,Assumptions!$G$328="Detailed",Assumptions!$G$327="yes"),-Assumptions_Detailed!AA$105,IF(SUM($H$433:AA433)&gt;0,IF(SUM($H$440:AA440)&lt;$C$454,MAX($C$454-SUM($G$454:Z454),AA440),AA440),0))</f>
        <v>0</v>
      </c>
      <c r="AB454" s="32">
        <f>IF(AND(AB434=1,Assumptions!$G$328="Detailed",Assumptions!$G$327="yes"),-Assumptions_Detailed!AB$105,IF(SUM($H$433:AB433)&gt;0,IF(SUM($H$440:AB440)&lt;$C$454,MAX($C$454-SUM($G$454:AA454),AB440),AB440),0))</f>
        <v>0</v>
      </c>
      <c r="AC454" s="32">
        <f>IF(AND(AC434=1,Assumptions!$G$328="Detailed",Assumptions!$G$327="yes"),-Assumptions_Detailed!AC$105,IF(SUM($H$433:AC433)&gt;0,IF(SUM($H$440:AC440)&lt;$C$454,MAX($C$454-SUM($G$454:AB454),AC440),AC440),0))</f>
        <v>0</v>
      </c>
      <c r="AD454" s="32">
        <f>IF(AND(AD434=1,Assumptions!$G$328="Detailed",Assumptions!$G$327="yes"),-Assumptions_Detailed!AD$105,IF(SUM($H$433:AD433)&gt;0,IF(SUM($H$440:AD440)&lt;$C$454,MAX($C$454-SUM($G$454:AC454),AD440),AD440),0))</f>
        <v>0</v>
      </c>
      <c r="AE454" s="32">
        <f>IF(AND(AE434=1,Assumptions!$G$328="Detailed",Assumptions!$G$327="yes"),-Assumptions_Detailed!AE$105,IF(SUM($H$433:AE433)&gt;0,IF(SUM($H$440:AE440)&lt;$C$454,MAX($C$454-SUM($G$454:AD454),AE440),AE440),0))</f>
        <v>0</v>
      </c>
      <c r="AF454" s="32">
        <f>IF(AND(AF434=1,Assumptions!$G$328="Detailed",Assumptions!$G$327="yes"),-Assumptions_Detailed!AF$105,IF(SUM($H$433:AF433)&gt;0,IF(SUM($H$440:AF440)&lt;$C$454,MAX($C$454-SUM($G$454:AE454),AF440),AF440),0))</f>
        <v>0</v>
      </c>
      <c r="AG454" s="32">
        <f>IF(AND(AG434=1,Assumptions!$G$328="Detailed",Assumptions!$G$327="yes"),-Assumptions_Detailed!AG$105,IF(SUM($H$433:AG433)&gt;0,IF(SUM($H$440:AG440)&lt;$C$454,MAX($C$454-SUM($G$454:AF454),AG440),AG440),0))</f>
        <v>0</v>
      </c>
      <c r="AH454" s="32">
        <f>IF(AND(AH434=1,Assumptions!$G$328="Detailed",Assumptions!$G$327="yes"),-Assumptions_Detailed!AH$105,IF(SUM($H$433:AH433)&gt;0,IF(SUM($H$440:AH440)&lt;$C$454,MAX($C$454-SUM($G$454:AG454),AH440),AH440),0))</f>
        <v>0</v>
      </c>
      <c r="AI454" s="32">
        <f>IF(AND(AI434=1,Assumptions!$G$328="Detailed",Assumptions!$G$327="yes"),-Assumptions_Detailed!AI$105,IF(SUM($H$433:AI433)&gt;0,IF(SUM($H$440:AI440)&lt;$C$454,MAX($C$454-SUM($G$454:AH454),AI440),AI440),0))</f>
        <v>0</v>
      </c>
      <c r="AJ454" s="32">
        <f>IF(AND(AJ434=1,Assumptions!$G$328="Detailed",Assumptions!$G$327="yes"),-Assumptions_Detailed!AJ$105,IF(SUM($H$433:AJ433)&gt;0,IF(SUM($H$440:AJ440)&lt;$C$454,MAX($C$454-SUM($G$454:AI454),AJ440),AJ440),0))</f>
        <v>0</v>
      </c>
      <c r="AK454" s="32">
        <f>IF(AND(AK434=1,Assumptions!$G$328="Detailed",Assumptions!$G$327="yes"),-Assumptions_Detailed!AK$105,IF(SUM($H$433:AK433)&gt;0,IF(SUM($H$440:AK440)&lt;$C$454,MAX($C$454-SUM($G$454:AJ454),AK440),AK440),0))</f>
        <v>0</v>
      </c>
      <c r="AL454" s="32">
        <f>IF(AND(AL434=1,Assumptions!$G$328="Detailed",Assumptions!$G$327="yes"),-Assumptions_Detailed!AL$105,IF(SUM($H$433:AL433)&gt;0,IF(SUM($H$440:AL440)&lt;$C$454,MAX($C$454-SUM($G$454:AK454),AL440),AL440),0))</f>
        <v>0</v>
      </c>
      <c r="AM454" s="32">
        <f>IF(AND(AM434=1,Assumptions!$G$328="Detailed",Assumptions!$G$327="yes"),-Assumptions_Detailed!AM$105,IF(SUM($H$433:AM433)&gt;0,IF(SUM($H$440:AM440)&lt;$C$454,MAX($C$454-SUM($G$454:AL454),AM440),AM440),0))</f>
        <v>0</v>
      </c>
      <c r="AN454" s="32">
        <f>IF(AND(AN434=1,Assumptions!$G$328="Detailed",Assumptions!$G$327="yes"),-Assumptions_Detailed!AN$105,IF(SUM($H$433:AN433)&gt;0,IF(SUM($H$440:AN440)&lt;$C$454,MAX($C$454-SUM($G$454:AM454),AN440),AN440),0))</f>
        <v>0</v>
      </c>
      <c r="AO454" s="32">
        <f>IF(AND(AO434=1,Assumptions!$G$328="Detailed",Assumptions!$G$327="yes"),-Assumptions_Detailed!AO$105,IF(SUM($H$433:AO433)&gt;0,IF(SUM($H$440:AO440)&lt;$C$454,MAX($C$454-SUM($G$454:AN454),AO440),AO440),0))</f>
        <v>0</v>
      </c>
      <c r="AP454" s="32">
        <f>IF(AND(AP434=1,Assumptions!$G$328="Detailed",Assumptions!$G$327="yes"),-Assumptions_Detailed!AP$105,IF(SUM($H$433:AP433)&gt;0,IF(SUM($H$440:AP440)&lt;$C$454,MAX($C$454-SUM($G$454:AO454),AP440),AP440),0))</f>
        <v>0</v>
      </c>
      <c r="AQ454" s="32">
        <f>IF(AND(AQ434=1,Assumptions!$G$328="Detailed",Assumptions!$G$327="yes"),-Assumptions_Detailed!AQ$105,IF(SUM($H$433:AQ433)&gt;0,IF(SUM($H$440:AQ440)&lt;$C$454,MAX($C$454-SUM($G$454:AP454),AQ440),AQ440),0))</f>
        <v>0</v>
      </c>
      <c r="AR454" s="32">
        <f>IF(AND(AR434=1,Assumptions!$G$328="Detailed",Assumptions!$G$327="yes"),-Assumptions_Detailed!AR$105,IF(SUM($H$433:AR433)&gt;0,IF(SUM($H$440:AR440)&lt;$C$454,MAX($C$454-SUM($G$454:AQ454),AR440),AR440),0))</f>
        <v>0</v>
      </c>
      <c r="AS454" s="32">
        <f>IF(AND(AS434=1,Assumptions!$G$328="Detailed",Assumptions!$G$327="yes"),-Assumptions_Detailed!AS$105,IF(SUM($H$433:AS433)&gt;0,IF(SUM($H$440:AS440)&lt;$C$454,MAX($C$454-SUM($G$454:AR454),AS440),AS440),0))</f>
        <v>0</v>
      </c>
      <c r="AT454" s="32">
        <f>IF(AND(AT434=1,Assumptions!$G$328="Detailed",Assumptions!$G$327="yes"),-Assumptions_Detailed!AT$105,IF(SUM($H$433:AT433)&gt;0,IF(SUM($H$440:AT440)&lt;$C$454,MAX($C$454-SUM($G$454:AS454),AT440),AT440),0))</f>
        <v>0</v>
      </c>
      <c r="AU454" s="32">
        <f>IF(AND(AU434=1,Assumptions!$G$328="Detailed",Assumptions!$G$327="yes"),-Assumptions_Detailed!AU$105,IF(SUM($H$433:AU433)&gt;0,IF(SUM($H$440:AU440)&lt;$C$454,MAX($C$454-SUM($G$454:AT454),AU440),AU440),0))</f>
        <v>0</v>
      </c>
      <c r="AV454" s="32">
        <f>IF(AND(AV434=1,Assumptions!$G$328="Detailed",Assumptions!$G$327="yes"),-Assumptions_Detailed!AV$105,IF(SUM($H$433:AV433)&gt;0,IF(SUM($H$440:AV440)&lt;$C$454,MAX($C$454-SUM($G$454:AU454),AV440),AV440),0))</f>
        <v>0</v>
      </c>
      <c r="AW454" s="32">
        <f>IF(AND(AW434=1,Assumptions!$G$328="Detailed",Assumptions!$G$327="yes"),-Assumptions_Detailed!AW$105,IF(SUM($H$433:AW433)&gt;0,IF(SUM($H$440:AW440)&lt;$C$454,MAX($C$454-SUM($G$454:AV454),AW440),AW440),0))</f>
        <v>0</v>
      </c>
      <c r="AX454" s="32">
        <f>IF(AND(AX434=1,Assumptions!$G$328="Detailed",Assumptions!$G$327="yes"),-Assumptions_Detailed!AX$105,IF(SUM($H$433:AX433)&gt;0,IF(SUM($H$440:AX440)&lt;$C$454,MAX($C$454-SUM($G$454:AW454),AX440),AX440),0))</f>
        <v>0</v>
      </c>
      <c r="AY454" s="32">
        <f>IF(AND(AY434=1,Assumptions!$G$328="Detailed",Assumptions!$G$327="yes"),-Assumptions_Detailed!AY$105,IF(SUM($H$433:AY433)&gt;0,IF(SUM($H$440:AY440)&lt;$C$454,MAX($C$454-SUM($G$454:AX454),AY440),AY440),0))</f>
        <v>0</v>
      </c>
      <c r="AZ454" s="32">
        <f>IF(AND(AZ434=1,Assumptions!$G$328="Detailed",Assumptions!$G$327="yes"),-Assumptions_Detailed!AZ$105,IF(SUM($H$433:AZ433)&gt;0,IF(SUM($H$440:AZ440)&lt;$C$454,MAX($C$454-SUM($G$454:AY454),AZ440),AZ440),0))</f>
        <v>0</v>
      </c>
      <c r="BA454" s="32">
        <f>IF(AND(BA434=1,Assumptions!$G$328="Detailed",Assumptions!$G$327="yes"),-Assumptions_Detailed!BA$105,IF(SUM($H$433:BA433)&gt;0,IF(SUM($H$440:BA440)&lt;$C$454,MAX($C$454-SUM($G$454:AZ454),BA440),BA440),0))</f>
        <v>0</v>
      </c>
      <c r="BB454" s="32">
        <f>IF(AND(BB434=1,Assumptions!$G$328="Detailed",Assumptions!$G$327="yes"),-Assumptions_Detailed!BB$105,IF(SUM($H$433:BB433)&gt;0,IF(SUM($H$440:BB440)&lt;$C$454,MAX($C$454-SUM($G$454:BA454),BB440),BB440),0))</f>
        <v>0</v>
      </c>
      <c r="BC454" s="32">
        <f>IF(AND(BC434=1,Assumptions!$G$328="Detailed",Assumptions!$G$327="yes"),-Assumptions_Detailed!BC$105,IF(SUM($H$433:BC433)&gt;0,IF(SUM($H$440:BC440)&lt;$C$454,MAX($C$454-SUM($G$454:BB454),BC440),BC440),0))</f>
        <v>0</v>
      </c>
      <c r="BD454" s="32">
        <f>IF(AND(BD434=1,Assumptions!$G$328="Detailed",Assumptions!$G$327="yes"),-Assumptions_Detailed!BD$105,IF(SUM($H$433:BD433)&gt;0,IF(SUM($H$440:BD440)&lt;$C$454,MAX($C$454-SUM($G$454:BC454),BD440),BD440),0))</f>
        <v>0</v>
      </c>
      <c r="BE454" s="32">
        <f>IF(AND(BE434=1,Assumptions!$G$328="Detailed",Assumptions!$G$327="yes"),-Assumptions_Detailed!BE$105,IF(SUM($H$433:BE433)&gt;0,IF(SUM($H$440:BE440)&lt;$C$454,MAX($C$454-SUM($G$454:BD454),BE440),BE440),0))</f>
        <v>0</v>
      </c>
      <c r="BF454" s="32">
        <f>IF(AND(BF434=1,Assumptions!$G$328="Detailed",Assumptions!$G$327="yes"),-Assumptions_Detailed!BF$105,IF(SUM($H$433:BF433)&gt;0,IF(SUM($H$440:BF440)&lt;$C$454,MAX($C$454-SUM($G$454:BE454),BF440),BF440),0))</f>
        <v>0</v>
      </c>
      <c r="BG454" s="32">
        <f>IF(AND(BG434=1,Assumptions!$G$328="Detailed",Assumptions!$G$327="yes"),-Assumptions_Detailed!BG$105,IF(SUM($H$433:BG433)&gt;0,IF(SUM($H$440:BG440)&lt;$C$454,MAX($C$454-SUM($G$454:BF454),BG440),BG440),0))</f>
        <v>0</v>
      </c>
      <c r="BH454" s="32">
        <f>IF(AND(BH434=1,Assumptions!$G$328="Detailed",Assumptions!$G$327="yes"),-Assumptions_Detailed!BH$105,IF(SUM($H$433:BH433)&gt;0,IF(SUM($H$440:BH440)&lt;$C$454,MAX($C$454-SUM($G$454:BG454),BH440),BH440),0))</f>
        <v>0</v>
      </c>
      <c r="BI454" s="32">
        <f>IF(AND(BI434=1,Assumptions!$G$328="Detailed",Assumptions!$G$327="yes"),-Assumptions_Detailed!BI$105,IF(SUM($H$433:BI433)&gt;0,IF(SUM($H$440:BI440)&lt;$C$454,MAX($C$454-SUM($G$454:BH454),BI440),BI440),0))</f>
        <v>0</v>
      </c>
      <c r="BJ454" s="32">
        <f>IF(AND(BJ434=1,Assumptions!$G$328="Detailed",Assumptions!$G$327="yes"),-Assumptions_Detailed!BJ$105,IF(SUM($H$433:BJ433)&gt;0,IF(SUM($H$440:BJ440)&lt;$C$454,MAX($C$454-SUM($G$454:BI454),BJ440),BJ440),0))</f>
        <v>0</v>
      </c>
      <c r="BK454" s="32">
        <f>IF(AND(BK434=1,Assumptions!$G$328="Detailed",Assumptions!$G$327="yes"),-Assumptions_Detailed!BK$105,IF(SUM($H$433:BK433)&gt;0,IF(SUM($H$440:BK440)&lt;$C$454,MAX($C$454-SUM($G$454:BJ454),BK440),BK440),0))</f>
        <v>0</v>
      </c>
      <c r="BL454" s="32">
        <f>IF(AND(BL434=1,Assumptions!$G$328="Detailed",Assumptions!$G$327="yes"),-Assumptions_Detailed!BL$105,IF(SUM($H$433:BL433)&gt;0,IF(SUM($H$440:BL440)&lt;$C$454,MAX($C$454-SUM($G$454:BK454),BL440),BL440),0))</f>
        <v>0</v>
      </c>
      <c r="BM454" s="32">
        <f>IF(AND(BM434=1,Assumptions!$G$328="Detailed",Assumptions!$G$327="yes"),-Assumptions_Detailed!BM$105,IF(SUM($H$433:BM433)&gt;0,IF(SUM($H$440:BM440)&lt;$C$454,MAX($C$454-SUM($G$454:BL454),BM440),BM440),0))</f>
        <v>0</v>
      </c>
      <c r="BN454" s="32">
        <f>IF(AND(BN434=1,Assumptions!$G$328="Detailed",Assumptions!$G$327="yes"),-Assumptions_Detailed!BN$105,IF(SUM($H$433:BN433)&gt;0,IF(SUM($H$440:BN440)&lt;$C$454,MAX($C$454-SUM($G$454:BM454),BN440),BN440),0))</f>
        <v>0</v>
      </c>
      <c r="BO454" s="32">
        <f>IF(AND(BO434=1,Assumptions!$G$328="Detailed",Assumptions!$G$327="yes"),-Assumptions_Detailed!BO$105,IF(SUM($H$433:BO433)&gt;0,IF(SUM($H$440:BO440)&lt;$C$454,MAX($C$454-SUM($G$454:BN454),BO440),BO440),0))</f>
        <v>0</v>
      </c>
      <c r="BP454" s="32">
        <f>IF(AND(BP434=1,Assumptions!$G$328="Detailed",Assumptions!$G$327="yes"),-Assumptions_Detailed!BP$105,IF(SUM($H$433:BP433)&gt;0,IF(SUM($H$440:BP440)&lt;$C$454,MAX($C$454-SUM($G$454:BO454),BP440),BP440),0))</f>
        <v>0</v>
      </c>
      <c r="BQ454" s="32">
        <f>IF(AND(BQ434=1,Assumptions!$G$328="Detailed",Assumptions!$G$327="yes"),-Assumptions_Detailed!BQ$105,IF(SUM($H$433:BQ433)&gt;0,IF(SUM($H$440:BQ440)&lt;$C$454,MAX($C$454-SUM($G$454:BP454),BQ440),BQ440),0))</f>
        <v>0</v>
      </c>
      <c r="BR454" s="32">
        <f>IF(AND(BR434=1,Assumptions!$G$328="Detailed",Assumptions!$G$327="yes"),-Assumptions_Detailed!BR$105,IF(SUM($H$433:BR433)&gt;0,IF(SUM($H$440:BR440)&lt;$C$454,MAX($C$454-SUM($G$454:BQ454),BR440),BR440),0))</f>
        <v>0</v>
      </c>
      <c r="BS454" s="32">
        <f>IF(AND(BS434=1,Assumptions!$G$328="Detailed",Assumptions!$G$327="yes"),-Assumptions_Detailed!BS$105,IF(SUM($H$433:BS433)&gt;0,IF(SUM($H$440:BS440)&lt;$C$454,MAX($C$454-SUM($G$454:BR454),BS440),BS440),0))</f>
        <v>0</v>
      </c>
      <c r="BT454" s="32">
        <f>IF(AND(BT434=1,Assumptions!$G$328="Detailed",Assumptions!$G$327="yes"),-Assumptions_Detailed!BT$105,IF(SUM($H$433:BT433)&gt;0,IF(SUM($H$440:BT440)&lt;$C$454,MAX($C$454-SUM($G$454:BS454),BT440),BT440),0))</f>
        <v>0</v>
      </c>
      <c r="BU454" s="32">
        <f>IF(AND(BU434=1,Assumptions!$G$328="Detailed",Assumptions!$G$327="yes"),-Assumptions_Detailed!BU$105,IF(SUM($H$433:BU433)&gt;0,IF(SUM($H$440:BU440)&lt;$C$454,MAX($C$454-SUM($G$454:BT454),BU440),BU440),0))</f>
        <v>0</v>
      </c>
      <c r="BV454" s="32">
        <f>IF(AND(BV434=1,Assumptions!$G$328="Detailed",Assumptions!$G$327="yes"),-Assumptions_Detailed!BV$105,IF(SUM($H$433:BV433)&gt;0,IF(SUM($H$440:BV440)&lt;$C$454,MAX($C$454-SUM($G$454:BU454),BV440),BV440),0))</f>
        <v>0</v>
      </c>
      <c r="BW454" s="32">
        <f>IF(AND(BW434=1,Assumptions!$G$328="Detailed",Assumptions!$G$327="yes"),-Assumptions_Detailed!BW$105,IF(SUM($H$433:BW433)&gt;0,IF(SUM($H$440:BW440)&lt;$C$454,MAX($C$454-SUM($G$454:BV454),BW440),BW440),0))</f>
        <v>0</v>
      </c>
      <c r="BX454" s="32">
        <f>IF(AND(BX434=1,Assumptions!$G$328="Detailed",Assumptions!$G$327="yes"),-Assumptions_Detailed!BX$105,IF(SUM($H$433:BX433)&gt;0,IF(SUM($H$440:BX440)&lt;$C$454,MAX($C$454-SUM($G$454:BW454),BX440),BX440),0))</f>
        <v>0</v>
      </c>
      <c r="BY454" s="32">
        <f>IF(AND(BY434=1,Assumptions!$G$328="Detailed",Assumptions!$G$327="yes"),-Assumptions_Detailed!BY$105,IF(SUM($H$433:BY433)&gt;0,IF(SUM($H$440:BY440)&lt;$C$454,MAX($C$454-SUM($G$454:BX454),BY440),BY440),0))</f>
        <v>0</v>
      </c>
    </row>
    <row r="455" spans="2:77" outlineLevel="1">
      <c r="BF455" s="33"/>
      <c r="BG455" s="33"/>
      <c r="BH455" s="33"/>
      <c r="BI455" s="33"/>
      <c r="BJ455" s="33"/>
      <c r="BK455" s="33"/>
      <c r="BL455" s="33"/>
      <c r="BM455" s="33"/>
      <c r="BN455" s="33"/>
      <c r="BO455" s="33"/>
      <c r="BP455" s="33"/>
      <c r="BQ455" s="33"/>
      <c r="BR455" s="33"/>
      <c r="BS455" s="33"/>
      <c r="BT455" s="33"/>
      <c r="BU455" s="33"/>
      <c r="BV455" s="33"/>
      <c r="BW455" s="33"/>
      <c r="BX455" s="33"/>
      <c r="BY455" s="33"/>
    </row>
    <row r="456" spans="2:77" outlineLevel="1">
      <c r="BF456" s="33"/>
      <c r="BG456" s="33"/>
      <c r="BH456" s="33"/>
      <c r="BI456" s="33"/>
      <c r="BJ456" s="33"/>
      <c r="BK456" s="33"/>
      <c r="BL456" s="33"/>
      <c r="BM456" s="33"/>
      <c r="BN456" s="33"/>
      <c r="BO456" s="33"/>
      <c r="BP456" s="33"/>
      <c r="BQ456" s="33"/>
      <c r="BR456" s="33"/>
      <c r="BS456" s="33"/>
      <c r="BT456" s="33"/>
      <c r="BU456" s="33"/>
      <c r="BV456" s="33"/>
      <c r="BW456" s="33"/>
      <c r="BX456" s="33"/>
      <c r="BY456" s="33"/>
    </row>
    <row r="457" spans="2:77" ht="15" outlineLevel="1">
      <c r="C457" s="22" t="s">
        <v>497</v>
      </c>
      <c r="D457" s="31"/>
    </row>
    <row r="458" spans="2:77" ht="15" outlineLevel="1">
      <c r="C458" s="68" t="str">
        <f>+Assumptions!G338</f>
        <v>Equity-first</v>
      </c>
      <c r="D458" s="28"/>
      <c r="E458" s="22" t="s">
        <v>457</v>
      </c>
      <c r="H458" s="32"/>
      <c r="BF458" s="33"/>
      <c r="BG458" s="33"/>
      <c r="BH458" s="33"/>
      <c r="BI458" s="33"/>
      <c r="BJ458" s="33"/>
      <c r="BK458" s="33"/>
      <c r="BL458" s="33"/>
      <c r="BM458" s="33"/>
      <c r="BN458" s="33"/>
      <c r="BO458" s="33"/>
      <c r="BP458" s="33"/>
      <c r="BQ458" s="33"/>
      <c r="BR458" s="33"/>
      <c r="BS458" s="33"/>
      <c r="BT458" s="33"/>
      <c r="BU458" s="33"/>
      <c r="BV458" s="33"/>
      <c r="BW458" s="33"/>
      <c r="BX458" s="33"/>
      <c r="BY458" s="33"/>
    </row>
    <row r="459" spans="2:77" outlineLevel="1">
      <c r="C459" s="68" t="str">
        <f>+Assumptions!G339</f>
        <v>Annuity</v>
      </c>
      <c r="D459" s="28"/>
      <c r="E459" t="s">
        <v>458</v>
      </c>
      <c r="F459" s="80" t="str">
        <f>+Assumptions!$G$8</f>
        <v>USD</v>
      </c>
      <c r="H459" s="32">
        <f>IF(AND(H434=1,Assumptions!$G$328="Detailed",Assumptions!$G$327="yes"),-Assumptions_Detailed!H$109,MAX(IFERROR(H440-H454,0),$C$462-SUM($G$459:G459)))</f>
        <v>0</v>
      </c>
      <c r="I459" s="32">
        <f>IF(AND(I434=1,Assumptions!$G$328="Detailed",Assumptions!$G$327="yes"),-Assumptions_Detailed!I$109,MAX(IFERROR(I440-I454,0),$C$462-SUM($G$459:H459)))</f>
        <v>-38973051.071999997</v>
      </c>
      <c r="J459" s="32">
        <f>IF(AND(J434=1,Assumptions!$G$328="Detailed",Assumptions!$G$327="yes"),-Assumptions_Detailed!J$109,MAX(IFERROR(J440-J454,0),$C$462-SUM($G$459:I459)))</f>
        <v>-207044333.81999999</v>
      </c>
      <c r="K459" s="32">
        <f>IF(AND(K434=1,Assumptions!$G$328="Detailed",Assumptions!$G$327="yes"),-Assumptions_Detailed!K$109,MAX(IFERROR(K440-K454,0),$C$462-SUM($G$459:J459)))</f>
        <v>0</v>
      </c>
      <c r="L459" s="32">
        <f>IF(AND(L434=1,Assumptions!$G$328="Detailed",Assumptions!$G$327="yes"),-Assumptions_Detailed!L$109,MAX(IFERROR(L440-L454,0),$C$462-SUM($G$459:K459)))</f>
        <v>0</v>
      </c>
      <c r="M459" s="32">
        <f>IF(AND(M434=1,Assumptions!$G$328="Detailed",Assumptions!$G$327="yes"),-Assumptions_Detailed!M$109,MAX(IFERROR(M440-M454,0),$C$462-SUM($G$459:L459)))</f>
        <v>0</v>
      </c>
      <c r="N459" s="32">
        <f>IF(AND(N434=1,Assumptions!$G$328="Detailed",Assumptions!$G$327="yes"),-Assumptions_Detailed!N$109,MAX(IFERROR(N440-N454,0),$C$462-SUM($G$459:M459)))</f>
        <v>0</v>
      </c>
      <c r="O459" s="32">
        <f>IF(AND(O434=1,Assumptions!$G$328="Detailed",Assumptions!$G$327="yes"),-Assumptions_Detailed!O$109,MAX(IFERROR(O440-O454,0),$C$462-SUM($G$459:N459)))</f>
        <v>0</v>
      </c>
      <c r="P459" s="32">
        <f>IF(AND(P434=1,Assumptions!$G$328="Detailed",Assumptions!$G$327="yes"),-Assumptions_Detailed!P$109,MAX(IFERROR(P440-P454,0),$C$462-SUM($G$459:O459)))</f>
        <v>0</v>
      </c>
      <c r="Q459" s="32">
        <f>IF(AND(Q434=1,Assumptions!$G$328="Detailed",Assumptions!$G$327="yes"),-Assumptions_Detailed!Q$109,MAX(IFERROR(Q440-Q454,0),$C$462-SUM($G$459:P459)))</f>
        <v>0</v>
      </c>
      <c r="R459" s="32">
        <f>IF(AND(R434=1,Assumptions!$G$328="Detailed",Assumptions!$G$327="yes"),-Assumptions_Detailed!R$109,MAX(IFERROR(R440-R454,0),$C$462-SUM($G$459:Q459)))</f>
        <v>0</v>
      </c>
      <c r="S459" s="32">
        <f>IF(AND(S434=1,Assumptions!$G$328="Detailed",Assumptions!$G$327="yes"),-Assumptions_Detailed!S$109,MAX(IFERROR(S440-S454,0),$C$462-SUM($G$459:R459)))</f>
        <v>0</v>
      </c>
      <c r="T459" s="32">
        <f>IF(AND(T434=1,Assumptions!$G$328="Detailed",Assumptions!$G$327="yes"),-Assumptions_Detailed!T$109,MAX(IFERROR(T440-T454,0),$C$462-SUM($G$459:S459)))</f>
        <v>0</v>
      </c>
      <c r="U459" s="32">
        <f>IF(AND(U434=1,Assumptions!$G$328="Detailed",Assumptions!$G$327="yes"),-Assumptions_Detailed!U$109,MAX(IFERROR(U440-U454,0),$C$462-SUM($G$459:T459)))</f>
        <v>0</v>
      </c>
      <c r="V459" s="32">
        <f>IF(AND(V434=1,Assumptions!$G$328="Detailed",Assumptions!$G$327="yes"),-Assumptions_Detailed!V$109,MAX(IFERROR(V440-V454,0),$C$462-SUM($G$459:U459)))</f>
        <v>0</v>
      </c>
      <c r="W459" s="32">
        <f>IF(AND(W434=1,Assumptions!$G$328="Detailed",Assumptions!$G$327="yes"),-Assumptions_Detailed!W$109,MAX(IFERROR(W440-W454,0),$C$462-SUM($G$459:V459)))</f>
        <v>0</v>
      </c>
      <c r="X459" s="32">
        <f>IF(AND(X434=1,Assumptions!$G$328="Detailed",Assumptions!$G$327="yes"),-Assumptions_Detailed!X$109,MAX(IFERROR(X440-X454,0),$C$462-SUM($G$459:W459)))</f>
        <v>0</v>
      </c>
      <c r="Y459" s="32">
        <f>IF(AND(Y434=1,Assumptions!$G$328="Detailed",Assumptions!$G$327="yes"),-Assumptions_Detailed!Y$109,MAX(IFERROR(Y440-Y454,0),$C$462-SUM($G$459:X459)))</f>
        <v>0</v>
      </c>
      <c r="Z459" s="32">
        <f>IF(AND(Z434=1,Assumptions!$G$328="Detailed",Assumptions!$G$327="yes"),-Assumptions_Detailed!Z$109,MAX(IFERROR(Z440-Z454,0),$C$462-SUM($G$459:Y459)))</f>
        <v>0</v>
      </c>
      <c r="AA459" s="32">
        <f>IF(AND(AA434=1,Assumptions!$G$328="Detailed",Assumptions!$G$327="yes"),-Assumptions_Detailed!AA$109,MAX(IFERROR(AA440-AA454,0),$C$462-SUM($G$459:Z459)))</f>
        <v>0</v>
      </c>
      <c r="AB459" s="32">
        <f>IF(AND(AB434=1,Assumptions!$G$328="Detailed",Assumptions!$G$327="yes"),-Assumptions_Detailed!AB$109,MAX(IFERROR(AB440-AB454,0),$C$462-SUM($G$459:AA459)))</f>
        <v>0</v>
      </c>
      <c r="AC459" s="32">
        <f>IF(AND(AC434=1,Assumptions!$G$328="Detailed",Assumptions!$G$327="yes"),-Assumptions_Detailed!AC$109,MAX(IFERROR(AC440-AC454,0),$C$462-SUM($G$459:AB459)))</f>
        <v>0</v>
      </c>
      <c r="AD459" s="32">
        <f>IF(AND(AD434=1,Assumptions!$G$328="Detailed",Assumptions!$G$327="yes"),-Assumptions_Detailed!AD$109,MAX(IFERROR(AD440-AD454,0),$C$462-SUM($G$459:AC459)))</f>
        <v>0</v>
      </c>
      <c r="AE459" s="32">
        <f>IF(AND(AE434=1,Assumptions!$G$328="Detailed",Assumptions!$G$327="yes"),-Assumptions_Detailed!AE$109,MAX(IFERROR(AE440-AE454,0),$C$462-SUM($G$459:AD459)))</f>
        <v>0</v>
      </c>
      <c r="AF459" s="32">
        <f>IF(AND(AF434=1,Assumptions!$G$328="Detailed",Assumptions!$G$327="yes"),-Assumptions_Detailed!AF$109,MAX(IFERROR(AF440-AF454,0),$C$462-SUM($G$459:AE459)))</f>
        <v>0</v>
      </c>
      <c r="AG459" s="32">
        <f>IF(AND(AG434=1,Assumptions!$G$328="Detailed",Assumptions!$G$327="yes"),-Assumptions_Detailed!AG$109,MAX(IFERROR(AG440-AG454,0),$C$462-SUM($G$459:AF459)))</f>
        <v>0</v>
      </c>
      <c r="AH459" s="32">
        <f>IF(AND(AH434=1,Assumptions!$G$328="Detailed",Assumptions!$G$327="yes"),-Assumptions_Detailed!AH$109,MAX(IFERROR(AH440-AH454,0),$C$462-SUM($G$459:AG459)))</f>
        <v>0</v>
      </c>
      <c r="AI459" s="32">
        <f>IF(AND(AI434=1,Assumptions!$G$328="Detailed",Assumptions!$G$327="yes"),-Assumptions_Detailed!AI$109,MAX(IFERROR(AI440-AI454,0),$C$462-SUM($G$459:AH459)))</f>
        <v>0</v>
      </c>
      <c r="AJ459" s="32">
        <f>IF(AND(AJ434=1,Assumptions!$G$328="Detailed",Assumptions!$G$327="yes"),-Assumptions_Detailed!AJ$109,MAX(IFERROR(AJ440-AJ454,0),$C$462-SUM($G$459:AI459)))</f>
        <v>0</v>
      </c>
      <c r="AK459" s="32">
        <f>IF(AND(AK434=1,Assumptions!$G$328="Detailed",Assumptions!$G$327="yes"),-Assumptions_Detailed!AK$109,MAX(IFERROR(AK440-AK454,0),$C$462-SUM($G$459:AJ459)))</f>
        <v>0</v>
      </c>
      <c r="AL459" s="32">
        <f>IF(AND(AL434=1,Assumptions!$G$328="Detailed",Assumptions!$G$327="yes"),-Assumptions_Detailed!AL$109,MAX(IFERROR(AL440-AL454,0),$C$462-SUM($G$459:AK459)))</f>
        <v>0</v>
      </c>
      <c r="AM459" s="32">
        <f>IF(AND(AM434=1,Assumptions!$G$328="Detailed",Assumptions!$G$327="yes"),-Assumptions_Detailed!AM$109,MAX(IFERROR(AM440-AM454,0),$C$462-SUM($G$459:AL459)))</f>
        <v>0</v>
      </c>
      <c r="AN459" s="32">
        <f>IF(AND(AN434=1,Assumptions!$G$328="Detailed",Assumptions!$G$327="yes"),-Assumptions_Detailed!AN$109,MAX(IFERROR(AN440-AN454,0),$C$462-SUM($G$459:AM459)))</f>
        <v>0</v>
      </c>
      <c r="AO459" s="32">
        <f>IF(AND(AO434=1,Assumptions!$G$328="Detailed",Assumptions!$G$327="yes"),-Assumptions_Detailed!AO$109,MAX(IFERROR(AO440-AO454,0),$C$462-SUM($G$459:AN459)))</f>
        <v>0</v>
      </c>
      <c r="AP459" s="32">
        <f>IF(AND(AP434=1,Assumptions!$G$328="Detailed",Assumptions!$G$327="yes"),-Assumptions_Detailed!AP$109,MAX(IFERROR(AP440-AP454,0),$C$462-SUM($G$459:AO459)))</f>
        <v>0</v>
      </c>
      <c r="AQ459" s="32">
        <f>IF(AND(AQ434=1,Assumptions!$G$328="Detailed",Assumptions!$G$327="yes"),-Assumptions_Detailed!AQ$109,MAX(IFERROR(AQ440-AQ454,0),$C$462-SUM($G$459:AP459)))</f>
        <v>0</v>
      </c>
      <c r="AR459" s="32">
        <f>IF(AND(AR434=1,Assumptions!$G$328="Detailed",Assumptions!$G$327="yes"),-Assumptions_Detailed!AR$109,MAX(IFERROR(AR440-AR454,0),$C$462-SUM($G$459:AQ459)))</f>
        <v>0</v>
      </c>
      <c r="AS459" s="32">
        <f>IF(AND(AS434=1,Assumptions!$G$328="Detailed",Assumptions!$G$327="yes"),-Assumptions_Detailed!AS$109,MAX(IFERROR(AS440-AS454,0),$C$462-SUM($G$459:AR459)))</f>
        <v>0</v>
      </c>
      <c r="AT459" s="32">
        <f>IF(AND(AT434=1,Assumptions!$G$328="Detailed",Assumptions!$G$327="yes"),-Assumptions_Detailed!AT$109,MAX(IFERROR(AT440-AT454,0),$C$462-SUM($G$459:AS459)))</f>
        <v>0</v>
      </c>
      <c r="AU459" s="32">
        <f>IF(AND(AU434=1,Assumptions!$G$328="Detailed",Assumptions!$G$327="yes"),-Assumptions_Detailed!AU$109,MAX(IFERROR(AU440-AU454,0),$C$462-SUM($G$459:AT459)))</f>
        <v>0</v>
      </c>
      <c r="AV459" s="32">
        <f>IF(AND(AV434=1,Assumptions!$G$328="Detailed",Assumptions!$G$327="yes"),-Assumptions_Detailed!AV$109,MAX(IFERROR(AV440-AV454,0),$C$462-SUM($G$459:AU459)))</f>
        <v>0</v>
      </c>
      <c r="AW459" s="32">
        <f>IF(AND(AW434=1,Assumptions!$G$328="Detailed",Assumptions!$G$327="yes"),-Assumptions_Detailed!AW$109,MAX(IFERROR(AW440-AW454,0),$C$462-SUM($G$459:AV459)))</f>
        <v>0</v>
      </c>
      <c r="AX459" s="32">
        <f>IF(AND(AX434=1,Assumptions!$G$328="Detailed",Assumptions!$G$327="yes"),-Assumptions_Detailed!AX$109,MAX(IFERROR(AX440-AX454,0),$C$462-SUM($G$459:AW459)))</f>
        <v>0</v>
      </c>
      <c r="AY459" s="32">
        <f>IF(AND(AY434=1,Assumptions!$G$328="Detailed",Assumptions!$G$327="yes"),-Assumptions_Detailed!AY$109,MAX(IFERROR(AY440-AY454,0),$C$462-SUM($G$459:AX459)))</f>
        <v>0</v>
      </c>
      <c r="AZ459" s="32">
        <f>IF(AND(AZ434=1,Assumptions!$G$328="Detailed",Assumptions!$G$327="yes"),-Assumptions_Detailed!AZ$109,MAX(IFERROR(AZ440-AZ454,0),$C$462-SUM($G$459:AY459)))</f>
        <v>0</v>
      </c>
      <c r="BA459" s="32">
        <f>IF(AND(BA434=1,Assumptions!$G$328="Detailed",Assumptions!$G$327="yes"),-Assumptions_Detailed!BA$109,MAX(IFERROR(BA440-BA454,0),$C$462-SUM($G$459:AZ459)))</f>
        <v>0</v>
      </c>
      <c r="BB459" s="32">
        <f>IF(AND(BB434=1,Assumptions!$G$328="Detailed",Assumptions!$G$327="yes"),-Assumptions_Detailed!BB$109,MAX(IFERROR(BB440-BB454,0),$C$462-SUM($G$459:BA459)))</f>
        <v>0</v>
      </c>
      <c r="BC459" s="32">
        <f>IF(AND(BC434=1,Assumptions!$G$328="Detailed",Assumptions!$G$327="yes"),-Assumptions_Detailed!BC$109,MAX(IFERROR(BC440-BC454,0),$C$462-SUM($G$459:BB459)))</f>
        <v>0</v>
      </c>
      <c r="BD459" s="32">
        <f>IF(AND(BD434=1,Assumptions!$G$328="Detailed",Assumptions!$G$327="yes"),-Assumptions_Detailed!BD$109,MAX(IFERROR(BD440-BD454,0),$C$462-SUM($G$459:BC459)))</f>
        <v>0</v>
      </c>
      <c r="BE459" s="32">
        <f>IF(AND(BE434=1,Assumptions!$G$328="Detailed",Assumptions!$G$327="yes"),-Assumptions_Detailed!BE$109,MAX(IFERROR(BE440-BE454,0),$C$462-SUM($G$459:BD459)))</f>
        <v>0</v>
      </c>
      <c r="BF459" s="32">
        <f>IF(AND(BF434=1,Assumptions!$G$328="Detailed",Assumptions!$G$327="yes"),-Assumptions_Detailed!BF$109,MAX(IFERROR(BF440-BF454,0),$C$462-SUM($G$459:BE459)))</f>
        <v>0</v>
      </c>
      <c r="BG459" s="32">
        <f>IF(AND(BG434=1,Assumptions!$G$328="Detailed",Assumptions!$G$327="yes"),-Assumptions_Detailed!BG$109,MAX(IFERROR(BG440-BG454,0),$C$462-SUM($G$459:BF459)))</f>
        <v>0</v>
      </c>
      <c r="BH459" s="32">
        <f>IF(AND(BH434=1,Assumptions!$G$328="Detailed",Assumptions!$G$327="yes"),-Assumptions_Detailed!BH$109,MAX(IFERROR(BH440-BH454,0),$C$462-SUM($G$459:BG459)))</f>
        <v>0</v>
      </c>
      <c r="BI459" s="32">
        <f>IF(AND(BI434=1,Assumptions!$G$328="Detailed",Assumptions!$G$327="yes"),-Assumptions_Detailed!BI$109,MAX(IFERROR(BI440-BI454,0),$C$462-SUM($G$459:BH459)))</f>
        <v>0</v>
      </c>
      <c r="BJ459" s="32">
        <f>IF(AND(BJ434=1,Assumptions!$G$328="Detailed",Assumptions!$G$327="yes"),-Assumptions_Detailed!BJ$109,MAX(IFERROR(BJ440-BJ454,0),$C$462-SUM($G$459:BI459)))</f>
        <v>0</v>
      </c>
      <c r="BK459" s="32">
        <f>IF(AND(BK434=1,Assumptions!$G$328="Detailed",Assumptions!$G$327="yes"),-Assumptions_Detailed!BK$109,MAX(IFERROR(BK440-BK454,0),$C$462-SUM($G$459:BJ459)))</f>
        <v>0</v>
      </c>
      <c r="BL459" s="32">
        <f>IF(AND(BL434=1,Assumptions!$G$328="Detailed",Assumptions!$G$327="yes"),-Assumptions_Detailed!BL$109,MAX(IFERROR(BL440-BL454,0),$C$462-SUM($G$459:BK459)))</f>
        <v>0</v>
      </c>
      <c r="BM459" s="32">
        <f>IF(AND(BM434=1,Assumptions!$G$328="Detailed",Assumptions!$G$327="yes"),-Assumptions_Detailed!BM$109,MAX(IFERROR(BM440-BM454,0),$C$462-SUM($G$459:BL459)))</f>
        <v>0</v>
      </c>
      <c r="BN459" s="32">
        <f>IF(AND(BN434=1,Assumptions!$G$328="Detailed",Assumptions!$G$327="yes"),-Assumptions_Detailed!BN$109,MAX(IFERROR(BN440-BN454,0),$C$462-SUM($G$459:BM459)))</f>
        <v>0</v>
      </c>
      <c r="BO459" s="32">
        <f>IF(AND(BO434=1,Assumptions!$G$328="Detailed",Assumptions!$G$327="yes"),-Assumptions_Detailed!BO$109,MAX(IFERROR(BO440-BO454,0),$C$462-SUM($G$459:BN459)))</f>
        <v>0</v>
      </c>
      <c r="BP459" s="32">
        <f>IF(AND(BP434=1,Assumptions!$G$328="Detailed",Assumptions!$G$327="yes"),-Assumptions_Detailed!BP$109,MAX(IFERROR(BP440-BP454,0),$C$462-SUM($G$459:BO459)))</f>
        <v>0</v>
      </c>
      <c r="BQ459" s="32">
        <f>IF(AND(BQ434=1,Assumptions!$G$328="Detailed",Assumptions!$G$327="yes"),-Assumptions_Detailed!BQ$109,MAX(IFERROR(BQ440-BQ454,0),$C$462-SUM($G$459:BP459)))</f>
        <v>0</v>
      </c>
      <c r="BR459" s="32">
        <f>IF(AND(BR434=1,Assumptions!$G$328="Detailed",Assumptions!$G$327="yes"),-Assumptions_Detailed!BR$109,MAX(IFERROR(BR440-BR454,0),$C$462-SUM($G$459:BQ459)))</f>
        <v>0</v>
      </c>
      <c r="BS459" s="32">
        <f>IF(AND(BS434=1,Assumptions!$G$328="Detailed",Assumptions!$G$327="yes"),-Assumptions_Detailed!BS$109,MAX(IFERROR(BS440-BS454,0),$C$462-SUM($G$459:BR459)))</f>
        <v>0</v>
      </c>
      <c r="BT459" s="32">
        <f>IF(AND(BT434=1,Assumptions!$G$328="Detailed",Assumptions!$G$327="yes"),-Assumptions_Detailed!BT$109,MAX(IFERROR(BT440-BT454,0),$C$462-SUM($G$459:BS459)))</f>
        <v>0</v>
      </c>
      <c r="BU459" s="32">
        <f>IF(AND(BU434=1,Assumptions!$G$328="Detailed",Assumptions!$G$327="yes"),-Assumptions_Detailed!BU$109,MAX(IFERROR(BU440-BU454,0),$C$462-SUM($G$459:BT459)))</f>
        <v>0</v>
      </c>
      <c r="BV459" s="32">
        <f>IF(AND(BV434=1,Assumptions!$G$328="Detailed",Assumptions!$G$327="yes"),-Assumptions_Detailed!BV$109,MAX(IFERROR(BV440-BV454,0),$C$462-SUM($G$459:BU459)))</f>
        <v>0</v>
      </c>
      <c r="BW459" s="32">
        <f>IF(AND(BW434=1,Assumptions!$G$328="Detailed",Assumptions!$G$327="yes"),-Assumptions_Detailed!BW$109,MAX(IFERROR(BW440-BW454,0),$C$462-SUM($G$459:BV459)))</f>
        <v>0</v>
      </c>
      <c r="BX459" s="32">
        <f>IF(AND(BX434=1,Assumptions!$G$328="Detailed",Assumptions!$G$327="yes"),-Assumptions_Detailed!BX$109,MAX(IFERROR(BX440-BX454,0),$C$462-SUM($G$459:BW459)))</f>
        <v>0</v>
      </c>
      <c r="BY459" s="32">
        <f>IF(AND(BY434=1,Assumptions!$G$328="Detailed",Assumptions!$G$327="yes"),-Assumptions_Detailed!BY$109,MAX(IFERROR(BY440-BY454,0),$C$462-SUM($G$459:BX459)))</f>
        <v>0</v>
      </c>
    </row>
    <row r="460" spans="2:77" outlineLevel="1">
      <c r="D460" s="31"/>
      <c r="BF460" s="33"/>
      <c r="BG460" s="33"/>
      <c r="BH460" s="33"/>
      <c r="BI460" s="33"/>
      <c r="BJ460" s="33"/>
      <c r="BK460" s="33"/>
      <c r="BL460" s="33"/>
      <c r="BM460" s="33"/>
      <c r="BN460" s="33"/>
      <c r="BO460" s="33"/>
      <c r="BP460" s="33"/>
      <c r="BQ460" s="33"/>
      <c r="BR460" s="33"/>
      <c r="BS460" s="33"/>
      <c r="BT460" s="33"/>
      <c r="BU460" s="33"/>
      <c r="BV460" s="33"/>
      <c r="BW460" s="33"/>
      <c r="BX460" s="33"/>
      <c r="BY460" s="33"/>
    </row>
    <row r="461" spans="2:77" ht="15" outlineLevel="1">
      <c r="C461" s="22" t="s">
        <v>498</v>
      </c>
      <c r="D461" s="31"/>
      <c r="BF461" s="33"/>
      <c r="BG461" s="33"/>
      <c r="BH461" s="33"/>
      <c r="BI461" s="33"/>
      <c r="BJ461" s="33"/>
      <c r="BK461" s="33"/>
      <c r="BL461" s="33"/>
      <c r="BM461" s="33"/>
      <c r="BN461" s="33"/>
      <c r="BO461" s="33"/>
      <c r="BP461" s="33"/>
      <c r="BQ461" s="33"/>
      <c r="BR461" s="33"/>
      <c r="BS461" s="33"/>
      <c r="BT461" s="33"/>
      <c r="BU461" s="33"/>
      <c r="BV461" s="33"/>
      <c r="BW461" s="33"/>
      <c r="BX461" s="33"/>
      <c r="BY461" s="33"/>
    </row>
    <row r="462" spans="2:77" outlineLevel="1">
      <c r="C462" s="94">
        <f>Assumptions!$G$332*C439</f>
        <v>-246017384.89199999</v>
      </c>
      <c r="D462" s="31"/>
      <c r="BF462" s="33"/>
      <c r="BG462" s="33"/>
      <c r="BH462" s="33"/>
      <c r="BI462" s="33"/>
      <c r="BJ462" s="33"/>
      <c r="BK462" s="33"/>
      <c r="BL462" s="33"/>
      <c r="BM462" s="33"/>
      <c r="BN462" s="33"/>
      <c r="BO462" s="33"/>
      <c r="BP462" s="33"/>
      <c r="BQ462" s="33"/>
      <c r="BR462" s="33"/>
      <c r="BS462" s="33"/>
      <c r="BT462" s="33"/>
      <c r="BU462" s="33"/>
      <c r="BV462" s="33"/>
      <c r="BW462" s="33"/>
      <c r="BX462" s="33"/>
      <c r="BY462" s="33"/>
    </row>
    <row r="463" spans="2:77" outlineLevel="1">
      <c r="D463" s="31"/>
      <c r="E463" t="s">
        <v>499</v>
      </c>
      <c r="F463" s="23" t="s">
        <v>500</v>
      </c>
      <c r="G463" s="33"/>
      <c r="H463" s="33">
        <f>+IF(AND(H$459=$C465,H$459&lt;0),1,0)</f>
        <v>0</v>
      </c>
      <c r="I463" s="33">
        <f t="shared" ref="I463:BT463" si="751">+IF(AND(I$459=$C465,I$459&lt;0),1,0)</f>
        <v>1</v>
      </c>
      <c r="J463" s="33">
        <f t="shared" si="751"/>
        <v>0</v>
      </c>
      <c r="K463" s="33">
        <f t="shared" si="751"/>
        <v>0</v>
      </c>
      <c r="L463" s="33">
        <f t="shared" si="751"/>
        <v>0</v>
      </c>
      <c r="M463" s="33">
        <f t="shared" si="751"/>
        <v>0</v>
      </c>
      <c r="N463" s="33">
        <f t="shared" si="751"/>
        <v>0</v>
      </c>
      <c r="O463" s="33">
        <f t="shared" si="751"/>
        <v>0</v>
      </c>
      <c r="P463" s="33">
        <f t="shared" si="751"/>
        <v>0</v>
      </c>
      <c r="Q463" s="33">
        <f t="shared" si="751"/>
        <v>0</v>
      </c>
      <c r="R463" s="33">
        <f t="shared" si="751"/>
        <v>0</v>
      </c>
      <c r="S463" s="33">
        <f t="shared" si="751"/>
        <v>0</v>
      </c>
      <c r="T463" s="33">
        <f t="shared" si="751"/>
        <v>0</v>
      </c>
      <c r="U463" s="33">
        <f t="shared" si="751"/>
        <v>0</v>
      </c>
      <c r="V463" s="33">
        <f t="shared" si="751"/>
        <v>0</v>
      </c>
      <c r="W463" s="33">
        <f t="shared" si="751"/>
        <v>0</v>
      </c>
      <c r="X463" s="33">
        <f t="shared" si="751"/>
        <v>0</v>
      </c>
      <c r="Y463" s="33">
        <f t="shared" si="751"/>
        <v>0</v>
      </c>
      <c r="Z463" s="33">
        <f t="shared" si="751"/>
        <v>0</v>
      </c>
      <c r="AA463" s="33">
        <f t="shared" si="751"/>
        <v>0</v>
      </c>
      <c r="AB463" s="33">
        <f t="shared" si="751"/>
        <v>0</v>
      </c>
      <c r="AC463" s="33">
        <f t="shared" si="751"/>
        <v>0</v>
      </c>
      <c r="AD463" s="33">
        <f t="shared" si="751"/>
        <v>0</v>
      </c>
      <c r="AE463" s="33">
        <f t="shared" si="751"/>
        <v>0</v>
      </c>
      <c r="AF463" s="33">
        <f t="shared" si="751"/>
        <v>0</v>
      </c>
      <c r="AG463" s="33">
        <f t="shared" si="751"/>
        <v>0</v>
      </c>
      <c r="AH463" s="33">
        <f t="shared" si="751"/>
        <v>0</v>
      </c>
      <c r="AI463" s="33">
        <f t="shared" si="751"/>
        <v>0</v>
      </c>
      <c r="AJ463" s="33">
        <f t="shared" si="751"/>
        <v>0</v>
      </c>
      <c r="AK463" s="33">
        <f t="shared" si="751"/>
        <v>0</v>
      </c>
      <c r="AL463" s="33">
        <f t="shared" si="751"/>
        <v>0</v>
      </c>
      <c r="AM463" s="33">
        <f t="shared" si="751"/>
        <v>0</v>
      </c>
      <c r="AN463" s="33">
        <f t="shared" si="751"/>
        <v>0</v>
      </c>
      <c r="AO463" s="33">
        <f t="shared" si="751"/>
        <v>0</v>
      </c>
      <c r="AP463" s="33">
        <f t="shared" si="751"/>
        <v>0</v>
      </c>
      <c r="AQ463" s="33">
        <f t="shared" si="751"/>
        <v>0</v>
      </c>
      <c r="AR463" s="33">
        <f t="shared" si="751"/>
        <v>0</v>
      </c>
      <c r="AS463" s="33">
        <f t="shared" si="751"/>
        <v>0</v>
      </c>
      <c r="AT463" s="33">
        <f t="shared" si="751"/>
        <v>0</v>
      </c>
      <c r="AU463" s="33">
        <f t="shared" si="751"/>
        <v>0</v>
      </c>
      <c r="AV463" s="33">
        <f t="shared" si="751"/>
        <v>0</v>
      </c>
      <c r="AW463" s="33">
        <f t="shared" si="751"/>
        <v>0</v>
      </c>
      <c r="AX463" s="33">
        <f t="shared" si="751"/>
        <v>0</v>
      </c>
      <c r="AY463" s="33">
        <f t="shared" si="751"/>
        <v>0</v>
      </c>
      <c r="AZ463" s="33">
        <f t="shared" si="751"/>
        <v>0</v>
      </c>
      <c r="BA463" s="33">
        <f t="shared" si="751"/>
        <v>0</v>
      </c>
      <c r="BB463" s="33">
        <f t="shared" si="751"/>
        <v>0</v>
      </c>
      <c r="BC463" s="33">
        <f t="shared" si="751"/>
        <v>0</v>
      </c>
      <c r="BD463" s="33">
        <f t="shared" si="751"/>
        <v>0</v>
      </c>
      <c r="BE463" s="33">
        <f t="shared" si="751"/>
        <v>0</v>
      </c>
      <c r="BF463" s="33">
        <f t="shared" si="751"/>
        <v>0</v>
      </c>
      <c r="BG463" s="33">
        <f t="shared" si="751"/>
        <v>0</v>
      </c>
      <c r="BH463" s="33">
        <f t="shared" si="751"/>
        <v>0</v>
      </c>
      <c r="BI463" s="33">
        <f t="shared" si="751"/>
        <v>0</v>
      </c>
      <c r="BJ463" s="33">
        <f t="shared" si="751"/>
        <v>0</v>
      </c>
      <c r="BK463" s="33">
        <f t="shared" si="751"/>
        <v>0</v>
      </c>
      <c r="BL463" s="33">
        <f t="shared" si="751"/>
        <v>0</v>
      </c>
      <c r="BM463" s="33">
        <f t="shared" si="751"/>
        <v>0</v>
      </c>
      <c r="BN463" s="33">
        <f t="shared" si="751"/>
        <v>0</v>
      </c>
      <c r="BO463" s="33">
        <f t="shared" si="751"/>
        <v>0</v>
      </c>
      <c r="BP463" s="33">
        <f t="shared" si="751"/>
        <v>0</v>
      </c>
      <c r="BQ463" s="33">
        <f t="shared" si="751"/>
        <v>0</v>
      </c>
      <c r="BR463" s="33">
        <f t="shared" si="751"/>
        <v>0</v>
      </c>
      <c r="BS463" s="33">
        <f t="shared" si="751"/>
        <v>0</v>
      </c>
      <c r="BT463" s="33">
        <f t="shared" si="751"/>
        <v>0</v>
      </c>
      <c r="BU463" s="33">
        <f t="shared" ref="BU463:BY463" si="752">+IF(AND(BU$459=$C465,BU$459&lt;0),1,0)</f>
        <v>0</v>
      </c>
      <c r="BV463" s="33">
        <f t="shared" si="752"/>
        <v>0</v>
      </c>
      <c r="BW463" s="33">
        <f t="shared" si="752"/>
        <v>0</v>
      </c>
      <c r="BX463" s="33">
        <f t="shared" si="752"/>
        <v>0</v>
      </c>
      <c r="BY463" s="33">
        <f t="shared" si="752"/>
        <v>0</v>
      </c>
    </row>
    <row r="464" spans="2:77" ht="15" outlineLevel="1">
      <c r="C464" s="22" t="s">
        <v>501</v>
      </c>
      <c r="D464" s="31"/>
      <c r="E464" t="s">
        <v>502</v>
      </c>
      <c r="F464" s="23" t="s">
        <v>500</v>
      </c>
      <c r="H464" s="33">
        <f t="shared" ref="H464:BS464" si="753">+IF(AND(H$459=$C466,H$459&lt;0),1,0)</f>
        <v>0</v>
      </c>
      <c r="I464" s="33">
        <f t="shared" si="753"/>
        <v>0</v>
      </c>
      <c r="J464" s="33">
        <f t="shared" si="753"/>
        <v>1</v>
      </c>
      <c r="K464" s="33">
        <f t="shared" si="753"/>
        <v>0</v>
      </c>
      <c r="L464" s="33">
        <f t="shared" si="753"/>
        <v>0</v>
      </c>
      <c r="M464" s="33">
        <f t="shared" si="753"/>
        <v>0</v>
      </c>
      <c r="N464" s="33">
        <f t="shared" si="753"/>
        <v>0</v>
      </c>
      <c r="O464" s="33">
        <f t="shared" si="753"/>
        <v>0</v>
      </c>
      <c r="P464" s="33">
        <f t="shared" si="753"/>
        <v>0</v>
      </c>
      <c r="Q464" s="33">
        <f t="shared" si="753"/>
        <v>0</v>
      </c>
      <c r="R464" s="33">
        <f t="shared" si="753"/>
        <v>0</v>
      </c>
      <c r="S464" s="33">
        <f t="shared" si="753"/>
        <v>0</v>
      </c>
      <c r="T464" s="33">
        <f t="shared" si="753"/>
        <v>0</v>
      </c>
      <c r="U464" s="33">
        <f t="shared" si="753"/>
        <v>0</v>
      </c>
      <c r="V464" s="33">
        <f t="shared" si="753"/>
        <v>0</v>
      </c>
      <c r="W464" s="33">
        <f t="shared" si="753"/>
        <v>0</v>
      </c>
      <c r="X464" s="33">
        <f t="shared" si="753"/>
        <v>0</v>
      </c>
      <c r="Y464" s="33">
        <f t="shared" si="753"/>
        <v>0</v>
      </c>
      <c r="Z464" s="33">
        <f t="shared" si="753"/>
        <v>0</v>
      </c>
      <c r="AA464" s="33">
        <f t="shared" si="753"/>
        <v>0</v>
      </c>
      <c r="AB464" s="33">
        <f t="shared" si="753"/>
        <v>0</v>
      </c>
      <c r="AC464" s="33">
        <f t="shared" si="753"/>
        <v>0</v>
      </c>
      <c r="AD464" s="33">
        <f t="shared" si="753"/>
        <v>0</v>
      </c>
      <c r="AE464" s="33">
        <f t="shared" si="753"/>
        <v>0</v>
      </c>
      <c r="AF464" s="33">
        <f t="shared" si="753"/>
        <v>0</v>
      </c>
      <c r="AG464" s="33">
        <f t="shared" si="753"/>
        <v>0</v>
      </c>
      <c r="AH464" s="33">
        <f t="shared" si="753"/>
        <v>0</v>
      </c>
      <c r="AI464" s="33">
        <f t="shared" si="753"/>
        <v>0</v>
      </c>
      <c r="AJ464" s="33">
        <f t="shared" si="753"/>
        <v>0</v>
      </c>
      <c r="AK464" s="33">
        <f t="shared" si="753"/>
        <v>0</v>
      </c>
      <c r="AL464" s="33">
        <f t="shared" si="753"/>
        <v>0</v>
      </c>
      <c r="AM464" s="33">
        <f t="shared" si="753"/>
        <v>0</v>
      </c>
      <c r="AN464" s="33">
        <f t="shared" si="753"/>
        <v>0</v>
      </c>
      <c r="AO464" s="33">
        <f t="shared" si="753"/>
        <v>0</v>
      </c>
      <c r="AP464" s="33">
        <f t="shared" si="753"/>
        <v>0</v>
      </c>
      <c r="AQ464" s="33">
        <f t="shared" si="753"/>
        <v>0</v>
      </c>
      <c r="AR464" s="33">
        <f t="shared" si="753"/>
        <v>0</v>
      </c>
      <c r="AS464" s="33">
        <f t="shared" si="753"/>
        <v>0</v>
      </c>
      <c r="AT464" s="33">
        <f t="shared" si="753"/>
        <v>0</v>
      </c>
      <c r="AU464" s="33">
        <f t="shared" si="753"/>
        <v>0</v>
      </c>
      <c r="AV464" s="33">
        <f t="shared" si="753"/>
        <v>0</v>
      </c>
      <c r="AW464" s="33">
        <f t="shared" si="753"/>
        <v>0</v>
      </c>
      <c r="AX464" s="33">
        <f t="shared" si="753"/>
        <v>0</v>
      </c>
      <c r="AY464" s="33">
        <f t="shared" si="753"/>
        <v>0</v>
      </c>
      <c r="AZ464" s="33">
        <f t="shared" si="753"/>
        <v>0</v>
      </c>
      <c r="BA464" s="33">
        <f t="shared" si="753"/>
        <v>0</v>
      </c>
      <c r="BB464" s="33">
        <f t="shared" si="753"/>
        <v>0</v>
      </c>
      <c r="BC464" s="33">
        <f t="shared" si="753"/>
        <v>0</v>
      </c>
      <c r="BD464" s="33">
        <f t="shared" si="753"/>
        <v>0</v>
      </c>
      <c r="BE464" s="33">
        <f t="shared" si="753"/>
        <v>0</v>
      </c>
      <c r="BF464" s="33">
        <f t="shared" si="753"/>
        <v>0</v>
      </c>
      <c r="BG464" s="33">
        <f t="shared" si="753"/>
        <v>0</v>
      </c>
      <c r="BH464" s="33">
        <f t="shared" si="753"/>
        <v>0</v>
      </c>
      <c r="BI464" s="33">
        <f t="shared" si="753"/>
        <v>0</v>
      </c>
      <c r="BJ464" s="33">
        <f t="shared" si="753"/>
        <v>0</v>
      </c>
      <c r="BK464" s="33">
        <f t="shared" si="753"/>
        <v>0</v>
      </c>
      <c r="BL464" s="33">
        <f t="shared" si="753"/>
        <v>0</v>
      </c>
      <c r="BM464" s="33">
        <f t="shared" si="753"/>
        <v>0</v>
      </c>
      <c r="BN464" s="33">
        <f t="shared" si="753"/>
        <v>0</v>
      </c>
      <c r="BO464" s="33">
        <f t="shared" si="753"/>
        <v>0</v>
      </c>
      <c r="BP464" s="33">
        <f t="shared" si="753"/>
        <v>0</v>
      </c>
      <c r="BQ464" s="33">
        <f t="shared" si="753"/>
        <v>0</v>
      </c>
      <c r="BR464" s="33">
        <f t="shared" si="753"/>
        <v>0</v>
      </c>
      <c r="BS464" s="33">
        <f t="shared" si="753"/>
        <v>0</v>
      </c>
      <c r="BT464" s="33">
        <f t="shared" ref="BT464:BY464" si="754">+IF(AND(BT$459=$C466,BT$459&lt;0),1,0)</f>
        <v>0</v>
      </c>
      <c r="BU464" s="33">
        <f t="shared" si="754"/>
        <v>0</v>
      </c>
      <c r="BV464" s="33">
        <f t="shared" si="754"/>
        <v>0</v>
      </c>
      <c r="BW464" s="33">
        <f t="shared" si="754"/>
        <v>0</v>
      </c>
      <c r="BX464" s="33">
        <f t="shared" si="754"/>
        <v>0</v>
      </c>
      <c r="BY464" s="33">
        <f t="shared" si="754"/>
        <v>0</v>
      </c>
    </row>
    <row r="465" spans="3:77" outlineLevel="1">
      <c r="C465" s="32" cm="1">
        <f t="array" ref="C465:C466">+TRANSPOSE(_xlfn._xlws.FILTER(H459:BY459,H459:BY459))</f>
        <v>-38973051.071999997</v>
      </c>
      <c r="D465" s="31"/>
      <c r="E465" t="s">
        <v>503</v>
      </c>
      <c r="F465" s="23" t="s">
        <v>500</v>
      </c>
      <c r="H465" s="33">
        <f t="shared" ref="H465:BS465" si="755">+IF(AND(H$459=$C467,H$459&lt;0),1,0)</f>
        <v>0</v>
      </c>
      <c r="I465" s="33">
        <f t="shared" si="755"/>
        <v>0</v>
      </c>
      <c r="J465" s="33">
        <f t="shared" si="755"/>
        <v>0</v>
      </c>
      <c r="K465" s="33">
        <f t="shared" si="755"/>
        <v>0</v>
      </c>
      <c r="L465" s="33">
        <f t="shared" si="755"/>
        <v>0</v>
      </c>
      <c r="M465" s="33">
        <f t="shared" si="755"/>
        <v>0</v>
      </c>
      <c r="N465" s="33">
        <f t="shared" si="755"/>
        <v>0</v>
      </c>
      <c r="O465" s="33">
        <f t="shared" si="755"/>
        <v>0</v>
      </c>
      <c r="P465" s="33">
        <f t="shared" si="755"/>
        <v>0</v>
      </c>
      <c r="Q465" s="33">
        <f t="shared" si="755"/>
        <v>0</v>
      </c>
      <c r="R465" s="33">
        <f t="shared" si="755"/>
        <v>0</v>
      </c>
      <c r="S465" s="33">
        <f t="shared" si="755"/>
        <v>0</v>
      </c>
      <c r="T465" s="33">
        <f t="shared" si="755"/>
        <v>0</v>
      </c>
      <c r="U465" s="33">
        <f t="shared" si="755"/>
        <v>0</v>
      </c>
      <c r="V465" s="33">
        <f t="shared" si="755"/>
        <v>0</v>
      </c>
      <c r="W465" s="33">
        <f t="shared" si="755"/>
        <v>0</v>
      </c>
      <c r="X465" s="33">
        <f t="shared" si="755"/>
        <v>0</v>
      </c>
      <c r="Y465" s="33">
        <f t="shared" si="755"/>
        <v>0</v>
      </c>
      <c r="Z465" s="33">
        <f t="shared" si="755"/>
        <v>0</v>
      </c>
      <c r="AA465" s="33">
        <f t="shared" si="755"/>
        <v>0</v>
      </c>
      <c r="AB465" s="33">
        <f t="shared" si="755"/>
        <v>0</v>
      </c>
      <c r="AC465" s="33">
        <f t="shared" si="755"/>
        <v>0</v>
      </c>
      <c r="AD465" s="33">
        <f t="shared" si="755"/>
        <v>0</v>
      </c>
      <c r="AE465" s="33">
        <f t="shared" si="755"/>
        <v>0</v>
      </c>
      <c r="AF465" s="33">
        <f t="shared" si="755"/>
        <v>0</v>
      </c>
      <c r="AG465" s="33">
        <f t="shared" si="755"/>
        <v>0</v>
      </c>
      <c r="AH465" s="33">
        <f t="shared" si="755"/>
        <v>0</v>
      </c>
      <c r="AI465" s="33">
        <f t="shared" si="755"/>
        <v>0</v>
      </c>
      <c r="AJ465" s="33">
        <f t="shared" si="755"/>
        <v>0</v>
      </c>
      <c r="AK465" s="33">
        <f t="shared" si="755"/>
        <v>0</v>
      </c>
      <c r="AL465" s="33">
        <f t="shared" si="755"/>
        <v>0</v>
      </c>
      <c r="AM465" s="33">
        <f t="shared" si="755"/>
        <v>0</v>
      </c>
      <c r="AN465" s="33">
        <f t="shared" si="755"/>
        <v>0</v>
      </c>
      <c r="AO465" s="33">
        <f t="shared" si="755"/>
        <v>0</v>
      </c>
      <c r="AP465" s="33">
        <f t="shared" si="755"/>
        <v>0</v>
      </c>
      <c r="AQ465" s="33">
        <f t="shared" si="755"/>
        <v>0</v>
      </c>
      <c r="AR465" s="33">
        <f t="shared" si="755"/>
        <v>0</v>
      </c>
      <c r="AS465" s="33">
        <f t="shared" si="755"/>
        <v>0</v>
      </c>
      <c r="AT465" s="33">
        <f t="shared" si="755"/>
        <v>0</v>
      </c>
      <c r="AU465" s="33">
        <f t="shared" si="755"/>
        <v>0</v>
      </c>
      <c r="AV465" s="33">
        <f t="shared" si="755"/>
        <v>0</v>
      </c>
      <c r="AW465" s="33">
        <f t="shared" si="755"/>
        <v>0</v>
      </c>
      <c r="AX465" s="33">
        <f t="shared" si="755"/>
        <v>0</v>
      </c>
      <c r="AY465" s="33">
        <f t="shared" si="755"/>
        <v>0</v>
      </c>
      <c r="AZ465" s="33">
        <f t="shared" si="755"/>
        <v>0</v>
      </c>
      <c r="BA465" s="33">
        <f t="shared" si="755"/>
        <v>0</v>
      </c>
      <c r="BB465" s="33">
        <f t="shared" si="755"/>
        <v>0</v>
      </c>
      <c r="BC465" s="33">
        <f t="shared" si="755"/>
        <v>0</v>
      </c>
      <c r="BD465" s="33">
        <f t="shared" si="755"/>
        <v>0</v>
      </c>
      <c r="BE465" s="33">
        <f t="shared" si="755"/>
        <v>0</v>
      </c>
      <c r="BF465" s="33">
        <f t="shared" si="755"/>
        <v>0</v>
      </c>
      <c r="BG465" s="33">
        <f t="shared" si="755"/>
        <v>0</v>
      </c>
      <c r="BH465" s="33">
        <f t="shared" si="755"/>
        <v>0</v>
      </c>
      <c r="BI465" s="33">
        <f t="shared" si="755"/>
        <v>0</v>
      </c>
      <c r="BJ465" s="33">
        <f t="shared" si="755"/>
        <v>0</v>
      </c>
      <c r="BK465" s="33">
        <f t="shared" si="755"/>
        <v>0</v>
      </c>
      <c r="BL465" s="33">
        <f t="shared" si="755"/>
        <v>0</v>
      </c>
      <c r="BM465" s="33">
        <f t="shared" si="755"/>
        <v>0</v>
      </c>
      <c r="BN465" s="33">
        <f t="shared" si="755"/>
        <v>0</v>
      </c>
      <c r="BO465" s="33">
        <f t="shared" si="755"/>
        <v>0</v>
      </c>
      <c r="BP465" s="33">
        <f t="shared" si="755"/>
        <v>0</v>
      </c>
      <c r="BQ465" s="33">
        <f t="shared" si="755"/>
        <v>0</v>
      </c>
      <c r="BR465" s="33">
        <f t="shared" si="755"/>
        <v>0</v>
      </c>
      <c r="BS465" s="33">
        <f t="shared" si="755"/>
        <v>0</v>
      </c>
      <c r="BT465" s="33">
        <f t="shared" ref="BT465:BY465" si="756">+IF(AND(BT$459=$C467,BT$459&lt;0),1,0)</f>
        <v>0</v>
      </c>
      <c r="BU465" s="33">
        <f t="shared" si="756"/>
        <v>0</v>
      </c>
      <c r="BV465" s="33">
        <f t="shared" si="756"/>
        <v>0</v>
      </c>
      <c r="BW465" s="33">
        <f t="shared" si="756"/>
        <v>0</v>
      </c>
      <c r="BX465" s="33">
        <f t="shared" si="756"/>
        <v>0</v>
      </c>
      <c r="BY465" s="33">
        <f t="shared" si="756"/>
        <v>0</v>
      </c>
    </row>
    <row r="466" spans="3:77" outlineLevel="1">
      <c r="C466" s="32">
        <v>-207044333.81999999</v>
      </c>
      <c r="D466" s="31"/>
      <c r="E466" t="s">
        <v>504</v>
      </c>
      <c r="F466" s="23" t="s">
        <v>500</v>
      </c>
      <c r="H466" s="33">
        <f t="shared" ref="H466:BS466" si="757">+IF(AND(H$459=$C468,H$459&lt;0),1,0)</f>
        <v>0</v>
      </c>
      <c r="I466" s="33">
        <f t="shared" si="757"/>
        <v>0</v>
      </c>
      <c r="J466" s="33">
        <f t="shared" si="757"/>
        <v>0</v>
      </c>
      <c r="K466" s="33">
        <f t="shared" si="757"/>
        <v>0</v>
      </c>
      <c r="L466" s="33">
        <f t="shared" si="757"/>
        <v>0</v>
      </c>
      <c r="M466" s="33">
        <f t="shared" si="757"/>
        <v>0</v>
      </c>
      <c r="N466" s="33">
        <f t="shared" si="757"/>
        <v>0</v>
      </c>
      <c r="O466" s="33">
        <f t="shared" si="757"/>
        <v>0</v>
      </c>
      <c r="P466" s="33">
        <f t="shared" si="757"/>
        <v>0</v>
      </c>
      <c r="Q466" s="33">
        <f t="shared" si="757"/>
        <v>0</v>
      </c>
      <c r="R466" s="33">
        <f t="shared" si="757"/>
        <v>0</v>
      </c>
      <c r="S466" s="33">
        <f t="shared" si="757"/>
        <v>0</v>
      </c>
      <c r="T466" s="33">
        <f t="shared" si="757"/>
        <v>0</v>
      </c>
      <c r="U466" s="33">
        <f t="shared" si="757"/>
        <v>0</v>
      </c>
      <c r="V466" s="33">
        <f t="shared" si="757"/>
        <v>0</v>
      </c>
      <c r="W466" s="33">
        <f t="shared" si="757"/>
        <v>0</v>
      </c>
      <c r="X466" s="33">
        <f t="shared" si="757"/>
        <v>0</v>
      </c>
      <c r="Y466" s="33">
        <f t="shared" si="757"/>
        <v>0</v>
      </c>
      <c r="Z466" s="33">
        <f t="shared" si="757"/>
        <v>0</v>
      </c>
      <c r="AA466" s="33">
        <f t="shared" si="757"/>
        <v>0</v>
      </c>
      <c r="AB466" s="33">
        <f t="shared" si="757"/>
        <v>0</v>
      </c>
      <c r="AC466" s="33">
        <f t="shared" si="757"/>
        <v>0</v>
      </c>
      <c r="AD466" s="33">
        <f t="shared" si="757"/>
        <v>0</v>
      </c>
      <c r="AE466" s="33">
        <f t="shared" si="757"/>
        <v>0</v>
      </c>
      <c r="AF466" s="33">
        <f t="shared" si="757"/>
        <v>0</v>
      </c>
      <c r="AG466" s="33">
        <f t="shared" si="757"/>
        <v>0</v>
      </c>
      <c r="AH466" s="33">
        <f t="shared" si="757"/>
        <v>0</v>
      </c>
      <c r="AI466" s="33">
        <f t="shared" si="757"/>
        <v>0</v>
      </c>
      <c r="AJ466" s="33">
        <f t="shared" si="757"/>
        <v>0</v>
      </c>
      <c r="AK466" s="33">
        <f t="shared" si="757"/>
        <v>0</v>
      </c>
      <c r="AL466" s="33">
        <f t="shared" si="757"/>
        <v>0</v>
      </c>
      <c r="AM466" s="33">
        <f t="shared" si="757"/>
        <v>0</v>
      </c>
      <c r="AN466" s="33">
        <f t="shared" si="757"/>
        <v>0</v>
      </c>
      <c r="AO466" s="33">
        <f t="shared" si="757"/>
        <v>0</v>
      </c>
      <c r="AP466" s="33">
        <f t="shared" si="757"/>
        <v>0</v>
      </c>
      <c r="AQ466" s="33">
        <f t="shared" si="757"/>
        <v>0</v>
      </c>
      <c r="AR466" s="33">
        <f t="shared" si="757"/>
        <v>0</v>
      </c>
      <c r="AS466" s="33">
        <f t="shared" si="757"/>
        <v>0</v>
      </c>
      <c r="AT466" s="33">
        <f t="shared" si="757"/>
        <v>0</v>
      </c>
      <c r="AU466" s="33">
        <f t="shared" si="757"/>
        <v>0</v>
      </c>
      <c r="AV466" s="33">
        <f t="shared" si="757"/>
        <v>0</v>
      </c>
      <c r="AW466" s="33">
        <f t="shared" si="757"/>
        <v>0</v>
      </c>
      <c r="AX466" s="33">
        <f t="shared" si="757"/>
        <v>0</v>
      </c>
      <c r="AY466" s="33">
        <f t="shared" si="757"/>
        <v>0</v>
      </c>
      <c r="AZ466" s="33">
        <f t="shared" si="757"/>
        <v>0</v>
      </c>
      <c r="BA466" s="33">
        <f t="shared" si="757"/>
        <v>0</v>
      </c>
      <c r="BB466" s="33">
        <f t="shared" si="757"/>
        <v>0</v>
      </c>
      <c r="BC466" s="33">
        <f t="shared" si="757"/>
        <v>0</v>
      </c>
      <c r="BD466" s="33">
        <f t="shared" si="757"/>
        <v>0</v>
      </c>
      <c r="BE466" s="33">
        <f t="shared" si="757"/>
        <v>0</v>
      </c>
      <c r="BF466" s="33">
        <f t="shared" si="757"/>
        <v>0</v>
      </c>
      <c r="BG466" s="33">
        <f t="shared" si="757"/>
        <v>0</v>
      </c>
      <c r="BH466" s="33">
        <f t="shared" si="757"/>
        <v>0</v>
      </c>
      <c r="BI466" s="33">
        <f t="shared" si="757"/>
        <v>0</v>
      </c>
      <c r="BJ466" s="33">
        <f t="shared" si="757"/>
        <v>0</v>
      </c>
      <c r="BK466" s="33">
        <f t="shared" si="757"/>
        <v>0</v>
      </c>
      <c r="BL466" s="33">
        <f t="shared" si="757"/>
        <v>0</v>
      </c>
      <c r="BM466" s="33">
        <f t="shared" si="757"/>
        <v>0</v>
      </c>
      <c r="BN466" s="33">
        <f t="shared" si="757"/>
        <v>0</v>
      </c>
      <c r="BO466" s="33">
        <f t="shared" si="757"/>
        <v>0</v>
      </c>
      <c r="BP466" s="33">
        <f t="shared" si="757"/>
        <v>0</v>
      </c>
      <c r="BQ466" s="33">
        <f t="shared" si="757"/>
        <v>0</v>
      </c>
      <c r="BR466" s="33">
        <f t="shared" si="757"/>
        <v>0</v>
      </c>
      <c r="BS466" s="33">
        <f t="shared" si="757"/>
        <v>0</v>
      </c>
      <c r="BT466" s="33">
        <f t="shared" ref="BT466:BY466" si="758">+IF(AND(BT$459=$C468,BT$459&lt;0),1,0)</f>
        <v>0</v>
      </c>
      <c r="BU466" s="33">
        <f t="shared" si="758"/>
        <v>0</v>
      </c>
      <c r="BV466" s="33">
        <f t="shared" si="758"/>
        <v>0</v>
      </c>
      <c r="BW466" s="33">
        <f t="shared" si="758"/>
        <v>0</v>
      </c>
      <c r="BX466" s="33">
        <f t="shared" si="758"/>
        <v>0</v>
      </c>
      <c r="BY466" s="33">
        <f t="shared" si="758"/>
        <v>0</v>
      </c>
    </row>
    <row r="467" spans="3:77" outlineLevel="1">
      <c r="C467" s="32"/>
      <c r="D467" s="31"/>
      <c r="E467" t="s">
        <v>505</v>
      </c>
      <c r="F467" s="23" t="s">
        <v>500</v>
      </c>
      <c r="H467" s="33">
        <f t="shared" ref="H467:BS467" si="759">+IF(AND(H$459=$C469,H$459&lt;0),1,0)</f>
        <v>0</v>
      </c>
      <c r="I467" s="33">
        <f t="shared" si="759"/>
        <v>0</v>
      </c>
      <c r="J467" s="33">
        <f t="shared" si="759"/>
        <v>0</v>
      </c>
      <c r="K467" s="33">
        <f t="shared" si="759"/>
        <v>0</v>
      </c>
      <c r="L467" s="33">
        <f t="shared" si="759"/>
        <v>0</v>
      </c>
      <c r="M467" s="33">
        <f t="shared" si="759"/>
        <v>0</v>
      </c>
      <c r="N467" s="33">
        <f t="shared" si="759"/>
        <v>0</v>
      </c>
      <c r="O467" s="33">
        <f t="shared" si="759"/>
        <v>0</v>
      </c>
      <c r="P467" s="33">
        <f t="shared" si="759"/>
        <v>0</v>
      </c>
      <c r="Q467" s="33">
        <f t="shared" si="759"/>
        <v>0</v>
      </c>
      <c r="R467" s="33">
        <f t="shared" si="759"/>
        <v>0</v>
      </c>
      <c r="S467" s="33">
        <f t="shared" si="759"/>
        <v>0</v>
      </c>
      <c r="T467" s="33">
        <f t="shared" si="759"/>
        <v>0</v>
      </c>
      <c r="U467" s="33">
        <f t="shared" si="759"/>
        <v>0</v>
      </c>
      <c r="V467" s="33">
        <f t="shared" si="759"/>
        <v>0</v>
      </c>
      <c r="W467" s="33">
        <f t="shared" si="759"/>
        <v>0</v>
      </c>
      <c r="X467" s="33">
        <f t="shared" si="759"/>
        <v>0</v>
      </c>
      <c r="Y467" s="33">
        <f t="shared" si="759"/>
        <v>0</v>
      </c>
      <c r="Z467" s="33">
        <f t="shared" si="759"/>
        <v>0</v>
      </c>
      <c r="AA467" s="33">
        <f t="shared" si="759"/>
        <v>0</v>
      </c>
      <c r="AB467" s="33">
        <f t="shared" si="759"/>
        <v>0</v>
      </c>
      <c r="AC467" s="33">
        <f t="shared" si="759"/>
        <v>0</v>
      </c>
      <c r="AD467" s="33">
        <f t="shared" si="759"/>
        <v>0</v>
      </c>
      <c r="AE467" s="33">
        <f t="shared" si="759"/>
        <v>0</v>
      </c>
      <c r="AF467" s="33">
        <f t="shared" si="759"/>
        <v>0</v>
      </c>
      <c r="AG467" s="33">
        <f t="shared" si="759"/>
        <v>0</v>
      </c>
      <c r="AH467" s="33">
        <f t="shared" si="759"/>
        <v>0</v>
      </c>
      <c r="AI467" s="33">
        <f t="shared" si="759"/>
        <v>0</v>
      </c>
      <c r="AJ467" s="33">
        <f t="shared" si="759"/>
        <v>0</v>
      </c>
      <c r="AK467" s="33">
        <f t="shared" si="759"/>
        <v>0</v>
      </c>
      <c r="AL467" s="33">
        <f t="shared" si="759"/>
        <v>0</v>
      </c>
      <c r="AM467" s="33">
        <f t="shared" si="759"/>
        <v>0</v>
      </c>
      <c r="AN467" s="33">
        <f t="shared" si="759"/>
        <v>0</v>
      </c>
      <c r="AO467" s="33">
        <f t="shared" si="759"/>
        <v>0</v>
      </c>
      <c r="AP467" s="33">
        <f t="shared" si="759"/>
        <v>0</v>
      </c>
      <c r="AQ467" s="33">
        <f t="shared" si="759"/>
        <v>0</v>
      </c>
      <c r="AR467" s="33">
        <f t="shared" si="759"/>
        <v>0</v>
      </c>
      <c r="AS467" s="33">
        <f t="shared" si="759"/>
        <v>0</v>
      </c>
      <c r="AT467" s="33">
        <f t="shared" si="759"/>
        <v>0</v>
      </c>
      <c r="AU467" s="33">
        <f t="shared" si="759"/>
        <v>0</v>
      </c>
      <c r="AV467" s="33">
        <f t="shared" si="759"/>
        <v>0</v>
      </c>
      <c r="AW467" s="33">
        <f t="shared" si="759"/>
        <v>0</v>
      </c>
      <c r="AX467" s="33">
        <f t="shared" si="759"/>
        <v>0</v>
      </c>
      <c r="AY467" s="33">
        <f t="shared" si="759"/>
        <v>0</v>
      </c>
      <c r="AZ467" s="33">
        <f t="shared" si="759"/>
        <v>0</v>
      </c>
      <c r="BA467" s="33">
        <f t="shared" si="759"/>
        <v>0</v>
      </c>
      <c r="BB467" s="33">
        <f t="shared" si="759"/>
        <v>0</v>
      </c>
      <c r="BC467" s="33">
        <f t="shared" si="759"/>
        <v>0</v>
      </c>
      <c r="BD467" s="33">
        <f t="shared" si="759"/>
        <v>0</v>
      </c>
      <c r="BE467" s="33">
        <f t="shared" si="759"/>
        <v>0</v>
      </c>
      <c r="BF467" s="33">
        <f t="shared" si="759"/>
        <v>0</v>
      </c>
      <c r="BG467" s="33">
        <f t="shared" si="759"/>
        <v>0</v>
      </c>
      <c r="BH467" s="33">
        <f t="shared" si="759"/>
        <v>0</v>
      </c>
      <c r="BI467" s="33">
        <f t="shared" si="759"/>
        <v>0</v>
      </c>
      <c r="BJ467" s="33">
        <f t="shared" si="759"/>
        <v>0</v>
      </c>
      <c r="BK467" s="33">
        <f t="shared" si="759"/>
        <v>0</v>
      </c>
      <c r="BL467" s="33">
        <f t="shared" si="759"/>
        <v>0</v>
      </c>
      <c r="BM467" s="33">
        <f t="shared" si="759"/>
        <v>0</v>
      </c>
      <c r="BN467" s="33">
        <f t="shared" si="759"/>
        <v>0</v>
      </c>
      <c r="BO467" s="33">
        <f t="shared" si="759"/>
        <v>0</v>
      </c>
      <c r="BP467" s="33">
        <f t="shared" si="759"/>
        <v>0</v>
      </c>
      <c r="BQ467" s="33">
        <f t="shared" si="759"/>
        <v>0</v>
      </c>
      <c r="BR467" s="33">
        <f t="shared" si="759"/>
        <v>0</v>
      </c>
      <c r="BS467" s="33">
        <f t="shared" si="759"/>
        <v>0</v>
      </c>
      <c r="BT467" s="33">
        <f t="shared" ref="BT467:BY467" si="760">+IF(AND(BT$459=$C469,BT$459&lt;0),1,0)</f>
        <v>0</v>
      </c>
      <c r="BU467" s="33">
        <f t="shared" si="760"/>
        <v>0</v>
      </c>
      <c r="BV467" s="33">
        <f t="shared" si="760"/>
        <v>0</v>
      </c>
      <c r="BW467" s="33">
        <f t="shared" si="760"/>
        <v>0</v>
      </c>
      <c r="BX467" s="33">
        <f t="shared" si="760"/>
        <v>0</v>
      </c>
      <c r="BY467" s="33">
        <f t="shared" si="760"/>
        <v>0</v>
      </c>
    </row>
    <row r="468" spans="3:77" outlineLevel="1">
      <c r="C468" s="32"/>
      <c r="D468" s="31"/>
      <c r="E468" t="s">
        <v>506</v>
      </c>
      <c r="F468" s="23" t="s">
        <v>500</v>
      </c>
      <c r="H468" s="33">
        <f t="shared" ref="H468:BS468" si="761">+IF(AND(H$459=$C470,H$459&lt;0),1,0)</f>
        <v>0</v>
      </c>
      <c r="I468" s="33">
        <f t="shared" si="761"/>
        <v>0</v>
      </c>
      <c r="J468" s="33">
        <f t="shared" si="761"/>
        <v>0</v>
      </c>
      <c r="K468" s="33">
        <f t="shared" si="761"/>
        <v>0</v>
      </c>
      <c r="L468" s="33">
        <f t="shared" si="761"/>
        <v>0</v>
      </c>
      <c r="M468" s="33">
        <f t="shared" si="761"/>
        <v>0</v>
      </c>
      <c r="N468" s="33">
        <f t="shared" si="761"/>
        <v>0</v>
      </c>
      <c r="O468" s="33">
        <f t="shared" si="761"/>
        <v>0</v>
      </c>
      <c r="P468" s="33">
        <f t="shared" si="761"/>
        <v>0</v>
      </c>
      <c r="Q468" s="33">
        <f t="shared" si="761"/>
        <v>0</v>
      </c>
      <c r="R468" s="33">
        <f t="shared" si="761"/>
        <v>0</v>
      </c>
      <c r="S468" s="33">
        <f t="shared" si="761"/>
        <v>0</v>
      </c>
      <c r="T468" s="33">
        <f t="shared" si="761"/>
        <v>0</v>
      </c>
      <c r="U468" s="33">
        <f t="shared" si="761"/>
        <v>0</v>
      </c>
      <c r="V468" s="33">
        <f t="shared" si="761"/>
        <v>0</v>
      </c>
      <c r="W468" s="33">
        <f t="shared" si="761"/>
        <v>0</v>
      </c>
      <c r="X468" s="33">
        <f t="shared" si="761"/>
        <v>0</v>
      </c>
      <c r="Y468" s="33">
        <f t="shared" si="761"/>
        <v>0</v>
      </c>
      <c r="Z468" s="33">
        <f t="shared" si="761"/>
        <v>0</v>
      </c>
      <c r="AA468" s="33">
        <f t="shared" si="761"/>
        <v>0</v>
      </c>
      <c r="AB468" s="33">
        <f t="shared" si="761"/>
        <v>0</v>
      </c>
      <c r="AC468" s="33">
        <f t="shared" si="761"/>
        <v>0</v>
      </c>
      <c r="AD468" s="33">
        <f t="shared" si="761"/>
        <v>0</v>
      </c>
      <c r="AE468" s="33">
        <f t="shared" si="761"/>
        <v>0</v>
      </c>
      <c r="AF468" s="33">
        <f t="shared" si="761"/>
        <v>0</v>
      </c>
      <c r="AG468" s="33">
        <f t="shared" si="761"/>
        <v>0</v>
      </c>
      <c r="AH468" s="33">
        <f t="shared" si="761"/>
        <v>0</v>
      </c>
      <c r="AI468" s="33">
        <f t="shared" si="761"/>
        <v>0</v>
      </c>
      <c r="AJ468" s="33">
        <f t="shared" si="761"/>
        <v>0</v>
      </c>
      <c r="AK468" s="33">
        <f t="shared" si="761"/>
        <v>0</v>
      </c>
      <c r="AL468" s="33">
        <f t="shared" si="761"/>
        <v>0</v>
      </c>
      <c r="AM468" s="33">
        <f t="shared" si="761"/>
        <v>0</v>
      </c>
      <c r="AN468" s="33">
        <f t="shared" si="761"/>
        <v>0</v>
      </c>
      <c r="AO468" s="33">
        <f t="shared" si="761"/>
        <v>0</v>
      </c>
      <c r="AP468" s="33">
        <f t="shared" si="761"/>
        <v>0</v>
      </c>
      <c r="AQ468" s="33">
        <f t="shared" si="761"/>
        <v>0</v>
      </c>
      <c r="AR468" s="33">
        <f t="shared" si="761"/>
        <v>0</v>
      </c>
      <c r="AS468" s="33">
        <f t="shared" si="761"/>
        <v>0</v>
      </c>
      <c r="AT468" s="33">
        <f t="shared" si="761"/>
        <v>0</v>
      </c>
      <c r="AU468" s="33">
        <f t="shared" si="761"/>
        <v>0</v>
      </c>
      <c r="AV468" s="33">
        <f t="shared" si="761"/>
        <v>0</v>
      </c>
      <c r="AW468" s="33">
        <f t="shared" si="761"/>
        <v>0</v>
      </c>
      <c r="AX468" s="33">
        <f t="shared" si="761"/>
        <v>0</v>
      </c>
      <c r="AY468" s="33">
        <f t="shared" si="761"/>
        <v>0</v>
      </c>
      <c r="AZ468" s="33">
        <f t="shared" si="761"/>
        <v>0</v>
      </c>
      <c r="BA468" s="33">
        <f t="shared" si="761"/>
        <v>0</v>
      </c>
      <c r="BB468" s="33">
        <f t="shared" si="761"/>
        <v>0</v>
      </c>
      <c r="BC468" s="33">
        <f t="shared" si="761"/>
        <v>0</v>
      </c>
      <c r="BD468" s="33">
        <f t="shared" si="761"/>
        <v>0</v>
      </c>
      <c r="BE468" s="33">
        <f t="shared" si="761"/>
        <v>0</v>
      </c>
      <c r="BF468" s="33">
        <f t="shared" si="761"/>
        <v>0</v>
      </c>
      <c r="BG468" s="33">
        <f t="shared" si="761"/>
        <v>0</v>
      </c>
      <c r="BH468" s="33">
        <f t="shared" si="761"/>
        <v>0</v>
      </c>
      <c r="BI468" s="33">
        <f t="shared" si="761"/>
        <v>0</v>
      </c>
      <c r="BJ468" s="33">
        <f t="shared" si="761"/>
        <v>0</v>
      </c>
      <c r="BK468" s="33">
        <f t="shared" si="761"/>
        <v>0</v>
      </c>
      <c r="BL468" s="33">
        <f t="shared" si="761"/>
        <v>0</v>
      </c>
      <c r="BM468" s="33">
        <f t="shared" si="761"/>
        <v>0</v>
      </c>
      <c r="BN468" s="33">
        <f t="shared" si="761"/>
        <v>0</v>
      </c>
      <c r="BO468" s="33">
        <f t="shared" si="761"/>
        <v>0</v>
      </c>
      <c r="BP468" s="33">
        <f t="shared" si="761"/>
        <v>0</v>
      </c>
      <c r="BQ468" s="33">
        <f t="shared" si="761"/>
        <v>0</v>
      </c>
      <c r="BR468" s="33">
        <f t="shared" si="761"/>
        <v>0</v>
      </c>
      <c r="BS468" s="33">
        <f t="shared" si="761"/>
        <v>0</v>
      </c>
      <c r="BT468" s="33">
        <f t="shared" ref="BT468:BY468" si="762">+IF(AND(BT$459=$C470,BT$459&lt;0),1,0)</f>
        <v>0</v>
      </c>
      <c r="BU468" s="33">
        <f t="shared" si="762"/>
        <v>0</v>
      </c>
      <c r="BV468" s="33">
        <f t="shared" si="762"/>
        <v>0</v>
      </c>
      <c r="BW468" s="33">
        <f t="shared" si="762"/>
        <v>0</v>
      </c>
      <c r="BX468" s="33">
        <f t="shared" si="762"/>
        <v>0</v>
      </c>
      <c r="BY468" s="33">
        <f t="shared" si="762"/>
        <v>0</v>
      </c>
    </row>
    <row r="469" spans="3:77" outlineLevel="1">
      <c r="C469" s="32"/>
      <c r="D469" s="31"/>
      <c r="E469" t="s">
        <v>507</v>
      </c>
      <c r="F469" s="23" t="s">
        <v>500</v>
      </c>
      <c r="H469" s="33">
        <f t="shared" ref="H469:BS469" si="763">+IF(AND(H$459=$C471,H$459&lt;0),1,0)</f>
        <v>0</v>
      </c>
      <c r="I469" s="33">
        <f t="shared" si="763"/>
        <v>0</v>
      </c>
      <c r="J469" s="33">
        <f t="shared" si="763"/>
        <v>0</v>
      </c>
      <c r="K469" s="33">
        <f t="shared" si="763"/>
        <v>0</v>
      </c>
      <c r="L469" s="33">
        <f t="shared" si="763"/>
        <v>0</v>
      </c>
      <c r="M469" s="33">
        <f t="shared" si="763"/>
        <v>0</v>
      </c>
      <c r="N469" s="33">
        <f t="shared" si="763"/>
        <v>0</v>
      </c>
      <c r="O469" s="33">
        <f t="shared" si="763"/>
        <v>0</v>
      </c>
      <c r="P469" s="33">
        <f t="shared" si="763"/>
        <v>0</v>
      </c>
      <c r="Q469" s="33">
        <f t="shared" si="763"/>
        <v>0</v>
      </c>
      <c r="R469" s="33">
        <f t="shared" si="763"/>
        <v>0</v>
      </c>
      <c r="S469" s="33">
        <f t="shared" si="763"/>
        <v>0</v>
      </c>
      <c r="T469" s="33">
        <f t="shared" si="763"/>
        <v>0</v>
      </c>
      <c r="U469" s="33">
        <f t="shared" si="763"/>
        <v>0</v>
      </c>
      <c r="V469" s="33">
        <f t="shared" si="763"/>
        <v>0</v>
      </c>
      <c r="W469" s="33">
        <f t="shared" si="763"/>
        <v>0</v>
      </c>
      <c r="X469" s="33">
        <f t="shared" si="763"/>
        <v>0</v>
      </c>
      <c r="Y469" s="33">
        <f t="shared" si="763"/>
        <v>0</v>
      </c>
      <c r="Z469" s="33">
        <f t="shared" si="763"/>
        <v>0</v>
      </c>
      <c r="AA469" s="33">
        <f t="shared" si="763"/>
        <v>0</v>
      </c>
      <c r="AB469" s="33">
        <f t="shared" si="763"/>
        <v>0</v>
      </c>
      <c r="AC469" s="33">
        <f t="shared" si="763"/>
        <v>0</v>
      </c>
      <c r="AD469" s="33">
        <f t="shared" si="763"/>
        <v>0</v>
      </c>
      <c r="AE469" s="33">
        <f t="shared" si="763"/>
        <v>0</v>
      </c>
      <c r="AF469" s="33">
        <f t="shared" si="763"/>
        <v>0</v>
      </c>
      <c r="AG469" s="33">
        <f t="shared" si="763"/>
        <v>0</v>
      </c>
      <c r="AH469" s="33">
        <f t="shared" si="763"/>
        <v>0</v>
      </c>
      <c r="AI469" s="33">
        <f t="shared" si="763"/>
        <v>0</v>
      </c>
      <c r="AJ469" s="33">
        <f t="shared" si="763"/>
        <v>0</v>
      </c>
      <c r="AK469" s="33">
        <f t="shared" si="763"/>
        <v>0</v>
      </c>
      <c r="AL469" s="33">
        <f t="shared" si="763"/>
        <v>0</v>
      </c>
      <c r="AM469" s="33">
        <f t="shared" si="763"/>
        <v>0</v>
      </c>
      <c r="AN469" s="33">
        <f t="shared" si="763"/>
        <v>0</v>
      </c>
      <c r="AO469" s="33">
        <f t="shared" si="763"/>
        <v>0</v>
      </c>
      <c r="AP469" s="33">
        <f t="shared" si="763"/>
        <v>0</v>
      </c>
      <c r="AQ469" s="33">
        <f t="shared" si="763"/>
        <v>0</v>
      </c>
      <c r="AR469" s="33">
        <f t="shared" si="763"/>
        <v>0</v>
      </c>
      <c r="AS469" s="33">
        <f t="shared" si="763"/>
        <v>0</v>
      </c>
      <c r="AT469" s="33">
        <f t="shared" si="763"/>
        <v>0</v>
      </c>
      <c r="AU469" s="33">
        <f t="shared" si="763"/>
        <v>0</v>
      </c>
      <c r="AV469" s="33">
        <f t="shared" si="763"/>
        <v>0</v>
      </c>
      <c r="AW469" s="33">
        <f t="shared" si="763"/>
        <v>0</v>
      </c>
      <c r="AX469" s="33">
        <f t="shared" si="763"/>
        <v>0</v>
      </c>
      <c r="AY469" s="33">
        <f t="shared" si="763"/>
        <v>0</v>
      </c>
      <c r="AZ469" s="33">
        <f t="shared" si="763"/>
        <v>0</v>
      </c>
      <c r="BA469" s="33">
        <f t="shared" si="763"/>
        <v>0</v>
      </c>
      <c r="BB469" s="33">
        <f t="shared" si="763"/>
        <v>0</v>
      </c>
      <c r="BC469" s="33">
        <f t="shared" si="763"/>
        <v>0</v>
      </c>
      <c r="BD469" s="33">
        <f t="shared" si="763"/>
        <v>0</v>
      </c>
      <c r="BE469" s="33">
        <f t="shared" si="763"/>
        <v>0</v>
      </c>
      <c r="BF469" s="33">
        <f t="shared" si="763"/>
        <v>0</v>
      </c>
      <c r="BG469" s="33">
        <f t="shared" si="763"/>
        <v>0</v>
      </c>
      <c r="BH469" s="33">
        <f t="shared" si="763"/>
        <v>0</v>
      </c>
      <c r="BI469" s="33">
        <f t="shared" si="763"/>
        <v>0</v>
      </c>
      <c r="BJ469" s="33">
        <f t="shared" si="763"/>
        <v>0</v>
      </c>
      <c r="BK469" s="33">
        <f t="shared" si="763"/>
        <v>0</v>
      </c>
      <c r="BL469" s="33">
        <f t="shared" si="763"/>
        <v>0</v>
      </c>
      <c r="BM469" s="33">
        <f t="shared" si="763"/>
        <v>0</v>
      </c>
      <c r="BN469" s="33">
        <f t="shared" si="763"/>
        <v>0</v>
      </c>
      <c r="BO469" s="33">
        <f t="shared" si="763"/>
        <v>0</v>
      </c>
      <c r="BP469" s="33">
        <f t="shared" si="763"/>
        <v>0</v>
      </c>
      <c r="BQ469" s="33">
        <f t="shared" si="763"/>
        <v>0</v>
      </c>
      <c r="BR469" s="33">
        <f t="shared" si="763"/>
        <v>0</v>
      </c>
      <c r="BS469" s="33">
        <f t="shared" si="763"/>
        <v>0</v>
      </c>
      <c r="BT469" s="33">
        <f t="shared" ref="BT469:BY469" si="764">+IF(AND(BT$459=$C471,BT$459&lt;0),1,0)</f>
        <v>0</v>
      </c>
      <c r="BU469" s="33">
        <f t="shared" si="764"/>
        <v>0</v>
      </c>
      <c r="BV469" s="33">
        <f t="shared" si="764"/>
        <v>0</v>
      </c>
      <c r="BW469" s="33">
        <f t="shared" si="764"/>
        <v>0</v>
      </c>
      <c r="BX469" s="33">
        <f t="shared" si="764"/>
        <v>0</v>
      </c>
      <c r="BY469" s="33">
        <f t="shared" si="764"/>
        <v>0</v>
      </c>
    </row>
    <row r="470" spans="3:77" outlineLevel="1">
      <c r="C470" s="32"/>
      <c r="D470" s="31"/>
      <c r="E470" t="s">
        <v>508</v>
      </c>
      <c r="F470" s="23" t="s">
        <v>500</v>
      </c>
      <c r="H470" s="33">
        <f t="shared" ref="H470:BS470" si="765">+IF(AND(H$459=$C472,H$459&lt;0),1,0)</f>
        <v>0</v>
      </c>
      <c r="I470" s="33">
        <f t="shared" si="765"/>
        <v>0</v>
      </c>
      <c r="J470" s="33">
        <f t="shared" si="765"/>
        <v>0</v>
      </c>
      <c r="K470" s="33">
        <f t="shared" si="765"/>
        <v>0</v>
      </c>
      <c r="L470" s="33">
        <f t="shared" si="765"/>
        <v>0</v>
      </c>
      <c r="M470" s="33">
        <f t="shared" si="765"/>
        <v>0</v>
      </c>
      <c r="N470" s="33">
        <f t="shared" si="765"/>
        <v>0</v>
      </c>
      <c r="O470" s="33">
        <f t="shared" si="765"/>
        <v>0</v>
      </c>
      <c r="P470" s="33">
        <f t="shared" si="765"/>
        <v>0</v>
      </c>
      <c r="Q470" s="33">
        <f t="shared" si="765"/>
        <v>0</v>
      </c>
      <c r="R470" s="33">
        <f t="shared" si="765"/>
        <v>0</v>
      </c>
      <c r="S470" s="33">
        <f t="shared" si="765"/>
        <v>0</v>
      </c>
      <c r="T470" s="33">
        <f t="shared" si="765"/>
        <v>0</v>
      </c>
      <c r="U470" s="33">
        <f t="shared" si="765"/>
        <v>0</v>
      </c>
      <c r="V470" s="33">
        <f t="shared" si="765"/>
        <v>0</v>
      </c>
      <c r="W470" s="33">
        <f t="shared" si="765"/>
        <v>0</v>
      </c>
      <c r="X470" s="33">
        <f t="shared" si="765"/>
        <v>0</v>
      </c>
      <c r="Y470" s="33">
        <f t="shared" si="765"/>
        <v>0</v>
      </c>
      <c r="Z470" s="33">
        <f t="shared" si="765"/>
        <v>0</v>
      </c>
      <c r="AA470" s="33">
        <f t="shared" si="765"/>
        <v>0</v>
      </c>
      <c r="AB470" s="33">
        <f t="shared" si="765"/>
        <v>0</v>
      </c>
      <c r="AC470" s="33">
        <f t="shared" si="765"/>
        <v>0</v>
      </c>
      <c r="AD470" s="33">
        <f t="shared" si="765"/>
        <v>0</v>
      </c>
      <c r="AE470" s="33">
        <f t="shared" si="765"/>
        <v>0</v>
      </c>
      <c r="AF470" s="33">
        <f t="shared" si="765"/>
        <v>0</v>
      </c>
      <c r="AG470" s="33">
        <f t="shared" si="765"/>
        <v>0</v>
      </c>
      <c r="AH470" s="33">
        <f t="shared" si="765"/>
        <v>0</v>
      </c>
      <c r="AI470" s="33">
        <f t="shared" si="765"/>
        <v>0</v>
      </c>
      <c r="AJ470" s="33">
        <f t="shared" si="765"/>
        <v>0</v>
      </c>
      <c r="AK470" s="33">
        <f t="shared" si="765"/>
        <v>0</v>
      </c>
      <c r="AL470" s="33">
        <f t="shared" si="765"/>
        <v>0</v>
      </c>
      <c r="AM470" s="33">
        <f t="shared" si="765"/>
        <v>0</v>
      </c>
      <c r="AN470" s="33">
        <f t="shared" si="765"/>
        <v>0</v>
      </c>
      <c r="AO470" s="33">
        <f t="shared" si="765"/>
        <v>0</v>
      </c>
      <c r="AP470" s="33">
        <f t="shared" si="765"/>
        <v>0</v>
      </c>
      <c r="AQ470" s="33">
        <f t="shared" si="765"/>
        <v>0</v>
      </c>
      <c r="AR470" s="33">
        <f t="shared" si="765"/>
        <v>0</v>
      </c>
      <c r="AS470" s="33">
        <f t="shared" si="765"/>
        <v>0</v>
      </c>
      <c r="AT470" s="33">
        <f t="shared" si="765"/>
        <v>0</v>
      </c>
      <c r="AU470" s="33">
        <f t="shared" si="765"/>
        <v>0</v>
      </c>
      <c r="AV470" s="33">
        <f t="shared" si="765"/>
        <v>0</v>
      </c>
      <c r="AW470" s="33">
        <f t="shared" si="765"/>
        <v>0</v>
      </c>
      <c r="AX470" s="33">
        <f t="shared" si="765"/>
        <v>0</v>
      </c>
      <c r="AY470" s="33">
        <f t="shared" si="765"/>
        <v>0</v>
      </c>
      <c r="AZ470" s="33">
        <f t="shared" si="765"/>
        <v>0</v>
      </c>
      <c r="BA470" s="33">
        <f t="shared" si="765"/>
        <v>0</v>
      </c>
      <c r="BB470" s="33">
        <f t="shared" si="765"/>
        <v>0</v>
      </c>
      <c r="BC470" s="33">
        <f t="shared" si="765"/>
        <v>0</v>
      </c>
      <c r="BD470" s="33">
        <f t="shared" si="765"/>
        <v>0</v>
      </c>
      <c r="BE470" s="33">
        <f t="shared" si="765"/>
        <v>0</v>
      </c>
      <c r="BF470" s="33">
        <f t="shared" si="765"/>
        <v>0</v>
      </c>
      <c r="BG470" s="33">
        <f t="shared" si="765"/>
        <v>0</v>
      </c>
      <c r="BH470" s="33">
        <f t="shared" si="765"/>
        <v>0</v>
      </c>
      <c r="BI470" s="33">
        <f t="shared" si="765"/>
        <v>0</v>
      </c>
      <c r="BJ470" s="33">
        <f t="shared" si="765"/>
        <v>0</v>
      </c>
      <c r="BK470" s="33">
        <f t="shared" si="765"/>
        <v>0</v>
      </c>
      <c r="BL470" s="33">
        <f t="shared" si="765"/>
        <v>0</v>
      </c>
      <c r="BM470" s="33">
        <f t="shared" si="765"/>
        <v>0</v>
      </c>
      <c r="BN470" s="33">
        <f t="shared" si="765"/>
        <v>0</v>
      </c>
      <c r="BO470" s="33">
        <f t="shared" si="765"/>
        <v>0</v>
      </c>
      <c r="BP470" s="33">
        <f t="shared" si="765"/>
        <v>0</v>
      </c>
      <c r="BQ470" s="33">
        <f t="shared" si="765"/>
        <v>0</v>
      </c>
      <c r="BR470" s="33">
        <f t="shared" si="765"/>
        <v>0</v>
      </c>
      <c r="BS470" s="33">
        <f t="shared" si="765"/>
        <v>0</v>
      </c>
      <c r="BT470" s="33">
        <f t="shared" ref="BT470:BY470" si="766">+IF(AND(BT$459=$C472,BT$459&lt;0),1,0)</f>
        <v>0</v>
      </c>
      <c r="BU470" s="33">
        <f t="shared" si="766"/>
        <v>0</v>
      </c>
      <c r="BV470" s="33">
        <f t="shared" si="766"/>
        <v>0</v>
      </c>
      <c r="BW470" s="33">
        <f t="shared" si="766"/>
        <v>0</v>
      </c>
      <c r="BX470" s="33">
        <f t="shared" si="766"/>
        <v>0</v>
      </c>
      <c r="BY470" s="33">
        <f t="shared" si="766"/>
        <v>0</v>
      </c>
    </row>
    <row r="471" spans="3:77" outlineLevel="1">
      <c r="C471" s="32"/>
      <c r="D471" s="31"/>
      <c r="E471" t="s">
        <v>509</v>
      </c>
      <c r="F471" s="23" t="s">
        <v>500</v>
      </c>
      <c r="H471" s="33">
        <f t="shared" ref="H471:BS471" si="767">+IF(AND(H$459=$C473,H$459&lt;0),1,0)</f>
        <v>0</v>
      </c>
      <c r="I471" s="33">
        <f t="shared" si="767"/>
        <v>0</v>
      </c>
      <c r="J471" s="33">
        <f t="shared" si="767"/>
        <v>0</v>
      </c>
      <c r="K471" s="33">
        <f t="shared" si="767"/>
        <v>0</v>
      </c>
      <c r="L471" s="33">
        <f t="shared" si="767"/>
        <v>0</v>
      </c>
      <c r="M471" s="33">
        <f t="shared" si="767"/>
        <v>0</v>
      </c>
      <c r="N471" s="33">
        <f t="shared" si="767"/>
        <v>0</v>
      </c>
      <c r="O471" s="33">
        <f t="shared" si="767"/>
        <v>0</v>
      </c>
      <c r="P471" s="33">
        <f t="shared" si="767"/>
        <v>0</v>
      </c>
      <c r="Q471" s="33">
        <f t="shared" si="767"/>
        <v>0</v>
      </c>
      <c r="R471" s="33">
        <f t="shared" si="767"/>
        <v>0</v>
      </c>
      <c r="S471" s="33">
        <f t="shared" si="767"/>
        <v>0</v>
      </c>
      <c r="T471" s="33">
        <f t="shared" si="767"/>
        <v>0</v>
      </c>
      <c r="U471" s="33">
        <f t="shared" si="767"/>
        <v>0</v>
      </c>
      <c r="V471" s="33">
        <f t="shared" si="767"/>
        <v>0</v>
      </c>
      <c r="W471" s="33">
        <f t="shared" si="767"/>
        <v>0</v>
      </c>
      <c r="X471" s="33">
        <f t="shared" si="767"/>
        <v>0</v>
      </c>
      <c r="Y471" s="33">
        <f t="shared" si="767"/>
        <v>0</v>
      </c>
      <c r="Z471" s="33">
        <f t="shared" si="767"/>
        <v>0</v>
      </c>
      <c r="AA471" s="33">
        <f t="shared" si="767"/>
        <v>0</v>
      </c>
      <c r="AB471" s="33">
        <f t="shared" si="767"/>
        <v>0</v>
      </c>
      <c r="AC471" s="33">
        <f t="shared" si="767"/>
        <v>0</v>
      </c>
      <c r="AD471" s="33">
        <f t="shared" si="767"/>
        <v>0</v>
      </c>
      <c r="AE471" s="33">
        <f t="shared" si="767"/>
        <v>0</v>
      </c>
      <c r="AF471" s="33">
        <f t="shared" si="767"/>
        <v>0</v>
      </c>
      <c r="AG471" s="33">
        <f t="shared" si="767"/>
        <v>0</v>
      </c>
      <c r="AH471" s="33">
        <f t="shared" si="767"/>
        <v>0</v>
      </c>
      <c r="AI471" s="33">
        <f t="shared" si="767"/>
        <v>0</v>
      </c>
      <c r="AJ471" s="33">
        <f t="shared" si="767"/>
        <v>0</v>
      </c>
      <c r="AK471" s="33">
        <f t="shared" si="767"/>
        <v>0</v>
      </c>
      <c r="AL471" s="33">
        <f t="shared" si="767"/>
        <v>0</v>
      </c>
      <c r="AM471" s="33">
        <f t="shared" si="767"/>
        <v>0</v>
      </c>
      <c r="AN471" s="33">
        <f t="shared" si="767"/>
        <v>0</v>
      </c>
      <c r="AO471" s="33">
        <f t="shared" si="767"/>
        <v>0</v>
      </c>
      <c r="AP471" s="33">
        <f t="shared" si="767"/>
        <v>0</v>
      </c>
      <c r="AQ471" s="33">
        <f t="shared" si="767"/>
        <v>0</v>
      </c>
      <c r="AR471" s="33">
        <f t="shared" si="767"/>
        <v>0</v>
      </c>
      <c r="AS471" s="33">
        <f t="shared" si="767"/>
        <v>0</v>
      </c>
      <c r="AT471" s="33">
        <f t="shared" si="767"/>
        <v>0</v>
      </c>
      <c r="AU471" s="33">
        <f t="shared" si="767"/>
        <v>0</v>
      </c>
      <c r="AV471" s="33">
        <f t="shared" si="767"/>
        <v>0</v>
      </c>
      <c r="AW471" s="33">
        <f t="shared" si="767"/>
        <v>0</v>
      </c>
      <c r="AX471" s="33">
        <f t="shared" si="767"/>
        <v>0</v>
      </c>
      <c r="AY471" s="33">
        <f t="shared" si="767"/>
        <v>0</v>
      </c>
      <c r="AZ471" s="33">
        <f t="shared" si="767"/>
        <v>0</v>
      </c>
      <c r="BA471" s="33">
        <f t="shared" si="767"/>
        <v>0</v>
      </c>
      <c r="BB471" s="33">
        <f t="shared" si="767"/>
        <v>0</v>
      </c>
      <c r="BC471" s="33">
        <f t="shared" si="767"/>
        <v>0</v>
      </c>
      <c r="BD471" s="33">
        <f t="shared" si="767"/>
        <v>0</v>
      </c>
      <c r="BE471" s="33">
        <f t="shared" si="767"/>
        <v>0</v>
      </c>
      <c r="BF471" s="33">
        <f t="shared" si="767"/>
        <v>0</v>
      </c>
      <c r="BG471" s="33">
        <f t="shared" si="767"/>
        <v>0</v>
      </c>
      <c r="BH471" s="33">
        <f t="shared" si="767"/>
        <v>0</v>
      </c>
      <c r="BI471" s="33">
        <f t="shared" si="767"/>
        <v>0</v>
      </c>
      <c r="BJ471" s="33">
        <f t="shared" si="767"/>
        <v>0</v>
      </c>
      <c r="BK471" s="33">
        <f t="shared" si="767"/>
        <v>0</v>
      </c>
      <c r="BL471" s="33">
        <f t="shared" si="767"/>
        <v>0</v>
      </c>
      <c r="BM471" s="33">
        <f t="shared" si="767"/>
        <v>0</v>
      </c>
      <c r="BN471" s="33">
        <f t="shared" si="767"/>
        <v>0</v>
      </c>
      <c r="BO471" s="33">
        <f t="shared" si="767"/>
        <v>0</v>
      </c>
      <c r="BP471" s="33">
        <f t="shared" si="767"/>
        <v>0</v>
      </c>
      <c r="BQ471" s="33">
        <f t="shared" si="767"/>
        <v>0</v>
      </c>
      <c r="BR471" s="33">
        <f t="shared" si="767"/>
        <v>0</v>
      </c>
      <c r="BS471" s="33">
        <f t="shared" si="767"/>
        <v>0</v>
      </c>
      <c r="BT471" s="33">
        <f t="shared" ref="BT471:BY471" si="768">+IF(AND(BT$459=$C473,BT$459&lt;0),1,0)</f>
        <v>0</v>
      </c>
      <c r="BU471" s="33">
        <f t="shared" si="768"/>
        <v>0</v>
      </c>
      <c r="BV471" s="33">
        <f t="shared" si="768"/>
        <v>0</v>
      </c>
      <c r="BW471" s="33">
        <f t="shared" si="768"/>
        <v>0</v>
      </c>
      <c r="BX471" s="33">
        <f t="shared" si="768"/>
        <v>0</v>
      </c>
      <c r="BY471" s="33">
        <f t="shared" si="768"/>
        <v>0</v>
      </c>
    </row>
    <row r="472" spans="3:77" outlineLevel="1">
      <c r="C472" s="32"/>
      <c r="D472" s="31"/>
      <c r="E472" s="25" t="s">
        <v>510</v>
      </c>
      <c r="F472" s="30" t="s">
        <v>500</v>
      </c>
      <c r="G472" s="25"/>
      <c r="H472" s="34">
        <f t="shared" ref="H472:BS472" si="769">+IF(AND(H$459=$C474,H$459&lt;0),1,0)</f>
        <v>0</v>
      </c>
      <c r="I472" s="34">
        <f t="shared" si="769"/>
        <v>0</v>
      </c>
      <c r="J472" s="34">
        <f t="shared" si="769"/>
        <v>0</v>
      </c>
      <c r="K472" s="34">
        <f t="shared" si="769"/>
        <v>0</v>
      </c>
      <c r="L472" s="34">
        <f t="shared" si="769"/>
        <v>0</v>
      </c>
      <c r="M472" s="34">
        <f t="shared" si="769"/>
        <v>0</v>
      </c>
      <c r="N472" s="34">
        <f t="shared" si="769"/>
        <v>0</v>
      </c>
      <c r="O472" s="34">
        <f t="shared" si="769"/>
        <v>0</v>
      </c>
      <c r="P472" s="34">
        <f t="shared" si="769"/>
        <v>0</v>
      </c>
      <c r="Q472" s="34">
        <f t="shared" si="769"/>
        <v>0</v>
      </c>
      <c r="R472" s="34">
        <f t="shared" si="769"/>
        <v>0</v>
      </c>
      <c r="S472" s="34">
        <f t="shared" si="769"/>
        <v>0</v>
      </c>
      <c r="T472" s="34">
        <f t="shared" si="769"/>
        <v>0</v>
      </c>
      <c r="U472" s="34">
        <f t="shared" si="769"/>
        <v>0</v>
      </c>
      <c r="V472" s="34">
        <f t="shared" si="769"/>
        <v>0</v>
      </c>
      <c r="W472" s="34">
        <f t="shared" si="769"/>
        <v>0</v>
      </c>
      <c r="X472" s="34">
        <f t="shared" si="769"/>
        <v>0</v>
      </c>
      <c r="Y472" s="34">
        <f t="shared" si="769"/>
        <v>0</v>
      </c>
      <c r="Z472" s="34">
        <f t="shared" si="769"/>
        <v>0</v>
      </c>
      <c r="AA472" s="34">
        <f t="shared" si="769"/>
        <v>0</v>
      </c>
      <c r="AB472" s="34">
        <f t="shared" si="769"/>
        <v>0</v>
      </c>
      <c r="AC472" s="34">
        <f t="shared" si="769"/>
        <v>0</v>
      </c>
      <c r="AD472" s="34">
        <f t="shared" si="769"/>
        <v>0</v>
      </c>
      <c r="AE472" s="34">
        <f t="shared" si="769"/>
        <v>0</v>
      </c>
      <c r="AF472" s="34">
        <f t="shared" si="769"/>
        <v>0</v>
      </c>
      <c r="AG472" s="34">
        <f t="shared" si="769"/>
        <v>0</v>
      </c>
      <c r="AH472" s="34">
        <f t="shared" si="769"/>
        <v>0</v>
      </c>
      <c r="AI472" s="34">
        <f t="shared" si="769"/>
        <v>0</v>
      </c>
      <c r="AJ472" s="34">
        <f t="shared" si="769"/>
        <v>0</v>
      </c>
      <c r="AK472" s="34">
        <f t="shared" si="769"/>
        <v>0</v>
      </c>
      <c r="AL472" s="34">
        <f t="shared" si="769"/>
        <v>0</v>
      </c>
      <c r="AM472" s="34">
        <f t="shared" si="769"/>
        <v>0</v>
      </c>
      <c r="AN472" s="34">
        <f t="shared" si="769"/>
        <v>0</v>
      </c>
      <c r="AO472" s="34">
        <f t="shared" si="769"/>
        <v>0</v>
      </c>
      <c r="AP472" s="34">
        <f t="shared" si="769"/>
        <v>0</v>
      </c>
      <c r="AQ472" s="34">
        <f t="shared" si="769"/>
        <v>0</v>
      </c>
      <c r="AR472" s="34">
        <f t="shared" si="769"/>
        <v>0</v>
      </c>
      <c r="AS472" s="34">
        <f t="shared" si="769"/>
        <v>0</v>
      </c>
      <c r="AT472" s="34">
        <f t="shared" si="769"/>
        <v>0</v>
      </c>
      <c r="AU472" s="34">
        <f t="shared" si="769"/>
        <v>0</v>
      </c>
      <c r="AV472" s="34">
        <f t="shared" si="769"/>
        <v>0</v>
      </c>
      <c r="AW472" s="34">
        <f t="shared" si="769"/>
        <v>0</v>
      </c>
      <c r="AX472" s="34">
        <f t="shared" si="769"/>
        <v>0</v>
      </c>
      <c r="AY472" s="34">
        <f t="shared" si="769"/>
        <v>0</v>
      </c>
      <c r="AZ472" s="34">
        <f t="shared" si="769"/>
        <v>0</v>
      </c>
      <c r="BA472" s="34">
        <f t="shared" si="769"/>
        <v>0</v>
      </c>
      <c r="BB472" s="34">
        <f t="shared" si="769"/>
        <v>0</v>
      </c>
      <c r="BC472" s="34">
        <f t="shared" si="769"/>
        <v>0</v>
      </c>
      <c r="BD472" s="34">
        <f t="shared" si="769"/>
        <v>0</v>
      </c>
      <c r="BE472" s="34">
        <f t="shared" si="769"/>
        <v>0</v>
      </c>
      <c r="BF472" s="34">
        <f t="shared" si="769"/>
        <v>0</v>
      </c>
      <c r="BG472" s="34">
        <f t="shared" si="769"/>
        <v>0</v>
      </c>
      <c r="BH472" s="34">
        <f t="shared" si="769"/>
        <v>0</v>
      </c>
      <c r="BI472" s="34">
        <f t="shared" si="769"/>
        <v>0</v>
      </c>
      <c r="BJ472" s="34">
        <f t="shared" si="769"/>
        <v>0</v>
      </c>
      <c r="BK472" s="34">
        <f t="shared" si="769"/>
        <v>0</v>
      </c>
      <c r="BL472" s="34">
        <f t="shared" si="769"/>
        <v>0</v>
      </c>
      <c r="BM472" s="34">
        <f t="shared" si="769"/>
        <v>0</v>
      </c>
      <c r="BN472" s="34">
        <f t="shared" si="769"/>
        <v>0</v>
      </c>
      <c r="BO472" s="34">
        <f t="shared" si="769"/>
        <v>0</v>
      </c>
      <c r="BP472" s="34">
        <f t="shared" si="769"/>
        <v>0</v>
      </c>
      <c r="BQ472" s="34">
        <f t="shared" si="769"/>
        <v>0</v>
      </c>
      <c r="BR472" s="34">
        <f t="shared" si="769"/>
        <v>0</v>
      </c>
      <c r="BS472" s="34">
        <f t="shared" si="769"/>
        <v>0</v>
      </c>
      <c r="BT472" s="34">
        <f t="shared" ref="BT472:BY472" si="770">+IF(AND(BT$459=$C474,BT$459&lt;0),1,0)</f>
        <v>0</v>
      </c>
      <c r="BU472" s="34">
        <f t="shared" si="770"/>
        <v>0</v>
      </c>
      <c r="BV472" s="34">
        <f t="shared" si="770"/>
        <v>0</v>
      </c>
      <c r="BW472" s="34">
        <f t="shared" si="770"/>
        <v>0</v>
      </c>
      <c r="BX472" s="34">
        <f t="shared" si="770"/>
        <v>0</v>
      </c>
      <c r="BY472" s="34">
        <f t="shared" si="770"/>
        <v>0</v>
      </c>
    </row>
    <row r="473" spans="3:77" outlineLevel="1">
      <c r="C473" s="32"/>
      <c r="D473" s="31"/>
      <c r="E473" t="s">
        <v>511</v>
      </c>
      <c r="F473" s="80" t="str">
        <f>+Assumptions!$G$8</f>
        <v>USD</v>
      </c>
      <c r="H473" s="32">
        <f t="shared" ref="H473" si="771">+G487</f>
        <v>0</v>
      </c>
      <c r="I473" s="32">
        <f t="shared" ref="I473" si="772">+H487</f>
        <v>0</v>
      </c>
      <c r="J473" s="32">
        <f>+I487</f>
        <v>-38973051.071999997</v>
      </c>
      <c r="K473" s="32">
        <f t="shared" ref="K473" ca="1" si="773">+J487</f>
        <v>-244309425.80388212</v>
      </c>
      <c r="L473" s="32">
        <f t="shared" ref="L473" ca="1" si="774">+K487</f>
        <v>-233429914.28807104</v>
      </c>
      <c r="M473" s="32">
        <f t="shared" ref="M473" ca="1" si="775">+L487</f>
        <v>-221926027.60636756</v>
      </c>
      <c r="N473" s="32">
        <f t="shared" ref="N473" ca="1" si="776">+M487</f>
        <v>-209761932.8680011</v>
      </c>
      <c r="O473" s="32">
        <f t="shared" ref="O473" ca="1" si="777">+N487</f>
        <v>-196899740.73259979</v>
      </c>
      <c r="P473" s="32">
        <f t="shared" ref="P473" ca="1" si="778">+O487</f>
        <v>-183299387.39054781</v>
      </c>
      <c r="Q473" s="32">
        <f t="shared" ref="Q473" ca="1" si="779">+P487</f>
        <v>-168918509.77019548</v>
      </c>
      <c r="R473" s="32">
        <f t="shared" ref="R473" ca="1" si="780">+Q487</f>
        <v>-153712313.58321112</v>
      </c>
      <c r="S473" s="32">
        <f t="shared" ref="S473" ca="1" si="781">+R487</f>
        <v>-137633433.79705572</v>
      </c>
      <c r="T473" s="32">
        <f t="shared" ref="T473" ca="1" si="782">+S487</f>
        <v>-120631787.09997287</v>
      </c>
      <c r="U473" s="32">
        <f t="shared" ref="U473" ca="1" si="783">+T487</f>
        <v>-102654415.89894444</v>
      </c>
      <c r="V473" s="32">
        <f t="shared" ref="V473" ca="1" si="784">+U487</f>
        <v>-83645323.364688978</v>
      </c>
      <c r="W473" s="32">
        <f t="shared" ref="W473" ca="1" si="785">+V487</f>
        <v>-63545299.009892598</v>
      </c>
      <c r="X473" s="32">
        <f t="shared" ref="X473" ca="1" si="786">+W487</f>
        <v>-42291734.257374451</v>
      </c>
      <c r="Y473" s="32">
        <f t="shared" ref="Y473" ca="1" si="787">+X487</f>
        <v>-19818427.423709288</v>
      </c>
      <c r="Z473" s="32">
        <f t="shared" ref="Z473" ca="1" si="788">+Y487</f>
        <v>-2.2351741790771484E-8</v>
      </c>
      <c r="AA473" s="32">
        <f t="shared" ref="AA473" ca="1" si="789">+Z487</f>
        <v>-2.2351741790771484E-8</v>
      </c>
      <c r="AB473" s="32">
        <f t="shared" ref="AB473" ca="1" si="790">+AA487</f>
        <v>-2.2351741790771484E-8</v>
      </c>
      <c r="AC473" s="32">
        <f t="shared" ref="AC473" ca="1" si="791">+AB487</f>
        <v>-2.2351741790771484E-8</v>
      </c>
      <c r="AD473" s="32">
        <f t="shared" ref="AD473" ca="1" si="792">+AC487</f>
        <v>-2.2351741790771484E-8</v>
      </c>
      <c r="AE473" s="32">
        <f t="shared" ref="AE473" ca="1" si="793">+AD487</f>
        <v>-2.2351741790771484E-8</v>
      </c>
      <c r="AF473" s="32">
        <f t="shared" ref="AF473" ca="1" si="794">+AE487</f>
        <v>-2.2351741790771484E-8</v>
      </c>
      <c r="AG473" s="32">
        <f t="shared" ref="AG473" ca="1" si="795">+AF487</f>
        <v>-2.2351741790771484E-8</v>
      </c>
      <c r="AH473" s="32">
        <f t="shared" ref="AH473" ca="1" si="796">+AG487</f>
        <v>-2.2351741790771484E-8</v>
      </c>
      <c r="AI473" s="32">
        <f t="shared" ref="AI473" ca="1" si="797">+AH487</f>
        <v>-2.2351741790771484E-8</v>
      </c>
      <c r="AJ473" s="32">
        <f t="shared" ref="AJ473" ca="1" si="798">+AI487</f>
        <v>-2.2351741790771484E-8</v>
      </c>
      <c r="AK473" s="32">
        <f t="shared" ref="AK473" ca="1" si="799">+AJ487</f>
        <v>-2.2351741790771484E-8</v>
      </c>
      <c r="AL473" s="32">
        <f t="shared" ref="AL473" ca="1" si="800">+AK487</f>
        <v>-2.2351741790771484E-8</v>
      </c>
      <c r="AM473" s="32">
        <f t="shared" ref="AM473" ca="1" si="801">+AL487</f>
        <v>-2.2351741790771484E-8</v>
      </c>
      <c r="AN473" s="32">
        <f t="shared" ref="AN473" ca="1" si="802">+AM487</f>
        <v>-2.2351741790771484E-8</v>
      </c>
      <c r="AO473" s="32">
        <f t="shared" ref="AO473" ca="1" si="803">+AN487</f>
        <v>-2.2351741790771484E-8</v>
      </c>
      <c r="AP473" s="32">
        <f t="shared" ref="AP473" ca="1" si="804">+AO487</f>
        <v>-2.2351741790771484E-8</v>
      </c>
      <c r="AQ473" s="32">
        <f t="shared" ref="AQ473" ca="1" si="805">+AP487</f>
        <v>-2.2351741790771484E-8</v>
      </c>
      <c r="AR473" s="32">
        <f t="shared" ref="AR473" ca="1" si="806">+AQ487</f>
        <v>-2.2351741790771484E-8</v>
      </c>
      <c r="AS473" s="32">
        <f t="shared" ref="AS473" ca="1" si="807">+AR487</f>
        <v>-2.2351741790771484E-8</v>
      </c>
      <c r="AT473" s="32">
        <f t="shared" ref="AT473" ca="1" si="808">+AS487</f>
        <v>-2.2351741790771484E-8</v>
      </c>
      <c r="AU473" s="32">
        <f t="shared" ref="AU473" ca="1" si="809">+AT487</f>
        <v>-2.2351741790771484E-8</v>
      </c>
      <c r="AV473" s="32">
        <f t="shared" ref="AV473" ca="1" si="810">+AU487</f>
        <v>-2.2351741790771484E-8</v>
      </c>
      <c r="AW473" s="32">
        <f t="shared" ref="AW473" ca="1" si="811">+AV487</f>
        <v>-2.2351741790771484E-8</v>
      </c>
      <c r="AX473" s="32">
        <f t="shared" ref="AX473" ca="1" si="812">+AW487</f>
        <v>-2.2351741790771484E-8</v>
      </c>
      <c r="AY473" s="32">
        <f t="shared" ref="AY473" ca="1" si="813">+AX487</f>
        <v>-2.2351741790771484E-8</v>
      </c>
      <c r="AZ473" s="32">
        <f t="shared" ref="AZ473" ca="1" si="814">+AY487</f>
        <v>-2.2351741790771484E-8</v>
      </c>
      <c r="BA473" s="32">
        <f t="shared" ref="BA473" ca="1" si="815">+AZ487</f>
        <v>-2.2351741790771484E-8</v>
      </c>
      <c r="BB473" s="32">
        <f t="shared" ref="BB473" ca="1" si="816">+BA487</f>
        <v>-2.2351741790771484E-8</v>
      </c>
      <c r="BC473" s="32">
        <f t="shared" ref="BC473" ca="1" si="817">+BB487</f>
        <v>-2.2351741790771484E-8</v>
      </c>
      <c r="BD473" s="32">
        <f t="shared" ref="BD473" ca="1" si="818">+BC487</f>
        <v>-2.2351741790771484E-8</v>
      </c>
      <c r="BE473" s="32">
        <f t="shared" ref="BE473" ca="1" si="819">+BD487</f>
        <v>-2.2351741790771484E-8</v>
      </c>
      <c r="BF473" s="32">
        <f t="shared" ref="BF473" ca="1" si="820">+BE487</f>
        <v>-2.2351741790771484E-8</v>
      </c>
      <c r="BG473" s="32">
        <f t="shared" ref="BG473" ca="1" si="821">+BF487</f>
        <v>-2.2351741790771484E-8</v>
      </c>
      <c r="BH473" s="32">
        <f t="shared" ref="BH473" ca="1" si="822">+BG487</f>
        <v>-2.2351741790771484E-8</v>
      </c>
      <c r="BI473" s="32">
        <f t="shared" ref="BI473" ca="1" si="823">+BH487</f>
        <v>-2.2351741790771484E-8</v>
      </c>
      <c r="BJ473" s="32">
        <f t="shared" ref="BJ473" ca="1" si="824">+BI487</f>
        <v>-2.2351741790771484E-8</v>
      </c>
      <c r="BK473" s="32">
        <f t="shared" ref="BK473" ca="1" si="825">+BJ487</f>
        <v>-2.2351741790771484E-8</v>
      </c>
      <c r="BL473" s="32">
        <f t="shared" ref="BL473" ca="1" si="826">+BK487</f>
        <v>-2.2351741790771484E-8</v>
      </c>
      <c r="BM473" s="32">
        <f t="shared" ref="BM473" ca="1" si="827">+BL487</f>
        <v>-2.2351741790771484E-8</v>
      </c>
      <c r="BN473" s="32">
        <f t="shared" ref="BN473" ca="1" si="828">+BM487</f>
        <v>-2.2351741790771484E-8</v>
      </c>
      <c r="BO473" s="32">
        <f t="shared" ref="BO473" ca="1" si="829">+BN487</f>
        <v>-2.2351741790771484E-8</v>
      </c>
      <c r="BP473" s="32">
        <f t="shared" ref="BP473" ca="1" si="830">+BO487</f>
        <v>-2.2351741790771484E-8</v>
      </c>
      <c r="BQ473" s="32">
        <f t="shared" ref="BQ473" ca="1" si="831">+BP487</f>
        <v>-2.2351741790771484E-8</v>
      </c>
      <c r="BR473" s="32">
        <f t="shared" ref="BR473" ca="1" si="832">+BQ487</f>
        <v>-2.2351741790771484E-8</v>
      </c>
      <c r="BS473" s="32">
        <f t="shared" ref="BS473" ca="1" si="833">+BR487</f>
        <v>-2.2351741790771484E-8</v>
      </c>
      <c r="BT473" s="32">
        <f t="shared" ref="BT473" ca="1" si="834">+BS487</f>
        <v>-2.2351741790771484E-8</v>
      </c>
      <c r="BU473" s="32">
        <f t="shared" ref="BU473" ca="1" si="835">+BT487</f>
        <v>-2.2351741790771484E-8</v>
      </c>
      <c r="BV473" s="32">
        <f t="shared" ref="BV473" ca="1" si="836">+BU487</f>
        <v>-2.2351741790771484E-8</v>
      </c>
      <c r="BW473" s="32">
        <f t="shared" ref="BW473" ca="1" si="837">+BV487</f>
        <v>-2.2351741790771484E-8</v>
      </c>
      <c r="BX473" s="32">
        <f t="shared" ref="BX473" ca="1" si="838">+BW487</f>
        <v>-2.2351741790771484E-8</v>
      </c>
      <c r="BY473" s="32">
        <f t="shared" ref="BY473" ca="1" si="839">+BX487</f>
        <v>-2.2351741790771484E-8</v>
      </c>
    </row>
    <row r="474" spans="3:77" outlineLevel="1">
      <c r="C474" s="32"/>
      <c r="D474" s="31"/>
      <c r="E474" t="s">
        <v>512</v>
      </c>
      <c r="F474" s="80" t="str">
        <f>+Assumptions!$G$8</f>
        <v>USD</v>
      </c>
      <c r="H474" s="33">
        <f ca="1">+H473*Assumptions!$G$335</f>
        <v>0</v>
      </c>
      <c r="I474" s="33">
        <f ca="1">+I473*Assumptions!$G$335</f>
        <v>0</v>
      </c>
      <c r="J474" s="33">
        <f ca="1">+J473*Assumptions!$G$335</f>
        <v>-2236663.4010220799</v>
      </c>
      <c r="K474" s="33">
        <f ca="1">+K473*Assumptions!$G$335</f>
        <v>-14020917.946884796</v>
      </c>
      <c r="L474" s="33">
        <f ca="1">+L473*Assumptions!$G$335</f>
        <v>-13396542.780992398</v>
      </c>
      <c r="M474" s="33">
        <f ca="1">+M473*Assumptions!$G$335</f>
        <v>-12736334.724329434</v>
      </c>
      <c r="N474" s="33">
        <f ca="1">+N473*Assumptions!$G$335</f>
        <v>-12038237.327294584</v>
      </c>
      <c r="O474" s="33">
        <f ca="1">+O473*Assumptions!$G$335</f>
        <v>-11300076.120643903</v>
      </c>
      <c r="P474" s="33">
        <f ca="1">+P473*Assumptions!$G$335</f>
        <v>-10519551.842343539</v>
      </c>
      <c r="Q474" s="33">
        <f ca="1">+Q473*Assumptions!$G$335</f>
        <v>-9694233.2757115196</v>
      </c>
      <c r="R474" s="33">
        <f ca="1">+R473*Assumptions!$G$335</f>
        <v>-8821549.6765404865</v>
      </c>
      <c r="S474" s="33">
        <f ca="1">+S473*Assumptions!$G$335</f>
        <v>-7898782.7656130288</v>
      </c>
      <c r="T474" s="33">
        <f ca="1">+T473*Assumptions!$G$335</f>
        <v>-6923058.2616674434</v>
      </c>
      <c r="U474" s="33">
        <f ca="1">+U473*Assumptions!$G$335</f>
        <v>-5891336.9284404218</v>
      </c>
      <c r="V474" s="33">
        <f ca="1">+V473*Assumptions!$G$335</f>
        <v>-4800405.107899501</v>
      </c>
      <c r="W474" s="33">
        <f ca="1">+W473*Assumptions!$G$335</f>
        <v>-3646864.7101777364</v>
      </c>
      <c r="X474" s="33">
        <f ca="1">+X473*Assumptions!$G$335</f>
        <v>-2427122.6290307199</v>
      </c>
      <c r="Y474" s="33">
        <f ca="1">+Y473*Assumptions!$G$335</f>
        <v>-1137379.5498466762</v>
      </c>
      <c r="Z474" s="33">
        <f ca="1">+Z473*Assumptions!$G$335</f>
        <v>-1.2827664613723756E-9</v>
      </c>
      <c r="AA474" s="33">
        <f ca="1">+AA473*Assumptions!$G$335</f>
        <v>-1.2827664613723756E-9</v>
      </c>
      <c r="AB474" s="33">
        <f ca="1">+AB473*Assumptions!$G$335</f>
        <v>-1.2827664613723756E-9</v>
      </c>
      <c r="AC474" s="33">
        <f ca="1">+AC473*Assumptions!$G$335</f>
        <v>-1.2827664613723756E-9</v>
      </c>
      <c r="AD474" s="33">
        <f ca="1">+AD473*Assumptions!$G$335</f>
        <v>-1.2827664613723756E-9</v>
      </c>
      <c r="AE474" s="33">
        <f ca="1">+AE473*Assumptions!$G$335</f>
        <v>-1.2827664613723756E-9</v>
      </c>
      <c r="AF474" s="33">
        <f ca="1">+AF473*Assumptions!$G$335</f>
        <v>-1.2827664613723756E-9</v>
      </c>
      <c r="AG474" s="33">
        <f ca="1">+AG473*Assumptions!$G$335</f>
        <v>-1.2827664613723756E-9</v>
      </c>
      <c r="AH474" s="33">
        <f ca="1">+AH473*Assumptions!$G$335</f>
        <v>-1.2827664613723756E-9</v>
      </c>
      <c r="AI474" s="33">
        <f ca="1">+AI473*Assumptions!$G$335</f>
        <v>-1.2827664613723756E-9</v>
      </c>
      <c r="AJ474" s="33">
        <f ca="1">+AJ473*Assumptions!$G$335</f>
        <v>-1.2827664613723756E-9</v>
      </c>
      <c r="AK474" s="33">
        <f ca="1">+AK473*Assumptions!$G$335</f>
        <v>-1.2827664613723756E-9</v>
      </c>
      <c r="AL474" s="33">
        <f ca="1">+AL473*Assumptions!$G$335</f>
        <v>-1.2827664613723756E-9</v>
      </c>
      <c r="AM474" s="33">
        <f ca="1">+AM473*Assumptions!$G$335</f>
        <v>-1.2827664613723756E-9</v>
      </c>
      <c r="AN474" s="33">
        <f ca="1">+AN473*Assumptions!$G$335</f>
        <v>-1.2827664613723756E-9</v>
      </c>
      <c r="AO474" s="33">
        <f ca="1">+AO473*Assumptions!$G$335</f>
        <v>-1.2827664613723756E-9</v>
      </c>
      <c r="AP474" s="33">
        <f ca="1">+AP473*Assumptions!$G$335</f>
        <v>-1.2827664613723756E-9</v>
      </c>
      <c r="AQ474" s="33">
        <f ca="1">+AQ473*Assumptions!$G$335</f>
        <v>-1.2827664613723756E-9</v>
      </c>
      <c r="AR474" s="33">
        <f ca="1">+AR473*Assumptions!$G$335</f>
        <v>-1.2827664613723756E-9</v>
      </c>
      <c r="AS474" s="33">
        <f ca="1">+AS473*Assumptions!$G$335</f>
        <v>-1.2827664613723756E-9</v>
      </c>
      <c r="AT474" s="33">
        <f ca="1">+AT473*Assumptions!$G$335</f>
        <v>-1.2827664613723756E-9</v>
      </c>
      <c r="AU474" s="33">
        <f ca="1">+AU473*Assumptions!$G$335</f>
        <v>-1.2827664613723756E-9</v>
      </c>
      <c r="AV474" s="33">
        <f ca="1">+AV473*Assumptions!$G$335</f>
        <v>-1.2827664613723756E-9</v>
      </c>
      <c r="AW474" s="33">
        <f ca="1">+AW473*Assumptions!$G$335</f>
        <v>-1.2827664613723756E-9</v>
      </c>
      <c r="AX474" s="33">
        <f ca="1">+AX473*Assumptions!$G$335</f>
        <v>-1.2827664613723756E-9</v>
      </c>
      <c r="AY474" s="33">
        <f ca="1">+AY473*Assumptions!$G$335</f>
        <v>-1.2827664613723756E-9</v>
      </c>
      <c r="AZ474" s="33">
        <f ca="1">+AZ473*Assumptions!$G$335</f>
        <v>-1.2827664613723756E-9</v>
      </c>
      <c r="BA474" s="33">
        <f ca="1">+BA473*Assumptions!$G$335</f>
        <v>-1.2827664613723756E-9</v>
      </c>
      <c r="BB474" s="33">
        <f ca="1">+BB473*Assumptions!$G$335</f>
        <v>-1.2827664613723756E-9</v>
      </c>
      <c r="BC474" s="33">
        <f ca="1">+BC473*Assumptions!$G$335</f>
        <v>-1.2827664613723756E-9</v>
      </c>
      <c r="BD474" s="33">
        <f ca="1">+BD473*Assumptions!$G$335</f>
        <v>-1.2827664613723756E-9</v>
      </c>
      <c r="BE474" s="33">
        <f ca="1">+BE473*Assumptions!$G$335</f>
        <v>-1.2827664613723756E-9</v>
      </c>
      <c r="BF474" s="33">
        <f ca="1">+BF473*Assumptions!$G$335</f>
        <v>-1.2827664613723756E-9</v>
      </c>
      <c r="BG474" s="33">
        <f ca="1">+BG473*Assumptions!$G$335</f>
        <v>-1.2827664613723756E-9</v>
      </c>
      <c r="BH474" s="33">
        <f ca="1">+BH473*Assumptions!$G$335</f>
        <v>-1.2827664613723756E-9</v>
      </c>
      <c r="BI474" s="33">
        <f ca="1">+BI473*Assumptions!$G$335</f>
        <v>-1.2827664613723756E-9</v>
      </c>
      <c r="BJ474" s="33">
        <f ca="1">+BJ473*Assumptions!$G$335</f>
        <v>-1.2827664613723756E-9</v>
      </c>
      <c r="BK474" s="33">
        <f ca="1">+BK473*Assumptions!$G$335</f>
        <v>-1.2827664613723756E-9</v>
      </c>
      <c r="BL474" s="33">
        <f ca="1">+BL473*Assumptions!$G$335</f>
        <v>-1.2827664613723756E-9</v>
      </c>
      <c r="BM474" s="33">
        <f ca="1">+BM473*Assumptions!$G$335</f>
        <v>-1.2827664613723756E-9</v>
      </c>
      <c r="BN474" s="33">
        <f ca="1">+BN473*Assumptions!$G$335</f>
        <v>-1.2827664613723756E-9</v>
      </c>
      <c r="BO474" s="33">
        <f ca="1">+BO473*Assumptions!$G$335</f>
        <v>-1.2827664613723756E-9</v>
      </c>
      <c r="BP474" s="33">
        <f ca="1">+BP473*Assumptions!$G$335</f>
        <v>-1.2827664613723756E-9</v>
      </c>
      <c r="BQ474" s="33">
        <f ca="1">+BQ473*Assumptions!$G$335</f>
        <v>-1.2827664613723756E-9</v>
      </c>
      <c r="BR474" s="33">
        <f ca="1">+BR473*Assumptions!$G$335</f>
        <v>-1.2827664613723756E-9</v>
      </c>
      <c r="BS474" s="33">
        <f ca="1">+BS473*Assumptions!$G$335</f>
        <v>-1.2827664613723756E-9</v>
      </c>
      <c r="BT474" s="33">
        <f ca="1">+BT473*Assumptions!$G$335</f>
        <v>-1.2827664613723756E-9</v>
      </c>
      <c r="BU474" s="33">
        <f ca="1">+BU473*Assumptions!$G$335</f>
        <v>-1.2827664613723756E-9</v>
      </c>
      <c r="BV474" s="33">
        <f ca="1">+BV473*Assumptions!$G$335</f>
        <v>-1.2827664613723756E-9</v>
      </c>
      <c r="BW474" s="33">
        <f ca="1">+BW473*Assumptions!$G$335</f>
        <v>-1.2827664613723756E-9</v>
      </c>
      <c r="BX474" s="33">
        <f ca="1">+BX473*Assumptions!$G$335</f>
        <v>-1.2827664613723756E-9</v>
      </c>
      <c r="BY474" s="33">
        <f ca="1">+BY473*Assumptions!$G$335</f>
        <v>-1.2827664613723756E-9</v>
      </c>
    </row>
    <row r="475" spans="3:77" outlineLevel="1">
      <c r="C475" s="31"/>
      <c r="E475" s="25" t="s">
        <v>513</v>
      </c>
      <c r="F475" s="81" t="str">
        <f>+Assumptions!$G$8</f>
        <v>USD</v>
      </c>
      <c r="G475" s="25"/>
      <c r="H475" s="34">
        <f>IF(SUM(H476:H485)=0,0,+SUM(H476:H485)-H474)</f>
        <v>0</v>
      </c>
      <c r="I475" s="34">
        <f t="shared" ref="I475:BT475" si="840">IF(SUM(I476:I485)=0,0,+SUM(I476:I485)-I474)</f>
        <v>0</v>
      </c>
      <c r="J475" s="34">
        <f t="shared" ca="1" si="840"/>
        <v>-1707959.0881178617</v>
      </c>
      <c r="K475" s="34">
        <f t="shared" ca="1" si="840"/>
        <v>-10879511.515811086</v>
      </c>
      <c r="L475" s="34">
        <f t="shared" ca="1" si="840"/>
        <v>-11503886.681703484</v>
      </c>
      <c r="M475" s="34">
        <f t="shared" ca="1" si="840"/>
        <v>-12164094.738366447</v>
      </c>
      <c r="N475" s="34">
        <f t="shared" ca="1" si="840"/>
        <v>-12862192.135401297</v>
      </c>
      <c r="O475" s="34">
        <f t="shared" ca="1" si="840"/>
        <v>-13600353.342051979</v>
      </c>
      <c r="P475" s="34">
        <f t="shared" ca="1" si="840"/>
        <v>-14380877.620352343</v>
      </c>
      <c r="Q475" s="34">
        <f t="shared" ca="1" si="840"/>
        <v>-15206196.186984362</v>
      </c>
      <c r="R475" s="34">
        <f t="shared" ca="1" si="840"/>
        <v>-16078879.786155395</v>
      </c>
      <c r="S475" s="34">
        <f t="shared" ca="1" si="840"/>
        <v>-17001646.697082855</v>
      </c>
      <c r="T475" s="34">
        <f t="shared" ca="1" si="840"/>
        <v>-17977371.201028436</v>
      </c>
      <c r="U475" s="34">
        <f t="shared" ca="1" si="840"/>
        <v>-19009092.53425546</v>
      </c>
      <c r="V475" s="34">
        <f t="shared" ca="1" si="840"/>
        <v>-20100024.35479638</v>
      </c>
      <c r="W475" s="34">
        <f t="shared" ca="1" si="840"/>
        <v>-21253564.752518147</v>
      </c>
      <c r="X475" s="34">
        <f t="shared" ca="1" si="840"/>
        <v>-22473306.833665162</v>
      </c>
      <c r="Y475" s="34">
        <f t="shared" ca="1" si="840"/>
        <v>-19818427.423709266</v>
      </c>
      <c r="Z475" s="34">
        <f t="shared" si="840"/>
        <v>0</v>
      </c>
      <c r="AA475" s="34">
        <f t="shared" si="840"/>
        <v>0</v>
      </c>
      <c r="AB475" s="34">
        <f t="shared" si="840"/>
        <v>0</v>
      </c>
      <c r="AC475" s="34">
        <f t="shared" si="840"/>
        <v>0</v>
      </c>
      <c r="AD475" s="34">
        <f t="shared" si="840"/>
        <v>0</v>
      </c>
      <c r="AE475" s="34">
        <f t="shared" si="840"/>
        <v>0</v>
      </c>
      <c r="AF475" s="34">
        <f t="shared" si="840"/>
        <v>0</v>
      </c>
      <c r="AG475" s="34">
        <f t="shared" si="840"/>
        <v>0</v>
      </c>
      <c r="AH475" s="34">
        <f t="shared" si="840"/>
        <v>0</v>
      </c>
      <c r="AI475" s="34">
        <f t="shared" si="840"/>
        <v>0</v>
      </c>
      <c r="AJ475" s="34">
        <f t="shared" si="840"/>
        <v>0</v>
      </c>
      <c r="AK475" s="34">
        <f t="shared" si="840"/>
        <v>0</v>
      </c>
      <c r="AL475" s="34">
        <f t="shared" si="840"/>
        <v>0</v>
      </c>
      <c r="AM475" s="34">
        <f t="shared" si="840"/>
        <v>0</v>
      </c>
      <c r="AN475" s="34">
        <f t="shared" si="840"/>
        <v>0</v>
      </c>
      <c r="AO475" s="34">
        <f t="shared" si="840"/>
        <v>0</v>
      </c>
      <c r="AP475" s="34">
        <f t="shared" si="840"/>
        <v>0</v>
      </c>
      <c r="AQ475" s="34">
        <f t="shared" si="840"/>
        <v>0</v>
      </c>
      <c r="AR475" s="34">
        <f t="shared" si="840"/>
        <v>0</v>
      </c>
      <c r="AS475" s="34">
        <f t="shared" si="840"/>
        <v>0</v>
      </c>
      <c r="AT475" s="34">
        <f t="shared" si="840"/>
        <v>0</v>
      </c>
      <c r="AU475" s="34">
        <f t="shared" si="840"/>
        <v>0</v>
      </c>
      <c r="AV475" s="34">
        <f t="shared" si="840"/>
        <v>0</v>
      </c>
      <c r="AW475" s="34">
        <f t="shared" si="840"/>
        <v>0</v>
      </c>
      <c r="AX475" s="34">
        <f t="shared" si="840"/>
        <v>0</v>
      </c>
      <c r="AY475" s="34">
        <f t="shared" si="840"/>
        <v>0</v>
      </c>
      <c r="AZ475" s="34">
        <f t="shared" si="840"/>
        <v>0</v>
      </c>
      <c r="BA475" s="34">
        <f t="shared" si="840"/>
        <v>0</v>
      </c>
      <c r="BB475" s="34">
        <f t="shared" si="840"/>
        <v>0</v>
      </c>
      <c r="BC475" s="34">
        <f t="shared" si="840"/>
        <v>0</v>
      </c>
      <c r="BD475" s="34">
        <f t="shared" si="840"/>
        <v>0</v>
      </c>
      <c r="BE475" s="34">
        <f t="shared" si="840"/>
        <v>0</v>
      </c>
      <c r="BF475" s="34">
        <f t="shared" si="840"/>
        <v>0</v>
      </c>
      <c r="BG475" s="34">
        <f t="shared" si="840"/>
        <v>0</v>
      </c>
      <c r="BH475" s="34">
        <f t="shared" si="840"/>
        <v>0</v>
      </c>
      <c r="BI475" s="34">
        <f t="shared" si="840"/>
        <v>0</v>
      </c>
      <c r="BJ475" s="34">
        <f t="shared" si="840"/>
        <v>0</v>
      </c>
      <c r="BK475" s="34">
        <f t="shared" si="840"/>
        <v>0</v>
      </c>
      <c r="BL475" s="34">
        <f t="shared" si="840"/>
        <v>0</v>
      </c>
      <c r="BM475" s="34">
        <f t="shared" si="840"/>
        <v>0</v>
      </c>
      <c r="BN475" s="34">
        <f t="shared" si="840"/>
        <v>0</v>
      </c>
      <c r="BO475" s="34">
        <f t="shared" si="840"/>
        <v>0</v>
      </c>
      <c r="BP475" s="34">
        <f t="shared" si="840"/>
        <v>0</v>
      </c>
      <c r="BQ475" s="34">
        <f t="shared" si="840"/>
        <v>0</v>
      </c>
      <c r="BR475" s="34">
        <f t="shared" si="840"/>
        <v>0</v>
      </c>
      <c r="BS475" s="34">
        <f t="shared" si="840"/>
        <v>0</v>
      </c>
      <c r="BT475" s="34">
        <f t="shared" si="840"/>
        <v>0</v>
      </c>
      <c r="BU475" s="34">
        <f t="shared" ref="BU475:BY475" si="841">IF(SUM(BU476:BU485)=0,0,+SUM(BU476:BU485)-BU474)</f>
        <v>0</v>
      </c>
      <c r="BV475" s="34">
        <f t="shared" si="841"/>
        <v>0</v>
      </c>
      <c r="BW475" s="34">
        <f t="shared" si="841"/>
        <v>0</v>
      </c>
      <c r="BX475" s="34">
        <f t="shared" si="841"/>
        <v>0</v>
      </c>
      <c r="BY475" s="34">
        <f t="shared" si="841"/>
        <v>0</v>
      </c>
    </row>
    <row r="476" spans="3:77" outlineLevel="1">
      <c r="C476" s="31"/>
      <c r="E476" s="24" t="s">
        <v>514</v>
      </c>
      <c r="F476" s="80" t="str">
        <f>+Assumptions!$G$8</f>
        <v>USD</v>
      </c>
      <c r="G476" s="24"/>
      <c r="H476" s="39">
        <f>+IFERROR(-ABS(IF(EDATE(_xlfn.XLOOKUP(1,$H463:$BE463,$H$4:$BE$4),12*Assumptions!$G$337+12)=H$4,0,IF(G463=1,PMT(Assumptions!$G$335,Assumptions!$G$337,$C465),G476))),0)</f>
        <v>0</v>
      </c>
      <c r="I476" s="39">
        <f>+IFERROR(-ABS(IF(EDATE(_xlfn.XLOOKUP(1,$H463:$BE463,$H$4:$BE$4),12*Assumptions!$G$337+12)=I$4,0,IF(H463=1,PMT(Assumptions!$G$335,Assumptions!$G$337,$C465),H476))),0)</f>
        <v>0</v>
      </c>
      <c r="J476" s="39">
        <f ca="1">+IFERROR(-ABS(IF(EDATE(_xlfn.XLOOKUP(1,$H463:$BE463,$H$4:$BE$4),12*Assumptions!$G$337+12)=J$4,0,IF(I463=1,PMT(Assumptions!$G$335,Assumptions!$G$337,$C465),I476))),0)</f>
        <v>-3944622.4891399415</v>
      </c>
      <c r="K476" s="39">
        <f ca="1">+IFERROR(-ABS(IF(EDATE(_xlfn.XLOOKUP(1,$H463:$BE463,$H$4:$BE$4),12*Assumptions!$G$337+12)=K$4,0,IF(J463=1,PMT(Assumptions!$G$335,Assumptions!$G$337,$C465),J476))),0)</f>
        <v>-3944622.4891399415</v>
      </c>
      <c r="L476" s="39">
        <f ca="1">+IFERROR(-ABS(IF(EDATE(_xlfn.XLOOKUP(1,$H463:$BE463,$H$4:$BE$4),12*Assumptions!$G$337+12)=L$4,0,IF(K463=1,PMT(Assumptions!$G$335,Assumptions!$G$337,$C465),K476))),0)</f>
        <v>-3944622.4891399415</v>
      </c>
      <c r="M476" s="39">
        <f ca="1">+IFERROR(-ABS(IF(EDATE(_xlfn.XLOOKUP(1,$H463:$BE463,$H$4:$BE$4),12*Assumptions!$G$337+12)=M$4,0,IF(L463=1,PMT(Assumptions!$G$335,Assumptions!$G$337,$C465),L476))),0)</f>
        <v>-3944622.4891399415</v>
      </c>
      <c r="N476" s="39">
        <f ca="1">+IFERROR(-ABS(IF(EDATE(_xlfn.XLOOKUP(1,$H463:$BE463,$H$4:$BE$4),12*Assumptions!$G$337+12)=N$4,0,IF(M463=1,PMT(Assumptions!$G$335,Assumptions!$G$337,$C465),M476))),0)</f>
        <v>-3944622.4891399415</v>
      </c>
      <c r="O476" s="39">
        <f ca="1">+IFERROR(-ABS(IF(EDATE(_xlfn.XLOOKUP(1,$H463:$BE463,$H$4:$BE$4),12*Assumptions!$G$337+12)=O$4,0,IF(N463=1,PMT(Assumptions!$G$335,Assumptions!$G$337,$C465),N476))),0)</f>
        <v>-3944622.4891399415</v>
      </c>
      <c r="P476" s="39">
        <f ca="1">+IFERROR(-ABS(IF(EDATE(_xlfn.XLOOKUP(1,$H463:$BE463,$H$4:$BE$4),12*Assumptions!$G$337+12)=P$4,0,IF(O463=1,PMT(Assumptions!$G$335,Assumptions!$G$337,$C465),O476))),0)</f>
        <v>-3944622.4891399415</v>
      </c>
      <c r="Q476" s="39">
        <f ca="1">+IFERROR(-ABS(IF(EDATE(_xlfn.XLOOKUP(1,$H463:$BE463,$H$4:$BE$4),12*Assumptions!$G$337+12)=Q$4,0,IF(P463=1,PMT(Assumptions!$G$335,Assumptions!$G$337,$C465),P476))),0)</f>
        <v>-3944622.4891399415</v>
      </c>
      <c r="R476" s="39">
        <f ca="1">+IFERROR(-ABS(IF(EDATE(_xlfn.XLOOKUP(1,$H463:$BE463,$H$4:$BE$4),12*Assumptions!$G$337+12)=R$4,0,IF(Q463=1,PMT(Assumptions!$G$335,Assumptions!$G$337,$C465),Q476))),0)</f>
        <v>-3944622.4891399415</v>
      </c>
      <c r="S476" s="39">
        <f ca="1">+IFERROR(-ABS(IF(EDATE(_xlfn.XLOOKUP(1,$H463:$BE463,$H$4:$BE$4),12*Assumptions!$G$337+12)=S$4,0,IF(R463=1,PMT(Assumptions!$G$335,Assumptions!$G$337,$C465),R476))),0)</f>
        <v>-3944622.4891399415</v>
      </c>
      <c r="T476" s="39">
        <f ca="1">+IFERROR(-ABS(IF(EDATE(_xlfn.XLOOKUP(1,$H463:$BE463,$H$4:$BE$4),12*Assumptions!$G$337+12)=T$4,0,IF(S463=1,PMT(Assumptions!$G$335,Assumptions!$G$337,$C465),S476))),0)</f>
        <v>-3944622.4891399415</v>
      </c>
      <c r="U476" s="39">
        <f ca="1">+IFERROR(-ABS(IF(EDATE(_xlfn.XLOOKUP(1,$H463:$BE463,$H$4:$BE$4),12*Assumptions!$G$337+12)=U$4,0,IF(T463=1,PMT(Assumptions!$G$335,Assumptions!$G$337,$C465),T476))),0)</f>
        <v>-3944622.4891399415</v>
      </c>
      <c r="V476" s="39">
        <f ca="1">+IFERROR(-ABS(IF(EDATE(_xlfn.XLOOKUP(1,$H463:$BE463,$H$4:$BE$4),12*Assumptions!$G$337+12)=V$4,0,IF(U463=1,PMT(Assumptions!$G$335,Assumptions!$G$337,$C465),U476))),0)</f>
        <v>-3944622.4891399415</v>
      </c>
      <c r="W476" s="39">
        <f ca="1">+IFERROR(-ABS(IF(EDATE(_xlfn.XLOOKUP(1,$H463:$BE463,$H$4:$BE$4),12*Assumptions!$G$337+12)=W$4,0,IF(V463=1,PMT(Assumptions!$G$335,Assumptions!$G$337,$C465),V476))),0)</f>
        <v>-3944622.4891399415</v>
      </c>
      <c r="X476" s="39">
        <f ca="1">+IFERROR(-ABS(IF(EDATE(_xlfn.XLOOKUP(1,$H463:$BE463,$H$4:$BE$4),12*Assumptions!$G$337+12)=X$4,0,IF(W463=1,PMT(Assumptions!$G$335,Assumptions!$G$337,$C465),W476))),0)</f>
        <v>-3944622.4891399415</v>
      </c>
      <c r="Y476" s="39">
        <f>+IFERROR(-ABS(IF(EDATE(_xlfn.XLOOKUP(1,$H463:$BE463,$H$4:$BE$4),12*Assumptions!$G$337+12)=Y$4,0,IF(X463=1,PMT(Assumptions!$G$335,Assumptions!$G$337,$C465),X476))),0)</f>
        <v>0</v>
      </c>
      <c r="Z476" s="39">
        <f>+IFERROR(-ABS(IF(EDATE(_xlfn.XLOOKUP(1,$H463:$BE463,$H$4:$BE$4),12*Assumptions!$G$337+12)=Z$4,0,IF(Y463=1,PMT(Assumptions!$G$335,Assumptions!$G$337,$C465),Y476))),0)</f>
        <v>0</v>
      </c>
      <c r="AA476" s="39">
        <f>+IFERROR(-ABS(IF(EDATE(_xlfn.XLOOKUP(1,$H463:$BE463,$H$4:$BE$4),12*Assumptions!$G$337+12)=AA$4,0,IF(Z463=1,PMT(Assumptions!$G$335,Assumptions!$G$337,$C465),Z476))),0)</f>
        <v>0</v>
      </c>
      <c r="AB476" s="39">
        <f>+IFERROR(-ABS(IF(EDATE(_xlfn.XLOOKUP(1,$H463:$BE463,$H$4:$BE$4),12*Assumptions!$G$337+12)=AB$4,0,IF(AA463=1,PMT(Assumptions!$G$335,Assumptions!$G$337,$C465),AA476))),0)</f>
        <v>0</v>
      </c>
      <c r="AC476" s="39">
        <f>+IFERROR(-ABS(IF(EDATE(_xlfn.XLOOKUP(1,$H463:$BE463,$H$4:$BE$4),12*Assumptions!$G$337+12)=AC$4,0,IF(AB463=1,PMT(Assumptions!$G$335,Assumptions!$G$337,$C465),AB476))),0)</f>
        <v>0</v>
      </c>
      <c r="AD476" s="39">
        <f>+IFERROR(-ABS(IF(EDATE(_xlfn.XLOOKUP(1,$H463:$BE463,$H$4:$BE$4),12*Assumptions!$G$337+12)=AD$4,0,IF(AC463=1,PMT(Assumptions!$G$335,Assumptions!$G$337,$C465),AC476))),0)</f>
        <v>0</v>
      </c>
      <c r="AE476" s="39">
        <f>+IFERROR(-ABS(IF(EDATE(_xlfn.XLOOKUP(1,$H463:$BE463,$H$4:$BE$4),12*Assumptions!$G$337+12)=AE$4,0,IF(AD463=1,PMT(Assumptions!$G$335,Assumptions!$G$337,$C465),AD476))),0)</f>
        <v>0</v>
      </c>
      <c r="AF476" s="39">
        <f>+IFERROR(-ABS(IF(EDATE(_xlfn.XLOOKUP(1,$H463:$BE463,$H$4:$BE$4),12*Assumptions!$G$337+12)=AF$4,0,IF(AE463=1,PMT(Assumptions!$G$335,Assumptions!$G$337,$C465),AE476))),0)</f>
        <v>0</v>
      </c>
      <c r="AG476" s="39">
        <f>+IFERROR(-ABS(IF(EDATE(_xlfn.XLOOKUP(1,$H463:$BE463,$H$4:$BE$4),12*Assumptions!$G$337+12)=AG$4,0,IF(AF463=1,PMT(Assumptions!$G$335,Assumptions!$G$337,$C465),AF476))),0)</f>
        <v>0</v>
      </c>
      <c r="AH476" s="39">
        <f>+IFERROR(-ABS(IF(EDATE(_xlfn.XLOOKUP(1,$H463:$BE463,$H$4:$BE$4),12*Assumptions!$G$337+12)=AH$4,0,IF(AG463=1,PMT(Assumptions!$G$335,Assumptions!$G$337,$C465),AG476))),0)</f>
        <v>0</v>
      </c>
      <c r="AI476" s="39">
        <f>+IFERROR(-ABS(IF(EDATE(_xlfn.XLOOKUP(1,$H463:$BE463,$H$4:$BE$4),12*Assumptions!$G$337+12)=AI$4,0,IF(AH463=1,PMT(Assumptions!$G$335,Assumptions!$G$337,$C465),AH476))),0)</f>
        <v>0</v>
      </c>
      <c r="AJ476" s="39">
        <f>+IFERROR(-ABS(IF(EDATE(_xlfn.XLOOKUP(1,$H463:$BE463,$H$4:$BE$4),12*Assumptions!$G$337+12)=AJ$4,0,IF(AI463=1,PMT(Assumptions!$G$335,Assumptions!$G$337,$C465),AI476))),0)</f>
        <v>0</v>
      </c>
      <c r="AK476" s="39">
        <f>+IFERROR(-ABS(IF(EDATE(_xlfn.XLOOKUP(1,$H463:$BE463,$H$4:$BE$4),12*Assumptions!$G$337+12)=AK$4,0,IF(AJ463=1,PMT(Assumptions!$G$335,Assumptions!$G$337,$C465),AJ476))),0)</f>
        <v>0</v>
      </c>
      <c r="AL476" s="39">
        <f>+IFERROR(-ABS(IF(EDATE(_xlfn.XLOOKUP(1,$H463:$BE463,$H$4:$BE$4),12*Assumptions!$G$337+12)=AL$4,0,IF(AK463=1,PMT(Assumptions!$G$335,Assumptions!$G$337,$C465),AK476))),0)</f>
        <v>0</v>
      </c>
      <c r="AM476" s="39">
        <f>+IFERROR(-ABS(IF(EDATE(_xlfn.XLOOKUP(1,$H463:$BE463,$H$4:$BE$4),12*Assumptions!$G$337+12)=AM$4,0,IF(AL463=1,PMT(Assumptions!$G$335,Assumptions!$G$337,$C465),AL476))),0)</f>
        <v>0</v>
      </c>
      <c r="AN476" s="39">
        <f>+IFERROR(-ABS(IF(EDATE(_xlfn.XLOOKUP(1,$H463:$BE463,$H$4:$BE$4),12*Assumptions!$G$337+12)=AN$4,0,IF(AM463=1,PMT(Assumptions!$G$335,Assumptions!$G$337,$C465),AM476))),0)</f>
        <v>0</v>
      </c>
      <c r="AO476" s="39">
        <f>+IFERROR(-ABS(IF(EDATE(_xlfn.XLOOKUP(1,$H463:$BE463,$H$4:$BE$4),12*Assumptions!$G$337+12)=AO$4,0,IF(AN463=1,PMT(Assumptions!$G$335,Assumptions!$G$337,$C465),AN476))),0)</f>
        <v>0</v>
      </c>
      <c r="AP476" s="39">
        <f>+IFERROR(-ABS(IF(EDATE(_xlfn.XLOOKUP(1,$H463:$BE463,$H$4:$BE$4),12*Assumptions!$G$337+12)=AP$4,0,IF(AO463=1,PMT(Assumptions!$G$335,Assumptions!$G$337,$C465),AO476))),0)</f>
        <v>0</v>
      </c>
      <c r="AQ476" s="39">
        <f>+IFERROR(-ABS(IF(EDATE(_xlfn.XLOOKUP(1,$H463:$BE463,$H$4:$BE$4),12*Assumptions!$G$337+12)=AQ$4,0,IF(AP463=1,PMT(Assumptions!$G$335,Assumptions!$G$337,$C465),AP476))),0)</f>
        <v>0</v>
      </c>
      <c r="AR476" s="39">
        <f>+IFERROR(-ABS(IF(EDATE(_xlfn.XLOOKUP(1,$H463:$BE463,$H$4:$BE$4),12*Assumptions!$G$337+12)=AR$4,0,IF(AQ463=1,PMT(Assumptions!$G$335,Assumptions!$G$337,$C465),AQ476))),0)</f>
        <v>0</v>
      </c>
      <c r="AS476" s="39">
        <f>+IFERROR(-ABS(IF(EDATE(_xlfn.XLOOKUP(1,$H463:$BE463,$H$4:$BE$4),12*Assumptions!$G$337+12)=AS$4,0,IF(AR463=1,PMT(Assumptions!$G$335,Assumptions!$G$337,$C465),AR476))),0)</f>
        <v>0</v>
      </c>
      <c r="AT476" s="39">
        <f>+IFERROR(-ABS(IF(EDATE(_xlfn.XLOOKUP(1,$H463:$BE463,$H$4:$BE$4),12*Assumptions!$G$337+12)=AT$4,0,IF(AS463=1,PMT(Assumptions!$G$335,Assumptions!$G$337,$C465),AS476))),0)</f>
        <v>0</v>
      </c>
      <c r="AU476" s="39">
        <f>+IFERROR(-ABS(IF(EDATE(_xlfn.XLOOKUP(1,$H463:$BE463,$H$4:$BE$4),12*Assumptions!$G$337+12)=AU$4,0,IF(AT463=1,PMT(Assumptions!$G$335,Assumptions!$G$337,$C465),AT476))),0)</f>
        <v>0</v>
      </c>
      <c r="AV476" s="39">
        <f>+IFERROR(-ABS(IF(EDATE(_xlfn.XLOOKUP(1,$H463:$BE463,$H$4:$BE$4),12*Assumptions!$G$337+12)=AV$4,0,IF(AU463=1,PMT(Assumptions!$G$335,Assumptions!$G$337,$C465),AU476))),0)</f>
        <v>0</v>
      </c>
      <c r="AW476" s="39">
        <f>+IFERROR(-ABS(IF(EDATE(_xlfn.XLOOKUP(1,$H463:$BE463,$H$4:$BE$4),12*Assumptions!$G$337+12)=AW$4,0,IF(AV463=1,PMT(Assumptions!$G$335,Assumptions!$G$337,$C465),AV476))),0)</f>
        <v>0</v>
      </c>
      <c r="AX476" s="39">
        <f>+IFERROR(-ABS(IF(EDATE(_xlfn.XLOOKUP(1,$H463:$BE463,$H$4:$BE$4),12*Assumptions!$G$337+12)=AX$4,0,IF(AW463=1,PMT(Assumptions!$G$335,Assumptions!$G$337,$C465),AW476))),0)</f>
        <v>0</v>
      </c>
      <c r="AY476" s="39">
        <f>+IFERROR(-ABS(IF(EDATE(_xlfn.XLOOKUP(1,$H463:$BE463,$H$4:$BE$4),12*Assumptions!$G$337+12)=AY$4,0,IF(AX463=1,PMT(Assumptions!$G$335,Assumptions!$G$337,$C465),AX476))),0)</f>
        <v>0</v>
      </c>
      <c r="AZ476" s="39">
        <f>+IFERROR(-ABS(IF(EDATE(_xlfn.XLOOKUP(1,$H463:$BE463,$H$4:$BE$4),12*Assumptions!$G$337+12)=AZ$4,0,IF(AY463=1,PMT(Assumptions!$G$335,Assumptions!$G$337,$C465),AY476))),0)</f>
        <v>0</v>
      </c>
      <c r="BA476" s="39">
        <f>+IFERROR(-ABS(IF(EDATE(_xlfn.XLOOKUP(1,$H463:$BE463,$H$4:$BE$4),12*Assumptions!$G$337+12)=BA$4,0,IF(AZ463=1,PMT(Assumptions!$G$335,Assumptions!$G$337,$C465),AZ476))),0)</f>
        <v>0</v>
      </c>
      <c r="BB476" s="39">
        <f>+IFERROR(-ABS(IF(EDATE(_xlfn.XLOOKUP(1,$H463:$BE463,$H$4:$BE$4),12*Assumptions!$G$337+12)=BB$4,0,IF(BA463=1,PMT(Assumptions!$G$335,Assumptions!$G$337,$C465),BA476))),0)</f>
        <v>0</v>
      </c>
      <c r="BC476" s="39">
        <f>+IFERROR(-ABS(IF(EDATE(_xlfn.XLOOKUP(1,$H463:$BE463,$H$4:$BE$4),12*Assumptions!$G$337+12)=BC$4,0,IF(BB463=1,PMT(Assumptions!$G$335,Assumptions!$G$337,$C465),BB476))),0)</f>
        <v>0</v>
      </c>
      <c r="BD476" s="39">
        <f>+IFERROR(-ABS(IF(EDATE(_xlfn.XLOOKUP(1,$H463:$BE463,$H$4:$BE$4),12*Assumptions!$G$337+12)=BD$4,0,IF(BC463=1,PMT(Assumptions!$G$335,Assumptions!$G$337,$C465),BC476))),0)</f>
        <v>0</v>
      </c>
      <c r="BE476" s="39">
        <f>+IFERROR(-ABS(IF(EDATE(_xlfn.XLOOKUP(1,$H463:$BE463,$H$4:$BE$4),12*Assumptions!$G$337+12)=BE$4,0,IF(BD463=1,PMT(Assumptions!$G$335,Assumptions!$G$337,$C465),BD476))),0)</f>
        <v>0</v>
      </c>
      <c r="BF476" s="39">
        <f>+IFERROR(-ABS(IF(EDATE(_xlfn.XLOOKUP(1,$H463:$BE463,$H$4:$BE$4),12*Assumptions!$G$337+12)=BF$4,0,IF(BE463=1,PMT(Assumptions!$G$335,Assumptions!$G$337,$C465),BE476))),0)</f>
        <v>0</v>
      </c>
      <c r="BG476" s="39">
        <f>+IFERROR(-ABS(IF(EDATE(_xlfn.XLOOKUP(1,$H463:$BE463,$H$4:$BE$4),12*Assumptions!$G$337+12)=BG$4,0,IF(BF463=1,PMT(Assumptions!$G$335,Assumptions!$G$337,$C465),BF476))),0)</f>
        <v>0</v>
      </c>
      <c r="BH476" s="39">
        <f>+IFERROR(-ABS(IF(EDATE(_xlfn.XLOOKUP(1,$H463:$BE463,$H$4:$BE$4),12*Assumptions!$G$337+12)=BH$4,0,IF(BG463=1,PMT(Assumptions!$G$335,Assumptions!$G$337,$C465),BG476))),0)</f>
        <v>0</v>
      </c>
      <c r="BI476" s="39">
        <f>+IFERROR(-ABS(IF(EDATE(_xlfn.XLOOKUP(1,$H463:$BE463,$H$4:$BE$4),12*Assumptions!$G$337+12)=BI$4,0,IF(BH463=1,PMT(Assumptions!$G$335,Assumptions!$G$337,$C465),BH476))),0)</f>
        <v>0</v>
      </c>
      <c r="BJ476" s="39">
        <f>+IFERROR(-ABS(IF(EDATE(_xlfn.XLOOKUP(1,$H463:$BE463,$H$4:$BE$4),12*Assumptions!$G$337+12)=BJ$4,0,IF(BI463=1,PMT(Assumptions!$G$335,Assumptions!$G$337,$C465),BI476))),0)</f>
        <v>0</v>
      </c>
      <c r="BK476" s="39">
        <f>+IFERROR(-ABS(IF(EDATE(_xlfn.XLOOKUP(1,$H463:$BE463,$H$4:$BE$4),12*Assumptions!$G$337+12)=BK$4,0,IF(BJ463=1,PMT(Assumptions!$G$335,Assumptions!$G$337,$C465),BJ476))),0)</f>
        <v>0</v>
      </c>
      <c r="BL476" s="39">
        <f>+IFERROR(-ABS(IF(EDATE(_xlfn.XLOOKUP(1,$H463:$BE463,$H$4:$BE$4),12*Assumptions!$G$337+12)=BL$4,0,IF(BK463=1,PMT(Assumptions!$G$335,Assumptions!$G$337,$C465),BK476))),0)</f>
        <v>0</v>
      </c>
      <c r="BM476" s="39">
        <f>+IFERROR(-ABS(IF(EDATE(_xlfn.XLOOKUP(1,$H463:$BE463,$H$4:$BE$4),12*Assumptions!$G$337+12)=BM$4,0,IF(BL463=1,PMT(Assumptions!$G$335,Assumptions!$G$337,$C465),BL476))),0)</f>
        <v>0</v>
      </c>
      <c r="BN476" s="39">
        <f>+IFERROR(-ABS(IF(EDATE(_xlfn.XLOOKUP(1,$H463:$BE463,$H$4:$BE$4),12*Assumptions!$G$337+12)=BN$4,0,IF(BM463=1,PMT(Assumptions!$G$335,Assumptions!$G$337,$C465),BM476))),0)</f>
        <v>0</v>
      </c>
      <c r="BO476" s="39">
        <f>+IFERROR(-ABS(IF(EDATE(_xlfn.XLOOKUP(1,$H463:$BE463,$H$4:$BE$4),12*Assumptions!$G$337+12)=BO$4,0,IF(BN463=1,PMT(Assumptions!$G$335,Assumptions!$G$337,$C465),BN476))),0)</f>
        <v>0</v>
      </c>
      <c r="BP476" s="39">
        <f>+IFERROR(-ABS(IF(EDATE(_xlfn.XLOOKUP(1,$H463:$BE463,$H$4:$BE$4),12*Assumptions!$G$337+12)=BP$4,0,IF(BO463=1,PMT(Assumptions!$G$335,Assumptions!$G$337,$C465),BO476))),0)</f>
        <v>0</v>
      </c>
      <c r="BQ476" s="39">
        <f>+IFERROR(-ABS(IF(EDATE(_xlfn.XLOOKUP(1,$H463:$BE463,$H$4:$BE$4),12*Assumptions!$G$337+12)=BQ$4,0,IF(BP463=1,PMT(Assumptions!$G$335,Assumptions!$G$337,$C465),BP476))),0)</f>
        <v>0</v>
      </c>
      <c r="BR476" s="39">
        <f>+IFERROR(-ABS(IF(EDATE(_xlfn.XLOOKUP(1,$H463:$BE463,$H$4:$BE$4),12*Assumptions!$G$337+12)=BR$4,0,IF(BQ463=1,PMT(Assumptions!$G$335,Assumptions!$G$337,$C465),BQ476))),0)</f>
        <v>0</v>
      </c>
      <c r="BS476" s="39">
        <f>+IFERROR(-ABS(IF(EDATE(_xlfn.XLOOKUP(1,$H463:$BE463,$H$4:$BE$4),12*Assumptions!$G$337+12)=BS$4,0,IF(BR463=1,PMT(Assumptions!$G$335,Assumptions!$G$337,$C465),BR476))),0)</f>
        <v>0</v>
      </c>
      <c r="BT476" s="39">
        <f>+IFERROR(-ABS(IF(EDATE(_xlfn.XLOOKUP(1,$H463:$BE463,$H$4:$BE$4),12*Assumptions!$G$337+12)=BT$4,0,IF(BS463=1,PMT(Assumptions!$G$335,Assumptions!$G$337,$C465),BS476))),0)</f>
        <v>0</v>
      </c>
      <c r="BU476" s="39">
        <f>+IFERROR(-ABS(IF(EDATE(_xlfn.XLOOKUP(1,$H463:$BE463,$H$4:$BE$4),12*Assumptions!$G$337+12)=BU$4,0,IF(BT463=1,PMT(Assumptions!$G$335,Assumptions!$G$337,$C465),BT476))),0)</f>
        <v>0</v>
      </c>
      <c r="BV476" s="39">
        <f>+IFERROR(-ABS(IF(EDATE(_xlfn.XLOOKUP(1,$H463:$BE463,$H$4:$BE$4),12*Assumptions!$G$337+12)=BV$4,0,IF(BU463=1,PMT(Assumptions!$G$335,Assumptions!$G$337,$C465),BU476))),0)</f>
        <v>0</v>
      </c>
      <c r="BW476" s="39">
        <f>+IFERROR(-ABS(IF(EDATE(_xlfn.XLOOKUP(1,$H463:$BE463,$H$4:$BE$4),12*Assumptions!$G$337+12)=BW$4,0,IF(BV463=1,PMT(Assumptions!$G$335,Assumptions!$G$337,$C465),BV476))),0)</f>
        <v>0</v>
      </c>
      <c r="BX476" s="39">
        <f>+IFERROR(-ABS(IF(EDATE(_xlfn.XLOOKUP(1,$H463:$BE463,$H$4:$BE$4),12*Assumptions!$G$337+12)=BX$4,0,IF(BW463=1,PMT(Assumptions!$G$335,Assumptions!$G$337,$C465),BW476))),0)</f>
        <v>0</v>
      </c>
      <c r="BY476" s="39">
        <f>+IFERROR(-ABS(IF(EDATE(_xlfn.XLOOKUP(1,$H463:$BE463,$H$4:$BE$4),12*Assumptions!$G$337+12)=BY$4,0,IF(BX463=1,PMT(Assumptions!$G$335,Assumptions!$G$337,$C465),BX476))),0)</f>
        <v>0</v>
      </c>
    </row>
    <row r="477" spans="3:77" outlineLevel="1">
      <c r="C477" s="31"/>
      <c r="E477" s="24" t="s">
        <v>515</v>
      </c>
      <c r="F477" s="80" t="str">
        <f>+Assumptions!$G$8</f>
        <v>USD</v>
      </c>
      <c r="G477" s="24"/>
      <c r="H477" s="39">
        <f>+IFERROR(-ABS(IF(EDATE(_xlfn.XLOOKUP(1,$H464:$BE464,$H$4:$BE$4),12*Assumptions!$G$337+12)=H$4,0,IF(G464=1,PMT(Assumptions!$G$335,Assumptions!$G$337,$C466),G477))),0)</f>
        <v>0</v>
      </c>
      <c r="I477" s="39">
        <f>+IFERROR(-ABS(IF(EDATE(_xlfn.XLOOKUP(1,$H464:$BE464,$H$4:$BE$4),12*Assumptions!$G$337+12)=I$4,0,IF(H464=1,PMT(Assumptions!$G$335,Assumptions!$G$337,$C466),H477))),0)</f>
        <v>0</v>
      </c>
      <c r="J477" s="39">
        <f>+IFERROR(-ABS(IF(EDATE(_xlfn.XLOOKUP(1,$H464:$BE464,$H$4:$BE$4),12*Assumptions!$G$337+12)=J$4,0,IF(I464=1,PMT(Assumptions!$G$335,Assumptions!$G$337,$C466),I477))),0)</f>
        <v>0</v>
      </c>
      <c r="K477" s="39">
        <f ca="1">+IFERROR(-ABS(IF(EDATE(_xlfn.XLOOKUP(1,$H464:$BE464,$H$4:$BE$4),12*Assumptions!$G$337+12)=K$4,0,IF(J464=1,PMT(Assumptions!$G$335,Assumptions!$G$337,$C466),J477))),0)</f>
        <v>-20955806.973555941</v>
      </c>
      <c r="L477" s="39">
        <f ca="1">+IFERROR(-ABS(IF(EDATE(_xlfn.XLOOKUP(1,$H464:$BE464,$H$4:$BE$4),12*Assumptions!$G$337+12)=L$4,0,IF(K464=1,PMT(Assumptions!$G$335,Assumptions!$G$337,$C466),K477))),0)</f>
        <v>-20955806.973555941</v>
      </c>
      <c r="M477" s="39">
        <f ca="1">+IFERROR(-ABS(IF(EDATE(_xlfn.XLOOKUP(1,$H464:$BE464,$H$4:$BE$4),12*Assumptions!$G$337+12)=M$4,0,IF(L464=1,PMT(Assumptions!$G$335,Assumptions!$G$337,$C466),L477))),0)</f>
        <v>-20955806.973555941</v>
      </c>
      <c r="N477" s="39">
        <f ca="1">+IFERROR(-ABS(IF(EDATE(_xlfn.XLOOKUP(1,$H464:$BE464,$H$4:$BE$4),12*Assumptions!$G$337+12)=N$4,0,IF(M464=1,PMT(Assumptions!$G$335,Assumptions!$G$337,$C466),M477))),0)</f>
        <v>-20955806.973555941</v>
      </c>
      <c r="O477" s="39">
        <f ca="1">+IFERROR(-ABS(IF(EDATE(_xlfn.XLOOKUP(1,$H464:$BE464,$H$4:$BE$4),12*Assumptions!$G$337+12)=O$4,0,IF(N464=1,PMT(Assumptions!$G$335,Assumptions!$G$337,$C466),N477))),0)</f>
        <v>-20955806.973555941</v>
      </c>
      <c r="P477" s="39">
        <f ca="1">+IFERROR(-ABS(IF(EDATE(_xlfn.XLOOKUP(1,$H464:$BE464,$H$4:$BE$4),12*Assumptions!$G$337+12)=P$4,0,IF(O464=1,PMT(Assumptions!$G$335,Assumptions!$G$337,$C466),O477))),0)</f>
        <v>-20955806.973555941</v>
      </c>
      <c r="Q477" s="39">
        <f ca="1">+IFERROR(-ABS(IF(EDATE(_xlfn.XLOOKUP(1,$H464:$BE464,$H$4:$BE$4),12*Assumptions!$G$337+12)=Q$4,0,IF(P464=1,PMT(Assumptions!$G$335,Assumptions!$G$337,$C466),P477))),0)</f>
        <v>-20955806.973555941</v>
      </c>
      <c r="R477" s="39">
        <f ca="1">+IFERROR(-ABS(IF(EDATE(_xlfn.XLOOKUP(1,$H464:$BE464,$H$4:$BE$4),12*Assumptions!$G$337+12)=R$4,0,IF(Q464=1,PMT(Assumptions!$G$335,Assumptions!$G$337,$C466),Q477))),0)</f>
        <v>-20955806.973555941</v>
      </c>
      <c r="S477" s="39">
        <f ca="1">+IFERROR(-ABS(IF(EDATE(_xlfn.XLOOKUP(1,$H464:$BE464,$H$4:$BE$4),12*Assumptions!$G$337+12)=S$4,0,IF(R464=1,PMT(Assumptions!$G$335,Assumptions!$G$337,$C466),R477))),0)</f>
        <v>-20955806.973555941</v>
      </c>
      <c r="T477" s="39">
        <f ca="1">+IFERROR(-ABS(IF(EDATE(_xlfn.XLOOKUP(1,$H464:$BE464,$H$4:$BE$4),12*Assumptions!$G$337+12)=T$4,0,IF(S464=1,PMT(Assumptions!$G$335,Assumptions!$G$337,$C466),S477))),0)</f>
        <v>-20955806.973555941</v>
      </c>
      <c r="U477" s="39">
        <f ca="1">+IFERROR(-ABS(IF(EDATE(_xlfn.XLOOKUP(1,$H464:$BE464,$H$4:$BE$4),12*Assumptions!$G$337+12)=U$4,0,IF(T464=1,PMT(Assumptions!$G$335,Assumptions!$G$337,$C466),T477))),0)</f>
        <v>-20955806.973555941</v>
      </c>
      <c r="V477" s="39">
        <f ca="1">+IFERROR(-ABS(IF(EDATE(_xlfn.XLOOKUP(1,$H464:$BE464,$H$4:$BE$4),12*Assumptions!$G$337+12)=V$4,0,IF(U464=1,PMT(Assumptions!$G$335,Assumptions!$G$337,$C466),U477))),0)</f>
        <v>-20955806.973555941</v>
      </c>
      <c r="W477" s="39">
        <f ca="1">+IFERROR(-ABS(IF(EDATE(_xlfn.XLOOKUP(1,$H464:$BE464,$H$4:$BE$4),12*Assumptions!$G$337+12)=W$4,0,IF(V464=1,PMT(Assumptions!$G$335,Assumptions!$G$337,$C466),V477))),0)</f>
        <v>-20955806.973555941</v>
      </c>
      <c r="X477" s="39">
        <f ca="1">+IFERROR(-ABS(IF(EDATE(_xlfn.XLOOKUP(1,$H464:$BE464,$H$4:$BE$4),12*Assumptions!$G$337+12)=X$4,0,IF(W464=1,PMT(Assumptions!$G$335,Assumptions!$G$337,$C466),W477))),0)</f>
        <v>-20955806.973555941</v>
      </c>
      <c r="Y477" s="39">
        <f ca="1">+IFERROR(-ABS(IF(EDATE(_xlfn.XLOOKUP(1,$H464:$BE464,$H$4:$BE$4),12*Assumptions!$G$337+12)=Y$4,0,IF(X464=1,PMT(Assumptions!$G$335,Assumptions!$G$337,$C466),X477))),0)</f>
        <v>-20955806.973555941</v>
      </c>
      <c r="Z477" s="39">
        <f>+IFERROR(-ABS(IF(EDATE(_xlfn.XLOOKUP(1,$H464:$BE464,$H$4:$BE$4),12*Assumptions!$G$337+12)=Z$4,0,IF(Y464=1,PMT(Assumptions!$G$335,Assumptions!$G$337,$C466),Y477))),0)</f>
        <v>0</v>
      </c>
      <c r="AA477" s="39">
        <f>+IFERROR(-ABS(IF(EDATE(_xlfn.XLOOKUP(1,$H464:$BE464,$H$4:$BE$4),12*Assumptions!$G$337+12)=AA$4,0,IF(Z464=1,PMT(Assumptions!$G$335,Assumptions!$G$337,$C466),Z477))),0)</f>
        <v>0</v>
      </c>
      <c r="AB477" s="39">
        <f>+IFERROR(-ABS(IF(EDATE(_xlfn.XLOOKUP(1,$H464:$BE464,$H$4:$BE$4),12*Assumptions!$G$337+12)=AB$4,0,IF(AA464=1,PMT(Assumptions!$G$335,Assumptions!$G$337,$C466),AA477))),0)</f>
        <v>0</v>
      </c>
      <c r="AC477" s="39">
        <f>+IFERROR(-ABS(IF(EDATE(_xlfn.XLOOKUP(1,$H464:$BE464,$H$4:$BE$4),12*Assumptions!$G$337+12)=AC$4,0,IF(AB464=1,PMT(Assumptions!$G$335,Assumptions!$G$337,$C466),AB477))),0)</f>
        <v>0</v>
      </c>
      <c r="AD477" s="39">
        <f>+IFERROR(-ABS(IF(EDATE(_xlfn.XLOOKUP(1,$H464:$BE464,$H$4:$BE$4),12*Assumptions!$G$337+12)=AD$4,0,IF(AC464=1,PMT(Assumptions!$G$335,Assumptions!$G$337,$C466),AC477))),0)</f>
        <v>0</v>
      </c>
      <c r="AE477" s="39">
        <f>+IFERROR(-ABS(IF(EDATE(_xlfn.XLOOKUP(1,$H464:$BE464,$H$4:$BE$4),12*Assumptions!$G$337+12)=AE$4,0,IF(AD464=1,PMT(Assumptions!$G$335,Assumptions!$G$337,$C466),AD477))),0)</f>
        <v>0</v>
      </c>
      <c r="AF477" s="39">
        <f>+IFERROR(-ABS(IF(EDATE(_xlfn.XLOOKUP(1,$H464:$BE464,$H$4:$BE$4),12*Assumptions!$G$337+12)=AF$4,0,IF(AE464=1,PMT(Assumptions!$G$335,Assumptions!$G$337,$C466),AE477))),0)</f>
        <v>0</v>
      </c>
      <c r="AG477" s="39">
        <f>+IFERROR(-ABS(IF(EDATE(_xlfn.XLOOKUP(1,$H464:$BE464,$H$4:$BE$4),12*Assumptions!$G$337+12)=AG$4,0,IF(AF464=1,PMT(Assumptions!$G$335,Assumptions!$G$337,$C466),AF477))),0)</f>
        <v>0</v>
      </c>
      <c r="AH477" s="39">
        <f>+IFERROR(-ABS(IF(EDATE(_xlfn.XLOOKUP(1,$H464:$BE464,$H$4:$BE$4),12*Assumptions!$G$337+12)=AH$4,0,IF(AG464=1,PMT(Assumptions!$G$335,Assumptions!$G$337,$C466),AG477))),0)</f>
        <v>0</v>
      </c>
      <c r="AI477" s="39">
        <f>+IFERROR(-ABS(IF(EDATE(_xlfn.XLOOKUP(1,$H464:$BE464,$H$4:$BE$4),12*Assumptions!$G$337+12)=AI$4,0,IF(AH464=1,PMT(Assumptions!$G$335,Assumptions!$G$337,$C466),AH477))),0)</f>
        <v>0</v>
      </c>
      <c r="AJ477" s="39">
        <f>+IFERROR(-ABS(IF(EDATE(_xlfn.XLOOKUP(1,$H464:$BE464,$H$4:$BE$4),12*Assumptions!$G$337+12)=AJ$4,0,IF(AI464=1,PMT(Assumptions!$G$335,Assumptions!$G$337,$C466),AI477))),0)</f>
        <v>0</v>
      </c>
      <c r="AK477" s="39">
        <f>+IFERROR(-ABS(IF(EDATE(_xlfn.XLOOKUP(1,$H464:$BE464,$H$4:$BE$4),12*Assumptions!$G$337+12)=AK$4,0,IF(AJ464=1,PMT(Assumptions!$G$335,Assumptions!$G$337,$C466),AJ477))),0)</f>
        <v>0</v>
      </c>
      <c r="AL477" s="39">
        <f>+IFERROR(-ABS(IF(EDATE(_xlfn.XLOOKUP(1,$H464:$BE464,$H$4:$BE$4),12*Assumptions!$G$337+12)=AL$4,0,IF(AK464=1,PMT(Assumptions!$G$335,Assumptions!$G$337,$C466),AK477))),0)</f>
        <v>0</v>
      </c>
      <c r="AM477" s="39">
        <f>+IFERROR(-ABS(IF(EDATE(_xlfn.XLOOKUP(1,$H464:$BE464,$H$4:$BE$4),12*Assumptions!$G$337+12)=AM$4,0,IF(AL464=1,PMT(Assumptions!$G$335,Assumptions!$G$337,$C466),AL477))),0)</f>
        <v>0</v>
      </c>
      <c r="AN477" s="39">
        <f>+IFERROR(-ABS(IF(EDATE(_xlfn.XLOOKUP(1,$H464:$BE464,$H$4:$BE$4),12*Assumptions!$G$337+12)=AN$4,0,IF(AM464=1,PMT(Assumptions!$G$335,Assumptions!$G$337,$C466),AM477))),0)</f>
        <v>0</v>
      </c>
      <c r="AO477" s="39">
        <f>+IFERROR(-ABS(IF(EDATE(_xlfn.XLOOKUP(1,$H464:$BE464,$H$4:$BE$4),12*Assumptions!$G$337+12)=AO$4,0,IF(AN464=1,PMT(Assumptions!$G$335,Assumptions!$G$337,$C466),AN477))),0)</f>
        <v>0</v>
      </c>
      <c r="AP477" s="39">
        <f>+IFERROR(-ABS(IF(EDATE(_xlfn.XLOOKUP(1,$H464:$BE464,$H$4:$BE$4),12*Assumptions!$G$337+12)=AP$4,0,IF(AO464=1,PMT(Assumptions!$G$335,Assumptions!$G$337,$C466),AO477))),0)</f>
        <v>0</v>
      </c>
      <c r="AQ477" s="39">
        <f>+IFERROR(-ABS(IF(EDATE(_xlfn.XLOOKUP(1,$H464:$BE464,$H$4:$BE$4),12*Assumptions!$G$337+12)=AQ$4,0,IF(AP464=1,PMT(Assumptions!$G$335,Assumptions!$G$337,$C466),AP477))),0)</f>
        <v>0</v>
      </c>
      <c r="AR477" s="39">
        <f>+IFERROR(-ABS(IF(EDATE(_xlfn.XLOOKUP(1,$H464:$BE464,$H$4:$BE$4),12*Assumptions!$G$337+12)=AR$4,0,IF(AQ464=1,PMT(Assumptions!$G$335,Assumptions!$G$337,$C466),AQ477))),0)</f>
        <v>0</v>
      </c>
      <c r="AS477" s="39">
        <f>+IFERROR(-ABS(IF(EDATE(_xlfn.XLOOKUP(1,$H464:$BE464,$H$4:$BE$4),12*Assumptions!$G$337+12)=AS$4,0,IF(AR464=1,PMT(Assumptions!$G$335,Assumptions!$G$337,$C466),AR477))),0)</f>
        <v>0</v>
      </c>
      <c r="AT477" s="39">
        <f>+IFERROR(-ABS(IF(EDATE(_xlfn.XLOOKUP(1,$H464:$BE464,$H$4:$BE$4),12*Assumptions!$G$337+12)=AT$4,0,IF(AS464=1,PMT(Assumptions!$G$335,Assumptions!$G$337,$C466),AS477))),0)</f>
        <v>0</v>
      </c>
      <c r="AU477" s="39">
        <f>+IFERROR(-ABS(IF(EDATE(_xlfn.XLOOKUP(1,$H464:$BE464,$H$4:$BE$4),12*Assumptions!$G$337+12)=AU$4,0,IF(AT464=1,PMT(Assumptions!$G$335,Assumptions!$G$337,$C466),AT477))),0)</f>
        <v>0</v>
      </c>
      <c r="AV477" s="39">
        <f>+IFERROR(-ABS(IF(EDATE(_xlfn.XLOOKUP(1,$H464:$BE464,$H$4:$BE$4),12*Assumptions!$G$337+12)=AV$4,0,IF(AU464=1,PMT(Assumptions!$G$335,Assumptions!$G$337,$C466),AU477))),0)</f>
        <v>0</v>
      </c>
      <c r="AW477" s="39">
        <f>+IFERROR(-ABS(IF(EDATE(_xlfn.XLOOKUP(1,$H464:$BE464,$H$4:$BE$4),12*Assumptions!$G$337+12)=AW$4,0,IF(AV464=1,PMT(Assumptions!$G$335,Assumptions!$G$337,$C466),AV477))),0)</f>
        <v>0</v>
      </c>
      <c r="AX477" s="39">
        <f>+IFERROR(-ABS(IF(EDATE(_xlfn.XLOOKUP(1,$H464:$BE464,$H$4:$BE$4),12*Assumptions!$G$337+12)=AX$4,0,IF(AW464=1,PMT(Assumptions!$G$335,Assumptions!$G$337,$C466),AW477))),0)</f>
        <v>0</v>
      </c>
      <c r="AY477" s="39">
        <f>+IFERROR(-ABS(IF(EDATE(_xlfn.XLOOKUP(1,$H464:$BE464,$H$4:$BE$4),12*Assumptions!$G$337+12)=AY$4,0,IF(AX464=1,PMT(Assumptions!$G$335,Assumptions!$G$337,$C466),AX477))),0)</f>
        <v>0</v>
      </c>
      <c r="AZ477" s="39">
        <f>+IFERROR(-ABS(IF(EDATE(_xlfn.XLOOKUP(1,$H464:$BE464,$H$4:$BE$4),12*Assumptions!$G$337+12)=AZ$4,0,IF(AY464=1,PMT(Assumptions!$G$335,Assumptions!$G$337,$C466),AY477))),0)</f>
        <v>0</v>
      </c>
      <c r="BA477" s="39">
        <f>+IFERROR(-ABS(IF(EDATE(_xlfn.XLOOKUP(1,$H464:$BE464,$H$4:$BE$4),12*Assumptions!$G$337+12)=BA$4,0,IF(AZ464=1,PMT(Assumptions!$G$335,Assumptions!$G$337,$C466),AZ477))),0)</f>
        <v>0</v>
      </c>
      <c r="BB477" s="39">
        <f>+IFERROR(-ABS(IF(EDATE(_xlfn.XLOOKUP(1,$H464:$BE464,$H$4:$BE$4),12*Assumptions!$G$337+12)=BB$4,0,IF(BA464=1,PMT(Assumptions!$G$335,Assumptions!$G$337,$C466),BA477))),0)</f>
        <v>0</v>
      </c>
      <c r="BC477" s="39">
        <f>+IFERROR(-ABS(IF(EDATE(_xlfn.XLOOKUP(1,$H464:$BE464,$H$4:$BE$4),12*Assumptions!$G$337+12)=BC$4,0,IF(BB464=1,PMT(Assumptions!$G$335,Assumptions!$G$337,$C466),BB477))),0)</f>
        <v>0</v>
      </c>
      <c r="BD477" s="39">
        <f>+IFERROR(-ABS(IF(EDATE(_xlfn.XLOOKUP(1,$H464:$BE464,$H$4:$BE$4),12*Assumptions!$G$337+12)=BD$4,0,IF(BC464=1,PMT(Assumptions!$G$335,Assumptions!$G$337,$C466),BC477))),0)</f>
        <v>0</v>
      </c>
      <c r="BE477" s="39">
        <f>+IFERROR(-ABS(IF(EDATE(_xlfn.XLOOKUP(1,$H464:$BE464,$H$4:$BE$4),12*Assumptions!$G$337+12)=BE$4,0,IF(BD464=1,PMT(Assumptions!$G$335,Assumptions!$G$337,$C466),BD477))),0)</f>
        <v>0</v>
      </c>
      <c r="BF477" s="39">
        <f>+IFERROR(-ABS(IF(EDATE(_xlfn.XLOOKUP(1,$H464:$BE464,$H$4:$BE$4),12*Assumptions!$G$337+12)=BF$4,0,IF(BE464=1,PMT(Assumptions!$G$335,Assumptions!$G$337,$C466),BE477))),0)</f>
        <v>0</v>
      </c>
      <c r="BG477" s="39">
        <f>+IFERROR(-ABS(IF(EDATE(_xlfn.XLOOKUP(1,$H464:$BE464,$H$4:$BE$4),12*Assumptions!$G$337+12)=BG$4,0,IF(BF464=1,PMT(Assumptions!$G$335,Assumptions!$G$337,$C466),BF477))),0)</f>
        <v>0</v>
      </c>
      <c r="BH477" s="39">
        <f>+IFERROR(-ABS(IF(EDATE(_xlfn.XLOOKUP(1,$H464:$BE464,$H$4:$BE$4),12*Assumptions!$G$337+12)=BH$4,0,IF(BG464=1,PMT(Assumptions!$G$335,Assumptions!$G$337,$C466),BG477))),0)</f>
        <v>0</v>
      </c>
      <c r="BI477" s="39">
        <f>+IFERROR(-ABS(IF(EDATE(_xlfn.XLOOKUP(1,$H464:$BE464,$H$4:$BE$4),12*Assumptions!$G$337+12)=BI$4,0,IF(BH464=1,PMT(Assumptions!$G$335,Assumptions!$G$337,$C466),BH477))),0)</f>
        <v>0</v>
      </c>
      <c r="BJ477" s="39">
        <f>+IFERROR(-ABS(IF(EDATE(_xlfn.XLOOKUP(1,$H464:$BE464,$H$4:$BE$4),12*Assumptions!$G$337+12)=BJ$4,0,IF(BI464=1,PMT(Assumptions!$G$335,Assumptions!$G$337,$C466),BI477))),0)</f>
        <v>0</v>
      </c>
      <c r="BK477" s="39">
        <f>+IFERROR(-ABS(IF(EDATE(_xlfn.XLOOKUP(1,$H464:$BE464,$H$4:$BE$4),12*Assumptions!$G$337+12)=BK$4,0,IF(BJ464=1,PMT(Assumptions!$G$335,Assumptions!$G$337,$C466),BJ477))),0)</f>
        <v>0</v>
      </c>
      <c r="BL477" s="39">
        <f>+IFERROR(-ABS(IF(EDATE(_xlfn.XLOOKUP(1,$H464:$BE464,$H$4:$BE$4),12*Assumptions!$G$337+12)=BL$4,0,IF(BK464=1,PMT(Assumptions!$G$335,Assumptions!$G$337,$C466),BK477))),0)</f>
        <v>0</v>
      </c>
      <c r="BM477" s="39">
        <f>+IFERROR(-ABS(IF(EDATE(_xlfn.XLOOKUP(1,$H464:$BE464,$H$4:$BE$4),12*Assumptions!$G$337+12)=BM$4,0,IF(BL464=1,PMT(Assumptions!$G$335,Assumptions!$G$337,$C466),BL477))),0)</f>
        <v>0</v>
      </c>
      <c r="BN477" s="39">
        <f>+IFERROR(-ABS(IF(EDATE(_xlfn.XLOOKUP(1,$H464:$BE464,$H$4:$BE$4),12*Assumptions!$G$337+12)=BN$4,0,IF(BM464=1,PMT(Assumptions!$G$335,Assumptions!$G$337,$C466),BM477))),0)</f>
        <v>0</v>
      </c>
      <c r="BO477" s="39">
        <f>+IFERROR(-ABS(IF(EDATE(_xlfn.XLOOKUP(1,$H464:$BE464,$H$4:$BE$4),12*Assumptions!$G$337+12)=BO$4,0,IF(BN464=1,PMT(Assumptions!$G$335,Assumptions!$G$337,$C466),BN477))),0)</f>
        <v>0</v>
      </c>
      <c r="BP477" s="39">
        <f>+IFERROR(-ABS(IF(EDATE(_xlfn.XLOOKUP(1,$H464:$BE464,$H$4:$BE$4),12*Assumptions!$G$337+12)=BP$4,0,IF(BO464=1,PMT(Assumptions!$G$335,Assumptions!$G$337,$C466),BO477))),0)</f>
        <v>0</v>
      </c>
      <c r="BQ477" s="39">
        <f>+IFERROR(-ABS(IF(EDATE(_xlfn.XLOOKUP(1,$H464:$BE464,$H$4:$BE$4),12*Assumptions!$G$337+12)=BQ$4,0,IF(BP464=1,PMT(Assumptions!$G$335,Assumptions!$G$337,$C466),BP477))),0)</f>
        <v>0</v>
      </c>
      <c r="BR477" s="39">
        <f>+IFERROR(-ABS(IF(EDATE(_xlfn.XLOOKUP(1,$H464:$BE464,$H$4:$BE$4),12*Assumptions!$G$337+12)=BR$4,0,IF(BQ464=1,PMT(Assumptions!$G$335,Assumptions!$G$337,$C466),BQ477))),0)</f>
        <v>0</v>
      </c>
      <c r="BS477" s="39">
        <f>+IFERROR(-ABS(IF(EDATE(_xlfn.XLOOKUP(1,$H464:$BE464,$H$4:$BE$4),12*Assumptions!$G$337+12)=BS$4,0,IF(BR464=1,PMT(Assumptions!$G$335,Assumptions!$G$337,$C466),BR477))),0)</f>
        <v>0</v>
      </c>
      <c r="BT477" s="39">
        <f>+IFERROR(-ABS(IF(EDATE(_xlfn.XLOOKUP(1,$H464:$BE464,$H$4:$BE$4),12*Assumptions!$G$337+12)=BT$4,0,IF(BS464=1,PMT(Assumptions!$G$335,Assumptions!$G$337,$C466),BS477))),0)</f>
        <v>0</v>
      </c>
      <c r="BU477" s="39">
        <f>+IFERROR(-ABS(IF(EDATE(_xlfn.XLOOKUP(1,$H464:$BE464,$H$4:$BE$4),12*Assumptions!$G$337+12)=BU$4,0,IF(BT464=1,PMT(Assumptions!$G$335,Assumptions!$G$337,$C466),BT477))),0)</f>
        <v>0</v>
      </c>
      <c r="BV477" s="39">
        <f>+IFERROR(-ABS(IF(EDATE(_xlfn.XLOOKUP(1,$H464:$BE464,$H$4:$BE$4),12*Assumptions!$G$337+12)=BV$4,0,IF(BU464=1,PMT(Assumptions!$G$335,Assumptions!$G$337,$C466),BU477))),0)</f>
        <v>0</v>
      </c>
      <c r="BW477" s="39">
        <f>+IFERROR(-ABS(IF(EDATE(_xlfn.XLOOKUP(1,$H464:$BE464,$H$4:$BE$4),12*Assumptions!$G$337+12)=BW$4,0,IF(BV464=1,PMT(Assumptions!$G$335,Assumptions!$G$337,$C466),BV477))),0)</f>
        <v>0</v>
      </c>
      <c r="BX477" s="39">
        <f>+IFERROR(-ABS(IF(EDATE(_xlfn.XLOOKUP(1,$H464:$BE464,$H$4:$BE$4),12*Assumptions!$G$337+12)=BX$4,0,IF(BW464=1,PMT(Assumptions!$G$335,Assumptions!$G$337,$C466),BW477))),0)</f>
        <v>0</v>
      </c>
      <c r="BY477" s="39">
        <f>+IFERROR(-ABS(IF(EDATE(_xlfn.XLOOKUP(1,$H464:$BE464,$H$4:$BE$4),12*Assumptions!$G$337+12)=BY$4,0,IF(BX464=1,PMT(Assumptions!$G$335,Assumptions!$G$337,$C466),BX477))),0)</f>
        <v>0</v>
      </c>
    </row>
    <row r="478" spans="3:77" outlineLevel="1">
      <c r="E478" s="24" t="s">
        <v>516</v>
      </c>
      <c r="F478" s="80" t="str">
        <f>+Assumptions!$G$8</f>
        <v>USD</v>
      </c>
      <c r="G478" s="24"/>
      <c r="H478" s="39">
        <f>+IFERROR(-ABS(IF(EDATE(_xlfn.XLOOKUP(1,$H465:$BE465,$H$4:$BE$4),12*Assumptions!$G$337+12)=H$4,0,IF(G465=1,PMT(Assumptions!$G$335,Assumptions!$G$337,$C467),G478))),0)</f>
        <v>0</v>
      </c>
      <c r="I478" s="39">
        <f>+IFERROR(-ABS(IF(EDATE(_xlfn.XLOOKUP(1,$H465:$BE465,$H$4:$BE$4),12*Assumptions!$G$337+12)=I$4,0,IF(H465=1,PMT(Assumptions!$G$335,Assumptions!$G$337,$C467),H478))),0)</f>
        <v>0</v>
      </c>
      <c r="J478" s="39">
        <f>+IFERROR(-ABS(IF(EDATE(_xlfn.XLOOKUP(1,$H465:$BE465,$H$4:$BE$4),12*Assumptions!$G$337+12)=J$4,0,IF(I465=1,PMT(Assumptions!$G$335,Assumptions!$G$337,$C467),I478))),0)</f>
        <v>0</v>
      </c>
      <c r="K478" s="39">
        <f>+IFERROR(-ABS(IF(EDATE(_xlfn.XLOOKUP(1,$H465:$BE465,$H$4:$BE$4),12*Assumptions!$G$337+12)=K$4,0,IF(J465=1,PMT(Assumptions!$G$335,Assumptions!$G$337,$C467),J478))),0)</f>
        <v>0</v>
      </c>
      <c r="L478" s="39">
        <f>+IFERROR(-ABS(IF(EDATE(_xlfn.XLOOKUP(1,$H465:$BE465,$H$4:$BE$4),12*Assumptions!$G$337+12)=L$4,0,IF(K465=1,PMT(Assumptions!$G$335,Assumptions!$G$337,$C467),K478))),0)</f>
        <v>0</v>
      </c>
      <c r="M478" s="39">
        <f>+IFERROR(-ABS(IF(EDATE(_xlfn.XLOOKUP(1,$H465:$BE465,$H$4:$BE$4),12*Assumptions!$G$337+12)=M$4,0,IF(L465=1,PMT(Assumptions!$G$335,Assumptions!$G$337,$C467),L478))),0)</f>
        <v>0</v>
      </c>
      <c r="N478" s="39">
        <f>+IFERROR(-ABS(IF(EDATE(_xlfn.XLOOKUP(1,$H465:$BE465,$H$4:$BE$4),12*Assumptions!$G$337+12)=N$4,0,IF(M465=1,PMT(Assumptions!$G$335,Assumptions!$G$337,$C467),M478))),0)</f>
        <v>0</v>
      </c>
      <c r="O478" s="39">
        <f>+IFERROR(-ABS(IF(EDATE(_xlfn.XLOOKUP(1,$H465:$BE465,$H$4:$BE$4),12*Assumptions!$G$337+12)=O$4,0,IF(N465=1,PMT(Assumptions!$G$335,Assumptions!$G$337,$C467),N478))),0)</f>
        <v>0</v>
      </c>
      <c r="P478" s="39">
        <f>+IFERROR(-ABS(IF(EDATE(_xlfn.XLOOKUP(1,$H465:$BE465,$H$4:$BE$4),12*Assumptions!$G$337+12)=P$4,0,IF(O465=1,PMT(Assumptions!$G$335,Assumptions!$G$337,$C467),O478))),0)</f>
        <v>0</v>
      </c>
      <c r="Q478" s="39">
        <f>+IFERROR(-ABS(IF(EDATE(_xlfn.XLOOKUP(1,$H465:$BE465,$H$4:$BE$4),12*Assumptions!$G$337+12)=Q$4,0,IF(P465=1,PMT(Assumptions!$G$335,Assumptions!$G$337,$C467),P478))),0)</f>
        <v>0</v>
      </c>
      <c r="R478" s="39">
        <f>+IFERROR(-ABS(IF(EDATE(_xlfn.XLOOKUP(1,$H465:$BE465,$H$4:$BE$4),12*Assumptions!$G$337+12)=R$4,0,IF(Q465=1,PMT(Assumptions!$G$335,Assumptions!$G$337,$C467),Q478))),0)</f>
        <v>0</v>
      </c>
      <c r="S478" s="39">
        <f>+IFERROR(-ABS(IF(EDATE(_xlfn.XLOOKUP(1,$H465:$BE465,$H$4:$BE$4),12*Assumptions!$G$337+12)=S$4,0,IF(R465=1,PMT(Assumptions!$G$335,Assumptions!$G$337,$C467),R478))),0)</f>
        <v>0</v>
      </c>
      <c r="T478" s="39">
        <f>+IFERROR(-ABS(IF(EDATE(_xlfn.XLOOKUP(1,$H465:$BE465,$H$4:$BE$4),12*Assumptions!$G$337+12)=T$4,0,IF(S465=1,PMT(Assumptions!$G$335,Assumptions!$G$337,$C467),S478))),0)</f>
        <v>0</v>
      </c>
      <c r="U478" s="39">
        <f>+IFERROR(-ABS(IF(EDATE(_xlfn.XLOOKUP(1,$H465:$BE465,$H$4:$BE$4),12*Assumptions!$G$337+12)=U$4,0,IF(T465=1,PMT(Assumptions!$G$335,Assumptions!$G$337,$C467),T478))),0)</f>
        <v>0</v>
      </c>
      <c r="V478" s="39">
        <f>+IFERROR(-ABS(IF(EDATE(_xlfn.XLOOKUP(1,$H465:$BE465,$H$4:$BE$4),12*Assumptions!$G$337+12)=V$4,0,IF(U465=1,PMT(Assumptions!$G$335,Assumptions!$G$337,$C467),U478))),0)</f>
        <v>0</v>
      </c>
      <c r="W478" s="39">
        <f>+IFERROR(-ABS(IF(EDATE(_xlfn.XLOOKUP(1,$H465:$BE465,$H$4:$BE$4),12*Assumptions!$G$337+12)=W$4,0,IF(V465=1,PMT(Assumptions!$G$335,Assumptions!$G$337,$C467),V478))),0)</f>
        <v>0</v>
      </c>
      <c r="X478" s="39">
        <f>+IFERROR(-ABS(IF(EDATE(_xlfn.XLOOKUP(1,$H465:$BE465,$H$4:$BE$4),12*Assumptions!$G$337+12)=X$4,0,IF(W465=1,PMT(Assumptions!$G$335,Assumptions!$G$337,$C467),W478))),0)</f>
        <v>0</v>
      </c>
      <c r="Y478" s="39">
        <f>+IFERROR(-ABS(IF(EDATE(_xlfn.XLOOKUP(1,$H465:$BE465,$H$4:$BE$4),12*Assumptions!$G$337+12)=Y$4,0,IF(X465=1,PMT(Assumptions!$G$335,Assumptions!$G$337,$C467),X478))),0)</f>
        <v>0</v>
      </c>
      <c r="Z478" s="39">
        <f>+IFERROR(-ABS(IF(EDATE(_xlfn.XLOOKUP(1,$H465:$BE465,$H$4:$BE$4),12*Assumptions!$G$337+12)=Z$4,0,IF(Y465=1,PMT(Assumptions!$G$335,Assumptions!$G$337,$C467),Y478))),0)</f>
        <v>0</v>
      </c>
      <c r="AA478" s="39">
        <f>+IFERROR(-ABS(IF(EDATE(_xlfn.XLOOKUP(1,$H465:$BE465,$H$4:$BE$4),12*Assumptions!$G$337+12)=AA$4,0,IF(Z465=1,PMT(Assumptions!$G$335,Assumptions!$G$337,$C467),Z478))),0)</f>
        <v>0</v>
      </c>
      <c r="AB478" s="39">
        <f>+IFERROR(-ABS(IF(EDATE(_xlfn.XLOOKUP(1,$H465:$BE465,$H$4:$BE$4),12*Assumptions!$G$337+12)=AB$4,0,IF(AA465=1,PMT(Assumptions!$G$335,Assumptions!$G$337,$C467),AA478))),0)</f>
        <v>0</v>
      </c>
      <c r="AC478" s="39">
        <f>+IFERROR(-ABS(IF(EDATE(_xlfn.XLOOKUP(1,$H465:$BE465,$H$4:$BE$4),12*Assumptions!$G$337+12)=AC$4,0,IF(AB465=1,PMT(Assumptions!$G$335,Assumptions!$G$337,$C467),AB478))),0)</f>
        <v>0</v>
      </c>
      <c r="AD478" s="39">
        <f>+IFERROR(-ABS(IF(EDATE(_xlfn.XLOOKUP(1,$H465:$BE465,$H$4:$BE$4),12*Assumptions!$G$337+12)=AD$4,0,IF(AC465=1,PMT(Assumptions!$G$335,Assumptions!$G$337,$C467),AC478))),0)</f>
        <v>0</v>
      </c>
      <c r="AE478" s="39">
        <f>+IFERROR(-ABS(IF(EDATE(_xlfn.XLOOKUP(1,$H465:$BE465,$H$4:$BE$4),12*Assumptions!$G$337+12)=AE$4,0,IF(AD465=1,PMT(Assumptions!$G$335,Assumptions!$G$337,$C467),AD478))),0)</f>
        <v>0</v>
      </c>
      <c r="AF478" s="39">
        <f>+IFERROR(-ABS(IF(EDATE(_xlfn.XLOOKUP(1,$H465:$BE465,$H$4:$BE$4),12*Assumptions!$G$337+12)=AF$4,0,IF(AE465=1,PMT(Assumptions!$G$335,Assumptions!$G$337,$C467),AE478))),0)</f>
        <v>0</v>
      </c>
      <c r="AG478" s="39">
        <f>+IFERROR(-ABS(IF(EDATE(_xlfn.XLOOKUP(1,$H465:$BE465,$H$4:$BE$4),12*Assumptions!$G$337+12)=AG$4,0,IF(AF465=1,PMT(Assumptions!$G$335,Assumptions!$G$337,$C467),AF478))),0)</f>
        <v>0</v>
      </c>
      <c r="AH478" s="39">
        <f>+IFERROR(-ABS(IF(EDATE(_xlfn.XLOOKUP(1,$H465:$BE465,$H$4:$BE$4),12*Assumptions!$G$337+12)=AH$4,0,IF(AG465=1,PMT(Assumptions!$G$335,Assumptions!$G$337,$C467),AG478))),0)</f>
        <v>0</v>
      </c>
      <c r="AI478" s="39">
        <f>+IFERROR(-ABS(IF(EDATE(_xlfn.XLOOKUP(1,$H465:$BE465,$H$4:$BE$4),12*Assumptions!$G$337+12)=AI$4,0,IF(AH465=1,PMT(Assumptions!$G$335,Assumptions!$G$337,$C467),AH478))),0)</f>
        <v>0</v>
      </c>
      <c r="AJ478" s="39">
        <f>+IFERROR(-ABS(IF(EDATE(_xlfn.XLOOKUP(1,$H465:$BE465,$H$4:$BE$4),12*Assumptions!$G$337+12)=AJ$4,0,IF(AI465=1,PMT(Assumptions!$G$335,Assumptions!$G$337,$C467),AI478))),0)</f>
        <v>0</v>
      </c>
      <c r="AK478" s="39">
        <f>+IFERROR(-ABS(IF(EDATE(_xlfn.XLOOKUP(1,$H465:$BE465,$H$4:$BE$4),12*Assumptions!$G$337+12)=AK$4,0,IF(AJ465=1,PMT(Assumptions!$G$335,Assumptions!$G$337,$C467),AJ478))),0)</f>
        <v>0</v>
      </c>
      <c r="AL478" s="39">
        <f>+IFERROR(-ABS(IF(EDATE(_xlfn.XLOOKUP(1,$H465:$BE465,$H$4:$BE$4),12*Assumptions!$G$337+12)=AL$4,0,IF(AK465=1,PMT(Assumptions!$G$335,Assumptions!$G$337,$C467),AK478))),0)</f>
        <v>0</v>
      </c>
      <c r="AM478" s="39">
        <f>+IFERROR(-ABS(IF(EDATE(_xlfn.XLOOKUP(1,$H465:$BE465,$H$4:$BE$4),12*Assumptions!$G$337+12)=AM$4,0,IF(AL465=1,PMT(Assumptions!$G$335,Assumptions!$G$337,$C467),AL478))),0)</f>
        <v>0</v>
      </c>
      <c r="AN478" s="39">
        <f>+IFERROR(-ABS(IF(EDATE(_xlfn.XLOOKUP(1,$H465:$BE465,$H$4:$BE$4),12*Assumptions!$G$337+12)=AN$4,0,IF(AM465=1,PMT(Assumptions!$G$335,Assumptions!$G$337,$C467),AM478))),0)</f>
        <v>0</v>
      </c>
      <c r="AO478" s="39">
        <f>+IFERROR(-ABS(IF(EDATE(_xlfn.XLOOKUP(1,$H465:$BE465,$H$4:$BE$4),12*Assumptions!$G$337+12)=AO$4,0,IF(AN465=1,PMT(Assumptions!$G$335,Assumptions!$G$337,$C467),AN478))),0)</f>
        <v>0</v>
      </c>
      <c r="AP478" s="39">
        <f>+IFERROR(-ABS(IF(EDATE(_xlfn.XLOOKUP(1,$H465:$BE465,$H$4:$BE$4),12*Assumptions!$G$337+12)=AP$4,0,IF(AO465=1,PMT(Assumptions!$G$335,Assumptions!$G$337,$C467),AO478))),0)</f>
        <v>0</v>
      </c>
      <c r="AQ478" s="39">
        <f>+IFERROR(-ABS(IF(EDATE(_xlfn.XLOOKUP(1,$H465:$BE465,$H$4:$BE$4),12*Assumptions!$G$337+12)=AQ$4,0,IF(AP465=1,PMT(Assumptions!$G$335,Assumptions!$G$337,$C467),AP478))),0)</f>
        <v>0</v>
      </c>
      <c r="AR478" s="39">
        <f>+IFERROR(-ABS(IF(EDATE(_xlfn.XLOOKUP(1,$H465:$BE465,$H$4:$BE$4),12*Assumptions!$G$337+12)=AR$4,0,IF(AQ465=1,PMT(Assumptions!$G$335,Assumptions!$G$337,$C467),AQ478))),0)</f>
        <v>0</v>
      </c>
      <c r="AS478" s="39">
        <f>+IFERROR(-ABS(IF(EDATE(_xlfn.XLOOKUP(1,$H465:$BE465,$H$4:$BE$4),12*Assumptions!$G$337+12)=AS$4,0,IF(AR465=1,PMT(Assumptions!$G$335,Assumptions!$G$337,$C467),AR478))),0)</f>
        <v>0</v>
      </c>
      <c r="AT478" s="39">
        <f>+IFERROR(-ABS(IF(EDATE(_xlfn.XLOOKUP(1,$H465:$BE465,$H$4:$BE$4),12*Assumptions!$G$337+12)=AT$4,0,IF(AS465=1,PMT(Assumptions!$G$335,Assumptions!$G$337,$C467),AS478))),0)</f>
        <v>0</v>
      </c>
      <c r="AU478" s="39">
        <f>+IFERROR(-ABS(IF(EDATE(_xlfn.XLOOKUP(1,$H465:$BE465,$H$4:$BE$4),12*Assumptions!$G$337+12)=AU$4,0,IF(AT465=1,PMT(Assumptions!$G$335,Assumptions!$G$337,$C467),AT478))),0)</f>
        <v>0</v>
      </c>
      <c r="AV478" s="39">
        <f>+IFERROR(-ABS(IF(EDATE(_xlfn.XLOOKUP(1,$H465:$BE465,$H$4:$BE$4),12*Assumptions!$G$337+12)=AV$4,0,IF(AU465=1,PMT(Assumptions!$G$335,Assumptions!$G$337,$C467),AU478))),0)</f>
        <v>0</v>
      </c>
      <c r="AW478" s="39">
        <f>+IFERROR(-ABS(IF(EDATE(_xlfn.XLOOKUP(1,$H465:$BE465,$H$4:$BE$4),12*Assumptions!$G$337+12)=AW$4,0,IF(AV465=1,PMT(Assumptions!$G$335,Assumptions!$G$337,$C467),AV478))),0)</f>
        <v>0</v>
      </c>
      <c r="AX478" s="39">
        <f>+IFERROR(-ABS(IF(EDATE(_xlfn.XLOOKUP(1,$H465:$BE465,$H$4:$BE$4),12*Assumptions!$G$337+12)=AX$4,0,IF(AW465=1,PMT(Assumptions!$G$335,Assumptions!$G$337,$C467),AW478))),0)</f>
        <v>0</v>
      </c>
      <c r="AY478" s="39">
        <f>+IFERROR(-ABS(IF(EDATE(_xlfn.XLOOKUP(1,$H465:$BE465,$H$4:$BE$4),12*Assumptions!$G$337+12)=AY$4,0,IF(AX465=1,PMT(Assumptions!$G$335,Assumptions!$G$337,$C467),AX478))),0)</f>
        <v>0</v>
      </c>
      <c r="AZ478" s="39">
        <f>+IFERROR(-ABS(IF(EDATE(_xlfn.XLOOKUP(1,$H465:$BE465,$H$4:$BE$4),12*Assumptions!$G$337+12)=AZ$4,0,IF(AY465=1,PMT(Assumptions!$G$335,Assumptions!$G$337,$C467),AY478))),0)</f>
        <v>0</v>
      </c>
      <c r="BA478" s="39">
        <f>+IFERROR(-ABS(IF(EDATE(_xlfn.XLOOKUP(1,$H465:$BE465,$H$4:$BE$4),12*Assumptions!$G$337+12)=BA$4,0,IF(AZ465=1,PMT(Assumptions!$G$335,Assumptions!$G$337,$C467),AZ478))),0)</f>
        <v>0</v>
      </c>
      <c r="BB478" s="39">
        <f>+IFERROR(-ABS(IF(EDATE(_xlfn.XLOOKUP(1,$H465:$BE465,$H$4:$BE$4),12*Assumptions!$G$337+12)=BB$4,0,IF(BA465=1,PMT(Assumptions!$G$335,Assumptions!$G$337,$C467),BA478))),0)</f>
        <v>0</v>
      </c>
      <c r="BC478" s="39">
        <f>+IFERROR(-ABS(IF(EDATE(_xlfn.XLOOKUP(1,$H465:$BE465,$H$4:$BE$4),12*Assumptions!$G$337+12)=BC$4,0,IF(BB465=1,PMT(Assumptions!$G$335,Assumptions!$G$337,$C467),BB478))),0)</f>
        <v>0</v>
      </c>
      <c r="BD478" s="39">
        <f>+IFERROR(-ABS(IF(EDATE(_xlfn.XLOOKUP(1,$H465:$BE465,$H$4:$BE$4),12*Assumptions!$G$337+12)=BD$4,0,IF(BC465=1,PMT(Assumptions!$G$335,Assumptions!$G$337,$C467),BC478))),0)</f>
        <v>0</v>
      </c>
      <c r="BE478" s="39">
        <f>+IFERROR(-ABS(IF(EDATE(_xlfn.XLOOKUP(1,$H465:$BE465,$H$4:$BE$4),12*Assumptions!$G$337+12)=BE$4,0,IF(BD465=1,PMT(Assumptions!$G$335,Assumptions!$G$337,$C467),BD478))),0)</f>
        <v>0</v>
      </c>
      <c r="BF478" s="39">
        <f>+IFERROR(-ABS(IF(EDATE(_xlfn.XLOOKUP(1,$H465:$BE465,$H$4:$BE$4),12*Assumptions!$G$337+12)=BF$4,0,IF(BE465=1,PMT(Assumptions!$G$335,Assumptions!$G$337,$C467),BE478))),0)</f>
        <v>0</v>
      </c>
      <c r="BG478" s="39">
        <f>+IFERROR(-ABS(IF(EDATE(_xlfn.XLOOKUP(1,$H465:$BE465,$H$4:$BE$4),12*Assumptions!$G$337+12)=BG$4,0,IF(BF465=1,PMT(Assumptions!$G$335,Assumptions!$G$337,$C467),BF478))),0)</f>
        <v>0</v>
      </c>
      <c r="BH478" s="39">
        <f>+IFERROR(-ABS(IF(EDATE(_xlfn.XLOOKUP(1,$H465:$BE465,$H$4:$BE$4),12*Assumptions!$G$337+12)=BH$4,0,IF(BG465=1,PMT(Assumptions!$G$335,Assumptions!$G$337,$C467),BG478))),0)</f>
        <v>0</v>
      </c>
      <c r="BI478" s="39">
        <f>+IFERROR(-ABS(IF(EDATE(_xlfn.XLOOKUP(1,$H465:$BE465,$H$4:$BE$4),12*Assumptions!$G$337+12)=BI$4,0,IF(BH465=1,PMT(Assumptions!$G$335,Assumptions!$G$337,$C467),BH478))),0)</f>
        <v>0</v>
      </c>
      <c r="BJ478" s="39">
        <f>+IFERROR(-ABS(IF(EDATE(_xlfn.XLOOKUP(1,$H465:$BE465,$H$4:$BE$4),12*Assumptions!$G$337+12)=BJ$4,0,IF(BI465=1,PMT(Assumptions!$G$335,Assumptions!$G$337,$C467),BI478))),0)</f>
        <v>0</v>
      </c>
      <c r="BK478" s="39">
        <f>+IFERROR(-ABS(IF(EDATE(_xlfn.XLOOKUP(1,$H465:$BE465,$H$4:$BE$4),12*Assumptions!$G$337+12)=BK$4,0,IF(BJ465=1,PMT(Assumptions!$G$335,Assumptions!$G$337,$C467),BJ478))),0)</f>
        <v>0</v>
      </c>
      <c r="BL478" s="39">
        <f>+IFERROR(-ABS(IF(EDATE(_xlfn.XLOOKUP(1,$H465:$BE465,$H$4:$BE$4),12*Assumptions!$G$337+12)=BL$4,0,IF(BK465=1,PMT(Assumptions!$G$335,Assumptions!$G$337,$C467),BK478))),0)</f>
        <v>0</v>
      </c>
      <c r="BM478" s="39">
        <f>+IFERROR(-ABS(IF(EDATE(_xlfn.XLOOKUP(1,$H465:$BE465,$H$4:$BE$4),12*Assumptions!$G$337+12)=BM$4,0,IF(BL465=1,PMT(Assumptions!$G$335,Assumptions!$G$337,$C467),BL478))),0)</f>
        <v>0</v>
      </c>
      <c r="BN478" s="39">
        <f>+IFERROR(-ABS(IF(EDATE(_xlfn.XLOOKUP(1,$H465:$BE465,$H$4:$BE$4),12*Assumptions!$G$337+12)=BN$4,0,IF(BM465=1,PMT(Assumptions!$G$335,Assumptions!$G$337,$C467),BM478))),0)</f>
        <v>0</v>
      </c>
      <c r="BO478" s="39">
        <f>+IFERROR(-ABS(IF(EDATE(_xlfn.XLOOKUP(1,$H465:$BE465,$H$4:$BE$4),12*Assumptions!$G$337+12)=BO$4,0,IF(BN465=1,PMT(Assumptions!$G$335,Assumptions!$G$337,$C467),BN478))),0)</f>
        <v>0</v>
      </c>
      <c r="BP478" s="39">
        <f>+IFERROR(-ABS(IF(EDATE(_xlfn.XLOOKUP(1,$H465:$BE465,$H$4:$BE$4),12*Assumptions!$G$337+12)=BP$4,0,IF(BO465=1,PMT(Assumptions!$G$335,Assumptions!$G$337,$C467),BO478))),0)</f>
        <v>0</v>
      </c>
      <c r="BQ478" s="39">
        <f>+IFERROR(-ABS(IF(EDATE(_xlfn.XLOOKUP(1,$H465:$BE465,$H$4:$BE$4),12*Assumptions!$G$337+12)=BQ$4,0,IF(BP465=1,PMT(Assumptions!$G$335,Assumptions!$G$337,$C467),BP478))),0)</f>
        <v>0</v>
      </c>
      <c r="BR478" s="39">
        <f>+IFERROR(-ABS(IF(EDATE(_xlfn.XLOOKUP(1,$H465:$BE465,$H$4:$BE$4),12*Assumptions!$G$337+12)=BR$4,0,IF(BQ465=1,PMT(Assumptions!$G$335,Assumptions!$G$337,$C467),BQ478))),0)</f>
        <v>0</v>
      </c>
      <c r="BS478" s="39">
        <f>+IFERROR(-ABS(IF(EDATE(_xlfn.XLOOKUP(1,$H465:$BE465,$H$4:$BE$4),12*Assumptions!$G$337+12)=BS$4,0,IF(BR465=1,PMT(Assumptions!$G$335,Assumptions!$G$337,$C467),BR478))),0)</f>
        <v>0</v>
      </c>
      <c r="BT478" s="39">
        <f>+IFERROR(-ABS(IF(EDATE(_xlfn.XLOOKUP(1,$H465:$BE465,$H$4:$BE$4),12*Assumptions!$G$337+12)=BT$4,0,IF(BS465=1,PMT(Assumptions!$G$335,Assumptions!$G$337,$C467),BS478))),0)</f>
        <v>0</v>
      </c>
      <c r="BU478" s="39">
        <f>+IFERROR(-ABS(IF(EDATE(_xlfn.XLOOKUP(1,$H465:$BE465,$H$4:$BE$4),12*Assumptions!$G$337+12)=BU$4,0,IF(BT465=1,PMT(Assumptions!$G$335,Assumptions!$G$337,$C467),BT478))),0)</f>
        <v>0</v>
      </c>
      <c r="BV478" s="39">
        <f>+IFERROR(-ABS(IF(EDATE(_xlfn.XLOOKUP(1,$H465:$BE465,$H$4:$BE$4),12*Assumptions!$G$337+12)=BV$4,0,IF(BU465=1,PMT(Assumptions!$G$335,Assumptions!$G$337,$C467),BU478))),0)</f>
        <v>0</v>
      </c>
      <c r="BW478" s="39">
        <f>+IFERROR(-ABS(IF(EDATE(_xlfn.XLOOKUP(1,$H465:$BE465,$H$4:$BE$4),12*Assumptions!$G$337+12)=BW$4,0,IF(BV465=1,PMT(Assumptions!$G$335,Assumptions!$G$337,$C467),BV478))),0)</f>
        <v>0</v>
      </c>
      <c r="BX478" s="39">
        <f>+IFERROR(-ABS(IF(EDATE(_xlfn.XLOOKUP(1,$H465:$BE465,$H$4:$BE$4),12*Assumptions!$G$337+12)=BX$4,0,IF(BW465=1,PMT(Assumptions!$G$335,Assumptions!$G$337,$C467),BW478))),0)</f>
        <v>0</v>
      </c>
      <c r="BY478" s="39">
        <f>+IFERROR(-ABS(IF(EDATE(_xlfn.XLOOKUP(1,$H465:$BE465,$H$4:$BE$4),12*Assumptions!$G$337+12)=BY$4,0,IF(BX465=1,PMT(Assumptions!$G$335,Assumptions!$G$337,$C467),BX478))),0)</f>
        <v>0</v>
      </c>
    </row>
    <row r="479" spans="3:77" outlineLevel="1">
      <c r="E479" s="24" t="s">
        <v>517</v>
      </c>
      <c r="F479" s="80" t="str">
        <f>+Assumptions!$G$8</f>
        <v>USD</v>
      </c>
      <c r="G479" s="24"/>
      <c r="H479" s="39">
        <f>+IFERROR(-ABS(IF(EDATE(_xlfn.XLOOKUP(1,$H466:$BE466,$H$4:$BE$4),12*Assumptions!$G$337+12)=H$4,0,IF(G466=1,PMT(Assumptions!$G$335,Assumptions!$G$337,$C468),G479))),0)</f>
        <v>0</v>
      </c>
      <c r="I479" s="39">
        <f>+IFERROR(-ABS(IF(EDATE(_xlfn.XLOOKUP(1,$H466:$BE466,$H$4:$BE$4),12*Assumptions!$G$337+12)=I$4,0,IF(H466=1,PMT(Assumptions!$G$335,Assumptions!$G$337,$C468),H479))),0)</f>
        <v>0</v>
      </c>
      <c r="J479" s="39">
        <f>+IFERROR(-ABS(IF(EDATE(_xlfn.XLOOKUP(1,$H466:$BE466,$H$4:$BE$4),12*Assumptions!$G$337+12)=J$4,0,IF(I466=1,PMT(Assumptions!$G$335,Assumptions!$G$337,$C468),I479))),0)</f>
        <v>0</v>
      </c>
      <c r="K479" s="39">
        <f>+IFERROR(-ABS(IF(EDATE(_xlfn.XLOOKUP(1,$H466:$BE466,$H$4:$BE$4),12*Assumptions!$G$337+12)=K$4,0,IF(J466=1,PMT(Assumptions!$G$335,Assumptions!$G$337,$C468),J479))),0)</f>
        <v>0</v>
      </c>
      <c r="L479" s="39">
        <f>+IFERROR(-ABS(IF(EDATE(_xlfn.XLOOKUP(1,$H466:$BE466,$H$4:$BE$4),12*Assumptions!$G$337+12)=L$4,0,IF(K466=1,PMT(Assumptions!$G$335,Assumptions!$G$337,$C468),K479))),0)</f>
        <v>0</v>
      </c>
      <c r="M479" s="39">
        <f>+IFERROR(-ABS(IF(EDATE(_xlfn.XLOOKUP(1,$H466:$BE466,$H$4:$BE$4),12*Assumptions!$G$337+12)=M$4,0,IF(L466=1,PMT(Assumptions!$G$335,Assumptions!$G$337,$C468),L479))),0)</f>
        <v>0</v>
      </c>
      <c r="N479" s="39">
        <f>+IFERROR(-ABS(IF(EDATE(_xlfn.XLOOKUP(1,$H466:$BE466,$H$4:$BE$4),12*Assumptions!$G$337+12)=N$4,0,IF(M466=1,PMT(Assumptions!$G$335,Assumptions!$G$337,$C468),M479))),0)</f>
        <v>0</v>
      </c>
      <c r="O479" s="39">
        <f>+IFERROR(-ABS(IF(EDATE(_xlfn.XLOOKUP(1,$H466:$BE466,$H$4:$BE$4),12*Assumptions!$G$337+12)=O$4,0,IF(N466=1,PMT(Assumptions!$G$335,Assumptions!$G$337,$C468),N479))),0)</f>
        <v>0</v>
      </c>
      <c r="P479" s="39">
        <f>+IFERROR(-ABS(IF(EDATE(_xlfn.XLOOKUP(1,$H466:$BE466,$H$4:$BE$4),12*Assumptions!$G$337+12)=P$4,0,IF(O466=1,PMT(Assumptions!$G$335,Assumptions!$G$337,$C468),O479))),0)</f>
        <v>0</v>
      </c>
      <c r="Q479" s="39">
        <f>+IFERROR(-ABS(IF(EDATE(_xlfn.XLOOKUP(1,$H466:$BE466,$H$4:$BE$4),12*Assumptions!$G$337+12)=Q$4,0,IF(P466=1,PMT(Assumptions!$G$335,Assumptions!$G$337,$C468),P479))),0)</f>
        <v>0</v>
      </c>
      <c r="R479" s="39">
        <f>+IFERROR(-ABS(IF(EDATE(_xlfn.XLOOKUP(1,$H466:$BE466,$H$4:$BE$4),12*Assumptions!$G$337+12)=R$4,0,IF(Q466=1,PMT(Assumptions!$G$335,Assumptions!$G$337,$C468),Q479))),0)</f>
        <v>0</v>
      </c>
      <c r="S479" s="39">
        <f>+IFERROR(-ABS(IF(EDATE(_xlfn.XLOOKUP(1,$H466:$BE466,$H$4:$BE$4),12*Assumptions!$G$337+12)=S$4,0,IF(R466=1,PMT(Assumptions!$G$335,Assumptions!$G$337,$C468),R479))),0)</f>
        <v>0</v>
      </c>
      <c r="T479" s="39">
        <f>+IFERROR(-ABS(IF(EDATE(_xlfn.XLOOKUP(1,$H466:$BE466,$H$4:$BE$4),12*Assumptions!$G$337+12)=T$4,0,IF(S466=1,PMT(Assumptions!$G$335,Assumptions!$G$337,$C468),S479))),0)</f>
        <v>0</v>
      </c>
      <c r="U479" s="39">
        <f>+IFERROR(-ABS(IF(EDATE(_xlfn.XLOOKUP(1,$H466:$BE466,$H$4:$BE$4),12*Assumptions!$G$337+12)=U$4,0,IF(T466=1,PMT(Assumptions!$G$335,Assumptions!$G$337,$C468),T479))),0)</f>
        <v>0</v>
      </c>
      <c r="V479" s="39">
        <f>+IFERROR(-ABS(IF(EDATE(_xlfn.XLOOKUP(1,$H466:$BE466,$H$4:$BE$4),12*Assumptions!$G$337+12)=V$4,0,IF(U466=1,PMT(Assumptions!$G$335,Assumptions!$G$337,$C468),U479))),0)</f>
        <v>0</v>
      </c>
      <c r="W479" s="39">
        <f>+IFERROR(-ABS(IF(EDATE(_xlfn.XLOOKUP(1,$H466:$BE466,$H$4:$BE$4),12*Assumptions!$G$337+12)=W$4,0,IF(V466=1,PMT(Assumptions!$G$335,Assumptions!$G$337,$C468),V479))),0)</f>
        <v>0</v>
      </c>
      <c r="X479" s="39">
        <f>+IFERROR(-ABS(IF(EDATE(_xlfn.XLOOKUP(1,$H466:$BE466,$H$4:$BE$4),12*Assumptions!$G$337+12)=X$4,0,IF(W466=1,PMT(Assumptions!$G$335,Assumptions!$G$337,$C468),W479))),0)</f>
        <v>0</v>
      </c>
      <c r="Y479" s="39">
        <f>+IFERROR(-ABS(IF(EDATE(_xlfn.XLOOKUP(1,$H466:$BE466,$H$4:$BE$4),12*Assumptions!$G$337+12)=Y$4,0,IF(X466=1,PMT(Assumptions!$G$335,Assumptions!$G$337,$C468),X479))),0)</f>
        <v>0</v>
      </c>
      <c r="Z479" s="39">
        <f>+IFERROR(-ABS(IF(EDATE(_xlfn.XLOOKUP(1,$H466:$BE466,$H$4:$BE$4),12*Assumptions!$G$337+12)=Z$4,0,IF(Y466=1,PMT(Assumptions!$G$335,Assumptions!$G$337,$C468),Y479))),0)</f>
        <v>0</v>
      </c>
      <c r="AA479" s="39">
        <f>+IFERROR(-ABS(IF(EDATE(_xlfn.XLOOKUP(1,$H466:$BE466,$H$4:$BE$4),12*Assumptions!$G$337+12)=AA$4,0,IF(Z466=1,PMT(Assumptions!$G$335,Assumptions!$G$337,$C468),Z479))),0)</f>
        <v>0</v>
      </c>
      <c r="AB479" s="39">
        <f>+IFERROR(-ABS(IF(EDATE(_xlfn.XLOOKUP(1,$H466:$BE466,$H$4:$BE$4),12*Assumptions!$G$337+12)=AB$4,0,IF(AA466=1,PMT(Assumptions!$G$335,Assumptions!$G$337,$C468),AA479))),0)</f>
        <v>0</v>
      </c>
      <c r="AC479" s="39">
        <f>+IFERROR(-ABS(IF(EDATE(_xlfn.XLOOKUP(1,$H466:$BE466,$H$4:$BE$4),12*Assumptions!$G$337+12)=AC$4,0,IF(AB466=1,PMT(Assumptions!$G$335,Assumptions!$G$337,$C468),AB479))),0)</f>
        <v>0</v>
      </c>
      <c r="AD479" s="39">
        <f>+IFERROR(-ABS(IF(EDATE(_xlfn.XLOOKUP(1,$H466:$BE466,$H$4:$BE$4),12*Assumptions!$G$337+12)=AD$4,0,IF(AC466=1,PMT(Assumptions!$G$335,Assumptions!$G$337,$C468),AC479))),0)</f>
        <v>0</v>
      </c>
      <c r="AE479" s="39">
        <f>+IFERROR(-ABS(IF(EDATE(_xlfn.XLOOKUP(1,$H466:$BE466,$H$4:$BE$4),12*Assumptions!$G$337+12)=AE$4,0,IF(AD466=1,PMT(Assumptions!$G$335,Assumptions!$G$337,$C468),AD479))),0)</f>
        <v>0</v>
      </c>
      <c r="AF479" s="39">
        <f>+IFERROR(-ABS(IF(EDATE(_xlfn.XLOOKUP(1,$H466:$BE466,$H$4:$BE$4),12*Assumptions!$G$337+12)=AF$4,0,IF(AE466=1,PMT(Assumptions!$G$335,Assumptions!$G$337,$C468),AE479))),0)</f>
        <v>0</v>
      </c>
      <c r="AG479" s="39">
        <f>+IFERROR(-ABS(IF(EDATE(_xlfn.XLOOKUP(1,$H466:$BE466,$H$4:$BE$4),12*Assumptions!$G$337+12)=AG$4,0,IF(AF466=1,PMT(Assumptions!$G$335,Assumptions!$G$337,$C468),AF479))),0)</f>
        <v>0</v>
      </c>
      <c r="AH479" s="39">
        <f>+IFERROR(-ABS(IF(EDATE(_xlfn.XLOOKUP(1,$H466:$BE466,$H$4:$BE$4),12*Assumptions!$G$337+12)=AH$4,0,IF(AG466=1,PMT(Assumptions!$G$335,Assumptions!$G$337,$C468),AG479))),0)</f>
        <v>0</v>
      </c>
      <c r="AI479" s="39">
        <f>+IFERROR(-ABS(IF(EDATE(_xlfn.XLOOKUP(1,$H466:$BE466,$H$4:$BE$4),12*Assumptions!$G$337+12)=AI$4,0,IF(AH466=1,PMT(Assumptions!$G$335,Assumptions!$G$337,$C468),AH479))),0)</f>
        <v>0</v>
      </c>
      <c r="AJ479" s="39">
        <f>+IFERROR(-ABS(IF(EDATE(_xlfn.XLOOKUP(1,$H466:$BE466,$H$4:$BE$4),12*Assumptions!$G$337+12)=AJ$4,0,IF(AI466=1,PMT(Assumptions!$G$335,Assumptions!$G$337,$C468),AI479))),0)</f>
        <v>0</v>
      </c>
      <c r="AK479" s="39">
        <f>+IFERROR(-ABS(IF(EDATE(_xlfn.XLOOKUP(1,$H466:$BE466,$H$4:$BE$4),12*Assumptions!$G$337+12)=AK$4,0,IF(AJ466=1,PMT(Assumptions!$G$335,Assumptions!$G$337,$C468),AJ479))),0)</f>
        <v>0</v>
      </c>
      <c r="AL479" s="39">
        <f>+IFERROR(-ABS(IF(EDATE(_xlfn.XLOOKUP(1,$H466:$BE466,$H$4:$BE$4),12*Assumptions!$G$337+12)=AL$4,0,IF(AK466=1,PMT(Assumptions!$G$335,Assumptions!$G$337,$C468),AK479))),0)</f>
        <v>0</v>
      </c>
      <c r="AM479" s="39">
        <f>+IFERROR(-ABS(IF(EDATE(_xlfn.XLOOKUP(1,$H466:$BE466,$H$4:$BE$4),12*Assumptions!$G$337+12)=AM$4,0,IF(AL466=1,PMT(Assumptions!$G$335,Assumptions!$G$337,$C468),AL479))),0)</f>
        <v>0</v>
      </c>
      <c r="AN479" s="39">
        <f>+IFERROR(-ABS(IF(EDATE(_xlfn.XLOOKUP(1,$H466:$BE466,$H$4:$BE$4),12*Assumptions!$G$337+12)=AN$4,0,IF(AM466=1,PMT(Assumptions!$G$335,Assumptions!$G$337,$C468),AM479))),0)</f>
        <v>0</v>
      </c>
      <c r="AO479" s="39">
        <f>+IFERROR(-ABS(IF(EDATE(_xlfn.XLOOKUP(1,$H466:$BE466,$H$4:$BE$4),12*Assumptions!$G$337+12)=AO$4,0,IF(AN466=1,PMT(Assumptions!$G$335,Assumptions!$G$337,$C468),AN479))),0)</f>
        <v>0</v>
      </c>
      <c r="AP479" s="39">
        <f>+IFERROR(-ABS(IF(EDATE(_xlfn.XLOOKUP(1,$H466:$BE466,$H$4:$BE$4),12*Assumptions!$G$337+12)=AP$4,0,IF(AO466=1,PMT(Assumptions!$G$335,Assumptions!$G$337,$C468),AO479))),0)</f>
        <v>0</v>
      </c>
      <c r="AQ479" s="39">
        <f>+IFERROR(-ABS(IF(EDATE(_xlfn.XLOOKUP(1,$H466:$BE466,$H$4:$BE$4),12*Assumptions!$G$337+12)=AQ$4,0,IF(AP466=1,PMT(Assumptions!$G$335,Assumptions!$G$337,$C468),AP479))),0)</f>
        <v>0</v>
      </c>
      <c r="AR479" s="39">
        <f>+IFERROR(-ABS(IF(EDATE(_xlfn.XLOOKUP(1,$H466:$BE466,$H$4:$BE$4),12*Assumptions!$G$337+12)=AR$4,0,IF(AQ466=1,PMT(Assumptions!$G$335,Assumptions!$G$337,$C468),AQ479))),0)</f>
        <v>0</v>
      </c>
      <c r="AS479" s="39">
        <f>+IFERROR(-ABS(IF(EDATE(_xlfn.XLOOKUP(1,$H466:$BE466,$H$4:$BE$4),12*Assumptions!$G$337+12)=AS$4,0,IF(AR466=1,PMT(Assumptions!$G$335,Assumptions!$G$337,$C468),AR479))),0)</f>
        <v>0</v>
      </c>
      <c r="AT479" s="39">
        <f>+IFERROR(-ABS(IF(EDATE(_xlfn.XLOOKUP(1,$H466:$BE466,$H$4:$BE$4),12*Assumptions!$G$337+12)=AT$4,0,IF(AS466=1,PMT(Assumptions!$G$335,Assumptions!$G$337,$C468),AS479))),0)</f>
        <v>0</v>
      </c>
      <c r="AU479" s="39">
        <f>+IFERROR(-ABS(IF(EDATE(_xlfn.XLOOKUP(1,$H466:$BE466,$H$4:$BE$4),12*Assumptions!$G$337+12)=AU$4,0,IF(AT466=1,PMT(Assumptions!$G$335,Assumptions!$G$337,$C468),AT479))),0)</f>
        <v>0</v>
      </c>
      <c r="AV479" s="39">
        <f>+IFERROR(-ABS(IF(EDATE(_xlfn.XLOOKUP(1,$H466:$BE466,$H$4:$BE$4),12*Assumptions!$G$337+12)=AV$4,0,IF(AU466=1,PMT(Assumptions!$G$335,Assumptions!$G$337,$C468),AU479))),0)</f>
        <v>0</v>
      </c>
      <c r="AW479" s="39">
        <f>+IFERROR(-ABS(IF(EDATE(_xlfn.XLOOKUP(1,$H466:$BE466,$H$4:$BE$4),12*Assumptions!$G$337+12)=AW$4,0,IF(AV466=1,PMT(Assumptions!$G$335,Assumptions!$G$337,$C468),AV479))),0)</f>
        <v>0</v>
      </c>
      <c r="AX479" s="39">
        <f>+IFERROR(-ABS(IF(EDATE(_xlfn.XLOOKUP(1,$H466:$BE466,$H$4:$BE$4),12*Assumptions!$G$337+12)=AX$4,0,IF(AW466=1,PMT(Assumptions!$G$335,Assumptions!$G$337,$C468),AW479))),0)</f>
        <v>0</v>
      </c>
      <c r="AY479" s="39">
        <f>+IFERROR(-ABS(IF(EDATE(_xlfn.XLOOKUP(1,$H466:$BE466,$H$4:$BE$4),12*Assumptions!$G$337+12)=AY$4,0,IF(AX466=1,PMT(Assumptions!$G$335,Assumptions!$G$337,$C468),AX479))),0)</f>
        <v>0</v>
      </c>
      <c r="AZ479" s="39">
        <f>+IFERROR(-ABS(IF(EDATE(_xlfn.XLOOKUP(1,$H466:$BE466,$H$4:$BE$4),12*Assumptions!$G$337+12)=AZ$4,0,IF(AY466=1,PMT(Assumptions!$G$335,Assumptions!$G$337,$C468),AY479))),0)</f>
        <v>0</v>
      </c>
      <c r="BA479" s="39">
        <f>+IFERROR(-ABS(IF(EDATE(_xlfn.XLOOKUP(1,$H466:$BE466,$H$4:$BE$4),12*Assumptions!$G$337+12)=BA$4,0,IF(AZ466=1,PMT(Assumptions!$G$335,Assumptions!$G$337,$C468),AZ479))),0)</f>
        <v>0</v>
      </c>
      <c r="BB479" s="39">
        <f>+IFERROR(-ABS(IF(EDATE(_xlfn.XLOOKUP(1,$H466:$BE466,$H$4:$BE$4),12*Assumptions!$G$337+12)=BB$4,0,IF(BA466=1,PMT(Assumptions!$G$335,Assumptions!$G$337,$C468),BA479))),0)</f>
        <v>0</v>
      </c>
      <c r="BC479" s="39">
        <f>+IFERROR(-ABS(IF(EDATE(_xlfn.XLOOKUP(1,$H466:$BE466,$H$4:$BE$4),12*Assumptions!$G$337+12)=BC$4,0,IF(BB466=1,PMT(Assumptions!$G$335,Assumptions!$G$337,$C468),BB479))),0)</f>
        <v>0</v>
      </c>
      <c r="BD479" s="39">
        <f>+IFERROR(-ABS(IF(EDATE(_xlfn.XLOOKUP(1,$H466:$BE466,$H$4:$BE$4),12*Assumptions!$G$337+12)=BD$4,0,IF(BC466=1,PMT(Assumptions!$G$335,Assumptions!$G$337,$C468),BC479))),0)</f>
        <v>0</v>
      </c>
      <c r="BE479" s="39">
        <f>+IFERROR(-ABS(IF(EDATE(_xlfn.XLOOKUP(1,$H466:$BE466,$H$4:$BE$4),12*Assumptions!$G$337+12)=BE$4,0,IF(BD466=1,PMT(Assumptions!$G$335,Assumptions!$G$337,$C468),BD479))),0)</f>
        <v>0</v>
      </c>
      <c r="BF479" s="39">
        <f>+IFERROR(-ABS(IF(EDATE(_xlfn.XLOOKUP(1,$H466:$BE466,$H$4:$BE$4),12*Assumptions!$G$337+12)=BF$4,0,IF(BE466=1,PMT(Assumptions!$G$335,Assumptions!$G$337,$C468),BE479))),0)</f>
        <v>0</v>
      </c>
      <c r="BG479" s="39">
        <f>+IFERROR(-ABS(IF(EDATE(_xlfn.XLOOKUP(1,$H466:$BE466,$H$4:$BE$4),12*Assumptions!$G$337+12)=BG$4,0,IF(BF466=1,PMT(Assumptions!$G$335,Assumptions!$G$337,$C468),BF479))),0)</f>
        <v>0</v>
      </c>
      <c r="BH479" s="39">
        <f>+IFERROR(-ABS(IF(EDATE(_xlfn.XLOOKUP(1,$H466:$BE466,$H$4:$BE$4),12*Assumptions!$G$337+12)=BH$4,0,IF(BG466=1,PMT(Assumptions!$G$335,Assumptions!$G$337,$C468),BG479))),0)</f>
        <v>0</v>
      </c>
      <c r="BI479" s="39">
        <f>+IFERROR(-ABS(IF(EDATE(_xlfn.XLOOKUP(1,$H466:$BE466,$H$4:$BE$4),12*Assumptions!$G$337+12)=BI$4,0,IF(BH466=1,PMT(Assumptions!$G$335,Assumptions!$G$337,$C468),BH479))),0)</f>
        <v>0</v>
      </c>
      <c r="BJ479" s="39">
        <f>+IFERROR(-ABS(IF(EDATE(_xlfn.XLOOKUP(1,$H466:$BE466,$H$4:$BE$4),12*Assumptions!$G$337+12)=BJ$4,0,IF(BI466=1,PMT(Assumptions!$G$335,Assumptions!$G$337,$C468),BI479))),0)</f>
        <v>0</v>
      </c>
      <c r="BK479" s="39">
        <f>+IFERROR(-ABS(IF(EDATE(_xlfn.XLOOKUP(1,$H466:$BE466,$H$4:$BE$4),12*Assumptions!$G$337+12)=BK$4,0,IF(BJ466=1,PMT(Assumptions!$G$335,Assumptions!$G$337,$C468),BJ479))),0)</f>
        <v>0</v>
      </c>
      <c r="BL479" s="39">
        <f>+IFERROR(-ABS(IF(EDATE(_xlfn.XLOOKUP(1,$H466:$BE466,$H$4:$BE$4),12*Assumptions!$G$337+12)=BL$4,0,IF(BK466=1,PMT(Assumptions!$G$335,Assumptions!$G$337,$C468),BK479))),0)</f>
        <v>0</v>
      </c>
      <c r="BM479" s="39">
        <f>+IFERROR(-ABS(IF(EDATE(_xlfn.XLOOKUP(1,$H466:$BE466,$H$4:$BE$4),12*Assumptions!$G$337+12)=BM$4,0,IF(BL466=1,PMT(Assumptions!$G$335,Assumptions!$G$337,$C468),BL479))),0)</f>
        <v>0</v>
      </c>
      <c r="BN479" s="39">
        <f>+IFERROR(-ABS(IF(EDATE(_xlfn.XLOOKUP(1,$H466:$BE466,$H$4:$BE$4),12*Assumptions!$G$337+12)=BN$4,0,IF(BM466=1,PMT(Assumptions!$G$335,Assumptions!$G$337,$C468),BM479))),0)</f>
        <v>0</v>
      </c>
      <c r="BO479" s="39">
        <f>+IFERROR(-ABS(IF(EDATE(_xlfn.XLOOKUP(1,$H466:$BE466,$H$4:$BE$4),12*Assumptions!$G$337+12)=BO$4,0,IF(BN466=1,PMT(Assumptions!$G$335,Assumptions!$G$337,$C468),BN479))),0)</f>
        <v>0</v>
      </c>
      <c r="BP479" s="39">
        <f>+IFERROR(-ABS(IF(EDATE(_xlfn.XLOOKUP(1,$H466:$BE466,$H$4:$BE$4),12*Assumptions!$G$337+12)=BP$4,0,IF(BO466=1,PMT(Assumptions!$G$335,Assumptions!$G$337,$C468),BO479))),0)</f>
        <v>0</v>
      </c>
      <c r="BQ479" s="39">
        <f>+IFERROR(-ABS(IF(EDATE(_xlfn.XLOOKUP(1,$H466:$BE466,$H$4:$BE$4),12*Assumptions!$G$337+12)=BQ$4,0,IF(BP466=1,PMT(Assumptions!$G$335,Assumptions!$G$337,$C468),BP479))),0)</f>
        <v>0</v>
      </c>
      <c r="BR479" s="39">
        <f>+IFERROR(-ABS(IF(EDATE(_xlfn.XLOOKUP(1,$H466:$BE466,$H$4:$BE$4),12*Assumptions!$G$337+12)=BR$4,0,IF(BQ466=1,PMT(Assumptions!$G$335,Assumptions!$G$337,$C468),BQ479))),0)</f>
        <v>0</v>
      </c>
      <c r="BS479" s="39">
        <f>+IFERROR(-ABS(IF(EDATE(_xlfn.XLOOKUP(1,$H466:$BE466,$H$4:$BE$4),12*Assumptions!$G$337+12)=BS$4,0,IF(BR466=1,PMT(Assumptions!$G$335,Assumptions!$G$337,$C468),BR479))),0)</f>
        <v>0</v>
      </c>
      <c r="BT479" s="39">
        <f>+IFERROR(-ABS(IF(EDATE(_xlfn.XLOOKUP(1,$H466:$BE466,$H$4:$BE$4),12*Assumptions!$G$337+12)=BT$4,0,IF(BS466=1,PMT(Assumptions!$G$335,Assumptions!$G$337,$C468),BS479))),0)</f>
        <v>0</v>
      </c>
      <c r="BU479" s="39">
        <f>+IFERROR(-ABS(IF(EDATE(_xlfn.XLOOKUP(1,$H466:$BE466,$H$4:$BE$4),12*Assumptions!$G$337+12)=BU$4,0,IF(BT466=1,PMT(Assumptions!$G$335,Assumptions!$G$337,$C468),BT479))),0)</f>
        <v>0</v>
      </c>
      <c r="BV479" s="39">
        <f>+IFERROR(-ABS(IF(EDATE(_xlfn.XLOOKUP(1,$H466:$BE466,$H$4:$BE$4),12*Assumptions!$G$337+12)=BV$4,0,IF(BU466=1,PMT(Assumptions!$G$335,Assumptions!$G$337,$C468),BU479))),0)</f>
        <v>0</v>
      </c>
      <c r="BW479" s="39">
        <f>+IFERROR(-ABS(IF(EDATE(_xlfn.XLOOKUP(1,$H466:$BE466,$H$4:$BE$4),12*Assumptions!$G$337+12)=BW$4,0,IF(BV466=1,PMT(Assumptions!$G$335,Assumptions!$G$337,$C468),BV479))),0)</f>
        <v>0</v>
      </c>
      <c r="BX479" s="39">
        <f>+IFERROR(-ABS(IF(EDATE(_xlfn.XLOOKUP(1,$H466:$BE466,$H$4:$BE$4),12*Assumptions!$G$337+12)=BX$4,0,IF(BW466=1,PMT(Assumptions!$G$335,Assumptions!$G$337,$C468),BW479))),0)</f>
        <v>0</v>
      </c>
      <c r="BY479" s="39">
        <f>+IFERROR(-ABS(IF(EDATE(_xlfn.XLOOKUP(1,$H466:$BE466,$H$4:$BE$4),12*Assumptions!$G$337+12)=BY$4,0,IF(BX466=1,PMT(Assumptions!$G$335,Assumptions!$G$337,$C468),BX479))),0)</f>
        <v>0</v>
      </c>
    </row>
    <row r="480" spans="3:77" outlineLevel="1">
      <c r="E480" s="24" t="s">
        <v>518</v>
      </c>
      <c r="F480" s="80" t="str">
        <f>+Assumptions!$G$8</f>
        <v>USD</v>
      </c>
      <c r="G480" s="24"/>
      <c r="H480" s="39">
        <f>+IFERROR(-ABS(IF(EDATE(_xlfn.XLOOKUP(1,$H467:$BE467,$H$4:$BE$4),12*Assumptions!$G$337+12)=H$4,0,IF(G467=1,PMT(Assumptions!$G$335,Assumptions!$G$337,$C469),G480))),0)</f>
        <v>0</v>
      </c>
      <c r="I480" s="39">
        <f>+IFERROR(-ABS(IF(EDATE(_xlfn.XLOOKUP(1,$H467:$BE467,$H$4:$BE$4),12*Assumptions!$G$337+12)=I$4,0,IF(H467=1,PMT(Assumptions!$G$335,Assumptions!$G$337,$C469),H480))),0)</f>
        <v>0</v>
      </c>
      <c r="J480" s="39">
        <f>+IFERROR(-ABS(IF(EDATE(_xlfn.XLOOKUP(1,$H467:$BE467,$H$4:$BE$4),12*Assumptions!$G$337+12)=J$4,0,IF(I467=1,PMT(Assumptions!$G$335,Assumptions!$G$337,$C469),I480))),0)</f>
        <v>0</v>
      </c>
      <c r="K480" s="39">
        <f>+IFERROR(-ABS(IF(EDATE(_xlfn.XLOOKUP(1,$H467:$BE467,$H$4:$BE$4),12*Assumptions!$G$337+12)=K$4,0,IF(J467=1,PMT(Assumptions!$G$335,Assumptions!$G$337,$C469),J480))),0)</f>
        <v>0</v>
      </c>
      <c r="L480" s="39">
        <f>+IFERROR(-ABS(IF(EDATE(_xlfn.XLOOKUP(1,$H467:$BE467,$H$4:$BE$4),12*Assumptions!$G$337+12)=L$4,0,IF(K467=1,PMT(Assumptions!$G$335,Assumptions!$G$337,$C469),K480))),0)</f>
        <v>0</v>
      </c>
      <c r="M480" s="39">
        <f>+IFERROR(-ABS(IF(EDATE(_xlfn.XLOOKUP(1,$H467:$BE467,$H$4:$BE$4),12*Assumptions!$G$337+12)=M$4,0,IF(L467=1,PMT(Assumptions!$G$335,Assumptions!$G$337,$C469),L480))),0)</f>
        <v>0</v>
      </c>
      <c r="N480" s="39">
        <f>+IFERROR(-ABS(IF(EDATE(_xlfn.XLOOKUP(1,$H467:$BE467,$H$4:$BE$4),12*Assumptions!$G$337+12)=N$4,0,IF(M467=1,PMT(Assumptions!$G$335,Assumptions!$G$337,$C469),M480))),0)</f>
        <v>0</v>
      </c>
      <c r="O480" s="39">
        <f>+IFERROR(-ABS(IF(EDATE(_xlfn.XLOOKUP(1,$H467:$BE467,$H$4:$BE$4),12*Assumptions!$G$337+12)=O$4,0,IF(N467=1,PMT(Assumptions!$G$335,Assumptions!$G$337,$C469),N480))),0)</f>
        <v>0</v>
      </c>
      <c r="P480" s="39">
        <f>+IFERROR(-ABS(IF(EDATE(_xlfn.XLOOKUP(1,$H467:$BE467,$H$4:$BE$4),12*Assumptions!$G$337+12)=P$4,0,IF(O467=1,PMT(Assumptions!$G$335,Assumptions!$G$337,$C469),O480))),0)</f>
        <v>0</v>
      </c>
      <c r="Q480" s="39">
        <f>+IFERROR(-ABS(IF(EDATE(_xlfn.XLOOKUP(1,$H467:$BE467,$H$4:$BE$4),12*Assumptions!$G$337+12)=Q$4,0,IF(P467=1,PMT(Assumptions!$G$335,Assumptions!$G$337,$C469),P480))),0)</f>
        <v>0</v>
      </c>
      <c r="R480" s="39">
        <f>+IFERROR(-ABS(IF(EDATE(_xlfn.XLOOKUP(1,$H467:$BE467,$H$4:$BE$4),12*Assumptions!$G$337+12)=R$4,0,IF(Q467=1,PMT(Assumptions!$G$335,Assumptions!$G$337,$C469),Q480))),0)</f>
        <v>0</v>
      </c>
      <c r="S480" s="39">
        <f>+IFERROR(-ABS(IF(EDATE(_xlfn.XLOOKUP(1,$H467:$BE467,$H$4:$BE$4),12*Assumptions!$G$337+12)=S$4,0,IF(R467=1,PMT(Assumptions!$G$335,Assumptions!$G$337,$C469),R480))),0)</f>
        <v>0</v>
      </c>
      <c r="T480" s="39">
        <f>+IFERROR(-ABS(IF(EDATE(_xlfn.XLOOKUP(1,$H467:$BE467,$H$4:$BE$4),12*Assumptions!$G$337+12)=T$4,0,IF(S467=1,PMT(Assumptions!$G$335,Assumptions!$G$337,$C469),S480))),0)</f>
        <v>0</v>
      </c>
      <c r="U480" s="39">
        <f>+IFERROR(-ABS(IF(EDATE(_xlfn.XLOOKUP(1,$H467:$BE467,$H$4:$BE$4),12*Assumptions!$G$337+12)=U$4,0,IF(T467=1,PMT(Assumptions!$G$335,Assumptions!$G$337,$C469),T480))),0)</f>
        <v>0</v>
      </c>
      <c r="V480" s="39">
        <f>+IFERROR(-ABS(IF(EDATE(_xlfn.XLOOKUP(1,$H467:$BE467,$H$4:$BE$4),12*Assumptions!$G$337+12)=V$4,0,IF(U467=1,PMT(Assumptions!$G$335,Assumptions!$G$337,$C469),U480))),0)</f>
        <v>0</v>
      </c>
      <c r="W480" s="39">
        <f>+IFERROR(-ABS(IF(EDATE(_xlfn.XLOOKUP(1,$H467:$BE467,$H$4:$BE$4),12*Assumptions!$G$337+12)=W$4,0,IF(V467=1,PMT(Assumptions!$G$335,Assumptions!$G$337,$C469),V480))),0)</f>
        <v>0</v>
      </c>
      <c r="X480" s="39">
        <f>+IFERROR(-ABS(IF(EDATE(_xlfn.XLOOKUP(1,$H467:$BE467,$H$4:$BE$4),12*Assumptions!$G$337+12)=X$4,0,IF(W467=1,PMT(Assumptions!$G$335,Assumptions!$G$337,$C469),W480))),0)</f>
        <v>0</v>
      </c>
      <c r="Y480" s="39">
        <f>+IFERROR(-ABS(IF(EDATE(_xlfn.XLOOKUP(1,$H467:$BE467,$H$4:$BE$4),12*Assumptions!$G$337+12)=Y$4,0,IF(X467=1,PMT(Assumptions!$G$335,Assumptions!$G$337,$C469),X480))),0)</f>
        <v>0</v>
      </c>
      <c r="Z480" s="39">
        <f>+IFERROR(-ABS(IF(EDATE(_xlfn.XLOOKUP(1,$H467:$BE467,$H$4:$BE$4),12*Assumptions!$G$337+12)=Z$4,0,IF(Y467=1,PMT(Assumptions!$G$335,Assumptions!$G$337,$C469),Y480))),0)</f>
        <v>0</v>
      </c>
      <c r="AA480" s="39">
        <f>+IFERROR(-ABS(IF(EDATE(_xlfn.XLOOKUP(1,$H467:$BE467,$H$4:$BE$4),12*Assumptions!$G$337+12)=AA$4,0,IF(Z467=1,PMT(Assumptions!$G$335,Assumptions!$G$337,$C469),Z480))),0)</f>
        <v>0</v>
      </c>
      <c r="AB480" s="39">
        <f>+IFERROR(-ABS(IF(EDATE(_xlfn.XLOOKUP(1,$H467:$BE467,$H$4:$BE$4),12*Assumptions!$G$337+12)=AB$4,0,IF(AA467=1,PMT(Assumptions!$G$335,Assumptions!$G$337,$C469),AA480))),0)</f>
        <v>0</v>
      </c>
      <c r="AC480" s="39">
        <f>+IFERROR(-ABS(IF(EDATE(_xlfn.XLOOKUP(1,$H467:$BE467,$H$4:$BE$4),12*Assumptions!$G$337+12)=AC$4,0,IF(AB467=1,PMT(Assumptions!$G$335,Assumptions!$G$337,$C469),AB480))),0)</f>
        <v>0</v>
      </c>
      <c r="AD480" s="39">
        <f>+IFERROR(-ABS(IF(EDATE(_xlfn.XLOOKUP(1,$H467:$BE467,$H$4:$BE$4),12*Assumptions!$G$337+12)=AD$4,0,IF(AC467=1,PMT(Assumptions!$G$335,Assumptions!$G$337,$C469),AC480))),0)</f>
        <v>0</v>
      </c>
      <c r="AE480" s="39">
        <f>+IFERROR(-ABS(IF(EDATE(_xlfn.XLOOKUP(1,$H467:$BE467,$H$4:$BE$4),12*Assumptions!$G$337+12)=AE$4,0,IF(AD467=1,PMT(Assumptions!$G$335,Assumptions!$G$337,$C469),AD480))),0)</f>
        <v>0</v>
      </c>
      <c r="AF480" s="39">
        <f>+IFERROR(-ABS(IF(EDATE(_xlfn.XLOOKUP(1,$H467:$BE467,$H$4:$BE$4),12*Assumptions!$G$337+12)=AF$4,0,IF(AE467=1,PMT(Assumptions!$G$335,Assumptions!$G$337,$C469),AE480))),0)</f>
        <v>0</v>
      </c>
      <c r="AG480" s="39">
        <f>+IFERROR(-ABS(IF(EDATE(_xlfn.XLOOKUP(1,$H467:$BE467,$H$4:$BE$4),12*Assumptions!$G$337+12)=AG$4,0,IF(AF467=1,PMT(Assumptions!$G$335,Assumptions!$G$337,$C469),AF480))),0)</f>
        <v>0</v>
      </c>
      <c r="AH480" s="39">
        <f>+IFERROR(-ABS(IF(EDATE(_xlfn.XLOOKUP(1,$H467:$BE467,$H$4:$BE$4),12*Assumptions!$G$337+12)=AH$4,0,IF(AG467=1,PMT(Assumptions!$G$335,Assumptions!$G$337,$C469),AG480))),0)</f>
        <v>0</v>
      </c>
      <c r="AI480" s="39">
        <f>+IFERROR(-ABS(IF(EDATE(_xlfn.XLOOKUP(1,$H467:$BE467,$H$4:$BE$4),12*Assumptions!$G$337+12)=AI$4,0,IF(AH467=1,PMT(Assumptions!$G$335,Assumptions!$G$337,$C469),AH480))),0)</f>
        <v>0</v>
      </c>
      <c r="AJ480" s="39">
        <f>+IFERROR(-ABS(IF(EDATE(_xlfn.XLOOKUP(1,$H467:$BE467,$H$4:$BE$4),12*Assumptions!$G$337+12)=AJ$4,0,IF(AI467=1,PMT(Assumptions!$G$335,Assumptions!$G$337,$C469),AI480))),0)</f>
        <v>0</v>
      </c>
      <c r="AK480" s="39">
        <f>+IFERROR(-ABS(IF(EDATE(_xlfn.XLOOKUP(1,$H467:$BE467,$H$4:$BE$4),12*Assumptions!$G$337+12)=AK$4,0,IF(AJ467=1,PMT(Assumptions!$G$335,Assumptions!$G$337,$C469),AJ480))),0)</f>
        <v>0</v>
      </c>
      <c r="AL480" s="39">
        <f>+IFERROR(-ABS(IF(EDATE(_xlfn.XLOOKUP(1,$H467:$BE467,$H$4:$BE$4),12*Assumptions!$G$337+12)=AL$4,0,IF(AK467=1,PMT(Assumptions!$G$335,Assumptions!$G$337,$C469),AK480))),0)</f>
        <v>0</v>
      </c>
      <c r="AM480" s="39">
        <f>+IFERROR(-ABS(IF(EDATE(_xlfn.XLOOKUP(1,$H467:$BE467,$H$4:$BE$4),12*Assumptions!$G$337+12)=AM$4,0,IF(AL467=1,PMT(Assumptions!$G$335,Assumptions!$G$337,$C469),AL480))),0)</f>
        <v>0</v>
      </c>
      <c r="AN480" s="39">
        <f>+IFERROR(-ABS(IF(EDATE(_xlfn.XLOOKUP(1,$H467:$BE467,$H$4:$BE$4),12*Assumptions!$G$337+12)=AN$4,0,IF(AM467=1,PMT(Assumptions!$G$335,Assumptions!$G$337,$C469),AM480))),0)</f>
        <v>0</v>
      </c>
      <c r="AO480" s="39">
        <f>+IFERROR(-ABS(IF(EDATE(_xlfn.XLOOKUP(1,$H467:$BE467,$H$4:$BE$4),12*Assumptions!$G$337+12)=AO$4,0,IF(AN467=1,PMT(Assumptions!$G$335,Assumptions!$G$337,$C469),AN480))),0)</f>
        <v>0</v>
      </c>
      <c r="AP480" s="39">
        <f>+IFERROR(-ABS(IF(EDATE(_xlfn.XLOOKUP(1,$H467:$BE467,$H$4:$BE$4),12*Assumptions!$G$337+12)=AP$4,0,IF(AO467=1,PMT(Assumptions!$G$335,Assumptions!$G$337,$C469),AO480))),0)</f>
        <v>0</v>
      </c>
      <c r="AQ480" s="39">
        <f>+IFERROR(-ABS(IF(EDATE(_xlfn.XLOOKUP(1,$H467:$BE467,$H$4:$BE$4),12*Assumptions!$G$337+12)=AQ$4,0,IF(AP467=1,PMT(Assumptions!$G$335,Assumptions!$G$337,$C469),AP480))),0)</f>
        <v>0</v>
      </c>
      <c r="AR480" s="39">
        <f>+IFERROR(-ABS(IF(EDATE(_xlfn.XLOOKUP(1,$H467:$BE467,$H$4:$BE$4),12*Assumptions!$G$337+12)=AR$4,0,IF(AQ467=1,PMT(Assumptions!$G$335,Assumptions!$G$337,$C469),AQ480))),0)</f>
        <v>0</v>
      </c>
      <c r="AS480" s="39">
        <f>+IFERROR(-ABS(IF(EDATE(_xlfn.XLOOKUP(1,$H467:$BE467,$H$4:$BE$4),12*Assumptions!$G$337+12)=AS$4,0,IF(AR467=1,PMT(Assumptions!$G$335,Assumptions!$G$337,$C469),AR480))),0)</f>
        <v>0</v>
      </c>
      <c r="AT480" s="39">
        <f>+IFERROR(-ABS(IF(EDATE(_xlfn.XLOOKUP(1,$H467:$BE467,$H$4:$BE$4),12*Assumptions!$G$337+12)=AT$4,0,IF(AS467=1,PMT(Assumptions!$G$335,Assumptions!$G$337,$C469),AS480))),0)</f>
        <v>0</v>
      </c>
      <c r="AU480" s="39">
        <f>+IFERROR(-ABS(IF(EDATE(_xlfn.XLOOKUP(1,$H467:$BE467,$H$4:$BE$4),12*Assumptions!$G$337+12)=AU$4,0,IF(AT467=1,PMT(Assumptions!$G$335,Assumptions!$G$337,$C469),AT480))),0)</f>
        <v>0</v>
      </c>
      <c r="AV480" s="39">
        <f>+IFERROR(-ABS(IF(EDATE(_xlfn.XLOOKUP(1,$H467:$BE467,$H$4:$BE$4),12*Assumptions!$G$337+12)=AV$4,0,IF(AU467=1,PMT(Assumptions!$G$335,Assumptions!$G$337,$C469),AU480))),0)</f>
        <v>0</v>
      </c>
      <c r="AW480" s="39">
        <f>+IFERROR(-ABS(IF(EDATE(_xlfn.XLOOKUP(1,$H467:$BE467,$H$4:$BE$4),12*Assumptions!$G$337+12)=AW$4,0,IF(AV467=1,PMT(Assumptions!$G$335,Assumptions!$G$337,$C469),AV480))),0)</f>
        <v>0</v>
      </c>
      <c r="AX480" s="39">
        <f>+IFERROR(-ABS(IF(EDATE(_xlfn.XLOOKUP(1,$H467:$BE467,$H$4:$BE$4),12*Assumptions!$G$337+12)=AX$4,0,IF(AW467=1,PMT(Assumptions!$G$335,Assumptions!$G$337,$C469),AW480))),0)</f>
        <v>0</v>
      </c>
      <c r="AY480" s="39">
        <f>+IFERROR(-ABS(IF(EDATE(_xlfn.XLOOKUP(1,$H467:$BE467,$H$4:$BE$4),12*Assumptions!$G$337+12)=AY$4,0,IF(AX467=1,PMT(Assumptions!$G$335,Assumptions!$G$337,$C469),AX480))),0)</f>
        <v>0</v>
      </c>
      <c r="AZ480" s="39">
        <f>+IFERROR(-ABS(IF(EDATE(_xlfn.XLOOKUP(1,$H467:$BE467,$H$4:$BE$4),12*Assumptions!$G$337+12)=AZ$4,0,IF(AY467=1,PMT(Assumptions!$G$335,Assumptions!$G$337,$C469),AY480))),0)</f>
        <v>0</v>
      </c>
      <c r="BA480" s="39">
        <f>+IFERROR(-ABS(IF(EDATE(_xlfn.XLOOKUP(1,$H467:$BE467,$H$4:$BE$4),12*Assumptions!$G$337+12)=BA$4,0,IF(AZ467=1,PMT(Assumptions!$G$335,Assumptions!$G$337,$C469),AZ480))),0)</f>
        <v>0</v>
      </c>
      <c r="BB480" s="39">
        <f>+IFERROR(-ABS(IF(EDATE(_xlfn.XLOOKUP(1,$H467:$BE467,$H$4:$BE$4),12*Assumptions!$G$337+12)=BB$4,0,IF(BA467=1,PMT(Assumptions!$G$335,Assumptions!$G$337,$C469),BA480))),0)</f>
        <v>0</v>
      </c>
      <c r="BC480" s="39">
        <f>+IFERROR(-ABS(IF(EDATE(_xlfn.XLOOKUP(1,$H467:$BE467,$H$4:$BE$4),12*Assumptions!$G$337+12)=BC$4,0,IF(BB467=1,PMT(Assumptions!$G$335,Assumptions!$G$337,$C469),BB480))),0)</f>
        <v>0</v>
      </c>
      <c r="BD480" s="39">
        <f>+IFERROR(-ABS(IF(EDATE(_xlfn.XLOOKUP(1,$H467:$BE467,$H$4:$BE$4),12*Assumptions!$G$337+12)=BD$4,0,IF(BC467=1,PMT(Assumptions!$G$335,Assumptions!$G$337,$C469),BC480))),0)</f>
        <v>0</v>
      </c>
      <c r="BE480" s="39">
        <f>+IFERROR(-ABS(IF(EDATE(_xlfn.XLOOKUP(1,$H467:$BE467,$H$4:$BE$4),12*Assumptions!$G$337+12)=BE$4,0,IF(BD467=1,PMT(Assumptions!$G$335,Assumptions!$G$337,$C469),BD480))),0)</f>
        <v>0</v>
      </c>
      <c r="BF480" s="39">
        <f>+IFERROR(-ABS(IF(EDATE(_xlfn.XLOOKUP(1,$H467:$BE467,$H$4:$BE$4),12*Assumptions!$G$337+12)=BF$4,0,IF(BE467=1,PMT(Assumptions!$G$335,Assumptions!$G$337,$C469),BE480))),0)</f>
        <v>0</v>
      </c>
      <c r="BG480" s="39">
        <f>+IFERROR(-ABS(IF(EDATE(_xlfn.XLOOKUP(1,$H467:$BE467,$H$4:$BE$4),12*Assumptions!$G$337+12)=BG$4,0,IF(BF467=1,PMT(Assumptions!$G$335,Assumptions!$G$337,$C469),BF480))),0)</f>
        <v>0</v>
      </c>
      <c r="BH480" s="39">
        <f>+IFERROR(-ABS(IF(EDATE(_xlfn.XLOOKUP(1,$H467:$BE467,$H$4:$BE$4),12*Assumptions!$G$337+12)=BH$4,0,IF(BG467=1,PMT(Assumptions!$G$335,Assumptions!$G$337,$C469),BG480))),0)</f>
        <v>0</v>
      </c>
      <c r="BI480" s="39">
        <f>+IFERROR(-ABS(IF(EDATE(_xlfn.XLOOKUP(1,$H467:$BE467,$H$4:$BE$4),12*Assumptions!$G$337+12)=BI$4,0,IF(BH467=1,PMT(Assumptions!$G$335,Assumptions!$G$337,$C469),BH480))),0)</f>
        <v>0</v>
      </c>
      <c r="BJ480" s="39">
        <f>+IFERROR(-ABS(IF(EDATE(_xlfn.XLOOKUP(1,$H467:$BE467,$H$4:$BE$4),12*Assumptions!$G$337+12)=BJ$4,0,IF(BI467=1,PMT(Assumptions!$G$335,Assumptions!$G$337,$C469),BI480))),0)</f>
        <v>0</v>
      </c>
      <c r="BK480" s="39">
        <f>+IFERROR(-ABS(IF(EDATE(_xlfn.XLOOKUP(1,$H467:$BE467,$H$4:$BE$4),12*Assumptions!$G$337+12)=BK$4,0,IF(BJ467=1,PMT(Assumptions!$G$335,Assumptions!$G$337,$C469),BJ480))),0)</f>
        <v>0</v>
      </c>
      <c r="BL480" s="39">
        <f>+IFERROR(-ABS(IF(EDATE(_xlfn.XLOOKUP(1,$H467:$BE467,$H$4:$BE$4),12*Assumptions!$G$337+12)=BL$4,0,IF(BK467=1,PMT(Assumptions!$G$335,Assumptions!$G$337,$C469),BK480))),0)</f>
        <v>0</v>
      </c>
      <c r="BM480" s="39">
        <f>+IFERROR(-ABS(IF(EDATE(_xlfn.XLOOKUP(1,$H467:$BE467,$H$4:$BE$4),12*Assumptions!$G$337+12)=BM$4,0,IF(BL467=1,PMT(Assumptions!$G$335,Assumptions!$G$337,$C469),BL480))),0)</f>
        <v>0</v>
      </c>
      <c r="BN480" s="39">
        <f>+IFERROR(-ABS(IF(EDATE(_xlfn.XLOOKUP(1,$H467:$BE467,$H$4:$BE$4),12*Assumptions!$G$337+12)=BN$4,0,IF(BM467=1,PMT(Assumptions!$G$335,Assumptions!$G$337,$C469),BM480))),0)</f>
        <v>0</v>
      </c>
      <c r="BO480" s="39">
        <f>+IFERROR(-ABS(IF(EDATE(_xlfn.XLOOKUP(1,$H467:$BE467,$H$4:$BE$4),12*Assumptions!$G$337+12)=BO$4,0,IF(BN467=1,PMT(Assumptions!$G$335,Assumptions!$G$337,$C469),BN480))),0)</f>
        <v>0</v>
      </c>
      <c r="BP480" s="39">
        <f>+IFERROR(-ABS(IF(EDATE(_xlfn.XLOOKUP(1,$H467:$BE467,$H$4:$BE$4),12*Assumptions!$G$337+12)=BP$4,0,IF(BO467=1,PMT(Assumptions!$G$335,Assumptions!$G$337,$C469),BO480))),0)</f>
        <v>0</v>
      </c>
      <c r="BQ480" s="39">
        <f>+IFERROR(-ABS(IF(EDATE(_xlfn.XLOOKUP(1,$H467:$BE467,$H$4:$BE$4),12*Assumptions!$G$337+12)=BQ$4,0,IF(BP467=1,PMT(Assumptions!$G$335,Assumptions!$G$337,$C469),BP480))),0)</f>
        <v>0</v>
      </c>
      <c r="BR480" s="39">
        <f>+IFERROR(-ABS(IF(EDATE(_xlfn.XLOOKUP(1,$H467:$BE467,$H$4:$BE$4),12*Assumptions!$G$337+12)=BR$4,0,IF(BQ467=1,PMT(Assumptions!$G$335,Assumptions!$G$337,$C469),BQ480))),0)</f>
        <v>0</v>
      </c>
      <c r="BS480" s="39">
        <f>+IFERROR(-ABS(IF(EDATE(_xlfn.XLOOKUP(1,$H467:$BE467,$H$4:$BE$4),12*Assumptions!$G$337+12)=BS$4,0,IF(BR467=1,PMT(Assumptions!$G$335,Assumptions!$G$337,$C469),BR480))),0)</f>
        <v>0</v>
      </c>
      <c r="BT480" s="39">
        <f>+IFERROR(-ABS(IF(EDATE(_xlfn.XLOOKUP(1,$H467:$BE467,$H$4:$BE$4),12*Assumptions!$G$337+12)=BT$4,0,IF(BS467=1,PMT(Assumptions!$G$335,Assumptions!$G$337,$C469),BS480))),0)</f>
        <v>0</v>
      </c>
      <c r="BU480" s="39">
        <f>+IFERROR(-ABS(IF(EDATE(_xlfn.XLOOKUP(1,$H467:$BE467,$H$4:$BE$4),12*Assumptions!$G$337+12)=BU$4,0,IF(BT467=1,PMT(Assumptions!$G$335,Assumptions!$G$337,$C469),BT480))),0)</f>
        <v>0</v>
      </c>
      <c r="BV480" s="39">
        <f>+IFERROR(-ABS(IF(EDATE(_xlfn.XLOOKUP(1,$H467:$BE467,$H$4:$BE$4),12*Assumptions!$G$337+12)=BV$4,0,IF(BU467=1,PMT(Assumptions!$G$335,Assumptions!$G$337,$C469),BU480))),0)</f>
        <v>0</v>
      </c>
      <c r="BW480" s="39">
        <f>+IFERROR(-ABS(IF(EDATE(_xlfn.XLOOKUP(1,$H467:$BE467,$H$4:$BE$4),12*Assumptions!$G$337+12)=BW$4,0,IF(BV467=1,PMT(Assumptions!$G$335,Assumptions!$G$337,$C469),BV480))),0)</f>
        <v>0</v>
      </c>
      <c r="BX480" s="39">
        <f>+IFERROR(-ABS(IF(EDATE(_xlfn.XLOOKUP(1,$H467:$BE467,$H$4:$BE$4),12*Assumptions!$G$337+12)=BX$4,0,IF(BW467=1,PMT(Assumptions!$G$335,Assumptions!$G$337,$C469),BW480))),0)</f>
        <v>0</v>
      </c>
      <c r="BY480" s="39">
        <f>+IFERROR(-ABS(IF(EDATE(_xlfn.XLOOKUP(1,$H467:$BE467,$H$4:$BE$4),12*Assumptions!$G$337+12)=BY$4,0,IF(BX467=1,PMT(Assumptions!$G$335,Assumptions!$G$337,$C469),BX480))),0)</f>
        <v>0</v>
      </c>
    </row>
    <row r="481" spans="3:77" outlineLevel="1">
      <c r="E481" s="24" t="s">
        <v>519</v>
      </c>
      <c r="F481" s="80" t="str">
        <f>+Assumptions!$G$8</f>
        <v>USD</v>
      </c>
      <c r="G481" s="24"/>
      <c r="H481" s="39">
        <f>+IFERROR(-ABS(IF(EDATE(_xlfn.XLOOKUP(1,$H468:$BE468,$H$4:$BE$4),12*Assumptions!$G$337+12)=H$4,0,IF(G468=1,PMT(Assumptions!$G$335,Assumptions!$G$337,$C470),G481))),0)</f>
        <v>0</v>
      </c>
      <c r="I481" s="39">
        <f>+IFERROR(-ABS(IF(EDATE(_xlfn.XLOOKUP(1,$H468:$BE468,$H$4:$BE$4),12*Assumptions!$G$337+12)=I$4,0,IF(H468=1,PMT(Assumptions!$G$335,Assumptions!$G$337,$C470),H481))),0)</f>
        <v>0</v>
      </c>
      <c r="J481" s="39">
        <f>+IFERROR(-ABS(IF(EDATE(_xlfn.XLOOKUP(1,$H468:$BE468,$H$4:$BE$4),12*Assumptions!$G$337+12)=J$4,0,IF(I468=1,PMT(Assumptions!$G$335,Assumptions!$G$337,$C470),I481))),0)</f>
        <v>0</v>
      </c>
      <c r="K481" s="39">
        <f>+IFERROR(-ABS(IF(EDATE(_xlfn.XLOOKUP(1,$H468:$BE468,$H$4:$BE$4),12*Assumptions!$G$337+12)=K$4,0,IF(J468=1,PMT(Assumptions!$G$335,Assumptions!$G$337,$C470),J481))),0)</f>
        <v>0</v>
      </c>
      <c r="L481" s="39">
        <f>+IFERROR(-ABS(IF(EDATE(_xlfn.XLOOKUP(1,$H468:$BE468,$H$4:$BE$4),12*Assumptions!$G$337+12)=L$4,0,IF(K468=1,PMT(Assumptions!$G$335,Assumptions!$G$337,$C470),K481))),0)</f>
        <v>0</v>
      </c>
      <c r="M481" s="39">
        <f>+IFERROR(-ABS(IF(EDATE(_xlfn.XLOOKUP(1,$H468:$BE468,$H$4:$BE$4),12*Assumptions!$G$337+12)=M$4,0,IF(L468=1,PMT(Assumptions!$G$335,Assumptions!$G$337,$C470),L481))),0)</f>
        <v>0</v>
      </c>
      <c r="N481" s="39">
        <f>+IFERROR(-ABS(IF(EDATE(_xlfn.XLOOKUP(1,$H468:$BE468,$H$4:$BE$4),12*Assumptions!$G$337+12)=N$4,0,IF(M468=1,PMT(Assumptions!$G$335,Assumptions!$G$337,$C470),M481))),0)</f>
        <v>0</v>
      </c>
      <c r="O481" s="39">
        <f>+IFERROR(-ABS(IF(EDATE(_xlfn.XLOOKUP(1,$H468:$BE468,$H$4:$BE$4),12*Assumptions!$G$337+12)=O$4,0,IF(N468=1,PMT(Assumptions!$G$335,Assumptions!$G$337,$C470),N481))),0)</f>
        <v>0</v>
      </c>
      <c r="P481" s="39">
        <f>+IFERROR(-ABS(IF(EDATE(_xlfn.XLOOKUP(1,$H468:$BE468,$H$4:$BE$4),12*Assumptions!$G$337+12)=P$4,0,IF(O468=1,PMT(Assumptions!$G$335,Assumptions!$G$337,$C470),O481))),0)</f>
        <v>0</v>
      </c>
      <c r="Q481" s="39">
        <f>+IFERROR(-ABS(IF(EDATE(_xlfn.XLOOKUP(1,$H468:$BE468,$H$4:$BE$4),12*Assumptions!$G$337+12)=Q$4,0,IF(P468=1,PMT(Assumptions!$G$335,Assumptions!$G$337,$C470),P481))),0)</f>
        <v>0</v>
      </c>
      <c r="R481" s="39">
        <f>+IFERROR(-ABS(IF(EDATE(_xlfn.XLOOKUP(1,$H468:$BE468,$H$4:$BE$4),12*Assumptions!$G$337+12)=R$4,0,IF(Q468=1,PMT(Assumptions!$G$335,Assumptions!$G$337,$C470),Q481))),0)</f>
        <v>0</v>
      </c>
      <c r="S481" s="39">
        <f>+IFERROR(-ABS(IF(EDATE(_xlfn.XLOOKUP(1,$H468:$BE468,$H$4:$BE$4),12*Assumptions!$G$337+12)=S$4,0,IF(R468=1,PMT(Assumptions!$G$335,Assumptions!$G$337,$C470),R481))),0)</f>
        <v>0</v>
      </c>
      <c r="T481" s="39">
        <f>+IFERROR(-ABS(IF(EDATE(_xlfn.XLOOKUP(1,$H468:$BE468,$H$4:$BE$4),12*Assumptions!$G$337+12)=T$4,0,IF(S468=1,PMT(Assumptions!$G$335,Assumptions!$G$337,$C470),S481))),0)</f>
        <v>0</v>
      </c>
      <c r="U481" s="39">
        <f>+IFERROR(-ABS(IF(EDATE(_xlfn.XLOOKUP(1,$H468:$BE468,$H$4:$BE$4),12*Assumptions!$G$337+12)=U$4,0,IF(T468=1,PMT(Assumptions!$G$335,Assumptions!$G$337,$C470),T481))),0)</f>
        <v>0</v>
      </c>
      <c r="V481" s="39">
        <f>+IFERROR(-ABS(IF(EDATE(_xlfn.XLOOKUP(1,$H468:$BE468,$H$4:$BE$4),12*Assumptions!$G$337+12)=V$4,0,IF(U468=1,PMT(Assumptions!$G$335,Assumptions!$G$337,$C470),U481))),0)</f>
        <v>0</v>
      </c>
      <c r="W481" s="39">
        <f>+IFERROR(-ABS(IF(EDATE(_xlfn.XLOOKUP(1,$H468:$BE468,$H$4:$BE$4),12*Assumptions!$G$337+12)=W$4,0,IF(V468=1,PMT(Assumptions!$G$335,Assumptions!$G$337,$C470),V481))),0)</f>
        <v>0</v>
      </c>
      <c r="X481" s="39">
        <f>+IFERROR(-ABS(IF(EDATE(_xlfn.XLOOKUP(1,$H468:$BE468,$H$4:$BE$4),12*Assumptions!$G$337+12)=X$4,0,IF(W468=1,PMT(Assumptions!$G$335,Assumptions!$G$337,$C470),W481))),0)</f>
        <v>0</v>
      </c>
      <c r="Y481" s="39">
        <f>+IFERROR(-ABS(IF(EDATE(_xlfn.XLOOKUP(1,$H468:$BE468,$H$4:$BE$4),12*Assumptions!$G$337+12)=Y$4,0,IF(X468=1,PMT(Assumptions!$G$335,Assumptions!$G$337,$C470),X481))),0)</f>
        <v>0</v>
      </c>
      <c r="Z481" s="39">
        <f>+IFERROR(-ABS(IF(EDATE(_xlfn.XLOOKUP(1,$H468:$BE468,$H$4:$BE$4),12*Assumptions!$G$337+12)=Z$4,0,IF(Y468=1,PMT(Assumptions!$G$335,Assumptions!$G$337,$C470),Y481))),0)</f>
        <v>0</v>
      </c>
      <c r="AA481" s="39">
        <f>+IFERROR(-ABS(IF(EDATE(_xlfn.XLOOKUP(1,$H468:$BE468,$H$4:$BE$4),12*Assumptions!$G$337+12)=AA$4,0,IF(Z468=1,PMT(Assumptions!$G$335,Assumptions!$G$337,$C470),Z481))),0)</f>
        <v>0</v>
      </c>
      <c r="AB481" s="39">
        <f>+IFERROR(-ABS(IF(EDATE(_xlfn.XLOOKUP(1,$H468:$BE468,$H$4:$BE$4),12*Assumptions!$G$337+12)=AB$4,0,IF(AA468=1,PMT(Assumptions!$G$335,Assumptions!$G$337,$C470),AA481))),0)</f>
        <v>0</v>
      </c>
      <c r="AC481" s="39">
        <f>+IFERROR(-ABS(IF(EDATE(_xlfn.XLOOKUP(1,$H468:$BE468,$H$4:$BE$4),12*Assumptions!$G$337+12)=AC$4,0,IF(AB468=1,PMT(Assumptions!$G$335,Assumptions!$G$337,$C470),AB481))),0)</f>
        <v>0</v>
      </c>
      <c r="AD481" s="39">
        <f>+IFERROR(-ABS(IF(EDATE(_xlfn.XLOOKUP(1,$H468:$BE468,$H$4:$BE$4),12*Assumptions!$G$337+12)=AD$4,0,IF(AC468=1,PMT(Assumptions!$G$335,Assumptions!$G$337,$C470),AC481))),0)</f>
        <v>0</v>
      </c>
      <c r="AE481" s="39">
        <f>+IFERROR(-ABS(IF(EDATE(_xlfn.XLOOKUP(1,$H468:$BE468,$H$4:$BE$4),12*Assumptions!$G$337+12)=AE$4,0,IF(AD468=1,PMT(Assumptions!$G$335,Assumptions!$G$337,$C470),AD481))),0)</f>
        <v>0</v>
      </c>
      <c r="AF481" s="39">
        <f>+IFERROR(-ABS(IF(EDATE(_xlfn.XLOOKUP(1,$H468:$BE468,$H$4:$BE$4),12*Assumptions!$G$337+12)=AF$4,0,IF(AE468=1,PMT(Assumptions!$G$335,Assumptions!$G$337,$C470),AE481))),0)</f>
        <v>0</v>
      </c>
      <c r="AG481" s="39">
        <f>+IFERROR(-ABS(IF(EDATE(_xlfn.XLOOKUP(1,$H468:$BE468,$H$4:$BE$4),12*Assumptions!$G$337+12)=AG$4,0,IF(AF468=1,PMT(Assumptions!$G$335,Assumptions!$G$337,$C470),AF481))),0)</f>
        <v>0</v>
      </c>
      <c r="AH481" s="39">
        <f>+IFERROR(-ABS(IF(EDATE(_xlfn.XLOOKUP(1,$H468:$BE468,$H$4:$BE$4),12*Assumptions!$G$337+12)=AH$4,0,IF(AG468=1,PMT(Assumptions!$G$335,Assumptions!$G$337,$C470),AG481))),0)</f>
        <v>0</v>
      </c>
      <c r="AI481" s="39">
        <f>+IFERROR(-ABS(IF(EDATE(_xlfn.XLOOKUP(1,$H468:$BE468,$H$4:$BE$4),12*Assumptions!$G$337+12)=AI$4,0,IF(AH468=1,PMT(Assumptions!$G$335,Assumptions!$G$337,$C470),AH481))),0)</f>
        <v>0</v>
      </c>
      <c r="AJ481" s="39">
        <f>+IFERROR(-ABS(IF(EDATE(_xlfn.XLOOKUP(1,$H468:$BE468,$H$4:$BE$4),12*Assumptions!$G$337+12)=AJ$4,0,IF(AI468=1,PMT(Assumptions!$G$335,Assumptions!$G$337,$C470),AI481))),0)</f>
        <v>0</v>
      </c>
      <c r="AK481" s="39">
        <f>+IFERROR(-ABS(IF(EDATE(_xlfn.XLOOKUP(1,$H468:$BE468,$H$4:$BE$4),12*Assumptions!$G$337+12)=AK$4,0,IF(AJ468=1,PMT(Assumptions!$G$335,Assumptions!$G$337,$C470),AJ481))),0)</f>
        <v>0</v>
      </c>
      <c r="AL481" s="39">
        <f>+IFERROR(-ABS(IF(EDATE(_xlfn.XLOOKUP(1,$H468:$BE468,$H$4:$BE$4),12*Assumptions!$G$337+12)=AL$4,0,IF(AK468=1,PMT(Assumptions!$G$335,Assumptions!$G$337,$C470),AK481))),0)</f>
        <v>0</v>
      </c>
      <c r="AM481" s="39">
        <f>+IFERROR(-ABS(IF(EDATE(_xlfn.XLOOKUP(1,$H468:$BE468,$H$4:$BE$4),12*Assumptions!$G$337+12)=AM$4,0,IF(AL468=1,PMT(Assumptions!$G$335,Assumptions!$G$337,$C470),AL481))),0)</f>
        <v>0</v>
      </c>
      <c r="AN481" s="39">
        <f>+IFERROR(-ABS(IF(EDATE(_xlfn.XLOOKUP(1,$H468:$BE468,$H$4:$BE$4),12*Assumptions!$G$337+12)=AN$4,0,IF(AM468=1,PMT(Assumptions!$G$335,Assumptions!$G$337,$C470),AM481))),0)</f>
        <v>0</v>
      </c>
      <c r="AO481" s="39">
        <f>+IFERROR(-ABS(IF(EDATE(_xlfn.XLOOKUP(1,$H468:$BE468,$H$4:$BE$4),12*Assumptions!$G$337+12)=AO$4,0,IF(AN468=1,PMT(Assumptions!$G$335,Assumptions!$G$337,$C470),AN481))),0)</f>
        <v>0</v>
      </c>
      <c r="AP481" s="39">
        <f>+IFERROR(-ABS(IF(EDATE(_xlfn.XLOOKUP(1,$H468:$BE468,$H$4:$BE$4),12*Assumptions!$G$337+12)=AP$4,0,IF(AO468=1,PMT(Assumptions!$G$335,Assumptions!$G$337,$C470),AO481))),0)</f>
        <v>0</v>
      </c>
      <c r="AQ481" s="39">
        <f>+IFERROR(-ABS(IF(EDATE(_xlfn.XLOOKUP(1,$H468:$BE468,$H$4:$BE$4),12*Assumptions!$G$337+12)=AQ$4,0,IF(AP468=1,PMT(Assumptions!$G$335,Assumptions!$G$337,$C470),AP481))),0)</f>
        <v>0</v>
      </c>
      <c r="AR481" s="39">
        <f>+IFERROR(-ABS(IF(EDATE(_xlfn.XLOOKUP(1,$H468:$BE468,$H$4:$BE$4),12*Assumptions!$G$337+12)=AR$4,0,IF(AQ468=1,PMT(Assumptions!$G$335,Assumptions!$G$337,$C470),AQ481))),0)</f>
        <v>0</v>
      </c>
      <c r="AS481" s="39">
        <f>+IFERROR(-ABS(IF(EDATE(_xlfn.XLOOKUP(1,$H468:$BE468,$H$4:$BE$4),12*Assumptions!$G$337+12)=AS$4,0,IF(AR468=1,PMT(Assumptions!$G$335,Assumptions!$G$337,$C470),AR481))),0)</f>
        <v>0</v>
      </c>
      <c r="AT481" s="39">
        <f>+IFERROR(-ABS(IF(EDATE(_xlfn.XLOOKUP(1,$H468:$BE468,$H$4:$BE$4),12*Assumptions!$G$337+12)=AT$4,0,IF(AS468=1,PMT(Assumptions!$G$335,Assumptions!$G$337,$C470),AS481))),0)</f>
        <v>0</v>
      </c>
      <c r="AU481" s="39">
        <f>+IFERROR(-ABS(IF(EDATE(_xlfn.XLOOKUP(1,$H468:$BE468,$H$4:$BE$4),12*Assumptions!$G$337+12)=AU$4,0,IF(AT468=1,PMT(Assumptions!$G$335,Assumptions!$G$337,$C470),AT481))),0)</f>
        <v>0</v>
      </c>
      <c r="AV481" s="39">
        <f>+IFERROR(-ABS(IF(EDATE(_xlfn.XLOOKUP(1,$H468:$BE468,$H$4:$BE$4),12*Assumptions!$G$337+12)=AV$4,0,IF(AU468=1,PMT(Assumptions!$G$335,Assumptions!$G$337,$C470),AU481))),0)</f>
        <v>0</v>
      </c>
      <c r="AW481" s="39">
        <f>+IFERROR(-ABS(IF(EDATE(_xlfn.XLOOKUP(1,$H468:$BE468,$H$4:$BE$4),12*Assumptions!$G$337+12)=AW$4,0,IF(AV468=1,PMT(Assumptions!$G$335,Assumptions!$G$337,$C470),AV481))),0)</f>
        <v>0</v>
      </c>
      <c r="AX481" s="39">
        <f>+IFERROR(-ABS(IF(EDATE(_xlfn.XLOOKUP(1,$H468:$BE468,$H$4:$BE$4),12*Assumptions!$G$337+12)=AX$4,0,IF(AW468=1,PMT(Assumptions!$G$335,Assumptions!$G$337,$C470),AW481))),0)</f>
        <v>0</v>
      </c>
      <c r="AY481" s="39">
        <f>+IFERROR(-ABS(IF(EDATE(_xlfn.XLOOKUP(1,$H468:$BE468,$H$4:$BE$4),12*Assumptions!$G$337+12)=AY$4,0,IF(AX468=1,PMT(Assumptions!$G$335,Assumptions!$G$337,$C470),AX481))),0)</f>
        <v>0</v>
      </c>
      <c r="AZ481" s="39">
        <f>+IFERROR(-ABS(IF(EDATE(_xlfn.XLOOKUP(1,$H468:$BE468,$H$4:$BE$4),12*Assumptions!$G$337+12)=AZ$4,0,IF(AY468=1,PMT(Assumptions!$G$335,Assumptions!$G$337,$C470),AY481))),0)</f>
        <v>0</v>
      </c>
      <c r="BA481" s="39">
        <f>+IFERROR(-ABS(IF(EDATE(_xlfn.XLOOKUP(1,$H468:$BE468,$H$4:$BE$4),12*Assumptions!$G$337+12)=BA$4,0,IF(AZ468=1,PMT(Assumptions!$G$335,Assumptions!$G$337,$C470),AZ481))),0)</f>
        <v>0</v>
      </c>
      <c r="BB481" s="39">
        <f>+IFERROR(-ABS(IF(EDATE(_xlfn.XLOOKUP(1,$H468:$BE468,$H$4:$BE$4),12*Assumptions!$G$337+12)=BB$4,0,IF(BA468=1,PMT(Assumptions!$G$335,Assumptions!$G$337,$C470),BA481))),0)</f>
        <v>0</v>
      </c>
      <c r="BC481" s="39">
        <f>+IFERROR(-ABS(IF(EDATE(_xlfn.XLOOKUP(1,$H468:$BE468,$H$4:$BE$4),12*Assumptions!$G$337+12)=BC$4,0,IF(BB468=1,PMT(Assumptions!$G$335,Assumptions!$G$337,$C470),BB481))),0)</f>
        <v>0</v>
      </c>
      <c r="BD481" s="39">
        <f>+IFERROR(-ABS(IF(EDATE(_xlfn.XLOOKUP(1,$H468:$BE468,$H$4:$BE$4),12*Assumptions!$G$337+12)=BD$4,0,IF(BC468=1,PMT(Assumptions!$G$335,Assumptions!$G$337,$C470),BC481))),0)</f>
        <v>0</v>
      </c>
      <c r="BE481" s="39">
        <f>+IFERROR(-ABS(IF(EDATE(_xlfn.XLOOKUP(1,$H468:$BE468,$H$4:$BE$4),12*Assumptions!$G$337+12)=BE$4,0,IF(BD468=1,PMT(Assumptions!$G$335,Assumptions!$G$337,$C470),BD481))),0)</f>
        <v>0</v>
      </c>
      <c r="BF481" s="39">
        <f>+IFERROR(-ABS(IF(EDATE(_xlfn.XLOOKUP(1,$H468:$BE468,$H$4:$BE$4),12*Assumptions!$G$337+12)=BF$4,0,IF(BE468=1,PMT(Assumptions!$G$335,Assumptions!$G$337,$C470),BE481))),0)</f>
        <v>0</v>
      </c>
      <c r="BG481" s="39">
        <f>+IFERROR(-ABS(IF(EDATE(_xlfn.XLOOKUP(1,$H468:$BE468,$H$4:$BE$4),12*Assumptions!$G$337+12)=BG$4,0,IF(BF468=1,PMT(Assumptions!$G$335,Assumptions!$G$337,$C470),BF481))),0)</f>
        <v>0</v>
      </c>
      <c r="BH481" s="39">
        <f>+IFERROR(-ABS(IF(EDATE(_xlfn.XLOOKUP(1,$H468:$BE468,$H$4:$BE$4),12*Assumptions!$G$337+12)=BH$4,0,IF(BG468=1,PMT(Assumptions!$G$335,Assumptions!$G$337,$C470),BG481))),0)</f>
        <v>0</v>
      </c>
      <c r="BI481" s="39">
        <f>+IFERROR(-ABS(IF(EDATE(_xlfn.XLOOKUP(1,$H468:$BE468,$H$4:$BE$4),12*Assumptions!$G$337+12)=BI$4,0,IF(BH468=1,PMT(Assumptions!$G$335,Assumptions!$G$337,$C470),BH481))),0)</f>
        <v>0</v>
      </c>
      <c r="BJ481" s="39">
        <f>+IFERROR(-ABS(IF(EDATE(_xlfn.XLOOKUP(1,$H468:$BE468,$H$4:$BE$4),12*Assumptions!$G$337+12)=BJ$4,0,IF(BI468=1,PMT(Assumptions!$G$335,Assumptions!$G$337,$C470),BI481))),0)</f>
        <v>0</v>
      </c>
      <c r="BK481" s="39">
        <f>+IFERROR(-ABS(IF(EDATE(_xlfn.XLOOKUP(1,$H468:$BE468,$H$4:$BE$4),12*Assumptions!$G$337+12)=BK$4,0,IF(BJ468=1,PMT(Assumptions!$G$335,Assumptions!$G$337,$C470),BJ481))),0)</f>
        <v>0</v>
      </c>
      <c r="BL481" s="39">
        <f>+IFERROR(-ABS(IF(EDATE(_xlfn.XLOOKUP(1,$H468:$BE468,$H$4:$BE$4),12*Assumptions!$G$337+12)=BL$4,0,IF(BK468=1,PMT(Assumptions!$G$335,Assumptions!$G$337,$C470),BK481))),0)</f>
        <v>0</v>
      </c>
      <c r="BM481" s="39">
        <f>+IFERROR(-ABS(IF(EDATE(_xlfn.XLOOKUP(1,$H468:$BE468,$H$4:$BE$4),12*Assumptions!$G$337+12)=BM$4,0,IF(BL468=1,PMT(Assumptions!$G$335,Assumptions!$G$337,$C470),BL481))),0)</f>
        <v>0</v>
      </c>
      <c r="BN481" s="39">
        <f>+IFERROR(-ABS(IF(EDATE(_xlfn.XLOOKUP(1,$H468:$BE468,$H$4:$BE$4),12*Assumptions!$G$337+12)=BN$4,0,IF(BM468=1,PMT(Assumptions!$G$335,Assumptions!$G$337,$C470),BM481))),0)</f>
        <v>0</v>
      </c>
      <c r="BO481" s="39">
        <f>+IFERROR(-ABS(IF(EDATE(_xlfn.XLOOKUP(1,$H468:$BE468,$H$4:$BE$4),12*Assumptions!$G$337+12)=BO$4,0,IF(BN468=1,PMT(Assumptions!$G$335,Assumptions!$G$337,$C470),BN481))),0)</f>
        <v>0</v>
      </c>
      <c r="BP481" s="39">
        <f>+IFERROR(-ABS(IF(EDATE(_xlfn.XLOOKUP(1,$H468:$BE468,$H$4:$BE$4),12*Assumptions!$G$337+12)=BP$4,0,IF(BO468=1,PMT(Assumptions!$G$335,Assumptions!$G$337,$C470),BO481))),0)</f>
        <v>0</v>
      </c>
      <c r="BQ481" s="39">
        <f>+IFERROR(-ABS(IF(EDATE(_xlfn.XLOOKUP(1,$H468:$BE468,$H$4:$BE$4),12*Assumptions!$G$337+12)=BQ$4,0,IF(BP468=1,PMT(Assumptions!$G$335,Assumptions!$G$337,$C470),BP481))),0)</f>
        <v>0</v>
      </c>
      <c r="BR481" s="39">
        <f>+IFERROR(-ABS(IF(EDATE(_xlfn.XLOOKUP(1,$H468:$BE468,$H$4:$BE$4),12*Assumptions!$G$337+12)=BR$4,0,IF(BQ468=1,PMT(Assumptions!$G$335,Assumptions!$G$337,$C470),BQ481))),0)</f>
        <v>0</v>
      </c>
      <c r="BS481" s="39">
        <f>+IFERROR(-ABS(IF(EDATE(_xlfn.XLOOKUP(1,$H468:$BE468,$H$4:$BE$4),12*Assumptions!$G$337+12)=BS$4,0,IF(BR468=1,PMT(Assumptions!$G$335,Assumptions!$G$337,$C470),BR481))),0)</f>
        <v>0</v>
      </c>
      <c r="BT481" s="39">
        <f>+IFERROR(-ABS(IF(EDATE(_xlfn.XLOOKUP(1,$H468:$BE468,$H$4:$BE$4),12*Assumptions!$G$337+12)=BT$4,0,IF(BS468=1,PMT(Assumptions!$G$335,Assumptions!$G$337,$C470),BS481))),0)</f>
        <v>0</v>
      </c>
      <c r="BU481" s="39">
        <f>+IFERROR(-ABS(IF(EDATE(_xlfn.XLOOKUP(1,$H468:$BE468,$H$4:$BE$4),12*Assumptions!$G$337+12)=BU$4,0,IF(BT468=1,PMT(Assumptions!$G$335,Assumptions!$G$337,$C470),BT481))),0)</f>
        <v>0</v>
      </c>
      <c r="BV481" s="39">
        <f>+IFERROR(-ABS(IF(EDATE(_xlfn.XLOOKUP(1,$H468:$BE468,$H$4:$BE$4),12*Assumptions!$G$337+12)=BV$4,0,IF(BU468=1,PMT(Assumptions!$G$335,Assumptions!$G$337,$C470),BU481))),0)</f>
        <v>0</v>
      </c>
      <c r="BW481" s="39">
        <f>+IFERROR(-ABS(IF(EDATE(_xlfn.XLOOKUP(1,$H468:$BE468,$H$4:$BE$4),12*Assumptions!$G$337+12)=BW$4,0,IF(BV468=1,PMT(Assumptions!$G$335,Assumptions!$G$337,$C470),BV481))),0)</f>
        <v>0</v>
      </c>
      <c r="BX481" s="39">
        <f>+IFERROR(-ABS(IF(EDATE(_xlfn.XLOOKUP(1,$H468:$BE468,$H$4:$BE$4),12*Assumptions!$G$337+12)=BX$4,0,IF(BW468=1,PMT(Assumptions!$G$335,Assumptions!$G$337,$C470),BW481))),0)</f>
        <v>0</v>
      </c>
      <c r="BY481" s="39">
        <f>+IFERROR(-ABS(IF(EDATE(_xlfn.XLOOKUP(1,$H468:$BE468,$H$4:$BE$4),12*Assumptions!$G$337+12)=BY$4,0,IF(BX468=1,PMT(Assumptions!$G$335,Assumptions!$G$337,$C470),BX481))),0)</f>
        <v>0</v>
      </c>
    </row>
    <row r="482" spans="3:77" outlineLevel="1">
      <c r="E482" s="24" t="s">
        <v>520</v>
      </c>
      <c r="F482" s="80" t="str">
        <f>+Assumptions!$G$8</f>
        <v>USD</v>
      </c>
      <c r="G482" s="24"/>
      <c r="H482" s="39">
        <f>+IFERROR(-ABS(IF(EDATE(_xlfn.XLOOKUP(1,$H469:$BE469,$H$4:$BE$4),12*Assumptions!$G$337+12)=H$4,0,IF(G469=1,PMT(Assumptions!$G$335,Assumptions!$G$337,$C471),G482))),0)</f>
        <v>0</v>
      </c>
      <c r="I482" s="39">
        <f>+IFERROR(-ABS(IF(EDATE(_xlfn.XLOOKUP(1,$H469:$BE469,$H$4:$BE$4),12*Assumptions!$G$337+12)=I$4,0,IF(H469=1,PMT(Assumptions!$G$335,Assumptions!$G$337,$C471),H482))),0)</f>
        <v>0</v>
      </c>
      <c r="J482" s="39">
        <f>+IFERROR(-ABS(IF(EDATE(_xlfn.XLOOKUP(1,$H469:$BE469,$H$4:$BE$4),12*Assumptions!$G$337+12)=J$4,0,IF(I469=1,PMT(Assumptions!$G$335,Assumptions!$G$337,$C471),I482))),0)</f>
        <v>0</v>
      </c>
      <c r="K482" s="39">
        <f>+IFERROR(-ABS(IF(EDATE(_xlfn.XLOOKUP(1,$H469:$BE469,$H$4:$BE$4),12*Assumptions!$G$337+12)=K$4,0,IF(J469=1,PMT(Assumptions!$G$335,Assumptions!$G$337,$C471),J482))),0)</f>
        <v>0</v>
      </c>
      <c r="L482" s="39">
        <f>+IFERROR(-ABS(IF(EDATE(_xlfn.XLOOKUP(1,$H469:$BE469,$H$4:$BE$4),12*Assumptions!$G$337+12)=L$4,0,IF(K469=1,PMT(Assumptions!$G$335,Assumptions!$G$337,$C471),K482))),0)</f>
        <v>0</v>
      </c>
      <c r="M482" s="39">
        <f>+IFERROR(-ABS(IF(EDATE(_xlfn.XLOOKUP(1,$H469:$BE469,$H$4:$BE$4),12*Assumptions!$G$337+12)=M$4,0,IF(L469=1,PMT(Assumptions!$G$335,Assumptions!$G$337,$C471),L482))),0)</f>
        <v>0</v>
      </c>
      <c r="N482" s="39">
        <f>+IFERROR(-ABS(IF(EDATE(_xlfn.XLOOKUP(1,$H469:$BE469,$H$4:$BE$4),12*Assumptions!$G$337+12)=N$4,0,IF(M469=1,PMT(Assumptions!$G$335,Assumptions!$G$337,$C471),M482))),0)</f>
        <v>0</v>
      </c>
      <c r="O482" s="39">
        <f>+IFERROR(-ABS(IF(EDATE(_xlfn.XLOOKUP(1,$H469:$BE469,$H$4:$BE$4),12*Assumptions!$G$337+12)=O$4,0,IF(N469=1,PMT(Assumptions!$G$335,Assumptions!$G$337,$C471),N482))),0)</f>
        <v>0</v>
      </c>
      <c r="P482" s="39">
        <f>+IFERROR(-ABS(IF(EDATE(_xlfn.XLOOKUP(1,$H469:$BE469,$H$4:$BE$4),12*Assumptions!$G$337+12)=P$4,0,IF(O469=1,PMT(Assumptions!$G$335,Assumptions!$G$337,$C471),O482))),0)</f>
        <v>0</v>
      </c>
      <c r="Q482" s="39">
        <f>+IFERROR(-ABS(IF(EDATE(_xlfn.XLOOKUP(1,$H469:$BE469,$H$4:$BE$4),12*Assumptions!$G$337+12)=Q$4,0,IF(P469=1,PMT(Assumptions!$G$335,Assumptions!$G$337,$C471),P482))),0)</f>
        <v>0</v>
      </c>
      <c r="R482" s="39">
        <f>+IFERROR(-ABS(IF(EDATE(_xlfn.XLOOKUP(1,$H469:$BE469,$H$4:$BE$4),12*Assumptions!$G$337+12)=R$4,0,IF(Q469=1,PMT(Assumptions!$G$335,Assumptions!$G$337,$C471),Q482))),0)</f>
        <v>0</v>
      </c>
      <c r="S482" s="39">
        <f>+IFERROR(-ABS(IF(EDATE(_xlfn.XLOOKUP(1,$H469:$BE469,$H$4:$BE$4),12*Assumptions!$G$337+12)=S$4,0,IF(R469=1,PMT(Assumptions!$G$335,Assumptions!$G$337,$C471),R482))),0)</f>
        <v>0</v>
      </c>
      <c r="T482" s="39">
        <f>+IFERROR(-ABS(IF(EDATE(_xlfn.XLOOKUP(1,$H469:$BE469,$H$4:$BE$4),12*Assumptions!$G$337+12)=T$4,0,IF(S469=1,PMT(Assumptions!$G$335,Assumptions!$G$337,$C471),S482))),0)</f>
        <v>0</v>
      </c>
      <c r="U482" s="39">
        <f>+IFERROR(-ABS(IF(EDATE(_xlfn.XLOOKUP(1,$H469:$BE469,$H$4:$BE$4),12*Assumptions!$G$337+12)=U$4,0,IF(T469=1,PMT(Assumptions!$G$335,Assumptions!$G$337,$C471),T482))),0)</f>
        <v>0</v>
      </c>
      <c r="V482" s="39">
        <f>+IFERROR(-ABS(IF(EDATE(_xlfn.XLOOKUP(1,$H469:$BE469,$H$4:$BE$4),12*Assumptions!$G$337+12)=V$4,0,IF(U469=1,PMT(Assumptions!$G$335,Assumptions!$G$337,$C471),U482))),0)</f>
        <v>0</v>
      </c>
      <c r="W482" s="39">
        <f>+IFERROR(-ABS(IF(EDATE(_xlfn.XLOOKUP(1,$H469:$BE469,$H$4:$BE$4),12*Assumptions!$G$337+12)=W$4,0,IF(V469=1,PMT(Assumptions!$G$335,Assumptions!$G$337,$C471),V482))),0)</f>
        <v>0</v>
      </c>
      <c r="X482" s="39">
        <f>+IFERROR(-ABS(IF(EDATE(_xlfn.XLOOKUP(1,$H469:$BE469,$H$4:$BE$4),12*Assumptions!$G$337+12)=X$4,0,IF(W469=1,PMT(Assumptions!$G$335,Assumptions!$G$337,$C471),W482))),0)</f>
        <v>0</v>
      </c>
      <c r="Y482" s="39">
        <f>+IFERROR(-ABS(IF(EDATE(_xlfn.XLOOKUP(1,$H469:$BE469,$H$4:$BE$4),12*Assumptions!$G$337+12)=Y$4,0,IF(X469=1,PMT(Assumptions!$G$335,Assumptions!$G$337,$C471),X482))),0)</f>
        <v>0</v>
      </c>
      <c r="Z482" s="39">
        <f>+IFERROR(-ABS(IF(EDATE(_xlfn.XLOOKUP(1,$H469:$BE469,$H$4:$BE$4),12*Assumptions!$G$337+12)=Z$4,0,IF(Y469=1,PMT(Assumptions!$G$335,Assumptions!$G$337,$C471),Y482))),0)</f>
        <v>0</v>
      </c>
      <c r="AA482" s="39">
        <f>+IFERROR(-ABS(IF(EDATE(_xlfn.XLOOKUP(1,$H469:$BE469,$H$4:$BE$4),12*Assumptions!$G$337+12)=AA$4,0,IF(Z469=1,PMT(Assumptions!$G$335,Assumptions!$G$337,$C471),Z482))),0)</f>
        <v>0</v>
      </c>
      <c r="AB482" s="39">
        <f>+IFERROR(-ABS(IF(EDATE(_xlfn.XLOOKUP(1,$H469:$BE469,$H$4:$BE$4),12*Assumptions!$G$337+12)=AB$4,0,IF(AA469=1,PMT(Assumptions!$G$335,Assumptions!$G$337,$C471),AA482))),0)</f>
        <v>0</v>
      </c>
      <c r="AC482" s="39">
        <f>+IFERROR(-ABS(IF(EDATE(_xlfn.XLOOKUP(1,$H469:$BE469,$H$4:$BE$4),12*Assumptions!$G$337+12)=AC$4,0,IF(AB469=1,PMT(Assumptions!$G$335,Assumptions!$G$337,$C471),AB482))),0)</f>
        <v>0</v>
      </c>
      <c r="AD482" s="39">
        <f>+IFERROR(-ABS(IF(EDATE(_xlfn.XLOOKUP(1,$H469:$BE469,$H$4:$BE$4),12*Assumptions!$G$337+12)=AD$4,0,IF(AC469=1,PMT(Assumptions!$G$335,Assumptions!$G$337,$C471),AC482))),0)</f>
        <v>0</v>
      </c>
      <c r="AE482" s="39">
        <f>+IFERROR(-ABS(IF(EDATE(_xlfn.XLOOKUP(1,$H469:$BE469,$H$4:$BE$4),12*Assumptions!$G$337+12)=AE$4,0,IF(AD469=1,PMT(Assumptions!$G$335,Assumptions!$G$337,$C471),AD482))),0)</f>
        <v>0</v>
      </c>
      <c r="AF482" s="39">
        <f>+IFERROR(-ABS(IF(EDATE(_xlfn.XLOOKUP(1,$H469:$BE469,$H$4:$BE$4),12*Assumptions!$G$337+12)=AF$4,0,IF(AE469=1,PMT(Assumptions!$G$335,Assumptions!$G$337,$C471),AE482))),0)</f>
        <v>0</v>
      </c>
      <c r="AG482" s="39">
        <f>+IFERROR(-ABS(IF(EDATE(_xlfn.XLOOKUP(1,$H469:$BE469,$H$4:$BE$4),12*Assumptions!$G$337+12)=AG$4,0,IF(AF469=1,PMT(Assumptions!$G$335,Assumptions!$G$337,$C471),AF482))),0)</f>
        <v>0</v>
      </c>
      <c r="AH482" s="39">
        <f>+IFERROR(-ABS(IF(EDATE(_xlfn.XLOOKUP(1,$H469:$BE469,$H$4:$BE$4),12*Assumptions!$G$337+12)=AH$4,0,IF(AG469=1,PMT(Assumptions!$G$335,Assumptions!$G$337,$C471),AG482))),0)</f>
        <v>0</v>
      </c>
      <c r="AI482" s="39">
        <f>+IFERROR(-ABS(IF(EDATE(_xlfn.XLOOKUP(1,$H469:$BE469,$H$4:$BE$4),12*Assumptions!$G$337+12)=AI$4,0,IF(AH469=1,PMT(Assumptions!$G$335,Assumptions!$G$337,$C471),AH482))),0)</f>
        <v>0</v>
      </c>
      <c r="AJ482" s="39">
        <f>+IFERROR(-ABS(IF(EDATE(_xlfn.XLOOKUP(1,$H469:$BE469,$H$4:$BE$4),12*Assumptions!$G$337+12)=AJ$4,0,IF(AI469=1,PMT(Assumptions!$G$335,Assumptions!$G$337,$C471),AI482))),0)</f>
        <v>0</v>
      </c>
      <c r="AK482" s="39">
        <f>+IFERROR(-ABS(IF(EDATE(_xlfn.XLOOKUP(1,$H469:$BE469,$H$4:$BE$4),12*Assumptions!$G$337+12)=AK$4,0,IF(AJ469=1,PMT(Assumptions!$G$335,Assumptions!$G$337,$C471),AJ482))),0)</f>
        <v>0</v>
      </c>
      <c r="AL482" s="39">
        <f>+IFERROR(-ABS(IF(EDATE(_xlfn.XLOOKUP(1,$H469:$BE469,$H$4:$BE$4),12*Assumptions!$G$337+12)=AL$4,0,IF(AK469=1,PMT(Assumptions!$G$335,Assumptions!$G$337,$C471),AK482))),0)</f>
        <v>0</v>
      </c>
      <c r="AM482" s="39">
        <f>+IFERROR(-ABS(IF(EDATE(_xlfn.XLOOKUP(1,$H469:$BE469,$H$4:$BE$4),12*Assumptions!$G$337+12)=AM$4,0,IF(AL469=1,PMT(Assumptions!$G$335,Assumptions!$G$337,$C471),AL482))),0)</f>
        <v>0</v>
      </c>
      <c r="AN482" s="39">
        <f>+IFERROR(-ABS(IF(EDATE(_xlfn.XLOOKUP(1,$H469:$BE469,$H$4:$BE$4),12*Assumptions!$G$337+12)=AN$4,0,IF(AM469=1,PMT(Assumptions!$G$335,Assumptions!$G$337,$C471),AM482))),0)</f>
        <v>0</v>
      </c>
      <c r="AO482" s="39">
        <f>+IFERROR(-ABS(IF(EDATE(_xlfn.XLOOKUP(1,$H469:$BE469,$H$4:$BE$4),12*Assumptions!$G$337+12)=AO$4,0,IF(AN469=1,PMT(Assumptions!$G$335,Assumptions!$G$337,$C471),AN482))),0)</f>
        <v>0</v>
      </c>
      <c r="AP482" s="39">
        <f>+IFERROR(-ABS(IF(EDATE(_xlfn.XLOOKUP(1,$H469:$BE469,$H$4:$BE$4),12*Assumptions!$G$337+12)=AP$4,0,IF(AO469=1,PMT(Assumptions!$G$335,Assumptions!$G$337,$C471),AO482))),0)</f>
        <v>0</v>
      </c>
      <c r="AQ482" s="39">
        <f>+IFERROR(-ABS(IF(EDATE(_xlfn.XLOOKUP(1,$H469:$BE469,$H$4:$BE$4),12*Assumptions!$G$337+12)=AQ$4,0,IF(AP469=1,PMT(Assumptions!$G$335,Assumptions!$G$337,$C471),AP482))),0)</f>
        <v>0</v>
      </c>
      <c r="AR482" s="39">
        <f>+IFERROR(-ABS(IF(EDATE(_xlfn.XLOOKUP(1,$H469:$BE469,$H$4:$BE$4),12*Assumptions!$G$337+12)=AR$4,0,IF(AQ469=1,PMT(Assumptions!$G$335,Assumptions!$G$337,$C471),AQ482))),0)</f>
        <v>0</v>
      </c>
      <c r="AS482" s="39">
        <f>+IFERROR(-ABS(IF(EDATE(_xlfn.XLOOKUP(1,$H469:$BE469,$H$4:$BE$4),12*Assumptions!$G$337+12)=AS$4,0,IF(AR469=1,PMT(Assumptions!$G$335,Assumptions!$G$337,$C471),AR482))),0)</f>
        <v>0</v>
      </c>
      <c r="AT482" s="39">
        <f>+IFERROR(-ABS(IF(EDATE(_xlfn.XLOOKUP(1,$H469:$BE469,$H$4:$BE$4),12*Assumptions!$G$337+12)=AT$4,0,IF(AS469=1,PMT(Assumptions!$G$335,Assumptions!$G$337,$C471),AS482))),0)</f>
        <v>0</v>
      </c>
      <c r="AU482" s="39">
        <f>+IFERROR(-ABS(IF(EDATE(_xlfn.XLOOKUP(1,$H469:$BE469,$H$4:$BE$4),12*Assumptions!$G$337+12)=AU$4,0,IF(AT469=1,PMT(Assumptions!$G$335,Assumptions!$G$337,$C471),AT482))),0)</f>
        <v>0</v>
      </c>
      <c r="AV482" s="39">
        <f>+IFERROR(-ABS(IF(EDATE(_xlfn.XLOOKUP(1,$H469:$BE469,$H$4:$BE$4),12*Assumptions!$G$337+12)=AV$4,0,IF(AU469=1,PMT(Assumptions!$G$335,Assumptions!$G$337,$C471),AU482))),0)</f>
        <v>0</v>
      </c>
      <c r="AW482" s="39">
        <f>+IFERROR(-ABS(IF(EDATE(_xlfn.XLOOKUP(1,$H469:$BE469,$H$4:$BE$4),12*Assumptions!$G$337+12)=AW$4,0,IF(AV469=1,PMT(Assumptions!$G$335,Assumptions!$G$337,$C471),AV482))),0)</f>
        <v>0</v>
      </c>
      <c r="AX482" s="39">
        <f>+IFERROR(-ABS(IF(EDATE(_xlfn.XLOOKUP(1,$H469:$BE469,$H$4:$BE$4),12*Assumptions!$G$337+12)=AX$4,0,IF(AW469=1,PMT(Assumptions!$G$335,Assumptions!$G$337,$C471),AW482))),0)</f>
        <v>0</v>
      </c>
      <c r="AY482" s="39">
        <f>+IFERROR(-ABS(IF(EDATE(_xlfn.XLOOKUP(1,$H469:$BE469,$H$4:$BE$4),12*Assumptions!$G$337+12)=AY$4,0,IF(AX469=1,PMT(Assumptions!$G$335,Assumptions!$G$337,$C471),AX482))),0)</f>
        <v>0</v>
      </c>
      <c r="AZ482" s="39">
        <f>+IFERROR(-ABS(IF(EDATE(_xlfn.XLOOKUP(1,$H469:$BE469,$H$4:$BE$4),12*Assumptions!$G$337+12)=AZ$4,0,IF(AY469=1,PMT(Assumptions!$G$335,Assumptions!$G$337,$C471),AY482))),0)</f>
        <v>0</v>
      </c>
      <c r="BA482" s="39">
        <f>+IFERROR(-ABS(IF(EDATE(_xlfn.XLOOKUP(1,$H469:$BE469,$H$4:$BE$4),12*Assumptions!$G$337+12)=BA$4,0,IF(AZ469=1,PMT(Assumptions!$G$335,Assumptions!$G$337,$C471),AZ482))),0)</f>
        <v>0</v>
      </c>
      <c r="BB482" s="39">
        <f>+IFERROR(-ABS(IF(EDATE(_xlfn.XLOOKUP(1,$H469:$BE469,$H$4:$BE$4),12*Assumptions!$G$337+12)=BB$4,0,IF(BA469=1,PMT(Assumptions!$G$335,Assumptions!$G$337,$C471),BA482))),0)</f>
        <v>0</v>
      </c>
      <c r="BC482" s="39">
        <f>+IFERROR(-ABS(IF(EDATE(_xlfn.XLOOKUP(1,$H469:$BE469,$H$4:$BE$4),12*Assumptions!$G$337+12)=BC$4,0,IF(BB469=1,PMT(Assumptions!$G$335,Assumptions!$G$337,$C471),BB482))),0)</f>
        <v>0</v>
      </c>
      <c r="BD482" s="39">
        <f>+IFERROR(-ABS(IF(EDATE(_xlfn.XLOOKUP(1,$H469:$BE469,$H$4:$BE$4),12*Assumptions!$G$337+12)=BD$4,0,IF(BC469=1,PMT(Assumptions!$G$335,Assumptions!$G$337,$C471),BC482))),0)</f>
        <v>0</v>
      </c>
      <c r="BE482" s="39">
        <f>+IFERROR(-ABS(IF(EDATE(_xlfn.XLOOKUP(1,$H469:$BE469,$H$4:$BE$4),12*Assumptions!$G$337+12)=BE$4,0,IF(BD469=1,PMT(Assumptions!$G$335,Assumptions!$G$337,$C471),BD482))),0)</f>
        <v>0</v>
      </c>
      <c r="BF482" s="39">
        <f>+IFERROR(-ABS(IF(EDATE(_xlfn.XLOOKUP(1,$H469:$BE469,$H$4:$BE$4),12*Assumptions!$G$337+12)=BF$4,0,IF(BE469=1,PMT(Assumptions!$G$335,Assumptions!$G$337,$C471),BE482))),0)</f>
        <v>0</v>
      </c>
      <c r="BG482" s="39">
        <f>+IFERROR(-ABS(IF(EDATE(_xlfn.XLOOKUP(1,$H469:$BE469,$H$4:$BE$4),12*Assumptions!$G$337+12)=BG$4,0,IF(BF469=1,PMT(Assumptions!$G$335,Assumptions!$G$337,$C471),BF482))),0)</f>
        <v>0</v>
      </c>
      <c r="BH482" s="39">
        <f>+IFERROR(-ABS(IF(EDATE(_xlfn.XLOOKUP(1,$H469:$BE469,$H$4:$BE$4),12*Assumptions!$G$337+12)=BH$4,0,IF(BG469=1,PMT(Assumptions!$G$335,Assumptions!$G$337,$C471),BG482))),0)</f>
        <v>0</v>
      </c>
      <c r="BI482" s="39">
        <f>+IFERROR(-ABS(IF(EDATE(_xlfn.XLOOKUP(1,$H469:$BE469,$H$4:$BE$4),12*Assumptions!$G$337+12)=BI$4,0,IF(BH469=1,PMT(Assumptions!$G$335,Assumptions!$G$337,$C471),BH482))),0)</f>
        <v>0</v>
      </c>
      <c r="BJ482" s="39">
        <f>+IFERROR(-ABS(IF(EDATE(_xlfn.XLOOKUP(1,$H469:$BE469,$H$4:$BE$4),12*Assumptions!$G$337+12)=BJ$4,0,IF(BI469=1,PMT(Assumptions!$G$335,Assumptions!$G$337,$C471),BI482))),0)</f>
        <v>0</v>
      </c>
      <c r="BK482" s="39">
        <f>+IFERROR(-ABS(IF(EDATE(_xlfn.XLOOKUP(1,$H469:$BE469,$H$4:$BE$4),12*Assumptions!$G$337+12)=BK$4,0,IF(BJ469=1,PMT(Assumptions!$G$335,Assumptions!$G$337,$C471),BJ482))),0)</f>
        <v>0</v>
      </c>
      <c r="BL482" s="39">
        <f>+IFERROR(-ABS(IF(EDATE(_xlfn.XLOOKUP(1,$H469:$BE469,$H$4:$BE$4),12*Assumptions!$G$337+12)=BL$4,0,IF(BK469=1,PMT(Assumptions!$G$335,Assumptions!$G$337,$C471),BK482))),0)</f>
        <v>0</v>
      </c>
      <c r="BM482" s="39">
        <f>+IFERROR(-ABS(IF(EDATE(_xlfn.XLOOKUP(1,$H469:$BE469,$H$4:$BE$4),12*Assumptions!$G$337+12)=BM$4,0,IF(BL469=1,PMT(Assumptions!$G$335,Assumptions!$G$337,$C471),BL482))),0)</f>
        <v>0</v>
      </c>
      <c r="BN482" s="39">
        <f>+IFERROR(-ABS(IF(EDATE(_xlfn.XLOOKUP(1,$H469:$BE469,$H$4:$BE$4),12*Assumptions!$G$337+12)=BN$4,0,IF(BM469=1,PMT(Assumptions!$G$335,Assumptions!$G$337,$C471),BM482))),0)</f>
        <v>0</v>
      </c>
      <c r="BO482" s="39">
        <f>+IFERROR(-ABS(IF(EDATE(_xlfn.XLOOKUP(1,$H469:$BE469,$H$4:$BE$4),12*Assumptions!$G$337+12)=BO$4,0,IF(BN469=1,PMT(Assumptions!$G$335,Assumptions!$G$337,$C471),BN482))),0)</f>
        <v>0</v>
      </c>
      <c r="BP482" s="39">
        <f>+IFERROR(-ABS(IF(EDATE(_xlfn.XLOOKUP(1,$H469:$BE469,$H$4:$BE$4),12*Assumptions!$G$337+12)=BP$4,0,IF(BO469=1,PMT(Assumptions!$G$335,Assumptions!$G$337,$C471),BO482))),0)</f>
        <v>0</v>
      </c>
      <c r="BQ482" s="39">
        <f>+IFERROR(-ABS(IF(EDATE(_xlfn.XLOOKUP(1,$H469:$BE469,$H$4:$BE$4),12*Assumptions!$G$337+12)=BQ$4,0,IF(BP469=1,PMT(Assumptions!$G$335,Assumptions!$G$337,$C471),BP482))),0)</f>
        <v>0</v>
      </c>
      <c r="BR482" s="39">
        <f>+IFERROR(-ABS(IF(EDATE(_xlfn.XLOOKUP(1,$H469:$BE469,$H$4:$BE$4),12*Assumptions!$G$337+12)=BR$4,0,IF(BQ469=1,PMT(Assumptions!$G$335,Assumptions!$G$337,$C471),BQ482))),0)</f>
        <v>0</v>
      </c>
      <c r="BS482" s="39">
        <f>+IFERROR(-ABS(IF(EDATE(_xlfn.XLOOKUP(1,$H469:$BE469,$H$4:$BE$4),12*Assumptions!$G$337+12)=BS$4,0,IF(BR469=1,PMT(Assumptions!$G$335,Assumptions!$G$337,$C471),BR482))),0)</f>
        <v>0</v>
      </c>
      <c r="BT482" s="39">
        <f>+IFERROR(-ABS(IF(EDATE(_xlfn.XLOOKUP(1,$H469:$BE469,$H$4:$BE$4),12*Assumptions!$G$337+12)=BT$4,0,IF(BS469=1,PMT(Assumptions!$G$335,Assumptions!$G$337,$C471),BS482))),0)</f>
        <v>0</v>
      </c>
      <c r="BU482" s="39">
        <f>+IFERROR(-ABS(IF(EDATE(_xlfn.XLOOKUP(1,$H469:$BE469,$H$4:$BE$4),12*Assumptions!$G$337+12)=BU$4,0,IF(BT469=1,PMT(Assumptions!$G$335,Assumptions!$G$337,$C471),BT482))),0)</f>
        <v>0</v>
      </c>
      <c r="BV482" s="39">
        <f>+IFERROR(-ABS(IF(EDATE(_xlfn.XLOOKUP(1,$H469:$BE469,$H$4:$BE$4),12*Assumptions!$G$337+12)=BV$4,0,IF(BU469=1,PMT(Assumptions!$G$335,Assumptions!$G$337,$C471),BU482))),0)</f>
        <v>0</v>
      </c>
      <c r="BW482" s="39">
        <f>+IFERROR(-ABS(IF(EDATE(_xlfn.XLOOKUP(1,$H469:$BE469,$H$4:$BE$4),12*Assumptions!$G$337+12)=BW$4,0,IF(BV469=1,PMT(Assumptions!$G$335,Assumptions!$G$337,$C471),BV482))),0)</f>
        <v>0</v>
      </c>
      <c r="BX482" s="39">
        <f>+IFERROR(-ABS(IF(EDATE(_xlfn.XLOOKUP(1,$H469:$BE469,$H$4:$BE$4),12*Assumptions!$G$337+12)=BX$4,0,IF(BW469=1,PMT(Assumptions!$G$335,Assumptions!$G$337,$C471),BW482))),0)</f>
        <v>0</v>
      </c>
      <c r="BY482" s="39">
        <f>+IFERROR(-ABS(IF(EDATE(_xlfn.XLOOKUP(1,$H469:$BE469,$H$4:$BE$4),12*Assumptions!$G$337+12)=BY$4,0,IF(BX469=1,PMT(Assumptions!$G$335,Assumptions!$G$337,$C471),BX482))),0)</f>
        <v>0</v>
      </c>
    </row>
    <row r="483" spans="3:77" outlineLevel="1">
      <c r="E483" s="24" t="s">
        <v>521</v>
      </c>
      <c r="F483" s="80" t="str">
        <f>+Assumptions!$G$8</f>
        <v>USD</v>
      </c>
      <c r="G483" s="24"/>
      <c r="H483" s="39">
        <f>+IFERROR(-ABS(IF(EDATE(_xlfn.XLOOKUP(1,$H470:$BE470,$H$4:$BE$4),12*Assumptions!$G$337+12)=H$4,0,IF(G470=1,PMT(Assumptions!$G$335,Assumptions!$G$337,$C472),G483))),0)</f>
        <v>0</v>
      </c>
      <c r="I483" s="39">
        <f>+IFERROR(-ABS(IF(EDATE(_xlfn.XLOOKUP(1,$H470:$BE470,$H$4:$BE$4),12*Assumptions!$G$337+12)=I$4,0,IF(H470=1,PMT(Assumptions!$G$335,Assumptions!$G$337,$C472),H483))),0)</f>
        <v>0</v>
      </c>
      <c r="J483" s="39">
        <f>+IFERROR(-ABS(IF(EDATE(_xlfn.XLOOKUP(1,$H470:$BE470,$H$4:$BE$4),12*Assumptions!$G$337+12)=J$4,0,IF(I470=1,PMT(Assumptions!$G$335,Assumptions!$G$337,$C472),I483))),0)</f>
        <v>0</v>
      </c>
      <c r="K483" s="39">
        <f>+IFERROR(-ABS(IF(EDATE(_xlfn.XLOOKUP(1,$H470:$BE470,$H$4:$BE$4),12*Assumptions!$G$337+12)=K$4,0,IF(J470=1,PMT(Assumptions!$G$335,Assumptions!$G$337,$C472),J483))),0)</f>
        <v>0</v>
      </c>
      <c r="L483" s="39">
        <f>+IFERROR(-ABS(IF(EDATE(_xlfn.XLOOKUP(1,$H470:$BE470,$H$4:$BE$4),12*Assumptions!$G$337+12)=L$4,0,IF(K470=1,PMT(Assumptions!$G$335,Assumptions!$G$337,$C472),K483))),0)</f>
        <v>0</v>
      </c>
      <c r="M483" s="39">
        <f>+IFERROR(-ABS(IF(EDATE(_xlfn.XLOOKUP(1,$H470:$BE470,$H$4:$BE$4),12*Assumptions!$G$337+12)=M$4,0,IF(L470=1,PMT(Assumptions!$G$335,Assumptions!$G$337,$C472),L483))),0)</f>
        <v>0</v>
      </c>
      <c r="N483" s="39">
        <f>+IFERROR(-ABS(IF(EDATE(_xlfn.XLOOKUP(1,$H470:$BE470,$H$4:$BE$4),12*Assumptions!$G$337+12)=N$4,0,IF(M470=1,PMT(Assumptions!$G$335,Assumptions!$G$337,$C472),M483))),0)</f>
        <v>0</v>
      </c>
      <c r="O483" s="39">
        <f>+IFERROR(-ABS(IF(EDATE(_xlfn.XLOOKUP(1,$H470:$BE470,$H$4:$BE$4),12*Assumptions!$G$337+12)=O$4,0,IF(N470=1,PMT(Assumptions!$G$335,Assumptions!$G$337,$C472),N483))),0)</f>
        <v>0</v>
      </c>
      <c r="P483" s="39">
        <f>+IFERROR(-ABS(IF(EDATE(_xlfn.XLOOKUP(1,$H470:$BE470,$H$4:$BE$4),12*Assumptions!$G$337+12)=P$4,0,IF(O470=1,PMT(Assumptions!$G$335,Assumptions!$G$337,$C472),O483))),0)</f>
        <v>0</v>
      </c>
      <c r="Q483" s="39">
        <f>+IFERROR(-ABS(IF(EDATE(_xlfn.XLOOKUP(1,$H470:$BE470,$H$4:$BE$4),12*Assumptions!$G$337+12)=Q$4,0,IF(P470=1,PMT(Assumptions!$G$335,Assumptions!$G$337,$C472),P483))),0)</f>
        <v>0</v>
      </c>
      <c r="R483" s="39">
        <f>+IFERROR(-ABS(IF(EDATE(_xlfn.XLOOKUP(1,$H470:$BE470,$H$4:$BE$4),12*Assumptions!$G$337+12)=R$4,0,IF(Q470=1,PMT(Assumptions!$G$335,Assumptions!$G$337,$C472),Q483))),0)</f>
        <v>0</v>
      </c>
      <c r="S483" s="39">
        <f>+IFERROR(-ABS(IF(EDATE(_xlfn.XLOOKUP(1,$H470:$BE470,$H$4:$BE$4),12*Assumptions!$G$337+12)=S$4,0,IF(R470=1,PMT(Assumptions!$G$335,Assumptions!$G$337,$C472),R483))),0)</f>
        <v>0</v>
      </c>
      <c r="T483" s="39">
        <f>+IFERROR(-ABS(IF(EDATE(_xlfn.XLOOKUP(1,$H470:$BE470,$H$4:$BE$4),12*Assumptions!$G$337+12)=T$4,0,IF(S470=1,PMT(Assumptions!$G$335,Assumptions!$G$337,$C472),S483))),0)</f>
        <v>0</v>
      </c>
      <c r="U483" s="39">
        <f>+IFERROR(-ABS(IF(EDATE(_xlfn.XLOOKUP(1,$H470:$BE470,$H$4:$BE$4),12*Assumptions!$G$337+12)=U$4,0,IF(T470=1,PMT(Assumptions!$G$335,Assumptions!$G$337,$C472),T483))),0)</f>
        <v>0</v>
      </c>
      <c r="V483" s="39">
        <f>+IFERROR(-ABS(IF(EDATE(_xlfn.XLOOKUP(1,$H470:$BE470,$H$4:$BE$4),12*Assumptions!$G$337+12)=V$4,0,IF(U470=1,PMT(Assumptions!$G$335,Assumptions!$G$337,$C472),U483))),0)</f>
        <v>0</v>
      </c>
      <c r="W483" s="39">
        <f>+IFERROR(-ABS(IF(EDATE(_xlfn.XLOOKUP(1,$H470:$BE470,$H$4:$BE$4),12*Assumptions!$G$337+12)=W$4,0,IF(V470=1,PMT(Assumptions!$G$335,Assumptions!$G$337,$C472),V483))),0)</f>
        <v>0</v>
      </c>
      <c r="X483" s="39">
        <f>+IFERROR(-ABS(IF(EDATE(_xlfn.XLOOKUP(1,$H470:$BE470,$H$4:$BE$4),12*Assumptions!$G$337+12)=X$4,0,IF(W470=1,PMT(Assumptions!$G$335,Assumptions!$G$337,$C472),W483))),0)</f>
        <v>0</v>
      </c>
      <c r="Y483" s="39">
        <f>+IFERROR(-ABS(IF(EDATE(_xlfn.XLOOKUP(1,$H470:$BE470,$H$4:$BE$4),12*Assumptions!$G$337+12)=Y$4,0,IF(X470=1,PMT(Assumptions!$G$335,Assumptions!$G$337,$C472),X483))),0)</f>
        <v>0</v>
      </c>
      <c r="Z483" s="39">
        <f>+IFERROR(-ABS(IF(EDATE(_xlfn.XLOOKUP(1,$H470:$BE470,$H$4:$BE$4),12*Assumptions!$G$337+12)=Z$4,0,IF(Y470=1,PMT(Assumptions!$G$335,Assumptions!$G$337,$C472),Y483))),0)</f>
        <v>0</v>
      </c>
      <c r="AA483" s="39">
        <f>+IFERROR(-ABS(IF(EDATE(_xlfn.XLOOKUP(1,$H470:$BE470,$H$4:$BE$4),12*Assumptions!$G$337+12)=AA$4,0,IF(Z470=1,PMT(Assumptions!$G$335,Assumptions!$G$337,$C472),Z483))),0)</f>
        <v>0</v>
      </c>
      <c r="AB483" s="39">
        <f>+IFERROR(-ABS(IF(EDATE(_xlfn.XLOOKUP(1,$H470:$BE470,$H$4:$BE$4),12*Assumptions!$G$337+12)=AB$4,0,IF(AA470=1,PMT(Assumptions!$G$335,Assumptions!$G$337,$C472),AA483))),0)</f>
        <v>0</v>
      </c>
      <c r="AC483" s="39">
        <f>+IFERROR(-ABS(IF(EDATE(_xlfn.XLOOKUP(1,$H470:$BE470,$H$4:$BE$4),12*Assumptions!$G$337+12)=AC$4,0,IF(AB470=1,PMT(Assumptions!$G$335,Assumptions!$G$337,$C472),AB483))),0)</f>
        <v>0</v>
      </c>
      <c r="AD483" s="39">
        <f>+IFERROR(-ABS(IF(EDATE(_xlfn.XLOOKUP(1,$H470:$BE470,$H$4:$BE$4),12*Assumptions!$G$337+12)=AD$4,0,IF(AC470=1,PMT(Assumptions!$G$335,Assumptions!$G$337,$C472),AC483))),0)</f>
        <v>0</v>
      </c>
      <c r="AE483" s="39">
        <f>+IFERROR(-ABS(IF(EDATE(_xlfn.XLOOKUP(1,$H470:$BE470,$H$4:$BE$4),12*Assumptions!$G$337+12)=AE$4,0,IF(AD470=1,PMT(Assumptions!$G$335,Assumptions!$G$337,$C472),AD483))),0)</f>
        <v>0</v>
      </c>
      <c r="AF483" s="39">
        <f>+IFERROR(-ABS(IF(EDATE(_xlfn.XLOOKUP(1,$H470:$BE470,$H$4:$BE$4),12*Assumptions!$G$337+12)=AF$4,0,IF(AE470=1,PMT(Assumptions!$G$335,Assumptions!$G$337,$C472),AE483))),0)</f>
        <v>0</v>
      </c>
      <c r="AG483" s="39">
        <f>+IFERROR(-ABS(IF(EDATE(_xlfn.XLOOKUP(1,$H470:$BE470,$H$4:$BE$4),12*Assumptions!$G$337+12)=AG$4,0,IF(AF470=1,PMT(Assumptions!$G$335,Assumptions!$G$337,$C472),AF483))),0)</f>
        <v>0</v>
      </c>
      <c r="AH483" s="39">
        <f>+IFERROR(-ABS(IF(EDATE(_xlfn.XLOOKUP(1,$H470:$BE470,$H$4:$BE$4),12*Assumptions!$G$337+12)=AH$4,0,IF(AG470=1,PMT(Assumptions!$G$335,Assumptions!$G$337,$C472),AG483))),0)</f>
        <v>0</v>
      </c>
      <c r="AI483" s="39">
        <f>+IFERROR(-ABS(IF(EDATE(_xlfn.XLOOKUP(1,$H470:$BE470,$H$4:$BE$4),12*Assumptions!$G$337+12)=AI$4,0,IF(AH470=1,PMT(Assumptions!$G$335,Assumptions!$G$337,$C472),AH483))),0)</f>
        <v>0</v>
      </c>
      <c r="AJ483" s="39">
        <f>+IFERROR(-ABS(IF(EDATE(_xlfn.XLOOKUP(1,$H470:$BE470,$H$4:$BE$4),12*Assumptions!$G$337+12)=AJ$4,0,IF(AI470=1,PMT(Assumptions!$G$335,Assumptions!$G$337,$C472),AI483))),0)</f>
        <v>0</v>
      </c>
      <c r="AK483" s="39">
        <f>+IFERROR(-ABS(IF(EDATE(_xlfn.XLOOKUP(1,$H470:$BE470,$H$4:$BE$4),12*Assumptions!$G$337+12)=AK$4,0,IF(AJ470=1,PMT(Assumptions!$G$335,Assumptions!$G$337,$C472),AJ483))),0)</f>
        <v>0</v>
      </c>
      <c r="AL483" s="39">
        <f>+IFERROR(-ABS(IF(EDATE(_xlfn.XLOOKUP(1,$H470:$BE470,$H$4:$BE$4),12*Assumptions!$G$337+12)=AL$4,0,IF(AK470=1,PMT(Assumptions!$G$335,Assumptions!$G$337,$C472),AK483))),0)</f>
        <v>0</v>
      </c>
      <c r="AM483" s="39">
        <f>+IFERROR(-ABS(IF(EDATE(_xlfn.XLOOKUP(1,$H470:$BE470,$H$4:$BE$4),12*Assumptions!$G$337+12)=AM$4,0,IF(AL470=1,PMT(Assumptions!$G$335,Assumptions!$G$337,$C472),AL483))),0)</f>
        <v>0</v>
      </c>
      <c r="AN483" s="39">
        <f>+IFERROR(-ABS(IF(EDATE(_xlfn.XLOOKUP(1,$H470:$BE470,$H$4:$BE$4),12*Assumptions!$G$337+12)=AN$4,0,IF(AM470=1,PMT(Assumptions!$G$335,Assumptions!$G$337,$C472),AM483))),0)</f>
        <v>0</v>
      </c>
      <c r="AO483" s="39">
        <f>+IFERROR(-ABS(IF(EDATE(_xlfn.XLOOKUP(1,$H470:$BE470,$H$4:$BE$4),12*Assumptions!$G$337+12)=AO$4,0,IF(AN470=1,PMT(Assumptions!$G$335,Assumptions!$G$337,$C472),AN483))),0)</f>
        <v>0</v>
      </c>
      <c r="AP483" s="39">
        <f>+IFERROR(-ABS(IF(EDATE(_xlfn.XLOOKUP(1,$H470:$BE470,$H$4:$BE$4),12*Assumptions!$G$337+12)=AP$4,0,IF(AO470=1,PMT(Assumptions!$G$335,Assumptions!$G$337,$C472),AO483))),0)</f>
        <v>0</v>
      </c>
      <c r="AQ483" s="39">
        <f>+IFERROR(-ABS(IF(EDATE(_xlfn.XLOOKUP(1,$H470:$BE470,$H$4:$BE$4),12*Assumptions!$G$337+12)=AQ$4,0,IF(AP470=1,PMT(Assumptions!$G$335,Assumptions!$G$337,$C472),AP483))),0)</f>
        <v>0</v>
      </c>
      <c r="AR483" s="39">
        <f>+IFERROR(-ABS(IF(EDATE(_xlfn.XLOOKUP(1,$H470:$BE470,$H$4:$BE$4),12*Assumptions!$G$337+12)=AR$4,0,IF(AQ470=1,PMT(Assumptions!$G$335,Assumptions!$G$337,$C472),AQ483))),0)</f>
        <v>0</v>
      </c>
      <c r="AS483" s="39">
        <f>+IFERROR(-ABS(IF(EDATE(_xlfn.XLOOKUP(1,$H470:$BE470,$H$4:$BE$4),12*Assumptions!$G$337+12)=AS$4,0,IF(AR470=1,PMT(Assumptions!$G$335,Assumptions!$G$337,$C472),AR483))),0)</f>
        <v>0</v>
      </c>
      <c r="AT483" s="39">
        <f>+IFERROR(-ABS(IF(EDATE(_xlfn.XLOOKUP(1,$H470:$BE470,$H$4:$BE$4),12*Assumptions!$G$337+12)=AT$4,0,IF(AS470=1,PMT(Assumptions!$G$335,Assumptions!$G$337,$C472),AS483))),0)</f>
        <v>0</v>
      </c>
      <c r="AU483" s="39">
        <f>+IFERROR(-ABS(IF(EDATE(_xlfn.XLOOKUP(1,$H470:$BE470,$H$4:$BE$4),12*Assumptions!$G$337+12)=AU$4,0,IF(AT470=1,PMT(Assumptions!$G$335,Assumptions!$G$337,$C472),AT483))),0)</f>
        <v>0</v>
      </c>
      <c r="AV483" s="39">
        <f>+IFERROR(-ABS(IF(EDATE(_xlfn.XLOOKUP(1,$H470:$BE470,$H$4:$BE$4),12*Assumptions!$G$337+12)=AV$4,0,IF(AU470=1,PMT(Assumptions!$G$335,Assumptions!$G$337,$C472),AU483))),0)</f>
        <v>0</v>
      </c>
      <c r="AW483" s="39">
        <f>+IFERROR(-ABS(IF(EDATE(_xlfn.XLOOKUP(1,$H470:$BE470,$H$4:$BE$4),12*Assumptions!$G$337+12)=AW$4,0,IF(AV470=1,PMT(Assumptions!$G$335,Assumptions!$G$337,$C472),AV483))),0)</f>
        <v>0</v>
      </c>
      <c r="AX483" s="39">
        <f>+IFERROR(-ABS(IF(EDATE(_xlfn.XLOOKUP(1,$H470:$BE470,$H$4:$BE$4),12*Assumptions!$G$337+12)=AX$4,0,IF(AW470=1,PMT(Assumptions!$G$335,Assumptions!$G$337,$C472),AW483))),0)</f>
        <v>0</v>
      </c>
      <c r="AY483" s="39">
        <f>+IFERROR(-ABS(IF(EDATE(_xlfn.XLOOKUP(1,$H470:$BE470,$H$4:$BE$4),12*Assumptions!$G$337+12)=AY$4,0,IF(AX470=1,PMT(Assumptions!$G$335,Assumptions!$G$337,$C472),AX483))),0)</f>
        <v>0</v>
      </c>
      <c r="AZ483" s="39">
        <f>+IFERROR(-ABS(IF(EDATE(_xlfn.XLOOKUP(1,$H470:$BE470,$H$4:$BE$4),12*Assumptions!$G$337+12)=AZ$4,0,IF(AY470=1,PMT(Assumptions!$G$335,Assumptions!$G$337,$C472),AY483))),0)</f>
        <v>0</v>
      </c>
      <c r="BA483" s="39">
        <f>+IFERROR(-ABS(IF(EDATE(_xlfn.XLOOKUP(1,$H470:$BE470,$H$4:$BE$4),12*Assumptions!$G$337+12)=BA$4,0,IF(AZ470=1,PMT(Assumptions!$G$335,Assumptions!$G$337,$C472),AZ483))),0)</f>
        <v>0</v>
      </c>
      <c r="BB483" s="39">
        <f>+IFERROR(-ABS(IF(EDATE(_xlfn.XLOOKUP(1,$H470:$BE470,$H$4:$BE$4),12*Assumptions!$G$337+12)=BB$4,0,IF(BA470=1,PMT(Assumptions!$G$335,Assumptions!$G$337,$C472),BA483))),0)</f>
        <v>0</v>
      </c>
      <c r="BC483" s="39">
        <f>+IFERROR(-ABS(IF(EDATE(_xlfn.XLOOKUP(1,$H470:$BE470,$H$4:$BE$4),12*Assumptions!$G$337+12)=BC$4,0,IF(BB470=1,PMT(Assumptions!$G$335,Assumptions!$G$337,$C472),BB483))),0)</f>
        <v>0</v>
      </c>
      <c r="BD483" s="39">
        <f>+IFERROR(-ABS(IF(EDATE(_xlfn.XLOOKUP(1,$H470:$BE470,$H$4:$BE$4),12*Assumptions!$G$337+12)=BD$4,0,IF(BC470=1,PMT(Assumptions!$G$335,Assumptions!$G$337,$C472),BC483))),0)</f>
        <v>0</v>
      </c>
      <c r="BE483" s="39">
        <f>+IFERROR(-ABS(IF(EDATE(_xlfn.XLOOKUP(1,$H470:$BE470,$H$4:$BE$4),12*Assumptions!$G$337+12)=BE$4,0,IF(BD470=1,PMT(Assumptions!$G$335,Assumptions!$G$337,$C472),BD483))),0)</f>
        <v>0</v>
      </c>
      <c r="BF483" s="39">
        <f>+IFERROR(-ABS(IF(EDATE(_xlfn.XLOOKUP(1,$H470:$BE470,$H$4:$BE$4),12*Assumptions!$G$337+12)=BF$4,0,IF(BE470=1,PMT(Assumptions!$G$335,Assumptions!$G$337,$C472),BE483))),0)</f>
        <v>0</v>
      </c>
      <c r="BG483" s="39">
        <f>+IFERROR(-ABS(IF(EDATE(_xlfn.XLOOKUP(1,$H470:$BE470,$H$4:$BE$4),12*Assumptions!$G$337+12)=BG$4,0,IF(BF470=1,PMT(Assumptions!$G$335,Assumptions!$G$337,$C472),BF483))),0)</f>
        <v>0</v>
      </c>
      <c r="BH483" s="39">
        <f>+IFERROR(-ABS(IF(EDATE(_xlfn.XLOOKUP(1,$H470:$BE470,$H$4:$BE$4),12*Assumptions!$G$337+12)=BH$4,0,IF(BG470=1,PMT(Assumptions!$G$335,Assumptions!$G$337,$C472),BG483))),0)</f>
        <v>0</v>
      </c>
      <c r="BI483" s="39">
        <f>+IFERROR(-ABS(IF(EDATE(_xlfn.XLOOKUP(1,$H470:$BE470,$H$4:$BE$4),12*Assumptions!$G$337+12)=BI$4,0,IF(BH470=1,PMT(Assumptions!$G$335,Assumptions!$G$337,$C472),BH483))),0)</f>
        <v>0</v>
      </c>
      <c r="BJ483" s="39">
        <f>+IFERROR(-ABS(IF(EDATE(_xlfn.XLOOKUP(1,$H470:$BE470,$H$4:$BE$4),12*Assumptions!$G$337+12)=BJ$4,0,IF(BI470=1,PMT(Assumptions!$G$335,Assumptions!$G$337,$C472),BI483))),0)</f>
        <v>0</v>
      </c>
      <c r="BK483" s="39">
        <f>+IFERROR(-ABS(IF(EDATE(_xlfn.XLOOKUP(1,$H470:$BE470,$H$4:$BE$4),12*Assumptions!$G$337+12)=BK$4,0,IF(BJ470=1,PMT(Assumptions!$G$335,Assumptions!$G$337,$C472),BJ483))),0)</f>
        <v>0</v>
      </c>
      <c r="BL483" s="39">
        <f>+IFERROR(-ABS(IF(EDATE(_xlfn.XLOOKUP(1,$H470:$BE470,$H$4:$BE$4),12*Assumptions!$G$337+12)=BL$4,0,IF(BK470=1,PMT(Assumptions!$G$335,Assumptions!$G$337,$C472),BK483))),0)</f>
        <v>0</v>
      </c>
      <c r="BM483" s="39">
        <f>+IFERROR(-ABS(IF(EDATE(_xlfn.XLOOKUP(1,$H470:$BE470,$H$4:$BE$4),12*Assumptions!$G$337+12)=BM$4,0,IF(BL470=1,PMT(Assumptions!$G$335,Assumptions!$G$337,$C472),BL483))),0)</f>
        <v>0</v>
      </c>
      <c r="BN483" s="39">
        <f>+IFERROR(-ABS(IF(EDATE(_xlfn.XLOOKUP(1,$H470:$BE470,$H$4:$BE$4),12*Assumptions!$G$337+12)=BN$4,0,IF(BM470=1,PMT(Assumptions!$G$335,Assumptions!$G$337,$C472),BM483))),0)</f>
        <v>0</v>
      </c>
      <c r="BO483" s="39">
        <f>+IFERROR(-ABS(IF(EDATE(_xlfn.XLOOKUP(1,$H470:$BE470,$H$4:$BE$4),12*Assumptions!$G$337+12)=BO$4,0,IF(BN470=1,PMT(Assumptions!$G$335,Assumptions!$G$337,$C472),BN483))),0)</f>
        <v>0</v>
      </c>
      <c r="BP483" s="39">
        <f>+IFERROR(-ABS(IF(EDATE(_xlfn.XLOOKUP(1,$H470:$BE470,$H$4:$BE$4),12*Assumptions!$G$337+12)=BP$4,0,IF(BO470=1,PMT(Assumptions!$G$335,Assumptions!$G$337,$C472),BO483))),0)</f>
        <v>0</v>
      </c>
      <c r="BQ483" s="39">
        <f>+IFERROR(-ABS(IF(EDATE(_xlfn.XLOOKUP(1,$H470:$BE470,$H$4:$BE$4),12*Assumptions!$G$337+12)=BQ$4,0,IF(BP470=1,PMT(Assumptions!$G$335,Assumptions!$G$337,$C472),BP483))),0)</f>
        <v>0</v>
      </c>
      <c r="BR483" s="39">
        <f>+IFERROR(-ABS(IF(EDATE(_xlfn.XLOOKUP(1,$H470:$BE470,$H$4:$BE$4),12*Assumptions!$G$337+12)=BR$4,0,IF(BQ470=1,PMT(Assumptions!$G$335,Assumptions!$G$337,$C472),BQ483))),0)</f>
        <v>0</v>
      </c>
      <c r="BS483" s="39">
        <f>+IFERROR(-ABS(IF(EDATE(_xlfn.XLOOKUP(1,$H470:$BE470,$H$4:$BE$4),12*Assumptions!$G$337+12)=BS$4,0,IF(BR470=1,PMT(Assumptions!$G$335,Assumptions!$G$337,$C472),BR483))),0)</f>
        <v>0</v>
      </c>
      <c r="BT483" s="39">
        <f>+IFERROR(-ABS(IF(EDATE(_xlfn.XLOOKUP(1,$H470:$BE470,$H$4:$BE$4),12*Assumptions!$G$337+12)=BT$4,0,IF(BS470=1,PMT(Assumptions!$G$335,Assumptions!$G$337,$C472),BS483))),0)</f>
        <v>0</v>
      </c>
      <c r="BU483" s="39">
        <f>+IFERROR(-ABS(IF(EDATE(_xlfn.XLOOKUP(1,$H470:$BE470,$H$4:$BE$4),12*Assumptions!$G$337+12)=BU$4,0,IF(BT470=1,PMT(Assumptions!$G$335,Assumptions!$G$337,$C472),BT483))),0)</f>
        <v>0</v>
      </c>
      <c r="BV483" s="39">
        <f>+IFERROR(-ABS(IF(EDATE(_xlfn.XLOOKUP(1,$H470:$BE470,$H$4:$BE$4),12*Assumptions!$G$337+12)=BV$4,0,IF(BU470=1,PMT(Assumptions!$G$335,Assumptions!$G$337,$C472),BU483))),0)</f>
        <v>0</v>
      </c>
      <c r="BW483" s="39">
        <f>+IFERROR(-ABS(IF(EDATE(_xlfn.XLOOKUP(1,$H470:$BE470,$H$4:$BE$4),12*Assumptions!$G$337+12)=BW$4,0,IF(BV470=1,PMT(Assumptions!$G$335,Assumptions!$G$337,$C472),BV483))),0)</f>
        <v>0</v>
      </c>
      <c r="BX483" s="39">
        <f>+IFERROR(-ABS(IF(EDATE(_xlfn.XLOOKUP(1,$H470:$BE470,$H$4:$BE$4),12*Assumptions!$G$337+12)=BX$4,0,IF(BW470=1,PMT(Assumptions!$G$335,Assumptions!$G$337,$C472),BW483))),0)</f>
        <v>0</v>
      </c>
      <c r="BY483" s="39">
        <f>+IFERROR(-ABS(IF(EDATE(_xlfn.XLOOKUP(1,$H470:$BE470,$H$4:$BE$4),12*Assumptions!$G$337+12)=BY$4,0,IF(BX470=1,PMT(Assumptions!$G$335,Assumptions!$G$337,$C472),BX483))),0)</f>
        <v>0</v>
      </c>
    </row>
    <row r="484" spans="3:77" outlineLevel="1">
      <c r="E484" s="24" t="s">
        <v>522</v>
      </c>
      <c r="F484" s="80" t="str">
        <f>+Assumptions!$G$8</f>
        <v>USD</v>
      </c>
      <c r="G484" s="24"/>
      <c r="H484" s="39">
        <f>+IFERROR(-ABS(IF(EDATE(_xlfn.XLOOKUP(1,$H471:$BE471,$H$4:$BE$4),12*Assumptions!$G$337+12)=H$4,0,IF(G471=1,PMT(Assumptions!$G$335,Assumptions!$G$337,$C473),G484))),0)</f>
        <v>0</v>
      </c>
      <c r="I484" s="39">
        <f>+IFERROR(-ABS(IF(EDATE(_xlfn.XLOOKUP(1,$H471:$BE471,$H$4:$BE$4),12*Assumptions!$G$337+12)=I$4,0,IF(H471=1,PMT(Assumptions!$G$335,Assumptions!$G$337,$C473),H484))),0)</f>
        <v>0</v>
      </c>
      <c r="J484" s="39">
        <f>+IFERROR(-ABS(IF(EDATE(_xlfn.XLOOKUP(1,$H471:$BE471,$H$4:$BE$4),12*Assumptions!$G$337+12)=J$4,0,IF(I471=1,PMT(Assumptions!$G$335,Assumptions!$G$337,$C473),I484))),0)</f>
        <v>0</v>
      </c>
      <c r="K484" s="39">
        <f>+IFERROR(-ABS(IF(EDATE(_xlfn.XLOOKUP(1,$H471:$BE471,$H$4:$BE$4),12*Assumptions!$G$337+12)=K$4,0,IF(J471=1,PMT(Assumptions!$G$335,Assumptions!$G$337,$C473),J484))),0)</f>
        <v>0</v>
      </c>
      <c r="L484" s="39">
        <f>+IFERROR(-ABS(IF(EDATE(_xlfn.XLOOKUP(1,$H471:$BE471,$H$4:$BE$4),12*Assumptions!$G$337+12)=L$4,0,IF(K471=1,PMT(Assumptions!$G$335,Assumptions!$G$337,$C473),K484))),0)</f>
        <v>0</v>
      </c>
      <c r="M484" s="39">
        <f>+IFERROR(-ABS(IF(EDATE(_xlfn.XLOOKUP(1,$H471:$BE471,$H$4:$BE$4),12*Assumptions!$G$337+12)=M$4,0,IF(L471=1,PMT(Assumptions!$G$335,Assumptions!$G$337,$C473),L484))),0)</f>
        <v>0</v>
      </c>
      <c r="N484" s="39">
        <f>+IFERROR(-ABS(IF(EDATE(_xlfn.XLOOKUP(1,$H471:$BE471,$H$4:$BE$4),12*Assumptions!$G$337+12)=N$4,0,IF(M471=1,PMT(Assumptions!$G$335,Assumptions!$G$337,$C473),M484))),0)</f>
        <v>0</v>
      </c>
      <c r="O484" s="39">
        <f>+IFERROR(-ABS(IF(EDATE(_xlfn.XLOOKUP(1,$H471:$BE471,$H$4:$BE$4),12*Assumptions!$G$337+12)=O$4,0,IF(N471=1,PMT(Assumptions!$G$335,Assumptions!$G$337,$C473),N484))),0)</f>
        <v>0</v>
      </c>
      <c r="P484" s="39">
        <f>+IFERROR(-ABS(IF(EDATE(_xlfn.XLOOKUP(1,$H471:$BE471,$H$4:$BE$4),12*Assumptions!$G$337+12)=P$4,0,IF(O471=1,PMT(Assumptions!$G$335,Assumptions!$G$337,$C473),O484))),0)</f>
        <v>0</v>
      </c>
      <c r="Q484" s="39">
        <f>+IFERROR(-ABS(IF(EDATE(_xlfn.XLOOKUP(1,$H471:$BE471,$H$4:$BE$4),12*Assumptions!$G$337+12)=Q$4,0,IF(P471=1,PMT(Assumptions!$G$335,Assumptions!$G$337,$C473),P484))),0)</f>
        <v>0</v>
      </c>
      <c r="R484" s="39">
        <f>+IFERROR(-ABS(IF(EDATE(_xlfn.XLOOKUP(1,$H471:$BE471,$H$4:$BE$4),12*Assumptions!$G$337+12)=R$4,0,IF(Q471=1,PMT(Assumptions!$G$335,Assumptions!$G$337,$C473),Q484))),0)</f>
        <v>0</v>
      </c>
      <c r="S484" s="39">
        <f>+IFERROR(-ABS(IF(EDATE(_xlfn.XLOOKUP(1,$H471:$BE471,$H$4:$BE$4),12*Assumptions!$G$337+12)=S$4,0,IF(R471=1,PMT(Assumptions!$G$335,Assumptions!$G$337,$C473),R484))),0)</f>
        <v>0</v>
      </c>
      <c r="T484" s="39">
        <f>+IFERROR(-ABS(IF(EDATE(_xlfn.XLOOKUP(1,$H471:$BE471,$H$4:$BE$4),12*Assumptions!$G$337+12)=T$4,0,IF(S471=1,PMT(Assumptions!$G$335,Assumptions!$G$337,$C473),S484))),0)</f>
        <v>0</v>
      </c>
      <c r="U484" s="39">
        <f>+IFERROR(-ABS(IF(EDATE(_xlfn.XLOOKUP(1,$H471:$BE471,$H$4:$BE$4),12*Assumptions!$G$337+12)=U$4,0,IF(T471=1,PMT(Assumptions!$G$335,Assumptions!$G$337,$C473),T484))),0)</f>
        <v>0</v>
      </c>
      <c r="V484" s="39">
        <f>+IFERROR(-ABS(IF(EDATE(_xlfn.XLOOKUP(1,$H471:$BE471,$H$4:$BE$4),12*Assumptions!$G$337+12)=V$4,0,IF(U471=1,PMT(Assumptions!$G$335,Assumptions!$G$337,$C473),U484))),0)</f>
        <v>0</v>
      </c>
      <c r="W484" s="39">
        <f>+IFERROR(-ABS(IF(EDATE(_xlfn.XLOOKUP(1,$H471:$BE471,$H$4:$BE$4),12*Assumptions!$G$337+12)=W$4,0,IF(V471=1,PMT(Assumptions!$G$335,Assumptions!$G$337,$C473),V484))),0)</f>
        <v>0</v>
      </c>
      <c r="X484" s="39">
        <f>+IFERROR(-ABS(IF(EDATE(_xlfn.XLOOKUP(1,$H471:$BE471,$H$4:$BE$4),12*Assumptions!$G$337+12)=X$4,0,IF(W471=1,PMT(Assumptions!$G$335,Assumptions!$G$337,$C473),W484))),0)</f>
        <v>0</v>
      </c>
      <c r="Y484" s="39">
        <f>+IFERROR(-ABS(IF(EDATE(_xlfn.XLOOKUP(1,$H471:$BE471,$H$4:$BE$4),12*Assumptions!$G$337+12)=Y$4,0,IF(X471=1,PMT(Assumptions!$G$335,Assumptions!$G$337,$C473),X484))),0)</f>
        <v>0</v>
      </c>
      <c r="Z484" s="39">
        <f>+IFERROR(-ABS(IF(EDATE(_xlfn.XLOOKUP(1,$H471:$BE471,$H$4:$BE$4),12*Assumptions!$G$337+12)=Z$4,0,IF(Y471=1,PMT(Assumptions!$G$335,Assumptions!$G$337,$C473),Y484))),0)</f>
        <v>0</v>
      </c>
      <c r="AA484" s="39">
        <f>+IFERROR(-ABS(IF(EDATE(_xlfn.XLOOKUP(1,$H471:$BE471,$H$4:$BE$4),12*Assumptions!$G$337+12)=AA$4,0,IF(Z471=1,PMT(Assumptions!$G$335,Assumptions!$G$337,$C473),Z484))),0)</f>
        <v>0</v>
      </c>
      <c r="AB484" s="39">
        <f>+IFERROR(-ABS(IF(EDATE(_xlfn.XLOOKUP(1,$H471:$BE471,$H$4:$BE$4),12*Assumptions!$G$337+12)=AB$4,0,IF(AA471=1,PMT(Assumptions!$G$335,Assumptions!$G$337,$C473),AA484))),0)</f>
        <v>0</v>
      </c>
      <c r="AC484" s="39">
        <f>+IFERROR(-ABS(IF(EDATE(_xlfn.XLOOKUP(1,$H471:$BE471,$H$4:$BE$4),12*Assumptions!$G$337+12)=AC$4,0,IF(AB471=1,PMT(Assumptions!$G$335,Assumptions!$G$337,$C473),AB484))),0)</f>
        <v>0</v>
      </c>
      <c r="AD484" s="39">
        <f>+IFERROR(-ABS(IF(EDATE(_xlfn.XLOOKUP(1,$H471:$BE471,$H$4:$BE$4),12*Assumptions!$G$337+12)=AD$4,0,IF(AC471=1,PMT(Assumptions!$G$335,Assumptions!$G$337,$C473),AC484))),0)</f>
        <v>0</v>
      </c>
      <c r="AE484" s="39">
        <f>+IFERROR(-ABS(IF(EDATE(_xlfn.XLOOKUP(1,$H471:$BE471,$H$4:$BE$4),12*Assumptions!$G$337+12)=AE$4,0,IF(AD471=1,PMT(Assumptions!$G$335,Assumptions!$G$337,$C473),AD484))),0)</f>
        <v>0</v>
      </c>
      <c r="AF484" s="39">
        <f>+IFERROR(-ABS(IF(EDATE(_xlfn.XLOOKUP(1,$H471:$BE471,$H$4:$BE$4),12*Assumptions!$G$337+12)=AF$4,0,IF(AE471=1,PMT(Assumptions!$G$335,Assumptions!$G$337,$C473),AE484))),0)</f>
        <v>0</v>
      </c>
      <c r="AG484" s="39">
        <f>+IFERROR(-ABS(IF(EDATE(_xlfn.XLOOKUP(1,$H471:$BE471,$H$4:$BE$4),12*Assumptions!$G$337+12)=AG$4,0,IF(AF471=1,PMT(Assumptions!$G$335,Assumptions!$G$337,$C473),AF484))),0)</f>
        <v>0</v>
      </c>
      <c r="AH484" s="39">
        <f>+IFERROR(-ABS(IF(EDATE(_xlfn.XLOOKUP(1,$H471:$BE471,$H$4:$BE$4),12*Assumptions!$G$337+12)=AH$4,0,IF(AG471=1,PMT(Assumptions!$G$335,Assumptions!$G$337,$C473),AG484))),0)</f>
        <v>0</v>
      </c>
      <c r="AI484" s="39">
        <f>+IFERROR(-ABS(IF(EDATE(_xlfn.XLOOKUP(1,$H471:$BE471,$H$4:$BE$4),12*Assumptions!$G$337+12)=AI$4,0,IF(AH471=1,PMT(Assumptions!$G$335,Assumptions!$G$337,$C473),AH484))),0)</f>
        <v>0</v>
      </c>
      <c r="AJ484" s="39">
        <f>+IFERROR(-ABS(IF(EDATE(_xlfn.XLOOKUP(1,$H471:$BE471,$H$4:$BE$4),12*Assumptions!$G$337+12)=AJ$4,0,IF(AI471=1,PMT(Assumptions!$G$335,Assumptions!$G$337,$C473),AI484))),0)</f>
        <v>0</v>
      </c>
      <c r="AK484" s="39">
        <f>+IFERROR(-ABS(IF(EDATE(_xlfn.XLOOKUP(1,$H471:$BE471,$H$4:$BE$4),12*Assumptions!$G$337+12)=AK$4,0,IF(AJ471=1,PMT(Assumptions!$G$335,Assumptions!$G$337,$C473),AJ484))),0)</f>
        <v>0</v>
      </c>
      <c r="AL484" s="39">
        <f>+IFERROR(-ABS(IF(EDATE(_xlfn.XLOOKUP(1,$H471:$BE471,$H$4:$BE$4),12*Assumptions!$G$337+12)=AL$4,0,IF(AK471=1,PMT(Assumptions!$G$335,Assumptions!$G$337,$C473),AK484))),0)</f>
        <v>0</v>
      </c>
      <c r="AM484" s="39">
        <f>+IFERROR(-ABS(IF(EDATE(_xlfn.XLOOKUP(1,$H471:$BE471,$H$4:$BE$4),12*Assumptions!$G$337+12)=AM$4,0,IF(AL471=1,PMT(Assumptions!$G$335,Assumptions!$G$337,$C473),AL484))),0)</f>
        <v>0</v>
      </c>
      <c r="AN484" s="39">
        <f>+IFERROR(-ABS(IF(EDATE(_xlfn.XLOOKUP(1,$H471:$BE471,$H$4:$BE$4),12*Assumptions!$G$337+12)=AN$4,0,IF(AM471=1,PMT(Assumptions!$G$335,Assumptions!$G$337,$C473),AM484))),0)</f>
        <v>0</v>
      </c>
      <c r="AO484" s="39">
        <f>+IFERROR(-ABS(IF(EDATE(_xlfn.XLOOKUP(1,$H471:$BE471,$H$4:$BE$4),12*Assumptions!$G$337+12)=AO$4,0,IF(AN471=1,PMT(Assumptions!$G$335,Assumptions!$G$337,$C473),AN484))),0)</f>
        <v>0</v>
      </c>
      <c r="AP484" s="39">
        <f>+IFERROR(-ABS(IF(EDATE(_xlfn.XLOOKUP(1,$H471:$BE471,$H$4:$BE$4),12*Assumptions!$G$337+12)=AP$4,0,IF(AO471=1,PMT(Assumptions!$G$335,Assumptions!$G$337,$C473),AO484))),0)</f>
        <v>0</v>
      </c>
      <c r="AQ484" s="39">
        <f>+IFERROR(-ABS(IF(EDATE(_xlfn.XLOOKUP(1,$H471:$BE471,$H$4:$BE$4),12*Assumptions!$G$337+12)=AQ$4,0,IF(AP471=1,PMT(Assumptions!$G$335,Assumptions!$G$337,$C473),AP484))),0)</f>
        <v>0</v>
      </c>
      <c r="AR484" s="39">
        <f>+IFERROR(-ABS(IF(EDATE(_xlfn.XLOOKUP(1,$H471:$BE471,$H$4:$BE$4),12*Assumptions!$G$337+12)=AR$4,0,IF(AQ471=1,PMT(Assumptions!$G$335,Assumptions!$G$337,$C473),AQ484))),0)</f>
        <v>0</v>
      </c>
      <c r="AS484" s="39">
        <f>+IFERROR(-ABS(IF(EDATE(_xlfn.XLOOKUP(1,$H471:$BE471,$H$4:$BE$4),12*Assumptions!$G$337+12)=AS$4,0,IF(AR471=1,PMT(Assumptions!$G$335,Assumptions!$G$337,$C473),AR484))),0)</f>
        <v>0</v>
      </c>
      <c r="AT484" s="39">
        <f>+IFERROR(-ABS(IF(EDATE(_xlfn.XLOOKUP(1,$H471:$BE471,$H$4:$BE$4),12*Assumptions!$G$337+12)=AT$4,0,IF(AS471=1,PMT(Assumptions!$G$335,Assumptions!$G$337,$C473),AS484))),0)</f>
        <v>0</v>
      </c>
      <c r="AU484" s="39">
        <f>+IFERROR(-ABS(IF(EDATE(_xlfn.XLOOKUP(1,$H471:$BE471,$H$4:$BE$4),12*Assumptions!$G$337+12)=AU$4,0,IF(AT471=1,PMT(Assumptions!$G$335,Assumptions!$G$337,$C473),AT484))),0)</f>
        <v>0</v>
      </c>
      <c r="AV484" s="39">
        <f>+IFERROR(-ABS(IF(EDATE(_xlfn.XLOOKUP(1,$H471:$BE471,$H$4:$BE$4),12*Assumptions!$G$337+12)=AV$4,0,IF(AU471=1,PMT(Assumptions!$G$335,Assumptions!$G$337,$C473),AU484))),0)</f>
        <v>0</v>
      </c>
      <c r="AW484" s="39">
        <f>+IFERROR(-ABS(IF(EDATE(_xlfn.XLOOKUP(1,$H471:$BE471,$H$4:$BE$4),12*Assumptions!$G$337+12)=AW$4,0,IF(AV471=1,PMT(Assumptions!$G$335,Assumptions!$G$337,$C473),AV484))),0)</f>
        <v>0</v>
      </c>
      <c r="AX484" s="39">
        <f>+IFERROR(-ABS(IF(EDATE(_xlfn.XLOOKUP(1,$H471:$BE471,$H$4:$BE$4),12*Assumptions!$G$337+12)=AX$4,0,IF(AW471=1,PMT(Assumptions!$G$335,Assumptions!$G$337,$C473),AW484))),0)</f>
        <v>0</v>
      </c>
      <c r="AY484" s="39">
        <f>+IFERROR(-ABS(IF(EDATE(_xlfn.XLOOKUP(1,$H471:$BE471,$H$4:$BE$4),12*Assumptions!$G$337+12)=AY$4,0,IF(AX471=1,PMT(Assumptions!$G$335,Assumptions!$G$337,$C473),AX484))),0)</f>
        <v>0</v>
      </c>
      <c r="AZ484" s="39">
        <f>+IFERROR(-ABS(IF(EDATE(_xlfn.XLOOKUP(1,$H471:$BE471,$H$4:$BE$4),12*Assumptions!$G$337+12)=AZ$4,0,IF(AY471=1,PMT(Assumptions!$G$335,Assumptions!$G$337,$C473),AY484))),0)</f>
        <v>0</v>
      </c>
      <c r="BA484" s="39">
        <f>+IFERROR(-ABS(IF(EDATE(_xlfn.XLOOKUP(1,$H471:$BE471,$H$4:$BE$4),12*Assumptions!$G$337+12)=BA$4,0,IF(AZ471=1,PMT(Assumptions!$G$335,Assumptions!$G$337,$C473),AZ484))),0)</f>
        <v>0</v>
      </c>
      <c r="BB484" s="39">
        <f>+IFERROR(-ABS(IF(EDATE(_xlfn.XLOOKUP(1,$H471:$BE471,$H$4:$BE$4),12*Assumptions!$G$337+12)=BB$4,0,IF(BA471=1,PMT(Assumptions!$G$335,Assumptions!$G$337,$C473),BA484))),0)</f>
        <v>0</v>
      </c>
      <c r="BC484" s="39">
        <f>+IFERROR(-ABS(IF(EDATE(_xlfn.XLOOKUP(1,$H471:$BE471,$H$4:$BE$4),12*Assumptions!$G$337+12)=BC$4,0,IF(BB471=1,PMT(Assumptions!$G$335,Assumptions!$G$337,$C473),BB484))),0)</f>
        <v>0</v>
      </c>
      <c r="BD484" s="39">
        <f>+IFERROR(-ABS(IF(EDATE(_xlfn.XLOOKUP(1,$H471:$BE471,$H$4:$BE$4),12*Assumptions!$G$337+12)=BD$4,0,IF(BC471=1,PMT(Assumptions!$G$335,Assumptions!$G$337,$C473),BC484))),0)</f>
        <v>0</v>
      </c>
      <c r="BE484" s="39">
        <f>+IFERROR(-ABS(IF(EDATE(_xlfn.XLOOKUP(1,$H471:$BE471,$H$4:$BE$4),12*Assumptions!$G$337+12)=BE$4,0,IF(BD471=1,PMT(Assumptions!$G$335,Assumptions!$G$337,$C473),BD484))),0)</f>
        <v>0</v>
      </c>
      <c r="BF484" s="39">
        <f>+IFERROR(-ABS(IF(EDATE(_xlfn.XLOOKUP(1,$H471:$BE471,$H$4:$BE$4),12*Assumptions!$G$337+12)=BF$4,0,IF(BE471=1,PMT(Assumptions!$G$335,Assumptions!$G$337,$C473),BE484))),0)</f>
        <v>0</v>
      </c>
      <c r="BG484" s="39">
        <f>+IFERROR(-ABS(IF(EDATE(_xlfn.XLOOKUP(1,$H471:$BE471,$H$4:$BE$4),12*Assumptions!$G$337+12)=BG$4,0,IF(BF471=1,PMT(Assumptions!$G$335,Assumptions!$G$337,$C473),BF484))),0)</f>
        <v>0</v>
      </c>
      <c r="BH484" s="39">
        <f>+IFERROR(-ABS(IF(EDATE(_xlfn.XLOOKUP(1,$H471:$BE471,$H$4:$BE$4),12*Assumptions!$G$337+12)=BH$4,0,IF(BG471=1,PMT(Assumptions!$G$335,Assumptions!$G$337,$C473),BG484))),0)</f>
        <v>0</v>
      </c>
      <c r="BI484" s="39">
        <f>+IFERROR(-ABS(IF(EDATE(_xlfn.XLOOKUP(1,$H471:$BE471,$H$4:$BE$4),12*Assumptions!$G$337+12)=BI$4,0,IF(BH471=1,PMT(Assumptions!$G$335,Assumptions!$G$337,$C473),BH484))),0)</f>
        <v>0</v>
      </c>
      <c r="BJ484" s="39">
        <f>+IFERROR(-ABS(IF(EDATE(_xlfn.XLOOKUP(1,$H471:$BE471,$H$4:$BE$4),12*Assumptions!$G$337+12)=BJ$4,0,IF(BI471=1,PMT(Assumptions!$G$335,Assumptions!$G$337,$C473),BI484))),0)</f>
        <v>0</v>
      </c>
      <c r="BK484" s="39">
        <f>+IFERROR(-ABS(IF(EDATE(_xlfn.XLOOKUP(1,$H471:$BE471,$H$4:$BE$4),12*Assumptions!$G$337+12)=BK$4,0,IF(BJ471=1,PMT(Assumptions!$G$335,Assumptions!$G$337,$C473),BJ484))),0)</f>
        <v>0</v>
      </c>
      <c r="BL484" s="39">
        <f>+IFERROR(-ABS(IF(EDATE(_xlfn.XLOOKUP(1,$H471:$BE471,$H$4:$BE$4),12*Assumptions!$G$337+12)=BL$4,0,IF(BK471=1,PMT(Assumptions!$G$335,Assumptions!$G$337,$C473),BK484))),0)</f>
        <v>0</v>
      </c>
      <c r="BM484" s="39">
        <f>+IFERROR(-ABS(IF(EDATE(_xlfn.XLOOKUP(1,$H471:$BE471,$H$4:$BE$4),12*Assumptions!$G$337+12)=BM$4,0,IF(BL471=1,PMT(Assumptions!$G$335,Assumptions!$G$337,$C473),BL484))),0)</f>
        <v>0</v>
      </c>
      <c r="BN484" s="39">
        <f>+IFERROR(-ABS(IF(EDATE(_xlfn.XLOOKUP(1,$H471:$BE471,$H$4:$BE$4),12*Assumptions!$G$337+12)=BN$4,0,IF(BM471=1,PMT(Assumptions!$G$335,Assumptions!$G$337,$C473),BM484))),0)</f>
        <v>0</v>
      </c>
      <c r="BO484" s="39">
        <f>+IFERROR(-ABS(IF(EDATE(_xlfn.XLOOKUP(1,$H471:$BE471,$H$4:$BE$4),12*Assumptions!$G$337+12)=BO$4,0,IF(BN471=1,PMT(Assumptions!$G$335,Assumptions!$G$337,$C473),BN484))),0)</f>
        <v>0</v>
      </c>
      <c r="BP484" s="39">
        <f>+IFERROR(-ABS(IF(EDATE(_xlfn.XLOOKUP(1,$H471:$BE471,$H$4:$BE$4),12*Assumptions!$G$337+12)=BP$4,0,IF(BO471=1,PMT(Assumptions!$G$335,Assumptions!$G$337,$C473),BO484))),0)</f>
        <v>0</v>
      </c>
      <c r="BQ484" s="39">
        <f>+IFERROR(-ABS(IF(EDATE(_xlfn.XLOOKUP(1,$H471:$BE471,$H$4:$BE$4),12*Assumptions!$G$337+12)=BQ$4,0,IF(BP471=1,PMT(Assumptions!$G$335,Assumptions!$G$337,$C473),BP484))),0)</f>
        <v>0</v>
      </c>
      <c r="BR484" s="39">
        <f>+IFERROR(-ABS(IF(EDATE(_xlfn.XLOOKUP(1,$H471:$BE471,$H$4:$BE$4),12*Assumptions!$G$337+12)=BR$4,0,IF(BQ471=1,PMT(Assumptions!$G$335,Assumptions!$G$337,$C473),BQ484))),0)</f>
        <v>0</v>
      </c>
      <c r="BS484" s="39">
        <f>+IFERROR(-ABS(IF(EDATE(_xlfn.XLOOKUP(1,$H471:$BE471,$H$4:$BE$4),12*Assumptions!$G$337+12)=BS$4,0,IF(BR471=1,PMT(Assumptions!$G$335,Assumptions!$G$337,$C473),BR484))),0)</f>
        <v>0</v>
      </c>
      <c r="BT484" s="39">
        <f>+IFERROR(-ABS(IF(EDATE(_xlfn.XLOOKUP(1,$H471:$BE471,$H$4:$BE$4),12*Assumptions!$G$337+12)=BT$4,0,IF(BS471=1,PMT(Assumptions!$G$335,Assumptions!$G$337,$C473),BS484))),0)</f>
        <v>0</v>
      </c>
      <c r="BU484" s="39">
        <f>+IFERROR(-ABS(IF(EDATE(_xlfn.XLOOKUP(1,$H471:$BE471,$H$4:$BE$4),12*Assumptions!$G$337+12)=BU$4,0,IF(BT471=1,PMT(Assumptions!$G$335,Assumptions!$G$337,$C473),BT484))),0)</f>
        <v>0</v>
      </c>
      <c r="BV484" s="39">
        <f>+IFERROR(-ABS(IF(EDATE(_xlfn.XLOOKUP(1,$H471:$BE471,$H$4:$BE$4),12*Assumptions!$G$337+12)=BV$4,0,IF(BU471=1,PMT(Assumptions!$G$335,Assumptions!$G$337,$C473),BU484))),0)</f>
        <v>0</v>
      </c>
      <c r="BW484" s="39">
        <f>+IFERROR(-ABS(IF(EDATE(_xlfn.XLOOKUP(1,$H471:$BE471,$H$4:$BE$4),12*Assumptions!$G$337+12)=BW$4,0,IF(BV471=1,PMT(Assumptions!$G$335,Assumptions!$G$337,$C473),BV484))),0)</f>
        <v>0</v>
      </c>
      <c r="BX484" s="39">
        <f>+IFERROR(-ABS(IF(EDATE(_xlfn.XLOOKUP(1,$H471:$BE471,$H$4:$BE$4),12*Assumptions!$G$337+12)=BX$4,0,IF(BW471=1,PMT(Assumptions!$G$335,Assumptions!$G$337,$C473),BW484))),0)</f>
        <v>0</v>
      </c>
      <c r="BY484" s="39">
        <f>+IFERROR(-ABS(IF(EDATE(_xlfn.XLOOKUP(1,$H471:$BE471,$H$4:$BE$4),12*Assumptions!$G$337+12)=BY$4,0,IF(BX471=1,PMT(Assumptions!$G$335,Assumptions!$G$337,$C473),BX484))),0)</f>
        <v>0</v>
      </c>
    </row>
    <row r="485" spans="3:77" outlineLevel="1">
      <c r="E485" s="24" t="s">
        <v>523</v>
      </c>
      <c r="F485" s="80" t="str">
        <f>+Assumptions!$G$8</f>
        <v>USD</v>
      </c>
      <c r="G485" s="24"/>
      <c r="H485" s="39">
        <f>+IFERROR(-ABS(IF(EDATE(_xlfn.XLOOKUP(1,$H472:$BE472,$H$4:$BE$4),12*Assumptions!$G$337+12)=H$4,0,IF(G472=1,PMT(Assumptions!$G$335,Assumptions!$G$337,$C474),G485))),0)</f>
        <v>0</v>
      </c>
      <c r="I485" s="39">
        <f>+IFERROR(-ABS(IF(EDATE(_xlfn.XLOOKUP(1,$H472:$BE472,$H$4:$BE$4),12*Assumptions!$G$337+12)=I$4,0,IF(H472=1,PMT(Assumptions!$G$335,Assumptions!$G$337,$C474),H485))),0)</f>
        <v>0</v>
      </c>
      <c r="J485" s="39">
        <f>+IFERROR(-ABS(IF(EDATE(_xlfn.XLOOKUP(1,$H472:$BE472,$H$4:$BE$4),12*Assumptions!$G$337+12)=J$4,0,IF(I472=1,PMT(Assumptions!$G$335,Assumptions!$G$337,$C474),I485))),0)</f>
        <v>0</v>
      </c>
      <c r="K485" s="39">
        <f>+IFERROR(-ABS(IF(EDATE(_xlfn.XLOOKUP(1,$H472:$BE472,$H$4:$BE$4),12*Assumptions!$G$337+12)=K$4,0,IF(J472=1,PMT(Assumptions!$G$335,Assumptions!$G$337,$C474),J485))),0)</f>
        <v>0</v>
      </c>
      <c r="L485" s="39">
        <f>+IFERROR(-ABS(IF(EDATE(_xlfn.XLOOKUP(1,$H472:$BE472,$H$4:$BE$4),12*Assumptions!$G$337+12)=L$4,0,IF(K472=1,PMT(Assumptions!$G$335,Assumptions!$G$337,$C474),K485))),0)</f>
        <v>0</v>
      </c>
      <c r="M485" s="39">
        <f>+IFERROR(-ABS(IF(EDATE(_xlfn.XLOOKUP(1,$H472:$BE472,$H$4:$BE$4),12*Assumptions!$G$337+12)=M$4,0,IF(L472=1,PMT(Assumptions!$G$335,Assumptions!$G$337,$C474),L485))),0)</f>
        <v>0</v>
      </c>
      <c r="N485" s="39">
        <f>+IFERROR(-ABS(IF(EDATE(_xlfn.XLOOKUP(1,$H472:$BE472,$H$4:$BE$4),12*Assumptions!$G$337+12)=N$4,0,IF(M472=1,PMT(Assumptions!$G$335,Assumptions!$G$337,$C474),M485))),0)</f>
        <v>0</v>
      </c>
      <c r="O485" s="39">
        <f>+IFERROR(-ABS(IF(EDATE(_xlfn.XLOOKUP(1,$H472:$BE472,$H$4:$BE$4),12*Assumptions!$G$337+12)=O$4,0,IF(N472=1,PMT(Assumptions!$G$335,Assumptions!$G$337,$C474),N485))),0)</f>
        <v>0</v>
      </c>
      <c r="P485" s="39">
        <f>+IFERROR(-ABS(IF(EDATE(_xlfn.XLOOKUP(1,$H472:$BE472,$H$4:$BE$4),12*Assumptions!$G$337+12)=P$4,0,IF(O472=1,PMT(Assumptions!$G$335,Assumptions!$G$337,$C474),O485))),0)</f>
        <v>0</v>
      </c>
      <c r="Q485" s="39">
        <f>+IFERROR(-ABS(IF(EDATE(_xlfn.XLOOKUP(1,$H472:$BE472,$H$4:$BE$4),12*Assumptions!$G$337+12)=Q$4,0,IF(P472=1,PMT(Assumptions!$G$335,Assumptions!$G$337,$C474),P485))),0)</f>
        <v>0</v>
      </c>
      <c r="R485" s="39">
        <f>+IFERROR(-ABS(IF(EDATE(_xlfn.XLOOKUP(1,$H472:$BE472,$H$4:$BE$4),12*Assumptions!$G$337+12)=R$4,0,IF(Q472=1,PMT(Assumptions!$G$335,Assumptions!$G$337,$C474),Q485))),0)</f>
        <v>0</v>
      </c>
      <c r="S485" s="39">
        <f>+IFERROR(-ABS(IF(EDATE(_xlfn.XLOOKUP(1,$H472:$BE472,$H$4:$BE$4),12*Assumptions!$G$337+12)=S$4,0,IF(R472=1,PMT(Assumptions!$G$335,Assumptions!$G$337,$C474),R485))),0)</f>
        <v>0</v>
      </c>
      <c r="T485" s="39">
        <f>+IFERROR(-ABS(IF(EDATE(_xlfn.XLOOKUP(1,$H472:$BE472,$H$4:$BE$4),12*Assumptions!$G$337+12)=T$4,0,IF(S472=1,PMT(Assumptions!$G$335,Assumptions!$G$337,$C474),S485))),0)</f>
        <v>0</v>
      </c>
      <c r="U485" s="39">
        <f>+IFERROR(-ABS(IF(EDATE(_xlfn.XLOOKUP(1,$H472:$BE472,$H$4:$BE$4),12*Assumptions!$G$337+12)=U$4,0,IF(T472=1,PMT(Assumptions!$G$335,Assumptions!$G$337,$C474),T485))),0)</f>
        <v>0</v>
      </c>
      <c r="V485" s="39">
        <f>+IFERROR(-ABS(IF(EDATE(_xlfn.XLOOKUP(1,$H472:$BE472,$H$4:$BE$4),12*Assumptions!$G$337+12)=V$4,0,IF(U472=1,PMT(Assumptions!$G$335,Assumptions!$G$337,$C474),U485))),0)</f>
        <v>0</v>
      </c>
      <c r="W485" s="39">
        <f>+IFERROR(-ABS(IF(EDATE(_xlfn.XLOOKUP(1,$H472:$BE472,$H$4:$BE$4),12*Assumptions!$G$337+12)=W$4,0,IF(V472=1,PMT(Assumptions!$G$335,Assumptions!$G$337,$C474),V485))),0)</f>
        <v>0</v>
      </c>
      <c r="X485" s="39">
        <f>+IFERROR(-ABS(IF(EDATE(_xlfn.XLOOKUP(1,$H472:$BE472,$H$4:$BE$4),12*Assumptions!$G$337+12)=X$4,0,IF(W472=1,PMT(Assumptions!$G$335,Assumptions!$G$337,$C474),W485))),0)</f>
        <v>0</v>
      </c>
      <c r="Y485" s="39">
        <f>+IFERROR(-ABS(IF(EDATE(_xlfn.XLOOKUP(1,$H472:$BE472,$H$4:$BE$4),12*Assumptions!$G$337+12)=Y$4,0,IF(X472=1,PMT(Assumptions!$G$335,Assumptions!$G$337,$C474),X485))),0)</f>
        <v>0</v>
      </c>
      <c r="Z485" s="39">
        <f>+IFERROR(-ABS(IF(EDATE(_xlfn.XLOOKUP(1,$H472:$BE472,$H$4:$BE$4),12*Assumptions!$G$337+12)=Z$4,0,IF(Y472=1,PMT(Assumptions!$G$335,Assumptions!$G$337,$C474),Y485))),0)</f>
        <v>0</v>
      </c>
      <c r="AA485" s="39">
        <f>+IFERROR(-ABS(IF(EDATE(_xlfn.XLOOKUP(1,$H472:$BE472,$H$4:$BE$4),12*Assumptions!$G$337+12)=AA$4,0,IF(Z472=1,PMT(Assumptions!$G$335,Assumptions!$G$337,$C474),Z485))),0)</f>
        <v>0</v>
      </c>
      <c r="AB485" s="39">
        <f>+IFERROR(-ABS(IF(EDATE(_xlfn.XLOOKUP(1,$H472:$BE472,$H$4:$BE$4),12*Assumptions!$G$337+12)=AB$4,0,IF(AA472=1,PMT(Assumptions!$G$335,Assumptions!$G$337,$C474),AA485))),0)</f>
        <v>0</v>
      </c>
      <c r="AC485" s="39">
        <f>+IFERROR(-ABS(IF(EDATE(_xlfn.XLOOKUP(1,$H472:$BE472,$H$4:$BE$4),12*Assumptions!$G$337+12)=AC$4,0,IF(AB472=1,PMT(Assumptions!$G$335,Assumptions!$G$337,$C474),AB485))),0)</f>
        <v>0</v>
      </c>
      <c r="AD485" s="39">
        <f>+IFERROR(-ABS(IF(EDATE(_xlfn.XLOOKUP(1,$H472:$BE472,$H$4:$BE$4),12*Assumptions!$G$337+12)=AD$4,0,IF(AC472=1,PMT(Assumptions!$G$335,Assumptions!$G$337,$C474),AC485))),0)</f>
        <v>0</v>
      </c>
      <c r="AE485" s="39">
        <f>+IFERROR(-ABS(IF(EDATE(_xlfn.XLOOKUP(1,$H472:$BE472,$H$4:$BE$4),12*Assumptions!$G$337+12)=AE$4,0,IF(AD472=1,PMT(Assumptions!$G$335,Assumptions!$G$337,$C474),AD485))),0)</f>
        <v>0</v>
      </c>
      <c r="AF485" s="39">
        <f>+IFERROR(-ABS(IF(EDATE(_xlfn.XLOOKUP(1,$H472:$BE472,$H$4:$BE$4),12*Assumptions!$G$337+12)=AF$4,0,IF(AE472=1,PMT(Assumptions!$G$335,Assumptions!$G$337,$C474),AE485))),0)</f>
        <v>0</v>
      </c>
      <c r="AG485" s="39">
        <f>+IFERROR(-ABS(IF(EDATE(_xlfn.XLOOKUP(1,$H472:$BE472,$H$4:$BE$4),12*Assumptions!$G$337+12)=AG$4,0,IF(AF472=1,PMT(Assumptions!$G$335,Assumptions!$G$337,$C474),AF485))),0)</f>
        <v>0</v>
      </c>
      <c r="AH485" s="39">
        <f>+IFERROR(-ABS(IF(EDATE(_xlfn.XLOOKUP(1,$H472:$BE472,$H$4:$BE$4),12*Assumptions!$G$337+12)=AH$4,0,IF(AG472=1,PMT(Assumptions!$G$335,Assumptions!$G$337,$C474),AG485))),0)</f>
        <v>0</v>
      </c>
      <c r="AI485" s="39">
        <f>+IFERROR(-ABS(IF(EDATE(_xlfn.XLOOKUP(1,$H472:$BE472,$H$4:$BE$4),12*Assumptions!$G$337+12)=AI$4,0,IF(AH472=1,PMT(Assumptions!$G$335,Assumptions!$G$337,$C474),AH485))),0)</f>
        <v>0</v>
      </c>
      <c r="AJ485" s="39">
        <f>+IFERROR(-ABS(IF(EDATE(_xlfn.XLOOKUP(1,$H472:$BE472,$H$4:$BE$4),12*Assumptions!$G$337+12)=AJ$4,0,IF(AI472=1,PMT(Assumptions!$G$335,Assumptions!$G$337,$C474),AI485))),0)</f>
        <v>0</v>
      </c>
      <c r="AK485" s="39">
        <f>+IFERROR(-ABS(IF(EDATE(_xlfn.XLOOKUP(1,$H472:$BE472,$H$4:$BE$4),12*Assumptions!$G$337+12)=AK$4,0,IF(AJ472=1,PMT(Assumptions!$G$335,Assumptions!$G$337,$C474),AJ485))),0)</f>
        <v>0</v>
      </c>
      <c r="AL485" s="39">
        <f>+IFERROR(-ABS(IF(EDATE(_xlfn.XLOOKUP(1,$H472:$BE472,$H$4:$BE$4),12*Assumptions!$G$337+12)=AL$4,0,IF(AK472=1,PMT(Assumptions!$G$335,Assumptions!$G$337,$C474),AK485))),0)</f>
        <v>0</v>
      </c>
      <c r="AM485" s="39">
        <f>+IFERROR(-ABS(IF(EDATE(_xlfn.XLOOKUP(1,$H472:$BE472,$H$4:$BE$4),12*Assumptions!$G$337+12)=AM$4,0,IF(AL472=1,PMT(Assumptions!$G$335,Assumptions!$G$337,$C474),AL485))),0)</f>
        <v>0</v>
      </c>
      <c r="AN485" s="39">
        <f>+IFERROR(-ABS(IF(EDATE(_xlfn.XLOOKUP(1,$H472:$BE472,$H$4:$BE$4),12*Assumptions!$G$337+12)=AN$4,0,IF(AM472=1,PMT(Assumptions!$G$335,Assumptions!$G$337,$C474),AM485))),0)</f>
        <v>0</v>
      </c>
      <c r="AO485" s="39">
        <f>+IFERROR(-ABS(IF(EDATE(_xlfn.XLOOKUP(1,$H472:$BE472,$H$4:$BE$4),12*Assumptions!$G$337+12)=AO$4,0,IF(AN472=1,PMT(Assumptions!$G$335,Assumptions!$G$337,$C474),AN485))),0)</f>
        <v>0</v>
      </c>
      <c r="AP485" s="39">
        <f>+IFERROR(-ABS(IF(EDATE(_xlfn.XLOOKUP(1,$H472:$BE472,$H$4:$BE$4),12*Assumptions!$G$337+12)=AP$4,0,IF(AO472=1,PMT(Assumptions!$G$335,Assumptions!$G$337,$C474),AO485))),0)</f>
        <v>0</v>
      </c>
      <c r="AQ485" s="39">
        <f>+IFERROR(-ABS(IF(EDATE(_xlfn.XLOOKUP(1,$H472:$BE472,$H$4:$BE$4),12*Assumptions!$G$337+12)=AQ$4,0,IF(AP472=1,PMT(Assumptions!$G$335,Assumptions!$G$337,$C474),AP485))),0)</f>
        <v>0</v>
      </c>
      <c r="AR485" s="39">
        <f>+IFERROR(-ABS(IF(EDATE(_xlfn.XLOOKUP(1,$H472:$BE472,$H$4:$BE$4),12*Assumptions!$G$337+12)=AR$4,0,IF(AQ472=1,PMT(Assumptions!$G$335,Assumptions!$G$337,$C474),AQ485))),0)</f>
        <v>0</v>
      </c>
      <c r="AS485" s="39">
        <f>+IFERROR(-ABS(IF(EDATE(_xlfn.XLOOKUP(1,$H472:$BE472,$H$4:$BE$4),12*Assumptions!$G$337+12)=AS$4,0,IF(AR472=1,PMT(Assumptions!$G$335,Assumptions!$G$337,$C474),AR485))),0)</f>
        <v>0</v>
      </c>
      <c r="AT485" s="39">
        <f>+IFERROR(-ABS(IF(EDATE(_xlfn.XLOOKUP(1,$H472:$BE472,$H$4:$BE$4),12*Assumptions!$G$337+12)=AT$4,0,IF(AS472=1,PMT(Assumptions!$G$335,Assumptions!$G$337,$C474),AS485))),0)</f>
        <v>0</v>
      </c>
      <c r="AU485" s="39">
        <f>+IFERROR(-ABS(IF(EDATE(_xlfn.XLOOKUP(1,$H472:$BE472,$H$4:$BE$4),12*Assumptions!$G$337+12)=AU$4,0,IF(AT472=1,PMT(Assumptions!$G$335,Assumptions!$G$337,$C474),AT485))),0)</f>
        <v>0</v>
      </c>
      <c r="AV485" s="39">
        <f>+IFERROR(-ABS(IF(EDATE(_xlfn.XLOOKUP(1,$H472:$BE472,$H$4:$BE$4),12*Assumptions!$G$337+12)=AV$4,0,IF(AU472=1,PMT(Assumptions!$G$335,Assumptions!$G$337,$C474),AU485))),0)</f>
        <v>0</v>
      </c>
      <c r="AW485" s="39">
        <f>+IFERROR(-ABS(IF(EDATE(_xlfn.XLOOKUP(1,$H472:$BE472,$H$4:$BE$4),12*Assumptions!$G$337+12)=AW$4,0,IF(AV472=1,PMT(Assumptions!$G$335,Assumptions!$G$337,$C474),AV485))),0)</f>
        <v>0</v>
      </c>
      <c r="AX485" s="39">
        <f>+IFERROR(-ABS(IF(EDATE(_xlfn.XLOOKUP(1,$H472:$BE472,$H$4:$BE$4),12*Assumptions!$G$337+12)=AX$4,0,IF(AW472=1,PMT(Assumptions!$G$335,Assumptions!$G$337,$C474),AW485))),0)</f>
        <v>0</v>
      </c>
      <c r="AY485" s="39">
        <f>+IFERROR(-ABS(IF(EDATE(_xlfn.XLOOKUP(1,$H472:$BE472,$H$4:$BE$4),12*Assumptions!$G$337+12)=AY$4,0,IF(AX472=1,PMT(Assumptions!$G$335,Assumptions!$G$337,$C474),AX485))),0)</f>
        <v>0</v>
      </c>
      <c r="AZ485" s="39">
        <f>+IFERROR(-ABS(IF(EDATE(_xlfn.XLOOKUP(1,$H472:$BE472,$H$4:$BE$4),12*Assumptions!$G$337+12)=AZ$4,0,IF(AY472=1,PMT(Assumptions!$G$335,Assumptions!$G$337,$C474),AY485))),0)</f>
        <v>0</v>
      </c>
      <c r="BA485" s="39">
        <f>+IFERROR(-ABS(IF(EDATE(_xlfn.XLOOKUP(1,$H472:$BE472,$H$4:$BE$4),12*Assumptions!$G$337+12)=BA$4,0,IF(AZ472=1,PMT(Assumptions!$G$335,Assumptions!$G$337,$C474),AZ485))),0)</f>
        <v>0</v>
      </c>
      <c r="BB485" s="39">
        <f>+IFERROR(-ABS(IF(EDATE(_xlfn.XLOOKUP(1,$H472:$BE472,$H$4:$BE$4),12*Assumptions!$G$337+12)=BB$4,0,IF(BA472=1,PMT(Assumptions!$G$335,Assumptions!$G$337,$C474),BA485))),0)</f>
        <v>0</v>
      </c>
      <c r="BC485" s="39">
        <f>+IFERROR(-ABS(IF(EDATE(_xlfn.XLOOKUP(1,$H472:$BE472,$H$4:$BE$4),12*Assumptions!$G$337+12)=BC$4,0,IF(BB472=1,PMT(Assumptions!$G$335,Assumptions!$G$337,$C474),BB485))),0)</f>
        <v>0</v>
      </c>
      <c r="BD485" s="39">
        <f>+IFERROR(-ABS(IF(EDATE(_xlfn.XLOOKUP(1,$H472:$BE472,$H$4:$BE$4),12*Assumptions!$G$337+12)=BD$4,0,IF(BC472=1,PMT(Assumptions!$G$335,Assumptions!$G$337,$C474),BC485))),0)</f>
        <v>0</v>
      </c>
      <c r="BE485" s="39">
        <f>+IFERROR(-ABS(IF(EDATE(_xlfn.XLOOKUP(1,$H472:$BE472,$H$4:$BE$4),12*Assumptions!$G$337+12)=BE$4,0,IF(BD472=1,PMT(Assumptions!$G$335,Assumptions!$G$337,$C474),BD485))),0)</f>
        <v>0</v>
      </c>
      <c r="BF485" s="39">
        <f>+IFERROR(-ABS(IF(EDATE(_xlfn.XLOOKUP(1,$H472:$BE472,$H$4:$BE$4),12*Assumptions!$G$337+12)=BF$4,0,IF(BE472=1,PMT(Assumptions!$G$335,Assumptions!$G$337,$C474),BE485))),0)</f>
        <v>0</v>
      </c>
      <c r="BG485" s="39">
        <f>+IFERROR(-ABS(IF(EDATE(_xlfn.XLOOKUP(1,$H472:$BE472,$H$4:$BE$4),12*Assumptions!$G$337+12)=BG$4,0,IF(BF472=1,PMT(Assumptions!$G$335,Assumptions!$G$337,$C474),BF485))),0)</f>
        <v>0</v>
      </c>
      <c r="BH485" s="39">
        <f>+IFERROR(-ABS(IF(EDATE(_xlfn.XLOOKUP(1,$H472:$BE472,$H$4:$BE$4),12*Assumptions!$G$337+12)=BH$4,0,IF(BG472=1,PMT(Assumptions!$G$335,Assumptions!$G$337,$C474),BG485))),0)</f>
        <v>0</v>
      </c>
      <c r="BI485" s="39">
        <f>+IFERROR(-ABS(IF(EDATE(_xlfn.XLOOKUP(1,$H472:$BE472,$H$4:$BE$4),12*Assumptions!$G$337+12)=BI$4,0,IF(BH472=1,PMT(Assumptions!$G$335,Assumptions!$G$337,$C474),BH485))),0)</f>
        <v>0</v>
      </c>
      <c r="BJ485" s="39">
        <f>+IFERROR(-ABS(IF(EDATE(_xlfn.XLOOKUP(1,$H472:$BE472,$H$4:$BE$4),12*Assumptions!$G$337+12)=BJ$4,0,IF(BI472=1,PMT(Assumptions!$G$335,Assumptions!$G$337,$C474),BI485))),0)</f>
        <v>0</v>
      </c>
      <c r="BK485" s="39">
        <f>+IFERROR(-ABS(IF(EDATE(_xlfn.XLOOKUP(1,$H472:$BE472,$H$4:$BE$4),12*Assumptions!$G$337+12)=BK$4,0,IF(BJ472=1,PMT(Assumptions!$G$335,Assumptions!$G$337,$C474),BJ485))),0)</f>
        <v>0</v>
      </c>
      <c r="BL485" s="39">
        <f>+IFERROR(-ABS(IF(EDATE(_xlfn.XLOOKUP(1,$H472:$BE472,$H$4:$BE$4),12*Assumptions!$G$337+12)=BL$4,0,IF(BK472=1,PMT(Assumptions!$G$335,Assumptions!$G$337,$C474),BK485))),0)</f>
        <v>0</v>
      </c>
      <c r="BM485" s="39">
        <f>+IFERROR(-ABS(IF(EDATE(_xlfn.XLOOKUP(1,$H472:$BE472,$H$4:$BE$4),12*Assumptions!$G$337+12)=BM$4,0,IF(BL472=1,PMT(Assumptions!$G$335,Assumptions!$G$337,$C474),BL485))),0)</f>
        <v>0</v>
      </c>
      <c r="BN485" s="39">
        <f>+IFERROR(-ABS(IF(EDATE(_xlfn.XLOOKUP(1,$H472:$BE472,$H$4:$BE$4),12*Assumptions!$G$337+12)=BN$4,0,IF(BM472=1,PMT(Assumptions!$G$335,Assumptions!$G$337,$C474),BM485))),0)</f>
        <v>0</v>
      </c>
      <c r="BO485" s="39">
        <f>+IFERROR(-ABS(IF(EDATE(_xlfn.XLOOKUP(1,$H472:$BE472,$H$4:$BE$4),12*Assumptions!$G$337+12)=BO$4,0,IF(BN472=1,PMT(Assumptions!$G$335,Assumptions!$G$337,$C474),BN485))),0)</f>
        <v>0</v>
      </c>
      <c r="BP485" s="39">
        <f>+IFERROR(-ABS(IF(EDATE(_xlfn.XLOOKUP(1,$H472:$BE472,$H$4:$BE$4),12*Assumptions!$G$337+12)=BP$4,0,IF(BO472=1,PMT(Assumptions!$G$335,Assumptions!$G$337,$C474),BO485))),0)</f>
        <v>0</v>
      </c>
      <c r="BQ485" s="39">
        <f>+IFERROR(-ABS(IF(EDATE(_xlfn.XLOOKUP(1,$H472:$BE472,$H$4:$BE$4),12*Assumptions!$G$337+12)=BQ$4,0,IF(BP472=1,PMT(Assumptions!$G$335,Assumptions!$G$337,$C474),BP485))),0)</f>
        <v>0</v>
      </c>
      <c r="BR485" s="39">
        <f>+IFERROR(-ABS(IF(EDATE(_xlfn.XLOOKUP(1,$H472:$BE472,$H$4:$BE$4),12*Assumptions!$G$337+12)=BR$4,0,IF(BQ472=1,PMT(Assumptions!$G$335,Assumptions!$G$337,$C474),BQ485))),0)</f>
        <v>0</v>
      </c>
      <c r="BS485" s="39">
        <f>+IFERROR(-ABS(IF(EDATE(_xlfn.XLOOKUP(1,$H472:$BE472,$H$4:$BE$4),12*Assumptions!$G$337+12)=BS$4,0,IF(BR472=1,PMT(Assumptions!$G$335,Assumptions!$G$337,$C474),BR485))),0)</f>
        <v>0</v>
      </c>
      <c r="BT485" s="39">
        <f>+IFERROR(-ABS(IF(EDATE(_xlfn.XLOOKUP(1,$H472:$BE472,$H$4:$BE$4),12*Assumptions!$G$337+12)=BT$4,0,IF(BS472=1,PMT(Assumptions!$G$335,Assumptions!$G$337,$C474),BS485))),0)</f>
        <v>0</v>
      </c>
      <c r="BU485" s="39">
        <f>+IFERROR(-ABS(IF(EDATE(_xlfn.XLOOKUP(1,$H472:$BE472,$H$4:$BE$4),12*Assumptions!$G$337+12)=BU$4,0,IF(BT472=1,PMT(Assumptions!$G$335,Assumptions!$G$337,$C474),BT485))),0)</f>
        <v>0</v>
      </c>
      <c r="BV485" s="39">
        <f>+IFERROR(-ABS(IF(EDATE(_xlfn.XLOOKUP(1,$H472:$BE472,$H$4:$BE$4),12*Assumptions!$G$337+12)=BV$4,0,IF(BU472=1,PMT(Assumptions!$G$335,Assumptions!$G$337,$C474),BU485))),0)</f>
        <v>0</v>
      </c>
      <c r="BW485" s="39">
        <f>+IFERROR(-ABS(IF(EDATE(_xlfn.XLOOKUP(1,$H472:$BE472,$H$4:$BE$4),12*Assumptions!$G$337+12)=BW$4,0,IF(BV472=1,PMT(Assumptions!$G$335,Assumptions!$G$337,$C474),BV485))),0)</f>
        <v>0</v>
      </c>
      <c r="BX485" s="39">
        <f>+IFERROR(-ABS(IF(EDATE(_xlfn.XLOOKUP(1,$H472:$BE472,$H$4:$BE$4),12*Assumptions!$G$337+12)=BX$4,0,IF(BW472=1,PMT(Assumptions!$G$335,Assumptions!$G$337,$C474),BW485))),0)</f>
        <v>0</v>
      </c>
      <c r="BY485" s="39">
        <f>+IFERROR(-ABS(IF(EDATE(_xlfn.XLOOKUP(1,$H472:$BE472,$H$4:$BE$4),12*Assumptions!$G$337+12)=BY$4,0,IF(BX472=1,PMT(Assumptions!$G$335,Assumptions!$G$337,$C474),BX485))),0)</f>
        <v>0</v>
      </c>
    </row>
    <row r="486" spans="3:77" outlineLevel="1">
      <c r="E486" s="24"/>
      <c r="F486" s="23"/>
      <c r="G486" s="24"/>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row>
    <row r="487" spans="3:77" outlineLevel="1">
      <c r="E487" t="s">
        <v>524</v>
      </c>
      <c r="F487" s="80" t="str">
        <f>+Assumptions!$G$8</f>
        <v>USD</v>
      </c>
      <c r="H487" s="32">
        <f>MIN(+H459-H475+H473,0)</f>
        <v>0</v>
      </c>
      <c r="I487" s="32">
        <f t="shared" ref="I487:BT487" si="842">MIN(+I459-I475+I473,0)</f>
        <v>-38973051.071999997</v>
      </c>
      <c r="J487" s="32">
        <f t="shared" ca="1" si="842"/>
        <v>-244309425.80388212</v>
      </c>
      <c r="K487" s="32">
        <f t="shared" ca="1" si="842"/>
        <v>-233429914.28807104</v>
      </c>
      <c r="L487" s="32">
        <f t="shared" ca="1" si="842"/>
        <v>-221926027.60636756</v>
      </c>
      <c r="M487" s="32">
        <f t="shared" ca="1" si="842"/>
        <v>-209761932.8680011</v>
      </c>
      <c r="N487" s="32">
        <f t="shared" ca="1" si="842"/>
        <v>-196899740.73259979</v>
      </c>
      <c r="O487" s="32">
        <f t="shared" ca="1" si="842"/>
        <v>-183299387.39054781</v>
      </c>
      <c r="P487" s="32">
        <f t="shared" ca="1" si="842"/>
        <v>-168918509.77019548</v>
      </c>
      <c r="Q487" s="32">
        <f t="shared" ca="1" si="842"/>
        <v>-153712313.58321112</v>
      </c>
      <c r="R487" s="32">
        <f t="shared" ca="1" si="842"/>
        <v>-137633433.79705572</v>
      </c>
      <c r="S487" s="32">
        <f t="shared" ca="1" si="842"/>
        <v>-120631787.09997287</v>
      </c>
      <c r="T487" s="32">
        <f t="shared" ca="1" si="842"/>
        <v>-102654415.89894444</v>
      </c>
      <c r="U487" s="32">
        <f t="shared" ca="1" si="842"/>
        <v>-83645323.364688978</v>
      </c>
      <c r="V487" s="32">
        <f t="shared" ca="1" si="842"/>
        <v>-63545299.009892598</v>
      </c>
      <c r="W487" s="32">
        <f t="shared" ca="1" si="842"/>
        <v>-42291734.257374451</v>
      </c>
      <c r="X487" s="32">
        <f t="shared" ca="1" si="842"/>
        <v>-19818427.423709288</v>
      </c>
      <c r="Y487" s="32">
        <f t="shared" ca="1" si="842"/>
        <v>-2.2351741790771484E-8</v>
      </c>
      <c r="Z487" s="32">
        <f t="shared" ca="1" si="842"/>
        <v>-2.2351741790771484E-8</v>
      </c>
      <c r="AA487" s="32">
        <f t="shared" ca="1" si="842"/>
        <v>-2.2351741790771484E-8</v>
      </c>
      <c r="AB487" s="32">
        <f t="shared" ca="1" si="842"/>
        <v>-2.2351741790771484E-8</v>
      </c>
      <c r="AC487" s="32">
        <f t="shared" ca="1" si="842"/>
        <v>-2.2351741790771484E-8</v>
      </c>
      <c r="AD487" s="32">
        <f t="shared" ca="1" si="842"/>
        <v>-2.2351741790771484E-8</v>
      </c>
      <c r="AE487" s="32">
        <f t="shared" ca="1" si="842"/>
        <v>-2.2351741790771484E-8</v>
      </c>
      <c r="AF487" s="32">
        <f t="shared" ca="1" si="842"/>
        <v>-2.2351741790771484E-8</v>
      </c>
      <c r="AG487" s="32">
        <f t="shared" ca="1" si="842"/>
        <v>-2.2351741790771484E-8</v>
      </c>
      <c r="AH487" s="32">
        <f t="shared" ca="1" si="842"/>
        <v>-2.2351741790771484E-8</v>
      </c>
      <c r="AI487" s="32">
        <f t="shared" ca="1" si="842"/>
        <v>-2.2351741790771484E-8</v>
      </c>
      <c r="AJ487" s="32">
        <f t="shared" ca="1" si="842"/>
        <v>-2.2351741790771484E-8</v>
      </c>
      <c r="AK487" s="32">
        <f t="shared" ca="1" si="842"/>
        <v>-2.2351741790771484E-8</v>
      </c>
      <c r="AL487" s="32">
        <f t="shared" ca="1" si="842"/>
        <v>-2.2351741790771484E-8</v>
      </c>
      <c r="AM487" s="32">
        <f t="shared" ca="1" si="842"/>
        <v>-2.2351741790771484E-8</v>
      </c>
      <c r="AN487" s="32">
        <f t="shared" ca="1" si="842"/>
        <v>-2.2351741790771484E-8</v>
      </c>
      <c r="AO487" s="32">
        <f t="shared" ca="1" si="842"/>
        <v>-2.2351741790771484E-8</v>
      </c>
      <c r="AP487" s="32">
        <f t="shared" ca="1" si="842"/>
        <v>-2.2351741790771484E-8</v>
      </c>
      <c r="AQ487" s="32">
        <f t="shared" ca="1" si="842"/>
        <v>-2.2351741790771484E-8</v>
      </c>
      <c r="AR487" s="32">
        <f t="shared" ca="1" si="842"/>
        <v>-2.2351741790771484E-8</v>
      </c>
      <c r="AS487" s="32">
        <f t="shared" ca="1" si="842"/>
        <v>-2.2351741790771484E-8</v>
      </c>
      <c r="AT487" s="32">
        <f t="shared" ca="1" si="842"/>
        <v>-2.2351741790771484E-8</v>
      </c>
      <c r="AU487" s="32">
        <f t="shared" ca="1" si="842"/>
        <v>-2.2351741790771484E-8</v>
      </c>
      <c r="AV487" s="32">
        <f t="shared" ca="1" si="842"/>
        <v>-2.2351741790771484E-8</v>
      </c>
      <c r="AW487" s="32">
        <f t="shared" ca="1" si="842"/>
        <v>-2.2351741790771484E-8</v>
      </c>
      <c r="AX487" s="32">
        <f t="shared" ca="1" si="842"/>
        <v>-2.2351741790771484E-8</v>
      </c>
      <c r="AY487" s="32">
        <f t="shared" ca="1" si="842"/>
        <v>-2.2351741790771484E-8</v>
      </c>
      <c r="AZ487" s="32">
        <f t="shared" ca="1" si="842"/>
        <v>-2.2351741790771484E-8</v>
      </c>
      <c r="BA487" s="32">
        <f t="shared" ca="1" si="842"/>
        <v>-2.2351741790771484E-8</v>
      </c>
      <c r="BB487" s="32">
        <f t="shared" ca="1" si="842"/>
        <v>-2.2351741790771484E-8</v>
      </c>
      <c r="BC487" s="32">
        <f t="shared" ca="1" si="842"/>
        <v>-2.2351741790771484E-8</v>
      </c>
      <c r="BD487" s="32">
        <f t="shared" ca="1" si="842"/>
        <v>-2.2351741790771484E-8</v>
      </c>
      <c r="BE487" s="32">
        <f t="shared" ca="1" si="842"/>
        <v>-2.2351741790771484E-8</v>
      </c>
      <c r="BF487" s="32">
        <f t="shared" ca="1" si="842"/>
        <v>-2.2351741790771484E-8</v>
      </c>
      <c r="BG487" s="32">
        <f t="shared" ca="1" si="842"/>
        <v>-2.2351741790771484E-8</v>
      </c>
      <c r="BH487" s="32">
        <f t="shared" ca="1" si="842"/>
        <v>-2.2351741790771484E-8</v>
      </c>
      <c r="BI487" s="32">
        <f t="shared" ca="1" si="842"/>
        <v>-2.2351741790771484E-8</v>
      </c>
      <c r="BJ487" s="32">
        <f t="shared" ca="1" si="842"/>
        <v>-2.2351741790771484E-8</v>
      </c>
      <c r="BK487" s="32">
        <f t="shared" ca="1" si="842"/>
        <v>-2.2351741790771484E-8</v>
      </c>
      <c r="BL487" s="32">
        <f t="shared" ca="1" si="842"/>
        <v>-2.2351741790771484E-8</v>
      </c>
      <c r="BM487" s="32">
        <f t="shared" ca="1" si="842"/>
        <v>-2.2351741790771484E-8</v>
      </c>
      <c r="BN487" s="32">
        <f t="shared" ca="1" si="842"/>
        <v>-2.2351741790771484E-8</v>
      </c>
      <c r="BO487" s="32">
        <f t="shared" ca="1" si="842"/>
        <v>-2.2351741790771484E-8</v>
      </c>
      <c r="BP487" s="32">
        <f t="shared" ca="1" si="842"/>
        <v>-2.2351741790771484E-8</v>
      </c>
      <c r="BQ487" s="32">
        <f t="shared" ca="1" si="842"/>
        <v>-2.2351741790771484E-8</v>
      </c>
      <c r="BR487" s="32">
        <f t="shared" ca="1" si="842"/>
        <v>-2.2351741790771484E-8</v>
      </c>
      <c r="BS487" s="32">
        <f t="shared" ca="1" si="842"/>
        <v>-2.2351741790771484E-8</v>
      </c>
      <c r="BT487" s="32">
        <f t="shared" ca="1" si="842"/>
        <v>-2.2351741790771484E-8</v>
      </c>
      <c r="BU487" s="32">
        <f t="shared" ref="BU487:BY487" ca="1" si="843">MIN(+BU459-BU475+BU473,0)</f>
        <v>-2.2351741790771484E-8</v>
      </c>
      <c r="BV487" s="32">
        <f t="shared" ca="1" si="843"/>
        <v>-2.2351741790771484E-8</v>
      </c>
      <c r="BW487" s="32">
        <f t="shared" ca="1" si="843"/>
        <v>-2.2351741790771484E-8</v>
      </c>
      <c r="BX487" s="32">
        <f t="shared" ca="1" si="843"/>
        <v>-2.2351741790771484E-8</v>
      </c>
      <c r="BY487" s="32">
        <f t="shared" ca="1" si="843"/>
        <v>-2.2351741790771484E-8</v>
      </c>
    </row>
    <row r="488" spans="3:77" outlineLevel="1">
      <c r="F488" s="23"/>
      <c r="BF488" s="33"/>
      <c r="BG488" s="33"/>
      <c r="BH488" s="33"/>
      <c r="BI488" s="33"/>
      <c r="BJ488" s="33"/>
      <c r="BK488" s="33"/>
      <c r="BL488" s="33"/>
      <c r="BM488" s="33"/>
      <c r="BN488" s="33"/>
      <c r="BO488" s="33"/>
      <c r="BP488" s="33"/>
      <c r="BQ488" s="33"/>
      <c r="BR488" s="33"/>
      <c r="BS488" s="33"/>
      <c r="BT488" s="33"/>
      <c r="BU488" s="33"/>
      <c r="BV488" s="33"/>
      <c r="BW488" s="33"/>
      <c r="BX488" s="33"/>
      <c r="BY488" s="33"/>
    </row>
    <row r="489" spans="3:77" ht="15" outlineLevel="1">
      <c r="C489" s="22" t="s">
        <v>525</v>
      </c>
      <c r="D489" s="31"/>
    </row>
    <row r="490" spans="3:77" ht="15" outlineLevel="1">
      <c r="C490" s="68" t="str">
        <f>+Assumptions!$G$99</f>
        <v>Equity-first</v>
      </c>
      <c r="D490" s="28"/>
      <c r="E490" s="22" t="s">
        <v>459</v>
      </c>
      <c r="H490" s="32"/>
      <c r="BF490" s="33"/>
      <c r="BG490" s="33"/>
      <c r="BH490" s="33"/>
      <c r="BI490" s="33"/>
      <c r="BJ490" s="33"/>
      <c r="BK490" s="33"/>
      <c r="BL490" s="33"/>
      <c r="BM490" s="33"/>
      <c r="BN490" s="33"/>
      <c r="BO490" s="33"/>
      <c r="BP490" s="33"/>
      <c r="BQ490" s="33"/>
      <c r="BR490" s="33"/>
      <c r="BS490" s="33"/>
      <c r="BT490" s="33"/>
      <c r="BU490" s="33"/>
      <c r="BV490" s="33"/>
      <c r="BW490" s="33"/>
      <c r="BX490" s="33"/>
      <c r="BY490" s="33"/>
    </row>
    <row r="491" spans="3:77" outlineLevel="1">
      <c r="C491" s="68" t="str">
        <f>+Assumptions!$G$100</f>
        <v>Annuity</v>
      </c>
      <c r="D491" s="28"/>
      <c r="E491" t="s">
        <v>458</v>
      </c>
      <c r="F491" s="80" t="str">
        <f>+Assumptions!$G$8</f>
        <v>USD</v>
      </c>
      <c r="H491" s="32">
        <f>IF(AND(H434=1,Assumptions!$G$328="Detailed",Assumptions!$G$327="yes"),-Assumptions_Detailed!H$113,MAX(IFERROR(H440-H454-H459,0),$C$494-SUM($G$491:G491)))</f>
        <v>0</v>
      </c>
      <c r="I491" s="32">
        <f>IF(AND(I434=1,Assumptions!$G$328="Detailed",Assumptions!$G$327="yes"),-Assumptions_Detailed!I$113,MAX(IFERROR(I440-I454-I459,0),$C$494-SUM($G$491:H491)))</f>
        <v>0</v>
      </c>
      <c r="J491" s="32">
        <f>IF(AND(J434=1,Assumptions!$G$328="Detailed",Assumptions!$G$327="yes"),-Assumptions_Detailed!J$113,MAX(IFERROR(J440-J454-J459,0),$C$494-SUM($G$491:I491)))</f>
        <v>0</v>
      </c>
      <c r="K491" s="32">
        <f>IF(AND(K434=1,Assumptions!$G$328="Detailed",Assumptions!$G$327="yes"),-Assumptions_Detailed!K$113,MAX(IFERROR(K440-K454-K459,0),$C$494-SUM($G$491:J491)))</f>
        <v>0</v>
      </c>
      <c r="L491" s="32">
        <f>IF(AND(L434=1,Assumptions!$G$328="Detailed",Assumptions!$G$327="yes"),-Assumptions_Detailed!L$113,MAX(IFERROR(L440-L454-L459,0),$C$494-SUM($G$491:K491)))</f>
        <v>0</v>
      </c>
      <c r="M491" s="32">
        <f>IF(AND(M434=1,Assumptions!$G$328="Detailed",Assumptions!$G$327="yes"),-Assumptions_Detailed!M$113,MAX(IFERROR(M440-M454-M459,0),$C$494-SUM($G$491:L491)))</f>
        <v>0</v>
      </c>
      <c r="N491" s="32">
        <f>IF(AND(N434=1,Assumptions!$G$328="Detailed",Assumptions!$G$327="yes"),-Assumptions_Detailed!N$113,MAX(IFERROR(N440-N454-N459,0),$C$494-SUM($G$491:M491)))</f>
        <v>0</v>
      </c>
      <c r="O491" s="32">
        <f>IF(AND(O434=1,Assumptions!$G$328="Detailed",Assumptions!$G$327="yes"),-Assumptions_Detailed!O$113,MAX(IFERROR(O440-O454-O459,0),$C$494-SUM($G$491:N491)))</f>
        <v>0</v>
      </c>
      <c r="P491" s="32">
        <f>IF(AND(P434=1,Assumptions!$G$328="Detailed",Assumptions!$G$327="yes"),-Assumptions_Detailed!P$113,MAX(IFERROR(P440-P454-P459,0),$C$494-SUM($G$491:O491)))</f>
        <v>0</v>
      </c>
      <c r="Q491" s="32">
        <f>IF(AND(Q434=1,Assumptions!$G$328="Detailed",Assumptions!$G$327="yes"),-Assumptions_Detailed!Q$113,MAX(IFERROR(Q440-Q454-Q459,0),$C$494-SUM($G$491:P491)))</f>
        <v>0</v>
      </c>
      <c r="R491" s="32">
        <f>IF(AND(R434=1,Assumptions!$G$328="Detailed",Assumptions!$G$327="yes"),-Assumptions_Detailed!R$113,MAX(IFERROR(R440-R454-R459,0),$C$494-SUM($G$491:Q491)))</f>
        <v>0</v>
      </c>
      <c r="S491" s="32">
        <f>IF(AND(S434=1,Assumptions!$G$328="Detailed",Assumptions!$G$327="yes"),-Assumptions_Detailed!S$113,MAX(IFERROR(S440-S454-S459,0),$C$494-SUM($G$491:R491)))</f>
        <v>0</v>
      </c>
      <c r="T491" s="32">
        <f>IF(AND(T434=1,Assumptions!$G$328="Detailed",Assumptions!$G$327="yes"),-Assumptions_Detailed!T$113,MAX(IFERROR(T440-T454-T459,0),$C$494-SUM($G$491:S491)))</f>
        <v>0</v>
      </c>
      <c r="U491" s="32">
        <f>IF(AND(U434=1,Assumptions!$G$328="Detailed",Assumptions!$G$327="yes"),-Assumptions_Detailed!U$113,MAX(IFERROR(U440-U454-U459,0),$C$494-SUM($G$491:T491)))</f>
        <v>0</v>
      </c>
      <c r="V491" s="32">
        <f>IF(AND(V434=1,Assumptions!$G$328="Detailed",Assumptions!$G$327="yes"),-Assumptions_Detailed!V$113,MAX(IFERROR(V440-V454-V459,0),$C$494-SUM($G$491:U491)))</f>
        <v>0</v>
      </c>
      <c r="W491" s="32">
        <f>IF(AND(W434=1,Assumptions!$G$328="Detailed",Assumptions!$G$327="yes"),-Assumptions_Detailed!W$113,MAX(IFERROR(W440-W454-W459,0),$C$494-SUM($G$491:V491)))</f>
        <v>0</v>
      </c>
      <c r="X491" s="32">
        <f>IF(AND(X434=1,Assumptions!$G$328="Detailed",Assumptions!$G$327="yes"),-Assumptions_Detailed!X$113,MAX(IFERROR(X440-X454-X459,0),$C$494-SUM($G$491:W491)))</f>
        <v>0</v>
      </c>
      <c r="Y491" s="32">
        <f>IF(AND(Y434=1,Assumptions!$G$328="Detailed",Assumptions!$G$327="yes"),-Assumptions_Detailed!Y$113,MAX(IFERROR(Y440-Y454-Y459,0),$C$494-SUM($G$491:X491)))</f>
        <v>0</v>
      </c>
      <c r="Z491" s="32">
        <f>IF(AND(Z434=1,Assumptions!$G$328="Detailed",Assumptions!$G$327="yes"),-Assumptions_Detailed!Z$113,MAX(IFERROR(Z440-Z454-Z459,0),$C$494-SUM($G$491:Y491)))</f>
        <v>0</v>
      </c>
      <c r="AA491" s="32">
        <f>IF(AND(AA434=1,Assumptions!$G$328="Detailed",Assumptions!$G$327="yes"),-Assumptions_Detailed!AA$113,MAX(IFERROR(AA440-AA454-AA459,0),$C$494-SUM($G$491:Z491)))</f>
        <v>0</v>
      </c>
      <c r="AB491" s="32">
        <f>IF(AND(AB434=1,Assumptions!$G$328="Detailed",Assumptions!$G$327="yes"),-Assumptions_Detailed!AB$113,MAX(IFERROR(AB440-AB454-AB459,0),$C$494-SUM($G$491:AA491)))</f>
        <v>0</v>
      </c>
      <c r="AC491" s="32">
        <f>IF(AND(AC434=1,Assumptions!$G$328="Detailed",Assumptions!$G$327="yes"),-Assumptions_Detailed!AC$113,MAX(IFERROR(AC440-AC454-AC459,0),$C$494-SUM($G$491:AB491)))</f>
        <v>0</v>
      </c>
      <c r="AD491" s="32">
        <f>IF(AND(AD434=1,Assumptions!$G$328="Detailed",Assumptions!$G$327="yes"),-Assumptions_Detailed!AD$113,MAX(IFERROR(AD440-AD454-AD459,0),$C$494-SUM($G$491:AC491)))</f>
        <v>0</v>
      </c>
      <c r="AE491" s="32">
        <f>IF(AND(AE434=1,Assumptions!$G$328="Detailed",Assumptions!$G$327="yes"),-Assumptions_Detailed!AE$113,MAX(IFERROR(AE440-AE454-AE459,0),$C$494-SUM($G$491:AD491)))</f>
        <v>0</v>
      </c>
      <c r="AF491" s="32">
        <f>IF(AND(AF434=1,Assumptions!$G$328="Detailed",Assumptions!$G$327="yes"),-Assumptions_Detailed!AF$113,MAX(IFERROR(AF440-AF454-AF459,0),$C$494-SUM($G$491:AE491)))</f>
        <v>0</v>
      </c>
      <c r="AG491" s="32">
        <f>IF(AND(AG434=1,Assumptions!$G$328="Detailed",Assumptions!$G$327="yes"),-Assumptions_Detailed!AG$113,MAX(IFERROR(AG440-AG454-AG459,0),$C$494-SUM($G$491:AF491)))</f>
        <v>0</v>
      </c>
      <c r="AH491" s="32">
        <f>IF(AND(AH434=1,Assumptions!$G$328="Detailed",Assumptions!$G$327="yes"),-Assumptions_Detailed!AH$113,MAX(IFERROR(AH440-AH454-AH459,0),$C$494-SUM($G$491:AG491)))</f>
        <v>0</v>
      </c>
      <c r="AI491" s="32">
        <f>IF(AND(AI434=1,Assumptions!$G$328="Detailed",Assumptions!$G$327="yes"),-Assumptions_Detailed!AI$113,MAX(IFERROR(AI440-AI454-AI459,0),$C$494-SUM($G$491:AH491)))</f>
        <v>0</v>
      </c>
      <c r="AJ491" s="32">
        <f>IF(AND(AJ434=1,Assumptions!$G$328="Detailed",Assumptions!$G$327="yes"),-Assumptions_Detailed!AJ$113,MAX(IFERROR(AJ440-AJ454-AJ459,0),$C$494-SUM($G$491:AI491)))</f>
        <v>0</v>
      </c>
      <c r="AK491" s="32">
        <f>IF(AND(AK434=1,Assumptions!$G$328="Detailed",Assumptions!$G$327="yes"),-Assumptions_Detailed!AK$113,MAX(IFERROR(AK440-AK454-AK459,0),$C$494-SUM($G$491:AJ491)))</f>
        <v>0</v>
      </c>
      <c r="AL491" s="32">
        <f>IF(AND(AL434=1,Assumptions!$G$328="Detailed",Assumptions!$G$327="yes"),-Assumptions_Detailed!AL$113,MAX(IFERROR(AL440-AL454-AL459,0),$C$494-SUM($G$491:AK491)))</f>
        <v>0</v>
      </c>
      <c r="AM491" s="32">
        <f>IF(AND(AM434=1,Assumptions!$G$328="Detailed",Assumptions!$G$327="yes"),-Assumptions_Detailed!AM$113,MAX(IFERROR(AM440-AM454-AM459,0),$C$494-SUM($G$491:AL491)))</f>
        <v>0</v>
      </c>
      <c r="AN491" s="32">
        <f>IF(AND(AN434=1,Assumptions!$G$328="Detailed",Assumptions!$G$327="yes"),-Assumptions_Detailed!AN$113,MAX(IFERROR(AN440-AN454-AN459,0),$C$494-SUM($G$491:AM491)))</f>
        <v>0</v>
      </c>
      <c r="AO491" s="32">
        <f>IF(AND(AO434=1,Assumptions!$G$328="Detailed",Assumptions!$G$327="yes"),-Assumptions_Detailed!AO$113,MAX(IFERROR(AO440-AO454-AO459,0),$C$494-SUM($G$491:AN491)))</f>
        <v>0</v>
      </c>
      <c r="AP491" s="32">
        <f>IF(AND(AP434=1,Assumptions!$G$328="Detailed",Assumptions!$G$327="yes"),-Assumptions_Detailed!AP$113,MAX(IFERROR(AP440-AP454-AP459,0),$C$494-SUM($G$491:AO491)))</f>
        <v>0</v>
      </c>
      <c r="AQ491" s="32">
        <f>IF(AND(AQ434=1,Assumptions!$G$328="Detailed",Assumptions!$G$327="yes"),-Assumptions_Detailed!AQ$113,MAX(IFERROR(AQ440-AQ454-AQ459,0),$C$494-SUM($G$491:AP491)))</f>
        <v>0</v>
      </c>
      <c r="AR491" s="32">
        <f>IF(AND(AR434=1,Assumptions!$G$328="Detailed",Assumptions!$G$327="yes"),-Assumptions_Detailed!AR$113,MAX(IFERROR(AR440-AR454-AR459,0),$C$494-SUM($G$491:AQ491)))</f>
        <v>0</v>
      </c>
      <c r="AS491" s="32">
        <f>IF(AND(AS434=1,Assumptions!$G$328="Detailed",Assumptions!$G$327="yes"),-Assumptions_Detailed!AS$113,MAX(IFERROR(AS440-AS454-AS459,0),$C$494-SUM($G$491:AR491)))</f>
        <v>0</v>
      </c>
      <c r="AT491" s="32">
        <f>IF(AND(AT434=1,Assumptions!$G$328="Detailed",Assumptions!$G$327="yes"),-Assumptions_Detailed!AT$113,MAX(IFERROR(AT440-AT454-AT459,0),$C$494-SUM($G$491:AS491)))</f>
        <v>0</v>
      </c>
      <c r="AU491" s="32">
        <f>IF(AND(AU434=1,Assumptions!$G$328="Detailed",Assumptions!$G$327="yes"),-Assumptions_Detailed!AU$113,MAX(IFERROR(AU440-AU454-AU459,0),$C$494-SUM($G$491:AT491)))</f>
        <v>0</v>
      </c>
      <c r="AV491" s="32">
        <f>IF(AND(AV434=1,Assumptions!$G$328="Detailed",Assumptions!$G$327="yes"),-Assumptions_Detailed!AV$113,MAX(IFERROR(AV440-AV454-AV459,0),$C$494-SUM($G$491:AU491)))</f>
        <v>0</v>
      </c>
      <c r="AW491" s="32">
        <f>IF(AND(AW434=1,Assumptions!$G$328="Detailed",Assumptions!$G$327="yes"),-Assumptions_Detailed!AW$113,MAX(IFERROR(AW440-AW454-AW459,0),$C$494-SUM($G$491:AV491)))</f>
        <v>0</v>
      </c>
      <c r="AX491" s="32">
        <f>IF(AND(AX434=1,Assumptions!$G$328="Detailed",Assumptions!$G$327="yes"),-Assumptions_Detailed!AX$113,MAX(IFERROR(AX440-AX454-AX459,0),$C$494-SUM($G$491:AW491)))</f>
        <v>0</v>
      </c>
      <c r="AY491" s="32">
        <f>IF(AND(AY434=1,Assumptions!$G$328="Detailed",Assumptions!$G$327="yes"),-Assumptions_Detailed!AY$113,MAX(IFERROR(AY440-AY454-AY459,0),$C$494-SUM($G$491:AX491)))</f>
        <v>0</v>
      </c>
      <c r="AZ491" s="32">
        <f>IF(AND(AZ434=1,Assumptions!$G$328="Detailed",Assumptions!$G$327="yes"),-Assumptions_Detailed!AZ$113,MAX(IFERROR(AZ440-AZ454-AZ459,0),$C$494-SUM($G$491:AY491)))</f>
        <v>0</v>
      </c>
      <c r="BA491" s="32">
        <f>IF(AND(BA434=1,Assumptions!$G$328="Detailed",Assumptions!$G$327="yes"),-Assumptions_Detailed!BA$113,MAX(IFERROR(BA440-BA454-BA459,0),$C$494-SUM($G$491:AZ491)))</f>
        <v>0</v>
      </c>
      <c r="BB491" s="32">
        <f>IF(AND(BB434=1,Assumptions!$G$328="Detailed",Assumptions!$G$327="yes"),-Assumptions_Detailed!BB$113,MAX(IFERROR(BB440-BB454-BB459,0),$C$494-SUM($G$491:BA491)))</f>
        <v>0</v>
      </c>
      <c r="BC491" s="32">
        <f>IF(AND(BC434=1,Assumptions!$G$328="Detailed",Assumptions!$G$327="yes"),-Assumptions_Detailed!BC$113,MAX(IFERROR(BC440-BC454-BC459,0),$C$494-SUM($G$491:BB491)))</f>
        <v>0</v>
      </c>
      <c r="BD491" s="32">
        <f>IF(AND(BD434=1,Assumptions!$G$328="Detailed",Assumptions!$G$327="yes"),-Assumptions_Detailed!BD$113,MAX(IFERROR(BD440-BD454-BD459,0),$C$494-SUM($G$491:BC491)))</f>
        <v>0</v>
      </c>
      <c r="BE491" s="32">
        <f>IF(AND(BE434=1,Assumptions!$G$328="Detailed",Assumptions!$G$327="yes"),-Assumptions_Detailed!BE$113,MAX(IFERROR(BE440-BE454-BE459,0),$C$494-SUM($G$491:BD491)))</f>
        <v>0</v>
      </c>
      <c r="BF491" s="32">
        <f>IF(AND(BF434=1,Assumptions!$G$328="Detailed",Assumptions!$G$327="yes"),-Assumptions_Detailed!BF$113,MAX(IFERROR(BF440-BF454-BF459,0),$C$494-SUM($G$491:BE491)))</f>
        <v>0</v>
      </c>
      <c r="BG491" s="32">
        <f>IF(AND(BG434=1,Assumptions!$G$328="Detailed",Assumptions!$G$327="yes"),-Assumptions_Detailed!BG$113,MAX(IFERROR(BG440-BG454-BG459,0),$C$494-SUM($G$491:BF491)))</f>
        <v>0</v>
      </c>
      <c r="BH491" s="32">
        <f>IF(AND(BH434=1,Assumptions!$G$328="Detailed",Assumptions!$G$327="yes"),-Assumptions_Detailed!BH$113,MAX(IFERROR(BH440-BH454-BH459,0),$C$494-SUM($G$491:BG491)))</f>
        <v>0</v>
      </c>
      <c r="BI491" s="32">
        <f>IF(AND(BI434=1,Assumptions!$G$328="Detailed",Assumptions!$G$327="yes"),-Assumptions_Detailed!BI$113,MAX(IFERROR(BI440-BI454-BI459,0),$C$494-SUM($G$491:BH491)))</f>
        <v>0</v>
      </c>
      <c r="BJ491" s="32">
        <f>IF(AND(BJ434=1,Assumptions!$G$328="Detailed",Assumptions!$G$327="yes"),-Assumptions_Detailed!BJ$113,MAX(IFERROR(BJ440-BJ454-BJ459,0),$C$494-SUM($G$491:BI491)))</f>
        <v>0</v>
      </c>
      <c r="BK491" s="32">
        <f>IF(AND(BK434=1,Assumptions!$G$328="Detailed",Assumptions!$G$327="yes"),-Assumptions_Detailed!BK$113,MAX(IFERROR(BK440-BK454-BK459,0),$C$494-SUM($G$491:BJ491)))</f>
        <v>0</v>
      </c>
      <c r="BL491" s="32">
        <f>IF(AND(BL434=1,Assumptions!$G$328="Detailed",Assumptions!$G$327="yes"),-Assumptions_Detailed!BL$113,MAX(IFERROR(BL440-BL454-BL459,0),$C$494-SUM($G$491:BK491)))</f>
        <v>0</v>
      </c>
      <c r="BM491" s="32">
        <f>IF(AND(BM434=1,Assumptions!$G$328="Detailed",Assumptions!$G$327="yes"),-Assumptions_Detailed!BM$113,MAX(IFERROR(BM440-BM454-BM459,0),$C$494-SUM($G$491:BL491)))</f>
        <v>0</v>
      </c>
      <c r="BN491" s="32">
        <f>IF(AND(BN434=1,Assumptions!$G$328="Detailed",Assumptions!$G$327="yes"),-Assumptions_Detailed!BN$113,MAX(IFERROR(BN440-BN454-BN459,0),$C$494-SUM($G$491:BM491)))</f>
        <v>0</v>
      </c>
      <c r="BO491" s="32">
        <f>IF(AND(BO434=1,Assumptions!$G$328="Detailed",Assumptions!$G$327="yes"),-Assumptions_Detailed!BO$113,MAX(IFERROR(BO440-BO454-BO459,0),$C$494-SUM($G$491:BN491)))</f>
        <v>0</v>
      </c>
      <c r="BP491" s="32">
        <f>IF(AND(BP434=1,Assumptions!$G$328="Detailed",Assumptions!$G$327="yes"),-Assumptions_Detailed!BP$113,MAX(IFERROR(BP440-BP454-BP459,0),$C$494-SUM($G$491:BO491)))</f>
        <v>0</v>
      </c>
      <c r="BQ491" s="32">
        <f>IF(AND(BQ434=1,Assumptions!$G$328="Detailed",Assumptions!$G$327="yes"),-Assumptions_Detailed!BQ$113,MAX(IFERROR(BQ440-BQ454-BQ459,0),$C$494-SUM($G$491:BP491)))</f>
        <v>0</v>
      </c>
      <c r="BR491" s="32">
        <f>IF(AND(BR434=1,Assumptions!$G$328="Detailed",Assumptions!$G$327="yes"),-Assumptions_Detailed!BR$113,MAX(IFERROR(BR440-BR454-BR459,0),$C$494-SUM($G$491:BQ491)))</f>
        <v>0</v>
      </c>
      <c r="BS491" s="32">
        <f>IF(AND(BS434=1,Assumptions!$G$328="Detailed",Assumptions!$G$327="yes"),-Assumptions_Detailed!BS$113,MAX(IFERROR(BS440-BS454-BS459,0),$C$494-SUM($G$491:BR491)))</f>
        <v>0</v>
      </c>
      <c r="BT491" s="32">
        <f>IF(AND(BT434=1,Assumptions!$G$328="Detailed",Assumptions!$G$327="yes"),-Assumptions_Detailed!BT$113,MAX(IFERROR(BT440-BT454-BT459,0),$C$494-SUM($G$491:BS491)))</f>
        <v>0</v>
      </c>
      <c r="BU491" s="32">
        <f>IF(AND(BU434=1,Assumptions!$G$328="Detailed",Assumptions!$G$327="yes"),-Assumptions_Detailed!BU$113,MAX(IFERROR(BU440-BU454-BU459,0),$C$494-SUM($G$491:BT491)))</f>
        <v>0</v>
      </c>
      <c r="BV491" s="32">
        <f>IF(AND(BV434=1,Assumptions!$G$328="Detailed",Assumptions!$G$327="yes"),-Assumptions_Detailed!BV$113,MAX(IFERROR(BV440-BV454-BV459,0),$C$494-SUM($G$491:BU491)))</f>
        <v>0</v>
      </c>
      <c r="BW491" s="32">
        <f>IF(AND(BW434=1,Assumptions!$G$328="Detailed",Assumptions!$G$327="yes"),-Assumptions_Detailed!BW$113,MAX(IFERROR(BW440-BW454-BW459,0),$C$494-SUM($G$491:BV491)))</f>
        <v>0</v>
      </c>
      <c r="BX491" s="32">
        <f>IF(AND(BX434=1,Assumptions!$G$328="Detailed",Assumptions!$G$327="yes"),-Assumptions_Detailed!BX$113,MAX(IFERROR(BX440-BX454-BX459,0),$C$494-SUM($G$491:BW491)))</f>
        <v>0</v>
      </c>
      <c r="BY491" s="32">
        <f>IF(AND(BY434=1,Assumptions!$G$328="Detailed",Assumptions!$G$327="yes"),-Assumptions_Detailed!BY$113,MAX(IFERROR(BY440-BY454-BY459,0),$C$494-SUM($G$491:BX491)))</f>
        <v>0</v>
      </c>
    </row>
    <row r="492" spans="3:77" outlineLevel="1">
      <c r="D492" s="31"/>
      <c r="BF492" s="33"/>
      <c r="BG492" s="33"/>
      <c r="BH492" s="33"/>
      <c r="BI492" s="33"/>
      <c r="BJ492" s="33"/>
      <c r="BK492" s="33"/>
      <c r="BL492" s="33"/>
      <c r="BM492" s="33"/>
      <c r="BN492" s="33"/>
      <c r="BO492" s="33"/>
      <c r="BP492" s="33"/>
      <c r="BQ492" s="33"/>
      <c r="BR492" s="33"/>
      <c r="BS492" s="33"/>
      <c r="BT492" s="33"/>
      <c r="BU492" s="33"/>
      <c r="BV492" s="33"/>
      <c r="BW492" s="33"/>
      <c r="BX492" s="33"/>
      <c r="BY492" s="33"/>
    </row>
    <row r="493" spans="3:77" ht="15" outlineLevel="1">
      <c r="C493" s="22" t="s">
        <v>498</v>
      </c>
      <c r="D493" s="31"/>
      <c r="BF493" s="33"/>
      <c r="BG493" s="33"/>
      <c r="BH493" s="33"/>
      <c r="BI493" s="33"/>
      <c r="BJ493" s="33"/>
      <c r="BK493" s="33"/>
      <c r="BL493" s="33"/>
      <c r="BM493" s="33"/>
      <c r="BN493" s="33"/>
      <c r="BO493" s="33"/>
      <c r="BP493" s="33"/>
      <c r="BQ493" s="33"/>
      <c r="BR493" s="33"/>
      <c r="BS493" s="33"/>
      <c r="BT493" s="33"/>
      <c r="BU493" s="33"/>
      <c r="BV493" s="33"/>
      <c r="BW493" s="33"/>
      <c r="BX493" s="33"/>
      <c r="BY493" s="33"/>
    </row>
    <row r="494" spans="3:77" outlineLevel="1">
      <c r="C494" s="94">
        <f>+Assumptions!$G$343*C439</f>
        <v>0</v>
      </c>
      <c r="D494" s="31"/>
      <c r="BF494" s="33"/>
      <c r="BG494" s="33"/>
      <c r="BH494" s="33"/>
      <c r="BI494" s="33"/>
      <c r="BJ494" s="33"/>
      <c r="BK494" s="33"/>
      <c r="BL494" s="33"/>
      <c r="BM494" s="33"/>
      <c r="BN494" s="33"/>
      <c r="BO494" s="33"/>
      <c r="BP494" s="33"/>
      <c r="BQ494" s="33"/>
      <c r="BR494" s="33"/>
      <c r="BS494" s="33"/>
      <c r="BT494" s="33"/>
      <c r="BU494" s="33"/>
      <c r="BV494" s="33"/>
      <c r="BW494" s="33"/>
      <c r="BX494" s="33"/>
      <c r="BY494" s="33"/>
    </row>
    <row r="495" spans="3:77" outlineLevel="1">
      <c r="D495" s="31"/>
      <c r="E495" t="s">
        <v>499</v>
      </c>
      <c r="F495" s="23" t="s">
        <v>500</v>
      </c>
      <c r="G495" s="33"/>
      <c r="H495" s="33" t="e" vm="1">
        <f>+IF(AND(H$491=$C497,H$491&lt;0),1,0)</f>
        <v>#VALUE!</v>
      </c>
      <c r="I495" s="33" t="e" vm="1">
        <f t="shared" ref="I495:BT495" si="844">+IF(AND(I$491=$C497,I$491&lt;0),1,0)</f>
        <v>#VALUE!</v>
      </c>
      <c r="J495" s="33" t="e" vm="1">
        <f t="shared" si="844"/>
        <v>#VALUE!</v>
      </c>
      <c r="K495" s="33" t="e" vm="1">
        <f t="shared" si="844"/>
        <v>#VALUE!</v>
      </c>
      <c r="L495" s="33" t="e" vm="1">
        <f t="shared" si="844"/>
        <v>#VALUE!</v>
      </c>
      <c r="M495" s="33" t="e" vm="1">
        <f t="shared" si="844"/>
        <v>#VALUE!</v>
      </c>
      <c r="N495" s="33" t="e" vm="1">
        <f t="shared" si="844"/>
        <v>#VALUE!</v>
      </c>
      <c r="O495" s="33" t="e" vm="1">
        <f t="shared" si="844"/>
        <v>#VALUE!</v>
      </c>
      <c r="P495" s="33" t="e" vm="1">
        <f t="shared" si="844"/>
        <v>#VALUE!</v>
      </c>
      <c r="Q495" s="33" t="e" vm="1">
        <f t="shared" si="844"/>
        <v>#VALUE!</v>
      </c>
      <c r="R495" s="33" t="e" vm="1">
        <f t="shared" si="844"/>
        <v>#VALUE!</v>
      </c>
      <c r="S495" s="33" t="e" vm="1">
        <f t="shared" si="844"/>
        <v>#VALUE!</v>
      </c>
      <c r="T495" s="33" t="e" vm="1">
        <f t="shared" si="844"/>
        <v>#VALUE!</v>
      </c>
      <c r="U495" s="33" t="e" vm="1">
        <f t="shared" si="844"/>
        <v>#VALUE!</v>
      </c>
      <c r="V495" s="33" t="e" vm="1">
        <f t="shared" si="844"/>
        <v>#VALUE!</v>
      </c>
      <c r="W495" s="33" t="e" vm="1">
        <f t="shared" si="844"/>
        <v>#VALUE!</v>
      </c>
      <c r="X495" s="33" t="e" vm="1">
        <f t="shared" si="844"/>
        <v>#VALUE!</v>
      </c>
      <c r="Y495" s="33" t="e" vm="1">
        <f t="shared" si="844"/>
        <v>#VALUE!</v>
      </c>
      <c r="Z495" s="33" t="e" vm="1">
        <f t="shared" si="844"/>
        <v>#VALUE!</v>
      </c>
      <c r="AA495" s="33" t="e" vm="1">
        <f t="shared" si="844"/>
        <v>#VALUE!</v>
      </c>
      <c r="AB495" s="33" t="e" vm="1">
        <f t="shared" si="844"/>
        <v>#VALUE!</v>
      </c>
      <c r="AC495" s="33" t="e" vm="1">
        <f t="shared" si="844"/>
        <v>#VALUE!</v>
      </c>
      <c r="AD495" s="33" t="e" vm="1">
        <f t="shared" si="844"/>
        <v>#VALUE!</v>
      </c>
      <c r="AE495" s="33" t="e" vm="1">
        <f t="shared" si="844"/>
        <v>#VALUE!</v>
      </c>
      <c r="AF495" s="33" t="e" vm="1">
        <f t="shared" si="844"/>
        <v>#VALUE!</v>
      </c>
      <c r="AG495" s="33" t="e" vm="1">
        <f t="shared" si="844"/>
        <v>#VALUE!</v>
      </c>
      <c r="AH495" s="33" t="e" vm="1">
        <f t="shared" si="844"/>
        <v>#VALUE!</v>
      </c>
      <c r="AI495" s="33" t="e" vm="1">
        <f t="shared" si="844"/>
        <v>#VALUE!</v>
      </c>
      <c r="AJ495" s="33" t="e" vm="1">
        <f t="shared" si="844"/>
        <v>#VALUE!</v>
      </c>
      <c r="AK495" s="33" t="e" vm="1">
        <f t="shared" si="844"/>
        <v>#VALUE!</v>
      </c>
      <c r="AL495" s="33" t="e" vm="1">
        <f t="shared" si="844"/>
        <v>#VALUE!</v>
      </c>
      <c r="AM495" s="33" t="e" vm="1">
        <f t="shared" si="844"/>
        <v>#VALUE!</v>
      </c>
      <c r="AN495" s="33" t="e" vm="1">
        <f t="shared" si="844"/>
        <v>#VALUE!</v>
      </c>
      <c r="AO495" s="33" t="e" vm="1">
        <f t="shared" si="844"/>
        <v>#VALUE!</v>
      </c>
      <c r="AP495" s="33" t="e" vm="1">
        <f t="shared" si="844"/>
        <v>#VALUE!</v>
      </c>
      <c r="AQ495" s="33" t="e" vm="1">
        <f t="shared" si="844"/>
        <v>#VALUE!</v>
      </c>
      <c r="AR495" s="33" t="e" vm="1">
        <f t="shared" si="844"/>
        <v>#VALUE!</v>
      </c>
      <c r="AS495" s="33" t="e" vm="1">
        <f t="shared" si="844"/>
        <v>#VALUE!</v>
      </c>
      <c r="AT495" s="33" t="e" vm="1">
        <f t="shared" si="844"/>
        <v>#VALUE!</v>
      </c>
      <c r="AU495" s="33" t="e" vm="1">
        <f t="shared" si="844"/>
        <v>#VALUE!</v>
      </c>
      <c r="AV495" s="33" t="e" vm="1">
        <f t="shared" si="844"/>
        <v>#VALUE!</v>
      </c>
      <c r="AW495" s="33" t="e" vm="1">
        <f t="shared" si="844"/>
        <v>#VALUE!</v>
      </c>
      <c r="AX495" s="33" t="e" vm="1">
        <f t="shared" si="844"/>
        <v>#VALUE!</v>
      </c>
      <c r="AY495" s="33" t="e" vm="1">
        <f t="shared" si="844"/>
        <v>#VALUE!</v>
      </c>
      <c r="AZ495" s="33" t="e" vm="1">
        <f t="shared" si="844"/>
        <v>#VALUE!</v>
      </c>
      <c r="BA495" s="33" t="e" vm="1">
        <f t="shared" si="844"/>
        <v>#VALUE!</v>
      </c>
      <c r="BB495" s="33" t="e" vm="1">
        <f t="shared" si="844"/>
        <v>#VALUE!</v>
      </c>
      <c r="BC495" s="33" t="e" vm="1">
        <f t="shared" si="844"/>
        <v>#VALUE!</v>
      </c>
      <c r="BD495" s="33" t="e" vm="1">
        <f t="shared" si="844"/>
        <v>#VALUE!</v>
      </c>
      <c r="BE495" s="33" t="e" vm="1">
        <f t="shared" si="844"/>
        <v>#VALUE!</v>
      </c>
      <c r="BF495" s="33" t="e" vm="1">
        <f t="shared" si="844"/>
        <v>#VALUE!</v>
      </c>
      <c r="BG495" s="33" t="e" vm="1">
        <f t="shared" si="844"/>
        <v>#VALUE!</v>
      </c>
      <c r="BH495" s="33" t="e" vm="1">
        <f t="shared" si="844"/>
        <v>#VALUE!</v>
      </c>
      <c r="BI495" s="33" t="e" vm="1">
        <f t="shared" si="844"/>
        <v>#VALUE!</v>
      </c>
      <c r="BJ495" s="33" t="e" vm="1">
        <f t="shared" si="844"/>
        <v>#VALUE!</v>
      </c>
      <c r="BK495" s="33" t="e" vm="1">
        <f t="shared" si="844"/>
        <v>#VALUE!</v>
      </c>
      <c r="BL495" s="33" t="e" vm="1">
        <f t="shared" si="844"/>
        <v>#VALUE!</v>
      </c>
      <c r="BM495" s="33" t="e" vm="1">
        <f t="shared" si="844"/>
        <v>#VALUE!</v>
      </c>
      <c r="BN495" s="33" t="e" vm="1">
        <f t="shared" si="844"/>
        <v>#VALUE!</v>
      </c>
      <c r="BO495" s="33" t="e" vm="1">
        <f t="shared" si="844"/>
        <v>#VALUE!</v>
      </c>
      <c r="BP495" s="33" t="e" vm="1">
        <f t="shared" si="844"/>
        <v>#VALUE!</v>
      </c>
      <c r="BQ495" s="33" t="e" vm="1">
        <f t="shared" si="844"/>
        <v>#VALUE!</v>
      </c>
      <c r="BR495" s="33" t="e" vm="1">
        <f t="shared" si="844"/>
        <v>#VALUE!</v>
      </c>
      <c r="BS495" s="33" t="e" vm="1">
        <f t="shared" si="844"/>
        <v>#VALUE!</v>
      </c>
      <c r="BT495" s="33" t="e" vm="1">
        <f t="shared" si="844"/>
        <v>#VALUE!</v>
      </c>
      <c r="BU495" s="33" t="e" vm="1">
        <f t="shared" ref="BU495:BY495" si="845">+IF(AND(BU$491=$C497,BU$491&lt;0),1,0)</f>
        <v>#VALUE!</v>
      </c>
      <c r="BV495" s="33" t="e" vm="1">
        <f t="shared" si="845"/>
        <v>#VALUE!</v>
      </c>
      <c r="BW495" s="33" t="e" vm="1">
        <f t="shared" si="845"/>
        <v>#VALUE!</v>
      </c>
      <c r="BX495" s="33" t="e" vm="1">
        <f t="shared" si="845"/>
        <v>#VALUE!</v>
      </c>
      <c r="BY495" s="33" t="e" vm="1">
        <f t="shared" si="845"/>
        <v>#VALUE!</v>
      </c>
    </row>
    <row r="496" spans="3:77" ht="15" outlineLevel="1">
      <c r="C496" s="22" t="s">
        <v>501</v>
      </c>
      <c r="D496" s="31"/>
      <c r="E496" t="s">
        <v>502</v>
      </c>
      <c r="F496" s="23" t="s">
        <v>500</v>
      </c>
      <c r="H496" s="33">
        <f t="shared" ref="H496:BS496" si="846">+IF(AND(H$491=$C498,H$491&lt;0),1,0)</f>
        <v>0</v>
      </c>
      <c r="I496" s="33">
        <f t="shared" si="846"/>
        <v>0</v>
      </c>
      <c r="J496" s="33">
        <f t="shared" si="846"/>
        <v>0</v>
      </c>
      <c r="K496" s="33">
        <f t="shared" si="846"/>
        <v>0</v>
      </c>
      <c r="L496" s="33">
        <f t="shared" si="846"/>
        <v>0</v>
      </c>
      <c r="M496" s="33">
        <f t="shared" si="846"/>
        <v>0</v>
      </c>
      <c r="N496" s="33">
        <f t="shared" si="846"/>
        <v>0</v>
      </c>
      <c r="O496" s="33">
        <f t="shared" si="846"/>
        <v>0</v>
      </c>
      <c r="P496" s="33">
        <f t="shared" si="846"/>
        <v>0</v>
      </c>
      <c r="Q496" s="33">
        <f t="shared" si="846"/>
        <v>0</v>
      </c>
      <c r="R496" s="33">
        <f t="shared" si="846"/>
        <v>0</v>
      </c>
      <c r="S496" s="33">
        <f t="shared" si="846"/>
        <v>0</v>
      </c>
      <c r="T496" s="33">
        <f t="shared" si="846"/>
        <v>0</v>
      </c>
      <c r="U496" s="33">
        <f t="shared" si="846"/>
        <v>0</v>
      </c>
      <c r="V496" s="33">
        <f t="shared" si="846"/>
        <v>0</v>
      </c>
      <c r="W496" s="33">
        <f t="shared" si="846"/>
        <v>0</v>
      </c>
      <c r="X496" s="33">
        <f t="shared" si="846"/>
        <v>0</v>
      </c>
      <c r="Y496" s="33">
        <f t="shared" si="846"/>
        <v>0</v>
      </c>
      <c r="Z496" s="33">
        <f t="shared" si="846"/>
        <v>0</v>
      </c>
      <c r="AA496" s="33">
        <f t="shared" si="846"/>
        <v>0</v>
      </c>
      <c r="AB496" s="33">
        <f t="shared" si="846"/>
        <v>0</v>
      </c>
      <c r="AC496" s="33">
        <f t="shared" si="846"/>
        <v>0</v>
      </c>
      <c r="AD496" s="33">
        <f t="shared" si="846"/>
        <v>0</v>
      </c>
      <c r="AE496" s="33">
        <f t="shared" si="846"/>
        <v>0</v>
      </c>
      <c r="AF496" s="33">
        <f t="shared" si="846"/>
        <v>0</v>
      </c>
      <c r="AG496" s="33">
        <f t="shared" si="846"/>
        <v>0</v>
      </c>
      <c r="AH496" s="33">
        <f t="shared" si="846"/>
        <v>0</v>
      </c>
      <c r="AI496" s="33">
        <f t="shared" si="846"/>
        <v>0</v>
      </c>
      <c r="AJ496" s="33">
        <f t="shared" si="846"/>
        <v>0</v>
      </c>
      <c r="AK496" s="33">
        <f t="shared" si="846"/>
        <v>0</v>
      </c>
      <c r="AL496" s="33">
        <f t="shared" si="846"/>
        <v>0</v>
      </c>
      <c r="AM496" s="33">
        <f t="shared" si="846"/>
        <v>0</v>
      </c>
      <c r="AN496" s="33">
        <f t="shared" si="846"/>
        <v>0</v>
      </c>
      <c r="AO496" s="33">
        <f t="shared" si="846"/>
        <v>0</v>
      </c>
      <c r="AP496" s="33">
        <f t="shared" si="846"/>
        <v>0</v>
      </c>
      <c r="AQ496" s="33">
        <f t="shared" si="846"/>
        <v>0</v>
      </c>
      <c r="AR496" s="33">
        <f t="shared" si="846"/>
        <v>0</v>
      </c>
      <c r="AS496" s="33">
        <f t="shared" si="846"/>
        <v>0</v>
      </c>
      <c r="AT496" s="33">
        <f t="shared" si="846"/>
        <v>0</v>
      </c>
      <c r="AU496" s="33">
        <f t="shared" si="846"/>
        <v>0</v>
      </c>
      <c r="AV496" s="33">
        <f t="shared" si="846"/>
        <v>0</v>
      </c>
      <c r="AW496" s="33">
        <f t="shared" si="846"/>
        <v>0</v>
      </c>
      <c r="AX496" s="33">
        <f t="shared" si="846"/>
        <v>0</v>
      </c>
      <c r="AY496" s="33">
        <f t="shared" si="846"/>
        <v>0</v>
      </c>
      <c r="AZ496" s="33">
        <f t="shared" si="846"/>
        <v>0</v>
      </c>
      <c r="BA496" s="33">
        <f t="shared" si="846"/>
        <v>0</v>
      </c>
      <c r="BB496" s="33">
        <f t="shared" si="846"/>
        <v>0</v>
      </c>
      <c r="BC496" s="33">
        <f t="shared" si="846"/>
        <v>0</v>
      </c>
      <c r="BD496" s="33">
        <f t="shared" si="846"/>
        <v>0</v>
      </c>
      <c r="BE496" s="33">
        <f t="shared" si="846"/>
        <v>0</v>
      </c>
      <c r="BF496" s="33">
        <f t="shared" si="846"/>
        <v>0</v>
      </c>
      <c r="BG496" s="33">
        <f t="shared" si="846"/>
        <v>0</v>
      </c>
      <c r="BH496" s="33">
        <f t="shared" si="846"/>
        <v>0</v>
      </c>
      <c r="BI496" s="33">
        <f t="shared" si="846"/>
        <v>0</v>
      </c>
      <c r="BJ496" s="33">
        <f t="shared" si="846"/>
        <v>0</v>
      </c>
      <c r="BK496" s="33">
        <f t="shared" si="846"/>
        <v>0</v>
      </c>
      <c r="BL496" s="33">
        <f t="shared" si="846"/>
        <v>0</v>
      </c>
      <c r="BM496" s="33">
        <f t="shared" si="846"/>
        <v>0</v>
      </c>
      <c r="BN496" s="33">
        <f t="shared" si="846"/>
        <v>0</v>
      </c>
      <c r="BO496" s="33">
        <f t="shared" si="846"/>
        <v>0</v>
      </c>
      <c r="BP496" s="33">
        <f t="shared" si="846"/>
        <v>0</v>
      </c>
      <c r="BQ496" s="33">
        <f t="shared" si="846"/>
        <v>0</v>
      </c>
      <c r="BR496" s="33">
        <f t="shared" si="846"/>
        <v>0</v>
      </c>
      <c r="BS496" s="33">
        <f t="shared" si="846"/>
        <v>0</v>
      </c>
      <c r="BT496" s="33">
        <f t="shared" ref="BT496:BY496" si="847">+IF(AND(BT$491=$C498,BT$491&lt;0),1,0)</f>
        <v>0</v>
      </c>
      <c r="BU496" s="33">
        <f t="shared" si="847"/>
        <v>0</v>
      </c>
      <c r="BV496" s="33">
        <f t="shared" si="847"/>
        <v>0</v>
      </c>
      <c r="BW496" s="33">
        <f t="shared" si="847"/>
        <v>0</v>
      </c>
      <c r="BX496" s="33">
        <f t="shared" si="847"/>
        <v>0</v>
      </c>
      <c r="BY496" s="33">
        <f t="shared" si="847"/>
        <v>0</v>
      </c>
    </row>
    <row r="497" spans="3:77" outlineLevel="1">
      <c r="C497" s="32" t="e" cm="1" vm="2">
        <f t="array" ref="C497">+TRANSPOSE(_xlfn._xlws.FILTER(H491:BY491,H491:BY491))</f>
        <v>#VALUE!</v>
      </c>
      <c r="D497" s="31"/>
      <c r="E497" t="s">
        <v>503</v>
      </c>
      <c r="F497" s="23" t="s">
        <v>500</v>
      </c>
      <c r="H497" s="33">
        <f t="shared" ref="H497:BS497" si="848">+IF(AND(H$491=$C499,H$491&lt;0),1,0)</f>
        <v>0</v>
      </c>
      <c r="I497" s="33">
        <f t="shared" si="848"/>
        <v>0</v>
      </c>
      <c r="J497" s="33">
        <f t="shared" si="848"/>
        <v>0</v>
      </c>
      <c r="K497" s="33">
        <f t="shared" si="848"/>
        <v>0</v>
      </c>
      <c r="L497" s="33">
        <f t="shared" si="848"/>
        <v>0</v>
      </c>
      <c r="M497" s="33">
        <f t="shared" si="848"/>
        <v>0</v>
      </c>
      <c r="N497" s="33">
        <f t="shared" si="848"/>
        <v>0</v>
      </c>
      <c r="O497" s="33">
        <f t="shared" si="848"/>
        <v>0</v>
      </c>
      <c r="P497" s="33">
        <f t="shared" si="848"/>
        <v>0</v>
      </c>
      <c r="Q497" s="33">
        <f t="shared" si="848"/>
        <v>0</v>
      </c>
      <c r="R497" s="33">
        <f t="shared" si="848"/>
        <v>0</v>
      </c>
      <c r="S497" s="33">
        <f t="shared" si="848"/>
        <v>0</v>
      </c>
      <c r="T497" s="33">
        <f t="shared" si="848"/>
        <v>0</v>
      </c>
      <c r="U497" s="33">
        <f t="shared" si="848"/>
        <v>0</v>
      </c>
      <c r="V497" s="33">
        <f t="shared" si="848"/>
        <v>0</v>
      </c>
      <c r="W497" s="33">
        <f t="shared" si="848"/>
        <v>0</v>
      </c>
      <c r="X497" s="33">
        <f t="shared" si="848"/>
        <v>0</v>
      </c>
      <c r="Y497" s="33">
        <f t="shared" si="848"/>
        <v>0</v>
      </c>
      <c r="Z497" s="33">
        <f t="shared" si="848"/>
        <v>0</v>
      </c>
      <c r="AA497" s="33">
        <f t="shared" si="848"/>
        <v>0</v>
      </c>
      <c r="AB497" s="33">
        <f t="shared" si="848"/>
        <v>0</v>
      </c>
      <c r="AC497" s="33">
        <f t="shared" si="848"/>
        <v>0</v>
      </c>
      <c r="AD497" s="33">
        <f t="shared" si="848"/>
        <v>0</v>
      </c>
      <c r="AE497" s="33">
        <f t="shared" si="848"/>
        <v>0</v>
      </c>
      <c r="AF497" s="33">
        <f t="shared" si="848"/>
        <v>0</v>
      </c>
      <c r="AG497" s="33">
        <f t="shared" si="848"/>
        <v>0</v>
      </c>
      <c r="AH497" s="33">
        <f t="shared" si="848"/>
        <v>0</v>
      </c>
      <c r="AI497" s="33">
        <f t="shared" si="848"/>
        <v>0</v>
      </c>
      <c r="AJ497" s="33">
        <f t="shared" si="848"/>
        <v>0</v>
      </c>
      <c r="AK497" s="33">
        <f t="shared" si="848"/>
        <v>0</v>
      </c>
      <c r="AL497" s="33">
        <f t="shared" si="848"/>
        <v>0</v>
      </c>
      <c r="AM497" s="33">
        <f t="shared" si="848"/>
        <v>0</v>
      </c>
      <c r="AN497" s="33">
        <f t="shared" si="848"/>
        <v>0</v>
      </c>
      <c r="AO497" s="33">
        <f t="shared" si="848"/>
        <v>0</v>
      </c>
      <c r="AP497" s="33">
        <f t="shared" si="848"/>
        <v>0</v>
      </c>
      <c r="AQ497" s="33">
        <f t="shared" si="848"/>
        <v>0</v>
      </c>
      <c r="AR497" s="33">
        <f t="shared" si="848"/>
        <v>0</v>
      </c>
      <c r="AS497" s="33">
        <f t="shared" si="848"/>
        <v>0</v>
      </c>
      <c r="AT497" s="33">
        <f t="shared" si="848"/>
        <v>0</v>
      </c>
      <c r="AU497" s="33">
        <f t="shared" si="848"/>
        <v>0</v>
      </c>
      <c r="AV497" s="33">
        <f t="shared" si="848"/>
        <v>0</v>
      </c>
      <c r="AW497" s="33">
        <f t="shared" si="848"/>
        <v>0</v>
      </c>
      <c r="AX497" s="33">
        <f t="shared" si="848"/>
        <v>0</v>
      </c>
      <c r="AY497" s="33">
        <f t="shared" si="848"/>
        <v>0</v>
      </c>
      <c r="AZ497" s="33">
        <f t="shared" si="848"/>
        <v>0</v>
      </c>
      <c r="BA497" s="33">
        <f t="shared" si="848"/>
        <v>0</v>
      </c>
      <c r="BB497" s="33">
        <f t="shared" si="848"/>
        <v>0</v>
      </c>
      <c r="BC497" s="33">
        <f t="shared" si="848"/>
        <v>0</v>
      </c>
      <c r="BD497" s="33">
        <f t="shared" si="848"/>
        <v>0</v>
      </c>
      <c r="BE497" s="33">
        <f t="shared" si="848"/>
        <v>0</v>
      </c>
      <c r="BF497" s="33">
        <f t="shared" si="848"/>
        <v>0</v>
      </c>
      <c r="BG497" s="33">
        <f t="shared" si="848"/>
        <v>0</v>
      </c>
      <c r="BH497" s="33">
        <f t="shared" si="848"/>
        <v>0</v>
      </c>
      <c r="BI497" s="33">
        <f t="shared" si="848"/>
        <v>0</v>
      </c>
      <c r="BJ497" s="33">
        <f t="shared" si="848"/>
        <v>0</v>
      </c>
      <c r="BK497" s="33">
        <f t="shared" si="848"/>
        <v>0</v>
      </c>
      <c r="BL497" s="33">
        <f t="shared" si="848"/>
        <v>0</v>
      </c>
      <c r="BM497" s="33">
        <f t="shared" si="848"/>
        <v>0</v>
      </c>
      <c r="BN497" s="33">
        <f t="shared" si="848"/>
        <v>0</v>
      </c>
      <c r="BO497" s="33">
        <f t="shared" si="848"/>
        <v>0</v>
      </c>
      <c r="BP497" s="33">
        <f t="shared" si="848"/>
        <v>0</v>
      </c>
      <c r="BQ497" s="33">
        <f t="shared" si="848"/>
        <v>0</v>
      </c>
      <c r="BR497" s="33">
        <f t="shared" si="848"/>
        <v>0</v>
      </c>
      <c r="BS497" s="33">
        <f t="shared" si="848"/>
        <v>0</v>
      </c>
      <c r="BT497" s="33">
        <f t="shared" ref="BT497:BY497" si="849">+IF(AND(BT$491=$C499,BT$491&lt;0),1,0)</f>
        <v>0</v>
      </c>
      <c r="BU497" s="33">
        <f t="shared" si="849"/>
        <v>0</v>
      </c>
      <c r="BV497" s="33">
        <f t="shared" si="849"/>
        <v>0</v>
      </c>
      <c r="BW497" s="33">
        <f t="shared" si="849"/>
        <v>0</v>
      </c>
      <c r="BX497" s="33">
        <f t="shared" si="849"/>
        <v>0</v>
      </c>
      <c r="BY497" s="33">
        <f t="shared" si="849"/>
        <v>0</v>
      </c>
    </row>
    <row r="498" spans="3:77" outlineLevel="1">
      <c r="C498" s="32"/>
      <c r="D498" s="31"/>
      <c r="E498" t="s">
        <v>504</v>
      </c>
      <c r="F498" s="23" t="s">
        <v>500</v>
      </c>
      <c r="H498" s="33">
        <f t="shared" ref="H498:BS498" si="850">+IF(AND(H$491=$C500,H$491&lt;0),1,0)</f>
        <v>0</v>
      </c>
      <c r="I498" s="33">
        <f t="shared" si="850"/>
        <v>0</v>
      </c>
      <c r="J498" s="33">
        <f t="shared" si="850"/>
        <v>0</v>
      </c>
      <c r="K498" s="33">
        <f t="shared" si="850"/>
        <v>0</v>
      </c>
      <c r="L498" s="33">
        <f t="shared" si="850"/>
        <v>0</v>
      </c>
      <c r="M498" s="33">
        <f t="shared" si="850"/>
        <v>0</v>
      </c>
      <c r="N498" s="33">
        <f t="shared" si="850"/>
        <v>0</v>
      </c>
      <c r="O498" s="33">
        <f t="shared" si="850"/>
        <v>0</v>
      </c>
      <c r="P498" s="33">
        <f t="shared" si="850"/>
        <v>0</v>
      </c>
      <c r="Q498" s="33">
        <f t="shared" si="850"/>
        <v>0</v>
      </c>
      <c r="R498" s="33">
        <f t="shared" si="850"/>
        <v>0</v>
      </c>
      <c r="S498" s="33">
        <f t="shared" si="850"/>
        <v>0</v>
      </c>
      <c r="T498" s="33">
        <f t="shared" si="850"/>
        <v>0</v>
      </c>
      <c r="U498" s="33">
        <f t="shared" si="850"/>
        <v>0</v>
      </c>
      <c r="V498" s="33">
        <f t="shared" si="850"/>
        <v>0</v>
      </c>
      <c r="W498" s="33">
        <f t="shared" si="850"/>
        <v>0</v>
      </c>
      <c r="X498" s="33">
        <f t="shared" si="850"/>
        <v>0</v>
      </c>
      <c r="Y498" s="33">
        <f t="shared" si="850"/>
        <v>0</v>
      </c>
      <c r="Z498" s="33">
        <f t="shared" si="850"/>
        <v>0</v>
      </c>
      <c r="AA498" s="33">
        <f t="shared" si="850"/>
        <v>0</v>
      </c>
      <c r="AB498" s="33">
        <f t="shared" si="850"/>
        <v>0</v>
      </c>
      <c r="AC498" s="33">
        <f t="shared" si="850"/>
        <v>0</v>
      </c>
      <c r="AD498" s="33">
        <f t="shared" si="850"/>
        <v>0</v>
      </c>
      <c r="AE498" s="33">
        <f t="shared" si="850"/>
        <v>0</v>
      </c>
      <c r="AF498" s="33">
        <f t="shared" si="850"/>
        <v>0</v>
      </c>
      <c r="AG498" s="33">
        <f t="shared" si="850"/>
        <v>0</v>
      </c>
      <c r="AH498" s="33">
        <f t="shared" si="850"/>
        <v>0</v>
      </c>
      <c r="AI498" s="33">
        <f t="shared" si="850"/>
        <v>0</v>
      </c>
      <c r="AJ498" s="33">
        <f t="shared" si="850"/>
        <v>0</v>
      </c>
      <c r="AK498" s="33">
        <f t="shared" si="850"/>
        <v>0</v>
      </c>
      <c r="AL498" s="33">
        <f t="shared" si="850"/>
        <v>0</v>
      </c>
      <c r="AM498" s="33">
        <f t="shared" si="850"/>
        <v>0</v>
      </c>
      <c r="AN498" s="33">
        <f t="shared" si="850"/>
        <v>0</v>
      </c>
      <c r="AO498" s="33">
        <f t="shared" si="850"/>
        <v>0</v>
      </c>
      <c r="AP498" s="33">
        <f t="shared" si="850"/>
        <v>0</v>
      </c>
      <c r="AQ498" s="33">
        <f t="shared" si="850"/>
        <v>0</v>
      </c>
      <c r="AR498" s="33">
        <f t="shared" si="850"/>
        <v>0</v>
      </c>
      <c r="AS498" s="33">
        <f t="shared" si="850"/>
        <v>0</v>
      </c>
      <c r="AT498" s="33">
        <f t="shared" si="850"/>
        <v>0</v>
      </c>
      <c r="AU498" s="33">
        <f t="shared" si="850"/>
        <v>0</v>
      </c>
      <c r="AV498" s="33">
        <f t="shared" si="850"/>
        <v>0</v>
      </c>
      <c r="AW498" s="33">
        <f t="shared" si="850"/>
        <v>0</v>
      </c>
      <c r="AX498" s="33">
        <f t="shared" si="850"/>
        <v>0</v>
      </c>
      <c r="AY498" s="33">
        <f t="shared" si="850"/>
        <v>0</v>
      </c>
      <c r="AZ498" s="33">
        <f t="shared" si="850"/>
        <v>0</v>
      </c>
      <c r="BA498" s="33">
        <f t="shared" si="850"/>
        <v>0</v>
      </c>
      <c r="BB498" s="33">
        <f t="shared" si="850"/>
        <v>0</v>
      </c>
      <c r="BC498" s="33">
        <f t="shared" si="850"/>
        <v>0</v>
      </c>
      <c r="BD498" s="33">
        <f t="shared" si="850"/>
        <v>0</v>
      </c>
      <c r="BE498" s="33">
        <f t="shared" si="850"/>
        <v>0</v>
      </c>
      <c r="BF498" s="33">
        <f t="shared" si="850"/>
        <v>0</v>
      </c>
      <c r="BG498" s="33">
        <f t="shared" si="850"/>
        <v>0</v>
      </c>
      <c r="BH498" s="33">
        <f t="shared" si="850"/>
        <v>0</v>
      </c>
      <c r="BI498" s="33">
        <f t="shared" si="850"/>
        <v>0</v>
      </c>
      <c r="BJ498" s="33">
        <f t="shared" si="850"/>
        <v>0</v>
      </c>
      <c r="BK498" s="33">
        <f t="shared" si="850"/>
        <v>0</v>
      </c>
      <c r="BL498" s="33">
        <f t="shared" si="850"/>
        <v>0</v>
      </c>
      <c r="BM498" s="33">
        <f t="shared" si="850"/>
        <v>0</v>
      </c>
      <c r="BN498" s="33">
        <f t="shared" si="850"/>
        <v>0</v>
      </c>
      <c r="BO498" s="33">
        <f t="shared" si="850"/>
        <v>0</v>
      </c>
      <c r="BP498" s="33">
        <f t="shared" si="850"/>
        <v>0</v>
      </c>
      <c r="BQ498" s="33">
        <f t="shared" si="850"/>
        <v>0</v>
      </c>
      <c r="BR498" s="33">
        <f t="shared" si="850"/>
        <v>0</v>
      </c>
      <c r="BS498" s="33">
        <f t="shared" si="850"/>
        <v>0</v>
      </c>
      <c r="BT498" s="33">
        <f t="shared" ref="BT498:BY498" si="851">+IF(AND(BT$491=$C500,BT$491&lt;0),1,0)</f>
        <v>0</v>
      </c>
      <c r="BU498" s="33">
        <f t="shared" si="851"/>
        <v>0</v>
      </c>
      <c r="BV498" s="33">
        <f t="shared" si="851"/>
        <v>0</v>
      </c>
      <c r="BW498" s="33">
        <f t="shared" si="851"/>
        <v>0</v>
      </c>
      <c r="BX498" s="33">
        <f t="shared" si="851"/>
        <v>0</v>
      </c>
      <c r="BY498" s="33">
        <f t="shared" si="851"/>
        <v>0</v>
      </c>
    </row>
    <row r="499" spans="3:77" outlineLevel="1">
      <c r="C499" s="32"/>
      <c r="D499" s="31"/>
      <c r="E499" t="s">
        <v>505</v>
      </c>
      <c r="F499" s="23" t="s">
        <v>500</v>
      </c>
      <c r="H499" s="33">
        <f t="shared" ref="H499:BS499" si="852">+IF(AND(H$491=$C501,H$491&lt;0),1,0)</f>
        <v>0</v>
      </c>
      <c r="I499" s="33">
        <f t="shared" si="852"/>
        <v>0</v>
      </c>
      <c r="J499" s="33">
        <f t="shared" si="852"/>
        <v>0</v>
      </c>
      <c r="K499" s="33">
        <f t="shared" si="852"/>
        <v>0</v>
      </c>
      <c r="L499" s="33">
        <f t="shared" si="852"/>
        <v>0</v>
      </c>
      <c r="M499" s="33">
        <f t="shared" si="852"/>
        <v>0</v>
      </c>
      <c r="N499" s="33">
        <f t="shared" si="852"/>
        <v>0</v>
      </c>
      <c r="O499" s="33">
        <f t="shared" si="852"/>
        <v>0</v>
      </c>
      <c r="P499" s="33">
        <f t="shared" si="852"/>
        <v>0</v>
      </c>
      <c r="Q499" s="33">
        <f t="shared" si="852"/>
        <v>0</v>
      </c>
      <c r="R499" s="33">
        <f t="shared" si="852"/>
        <v>0</v>
      </c>
      <c r="S499" s="33">
        <f t="shared" si="852"/>
        <v>0</v>
      </c>
      <c r="T499" s="33">
        <f t="shared" si="852"/>
        <v>0</v>
      </c>
      <c r="U499" s="33">
        <f t="shared" si="852"/>
        <v>0</v>
      </c>
      <c r="V499" s="33">
        <f t="shared" si="852"/>
        <v>0</v>
      </c>
      <c r="W499" s="33">
        <f t="shared" si="852"/>
        <v>0</v>
      </c>
      <c r="X499" s="33">
        <f t="shared" si="852"/>
        <v>0</v>
      </c>
      <c r="Y499" s="33">
        <f t="shared" si="852"/>
        <v>0</v>
      </c>
      <c r="Z499" s="33">
        <f t="shared" si="852"/>
        <v>0</v>
      </c>
      <c r="AA499" s="33">
        <f t="shared" si="852"/>
        <v>0</v>
      </c>
      <c r="AB499" s="33">
        <f t="shared" si="852"/>
        <v>0</v>
      </c>
      <c r="AC499" s="33">
        <f t="shared" si="852"/>
        <v>0</v>
      </c>
      <c r="AD499" s="33">
        <f t="shared" si="852"/>
        <v>0</v>
      </c>
      <c r="AE499" s="33">
        <f t="shared" si="852"/>
        <v>0</v>
      </c>
      <c r="AF499" s="33">
        <f t="shared" si="852"/>
        <v>0</v>
      </c>
      <c r="AG499" s="33">
        <f t="shared" si="852"/>
        <v>0</v>
      </c>
      <c r="AH499" s="33">
        <f t="shared" si="852"/>
        <v>0</v>
      </c>
      <c r="AI499" s="33">
        <f t="shared" si="852"/>
        <v>0</v>
      </c>
      <c r="AJ499" s="33">
        <f t="shared" si="852"/>
        <v>0</v>
      </c>
      <c r="AK499" s="33">
        <f t="shared" si="852"/>
        <v>0</v>
      </c>
      <c r="AL499" s="33">
        <f t="shared" si="852"/>
        <v>0</v>
      </c>
      <c r="AM499" s="33">
        <f t="shared" si="852"/>
        <v>0</v>
      </c>
      <c r="AN499" s="33">
        <f t="shared" si="852"/>
        <v>0</v>
      </c>
      <c r="AO499" s="33">
        <f t="shared" si="852"/>
        <v>0</v>
      </c>
      <c r="AP499" s="33">
        <f t="shared" si="852"/>
        <v>0</v>
      </c>
      <c r="AQ499" s="33">
        <f t="shared" si="852"/>
        <v>0</v>
      </c>
      <c r="AR499" s="33">
        <f t="shared" si="852"/>
        <v>0</v>
      </c>
      <c r="AS499" s="33">
        <f t="shared" si="852"/>
        <v>0</v>
      </c>
      <c r="AT499" s="33">
        <f t="shared" si="852"/>
        <v>0</v>
      </c>
      <c r="AU499" s="33">
        <f t="shared" si="852"/>
        <v>0</v>
      </c>
      <c r="AV499" s="33">
        <f t="shared" si="852"/>
        <v>0</v>
      </c>
      <c r="AW499" s="33">
        <f t="shared" si="852"/>
        <v>0</v>
      </c>
      <c r="AX499" s="33">
        <f t="shared" si="852"/>
        <v>0</v>
      </c>
      <c r="AY499" s="33">
        <f t="shared" si="852"/>
        <v>0</v>
      </c>
      <c r="AZ499" s="33">
        <f t="shared" si="852"/>
        <v>0</v>
      </c>
      <c r="BA499" s="33">
        <f t="shared" si="852"/>
        <v>0</v>
      </c>
      <c r="BB499" s="33">
        <f t="shared" si="852"/>
        <v>0</v>
      </c>
      <c r="BC499" s="33">
        <f t="shared" si="852"/>
        <v>0</v>
      </c>
      <c r="BD499" s="33">
        <f t="shared" si="852"/>
        <v>0</v>
      </c>
      <c r="BE499" s="33">
        <f t="shared" si="852"/>
        <v>0</v>
      </c>
      <c r="BF499" s="33">
        <f t="shared" si="852"/>
        <v>0</v>
      </c>
      <c r="BG499" s="33">
        <f t="shared" si="852"/>
        <v>0</v>
      </c>
      <c r="BH499" s="33">
        <f t="shared" si="852"/>
        <v>0</v>
      </c>
      <c r="BI499" s="33">
        <f t="shared" si="852"/>
        <v>0</v>
      </c>
      <c r="BJ499" s="33">
        <f t="shared" si="852"/>
        <v>0</v>
      </c>
      <c r="BK499" s="33">
        <f t="shared" si="852"/>
        <v>0</v>
      </c>
      <c r="BL499" s="33">
        <f t="shared" si="852"/>
        <v>0</v>
      </c>
      <c r="BM499" s="33">
        <f t="shared" si="852"/>
        <v>0</v>
      </c>
      <c r="BN499" s="33">
        <f t="shared" si="852"/>
        <v>0</v>
      </c>
      <c r="BO499" s="33">
        <f t="shared" si="852"/>
        <v>0</v>
      </c>
      <c r="BP499" s="33">
        <f t="shared" si="852"/>
        <v>0</v>
      </c>
      <c r="BQ499" s="33">
        <f t="shared" si="852"/>
        <v>0</v>
      </c>
      <c r="BR499" s="33">
        <f t="shared" si="852"/>
        <v>0</v>
      </c>
      <c r="BS499" s="33">
        <f t="shared" si="852"/>
        <v>0</v>
      </c>
      <c r="BT499" s="33">
        <f t="shared" ref="BT499:BY499" si="853">+IF(AND(BT$491=$C501,BT$491&lt;0),1,0)</f>
        <v>0</v>
      </c>
      <c r="BU499" s="33">
        <f t="shared" si="853"/>
        <v>0</v>
      </c>
      <c r="BV499" s="33">
        <f t="shared" si="853"/>
        <v>0</v>
      </c>
      <c r="BW499" s="33">
        <f t="shared" si="853"/>
        <v>0</v>
      </c>
      <c r="BX499" s="33">
        <f t="shared" si="853"/>
        <v>0</v>
      </c>
      <c r="BY499" s="33">
        <f t="shared" si="853"/>
        <v>0</v>
      </c>
    </row>
    <row r="500" spans="3:77" outlineLevel="1">
      <c r="C500" s="32"/>
      <c r="D500" s="31"/>
      <c r="E500" t="s">
        <v>506</v>
      </c>
      <c r="F500" s="23" t="s">
        <v>500</v>
      </c>
      <c r="H500" s="33">
        <f t="shared" ref="H500:BS500" si="854">+IF(AND(H$491=$C502,H$491&lt;0),1,0)</f>
        <v>0</v>
      </c>
      <c r="I500" s="33">
        <f t="shared" si="854"/>
        <v>0</v>
      </c>
      <c r="J500" s="33">
        <f t="shared" si="854"/>
        <v>0</v>
      </c>
      <c r="K500" s="33">
        <f t="shared" si="854"/>
        <v>0</v>
      </c>
      <c r="L500" s="33">
        <f t="shared" si="854"/>
        <v>0</v>
      </c>
      <c r="M500" s="33">
        <f t="shared" si="854"/>
        <v>0</v>
      </c>
      <c r="N500" s="33">
        <f t="shared" si="854"/>
        <v>0</v>
      </c>
      <c r="O500" s="33">
        <f t="shared" si="854"/>
        <v>0</v>
      </c>
      <c r="P500" s="33">
        <f t="shared" si="854"/>
        <v>0</v>
      </c>
      <c r="Q500" s="33">
        <f t="shared" si="854"/>
        <v>0</v>
      </c>
      <c r="R500" s="33">
        <f t="shared" si="854"/>
        <v>0</v>
      </c>
      <c r="S500" s="33">
        <f t="shared" si="854"/>
        <v>0</v>
      </c>
      <c r="T500" s="33">
        <f t="shared" si="854"/>
        <v>0</v>
      </c>
      <c r="U500" s="33">
        <f t="shared" si="854"/>
        <v>0</v>
      </c>
      <c r="V500" s="33">
        <f t="shared" si="854"/>
        <v>0</v>
      </c>
      <c r="W500" s="33">
        <f t="shared" si="854"/>
        <v>0</v>
      </c>
      <c r="X500" s="33">
        <f t="shared" si="854"/>
        <v>0</v>
      </c>
      <c r="Y500" s="33">
        <f t="shared" si="854"/>
        <v>0</v>
      </c>
      <c r="Z500" s="33">
        <f t="shared" si="854"/>
        <v>0</v>
      </c>
      <c r="AA500" s="33">
        <f t="shared" si="854"/>
        <v>0</v>
      </c>
      <c r="AB500" s="33">
        <f t="shared" si="854"/>
        <v>0</v>
      </c>
      <c r="AC500" s="33">
        <f t="shared" si="854"/>
        <v>0</v>
      </c>
      <c r="AD500" s="33">
        <f t="shared" si="854"/>
        <v>0</v>
      </c>
      <c r="AE500" s="33">
        <f t="shared" si="854"/>
        <v>0</v>
      </c>
      <c r="AF500" s="33">
        <f t="shared" si="854"/>
        <v>0</v>
      </c>
      <c r="AG500" s="33">
        <f t="shared" si="854"/>
        <v>0</v>
      </c>
      <c r="AH500" s="33">
        <f t="shared" si="854"/>
        <v>0</v>
      </c>
      <c r="AI500" s="33">
        <f t="shared" si="854"/>
        <v>0</v>
      </c>
      <c r="AJ500" s="33">
        <f t="shared" si="854"/>
        <v>0</v>
      </c>
      <c r="AK500" s="33">
        <f t="shared" si="854"/>
        <v>0</v>
      </c>
      <c r="AL500" s="33">
        <f t="shared" si="854"/>
        <v>0</v>
      </c>
      <c r="AM500" s="33">
        <f t="shared" si="854"/>
        <v>0</v>
      </c>
      <c r="AN500" s="33">
        <f t="shared" si="854"/>
        <v>0</v>
      </c>
      <c r="AO500" s="33">
        <f t="shared" si="854"/>
        <v>0</v>
      </c>
      <c r="AP500" s="33">
        <f t="shared" si="854"/>
        <v>0</v>
      </c>
      <c r="AQ500" s="33">
        <f t="shared" si="854"/>
        <v>0</v>
      </c>
      <c r="AR500" s="33">
        <f t="shared" si="854"/>
        <v>0</v>
      </c>
      <c r="AS500" s="33">
        <f t="shared" si="854"/>
        <v>0</v>
      </c>
      <c r="AT500" s="33">
        <f t="shared" si="854"/>
        <v>0</v>
      </c>
      <c r="AU500" s="33">
        <f t="shared" si="854"/>
        <v>0</v>
      </c>
      <c r="AV500" s="33">
        <f t="shared" si="854"/>
        <v>0</v>
      </c>
      <c r="AW500" s="33">
        <f t="shared" si="854"/>
        <v>0</v>
      </c>
      <c r="AX500" s="33">
        <f t="shared" si="854"/>
        <v>0</v>
      </c>
      <c r="AY500" s="33">
        <f t="shared" si="854"/>
        <v>0</v>
      </c>
      <c r="AZ500" s="33">
        <f t="shared" si="854"/>
        <v>0</v>
      </c>
      <c r="BA500" s="33">
        <f t="shared" si="854"/>
        <v>0</v>
      </c>
      <c r="BB500" s="33">
        <f t="shared" si="854"/>
        <v>0</v>
      </c>
      <c r="BC500" s="33">
        <f t="shared" si="854"/>
        <v>0</v>
      </c>
      <c r="BD500" s="33">
        <f t="shared" si="854"/>
        <v>0</v>
      </c>
      <c r="BE500" s="33">
        <f t="shared" si="854"/>
        <v>0</v>
      </c>
      <c r="BF500" s="33">
        <f t="shared" si="854"/>
        <v>0</v>
      </c>
      <c r="BG500" s="33">
        <f t="shared" si="854"/>
        <v>0</v>
      </c>
      <c r="BH500" s="33">
        <f t="shared" si="854"/>
        <v>0</v>
      </c>
      <c r="BI500" s="33">
        <f t="shared" si="854"/>
        <v>0</v>
      </c>
      <c r="BJ500" s="33">
        <f t="shared" si="854"/>
        <v>0</v>
      </c>
      <c r="BK500" s="33">
        <f t="shared" si="854"/>
        <v>0</v>
      </c>
      <c r="BL500" s="33">
        <f t="shared" si="854"/>
        <v>0</v>
      </c>
      <c r="BM500" s="33">
        <f t="shared" si="854"/>
        <v>0</v>
      </c>
      <c r="BN500" s="33">
        <f t="shared" si="854"/>
        <v>0</v>
      </c>
      <c r="BO500" s="33">
        <f t="shared" si="854"/>
        <v>0</v>
      </c>
      <c r="BP500" s="33">
        <f t="shared" si="854"/>
        <v>0</v>
      </c>
      <c r="BQ500" s="33">
        <f t="shared" si="854"/>
        <v>0</v>
      </c>
      <c r="BR500" s="33">
        <f t="shared" si="854"/>
        <v>0</v>
      </c>
      <c r="BS500" s="33">
        <f t="shared" si="854"/>
        <v>0</v>
      </c>
      <c r="BT500" s="33">
        <f t="shared" ref="BT500:BY500" si="855">+IF(AND(BT$491=$C502,BT$491&lt;0),1,0)</f>
        <v>0</v>
      </c>
      <c r="BU500" s="33">
        <f t="shared" si="855"/>
        <v>0</v>
      </c>
      <c r="BV500" s="33">
        <f t="shared" si="855"/>
        <v>0</v>
      </c>
      <c r="BW500" s="33">
        <f t="shared" si="855"/>
        <v>0</v>
      </c>
      <c r="BX500" s="33">
        <f t="shared" si="855"/>
        <v>0</v>
      </c>
      <c r="BY500" s="33">
        <f t="shared" si="855"/>
        <v>0</v>
      </c>
    </row>
    <row r="501" spans="3:77" outlineLevel="1">
      <c r="C501" s="32"/>
      <c r="D501" s="31"/>
      <c r="E501" t="s">
        <v>507</v>
      </c>
      <c r="F501" s="23" t="s">
        <v>500</v>
      </c>
      <c r="H501" s="33">
        <f t="shared" ref="H501:BS501" si="856">+IF(AND(H$491=$C503,H$491&lt;0),1,0)</f>
        <v>0</v>
      </c>
      <c r="I501" s="33">
        <f t="shared" si="856"/>
        <v>0</v>
      </c>
      <c r="J501" s="33">
        <f t="shared" si="856"/>
        <v>0</v>
      </c>
      <c r="K501" s="33">
        <f t="shared" si="856"/>
        <v>0</v>
      </c>
      <c r="L501" s="33">
        <f t="shared" si="856"/>
        <v>0</v>
      </c>
      <c r="M501" s="33">
        <f t="shared" si="856"/>
        <v>0</v>
      </c>
      <c r="N501" s="33">
        <f t="shared" si="856"/>
        <v>0</v>
      </c>
      <c r="O501" s="33">
        <f t="shared" si="856"/>
        <v>0</v>
      </c>
      <c r="P501" s="33">
        <f t="shared" si="856"/>
        <v>0</v>
      </c>
      <c r="Q501" s="33">
        <f t="shared" si="856"/>
        <v>0</v>
      </c>
      <c r="R501" s="33">
        <f t="shared" si="856"/>
        <v>0</v>
      </c>
      <c r="S501" s="33">
        <f t="shared" si="856"/>
        <v>0</v>
      </c>
      <c r="T501" s="33">
        <f t="shared" si="856"/>
        <v>0</v>
      </c>
      <c r="U501" s="33">
        <f t="shared" si="856"/>
        <v>0</v>
      </c>
      <c r="V501" s="33">
        <f t="shared" si="856"/>
        <v>0</v>
      </c>
      <c r="W501" s="33">
        <f t="shared" si="856"/>
        <v>0</v>
      </c>
      <c r="X501" s="33">
        <f t="shared" si="856"/>
        <v>0</v>
      </c>
      <c r="Y501" s="33">
        <f t="shared" si="856"/>
        <v>0</v>
      </c>
      <c r="Z501" s="33">
        <f t="shared" si="856"/>
        <v>0</v>
      </c>
      <c r="AA501" s="33">
        <f t="shared" si="856"/>
        <v>0</v>
      </c>
      <c r="AB501" s="33">
        <f t="shared" si="856"/>
        <v>0</v>
      </c>
      <c r="AC501" s="33">
        <f t="shared" si="856"/>
        <v>0</v>
      </c>
      <c r="AD501" s="33">
        <f t="shared" si="856"/>
        <v>0</v>
      </c>
      <c r="AE501" s="33">
        <f t="shared" si="856"/>
        <v>0</v>
      </c>
      <c r="AF501" s="33">
        <f t="shared" si="856"/>
        <v>0</v>
      </c>
      <c r="AG501" s="33">
        <f t="shared" si="856"/>
        <v>0</v>
      </c>
      <c r="AH501" s="33">
        <f t="shared" si="856"/>
        <v>0</v>
      </c>
      <c r="AI501" s="33">
        <f t="shared" si="856"/>
        <v>0</v>
      </c>
      <c r="AJ501" s="33">
        <f t="shared" si="856"/>
        <v>0</v>
      </c>
      <c r="AK501" s="33">
        <f t="shared" si="856"/>
        <v>0</v>
      </c>
      <c r="AL501" s="33">
        <f t="shared" si="856"/>
        <v>0</v>
      </c>
      <c r="AM501" s="33">
        <f t="shared" si="856"/>
        <v>0</v>
      </c>
      <c r="AN501" s="33">
        <f t="shared" si="856"/>
        <v>0</v>
      </c>
      <c r="AO501" s="33">
        <f t="shared" si="856"/>
        <v>0</v>
      </c>
      <c r="AP501" s="33">
        <f t="shared" si="856"/>
        <v>0</v>
      </c>
      <c r="AQ501" s="33">
        <f t="shared" si="856"/>
        <v>0</v>
      </c>
      <c r="AR501" s="33">
        <f t="shared" si="856"/>
        <v>0</v>
      </c>
      <c r="AS501" s="33">
        <f t="shared" si="856"/>
        <v>0</v>
      </c>
      <c r="AT501" s="33">
        <f t="shared" si="856"/>
        <v>0</v>
      </c>
      <c r="AU501" s="33">
        <f t="shared" si="856"/>
        <v>0</v>
      </c>
      <c r="AV501" s="33">
        <f t="shared" si="856"/>
        <v>0</v>
      </c>
      <c r="AW501" s="33">
        <f t="shared" si="856"/>
        <v>0</v>
      </c>
      <c r="AX501" s="33">
        <f t="shared" si="856"/>
        <v>0</v>
      </c>
      <c r="AY501" s="33">
        <f t="shared" si="856"/>
        <v>0</v>
      </c>
      <c r="AZ501" s="33">
        <f t="shared" si="856"/>
        <v>0</v>
      </c>
      <c r="BA501" s="33">
        <f t="shared" si="856"/>
        <v>0</v>
      </c>
      <c r="BB501" s="33">
        <f t="shared" si="856"/>
        <v>0</v>
      </c>
      <c r="BC501" s="33">
        <f t="shared" si="856"/>
        <v>0</v>
      </c>
      <c r="BD501" s="33">
        <f t="shared" si="856"/>
        <v>0</v>
      </c>
      <c r="BE501" s="33">
        <f t="shared" si="856"/>
        <v>0</v>
      </c>
      <c r="BF501" s="33">
        <f t="shared" si="856"/>
        <v>0</v>
      </c>
      <c r="BG501" s="33">
        <f t="shared" si="856"/>
        <v>0</v>
      </c>
      <c r="BH501" s="33">
        <f t="shared" si="856"/>
        <v>0</v>
      </c>
      <c r="BI501" s="33">
        <f t="shared" si="856"/>
        <v>0</v>
      </c>
      <c r="BJ501" s="33">
        <f t="shared" si="856"/>
        <v>0</v>
      </c>
      <c r="BK501" s="33">
        <f t="shared" si="856"/>
        <v>0</v>
      </c>
      <c r="BL501" s="33">
        <f t="shared" si="856"/>
        <v>0</v>
      </c>
      <c r="BM501" s="33">
        <f t="shared" si="856"/>
        <v>0</v>
      </c>
      <c r="BN501" s="33">
        <f t="shared" si="856"/>
        <v>0</v>
      </c>
      <c r="BO501" s="33">
        <f t="shared" si="856"/>
        <v>0</v>
      </c>
      <c r="BP501" s="33">
        <f t="shared" si="856"/>
        <v>0</v>
      </c>
      <c r="BQ501" s="33">
        <f t="shared" si="856"/>
        <v>0</v>
      </c>
      <c r="BR501" s="33">
        <f t="shared" si="856"/>
        <v>0</v>
      </c>
      <c r="BS501" s="33">
        <f t="shared" si="856"/>
        <v>0</v>
      </c>
      <c r="BT501" s="33">
        <f t="shared" ref="BT501:BY501" si="857">+IF(AND(BT$491=$C503,BT$491&lt;0),1,0)</f>
        <v>0</v>
      </c>
      <c r="BU501" s="33">
        <f t="shared" si="857"/>
        <v>0</v>
      </c>
      <c r="BV501" s="33">
        <f t="shared" si="857"/>
        <v>0</v>
      </c>
      <c r="BW501" s="33">
        <f t="shared" si="857"/>
        <v>0</v>
      </c>
      <c r="BX501" s="33">
        <f t="shared" si="857"/>
        <v>0</v>
      </c>
      <c r="BY501" s="33">
        <f t="shared" si="857"/>
        <v>0</v>
      </c>
    </row>
    <row r="502" spans="3:77" outlineLevel="1">
      <c r="C502" s="32"/>
      <c r="D502" s="31"/>
      <c r="E502" t="s">
        <v>508</v>
      </c>
      <c r="F502" s="23" t="s">
        <v>500</v>
      </c>
      <c r="H502" s="33">
        <f t="shared" ref="H502:BS502" si="858">+IF(AND(H$491=$C504,H$491&lt;0),1,0)</f>
        <v>0</v>
      </c>
      <c r="I502" s="33">
        <f t="shared" si="858"/>
        <v>0</v>
      </c>
      <c r="J502" s="33">
        <f t="shared" si="858"/>
        <v>0</v>
      </c>
      <c r="K502" s="33">
        <f t="shared" si="858"/>
        <v>0</v>
      </c>
      <c r="L502" s="33">
        <f t="shared" si="858"/>
        <v>0</v>
      </c>
      <c r="M502" s="33">
        <f t="shared" si="858"/>
        <v>0</v>
      </c>
      <c r="N502" s="33">
        <f t="shared" si="858"/>
        <v>0</v>
      </c>
      <c r="O502" s="33">
        <f t="shared" si="858"/>
        <v>0</v>
      </c>
      <c r="P502" s="33">
        <f t="shared" si="858"/>
        <v>0</v>
      </c>
      <c r="Q502" s="33">
        <f t="shared" si="858"/>
        <v>0</v>
      </c>
      <c r="R502" s="33">
        <f t="shared" si="858"/>
        <v>0</v>
      </c>
      <c r="S502" s="33">
        <f t="shared" si="858"/>
        <v>0</v>
      </c>
      <c r="T502" s="33">
        <f t="shared" si="858"/>
        <v>0</v>
      </c>
      <c r="U502" s="33">
        <f t="shared" si="858"/>
        <v>0</v>
      </c>
      <c r="V502" s="33">
        <f t="shared" si="858"/>
        <v>0</v>
      </c>
      <c r="W502" s="33">
        <f t="shared" si="858"/>
        <v>0</v>
      </c>
      <c r="X502" s="33">
        <f t="shared" si="858"/>
        <v>0</v>
      </c>
      <c r="Y502" s="33">
        <f t="shared" si="858"/>
        <v>0</v>
      </c>
      <c r="Z502" s="33">
        <f t="shared" si="858"/>
        <v>0</v>
      </c>
      <c r="AA502" s="33">
        <f t="shared" si="858"/>
        <v>0</v>
      </c>
      <c r="AB502" s="33">
        <f t="shared" si="858"/>
        <v>0</v>
      </c>
      <c r="AC502" s="33">
        <f t="shared" si="858"/>
        <v>0</v>
      </c>
      <c r="AD502" s="33">
        <f t="shared" si="858"/>
        <v>0</v>
      </c>
      <c r="AE502" s="33">
        <f t="shared" si="858"/>
        <v>0</v>
      </c>
      <c r="AF502" s="33">
        <f t="shared" si="858"/>
        <v>0</v>
      </c>
      <c r="AG502" s="33">
        <f t="shared" si="858"/>
        <v>0</v>
      </c>
      <c r="AH502" s="33">
        <f t="shared" si="858"/>
        <v>0</v>
      </c>
      <c r="AI502" s="33">
        <f t="shared" si="858"/>
        <v>0</v>
      </c>
      <c r="AJ502" s="33">
        <f t="shared" si="858"/>
        <v>0</v>
      </c>
      <c r="AK502" s="33">
        <f t="shared" si="858"/>
        <v>0</v>
      </c>
      <c r="AL502" s="33">
        <f t="shared" si="858"/>
        <v>0</v>
      </c>
      <c r="AM502" s="33">
        <f t="shared" si="858"/>
        <v>0</v>
      </c>
      <c r="AN502" s="33">
        <f t="shared" si="858"/>
        <v>0</v>
      </c>
      <c r="AO502" s="33">
        <f t="shared" si="858"/>
        <v>0</v>
      </c>
      <c r="AP502" s="33">
        <f t="shared" si="858"/>
        <v>0</v>
      </c>
      <c r="AQ502" s="33">
        <f t="shared" si="858"/>
        <v>0</v>
      </c>
      <c r="AR502" s="33">
        <f t="shared" si="858"/>
        <v>0</v>
      </c>
      <c r="AS502" s="33">
        <f t="shared" si="858"/>
        <v>0</v>
      </c>
      <c r="AT502" s="33">
        <f t="shared" si="858"/>
        <v>0</v>
      </c>
      <c r="AU502" s="33">
        <f t="shared" si="858"/>
        <v>0</v>
      </c>
      <c r="AV502" s="33">
        <f t="shared" si="858"/>
        <v>0</v>
      </c>
      <c r="AW502" s="33">
        <f t="shared" si="858"/>
        <v>0</v>
      </c>
      <c r="AX502" s="33">
        <f t="shared" si="858"/>
        <v>0</v>
      </c>
      <c r="AY502" s="33">
        <f t="shared" si="858"/>
        <v>0</v>
      </c>
      <c r="AZ502" s="33">
        <f t="shared" si="858"/>
        <v>0</v>
      </c>
      <c r="BA502" s="33">
        <f t="shared" si="858"/>
        <v>0</v>
      </c>
      <c r="BB502" s="33">
        <f t="shared" si="858"/>
        <v>0</v>
      </c>
      <c r="BC502" s="33">
        <f t="shared" si="858"/>
        <v>0</v>
      </c>
      <c r="BD502" s="33">
        <f t="shared" si="858"/>
        <v>0</v>
      </c>
      <c r="BE502" s="33">
        <f t="shared" si="858"/>
        <v>0</v>
      </c>
      <c r="BF502" s="33">
        <f t="shared" si="858"/>
        <v>0</v>
      </c>
      <c r="BG502" s="33">
        <f t="shared" si="858"/>
        <v>0</v>
      </c>
      <c r="BH502" s="33">
        <f t="shared" si="858"/>
        <v>0</v>
      </c>
      <c r="BI502" s="33">
        <f t="shared" si="858"/>
        <v>0</v>
      </c>
      <c r="BJ502" s="33">
        <f t="shared" si="858"/>
        <v>0</v>
      </c>
      <c r="BK502" s="33">
        <f t="shared" si="858"/>
        <v>0</v>
      </c>
      <c r="BL502" s="33">
        <f t="shared" si="858"/>
        <v>0</v>
      </c>
      <c r="BM502" s="33">
        <f t="shared" si="858"/>
        <v>0</v>
      </c>
      <c r="BN502" s="33">
        <f t="shared" si="858"/>
        <v>0</v>
      </c>
      <c r="BO502" s="33">
        <f t="shared" si="858"/>
        <v>0</v>
      </c>
      <c r="BP502" s="33">
        <f t="shared" si="858"/>
        <v>0</v>
      </c>
      <c r="BQ502" s="33">
        <f t="shared" si="858"/>
        <v>0</v>
      </c>
      <c r="BR502" s="33">
        <f t="shared" si="858"/>
        <v>0</v>
      </c>
      <c r="BS502" s="33">
        <f t="shared" si="858"/>
        <v>0</v>
      </c>
      <c r="BT502" s="33">
        <f t="shared" ref="BT502:BY502" si="859">+IF(AND(BT$491=$C504,BT$491&lt;0),1,0)</f>
        <v>0</v>
      </c>
      <c r="BU502" s="33">
        <f t="shared" si="859"/>
        <v>0</v>
      </c>
      <c r="BV502" s="33">
        <f t="shared" si="859"/>
        <v>0</v>
      </c>
      <c r="BW502" s="33">
        <f t="shared" si="859"/>
        <v>0</v>
      </c>
      <c r="BX502" s="33">
        <f t="shared" si="859"/>
        <v>0</v>
      </c>
      <c r="BY502" s="33">
        <f t="shared" si="859"/>
        <v>0</v>
      </c>
    </row>
    <row r="503" spans="3:77" outlineLevel="1">
      <c r="C503" s="32"/>
      <c r="D503" s="31"/>
      <c r="E503" t="s">
        <v>509</v>
      </c>
      <c r="F503" s="23" t="s">
        <v>500</v>
      </c>
      <c r="H503" s="33">
        <f t="shared" ref="H503:BS503" si="860">+IF(AND(H$491=$C505,H$491&lt;0),1,0)</f>
        <v>0</v>
      </c>
      <c r="I503" s="33">
        <f t="shared" si="860"/>
        <v>0</v>
      </c>
      <c r="J503" s="33">
        <f t="shared" si="860"/>
        <v>0</v>
      </c>
      <c r="K503" s="33">
        <f t="shared" si="860"/>
        <v>0</v>
      </c>
      <c r="L503" s="33">
        <f t="shared" si="860"/>
        <v>0</v>
      </c>
      <c r="M503" s="33">
        <f t="shared" si="860"/>
        <v>0</v>
      </c>
      <c r="N503" s="33">
        <f t="shared" si="860"/>
        <v>0</v>
      </c>
      <c r="O503" s="33">
        <f t="shared" si="860"/>
        <v>0</v>
      </c>
      <c r="P503" s="33">
        <f t="shared" si="860"/>
        <v>0</v>
      </c>
      <c r="Q503" s="33">
        <f t="shared" si="860"/>
        <v>0</v>
      </c>
      <c r="R503" s="33">
        <f t="shared" si="860"/>
        <v>0</v>
      </c>
      <c r="S503" s="33">
        <f t="shared" si="860"/>
        <v>0</v>
      </c>
      <c r="T503" s="33">
        <f t="shared" si="860"/>
        <v>0</v>
      </c>
      <c r="U503" s="33">
        <f t="shared" si="860"/>
        <v>0</v>
      </c>
      <c r="V503" s="33">
        <f t="shared" si="860"/>
        <v>0</v>
      </c>
      <c r="W503" s="33">
        <f t="shared" si="860"/>
        <v>0</v>
      </c>
      <c r="X503" s="33">
        <f t="shared" si="860"/>
        <v>0</v>
      </c>
      <c r="Y503" s="33">
        <f t="shared" si="860"/>
        <v>0</v>
      </c>
      <c r="Z503" s="33">
        <f t="shared" si="860"/>
        <v>0</v>
      </c>
      <c r="AA503" s="33">
        <f t="shared" si="860"/>
        <v>0</v>
      </c>
      <c r="AB503" s="33">
        <f t="shared" si="860"/>
        <v>0</v>
      </c>
      <c r="AC503" s="33">
        <f t="shared" si="860"/>
        <v>0</v>
      </c>
      <c r="AD503" s="33">
        <f t="shared" si="860"/>
        <v>0</v>
      </c>
      <c r="AE503" s="33">
        <f t="shared" si="860"/>
        <v>0</v>
      </c>
      <c r="AF503" s="33">
        <f t="shared" si="860"/>
        <v>0</v>
      </c>
      <c r="AG503" s="33">
        <f t="shared" si="860"/>
        <v>0</v>
      </c>
      <c r="AH503" s="33">
        <f t="shared" si="860"/>
        <v>0</v>
      </c>
      <c r="AI503" s="33">
        <f t="shared" si="860"/>
        <v>0</v>
      </c>
      <c r="AJ503" s="33">
        <f t="shared" si="860"/>
        <v>0</v>
      </c>
      <c r="AK503" s="33">
        <f t="shared" si="860"/>
        <v>0</v>
      </c>
      <c r="AL503" s="33">
        <f t="shared" si="860"/>
        <v>0</v>
      </c>
      <c r="AM503" s="33">
        <f t="shared" si="860"/>
        <v>0</v>
      </c>
      <c r="AN503" s="33">
        <f t="shared" si="860"/>
        <v>0</v>
      </c>
      <c r="AO503" s="33">
        <f t="shared" si="860"/>
        <v>0</v>
      </c>
      <c r="AP503" s="33">
        <f t="shared" si="860"/>
        <v>0</v>
      </c>
      <c r="AQ503" s="33">
        <f t="shared" si="860"/>
        <v>0</v>
      </c>
      <c r="AR503" s="33">
        <f t="shared" si="860"/>
        <v>0</v>
      </c>
      <c r="AS503" s="33">
        <f t="shared" si="860"/>
        <v>0</v>
      </c>
      <c r="AT503" s="33">
        <f t="shared" si="860"/>
        <v>0</v>
      </c>
      <c r="AU503" s="33">
        <f t="shared" si="860"/>
        <v>0</v>
      </c>
      <c r="AV503" s="33">
        <f t="shared" si="860"/>
        <v>0</v>
      </c>
      <c r="AW503" s="33">
        <f t="shared" si="860"/>
        <v>0</v>
      </c>
      <c r="AX503" s="33">
        <f t="shared" si="860"/>
        <v>0</v>
      </c>
      <c r="AY503" s="33">
        <f t="shared" si="860"/>
        <v>0</v>
      </c>
      <c r="AZ503" s="33">
        <f t="shared" si="860"/>
        <v>0</v>
      </c>
      <c r="BA503" s="33">
        <f t="shared" si="860"/>
        <v>0</v>
      </c>
      <c r="BB503" s="33">
        <f t="shared" si="860"/>
        <v>0</v>
      </c>
      <c r="BC503" s="33">
        <f t="shared" si="860"/>
        <v>0</v>
      </c>
      <c r="BD503" s="33">
        <f t="shared" si="860"/>
        <v>0</v>
      </c>
      <c r="BE503" s="33">
        <f t="shared" si="860"/>
        <v>0</v>
      </c>
      <c r="BF503" s="33">
        <f t="shared" si="860"/>
        <v>0</v>
      </c>
      <c r="BG503" s="33">
        <f t="shared" si="860"/>
        <v>0</v>
      </c>
      <c r="BH503" s="33">
        <f t="shared" si="860"/>
        <v>0</v>
      </c>
      <c r="BI503" s="33">
        <f t="shared" si="860"/>
        <v>0</v>
      </c>
      <c r="BJ503" s="33">
        <f t="shared" si="860"/>
        <v>0</v>
      </c>
      <c r="BK503" s="33">
        <f t="shared" si="860"/>
        <v>0</v>
      </c>
      <c r="BL503" s="33">
        <f t="shared" si="860"/>
        <v>0</v>
      </c>
      <c r="BM503" s="33">
        <f t="shared" si="860"/>
        <v>0</v>
      </c>
      <c r="BN503" s="33">
        <f t="shared" si="860"/>
        <v>0</v>
      </c>
      <c r="BO503" s="33">
        <f t="shared" si="860"/>
        <v>0</v>
      </c>
      <c r="BP503" s="33">
        <f t="shared" si="860"/>
        <v>0</v>
      </c>
      <c r="BQ503" s="33">
        <f t="shared" si="860"/>
        <v>0</v>
      </c>
      <c r="BR503" s="33">
        <f t="shared" si="860"/>
        <v>0</v>
      </c>
      <c r="BS503" s="33">
        <f t="shared" si="860"/>
        <v>0</v>
      </c>
      <c r="BT503" s="33">
        <f t="shared" ref="BT503:BY503" si="861">+IF(AND(BT$491=$C505,BT$491&lt;0),1,0)</f>
        <v>0</v>
      </c>
      <c r="BU503" s="33">
        <f t="shared" si="861"/>
        <v>0</v>
      </c>
      <c r="BV503" s="33">
        <f t="shared" si="861"/>
        <v>0</v>
      </c>
      <c r="BW503" s="33">
        <f t="shared" si="861"/>
        <v>0</v>
      </c>
      <c r="BX503" s="33">
        <f t="shared" si="861"/>
        <v>0</v>
      </c>
      <c r="BY503" s="33">
        <f t="shared" si="861"/>
        <v>0</v>
      </c>
    </row>
    <row r="504" spans="3:77" outlineLevel="1">
      <c r="C504" s="32"/>
      <c r="D504" s="31"/>
      <c r="E504" s="25" t="s">
        <v>510</v>
      </c>
      <c r="F504" s="30" t="s">
        <v>500</v>
      </c>
      <c r="G504" s="25"/>
      <c r="H504" s="34">
        <f t="shared" ref="H504:BS504" si="862">+IF(AND(H$491=$C506,H$491&lt;0),1,0)</f>
        <v>0</v>
      </c>
      <c r="I504" s="34">
        <f t="shared" si="862"/>
        <v>0</v>
      </c>
      <c r="J504" s="34">
        <f t="shared" si="862"/>
        <v>0</v>
      </c>
      <c r="K504" s="34">
        <f t="shared" si="862"/>
        <v>0</v>
      </c>
      <c r="L504" s="34">
        <f t="shared" si="862"/>
        <v>0</v>
      </c>
      <c r="M504" s="34">
        <f t="shared" si="862"/>
        <v>0</v>
      </c>
      <c r="N504" s="34">
        <f t="shared" si="862"/>
        <v>0</v>
      </c>
      <c r="O504" s="34">
        <f t="shared" si="862"/>
        <v>0</v>
      </c>
      <c r="P504" s="34">
        <f t="shared" si="862"/>
        <v>0</v>
      </c>
      <c r="Q504" s="34">
        <f t="shared" si="862"/>
        <v>0</v>
      </c>
      <c r="R504" s="34">
        <f t="shared" si="862"/>
        <v>0</v>
      </c>
      <c r="S504" s="34">
        <f t="shared" si="862"/>
        <v>0</v>
      </c>
      <c r="T504" s="34">
        <f t="shared" si="862"/>
        <v>0</v>
      </c>
      <c r="U504" s="34">
        <f t="shared" si="862"/>
        <v>0</v>
      </c>
      <c r="V504" s="34">
        <f t="shared" si="862"/>
        <v>0</v>
      </c>
      <c r="W504" s="34">
        <f t="shared" si="862"/>
        <v>0</v>
      </c>
      <c r="X504" s="34">
        <f t="shared" si="862"/>
        <v>0</v>
      </c>
      <c r="Y504" s="34">
        <f t="shared" si="862"/>
        <v>0</v>
      </c>
      <c r="Z504" s="34">
        <f t="shared" si="862"/>
        <v>0</v>
      </c>
      <c r="AA504" s="34">
        <f t="shared" si="862"/>
        <v>0</v>
      </c>
      <c r="AB504" s="34">
        <f t="shared" si="862"/>
        <v>0</v>
      </c>
      <c r="AC504" s="34">
        <f t="shared" si="862"/>
        <v>0</v>
      </c>
      <c r="AD504" s="34">
        <f t="shared" si="862"/>
        <v>0</v>
      </c>
      <c r="AE504" s="34">
        <f t="shared" si="862"/>
        <v>0</v>
      </c>
      <c r="AF504" s="34">
        <f t="shared" si="862"/>
        <v>0</v>
      </c>
      <c r="AG504" s="34">
        <f t="shared" si="862"/>
        <v>0</v>
      </c>
      <c r="AH504" s="34">
        <f t="shared" si="862"/>
        <v>0</v>
      </c>
      <c r="AI504" s="34">
        <f t="shared" si="862"/>
        <v>0</v>
      </c>
      <c r="AJ504" s="34">
        <f t="shared" si="862"/>
        <v>0</v>
      </c>
      <c r="AK504" s="34">
        <f t="shared" si="862"/>
        <v>0</v>
      </c>
      <c r="AL504" s="34">
        <f t="shared" si="862"/>
        <v>0</v>
      </c>
      <c r="AM504" s="34">
        <f t="shared" si="862"/>
        <v>0</v>
      </c>
      <c r="AN504" s="34">
        <f t="shared" si="862"/>
        <v>0</v>
      </c>
      <c r="AO504" s="34">
        <f t="shared" si="862"/>
        <v>0</v>
      </c>
      <c r="AP504" s="34">
        <f t="shared" si="862"/>
        <v>0</v>
      </c>
      <c r="AQ504" s="34">
        <f t="shared" si="862"/>
        <v>0</v>
      </c>
      <c r="AR504" s="34">
        <f t="shared" si="862"/>
        <v>0</v>
      </c>
      <c r="AS504" s="34">
        <f t="shared" si="862"/>
        <v>0</v>
      </c>
      <c r="AT504" s="34">
        <f t="shared" si="862"/>
        <v>0</v>
      </c>
      <c r="AU504" s="34">
        <f t="shared" si="862"/>
        <v>0</v>
      </c>
      <c r="AV504" s="34">
        <f t="shared" si="862"/>
        <v>0</v>
      </c>
      <c r="AW504" s="34">
        <f t="shared" si="862"/>
        <v>0</v>
      </c>
      <c r="AX504" s="34">
        <f t="shared" si="862"/>
        <v>0</v>
      </c>
      <c r="AY504" s="34">
        <f t="shared" si="862"/>
        <v>0</v>
      </c>
      <c r="AZ504" s="34">
        <f t="shared" si="862"/>
        <v>0</v>
      </c>
      <c r="BA504" s="34">
        <f t="shared" si="862"/>
        <v>0</v>
      </c>
      <c r="BB504" s="34">
        <f t="shared" si="862"/>
        <v>0</v>
      </c>
      <c r="BC504" s="34">
        <f t="shared" si="862"/>
        <v>0</v>
      </c>
      <c r="BD504" s="34">
        <f t="shared" si="862"/>
        <v>0</v>
      </c>
      <c r="BE504" s="34">
        <f t="shared" si="862"/>
        <v>0</v>
      </c>
      <c r="BF504" s="34">
        <f t="shared" si="862"/>
        <v>0</v>
      </c>
      <c r="BG504" s="34">
        <f t="shared" si="862"/>
        <v>0</v>
      </c>
      <c r="BH504" s="34">
        <f t="shared" si="862"/>
        <v>0</v>
      </c>
      <c r="BI504" s="34">
        <f t="shared" si="862"/>
        <v>0</v>
      </c>
      <c r="BJ504" s="34">
        <f t="shared" si="862"/>
        <v>0</v>
      </c>
      <c r="BK504" s="34">
        <f t="shared" si="862"/>
        <v>0</v>
      </c>
      <c r="BL504" s="34">
        <f t="shared" si="862"/>
        <v>0</v>
      </c>
      <c r="BM504" s="34">
        <f t="shared" si="862"/>
        <v>0</v>
      </c>
      <c r="BN504" s="34">
        <f t="shared" si="862"/>
        <v>0</v>
      </c>
      <c r="BO504" s="34">
        <f t="shared" si="862"/>
        <v>0</v>
      </c>
      <c r="BP504" s="34">
        <f t="shared" si="862"/>
        <v>0</v>
      </c>
      <c r="BQ504" s="34">
        <f t="shared" si="862"/>
        <v>0</v>
      </c>
      <c r="BR504" s="34">
        <f t="shared" si="862"/>
        <v>0</v>
      </c>
      <c r="BS504" s="34">
        <f t="shared" si="862"/>
        <v>0</v>
      </c>
      <c r="BT504" s="34">
        <f t="shared" ref="BT504:BY504" si="863">+IF(AND(BT$491=$C506,BT$491&lt;0),1,0)</f>
        <v>0</v>
      </c>
      <c r="BU504" s="34">
        <f t="shared" si="863"/>
        <v>0</v>
      </c>
      <c r="BV504" s="34">
        <f t="shared" si="863"/>
        <v>0</v>
      </c>
      <c r="BW504" s="34">
        <f t="shared" si="863"/>
        <v>0</v>
      </c>
      <c r="BX504" s="34">
        <f t="shared" si="863"/>
        <v>0</v>
      </c>
      <c r="BY504" s="34">
        <f t="shared" si="863"/>
        <v>0</v>
      </c>
    </row>
    <row r="505" spans="3:77" outlineLevel="1">
      <c r="C505" s="32"/>
      <c r="D505" s="31"/>
      <c r="E505" t="s">
        <v>511</v>
      </c>
      <c r="F505" s="80" t="str">
        <f>+Assumptions!$G$8</f>
        <v>USD</v>
      </c>
      <c r="H505" s="32">
        <f t="shared" ref="H505" si="864">+G519</f>
        <v>0</v>
      </c>
      <c r="I505" s="32">
        <f t="shared" ref="I505" si="865">+H519</f>
        <v>0</v>
      </c>
      <c r="J505" s="32">
        <f>+I519</f>
        <v>0</v>
      </c>
      <c r="K505" s="32">
        <f t="shared" ref="K505" si="866">+J519</f>
        <v>0</v>
      </c>
      <c r="L505" s="32">
        <f t="shared" ref="L505" si="867">+K519</f>
        <v>0</v>
      </c>
      <c r="M505" s="32">
        <f t="shared" ref="M505" si="868">+L519</f>
        <v>0</v>
      </c>
      <c r="N505" s="32">
        <f t="shared" ref="N505" si="869">+M519</f>
        <v>0</v>
      </c>
      <c r="O505" s="32">
        <f t="shared" ref="O505" si="870">+N519</f>
        <v>0</v>
      </c>
      <c r="P505" s="32">
        <f t="shared" ref="P505" si="871">+O519</f>
        <v>0</v>
      </c>
      <c r="Q505" s="32">
        <f t="shared" ref="Q505" si="872">+P519</f>
        <v>0</v>
      </c>
      <c r="R505" s="32">
        <f t="shared" ref="R505" si="873">+Q519</f>
        <v>0</v>
      </c>
      <c r="S505" s="32">
        <f t="shared" ref="S505" si="874">+R519</f>
        <v>0</v>
      </c>
      <c r="T505" s="32">
        <f t="shared" ref="T505" si="875">+S519</f>
        <v>0</v>
      </c>
      <c r="U505" s="32">
        <f t="shared" ref="U505" si="876">+T519</f>
        <v>0</v>
      </c>
      <c r="V505" s="32">
        <f t="shared" ref="V505" si="877">+U519</f>
        <v>0</v>
      </c>
      <c r="W505" s="32">
        <f t="shared" ref="W505" si="878">+V519</f>
        <v>0</v>
      </c>
      <c r="X505" s="32">
        <f t="shared" ref="X505" si="879">+W519</f>
        <v>0</v>
      </c>
      <c r="Y505" s="32">
        <f t="shared" ref="Y505" si="880">+X519</f>
        <v>0</v>
      </c>
      <c r="Z505" s="32">
        <f t="shared" ref="Z505" si="881">+Y519</f>
        <v>0</v>
      </c>
      <c r="AA505" s="32">
        <f t="shared" ref="AA505" si="882">+Z519</f>
        <v>0</v>
      </c>
      <c r="AB505" s="32">
        <f t="shared" ref="AB505" si="883">+AA519</f>
        <v>0</v>
      </c>
      <c r="AC505" s="32">
        <f t="shared" ref="AC505" si="884">+AB519</f>
        <v>0</v>
      </c>
      <c r="AD505" s="32">
        <f t="shared" ref="AD505" si="885">+AC519</f>
        <v>0</v>
      </c>
      <c r="AE505" s="32">
        <f t="shared" ref="AE505" si="886">+AD519</f>
        <v>0</v>
      </c>
      <c r="AF505" s="32">
        <f t="shared" ref="AF505" si="887">+AE519</f>
        <v>0</v>
      </c>
      <c r="AG505" s="32">
        <f t="shared" ref="AG505" si="888">+AF519</f>
        <v>0</v>
      </c>
      <c r="AH505" s="32">
        <f t="shared" ref="AH505" si="889">+AG519</f>
        <v>0</v>
      </c>
      <c r="AI505" s="32">
        <f t="shared" ref="AI505" si="890">+AH519</f>
        <v>0</v>
      </c>
      <c r="AJ505" s="32">
        <f t="shared" ref="AJ505" si="891">+AI519</f>
        <v>0</v>
      </c>
      <c r="AK505" s="32">
        <f t="shared" ref="AK505" si="892">+AJ519</f>
        <v>0</v>
      </c>
      <c r="AL505" s="32">
        <f t="shared" ref="AL505" si="893">+AK519</f>
        <v>0</v>
      </c>
      <c r="AM505" s="32">
        <f t="shared" ref="AM505" si="894">+AL519</f>
        <v>0</v>
      </c>
      <c r="AN505" s="32">
        <f t="shared" ref="AN505" si="895">+AM519</f>
        <v>0</v>
      </c>
      <c r="AO505" s="32">
        <f t="shared" ref="AO505" si="896">+AN519</f>
        <v>0</v>
      </c>
      <c r="AP505" s="32">
        <f t="shared" ref="AP505" si="897">+AO519</f>
        <v>0</v>
      </c>
      <c r="AQ505" s="32">
        <f t="shared" ref="AQ505" si="898">+AP519</f>
        <v>0</v>
      </c>
      <c r="AR505" s="32">
        <f t="shared" ref="AR505" si="899">+AQ519</f>
        <v>0</v>
      </c>
      <c r="AS505" s="32">
        <f t="shared" ref="AS505" si="900">+AR519</f>
        <v>0</v>
      </c>
      <c r="AT505" s="32">
        <f t="shared" ref="AT505" si="901">+AS519</f>
        <v>0</v>
      </c>
      <c r="AU505" s="32">
        <f t="shared" ref="AU505" si="902">+AT519</f>
        <v>0</v>
      </c>
      <c r="AV505" s="32">
        <f t="shared" ref="AV505" si="903">+AU519</f>
        <v>0</v>
      </c>
      <c r="AW505" s="32">
        <f t="shared" ref="AW505" si="904">+AV519</f>
        <v>0</v>
      </c>
      <c r="AX505" s="32">
        <f t="shared" ref="AX505" si="905">+AW519</f>
        <v>0</v>
      </c>
      <c r="AY505" s="32">
        <f t="shared" ref="AY505" si="906">+AX519</f>
        <v>0</v>
      </c>
      <c r="AZ505" s="32">
        <f t="shared" ref="AZ505" si="907">+AY519</f>
        <v>0</v>
      </c>
      <c r="BA505" s="32">
        <f t="shared" ref="BA505" si="908">+AZ519</f>
        <v>0</v>
      </c>
      <c r="BB505" s="32">
        <f t="shared" ref="BB505" si="909">+BA519</f>
        <v>0</v>
      </c>
      <c r="BC505" s="32">
        <f t="shared" ref="BC505" si="910">+BB519</f>
        <v>0</v>
      </c>
      <c r="BD505" s="32">
        <f t="shared" ref="BD505" si="911">+BC519</f>
        <v>0</v>
      </c>
      <c r="BE505" s="32">
        <f t="shared" ref="BE505" si="912">+BD519</f>
        <v>0</v>
      </c>
      <c r="BF505" s="32">
        <f t="shared" ref="BF505" si="913">+BE519</f>
        <v>0</v>
      </c>
      <c r="BG505" s="32">
        <f t="shared" ref="BG505" si="914">+BF519</f>
        <v>0</v>
      </c>
      <c r="BH505" s="32">
        <f t="shared" ref="BH505" si="915">+BG519</f>
        <v>0</v>
      </c>
      <c r="BI505" s="32">
        <f t="shared" ref="BI505" si="916">+BH519</f>
        <v>0</v>
      </c>
      <c r="BJ505" s="32">
        <f t="shared" ref="BJ505" si="917">+BI519</f>
        <v>0</v>
      </c>
      <c r="BK505" s="32">
        <f t="shared" ref="BK505" si="918">+BJ519</f>
        <v>0</v>
      </c>
      <c r="BL505" s="32">
        <f t="shared" ref="BL505" si="919">+BK519</f>
        <v>0</v>
      </c>
      <c r="BM505" s="32">
        <f t="shared" ref="BM505" si="920">+BL519</f>
        <v>0</v>
      </c>
      <c r="BN505" s="32">
        <f t="shared" ref="BN505" si="921">+BM519</f>
        <v>0</v>
      </c>
      <c r="BO505" s="32">
        <f t="shared" ref="BO505" si="922">+BN519</f>
        <v>0</v>
      </c>
      <c r="BP505" s="32">
        <f t="shared" ref="BP505" si="923">+BO519</f>
        <v>0</v>
      </c>
      <c r="BQ505" s="32">
        <f t="shared" ref="BQ505" si="924">+BP519</f>
        <v>0</v>
      </c>
      <c r="BR505" s="32">
        <f t="shared" ref="BR505" si="925">+BQ519</f>
        <v>0</v>
      </c>
      <c r="BS505" s="32">
        <f t="shared" ref="BS505" si="926">+BR519</f>
        <v>0</v>
      </c>
      <c r="BT505" s="32">
        <f t="shared" ref="BT505" si="927">+BS519</f>
        <v>0</v>
      </c>
      <c r="BU505" s="32">
        <f t="shared" ref="BU505" si="928">+BT519</f>
        <v>0</v>
      </c>
      <c r="BV505" s="32">
        <f t="shared" ref="BV505" si="929">+BU519</f>
        <v>0</v>
      </c>
      <c r="BW505" s="32">
        <f t="shared" ref="BW505" si="930">+BV519</f>
        <v>0</v>
      </c>
      <c r="BX505" s="32">
        <f t="shared" ref="BX505" si="931">+BW519</f>
        <v>0</v>
      </c>
      <c r="BY505" s="32">
        <f t="shared" ref="BY505" si="932">+BX519</f>
        <v>0</v>
      </c>
    </row>
    <row r="506" spans="3:77" outlineLevel="1">
      <c r="C506" s="32"/>
      <c r="D506" s="31"/>
      <c r="E506" t="s">
        <v>512</v>
      </c>
      <c r="F506" s="80" t="str">
        <f>+Assumptions!$G$8</f>
        <v>USD</v>
      </c>
      <c r="H506" s="33">
        <f ca="1">+H505*Assumptions!$G$346</f>
        <v>0</v>
      </c>
      <c r="I506" s="33">
        <f ca="1">+I505*Assumptions!$G$346</f>
        <v>0</v>
      </c>
      <c r="J506" s="33">
        <f ca="1">+J505*Assumptions!$G$346</f>
        <v>0</v>
      </c>
      <c r="K506" s="33">
        <f ca="1">+K505*Assumptions!$G$346</f>
        <v>0</v>
      </c>
      <c r="L506" s="33">
        <f ca="1">+L505*Assumptions!$G$346</f>
        <v>0</v>
      </c>
      <c r="M506" s="33">
        <f ca="1">+M505*Assumptions!$G$346</f>
        <v>0</v>
      </c>
      <c r="N506" s="33">
        <f ca="1">+N505*Assumptions!$G$346</f>
        <v>0</v>
      </c>
      <c r="O506" s="33">
        <f ca="1">+O505*Assumptions!$G$346</f>
        <v>0</v>
      </c>
      <c r="P506" s="33">
        <f ca="1">+P505*Assumptions!$G$346</f>
        <v>0</v>
      </c>
      <c r="Q506" s="33">
        <f ca="1">+Q505*Assumptions!$G$346</f>
        <v>0</v>
      </c>
      <c r="R506" s="33">
        <f ca="1">+R505*Assumptions!$G$346</f>
        <v>0</v>
      </c>
      <c r="S506" s="33">
        <f ca="1">+S505*Assumptions!$G$346</f>
        <v>0</v>
      </c>
      <c r="T506" s="33">
        <f ca="1">+T505*Assumptions!$G$346</f>
        <v>0</v>
      </c>
      <c r="U506" s="33">
        <f ca="1">+U505*Assumptions!$G$346</f>
        <v>0</v>
      </c>
      <c r="V506" s="33">
        <f ca="1">+V505*Assumptions!$G$346</f>
        <v>0</v>
      </c>
      <c r="W506" s="33">
        <f ca="1">+W505*Assumptions!$G$346</f>
        <v>0</v>
      </c>
      <c r="X506" s="33">
        <f ca="1">+X505*Assumptions!$G$346</f>
        <v>0</v>
      </c>
      <c r="Y506" s="33">
        <f ca="1">+Y505*Assumptions!$G$346</f>
        <v>0</v>
      </c>
      <c r="Z506" s="33">
        <f ca="1">+Z505*Assumptions!$G$346</f>
        <v>0</v>
      </c>
      <c r="AA506" s="33">
        <f ca="1">+AA505*Assumptions!$G$346</f>
        <v>0</v>
      </c>
      <c r="AB506" s="33">
        <f ca="1">+AB505*Assumptions!$G$346</f>
        <v>0</v>
      </c>
      <c r="AC506" s="33">
        <f ca="1">+AC505*Assumptions!$G$346</f>
        <v>0</v>
      </c>
      <c r="AD506" s="33">
        <f ca="1">+AD505*Assumptions!$G$346</f>
        <v>0</v>
      </c>
      <c r="AE506" s="33">
        <f ca="1">+AE505*Assumptions!$G$346</f>
        <v>0</v>
      </c>
      <c r="AF506" s="33">
        <f ca="1">+AF505*Assumptions!$G$346</f>
        <v>0</v>
      </c>
      <c r="AG506" s="33">
        <f ca="1">+AG505*Assumptions!$G$346</f>
        <v>0</v>
      </c>
      <c r="AH506" s="33">
        <f ca="1">+AH505*Assumptions!$G$346</f>
        <v>0</v>
      </c>
      <c r="AI506" s="33">
        <f ca="1">+AI505*Assumptions!$G$346</f>
        <v>0</v>
      </c>
      <c r="AJ506" s="33">
        <f ca="1">+AJ505*Assumptions!$G$346</f>
        <v>0</v>
      </c>
      <c r="AK506" s="33">
        <f ca="1">+AK505*Assumptions!$G$346</f>
        <v>0</v>
      </c>
      <c r="AL506" s="33">
        <f ca="1">+AL505*Assumptions!$G$346</f>
        <v>0</v>
      </c>
      <c r="AM506" s="33">
        <f ca="1">+AM505*Assumptions!$G$346</f>
        <v>0</v>
      </c>
      <c r="AN506" s="33">
        <f ca="1">+AN505*Assumptions!$G$346</f>
        <v>0</v>
      </c>
      <c r="AO506" s="33">
        <f ca="1">+AO505*Assumptions!$G$346</f>
        <v>0</v>
      </c>
      <c r="AP506" s="33">
        <f ca="1">+AP505*Assumptions!$G$346</f>
        <v>0</v>
      </c>
      <c r="AQ506" s="33">
        <f ca="1">+AQ505*Assumptions!$G$346</f>
        <v>0</v>
      </c>
      <c r="AR506" s="33">
        <f ca="1">+AR505*Assumptions!$G$346</f>
        <v>0</v>
      </c>
      <c r="AS506" s="33">
        <f ca="1">+AS505*Assumptions!$G$346</f>
        <v>0</v>
      </c>
      <c r="AT506" s="33">
        <f ca="1">+AT505*Assumptions!$G$346</f>
        <v>0</v>
      </c>
      <c r="AU506" s="33">
        <f ca="1">+AU505*Assumptions!$G$346</f>
        <v>0</v>
      </c>
      <c r="AV506" s="33">
        <f ca="1">+AV505*Assumptions!$G$346</f>
        <v>0</v>
      </c>
      <c r="AW506" s="33">
        <f ca="1">+AW505*Assumptions!$G$346</f>
        <v>0</v>
      </c>
      <c r="AX506" s="33">
        <f ca="1">+AX505*Assumptions!$G$346</f>
        <v>0</v>
      </c>
      <c r="AY506" s="33">
        <f ca="1">+AY505*Assumptions!$G$346</f>
        <v>0</v>
      </c>
      <c r="AZ506" s="33">
        <f ca="1">+AZ505*Assumptions!$G$346</f>
        <v>0</v>
      </c>
      <c r="BA506" s="33">
        <f ca="1">+BA505*Assumptions!$G$346</f>
        <v>0</v>
      </c>
      <c r="BB506" s="33">
        <f ca="1">+BB505*Assumptions!$G$346</f>
        <v>0</v>
      </c>
      <c r="BC506" s="33">
        <f ca="1">+BC505*Assumptions!$G$346</f>
        <v>0</v>
      </c>
      <c r="BD506" s="33">
        <f ca="1">+BD505*Assumptions!$G$346</f>
        <v>0</v>
      </c>
      <c r="BE506" s="33">
        <f ca="1">+BE505*Assumptions!$G$346</f>
        <v>0</v>
      </c>
      <c r="BF506" s="33">
        <f ca="1">+BF505*Assumptions!$G$346</f>
        <v>0</v>
      </c>
      <c r="BG506" s="33">
        <f ca="1">+BG505*Assumptions!$G$346</f>
        <v>0</v>
      </c>
      <c r="BH506" s="33">
        <f ca="1">+BH505*Assumptions!$G$346</f>
        <v>0</v>
      </c>
      <c r="BI506" s="33">
        <f ca="1">+BI505*Assumptions!$G$346</f>
        <v>0</v>
      </c>
      <c r="BJ506" s="33">
        <f ca="1">+BJ505*Assumptions!$G$346</f>
        <v>0</v>
      </c>
      <c r="BK506" s="33">
        <f ca="1">+BK505*Assumptions!$G$346</f>
        <v>0</v>
      </c>
      <c r="BL506" s="33">
        <f ca="1">+BL505*Assumptions!$G$346</f>
        <v>0</v>
      </c>
      <c r="BM506" s="33">
        <f ca="1">+BM505*Assumptions!$G$346</f>
        <v>0</v>
      </c>
      <c r="BN506" s="33">
        <f ca="1">+BN505*Assumptions!$G$346</f>
        <v>0</v>
      </c>
      <c r="BO506" s="33">
        <f ca="1">+BO505*Assumptions!$G$346</f>
        <v>0</v>
      </c>
      <c r="BP506" s="33">
        <f ca="1">+BP505*Assumptions!$G$346</f>
        <v>0</v>
      </c>
      <c r="BQ506" s="33">
        <f ca="1">+BQ505*Assumptions!$G$346</f>
        <v>0</v>
      </c>
      <c r="BR506" s="33">
        <f ca="1">+BR505*Assumptions!$G$346</f>
        <v>0</v>
      </c>
      <c r="BS506" s="33">
        <f ca="1">+BS505*Assumptions!$G$346</f>
        <v>0</v>
      </c>
      <c r="BT506" s="33">
        <f ca="1">+BT505*Assumptions!$G$346</f>
        <v>0</v>
      </c>
      <c r="BU506" s="33">
        <f ca="1">+BU505*Assumptions!$G$346</f>
        <v>0</v>
      </c>
      <c r="BV506" s="33">
        <f ca="1">+BV505*Assumptions!$G$346</f>
        <v>0</v>
      </c>
      <c r="BW506" s="33">
        <f ca="1">+BW505*Assumptions!$G$346</f>
        <v>0</v>
      </c>
      <c r="BX506" s="33">
        <f ca="1">+BX505*Assumptions!$G$346</f>
        <v>0</v>
      </c>
      <c r="BY506" s="33">
        <f ca="1">+BY505*Assumptions!$G$346</f>
        <v>0</v>
      </c>
    </row>
    <row r="507" spans="3:77" outlineLevel="1">
      <c r="C507" s="31"/>
      <c r="E507" s="25" t="s">
        <v>513</v>
      </c>
      <c r="F507" s="81" t="str">
        <f>+Assumptions!$G$8</f>
        <v>USD</v>
      </c>
      <c r="G507" s="25"/>
      <c r="H507" s="34">
        <f>IF(SUM(H508:H517)=0,0,+SUM(H508:H517)-H506)</f>
        <v>0</v>
      </c>
      <c r="I507" s="34">
        <f t="shared" ref="I507:BT507" si="933">IF(SUM(I508:I517)=0,0,+SUM(I508:I517)-I506)</f>
        <v>0</v>
      </c>
      <c r="J507" s="34">
        <f t="shared" si="933"/>
        <v>0</v>
      </c>
      <c r="K507" s="34">
        <f t="shared" si="933"/>
        <v>0</v>
      </c>
      <c r="L507" s="34">
        <f t="shared" si="933"/>
        <v>0</v>
      </c>
      <c r="M507" s="34">
        <f t="shared" si="933"/>
        <v>0</v>
      </c>
      <c r="N507" s="34">
        <f t="shared" si="933"/>
        <v>0</v>
      </c>
      <c r="O507" s="34">
        <f t="shared" si="933"/>
        <v>0</v>
      </c>
      <c r="P507" s="34">
        <f t="shared" si="933"/>
        <v>0</v>
      </c>
      <c r="Q507" s="34">
        <f t="shared" si="933"/>
        <v>0</v>
      </c>
      <c r="R507" s="34">
        <f t="shared" si="933"/>
        <v>0</v>
      </c>
      <c r="S507" s="34">
        <f t="shared" si="933"/>
        <v>0</v>
      </c>
      <c r="T507" s="34">
        <f t="shared" si="933"/>
        <v>0</v>
      </c>
      <c r="U507" s="34">
        <f t="shared" si="933"/>
        <v>0</v>
      </c>
      <c r="V507" s="34">
        <f t="shared" si="933"/>
        <v>0</v>
      </c>
      <c r="W507" s="34">
        <f t="shared" si="933"/>
        <v>0</v>
      </c>
      <c r="X507" s="34">
        <f t="shared" si="933"/>
        <v>0</v>
      </c>
      <c r="Y507" s="34">
        <f t="shared" si="933"/>
        <v>0</v>
      </c>
      <c r="Z507" s="34">
        <f t="shared" si="933"/>
        <v>0</v>
      </c>
      <c r="AA507" s="34">
        <f t="shared" si="933"/>
        <v>0</v>
      </c>
      <c r="AB507" s="34">
        <f t="shared" si="933"/>
        <v>0</v>
      </c>
      <c r="AC507" s="34">
        <f t="shared" si="933"/>
        <v>0</v>
      </c>
      <c r="AD507" s="34">
        <f t="shared" si="933"/>
        <v>0</v>
      </c>
      <c r="AE507" s="34">
        <f t="shared" si="933"/>
        <v>0</v>
      </c>
      <c r="AF507" s="34">
        <f t="shared" si="933"/>
        <v>0</v>
      </c>
      <c r="AG507" s="34">
        <f t="shared" si="933"/>
        <v>0</v>
      </c>
      <c r="AH507" s="34">
        <f t="shared" si="933"/>
        <v>0</v>
      </c>
      <c r="AI507" s="34">
        <f t="shared" si="933"/>
        <v>0</v>
      </c>
      <c r="AJ507" s="34">
        <f t="shared" si="933"/>
        <v>0</v>
      </c>
      <c r="AK507" s="34">
        <f t="shared" si="933"/>
        <v>0</v>
      </c>
      <c r="AL507" s="34">
        <f t="shared" si="933"/>
        <v>0</v>
      </c>
      <c r="AM507" s="34">
        <f t="shared" si="933"/>
        <v>0</v>
      </c>
      <c r="AN507" s="34">
        <f t="shared" si="933"/>
        <v>0</v>
      </c>
      <c r="AO507" s="34">
        <f t="shared" si="933"/>
        <v>0</v>
      </c>
      <c r="AP507" s="34">
        <f t="shared" si="933"/>
        <v>0</v>
      </c>
      <c r="AQ507" s="34">
        <f t="shared" si="933"/>
        <v>0</v>
      </c>
      <c r="AR507" s="34">
        <f t="shared" si="933"/>
        <v>0</v>
      </c>
      <c r="AS507" s="34">
        <f t="shared" si="933"/>
        <v>0</v>
      </c>
      <c r="AT507" s="34">
        <f t="shared" si="933"/>
        <v>0</v>
      </c>
      <c r="AU507" s="34">
        <f t="shared" si="933"/>
        <v>0</v>
      </c>
      <c r="AV507" s="34">
        <f t="shared" si="933"/>
        <v>0</v>
      </c>
      <c r="AW507" s="34">
        <f t="shared" si="933"/>
        <v>0</v>
      </c>
      <c r="AX507" s="34">
        <f t="shared" si="933"/>
        <v>0</v>
      </c>
      <c r="AY507" s="34">
        <f t="shared" si="933"/>
        <v>0</v>
      </c>
      <c r="AZ507" s="34">
        <f t="shared" si="933"/>
        <v>0</v>
      </c>
      <c r="BA507" s="34">
        <f t="shared" si="933"/>
        <v>0</v>
      </c>
      <c r="BB507" s="34">
        <f t="shared" si="933"/>
        <v>0</v>
      </c>
      <c r="BC507" s="34">
        <f t="shared" si="933"/>
        <v>0</v>
      </c>
      <c r="BD507" s="34">
        <f t="shared" si="933"/>
        <v>0</v>
      </c>
      <c r="BE507" s="34">
        <f t="shared" si="933"/>
        <v>0</v>
      </c>
      <c r="BF507" s="34">
        <f t="shared" si="933"/>
        <v>0</v>
      </c>
      <c r="BG507" s="34">
        <f t="shared" si="933"/>
        <v>0</v>
      </c>
      <c r="BH507" s="34">
        <f t="shared" si="933"/>
        <v>0</v>
      </c>
      <c r="BI507" s="34">
        <f t="shared" si="933"/>
        <v>0</v>
      </c>
      <c r="BJ507" s="34">
        <f t="shared" si="933"/>
        <v>0</v>
      </c>
      <c r="BK507" s="34">
        <f t="shared" si="933"/>
        <v>0</v>
      </c>
      <c r="BL507" s="34">
        <f t="shared" si="933"/>
        <v>0</v>
      </c>
      <c r="BM507" s="34">
        <f t="shared" si="933"/>
        <v>0</v>
      </c>
      <c r="BN507" s="34">
        <f t="shared" si="933"/>
        <v>0</v>
      </c>
      <c r="BO507" s="34">
        <f t="shared" si="933"/>
        <v>0</v>
      </c>
      <c r="BP507" s="34">
        <f t="shared" si="933"/>
        <v>0</v>
      </c>
      <c r="BQ507" s="34">
        <f t="shared" si="933"/>
        <v>0</v>
      </c>
      <c r="BR507" s="34">
        <f t="shared" si="933"/>
        <v>0</v>
      </c>
      <c r="BS507" s="34">
        <f t="shared" si="933"/>
        <v>0</v>
      </c>
      <c r="BT507" s="34">
        <f t="shared" si="933"/>
        <v>0</v>
      </c>
      <c r="BU507" s="34">
        <f t="shared" ref="BU507:BY507" si="934">IF(SUM(BU508:BU517)=0,0,+SUM(BU508:BU517)-BU506)</f>
        <v>0</v>
      </c>
      <c r="BV507" s="34">
        <f t="shared" si="934"/>
        <v>0</v>
      </c>
      <c r="BW507" s="34">
        <f t="shared" si="934"/>
        <v>0</v>
      </c>
      <c r="BX507" s="34">
        <f t="shared" si="934"/>
        <v>0</v>
      </c>
      <c r="BY507" s="34">
        <f t="shared" si="934"/>
        <v>0</v>
      </c>
    </row>
    <row r="508" spans="3:77" outlineLevel="1">
      <c r="C508" s="31"/>
      <c r="E508" s="24" t="s">
        <v>514</v>
      </c>
      <c r="F508" s="80" t="str">
        <f>+Assumptions!$G$8</f>
        <v>USD</v>
      </c>
      <c r="G508" s="24"/>
      <c r="H508" s="39">
        <f>+IFERROR(-ABS(IF(EDATE(_xlfn.XLOOKUP(1,$H495:$BE495,$H$4:$BE$4),12*Assumptions!$G$348+12)=H$4,0,IF(G495=1,PMT(Assumptions!$G$346,Assumptions!$G$348,$C497),G508))),0)</f>
        <v>0</v>
      </c>
      <c r="I508" s="39">
        <f>+IFERROR(-ABS(IF(EDATE(_xlfn.XLOOKUP(1,$H495:$BE495,$H$4:$BE$4),12*Assumptions!$G$348+12)=I$4,0,IF(H495=1,PMT(Assumptions!$G$346,Assumptions!$G$348,$C497),H508))),0)</f>
        <v>0</v>
      </c>
      <c r="J508" s="39">
        <f>+IFERROR(-ABS(IF(EDATE(_xlfn.XLOOKUP(1,$H495:$BE495,$H$4:$BE$4),12*Assumptions!$G$348+12)=J$4,0,IF(I495=1,PMT(Assumptions!$G$346,Assumptions!$G$348,$C497),I508))),0)</f>
        <v>0</v>
      </c>
      <c r="K508" s="39">
        <f>+IFERROR(-ABS(IF(EDATE(_xlfn.XLOOKUP(1,$H495:$BE495,$H$4:$BE$4),12*Assumptions!$G$348+12)=K$4,0,IF(J495=1,PMT(Assumptions!$G$346,Assumptions!$G$348,$C497),J508))),0)</f>
        <v>0</v>
      </c>
      <c r="L508" s="39">
        <f>+IFERROR(-ABS(IF(EDATE(_xlfn.XLOOKUP(1,$H495:$BE495,$H$4:$BE$4),12*Assumptions!$G$348+12)=L$4,0,IF(K495=1,PMT(Assumptions!$G$346,Assumptions!$G$348,$C497),K508))),0)</f>
        <v>0</v>
      </c>
      <c r="M508" s="39">
        <f>+IFERROR(-ABS(IF(EDATE(_xlfn.XLOOKUP(1,$H495:$BE495,$H$4:$BE$4),12*Assumptions!$G$348+12)=M$4,0,IF(L495=1,PMT(Assumptions!$G$346,Assumptions!$G$348,$C497),L508))),0)</f>
        <v>0</v>
      </c>
      <c r="N508" s="39">
        <f>+IFERROR(-ABS(IF(EDATE(_xlfn.XLOOKUP(1,$H495:$BE495,$H$4:$BE$4),12*Assumptions!$G$348+12)=N$4,0,IF(M495=1,PMT(Assumptions!$G$346,Assumptions!$G$348,$C497),M508))),0)</f>
        <v>0</v>
      </c>
      <c r="O508" s="39">
        <f>+IFERROR(-ABS(IF(EDATE(_xlfn.XLOOKUP(1,$H495:$BE495,$H$4:$BE$4),12*Assumptions!$G$348+12)=O$4,0,IF(N495=1,PMT(Assumptions!$G$346,Assumptions!$G$348,$C497),N508))),0)</f>
        <v>0</v>
      </c>
      <c r="P508" s="39">
        <f>+IFERROR(-ABS(IF(EDATE(_xlfn.XLOOKUP(1,$H495:$BE495,$H$4:$BE$4),12*Assumptions!$G$348+12)=P$4,0,IF(O495=1,PMT(Assumptions!$G$346,Assumptions!$G$348,$C497),O508))),0)</f>
        <v>0</v>
      </c>
      <c r="Q508" s="39">
        <f>+IFERROR(-ABS(IF(EDATE(_xlfn.XLOOKUP(1,$H495:$BE495,$H$4:$BE$4),12*Assumptions!$G$348+12)=Q$4,0,IF(P495=1,PMT(Assumptions!$G$346,Assumptions!$G$348,$C497),P508))),0)</f>
        <v>0</v>
      </c>
      <c r="R508" s="39">
        <f>+IFERROR(-ABS(IF(EDATE(_xlfn.XLOOKUP(1,$H495:$BE495,$H$4:$BE$4),12*Assumptions!$G$348+12)=R$4,0,IF(Q495=1,PMT(Assumptions!$G$346,Assumptions!$G$348,$C497),Q508))),0)</f>
        <v>0</v>
      </c>
      <c r="S508" s="39">
        <f>+IFERROR(-ABS(IF(EDATE(_xlfn.XLOOKUP(1,$H495:$BE495,$H$4:$BE$4),12*Assumptions!$G$348+12)=S$4,0,IF(R495=1,PMT(Assumptions!$G$346,Assumptions!$G$348,$C497),R508))),0)</f>
        <v>0</v>
      </c>
      <c r="T508" s="39">
        <f>+IFERROR(-ABS(IF(EDATE(_xlfn.XLOOKUP(1,$H495:$BE495,$H$4:$BE$4),12*Assumptions!$G$348+12)=T$4,0,IF(S495=1,PMT(Assumptions!$G$346,Assumptions!$G$348,$C497),S508))),0)</f>
        <v>0</v>
      </c>
      <c r="U508" s="39">
        <f>+IFERROR(-ABS(IF(EDATE(_xlfn.XLOOKUP(1,$H495:$BE495,$H$4:$BE$4),12*Assumptions!$G$348+12)=U$4,0,IF(T495=1,PMT(Assumptions!$G$346,Assumptions!$G$348,$C497),T508))),0)</f>
        <v>0</v>
      </c>
      <c r="V508" s="39">
        <f>+IFERROR(-ABS(IF(EDATE(_xlfn.XLOOKUP(1,$H495:$BE495,$H$4:$BE$4),12*Assumptions!$G$348+12)=V$4,0,IF(U495=1,PMT(Assumptions!$G$346,Assumptions!$G$348,$C497),U508))),0)</f>
        <v>0</v>
      </c>
      <c r="W508" s="39">
        <f>+IFERROR(-ABS(IF(EDATE(_xlfn.XLOOKUP(1,$H495:$BE495,$H$4:$BE$4),12*Assumptions!$G$348+12)=W$4,0,IF(V495=1,PMT(Assumptions!$G$346,Assumptions!$G$348,$C497),V508))),0)</f>
        <v>0</v>
      </c>
      <c r="X508" s="39">
        <f>+IFERROR(-ABS(IF(EDATE(_xlfn.XLOOKUP(1,$H495:$BE495,$H$4:$BE$4),12*Assumptions!$G$348+12)=X$4,0,IF(W495=1,PMT(Assumptions!$G$346,Assumptions!$G$348,$C497),W508))),0)</f>
        <v>0</v>
      </c>
      <c r="Y508" s="39">
        <f>+IFERROR(-ABS(IF(EDATE(_xlfn.XLOOKUP(1,$H495:$BE495,$H$4:$BE$4),12*Assumptions!$G$348+12)=Y$4,0,IF(X495=1,PMT(Assumptions!$G$346,Assumptions!$G$348,$C497),X508))),0)</f>
        <v>0</v>
      </c>
      <c r="Z508" s="39">
        <f>+IFERROR(-ABS(IF(EDATE(_xlfn.XLOOKUP(1,$H495:$BE495,$H$4:$BE$4),12*Assumptions!$G$348+12)=Z$4,0,IF(Y495=1,PMT(Assumptions!$G$346,Assumptions!$G$348,$C497),Y508))),0)</f>
        <v>0</v>
      </c>
      <c r="AA508" s="39">
        <f>+IFERROR(-ABS(IF(EDATE(_xlfn.XLOOKUP(1,$H495:$BE495,$H$4:$BE$4),12*Assumptions!$G$348+12)=AA$4,0,IF(Z495=1,PMT(Assumptions!$G$346,Assumptions!$G$348,$C497),Z508))),0)</f>
        <v>0</v>
      </c>
      <c r="AB508" s="39">
        <f>+IFERROR(-ABS(IF(EDATE(_xlfn.XLOOKUP(1,$H495:$BE495,$H$4:$BE$4),12*Assumptions!$G$348+12)=AB$4,0,IF(AA495=1,PMT(Assumptions!$G$346,Assumptions!$G$348,$C497),AA508))),0)</f>
        <v>0</v>
      </c>
      <c r="AC508" s="39">
        <f>+IFERROR(-ABS(IF(EDATE(_xlfn.XLOOKUP(1,$H495:$BE495,$H$4:$BE$4),12*Assumptions!$G$348+12)=AC$4,0,IF(AB495=1,PMT(Assumptions!$G$346,Assumptions!$G$348,$C497),AB508))),0)</f>
        <v>0</v>
      </c>
      <c r="AD508" s="39">
        <f>+IFERROR(-ABS(IF(EDATE(_xlfn.XLOOKUP(1,$H495:$BE495,$H$4:$BE$4),12*Assumptions!$G$348+12)=AD$4,0,IF(AC495=1,PMT(Assumptions!$G$346,Assumptions!$G$348,$C497),AC508))),0)</f>
        <v>0</v>
      </c>
      <c r="AE508" s="39">
        <f>+IFERROR(-ABS(IF(EDATE(_xlfn.XLOOKUP(1,$H495:$BE495,$H$4:$BE$4),12*Assumptions!$G$348+12)=AE$4,0,IF(AD495=1,PMT(Assumptions!$G$346,Assumptions!$G$348,$C497),AD508))),0)</f>
        <v>0</v>
      </c>
      <c r="AF508" s="39">
        <f>+IFERROR(-ABS(IF(EDATE(_xlfn.XLOOKUP(1,$H495:$BE495,$H$4:$BE$4),12*Assumptions!$G$348+12)=AF$4,0,IF(AE495=1,PMT(Assumptions!$G$346,Assumptions!$G$348,$C497),AE508))),0)</f>
        <v>0</v>
      </c>
      <c r="AG508" s="39">
        <f>+IFERROR(-ABS(IF(EDATE(_xlfn.XLOOKUP(1,$H495:$BE495,$H$4:$BE$4),12*Assumptions!$G$348+12)=AG$4,0,IF(AF495=1,PMT(Assumptions!$G$346,Assumptions!$G$348,$C497),AF508))),0)</f>
        <v>0</v>
      </c>
      <c r="AH508" s="39">
        <f>+IFERROR(-ABS(IF(EDATE(_xlfn.XLOOKUP(1,$H495:$BE495,$H$4:$BE$4),12*Assumptions!$G$348+12)=AH$4,0,IF(AG495=1,PMT(Assumptions!$G$346,Assumptions!$G$348,$C497),AG508))),0)</f>
        <v>0</v>
      </c>
      <c r="AI508" s="39">
        <f>+IFERROR(-ABS(IF(EDATE(_xlfn.XLOOKUP(1,$H495:$BE495,$H$4:$BE$4),12*Assumptions!$G$348+12)=AI$4,0,IF(AH495=1,PMT(Assumptions!$G$346,Assumptions!$G$348,$C497),AH508))),0)</f>
        <v>0</v>
      </c>
      <c r="AJ508" s="39">
        <f>+IFERROR(-ABS(IF(EDATE(_xlfn.XLOOKUP(1,$H495:$BE495,$H$4:$BE$4),12*Assumptions!$G$348+12)=AJ$4,0,IF(AI495=1,PMT(Assumptions!$G$346,Assumptions!$G$348,$C497),AI508))),0)</f>
        <v>0</v>
      </c>
      <c r="AK508" s="39">
        <f>+IFERROR(-ABS(IF(EDATE(_xlfn.XLOOKUP(1,$H495:$BE495,$H$4:$BE$4),12*Assumptions!$G$348+12)=AK$4,0,IF(AJ495=1,PMT(Assumptions!$G$346,Assumptions!$G$348,$C497),AJ508))),0)</f>
        <v>0</v>
      </c>
      <c r="AL508" s="39">
        <f>+IFERROR(-ABS(IF(EDATE(_xlfn.XLOOKUP(1,$H495:$BE495,$H$4:$BE$4),12*Assumptions!$G$348+12)=AL$4,0,IF(AK495=1,PMT(Assumptions!$G$346,Assumptions!$G$348,$C497),AK508))),0)</f>
        <v>0</v>
      </c>
      <c r="AM508" s="39">
        <f>+IFERROR(-ABS(IF(EDATE(_xlfn.XLOOKUP(1,$H495:$BE495,$H$4:$BE$4),12*Assumptions!$G$348+12)=AM$4,0,IF(AL495=1,PMT(Assumptions!$G$346,Assumptions!$G$348,$C497),AL508))),0)</f>
        <v>0</v>
      </c>
      <c r="AN508" s="39">
        <f>+IFERROR(-ABS(IF(EDATE(_xlfn.XLOOKUP(1,$H495:$BE495,$H$4:$BE$4),12*Assumptions!$G$348+12)=AN$4,0,IF(AM495=1,PMT(Assumptions!$G$346,Assumptions!$G$348,$C497),AM508))),0)</f>
        <v>0</v>
      </c>
      <c r="AO508" s="39">
        <f>+IFERROR(-ABS(IF(EDATE(_xlfn.XLOOKUP(1,$H495:$BE495,$H$4:$BE$4),12*Assumptions!$G$348+12)=AO$4,0,IF(AN495=1,PMT(Assumptions!$G$346,Assumptions!$G$348,$C497),AN508))),0)</f>
        <v>0</v>
      </c>
      <c r="AP508" s="39">
        <f>+IFERROR(-ABS(IF(EDATE(_xlfn.XLOOKUP(1,$H495:$BE495,$H$4:$BE$4),12*Assumptions!$G$348+12)=AP$4,0,IF(AO495=1,PMT(Assumptions!$G$346,Assumptions!$G$348,$C497),AO508))),0)</f>
        <v>0</v>
      </c>
      <c r="AQ508" s="39">
        <f>+IFERROR(-ABS(IF(EDATE(_xlfn.XLOOKUP(1,$H495:$BE495,$H$4:$BE$4),12*Assumptions!$G$348+12)=AQ$4,0,IF(AP495=1,PMT(Assumptions!$G$346,Assumptions!$G$348,$C497),AP508))),0)</f>
        <v>0</v>
      </c>
      <c r="AR508" s="39">
        <f>+IFERROR(-ABS(IF(EDATE(_xlfn.XLOOKUP(1,$H495:$BE495,$H$4:$BE$4),12*Assumptions!$G$348+12)=AR$4,0,IF(AQ495=1,PMT(Assumptions!$G$346,Assumptions!$G$348,$C497),AQ508))),0)</f>
        <v>0</v>
      </c>
      <c r="AS508" s="39">
        <f>+IFERROR(-ABS(IF(EDATE(_xlfn.XLOOKUP(1,$H495:$BE495,$H$4:$BE$4),12*Assumptions!$G$348+12)=AS$4,0,IF(AR495=1,PMT(Assumptions!$G$346,Assumptions!$G$348,$C497),AR508))),0)</f>
        <v>0</v>
      </c>
      <c r="AT508" s="39">
        <f>+IFERROR(-ABS(IF(EDATE(_xlfn.XLOOKUP(1,$H495:$BE495,$H$4:$BE$4),12*Assumptions!$G$348+12)=AT$4,0,IF(AS495=1,PMT(Assumptions!$G$346,Assumptions!$G$348,$C497),AS508))),0)</f>
        <v>0</v>
      </c>
      <c r="AU508" s="39">
        <f>+IFERROR(-ABS(IF(EDATE(_xlfn.XLOOKUP(1,$H495:$BE495,$H$4:$BE$4),12*Assumptions!$G$348+12)=AU$4,0,IF(AT495=1,PMT(Assumptions!$G$346,Assumptions!$G$348,$C497),AT508))),0)</f>
        <v>0</v>
      </c>
      <c r="AV508" s="39">
        <f>+IFERROR(-ABS(IF(EDATE(_xlfn.XLOOKUP(1,$H495:$BE495,$H$4:$BE$4),12*Assumptions!$G$348+12)=AV$4,0,IF(AU495=1,PMT(Assumptions!$G$346,Assumptions!$G$348,$C497),AU508))),0)</f>
        <v>0</v>
      </c>
      <c r="AW508" s="39">
        <f>+IFERROR(-ABS(IF(EDATE(_xlfn.XLOOKUP(1,$H495:$BE495,$H$4:$BE$4),12*Assumptions!$G$348+12)=AW$4,0,IF(AV495=1,PMT(Assumptions!$G$346,Assumptions!$G$348,$C497),AV508))),0)</f>
        <v>0</v>
      </c>
      <c r="AX508" s="39">
        <f>+IFERROR(-ABS(IF(EDATE(_xlfn.XLOOKUP(1,$H495:$BE495,$H$4:$BE$4),12*Assumptions!$G$348+12)=AX$4,0,IF(AW495=1,PMT(Assumptions!$G$346,Assumptions!$G$348,$C497),AW508))),0)</f>
        <v>0</v>
      </c>
      <c r="AY508" s="39">
        <f>+IFERROR(-ABS(IF(EDATE(_xlfn.XLOOKUP(1,$H495:$BE495,$H$4:$BE$4),12*Assumptions!$G$348+12)=AY$4,0,IF(AX495=1,PMT(Assumptions!$G$346,Assumptions!$G$348,$C497),AX508))),0)</f>
        <v>0</v>
      </c>
      <c r="AZ508" s="39">
        <f>+IFERROR(-ABS(IF(EDATE(_xlfn.XLOOKUP(1,$H495:$BE495,$H$4:$BE$4),12*Assumptions!$G$348+12)=AZ$4,0,IF(AY495=1,PMT(Assumptions!$G$346,Assumptions!$G$348,$C497),AY508))),0)</f>
        <v>0</v>
      </c>
      <c r="BA508" s="39">
        <f>+IFERROR(-ABS(IF(EDATE(_xlfn.XLOOKUP(1,$H495:$BE495,$H$4:$BE$4),12*Assumptions!$G$348+12)=BA$4,0,IF(AZ495=1,PMT(Assumptions!$G$346,Assumptions!$G$348,$C497),AZ508))),0)</f>
        <v>0</v>
      </c>
      <c r="BB508" s="39">
        <f>+IFERROR(-ABS(IF(EDATE(_xlfn.XLOOKUP(1,$H495:$BE495,$H$4:$BE$4),12*Assumptions!$G$348+12)=BB$4,0,IF(BA495=1,PMT(Assumptions!$G$346,Assumptions!$G$348,$C497),BA508))),0)</f>
        <v>0</v>
      </c>
      <c r="BC508" s="39">
        <f>+IFERROR(-ABS(IF(EDATE(_xlfn.XLOOKUP(1,$H495:$BE495,$H$4:$BE$4),12*Assumptions!$G$348+12)=BC$4,0,IF(BB495=1,PMT(Assumptions!$G$346,Assumptions!$G$348,$C497),BB508))),0)</f>
        <v>0</v>
      </c>
      <c r="BD508" s="39">
        <f>+IFERROR(-ABS(IF(EDATE(_xlfn.XLOOKUP(1,$H495:$BE495,$H$4:$BE$4),12*Assumptions!$G$348+12)=BD$4,0,IF(BC495=1,PMT(Assumptions!$G$346,Assumptions!$G$348,$C497),BC508))),0)</f>
        <v>0</v>
      </c>
      <c r="BE508" s="39">
        <f>+IFERROR(-ABS(IF(EDATE(_xlfn.XLOOKUP(1,$H495:$BE495,$H$4:$BE$4),12*Assumptions!$G$348+12)=BE$4,0,IF(BD495=1,PMT(Assumptions!$G$346,Assumptions!$G$348,$C497),BD508))),0)</f>
        <v>0</v>
      </c>
      <c r="BF508" s="39">
        <f>+IFERROR(-ABS(IF(EDATE(_xlfn.XLOOKUP(1,$H495:$BE495,$H$4:$BE$4),12*Assumptions!$G$348+12)=BF$4,0,IF(BE495=1,PMT(Assumptions!$G$346,Assumptions!$G$348,$C497),BE508))),0)</f>
        <v>0</v>
      </c>
      <c r="BG508" s="39">
        <f>+IFERROR(-ABS(IF(EDATE(_xlfn.XLOOKUP(1,$H495:$BE495,$H$4:$BE$4),12*Assumptions!$G$348+12)=BG$4,0,IF(BF495=1,PMT(Assumptions!$G$346,Assumptions!$G$348,$C497),BF508))),0)</f>
        <v>0</v>
      </c>
      <c r="BH508" s="39">
        <f>+IFERROR(-ABS(IF(EDATE(_xlfn.XLOOKUP(1,$H495:$BE495,$H$4:$BE$4),12*Assumptions!$G$348+12)=BH$4,0,IF(BG495=1,PMT(Assumptions!$G$346,Assumptions!$G$348,$C497),BG508))),0)</f>
        <v>0</v>
      </c>
      <c r="BI508" s="39">
        <f>+IFERROR(-ABS(IF(EDATE(_xlfn.XLOOKUP(1,$H495:$BE495,$H$4:$BE$4),12*Assumptions!$G$348+12)=BI$4,0,IF(BH495=1,PMT(Assumptions!$G$346,Assumptions!$G$348,$C497),BH508))),0)</f>
        <v>0</v>
      </c>
      <c r="BJ508" s="39">
        <f>+IFERROR(-ABS(IF(EDATE(_xlfn.XLOOKUP(1,$H495:$BE495,$H$4:$BE$4),12*Assumptions!$G$348+12)=BJ$4,0,IF(BI495=1,PMT(Assumptions!$G$346,Assumptions!$G$348,$C497),BI508))),0)</f>
        <v>0</v>
      </c>
      <c r="BK508" s="39">
        <f>+IFERROR(-ABS(IF(EDATE(_xlfn.XLOOKUP(1,$H495:$BE495,$H$4:$BE$4),12*Assumptions!$G$348+12)=BK$4,0,IF(BJ495=1,PMT(Assumptions!$G$346,Assumptions!$G$348,$C497),BJ508))),0)</f>
        <v>0</v>
      </c>
      <c r="BL508" s="39">
        <f>+IFERROR(-ABS(IF(EDATE(_xlfn.XLOOKUP(1,$H495:$BE495,$H$4:$BE$4),12*Assumptions!$G$348+12)=BL$4,0,IF(BK495=1,PMT(Assumptions!$G$346,Assumptions!$G$348,$C497),BK508))),0)</f>
        <v>0</v>
      </c>
      <c r="BM508" s="39">
        <f>+IFERROR(-ABS(IF(EDATE(_xlfn.XLOOKUP(1,$H495:$BE495,$H$4:$BE$4),12*Assumptions!$G$348+12)=BM$4,0,IF(BL495=1,PMT(Assumptions!$G$346,Assumptions!$G$348,$C497),BL508))),0)</f>
        <v>0</v>
      </c>
      <c r="BN508" s="39">
        <f>+IFERROR(-ABS(IF(EDATE(_xlfn.XLOOKUP(1,$H495:$BE495,$H$4:$BE$4),12*Assumptions!$G$348+12)=BN$4,0,IF(BM495=1,PMT(Assumptions!$G$346,Assumptions!$G$348,$C497),BM508))),0)</f>
        <v>0</v>
      </c>
      <c r="BO508" s="39">
        <f>+IFERROR(-ABS(IF(EDATE(_xlfn.XLOOKUP(1,$H495:$BE495,$H$4:$BE$4),12*Assumptions!$G$348+12)=BO$4,0,IF(BN495=1,PMT(Assumptions!$G$346,Assumptions!$G$348,$C497),BN508))),0)</f>
        <v>0</v>
      </c>
      <c r="BP508" s="39">
        <f>+IFERROR(-ABS(IF(EDATE(_xlfn.XLOOKUP(1,$H495:$BE495,$H$4:$BE$4),12*Assumptions!$G$348+12)=BP$4,0,IF(BO495=1,PMT(Assumptions!$G$346,Assumptions!$G$348,$C497),BO508))),0)</f>
        <v>0</v>
      </c>
      <c r="BQ508" s="39">
        <f>+IFERROR(-ABS(IF(EDATE(_xlfn.XLOOKUP(1,$H495:$BE495,$H$4:$BE$4),12*Assumptions!$G$348+12)=BQ$4,0,IF(BP495=1,PMT(Assumptions!$G$346,Assumptions!$G$348,$C497),BP508))),0)</f>
        <v>0</v>
      </c>
      <c r="BR508" s="39">
        <f>+IFERROR(-ABS(IF(EDATE(_xlfn.XLOOKUP(1,$H495:$BE495,$H$4:$BE$4),12*Assumptions!$G$348+12)=BR$4,0,IF(BQ495=1,PMT(Assumptions!$G$346,Assumptions!$G$348,$C497),BQ508))),0)</f>
        <v>0</v>
      </c>
      <c r="BS508" s="39">
        <f>+IFERROR(-ABS(IF(EDATE(_xlfn.XLOOKUP(1,$H495:$BE495,$H$4:$BE$4),12*Assumptions!$G$348+12)=BS$4,0,IF(BR495=1,PMT(Assumptions!$G$346,Assumptions!$G$348,$C497),BR508))),0)</f>
        <v>0</v>
      </c>
      <c r="BT508" s="39">
        <f>+IFERROR(-ABS(IF(EDATE(_xlfn.XLOOKUP(1,$H495:$BE495,$H$4:$BE$4),12*Assumptions!$G$348+12)=BT$4,0,IF(BS495=1,PMT(Assumptions!$G$346,Assumptions!$G$348,$C497),BS508))),0)</f>
        <v>0</v>
      </c>
      <c r="BU508" s="39">
        <f>+IFERROR(-ABS(IF(EDATE(_xlfn.XLOOKUP(1,$H495:$BE495,$H$4:$BE$4),12*Assumptions!$G$348+12)=BU$4,0,IF(BT495=1,PMT(Assumptions!$G$346,Assumptions!$G$348,$C497),BT508))),0)</f>
        <v>0</v>
      </c>
      <c r="BV508" s="39">
        <f>+IFERROR(-ABS(IF(EDATE(_xlfn.XLOOKUP(1,$H495:$BE495,$H$4:$BE$4),12*Assumptions!$G$348+12)=BV$4,0,IF(BU495=1,PMT(Assumptions!$G$346,Assumptions!$G$348,$C497),BU508))),0)</f>
        <v>0</v>
      </c>
      <c r="BW508" s="39">
        <f>+IFERROR(-ABS(IF(EDATE(_xlfn.XLOOKUP(1,$H495:$BE495,$H$4:$BE$4),12*Assumptions!$G$348+12)=BW$4,0,IF(BV495=1,PMT(Assumptions!$G$346,Assumptions!$G$348,$C497),BV508))),0)</f>
        <v>0</v>
      </c>
      <c r="BX508" s="39">
        <f>+IFERROR(-ABS(IF(EDATE(_xlfn.XLOOKUP(1,$H495:$BE495,$H$4:$BE$4),12*Assumptions!$G$348+12)=BX$4,0,IF(BW495=1,PMT(Assumptions!$G$346,Assumptions!$G$348,$C497),BW508))),0)</f>
        <v>0</v>
      </c>
      <c r="BY508" s="39">
        <f>+IFERROR(-ABS(IF(EDATE(_xlfn.XLOOKUP(1,$H495:$BE495,$H$4:$BE$4),12*Assumptions!$G$348+12)=BY$4,0,IF(BX495=1,PMT(Assumptions!$G$346,Assumptions!$G$348,$C497),BX508))),0)</f>
        <v>0</v>
      </c>
    </row>
    <row r="509" spans="3:77" outlineLevel="1">
      <c r="C509" s="31"/>
      <c r="E509" s="24" t="s">
        <v>515</v>
      </c>
      <c r="F509" s="80" t="str">
        <f>+Assumptions!$G$8</f>
        <v>USD</v>
      </c>
      <c r="G509" s="24"/>
      <c r="H509" s="39">
        <f>+IFERROR(-ABS(IF(EDATE(_xlfn.XLOOKUP(1,$H496:$BE496,$H$4:$BE$4),12*Assumptions!$G$348+12)=H$4,0,IF(G496=1,PMT(Assumptions!$G$346,Assumptions!$G$348,$C498),G509))),0)</f>
        <v>0</v>
      </c>
      <c r="I509" s="39">
        <f>+IFERROR(-ABS(IF(EDATE(_xlfn.XLOOKUP(1,$H496:$BE496,$H$4:$BE$4),12*Assumptions!$G$348+12)=I$4,0,IF(H496=1,PMT(Assumptions!$G$346,Assumptions!$G$348,$C498),H509))),0)</f>
        <v>0</v>
      </c>
      <c r="J509" s="39">
        <f>+IFERROR(-ABS(IF(EDATE(_xlfn.XLOOKUP(1,$H496:$BE496,$H$4:$BE$4),12*Assumptions!$G$348+12)=J$4,0,IF(I496=1,PMT(Assumptions!$G$346,Assumptions!$G$348,$C498),I509))),0)</f>
        <v>0</v>
      </c>
      <c r="K509" s="39">
        <f>+IFERROR(-ABS(IF(EDATE(_xlfn.XLOOKUP(1,$H496:$BE496,$H$4:$BE$4),12*Assumptions!$G$348+12)=K$4,0,IF(J496=1,PMT(Assumptions!$G$346,Assumptions!$G$348,$C498),J509))),0)</f>
        <v>0</v>
      </c>
      <c r="L509" s="39">
        <f>+IFERROR(-ABS(IF(EDATE(_xlfn.XLOOKUP(1,$H496:$BE496,$H$4:$BE$4),12*Assumptions!$G$348+12)=L$4,0,IF(K496=1,PMT(Assumptions!$G$346,Assumptions!$G$348,$C498),K509))),0)</f>
        <v>0</v>
      </c>
      <c r="M509" s="39">
        <f>+IFERROR(-ABS(IF(EDATE(_xlfn.XLOOKUP(1,$H496:$BE496,$H$4:$BE$4),12*Assumptions!$G$348+12)=M$4,0,IF(L496=1,PMT(Assumptions!$G$346,Assumptions!$G$348,$C498),L509))),0)</f>
        <v>0</v>
      </c>
      <c r="N509" s="39">
        <f>+IFERROR(-ABS(IF(EDATE(_xlfn.XLOOKUP(1,$H496:$BE496,$H$4:$BE$4),12*Assumptions!$G$348+12)=N$4,0,IF(M496=1,PMT(Assumptions!$G$346,Assumptions!$G$348,$C498),M509))),0)</f>
        <v>0</v>
      </c>
      <c r="O509" s="39">
        <f>+IFERROR(-ABS(IF(EDATE(_xlfn.XLOOKUP(1,$H496:$BE496,$H$4:$BE$4),12*Assumptions!$G$348+12)=O$4,0,IF(N496=1,PMT(Assumptions!$G$346,Assumptions!$G$348,$C498),N509))),0)</f>
        <v>0</v>
      </c>
      <c r="P509" s="39">
        <f>+IFERROR(-ABS(IF(EDATE(_xlfn.XLOOKUP(1,$H496:$BE496,$H$4:$BE$4),12*Assumptions!$G$348+12)=P$4,0,IF(O496=1,PMT(Assumptions!$G$346,Assumptions!$G$348,$C498),O509))),0)</f>
        <v>0</v>
      </c>
      <c r="Q509" s="39">
        <f>+IFERROR(-ABS(IF(EDATE(_xlfn.XLOOKUP(1,$H496:$BE496,$H$4:$BE$4),12*Assumptions!$G$348+12)=Q$4,0,IF(P496=1,PMT(Assumptions!$G$346,Assumptions!$G$348,$C498),P509))),0)</f>
        <v>0</v>
      </c>
      <c r="R509" s="39">
        <f>+IFERROR(-ABS(IF(EDATE(_xlfn.XLOOKUP(1,$H496:$BE496,$H$4:$BE$4),12*Assumptions!$G$348+12)=R$4,0,IF(Q496=1,PMT(Assumptions!$G$346,Assumptions!$G$348,$C498),Q509))),0)</f>
        <v>0</v>
      </c>
      <c r="S509" s="39">
        <f>+IFERROR(-ABS(IF(EDATE(_xlfn.XLOOKUP(1,$H496:$BE496,$H$4:$BE$4),12*Assumptions!$G$348+12)=S$4,0,IF(R496=1,PMT(Assumptions!$G$346,Assumptions!$G$348,$C498),R509))),0)</f>
        <v>0</v>
      </c>
      <c r="T509" s="39">
        <f>+IFERROR(-ABS(IF(EDATE(_xlfn.XLOOKUP(1,$H496:$BE496,$H$4:$BE$4),12*Assumptions!$G$348+12)=T$4,0,IF(S496=1,PMT(Assumptions!$G$346,Assumptions!$G$348,$C498),S509))),0)</f>
        <v>0</v>
      </c>
      <c r="U509" s="39">
        <f>+IFERROR(-ABS(IF(EDATE(_xlfn.XLOOKUP(1,$H496:$BE496,$H$4:$BE$4),12*Assumptions!$G$348+12)=U$4,0,IF(T496=1,PMT(Assumptions!$G$346,Assumptions!$G$348,$C498),T509))),0)</f>
        <v>0</v>
      </c>
      <c r="V509" s="39">
        <f>+IFERROR(-ABS(IF(EDATE(_xlfn.XLOOKUP(1,$H496:$BE496,$H$4:$BE$4),12*Assumptions!$G$348+12)=V$4,0,IF(U496=1,PMT(Assumptions!$G$346,Assumptions!$G$348,$C498),U509))),0)</f>
        <v>0</v>
      </c>
      <c r="W509" s="39">
        <f>+IFERROR(-ABS(IF(EDATE(_xlfn.XLOOKUP(1,$H496:$BE496,$H$4:$BE$4),12*Assumptions!$G$348+12)=W$4,0,IF(V496=1,PMT(Assumptions!$G$346,Assumptions!$G$348,$C498),V509))),0)</f>
        <v>0</v>
      </c>
      <c r="X509" s="39">
        <f>+IFERROR(-ABS(IF(EDATE(_xlfn.XLOOKUP(1,$H496:$BE496,$H$4:$BE$4),12*Assumptions!$G$348+12)=X$4,0,IF(W496=1,PMT(Assumptions!$G$346,Assumptions!$G$348,$C498),W509))),0)</f>
        <v>0</v>
      </c>
      <c r="Y509" s="39">
        <f>+IFERROR(-ABS(IF(EDATE(_xlfn.XLOOKUP(1,$H496:$BE496,$H$4:$BE$4),12*Assumptions!$G$348+12)=Y$4,0,IF(X496=1,PMT(Assumptions!$G$346,Assumptions!$G$348,$C498),X509))),0)</f>
        <v>0</v>
      </c>
      <c r="Z509" s="39">
        <f>+IFERROR(-ABS(IF(EDATE(_xlfn.XLOOKUP(1,$H496:$BE496,$H$4:$BE$4),12*Assumptions!$G$348+12)=Z$4,0,IF(Y496=1,PMT(Assumptions!$G$346,Assumptions!$G$348,$C498),Y509))),0)</f>
        <v>0</v>
      </c>
      <c r="AA509" s="39">
        <f>+IFERROR(-ABS(IF(EDATE(_xlfn.XLOOKUP(1,$H496:$BE496,$H$4:$BE$4),12*Assumptions!$G$348+12)=AA$4,0,IF(Z496=1,PMT(Assumptions!$G$346,Assumptions!$G$348,$C498),Z509))),0)</f>
        <v>0</v>
      </c>
      <c r="AB509" s="39">
        <f>+IFERROR(-ABS(IF(EDATE(_xlfn.XLOOKUP(1,$H496:$BE496,$H$4:$BE$4),12*Assumptions!$G$348+12)=AB$4,0,IF(AA496=1,PMT(Assumptions!$G$346,Assumptions!$G$348,$C498),AA509))),0)</f>
        <v>0</v>
      </c>
      <c r="AC509" s="39">
        <f>+IFERROR(-ABS(IF(EDATE(_xlfn.XLOOKUP(1,$H496:$BE496,$H$4:$BE$4),12*Assumptions!$G$348+12)=AC$4,0,IF(AB496=1,PMT(Assumptions!$G$346,Assumptions!$G$348,$C498),AB509))),0)</f>
        <v>0</v>
      </c>
      <c r="AD509" s="39">
        <f>+IFERROR(-ABS(IF(EDATE(_xlfn.XLOOKUP(1,$H496:$BE496,$H$4:$BE$4),12*Assumptions!$G$348+12)=AD$4,0,IF(AC496=1,PMT(Assumptions!$G$346,Assumptions!$G$348,$C498),AC509))),0)</f>
        <v>0</v>
      </c>
      <c r="AE509" s="39">
        <f>+IFERROR(-ABS(IF(EDATE(_xlfn.XLOOKUP(1,$H496:$BE496,$H$4:$BE$4),12*Assumptions!$G$348+12)=AE$4,0,IF(AD496=1,PMT(Assumptions!$G$346,Assumptions!$G$348,$C498),AD509))),0)</f>
        <v>0</v>
      </c>
      <c r="AF509" s="39">
        <f>+IFERROR(-ABS(IF(EDATE(_xlfn.XLOOKUP(1,$H496:$BE496,$H$4:$BE$4),12*Assumptions!$G$348+12)=AF$4,0,IF(AE496=1,PMT(Assumptions!$G$346,Assumptions!$G$348,$C498),AE509))),0)</f>
        <v>0</v>
      </c>
      <c r="AG509" s="39">
        <f>+IFERROR(-ABS(IF(EDATE(_xlfn.XLOOKUP(1,$H496:$BE496,$H$4:$BE$4),12*Assumptions!$G$348+12)=AG$4,0,IF(AF496=1,PMT(Assumptions!$G$346,Assumptions!$G$348,$C498),AF509))),0)</f>
        <v>0</v>
      </c>
      <c r="AH509" s="39">
        <f>+IFERROR(-ABS(IF(EDATE(_xlfn.XLOOKUP(1,$H496:$BE496,$H$4:$BE$4),12*Assumptions!$G$348+12)=AH$4,0,IF(AG496=1,PMT(Assumptions!$G$346,Assumptions!$G$348,$C498),AG509))),0)</f>
        <v>0</v>
      </c>
      <c r="AI509" s="39">
        <f>+IFERROR(-ABS(IF(EDATE(_xlfn.XLOOKUP(1,$H496:$BE496,$H$4:$BE$4),12*Assumptions!$G$348+12)=AI$4,0,IF(AH496=1,PMT(Assumptions!$G$346,Assumptions!$G$348,$C498),AH509))),0)</f>
        <v>0</v>
      </c>
      <c r="AJ509" s="39">
        <f>+IFERROR(-ABS(IF(EDATE(_xlfn.XLOOKUP(1,$H496:$BE496,$H$4:$BE$4),12*Assumptions!$G$348+12)=AJ$4,0,IF(AI496=1,PMT(Assumptions!$G$346,Assumptions!$G$348,$C498),AI509))),0)</f>
        <v>0</v>
      </c>
      <c r="AK509" s="39">
        <f>+IFERROR(-ABS(IF(EDATE(_xlfn.XLOOKUP(1,$H496:$BE496,$H$4:$BE$4),12*Assumptions!$G$348+12)=AK$4,0,IF(AJ496=1,PMT(Assumptions!$G$346,Assumptions!$G$348,$C498),AJ509))),0)</f>
        <v>0</v>
      </c>
      <c r="AL509" s="39">
        <f>+IFERROR(-ABS(IF(EDATE(_xlfn.XLOOKUP(1,$H496:$BE496,$H$4:$BE$4),12*Assumptions!$G$348+12)=AL$4,0,IF(AK496=1,PMT(Assumptions!$G$346,Assumptions!$G$348,$C498),AK509))),0)</f>
        <v>0</v>
      </c>
      <c r="AM509" s="39">
        <f>+IFERROR(-ABS(IF(EDATE(_xlfn.XLOOKUP(1,$H496:$BE496,$H$4:$BE$4),12*Assumptions!$G$348+12)=AM$4,0,IF(AL496=1,PMT(Assumptions!$G$346,Assumptions!$G$348,$C498),AL509))),0)</f>
        <v>0</v>
      </c>
      <c r="AN509" s="39">
        <f>+IFERROR(-ABS(IF(EDATE(_xlfn.XLOOKUP(1,$H496:$BE496,$H$4:$BE$4),12*Assumptions!$G$348+12)=AN$4,0,IF(AM496=1,PMT(Assumptions!$G$346,Assumptions!$G$348,$C498),AM509))),0)</f>
        <v>0</v>
      </c>
      <c r="AO509" s="39">
        <f>+IFERROR(-ABS(IF(EDATE(_xlfn.XLOOKUP(1,$H496:$BE496,$H$4:$BE$4),12*Assumptions!$G$348+12)=AO$4,0,IF(AN496=1,PMT(Assumptions!$G$346,Assumptions!$G$348,$C498),AN509))),0)</f>
        <v>0</v>
      </c>
      <c r="AP509" s="39">
        <f>+IFERROR(-ABS(IF(EDATE(_xlfn.XLOOKUP(1,$H496:$BE496,$H$4:$BE$4),12*Assumptions!$G$348+12)=AP$4,0,IF(AO496=1,PMT(Assumptions!$G$346,Assumptions!$G$348,$C498),AO509))),0)</f>
        <v>0</v>
      </c>
      <c r="AQ509" s="39">
        <f>+IFERROR(-ABS(IF(EDATE(_xlfn.XLOOKUP(1,$H496:$BE496,$H$4:$BE$4),12*Assumptions!$G$348+12)=AQ$4,0,IF(AP496=1,PMT(Assumptions!$G$346,Assumptions!$G$348,$C498),AP509))),0)</f>
        <v>0</v>
      </c>
      <c r="AR509" s="39">
        <f>+IFERROR(-ABS(IF(EDATE(_xlfn.XLOOKUP(1,$H496:$BE496,$H$4:$BE$4),12*Assumptions!$G$348+12)=AR$4,0,IF(AQ496=1,PMT(Assumptions!$G$346,Assumptions!$G$348,$C498),AQ509))),0)</f>
        <v>0</v>
      </c>
      <c r="AS509" s="39">
        <f>+IFERROR(-ABS(IF(EDATE(_xlfn.XLOOKUP(1,$H496:$BE496,$H$4:$BE$4),12*Assumptions!$G$348+12)=AS$4,0,IF(AR496=1,PMT(Assumptions!$G$346,Assumptions!$G$348,$C498),AR509))),0)</f>
        <v>0</v>
      </c>
      <c r="AT509" s="39">
        <f>+IFERROR(-ABS(IF(EDATE(_xlfn.XLOOKUP(1,$H496:$BE496,$H$4:$BE$4),12*Assumptions!$G$348+12)=AT$4,0,IF(AS496=1,PMT(Assumptions!$G$346,Assumptions!$G$348,$C498),AS509))),0)</f>
        <v>0</v>
      </c>
      <c r="AU509" s="39">
        <f>+IFERROR(-ABS(IF(EDATE(_xlfn.XLOOKUP(1,$H496:$BE496,$H$4:$BE$4),12*Assumptions!$G$348+12)=AU$4,0,IF(AT496=1,PMT(Assumptions!$G$346,Assumptions!$G$348,$C498),AT509))),0)</f>
        <v>0</v>
      </c>
      <c r="AV509" s="39">
        <f>+IFERROR(-ABS(IF(EDATE(_xlfn.XLOOKUP(1,$H496:$BE496,$H$4:$BE$4),12*Assumptions!$G$348+12)=AV$4,0,IF(AU496=1,PMT(Assumptions!$G$346,Assumptions!$G$348,$C498),AU509))),0)</f>
        <v>0</v>
      </c>
      <c r="AW509" s="39">
        <f>+IFERROR(-ABS(IF(EDATE(_xlfn.XLOOKUP(1,$H496:$BE496,$H$4:$BE$4),12*Assumptions!$G$348+12)=AW$4,0,IF(AV496=1,PMT(Assumptions!$G$346,Assumptions!$G$348,$C498),AV509))),0)</f>
        <v>0</v>
      </c>
      <c r="AX509" s="39">
        <f>+IFERROR(-ABS(IF(EDATE(_xlfn.XLOOKUP(1,$H496:$BE496,$H$4:$BE$4),12*Assumptions!$G$348+12)=AX$4,0,IF(AW496=1,PMT(Assumptions!$G$346,Assumptions!$G$348,$C498),AW509))),0)</f>
        <v>0</v>
      </c>
      <c r="AY509" s="39">
        <f>+IFERROR(-ABS(IF(EDATE(_xlfn.XLOOKUP(1,$H496:$BE496,$H$4:$BE$4),12*Assumptions!$G$348+12)=AY$4,0,IF(AX496=1,PMT(Assumptions!$G$346,Assumptions!$G$348,$C498),AX509))),0)</f>
        <v>0</v>
      </c>
      <c r="AZ509" s="39">
        <f>+IFERROR(-ABS(IF(EDATE(_xlfn.XLOOKUP(1,$H496:$BE496,$H$4:$BE$4),12*Assumptions!$G$348+12)=AZ$4,0,IF(AY496=1,PMT(Assumptions!$G$346,Assumptions!$G$348,$C498),AY509))),0)</f>
        <v>0</v>
      </c>
      <c r="BA509" s="39">
        <f>+IFERROR(-ABS(IF(EDATE(_xlfn.XLOOKUP(1,$H496:$BE496,$H$4:$BE$4),12*Assumptions!$G$348+12)=BA$4,0,IF(AZ496=1,PMT(Assumptions!$G$346,Assumptions!$G$348,$C498),AZ509))),0)</f>
        <v>0</v>
      </c>
      <c r="BB509" s="39">
        <f>+IFERROR(-ABS(IF(EDATE(_xlfn.XLOOKUP(1,$H496:$BE496,$H$4:$BE$4),12*Assumptions!$G$348+12)=BB$4,0,IF(BA496=1,PMT(Assumptions!$G$346,Assumptions!$G$348,$C498),BA509))),0)</f>
        <v>0</v>
      </c>
      <c r="BC509" s="39">
        <f>+IFERROR(-ABS(IF(EDATE(_xlfn.XLOOKUP(1,$H496:$BE496,$H$4:$BE$4),12*Assumptions!$G$348+12)=BC$4,0,IF(BB496=1,PMT(Assumptions!$G$346,Assumptions!$G$348,$C498),BB509))),0)</f>
        <v>0</v>
      </c>
      <c r="BD509" s="39">
        <f>+IFERROR(-ABS(IF(EDATE(_xlfn.XLOOKUP(1,$H496:$BE496,$H$4:$BE$4),12*Assumptions!$G$348+12)=BD$4,0,IF(BC496=1,PMT(Assumptions!$G$346,Assumptions!$G$348,$C498),BC509))),0)</f>
        <v>0</v>
      </c>
      <c r="BE509" s="39">
        <f>+IFERROR(-ABS(IF(EDATE(_xlfn.XLOOKUP(1,$H496:$BE496,$H$4:$BE$4),12*Assumptions!$G$348+12)=BE$4,0,IF(BD496=1,PMT(Assumptions!$G$346,Assumptions!$G$348,$C498),BD509))),0)</f>
        <v>0</v>
      </c>
      <c r="BF509" s="39">
        <f>+IFERROR(-ABS(IF(EDATE(_xlfn.XLOOKUP(1,$H496:$BE496,$H$4:$BE$4),12*Assumptions!$G$348+12)=BF$4,0,IF(BE496=1,PMT(Assumptions!$G$346,Assumptions!$G$348,$C498),BE509))),0)</f>
        <v>0</v>
      </c>
      <c r="BG509" s="39">
        <f>+IFERROR(-ABS(IF(EDATE(_xlfn.XLOOKUP(1,$H496:$BE496,$H$4:$BE$4),12*Assumptions!$G$348+12)=BG$4,0,IF(BF496=1,PMT(Assumptions!$G$346,Assumptions!$G$348,$C498),BF509))),0)</f>
        <v>0</v>
      </c>
      <c r="BH509" s="39">
        <f>+IFERROR(-ABS(IF(EDATE(_xlfn.XLOOKUP(1,$H496:$BE496,$H$4:$BE$4),12*Assumptions!$G$348+12)=BH$4,0,IF(BG496=1,PMT(Assumptions!$G$346,Assumptions!$G$348,$C498),BG509))),0)</f>
        <v>0</v>
      </c>
      <c r="BI509" s="39">
        <f>+IFERROR(-ABS(IF(EDATE(_xlfn.XLOOKUP(1,$H496:$BE496,$H$4:$BE$4),12*Assumptions!$G$348+12)=BI$4,0,IF(BH496=1,PMT(Assumptions!$G$346,Assumptions!$G$348,$C498),BH509))),0)</f>
        <v>0</v>
      </c>
      <c r="BJ509" s="39">
        <f>+IFERROR(-ABS(IF(EDATE(_xlfn.XLOOKUP(1,$H496:$BE496,$H$4:$BE$4),12*Assumptions!$G$348+12)=BJ$4,0,IF(BI496=1,PMT(Assumptions!$G$346,Assumptions!$G$348,$C498),BI509))),0)</f>
        <v>0</v>
      </c>
      <c r="BK509" s="39">
        <f>+IFERROR(-ABS(IF(EDATE(_xlfn.XLOOKUP(1,$H496:$BE496,$H$4:$BE$4),12*Assumptions!$G$348+12)=BK$4,0,IF(BJ496=1,PMT(Assumptions!$G$346,Assumptions!$G$348,$C498),BJ509))),0)</f>
        <v>0</v>
      </c>
      <c r="BL509" s="39">
        <f>+IFERROR(-ABS(IF(EDATE(_xlfn.XLOOKUP(1,$H496:$BE496,$H$4:$BE$4),12*Assumptions!$G$348+12)=BL$4,0,IF(BK496=1,PMT(Assumptions!$G$346,Assumptions!$G$348,$C498),BK509))),0)</f>
        <v>0</v>
      </c>
      <c r="BM509" s="39">
        <f>+IFERROR(-ABS(IF(EDATE(_xlfn.XLOOKUP(1,$H496:$BE496,$H$4:$BE$4),12*Assumptions!$G$348+12)=BM$4,0,IF(BL496=1,PMT(Assumptions!$G$346,Assumptions!$G$348,$C498),BL509))),0)</f>
        <v>0</v>
      </c>
      <c r="BN509" s="39">
        <f>+IFERROR(-ABS(IF(EDATE(_xlfn.XLOOKUP(1,$H496:$BE496,$H$4:$BE$4),12*Assumptions!$G$348+12)=BN$4,0,IF(BM496=1,PMT(Assumptions!$G$346,Assumptions!$G$348,$C498),BM509))),0)</f>
        <v>0</v>
      </c>
      <c r="BO509" s="39">
        <f>+IFERROR(-ABS(IF(EDATE(_xlfn.XLOOKUP(1,$H496:$BE496,$H$4:$BE$4),12*Assumptions!$G$348+12)=BO$4,0,IF(BN496=1,PMT(Assumptions!$G$346,Assumptions!$G$348,$C498),BN509))),0)</f>
        <v>0</v>
      </c>
      <c r="BP509" s="39">
        <f>+IFERROR(-ABS(IF(EDATE(_xlfn.XLOOKUP(1,$H496:$BE496,$H$4:$BE$4),12*Assumptions!$G$348+12)=BP$4,0,IF(BO496=1,PMT(Assumptions!$G$346,Assumptions!$G$348,$C498),BO509))),0)</f>
        <v>0</v>
      </c>
      <c r="BQ509" s="39">
        <f>+IFERROR(-ABS(IF(EDATE(_xlfn.XLOOKUP(1,$H496:$BE496,$H$4:$BE$4),12*Assumptions!$G$348+12)=BQ$4,0,IF(BP496=1,PMT(Assumptions!$G$346,Assumptions!$G$348,$C498),BP509))),0)</f>
        <v>0</v>
      </c>
      <c r="BR509" s="39">
        <f>+IFERROR(-ABS(IF(EDATE(_xlfn.XLOOKUP(1,$H496:$BE496,$H$4:$BE$4),12*Assumptions!$G$348+12)=BR$4,0,IF(BQ496=1,PMT(Assumptions!$G$346,Assumptions!$G$348,$C498),BQ509))),0)</f>
        <v>0</v>
      </c>
      <c r="BS509" s="39">
        <f>+IFERROR(-ABS(IF(EDATE(_xlfn.XLOOKUP(1,$H496:$BE496,$H$4:$BE$4),12*Assumptions!$G$348+12)=BS$4,0,IF(BR496=1,PMT(Assumptions!$G$346,Assumptions!$G$348,$C498),BR509))),0)</f>
        <v>0</v>
      </c>
      <c r="BT509" s="39">
        <f>+IFERROR(-ABS(IF(EDATE(_xlfn.XLOOKUP(1,$H496:$BE496,$H$4:$BE$4),12*Assumptions!$G$348+12)=BT$4,0,IF(BS496=1,PMT(Assumptions!$G$346,Assumptions!$G$348,$C498),BS509))),0)</f>
        <v>0</v>
      </c>
      <c r="BU509" s="39">
        <f>+IFERROR(-ABS(IF(EDATE(_xlfn.XLOOKUP(1,$H496:$BE496,$H$4:$BE$4),12*Assumptions!$G$348+12)=BU$4,0,IF(BT496=1,PMT(Assumptions!$G$346,Assumptions!$G$348,$C498),BT509))),0)</f>
        <v>0</v>
      </c>
      <c r="BV509" s="39">
        <f>+IFERROR(-ABS(IF(EDATE(_xlfn.XLOOKUP(1,$H496:$BE496,$H$4:$BE$4),12*Assumptions!$G$348+12)=BV$4,0,IF(BU496=1,PMT(Assumptions!$G$346,Assumptions!$G$348,$C498),BU509))),0)</f>
        <v>0</v>
      </c>
      <c r="BW509" s="39">
        <f>+IFERROR(-ABS(IF(EDATE(_xlfn.XLOOKUP(1,$H496:$BE496,$H$4:$BE$4),12*Assumptions!$G$348+12)=BW$4,0,IF(BV496=1,PMT(Assumptions!$G$346,Assumptions!$G$348,$C498),BV509))),0)</f>
        <v>0</v>
      </c>
      <c r="BX509" s="39">
        <f>+IFERROR(-ABS(IF(EDATE(_xlfn.XLOOKUP(1,$H496:$BE496,$H$4:$BE$4),12*Assumptions!$G$348+12)=BX$4,0,IF(BW496=1,PMT(Assumptions!$G$346,Assumptions!$G$348,$C498),BW509))),0)</f>
        <v>0</v>
      </c>
      <c r="BY509" s="39">
        <f>+IFERROR(-ABS(IF(EDATE(_xlfn.XLOOKUP(1,$H496:$BE496,$H$4:$BE$4),12*Assumptions!$G$348+12)=BY$4,0,IF(BX496=1,PMT(Assumptions!$G$346,Assumptions!$G$348,$C498),BX509))),0)</f>
        <v>0</v>
      </c>
    </row>
    <row r="510" spans="3:77" outlineLevel="1">
      <c r="E510" s="24" t="s">
        <v>516</v>
      </c>
      <c r="F510" s="80" t="str">
        <f>+Assumptions!$G$8</f>
        <v>USD</v>
      </c>
      <c r="G510" s="24"/>
      <c r="H510" s="39">
        <f>+IFERROR(-ABS(IF(EDATE(_xlfn.XLOOKUP(1,$H497:$BE497,$H$4:$BE$4),12*Assumptions!$G$348+12)=H$4,0,IF(G497=1,PMT(Assumptions!$G$346,Assumptions!$G$348,$C499),G510))),0)</f>
        <v>0</v>
      </c>
      <c r="I510" s="39">
        <f>+IFERROR(-ABS(IF(EDATE(_xlfn.XLOOKUP(1,$H497:$BE497,$H$4:$BE$4),12*Assumptions!$G$348+12)=I$4,0,IF(H497=1,PMT(Assumptions!$G$346,Assumptions!$G$348,$C499),H510))),0)</f>
        <v>0</v>
      </c>
      <c r="J510" s="39">
        <f>+IFERROR(-ABS(IF(EDATE(_xlfn.XLOOKUP(1,$H497:$BE497,$H$4:$BE$4),12*Assumptions!$G$348+12)=J$4,0,IF(I497=1,PMT(Assumptions!$G$346,Assumptions!$G$348,$C499),I510))),0)</f>
        <v>0</v>
      </c>
      <c r="K510" s="39">
        <f>+IFERROR(-ABS(IF(EDATE(_xlfn.XLOOKUP(1,$H497:$BE497,$H$4:$BE$4),12*Assumptions!$G$348+12)=K$4,0,IF(J497=1,PMT(Assumptions!$G$346,Assumptions!$G$348,$C499),J510))),0)</f>
        <v>0</v>
      </c>
      <c r="L510" s="39">
        <f>+IFERROR(-ABS(IF(EDATE(_xlfn.XLOOKUP(1,$H497:$BE497,$H$4:$BE$4),12*Assumptions!$G$348+12)=L$4,0,IF(K497=1,PMT(Assumptions!$G$346,Assumptions!$G$348,$C499),K510))),0)</f>
        <v>0</v>
      </c>
      <c r="M510" s="39">
        <f>+IFERROR(-ABS(IF(EDATE(_xlfn.XLOOKUP(1,$H497:$BE497,$H$4:$BE$4),12*Assumptions!$G$348+12)=M$4,0,IF(L497=1,PMT(Assumptions!$G$346,Assumptions!$G$348,$C499),L510))),0)</f>
        <v>0</v>
      </c>
      <c r="N510" s="39">
        <f>+IFERROR(-ABS(IF(EDATE(_xlfn.XLOOKUP(1,$H497:$BE497,$H$4:$BE$4),12*Assumptions!$G$348+12)=N$4,0,IF(M497=1,PMT(Assumptions!$G$346,Assumptions!$G$348,$C499),M510))),0)</f>
        <v>0</v>
      </c>
      <c r="O510" s="39">
        <f>+IFERROR(-ABS(IF(EDATE(_xlfn.XLOOKUP(1,$H497:$BE497,$H$4:$BE$4),12*Assumptions!$G$348+12)=O$4,0,IF(N497=1,PMT(Assumptions!$G$346,Assumptions!$G$348,$C499),N510))),0)</f>
        <v>0</v>
      </c>
      <c r="P510" s="39">
        <f>+IFERROR(-ABS(IF(EDATE(_xlfn.XLOOKUP(1,$H497:$BE497,$H$4:$BE$4),12*Assumptions!$G$348+12)=P$4,0,IF(O497=1,PMT(Assumptions!$G$346,Assumptions!$G$348,$C499),O510))),0)</f>
        <v>0</v>
      </c>
      <c r="Q510" s="39">
        <f>+IFERROR(-ABS(IF(EDATE(_xlfn.XLOOKUP(1,$H497:$BE497,$H$4:$BE$4),12*Assumptions!$G$348+12)=Q$4,0,IF(P497=1,PMT(Assumptions!$G$346,Assumptions!$G$348,$C499),P510))),0)</f>
        <v>0</v>
      </c>
      <c r="R510" s="39">
        <f>+IFERROR(-ABS(IF(EDATE(_xlfn.XLOOKUP(1,$H497:$BE497,$H$4:$BE$4),12*Assumptions!$G$348+12)=R$4,0,IF(Q497=1,PMT(Assumptions!$G$346,Assumptions!$G$348,$C499),Q510))),0)</f>
        <v>0</v>
      </c>
      <c r="S510" s="39">
        <f>+IFERROR(-ABS(IF(EDATE(_xlfn.XLOOKUP(1,$H497:$BE497,$H$4:$BE$4),12*Assumptions!$G$348+12)=S$4,0,IF(R497=1,PMT(Assumptions!$G$346,Assumptions!$G$348,$C499),R510))),0)</f>
        <v>0</v>
      </c>
      <c r="T510" s="39">
        <f>+IFERROR(-ABS(IF(EDATE(_xlfn.XLOOKUP(1,$H497:$BE497,$H$4:$BE$4),12*Assumptions!$G$348+12)=T$4,0,IF(S497=1,PMT(Assumptions!$G$346,Assumptions!$G$348,$C499),S510))),0)</f>
        <v>0</v>
      </c>
      <c r="U510" s="39">
        <f>+IFERROR(-ABS(IF(EDATE(_xlfn.XLOOKUP(1,$H497:$BE497,$H$4:$BE$4),12*Assumptions!$G$348+12)=U$4,0,IF(T497=1,PMT(Assumptions!$G$346,Assumptions!$G$348,$C499),T510))),0)</f>
        <v>0</v>
      </c>
      <c r="V510" s="39">
        <f>+IFERROR(-ABS(IF(EDATE(_xlfn.XLOOKUP(1,$H497:$BE497,$H$4:$BE$4),12*Assumptions!$G$348+12)=V$4,0,IF(U497=1,PMT(Assumptions!$G$346,Assumptions!$G$348,$C499),U510))),0)</f>
        <v>0</v>
      </c>
      <c r="W510" s="39">
        <f>+IFERROR(-ABS(IF(EDATE(_xlfn.XLOOKUP(1,$H497:$BE497,$H$4:$BE$4),12*Assumptions!$G$348+12)=W$4,0,IF(V497=1,PMT(Assumptions!$G$346,Assumptions!$G$348,$C499),V510))),0)</f>
        <v>0</v>
      </c>
      <c r="X510" s="39">
        <f>+IFERROR(-ABS(IF(EDATE(_xlfn.XLOOKUP(1,$H497:$BE497,$H$4:$BE$4),12*Assumptions!$G$348+12)=X$4,0,IF(W497=1,PMT(Assumptions!$G$346,Assumptions!$G$348,$C499),W510))),0)</f>
        <v>0</v>
      </c>
      <c r="Y510" s="39">
        <f>+IFERROR(-ABS(IF(EDATE(_xlfn.XLOOKUP(1,$H497:$BE497,$H$4:$BE$4),12*Assumptions!$G$348+12)=Y$4,0,IF(X497=1,PMT(Assumptions!$G$346,Assumptions!$G$348,$C499),X510))),0)</f>
        <v>0</v>
      </c>
      <c r="Z510" s="39">
        <f>+IFERROR(-ABS(IF(EDATE(_xlfn.XLOOKUP(1,$H497:$BE497,$H$4:$BE$4),12*Assumptions!$G$348+12)=Z$4,0,IF(Y497=1,PMT(Assumptions!$G$346,Assumptions!$G$348,$C499),Y510))),0)</f>
        <v>0</v>
      </c>
      <c r="AA510" s="39">
        <f>+IFERROR(-ABS(IF(EDATE(_xlfn.XLOOKUP(1,$H497:$BE497,$H$4:$BE$4),12*Assumptions!$G$348+12)=AA$4,0,IF(Z497=1,PMT(Assumptions!$G$346,Assumptions!$G$348,$C499),Z510))),0)</f>
        <v>0</v>
      </c>
      <c r="AB510" s="39">
        <f>+IFERROR(-ABS(IF(EDATE(_xlfn.XLOOKUP(1,$H497:$BE497,$H$4:$BE$4),12*Assumptions!$G$348+12)=AB$4,0,IF(AA497=1,PMT(Assumptions!$G$346,Assumptions!$G$348,$C499),AA510))),0)</f>
        <v>0</v>
      </c>
      <c r="AC510" s="39">
        <f>+IFERROR(-ABS(IF(EDATE(_xlfn.XLOOKUP(1,$H497:$BE497,$H$4:$BE$4),12*Assumptions!$G$348+12)=AC$4,0,IF(AB497=1,PMT(Assumptions!$G$346,Assumptions!$G$348,$C499),AB510))),0)</f>
        <v>0</v>
      </c>
      <c r="AD510" s="39">
        <f>+IFERROR(-ABS(IF(EDATE(_xlfn.XLOOKUP(1,$H497:$BE497,$H$4:$BE$4),12*Assumptions!$G$348+12)=AD$4,0,IF(AC497=1,PMT(Assumptions!$G$346,Assumptions!$G$348,$C499),AC510))),0)</f>
        <v>0</v>
      </c>
      <c r="AE510" s="39">
        <f>+IFERROR(-ABS(IF(EDATE(_xlfn.XLOOKUP(1,$H497:$BE497,$H$4:$BE$4),12*Assumptions!$G$348+12)=AE$4,0,IF(AD497=1,PMT(Assumptions!$G$346,Assumptions!$G$348,$C499),AD510))),0)</f>
        <v>0</v>
      </c>
      <c r="AF510" s="39">
        <f>+IFERROR(-ABS(IF(EDATE(_xlfn.XLOOKUP(1,$H497:$BE497,$H$4:$BE$4),12*Assumptions!$G$348+12)=AF$4,0,IF(AE497=1,PMT(Assumptions!$G$346,Assumptions!$G$348,$C499),AE510))),0)</f>
        <v>0</v>
      </c>
      <c r="AG510" s="39">
        <f>+IFERROR(-ABS(IF(EDATE(_xlfn.XLOOKUP(1,$H497:$BE497,$H$4:$BE$4),12*Assumptions!$G$348+12)=AG$4,0,IF(AF497=1,PMT(Assumptions!$G$346,Assumptions!$G$348,$C499),AF510))),0)</f>
        <v>0</v>
      </c>
      <c r="AH510" s="39">
        <f>+IFERROR(-ABS(IF(EDATE(_xlfn.XLOOKUP(1,$H497:$BE497,$H$4:$BE$4),12*Assumptions!$G$348+12)=AH$4,0,IF(AG497=1,PMT(Assumptions!$G$346,Assumptions!$G$348,$C499),AG510))),0)</f>
        <v>0</v>
      </c>
      <c r="AI510" s="39">
        <f>+IFERROR(-ABS(IF(EDATE(_xlfn.XLOOKUP(1,$H497:$BE497,$H$4:$BE$4),12*Assumptions!$G$348+12)=AI$4,0,IF(AH497=1,PMT(Assumptions!$G$346,Assumptions!$G$348,$C499),AH510))),0)</f>
        <v>0</v>
      </c>
      <c r="AJ510" s="39">
        <f>+IFERROR(-ABS(IF(EDATE(_xlfn.XLOOKUP(1,$H497:$BE497,$H$4:$BE$4),12*Assumptions!$G$348+12)=AJ$4,0,IF(AI497=1,PMT(Assumptions!$G$346,Assumptions!$G$348,$C499),AI510))),0)</f>
        <v>0</v>
      </c>
      <c r="AK510" s="39">
        <f>+IFERROR(-ABS(IF(EDATE(_xlfn.XLOOKUP(1,$H497:$BE497,$H$4:$BE$4),12*Assumptions!$G$348+12)=AK$4,0,IF(AJ497=1,PMT(Assumptions!$G$346,Assumptions!$G$348,$C499),AJ510))),0)</f>
        <v>0</v>
      </c>
      <c r="AL510" s="39">
        <f>+IFERROR(-ABS(IF(EDATE(_xlfn.XLOOKUP(1,$H497:$BE497,$H$4:$BE$4),12*Assumptions!$G$348+12)=AL$4,0,IF(AK497=1,PMT(Assumptions!$G$346,Assumptions!$G$348,$C499),AK510))),0)</f>
        <v>0</v>
      </c>
      <c r="AM510" s="39">
        <f>+IFERROR(-ABS(IF(EDATE(_xlfn.XLOOKUP(1,$H497:$BE497,$H$4:$BE$4),12*Assumptions!$G$348+12)=AM$4,0,IF(AL497=1,PMT(Assumptions!$G$346,Assumptions!$G$348,$C499),AL510))),0)</f>
        <v>0</v>
      </c>
      <c r="AN510" s="39">
        <f>+IFERROR(-ABS(IF(EDATE(_xlfn.XLOOKUP(1,$H497:$BE497,$H$4:$BE$4),12*Assumptions!$G$348+12)=AN$4,0,IF(AM497=1,PMT(Assumptions!$G$346,Assumptions!$G$348,$C499),AM510))),0)</f>
        <v>0</v>
      </c>
      <c r="AO510" s="39">
        <f>+IFERROR(-ABS(IF(EDATE(_xlfn.XLOOKUP(1,$H497:$BE497,$H$4:$BE$4),12*Assumptions!$G$348+12)=AO$4,0,IF(AN497=1,PMT(Assumptions!$G$346,Assumptions!$G$348,$C499),AN510))),0)</f>
        <v>0</v>
      </c>
      <c r="AP510" s="39">
        <f>+IFERROR(-ABS(IF(EDATE(_xlfn.XLOOKUP(1,$H497:$BE497,$H$4:$BE$4),12*Assumptions!$G$348+12)=AP$4,0,IF(AO497=1,PMT(Assumptions!$G$346,Assumptions!$G$348,$C499),AO510))),0)</f>
        <v>0</v>
      </c>
      <c r="AQ510" s="39">
        <f>+IFERROR(-ABS(IF(EDATE(_xlfn.XLOOKUP(1,$H497:$BE497,$H$4:$BE$4),12*Assumptions!$G$348+12)=AQ$4,0,IF(AP497=1,PMT(Assumptions!$G$346,Assumptions!$G$348,$C499),AP510))),0)</f>
        <v>0</v>
      </c>
      <c r="AR510" s="39">
        <f>+IFERROR(-ABS(IF(EDATE(_xlfn.XLOOKUP(1,$H497:$BE497,$H$4:$BE$4),12*Assumptions!$G$348+12)=AR$4,0,IF(AQ497=1,PMT(Assumptions!$G$346,Assumptions!$G$348,$C499),AQ510))),0)</f>
        <v>0</v>
      </c>
      <c r="AS510" s="39">
        <f>+IFERROR(-ABS(IF(EDATE(_xlfn.XLOOKUP(1,$H497:$BE497,$H$4:$BE$4),12*Assumptions!$G$348+12)=AS$4,0,IF(AR497=1,PMT(Assumptions!$G$346,Assumptions!$G$348,$C499),AR510))),0)</f>
        <v>0</v>
      </c>
      <c r="AT510" s="39">
        <f>+IFERROR(-ABS(IF(EDATE(_xlfn.XLOOKUP(1,$H497:$BE497,$H$4:$BE$4),12*Assumptions!$G$348+12)=AT$4,0,IF(AS497=1,PMT(Assumptions!$G$346,Assumptions!$G$348,$C499),AS510))),0)</f>
        <v>0</v>
      </c>
      <c r="AU510" s="39">
        <f>+IFERROR(-ABS(IF(EDATE(_xlfn.XLOOKUP(1,$H497:$BE497,$H$4:$BE$4),12*Assumptions!$G$348+12)=AU$4,0,IF(AT497=1,PMT(Assumptions!$G$346,Assumptions!$G$348,$C499),AT510))),0)</f>
        <v>0</v>
      </c>
      <c r="AV510" s="39">
        <f>+IFERROR(-ABS(IF(EDATE(_xlfn.XLOOKUP(1,$H497:$BE497,$H$4:$BE$4),12*Assumptions!$G$348+12)=AV$4,0,IF(AU497=1,PMT(Assumptions!$G$346,Assumptions!$G$348,$C499),AU510))),0)</f>
        <v>0</v>
      </c>
      <c r="AW510" s="39">
        <f>+IFERROR(-ABS(IF(EDATE(_xlfn.XLOOKUP(1,$H497:$BE497,$H$4:$BE$4),12*Assumptions!$G$348+12)=AW$4,0,IF(AV497=1,PMT(Assumptions!$G$346,Assumptions!$G$348,$C499),AV510))),0)</f>
        <v>0</v>
      </c>
      <c r="AX510" s="39">
        <f>+IFERROR(-ABS(IF(EDATE(_xlfn.XLOOKUP(1,$H497:$BE497,$H$4:$BE$4),12*Assumptions!$G$348+12)=AX$4,0,IF(AW497=1,PMT(Assumptions!$G$346,Assumptions!$G$348,$C499),AW510))),0)</f>
        <v>0</v>
      </c>
      <c r="AY510" s="39">
        <f>+IFERROR(-ABS(IF(EDATE(_xlfn.XLOOKUP(1,$H497:$BE497,$H$4:$BE$4),12*Assumptions!$G$348+12)=AY$4,0,IF(AX497=1,PMT(Assumptions!$G$346,Assumptions!$G$348,$C499),AX510))),0)</f>
        <v>0</v>
      </c>
      <c r="AZ510" s="39">
        <f>+IFERROR(-ABS(IF(EDATE(_xlfn.XLOOKUP(1,$H497:$BE497,$H$4:$BE$4),12*Assumptions!$G$348+12)=AZ$4,0,IF(AY497=1,PMT(Assumptions!$G$346,Assumptions!$G$348,$C499),AY510))),0)</f>
        <v>0</v>
      </c>
      <c r="BA510" s="39">
        <f>+IFERROR(-ABS(IF(EDATE(_xlfn.XLOOKUP(1,$H497:$BE497,$H$4:$BE$4),12*Assumptions!$G$348+12)=BA$4,0,IF(AZ497=1,PMT(Assumptions!$G$346,Assumptions!$G$348,$C499),AZ510))),0)</f>
        <v>0</v>
      </c>
      <c r="BB510" s="39">
        <f>+IFERROR(-ABS(IF(EDATE(_xlfn.XLOOKUP(1,$H497:$BE497,$H$4:$BE$4),12*Assumptions!$G$348+12)=BB$4,0,IF(BA497=1,PMT(Assumptions!$G$346,Assumptions!$G$348,$C499),BA510))),0)</f>
        <v>0</v>
      </c>
      <c r="BC510" s="39">
        <f>+IFERROR(-ABS(IF(EDATE(_xlfn.XLOOKUP(1,$H497:$BE497,$H$4:$BE$4),12*Assumptions!$G$348+12)=BC$4,0,IF(BB497=1,PMT(Assumptions!$G$346,Assumptions!$G$348,$C499),BB510))),0)</f>
        <v>0</v>
      </c>
      <c r="BD510" s="39">
        <f>+IFERROR(-ABS(IF(EDATE(_xlfn.XLOOKUP(1,$H497:$BE497,$H$4:$BE$4),12*Assumptions!$G$348+12)=BD$4,0,IF(BC497=1,PMT(Assumptions!$G$346,Assumptions!$G$348,$C499),BC510))),0)</f>
        <v>0</v>
      </c>
      <c r="BE510" s="39">
        <f>+IFERROR(-ABS(IF(EDATE(_xlfn.XLOOKUP(1,$H497:$BE497,$H$4:$BE$4),12*Assumptions!$G$348+12)=BE$4,0,IF(BD497=1,PMT(Assumptions!$G$346,Assumptions!$G$348,$C499),BD510))),0)</f>
        <v>0</v>
      </c>
      <c r="BF510" s="39">
        <f>+IFERROR(-ABS(IF(EDATE(_xlfn.XLOOKUP(1,$H497:$BE497,$H$4:$BE$4),12*Assumptions!$G$348+12)=BF$4,0,IF(BE497=1,PMT(Assumptions!$G$346,Assumptions!$G$348,$C499),BE510))),0)</f>
        <v>0</v>
      </c>
      <c r="BG510" s="39">
        <f>+IFERROR(-ABS(IF(EDATE(_xlfn.XLOOKUP(1,$H497:$BE497,$H$4:$BE$4),12*Assumptions!$G$348+12)=BG$4,0,IF(BF497=1,PMT(Assumptions!$G$346,Assumptions!$G$348,$C499),BF510))),0)</f>
        <v>0</v>
      </c>
      <c r="BH510" s="39">
        <f>+IFERROR(-ABS(IF(EDATE(_xlfn.XLOOKUP(1,$H497:$BE497,$H$4:$BE$4),12*Assumptions!$G$348+12)=BH$4,0,IF(BG497=1,PMT(Assumptions!$G$346,Assumptions!$G$348,$C499),BG510))),0)</f>
        <v>0</v>
      </c>
      <c r="BI510" s="39">
        <f>+IFERROR(-ABS(IF(EDATE(_xlfn.XLOOKUP(1,$H497:$BE497,$H$4:$BE$4),12*Assumptions!$G$348+12)=BI$4,0,IF(BH497=1,PMT(Assumptions!$G$346,Assumptions!$G$348,$C499),BH510))),0)</f>
        <v>0</v>
      </c>
      <c r="BJ510" s="39">
        <f>+IFERROR(-ABS(IF(EDATE(_xlfn.XLOOKUP(1,$H497:$BE497,$H$4:$BE$4),12*Assumptions!$G$348+12)=BJ$4,0,IF(BI497=1,PMT(Assumptions!$G$346,Assumptions!$G$348,$C499),BI510))),0)</f>
        <v>0</v>
      </c>
      <c r="BK510" s="39">
        <f>+IFERROR(-ABS(IF(EDATE(_xlfn.XLOOKUP(1,$H497:$BE497,$H$4:$BE$4),12*Assumptions!$G$348+12)=BK$4,0,IF(BJ497=1,PMT(Assumptions!$G$346,Assumptions!$G$348,$C499),BJ510))),0)</f>
        <v>0</v>
      </c>
      <c r="BL510" s="39">
        <f>+IFERROR(-ABS(IF(EDATE(_xlfn.XLOOKUP(1,$H497:$BE497,$H$4:$BE$4),12*Assumptions!$G$348+12)=BL$4,0,IF(BK497=1,PMT(Assumptions!$G$346,Assumptions!$G$348,$C499),BK510))),0)</f>
        <v>0</v>
      </c>
      <c r="BM510" s="39">
        <f>+IFERROR(-ABS(IF(EDATE(_xlfn.XLOOKUP(1,$H497:$BE497,$H$4:$BE$4),12*Assumptions!$G$348+12)=BM$4,0,IF(BL497=1,PMT(Assumptions!$G$346,Assumptions!$G$348,$C499),BL510))),0)</f>
        <v>0</v>
      </c>
      <c r="BN510" s="39">
        <f>+IFERROR(-ABS(IF(EDATE(_xlfn.XLOOKUP(1,$H497:$BE497,$H$4:$BE$4),12*Assumptions!$G$348+12)=BN$4,0,IF(BM497=1,PMT(Assumptions!$G$346,Assumptions!$G$348,$C499),BM510))),0)</f>
        <v>0</v>
      </c>
      <c r="BO510" s="39">
        <f>+IFERROR(-ABS(IF(EDATE(_xlfn.XLOOKUP(1,$H497:$BE497,$H$4:$BE$4),12*Assumptions!$G$348+12)=BO$4,0,IF(BN497=1,PMT(Assumptions!$G$346,Assumptions!$G$348,$C499),BN510))),0)</f>
        <v>0</v>
      </c>
      <c r="BP510" s="39">
        <f>+IFERROR(-ABS(IF(EDATE(_xlfn.XLOOKUP(1,$H497:$BE497,$H$4:$BE$4),12*Assumptions!$G$348+12)=BP$4,0,IF(BO497=1,PMT(Assumptions!$G$346,Assumptions!$G$348,$C499),BO510))),0)</f>
        <v>0</v>
      </c>
      <c r="BQ510" s="39">
        <f>+IFERROR(-ABS(IF(EDATE(_xlfn.XLOOKUP(1,$H497:$BE497,$H$4:$BE$4),12*Assumptions!$G$348+12)=BQ$4,0,IF(BP497=1,PMT(Assumptions!$G$346,Assumptions!$G$348,$C499),BP510))),0)</f>
        <v>0</v>
      </c>
      <c r="BR510" s="39">
        <f>+IFERROR(-ABS(IF(EDATE(_xlfn.XLOOKUP(1,$H497:$BE497,$H$4:$BE$4),12*Assumptions!$G$348+12)=BR$4,0,IF(BQ497=1,PMT(Assumptions!$G$346,Assumptions!$G$348,$C499),BQ510))),0)</f>
        <v>0</v>
      </c>
      <c r="BS510" s="39">
        <f>+IFERROR(-ABS(IF(EDATE(_xlfn.XLOOKUP(1,$H497:$BE497,$H$4:$BE$4),12*Assumptions!$G$348+12)=BS$4,0,IF(BR497=1,PMT(Assumptions!$G$346,Assumptions!$G$348,$C499),BR510))),0)</f>
        <v>0</v>
      </c>
      <c r="BT510" s="39">
        <f>+IFERROR(-ABS(IF(EDATE(_xlfn.XLOOKUP(1,$H497:$BE497,$H$4:$BE$4),12*Assumptions!$G$348+12)=BT$4,0,IF(BS497=1,PMT(Assumptions!$G$346,Assumptions!$G$348,$C499),BS510))),0)</f>
        <v>0</v>
      </c>
      <c r="BU510" s="39">
        <f>+IFERROR(-ABS(IF(EDATE(_xlfn.XLOOKUP(1,$H497:$BE497,$H$4:$BE$4),12*Assumptions!$G$348+12)=BU$4,0,IF(BT497=1,PMT(Assumptions!$G$346,Assumptions!$G$348,$C499),BT510))),0)</f>
        <v>0</v>
      </c>
      <c r="BV510" s="39">
        <f>+IFERROR(-ABS(IF(EDATE(_xlfn.XLOOKUP(1,$H497:$BE497,$H$4:$BE$4),12*Assumptions!$G$348+12)=BV$4,0,IF(BU497=1,PMT(Assumptions!$G$346,Assumptions!$G$348,$C499),BU510))),0)</f>
        <v>0</v>
      </c>
      <c r="BW510" s="39">
        <f>+IFERROR(-ABS(IF(EDATE(_xlfn.XLOOKUP(1,$H497:$BE497,$H$4:$BE$4),12*Assumptions!$G$348+12)=BW$4,0,IF(BV497=1,PMT(Assumptions!$G$346,Assumptions!$G$348,$C499),BV510))),0)</f>
        <v>0</v>
      </c>
      <c r="BX510" s="39">
        <f>+IFERROR(-ABS(IF(EDATE(_xlfn.XLOOKUP(1,$H497:$BE497,$H$4:$BE$4),12*Assumptions!$G$348+12)=BX$4,0,IF(BW497=1,PMT(Assumptions!$G$346,Assumptions!$G$348,$C499),BW510))),0)</f>
        <v>0</v>
      </c>
      <c r="BY510" s="39">
        <f>+IFERROR(-ABS(IF(EDATE(_xlfn.XLOOKUP(1,$H497:$BE497,$H$4:$BE$4),12*Assumptions!$G$348+12)=BY$4,0,IF(BX497=1,PMT(Assumptions!$G$346,Assumptions!$G$348,$C499),BX510))),0)</f>
        <v>0</v>
      </c>
    </row>
    <row r="511" spans="3:77" outlineLevel="1">
      <c r="E511" s="24" t="s">
        <v>517</v>
      </c>
      <c r="F511" s="80" t="str">
        <f>+Assumptions!$G$8</f>
        <v>USD</v>
      </c>
      <c r="G511" s="24"/>
      <c r="H511" s="39">
        <f>+IFERROR(-ABS(IF(EDATE(_xlfn.XLOOKUP(1,$H498:$BE498,$H$4:$BE$4),12*Assumptions!$G$348+12)=H$4,0,IF(G498=1,PMT(Assumptions!$G$346,Assumptions!$G$348,$C500),G511))),0)</f>
        <v>0</v>
      </c>
      <c r="I511" s="39">
        <f>+IFERROR(-ABS(IF(EDATE(_xlfn.XLOOKUP(1,$H498:$BE498,$H$4:$BE$4),12*Assumptions!$G$348+12)=I$4,0,IF(H498=1,PMT(Assumptions!$G$346,Assumptions!$G$348,$C500),H511))),0)</f>
        <v>0</v>
      </c>
      <c r="J511" s="39">
        <f>+IFERROR(-ABS(IF(EDATE(_xlfn.XLOOKUP(1,$H498:$BE498,$H$4:$BE$4),12*Assumptions!$G$348+12)=J$4,0,IF(I498=1,PMT(Assumptions!$G$346,Assumptions!$G$348,$C500),I511))),0)</f>
        <v>0</v>
      </c>
      <c r="K511" s="39">
        <f>+IFERROR(-ABS(IF(EDATE(_xlfn.XLOOKUP(1,$H498:$BE498,$H$4:$BE$4),12*Assumptions!$G$348+12)=K$4,0,IF(J498=1,PMT(Assumptions!$G$346,Assumptions!$G$348,$C500),J511))),0)</f>
        <v>0</v>
      </c>
      <c r="L511" s="39">
        <f>+IFERROR(-ABS(IF(EDATE(_xlfn.XLOOKUP(1,$H498:$BE498,$H$4:$BE$4),12*Assumptions!$G$348+12)=L$4,0,IF(K498=1,PMT(Assumptions!$G$346,Assumptions!$G$348,$C500),K511))),0)</f>
        <v>0</v>
      </c>
      <c r="M511" s="39">
        <f>+IFERROR(-ABS(IF(EDATE(_xlfn.XLOOKUP(1,$H498:$BE498,$H$4:$BE$4),12*Assumptions!$G$348+12)=M$4,0,IF(L498=1,PMT(Assumptions!$G$346,Assumptions!$G$348,$C500),L511))),0)</f>
        <v>0</v>
      </c>
      <c r="N511" s="39">
        <f>+IFERROR(-ABS(IF(EDATE(_xlfn.XLOOKUP(1,$H498:$BE498,$H$4:$BE$4),12*Assumptions!$G$348+12)=N$4,0,IF(M498=1,PMT(Assumptions!$G$346,Assumptions!$G$348,$C500),M511))),0)</f>
        <v>0</v>
      </c>
      <c r="O511" s="39">
        <f>+IFERROR(-ABS(IF(EDATE(_xlfn.XLOOKUP(1,$H498:$BE498,$H$4:$BE$4),12*Assumptions!$G$348+12)=O$4,0,IF(N498=1,PMT(Assumptions!$G$346,Assumptions!$G$348,$C500),N511))),0)</f>
        <v>0</v>
      </c>
      <c r="P511" s="39">
        <f>+IFERROR(-ABS(IF(EDATE(_xlfn.XLOOKUP(1,$H498:$BE498,$H$4:$BE$4),12*Assumptions!$G$348+12)=P$4,0,IF(O498=1,PMT(Assumptions!$G$346,Assumptions!$G$348,$C500),O511))),0)</f>
        <v>0</v>
      </c>
      <c r="Q511" s="39">
        <f>+IFERROR(-ABS(IF(EDATE(_xlfn.XLOOKUP(1,$H498:$BE498,$H$4:$BE$4),12*Assumptions!$G$348+12)=Q$4,0,IF(P498=1,PMT(Assumptions!$G$346,Assumptions!$G$348,$C500),P511))),0)</f>
        <v>0</v>
      </c>
      <c r="R511" s="39">
        <f>+IFERROR(-ABS(IF(EDATE(_xlfn.XLOOKUP(1,$H498:$BE498,$H$4:$BE$4),12*Assumptions!$G$348+12)=R$4,0,IF(Q498=1,PMT(Assumptions!$G$346,Assumptions!$G$348,$C500),Q511))),0)</f>
        <v>0</v>
      </c>
      <c r="S511" s="39">
        <f>+IFERROR(-ABS(IF(EDATE(_xlfn.XLOOKUP(1,$H498:$BE498,$H$4:$BE$4),12*Assumptions!$G$348+12)=S$4,0,IF(R498=1,PMT(Assumptions!$G$346,Assumptions!$G$348,$C500),R511))),0)</f>
        <v>0</v>
      </c>
      <c r="T511" s="39">
        <f>+IFERROR(-ABS(IF(EDATE(_xlfn.XLOOKUP(1,$H498:$BE498,$H$4:$BE$4),12*Assumptions!$G$348+12)=T$4,0,IF(S498=1,PMT(Assumptions!$G$346,Assumptions!$G$348,$C500),S511))),0)</f>
        <v>0</v>
      </c>
      <c r="U511" s="39">
        <f>+IFERROR(-ABS(IF(EDATE(_xlfn.XLOOKUP(1,$H498:$BE498,$H$4:$BE$4),12*Assumptions!$G$348+12)=U$4,0,IF(T498=1,PMT(Assumptions!$G$346,Assumptions!$G$348,$C500),T511))),0)</f>
        <v>0</v>
      </c>
      <c r="V511" s="39">
        <f>+IFERROR(-ABS(IF(EDATE(_xlfn.XLOOKUP(1,$H498:$BE498,$H$4:$BE$4),12*Assumptions!$G$348+12)=V$4,0,IF(U498=1,PMT(Assumptions!$G$346,Assumptions!$G$348,$C500),U511))),0)</f>
        <v>0</v>
      </c>
      <c r="W511" s="39">
        <f>+IFERROR(-ABS(IF(EDATE(_xlfn.XLOOKUP(1,$H498:$BE498,$H$4:$BE$4),12*Assumptions!$G$348+12)=W$4,0,IF(V498=1,PMT(Assumptions!$G$346,Assumptions!$G$348,$C500),V511))),0)</f>
        <v>0</v>
      </c>
      <c r="X511" s="39">
        <f>+IFERROR(-ABS(IF(EDATE(_xlfn.XLOOKUP(1,$H498:$BE498,$H$4:$BE$4),12*Assumptions!$G$348+12)=X$4,0,IF(W498=1,PMT(Assumptions!$G$346,Assumptions!$G$348,$C500),W511))),0)</f>
        <v>0</v>
      </c>
      <c r="Y511" s="39">
        <f>+IFERROR(-ABS(IF(EDATE(_xlfn.XLOOKUP(1,$H498:$BE498,$H$4:$BE$4),12*Assumptions!$G$348+12)=Y$4,0,IF(X498=1,PMT(Assumptions!$G$346,Assumptions!$G$348,$C500),X511))),0)</f>
        <v>0</v>
      </c>
      <c r="Z511" s="39">
        <f>+IFERROR(-ABS(IF(EDATE(_xlfn.XLOOKUP(1,$H498:$BE498,$H$4:$BE$4),12*Assumptions!$G$348+12)=Z$4,0,IF(Y498=1,PMT(Assumptions!$G$346,Assumptions!$G$348,$C500),Y511))),0)</f>
        <v>0</v>
      </c>
      <c r="AA511" s="39">
        <f>+IFERROR(-ABS(IF(EDATE(_xlfn.XLOOKUP(1,$H498:$BE498,$H$4:$BE$4),12*Assumptions!$G$348+12)=AA$4,0,IF(Z498=1,PMT(Assumptions!$G$346,Assumptions!$G$348,$C500),Z511))),0)</f>
        <v>0</v>
      </c>
      <c r="AB511" s="39">
        <f>+IFERROR(-ABS(IF(EDATE(_xlfn.XLOOKUP(1,$H498:$BE498,$H$4:$BE$4),12*Assumptions!$G$348+12)=AB$4,0,IF(AA498=1,PMT(Assumptions!$G$346,Assumptions!$G$348,$C500),AA511))),0)</f>
        <v>0</v>
      </c>
      <c r="AC511" s="39">
        <f>+IFERROR(-ABS(IF(EDATE(_xlfn.XLOOKUP(1,$H498:$BE498,$H$4:$BE$4),12*Assumptions!$G$348+12)=AC$4,0,IF(AB498=1,PMT(Assumptions!$G$346,Assumptions!$G$348,$C500),AB511))),0)</f>
        <v>0</v>
      </c>
      <c r="AD511" s="39">
        <f>+IFERROR(-ABS(IF(EDATE(_xlfn.XLOOKUP(1,$H498:$BE498,$H$4:$BE$4),12*Assumptions!$G$348+12)=AD$4,0,IF(AC498=1,PMT(Assumptions!$G$346,Assumptions!$G$348,$C500),AC511))),0)</f>
        <v>0</v>
      </c>
      <c r="AE511" s="39">
        <f>+IFERROR(-ABS(IF(EDATE(_xlfn.XLOOKUP(1,$H498:$BE498,$H$4:$BE$4),12*Assumptions!$G$348+12)=AE$4,0,IF(AD498=1,PMT(Assumptions!$G$346,Assumptions!$G$348,$C500),AD511))),0)</f>
        <v>0</v>
      </c>
      <c r="AF511" s="39">
        <f>+IFERROR(-ABS(IF(EDATE(_xlfn.XLOOKUP(1,$H498:$BE498,$H$4:$BE$4),12*Assumptions!$G$348+12)=AF$4,0,IF(AE498=1,PMT(Assumptions!$G$346,Assumptions!$G$348,$C500),AE511))),0)</f>
        <v>0</v>
      </c>
      <c r="AG511" s="39">
        <f>+IFERROR(-ABS(IF(EDATE(_xlfn.XLOOKUP(1,$H498:$BE498,$H$4:$BE$4),12*Assumptions!$G$348+12)=AG$4,0,IF(AF498=1,PMT(Assumptions!$G$346,Assumptions!$G$348,$C500),AF511))),0)</f>
        <v>0</v>
      </c>
      <c r="AH511" s="39">
        <f>+IFERROR(-ABS(IF(EDATE(_xlfn.XLOOKUP(1,$H498:$BE498,$H$4:$BE$4),12*Assumptions!$G$348+12)=AH$4,0,IF(AG498=1,PMT(Assumptions!$G$346,Assumptions!$G$348,$C500),AG511))),0)</f>
        <v>0</v>
      </c>
      <c r="AI511" s="39">
        <f>+IFERROR(-ABS(IF(EDATE(_xlfn.XLOOKUP(1,$H498:$BE498,$H$4:$BE$4),12*Assumptions!$G$348+12)=AI$4,0,IF(AH498=1,PMT(Assumptions!$G$346,Assumptions!$G$348,$C500),AH511))),0)</f>
        <v>0</v>
      </c>
      <c r="AJ511" s="39">
        <f>+IFERROR(-ABS(IF(EDATE(_xlfn.XLOOKUP(1,$H498:$BE498,$H$4:$BE$4),12*Assumptions!$G$348+12)=AJ$4,0,IF(AI498=1,PMT(Assumptions!$G$346,Assumptions!$G$348,$C500),AI511))),0)</f>
        <v>0</v>
      </c>
      <c r="AK511" s="39">
        <f>+IFERROR(-ABS(IF(EDATE(_xlfn.XLOOKUP(1,$H498:$BE498,$H$4:$BE$4),12*Assumptions!$G$348+12)=AK$4,0,IF(AJ498=1,PMT(Assumptions!$G$346,Assumptions!$G$348,$C500),AJ511))),0)</f>
        <v>0</v>
      </c>
      <c r="AL511" s="39">
        <f>+IFERROR(-ABS(IF(EDATE(_xlfn.XLOOKUP(1,$H498:$BE498,$H$4:$BE$4),12*Assumptions!$G$348+12)=AL$4,0,IF(AK498=1,PMT(Assumptions!$G$346,Assumptions!$G$348,$C500),AK511))),0)</f>
        <v>0</v>
      </c>
      <c r="AM511" s="39">
        <f>+IFERROR(-ABS(IF(EDATE(_xlfn.XLOOKUP(1,$H498:$BE498,$H$4:$BE$4),12*Assumptions!$G$348+12)=AM$4,0,IF(AL498=1,PMT(Assumptions!$G$346,Assumptions!$G$348,$C500),AL511))),0)</f>
        <v>0</v>
      </c>
      <c r="AN511" s="39">
        <f>+IFERROR(-ABS(IF(EDATE(_xlfn.XLOOKUP(1,$H498:$BE498,$H$4:$BE$4),12*Assumptions!$G$348+12)=AN$4,0,IF(AM498=1,PMT(Assumptions!$G$346,Assumptions!$G$348,$C500),AM511))),0)</f>
        <v>0</v>
      </c>
      <c r="AO511" s="39">
        <f>+IFERROR(-ABS(IF(EDATE(_xlfn.XLOOKUP(1,$H498:$BE498,$H$4:$BE$4),12*Assumptions!$G$348+12)=AO$4,0,IF(AN498=1,PMT(Assumptions!$G$346,Assumptions!$G$348,$C500),AN511))),0)</f>
        <v>0</v>
      </c>
      <c r="AP511" s="39">
        <f>+IFERROR(-ABS(IF(EDATE(_xlfn.XLOOKUP(1,$H498:$BE498,$H$4:$BE$4),12*Assumptions!$G$348+12)=AP$4,0,IF(AO498=1,PMT(Assumptions!$G$346,Assumptions!$G$348,$C500),AO511))),0)</f>
        <v>0</v>
      </c>
      <c r="AQ511" s="39">
        <f>+IFERROR(-ABS(IF(EDATE(_xlfn.XLOOKUP(1,$H498:$BE498,$H$4:$BE$4),12*Assumptions!$G$348+12)=AQ$4,0,IF(AP498=1,PMT(Assumptions!$G$346,Assumptions!$G$348,$C500),AP511))),0)</f>
        <v>0</v>
      </c>
      <c r="AR511" s="39">
        <f>+IFERROR(-ABS(IF(EDATE(_xlfn.XLOOKUP(1,$H498:$BE498,$H$4:$BE$4),12*Assumptions!$G$348+12)=AR$4,0,IF(AQ498=1,PMT(Assumptions!$G$346,Assumptions!$G$348,$C500),AQ511))),0)</f>
        <v>0</v>
      </c>
      <c r="AS511" s="39">
        <f>+IFERROR(-ABS(IF(EDATE(_xlfn.XLOOKUP(1,$H498:$BE498,$H$4:$BE$4),12*Assumptions!$G$348+12)=AS$4,0,IF(AR498=1,PMT(Assumptions!$G$346,Assumptions!$G$348,$C500),AR511))),0)</f>
        <v>0</v>
      </c>
      <c r="AT511" s="39">
        <f>+IFERROR(-ABS(IF(EDATE(_xlfn.XLOOKUP(1,$H498:$BE498,$H$4:$BE$4),12*Assumptions!$G$348+12)=AT$4,0,IF(AS498=1,PMT(Assumptions!$G$346,Assumptions!$G$348,$C500),AS511))),0)</f>
        <v>0</v>
      </c>
      <c r="AU511" s="39">
        <f>+IFERROR(-ABS(IF(EDATE(_xlfn.XLOOKUP(1,$H498:$BE498,$H$4:$BE$4),12*Assumptions!$G$348+12)=AU$4,0,IF(AT498=1,PMT(Assumptions!$G$346,Assumptions!$G$348,$C500),AT511))),0)</f>
        <v>0</v>
      </c>
      <c r="AV511" s="39">
        <f>+IFERROR(-ABS(IF(EDATE(_xlfn.XLOOKUP(1,$H498:$BE498,$H$4:$BE$4),12*Assumptions!$G$348+12)=AV$4,0,IF(AU498=1,PMT(Assumptions!$G$346,Assumptions!$G$348,$C500),AU511))),0)</f>
        <v>0</v>
      </c>
      <c r="AW511" s="39">
        <f>+IFERROR(-ABS(IF(EDATE(_xlfn.XLOOKUP(1,$H498:$BE498,$H$4:$BE$4),12*Assumptions!$G$348+12)=AW$4,0,IF(AV498=1,PMT(Assumptions!$G$346,Assumptions!$G$348,$C500),AV511))),0)</f>
        <v>0</v>
      </c>
      <c r="AX511" s="39">
        <f>+IFERROR(-ABS(IF(EDATE(_xlfn.XLOOKUP(1,$H498:$BE498,$H$4:$BE$4),12*Assumptions!$G$348+12)=AX$4,0,IF(AW498=1,PMT(Assumptions!$G$346,Assumptions!$G$348,$C500),AW511))),0)</f>
        <v>0</v>
      </c>
      <c r="AY511" s="39">
        <f>+IFERROR(-ABS(IF(EDATE(_xlfn.XLOOKUP(1,$H498:$BE498,$H$4:$BE$4),12*Assumptions!$G$348+12)=AY$4,0,IF(AX498=1,PMT(Assumptions!$G$346,Assumptions!$G$348,$C500),AX511))),0)</f>
        <v>0</v>
      </c>
      <c r="AZ511" s="39">
        <f>+IFERROR(-ABS(IF(EDATE(_xlfn.XLOOKUP(1,$H498:$BE498,$H$4:$BE$4),12*Assumptions!$G$348+12)=AZ$4,0,IF(AY498=1,PMT(Assumptions!$G$346,Assumptions!$G$348,$C500),AY511))),0)</f>
        <v>0</v>
      </c>
      <c r="BA511" s="39">
        <f>+IFERROR(-ABS(IF(EDATE(_xlfn.XLOOKUP(1,$H498:$BE498,$H$4:$BE$4),12*Assumptions!$G$348+12)=BA$4,0,IF(AZ498=1,PMT(Assumptions!$G$346,Assumptions!$G$348,$C500),AZ511))),0)</f>
        <v>0</v>
      </c>
      <c r="BB511" s="39">
        <f>+IFERROR(-ABS(IF(EDATE(_xlfn.XLOOKUP(1,$H498:$BE498,$H$4:$BE$4),12*Assumptions!$G$348+12)=BB$4,0,IF(BA498=1,PMT(Assumptions!$G$346,Assumptions!$G$348,$C500),BA511))),0)</f>
        <v>0</v>
      </c>
      <c r="BC511" s="39">
        <f>+IFERROR(-ABS(IF(EDATE(_xlfn.XLOOKUP(1,$H498:$BE498,$H$4:$BE$4),12*Assumptions!$G$348+12)=BC$4,0,IF(BB498=1,PMT(Assumptions!$G$346,Assumptions!$G$348,$C500),BB511))),0)</f>
        <v>0</v>
      </c>
      <c r="BD511" s="39">
        <f>+IFERROR(-ABS(IF(EDATE(_xlfn.XLOOKUP(1,$H498:$BE498,$H$4:$BE$4),12*Assumptions!$G$348+12)=BD$4,0,IF(BC498=1,PMT(Assumptions!$G$346,Assumptions!$G$348,$C500),BC511))),0)</f>
        <v>0</v>
      </c>
      <c r="BE511" s="39">
        <f>+IFERROR(-ABS(IF(EDATE(_xlfn.XLOOKUP(1,$H498:$BE498,$H$4:$BE$4),12*Assumptions!$G$348+12)=BE$4,0,IF(BD498=1,PMT(Assumptions!$G$346,Assumptions!$G$348,$C500),BD511))),0)</f>
        <v>0</v>
      </c>
      <c r="BF511" s="39">
        <f>+IFERROR(-ABS(IF(EDATE(_xlfn.XLOOKUP(1,$H498:$BE498,$H$4:$BE$4),12*Assumptions!$G$348+12)=BF$4,0,IF(BE498=1,PMT(Assumptions!$G$346,Assumptions!$G$348,$C500),BE511))),0)</f>
        <v>0</v>
      </c>
      <c r="BG511" s="39">
        <f>+IFERROR(-ABS(IF(EDATE(_xlfn.XLOOKUP(1,$H498:$BE498,$H$4:$BE$4),12*Assumptions!$G$348+12)=BG$4,0,IF(BF498=1,PMT(Assumptions!$G$346,Assumptions!$G$348,$C500),BF511))),0)</f>
        <v>0</v>
      </c>
      <c r="BH511" s="39">
        <f>+IFERROR(-ABS(IF(EDATE(_xlfn.XLOOKUP(1,$H498:$BE498,$H$4:$BE$4),12*Assumptions!$G$348+12)=BH$4,0,IF(BG498=1,PMT(Assumptions!$G$346,Assumptions!$G$348,$C500),BG511))),0)</f>
        <v>0</v>
      </c>
      <c r="BI511" s="39">
        <f>+IFERROR(-ABS(IF(EDATE(_xlfn.XLOOKUP(1,$H498:$BE498,$H$4:$BE$4),12*Assumptions!$G$348+12)=BI$4,0,IF(BH498=1,PMT(Assumptions!$G$346,Assumptions!$G$348,$C500),BH511))),0)</f>
        <v>0</v>
      </c>
      <c r="BJ511" s="39">
        <f>+IFERROR(-ABS(IF(EDATE(_xlfn.XLOOKUP(1,$H498:$BE498,$H$4:$BE$4),12*Assumptions!$G$348+12)=BJ$4,0,IF(BI498=1,PMT(Assumptions!$G$346,Assumptions!$G$348,$C500),BI511))),0)</f>
        <v>0</v>
      </c>
      <c r="BK511" s="39">
        <f>+IFERROR(-ABS(IF(EDATE(_xlfn.XLOOKUP(1,$H498:$BE498,$H$4:$BE$4),12*Assumptions!$G$348+12)=BK$4,0,IF(BJ498=1,PMT(Assumptions!$G$346,Assumptions!$G$348,$C500),BJ511))),0)</f>
        <v>0</v>
      </c>
      <c r="BL511" s="39">
        <f>+IFERROR(-ABS(IF(EDATE(_xlfn.XLOOKUP(1,$H498:$BE498,$H$4:$BE$4),12*Assumptions!$G$348+12)=BL$4,0,IF(BK498=1,PMT(Assumptions!$G$346,Assumptions!$G$348,$C500),BK511))),0)</f>
        <v>0</v>
      </c>
      <c r="BM511" s="39">
        <f>+IFERROR(-ABS(IF(EDATE(_xlfn.XLOOKUP(1,$H498:$BE498,$H$4:$BE$4),12*Assumptions!$G$348+12)=BM$4,0,IF(BL498=1,PMT(Assumptions!$G$346,Assumptions!$G$348,$C500),BL511))),0)</f>
        <v>0</v>
      </c>
      <c r="BN511" s="39">
        <f>+IFERROR(-ABS(IF(EDATE(_xlfn.XLOOKUP(1,$H498:$BE498,$H$4:$BE$4),12*Assumptions!$G$348+12)=BN$4,0,IF(BM498=1,PMT(Assumptions!$G$346,Assumptions!$G$348,$C500),BM511))),0)</f>
        <v>0</v>
      </c>
      <c r="BO511" s="39">
        <f>+IFERROR(-ABS(IF(EDATE(_xlfn.XLOOKUP(1,$H498:$BE498,$H$4:$BE$4),12*Assumptions!$G$348+12)=BO$4,0,IF(BN498=1,PMT(Assumptions!$G$346,Assumptions!$G$348,$C500),BN511))),0)</f>
        <v>0</v>
      </c>
      <c r="BP511" s="39">
        <f>+IFERROR(-ABS(IF(EDATE(_xlfn.XLOOKUP(1,$H498:$BE498,$H$4:$BE$4),12*Assumptions!$G$348+12)=BP$4,0,IF(BO498=1,PMT(Assumptions!$G$346,Assumptions!$G$348,$C500),BO511))),0)</f>
        <v>0</v>
      </c>
      <c r="BQ511" s="39">
        <f>+IFERROR(-ABS(IF(EDATE(_xlfn.XLOOKUP(1,$H498:$BE498,$H$4:$BE$4),12*Assumptions!$G$348+12)=BQ$4,0,IF(BP498=1,PMT(Assumptions!$G$346,Assumptions!$G$348,$C500),BP511))),0)</f>
        <v>0</v>
      </c>
      <c r="BR511" s="39">
        <f>+IFERROR(-ABS(IF(EDATE(_xlfn.XLOOKUP(1,$H498:$BE498,$H$4:$BE$4),12*Assumptions!$G$348+12)=BR$4,0,IF(BQ498=1,PMT(Assumptions!$G$346,Assumptions!$G$348,$C500),BQ511))),0)</f>
        <v>0</v>
      </c>
      <c r="BS511" s="39">
        <f>+IFERROR(-ABS(IF(EDATE(_xlfn.XLOOKUP(1,$H498:$BE498,$H$4:$BE$4),12*Assumptions!$G$348+12)=BS$4,0,IF(BR498=1,PMT(Assumptions!$G$346,Assumptions!$G$348,$C500),BR511))),0)</f>
        <v>0</v>
      </c>
      <c r="BT511" s="39">
        <f>+IFERROR(-ABS(IF(EDATE(_xlfn.XLOOKUP(1,$H498:$BE498,$H$4:$BE$4),12*Assumptions!$G$348+12)=BT$4,0,IF(BS498=1,PMT(Assumptions!$G$346,Assumptions!$G$348,$C500),BS511))),0)</f>
        <v>0</v>
      </c>
      <c r="BU511" s="39">
        <f>+IFERROR(-ABS(IF(EDATE(_xlfn.XLOOKUP(1,$H498:$BE498,$H$4:$BE$4),12*Assumptions!$G$348+12)=BU$4,0,IF(BT498=1,PMT(Assumptions!$G$346,Assumptions!$G$348,$C500),BT511))),0)</f>
        <v>0</v>
      </c>
      <c r="BV511" s="39">
        <f>+IFERROR(-ABS(IF(EDATE(_xlfn.XLOOKUP(1,$H498:$BE498,$H$4:$BE$4),12*Assumptions!$G$348+12)=BV$4,0,IF(BU498=1,PMT(Assumptions!$G$346,Assumptions!$G$348,$C500),BU511))),0)</f>
        <v>0</v>
      </c>
      <c r="BW511" s="39">
        <f>+IFERROR(-ABS(IF(EDATE(_xlfn.XLOOKUP(1,$H498:$BE498,$H$4:$BE$4),12*Assumptions!$G$348+12)=BW$4,0,IF(BV498=1,PMT(Assumptions!$G$346,Assumptions!$G$348,$C500),BV511))),0)</f>
        <v>0</v>
      </c>
      <c r="BX511" s="39">
        <f>+IFERROR(-ABS(IF(EDATE(_xlfn.XLOOKUP(1,$H498:$BE498,$H$4:$BE$4),12*Assumptions!$G$348+12)=BX$4,0,IF(BW498=1,PMT(Assumptions!$G$346,Assumptions!$G$348,$C500),BW511))),0)</f>
        <v>0</v>
      </c>
      <c r="BY511" s="39">
        <f>+IFERROR(-ABS(IF(EDATE(_xlfn.XLOOKUP(1,$H498:$BE498,$H$4:$BE$4),12*Assumptions!$G$348+12)=BY$4,0,IF(BX498=1,PMT(Assumptions!$G$346,Assumptions!$G$348,$C500),BX511))),0)</f>
        <v>0</v>
      </c>
    </row>
    <row r="512" spans="3:77" outlineLevel="1">
      <c r="E512" s="24" t="s">
        <v>518</v>
      </c>
      <c r="F512" s="80" t="str">
        <f>+Assumptions!$G$8</f>
        <v>USD</v>
      </c>
      <c r="G512" s="24"/>
      <c r="H512" s="39">
        <f>+IFERROR(-ABS(IF(EDATE(_xlfn.XLOOKUP(1,$H499:$BE499,$H$4:$BE$4),12*Assumptions!$G$348+12)=H$4,0,IF(G499=1,PMT(Assumptions!$G$346,Assumptions!$G$348,$C501),G512))),0)</f>
        <v>0</v>
      </c>
      <c r="I512" s="39">
        <f>+IFERROR(-ABS(IF(EDATE(_xlfn.XLOOKUP(1,$H499:$BE499,$H$4:$BE$4),12*Assumptions!$G$348+12)=I$4,0,IF(H499=1,PMT(Assumptions!$G$346,Assumptions!$G$348,$C501),H512))),0)</f>
        <v>0</v>
      </c>
      <c r="J512" s="39">
        <f>+IFERROR(-ABS(IF(EDATE(_xlfn.XLOOKUP(1,$H499:$BE499,$H$4:$BE$4),12*Assumptions!$G$348+12)=J$4,0,IF(I499=1,PMT(Assumptions!$G$346,Assumptions!$G$348,$C501),I512))),0)</f>
        <v>0</v>
      </c>
      <c r="K512" s="39">
        <f>+IFERROR(-ABS(IF(EDATE(_xlfn.XLOOKUP(1,$H499:$BE499,$H$4:$BE$4),12*Assumptions!$G$348+12)=K$4,0,IF(J499=1,PMT(Assumptions!$G$346,Assumptions!$G$348,$C501),J512))),0)</f>
        <v>0</v>
      </c>
      <c r="L512" s="39">
        <f>+IFERROR(-ABS(IF(EDATE(_xlfn.XLOOKUP(1,$H499:$BE499,$H$4:$BE$4),12*Assumptions!$G$348+12)=L$4,0,IF(K499=1,PMT(Assumptions!$G$346,Assumptions!$G$348,$C501),K512))),0)</f>
        <v>0</v>
      </c>
      <c r="M512" s="39">
        <f>+IFERROR(-ABS(IF(EDATE(_xlfn.XLOOKUP(1,$H499:$BE499,$H$4:$BE$4),12*Assumptions!$G$348+12)=M$4,0,IF(L499=1,PMT(Assumptions!$G$346,Assumptions!$G$348,$C501),L512))),0)</f>
        <v>0</v>
      </c>
      <c r="N512" s="39">
        <f>+IFERROR(-ABS(IF(EDATE(_xlfn.XLOOKUP(1,$H499:$BE499,$H$4:$BE$4),12*Assumptions!$G$348+12)=N$4,0,IF(M499=1,PMT(Assumptions!$G$346,Assumptions!$G$348,$C501),M512))),0)</f>
        <v>0</v>
      </c>
      <c r="O512" s="39">
        <f>+IFERROR(-ABS(IF(EDATE(_xlfn.XLOOKUP(1,$H499:$BE499,$H$4:$BE$4),12*Assumptions!$G$348+12)=O$4,0,IF(N499=1,PMT(Assumptions!$G$346,Assumptions!$G$348,$C501),N512))),0)</f>
        <v>0</v>
      </c>
      <c r="P512" s="39">
        <f>+IFERROR(-ABS(IF(EDATE(_xlfn.XLOOKUP(1,$H499:$BE499,$H$4:$BE$4),12*Assumptions!$G$348+12)=P$4,0,IF(O499=1,PMT(Assumptions!$G$346,Assumptions!$G$348,$C501),O512))),0)</f>
        <v>0</v>
      </c>
      <c r="Q512" s="39">
        <f>+IFERROR(-ABS(IF(EDATE(_xlfn.XLOOKUP(1,$H499:$BE499,$H$4:$BE$4),12*Assumptions!$G$348+12)=Q$4,0,IF(P499=1,PMT(Assumptions!$G$346,Assumptions!$G$348,$C501),P512))),0)</f>
        <v>0</v>
      </c>
      <c r="R512" s="39">
        <f>+IFERROR(-ABS(IF(EDATE(_xlfn.XLOOKUP(1,$H499:$BE499,$H$4:$BE$4),12*Assumptions!$G$348+12)=R$4,0,IF(Q499=1,PMT(Assumptions!$G$346,Assumptions!$G$348,$C501),Q512))),0)</f>
        <v>0</v>
      </c>
      <c r="S512" s="39">
        <f>+IFERROR(-ABS(IF(EDATE(_xlfn.XLOOKUP(1,$H499:$BE499,$H$4:$BE$4),12*Assumptions!$G$348+12)=S$4,0,IF(R499=1,PMT(Assumptions!$G$346,Assumptions!$G$348,$C501),R512))),0)</f>
        <v>0</v>
      </c>
      <c r="T512" s="39">
        <f>+IFERROR(-ABS(IF(EDATE(_xlfn.XLOOKUP(1,$H499:$BE499,$H$4:$BE$4),12*Assumptions!$G$348+12)=T$4,0,IF(S499=1,PMT(Assumptions!$G$346,Assumptions!$G$348,$C501),S512))),0)</f>
        <v>0</v>
      </c>
      <c r="U512" s="39">
        <f>+IFERROR(-ABS(IF(EDATE(_xlfn.XLOOKUP(1,$H499:$BE499,$H$4:$BE$4),12*Assumptions!$G$348+12)=U$4,0,IF(T499=1,PMT(Assumptions!$G$346,Assumptions!$G$348,$C501),T512))),0)</f>
        <v>0</v>
      </c>
      <c r="V512" s="39">
        <f>+IFERROR(-ABS(IF(EDATE(_xlfn.XLOOKUP(1,$H499:$BE499,$H$4:$BE$4),12*Assumptions!$G$348+12)=V$4,0,IF(U499=1,PMT(Assumptions!$G$346,Assumptions!$G$348,$C501),U512))),0)</f>
        <v>0</v>
      </c>
      <c r="W512" s="39">
        <f>+IFERROR(-ABS(IF(EDATE(_xlfn.XLOOKUP(1,$H499:$BE499,$H$4:$BE$4),12*Assumptions!$G$348+12)=W$4,0,IF(V499=1,PMT(Assumptions!$G$346,Assumptions!$G$348,$C501),V512))),0)</f>
        <v>0</v>
      </c>
      <c r="X512" s="39">
        <f>+IFERROR(-ABS(IF(EDATE(_xlfn.XLOOKUP(1,$H499:$BE499,$H$4:$BE$4),12*Assumptions!$G$348+12)=X$4,0,IF(W499=1,PMT(Assumptions!$G$346,Assumptions!$G$348,$C501),W512))),0)</f>
        <v>0</v>
      </c>
      <c r="Y512" s="39">
        <f>+IFERROR(-ABS(IF(EDATE(_xlfn.XLOOKUP(1,$H499:$BE499,$H$4:$BE$4),12*Assumptions!$G$348+12)=Y$4,0,IF(X499=1,PMT(Assumptions!$G$346,Assumptions!$G$348,$C501),X512))),0)</f>
        <v>0</v>
      </c>
      <c r="Z512" s="39">
        <f>+IFERROR(-ABS(IF(EDATE(_xlfn.XLOOKUP(1,$H499:$BE499,$H$4:$BE$4),12*Assumptions!$G$348+12)=Z$4,0,IF(Y499=1,PMT(Assumptions!$G$346,Assumptions!$G$348,$C501),Y512))),0)</f>
        <v>0</v>
      </c>
      <c r="AA512" s="39">
        <f>+IFERROR(-ABS(IF(EDATE(_xlfn.XLOOKUP(1,$H499:$BE499,$H$4:$BE$4),12*Assumptions!$G$348+12)=AA$4,0,IF(Z499=1,PMT(Assumptions!$G$346,Assumptions!$G$348,$C501),Z512))),0)</f>
        <v>0</v>
      </c>
      <c r="AB512" s="39">
        <f>+IFERROR(-ABS(IF(EDATE(_xlfn.XLOOKUP(1,$H499:$BE499,$H$4:$BE$4),12*Assumptions!$G$348+12)=AB$4,0,IF(AA499=1,PMT(Assumptions!$G$346,Assumptions!$G$348,$C501),AA512))),0)</f>
        <v>0</v>
      </c>
      <c r="AC512" s="39">
        <f>+IFERROR(-ABS(IF(EDATE(_xlfn.XLOOKUP(1,$H499:$BE499,$H$4:$BE$4),12*Assumptions!$G$348+12)=AC$4,0,IF(AB499=1,PMT(Assumptions!$G$346,Assumptions!$G$348,$C501),AB512))),0)</f>
        <v>0</v>
      </c>
      <c r="AD512" s="39">
        <f>+IFERROR(-ABS(IF(EDATE(_xlfn.XLOOKUP(1,$H499:$BE499,$H$4:$BE$4),12*Assumptions!$G$348+12)=AD$4,0,IF(AC499=1,PMT(Assumptions!$G$346,Assumptions!$G$348,$C501),AC512))),0)</f>
        <v>0</v>
      </c>
      <c r="AE512" s="39">
        <f>+IFERROR(-ABS(IF(EDATE(_xlfn.XLOOKUP(1,$H499:$BE499,$H$4:$BE$4),12*Assumptions!$G$348+12)=AE$4,0,IF(AD499=1,PMT(Assumptions!$G$346,Assumptions!$G$348,$C501),AD512))),0)</f>
        <v>0</v>
      </c>
      <c r="AF512" s="39">
        <f>+IFERROR(-ABS(IF(EDATE(_xlfn.XLOOKUP(1,$H499:$BE499,$H$4:$BE$4),12*Assumptions!$G$348+12)=AF$4,0,IF(AE499=1,PMT(Assumptions!$G$346,Assumptions!$G$348,$C501),AE512))),0)</f>
        <v>0</v>
      </c>
      <c r="AG512" s="39">
        <f>+IFERROR(-ABS(IF(EDATE(_xlfn.XLOOKUP(1,$H499:$BE499,$H$4:$BE$4),12*Assumptions!$G$348+12)=AG$4,0,IF(AF499=1,PMT(Assumptions!$G$346,Assumptions!$G$348,$C501),AF512))),0)</f>
        <v>0</v>
      </c>
      <c r="AH512" s="39">
        <f>+IFERROR(-ABS(IF(EDATE(_xlfn.XLOOKUP(1,$H499:$BE499,$H$4:$BE$4),12*Assumptions!$G$348+12)=AH$4,0,IF(AG499=1,PMT(Assumptions!$G$346,Assumptions!$G$348,$C501),AG512))),0)</f>
        <v>0</v>
      </c>
      <c r="AI512" s="39">
        <f>+IFERROR(-ABS(IF(EDATE(_xlfn.XLOOKUP(1,$H499:$BE499,$H$4:$BE$4),12*Assumptions!$G$348+12)=AI$4,0,IF(AH499=1,PMT(Assumptions!$G$346,Assumptions!$G$348,$C501),AH512))),0)</f>
        <v>0</v>
      </c>
      <c r="AJ512" s="39">
        <f>+IFERROR(-ABS(IF(EDATE(_xlfn.XLOOKUP(1,$H499:$BE499,$H$4:$BE$4),12*Assumptions!$G$348+12)=AJ$4,0,IF(AI499=1,PMT(Assumptions!$G$346,Assumptions!$G$348,$C501),AI512))),0)</f>
        <v>0</v>
      </c>
      <c r="AK512" s="39">
        <f>+IFERROR(-ABS(IF(EDATE(_xlfn.XLOOKUP(1,$H499:$BE499,$H$4:$BE$4),12*Assumptions!$G$348+12)=AK$4,0,IF(AJ499=1,PMT(Assumptions!$G$346,Assumptions!$G$348,$C501),AJ512))),0)</f>
        <v>0</v>
      </c>
      <c r="AL512" s="39">
        <f>+IFERROR(-ABS(IF(EDATE(_xlfn.XLOOKUP(1,$H499:$BE499,$H$4:$BE$4),12*Assumptions!$G$348+12)=AL$4,0,IF(AK499=1,PMT(Assumptions!$G$346,Assumptions!$G$348,$C501),AK512))),0)</f>
        <v>0</v>
      </c>
      <c r="AM512" s="39">
        <f>+IFERROR(-ABS(IF(EDATE(_xlfn.XLOOKUP(1,$H499:$BE499,$H$4:$BE$4),12*Assumptions!$G$348+12)=AM$4,0,IF(AL499=1,PMT(Assumptions!$G$346,Assumptions!$G$348,$C501),AL512))),0)</f>
        <v>0</v>
      </c>
      <c r="AN512" s="39">
        <f>+IFERROR(-ABS(IF(EDATE(_xlfn.XLOOKUP(1,$H499:$BE499,$H$4:$BE$4),12*Assumptions!$G$348+12)=AN$4,0,IF(AM499=1,PMT(Assumptions!$G$346,Assumptions!$G$348,$C501),AM512))),0)</f>
        <v>0</v>
      </c>
      <c r="AO512" s="39">
        <f>+IFERROR(-ABS(IF(EDATE(_xlfn.XLOOKUP(1,$H499:$BE499,$H$4:$BE$4),12*Assumptions!$G$348+12)=AO$4,0,IF(AN499=1,PMT(Assumptions!$G$346,Assumptions!$G$348,$C501),AN512))),0)</f>
        <v>0</v>
      </c>
      <c r="AP512" s="39">
        <f>+IFERROR(-ABS(IF(EDATE(_xlfn.XLOOKUP(1,$H499:$BE499,$H$4:$BE$4),12*Assumptions!$G$348+12)=AP$4,0,IF(AO499=1,PMT(Assumptions!$G$346,Assumptions!$G$348,$C501),AO512))),0)</f>
        <v>0</v>
      </c>
      <c r="AQ512" s="39">
        <f>+IFERROR(-ABS(IF(EDATE(_xlfn.XLOOKUP(1,$H499:$BE499,$H$4:$BE$4),12*Assumptions!$G$348+12)=AQ$4,0,IF(AP499=1,PMT(Assumptions!$G$346,Assumptions!$G$348,$C501),AP512))),0)</f>
        <v>0</v>
      </c>
      <c r="AR512" s="39">
        <f>+IFERROR(-ABS(IF(EDATE(_xlfn.XLOOKUP(1,$H499:$BE499,$H$4:$BE$4),12*Assumptions!$G$348+12)=AR$4,0,IF(AQ499=1,PMT(Assumptions!$G$346,Assumptions!$G$348,$C501),AQ512))),0)</f>
        <v>0</v>
      </c>
      <c r="AS512" s="39">
        <f>+IFERROR(-ABS(IF(EDATE(_xlfn.XLOOKUP(1,$H499:$BE499,$H$4:$BE$4),12*Assumptions!$G$348+12)=AS$4,0,IF(AR499=1,PMT(Assumptions!$G$346,Assumptions!$G$348,$C501),AR512))),0)</f>
        <v>0</v>
      </c>
      <c r="AT512" s="39">
        <f>+IFERROR(-ABS(IF(EDATE(_xlfn.XLOOKUP(1,$H499:$BE499,$H$4:$BE$4),12*Assumptions!$G$348+12)=AT$4,0,IF(AS499=1,PMT(Assumptions!$G$346,Assumptions!$G$348,$C501),AS512))),0)</f>
        <v>0</v>
      </c>
      <c r="AU512" s="39">
        <f>+IFERROR(-ABS(IF(EDATE(_xlfn.XLOOKUP(1,$H499:$BE499,$H$4:$BE$4),12*Assumptions!$G$348+12)=AU$4,0,IF(AT499=1,PMT(Assumptions!$G$346,Assumptions!$G$348,$C501),AT512))),0)</f>
        <v>0</v>
      </c>
      <c r="AV512" s="39">
        <f>+IFERROR(-ABS(IF(EDATE(_xlfn.XLOOKUP(1,$H499:$BE499,$H$4:$BE$4),12*Assumptions!$G$348+12)=AV$4,0,IF(AU499=1,PMT(Assumptions!$G$346,Assumptions!$G$348,$C501),AU512))),0)</f>
        <v>0</v>
      </c>
      <c r="AW512" s="39">
        <f>+IFERROR(-ABS(IF(EDATE(_xlfn.XLOOKUP(1,$H499:$BE499,$H$4:$BE$4),12*Assumptions!$G$348+12)=AW$4,0,IF(AV499=1,PMT(Assumptions!$G$346,Assumptions!$G$348,$C501),AV512))),0)</f>
        <v>0</v>
      </c>
      <c r="AX512" s="39">
        <f>+IFERROR(-ABS(IF(EDATE(_xlfn.XLOOKUP(1,$H499:$BE499,$H$4:$BE$4),12*Assumptions!$G$348+12)=AX$4,0,IF(AW499=1,PMT(Assumptions!$G$346,Assumptions!$G$348,$C501),AW512))),0)</f>
        <v>0</v>
      </c>
      <c r="AY512" s="39">
        <f>+IFERROR(-ABS(IF(EDATE(_xlfn.XLOOKUP(1,$H499:$BE499,$H$4:$BE$4),12*Assumptions!$G$348+12)=AY$4,0,IF(AX499=1,PMT(Assumptions!$G$346,Assumptions!$G$348,$C501),AX512))),0)</f>
        <v>0</v>
      </c>
      <c r="AZ512" s="39">
        <f>+IFERROR(-ABS(IF(EDATE(_xlfn.XLOOKUP(1,$H499:$BE499,$H$4:$BE$4),12*Assumptions!$G$348+12)=AZ$4,0,IF(AY499=1,PMT(Assumptions!$G$346,Assumptions!$G$348,$C501),AY512))),0)</f>
        <v>0</v>
      </c>
      <c r="BA512" s="39">
        <f>+IFERROR(-ABS(IF(EDATE(_xlfn.XLOOKUP(1,$H499:$BE499,$H$4:$BE$4),12*Assumptions!$G$348+12)=BA$4,0,IF(AZ499=1,PMT(Assumptions!$G$346,Assumptions!$G$348,$C501),AZ512))),0)</f>
        <v>0</v>
      </c>
      <c r="BB512" s="39">
        <f>+IFERROR(-ABS(IF(EDATE(_xlfn.XLOOKUP(1,$H499:$BE499,$H$4:$BE$4),12*Assumptions!$G$348+12)=BB$4,0,IF(BA499=1,PMT(Assumptions!$G$346,Assumptions!$G$348,$C501),BA512))),0)</f>
        <v>0</v>
      </c>
      <c r="BC512" s="39">
        <f>+IFERROR(-ABS(IF(EDATE(_xlfn.XLOOKUP(1,$H499:$BE499,$H$4:$BE$4),12*Assumptions!$G$348+12)=BC$4,0,IF(BB499=1,PMT(Assumptions!$G$346,Assumptions!$G$348,$C501),BB512))),0)</f>
        <v>0</v>
      </c>
      <c r="BD512" s="39">
        <f>+IFERROR(-ABS(IF(EDATE(_xlfn.XLOOKUP(1,$H499:$BE499,$H$4:$BE$4),12*Assumptions!$G$348+12)=BD$4,0,IF(BC499=1,PMT(Assumptions!$G$346,Assumptions!$G$348,$C501),BC512))),0)</f>
        <v>0</v>
      </c>
      <c r="BE512" s="39">
        <f>+IFERROR(-ABS(IF(EDATE(_xlfn.XLOOKUP(1,$H499:$BE499,$H$4:$BE$4),12*Assumptions!$G$348+12)=BE$4,0,IF(BD499=1,PMT(Assumptions!$G$346,Assumptions!$G$348,$C501),BD512))),0)</f>
        <v>0</v>
      </c>
      <c r="BF512" s="39">
        <f>+IFERROR(-ABS(IF(EDATE(_xlfn.XLOOKUP(1,$H499:$BE499,$H$4:$BE$4),12*Assumptions!$G$348+12)=BF$4,0,IF(BE499=1,PMT(Assumptions!$G$346,Assumptions!$G$348,$C501),BE512))),0)</f>
        <v>0</v>
      </c>
      <c r="BG512" s="39">
        <f>+IFERROR(-ABS(IF(EDATE(_xlfn.XLOOKUP(1,$H499:$BE499,$H$4:$BE$4),12*Assumptions!$G$348+12)=BG$4,0,IF(BF499=1,PMT(Assumptions!$G$346,Assumptions!$G$348,$C501),BF512))),0)</f>
        <v>0</v>
      </c>
      <c r="BH512" s="39">
        <f>+IFERROR(-ABS(IF(EDATE(_xlfn.XLOOKUP(1,$H499:$BE499,$H$4:$BE$4),12*Assumptions!$G$348+12)=BH$4,0,IF(BG499=1,PMT(Assumptions!$G$346,Assumptions!$G$348,$C501),BG512))),0)</f>
        <v>0</v>
      </c>
      <c r="BI512" s="39">
        <f>+IFERROR(-ABS(IF(EDATE(_xlfn.XLOOKUP(1,$H499:$BE499,$H$4:$BE$4),12*Assumptions!$G$348+12)=BI$4,0,IF(BH499=1,PMT(Assumptions!$G$346,Assumptions!$G$348,$C501),BH512))),0)</f>
        <v>0</v>
      </c>
      <c r="BJ512" s="39">
        <f>+IFERROR(-ABS(IF(EDATE(_xlfn.XLOOKUP(1,$H499:$BE499,$H$4:$BE$4),12*Assumptions!$G$348+12)=BJ$4,0,IF(BI499=1,PMT(Assumptions!$G$346,Assumptions!$G$348,$C501),BI512))),0)</f>
        <v>0</v>
      </c>
      <c r="BK512" s="39">
        <f>+IFERROR(-ABS(IF(EDATE(_xlfn.XLOOKUP(1,$H499:$BE499,$H$4:$BE$4),12*Assumptions!$G$348+12)=BK$4,0,IF(BJ499=1,PMT(Assumptions!$G$346,Assumptions!$G$348,$C501),BJ512))),0)</f>
        <v>0</v>
      </c>
      <c r="BL512" s="39">
        <f>+IFERROR(-ABS(IF(EDATE(_xlfn.XLOOKUP(1,$H499:$BE499,$H$4:$BE$4),12*Assumptions!$G$348+12)=BL$4,0,IF(BK499=1,PMT(Assumptions!$G$346,Assumptions!$G$348,$C501),BK512))),0)</f>
        <v>0</v>
      </c>
      <c r="BM512" s="39">
        <f>+IFERROR(-ABS(IF(EDATE(_xlfn.XLOOKUP(1,$H499:$BE499,$H$4:$BE$4),12*Assumptions!$G$348+12)=BM$4,0,IF(BL499=1,PMT(Assumptions!$G$346,Assumptions!$G$348,$C501),BL512))),0)</f>
        <v>0</v>
      </c>
      <c r="BN512" s="39">
        <f>+IFERROR(-ABS(IF(EDATE(_xlfn.XLOOKUP(1,$H499:$BE499,$H$4:$BE$4),12*Assumptions!$G$348+12)=BN$4,0,IF(BM499=1,PMT(Assumptions!$G$346,Assumptions!$G$348,$C501),BM512))),0)</f>
        <v>0</v>
      </c>
      <c r="BO512" s="39">
        <f>+IFERROR(-ABS(IF(EDATE(_xlfn.XLOOKUP(1,$H499:$BE499,$H$4:$BE$4),12*Assumptions!$G$348+12)=BO$4,0,IF(BN499=1,PMT(Assumptions!$G$346,Assumptions!$G$348,$C501),BN512))),0)</f>
        <v>0</v>
      </c>
      <c r="BP512" s="39">
        <f>+IFERROR(-ABS(IF(EDATE(_xlfn.XLOOKUP(1,$H499:$BE499,$H$4:$BE$4),12*Assumptions!$G$348+12)=BP$4,0,IF(BO499=1,PMT(Assumptions!$G$346,Assumptions!$G$348,$C501),BO512))),0)</f>
        <v>0</v>
      </c>
      <c r="BQ512" s="39">
        <f>+IFERROR(-ABS(IF(EDATE(_xlfn.XLOOKUP(1,$H499:$BE499,$H$4:$BE$4),12*Assumptions!$G$348+12)=BQ$4,0,IF(BP499=1,PMT(Assumptions!$G$346,Assumptions!$G$348,$C501),BP512))),0)</f>
        <v>0</v>
      </c>
      <c r="BR512" s="39">
        <f>+IFERROR(-ABS(IF(EDATE(_xlfn.XLOOKUP(1,$H499:$BE499,$H$4:$BE$4),12*Assumptions!$G$348+12)=BR$4,0,IF(BQ499=1,PMT(Assumptions!$G$346,Assumptions!$G$348,$C501),BQ512))),0)</f>
        <v>0</v>
      </c>
      <c r="BS512" s="39">
        <f>+IFERROR(-ABS(IF(EDATE(_xlfn.XLOOKUP(1,$H499:$BE499,$H$4:$BE$4),12*Assumptions!$G$348+12)=BS$4,0,IF(BR499=1,PMT(Assumptions!$G$346,Assumptions!$G$348,$C501),BR512))),0)</f>
        <v>0</v>
      </c>
      <c r="BT512" s="39">
        <f>+IFERROR(-ABS(IF(EDATE(_xlfn.XLOOKUP(1,$H499:$BE499,$H$4:$BE$4),12*Assumptions!$G$348+12)=BT$4,0,IF(BS499=1,PMT(Assumptions!$G$346,Assumptions!$G$348,$C501),BS512))),0)</f>
        <v>0</v>
      </c>
      <c r="BU512" s="39">
        <f>+IFERROR(-ABS(IF(EDATE(_xlfn.XLOOKUP(1,$H499:$BE499,$H$4:$BE$4),12*Assumptions!$G$348+12)=BU$4,0,IF(BT499=1,PMT(Assumptions!$G$346,Assumptions!$G$348,$C501),BT512))),0)</f>
        <v>0</v>
      </c>
      <c r="BV512" s="39">
        <f>+IFERROR(-ABS(IF(EDATE(_xlfn.XLOOKUP(1,$H499:$BE499,$H$4:$BE$4),12*Assumptions!$G$348+12)=BV$4,0,IF(BU499=1,PMT(Assumptions!$G$346,Assumptions!$G$348,$C501),BU512))),0)</f>
        <v>0</v>
      </c>
      <c r="BW512" s="39">
        <f>+IFERROR(-ABS(IF(EDATE(_xlfn.XLOOKUP(1,$H499:$BE499,$H$4:$BE$4),12*Assumptions!$G$348+12)=BW$4,0,IF(BV499=1,PMT(Assumptions!$G$346,Assumptions!$G$348,$C501),BV512))),0)</f>
        <v>0</v>
      </c>
      <c r="BX512" s="39">
        <f>+IFERROR(-ABS(IF(EDATE(_xlfn.XLOOKUP(1,$H499:$BE499,$H$4:$BE$4),12*Assumptions!$G$348+12)=BX$4,0,IF(BW499=1,PMT(Assumptions!$G$346,Assumptions!$G$348,$C501),BW512))),0)</f>
        <v>0</v>
      </c>
      <c r="BY512" s="39">
        <f>+IFERROR(-ABS(IF(EDATE(_xlfn.XLOOKUP(1,$H499:$BE499,$H$4:$BE$4),12*Assumptions!$G$348+12)=BY$4,0,IF(BX499=1,PMT(Assumptions!$G$346,Assumptions!$G$348,$C501),BX512))),0)</f>
        <v>0</v>
      </c>
    </row>
    <row r="513" spans="2:77" outlineLevel="1">
      <c r="E513" s="24" t="s">
        <v>519</v>
      </c>
      <c r="F513" s="80" t="str">
        <f>+Assumptions!$G$8</f>
        <v>USD</v>
      </c>
      <c r="G513" s="24"/>
      <c r="H513" s="39">
        <f>+IFERROR(-ABS(IF(EDATE(_xlfn.XLOOKUP(1,$H500:$BE500,$H$4:$BE$4),12*Assumptions!$G$348+12)=H$4,0,IF(G500=1,PMT(Assumptions!$G$346,Assumptions!$G$348,$C502),G513))),0)</f>
        <v>0</v>
      </c>
      <c r="I513" s="39">
        <f>+IFERROR(-ABS(IF(EDATE(_xlfn.XLOOKUP(1,$H500:$BE500,$H$4:$BE$4),12*Assumptions!$G$348+12)=I$4,0,IF(H500=1,PMT(Assumptions!$G$346,Assumptions!$G$348,$C502),H513))),0)</f>
        <v>0</v>
      </c>
      <c r="J513" s="39">
        <f>+IFERROR(-ABS(IF(EDATE(_xlfn.XLOOKUP(1,$H500:$BE500,$H$4:$BE$4),12*Assumptions!$G$348+12)=J$4,0,IF(I500=1,PMT(Assumptions!$G$346,Assumptions!$G$348,$C502),I513))),0)</f>
        <v>0</v>
      </c>
      <c r="K513" s="39">
        <f>+IFERROR(-ABS(IF(EDATE(_xlfn.XLOOKUP(1,$H500:$BE500,$H$4:$BE$4),12*Assumptions!$G$348+12)=K$4,0,IF(J500=1,PMT(Assumptions!$G$346,Assumptions!$G$348,$C502),J513))),0)</f>
        <v>0</v>
      </c>
      <c r="L513" s="39">
        <f>+IFERROR(-ABS(IF(EDATE(_xlfn.XLOOKUP(1,$H500:$BE500,$H$4:$BE$4),12*Assumptions!$G$348+12)=L$4,0,IF(K500=1,PMT(Assumptions!$G$346,Assumptions!$G$348,$C502),K513))),0)</f>
        <v>0</v>
      </c>
      <c r="M513" s="39">
        <f>+IFERROR(-ABS(IF(EDATE(_xlfn.XLOOKUP(1,$H500:$BE500,$H$4:$BE$4),12*Assumptions!$G$348+12)=M$4,0,IF(L500=1,PMT(Assumptions!$G$346,Assumptions!$G$348,$C502),L513))),0)</f>
        <v>0</v>
      </c>
      <c r="N513" s="39">
        <f>+IFERROR(-ABS(IF(EDATE(_xlfn.XLOOKUP(1,$H500:$BE500,$H$4:$BE$4),12*Assumptions!$G$348+12)=N$4,0,IF(M500=1,PMT(Assumptions!$G$346,Assumptions!$G$348,$C502),M513))),0)</f>
        <v>0</v>
      </c>
      <c r="O513" s="39">
        <f>+IFERROR(-ABS(IF(EDATE(_xlfn.XLOOKUP(1,$H500:$BE500,$H$4:$BE$4),12*Assumptions!$G$348+12)=O$4,0,IF(N500=1,PMT(Assumptions!$G$346,Assumptions!$G$348,$C502),N513))),0)</f>
        <v>0</v>
      </c>
      <c r="P513" s="39">
        <f>+IFERROR(-ABS(IF(EDATE(_xlfn.XLOOKUP(1,$H500:$BE500,$H$4:$BE$4),12*Assumptions!$G$348+12)=P$4,0,IF(O500=1,PMT(Assumptions!$G$346,Assumptions!$G$348,$C502),O513))),0)</f>
        <v>0</v>
      </c>
      <c r="Q513" s="39">
        <f>+IFERROR(-ABS(IF(EDATE(_xlfn.XLOOKUP(1,$H500:$BE500,$H$4:$BE$4),12*Assumptions!$G$348+12)=Q$4,0,IF(P500=1,PMT(Assumptions!$G$346,Assumptions!$G$348,$C502),P513))),0)</f>
        <v>0</v>
      </c>
      <c r="R513" s="39">
        <f>+IFERROR(-ABS(IF(EDATE(_xlfn.XLOOKUP(1,$H500:$BE500,$H$4:$BE$4),12*Assumptions!$G$348+12)=R$4,0,IF(Q500=1,PMT(Assumptions!$G$346,Assumptions!$G$348,$C502),Q513))),0)</f>
        <v>0</v>
      </c>
      <c r="S513" s="39">
        <f>+IFERROR(-ABS(IF(EDATE(_xlfn.XLOOKUP(1,$H500:$BE500,$H$4:$BE$4),12*Assumptions!$G$348+12)=S$4,0,IF(R500=1,PMT(Assumptions!$G$346,Assumptions!$G$348,$C502),R513))),0)</f>
        <v>0</v>
      </c>
      <c r="T513" s="39">
        <f>+IFERROR(-ABS(IF(EDATE(_xlfn.XLOOKUP(1,$H500:$BE500,$H$4:$BE$4),12*Assumptions!$G$348+12)=T$4,0,IF(S500=1,PMT(Assumptions!$G$346,Assumptions!$G$348,$C502),S513))),0)</f>
        <v>0</v>
      </c>
      <c r="U513" s="39">
        <f>+IFERROR(-ABS(IF(EDATE(_xlfn.XLOOKUP(1,$H500:$BE500,$H$4:$BE$4),12*Assumptions!$G$348+12)=U$4,0,IF(T500=1,PMT(Assumptions!$G$346,Assumptions!$G$348,$C502),T513))),0)</f>
        <v>0</v>
      </c>
      <c r="V513" s="39">
        <f>+IFERROR(-ABS(IF(EDATE(_xlfn.XLOOKUP(1,$H500:$BE500,$H$4:$BE$4),12*Assumptions!$G$348+12)=V$4,0,IF(U500=1,PMT(Assumptions!$G$346,Assumptions!$G$348,$C502),U513))),0)</f>
        <v>0</v>
      </c>
      <c r="W513" s="39">
        <f>+IFERROR(-ABS(IF(EDATE(_xlfn.XLOOKUP(1,$H500:$BE500,$H$4:$BE$4),12*Assumptions!$G$348+12)=W$4,0,IF(V500=1,PMT(Assumptions!$G$346,Assumptions!$G$348,$C502),V513))),0)</f>
        <v>0</v>
      </c>
      <c r="X513" s="39">
        <f>+IFERROR(-ABS(IF(EDATE(_xlfn.XLOOKUP(1,$H500:$BE500,$H$4:$BE$4),12*Assumptions!$G$348+12)=X$4,0,IF(W500=1,PMT(Assumptions!$G$346,Assumptions!$G$348,$C502),W513))),0)</f>
        <v>0</v>
      </c>
      <c r="Y513" s="39">
        <f>+IFERROR(-ABS(IF(EDATE(_xlfn.XLOOKUP(1,$H500:$BE500,$H$4:$BE$4),12*Assumptions!$G$348+12)=Y$4,0,IF(X500=1,PMT(Assumptions!$G$346,Assumptions!$G$348,$C502),X513))),0)</f>
        <v>0</v>
      </c>
      <c r="Z513" s="39">
        <f>+IFERROR(-ABS(IF(EDATE(_xlfn.XLOOKUP(1,$H500:$BE500,$H$4:$BE$4),12*Assumptions!$G$348+12)=Z$4,0,IF(Y500=1,PMT(Assumptions!$G$346,Assumptions!$G$348,$C502),Y513))),0)</f>
        <v>0</v>
      </c>
      <c r="AA513" s="39">
        <f>+IFERROR(-ABS(IF(EDATE(_xlfn.XLOOKUP(1,$H500:$BE500,$H$4:$BE$4),12*Assumptions!$G$348+12)=AA$4,0,IF(Z500=1,PMT(Assumptions!$G$346,Assumptions!$G$348,$C502),Z513))),0)</f>
        <v>0</v>
      </c>
      <c r="AB513" s="39">
        <f>+IFERROR(-ABS(IF(EDATE(_xlfn.XLOOKUP(1,$H500:$BE500,$H$4:$BE$4),12*Assumptions!$G$348+12)=AB$4,0,IF(AA500=1,PMT(Assumptions!$G$346,Assumptions!$G$348,$C502),AA513))),0)</f>
        <v>0</v>
      </c>
      <c r="AC513" s="39">
        <f>+IFERROR(-ABS(IF(EDATE(_xlfn.XLOOKUP(1,$H500:$BE500,$H$4:$BE$4),12*Assumptions!$G$348+12)=AC$4,0,IF(AB500=1,PMT(Assumptions!$G$346,Assumptions!$G$348,$C502),AB513))),0)</f>
        <v>0</v>
      </c>
      <c r="AD513" s="39">
        <f>+IFERROR(-ABS(IF(EDATE(_xlfn.XLOOKUP(1,$H500:$BE500,$H$4:$BE$4),12*Assumptions!$G$348+12)=AD$4,0,IF(AC500=1,PMT(Assumptions!$G$346,Assumptions!$G$348,$C502),AC513))),0)</f>
        <v>0</v>
      </c>
      <c r="AE513" s="39">
        <f>+IFERROR(-ABS(IF(EDATE(_xlfn.XLOOKUP(1,$H500:$BE500,$H$4:$BE$4),12*Assumptions!$G$348+12)=AE$4,0,IF(AD500=1,PMT(Assumptions!$G$346,Assumptions!$G$348,$C502),AD513))),0)</f>
        <v>0</v>
      </c>
      <c r="AF513" s="39">
        <f>+IFERROR(-ABS(IF(EDATE(_xlfn.XLOOKUP(1,$H500:$BE500,$H$4:$BE$4),12*Assumptions!$G$348+12)=AF$4,0,IF(AE500=1,PMT(Assumptions!$G$346,Assumptions!$G$348,$C502),AE513))),0)</f>
        <v>0</v>
      </c>
      <c r="AG513" s="39">
        <f>+IFERROR(-ABS(IF(EDATE(_xlfn.XLOOKUP(1,$H500:$BE500,$H$4:$BE$4),12*Assumptions!$G$348+12)=AG$4,0,IF(AF500=1,PMT(Assumptions!$G$346,Assumptions!$G$348,$C502),AF513))),0)</f>
        <v>0</v>
      </c>
      <c r="AH513" s="39">
        <f>+IFERROR(-ABS(IF(EDATE(_xlfn.XLOOKUP(1,$H500:$BE500,$H$4:$BE$4),12*Assumptions!$G$348+12)=AH$4,0,IF(AG500=1,PMT(Assumptions!$G$346,Assumptions!$G$348,$C502),AG513))),0)</f>
        <v>0</v>
      </c>
      <c r="AI513" s="39">
        <f>+IFERROR(-ABS(IF(EDATE(_xlfn.XLOOKUP(1,$H500:$BE500,$H$4:$BE$4),12*Assumptions!$G$348+12)=AI$4,0,IF(AH500=1,PMT(Assumptions!$G$346,Assumptions!$G$348,$C502),AH513))),0)</f>
        <v>0</v>
      </c>
      <c r="AJ513" s="39">
        <f>+IFERROR(-ABS(IF(EDATE(_xlfn.XLOOKUP(1,$H500:$BE500,$H$4:$BE$4),12*Assumptions!$G$348+12)=AJ$4,0,IF(AI500=1,PMT(Assumptions!$G$346,Assumptions!$G$348,$C502),AI513))),0)</f>
        <v>0</v>
      </c>
      <c r="AK513" s="39">
        <f>+IFERROR(-ABS(IF(EDATE(_xlfn.XLOOKUP(1,$H500:$BE500,$H$4:$BE$4),12*Assumptions!$G$348+12)=AK$4,0,IF(AJ500=1,PMT(Assumptions!$G$346,Assumptions!$G$348,$C502),AJ513))),0)</f>
        <v>0</v>
      </c>
      <c r="AL513" s="39">
        <f>+IFERROR(-ABS(IF(EDATE(_xlfn.XLOOKUP(1,$H500:$BE500,$H$4:$BE$4),12*Assumptions!$G$348+12)=AL$4,0,IF(AK500=1,PMT(Assumptions!$G$346,Assumptions!$G$348,$C502),AK513))),0)</f>
        <v>0</v>
      </c>
      <c r="AM513" s="39">
        <f>+IFERROR(-ABS(IF(EDATE(_xlfn.XLOOKUP(1,$H500:$BE500,$H$4:$BE$4),12*Assumptions!$G$348+12)=AM$4,0,IF(AL500=1,PMT(Assumptions!$G$346,Assumptions!$G$348,$C502),AL513))),0)</f>
        <v>0</v>
      </c>
      <c r="AN513" s="39">
        <f>+IFERROR(-ABS(IF(EDATE(_xlfn.XLOOKUP(1,$H500:$BE500,$H$4:$BE$4),12*Assumptions!$G$348+12)=AN$4,0,IF(AM500=1,PMT(Assumptions!$G$346,Assumptions!$G$348,$C502),AM513))),0)</f>
        <v>0</v>
      </c>
      <c r="AO513" s="39">
        <f>+IFERROR(-ABS(IF(EDATE(_xlfn.XLOOKUP(1,$H500:$BE500,$H$4:$BE$4),12*Assumptions!$G$348+12)=AO$4,0,IF(AN500=1,PMT(Assumptions!$G$346,Assumptions!$G$348,$C502),AN513))),0)</f>
        <v>0</v>
      </c>
      <c r="AP513" s="39">
        <f>+IFERROR(-ABS(IF(EDATE(_xlfn.XLOOKUP(1,$H500:$BE500,$H$4:$BE$4),12*Assumptions!$G$348+12)=AP$4,0,IF(AO500=1,PMT(Assumptions!$G$346,Assumptions!$G$348,$C502),AO513))),0)</f>
        <v>0</v>
      </c>
      <c r="AQ513" s="39">
        <f>+IFERROR(-ABS(IF(EDATE(_xlfn.XLOOKUP(1,$H500:$BE500,$H$4:$BE$4),12*Assumptions!$G$348+12)=AQ$4,0,IF(AP500=1,PMT(Assumptions!$G$346,Assumptions!$G$348,$C502),AP513))),0)</f>
        <v>0</v>
      </c>
      <c r="AR513" s="39">
        <f>+IFERROR(-ABS(IF(EDATE(_xlfn.XLOOKUP(1,$H500:$BE500,$H$4:$BE$4),12*Assumptions!$G$348+12)=AR$4,0,IF(AQ500=1,PMT(Assumptions!$G$346,Assumptions!$G$348,$C502),AQ513))),0)</f>
        <v>0</v>
      </c>
      <c r="AS513" s="39">
        <f>+IFERROR(-ABS(IF(EDATE(_xlfn.XLOOKUP(1,$H500:$BE500,$H$4:$BE$4),12*Assumptions!$G$348+12)=AS$4,0,IF(AR500=1,PMT(Assumptions!$G$346,Assumptions!$G$348,$C502),AR513))),0)</f>
        <v>0</v>
      </c>
      <c r="AT513" s="39">
        <f>+IFERROR(-ABS(IF(EDATE(_xlfn.XLOOKUP(1,$H500:$BE500,$H$4:$BE$4),12*Assumptions!$G$348+12)=AT$4,0,IF(AS500=1,PMT(Assumptions!$G$346,Assumptions!$G$348,$C502),AS513))),0)</f>
        <v>0</v>
      </c>
      <c r="AU513" s="39">
        <f>+IFERROR(-ABS(IF(EDATE(_xlfn.XLOOKUP(1,$H500:$BE500,$H$4:$BE$4),12*Assumptions!$G$348+12)=AU$4,0,IF(AT500=1,PMT(Assumptions!$G$346,Assumptions!$G$348,$C502),AT513))),0)</f>
        <v>0</v>
      </c>
      <c r="AV513" s="39">
        <f>+IFERROR(-ABS(IF(EDATE(_xlfn.XLOOKUP(1,$H500:$BE500,$H$4:$BE$4),12*Assumptions!$G$348+12)=AV$4,0,IF(AU500=1,PMT(Assumptions!$G$346,Assumptions!$G$348,$C502),AU513))),0)</f>
        <v>0</v>
      </c>
      <c r="AW513" s="39">
        <f>+IFERROR(-ABS(IF(EDATE(_xlfn.XLOOKUP(1,$H500:$BE500,$H$4:$BE$4),12*Assumptions!$G$348+12)=AW$4,0,IF(AV500=1,PMT(Assumptions!$G$346,Assumptions!$G$348,$C502),AV513))),0)</f>
        <v>0</v>
      </c>
      <c r="AX513" s="39">
        <f>+IFERROR(-ABS(IF(EDATE(_xlfn.XLOOKUP(1,$H500:$BE500,$H$4:$BE$4),12*Assumptions!$G$348+12)=AX$4,0,IF(AW500=1,PMT(Assumptions!$G$346,Assumptions!$G$348,$C502),AW513))),0)</f>
        <v>0</v>
      </c>
      <c r="AY513" s="39">
        <f>+IFERROR(-ABS(IF(EDATE(_xlfn.XLOOKUP(1,$H500:$BE500,$H$4:$BE$4),12*Assumptions!$G$348+12)=AY$4,0,IF(AX500=1,PMT(Assumptions!$G$346,Assumptions!$G$348,$C502),AX513))),0)</f>
        <v>0</v>
      </c>
      <c r="AZ513" s="39">
        <f>+IFERROR(-ABS(IF(EDATE(_xlfn.XLOOKUP(1,$H500:$BE500,$H$4:$BE$4),12*Assumptions!$G$348+12)=AZ$4,0,IF(AY500=1,PMT(Assumptions!$G$346,Assumptions!$G$348,$C502),AY513))),0)</f>
        <v>0</v>
      </c>
      <c r="BA513" s="39">
        <f>+IFERROR(-ABS(IF(EDATE(_xlfn.XLOOKUP(1,$H500:$BE500,$H$4:$BE$4),12*Assumptions!$G$348+12)=BA$4,0,IF(AZ500=1,PMT(Assumptions!$G$346,Assumptions!$G$348,$C502),AZ513))),0)</f>
        <v>0</v>
      </c>
      <c r="BB513" s="39">
        <f>+IFERROR(-ABS(IF(EDATE(_xlfn.XLOOKUP(1,$H500:$BE500,$H$4:$BE$4),12*Assumptions!$G$348+12)=BB$4,0,IF(BA500=1,PMT(Assumptions!$G$346,Assumptions!$G$348,$C502),BA513))),0)</f>
        <v>0</v>
      </c>
      <c r="BC513" s="39">
        <f>+IFERROR(-ABS(IF(EDATE(_xlfn.XLOOKUP(1,$H500:$BE500,$H$4:$BE$4),12*Assumptions!$G$348+12)=BC$4,0,IF(BB500=1,PMT(Assumptions!$G$346,Assumptions!$G$348,$C502),BB513))),0)</f>
        <v>0</v>
      </c>
      <c r="BD513" s="39">
        <f>+IFERROR(-ABS(IF(EDATE(_xlfn.XLOOKUP(1,$H500:$BE500,$H$4:$BE$4),12*Assumptions!$G$348+12)=BD$4,0,IF(BC500=1,PMT(Assumptions!$G$346,Assumptions!$G$348,$C502),BC513))),0)</f>
        <v>0</v>
      </c>
      <c r="BE513" s="39">
        <f>+IFERROR(-ABS(IF(EDATE(_xlfn.XLOOKUP(1,$H500:$BE500,$H$4:$BE$4),12*Assumptions!$G$348+12)=BE$4,0,IF(BD500=1,PMT(Assumptions!$G$346,Assumptions!$G$348,$C502),BD513))),0)</f>
        <v>0</v>
      </c>
      <c r="BF513" s="39">
        <f>+IFERROR(-ABS(IF(EDATE(_xlfn.XLOOKUP(1,$H500:$BE500,$H$4:$BE$4),12*Assumptions!$G$348+12)=BF$4,0,IF(BE500=1,PMT(Assumptions!$G$346,Assumptions!$G$348,$C502),BE513))),0)</f>
        <v>0</v>
      </c>
      <c r="BG513" s="39">
        <f>+IFERROR(-ABS(IF(EDATE(_xlfn.XLOOKUP(1,$H500:$BE500,$H$4:$BE$4),12*Assumptions!$G$348+12)=BG$4,0,IF(BF500=1,PMT(Assumptions!$G$346,Assumptions!$G$348,$C502),BF513))),0)</f>
        <v>0</v>
      </c>
      <c r="BH513" s="39">
        <f>+IFERROR(-ABS(IF(EDATE(_xlfn.XLOOKUP(1,$H500:$BE500,$H$4:$BE$4),12*Assumptions!$G$348+12)=BH$4,0,IF(BG500=1,PMT(Assumptions!$G$346,Assumptions!$G$348,$C502),BG513))),0)</f>
        <v>0</v>
      </c>
      <c r="BI513" s="39">
        <f>+IFERROR(-ABS(IF(EDATE(_xlfn.XLOOKUP(1,$H500:$BE500,$H$4:$BE$4),12*Assumptions!$G$348+12)=BI$4,0,IF(BH500=1,PMT(Assumptions!$G$346,Assumptions!$G$348,$C502),BH513))),0)</f>
        <v>0</v>
      </c>
      <c r="BJ513" s="39">
        <f>+IFERROR(-ABS(IF(EDATE(_xlfn.XLOOKUP(1,$H500:$BE500,$H$4:$BE$4),12*Assumptions!$G$348+12)=BJ$4,0,IF(BI500=1,PMT(Assumptions!$G$346,Assumptions!$G$348,$C502),BI513))),0)</f>
        <v>0</v>
      </c>
      <c r="BK513" s="39">
        <f>+IFERROR(-ABS(IF(EDATE(_xlfn.XLOOKUP(1,$H500:$BE500,$H$4:$BE$4),12*Assumptions!$G$348+12)=BK$4,0,IF(BJ500=1,PMT(Assumptions!$G$346,Assumptions!$G$348,$C502),BJ513))),0)</f>
        <v>0</v>
      </c>
      <c r="BL513" s="39">
        <f>+IFERROR(-ABS(IF(EDATE(_xlfn.XLOOKUP(1,$H500:$BE500,$H$4:$BE$4),12*Assumptions!$G$348+12)=BL$4,0,IF(BK500=1,PMT(Assumptions!$G$346,Assumptions!$G$348,$C502),BK513))),0)</f>
        <v>0</v>
      </c>
      <c r="BM513" s="39">
        <f>+IFERROR(-ABS(IF(EDATE(_xlfn.XLOOKUP(1,$H500:$BE500,$H$4:$BE$4),12*Assumptions!$G$348+12)=BM$4,0,IF(BL500=1,PMT(Assumptions!$G$346,Assumptions!$G$348,$C502),BL513))),0)</f>
        <v>0</v>
      </c>
      <c r="BN513" s="39">
        <f>+IFERROR(-ABS(IF(EDATE(_xlfn.XLOOKUP(1,$H500:$BE500,$H$4:$BE$4),12*Assumptions!$G$348+12)=BN$4,0,IF(BM500=1,PMT(Assumptions!$G$346,Assumptions!$G$348,$C502),BM513))),0)</f>
        <v>0</v>
      </c>
      <c r="BO513" s="39">
        <f>+IFERROR(-ABS(IF(EDATE(_xlfn.XLOOKUP(1,$H500:$BE500,$H$4:$BE$4),12*Assumptions!$G$348+12)=BO$4,0,IF(BN500=1,PMT(Assumptions!$G$346,Assumptions!$G$348,$C502),BN513))),0)</f>
        <v>0</v>
      </c>
      <c r="BP513" s="39">
        <f>+IFERROR(-ABS(IF(EDATE(_xlfn.XLOOKUP(1,$H500:$BE500,$H$4:$BE$4),12*Assumptions!$G$348+12)=BP$4,0,IF(BO500=1,PMT(Assumptions!$G$346,Assumptions!$G$348,$C502),BO513))),0)</f>
        <v>0</v>
      </c>
      <c r="BQ513" s="39">
        <f>+IFERROR(-ABS(IF(EDATE(_xlfn.XLOOKUP(1,$H500:$BE500,$H$4:$BE$4),12*Assumptions!$G$348+12)=BQ$4,0,IF(BP500=1,PMT(Assumptions!$G$346,Assumptions!$G$348,$C502),BP513))),0)</f>
        <v>0</v>
      </c>
      <c r="BR513" s="39">
        <f>+IFERROR(-ABS(IF(EDATE(_xlfn.XLOOKUP(1,$H500:$BE500,$H$4:$BE$4),12*Assumptions!$G$348+12)=BR$4,0,IF(BQ500=1,PMT(Assumptions!$G$346,Assumptions!$G$348,$C502),BQ513))),0)</f>
        <v>0</v>
      </c>
      <c r="BS513" s="39">
        <f>+IFERROR(-ABS(IF(EDATE(_xlfn.XLOOKUP(1,$H500:$BE500,$H$4:$BE$4),12*Assumptions!$G$348+12)=BS$4,0,IF(BR500=1,PMT(Assumptions!$G$346,Assumptions!$G$348,$C502),BR513))),0)</f>
        <v>0</v>
      </c>
      <c r="BT513" s="39">
        <f>+IFERROR(-ABS(IF(EDATE(_xlfn.XLOOKUP(1,$H500:$BE500,$H$4:$BE$4),12*Assumptions!$G$348+12)=BT$4,0,IF(BS500=1,PMT(Assumptions!$G$346,Assumptions!$G$348,$C502),BS513))),0)</f>
        <v>0</v>
      </c>
      <c r="BU513" s="39">
        <f>+IFERROR(-ABS(IF(EDATE(_xlfn.XLOOKUP(1,$H500:$BE500,$H$4:$BE$4),12*Assumptions!$G$348+12)=BU$4,0,IF(BT500=1,PMT(Assumptions!$G$346,Assumptions!$G$348,$C502),BT513))),0)</f>
        <v>0</v>
      </c>
      <c r="BV513" s="39">
        <f>+IFERROR(-ABS(IF(EDATE(_xlfn.XLOOKUP(1,$H500:$BE500,$H$4:$BE$4),12*Assumptions!$G$348+12)=BV$4,0,IF(BU500=1,PMT(Assumptions!$G$346,Assumptions!$G$348,$C502),BU513))),0)</f>
        <v>0</v>
      </c>
      <c r="BW513" s="39">
        <f>+IFERROR(-ABS(IF(EDATE(_xlfn.XLOOKUP(1,$H500:$BE500,$H$4:$BE$4),12*Assumptions!$G$348+12)=BW$4,0,IF(BV500=1,PMT(Assumptions!$G$346,Assumptions!$G$348,$C502),BV513))),0)</f>
        <v>0</v>
      </c>
      <c r="BX513" s="39">
        <f>+IFERROR(-ABS(IF(EDATE(_xlfn.XLOOKUP(1,$H500:$BE500,$H$4:$BE$4),12*Assumptions!$G$348+12)=BX$4,0,IF(BW500=1,PMT(Assumptions!$G$346,Assumptions!$G$348,$C502),BW513))),0)</f>
        <v>0</v>
      </c>
      <c r="BY513" s="39">
        <f>+IFERROR(-ABS(IF(EDATE(_xlfn.XLOOKUP(1,$H500:$BE500,$H$4:$BE$4),12*Assumptions!$G$348+12)=BY$4,0,IF(BX500=1,PMT(Assumptions!$G$346,Assumptions!$G$348,$C502),BX513))),0)</f>
        <v>0</v>
      </c>
    </row>
    <row r="514" spans="2:77" outlineLevel="1">
      <c r="E514" s="24" t="s">
        <v>520</v>
      </c>
      <c r="F514" s="80" t="str">
        <f>+Assumptions!$G$8</f>
        <v>USD</v>
      </c>
      <c r="G514" s="24"/>
      <c r="H514" s="39">
        <f>+IFERROR(-ABS(IF(EDATE(_xlfn.XLOOKUP(1,$H501:$BE501,$H$4:$BE$4),12*Assumptions!$G$348+12)=H$4,0,IF(G501=1,PMT(Assumptions!$G$346,Assumptions!$G$348,$C503),G514))),0)</f>
        <v>0</v>
      </c>
      <c r="I514" s="39">
        <f>+IFERROR(-ABS(IF(EDATE(_xlfn.XLOOKUP(1,$H501:$BE501,$H$4:$BE$4),12*Assumptions!$G$348+12)=I$4,0,IF(H501=1,PMT(Assumptions!$G$346,Assumptions!$G$348,$C503),H514))),0)</f>
        <v>0</v>
      </c>
      <c r="J514" s="39">
        <f>+IFERROR(-ABS(IF(EDATE(_xlfn.XLOOKUP(1,$H501:$BE501,$H$4:$BE$4),12*Assumptions!$G$348+12)=J$4,0,IF(I501=1,PMT(Assumptions!$G$346,Assumptions!$G$348,$C503),I514))),0)</f>
        <v>0</v>
      </c>
      <c r="K514" s="39">
        <f>+IFERROR(-ABS(IF(EDATE(_xlfn.XLOOKUP(1,$H501:$BE501,$H$4:$BE$4),12*Assumptions!$G$348+12)=K$4,0,IF(J501=1,PMT(Assumptions!$G$346,Assumptions!$G$348,$C503),J514))),0)</f>
        <v>0</v>
      </c>
      <c r="L514" s="39">
        <f>+IFERROR(-ABS(IF(EDATE(_xlfn.XLOOKUP(1,$H501:$BE501,$H$4:$BE$4),12*Assumptions!$G$348+12)=L$4,0,IF(K501=1,PMT(Assumptions!$G$346,Assumptions!$G$348,$C503),K514))),0)</f>
        <v>0</v>
      </c>
      <c r="M514" s="39">
        <f>+IFERROR(-ABS(IF(EDATE(_xlfn.XLOOKUP(1,$H501:$BE501,$H$4:$BE$4),12*Assumptions!$G$348+12)=M$4,0,IF(L501=1,PMT(Assumptions!$G$346,Assumptions!$G$348,$C503),L514))),0)</f>
        <v>0</v>
      </c>
      <c r="N514" s="39">
        <f>+IFERROR(-ABS(IF(EDATE(_xlfn.XLOOKUP(1,$H501:$BE501,$H$4:$BE$4),12*Assumptions!$G$348+12)=N$4,0,IF(M501=1,PMT(Assumptions!$G$346,Assumptions!$G$348,$C503),M514))),0)</f>
        <v>0</v>
      </c>
      <c r="O514" s="39">
        <f>+IFERROR(-ABS(IF(EDATE(_xlfn.XLOOKUP(1,$H501:$BE501,$H$4:$BE$4),12*Assumptions!$G$348+12)=O$4,0,IF(N501=1,PMT(Assumptions!$G$346,Assumptions!$G$348,$C503),N514))),0)</f>
        <v>0</v>
      </c>
      <c r="P514" s="39">
        <f>+IFERROR(-ABS(IF(EDATE(_xlfn.XLOOKUP(1,$H501:$BE501,$H$4:$BE$4),12*Assumptions!$G$348+12)=P$4,0,IF(O501=1,PMT(Assumptions!$G$346,Assumptions!$G$348,$C503),O514))),0)</f>
        <v>0</v>
      </c>
      <c r="Q514" s="39">
        <f>+IFERROR(-ABS(IF(EDATE(_xlfn.XLOOKUP(1,$H501:$BE501,$H$4:$BE$4),12*Assumptions!$G$348+12)=Q$4,0,IF(P501=1,PMT(Assumptions!$G$346,Assumptions!$G$348,$C503),P514))),0)</f>
        <v>0</v>
      </c>
      <c r="R514" s="39">
        <f>+IFERROR(-ABS(IF(EDATE(_xlfn.XLOOKUP(1,$H501:$BE501,$H$4:$BE$4),12*Assumptions!$G$348+12)=R$4,0,IF(Q501=1,PMT(Assumptions!$G$346,Assumptions!$G$348,$C503),Q514))),0)</f>
        <v>0</v>
      </c>
      <c r="S514" s="39">
        <f>+IFERROR(-ABS(IF(EDATE(_xlfn.XLOOKUP(1,$H501:$BE501,$H$4:$BE$4),12*Assumptions!$G$348+12)=S$4,0,IF(R501=1,PMT(Assumptions!$G$346,Assumptions!$G$348,$C503),R514))),0)</f>
        <v>0</v>
      </c>
      <c r="T514" s="39">
        <f>+IFERROR(-ABS(IF(EDATE(_xlfn.XLOOKUP(1,$H501:$BE501,$H$4:$BE$4),12*Assumptions!$G$348+12)=T$4,0,IF(S501=1,PMT(Assumptions!$G$346,Assumptions!$G$348,$C503),S514))),0)</f>
        <v>0</v>
      </c>
      <c r="U514" s="39">
        <f>+IFERROR(-ABS(IF(EDATE(_xlfn.XLOOKUP(1,$H501:$BE501,$H$4:$BE$4),12*Assumptions!$G$348+12)=U$4,0,IF(T501=1,PMT(Assumptions!$G$346,Assumptions!$G$348,$C503),T514))),0)</f>
        <v>0</v>
      </c>
      <c r="V514" s="39">
        <f>+IFERROR(-ABS(IF(EDATE(_xlfn.XLOOKUP(1,$H501:$BE501,$H$4:$BE$4),12*Assumptions!$G$348+12)=V$4,0,IF(U501=1,PMT(Assumptions!$G$346,Assumptions!$G$348,$C503),U514))),0)</f>
        <v>0</v>
      </c>
      <c r="W514" s="39">
        <f>+IFERROR(-ABS(IF(EDATE(_xlfn.XLOOKUP(1,$H501:$BE501,$H$4:$BE$4),12*Assumptions!$G$348+12)=W$4,0,IF(V501=1,PMT(Assumptions!$G$346,Assumptions!$G$348,$C503),V514))),0)</f>
        <v>0</v>
      </c>
      <c r="X514" s="39">
        <f>+IFERROR(-ABS(IF(EDATE(_xlfn.XLOOKUP(1,$H501:$BE501,$H$4:$BE$4),12*Assumptions!$G$348+12)=X$4,0,IF(W501=1,PMT(Assumptions!$G$346,Assumptions!$G$348,$C503),W514))),0)</f>
        <v>0</v>
      </c>
      <c r="Y514" s="39">
        <f>+IFERROR(-ABS(IF(EDATE(_xlfn.XLOOKUP(1,$H501:$BE501,$H$4:$BE$4),12*Assumptions!$G$348+12)=Y$4,0,IF(X501=1,PMT(Assumptions!$G$346,Assumptions!$G$348,$C503),X514))),0)</f>
        <v>0</v>
      </c>
      <c r="Z514" s="39">
        <f>+IFERROR(-ABS(IF(EDATE(_xlfn.XLOOKUP(1,$H501:$BE501,$H$4:$BE$4),12*Assumptions!$G$348+12)=Z$4,0,IF(Y501=1,PMT(Assumptions!$G$346,Assumptions!$G$348,$C503),Y514))),0)</f>
        <v>0</v>
      </c>
      <c r="AA514" s="39">
        <f>+IFERROR(-ABS(IF(EDATE(_xlfn.XLOOKUP(1,$H501:$BE501,$H$4:$BE$4),12*Assumptions!$G$348+12)=AA$4,0,IF(Z501=1,PMT(Assumptions!$G$346,Assumptions!$G$348,$C503),Z514))),0)</f>
        <v>0</v>
      </c>
      <c r="AB514" s="39">
        <f>+IFERROR(-ABS(IF(EDATE(_xlfn.XLOOKUP(1,$H501:$BE501,$H$4:$BE$4),12*Assumptions!$G$348+12)=AB$4,0,IF(AA501=1,PMT(Assumptions!$G$346,Assumptions!$G$348,$C503),AA514))),0)</f>
        <v>0</v>
      </c>
      <c r="AC514" s="39">
        <f>+IFERROR(-ABS(IF(EDATE(_xlfn.XLOOKUP(1,$H501:$BE501,$H$4:$BE$4),12*Assumptions!$G$348+12)=AC$4,0,IF(AB501=1,PMT(Assumptions!$G$346,Assumptions!$G$348,$C503),AB514))),0)</f>
        <v>0</v>
      </c>
      <c r="AD514" s="39">
        <f>+IFERROR(-ABS(IF(EDATE(_xlfn.XLOOKUP(1,$H501:$BE501,$H$4:$BE$4),12*Assumptions!$G$348+12)=AD$4,0,IF(AC501=1,PMT(Assumptions!$G$346,Assumptions!$G$348,$C503),AC514))),0)</f>
        <v>0</v>
      </c>
      <c r="AE514" s="39">
        <f>+IFERROR(-ABS(IF(EDATE(_xlfn.XLOOKUP(1,$H501:$BE501,$H$4:$BE$4),12*Assumptions!$G$348+12)=AE$4,0,IF(AD501=1,PMT(Assumptions!$G$346,Assumptions!$G$348,$C503),AD514))),0)</f>
        <v>0</v>
      </c>
      <c r="AF514" s="39">
        <f>+IFERROR(-ABS(IF(EDATE(_xlfn.XLOOKUP(1,$H501:$BE501,$H$4:$BE$4),12*Assumptions!$G$348+12)=AF$4,0,IF(AE501=1,PMT(Assumptions!$G$346,Assumptions!$G$348,$C503),AE514))),0)</f>
        <v>0</v>
      </c>
      <c r="AG514" s="39">
        <f>+IFERROR(-ABS(IF(EDATE(_xlfn.XLOOKUP(1,$H501:$BE501,$H$4:$BE$4),12*Assumptions!$G$348+12)=AG$4,0,IF(AF501=1,PMT(Assumptions!$G$346,Assumptions!$G$348,$C503),AF514))),0)</f>
        <v>0</v>
      </c>
      <c r="AH514" s="39">
        <f>+IFERROR(-ABS(IF(EDATE(_xlfn.XLOOKUP(1,$H501:$BE501,$H$4:$BE$4),12*Assumptions!$G$348+12)=AH$4,0,IF(AG501=1,PMT(Assumptions!$G$346,Assumptions!$G$348,$C503),AG514))),0)</f>
        <v>0</v>
      </c>
      <c r="AI514" s="39">
        <f>+IFERROR(-ABS(IF(EDATE(_xlfn.XLOOKUP(1,$H501:$BE501,$H$4:$BE$4),12*Assumptions!$G$348+12)=AI$4,0,IF(AH501=1,PMT(Assumptions!$G$346,Assumptions!$G$348,$C503),AH514))),0)</f>
        <v>0</v>
      </c>
      <c r="AJ514" s="39">
        <f>+IFERROR(-ABS(IF(EDATE(_xlfn.XLOOKUP(1,$H501:$BE501,$H$4:$BE$4),12*Assumptions!$G$348+12)=AJ$4,0,IF(AI501=1,PMT(Assumptions!$G$346,Assumptions!$G$348,$C503),AI514))),0)</f>
        <v>0</v>
      </c>
      <c r="AK514" s="39">
        <f>+IFERROR(-ABS(IF(EDATE(_xlfn.XLOOKUP(1,$H501:$BE501,$H$4:$BE$4),12*Assumptions!$G$348+12)=AK$4,0,IF(AJ501=1,PMT(Assumptions!$G$346,Assumptions!$G$348,$C503),AJ514))),0)</f>
        <v>0</v>
      </c>
      <c r="AL514" s="39">
        <f>+IFERROR(-ABS(IF(EDATE(_xlfn.XLOOKUP(1,$H501:$BE501,$H$4:$BE$4),12*Assumptions!$G$348+12)=AL$4,0,IF(AK501=1,PMT(Assumptions!$G$346,Assumptions!$G$348,$C503),AK514))),0)</f>
        <v>0</v>
      </c>
      <c r="AM514" s="39">
        <f>+IFERROR(-ABS(IF(EDATE(_xlfn.XLOOKUP(1,$H501:$BE501,$H$4:$BE$4),12*Assumptions!$G$348+12)=AM$4,0,IF(AL501=1,PMT(Assumptions!$G$346,Assumptions!$G$348,$C503),AL514))),0)</f>
        <v>0</v>
      </c>
      <c r="AN514" s="39">
        <f>+IFERROR(-ABS(IF(EDATE(_xlfn.XLOOKUP(1,$H501:$BE501,$H$4:$BE$4),12*Assumptions!$G$348+12)=AN$4,0,IF(AM501=1,PMT(Assumptions!$G$346,Assumptions!$G$348,$C503),AM514))),0)</f>
        <v>0</v>
      </c>
      <c r="AO514" s="39">
        <f>+IFERROR(-ABS(IF(EDATE(_xlfn.XLOOKUP(1,$H501:$BE501,$H$4:$BE$4),12*Assumptions!$G$348+12)=AO$4,0,IF(AN501=1,PMT(Assumptions!$G$346,Assumptions!$G$348,$C503),AN514))),0)</f>
        <v>0</v>
      </c>
      <c r="AP514" s="39">
        <f>+IFERROR(-ABS(IF(EDATE(_xlfn.XLOOKUP(1,$H501:$BE501,$H$4:$BE$4),12*Assumptions!$G$348+12)=AP$4,0,IF(AO501=1,PMT(Assumptions!$G$346,Assumptions!$G$348,$C503),AO514))),0)</f>
        <v>0</v>
      </c>
      <c r="AQ514" s="39">
        <f>+IFERROR(-ABS(IF(EDATE(_xlfn.XLOOKUP(1,$H501:$BE501,$H$4:$BE$4),12*Assumptions!$G$348+12)=AQ$4,0,IF(AP501=1,PMT(Assumptions!$G$346,Assumptions!$G$348,$C503),AP514))),0)</f>
        <v>0</v>
      </c>
      <c r="AR514" s="39">
        <f>+IFERROR(-ABS(IF(EDATE(_xlfn.XLOOKUP(1,$H501:$BE501,$H$4:$BE$4),12*Assumptions!$G$348+12)=AR$4,0,IF(AQ501=1,PMT(Assumptions!$G$346,Assumptions!$G$348,$C503),AQ514))),0)</f>
        <v>0</v>
      </c>
      <c r="AS514" s="39">
        <f>+IFERROR(-ABS(IF(EDATE(_xlfn.XLOOKUP(1,$H501:$BE501,$H$4:$BE$4),12*Assumptions!$G$348+12)=AS$4,0,IF(AR501=1,PMT(Assumptions!$G$346,Assumptions!$G$348,$C503),AR514))),0)</f>
        <v>0</v>
      </c>
      <c r="AT514" s="39">
        <f>+IFERROR(-ABS(IF(EDATE(_xlfn.XLOOKUP(1,$H501:$BE501,$H$4:$BE$4),12*Assumptions!$G$348+12)=AT$4,0,IF(AS501=1,PMT(Assumptions!$G$346,Assumptions!$G$348,$C503),AS514))),0)</f>
        <v>0</v>
      </c>
      <c r="AU514" s="39">
        <f>+IFERROR(-ABS(IF(EDATE(_xlfn.XLOOKUP(1,$H501:$BE501,$H$4:$BE$4),12*Assumptions!$G$348+12)=AU$4,0,IF(AT501=1,PMT(Assumptions!$G$346,Assumptions!$G$348,$C503),AT514))),0)</f>
        <v>0</v>
      </c>
      <c r="AV514" s="39">
        <f>+IFERROR(-ABS(IF(EDATE(_xlfn.XLOOKUP(1,$H501:$BE501,$H$4:$BE$4),12*Assumptions!$G$348+12)=AV$4,0,IF(AU501=1,PMT(Assumptions!$G$346,Assumptions!$G$348,$C503),AU514))),0)</f>
        <v>0</v>
      </c>
      <c r="AW514" s="39">
        <f>+IFERROR(-ABS(IF(EDATE(_xlfn.XLOOKUP(1,$H501:$BE501,$H$4:$BE$4),12*Assumptions!$G$348+12)=AW$4,0,IF(AV501=1,PMT(Assumptions!$G$346,Assumptions!$G$348,$C503),AV514))),0)</f>
        <v>0</v>
      </c>
      <c r="AX514" s="39">
        <f>+IFERROR(-ABS(IF(EDATE(_xlfn.XLOOKUP(1,$H501:$BE501,$H$4:$BE$4),12*Assumptions!$G$348+12)=AX$4,0,IF(AW501=1,PMT(Assumptions!$G$346,Assumptions!$G$348,$C503),AW514))),0)</f>
        <v>0</v>
      </c>
      <c r="AY514" s="39">
        <f>+IFERROR(-ABS(IF(EDATE(_xlfn.XLOOKUP(1,$H501:$BE501,$H$4:$BE$4),12*Assumptions!$G$348+12)=AY$4,0,IF(AX501=1,PMT(Assumptions!$G$346,Assumptions!$G$348,$C503),AX514))),0)</f>
        <v>0</v>
      </c>
      <c r="AZ514" s="39">
        <f>+IFERROR(-ABS(IF(EDATE(_xlfn.XLOOKUP(1,$H501:$BE501,$H$4:$BE$4),12*Assumptions!$G$348+12)=AZ$4,0,IF(AY501=1,PMT(Assumptions!$G$346,Assumptions!$G$348,$C503),AY514))),0)</f>
        <v>0</v>
      </c>
      <c r="BA514" s="39">
        <f>+IFERROR(-ABS(IF(EDATE(_xlfn.XLOOKUP(1,$H501:$BE501,$H$4:$BE$4),12*Assumptions!$G$348+12)=BA$4,0,IF(AZ501=1,PMT(Assumptions!$G$346,Assumptions!$G$348,$C503),AZ514))),0)</f>
        <v>0</v>
      </c>
      <c r="BB514" s="39">
        <f>+IFERROR(-ABS(IF(EDATE(_xlfn.XLOOKUP(1,$H501:$BE501,$H$4:$BE$4),12*Assumptions!$G$348+12)=BB$4,0,IF(BA501=1,PMT(Assumptions!$G$346,Assumptions!$G$348,$C503),BA514))),0)</f>
        <v>0</v>
      </c>
      <c r="BC514" s="39">
        <f>+IFERROR(-ABS(IF(EDATE(_xlfn.XLOOKUP(1,$H501:$BE501,$H$4:$BE$4),12*Assumptions!$G$348+12)=BC$4,0,IF(BB501=1,PMT(Assumptions!$G$346,Assumptions!$G$348,$C503),BB514))),0)</f>
        <v>0</v>
      </c>
      <c r="BD514" s="39">
        <f>+IFERROR(-ABS(IF(EDATE(_xlfn.XLOOKUP(1,$H501:$BE501,$H$4:$BE$4),12*Assumptions!$G$348+12)=BD$4,0,IF(BC501=1,PMT(Assumptions!$G$346,Assumptions!$G$348,$C503),BC514))),0)</f>
        <v>0</v>
      </c>
      <c r="BE514" s="39">
        <f>+IFERROR(-ABS(IF(EDATE(_xlfn.XLOOKUP(1,$H501:$BE501,$H$4:$BE$4),12*Assumptions!$G$348+12)=BE$4,0,IF(BD501=1,PMT(Assumptions!$G$346,Assumptions!$G$348,$C503),BD514))),0)</f>
        <v>0</v>
      </c>
      <c r="BF514" s="39">
        <f>+IFERROR(-ABS(IF(EDATE(_xlfn.XLOOKUP(1,$H501:$BE501,$H$4:$BE$4),12*Assumptions!$G$348+12)=BF$4,0,IF(BE501=1,PMT(Assumptions!$G$346,Assumptions!$G$348,$C503),BE514))),0)</f>
        <v>0</v>
      </c>
      <c r="BG514" s="39">
        <f>+IFERROR(-ABS(IF(EDATE(_xlfn.XLOOKUP(1,$H501:$BE501,$H$4:$BE$4),12*Assumptions!$G$348+12)=BG$4,0,IF(BF501=1,PMT(Assumptions!$G$346,Assumptions!$G$348,$C503),BF514))),0)</f>
        <v>0</v>
      </c>
      <c r="BH514" s="39">
        <f>+IFERROR(-ABS(IF(EDATE(_xlfn.XLOOKUP(1,$H501:$BE501,$H$4:$BE$4),12*Assumptions!$G$348+12)=BH$4,0,IF(BG501=1,PMT(Assumptions!$G$346,Assumptions!$G$348,$C503),BG514))),0)</f>
        <v>0</v>
      </c>
      <c r="BI514" s="39">
        <f>+IFERROR(-ABS(IF(EDATE(_xlfn.XLOOKUP(1,$H501:$BE501,$H$4:$BE$4),12*Assumptions!$G$348+12)=BI$4,0,IF(BH501=1,PMT(Assumptions!$G$346,Assumptions!$G$348,$C503),BH514))),0)</f>
        <v>0</v>
      </c>
      <c r="BJ514" s="39">
        <f>+IFERROR(-ABS(IF(EDATE(_xlfn.XLOOKUP(1,$H501:$BE501,$H$4:$BE$4),12*Assumptions!$G$348+12)=BJ$4,0,IF(BI501=1,PMT(Assumptions!$G$346,Assumptions!$G$348,$C503),BI514))),0)</f>
        <v>0</v>
      </c>
      <c r="BK514" s="39">
        <f>+IFERROR(-ABS(IF(EDATE(_xlfn.XLOOKUP(1,$H501:$BE501,$H$4:$BE$4),12*Assumptions!$G$348+12)=BK$4,0,IF(BJ501=1,PMT(Assumptions!$G$346,Assumptions!$G$348,$C503),BJ514))),0)</f>
        <v>0</v>
      </c>
      <c r="BL514" s="39">
        <f>+IFERROR(-ABS(IF(EDATE(_xlfn.XLOOKUP(1,$H501:$BE501,$H$4:$BE$4),12*Assumptions!$G$348+12)=BL$4,0,IF(BK501=1,PMT(Assumptions!$G$346,Assumptions!$G$348,$C503),BK514))),0)</f>
        <v>0</v>
      </c>
      <c r="BM514" s="39">
        <f>+IFERROR(-ABS(IF(EDATE(_xlfn.XLOOKUP(1,$H501:$BE501,$H$4:$BE$4),12*Assumptions!$G$348+12)=BM$4,0,IF(BL501=1,PMT(Assumptions!$G$346,Assumptions!$G$348,$C503),BL514))),0)</f>
        <v>0</v>
      </c>
      <c r="BN514" s="39">
        <f>+IFERROR(-ABS(IF(EDATE(_xlfn.XLOOKUP(1,$H501:$BE501,$H$4:$BE$4),12*Assumptions!$G$348+12)=BN$4,0,IF(BM501=1,PMT(Assumptions!$G$346,Assumptions!$G$348,$C503),BM514))),0)</f>
        <v>0</v>
      </c>
      <c r="BO514" s="39">
        <f>+IFERROR(-ABS(IF(EDATE(_xlfn.XLOOKUP(1,$H501:$BE501,$H$4:$BE$4),12*Assumptions!$G$348+12)=BO$4,0,IF(BN501=1,PMT(Assumptions!$G$346,Assumptions!$G$348,$C503),BN514))),0)</f>
        <v>0</v>
      </c>
      <c r="BP514" s="39">
        <f>+IFERROR(-ABS(IF(EDATE(_xlfn.XLOOKUP(1,$H501:$BE501,$H$4:$BE$4),12*Assumptions!$G$348+12)=BP$4,0,IF(BO501=1,PMT(Assumptions!$G$346,Assumptions!$G$348,$C503),BO514))),0)</f>
        <v>0</v>
      </c>
      <c r="BQ514" s="39">
        <f>+IFERROR(-ABS(IF(EDATE(_xlfn.XLOOKUP(1,$H501:$BE501,$H$4:$BE$4),12*Assumptions!$G$348+12)=BQ$4,0,IF(BP501=1,PMT(Assumptions!$G$346,Assumptions!$G$348,$C503),BP514))),0)</f>
        <v>0</v>
      </c>
      <c r="BR514" s="39">
        <f>+IFERROR(-ABS(IF(EDATE(_xlfn.XLOOKUP(1,$H501:$BE501,$H$4:$BE$4),12*Assumptions!$G$348+12)=BR$4,0,IF(BQ501=1,PMT(Assumptions!$G$346,Assumptions!$G$348,$C503),BQ514))),0)</f>
        <v>0</v>
      </c>
      <c r="BS514" s="39">
        <f>+IFERROR(-ABS(IF(EDATE(_xlfn.XLOOKUP(1,$H501:$BE501,$H$4:$BE$4),12*Assumptions!$G$348+12)=BS$4,0,IF(BR501=1,PMT(Assumptions!$G$346,Assumptions!$G$348,$C503),BR514))),0)</f>
        <v>0</v>
      </c>
      <c r="BT514" s="39">
        <f>+IFERROR(-ABS(IF(EDATE(_xlfn.XLOOKUP(1,$H501:$BE501,$H$4:$BE$4),12*Assumptions!$G$348+12)=BT$4,0,IF(BS501=1,PMT(Assumptions!$G$346,Assumptions!$G$348,$C503),BS514))),0)</f>
        <v>0</v>
      </c>
      <c r="BU514" s="39">
        <f>+IFERROR(-ABS(IF(EDATE(_xlfn.XLOOKUP(1,$H501:$BE501,$H$4:$BE$4),12*Assumptions!$G$348+12)=BU$4,0,IF(BT501=1,PMT(Assumptions!$G$346,Assumptions!$G$348,$C503),BT514))),0)</f>
        <v>0</v>
      </c>
      <c r="BV514" s="39">
        <f>+IFERROR(-ABS(IF(EDATE(_xlfn.XLOOKUP(1,$H501:$BE501,$H$4:$BE$4),12*Assumptions!$G$348+12)=BV$4,0,IF(BU501=1,PMT(Assumptions!$G$346,Assumptions!$G$348,$C503),BU514))),0)</f>
        <v>0</v>
      </c>
      <c r="BW514" s="39">
        <f>+IFERROR(-ABS(IF(EDATE(_xlfn.XLOOKUP(1,$H501:$BE501,$H$4:$BE$4),12*Assumptions!$G$348+12)=BW$4,0,IF(BV501=1,PMT(Assumptions!$G$346,Assumptions!$G$348,$C503),BV514))),0)</f>
        <v>0</v>
      </c>
      <c r="BX514" s="39">
        <f>+IFERROR(-ABS(IF(EDATE(_xlfn.XLOOKUP(1,$H501:$BE501,$H$4:$BE$4),12*Assumptions!$G$348+12)=BX$4,0,IF(BW501=1,PMT(Assumptions!$G$346,Assumptions!$G$348,$C503),BW514))),0)</f>
        <v>0</v>
      </c>
      <c r="BY514" s="39">
        <f>+IFERROR(-ABS(IF(EDATE(_xlfn.XLOOKUP(1,$H501:$BE501,$H$4:$BE$4),12*Assumptions!$G$348+12)=BY$4,0,IF(BX501=1,PMT(Assumptions!$G$346,Assumptions!$G$348,$C503),BX514))),0)</f>
        <v>0</v>
      </c>
    </row>
    <row r="515" spans="2:77" outlineLevel="1">
      <c r="E515" s="24" t="s">
        <v>521</v>
      </c>
      <c r="F515" s="80" t="str">
        <f>+Assumptions!$G$8</f>
        <v>USD</v>
      </c>
      <c r="G515" s="24"/>
      <c r="H515" s="39">
        <f>+IFERROR(-ABS(IF(EDATE(_xlfn.XLOOKUP(1,$H502:$BE502,$H$4:$BE$4),12*Assumptions!$G$348+12)=H$4,0,IF(G502=1,PMT(Assumptions!$G$346,Assumptions!$G$348,$C504),G515))),0)</f>
        <v>0</v>
      </c>
      <c r="I515" s="39">
        <f>+IFERROR(-ABS(IF(EDATE(_xlfn.XLOOKUP(1,$H502:$BE502,$H$4:$BE$4),12*Assumptions!$G$348+12)=I$4,0,IF(H502=1,PMT(Assumptions!$G$346,Assumptions!$G$348,$C504),H515))),0)</f>
        <v>0</v>
      </c>
      <c r="J515" s="39">
        <f>+IFERROR(-ABS(IF(EDATE(_xlfn.XLOOKUP(1,$H502:$BE502,$H$4:$BE$4),12*Assumptions!$G$348+12)=J$4,0,IF(I502=1,PMT(Assumptions!$G$346,Assumptions!$G$348,$C504),I515))),0)</f>
        <v>0</v>
      </c>
      <c r="K515" s="39">
        <f>+IFERROR(-ABS(IF(EDATE(_xlfn.XLOOKUP(1,$H502:$BE502,$H$4:$BE$4),12*Assumptions!$G$348+12)=K$4,0,IF(J502=1,PMT(Assumptions!$G$346,Assumptions!$G$348,$C504),J515))),0)</f>
        <v>0</v>
      </c>
      <c r="L515" s="39">
        <f>+IFERROR(-ABS(IF(EDATE(_xlfn.XLOOKUP(1,$H502:$BE502,$H$4:$BE$4),12*Assumptions!$G$348+12)=L$4,0,IF(K502=1,PMT(Assumptions!$G$346,Assumptions!$G$348,$C504),K515))),0)</f>
        <v>0</v>
      </c>
      <c r="M515" s="39">
        <f>+IFERROR(-ABS(IF(EDATE(_xlfn.XLOOKUP(1,$H502:$BE502,$H$4:$BE$4),12*Assumptions!$G$348+12)=M$4,0,IF(L502=1,PMT(Assumptions!$G$346,Assumptions!$G$348,$C504),L515))),0)</f>
        <v>0</v>
      </c>
      <c r="N515" s="39">
        <f>+IFERROR(-ABS(IF(EDATE(_xlfn.XLOOKUP(1,$H502:$BE502,$H$4:$BE$4),12*Assumptions!$G$348+12)=N$4,0,IF(M502=1,PMT(Assumptions!$G$346,Assumptions!$G$348,$C504),M515))),0)</f>
        <v>0</v>
      </c>
      <c r="O515" s="39">
        <f>+IFERROR(-ABS(IF(EDATE(_xlfn.XLOOKUP(1,$H502:$BE502,$H$4:$BE$4),12*Assumptions!$G$348+12)=O$4,0,IF(N502=1,PMT(Assumptions!$G$346,Assumptions!$G$348,$C504),N515))),0)</f>
        <v>0</v>
      </c>
      <c r="P515" s="39">
        <f>+IFERROR(-ABS(IF(EDATE(_xlfn.XLOOKUP(1,$H502:$BE502,$H$4:$BE$4),12*Assumptions!$G$348+12)=P$4,0,IF(O502=1,PMT(Assumptions!$G$346,Assumptions!$G$348,$C504),O515))),0)</f>
        <v>0</v>
      </c>
      <c r="Q515" s="39">
        <f>+IFERROR(-ABS(IF(EDATE(_xlfn.XLOOKUP(1,$H502:$BE502,$H$4:$BE$4),12*Assumptions!$G$348+12)=Q$4,0,IF(P502=1,PMT(Assumptions!$G$346,Assumptions!$G$348,$C504),P515))),0)</f>
        <v>0</v>
      </c>
      <c r="R515" s="39">
        <f>+IFERROR(-ABS(IF(EDATE(_xlfn.XLOOKUP(1,$H502:$BE502,$H$4:$BE$4),12*Assumptions!$G$348+12)=R$4,0,IF(Q502=1,PMT(Assumptions!$G$346,Assumptions!$G$348,$C504),Q515))),0)</f>
        <v>0</v>
      </c>
      <c r="S515" s="39">
        <f>+IFERROR(-ABS(IF(EDATE(_xlfn.XLOOKUP(1,$H502:$BE502,$H$4:$BE$4),12*Assumptions!$G$348+12)=S$4,0,IF(R502=1,PMT(Assumptions!$G$346,Assumptions!$G$348,$C504),R515))),0)</f>
        <v>0</v>
      </c>
      <c r="T515" s="39">
        <f>+IFERROR(-ABS(IF(EDATE(_xlfn.XLOOKUP(1,$H502:$BE502,$H$4:$BE$4),12*Assumptions!$G$348+12)=T$4,0,IF(S502=1,PMT(Assumptions!$G$346,Assumptions!$G$348,$C504),S515))),0)</f>
        <v>0</v>
      </c>
      <c r="U515" s="39">
        <f>+IFERROR(-ABS(IF(EDATE(_xlfn.XLOOKUP(1,$H502:$BE502,$H$4:$BE$4),12*Assumptions!$G$348+12)=U$4,0,IF(T502=1,PMT(Assumptions!$G$346,Assumptions!$G$348,$C504),T515))),0)</f>
        <v>0</v>
      </c>
      <c r="V515" s="39">
        <f>+IFERROR(-ABS(IF(EDATE(_xlfn.XLOOKUP(1,$H502:$BE502,$H$4:$BE$4),12*Assumptions!$G$348+12)=V$4,0,IF(U502=1,PMT(Assumptions!$G$346,Assumptions!$G$348,$C504),U515))),0)</f>
        <v>0</v>
      </c>
      <c r="W515" s="39">
        <f>+IFERROR(-ABS(IF(EDATE(_xlfn.XLOOKUP(1,$H502:$BE502,$H$4:$BE$4),12*Assumptions!$G$348+12)=W$4,0,IF(V502=1,PMT(Assumptions!$G$346,Assumptions!$G$348,$C504),V515))),0)</f>
        <v>0</v>
      </c>
      <c r="X515" s="39">
        <f>+IFERROR(-ABS(IF(EDATE(_xlfn.XLOOKUP(1,$H502:$BE502,$H$4:$BE$4),12*Assumptions!$G$348+12)=X$4,0,IF(W502=1,PMT(Assumptions!$G$346,Assumptions!$G$348,$C504),W515))),0)</f>
        <v>0</v>
      </c>
      <c r="Y515" s="39">
        <f>+IFERROR(-ABS(IF(EDATE(_xlfn.XLOOKUP(1,$H502:$BE502,$H$4:$BE$4),12*Assumptions!$G$348+12)=Y$4,0,IF(X502=1,PMT(Assumptions!$G$346,Assumptions!$G$348,$C504),X515))),0)</f>
        <v>0</v>
      </c>
      <c r="Z515" s="39">
        <f>+IFERROR(-ABS(IF(EDATE(_xlfn.XLOOKUP(1,$H502:$BE502,$H$4:$BE$4),12*Assumptions!$G$348+12)=Z$4,0,IF(Y502=1,PMT(Assumptions!$G$346,Assumptions!$G$348,$C504),Y515))),0)</f>
        <v>0</v>
      </c>
      <c r="AA515" s="39">
        <f>+IFERROR(-ABS(IF(EDATE(_xlfn.XLOOKUP(1,$H502:$BE502,$H$4:$BE$4),12*Assumptions!$G$348+12)=AA$4,0,IF(Z502=1,PMT(Assumptions!$G$346,Assumptions!$G$348,$C504),Z515))),0)</f>
        <v>0</v>
      </c>
      <c r="AB515" s="39">
        <f>+IFERROR(-ABS(IF(EDATE(_xlfn.XLOOKUP(1,$H502:$BE502,$H$4:$BE$4),12*Assumptions!$G$348+12)=AB$4,0,IF(AA502=1,PMT(Assumptions!$G$346,Assumptions!$G$348,$C504),AA515))),0)</f>
        <v>0</v>
      </c>
      <c r="AC515" s="39">
        <f>+IFERROR(-ABS(IF(EDATE(_xlfn.XLOOKUP(1,$H502:$BE502,$H$4:$BE$4),12*Assumptions!$G$348+12)=AC$4,0,IF(AB502=1,PMT(Assumptions!$G$346,Assumptions!$G$348,$C504),AB515))),0)</f>
        <v>0</v>
      </c>
      <c r="AD515" s="39">
        <f>+IFERROR(-ABS(IF(EDATE(_xlfn.XLOOKUP(1,$H502:$BE502,$H$4:$BE$4),12*Assumptions!$G$348+12)=AD$4,0,IF(AC502=1,PMT(Assumptions!$G$346,Assumptions!$G$348,$C504),AC515))),0)</f>
        <v>0</v>
      </c>
      <c r="AE515" s="39">
        <f>+IFERROR(-ABS(IF(EDATE(_xlfn.XLOOKUP(1,$H502:$BE502,$H$4:$BE$4),12*Assumptions!$G$348+12)=AE$4,0,IF(AD502=1,PMT(Assumptions!$G$346,Assumptions!$G$348,$C504),AD515))),0)</f>
        <v>0</v>
      </c>
      <c r="AF515" s="39">
        <f>+IFERROR(-ABS(IF(EDATE(_xlfn.XLOOKUP(1,$H502:$BE502,$H$4:$BE$4),12*Assumptions!$G$348+12)=AF$4,0,IF(AE502=1,PMT(Assumptions!$G$346,Assumptions!$G$348,$C504),AE515))),0)</f>
        <v>0</v>
      </c>
      <c r="AG515" s="39">
        <f>+IFERROR(-ABS(IF(EDATE(_xlfn.XLOOKUP(1,$H502:$BE502,$H$4:$BE$4),12*Assumptions!$G$348+12)=AG$4,0,IF(AF502=1,PMT(Assumptions!$G$346,Assumptions!$G$348,$C504),AF515))),0)</f>
        <v>0</v>
      </c>
      <c r="AH515" s="39">
        <f>+IFERROR(-ABS(IF(EDATE(_xlfn.XLOOKUP(1,$H502:$BE502,$H$4:$BE$4),12*Assumptions!$G$348+12)=AH$4,0,IF(AG502=1,PMT(Assumptions!$G$346,Assumptions!$G$348,$C504),AG515))),0)</f>
        <v>0</v>
      </c>
      <c r="AI515" s="39">
        <f>+IFERROR(-ABS(IF(EDATE(_xlfn.XLOOKUP(1,$H502:$BE502,$H$4:$BE$4),12*Assumptions!$G$348+12)=AI$4,0,IF(AH502=1,PMT(Assumptions!$G$346,Assumptions!$G$348,$C504),AH515))),0)</f>
        <v>0</v>
      </c>
      <c r="AJ515" s="39">
        <f>+IFERROR(-ABS(IF(EDATE(_xlfn.XLOOKUP(1,$H502:$BE502,$H$4:$BE$4),12*Assumptions!$G$348+12)=AJ$4,0,IF(AI502=1,PMT(Assumptions!$G$346,Assumptions!$G$348,$C504),AI515))),0)</f>
        <v>0</v>
      </c>
      <c r="AK515" s="39">
        <f>+IFERROR(-ABS(IF(EDATE(_xlfn.XLOOKUP(1,$H502:$BE502,$H$4:$BE$4),12*Assumptions!$G$348+12)=AK$4,0,IF(AJ502=1,PMT(Assumptions!$G$346,Assumptions!$G$348,$C504),AJ515))),0)</f>
        <v>0</v>
      </c>
      <c r="AL515" s="39">
        <f>+IFERROR(-ABS(IF(EDATE(_xlfn.XLOOKUP(1,$H502:$BE502,$H$4:$BE$4),12*Assumptions!$G$348+12)=AL$4,0,IF(AK502=1,PMT(Assumptions!$G$346,Assumptions!$G$348,$C504),AK515))),0)</f>
        <v>0</v>
      </c>
      <c r="AM515" s="39">
        <f>+IFERROR(-ABS(IF(EDATE(_xlfn.XLOOKUP(1,$H502:$BE502,$H$4:$BE$4),12*Assumptions!$G$348+12)=AM$4,0,IF(AL502=1,PMT(Assumptions!$G$346,Assumptions!$G$348,$C504),AL515))),0)</f>
        <v>0</v>
      </c>
      <c r="AN515" s="39">
        <f>+IFERROR(-ABS(IF(EDATE(_xlfn.XLOOKUP(1,$H502:$BE502,$H$4:$BE$4),12*Assumptions!$G$348+12)=AN$4,0,IF(AM502=1,PMT(Assumptions!$G$346,Assumptions!$G$348,$C504),AM515))),0)</f>
        <v>0</v>
      </c>
      <c r="AO515" s="39">
        <f>+IFERROR(-ABS(IF(EDATE(_xlfn.XLOOKUP(1,$H502:$BE502,$H$4:$BE$4),12*Assumptions!$G$348+12)=AO$4,0,IF(AN502=1,PMT(Assumptions!$G$346,Assumptions!$G$348,$C504),AN515))),0)</f>
        <v>0</v>
      </c>
      <c r="AP515" s="39">
        <f>+IFERROR(-ABS(IF(EDATE(_xlfn.XLOOKUP(1,$H502:$BE502,$H$4:$BE$4),12*Assumptions!$G$348+12)=AP$4,0,IF(AO502=1,PMT(Assumptions!$G$346,Assumptions!$G$348,$C504),AO515))),0)</f>
        <v>0</v>
      </c>
      <c r="AQ515" s="39">
        <f>+IFERROR(-ABS(IF(EDATE(_xlfn.XLOOKUP(1,$H502:$BE502,$H$4:$BE$4),12*Assumptions!$G$348+12)=AQ$4,0,IF(AP502=1,PMT(Assumptions!$G$346,Assumptions!$G$348,$C504),AP515))),0)</f>
        <v>0</v>
      </c>
      <c r="AR515" s="39">
        <f>+IFERROR(-ABS(IF(EDATE(_xlfn.XLOOKUP(1,$H502:$BE502,$H$4:$BE$4),12*Assumptions!$G$348+12)=AR$4,0,IF(AQ502=1,PMT(Assumptions!$G$346,Assumptions!$G$348,$C504),AQ515))),0)</f>
        <v>0</v>
      </c>
      <c r="AS515" s="39">
        <f>+IFERROR(-ABS(IF(EDATE(_xlfn.XLOOKUP(1,$H502:$BE502,$H$4:$BE$4),12*Assumptions!$G$348+12)=AS$4,0,IF(AR502=1,PMT(Assumptions!$G$346,Assumptions!$G$348,$C504),AR515))),0)</f>
        <v>0</v>
      </c>
      <c r="AT515" s="39">
        <f>+IFERROR(-ABS(IF(EDATE(_xlfn.XLOOKUP(1,$H502:$BE502,$H$4:$BE$4),12*Assumptions!$G$348+12)=AT$4,0,IF(AS502=1,PMT(Assumptions!$G$346,Assumptions!$G$348,$C504),AS515))),0)</f>
        <v>0</v>
      </c>
      <c r="AU515" s="39">
        <f>+IFERROR(-ABS(IF(EDATE(_xlfn.XLOOKUP(1,$H502:$BE502,$H$4:$BE$4),12*Assumptions!$G$348+12)=AU$4,0,IF(AT502=1,PMT(Assumptions!$G$346,Assumptions!$G$348,$C504),AT515))),0)</f>
        <v>0</v>
      </c>
      <c r="AV515" s="39">
        <f>+IFERROR(-ABS(IF(EDATE(_xlfn.XLOOKUP(1,$H502:$BE502,$H$4:$BE$4),12*Assumptions!$G$348+12)=AV$4,0,IF(AU502=1,PMT(Assumptions!$G$346,Assumptions!$G$348,$C504),AU515))),0)</f>
        <v>0</v>
      </c>
      <c r="AW515" s="39">
        <f>+IFERROR(-ABS(IF(EDATE(_xlfn.XLOOKUP(1,$H502:$BE502,$H$4:$BE$4),12*Assumptions!$G$348+12)=AW$4,0,IF(AV502=1,PMT(Assumptions!$G$346,Assumptions!$G$348,$C504),AV515))),0)</f>
        <v>0</v>
      </c>
      <c r="AX515" s="39">
        <f>+IFERROR(-ABS(IF(EDATE(_xlfn.XLOOKUP(1,$H502:$BE502,$H$4:$BE$4),12*Assumptions!$G$348+12)=AX$4,0,IF(AW502=1,PMT(Assumptions!$G$346,Assumptions!$G$348,$C504),AW515))),0)</f>
        <v>0</v>
      </c>
      <c r="AY515" s="39">
        <f>+IFERROR(-ABS(IF(EDATE(_xlfn.XLOOKUP(1,$H502:$BE502,$H$4:$BE$4),12*Assumptions!$G$348+12)=AY$4,0,IF(AX502=1,PMT(Assumptions!$G$346,Assumptions!$G$348,$C504),AX515))),0)</f>
        <v>0</v>
      </c>
      <c r="AZ515" s="39">
        <f>+IFERROR(-ABS(IF(EDATE(_xlfn.XLOOKUP(1,$H502:$BE502,$H$4:$BE$4),12*Assumptions!$G$348+12)=AZ$4,0,IF(AY502=1,PMT(Assumptions!$G$346,Assumptions!$G$348,$C504),AY515))),0)</f>
        <v>0</v>
      </c>
      <c r="BA515" s="39">
        <f>+IFERROR(-ABS(IF(EDATE(_xlfn.XLOOKUP(1,$H502:$BE502,$H$4:$BE$4),12*Assumptions!$G$348+12)=BA$4,0,IF(AZ502=1,PMT(Assumptions!$G$346,Assumptions!$G$348,$C504),AZ515))),0)</f>
        <v>0</v>
      </c>
      <c r="BB515" s="39">
        <f>+IFERROR(-ABS(IF(EDATE(_xlfn.XLOOKUP(1,$H502:$BE502,$H$4:$BE$4),12*Assumptions!$G$348+12)=BB$4,0,IF(BA502=1,PMT(Assumptions!$G$346,Assumptions!$G$348,$C504),BA515))),0)</f>
        <v>0</v>
      </c>
      <c r="BC515" s="39">
        <f>+IFERROR(-ABS(IF(EDATE(_xlfn.XLOOKUP(1,$H502:$BE502,$H$4:$BE$4),12*Assumptions!$G$348+12)=BC$4,0,IF(BB502=1,PMT(Assumptions!$G$346,Assumptions!$G$348,$C504),BB515))),0)</f>
        <v>0</v>
      </c>
      <c r="BD515" s="39">
        <f>+IFERROR(-ABS(IF(EDATE(_xlfn.XLOOKUP(1,$H502:$BE502,$H$4:$BE$4),12*Assumptions!$G$348+12)=BD$4,0,IF(BC502=1,PMT(Assumptions!$G$346,Assumptions!$G$348,$C504),BC515))),0)</f>
        <v>0</v>
      </c>
      <c r="BE515" s="39">
        <f>+IFERROR(-ABS(IF(EDATE(_xlfn.XLOOKUP(1,$H502:$BE502,$H$4:$BE$4),12*Assumptions!$G$348+12)=BE$4,0,IF(BD502=1,PMT(Assumptions!$G$346,Assumptions!$G$348,$C504),BD515))),0)</f>
        <v>0</v>
      </c>
      <c r="BF515" s="39">
        <f>+IFERROR(-ABS(IF(EDATE(_xlfn.XLOOKUP(1,$H502:$BE502,$H$4:$BE$4),12*Assumptions!$G$348+12)=BF$4,0,IF(BE502=1,PMT(Assumptions!$G$346,Assumptions!$G$348,$C504),BE515))),0)</f>
        <v>0</v>
      </c>
      <c r="BG515" s="39">
        <f>+IFERROR(-ABS(IF(EDATE(_xlfn.XLOOKUP(1,$H502:$BE502,$H$4:$BE$4),12*Assumptions!$G$348+12)=BG$4,0,IF(BF502=1,PMT(Assumptions!$G$346,Assumptions!$G$348,$C504),BF515))),0)</f>
        <v>0</v>
      </c>
      <c r="BH515" s="39">
        <f>+IFERROR(-ABS(IF(EDATE(_xlfn.XLOOKUP(1,$H502:$BE502,$H$4:$BE$4),12*Assumptions!$G$348+12)=BH$4,0,IF(BG502=1,PMT(Assumptions!$G$346,Assumptions!$G$348,$C504),BG515))),0)</f>
        <v>0</v>
      </c>
      <c r="BI515" s="39">
        <f>+IFERROR(-ABS(IF(EDATE(_xlfn.XLOOKUP(1,$H502:$BE502,$H$4:$BE$4),12*Assumptions!$G$348+12)=BI$4,0,IF(BH502=1,PMT(Assumptions!$G$346,Assumptions!$G$348,$C504),BH515))),0)</f>
        <v>0</v>
      </c>
      <c r="BJ515" s="39">
        <f>+IFERROR(-ABS(IF(EDATE(_xlfn.XLOOKUP(1,$H502:$BE502,$H$4:$BE$4),12*Assumptions!$G$348+12)=BJ$4,0,IF(BI502=1,PMT(Assumptions!$G$346,Assumptions!$G$348,$C504),BI515))),0)</f>
        <v>0</v>
      </c>
      <c r="BK515" s="39">
        <f>+IFERROR(-ABS(IF(EDATE(_xlfn.XLOOKUP(1,$H502:$BE502,$H$4:$BE$4),12*Assumptions!$G$348+12)=BK$4,0,IF(BJ502=1,PMT(Assumptions!$G$346,Assumptions!$G$348,$C504),BJ515))),0)</f>
        <v>0</v>
      </c>
      <c r="BL515" s="39">
        <f>+IFERROR(-ABS(IF(EDATE(_xlfn.XLOOKUP(1,$H502:$BE502,$H$4:$BE$4),12*Assumptions!$G$348+12)=BL$4,0,IF(BK502=1,PMT(Assumptions!$G$346,Assumptions!$G$348,$C504),BK515))),0)</f>
        <v>0</v>
      </c>
      <c r="BM515" s="39">
        <f>+IFERROR(-ABS(IF(EDATE(_xlfn.XLOOKUP(1,$H502:$BE502,$H$4:$BE$4),12*Assumptions!$G$348+12)=BM$4,0,IF(BL502=1,PMT(Assumptions!$G$346,Assumptions!$G$348,$C504),BL515))),0)</f>
        <v>0</v>
      </c>
      <c r="BN515" s="39">
        <f>+IFERROR(-ABS(IF(EDATE(_xlfn.XLOOKUP(1,$H502:$BE502,$H$4:$BE$4),12*Assumptions!$G$348+12)=BN$4,0,IF(BM502=1,PMT(Assumptions!$G$346,Assumptions!$G$348,$C504),BM515))),0)</f>
        <v>0</v>
      </c>
      <c r="BO515" s="39">
        <f>+IFERROR(-ABS(IF(EDATE(_xlfn.XLOOKUP(1,$H502:$BE502,$H$4:$BE$4),12*Assumptions!$G$348+12)=BO$4,0,IF(BN502=1,PMT(Assumptions!$G$346,Assumptions!$G$348,$C504),BN515))),0)</f>
        <v>0</v>
      </c>
      <c r="BP515" s="39">
        <f>+IFERROR(-ABS(IF(EDATE(_xlfn.XLOOKUP(1,$H502:$BE502,$H$4:$BE$4),12*Assumptions!$G$348+12)=BP$4,0,IF(BO502=1,PMT(Assumptions!$G$346,Assumptions!$G$348,$C504),BO515))),0)</f>
        <v>0</v>
      </c>
      <c r="BQ515" s="39">
        <f>+IFERROR(-ABS(IF(EDATE(_xlfn.XLOOKUP(1,$H502:$BE502,$H$4:$BE$4),12*Assumptions!$G$348+12)=BQ$4,0,IF(BP502=1,PMT(Assumptions!$G$346,Assumptions!$G$348,$C504),BP515))),0)</f>
        <v>0</v>
      </c>
      <c r="BR515" s="39">
        <f>+IFERROR(-ABS(IF(EDATE(_xlfn.XLOOKUP(1,$H502:$BE502,$H$4:$BE$4),12*Assumptions!$G$348+12)=BR$4,0,IF(BQ502=1,PMT(Assumptions!$G$346,Assumptions!$G$348,$C504),BQ515))),0)</f>
        <v>0</v>
      </c>
      <c r="BS515" s="39">
        <f>+IFERROR(-ABS(IF(EDATE(_xlfn.XLOOKUP(1,$H502:$BE502,$H$4:$BE$4),12*Assumptions!$G$348+12)=BS$4,0,IF(BR502=1,PMT(Assumptions!$G$346,Assumptions!$G$348,$C504),BR515))),0)</f>
        <v>0</v>
      </c>
      <c r="BT515" s="39">
        <f>+IFERROR(-ABS(IF(EDATE(_xlfn.XLOOKUP(1,$H502:$BE502,$H$4:$BE$4),12*Assumptions!$G$348+12)=BT$4,0,IF(BS502=1,PMT(Assumptions!$G$346,Assumptions!$G$348,$C504),BS515))),0)</f>
        <v>0</v>
      </c>
      <c r="BU515" s="39">
        <f>+IFERROR(-ABS(IF(EDATE(_xlfn.XLOOKUP(1,$H502:$BE502,$H$4:$BE$4),12*Assumptions!$G$348+12)=BU$4,0,IF(BT502=1,PMT(Assumptions!$G$346,Assumptions!$G$348,$C504),BT515))),0)</f>
        <v>0</v>
      </c>
      <c r="BV515" s="39">
        <f>+IFERROR(-ABS(IF(EDATE(_xlfn.XLOOKUP(1,$H502:$BE502,$H$4:$BE$4),12*Assumptions!$G$348+12)=BV$4,0,IF(BU502=1,PMT(Assumptions!$G$346,Assumptions!$G$348,$C504),BU515))),0)</f>
        <v>0</v>
      </c>
      <c r="BW515" s="39">
        <f>+IFERROR(-ABS(IF(EDATE(_xlfn.XLOOKUP(1,$H502:$BE502,$H$4:$BE$4),12*Assumptions!$G$348+12)=BW$4,0,IF(BV502=1,PMT(Assumptions!$G$346,Assumptions!$G$348,$C504),BV515))),0)</f>
        <v>0</v>
      </c>
      <c r="BX515" s="39">
        <f>+IFERROR(-ABS(IF(EDATE(_xlfn.XLOOKUP(1,$H502:$BE502,$H$4:$BE$4),12*Assumptions!$G$348+12)=BX$4,0,IF(BW502=1,PMT(Assumptions!$G$346,Assumptions!$G$348,$C504),BW515))),0)</f>
        <v>0</v>
      </c>
      <c r="BY515" s="39">
        <f>+IFERROR(-ABS(IF(EDATE(_xlfn.XLOOKUP(1,$H502:$BE502,$H$4:$BE$4),12*Assumptions!$G$348+12)=BY$4,0,IF(BX502=1,PMT(Assumptions!$G$346,Assumptions!$G$348,$C504),BX515))),0)</f>
        <v>0</v>
      </c>
    </row>
    <row r="516" spans="2:77" outlineLevel="1">
      <c r="E516" s="24" t="s">
        <v>522</v>
      </c>
      <c r="F516" s="80" t="str">
        <f>+Assumptions!$G$8</f>
        <v>USD</v>
      </c>
      <c r="G516" s="24"/>
      <c r="H516" s="39">
        <f>+IFERROR(-ABS(IF(EDATE(_xlfn.XLOOKUP(1,$H503:$BE503,$H$4:$BE$4),12*Assumptions!$G$348+12)=H$4,0,IF(G503=1,PMT(Assumptions!$G$346,Assumptions!$G$348,$C505),G516))),0)</f>
        <v>0</v>
      </c>
      <c r="I516" s="39">
        <f>+IFERROR(-ABS(IF(EDATE(_xlfn.XLOOKUP(1,$H503:$BE503,$H$4:$BE$4),12*Assumptions!$G$348+12)=I$4,0,IF(H503=1,PMT(Assumptions!$G$346,Assumptions!$G$348,$C505),H516))),0)</f>
        <v>0</v>
      </c>
      <c r="J516" s="39">
        <f>+IFERROR(-ABS(IF(EDATE(_xlfn.XLOOKUP(1,$H503:$BE503,$H$4:$BE$4),12*Assumptions!$G$348+12)=J$4,0,IF(I503=1,PMT(Assumptions!$G$346,Assumptions!$G$348,$C505),I516))),0)</f>
        <v>0</v>
      </c>
      <c r="K516" s="39">
        <f>+IFERROR(-ABS(IF(EDATE(_xlfn.XLOOKUP(1,$H503:$BE503,$H$4:$BE$4),12*Assumptions!$G$348+12)=K$4,0,IF(J503=1,PMT(Assumptions!$G$346,Assumptions!$G$348,$C505),J516))),0)</f>
        <v>0</v>
      </c>
      <c r="L516" s="39">
        <f>+IFERROR(-ABS(IF(EDATE(_xlfn.XLOOKUP(1,$H503:$BE503,$H$4:$BE$4),12*Assumptions!$G$348+12)=L$4,0,IF(K503=1,PMT(Assumptions!$G$346,Assumptions!$G$348,$C505),K516))),0)</f>
        <v>0</v>
      </c>
      <c r="M516" s="39">
        <f>+IFERROR(-ABS(IF(EDATE(_xlfn.XLOOKUP(1,$H503:$BE503,$H$4:$BE$4),12*Assumptions!$G$348+12)=M$4,0,IF(L503=1,PMT(Assumptions!$G$346,Assumptions!$G$348,$C505),L516))),0)</f>
        <v>0</v>
      </c>
      <c r="N516" s="39">
        <f>+IFERROR(-ABS(IF(EDATE(_xlfn.XLOOKUP(1,$H503:$BE503,$H$4:$BE$4),12*Assumptions!$G$348+12)=N$4,0,IF(M503=1,PMT(Assumptions!$G$346,Assumptions!$G$348,$C505),M516))),0)</f>
        <v>0</v>
      </c>
      <c r="O516" s="39">
        <f>+IFERROR(-ABS(IF(EDATE(_xlfn.XLOOKUP(1,$H503:$BE503,$H$4:$BE$4),12*Assumptions!$G$348+12)=O$4,0,IF(N503=1,PMT(Assumptions!$G$346,Assumptions!$G$348,$C505),N516))),0)</f>
        <v>0</v>
      </c>
      <c r="P516" s="39">
        <f>+IFERROR(-ABS(IF(EDATE(_xlfn.XLOOKUP(1,$H503:$BE503,$H$4:$BE$4),12*Assumptions!$G$348+12)=P$4,0,IF(O503=1,PMT(Assumptions!$G$346,Assumptions!$G$348,$C505),O516))),0)</f>
        <v>0</v>
      </c>
      <c r="Q516" s="39">
        <f>+IFERROR(-ABS(IF(EDATE(_xlfn.XLOOKUP(1,$H503:$BE503,$H$4:$BE$4),12*Assumptions!$G$348+12)=Q$4,0,IF(P503=1,PMT(Assumptions!$G$346,Assumptions!$G$348,$C505),P516))),0)</f>
        <v>0</v>
      </c>
      <c r="R516" s="39">
        <f>+IFERROR(-ABS(IF(EDATE(_xlfn.XLOOKUP(1,$H503:$BE503,$H$4:$BE$4),12*Assumptions!$G$348+12)=R$4,0,IF(Q503=1,PMT(Assumptions!$G$346,Assumptions!$G$348,$C505),Q516))),0)</f>
        <v>0</v>
      </c>
      <c r="S516" s="39">
        <f>+IFERROR(-ABS(IF(EDATE(_xlfn.XLOOKUP(1,$H503:$BE503,$H$4:$BE$4),12*Assumptions!$G$348+12)=S$4,0,IF(R503=1,PMT(Assumptions!$G$346,Assumptions!$G$348,$C505),R516))),0)</f>
        <v>0</v>
      </c>
      <c r="T516" s="39">
        <f>+IFERROR(-ABS(IF(EDATE(_xlfn.XLOOKUP(1,$H503:$BE503,$H$4:$BE$4),12*Assumptions!$G$348+12)=T$4,0,IF(S503=1,PMT(Assumptions!$G$346,Assumptions!$G$348,$C505),S516))),0)</f>
        <v>0</v>
      </c>
      <c r="U516" s="39">
        <f>+IFERROR(-ABS(IF(EDATE(_xlfn.XLOOKUP(1,$H503:$BE503,$H$4:$BE$4),12*Assumptions!$G$348+12)=U$4,0,IF(T503=1,PMT(Assumptions!$G$346,Assumptions!$G$348,$C505),T516))),0)</f>
        <v>0</v>
      </c>
      <c r="V516" s="39">
        <f>+IFERROR(-ABS(IF(EDATE(_xlfn.XLOOKUP(1,$H503:$BE503,$H$4:$BE$4),12*Assumptions!$G$348+12)=V$4,0,IF(U503=1,PMT(Assumptions!$G$346,Assumptions!$G$348,$C505),U516))),0)</f>
        <v>0</v>
      </c>
      <c r="W516" s="39">
        <f>+IFERROR(-ABS(IF(EDATE(_xlfn.XLOOKUP(1,$H503:$BE503,$H$4:$BE$4),12*Assumptions!$G$348+12)=W$4,0,IF(V503=1,PMT(Assumptions!$G$346,Assumptions!$G$348,$C505),V516))),0)</f>
        <v>0</v>
      </c>
      <c r="X516" s="39">
        <f>+IFERROR(-ABS(IF(EDATE(_xlfn.XLOOKUP(1,$H503:$BE503,$H$4:$BE$4),12*Assumptions!$G$348+12)=X$4,0,IF(W503=1,PMT(Assumptions!$G$346,Assumptions!$G$348,$C505),W516))),0)</f>
        <v>0</v>
      </c>
      <c r="Y516" s="39">
        <f>+IFERROR(-ABS(IF(EDATE(_xlfn.XLOOKUP(1,$H503:$BE503,$H$4:$BE$4),12*Assumptions!$G$348+12)=Y$4,0,IF(X503=1,PMT(Assumptions!$G$346,Assumptions!$G$348,$C505),X516))),0)</f>
        <v>0</v>
      </c>
      <c r="Z516" s="39">
        <f>+IFERROR(-ABS(IF(EDATE(_xlfn.XLOOKUP(1,$H503:$BE503,$H$4:$BE$4),12*Assumptions!$G$348+12)=Z$4,0,IF(Y503=1,PMT(Assumptions!$G$346,Assumptions!$G$348,$C505),Y516))),0)</f>
        <v>0</v>
      </c>
      <c r="AA516" s="39">
        <f>+IFERROR(-ABS(IF(EDATE(_xlfn.XLOOKUP(1,$H503:$BE503,$H$4:$BE$4),12*Assumptions!$G$348+12)=AA$4,0,IF(Z503=1,PMT(Assumptions!$G$346,Assumptions!$G$348,$C505),Z516))),0)</f>
        <v>0</v>
      </c>
      <c r="AB516" s="39">
        <f>+IFERROR(-ABS(IF(EDATE(_xlfn.XLOOKUP(1,$H503:$BE503,$H$4:$BE$4),12*Assumptions!$G$348+12)=AB$4,0,IF(AA503=1,PMT(Assumptions!$G$346,Assumptions!$G$348,$C505),AA516))),0)</f>
        <v>0</v>
      </c>
      <c r="AC516" s="39">
        <f>+IFERROR(-ABS(IF(EDATE(_xlfn.XLOOKUP(1,$H503:$BE503,$H$4:$BE$4),12*Assumptions!$G$348+12)=AC$4,0,IF(AB503=1,PMT(Assumptions!$G$346,Assumptions!$G$348,$C505),AB516))),0)</f>
        <v>0</v>
      </c>
      <c r="AD516" s="39">
        <f>+IFERROR(-ABS(IF(EDATE(_xlfn.XLOOKUP(1,$H503:$BE503,$H$4:$BE$4),12*Assumptions!$G$348+12)=AD$4,0,IF(AC503=1,PMT(Assumptions!$G$346,Assumptions!$G$348,$C505),AC516))),0)</f>
        <v>0</v>
      </c>
      <c r="AE516" s="39">
        <f>+IFERROR(-ABS(IF(EDATE(_xlfn.XLOOKUP(1,$H503:$BE503,$H$4:$BE$4),12*Assumptions!$G$348+12)=AE$4,0,IF(AD503=1,PMT(Assumptions!$G$346,Assumptions!$G$348,$C505),AD516))),0)</f>
        <v>0</v>
      </c>
      <c r="AF516" s="39">
        <f>+IFERROR(-ABS(IF(EDATE(_xlfn.XLOOKUP(1,$H503:$BE503,$H$4:$BE$4),12*Assumptions!$G$348+12)=AF$4,0,IF(AE503=1,PMT(Assumptions!$G$346,Assumptions!$G$348,$C505),AE516))),0)</f>
        <v>0</v>
      </c>
      <c r="AG516" s="39">
        <f>+IFERROR(-ABS(IF(EDATE(_xlfn.XLOOKUP(1,$H503:$BE503,$H$4:$BE$4),12*Assumptions!$G$348+12)=AG$4,0,IF(AF503=1,PMT(Assumptions!$G$346,Assumptions!$G$348,$C505),AF516))),0)</f>
        <v>0</v>
      </c>
      <c r="AH516" s="39">
        <f>+IFERROR(-ABS(IF(EDATE(_xlfn.XLOOKUP(1,$H503:$BE503,$H$4:$BE$4),12*Assumptions!$G$348+12)=AH$4,0,IF(AG503=1,PMT(Assumptions!$G$346,Assumptions!$G$348,$C505),AG516))),0)</f>
        <v>0</v>
      </c>
      <c r="AI516" s="39">
        <f>+IFERROR(-ABS(IF(EDATE(_xlfn.XLOOKUP(1,$H503:$BE503,$H$4:$BE$4),12*Assumptions!$G$348+12)=AI$4,0,IF(AH503=1,PMT(Assumptions!$G$346,Assumptions!$G$348,$C505),AH516))),0)</f>
        <v>0</v>
      </c>
      <c r="AJ516" s="39">
        <f>+IFERROR(-ABS(IF(EDATE(_xlfn.XLOOKUP(1,$H503:$BE503,$H$4:$BE$4),12*Assumptions!$G$348+12)=AJ$4,0,IF(AI503=1,PMT(Assumptions!$G$346,Assumptions!$G$348,$C505),AI516))),0)</f>
        <v>0</v>
      </c>
      <c r="AK516" s="39">
        <f>+IFERROR(-ABS(IF(EDATE(_xlfn.XLOOKUP(1,$H503:$BE503,$H$4:$BE$4),12*Assumptions!$G$348+12)=AK$4,0,IF(AJ503=1,PMT(Assumptions!$G$346,Assumptions!$G$348,$C505),AJ516))),0)</f>
        <v>0</v>
      </c>
      <c r="AL516" s="39">
        <f>+IFERROR(-ABS(IF(EDATE(_xlfn.XLOOKUP(1,$H503:$BE503,$H$4:$BE$4),12*Assumptions!$G$348+12)=AL$4,0,IF(AK503=1,PMT(Assumptions!$G$346,Assumptions!$G$348,$C505),AK516))),0)</f>
        <v>0</v>
      </c>
      <c r="AM516" s="39">
        <f>+IFERROR(-ABS(IF(EDATE(_xlfn.XLOOKUP(1,$H503:$BE503,$H$4:$BE$4),12*Assumptions!$G$348+12)=AM$4,0,IF(AL503=1,PMT(Assumptions!$G$346,Assumptions!$G$348,$C505),AL516))),0)</f>
        <v>0</v>
      </c>
      <c r="AN516" s="39">
        <f>+IFERROR(-ABS(IF(EDATE(_xlfn.XLOOKUP(1,$H503:$BE503,$H$4:$BE$4),12*Assumptions!$G$348+12)=AN$4,0,IF(AM503=1,PMT(Assumptions!$G$346,Assumptions!$G$348,$C505),AM516))),0)</f>
        <v>0</v>
      </c>
      <c r="AO516" s="39">
        <f>+IFERROR(-ABS(IF(EDATE(_xlfn.XLOOKUP(1,$H503:$BE503,$H$4:$BE$4),12*Assumptions!$G$348+12)=AO$4,0,IF(AN503=1,PMT(Assumptions!$G$346,Assumptions!$G$348,$C505),AN516))),0)</f>
        <v>0</v>
      </c>
      <c r="AP516" s="39">
        <f>+IFERROR(-ABS(IF(EDATE(_xlfn.XLOOKUP(1,$H503:$BE503,$H$4:$BE$4),12*Assumptions!$G$348+12)=AP$4,0,IF(AO503=1,PMT(Assumptions!$G$346,Assumptions!$G$348,$C505),AO516))),0)</f>
        <v>0</v>
      </c>
      <c r="AQ516" s="39">
        <f>+IFERROR(-ABS(IF(EDATE(_xlfn.XLOOKUP(1,$H503:$BE503,$H$4:$BE$4),12*Assumptions!$G$348+12)=AQ$4,0,IF(AP503=1,PMT(Assumptions!$G$346,Assumptions!$G$348,$C505),AP516))),0)</f>
        <v>0</v>
      </c>
      <c r="AR516" s="39">
        <f>+IFERROR(-ABS(IF(EDATE(_xlfn.XLOOKUP(1,$H503:$BE503,$H$4:$BE$4),12*Assumptions!$G$348+12)=AR$4,0,IF(AQ503=1,PMT(Assumptions!$G$346,Assumptions!$G$348,$C505),AQ516))),0)</f>
        <v>0</v>
      </c>
      <c r="AS516" s="39">
        <f>+IFERROR(-ABS(IF(EDATE(_xlfn.XLOOKUP(1,$H503:$BE503,$H$4:$BE$4),12*Assumptions!$G$348+12)=AS$4,0,IF(AR503=1,PMT(Assumptions!$G$346,Assumptions!$G$348,$C505),AR516))),0)</f>
        <v>0</v>
      </c>
      <c r="AT516" s="39">
        <f>+IFERROR(-ABS(IF(EDATE(_xlfn.XLOOKUP(1,$H503:$BE503,$H$4:$BE$4),12*Assumptions!$G$348+12)=AT$4,0,IF(AS503=1,PMT(Assumptions!$G$346,Assumptions!$G$348,$C505),AS516))),0)</f>
        <v>0</v>
      </c>
      <c r="AU516" s="39">
        <f>+IFERROR(-ABS(IF(EDATE(_xlfn.XLOOKUP(1,$H503:$BE503,$H$4:$BE$4),12*Assumptions!$G$348+12)=AU$4,0,IF(AT503=1,PMT(Assumptions!$G$346,Assumptions!$G$348,$C505),AT516))),0)</f>
        <v>0</v>
      </c>
      <c r="AV516" s="39">
        <f>+IFERROR(-ABS(IF(EDATE(_xlfn.XLOOKUP(1,$H503:$BE503,$H$4:$BE$4),12*Assumptions!$G$348+12)=AV$4,0,IF(AU503=1,PMT(Assumptions!$G$346,Assumptions!$G$348,$C505),AU516))),0)</f>
        <v>0</v>
      </c>
      <c r="AW516" s="39">
        <f>+IFERROR(-ABS(IF(EDATE(_xlfn.XLOOKUP(1,$H503:$BE503,$H$4:$BE$4),12*Assumptions!$G$348+12)=AW$4,0,IF(AV503=1,PMT(Assumptions!$G$346,Assumptions!$G$348,$C505),AV516))),0)</f>
        <v>0</v>
      </c>
      <c r="AX516" s="39">
        <f>+IFERROR(-ABS(IF(EDATE(_xlfn.XLOOKUP(1,$H503:$BE503,$H$4:$BE$4),12*Assumptions!$G$348+12)=AX$4,0,IF(AW503=1,PMT(Assumptions!$G$346,Assumptions!$G$348,$C505),AW516))),0)</f>
        <v>0</v>
      </c>
      <c r="AY516" s="39">
        <f>+IFERROR(-ABS(IF(EDATE(_xlfn.XLOOKUP(1,$H503:$BE503,$H$4:$BE$4),12*Assumptions!$G$348+12)=AY$4,0,IF(AX503=1,PMT(Assumptions!$G$346,Assumptions!$G$348,$C505),AX516))),0)</f>
        <v>0</v>
      </c>
      <c r="AZ516" s="39">
        <f>+IFERROR(-ABS(IF(EDATE(_xlfn.XLOOKUP(1,$H503:$BE503,$H$4:$BE$4),12*Assumptions!$G$348+12)=AZ$4,0,IF(AY503=1,PMT(Assumptions!$G$346,Assumptions!$G$348,$C505),AY516))),0)</f>
        <v>0</v>
      </c>
      <c r="BA516" s="39">
        <f>+IFERROR(-ABS(IF(EDATE(_xlfn.XLOOKUP(1,$H503:$BE503,$H$4:$BE$4),12*Assumptions!$G$348+12)=BA$4,0,IF(AZ503=1,PMT(Assumptions!$G$346,Assumptions!$G$348,$C505),AZ516))),0)</f>
        <v>0</v>
      </c>
      <c r="BB516" s="39">
        <f>+IFERROR(-ABS(IF(EDATE(_xlfn.XLOOKUP(1,$H503:$BE503,$H$4:$BE$4),12*Assumptions!$G$348+12)=BB$4,0,IF(BA503=1,PMT(Assumptions!$G$346,Assumptions!$G$348,$C505),BA516))),0)</f>
        <v>0</v>
      </c>
      <c r="BC516" s="39">
        <f>+IFERROR(-ABS(IF(EDATE(_xlfn.XLOOKUP(1,$H503:$BE503,$H$4:$BE$4),12*Assumptions!$G$348+12)=BC$4,0,IF(BB503=1,PMT(Assumptions!$G$346,Assumptions!$G$348,$C505),BB516))),0)</f>
        <v>0</v>
      </c>
      <c r="BD516" s="39">
        <f>+IFERROR(-ABS(IF(EDATE(_xlfn.XLOOKUP(1,$H503:$BE503,$H$4:$BE$4),12*Assumptions!$G$348+12)=BD$4,0,IF(BC503=1,PMT(Assumptions!$G$346,Assumptions!$G$348,$C505),BC516))),0)</f>
        <v>0</v>
      </c>
      <c r="BE516" s="39">
        <f>+IFERROR(-ABS(IF(EDATE(_xlfn.XLOOKUP(1,$H503:$BE503,$H$4:$BE$4),12*Assumptions!$G$348+12)=BE$4,0,IF(BD503=1,PMT(Assumptions!$G$346,Assumptions!$G$348,$C505),BD516))),0)</f>
        <v>0</v>
      </c>
      <c r="BF516" s="39">
        <f>+IFERROR(-ABS(IF(EDATE(_xlfn.XLOOKUP(1,$H503:$BE503,$H$4:$BE$4),12*Assumptions!$G$348+12)=BF$4,0,IF(BE503=1,PMT(Assumptions!$G$346,Assumptions!$G$348,$C505),BE516))),0)</f>
        <v>0</v>
      </c>
      <c r="BG516" s="39">
        <f>+IFERROR(-ABS(IF(EDATE(_xlfn.XLOOKUP(1,$H503:$BE503,$H$4:$BE$4),12*Assumptions!$G$348+12)=BG$4,0,IF(BF503=1,PMT(Assumptions!$G$346,Assumptions!$G$348,$C505),BF516))),0)</f>
        <v>0</v>
      </c>
      <c r="BH516" s="39">
        <f>+IFERROR(-ABS(IF(EDATE(_xlfn.XLOOKUP(1,$H503:$BE503,$H$4:$BE$4),12*Assumptions!$G$348+12)=BH$4,0,IF(BG503=1,PMT(Assumptions!$G$346,Assumptions!$G$348,$C505),BG516))),0)</f>
        <v>0</v>
      </c>
      <c r="BI516" s="39">
        <f>+IFERROR(-ABS(IF(EDATE(_xlfn.XLOOKUP(1,$H503:$BE503,$H$4:$BE$4),12*Assumptions!$G$348+12)=BI$4,0,IF(BH503=1,PMT(Assumptions!$G$346,Assumptions!$G$348,$C505),BH516))),0)</f>
        <v>0</v>
      </c>
      <c r="BJ516" s="39">
        <f>+IFERROR(-ABS(IF(EDATE(_xlfn.XLOOKUP(1,$H503:$BE503,$H$4:$BE$4),12*Assumptions!$G$348+12)=BJ$4,0,IF(BI503=1,PMT(Assumptions!$G$346,Assumptions!$G$348,$C505),BI516))),0)</f>
        <v>0</v>
      </c>
      <c r="BK516" s="39">
        <f>+IFERROR(-ABS(IF(EDATE(_xlfn.XLOOKUP(1,$H503:$BE503,$H$4:$BE$4),12*Assumptions!$G$348+12)=BK$4,0,IF(BJ503=1,PMT(Assumptions!$G$346,Assumptions!$G$348,$C505),BJ516))),0)</f>
        <v>0</v>
      </c>
      <c r="BL516" s="39">
        <f>+IFERROR(-ABS(IF(EDATE(_xlfn.XLOOKUP(1,$H503:$BE503,$H$4:$BE$4),12*Assumptions!$G$348+12)=BL$4,0,IF(BK503=1,PMT(Assumptions!$G$346,Assumptions!$G$348,$C505),BK516))),0)</f>
        <v>0</v>
      </c>
      <c r="BM516" s="39">
        <f>+IFERROR(-ABS(IF(EDATE(_xlfn.XLOOKUP(1,$H503:$BE503,$H$4:$BE$4),12*Assumptions!$G$348+12)=BM$4,0,IF(BL503=1,PMT(Assumptions!$G$346,Assumptions!$G$348,$C505),BL516))),0)</f>
        <v>0</v>
      </c>
      <c r="BN516" s="39">
        <f>+IFERROR(-ABS(IF(EDATE(_xlfn.XLOOKUP(1,$H503:$BE503,$H$4:$BE$4),12*Assumptions!$G$348+12)=BN$4,0,IF(BM503=1,PMT(Assumptions!$G$346,Assumptions!$G$348,$C505),BM516))),0)</f>
        <v>0</v>
      </c>
      <c r="BO516" s="39">
        <f>+IFERROR(-ABS(IF(EDATE(_xlfn.XLOOKUP(1,$H503:$BE503,$H$4:$BE$4),12*Assumptions!$G$348+12)=BO$4,0,IF(BN503=1,PMT(Assumptions!$G$346,Assumptions!$G$348,$C505),BN516))),0)</f>
        <v>0</v>
      </c>
      <c r="BP516" s="39">
        <f>+IFERROR(-ABS(IF(EDATE(_xlfn.XLOOKUP(1,$H503:$BE503,$H$4:$BE$4),12*Assumptions!$G$348+12)=BP$4,0,IF(BO503=1,PMT(Assumptions!$G$346,Assumptions!$G$348,$C505),BO516))),0)</f>
        <v>0</v>
      </c>
      <c r="BQ516" s="39">
        <f>+IFERROR(-ABS(IF(EDATE(_xlfn.XLOOKUP(1,$H503:$BE503,$H$4:$BE$4),12*Assumptions!$G$348+12)=BQ$4,0,IF(BP503=1,PMT(Assumptions!$G$346,Assumptions!$G$348,$C505),BP516))),0)</f>
        <v>0</v>
      </c>
      <c r="BR516" s="39">
        <f>+IFERROR(-ABS(IF(EDATE(_xlfn.XLOOKUP(1,$H503:$BE503,$H$4:$BE$4),12*Assumptions!$G$348+12)=BR$4,0,IF(BQ503=1,PMT(Assumptions!$G$346,Assumptions!$G$348,$C505),BQ516))),0)</f>
        <v>0</v>
      </c>
      <c r="BS516" s="39">
        <f>+IFERROR(-ABS(IF(EDATE(_xlfn.XLOOKUP(1,$H503:$BE503,$H$4:$BE$4),12*Assumptions!$G$348+12)=BS$4,0,IF(BR503=1,PMT(Assumptions!$G$346,Assumptions!$G$348,$C505),BR516))),0)</f>
        <v>0</v>
      </c>
      <c r="BT516" s="39">
        <f>+IFERROR(-ABS(IF(EDATE(_xlfn.XLOOKUP(1,$H503:$BE503,$H$4:$BE$4),12*Assumptions!$G$348+12)=BT$4,0,IF(BS503=1,PMT(Assumptions!$G$346,Assumptions!$G$348,$C505),BS516))),0)</f>
        <v>0</v>
      </c>
      <c r="BU516" s="39">
        <f>+IFERROR(-ABS(IF(EDATE(_xlfn.XLOOKUP(1,$H503:$BE503,$H$4:$BE$4),12*Assumptions!$G$348+12)=BU$4,0,IF(BT503=1,PMT(Assumptions!$G$346,Assumptions!$G$348,$C505),BT516))),0)</f>
        <v>0</v>
      </c>
      <c r="BV516" s="39">
        <f>+IFERROR(-ABS(IF(EDATE(_xlfn.XLOOKUP(1,$H503:$BE503,$H$4:$BE$4),12*Assumptions!$G$348+12)=BV$4,0,IF(BU503=1,PMT(Assumptions!$G$346,Assumptions!$G$348,$C505),BU516))),0)</f>
        <v>0</v>
      </c>
      <c r="BW516" s="39">
        <f>+IFERROR(-ABS(IF(EDATE(_xlfn.XLOOKUP(1,$H503:$BE503,$H$4:$BE$4),12*Assumptions!$G$348+12)=BW$4,0,IF(BV503=1,PMT(Assumptions!$G$346,Assumptions!$G$348,$C505),BV516))),0)</f>
        <v>0</v>
      </c>
      <c r="BX516" s="39">
        <f>+IFERROR(-ABS(IF(EDATE(_xlfn.XLOOKUP(1,$H503:$BE503,$H$4:$BE$4),12*Assumptions!$G$348+12)=BX$4,0,IF(BW503=1,PMT(Assumptions!$G$346,Assumptions!$G$348,$C505),BW516))),0)</f>
        <v>0</v>
      </c>
      <c r="BY516" s="39">
        <f>+IFERROR(-ABS(IF(EDATE(_xlfn.XLOOKUP(1,$H503:$BE503,$H$4:$BE$4),12*Assumptions!$G$348+12)=BY$4,0,IF(BX503=1,PMT(Assumptions!$G$346,Assumptions!$G$348,$C505),BX516))),0)</f>
        <v>0</v>
      </c>
    </row>
    <row r="517" spans="2:77" outlineLevel="1">
      <c r="E517" s="24" t="s">
        <v>523</v>
      </c>
      <c r="F517" s="80" t="str">
        <f>+Assumptions!$G$8</f>
        <v>USD</v>
      </c>
      <c r="G517" s="24"/>
      <c r="H517" s="39">
        <f>+IFERROR(-ABS(IF(EDATE(_xlfn.XLOOKUP(1,$H504:$BE504,$H$4:$BE$4),12*Assumptions!$G$348+12)=H$4,0,IF(G504=1,PMT(Assumptions!$G$346,Assumptions!$G$348,$C506),G517))),0)</f>
        <v>0</v>
      </c>
      <c r="I517" s="39">
        <f>+IFERROR(-ABS(IF(EDATE(_xlfn.XLOOKUP(1,$H504:$BE504,$H$4:$BE$4),12*Assumptions!$G$348+12)=I$4,0,IF(H504=1,PMT(Assumptions!$G$346,Assumptions!$G$348,$C506),H517))),0)</f>
        <v>0</v>
      </c>
      <c r="J517" s="39">
        <f>+IFERROR(-ABS(IF(EDATE(_xlfn.XLOOKUP(1,$H504:$BE504,$H$4:$BE$4),12*Assumptions!$G$348+12)=J$4,0,IF(I504=1,PMT(Assumptions!$G$346,Assumptions!$G$348,$C506),I517))),0)</f>
        <v>0</v>
      </c>
      <c r="K517" s="39">
        <f>+IFERROR(-ABS(IF(EDATE(_xlfn.XLOOKUP(1,$H504:$BE504,$H$4:$BE$4),12*Assumptions!$G$348+12)=K$4,0,IF(J504=1,PMT(Assumptions!$G$346,Assumptions!$G$348,$C506),J517))),0)</f>
        <v>0</v>
      </c>
      <c r="L517" s="39">
        <f>+IFERROR(-ABS(IF(EDATE(_xlfn.XLOOKUP(1,$H504:$BE504,$H$4:$BE$4),12*Assumptions!$G$348+12)=L$4,0,IF(K504=1,PMT(Assumptions!$G$346,Assumptions!$G$348,$C506),K517))),0)</f>
        <v>0</v>
      </c>
      <c r="M517" s="39">
        <f>+IFERROR(-ABS(IF(EDATE(_xlfn.XLOOKUP(1,$H504:$BE504,$H$4:$BE$4),12*Assumptions!$G$348+12)=M$4,0,IF(L504=1,PMT(Assumptions!$G$346,Assumptions!$G$348,$C506),L517))),0)</f>
        <v>0</v>
      </c>
      <c r="N517" s="39">
        <f>+IFERROR(-ABS(IF(EDATE(_xlfn.XLOOKUP(1,$H504:$BE504,$H$4:$BE$4),12*Assumptions!$G$348+12)=N$4,0,IF(M504=1,PMT(Assumptions!$G$346,Assumptions!$G$348,$C506),M517))),0)</f>
        <v>0</v>
      </c>
      <c r="O517" s="39">
        <f>+IFERROR(-ABS(IF(EDATE(_xlfn.XLOOKUP(1,$H504:$BE504,$H$4:$BE$4),12*Assumptions!$G$348+12)=O$4,0,IF(N504=1,PMT(Assumptions!$G$346,Assumptions!$G$348,$C506),N517))),0)</f>
        <v>0</v>
      </c>
      <c r="P517" s="39">
        <f>+IFERROR(-ABS(IF(EDATE(_xlfn.XLOOKUP(1,$H504:$BE504,$H$4:$BE$4),12*Assumptions!$G$348+12)=P$4,0,IF(O504=1,PMT(Assumptions!$G$346,Assumptions!$G$348,$C506),O517))),0)</f>
        <v>0</v>
      </c>
      <c r="Q517" s="39">
        <f>+IFERROR(-ABS(IF(EDATE(_xlfn.XLOOKUP(1,$H504:$BE504,$H$4:$BE$4),12*Assumptions!$G$348+12)=Q$4,0,IF(P504=1,PMT(Assumptions!$G$346,Assumptions!$G$348,$C506),P517))),0)</f>
        <v>0</v>
      </c>
      <c r="R517" s="39">
        <f>+IFERROR(-ABS(IF(EDATE(_xlfn.XLOOKUP(1,$H504:$BE504,$H$4:$BE$4),12*Assumptions!$G$348+12)=R$4,0,IF(Q504=1,PMT(Assumptions!$G$346,Assumptions!$G$348,$C506),Q517))),0)</f>
        <v>0</v>
      </c>
      <c r="S517" s="39">
        <f>+IFERROR(-ABS(IF(EDATE(_xlfn.XLOOKUP(1,$H504:$BE504,$H$4:$BE$4),12*Assumptions!$G$348+12)=S$4,0,IF(R504=1,PMT(Assumptions!$G$346,Assumptions!$G$348,$C506),R517))),0)</f>
        <v>0</v>
      </c>
      <c r="T517" s="39">
        <f>+IFERROR(-ABS(IF(EDATE(_xlfn.XLOOKUP(1,$H504:$BE504,$H$4:$BE$4),12*Assumptions!$G$348+12)=T$4,0,IF(S504=1,PMT(Assumptions!$G$346,Assumptions!$G$348,$C506),S517))),0)</f>
        <v>0</v>
      </c>
      <c r="U517" s="39">
        <f>+IFERROR(-ABS(IF(EDATE(_xlfn.XLOOKUP(1,$H504:$BE504,$H$4:$BE$4),12*Assumptions!$G$348+12)=U$4,0,IF(T504=1,PMT(Assumptions!$G$346,Assumptions!$G$348,$C506),T517))),0)</f>
        <v>0</v>
      </c>
      <c r="V517" s="39">
        <f>+IFERROR(-ABS(IF(EDATE(_xlfn.XLOOKUP(1,$H504:$BE504,$H$4:$BE$4),12*Assumptions!$G$348+12)=V$4,0,IF(U504=1,PMT(Assumptions!$G$346,Assumptions!$G$348,$C506),U517))),0)</f>
        <v>0</v>
      </c>
      <c r="W517" s="39">
        <f>+IFERROR(-ABS(IF(EDATE(_xlfn.XLOOKUP(1,$H504:$BE504,$H$4:$BE$4),12*Assumptions!$G$348+12)=W$4,0,IF(V504=1,PMT(Assumptions!$G$346,Assumptions!$G$348,$C506),V517))),0)</f>
        <v>0</v>
      </c>
      <c r="X517" s="39">
        <f>+IFERROR(-ABS(IF(EDATE(_xlfn.XLOOKUP(1,$H504:$BE504,$H$4:$BE$4),12*Assumptions!$G$348+12)=X$4,0,IF(W504=1,PMT(Assumptions!$G$346,Assumptions!$G$348,$C506),W517))),0)</f>
        <v>0</v>
      </c>
      <c r="Y517" s="39">
        <f>+IFERROR(-ABS(IF(EDATE(_xlfn.XLOOKUP(1,$H504:$BE504,$H$4:$BE$4),12*Assumptions!$G$348+12)=Y$4,0,IF(X504=1,PMT(Assumptions!$G$346,Assumptions!$G$348,$C506),X517))),0)</f>
        <v>0</v>
      </c>
      <c r="Z517" s="39">
        <f>+IFERROR(-ABS(IF(EDATE(_xlfn.XLOOKUP(1,$H504:$BE504,$H$4:$BE$4),12*Assumptions!$G$348+12)=Z$4,0,IF(Y504=1,PMT(Assumptions!$G$346,Assumptions!$G$348,$C506),Y517))),0)</f>
        <v>0</v>
      </c>
      <c r="AA517" s="39">
        <f>+IFERROR(-ABS(IF(EDATE(_xlfn.XLOOKUP(1,$H504:$BE504,$H$4:$BE$4),12*Assumptions!$G$348+12)=AA$4,0,IF(Z504=1,PMT(Assumptions!$G$346,Assumptions!$G$348,$C506),Z517))),0)</f>
        <v>0</v>
      </c>
      <c r="AB517" s="39">
        <f>+IFERROR(-ABS(IF(EDATE(_xlfn.XLOOKUP(1,$H504:$BE504,$H$4:$BE$4),12*Assumptions!$G$348+12)=AB$4,0,IF(AA504=1,PMT(Assumptions!$G$346,Assumptions!$G$348,$C506),AA517))),0)</f>
        <v>0</v>
      </c>
      <c r="AC517" s="39">
        <f>+IFERROR(-ABS(IF(EDATE(_xlfn.XLOOKUP(1,$H504:$BE504,$H$4:$BE$4),12*Assumptions!$G$348+12)=AC$4,0,IF(AB504=1,PMT(Assumptions!$G$346,Assumptions!$G$348,$C506),AB517))),0)</f>
        <v>0</v>
      </c>
      <c r="AD517" s="39">
        <f>+IFERROR(-ABS(IF(EDATE(_xlfn.XLOOKUP(1,$H504:$BE504,$H$4:$BE$4),12*Assumptions!$G$348+12)=AD$4,0,IF(AC504=1,PMT(Assumptions!$G$346,Assumptions!$G$348,$C506),AC517))),0)</f>
        <v>0</v>
      </c>
      <c r="AE517" s="39">
        <f>+IFERROR(-ABS(IF(EDATE(_xlfn.XLOOKUP(1,$H504:$BE504,$H$4:$BE$4),12*Assumptions!$G$348+12)=AE$4,0,IF(AD504=1,PMT(Assumptions!$G$346,Assumptions!$G$348,$C506),AD517))),0)</f>
        <v>0</v>
      </c>
      <c r="AF517" s="39">
        <f>+IFERROR(-ABS(IF(EDATE(_xlfn.XLOOKUP(1,$H504:$BE504,$H$4:$BE$4),12*Assumptions!$G$348+12)=AF$4,0,IF(AE504=1,PMT(Assumptions!$G$346,Assumptions!$G$348,$C506),AE517))),0)</f>
        <v>0</v>
      </c>
      <c r="AG517" s="39">
        <f>+IFERROR(-ABS(IF(EDATE(_xlfn.XLOOKUP(1,$H504:$BE504,$H$4:$BE$4),12*Assumptions!$G$348+12)=AG$4,0,IF(AF504=1,PMT(Assumptions!$G$346,Assumptions!$G$348,$C506),AF517))),0)</f>
        <v>0</v>
      </c>
      <c r="AH517" s="39">
        <f>+IFERROR(-ABS(IF(EDATE(_xlfn.XLOOKUP(1,$H504:$BE504,$H$4:$BE$4),12*Assumptions!$G$348+12)=AH$4,0,IF(AG504=1,PMT(Assumptions!$G$346,Assumptions!$G$348,$C506),AG517))),0)</f>
        <v>0</v>
      </c>
      <c r="AI517" s="39">
        <f>+IFERROR(-ABS(IF(EDATE(_xlfn.XLOOKUP(1,$H504:$BE504,$H$4:$BE$4),12*Assumptions!$G$348+12)=AI$4,0,IF(AH504=1,PMT(Assumptions!$G$346,Assumptions!$G$348,$C506),AH517))),0)</f>
        <v>0</v>
      </c>
      <c r="AJ517" s="39">
        <f>+IFERROR(-ABS(IF(EDATE(_xlfn.XLOOKUP(1,$H504:$BE504,$H$4:$BE$4),12*Assumptions!$G$348+12)=AJ$4,0,IF(AI504=1,PMT(Assumptions!$G$346,Assumptions!$G$348,$C506),AI517))),0)</f>
        <v>0</v>
      </c>
      <c r="AK517" s="39">
        <f>+IFERROR(-ABS(IF(EDATE(_xlfn.XLOOKUP(1,$H504:$BE504,$H$4:$BE$4),12*Assumptions!$G$348+12)=AK$4,0,IF(AJ504=1,PMT(Assumptions!$G$346,Assumptions!$G$348,$C506),AJ517))),0)</f>
        <v>0</v>
      </c>
      <c r="AL517" s="39">
        <f>+IFERROR(-ABS(IF(EDATE(_xlfn.XLOOKUP(1,$H504:$BE504,$H$4:$BE$4),12*Assumptions!$G$348+12)=AL$4,0,IF(AK504=1,PMT(Assumptions!$G$346,Assumptions!$G$348,$C506),AK517))),0)</f>
        <v>0</v>
      </c>
      <c r="AM517" s="39">
        <f>+IFERROR(-ABS(IF(EDATE(_xlfn.XLOOKUP(1,$H504:$BE504,$H$4:$BE$4),12*Assumptions!$G$348+12)=AM$4,0,IF(AL504=1,PMT(Assumptions!$G$346,Assumptions!$G$348,$C506),AL517))),0)</f>
        <v>0</v>
      </c>
      <c r="AN517" s="39">
        <f>+IFERROR(-ABS(IF(EDATE(_xlfn.XLOOKUP(1,$H504:$BE504,$H$4:$BE$4),12*Assumptions!$G$348+12)=AN$4,0,IF(AM504=1,PMT(Assumptions!$G$346,Assumptions!$G$348,$C506),AM517))),0)</f>
        <v>0</v>
      </c>
      <c r="AO517" s="39">
        <f>+IFERROR(-ABS(IF(EDATE(_xlfn.XLOOKUP(1,$H504:$BE504,$H$4:$BE$4),12*Assumptions!$G$348+12)=AO$4,0,IF(AN504=1,PMT(Assumptions!$G$346,Assumptions!$G$348,$C506),AN517))),0)</f>
        <v>0</v>
      </c>
      <c r="AP517" s="39">
        <f>+IFERROR(-ABS(IF(EDATE(_xlfn.XLOOKUP(1,$H504:$BE504,$H$4:$BE$4),12*Assumptions!$G$348+12)=AP$4,0,IF(AO504=1,PMT(Assumptions!$G$346,Assumptions!$G$348,$C506),AO517))),0)</f>
        <v>0</v>
      </c>
      <c r="AQ517" s="39">
        <f>+IFERROR(-ABS(IF(EDATE(_xlfn.XLOOKUP(1,$H504:$BE504,$H$4:$BE$4),12*Assumptions!$G$348+12)=AQ$4,0,IF(AP504=1,PMT(Assumptions!$G$346,Assumptions!$G$348,$C506),AP517))),0)</f>
        <v>0</v>
      </c>
      <c r="AR517" s="39">
        <f>+IFERROR(-ABS(IF(EDATE(_xlfn.XLOOKUP(1,$H504:$BE504,$H$4:$BE$4),12*Assumptions!$G$348+12)=AR$4,0,IF(AQ504=1,PMT(Assumptions!$G$346,Assumptions!$G$348,$C506),AQ517))),0)</f>
        <v>0</v>
      </c>
      <c r="AS517" s="39">
        <f>+IFERROR(-ABS(IF(EDATE(_xlfn.XLOOKUP(1,$H504:$BE504,$H$4:$BE$4),12*Assumptions!$G$348+12)=AS$4,0,IF(AR504=1,PMT(Assumptions!$G$346,Assumptions!$G$348,$C506),AR517))),0)</f>
        <v>0</v>
      </c>
      <c r="AT517" s="39">
        <f>+IFERROR(-ABS(IF(EDATE(_xlfn.XLOOKUP(1,$H504:$BE504,$H$4:$BE$4),12*Assumptions!$G$348+12)=AT$4,0,IF(AS504=1,PMT(Assumptions!$G$346,Assumptions!$G$348,$C506),AS517))),0)</f>
        <v>0</v>
      </c>
      <c r="AU517" s="39">
        <f>+IFERROR(-ABS(IF(EDATE(_xlfn.XLOOKUP(1,$H504:$BE504,$H$4:$BE$4),12*Assumptions!$G$348+12)=AU$4,0,IF(AT504=1,PMT(Assumptions!$G$346,Assumptions!$G$348,$C506),AT517))),0)</f>
        <v>0</v>
      </c>
      <c r="AV517" s="39">
        <f>+IFERROR(-ABS(IF(EDATE(_xlfn.XLOOKUP(1,$H504:$BE504,$H$4:$BE$4),12*Assumptions!$G$348+12)=AV$4,0,IF(AU504=1,PMT(Assumptions!$G$346,Assumptions!$G$348,$C506),AU517))),0)</f>
        <v>0</v>
      </c>
      <c r="AW517" s="39">
        <f>+IFERROR(-ABS(IF(EDATE(_xlfn.XLOOKUP(1,$H504:$BE504,$H$4:$BE$4),12*Assumptions!$G$348+12)=AW$4,0,IF(AV504=1,PMT(Assumptions!$G$346,Assumptions!$G$348,$C506),AV517))),0)</f>
        <v>0</v>
      </c>
      <c r="AX517" s="39">
        <f>+IFERROR(-ABS(IF(EDATE(_xlfn.XLOOKUP(1,$H504:$BE504,$H$4:$BE$4),12*Assumptions!$G$348+12)=AX$4,0,IF(AW504=1,PMT(Assumptions!$G$346,Assumptions!$G$348,$C506),AW517))),0)</f>
        <v>0</v>
      </c>
      <c r="AY517" s="39">
        <f>+IFERROR(-ABS(IF(EDATE(_xlfn.XLOOKUP(1,$H504:$BE504,$H$4:$BE$4),12*Assumptions!$G$348+12)=AY$4,0,IF(AX504=1,PMT(Assumptions!$G$346,Assumptions!$G$348,$C506),AX517))),0)</f>
        <v>0</v>
      </c>
      <c r="AZ517" s="39">
        <f>+IFERROR(-ABS(IF(EDATE(_xlfn.XLOOKUP(1,$H504:$BE504,$H$4:$BE$4),12*Assumptions!$G$348+12)=AZ$4,0,IF(AY504=1,PMT(Assumptions!$G$346,Assumptions!$G$348,$C506),AY517))),0)</f>
        <v>0</v>
      </c>
      <c r="BA517" s="39">
        <f>+IFERROR(-ABS(IF(EDATE(_xlfn.XLOOKUP(1,$H504:$BE504,$H$4:$BE$4),12*Assumptions!$G$348+12)=BA$4,0,IF(AZ504=1,PMT(Assumptions!$G$346,Assumptions!$G$348,$C506),AZ517))),0)</f>
        <v>0</v>
      </c>
      <c r="BB517" s="39">
        <f>+IFERROR(-ABS(IF(EDATE(_xlfn.XLOOKUP(1,$H504:$BE504,$H$4:$BE$4),12*Assumptions!$G$348+12)=BB$4,0,IF(BA504=1,PMT(Assumptions!$G$346,Assumptions!$G$348,$C506),BA517))),0)</f>
        <v>0</v>
      </c>
      <c r="BC517" s="39">
        <f>+IFERROR(-ABS(IF(EDATE(_xlfn.XLOOKUP(1,$H504:$BE504,$H$4:$BE$4),12*Assumptions!$G$348+12)=BC$4,0,IF(BB504=1,PMT(Assumptions!$G$346,Assumptions!$G$348,$C506),BB517))),0)</f>
        <v>0</v>
      </c>
      <c r="BD517" s="39">
        <f>+IFERROR(-ABS(IF(EDATE(_xlfn.XLOOKUP(1,$H504:$BE504,$H$4:$BE$4),12*Assumptions!$G$348+12)=BD$4,0,IF(BC504=1,PMT(Assumptions!$G$346,Assumptions!$G$348,$C506),BC517))),0)</f>
        <v>0</v>
      </c>
      <c r="BE517" s="39">
        <f>+IFERROR(-ABS(IF(EDATE(_xlfn.XLOOKUP(1,$H504:$BE504,$H$4:$BE$4),12*Assumptions!$G$348+12)=BE$4,0,IF(BD504=1,PMT(Assumptions!$G$346,Assumptions!$G$348,$C506),BD517))),0)</f>
        <v>0</v>
      </c>
      <c r="BF517" s="39">
        <f>+IFERROR(-ABS(IF(EDATE(_xlfn.XLOOKUP(1,$H504:$BE504,$H$4:$BE$4),12*Assumptions!$G$348+12)=BF$4,0,IF(BE504=1,PMT(Assumptions!$G$346,Assumptions!$G$348,$C506),BE517))),0)</f>
        <v>0</v>
      </c>
      <c r="BG517" s="39">
        <f>+IFERROR(-ABS(IF(EDATE(_xlfn.XLOOKUP(1,$H504:$BE504,$H$4:$BE$4),12*Assumptions!$G$348+12)=BG$4,0,IF(BF504=1,PMT(Assumptions!$G$346,Assumptions!$G$348,$C506),BF517))),0)</f>
        <v>0</v>
      </c>
      <c r="BH517" s="39">
        <f>+IFERROR(-ABS(IF(EDATE(_xlfn.XLOOKUP(1,$H504:$BE504,$H$4:$BE$4),12*Assumptions!$G$348+12)=BH$4,0,IF(BG504=1,PMT(Assumptions!$G$346,Assumptions!$G$348,$C506),BG517))),0)</f>
        <v>0</v>
      </c>
      <c r="BI517" s="39">
        <f>+IFERROR(-ABS(IF(EDATE(_xlfn.XLOOKUP(1,$H504:$BE504,$H$4:$BE$4),12*Assumptions!$G$348+12)=BI$4,0,IF(BH504=1,PMT(Assumptions!$G$346,Assumptions!$G$348,$C506),BH517))),0)</f>
        <v>0</v>
      </c>
      <c r="BJ517" s="39">
        <f>+IFERROR(-ABS(IF(EDATE(_xlfn.XLOOKUP(1,$H504:$BE504,$H$4:$BE$4),12*Assumptions!$G$348+12)=BJ$4,0,IF(BI504=1,PMT(Assumptions!$G$346,Assumptions!$G$348,$C506),BI517))),0)</f>
        <v>0</v>
      </c>
      <c r="BK517" s="39">
        <f>+IFERROR(-ABS(IF(EDATE(_xlfn.XLOOKUP(1,$H504:$BE504,$H$4:$BE$4),12*Assumptions!$G$348+12)=BK$4,0,IF(BJ504=1,PMT(Assumptions!$G$346,Assumptions!$G$348,$C506),BJ517))),0)</f>
        <v>0</v>
      </c>
      <c r="BL517" s="39">
        <f>+IFERROR(-ABS(IF(EDATE(_xlfn.XLOOKUP(1,$H504:$BE504,$H$4:$BE$4),12*Assumptions!$G$348+12)=BL$4,0,IF(BK504=1,PMT(Assumptions!$G$346,Assumptions!$G$348,$C506),BK517))),0)</f>
        <v>0</v>
      </c>
      <c r="BM517" s="39">
        <f>+IFERROR(-ABS(IF(EDATE(_xlfn.XLOOKUP(1,$H504:$BE504,$H$4:$BE$4),12*Assumptions!$G$348+12)=BM$4,0,IF(BL504=1,PMT(Assumptions!$G$346,Assumptions!$G$348,$C506),BL517))),0)</f>
        <v>0</v>
      </c>
      <c r="BN517" s="39">
        <f>+IFERROR(-ABS(IF(EDATE(_xlfn.XLOOKUP(1,$H504:$BE504,$H$4:$BE$4),12*Assumptions!$G$348+12)=BN$4,0,IF(BM504=1,PMT(Assumptions!$G$346,Assumptions!$G$348,$C506),BM517))),0)</f>
        <v>0</v>
      </c>
      <c r="BO517" s="39">
        <f>+IFERROR(-ABS(IF(EDATE(_xlfn.XLOOKUP(1,$H504:$BE504,$H$4:$BE$4),12*Assumptions!$G$348+12)=BO$4,0,IF(BN504=1,PMT(Assumptions!$G$346,Assumptions!$G$348,$C506),BN517))),0)</f>
        <v>0</v>
      </c>
      <c r="BP517" s="39">
        <f>+IFERROR(-ABS(IF(EDATE(_xlfn.XLOOKUP(1,$H504:$BE504,$H$4:$BE$4),12*Assumptions!$G$348+12)=BP$4,0,IF(BO504=1,PMT(Assumptions!$G$346,Assumptions!$G$348,$C506),BO517))),0)</f>
        <v>0</v>
      </c>
      <c r="BQ517" s="39">
        <f>+IFERROR(-ABS(IF(EDATE(_xlfn.XLOOKUP(1,$H504:$BE504,$H$4:$BE$4),12*Assumptions!$G$348+12)=BQ$4,0,IF(BP504=1,PMT(Assumptions!$G$346,Assumptions!$G$348,$C506),BP517))),0)</f>
        <v>0</v>
      </c>
      <c r="BR517" s="39">
        <f>+IFERROR(-ABS(IF(EDATE(_xlfn.XLOOKUP(1,$H504:$BE504,$H$4:$BE$4),12*Assumptions!$G$348+12)=BR$4,0,IF(BQ504=1,PMT(Assumptions!$G$346,Assumptions!$G$348,$C506),BQ517))),0)</f>
        <v>0</v>
      </c>
      <c r="BS517" s="39">
        <f>+IFERROR(-ABS(IF(EDATE(_xlfn.XLOOKUP(1,$H504:$BE504,$H$4:$BE$4),12*Assumptions!$G$348+12)=BS$4,0,IF(BR504=1,PMT(Assumptions!$G$346,Assumptions!$G$348,$C506),BR517))),0)</f>
        <v>0</v>
      </c>
      <c r="BT517" s="39">
        <f>+IFERROR(-ABS(IF(EDATE(_xlfn.XLOOKUP(1,$H504:$BE504,$H$4:$BE$4),12*Assumptions!$G$348+12)=BT$4,0,IF(BS504=1,PMT(Assumptions!$G$346,Assumptions!$G$348,$C506),BS517))),0)</f>
        <v>0</v>
      </c>
      <c r="BU517" s="39">
        <f>+IFERROR(-ABS(IF(EDATE(_xlfn.XLOOKUP(1,$H504:$BE504,$H$4:$BE$4),12*Assumptions!$G$348+12)=BU$4,0,IF(BT504=1,PMT(Assumptions!$G$346,Assumptions!$G$348,$C506),BT517))),0)</f>
        <v>0</v>
      </c>
      <c r="BV517" s="39">
        <f>+IFERROR(-ABS(IF(EDATE(_xlfn.XLOOKUP(1,$H504:$BE504,$H$4:$BE$4),12*Assumptions!$G$348+12)=BV$4,0,IF(BU504=1,PMT(Assumptions!$G$346,Assumptions!$G$348,$C506),BU517))),0)</f>
        <v>0</v>
      </c>
      <c r="BW517" s="39">
        <f>+IFERROR(-ABS(IF(EDATE(_xlfn.XLOOKUP(1,$H504:$BE504,$H$4:$BE$4),12*Assumptions!$G$348+12)=BW$4,0,IF(BV504=1,PMT(Assumptions!$G$346,Assumptions!$G$348,$C506),BV517))),0)</f>
        <v>0</v>
      </c>
      <c r="BX517" s="39">
        <f>+IFERROR(-ABS(IF(EDATE(_xlfn.XLOOKUP(1,$H504:$BE504,$H$4:$BE$4),12*Assumptions!$G$348+12)=BX$4,0,IF(BW504=1,PMT(Assumptions!$G$346,Assumptions!$G$348,$C506),BW517))),0)</f>
        <v>0</v>
      </c>
      <c r="BY517" s="39">
        <f>+IFERROR(-ABS(IF(EDATE(_xlfn.XLOOKUP(1,$H504:$BE504,$H$4:$BE$4),12*Assumptions!$G$348+12)=BY$4,0,IF(BX504=1,PMT(Assumptions!$G$346,Assumptions!$G$348,$C506),BX517))),0)</f>
        <v>0</v>
      </c>
    </row>
    <row r="518" spans="2:77" outlineLevel="1">
      <c r="E518" s="24"/>
      <c r="F518" s="23"/>
      <c r="G518" s="24"/>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c r="BB518" s="39"/>
      <c r="BC518" s="39"/>
      <c r="BD518" s="39"/>
      <c r="BE518" s="39"/>
      <c r="BF518" s="39"/>
      <c r="BG518" s="39"/>
      <c r="BH518" s="39"/>
      <c r="BI518" s="39"/>
      <c r="BJ518" s="39"/>
      <c r="BK518" s="39"/>
      <c r="BL518" s="39"/>
      <c r="BM518" s="39"/>
      <c r="BN518" s="39"/>
      <c r="BO518" s="39"/>
      <c r="BP518" s="39"/>
      <c r="BQ518" s="39"/>
      <c r="BR518" s="39"/>
      <c r="BS518" s="39"/>
      <c r="BT518" s="39"/>
      <c r="BU518" s="39"/>
      <c r="BV518" s="39"/>
      <c r="BW518" s="39"/>
      <c r="BX518" s="39"/>
      <c r="BY518" s="39"/>
    </row>
    <row r="519" spans="2:77" outlineLevel="1">
      <c r="E519" t="s">
        <v>524</v>
      </c>
      <c r="F519" s="80" t="str">
        <f>+Assumptions!$G$8</f>
        <v>USD</v>
      </c>
      <c r="H519" s="32">
        <f>MIN(+H491-H507+H505,0)</f>
        <v>0</v>
      </c>
      <c r="I519" s="32">
        <f t="shared" ref="I519:BT519" si="935">MIN(+I491-I507+I505,0)</f>
        <v>0</v>
      </c>
      <c r="J519" s="32">
        <f t="shared" si="935"/>
        <v>0</v>
      </c>
      <c r="K519" s="32">
        <f t="shared" si="935"/>
        <v>0</v>
      </c>
      <c r="L519" s="32">
        <f t="shared" si="935"/>
        <v>0</v>
      </c>
      <c r="M519" s="32">
        <f t="shared" si="935"/>
        <v>0</v>
      </c>
      <c r="N519" s="32">
        <f t="shared" si="935"/>
        <v>0</v>
      </c>
      <c r="O519" s="32">
        <f t="shared" si="935"/>
        <v>0</v>
      </c>
      <c r="P519" s="32">
        <f t="shared" si="935"/>
        <v>0</v>
      </c>
      <c r="Q519" s="32">
        <f t="shared" si="935"/>
        <v>0</v>
      </c>
      <c r="R519" s="32">
        <f t="shared" si="935"/>
        <v>0</v>
      </c>
      <c r="S519" s="32">
        <f t="shared" si="935"/>
        <v>0</v>
      </c>
      <c r="T519" s="32">
        <f t="shared" si="935"/>
        <v>0</v>
      </c>
      <c r="U519" s="32">
        <f t="shared" si="935"/>
        <v>0</v>
      </c>
      <c r="V519" s="32">
        <f t="shared" si="935"/>
        <v>0</v>
      </c>
      <c r="W519" s="32">
        <f t="shared" si="935"/>
        <v>0</v>
      </c>
      <c r="X519" s="32">
        <f t="shared" si="935"/>
        <v>0</v>
      </c>
      <c r="Y519" s="32">
        <f t="shared" si="935"/>
        <v>0</v>
      </c>
      <c r="Z519" s="32">
        <f t="shared" si="935"/>
        <v>0</v>
      </c>
      <c r="AA519" s="32">
        <f t="shared" si="935"/>
        <v>0</v>
      </c>
      <c r="AB519" s="32">
        <f t="shared" si="935"/>
        <v>0</v>
      </c>
      <c r="AC519" s="32">
        <f t="shared" si="935"/>
        <v>0</v>
      </c>
      <c r="AD519" s="32">
        <f t="shared" si="935"/>
        <v>0</v>
      </c>
      <c r="AE519" s="32">
        <f t="shared" si="935"/>
        <v>0</v>
      </c>
      <c r="AF519" s="32">
        <f t="shared" si="935"/>
        <v>0</v>
      </c>
      <c r="AG519" s="32">
        <f t="shared" si="935"/>
        <v>0</v>
      </c>
      <c r="AH519" s="32">
        <f t="shared" si="935"/>
        <v>0</v>
      </c>
      <c r="AI519" s="32">
        <f t="shared" si="935"/>
        <v>0</v>
      </c>
      <c r="AJ519" s="32">
        <f t="shared" si="935"/>
        <v>0</v>
      </c>
      <c r="AK519" s="32">
        <f t="shared" si="935"/>
        <v>0</v>
      </c>
      <c r="AL519" s="32">
        <f t="shared" si="935"/>
        <v>0</v>
      </c>
      <c r="AM519" s="32">
        <f t="shared" si="935"/>
        <v>0</v>
      </c>
      <c r="AN519" s="32">
        <f t="shared" si="935"/>
        <v>0</v>
      </c>
      <c r="AO519" s="32">
        <f t="shared" si="935"/>
        <v>0</v>
      </c>
      <c r="AP519" s="32">
        <f t="shared" si="935"/>
        <v>0</v>
      </c>
      <c r="AQ519" s="32">
        <f t="shared" si="935"/>
        <v>0</v>
      </c>
      <c r="AR519" s="32">
        <f t="shared" si="935"/>
        <v>0</v>
      </c>
      <c r="AS519" s="32">
        <f t="shared" si="935"/>
        <v>0</v>
      </c>
      <c r="AT519" s="32">
        <f t="shared" si="935"/>
        <v>0</v>
      </c>
      <c r="AU519" s="32">
        <f t="shared" si="935"/>
        <v>0</v>
      </c>
      <c r="AV519" s="32">
        <f t="shared" si="935"/>
        <v>0</v>
      </c>
      <c r="AW519" s="32">
        <f t="shared" si="935"/>
        <v>0</v>
      </c>
      <c r="AX519" s="32">
        <f t="shared" si="935"/>
        <v>0</v>
      </c>
      <c r="AY519" s="32">
        <f t="shared" si="935"/>
        <v>0</v>
      </c>
      <c r="AZ519" s="32">
        <f t="shared" si="935"/>
        <v>0</v>
      </c>
      <c r="BA519" s="32">
        <f t="shared" si="935"/>
        <v>0</v>
      </c>
      <c r="BB519" s="32">
        <f t="shared" si="935"/>
        <v>0</v>
      </c>
      <c r="BC519" s="32">
        <f t="shared" si="935"/>
        <v>0</v>
      </c>
      <c r="BD519" s="32">
        <f t="shared" si="935"/>
        <v>0</v>
      </c>
      <c r="BE519" s="32">
        <f t="shared" si="935"/>
        <v>0</v>
      </c>
      <c r="BF519" s="32">
        <f t="shared" si="935"/>
        <v>0</v>
      </c>
      <c r="BG519" s="32">
        <f t="shared" si="935"/>
        <v>0</v>
      </c>
      <c r="BH519" s="32">
        <f t="shared" si="935"/>
        <v>0</v>
      </c>
      <c r="BI519" s="32">
        <f t="shared" si="935"/>
        <v>0</v>
      </c>
      <c r="BJ519" s="32">
        <f t="shared" si="935"/>
        <v>0</v>
      </c>
      <c r="BK519" s="32">
        <f t="shared" si="935"/>
        <v>0</v>
      </c>
      <c r="BL519" s="32">
        <f t="shared" si="935"/>
        <v>0</v>
      </c>
      <c r="BM519" s="32">
        <f t="shared" si="935"/>
        <v>0</v>
      </c>
      <c r="BN519" s="32">
        <f t="shared" si="935"/>
        <v>0</v>
      </c>
      <c r="BO519" s="32">
        <f t="shared" si="935"/>
        <v>0</v>
      </c>
      <c r="BP519" s="32">
        <f t="shared" si="935"/>
        <v>0</v>
      </c>
      <c r="BQ519" s="32">
        <f t="shared" si="935"/>
        <v>0</v>
      </c>
      <c r="BR519" s="32">
        <f t="shared" si="935"/>
        <v>0</v>
      </c>
      <c r="BS519" s="32">
        <f t="shared" si="935"/>
        <v>0</v>
      </c>
      <c r="BT519" s="32">
        <f t="shared" si="935"/>
        <v>0</v>
      </c>
      <c r="BU519" s="32">
        <f t="shared" ref="BU519:BY519" si="936">MIN(+BU491-BU507+BU505,0)</f>
        <v>0</v>
      </c>
      <c r="BV519" s="32">
        <f t="shared" si="936"/>
        <v>0</v>
      </c>
      <c r="BW519" s="32">
        <f t="shared" si="936"/>
        <v>0</v>
      </c>
      <c r="BX519" s="32">
        <f t="shared" si="936"/>
        <v>0</v>
      </c>
      <c r="BY519" s="32">
        <f t="shared" si="936"/>
        <v>0</v>
      </c>
    </row>
    <row r="520" spans="2:77" outlineLevel="1">
      <c r="F520" s="80"/>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row>
    <row r="521" spans="2:77" outlineLevel="1">
      <c r="F521" s="43"/>
      <c r="BF521" s="33"/>
      <c r="BG521" s="33"/>
      <c r="BH521" s="33"/>
      <c r="BI521" s="33"/>
      <c r="BJ521" s="33"/>
      <c r="BK521" s="33"/>
      <c r="BL521" s="33"/>
      <c r="BM521" s="33"/>
      <c r="BN521" s="33"/>
      <c r="BO521" s="33"/>
      <c r="BP521" s="33"/>
      <c r="BQ521" s="33"/>
      <c r="BR521" s="33"/>
      <c r="BS521" s="33"/>
      <c r="BT521" s="33"/>
      <c r="BU521" s="33"/>
      <c r="BV521" s="33"/>
      <c r="BW521" s="33"/>
      <c r="BX521" s="33"/>
      <c r="BY521" s="33"/>
    </row>
    <row r="522" spans="2:77" outlineLevel="1">
      <c r="F522" s="43"/>
      <c r="BF522" s="33"/>
      <c r="BG522" s="33"/>
      <c r="BH522" s="33"/>
      <c r="BI522" s="33"/>
      <c r="BJ522" s="33"/>
      <c r="BK522" s="33"/>
      <c r="BL522" s="33"/>
      <c r="BM522" s="33"/>
      <c r="BN522" s="33"/>
      <c r="BO522" s="33"/>
      <c r="BP522" s="33"/>
      <c r="BQ522" s="33"/>
      <c r="BR522" s="33"/>
      <c r="BS522" s="33"/>
      <c r="BT522" s="33"/>
      <c r="BU522" s="33"/>
      <c r="BV522" s="33"/>
      <c r="BW522" s="33"/>
      <c r="BX522" s="33"/>
      <c r="BY522" s="33"/>
    </row>
    <row r="523" spans="2:77" s="19" customFormat="1" ht="12.75" outlineLevel="1">
      <c r="B523" s="18" t="s">
        <v>526</v>
      </c>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row>
    <row r="524" spans="2:77" outlineLevel="1">
      <c r="BF524" s="33"/>
      <c r="BG524" s="33"/>
      <c r="BH524" s="33"/>
      <c r="BI524" s="33"/>
      <c r="BJ524" s="33"/>
      <c r="BK524" s="33"/>
      <c r="BL524" s="33"/>
      <c r="BM524" s="33"/>
      <c r="BN524" s="33"/>
      <c r="BO524" s="33"/>
      <c r="BP524" s="33"/>
      <c r="BQ524" s="33"/>
      <c r="BR524" s="33"/>
      <c r="BS524" s="33"/>
      <c r="BT524" s="33"/>
      <c r="BU524" s="33"/>
      <c r="BV524" s="33"/>
      <c r="BW524" s="33"/>
      <c r="BX524" s="33"/>
      <c r="BY524" s="33"/>
    </row>
    <row r="525" spans="2:77" s="33" customFormat="1" ht="15" outlineLevel="1">
      <c r="B525"/>
      <c r="C525" s="22"/>
      <c r="D525"/>
      <c r="E525" t="s">
        <v>450</v>
      </c>
      <c r="F525" s="23" t="s">
        <v>466</v>
      </c>
      <c r="G525"/>
      <c r="H525" s="33">
        <f t="shared" ref="H525:AM525" si="937">+H447</f>
        <v>0</v>
      </c>
      <c r="I525" s="33">
        <f t="shared" si="937"/>
        <v>0</v>
      </c>
      <c r="J525" s="33">
        <f t="shared" si="937"/>
        <v>0</v>
      </c>
      <c r="K525" s="33">
        <f t="shared" si="937"/>
        <v>-22081280.510030404</v>
      </c>
      <c r="L525" s="33">
        <f t="shared" si="937"/>
        <v>-22522906.120231014</v>
      </c>
      <c r="M525" s="33">
        <f t="shared" si="937"/>
        <v>-22973364.242635634</v>
      </c>
      <c r="N525" s="33">
        <f t="shared" si="937"/>
        <v>-23432831.52748834</v>
      </c>
      <c r="O525" s="33">
        <f t="shared" si="937"/>
        <v>-23901488.15803811</v>
      </c>
      <c r="P525" s="33">
        <f t="shared" si="937"/>
        <v>-24379517.921198871</v>
      </c>
      <c r="Q525" s="33">
        <f t="shared" si="937"/>
        <v>-24867108.279622853</v>
      </c>
      <c r="R525" s="33">
        <f t="shared" si="937"/>
        <v>-25364450.445215303</v>
      </c>
      <c r="S525" s="33">
        <f t="shared" si="937"/>
        <v>-25871739.454119615</v>
      </c>
      <c r="T525" s="33">
        <f t="shared" si="937"/>
        <v>-26389174.243202005</v>
      </c>
      <c r="U525" s="33">
        <f t="shared" si="937"/>
        <v>-26916957.728066046</v>
      </c>
      <c r="V525" s="33">
        <f t="shared" si="937"/>
        <v>-27455296.882627361</v>
      </c>
      <c r="W525" s="33">
        <f t="shared" si="937"/>
        <v>-28004402.820279911</v>
      </c>
      <c r="X525" s="33">
        <f t="shared" si="937"/>
        <v>-28564490.876685515</v>
      </c>
      <c r="Y525" s="33">
        <f t="shared" si="937"/>
        <v>-29135780.69421922</v>
      </c>
      <c r="Z525" s="33">
        <f t="shared" si="937"/>
        <v>0</v>
      </c>
      <c r="AA525" s="33">
        <f t="shared" si="937"/>
        <v>0</v>
      </c>
      <c r="AB525" s="33">
        <f t="shared" si="937"/>
        <v>0</v>
      </c>
      <c r="AC525" s="33">
        <f t="shared" si="937"/>
        <v>0</v>
      </c>
      <c r="AD525" s="33">
        <f t="shared" si="937"/>
        <v>0</v>
      </c>
      <c r="AE525" s="33">
        <f t="shared" si="937"/>
        <v>0</v>
      </c>
      <c r="AF525" s="33">
        <f t="shared" si="937"/>
        <v>0</v>
      </c>
      <c r="AG525" s="33">
        <f t="shared" si="937"/>
        <v>0</v>
      </c>
      <c r="AH525" s="33">
        <f t="shared" si="937"/>
        <v>0</v>
      </c>
      <c r="AI525" s="33">
        <f t="shared" si="937"/>
        <v>0</v>
      </c>
      <c r="AJ525" s="33">
        <f t="shared" si="937"/>
        <v>0</v>
      </c>
      <c r="AK525" s="33">
        <f t="shared" si="937"/>
        <v>0</v>
      </c>
      <c r="AL525" s="33">
        <f t="shared" si="937"/>
        <v>0</v>
      </c>
      <c r="AM525" s="33">
        <f t="shared" si="937"/>
        <v>0</v>
      </c>
      <c r="AN525" s="33">
        <f t="shared" ref="AN525:BS525" si="938">+AN447</f>
        <v>0</v>
      </c>
      <c r="AO525" s="33">
        <f t="shared" si="938"/>
        <v>0</v>
      </c>
      <c r="AP525" s="33">
        <f t="shared" si="938"/>
        <v>0</v>
      </c>
      <c r="AQ525" s="33">
        <f t="shared" si="938"/>
        <v>0</v>
      </c>
      <c r="AR525" s="33">
        <f t="shared" si="938"/>
        <v>0</v>
      </c>
      <c r="AS525" s="33">
        <f t="shared" si="938"/>
        <v>0</v>
      </c>
      <c r="AT525" s="33">
        <f t="shared" si="938"/>
        <v>0</v>
      </c>
      <c r="AU525" s="33">
        <f t="shared" si="938"/>
        <v>0</v>
      </c>
      <c r="AV525" s="33">
        <f t="shared" si="938"/>
        <v>0</v>
      </c>
      <c r="AW525" s="33">
        <f t="shared" si="938"/>
        <v>0</v>
      </c>
      <c r="AX525" s="33">
        <f t="shared" si="938"/>
        <v>0</v>
      </c>
      <c r="AY525" s="33">
        <f t="shared" si="938"/>
        <v>0</v>
      </c>
      <c r="AZ525" s="33">
        <f t="shared" si="938"/>
        <v>0</v>
      </c>
      <c r="BA525" s="33">
        <f t="shared" si="938"/>
        <v>0</v>
      </c>
      <c r="BB525" s="33">
        <f t="shared" si="938"/>
        <v>0</v>
      </c>
      <c r="BC525" s="33">
        <f t="shared" si="938"/>
        <v>0</v>
      </c>
      <c r="BD525" s="33">
        <f t="shared" si="938"/>
        <v>0</v>
      </c>
      <c r="BE525" s="33">
        <f t="shared" si="938"/>
        <v>0</v>
      </c>
      <c r="BF525" s="33">
        <f t="shared" si="938"/>
        <v>0</v>
      </c>
      <c r="BG525" s="33">
        <f t="shared" si="938"/>
        <v>0</v>
      </c>
      <c r="BH525" s="33">
        <f t="shared" si="938"/>
        <v>0</v>
      </c>
      <c r="BI525" s="33">
        <f t="shared" si="938"/>
        <v>0</v>
      </c>
      <c r="BJ525" s="33">
        <f t="shared" si="938"/>
        <v>0</v>
      </c>
      <c r="BK525" s="33">
        <f t="shared" si="938"/>
        <v>0</v>
      </c>
      <c r="BL525" s="33">
        <f t="shared" si="938"/>
        <v>0</v>
      </c>
      <c r="BM525" s="33">
        <f t="shared" si="938"/>
        <v>0</v>
      </c>
      <c r="BN525" s="33">
        <f t="shared" si="938"/>
        <v>0</v>
      </c>
      <c r="BO525" s="33">
        <f t="shared" si="938"/>
        <v>0</v>
      </c>
      <c r="BP525" s="33">
        <f t="shared" si="938"/>
        <v>0</v>
      </c>
      <c r="BQ525" s="33">
        <f t="shared" si="938"/>
        <v>0</v>
      </c>
      <c r="BR525" s="33">
        <f t="shared" si="938"/>
        <v>0</v>
      </c>
      <c r="BS525" s="33">
        <f t="shared" si="938"/>
        <v>0</v>
      </c>
      <c r="BT525" s="33">
        <f t="shared" ref="BT525:BY525" si="939">+BT447</f>
        <v>0</v>
      </c>
      <c r="BU525" s="33">
        <f t="shared" si="939"/>
        <v>0</v>
      </c>
      <c r="BV525" s="33">
        <f t="shared" si="939"/>
        <v>0</v>
      </c>
      <c r="BW525" s="33">
        <f t="shared" si="939"/>
        <v>0</v>
      </c>
      <c r="BX525" s="33">
        <f t="shared" si="939"/>
        <v>0</v>
      </c>
      <c r="BY525" s="33">
        <f t="shared" si="939"/>
        <v>0</v>
      </c>
    </row>
    <row r="526" spans="2:77" s="33" customFormat="1" ht="15" outlineLevel="1">
      <c r="B526" s="22"/>
      <c r="C526" s="22"/>
      <c r="D526"/>
      <c r="E526" t="s">
        <v>467</v>
      </c>
      <c r="F526" s="23" t="s">
        <v>466</v>
      </c>
      <c r="G526"/>
      <c r="H526" s="33">
        <f>+$C439/Assumptions!$G$316*H$434</f>
        <v>0</v>
      </c>
      <c r="I526" s="33">
        <f>+$C439/Assumptions!$G$316*I$434</f>
        <v>0</v>
      </c>
      <c r="J526" s="33">
        <f>+$C439/Assumptions!$G$316*J$434</f>
        <v>0</v>
      </c>
      <c r="K526" s="33">
        <f>+$C439/Assumptions!$G$316*K$434</f>
        <v>-27335264.987999998</v>
      </c>
      <c r="L526" s="33">
        <f>+$C439/Assumptions!$G$316*L$434</f>
        <v>-27335264.987999998</v>
      </c>
      <c r="M526" s="33">
        <f>+$C439/Assumptions!$G$316*M$434</f>
        <v>-27335264.987999998</v>
      </c>
      <c r="N526" s="33">
        <f>+$C439/Assumptions!$G$316*N$434</f>
        <v>-27335264.987999998</v>
      </c>
      <c r="O526" s="33">
        <f>+$C439/Assumptions!$G$316*O$434</f>
        <v>-27335264.987999998</v>
      </c>
      <c r="P526" s="33">
        <f>+$C439/Assumptions!$G$316*P$434</f>
        <v>-27335264.987999998</v>
      </c>
      <c r="Q526" s="33">
        <f>+$C439/Assumptions!$G$316*Q$434</f>
        <v>-27335264.987999998</v>
      </c>
      <c r="R526" s="33">
        <f>+$C439/Assumptions!$G$316*R$434</f>
        <v>-27335264.987999998</v>
      </c>
      <c r="S526" s="33">
        <f>+$C439/Assumptions!$G$316*S$434</f>
        <v>-27335264.987999998</v>
      </c>
      <c r="T526" s="33">
        <f>+$C439/Assumptions!$G$316*T$434</f>
        <v>-27335264.987999998</v>
      </c>
      <c r="U526" s="33">
        <f>+$C439/Assumptions!$G$316*U$434</f>
        <v>-27335264.987999998</v>
      </c>
      <c r="V526" s="33">
        <f>+$C439/Assumptions!$G$316*V$434</f>
        <v>-27335264.987999998</v>
      </c>
      <c r="W526" s="33">
        <f>+$C439/Assumptions!$G$316*W$434</f>
        <v>-27335264.987999998</v>
      </c>
      <c r="X526" s="33">
        <f>+$C439/Assumptions!$G$316*X$434</f>
        <v>-27335264.987999998</v>
      </c>
      <c r="Y526" s="33">
        <f>+$C439/Assumptions!$G$316*Y$434</f>
        <v>-27335264.987999998</v>
      </c>
      <c r="Z526" s="33">
        <f>+$C439/Assumptions!$G$316*Z$434</f>
        <v>0</v>
      </c>
      <c r="AA526" s="33">
        <f>+$C439/Assumptions!$G$316*AA$434</f>
        <v>0</v>
      </c>
      <c r="AB526" s="33">
        <f>+$C439/Assumptions!$G$316*AB$434</f>
        <v>0</v>
      </c>
      <c r="AC526" s="33">
        <f>+$C439/Assumptions!$G$316*AC$434</f>
        <v>0</v>
      </c>
      <c r="AD526" s="33">
        <f>+$C439/Assumptions!$G$316*AD$434</f>
        <v>0</v>
      </c>
      <c r="AE526" s="33">
        <f>+$C439/Assumptions!$G$316*AE$434</f>
        <v>0</v>
      </c>
      <c r="AF526" s="33">
        <f>+$C439/Assumptions!$G$316*AF$434</f>
        <v>0</v>
      </c>
      <c r="AG526" s="33">
        <f>+$C439/Assumptions!$G$316*AG$434</f>
        <v>0</v>
      </c>
      <c r="AH526" s="33">
        <f>+$C439/Assumptions!$G$316*AH$434</f>
        <v>0</v>
      </c>
      <c r="AI526" s="33">
        <f>+$C439/Assumptions!$G$316*AI$434</f>
        <v>0</v>
      </c>
      <c r="AJ526" s="33">
        <f>+$C439/Assumptions!$G$316*AJ$434</f>
        <v>0</v>
      </c>
      <c r="AK526" s="33">
        <f>+$C439/Assumptions!$G$316*AK$434</f>
        <v>0</v>
      </c>
      <c r="AL526" s="33">
        <f>+$C439/Assumptions!$G$316*AL$434</f>
        <v>0</v>
      </c>
      <c r="AM526" s="33">
        <f>+$C439/Assumptions!$G$316*AM$434</f>
        <v>0</v>
      </c>
      <c r="AN526" s="33">
        <f>+$C439/Assumptions!$G$316*AN$434</f>
        <v>0</v>
      </c>
      <c r="AO526" s="33">
        <f>+$C439/Assumptions!$G$316*AO$434</f>
        <v>0</v>
      </c>
      <c r="AP526" s="33">
        <f>+$C439/Assumptions!$G$316*AP$434</f>
        <v>0</v>
      </c>
      <c r="AQ526" s="33">
        <f>+$C439/Assumptions!$G$316*AQ$434</f>
        <v>0</v>
      </c>
      <c r="AR526" s="33">
        <f>+$C439/Assumptions!$G$316*AR$434</f>
        <v>0</v>
      </c>
      <c r="AS526" s="33">
        <f>+$C439/Assumptions!$G$316*AS$434</f>
        <v>0</v>
      </c>
      <c r="AT526" s="33">
        <f>+$C439/Assumptions!$G$316*AT$434</f>
        <v>0</v>
      </c>
      <c r="AU526" s="33">
        <f>+$C439/Assumptions!$G$316*AU$434</f>
        <v>0</v>
      </c>
      <c r="AV526" s="33">
        <f>+$C439/Assumptions!$G$316*AV$434</f>
        <v>0</v>
      </c>
      <c r="AW526" s="33">
        <f>+$C439/Assumptions!$G$316*AW$434</f>
        <v>0</v>
      </c>
      <c r="AX526" s="33">
        <f>+$C439/Assumptions!$G$316*AX$434</f>
        <v>0</v>
      </c>
      <c r="AY526" s="33">
        <f>+$C439/Assumptions!$G$316*AY$434</f>
        <v>0</v>
      </c>
      <c r="AZ526" s="33">
        <f>+$C439/Assumptions!$G$316*AZ$434</f>
        <v>0</v>
      </c>
      <c r="BA526" s="33">
        <f>+$C439/Assumptions!$G$316*BA$434</f>
        <v>0</v>
      </c>
      <c r="BB526" s="33">
        <f>+$C439/Assumptions!$G$316*BB$434</f>
        <v>0</v>
      </c>
      <c r="BC526" s="33">
        <f>+$C439/Assumptions!$G$316*BC$434</f>
        <v>0</v>
      </c>
      <c r="BD526" s="33">
        <f>+$C439/Assumptions!$G$316*BD$434</f>
        <v>0</v>
      </c>
      <c r="BE526" s="33">
        <f>+$C439/Assumptions!$G$316*BE$434</f>
        <v>0</v>
      </c>
      <c r="BF526" s="33">
        <f>+$C439/Assumptions!$G$316*BF$434</f>
        <v>0</v>
      </c>
      <c r="BG526" s="33">
        <f>+$C439/Assumptions!$G$316*BG$434</f>
        <v>0</v>
      </c>
      <c r="BH526" s="33">
        <f>+$C439/Assumptions!$G$316*BH$434</f>
        <v>0</v>
      </c>
      <c r="BI526" s="33">
        <f>+$C439/Assumptions!$G$316*BI$434</f>
        <v>0</v>
      </c>
      <c r="BJ526" s="33">
        <f>+$C439/Assumptions!$G$316*BJ$434</f>
        <v>0</v>
      </c>
      <c r="BK526" s="33">
        <f>+$C439/Assumptions!$G$316*BK$434</f>
        <v>0</v>
      </c>
      <c r="BL526" s="33">
        <f>+$C439/Assumptions!$G$316*BL$434</f>
        <v>0</v>
      </c>
      <c r="BM526" s="33">
        <f>+$C439/Assumptions!$G$316*BM$434</f>
        <v>0</v>
      </c>
      <c r="BN526" s="33">
        <f>+$C439/Assumptions!$G$316*BN$434</f>
        <v>0</v>
      </c>
      <c r="BO526" s="33">
        <f>+$C439/Assumptions!$G$316*BO$434</f>
        <v>0</v>
      </c>
      <c r="BP526" s="33">
        <f>+$C439/Assumptions!$G$316*BP$434</f>
        <v>0</v>
      </c>
      <c r="BQ526" s="33">
        <f>+$C439/Assumptions!$G$316*BQ$434</f>
        <v>0</v>
      </c>
      <c r="BR526" s="33">
        <f>+$C439/Assumptions!$G$316*BR$434</f>
        <v>0</v>
      </c>
      <c r="BS526" s="33">
        <f>+$C439/Assumptions!$G$316*BS$434</f>
        <v>0</v>
      </c>
      <c r="BT526" s="33">
        <f>+$C439/Assumptions!$G$316*BT$434</f>
        <v>0</v>
      </c>
      <c r="BU526" s="33">
        <f>+$C439/Assumptions!$G$316*BU$434</f>
        <v>0</v>
      </c>
      <c r="BV526" s="33">
        <f>+$C439/Assumptions!$G$316*BV$434</f>
        <v>0</v>
      </c>
      <c r="BW526" s="33">
        <f>+$C439/Assumptions!$G$316*BW$434</f>
        <v>0</v>
      </c>
      <c r="BX526" s="33">
        <f>+$C439/Assumptions!$G$316*BX$434</f>
        <v>0</v>
      </c>
      <c r="BY526" s="33">
        <f>+$C439/Assumptions!$G$316*BY$434</f>
        <v>0</v>
      </c>
    </row>
    <row r="527" spans="2:77" s="33" customFormat="1" ht="15" outlineLevel="1">
      <c r="B527" s="22"/>
      <c r="C527" s="22"/>
      <c r="D527"/>
      <c r="E527" t="s">
        <v>468</v>
      </c>
      <c r="F527" s="23" t="s">
        <v>466</v>
      </c>
      <c r="G527"/>
      <c r="H527" s="33">
        <f t="shared" ref="H527:AM527" ca="1" si="940">+H474+H506</f>
        <v>0</v>
      </c>
      <c r="I527" s="33">
        <f t="shared" ca="1" si="940"/>
        <v>0</v>
      </c>
      <c r="J527" s="33">
        <f t="shared" ca="1" si="940"/>
        <v>-2236663.4010220799</v>
      </c>
      <c r="K527" s="33">
        <f t="shared" ca="1" si="940"/>
        <v>-14020917.946884796</v>
      </c>
      <c r="L527" s="33">
        <f t="shared" ca="1" si="940"/>
        <v>-13396542.780992398</v>
      </c>
      <c r="M527" s="33">
        <f t="shared" ca="1" si="940"/>
        <v>-12736334.724329434</v>
      </c>
      <c r="N527" s="33">
        <f t="shared" ca="1" si="940"/>
        <v>-12038237.327294584</v>
      </c>
      <c r="O527" s="33">
        <f t="shared" ca="1" si="940"/>
        <v>-11300076.120643903</v>
      </c>
      <c r="P527" s="33">
        <f t="shared" ca="1" si="940"/>
        <v>-10519551.842343539</v>
      </c>
      <c r="Q527" s="33">
        <f t="shared" ca="1" si="940"/>
        <v>-9694233.2757115196</v>
      </c>
      <c r="R527" s="33">
        <f t="shared" ca="1" si="940"/>
        <v>-8821549.6765404865</v>
      </c>
      <c r="S527" s="33">
        <f t="shared" ca="1" si="940"/>
        <v>-7898782.7656130288</v>
      </c>
      <c r="T527" s="33">
        <f t="shared" ca="1" si="940"/>
        <v>-6923058.2616674434</v>
      </c>
      <c r="U527" s="33">
        <f t="shared" ca="1" si="940"/>
        <v>-5891336.9284404218</v>
      </c>
      <c r="V527" s="33">
        <f t="shared" ca="1" si="940"/>
        <v>-4800405.107899501</v>
      </c>
      <c r="W527" s="33">
        <f t="shared" ca="1" si="940"/>
        <v>-3646864.7101777364</v>
      </c>
      <c r="X527" s="33">
        <f t="shared" ca="1" si="940"/>
        <v>-2427122.6290307199</v>
      </c>
      <c r="Y527" s="33">
        <f t="shared" ca="1" si="940"/>
        <v>-1137379.5498466762</v>
      </c>
      <c r="Z527" s="33">
        <f t="shared" ca="1" si="940"/>
        <v>-1.2827664613723756E-9</v>
      </c>
      <c r="AA527" s="33">
        <f t="shared" ca="1" si="940"/>
        <v>-1.2827664613723756E-9</v>
      </c>
      <c r="AB527" s="33">
        <f t="shared" ca="1" si="940"/>
        <v>-1.2827664613723756E-9</v>
      </c>
      <c r="AC527" s="33">
        <f t="shared" ca="1" si="940"/>
        <v>-1.2827664613723756E-9</v>
      </c>
      <c r="AD527" s="33">
        <f t="shared" ca="1" si="940"/>
        <v>-1.2827664613723756E-9</v>
      </c>
      <c r="AE527" s="33">
        <f t="shared" ca="1" si="940"/>
        <v>-1.2827664613723756E-9</v>
      </c>
      <c r="AF527" s="33">
        <f t="shared" ca="1" si="940"/>
        <v>-1.2827664613723756E-9</v>
      </c>
      <c r="AG527" s="33">
        <f t="shared" ca="1" si="940"/>
        <v>-1.2827664613723756E-9</v>
      </c>
      <c r="AH527" s="33">
        <f t="shared" ca="1" si="940"/>
        <v>-1.2827664613723756E-9</v>
      </c>
      <c r="AI527" s="33">
        <f t="shared" ca="1" si="940"/>
        <v>-1.2827664613723756E-9</v>
      </c>
      <c r="AJ527" s="33">
        <f t="shared" ca="1" si="940"/>
        <v>-1.2827664613723756E-9</v>
      </c>
      <c r="AK527" s="33">
        <f t="shared" ca="1" si="940"/>
        <v>-1.2827664613723756E-9</v>
      </c>
      <c r="AL527" s="33">
        <f t="shared" ca="1" si="940"/>
        <v>-1.2827664613723756E-9</v>
      </c>
      <c r="AM527" s="33">
        <f t="shared" ca="1" si="940"/>
        <v>-1.2827664613723756E-9</v>
      </c>
      <c r="AN527" s="33">
        <f t="shared" ref="AN527:BS527" ca="1" si="941">+AN474+AN506</f>
        <v>-1.2827664613723756E-9</v>
      </c>
      <c r="AO527" s="33">
        <f t="shared" ca="1" si="941"/>
        <v>-1.2827664613723756E-9</v>
      </c>
      <c r="AP527" s="33">
        <f t="shared" ca="1" si="941"/>
        <v>-1.2827664613723756E-9</v>
      </c>
      <c r="AQ527" s="33">
        <f t="shared" ca="1" si="941"/>
        <v>-1.2827664613723756E-9</v>
      </c>
      <c r="AR527" s="33">
        <f t="shared" ca="1" si="941"/>
        <v>-1.2827664613723756E-9</v>
      </c>
      <c r="AS527" s="33">
        <f t="shared" ca="1" si="941"/>
        <v>-1.2827664613723756E-9</v>
      </c>
      <c r="AT527" s="33">
        <f t="shared" ca="1" si="941"/>
        <v>-1.2827664613723756E-9</v>
      </c>
      <c r="AU527" s="33">
        <f t="shared" ca="1" si="941"/>
        <v>-1.2827664613723756E-9</v>
      </c>
      <c r="AV527" s="33">
        <f t="shared" ca="1" si="941"/>
        <v>-1.2827664613723756E-9</v>
      </c>
      <c r="AW527" s="33">
        <f t="shared" ca="1" si="941"/>
        <v>-1.2827664613723756E-9</v>
      </c>
      <c r="AX527" s="33">
        <f t="shared" ca="1" si="941"/>
        <v>-1.2827664613723756E-9</v>
      </c>
      <c r="AY527" s="33">
        <f t="shared" ca="1" si="941"/>
        <v>-1.2827664613723756E-9</v>
      </c>
      <c r="AZ527" s="33">
        <f t="shared" ca="1" si="941"/>
        <v>-1.2827664613723756E-9</v>
      </c>
      <c r="BA527" s="33">
        <f t="shared" ca="1" si="941"/>
        <v>-1.2827664613723756E-9</v>
      </c>
      <c r="BB527" s="33">
        <f t="shared" ca="1" si="941"/>
        <v>-1.2827664613723756E-9</v>
      </c>
      <c r="BC527" s="33">
        <f t="shared" ca="1" si="941"/>
        <v>-1.2827664613723756E-9</v>
      </c>
      <c r="BD527" s="33">
        <f t="shared" ca="1" si="941"/>
        <v>-1.2827664613723756E-9</v>
      </c>
      <c r="BE527" s="33">
        <f t="shared" ca="1" si="941"/>
        <v>-1.2827664613723756E-9</v>
      </c>
      <c r="BF527" s="33">
        <f t="shared" ca="1" si="941"/>
        <v>-1.2827664613723756E-9</v>
      </c>
      <c r="BG527" s="33">
        <f t="shared" ca="1" si="941"/>
        <v>-1.2827664613723756E-9</v>
      </c>
      <c r="BH527" s="33">
        <f t="shared" ca="1" si="941"/>
        <v>-1.2827664613723756E-9</v>
      </c>
      <c r="BI527" s="33">
        <f t="shared" ca="1" si="941"/>
        <v>-1.2827664613723756E-9</v>
      </c>
      <c r="BJ527" s="33">
        <f t="shared" ca="1" si="941"/>
        <v>-1.2827664613723756E-9</v>
      </c>
      <c r="BK527" s="33">
        <f t="shared" ca="1" si="941"/>
        <v>-1.2827664613723756E-9</v>
      </c>
      <c r="BL527" s="33">
        <f t="shared" ca="1" si="941"/>
        <v>-1.2827664613723756E-9</v>
      </c>
      <c r="BM527" s="33">
        <f t="shared" ca="1" si="941"/>
        <v>-1.2827664613723756E-9</v>
      </c>
      <c r="BN527" s="33">
        <f t="shared" ca="1" si="941"/>
        <v>-1.2827664613723756E-9</v>
      </c>
      <c r="BO527" s="33">
        <f t="shared" ca="1" si="941"/>
        <v>-1.2827664613723756E-9</v>
      </c>
      <c r="BP527" s="33">
        <f t="shared" ca="1" si="941"/>
        <v>-1.2827664613723756E-9</v>
      </c>
      <c r="BQ527" s="33">
        <f t="shared" ca="1" si="941"/>
        <v>-1.2827664613723756E-9</v>
      </c>
      <c r="BR527" s="33">
        <f t="shared" ca="1" si="941"/>
        <v>-1.2827664613723756E-9</v>
      </c>
      <c r="BS527" s="33">
        <f t="shared" ca="1" si="941"/>
        <v>-1.2827664613723756E-9</v>
      </c>
      <c r="BT527" s="33">
        <f t="shared" ref="BT527:BY527" ca="1" si="942">+BT474+BT506</f>
        <v>-1.2827664613723756E-9</v>
      </c>
      <c r="BU527" s="33">
        <f t="shared" ca="1" si="942"/>
        <v>-1.2827664613723756E-9</v>
      </c>
      <c r="BV527" s="33">
        <f t="shared" ca="1" si="942"/>
        <v>-1.2827664613723756E-9</v>
      </c>
      <c r="BW527" s="33">
        <f t="shared" ca="1" si="942"/>
        <v>-1.2827664613723756E-9</v>
      </c>
      <c r="BX527" s="33">
        <f t="shared" ca="1" si="942"/>
        <v>-1.2827664613723756E-9</v>
      </c>
      <c r="BY527" s="33">
        <f t="shared" ca="1" si="942"/>
        <v>-1.2827664613723756E-9</v>
      </c>
    </row>
    <row r="528" spans="2:77" s="37" customFormat="1" ht="15" outlineLevel="1">
      <c r="B528"/>
      <c r="C528" s="22"/>
      <c r="D528" s="22"/>
      <c r="E528" s="22" t="s">
        <v>469</v>
      </c>
      <c r="F528" s="36" t="s">
        <v>470</v>
      </c>
      <c r="G528" s="22"/>
      <c r="H528" s="37">
        <f ca="1">+SUM(H525:H527)</f>
        <v>0</v>
      </c>
      <c r="I528" s="37">
        <f t="shared" ref="I528:BT528" ca="1" si="943">+SUM(I525:I527)</f>
        <v>0</v>
      </c>
      <c r="J528" s="37">
        <f t="shared" ca="1" si="943"/>
        <v>-2236663.4010220799</v>
      </c>
      <c r="K528" s="37">
        <f t="shared" ca="1" si="943"/>
        <v>-63437463.444915198</v>
      </c>
      <c r="L528" s="37">
        <f t="shared" ca="1" si="943"/>
        <v>-63254713.889223404</v>
      </c>
      <c r="M528" s="37">
        <f t="shared" ca="1" si="943"/>
        <v>-63044963.954965062</v>
      </c>
      <c r="N528" s="37">
        <f t="shared" ca="1" si="943"/>
        <v>-62806333.84278293</v>
      </c>
      <c r="O528" s="37">
        <f t="shared" ca="1" si="943"/>
        <v>-62536829.266682014</v>
      </c>
      <c r="P528" s="37">
        <f t="shared" ca="1" si="943"/>
        <v>-62234334.751542404</v>
      </c>
      <c r="Q528" s="37">
        <f t="shared" ca="1" si="943"/>
        <v>-61896606.543334372</v>
      </c>
      <c r="R528" s="37">
        <f t="shared" ca="1" si="943"/>
        <v>-61521265.109755792</v>
      </c>
      <c r="S528" s="37">
        <f t="shared" ca="1" si="943"/>
        <v>-61105787.20773264</v>
      </c>
      <c r="T528" s="37">
        <f t="shared" ca="1" si="943"/>
        <v>-60647497.492869452</v>
      </c>
      <c r="U528" s="37">
        <f t="shared" ca="1" si="943"/>
        <v>-60143559.644506469</v>
      </c>
      <c r="V528" s="37">
        <f t="shared" ca="1" si="943"/>
        <v>-59590966.97852686</v>
      </c>
      <c r="W528" s="37">
        <f t="shared" ca="1" si="943"/>
        <v>-58986532.518457644</v>
      </c>
      <c r="X528" s="37">
        <f t="shared" ca="1" si="943"/>
        <v>-58326878.493716232</v>
      </c>
      <c r="Y528" s="37">
        <f t="shared" ca="1" si="943"/>
        <v>-57608425.232065901</v>
      </c>
      <c r="Z528" s="37">
        <f t="shared" ca="1" si="943"/>
        <v>-1.2827664613723756E-9</v>
      </c>
      <c r="AA528" s="37">
        <f t="shared" ca="1" si="943"/>
        <v>-1.2827664613723756E-9</v>
      </c>
      <c r="AB528" s="37">
        <f t="shared" ca="1" si="943"/>
        <v>-1.2827664613723756E-9</v>
      </c>
      <c r="AC528" s="37">
        <f t="shared" ca="1" si="943"/>
        <v>-1.2827664613723756E-9</v>
      </c>
      <c r="AD528" s="37">
        <f t="shared" ca="1" si="943"/>
        <v>-1.2827664613723756E-9</v>
      </c>
      <c r="AE528" s="37">
        <f t="shared" ca="1" si="943"/>
        <v>-1.2827664613723756E-9</v>
      </c>
      <c r="AF528" s="37">
        <f t="shared" ca="1" si="943"/>
        <v>-1.2827664613723756E-9</v>
      </c>
      <c r="AG528" s="37">
        <f t="shared" ca="1" si="943"/>
        <v>-1.2827664613723756E-9</v>
      </c>
      <c r="AH528" s="37">
        <f t="shared" ca="1" si="943"/>
        <v>-1.2827664613723756E-9</v>
      </c>
      <c r="AI528" s="37">
        <f t="shared" ca="1" si="943"/>
        <v>-1.2827664613723756E-9</v>
      </c>
      <c r="AJ528" s="37">
        <f t="shared" ca="1" si="943"/>
        <v>-1.2827664613723756E-9</v>
      </c>
      <c r="AK528" s="37">
        <f t="shared" ca="1" si="943"/>
        <v>-1.2827664613723756E-9</v>
      </c>
      <c r="AL528" s="37">
        <f t="shared" ca="1" si="943"/>
        <v>-1.2827664613723756E-9</v>
      </c>
      <c r="AM528" s="37">
        <f t="shared" ca="1" si="943"/>
        <v>-1.2827664613723756E-9</v>
      </c>
      <c r="AN528" s="37">
        <f t="shared" ca="1" si="943"/>
        <v>-1.2827664613723756E-9</v>
      </c>
      <c r="AO528" s="37">
        <f t="shared" ca="1" si="943"/>
        <v>-1.2827664613723756E-9</v>
      </c>
      <c r="AP528" s="37">
        <f t="shared" ca="1" si="943"/>
        <v>-1.2827664613723756E-9</v>
      </c>
      <c r="AQ528" s="37">
        <f t="shared" ca="1" si="943"/>
        <v>-1.2827664613723756E-9</v>
      </c>
      <c r="AR528" s="37">
        <f t="shared" ca="1" si="943"/>
        <v>-1.2827664613723756E-9</v>
      </c>
      <c r="AS528" s="37">
        <f t="shared" ca="1" si="943"/>
        <v>-1.2827664613723756E-9</v>
      </c>
      <c r="AT528" s="37">
        <f t="shared" ca="1" si="943"/>
        <v>-1.2827664613723756E-9</v>
      </c>
      <c r="AU528" s="37">
        <f t="shared" ca="1" si="943"/>
        <v>-1.2827664613723756E-9</v>
      </c>
      <c r="AV528" s="37">
        <f t="shared" ca="1" si="943"/>
        <v>-1.2827664613723756E-9</v>
      </c>
      <c r="AW528" s="37">
        <f t="shared" ca="1" si="943"/>
        <v>-1.2827664613723756E-9</v>
      </c>
      <c r="AX528" s="37">
        <f t="shared" ca="1" si="943"/>
        <v>-1.2827664613723756E-9</v>
      </c>
      <c r="AY528" s="37">
        <f t="shared" ca="1" si="943"/>
        <v>-1.2827664613723756E-9</v>
      </c>
      <c r="AZ528" s="37">
        <f t="shared" ca="1" si="943"/>
        <v>-1.2827664613723756E-9</v>
      </c>
      <c r="BA528" s="37">
        <f t="shared" ca="1" si="943"/>
        <v>-1.2827664613723756E-9</v>
      </c>
      <c r="BB528" s="37">
        <f t="shared" ca="1" si="943"/>
        <v>-1.2827664613723756E-9</v>
      </c>
      <c r="BC528" s="37">
        <f t="shared" ca="1" si="943"/>
        <v>-1.2827664613723756E-9</v>
      </c>
      <c r="BD528" s="37">
        <f t="shared" ca="1" si="943"/>
        <v>-1.2827664613723756E-9</v>
      </c>
      <c r="BE528" s="37">
        <f t="shared" ca="1" si="943"/>
        <v>-1.2827664613723756E-9</v>
      </c>
      <c r="BF528" s="37">
        <f t="shared" ca="1" si="943"/>
        <v>-1.2827664613723756E-9</v>
      </c>
      <c r="BG528" s="37">
        <f t="shared" ca="1" si="943"/>
        <v>-1.2827664613723756E-9</v>
      </c>
      <c r="BH528" s="37">
        <f t="shared" ca="1" si="943"/>
        <v>-1.2827664613723756E-9</v>
      </c>
      <c r="BI528" s="37">
        <f t="shared" ca="1" si="943"/>
        <v>-1.2827664613723756E-9</v>
      </c>
      <c r="BJ528" s="37">
        <f t="shared" ca="1" si="943"/>
        <v>-1.2827664613723756E-9</v>
      </c>
      <c r="BK528" s="37">
        <f t="shared" ca="1" si="943"/>
        <v>-1.2827664613723756E-9</v>
      </c>
      <c r="BL528" s="37">
        <f t="shared" ca="1" si="943"/>
        <v>-1.2827664613723756E-9</v>
      </c>
      <c r="BM528" s="37">
        <f t="shared" ca="1" si="943"/>
        <v>-1.2827664613723756E-9</v>
      </c>
      <c r="BN528" s="37">
        <f t="shared" ca="1" si="943"/>
        <v>-1.2827664613723756E-9</v>
      </c>
      <c r="BO528" s="37">
        <f t="shared" ca="1" si="943"/>
        <v>-1.2827664613723756E-9</v>
      </c>
      <c r="BP528" s="37">
        <f t="shared" ca="1" si="943"/>
        <v>-1.2827664613723756E-9</v>
      </c>
      <c r="BQ528" s="37">
        <f t="shared" ca="1" si="943"/>
        <v>-1.2827664613723756E-9</v>
      </c>
      <c r="BR528" s="37">
        <f t="shared" ca="1" si="943"/>
        <v>-1.2827664613723756E-9</v>
      </c>
      <c r="BS528" s="37">
        <f t="shared" ca="1" si="943"/>
        <v>-1.2827664613723756E-9</v>
      </c>
      <c r="BT528" s="37">
        <f t="shared" ca="1" si="943"/>
        <v>-1.2827664613723756E-9</v>
      </c>
      <c r="BU528" s="37">
        <f t="shared" ref="BU528:BY528" ca="1" si="944">+SUM(BU525:BU527)</f>
        <v>-1.2827664613723756E-9</v>
      </c>
      <c r="BV528" s="37">
        <f t="shared" ca="1" si="944"/>
        <v>-1.2827664613723756E-9</v>
      </c>
      <c r="BW528" s="37">
        <f t="shared" ca="1" si="944"/>
        <v>-1.2827664613723756E-9</v>
      </c>
      <c r="BX528" s="37">
        <f t="shared" ca="1" si="944"/>
        <v>-1.2827664613723756E-9</v>
      </c>
      <c r="BY528" s="37">
        <f t="shared" ca="1" si="944"/>
        <v>-1.2827664613723756E-9</v>
      </c>
    </row>
    <row r="529" spans="2:77" s="33" customFormat="1" ht="15" outlineLevel="1">
      <c r="B529" s="22"/>
      <c r="C529" s="22"/>
      <c r="D529"/>
      <c r="E529" s="25" t="s">
        <v>471</v>
      </c>
      <c r="F529" s="30" t="s">
        <v>466</v>
      </c>
      <c r="G529" s="25"/>
      <c r="H529" s="34">
        <f ca="1">+H528*-Assumptions!$G$261</f>
        <v>0</v>
      </c>
      <c r="I529" s="34">
        <f ca="1">+I528*-Assumptions!$G$261</f>
        <v>0</v>
      </c>
      <c r="J529" s="34">
        <f ca="1">+J528*-Assumptions!$G$261</f>
        <v>0</v>
      </c>
      <c r="K529" s="34">
        <f ca="1">+K528*-Assumptions!$G$261</f>
        <v>0</v>
      </c>
      <c r="L529" s="34">
        <f ca="1">+L528*-Assumptions!$G$261</f>
        <v>0</v>
      </c>
      <c r="M529" s="34">
        <f ca="1">+M528*-Assumptions!$G$261</f>
        <v>0</v>
      </c>
      <c r="N529" s="34">
        <f ca="1">+N528*-Assumptions!$G$261</f>
        <v>0</v>
      </c>
      <c r="O529" s="34">
        <f ca="1">+O528*-Assumptions!$G$261</f>
        <v>0</v>
      </c>
      <c r="P529" s="34">
        <f ca="1">+P528*-Assumptions!$G$261</f>
        <v>0</v>
      </c>
      <c r="Q529" s="34">
        <f ca="1">+Q528*-Assumptions!$G$261</f>
        <v>0</v>
      </c>
      <c r="R529" s="34">
        <f ca="1">+R528*-Assumptions!$G$261</f>
        <v>0</v>
      </c>
      <c r="S529" s="34">
        <f ca="1">+S528*-Assumptions!$G$261</f>
        <v>0</v>
      </c>
      <c r="T529" s="34">
        <f ca="1">+T528*-Assumptions!$G$261</f>
        <v>0</v>
      </c>
      <c r="U529" s="34">
        <f ca="1">+U528*-Assumptions!$G$261</f>
        <v>0</v>
      </c>
      <c r="V529" s="34">
        <f ca="1">+V528*-Assumptions!$G$261</f>
        <v>0</v>
      </c>
      <c r="W529" s="34">
        <f ca="1">+W528*-Assumptions!$G$261</f>
        <v>0</v>
      </c>
      <c r="X529" s="34">
        <f ca="1">+X528*-Assumptions!$G$261</f>
        <v>0</v>
      </c>
      <c r="Y529" s="34">
        <f ca="1">+Y528*-Assumptions!$G$261</f>
        <v>0</v>
      </c>
      <c r="Z529" s="34">
        <f ca="1">+Z528*-Assumptions!$G$261</f>
        <v>0</v>
      </c>
      <c r="AA529" s="34">
        <f ca="1">+AA528*-Assumptions!$G$261</f>
        <v>0</v>
      </c>
      <c r="AB529" s="34">
        <f ca="1">+AB528*-Assumptions!$G$261</f>
        <v>0</v>
      </c>
      <c r="AC529" s="34">
        <f ca="1">+AC528*-Assumptions!$G$261</f>
        <v>0</v>
      </c>
      <c r="AD529" s="34">
        <f ca="1">+AD528*-Assumptions!$G$261</f>
        <v>0</v>
      </c>
      <c r="AE529" s="34">
        <f ca="1">+AE528*-Assumptions!$G$261</f>
        <v>0</v>
      </c>
      <c r="AF529" s="34">
        <f ca="1">+AF528*-Assumptions!$G$261</f>
        <v>0</v>
      </c>
      <c r="AG529" s="34">
        <f ca="1">+AG528*-Assumptions!$G$261</f>
        <v>0</v>
      </c>
      <c r="AH529" s="34">
        <f ca="1">+AH528*-Assumptions!$G$261</f>
        <v>0</v>
      </c>
      <c r="AI529" s="34">
        <f ca="1">+AI528*-Assumptions!$G$261</f>
        <v>0</v>
      </c>
      <c r="AJ529" s="34">
        <f ca="1">+AJ528*-Assumptions!$G$261</f>
        <v>0</v>
      </c>
      <c r="AK529" s="34">
        <f ca="1">+AK528*-Assumptions!$G$261</f>
        <v>0</v>
      </c>
      <c r="AL529" s="34">
        <f ca="1">+AL528*-Assumptions!$G$261</f>
        <v>0</v>
      </c>
      <c r="AM529" s="34">
        <f ca="1">+AM528*-Assumptions!$G$261</f>
        <v>0</v>
      </c>
      <c r="AN529" s="34">
        <f ca="1">+AN528*-Assumptions!$G$261</f>
        <v>0</v>
      </c>
      <c r="AO529" s="34">
        <f ca="1">+AO528*-Assumptions!$G$261</f>
        <v>0</v>
      </c>
      <c r="AP529" s="34">
        <f ca="1">+AP528*-Assumptions!$G$261</f>
        <v>0</v>
      </c>
      <c r="AQ529" s="34">
        <f ca="1">+AQ528*-Assumptions!$G$261</f>
        <v>0</v>
      </c>
      <c r="AR529" s="34">
        <f ca="1">+AR528*-Assumptions!$G$261</f>
        <v>0</v>
      </c>
      <c r="AS529" s="34">
        <f ca="1">+AS528*-Assumptions!$G$261</f>
        <v>0</v>
      </c>
      <c r="AT529" s="34">
        <f ca="1">+AT528*-Assumptions!$G$261</f>
        <v>0</v>
      </c>
      <c r="AU529" s="34">
        <f ca="1">+AU528*-Assumptions!$G$261</f>
        <v>0</v>
      </c>
      <c r="AV529" s="34">
        <f ca="1">+AV528*-Assumptions!$G$261</f>
        <v>0</v>
      </c>
      <c r="AW529" s="34">
        <f ca="1">+AW528*-Assumptions!$G$261</f>
        <v>0</v>
      </c>
      <c r="AX529" s="34">
        <f ca="1">+AX528*-Assumptions!$G$261</f>
        <v>0</v>
      </c>
      <c r="AY529" s="34">
        <f ca="1">+AY528*-Assumptions!$G$261</f>
        <v>0</v>
      </c>
      <c r="AZ529" s="34">
        <f ca="1">+AZ528*-Assumptions!$G$261</f>
        <v>0</v>
      </c>
      <c r="BA529" s="34">
        <f ca="1">+BA528*-Assumptions!$G$261</f>
        <v>0</v>
      </c>
      <c r="BB529" s="34">
        <f ca="1">+BB528*-Assumptions!$G$261</f>
        <v>0</v>
      </c>
      <c r="BC529" s="34">
        <f ca="1">+BC528*-Assumptions!$G$261</f>
        <v>0</v>
      </c>
      <c r="BD529" s="34">
        <f ca="1">+BD528*-Assumptions!$G$261</f>
        <v>0</v>
      </c>
      <c r="BE529" s="34">
        <f ca="1">+BE528*-Assumptions!$G$261</f>
        <v>0</v>
      </c>
      <c r="BF529" s="34">
        <f ca="1">+BF528*-Assumptions!$G$261</f>
        <v>0</v>
      </c>
      <c r="BG529" s="34">
        <f ca="1">+BG528*-Assumptions!$G$261</f>
        <v>0</v>
      </c>
      <c r="BH529" s="34">
        <f ca="1">+BH528*-Assumptions!$G$261</f>
        <v>0</v>
      </c>
      <c r="BI529" s="34">
        <f ca="1">+BI528*-Assumptions!$G$261</f>
        <v>0</v>
      </c>
      <c r="BJ529" s="34">
        <f ca="1">+BJ528*-Assumptions!$G$261</f>
        <v>0</v>
      </c>
      <c r="BK529" s="34">
        <f ca="1">+BK528*-Assumptions!$G$261</f>
        <v>0</v>
      </c>
      <c r="BL529" s="34">
        <f ca="1">+BL528*-Assumptions!$G$261</f>
        <v>0</v>
      </c>
      <c r="BM529" s="34">
        <f ca="1">+BM528*-Assumptions!$G$261</f>
        <v>0</v>
      </c>
      <c r="BN529" s="34">
        <f ca="1">+BN528*-Assumptions!$G$261</f>
        <v>0</v>
      </c>
      <c r="BO529" s="34">
        <f ca="1">+BO528*-Assumptions!$G$261</f>
        <v>0</v>
      </c>
      <c r="BP529" s="34">
        <f ca="1">+BP528*-Assumptions!$G$261</f>
        <v>0</v>
      </c>
      <c r="BQ529" s="34">
        <f ca="1">+BQ528*-Assumptions!$G$261</f>
        <v>0</v>
      </c>
      <c r="BR529" s="34">
        <f ca="1">+BR528*-Assumptions!$G$261</f>
        <v>0</v>
      </c>
      <c r="BS529" s="34">
        <f ca="1">+BS528*-Assumptions!$G$261</f>
        <v>0</v>
      </c>
      <c r="BT529" s="34">
        <f ca="1">+BT528*-Assumptions!$G$261</f>
        <v>0</v>
      </c>
      <c r="BU529" s="34">
        <f ca="1">+BU528*-Assumptions!$G$261</f>
        <v>0</v>
      </c>
      <c r="BV529" s="34">
        <f ca="1">+BV528*-Assumptions!$G$261</f>
        <v>0</v>
      </c>
      <c r="BW529" s="34">
        <f ca="1">+BW528*-Assumptions!$G$261</f>
        <v>0</v>
      </c>
      <c r="BX529" s="34">
        <f ca="1">+BX528*-Assumptions!$G$261</f>
        <v>0</v>
      </c>
      <c r="BY529" s="34">
        <f ca="1">+BY528*-Assumptions!$G$261</f>
        <v>0</v>
      </c>
    </row>
    <row r="530" spans="2:77" s="37" customFormat="1" ht="15" outlineLevel="1">
      <c r="B530" s="22"/>
      <c r="C530" s="22"/>
      <c r="D530" s="22"/>
      <c r="E530" s="22" t="s">
        <v>527</v>
      </c>
      <c r="F530" s="36" t="s">
        <v>470</v>
      </c>
      <c r="G530" s="22"/>
      <c r="H530" s="37">
        <f ca="1">+SUM(H528:H529)</f>
        <v>0</v>
      </c>
      <c r="I530" s="37">
        <f t="shared" ref="I530:BT530" ca="1" si="945">+SUM(I528:I529)</f>
        <v>0</v>
      </c>
      <c r="J530" s="37">
        <f t="shared" ca="1" si="945"/>
        <v>-2236663.4010220799</v>
      </c>
      <c r="K530" s="37">
        <f t="shared" ca="1" si="945"/>
        <v>-63437463.444915198</v>
      </c>
      <c r="L530" s="37">
        <f t="shared" ca="1" si="945"/>
        <v>-63254713.889223404</v>
      </c>
      <c r="M530" s="37">
        <f t="shared" ca="1" si="945"/>
        <v>-63044963.954965062</v>
      </c>
      <c r="N530" s="37">
        <f t="shared" ca="1" si="945"/>
        <v>-62806333.84278293</v>
      </c>
      <c r="O530" s="37">
        <f t="shared" ca="1" si="945"/>
        <v>-62536829.266682014</v>
      </c>
      <c r="P530" s="37">
        <f t="shared" ca="1" si="945"/>
        <v>-62234334.751542404</v>
      </c>
      <c r="Q530" s="37">
        <f t="shared" ca="1" si="945"/>
        <v>-61896606.543334372</v>
      </c>
      <c r="R530" s="37">
        <f t="shared" ca="1" si="945"/>
        <v>-61521265.109755792</v>
      </c>
      <c r="S530" s="37">
        <f t="shared" ca="1" si="945"/>
        <v>-61105787.20773264</v>
      </c>
      <c r="T530" s="37">
        <f t="shared" ca="1" si="945"/>
        <v>-60647497.492869452</v>
      </c>
      <c r="U530" s="37">
        <f t="shared" ca="1" si="945"/>
        <v>-60143559.644506469</v>
      </c>
      <c r="V530" s="37">
        <f t="shared" ca="1" si="945"/>
        <v>-59590966.97852686</v>
      </c>
      <c r="W530" s="37">
        <f t="shared" ca="1" si="945"/>
        <v>-58986532.518457644</v>
      </c>
      <c r="X530" s="37">
        <f t="shared" ca="1" si="945"/>
        <v>-58326878.493716232</v>
      </c>
      <c r="Y530" s="37">
        <f t="shared" ca="1" si="945"/>
        <v>-57608425.232065901</v>
      </c>
      <c r="Z530" s="37">
        <f t="shared" ca="1" si="945"/>
        <v>-1.2827664613723756E-9</v>
      </c>
      <c r="AA530" s="37">
        <f t="shared" ca="1" si="945"/>
        <v>-1.2827664613723756E-9</v>
      </c>
      <c r="AB530" s="37">
        <f t="shared" ca="1" si="945"/>
        <v>-1.2827664613723756E-9</v>
      </c>
      <c r="AC530" s="37">
        <f t="shared" ca="1" si="945"/>
        <v>-1.2827664613723756E-9</v>
      </c>
      <c r="AD530" s="37">
        <f t="shared" ca="1" si="945"/>
        <v>-1.2827664613723756E-9</v>
      </c>
      <c r="AE530" s="37">
        <f t="shared" ca="1" si="945"/>
        <v>-1.2827664613723756E-9</v>
      </c>
      <c r="AF530" s="37">
        <f t="shared" ca="1" si="945"/>
        <v>-1.2827664613723756E-9</v>
      </c>
      <c r="AG530" s="37">
        <f t="shared" ca="1" si="945"/>
        <v>-1.2827664613723756E-9</v>
      </c>
      <c r="AH530" s="37">
        <f t="shared" ca="1" si="945"/>
        <v>-1.2827664613723756E-9</v>
      </c>
      <c r="AI530" s="37">
        <f t="shared" ca="1" si="945"/>
        <v>-1.2827664613723756E-9</v>
      </c>
      <c r="AJ530" s="37">
        <f t="shared" ca="1" si="945"/>
        <v>-1.2827664613723756E-9</v>
      </c>
      <c r="AK530" s="37">
        <f t="shared" ca="1" si="945"/>
        <v>-1.2827664613723756E-9</v>
      </c>
      <c r="AL530" s="37">
        <f t="shared" ca="1" si="945"/>
        <v>-1.2827664613723756E-9</v>
      </c>
      <c r="AM530" s="37">
        <f t="shared" ca="1" si="945"/>
        <v>-1.2827664613723756E-9</v>
      </c>
      <c r="AN530" s="37">
        <f t="shared" ca="1" si="945"/>
        <v>-1.2827664613723756E-9</v>
      </c>
      <c r="AO530" s="37">
        <f t="shared" ca="1" si="945"/>
        <v>-1.2827664613723756E-9</v>
      </c>
      <c r="AP530" s="37">
        <f t="shared" ca="1" si="945"/>
        <v>-1.2827664613723756E-9</v>
      </c>
      <c r="AQ530" s="37">
        <f t="shared" ca="1" si="945"/>
        <v>-1.2827664613723756E-9</v>
      </c>
      <c r="AR530" s="37">
        <f t="shared" ca="1" si="945"/>
        <v>-1.2827664613723756E-9</v>
      </c>
      <c r="AS530" s="37">
        <f t="shared" ca="1" si="945"/>
        <v>-1.2827664613723756E-9</v>
      </c>
      <c r="AT530" s="37">
        <f t="shared" ca="1" si="945"/>
        <v>-1.2827664613723756E-9</v>
      </c>
      <c r="AU530" s="37">
        <f t="shared" ca="1" si="945"/>
        <v>-1.2827664613723756E-9</v>
      </c>
      <c r="AV530" s="37">
        <f t="shared" ca="1" si="945"/>
        <v>-1.2827664613723756E-9</v>
      </c>
      <c r="AW530" s="37">
        <f t="shared" ca="1" si="945"/>
        <v>-1.2827664613723756E-9</v>
      </c>
      <c r="AX530" s="37">
        <f t="shared" ca="1" si="945"/>
        <v>-1.2827664613723756E-9</v>
      </c>
      <c r="AY530" s="37">
        <f t="shared" ca="1" si="945"/>
        <v>-1.2827664613723756E-9</v>
      </c>
      <c r="AZ530" s="37">
        <f t="shared" ca="1" si="945"/>
        <v>-1.2827664613723756E-9</v>
      </c>
      <c r="BA530" s="37">
        <f t="shared" ca="1" si="945"/>
        <v>-1.2827664613723756E-9</v>
      </c>
      <c r="BB530" s="37">
        <f t="shared" ca="1" si="945"/>
        <v>-1.2827664613723756E-9</v>
      </c>
      <c r="BC530" s="37">
        <f t="shared" ca="1" si="945"/>
        <v>-1.2827664613723756E-9</v>
      </c>
      <c r="BD530" s="37">
        <f t="shared" ca="1" si="945"/>
        <v>-1.2827664613723756E-9</v>
      </c>
      <c r="BE530" s="37">
        <f t="shared" ca="1" si="945"/>
        <v>-1.2827664613723756E-9</v>
      </c>
      <c r="BF530" s="37">
        <f t="shared" ca="1" si="945"/>
        <v>-1.2827664613723756E-9</v>
      </c>
      <c r="BG530" s="37">
        <f t="shared" ca="1" si="945"/>
        <v>-1.2827664613723756E-9</v>
      </c>
      <c r="BH530" s="37">
        <f t="shared" ca="1" si="945"/>
        <v>-1.2827664613723756E-9</v>
      </c>
      <c r="BI530" s="37">
        <f t="shared" ca="1" si="945"/>
        <v>-1.2827664613723756E-9</v>
      </c>
      <c r="BJ530" s="37">
        <f t="shared" ca="1" si="945"/>
        <v>-1.2827664613723756E-9</v>
      </c>
      <c r="BK530" s="37">
        <f t="shared" ca="1" si="945"/>
        <v>-1.2827664613723756E-9</v>
      </c>
      <c r="BL530" s="37">
        <f t="shared" ca="1" si="945"/>
        <v>-1.2827664613723756E-9</v>
      </c>
      <c r="BM530" s="37">
        <f t="shared" ca="1" si="945"/>
        <v>-1.2827664613723756E-9</v>
      </c>
      <c r="BN530" s="37">
        <f t="shared" ca="1" si="945"/>
        <v>-1.2827664613723756E-9</v>
      </c>
      <c r="BO530" s="37">
        <f t="shared" ca="1" si="945"/>
        <v>-1.2827664613723756E-9</v>
      </c>
      <c r="BP530" s="37">
        <f t="shared" ca="1" si="945"/>
        <v>-1.2827664613723756E-9</v>
      </c>
      <c r="BQ530" s="37">
        <f t="shared" ca="1" si="945"/>
        <v>-1.2827664613723756E-9</v>
      </c>
      <c r="BR530" s="37">
        <f t="shared" ca="1" si="945"/>
        <v>-1.2827664613723756E-9</v>
      </c>
      <c r="BS530" s="37">
        <f t="shared" ca="1" si="945"/>
        <v>-1.2827664613723756E-9</v>
      </c>
      <c r="BT530" s="37">
        <f t="shared" ca="1" si="945"/>
        <v>-1.2827664613723756E-9</v>
      </c>
      <c r="BU530" s="37">
        <f t="shared" ref="BU530:BY530" ca="1" si="946">+SUM(BU528:BU529)</f>
        <v>-1.2827664613723756E-9</v>
      </c>
      <c r="BV530" s="37">
        <f t="shared" ca="1" si="946"/>
        <v>-1.2827664613723756E-9</v>
      </c>
      <c r="BW530" s="37">
        <f t="shared" ca="1" si="946"/>
        <v>-1.2827664613723756E-9</v>
      </c>
      <c r="BX530" s="37">
        <f t="shared" ca="1" si="946"/>
        <v>-1.2827664613723756E-9</v>
      </c>
      <c r="BY530" s="37">
        <f t="shared" ca="1" si="946"/>
        <v>-1.2827664613723756E-9</v>
      </c>
    </row>
    <row r="531" spans="2:77" s="22" customFormat="1" ht="15" outlineLevel="1">
      <c r="F531" s="36"/>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row>
    <row r="532" spans="2:77" s="19" customFormat="1" ht="12.75" outlineLevel="1">
      <c r="B532" s="18" t="s">
        <v>528</v>
      </c>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row>
    <row r="533" spans="2:77" outlineLevel="1">
      <c r="BF533" s="33"/>
      <c r="BG533" s="33"/>
      <c r="BH533" s="33"/>
      <c r="BI533" s="33"/>
      <c r="BJ533" s="33"/>
      <c r="BK533" s="33"/>
      <c r="BL533" s="33"/>
      <c r="BM533" s="33"/>
      <c r="BN533" s="33"/>
      <c r="BO533" s="33"/>
      <c r="BP533" s="33"/>
      <c r="BQ533" s="33"/>
      <c r="BR533" s="33"/>
      <c r="BS533" s="33"/>
      <c r="BT533" s="33"/>
      <c r="BU533" s="33"/>
      <c r="BV533" s="33"/>
      <c r="BW533" s="33"/>
      <c r="BX533" s="33"/>
      <c r="BY533" s="33"/>
    </row>
    <row r="534" spans="2:77" s="22" customFormat="1" ht="15" outlineLevel="1">
      <c r="D534"/>
      <c r="E534" t="s">
        <v>474</v>
      </c>
      <c r="F534" s="23" t="s">
        <v>475</v>
      </c>
      <c r="G534"/>
      <c r="H534" s="33">
        <f>+SUM(H525:H526)</f>
        <v>0</v>
      </c>
      <c r="I534" s="33">
        <f t="shared" ref="I534:BT534" si="947">+SUM(I525:I526)</f>
        <v>0</v>
      </c>
      <c r="J534" s="33">
        <f t="shared" si="947"/>
        <v>0</v>
      </c>
      <c r="K534" s="33">
        <f t="shared" si="947"/>
        <v>-49416545.498030402</v>
      </c>
      <c r="L534" s="33">
        <f t="shared" si="947"/>
        <v>-49858171.108231008</v>
      </c>
      <c r="M534" s="33">
        <f t="shared" si="947"/>
        <v>-50308629.230635628</v>
      </c>
      <c r="N534" s="33">
        <f t="shared" si="947"/>
        <v>-50768096.515488341</v>
      </c>
      <c r="O534" s="33">
        <f t="shared" si="947"/>
        <v>-51236753.146038108</v>
      </c>
      <c r="P534" s="33">
        <f t="shared" si="947"/>
        <v>-51714782.909198865</v>
      </c>
      <c r="Q534" s="33">
        <f t="shared" si="947"/>
        <v>-52202373.267622851</v>
      </c>
      <c r="R534" s="33">
        <f t="shared" si="947"/>
        <v>-52699715.433215305</v>
      </c>
      <c r="S534" s="33">
        <f t="shared" si="947"/>
        <v>-53207004.442119613</v>
      </c>
      <c r="T534" s="33">
        <f t="shared" si="947"/>
        <v>-53724439.231202006</v>
      </c>
      <c r="U534" s="33">
        <f t="shared" si="947"/>
        <v>-54252222.716066048</v>
      </c>
      <c r="V534" s="33">
        <f t="shared" si="947"/>
        <v>-54790561.870627359</v>
      </c>
      <c r="W534" s="33">
        <f t="shared" si="947"/>
        <v>-55339667.808279909</v>
      </c>
      <c r="X534" s="33">
        <f t="shared" si="947"/>
        <v>-55899755.864685513</v>
      </c>
      <c r="Y534" s="33">
        <f t="shared" si="947"/>
        <v>-56471045.682219222</v>
      </c>
      <c r="Z534" s="33">
        <f t="shared" si="947"/>
        <v>0</v>
      </c>
      <c r="AA534" s="33">
        <f t="shared" si="947"/>
        <v>0</v>
      </c>
      <c r="AB534" s="33">
        <f t="shared" si="947"/>
        <v>0</v>
      </c>
      <c r="AC534" s="33">
        <f t="shared" si="947"/>
        <v>0</v>
      </c>
      <c r="AD534" s="33">
        <f t="shared" si="947"/>
        <v>0</v>
      </c>
      <c r="AE534" s="33">
        <f t="shared" si="947"/>
        <v>0</v>
      </c>
      <c r="AF534" s="33">
        <f t="shared" si="947"/>
        <v>0</v>
      </c>
      <c r="AG534" s="33">
        <f t="shared" si="947"/>
        <v>0</v>
      </c>
      <c r="AH534" s="33">
        <f t="shared" si="947"/>
        <v>0</v>
      </c>
      <c r="AI534" s="33">
        <f t="shared" si="947"/>
        <v>0</v>
      </c>
      <c r="AJ534" s="33">
        <f t="shared" si="947"/>
        <v>0</v>
      </c>
      <c r="AK534" s="33">
        <f t="shared" si="947"/>
        <v>0</v>
      </c>
      <c r="AL534" s="33">
        <f t="shared" si="947"/>
        <v>0</v>
      </c>
      <c r="AM534" s="33">
        <f t="shared" si="947"/>
        <v>0</v>
      </c>
      <c r="AN534" s="33">
        <f t="shared" si="947"/>
        <v>0</v>
      </c>
      <c r="AO534" s="33">
        <f t="shared" si="947"/>
        <v>0</v>
      </c>
      <c r="AP534" s="33">
        <f t="shared" si="947"/>
        <v>0</v>
      </c>
      <c r="AQ534" s="33">
        <f t="shared" si="947"/>
        <v>0</v>
      </c>
      <c r="AR534" s="33">
        <f t="shared" si="947"/>
        <v>0</v>
      </c>
      <c r="AS534" s="33">
        <f t="shared" si="947"/>
        <v>0</v>
      </c>
      <c r="AT534" s="33">
        <f t="shared" si="947"/>
        <v>0</v>
      </c>
      <c r="AU534" s="33">
        <f t="shared" si="947"/>
        <v>0</v>
      </c>
      <c r="AV534" s="33">
        <f t="shared" si="947"/>
        <v>0</v>
      </c>
      <c r="AW534" s="33">
        <f t="shared" si="947"/>
        <v>0</v>
      </c>
      <c r="AX534" s="33">
        <f t="shared" si="947"/>
        <v>0</v>
      </c>
      <c r="AY534" s="33">
        <f t="shared" si="947"/>
        <v>0</v>
      </c>
      <c r="AZ534" s="33">
        <f t="shared" si="947"/>
        <v>0</v>
      </c>
      <c r="BA534" s="33">
        <f t="shared" si="947"/>
        <v>0</v>
      </c>
      <c r="BB534" s="33">
        <f t="shared" si="947"/>
        <v>0</v>
      </c>
      <c r="BC534" s="33">
        <f t="shared" si="947"/>
        <v>0</v>
      </c>
      <c r="BD534" s="33">
        <f t="shared" si="947"/>
        <v>0</v>
      </c>
      <c r="BE534" s="33">
        <f t="shared" si="947"/>
        <v>0</v>
      </c>
      <c r="BF534" s="33">
        <f t="shared" si="947"/>
        <v>0</v>
      </c>
      <c r="BG534" s="33">
        <f t="shared" si="947"/>
        <v>0</v>
      </c>
      <c r="BH534" s="33">
        <f t="shared" si="947"/>
        <v>0</v>
      </c>
      <c r="BI534" s="33">
        <f t="shared" si="947"/>
        <v>0</v>
      </c>
      <c r="BJ534" s="33">
        <f t="shared" si="947"/>
        <v>0</v>
      </c>
      <c r="BK534" s="33">
        <f t="shared" si="947"/>
        <v>0</v>
      </c>
      <c r="BL534" s="33">
        <f t="shared" si="947"/>
        <v>0</v>
      </c>
      <c r="BM534" s="33">
        <f t="shared" si="947"/>
        <v>0</v>
      </c>
      <c r="BN534" s="33">
        <f t="shared" si="947"/>
        <v>0</v>
      </c>
      <c r="BO534" s="33">
        <f t="shared" si="947"/>
        <v>0</v>
      </c>
      <c r="BP534" s="33">
        <f t="shared" si="947"/>
        <v>0</v>
      </c>
      <c r="BQ534" s="33">
        <f t="shared" si="947"/>
        <v>0</v>
      </c>
      <c r="BR534" s="33">
        <f t="shared" si="947"/>
        <v>0</v>
      </c>
      <c r="BS534" s="33">
        <f t="shared" si="947"/>
        <v>0</v>
      </c>
      <c r="BT534" s="33">
        <f t="shared" si="947"/>
        <v>0</v>
      </c>
      <c r="BU534" s="33">
        <f t="shared" ref="BU534:BY534" si="948">+SUM(BU525:BU526)</f>
        <v>0</v>
      </c>
      <c r="BV534" s="33">
        <f t="shared" si="948"/>
        <v>0</v>
      </c>
      <c r="BW534" s="33">
        <f t="shared" si="948"/>
        <v>0</v>
      </c>
      <c r="BX534" s="33">
        <f t="shared" si="948"/>
        <v>0</v>
      </c>
      <c r="BY534" s="33">
        <f t="shared" si="948"/>
        <v>0</v>
      </c>
    </row>
    <row r="535" spans="2:77" s="22" customFormat="1" ht="15" outlineLevel="1">
      <c r="D535"/>
      <c r="E535" t="s">
        <v>476</v>
      </c>
      <c r="F535" s="23" t="s">
        <v>475</v>
      </c>
      <c r="G535"/>
      <c r="H535" s="33">
        <f>-H526</f>
        <v>0</v>
      </c>
      <c r="I535" s="33">
        <f t="shared" ref="I535:BT535" si="949">-I526</f>
        <v>0</v>
      </c>
      <c r="J535" s="33">
        <f t="shared" si="949"/>
        <v>0</v>
      </c>
      <c r="K535" s="33">
        <f t="shared" si="949"/>
        <v>27335264.987999998</v>
      </c>
      <c r="L535" s="33">
        <f t="shared" si="949"/>
        <v>27335264.987999998</v>
      </c>
      <c r="M535" s="33">
        <f t="shared" si="949"/>
        <v>27335264.987999998</v>
      </c>
      <c r="N535" s="33">
        <f t="shared" si="949"/>
        <v>27335264.987999998</v>
      </c>
      <c r="O535" s="33">
        <f t="shared" si="949"/>
        <v>27335264.987999998</v>
      </c>
      <c r="P535" s="33">
        <f t="shared" si="949"/>
        <v>27335264.987999998</v>
      </c>
      <c r="Q535" s="33">
        <f t="shared" si="949"/>
        <v>27335264.987999998</v>
      </c>
      <c r="R535" s="33">
        <f t="shared" si="949"/>
        <v>27335264.987999998</v>
      </c>
      <c r="S535" s="33">
        <f t="shared" si="949"/>
        <v>27335264.987999998</v>
      </c>
      <c r="T535" s="33">
        <f t="shared" si="949"/>
        <v>27335264.987999998</v>
      </c>
      <c r="U535" s="33">
        <f t="shared" si="949"/>
        <v>27335264.987999998</v>
      </c>
      <c r="V535" s="33">
        <f t="shared" si="949"/>
        <v>27335264.987999998</v>
      </c>
      <c r="W535" s="33">
        <f t="shared" si="949"/>
        <v>27335264.987999998</v>
      </c>
      <c r="X535" s="33">
        <f t="shared" si="949"/>
        <v>27335264.987999998</v>
      </c>
      <c r="Y535" s="33">
        <f t="shared" si="949"/>
        <v>27335264.987999998</v>
      </c>
      <c r="Z535" s="33">
        <f t="shared" si="949"/>
        <v>0</v>
      </c>
      <c r="AA535" s="33">
        <f t="shared" si="949"/>
        <v>0</v>
      </c>
      <c r="AB535" s="33">
        <f t="shared" si="949"/>
        <v>0</v>
      </c>
      <c r="AC535" s="33">
        <f t="shared" si="949"/>
        <v>0</v>
      </c>
      <c r="AD535" s="33">
        <f t="shared" si="949"/>
        <v>0</v>
      </c>
      <c r="AE535" s="33">
        <f t="shared" si="949"/>
        <v>0</v>
      </c>
      <c r="AF535" s="33">
        <f t="shared" si="949"/>
        <v>0</v>
      </c>
      <c r="AG535" s="33">
        <f t="shared" si="949"/>
        <v>0</v>
      </c>
      <c r="AH535" s="33">
        <f t="shared" si="949"/>
        <v>0</v>
      </c>
      <c r="AI535" s="33">
        <f t="shared" si="949"/>
        <v>0</v>
      </c>
      <c r="AJ535" s="33">
        <f t="shared" si="949"/>
        <v>0</v>
      </c>
      <c r="AK535" s="33">
        <f t="shared" si="949"/>
        <v>0</v>
      </c>
      <c r="AL535" s="33">
        <f t="shared" si="949"/>
        <v>0</v>
      </c>
      <c r="AM535" s="33">
        <f t="shared" si="949"/>
        <v>0</v>
      </c>
      <c r="AN535" s="33">
        <f t="shared" si="949"/>
        <v>0</v>
      </c>
      <c r="AO535" s="33">
        <f t="shared" si="949"/>
        <v>0</v>
      </c>
      <c r="AP535" s="33">
        <f t="shared" si="949"/>
        <v>0</v>
      </c>
      <c r="AQ535" s="33">
        <f t="shared" si="949"/>
        <v>0</v>
      </c>
      <c r="AR535" s="33">
        <f t="shared" si="949"/>
        <v>0</v>
      </c>
      <c r="AS535" s="33">
        <f t="shared" si="949"/>
        <v>0</v>
      </c>
      <c r="AT535" s="33">
        <f t="shared" si="949"/>
        <v>0</v>
      </c>
      <c r="AU535" s="33">
        <f t="shared" si="949"/>
        <v>0</v>
      </c>
      <c r="AV535" s="33">
        <f t="shared" si="949"/>
        <v>0</v>
      </c>
      <c r="AW535" s="33">
        <f t="shared" si="949"/>
        <v>0</v>
      </c>
      <c r="AX535" s="33">
        <f t="shared" si="949"/>
        <v>0</v>
      </c>
      <c r="AY535" s="33">
        <f t="shared" si="949"/>
        <v>0</v>
      </c>
      <c r="AZ535" s="33">
        <f t="shared" si="949"/>
        <v>0</v>
      </c>
      <c r="BA535" s="33">
        <f t="shared" si="949"/>
        <v>0</v>
      </c>
      <c r="BB535" s="33">
        <f t="shared" si="949"/>
        <v>0</v>
      </c>
      <c r="BC535" s="33">
        <f t="shared" si="949"/>
        <v>0</v>
      </c>
      <c r="BD535" s="33">
        <f t="shared" si="949"/>
        <v>0</v>
      </c>
      <c r="BE535" s="33">
        <f t="shared" si="949"/>
        <v>0</v>
      </c>
      <c r="BF535" s="33">
        <f t="shared" si="949"/>
        <v>0</v>
      </c>
      <c r="BG535" s="33">
        <f t="shared" si="949"/>
        <v>0</v>
      </c>
      <c r="BH535" s="33">
        <f t="shared" si="949"/>
        <v>0</v>
      </c>
      <c r="BI535" s="33">
        <f t="shared" si="949"/>
        <v>0</v>
      </c>
      <c r="BJ535" s="33">
        <f t="shared" si="949"/>
        <v>0</v>
      </c>
      <c r="BK535" s="33">
        <f t="shared" si="949"/>
        <v>0</v>
      </c>
      <c r="BL535" s="33">
        <f t="shared" si="949"/>
        <v>0</v>
      </c>
      <c r="BM535" s="33">
        <f t="shared" si="949"/>
        <v>0</v>
      </c>
      <c r="BN535" s="33">
        <f t="shared" si="949"/>
        <v>0</v>
      </c>
      <c r="BO535" s="33">
        <f t="shared" si="949"/>
        <v>0</v>
      </c>
      <c r="BP535" s="33">
        <f t="shared" si="949"/>
        <v>0</v>
      </c>
      <c r="BQ535" s="33">
        <f t="shared" si="949"/>
        <v>0</v>
      </c>
      <c r="BR535" s="33">
        <f t="shared" si="949"/>
        <v>0</v>
      </c>
      <c r="BS535" s="33">
        <f t="shared" si="949"/>
        <v>0</v>
      </c>
      <c r="BT535" s="33">
        <f t="shared" si="949"/>
        <v>0</v>
      </c>
      <c r="BU535" s="33">
        <f t="shared" ref="BU535:BY535" si="950">-BU526</f>
        <v>0</v>
      </c>
      <c r="BV535" s="33">
        <f t="shared" si="950"/>
        <v>0</v>
      </c>
      <c r="BW535" s="33">
        <f t="shared" si="950"/>
        <v>0</v>
      </c>
      <c r="BX535" s="33">
        <f t="shared" si="950"/>
        <v>0</v>
      </c>
      <c r="BY535" s="33">
        <f t="shared" si="950"/>
        <v>0</v>
      </c>
    </row>
    <row r="536" spans="2:77" s="22" customFormat="1" ht="15" outlineLevel="1">
      <c r="D536"/>
      <c r="E536" t="s">
        <v>477</v>
      </c>
      <c r="F536" s="23" t="s">
        <v>466</v>
      </c>
      <c r="G536"/>
      <c r="H536" s="33">
        <v>0</v>
      </c>
      <c r="I536" s="33">
        <v>0</v>
      </c>
      <c r="J536" s="33">
        <v>0</v>
      </c>
      <c r="K536" s="33">
        <v>0</v>
      </c>
      <c r="L536" s="33">
        <v>0</v>
      </c>
      <c r="M536" s="33">
        <v>0</v>
      </c>
      <c r="N536" s="33">
        <v>0</v>
      </c>
      <c r="O536" s="33">
        <v>0</v>
      </c>
      <c r="P536" s="33">
        <v>0</v>
      </c>
      <c r="Q536" s="33">
        <v>0</v>
      </c>
      <c r="R536" s="33">
        <v>0</v>
      </c>
      <c r="S536" s="33">
        <v>0</v>
      </c>
      <c r="T536" s="33">
        <v>0</v>
      </c>
      <c r="U536" s="33">
        <v>0</v>
      </c>
      <c r="V536" s="33">
        <v>0</v>
      </c>
      <c r="W536" s="33">
        <v>0</v>
      </c>
      <c r="X536" s="33">
        <v>0</v>
      </c>
      <c r="Y536" s="33">
        <v>0</v>
      </c>
      <c r="Z536" s="33">
        <v>0</v>
      </c>
      <c r="AA536" s="33">
        <v>0</v>
      </c>
      <c r="AB536" s="33">
        <v>0</v>
      </c>
      <c r="AC536" s="33">
        <v>0</v>
      </c>
      <c r="AD536" s="33">
        <v>0</v>
      </c>
      <c r="AE536" s="33">
        <v>0</v>
      </c>
      <c r="AF536" s="33">
        <v>0</v>
      </c>
      <c r="AG536" s="33">
        <v>0</v>
      </c>
      <c r="AH536" s="33">
        <v>0</v>
      </c>
      <c r="AI536" s="33">
        <v>0</v>
      </c>
      <c r="AJ536" s="33">
        <v>0</v>
      </c>
      <c r="AK536" s="33">
        <v>0</v>
      </c>
      <c r="AL536" s="33">
        <v>0</v>
      </c>
      <c r="AM536" s="33">
        <v>0</v>
      </c>
      <c r="AN536" s="33">
        <v>0</v>
      </c>
      <c r="AO536" s="33">
        <v>0</v>
      </c>
      <c r="AP536" s="33">
        <v>0</v>
      </c>
      <c r="AQ536" s="33">
        <v>0</v>
      </c>
      <c r="AR536" s="33">
        <v>0</v>
      </c>
      <c r="AS536" s="33">
        <v>0</v>
      </c>
      <c r="AT536" s="33">
        <v>0</v>
      </c>
      <c r="AU536" s="33">
        <v>0</v>
      </c>
      <c r="AV536" s="33">
        <v>0</v>
      </c>
      <c r="AW536" s="33">
        <v>0</v>
      </c>
      <c r="AX536" s="33">
        <v>0</v>
      </c>
      <c r="AY536" s="33">
        <v>0</v>
      </c>
      <c r="AZ536" s="33">
        <v>0</v>
      </c>
      <c r="BA536" s="33">
        <v>0</v>
      </c>
      <c r="BB536" s="33">
        <v>0</v>
      </c>
      <c r="BC536" s="33">
        <v>0</v>
      </c>
      <c r="BD536" s="33">
        <v>0</v>
      </c>
      <c r="BE536" s="33">
        <v>0</v>
      </c>
      <c r="BF536" s="33">
        <v>0</v>
      </c>
      <c r="BG536" s="33">
        <v>0</v>
      </c>
      <c r="BH536" s="33">
        <v>0</v>
      </c>
      <c r="BI536" s="33">
        <v>0</v>
      </c>
      <c r="BJ536" s="33">
        <v>0</v>
      </c>
      <c r="BK536" s="33">
        <v>0</v>
      </c>
      <c r="BL536" s="33">
        <v>0</v>
      </c>
      <c r="BM536" s="33">
        <v>0</v>
      </c>
      <c r="BN536" s="33">
        <v>0</v>
      </c>
      <c r="BO536" s="33">
        <v>0</v>
      </c>
      <c r="BP536" s="33">
        <v>0</v>
      </c>
      <c r="BQ536" s="33">
        <v>0</v>
      </c>
      <c r="BR536" s="33">
        <v>0</v>
      </c>
      <c r="BS536" s="33">
        <v>0</v>
      </c>
      <c r="BT536" s="33">
        <v>0</v>
      </c>
      <c r="BU536" s="33">
        <v>0</v>
      </c>
      <c r="BV536" s="33">
        <v>0</v>
      </c>
      <c r="BW536" s="33">
        <v>0</v>
      </c>
      <c r="BX536" s="33">
        <v>0</v>
      </c>
      <c r="BY536" s="33">
        <v>0</v>
      </c>
    </row>
    <row r="537" spans="2:77" s="22" customFormat="1" ht="15" outlineLevel="1">
      <c r="D537"/>
      <c r="E537" t="s">
        <v>471</v>
      </c>
      <c r="F537" s="23" t="s">
        <v>466</v>
      </c>
      <c r="G537"/>
      <c r="H537" s="33">
        <f ca="1">+H529</f>
        <v>0</v>
      </c>
      <c r="I537" s="33">
        <f t="shared" ref="I537:BT537" ca="1" si="951">+I529</f>
        <v>0</v>
      </c>
      <c r="J537" s="33">
        <f t="shared" ca="1" si="951"/>
        <v>0</v>
      </c>
      <c r="K537" s="33">
        <f t="shared" ca="1" si="951"/>
        <v>0</v>
      </c>
      <c r="L537" s="33">
        <f t="shared" ca="1" si="951"/>
        <v>0</v>
      </c>
      <c r="M537" s="33">
        <f t="shared" ca="1" si="951"/>
        <v>0</v>
      </c>
      <c r="N537" s="33">
        <f t="shared" ca="1" si="951"/>
        <v>0</v>
      </c>
      <c r="O537" s="33">
        <f t="shared" ca="1" si="951"/>
        <v>0</v>
      </c>
      <c r="P537" s="33">
        <f t="shared" ca="1" si="951"/>
        <v>0</v>
      </c>
      <c r="Q537" s="33">
        <f t="shared" ca="1" si="951"/>
        <v>0</v>
      </c>
      <c r="R537" s="33">
        <f t="shared" ca="1" si="951"/>
        <v>0</v>
      </c>
      <c r="S537" s="33">
        <f t="shared" ca="1" si="951"/>
        <v>0</v>
      </c>
      <c r="T537" s="33">
        <f t="shared" ca="1" si="951"/>
        <v>0</v>
      </c>
      <c r="U537" s="33">
        <f t="shared" ca="1" si="951"/>
        <v>0</v>
      </c>
      <c r="V537" s="33">
        <f t="shared" ca="1" si="951"/>
        <v>0</v>
      </c>
      <c r="W537" s="33">
        <f t="shared" ca="1" si="951"/>
        <v>0</v>
      </c>
      <c r="X537" s="33">
        <f t="shared" ca="1" si="951"/>
        <v>0</v>
      </c>
      <c r="Y537" s="33">
        <f t="shared" ca="1" si="951"/>
        <v>0</v>
      </c>
      <c r="Z537" s="33">
        <f t="shared" ca="1" si="951"/>
        <v>0</v>
      </c>
      <c r="AA537" s="33">
        <f t="shared" ca="1" si="951"/>
        <v>0</v>
      </c>
      <c r="AB537" s="33">
        <f t="shared" ca="1" si="951"/>
        <v>0</v>
      </c>
      <c r="AC537" s="33">
        <f t="shared" ca="1" si="951"/>
        <v>0</v>
      </c>
      <c r="AD537" s="33">
        <f t="shared" ca="1" si="951"/>
        <v>0</v>
      </c>
      <c r="AE537" s="33">
        <f t="shared" ca="1" si="951"/>
        <v>0</v>
      </c>
      <c r="AF537" s="33">
        <f t="shared" ca="1" si="951"/>
        <v>0</v>
      </c>
      <c r="AG537" s="33">
        <f t="shared" ca="1" si="951"/>
        <v>0</v>
      </c>
      <c r="AH537" s="33">
        <f t="shared" ca="1" si="951"/>
        <v>0</v>
      </c>
      <c r="AI537" s="33">
        <f t="shared" ca="1" si="951"/>
        <v>0</v>
      </c>
      <c r="AJ537" s="33">
        <f t="shared" ca="1" si="951"/>
        <v>0</v>
      </c>
      <c r="AK537" s="33">
        <f t="shared" ca="1" si="951"/>
        <v>0</v>
      </c>
      <c r="AL537" s="33">
        <f t="shared" ca="1" si="951"/>
        <v>0</v>
      </c>
      <c r="AM537" s="33">
        <f t="shared" ca="1" si="951"/>
        <v>0</v>
      </c>
      <c r="AN537" s="33">
        <f t="shared" ca="1" si="951"/>
        <v>0</v>
      </c>
      <c r="AO537" s="33">
        <f t="shared" ca="1" si="951"/>
        <v>0</v>
      </c>
      <c r="AP537" s="33">
        <f t="shared" ca="1" si="951"/>
        <v>0</v>
      </c>
      <c r="AQ537" s="33">
        <f t="shared" ca="1" si="951"/>
        <v>0</v>
      </c>
      <c r="AR537" s="33">
        <f t="shared" ca="1" si="951"/>
        <v>0</v>
      </c>
      <c r="AS537" s="33">
        <f t="shared" ca="1" si="951"/>
        <v>0</v>
      </c>
      <c r="AT537" s="33">
        <f t="shared" ca="1" si="951"/>
        <v>0</v>
      </c>
      <c r="AU537" s="33">
        <f t="shared" ca="1" si="951"/>
        <v>0</v>
      </c>
      <c r="AV537" s="33">
        <f t="shared" ca="1" si="951"/>
        <v>0</v>
      </c>
      <c r="AW537" s="33">
        <f t="shared" ca="1" si="951"/>
        <v>0</v>
      </c>
      <c r="AX537" s="33">
        <f t="shared" ca="1" si="951"/>
        <v>0</v>
      </c>
      <c r="AY537" s="33">
        <f t="shared" ca="1" si="951"/>
        <v>0</v>
      </c>
      <c r="AZ537" s="33">
        <f t="shared" ca="1" si="951"/>
        <v>0</v>
      </c>
      <c r="BA537" s="33">
        <f t="shared" ca="1" si="951"/>
        <v>0</v>
      </c>
      <c r="BB537" s="33">
        <f t="shared" ca="1" si="951"/>
        <v>0</v>
      </c>
      <c r="BC537" s="33">
        <f t="shared" ca="1" si="951"/>
        <v>0</v>
      </c>
      <c r="BD537" s="33">
        <f t="shared" ca="1" si="951"/>
        <v>0</v>
      </c>
      <c r="BE537" s="33">
        <f t="shared" ca="1" si="951"/>
        <v>0</v>
      </c>
      <c r="BF537" s="33">
        <f t="shared" ca="1" si="951"/>
        <v>0</v>
      </c>
      <c r="BG537" s="33">
        <f t="shared" ca="1" si="951"/>
        <v>0</v>
      </c>
      <c r="BH537" s="33">
        <f t="shared" ca="1" si="951"/>
        <v>0</v>
      </c>
      <c r="BI537" s="33">
        <f t="shared" ca="1" si="951"/>
        <v>0</v>
      </c>
      <c r="BJ537" s="33">
        <f t="shared" ca="1" si="951"/>
        <v>0</v>
      </c>
      <c r="BK537" s="33">
        <f t="shared" ca="1" si="951"/>
        <v>0</v>
      </c>
      <c r="BL537" s="33">
        <f t="shared" ca="1" si="951"/>
        <v>0</v>
      </c>
      <c r="BM537" s="33">
        <f t="shared" ca="1" si="951"/>
        <v>0</v>
      </c>
      <c r="BN537" s="33">
        <f t="shared" ca="1" si="951"/>
        <v>0</v>
      </c>
      <c r="BO537" s="33">
        <f t="shared" ca="1" si="951"/>
        <v>0</v>
      </c>
      <c r="BP537" s="33">
        <f t="shared" ca="1" si="951"/>
        <v>0</v>
      </c>
      <c r="BQ537" s="33">
        <f t="shared" ca="1" si="951"/>
        <v>0</v>
      </c>
      <c r="BR537" s="33">
        <f t="shared" ca="1" si="951"/>
        <v>0</v>
      </c>
      <c r="BS537" s="33">
        <f t="shared" ca="1" si="951"/>
        <v>0</v>
      </c>
      <c r="BT537" s="33">
        <f t="shared" ca="1" si="951"/>
        <v>0</v>
      </c>
      <c r="BU537" s="33">
        <f t="shared" ref="BU537:BY537" ca="1" si="952">+BU529</f>
        <v>0</v>
      </c>
      <c r="BV537" s="33">
        <f t="shared" ca="1" si="952"/>
        <v>0</v>
      </c>
      <c r="BW537" s="33">
        <f t="shared" ca="1" si="952"/>
        <v>0</v>
      </c>
      <c r="BX537" s="33">
        <f t="shared" ca="1" si="952"/>
        <v>0</v>
      </c>
      <c r="BY537" s="33">
        <f t="shared" ca="1" si="952"/>
        <v>0</v>
      </c>
    </row>
    <row r="538" spans="2:77" s="22" customFormat="1" ht="15" outlineLevel="1">
      <c r="D538" s="38"/>
      <c r="E538" s="22" t="s">
        <v>478</v>
      </c>
      <c r="F538" s="36" t="s">
        <v>470</v>
      </c>
      <c r="H538" s="37">
        <f ca="1">+SUM(H534:H537)</f>
        <v>0</v>
      </c>
      <c r="I538" s="37">
        <f t="shared" ref="I538:BT538" ca="1" si="953">+SUM(I534:I537)</f>
        <v>0</v>
      </c>
      <c r="J538" s="37">
        <f t="shared" ca="1" si="953"/>
        <v>0</v>
      </c>
      <c r="K538" s="37">
        <f t="shared" ca="1" si="953"/>
        <v>-22081280.510030404</v>
      </c>
      <c r="L538" s="37">
        <f t="shared" ca="1" si="953"/>
        <v>-22522906.12023101</v>
      </c>
      <c r="M538" s="37">
        <f t="shared" ca="1" si="953"/>
        <v>-22973364.24263563</v>
      </c>
      <c r="N538" s="37">
        <f t="shared" ca="1" si="953"/>
        <v>-23432831.527488343</v>
      </c>
      <c r="O538" s="37">
        <f t="shared" ca="1" si="953"/>
        <v>-23901488.15803811</v>
      </c>
      <c r="P538" s="37">
        <f t="shared" ca="1" si="953"/>
        <v>-24379517.921198867</v>
      </c>
      <c r="Q538" s="37">
        <f t="shared" ca="1" si="953"/>
        <v>-24867108.279622853</v>
      </c>
      <c r="R538" s="37">
        <f t="shared" ca="1" si="953"/>
        <v>-25364450.445215307</v>
      </c>
      <c r="S538" s="37">
        <f t="shared" ca="1" si="953"/>
        <v>-25871739.454119615</v>
      </c>
      <c r="T538" s="37">
        <f t="shared" ca="1" si="953"/>
        <v>-26389174.243202008</v>
      </c>
      <c r="U538" s="37">
        <f t="shared" ca="1" si="953"/>
        <v>-26916957.72806605</v>
      </c>
      <c r="V538" s="37">
        <f t="shared" ca="1" si="953"/>
        <v>-27455296.882627361</v>
      </c>
      <c r="W538" s="37">
        <f t="shared" ca="1" si="953"/>
        <v>-28004402.820279911</v>
      </c>
      <c r="X538" s="37">
        <f t="shared" ca="1" si="953"/>
        <v>-28564490.876685515</v>
      </c>
      <c r="Y538" s="37">
        <f t="shared" ca="1" si="953"/>
        <v>-29135780.694219224</v>
      </c>
      <c r="Z538" s="37">
        <f t="shared" ca="1" si="953"/>
        <v>0</v>
      </c>
      <c r="AA538" s="37">
        <f t="shared" ca="1" si="953"/>
        <v>0</v>
      </c>
      <c r="AB538" s="37">
        <f t="shared" ca="1" si="953"/>
        <v>0</v>
      </c>
      <c r="AC538" s="37">
        <f t="shared" ca="1" si="953"/>
        <v>0</v>
      </c>
      <c r="AD538" s="37">
        <f t="shared" ca="1" si="953"/>
        <v>0</v>
      </c>
      <c r="AE538" s="37">
        <f t="shared" ca="1" si="953"/>
        <v>0</v>
      </c>
      <c r="AF538" s="37">
        <f t="shared" ca="1" si="953"/>
        <v>0</v>
      </c>
      <c r="AG538" s="37">
        <f t="shared" ca="1" si="953"/>
        <v>0</v>
      </c>
      <c r="AH538" s="37">
        <f t="shared" ca="1" si="953"/>
        <v>0</v>
      </c>
      <c r="AI538" s="37">
        <f t="shared" ca="1" si="953"/>
        <v>0</v>
      </c>
      <c r="AJ538" s="37">
        <f t="shared" ca="1" si="953"/>
        <v>0</v>
      </c>
      <c r="AK538" s="37">
        <f t="shared" ca="1" si="953"/>
        <v>0</v>
      </c>
      <c r="AL538" s="37">
        <f t="shared" ca="1" si="953"/>
        <v>0</v>
      </c>
      <c r="AM538" s="37">
        <f t="shared" ca="1" si="953"/>
        <v>0</v>
      </c>
      <c r="AN538" s="37">
        <f t="shared" ca="1" si="953"/>
        <v>0</v>
      </c>
      <c r="AO538" s="37">
        <f t="shared" ca="1" si="953"/>
        <v>0</v>
      </c>
      <c r="AP538" s="37">
        <f t="shared" ca="1" si="953"/>
        <v>0</v>
      </c>
      <c r="AQ538" s="37">
        <f t="shared" ca="1" si="953"/>
        <v>0</v>
      </c>
      <c r="AR538" s="37">
        <f t="shared" ca="1" si="953"/>
        <v>0</v>
      </c>
      <c r="AS538" s="37">
        <f t="shared" ca="1" si="953"/>
        <v>0</v>
      </c>
      <c r="AT538" s="37">
        <f t="shared" ca="1" si="953"/>
        <v>0</v>
      </c>
      <c r="AU538" s="37">
        <f t="shared" ca="1" si="953"/>
        <v>0</v>
      </c>
      <c r="AV538" s="37">
        <f t="shared" ca="1" si="953"/>
        <v>0</v>
      </c>
      <c r="AW538" s="37">
        <f t="shared" ca="1" si="953"/>
        <v>0</v>
      </c>
      <c r="AX538" s="37">
        <f t="shared" ca="1" si="953"/>
        <v>0</v>
      </c>
      <c r="AY538" s="37">
        <f t="shared" ca="1" si="953"/>
        <v>0</v>
      </c>
      <c r="AZ538" s="37">
        <f t="shared" ca="1" si="953"/>
        <v>0</v>
      </c>
      <c r="BA538" s="37">
        <f t="shared" ca="1" si="953"/>
        <v>0</v>
      </c>
      <c r="BB538" s="37">
        <f t="shared" ca="1" si="953"/>
        <v>0</v>
      </c>
      <c r="BC538" s="37">
        <f t="shared" ca="1" si="953"/>
        <v>0</v>
      </c>
      <c r="BD538" s="37">
        <f t="shared" ca="1" si="953"/>
        <v>0</v>
      </c>
      <c r="BE538" s="37">
        <f t="shared" ca="1" si="953"/>
        <v>0</v>
      </c>
      <c r="BF538" s="37">
        <f t="shared" ca="1" si="953"/>
        <v>0</v>
      </c>
      <c r="BG538" s="37">
        <f t="shared" ca="1" si="953"/>
        <v>0</v>
      </c>
      <c r="BH538" s="37">
        <f t="shared" ca="1" si="953"/>
        <v>0</v>
      </c>
      <c r="BI538" s="37">
        <f t="shared" ca="1" si="953"/>
        <v>0</v>
      </c>
      <c r="BJ538" s="37">
        <f t="shared" ca="1" si="953"/>
        <v>0</v>
      </c>
      <c r="BK538" s="37">
        <f t="shared" ca="1" si="953"/>
        <v>0</v>
      </c>
      <c r="BL538" s="37">
        <f t="shared" ca="1" si="953"/>
        <v>0</v>
      </c>
      <c r="BM538" s="37">
        <f t="shared" ca="1" si="953"/>
        <v>0</v>
      </c>
      <c r="BN538" s="37">
        <f t="shared" ca="1" si="953"/>
        <v>0</v>
      </c>
      <c r="BO538" s="37">
        <f t="shared" ca="1" si="953"/>
        <v>0</v>
      </c>
      <c r="BP538" s="37">
        <f t="shared" ca="1" si="953"/>
        <v>0</v>
      </c>
      <c r="BQ538" s="37">
        <f t="shared" ca="1" si="953"/>
        <v>0</v>
      </c>
      <c r="BR538" s="37">
        <f t="shared" ca="1" si="953"/>
        <v>0</v>
      </c>
      <c r="BS538" s="37">
        <f t="shared" ca="1" si="953"/>
        <v>0</v>
      </c>
      <c r="BT538" s="37">
        <f t="shared" ca="1" si="953"/>
        <v>0</v>
      </c>
      <c r="BU538" s="37">
        <f t="shared" ref="BU538:BY538" ca="1" si="954">+SUM(BU534:BU537)</f>
        <v>0</v>
      </c>
      <c r="BV538" s="37">
        <f t="shared" ca="1" si="954"/>
        <v>0</v>
      </c>
      <c r="BW538" s="37">
        <f t="shared" ca="1" si="954"/>
        <v>0</v>
      </c>
      <c r="BX538" s="37">
        <f t="shared" ca="1" si="954"/>
        <v>0</v>
      </c>
      <c r="BY538" s="37">
        <f t="shared" ca="1" si="954"/>
        <v>0</v>
      </c>
    </row>
    <row r="539" spans="2:77" s="22" customFormat="1" ht="15" outlineLevel="1">
      <c r="D539" s="46"/>
      <c r="E539" t="s">
        <v>446</v>
      </c>
      <c r="F539" s="23" t="s">
        <v>466</v>
      </c>
      <c r="G539"/>
      <c r="H539" s="33">
        <f t="shared" ref="H539:AM539" si="955">+H441</f>
        <v>0</v>
      </c>
      <c r="I539" s="33">
        <f t="shared" si="955"/>
        <v>-202984641</v>
      </c>
      <c r="J539" s="33">
        <f t="shared" si="955"/>
        <v>-207044333.81999999</v>
      </c>
      <c r="K539" s="33">
        <f t="shared" si="955"/>
        <v>0</v>
      </c>
      <c r="L539" s="33">
        <f t="shared" si="955"/>
        <v>0</v>
      </c>
      <c r="M539" s="33">
        <f t="shared" si="955"/>
        <v>0</v>
      </c>
      <c r="N539" s="33">
        <f t="shared" si="955"/>
        <v>0</v>
      </c>
      <c r="O539" s="33">
        <f t="shared" si="955"/>
        <v>0</v>
      </c>
      <c r="P539" s="33">
        <f t="shared" si="955"/>
        <v>0</v>
      </c>
      <c r="Q539" s="33">
        <f t="shared" si="955"/>
        <v>0</v>
      </c>
      <c r="R539" s="33">
        <f t="shared" si="955"/>
        <v>0</v>
      </c>
      <c r="S539" s="33">
        <f t="shared" si="955"/>
        <v>0</v>
      </c>
      <c r="T539" s="33">
        <f t="shared" si="955"/>
        <v>0</v>
      </c>
      <c r="U539" s="33">
        <f t="shared" si="955"/>
        <v>0</v>
      </c>
      <c r="V539" s="33">
        <f t="shared" si="955"/>
        <v>0</v>
      </c>
      <c r="W539" s="33">
        <f t="shared" si="955"/>
        <v>0</v>
      </c>
      <c r="X539" s="33">
        <f t="shared" si="955"/>
        <v>0</v>
      </c>
      <c r="Y539" s="33">
        <f t="shared" si="955"/>
        <v>0</v>
      </c>
      <c r="Z539" s="33">
        <f t="shared" si="955"/>
        <v>0</v>
      </c>
      <c r="AA539" s="33">
        <f t="shared" si="955"/>
        <v>0</v>
      </c>
      <c r="AB539" s="33">
        <f t="shared" si="955"/>
        <v>0</v>
      </c>
      <c r="AC539" s="33">
        <f t="shared" si="955"/>
        <v>0</v>
      </c>
      <c r="AD539" s="33">
        <f t="shared" si="955"/>
        <v>0</v>
      </c>
      <c r="AE539" s="33">
        <f t="shared" si="955"/>
        <v>0</v>
      </c>
      <c r="AF539" s="33">
        <f t="shared" si="955"/>
        <v>0</v>
      </c>
      <c r="AG539" s="33">
        <f t="shared" si="955"/>
        <v>0</v>
      </c>
      <c r="AH539" s="33">
        <f t="shared" si="955"/>
        <v>0</v>
      </c>
      <c r="AI539" s="33">
        <f t="shared" si="955"/>
        <v>0</v>
      </c>
      <c r="AJ539" s="33">
        <f t="shared" si="955"/>
        <v>0</v>
      </c>
      <c r="AK539" s="33">
        <f t="shared" si="955"/>
        <v>0</v>
      </c>
      <c r="AL539" s="33">
        <f t="shared" si="955"/>
        <v>0</v>
      </c>
      <c r="AM539" s="33">
        <f t="shared" si="955"/>
        <v>0</v>
      </c>
      <c r="AN539" s="33">
        <f t="shared" ref="AN539:BS539" si="956">+AN441</f>
        <v>0</v>
      </c>
      <c r="AO539" s="33">
        <f t="shared" si="956"/>
        <v>0</v>
      </c>
      <c r="AP539" s="33">
        <f t="shared" si="956"/>
        <v>0</v>
      </c>
      <c r="AQ539" s="33">
        <f t="shared" si="956"/>
        <v>0</v>
      </c>
      <c r="AR539" s="33">
        <f t="shared" si="956"/>
        <v>0</v>
      </c>
      <c r="AS539" s="33">
        <f t="shared" si="956"/>
        <v>0</v>
      </c>
      <c r="AT539" s="33">
        <f t="shared" si="956"/>
        <v>0</v>
      </c>
      <c r="AU539" s="33">
        <f t="shared" si="956"/>
        <v>0</v>
      </c>
      <c r="AV539" s="33">
        <f t="shared" si="956"/>
        <v>0</v>
      </c>
      <c r="AW539" s="33">
        <f t="shared" si="956"/>
        <v>0</v>
      </c>
      <c r="AX539" s="33">
        <f t="shared" si="956"/>
        <v>0</v>
      </c>
      <c r="AY539" s="33">
        <f t="shared" si="956"/>
        <v>0</v>
      </c>
      <c r="AZ539" s="33">
        <f t="shared" si="956"/>
        <v>0</v>
      </c>
      <c r="BA539" s="33">
        <f t="shared" si="956"/>
        <v>0</v>
      </c>
      <c r="BB539" s="33">
        <f t="shared" si="956"/>
        <v>0</v>
      </c>
      <c r="BC539" s="33">
        <f t="shared" si="956"/>
        <v>0</v>
      </c>
      <c r="BD539" s="33">
        <f t="shared" si="956"/>
        <v>0</v>
      </c>
      <c r="BE539" s="33">
        <f t="shared" si="956"/>
        <v>0</v>
      </c>
      <c r="BF539" s="33">
        <f t="shared" si="956"/>
        <v>0</v>
      </c>
      <c r="BG539" s="33">
        <f t="shared" si="956"/>
        <v>0</v>
      </c>
      <c r="BH539" s="33">
        <f t="shared" si="956"/>
        <v>0</v>
      </c>
      <c r="BI539" s="33">
        <f t="shared" si="956"/>
        <v>0</v>
      </c>
      <c r="BJ539" s="33">
        <f t="shared" si="956"/>
        <v>0</v>
      </c>
      <c r="BK539" s="33">
        <f t="shared" si="956"/>
        <v>0</v>
      </c>
      <c r="BL539" s="33">
        <f t="shared" si="956"/>
        <v>0</v>
      </c>
      <c r="BM539" s="33">
        <f t="shared" si="956"/>
        <v>0</v>
      </c>
      <c r="BN539" s="33">
        <f t="shared" si="956"/>
        <v>0</v>
      </c>
      <c r="BO539" s="33">
        <f t="shared" si="956"/>
        <v>0</v>
      </c>
      <c r="BP539" s="33">
        <f t="shared" si="956"/>
        <v>0</v>
      </c>
      <c r="BQ539" s="33">
        <f t="shared" si="956"/>
        <v>0</v>
      </c>
      <c r="BR539" s="33">
        <f t="shared" si="956"/>
        <v>0</v>
      </c>
      <c r="BS539" s="33">
        <f t="shared" si="956"/>
        <v>0</v>
      </c>
      <c r="BT539" s="33">
        <f t="shared" ref="BT539:BY539" si="957">+BT441</f>
        <v>0</v>
      </c>
      <c r="BU539" s="33">
        <f t="shared" si="957"/>
        <v>0</v>
      </c>
      <c r="BV539" s="33">
        <f t="shared" si="957"/>
        <v>0</v>
      </c>
      <c r="BW539" s="33">
        <f t="shared" si="957"/>
        <v>0</v>
      </c>
      <c r="BX539" s="33">
        <f t="shared" si="957"/>
        <v>0</v>
      </c>
      <c r="BY539" s="33">
        <f t="shared" si="957"/>
        <v>0</v>
      </c>
    </row>
    <row r="540" spans="2:77" s="22" customFormat="1" ht="15" outlineLevel="1">
      <c r="D540" s="45"/>
      <c r="E540" s="22" t="s">
        <v>479</v>
      </c>
      <c r="F540" s="36" t="s">
        <v>470</v>
      </c>
      <c r="H540" s="37">
        <f ca="1">+SUM(H538:H539)</f>
        <v>0</v>
      </c>
      <c r="I540" s="37">
        <f t="shared" ref="I540:BT540" ca="1" si="958">+SUM(I538:I539)</f>
        <v>-202984641</v>
      </c>
      <c r="J540" s="37">
        <f t="shared" ca="1" si="958"/>
        <v>-207044333.81999999</v>
      </c>
      <c r="K540" s="37">
        <f t="shared" ca="1" si="958"/>
        <v>-22081280.510030404</v>
      </c>
      <c r="L540" s="37">
        <f t="shared" ca="1" si="958"/>
        <v>-22522906.12023101</v>
      </c>
      <c r="M540" s="37">
        <f t="shared" ca="1" si="958"/>
        <v>-22973364.24263563</v>
      </c>
      <c r="N540" s="37">
        <f t="shared" ca="1" si="958"/>
        <v>-23432831.527488343</v>
      </c>
      <c r="O540" s="37">
        <f t="shared" ca="1" si="958"/>
        <v>-23901488.15803811</v>
      </c>
      <c r="P540" s="37">
        <f t="shared" ca="1" si="958"/>
        <v>-24379517.921198867</v>
      </c>
      <c r="Q540" s="37">
        <f t="shared" ca="1" si="958"/>
        <v>-24867108.279622853</v>
      </c>
      <c r="R540" s="37">
        <f t="shared" ca="1" si="958"/>
        <v>-25364450.445215307</v>
      </c>
      <c r="S540" s="37">
        <f t="shared" ca="1" si="958"/>
        <v>-25871739.454119615</v>
      </c>
      <c r="T540" s="37">
        <f t="shared" ca="1" si="958"/>
        <v>-26389174.243202008</v>
      </c>
      <c r="U540" s="37">
        <f t="shared" ca="1" si="958"/>
        <v>-26916957.72806605</v>
      </c>
      <c r="V540" s="37">
        <f t="shared" ca="1" si="958"/>
        <v>-27455296.882627361</v>
      </c>
      <c r="W540" s="37">
        <f t="shared" ca="1" si="958"/>
        <v>-28004402.820279911</v>
      </c>
      <c r="X540" s="37">
        <f t="shared" ca="1" si="958"/>
        <v>-28564490.876685515</v>
      </c>
      <c r="Y540" s="37">
        <f t="shared" ca="1" si="958"/>
        <v>-29135780.694219224</v>
      </c>
      <c r="Z540" s="37">
        <f t="shared" ca="1" si="958"/>
        <v>0</v>
      </c>
      <c r="AA540" s="37">
        <f t="shared" ca="1" si="958"/>
        <v>0</v>
      </c>
      <c r="AB540" s="37">
        <f t="shared" ca="1" si="958"/>
        <v>0</v>
      </c>
      <c r="AC540" s="37">
        <f t="shared" ca="1" si="958"/>
        <v>0</v>
      </c>
      <c r="AD540" s="37">
        <f t="shared" ca="1" si="958"/>
        <v>0</v>
      </c>
      <c r="AE540" s="37">
        <f t="shared" ca="1" si="958"/>
        <v>0</v>
      </c>
      <c r="AF540" s="37">
        <f t="shared" ca="1" si="958"/>
        <v>0</v>
      </c>
      <c r="AG540" s="37">
        <f t="shared" ca="1" si="958"/>
        <v>0</v>
      </c>
      <c r="AH540" s="37">
        <f t="shared" ca="1" si="958"/>
        <v>0</v>
      </c>
      <c r="AI540" s="37">
        <f t="shared" ca="1" si="958"/>
        <v>0</v>
      </c>
      <c r="AJ540" s="37">
        <f t="shared" ca="1" si="958"/>
        <v>0</v>
      </c>
      <c r="AK540" s="37">
        <f t="shared" ca="1" si="958"/>
        <v>0</v>
      </c>
      <c r="AL540" s="37">
        <f t="shared" ca="1" si="958"/>
        <v>0</v>
      </c>
      <c r="AM540" s="37">
        <f t="shared" ca="1" si="958"/>
        <v>0</v>
      </c>
      <c r="AN540" s="37">
        <f t="shared" ca="1" si="958"/>
        <v>0</v>
      </c>
      <c r="AO540" s="37">
        <f t="shared" ca="1" si="958"/>
        <v>0</v>
      </c>
      <c r="AP540" s="37">
        <f t="shared" ca="1" si="958"/>
        <v>0</v>
      </c>
      <c r="AQ540" s="37">
        <f t="shared" ca="1" si="958"/>
        <v>0</v>
      </c>
      <c r="AR540" s="37">
        <f t="shared" ca="1" si="958"/>
        <v>0</v>
      </c>
      <c r="AS540" s="37">
        <f t="shared" ca="1" si="958"/>
        <v>0</v>
      </c>
      <c r="AT540" s="37">
        <f t="shared" ca="1" si="958"/>
        <v>0</v>
      </c>
      <c r="AU540" s="37">
        <f t="shared" ca="1" si="958"/>
        <v>0</v>
      </c>
      <c r="AV540" s="37">
        <f t="shared" ca="1" si="958"/>
        <v>0</v>
      </c>
      <c r="AW540" s="37">
        <f t="shared" ca="1" si="958"/>
        <v>0</v>
      </c>
      <c r="AX540" s="37">
        <f t="shared" ca="1" si="958"/>
        <v>0</v>
      </c>
      <c r="AY540" s="37">
        <f t="shared" ca="1" si="958"/>
        <v>0</v>
      </c>
      <c r="AZ540" s="37">
        <f t="shared" ca="1" si="958"/>
        <v>0</v>
      </c>
      <c r="BA540" s="37">
        <f t="shared" ca="1" si="958"/>
        <v>0</v>
      </c>
      <c r="BB540" s="37">
        <f t="shared" ca="1" si="958"/>
        <v>0</v>
      </c>
      <c r="BC540" s="37">
        <f t="shared" ca="1" si="958"/>
        <v>0</v>
      </c>
      <c r="BD540" s="37">
        <f t="shared" ca="1" si="958"/>
        <v>0</v>
      </c>
      <c r="BE540" s="37">
        <f t="shared" ca="1" si="958"/>
        <v>0</v>
      </c>
      <c r="BF540" s="37">
        <f t="shared" ca="1" si="958"/>
        <v>0</v>
      </c>
      <c r="BG540" s="37">
        <f t="shared" ca="1" si="958"/>
        <v>0</v>
      </c>
      <c r="BH540" s="37">
        <f t="shared" ca="1" si="958"/>
        <v>0</v>
      </c>
      <c r="BI540" s="37">
        <f t="shared" ca="1" si="958"/>
        <v>0</v>
      </c>
      <c r="BJ540" s="37">
        <f t="shared" ca="1" si="958"/>
        <v>0</v>
      </c>
      <c r="BK540" s="37">
        <f t="shared" ca="1" si="958"/>
        <v>0</v>
      </c>
      <c r="BL540" s="37">
        <f t="shared" ca="1" si="958"/>
        <v>0</v>
      </c>
      <c r="BM540" s="37">
        <f t="shared" ca="1" si="958"/>
        <v>0</v>
      </c>
      <c r="BN540" s="37">
        <f t="shared" ca="1" si="958"/>
        <v>0</v>
      </c>
      <c r="BO540" s="37">
        <f t="shared" ca="1" si="958"/>
        <v>0</v>
      </c>
      <c r="BP540" s="37">
        <f t="shared" ca="1" si="958"/>
        <v>0</v>
      </c>
      <c r="BQ540" s="37">
        <f t="shared" ca="1" si="958"/>
        <v>0</v>
      </c>
      <c r="BR540" s="37">
        <f t="shared" ca="1" si="958"/>
        <v>0</v>
      </c>
      <c r="BS540" s="37">
        <f t="shared" ca="1" si="958"/>
        <v>0</v>
      </c>
      <c r="BT540" s="37">
        <f t="shared" ca="1" si="958"/>
        <v>0</v>
      </c>
      <c r="BU540" s="37">
        <f t="shared" ref="BU540:BY540" ca="1" si="959">+SUM(BU538:BU539)</f>
        <v>0</v>
      </c>
      <c r="BV540" s="37">
        <f t="shared" ca="1" si="959"/>
        <v>0</v>
      </c>
      <c r="BW540" s="37">
        <f t="shared" ca="1" si="959"/>
        <v>0</v>
      </c>
      <c r="BX540" s="37">
        <f t="shared" ca="1" si="959"/>
        <v>0</v>
      </c>
      <c r="BY540" s="37">
        <f t="shared" ca="1" si="959"/>
        <v>0</v>
      </c>
    </row>
    <row r="541" spans="2:77" s="22" customFormat="1" ht="15" outlineLevel="1">
      <c r="D541" s="46"/>
      <c r="E541" t="s">
        <v>480</v>
      </c>
      <c r="F541" s="40" t="s">
        <v>475</v>
      </c>
      <c r="G541"/>
      <c r="H541" s="33">
        <f>-H459+H475-H491+H507</f>
        <v>0</v>
      </c>
      <c r="I541" s="33">
        <f t="shared" ref="I541:BT541" si="960">-I459+I475-I491+I507</f>
        <v>38973051.071999997</v>
      </c>
      <c r="J541" s="33">
        <f t="shared" ca="1" si="960"/>
        <v>205336374.73188213</v>
      </c>
      <c r="K541" s="33">
        <f t="shared" ca="1" si="960"/>
        <v>-10879511.515811086</v>
      </c>
      <c r="L541" s="33">
        <f t="shared" ca="1" si="960"/>
        <v>-11503886.681703484</v>
      </c>
      <c r="M541" s="33">
        <f t="shared" ca="1" si="960"/>
        <v>-12164094.738366447</v>
      </c>
      <c r="N541" s="33">
        <f t="shared" ca="1" si="960"/>
        <v>-12862192.135401297</v>
      </c>
      <c r="O541" s="33">
        <f t="shared" ca="1" si="960"/>
        <v>-13600353.342051979</v>
      </c>
      <c r="P541" s="33">
        <f t="shared" ca="1" si="960"/>
        <v>-14380877.620352343</v>
      </c>
      <c r="Q541" s="33">
        <f t="shared" ca="1" si="960"/>
        <v>-15206196.186984362</v>
      </c>
      <c r="R541" s="33">
        <f t="shared" ca="1" si="960"/>
        <v>-16078879.786155395</v>
      </c>
      <c r="S541" s="33">
        <f t="shared" ca="1" si="960"/>
        <v>-17001646.697082855</v>
      </c>
      <c r="T541" s="33">
        <f t="shared" ca="1" si="960"/>
        <v>-17977371.201028436</v>
      </c>
      <c r="U541" s="33">
        <f t="shared" ca="1" si="960"/>
        <v>-19009092.53425546</v>
      </c>
      <c r="V541" s="33">
        <f t="shared" ca="1" si="960"/>
        <v>-20100024.35479638</v>
      </c>
      <c r="W541" s="33">
        <f t="shared" ca="1" si="960"/>
        <v>-21253564.752518147</v>
      </c>
      <c r="X541" s="33">
        <f t="shared" ca="1" si="960"/>
        <v>-22473306.833665162</v>
      </c>
      <c r="Y541" s="33">
        <f t="shared" ca="1" si="960"/>
        <v>-19818427.423709266</v>
      </c>
      <c r="Z541" s="33">
        <f t="shared" si="960"/>
        <v>0</v>
      </c>
      <c r="AA541" s="33">
        <f t="shared" si="960"/>
        <v>0</v>
      </c>
      <c r="AB541" s="33">
        <f t="shared" si="960"/>
        <v>0</v>
      </c>
      <c r="AC541" s="33">
        <f t="shared" si="960"/>
        <v>0</v>
      </c>
      <c r="AD541" s="33">
        <f t="shared" si="960"/>
        <v>0</v>
      </c>
      <c r="AE541" s="33">
        <f t="shared" si="960"/>
        <v>0</v>
      </c>
      <c r="AF541" s="33">
        <f t="shared" si="960"/>
        <v>0</v>
      </c>
      <c r="AG541" s="33">
        <f t="shared" si="960"/>
        <v>0</v>
      </c>
      <c r="AH541" s="33">
        <f t="shared" si="960"/>
        <v>0</v>
      </c>
      <c r="AI541" s="33">
        <f t="shared" si="960"/>
        <v>0</v>
      </c>
      <c r="AJ541" s="33">
        <f t="shared" si="960"/>
        <v>0</v>
      </c>
      <c r="AK541" s="33">
        <f t="shared" si="960"/>
        <v>0</v>
      </c>
      <c r="AL541" s="33">
        <f t="shared" si="960"/>
        <v>0</v>
      </c>
      <c r="AM541" s="33">
        <f t="shared" si="960"/>
        <v>0</v>
      </c>
      <c r="AN541" s="33">
        <f t="shared" si="960"/>
        <v>0</v>
      </c>
      <c r="AO541" s="33">
        <f t="shared" si="960"/>
        <v>0</v>
      </c>
      <c r="AP541" s="33">
        <f t="shared" si="960"/>
        <v>0</v>
      </c>
      <c r="AQ541" s="33">
        <f t="shared" si="960"/>
        <v>0</v>
      </c>
      <c r="AR541" s="33">
        <f t="shared" si="960"/>
        <v>0</v>
      </c>
      <c r="AS541" s="33">
        <f t="shared" si="960"/>
        <v>0</v>
      </c>
      <c r="AT541" s="33">
        <f t="shared" si="960"/>
        <v>0</v>
      </c>
      <c r="AU541" s="33">
        <f t="shared" si="960"/>
        <v>0</v>
      </c>
      <c r="AV541" s="33">
        <f t="shared" si="960"/>
        <v>0</v>
      </c>
      <c r="AW541" s="33">
        <f t="shared" si="960"/>
        <v>0</v>
      </c>
      <c r="AX541" s="33">
        <f t="shared" si="960"/>
        <v>0</v>
      </c>
      <c r="AY541" s="33">
        <f t="shared" si="960"/>
        <v>0</v>
      </c>
      <c r="AZ541" s="33">
        <f t="shared" si="960"/>
        <v>0</v>
      </c>
      <c r="BA541" s="33">
        <f t="shared" si="960"/>
        <v>0</v>
      </c>
      <c r="BB541" s="33">
        <f t="shared" si="960"/>
        <v>0</v>
      </c>
      <c r="BC541" s="33">
        <f t="shared" si="960"/>
        <v>0</v>
      </c>
      <c r="BD541" s="33">
        <f t="shared" si="960"/>
        <v>0</v>
      </c>
      <c r="BE541" s="33">
        <f t="shared" si="960"/>
        <v>0</v>
      </c>
      <c r="BF541" s="33">
        <f t="shared" si="960"/>
        <v>0</v>
      </c>
      <c r="BG541" s="33">
        <f t="shared" si="960"/>
        <v>0</v>
      </c>
      <c r="BH541" s="33">
        <f t="shared" si="960"/>
        <v>0</v>
      </c>
      <c r="BI541" s="33">
        <f t="shared" si="960"/>
        <v>0</v>
      </c>
      <c r="BJ541" s="33">
        <f t="shared" si="960"/>
        <v>0</v>
      </c>
      <c r="BK541" s="33">
        <f t="shared" si="960"/>
        <v>0</v>
      </c>
      <c r="BL541" s="33">
        <f t="shared" si="960"/>
        <v>0</v>
      </c>
      <c r="BM541" s="33">
        <f t="shared" si="960"/>
        <v>0</v>
      </c>
      <c r="BN541" s="33">
        <f t="shared" si="960"/>
        <v>0</v>
      </c>
      <c r="BO541" s="33">
        <f t="shared" si="960"/>
        <v>0</v>
      </c>
      <c r="BP541" s="33">
        <f t="shared" si="960"/>
        <v>0</v>
      </c>
      <c r="BQ541" s="33">
        <f t="shared" si="960"/>
        <v>0</v>
      </c>
      <c r="BR541" s="33">
        <f t="shared" si="960"/>
        <v>0</v>
      </c>
      <c r="BS541" s="33">
        <f t="shared" si="960"/>
        <v>0</v>
      </c>
      <c r="BT541" s="33">
        <f t="shared" si="960"/>
        <v>0</v>
      </c>
      <c r="BU541" s="33">
        <f t="shared" ref="BU541:BY541" si="961">-BU459+BU475-BU491+BU507</f>
        <v>0</v>
      </c>
      <c r="BV541" s="33">
        <f t="shared" si="961"/>
        <v>0</v>
      </c>
      <c r="BW541" s="33">
        <f t="shared" si="961"/>
        <v>0</v>
      </c>
      <c r="BX541" s="33">
        <f t="shared" si="961"/>
        <v>0</v>
      </c>
      <c r="BY541" s="33">
        <f t="shared" si="961"/>
        <v>0</v>
      </c>
    </row>
    <row r="542" spans="2:77" s="22" customFormat="1" ht="15" outlineLevel="1">
      <c r="D542" s="46"/>
      <c r="E542" s="25" t="s">
        <v>468</v>
      </c>
      <c r="F542" s="30" t="s">
        <v>466</v>
      </c>
      <c r="G542" s="25"/>
      <c r="H542" s="34">
        <f ca="1">+H527</f>
        <v>0</v>
      </c>
      <c r="I542" s="34">
        <f t="shared" ref="I542:BT542" ca="1" si="962">+I527</f>
        <v>0</v>
      </c>
      <c r="J542" s="34">
        <f t="shared" ca="1" si="962"/>
        <v>-2236663.4010220799</v>
      </c>
      <c r="K542" s="34">
        <f t="shared" ca="1" si="962"/>
        <v>-14020917.946884796</v>
      </c>
      <c r="L542" s="34">
        <f t="shared" ca="1" si="962"/>
        <v>-13396542.780992398</v>
      </c>
      <c r="M542" s="34">
        <f t="shared" ca="1" si="962"/>
        <v>-12736334.724329434</v>
      </c>
      <c r="N542" s="34">
        <f t="shared" ca="1" si="962"/>
        <v>-12038237.327294584</v>
      </c>
      <c r="O542" s="34">
        <f t="shared" ca="1" si="962"/>
        <v>-11300076.120643903</v>
      </c>
      <c r="P542" s="34">
        <f t="shared" ca="1" si="962"/>
        <v>-10519551.842343539</v>
      </c>
      <c r="Q542" s="34">
        <f t="shared" ca="1" si="962"/>
        <v>-9694233.2757115196</v>
      </c>
      <c r="R542" s="34">
        <f t="shared" ca="1" si="962"/>
        <v>-8821549.6765404865</v>
      </c>
      <c r="S542" s="34">
        <f t="shared" ca="1" si="962"/>
        <v>-7898782.7656130288</v>
      </c>
      <c r="T542" s="34">
        <f t="shared" ca="1" si="962"/>
        <v>-6923058.2616674434</v>
      </c>
      <c r="U542" s="34">
        <f t="shared" ca="1" si="962"/>
        <v>-5891336.9284404218</v>
      </c>
      <c r="V542" s="34">
        <f t="shared" ca="1" si="962"/>
        <v>-4800405.107899501</v>
      </c>
      <c r="W542" s="34">
        <f t="shared" ca="1" si="962"/>
        <v>-3646864.7101777364</v>
      </c>
      <c r="X542" s="34">
        <f t="shared" ca="1" si="962"/>
        <v>-2427122.6290307199</v>
      </c>
      <c r="Y542" s="34">
        <f t="shared" ca="1" si="962"/>
        <v>-1137379.5498466762</v>
      </c>
      <c r="Z542" s="34">
        <f t="shared" ca="1" si="962"/>
        <v>-1.2827664613723756E-9</v>
      </c>
      <c r="AA542" s="34">
        <f t="shared" ca="1" si="962"/>
        <v>-1.2827664613723756E-9</v>
      </c>
      <c r="AB542" s="34">
        <f t="shared" ca="1" si="962"/>
        <v>-1.2827664613723756E-9</v>
      </c>
      <c r="AC542" s="34">
        <f t="shared" ca="1" si="962"/>
        <v>-1.2827664613723756E-9</v>
      </c>
      <c r="AD542" s="34">
        <f t="shared" ca="1" si="962"/>
        <v>-1.2827664613723756E-9</v>
      </c>
      <c r="AE542" s="34">
        <f t="shared" ca="1" si="962"/>
        <v>-1.2827664613723756E-9</v>
      </c>
      <c r="AF542" s="34">
        <f t="shared" ca="1" si="962"/>
        <v>-1.2827664613723756E-9</v>
      </c>
      <c r="AG542" s="34">
        <f t="shared" ca="1" si="962"/>
        <v>-1.2827664613723756E-9</v>
      </c>
      <c r="AH542" s="34">
        <f t="shared" ca="1" si="962"/>
        <v>-1.2827664613723756E-9</v>
      </c>
      <c r="AI542" s="34">
        <f t="shared" ca="1" si="962"/>
        <v>-1.2827664613723756E-9</v>
      </c>
      <c r="AJ542" s="34">
        <f t="shared" ca="1" si="962"/>
        <v>-1.2827664613723756E-9</v>
      </c>
      <c r="AK542" s="34">
        <f t="shared" ca="1" si="962"/>
        <v>-1.2827664613723756E-9</v>
      </c>
      <c r="AL542" s="34">
        <f t="shared" ca="1" si="962"/>
        <v>-1.2827664613723756E-9</v>
      </c>
      <c r="AM542" s="34">
        <f t="shared" ca="1" si="962"/>
        <v>-1.2827664613723756E-9</v>
      </c>
      <c r="AN542" s="34">
        <f t="shared" ca="1" si="962"/>
        <v>-1.2827664613723756E-9</v>
      </c>
      <c r="AO542" s="34">
        <f t="shared" ca="1" si="962"/>
        <v>-1.2827664613723756E-9</v>
      </c>
      <c r="AP542" s="34">
        <f t="shared" ca="1" si="962"/>
        <v>-1.2827664613723756E-9</v>
      </c>
      <c r="AQ542" s="34">
        <f t="shared" ca="1" si="962"/>
        <v>-1.2827664613723756E-9</v>
      </c>
      <c r="AR542" s="34">
        <f t="shared" ca="1" si="962"/>
        <v>-1.2827664613723756E-9</v>
      </c>
      <c r="AS542" s="34">
        <f t="shared" ca="1" si="962"/>
        <v>-1.2827664613723756E-9</v>
      </c>
      <c r="AT542" s="34">
        <f t="shared" ca="1" si="962"/>
        <v>-1.2827664613723756E-9</v>
      </c>
      <c r="AU542" s="34">
        <f t="shared" ca="1" si="962"/>
        <v>-1.2827664613723756E-9</v>
      </c>
      <c r="AV542" s="34">
        <f t="shared" ca="1" si="962"/>
        <v>-1.2827664613723756E-9</v>
      </c>
      <c r="AW542" s="34">
        <f t="shared" ca="1" si="962"/>
        <v>-1.2827664613723756E-9</v>
      </c>
      <c r="AX542" s="34">
        <f t="shared" ca="1" si="962"/>
        <v>-1.2827664613723756E-9</v>
      </c>
      <c r="AY542" s="34">
        <f t="shared" ca="1" si="962"/>
        <v>-1.2827664613723756E-9</v>
      </c>
      <c r="AZ542" s="34">
        <f t="shared" ca="1" si="962"/>
        <v>-1.2827664613723756E-9</v>
      </c>
      <c r="BA542" s="34">
        <f t="shared" ca="1" si="962"/>
        <v>-1.2827664613723756E-9</v>
      </c>
      <c r="BB542" s="34">
        <f t="shared" ca="1" si="962"/>
        <v>-1.2827664613723756E-9</v>
      </c>
      <c r="BC542" s="34">
        <f t="shared" ca="1" si="962"/>
        <v>-1.2827664613723756E-9</v>
      </c>
      <c r="BD542" s="34">
        <f t="shared" ca="1" si="962"/>
        <v>-1.2827664613723756E-9</v>
      </c>
      <c r="BE542" s="34">
        <f t="shared" ca="1" si="962"/>
        <v>-1.2827664613723756E-9</v>
      </c>
      <c r="BF542" s="34">
        <f t="shared" ca="1" si="962"/>
        <v>-1.2827664613723756E-9</v>
      </c>
      <c r="BG542" s="34">
        <f t="shared" ca="1" si="962"/>
        <v>-1.2827664613723756E-9</v>
      </c>
      <c r="BH542" s="34">
        <f t="shared" ca="1" si="962"/>
        <v>-1.2827664613723756E-9</v>
      </c>
      <c r="BI542" s="34">
        <f t="shared" ca="1" si="962"/>
        <v>-1.2827664613723756E-9</v>
      </c>
      <c r="BJ542" s="34">
        <f t="shared" ca="1" si="962"/>
        <v>-1.2827664613723756E-9</v>
      </c>
      <c r="BK542" s="34">
        <f t="shared" ca="1" si="962"/>
        <v>-1.2827664613723756E-9</v>
      </c>
      <c r="BL542" s="34">
        <f t="shared" ca="1" si="962"/>
        <v>-1.2827664613723756E-9</v>
      </c>
      <c r="BM542" s="34">
        <f t="shared" ca="1" si="962"/>
        <v>-1.2827664613723756E-9</v>
      </c>
      <c r="BN542" s="34">
        <f t="shared" ca="1" si="962"/>
        <v>-1.2827664613723756E-9</v>
      </c>
      <c r="BO542" s="34">
        <f t="shared" ca="1" si="962"/>
        <v>-1.2827664613723756E-9</v>
      </c>
      <c r="BP542" s="34">
        <f t="shared" ca="1" si="962"/>
        <v>-1.2827664613723756E-9</v>
      </c>
      <c r="BQ542" s="34">
        <f t="shared" ca="1" si="962"/>
        <v>-1.2827664613723756E-9</v>
      </c>
      <c r="BR542" s="34">
        <f t="shared" ca="1" si="962"/>
        <v>-1.2827664613723756E-9</v>
      </c>
      <c r="BS542" s="34">
        <f t="shared" ca="1" si="962"/>
        <v>-1.2827664613723756E-9</v>
      </c>
      <c r="BT542" s="34">
        <f t="shared" ca="1" si="962"/>
        <v>-1.2827664613723756E-9</v>
      </c>
      <c r="BU542" s="34">
        <f t="shared" ref="BU542:BY542" ca="1" si="963">+BU527</f>
        <v>-1.2827664613723756E-9</v>
      </c>
      <c r="BV542" s="34">
        <f t="shared" ca="1" si="963"/>
        <v>-1.2827664613723756E-9</v>
      </c>
      <c r="BW542" s="34">
        <f t="shared" ca="1" si="963"/>
        <v>-1.2827664613723756E-9</v>
      </c>
      <c r="BX542" s="34">
        <f t="shared" ca="1" si="963"/>
        <v>-1.2827664613723756E-9</v>
      </c>
      <c r="BY542" s="34">
        <f t="shared" ca="1" si="963"/>
        <v>-1.2827664613723756E-9</v>
      </c>
    </row>
    <row r="543" spans="2:77" s="22" customFormat="1" ht="15" outlineLevel="1">
      <c r="D543" s="48"/>
      <c r="E543" s="22" t="s">
        <v>481</v>
      </c>
      <c r="F543" s="36" t="s">
        <v>470</v>
      </c>
      <c r="G543" s="45"/>
      <c r="H543" s="47">
        <f ca="1">+SUM(H540:H542)</f>
        <v>0</v>
      </c>
      <c r="I543" s="47">
        <f t="shared" ref="I543:BT543" ca="1" si="964">+SUM(I540:I542)</f>
        <v>-164011589.928</v>
      </c>
      <c r="J543" s="47">
        <f t="shared" ca="1" si="964"/>
        <v>-3944622.4891399476</v>
      </c>
      <c r="K543" s="47">
        <f t="shared" ca="1" si="964"/>
        <v>-46981709.972726285</v>
      </c>
      <c r="L543" s="47">
        <f t="shared" ca="1" si="964"/>
        <v>-47423335.582926892</v>
      </c>
      <c r="M543" s="47">
        <f t="shared" ca="1" si="964"/>
        <v>-47873793.705331512</v>
      </c>
      <c r="N543" s="47">
        <f t="shared" ca="1" si="964"/>
        <v>-48333260.990184233</v>
      </c>
      <c r="O543" s="47">
        <f t="shared" ca="1" si="964"/>
        <v>-48801917.620733991</v>
      </c>
      <c r="P543" s="47">
        <f t="shared" ca="1" si="964"/>
        <v>-49279947.383894749</v>
      </c>
      <c r="Q543" s="47">
        <f t="shared" ca="1" si="964"/>
        <v>-49767537.742318735</v>
      </c>
      <c r="R543" s="47">
        <f t="shared" ca="1" si="964"/>
        <v>-50264879.907911189</v>
      </c>
      <c r="S543" s="47">
        <f t="shared" ca="1" si="964"/>
        <v>-50772168.916815497</v>
      </c>
      <c r="T543" s="47">
        <f t="shared" ca="1" si="964"/>
        <v>-51289603.70589789</v>
      </c>
      <c r="U543" s="47">
        <f t="shared" ca="1" si="964"/>
        <v>-51817387.190761931</v>
      </c>
      <c r="V543" s="47">
        <f t="shared" ca="1" si="964"/>
        <v>-52355726.345323242</v>
      </c>
      <c r="W543" s="47">
        <f t="shared" ca="1" si="964"/>
        <v>-52904832.282975793</v>
      </c>
      <c r="X543" s="47">
        <f t="shared" ca="1" si="964"/>
        <v>-53464920.339381397</v>
      </c>
      <c r="Y543" s="47">
        <f t="shared" ca="1" si="964"/>
        <v>-50091587.667775169</v>
      </c>
      <c r="Z543" s="47">
        <f t="shared" ca="1" si="964"/>
        <v>-1.2827664613723756E-9</v>
      </c>
      <c r="AA543" s="47">
        <f t="shared" ca="1" si="964"/>
        <v>-1.2827664613723756E-9</v>
      </c>
      <c r="AB543" s="47">
        <f t="shared" ca="1" si="964"/>
        <v>-1.2827664613723756E-9</v>
      </c>
      <c r="AC543" s="47">
        <f t="shared" ca="1" si="964"/>
        <v>-1.2827664613723756E-9</v>
      </c>
      <c r="AD543" s="47">
        <f t="shared" ca="1" si="964"/>
        <v>-1.2827664613723756E-9</v>
      </c>
      <c r="AE543" s="47">
        <f t="shared" ca="1" si="964"/>
        <v>-1.2827664613723756E-9</v>
      </c>
      <c r="AF543" s="47">
        <f t="shared" ca="1" si="964"/>
        <v>-1.2827664613723756E-9</v>
      </c>
      <c r="AG543" s="47">
        <f t="shared" ca="1" si="964"/>
        <v>-1.2827664613723756E-9</v>
      </c>
      <c r="AH543" s="47">
        <f t="shared" ca="1" si="964"/>
        <v>-1.2827664613723756E-9</v>
      </c>
      <c r="AI543" s="47">
        <f t="shared" ca="1" si="964"/>
        <v>-1.2827664613723756E-9</v>
      </c>
      <c r="AJ543" s="47">
        <f t="shared" ca="1" si="964"/>
        <v>-1.2827664613723756E-9</v>
      </c>
      <c r="AK543" s="47">
        <f t="shared" ca="1" si="964"/>
        <v>-1.2827664613723756E-9</v>
      </c>
      <c r="AL543" s="47">
        <f t="shared" ca="1" si="964"/>
        <v>-1.2827664613723756E-9</v>
      </c>
      <c r="AM543" s="47">
        <f t="shared" ca="1" si="964"/>
        <v>-1.2827664613723756E-9</v>
      </c>
      <c r="AN543" s="47">
        <f t="shared" ca="1" si="964"/>
        <v>-1.2827664613723756E-9</v>
      </c>
      <c r="AO543" s="47">
        <f t="shared" ca="1" si="964"/>
        <v>-1.2827664613723756E-9</v>
      </c>
      <c r="AP543" s="47">
        <f t="shared" ca="1" si="964"/>
        <v>-1.2827664613723756E-9</v>
      </c>
      <c r="AQ543" s="47">
        <f t="shared" ca="1" si="964"/>
        <v>-1.2827664613723756E-9</v>
      </c>
      <c r="AR543" s="47">
        <f t="shared" ca="1" si="964"/>
        <v>-1.2827664613723756E-9</v>
      </c>
      <c r="AS543" s="47">
        <f t="shared" ca="1" si="964"/>
        <v>-1.2827664613723756E-9</v>
      </c>
      <c r="AT543" s="47">
        <f t="shared" ca="1" si="964"/>
        <v>-1.2827664613723756E-9</v>
      </c>
      <c r="AU543" s="47">
        <f t="shared" ca="1" si="964"/>
        <v>-1.2827664613723756E-9</v>
      </c>
      <c r="AV543" s="47">
        <f t="shared" ca="1" si="964"/>
        <v>-1.2827664613723756E-9</v>
      </c>
      <c r="AW543" s="47">
        <f t="shared" ca="1" si="964"/>
        <v>-1.2827664613723756E-9</v>
      </c>
      <c r="AX543" s="47">
        <f t="shared" ca="1" si="964"/>
        <v>-1.2827664613723756E-9</v>
      </c>
      <c r="AY543" s="47">
        <f t="shared" ca="1" si="964"/>
        <v>-1.2827664613723756E-9</v>
      </c>
      <c r="AZ543" s="47">
        <f t="shared" ca="1" si="964"/>
        <v>-1.2827664613723756E-9</v>
      </c>
      <c r="BA543" s="47">
        <f t="shared" ca="1" si="964"/>
        <v>-1.2827664613723756E-9</v>
      </c>
      <c r="BB543" s="47">
        <f t="shared" ca="1" si="964"/>
        <v>-1.2827664613723756E-9</v>
      </c>
      <c r="BC543" s="47">
        <f t="shared" ca="1" si="964"/>
        <v>-1.2827664613723756E-9</v>
      </c>
      <c r="BD543" s="47">
        <f t="shared" ca="1" si="964"/>
        <v>-1.2827664613723756E-9</v>
      </c>
      <c r="BE543" s="47">
        <f t="shared" ca="1" si="964"/>
        <v>-1.2827664613723756E-9</v>
      </c>
      <c r="BF543" s="47">
        <f t="shared" ca="1" si="964"/>
        <v>-1.2827664613723756E-9</v>
      </c>
      <c r="BG543" s="47">
        <f t="shared" ca="1" si="964"/>
        <v>-1.2827664613723756E-9</v>
      </c>
      <c r="BH543" s="47">
        <f t="shared" ca="1" si="964"/>
        <v>-1.2827664613723756E-9</v>
      </c>
      <c r="BI543" s="47">
        <f t="shared" ca="1" si="964"/>
        <v>-1.2827664613723756E-9</v>
      </c>
      <c r="BJ543" s="47">
        <f t="shared" ca="1" si="964"/>
        <v>-1.2827664613723756E-9</v>
      </c>
      <c r="BK543" s="47">
        <f t="shared" ca="1" si="964"/>
        <v>-1.2827664613723756E-9</v>
      </c>
      <c r="BL543" s="47">
        <f t="shared" ca="1" si="964"/>
        <v>-1.2827664613723756E-9</v>
      </c>
      <c r="BM543" s="47">
        <f t="shared" ca="1" si="964"/>
        <v>-1.2827664613723756E-9</v>
      </c>
      <c r="BN543" s="47">
        <f t="shared" ca="1" si="964"/>
        <v>-1.2827664613723756E-9</v>
      </c>
      <c r="BO543" s="47">
        <f t="shared" ca="1" si="964"/>
        <v>-1.2827664613723756E-9</v>
      </c>
      <c r="BP543" s="47">
        <f t="shared" ca="1" si="964"/>
        <v>-1.2827664613723756E-9</v>
      </c>
      <c r="BQ543" s="47">
        <f t="shared" ca="1" si="964"/>
        <v>-1.2827664613723756E-9</v>
      </c>
      <c r="BR543" s="47">
        <f t="shared" ca="1" si="964"/>
        <v>-1.2827664613723756E-9</v>
      </c>
      <c r="BS543" s="47">
        <f t="shared" ca="1" si="964"/>
        <v>-1.2827664613723756E-9</v>
      </c>
      <c r="BT543" s="47">
        <f t="shared" ca="1" si="964"/>
        <v>-1.2827664613723756E-9</v>
      </c>
      <c r="BU543" s="47">
        <f t="shared" ref="BU543:BY543" ca="1" si="965">+SUM(BU540:BU542)</f>
        <v>-1.2827664613723756E-9</v>
      </c>
      <c r="BV543" s="47">
        <f t="shared" ca="1" si="965"/>
        <v>-1.2827664613723756E-9</v>
      </c>
      <c r="BW543" s="47">
        <f t="shared" ca="1" si="965"/>
        <v>-1.2827664613723756E-9</v>
      </c>
      <c r="BX543" s="47">
        <f t="shared" ca="1" si="965"/>
        <v>-1.2827664613723756E-9</v>
      </c>
      <c r="BY543" s="47">
        <f t="shared" ca="1" si="965"/>
        <v>-1.2827664613723756E-9</v>
      </c>
    </row>
    <row r="546" spans="1:77" s="17" customFormat="1" ht="15">
      <c r="A546" s="17" t="s">
        <v>462</v>
      </c>
    </row>
    <row r="547" spans="1:77">
      <c r="C547" s="29"/>
      <c r="D547" s="29"/>
      <c r="E547" s="24"/>
      <c r="F547" s="24"/>
      <c r="G547" s="24"/>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row>
    <row r="548" spans="1:77">
      <c r="C548" s="29"/>
      <c r="D548" s="29"/>
      <c r="E548" s="24"/>
      <c r="F548" s="24"/>
      <c r="G548" s="24"/>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row>
    <row r="549" spans="1:77" s="66" customFormat="1" ht="15">
      <c r="A549" s="66" t="s">
        <v>464</v>
      </c>
    </row>
    <row r="550" spans="1:77" s="19" customFormat="1" outlineLevel="1">
      <c r="A550"/>
      <c r="B550" s="18" t="s">
        <v>465</v>
      </c>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row>
    <row r="551" spans="1:77" outlineLevel="1">
      <c r="C551" s="29"/>
      <c r="D551" s="29"/>
      <c r="E551" s="24"/>
      <c r="F551" s="24"/>
      <c r="G551" s="24"/>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row>
    <row r="552" spans="1:77" ht="15" outlineLevel="1">
      <c r="C552" s="90"/>
      <c r="D552" s="29"/>
      <c r="E552" t="s">
        <v>450</v>
      </c>
      <c r="F552" s="23" t="s">
        <v>466</v>
      </c>
      <c r="G552" s="24"/>
      <c r="H552" s="33">
        <f t="shared" ref="H552:AM552" ca="1" si="966">H693+H901+H910+H1044</f>
        <v>0</v>
      </c>
      <c r="I552" s="33">
        <f t="shared" ca="1" si="966"/>
        <v>0</v>
      </c>
      <c r="J552" s="33">
        <f t="shared" ca="1" si="966"/>
        <v>0</v>
      </c>
      <c r="K552" s="33">
        <f t="shared" si="966"/>
        <v>-21565903.552851517</v>
      </c>
      <c r="L552" s="33">
        <f t="shared" si="966"/>
        <v>-21997221.623908546</v>
      </c>
      <c r="M552" s="33">
        <f t="shared" si="966"/>
        <v>-22437166.056386717</v>
      </c>
      <c r="N552" s="33">
        <f t="shared" si="966"/>
        <v>-22885909.377514444</v>
      </c>
      <c r="O552" s="33">
        <f t="shared" si="966"/>
        <v>-23343627.565064739</v>
      </c>
      <c r="P552" s="33">
        <f t="shared" si="966"/>
        <v>-23810500.116366033</v>
      </c>
      <c r="Q552" s="33">
        <f t="shared" si="966"/>
        <v>-24286710.118693355</v>
      </c>
      <c r="R552" s="33">
        <f t="shared" si="966"/>
        <v>-24772444.321067218</v>
      </c>
      <c r="S552" s="33">
        <f t="shared" si="966"/>
        <v>-25267893.207488567</v>
      </c>
      <c r="T552" s="33">
        <f t="shared" si="966"/>
        <v>-25773251.071638335</v>
      </c>
      <c r="U552" s="33">
        <f t="shared" si="966"/>
        <v>-26288716.093071103</v>
      </c>
      <c r="V552" s="33">
        <f t="shared" si="966"/>
        <v>-26814490.414932519</v>
      </c>
      <c r="W552" s="33">
        <f t="shared" si="966"/>
        <v>-27350780.223231178</v>
      </c>
      <c r="X552" s="33">
        <f t="shared" si="966"/>
        <v>-27897795.827695802</v>
      </c>
      <c r="Y552" s="33">
        <f t="shared" si="966"/>
        <v>-28455751.744249716</v>
      </c>
      <c r="Z552" s="33">
        <f t="shared" ca="1" si="966"/>
        <v>0</v>
      </c>
      <c r="AA552" s="33">
        <f t="shared" ca="1" si="966"/>
        <v>0</v>
      </c>
      <c r="AB552" s="33">
        <f t="shared" ca="1" si="966"/>
        <v>0</v>
      </c>
      <c r="AC552" s="33">
        <f t="shared" ca="1" si="966"/>
        <v>0</v>
      </c>
      <c r="AD552" s="33">
        <f t="shared" ca="1" si="966"/>
        <v>0</v>
      </c>
      <c r="AE552" s="33">
        <f t="shared" ca="1" si="966"/>
        <v>0</v>
      </c>
      <c r="AF552" s="33">
        <f t="shared" ca="1" si="966"/>
        <v>0</v>
      </c>
      <c r="AG552" s="33">
        <f t="shared" ca="1" si="966"/>
        <v>0</v>
      </c>
      <c r="AH552" s="33">
        <f t="shared" ca="1" si="966"/>
        <v>0</v>
      </c>
      <c r="AI552" s="33">
        <f t="shared" ca="1" si="966"/>
        <v>0</v>
      </c>
      <c r="AJ552" s="33">
        <f t="shared" ca="1" si="966"/>
        <v>0</v>
      </c>
      <c r="AK552" s="33">
        <f t="shared" ca="1" si="966"/>
        <v>0</v>
      </c>
      <c r="AL552" s="33">
        <f t="shared" ca="1" si="966"/>
        <v>0</v>
      </c>
      <c r="AM552" s="33">
        <f t="shared" ca="1" si="966"/>
        <v>0</v>
      </c>
      <c r="AN552" s="33">
        <f t="shared" ref="AN552:BS552" ca="1" si="967">AN693+AN901+AN910+AN1044</f>
        <v>0</v>
      </c>
      <c r="AO552" s="33">
        <f t="shared" ca="1" si="967"/>
        <v>0</v>
      </c>
      <c r="AP552" s="33">
        <f t="shared" ca="1" si="967"/>
        <v>0</v>
      </c>
      <c r="AQ552" s="33">
        <f t="shared" ca="1" si="967"/>
        <v>0</v>
      </c>
      <c r="AR552" s="33">
        <f t="shared" ca="1" si="967"/>
        <v>0</v>
      </c>
      <c r="AS552" s="33">
        <f t="shared" ca="1" si="967"/>
        <v>0</v>
      </c>
      <c r="AT552" s="33">
        <f t="shared" ca="1" si="967"/>
        <v>0</v>
      </c>
      <c r="AU552" s="33">
        <f t="shared" ca="1" si="967"/>
        <v>0</v>
      </c>
      <c r="AV552" s="33">
        <f t="shared" ca="1" si="967"/>
        <v>0</v>
      </c>
      <c r="AW552" s="33">
        <f t="shared" ca="1" si="967"/>
        <v>0</v>
      </c>
      <c r="AX552" s="33">
        <f t="shared" ca="1" si="967"/>
        <v>0</v>
      </c>
      <c r="AY552" s="33">
        <f t="shared" ca="1" si="967"/>
        <v>0</v>
      </c>
      <c r="AZ552" s="33">
        <f t="shared" ca="1" si="967"/>
        <v>0</v>
      </c>
      <c r="BA552" s="33">
        <f t="shared" ca="1" si="967"/>
        <v>0</v>
      </c>
      <c r="BB552" s="33">
        <f t="shared" ca="1" si="967"/>
        <v>0</v>
      </c>
      <c r="BC552" s="33">
        <f t="shared" ca="1" si="967"/>
        <v>0</v>
      </c>
      <c r="BD552" s="33">
        <f t="shared" ca="1" si="967"/>
        <v>0</v>
      </c>
      <c r="BE552" s="33">
        <f t="shared" ca="1" si="967"/>
        <v>0</v>
      </c>
      <c r="BF552" s="33">
        <f t="shared" ca="1" si="967"/>
        <v>0</v>
      </c>
      <c r="BG552" s="33">
        <f t="shared" ca="1" si="967"/>
        <v>0</v>
      </c>
      <c r="BH552" s="33">
        <f t="shared" ca="1" si="967"/>
        <v>0</v>
      </c>
      <c r="BI552" s="33">
        <f t="shared" ca="1" si="967"/>
        <v>0</v>
      </c>
      <c r="BJ552" s="33">
        <f t="shared" ca="1" si="967"/>
        <v>0</v>
      </c>
      <c r="BK552" s="33">
        <f t="shared" ca="1" si="967"/>
        <v>0</v>
      </c>
      <c r="BL552" s="33">
        <f t="shared" ca="1" si="967"/>
        <v>0</v>
      </c>
      <c r="BM552" s="33">
        <f t="shared" ca="1" si="967"/>
        <v>0</v>
      </c>
      <c r="BN552" s="33">
        <f t="shared" ca="1" si="967"/>
        <v>0</v>
      </c>
      <c r="BO552" s="33">
        <f t="shared" ca="1" si="967"/>
        <v>0</v>
      </c>
      <c r="BP552" s="33">
        <f t="shared" ca="1" si="967"/>
        <v>0</v>
      </c>
      <c r="BQ552" s="33">
        <f t="shared" ca="1" si="967"/>
        <v>0</v>
      </c>
      <c r="BR552" s="33">
        <f t="shared" ca="1" si="967"/>
        <v>0</v>
      </c>
      <c r="BS552" s="33">
        <f t="shared" ca="1" si="967"/>
        <v>0</v>
      </c>
      <c r="BT552" s="33">
        <f t="shared" ref="BT552:BY552" ca="1" si="968">BT693+BT901+BT910+BT1044</f>
        <v>0</v>
      </c>
      <c r="BU552" s="33">
        <f t="shared" ca="1" si="968"/>
        <v>0</v>
      </c>
      <c r="BV552" s="33">
        <f t="shared" ca="1" si="968"/>
        <v>0</v>
      </c>
      <c r="BW552" s="33">
        <f t="shared" ca="1" si="968"/>
        <v>0</v>
      </c>
      <c r="BX552" s="33">
        <f t="shared" ca="1" si="968"/>
        <v>0</v>
      </c>
      <c r="BY552" s="33">
        <f t="shared" ca="1" si="968"/>
        <v>0</v>
      </c>
    </row>
    <row r="553" spans="1:77" ht="15" outlineLevel="1">
      <c r="C553" s="90"/>
      <c r="D553" s="29"/>
      <c r="E553" t="s">
        <v>467</v>
      </c>
      <c r="F553" s="23" t="s">
        <v>466</v>
      </c>
      <c r="G553" s="24"/>
      <c r="H553" s="33">
        <f t="shared" ref="H553:AM553" si="969">H694+H902+H911+H1045</f>
        <v>0</v>
      </c>
      <c r="I553" s="33">
        <f t="shared" si="969"/>
        <v>0</v>
      </c>
      <c r="J553" s="33">
        <f t="shared" si="969"/>
        <v>0</v>
      </c>
      <c r="K553" s="33">
        <f t="shared" si="969"/>
        <v>-23642719.540580101</v>
      </c>
      <c r="L553" s="33">
        <f t="shared" si="969"/>
        <v>-23642719.540580101</v>
      </c>
      <c r="M553" s="33">
        <f t="shared" si="969"/>
        <v>-23642719.540580101</v>
      </c>
      <c r="N553" s="33">
        <f t="shared" si="969"/>
        <v>-23642719.540580101</v>
      </c>
      <c r="O553" s="33">
        <f t="shared" si="969"/>
        <v>-23642719.540580101</v>
      </c>
      <c r="P553" s="33">
        <f t="shared" si="969"/>
        <v>-23642719.540580101</v>
      </c>
      <c r="Q553" s="33">
        <f t="shared" si="969"/>
        <v>-23642719.540580101</v>
      </c>
      <c r="R553" s="33">
        <f t="shared" si="969"/>
        <v>-23642719.540580101</v>
      </c>
      <c r="S553" s="33">
        <f t="shared" si="969"/>
        <v>-23642719.540580101</v>
      </c>
      <c r="T553" s="33">
        <f t="shared" si="969"/>
        <v>-23642719.540580101</v>
      </c>
      <c r="U553" s="33">
        <f t="shared" si="969"/>
        <v>-23642719.540580101</v>
      </c>
      <c r="V553" s="33">
        <f t="shared" si="969"/>
        <v>-23642719.540580101</v>
      </c>
      <c r="W553" s="33">
        <f t="shared" si="969"/>
        <v>-23642719.540580101</v>
      </c>
      <c r="X553" s="33">
        <f t="shared" si="969"/>
        <v>-23642719.540580101</v>
      </c>
      <c r="Y553" s="33">
        <f t="shared" si="969"/>
        <v>-23642719.540580101</v>
      </c>
      <c r="Z553" s="33">
        <f t="shared" si="969"/>
        <v>-34537.609717536398</v>
      </c>
      <c r="AA553" s="33">
        <f t="shared" si="969"/>
        <v>0</v>
      </c>
      <c r="AB553" s="33">
        <f t="shared" si="969"/>
        <v>0</v>
      </c>
      <c r="AC553" s="33">
        <f t="shared" si="969"/>
        <v>0</v>
      </c>
      <c r="AD553" s="33">
        <f t="shared" si="969"/>
        <v>0</v>
      </c>
      <c r="AE553" s="33">
        <f t="shared" si="969"/>
        <v>0</v>
      </c>
      <c r="AF553" s="33">
        <f t="shared" si="969"/>
        <v>0</v>
      </c>
      <c r="AG553" s="33">
        <f t="shared" si="969"/>
        <v>0</v>
      </c>
      <c r="AH553" s="33">
        <f t="shared" si="969"/>
        <v>0</v>
      </c>
      <c r="AI553" s="33">
        <f t="shared" si="969"/>
        <v>0</v>
      </c>
      <c r="AJ553" s="33">
        <f t="shared" si="969"/>
        <v>0</v>
      </c>
      <c r="AK553" s="33">
        <f t="shared" si="969"/>
        <v>0</v>
      </c>
      <c r="AL553" s="33">
        <f t="shared" si="969"/>
        <v>0</v>
      </c>
      <c r="AM553" s="33">
        <f t="shared" si="969"/>
        <v>0</v>
      </c>
      <c r="AN553" s="33">
        <f t="shared" ref="AN553:BS553" si="970">AN694+AN902+AN911+AN1045</f>
        <v>0</v>
      </c>
      <c r="AO553" s="33">
        <f t="shared" si="970"/>
        <v>0</v>
      </c>
      <c r="AP553" s="33">
        <f t="shared" si="970"/>
        <v>0</v>
      </c>
      <c r="AQ553" s="33">
        <f t="shared" si="970"/>
        <v>0</v>
      </c>
      <c r="AR553" s="33">
        <f t="shared" si="970"/>
        <v>0</v>
      </c>
      <c r="AS553" s="33">
        <f t="shared" si="970"/>
        <v>0</v>
      </c>
      <c r="AT553" s="33">
        <f t="shared" si="970"/>
        <v>0</v>
      </c>
      <c r="AU553" s="33">
        <f t="shared" si="970"/>
        <v>0</v>
      </c>
      <c r="AV553" s="33">
        <f t="shared" si="970"/>
        <v>0</v>
      </c>
      <c r="AW553" s="33">
        <f t="shared" si="970"/>
        <v>0</v>
      </c>
      <c r="AX553" s="33">
        <f t="shared" si="970"/>
        <v>0</v>
      </c>
      <c r="AY553" s="33">
        <f t="shared" si="970"/>
        <v>0</v>
      </c>
      <c r="AZ553" s="33">
        <f t="shared" si="970"/>
        <v>0</v>
      </c>
      <c r="BA553" s="33">
        <f t="shared" si="970"/>
        <v>0</v>
      </c>
      <c r="BB553" s="33">
        <f t="shared" si="970"/>
        <v>0</v>
      </c>
      <c r="BC553" s="33">
        <f t="shared" si="970"/>
        <v>0</v>
      </c>
      <c r="BD553" s="33">
        <f t="shared" si="970"/>
        <v>0</v>
      </c>
      <c r="BE553" s="33">
        <f t="shared" si="970"/>
        <v>0</v>
      </c>
      <c r="BF553" s="33">
        <f t="shared" si="970"/>
        <v>0</v>
      </c>
      <c r="BG553" s="33">
        <f t="shared" si="970"/>
        <v>0</v>
      </c>
      <c r="BH553" s="33">
        <f t="shared" si="970"/>
        <v>0</v>
      </c>
      <c r="BI553" s="33">
        <f t="shared" si="970"/>
        <v>0</v>
      </c>
      <c r="BJ553" s="33">
        <f t="shared" si="970"/>
        <v>0</v>
      </c>
      <c r="BK553" s="33">
        <f t="shared" si="970"/>
        <v>0</v>
      </c>
      <c r="BL553" s="33">
        <f t="shared" si="970"/>
        <v>0</v>
      </c>
      <c r="BM553" s="33">
        <f t="shared" si="970"/>
        <v>0</v>
      </c>
      <c r="BN553" s="33">
        <f t="shared" si="970"/>
        <v>0</v>
      </c>
      <c r="BO553" s="33">
        <f t="shared" si="970"/>
        <v>0</v>
      </c>
      <c r="BP553" s="33">
        <f t="shared" si="970"/>
        <v>0</v>
      </c>
      <c r="BQ553" s="33">
        <f t="shared" si="970"/>
        <v>0</v>
      </c>
      <c r="BR553" s="33">
        <f t="shared" si="970"/>
        <v>0</v>
      </c>
      <c r="BS553" s="33">
        <f t="shared" si="970"/>
        <v>0</v>
      </c>
      <c r="BT553" s="33">
        <f t="shared" ref="BT553:BY553" si="971">BT694+BT902+BT911+BT1045</f>
        <v>0</v>
      </c>
      <c r="BU553" s="33">
        <f t="shared" si="971"/>
        <v>0</v>
      </c>
      <c r="BV553" s="33">
        <f t="shared" si="971"/>
        <v>0</v>
      </c>
      <c r="BW553" s="33">
        <f t="shared" si="971"/>
        <v>0</v>
      </c>
      <c r="BX553" s="33">
        <f t="shared" si="971"/>
        <v>0</v>
      </c>
      <c r="BY553" s="33">
        <f t="shared" si="971"/>
        <v>0</v>
      </c>
    </row>
    <row r="554" spans="1:77" ht="15" outlineLevel="1">
      <c r="C554" s="90"/>
      <c r="D554" s="29"/>
      <c r="E554" t="s">
        <v>468</v>
      </c>
      <c r="F554" s="23" t="s">
        <v>466</v>
      </c>
      <c r="G554" s="24"/>
      <c r="H554" s="33">
        <f t="shared" ref="H554:AM554" ca="1" si="972">+H695+H903+H912+H1046</f>
        <v>0</v>
      </c>
      <c r="I554" s="33">
        <f t="shared" ca="1" si="972"/>
        <v>0</v>
      </c>
      <c r="J554" s="33">
        <f t="shared" ca="1" si="972"/>
        <v>-1946321.4582664925</v>
      </c>
      <c r="K554" s="33">
        <f t="shared" ca="1" si="972"/>
        <v>-12148208.521304723</v>
      </c>
      <c r="L554" s="33">
        <f t="shared" ca="1" si="972"/>
        <v>-11607191.016017979</v>
      </c>
      <c r="M554" s="33">
        <f t="shared" ca="1" si="972"/>
        <v>-11035124.516102828</v>
      </c>
      <c r="N554" s="33">
        <f t="shared" ca="1" si="972"/>
        <v>-10430227.119757548</v>
      </c>
      <c r="O554" s="33">
        <f t="shared" ca="1" si="972"/>
        <v>-9790614.6618360132</v>
      </c>
      <c r="P554" s="33">
        <f t="shared" ca="1" si="972"/>
        <v>-9114294.8449543603</v>
      </c>
      <c r="Q554" s="33">
        <f t="shared" ca="1" si="972"/>
        <v>-8399161.0337818712</v>
      </c>
      <c r="R554" s="33">
        <f t="shared" ca="1" si="972"/>
        <v>-7642985.6931861918</v>
      </c>
      <c r="S554" s="33">
        <f t="shared" ca="1" si="972"/>
        <v>-6843413.4497937253</v>
      </c>
      <c r="T554" s="33">
        <f t="shared" ca="1" si="972"/>
        <v>-5997953.7553529674</v>
      </c>
      <c r="U554" s="33">
        <f t="shared" ca="1" si="972"/>
        <v>-5103973.1290482525</v>
      </c>
      <c r="V554" s="33">
        <f t="shared" ca="1" si="972"/>
        <v>-4158686.9545999113</v>
      </c>
      <c r="W554" s="33">
        <f t="shared" ca="1" si="972"/>
        <v>-3159150.8065999793</v>
      </c>
      <c r="X554" s="33">
        <f t="shared" ca="1" si="972"/>
        <v>-2102251.2790663308</v>
      </c>
      <c r="Y554" s="33">
        <f t="shared" ca="1" si="972"/>
        <v>-984696.28764752636</v>
      </c>
      <c r="Z554" s="33">
        <f t="shared" ca="1" si="972"/>
        <v>-1.0021612979471685E-11</v>
      </c>
      <c r="AA554" s="33">
        <f t="shared" ca="1" si="972"/>
        <v>-1.0021612979471685E-11</v>
      </c>
      <c r="AB554" s="33">
        <f t="shared" ca="1" si="972"/>
        <v>-1.0021612979471685E-11</v>
      </c>
      <c r="AC554" s="33">
        <f t="shared" ca="1" si="972"/>
        <v>-1.0021612979471685E-11</v>
      </c>
      <c r="AD554" s="33">
        <f t="shared" ca="1" si="972"/>
        <v>-1.0021612979471685E-11</v>
      </c>
      <c r="AE554" s="33">
        <f t="shared" ca="1" si="972"/>
        <v>-1.0021612979471685E-11</v>
      </c>
      <c r="AF554" s="33">
        <f t="shared" ca="1" si="972"/>
        <v>-1.0021612979471685E-11</v>
      </c>
      <c r="AG554" s="33">
        <f t="shared" ca="1" si="972"/>
        <v>-1.0021612979471685E-11</v>
      </c>
      <c r="AH554" s="33">
        <f t="shared" ca="1" si="972"/>
        <v>-1.0021612979471685E-11</v>
      </c>
      <c r="AI554" s="33">
        <f t="shared" ca="1" si="972"/>
        <v>-1.0021612979471685E-11</v>
      </c>
      <c r="AJ554" s="33">
        <f t="shared" ca="1" si="972"/>
        <v>-1.0021612979471685E-11</v>
      </c>
      <c r="AK554" s="33">
        <f t="shared" ca="1" si="972"/>
        <v>-1.0021612979471685E-11</v>
      </c>
      <c r="AL554" s="33">
        <f t="shared" ca="1" si="972"/>
        <v>-1.0021612979471685E-11</v>
      </c>
      <c r="AM554" s="33">
        <f t="shared" ca="1" si="972"/>
        <v>-1.0021612979471685E-11</v>
      </c>
      <c r="AN554" s="33">
        <f t="shared" ref="AN554:BS554" ca="1" si="973">+AN695+AN903+AN912+AN1046</f>
        <v>-1.0021612979471685E-11</v>
      </c>
      <c r="AO554" s="33">
        <f t="shared" ca="1" si="973"/>
        <v>-1.0021612979471685E-11</v>
      </c>
      <c r="AP554" s="33">
        <f t="shared" ca="1" si="973"/>
        <v>-1.0021612979471685E-11</v>
      </c>
      <c r="AQ554" s="33">
        <f t="shared" ca="1" si="973"/>
        <v>-1.0021612979471685E-11</v>
      </c>
      <c r="AR554" s="33">
        <f t="shared" ca="1" si="973"/>
        <v>-1.0021612979471685E-11</v>
      </c>
      <c r="AS554" s="33">
        <f t="shared" ca="1" si="973"/>
        <v>-1.0021612979471685E-11</v>
      </c>
      <c r="AT554" s="33">
        <f t="shared" ca="1" si="973"/>
        <v>-1.0021612979471685E-11</v>
      </c>
      <c r="AU554" s="33">
        <f t="shared" ca="1" si="973"/>
        <v>-1.0021612979471685E-11</v>
      </c>
      <c r="AV554" s="33">
        <f t="shared" ca="1" si="973"/>
        <v>-1.0021612979471685E-11</v>
      </c>
      <c r="AW554" s="33">
        <f t="shared" ca="1" si="973"/>
        <v>-1.0021612979471685E-11</v>
      </c>
      <c r="AX554" s="33">
        <f t="shared" ca="1" si="973"/>
        <v>-1.0021612979471685E-11</v>
      </c>
      <c r="AY554" s="33">
        <f t="shared" ca="1" si="973"/>
        <v>-1.0021612979471685E-11</v>
      </c>
      <c r="AZ554" s="33">
        <f t="shared" ca="1" si="973"/>
        <v>-1.0021612979471685E-11</v>
      </c>
      <c r="BA554" s="33">
        <f t="shared" ca="1" si="973"/>
        <v>-1.0021612979471685E-11</v>
      </c>
      <c r="BB554" s="33">
        <f t="shared" ca="1" si="973"/>
        <v>-1.0021612979471685E-11</v>
      </c>
      <c r="BC554" s="33">
        <f t="shared" ca="1" si="973"/>
        <v>-1.0021612979471685E-11</v>
      </c>
      <c r="BD554" s="33">
        <f t="shared" ca="1" si="973"/>
        <v>-1.0021612979471685E-11</v>
      </c>
      <c r="BE554" s="33">
        <f t="shared" ca="1" si="973"/>
        <v>-1.0021612979471685E-11</v>
      </c>
      <c r="BF554" s="33">
        <f t="shared" ca="1" si="973"/>
        <v>-1.0021612979471685E-11</v>
      </c>
      <c r="BG554" s="33">
        <f t="shared" ca="1" si="973"/>
        <v>-1.0021612979471685E-11</v>
      </c>
      <c r="BH554" s="33">
        <f t="shared" ca="1" si="973"/>
        <v>-1.0021612979471685E-11</v>
      </c>
      <c r="BI554" s="33">
        <f t="shared" ca="1" si="973"/>
        <v>-1.0021612979471685E-11</v>
      </c>
      <c r="BJ554" s="33">
        <f t="shared" ca="1" si="973"/>
        <v>-1.0021612979471685E-11</v>
      </c>
      <c r="BK554" s="33">
        <f t="shared" ca="1" si="973"/>
        <v>-1.0021612979471685E-11</v>
      </c>
      <c r="BL554" s="33">
        <f t="shared" ca="1" si="973"/>
        <v>-1.0021612979471685E-11</v>
      </c>
      <c r="BM554" s="33">
        <f t="shared" ca="1" si="973"/>
        <v>-1.0021612979471685E-11</v>
      </c>
      <c r="BN554" s="33">
        <f t="shared" ca="1" si="973"/>
        <v>-1.0021612979471685E-11</v>
      </c>
      <c r="BO554" s="33">
        <f t="shared" ca="1" si="973"/>
        <v>-1.0021612979471685E-11</v>
      </c>
      <c r="BP554" s="33">
        <f t="shared" ca="1" si="973"/>
        <v>-1.0021612979471685E-11</v>
      </c>
      <c r="BQ554" s="33">
        <f t="shared" ca="1" si="973"/>
        <v>-1.0021612979471685E-11</v>
      </c>
      <c r="BR554" s="33">
        <f t="shared" ca="1" si="973"/>
        <v>-1.0021612979471685E-11</v>
      </c>
      <c r="BS554" s="33">
        <f t="shared" ca="1" si="973"/>
        <v>-1.0021612979471685E-11</v>
      </c>
      <c r="BT554" s="33">
        <f t="shared" ref="BT554:BY554" ca="1" si="974">+BT695+BT903+BT912+BT1046</f>
        <v>-1.0021612979471685E-11</v>
      </c>
      <c r="BU554" s="33">
        <f t="shared" ca="1" si="974"/>
        <v>-1.0021612979471685E-11</v>
      </c>
      <c r="BV554" s="33">
        <f t="shared" ca="1" si="974"/>
        <v>-1.0021612979471685E-11</v>
      </c>
      <c r="BW554" s="33">
        <f t="shared" ca="1" si="974"/>
        <v>-1.0021612979471685E-11</v>
      </c>
      <c r="BX554" s="33">
        <f t="shared" ca="1" si="974"/>
        <v>-1.0021612979471685E-11</v>
      </c>
      <c r="BY554" s="33">
        <f t="shared" ca="1" si="974"/>
        <v>-1.0021612979471685E-11</v>
      </c>
    </row>
    <row r="555" spans="1:77" s="22" customFormat="1" ht="15" outlineLevel="1">
      <c r="C555" s="90"/>
      <c r="D555" s="90"/>
      <c r="E555" s="22" t="s">
        <v>469</v>
      </c>
      <c r="F555" s="36" t="s">
        <v>470</v>
      </c>
      <c r="G555" s="91"/>
      <c r="H555" s="37">
        <f t="shared" ref="H555:AM555" ca="1" si="975">H696+H904+H913+H1047</f>
        <v>0</v>
      </c>
      <c r="I555" s="37">
        <f t="shared" ca="1" si="975"/>
        <v>0</v>
      </c>
      <c r="J555" s="37">
        <f t="shared" ca="1" si="975"/>
        <v>-1946321.4582664925</v>
      </c>
      <c r="K555" s="37">
        <f t="shared" ca="1" si="975"/>
        <v>-57356831.614736341</v>
      </c>
      <c r="L555" s="37">
        <f t="shared" ca="1" si="975"/>
        <v>-57247132.180506624</v>
      </c>
      <c r="M555" s="37">
        <f t="shared" ca="1" si="975"/>
        <v>-57115010.113069646</v>
      </c>
      <c r="N555" s="37">
        <f t="shared" ca="1" si="975"/>
        <v>-56958856.037852094</v>
      </c>
      <c r="O555" s="37">
        <f t="shared" ca="1" si="975"/>
        <v>-56776961.76748085</v>
      </c>
      <c r="P555" s="37">
        <f t="shared" ca="1" si="975"/>
        <v>-56567514.501900494</v>
      </c>
      <c r="Q555" s="37">
        <f t="shared" ca="1" si="975"/>
        <v>-56328590.693055332</v>
      </c>
      <c r="R555" s="37">
        <f t="shared" ca="1" si="975"/>
        <v>-56058149.554833509</v>
      </c>
      <c r="S555" s="37">
        <f t="shared" ca="1" si="975"/>
        <v>-55754026.197862394</v>
      </c>
      <c r="T555" s="37">
        <f t="shared" ca="1" si="975"/>
        <v>-55413924.367571406</v>
      </c>
      <c r="U555" s="37">
        <f t="shared" ca="1" si="975"/>
        <v>-55035408.762699455</v>
      </c>
      <c r="V555" s="37">
        <f t="shared" ca="1" si="975"/>
        <v>-54615896.91011253</v>
      </c>
      <c r="W555" s="37">
        <f t="shared" ca="1" si="975"/>
        <v>-54152650.570411257</v>
      </c>
      <c r="X555" s="37">
        <f t="shared" ca="1" si="975"/>
        <v>-53642766.647342235</v>
      </c>
      <c r="Y555" s="37">
        <f t="shared" ca="1" si="975"/>
        <v>-53083167.572477341</v>
      </c>
      <c r="Z555" s="37">
        <f t="shared" ca="1" si="975"/>
        <v>-34537.609717536405</v>
      </c>
      <c r="AA555" s="37">
        <f t="shared" ca="1" si="975"/>
        <v>-1.0021612979471685E-11</v>
      </c>
      <c r="AB555" s="37">
        <f t="shared" ca="1" si="975"/>
        <v>-1.0021612979471685E-11</v>
      </c>
      <c r="AC555" s="37">
        <f t="shared" ca="1" si="975"/>
        <v>-1.0021612979471685E-11</v>
      </c>
      <c r="AD555" s="37">
        <f t="shared" ca="1" si="975"/>
        <v>-1.0021612979471685E-11</v>
      </c>
      <c r="AE555" s="37">
        <f t="shared" ca="1" si="975"/>
        <v>-1.0021612979471685E-11</v>
      </c>
      <c r="AF555" s="37">
        <f t="shared" ca="1" si="975"/>
        <v>-1.0021612979471685E-11</v>
      </c>
      <c r="AG555" s="37">
        <f t="shared" ca="1" si="975"/>
        <v>-1.0021612979471685E-11</v>
      </c>
      <c r="AH555" s="37">
        <f t="shared" ca="1" si="975"/>
        <v>-1.0021612979471685E-11</v>
      </c>
      <c r="AI555" s="37">
        <f t="shared" ca="1" si="975"/>
        <v>-1.0021612979471685E-11</v>
      </c>
      <c r="AJ555" s="37">
        <f t="shared" ca="1" si="975"/>
        <v>-1.0021612979471685E-11</v>
      </c>
      <c r="AK555" s="37">
        <f t="shared" ca="1" si="975"/>
        <v>-1.0021612979471685E-11</v>
      </c>
      <c r="AL555" s="37">
        <f t="shared" ca="1" si="975"/>
        <v>-1.0021612979471685E-11</v>
      </c>
      <c r="AM555" s="37">
        <f t="shared" ca="1" si="975"/>
        <v>-1.0021612979471685E-11</v>
      </c>
      <c r="AN555" s="37">
        <f t="shared" ref="AN555:BS555" ca="1" si="976">AN696+AN904+AN913+AN1047</f>
        <v>-1.0021612979471685E-11</v>
      </c>
      <c r="AO555" s="37">
        <f t="shared" ca="1" si="976"/>
        <v>-1.0021612979471685E-11</v>
      </c>
      <c r="AP555" s="37">
        <f t="shared" ca="1" si="976"/>
        <v>-1.0021612979471685E-11</v>
      </c>
      <c r="AQ555" s="37">
        <f t="shared" ca="1" si="976"/>
        <v>-1.0021612979471685E-11</v>
      </c>
      <c r="AR555" s="37">
        <f t="shared" ca="1" si="976"/>
        <v>-1.0021612979471685E-11</v>
      </c>
      <c r="AS555" s="37">
        <f t="shared" ca="1" si="976"/>
        <v>-1.0021612979471685E-11</v>
      </c>
      <c r="AT555" s="37">
        <f t="shared" ca="1" si="976"/>
        <v>-1.0021612979471685E-11</v>
      </c>
      <c r="AU555" s="37">
        <f t="shared" ca="1" si="976"/>
        <v>-1.0021612979471685E-11</v>
      </c>
      <c r="AV555" s="37">
        <f t="shared" ca="1" si="976"/>
        <v>-1.0021612979471685E-11</v>
      </c>
      <c r="AW555" s="37">
        <f t="shared" ca="1" si="976"/>
        <v>-1.0021612979471685E-11</v>
      </c>
      <c r="AX555" s="37">
        <f t="shared" ca="1" si="976"/>
        <v>-1.0021612979471685E-11</v>
      </c>
      <c r="AY555" s="37">
        <f t="shared" ca="1" si="976"/>
        <v>-1.0021612979471685E-11</v>
      </c>
      <c r="AZ555" s="37">
        <f t="shared" ca="1" si="976"/>
        <v>-1.0021612979471685E-11</v>
      </c>
      <c r="BA555" s="37">
        <f t="shared" ca="1" si="976"/>
        <v>-1.0021612979471685E-11</v>
      </c>
      <c r="BB555" s="37">
        <f t="shared" ca="1" si="976"/>
        <v>-1.0021612979471685E-11</v>
      </c>
      <c r="BC555" s="37">
        <f t="shared" ca="1" si="976"/>
        <v>-1.0021612979471685E-11</v>
      </c>
      <c r="BD555" s="37">
        <f t="shared" ca="1" si="976"/>
        <v>-1.0021612979471685E-11</v>
      </c>
      <c r="BE555" s="37">
        <f t="shared" ca="1" si="976"/>
        <v>-1.0021612979471685E-11</v>
      </c>
      <c r="BF555" s="37">
        <f t="shared" ca="1" si="976"/>
        <v>-1.0021612979471685E-11</v>
      </c>
      <c r="BG555" s="37">
        <f t="shared" ca="1" si="976"/>
        <v>-1.0021612979471685E-11</v>
      </c>
      <c r="BH555" s="37">
        <f t="shared" ca="1" si="976"/>
        <v>-1.0021612979471685E-11</v>
      </c>
      <c r="BI555" s="37">
        <f t="shared" ca="1" si="976"/>
        <v>-1.0021612979471685E-11</v>
      </c>
      <c r="BJ555" s="37">
        <f t="shared" ca="1" si="976"/>
        <v>-1.0021612979471685E-11</v>
      </c>
      <c r="BK555" s="37">
        <f t="shared" ca="1" si="976"/>
        <v>-1.0021612979471685E-11</v>
      </c>
      <c r="BL555" s="37">
        <f t="shared" ca="1" si="976"/>
        <v>-1.0021612979471685E-11</v>
      </c>
      <c r="BM555" s="37">
        <f t="shared" ca="1" si="976"/>
        <v>-1.0021612979471685E-11</v>
      </c>
      <c r="BN555" s="37">
        <f t="shared" ca="1" si="976"/>
        <v>-1.0021612979471685E-11</v>
      </c>
      <c r="BO555" s="37">
        <f t="shared" ca="1" si="976"/>
        <v>-1.0021612979471685E-11</v>
      </c>
      <c r="BP555" s="37">
        <f t="shared" ca="1" si="976"/>
        <v>-1.0021612979471685E-11</v>
      </c>
      <c r="BQ555" s="37">
        <f t="shared" ca="1" si="976"/>
        <v>-1.0021612979471685E-11</v>
      </c>
      <c r="BR555" s="37">
        <f t="shared" ca="1" si="976"/>
        <v>-1.0021612979471685E-11</v>
      </c>
      <c r="BS555" s="37">
        <f t="shared" ca="1" si="976"/>
        <v>-1.0021612979471685E-11</v>
      </c>
      <c r="BT555" s="37">
        <f t="shared" ref="BT555:BY555" ca="1" si="977">BT696+BT904+BT913+BT1047</f>
        <v>-1.0021612979471685E-11</v>
      </c>
      <c r="BU555" s="37">
        <f t="shared" ca="1" si="977"/>
        <v>-1.0021612979471685E-11</v>
      </c>
      <c r="BV555" s="37">
        <f t="shared" ca="1" si="977"/>
        <v>-1.0021612979471685E-11</v>
      </c>
      <c r="BW555" s="37">
        <f t="shared" ca="1" si="977"/>
        <v>-1.0021612979471685E-11</v>
      </c>
      <c r="BX555" s="37">
        <f t="shared" ca="1" si="977"/>
        <v>-1.0021612979471685E-11</v>
      </c>
      <c r="BY555" s="37">
        <f t="shared" ca="1" si="977"/>
        <v>-1.0021612979471685E-11</v>
      </c>
    </row>
    <row r="556" spans="1:77" outlineLevel="1">
      <c r="C556" s="29"/>
      <c r="D556" s="29"/>
      <c r="E556" s="25" t="s">
        <v>471</v>
      </c>
      <c r="F556" s="30" t="s">
        <v>466</v>
      </c>
      <c r="G556" s="42"/>
      <c r="H556" s="34">
        <f t="shared" ref="H556:AM556" ca="1" si="978">H697+H905+H914+H1048</f>
        <v>0</v>
      </c>
      <c r="I556" s="34">
        <f t="shared" ca="1" si="978"/>
        <v>0</v>
      </c>
      <c r="J556" s="34">
        <f t="shared" ca="1" si="978"/>
        <v>0</v>
      </c>
      <c r="K556" s="34">
        <f t="shared" ca="1" si="978"/>
        <v>0</v>
      </c>
      <c r="L556" s="34">
        <f t="shared" ca="1" si="978"/>
        <v>0</v>
      </c>
      <c r="M556" s="34">
        <f t="shared" ca="1" si="978"/>
        <v>0</v>
      </c>
      <c r="N556" s="34">
        <f t="shared" ca="1" si="978"/>
        <v>0</v>
      </c>
      <c r="O556" s="34">
        <f t="shared" ca="1" si="978"/>
        <v>0</v>
      </c>
      <c r="P556" s="34">
        <f t="shared" ca="1" si="978"/>
        <v>0</v>
      </c>
      <c r="Q556" s="34">
        <f t="shared" ca="1" si="978"/>
        <v>0</v>
      </c>
      <c r="R556" s="34">
        <f t="shared" ca="1" si="978"/>
        <v>0</v>
      </c>
      <c r="S556" s="34">
        <f t="shared" ca="1" si="978"/>
        <v>0</v>
      </c>
      <c r="T556" s="34">
        <f t="shared" ca="1" si="978"/>
        <v>0</v>
      </c>
      <c r="U556" s="34">
        <f t="shared" ca="1" si="978"/>
        <v>0</v>
      </c>
      <c r="V556" s="34">
        <f t="shared" ca="1" si="978"/>
        <v>0</v>
      </c>
      <c r="W556" s="34">
        <f t="shared" ca="1" si="978"/>
        <v>0</v>
      </c>
      <c r="X556" s="34">
        <f t="shared" ca="1" si="978"/>
        <v>0</v>
      </c>
      <c r="Y556" s="34">
        <f t="shared" ca="1" si="978"/>
        <v>0</v>
      </c>
      <c r="Z556" s="34">
        <f t="shared" ca="1" si="978"/>
        <v>0</v>
      </c>
      <c r="AA556" s="34">
        <f t="shared" ca="1" si="978"/>
        <v>0</v>
      </c>
      <c r="AB556" s="34">
        <f t="shared" ca="1" si="978"/>
        <v>0</v>
      </c>
      <c r="AC556" s="34">
        <f t="shared" ca="1" si="978"/>
        <v>0</v>
      </c>
      <c r="AD556" s="34">
        <f t="shared" ca="1" si="978"/>
        <v>0</v>
      </c>
      <c r="AE556" s="34">
        <f t="shared" ca="1" si="978"/>
        <v>0</v>
      </c>
      <c r="AF556" s="34">
        <f t="shared" ca="1" si="978"/>
        <v>0</v>
      </c>
      <c r="AG556" s="34">
        <f t="shared" ca="1" si="978"/>
        <v>0</v>
      </c>
      <c r="AH556" s="34">
        <f t="shared" ca="1" si="978"/>
        <v>0</v>
      </c>
      <c r="AI556" s="34">
        <f t="shared" ca="1" si="978"/>
        <v>0</v>
      </c>
      <c r="AJ556" s="34">
        <f t="shared" ca="1" si="978"/>
        <v>0</v>
      </c>
      <c r="AK556" s="34">
        <f t="shared" ca="1" si="978"/>
        <v>0</v>
      </c>
      <c r="AL556" s="34">
        <f t="shared" ca="1" si="978"/>
        <v>0</v>
      </c>
      <c r="AM556" s="34">
        <f t="shared" ca="1" si="978"/>
        <v>0</v>
      </c>
      <c r="AN556" s="34">
        <f t="shared" ref="AN556:BS556" ca="1" si="979">AN697+AN905+AN914+AN1048</f>
        <v>0</v>
      </c>
      <c r="AO556" s="34">
        <f t="shared" ca="1" si="979"/>
        <v>0</v>
      </c>
      <c r="AP556" s="34">
        <f t="shared" ca="1" si="979"/>
        <v>0</v>
      </c>
      <c r="AQ556" s="34">
        <f t="shared" ca="1" si="979"/>
        <v>0</v>
      </c>
      <c r="AR556" s="34">
        <f t="shared" ca="1" si="979"/>
        <v>0</v>
      </c>
      <c r="AS556" s="34">
        <f t="shared" ca="1" si="979"/>
        <v>0</v>
      </c>
      <c r="AT556" s="34">
        <f t="shared" ca="1" si="979"/>
        <v>0</v>
      </c>
      <c r="AU556" s="34">
        <f t="shared" ca="1" si="979"/>
        <v>0</v>
      </c>
      <c r="AV556" s="34">
        <f t="shared" ca="1" si="979"/>
        <v>0</v>
      </c>
      <c r="AW556" s="34">
        <f t="shared" ca="1" si="979"/>
        <v>0</v>
      </c>
      <c r="AX556" s="34">
        <f t="shared" ca="1" si="979"/>
        <v>0</v>
      </c>
      <c r="AY556" s="34">
        <f t="shared" ca="1" si="979"/>
        <v>0</v>
      </c>
      <c r="AZ556" s="34">
        <f t="shared" ca="1" si="979"/>
        <v>0</v>
      </c>
      <c r="BA556" s="34">
        <f t="shared" ca="1" si="979"/>
        <v>0</v>
      </c>
      <c r="BB556" s="34">
        <f t="shared" ca="1" si="979"/>
        <v>0</v>
      </c>
      <c r="BC556" s="34">
        <f t="shared" ca="1" si="979"/>
        <v>0</v>
      </c>
      <c r="BD556" s="34">
        <f t="shared" ca="1" si="979"/>
        <v>0</v>
      </c>
      <c r="BE556" s="34">
        <f t="shared" ca="1" si="979"/>
        <v>0</v>
      </c>
      <c r="BF556" s="34">
        <f t="shared" ca="1" si="979"/>
        <v>0</v>
      </c>
      <c r="BG556" s="34">
        <f t="shared" ca="1" si="979"/>
        <v>0</v>
      </c>
      <c r="BH556" s="34">
        <f t="shared" ca="1" si="979"/>
        <v>0</v>
      </c>
      <c r="BI556" s="34">
        <f t="shared" ca="1" si="979"/>
        <v>0</v>
      </c>
      <c r="BJ556" s="34">
        <f t="shared" ca="1" si="979"/>
        <v>0</v>
      </c>
      <c r="BK556" s="34">
        <f t="shared" ca="1" si="979"/>
        <v>0</v>
      </c>
      <c r="BL556" s="34">
        <f t="shared" ca="1" si="979"/>
        <v>0</v>
      </c>
      <c r="BM556" s="34">
        <f t="shared" ca="1" si="979"/>
        <v>0</v>
      </c>
      <c r="BN556" s="34">
        <f t="shared" ca="1" si="979"/>
        <v>0</v>
      </c>
      <c r="BO556" s="34">
        <f t="shared" ca="1" si="979"/>
        <v>0</v>
      </c>
      <c r="BP556" s="34">
        <f t="shared" ca="1" si="979"/>
        <v>0</v>
      </c>
      <c r="BQ556" s="34">
        <f t="shared" ca="1" si="979"/>
        <v>0</v>
      </c>
      <c r="BR556" s="34">
        <f t="shared" ca="1" si="979"/>
        <v>0</v>
      </c>
      <c r="BS556" s="34">
        <f t="shared" ca="1" si="979"/>
        <v>0</v>
      </c>
      <c r="BT556" s="34">
        <f t="shared" ref="BT556:BY556" ca="1" si="980">BT697+BT905+BT914+BT1048</f>
        <v>0</v>
      </c>
      <c r="BU556" s="34">
        <f t="shared" ca="1" si="980"/>
        <v>0</v>
      </c>
      <c r="BV556" s="34">
        <f t="shared" ca="1" si="980"/>
        <v>0</v>
      </c>
      <c r="BW556" s="34">
        <f t="shared" ca="1" si="980"/>
        <v>0</v>
      </c>
      <c r="BX556" s="34">
        <f t="shared" ca="1" si="980"/>
        <v>0</v>
      </c>
      <c r="BY556" s="34">
        <f t="shared" ca="1" si="980"/>
        <v>0</v>
      </c>
    </row>
    <row r="557" spans="1:77" s="22" customFormat="1" ht="15" outlineLevel="1">
      <c r="C557" s="90"/>
      <c r="D557" s="90"/>
      <c r="E557" s="22" t="s">
        <v>527</v>
      </c>
      <c r="F557" s="36" t="s">
        <v>470</v>
      </c>
      <c r="G557" s="91"/>
      <c r="H557" s="37">
        <f t="shared" ref="H557:AM557" ca="1" si="981">H698+H906+H915+H1049</f>
        <v>0</v>
      </c>
      <c r="I557" s="37">
        <f t="shared" ca="1" si="981"/>
        <v>0</v>
      </c>
      <c r="J557" s="37">
        <f t="shared" ca="1" si="981"/>
        <v>-1946321.4582664925</v>
      </c>
      <c r="K557" s="37">
        <f t="shared" ca="1" si="981"/>
        <v>-57356831.614736341</v>
      </c>
      <c r="L557" s="37">
        <f t="shared" ca="1" si="981"/>
        <v>-57247132.180506624</v>
      </c>
      <c r="M557" s="37">
        <f t="shared" ca="1" si="981"/>
        <v>-57115010.113069646</v>
      </c>
      <c r="N557" s="37">
        <f t="shared" ca="1" si="981"/>
        <v>-56958856.037852094</v>
      </c>
      <c r="O557" s="37">
        <f t="shared" ca="1" si="981"/>
        <v>-56776961.76748085</v>
      </c>
      <c r="P557" s="37">
        <f t="shared" ca="1" si="981"/>
        <v>-56567514.501900494</v>
      </c>
      <c r="Q557" s="37">
        <f t="shared" ca="1" si="981"/>
        <v>-56328590.693055332</v>
      </c>
      <c r="R557" s="37">
        <f t="shared" ca="1" si="981"/>
        <v>-56058149.554833509</v>
      </c>
      <c r="S557" s="37">
        <f t="shared" ca="1" si="981"/>
        <v>-55754026.197862394</v>
      </c>
      <c r="T557" s="37">
        <f t="shared" ca="1" si="981"/>
        <v>-55413924.367571406</v>
      </c>
      <c r="U557" s="37">
        <f t="shared" ca="1" si="981"/>
        <v>-55035408.762699455</v>
      </c>
      <c r="V557" s="37">
        <f t="shared" ca="1" si="981"/>
        <v>-54615896.91011253</v>
      </c>
      <c r="W557" s="37">
        <f t="shared" ca="1" si="981"/>
        <v>-54152650.570411257</v>
      </c>
      <c r="X557" s="37">
        <f t="shared" ca="1" si="981"/>
        <v>-53642766.647342235</v>
      </c>
      <c r="Y557" s="37">
        <f t="shared" ca="1" si="981"/>
        <v>-53083167.572477341</v>
      </c>
      <c r="Z557" s="37">
        <f t="shared" ca="1" si="981"/>
        <v>-34537.609717536405</v>
      </c>
      <c r="AA557" s="37">
        <f t="shared" ca="1" si="981"/>
        <v>-1.0021612979471685E-11</v>
      </c>
      <c r="AB557" s="37">
        <f t="shared" ca="1" si="981"/>
        <v>-1.0021612979471685E-11</v>
      </c>
      <c r="AC557" s="37">
        <f t="shared" ca="1" si="981"/>
        <v>-1.0021612979471685E-11</v>
      </c>
      <c r="AD557" s="37">
        <f t="shared" ca="1" si="981"/>
        <v>-1.0021612979471685E-11</v>
      </c>
      <c r="AE557" s="37">
        <f t="shared" ca="1" si="981"/>
        <v>-1.0021612979471685E-11</v>
      </c>
      <c r="AF557" s="37">
        <f t="shared" ca="1" si="981"/>
        <v>-1.0021612979471685E-11</v>
      </c>
      <c r="AG557" s="37">
        <f t="shared" ca="1" si="981"/>
        <v>-1.0021612979471685E-11</v>
      </c>
      <c r="AH557" s="37">
        <f t="shared" ca="1" si="981"/>
        <v>-1.0021612979471685E-11</v>
      </c>
      <c r="AI557" s="37">
        <f t="shared" ca="1" si="981"/>
        <v>-1.0021612979471685E-11</v>
      </c>
      <c r="AJ557" s="37">
        <f t="shared" ca="1" si="981"/>
        <v>-1.0021612979471685E-11</v>
      </c>
      <c r="AK557" s="37">
        <f t="shared" ca="1" si="981"/>
        <v>-1.0021612979471685E-11</v>
      </c>
      <c r="AL557" s="37">
        <f t="shared" ca="1" si="981"/>
        <v>-1.0021612979471685E-11</v>
      </c>
      <c r="AM557" s="37">
        <f t="shared" ca="1" si="981"/>
        <v>-1.0021612979471685E-11</v>
      </c>
      <c r="AN557" s="37">
        <f t="shared" ref="AN557:BS557" ca="1" si="982">AN698+AN906+AN915+AN1049</f>
        <v>-1.0021612979471685E-11</v>
      </c>
      <c r="AO557" s="37">
        <f t="shared" ca="1" si="982"/>
        <v>-1.0021612979471685E-11</v>
      </c>
      <c r="AP557" s="37">
        <f t="shared" ca="1" si="982"/>
        <v>-1.0021612979471685E-11</v>
      </c>
      <c r="AQ557" s="37">
        <f t="shared" ca="1" si="982"/>
        <v>-1.0021612979471685E-11</v>
      </c>
      <c r="AR557" s="37">
        <f t="shared" ca="1" si="982"/>
        <v>-1.0021612979471685E-11</v>
      </c>
      <c r="AS557" s="37">
        <f t="shared" ca="1" si="982"/>
        <v>-1.0021612979471685E-11</v>
      </c>
      <c r="AT557" s="37">
        <f t="shared" ca="1" si="982"/>
        <v>-1.0021612979471685E-11</v>
      </c>
      <c r="AU557" s="37">
        <f t="shared" ca="1" si="982"/>
        <v>-1.0021612979471685E-11</v>
      </c>
      <c r="AV557" s="37">
        <f t="shared" ca="1" si="982"/>
        <v>-1.0021612979471685E-11</v>
      </c>
      <c r="AW557" s="37">
        <f t="shared" ca="1" si="982"/>
        <v>-1.0021612979471685E-11</v>
      </c>
      <c r="AX557" s="37">
        <f t="shared" ca="1" si="982"/>
        <v>-1.0021612979471685E-11</v>
      </c>
      <c r="AY557" s="37">
        <f t="shared" ca="1" si="982"/>
        <v>-1.0021612979471685E-11</v>
      </c>
      <c r="AZ557" s="37">
        <f t="shared" ca="1" si="982"/>
        <v>-1.0021612979471685E-11</v>
      </c>
      <c r="BA557" s="37">
        <f t="shared" ca="1" si="982"/>
        <v>-1.0021612979471685E-11</v>
      </c>
      <c r="BB557" s="37">
        <f t="shared" ca="1" si="982"/>
        <v>-1.0021612979471685E-11</v>
      </c>
      <c r="BC557" s="37">
        <f t="shared" ca="1" si="982"/>
        <v>-1.0021612979471685E-11</v>
      </c>
      <c r="BD557" s="37">
        <f t="shared" ca="1" si="982"/>
        <v>-1.0021612979471685E-11</v>
      </c>
      <c r="BE557" s="37">
        <f t="shared" ca="1" si="982"/>
        <v>-1.0021612979471685E-11</v>
      </c>
      <c r="BF557" s="37">
        <f t="shared" ca="1" si="982"/>
        <v>-1.0021612979471685E-11</v>
      </c>
      <c r="BG557" s="37">
        <f t="shared" ca="1" si="982"/>
        <v>-1.0021612979471685E-11</v>
      </c>
      <c r="BH557" s="37">
        <f t="shared" ca="1" si="982"/>
        <v>-1.0021612979471685E-11</v>
      </c>
      <c r="BI557" s="37">
        <f t="shared" ca="1" si="982"/>
        <v>-1.0021612979471685E-11</v>
      </c>
      <c r="BJ557" s="37">
        <f t="shared" ca="1" si="982"/>
        <v>-1.0021612979471685E-11</v>
      </c>
      <c r="BK557" s="37">
        <f t="shared" ca="1" si="982"/>
        <v>-1.0021612979471685E-11</v>
      </c>
      <c r="BL557" s="37">
        <f t="shared" ca="1" si="982"/>
        <v>-1.0021612979471685E-11</v>
      </c>
      <c r="BM557" s="37">
        <f t="shared" ca="1" si="982"/>
        <v>-1.0021612979471685E-11</v>
      </c>
      <c r="BN557" s="37">
        <f t="shared" ca="1" si="982"/>
        <v>-1.0021612979471685E-11</v>
      </c>
      <c r="BO557" s="37">
        <f t="shared" ca="1" si="982"/>
        <v>-1.0021612979471685E-11</v>
      </c>
      <c r="BP557" s="37">
        <f t="shared" ca="1" si="982"/>
        <v>-1.0021612979471685E-11</v>
      </c>
      <c r="BQ557" s="37">
        <f t="shared" ca="1" si="982"/>
        <v>-1.0021612979471685E-11</v>
      </c>
      <c r="BR557" s="37">
        <f t="shared" ca="1" si="982"/>
        <v>-1.0021612979471685E-11</v>
      </c>
      <c r="BS557" s="37">
        <f t="shared" ca="1" si="982"/>
        <v>-1.0021612979471685E-11</v>
      </c>
      <c r="BT557" s="37">
        <f t="shared" ref="BT557:BY557" ca="1" si="983">BT698+BT906+BT915+BT1049</f>
        <v>-1.0021612979471685E-11</v>
      </c>
      <c r="BU557" s="37">
        <f t="shared" ca="1" si="983"/>
        <v>-1.0021612979471685E-11</v>
      </c>
      <c r="BV557" s="37">
        <f t="shared" ca="1" si="983"/>
        <v>-1.0021612979471685E-11</v>
      </c>
      <c r="BW557" s="37">
        <f t="shared" ca="1" si="983"/>
        <v>-1.0021612979471685E-11</v>
      </c>
      <c r="BX557" s="37">
        <f t="shared" ca="1" si="983"/>
        <v>-1.0021612979471685E-11</v>
      </c>
      <c r="BY557" s="37">
        <f t="shared" ca="1" si="983"/>
        <v>-1.0021612979471685E-11</v>
      </c>
    </row>
    <row r="558" spans="1:77" ht="15" outlineLevel="1">
      <c r="C558" s="29"/>
      <c r="D558" s="29"/>
      <c r="E558" s="22"/>
      <c r="F558" s="36"/>
      <c r="G558" s="24"/>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row>
    <row r="559" spans="1:77" s="19" customFormat="1" outlineLevel="1">
      <c r="A559"/>
      <c r="B559" s="18" t="s">
        <v>473</v>
      </c>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5"/>
      <c r="BW559" s="35"/>
      <c r="BX559" s="35"/>
      <c r="BY559" s="35"/>
    </row>
    <row r="560" spans="1:77" outlineLevel="1"/>
    <row r="561" spans="2:77" outlineLevel="1">
      <c r="B561" s="29"/>
      <c r="C561" s="29"/>
      <c r="D561" s="29"/>
      <c r="E561" t="s">
        <v>474</v>
      </c>
      <c r="F561" s="23" t="s">
        <v>475</v>
      </c>
      <c r="G561" s="24"/>
      <c r="H561" s="33">
        <f ca="1">+H552+H553</f>
        <v>0</v>
      </c>
      <c r="I561" s="33">
        <f t="shared" ref="I561:BT561" ca="1" si="984">+I552+I553</f>
        <v>0</v>
      </c>
      <c r="J561" s="33">
        <f t="shared" ca="1" si="984"/>
        <v>0</v>
      </c>
      <c r="K561" s="33">
        <f t="shared" si="984"/>
        <v>-45208623.093431622</v>
      </c>
      <c r="L561" s="33">
        <f t="shared" si="984"/>
        <v>-45639941.164488643</v>
      </c>
      <c r="M561" s="33">
        <f t="shared" si="984"/>
        <v>-46079885.596966818</v>
      </c>
      <c r="N561" s="33">
        <f t="shared" si="984"/>
        <v>-46528628.918094546</v>
      </c>
      <c r="O561" s="33">
        <f t="shared" si="984"/>
        <v>-46986347.105644837</v>
      </c>
      <c r="P561" s="33">
        <f t="shared" si="984"/>
        <v>-47453219.656946138</v>
      </c>
      <c r="Q561" s="33">
        <f t="shared" si="984"/>
        <v>-47929429.659273461</v>
      </c>
      <c r="R561" s="33">
        <f t="shared" si="984"/>
        <v>-48415163.861647323</v>
      </c>
      <c r="S561" s="33">
        <f t="shared" si="984"/>
        <v>-48910612.748068668</v>
      </c>
      <c r="T561" s="33">
        <f t="shared" si="984"/>
        <v>-49415970.61221844</v>
      </c>
      <c r="U561" s="33">
        <f t="shared" si="984"/>
        <v>-49931435.633651204</v>
      </c>
      <c r="V561" s="33">
        <f t="shared" si="984"/>
        <v>-50457209.955512621</v>
      </c>
      <c r="W561" s="33">
        <f t="shared" si="984"/>
        <v>-50993499.763811275</v>
      </c>
      <c r="X561" s="33">
        <f t="shared" si="984"/>
        <v>-51540515.368275903</v>
      </c>
      <c r="Y561" s="33">
        <f t="shared" si="984"/>
        <v>-52098471.284829818</v>
      </c>
      <c r="Z561" s="33">
        <f t="shared" ca="1" si="984"/>
        <v>-34537.609717536398</v>
      </c>
      <c r="AA561" s="33">
        <f t="shared" ca="1" si="984"/>
        <v>0</v>
      </c>
      <c r="AB561" s="33">
        <f t="shared" ca="1" si="984"/>
        <v>0</v>
      </c>
      <c r="AC561" s="33">
        <f t="shared" ca="1" si="984"/>
        <v>0</v>
      </c>
      <c r="AD561" s="33">
        <f t="shared" ca="1" si="984"/>
        <v>0</v>
      </c>
      <c r="AE561" s="33">
        <f t="shared" ca="1" si="984"/>
        <v>0</v>
      </c>
      <c r="AF561" s="33">
        <f t="shared" ca="1" si="984"/>
        <v>0</v>
      </c>
      <c r="AG561" s="33">
        <f t="shared" ca="1" si="984"/>
        <v>0</v>
      </c>
      <c r="AH561" s="33">
        <f t="shared" ca="1" si="984"/>
        <v>0</v>
      </c>
      <c r="AI561" s="33">
        <f t="shared" ca="1" si="984"/>
        <v>0</v>
      </c>
      <c r="AJ561" s="33">
        <f t="shared" ca="1" si="984"/>
        <v>0</v>
      </c>
      <c r="AK561" s="33">
        <f t="shared" ca="1" si="984"/>
        <v>0</v>
      </c>
      <c r="AL561" s="33">
        <f t="shared" ca="1" si="984"/>
        <v>0</v>
      </c>
      <c r="AM561" s="33">
        <f t="shared" ca="1" si="984"/>
        <v>0</v>
      </c>
      <c r="AN561" s="33">
        <f t="shared" ca="1" si="984"/>
        <v>0</v>
      </c>
      <c r="AO561" s="33">
        <f t="shared" ca="1" si="984"/>
        <v>0</v>
      </c>
      <c r="AP561" s="33">
        <f t="shared" ca="1" si="984"/>
        <v>0</v>
      </c>
      <c r="AQ561" s="33">
        <f t="shared" ca="1" si="984"/>
        <v>0</v>
      </c>
      <c r="AR561" s="33">
        <f t="shared" ca="1" si="984"/>
        <v>0</v>
      </c>
      <c r="AS561" s="33">
        <f t="shared" ca="1" si="984"/>
        <v>0</v>
      </c>
      <c r="AT561" s="33">
        <f t="shared" ca="1" si="984"/>
        <v>0</v>
      </c>
      <c r="AU561" s="33">
        <f t="shared" ca="1" si="984"/>
        <v>0</v>
      </c>
      <c r="AV561" s="33">
        <f t="shared" ca="1" si="984"/>
        <v>0</v>
      </c>
      <c r="AW561" s="33">
        <f t="shared" ca="1" si="984"/>
        <v>0</v>
      </c>
      <c r="AX561" s="33">
        <f t="shared" ca="1" si="984"/>
        <v>0</v>
      </c>
      <c r="AY561" s="33">
        <f t="shared" ca="1" si="984"/>
        <v>0</v>
      </c>
      <c r="AZ561" s="33">
        <f t="shared" ca="1" si="984"/>
        <v>0</v>
      </c>
      <c r="BA561" s="33">
        <f t="shared" ca="1" si="984"/>
        <v>0</v>
      </c>
      <c r="BB561" s="33">
        <f t="shared" ca="1" si="984"/>
        <v>0</v>
      </c>
      <c r="BC561" s="33">
        <f t="shared" ca="1" si="984"/>
        <v>0</v>
      </c>
      <c r="BD561" s="33">
        <f t="shared" ca="1" si="984"/>
        <v>0</v>
      </c>
      <c r="BE561" s="33">
        <f t="shared" ca="1" si="984"/>
        <v>0</v>
      </c>
      <c r="BF561" s="33">
        <f t="shared" ca="1" si="984"/>
        <v>0</v>
      </c>
      <c r="BG561" s="33">
        <f t="shared" ca="1" si="984"/>
        <v>0</v>
      </c>
      <c r="BH561" s="33">
        <f t="shared" ca="1" si="984"/>
        <v>0</v>
      </c>
      <c r="BI561" s="33">
        <f t="shared" ca="1" si="984"/>
        <v>0</v>
      </c>
      <c r="BJ561" s="33">
        <f t="shared" ca="1" si="984"/>
        <v>0</v>
      </c>
      <c r="BK561" s="33">
        <f t="shared" ca="1" si="984"/>
        <v>0</v>
      </c>
      <c r="BL561" s="33">
        <f t="shared" ca="1" si="984"/>
        <v>0</v>
      </c>
      <c r="BM561" s="33">
        <f t="shared" ca="1" si="984"/>
        <v>0</v>
      </c>
      <c r="BN561" s="33">
        <f t="shared" ca="1" si="984"/>
        <v>0</v>
      </c>
      <c r="BO561" s="33">
        <f t="shared" ca="1" si="984"/>
        <v>0</v>
      </c>
      <c r="BP561" s="33">
        <f t="shared" ca="1" si="984"/>
        <v>0</v>
      </c>
      <c r="BQ561" s="33">
        <f t="shared" ca="1" si="984"/>
        <v>0</v>
      </c>
      <c r="BR561" s="33">
        <f t="shared" ca="1" si="984"/>
        <v>0</v>
      </c>
      <c r="BS561" s="33">
        <f t="shared" ca="1" si="984"/>
        <v>0</v>
      </c>
      <c r="BT561" s="33">
        <f t="shared" ca="1" si="984"/>
        <v>0</v>
      </c>
      <c r="BU561" s="33">
        <f t="shared" ref="BU561:BY561" ca="1" si="985">+BU552+BU553</f>
        <v>0</v>
      </c>
      <c r="BV561" s="33">
        <f t="shared" ca="1" si="985"/>
        <v>0</v>
      </c>
      <c r="BW561" s="33">
        <f t="shared" ca="1" si="985"/>
        <v>0</v>
      </c>
      <c r="BX561" s="33">
        <f t="shared" ca="1" si="985"/>
        <v>0</v>
      </c>
      <c r="BY561" s="33">
        <f t="shared" ca="1" si="985"/>
        <v>0</v>
      </c>
    </row>
    <row r="562" spans="2:77" outlineLevel="1">
      <c r="B562" s="29"/>
      <c r="C562" s="29"/>
      <c r="D562" s="29"/>
      <c r="E562" t="s">
        <v>476</v>
      </c>
      <c r="F562" s="23" t="s">
        <v>475</v>
      </c>
      <c r="G562" s="24"/>
      <c r="H562" s="33">
        <f>-H553</f>
        <v>0</v>
      </c>
      <c r="I562" s="33">
        <f t="shared" ref="I562:BT562" si="986">-I553</f>
        <v>0</v>
      </c>
      <c r="J562" s="33">
        <f t="shared" si="986"/>
        <v>0</v>
      </c>
      <c r="K562" s="33">
        <f t="shared" si="986"/>
        <v>23642719.540580101</v>
      </c>
      <c r="L562" s="33">
        <f t="shared" si="986"/>
        <v>23642719.540580101</v>
      </c>
      <c r="M562" s="33">
        <f t="shared" si="986"/>
        <v>23642719.540580101</v>
      </c>
      <c r="N562" s="33">
        <f t="shared" si="986"/>
        <v>23642719.540580101</v>
      </c>
      <c r="O562" s="33">
        <f t="shared" si="986"/>
        <v>23642719.540580101</v>
      </c>
      <c r="P562" s="33">
        <f t="shared" si="986"/>
        <v>23642719.540580101</v>
      </c>
      <c r="Q562" s="33">
        <f t="shared" si="986"/>
        <v>23642719.540580101</v>
      </c>
      <c r="R562" s="33">
        <f t="shared" si="986"/>
        <v>23642719.540580101</v>
      </c>
      <c r="S562" s="33">
        <f t="shared" si="986"/>
        <v>23642719.540580101</v>
      </c>
      <c r="T562" s="33">
        <f t="shared" si="986"/>
        <v>23642719.540580101</v>
      </c>
      <c r="U562" s="33">
        <f t="shared" si="986"/>
        <v>23642719.540580101</v>
      </c>
      <c r="V562" s="33">
        <f t="shared" si="986"/>
        <v>23642719.540580101</v>
      </c>
      <c r="W562" s="33">
        <f t="shared" si="986"/>
        <v>23642719.540580101</v>
      </c>
      <c r="X562" s="33">
        <f t="shared" si="986"/>
        <v>23642719.540580101</v>
      </c>
      <c r="Y562" s="33">
        <f t="shared" si="986"/>
        <v>23642719.540580101</v>
      </c>
      <c r="Z562" s="33">
        <f t="shared" si="986"/>
        <v>34537.609717536398</v>
      </c>
      <c r="AA562" s="33">
        <f t="shared" si="986"/>
        <v>0</v>
      </c>
      <c r="AB562" s="33">
        <f t="shared" si="986"/>
        <v>0</v>
      </c>
      <c r="AC562" s="33">
        <f t="shared" si="986"/>
        <v>0</v>
      </c>
      <c r="AD562" s="33">
        <f t="shared" si="986"/>
        <v>0</v>
      </c>
      <c r="AE562" s="33">
        <f t="shared" si="986"/>
        <v>0</v>
      </c>
      <c r="AF562" s="33">
        <f t="shared" si="986"/>
        <v>0</v>
      </c>
      <c r="AG562" s="33">
        <f t="shared" si="986"/>
        <v>0</v>
      </c>
      <c r="AH562" s="33">
        <f t="shared" si="986"/>
        <v>0</v>
      </c>
      <c r="AI562" s="33">
        <f t="shared" si="986"/>
        <v>0</v>
      </c>
      <c r="AJ562" s="33">
        <f t="shared" si="986"/>
        <v>0</v>
      </c>
      <c r="AK562" s="33">
        <f t="shared" si="986"/>
        <v>0</v>
      </c>
      <c r="AL562" s="33">
        <f t="shared" si="986"/>
        <v>0</v>
      </c>
      <c r="AM562" s="33">
        <f t="shared" si="986"/>
        <v>0</v>
      </c>
      <c r="AN562" s="33">
        <f t="shared" si="986"/>
        <v>0</v>
      </c>
      <c r="AO562" s="33">
        <f t="shared" si="986"/>
        <v>0</v>
      </c>
      <c r="AP562" s="33">
        <f t="shared" si="986"/>
        <v>0</v>
      </c>
      <c r="AQ562" s="33">
        <f t="shared" si="986"/>
        <v>0</v>
      </c>
      <c r="AR562" s="33">
        <f t="shared" si="986"/>
        <v>0</v>
      </c>
      <c r="AS562" s="33">
        <f t="shared" si="986"/>
        <v>0</v>
      </c>
      <c r="AT562" s="33">
        <f t="shared" si="986"/>
        <v>0</v>
      </c>
      <c r="AU562" s="33">
        <f t="shared" si="986"/>
        <v>0</v>
      </c>
      <c r="AV562" s="33">
        <f t="shared" si="986"/>
        <v>0</v>
      </c>
      <c r="AW562" s="33">
        <f t="shared" si="986"/>
        <v>0</v>
      </c>
      <c r="AX562" s="33">
        <f t="shared" si="986"/>
        <v>0</v>
      </c>
      <c r="AY562" s="33">
        <f t="shared" si="986"/>
        <v>0</v>
      </c>
      <c r="AZ562" s="33">
        <f t="shared" si="986"/>
        <v>0</v>
      </c>
      <c r="BA562" s="33">
        <f t="shared" si="986"/>
        <v>0</v>
      </c>
      <c r="BB562" s="33">
        <f t="shared" si="986"/>
        <v>0</v>
      </c>
      <c r="BC562" s="33">
        <f t="shared" si="986"/>
        <v>0</v>
      </c>
      <c r="BD562" s="33">
        <f t="shared" si="986"/>
        <v>0</v>
      </c>
      <c r="BE562" s="33">
        <f t="shared" si="986"/>
        <v>0</v>
      </c>
      <c r="BF562" s="33">
        <f t="shared" si="986"/>
        <v>0</v>
      </c>
      <c r="BG562" s="33">
        <f t="shared" si="986"/>
        <v>0</v>
      </c>
      <c r="BH562" s="33">
        <f t="shared" si="986"/>
        <v>0</v>
      </c>
      <c r="BI562" s="33">
        <f t="shared" si="986"/>
        <v>0</v>
      </c>
      <c r="BJ562" s="33">
        <f t="shared" si="986"/>
        <v>0</v>
      </c>
      <c r="BK562" s="33">
        <f t="shared" si="986"/>
        <v>0</v>
      </c>
      <c r="BL562" s="33">
        <f t="shared" si="986"/>
        <v>0</v>
      </c>
      <c r="BM562" s="33">
        <f t="shared" si="986"/>
        <v>0</v>
      </c>
      <c r="BN562" s="33">
        <f t="shared" si="986"/>
        <v>0</v>
      </c>
      <c r="BO562" s="33">
        <f t="shared" si="986"/>
        <v>0</v>
      </c>
      <c r="BP562" s="33">
        <f t="shared" si="986"/>
        <v>0</v>
      </c>
      <c r="BQ562" s="33">
        <f t="shared" si="986"/>
        <v>0</v>
      </c>
      <c r="BR562" s="33">
        <f t="shared" si="986"/>
        <v>0</v>
      </c>
      <c r="BS562" s="33">
        <f t="shared" si="986"/>
        <v>0</v>
      </c>
      <c r="BT562" s="33">
        <f t="shared" si="986"/>
        <v>0</v>
      </c>
      <c r="BU562" s="33">
        <f t="shared" ref="BU562:BY562" si="987">-BU553</f>
        <v>0</v>
      </c>
      <c r="BV562" s="33">
        <f t="shared" si="987"/>
        <v>0</v>
      </c>
      <c r="BW562" s="33">
        <f t="shared" si="987"/>
        <v>0</v>
      </c>
      <c r="BX562" s="33">
        <f t="shared" si="987"/>
        <v>0</v>
      </c>
      <c r="BY562" s="33">
        <f t="shared" si="987"/>
        <v>0</v>
      </c>
    </row>
    <row r="563" spans="2:77" outlineLevel="1">
      <c r="B563" s="29"/>
      <c r="C563" s="29"/>
      <c r="D563" s="29"/>
      <c r="E563" t="s">
        <v>477</v>
      </c>
      <c r="F563" s="23" t="s">
        <v>466</v>
      </c>
      <c r="G563" s="24"/>
      <c r="H563" s="33">
        <f t="shared" ref="H563:AM563" si="988">H706+H922+H935+H1055</f>
        <v>0</v>
      </c>
      <c r="I563" s="33">
        <f t="shared" si="988"/>
        <v>0</v>
      </c>
      <c r="J563" s="33">
        <f t="shared" si="988"/>
        <v>0</v>
      </c>
      <c r="K563" s="33">
        <f t="shared" si="988"/>
        <v>0</v>
      </c>
      <c r="L563" s="33">
        <f t="shared" si="988"/>
        <v>0</v>
      </c>
      <c r="M563" s="33">
        <f t="shared" si="988"/>
        <v>0</v>
      </c>
      <c r="N563" s="33">
        <f t="shared" si="988"/>
        <v>0</v>
      </c>
      <c r="O563" s="33">
        <f t="shared" si="988"/>
        <v>0</v>
      </c>
      <c r="P563" s="33">
        <f t="shared" si="988"/>
        <v>0</v>
      </c>
      <c r="Q563" s="33">
        <f t="shared" si="988"/>
        <v>0</v>
      </c>
      <c r="R563" s="33">
        <f t="shared" si="988"/>
        <v>0</v>
      </c>
      <c r="S563" s="33">
        <f t="shared" si="988"/>
        <v>0</v>
      </c>
      <c r="T563" s="33">
        <f t="shared" si="988"/>
        <v>0</v>
      </c>
      <c r="U563" s="33">
        <f t="shared" si="988"/>
        <v>0</v>
      </c>
      <c r="V563" s="33">
        <f t="shared" si="988"/>
        <v>0</v>
      </c>
      <c r="W563" s="33">
        <f t="shared" si="988"/>
        <v>0</v>
      </c>
      <c r="X563" s="33">
        <f t="shared" si="988"/>
        <v>0</v>
      </c>
      <c r="Y563" s="33">
        <f t="shared" si="988"/>
        <v>0</v>
      </c>
      <c r="Z563" s="33">
        <f t="shared" si="988"/>
        <v>0</v>
      </c>
      <c r="AA563" s="33">
        <f t="shared" si="988"/>
        <v>0</v>
      </c>
      <c r="AB563" s="33">
        <f t="shared" si="988"/>
        <v>0</v>
      </c>
      <c r="AC563" s="33">
        <f t="shared" si="988"/>
        <v>0</v>
      </c>
      <c r="AD563" s="33">
        <f t="shared" si="988"/>
        <v>0</v>
      </c>
      <c r="AE563" s="33">
        <f t="shared" si="988"/>
        <v>0</v>
      </c>
      <c r="AF563" s="33">
        <f t="shared" si="988"/>
        <v>0</v>
      </c>
      <c r="AG563" s="33">
        <f t="shared" si="988"/>
        <v>0</v>
      </c>
      <c r="AH563" s="33">
        <f t="shared" si="988"/>
        <v>0</v>
      </c>
      <c r="AI563" s="33">
        <f t="shared" si="988"/>
        <v>0</v>
      </c>
      <c r="AJ563" s="33">
        <f t="shared" si="988"/>
        <v>0</v>
      </c>
      <c r="AK563" s="33">
        <f t="shared" si="988"/>
        <v>0</v>
      </c>
      <c r="AL563" s="33">
        <f t="shared" si="988"/>
        <v>0</v>
      </c>
      <c r="AM563" s="33">
        <f t="shared" si="988"/>
        <v>0</v>
      </c>
      <c r="AN563" s="33">
        <f t="shared" ref="AN563:BS563" si="989">AN706+AN922+AN935+AN1055</f>
        <v>0</v>
      </c>
      <c r="AO563" s="33">
        <f t="shared" si="989"/>
        <v>0</v>
      </c>
      <c r="AP563" s="33">
        <f t="shared" si="989"/>
        <v>0</v>
      </c>
      <c r="AQ563" s="33">
        <f t="shared" si="989"/>
        <v>0</v>
      </c>
      <c r="AR563" s="33">
        <f t="shared" si="989"/>
        <v>0</v>
      </c>
      <c r="AS563" s="33">
        <f t="shared" si="989"/>
        <v>0</v>
      </c>
      <c r="AT563" s="33">
        <f t="shared" si="989"/>
        <v>0</v>
      </c>
      <c r="AU563" s="33">
        <f t="shared" si="989"/>
        <v>0</v>
      </c>
      <c r="AV563" s="33">
        <f t="shared" si="989"/>
        <v>0</v>
      </c>
      <c r="AW563" s="33">
        <f t="shared" si="989"/>
        <v>0</v>
      </c>
      <c r="AX563" s="33">
        <f t="shared" si="989"/>
        <v>0</v>
      </c>
      <c r="AY563" s="33">
        <f t="shared" si="989"/>
        <v>0</v>
      </c>
      <c r="AZ563" s="33">
        <f t="shared" si="989"/>
        <v>0</v>
      </c>
      <c r="BA563" s="33">
        <f t="shared" si="989"/>
        <v>0</v>
      </c>
      <c r="BB563" s="33">
        <f t="shared" si="989"/>
        <v>0</v>
      </c>
      <c r="BC563" s="33">
        <f t="shared" si="989"/>
        <v>0</v>
      </c>
      <c r="BD563" s="33">
        <f t="shared" si="989"/>
        <v>0</v>
      </c>
      <c r="BE563" s="33">
        <f t="shared" si="989"/>
        <v>0</v>
      </c>
      <c r="BF563" s="33">
        <f t="shared" si="989"/>
        <v>0</v>
      </c>
      <c r="BG563" s="33">
        <f t="shared" si="989"/>
        <v>0</v>
      </c>
      <c r="BH563" s="33">
        <f t="shared" si="989"/>
        <v>0</v>
      </c>
      <c r="BI563" s="33">
        <f t="shared" si="989"/>
        <v>0</v>
      </c>
      <c r="BJ563" s="33">
        <f t="shared" si="989"/>
        <v>0</v>
      </c>
      <c r="BK563" s="33">
        <f t="shared" si="989"/>
        <v>0</v>
      </c>
      <c r="BL563" s="33">
        <f t="shared" si="989"/>
        <v>0</v>
      </c>
      <c r="BM563" s="33">
        <f t="shared" si="989"/>
        <v>0</v>
      </c>
      <c r="BN563" s="33">
        <f t="shared" si="989"/>
        <v>0</v>
      </c>
      <c r="BO563" s="33">
        <f t="shared" si="989"/>
        <v>0</v>
      </c>
      <c r="BP563" s="33">
        <f t="shared" si="989"/>
        <v>0</v>
      </c>
      <c r="BQ563" s="33">
        <f t="shared" si="989"/>
        <v>0</v>
      </c>
      <c r="BR563" s="33">
        <f t="shared" si="989"/>
        <v>0</v>
      </c>
      <c r="BS563" s="33">
        <f t="shared" si="989"/>
        <v>0</v>
      </c>
      <c r="BT563" s="33">
        <f t="shared" ref="BT563:BY563" si="990">BT706+BT922+BT935+BT1055</f>
        <v>0</v>
      </c>
      <c r="BU563" s="33">
        <f t="shared" si="990"/>
        <v>0</v>
      </c>
      <c r="BV563" s="33">
        <f t="shared" si="990"/>
        <v>0</v>
      </c>
      <c r="BW563" s="33">
        <f t="shared" si="990"/>
        <v>0</v>
      </c>
      <c r="BX563" s="33">
        <f t="shared" si="990"/>
        <v>0</v>
      </c>
      <c r="BY563" s="33">
        <f t="shared" si="990"/>
        <v>0</v>
      </c>
    </row>
    <row r="564" spans="2:77" outlineLevel="1">
      <c r="B564" s="29"/>
      <c r="C564" s="29"/>
      <c r="D564" s="29"/>
      <c r="E564" t="s">
        <v>471</v>
      </c>
      <c r="F564" s="23" t="s">
        <v>466</v>
      </c>
      <c r="G564" s="24"/>
      <c r="H564" s="33">
        <f t="shared" ref="H564:AM564" ca="1" si="991">H707+H923+H936+H1056</f>
        <v>0</v>
      </c>
      <c r="I564" s="33">
        <f t="shared" ca="1" si="991"/>
        <v>0</v>
      </c>
      <c r="J564" s="33">
        <f t="shared" ca="1" si="991"/>
        <v>0</v>
      </c>
      <c r="K564" s="33">
        <f t="shared" ca="1" si="991"/>
        <v>0</v>
      </c>
      <c r="L564" s="33">
        <f t="shared" ca="1" si="991"/>
        <v>0</v>
      </c>
      <c r="M564" s="33">
        <f t="shared" ca="1" si="991"/>
        <v>0</v>
      </c>
      <c r="N564" s="33">
        <f t="shared" ca="1" si="991"/>
        <v>0</v>
      </c>
      <c r="O564" s="33">
        <f t="shared" ca="1" si="991"/>
        <v>0</v>
      </c>
      <c r="P564" s="33">
        <f t="shared" ca="1" si="991"/>
        <v>0</v>
      </c>
      <c r="Q564" s="33">
        <f t="shared" ca="1" si="991"/>
        <v>0</v>
      </c>
      <c r="R564" s="33">
        <f t="shared" ca="1" si="991"/>
        <v>0</v>
      </c>
      <c r="S564" s="33">
        <f t="shared" ca="1" si="991"/>
        <v>0</v>
      </c>
      <c r="T564" s="33">
        <f t="shared" ca="1" si="991"/>
        <v>0</v>
      </c>
      <c r="U564" s="33">
        <f t="shared" ca="1" si="991"/>
        <v>0</v>
      </c>
      <c r="V564" s="33">
        <f t="shared" ca="1" si="991"/>
        <v>0</v>
      </c>
      <c r="W564" s="33">
        <f t="shared" ca="1" si="991"/>
        <v>0</v>
      </c>
      <c r="X564" s="33">
        <f t="shared" ca="1" si="991"/>
        <v>0</v>
      </c>
      <c r="Y564" s="33">
        <f t="shared" ca="1" si="991"/>
        <v>0</v>
      </c>
      <c r="Z564" s="33">
        <f t="shared" ca="1" si="991"/>
        <v>0</v>
      </c>
      <c r="AA564" s="33">
        <f t="shared" ca="1" si="991"/>
        <v>0</v>
      </c>
      <c r="AB564" s="33">
        <f t="shared" ca="1" si="991"/>
        <v>0</v>
      </c>
      <c r="AC564" s="33">
        <f t="shared" ca="1" si="991"/>
        <v>0</v>
      </c>
      <c r="AD564" s="33">
        <f t="shared" ca="1" si="991"/>
        <v>0</v>
      </c>
      <c r="AE564" s="33">
        <f t="shared" ca="1" si="991"/>
        <v>0</v>
      </c>
      <c r="AF564" s="33">
        <f t="shared" ca="1" si="991"/>
        <v>0</v>
      </c>
      <c r="AG564" s="33">
        <f t="shared" ca="1" si="991"/>
        <v>0</v>
      </c>
      <c r="AH564" s="33">
        <f t="shared" ca="1" si="991"/>
        <v>0</v>
      </c>
      <c r="AI564" s="33">
        <f t="shared" ca="1" si="991"/>
        <v>0</v>
      </c>
      <c r="AJ564" s="33">
        <f t="shared" ca="1" si="991"/>
        <v>0</v>
      </c>
      <c r="AK564" s="33">
        <f t="shared" ca="1" si="991"/>
        <v>0</v>
      </c>
      <c r="AL564" s="33">
        <f t="shared" ca="1" si="991"/>
        <v>0</v>
      </c>
      <c r="AM564" s="33">
        <f t="shared" ca="1" si="991"/>
        <v>0</v>
      </c>
      <c r="AN564" s="33">
        <f t="shared" ref="AN564:BS564" ca="1" si="992">AN707+AN923+AN936+AN1056</f>
        <v>0</v>
      </c>
      <c r="AO564" s="33">
        <f t="shared" ca="1" si="992"/>
        <v>0</v>
      </c>
      <c r="AP564" s="33">
        <f t="shared" ca="1" si="992"/>
        <v>0</v>
      </c>
      <c r="AQ564" s="33">
        <f t="shared" ca="1" si="992"/>
        <v>0</v>
      </c>
      <c r="AR564" s="33">
        <f t="shared" ca="1" si="992"/>
        <v>0</v>
      </c>
      <c r="AS564" s="33">
        <f t="shared" ca="1" si="992"/>
        <v>0</v>
      </c>
      <c r="AT564" s="33">
        <f t="shared" ca="1" si="992"/>
        <v>0</v>
      </c>
      <c r="AU564" s="33">
        <f t="shared" ca="1" si="992"/>
        <v>0</v>
      </c>
      <c r="AV564" s="33">
        <f t="shared" ca="1" si="992"/>
        <v>0</v>
      </c>
      <c r="AW564" s="33">
        <f t="shared" ca="1" si="992"/>
        <v>0</v>
      </c>
      <c r="AX564" s="33">
        <f t="shared" ca="1" si="992"/>
        <v>0</v>
      </c>
      <c r="AY564" s="33">
        <f t="shared" ca="1" si="992"/>
        <v>0</v>
      </c>
      <c r="AZ564" s="33">
        <f t="shared" ca="1" si="992"/>
        <v>0</v>
      </c>
      <c r="BA564" s="33">
        <f t="shared" ca="1" si="992"/>
        <v>0</v>
      </c>
      <c r="BB564" s="33">
        <f t="shared" ca="1" si="992"/>
        <v>0</v>
      </c>
      <c r="BC564" s="33">
        <f t="shared" ca="1" si="992"/>
        <v>0</v>
      </c>
      <c r="BD564" s="33">
        <f t="shared" ca="1" si="992"/>
        <v>0</v>
      </c>
      <c r="BE564" s="33">
        <f t="shared" ca="1" si="992"/>
        <v>0</v>
      </c>
      <c r="BF564" s="33">
        <f t="shared" ca="1" si="992"/>
        <v>0</v>
      </c>
      <c r="BG564" s="33">
        <f t="shared" ca="1" si="992"/>
        <v>0</v>
      </c>
      <c r="BH564" s="33">
        <f t="shared" ca="1" si="992"/>
        <v>0</v>
      </c>
      <c r="BI564" s="33">
        <f t="shared" ca="1" si="992"/>
        <v>0</v>
      </c>
      <c r="BJ564" s="33">
        <f t="shared" ca="1" si="992"/>
        <v>0</v>
      </c>
      <c r="BK564" s="33">
        <f t="shared" ca="1" si="992"/>
        <v>0</v>
      </c>
      <c r="BL564" s="33">
        <f t="shared" ca="1" si="992"/>
        <v>0</v>
      </c>
      <c r="BM564" s="33">
        <f t="shared" ca="1" si="992"/>
        <v>0</v>
      </c>
      <c r="BN564" s="33">
        <f t="shared" ca="1" si="992"/>
        <v>0</v>
      </c>
      <c r="BO564" s="33">
        <f t="shared" ca="1" si="992"/>
        <v>0</v>
      </c>
      <c r="BP564" s="33">
        <f t="shared" ca="1" si="992"/>
        <v>0</v>
      </c>
      <c r="BQ564" s="33">
        <f t="shared" ca="1" si="992"/>
        <v>0</v>
      </c>
      <c r="BR564" s="33">
        <f t="shared" ca="1" si="992"/>
        <v>0</v>
      </c>
      <c r="BS564" s="33">
        <f t="shared" ca="1" si="992"/>
        <v>0</v>
      </c>
      <c r="BT564" s="33">
        <f t="shared" ref="BT564:BY564" ca="1" si="993">BT707+BT923+BT936+BT1056</f>
        <v>0</v>
      </c>
      <c r="BU564" s="33">
        <f t="shared" ca="1" si="993"/>
        <v>0</v>
      </c>
      <c r="BV564" s="33">
        <f t="shared" ca="1" si="993"/>
        <v>0</v>
      </c>
      <c r="BW564" s="33">
        <f t="shared" ca="1" si="993"/>
        <v>0</v>
      </c>
      <c r="BX564" s="33">
        <f t="shared" ca="1" si="993"/>
        <v>0</v>
      </c>
      <c r="BY564" s="33">
        <f t="shared" ca="1" si="993"/>
        <v>0</v>
      </c>
    </row>
    <row r="565" spans="2:77" s="22" customFormat="1" ht="15" outlineLevel="1">
      <c r="B565" s="29"/>
      <c r="C565" s="29"/>
      <c r="D565" s="29"/>
      <c r="E565" s="22" t="s">
        <v>478</v>
      </c>
      <c r="F565" s="36" t="s">
        <v>470</v>
      </c>
      <c r="G565" s="91"/>
      <c r="H565" s="37">
        <f t="shared" ref="H565:AM565" ca="1" si="994">H708+H924+H937+H1057</f>
        <v>0</v>
      </c>
      <c r="I565" s="37">
        <f t="shared" ca="1" si="994"/>
        <v>0</v>
      </c>
      <c r="J565" s="37">
        <f t="shared" ca="1" si="994"/>
        <v>0</v>
      </c>
      <c r="K565" s="37">
        <f t="shared" ca="1" si="994"/>
        <v>-21565903.55285152</v>
      </c>
      <c r="L565" s="37">
        <f t="shared" ca="1" si="994"/>
        <v>-21997221.62390855</v>
      </c>
      <c r="M565" s="37">
        <f t="shared" ca="1" si="994"/>
        <v>-22437166.056386717</v>
      </c>
      <c r="N565" s="37">
        <f t="shared" ca="1" si="994"/>
        <v>-22885909.377514441</v>
      </c>
      <c r="O565" s="37">
        <f t="shared" ca="1" si="994"/>
        <v>-23343627.565064736</v>
      </c>
      <c r="P565" s="37">
        <f t="shared" ca="1" si="994"/>
        <v>-23810500.116366033</v>
      </c>
      <c r="Q565" s="37">
        <f t="shared" ca="1" si="994"/>
        <v>-24286710.118693359</v>
      </c>
      <c r="R565" s="37">
        <f t="shared" ca="1" si="994"/>
        <v>-24772444.321067221</v>
      </c>
      <c r="S565" s="37">
        <f t="shared" ca="1" si="994"/>
        <v>-25267893.207488567</v>
      </c>
      <c r="T565" s="37">
        <f t="shared" ca="1" si="994"/>
        <v>-25773251.071638338</v>
      </c>
      <c r="U565" s="37">
        <f t="shared" ca="1" si="994"/>
        <v>-26288716.093071103</v>
      </c>
      <c r="V565" s="37">
        <f t="shared" ca="1" si="994"/>
        <v>-26814490.414932519</v>
      </c>
      <c r="W565" s="37">
        <f t="shared" ca="1" si="994"/>
        <v>-27350780.223231178</v>
      </c>
      <c r="X565" s="37">
        <f t="shared" ca="1" si="994"/>
        <v>-27897795.827695798</v>
      </c>
      <c r="Y565" s="37">
        <f t="shared" ca="1" si="994"/>
        <v>-28455751.744249713</v>
      </c>
      <c r="Z565" s="37">
        <f t="shared" ca="1" si="994"/>
        <v>0</v>
      </c>
      <c r="AA565" s="37">
        <f t="shared" ca="1" si="994"/>
        <v>0</v>
      </c>
      <c r="AB565" s="37">
        <f t="shared" ca="1" si="994"/>
        <v>0</v>
      </c>
      <c r="AC565" s="37">
        <f t="shared" ca="1" si="994"/>
        <v>0</v>
      </c>
      <c r="AD565" s="37">
        <f t="shared" ca="1" si="994"/>
        <v>0</v>
      </c>
      <c r="AE565" s="37">
        <f t="shared" ca="1" si="994"/>
        <v>0</v>
      </c>
      <c r="AF565" s="37">
        <f t="shared" ca="1" si="994"/>
        <v>0</v>
      </c>
      <c r="AG565" s="37">
        <f t="shared" ca="1" si="994"/>
        <v>0</v>
      </c>
      <c r="AH565" s="37">
        <f t="shared" ca="1" si="994"/>
        <v>0</v>
      </c>
      <c r="AI565" s="37">
        <f t="shared" ca="1" si="994"/>
        <v>0</v>
      </c>
      <c r="AJ565" s="37">
        <f t="shared" ca="1" si="994"/>
        <v>0</v>
      </c>
      <c r="AK565" s="37">
        <f t="shared" ca="1" si="994"/>
        <v>0</v>
      </c>
      <c r="AL565" s="37">
        <f t="shared" ca="1" si="994"/>
        <v>0</v>
      </c>
      <c r="AM565" s="37">
        <f t="shared" ca="1" si="994"/>
        <v>0</v>
      </c>
      <c r="AN565" s="37">
        <f t="shared" ref="AN565:BS565" ca="1" si="995">AN708+AN924+AN937+AN1057</f>
        <v>0</v>
      </c>
      <c r="AO565" s="37">
        <f t="shared" ca="1" si="995"/>
        <v>0</v>
      </c>
      <c r="AP565" s="37">
        <f t="shared" ca="1" si="995"/>
        <v>0</v>
      </c>
      <c r="AQ565" s="37">
        <f t="shared" ca="1" si="995"/>
        <v>0</v>
      </c>
      <c r="AR565" s="37">
        <f t="shared" ca="1" si="995"/>
        <v>0</v>
      </c>
      <c r="AS565" s="37">
        <f t="shared" ca="1" si="995"/>
        <v>0</v>
      </c>
      <c r="AT565" s="37">
        <f t="shared" ca="1" si="995"/>
        <v>0</v>
      </c>
      <c r="AU565" s="37">
        <f t="shared" ca="1" si="995"/>
        <v>0</v>
      </c>
      <c r="AV565" s="37">
        <f t="shared" ca="1" si="995"/>
        <v>0</v>
      </c>
      <c r="AW565" s="37">
        <f t="shared" ca="1" si="995"/>
        <v>0</v>
      </c>
      <c r="AX565" s="37">
        <f t="shared" ca="1" si="995"/>
        <v>0</v>
      </c>
      <c r="AY565" s="37">
        <f t="shared" ca="1" si="995"/>
        <v>0</v>
      </c>
      <c r="AZ565" s="37">
        <f t="shared" ca="1" si="995"/>
        <v>0</v>
      </c>
      <c r="BA565" s="37">
        <f t="shared" ca="1" si="995"/>
        <v>0</v>
      </c>
      <c r="BB565" s="37">
        <f t="shared" ca="1" si="995"/>
        <v>0</v>
      </c>
      <c r="BC565" s="37">
        <f t="shared" ca="1" si="995"/>
        <v>0</v>
      </c>
      <c r="BD565" s="37">
        <f t="shared" ca="1" si="995"/>
        <v>0</v>
      </c>
      <c r="BE565" s="37">
        <f t="shared" ca="1" si="995"/>
        <v>0</v>
      </c>
      <c r="BF565" s="37">
        <f t="shared" ca="1" si="995"/>
        <v>0</v>
      </c>
      <c r="BG565" s="37">
        <f t="shared" ca="1" si="995"/>
        <v>0</v>
      </c>
      <c r="BH565" s="37">
        <f t="shared" ca="1" si="995"/>
        <v>0</v>
      </c>
      <c r="BI565" s="37">
        <f t="shared" ca="1" si="995"/>
        <v>0</v>
      </c>
      <c r="BJ565" s="37">
        <f t="shared" ca="1" si="995"/>
        <v>0</v>
      </c>
      <c r="BK565" s="37">
        <f t="shared" ca="1" si="995"/>
        <v>0</v>
      </c>
      <c r="BL565" s="37">
        <f t="shared" ca="1" si="995"/>
        <v>0</v>
      </c>
      <c r="BM565" s="37">
        <f t="shared" ca="1" si="995"/>
        <v>0</v>
      </c>
      <c r="BN565" s="37">
        <f t="shared" ca="1" si="995"/>
        <v>0</v>
      </c>
      <c r="BO565" s="37">
        <f t="shared" ca="1" si="995"/>
        <v>0</v>
      </c>
      <c r="BP565" s="37">
        <f t="shared" ca="1" si="995"/>
        <v>0</v>
      </c>
      <c r="BQ565" s="37">
        <f t="shared" ca="1" si="995"/>
        <v>0</v>
      </c>
      <c r="BR565" s="37">
        <f t="shared" ca="1" si="995"/>
        <v>0</v>
      </c>
      <c r="BS565" s="37">
        <f t="shared" ca="1" si="995"/>
        <v>0</v>
      </c>
      <c r="BT565" s="37">
        <f t="shared" ref="BT565:BY565" ca="1" si="996">BT708+BT924+BT937+BT1057</f>
        <v>0</v>
      </c>
      <c r="BU565" s="37">
        <f t="shared" ca="1" si="996"/>
        <v>0</v>
      </c>
      <c r="BV565" s="37">
        <f t="shared" ca="1" si="996"/>
        <v>0</v>
      </c>
      <c r="BW565" s="37">
        <f t="shared" ca="1" si="996"/>
        <v>0</v>
      </c>
      <c r="BX565" s="37">
        <f t="shared" ca="1" si="996"/>
        <v>0</v>
      </c>
      <c r="BY565" s="37">
        <f t="shared" ca="1" si="996"/>
        <v>0</v>
      </c>
    </row>
    <row r="566" spans="2:77" outlineLevel="1">
      <c r="B566" s="29"/>
      <c r="C566" s="29"/>
      <c r="D566" s="29"/>
      <c r="E566" t="s">
        <v>446</v>
      </c>
      <c r="F566" s="23" t="s">
        <v>466</v>
      </c>
      <c r="G566" s="24"/>
      <c r="H566" s="33">
        <f t="shared" ref="H566:AM566" si="997">H709+H925+H938+H1058</f>
        <v>0</v>
      </c>
      <c r="I566" s="33">
        <f t="shared" si="997"/>
        <v>-175735727.329642</v>
      </c>
      <c r="J566" s="33">
        <f t="shared" si="997"/>
        <v>-179250441.87623483</v>
      </c>
      <c r="K566" s="33">
        <f t="shared" si="997"/>
        <v>0</v>
      </c>
      <c r="L566" s="33">
        <f t="shared" si="997"/>
        <v>0</v>
      </c>
      <c r="M566" s="33">
        <f t="shared" si="997"/>
        <v>0</v>
      </c>
      <c r="N566" s="33">
        <f t="shared" si="997"/>
        <v>0</v>
      </c>
      <c r="O566" s="33">
        <f t="shared" si="997"/>
        <v>0</v>
      </c>
      <c r="P566" s="33">
        <f t="shared" si="997"/>
        <v>0</v>
      </c>
      <c r="Q566" s="33">
        <f t="shared" si="997"/>
        <v>0</v>
      </c>
      <c r="R566" s="33">
        <f t="shared" si="997"/>
        <v>0</v>
      </c>
      <c r="S566" s="33">
        <f t="shared" si="997"/>
        <v>0</v>
      </c>
      <c r="T566" s="33">
        <f t="shared" si="997"/>
        <v>0</v>
      </c>
      <c r="U566" s="33">
        <f t="shared" si="997"/>
        <v>0</v>
      </c>
      <c r="V566" s="33">
        <f t="shared" si="997"/>
        <v>0</v>
      </c>
      <c r="W566" s="33">
        <f t="shared" si="997"/>
        <v>0</v>
      </c>
      <c r="X566" s="33">
        <f t="shared" si="997"/>
        <v>0</v>
      </c>
      <c r="Y566" s="33">
        <f t="shared" si="997"/>
        <v>0</v>
      </c>
      <c r="Z566" s="33">
        <f t="shared" si="997"/>
        <v>0</v>
      </c>
      <c r="AA566" s="33">
        <f t="shared" si="997"/>
        <v>0</v>
      </c>
      <c r="AB566" s="33">
        <f t="shared" si="997"/>
        <v>0</v>
      </c>
      <c r="AC566" s="33">
        <f t="shared" si="997"/>
        <v>0</v>
      </c>
      <c r="AD566" s="33">
        <f t="shared" si="997"/>
        <v>0</v>
      </c>
      <c r="AE566" s="33">
        <f t="shared" si="997"/>
        <v>0</v>
      </c>
      <c r="AF566" s="33">
        <f t="shared" si="997"/>
        <v>0</v>
      </c>
      <c r="AG566" s="33">
        <f t="shared" si="997"/>
        <v>0</v>
      </c>
      <c r="AH566" s="33">
        <f t="shared" si="997"/>
        <v>0</v>
      </c>
      <c r="AI566" s="33">
        <f t="shared" si="997"/>
        <v>0</v>
      </c>
      <c r="AJ566" s="33">
        <f t="shared" si="997"/>
        <v>0</v>
      </c>
      <c r="AK566" s="33">
        <f t="shared" si="997"/>
        <v>0</v>
      </c>
      <c r="AL566" s="33">
        <f t="shared" si="997"/>
        <v>0</v>
      </c>
      <c r="AM566" s="33">
        <f t="shared" si="997"/>
        <v>0</v>
      </c>
      <c r="AN566" s="33">
        <f t="shared" ref="AN566:BS566" si="998">AN709+AN925+AN938+AN1058</f>
        <v>0</v>
      </c>
      <c r="AO566" s="33">
        <f t="shared" si="998"/>
        <v>0</v>
      </c>
      <c r="AP566" s="33">
        <f t="shared" si="998"/>
        <v>0</v>
      </c>
      <c r="AQ566" s="33">
        <f t="shared" si="998"/>
        <v>0</v>
      </c>
      <c r="AR566" s="33">
        <f t="shared" si="998"/>
        <v>0</v>
      </c>
      <c r="AS566" s="33">
        <f t="shared" si="998"/>
        <v>0</v>
      </c>
      <c r="AT566" s="33">
        <f t="shared" si="998"/>
        <v>0</v>
      </c>
      <c r="AU566" s="33">
        <f t="shared" si="998"/>
        <v>0</v>
      </c>
      <c r="AV566" s="33">
        <f t="shared" si="998"/>
        <v>0</v>
      </c>
      <c r="AW566" s="33">
        <f t="shared" si="998"/>
        <v>0</v>
      </c>
      <c r="AX566" s="33">
        <f t="shared" si="998"/>
        <v>0</v>
      </c>
      <c r="AY566" s="33">
        <f t="shared" si="998"/>
        <v>0</v>
      </c>
      <c r="AZ566" s="33">
        <f t="shared" si="998"/>
        <v>0</v>
      </c>
      <c r="BA566" s="33">
        <f t="shared" si="998"/>
        <v>0</v>
      </c>
      <c r="BB566" s="33">
        <f t="shared" si="998"/>
        <v>0</v>
      </c>
      <c r="BC566" s="33">
        <f t="shared" si="998"/>
        <v>0</v>
      </c>
      <c r="BD566" s="33">
        <f t="shared" si="998"/>
        <v>0</v>
      </c>
      <c r="BE566" s="33">
        <f t="shared" si="998"/>
        <v>0</v>
      </c>
      <c r="BF566" s="33">
        <f t="shared" si="998"/>
        <v>0</v>
      </c>
      <c r="BG566" s="33">
        <f t="shared" si="998"/>
        <v>0</v>
      </c>
      <c r="BH566" s="33">
        <f t="shared" si="998"/>
        <v>0</v>
      </c>
      <c r="BI566" s="33">
        <f t="shared" si="998"/>
        <v>0</v>
      </c>
      <c r="BJ566" s="33">
        <f t="shared" si="998"/>
        <v>0</v>
      </c>
      <c r="BK566" s="33">
        <f t="shared" si="998"/>
        <v>0</v>
      </c>
      <c r="BL566" s="33">
        <f t="shared" si="998"/>
        <v>0</v>
      </c>
      <c r="BM566" s="33">
        <f t="shared" si="998"/>
        <v>0</v>
      </c>
      <c r="BN566" s="33">
        <f t="shared" si="998"/>
        <v>0</v>
      </c>
      <c r="BO566" s="33">
        <f t="shared" si="998"/>
        <v>0</v>
      </c>
      <c r="BP566" s="33">
        <f t="shared" si="998"/>
        <v>0</v>
      </c>
      <c r="BQ566" s="33">
        <f t="shared" si="998"/>
        <v>0</v>
      </c>
      <c r="BR566" s="33">
        <f t="shared" si="998"/>
        <v>0</v>
      </c>
      <c r="BS566" s="33">
        <f t="shared" si="998"/>
        <v>0</v>
      </c>
      <c r="BT566" s="33">
        <f t="shared" ref="BT566:BY566" si="999">BT709+BT925+BT938+BT1058</f>
        <v>0</v>
      </c>
      <c r="BU566" s="33">
        <f t="shared" si="999"/>
        <v>0</v>
      </c>
      <c r="BV566" s="33">
        <f t="shared" si="999"/>
        <v>0</v>
      </c>
      <c r="BW566" s="33">
        <f t="shared" si="999"/>
        <v>0</v>
      </c>
      <c r="BX566" s="33">
        <f t="shared" si="999"/>
        <v>0</v>
      </c>
      <c r="BY566" s="33">
        <f t="shared" si="999"/>
        <v>0</v>
      </c>
    </row>
    <row r="567" spans="2:77" s="22" customFormat="1" ht="15" outlineLevel="1">
      <c r="B567" s="29"/>
      <c r="C567" s="29"/>
      <c r="D567" s="29"/>
      <c r="E567" s="22" t="s">
        <v>479</v>
      </c>
      <c r="F567" s="36" t="s">
        <v>470</v>
      </c>
      <c r="G567" s="91"/>
      <c r="H567" s="37">
        <f t="shared" ref="H567:AM567" ca="1" si="1000">H710+H926+H939+H1059</f>
        <v>0</v>
      </c>
      <c r="I567" s="37">
        <f t="shared" ca="1" si="1000"/>
        <v>-175735727.329642</v>
      </c>
      <c r="J567" s="37">
        <f t="shared" ca="1" si="1000"/>
        <v>-179250441.87623483</v>
      </c>
      <c r="K567" s="37">
        <f t="shared" ca="1" si="1000"/>
        <v>-21565903.55285152</v>
      </c>
      <c r="L567" s="37">
        <f t="shared" ca="1" si="1000"/>
        <v>-21997221.62390855</v>
      </c>
      <c r="M567" s="37">
        <f t="shared" ca="1" si="1000"/>
        <v>-22437166.056386717</v>
      </c>
      <c r="N567" s="37">
        <f t="shared" ca="1" si="1000"/>
        <v>-22885909.377514441</v>
      </c>
      <c r="O567" s="37">
        <f t="shared" ca="1" si="1000"/>
        <v>-23343627.565064736</v>
      </c>
      <c r="P567" s="37">
        <f t="shared" ca="1" si="1000"/>
        <v>-23810500.116366033</v>
      </c>
      <c r="Q567" s="37">
        <f t="shared" ca="1" si="1000"/>
        <v>-24286710.118693359</v>
      </c>
      <c r="R567" s="37">
        <f t="shared" ca="1" si="1000"/>
        <v>-24772444.321067221</v>
      </c>
      <c r="S567" s="37">
        <f t="shared" ca="1" si="1000"/>
        <v>-25267893.207488567</v>
      </c>
      <c r="T567" s="37">
        <f t="shared" ca="1" si="1000"/>
        <v>-25773251.071638338</v>
      </c>
      <c r="U567" s="37">
        <f t="shared" ca="1" si="1000"/>
        <v>-26288716.093071103</v>
      </c>
      <c r="V567" s="37">
        <f t="shared" ca="1" si="1000"/>
        <v>-26814490.414932519</v>
      </c>
      <c r="W567" s="37">
        <f t="shared" ca="1" si="1000"/>
        <v>-27350780.223231178</v>
      </c>
      <c r="X567" s="37">
        <f t="shared" ca="1" si="1000"/>
        <v>-27897795.827695798</v>
      </c>
      <c r="Y567" s="37">
        <f t="shared" ca="1" si="1000"/>
        <v>-28455751.744249713</v>
      </c>
      <c r="Z567" s="37">
        <f t="shared" ca="1" si="1000"/>
        <v>0</v>
      </c>
      <c r="AA567" s="37">
        <f t="shared" ca="1" si="1000"/>
        <v>0</v>
      </c>
      <c r="AB567" s="37">
        <f t="shared" ca="1" si="1000"/>
        <v>0</v>
      </c>
      <c r="AC567" s="37">
        <f t="shared" ca="1" si="1000"/>
        <v>0</v>
      </c>
      <c r="AD567" s="37">
        <f t="shared" ca="1" si="1000"/>
        <v>0</v>
      </c>
      <c r="AE567" s="37">
        <f t="shared" ca="1" si="1000"/>
        <v>0</v>
      </c>
      <c r="AF567" s="37">
        <f t="shared" ca="1" si="1000"/>
        <v>0</v>
      </c>
      <c r="AG567" s="37">
        <f t="shared" ca="1" si="1000"/>
        <v>0</v>
      </c>
      <c r="AH567" s="37">
        <f t="shared" ca="1" si="1000"/>
        <v>0</v>
      </c>
      <c r="AI567" s="37">
        <f t="shared" ca="1" si="1000"/>
        <v>0</v>
      </c>
      <c r="AJ567" s="37">
        <f t="shared" ca="1" si="1000"/>
        <v>0</v>
      </c>
      <c r="AK567" s="37">
        <f t="shared" ca="1" si="1000"/>
        <v>0</v>
      </c>
      <c r="AL567" s="37">
        <f t="shared" ca="1" si="1000"/>
        <v>0</v>
      </c>
      <c r="AM567" s="37">
        <f t="shared" ca="1" si="1000"/>
        <v>0</v>
      </c>
      <c r="AN567" s="37">
        <f t="shared" ref="AN567:BS567" ca="1" si="1001">AN710+AN926+AN939+AN1059</f>
        <v>0</v>
      </c>
      <c r="AO567" s="37">
        <f t="shared" ca="1" si="1001"/>
        <v>0</v>
      </c>
      <c r="AP567" s="37">
        <f t="shared" ca="1" si="1001"/>
        <v>0</v>
      </c>
      <c r="AQ567" s="37">
        <f t="shared" ca="1" si="1001"/>
        <v>0</v>
      </c>
      <c r="AR567" s="37">
        <f t="shared" ca="1" si="1001"/>
        <v>0</v>
      </c>
      <c r="AS567" s="37">
        <f t="shared" ca="1" si="1001"/>
        <v>0</v>
      </c>
      <c r="AT567" s="37">
        <f t="shared" ca="1" si="1001"/>
        <v>0</v>
      </c>
      <c r="AU567" s="37">
        <f t="shared" ca="1" si="1001"/>
        <v>0</v>
      </c>
      <c r="AV567" s="37">
        <f t="shared" ca="1" si="1001"/>
        <v>0</v>
      </c>
      <c r="AW567" s="37">
        <f t="shared" ca="1" si="1001"/>
        <v>0</v>
      </c>
      <c r="AX567" s="37">
        <f t="shared" ca="1" si="1001"/>
        <v>0</v>
      </c>
      <c r="AY567" s="37">
        <f t="shared" ca="1" si="1001"/>
        <v>0</v>
      </c>
      <c r="AZ567" s="37">
        <f t="shared" ca="1" si="1001"/>
        <v>0</v>
      </c>
      <c r="BA567" s="37">
        <f t="shared" ca="1" si="1001"/>
        <v>0</v>
      </c>
      <c r="BB567" s="37">
        <f t="shared" ca="1" si="1001"/>
        <v>0</v>
      </c>
      <c r="BC567" s="37">
        <f t="shared" ca="1" si="1001"/>
        <v>0</v>
      </c>
      <c r="BD567" s="37">
        <f t="shared" ca="1" si="1001"/>
        <v>0</v>
      </c>
      <c r="BE567" s="37">
        <f t="shared" ca="1" si="1001"/>
        <v>0</v>
      </c>
      <c r="BF567" s="37">
        <f t="shared" ca="1" si="1001"/>
        <v>0</v>
      </c>
      <c r="BG567" s="37">
        <f t="shared" ca="1" si="1001"/>
        <v>0</v>
      </c>
      <c r="BH567" s="37">
        <f t="shared" ca="1" si="1001"/>
        <v>0</v>
      </c>
      <c r="BI567" s="37">
        <f t="shared" ca="1" si="1001"/>
        <v>0</v>
      </c>
      <c r="BJ567" s="37">
        <f t="shared" ca="1" si="1001"/>
        <v>0</v>
      </c>
      <c r="BK567" s="37">
        <f t="shared" ca="1" si="1001"/>
        <v>0</v>
      </c>
      <c r="BL567" s="37">
        <f t="shared" ca="1" si="1001"/>
        <v>0</v>
      </c>
      <c r="BM567" s="37">
        <f t="shared" ca="1" si="1001"/>
        <v>0</v>
      </c>
      <c r="BN567" s="37">
        <f t="shared" ca="1" si="1001"/>
        <v>0</v>
      </c>
      <c r="BO567" s="37">
        <f t="shared" ca="1" si="1001"/>
        <v>0</v>
      </c>
      <c r="BP567" s="37">
        <f t="shared" ca="1" si="1001"/>
        <v>0</v>
      </c>
      <c r="BQ567" s="37">
        <f t="shared" ca="1" si="1001"/>
        <v>0</v>
      </c>
      <c r="BR567" s="37">
        <f t="shared" ca="1" si="1001"/>
        <v>0</v>
      </c>
      <c r="BS567" s="37">
        <f t="shared" ca="1" si="1001"/>
        <v>0</v>
      </c>
      <c r="BT567" s="37">
        <f t="shared" ref="BT567:BY567" ca="1" si="1002">BT710+BT926+BT939+BT1059</f>
        <v>0</v>
      </c>
      <c r="BU567" s="37">
        <f t="shared" ca="1" si="1002"/>
        <v>0</v>
      </c>
      <c r="BV567" s="37">
        <f t="shared" ca="1" si="1002"/>
        <v>0</v>
      </c>
      <c r="BW567" s="37">
        <f t="shared" ca="1" si="1002"/>
        <v>0</v>
      </c>
      <c r="BX567" s="37">
        <f t="shared" ca="1" si="1002"/>
        <v>0</v>
      </c>
      <c r="BY567" s="37">
        <f t="shared" ca="1" si="1002"/>
        <v>0</v>
      </c>
    </row>
    <row r="568" spans="2:77" outlineLevel="1">
      <c r="B568" s="29"/>
      <c r="C568" s="29"/>
      <c r="D568" s="29"/>
      <c r="E568" t="s">
        <v>480</v>
      </c>
      <c r="F568" s="40" t="s">
        <v>475</v>
      </c>
      <c r="G568" s="24"/>
      <c r="H568" s="33">
        <f t="shared" ref="H568:AM568" si="1003">H711+H927+H940+H1060</f>
        <v>0</v>
      </c>
      <c r="I568" s="33">
        <f t="shared" si="1003"/>
        <v>33913947.695878938</v>
      </c>
      <c r="J568" s="33">
        <f t="shared" ca="1" si="1003"/>
        <v>177764193.4664267</v>
      </c>
      <c r="K568" s="33">
        <f t="shared" ca="1" si="1003"/>
        <v>-9427034.4186573084</v>
      </c>
      <c r="L568" s="33">
        <f t="shared" ca="1" si="1003"/>
        <v>-9968051.9239440523</v>
      </c>
      <c r="M568" s="33">
        <f t="shared" ca="1" si="1003"/>
        <v>-10540118.423859203</v>
      </c>
      <c r="N568" s="33">
        <f t="shared" ca="1" si="1003"/>
        <v>-11145015.820204481</v>
      </c>
      <c r="O568" s="33">
        <f t="shared" ca="1" si="1003"/>
        <v>-11784628.278126018</v>
      </c>
      <c r="P568" s="33">
        <f t="shared" ca="1" si="1003"/>
        <v>-12460948.095007671</v>
      </c>
      <c r="Q568" s="33">
        <f t="shared" ca="1" si="1003"/>
        <v>-13176081.90618016</v>
      </c>
      <c r="R568" s="33">
        <f t="shared" ca="1" si="1003"/>
        <v>-13932257.246775838</v>
      </c>
      <c r="S568" s="33">
        <f t="shared" ca="1" si="1003"/>
        <v>-14731829.490168305</v>
      </c>
      <c r="T568" s="33">
        <f t="shared" ca="1" si="1003"/>
        <v>-15577289.184609065</v>
      </c>
      <c r="U568" s="33">
        <f t="shared" ca="1" si="1003"/>
        <v>-16471269.810913779</v>
      </c>
      <c r="V568" s="33">
        <f t="shared" ca="1" si="1003"/>
        <v>-17416555.985362116</v>
      </c>
      <c r="W568" s="33">
        <f t="shared" ca="1" si="1003"/>
        <v>-18416092.133362051</v>
      </c>
      <c r="X568" s="33">
        <f t="shared" ca="1" si="1003"/>
        <v>-19472991.660895701</v>
      </c>
      <c r="Y568" s="33">
        <f t="shared" ca="1" si="1003"/>
        <v>-17157976.784239903</v>
      </c>
      <c r="Z568" s="33">
        <f t="shared" si="1003"/>
        <v>0</v>
      </c>
      <c r="AA568" s="33">
        <f t="shared" si="1003"/>
        <v>0</v>
      </c>
      <c r="AB568" s="33">
        <f t="shared" si="1003"/>
        <v>0</v>
      </c>
      <c r="AC568" s="33">
        <f t="shared" si="1003"/>
        <v>0</v>
      </c>
      <c r="AD568" s="33">
        <f t="shared" si="1003"/>
        <v>0</v>
      </c>
      <c r="AE568" s="33">
        <f t="shared" si="1003"/>
        <v>0</v>
      </c>
      <c r="AF568" s="33">
        <f t="shared" si="1003"/>
        <v>0</v>
      </c>
      <c r="AG568" s="33">
        <f t="shared" si="1003"/>
        <v>0</v>
      </c>
      <c r="AH568" s="33">
        <f t="shared" si="1003"/>
        <v>0</v>
      </c>
      <c r="AI568" s="33">
        <f t="shared" si="1003"/>
        <v>0</v>
      </c>
      <c r="AJ568" s="33">
        <f t="shared" si="1003"/>
        <v>0</v>
      </c>
      <c r="AK568" s="33">
        <f t="shared" si="1003"/>
        <v>0</v>
      </c>
      <c r="AL568" s="33">
        <f t="shared" si="1003"/>
        <v>0</v>
      </c>
      <c r="AM568" s="33">
        <f t="shared" si="1003"/>
        <v>0</v>
      </c>
      <c r="AN568" s="33">
        <f t="shared" ref="AN568:BS568" si="1004">AN711+AN927+AN940+AN1060</f>
        <v>0</v>
      </c>
      <c r="AO568" s="33">
        <f t="shared" si="1004"/>
        <v>0</v>
      </c>
      <c r="AP568" s="33">
        <f t="shared" si="1004"/>
        <v>0</v>
      </c>
      <c r="AQ568" s="33">
        <f t="shared" si="1004"/>
        <v>0</v>
      </c>
      <c r="AR568" s="33">
        <f t="shared" si="1004"/>
        <v>0</v>
      </c>
      <c r="AS568" s="33">
        <f t="shared" si="1004"/>
        <v>0</v>
      </c>
      <c r="AT568" s="33">
        <f t="shared" si="1004"/>
        <v>0</v>
      </c>
      <c r="AU568" s="33">
        <f t="shared" si="1004"/>
        <v>0</v>
      </c>
      <c r="AV568" s="33">
        <f t="shared" si="1004"/>
        <v>0</v>
      </c>
      <c r="AW568" s="33">
        <f t="shared" si="1004"/>
        <v>0</v>
      </c>
      <c r="AX568" s="33">
        <f t="shared" si="1004"/>
        <v>0</v>
      </c>
      <c r="AY568" s="33">
        <f t="shared" si="1004"/>
        <v>0</v>
      </c>
      <c r="AZ568" s="33">
        <f t="shared" si="1004"/>
        <v>0</v>
      </c>
      <c r="BA568" s="33">
        <f t="shared" si="1004"/>
        <v>0</v>
      </c>
      <c r="BB568" s="33">
        <f t="shared" si="1004"/>
        <v>0</v>
      </c>
      <c r="BC568" s="33">
        <f t="shared" si="1004"/>
        <v>0</v>
      </c>
      <c r="BD568" s="33">
        <f t="shared" si="1004"/>
        <v>0</v>
      </c>
      <c r="BE568" s="33">
        <f t="shared" si="1004"/>
        <v>0</v>
      </c>
      <c r="BF568" s="33">
        <f t="shared" si="1004"/>
        <v>0</v>
      </c>
      <c r="BG568" s="33">
        <f t="shared" si="1004"/>
        <v>0</v>
      </c>
      <c r="BH568" s="33">
        <f t="shared" si="1004"/>
        <v>0</v>
      </c>
      <c r="BI568" s="33">
        <f t="shared" si="1004"/>
        <v>0</v>
      </c>
      <c r="BJ568" s="33">
        <f t="shared" si="1004"/>
        <v>0</v>
      </c>
      <c r="BK568" s="33">
        <f t="shared" si="1004"/>
        <v>0</v>
      </c>
      <c r="BL568" s="33">
        <f t="shared" si="1004"/>
        <v>0</v>
      </c>
      <c r="BM568" s="33">
        <f t="shared" si="1004"/>
        <v>0</v>
      </c>
      <c r="BN568" s="33">
        <f t="shared" si="1004"/>
        <v>0</v>
      </c>
      <c r="BO568" s="33">
        <f t="shared" si="1004"/>
        <v>0</v>
      </c>
      <c r="BP568" s="33">
        <f t="shared" si="1004"/>
        <v>0</v>
      </c>
      <c r="BQ568" s="33">
        <f t="shared" si="1004"/>
        <v>0</v>
      </c>
      <c r="BR568" s="33">
        <f t="shared" si="1004"/>
        <v>0</v>
      </c>
      <c r="BS568" s="33">
        <f t="shared" si="1004"/>
        <v>0</v>
      </c>
      <c r="BT568" s="33">
        <f t="shared" ref="BT568:BY568" si="1005">BT711+BT927+BT940+BT1060</f>
        <v>0</v>
      </c>
      <c r="BU568" s="33">
        <f t="shared" si="1005"/>
        <v>0</v>
      </c>
      <c r="BV568" s="33">
        <f t="shared" si="1005"/>
        <v>0</v>
      </c>
      <c r="BW568" s="33">
        <f t="shared" si="1005"/>
        <v>0</v>
      </c>
      <c r="BX568" s="33">
        <f t="shared" si="1005"/>
        <v>0</v>
      </c>
      <c r="BY568" s="33">
        <f t="shared" si="1005"/>
        <v>0</v>
      </c>
    </row>
    <row r="569" spans="2:77" outlineLevel="1">
      <c r="B569" s="29"/>
      <c r="C569" s="29"/>
      <c r="D569" s="29"/>
      <c r="E569" s="25" t="s">
        <v>468</v>
      </c>
      <c r="F569" s="30" t="s">
        <v>466</v>
      </c>
      <c r="G569" s="42"/>
      <c r="H569" s="34">
        <f t="shared" ref="H569:AM569" ca="1" si="1006">H712+H928+H941+H1061</f>
        <v>0</v>
      </c>
      <c r="I569" s="34">
        <f t="shared" ca="1" si="1006"/>
        <v>0</v>
      </c>
      <c r="J569" s="34">
        <f t="shared" ca="1" si="1006"/>
        <v>-1946321.4582664925</v>
      </c>
      <c r="K569" s="34">
        <f t="shared" ca="1" si="1006"/>
        <v>-12148208.521304723</v>
      </c>
      <c r="L569" s="34">
        <f t="shared" ca="1" si="1006"/>
        <v>-11607191.016017979</v>
      </c>
      <c r="M569" s="34">
        <f t="shared" ca="1" si="1006"/>
        <v>-11035124.516102828</v>
      </c>
      <c r="N569" s="34">
        <f t="shared" ca="1" si="1006"/>
        <v>-10430227.119757548</v>
      </c>
      <c r="O569" s="34">
        <f t="shared" ca="1" si="1006"/>
        <v>-9790614.6618360132</v>
      </c>
      <c r="P569" s="34">
        <f t="shared" ca="1" si="1006"/>
        <v>-9114294.8449543603</v>
      </c>
      <c r="Q569" s="34">
        <f t="shared" ca="1" si="1006"/>
        <v>-8399161.0337818712</v>
      </c>
      <c r="R569" s="34">
        <f t="shared" ca="1" si="1006"/>
        <v>-7642985.6931861918</v>
      </c>
      <c r="S569" s="34">
        <f t="shared" ca="1" si="1006"/>
        <v>-6843413.4497937253</v>
      </c>
      <c r="T569" s="34">
        <f t="shared" ca="1" si="1006"/>
        <v>-5997953.7553529674</v>
      </c>
      <c r="U569" s="34">
        <f t="shared" ca="1" si="1006"/>
        <v>-5103973.1290482525</v>
      </c>
      <c r="V569" s="34">
        <f t="shared" ca="1" si="1006"/>
        <v>-4158686.9545999113</v>
      </c>
      <c r="W569" s="34">
        <f t="shared" ca="1" si="1006"/>
        <v>-3159150.8065999793</v>
      </c>
      <c r="X569" s="34">
        <f t="shared" ca="1" si="1006"/>
        <v>-2102251.2790663308</v>
      </c>
      <c r="Y569" s="34">
        <f t="shared" ca="1" si="1006"/>
        <v>-984696.28764752636</v>
      </c>
      <c r="Z569" s="34">
        <f t="shared" ca="1" si="1006"/>
        <v>-1.0021612979471685E-11</v>
      </c>
      <c r="AA569" s="34">
        <f t="shared" ca="1" si="1006"/>
        <v>-1.0021612979471685E-11</v>
      </c>
      <c r="AB569" s="34">
        <f t="shared" ca="1" si="1006"/>
        <v>-1.0021612979471685E-11</v>
      </c>
      <c r="AC569" s="34">
        <f t="shared" ca="1" si="1006"/>
        <v>-1.0021612979471685E-11</v>
      </c>
      <c r="AD569" s="34">
        <f t="shared" ca="1" si="1006"/>
        <v>-1.0021612979471685E-11</v>
      </c>
      <c r="AE569" s="34">
        <f t="shared" ca="1" si="1006"/>
        <v>-1.0021612979471685E-11</v>
      </c>
      <c r="AF569" s="34">
        <f t="shared" ca="1" si="1006"/>
        <v>-1.0021612979471685E-11</v>
      </c>
      <c r="AG569" s="34">
        <f t="shared" ca="1" si="1006"/>
        <v>-1.0021612979471685E-11</v>
      </c>
      <c r="AH569" s="34">
        <f t="shared" ca="1" si="1006"/>
        <v>-1.0021612979471685E-11</v>
      </c>
      <c r="AI569" s="34">
        <f t="shared" ca="1" si="1006"/>
        <v>-1.0021612979471685E-11</v>
      </c>
      <c r="AJ569" s="34">
        <f t="shared" ca="1" si="1006"/>
        <v>-1.0021612979471685E-11</v>
      </c>
      <c r="AK569" s="34">
        <f t="shared" ca="1" si="1006"/>
        <v>-1.0021612979471685E-11</v>
      </c>
      <c r="AL569" s="34">
        <f t="shared" ca="1" si="1006"/>
        <v>-1.0021612979471685E-11</v>
      </c>
      <c r="AM569" s="34">
        <f t="shared" ca="1" si="1006"/>
        <v>-1.0021612979471685E-11</v>
      </c>
      <c r="AN569" s="34">
        <f t="shared" ref="AN569:BS569" ca="1" si="1007">AN712+AN928+AN941+AN1061</f>
        <v>-1.0021612979471685E-11</v>
      </c>
      <c r="AO569" s="34">
        <f t="shared" ca="1" si="1007"/>
        <v>-1.0021612979471685E-11</v>
      </c>
      <c r="AP569" s="34">
        <f t="shared" ca="1" si="1007"/>
        <v>-1.0021612979471685E-11</v>
      </c>
      <c r="AQ569" s="34">
        <f t="shared" ca="1" si="1007"/>
        <v>-1.0021612979471685E-11</v>
      </c>
      <c r="AR569" s="34">
        <f t="shared" ca="1" si="1007"/>
        <v>-1.0021612979471685E-11</v>
      </c>
      <c r="AS569" s="34">
        <f t="shared" ca="1" si="1007"/>
        <v>-1.0021612979471685E-11</v>
      </c>
      <c r="AT569" s="34">
        <f t="shared" ca="1" si="1007"/>
        <v>-1.0021612979471685E-11</v>
      </c>
      <c r="AU569" s="34">
        <f t="shared" ca="1" si="1007"/>
        <v>-1.0021612979471685E-11</v>
      </c>
      <c r="AV569" s="34">
        <f t="shared" ca="1" si="1007"/>
        <v>-1.0021612979471685E-11</v>
      </c>
      <c r="AW569" s="34">
        <f t="shared" ca="1" si="1007"/>
        <v>-1.0021612979471685E-11</v>
      </c>
      <c r="AX569" s="34">
        <f t="shared" ca="1" si="1007"/>
        <v>-1.0021612979471685E-11</v>
      </c>
      <c r="AY569" s="34">
        <f t="shared" ca="1" si="1007"/>
        <v>-1.0021612979471685E-11</v>
      </c>
      <c r="AZ569" s="34">
        <f t="shared" ca="1" si="1007"/>
        <v>-1.0021612979471685E-11</v>
      </c>
      <c r="BA569" s="34">
        <f t="shared" ca="1" si="1007"/>
        <v>-1.0021612979471685E-11</v>
      </c>
      <c r="BB569" s="34">
        <f t="shared" ca="1" si="1007"/>
        <v>-1.0021612979471685E-11</v>
      </c>
      <c r="BC569" s="34">
        <f t="shared" ca="1" si="1007"/>
        <v>-1.0021612979471685E-11</v>
      </c>
      <c r="BD569" s="34">
        <f t="shared" ca="1" si="1007"/>
        <v>-1.0021612979471685E-11</v>
      </c>
      <c r="BE569" s="34">
        <f t="shared" ca="1" si="1007"/>
        <v>-1.0021612979471685E-11</v>
      </c>
      <c r="BF569" s="34">
        <f t="shared" ca="1" si="1007"/>
        <v>-1.0021612979471685E-11</v>
      </c>
      <c r="BG569" s="34">
        <f t="shared" ca="1" si="1007"/>
        <v>-1.0021612979471685E-11</v>
      </c>
      <c r="BH569" s="34">
        <f t="shared" ca="1" si="1007"/>
        <v>-1.0021612979471685E-11</v>
      </c>
      <c r="BI569" s="34">
        <f t="shared" ca="1" si="1007"/>
        <v>-1.0021612979471685E-11</v>
      </c>
      <c r="BJ569" s="34">
        <f t="shared" ca="1" si="1007"/>
        <v>-1.0021612979471685E-11</v>
      </c>
      <c r="BK569" s="34">
        <f t="shared" ca="1" si="1007"/>
        <v>-1.0021612979471685E-11</v>
      </c>
      <c r="BL569" s="34">
        <f t="shared" ca="1" si="1007"/>
        <v>-1.0021612979471685E-11</v>
      </c>
      <c r="BM569" s="34">
        <f t="shared" ca="1" si="1007"/>
        <v>-1.0021612979471685E-11</v>
      </c>
      <c r="BN569" s="34">
        <f t="shared" ca="1" si="1007"/>
        <v>-1.0021612979471685E-11</v>
      </c>
      <c r="BO569" s="34">
        <f t="shared" ca="1" si="1007"/>
        <v>-1.0021612979471685E-11</v>
      </c>
      <c r="BP569" s="34">
        <f t="shared" ca="1" si="1007"/>
        <v>-1.0021612979471685E-11</v>
      </c>
      <c r="BQ569" s="34">
        <f t="shared" ca="1" si="1007"/>
        <v>-1.0021612979471685E-11</v>
      </c>
      <c r="BR569" s="34">
        <f t="shared" ca="1" si="1007"/>
        <v>-1.0021612979471685E-11</v>
      </c>
      <c r="BS569" s="34">
        <f t="shared" ca="1" si="1007"/>
        <v>-1.0021612979471685E-11</v>
      </c>
      <c r="BT569" s="34">
        <f t="shared" ref="BT569:BY569" ca="1" si="1008">BT712+BT928+BT941+BT1061</f>
        <v>-1.0021612979471685E-11</v>
      </c>
      <c r="BU569" s="34">
        <f t="shared" ca="1" si="1008"/>
        <v>-1.0021612979471685E-11</v>
      </c>
      <c r="BV569" s="34">
        <f t="shared" ca="1" si="1008"/>
        <v>-1.0021612979471685E-11</v>
      </c>
      <c r="BW569" s="34">
        <f t="shared" ca="1" si="1008"/>
        <v>-1.0021612979471685E-11</v>
      </c>
      <c r="BX569" s="34">
        <f t="shared" ca="1" si="1008"/>
        <v>-1.0021612979471685E-11</v>
      </c>
      <c r="BY569" s="34">
        <f t="shared" ca="1" si="1008"/>
        <v>-1.0021612979471685E-11</v>
      </c>
    </row>
    <row r="570" spans="2:77" s="22" customFormat="1" ht="15" outlineLevel="1">
      <c r="B570" s="29"/>
      <c r="C570" s="29"/>
      <c r="D570" s="29"/>
      <c r="E570" s="22" t="s">
        <v>481</v>
      </c>
      <c r="F570" s="36" t="s">
        <v>470</v>
      </c>
      <c r="H570" s="37">
        <f t="shared" ref="H570:AM570" ca="1" si="1009">H713+H929+H942+H1062</f>
        <v>0</v>
      </c>
      <c r="I570" s="37">
        <f t="shared" ca="1" si="1009"/>
        <v>-141821779.63376305</v>
      </c>
      <c r="J570" s="37">
        <f t="shared" ca="1" si="1009"/>
        <v>-3432569.8680746118</v>
      </c>
      <c r="K570" s="37">
        <f t="shared" ca="1" si="1009"/>
        <v>-43141146.49281355</v>
      </c>
      <c r="L570" s="37">
        <f t="shared" ca="1" si="1009"/>
        <v>-43572464.563870579</v>
      </c>
      <c r="M570" s="37">
        <f t="shared" ca="1" si="1009"/>
        <v>-44012408.996348746</v>
      </c>
      <c r="N570" s="37">
        <f t="shared" ca="1" si="1009"/>
        <v>-44461152.317476474</v>
      </c>
      <c r="O570" s="37">
        <f t="shared" ca="1" si="1009"/>
        <v>-44918870.505026765</v>
      </c>
      <c r="P570" s="37">
        <f t="shared" ca="1" si="1009"/>
        <v>-45385743.056328066</v>
      </c>
      <c r="Q570" s="37">
        <f t="shared" ca="1" si="1009"/>
        <v>-45861953.058655396</v>
      </c>
      <c r="R570" s="37">
        <f t="shared" ca="1" si="1009"/>
        <v>-46347687.261029243</v>
      </c>
      <c r="S570" s="37">
        <f t="shared" ca="1" si="1009"/>
        <v>-46843136.147450596</v>
      </c>
      <c r="T570" s="37">
        <f t="shared" ca="1" si="1009"/>
        <v>-47348494.011600375</v>
      </c>
      <c r="U570" s="37">
        <f t="shared" ca="1" si="1009"/>
        <v>-47863959.033033133</v>
      </c>
      <c r="V570" s="37">
        <f t="shared" ca="1" si="1009"/>
        <v>-48389733.354894549</v>
      </c>
      <c r="W570" s="37">
        <f t="shared" ca="1" si="1009"/>
        <v>-48926023.163193211</v>
      </c>
      <c r="X570" s="37">
        <f t="shared" ca="1" si="1009"/>
        <v>-49473038.767657839</v>
      </c>
      <c r="Y570" s="37">
        <f t="shared" ca="1" si="1009"/>
        <v>-46598424.816137142</v>
      </c>
      <c r="Z570" s="37">
        <f t="shared" ca="1" si="1009"/>
        <v>-1.0021612979471685E-11</v>
      </c>
      <c r="AA570" s="37">
        <f t="shared" ca="1" si="1009"/>
        <v>-1.0021612979471685E-11</v>
      </c>
      <c r="AB570" s="37">
        <f t="shared" ca="1" si="1009"/>
        <v>-1.0021612979471685E-11</v>
      </c>
      <c r="AC570" s="37">
        <f t="shared" ca="1" si="1009"/>
        <v>-1.0021612979471685E-11</v>
      </c>
      <c r="AD570" s="37">
        <f t="shared" ca="1" si="1009"/>
        <v>-1.0021612979471685E-11</v>
      </c>
      <c r="AE570" s="37">
        <f t="shared" ca="1" si="1009"/>
        <v>-1.0021612979471685E-11</v>
      </c>
      <c r="AF570" s="37">
        <f t="shared" ca="1" si="1009"/>
        <v>-1.0021612979471685E-11</v>
      </c>
      <c r="AG570" s="37">
        <f t="shared" ca="1" si="1009"/>
        <v>-1.0021612979471685E-11</v>
      </c>
      <c r="AH570" s="37">
        <f t="shared" ca="1" si="1009"/>
        <v>-1.0021612979471685E-11</v>
      </c>
      <c r="AI570" s="37">
        <f t="shared" ca="1" si="1009"/>
        <v>-1.0021612979471685E-11</v>
      </c>
      <c r="AJ570" s="37">
        <f t="shared" ca="1" si="1009"/>
        <v>-1.0021612979471685E-11</v>
      </c>
      <c r="AK570" s="37">
        <f t="shared" ca="1" si="1009"/>
        <v>-1.0021612979471685E-11</v>
      </c>
      <c r="AL570" s="37">
        <f t="shared" ca="1" si="1009"/>
        <v>-1.0021612979471685E-11</v>
      </c>
      <c r="AM570" s="37">
        <f t="shared" ca="1" si="1009"/>
        <v>-1.0021612979471685E-11</v>
      </c>
      <c r="AN570" s="37">
        <f t="shared" ref="AN570:BS570" ca="1" si="1010">AN713+AN929+AN942+AN1062</f>
        <v>-1.0021612979471685E-11</v>
      </c>
      <c r="AO570" s="37">
        <f t="shared" ca="1" si="1010"/>
        <v>-1.0021612979471685E-11</v>
      </c>
      <c r="AP570" s="37">
        <f t="shared" ca="1" si="1010"/>
        <v>-1.0021612979471685E-11</v>
      </c>
      <c r="AQ570" s="37">
        <f t="shared" ca="1" si="1010"/>
        <v>-1.0021612979471685E-11</v>
      </c>
      <c r="AR570" s="37">
        <f t="shared" ca="1" si="1010"/>
        <v>-1.0021612979471685E-11</v>
      </c>
      <c r="AS570" s="37">
        <f t="shared" ca="1" si="1010"/>
        <v>-1.0021612979471685E-11</v>
      </c>
      <c r="AT570" s="37">
        <f t="shared" ca="1" si="1010"/>
        <v>-1.0021612979471685E-11</v>
      </c>
      <c r="AU570" s="37">
        <f t="shared" ca="1" si="1010"/>
        <v>-1.0021612979471685E-11</v>
      </c>
      <c r="AV570" s="37">
        <f t="shared" ca="1" si="1010"/>
        <v>-1.0021612979471685E-11</v>
      </c>
      <c r="AW570" s="37">
        <f t="shared" ca="1" si="1010"/>
        <v>-1.0021612979471685E-11</v>
      </c>
      <c r="AX570" s="37">
        <f t="shared" ca="1" si="1010"/>
        <v>-1.0021612979471685E-11</v>
      </c>
      <c r="AY570" s="37">
        <f t="shared" ca="1" si="1010"/>
        <v>-1.0021612979471685E-11</v>
      </c>
      <c r="AZ570" s="37">
        <f t="shared" ca="1" si="1010"/>
        <v>-1.0021612979471685E-11</v>
      </c>
      <c r="BA570" s="37">
        <f t="shared" ca="1" si="1010"/>
        <v>-1.0021612979471685E-11</v>
      </c>
      <c r="BB570" s="37">
        <f t="shared" ca="1" si="1010"/>
        <v>-1.0021612979471685E-11</v>
      </c>
      <c r="BC570" s="37">
        <f t="shared" ca="1" si="1010"/>
        <v>-1.0021612979471685E-11</v>
      </c>
      <c r="BD570" s="37">
        <f t="shared" ca="1" si="1010"/>
        <v>-1.0021612979471685E-11</v>
      </c>
      <c r="BE570" s="37">
        <f t="shared" ca="1" si="1010"/>
        <v>-1.0021612979471685E-11</v>
      </c>
      <c r="BF570" s="37">
        <f t="shared" ca="1" si="1010"/>
        <v>-1.0021612979471685E-11</v>
      </c>
      <c r="BG570" s="37">
        <f t="shared" ca="1" si="1010"/>
        <v>-1.0021612979471685E-11</v>
      </c>
      <c r="BH570" s="37">
        <f t="shared" ca="1" si="1010"/>
        <v>-1.0021612979471685E-11</v>
      </c>
      <c r="BI570" s="37">
        <f t="shared" ca="1" si="1010"/>
        <v>-1.0021612979471685E-11</v>
      </c>
      <c r="BJ570" s="37">
        <f t="shared" ca="1" si="1010"/>
        <v>-1.0021612979471685E-11</v>
      </c>
      <c r="BK570" s="37">
        <f t="shared" ca="1" si="1010"/>
        <v>-1.0021612979471685E-11</v>
      </c>
      <c r="BL570" s="37">
        <f t="shared" ca="1" si="1010"/>
        <v>-1.0021612979471685E-11</v>
      </c>
      <c r="BM570" s="37">
        <f t="shared" ca="1" si="1010"/>
        <v>-1.0021612979471685E-11</v>
      </c>
      <c r="BN570" s="37">
        <f t="shared" ca="1" si="1010"/>
        <v>-1.0021612979471685E-11</v>
      </c>
      <c r="BO570" s="37">
        <f t="shared" ca="1" si="1010"/>
        <v>-1.0021612979471685E-11</v>
      </c>
      <c r="BP570" s="37">
        <f t="shared" ca="1" si="1010"/>
        <v>-1.0021612979471685E-11</v>
      </c>
      <c r="BQ570" s="37">
        <f t="shared" ca="1" si="1010"/>
        <v>-1.0021612979471685E-11</v>
      </c>
      <c r="BR570" s="37">
        <f t="shared" ca="1" si="1010"/>
        <v>-1.0021612979471685E-11</v>
      </c>
      <c r="BS570" s="37">
        <f t="shared" ca="1" si="1010"/>
        <v>-1.0021612979471685E-11</v>
      </c>
      <c r="BT570" s="37">
        <f t="shared" ref="BT570:BY570" ca="1" si="1011">BT713+BT929+BT942+BT1062</f>
        <v>-1.0021612979471685E-11</v>
      </c>
      <c r="BU570" s="37">
        <f t="shared" ca="1" si="1011"/>
        <v>-1.0021612979471685E-11</v>
      </c>
      <c r="BV570" s="37">
        <f t="shared" ca="1" si="1011"/>
        <v>-1.0021612979471685E-11</v>
      </c>
      <c r="BW570" s="37">
        <f t="shared" ca="1" si="1011"/>
        <v>-1.0021612979471685E-11</v>
      </c>
      <c r="BX570" s="37">
        <f t="shared" ca="1" si="1011"/>
        <v>-1.0021612979471685E-11</v>
      </c>
      <c r="BY570" s="37">
        <f t="shared" ca="1" si="1011"/>
        <v>-1.0021612979471685E-11</v>
      </c>
    </row>
    <row r="571" spans="2:77" s="22" customFormat="1" ht="15" outlineLevel="1">
      <c r="C571" s="90"/>
      <c r="D571" s="90"/>
      <c r="F571" s="36"/>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row>
    <row r="572" spans="2:77" s="19" customFormat="1" ht="12.75" outlineLevel="1">
      <c r="B572" s="18" t="s">
        <v>482</v>
      </c>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row>
    <row r="573" spans="2:77" s="22" customFormat="1" ht="15" outlineLevel="1">
      <c r="C573" s="90"/>
      <c r="D573" s="90"/>
      <c r="F573" s="36"/>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row>
    <row r="574" spans="2:77" s="22" customFormat="1" ht="15" outlineLevel="1">
      <c r="C574" s="90"/>
      <c r="D574" s="90"/>
      <c r="E574" s="22" t="s">
        <v>70</v>
      </c>
      <c r="F574" s="36"/>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row>
    <row r="575" spans="2:77" s="22" customFormat="1" ht="15" outlineLevel="1">
      <c r="C575" s="86"/>
      <c r="D575" s="90"/>
      <c r="E575" t="str">
        <f>+E713</f>
        <v>Free cash flow to equity (levered FCF)</v>
      </c>
      <c r="F575" s="36" t="s">
        <v>470</v>
      </c>
      <c r="G575" s="45"/>
      <c r="H575" s="31">
        <f ca="1">+H713</f>
        <v>0</v>
      </c>
      <c r="I575" s="31">
        <f t="shared" ref="I575:BT575" ca="1" si="1012">+I713</f>
        <v>0</v>
      </c>
      <c r="J575" s="31">
        <f t="shared" ca="1" si="1012"/>
        <v>0</v>
      </c>
      <c r="K575" s="31">
        <f t="shared" ca="1" si="1012"/>
        <v>0</v>
      </c>
      <c r="L575" s="31">
        <f t="shared" ca="1" si="1012"/>
        <v>0</v>
      </c>
      <c r="M575" s="31">
        <f t="shared" ca="1" si="1012"/>
        <v>0</v>
      </c>
      <c r="N575" s="31">
        <f t="shared" ca="1" si="1012"/>
        <v>0</v>
      </c>
      <c r="O575" s="31">
        <f t="shared" ca="1" si="1012"/>
        <v>0</v>
      </c>
      <c r="P575" s="31">
        <f t="shared" ca="1" si="1012"/>
        <v>0</v>
      </c>
      <c r="Q575" s="31">
        <f t="shared" ca="1" si="1012"/>
        <v>0</v>
      </c>
      <c r="R575" s="31">
        <f t="shared" ca="1" si="1012"/>
        <v>0</v>
      </c>
      <c r="S575" s="31">
        <f t="shared" ca="1" si="1012"/>
        <v>0</v>
      </c>
      <c r="T575" s="31">
        <f t="shared" ca="1" si="1012"/>
        <v>0</v>
      </c>
      <c r="U575" s="31">
        <f t="shared" ca="1" si="1012"/>
        <v>0</v>
      </c>
      <c r="V575" s="31">
        <f t="shared" ca="1" si="1012"/>
        <v>0</v>
      </c>
      <c r="W575" s="31">
        <f t="shared" ca="1" si="1012"/>
        <v>0</v>
      </c>
      <c r="X575" s="31">
        <f t="shared" ca="1" si="1012"/>
        <v>0</v>
      </c>
      <c r="Y575" s="31">
        <f t="shared" ca="1" si="1012"/>
        <v>0</v>
      </c>
      <c r="Z575" s="31">
        <f t="shared" ca="1" si="1012"/>
        <v>0</v>
      </c>
      <c r="AA575" s="31">
        <f t="shared" ca="1" si="1012"/>
        <v>0</v>
      </c>
      <c r="AB575" s="31">
        <f t="shared" ca="1" si="1012"/>
        <v>0</v>
      </c>
      <c r="AC575" s="31">
        <f t="shared" ca="1" si="1012"/>
        <v>0</v>
      </c>
      <c r="AD575" s="31">
        <f t="shared" ca="1" si="1012"/>
        <v>0</v>
      </c>
      <c r="AE575" s="31">
        <f t="shared" ca="1" si="1012"/>
        <v>0</v>
      </c>
      <c r="AF575" s="31">
        <f t="shared" ca="1" si="1012"/>
        <v>0</v>
      </c>
      <c r="AG575" s="31">
        <f t="shared" ca="1" si="1012"/>
        <v>0</v>
      </c>
      <c r="AH575" s="31">
        <f t="shared" ca="1" si="1012"/>
        <v>0</v>
      </c>
      <c r="AI575" s="31">
        <f t="shared" ca="1" si="1012"/>
        <v>0</v>
      </c>
      <c r="AJ575" s="31">
        <f t="shared" ca="1" si="1012"/>
        <v>0</v>
      </c>
      <c r="AK575" s="31">
        <f t="shared" ca="1" si="1012"/>
        <v>0</v>
      </c>
      <c r="AL575" s="31">
        <f t="shared" ca="1" si="1012"/>
        <v>0</v>
      </c>
      <c r="AM575" s="31">
        <f t="shared" ca="1" si="1012"/>
        <v>0</v>
      </c>
      <c r="AN575" s="31">
        <f t="shared" ca="1" si="1012"/>
        <v>0</v>
      </c>
      <c r="AO575" s="31">
        <f t="shared" ca="1" si="1012"/>
        <v>0</v>
      </c>
      <c r="AP575" s="31">
        <f t="shared" ca="1" si="1012"/>
        <v>0</v>
      </c>
      <c r="AQ575" s="31">
        <f t="shared" ca="1" si="1012"/>
        <v>0</v>
      </c>
      <c r="AR575" s="31">
        <f t="shared" ca="1" si="1012"/>
        <v>0</v>
      </c>
      <c r="AS575" s="31">
        <f t="shared" ca="1" si="1012"/>
        <v>0</v>
      </c>
      <c r="AT575" s="31">
        <f t="shared" ca="1" si="1012"/>
        <v>0</v>
      </c>
      <c r="AU575" s="31">
        <f t="shared" ca="1" si="1012"/>
        <v>0</v>
      </c>
      <c r="AV575" s="31">
        <f t="shared" ca="1" si="1012"/>
        <v>0</v>
      </c>
      <c r="AW575" s="31">
        <f t="shared" ca="1" si="1012"/>
        <v>0</v>
      </c>
      <c r="AX575" s="31">
        <f t="shared" ca="1" si="1012"/>
        <v>0</v>
      </c>
      <c r="AY575" s="31">
        <f t="shared" ca="1" si="1012"/>
        <v>0</v>
      </c>
      <c r="AZ575" s="31">
        <f t="shared" ca="1" si="1012"/>
        <v>0</v>
      </c>
      <c r="BA575" s="31">
        <f t="shared" ca="1" si="1012"/>
        <v>0</v>
      </c>
      <c r="BB575" s="31">
        <f t="shared" ca="1" si="1012"/>
        <v>0</v>
      </c>
      <c r="BC575" s="31">
        <f t="shared" ca="1" si="1012"/>
        <v>0</v>
      </c>
      <c r="BD575" s="31">
        <f t="shared" ca="1" si="1012"/>
        <v>0</v>
      </c>
      <c r="BE575" s="31">
        <f t="shared" ca="1" si="1012"/>
        <v>0</v>
      </c>
      <c r="BF575" s="31">
        <f t="shared" ca="1" si="1012"/>
        <v>0</v>
      </c>
      <c r="BG575" s="31">
        <f t="shared" ca="1" si="1012"/>
        <v>0</v>
      </c>
      <c r="BH575" s="31">
        <f t="shared" ca="1" si="1012"/>
        <v>0</v>
      </c>
      <c r="BI575" s="31">
        <f t="shared" ca="1" si="1012"/>
        <v>0</v>
      </c>
      <c r="BJ575" s="31">
        <f t="shared" ca="1" si="1012"/>
        <v>0</v>
      </c>
      <c r="BK575" s="31">
        <f t="shared" ca="1" si="1012"/>
        <v>0</v>
      </c>
      <c r="BL575" s="31">
        <f t="shared" ca="1" si="1012"/>
        <v>0</v>
      </c>
      <c r="BM575" s="31">
        <f t="shared" ca="1" si="1012"/>
        <v>0</v>
      </c>
      <c r="BN575" s="31">
        <f t="shared" ca="1" si="1012"/>
        <v>0</v>
      </c>
      <c r="BO575" s="31">
        <f t="shared" ca="1" si="1012"/>
        <v>0</v>
      </c>
      <c r="BP575" s="31">
        <f t="shared" ca="1" si="1012"/>
        <v>0</v>
      </c>
      <c r="BQ575" s="31">
        <f t="shared" ca="1" si="1012"/>
        <v>0</v>
      </c>
      <c r="BR575" s="31">
        <f t="shared" ca="1" si="1012"/>
        <v>0</v>
      </c>
      <c r="BS575" s="31">
        <f t="shared" ca="1" si="1012"/>
        <v>0</v>
      </c>
      <c r="BT575" s="31">
        <f t="shared" ca="1" si="1012"/>
        <v>0</v>
      </c>
      <c r="BU575" s="31">
        <f t="shared" ref="BU575:BY575" ca="1" si="1013">+BU713</f>
        <v>0</v>
      </c>
      <c r="BV575" s="31">
        <f t="shared" ca="1" si="1013"/>
        <v>0</v>
      </c>
      <c r="BW575" s="31">
        <f t="shared" ca="1" si="1013"/>
        <v>0</v>
      </c>
      <c r="BX575" s="31">
        <f t="shared" ca="1" si="1013"/>
        <v>0</v>
      </c>
      <c r="BY575" s="31">
        <f t="shared" ca="1" si="1013"/>
        <v>0</v>
      </c>
    </row>
    <row r="576" spans="2:77" s="22" customFormat="1" ht="15" outlineLevel="1">
      <c r="C576" s="90"/>
      <c r="D576" s="90"/>
      <c r="E576" t="s">
        <v>243</v>
      </c>
      <c r="F576" s="36"/>
      <c r="H576" s="86">
        <f ca="1">1/(1+Assumptions!$H$106)*IF(G576=0,1,G576)</f>
        <v>0.95979422011920645</v>
      </c>
      <c r="I576" s="86">
        <f ca="1">1/(1+Assumptions!$H$106)*IF(H576=0,1,H576)</f>
        <v>0.92120494497423577</v>
      </c>
      <c r="J576" s="86">
        <f ca="1">1/(1+Assumptions!$H$106)*IF(I576=0,1,I576)</f>
        <v>0.8841671817315031</v>
      </c>
      <c r="K576" s="86">
        <f ca="1">1/(1+Assumptions!$H$106)*IF(J576=0,1,J576)</f>
        <v>0.8486185506449847</v>
      </c>
      <c r="L576" s="86">
        <f ca="1">1/(1+Assumptions!$H$106)*IF(K576=0,1,K576)</f>
        <v>0.81449917999499444</v>
      </c>
      <c r="M576" s="86">
        <f ca="1">1/(1+Assumptions!$H$106)*IF(L576=0,1,L576)</f>
        <v>0.78175160525102882</v>
      </c>
      <c r="N576" s="86">
        <f ca="1">1/(1+Assumptions!$H$106)*IF(M576=0,1,M576)</f>
        <v>0.75032067228884891</v>
      </c>
      <c r="O576" s="86">
        <f ca="1">1/(1+Assumptions!$H$106)*IF(N576=0,1,N576)</f>
        <v>0.72015344449879437</v>
      </c>
      <c r="P576" s="86">
        <f ca="1">1/(1+Assumptions!$H$106)*IF(O576=0,1,O576)</f>
        <v>0.69119911362888053</v>
      </c>
      <c r="Q576" s="86">
        <f ca="1">1/(1+Assumptions!$H$106)*IF(P576=0,1,P576)</f>
        <v>0.66340891421251813</v>
      </c>
      <c r="R576" s="86">
        <f ca="1">1/(1+Assumptions!$H$106)*IF(Q576=0,1,Q576)</f>
        <v>0.63673604143673335</v>
      </c>
      <c r="S576" s="86">
        <f ca="1">1/(1+Assumptions!$H$106)*IF(R576=0,1,R576)</f>
        <v>0.61113557231256022</v>
      </c>
      <c r="T576" s="86">
        <f ca="1">1/(1+Assumptions!$H$106)*IF(S576=0,1,S576)</f>
        <v>0.58656439001483862</v>
      </c>
      <c r="U576" s="86">
        <f ca="1">1/(1+Assumptions!$H$106)*IF(T576=0,1,T576)</f>
        <v>0.56298111126399009</v>
      </c>
      <c r="V576" s="86">
        <f ca="1">1/(1+Assumptions!$H$106)*IF(U576=0,1,U576)</f>
        <v>0.54034601662746551</v>
      </c>
      <c r="W576" s="86">
        <f ca="1">1/(1+Assumptions!$H$106)*IF(V576=0,1,V576)</f>
        <v>0.51862098362347797</v>
      </c>
      <c r="X576" s="86">
        <f ca="1">1/(1+Assumptions!$H$106)*IF(W576=0,1,W576)</f>
        <v>0.4977694225143518</v>
      </c>
      <c r="Y576" s="86">
        <f ca="1">1/(1+Assumptions!$H$106)*IF(X576=0,1,X576)</f>
        <v>0.47775621468135004</v>
      </c>
      <c r="Z576" s="86">
        <f ca="1">1/(1+Assumptions!$H$106)*IF(Y576=0,1,Y576)</f>
        <v>0.45854765347719056</v>
      </c>
      <c r="AA576" s="86">
        <f ca="1">1/(1+Assumptions!$H$106)*IF(Z576=0,1,Z576)</f>
        <v>0.44011138745663225</v>
      </c>
      <c r="AB576" s="86">
        <f ca="1">1/(1+Assumptions!$H$106)*IF(AA576=0,1,AA576)</f>
        <v>0.42241636588952025</v>
      </c>
      <c r="AC576" s="86">
        <f ca="1">1/(1+Assumptions!$H$106)*IF(AB576=0,1,AB576)</f>
        <v>0.40543278646452147</v>
      </c>
      <c r="AD576" s="86">
        <f ca="1">1/(1+Assumptions!$H$106)*IF(AC576=0,1,AC576)</f>
        <v>0.38913204509547217</v>
      </c>
      <c r="AE576" s="86">
        <f ca="1">1/(1+Assumptions!$H$106)*IF(AD576=0,1,AD576)</f>
        <v>0.37348668774580057</v>
      </c>
      <c r="AF576" s="86">
        <f ca="1">1/(1+Assumptions!$H$106)*IF(AE576=0,1,AE576)</f>
        <v>0.35847036418988626</v>
      </c>
      <c r="AG576" s="86">
        <f ca="1">1/(1+Assumptions!$H$106)*IF(AF576=0,1,AF576)</f>
        <v>0.34405778363347977</v>
      </c>
      <c r="AH576" s="86">
        <f ca="1">1/(1+Assumptions!$H$106)*IF(AG576=0,1,AG576)</f>
        <v>0.33022467211843837</v>
      </c>
      <c r="AI576" s="86">
        <f ca="1">1/(1+Assumptions!$H$106)*IF(AH576=0,1,AH576)</f>
        <v>0.3169477316400372</v>
      </c>
      <c r="AJ576" s="86">
        <f ca="1">1/(1+Assumptions!$H$106)*IF(AI576=0,1,AI576)</f>
        <v>0.30420460090800105</v>
      </c>
      <c r="AK576" s="86">
        <f ca="1">1/(1+Assumptions!$H$106)*IF(AJ576=0,1,AJ576)</f>
        <v>0.29197381768516933</v>
      </c>
      <c r="AL576" s="86">
        <f ca="1">1/(1+Assumptions!$H$106)*IF(AK576=0,1,AK576)</f>
        <v>0.28023478264036444</v>
      </c>
      <c r="AM576" s="86">
        <f ca="1">1/(1+Assumptions!$H$106)*IF(AL576=0,1,AL576)</f>
        <v>0.26896772465458391</v>
      </c>
      <c r="AN576" s="86">
        <f ca="1">1/(1+Assumptions!$H$106)*IF(AM576=0,1,AM576)</f>
        <v>0.2581536675220838</v>
      </c>
      <c r="AO576" s="86">
        <f ca="1">1/(1+Assumptions!$H$106)*IF(AN576=0,1,AN576)</f>
        <v>0.24777439799027134</v>
      </c>
      <c r="AP576" s="86">
        <f ca="1">1/(1+Assumptions!$H$106)*IF(AO576=0,1,AO576)</f>
        <v>0.23781243508457836</v>
      </c>
      <c r="AQ576" s="86">
        <f ca="1">1/(1+Assumptions!$H$106)*IF(AP576=0,1,AP576)</f>
        <v>0.2282510006666523</v>
      </c>
      <c r="AR576" s="86">
        <f ca="1">1/(1+Assumptions!$H$106)*IF(AQ576=0,1,AQ576)</f>
        <v>0.21907399117627802</v>
      </c>
      <c r="AS576" s="86">
        <f ca="1">1/(1+Assumptions!$H$106)*IF(AR576=0,1,AR576)</f>
        <v>0.21026595050943767</v>
      </c>
      <c r="AT576" s="86">
        <f ca="1">1/(1+Assumptions!$H$106)*IF(AS576=0,1,AS576)</f>
        <v>0.20181204398682939</v>
      </c>
      <c r="AU576" s="86">
        <f ca="1">1/(1+Assumptions!$H$106)*IF(AT576=0,1,AT576)</f>
        <v>0.1936980333690019</v>
      </c>
      <c r="AV576" s="86">
        <f ca="1">1/(1+Assumptions!$H$106)*IF(AU576=0,1,AU576)</f>
        <v>0.18591025287602522</v>
      </c>
      <c r="AW576" s="86">
        <f ca="1">1/(1+Assumptions!$H$106)*IF(AV576=0,1,AV576)</f>
        <v>0.17843558617130909</v>
      </c>
      <c r="AX576" s="86">
        <f ca="1">1/(1+Assumptions!$H$106)*IF(AW576=0,1,AW576)</f>
        <v>0.17126144427080506</v>
      </c>
      <c r="AY576" s="86">
        <f ca="1">1/(1+Assumptions!$H$106)*IF(AX576=0,1,AX576)</f>
        <v>0.16437574434038627</v>
      </c>
      <c r="AZ576" s="86">
        <f ca="1">1/(1+Assumptions!$H$106)*IF(AY576=0,1,AY576)</f>
        <v>0.1577668893456951</v>
      </c>
      <c r="BA576" s="86">
        <f ca="1">1/(1+Assumptions!$H$106)*IF(AZ576=0,1,AZ576)</f>
        <v>0.15142374852018459</v>
      </c>
      <c r="BB576" s="86">
        <f ca="1">1/(1+Assumptions!$H$106)*IF(BA576=0,1,BA576)</f>
        <v>0.14533563861845741</v>
      </c>
      <c r="BC576" s="86">
        <f ca="1">1/(1+Assumptions!$H$106)*IF(BB576=0,1,BB576)</f>
        <v>0.13949230592332915</v>
      </c>
      <c r="BD576" s="86">
        <f ca="1">1/(1+Assumptions!$H$106)*IF(BC576=0,1,BC576)</f>
        <v>0.13388390897631147</v>
      </c>
      <c r="BE576" s="86">
        <f ca="1">1/(1+Assumptions!$H$106)*IF(BD576=0,1,BD576)</f>
        <v>0.1285010020024297</v>
      </c>
      <c r="BF576" s="86">
        <f ca="1">1/(1+Assumptions!$H$106)*IF(BE576=0,1,BE576)</f>
        <v>0.1233345190014586</v>
      </c>
      <c r="BG576" s="86">
        <f ca="1">1/(1+Assumptions!$H$106)*IF(BF576=0,1,BF576)</f>
        <v>0.11837575847878241</v>
      </c>
      <c r="BH576" s="86">
        <f ca="1">1/(1+Assumptions!$H$106)*IF(BG576=0,1,BG576)</f>
        <v>0.11361636879016251</v>
      </c>
      <c r="BI576" s="86">
        <f ca="1">1/(1+Assumptions!$H$106)*IF(BH576=0,1,BH576)</f>
        <v>0.10904833407573018</v>
      </c>
      <c r="BJ576" s="86">
        <f ca="1">1/(1+Assumptions!$H$106)*IF(BI576=0,1,BI576)</f>
        <v>0.10466396075951413</v>
      </c>
      <c r="BK576" s="86">
        <f ca="1">1/(1+Assumptions!$H$106)*IF(BJ576=0,1,BJ576)</f>
        <v>0.10045586459176509</v>
      </c>
      <c r="BL576" s="86">
        <f ca="1">1/(1+Assumptions!$H$106)*IF(BK576=0,1,BK576)</f>
        <v>9.6416958212253781E-2</v>
      </c>
      <c r="BM576" s="86">
        <f ca="1">1/(1+Assumptions!$H$106)*IF(BL576=0,1,BL576)</f>
        <v>9.254043921359624E-2</v>
      </c>
      <c r="BN576" s="86">
        <f ca="1">1/(1+Assumptions!$H$106)*IF(BM576=0,1,BM576)</f>
        <v>8.8819778684502429E-2</v>
      </c>
      <c r="BO576" s="86">
        <f ca="1">1/(1+Assumptions!$H$106)*IF(BN576=0,1,BN576)</f>
        <v>8.5248710213652532E-2</v>
      </c>
      <c r="BP576" s="86">
        <f ca="1">1/(1+Assumptions!$H$106)*IF(BO576=0,1,BO576)</f>
        <v>8.1821219335680859E-2</v>
      </c>
      <c r="BQ576" s="86">
        <f ca="1">1/(1+Assumptions!$H$106)*IF(BP576=0,1,BP576)</f>
        <v>7.853153340149234E-2</v>
      </c>
      <c r="BR576" s="86">
        <f ca="1">1/(1+Assumptions!$H$106)*IF(BQ576=0,1,BQ576)</f>
        <v>7.5374111855850759E-2</v>
      </c>
      <c r="BS576" s="86">
        <f ca="1">1/(1+Assumptions!$H$106)*IF(BR576=0,1,BR576)</f>
        <v>7.2343636905864109E-2</v>
      </c>
      <c r="BT576" s="86">
        <f ca="1">1/(1+Assumptions!$H$106)*IF(BS576=0,1,BS576)</f>
        <v>6.943500456465089E-2</v>
      </c>
      <c r="BU576" s="86">
        <f ca="1">1/(1+Assumptions!$H$106)*IF(BT576=0,1,BT576)</f>
        <v>6.6643316055102639E-2</v>
      </c>
      <c r="BV576" s="86">
        <f ca="1">1/(1+Assumptions!$H$106)*IF(BU576=0,1,BU576)</f>
        <v>6.396386955926503E-2</v>
      </c>
      <c r="BW576" s="86">
        <f ca="1">1/(1+Assumptions!$H$106)*IF(BV576=0,1,BV576)</f>
        <v>6.1392152299441428E-2</v>
      </c>
      <c r="BX576" s="86">
        <f ca="1">1/(1+Assumptions!$H$106)*IF(BW576=0,1,BW576)</f>
        <v>5.8923832937681934E-2</v>
      </c>
      <c r="BY576" s="86">
        <f ca="1">1/(1+Assumptions!$H$106)*IF(BX576=0,1,BX576)</f>
        <v>5.6554754280856843E-2</v>
      </c>
    </row>
    <row r="577" spans="5:77" s="22" customFormat="1" ht="15" outlineLevel="1">
      <c r="E577" t="s">
        <v>483</v>
      </c>
      <c r="F577" s="36" t="s">
        <v>470</v>
      </c>
      <c r="H577" s="86">
        <f ca="1">+H575*H576</f>
        <v>0</v>
      </c>
      <c r="I577" s="86">
        <f t="shared" ref="I577:BT577" ca="1" si="1014">+I575*I576</f>
        <v>0</v>
      </c>
      <c r="J577" s="86">
        <f t="shared" ca="1" si="1014"/>
        <v>0</v>
      </c>
      <c r="K577" s="86">
        <f t="shared" ca="1" si="1014"/>
        <v>0</v>
      </c>
      <c r="L577" s="86">
        <f t="shared" ca="1" si="1014"/>
        <v>0</v>
      </c>
      <c r="M577" s="86">
        <f t="shared" ca="1" si="1014"/>
        <v>0</v>
      </c>
      <c r="N577" s="86">
        <f t="shared" ca="1" si="1014"/>
        <v>0</v>
      </c>
      <c r="O577" s="86">
        <f t="shared" ca="1" si="1014"/>
        <v>0</v>
      </c>
      <c r="P577" s="86">
        <f t="shared" ca="1" si="1014"/>
        <v>0</v>
      </c>
      <c r="Q577" s="86">
        <f t="shared" ca="1" si="1014"/>
        <v>0</v>
      </c>
      <c r="R577" s="86">
        <f t="shared" ca="1" si="1014"/>
        <v>0</v>
      </c>
      <c r="S577" s="86">
        <f t="shared" ca="1" si="1014"/>
        <v>0</v>
      </c>
      <c r="T577" s="86">
        <f t="shared" ca="1" si="1014"/>
        <v>0</v>
      </c>
      <c r="U577" s="86">
        <f t="shared" ca="1" si="1014"/>
        <v>0</v>
      </c>
      <c r="V577" s="86">
        <f t="shared" ca="1" si="1014"/>
        <v>0</v>
      </c>
      <c r="W577" s="86">
        <f t="shared" ca="1" si="1014"/>
        <v>0</v>
      </c>
      <c r="X577" s="86">
        <f t="shared" ca="1" si="1014"/>
        <v>0</v>
      </c>
      <c r="Y577" s="86">
        <f t="shared" ca="1" si="1014"/>
        <v>0</v>
      </c>
      <c r="Z577" s="86">
        <f t="shared" ca="1" si="1014"/>
        <v>0</v>
      </c>
      <c r="AA577" s="86">
        <f t="shared" ca="1" si="1014"/>
        <v>0</v>
      </c>
      <c r="AB577" s="86">
        <f t="shared" ca="1" si="1014"/>
        <v>0</v>
      </c>
      <c r="AC577" s="86">
        <f t="shared" ca="1" si="1014"/>
        <v>0</v>
      </c>
      <c r="AD577" s="86">
        <f t="shared" ca="1" si="1014"/>
        <v>0</v>
      </c>
      <c r="AE577" s="86">
        <f t="shared" ca="1" si="1014"/>
        <v>0</v>
      </c>
      <c r="AF577" s="86">
        <f t="shared" ca="1" si="1014"/>
        <v>0</v>
      </c>
      <c r="AG577" s="86">
        <f t="shared" ca="1" si="1014"/>
        <v>0</v>
      </c>
      <c r="AH577" s="86">
        <f t="shared" ca="1" si="1014"/>
        <v>0</v>
      </c>
      <c r="AI577" s="86">
        <f t="shared" ca="1" si="1014"/>
        <v>0</v>
      </c>
      <c r="AJ577" s="86">
        <f t="shared" ca="1" si="1014"/>
        <v>0</v>
      </c>
      <c r="AK577" s="86">
        <f t="shared" ca="1" si="1014"/>
        <v>0</v>
      </c>
      <c r="AL577" s="86">
        <f t="shared" ca="1" si="1014"/>
        <v>0</v>
      </c>
      <c r="AM577" s="86">
        <f t="shared" ca="1" si="1014"/>
        <v>0</v>
      </c>
      <c r="AN577" s="86">
        <f t="shared" ca="1" si="1014"/>
        <v>0</v>
      </c>
      <c r="AO577" s="86">
        <f t="shared" ca="1" si="1014"/>
        <v>0</v>
      </c>
      <c r="AP577" s="86">
        <f t="shared" ca="1" si="1014"/>
        <v>0</v>
      </c>
      <c r="AQ577" s="86">
        <f t="shared" ca="1" si="1014"/>
        <v>0</v>
      </c>
      <c r="AR577" s="86">
        <f t="shared" ca="1" si="1014"/>
        <v>0</v>
      </c>
      <c r="AS577" s="86">
        <f t="shared" ca="1" si="1014"/>
        <v>0</v>
      </c>
      <c r="AT577" s="86">
        <f t="shared" ca="1" si="1014"/>
        <v>0</v>
      </c>
      <c r="AU577" s="86">
        <f t="shared" ca="1" si="1014"/>
        <v>0</v>
      </c>
      <c r="AV577" s="86">
        <f t="shared" ca="1" si="1014"/>
        <v>0</v>
      </c>
      <c r="AW577" s="86">
        <f t="shared" ca="1" si="1014"/>
        <v>0</v>
      </c>
      <c r="AX577" s="86">
        <f t="shared" ca="1" si="1014"/>
        <v>0</v>
      </c>
      <c r="AY577" s="86">
        <f t="shared" ca="1" si="1014"/>
        <v>0</v>
      </c>
      <c r="AZ577" s="86">
        <f t="shared" ca="1" si="1014"/>
        <v>0</v>
      </c>
      <c r="BA577" s="86">
        <f t="shared" ca="1" si="1014"/>
        <v>0</v>
      </c>
      <c r="BB577" s="86">
        <f t="shared" ca="1" si="1014"/>
        <v>0</v>
      </c>
      <c r="BC577" s="86">
        <f t="shared" ca="1" si="1014"/>
        <v>0</v>
      </c>
      <c r="BD577" s="86">
        <f t="shared" ca="1" si="1014"/>
        <v>0</v>
      </c>
      <c r="BE577" s="86">
        <f t="shared" ca="1" si="1014"/>
        <v>0</v>
      </c>
      <c r="BF577" s="86">
        <f t="shared" ca="1" si="1014"/>
        <v>0</v>
      </c>
      <c r="BG577" s="86">
        <f t="shared" ca="1" si="1014"/>
        <v>0</v>
      </c>
      <c r="BH577" s="86">
        <f t="shared" ca="1" si="1014"/>
        <v>0</v>
      </c>
      <c r="BI577" s="86">
        <f t="shared" ca="1" si="1014"/>
        <v>0</v>
      </c>
      <c r="BJ577" s="86">
        <f t="shared" ca="1" si="1014"/>
        <v>0</v>
      </c>
      <c r="BK577" s="86">
        <f t="shared" ca="1" si="1014"/>
        <v>0</v>
      </c>
      <c r="BL577" s="86">
        <f t="shared" ca="1" si="1014"/>
        <v>0</v>
      </c>
      <c r="BM577" s="86">
        <f t="shared" ca="1" si="1014"/>
        <v>0</v>
      </c>
      <c r="BN577" s="86">
        <f t="shared" ca="1" si="1014"/>
        <v>0</v>
      </c>
      <c r="BO577" s="86">
        <f t="shared" ca="1" si="1014"/>
        <v>0</v>
      </c>
      <c r="BP577" s="86">
        <f t="shared" ca="1" si="1014"/>
        <v>0</v>
      </c>
      <c r="BQ577" s="86">
        <f t="shared" ca="1" si="1014"/>
        <v>0</v>
      </c>
      <c r="BR577" s="86">
        <f t="shared" ca="1" si="1014"/>
        <v>0</v>
      </c>
      <c r="BS577" s="86">
        <f t="shared" ca="1" si="1014"/>
        <v>0</v>
      </c>
      <c r="BT577" s="86">
        <f t="shared" ca="1" si="1014"/>
        <v>0</v>
      </c>
      <c r="BU577" s="86">
        <f t="shared" ref="BU577:BY577" ca="1" si="1015">+BU575*BU576</f>
        <v>0</v>
      </c>
      <c r="BV577" s="86">
        <f t="shared" ca="1" si="1015"/>
        <v>0</v>
      </c>
      <c r="BW577" s="86">
        <f t="shared" ca="1" si="1015"/>
        <v>0</v>
      </c>
      <c r="BX577" s="86">
        <f t="shared" ca="1" si="1015"/>
        <v>0</v>
      </c>
      <c r="BY577" s="86">
        <f t="shared" ca="1" si="1015"/>
        <v>0</v>
      </c>
    </row>
    <row r="578" spans="5:77" s="22" customFormat="1" ht="15" outlineLevel="1">
      <c r="F578" s="36"/>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row>
    <row r="579" spans="5:77" s="22" customFormat="1" ht="15" outlineLevel="1">
      <c r="E579" s="22" t="s">
        <v>484</v>
      </c>
      <c r="F579" s="36"/>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row>
    <row r="580" spans="5:77" s="22" customFormat="1" ht="15" outlineLevel="1">
      <c r="E580" t="str">
        <f>+E929</f>
        <v>Free cash flow to equity (levered FCF)</v>
      </c>
      <c r="F580" s="36" t="s">
        <v>470</v>
      </c>
      <c r="G580" s="45"/>
      <c r="H580" s="86">
        <f ca="1">+H929</f>
        <v>0</v>
      </c>
      <c r="I580" s="86">
        <f t="shared" ref="I580:BT580" ca="1" si="1016">+I929</f>
        <v>-259032.07288152308</v>
      </c>
      <c r="J580" s="86">
        <f t="shared" ca="1" si="1016"/>
        <v>-17045.831002914751</v>
      </c>
      <c r="K580" s="86">
        <f t="shared" ca="1" si="1016"/>
        <v>-62953.489955169563</v>
      </c>
      <c r="L580" s="86">
        <f t="shared" ca="1" si="1016"/>
        <v>-62989.067112743942</v>
      </c>
      <c r="M580" s="86">
        <f t="shared" ca="1" si="1016"/>
        <v>-63025.355813469811</v>
      </c>
      <c r="N580" s="86">
        <f t="shared" ca="1" si="1016"/>
        <v>-63062.370288210193</v>
      </c>
      <c r="O580" s="86">
        <f t="shared" ca="1" si="1016"/>
        <v>-63100.125052445379</v>
      </c>
      <c r="P580" s="86">
        <f t="shared" ca="1" si="1016"/>
        <v>-63138.634911965288</v>
      </c>
      <c r="Q580" s="86">
        <f t="shared" ca="1" si="1016"/>
        <v>-63177.914968675585</v>
      </c>
      <c r="R580" s="86">
        <f t="shared" ca="1" si="1016"/>
        <v>-63217.980626520082</v>
      </c>
      <c r="S580" s="86">
        <f t="shared" ca="1" si="1016"/>
        <v>-63258.847597521475</v>
      </c>
      <c r="T580" s="86">
        <f t="shared" ca="1" si="1016"/>
        <v>-63300.531907942903</v>
      </c>
      <c r="U580" s="86">
        <f t="shared" ca="1" si="1016"/>
        <v>-63343.049904572741</v>
      </c>
      <c r="V580" s="86">
        <f t="shared" ca="1" si="1016"/>
        <v>-63386.418261135186</v>
      </c>
      <c r="W580" s="86">
        <f t="shared" ca="1" si="1016"/>
        <v>-63430.653984828881</v>
      </c>
      <c r="X580" s="86">
        <f t="shared" ca="1" si="1016"/>
        <v>-63475.774422996452</v>
      </c>
      <c r="Y580" s="86">
        <f t="shared" ca="1" si="1016"/>
        <v>-46475.966267012591</v>
      </c>
      <c r="Z580" s="86">
        <f t="shared" ca="1" si="1016"/>
        <v>-4.1756720747798684E-13</v>
      </c>
      <c r="AA580" s="86">
        <f t="shared" ca="1" si="1016"/>
        <v>-4.1756720747798684E-13</v>
      </c>
      <c r="AB580" s="86">
        <f t="shared" ca="1" si="1016"/>
        <v>-4.1756720747798684E-13</v>
      </c>
      <c r="AC580" s="86">
        <f t="shared" ca="1" si="1016"/>
        <v>-4.1756720747798684E-13</v>
      </c>
      <c r="AD580" s="86">
        <f t="shared" ca="1" si="1016"/>
        <v>-4.1756720747798684E-13</v>
      </c>
      <c r="AE580" s="86">
        <f t="shared" ca="1" si="1016"/>
        <v>-4.1756720747798684E-13</v>
      </c>
      <c r="AF580" s="86">
        <f t="shared" ca="1" si="1016"/>
        <v>-4.1756720747798684E-13</v>
      </c>
      <c r="AG580" s="86">
        <f t="shared" ca="1" si="1016"/>
        <v>-4.1756720747798684E-13</v>
      </c>
      <c r="AH580" s="86">
        <f t="shared" ca="1" si="1016"/>
        <v>-4.1756720747798684E-13</v>
      </c>
      <c r="AI580" s="86">
        <f t="shared" ca="1" si="1016"/>
        <v>-4.1756720747798684E-13</v>
      </c>
      <c r="AJ580" s="86">
        <f t="shared" ca="1" si="1016"/>
        <v>-4.1756720747798684E-13</v>
      </c>
      <c r="AK580" s="86">
        <f t="shared" ca="1" si="1016"/>
        <v>-4.1756720747798684E-13</v>
      </c>
      <c r="AL580" s="86">
        <f t="shared" ca="1" si="1016"/>
        <v>-4.1756720747798684E-13</v>
      </c>
      <c r="AM580" s="86">
        <f t="shared" ca="1" si="1016"/>
        <v>-4.1756720747798684E-13</v>
      </c>
      <c r="AN580" s="86">
        <f t="shared" ca="1" si="1016"/>
        <v>-4.1756720747798684E-13</v>
      </c>
      <c r="AO580" s="86">
        <f t="shared" ca="1" si="1016"/>
        <v>-4.1756720747798684E-13</v>
      </c>
      <c r="AP580" s="86">
        <f t="shared" ca="1" si="1016"/>
        <v>-4.1756720747798684E-13</v>
      </c>
      <c r="AQ580" s="86">
        <f t="shared" ca="1" si="1016"/>
        <v>-4.1756720747798684E-13</v>
      </c>
      <c r="AR580" s="86">
        <f t="shared" ca="1" si="1016"/>
        <v>-4.1756720747798684E-13</v>
      </c>
      <c r="AS580" s="86">
        <f t="shared" ca="1" si="1016"/>
        <v>-4.1756720747798684E-13</v>
      </c>
      <c r="AT580" s="86">
        <f t="shared" ca="1" si="1016"/>
        <v>-4.1756720747798684E-13</v>
      </c>
      <c r="AU580" s="86">
        <f t="shared" ca="1" si="1016"/>
        <v>-4.1756720747798684E-13</v>
      </c>
      <c r="AV580" s="86">
        <f t="shared" ca="1" si="1016"/>
        <v>-4.1756720747798684E-13</v>
      </c>
      <c r="AW580" s="86">
        <f t="shared" ca="1" si="1016"/>
        <v>-4.1756720747798684E-13</v>
      </c>
      <c r="AX580" s="86">
        <f t="shared" ca="1" si="1016"/>
        <v>-4.1756720747798684E-13</v>
      </c>
      <c r="AY580" s="86">
        <f t="shared" ca="1" si="1016"/>
        <v>-4.1756720747798684E-13</v>
      </c>
      <c r="AZ580" s="86">
        <f t="shared" ca="1" si="1016"/>
        <v>-4.1756720747798684E-13</v>
      </c>
      <c r="BA580" s="86">
        <f t="shared" ca="1" si="1016"/>
        <v>-4.1756720747798684E-13</v>
      </c>
      <c r="BB580" s="86">
        <f t="shared" ca="1" si="1016"/>
        <v>-4.1756720747798684E-13</v>
      </c>
      <c r="BC580" s="86">
        <f t="shared" ca="1" si="1016"/>
        <v>-4.1756720747798684E-13</v>
      </c>
      <c r="BD580" s="86">
        <f t="shared" ca="1" si="1016"/>
        <v>-4.1756720747798684E-13</v>
      </c>
      <c r="BE580" s="86">
        <f t="shared" ca="1" si="1016"/>
        <v>-4.1756720747798684E-13</v>
      </c>
      <c r="BF580" s="86">
        <f t="shared" ca="1" si="1016"/>
        <v>-4.1756720747798684E-13</v>
      </c>
      <c r="BG580" s="86">
        <f t="shared" ca="1" si="1016"/>
        <v>-4.1756720747798684E-13</v>
      </c>
      <c r="BH580" s="86">
        <f t="shared" ca="1" si="1016"/>
        <v>-4.1756720747798684E-13</v>
      </c>
      <c r="BI580" s="86">
        <f t="shared" ca="1" si="1016"/>
        <v>-4.1756720747798684E-13</v>
      </c>
      <c r="BJ580" s="86">
        <f t="shared" ca="1" si="1016"/>
        <v>-4.1756720747798684E-13</v>
      </c>
      <c r="BK580" s="86">
        <f t="shared" ca="1" si="1016"/>
        <v>-4.1756720747798684E-13</v>
      </c>
      <c r="BL580" s="86">
        <f t="shared" ca="1" si="1016"/>
        <v>-4.1756720747798684E-13</v>
      </c>
      <c r="BM580" s="86">
        <f t="shared" ca="1" si="1016"/>
        <v>-4.1756720747798684E-13</v>
      </c>
      <c r="BN580" s="86">
        <f t="shared" ca="1" si="1016"/>
        <v>-4.1756720747798684E-13</v>
      </c>
      <c r="BO580" s="86">
        <f t="shared" ca="1" si="1016"/>
        <v>-4.1756720747798684E-13</v>
      </c>
      <c r="BP580" s="86">
        <f t="shared" ca="1" si="1016"/>
        <v>-4.1756720747798684E-13</v>
      </c>
      <c r="BQ580" s="86">
        <f t="shared" ca="1" si="1016"/>
        <v>-4.1756720747798684E-13</v>
      </c>
      <c r="BR580" s="86">
        <f t="shared" ca="1" si="1016"/>
        <v>-4.1756720747798684E-13</v>
      </c>
      <c r="BS580" s="86">
        <f t="shared" ca="1" si="1016"/>
        <v>-4.1756720747798684E-13</v>
      </c>
      <c r="BT580" s="86">
        <f t="shared" ca="1" si="1016"/>
        <v>-4.1756720747798684E-13</v>
      </c>
      <c r="BU580" s="86">
        <f t="shared" ref="BU580:BY580" ca="1" si="1017">+BU929</f>
        <v>-4.1756720747798684E-13</v>
      </c>
      <c r="BV580" s="86">
        <f t="shared" ca="1" si="1017"/>
        <v>-4.1756720747798684E-13</v>
      </c>
      <c r="BW580" s="86">
        <f t="shared" ca="1" si="1017"/>
        <v>-4.1756720747798684E-13</v>
      </c>
      <c r="BX580" s="86">
        <f t="shared" ca="1" si="1017"/>
        <v>-4.1756720747798684E-13</v>
      </c>
      <c r="BY580" s="86">
        <f t="shared" ca="1" si="1017"/>
        <v>-4.1756720747798684E-13</v>
      </c>
    </row>
    <row r="581" spans="5:77" s="22" customFormat="1" ht="15" outlineLevel="1">
      <c r="E581" t="s">
        <v>243</v>
      </c>
      <c r="F581" s="36"/>
      <c r="H581" s="86">
        <f ca="1">1/(1+Assumptions!$H$213)*IF(G581=0,1,G581)</f>
        <v>0.95979422011920645</v>
      </c>
      <c r="I581" s="86">
        <f ca="1">1/(1+Assumptions!$H$213)*IF(H581=0,1,H581)</f>
        <v>0.92120494497423577</v>
      </c>
      <c r="J581" s="86">
        <f ca="1">1/(1+Assumptions!$H$213)*IF(I581=0,1,I581)</f>
        <v>0.8841671817315031</v>
      </c>
      <c r="K581" s="86">
        <f ca="1">1/(1+Assumptions!$H$213)*IF(J581=0,1,J581)</f>
        <v>0.8486185506449847</v>
      </c>
      <c r="L581" s="86">
        <f ca="1">1/(1+Assumptions!$H$213)*IF(K581=0,1,K581)</f>
        <v>0.81449917999499444</v>
      </c>
      <c r="M581" s="86">
        <f ca="1">1/(1+Assumptions!$H$213)*IF(L581=0,1,L581)</f>
        <v>0.78175160525102882</v>
      </c>
      <c r="N581" s="86">
        <f ca="1">1/(1+Assumptions!$H$213)*IF(M581=0,1,M581)</f>
        <v>0.75032067228884891</v>
      </c>
      <c r="O581" s="86">
        <f ca="1">1/(1+Assumptions!$H$213)*IF(N581=0,1,N581)</f>
        <v>0.72015344449879437</v>
      </c>
      <c r="P581" s="86">
        <f ca="1">1/(1+Assumptions!$H$213)*IF(O581=0,1,O581)</f>
        <v>0.69119911362888053</v>
      </c>
      <c r="Q581" s="86">
        <f ca="1">1/(1+Assumptions!$H$213)*IF(P581=0,1,P581)</f>
        <v>0.66340891421251813</v>
      </c>
      <c r="R581" s="86">
        <f ca="1">1/(1+Assumptions!$H$213)*IF(Q581=0,1,Q581)</f>
        <v>0.63673604143673335</v>
      </c>
      <c r="S581" s="86">
        <f ca="1">1/(1+Assumptions!$H$213)*IF(R581=0,1,R581)</f>
        <v>0.61113557231256022</v>
      </c>
      <c r="T581" s="86">
        <f ca="1">1/(1+Assumptions!$H$213)*IF(S581=0,1,S581)</f>
        <v>0.58656439001483862</v>
      </c>
      <c r="U581" s="86">
        <f ca="1">1/(1+Assumptions!$H$213)*IF(T581=0,1,T581)</f>
        <v>0.56298111126399009</v>
      </c>
      <c r="V581" s="86">
        <f ca="1">1/(1+Assumptions!$H$213)*IF(U581=0,1,U581)</f>
        <v>0.54034601662746551</v>
      </c>
      <c r="W581" s="86">
        <f ca="1">1/(1+Assumptions!$H$213)*IF(V581=0,1,V581)</f>
        <v>0.51862098362347797</v>
      </c>
      <c r="X581" s="86">
        <f ca="1">1/(1+Assumptions!$H$213)*IF(W581=0,1,W581)</f>
        <v>0.4977694225143518</v>
      </c>
      <c r="Y581" s="86">
        <f ca="1">1/(1+Assumptions!$H$213)*IF(X581=0,1,X581)</f>
        <v>0.47775621468135004</v>
      </c>
      <c r="Z581" s="86">
        <f ca="1">1/(1+Assumptions!$H$213)*IF(Y581=0,1,Y581)</f>
        <v>0.45854765347719056</v>
      </c>
      <c r="AA581" s="86">
        <f ca="1">1/(1+Assumptions!$H$213)*IF(Z581=0,1,Z581)</f>
        <v>0.44011138745663225</v>
      </c>
      <c r="AB581" s="86">
        <f ca="1">1/(1+Assumptions!$H$213)*IF(AA581=0,1,AA581)</f>
        <v>0.42241636588952025</v>
      </c>
      <c r="AC581" s="86">
        <f ca="1">1/(1+Assumptions!$H$213)*IF(AB581=0,1,AB581)</f>
        <v>0.40543278646452147</v>
      </c>
      <c r="AD581" s="86">
        <f ca="1">1/(1+Assumptions!$H$213)*IF(AC581=0,1,AC581)</f>
        <v>0.38913204509547217</v>
      </c>
      <c r="AE581" s="86">
        <f ca="1">1/(1+Assumptions!$H$213)*IF(AD581=0,1,AD581)</f>
        <v>0.37348668774580057</v>
      </c>
      <c r="AF581" s="86">
        <f ca="1">1/(1+Assumptions!$H$213)*IF(AE581=0,1,AE581)</f>
        <v>0.35847036418988626</v>
      </c>
      <c r="AG581" s="86">
        <f ca="1">1/(1+Assumptions!$H$213)*IF(AF581=0,1,AF581)</f>
        <v>0.34405778363347977</v>
      </c>
      <c r="AH581" s="86">
        <f ca="1">1/(1+Assumptions!$H$213)*IF(AG581=0,1,AG581)</f>
        <v>0.33022467211843837</v>
      </c>
      <c r="AI581" s="86">
        <f ca="1">1/(1+Assumptions!$H$213)*IF(AH581=0,1,AH581)</f>
        <v>0.3169477316400372</v>
      </c>
      <c r="AJ581" s="86">
        <f ca="1">1/(1+Assumptions!$H$213)*IF(AI581=0,1,AI581)</f>
        <v>0.30420460090800105</v>
      </c>
      <c r="AK581" s="86">
        <f ca="1">1/(1+Assumptions!$H$213)*IF(AJ581=0,1,AJ581)</f>
        <v>0.29197381768516933</v>
      </c>
      <c r="AL581" s="86">
        <f ca="1">1/(1+Assumptions!$H$213)*IF(AK581=0,1,AK581)</f>
        <v>0.28023478264036444</v>
      </c>
      <c r="AM581" s="86">
        <f ca="1">1/(1+Assumptions!$H$213)*IF(AL581=0,1,AL581)</f>
        <v>0.26896772465458391</v>
      </c>
      <c r="AN581" s="86">
        <f ca="1">1/(1+Assumptions!$H$213)*IF(AM581=0,1,AM581)</f>
        <v>0.2581536675220838</v>
      </c>
      <c r="AO581" s="86">
        <f ca="1">1/(1+Assumptions!$H$213)*IF(AN581=0,1,AN581)</f>
        <v>0.24777439799027134</v>
      </c>
      <c r="AP581" s="86">
        <f ca="1">1/(1+Assumptions!$H$213)*IF(AO581=0,1,AO581)</f>
        <v>0.23781243508457836</v>
      </c>
      <c r="AQ581" s="86">
        <f ca="1">1/(1+Assumptions!$H$213)*IF(AP581=0,1,AP581)</f>
        <v>0.2282510006666523</v>
      </c>
      <c r="AR581" s="86">
        <f ca="1">1/(1+Assumptions!$H$213)*IF(AQ581=0,1,AQ581)</f>
        <v>0.21907399117627802</v>
      </c>
      <c r="AS581" s="86">
        <f ca="1">1/(1+Assumptions!$H$213)*IF(AR581=0,1,AR581)</f>
        <v>0.21026595050943767</v>
      </c>
      <c r="AT581" s="86">
        <f ca="1">1/(1+Assumptions!$H$213)*IF(AS581=0,1,AS581)</f>
        <v>0.20181204398682939</v>
      </c>
      <c r="AU581" s="86">
        <f ca="1">1/(1+Assumptions!$H$213)*IF(AT581=0,1,AT581)</f>
        <v>0.1936980333690019</v>
      </c>
      <c r="AV581" s="86">
        <f ca="1">1/(1+Assumptions!$H$213)*IF(AU581=0,1,AU581)</f>
        <v>0.18591025287602522</v>
      </c>
      <c r="AW581" s="86">
        <f ca="1">1/(1+Assumptions!$H$213)*IF(AV581=0,1,AV581)</f>
        <v>0.17843558617130909</v>
      </c>
      <c r="AX581" s="86">
        <f ca="1">1/(1+Assumptions!$H$213)*IF(AW581=0,1,AW581)</f>
        <v>0.17126144427080506</v>
      </c>
      <c r="AY581" s="86">
        <f ca="1">1/(1+Assumptions!$H$213)*IF(AX581=0,1,AX581)</f>
        <v>0.16437574434038627</v>
      </c>
      <c r="AZ581" s="86">
        <f ca="1">1/(1+Assumptions!$H$213)*IF(AY581=0,1,AY581)</f>
        <v>0.1577668893456951</v>
      </c>
      <c r="BA581" s="86">
        <f ca="1">1/(1+Assumptions!$H$213)*IF(AZ581=0,1,AZ581)</f>
        <v>0.15142374852018459</v>
      </c>
      <c r="BB581" s="86">
        <f ca="1">1/(1+Assumptions!$H$213)*IF(BA581=0,1,BA581)</f>
        <v>0.14533563861845741</v>
      </c>
      <c r="BC581" s="86">
        <f ca="1">1/(1+Assumptions!$H$213)*IF(BB581=0,1,BB581)</f>
        <v>0.13949230592332915</v>
      </c>
      <c r="BD581" s="86">
        <f ca="1">1/(1+Assumptions!$H$213)*IF(BC581=0,1,BC581)</f>
        <v>0.13388390897631147</v>
      </c>
      <c r="BE581" s="86">
        <f ca="1">1/(1+Assumptions!$H$213)*IF(BD581=0,1,BD581)</f>
        <v>0.1285010020024297</v>
      </c>
      <c r="BF581" s="86">
        <f ca="1">1/(1+Assumptions!$H$213)*IF(BE581=0,1,BE581)</f>
        <v>0.1233345190014586</v>
      </c>
      <c r="BG581" s="86">
        <f ca="1">1/(1+Assumptions!$H$213)*IF(BF581=0,1,BF581)</f>
        <v>0.11837575847878241</v>
      </c>
      <c r="BH581" s="86">
        <f ca="1">1/(1+Assumptions!$H$213)*IF(BG581=0,1,BG581)</f>
        <v>0.11361636879016251</v>
      </c>
      <c r="BI581" s="86">
        <f ca="1">1/(1+Assumptions!$H$213)*IF(BH581=0,1,BH581)</f>
        <v>0.10904833407573018</v>
      </c>
      <c r="BJ581" s="86">
        <f ca="1">1/(1+Assumptions!$H$213)*IF(BI581=0,1,BI581)</f>
        <v>0.10466396075951413</v>
      </c>
      <c r="BK581" s="86">
        <f ca="1">1/(1+Assumptions!$H$213)*IF(BJ581=0,1,BJ581)</f>
        <v>0.10045586459176509</v>
      </c>
      <c r="BL581" s="86">
        <f ca="1">1/(1+Assumptions!$H$213)*IF(BK581=0,1,BK581)</f>
        <v>9.6416958212253781E-2</v>
      </c>
      <c r="BM581" s="86">
        <f ca="1">1/(1+Assumptions!$H$213)*IF(BL581=0,1,BL581)</f>
        <v>9.254043921359624E-2</v>
      </c>
      <c r="BN581" s="86">
        <f ca="1">1/(1+Assumptions!$H$213)*IF(BM581=0,1,BM581)</f>
        <v>8.8819778684502429E-2</v>
      </c>
      <c r="BO581" s="86">
        <f ca="1">1/(1+Assumptions!$H$213)*IF(BN581=0,1,BN581)</f>
        <v>8.5248710213652532E-2</v>
      </c>
      <c r="BP581" s="86">
        <f ca="1">1/(1+Assumptions!$H$213)*IF(BO581=0,1,BO581)</f>
        <v>8.1821219335680859E-2</v>
      </c>
      <c r="BQ581" s="86">
        <f ca="1">1/(1+Assumptions!$H$213)*IF(BP581=0,1,BP581)</f>
        <v>7.853153340149234E-2</v>
      </c>
      <c r="BR581" s="86">
        <f ca="1">1/(1+Assumptions!$H$213)*IF(BQ581=0,1,BQ581)</f>
        <v>7.5374111855850759E-2</v>
      </c>
      <c r="BS581" s="86">
        <f ca="1">1/(1+Assumptions!$H$213)*IF(BR581=0,1,BR581)</f>
        <v>7.2343636905864109E-2</v>
      </c>
      <c r="BT581" s="86">
        <f ca="1">1/(1+Assumptions!$H$213)*IF(BS581=0,1,BS581)</f>
        <v>6.943500456465089E-2</v>
      </c>
      <c r="BU581" s="86">
        <f ca="1">1/(1+Assumptions!$H$213)*IF(BT581=0,1,BT581)</f>
        <v>6.6643316055102639E-2</v>
      </c>
      <c r="BV581" s="86">
        <f ca="1">1/(1+Assumptions!$H$213)*IF(BU581=0,1,BU581)</f>
        <v>6.396386955926503E-2</v>
      </c>
      <c r="BW581" s="86">
        <f ca="1">1/(1+Assumptions!$H$213)*IF(BV581=0,1,BV581)</f>
        <v>6.1392152299441428E-2</v>
      </c>
      <c r="BX581" s="86">
        <f ca="1">1/(1+Assumptions!$H$213)*IF(BW581=0,1,BW581)</f>
        <v>5.8923832937681934E-2</v>
      </c>
      <c r="BY581" s="86">
        <f ca="1">1/(1+Assumptions!$H$213)*IF(BX581=0,1,BX581)</f>
        <v>5.6554754280856843E-2</v>
      </c>
    </row>
    <row r="582" spans="5:77" s="22" customFormat="1" ht="15" outlineLevel="1">
      <c r="E582" t="s">
        <v>483</v>
      </c>
      <c r="F582" s="36" t="s">
        <v>470</v>
      </c>
      <c r="H582" s="86">
        <f ca="1">+H580*H581</f>
        <v>0</v>
      </c>
      <c r="I582" s="86">
        <f t="shared" ref="I582" ca="1" si="1018">+I580*I581</f>
        <v>-238621.62644538571</v>
      </c>
      <c r="J582" s="86">
        <f t="shared" ref="J582" ca="1" si="1019">+J580*J581</f>
        <v>-15071.364358118615</v>
      </c>
      <c r="K582" s="86">
        <f t="shared" ref="K582" ca="1" si="1020">+K580*K581</f>
        <v>-53423.4994037996</v>
      </c>
      <c r="L582" s="86">
        <f t="shared" ref="L582" ca="1" si="1021">+L580*L581</f>
        <v>-51304.543511979609</v>
      </c>
      <c r="M582" s="86">
        <f t="shared" ref="M582" ca="1" si="1022">+M580*M581</f>
        <v>-49270.173078697284</v>
      </c>
      <c r="N582" s="86">
        <f t="shared" ref="N582" ca="1" si="1023">+N580*N581</f>
        <v>-47317.000070778202</v>
      </c>
      <c r="O582" s="86">
        <f t="shared" ref="O582" ca="1" si="1024">+O580*O581</f>
        <v>-45441.772404823205</v>
      </c>
      <c r="P582" s="86">
        <f t="shared" ref="P582" ca="1" si="1025">+P580*P581</f>
        <v>-43641.368486887899</v>
      </c>
      <c r="Q582" s="86">
        <f t="shared" ref="Q582" ca="1" si="1026">+Q580*Q581</f>
        <v>-41912.791971579863</v>
      </c>
      <c r="R582" s="86">
        <f t="shared" ref="R582" ca="1" si="1027">+R580*R581</f>
        <v>-40253.1667317545</v>
      </c>
      <c r="S582" s="86">
        <f t="shared" ref="S582" ca="1" si="1028">+S580*S581</f>
        <v>-38659.732030344312</v>
      </c>
      <c r="T582" s="86">
        <f t="shared" ref="T582" ca="1" si="1029">+T580*T581</f>
        <v>-37129.837886197354</v>
      </c>
      <c r="U582" s="86">
        <f t="shared" ref="U582" ca="1" si="1030">+U580*U581</f>
        <v>-35660.940626126743</v>
      </c>
      <c r="V582" s="86">
        <f t="shared" ref="V582" ca="1" si="1031">+V580*V581</f>
        <v>-34250.598615686838</v>
      </c>
      <c r="W582" s="86">
        <f t="shared" ref="W582" ca="1" si="1032">+W580*W581</f>
        <v>-32896.468161492434</v>
      </c>
      <c r="X582" s="86">
        <f t="shared" ref="X582" ca="1" si="1033">+X580*X581</f>
        <v>-31596.299578186205</v>
      </c>
      <c r="Y582" s="86">
        <f t="shared" ref="Y582" ca="1" si="1034">+Y580*Y581</f>
        <v>-22204.181717386051</v>
      </c>
      <c r="Z582" s="86">
        <f t="shared" ref="Z582" ca="1" si="1035">+Z580*Z581</f>
        <v>-1.9147446315805405E-13</v>
      </c>
      <c r="AA582" s="86">
        <f t="shared" ref="AA582" ca="1" si="1036">+AA580*AA581</f>
        <v>-1.8377608303952822E-13</v>
      </c>
      <c r="AB582" s="86">
        <f t="shared" ref="AB582" ca="1" si="1037">+AB580*AB581</f>
        <v>-1.7638722229748652E-13</v>
      </c>
      <c r="AC582" s="86">
        <f t="shared" ref="AC582" ca="1" si="1038">+AC580*AC581</f>
        <v>-1.6929543646400918E-13</v>
      </c>
      <c r="AD582" s="86">
        <f t="shared" ref="AD582" ca="1" si="1039">+AD580*AD581</f>
        <v>-1.6248878141071437E-13</v>
      </c>
      <c r="AE582" s="86">
        <f t="shared" ref="AE582" ca="1" si="1040">+AE580*AE581</f>
        <v>-1.5595579323221679E-13</v>
      </c>
      <c r="AF582" s="86">
        <f t="shared" ref="AF582" ca="1" si="1041">+AF580*AF581</f>
        <v>-1.4968546893838773E-13</v>
      </c>
      <c r="AG582" s="86">
        <f t="shared" ref="AG582" ca="1" si="1042">+AG580*AG581</f>
        <v>-1.4366724792289754E-13</v>
      </c>
      <c r="AH582" s="86">
        <f t="shared" ref="AH582" ca="1" si="1043">+AH580*AH581</f>
        <v>-1.3789099417683012E-13</v>
      </c>
      <c r="AI582" s="86">
        <f t="shared" ref="AI582" ca="1" si="1044">+AI580*AI581</f>
        <v>-1.323469792174127E-13</v>
      </c>
      <c r="AJ582" s="86">
        <f t="shared" ref="AJ582" ca="1" si="1045">+AJ580*AJ581</f>
        <v>-1.2702586570310945E-13</v>
      </c>
      <c r="AK582" s="86">
        <f t="shared" ref="AK582" ca="1" si="1046">+AK580*AK581</f>
        <v>-1.2191869170748301E-13</v>
      </c>
      <c r="AL582" s="86">
        <f t="shared" ref="AL582" ca="1" si="1047">+AL580*AL581</f>
        <v>-1.1701685562533759E-13</v>
      </c>
      <c r="AM582" s="86">
        <f t="shared" ref="AM582" ca="1" si="1048">+AM580*AM581</f>
        <v>-1.1231210168572268E-13</v>
      </c>
      <c r="AN582" s="86">
        <f t="shared" ref="AN582" ca="1" si="1049">+AN580*AN581</f>
        <v>-1.077965060473972E-13</v>
      </c>
      <c r="AO582" s="86">
        <f t="shared" ref="AO582" ca="1" si="1050">+AO580*AO581</f>
        <v>-1.0346246345333692E-13</v>
      </c>
      <c r="AP582" s="86">
        <f t="shared" ref="AP582" ca="1" si="1051">+AP580*AP581</f>
        <v>-9.9302674421807411E-14</v>
      </c>
      <c r="AQ582" s="86">
        <f t="shared" ref="AQ582" ca="1" si="1052">+AQ580*AQ581</f>
        <v>-9.5310132952430117E-14</v>
      </c>
      <c r="AR582" s="86">
        <f t="shared" ref="AR582" ca="1" si="1053">+AR580*AR581</f>
        <v>-9.1478114726535546E-14</v>
      </c>
      <c r="AS582" s="86">
        <f t="shared" ref="AS582" ca="1" si="1054">+AS580*AS581</f>
        <v>-8.7800165781930469E-14</v>
      </c>
      <c r="AT582" s="86">
        <f t="shared" ref="AT582" ca="1" si="1055">+AT580*AT581</f>
        <v>-8.4270091643004998E-14</v>
      </c>
      <c r="AU582" s="86">
        <f t="shared" ref="AU582" ca="1" si="1056">+AU580*AU581</f>
        <v>-8.0881946887872032E-14</v>
      </c>
      <c r="AV582" s="86">
        <f t="shared" ref="AV582" ca="1" si="1057">+AV580*AV581</f>
        <v>-7.7630025134968227E-14</v>
      </c>
      <c r="AW582" s="86">
        <f t="shared" ref="AW582" ca="1" si="1058">+AW580*AW581</f>
        <v>-7.4508849432251223E-14</v>
      </c>
      <c r="AX582" s="86">
        <f t="shared" ref="AX582" ca="1" si="1059">+AX580*AX581</f>
        <v>-7.151316303280694E-14</v>
      </c>
      <c r="AY582" s="86">
        <f t="shared" ref="AY582" ca="1" si="1060">+AY580*AY581</f>
        <v>-6.8637920541330597E-14</v>
      </c>
      <c r="AZ582" s="86">
        <f t="shared" ref="AZ582" ca="1" si="1061">+AZ580*AZ581</f>
        <v>-6.5878279416570465E-14</v>
      </c>
      <c r="BA582" s="86">
        <f t="shared" ref="BA582" ca="1" si="1062">+BA580*BA581</f>
        <v>-6.3229591815422423E-14</v>
      </c>
      <c r="BB582" s="86">
        <f t="shared" ref="BB582" ca="1" si="1063">+BB580*BB581</f>
        <v>-6.0687396764939127E-14</v>
      </c>
      <c r="BC582" s="86">
        <f t="shared" ref="BC582" ca="1" si="1064">+BC580*BC581</f>
        <v>-5.8247412649069594E-14</v>
      </c>
      <c r="BD582" s="86">
        <f t="shared" ref="BD582" ca="1" si="1065">+BD580*BD581</f>
        <v>-5.5905529997475357E-14</v>
      </c>
      <c r="BE582" s="86">
        <f t="shared" ref="BE582" ca="1" si="1066">+BE580*BE581</f>
        <v>-5.3657804564277765E-14</v>
      </c>
      <c r="BF582" s="86">
        <f t="shared" ref="BF582" ca="1" si="1067">+BF580*BF581</f>
        <v>-5.1500450685079774E-14</v>
      </c>
      <c r="BG582" s="86">
        <f t="shared" ref="BG582" ca="1" si="1068">+BG580*BG581</f>
        <v>-4.9429834901073796E-14</v>
      </c>
      <c r="BH582" s="86">
        <f t="shared" ref="BH582" ca="1" si="1069">+BH580*BH581</f>
        <v>-4.7442469839497257E-14</v>
      </c>
      <c r="BI582" s="86">
        <f t="shared" ref="BI582" ca="1" si="1070">+BI580*BI581</f>
        <v>-4.5535008340129247E-14</v>
      </c>
      <c r="BJ582" s="86">
        <f t="shared" ref="BJ582" ca="1" si="1071">+BJ580*BJ581</f>
        <v>-4.3704237817935908E-14</v>
      </c>
      <c r="BK582" s="86">
        <f t="shared" ref="BK582" ca="1" si="1072">+BK580*BK581</f>
        <v>-4.1947074852370125E-14</v>
      </c>
      <c r="BL582" s="86">
        <f t="shared" ref="BL582" ca="1" si="1073">+BL580*BL581</f>
        <v>-4.026055999421256E-14</v>
      </c>
      <c r="BM582" s="86">
        <f t="shared" ref="BM582" ca="1" si="1074">+BM580*BM581</f>
        <v>-3.8641852781207769E-14</v>
      </c>
      <c r="BN582" s="86">
        <f t="shared" ref="BN582" ca="1" si="1075">+BN580*BN581</f>
        <v>-3.7088226954100501E-14</v>
      </c>
      <c r="BO582" s="86">
        <f t="shared" ref="BO582" ca="1" si="1076">+BO580*BO581</f>
        <v>-3.5597065865015025E-14</v>
      </c>
      <c r="BP582" s="86">
        <f t="shared" ref="BP582" ca="1" si="1077">+BP580*BP581</f>
        <v>-3.416585807044412E-14</v>
      </c>
      <c r="BQ582" s="86">
        <f t="shared" ref="BQ582" ca="1" si="1078">+BQ580*BQ581</f>
        <v>-3.2792193101425406E-14</v>
      </c>
      <c r="BR582" s="86">
        <f t="shared" ref="BR582" ca="1" si="1079">+BR580*BR581</f>
        <v>-3.1473757403781019E-14</v>
      </c>
      <c r="BS582" s="86">
        <f t="shared" ref="BS582" ca="1" si="1080">+BS580*BS581</f>
        <v>-3.0208330441583107E-14</v>
      </c>
      <c r="BT582" s="86">
        <f t="shared" ref="BT582" ca="1" si="1081">+BT580*BT581</f>
        <v>-2.8993780957282544E-14</v>
      </c>
      <c r="BU582" s="86">
        <f t="shared" ref="BU582" ca="1" si="1082">+BU580*BU581</f>
        <v>-2.7828063382202094E-14</v>
      </c>
      <c r="BV582" s="86">
        <f t="shared" ref="BV582" ca="1" si="1083">+BV580*BV581</f>
        <v>-2.6709214391348506E-14</v>
      </c>
      <c r="BW582" s="86">
        <f t="shared" ref="BW582" ca="1" si="1084">+BW580*BW581</f>
        <v>-2.5635349596741026E-14</v>
      </c>
      <c r="BX582" s="86">
        <f t="shared" ref="BX582" ca="1" si="1085">+BX580*BX581</f>
        <v>-2.4604660373687268E-14</v>
      </c>
      <c r="BY582" s="86">
        <f t="shared" ref="BY582" ca="1" si="1086">+BY580*BY581</f>
        <v>-2.3615410814661113E-14</v>
      </c>
    </row>
    <row r="583" spans="5:77" s="22" customFormat="1" ht="15" outlineLevel="1">
      <c r="E583"/>
      <c r="F583" s="36"/>
      <c r="H583" s="86"/>
      <c r="I583" s="86"/>
      <c r="J583" s="86"/>
      <c r="K583" s="86"/>
      <c r="L583" s="86"/>
      <c r="M583" s="86"/>
      <c r="N583" s="86"/>
      <c r="O583" s="86"/>
      <c r="P583" s="86"/>
      <c r="Q583" s="86"/>
      <c r="R583" s="86"/>
      <c r="S583" s="86"/>
      <c r="T583" s="86"/>
      <c r="U583" s="86"/>
      <c r="V583" s="86"/>
      <c r="W583" s="86"/>
      <c r="X583" s="86"/>
      <c r="Y583" s="86"/>
      <c r="Z583" s="86"/>
      <c r="AA583" s="86"/>
      <c r="AB583" s="86"/>
      <c r="AC583" s="86"/>
      <c r="AD583" s="86"/>
      <c r="AE583" s="86"/>
      <c r="AF583" s="86"/>
      <c r="AG583" s="86"/>
      <c r="AH583" s="86"/>
      <c r="AI583" s="86"/>
      <c r="AJ583" s="86"/>
      <c r="AK583" s="86"/>
      <c r="AL583" s="86"/>
      <c r="AM583" s="86"/>
      <c r="AN583" s="86"/>
      <c r="AO583" s="86"/>
      <c r="AP583" s="86"/>
      <c r="AQ583" s="86"/>
      <c r="AR583" s="86"/>
      <c r="AS583" s="86"/>
      <c r="AT583" s="86"/>
      <c r="AU583" s="86"/>
      <c r="AV583" s="86"/>
      <c r="AW583" s="86"/>
      <c r="AX583" s="86"/>
      <c r="AY583" s="86"/>
      <c r="AZ583" s="86"/>
      <c r="BA583" s="86"/>
      <c r="BB583" s="86"/>
      <c r="BC583" s="86"/>
      <c r="BD583" s="86"/>
      <c r="BE583" s="86"/>
      <c r="BF583" s="86"/>
      <c r="BG583" s="86"/>
      <c r="BH583" s="86"/>
      <c r="BI583" s="86"/>
      <c r="BJ583" s="86"/>
      <c r="BK583" s="86"/>
      <c r="BL583" s="86"/>
      <c r="BM583" s="86"/>
      <c r="BN583" s="86"/>
      <c r="BO583" s="86"/>
      <c r="BP583" s="86"/>
      <c r="BQ583" s="86"/>
      <c r="BR583" s="86"/>
      <c r="BS583" s="86"/>
      <c r="BT583" s="86"/>
      <c r="BU583" s="86"/>
      <c r="BV583" s="86"/>
      <c r="BW583" s="86"/>
      <c r="BX583" s="86"/>
      <c r="BY583" s="86"/>
    </row>
    <row r="584" spans="5:77" s="22" customFormat="1" ht="15" outlineLevel="1">
      <c r="E584" s="22" t="s">
        <v>485</v>
      </c>
      <c r="F584" s="3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c r="AK584" s="86"/>
      <c r="AL584" s="86"/>
      <c r="AM584" s="86"/>
      <c r="AN584" s="86"/>
      <c r="AO584" s="86"/>
      <c r="AP584" s="86"/>
      <c r="AQ584" s="86"/>
      <c r="AR584" s="86"/>
      <c r="AS584" s="86"/>
      <c r="AT584" s="86"/>
      <c r="AU584" s="86"/>
      <c r="AV584" s="86"/>
      <c r="AW584" s="86"/>
      <c r="AX584" s="86"/>
      <c r="AY584" s="86"/>
      <c r="AZ584" s="86"/>
      <c r="BA584" s="86"/>
      <c r="BB584" s="86"/>
      <c r="BC584" s="86"/>
      <c r="BD584" s="86"/>
      <c r="BE584" s="86"/>
      <c r="BF584" s="86"/>
      <c r="BG584" s="86"/>
      <c r="BH584" s="86"/>
      <c r="BI584" s="86"/>
      <c r="BJ584" s="86"/>
      <c r="BK584" s="86"/>
      <c r="BL584" s="86"/>
      <c r="BM584" s="86"/>
      <c r="BN584" s="86"/>
      <c r="BO584" s="86"/>
      <c r="BP584" s="86"/>
      <c r="BQ584" s="86"/>
      <c r="BR584" s="86"/>
      <c r="BS584" s="86"/>
      <c r="BT584" s="86"/>
      <c r="BU584" s="86"/>
      <c r="BV584" s="86"/>
      <c r="BW584" s="86"/>
      <c r="BX584" s="86"/>
      <c r="BY584" s="86"/>
    </row>
    <row r="585" spans="5:77" s="22" customFormat="1" ht="15" outlineLevel="1">
      <c r="E585" s="86" t="str">
        <f>+E942</f>
        <v>Free cash flow to equity (levered FCF)</v>
      </c>
      <c r="F585" s="36" t="s">
        <v>470</v>
      </c>
      <c r="H585" s="86">
        <f t="shared" ref="H585:BS585" ca="1" si="1087">+H942</f>
        <v>0</v>
      </c>
      <c r="I585" s="86">
        <f t="shared" ca="1" si="1087"/>
        <v>-259032.07288152305</v>
      </c>
      <c r="J585" s="86">
        <f t="shared" ca="1" si="1087"/>
        <v>-17045.831002914747</v>
      </c>
      <c r="K585" s="86">
        <f t="shared" ca="1" si="1087"/>
        <v>-67104.158338847337</v>
      </c>
      <c r="L585" s="86">
        <f t="shared" ca="1" si="1087"/>
        <v>-67222.74886409528</v>
      </c>
      <c r="M585" s="86">
        <f t="shared" ca="1" si="1087"/>
        <v>-67343.711199848171</v>
      </c>
      <c r="N585" s="86">
        <f t="shared" ca="1" si="1087"/>
        <v>-67467.092782316133</v>
      </c>
      <c r="O585" s="86">
        <f t="shared" ca="1" si="1087"/>
        <v>-67592.941996433452</v>
      </c>
      <c r="P585" s="86">
        <f t="shared" ca="1" si="1087"/>
        <v>-67721.308194833109</v>
      </c>
      <c r="Q585" s="86">
        <f t="shared" ca="1" si="1087"/>
        <v>-67852.241717200755</v>
      </c>
      <c r="R585" s="86">
        <f t="shared" ca="1" si="1087"/>
        <v>-67985.793910015767</v>
      </c>
      <c r="S585" s="86">
        <f t="shared" ca="1" si="1087"/>
        <v>-68122.017146687067</v>
      </c>
      <c r="T585" s="86">
        <f t="shared" ca="1" si="1087"/>
        <v>-68260.964848091797</v>
      </c>
      <c r="U585" s="86">
        <f t="shared" ca="1" si="1087"/>
        <v>-68402.69150352462</v>
      </c>
      <c r="V585" s="86">
        <f t="shared" ca="1" si="1087"/>
        <v>-68547.252692066104</v>
      </c>
      <c r="W585" s="86">
        <f t="shared" ca="1" si="1087"/>
        <v>-68694.705104378416</v>
      </c>
      <c r="X585" s="86">
        <f t="shared" ca="1" si="1087"/>
        <v>-68845.106564936985</v>
      </c>
      <c r="Y585" s="86">
        <f t="shared" ca="1" si="1087"/>
        <v>-51952.685051791923</v>
      </c>
      <c r="Z585" s="86">
        <f t="shared" ca="1" si="1087"/>
        <v>-9.6040457719936973E-12</v>
      </c>
      <c r="AA585" s="86">
        <f t="shared" ca="1" si="1087"/>
        <v>-9.6040457719936973E-12</v>
      </c>
      <c r="AB585" s="86">
        <f t="shared" ca="1" si="1087"/>
        <v>-9.6040457719936973E-12</v>
      </c>
      <c r="AC585" s="86">
        <f t="shared" ca="1" si="1087"/>
        <v>-9.6040457719936973E-12</v>
      </c>
      <c r="AD585" s="86">
        <f t="shared" ca="1" si="1087"/>
        <v>-9.6040457719936973E-12</v>
      </c>
      <c r="AE585" s="86">
        <f t="shared" ca="1" si="1087"/>
        <v>-9.6040457719936973E-12</v>
      </c>
      <c r="AF585" s="86">
        <f t="shared" ca="1" si="1087"/>
        <v>-9.6040457719936973E-12</v>
      </c>
      <c r="AG585" s="86">
        <f t="shared" ca="1" si="1087"/>
        <v>-9.6040457719936973E-12</v>
      </c>
      <c r="AH585" s="86">
        <f t="shared" ca="1" si="1087"/>
        <v>-9.6040457719936973E-12</v>
      </c>
      <c r="AI585" s="86">
        <f t="shared" ca="1" si="1087"/>
        <v>-9.6040457719936973E-12</v>
      </c>
      <c r="AJ585" s="86">
        <f t="shared" ca="1" si="1087"/>
        <v>-9.6040457719936973E-12</v>
      </c>
      <c r="AK585" s="86">
        <f t="shared" ca="1" si="1087"/>
        <v>-9.6040457719936973E-12</v>
      </c>
      <c r="AL585" s="86">
        <f t="shared" ca="1" si="1087"/>
        <v>-9.6040457719936973E-12</v>
      </c>
      <c r="AM585" s="86">
        <f t="shared" ca="1" si="1087"/>
        <v>-9.6040457719936973E-12</v>
      </c>
      <c r="AN585" s="86">
        <f t="shared" ca="1" si="1087"/>
        <v>-9.6040457719936973E-12</v>
      </c>
      <c r="AO585" s="86">
        <f t="shared" ca="1" si="1087"/>
        <v>-9.6040457719936973E-12</v>
      </c>
      <c r="AP585" s="86">
        <f t="shared" ca="1" si="1087"/>
        <v>-9.6040457719936973E-12</v>
      </c>
      <c r="AQ585" s="86">
        <f t="shared" ca="1" si="1087"/>
        <v>-9.6040457719936973E-12</v>
      </c>
      <c r="AR585" s="86">
        <f t="shared" ca="1" si="1087"/>
        <v>-9.6040457719936973E-12</v>
      </c>
      <c r="AS585" s="86">
        <f t="shared" ca="1" si="1087"/>
        <v>-9.6040457719936973E-12</v>
      </c>
      <c r="AT585" s="86">
        <f t="shared" ca="1" si="1087"/>
        <v>-9.6040457719936973E-12</v>
      </c>
      <c r="AU585" s="86">
        <f t="shared" ca="1" si="1087"/>
        <v>-9.6040457719936973E-12</v>
      </c>
      <c r="AV585" s="86">
        <f t="shared" ca="1" si="1087"/>
        <v>-9.6040457719936973E-12</v>
      </c>
      <c r="AW585" s="86">
        <f t="shared" ca="1" si="1087"/>
        <v>-9.6040457719936973E-12</v>
      </c>
      <c r="AX585" s="86">
        <f t="shared" ca="1" si="1087"/>
        <v>-9.6040457719936973E-12</v>
      </c>
      <c r="AY585" s="86">
        <f t="shared" ca="1" si="1087"/>
        <v>-9.6040457719936973E-12</v>
      </c>
      <c r="AZ585" s="86">
        <f t="shared" ca="1" si="1087"/>
        <v>-9.6040457719936973E-12</v>
      </c>
      <c r="BA585" s="86">
        <f t="shared" ca="1" si="1087"/>
        <v>-9.6040457719936973E-12</v>
      </c>
      <c r="BB585" s="86">
        <f t="shared" ca="1" si="1087"/>
        <v>-9.6040457719936973E-12</v>
      </c>
      <c r="BC585" s="86">
        <f t="shared" ca="1" si="1087"/>
        <v>-9.6040457719936973E-12</v>
      </c>
      <c r="BD585" s="86">
        <f t="shared" ca="1" si="1087"/>
        <v>-9.6040457719936973E-12</v>
      </c>
      <c r="BE585" s="86">
        <f t="shared" ca="1" si="1087"/>
        <v>-9.6040457719936973E-12</v>
      </c>
      <c r="BF585" s="86">
        <f t="shared" ca="1" si="1087"/>
        <v>-9.6040457719936973E-12</v>
      </c>
      <c r="BG585" s="86">
        <f t="shared" ca="1" si="1087"/>
        <v>-9.6040457719936973E-12</v>
      </c>
      <c r="BH585" s="86">
        <f t="shared" ca="1" si="1087"/>
        <v>-9.6040457719936973E-12</v>
      </c>
      <c r="BI585" s="86">
        <f t="shared" ca="1" si="1087"/>
        <v>-9.6040457719936973E-12</v>
      </c>
      <c r="BJ585" s="86">
        <f t="shared" ca="1" si="1087"/>
        <v>-9.6040457719936973E-12</v>
      </c>
      <c r="BK585" s="86">
        <f t="shared" ca="1" si="1087"/>
        <v>-9.6040457719936973E-12</v>
      </c>
      <c r="BL585" s="86">
        <f t="shared" ca="1" si="1087"/>
        <v>-9.6040457719936973E-12</v>
      </c>
      <c r="BM585" s="86">
        <f t="shared" ca="1" si="1087"/>
        <v>-9.6040457719936973E-12</v>
      </c>
      <c r="BN585" s="86">
        <f t="shared" ca="1" si="1087"/>
        <v>-9.6040457719936973E-12</v>
      </c>
      <c r="BO585" s="86">
        <f t="shared" ca="1" si="1087"/>
        <v>-9.6040457719936973E-12</v>
      </c>
      <c r="BP585" s="86">
        <f t="shared" ca="1" si="1087"/>
        <v>-9.6040457719936973E-12</v>
      </c>
      <c r="BQ585" s="86">
        <f t="shared" ca="1" si="1087"/>
        <v>-9.6040457719936973E-12</v>
      </c>
      <c r="BR585" s="86">
        <f t="shared" ca="1" si="1087"/>
        <v>-9.6040457719936973E-12</v>
      </c>
      <c r="BS585" s="86">
        <f t="shared" ca="1" si="1087"/>
        <v>-9.6040457719936973E-12</v>
      </c>
      <c r="BT585" s="86">
        <f t="shared" ref="BT585:BY585" ca="1" si="1088">+BT942</f>
        <v>-9.6040457719936973E-12</v>
      </c>
      <c r="BU585" s="86">
        <f t="shared" ca="1" si="1088"/>
        <v>-9.6040457719936973E-12</v>
      </c>
      <c r="BV585" s="86">
        <f t="shared" ca="1" si="1088"/>
        <v>-9.6040457719936973E-12</v>
      </c>
      <c r="BW585" s="86">
        <f t="shared" ca="1" si="1088"/>
        <v>-9.6040457719936973E-12</v>
      </c>
      <c r="BX585" s="86">
        <f t="shared" ca="1" si="1088"/>
        <v>-9.6040457719936973E-12</v>
      </c>
      <c r="BY585" s="86">
        <f t="shared" ca="1" si="1088"/>
        <v>-9.6040457719936973E-12</v>
      </c>
    </row>
    <row r="586" spans="5:77" s="22" customFormat="1" ht="15" outlineLevel="1">
      <c r="E586" t="s">
        <v>243</v>
      </c>
      <c r="F586" s="36"/>
      <c r="H586" s="86">
        <f ca="1">1/(1+Assumptions!$H$251)*IF(G586=0,1,G586)</f>
        <v>0.95979422011920645</v>
      </c>
      <c r="I586" s="86">
        <f ca="1">1/(1+Assumptions!$H$251)*IF(H586=0,1,H586)</f>
        <v>0.92120494497423577</v>
      </c>
      <c r="J586" s="86">
        <f ca="1">1/(1+Assumptions!$H$251)*IF(I586=0,1,I586)</f>
        <v>0.8841671817315031</v>
      </c>
      <c r="K586" s="86">
        <f ca="1">1/(1+Assumptions!$H$251)*IF(J586=0,1,J586)</f>
        <v>0.8486185506449847</v>
      </c>
      <c r="L586" s="86">
        <f ca="1">1/(1+Assumptions!$H$251)*IF(K586=0,1,K586)</f>
        <v>0.81449917999499444</v>
      </c>
      <c r="M586" s="86">
        <f ca="1">1/(1+Assumptions!$H$251)*IF(L586=0,1,L586)</f>
        <v>0.78175160525102882</v>
      </c>
      <c r="N586" s="86">
        <f ca="1">1/(1+Assumptions!$H$251)*IF(M586=0,1,M586)</f>
        <v>0.75032067228884891</v>
      </c>
      <c r="O586" s="86">
        <f ca="1">1/(1+Assumptions!$H$251)*IF(N586=0,1,N586)</f>
        <v>0.72015344449879437</v>
      </c>
      <c r="P586" s="86">
        <f ca="1">1/(1+Assumptions!$H$251)*IF(O586=0,1,O586)</f>
        <v>0.69119911362888053</v>
      </c>
      <c r="Q586" s="86">
        <f ca="1">1/(1+Assumptions!$H$251)*IF(P586=0,1,P586)</f>
        <v>0.66340891421251813</v>
      </c>
      <c r="R586" s="86">
        <f ca="1">1/(1+Assumptions!$H$251)*IF(Q586=0,1,Q586)</f>
        <v>0.63673604143673335</v>
      </c>
      <c r="S586" s="86">
        <f ca="1">1/(1+Assumptions!$H$251)*IF(R586=0,1,R586)</f>
        <v>0.61113557231256022</v>
      </c>
      <c r="T586" s="86">
        <f ca="1">1/(1+Assumptions!$H$251)*IF(S586=0,1,S586)</f>
        <v>0.58656439001483862</v>
      </c>
      <c r="U586" s="86">
        <f ca="1">1/(1+Assumptions!$H$251)*IF(T586=0,1,T586)</f>
        <v>0.56298111126399009</v>
      </c>
      <c r="V586" s="86">
        <f ca="1">1/(1+Assumptions!$H$251)*IF(U586=0,1,U586)</f>
        <v>0.54034601662746551</v>
      </c>
      <c r="W586" s="86">
        <f ca="1">1/(1+Assumptions!$H$251)*IF(V586=0,1,V586)</f>
        <v>0.51862098362347797</v>
      </c>
      <c r="X586" s="86">
        <f ca="1">1/(1+Assumptions!$H$251)*IF(W586=0,1,W586)</f>
        <v>0.4977694225143518</v>
      </c>
      <c r="Y586" s="86">
        <f ca="1">1/(1+Assumptions!$H$251)*IF(X586=0,1,X586)</f>
        <v>0.47775621468135004</v>
      </c>
      <c r="Z586" s="86">
        <f ca="1">1/(1+Assumptions!$H$251)*IF(Y586=0,1,Y586)</f>
        <v>0.45854765347719056</v>
      </c>
      <c r="AA586" s="86">
        <f ca="1">1/(1+Assumptions!$H$251)*IF(Z586=0,1,Z586)</f>
        <v>0.44011138745663225</v>
      </c>
      <c r="AB586" s="86">
        <f ca="1">1/(1+Assumptions!$H$251)*IF(AA586=0,1,AA586)</f>
        <v>0.42241636588952025</v>
      </c>
      <c r="AC586" s="86">
        <f ca="1">1/(1+Assumptions!$H$251)*IF(AB586=0,1,AB586)</f>
        <v>0.40543278646452147</v>
      </c>
      <c r="AD586" s="86">
        <f ca="1">1/(1+Assumptions!$H$251)*IF(AC586=0,1,AC586)</f>
        <v>0.38913204509547217</v>
      </c>
      <c r="AE586" s="86">
        <f ca="1">1/(1+Assumptions!$H$251)*IF(AD586=0,1,AD586)</f>
        <v>0.37348668774580057</v>
      </c>
      <c r="AF586" s="86">
        <f ca="1">1/(1+Assumptions!$H$251)*IF(AE586=0,1,AE586)</f>
        <v>0.35847036418988626</v>
      </c>
      <c r="AG586" s="86">
        <f ca="1">1/(1+Assumptions!$H$251)*IF(AF586=0,1,AF586)</f>
        <v>0.34405778363347977</v>
      </c>
      <c r="AH586" s="86">
        <f ca="1">1/(1+Assumptions!$H$251)*IF(AG586=0,1,AG586)</f>
        <v>0.33022467211843837</v>
      </c>
      <c r="AI586" s="86">
        <f ca="1">1/(1+Assumptions!$H$251)*IF(AH586=0,1,AH586)</f>
        <v>0.3169477316400372</v>
      </c>
      <c r="AJ586" s="86">
        <f ca="1">1/(1+Assumptions!$H$251)*IF(AI586=0,1,AI586)</f>
        <v>0.30420460090800105</v>
      </c>
      <c r="AK586" s="86">
        <f ca="1">1/(1+Assumptions!$H$251)*IF(AJ586=0,1,AJ586)</f>
        <v>0.29197381768516933</v>
      </c>
      <c r="AL586" s="86">
        <f ca="1">1/(1+Assumptions!$H$251)*IF(AK586=0,1,AK586)</f>
        <v>0.28023478264036444</v>
      </c>
      <c r="AM586" s="86">
        <f ca="1">1/(1+Assumptions!$H$251)*IF(AL586=0,1,AL586)</f>
        <v>0.26896772465458391</v>
      </c>
      <c r="AN586" s="86">
        <f ca="1">1/(1+Assumptions!$H$251)*IF(AM586=0,1,AM586)</f>
        <v>0.2581536675220838</v>
      </c>
      <c r="AO586" s="86">
        <f ca="1">1/(1+Assumptions!$H$251)*IF(AN586=0,1,AN586)</f>
        <v>0.24777439799027134</v>
      </c>
      <c r="AP586" s="86">
        <f ca="1">1/(1+Assumptions!$H$251)*IF(AO586=0,1,AO586)</f>
        <v>0.23781243508457836</v>
      </c>
      <c r="AQ586" s="86">
        <f ca="1">1/(1+Assumptions!$H$251)*IF(AP586=0,1,AP586)</f>
        <v>0.2282510006666523</v>
      </c>
      <c r="AR586" s="86">
        <f ca="1">1/(1+Assumptions!$H$251)*IF(AQ586=0,1,AQ586)</f>
        <v>0.21907399117627802</v>
      </c>
      <c r="AS586" s="86">
        <f ca="1">1/(1+Assumptions!$H$251)*IF(AR586=0,1,AR586)</f>
        <v>0.21026595050943767</v>
      </c>
      <c r="AT586" s="86">
        <f ca="1">1/(1+Assumptions!$H$251)*IF(AS586=0,1,AS586)</f>
        <v>0.20181204398682939</v>
      </c>
      <c r="AU586" s="86">
        <f ca="1">1/(1+Assumptions!$H$251)*IF(AT586=0,1,AT586)</f>
        <v>0.1936980333690019</v>
      </c>
      <c r="AV586" s="86">
        <f ca="1">1/(1+Assumptions!$H$251)*IF(AU586=0,1,AU586)</f>
        <v>0.18591025287602522</v>
      </c>
      <c r="AW586" s="86">
        <f ca="1">1/(1+Assumptions!$H$251)*IF(AV586=0,1,AV586)</f>
        <v>0.17843558617130909</v>
      </c>
      <c r="AX586" s="86">
        <f ca="1">1/(1+Assumptions!$H$251)*IF(AW586=0,1,AW586)</f>
        <v>0.17126144427080506</v>
      </c>
      <c r="AY586" s="86">
        <f ca="1">1/(1+Assumptions!$H$251)*IF(AX586=0,1,AX586)</f>
        <v>0.16437574434038627</v>
      </c>
      <c r="AZ586" s="86">
        <f ca="1">1/(1+Assumptions!$H$251)*IF(AY586=0,1,AY586)</f>
        <v>0.1577668893456951</v>
      </c>
      <c r="BA586" s="86">
        <f ca="1">1/(1+Assumptions!$H$251)*IF(AZ586=0,1,AZ586)</f>
        <v>0.15142374852018459</v>
      </c>
      <c r="BB586" s="86">
        <f ca="1">1/(1+Assumptions!$H$251)*IF(BA586=0,1,BA586)</f>
        <v>0.14533563861845741</v>
      </c>
      <c r="BC586" s="86">
        <f ca="1">1/(1+Assumptions!$H$251)*IF(BB586=0,1,BB586)</f>
        <v>0.13949230592332915</v>
      </c>
      <c r="BD586" s="86">
        <f ca="1">1/(1+Assumptions!$H$251)*IF(BC586=0,1,BC586)</f>
        <v>0.13388390897631147</v>
      </c>
      <c r="BE586" s="86">
        <f ca="1">1/(1+Assumptions!$H$251)*IF(BD586=0,1,BD586)</f>
        <v>0.1285010020024297</v>
      </c>
      <c r="BF586" s="86">
        <f ca="1">1/(1+Assumptions!$H$251)*IF(BE586=0,1,BE586)</f>
        <v>0.1233345190014586</v>
      </c>
      <c r="BG586" s="86">
        <f ca="1">1/(1+Assumptions!$H$251)*IF(BF586=0,1,BF586)</f>
        <v>0.11837575847878241</v>
      </c>
      <c r="BH586" s="86">
        <f ca="1">1/(1+Assumptions!$H$251)*IF(BG586=0,1,BG586)</f>
        <v>0.11361636879016251</v>
      </c>
      <c r="BI586" s="86">
        <f ca="1">1/(1+Assumptions!$H$251)*IF(BH586=0,1,BH586)</f>
        <v>0.10904833407573018</v>
      </c>
      <c r="BJ586" s="86">
        <f ca="1">1/(1+Assumptions!$H$251)*IF(BI586=0,1,BI586)</f>
        <v>0.10466396075951413</v>
      </c>
      <c r="BK586" s="86">
        <f ca="1">1/(1+Assumptions!$H$251)*IF(BJ586=0,1,BJ586)</f>
        <v>0.10045586459176509</v>
      </c>
      <c r="BL586" s="86">
        <f ca="1">1/(1+Assumptions!$H$251)*IF(BK586=0,1,BK586)</f>
        <v>9.6416958212253781E-2</v>
      </c>
      <c r="BM586" s="86">
        <f ca="1">1/(1+Assumptions!$H$251)*IF(BL586=0,1,BL586)</f>
        <v>9.254043921359624E-2</v>
      </c>
      <c r="BN586" s="86">
        <f ca="1">1/(1+Assumptions!$H$251)*IF(BM586=0,1,BM586)</f>
        <v>8.8819778684502429E-2</v>
      </c>
      <c r="BO586" s="86">
        <f ca="1">1/(1+Assumptions!$H$251)*IF(BN586=0,1,BN586)</f>
        <v>8.5248710213652532E-2</v>
      </c>
      <c r="BP586" s="86">
        <f ca="1">1/(1+Assumptions!$H$251)*IF(BO586=0,1,BO586)</f>
        <v>8.1821219335680859E-2</v>
      </c>
      <c r="BQ586" s="86">
        <f ca="1">1/(1+Assumptions!$H$251)*IF(BP586=0,1,BP586)</f>
        <v>7.853153340149234E-2</v>
      </c>
      <c r="BR586" s="86">
        <f ca="1">1/(1+Assumptions!$H$251)*IF(BQ586=0,1,BQ586)</f>
        <v>7.5374111855850759E-2</v>
      </c>
      <c r="BS586" s="86">
        <f ca="1">1/(1+Assumptions!$H$251)*IF(BR586=0,1,BR586)</f>
        <v>7.2343636905864109E-2</v>
      </c>
      <c r="BT586" s="86">
        <f ca="1">1/(1+Assumptions!$H$251)*IF(BS586=0,1,BS586)</f>
        <v>6.943500456465089E-2</v>
      </c>
      <c r="BU586" s="86">
        <f ca="1">1/(1+Assumptions!$H$251)*IF(BT586=0,1,BT586)</f>
        <v>6.6643316055102639E-2</v>
      </c>
      <c r="BV586" s="86">
        <f ca="1">1/(1+Assumptions!$H$251)*IF(BU586=0,1,BU586)</f>
        <v>6.396386955926503E-2</v>
      </c>
      <c r="BW586" s="86">
        <f ca="1">1/(1+Assumptions!$H$251)*IF(BV586=0,1,BV586)</f>
        <v>6.1392152299441428E-2</v>
      </c>
      <c r="BX586" s="86">
        <f ca="1">1/(1+Assumptions!$H$251)*IF(BW586=0,1,BW586)</f>
        <v>5.8923832937681934E-2</v>
      </c>
      <c r="BY586" s="86">
        <f ca="1">1/(1+Assumptions!$H$251)*IF(BX586=0,1,BX586)</f>
        <v>5.6554754280856843E-2</v>
      </c>
    </row>
    <row r="587" spans="5:77" s="22" customFormat="1" ht="15" outlineLevel="1">
      <c r="E587" t="s">
        <v>483</v>
      </c>
      <c r="F587" s="36" t="s">
        <v>470</v>
      </c>
      <c r="H587" s="86">
        <f t="shared" ref="H587" ca="1" si="1089">+H585*H586</f>
        <v>0</v>
      </c>
      <c r="I587" s="86">
        <f t="shared" ref="I587" ca="1" si="1090">+I585*I586</f>
        <v>-238621.62644538569</v>
      </c>
      <c r="J587" s="86">
        <f t="shared" ref="J587" ca="1" si="1091">+J585*J586</f>
        <v>-15071.364358118613</v>
      </c>
      <c r="K587" s="86">
        <f t="shared" ref="K587" ca="1" si="1092">+K585*K586</f>
        <v>-56945.833591764189</v>
      </c>
      <c r="L587" s="86">
        <f t="shared" ref="L587" ca="1" si="1093">+L585*L586</f>
        <v>-54752.873826815048</v>
      </c>
      <c r="M587" s="86">
        <f t="shared" ref="M587" ca="1" si="1094">+M585*M586</f>
        <v>-52646.054334042994</v>
      </c>
      <c r="N587" s="86">
        <f t="shared" ref="N587" ca="1" si="1095">+N585*N586</f>
        <v>-50621.954413801584</v>
      </c>
      <c r="O587" s="86">
        <f t="shared" ref="O587" ca="1" si="1096">+O585*O586</f>
        <v>-48677.290002538764</v>
      </c>
      <c r="P587" s="86">
        <f t="shared" ref="P587" ca="1" si="1097">+P585*P586</f>
        <v>-46808.908198056888</v>
      </c>
      <c r="Q587" s="86">
        <f t="shared" ref="Q587" ca="1" si="1098">+Q585*Q586</f>
        <v>-45013.782004493478</v>
      </c>
      <c r="R587" s="86">
        <f t="shared" ref="R587" ca="1" si="1099">+R585*R586</f>
        <v>-43289.005288197011</v>
      </c>
      <c r="S587" s="86">
        <f t="shared" ref="S587" ca="1" si="1100">+S585*S586</f>
        <v>-41631.787936026638</v>
      </c>
      <c r="T587" s="86">
        <f t="shared" ref="T587" ca="1" si="1101">+T585*T586</f>
        <v>-40039.451207945305</v>
      </c>
      <c r="U587" s="86">
        <f t="shared" ref="U587" ca="1" si="1102">+U585*U586</f>
        <v>-38509.423276102185</v>
      </c>
      <c r="V587" s="86">
        <f t="shared" ref="V587" ca="1" si="1103">+V585*V586</f>
        <v>-37039.234942914234</v>
      </c>
      <c r="W587" s="86">
        <f t="shared" ref="W587" ca="1" si="1104">+W585*W586</f>
        <v>-35626.515530957484</v>
      </c>
      <c r="X587" s="86">
        <f t="shared" ref="X587" ca="1" si="1105">+X585*X586</f>
        <v>-34268.988937767695</v>
      </c>
      <c r="Y587" s="86">
        <f t="shared" ref="Y587" ca="1" si="1106">+Y585*Y586</f>
        <v>-24820.718152876467</v>
      </c>
      <c r="Z587" s="86">
        <f t="shared" ref="Z587" ca="1" si="1107">+Z585*Z586</f>
        <v>-4.403912652635243E-12</v>
      </c>
      <c r="AA587" s="86">
        <f t="shared" ref="AA587" ca="1" si="1108">+AA585*AA586</f>
        <v>-4.226849909909149E-12</v>
      </c>
      <c r="AB587" s="86">
        <f t="shared" ref="AB587" ca="1" si="1109">+AB585*AB586</f>
        <v>-4.0569061128421899E-12</v>
      </c>
      <c r="AC587" s="86">
        <f t="shared" ref="AC587" ca="1" si="1110">+AC585*AC586</f>
        <v>-3.8937950386722112E-12</v>
      </c>
      <c r="AD587" s="86">
        <f t="shared" ref="AD587" ca="1" si="1111">+AD585*AD586</f>
        <v>-3.7372419724464303E-12</v>
      </c>
      <c r="AE587" s="86">
        <f t="shared" ref="AE587" ca="1" si="1112">+AE585*AE586</f>
        <v>-3.5869832443409864E-12</v>
      </c>
      <c r="AF587" s="86">
        <f t="shared" ref="AF587" ca="1" si="1113">+AF585*AF586</f>
        <v>-3.4427657855829179E-12</v>
      </c>
      <c r="AG587" s="86">
        <f t="shared" ref="AG587" ca="1" si="1114">+AG585*AG586</f>
        <v>-3.3043467022266437E-12</v>
      </c>
      <c r="AH587" s="86">
        <f t="shared" ref="AH587" ca="1" si="1115">+AH585*AH586</f>
        <v>-3.1714928660670931E-12</v>
      </c>
      <c r="AI587" s="86">
        <f t="shared" ref="AI587" ca="1" si="1116">+AI585*AI586</f>
        <v>-3.0439805220004925E-12</v>
      </c>
      <c r="AJ587" s="86">
        <f t="shared" ref="AJ587" ca="1" si="1117">+AJ585*AJ586</f>
        <v>-2.9215949111715175E-12</v>
      </c>
      <c r="AK587" s="86">
        <f t="shared" ref="AK587" ca="1" si="1118">+AK585*AK586</f>
        <v>-2.804129909272109E-12</v>
      </c>
      <c r="AL587" s="86">
        <f t="shared" ref="AL587" ca="1" si="1119">+AL585*AL586</f>
        <v>-2.691387679382765E-12</v>
      </c>
      <c r="AM587" s="86">
        <f t="shared" ref="AM587" ca="1" si="1120">+AM585*AM586</f>
        <v>-2.5831783387716215E-12</v>
      </c>
      <c r="AN587" s="86">
        <f t="shared" ref="AN587" ca="1" si="1121">+AN585*AN586</f>
        <v>-2.4793196390901354E-12</v>
      </c>
      <c r="AO587" s="86">
        <f t="shared" ref="AO587" ca="1" si="1122">+AO585*AO586</f>
        <v>-2.3796366594267492E-12</v>
      </c>
      <c r="AP587" s="86">
        <f t="shared" ref="AP587" ca="1" si="1123">+AP585*AP586</f>
        <v>-2.2839615117015703E-12</v>
      </c>
      <c r="AQ587" s="86">
        <f t="shared" ref="AQ587" ca="1" si="1124">+AQ585*AQ586</f>
        <v>-2.1921330579058926E-12</v>
      </c>
      <c r="AR587" s="86">
        <f t="shared" ref="AR587" ca="1" si="1125">+AR585*AR586</f>
        <v>-2.1039966387103175E-12</v>
      </c>
      <c r="AS587" s="86">
        <f t="shared" ref="AS587" ca="1" si="1126">+AS585*AS586</f>
        <v>-2.0194038129844009E-12</v>
      </c>
      <c r="AT587" s="86">
        <f t="shared" ref="AT587" ca="1" si="1127">+AT585*AT586</f>
        <v>-1.9382121077891148E-12</v>
      </c>
      <c r="AU587" s="86">
        <f t="shared" ref="AU587" ca="1" si="1128">+AU585*AU586</f>
        <v>-1.8602847784210568E-12</v>
      </c>
      <c r="AV587" s="86">
        <f t="shared" ref="AV587" ca="1" si="1129">+AV585*AV586</f>
        <v>-1.7854905781042691E-12</v>
      </c>
      <c r="AW587" s="86">
        <f t="shared" ref="AW587" ca="1" si="1130">+AW585*AW586</f>
        <v>-1.713703536941778E-12</v>
      </c>
      <c r="AX587" s="86">
        <f t="shared" ref="AX587" ca="1" si="1131">+AX585*AX586</f>
        <v>-1.6448027497545596E-12</v>
      </c>
      <c r="AY587" s="86">
        <f t="shared" ref="AY587" ca="1" si="1132">+AY585*AY586</f>
        <v>-1.5786721724506037E-12</v>
      </c>
      <c r="AZ587" s="86">
        <f t="shared" ref="AZ587" ca="1" si="1133">+AZ585*AZ586</f>
        <v>-1.5152004265811205E-12</v>
      </c>
      <c r="BA587" s="86">
        <f t="shared" ref="BA587" ca="1" si="1134">+BA585*BA586</f>
        <v>-1.4542806117547156E-12</v>
      </c>
      <c r="BB587" s="86">
        <f t="shared" ref="BB587" ca="1" si="1135">+BB585*BB586</f>
        <v>-1.3958101255935998E-12</v>
      </c>
      <c r="BC587" s="86">
        <f t="shared" ref="BC587" ca="1" si="1136">+BC585*BC586</f>
        <v>-1.3396904909286006E-12</v>
      </c>
      <c r="BD587" s="86">
        <f t="shared" ref="BD587" ca="1" si="1137">+BD585*BD586</f>
        <v>-1.2858271899419333E-12</v>
      </c>
      <c r="BE587" s="86">
        <f t="shared" ref="BE587" ca="1" si="1138">+BE585*BE586</f>
        <v>-1.2341295049783886E-12</v>
      </c>
      <c r="BF587" s="86">
        <f t="shared" ref="BF587" ca="1" si="1139">+BF585*BF586</f>
        <v>-1.1845103657568348E-12</v>
      </c>
      <c r="BG587" s="86">
        <f t="shared" ref="BG587" ca="1" si="1140">+BG585*BG586</f>
        <v>-1.1368862027246972E-12</v>
      </c>
      <c r="BH587" s="86">
        <f t="shared" ref="BH587" ca="1" si="1141">+BH585*BH586</f>
        <v>-1.091176806308437E-12</v>
      </c>
      <c r="BI587" s="86">
        <f t="shared" ref="BI587" ca="1" si="1142">+BI585*BI586</f>
        <v>-1.0473051918229727E-12</v>
      </c>
      <c r="BJ587" s="86">
        <f t="shared" ref="BJ587" ca="1" si="1143">+BJ585*BJ586</f>
        <v>-1.005197469812526E-12</v>
      </c>
      <c r="BK587" s="86">
        <f t="shared" ref="BK587" ca="1" si="1144">+BK585*BK586</f>
        <v>-9.6478272160451286E-13</v>
      </c>
      <c r="BL587" s="86">
        <f t="shared" ref="BL587" ca="1" si="1145">+BL585*BL586</f>
        <v>-9.2599287986688901E-13</v>
      </c>
      <c r="BM587" s="86">
        <f t="shared" ref="BM587" ca="1" si="1146">+BM585*BM586</f>
        <v>-8.8876261396777872E-13</v>
      </c>
      <c r="BN587" s="86">
        <f t="shared" ref="BN587" ca="1" si="1147">+BN585*BN586</f>
        <v>-8.5302921994431148E-13</v>
      </c>
      <c r="BO587" s="86">
        <f t="shared" ref="BO587" ca="1" si="1148">+BO585*BO586</f>
        <v>-8.1873251489534554E-13</v>
      </c>
      <c r="BP587" s="86">
        <f t="shared" ref="BP587" ca="1" si="1149">+BP585*BP586</f>
        <v>-7.8581473562021466E-13</v>
      </c>
      <c r="BQ587" s="86">
        <f t="shared" ref="BQ587" ca="1" si="1150">+BQ585*BQ586</f>
        <v>-7.5422044133278432E-13</v>
      </c>
      <c r="BR587" s="86">
        <f t="shared" ref="BR587" ca="1" si="1151">+BR585*BR586</f>
        <v>-7.238964202869635E-13</v>
      </c>
      <c r="BS587" s="86">
        <f t="shared" ref="BS587" ca="1" si="1152">+BS585*BS586</f>
        <v>-6.9479160015641138E-13</v>
      </c>
      <c r="BT587" s="86">
        <f t="shared" ref="BT587" ca="1" si="1153">+BT585*BT586</f>
        <v>-6.6685696201749845E-13</v>
      </c>
      <c r="BU587" s="86">
        <f t="shared" ref="BU587" ca="1" si="1154">+BU585*BU586</f>
        <v>-6.4004545779064821E-13</v>
      </c>
      <c r="BV587" s="86">
        <f t="shared" ref="BV587" ca="1" si="1155">+BV585*BV586</f>
        <v>-6.1431193100101565E-13</v>
      </c>
      <c r="BW587" s="86">
        <f t="shared" ref="BW587" ca="1" si="1156">+BW585*BW586</f>
        <v>-5.896130407250436E-13</v>
      </c>
      <c r="BX587" s="86">
        <f t="shared" ref="BX587" ca="1" si="1157">+BX585*BX586</f>
        <v>-5.6590718859480712E-13</v>
      </c>
      <c r="BY587" s="86">
        <f t="shared" ref="BY587" ca="1" si="1158">+BY585*BY586</f>
        <v>-5.4315444873720561E-13</v>
      </c>
    </row>
    <row r="588" spans="5:77" s="22" customFormat="1" ht="15" outlineLevel="1">
      <c r="F588" s="36"/>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row>
    <row r="589" spans="5:77" s="22" customFormat="1" ht="15" outlineLevel="1">
      <c r="E589" s="22" t="s">
        <v>73</v>
      </c>
      <c r="F589" s="36"/>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row>
    <row r="590" spans="5:77" s="22" customFormat="1" ht="15" outlineLevel="1">
      <c r="E590" t="str">
        <f>+E1062</f>
        <v>Free cash flow to equity (levered FCF)</v>
      </c>
      <c r="F590" s="36" t="str">
        <f>+F1059</f>
        <v>(=)</v>
      </c>
      <c r="G590"/>
      <c r="H590" s="31">
        <f t="shared" ref="H590:BS590" ca="1" si="1159">+H1062</f>
        <v>0</v>
      </c>
      <c r="I590" s="31">
        <f t="shared" ca="1" si="1159"/>
        <v>-141303715.48800001</v>
      </c>
      <c r="J590" s="31">
        <f t="shared" ca="1" si="1159"/>
        <v>-3398478.2060687821</v>
      </c>
      <c r="K590" s="31">
        <f t="shared" ca="1" si="1159"/>
        <v>-43011088.844519533</v>
      </c>
      <c r="L590" s="31">
        <f t="shared" ca="1" si="1159"/>
        <v>-43442252.747893743</v>
      </c>
      <c r="M590" s="31">
        <f t="shared" ca="1" si="1159"/>
        <v>-43882039.92933543</v>
      </c>
      <c r="N590" s="31">
        <f t="shared" ca="1" si="1159"/>
        <v>-44330622.854405947</v>
      </c>
      <c r="O590" s="31">
        <f t="shared" ca="1" si="1159"/>
        <v>-44788177.437977888</v>
      </c>
      <c r="P590" s="31">
        <f t="shared" ca="1" si="1159"/>
        <v>-45254883.113221265</v>
      </c>
      <c r="Q590" s="31">
        <f t="shared" ca="1" si="1159"/>
        <v>-45730922.901969522</v>
      </c>
      <c r="R590" s="31">
        <f t="shared" ca="1" si="1159"/>
        <v>-46216483.486492708</v>
      </c>
      <c r="S590" s="31">
        <f t="shared" ca="1" si="1159"/>
        <v>-46711755.282706387</v>
      </c>
      <c r="T590" s="31">
        <f t="shared" ca="1" si="1159"/>
        <v>-47216932.514844343</v>
      </c>
      <c r="U590" s="31">
        <f t="shared" ca="1" si="1159"/>
        <v>-47732213.291625038</v>
      </c>
      <c r="V590" s="31">
        <f t="shared" ca="1" si="1159"/>
        <v>-48257799.683941349</v>
      </c>
      <c r="W590" s="31">
        <f t="shared" ca="1" si="1159"/>
        <v>-48793897.804104</v>
      </c>
      <c r="X590" s="31">
        <f t="shared" ca="1" si="1159"/>
        <v>-49340717.886669904</v>
      </c>
      <c r="Y590" s="31">
        <f t="shared" ca="1" si="1159"/>
        <v>-46499996.164818339</v>
      </c>
      <c r="Z590" s="31">
        <f t="shared" ca="1" si="1159"/>
        <v>0</v>
      </c>
      <c r="AA590" s="31">
        <f t="shared" ca="1" si="1159"/>
        <v>0</v>
      </c>
      <c r="AB590" s="31">
        <f t="shared" ca="1" si="1159"/>
        <v>0</v>
      </c>
      <c r="AC590" s="31">
        <f t="shared" ca="1" si="1159"/>
        <v>0</v>
      </c>
      <c r="AD590" s="31">
        <f t="shared" ca="1" si="1159"/>
        <v>0</v>
      </c>
      <c r="AE590" s="31">
        <f t="shared" ca="1" si="1159"/>
        <v>0</v>
      </c>
      <c r="AF590" s="31">
        <f t="shared" ca="1" si="1159"/>
        <v>0</v>
      </c>
      <c r="AG590" s="31">
        <f t="shared" ca="1" si="1159"/>
        <v>0</v>
      </c>
      <c r="AH590" s="31">
        <f t="shared" ca="1" si="1159"/>
        <v>0</v>
      </c>
      <c r="AI590" s="31">
        <f t="shared" ca="1" si="1159"/>
        <v>0</v>
      </c>
      <c r="AJ590" s="31">
        <f t="shared" ca="1" si="1159"/>
        <v>0</v>
      </c>
      <c r="AK590" s="31">
        <f t="shared" ca="1" si="1159"/>
        <v>0</v>
      </c>
      <c r="AL590" s="31">
        <f t="shared" ca="1" si="1159"/>
        <v>0</v>
      </c>
      <c r="AM590" s="31">
        <f t="shared" ca="1" si="1159"/>
        <v>0</v>
      </c>
      <c r="AN590" s="31">
        <f t="shared" ca="1" si="1159"/>
        <v>0</v>
      </c>
      <c r="AO590" s="31">
        <f t="shared" ca="1" si="1159"/>
        <v>0</v>
      </c>
      <c r="AP590" s="31">
        <f t="shared" ca="1" si="1159"/>
        <v>0</v>
      </c>
      <c r="AQ590" s="31">
        <f t="shared" ca="1" si="1159"/>
        <v>0</v>
      </c>
      <c r="AR590" s="31">
        <f t="shared" ca="1" si="1159"/>
        <v>0</v>
      </c>
      <c r="AS590" s="31">
        <f t="shared" ca="1" si="1159"/>
        <v>0</v>
      </c>
      <c r="AT590" s="31">
        <f t="shared" ca="1" si="1159"/>
        <v>0</v>
      </c>
      <c r="AU590" s="31">
        <f t="shared" ca="1" si="1159"/>
        <v>0</v>
      </c>
      <c r="AV590" s="31">
        <f t="shared" ca="1" si="1159"/>
        <v>0</v>
      </c>
      <c r="AW590" s="31">
        <f t="shared" ca="1" si="1159"/>
        <v>0</v>
      </c>
      <c r="AX590" s="31">
        <f t="shared" ca="1" si="1159"/>
        <v>0</v>
      </c>
      <c r="AY590" s="31">
        <f t="shared" ca="1" si="1159"/>
        <v>0</v>
      </c>
      <c r="AZ590" s="31">
        <f t="shared" ca="1" si="1159"/>
        <v>0</v>
      </c>
      <c r="BA590" s="31">
        <f t="shared" ca="1" si="1159"/>
        <v>0</v>
      </c>
      <c r="BB590" s="31">
        <f t="shared" ca="1" si="1159"/>
        <v>0</v>
      </c>
      <c r="BC590" s="31">
        <f t="shared" ca="1" si="1159"/>
        <v>0</v>
      </c>
      <c r="BD590" s="31">
        <f t="shared" ca="1" si="1159"/>
        <v>0</v>
      </c>
      <c r="BE590" s="31">
        <f t="shared" ca="1" si="1159"/>
        <v>0</v>
      </c>
      <c r="BF590" s="31">
        <f t="shared" ca="1" si="1159"/>
        <v>0</v>
      </c>
      <c r="BG590" s="31">
        <f t="shared" ca="1" si="1159"/>
        <v>0</v>
      </c>
      <c r="BH590" s="31">
        <f t="shared" ca="1" si="1159"/>
        <v>0</v>
      </c>
      <c r="BI590" s="31">
        <f t="shared" ca="1" si="1159"/>
        <v>0</v>
      </c>
      <c r="BJ590" s="31">
        <f t="shared" ca="1" si="1159"/>
        <v>0</v>
      </c>
      <c r="BK590" s="31">
        <f t="shared" ca="1" si="1159"/>
        <v>0</v>
      </c>
      <c r="BL590" s="31">
        <f t="shared" ca="1" si="1159"/>
        <v>0</v>
      </c>
      <c r="BM590" s="31">
        <f t="shared" ca="1" si="1159"/>
        <v>0</v>
      </c>
      <c r="BN590" s="31">
        <f t="shared" ca="1" si="1159"/>
        <v>0</v>
      </c>
      <c r="BO590" s="31">
        <f t="shared" ca="1" si="1159"/>
        <v>0</v>
      </c>
      <c r="BP590" s="31">
        <f t="shared" ca="1" si="1159"/>
        <v>0</v>
      </c>
      <c r="BQ590" s="31">
        <f t="shared" ca="1" si="1159"/>
        <v>0</v>
      </c>
      <c r="BR590" s="31">
        <f t="shared" ca="1" si="1159"/>
        <v>0</v>
      </c>
      <c r="BS590" s="31">
        <f t="shared" ca="1" si="1159"/>
        <v>0</v>
      </c>
      <c r="BT590" s="31">
        <f t="shared" ref="BT590:BY590" ca="1" si="1160">+BT1062</f>
        <v>0</v>
      </c>
      <c r="BU590" s="31">
        <f t="shared" ca="1" si="1160"/>
        <v>0</v>
      </c>
      <c r="BV590" s="31">
        <f t="shared" ca="1" si="1160"/>
        <v>0</v>
      </c>
      <c r="BW590" s="31">
        <f t="shared" ca="1" si="1160"/>
        <v>0</v>
      </c>
      <c r="BX590" s="31">
        <f t="shared" ca="1" si="1160"/>
        <v>0</v>
      </c>
      <c r="BY590" s="31">
        <f t="shared" ca="1" si="1160"/>
        <v>0</v>
      </c>
    </row>
    <row r="591" spans="5:77" s="22" customFormat="1" ht="15" outlineLevel="1">
      <c r="E591" t="s">
        <v>243</v>
      </c>
      <c r="F591" s="36"/>
      <c r="H591" s="86">
        <f ca="1">1/(1+Assumptions!$H$356)*IF(G591=0,1,G591)</f>
        <v>0.95979422011920645</v>
      </c>
      <c r="I591" s="86">
        <f ca="1">1/(1+Assumptions!$H$356)*IF(H591=0,1,H591)</f>
        <v>0.92120494497423577</v>
      </c>
      <c r="J591" s="86">
        <f ca="1">1/(1+Assumptions!$H$356)*IF(I591=0,1,I591)</f>
        <v>0.8841671817315031</v>
      </c>
      <c r="K591" s="86">
        <f ca="1">1/(1+Assumptions!$H$356)*IF(J591=0,1,J591)</f>
        <v>0.8486185506449847</v>
      </c>
      <c r="L591" s="86">
        <f ca="1">1/(1+Assumptions!$H$356)*IF(K591=0,1,K591)</f>
        <v>0.81449917999499444</v>
      </c>
      <c r="M591" s="86">
        <f ca="1">1/(1+Assumptions!$H$356)*IF(L591=0,1,L591)</f>
        <v>0.78175160525102882</v>
      </c>
      <c r="N591" s="86">
        <f ca="1">1/(1+Assumptions!$H$356)*IF(M591=0,1,M591)</f>
        <v>0.75032067228884891</v>
      </c>
      <c r="O591" s="86">
        <f ca="1">1/(1+Assumptions!$H$356)*IF(N591=0,1,N591)</f>
        <v>0.72015344449879437</v>
      </c>
      <c r="P591" s="86">
        <f ca="1">1/(1+Assumptions!$H$356)*IF(O591=0,1,O591)</f>
        <v>0.69119911362888053</v>
      </c>
      <c r="Q591" s="86">
        <f ca="1">1/(1+Assumptions!$H$356)*IF(P591=0,1,P591)</f>
        <v>0.66340891421251813</v>
      </c>
      <c r="R591" s="86">
        <f ca="1">1/(1+Assumptions!$H$356)*IF(Q591=0,1,Q591)</f>
        <v>0.63673604143673335</v>
      </c>
      <c r="S591" s="86">
        <f ca="1">1/(1+Assumptions!$H$356)*IF(R591=0,1,R591)</f>
        <v>0.61113557231256022</v>
      </c>
      <c r="T591" s="86">
        <f ca="1">1/(1+Assumptions!$H$356)*IF(S591=0,1,S591)</f>
        <v>0.58656439001483862</v>
      </c>
      <c r="U591" s="86">
        <f ca="1">1/(1+Assumptions!$H$356)*IF(T591=0,1,T591)</f>
        <v>0.56298111126399009</v>
      </c>
      <c r="V591" s="86">
        <f ca="1">1/(1+Assumptions!$H$356)*IF(U591=0,1,U591)</f>
        <v>0.54034601662746551</v>
      </c>
      <c r="W591" s="86">
        <f ca="1">1/(1+Assumptions!$H$356)*IF(V591=0,1,V591)</f>
        <v>0.51862098362347797</v>
      </c>
      <c r="X591" s="86">
        <f ca="1">1/(1+Assumptions!$H$356)*IF(W591=0,1,W591)</f>
        <v>0.4977694225143518</v>
      </c>
      <c r="Y591" s="86">
        <f ca="1">1/(1+Assumptions!$H$356)*IF(X591=0,1,X591)</f>
        <v>0.47775621468135004</v>
      </c>
      <c r="Z591" s="86">
        <f ca="1">1/(1+Assumptions!$H$356)*IF(Y591=0,1,Y591)</f>
        <v>0.45854765347719056</v>
      </c>
      <c r="AA591" s="86">
        <f ca="1">1/(1+Assumptions!$H$356)*IF(Z591=0,1,Z591)</f>
        <v>0.44011138745663225</v>
      </c>
      <c r="AB591" s="86">
        <f ca="1">1/(1+Assumptions!$H$356)*IF(AA591=0,1,AA591)</f>
        <v>0.42241636588952025</v>
      </c>
      <c r="AC591" s="86">
        <f ca="1">1/(1+Assumptions!$H$356)*IF(AB591=0,1,AB591)</f>
        <v>0.40543278646452147</v>
      </c>
      <c r="AD591" s="86">
        <f ca="1">1/(1+Assumptions!$H$356)*IF(AC591=0,1,AC591)</f>
        <v>0.38913204509547217</v>
      </c>
      <c r="AE591" s="86">
        <f ca="1">1/(1+Assumptions!$H$356)*IF(AD591=0,1,AD591)</f>
        <v>0.37348668774580057</v>
      </c>
      <c r="AF591" s="86">
        <f ca="1">1/(1+Assumptions!$H$356)*IF(AE591=0,1,AE591)</f>
        <v>0.35847036418988626</v>
      </c>
      <c r="AG591" s="86">
        <f ca="1">1/(1+Assumptions!$H$356)*IF(AF591=0,1,AF591)</f>
        <v>0.34405778363347977</v>
      </c>
      <c r="AH591" s="86">
        <f ca="1">1/(1+Assumptions!$H$356)*IF(AG591=0,1,AG591)</f>
        <v>0.33022467211843837</v>
      </c>
      <c r="AI591" s="86">
        <f ca="1">1/(1+Assumptions!$H$356)*IF(AH591=0,1,AH591)</f>
        <v>0.3169477316400372</v>
      </c>
      <c r="AJ591" s="86">
        <f ca="1">1/(1+Assumptions!$H$356)*IF(AI591=0,1,AI591)</f>
        <v>0.30420460090800105</v>
      </c>
      <c r="AK591" s="86">
        <f ca="1">1/(1+Assumptions!$H$356)*IF(AJ591=0,1,AJ591)</f>
        <v>0.29197381768516933</v>
      </c>
      <c r="AL591" s="86">
        <f ca="1">1/(1+Assumptions!$H$356)*IF(AK591=0,1,AK591)</f>
        <v>0.28023478264036444</v>
      </c>
      <c r="AM591" s="86">
        <f ca="1">1/(1+Assumptions!$H$356)*IF(AL591=0,1,AL591)</f>
        <v>0.26896772465458391</v>
      </c>
      <c r="AN591" s="86">
        <f ca="1">1/(1+Assumptions!$H$356)*IF(AM591=0,1,AM591)</f>
        <v>0.2581536675220838</v>
      </c>
      <c r="AO591" s="86">
        <f ca="1">1/(1+Assumptions!$H$356)*IF(AN591=0,1,AN591)</f>
        <v>0.24777439799027134</v>
      </c>
      <c r="AP591" s="86">
        <f ca="1">1/(1+Assumptions!$H$356)*IF(AO591=0,1,AO591)</f>
        <v>0.23781243508457836</v>
      </c>
      <c r="AQ591" s="86">
        <f ca="1">1/(1+Assumptions!$H$356)*IF(AP591=0,1,AP591)</f>
        <v>0.2282510006666523</v>
      </c>
      <c r="AR591" s="86">
        <f ca="1">1/(1+Assumptions!$H$356)*IF(AQ591=0,1,AQ591)</f>
        <v>0.21907399117627802</v>
      </c>
      <c r="AS591" s="86">
        <f ca="1">1/(1+Assumptions!$H$356)*IF(AR591=0,1,AR591)</f>
        <v>0.21026595050943767</v>
      </c>
      <c r="AT591" s="86">
        <f ca="1">1/(1+Assumptions!$H$356)*IF(AS591=0,1,AS591)</f>
        <v>0.20181204398682939</v>
      </c>
      <c r="AU591" s="86">
        <f ca="1">1/(1+Assumptions!$H$356)*IF(AT591=0,1,AT591)</f>
        <v>0.1936980333690019</v>
      </c>
      <c r="AV591" s="86">
        <f ca="1">1/(1+Assumptions!$H$356)*IF(AU591=0,1,AU591)</f>
        <v>0.18591025287602522</v>
      </c>
      <c r="AW591" s="86">
        <f ca="1">1/(1+Assumptions!$H$356)*IF(AV591=0,1,AV591)</f>
        <v>0.17843558617130909</v>
      </c>
      <c r="AX591" s="86">
        <f ca="1">1/(1+Assumptions!$H$356)*IF(AW591=0,1,AW591)</f>
        <v>0.17126144427080506</v>
      </c>
      <c r="AY591" s="86">
        <f ca="1">1/(1+Assumptions!$H$356)*IF(AX591=0,1,AX591)</f>
        <v>0.16437574434038627</v>
      </c>
      <c r="AZ591" s="86">
        <f ca="1">1/(1+Assumptions!$H$356)*IF(AY591=0,1,AY591)</f>
        <v>0.1577668893456951</v>
      </c>
      <c r="BA591" s="86">
        <f ca="1">1/(1+Assumptions!$H$356)*IF(AZ591=0,1,AZ591)</f>
        <v>0.15142374852018459</v>
      </c>
      <c r="BB591" s="86">
        <f ca="1">1/(1+Assumptions!$H$356)*IF(BA591=0,1,BA591)</f>
        <v>0.14533563861845741</v>
      </c>
      <c r="BC591" s="86">
        <f ca="1">1/(1+Assumptions!$H$356)*IF(BB591=0,1,BB591)</f>
        <v>0.13949230592332915</v>
      </c>
      <c r="BD591" s="86">
        <f ca="1">1/(1+Assumptions!$H$356)*IF(BC591=0,1,BC591)</f>
        <v>0.13388390897631147</v>
      </c>
      <c r="BE591" s="86">
        <f ca="1">1/(1+Assumptions!$H$356)*IF(BD591=0,1,BD591)</f>
        <v>0.1285010020024297</v>
      </c>
      <c r="BF591" s="86">
        <f ca="1">1/(1+Assumptions!$H$356)*IF(BE591=0,1,BE591)</f>
        <v>0.1233345190014586</v>
      </c>
      <c r="BG591" s="86">
        <f ca="1">1/(1+Assumptions!$H$356)*IF(BF591=0,1,BF591)</f>
        <v>0.11837575847878241</v>
      </c>
      <c r="BH591" s="86">
        <f ca="1">1/(1+Assumptions!$H$356)*IF(BG591=0,1,BG591)</f>
        <v>0.11361636879016251</v>
      </c>
      <c r="BI591" s="86">
        <f ca="1">1/(1+Assumptions!$H$356)*IF(BH591=0,1,BH591)</f>
        <v>0.10904833407573018</v>
      </c>
      <c r="BJ591" s="86">
        <f ca="1">1/(1+Assumptions!$H$356)*IF(BI591=0,1,BI591)</f>
        <v>0.10466396075951413</v>
      </c>
      <c r="BK591" s="86">
        <f ca="1">1/(1+Assumptions!$H$356)*IF(BJ591=0,1,BJ591)</f>
        <v>0.10045586459176509</v>
      </c>
      <c r="BL591" s="86">
        <f ca="1">1/(1+Assumptions!$H$356)*IF(BK591=0,1,BK591)</f>
        <v>9.6416958212253781E-2</v>
      </c>
      <c r="BM591" s="86">
        <f ca="1">1/(1+Assumptions!$H$356)*IF(BL591=0,1,BL591)</f>
        <v>9.254043921359624E-2</v>
      </c>
      <c r="BN591" s="86">
        <f ca="1">1/(1+Assumptions!$H$356)*IF(BM591=0,1,BM591)</f>
        <v>8.8819778684502429E-2</v>
      </c>
      <c r="BO591" s="86">
        <f ca="1">1/(1+Assumptions!$H$356)*IF(BN591=0,1,BN591)</f>
        <v>8.5248710213652532E-2</v>
      </c>
      <c r="BP591" s="86">
        <f ca="1">1/(1+Assumptions!$H$356)*IF(BO591=0,1,BO591)</f>
        <v>8.1821219335680859E-2</v>
      </c>
      <c r="BQ591" s="86">
        <f ca="1">1/(1+Assumptions!$H$356)*IF(BP591=0,1,BP591)</f>
        <v>7.853153340149234E-2</v>
      </c>
      <c r="BR591" s="86">
        <f ca="1">1/(1+Assumptions!$H$356)*IF(BQ591=0,1,BQ591)</f>
        <v>7.5374111855850759E-2</v>
      </c>
      <c r="BS591" s="86">
        <f ca="1">1/(1+Assumptions!$H$356)*IF(BR591=0,1,BR591)</f>
        <v>7.2343636905864109E-2</v>
      </c>
      <c r="BT591" s="86">
        <f ca="1">1/(1+Assumptions!$H$356)*IF(BS591=0,1,BS591)</f>
        <v>6.943500456465089E-2</v>
      </c>
      <c r="BU591" s="86">
        <f ca="1">1/(1+Assumptions!$H$356)*IF(BT591=0,1,BT591)</f>
        <v>6.6643316055102639E-2</v>
      </c>
      <c r="BV591" s="86">
        <f ca="1">1/(1+Assumptions!$H$356)*IF(BU591=0,1,BU591)</f>
        <v>6.396386955926503E-2</v>
      </c>
      <c r="BW591" s="86">
        <f ca="1">1/(1+Assumptions!$H$356)*IF(BV591=0,1,BV591)</f>
        <v>6.1392152299441428E-2</v>
      </c>
      <c r="BX591" s="86">
        <f ca="1">1/(1+Assumptions!$H$356)*IF(BW591=0,1,BW591)</f>
        <v>5.8923832937681934E-2</v>
      </c>
      <c r="BY591" s="86">
        <f ca="1">1/(1+Assumptions!$H$356)*IF(BX591=0,1,BX591)</f>
        <v>5.6554754280856843E-2</v>
      </c>
    </row>
    <row r="592" spans="5:77" s="22" customFormat="1" ht="15" outlineLevel="1">
      <c r="E592" t="s">
        <v>483</v>
      </c>
      <c r="F592" s="36" t="s">
        <v>470</v>
      </c>
      <c r="H592" s="86">
        <f ca="1">+H590*H591</f>
        <v>0</v>
      </c>
      <c r="I592" s="86">
        <f t="shared" ref="I592" ca="1" si="1161">+I590*I591</f>
        <v>-130169681.45077811</v>
      </c>
      <c r="J592" s="86">
        <f t="shared" ref="J592" ca="1" si="1162">+J590*J591</f>
        <v>-3004822.8976357696</v>
      </c>
      <c r="K592" s="86">
        <f t="shared" ref="K592" ca="1" si="1163">+K590*K591</f>
        <v>-36500007.876898833</v>
      </c>
      <c r="L592" s="86">
        <f t="shared" ref="L592" ca="1" si="1164">+L590*L591</f>
        <v>-35383679.240294747</v>
      </c>
      <c r="M592" s="86">
        <f t="shared" ref="M592" ca="1" si="1165">+M590*M591</f>
        <v>-34304855.156447716</v>
      </c>
      <c r="N592" s="86">
        <f t="shared" ref="N592" ca="1" si="1166">+N590*N591</f>
        <v>-33262182.74310128</v>
      </c>
      <c r="O592" s="86">
        <f t="shared" ref="O592" ca="1" si="1167">+O590*O591</f>
        <v>-32254360.254782964</v>
      </c>
      <c r="P592" s="86">
        <f t="shared" ref="P592" ca="1" si="1168">+P590*P591</f>
        <v>-31280135.095237132</v>
      </c>
      <c r="Q592" s="86">
        <f t="shared" ref="Q592" ca="1" si="1169">+Q590*Q591</f>
        <v>-30338301.908331979</v>
      </c>
      <c r="R592" s="86">
        <f t="shared" ref="R592" ca="1" si="1170">+R590*R591</f>
        <v>-29427700.744315524</v>
      </c>
      <c r="S592" s="86">
        <f t="shared" ref="S592" ca="1" si="1171">+S590*S591</f>
        <v>-28547215.298421025</v>
      </c>
      <c r="T592" s="86">
        <f t="shared" ref="T592" ca="1" si="1172">+T590*T591</f>
        <v>-27695771.218941472</v>
      </c>
      <c r="U592" s="86">
        <f t="shared" ref="U592" ca="1" si="1173">+U590*U591</f>
        <v>-26872334.482008863</v>
      </c>
      <c r="V592" s="86">
        <f t="shared" ref="V592" ca="1" si="1174">+V590*V591</f>
        <v>-26075909.830423873</v>
      </c>
      <c r="W592" s="86">
        <f t="shared" ref="W592" ca="1" si="1175">+W590*W591</f>
        <v>-25305539.273987878</v>
      </c>
      <c r="X592" s="86">
        <f t="shared" ref="X592" ca="1" si="1176">+X590*X591</f>
        <v>-24560300.648891225</v>
      </c>
      <c r="Y592" s="86">
        <f t="shared" ref="Y592" ca="1" si="1177">+Y590*Y591</f>
        <v>-22215662.150400903</v>
      </c>
      <c r="Z592" s="86">
        <f t="shared" ref="Z592" ca="1" si="1178">+Z590*Z591</f>
        <v>0</v>
      </c>
      <c r="AA592" s="86">
        <f t="shared" ref="AA592" ca="1" si="1179">+AA590*AA591</f>
        <v>0</v>
      </c>
      <c r="AB592" s="86">
        <f t="shared" ref="AB592" ca="1" si="1180">+AB590*AB591</f>
        <v>0</v>
      </c>
      <c r="AC592" s="86">
        <f t="shared" ref="AC592" ca="1" si="1181">+AC590*AC591</f>
        <v>0</v>
      </c>
      <c r="AD592" s="86">
        <f t="shared" ref="AD592" ca="1" si="1182">+AD590*AD591</f>
        <v>0</v>
      </c>
      <c r="AE592" s="86">
        <f t="shared" ref="AE592" ca="1" si="1183">+AE590*AE591</f>
        <v>0</v>
      </c>
      <c r="AF592" s="86">
        <f t="shared" ref="AF592" ca="1" si="1184">+AF590*AF591</f>
        <v>0</v>
      </c>
      <c r="AG592" s="86">
        <f t="shared" ref="AG592" ca="1" si="1185">+AG590*AG591</f>
        <v>0</v>
      </c>
      <c r="AH592" s="86">
        <f t="shared" ref="AH592" ca="1" si="1186">+AH590*AH591</f>
        <v>0</v>
      </c>
      <c r="AI592" s="86">
        <f t="shared" ref="AI592" ca="1" si="1187">+AI590*AI591</f>
        <v>0</v>
      </c>
      <c r="AJ592" s="86">
        <f t="shared" ref="AJ592" ca="1" si="1188">+AJ590*AJ591</f>
        <v>0</v>
      </c>
      <c r="AK592" s="86">
        <f t="shared" ref="AK592" ca="1" si="1189">+AK590*AK591</f>
        <v>0</v>
      </c>
      <c r="AL592" s="86">
        <f t="shared" ref="AL592" ca="1" si="1190">+AL590*AL591</f>
        <v>0</v>
      </c>
      <c r="AM592" s="86">
        <f t="shared" ref="AM592" ca="1" si="1191">+AM590*AM591</f>
        <v>0</v>
      </c>
      <c r="AN592" s="86">
        <f t="shared" ref="AN592" ca="1" si="1192">+AN590*AN591</f>
        <v>0</v>
      </c>
      <c r="AO592" s="86">
        <f t="shared" ref="AO592" ca="1" si="1193">+AO590*AO591</f>
        <v>0</v>
      </c>
      <c r="AP592" s="86">
        <f t="shared" ref="AP592" ca="1" si="1194">+AP590*AP591</f>
        <v>0</v>
      </c>
      <c r="AQ592" s="86">
        <f t="shared" ref="AQ592" ca="1" si="1195">+AQ590*AQ591</f>
        <v>0</v>
      </c>
      <c r="AR592" s="86">
        <f t="shared" ref="AR592" ca="1" si="1196">+AR590*AR591</f>
        <v>0</v>
      </c>
      <c r="AS592" s="86">
        <f t="shared" ref="AS592" ca="1" si="1197">+AS590*AS591</f>
        <v>0</v>
      </c>
      <c r="AT592" s="86">
        <f t="shared" ref="AT592" ca="1" si="1198">+AT590*AT591</f>
        <v>0</v>
      </c>
      <c r="AU592" s="86">
        <f t="shared" ref="AU592" ca="1" si="1199">+AU590*AU591</f>
        <v>0</v>
      </c>
      <c r="AV592" s="86">
        <f t="shared" ref="AV592" ca="1" si="1200">+AV590*AV591</f>
        <v>0</v>
      </c>
      <c r="AW592" s="86">
        <f t="shared" ref="AW592" ca="1" si="1201">+AW590*AW591</f>
        <v>0</v>
      </c>
      <c r="AX592" s="86">
        <f t="shared" ref="AX592" ca="1" si="1202">+AX590*AX591</f>
        <v>0</v>
      </c>
      <c r="AY592" s="86">
        <f t="shared" ref="AY592" ca="1" si="1203">+AY590*AY591</f>
        <v>0</v>
      </c>
      <c r="AZ592" s="86">
        <f t="shared" ref="AZ592" ca="1" si="1204">+AZ590*AZ591</f>
        <v>0</v>
      </c>
      <c r="BA592" s="86">
        <f t="shared" ref="BA592" ca="1" si="1205">+BA590*BA591</f>
        <v>0</v>
      </c>
      <c r="BB592" s="86">
        <f t="shared" ref="BB592" ca="1" si="1206">+BB590*BB591</f>
        <v>0</v>
      </c>
      <c r="BC592" s="86">
        <f t="shared" ref="BC592" ca="1" si="1207">+BC590*BC591</f>
        <v>0</v>
      </c>
      <c r="BD592" s="86">
        <f t="shared" ref="BD592" ca="1" si="1208">+BD590*BD591</f>
        <v>0</v>
      </c>
      <c r="BE592" s="86">
        <f t="shared" ref="BE592" ca="1" si="1209">+BE590*BE591</f>
        <v>0</v>
      </c>
      <c r="BF592" s="86">
        <f t="shared" ref="BF592" ca="1" si="1210">+BF590*BF591</f>
        <v>0</v>
      </c>
      <c r="BG592" s="86">
        <f t="shared" ref="BG592" ca="1" si="1211">+BG590*BG591</f>
        <v>0</v>
      </c>
      <c r="BH592" s="86">
        <f t="shared" ref="BH592" ca="1" si="1212">+BH590*BH591</f>
        <v>0</v>
      </c>
      <c r="BI592" s="86">
        <f t="shared" ref="BI592" ca="1" si="1213">+BI590*BI591</f>
        <v>0</v>
      </c>
      <c r="BJ592" s="86">
        <f t="shared" ref="BJ592" ca="1" si="1214">+BJ590*BJ591</f>
        <v>0</v>
      </c>
      <c r="BK592" s="86">
        <f t="shared" ref="BK592" ca="1" si="1215">+BK590*BK591</f>
        <v>0</v>
      </c>
      <c r="BL592" s="86">
        <f t="shared" ref="BL592" ca="1" si="1216">+BL590*BL591</f>
        <v>0</v>
      </c>
      <c r="BM592" s="86">
        <f t="shared" ref="BM592" ca="1" si="1217">+BM590*BM591</f>
        <v>0</v>
      </c>
      <c r="BN592" s="86">
        <f t="shared" ref="BN592" ca="1" si="1218">+BN590*BN591</f>
        <v>0</v>
      </c>
      <c r="BO592" s="86">
        <f t="shared" ref="BO592" ca="1" si="1219">+BO590*BO591</f>
        <v>0</v>
      </c>
      <c r="BP592" s="86">
        <f t="shared" ref="BP592" ca="1" si="1220">+BP590*BP591</f>
        <v>0</v>
      </c>
      <c r="BQ592" s="86">
        <f t="shared" ref="BQ592" ca="1" si="1221">+BQ590*BQ591</f>
        <v>0</v>
      </c>
      <c r="BR592" s="86">
        <f t="shared" ref="BR592" ca="1" si="1222">+BR590*BR591</f>
        <v>0</v>
      </c>
      <c r="BS592" s="86">
        <f t="shared" ref="BS592" ca="1" si="1223">+BS590*BS591</f>
        <v>0</v>
      </c>
      <c r="BT592" s="86">
        <f t="shared" ref="BT592" ca="1" si="1224">+BT590*BT591</f>
        <v>0</v>
      </c>
      <c r="BU592" s="86">
        <f t="shared" ref="BU592" ca="1" si="1225">+BU590*BU591</f>
        <v>0</v>
      </c>
      <c r="BV592" s="86">
        <f t="shared" ref="BV592" ca="1" si="1226">+BV590*BV591</f>
        <v>0</v>
      </c>
      <c r="BW592" s="86">
        <f t="shared" ref="BW592" ca="1" si="1227">+BW590*BW591</f>
        <v>0</v>
      </c>
      <c r="BX592" s="86">
        <f t="shared" ref="BX592" ca="1" si="1228">+BX590*BX591</f>
        <v>0</v>
      </c>
      <c r="BY592" s="86">
        <f t="shared" ref="BY592" ca="1" si="1229">+BY590*BY591</f>
        <v>0</v>
      </c>
    </row>
    <row r="593" spans="1:77" s="22" customFormat="1" ht="15" outlineLevel="1"/>
    <row r="596" spans="1:77" s="66" customFormat="1" ht="15">
      <c r="A596" s="66" t="str">
        <f>+Assumptions!B20</f>
        <v>1.0 Fuel production</v>
      </c>
    </row>
    <row r="597" spans="1:77" s="19" customFormat="1" outlineLevel="1">
      <c r="A597"/>
      <c r="B597" s="18" t="s">
        <v>486</v>
      </c>
    </row>
    <row r="598" spans="1:77" outlineLevel="1">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row>
    <row r="599" spans="1:77" outlineLevel="1">
      <c r="E599" t="s">
        <v>487</v>
      </c>
      <c r="F599" s="23" t="s">
        <v>423</v>
      </c>
      <c r="H599" s="31">
        <f>IFERROR(+(1+Assumptions!$G$10)^(YEARFRAC(Assumptions!$G$11,H$4)),"")</f>
        <v>1.02</v>
      </c>
      <c r="I599" s="31">
        <f>IFERROR(+(1+Assumptions!$G$10)^(YEARFRAC(Assumptions!$G$11,I$4)),"")</f>
        <v>1.0404</v>
      </c>
      <c r="J599" s="31">
        <f>IFERROR(+(1+Assumptions!$G$10)^(YEARFRAC(Assumptions!$G$11,J$4)),"")</f>
        <v>1.0612079999999999</v>
      </c>
      <c r="K599" s="31">
        <f>IFERROR(+(1+Assumptions!$G$10)^(YEARFRAC(Assumptions!$G$11,K$4)),"")</f>
        <v>1.08243216</v>
      </c>
      <c r="L599" s="31">
        <f>IFERROR(+(1+Assumptions!$G$10)^(YEARFRAC(Assumptions!$G$11,L$4)),"")</f>
        <v>1.1040808032</v>
      </c>
      <c r="M599" s="31">
        <f>IFERROR(+(1+Assumptions!$G$10)^(YEARFRAC(Assumptions!$G$11,M$4)),"")</f>
        <v>1.1261624192640001</v>
      </c>
      <c r="N599" s="31">
        <f>IFERROR(+(1+Assumptions!$G$10)^(YEARFRAC(Assumptions!$G$11,N$4)),"")</f>
        <v>1.1486856676492798</v>
      </c>
      <c r="O599" s="31">
        <f>IFERROR(+(1+Assumptions!$G$10)^(YEARFRAC(Assumptions!$G$11,O$4)),"")</f>
        <v>1.1716593810022655</v>
      </c>
      <c r="P599" s="31">
        <f>IFERROR(+(1+Assumptions!$G$10)^(YEARFRAC(Assumptions!$G$11,P$4)),"")</f>
        <v>1.1950925686223108</v>
      </c>
      <c r="Q599" s="31">
        <f>IFERROR(+(1+Assumptions!$G$10)^(YEARFRAC(Assumptions!$G$11,Q$4)),"")</f>
        <v>1.2189944199947571</v>
      </c>
      <c r="R599" s="31">
        <f>IFERROR(+(1+Assumptions!$G$10)^(YEARFRAC(Assumptions!$G$11,R$4)),"")</f>
        <v>1.243374308394652</v>
      </c>
      <c r="S599" s="31">
        <f>IFERROR(+(1+Assumptions!$G$10)^(YEARFRAC(Assumptions!$G$11,S$4)),"")</f>
        <v>1.2682417945625453</v>
      </c>
      <c r="T599" s="31">
        <f>IFERROR(+(1+Assumptions!$G$10)^(YEARFRAC(Assumptions!$G$11,T$4)),"")</f>
        <v>1.2936066304537961</v>
      </c>
      <c r="U599" s="31">
        <f>IFERROR(+(1+Assumptions!$G$10)^(YEARFRAC(Assumptions!$G$11,U$4)),"")</f>
        <v>1.3194787630628722</v>
      </c>
      <c r="V599" s="31">
        <f>IFERROR(+(1+Assumptions!$G$10)^(YEARFRAC(Assumptions!$G$11,V$4)),"")</f>
        <v>1.3458683383241292</v>
      </c>
      <c r="W599" s="31">
        <f>IFERROR(+(1+Assumptions!$G$10)^(YEARFRAC(Assumptions!$G$11,W$4)),"")</f>
        <v>1.372785705090612</v>
      </c>
      <c r="X599" s="31">
        <f>IFERROR(+(1+Assumptions!$G$10)^(YEARFRAC(Assumptions!$G$11,X$4)),"")</f>
        <v>1.4002414191924244</v>
      </c>
      <c r="Y599" s="31">
        <f>IFERROR(+(1+Assumptions!$G$10)^(YEARFRAC(Assumptions!$G$11,Y$4)),"")</f>
        <v>1.4282462475762727</v>
      </c>
      <c r="Z599" s="31">
        <f>IFERROR(+(1+Assumptions!$G$10)^(YEARFRAC(Assumptions!$G$11,Z$4)),"")</f>
        <v>1.4568111725277981</v>
      </c>
      <c r="AA599" s="31" t="str">
        <f>IFERROR(+(1+Assumptions!$G$10)^(YEARFRAC(Assumptions!$G$11,AA$4)),"")</f>
        <v/>
      </c>
      <c r="AB599" s="31" t="str">
        <f>IFERROR(+(1+Assumptions!$G$10)^(YEARFRAC(Assumptions!$G$11,AB$4)),"")</f>
        <v/>
      </c>
      <c r="AC599" s="31" t="str">
        <f>IFERROR(+(1+Assumptions!$G$10)^(YEARFRAC(Assumptions!$G$11,AC$4)),"")</f>
        <v/>
      </c>
      <c r="AD599" s="31" t="str">
        <f>IFERROR(+(1+Assumptions!$G$10)^(YEARFRAC(Assumptions!$G$11,AD$4)),"")</f>
        <v/>
      </c>
      <c r="AE599" s="31" t="str">
        <f>IFERROR(+(1+Assumptions!$G$10)^(YEARFRAC(Assumptions!$G$11,AE$4)),"")</f>
        <v/>
      </c>
      <c r="AF599" s="31" t="str">
        <f>IFERROR(+(1+Assumptions!$G$10)^(YEARFRAC(Assumptions!$G$11,AF$4)),"")</f>
        <v/>
      </c>
      <c r="AG599" s="31" t="str">
        <f>IFERROR(+(1+Assumptions!$G$10)^(YEARFRAC(Assumptions!$G$11,AG$4)),"")</f>
        <v/>
      </c>
      <c r="AH599" s="31" t="str">
        <f>IFERROR(+(1+Assumptions!$G$10)^(YEARFRAC(Assumptions!$G$11,AH$4)),"")</f>
        <v/>
      </c>
      <c r="AI599" s="31" t="str">
        <f>IFERROR(+(1+Assumptions!$G$10)^(YEARFRAC(Assumptions!$G$11,AI$4)),"")</f>
        <v/>
      </c>
      <c r="AJ599" s="31" t="str">
        <f>IFERROR(+(1+Assumptions!$G$10)^(YEARFRAC(Assumptions!$G$11,AJ$4)),"")</f>
        <v/>
      </c>
      <c r="AK599" s="31" t="str">
        <f>IFERROR(+(1+Assumptions!$G$10)^(YEARFRAC(Assumptions!$G$11,AK$4)),"")</f>
        <v/>
      </c>
      <c r="AL599" s="31" t="str">
        <f>IFERROR(+(1+Assumptions!$G$10)^(YEARFRAC(Assumptions!$G$11,AL$4)),"")</f>
        <v/>
      </c>
      <c r="AM599" s="31" t="str">
        <f>IFERROR(+(1+Assumptions!$G$10)^(YEARFRAC(Assumptions!$G$11,AM$4)),"")</f>
        <v/>
      </c>
      <c r="AN599" s="31" t="str">
        <f>IFERROR(+(1+Assumptions!$G$10)^(YEARFRAC(Assumptions!$G$11,AN$4)),"")</f>
        <v/>
      </c>
      <c r="AO599" s="31" t="str">
        <f>IFERROR(+(1+Assumptions!$G$10)^(YEARFRAC(Assumptions!$G$11,AO$4)),"")</f>
        <v/>
      </c>
      <c r="AP599" s="31" t="str">
        <f>IFERROR(+(1+Assumptions!$G$10)^(YEARFRAC(Assumptions!$G$11,AP$4)),"")</f>
        <v/>
      </c>
      <c r="AQ599" s="31" t="str">
        <f>IFERROR(+(1+Assumptions!$G$10)^(YEARFRAC(Assumptions!$G$11,AQ$4)),"")</f>
        <v/>
      </c>
      <c r="AR599" s="31" t="str">
        <f>IFERROR(+(1+Assumptions!$G$10)^(YEARFRAC(Assumptions!$G$11,AR$4)),"")</f>
        <v/>
      </c>
      <c r="AS599" s="31" t="str">
        <f>IFERROR(+(1+Assumptions!$G$10)^(YEARFRAC(Assumptions!$G$11,AS$4)),"")</f>
        <v/>
      </c>
      <c r="AT599" s="31" t="str">
        <f>IFERROR(+(1+Assumptions!$G$10)^(YEARFRAC(Assumptions!$G$11,AT$4)),"")</f>
        <v/>
      </c>
      <c r="AU599" s="31" t="str">
        <f>IFERROR(+(1+Assumptions!$G$10)^(YEARFRAC(Assumptions!$G$11,AU$4)),"")</f>
        <v/>
      </c>
      <c r="AV599" s="31" t="str">
        <f>IFERROR(+(1+Assumptions!$G$10)^(YEARFRAC(Assumptions!$G$11,AV$4)),"")</f>
        <v/>
      </c>
      <c r="AW599" s="31" t="str">
        <f>IFERROR(+(1+Assumptions!$G$10)^(YEARFRAC(Assumptions!$G$11,AW$4)),"")</f>
        <v/>
      </c>
      <c r="AX599" s="31" t="str">
        <f>IFERROR(+(1+Assumptions!$G$10)^(YEARFRAC(Assumptions!$G$11,AX$4)),"")</f>
        <v/>
      </c>
      <c r="AY599" s="31" t="str">
        <f>IFERROR(+(1+Assumptions!$G$10)^(YEARFRAC(Assumptions!$G$11,AY$4)),"")</f>
        <v/>
      </c>
      <c r="AZ599" s="31" t="str">
        <f>IFERROR(+(1+Assumptions!$G$10)^(YEARFRAC(Assumptions!$G$11,AZ$4)),"")</f>
        <v/>
      </c>
      <c r="BA599" s="31" t="str">
        <f>IFERROR(+(1+Assumptions!$G$10)^(YEARFRAC(Assumptions!$G$11,BA$4)),"")</f>
        <v/>
      </c>
      <c r="BB599" s="31" t="str">
        <f>IFERROR(+(1+Assumptions!$G$10)^(YEARFRAC(Assumptions!$G$11,BB$4)),"")</f>
        <v/>
      </c>
      <c r="BC599" s="31" t="str">
        <f>IFERROR(+(1+Assumptions!$G$10)^(YEARFRAC(Assumptions!$G$11,BC$4)),"")</f>
        <v/>
      </c>
      <c r="BD599" s="31" t="str">
        <f>IFERROR(+(1+Assumptions!$G$10)^(YEARFRAC(Assumptions!$G$11,BD$4)),"")</f>
        <v/>
      </c>
      <c r="BE599" s="31" t="str">
        <f>IFERROR(+(1+Assumptions!$G$10)^(YEARFRAC(Assumptions!$G$11,BE$4)),"")</f>
        <v/>
      </c>
      <c r="BF599" s="31" t="str">
        <f>IFERROR(+(1+Assumptions!$G$10)^(YEARFRAC(Assumptions!$G$11,BF$4)),"")</f>
        <v/>
      </c>
      <c r="BG599" s="31" t="str">
        <f>IFERROR(+(1+Assumptions!$G$10)^(YEARFRAC(Assumptions!$G$11,BG$4)),"")</f>
        <v/>
      </c>
      <c r="BH599" s="31" t="str">
        <f>IFERROR(+(1+Assumptions!$G$10)^(YEARFRAC(Assumptions!$G$11,BH$4)),"")</f>
        <v/>
      </c>
      <c r="BI599" s="31" t="str">
        <f>IFERROR(+(1+Assumptions!$G$10)^(YEARFRAC(Assumptions!$G$11,BI$4)),"")</f>
        <v/>
      </c>
      <c r="BJ599" s="31" t="str">
        <f>IFERROR(+(1+Assumptions!$G$10)^(YEARFRAC(Assumptions!$G$11,BJ$4)),"")</f>
        <v/>
      </c>
      <c r="BK599" s="31" t="str">
        <f>IFERROR(+(1+Assumptions!$G$10)^(YEARFRAC(Assumptions!$G$11,BK$4)),"")</f>
        <v/>
      </c>
      <c r="BL599" s="31" t="str">
        <f>IFERROR(+(1+Assumptions!$G$10)^(YEARFRAC(Assumptions!$G$11,BL$4)),"")</f>
        <v/>
      </c>
      <c r="BM599" s="31" t="str">
        <f>IFERROR(+(1+Assumptions!$G$10)^(YEARFRAC(Assumptions!$G$11,BM$4)),"")</f>
        <v/>
      </c>
      <c r="BN599" s="31" t="str">
        <f>IFERROR(+(1+Assumptions!$G$10)^(YEARFRAC(Assumptions!$G$11,BN$4)),"")</f>
        <v/>
      </c>
      <c r="BO599" s="31" t="str">
        <f>IFERROR(+(1+Assumptions!$G$10)^(YEARFRAC(Assumptions!$G$11,BO$4)),"")</f>
        <v/>
      </c>
      <c r="BP599" s="31" t="str">
        <f>IFERROR(+(1+Assumptions!$G$10)^(YEARFRAC(Assumptions!$G$11,BP$4)),"")</f>
        <v/>
      </c>
      <c r="BQ599" s="31" t="str">
        <f>IFERROR(+(1+Assumptions!$G$10)^(YEARFRAC(Assumptions!$G$11,BQ$4)),"")</f>
        <v/>
      </c>
      <c r="BR599" s="31" t="str">
        <f>IFERROR(+(1+Assumptions!$G$10)^(YEARFRAC(Assumptions!$G$11,BR$4)),"")</f>
        <v/>
      </c>
      <c r="BS599" s="31" t="str">
        <f>IFERROR(+(1+Assumptions!$G$10)^(YEARFRAC(Assumptions!$G$11,BS$4)),"")</f>
        <v/>
      </c>
      <c r="BT599" s="31" t="str">
        <f>IFERROR(+(1+Assumptions!$G$10)^(YEARFRAC(Assumptions!$G$11,BT$4)),"")</f>
        <v/>
      </c>
      <c r="BU599" s="31" t="str">
        <f>IFERROR(+(1+Assumptions!$G$10)^(YEARFRAC(Assumptions!$G$11,BU$4)),"")</f>
        <v/>
      </c>
      <c r="BV599" s="31" t="str">
        <f>IFERROR(+(1+Assumptions!$G$10)^(YEARFRAC(Assumptions!$G$11,BV$4)),"")</f>
        <v/>
      </c>
      <c r="BW599" s="31" t="str">
        <f>IFERROR(+(1+Assumptions!$G$10)^(YEARFRAC(Assumptions!$G$11,BW$4)),"")</f>
        <v/>
      </c>
      <c r="BX599" s="31" t="str">
        <f>IFERROR(+(1+Assumptions!$G$10)^(YEARFRAC(Assumptions!$G$11,BX$4)),"")</f>
        <v/>
      </c>
      <c r="BY599" s="31" t="str">
        <f>IFERROR(+(1+Assumptions!$G$10)^(YEARFRAC(Assumptions!$G$11,BY$4)),"")</f>
        <v/>
      </c>
    </row>
    <row r="600" spans="1:77" outlineLevel="1">
      <c r="H600" s="41"/>
      <c r="I600" s="41"/>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row>
    <row r="601" spans="1:77" outlineLevel="1">
      <c r="E601" t="s">
        <v>195</v>
      </c>
      <c r="F601" s="23" t="s">
        <v>488</v>
      </c>
      <c r="H601">
        <f>+IF(AND(Assumptions!$H$36&gt;=H$3,Assumptions!$H$36&lt;H$4),1,0)</f>
        <v>1</v>
      </c>
      <c r="I601">
        <f>+IF(AND(Assumptions!$H$36&gt;=I$3,Assumptions!$H$36&lt;I$4),1,0)</f>
        <v>0</v>
      </c>
      <c r="J601">
        <f>+IF(AND(Assumptions!$H$36&gt;=J$3,Assumptions!$H$36&lt;J$4),1,0)</f>
        <v>0</v>
      </c>
      <c r="K601">
        <f>+IF(AND(Assumptions!$H$36&gt;=K$3,Assumptions!$H$36&lt;K$4),1,0)</f>
        <v>0</v>
      </c>
      <c r="L601">
        <f>+IF(AND(Assumptions!$H$36&gt;=L$3,Assumptions!$H$36&lt;L$4),1,0)</f>
        <v>0</v>
      </c>
      <c r="M601">
        <f>+IF(AND(Assumptions!$H$36&gt;=M$3,Assumptions!$H$36&lt;M$4),1,0)</f>
        <v>0</v>
      </c>
      <c r="N601">
        <f>+IF(AND(Assumptions!$H$36&gt;=N$3,Assumptions!$H$36&lt;N$4),1,0)</f>
        <v>0</v>
      </c>
      <c r="O601">
        <f>+IF(AND(Assumptions!$H$36&gt;=O$3,Assumptions!$H$36&lt;O$4),1,0)</f>
        <v>0</v>
      </c>
      <c r="P601">
        <f>+IF(AND(Assumptions!$H$36&gt;=P$3,Assumptions!$H$36&lt;P$4),1,0)</f>
        <v>0</v>
      </c>
      <c r="Q601">
        <f>+IF(AND(Assumptions!$H$36&gt;=Q$3,Assumptions!$H$36&lt;Q$4),1,0)</f>
        <v>0</v>
      </c>
      <c r="R601">
        <f>+IF(AND(Assumptions!$H$36&gt;=R$3,Assumptions!$H$36&lt;R$4),1,0)</f>
        <v>0</v>
      </c>
      <c r="S601">
        <f>+IF(AND(Assumptions!$H$36&gt;=S$3,Assumptions!$H$36&lt;S$4),1,0)</f>
        <v>0</v>
      </c>
      <c r="T601">
        <f>+IF(AND(Assumptions!$H$36&gt;=T$3,Assumptions!$H$36&lt;T$4),1,0)</f>
        <v>0</v>
      </c>
      <c r="U601">
        <f>+IF(AND(Assumptions!$H$36&gt;=U$3,Assumptions!$H$36&lt;U$4),1,0)</f>
        <v>0</v>
      </c>
      <c r="V601">
        <f>+IF(AND(Assumptions!$H$36&gt;=V$3,Assumptions!$H$36&lt;V$4),1,0)</f>
        <v>0</v>
      </c>
      <c r="W601">
        <f>+IF(AND(Assumptions!$H$36&gt;=W$3,Assumptions!$H$36&lt;W$4),1,0)</f>
        <v>0</v>
      </c>
      <c r="X601">
        <f>+IF(AND(Assumptions!$H$36&gt;=X$3,Assumptions!$H$36&lt;X$4),1,0)</f>
        <v>0</v>
      </c>
      <c r="Y601">
        <f>+IF(AND(Assumptions!$H$36&gt;=Y$3,Assumptions!$H$36&lt;Y$4),1,0)</f>
        <v>0</v>
      </c>
      <c r="Z601">
        <f>+IF(AND(Assumptions!$H$36&gt;=Z$3,Assumptions!$H$36&lt;Z$4),1,0)</f>
        <v>0</v>
      </c>
      <c r="AA601">
        <f>+IF(AND(Assumptions!$H$36&gt;=AA$3,Assumptions!$H$36&lt;AA$4),1,0)</f>
        <v>0</v>
      </c>
      <c r="AB601">
        <f>+IF(AND(Assumptions!$H$36&gt;=AB$3,Assumptions!$H$36&lt;AB$4),1,0)</f>
        <v>0</v>
      </c>
      <c r="AC601">
        <f>+IF(AND(Assumptions!$H$36&gt;=AC$3,Assumptions!$H$36&lt;AC$4),1,0)</f>
        <v>0</v>
      </c>
      <c r="AD601">
        <f>+IF(AND(Assumptions!$H$36&gt;=AD$3,Assumptions!$H$36&lt;AD$4),1,0)</f>
        <v>0</v>
      </c>
      <c r="AE601">
        <f>+IF(AND(Assumptions!$H$36&gt;=AE$3,Assumptions!$H$36&lt;AE$4),1,0)</f>
        <v>0</v>
      </c>
      <c r="AF601">
        <f>+IF(AND(Assumptions!$H$36&gt;=AF$3,Assumptions!$H$36&lt;AF$4),1,0)</f>
        <v>0</v>
      </c>
      <c r="AG601">
        <f>+IF(AND(Assumptions!$H$36&gt;=AG$3,Assumptions!$H$36&lt;AG$4),1,0)</f>
        <v>0</v>
      </c>
      <c r="AH601">
        <f>+IF(AND(Assumptions!$H$36&gt;=AH$3,Assumptions!$H$36&lt;AH$4),1,0)</f>
        <v>0</v>
      </c>
      <c r="AI601">
        <f>+IF(AND(Assumptions!$H$36&gt;=AI$3,Assumptions!$H$36&lt;AI$4),1,0)</f>
        <v>0</v>
      </c>
      <c r="AJ601">
        <f>+IF(AND(Assumptions!$H$36&gt;=AJ$3,Assumptions!$H$36&lt;AJ$4),1,0)</f>
        <v>0</v>
      </c>
      <c r="AK601">
        <f>+IF(AND(Assumptions!$H$36&gt;=AK$3,Assumptions!$H$36&lt;AK$4),1,0)</f>
        <v>0</v>
      </c>
      <c r="AL601">
        <f>+IF(AND(Assumptions!$H$36&gt;=AL$3,Assumptions!$H$36&lt;AL$4),1,0)</f>
        <v>0</v>
      </c>
      <c r="AM601">
        <f>+IF(AND(Assumptions!$H$36&gt;=AM$3,Assumptions!$H$36&lt;AM$4),1,0)</f>
        <v>0</v>
      </c>
      <c r="AN601">
        <f>+IF(AND(Assumptions!$H$36&gt;=AN$3,Assumptions!$H$36&lt;AN$4),1,0)</f>
        <v>0</v>
      </c>
      <c r="AO601">
        <f>+IF(AND(Assumptions!$H$36&gt;=AO$3,Assumptions!$H$36&lt;AO$4),1,0)</f>
        <v>0</v>
      </c>
      <c r="AP601">
        <f>+IF(AND(Assumptions!$H$36&gt;=AP$3,Assumptions!$H$36&lt;AP$4),1,0)</f>
        <v>0</v>
      </c>
      <c r="AQ601">
        <f>+IF(AND(Assumptions!$H$36&gt;=AQ$3,Assumptions!$H$36&lt;AQ$4),1,0)</f>
        <v>0</v>
      </c>
      <c r="AR601">
        <f>+IF(AND(Assumptions!$H$36&gt;=AR$3,Assumptions!$H$36&lt;AR$4),1,0)</f>
        <v>0</v>
      </c>
      <c r="AS601">
        <f>+IF(AND(Assumptions!$H$36&gt;=AS$3,Assumptions!$H$36&lt;AS$4),1,0)</f>
        <v>0</v>
      </c>
      <c r="AT601">
        <f>+IF(AND(Assumptions!$H$36&gt;=AT$3,Assumptions!$H$36&lt;AT$4),1,0)</f>
        <v>0</v>
      </c>
      <c r="AU601">
        <f>+IF(AND(Assumptions!$H$36&gt;=AU$3,Assumptions!$H$36&lt;AU$4),1,0)</f>
        <v>0</v>
      </c>
      <c r="AV601">
        <f>+IF(AND(Assumptions!$H$36&gt;=AV$3,Assumptions!$H$36&lt;AV$4),1,0)</f>
        <v>0</v>
      </c>
      <c r="AW601">
        <f>+IF(AND(Assumptions!$H$36&gt;=AW$3,Assumptions!$H$36&lt;AW$4),1,0)</f>
        <v>0</v>
      </c>
      <c r="AX601">
        <f>+IF(AND(Assumptions!$H$36&gt;=AX$3,Assumptions!$H$36&lt;AX$4),1,0)</f>
        <v>0</v>
      </c>
      <c r="AY601">
        <f>+IF(AND(Assumptions!$H$36&gt;=AY$3,Assumptions!$H$36&lt;AY$4),1,0)</f>
        <v>0</v>
      </c>
      <c r="AZ601">
        <f>+IF(AND(Assumptions!$H$36&gt;=AZ$3,Assumptions!$H$36&lt;AZ$4),1,0)</f>
        <v>0</v>
      </c>
      <c r="BA601">
        <f>+IF(AND(Assumptions!$H$36&gt;=BA$3,Assumptions!$H$36&lt;BA$4),1,0)</f>
        <v>0</v>
      </c>
      <c r="BB601">
        <f>+IF(AND(Assumptions!$H$36&gt;=BB$3,Assumptions!$H$36&lt;BB$4),1,0)</f>
        <v>0</v>
      </c>
      <c r="BC601">
        <f>+IF(AND(Assumptions!$H$36&gt;=BC$3,Assumptions!$H$36&lt;BC$4),1,0)</f>
        <v>0</v>
      </c>
      <c r="BD601">
        <f>+IF(AND(Assumptions!$H$36&gt;=BD$3,Assumptions!$H$36&lt;BD$4),1,0)</f>
        <v>0</v>
      </c>
      <c r="BE601">
        <f>+IF(AND(Assumptions!$H$36&gt;=BE$3,Assumptions!$H$36&lt;BE$4),1,0)</f>
        <v>0</v>
      </c>
      <c r="BF601">
        <f>+IF(AND(Assumptions!$H$36&gt;=BF$3,Assumptions!$H$36&lt;BF$4),1,0)</f>
        <v>0</v>
      </c>
      <c r="BG601">
        <f>+IF(AND(Assumptions!$H$36&gt;=BG$3,Assumptions!$H$36&lt;BG$4),1,0)</f>
        <v>0</v>
      </c>
      <c r="BH601">
        <f>+IF(AND(Assumptions!$H$36&gt;=BH$3,Assumptions!$H$36&lt;BH$4),1,0)</f>
        <v>0</v>
      </c>
      <c r="BI601">
        <f>+IF(AND(Assumptions!$H$36&gt;=BI$3,Assumptions!$H$36&lt;BI$4),1,0)</f>
        <v>0</v>
      </c>
      <c r="BJ601">
        <f>+IF(AND(Assumptions!$H$36&gt;=BJ$3,Assumptions!$H$36&lt;BJ$4),1,0)</f>
        <v>0</v>
      </c>
      <c r="BK601">
        <f>+IF(AND(Assumptions!$H$36&gt;=BK$3,Assumptions!$H$36&lt;BK$4),1,0)</f>
        <v>0</v>
      </c>
      <c r="BL601">
        <f>+IF(AND(Assumptions!$H$36&gt;=BL$3,Assumptions!$H$36&lt;BL$4),1,0)</f>
        <v>0</v>
      </c>
      <c r="BM601">
        <f>+IF(AND(Assumptions!$H$36&gt;=BM$3,Assumptions!$H$36&lt;BM$4),1,0)</f>
        <v>0</v>
      </c>
      <c r="BN601">
        <f>+IF(AND(Assumptions!$H$36&gt;=BN$3,Assumptions!$H$36&lt;BN$4),1,0)</f>
        <v>0</v>
      </c>
      <c r="BO601">
        <f>+IF(AND(Assumptions!$H$36&gt;=BO$3,Assumptions!$H$36&lt;BO$4),1,0)</f>
        <v>0</v>
      </c>
      <c r="BP601">
        <f>+IF(AND(Assumptions!$H$36&gt;=BP$3,Assumptions!$H$36&lt;BP$4),1,0)</f>
        <v>0</v>
      </c>
      <c r="BQ601">
        <f>+IF(AND(Assumptions!$H$36&gt;=BQ$3,Assumptions!$H$36&lt;BQ$4),1,0)</f>
        <v>0</v>
      </c>
      <c r="BR601">
        <f>+IF(AND(Assumptions!$H$36&gt;=BR$3,Assumptions!$H$36&lt;BR$4),1,0)</f>
        <v>0</v>
      </c>
      <c r="BS601">
        <f>+IF(AND(Assumptions!$H$36&gt;=BS$3,Assumptions!$H$36&lt;BS$4),1,0)</f>
        <v>0</v>
      </c>
      <c r="BT601">
        <f>+IF(AND(Assumptions!$H$36&gt;=BT$3,Assumptions!$H$36&lt;BT$4),1,0)</f>
        <v>0</v>
      </c>
      <c r="BU601">
        <f>+IF(AND(Assumptions!$H$36&gt;=BU$3,Assumptions!$H$36&lt;BU$4),1,0)</f>
        <v>0</v>
      </c>
      <c r="BV601">
        <f>+IF(AND(Assumptions!$H$36&gt;=BV$3,Assumptions!$H$36&lt;BV$4),1,0)</f>
        <v>0</v>
      </c>
      <c r="BW601">
        <f>+IF(AND(Assumptions!$H$36&gt;=BW$3,Assumptions!$H$36&lt;BW$4),1,0)</f>
        <v>0</v>
      </c>
      <c r="BX601">
        <f>+IF(AND(Assumptions!$H$36&gt;=BX$3,Assumptions!$H$36&lt;BX$4),1,0)</f>
        <v>0</v>
      </c>
      <c r="BY601">
        <f>+IF(AND(Assumptions!$H$36&gt;=BY$3,Assumptions!$H$36&lt;BY$4),1,0)</f>
        <v>0</v>
      </c>
    </row>
    <row r="602" spans="1:77" outlineLevel="1">
      <c r="E602" t="s">
        <v>197</v>
      </c>
      <c r="F602" s="23" t="s">
        <v>488</v>
      </c>
      <c r="H602" s="67">
        <f>+IF(AND(H$3&gt;=Assumptions!$H$36,H$3&lt;Assumptions!$H$38),1,0)</f>
        <v>1</v>
      </c>
      <c r="I602" s="67">
        <f>+IF(AND(I$3&gt;=Assumptions!$H$36,I$3&lt;Assumptions!$H$38),1,0)</f>
        <v>0</v>
      </c>
      <c r="J602" s="67">
        <f>+IF(AND(J$3&gt;=Assumptions!$H$36,J$3&lt;Assumptions!$H$38),1,0)</f>
        <v>0</v>
      </c>
      <c r="K602" s="67">
        <f>+IF(AND(K$3&gt;=Assumptions!$H$36,K$3&lt;Assumptions!$H$38),1,0)</f>
        <v>0</v>
      </c>
      <c r="L602" s="67">
        <f>+IF(AND(L$3&gt;=Assumptions!$H$36,L$3&lt;Assumptions!$H$38),1,0)</f>
        <v>0</v>
      </c>
      <c r="M602" s="67">
        <f>+IF(AND(M$3&gt;=Assumptions!$H$36,M$3&lt;Assumptions!$H$38),1,0)</f>
        <v>0</v>
      </c>
      <c r="N602" s="67">
        <f>+IF(AND(N$3&gt;=Assumptions!$H$36,N$3&lt;Assumptions!$H$38),1,0)</f>
        <v>0</v>
      </c>
      <c r="O602" s="67">
        <f>+IF(AND(O$3&gt;=Assumptions!$H$36,O$3&lt;Assumptions!$H$38),1,0)</f>
        <v>0</v>
      </c>
      <c r="P602" s="67">
        <f>+IF(AND(P$3&gt;=Assumptions!$H$36,P$3&lt;Assumptions!$H$38),1,0)</f>
        <v>0</v>
      </c>
      <c r="Q602" s="67">
        <f>+IF(AND(Q$3&gt;=Assumptions!$H$36,Q$3&lt;Assumptions!$H$38),1,0)</f>
        <v>0</v>
      </c>
      <c r="R602" s="67">
        <f>+IF(AND(R$3&gt;=Assumptions!$H$36,R$3&lt;Assumptions!$H$38),1,0)</f>
        <v>0</v>
      </c>
      <c r="S602" s="67">
        <f>+IF(AND(S$3&gt;=Assumptions!$H$36,S$3&lt;Assumptions!$H$38),1,0)</f>
        <v>0</v>
      </c>
      <c r="T602" s="67">
        <f>+IF(AND(T$3&gt;=Assumptions!$H$36,T$3&lt;Assumptions!$H$38),1,0)</f>
        <v>0</v>
      </c>
      <c r="U602" s="67">
        <f>+IF(AND(U$3&gt;=Assumptions!$H$36,U$3&lt;Assumptions!$H$38),1,0)</f>
        <v>0</v>
      </c>
      <c r="V602" s="67">
        <f>+IF(AND(V$3&gt;=Assumptions!$H$36,V$3&lt;Assumptions!$H$38),1,0)</f>
        <v>0</v>
      </c>
      <c r="W602" s="67">
        <f>+IF(AND(W$3&gt;=Assumptions!$H$36,W$3&lt;Assumptions!$H$38),1,0)</f>
        <v>0</v>
      </c>
      <c r="X602" s="67">
        <f>+IF(AND(X$3&gt;=Assumptions!$H$36,X$3&lt;Assumptions!$H$38),1,0)</f>
        <v>0</v>
      </c>
      <c r="Y602" s="67">
        <f>+IF(AND(Y$3&gt;=Assumptions!$H$36,Y$3&lt;Assumptions!$H$38),1,0)</f>
        <v>0</v>
      </c>
      <c r="Z602" s="67">
        <f>+IF(AND(Z$3&gt;=Assumptions!$H$36,Z$3&lt;Assumptions!$H$38),1,0)</f>
        <v>0</v>
      </c>
      <c r="AA602" s="67">
        <f>+IF(AND(AA$3&gt;=Assumptions!$H$36,AA$3&lt;Assumptions!$H$38),1,0)</f>
        <v>0</v>
      </c>
      <c r="AB602" s="67">
        <f>+IF(AND(AB$3&gt;=Assumptions!$H$36,AB$3&lt;Assumptions!$H$38),1,0)</f>
        <v>0</v>
      </c>
      <c r="AC602" s="67">
        <f>+IF(AND(AC$3&gt;=Assumptions!$H$36,AC$3&lt;Assumptions!$H$38),1,0)</f>
        <v>0</v>
      </c>
      <c r="AD602" s="67">
        <f>+IF(AND(AD$3&gt;=Assumptions!$H$36,AD$3&lt;Assumptions!$H$38),1,0)</f>
        <v>0</v>
      </c>
      <c r="AE602" s="67">
        <f>+IF(AND(AE$3&gt;=Assumptions!$H$36,AE$3&lt;Assumptions!$H$38),1,0)</f>
        <v>0</v>
      </c>
      <c r="AF602" s="67">
        <f>+IF(AND(AF$3&gt;=Assumptions!$H$36,AF$3&lt;Assumptions!$H$38),1,0)</f>
        <v>0</v>
      </c>
      <c r="AG602" s="67">
        <f>+IF(AND(AG$3&gt;=Assumptions!$H$36,AG$3&lt;Assumptions!$H$38),1,0)</f>
        <v>0</v>
      </c>
      <c r="AH602" s="67">
        <f>+IF(AND(AH$3&gt;=Assumptions!$H$36,AH$3&lt;Assumptions!$H$38),1,0)</f>
        <v>0</v>
      </c>
      <c r="AI602" s="67">
        <f>+IF(AND(AI$3&gt;=Assumptions!$H$36,AI$3&lt;Assumptions!$H$38),1,0)</f>
        <v>0</v>
      </c>
      <c r="AJ602" s="67">
        <f>+IF(AND(AJ$3&gt;=Assumptions!$H$36,AJ$3&lt;Assumptions!$H$38),1,0)</f>
        <v>0</v>
      </c>
      <c r="AK602" s="67">
        <f>+IF(AND(AK$3&gt;=Assumptions!$H$36,AK$3&lt;Assumptions!$H$38),1,0)</f>
        <v>0</v>
      </c>
      <c r="AL602" s="67">
        <f>+IF(AND(AL$3&gt;=Assumptions!$H$36,AL$3&lt;Assumptions!$H$38),1,0)</f>
        <v>0</v>
      </c>
      <c r="AM602" s="67">
        <f>+IF(AND(AM$3&gt;=Assumptions!$H$36,AM$3&lt;Assumptions!$H$38),1,0)</f>
        <v>0</v>
      </c>
      <c r="AN602" s="67">
        <f>+IF(AND(AN$3&gt;=Assumptions!$H$36,AN$3&lt;Assumptions!$H$38),1,0)</f>
        <v>0</v>
      </c>
      <c r="AO602" s="67">
        <f>+IF(AND(AO$3&gt;=Assumptions!$H$36,AO$3&lt;Assumptions!$H$38),1,0)</f>
        <v>0</v>
      </c>
      <c r="AP602" s="67">
        <f>+IF(AND(AP$3&gt;=Assumptions!$H$36,AP$3&lt;Assumptions!$H$38),1,0)</f>
        <v>0</v>
      </c>
      <c r="AQ602" s="67">
        <f>+IF(AND(AQ$3&gt;=Assumptions!$H$36,AQ$3&lt;Assumptions!$H$38),1,0)</f>
        <v>0</v>
      </c>
      <c r="AR602" s="67">
        <f>+IF(AND(AR$3&gt;=Assumptions!$H$36,AR$3&lt;Assumptions!$H$38),1,0)</f>
        <v>0</v>
      </c>
      <c r="AS602" s="67">
        <f>+IF(AND(AS$3&gt;=Assumptions!$H$36,AS$3&lt;Assumptions!$H$38),1,0)</f>
        <v>0</v>
      </c>
      <c r="AT602" s="67">
        <f>+IF(AND(AT$3&gt;=Assumptions!$H$36,AT$3&lt;Assumptions!$H$38),1,0)</f>
        <v>0</v>
      </c>
      <c r="AU602" s="67">
        <f>+IF(AND(AU$3&gt;=Assumptions!$H$36,AU$3&lt;Assumptions!$H$38),1,0)</f>
        <v>0</v>
      </c>
      <c r="AV602" s="67">
        <f>+IF(AND(AV$3&gt;=Assumptions!$H$36,AV$3&lt;Assumptions!$H$38),1,0)</f>
        <v>0</v>
      </c>
      <c r="AW602" s="67">
        <f>+IF(AND(AW$3&gt;=Assumptions!$H$36,AW$3&lt;Assumptions!$H$38),1,0)</f>
        <v>0</v>
      </c>
      <c r="AX602" s="67">
        <f>+IF(AND(AX$3&gt;=Assumptions!$H$36,AX$3&lt;Assumptions!$H$38),1,0)</f>
        <v>0</v>
      </c>
      <c r="AY602" s="67">
        <f>+IF(AND(AY$3&gt;=Assumptions!$H$36,AY$3&lt;Assumptions!$H$38),1,0)</f>
        <v>0</v>
      </c>
      <c r="AZ602" s="67">
        <f>+IF(AND(AZ$3&gt;=Assumptions!$H$36,AZ$3&lt;Assumptions!$H$38),1,0)</f>
        <v>0</v>
      </c>
      <c r="BA602" s="67">
        <f>+IF(AND(BA$3&gt;=Assumptions!$H$36,BA$3&lt;Assumptions!$H$38),1,0)</f>
        <v>0</v>
      </c>
      <c r="BB602" s="67">
        <f>+IF(AND(BB$3&gt;=Assumptions!$H$36,BB$3&lt;Assumptions!$H$38),1,0)</f>
        <v>0</v>
      </c>
      <c r="BC602" s="67">
        <f>+IF(AND(BC$3&gt;=Assumptions!$H$36,BC$3&lt;Assumptions!$H$38),1,0)</f>
        <v>0</v>
      </c>
      <c r="BD602" s="67">
        <f>+IF(AND(BD$3&gt;=Assumptions!$H$36,BD$3&lt;Assumptions!$H$38),1,0)</f>
        <v>0</v>
      </c>
      <c r="BE602" s="67">
        <f>+IF(AND(BE$3&gt;=Assumptions!$H$36,BE$3&lt;Assumptions!$H$38),1,0)</f>
        <v>0</v>
      </c>
      <c r="BF602" s="67">
        <f>+IF(AND(BF$3&gt;=Assumptions!$H$36,BF$3&lt;Assumptions!$H$38),1,0)</f>
        <v>0</v>
      </c>
      <c r="BG602" s="67">
        <f>+IF(AND(BG$3&gt;=Assumptions!$H$36,BG$3&lt;Assumptions!$H$38),1,0)</f>
        <v>0</v>
      </c>
      <c r="BH602" s="67">
        <f>+IF(AND(BH$3&gt;=Assumptions!$H$36,BH$3&lt;Assumptions!$H$38),1,0)</f>
        <v>0</v>
      </c>
      <c r="BI602" s="67">
        <f>+IF(AND(BI$3&gt;=Assumptions!$H$36,BI$3&lt;Assumptions!$H$38),1,0)</f>
        <v>0</v>
      </c>
      <c r="BJ602" s="67">
        <f>+IF(AND(BJ$3&gt;=Assumptions!$H$36,BJ$3&lt;Assumptions!$H$38),1,0)</f>
        <v>0</v>
      </c>
      <c r="BK602" s="67">
        <f>+IF(AND(BK$3&gt;=Assumptions!$H$36,BK$3&lt;Assumptions!$H$38),1,0)</f>
        <v>0</v>
      </c>
      <c r="BL602" s="67">
        <f>+IF(AND(BL$3&gt;=Assumptions!$H$36,BL$3&lt;Assumptions!$H$38),1,0)</f>
        <v>0</v>
      </c>
      <c r="BM602" s="67">
        <f>+IF(AND(BM$3&gt;=Assumptions!$H$36,BM$3&lt;Assumptions!$H$38),1,0)</f>
        <v>0</v>
      </c>
      <c r="BN602" s="67">
        <f>+IF(AND(BN$3&gt;=Assumptions!$H$36,BN$3&lt;Assumptions!$H$38),1,0)</f>
        <v>0</v>
      </c>
      <c r="BO602" s="67">
        <f>+IF(AND(BO$3&gt;=Assumptions!$H$36,BO$3&lt;Assumptions!$H$38),1,0)</f>
        <v>0</v>
      </c>
      <c r="BP602" s="67">
        <f>+IF(AND(BP$3&gt;=Assumptions!$H$36,BP$3&lt;Assumptions!$H$38),1,0)</f>
        <v>0</v>
      </c>
      <c r="BQ602" s="67">
        <f>+IF(AND(BQ$3&gt;=Assumptions!$H$36,BQ$3&lt;Assumptions!$H$38),1,0)</f>
        <v>0</v>
      </c>
      <c r="BR602" s="67">
        <f>+IF(AND(BR$3&gt;=Assumptions!$H$36,BR$3&lt;Assumptions!$H$38),1,0)</f>
        <v>0</v>
      </c>
      <c r="BS602" s="67">
        <f>+IF(AND(BS$3&gt;=Assumptions!$H$36,BS$3&lt;Assumptions!$H$38),1,0)</f>
        <v>0</v>
      </c>
      <c r="BT602" s="67">
        <f>+IF(AND(BT$3&gt;=Assumptions!$H$36,BT$3&lt;Assumptions!$H$38),1,0)</f>
        <v>0</v>
      </c>
      <c r="BU602" s="67">
        <f>+IF(AND(BU$3&gt;=Assumptions!$H$36,BU$3&lt;Assumptions!$H$38),1,0)</f>
        <v>0</v>
      </c>
      <c r="BV602" s="67">
        <f>+IF(AND(BV$3&gt;=Assumptions!$H$36,BV$3&lt;Assumptions!$H$38),1,0)</f>
        <v>0</v>
      </c>
      <c r="BW602" s="67">
        <f>+IF(AND(BW$3&gt;=Assumptions!$H$36,BW$3&lt;Assumptions!$H$38),1,0)</f>
        <v>0</v>
      </c>
      <c r="BX602" s="67">
        <f>+IF(AND(BX$3&gt;=Assumptions!$H$36,BX$3&lt;Assumptions!$H$38),1,0)</f>
        <v>0</v>
      </c>
      <c r="BY602" s="67">
        <f>+IF(AND(BY$3&gt;=Assumptions!$H$36,BY$3&lt;Assumptions!$H$38),1,0)</f>
        <v>0</v>
      </c>
    </row>
    <row r="603" spans="1:77" outlineLevel="1">
      <c r="E603" t="s">
        <v>200</v>
      </c>
      <c r="F603" s="23" t="s">
        <v>488</v>
      </c>
      <c r="H603" s="67">
        <f>+IF(AND(H$3&gt;=Assumptions!$H$38,H$3&lt;Assumptions!$H$40),1,0)</f>
        <v>0</v>
      </c>
      <c r="I603" s="67">
        <f>+IF(AND(I$3&gt;=Assumptions!$H$38,I$3&lt;Assumptions!$H$40),1,0)</f>
        <v>1</v>
      </c>
      <c r="J603" s="67">
        <f>+IF(AND(J$3&gt;=Assumptions!$H$38,J$3&lt;Assumptions!$H$40),1,0)</f>
        <v>1</v>
      </c>
      <c r="K603" s="67">
        <f>+IF(AND(K$3&gt;=Assumptions!$H$38,K$3&lt;Assumptions!$H$40),1,0)</f>
        <v>0</v>
      </c>
      <c r="L603" s="67">
        <f>+IF(AND(L$3&gt;=Assumptions!$H$38,L$3&lt;Assumptions!$H$40),1,0)</f>
        <v>0</v>
      </c>
      <c r="M603" s="67">
        <f>+IF(AND(M$3&gt;=Assumptions!$H$38,M$3&lt;Assumptions!$H$40),1,0)</f>
        <v>0</v>
      </c>
      <c r="N603" s="67">
        <f>+IF(AND(N$3&gt;=Assumptions!$H$38,N$3&lt;Assumptions!$H$40),1,0)</f>
        <v>0</v>
      </c>
      <c r="O603" s="67">
        <f>+IF(AND(O$3&gt;=Assumptions!$H$38,O$3&lt;Assumptions!$H$40),1,0)</f>
        <v>0</v>
      </c>
      <c r="P603" s="67">
        <f>+IF(AND(P$3&gt;=Assumptions!$H$38,P$3&lt;Assumptions!$H$40),1,0)</f>
        <v>0</v>
      </c>
      <c r="Q603" s="67">
        <f>+IF(AND(Q$3&gt;=Assumptions!$H$38,Q$3&lt;Assumptions!$H$40),1,0)</f>
        <v>0</v>
      </c>
      <c r="R603" s="67">
        <f>+IF(AND(R$3&gt;=Assumptions!$H$38,R$3&lt;Assumptions!$H$40),1,0)</f>
        <v>0</v>
      </c>
      <c r="S603" s="67">
        <f>+IF(AND(S$3&gt;=Assumptions!$H$38,S$3&lt;Assumptions!$H$40),1,0)</f>
        <v>0</v>
      </c>
      <c r="T603" s="67">
        <f>+IF(AND(T$3&gt;=Assumptions!$H$38,T$3&lt;Assumptions!$H$40),1,0)</f>
        <v>0</v>
      </c>
      <c r="U603" s="67">
        <f>+IF(AND(U$3&gt;=Assumptions!$H$38,U$3&lt;Assumptions!$H$40),1,0)</f>
        <v>0</v>
      </c>
      <c r="V603" s="67">
        <f>+IF(AND(V$3&gt;=Assumptions!$H$38,V$3&lt;Assumptions!$H$40),1,0)</f>
        <v>0</v>
      </c>
      <c r="W603" s="67">
        <f>+IF(AND(W$3&gt;=Assumptions!$H$38,W$3&lt;Assumptions!$H$40),1,0)</f>
        <v>0</v>
      </c>
      <c r="X603" s="67">
        <f>+IF(AND(X$3&gt;=Assumptions!$H$38,X$3&lt;Assumptions!$H$40),1,0)</f>
        <v>0</v>
      </c>
      <c r="Y603" s="67">
        <f>+IF(AND(Y$3&gt;=Assumptions!$H$38,Y$3&lt;Assumptions!$H$40),1,0)</f>
        <v>0</v>
      </c>
      <c r="Z603" s="67">
        <f>+IF(AND(Z$3&gt;=Assumptions!$H$38,Z$3&lt;Assumptions!$H$40),1,0)</f>
        <v>0</v>
      </c>
      <c r="AA603" s="67">
        <f>+IF(AND(AA$3&gt;=Assumptions!$H$38,AA$3&lt;Assumptions!$H$40),1,0)</f>
        <v>0</v>
      </c>
      <c r="AB603" s="67">
        <f>+IF(AND(AB$3&gt;=Assumptions!$H$38,AB$3&lt;Assumptions!$H$40),1,0)</f>
        <v>0</v>
      </c>
      <c r="AC603" s="67">
        <f>+IF(AND(AC$3&gt;=Assumptions!$H$38,AC$3&lt;Assumptions!$H$40),1,0)</f>
        <v>0</v>
      </c>
      <c r="AD603" s="67">
        <f>+IF(AND(AD$3&gt;=Assumptions!$H$38,AD$3&lt;Assumptions!$H$40),1,0)</f>
        <v>0</v>
      </c>
      <c r="AE603" s="67">
        <f>+IF(AND(AE$3&gt;=Assumptions!$H$38,AE$3&lt;Assumptions!$H$40),1,0)</f>
        <v>0</v>
      </c>
      <c r="AF603" s="67">
        <f>+IF(AND(AF$3&gt;=Assumptions!$H$38,AF$3&lt;Assumptions!$H$40),1,0)</f>
        <v>0</v>
      </c>
      <c r="AG603" s="67">
        <f>+IF(AND(AG$3&gt;=Assumptions!$H$38,AG$3&lt;Assumptions!$H$40),1,0)</f>
        <v>0</v>
      </c>
      <c r="AH603" s="67">
        <f>+IF(AND(AH$3&gt;=Assumptions!$H$38,AH$3&lt;Assumptions!$H$40),1,0)</f>
        <v>0</v>
      </c>
      <c r="AI603" s="67">
        <f>+IF(AND(AI$3&gt;=Assumptions!$H$38,AI$3&lt;Assumptions!$H$40),1,0)</f>
        <v>0</v>
      </c>
      <c r="AJ603" s="67">
        <f>+IF(AND(AJ$3&gt;=Assumptions!$H$38,AJ$3&lt;Assumptions!$H$40),1,0)</f>
        <v>0</v>
      </c>
      <c r="AK603" s="67">
        <f>+IF(AND(AK$3&gt;=Assumptions!$H$38,AK$3&lt;Assumptions!$H$40),1,0)</f>
        <v>0</v>
      </c>
      <c r="AL603" s="67">
        <f>+IF(AND(AL$3&gt;=Assumptions!$H$38,AL$3&lt;Assumptions!$H$40),1,0)</f>
        <v>0</v>
      </c>
      <c r="AM603" s="67">
        <f>+IF(AND(AM$3&gt;=Assumptions!$H$38,AM$3&lt;Assumptions!$H$40),1,0)</f>
        <v>0</v>
      </c>
      <c r="AN603" s="67">
        <f>+IF(AND(AN$3&gt;=Assumptions!$H$38,AN$3&lt;Assumptions!$H$40),1,0)</f>
        <v>0</v>
      </c>
      <c r="AO603" s="67">
        <f>+IF(AND(AO$3&gt;=Assumptions!$H$38,AO$3&lt;Assumptions!$H$40),1,0)</f>
        <v>0</v>
      </c>
      <c r="AP603" s="67">
        <f>+IF(AND(AP$3&gt;=Assumptions!$H$38,AP$3&lt;Assumptions!$H$40),1,0)</f>
        <v>0</v>
      </c>
      <c r="AQ603" s="67">
        <f>+IF(AND(AQ$3&gt;=Assumptions!$H$38,AQ$3&lt;Assumptions!$H$40),1,0)</f>
        <v>0</v>
      </c>
      <c r="AR603" s="67">
        <f>+IF(AND(AR$3&gt;=Assumptions!$H$38,AR$3&lt;Assumptions!$H$40),1,0)</f>
        <v>0</v>
      </c>
      <c r="AS603" s="67">
        <f>+IF(AND(AS$3&gt;=Assumptions!$H$38,AS$3&lt;Assumptions!$H$40),1,0)</f>
        <v>0</v>
      </c>
      <c r="AT603" s="67">
        <f>+IF(AND(AT$3&gt;=Assumptions!$H$38,AT$3&lt;Assumptions!$H$40),1,0)</f>
        <v>0</v>
      </c>
      <c r="AU603" s="67">
        <f>+IF(AND(AU$3&gt;=Assumptions!$H$38,AU$3&lt;Assumptions!$H$40),1,0)</f>
        <v>0</v>
      </c>
      <c r="AV603" s="67">
        <f>+IF(AND(AV$3&gt;=Assumptions!$H$38,AV$3&lt;Assumptions!$H$40),1,0)</f>
        <v>0</v>
      </c>
      <c r="AW603" s="67">
        <f>+IF(AND(AW$3&gt;=Assumptions!$H$38,AW$3&lt;Assumptions!$H$40),1,0)</f>
        <v>0</v>
      </c>
      <c r="AX603" s="67">
        <f>+IF(AND(AX$3&gt;=Assumptions!$H$38,AX$3&lt;Assumptions!$H$40),1,0)</f>
        <v>0</v>
      </c>
      <c r="AY603" s="67">
        <f>+IF(AND(AY$3&gt;=Assumptions!$H$38,AY$3&lt;Assumptions!$H$40),1,0)</f>
        <v>0</v>
      </c>
      <c r="AZ603" s="67">
        <f>+IF(AND(AZ$3&gt;=Assumptions!$H$38,AZ$3&lt;Assumptions!$H$40),1,0)</f>
        <v>0</v>
      </c>
      <c r="BA603" s="67">
        <f>+IF(AND(BA$3&gt;=Assumptions!$H$38,BA$3&lt;Assumptions!$H$40),1,0)</f>
        <v>0</v>
      </c>
      <c r="BB603" s="67">
        <f>+IF(AND(BB$3&gt;=Assumptions!$H$38,BB$3&lt;Assumptions!$H$40),1,0)</f>
        <v>0</v>
      </c>
      <c r="BC603" s="67">
        <f>+IF(AND(BC$3&gt;=Assumptions!$H$38,BC$3&lt;Assumptions!$H$40),1,0)</f>
        <v>0</v>
      </c>
      <c r="BD603" s="67">
        <f>+IF(AND(BD$3&gt;=Assumptions!$H$38,BD$3&lt;Assumptions!$H$40),1,0)</f>
        <v>0</v>
      </c>
      <c r="BE603" s="67">
        <f>+IF(AND(BE$3&gt;=Assumptions!$H$38,BE$3&lt;Assumptions!$H$40),1,0)</f>
        <v>0</v>
      </c>
      <c r="BF603" s="67">
        <f>+IF(AND(BF$3&gt;=Assumptions!$H$38,BF$3&lt;Assumptions!$H$40),1,0)</f>
        <v>0</v>
      </c>
      <c r="BG603" s="67">
        <f>+IF(AND(BG$3&gt;=Assumptions!$H$38,BG$3&lt;Assumptions!$H$40),1,0)</f>
        <v>0</v>
      </c>
      <c r="BH603" s="67">
        <f>+IF(AND(BH$3&gt;=Assumptions!$H$38,BH$3&lt;Assumptions!$H$40),1,0)</f>
        <v>0</v>
      </c>
      <c r="BI603" s="67">
        <f>+IF(AND(BI$3&gt;=Assumptions!$H$38,BI$3&lt;Assumptions!$H$40),1,0)</f>
        <v>0</v>
      </c>
      <c r="BJ603" s="67">
        <f>+IF(AND(BJ$3&gt;=Assumptions!$H$38,BJ$3&lt;Assumptions!$H$40),1,0)</f>
        <v>0</v>
      </c>
      <c r="BK603" s="67">
        <f>+IF(AND(BK$3&gt;=Assumptions!$H$38,BK$3&lt;Assumptions!$H$40),1,0)</f>
        <v>0</v>
      </c>
      <c r="BL603" s="67">
        <f>+IF(AND(BL$3&gt;=Assumptions!$H$38,BL$3&lt;Assumptions!$H$40),1,0)</f>
        <v>0</v>
      </c>
      <c r="BM603" s="67">
        <f>+IF(AND(BM$3&gt;=Assumptions!$H$38,BM$3&lt;Assumptions!$H$40),1,0)</f>
        <v>0</v>
      </c>
      <c r="BN603" s="67">
        <f>+IF(AND(BN$3&gt;=Assumptions!$H$38,BN$3&lt;Assumptions!$H$40),1,0)</f>
        <v>0</v>
      </c>
      <c r="BO603" s="67">
        <f>+IF(AND(BO$3&gt;=Assumptions!$H$38,BO$3&lt;Assumptions!$H$40),1,0)</f>
        <v>0</v>
      </c>
      <c r="BP603" s="67">
        <f>+IF(AND(BP$3&gt;=Assumptions!$H$38,BP$3&lt;Assumptions!$H$40),1,0)</f>
        <v>0</v>
      </c>
      <c r="BQ603" s="67">
        <f>+IF(AND(BQ$3&gt;=Assumptions!$H$38,BQ$3&lt;Assumptions!$H$40),1,0)</f>
        <v>0</v>
      </c>
      <c r="BR603" s="67">
        <f>+IF(AND(BR$3&gt;=Assumptions!$H$38,BR$3&lt;Assumptions!$H$40),1,0)</f>
        <v>0</v>
      </c>
      <c r="BS603" s="67">
        <f>+IF(AND(BS$3&gt;=Assumptions!$H$38,BS$3&lt;Assumptions!$H$40),1,0)</f>
        <v>0</v>
      </c>
      <c r="BT603" s="67">
        <f>+IF(AND(BT$3&gt;=Assumptions!$H$38,BT$3&lt;Assumptions!$H$40),1,0)</f>
        <v>0</v>
      </c>
      <c r="BU603" s="67">
        <f>+IF(AND(BU$3&gt;=Assumptions!$H$38,BU$3&lt;Assumptions!$H$40),1,0)</f>
        <v>0</v>
      </c>
      <c r="BV603" s="67">
        <f>+IF(AND(BV$3&gt;=Assumptions!$H$38,BV$3&lt;Assumptions!$H$40),1,0)</f>
        <v>0</v>
      </c>
      <c r="BW603" s="67">
        <f>+IF(AND(BW$3&gt;=Assumptions!$H$38,BW$3&lt;Assumptions!$H$40),1,0)</f>
        <v>0</v>
      </c>
      <c r="BX603" s="67">
        <f>+IF(AND(BX$3&gt;=Assumptions!$H$38,BX$3&lt;Assumptions!$H$40),1,0)</f>
        <v>0</v>
      </c>
      <c r="BY603" s="67">
        <f>+IF(AND(BY$3&gt;=Assumptions!$H$38,BY$3&lt;Assumptions!$H$40),1,0)</f>
        <v>0</v>
      </c>
    </row>
    <row r="604" spans="1:77" outlineLevel="1">
      <c r="E604" t="s">
        <v>202</v>
      </c>
      <c r="F604" s="23" t="s">
        <v>488</v>
      </c>
      <c r="H604">
        <f>+IF(AND(SUM(H603:$BY603)=0,EDATE(Assumptions!$H$36,SUM(Assumptions!$H$37,Assumptions!$H$39,Assumptions!$H$42)*12)&gt;H$3),1,0)</f>
        <v>0</v>
      </c>
      <c r="I604">
        <f>+IF(AND(SUM(I603:$BY603)=0,EDATE(Assumptions!$H$36,SUM(Assumptions!$H$37,Assumptions!$H$39,Assumptions!$H$42)*12)&gt;I$3),1,0)</f>
        <v>0</v>
      </c>
      <c r="J604">
        <f>+IF(AND(SUM(J603:$BY603)=0,EDATE(Assumptions!$H$36,SUM(Assumptions!$H$37,Assumptions!$H$39,Assumptions!$H$42)*12)&gt;J$3),1,0)</f>
        <v>0</v>
      </c>
      <c r="K604">
        <f>+IF(AND(SUM(K603:$BY603)=0,EDATE(Assumptions!$H$36,SUM(Assumptions!$H$37,Assumptions!$H$39,Assumptions!$H$42)*12)&gt;K$3),1,0)</f>
        <v>1</v>
      </c>
      <c r="L604">
        <f>+IF(AND(SUM(L603:$BY603)=0,EDATE(Assumptions!$H$36,SUM(Assumptions!$H$37,Assumptions!$H$39,Assumptions!$H$42)*12)&gt;L$3),1,0)</f>
        <v>1</v>
      </c>
      <c r="M604">
        <f>+IF(AND(SUM(M603:$BY603)=0,EDATE(Assumptions!$H$36,SUM(Assumptions!$H$37,Assumptions!$H$39,Assumptions!$H$42)*12)&gt;M$3),1,0)</f>
        <v>1</v>
      </c>
      <c r="N604">
        <f>+IF(AND(SUM(N603:$BY603)=0,EDATE(Assumptions!$H$36,SUM(Assumptions!$H$37,Assumptions!$H$39,Assumptions!$H$42)*12)&gt;N$3),1,0)</f>
        <v>1</v>
      </c>
      <c r="O604">
        <f>+IF(AND(SUM(O603:$BY603)=0,EDATE(Assumptions!$H$36,SUM(Assumptions!$H$37,Assumptions!$H$39,Assumptions!$H$42)*12)&gt;O$3),1,0)</f>
        <v>1</v>
      </c>
      <c r="P604">
        <f>+IF(AND(SUM(P603:$BY603)=0,EDATE(Assumptions!$H$36,SUM(Assumptions!$H$37,Assumptions!$H$39,Assumptions!$H$42)*12)&gt;P$3),1,0)</f>
        <v>1</v>
      </c>
      <c r="Q604">
        <f>+IF(AND(SUM(Q603:$BY603)=0,EDATE(Assumptions!$H$36,SUM(Assumptions!$H$37,Assumptions!$H$39,Assumptions!$H$42)*12)&gt;Q$3),1,0)</f>
        <v>1</v>
      </c>
      <c r="R604">
        <f>+IF(AND(SUM(R603:$BY603)=0,EDATE(Assumptions!$H$36,SUM(Assumptions!$H$37,Assumptions!$H$39,Assumptions!$H$42)*12)&gt;R$3),1,0)</f>
        <v>1</v>
      </c>
      <c r="S604">
        <f>+IF(AND(SUM(S603:$BY603)=0,EDATE(Assumptions!$H$36,SUM(Assumptions!$H$37,Assumptions!$H$39,Assumptions!$H$42)*12)&gt;S$3),1,0)</f>
        <v>1</v>
      </c>
      <c r="T604">
        <f>+IF(AND(SUM(T603:$BY603)=0,EDATE(Assumptions!$H$36,SUM(Assumptions!$H$37,Assumptions!$H$39,Assumptions!$H$42)*12)&gt;T$3),1,0)</f>
        <v>1</v>
      </c>
      <c r="U604">
        <f>+IF(AND(SUM(U603:$BY603)=0,EDATE(Assumptions!$H$36,SUM(Assumptions!$H$37,Assumptions!$H$39,Assumptions!$H$42)*12)&gt;U$3),1,0)</f>
        <v>1</v>
      </c>
      <c r="V604">
        <f>+IF(AND(SUM(V603:$BY603)=0,EDATE(Assumptions!$H$36,SUM(Assumptions!$H$37,Assumptions!$H$39,Assumptions!$H$42)*12)&gt;V$3),1,0)</f>
        <v>1</v>
      </c>
      <c r="W604">
        <f>+IF(AND(SUM(W603:$BY603)=0,EDATE(Assumptions!$H$36,SUM(Assumptions!$H$37,Assumptions!$H$39,Assumptions!$H$42)*12)&gt;W$3),1,0)</f>
        <v>1</v>
      </c>
      <c r="X604">
        <f>+IF(AND(SUM(X603:$BY603)=0,EDATE(Assumptions!$H$36,SUM(Assumptions!$H$37,Assumptions!$H$39,Assumptions!$H$42)*12)&gt;X$3),1,0)</f>
        <v>1</v>
      </c>
      <c r="Y604">
        <f>+IF(AND(SUM(Y603:$BY603)=0,EDATE(Assumptions!$H$36,SUM(Assumptions!$H$37,Assumptions!$H$39,Assumptions!$H$42)*12)&gt;Y$3),1,0)</f>
        <v>1</v>
      </c>
      <c r="Z604">
        <f>+IF(AND(SUM(Z603:$BY603)=0,EDATE(Assumptions!$H$36,SUM(Assumptions!$H$37,Assumptions!$H$39,Assumptions!$H$42)*12)&gt;Z$3),1,0)</f>
        <v>0</v>
      </c>
      <c r="AA604">
        <f>+IF(AND(SUM(AA603:$BY603)=0,EDATE(Assumptions!$H$36,SUM(Assumptions!$H$37,Assumptions!$H$39,Assumptions!$H$42)*12)&gt;AA$3),1,0)</f>
        <v>0</v>
      </c>
      <c r="AB604">
        <f>+IF(AND(SUM(AB603:$BY603)=0,EDATE(Assumptions!$H$36,SUM(Assumptions!$H$37,Assumptions!$H$39,Assumptions!$H$42)*12)&gt;AB$3),1,0)</f>
        <v>0</v>
      </c>
      <c r="AC604">
        <f>+IF(AND(SUM(AC603:$BY603)=0,EDATE(Assumptions!$H$36,SUM(Assumptions!$H$37,Assumptions!$H$39,Assumptions!$H$42)*12)&gt;AC$3),1,0)</f>
        <v>0</v>
      </c>
      <c r="AD604">
        <f>+IF(AND(SUM(AD603:$BY603)=0,EDATE(Assumptions!$H$36,SUM(Assumptions!$H$37,Assumptions!$H$39,Assumptions!$H$42)*12)&gt;AD$3),1,0)</f>
        <v>0</v>
      </c>
      <c r="AE604">
        <f>+IF(AND(SUM(AE603:$BY603)=0,EDATE(Assumptions!$H$36,SUM(Assumptions!$H$37,Assumptions!$H$39,Assumptions!$H$42)*12)&gt;AE$3),1,0)</f>
        <v>0</v>
      </c>
      <c r="AF604">
        <f>+IF(AND(SUM(AF603:$BY603)=0,EDATE(Assumptions!$H$36,SUM(Assumptions!$H$37,Assumptions!$H$39,Assumptions!$H$42)*12)&gt;AF$3),1,0)</f>
        <v>0</v>
      </c>
      <c r="AG604">
        <f>+IF(AND(SUM(AG603:$BY603)=0,EDATE(Assumptions!$H$36,SUM(Assumptions!$H$37,Assumptions!$H$39,Assumptions!$H$42)*12)&gt;AG$3),1,0)</f>
        <v>0</v>
      </c>
      <c r="AH604">
        <f>+IF(AND(SUM(AH603:$BY603)=0,EDATE(Assumptions!$H$36,SUM(Assumptions!$H$37,Assumptions!$H$39,Assumptions!$H$42)*12)&gt;AH$3),1,0)</f>
        <v>0</v>
      </c>
      <c r="AI604">
        <f>+IF(AND(SUM(AI603:$BY603)=0,EDATE(Assumptions!$H$36,SUM(Assumptions!$H$37,Assumptions!$H$39,Assumptions!$H$42)*12)&gt;AI$3),1,0)</f>
        <v>0</v>
      </c>
      <c r="AJ604">
        <f>+IF(AND(SUM(AJ603:$BY603)=0,EDATE(Assumptions!$H$36,SUM(Assumptions!$H$37,Assumptions!$H$39,Assumptions!$H$42)*12)&gt;AJ$3),1,0)</f>
        <v>0</v>
      </c>
      <c r="AK604">
        <f>+IF(AND(SUM(AK603:$BY603)=0,EDATE(Assumptions!$H$36,SUM(Assumptions!$H$37,Assumptions!$H$39,Assumptions!$H$42)*12)&gt;AK$3),1,0)</f>
        <v>0</v>
      </c>
      <c r="AL604">
        <f>+IF(AND(SUM(AL603:$BY603)=0,EDATE(Assumptions!$H$36,SUM(Assumptions!$H$37,Assumptions!$H$39,Assumptions!$H$42)*12)&gt;AL$3),1,0)</f>
        <v>0</v>
      </c>
      <c r="AM604">
        <f>+IF(AND(SUM(AM603:$BY603)=0,EDATE(Assumptions!$H$36,SUM(Assumptions!$H$37,Assumptions!$H$39,Assumptions!$H$42)*12)&gt;AM$3),1,0)</f>
        <v>0</v>
      </c>
      <c r="AN604">
        <f>+IF(AND(SUM(AN603:$BY603)=0,EDATE(Assumptions!$H$36,SUM(Assumptions!$H$37,Assumptions!$H$39,Assumptions!$H$42)*12)&gt;AN$3),1,0)</f>
        <v>0</v>
      </c>
      <c r="AO604">
        <f>+IF(AND(SUM(AO603:$BY603)=0,EDATE(Assumptions!$H$36,SUM(Assumptions!$H$37,Assumptions!$H$39,Assumptions!$H$42)*12)&gt;AO$3),1,0)</f>
        <v>0</v>
      </c>
      <c r="AP604">
        <f>+IF(AND(SUM(AP603:$BY603)=0,EDATE(Assumptions!$H$36,SUM(Assumptions!$H$37,Assumptions!$H$39,Assumptions!$H$42)*12)&gt;AP$3),1,0)</f>
        <v>0</v>
      </c>
      <c r="AQ604">
        <f>+IF(AND(SUM(AQ603:$BY603)=0,EDATE(Assumptions!$H$36,SUM(Assumptions!$H$37,Assumptions!$H$39,Assumptions!$H$42)*12)&gt;AQ$3),1,0)</f>
        <v>0</v>
      </c>
      <c r="AR604">
        <f>+IF(AND(SUM(AR603:$BY603)=0,EDATE(Assumptions!$H$36,SUM(Assumptions!$H$37,Assumptions!$H$39,Assumptions!$H$42)*12)&gt;AR$3),1,0)</f>
        <v>0</v>
      </c>
      <c r="AS604">
        <f>+IF(AND(SUM(AS603:$BY603)=0,EDATE(Assumptions!$H$36,SUM(Assumptions!$H$37,Assumptions!$H$39,Assumptions!$H$42)*12)&gt;AS$3),1,0)</f>
        <v>0</v>
      </c>
      <c r="AT604">
        <f>+IF(AND(SUM(AT603:$BY603)=0,EDATE(Assumptions!$H$36,SUM(Assumptions!$H$37,Assumptions!$H$39,Assumptions!$H$42)*12)&gt;AT$3),1,0)</f>
        <v>0</v>
      </c>
      <c r="AU604">
        <f>+IF(AND(SUM(AU603:$BY603)=0,EDATE(Assumptions!$H$36,SUM(Assumptions!$H$37,Assumptions!$H$39,Assumptions!$H$42)*12)&gt;AU$3),1,0)</f>
        <v>0</v>
      </c>
      <c r="AV604">
        <f>+IF(AND(SUM(AV603:$BY603)=0,EDATE(Assumptions!$H$36,SUM(Assumptions!$H$37,Assumptions!$H$39,Assumptions!$H$42)*12)&gt;AV$3),1,0)</f>
        <v>0</v>
      </c>
      <c r="AW604">
        <f>+IF(AND(SUM(AW603:$BY603)=0,EDATE(Assumptions!$H$36,SUM(Assumptions!$H$37,Assumptions!$H$39,Assumptions!$H$42)*12)&gt;AW$3),1,0)</f>
        <v>0</v>
      </c>
      <c r="AX604">
        <f>+IF(AND(SUM(AX603:$BY603)=0,EDATE(Assumptions!$H$36,SUM(Assumptions!$H$37,Assumptions!$H$39,Assumptions!$H$42)*12)&gt;AX$3),1,0)</f>
        <v>0</v>
      </c>
      <c r="AY604">
        <f>+IF(AND(SUM(AY603:$BY603)=0,EDATE(Assumptions!$H$36,SUM(Assumptions!$H$37,Assumptions!$H$39,Assumptions!$H$42)*12)&gt;AY$3),1,0)</f>
        <v>0</v>
      </c>
      <c r="AZ604">
        <f>+IF(AND(SUM(AZ603:$BY603)=0,EDATE(Assumptions!$H$36,SUM(Assumptions!$H$37,Assumptions!$H$39,Assumptions!$H$42)*12)&gt;AZ$3),1,0)</f>
        <v>0</v>
      </c>
      <c r="BA604">
        <f>+IF(AND(SUM(BA603:$BY603)=0,EDATE(Assumptions!$H$36,SUM(Assumptions!$H$37,Assumptions!$H$39,Assumptions!$H$42)*12)&gt;BA$3),1,0)</f>
        <v>0</v>
      </c>
      <c r="BB604">
        <f>+IF(AND(SUM(BB603:$BY603)=0,EDATE(Assumptions!$H$36,SUM(Assumptions!$H$37,Assumptions!$H$39,Assumptions!$H$42)*12)&gt;BB$3),1,0)</f>
        <v>0</v>
      </c>
      <c r="BC604">
        <f>+IF(AND(SUM(BC603:$BY603)=0,EDATE(Assumptions!$H$36,SUM(Assumptions!$H$37,Assumptions!$H$39,Assumptions!$H$42)*12)&gt;BC$3),1,0)</f>
        <v>0</v>
      </c>
      <c r="BD604">
        <f>+IF(AND(SUM(BD603:$BY603)=0,EDATE(Assumptions!$H$36,SUM(Assumptions!$H$37,Assumptions!$H$39,Assumptions!$H$42)*12)&gt;BD$3),1,0)</f>
        <v>0</v>
      </c>
      <c r="BE604">
        <f>+IF(AND(SUM(BE603:$BY603)=0,EDATE(Assumptions!$H$36,SUM(Assumptions!$H$37,Assumptions!$H$39,Assumptions!$H$42)*12)&gt;BE$3),1,0)</f>
        <v>0</v>
      </c>
      <c r="BF604">
        <f>+IF(AND(SUM(BF603:$BY603)=0,EDATE(Assumptions!$H$36,SUM(Assumptions!$H$37,Assumptions!$H$39,Assumptions!$H$42)*12)&gt;BF$3),1,0)</f>
        <v>0</v>
      </c>
      <c r="BG604">
        <f>+IF(AND(SUM(BG603:$BY603)=0,EDATE(Assumptions!$H$36,SUM(Assumptions!$H$37,Assumptions!$H$39,Assumptions!$H$42)*12)&gt;BG$3),1,0)</f>
        <v>0</v>
      </c>
      <c r="BH604">
        <f>+IF(AND(SUM(BH603:$BY603)=0,EDATE(Assumptions!$H$36,SUM(Assumptions!$H$37,Assumptions!$H$39,Assumptions!$H$42)*12)&gt;BH$3),1,0)</f>
        <v>0</v>
      </c>
      <c r="BI604">
        <f>+IF(AND(SUM(BI603:$BY603)=0,EDATE(Assumptions!$H$36,SUM(Assumptions!$H$37,Assumptions!$H$39,Assumptions!$H$42)*12)&gt;BI$3),1,0)</f>
        <v>0</v>
      </c>
      <c r="BJ604">
        <f>+IF(AND(SUM(BJ603:$BY603)=0,EDATE(Assumptions!$H$36,SUM(Assumptions!$H$37,Assumptions!$H$39,Assumptions!$H$42)*12)&gt;BJ$3),1,0)</f>
        <v>0</v>
      </c>
      <c r="BK604">
        <f>+IF(AND(SUM(BK603:$BY603)=0,EDATE(Assumptions!$H$36,SUM(Assumptions!$H$37,Assumptions!$H$39,Assumptions!$H$42)*12)&gt;BK$3),1,0)</f>
        <v>0</v>
      </c>
      <c r="BL604">
        <f>+IF(AND(SUM(BL603:$BY603)=0,EDATE(Assumptions!$H$36,SUM(Assumptions!$H$37,Assumptions!$H$39,Assumptions!$H$42)*12)&gt;BL$3),1,0)</f>
        <v>0</v>
      </c>
      <c r="BM604">
        <f>+IF(AND(SUM(BM603:$BY603)=0,EDATE(Assumptions!$H$36,SUM(Assumptions!$H$37,Assumptions!$H$39,Assumptions!$H$42)*12)&gt;BM$3),1,0)</f>
        <v>0</v>
      </c>
      <c r="BN604">
        <f>+IF(AND(SUM(BN603:$BY603)=0,EDATE(Assumptions!$H$36,SUM(Assumptions!$H$37,Assumptions!$H$39,Assumptions!$H$42)*12)&gt;BN$3),1,0)</f>
        <v>0</v>
      </c>
      <c r="BO604">
        <f>+IF(AND(SUM(BO603:$BY603)=0,EDATE(Assumptions!$H$36,SUM(Assumptions!$H$37,Assumptions!$H$39,Assumptions!$H$42)*12)&gt;BO$3),1,0)</f>
        <v>0</v>
      </c>
      <c r="BP604">
        <f>+IF(AND(SUM(BP603:$BY603)=0,EDATE(Assumptions!$H$36,SUM(Assumptions!$H$37,Assumptions!$H$39,Assumptions!$H$42)*12)&gt;BP$3),1,0)</f>
        <v>0</v>
      </c>
      <c r="BQ604">
        <f>+IF(AND(SUM(BQ603:$BY603)=0,EDATE(Assumptions!$H$36,SUM(Assumptions!$H$37,Assumptions!$H$39,Assumptions!$H$42)*12)&gt;BQ$3),1,0)</f>
        <v>0</v>
      </c>
      <c r="BR604">
        <f>+IF(AND(SUM(BR603:$BY603)=0,EDATE(Assumptions!$H$36,SUM(Assumptions!$H$37,Assumptions!$H$39,Assumptions!$H$42)*12)&gt;BR$3),1,0)</f>
        <v>0</v>
      </c>
      <c r="BS604">
        <f>+IF(AND(SUM(BS603:$BY603)=0,EDATE(Assumptions!$H$36,SUM(Assumptions!$H$37,Assumptions!$H$39,Assumptions!$H$42)*12)&gt;BS$3),1,0)</f>
        <v>0</v>
      </c>
      <c r="BT604">
        <f>+IF(AND(SUM(BT603:$BY603)=0,EDATE(Assumptions!$H$36,SUM(Assumptions!$H$37,Assumptions!$H$39,Assumptions!$H$42)*12)&gt;BT$3),1,0)</f>
        <v>0</v>
      </c>
      <c r="BU604">
        <f>+IF(AND(SUM(BU603:$BY603)=0,EDATE(Assumptions!$H$36,SUM(Assumptions!$H$37,Assumptions!$H$39,Assumptions!$H$42)*12)&gt;BU$3),1,0)</f>
        <v>0</v>
      </c>
      <c r="BV604">
        <f>+IF(AND(SUM(BV603:$BY603)=0,EDATE(Assumptions!$H$36,SUM(Assumptions!$H$37,Assumptions!$H$39,Assumptions!$H$42)*12)&gt;BV$3),1,0)</f>
        <v>0</v>
      </c>
      <c r="BW604">
        <f>+IF(AND(SUM(BW603:$BY603)=0,EDATE(Assumptions!$H$36,SUM(Assumptions!$H$37,Assumptions!$H$39,Assumptions!$H$42)*12)&gt;BW$3),1,0)</f>
        <v>0</v>
      </c>
      <c r="BX604">
        <f>+IF(AND(SUM(BX603:$BY603)=0,EDATE(Assumptions!$H$36,SUM(Assumptions!$H$37,Assumptions!$H$39,Assumptions!$H$42)*12)&gt;BX$3),1,0)</f>
        <v>0</v>
      </c>
      <c r="BY604">
        <f>+IF(AND(SUM(BY603:$BY603)=0,EDATE(Assumptions!$H$36,SUM(Assumptions!$H$37,Assumptions!$H$39,Assumptions!$H$42)*12)&gt;BY$3),1,0)</f>
        <v>0</v>
      </c>
    </row>
    <row r="605" spans="1:77" outlineLevel="1">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row>
    <row r="606" spans="1:77" s="19" customFormat="1" outlineLevel="1">
      <c r="A606"/>
      <c r="B606" s="18" t="s">
        <v>189</v>
      </c>
    </row>
    <row r="607" spans="1:77" outlineLevel="1">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row>
    <row r="608" spans="1:77" ht="15" outlineLevel="1">
      <c r="C608" s="74" t="s">
        <v>489</v>
      </c>
      <c r="E608" s="22" t="s">
        <v>446</v>
      </c>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row>
    <row r="609" spans="2:77" outlineLevel="1">
      <c r="C609" s="76">
        <f>+SUM(H610:BY610)</f>
        <v>0</v>
      </c>
      <c r="E609" t="s">
        <v>197</v>
      </c>
      <c r="F609" s="80" t="s">
        <v>159</v>
      </c>
      <c r="H609" s="33">
        <f>IFERROR((1+Sensitivity_tables!$N$23)*IF(Assumptions!$H$34="Purchased",0,+IF(AND(H602=1,Assumptions!$H$45="Yes",Assumptions!$H$46="Detailed"),-Assumptions_Detailed!H$121,IF(H602=1,-Assumptions!$H$48/SUM($H$602:$BY$602)*H599,0))),0)</f>
        <v>0</v>
      </c>
      <c r="I609" s="33">
        <f>IFERROR((1+Sensitivity_tables!$N$23)*IF(Assumptions!$H$34="Purchased",0,+IF(AND(I602=1,Assumptions!$H$45="Yes",Assumptions!$H$46="Detailed"),-Assumptions_Detailed!I$121,IF(I602=1,-Assumptions!$H$48/SUM($H$602:$BY$602)*I599,0))),0)</f>
        <v>0</v>
      </c>
      <c r="J609" s="33">
        <f>IFERROR((1+Sensitivity_tables!$N$23)*IF(Assumptions!$H$34="Purchased",0,+IF(AND(J602=1,Assumptions!$H$45="Yes",Assumptions!$H$46="Detailed"),-Assumptions_Detailed!J$121,IF(J602=1,-Assumptions!$H$48/SUM($H$602:$BY$602)*J599,0))),0)</f>
        <v>0</v>
      </c>
      <c r="K609" s="33">
        <f>IFERROR((1+Sensitivity_tables!$N$23)*IF(Assumptions!$H$34="Purchased",0,+IF(AND(K602=1,Assumptions!$H$45="Yes",Assumptions!$H$46="Detailed"),-Assumptions_Detailed!K$121,IF(K602=1,-Assumptions!$H$48/SUM($H$602:$BY$602)*K599,0))),0)</f>
        <v>0</v>
      </c>
      <c r="L609" s="33">
        <f>IFERROR((1+Sensitivity_tables!$N$23)*IF(Assumptions!$H$34="Purchased",0,+IF(AND(L602=1,Assumptions!$H$45="Yes",Assumptions!$H$46="Detailed"),-Assumptions_Detailed!L$121,IF(L602=1,-Assumptions!$H$48/SUM($H$602:$BY$602)*L599,0))),0)</f>
        <v>0</v>
      </c>
      <c r="M609" s="33">
        <f>IFERROR((1+Sensitivity_tables!$N$23)*IF(Assumptions!$H$34="Purchased",0,+IF(AND(M602=1,Assumptions!$H$45="Yes",Assumptions!$H$46="Detailed"),-Assumptions_Detailed!M$121,IF(M602=1,-Assumptions!$H$48/SUM($H$602:$BY$602)*M599,0))),0)</f>
        <v>0</v>
      </c>
      <c r="N609" s="33">
        <f>IFERROR((1+Sensitivity_tables!$N$23)*IF(Assumptions!$H$34="Purchased",0,+IF(AND(N602=1,Assumptions!$H$45="Yes",Assumptions!$H$46="Detailed"),-Assumptions_Detailed!N$121,IF(N602=1,-Assumptions!$H$48/SUM($H$602:$BY$602)*N599,0))),0)</f>
        <v>0</v>
      </c>
      <c r="O609" s="33">
        <f>IFERROR((1+Sensitivity_tables!$N$23)*IF(Assumptions!$H$34="Purchased",0,+IF(AND(O602=1,Assumptions!$H$45="Yes",Assumptions!$H$46="Detailed"),-Assumptions_Detailed!O$121,IF(O602=1,-Assumptions!$H$48/SUM($H$602:$BY$602)*O599,0))),0)</f>
        <v>0</v>
      </c>
      <c r="P609" s="33">
        <f>IFERROR((1+Sensitivity_tables!$N$23)*IF(Assumptions!$H$34="Purchased",0,+IF(AND(P602=1,Assumptions!$H$45="Yes",Assumptions!$H$46="Detailed"),-Assumptions_Detailed!P$121,IF(P602=1,-Assumptions!$H$48/SUM($H$602:$BY$602)*P599,0))),0)</f>
        <v>0</v>
      </c>
      <c r="Q609" s="33">
        <f>IFERROR((1+Sensitivity_tables!$N$23)*IF(Assumptions!$H$34="Purchased",0,+IF(AND(Q602=1,Assumptions!$H$45="Yes",Assumptions!$H$46="Detailed"),-Assumptions_Detailed!Q$121,IF(Q602=1,-Assumptions!$H$48/SUM($H$602:$BY$602)*Q599,0))),0)</f>
        <v>0</v>
      </c>
      <c r="R609" s="33">
        <f>IFERROR((1+Sensitivity_tables!$N$23)*IF(Assumptions!$H$34="Purchased",0,+IF(AND(R602=1,Assumptions!$H$45="Yes",Assumptions!$H$46="Detailed"),-Assumptions_Detailed!R$121,IF(R602=1,-Assumptions!$H$48/SUM($H$602:$BY$602)*R599,0))),0)</f>
        <v>0</v>
      </c>
      <c r="S609" s="33">
        <f>IFERROR((1+Sensitivity_tables!$N$23)*IF(Assumptions!$H$34="Purchased",0,+IF(AND(S602=1,Assumptions!$H$45="Yes",Assumptions!$H$46="Detailed"),-Assumptions_Detailed!S$121,IF(S602=1,-Assumptions!$H$48/SUM($H$602:$BY$602)*S599,0))),0)</f>
        <v>0</v>
      </c>
      <c r="T609" s="33">
        <f>IFERROR((1+Sensitivity_tables!$N$23)*IF(Assumptions!$H$34="Purchased",0,+IF(AND(T602=1,Assumptions!$H$45="Yes",Assumptions!$H$46="Detailed"),-Assumptions_Detailed!T$121,IF(T602=1,-Assumptions!$H$48/SUM($H$602:$BY$602)*T599,0))),0)</f>
        <v>0</v>
      </c>
      <c r="U609" s="33">
        <f>IFERROR((1+Sensitivity_tables!$N$23)*IF(Assumptions!$H$34="Purchased",0,+IF(AND(U602=1,Assumptions!$H$45="Yes",Assumptions!$H$46="Detailed"),-Assumptions_Detailed!U$121,IF(U602=1,-Assumptions!$H$48/SUM($H$602:$BY$602)*U599,0))),0)</f>
        <v>0</v>
      </c>
      <c r="V609" s="33">
        <f>IFERROR((1+Sensitivity_tables!$N$23)*IF(Assumptions!$H$34="Purchased",0,+IF(AND(V602=1,Assumptions!$H$45="Yes",Assumptions!$H$46="Detailed"),-Assumptions_Detailed!V$121,IF(V602=1,-Assumptions!$H$48/SUM($H$602:$BY$602)*V599,0))),0)</f>
        <v>0</v>
      </c>
      <c r="W609" s="33">
        <f>IFERROR((1+Sensitivity_tables!$N$23)*IF(Assumptions!$H$34="Purchased",0,+IF(AND(W602=1,Assumptions!$H$45="Yes",Assumptions!$H$46="Detailed"),-Assumptions_Detailed!W$121,IF(W602=1,-Assumptions!$H$48/SUM($H$602:$BY$602)*W599,0))),0)</f>
        <v>0</v>
      </c>
      <c r="X609" s="33">
        <f>IFERROR((1+Sensitivity_tables!$N$23)*IF(Assumptions!$H$34="Purchased",0,+IF(AND(X602=1,Assumptions!$H$45="Yes",Assumptions!$H$46="Detailed"),-Assumptions_Detailed!X$121,IF(X602=1,-Assumptions!$H$48/SUM($H$602:$BY$602)*X599,0))),0)</f>
        <v>0</v>
      </c>
      <c r="Y609" s="33">
        <f>IFERROR((1+Sensitivity_tables!$N$23)*IF(Assumptions!$H$34="Purchased",0,+IF(AND(Y602=1,Assumptions!$H$45="Yes",Assumptions!$H$46="Detailed"),-Assumptions_Detailed!Y$121,IF(Y602=1,-Assumptions!$H$48/SUM($H$602:$BY$602)*Y599,0))),0)</f>
        <v>0</v>
      </c>
      <c r="Z609" s="33">
        <f>IFERROR((1+Sensitivity_tables!$N$23)*IF(Assumptions!$H$34="Purchased",0,+IF(AND(Z602=1,Assumptions!$H$45="Yes",Assumptions!$H$46="Detailed"),-Assumptions_Detailed!Z$121,IF(Z602=1,-Assumptions!$H$48/SUM($H$602:$BY$602)*Z599,0))),0)</f>
        <v>0</v>
      </c>
      <c r="AA609" s="33">
        <f>IFERROR((1+Sensitivity_tables!$N$23)*IF(Assumptions!$H$34="Purchased",0,+IF(AND(AA602=1,Assumptions!$H$45="Yes",Assumptions!$H$46="Detailed"),-Assumptions_Detailed!AA$121,IF(AA602=1,-Assumptions!$H$48/SUM($H$602:$BY$602)*AA599,0))),0)</f>
        <v>0</v>
      </c>
      <c r="AB609" s="33">
        <f>IFERROR((1+Sensitivity_tables!$N$23)*IF(Assumptions!$H$34="Purchased",0,+IF(AND(AB602=1,Assumptions!$H$45="Yes",Assumptions!$H$46="Detailed"),-Assumptions_Detailed!AB$121,IF(AB602=1,-Assumptions!$H$48/SUM($H$602:$BY$602)*AB599,0))),0)</f>
        <v>0</v>
      </c>
      <c r="AC609" s="33">
        <f>IFERROR((1+Sensitivity_tables!$N$23)*IF(Assumptions!$H$34="Purchased",0,+IF(AND(AC602=1,Assumptions!$H$45="Yes",Assumptions!$H$46="Detailed"),-Assumptions_Detailed!AC$121,IF(AC602=1,-Assumptions!$H$48/SUM($H$602:$BY$602)*AC599,0))),0)</f>
        <v>0</v>
      </c>
      <c r="AD609" s="33">
        <f>IFERROR((1+Sensitivity_tables!$N$23)*IF(Assumptions!$H$34="Purchased",0,+IF(AND(AD602=1,Assumptions!$H$45="Yes",Assumptions!$H$46="Detailed"),-Assumptions_Detailed!AD$121,IF(AD602=1,-Assumptions!$H$48/SUM($H$602:$BY$602)*AD599,0))),0)</f>
        <v>0</v>
      </c>
      <c r="AE609" s="33">
        <f>IFERROR((1+Sensitivity_tables!$N$23)*IF(Assumptions!$H$34="Purchased",0,+IF(AND(AE602=1,Assumptions!$H$45="Yes",Assumptions!$H$46="Detailed"),-Assumptions_Detailed!AE$121,IF(AE602=1,-Assumptions!$H$48/SUM($H$602:$BY$602)*AE599,0))),0)</f>
        <v>0</v>
      </c>
      <c r="AF609" s="33">
        <f>IFERROR((1+Sensitivity_tables!$N$23)*IF(Assumptions!$H$34="Purchased",0,+IF(AND(AF602=1,Assumptions!$H$45="Yes",Assumptions!$H$46="Detailed"),-Assumptions_Detailed!AF$121,IF(AF602=1,-Assumptions!$H$48/SUM($H$602:$BY$602)*AF599,0))),0)</f>
        <v>0</v>
      </c>
      <c r="AG609" s="33">
        <f>IFERROR((1+Sensitivity_tables!$N$23)*IF(Assumptions!$H$34="Purchased",0,+IF(AND(AG602=1,Assumptions!$H$45="Yes",Assumptions!$H$46="Detailed"),-Assumptions_Detailed!AG$121,IF(AG602=1,-Assumptions!$H$48/SUM($H$602:$BY$602)*AG599,0))),0)</f>
        <v>0</v>
      </c>
      <c r="AH609" s="33">
        <f>IFERROR((1+Sensitivity_tables!$N$23)*IF(Assumptions!$H$34="Purchased",0,+IF(AND(AH602=1,Assumptions!$H$45="Yes",Assumptions!$H$46="Detailed"),-Assumptions_Detailed!AH$121,IF(AH602=1,-Assumptions!$H$48/SUM($H$602:$BY$602)*AH599,0))),0)</f>
        <v>0</v>
      </c>
      <c r="AI609" s="33">
        <f>IFERROR((1+Sensitivity_tables!$N$23)*IF(Assumptions!$H$34="Purchased",0,+IF(AND(AI602=1,Assumptions!$H$45="Yes",Assumptions!$H$46="Detailed"),-Assumptions_Detailed!AI$121,IF(AI602=1,-Assumptions!$H$48/SUM($H$602:$BY$602)*AI599,0))),0)</f>
        <v>0</v>
      </c>
      <c r="AJ609" s="33">
        <f>IFERROR((1+Sensitivity_tables!$N$23)*IF(Assumptions!$H$34="Purchased",0,+IF(AND(AJ602=1,Assumptions!$H$45="Yes",Assumptions!$H$46="Detailed"),-Assumptions_Detailed!AJ$121,IF(AJ602=1,-Assumptions!$H$48/SUM($H$602:$BY$602)*AJ599,0))),0)</f>
        <v>0</v>
      </c>
      <c r="AK609" s="33">
        <f>IFERROR((1+Sensitivity_tables!$N$23)*IF(Assumptions!$H$34="Purchased",0,+IF(AND(AK602=1,Assumptions!$H$45="Yes",Assumptions!$H$46="Detailed"),-Assumptions_Detailed!AK$121,IF(AK602=1,-Assumptions!$H$48/SUM($H$602:$BY$602)*AK599,0))),0)</f>
        <v>0</v>
      </c>
      <c r="AL609" s="33">
        <f>IFERROR((1+Sensitivity_tables!$N$23)*IF(Assumptions!$H$34="Purchased",0,+IF(AND(AL602=1,Assumptions!$H$45="Yes",Assumptions!$H$46="Detailed"),-Assumptions_Detailed!AL$121,IF(AL602=1,-Assumptions!$H$48/SUM($H$602:$BY$602)*AL599,0))),0)</f>
        <v>0</v>
      </c>
      <c r="AM609" s="33">
        <f>IFERROR((1+Sensitivity_tables!$N$23)*IF(Assumptions!$H$34="Purchased",0,+IF(AND(AM602=1,Assumptions!$H$45="Yes",Assumptions!$H$46="Detailed"),-Assumptions_Detailed!AM$121,IF(AM602=1,-Assumptions!$H$48/SUM($H$602:$BY$602)*AM599,0))),0)</f>
        <v>0</v>
      </c>
      <c r="AN609" s="33">
        <f>IFERROR((1+Sensitivity_tables!$N$23)*IF(Assumptions!$H$34="Purchased",0,+IF(AND(AN602=1,Assumptions!$H$45="Yes",Assumptions!$H$46="Detailed"),-Assumptions_Detailed!AN$121,IF(AN602=1,-Assumptions!$H$48/SUM($H$602:$BY$602)*AN599,0))),0)</f>
        <v>0</v>
      </c>
      <c r="AO609" s="33">
        <f>IFERROR((1+Sensitivity_tables!$N$23)*IF(Assumptions!$H$34="Purchased",0,+IF(AND(AO602=1,Assumptions!$H$45="Yes",Assumptions!$H$46="Detailed"),-Assumptions_Detailed!AO$121,IF(AO602=1,-Assumptions!$H$48/SUM($H$602:$BY$602)*AO599,0))),0)</f>
        <v>0</v>
      </c>
      <c r="AP609" s="33">
        <f>IFERROR((1+Sensitivity_tables!$N$23)*IF(Assumptions!$H$34="Purchased",0,+IF(AND(AP602=1,Assumptions!$H$45="Yes",Assumptions!$H$46="Detailed"),-Assumptions_Detailed!AP$121,IF(AP602=1,-Assumptions!$H$48/SUM($H$602:$BY$602)*AP599,0))),0)</f>
        <v>0</v>
      </c>
      <c r="AQ609" s="33">
        <f>IFERROR((1+Sensitivity_tables!$N$23)*IF(Assumptions!$H$34="Purchased",0,+IF(AND(AQ602=1,Assumptions!$H$45="Yes",Assumptions!$H$46="Detailed"),-Assumptions_Detailed!AQ$121,IF(AQ602=1,-Assumptions!$H$48/SUM($H$602:$BY$602)*AQ599,0))),0)</f>
        <v>0</v>
      </c>
      <c r="AR609" s="33">
        <f>IFERROR((1+Sensitivity_tables!$N$23)*IF(Assumptions!$H$34="Purchased",0,+IF(AND(AR602=1,Assumptions!$H$45="Yes",Assumptions!$H$46="Detailed"),-Assumptions_Detailed!AR$121,IF(AR602=1,-Assumptions!$H$48/SUM($H$602:$BY$602)*AR599,0))),0)</f>
        <v>0</v>
      </c>
      <c r="AS609" s="33">
        <f>IFERROR((1+Sensitivity_tables!$N$23)*IF(Assumptions!$H$34="Purchased",0,+IF(AND(AS602=1,Assumptions!$H$45="Yes",Assumptions!$H$46="Detailed"),-Assumptions_Detailed!AS$121,IF(AS602=1,-Assumptions!$H$48/SUM($H$602:$BY$602)*AS599,0))),0)</f>
        <v>0</v>
      </c>
      <c r="AT609" s="33">
        <f>IFERROR((1+Sensitivity_tables!$N$23)*IF(Assumptions!$H$34="Purchased",0,+IF(AND(AT602=1,Assumptions!$H$45="Yes",Assumptions!$H$46="Detailed"),-Assumptions_Detailed!AT$121,IF(AT602=1,-Assumptions!$H$48/SUM($H$602:$BY$602)*AT599,0))),0)</f>
        <v>0</v>
      </c>
      <c r="AU609" s="33">
        <f>IFERROR((1+Sensitivity_tables!$N$23)*IF(Assumptions!$H$34="Purchased",0,+IF(AND(AU602=1,Assumptions!$H$45="Yes",Assumptions!$H$46="Detailed"),-Assumptions_Detailed!AU$121,IF(AU602=1,-Assumptions!$H$48/SUM($H$602:$BY$602)*AU599,0))),0)</f>
        <v>0</v>
      </c>
      <c r="AV609" s="33">
        <f>IFERROR((1+Sensitivity_tables!$N$23)*IF(Assumptions!$H$34="Purchased",0,+IF(AND(AV602=1,Assumptions!$H$45="Yes",Assumptions!$H$46="Detailed"),-Assumptions_Detailed!AV$121,IF(AV602=1,-Assumptions!$H$48/SUM($H$602:$BY$602)*AV599,0))),0)</f>
        <v>0</v>
      </c>
      <c r="AW609" s="33">
        <f>IFERROR((1+Sensitivity_tables!$N$23)*IF(Assumptions!$H$34="Purchased",0,+IF(AND(AW602=1,Assumptions!$H$45="Yes",Assumptions!$H$46="Detailed"),-Assumptions_Detailed!AW$121,IF(AW602=1,-Assumptions!$H$48/SUM($H$602:$BY$602)*AW599,0))),0)</f>
        <v>0</v>
      </c>
      <c r="AX609" s="33">
        <f>IFERROR((1+Sensitivity_tables!$N$23)*IF(Assumptions!$H$34="Purchased",0,+IF(AND(AX602=1,Assumptions!$H$45="Yes",Assumptions!$H$46="Detailed"),-Assumptions_Detailed!AX$121,IF(AX602=1,-Assumptions!$H$48/SUM($H$602:$BY$602)*AX599,0))),0)</f>
        <v>0</v>
      </c>
      <c r="AY609" s="33">
        <f>IFERROR((1+Sensitivity_tables!$N$23)*IF(Assumptions!$H$34="Purchased",0,+IF(AND(AY602=1,Assumptions!$H$45="Yes",Assumptions!$H$46="Detailed"),-Assumptions_Detailed!AY$121,IF(AY602=1,-Assumptions!$H$48/SUM($H$602:$BY$602)*AY599,0))),0)</f>
        <v>0</v>
      </c>
      <c r="AZ609" s="33">
        <f>IFERROR((1+Sensitivity_tables!$N$23)*IF(Assumptions!$H$34="Purchased",0,+IF(AND(AZ602=1,Assumptions!$H$45="Yes",Assumptions!$H$46="Detailed"),-Assumptions_Detailed!AZ$121,IF(AZ602=1,-Assumptions!$H$48/SUM($H$602:$BY$602)*AZ599,0))),0)</f>
        <v>0</v>
      </c>
      <c r="BA609" s="33">
        <f>IFERROR((1+Sensitivity_tables!$N$23)*IF(Assumptions!$H$34="Purchased",0,+IF(AND(BA602=1,Assumptions!$H$45="Yes",Assumptions!$H$46="Detailed"),-Assumptions_Detailed!BA$121,IF(BA602=1,-Assumptions!$H$48/SUM($H$602:$BY$602)*BA599,0))),0)</f>
        <v>0</v>
      </c>
      <c r="BB609" s="33">
        <f>IFERROR((1+Sensitivity_tables!$N$23)*IF(Assumptions!$H$34="Purchased",0,+IF(AND(BB602=1,Assumptions!$H$45="Yes",Assumptions!$H$46="Detailed"),-Assumptions_Detailed!BB$121,IF(BB602=1,-Assumptions!$H$48/SUM($H$602:$BY$602)*BB599,0))),0)</f>
        <v>0</v>
      </c>
      <c r="BC609" s="33">
        <f>IFERROR((1+Sensitivity_tables!$N$23)*IF(Assumptions!$H$34="Purchased",0,+IF(AND(BC602=1,Assumptions!$H$45="Yes",Assumptions!$H$46="Detailed"),-Assumptions_Detailed!BC$121,IF(BC602=1,-Assumptions!$H$48/SUM($H$602:$BY$602)*BC599,0))),0)</f>
        <v>0</v>
      </c>
      <c r="BD609" s="33">
        <f>IFERROR((1+Sensitivity_tables!$N$23)*IF(Assumptions!$H$34="Purchased",0,+IF(AND(BD602=1,Assumptions!$H$45="Yes",Assumptions!$H$46="Detailed"),-Assumptions_Detailed!BD$121,IF(BD602=1,-Assumptions!$H$48/SUM($H$602:$BY$602)*BD599,0))),0)</f>
        <v>0</v>
      </c>
      <c r="BE609" s="33">
        <f>IFERROR((1+Sensitivity_tables!$N$23)*IF(Assumptions!$H$34="Purchased",0,+IF(AND(BE602=1,Assumptions!$H$45="Yes",Assumptions!$H$46="Detailed"),-Assumptions_Detailed!BE$121,IF(BE602=1,-Assumptions!$H$48/SUM($H$602:$BY$602)*BE599,0))),0)</f>
        <v>0</v>
      </c>
      <c r="BF609" s="33">
        <f>IFERROR((1+Sensitivity_tables!$N$23)*IF(Assumptions!$H$34="Purchased",0,+IF(AND(BF602=1,Assumptions!$H$45="Yes",Assumptions!$H$46="Detailed"),-Assumptions_Detailed!BF$121,IF(BF602=1,-Assumptions!$H$48/SUM($H$602:$BY$602)*BF599,0))),0)</f>
        <v>0</v>
      </c>
      <c r="BG609" s="33">
        <f>IFERROR((1+Sensitivity_tables!$N$23)*IF(Assumptions!$H$34="Purchased",0,+IF(AND(BG602=1,Assumptions!$H$45="Yes",Assumptions!$H$46="Detailed"),-Assumptions_Detailed!BG$121,IF(BG602=1,-Assumptions!$H$48/SUM($H$602:$BY$602)*BG599,0))),0)</f>
        <v>0</v>
      </c>
      <c r="BH609" s="33">
        <f>IFERROR((1+Sensitivity_tables!$N$23)*IF(Assumptions!$H$34="Purchased",0,+IF(AND(BH602=1,Assumptions!$H$45="Yes",Assumptions!$H$46="Detailed"),-Assumptions_Detailed!BH$121,IF(BH602=1,-Assumptions!$H$48/SUM($H$602:$BY$602)*BH599,0))),0)</f>
        <v>0</v>
      </c>
      <c r="BI609" s="33">
        <f>IFERROR((1+Sensitivity_tables!$N$23)*IF(Assumptions!$H$34="Purchased",0,+IF(AND(BI602=1,Assumptions!$H$45="Yes",Assumptions!$H$46="Detailed"),-Assumptions_Detailed!BI$121,IF(BI602=1,-Assumptions!$H$48/SUM($H$602:$BY$602)*BI599,0))),0)</f>
        <v>0</v>
      </c>
      <c r="BJ609" s="33">
        <f>IFERROR((1+Sensitivity_tables!$N$23)*IF(Assumptions!$H$34="Purchased",0,+IF(AND(BJ602=1,Assumptions!$H$45="Yes",Assumptions!$H$46="Detailed"),-Assumptions_Detailed!BJ$121,IF(BJ602=1,-Assumptions!$H$48/SUM($H$602:$BY$602)*BJ599,0))),0)</f>
        <v>0</v>
      </c>
      <c r="BK609" s="33">
        <f>IFERROR((1+Sensitivity_tables!$N$23)*IF(Assumptions!$H$34="Purchased",0,+IF(AND(BK602=1,Assumptions!$H$45="Yes",Assumptions!$H$46="Detailed"),-Assumptions_Detailed!BK$121,IF(BK602=1,-Assumptions!$H$48/SUM($H$602:$BY$602)*BK599,0))),0)</f>
        <v>0</v>
      </c>
      <c r="BL609" s="33">
        <f>IFERROR((1+Sensitivity_tables!$N$23)*IF(Assumptions!$H$34="Purchased",0,+IF(AND(BL602=1,Assumptions!$H$45="Yes",Assumptions!$H$46="Detailed"),-Assumptions_Detailed!BL$121,IF(BL602=1,-Assumptions!$H$48/SUM($H$602:$BY$602)*BL599,0))),0)</f>
        <v>0</v>
      </c>
      <c r="BM609" s="33">
        <f>IFERROR((1+Sensitivity_tables!$N$23)*IF(Assumptions!$H$34="Purchased",0,+IF(AND(BM602=1,Assumptions!$H$45="Yes",Assumptions!$H$46="Detailed"),-Assumptions_Detailed!BM$121,IF(BM602=1,-Assumptions!$H$48/SUM($H$602:$BY$602)*BM599,0))),0)</f>
        <v>0</v>
      </c>
      <c r="BN609" s="33">
        <f>IFERROR((1+Sensitivity_tables!$N$23)*IF(Assumptions!$H$34="Purchased",0,+IF(AND(BN602=1,Assumptions!$H$45="Yes",Assumptions!$H$46="Detailed"),-Assumptions_Detailed!BN$121,IF(BN602=1,-Assumptions!$H$48/SUM($H$602:$BY$602)*BN599,0))),0)</f>
        <v>0</v>
      </c>
      <c r="BO609" s="33">
        <f>IFERROR((1+Sensitivity_tables!$N$23)*IF(Assumptions!$H$34="Purchased",0,+IF(AND(BO602=1,Assumptions!$H$45="Yes",Assumptions!$H$46="Detailed"),-Assumptions_Detailed!BO$121,IF(BO602=1,-Assumptions!$H$48/SUM($H$602:$BY$602)*BO599,0))),0)</f>
        <v>0</v>
      </c>
      <c r="BP609" s="33">
        <f>IFERROR((1+Sensitivity_tables!$N$23)*IF(Assumptions!$H$34="Purchased",0,+IF(AND(BP602=1,Assumptions!$H$45="Yes",Assumptions!$H$46="Detailed"),-Assumptions_Detailed!BP$121,IF(BP602=1,-Assumptions!$H$48/SUM($H$602:$BY$602)*BP599,0))),0)</f>
        <v>0</v>
      </c>
      <c r="BQ609" s="33">
        <f>IFERROR((1+Sensitivity_tables!$N$23)*IF(Assumptions!$H$34="Purchased",0,+IF(AND(BQ602=1,Assumptions!$H$45="Yes",Assumptions!$H$46="Detailed"),-Assumptions_Detailed!BQ$121,IF(BQ602=1,-Assumptions!$H$48/SUM($H$602:$BY$602)*BQ599,0))),0)</f>
        <v>0</v>
      </c>
      <c r="BR609" s="33">
        <f>IFERROR((1+Sensitivity_tables!$N$23)*IF(Assumptions!$H$34="Purchased",0,+IF(AND(BR602=1,Assumptions!$H$45="Yes",Assumptions!$H$46="Detailed"),-Assumptions_Detailed!BR$121,IF(BR602=1,-Assumptions!$H$48/SUM($H$602:$BY$602)*BR599,0))),0)</f>
        <v>0</v>
      </c>
      <c r="BS609" s="33">
        <f>IFERROR((1+Sensitivity_tables!$N$23)*IF(Assumptions!$H$34="Purchased",0,+IF(AND(BS602=1,Assumptions!$H$45="Yes",Assumptions!$H$46="Detailed"),-Assumptions_Detailed!BS$121,IF(BS602=1,-Assumptions!$H$48/SUM($H$602:$BY$602)*BS599,0))),0)</f>
        <v>0</v>
      </c>
      <c r="BT609" s="33">
        <f>IFERROR((1+Sensitivity_tables!$N$23)*IF(Assumptions!$H$34="Purchased",0,+IF(AND(BT602=1,Assumptions!$H$45="Yes",Assumptions!$H$46="Detailed"),-Assumptions_Detailed!BT$121,IF(BT602=1,-Assumptions!$H$48/SUM($H$602:$BY$602)*BT599,0))),0)</f>
        <v>0</v>
      </c>
      <c r="BU609" s="33">
        <f>IFERROR((1+Sensitivity_tables!$N$23)*IF(Assumptions!$H$34="Purchased",0,+IF(AND(BU602=1,Assumptions!$H$45="Yes",Assumptions!$H$46="Detailed"),-Assumptions_Detailed!BU$121,IF(BU602=1,-Assumptions!$H$48/SUM($H$602:$BY$602)*BU599,0))),0)</f>
        <v>0</v>
      </c>
      <c r="BV609" s="33">
        <f>IFERROR((1+Sensitivity_tables!$N$23)*IF(Assumptions!$H$34="Purchased",0,+IF(AND(BV602=1,Assumptions!$H$45="Yes",Assumptions!$H$46="Detailed"),-Assumptions_Detailed!BV$121,IF(BV602=1,-Assumptions!$H$48/SUM($H$602:$BY$602)*BV599,0))),0)</f>
        <v>0</v>
      </c>
      <c r="BW609" s="33">
        <f>IFERROR((1+Sensitivity_tables!$N$23)*IF(Assumptions!$H$34="Purchased",0,+IF(AND(BW602=1,Assumptions!$H$45="Yes",Assumptions!$H$46="Detailed"),-Assumptions_Detailed!BW$121,IF(BW602=1,-Assumptions!$H$48/SUM($H$602:$BY$602)*BW599,0))),0)</f>
        <v>0</v>
      </c>
      <c r="BX609" s="33">
        <f>IFERROR((1+Sensitivity_tables!$N$23)*IF(Assumptions!$H$34="Purchased",0,+IF(AND(BX602=1,Assumptions!$H$45="Yes",Assumptions!$H$46="Detailed"),-Assumptions_Detailed!BX$121,IF(BX602=1,-Assumptions!$H$48/SUM($H$602:$BY$602)*BX599,0))),0)</f>
        <v>0</v>
      </c>
      <c r="BY609" s="33">
        <f>IFERROR((1+Sensitivity_tables!$N$23)*IF(Assumptions!$H$34="Purchased",0,+IF(AND(BY602=1,Assumptions!$H$45="Yes",Assumptions!$H$46="Detailed"),-Assumptions_Detailed!BY$121,IF(BY602=1,-Assumptions!$H$48/SUM($H$602:$BY$602)*BY599,0))),0)</f>
        <v>0</v>
      </c>
    </row>
    <row r="610" spans="2:77" outlineLevel="1">
      <c r="E610" s="25" t="s">
        <v>200</v>
      </c>
      <c r="F610" s="81" t="str">
        <f>+Assumptions!$G$8</f>
        <v>USD</v>
      </c>
      <c r="G610" s="30"/>
      <c r="H610" s="73">
        <f>IFERROR((1+Sensitivity_tables!$N$23)*IF(Assumptions!$H$34="Purchased",0,+IF(AND(H602=1,Assumptions!$H$51="Yes",Assumptions!$H$52="Detailed",Assumptions!$H$51="yes"),-Assumptions_Detailed!H$122,IF(H602=1,-Assumptions!$H$54/SUM($H$602:$BY$602)*H599,0))),0)</f>
        <v>0</v>
      </c>
      <c r="I610" s="73">
        <f>IFERROR((1+Sensitivity_tables!$N$23)*IF(Assumptions!$H$34="Purchased",0,+IF(AND(I602=1,Assumptions!$H$51="Yes",Assumptions!$H$52="Detailed",Assumptions!$H$51="yes"),-Assumptions_Detailed!I$122,IF(I602=1,-Assumptions!$H$54/SUM($H$602:$BY$602)*I599,0))),0)</f>
        <v>0</v>
      </c>
      <c r="J610" s="73">
        <f>IFERROR((1+Sensitivity_tables!$N$23)*IF(Assumptions!$H$34="Purchased",0,+IF(AND(J602=1,Assumptions!$H$51="Yes",Assumptions!$H$52="Detailed",Assumptions!$H$51="yes"),-Assumptions_Detailed!J$122,IF(J602=1,-Assumptions!$H$54/SUM($H$602:$BY$602)*J599,0))),0)</f>
        <v>0</v>
      </c>
      <c r="K610" s="73">
        <f>IFERROR((1+Sensitivity_tables!$N$23)*IF(Assumptions!$H$34="Purchased",0,+IF(AND(K602=1,Assumptions!$H$51="Yes",Assumptions!$H$52="Detailed",Assumptions!$H$51="yes"),-Assumptions_Detailed!K$122,IF(K602=1,-Assumptions!$H$54/SUM($H$602:$BY$602)*K599,0))),0)</f>
        <v>0</v>
      </c>
      <c r="L610" s="73">
        <f>IFERROR((1+Sensitivity_tables!$N$23)*IF(Assumptions!$H$34="Purchased",0,+IF(AND(L602=1,Assumptions!$H$51="Yes",Assumptions!$H$52="Detailed",Assumptions!$H$51="yes"),-Assumptions_Detailed!L$122,IF(L602=1,-Assumptions!$H$54/SUM($H$602:$BY$602)*L599,0))),0)</f>
        <v>0</v>
      </c>
      <c r="M610" s="73">
        <f>IFERROR((1+Sensitivity_tables!$N$23)*IF(Assumptions!$H$34="Purchased",0,+IF(AND(M602=1,Assumptions!$H$51="Yes",Assumptions!$H$52="Detailed",Assumptions!$H$51="yes"),-Assumptions_Detailed!M$122,IF(M602=1,-Assumptions!$H$54/SUM($H$602:$BY$602)*M599,0))),0)</f>
        <v>0</v>
      </c>
      <c r="N610" s="73">
        <f>IFERROR((1+Sensitivity_tables!$N$23)*IF(Assumptions!$H$34="Purchased",0,+IF(AND(N602=1,Assumptions!$H$51="Yes",Assumptions!$H$52="Detailed",Assumptions!$H$51="yes"),-Assumptions_Detailed!N$122,IF(N602=1,-Assumptions!$H$54/SUM($H$602:$BY$602)*N599,0))),0)</f>
        <v>0</v>
      </c>
      <c r="O610" s="73">
        <f>IFERROR((1+Sensitivity_tables!$N$23)*IF(Assumptions!$H$34="Purchased",0,+IF(AND(O602=1,Assumptions!$H$51="Yes",Assumptions!$H$52="Detailed",Assumptions!$H$51="yes"),-Assumptions_Detailed!O$122,IF(O602=1,-Assumptions!$H$54/SUM($H$602:$BY$602)*O599,0))),0)</f>
        <v>0</v>
      </c>
      <c r="P610" s="73">
        <f>IFERROR((1+Sensitivity_tables!$N$23)*IF(Assumptions!$H$34="Purchased",0,+IF(AND(P602=1,Assumptions!$H$51="Yes",Assumptions!$H$52="Detailed",Assumptions!$H$51="yes"),-Assumptions_Detailed!P$122,IF(P602=1,-Assumptions!$H$54/SUM($H$602:$BY$602)*P599,0))),0)</f>
        <v>0</v>
      </c>
      <c r="Q610" s="73">
        <f>IFERROR((1+Sensitivity_tables!$N$23)*IF(Assumptions!$H$34="Purchased",0,+IF(AND(Q602=1,Assumptions!$H$51="Yes",Assumptions!$H$52="Detailed",Assumptions!$H$51="yes"),-Assumptions_Detailed!Q$122,IF(Q602=1,-Assumptions!$H$54/SUM($H$602:$BY$602)*Q599,0))),0)</f>
        <v>0</v>
      </c>
      <c r="R610" s="73">
        <f>IFERROR((1+Sensitivity_tables!$N$23)*IF(Assumptions!$H$34="Purchased",0,+IF(AND(R602=1,Assumptions!$H$51="Yes",Assumptions!$H$52="Detailed",Assumptions!$H$51="yes"),-Assumptions_Detailed!R$122,IF(R602=1,-Assumptions!$H$54/SUM($H$602:$BY$602)*R599,0))),0)</f>
        <v>0</v>
      </c>
      <c r="S610" s="73">
        <f>IFERROR((1+Sensitivity_tables!$N$23)*IF(Assumptions!$H$34="Purchased",0,+IF(AND(S602=1,Assumptions!$H$51="Yes",Assumptions!$H$52="Detailed",Assumptions!$H$51="yes"),-Assumptions_Detailed!S$122,IF(S602=1,-Assumptions!$H$54/SUM($H$602:$BY$602)*S599,0))),0)</f>
        <v>0</v>
      </c>
      <c r="T610" s="73">
        <f>IFERROR((1+Sensitivity_tables!$N$23)*IF(Assumptions!$H$34="Purchased",0,+IF(AND(T602=1,Assumptions!$H$51="Yes",Assumptions!$H$52="Detailed",Assumptions!$H$51="yes"),-Assumptions_Detailed!T$122,IF(T602=1,-Assumptions!$H$54/SUM($H$602:$BY$602)*T599,0))),0)</f>
        <v>0</v>
      </c>
      <c r="U610" s="73">
        <f>IFERROR((1+Sensitivity_tables!$N$23)*IF(Assumptions!$H$34="Purchased",0,+IF(AND(U602=1,Assumptions!$H$51="Yes",Assumptions!$H$52="Detailed",Assumptions!$H$51="yes"),-Assumptions_Detailed!U$122,IF(U602=1,-Assumptions!$H$54/SUM($H$602:$BY$602)*U599,0))),0)</f>
        <v>0</v>
      </c>
      <c r="V610" s="73">
        <f>IFERROR((1+Sensitivity_tables!$N$23)*IF(Assumptions!$H$34="Purchased",0,+IF(AND(V602=1,Assumptions!$H$51="Yes",Assumptions!$H$52="Detailed",Assumptions!$H$51="yes"),-Assumptions_Detailed!V$122,IF(V602=1,-Assumptions!$H$54/SUM($H$602:$BY$602)*V599,0))),0)</f>
        <v>0</v>
      </c>
      <c r="W610" s="73">
        <f>IFERROR((1+Sensitivity_tables!$N$23)*IF(Assumptions!$H$34="Purchased",0,+IF(AND(W602=1,Assumptions!$H$51="Yes",Assumptions!$H$52="Detailed",Assumptions!$H$51="yes"),-Assumptions_Detailed!W$122,IF(W602=1,-Assumptions!$H$54/SUM($H$602:$BY$602)*W599,0))),0)</f>
        <v>0</v>
      </c>
      <c r="X610" s="73">
        <f>IFERROR((1+Sensitivity_tables!$N$23)*IF(Assumptions!$H$34="Purchased",0,+IF(AND(X602=1,Assumptions!$H$51="Yes",Assumptions!$H$52="Detailed",Assumptions!$H$51="yes"),-Assumptions_Detailed!X$122,IF(X602=1,-Assumptions!$H$54/SUM($H$602:$BY$602)*X599,0))),0)</f>
        <v>0</v>
      </c>
      <c r="Y610" s="73">
        <f>IFERROR((1+Sensitivity_tables!$N$23)*IF(Assumptions!$H$34="Purchased",0,+IF(AND(Y602=1,Assumptions!$H$51="Yes",Assumptions!$H$52="Detailed",Assumptions!$H$51="yes"),-Assumptions_Detailed!Y$122,IF(Y602=1,-Assumptions!$H$54/SUM($H$602:$BY$602)*Y599,0))),0)</f>
        <v>0</v>
      </c>
      <c r="Z610" s="73">
        <f>IFERROR((1+Sensitivity_tables!$N$23)*IF(Assumptions!$H$34="Purchased",0,+IF(AND(Z602=1,Assumptions!$H$51="Yes",Assumptions!$H$52="Detailed",Assumptions!$H$51="yes"),-Assumptions_Detailed!Z$122,IF(Z602=1,-Assumptions!$H$54/SUM($H$602:$BY$602)*Z599,0))),0)</f>
        <v>0</v>
      </c>
      <c r="AA610" s="73">
        <f>IFERROR((1+Sensitivity_tables!$N$23)*IF(Assumptions!$H$34="Purchased",0,+IF(AND(AA602=1,Assumptions!$H$51="Yes",Assumptions!$H$52="Detailed",Assumptions!$H$51="yes"),-Assumptions_Detailed!AA$122,IF(AA602=1,-Assumptions!$H$54/SUM($H$602:$BY$602)*AA599,0))),0)</f>
        <v>0</v>
      </c>
      <c r="AB610" s="73">
        <f>IFERROR((1+Sensitivity_tables!$N$23)*IF(Assumptions!$H$34="Purchased",0,+IF(AND(AB602=1,Assumptions!$H$51="Yes",Assumptions!$H$52="Detailed",Assumptions!$H$51="yes"),-Assumptions_Detailed!AB$122,IF(AB602=1,-Assumptions!$H$54/SUM($H$602:$BY$602)*AB599,0))),0)</f>
        <v>0</v>
      </c>
      <c r="AC610" s="73">
        <f>IFERROR((1+Sensitivity_tables!$N$23)*IF(Assumptions!$H$34="Purchased",0,+IF(AND(AC602=1,Assumptions!$H$51="Yes",Assumptions!$H$52="Detailed",Assumptions!$H$51="yes"),-Assumptions_Detailed!AC$122,IF(AC602=1,-Assumptions!$H$54/SUM($H$602:$BY$602)*AC599,0))),0)</f>
        <v>0</v>
      </c>
      <c r="AD610" s="73">
        <f>IFERROR((1+Sensitivity_tables!$N$23)*IF(Assumptions!$H$34="Purchased",0,+IF(AND(AD602=1,Assumptions!$H$51="Yes",Assumptions!$H$52="Detailed",Assumptions!$H$51="yes"),-Assumptions_Detailed!AD$122,IF(AD602=1,-Assumptions!$H$54/SUM($H$602:$BY$602)*AD599,0))),0)</f>
        <v>0</v>
      </c>
      <c r="AE610" s="73">
        <f>IFERROR((1+Sensitivity_tables!$N$23)*IF(Assumptions!$H$34="Purchased",0,+IF(AND(AE602=1,Assumptions!$H$51="Yes",Assumptions!$H$52="Detailed",Assumptions!$H$51="yes"),-Assumptions_Detailed!AE$122,IF(AE602=1,-Assumptions!$H$54/SUM($H$602:$BY$602)*AE599,0))),0)</f>
        <v>0</v>
      </c>
      <c r="AF610" s="73">
        <f>IFERROR((1+Sensitivity_tables!$N$23)*IF(Assumptions!$H$34="Purchased",0,+IF(AND(AF602=1,Assumptions!$H$51="Yes",Assumptions!$H$52="Detailed",Assumptions!$H$51="yes"),-Assumptions_Detailed!AF$122,IF(AF602=1,-Assumptions!$H$54/SUM($H$602:$BY$602)*AF599,0))),0)</f>
        <v>0</v>
      </c>
      <c r="AG610" s="73">
        <f>IFERROR((1+Sensitivity_tables!$N$23)*IF(Assumptions!$H$34="Purchased",0,+IF(AND(AG602=1,Assumptions!$H$51="Yes",Assumptions!$H$52="Detailed",Assumptions!$H$51="yes"),-Assumptions_Detailed!AG$122,IF(AG602=1,-Assumptions!$H$54/SUM($H$602:$BY$602)*AG599,0))),0)</f>
        <v>0</v>
      </c>
      <c r="AH610" s="73">
        <f>IFERROR((1+Sensitivity_tables!$N$23)*IF(Assumptions!$H$34="Purchased",0,+IF(AND(AH602=1,Assumptions!$H$51="Yes",Assumptions!$H$52="Detailed",Assumptions!$H$51="yes"),-Assumptions_Detailed!AH$122,IF(AH602=1,-Assumptions!$H$54/SUM($H$602:$BY$602)*AH599,0))),0)</f>
        <v>0</v>
      </c>
      <c r="AI610" s="73">
        <f>IFERROR((1+Sensitivity_tables!$N$23)*IF(Assumptions!$H$34="Purchased",0,+IF(AND(AI602=1,Assumptions!$H$51="Yes",Assumptions!$H$52="Detailed",Assumptions!$H$51="yes"),-Assumptions_Detailed!AI$122,IF(AI602=1,-Assumptions!$H$54/SUM($H$602:$BY$602)*AI599,0))),0)</f>
        <v>0</v>
      </c>
      <c r="AJ610" s="73">
        <f>IFERROR((1+Sensitivity_tables!$N$23)*IF(Assumptions!$H$34="Purchased",0,+IF(AND(AJ602=1,Assumptions!$H$51="Yes",Assumptions!$H$52="Detailed",Assumptions!$H$51="yes"),-Assumptions_Detailed!AJ$122,IF(AJ602=1,-Assumptions!$H$54/SUM($H$602:$BY$602)*AJ599,0))),0)</f>
        <v>0</v>
      </c>
      <c r="AK610" s="73">
        <f>IFERROR((1+Sensitivity_tables!$N$23)*IF(Assumptions!$H$34="Purchased",0,+IF(AND(AK602=1,Assumptions!$H$51="Yes",Assumptions!$H$52="Detailed",Assumptions!$H$51="yes"),-Assumptions_Detailed!AK$122,IF(AK602=1,-Assumptions!$H$54/SUM($H$602:$BY$602)*AK599,0))),0)</f>
        <v>0</v>
      </c>
      <c r="AL610" s="73">
        <f>IFERROR((1+Sensitivity_tables!$N$23)*IF(Assumptions!$H$34="Purchased",0,+IF(AND(AL602=1,Assumptions!$H$51="Yes",Assumptions!$H$52="Detailed",Assumptions!$H$51="yes"),-Assumptions_Detailed!AL$122,IF(AL602=1,-Assumptions!$H$54/SUM($H$602:$BY$602)*AL599,0))),0)</f>
        <v>0</v>
      </c>
      <c r="AM610" s="73">
        <f>IFERROR((1+Sensitivity_tables!$N$23)*IF(Assumptions!$H$34="Purchased",0,+IF(AND(AM602=1,Assumptions!$H$51="Yes",Assumptions!$H$52="Detailed",Assumptions!$H$51="yes"),-Assumptions_Detailed!AM$122,IF(AM602=1,-Assumptions!$H$54/SUM($H$602:$BY$602)*AM599,0))),0)</f>
        <v>0</v>
      </c>
      <c r="AN610" s="73">
        <f>IFERROR((1+Sensitivity_tables!$N$23)*IF(Assumptions!$H$34="Purchased",0,+IF(AND(AN602=1,Assumptions!$H$51="Yes",Assumptions!$H$52="Detailed",Assumptions!$H$51="yes"),-Assumptions_Detailed!AN$122,IF(AN602=1,-Assumptions!$H$54/SUM($H$602:$BY$602)*AN599,0))),0)</f>
        <v>0</v>
      </c>
      <c r="AO610" s="73">
        <f>IFERROR((1+Sensitivity_tables!$N$23)*IF(Assumptions!$H$34="Purchased",0,+IF(AND(AO602=1,Assumptions!$H$51="Yes",Assumptions!$H$52="Detailed",Assumptions!$H$51="yes"),-Assumptions_Detailed!AO$122,IF(AO602=1,-Assumptions!$H$54/SUM($H$602:$BY$602)*AO599,0))),0)</f>
        <v>0</v>
      </c>
      <c r="AP610" s="73">
        <f>IFERROR((1+Sensitivity_tables!$N$23)*IF(Assumptions!$H$34="Purchased",0,+IF(AND(AP602=1,Assumptions!$H$51="Yes",Assumptions!$H$52="Detailed",Assumptions!$H$51="yes"),-Assumptions_Detailed!AP$122,IF(AP602=1,-Assumptions!$H$54/SUM($H$602:$BY$602)*AP599,0))),0)</f>
        <v>0</v>
      </c>
      <c r="AQ610" s="73">
        <f>IFERROR((1+Sensitivity_tables!$N$23)*IF(Assumptions!$H$34="Purchased",0,+IF(AND(AQ602=1,Assumptions!$H$51="Yes",Assumptions!$H$52="Detailed",Assumptions!$H$51="yes"),-Assumptions_Detailed!AQ$122,IF(AQ602=1,-Assumptions!$H$54/SUM($H$602:$BY$602)*AQ599,0))),0)</f>
        <v>0</v>
      </c>
      <c r="AR610" s="73">
        <f>IFERROR((1+Sensitivity_tables!$N$23)*IF(Assumptions!$H$34="Purchased",0,+IF(AND(AR602=1,Assumptions!$H$51="Yes",Assumptions!$H$52="Detailed",Assumptions!$H$51="yes"),-Assumptions_Detailed!AR$122,IF(AR602=1,-Assumptions!$H$54/SUM($H$602:$BY$602)*AR599,0))),0)</f>
        <v>0</v>
      </c>
      <c r="AS610" s="73">
        <f>IFERROR((1+Sensitivity_tables!$N$23)*IF(Assumptions!$H$34="Purchased",0,+IF(AND(AS602=1,Assumptions!$H$51="Yes",Assumptions!$H$52="Detailed",Assumptions!$H$51="yes"),-Assumptions_Detailed!AS$122,IF(AS602=1,-Assumptions!$H$54/SUM($H$602:$BY$602)*AS599,0))),0)</f>
        <v>0</v>
      </c>
      <c r="AT610" s="73">
        <f>IFERROR((1+Sensitivity_tables!$N$23)*IF(Assumptions!$H$34="Purchased",0,+IF(AND(AT602=1,Assumptions!$H$51="Yes",Assumptions!$H$52="Detailed",Assumptions!$H$51="yes"),-Assumptions_Detailed!AT$122,IF(AT602=1,-Assumptions!$H$54/SUM($H$602:$BY$602)*AT599,0))),0)</f>
        <v>0</v>
      </c>
      <c r="AU610" s="73">
        <f>IFERROR((1+Sensitivity_tables!$N$23)*IF(Assumptions!$H$34="Purchased",0,+IF(AND(AU602=1,Assumptions!$H$51="Yes",Assumptions!$H$52="Detailed",Assumptions!$H$51="yes"),-Assumptions_Detailed!AU$122,IF(AU602=1,-Assumptions!$H$54/SUM($H$602:$BY$602)*AU599,0))),0)</f>
        <v>0</v>
      </c>
      <c r="AV610" s="73">
        <f>IFERROR((1+Sensitivity_tables!$N$23)*IF(Assumptions!$H$34="Purchased",0,+IF(AND(AV602=1,Assumptions!$H$51="Yes",Assumptions!$H$52="Detailed",Assumptions!$H$51="yes"),-Assumptions_Detailed!AV$122,IF(AV602=1,-Assumptions!$H$54/SUM($H$602:$BY$602)*AV599,0))),0)</f>
        <v>0</v>
      </c>
      <c r="AW610" s="73">
        <f>IFERROR((1+Sensitivity_tables!$N$23)*IF(Assumptions!$H$34="Purchased",0,+IF(AND(AW602=1,Assumptions!$H$51="Yes",Assumptions!$H$52="Detailed",Assumptions!$H$51="yes"),-Assumptions_Detailed!AW$122,IF(AW602=1,-Assumptions!$H$54/SUM($H$602:$BY$602)*AW599,0))),0)</f>
        <v>0</v>
      </c>
      <c r="AX610" s="73">
        <f>IFERROR((1+Sensitivity_tables!$N$23)*IF(Assumptions!$H$34="Purchased",0,+IF(AND(AX602=1,Assumptions!$H$51="Yes",Assumptions!$H$52="Detailed",Assumptions!$H$51="yes"),-Assumptions_Detailed!AX$122,IF(AX602=1,-Assumptions!$H$54/SUM($H$602:$BY$602)*AX599,0))),0)</f>
        <v>0</v>
      </c>
      <c r="AY610" s="73">
        <f>IFERROR((1+Sensitivity_tables!$N$23)*IF(Assumptions!$H$34="Purchased",0,+IF(AND(AY602=1,Assumptions!$H$51="Yes",Assumptions!$H$52="Detailed",Assumptions!$H$51="yes"),-Assumptions_Detailed!AY$122,IF(AY602=1,-Assumptions!$H$54/SUM($H$602:$BY$602)*AY599,0))),0)</f>
        <v>0</v>
      </c>
      <c r="AZ610" s="73">
        <f>IFERROR((1+Sensitivity_tables!$N$23)*IF(Assumptions!$H$34="Purchased",0,+IF(AND(AZ602=1,Assumptions!$H$51="Yes",Assumptions!$H$52="Detailed",Assumptions!$H$51="yes"),-Assumptions_Detailed!AZ$122,IF(AZ602=1,-Assumptions!$H$54/SUM($H$602:$BY$602)*AZ599,0))),0)</f>
        <v>0</v>
      </c>
      <c r="BA610" s="73">
        <f>IFERROR((1+Sensitivity_tables!$N$23)*IF(Assumptions!$H$34="Purchased",0,+IF(AND(BA602=1,Assumptions!$H$51="Yes",Assumptions!$H$52="Detailed",Assumptions!$H$51="yes"),-Assumptions_Detailed!BA$122,IF(BA602=1,-Assumptions!$H$54/SUM($H$602:$BY$602)*BA599,0))),0)</f>
        <v>0</v>
      </c>
      <c r="BB610" s="73">
        <f>IFERROR((1+Sensitivity_tables!$N$23)*IF(Assumptions!$H$34="Purchased",0,+IF(AND(BB602=1,Assumptions!$H$51="Yes",Assumptions!$H$52="Detailed",Assumptions!$H$51="yes"),-Assumptions_Detailed!BB$122,IF(BB602=1,-Assumptions!$H$54/SUM($H$602:$BY$602)*BB599,0))),0)</f>
        <v>0</v>
      </c>
      <c r="BC610" s="73">
        <f>IFERROR((1+Sensitivity_tables!$N$23)*IF(Assumptions!$H$34="Purchased",0,+IF(AND(BC602=1,Assumptions!$H$51="Yes",Assumptions!$H$52="Detailed",Assumptions!$H$51="yes"),-Assumptions_Detailed!BC$122,IF(BC602=1,-Assumptions!$H$54/SUM($H$602:$BY$602)*BC599,0))),0)</f>
        <v>0</v>
      </c>
      <c r="BD610" s="73">
        <f>IFERROR((1+Sensitivity_tables!$N$23)*IF(Assumptions!$H$34="Purchased",0,+IF(AND(BD602=1,Assumptions!$H$51="Yes",Assumptions!$H$52="Detailed",Assumptions!$H$51="yes"),-Assumptions_Detailed!BD$122,IF(BD602=1,-Assumptions!$H$54/SUM($H$602:$BY$602)*BD599,0))),0)</f>
        <v>0</v>
      </c>
      <c r="BE610" s="73">
        <f>IFERROR((1+Sensitivity_tables!$N$23)*IF(Assumptions!$H$34="Purchased",0,+IF(AND(BE602=1,Assumptions!$H$51="Yes",Assumptions!$H$52="Detailed",Assumptions!$H$51="yes"),-Assumptions_Detailed!BE$122,IF(BE602=1,-Assumptions!$H$54/SUM($H$602:$BY$602)*BE599,0))),0)</f>
        <v>0</v>
      </c>
      <c r="BF610" s="73">
        <f>IFERROR((1+Sensitivity_tables!$N$23)*IF(Assumptions!$H$34="Purchased",0,+IF(AND(BF602=1,Assumptions!$H$51="Yes",Assumptions!$H$52="Detailed",Assumptions!$H$51="yes"),-Assumptions_Detailed!BF$122,IF(BF602=1,-Assumptions!$H$54/SUM($H$602:$BY$602)*BF599,0))),0)</f>
        <v>0</v>
      </c>
      <c r="BG610" s="73">
        <f>IFERROR((1+Sensitivity_tables!$N$23)*IF(Assumptions!$H$34="Purchased",0,+IF(AND(BG602=1,Assumptions!$H$51="Yes",Assumptions!$H$52="Detailed",Assumptions!$H$51="yes"),-Assumptions_Detailed!BG$122,IF(BG602=1,-Assumptions!$H$54/SUM($H$602:$BY$602)*BG599,0))),0)</f>
        <v>0</v>
      </c>
      <c r="BH610" s="73">
        <f>IFERROR((1+Sensitivity_tables!$N$23)*IF(Assumptions!$H$34="Purchased",0,+IF(AND(BH602=1,Assumptions!$H$51="Yes",Assumptions!$H$52="Detailed",Assumptions!$H$51="yes"),-Assumptions_Detailed!BH$122,IF(BH602=1,-Assumptions!$H$54/SUM($H$602:$BY$602)*BH599,0))),0)</f>
        <v>0</v>
      </c>
      <c r="BI610" s="73">
        <f>IFERROR((1+Sensitivity_tables!$N$23)*IF(Assumptions!$H$34="Purchased",0,+IF(AND(BI602=1,Assumptions!$H$51="Yes",Assumptions!$H$52="Detailed",Assumptions!$H$51="yes"),-Assumptions_Detailed!BI$122,IF(BI602=1,-Assumptions!$H$54/SUM($H$602:$BY$602)*BI599,0))),0)</f>
        <v>0</v>
      </c>
      <c r="BJ610" s="73">
        <f>IFERROR((1+Sensitivity_tables!$N$23)*IF(Assumptions!$H$34="Purchased",0,+IF(AND(BJ602=1,Assumptions!$H$51="Yes",Assumptions!$H$52="Detailed",Assumptions!$H$51="yes"),-Assumptions_Detailed!BJ$122,IF(BJ602=1,-Assumptions!$H$54/SUM($H$602:$BY$602)*BJ599,0))),0)</f>
        <v>0</v>
      </c>
      <c r="BK610" s="73">
        <f>IFERROR((1+Sensitivity_tables!$N$23)*IF(Assumptions!$H$34="Purchased",0,+IF(AND(BK602=1,Assumptions!$H$51="Yes",Assumptions!$H$52="Detailed",Assumptions!$H$51="yes"),-Assumptions_Detailed!BK$122,IF(BK602=1,-Assumptions!$H$54/SUM($H$602:$BY$602)*BK599,0))),0)</f>
        <v>0</v>
      </c>
      <c r="BL610" s="73">
        <f>IFERROR((1+Sensitivity_tables!$N$23)*IF(Assumptions!$H$34="Purchased",0,+IF(AND(BL602=1,Assumptions!$H$51="Yes",Assumptions!$H$52="Detailed",Assumptions!$H$51="yes"),-Assumptions_Detailed!BL$122,IF(BL602=1,-Assumptions!$H$54/SUM($H$602:$BY$602)*BL599,0))),0)</f>
        <v>0</v>
      </c>
      <c r="BM610" s="73">
        <f>IFERROR((1+Sensitivity_tables!$N$23)*IF(Assumptions!$H$34="Purchased",0,+IF(AND(BM602=1,Assumptions!$H$51="Yes",Assumptions!$H$52="Detailed",Assumptions!$H$51="yes"),-Assumptions_Detailed!BM$122,IF(BM602=1,-Assumptions!$H$54/SUM($H$602:$BY$602)*BM599,0))),0)</f>
        <v>0</v>
      </c>
      <c r="BN610" s="73">
        <f>IFERROR((1+Sensitivity_tables!$N$23)*IF(Assumptions!$H$34="Purchased",0,+IF(AND(BN602=1,Assumptions!$H$51="Yes",Assumptions!$H$52="Detailed",Assumptions!$H$51="yes"),-Assumptions_Detailed!BN$122,IF(BN602=1,-Assumptions!$H$54/SUM($H$602:$BY$602)*BN599,0))),0)</f>
        <v>0</v>
      </c>
      <c r="BO610" s="73">
        <f>IFERROR((1+Sensitivity_tables!$N$23)*IF(Assumptions!$H$34="Purchased",0,+IF(AND(BO602=1,Assumptions!$H$51="Yes",Assumptions!$H$52="Detailed",Assumptions!$H$51="yes"),-Assumptions_Detailed!BO$122,IF(BO602=1,-Assumptions!$H$54/SUM($H$602:$BY$602)*BO599,0))),0)</f>
        <v>0</v>
      </c>
      <c r="BP610" s="73">
        <f>IFERROR((1+Sensitivity_tables!$N$23)*IF(Assumptions!$H$34="Purchased",0,+IF(AND(BP602=1,Assumptions!$H$51="Yes",Assumptions!$H$52="Detailed",Assumptions!$H$51="yes"),-Assumptions_Detailed!BP$122,IF(BP602=1,-Assumptions!$H$54/SUM($H$602:$BY$602)*BP599,0))),0)</f>
        <v>0</v>
      </c>
      <c r="BQ610" s="73">
        <f>IFERROR((1+Sensitivity_tables!$N$23)*IF(Assumptions!$H$34="Purchased",0,+IF(AND(BQ602=1,Assumptions!$H$51="Yes",Assumptions!$H$52="Detailed",Assumptions!$H$51="yes"),-Assumptions_Detailed!BQ$122,IF(BQ602=1,-Assumptions!$H$54/SUM($H$602:$BY$602)*BQ599,0))),0)</f>
        <v>0</v>
      </c>
      <c r="BR610" s="73">
        <f>IFERROR((1+Sensitivity_tables!$N$23)*IF(Assumptions!$H$34="Purchased",0,+IF(AND(BR602=1,Assumptions!$H$51="Yes",Assumptions!$H$52="Detailed",Assumptions!$H$51="yes"),-Assumptions_Detailed!BR$122,IF(BR602=1,-Assumptions!$H$54/SUM($H$602:$BY$602)*BR599,0))),0)</f>
        <v>0</v>
      </c>
      <c r="BS610" s="73">
        <f>IFERROR((1+Sensitivity_tables!$N$23)*IF(Assumptions!$H$34="Purchased",0,+IF(AND(BS602=1,Assumptions!$H$51="Yes",Assumptions!$H$52="Detailed",Assumptions!$H$51="yes"),-Assumptions_Detailed!BS$122,IF(BS602=1,-Assumptions!$H$54/SUM($H$602:$BY$602)*BS599,0))),0)</f>
        <v>0</v>
      </c>
      <c r="BT610" s="73">
        <f>IFERROR((1+Sensitivity_tables!$N$23)*IF(Assumptions!$H$34="Purchased",0,+IF(AND(BT602=1,Assumptions!$H$51="Yes",Assumptions!$H$52="Detailed",Assumptions!$H$51="yes"),-Assumptions_Detailed!BT$122,IF(BT602=1,-Assumptions!$H$54/SUM($H$602:$BY$602)*BT599,0))),0)</f>
        <v>0</v>
      </c>
      <c r="BU610" s="73">
        <f>IFERROR((1+Sensitivity_tables!$N$23)*IF(Assumptions!$H$34="Purchased",0,+IF(AND(BU602=1,Assumptions!$H$51="Yes",Assumptions!$H$52="Detailed",Assumptions!$H$51="yes"),-Assumptions_Detailed!BU$122,IF(BU602=1,-Assumptions!$H$54/SUM($H$602:$BY$602)*BU599,0))),0)</f>
        <v>0</v>
      </c>
      <c r="BV610" s="73">
        <f>IFERROR((1+Sensitivity_tables!$N$23)*IF(Assumptions!$H$34="Purchased",0,+IF(AND(BV602=1,Assumptions!$H$51="Yes",Assumptions!$H$52="Detailed",Assumptions!$H$51="yes"),-Assumptions_Detailed!BV$122,IF(BV602=1,-Assumptions!$H$54/SUM($H$602:$BY$602)*BV599,0))),0)</f>
        <v>0</v>
      </c>
      <c r="BW610" s="73">
        <f>IFERROR((1+Sensitivity_tables!$N$23)*IF(Assumptions!$H$34="Purchased",0,+IF(AND(BW602=1,Assumptions!$H$51="Yes",Assumptions!$H$52="Detailed",Assumptions!$H$51="yes"),-Assumptions_Detailed!BW$122,IF(BW602=1,-Assumptions!$H$54/SUM($H$602:$BY$602)*BW599,0))),0)</f>
        <v>0</v>
      </c>
      <c r="BX610" s="73">
        <f>IFERROR((1+Sensitivity_tables!$N$23)*IF(Assumptions!$H$34="Purchased",0,+IF(AND(BX602=1,Assumptions!$H$51="Yes",Assumptions!$H$52="Detailed",Assumptions!$H$51="yes"),-Assumptions_Detailed!BX$122,IF(BX602=1,-Assumptions!$H$54/SUM($H$602:$BY$602)*BX599,0))),0)</f>
        <v>0</v>
      </c>
      <c r="BY610" s="73">
        <f>IFERROR((1+Sensitivity_tables!$N$23)*IF(Assumptions!$H$34="Purchased",0,+IF(AND(BY602=1,Assumptions!$H$51="Yes",Assumptions!$H$52="Detailed",Assumptions!$H$51="yes"),-Assumptions_Detailed!BY$122,IF(BY602=1,-Assumptions!$H$54/SUM($H$602:$BY$602)*BY599,0))),0)</f>
        <v>0</v>
      </c>
    </row>
    <row r="611" spans="2:77" outlineLevel="1">
      <c r="E611" t="s">
        <v>207</v>
      </c>
      <c r="F611" s="80" t="str">
        <f>+Assumptions!$G$8</f>
        <v>USD</v>
      </c>
      <c r="G611" s="23"/>
      <c r="H611" s="33">
        <f>+SUM(H609:H610)</f>
        <v>0</v>
      </c>
      <c r="I611" s="33">
        <f t="shared" ref="I611:BT611" si="1230">+SUM(I609:I610)</f>
        <v>0</v>
      </c>
      <c r="J611" s="33">
        <f t="shared" si="1230"/>
        <v>0</v>
      </c>
      <c r="K611" s="33">
        <f t="shared" si="1230"/>
        <v>0</v>
      </c>
      <c r="L611" s="33">
        <f t="shared" si="1230"/>
        <v>0</v>
      </c>
      <c r="M611" s="33">
        <f t="shared" si="1230"/>
        <v>0</v>
      </c>
      <c r="N611" s="33">
        <f t="shared" si="1230"/>
        <v>0</v>
      </c>
      <c r="O611" s="33">
        <f t="shared" si="1230"/>
        <v>0</v>
      </c>
      <c r="P611" s="33">
        <f t="shared" si="1230"/>
        <v>0</v>
      </c>
      <c r="Q611" s="33">
        <f t="shared" si="1230"/>
        <v>0</v>
      </c>
      <c r="R611" s="33">
        <f t="shared" si="1230"/>
        <v>0</v>
      </c>
      <c r="S611" s="33">
        <f t="shared" si="1230"/>
        <v>0</v>
      </c>
      <c r="T611" s="33">
        <f t="shared" si="1230"/>
        <v>0</v>
      </c>
      <c r="U611" s="33">
        <f t="shared" si="1230"/>
        <v>0</v>
      </c>
      <c r="V611" s="33">
        <f t="shared" si="1230"/>
        <v>0</v>
      </c>
      <c r="W611" s="33">
        <f t="shared" si="1230"/>
        <v>0</v>
      </c>
      <c r="X611" s="33">
        <f t="shared" si="1230"/>
        <v>0</v>
      </c>
      <c r="Y611" s="33">
        <f t="shared" si="1230"/>
        <v>0</v>
      </c>
      <c r="Z611" s="33">
        <f t="shared" si="1230"/>
        <v>0</v>
      </c>
      <c r="AA611" s="33">
        <f t="shared" si="1230"/>
        <v>0</v>
      </c>
      <c r="AB611" s="33">
        <f t="shared" si="1230"/>
        <v>0</v>
      </c>
      <c r="AC611" s="33">
        <f t="shared" si="1230"/>
        <v>0</v>
      </c>
      <c r="AD611" s="33">
        <f t="shared" si="1230"/>
        <v>0</v>
      </c>
      <c r="AE611" s="33">
        <f t="shared" si="1230"/>
        <v>0</v>
      </c>
      <c r="AF611" s="33">
        <f t="shared" si="1230"/>
        <v>0</v>
      </c>
      <c r="AG611" s="33">
        <f t="shared" si="1230"/>
        <v>0</v>
      </c>
      <c r="AH611" s="33">
        <f t="shared" si="1230"/>
        <v>0</v>
      </c>
      <c r="AI611" s="33">
        <f t="shared" si="1230"/>
        <v>0</v>
      </c>
      <c r="AJ611" s="33">
        <f t="shared" si="1230"/>
        <v>0</v>
      </c>
      <c r="AK611" s="33">
        <f t="shared" si="1230"/>
        <v>0</v>
      </c>
      <c r="AL611" s="33">
        <f t="shared" si="1230"/>
        <v>0</v>
      </c>
      <c r="AM611" s="33">
        <f t="shared" si="1230"/>
        <v>0</v>
      </c>
      <c r="AN611" s="33">
        <f t="shared" si="1230"/>
        <v>0</v>
      </c>
      <c r="AO611" s="33">
        <f t="shared" si="1230"/>
        <v>0</v>
      </c>
      <c r="AP611" s="33">
        <f t="shared" si="1230"/>
        <v>0</v>
      </c>
      <c r="AQ611" s="33">
        <f t="shared" si="1230"/>
        <v>0</v>
      </c>
      <c r="AR611" s="33">
        <f t="shared" si="1230"/>
        <v>0</v>
      </c>
      <c r="AS611" s="33">
        <f t="shared" si="1230"/>
        <v>0</v>
      </c>
      <c r="AT611" s="33">
        <f t="shared" si="1230"/>
        <v>0</v>
      </c>
      <c r="AU611" s="33">
        <f t="shared" si="1230"/>
        <v>0</v>
      </c>
      <c r="AV611" s="33">
        <f t="shared" si="1230"/>
        <v>0</v>
      </c>
      <c r="AW611" s="33">
        <f t="shared" si="1230"/>
        <v>0</v>
      </c>
      <c r="AX611" s="33">
        <f t="shared" si="1230"/>
        <v>0</v>
      </c>
      <c r="AY611" s="33">
        <f t="shared" si="1230"/>
        <v>0</v>
      </c>
      <c r="AZ611" s="33">
        <f t="shared" si="1230"/>
        <v>0</v>
      </c>
      <c r="BA611" s="33">
        <f t="shared" si="1230"/>
        <v>0</v>
      </c>
      <c r="BB611" s="33">
        <f t="shared" si="1230"/>
        <v>0</v>
      </c>
      <c r="BC611" s="33">
        <f t="shared" si="1230"/>
        <v>0</v>
      </c>
      <c r="BD611" s="33">
        <f t="shared" si="1230"/>
        <v>0</v>
      </c>
      <c r="BE611" s="33">
        <f t="shared" si="1230"/>
        <v>0</v>
      </c>
      <c r="BF611" s="33">
        <f t="shared" si="1230"/>
        <v>0</v>
      </c>
      <c r="BG611" s="33">
        <f t="shared" si="1230"/>
        <v>0</v>
      </c>
      <c r="BH611" s="33">
        <f t="shared" si="1230"/>
        <v>0</v>
      </c>
      <c r="BI611" s="33">
        <f t="shared" si="1230"/>
        <v>0</v>
      </c>
      <c r="BJ611" s="33">
        <f t="shared" si="1230"/>
        <v>0</v>
      </c>
      <c r="BK611" s="33">
        <f t="shared" si="1230"/>
        <v>0</v>
      </c>
      <c r="BL611" s="33">
        <f t="shared" si="1230"/>
        <v>0</v>
      </c>
      <c r="BM611" s="33">
        <f t="shared" si="1230"/>
        <v>0</v>
      </c>
      <c r="BN611" s="33">
        <f t="shared" si="1230"/>
        <v>0</v>
      </c>
      <c r="BO611" s="33">
        <f t="shared" si="1230"/>
        <v>0</v>
      </c>
      <c r="BP611" s="33">
        <f t="shared" si="1230"/>
        <v>0</v>
      </c>
      <c r="BQ611" s="33">
        <f t="shared" si="1230"/>
        <v>0</v>
      </c>
      <c r="BR611" s="33">
        <f t="shared" si="1230"/>
        <v>0</v>
      </c>
      <c r="BS611" s="33">
        <f t="shared" si="1230"/>
        <v>0</v>
      </c>
      <c r="BT611" s="33">
        <f t="shared" si="1230"/>
        <v>0</v>
      </c>
      <c r="BU611" s="33">
        <f t="shared" ref="BU611:BY611" si="1231">+SUM(BU609:BU610)</f>
        <v>0</v>
      </c>
      <c r="BV611" s="33">
        <f t="shared" si="1231"/>
        <v>0</v>
      </c>
      <c r="BW611" s="33">
        <f t="shared" si="1231"/>
        <v>0</v>
      </c>
      <c r="BX611" s="33">
        <f t="shared" si="1231"/>
        <v>0</v>
      </c>
      <c r="BY611" s="33">
        <f t="shared" si="1231"/>
        <v>0</v>
      </c>
    </row>
    <row r="612" spans="2:77" outlineLevel="1">
      <c r="F612" s="23"/>
      <c r="G612" s="23"/>
      <c r="BF612" s="33"/>
      <c r="BG612" s="33"/>
      <c r="BH612" s="33"/>
      <c r="BI612" s="33"/>
      <c r="BJ612" s="33"/>
      <c r="BK612" s="33"/>
      <c r="BL612" s="33"/>
      <c r="BM612" s="33"/>
      <c r="BN612" s="33"/>
      <c r="BO612" s="33"/>
      <c r="BP612" s="33"/>
      <c r="BQ612" s="33"/>
      <c r="BR612" s="33"/>
      <c r="BS612" s="33"/>
      <c r="BT612" s="33"/>
      <c r="BU612" s="33"/>
      <c r="BV612" s="33"/>
      <c r="BW612" s="33"/>
      <c r="BX612" s="33"/>
      <c r="BY612" s="33"/>
    </row>
    <row r="613" spans="2:77" s="19" customFormat="1" ht="12.75" outlineLevel="1">
      <c r="B613" s="18" t="s">
        <v>212</v>
      </c>
    </row>
    <row r="614" spans="2:77" outlineLevel="1">
      <c r="C614" s="21"/>
      <c r="BF614" s="33"/>
      <c r="BG614" s="33"/>
      <c r="BH614" s="33"/>
      <c r="BI614" s="33"/>
      <c r="BJ614" s="33"/>
      <c r="BK614" s="33"/>
      <c r="BL614" s="33"/>
      <c r="BM614" s="33"/>
      <c r="BN614" s="33"/>
      <c r="BO614" s="33"/>
      <c r="BP614" s="33"/>
      <c r="BQ614" s="33"/>
      <c r="BR614" s="33"/>
      <c r="BS614" s="33"/>
      <c r="BT614" s="33"/>
      <c r="BU614" s="33"/>
      <c r="BV614" s="33"/>
      <c r="BW614" s="33"/>
      <c r="BX614" s="33"/>
      <c r="BY614" s="33"/>
    </row>
    <row r="615" spans="2:77" ht="15" outlineLevel="1">
      <c r="E615" s="22" t="s">
        <v>450</v>
      </c>
      <c r="BF615" s="33"/>
      <c r="BG615" s="33"/>
      <c r="BH615" s="33"/>
      <c r="BI615" s="33"/>
      <c r="BJ615" s="33"/>
      <c r="BK615" s="33"/>
      <c r="BL615" s="33"/>
      <c r="BM615" s="33"/>
      <c r="BN615" s="33"/>
      <c r="BO615" s="33"/>
      <c r="BP615" s="33"/>
      <c r="BQ615" s="33"/>
      <c r="BR615" s="33"/>
      <c r="BS615" s="33"/>
      <c r="BT615" s="33"/>
      <c r="BU615" s="33"/>
      <c r="BV615" s="33"/>
      <c r="BW615" s="33"/>
      <c r="BX615" s="33"/>
      <c r="BY615" s="33"/>
    </row>
    <row r="616" spans="2:77" outlineLevel="1">
      <c r="E616" s="25" t="s">
        <v>490</v>
      </c>
      <c r="F616" s="81" t="str">
        <f>+Assumptions!$G$8</f>
        <v>USD</v>
      </c>
      <c r="G616" s="30"/>
      <c r="H616" s="34">
        <f ca="1">IFERROR((1+Sensitivity_tables!$N$28)*IF(Assumptions!$H$34="Manufactured",0,IF(AND(H604=1,Assumptions!$H$61="Yes"),-Assumptions!$H$286*Assumptions!$H$268*Assumptions!$H$62*H604*H599,-Assumptions_Detailed!H127*Assumptions!$H$286*Assumptions!$H$268*H604)),0)</f>
        <v>0</v>
      </c>
      <c r="I616" s="34">
        <f ca="1">IFERROR((1+Sensitivity_tables!$N$28)*IF(Assumptions!$H$34="Manufactured",0,IF(AND(I604=1,Assumptions!$H$61="Yes"),-Assumptions!$H$286*Assumptions!$H$268*Assumptions!$H$62*I604*I599,-Assumptions_Detailed!I127*Assumptions!$H$286*Assumptions!$H$268*I604)),0)</f>
        <v>0</v>
      </c>
      <c r="J616" s="34">
        <f ca="1">IFERROR((1+Sensitivity_tables!$N$28)*IF(Assumptions!$H$34="Manufactured",0,IF(AND(J604=1,Assumptions!$H$61="Yes"),-Assumptions!$H$286*Assumptions!$H$268*Assumptions!$H$62*J604*J599,-Assumptions_Detailed!J127*Assumptions!$H$286*Assumptions!$H$268*J604)),0)</f>
        <v>0</v>
      </c>
      <c r="K616" s="34">
        <f>IFERROR((1+Sensitivity_tables!$N$28)*IF(Assumptions!$H$34="Manufactured",0,IF(AND(K604=1,Assumptions!$H$61="Yes"),-Assumptions!$H$286*Assumptions!$H$268*Assumptions!$H$62*K604*K599,-Assumptions_Detailed!K127*Assumptions!$H$286*Assumptions!$H$268*K604)),0)</f>
        <v>0</v>
      </c>
      <c r="L616" s="34">
        <f>IFERROR((1+Sensitivity_tables!$N$28)*IF(Assumptions!$H$34="Manufactured",0,IF(AND(L604=1,Assumptions!$H$61="Yes"),-Assumptions!$H$286*Assumptions!$H$268*Assumptions!$H$62*L604*L599,-Assumptions_Detailed!L127*Assumptions!$H$286*Assumptions!$H$268*L604)),0)</f>
        <v>0</v>
      </c>
      <c r="M616" s="34">
        <f>IFERROR((1+Sensitivity_tables!$N$28)*IF(Assumptions!$H$34="Manufactured",0,IF(AND(M604=1,Assumptions!$H$61="Yes"),-Assumptions!$H$286*Assumptions!$H$268*Assumptions!$H$62*M604*M599,-Assumptions_Detailed!M127*Assumptions!$H$286*Assumptions!$H$268*M604)),0)</f>
        <v>0</v>
      </c>
      <c r="N616" s="34">
        <f>IFERROR((1+Sensitivity_tables!$N$28)*IF(Assumptions!$H$34="Manufactured",0,IF(AND(N604=1,Assumptions!$H$61="Yes"),-Assumptions!$H$286*Assumptions!$H$268*Assumptions!$H$62*N604*N599,-Assumptions_Detailed!N127*Assumptions!$H$286*Assumptions!$H$268*N604)),0)</f>
        <v>0</v>
      </c>
      <c r="O616" s="34">
        <f>IFERROR((1+Sensitivity_tables!$N$28)*IF(Assumptions!$H$34="Manufactured",0,IF(AND(O604=1,Assumptions!$H$61="Yes"),-Assumptions!$H$286*Assumptions!$H$268*Assumptions!$H$62*O604*O599,-Assumptions_Detailed!O127*Assumptions!$H$286*Assumptions!$H$268*O604)),0)</f>
        <v>0</v>
      </c>
      <c r="P616" s="34">
        <f>IFERROR((1+Sensitivity_tables!$N$28)*IF(Assumptions!$H$34="Manufactured",0,IF(AND(P604=1,Assumptions!$H$61="Yes"),-Assumptions!$H$286*Assumptions!$H$268*Assumptions!$H$62*P604*P599,-Assumptions_Detailed!P127*Assumptions!$H$286*Assumptions!$H$268*P604)),0)</f>
        <v>0</v>
      </c>
      <c r="Q616" s="34">
        <f>IFERROR((1+Sensitivity_tables!$N$28)*IF(Assumptions!$H$34="Manufactured",0,IF(AND(Q604=1,Assumptions!$H$61="Yes"),-Assumptions!$H$286*Assumptions!$H$268*Assumptions!$H$62*Q604*Q599,-Assumptions_Detailed!Q127*Assumptions!$H$286*Assumptions!$H$268*Q604)),0)</f>
        <v>0</v>
      </c>
      <c r="R616" s="34">
        <f>IFERROR((1+Sensitivity_tables!$N$28)*IF(Assumptions!$H$34="Manufactured",0,IF(AND(R604=1,Assumptions!$H$61="Yes"),-Assumptions!$H$286*Assumptions!$H$268*Assumptions!$H$62*R604*R599,-Assumptions_Detailed!R127*Assumptions!$H$286*Assumptions!$H$268*R604)),0)</f>
        <v>0</v>
      </c>
      <c r="S616" s="34">
        <f>IFERROR((1+Sensitivity_tables!$N$28)*IF(Assumptions!$H$34="Manufactured",0,IF(AND(S604=1,Assumptions!$H$61="Yes"),-Assumptions!$H$286*Assumptions!$H$268*Assumptions!$H$62*S604*S599,-Assumptions_Detailed!S127*Assumptions!$H$286*Assumptions!$H$268*S604)),0)</f>
        <v>0</v>
      </c>
      <c r="T616" s="34">
        <f>IFERROR((1+Sensitivity_tables!$N$28)*IF(Assumptions!$H$34="Manufactured",0,IF(AND(T604=1,Assumptions!$H$61="Yes"),-Assumptions!$H$286*Assumptions!$H$268*Assumptions!$H$62*T604*T599,-Assumptions_Detailed!T127*Assumptions!$H$286*Assumptions!$H$268*T604)),0)</f>
        <v>0</v>
      </c>
      <c r="U616" s="34">
        <f>IFERROR((1+Sensitivity_tables!$N$28)*IF(Assumptions!$H$34="Manufactured",0,IF(AND(U604=1,Assumptions!$H$61="Yes"),-Assumptions!$H$286*Assumptions!$H$268*Assumptions!$H$62*U604*U599,-Assumptions_Detailed!U127*Assumptions!$H$286*Assumptions!$H$268*U604)),0)</f>
        <v>0</v>
      </c>
      <c r="V616" s="34">
        <f>IFERROR((1+Sensitivity_tables!$N$28)*IF(Assumptions!$H$34="Manufactured",0,IF(AND(V604=1,Assumptions!$H$61="Yes"),-Assumptions!$H$286*Assumptions!$H$268*Assumptions!$H$62*V604*V599,-Assumptions_Detailed!V127*Assumptions!$H$286*Assumptions!$H$268*V604)),0)</f>
        <v>0</v>
      </c>
      <c r="W616" s="34">
        <f>IFERROR((1+Sensitivity_tables!$N$28)*IF(Assumptions!$H$34="Manufactured",0,IF(AND(W604=1,Assumptions!$H$61="Yes"),-Assumptions!$H$286*Assumptions!$H$268*Assumptions!$H$62*W604*W599,-Assumptions_Detailed!W127*Assumptions!$H$286*Assumptions!$H$268*W604)),0)</f>
        <v>0</v>
      </c>
      <c r="X616" s="34">
        <f>IFERROR((1+Sensitivity_tables!$N$28)*IF(Assumptions!$H$34="Manufactured",0,IF(AND(X604=1,Assumptions!$H$61="Yes"),-Assumptions!$H$286*Assumptions!$H$268*Assumptions!$H$62*X604*X599,-Assumptions_Detailed!X127*Assumptions!$H$286*Assumptions!$H$268*X604)),0)</f>
        <v>0</v>
      </c>
      <c r="Y616" s="34">
        <f>IFERROR((1+Sensitivity_tables!$N$28)*IF(Assumptions!$H$34="Manufactured",0,IF(AND(Y604=1,Assumptions!$H$61="Yes"),-Assumptions!$H$286*Assumptions!$H$268*Assumptions!$H$62*Y604*Y599,-Assumptions_Detailed!Y127*Assumptions!$H$286*Assumptions!$H$268*Y604)),0)</f>
        <v>0</v>
      </c>
      <c r="Z616" s="34">
        <f ca="1">IFERROR((1+Sensitivity_tables!$N$28)*IF(Assumptions!$H$34="Manufactured",0,IF(AND(Z604=1,Assumptions!$H$61="Yes"),-Assumptions!$H$286*Assumptions!$H$268*Assumptions!$H$62*Z604*Z599,-Assumptions_Detailed!Z127*Assumptions!$H$286*Assumptions!$H$268*Z604)),0)</f>
        <v>0</v>
      </c>
      <c r="AA616" s="34">
        <f ca="1">IFERROR((1+Sensitivity_tables!$N$28)*IF(Assumptions!$H$34="Manufactured",0,IF(AND(AA604=1,Assumptions!$H$61="Yes"),-Assumptions!$H$286*Assumptions!$H$268*Assumptions!$H$62*AA604*AA599,-Assumptions_Detailed!AA127*Assumptions!$H$286*Assumptions!$H$268*AA604)),0)</f>
        <v>0</v>
      </c>
      <c r="AB616" s="34">
        <f ca="1">IFERROR((1+Sensitivity_tables!$N$28)*IF(Assumptions!$H$34="Manufactured",0,IF(AND(AB604=1,Assumptions!$H$61="Yes"),-Assumptions!$H$286*Assumptions!$H$268*Assumptions!$H$62*AB604*AB599,-Assumptions_Detailed!AB127*Assumptions!$H$286*Assumptions!$H$268*AB604)),0)</f>
        <v>0</v>
      </c>
      <c r="AC616" s="34">
        <f ca="1">IFERROR((1+Sensitivity_tables!$N$28)*IF(Assumptions!$H$34="Manufactured",0,IF(AND(AC604=1,Assumptions!$H$61="Yes"),-Assumptions!$H$286*Assumptions!$H$268*Assumptions!$H$62*AC604*AC599,-Assumptions_Detailed!AC127*Assumptions!$H$286*Assumptions!$H$268*AC604)),0)</f>
        <v>0</v>
      </c>
      <c r="AD616" s="34">
        <f ca="1">IFERROR((1+Sensitivity_tables!$N$28)*IF(Assumptions!$H$34="Manufactured",0,IF(AND(AD604=1,Assumptions!$H$61="Yes"),-Assumptions!$H$286*Assumptions!$H$268*Assumptions!$H$62*AD604*AD599,-Assumptions_Detailed!AD127*Assumptions!$H$286*Assumptions!$H$268*AD604)),0)</f>
        <v>0</v>
      </c>
      <c r="AE616" s="34">
        <f ca="1">IFERROR((1+Sensitivity_tables!$N$28)*IF(Assumptions!$H$34="Manufactured",0,IF(AND(AE604=1,Assumptions!$H$61="Yes"),-Assumptions!$H$286*Assumptions!$H$268*Assumptions!$H$62*AE604*AE599,-Assumptions_Detailed!AE127*Assumptions!$H$286*Assumptions!$H$268*AE604)),0)</f>
        <v>0</v>
      </c>
      <c r="AF616" s="34">
        <f ca="1">IFERROR((1+Sensitivity_tables!$N$28)*IF(Assumptions!$H$34="Manufactured",0,IF(AND(AF604=1,Assumptions!$H$61="Yes"),-Assumptions!$H$286*Assumptions!$H$268*Assumptions!$H$62*AF604*AF599,-Assumptions_Detailed!AF127*Assumptions!$H$286*Assumptions!$H$268*AF604)),0)</f>
        <v>0</v>
      </c>
      <c r="AG616" s="34">
        <f ca="1">IFERROR((1+Sensitivity_tables!$N$28)*IF(Assumptions!$H$34="Manufactured",0,IF(AND(AG604=1,Assumptions!$H$61="Yes"),-Assumptions!$H$286*Assumptions!$H$268*Assumptions!$H$62*AG604*AG599,-Assumptions_Detailed!AG127*Assumptions!$H$286*Assumptions!$H$268*AG604)),0)</f>
        <v>0</v>
      </c>
      <c r="AH616" s="34">
        <f ca="1">IFERROR((1+Sensitivity_tables!$N$28)*IF(Assumptions!$H$34="Manufactured",0,IF(AND(AH604=1,Assumptions!$H$61="Yes"),-Assumptions!$H$286*Assumptions!$H$268*Assumptions!$H$62*AH604*AH599,-Assumptions_Detailed!AH127*Assumptions!$H$286*Assumptions!$H$268*AH604)),0)</f>
        <v>0</v>
      </c>
      <c r="AI616" s="34">
        <f ca="1">IFERROR((1+Sensitivity_tables!$N$28)*IF(Assumptions!$H$34="Manufactured",0,IF(AND(AI604=1,Assumptions!$H$61="Yes"),-Assumptions!$H$286*Assumptions!$H$268*Assumptions!$H$62*AI604*AI599,-Assumptions_Detailed!AI127*Assumptions!$H$286*Assumptions!$H$268*AI604)),0)</f>
        <v>0</v>
      </c>
      <c r="AJ616" s="34">
        <f ca="1">IFERROR((1+Sensitivity_tables!$N$28)*IF(Assumptions!$H$34="Manufactured",0,IF(AND(AJ604=1,Assumptions!$H$61="Yes"),-Assumptions!$H$286*Assumptions!$H$268*Assumptions!$H$62*AJ604*AJ599,-Assumptions_Detailed!AJ127*Assumptions!$H$286*Assumptions!$H$268*AJ604)),0)</f>
        <v>0</v>
      </c>
      <c r="AK616" s="34">
        <f ca="1">IFERROR((1+Sensitivity_tables!$N$28)*IF(Assumptions!$H$34="Manufactured",0,IF(AND(AK604=1,Assumptions!$H$61="Yes"),-Assumptions!$H$286*Assumptions!$H$268*Assumptions!$H$62*AK604*AK599,-Assumptions_Detailed!AK127*Assumptions!$H$286*Assumptions!$H$268*AK604)),0)</f>
        <v>0</v>
      </c>
      <c r="AL616" s="34">
        <f ca="1">IFERROR((1+Sensitivity_tables!$N$28)*IF(Assumptions!$H$34="Manufactured",0,IF(AND(AL604=1,Assumptions!$H$61="Yes"),-Assumptions!$H$286*Assumptions!$H$268*Assumptions!$H$62*AL604*AL599,-Assumptions_Detailed!AL127*Assumptions!$H$286*Assumptions!$H$268*AL604)),0)</f>
        <v>0</v>
      </c>
      <c r="AM616" s="34">
        <f ca="1">IFERROR((1+Sensitivity_tables!$N$28)*IF(Assumptions!$H$34="Manufactured",0,IF(AND(AM604=1,Assumptions!$H$61="Yes"),-Assumptions!$H$286*Assumptions!$H$268*Assumptions!$H$62*AM604*AM599,-Assumptions_Detailed!AM127*Assumptions!$H$286*Assumptions!$H$268*AM604)),0)</f>
        <v>0</v>
      </c>
      <c r="AN616" s="34">
        <f ca="1">IFERROR((1+Sensitivity_tables!$N$28)*IF(Assumptions!$H$34="Manufactured",0,IF(AND(AN604=1,Assumptions!$H$61="Yes"),-Assumptions!$H$286*Assumptions!$H$268*Assumptions!$H$62*AN604*AN599,-Assumptions_Detailed!AN127*Assumptions!$H$286*Assumptions!$H$268*AN604)),0)</f>
        <v>0</v>
      </c>
      <c r="AO616" s="34">
        <f ca="1">IFERROR((1+Sensitivity_tables!$N$28)*IF(Assumptions!$H$34="Manufactured",0,IF(AND(AO604=1,Assumptions!$H$61="Yes"),-Assumptions!$H$286*Assumptions!$H$268*Assumptions!$H$62*AO604*AO599,-Assumptions_Detailed!AO127*Assumptions!$H$286*Assumptions!$H$268*AO604)),0)</f>
        <v>0</v>
      </c>
      <c r="AP616" s="34">
        <f ca="1">IFERROR((1+Sensitivity_tables!$N$28)*IF(Assumptions!$H$34="Manufactured",0,IF(AND(AP604=1,Assumptions!$H$61="Yes"),-Assumptions!$H$286*Assumptions!$H$268*Assumptions!$H$62*AP604*AP599,-Assumptions_Detailed!AP127*Assumptions!$H$286*Assumptions!$H$268*AP604)),0)</f>
        <v>0</v>
      </c>
      <c r="AQ616" s="34">
        <f ca="1">IFERROR((1+Sensitivity_tables!$N$28)*IF(Assumptions!$H$34="Manufactured",0,IF(AND(AQ604=1,Assumptions!$H$61="Yes"),-Assumptions!$H$286*Assumptions!$H$268*Assumptions!$H$62*AQ604*AQ599,-Assumptions_Detailed!AQ127*Assumptions!$H$286*Assumptions!$H$268*AQ604)),0)</f>
        <v>0</v>
      </c>
      <c r="AR616" s="34">
        <f ca="1">IFERROR((1+Sensitivity_tables!$N$28)*IF(Assumptions!$H$34="Manufactured",0,IF(AND(AR604=1,Assumptions!$H$61="Yes"),-Assumptions!$H$286*Assumptions!$H$268*Assumptions!$H$62*AR604*AR599,-Assumptions_Detailed!AR127*Assumptions!$H$286*Assumptions!$H$268*AR604)),0)</f>
        <v>0</v>
      </c>
      <c r="AS616" s="34">
        <f ca="1">IFERROR((1+Sensitivity_tables!$N$28)*IF(Assumptions!$H$34="Manufactured",0,IF(AND(AS604=1,Assumptions!$H$61="Yes"),-Assumptions!$H$286*Assumptions!$H$268*Assumptions!$H$62*AS604*AS599,-Assumptions_Detailed!AS127*Assumptions!$H$286*Assumptions!$H$268*AS604)),0)</f>
        <v>0</v>
      </c>
      <c r="AT616" s="34">
        <f ca="1">IFERROR((1+Sensitivity_tables!$N$28)*IF(Assumptions!$H$34="Manufactured",0,IF(AND(AT604=1,Assumptions!$H$61="Yes"),-Assumptions!$H$286*Assumptions!$H$268*Assumptions!$H$62*AT604*AT599,-Assumptions_Detailed!AT127*Assumptions!$H$286*Assumptions!$H$268*AT604)),0)</f>
        <v>0</v>
      </c>
      <c r="AU616" s="34">
        <f ca="1">IFERROR((1+Sensitivity_tables!$N$28)*IF(Assumptions!$H$34="Manufactured",0,IF(AND(AU604=1,Assumptions!$H$61="Yes"),-Assumptions!$H$286*Assumptions!$H$268*Assumptions!$H$62*AU604*AU599,-Assumptions_Detailed!AU127*Assumptions!$H$286*Assumptions!$H$268*AU604)),0)</f>
        <v>0</v>
      </c>
      <c r="AV616" s="34">
        <f ca="1">IFERROR((1+Sensitivity_tables!$N$28)*IF(Assumptions!$H$34="Manufactured",0,IF(AND(AV604=1,Assumptions!$H$61="Yes"),-Assumptions!$H$286*Assumptions!$H$268*Assumptions!$H$62*AV604*AV599,-Assumptions_Detailed!AV127*Assumptions!$H$286*Assumptions!$H$268*AV604)),0)</f>
        <v>0</v>
      </c>
      <c r="AW616" s="34">
        <f ca="1">IFERROR((1+Sensitivity_tables!$N$28)*IF(Assumptions!$H$34="Manufactured",0,IF(AND(AW604=1,Assumptions!$H$61="Yes"),-Assumptions!$H$286*Assumptions!$H$268*Assumptions!$H$62*AW604*AW599,-Assumptions_Detailed!AW127*Assumptions!$H$286*Assumptions!$H$268*AW604)),0)</f>
        <v>0</v>
      </c>
      <c r="AX616" s="34">
        <f ca="1">IFERROR((1+Sensitivity_tables!$N$28)*IF(Assumptions!$H$34="Manufactured",0,IF(AND(AX604=1,Assumptions!$H$61="Yes"),-Assumptions!$H$286*Assumptions!$H$268*Assumptions!$H$62*AX604*AX599,-Assumptions_Detailed!AX127*Assumptions!$H$286*Assumptions!$H$268*AX604)),0)</f>
        <v>0</v>
      </c>
      <c r="AY616" s="34">
        <f ca="1">IFERROR((1+Sensitivity_tables!$N$28)*IF(Assumptions!$H$34="Manufactured",0,IF(AND(AY604=1,Assumptions!$H$61="Yes"),-Assumptions!$H$286*Assumptions!$H$268*Assumptions!$H$62*AY604*AY599,-Assumptions_Detailed!AY127*Assumptions!$H$286*Assumptions!$H$268*AY604)),0)</f>
        <v>0</v>
      </c>
      <c r="AZ616" s="34">
        <f ca="1">IFERROR((1+Sensitivity_tables!$N$28)*IF(Assumptions!$H$34="Manufactured",0,IF(AND(AZ604=1,Assumptions!$H$61="Yes"),-Assumptions!$H$286*Assumptions!$H$268*Assumptions!$H$62*AZ604*AZ599,-Assumptions_Detailed!AZ127*Assumptions!$H$286*Assumptions!$H$268*AZ604)),0)</f>
        <v>0</v>
      </c>
      <c r="BA616" s="34">
        <f ca="1">IFERROR((1+Sensitivity_tables!$N$28)*IF(Assumptions!$H$34="Manufactured",0,IF(AND(BA604=1,Assumptions!$H$61="Yes"),-Assumptions!$H$286*Assumptions!$H$268*Assumptions!$H$62*BA604*BA599,-Assumptions_Detailed!BA127*Assumptions!$H$286*Assumptions!$H$268*BA604)),0)</f>
        <v>0</v>
      </c>
      <c r="BB616" s="34">
        <f ca="1">IFERROR((1+Sensitivity_tables!$N$28)*IF(Assumptions!$H$34="Manufactured",0,IF(AND(BB604=1,Assumptions!$H$61="Yes"),-Assumptions!$H$286*Assumptions!$H$268*Assumptions!$H$62*BB604*BB599,-Assumptions_Detailed!BB127*Assumptions!$H$286*Assumptions!$H$268*BB604)),0)</f>
        <v>0</v>
      </c>
      <c r="BC616" s="34">
        <f ca="1">IFERROR((1+Sensitivity_tables!$N$28)*IF(Assumptions!$H$34="Manufactured",0,IF(AND(BC604=1,Assumptions!$H$61="Yes"),-Assumptions!$H$286*Assumptions!$H$268*Assumptions!$H$62*BC604*BC599,-Assumptions_Detailed!BC127*Assumptions!$H$286*Assumptions!$H$268*BC604)),0)</f>
        <v>0</v>
      </c>
      <c r="BD616" s="34">
        <f ca="1">IFERROR((1+Sensitivity_tables!$N$28)*IF(Assumptions!$H$34="Manufactured",0,IF(AND(BD604=1,Assumptions!$H$61="Yes"),-Assumptions!$H$286*Assumptions!$H$268*Assumptions!$H$62*BD604*BD599,-Assumptions_Detailed!BD127*Assumptions!$H$286*Assumptions!$H$268*BD604)),0)</f>
        <v>0</v>
      </c>
      <c r="BE616" s="34">
        <f ca="1">IFERROR((1+Sensitivity_tables!$N$28)*IF(Assumptions!$H$34="Manufactured",0,IF(AND(BE604=1,Assumptions!$H$61="Yes"),-Assumptions!$H$286*Assumptions!$H$268*Assumptions!$H$62*BE604*BE599,-Assumptions_Detailed!BE127*Assumptions!$H$286*Assumptions!$H$268*BE604)),0)</f>
        <v>0</v>
      </c>
      <c r="BF616" s="34">
        <f ca="1">IFERROR((1+Sensitivity_tables!$N$28)*IF(Assumptions!$H$34="Manufactured",0,IF(AND(BF604=1,Assumptions!$H$61="Yes"),-Assumptions!$H$286*Assumptions!$H$268*Assumptions!$H$62*BF604*BF599,-Assumptions_Detailed!BF127*Assumptions!$H$286*Assumptions!$H$268*BF604)),0)</f>
        <v>0</v>
      </c>
      <c r="BG616" s="34">
        <f ca="1">IFERROR((1+Sensitivity_tables!$N$28)*IF(Assumptions!$H$34="Manufactured",0,IF(AND(BG604=1,Assumptions!$H$61="Yes"),-Assumptions!$H$286*Assumptions!$H$268*Assumptions!$H$62*BG604*BG599,-Assumptions_Detailed!BG127*Assumptions!$H$286*Assumptions!$H$268*BG604)),0)</f>
        <v>0</v>
      </c>
      <c r="BH616" s="34">
        <f ca="1">IFERROR((1+Sensitivity_tables!$N$28)*IF(Assumptions!$H$34="Manufactured",0,IF(AND(BH604=1,Assumptions!$H$61="Yes"),-Assumptions!$H$286*Assumptions!$H$268*Assumptions!$H$62*BH604*BH599,-Assumptions_Detailed!BH127*Assumptions!$H$286*Assumptions!$H$268*BH604)),0)</f>
        <v>0</v>
      </c>
      <c r="BI616" s="34">
        <f ca="1">IFERROR((1+Sensitivity_tables!$N$28)*IF(Assumptions!$H$34="Manufactured",0,IF(AND(BI604=1,Assumptions!$H$61="Yes"),-Assumptions!$H$286*Assumptions!$H$268*Assumptions!$H$62*BI604*BI599,-Assumptions_Detailed!BI127*Assumptions!$H$286*Assumptions!$H$268*BI604)),0)</f>
        <v>0</v>
      </c>
      <c r="BJ616" s="34">
        <f ca="1">IFERROR((1+Sensitivity_tables!$N$28)*IF(Assumptions!$H$34="Manufactured",0,IF(AND(BJ604=1,Assumptions!$H$61="Yes"),-Assumptions!$H$286*Assumptions!$H$268*Assumptions!$H$62*BJ604*BJ599,-Assumptions_Detailed!BJ127*Assumptions!$H$286*Assumptions!$H$268*BJ604)),0)</f>
        <v>0</v>
      </c>
      <c r="BK616" s="34">
        <f ca="1">IFERROR((1+Sensitivity_tables!$N$28)*IF(Assumptions!$H$34="Manufactured",0,IF(AND(BK604=1,Assumptions!$H$61="Yes"),-Assumptions!$H$286*Assumptions!$H$268*Assumptions!$H$62*BK604*BK599,-Assumptions_Detailed!BK127*Assumptions!$H$286*Assumptions!$H$268*BK604)),0)</f>
        <v>0</v>
      </c>
      <c r="BL616" s="34">
        <f ca="1">IFERROR((1+Sensitivity_tables!$N$28)*IF(Assumptions!$H$34="Manufactured",0,IF(AND(BL604=1,Assumptions!$H$61="Yes"),-Assumptions!$H$286*Assumptions!$H$268*Assumptions!$H$62*BL604*BL599,-Assumptions_Detailed!BL127*Assumptions!$H$286*Assumptions!$H$268*BL604)),0)</f>
        <v>0</v>
      </c>
      <c r="BM616" s="34">
        <f ca="1">IFERROR((1+Sensitivity_tables!$N$28)*IF(Assumptions!$H$34="Manufactured",0,IF(AND(BM604=1,Assumptions!$H$61="Yes"),-Assumptions!$H$286*Assumptions!$H$268*Assumptions!$H$62*BM604*BM599,-Assumptions_Detailed!BM127*Assumptions!$H$286*Assumptions!$H$268*BM604)),0)</f>
        <v>0</v>
      </c>
      <c r="BN616" s="34">
        <f ca="1">IFERROR((1+Sensitivity_tables!$N$28)*IF(Assumptions!$H$34="Manufactured",0,IF(AND(BN604=1,Assumptions!$H$61="Yes"),-Assumptions!$H$286*Assumptions!$H$268*Assumptions!$H$62*BN604*BN599,-Assumptions_Detailed!BN127*Assumptions!$H$286*Assumptions!$H$268*BN604)),0)</f>
        <v>0</v>
      </c>
      <c r="BO616" s="34">
        <f ca="1">IFERROR((1+Sensitivity_tables!$N$28)*IF(Assumptions!$H$34="Manufactured",0,IF(AND(BO604=1,Assumptions!$H$61="Yes"),-Assumptions!$H$286*Assumptions!$H$268*Assumptions!$H$62*BO604*BO599,-Assumptions_Detailed!BO127*Assumptions!$H$286*Assumptions!$H$268*BO604)),0)</f>
        <v>0</v>
      </c>
      <c r="BP616" s="34">
        <f ca="1">IFERROR((1+Sensitivity_tables!$N$28)*IF(Assumptions!$H$34="Manufactured",0,IF(AND(BP604=1,Assumptions!$H$61="Yes"),-Assumptions!$H$286*Assumptions!$H$268*Assumptions!$H$62*BP604*BP599,-Assumptions_Detailed!BP127*Assumptions!$H$286*Assumptions!$H$268*BP604)),0)</f>
        <v>0</v>
      </c>
      <c r="BQ616" s="34">
        <f ca="1">IFERROR((1+Sensitivity_tables!$N$28)*IF(Assumptions!$H$34="Manufactured",0,IF(AND(BQ604=1,Assumptions!$H$61="Yes"),-Assumptions!$H$286*Assumptions!$H$268*Assumptions!$H$62*BQ604*BQ599,-Assumptions_Detailed!BQ127*Assumptions!$H$286*Assumptions!$H$268*BQ604)),0)</f>
        <v>0</v>
      </c>
      <c r="BR616" s="34">
        <f ca="1">IFERROR((1+Sensitivity_tables!$N$28)*IF(Assumptions!$H$34="Manufactured",0,IF(AND(BR604=1,Assumptions!$H$61="Yes"),-Assumptions!$H$286*Assumptions!$H$268*Assumptions!$H$62*BR604*BR599,-Assumptions_Detailed!BR127*Assumptions!$H$286*Assumptions!$H$268*BR604)),0)</f>
        <v>0</v>
      </c>
      <c r="BS616" s="34">
        <f ca="1">IFERROR((1+Sensitivity_tables!$N$28)*IF(Assumptions!$H$34="Manufactured",0,IF(AND(BS604=1,Assumptions!$H$61="Yes"),-Assumptions!$H$286*Assumptions!$H$268*Assumptions!$H$62*BS604*BS599,-Assumptions_Detailed!BS127*Assumptions!$H$286*Assumptions!$H$268*BS604)),0)</f>
        <v>0</v>
      </c>
      <c r="BT616" s="34">
        <f ca="1">IFERROR((1+Sensitivity_tables!$N$28)*IF(Assumptions!$H$34="Manufactured",0,IF(AND(BT604=1,Assumptions!$H$61="Yes"),-Assumptions!$H$286*Assumptions!$H$268*Assumptions!$H$62*BT604*BT599,-Assumptions_Detailed!BT127*Assumptions!$H$286*Assumptions!$H$268*BT604)),0)</f>
        <v>0</v>
      </c>
      <c r="BU616" s="34">
        <f ca="1">IFERROR((1+Sensitivity_tables!$N$28)*IF(Assumptions!$H$34="Manufactured",0,IF(AND(BU604=1,Assumptions!$H$61="Yes"),-Assumptions!$H$286*Assumptions!$H$268*Assumptions!$H$62*BU604*BU599,-Assumptions_Detailed!BU127*Assumptions!$H$286*Assumptions!$H$268*BU604)),0)</f>
        <v>0</v>
      </c>
      <c r="BV616" s="34">
        <f ca="1">IFERROR((1+Sensitivity_tables!$N$28)*IF(Assumptions!$H$34="Manufactured",0,IF(AND(BV604=1,Assumptions!$H$61="Yes"),-Assumptions!$H$286*Assumptions!$H$268*Assumptions!$H$62*BV604*BV599,-Assumptions_Detailed!BV127*Assumptions!$H$286*Assumptions!$H$268*BV604)),0)</f>
        <v>0</v>
      </c>
      <c r="BW616" s="34">
        <f ca="1">IFERROR((1+Sensitivity_tables!$N$28)*IF(Assumptions!$H$34="Manufactured",0,IF(AND(BW604=1,Assumptions!$H$61="Yes"),-Assumptions!$H$286*Assumptions!$H$268*Assumptions!$H$62*BW604*BW599,-Assumptions_Detailed!BW127*Assumptions!$H$286*Assumptions!$H$268*BW604)),0)</f>
        <v>0</v>
      </c>
      <c r="BX616" s="34">
        <f ca="1">IFERROR((1+Sensitivity_tables!$N$28)*IF(Assumptions!$H$34="Manufactured",0,IF(AND(BX604=1,Assumptions!$H$61="Yes"),-Assumptions!$H$286*Assumptions!$H$268*Assumptions!$H$62*BX604*BX599,-Assumptions_Detailed!BX127*Assumptions!$H$286*Assumptions!$H$268*BX604)),0)</f>
        <v>0</v>
      </c>
      <c r="BY616" s="34">
        <f ca="1">IFERROR((1+Sensitivity_tables!$N$28)*IF(Assumptions!$H$34="Manufactured",0,IF(AND(BY604=1,Assumptions!$H$61="Yes"),-Assumptions!$H$286*Assumptions!$H$268*Assumptions!$H$62*BY604*BY599,-Assumptions_Detailed!BY127*Assumptions!$H$286*Assumptions!$H$268*BY604)),0)</f>
        <v>0</v>
      </c>
    </row>
    <row r="617" spans="2:77" outlineLevel="1">
      <c r="E617" t="s">
        <v>494</v>
      </c>
      <c r="F617" s="80" t="str">
        <f>+Assumptions!$G$8</f>
        <v>USD</v>
      </c>
      <c r="G617" s="23"/>
      <c r="H617" s="33">
        <f t="shared" ref="H617:AM617" ca="1" si="1232">+SUM(H616:H616)</f>
        <v>0</v>
      </c>
      <c r="I617" s="33">
        <f t="shared" ca="1" si="1232"/>
        <v>0</v>
      </c>
      <c r="J617" s="33">
        <f t="shared" ca="1" si="1232"/>
        <v>0</v>
      </c>
      <c r="K617" s="33">
        <f t="shared" si="1232"/>
        <v>0</v>
      </c>
      <c r="L617" s="33">
        <f t="shared" si="1232"/>
        <v>0</v>
      </c>
      <c r="M617" s="33">
        <f t="shared" si="1232"/>
        <v>0</v>
      </c>
      <c r="N617" s="33">
        <f t="shared" si="1232"/>
        <v>0</v>
      </c>
      <c r="O617" s="33">
        <f t="shared" si="1232"/>
        <v>0</v>
      </c>
      <c r="P617" s="33">
        <f t="shared" si="1232"/>
        <v>0</v>
      </c>
      <c r="Q617" s="33">
        <f t="shared" si="1232"/>
        <v>0</v>
      </c>
      <c r="R617" s="33">
        <f t="shared" si="1232"/>
        <v>0</v>
      </c>
      <c r="S617" s="33">
        <f t="shared" si="1232"/>
        <v>0</v>
      </c>
      <c r="T617" s="33">
        <f t="shared" si="1232"/>
        <v>0</v>
      </c>
      <c r="U617" s="33">
        <f t="shared" si="1232"/>
        <v>0</v>
      </c>
      <c r="V617" s="33">
        <f t="shared" si="1232"/>
        <v>0</v>
      </c>
      <c r="W617" s="33">
        <f t="shared" si="1232"/>
        <v>0</v>
      </c>
      <c r="X617" s="33">
        <f t="shared" si="1232"/>
        <v>0</v>
      </c>
      <c r="Y617" s="33">
        <f t="shared" si="1232"/>
        <v>0</v>
      </c>
      <c r="Z617" s="33">
        <f t="shared" ca="1" si="1232"/>
        <v>0</v>
      </c>
      <c r="AA617" s="33">
        <f t="shared" ca="1" si="1232"/>
        <v>0</v>
      </c>
      <c r="AB617" s="33">
        <f t="shared" ca="1" si="1232"/>
        <v>0</v>
      </c>
      <c r="AC617" s="33">
        <f t="shared" ca="1" si="1232"/>
        <v>0</v>
      </c>
      <c r="AD617" s="33">
        <f t="shared" ca="1" si="1232"/>
        <v>0</v>
      </c>
      <c r="AE617" s="33">
        <f t="shared" ca="1" si="1232"/>
        <v>0</v>
      </c>
      <c r="AF617" s="33">
        <f t="shared" ca="1" si="1232"/>
        <v>0</v>
      </c>
      <c r="AG617" s="33">
        <f t="shared" ca="1" si="1232"/>
        <v>0</v>
      </c>
      <c r="AH617" s="33">
        <f t="shared" ca="1" si="1232"/>
        <v>0</v>
      </c>
      <c r="AI617" s="33">
        <f t="shared" ca="1" si="1232"/>
        <v>0</v>
      </c>
      <c r="AJ617" s="33">
        <f t="shared" ca="1" si="1232"/>
        <v>0</v>
      </c>
      <c r="AK617" s="33">
        <f t="shared" ca="1" si="1232"/>
        <v>0</v>
      </c>
      <c r="AL617" s="33">
        <f t="shared" ca="1" si="1232"/>
        <v>0</v>
      </c>
      <c r="AM617" s="33">
        <f t="shared" ca="1" si="1232"/>
        <v>0</v>
      </c>
      <c r="AN617" s="33">
        <f t="shared" ref="AN617:BS617" ca="1" si="1233">+SUM(AN616:AN616)</f>
        <v>0</v>
      </c>
      <c r="AO617" s="33">
        <f t="shared" ca="1" si="1233"/>
        <v>0</v>
      </c>
      <c r="AP617" s="33">
        <f t="shared" ca="1" si="1233"/>
        <v>0</v>
      </c>
      <c r="AQ617" s="33">
        <f t="shared" ca="1" si="1233"/>
        <v>0</v>
      </c>
      <c r="AR617" s="33">
        <f t="shared" ca="1" si="1233"/>
        <v>0</v>
      </c>
      <c r="AS617" s="33">
        <f t="shared" ca="1" si="1233"/>
        <v>0</v>
      </c>
      <c r="AT617" s="33">
        <f t="shared" ca="1" si="1233"/>
        <v>0</v>
      </c>
      <c r="AU617" s="33">
        <f t="shared" ca="1" si="1233"/>
        <v>0</v>
      </c>
      <c r="AV617" s="33">
        <f t="shared" ca="1" si="1233"/>
        <v>0</v>
      </c>
      <c r="AW617" s="33">
        <f t="shared" ca="1" si="1233"/>
        <v>0</v>
      </c>
      <c r="AX617" s="33">
        <f t="shared" ca="1" si="1233"/>
        <v>0</v>
      </c>
      <c r="AY617" s="33">
        <f t="shared" ca="1" si="1233"/>
        <v>0</v>
      </c>
      <c r="AZ617" s="33">
        <f t="shared" ca="1" si="1233"/>
        <v>0</v>
      </c>
      <c r="BA617" s="33">
        <f t="shared" ca="1" si="1233"/>
        <v>0</v>
      </c>
      <c r="BB617" s="33">
        <f t="shared" ca="1" si="1233"/>
        <v>0</v>
      </c>
      <c r="BC617" s="33">
        <f t="shared" ca="1" si="1233"/>
        <v>0</v>
      </c>
      <c r="BD617" s="33">
        <f t="shared" ca="1" si="1233"/>
        <v>0</v>
      </c>
      <c r="BE617" s="33">
        <f t="shared" ca="1" si="1233"/>
        <v>0</v>
      </c>
      <c r="BF617" s="33">
        <f t="shared" ca="1" si="1233"/>
        <v>0</v>
      </c>
      <c r="BG617" s="33">
        <f t="shared" ca="1" si="1233"/>
        <v>0</v>
      </c>
      <c r="BH617" s="33">
        <f t="shared" ca="1" si="1233"/>
        <v>0</v>
      </c>
      <c r="BI617" s="33">
        <f t="shared" ca="1" si="1233"/>
        <v>0</v>
      </c>
      <c r="BJ617" s="33">
        <f t="shared" ca="1" si="1233"/>
        <v>0</v>
      </c>
      <c r="BK617" s="33">
        <f t="shared" ca="1" si="1233"/>
        <v>0</v>
      </c>
      <c r="BL617" s="33">
        <f t="shared" ca="1" si="1233"/>
        <v>0</v>
      </c>
      <c r="BM617" s="33">
        <f t="shared" ca="1" si="1233"/>
        <v>0</v>
      </c>
      <c r="BN617" s="33">
        <f t="shared" ca="1" si="1233"/>
        <v>0</v>
      </c>
      <c r="BO617" s="33">
        <f t="shared" ca="1" si="1233"/>
        <v>0</v>
      </c>
      <c r="BP617" s="33">
        <f t="shared" ca="1" si="1233"/>
        <v>0</v>
      </c>
      <c r="BQ617" s="33">
        <f t="shared" ca="1" si="1233"/>
        <v>0</v>
      </c>
      <c r="BR617" s="33">
        <f t="shared" ca="1" si="1233"/>
        <v>0</v>
      </c>
      <c r="BS617" s="33">
        <f t="shared" ca="1" si="1233"/>
        <v>0</v>
      </c>
      <c r="BT617" s="33">
        <f t="shared" ref="BT617:BY617" ca="1" si="1234">+SUM(BT616:BT616)</f>
        <v>0</v>
      </c>
      <c r="BU617" s="33">
        <f t="shared" ca="1" si="1234"/>
        <v>0</v>
      </c>
      <c r="BV617" s="33">
        <f t="shared" ca="1" si="1234"/>
        <v>0</v>
      </c>
      <c r="BW617" s="33">
        <f t="shared" ca="1" si="1234"/>
        <v>0</v>
      </c>
      <c r="BX617" s="33">
        <f t="shared" ca="1" si="1234"/>
        <v>0</v>
      </c>
      <c r="BY617" s="33">
        <f t="shared" ca="1" si="1234"/>
        <v>0</v>
      </c>
    </row>
    <row r="618" spans="2:77" outlineLevel="1"/>
    <row r="619" spans="2:77" outlineLevel="1">
      <c r="BF619" s="33"/>
      <c r="BG619" s="33"/>
      <c r="BH619" s="33"/>
      <c r="BI619" s="33"/>
      <c r="BJ619" s="33"/>
      <c r="BK619" s="33"/>
      <c r="BL619" s="33"/>
      <c r="BM619" s="33"/>
      <c r="BN619" s="33"/>
      <c r="BO619" s="33"/>
      <c r="BP619" s="33"/>
      <c r="BQ619" s="33"/>
      <c r="BR619" s="33"/>
      <c r="BS619" s="33"/>
      <c r="BT619" s="33"/>
      <c r="BU619" s="33"/>
      <c r="BV619" s="33"/>
      <c r="BW619" s="33"/>
      <c r="BX619" s="33"/>
      <c r="BY619" s="33"/>
    </row>
    <row r="620" spans="2:77" s="19" customFormat="1" ht="12.75" outlineLevel="1">
      <c r="B620" s="18" t="s">
        <v>495</v>
      </c>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row>
    <row r="621" spans="2:77" outlineLevel="1">
      <c r="BF621" s="33"/>
      <c r="BG621" s="33"/>
      <c r="BH621" s="33"/>
      <c r="BI621" s="33"/>
      <c r="BJ621" s="33"/>
      <c r="BK621" s="33"/>
      <c r="BL621" s="33"/>
      <c r="BM621" s="33"/>
      <c r="BN621" s="33"/>
      <c r="BO621" s="33"/>
      <c r="BP621" s="33"/>
      <c r="BQ621" s="33"/>
      <c r="BR621" s="33"/>
      <c r="BS621" s="33"/>
      <c r="BT621" s="33"/>
      <c r="BU621" s="33"/>
      <c r="BV621" s="33"/>
      <c r="BW621" s="33"/>
      <c r="BX621" s="33"/>
      <c r="BY621" s="33"/>
    </row>
    <row r="622" spans="2:77" ht="15" outlineLevel="1">
      <c r="C622" s="22" t="s">
        <v>496</v>
      </c>
      <c r="BF622" s="33"/>
      <c r="BG622" s="33"/>
      <c r="BH622" s="33"/>
      <c r="BI622" s="33"/>
      <c r="BJ622" s="33"/>
      <c r="BK622" s="33"/>
      <c r="BL622" s="33"/>
      <c r="BM622" s="33"/>
      <c r="BN622" s="33"/>
      <c r="BO622" s="33"/>
      <c r="BP622" s="33"/>
      <c r="BQ622" s="33"/>
      <c r="BR622" s="33"/>
      <c r="BS622" s="33"/>
      <c r="BT622" s="33"/>
      <c r="BU622" s="33"/>
      <c r="BV622" s="33"/>
      <c r="BW622" s="33"/>
      <c r="BX622" s="33"/>
      <c r="BY622" s="33"/>
    </row>
    <row r="623" spans="2:77" outlineLevel="1">
      <c r="C623" s="75">
        <f>Assumptions!$H$102*C609</f>
        <v>0</v>
      </c>
      <c r="D623" s="41"/>
      <c r="E623" t="s">
        <v>456</v>
      </c>
      <c r="F623" s="80" t="str">
        <f>+Assumptions!$G$8</f>
        <v>USD</v>
      </c>
      <c r="H623" s="32">
        <f>IF(AND(Assumptions!$H$77="Yes",Assumptions!$H$78="Detailed"),-Assumptions_Detailed!H$132,IF(SUM($H$603:H603)&gt;0,IF(SUM($H$610:H610)&lt;$C$623,MAX($C$623-SUM($G$623:G623),H610),H610),0))</f>
        <v>0</v>
      </c>
      <c r="I623" s="32">
        <f>IF(AND(Assumptions!$H$77="Yes",Assumptions!$H$78="Detailed"),-Assumptions_Detailed!I$132,IF(SUM($H$603:I603)&gt;0,IF(SUM($H$610:I610)&lt;$C$623,MAX($C$623-SUM($G$623:H623),I610),I610),0))</f>
        <v>0</v>
      </c>
      <c r="J623" s="32">
        <f>IF(AND(Assumptions!$H$77="Yes",Assumptions!$H$78="Detailed"),-Assumptions_Detailed!J$132,IF(SUM($H$603:J603)&gt;0,IF(SUM($H$610:J610)&lt;$C$623,MAX($C$623-SUM($G$623:I623),J610),J610),0))</f>
        <v>0</v>
      </c>
      <c r="K623" s="32">
        <f>IF(AND(Assumptions!$H$77="Yes",Assumptions!$H$78="Detailed"),-Assumptions_Detailed!K$132,IF(SUM($H$603:K603)&gt;0,IF(SUM($H$610:K610)&lt;$C$623,MAX($C$623-SUM($G$623:J623),K610),K610),0))</f>
        <v>0</v>
      </c>
      <c r="L623" s="32">
        <f>IF(AND(Assumptions!$H$77="Yes",Assumptions!$H$78="Detailed"),-Assumptions_Detailed!L$132,IF(SUM($H$603:L603)&gt;0,IF(SUM($H$610:L610)&lt;$C$623,MAX($C$623-SUM($G$623:K623),L610),L610),0))</f>
        <v>0</v>
      </c>
      <c r="M623" s="32">
        <f>IF(AND(Assumptions!$H$77="Yes",Assumptions!$H$78="Detailed"),-Assumptions_Detailed!M$132,IF(SUM($H$603:M603)&gt;0,IF(SUM($H$610:M610)&lt;$C$623,MAX($C$623-SUM($G$623:L623),M610),M610),0))</f>
        <v>0</v>
      </c>
      <c r="N623" s="32">
        <f>IF(AND(Assumptions!$H$77="Yes",Assumptions!$H$78="Detailed"),-Assumptions_Detailed!N$132,IF(SUM($H$603:N603)&gt;0,IF(SUM($H$610:N610)&lt;$C$623,MAX($C$623-SUM($G$623:M623),N610),N610),0))</f>
        <v>0</v>
      </c>
      <c r="O623" s="32">
        <f>IF(AND(Assumptions!$H$77="Yes",Assumptions!$H$78="Detailed"),-Assumptions_Detailed!O$132,IF(SUM($H$603:O603)&gt;0,IF(SUM($H$610:O610)&lt;$C$623,MAX($C$623-SUM($G$623:N623),O610),O610),0))</f>
        <v>0</v>
      </c>
      <c r="P623" s="32">
        <f>IF(AND(Assumptions!$H$77="Yes",Assumptions!$H$78="Detailed"),-Assumptions_Detailed!P$132,IF(SUM($H$603:P603)&gt;0,IF(SUM($H$610:P610)&lt;$C$623,MAX($C$623-SUM($G$623:O623),P610),P610),0))</f>
        <v>0</v>
      </c>
      <c r="Q623" s="32">
        <f>IF(AND(Assumptions!$H$77="Yes",Assumptions!$H$78="Detailed"),-Assumptions_Detailed!Q$132,IF(SUM($H$603:Q603)&gt;0,IF(SUM($H$610:Q610)&lt;$C$623,MAX($C$623-SUM($G$623:P623),Q610),Q610),0))</f>
        <v>0</v>
      </c>
      <c r="R623" s="32">
        <f>IF(AND(Assumptions!$H$77="Yes",Assumptions!$H$78="Detailed"),-Assumptions_Detailed!R$132,IF(SUM($H$603:R603)&gt;0,IF(SUM($H$610:R610)&lt;$C$623,MAX($C$623-SUM($G$623:Q623),R610),R610),0))</f>
        <v>0</v>
      </c>
      <c r="S623" s="32">
        <f>IF(AND(Assumptions!$H$77="Yes",Assumptions!$H$78="Detailed"),-Assumptions_Detailed!S$132,IF(SUM($H$603:S603)&gt;0,IF(SUM($H$610:S610)&lt;$C$623,MAX($C$623-SUM($G$623:R623),S610),S610),0))</f>
        <v>0</v>
      </c>
      <c r="T623" s="32">
        <f>IF(AND(Assumptions!$H$77="Yes",Assumptions!$H$78="Detailed"),-Assumptions_Detailed!T$132,IF(SUM($H$603:T603)&gt;0,IF(SUM($H$610:T610)&lt;$C$623,MAX($C$623-SUM($G$623:S623),T610),T610),0))</f>
        <v>0</v>
      </c>
      <c r="U623" s="32">
        <f>IF(AND(Assumptions!$H$77="Yes",Assumptions!$H$78="Detailed"),-Assumptions_Detailed!U$132,IF(SUM($H$603:U603)&gt;0,IF(SUM($H$610:U610)&lt;$C$623,MAX($C$623-SUM($G$623:T623),U610),U610),0))</f>
        <v>0</v>
      </c>
      <c r="V623" s="32">
        <f>IF(AND(Assumptions!$H$77="Yes",Assumptions!$H$78="Detailed"),-Assumptions_Detailed!V$132,IF(SUM($H$603:V603)&gt;0,IF(SUM($H$610:V610)&lt;$C$623,MAX($C$623-SUM($G$623:U623),V610),V610),0))</f>
        <v>0</v>
      </c>
      <c r="W623" s="32">
        <f>IF(AND(Assumptions!$H$77="Yes",Assumptions!$H$78="Detailed"),-Assumptions_Detailed!W$132,IF(SUM($H$603:W603)&gt;0,IF(SUM($H$610:W610)&lt;$C$623,MAX($C$623-SUM($G$623:V623),W610),W610),0))</f>
        <v>0</v>
      </c>
      <c r="X623" s="32">
        <f>IF(AND(Assumptions!$H$77="Yes",Assumptions!$H$78="Detailed"),-Assumptions_Detailed!X$132,IF(SUM($H$603:X603)&gt;0,IF(SUM($H$610:X610)&lt;$C$623,MAX($C$623-SUM($G$623:W623),X610),X610),0))</f>
        <v>0</v>
      </c>
      <c r="Y623" s="32">
        <f>IF(AND(Assumptions!$H$77="Yes",Assumptions!$H$78="Detailed"),-Assumptions_Detailed!Y$132,IF(SUM($H$603:Y603)&gt;0,IF(SUM($H$610:Y610)&lt;$C$623,MAX($C$623-SUM($G$623:X623),Y610),Y610),0))</f>
        <v>0</v>
      </c>
      <c r="Z623" s="32">
        <f>IF(AND(Assumptions!$H$77="Yes",Assumptions!$H$78="Detailed"),-Assumptions_Detailed!Z$132,IF(SUM($H$603:Z603)&gt;0,IF(SUM($H$610:Z610)&lt;$C$623,MAX($C$623-SUM($G$623:Y623),Z610),Z610),0))</f>
        <v>0</v>
      </c>
      <c r="AA623" s="32">
        <f>IF(AND(Assumptions!$H$77="Yes",Assumptions!$H$78="Detailed"),-Assumptions_Detailed!AA$132,IF(SUM($H$603:AA603)&gt;0,IF(SUM($H$610:AA610)&lt;$C$623,MAX($C$623-SUM($G$623:Z623),AA610),AA610),0))</f>
        <v>0</v>
      </c>
      <c r="AB623" s="32">
        <f>IF(AND(Assumptions!$H$77="Yes",Assumptions!$H$78="Detailed"),-Assumptions_Detailed!AB$132,IF(SUM($H$603:AB603)&gt;0,IF(SUM($H$610:AB610)&lt;$C$623,MAX($C$623-SUM($G$623:AA623),AB610),AB610),0))</f>
        <v>0</v>
      </c>
      <c r="AC623" s="32">
        <f>IF(AND(Assumptions!$H$77="Yes",Assumptions!$H$78="Detailed"),-Assumptions_Detailed!AC$132,IF(SUM($H$603:AC603)&gt;0,IF(SUM($H$610:AC610)&lt;$C$623,MAX($C$623-SUM($G$623:AB623),AC610),AC610),0))</f>
        <v>0</v>
      </c>
      <c r="AD623" s="32">
        <f>IF(AND(Assumptions!$H$77="Yes",Assumptions!$H$78="Detailed"),-Assumptions_Detailed!AD$132,IF(SUM($H$603:AD603)&gt;0,IF(SUM($H$610:AD610)&lt;$C$623,MAX($C$623-SUM($G$623:AC623),AD610),AD610),0))</f>
        <v>0</v>
      </c>
      <c r="AE623" s="32">
        <f>IF(AND(Assumptions!$H$77="Yes",Assumptions!$H$78="Detailed"),-Assumptions_Detailed!AE$132,IF(SUM($H$603:AE603)&gt;0,IF(SUM($H$610:AE610)&lt;$C$623,MAX($C$623-SUM($G$623:AD623),AE610),AE610),0))</f>
        <v>0</v>
      </c>
      <c r="AF623" s="32">
        <f>IF(AND(Assumptions!$H$77="Yes",Assumptions!$H$78="Detailed"),-Assumptions_Detailed!AF$132,IF(SUM($H$603:AF603)&gt;0,IF(SUM($H$610:AF610)&lt;$C$623,MAX($C$623-SUM($G$623:AE623),AF610),AF610),0))</f>
        <v>0</v>
      </c>
      <c r="AG623" s="32">
        <f>IF(AND(Assumptions!$H$77="Yes",Assumptions!$H$78="Detailed"),-Assumptions_Detailed!AG$132,IF(SUM($H$603:AG603)&gt;0,IF(SUM($H$610:AG610)&lt;$C$623,MAX($C$623-SUM($G$623:AF623),AG610),AG610),0))</f>
        <v>0</v>
      </c>
      <c r="AH623" s="32">
        <f>IF(AND(Assumptions!$H$77="Yes",Assumptions!$H$78="Detailed"),-Assumptions_Detailed!AH$132,IF(SUM($H$603:AH603)&gt;0,IF(SUM($H$610:AH610)&lt;$C$623,MAX($C$623-SUM($G$623:AG623),AH610),AH610),0))</f>
        <v>0</v>
      </c>
      <c r="AI623" s="32">
        <f>IF(AND(Assumptions!$H$77="Yes",Assumptions!$H$78="Detailed"),-Assumptions_Detailed!AI$132,IF(SUM($H$603:AI603)&gt;0,IF(SUM($H$610:AI610)&lt;$C$623,MAX($C$623-SUM($G$623:AH623),AI610),AI610),0))</f>
        <v>0</v>
      </c>
      <c r="AJ623" s="32">
        <f>IF(AND(Assumptions!$H$77="Yes",Assumptions!$H$78="Detailed"),-Assumptions_Detailed!AJ$132,IF(SUM($H$603:AJ603)&gt;0,IF(SUM($H$610:AJ610)&lt;$C$623,MAX($C$623-SUM($G$623:AI623),AJ610),AJ610),0))</f>
        <v>0</v>
      </c>
      <c r="AK623" s="32">
        <f>IF(AND(Assumptions!$H$77="Yes",Assumptions!$H$78="Detailed"),-Assumptions_Detailed!AK$132,IF(SUM($H$603:AK603)&gt;0,IF(SUM($H$610:AK610)&lt;$C$623,MAX($C$623-SUM($G$623:AJ623),AK610),AK610),0))</f>
        <v>0</v>
      </c>
      <c r="AL623" s="32">
        <f>IF(AND(Assumptions!$H$77="Yes",Assumptions!$H$78="Detailed"),-Assumptions_Detailed!AL$132,IF(SUM($H$603:AL603)&gt;0,IF(SUM($H$610:AL610)&lt;$C$623,MAX($C$623-SUM($G$623:AK623),AL610),AL610),0))</f>
        <v>0</v>
      </c>
      <c r="AM623" s="32">
        <f>IF(AND(Assumptions!$H$77="Yes",Assumptions!$H$78="Detailed"),-Assumptions_Detailed!AM$132,IF(SUM($H$603:AM603)&gt;0,IF(SUM($H$610:AM610)&lt;$C$623,MAX($C$623-SUM($G$623:AL623),AM610),AM610),0))</f>
        <v>0</v>
      </c>
      <c r="AN623" s="32">
        <f>IF(AND(Assumptions!$H$77="Yes",Assumptions!$H$78="Detailed"),-Assumptions_Detailed!AN$132,IF(SUM($H$603:AN603)&gt;0,IF(SUM($H$610:AN610)&lt;$C$623,MAX($C$623-SUM($G$623:AM623),AN610),AN610),0))</f>
        <v>0</v>
      </c>
      <c r="AO623" s="32">
        <f>IF(AND(Assumptions!$H$77="Yes",Assumptions!$H$78="Detailed"),-Assumptions_Detailed!AO$132,IF(SUM($H$603:AO603)&gt;0,IF(SUM($H$610:AO610)&lt;$C$623,MAX($C$623-SUM($G$623:AN623),AO610),AO610),0))</f>
        <v>0</v>
      </c>
      <c r="AP623" s="32">
        <f>IF(AND(Assumptions!$H$77="Yes",Assumptions!$H$78="Detailed"),-Assumptions_Detailed!AP$132,IF(SUM($H$603:AP603)&gt;0,IF(SUM($H$610:AP610)&lt;$C$623,MAX($C$623-SUM($G$623:AO623),AP610),AP610),0))</f>
        <v>0</v>
      </c>
      <c r="AQ623" s="32">
        <f>IF(AND(Assumptions!$H$77="Yes",Assumptions!$H$78="Detailed"),-Assumptions_Detailed!AQ$132,IF(SUM($H$603:AQ603)&gt;0,IF(SUM($H$610:AQ610)&lt;$C$623,MAX($C$623-SUM($G$623:AP623),AQ610),AQ610),0))</f>
        <v>0</v>
      </c>
      <c r="AR623" s="32">
        <f>IF(AND(Assumptions!$H$77="Yes",Assumptions!$H$78="Detailed"),-Assumptions_Detailed!AR$132,IF(SUM($H$603:AR603)&gt;0,IF(SUM($H$610:AR610)&lt;$C$623,MAX($C$623-SUM($G$623:AQ623),AR610),AR610),0))</f>
        <v>0</v>
      </c>
      <c r="AS623" s="32">
        <f>IF(AND(Assumptions!$H$77="Yes",Assumptions!$H$78="Detailed"),-Assumptions_Detailed!AS$132,IF(SUM($H$603:AS603)&gt;0,IF(SUM($H$610:AS610)&lt;$C$623,MAX($C$623-SUM($G$623:AR623),AS610),AS610),0))</f>
        <v>0</v>
      </c>
      <c r="AT623" s="32">
        <f>IF(AND(Assumptions!$H$77="Yes",Assumptions!$H$78="Detailed"),-Assumptions_Detailed!AT$132,IF(SUM($H$603:AT603)&gt;0,IF(SUM($H$610:AT610)&lt;$C$623,MAX($C$623-SUM($G$623:AS623),AT610),AT610),0))</f>
        <v>0</v>
      </c>
      <c r="AU623" s="32">
        <f>IF(AND(Assumptions!$H$77="Yes",Assumptions!$H$78="Detailed"),-Assumptions_Detailed!AU$132,IF(SUM($H$603:AU603)&gt;0,IF(SUM($H$610:AU610)&lt;$C$623,MAX($C$623-SUM($G$623:AT623),AU610),AU610),0))</f>
        <v>0</v>
      </c>
      <c r="AV623" s="32">
        <f>IF(AND(Assumptions!$H$77="Yes",Assumptions!$H$78="Detailed"),-Assumptions_Detailed!AV$132,IF(SUM($H$603:AV603)&gt;0,IF(SUM($H$610:AV610)&lt;$C$623,MAX($C$623-SUM($G$623:AU623),AV610),AV610),0))</f>
        <v>0</v>
      </c>
      <c r="AW623" s="32">
        <f>IF(AND(Assumptions!$H$77="Yes",Assumptions!$H$78="Detailed"),-Assumptions_Detailed!AW$132,IF(SUM($H$603:AW603)&gt;0,IF(SUM($H$610:AW610)&lt;$C$623,MAX($C$623-SUM($G$623:AV623),AW610),AW610),0))</f>
        <v>0</v>
      </c>
      <c r="AX623" s="32">
        <f>IF(AND(Assumptions!$H$77="Yes",Assumptions!$H$78="Detailed"),-Assumptions_Detailed!AX$132,IF(SUM($H$603:AX603)&gt;0,IF(SUM($H$610:AX610)&lt;$C$623,MAX($C$623-SUM($G$623:AW623),AX610),AX610),0))</f>
        <v>0</v>
      </c>
      <c r="AY623" s="32">
        <f>IF(AND(Assumptions!$H$77="Yes",Assumptions!$H$78="Detailed"),-Assumptions_Detailed!AY$132,IF(SUM($H$603:AY603)&gt;0,IF(SUM($H$610:AY610)&lt;$C$623,MAX($C$623-SUM($G$623:AX623),AY610),AY610),0))</f>
        <v>0</v>
      </c>
      <c r="AZ623" s="32">
        <f>IF(AND(Assumptions!$H$77="Yes",Assumptions!$H$78="Detailed"),-Assumptions_Detailed!AZ$132,IF(SUM($H$603:AZ603)&gt;0,IF(SUM($H$610:AZ610)&lt;$C$623,MAX($C$623-SUM($G$623:AY623),AZ610),AZ610),0))</f>
        <v>0</v>
      </c>
      <c r="BA623" s="32">
        <f>IF(AND(Assumptions!$H$77="Yes",Assumptions!$H$78="Detailed"),-Assumptions_Detailed!BA$132,IF(SUM($H$603:BA603)&gt;0,IF(SUM($H$610:BA610)&lt;$C$623,MAX($C$623-SUM($G$623:AZ623),BA610),BA610),0))</f>
        <v>0</v>
      </c>
      <c r="BB623" s="32">
        <f>IF(AND(Assumptions!$H$77="Yes",Assumptions!$H$78="Detailed"),-Assumptions_Detailed!BB$132,IF(SUM($H$603:BB603)&gt;0,IF(SUM($H$610:BB610)&lt;$C$623,MAX($C$623-SUM($G$623:BA623),BB610),BB610),0))</f>
        <v>0</v>
      </c>
      <c r="BC623" s="32">
        <f>IF(AND(Assumptions!$H$77="Yes",Assumptions!$H$78="Detailed"),-Assumptions_Detailed!BC$132,IF(SUM($H$603:BC603)&gt;0,IF(SUM($H$610:BC610)&lt;$C$623,MAX($C$623-SUM($G$623:BB623),BC610),BC610),0))</f>
        <v>0</v>
      </c>
      <c r="BD623" s="32">
        <f>IF(AND(Assumptions!$H$77="Yes",Assumptions!$H$78="Detailed"),-Assumptions_Detailed!BD$132,IF(SUM($H$603:BD603)&gt;0,IF(SUM($H$610:BD610)&lt;$C$623,MAX($C$623-SUM($G$623:BC623),BD610),BD610),0))</f>
        <v>0</v>
      </c>
      <c r="BE623" s="32">
        <f>IF(AND(Assumptions!$H$77="Yes",Assumptions!$H$78="Detailed"),-Assumptions_Detailed!BE$132,IF(SUM($H$603:BE603)&gt;0,IF(SUM($H$610:BE610)&lt;$C$623,MAX($C$623-SUM($G$623:BD623),BE610),BE610),0))</f>
        <v>0</v>
      </c>
      <c r="BF623" s="32">
        <f>IF(AND(Assumptions!$H$77="Yes",Assumptions!$H$78="Detailed"),-Assumptions_Detailed!BF$132,IF(SUM($H$603:BF603)&gt;0,IF(SUM($H$610:BF610)&lt;$C$623,MAX($C$623-SUM($G$623:BE623),BF610),BF610),0))</f>
        <v>0</v>
      </c>
      <c r="BG623" s="32">
        <f>IF(AND(Assumptions!$H$77="Yes",Assumptions!$H$78="Detailed"),-Assumptions_Detailed!BG$132,IF(SUM($H$603:BG603)&gt;0,IF(SUM($H$610:BG610)&lt;$C$623,MAX($C$623-SUM($G$623:BF623),BG610),BG610),0))</f>
        <v>0</v>
      </c>
      <c r="BH623" s="32">
        <f>IF(AND(Assumptions!$H$77="Yes",Assumptions!$H$78="Detailed"),-Assumptions_Detailed!BH$132,IF(SUM($H$603:BH603)&gt;0,IF(SUM($H$610:BH610)&lt;$C$623,MAX($C$623-SUM($G$623:BG623),BH610),BH610),0))</f>
        <v>0</v>
      </c>
      <c r="BI623" s="32">
        <f>IF(AND(Assumptions!$H$77="Yes",Assumptions!$H$78="Detailed"),-Assumptions_Detailed!BI$132,IF(SUM($H$603:BI603)&gt;0,IF(SUM($H$610:BI610)&lt;$C$623,MAX($C$623-SUM($G$623:BH623),BI610),BI610),0))</f>
        <v>0</v>
      </c>
      <c r="BJ623" s="32">
        <f>IF(AND(Assumptions!$H$77="Yes",Assumptions!$H$78="Detailed"),-Assumptions_Detailed!BJ$132,IF(SUM($H$603:BJ603)&gt;0,IF(SUM($H$610:BJ610)&lt;$C$623,MAX($C$623-SUM($G$623:BI623),BJ610),BJ610),0))</f>
        <v>0</v>
      </c>
      <c r="BK623" s="32">
        <f>IF(AND(Assumptions!$H$77="Yes",Assumptions!$H$78="Detailed"),-Assumptions_Detailed!BK$132,IF(SUM($H$603:BK603)&gt;0,IF(SUM($H$610:BK610)&lt;$C$623,MAX($C$623-SUM($G$623:BJ623),BK610),BK610),0))</f>
        <v>0</v>
      </c>
      <c r="BL623" s="32">
        <f>IF(AND(Assumptions!$H$77="Yes",Assumptions!$H$78="Detailed"),-Assumptions_Detailed!BL$132,IF(SUM($H$603:BL603)&gt;0,IF(SUM($H$610:BL610)&lt;$C$623,MAX($C$623-SUM($G$623:BK623),BL610),BL610),0))</f>
        <v>0</v>
      </c>
      <c r="BM623" s="32">
        <f>IF(AND(Assumptions!$H$77="Yes",Assumptions!$H$78="Detailed"),-Assumptions_Detailed!BM$132,IF(SUM($H$603:BM603)&gt;0,IF(SUM($H$610:BM610)&lt;$C$623,MAX($C$623-SUM($G$623:BL623),BM610),BM610),0))</f>
        <v>0</v>
      </c>
      <c r="BN623" s="32">
        <f>IF(AND(Assumptions!$H$77="Yes",Assumptions!$H$78="Detailed"),-Assumptions_Detailed!BN$132,IF(SUM($H$603:BN603)&gt;0,IF(SUM($H$610:BN610)&lt;$C$623,MAX($C$623-SUM($G$623:BM623),BN610),BN610),0))</f>
        <v>0</v>
      </c>
      <c r="BO623" s="32">
        <f>IF(AND(Assumptions!$H$77="Yes",Assumptions!$H$78="Detailed"),-Assumptions_Detailed!BO$132,IF(SUM($H$603:BO603)&gt;0,IF(SUM($H$610:BO610)&lt;$C$623,MAX($C$623-SUM($G$623:BN623),BO610),BO610),0))</f>
        <v>0</v>
      </c>
      <c r="BP623" s="32">
        <f>IF(AND(Assumptions!$H$77="Yes",Assumptions!$H$78="Detailed"),-Assumptions_Detailed!BP$132,IF(SUM($H$603:BP603)&gt;0,IF(SUM($H$610:BP610)&lt;$C$623,MAX($C$623-SUM($G$623:BO623),BP610),BP610),0))</f>
        <v>0</v>
      </c>
      <c r="BQ623" s="32">
        <f>IF(AND(Assumptions!$H$77="Yes",Assumptions!$H$78="Detailed"),-Assumptions_Detailed!BQ$132,IF(SUM($H$603:BQ603)&gt;0,IF(SUM($H$610:BQ610)&lt;$C$623,MAX($C$623-SUM($G$623:BP623),BQ610),BQ610),0))</f>
        <v>0</v>
      </c>
      <c r="BR623" s="32">
        <f>IF(AND(Assumptions!$H$77="Yes",Assumptions!$H$78="Detailed"),-Assumptions_Detailed!BR$132,IF(SUM($H$603:BR603)&gt;0,IF(SUM($H$610:BR610)&lt;$C$623,MAX($C$623-SUM($G$623:BQ623),BR610),BR610),0))</f>
        <v>0</v>
      </c>
      <c r="BS623" s="32">
        <f>IF(AND(Assumptions!$H$77="Yes",Assumptions!$H$78="Detailed"),-Assumptions_Detailed!BS$132,IF(SUM($H$603:BS603)&gt;0,IF(SUM($H$610:BS610)&lt;$C$623,MAX($C$623-SUM($G$623:BR623),BS610),BS610),0))</f>
        <v>0</v>
      </c>
      <c r="BT623" s="32">
        <f>IF(AND(Assumptions!$H$77="Yes",Assumptions!$H$78="Detailed"),-Assumptions_Detailed!BT$132,IF(SUM($H$603:BT603)&gt;0,IF(SUM($H$610:BT610)&lt;$C$623,MAX($C$623-SUM($G$623:BS623),BT610),BT610),0))</f>
        <v>0</v>
      </c>
      <c r="BU623" s="32">
        <f>IF(AND(Assumptions!$H$77="Yes",Assumptions!$H$78="Detailed"),-Assumptions_Detailed!BU$132,IF(SUM($H$603:BU603)&gt;0,IF(SUM($H$610:BU610)&lt;$C$623,MAX($C$623-SUM($G$623:BT623),BU610),BU610),0))</f>
        <v>0</v>
      </c>
      <c r="BV623" s="32">
        <f>IF(AND(Assumptions!$H$77="Yes",Assumptions!$H$78="Detailed"),-Assumptions_Detailed!BV$132,IF(SUM($H$603:BV603)&gt;0,IF(SUM($H$610:BV610)&lt;$C$623,MAX($C$623-SUM($G$623:BU623),BV610),BV610),0))</f>
        <v>0</v>
      </c>
      <c r="BW623" s="32">
        <f>IF(AND(Assumptions!$H$77="Yes",Assumptions!$H$78="Detailed"),-Assumptions_Detailed!BW$132,IF(SUM($H$603:BW603)&gt;0,IF(SUM($H$610:BW610)&lt;$C$623,MAX($C$623-SUM($G$623:BV623),BW610),BW610),0))</f>
        <v>0</v>
      </c>
      <c r="BX623" s="32">
        <f>IF(AND(Assumptions!$H$77="Yes",Assumptions!$H$78="Detailed"),-Assumptions_Detailed!BX$132,IF(SUM($H$603:BX603)&gt;0,IF(SUM($H$610:BX610)&lt;$C$623,MAX($C$623-SUM($G$623:BW623),BX610),BX610),0))</f>
        <v>0</v>
      </c>
      <c r="BY623" s="32">
        <f>IF(AND(Assumptions!$H$77="Yes",Assumptions!$H$78="Detailed"),-Assumptions_Detailed!BY$132,IF(SUM($H$603:BY603)&gt;0,IF(SUM($H$610:BY610)&lt;$C$623,MAX($C$623-SUM($G$623:BX623),BY610),BY610),0))</f>
        <v>0</v>
      </c>
    </row>
    <row r="624" spans="2:77" outlineLevel="1"/>
    <row r="625" spans="3:77" outlineLevel="1"/>
    <row r="626" spans="3:77" ht="15" outlineLevel="1">
      <c r="C626" s="22" t="s">
        <v>497</v>
      </c>
      <c r="D626" s="31"/>
    </row>
    <row r="627" spans="3:77" ht="15" outlineLevel="1">
      <c r="C627" s="68" t="str">
        <f>+Assumptions!$H$88</f>
        <v>Equity-first</v>
      </c>
      <c r="D627" s="28"/>
      <c r="E627" s="22" t="s">
        <v>457</v>
      </c>
      <c r="H627" s="32"/>
      <c r="BF627" s="33"/>
      <c r="BG627" s="33"/>
      <c r="BH627" s="33"/>
      <c r="BI627" s="33"/>
      <c r="BJ627" s="33"/>
      <c r="BK627" s="33"/>
      <c r="BL627" s="33"/>
      <c r="BM627" s="33"/>
      <c r="BN627" s="33"/>
      <c r="BO627" s="33"/>
      <c r="BP627" s="33"/>
      <c r="BQ627" s="33"/>
      <c r="BR627" s="33"/>
      <c r="BS627" s="33"/>
      <c r="BT627" s="33"/>
      <c r="BU627" s="33"/>
      <c r="BV627" s="33"/>
      <c r="BW627" s="33"/>
      <c r="BX627" s="33"/>
      <c r="BY627" s="33"/>
    </row>
    <row r="628" spans="3:77" outlineLevel="1">
      <c r="C628" s="68" t="str">
        <f>+Assumptions!$H$89</f>
        <v>Annuity</v>
      </c>
      <c r="D628" s="28"/>
      <c r="E628" t="s">
        <v>458</v>
      </c>
      <c r="F628" s="80" t="str">
        <f>+Assumptions!$G$8</f>
        <v>USD</v>
      </c>
      <c r="H628" s="32">
        <f>IF(AND(Assumptions!$H$77="Yes",Assumptions!$H$78="Detailed"),-Assumptions_Detailed!H$135,MAX(IFERROR(H610-H623,0),$C$631-SUM($G$628:G628)))</f>
        <v>0</v>
      </c>
      <c r="I628" s="32">
        <f>IF(AND(Assumptions!$H$77="Yes",Assumptions!$H$78="Detailed"),-Assumptions_Detailed!I$135,MAX(IFERROR(I610-I623,0),$C$631-SUM($G$628:H628)))</f>
        <v>0</v>
      </c>
      <c r="J628" s="32">
        <f>IF(AND(Assumptions!$H$77="Yes",Assumptions!$H$78="Detailed"),-Assumptions_Detailed!J$135,MAX(IFERROR(J610-J623,0),$C$631-SUM($G$628:I628)))</f>
        <v>0</v>
      </c>
      <c r="K628" s="32">
        <f>IF(AND(Assumptions!$H$77="Yes",Assumptions!$H$78="Detailed"),-Assumptions_Detailed!K$135,MAX(IFERROR(K610-K623,0),$C$631-SUM($G$628:J628)))</f>
        <v>0</v>
      </c>
      <c r="L628" s="32">
        <f>IF(AND(Assumptions!$H$77="Yes",Assumptions!$H$78="Detailed"),-Assumptions_Detailed!L$135,MAX(IFERROR(L610-L623,0),$C$631-SUM($G$628:K628)))</f>
        <v>0</v>
      </c>
      <c r="M628" s="32">
        <f>IF(AND(Assumptions!$H$77="Yes",Assumptions!$H$78="Detailed"),-Assumptions_Detailed!M$135,MAX(IFERROR(M610-M623,0),$C$631-SUM($G$628:L628)))</f>
        <v>0</v>
      </c>
      <c r="N628" s="32">
        <f>IF(AND(Assumptions!$H$77="Yes",Assumptions!$H$78="Detailed"),-Assumptions_Detailed!N$135,MAX(IFERROR(N610-N623,0),$C$631-SUM($G$628:M628)))</f>
        <v>0</v>
      </c>
      <c r="O628" s="32">
        <f>IF(AND(Assumptions!$H$77="Yes",Assumptions!$H$78="Detailed"),-Assumptions_Detailed!O$135,MAX(IFERROR(O610-O623,0),$C$631-SUM($G$628:N628)))</f>
        <v>0</v>
      </c>
      <c r="P628" s="32">
        <f>IF(AND(Assumptions!$H$77="Yes",Assumptions!$H$78="Detailed"),-Assumptions_Detailed!P$135,MAX(IFERROR(P610-P623,0),$C$631-SUM($G$628:O628)))</f>
        <v>0</v>
      </c>
      <c r="Q628" s="32">
        <f>IF(AND(Assumptions!$H$77="Yes",Assumptions!$H$78="Detailed"),-Assumptions_Detailed!Q$135,MAX(IFERROR(Q610-Q623,0),$C$631-SUM($G$628:P628)))</f>
        <v>0</v>
      </c>
      <c r="R628" s="32">
        <f>IF(AND(Assumptions!$H$77="Yes",Assumptions!$H$78="Detailed"),-Assumptions_Detailed!R$135,MAX(IFERROR(R610-R623,0),$C$631-SUM($G$628:Q628)))</f>
        <v>0</v>
      </c>
      <c r="S628" s="32">
        <f>IF(AND(Assumptions!$H$77="Yes",Assumptions!$H$78="Detailed"),-Assumptions_Detailed!S$135,MAX(IFERROR(S610-S623,0),$C$631-SUM($G$628:R628)))</f>
        <v>0</v>
      </c>
      <c r="T628" s="32">
        <f>IF(AND(Assumptions!$H$77="Yes",Assumptions!$H$78="Detailed"),-Assumptions_Detailed!T$135,MAX(IFERROR(T610-T623,0),$C$631-SUM($G$628:S628)))</f>
        <v>0</v>
      </c>
      <c r="U628" s="32">
        <f>IF(AND(Assumptions!$H$77="Yes",Assumptions!$H$78="Detailed"),-Assumptions_Detailed!U$135,MAX(IFERROR(U610-U623,0),$C$631-SUM($G$628:T628)))</f>
        <v>0</v>
      </c>
      <c r="V628" s="32">
        <f>IF(AND(Assumptions!$H$77="Yes",Assumptions!$H$78="Detailed"),-Assumptions_Detailed!V$135,MAX(IFERROR(V610-V623,0),$C$631-SUM($G$628:U628)))</f>
        <v>0</v>
      </c>
      <c r="W628" s="32">
        <f>IF(AND(Assumptions!$H$77="Yes",Assumptions!$H$78="Detailed"),-Assumptions_Detailed!W$135,MAX(IFERROR(W610-W623,0),$C$631-SUM($G$628:V628)))</f>
        <v>0</v>
      </c>
      <c r="X628" s="32">
        <f>IF(AND(Assumptions!$H$77="Yes",Assumptions!$H$78="Detailed"),-Assumptions_Detailed!X$135,MAX(IFERROR(X610-X623,0),$C$631-SUM($G$628:W628)))</f>
        <v>0</v>
      </c>
      <c r="Y628" s="32">
        <f>IF(AND(Assumptions!$H$77="Yes",Assumptions!$H$78="Detailed"),-Assumptions_Detailed!Y$135,MAX(IFERROR(Y610-Y623,0),$C$631-SUM($G$628:X628)))</f>
        <v>0</v>
      </c>
      <c r="Z628" s="32">
        <f>IF(AND(Assumptions!$H$77="Yes",Assumptions!$H$78="Detailed"),-Assumptions_Detailed!Z$135,MAX(IFERROR(Z610-Z623,0),$C$631-SUM($G$628:Y628)))</f>
        <v>0</v>
      </c>
      <c r="AA628" s="32">
        <f>IF(AND(Assumptions!$H$77="Yes",Assumptions!$H$78="Detailed"),-Assumptions_Detailed!AA$135,MAX(IFERROR(AA610-AA623,0),$C$631-SUM($G$628:Z628)))</f>
        <v>0</v>
      </c>
      <c r="AB628" s="32">
        <f>IF(AND(Assumptions!$H$77="Yes",Assumptions!$H$78="Detailed"),-Assumptions_Detailed!AB$135,MAX(IFERROR(AB610-AB623,0),$C$631-SUM($G$628:AA628)))</f>
        <v>0</v>
      </c>
      <c r="AC628" s="32">
        <f>IF(AND(Assumptions!$H$77="Yes",Assumptions!$H$78="Detailed"),-Assumptions_Detailed!AC$135,MAX(IFERROR(AC610-AC623,0),$C$631-SUM($G$628:AB628)))</f>
        <v>0</v>
      </c>
      <c r="AD628" s="32">
        <f>IF(AND(Assumptions!$H$77="Yes",Assumptions!$H$78="Detailed"),-Assumptions_Detailed!AD$135,MAX(IFERROR(AD610-AD623,0),$C$631-SUM($G$628:AC628)))</f>
        <v>0</v>
      </c>
      <c r="AE628" s="32">
        <f>IF(AND(Assumptions!$H$77="Yes",Assumptions!$H$78="Detailed"),-Assumptions_Detailed!AE$135,MAX(IFERROR(AE610-AE623,0),$C$631-SUM($G$628:AD628)))</f>
        <v>0</v>
      </c>
      <c r="AF628" s="32">
        <f>IF(AND(Assumptions!$H$77="Yes",Assumptions!$H$78="Detailed"),-Assumptions_Detailed!AF$135,MAX(IFERROR(AF610-AF623,0),$C$631-SUM($G$628:AE628)))</f>
        <v>0</v>
      </c>
      <c r="AG628" s="32">
        <f>IF(AND(Assumptions!$H$77="Yes",Assumptions!$H$78="Detailed"),-Assumptions_Detailed!AG$135,MAX(IFERROR(AG610-AG623,0),$C$631-SUM($G$628:AF628)))</f>
        <v>0</v>
      </c>
      <c r="AH628" s="32">
        <f>IF(AND(Assumptions!$H$77="Yes",Assumptions!$H$78="Detailed"),-Assumptions_Detailed!AH$135,MAX(IFERROR(AH610-AH623,0),$C$631-SUM($G$628:AG628)))</f>
        <v>0</v>
      </c>
      <c r="AI628" s="32">
        <f>IF(AND(Assumptions!$H$77="Yes",Assumptions!$H$78="Detailed"),-Assumptions_Detailed!AI$135,MAX(IFERROR(AI610-AI623,0),$C$631-SUM($G$628:AH628)))</f>
        <v>0</v>
      </c>
      <c r="AJ628" s="32">
        <f>IF(AND(Assumptions!$H$77="Yes",Assumptions!$H$78="Detailed"),-Assumptions_Detailed!AJ$135,MAX(IFERROR(AJ610-AJ623,0),$C$631-SUM($G$628:AI628)))</f>
        <v>0</v>
      </c>
      <c r="AK628" s="32">
        <f>IF(AND(Assumptions!$H$77="Yes",Assumptions!$H$78="Detailed"),-Assumptions_Detailed!AK$135,MAX(IFERROR(AK610-AK623,0),$C$631-SUM($G$628:AJ628)))</f>
        <v>0</v>
      </c>
      <c r="AL628" s="32">
        <f>IF(AND(Assumptions!$H$77="Yes",Assumptions!$H$78="Detailed"),-Assumptions_Detailed!AL$135,MAX(IFERROR(AL610-AL623,0),$C$631-SUM($G$628:AK628)))</f>
        <v>0</v>
      </c>
      <c r="AM628" s="32">
        <f>IF(AND(Assumptions!$H$77="Yes",Assumptions!$H$78="Detailed"),-Assumptions_Detailed!AM$135,MAX(IFERROR(AM610-AM623,0),$C$631-SUM($G$628:AL628)))</f>
        <v>0</v>
      </c>
      <c r="AN628" s="32">
        <f>IF(AND(Assumptions!$H$77="Yes",Assumptions!$H$78="Detailed"),-Assumptions_Detailed!AN$135,MAX(IFERROR(AN610-AN623,0),$C$631-SUM($G$628:AM628)))</f>
        <v>0</v>
      </c>
      <c r="AO628" s="32">
        <f>IF(AND(Assumptions!$H$77="Yes",Assumptions!$H$78="Detailed"),-Assumptions_Detailed!AO$135,MAX(IFERROR(AO610-AO623,0),$C$631-SUM($G$628:AN628)))</f>
        <v>0</v>
      </c>
      <c r="AP628" s="32">
        <f>IF(AND(Assumptions!$H$77="Yes",Assumptions!$H$78="Detailed"),-Assumptions_Detailed!AP$135,MAX(IFERROR(AP610-AP623,0),$C$631-SUM($G$628:AO628)))</f>
        <v>0</v>
      </c>
      <c r="AQ628" s="32">
        <f>IF(AND(Assumptions!$H$77="Yes",Assumptions!$H$78="Detailed"),-Assumptions_Detailed!AQ$135,MAX(IFERROR(AQ610-AQ623,0),$C$631-SUM($G$628:AP628)))</f>
        <v>0</v>
      </c>
      <c r="AR628" s="32">
        <f>IF(AND(Assumptions!$H$77="Yes",Assumptions!$H$78="Detailed"),-Assumptions_Detailed!AR$135,MAX(IFERROR(AR610-AR623,0),$C$631-SUM($G$628:AQ628)))</f>
        <v>0</v>
      </c>
      <c r="AS628" s="32">
        <f>IF(AND(Assumptions!$H$77="Yes",Assumptions!$H$78="Detailed"),-Assumptions_Detailed!AS$135,MAX(IFERROR(AS610-AS623,0),$C$631-SUM($G$628:AR628)))</f>
        <v>0</v>
      </c>
      <c r="AT628" s="32">
        <f>IF(AND(Assumptions!$H$77="Yes",Assumptions!$H$78="Detailed"),-Assumptions_Detailed!AT$135,MAX(IFERROR(AT610-AT623,0),$C$631-SUM($G$628:AS628)))</f>
        <v>0</v>
      </c>
      <c r="AU628" s="32">
        <f>IF(AND(Assumptions!$H$77="Yes",Assumptions!$H$78="Detailed"),-Assumptions_Detailed!AU$135,MAX(IFERROR(AU610-AU623,0),$C$631-SUM($G$628:AT628)))</f>
        <v>0</v>
      </c>
      <c r="AV628" s="32">
        <f>IF(AND(Assumptions!$H$77="Yes",Assumptions!$H$78="Detailed"),-Assumptions_Detailed!AV$135,MAX(IFERROR(AV610-AV623,0),$C$631-SUM($G$628:AU628)))</f>
        <v>0</v>
      </c>
      <c r="AW628" s="32">
        <f>IF(AND(Assumptions!$H$77="Yes",Assumptions!$H$78="Detailed"),-Assumptions_Detailed!AW$135,MAX(IFERROR(AW610-AW623,0),$C$631-SUM($G$628:AV628)))</f>
        <v>0</v>
      </c>
      <c r="AX628" s="32">
        <f>IF(AND(Assumptions!$H$77="Yes",Assumptions!$H$78="Detailed"),-Assumptions_Detailed!AX$135,MAX(IFERROR(AX610-AX623,0),$C$631-SUM($G$628:AW628)))</f>
        <v>0</v>
      </c>
      <c r="AY628" s="32">
        <f>IF(AND(Assumptions!$H$77="Yes",Assumptions!$H$78="Detailed"),-Assumptions_Detailed!AY$135,MAX(IFERROR(AY610-AY623,0),$C$631-SUM($G$628:AX628)))</f>
        <v>0</v>
      </c>
      <c r="AZ628" s="32">
        <f>IF(AND(Assumptions!$H$77="Yes",Assumptions!$H$78="Detailed"),-Assumptions_Detailed!AZ$135,MAX(IFERROR(AZ610-AZ623,0),$C$631-SUM($G$628:AY628)))</f>
        <v>0</v>
      </c>
      <c r="BA628" s="32">
        <f>IF(AND(Assumptions!$H$77="Yes",Assumptions!$H$78="Detailed"),-Assumptions_Detailed!BA$135,MAX(IFERROR(BA610-BA623,0),$C$631-SUM($G$628:AZ628)))</f>
        <v>0</v>
      </c>
      <c r="BB628" s="32">
        <f>IF(AND(Assumptions!$H$77="Yes",Assumptions!$H$78="Detailed"),-Assumptions_Detailed!BB$135,MAX(IFERROR(BB610-BB623,0),$C$631-SUM($G$628:BA628)))</f>
        <v>0</v>
      </c>
      <c r="BC628" s="32">
        <f>IF(AND(Assumptions!$H$77="Yes",Assumptions!$H$78="Detailed"),-Assumptions_Detailed!BC$135,MAX(IFERROR(BC610-BC623,0),$C$631-SUM($G$628:BB628)))</f>
        <v>0</v>
      </c>
      <c r="BD628" s="32">
        <f>IF(AND(Assumptions!$H$77="Yes",Assumptions!$H$78="Detailed"),-Assumptions_Detailed!BD$135,MAX(IFERROR(BD610-BD623,0),$C$631-SUM($G$628:BC628)))</f>
        <v>0</v>
      </c>
      <c r="BE628" s="32">
        <f>IF(AND(Assumptions!$H$77="Yes",Assumptions!$H$78="Detailed"),-Assumptions_Detailed!BE$135,MAX(IFERROR(BE610-BE623,0),$C$631-SUM($G$628:BD628)))</f>
        <v>0</v>
      </c>
      <c r="BF628" s="32">
        <f>IF(AND(Assumptions!$H$77="Yes",Assumptions!$H$78="Detailed"),-Assumptions_Detailed!BF$135,MAX(IFERROR(BF610-BF623,0),$C$631-SUM($G$628:BE628)))</f>
        <v>0</v>
      </c>
      <c r="BG628" s="32">
        <f>IF(AND(Assumptions!$H$77="Yes",Assumptions!$H$78="Detailed"),-Assumptions_Detailed!BG$135,MAX(IFERROR(BG610-BG623,0),$C$631-SUM($G$628:BF628)))</f>
        <v>0</v>
      </c>
      <c r="BH628" s="32">
        <f>IF(AND(Assumptions!$H$77="Yes",Assumptions!$H$78="Detailed"),-Assumptions_Detailed!BH$135,MAX(IFERROR(BH610-BH623,0),$C$631-SUM($G$628:BG628)))</f>
        <v>0</v>
      </c>
      <c r="BI628" s="32">
        <f>IF(AND(Assumptions!$H$77="Yes",Assumptions!$H$78="Detailed"),-Assumptions_Detailed!BI$135,MAX(IFERROR(BI610-BI623,0),$C$631-SUM($G$628:BH628)))</f>
        <v>0</v>
      </c>
      <c r="BJ628" s="32">
        <f>IF(AND(Assumptions!$H$77="Yes",Assumptions!$H$78="Detailed"),-Assumptions_Detailed!BJ$135,MAX(IFERROR(BJ610-BJ623,0),$C$631-SUM($G$628:BI628)))</f>
        <v>0</v>
      </c>
      <c r="BK628" s="32">
        <f>IF(AND(Assumptions!$H$77="Yes",Assumptions!$H$78="Detailed"),-Assumptions_Detailed!BK$135,MAX(IFERROR(BK610-BK623,0),$C$631-SUM($G$628:BJ628)))</f>
        <v>0</v>
      </c>
      <c r="BL628" s="32">
        <f>IF(AND(Assumptions!$H$77="Yes",Assumptions!$H$78="Detailed"),-Assumptions_Detailed!BL$135,MAX(IFERROR(BL610-BL623,0),$C$631-SUM($G$628:BK628)))</f>
        <v>0</v>
      </c>
      <c r="BM628" s="32">
        <f>IF(AND(Assumptions!$H$77="Yes",Assumptions!$H$78="Detailed"),-Assumptions_Detailed!BM$135,MAX(IFERROR(BM610-BM623,0),$C$631-SUM($G$628:BL628)))</f>
        <v>0</v>
      </c>
      <c r="BN628" s="32">
        <f>IF(AND(Assumptions!$H$77="Yes",Assumptions!$H$78="Detailed"),-Assumptions_Detailed!BN$135,MAX(IFERROR(BN610-BN623,0),$C$631-SUM($G$628:BM628)))</f>
        <v>0</v>
      </c>
      <c r="BO628" s="32">
        <f>IF(AND(Assumptions!$H$77="Yes",Assumptions!$H$78="Detailed"),-Assumptions_Detailed!BO$135,MAX(IFERROR(BO610-BO623,0),$C$631-SUM($G$628:BN628)))</f>
        <v>0</v>
      </c>
      <c r="BP628" s="32">
        <f>IF(AND(Assumptions!$H$77="Yes",Assumptions!$H$78="Detailed"),-Assumptions_Detailed!BP$135,MAX(IFERROR(BP610-BP623,0),$C$631-SUM($G$628:BO628)))</f>
        <v>0</v>
      </c>
      <c r="BQ628" s="32">
        <f>IF(AND(Assumptions!$H$77="Yes",Assumptions!$H$78="Detailed"),-Assumptions_Detailed!BQ$135,MAX(IFERROR(BQ610-BQ623,0),$C$631-SUM($G$628:BP628)))</f>
        <v>0</v>
      </c>
      <c r="BR628" s="32">
        <f>IF(AND(Assumptions!$H$77="Yes",Assumptions!$H$78="Detailed"),-Assumptions_Detailed!BR$135,MAX(IFERROR(BR610-BR623,0),$C$631-SUM($G$628:BQ628)))</f>
        <v>0</v>
      </c>
      <c r="BS628" s="32">
        <f>IF(AND(Assumptions!$H$77="Yes",Assumptions!$H$78="Detailed"),-Assumptions_Detailed!BS$135,MAX(IFERROR(BS610-BS623,0),$C$631-SUM($G$628:BR628)))</f>
        <v>0</v>
      </c>
      <c r="BT628" s="32">
        <f>IF(AND(Assumptions!$H$77="Yes",Assumptions!$H$78="Detailed"),-Assumptions_Detailed!BT$135,MAX(IFERROR(BT610-BT623,0),$C$631-SUM($G$628:BS628)))</f>
        <v>0</v>
      </c>
      <c r="BU628" s="32">
        <f>IF(AND(Assumptions!$H$77="Yes",Assumptions!$H$78="Detailed"),-Assumptions_Detailed!BU$135,MAX(IFERROR(BU610-BU623,0),$C$631-SUM($G$628:BT628)))</f>
        <v>0</v>
      </c>
      <c r="BV628" s="32">
        <f>IF(AND(Assumptions!$H$77="Yes",Assumptions!$H$78="Detailed"),-Assumptions_Detailed!BV$135,MAX(IFERROR(BV610-BV623,0),$C$631-SUM($G$628:BU628)))</f>
        <v>0</v>
      </c>
      <c r="BW628" s="32">
        <f>IF(AND(Assumptions!$H$77="Yes",Assumptions!$H$78="Detailed"),-Assumptions_Detailed!BW$135,MAX(IFERROR(BW610-BW623,0),$C$631-SUM($G$628:BV628)))</f>
        <v>0</v>
      </c>
      <c r="BX628" s="32">
        <f>IF(AND(Assumptions!$H$77="Yes",Assumptions!$H$78="Detailed"),-Assumptions_Detailed!BX$135,MAX(IFERROR(BX610-BX623,0),$C$631-SUM($G$628:BW628)))</f>
        <v>0</v>
      </c>
      <c r="BY628" s="32">
        <f>IF(AND(Assumptions!$H$77="Yes",Assumptions!$H$78="Detailed"),-Assumptions_Detailed!BY$135,MAX(IFERROR(BY610-BY623,0),$C$631-SUM($G$628:BX628)))</f>
        <v>0</v>
      </c>
    </row>
    <row r="629" spans="3:77" outlineLevel="1">
      <c r="D629" s="31"/>
      <c r="BF629" s="33"/>
      <c r="BG629" s="33"/>
      <c r="BH629" s="33"/>
      <c r="BI629" s="33"/>
      <c r="BJ629" s="33"/>
      <c r="BK629" s="33"/>
      <c r="BL629" s="33"/>
      <c r="BM629" s="33"/>
      <c r="BN629" s="33"/>
      <c r="BO629" s="33"/>
      <c r="BP629" s="33"/>
      <c r="BQ629" s="33"/>
      <c r="BR629" s="33"/>
      <c r="BS629" s="33"/>
      <c r="BT629" s="33"/>
      <c r="BU629" s="33"/>
      <c r="BV629" s="33"/>
      <c r="BW629" s="33"/>
      <c r="BX629" s="33"/>
      <c r="BY629" s="33"/>
    </row>
    <row r="630" spans="3:77" ht="15" outlineLevel="1">
      <c r="C630" s="22" t="s">
        <v>498</v>
      </c>
      <c r="D630" s="31"/>
      <c r="BF630" s="33"/>
      <c r="BG630" s="33"/>
      <c r="BH630" s="33"/>
      <c r="BI630" s="33"/>
      <c r="BJ630" s="33"/>
      <c r="BK630" s="33"/>
      <c r="BL630" s="33"/>
      <c r="BM630" s="33"/>
      <c r="BN630" s="33"/>
      <c r="BO630" s="33"/>
      <c r="BP630" s="33"/>
      <c r="BQ630" s="33"/>
      <c r="BR630" s="33"/>
      <c r="BS630" s="33"/>
      <c r="BT630" s="33"/>
      <c r="BU630" s="33"/>
      <c r="BV630" s="33"/>
      <c r="BW630" s="33"/>
      <c r="BX630" s="33"/>
      <c r="BY630" s="33"/>
    </row>
    <row r="631" spans="3:77" outlineLevel="1">
      <c r="C631" s="94">
        <f>+Assumptions!$H$82*C609</f>
        <v>0</v>
      </c>
      <c r="D631" s="31"/>
      <c r="BF631" s="33"/>
      <c r="BG631" s="33"/>
      <c r="BH631" s="33"/>
      <c r="BI631" s="33"/>
      <c r="BJ631" s="33"/>
      <c r="BK631" s="33"/>
      <c r="BL631" s="33"/>
      <c r="BM631" s="33"/>
      <c r="BN631" s="33"/>
      <c r="BO631" s="33"/>
      <c r="BP631" s="33"/>
      <c r="BQ631" s="33"/>
      <c r="BR631" s="33"/>
      <c r="BS631" s="33"/>
      <c r="BT631" s="33"/>
      <c r="BU631" s="33"/>
      <c r="BV631" s="33"/>
      <c r="BW631" s="33"/>
      <c r="BX631" s="33"/>
      <c r="BY631" s="33"/>
    </row>
    <row r="632" spans="3:77" outlineLevel="1">
      <c r="D632" s="31"/>
      <c r="E632" t="s">
        <v>499</v>
      </c>
      <c r="F632" s="23" t="s">
        <v>500</v>
      </c>
      <c r="G632" s="33"/>
      <c r="H632" s="33" t="e" vm="1">
        <f>+IF(AND(H$628=$C634,H$628&lt;0),1,0)</f>
        <v>#VALUE!</v>
      </c>
      <c r="I632" s="33" t="e" vm="1">
        <f>+IF(AND(I$628=$C634,I$628&lt;0),1,0)</f>
        <v>#VALUE!</v>
      </c>
      <c r="J632" s="33" t="e" vm="1">
        <f>+IF(AND(J$628=$C634,J$628&lt;0),1,0)</f>
        <v>#VALUE!</v>
      </c>
      <c r="K632" s="33" t="e" vm="1">
        <f t="shared" ref="K632:BT632" si="1235">+IF(AND(K$628=$C634,K$628&lt;0),1,0)</f>
        <v>#VALUE!</v>
      </c>
      <c r="L632" s="33" t="e" vm="1">
        <f t="shared" si="1235"/>
        <v>#VALUE!</v>
      </c>
      <c r="M632" s="33" t="e" vm="1">
        <f t="shared" si="1235"/>
        <v>#VALUE!</v>
      </c>
      <c r="N632" s="33" t="e" vm="1">
        <f t="shared" si="1235"/>
        <v>#VALUE!</v>
      </c>
      <c r="O632" s="33" t="e" vm="1">
        <f t="shared" si="1235"/>
        <v>#VALUE!</v>
      </c>
      <c r="P632" s="33" t="e" vm="1">
        <f t="shared" si="1235"/>
        <v>#VALUE!</v>
      </c>
      <c r="Q632" s="33" t="e" vm="1">
        <f t="shared" si="1235"/>
        <v>#VALUE!</v>
      </c>
      <c r="R632" s="33" t="e" vm="1">
        <f t="shared" si="1235"/>
        <v>#VALUE!</v>
      </c>
      <c r="S632" s="33" t="e" vm="1">
        <f t="shared" si="1235"/>
        <v>#VALUE!</v>
      </c>
      <c r="T632" s="33" t="e" vm="1">
        <f t="shared" si="1235"/>
        <v>#VALUE!</v>
      </c>
      <c r="U632" s="33" t="e" vm="1">
        <f t="shared" si="1235"/>
        <v>#VALUE!</v>
      </c>
      <c r="V632" s="33" t="e" vm="1">
        <f t="shared" si="1235"/>
        <v>#VALUE!</v>
      </c>
      <c r="W632" s="33" t="e" vm="1">
        <f t="shared" si="1235"/>
        <v>#VALUE!</v>
      </c>
      <c r="X632" s="33" t="e" vm="1">
        <f t="shared" si="1235"/>
        <v>#VALUE!</v>
      </c>
      <c r="Y632" s="33" t="e" vm="1">
        <f t="shared" si="1235"/>
        <v>#VALUE!</v>
      </c>
      <c r="Z632" s="33" t="e" vm="1">
        <f t="shared" si="1235"/>
        <v>#VALUE!</v>
      </c>
      <c r="AA632" s="33" t="e" vm="1">
        <f t="shared" si="1235"/>
        <v>#VALUE!</v>
      </c>
      <c r="AB632" s="33" t="e" vm="1">
        <f t="shared" si="1235"/>
        <v>#VALUE!</v>
      </c>
      <c r="AC632" s="33" t="e" vm="1">
        <f t="shared" si="1235"/>
        <v>#VALUE!</v>
      </c>
      <c r="AD632" s="33" t="e" vm="1">
        <f t="shared" si="1235"/>
        <v>#VALUE!</v>
      </c>
      <c r="AE632" s="33" t="e" vm="1">
        <f t="shared" si="1235"/>
        <v>#VALUE!</v>
      </c>
      <c r="AF632" s="33" t="e" vm="1">
        <f t="shared" si="1235"/>
        <v>#VALUE!</v>
      </c>
      <c r="AG632" s="33" t="e" vm="1">
        <f t="shared" si="1235"/>
        <v>#VALUE!</v>
      </c>
      <c r="AH632" s="33" t="e" vm="1">
        <f t="shared" si="1235"/>
        <v>#VALUE!</v>
      </c>
      <c r="AI632" s="33" t="e" vm="1">
        <f t="shared" si="1235"/>
        <v>#VALUE!</v>
      </c>
      <c r="AJ632" s="33" t="e" vm="1">
        <f t="shared" si="1235"/>
        <v>#VALUE!</v>
      </c>
      <c r="AK632" s="33" t="e" vm="1">
        <f t="shared" si="1235"/>
        <v>#VALUE!</v>
      </c>
      <c r="AL632" s="33" t="e" vm="1">
        <f t="shared" si="1235"/>
        <v>#VALUE!</v>
      </c>
      <c r="AM632" s="33" t="e" vm="1">
        <f t="shared" si="1235"/>
        <v>#VALUE!</v>
      </c>
      <c r="AN632" s="33" t="e" vm="1">
        <f t="shared" si="1235"/>
        <v>#VALUE!</v>
      </c>
      <c r="AO632" s="33" t="e" vm="1">
        <f t="shared" si="1235"/>
        <v>#VALUE!</v>
      </c>
      <c r="AP632" s="33" t="e" vm="1">
        <f t="shared" si="1235"/>
        <v>#VALUE!</v>
      </c>
      <c r="AQ632" s="33" t="e" vm="1">
        <f t="shared" si="1235"/>
        <v>#VALUE!</v>
      </c>
      <c r="AR632" s="33" t="e" vm="1">
        <f t="shared" si="1235"/>
        <v>#VALUE!</v>
      </c>
      <c r="AS632" s="33" t="e" vm="1">
        <f t="shared" si="1235"/>
        <v>#VALUE!</v>
      </c>
      <c r="AT632" s="33" t="e" vm="1">
        <f t="shared" si="1235"/>
        <v>#VALUE!</v>
      </c>
      <c r="AU632" s="33" t="e" vm="1">
        <f t="shared" si="1235"/>
        <v>#VALUE!</v>
      </c>
      <c r="AV632" s="33" t="e" vm="1">
        <f t="shared" si="1235"/>
        <v>#VALUE!</v>
      </c>
      <c r="AW632" s="33" t="e" vm="1">
        <f t="shared" si="1235"/>
        <v>#VALUE!</v>
      </c>
      <c r="AX632" s="33" t="e" vm="1">
        <f t="shared" si="1235"/>
        <v>#VALUE!</v>
      </c>
      <c r="AY632" s="33" t="e" vm="1">
        <f t="shared" si="1235"/>
        <v>#VALUE!</v>
      </c>
      <c r="AZ632" s="33" t="e" vm="1">
        <f t="shared" si="1235"/>
        <v>#VALUE!</v>
      </c>
      <c r="BA632" s="33" t="e" vm="1">
        <f t="shared" si="1235"/>
        <v>#VALUE!</v>
      </c>
      <c r="BB632" s="33" t="e" vm="1">
        <f t="shared" si="1235"/>
        <v>#VALUE!</v>
      </c>
      <c r="BC632" s="33" t="e" vm="1">
        <f t="shared" si="1235"/>
        <v>#VALUE!</v>
      </c>
      <c r="BD632" s="33" t="e" vm="1">
        <f t="shared" si="1235"/>
        <v>#VALUE!</v>
      </c>
      <c r="BE632" s="33" t="e" vm="1">
        <f t="shared" si="1235"/>
        <v>#VALUE!</v>
      </c>
      <c r="BF632" s="33" t="e" vm="1">
        <f t="shared" si="1235"/>
        <v>#VALUE!</v>
      </c>
      <c r="BG632" s="33" t="e" vm="1">
        <f t="shared" si="1235"/>
        <v>#VALUE!</v>
      </c>
      <c r="BH632" s="33" t="e" vm="1">
        <f t="shared" si="1235"/>
        <v>#VALUE!</v>
      </c>
      <c r="BI632" s="33" t="e" vm="1">
        <f t="shared" si="1235"/>
        <v>#VALUE!</v>
      </c>
      <c r="BJ632" s="33" t="e" vm="1">
        <f t="shared" si="1235"/>
        <v>#VALUE!</v>
      </c>
      <c r="BK632" s="33" t="e" vm="1">
        <f t="shared" si="1235"/>
        <v>#VALUE!</v>
      </c>
      <c r="BL632" s="33" t="e" vm="1">
        <f t="shared" si="1235"/>
        <v>#VALUE!</v>
      </c>
      <c r="BM632" s="33" t="e" vm="1">
        <f t="shared" si="1235"/>
        <v>#VALUE!</v>
      </c>
      <c r="BN632" s="33" t="e" vm="1">
        <f t="shared" si="1235"/>
        <v>#VALUE!</v>
      </c>
      <c r="BO632" s="33" t="e" vm="1">
        <f t="shared" si="1235"/>
        <v>#VALUE!</v>
      </c>
      <c r="BP632" s="33" t="e" vm="1">
        <f t="shared" si="1235"/>
        <v>#VALUE!</v>
      </c>
      <c r="BQ632" s="33" t="e" vm="1">
        <f t="shared" si="1235"/>
        <v>#VALUE!</v>
      </c>
      <c r="BR632" s="33" t="e" vm="1">
        <f t="shared" si="1235"/>
        <v>#VALUE!</v>
      </c>
      <c r="BS632" s="33" t="e" vm="1">
        <f t="shared" si="1235"/>
        <v>#VALUE!</v>
      </c>
      <c r="BT632" s="33" t="e" vm="1">
        <f t="shared" si="1235"/>
        <v>#VALUE!</v>
      </c>
      <c r="BU632" s="33" t="e" vm="1">
        <f t="shared" ref="BU632:BY632" si="1236">+IF(AND(BU$628=$C634,BU$628&lt;0),1,0)</f>
        <v>#VALUE!</v>
      </c>
      <c r="BV632" s="33" t="e" vm="1">
        <f t="shared" si="1236"/>
        <v>#VALUE!</v>
      </c>
      <c r="BW632" s="33" t="e" vm="1">
        <f t="shared" si="1236"/>
        <v>#VALUE!</v>
      </c>
      <c r="BX632" s="33" t="e" vm="1">
        <f t="shared" si="1236"/>
        <v>#VALUE!</v>
      </c>
      <c r="BY632" s="33" t="e" vm="1">
        <f t="shared" si="1236"/>
        <v>#VALUE!</v>
      </c>
    </row>
    <row r="633" spans="3:77" ht="15" outlineLevel="1">
      <c r="C633" s="22" t="s">
        <v>501</v>
      </c>
      <c r="D633" s="31"/>
      <c r="E633" t="s">
        <v>502</v>
      </c>
      <c r="F633" s="23" t="s">
        <v>500</v>
      </c>
      <c r="H633" s="33">
        <f t="shared" ref="H633:BS633" si="1237">+IF(AND(H$628=$C635,H$628&lt;0),1,0)</f>
        <v>0</v>
      </c>
      <c r="I633" s="33">
        <f t="shared" si="1237"/>
        <v>0</v>
      </c>
      <c r="J633" s="33">
        <f t="shared" si="1237"/>
        <v>0</v>
      </c>
      <c r="K633" s="33">
        <f t="shared" si="1237"/>
        <v>0</v>
      </c>
      <c r="L633" s="33">
        <f t="shared" si="1237"/>
        <v>0</v>
      </c>
      <c r="M633" s="33">
        <f t="shared" si="1237"/>
        <v>0</v>
      </c>
      <c r="N633" s="33">
        <f t="shared" si="1237"/>
        <v>0</v>
      </c>
      <c r="O633" s="33">
        <f t="shared" si="1237"/>
        <v>0</v>
      </c>
      <c r="P633" s="33">
        <f t="shared" si="1237"/>
        <v>0</v>
      </c>
      <c r="Q633" s="33">
        <f t="shared" si="1237"/>
        <v>0</v>
      </c>
      <c r="R633" s="33">
        <f t="shared" si="1237"/>
        <v>0</v>
      </c>
      <c r="S633" s="33">
        <f t="shared" si="1237"/>
        <v>0</v>
      </c>
      <c r="T633" s="33">
        <f t="shared" si="1237"/>
        <v>0</v>
      </c>
      <c r="U633" s="33">
        <f t="shared" si="1237"/>
        <v>0</v>
      </c>
      <c r="V633" s="33">
        <f t="shared" si="1237"/>
        <v>0</v>
      </c>
      <c r="W633" s="33">
        <f t="shared" si="1237"/>
        <v>0</v>
      </c>
      <c r="X633" s="33">
        <f t="shared" si="1237"/>
        <v>0</v>
      </c>
      <c r="Y633" s="33">
        <f t="shared" si="1237"/>
        <v>0</v>
      </c>
      <c r="Z633" s="33">
        <f t="shared" si="1237"/>
        <v>0</v>
      </c>
      <c r="AA633" s="33">
        <f t="shared" si="1237"/>
        <v>0</v>
      </c>
      <c r="AB633" s="33">
        <f t="shared" si="1237"/>
        <v>0</v>
      </c>
      <c r="AC633" s="33">
        <f t="shared" si="1237"/>
        <v>0</v>
      </c>
      <c r="AD633" s="33">
        <f t="shared" si="1237"/>
        <v>0</v>
      </c>
      <c r="AE633" s="33">
        <f t="shared" si="1237"/>
        <v>0</v>
      </c>
      <c r="AF633" s="33">
        <f t="shared" si="1237"/>
        <v>0</v>
      </c>
      <c r="AG633" s="33">
        <f t="shared" si="1237"/>
        <v>0</v>
      </c>
      <c r="AH633" s="33">
        <f t="shared" si="1237"/>
        <v>0</v>
      </c>
      <c r="AI633" s="33">
        <f t="shared" si="1237"/>
        <v>0</v>
      </c>
      <c r="AJ633" s="33">
        <f t="shared" si="1237"/>
        <v>0</v>
      </c>
      <c r="AK633" s="33">
        <f t="shared" si="1237"/>
        <v>0</v>
      </c>
      <c r="AL633" s="33">
        <f t="shared" si="1237"/>
        <v>0</v>
      </c>
      <c r="AM633" s="33">
        <f t="shared" si="1237"/>
        <v>0</v>
      </c>
      <c r="AN633" s="33">
        <f t="shared" si="1237"/>
        <v>0</v>
      </c>
      <c r="AO633" s="33">
        <f t="shared" si="1237"/>
        <v>0</v>
      </c>
      <c r="AP633" s="33">
        <f t="shared" si="1237"/>
        <v>0</v>
      </c>
      <c r="AQ633" s="33">
        <f t="shared" si="1237"/>
        <v>0</v>
      </c>
      <c r="AR633" s="33">
        <f t="shared" si="1237"/>
        <v>0</v>
      </c>
      <c r="AS633" s="33">
        <f t="shared" si="1237"/>
        <v>0</v>
      </c>
      <c r="AT633" s="33">
        <f t="shared" si="1237"/>
        <v>0</v>
      </c>
      <c r="AU633" s="33">
        <f t="shared" si="1237"/>
        <v>0</v>
      </c>
      <c r="AV633" s="33">
        <f t="shared" si="1237"/>
        <v>0</v>
      </c>
      <c r="AW633" s="33">
        <f t="shared" si="1237"/>
        <v>0</v>
      </c>
      <c r="AX633" s="33">
        <f t="shared" si="1237"/>
        <v>0</v>
      </c>
      <c r="AY633" s="33">
        <f t="shared" si="1237"/>
        <v>0</v>
      </c>
      <c r="AZ633" s="33">
        <f t="shared" si="1237"/>
        <v>0</v>
      </c>
      <c r="BA633" s="33">
        <f t="shared" si="1237"/>
        <v>0</v>
      </c>
      <c r="BB633" s="33">
        <f t="shared" si="1237"/>
        <v>0</v>
      </c>
      <c r="BC633" s="33">
        <f t="shared" si="1237"/>
        <v>0</v>
      </c>
      <c r="BD633" s="33">
        <f t="shared" si="1237"/>
        <v>0</v>
      </c>
      <c r="BE633" s="33">
        <f t="shared" si="1237"/>
        <v>0</v>
      </c>
      <c r="BF633" s="33">
        <f t="shared" si="1237"/>
        <v>0</v>
      </c>
      <c r="BG633" s="33">
        <f t="shared" si="1237"/>
        <v>0</v>
      </c>
      <c r="BH633" s="33">
        <f t="shared" si="1237"/>
        <v>0</v>
      </c>
      <c r="BI633" s="33">
        <f t="shared" si="1237"/>
        <v>0</v>
      </c>
      <c r="BJ633" s="33">
        <f t="shared" si="1237"/>
        <v>0</v>
      </c>
      <c r="BK633" s="33">
        <f t="shared" si="1237"/>
        <v>0</v>
      </c>
      <c r="BL633" s="33">
        <f t="shared" si="1237"/>
        <v>0</v>
      </c>
      <c r="BM633" s="33">
        <f t="shared" si="1237"/>
        <v>0</v>
      </c>
      <c r="BN633" s="33">
        <f t="shared" si="1237"/>
        <v>0</v>
      </c>
      <c r="BO633" s="33">
        <f t="shared" si="1237"/>
        <v>0</v>
      </c>
      <c r="BP633" s="33">
        <f t="shared" si="1237"/>
        <v>0</v>
      </c>
      <c r="BQ633" s="33">
        <f t="shared" si="1237"/>
        <v>0</v>
      </c>
      <c r="BR633" s="33">
        <f t="shared" si="1237"/>
        <v>0</v>
      </c>
      <c r="BS633" s="33">
        <f t="shared" si="1237"/>
        <v>0</v>
      </c>
      <c r="BT633" s="33">
        <f t="shared" ref="BT633:BY633" si="1238">+IF(AND(BT$628=$C635,BT$628&lt;0),1,0)</f>
        <v>0</v>
      </c>
      <c r="BU633" s="33">
        <f t="shared" si="1238"/>
        <v>0</v>
      </c>
      <c r="BV633" s="33">
        <f t="shared" si="1238"/>
        <v>0</v>
      </c>
      <c r="BW633" s="33">
        <f t="shared" si="1238"/>
        <v>0</v>
      </c>
      <c r="BX633" s="33">
        <f t="shared" si="1238"/>
        <v>0</v>
      </c>
      <c r="BY633" s="33">
        <f t="shared" si="1238"/>
        <v>0</v>
      </c>
    </row>
    <row r="634" spans="3:77" outlineLevel="1">
      <c r="C634" s="32" t="e" cm="1" vm="2">
        <f t="array" ref="C634">+TRANSPOSE(_xlfn._xlws.FILTER(H628:BY628,H628:BY628))</f>
        <v>#VALUE!</v>
      </c>
      <c r="D634" s="31"/>
      <c r="E634" t="s">
        <v>503</v>
      </c>
      <c r="F634" s="23" t="s">
        <v>500</v>
      </c>
      <c r="H634" s="33">
        <f t="shared" ref="H634:BS634" si="1239">+IF(AND(H$628=$C636,H$628&lt;0),1,0)</f>
        <v>0</v>
      </c>
      <c r="I634" s="33">
        <f t="shared" si="1239"/>
        <v>0</v>
      </c>
      <c r="J634" s="33">
        <f t="shared" si="1239"/>
        <v>0</v>
      </c>
      <c r="K634" s="33">
        <f t="shared" si="1239"/>
        <v>0</v>
      </c>
      <c r="L634" s="33">
        <f t="shared" si="1239"/>
        <v>0</v>
      </c>
      <c r="M634" s="33">
        <f t="shared" si="1239"/>
        <v>0</v>
      </c>
      <c r="N634" s="33">
        <f t="shared" si="1239"/>
        <v>0</v>
      </c>
      <c r="O634" s="33">
        <f t="shared" si="1239"/>
        <v>0</v>
      </c>
      <c r="P634" s="33">
        <f t="shared" si="1239"/>
        <v>0</v>
      </c>
      <c r="Q634" s="33">
        <f t="shared" si="1239"/>
        <v>0</v>
      </c>
      <c r="R634" s="33">
        <f t="shared" si="1239"/>
        <v>0</v>
      </c>
      <c r="S634" s="33">
        <f t="shared" si="1239"/>
        <v>0</v>
      </c>
      <c r="T634" s="33">
        <f t="shared" si="1239"/>
        <v>0</v>
      </c>
      <c r="U634" s="33">
        <f t="shared" si="1239"/>
        <v>0</v>
      </c>
      <c r="V634" s="33">
        <f t="shared" si="1239"/>
        <v>0</v>
      </c>
      <c r="W634" s="33">
        <f t="shared" si="1239"/>
        <v>0</v>
      </c>
      <c r="X634" s="33">
        <f t="shared" si="1239"/>
        <v>0</v>
      </c>
      <c r="Y634" s="33">
        <f t="shared" si="1239"/>
        <v>0</v>
      </c>
      <c r="Z634" s="33">
        <f t="shared" si="1239"/>
        <v>0</v>
      </c>
      <c r="AA634" s="33">
        <f t="shared" si="1239"/>
        <v>0</v>
      </c>
      <c r="AB634" s="33">
        <f t="shared" si="1239"/>
        <v>0</v>
      </c>
      <c r="AC634" s="33">
        <f t="shared" si="1239"/>
        <v>0</v>
      </c>
      <c r="AD634" s="33">
        <f t="shared" si="1239"/>
        <v>0</v>
      </c>
      <c r="AE634" s="33">
        <f t="shared" si="1239"/>
        <v>0</v>
      </c>
      <c r="AF634" s="33">
        <f t="shared" si="1239"/>
        <v>0</v>
      </c>
      <c r="AG634" s="33">
        <f t="shared" si="1239"/>
        <v>0</v>
      </c>
      <c r="AH634" s="33">
        <f t="shared" si="1239"/>
        <v>0</v>
      </c>
      <c r="AI634" s="33">
        <f t="shared" si="1239"/>
        <v>0</v>
      </c>
      <c r="AJ634" s="33">
        <f t="shared" si="1239"/>
        <v>0</v>
      </c>
      <c r="AK634" s="33">
        <f t="shared" si="1239"/>
        <v>0</v>
      </c>
      <c r="AL634" s="33">
        <f t="shared" si="1239"/>
        <v>0</v>
      </c>
      <c r="AM634" s="33">
        <f t="shared" si="1239"/>
        <v>0</v>
      </c>
      <c r="AN634" s="33">
        <f t="shared" si="1239"/>
        <v>0</v>
      </c>
      <c r="AO634" s="33">
        <f t="shared" si="1239"/>
        <v>0</v>
      </c>
      <c r="AP634" s="33">
        <f t="shared" si="1239"/>
        <v>0</v>
      </c>
      <c r="AQ634" s="33">
        <f t="shared" si="1239"/>
        <v>0</v>
      </c>
      <c r="AR634" s="33">
        <f t="shared" si="1239"/>
        <v>0</v>
      </c>
      <c r="AS634" s="33">
        <f t="shared" si="1239"/>
        <v>0</v>
      </c>
      <c r="AT634" s="33">
        <f t="shared" si="1239"/>
        <v>0</v>
      </c>
      <c r="AU634" s="33">
        <f t="shared" si="1239"/>
        <v>0</v>
      </c>
      <c r="AV634" s="33">
        <f t="shared" si="1239"/>
        <v>0</v>
      </c>
      <c r="AW634" s="33">
        <f t="shared" si="1239"/>
        <v>0</v>
      </c>
      <c r="AX634" s="33">
        <f t="shared" si="1239"/>
        <v>0</v>
      </c>
      <c r="AY634" s="33">
        <f t="shared" si="1239"/>
        <v>0</v>
      </c>
      <c r="AZ634" s="33">
        <f t="shared" si="1239"/>
        <v>0</v>
      </c>
      <c r="BA634" s="33">
        <f t="shared" si="1239"/>
        <v>0</v>
      </c>
      <c r="BB634" s="33">
        <f t="shared" si="1239"/>
        <v>0</v>
      </c>
      <c r="BC634" s="33">
        <f t="shared" si="1239"/>
        <v>0</v>
      </c>
      <c r="BD634" s="33">
        <f t="shared" si="1239"/>
        <v>0</v>
      </c>
      <c r="BE634" s="33">
        <f t="shared" si="1239"/>
        <v>0</v>
      </c>
      <c r="BF634" s="33">
        <f t="shared" si="1239"/>
        <v>0</v>
      </c>
      <c r="BG634" s="33">
        <f t="shared" si="1239"/>
        <v>0</v>
      </c>
      <c r="BH634" s="33">
        <f t="shared" si="1239"/>
        <v>0</v>
      </c>
      <c r="BI634" s="33">
        <f t="shared" si="1239"/>
        <v>0</v>
      </c>
      <c r="BJ634" s="33">
        <f t="shared" si="1239"/>
        <v>0</v>
      </c>
      <c r="BK634" s="33">
        <f t="shared" si="1239"/>
        <v>0</v>
      </c>
      <c r="BL634" s="33">
        <f t="shared" si="1239"/>
        <v>0</v>
      </c>
      <c r="BM634" s="33">
        <f t="shared" si="1239"/>
        <v>0</v>
      </c>
      <c r="BN634" s="33">
        <f t="shared" si="1239"/>
        <v>0</v>
      </c>
      <c r="BO634" s="33">
        <f t="shared" si="1239"/>
        <v>0</v>
      </c>
      <c r="BP634" s="33">
        <f t="shared" si="1239"/>
        <v>0</v>
      </c>
      <c r="BQ634" s="33">
        <f t="shared" si="1239"/>
        <v>0</v>
      </c>
      <c r="BR634" s="33">
        <f t="shared" si="1239"/>
        <v>0</v>
      </c>
      <c r="BS634" s="33">
        <f t="shared" si="1239"/>
        <v>0</v>
      </c>
      <c r="BT634" s="33">
        <f t="shared" ref="BT634:BY634" si="1240">+IF(AND(BT$628=$C636,BT$628&lt;0),1,0)</f>
        <v>0</v>
      </c>
      <c r="BU634" s="33">
        <f t="shared" si="1240"/>
        <v>0</v>
      </c>
      <c r="BV634" s="33">
        <f t="shared" si="1240"/>
        <v>0</v>
      </c>
      <c r="BW634" s="33">
        <f t="shared" si="1240"/>
        <v>0</v>
      </c>
      <c r="BX634" s="33">
        <f t="shared" si="1240"/>
        <v>0</v>
      </c>
      <c r="BY634" s="33">
        <f t="shared" si="1240"/>
        <v>0</v>
      </c>
    </row>
    <row r="635" spans="3:77" outlineLevel="1">
      <c r="C635" s="32"/>
      <c r="D635" s="31"/>
      <c r="E635" t="s">
        <v>504</v>
      </c>
      <c r="F635" s="23" t="s">
        <v>500</v>
      </c>
      <c r="H635" s="33">
        <f t="shared" ref="H635:BS635" si="1241">+IF(AND(H$628=$C637,H$628&lt;0),1,0)</f>
        <v>0</v>
      </c>
      <c r="I635" s="33">
        <f t="shared" si="1241"/>
        <v>0</v>
      </c>
      <c r="J635" s="33">
        <f t="shared" si="1241"/>
        <v>0</v>
      </c>
      <c r="K635" s="33">
        <f t="shared" si="1241"/>
        <v>0</v>
      </c>
      <c r="L635" s="33">
        <f t="shared" si="1241"/>
        <v>0</v>
      </c>
      <c r="M635" s="33">
        <f t="shared" si="1241"/>
        <v>0</v>
      </c>
      <c r="N635" s="33">
        <f t="shared" si="1241"/>
        <v>0</v>
      </c>
      <c r="O635" s="33">
        <f t="shared" si="1241"/>
        <v>0</v>
      </c>
      <c r="P635" s="33">
        <f t="shared" si="1241"/>
        <v>0</v>
      </c>
      <c r="Q635" s="33">
        <f t="shared" si="1241"/>
        <v>0</v>
      </c>
      <c r="R635" s="33">
        <f t="shared" si="1241"/>
        <v>0</v>
      </c>
      <c r="S635" s="33">
        <f t="shared" si="1241"/>
        <v>0</v>
      </c>
      <c r="T635" s="33">
        <f t="shared" si="1241"/>
        <v>0</v>
      </c>
      <c r="U635" s="33">
        <f t="shared" si="1241"/>
        <v>0</v>
      </c>
      <c r="V635" s="33">
        <f t="shared" si="1241"/>
        <v>0</v>
      </c>
      <c r="W635" s="33">
        <f t="shared" si="1241"/>
        <v>0</v>
      </c>
      <c r="X635" s="33">
        <f t="shared" si="1241"/>
        <v>0</v>
      </c>
      <c r="Y635" s="33">
        <f t="shared" si="1241"/>
        <v>0</v>
      </c>
      <c r="Z635" s="33">
        <f t="shared" si="1241"/>
        <v>0</v>
      </c>
      <c r="AA635" s="33">
        <f t="shared" si="1241"/>
        <v>0</v>
      </c>
      <c r="AB635" s="33">
        <f t="shared" si="1241"/>
        <v>0</v>
      </c>
      <c r="AC635" s="33">
        <f t="shared" si="1241"/>
        <v>0</v>
      </c>
      <c r="AD635" s="33">
        <f t="shared" si="1241"/>
        <v>0</v>
      </c>
      <c r="AE635" s="33">
        <f t="shared" si="1241"/>
        <v>0</v>
      </c>
      <c r="AF635" s="33">
        <f t="shared" si="1241"/>
        <v>0</v>
      </c>
      <c r="AG635" s="33">
        <f t="shared" si="1241"/>
        <v>0</v>
      </c>
      <c r="AH635" s="33">
        <f t="shared" si="1241"/>
        <v>0</v>
      </c>
      <c r="AI635" s="33">
        <f t="shared" si="1241"/>
        <v>0</v>
      </c>
      <c r="AJ635" s="33">
        <f t="shared" si="1241"/>
        <v>0</v>
      </c>
      <c r="AK635" s="33">
        <f t="shared" si="1241"/>
        <v>0</v>
      </c>
      <c r="AL635" s="33">
        <f t="shared" si="1241"/>
        <v>0</v>
      </c>
      <c r="AM635" s="33">
        <f t="shared" si="1241"/>
        <v>0</v>
      </c>
      <c r="AN635" s="33">
        <f t="shared" si="1241"/>
        <v>0</v>
      </c>
      <c r="AO635" s="33">
        <f t="shared" si="1241"/>
        <v>0</v>
      </c>
      <c r="AP635" s="33">
        <f t="shared" si="1241"/>
        <v>0</v>
      </c>
      <c r="AQ635" s="33">
        <f t="shared" si="1241"/>
        <v>0</v>
      </c>
      <c r="AR635" s="33">
        <f t="shared" si="1241"/>
        <v>0</v>
      </c>
      <c r="AS635" s="33">
        <f t="shared" si="1241"/>
        <v>0</v>
      </c>
      <c r="AT635" s="33">
        <f t="shared" si="1241"/>
        <v>0</v>
      </c>
      <c r="AU635" s="33">
        <f t="shared" si="1241"/>
        <v>0</v>
      </c>
      <c r="AV635" s="33">
        <f t="shared" si="1241"/>
        <v>0</v>
      </c>
      <c r="AW635" s="33">
        <f t="shared" si="1241"/>
        <v>0</v>
      </c>
      <c r="AX635" s="33">
        <f t="shared" si="1241"/>
        <v>0</v>
      </c>
      <c r="AY635" s="33">
        <f t="shared" si="1241"/>
        <v>0</v>
      </c>
      <c r="AZ635" s="33">
        <f t="shared" si="1241"/>
        <v>0</v>
      </c>
      <c r="BA635" s="33">
        <f t="shared" si="1241"/>
        <v>0</v>
      </c>
      <c r="BB635" s="33">
        <f t="shared" si="1241"/>
        <v>0</v>
      </c>
      <c r="BC635" s="33">
        <f t="shared" si="1241"/>
        <v>0</v>
      </c>
      <c r="BD635" s="33">
        <f t="shared" si="1241"/>
        <v>0</v>
      </c>
      <c r="BE635" s="33">
        <f t="shared" si="1241"/>
        <v>0</v>
      </c>
      <c r="BF635" s="33">
        <f t="shared" si="1241"/>
        <v>0</v>
      </c>
      <c r="BG635" s="33">
        <f t="shared" si="1241"/>
        <v>0</v>
      </c>
      <c r="BH635" s="33">
        <f t="shared" si="1241"/>
        <v>0</v>
      </c>
      <c r="BI635" s="33">
        <f t="shared" si="1241"/>
        <v>0</v>
      </c>
      <c r="BJ635" s="33">
        <f t="shared" si="1241"/>
        <v>0</v>
      </c>
      <c r="BK635" s="33">
        <f t="shared" si="1241"/>
        <v>0</v>
      </c>
      <c r="BL635" s="33">
        <f t="shared" si="1241"/>
        <v>0</v>
      </c>
      <c r="BM635" s="33">
        <f t="shared" si="1241"/>
        <v>0</v>
      </c>
      <c r="BN635" s="33">
        <f t="shared" si="1241"/>
        <v>0</v>
      </c>
      <c r="BO635" s="33">
        <f t="shared" si="1241"/>
        <v>0</v>
      </c>
      <c r="BP635" s="33">
        <f t="shared" si="1241"/>
        <v>0</v>
      </c>
      <c r="BQ635" s="33">
        <f t="shared" si="1241"/>
        <v>0</v>
      </c>
      <c r="BR635" s="33">
        <f t="shared" si="1241"/>
        <v>0</v>
      </c>
      <c r="BS635" s="33">
        <f t="shared" si="1241"/>
        <v>0</v>
      </c>
      <c r="BT635" s="33">
        <f t="shared" ref="BT635:BY635" si="1242">+IF(AND(BT$628=$C637,BT$628&lt;0),1,0)</f>
        <v>0</v>
      </c>
      <c r="BU635" s="33">
        <f t="shared" si="1242"/>
        <v>0</v>
      </c>
      <c r="BV635" s="33">
        <f t="shared" si="1242"/>
        <v>0</v>
      </c>
      <c r="BW635" s="33">
        <f t="shared" si="1242"/>
        <v>0</v>
      </c>
      <c r="BX635" s="33">
        <f t="shared" si="1242"/>
        <v>0</v>
      </c>
      <c r="BY635" s="33">
        <f t="shared" si="1242"/>
        <v>0</v>
      </c>
    </row>
    <row r="636" spans="3:77" outlineLevel="1">
      <c r="C636" s="32"/>
      <c r="D636" s="31"/>
      <c r="E636" t="s">
        <v>505</v>
      </c>
      <c r="F636" s="23" t="s">
        <v>500</v>
      </c>
      <c r="H636" s="33">
        <f t="shared" ref="H636:BS636" si="1243">+IF(AND(H$628=$C638,H$628&lt;0),1,0)</f>
        <v>0</v>
      </c>
      <c r="I636" s="33">
        <f t="shared" si="1243"/>
        <v>0</v>
      </c>
      <c r="J636" s="33">
        <f t="shared" si="1243"/>
        <v>0</v>
      </c>
      <c r="K636" s="33">
        <f t="shared" si="1243"/>
        <v>0</v>
      </c>
      <c r="L636" s="33">
        <f t="shared" si="1243"/>
        <v>0</v>
      </c>
      <c r="M636" s="33">
        <f t="shared" si="1243"/>
        <v>0</v>
      </c>
      <c r="N636" s="33">
        <f t="shared" si="1243"/>
        <v>0</v>
      </c>
      <c r="O636" s="33">
        <f t="shared" si="1243"/>
        <v>0</v>
      </c>
      <c r="P636" s="33">
        <f t="shared" si="1243"/>
        <v>0</v>
      </c>
      <c r="Q636" s="33">
        <f t="shared" si="1243"/>
        <v>0</v>
      </c>
      <c r="R636" s="33">
        <f t="shared" si="1243"/>
        <v>0</v>
      </c>
      <c r="S636" s="33">
        <f t="shared" si="1243"/>
        <v>0</v>
      </c>
      <c r="T636" s="33">
        <f t="shared" si="1243"/>
        <v>0</v>
      </c>
      <c r="U636" s="33">
        <f t="shared" si="1243"/>
        <v>0</v>
      </c>
      <c r="V636" s="33">
        <f t="shared" si="1243"/>
        <v>0</v>
      </c>
      <c r="W636" s="33">
        <f t="shared" si="1243"/>
        <v>0</v>
      </c>
      <c r="X636" s="33">
        <f t="shared" si="1243"/>
        <v>0</v>
      </c>
      <c r="Y636" s="33">
        <f t="shared" si="1243"/>
        <v>0</v>
      </c>
      <c r="Z636" s="33">
        <f t="shared" si="1243"/>
        <v>0</v>
      </c>
      <c r="AA636" s="33">
        <f t="shared" si="1243"/>
        <v>0</v>
      </c>
      <c r="AB636" s="33">
        <f t="shared" si="1243"/>
        <v>0</v>
      </c>
      <c r="AC636" s="33">
        <f t="shared" si="1243"/>
        <v>0</v>
      </c>
      <c r="AD636" s="33">
        <f t="shared" si="1243"/>
        <v>0</v>
      </c>
      <c r="AE636" s="33">
        <f t="shared" si="1243"/>
        <v>0</v>
      </c>
      <c r="AF636" s="33">
        <f t="shared" si="1243"/>
        <v>0</v>
      </c>
      <c r="AG636" s="33">
        <f t="shared" si="1243"/>
        <v>0</v>
      </c>
      <c r="AH636" s="33">
        <f t="shared" si="1243"/>
        <v>0</v>
      </c>
      <c r="AI636" s="33">
        <f t="shared" si="1243"/>
        <v>0</v>
      </c>
      <c r="AJ636" s="33">
        <f t="shared" si="1243"/>
        <v>0</v>
      </c>
      <c r="AK636" s="33">
        <f t="shared" si="1243"/>
        <v>0</v>
      </c>
      <c r="AL636" s="33">
        <f t="shared" si="1243"/>
        <v>0</v>
      </c>
      <c r="AM636" s="33">
        <f t="shared" si="1243"/>
        <v>0</v>
      </c>
      <c r="AN636" s="33">
        <f t="shared" si="1243"/>
        <v>0</v>
      </c>
      <c r="AO636" s="33">
        <f t="shared" si="1243"/>
        <v>0</v>
      </c>
      <c r="AP636" s="33">
        <f t="shared" si="1243"/>
        <v>0</v>
      </c>
      <c r="AQ636" s="33">
        <f t="shared" si="1243"/>
        <v>0</v>
      </c>
      <c r="AR636" s="33">
        <f t="shared" si="1243"/>
        <v>0</v>
      </c>
      <c r="AS636" s="33">
        <f t="shared" si="1243"/>
        <v>0</v>
      </c>
      <c r="AT636" s="33">
        <f t="shared" si="1243"/>
        <v>0</v>
      </c>
      <c r="AU636" s="33">
        <f t="shared" si="1243"/>
        <v>0</v>
      </c>
      <c r="AV636" s="33">
        <f t="shared" si="1243"/>
        <v>0</v>
      </c>
      <c r="AW636" s="33">
        <f t="shared" si="1243"/>
        <v>0</v>
      </c>
      <c r="AX636" s="33">
        <f t="shared" si="1243"/>
        <v>0</v>
      </c>
      <c r="AY636" s="33">
        <f t="shared" si="1243"/>
        <v>0</v>
      </c>
      <c r="AZ636" s="33">
        <f t="shared" si="1243"/>
        <v>0</v>
      </c>
      <c r="BA636" s="33">
        <f t="shared" si="1243"/>
        <v>0</v>
      </c>
      <c r="BB636" s="33">
        <f t="shared" si="1243"/>
        <v>0</v>
      </c>
      <c r="BC636" s="33">
        <f t="shared" si="1243"/>
        <v>0</v>
      </c>
      <c r="BD636" s="33">
        <f t="shared" si="1243"/>
        <v>0</v>
      </c>
      <c r="BE636" s="33">
        <f t="shared" si="1243"/>
        <v>0</v>
      </c>
      <c r="BF636" s="33">
        <f t="shared" si="1243"/>
        <v>0</v>
      </c>
      <c r="BG636" s="33">
        <f t="shared" si="1243"/>
        <v>0</v>
      </c>
      <c r="BH636" s="33">
        <f t="shared" si="1243"/>
        <v>0</v>
      </c>
      <c r="BI636" s="33">
        <f t="shared" si="1243"/>
        <v>0</v>
      </c>
      <c r="BJ636" s="33">
        <f t="shared" si="1243"/>
        <v>0</v>
      </c>
      <c r="BK636" s="33">
        <f t="shared" si="1243"/>
        <v>0</v>
      </c>
      <c r="BL636" s="33">
        <f t="shared" si="1243"/>
        <v>0</v>
      </c>
      <c r="BM636" s="33">
        <f t="shared" si="1243"/>
        <v>0</v>
      </c>
      <c r="BN636" s="33">
        <f t="shared" si="1243"/>
        <v>0</v>
      </c>
      <c r="BO636" s="33">
        <f t="shared" si="1243"/>
        <v>0</v>
      </c>
      <c r="BP636" s="33">
        <f t="shared" si="1243"/>
        <v>0</v>
      </c>
      <c r="BQ636" s="33">
        <f t="shared" si="1243"/>
        <v>0</v>
      </c>
      <c r="BR636" s="33">
        <f t="shared" si="1243"/>
        <v>0</v>
      </c>
      <c r="BS636" s="33">
        <f t="shared" si="1243"/>
        <v>0</v>
      </c>
      <c r="BT636" s="33">
        <f t="shared" ref="BT636:BY636" si="1244">+IF(AND(BT$628=$C638,BT$628&lt;0),1,0)</f>
        <v>0</v>
      </c>
      <c r="BU636" s="33">
        <f t="shared" si="1244"/>
        <v>0</v>
      </c>
      <c r="BV636" s="33">
        <f t="shared" si="1244"/>
        <v>0</v>
      </c>
      <c r="BW636" s="33">
        <f t="shared" si="1244"/>
        <v>0</v>
      </c>
      <c r="BX636" s="33">
        <f t="shared" si="1244"/>
        <v>0</v>
      </c>
      <c r="BY636" s="33">
        <f t="shared" si="1244"/>
        <v>0</v>
      </c>
    </row>
    <row r="637" spans="3:77" outlineLevel="1">
      <c r="C637" s="32"/>
      <c r="D637" s="31"/>
      <c r="E637" t="s">
        <v>506</v>
      </c>
      <c r="F637" s="23" t="s">
        <v>500</v>
      </c>
      <c r="H637" s="33">
        <f t="shared" ref="H637:BS637" si="1245">+IF(AND(H$628=$C639,H$628&lt;0),1,0)</f>
        <v>0</v>
      </c>
      <c r="I637" s="33">
        <f t="shared" si="1245"/>
        <v>0</v>
      </c>
      <c r="J637" s="33">
        <f t="shared" si="1245"/>
        <v>0</v>
      </c>
      <c r="K637" s="33">
        <f t="shared" si="1245"/>
        <v>0</v>
      </c>
      <c r="L637" s="33">
        <f t="shared" si="1245"/>
        <v>0</v>
      </c>
      <c r="M637" s="33">
        <f t="shared" si="1245"/>
        <v>0</v>
      </c>
      <c r="N637" s="33">
        <f t="shared" si="1245"/>
        <v>0</v>
      </c>
      <c r="O637" s="33">
        <f t="shared" si="1245"/>
        <v>0</v>
      </c>
      <c r="P637" s="33">
        <f t="shared" si="1245"/>
        <v>0</v>
      </c>
      <c r="Q637" s="33">
        <f t="shared" si="1245"/>
        <v>0</v>
      </c>
      <c r="R637" s="33">
        <f t="shared" si="1245"/>
        <v>0</v>
      </c>
      <c r="S637" s="33">
        <f t="shared" si="1245"/>
        <v>0</v>
      </c>
      <c r="T637" s="33">
        <f t="shared" si="1245"/>
        <v>0</v>
      </c>
      <c r="U637" s="33">
        <f t="shared" si="1245"/>
        <v>0</v>
      </c>
      <c r="V637" s="33">
        <f t="shared" si="1245"/>
        <v>0</v>
      </c>
      <c r="W637" s="33">
        <f t="shared" si="1245"/>
        <v>0</v>
      </c>
      <c r="X637" s="33">
        <f t="shared" si="1245"/>
        <v>0</v>
      </c>
      <c r="Y637" s="33">
        <f t="shared" si="1245"/>
        <v>0</v>
      </c>
      <c r="Z637" s="33">
        <f t="shared" si="1245"/>
        <v>0</v>
      </c>
      <c r="AA637" s="33">
        <f t="shared" si="1245"/>
        <v>0</v>
      </c>
      <c r="AB637" s="33">
        <f t="shared" si="1245"/>
        <v>0</v>
      </c>
      <c r="AC637" s="33">
        <f t="shared" si="1245"/>
        <v>0</v>
      </c>
      <c r="AD637" s="33">
        <f t="shared" si="1245"/>
        <v>0</v>
      </c>
      <c r="AE637" s="33">
        <f t="shared" si="1245"/>
        <v>0</v>
      </c>
      <c r="AF637" s="33">
        <f t="shared" si="1245"/>
        <v>0</v>
      </c>
      <c r="AG637" s="33">
        <f t="shared" si="1245"/>
        <v>0</v>
      </c>
      <c r="AH637" s="33">
        <f t="shared" si="1245"/>
        <v>0</v>
      </c>
      <c r="AI637" s="33">
        <f t="shared" si="1245"/>
        <v>0</v>
      </c>
      <c r="AJ637" s="33">
        <f t="shared" si="1245"/>
        <v>0</v>
      </c>
      <c r="AK637" s="33">
        <f t="shared" si="1245"/>
        <v>0</v>
      </c>
      <c r="AL637" s="33">
        <f t="shared" si="1245"/>
        <v>0</v>
      </c>
      <c r="AM637" s="33">
        <f t="shared" si="1245"/>
        <v>0</v>
      </c>
      <c r="AN637" s="33">
        <f t="shared" si="1245"/>
        <v>0</v>
      </c>
      <c r="AO637" s="33">
        <f t="shared" si="1245"/>
        <v>0</v>
      </c>
      <c r="AP637" s="33">
        <f t="shared" si="1245"/>
        <v>0</v>
      </c>
      <c r="AQ637" s="33">
        <f t="shared" si="1245"/>
        <v>0</v>
      </c>
      <c r="AR637" s="33">
        <f t="shared" si="1245"/>
        <v>0</v>
      </c>
      <c r="AS637" s="33">
        <f t="shared" si="1245"/>
        <v>0</v>
      </c>
      <c r="AT637" s="33">
        <f t="shared" si="1245"/>
        <v>0</v>
      </c>
      <c r="AU637" s="33">
        <f t="shared" si="1245"/>
        <v>0</v>
      </c>
      <c r="AV637" s="33">
        <f t="shared" si="1245"/>
        <v>0</v>
      </c>
      <c r="AW637" s="33">
        <f t="shared" si="1245"/>
        <v>0</v>
      </c>
      <c r="AX637" s="33">
        <f t="shared" si="1245"/>
        <v>0</v>
      </c>
      <c r="AY637" s="33">
        <f t="shared" si="1245"/>
        <v>0</v>
      </c>
      <c r="AZ637" s="33">
        <f t="shared" si="1245"/>
        <v>0</v>
      </c>
      <c r="BA637" s="33">
        <f t="shared" si="1245"/>
        <v>0</v>
      </c>
      <c r="BB637" s="33">
        <f t="shared" si="1245"/>
        <v>0</v>
      </c>
      <c r="BC637" s="33">
        <f t="shared" si="1245"/>
        <v>0</v>
      </c>
      <c r="BD637" s="33">
        <f t="shared" si="1245"/>
        <v>0</v>
      </c>
      <c r="BE637" s="33">
        <f t="shared" si="1245"/>
        <v>0</v>
      </c>
      <c r="BF637" s="33">
        <f t="shared" si="1245"/>
        <v>0</v>
      </c>
      <c r="BG637" s="33">
        <f t="shared" si="1245"/>
        <v>0</v>
      </c>
      <c r="BH637" s="33">
        <f t="shared" si="1245"/>
        <v>0</v>
      </c>
      <c r="BI637" s="33">
        <f t="shared" si="1245"/>
        <v>0</v>
      </c>
      <c r="BJ637" s="33">
        <f t="shared" si="1245"/>
        <v>0</v>
      </c>
      <c r="BK637" s="33">
        <f t="shared" si="1245"/>
        <v>0</v>
      </c>
      <c r="BL637" s="33">
        <f t="shared" si="1245"/>
        <v>0</v>
      </c>
      <c r="BM637" s="33">
        <f t="shared" si="1245"/>
        <v>0</v>
      </c>
      <c r="BN637" s="33">
        <f t="shared" si="1245"/>
        <v>0</v>
      </c>
      <c r="BO637" s="33">
        <f t="shared" si="1245"/>
        <v>0</v>
      </c>
      <c r="BP637" s="33">
        <f t="shared" si="1245"/>
        <v>0</v>
      </c>
      <c r="BQ637" s="33">
        <f t="shared" si="1245"/>
        <v>0</v>
      </c>
      <c r="BR637" s="33">
        <f t="shared" si="1245"/>
        <v>0</v>
      </c>
      <c r="BS637" s="33">
        <f t="shared" si="1245"/>
        <v>0</v>
      </c>
      <c r="BT637" s="33">
        <f t="shared" ref="BT637:BY637" si="1246">+IF(AND(BT$628=$C639,BT$628&lt;0),1,0)</f>
        <v>0</v>
      </c>
      <c r="BU637" s="33">
        <f t="shared" si="1246"/>
        <v>0</v>
      </c>
      <c r="BV637" s="33">
        <f t="shared" si="1246"/>
        <v>0</v>
      </c>
      <c r="BW637" s="33">
        <f t="shared" si="1246"/>
        <v>0</v>
      </c>
      <c r="BX637" s="33">
        <f t="shared" si="1246"/>
        <v>0</v>
      </c>
      <c r="BY637" s="33">
        <f t="shared" si="1246"/>
        <v>0</v>
      </c>
    </row>
    <row r="638" spans="3:77" outlineLevel="1">
      <c r="C638" s="32"/>
      <c r="D638" s="31"/>
      <c r="E638" t="s">
        <v>507</v>
      </c>
      <c r="F638" s="23" t="s">
        <v>500</v>
      </c>
      <c r="H638" s="33">
        <f t="shared" ref="H638:BS638" si="1247">+IF(AND(H$628=$C640,H$628&lt;0),1,0)</f>
        <v>0</v>
      </c>
      <c r="I638" s="33">
        <f t="shared" si="1247"/>
        <v>0</v>
      </c>
      <c r="J638" s="33">
        <f t="shared" si="1247"/>
        <v>0</v>
      </c>
      <c r="K638" s="33">
        <f t="shared" si="1247"/>
        <v>0</v>
      </c>
      <c r="L638" s="33">
        <f t="shared" si="1247"/>
        <v>0</v>
      </c>
      <c r="M638" s="33">
        <f t="shared" si="1247"/>
        <v>0</v>
      </c>
      <c r="N638" s="33">
        <f t="shared" si="1247"/>
        <v>0</v>
      </c>
      <c r="O638" s="33">
        <f t="shared" si="1247"/>
        <v>0</v>
      </c>
      <c r="P638" s="33">
        <f t="shared" si="1247"/>
        <v>0</v>
      </c>
      <c r="Q638" s="33">
        <f t="shared" si="1247"/>
        <v>0</v>
      </c>
      <c r="R638" s="33">
        <f t="shared" si="1247"/>
        <v>0</v>
      </c>
      <c r="S638" s="33">
        <f t="shared" si="1247"/>
        <v>0</v>
      </c>
      <c r="T638" s="33">
        <f t="shared" si="1247"/>
        <v>0</v>
      </c>
      <c r="U638" s="33">
        <f t="shared" si="1247"/>
        <v>0</v>
      </c>
      <c r="V638" s="33">
        <f t="shared" si="1247"/>
        <v>0</v>
      </c>
      <c r="W638" s="33">
        <f t="shared" si="1247"/>
        <v>0</v>
      </c>
      <c r="X638" s="33">
        <f t="shared" si="1247"/>
        <v>0</v>
      </c>
      <c r="Y638" s="33">
        <f t="shared" si="1247"/>
        <v>0</v>
      </c>
      <c r="Z638" s="33">
        <f t="shared" si="1247"/>
        <v>0</v>
      </c>
      <c r="AA638" s="33">
        <f t="shared" si="1247"/>
        <v>0</v>
      </c>
      <c r="AB638" s="33">
        <f t="shared" si="1247"/>
        <v>0</v>
      </c>
      <c r="AC638" s="33">
        <f t="shared" si="1247"/>
        <v>0</v>
      </c>
      <c r="AD638" s="33">
        <f t="shared" si="1247"/>
        <v>0</v>
      </c>
      <c r="AE638" s="33">
        <f t="shared" si="1247"/>
        <v>0</v>
      </c>
      <c r="AF638" s="33">
        <f t="shared" si="1247"/>
        <v>0</v>
      </c>
      <c r="AG638" s="33">
        <f t="shared" si="1247"/>
        <v>0</v>
      </c>
      <c r="AH638" s="33">
        <f t="shared" si="1247"/>
        <v>0</v>
      </c>
      <c r="AI638" s="33">
        <f t="shared" si="1247"/>
        <v>0</v>
      </c>
      <c r="AJ638" s="33">
        <f t="shared" si="1247"/>
        <v>0</v>
      </c>
      <c r="AK638" s="33">
        <f t="shared" si="1247"/>
        <v>0</v>
      </c>
      <c r="AL638" s="33">
        <f t="shared" si="1247"/>
        <v>0</v>
      </c>
      <c r="AM638" s="33">
        <f t="shared" si="1247"/>
        <v>0</v>
      </c>
      <c r="AN638" s="33">
        <f t="shared" si="1247"/>
        <v>0</v>
      </c>
      <c r="AO638" s="33">
        <f t="shared" si="1247"/>
        <v>0</v>
      </c>
      <c r="AP638" s="33">
        <f t="shared" si="1247"/>
        <v>0</v>
      </c>
      <c r="AQ638" s="33">
        <f t="shared" si="1247"/>
        <v>0</v>
      </c>
      <c r="AR638" s="33">
        <f t="shared" si="1247"/>
        <v>0</v>
      </c>
      <c r="AS638" s="33">
        <f t="shared" si="1247"/>
        <v>0</v>
      </c>
      <c r="AT638" s="33">
        <f t="shared" si="1247"/>
        <v>0</v>
      </c>
      <c r="AU638" s="33">
        <f t="shared" si="1247"/>
        <v>0</v>
      </c>
      <c r="AV638" s="33">
        <f t="shared" si="1247"/>
        <v>0</v>
      </c>
      <c r="AW638" s="33">
        <f t="shared" si="1247"/>
        <v>0</v>
      </c>
      <c r="AX638" s="33">
        <f t="shared" si="1247"/>
        <v>0</v>
      </c>
      <c r="AY638" s="33">
        <f t="shared" si="1247"/>
        <v>0</v>
      </c>
      <c r="AZ638" s="33">
        <f t="shared" si="1247"/>
        <v>0</v>
      </c>
      <c r="BA638" s="33">
        <f t="shared" si="1247"/>
        <v>0</v>
      </c>
      <c r="BB638" s="33">
        <f t="shared" si="1247"/>
        <v>0</v>
      </c>
      <c r="BC638" s="33">
        <f t="shared" si="1247"/>
        <v>0</v>
      </c>
      <c r="BD638" s="33">
        <f t="shared" si="1247"/>
        <v>0</v>
      </c>
      <c r="BE638" s="33">
        <f t="shared" si="1247"/>
        <v>0</v>
      </c>
      <c r="BF638" s="33">
        <f t="shared" si="1247"/>
        <v>0</v>
      </c>
      <c r="BG638" s="33">
        <f t="shared" si="1247"/>
        <v>0</v>
      </c>
      <c r="BH638" s="33">
        <f t="shared" si="1247"/>
        <v>0</v>
      </c>
      <c r="BI638" s="33">
        <f t="shared" si="1247"/>
        <v>0</v>
      </c>
      <c r="BJ638" s="33">
        <f t="shared" si="1247"/>
        <v>0</v>
      </c>
      <c r="BK638" s="33">
        <f t="shared" si="1247"/>
        <v>0</v>
      </c>
      <c r="BL638" s="33">
        <f t="shared" si="1247"/>
        <v>0</v>
      </c>
      <c r="BM638" s="33">
        <f t="shared" si="1247"/>
        <v>0</v>
      </c>
      <c r="BN638" s="33">
        <f t="shared" si="1247"/>
        <v>0</v>
      </c>
      <c r="BO638" s="33">
        <f t="shared" si="1247"/>
        <v>0</v>
      </c>
      <c r="BP638" s="33">
        <f t="shared" si="1247"/>
        <v>0</v>
      </c>
      <c r="BQ638" s="33">
        <f t="shared" si="1247"/>
        <v>0</v>
      </c>
      <c r="BR638" s="33">
        <f t="shared" si="1247"/>
        <v>0</v>
      </c>
      <c r="BS638" s="33">
        <f t="shared" si="1247"/>
        <v>0</v>
      </c>
      <c r="BT638" s="33">
        <f t="shared" ref="BT638:BY638" si="1248">+IF(AND(BT$628=$C640,BT$628&lt;0),1,0)</f>
        <v>0</v>
      </c>
      <c r="BU638" s="33">
        <f t="shared" si="1248"/>
        <v>0</v>
      </c>
      <c r="BV638" s="33">
        <f t="shared" si="1248"/>
        <v>0</v>
      </c>
      <c r="BW638" s="33">
        <f t="shared" si="1248"/>
        <v>0</v>
      </c>
      <c r="BX638" s="33">
        <f t="shared" si="1248"/>
        <v>0</v>
      </c>
      <c r="BY638" s="33">
        <f t="shared" si="1248"/>
        <v>0</v>
      </c>
    </row>
    <row r="639" spans="3:77" outlineLevel="1">
      <c r="C639" s="32"/>
      <c r="D639" s="31"/>
      <c r="E639" t="s">
        <v>508</v>
      </c>
      <c r="F639" s="23" t="s">
        <v>500</v>
      </c>
      <c r="H639" s="33">
        <f t="shared" ref="H639:BS639" si="1249">+IF(AND(H$628=$C641,H$628&lt;0),1,0)</f>
        <v>0</v>
      </c>
      <c r="I639" s="33">
        <f t="shared" si="1249"/>
        <v>0</v>
      </c>
      <c r="J639" s="33">
        <f t="shared" si="1249"/>
        <v>0</v>
      </c>
      <c r="K639" s="33">
        <f t="shared" si="1249"/>
        <v>0</v>
      </c>
      <c r="L639" s="33">
        <f t="shared" si="1249"/>
        <v>0</v>
      </c>
      <c r="M639" s="33">
        <f t="shared" si="1249"/>
        <v>0</v>
      </c>
      <c r="N639" s="33">
        <f t="shared" si="1249"/>
        <v>0</v>
      </c>
      <c r="O639" s="33">
        <f t="shared" si="1249"/>
        <v>0</v>
      </c>
      <c r="P639" s="33">
        <f t="shared" si="1249"/>
        <v>0</v>
      </c>
      <c r="Q639" s="33">
        <f t="shared" si="1249"/>
        <v>0</v>
      </c>
      <c r="R639" s="33">
        <f t="shared" si="1249"/>
        <v>0</v>
      </c>
      <c r="S639" s="33">
        <f t="shared" si="1249"/>
        <v>0</v>
      </c>
      <c r="T639" s="33">
        <f t="shared" si="1249"/>
        <v>0</v>
      </c>
      <c r="U639" s="33">
        <f t="shared" si="1249"/>
        <v>0</v>
      </c>
      <c r="V639" s="33">
        <f t="shared" si="1249"/>
        <v>0</v>
      </c>
      <c r="W639" s="33">
        <f t="shared" si="1249"/>
        <v>0</v>
      </c>
      <c r="X639" s="33">
        <f t="shared" si="1249"/>
        <v>0</v>
      </c>
      <c r="Y639" s="33">
        <f t="shared" si="1249"/>
        <v>0</v>
      </c>
      <c r="Z639" s="33">
        <f t="shared" si="1249"/>
        <v>0</v>
      </c>
      <c r="AA639" s="33">
        <f t="shared" si="1249"/>
        <v>0</v>
      </c>
      <c r="AB639" s="33">
        <f t="shared" si="1249"/>
        <v>0</v>
      </c>
      <c r="AC639" s="33">
        <f t="shared" si="1249"/>
        <v>0</v>
      </c>
      <c r="AD639" s="33">
        <f t="shared" si="1249"/>
        <v>0</v>
      </c>
      <c r="AE639" s="33">
        <f t="shared" si="1249"/>
        <v>0</v>
      </c>
      <c r="AF639" s="33">
        <f t="shared" si="1249"/>
        <v>0</v>
      </c>
      <c r="AG639" s="33">
        <f t="shared" si="1249"/>
        <v>0</v>
      </c>
      <c r="AH639" s="33">
        <f t="shared" si="1249"/>
        <v>0</v>
      </c>
      <c r="AI639" s="33">
        <f t="shared" si="1249"/>
        <v>0</v>
      </c>
      <c r="AJ639" s="33">
        <f t="shared" si="1249"/>
        <v>0</v>
      </c>
      <c r="AK639" s="33">
        <f t="shared" si="1249"/>
        <v>0</v>
      </c>
      <c r="AL639" s="33">
        <f t="shared" si="1249"/>
        <v>0</v>
      </c>
      <c r="AM639" s="33">
        <f t="shared" si="1249"/>
        <v>0</v>
      </c>
      <c r="AN639" s="33">
        <f t="shared" si="1249"/>
        <v>0</v>
      </c>
      <c r="AO639" s="33">
        <f t="shared" si="1249"/>
        <v>0</v>
      </c>
      <c r="AP639" s="33">
        <f t="shared" si="1249"/>
        <v>0</v>
      </c>
      <c r="AQ639" s="33">
        <f t="shared" si="1249"/>
        <v>0</v>
      </c>
      <c r="AR639" s="33">
        <f t="shared" si="1249"/>
        <v>0</v>
      </c>
      <c r="AS639" s="33">
        <f t="shared" si="1249"/>
        <v>0</v>
      </c>
      <c r="AT639" s="33">
        <f t="shared" si="1249"/>
        <v>0</v>
      </c>
      <c r="AU639" s="33">
        <f t="shared" si="1249"/>
        <v>0</v>
      </c>
      <c r="AV639" s="33">
        <f t="shared" si="1249"/>
        <v>0</v>
      </c>
      <c r="AW639" s="33">
        <f t="shared" si="1249"/>
        <v>0</v>
      </c>
      <c r="AX639" s="33">
        <f t="shared" si="1249"/>
        <v>0</v>
      </c>
      <c r="AY639" s="33">
        <f t="shared" si="1249"/>
        <v>0</v>
      </c>
      <c r="AZ639" s="33">
        <f t="shared" si="1249"/>
        <v>0</v>
      </c>
      <c r="BA639" s="33">
        <f t="shared" si="1249"/>
        <v>0</v>
      </c>
      <c r="BB639" s="33">
        <f t="shared" si="1249"/>
        <v>0</v>
      </c>
      <c r="BC639" s="33">
        <f t="shared" si="1249"/>
        <v>0</v>
      </c>
      <c r="BD639" s="33">
        <f t="shared" si="1249"/>
        <v>0</v>
      </c>
      <c r="BE639" s="33">
        <f t="shared" si="1249"/>
        <v>0</v>
      </c>
      <c r="BF639" s="33">
        <f t="shared" si="1249"/>
        <v>0</v>
      </c>
      <c r="BG639" s="33">
        <f t="shared" si="1249"/>
        <v>0</v>
      </c>
      <c r="BH639" s="33">
        <f t="shared" si="1249"/>
        <v>0</v>
      </c>
      <c r="BI639" s="33">
        <f t="shared" si="1249"/>
        <v>0</v>
      </c>
      <c r="BJ639" s="33">
        <f t="shared" si="1249"/>
        <v>0</v>
      </c>
      <c r="BK639" s="33">
        <f t="shared" si="1249"/>
        <v>0</v>
      </c>
      <c r="BL639" s="33">
        <f t="shared" si="1249"/>
        <v>0</v>
      </c>
      <c r="BM639" s="33">
        <f t="shared" si="1249"/>
        <v>0</v>
      </c>
      <c r="BN639" s="33">
        <f t="shared" si="1249"/>
        <v>0</v>
      </c>
      <c r="BO639" s="33">
        <f t="shared" si="1249"/>
        <v>0</v>
      </c>
      <c r="BP639" s="33">
        <f t="shared" si="1249"/>
        <v>0</v>
      </c>
      <c r="BQ639" s="33">
        <f t="shared" si="1249"/>
        <v>0</v>
      </c>
      <c r="BR639" s="33">
        <f t="shared" si="1249"/>
        <v>0</v>
      </c>
      <c r="BS639" s="33">
        <f t="shared" si="1249"/>
        <v>0</v>
      </c>
      <c r="BT639" s="33">
        <f t="shared" ref="BT639:BY639" si="1250">+IF(AND(BT$628=$C641,BT$628&lt;0),1,0)</f>
        <v>0</v>
      </c>
      <c r="BU639" s="33">
        <f t="shared" si="1250"/>
        <v>0</v>
      </c>
      <c r="BV639" s="33">
        <f t="shared" si="1250"/>
        <v>0</v>
      </c>
      <c r="BW639" s="33">
        <f t="shared" si="1250"/>
        <v>0</v>
      </c>
      <c r="BX639" s="33">
        <f t="shared" si="1250"/>
        <v>0</v>
      </c>
      <c r="BY639" s="33">
        <f t="shared" si="1250"/>
        <v>0</v>
      </c>
    </row>
    <row r="640" spans="3:77" outlineLevel="1">
      <c r="C640" s="32"/>
      <c r="D640" s="31"/>
      <c r="E640" t="s">
        <v>509</v>
      </c>
      <c r="F640" s="23" t="s">
        <v>500</v>
      </c>
      <c r="H640" s="33">
        <f t="shared" ref="H640:BS640" si="1251">+IF(AND(H$628=$C642,H$628&lt;0),1,0)</f>
        <v>0</v>
      </c>
      <c r="I640" s="33">
        <f t="shared" si="1251"/>
        <v>0</v>
      </c>
      <c r="J640" s="33">
        <f t="shared" si="1251"/>
        <v>0</v>
      </c>
      <c r="K640" s="33">
        <f t="shared" si="1251"/>
        <v>0</v>
      </c>
      <c r="L640" s="33">
        <f t="shared" si="1251"/>
        <v>0</v>
      </c>
      <c r="M640" s="33">
        <f t="shared" si="1251"/>
        <v>0</v>
      </c>
      <c r="N640" s="33">
        <f t="shared" si="1251"/>
        <v>0</v>
      </c>
      <c r="O640" s="33">
        <f t="shared" si="1251"/>
        <v>0</v>
      </c>
      <c r="P640" s="33">
        <f t="shared" si="1251"/>
        <v>0</v>
      </c>
      <c r="Q640" s="33">
        <f t="shared" si="1251"/>
        <v>0</v>
      </c>
      <c r="R640" s="33">
        <f t="shared" si="1251"/>
        <v>0</v>
      </c>
      <c r="S640" s="33">
        <f t="shared" si="1251"/>
        <v>0</v>
      </c>
      <c r="T640" s="33">
        <f t="shared" si="1251"/>
        <v>0</v>
      </c>
      <c r="U640" s="33">
        <f t="shared" si="1251"/>
        <v>0</v>
      </c>
      <c r="V640" s="33">
        <f t="shared" si="1251"/>
        <v>0</v>
      </c>
      <c r="W640" s="33">
        <f t="shared" si="1251"/>
        <v>0</v>
      </c>
      <c r="X640" s="33">
        <f t="shared" si="1251"/>
        <v>0</v>
      </c>
      <c r="Y640" s="33">
        <f t="shared" si="1251"/>
        <v>0</v>
      </c>
      <c r="Z640" s="33">
        <f t="shared" si="1251"/>
        <v>0</v>
      </c>
      <c r="AA640" s="33">
        <f t="shared" si="1251"/>
        <v>0</v>
      </c>
      <c r="AB640" s="33">
        <f t="shared" si="1251"/>
        <v>0</v>
      </c>
      <c r="AC640" s="33">
        <f t="shared" si="1251"/>
        <v>0</v>
      </c>
      <c r="AD640" s="33">
        <f t="shared" si="1251"/>
        <v>0</v>
      </c>
      <c r="AE640" s="33">
        <f t="shared" si="1251"/>
        <v>0</v>
      </c>
      <c r="AF640" s="33">
        <f t="shared" si="1251"/>
        <v>0</v>
      </c>
      <c r="AG640" s="33">
        <f t="shared" si="1251"/>
        <v>0</v>
      </c>
      <c r="AH640" s="33">
        <f t="shared" si="1251"/>
        <v>0</v>
      </c>
      <c r="AI640" s="33">
        <f t="shared" si="1251"/>
        <v>0</v>
      </c>
      <c r="AJ640" s="33">
        <f t="shared" si="1251"/>
        <v>0</v>
      </c>
      <c r="AK640" s="33">
        <f t="shared" si="1251"/>
        <v>0</v>
      </c>
      <c r="AL640" s="33">
        <f t="shared" si="1251"/>
        <v>0</v>
      </c>
      <c r="AM640" s="33">
        <f t="shared" si="1251"/>
        <v>0</v>
      </c>
      <c r="AN640" s="33">
        <f t="shared" si="1251"/>
        <v>0</v>
      </c>
      <c r="AO640" s="33">
        <f t="shared" si="1251"/>
        <v>0</v>
      </c>
      <c r="AP640" s="33">
        <f t="shared" si="1251"/>
        <v>0</v>
      </c>
      <c r="AQ640" s="33">
        <f t="shared" si="1251"/>
        <v>0</v>
      </c>
      <c r="AR640" s="33">
        <f t="shared" si="1251"/>
        <v>0</v>
      </c>
      <c r="AS640" s="33">
        <f t="shared" si="1251"/>
        <v>0</v>
      </c>
      <c r="AT640" s="33">
        <f t="shared" si="1251"/>
        <v>0</v>
      </c>
      <c r="AU640" s="33">
        <f t="shared" si="1251"/>
        <v>0</v>
      </c>
      <c r="AV640" s="33">
        <f t="shared" si="1251"/>
        <v>0</v>
      </c>
      <c r="AW640" s="33">
        <f t="shared" si="1251"/>
        <v>0</v>
      </c>
      <c r="AX640" s="33">
        <f t="shared" si="1251"/>
        <v>0</v>
      </c>
      <c r="AY640" s="33">
        <f t="shared" si="1251"/>
        <v>0</v>
      </c>
      <c r="AZ640" s="33">
        <f t="shared" si="1251"/>
        <v>0</v>
      </c>
      <c r="BA640" s="33">
        <f t="shared" si="1251"/>
        <v>0</v>
      </c>
      <c r="BB640" s="33">
        <f t="shared" si="1251"/>
        <v>0</v>
      </c>
      <c r="BC640" s="33">
        <f t="shared" si="1251"/>
        <v>0</v>
      </c>
      <c r="BD640" s="33">
        <f t="shared" si="1251"/>
        <v>0</v>
      </c>
      <c r="BE640" s="33">
        <f t="shared" si="1251"/>
        <v>0</v>
      </c>
      <c r="BF640" s="33">
        <f t="shared" si="1251"/>
        <v>0</v>
      </c>
      <c r="BG640" s="33">
        <f t="shared" si="1251"/>
        <v>0</v>
      </c>
      <c r="BH640" s="33">
        <f t="shared" si="1251"/>
        <v>0</v>
      </c>
      <c r="BI640" s="33">
        <f t="shared" si="1251"/>
        <v>0</v>
      </c>
      <c r="BJ640" s="33">
        <f t="shared" si="1251"/>
        <v>0</v>
      </c>
      <c r="BK640" s="33">
        <f t="shared" si="1251"/>
        <v>0</v>
      </c>
      <c r="BL640" s="33">
        <f t="shared" si="1251"/>
        <v>0</v>
      </c>
      <c r="BM640" s="33">
        <f t="shared" si="1251"/>
        <v>0</v>
      </c>
      <c r="BN640" s="33">
        <f t="shared" si="1251"/>
        <v>0</v>
      </c>
      <c r="BO640" s="33">
        <f t="shared" si="1251"/>
        <v>0</v>
      </c>
      <c r="BP640" s="33">
        <f t="shared" si="1251"/>
        <v>0</v>
      </c>
      <c r="BQ640" s="33">
        <f t="shared" si="1251"/>
        <v>0</v>
      </c>
      <c r="BR640" s="33">
        <f t="shared" si="1251"/>
        <v>0</v>
      </c>
      <c r="BS640" s="33">
        <f t="shared" si="1251"/>
        <v>0</v>
      </c>
      <c r="BT640" s="33">
        <f t="shared" ref="BT640:BY640" si="1252">+IF(AND(BT$628=$C642,BT$628&lt;0),1,0)</f>
        <v>0</v>
      </c>
      <c r="BU640" s="33">
        <f t="shared" si="1252"/>
        <v>0</v>
      </c>
      <c r="BV640" s="33">
        <f t="shared" si="1252"/>
        <v>0</v>
      </c>
      <c r="BW640" s="33">
        <f t="shared" si="1252"/>
        <v>0</v>
      </c>
      <c r="BX640" s="33">
        <f t="shared" si="1252"/>
        <v>0</v>
      </c>
      <c r="BY640" s="33">
        <f t="shared" si="1252"/>
        <v>0</v>
      </c>
    </row>
    <row r="641" spans="5:77" outlineLevel="1">
      <c r="E641" s="25" t="s">
        <v>510</v>
      </c>
      <c r="F641" s="30" t="s">
        <v>500</v>
      </c>
      <c r="G641" s="25"/>
      <c r="H641" s="34">
        <f t="shared" ref="H641:BS641" si="1253">+IF(AND(H$628=$C643,H$628&lt;0),1,0)</f>
        <v>0</v>
      </c>
      <c r="I641" s="34">
        <f t="shared" si="1253"/>
        <v>0</v>
      </c>
      <c r="J641" s="34">
        <f t="shared" si="1253"/>
        <v>0</v>
      </c>
      <c r="K641" s="34">
        <f t="shared" si="1253"/>
        <v>0</v>
      </c>
      <c r="L641" s="34">
        <f t="shared" si="1253"/>
        <v>0</v>
      </c>
      <c r="M641" s="34">
        <f t="shared" si="1253"/>
        <v>0</v>
      </c>
      <c r="N641" s="34">
        <f t="shared" si="1253"/>
        <v>0</v>
      </c>
      <c r="O641" s="34">
        <f t="shared" si="1253"/>
        <v>0</v>
      </c>
      <c r="P641" s="34">
        <f t="shared" si="1253"/>
        <v>0</v>
      </c>
      <c r="Q641" s="34">
        <f t="shared" si="1253"/>
        <v>0</v>
      </c>
      <c r="R641" s="34">
        <f t="shared" si="1253"/>
        <v>0</v>
      </c>
      <c r="S641" s="34">
        <f t="shared" si="1253"/>
        <v>0</v>
      </c>
      <c r="T641" s="34">
        <f t="shared" si="1253"/>
        <v>0</v>
      </c>
      <c r="U641" s="34">
        <f t="shared" si="1253"/>
        <v>0</v>
      </c>
      <c r="V641" s="34">
        <f t="shared" si="1253"/>
        <v>0</v>
      </c>
      <c r="W641" s="34">
        <f t="shared" si="1253"/>
        <v>0</v>
      </c>
      <c r="X641" s="34">
        <f t="shared" si="1253"/>
        <v>0</v>
      </c>
      <c r="Y641" s="34">
        <f t="shared" si="1253"/>
        <v>0</v>
      </c>
      <c r="Z641" s="34">
        <f t="shared" si="1253"/>
        <v>0</v>
      </c>
      <c r="AA641" s="34">
        <f t="shared" si="1253"/>
        <v>0</v>
      </c>
      <c r="AB641" s="34">
        <f t="shared" si="1253"/>
        <v>0</v>
      </c>
      <c r="AC641" s="34">
        <f t="shared" si="1253"/>
        <v>0</v>
      </c>
      <c r="AD641" s="34">
        <f t="shared" si="1253"/>
        <v>0</v>
      </c>
      <c r="AE641" s="34">
        <f t="shared" si="1253"/>
        <v>0</v>
      </c>
      <c r="AF641" s="34">
        <f t="shared" si="1253"/>
        <v>0</v>
      </c>
      <c r="AG641" s="34">
        <f t="shared" si="1253"/>
        <v>0</v>
      </c>
      <c r="AH641" s="34">
        <f t="shared" si="1253"/>
        <v>0</v>
      </c>
      <c r="AI641" s="34">
        <f t="shared" si="1253"/>
        <v>0</v>
      </c>
      <c r="AJ641" s="34">
        <f t="shared" si="1253"/>
        <v>0</v>
      </c>
      <c r="AK641" s="34">
        <f t="shared" si="1253"/>
        <v>0</v>
      </c>
      <c r="AL641" s="34">
        <f t="shared" si="1253"/>
        <v>0</v>
      </c>
      <c r="AM641" s="34">
        <f t="shared" si="1253"/>
        <v>0</v>
      </c>
      <c r="AN641" s="34">
        <f t="shared" si="1253"/>
        <v>0</v>
      </c>
      <c r="AO641" s="34">
        <f t="shared" si="1253"/>
        <v>0</v>
      </c>
      <c r="AP641" s="34">
        <f t="shared" si="1253"/>
        <v>0</v>
      </c>
      <c r="AQ641" s="34">
        <f t="shared" si="1253"/>
        <v>0</v>
      </c>
      <c r="AR641" s="34">
        <f t="shared" si="1253"/>
        <v>0</v>
      </c>
      <c r="AS641" s="34">
        <f t="shared" si="1253"/>
        <v>0</v>
      </c>
      <c r="AT641" s="34">
        <f t="shared" si="1253"/>
        <v>0</v>
      </c>
      <c r="AU641" s="34">
        <f t="shared" si="1253"/>
        <v>0</v>
      </c>
      <c r="AV641" s="34">
        <f t="shared" si="1253"/>
        <v>0</v>
      </c>
      <c r="AW641" s="34">
        <f t="shared" si="1253"/>
        <v>0</v>
      </c>
      <c r="AX641" s="34">
        <f t="shared" si="1253"/>
        <v>0</v>
      </c>
      <c r="AY641" s="34">
        <f t="shared" si="1253"/>
        <v>0</v>
      </c>
      <c r="AZ641" s="34">
        <f t="shared" si="1253"/>
        <v>0</v>
      </c>
      <c r="BA641" s="34">
        <f t="shared" si="1253"/>
        <v>0</v>
      </c>
      <c r="BB641" s="34">
        <f t="shared" si="1253"/>
        <v>0</v>
      </c>
      <c r="BC641" s="34">
        <f t="shared" si="1253"/>
        <v>0</v>
      </c>
      <c r="BD641" s="34">
        <f t="shared" si="1253"/>
        <v>0</v>
      </c>
      <c r="BE641" s="34">
        <f t="shared" si="1253"/>
        <v>0</v>
      </c>
      <c r="BF641" s="34">
        <f t="shared" si="1253"/>
        <v>0</v>
      </c>
      <c r="BG641" s="34">
        <f t="shared" si="1253"/>
        <v>0</v>
      </c>
      <c r="BH641" s="34">
        <f t="shared" si="1253"/>
        <v>0</v>
      </c>
      <c r="BI641" s="34">
        <f t="shared" si="1253"/>
        <v>0</v>
      </c>
      <c r="BJ641" s="34">
        <f t="shared" si="1253"/>
        <v>0</v>
      </c>
      <c r="BK641" s="34">
        <f t="shared" si="1253"/>
        <v>0</v>
      </c>
      <c r="BL641" s="34">
        <f t="shared" si="1253"/>
        <v>0</v>
      </c>
      <c r="BM641" s="34">
        <f t="shared" si="1253"/>
        <v>0</v>
      </c>
      <c r="BN641" s="34">
        <f t="shared" si="1253"/>
        <v>0</v>
      </c>
      <c r="BO641" s="34">
        <f t="shared" si="1253"/>
        <v>0</v>
      </c>
      <c r="BP641" s="34">
        <f t="shared" si="1253"/>
        <v>0</v>
      </c>
      <c r="BQ641" s="34">
        <f t="shared" si="1253"/>
        <v>0</v>
      </c>
      <c r="BR641" s="34">
        <f t="shared" si="1253"/>
        <v>0</v>
      </c>
      <c r="BS641" s="34">
        <f t="shared" si="1253"/>
        <v>0</v>
      </c>
      <c r="BT641" s="34">
        <f t="shared" ref="BT641:BY641" si="1254">+IF(AND(BT$628=$C643,BT$628&lt;0),1,0)</f>
        <v>0</v>
      </c>
      <c r="BU641" s="34">
        <f t="shared" si="1254"/>
        <v>0</v>
      </c>
      <c r="BV641" s="34">
        <f t="shared" si="1254"/>
        <v>0</v>
      </c>
      <c r="BW641" s="34">
        <f t="shared" si="1254"/>
        <v>0</v>
      </c>
      <c r="BX641" s="34">
        <f t="shared" si="1254"/>
        <v>0</v>
      </c>
      <c r="BY641" s="34">
        <f t="shared" si="1254"/>
        <v>0</v>
      </c>
    </row>
    <row r="642" spans="5:77" outlineLevel="1">
      <c r="E642" t="s">
        <v>511</v>
      </c>
      <c r="F642" s="80" t="str">
        <f>+Assumptions!$G$8</f>
        <v>USD</v>
      </c>
      <c r="H642" s="32">
        <f t="shared" ref="H642" si="1255">+G656</f>
        <v>0</v>
      </c>
      <c r="I642" s="32">
        <f t="shared" ref="I642" si="1256">+H656</f>
        <v>0</v>
      </c>
      <c r="J642" s="32">
        <f>+I656</f>
        <v>0</v>
      </c>
      <c r="K642" s="32">
        <f t="shared" ref="K642" si="1257">+J656</f>
        <v>0</v>
      </c>
      <c r="L642" s="32">
        <f t="shared" ref="L642" si="1258">+K656</f>
        <v>0</v>
      </c>
      <c r="M642" s="32">
        <f t="shared" ref="M642" si="1259">+L656</f>
        <v>0</v>
      </c>
      <c r="N642" s="32">
        <f t="shared" ref="N642" si="1260">+M656</f>
        <v>0</v>
      </c>
      <c r="O642" s="32">
        <f t="shared" ref="O642" si="1261">+N656</f>
        <v>0</v>
      </c>
      <c r="P642" s="32">
        <f t="shared" ref="P642" si="1262">+O656</f>
        <v>0</v>
      </c>
      <c r="Q642" s="32">
        <f t="shared" ref="Q642" si="1263">+P656</f>
        <v>0</v>
      </c>
      <c r="R642" s="32">
        <f t="shared" ref="R642" si="1264">+Q656</f>
        <v>0</v>
      </c>
      <c r="S642" s="32">
        <f t="shared" ref="S642" si="1265">+R656</f>
        <v>0</v>
      </c>
      <c r="T642" s="32">
        <f t="shared" ref="T642" si="1266">+S656</f>
        <v>0</v>
      </c>
      <c r="U642" s="32">
        <f t="shared" ref="U642" si="1267">+T656</f>
        <v>0</v>
      </c>
      <c r="V642" s="32">
        <f t="shared" ref="V642" si="1268">+U656</f>
        <v>0</v>
      </c>
      <c r="W642" s="32">
        <f t="shared" ref="W642" si="1269">+V656</f>
        <v>0</v>
      </c>
      <c r="X642" s="32">
        <f t="shared" ref="X642" si="1270">+W656</f>
        <v>0</v>
      </c>
      <c r="Y642" s="32">
        <f t="shared" ref="Y642" si="1271">+X656</f>
        <v>0</v>
      </c>
      <c r="Z642" s="32">
        <f t="shared" ref="Z642" si="1272">+Y656</f>
        <v>0</v>
      </c>
      <c r="AA642" s="32">
        <f t="shared" ref="AA642" si="1273">+Z656</f>
        <v>0</v>
      </c>
      <c r="AB642" s="32">
        <f t="shared" ref="AB642" si="1274">+AA656</f>
        <v>0</v>
      </c>
      <c r="AC642" s="32">
        <f t="shared" ref="AC642" si="1275">+AB656</f>
        <v>0</v>
      </c>
      <c r="AD642" s="32">
        <f t="shared" ref="AD642" si="1276">+AC656</f>
        <v>0</v>
      </c>
      <c r="AE642" s="32">
        <f t="shared" ref="AE642" si="1277">+AD656</f>
        <v>0</v>
      </c>
      <c r="AF642" s="32">
        <f t="shared" ref="AF642" si="1278">+AE656</f>
        <v>0</v>
      </c>
      <c r="AG642" s="32">
        <f t="shared" ref="AG642" si="1279">+AF656</f>
        <v>0</v>
      </c>
      <c r="AH642" s="32">
        <f t="shared" ref="AH642" si="1280">+AG656</f>
        <v>0</v>
      </c>
      <c r="AI642" s="32">
        <f t="shared" ref="AI642" si="1281">+AH656</f>
        <v>0</v>
      </c>
      <c r="AJ642" s="32">
        <f t="shared" ref="AJ642" si="1282">+AI656</f>
        <v>0</v>
      </c>
      <c r="AK642" s="32">
        <f t="shared" ref="AK642" si="1283">+AJ656</f>
        <v>0</v>
      </c>
      <c r="AL642" s="32">
        <f t="shared" ref="AL642" si="1284">+AK656</f>
        <v>0</v>
      </c>
      <c r="AM642" s="32">
        <f t="shared" ref="AM642" si="1285">+AL656</f>
        <v>0</v>
      </c>
      <c r="AN642" s="32">
        <f t="shared" ref="AN642" si="1286">+AM656</f>
        <v>0</v>
      </c>
      <c r="AO642" s="32">
        <f t="shared" ref="AO642" si="1287">+AN656</f>
        <v>0</v>
      </c>
      <c r="AP642" s="32">
        <f t="shared" ref="AP642" si="1288">+AO656</f>
        <v>0</v>
      </c>
      <c r="AQ642" s="32">
        <f t="shared" ref="AQ642" si="1289">+AP656</f>
        <v>0</v>
      </c>
      <c r="AR642" s="32">
        <f t="shared" ref="AR642" si="1290">+AQ656</f>
        <v>0</v>
      </c>
      <c r="AS642" s="32">
        <f t="shared" ref="AS642" si="1291">+AR656</f>
        <v>0</v>
      </c>
      <c r="AT642" s="32">
        <f t="shared" ref="AT642" si="1292">+AS656</f>
        <v>0</v>
      </c>
      <c r="AU642" s="32">
        <f t="shared" ref="AU642" si="1293">+AT656</f>
        <v>0</v>
      </c>
      <c r="AV642" s="32">
        <f t="shared" ref="AV642" si="1294">+AU656</f>
        <v>0</v>
      </c>
      <c r="AW642" s="32">
        <f t="shared" ref="AW642" si="1295">+AV656</f>
        <v>0</v>
      </c>
      <c r="AX642" s="32">
        <f t="shared" ref="AX642" si="1296">+AW656</f>
        <v>0</v>
      </c>
      <c r="AY642" s="32">
        <f t="shared" ref="AY642" si="1297">+AX656</f>
        <v>0</v>
      </c>
      <c r="AZ642" s="32">
        <f t="shared" ref="AZ642" si="1298">+AY656</f>
        <v>0</v>
      </c>
      <c r="BA642" s="32">
        <f t="shared" ref="BA642" si="1299">+AZ656</f>
        <v>0</v>
      </c>
      <c r="BB642" s="32">
        <f t="shared" ref="BB642" si="1300">+BA656</f>
        <v>0</v>
      </c>
      <c r="BC642" s="32">
        <f t="shared" ref="BC642" si="1301">+BB656</f>
        <v>0</v>
      </c>
      <c r="BD642" s="32">
        <f t="shared" ref="BD642" si="1302">+BC656</f>
        <v>0</v>
      </c>
      <c r="BE642" s="32">
        <f t="shared" ref="BE642" si="1303">+BD656</f>
        <v>0</v>
      </c>
      <c r="BF642" s="32">
        <f t="shared" ref="BF642" si="1304">+BE656</f>
        <v>0</v>
      </c>
      <c r="BG642" s="32">
        <f t="shared" ref="BG642" si="1305">+BF656</f>
        <v>0</v>
      </c>
      <c r="BH642" s="32">
        <f t="shared" ref="BH642" si="1306">+BG656</f>
        <v>0</v>
      </c>
      <c r="BI642" s="32">
        <f t="shared" ref="BI642" si="1307">+BH656</f>
        <v>0</v>
      </c>
      <c r="BJ642" s="32">
        <f t="shared" ref="BJ642" si="1308">+BI656</f>
        <v>0</v>
      </c>
      <c r="BK642" s="32">
        <f t="shared" ref="BK642" si="1309">+BJ656</f>
        <v>0</v>
      </c>
      <c r="BL642" s="32">
        <f t="shared" ref="BL642" si="1310">+BK656</f>
        <v>0</v>
      </c>
      <c r="BM642" s="32">
        <f t="shared" ref="BM642" si="1311">+BL656</f>
        <v>0</v>
      </c>
      <c r="BN642" s="32">
        <f t="shared" ref="BN642" si="1312">+BM656</f>
        <v>0</v>
      </c>
      <c r="BO642" s="32">
        <f t="shared" ref="BO642" si="1313">+BN656</f>
        <v>0</v>
      </c>
      <c r="BP642" s="32">
        <f t="shared" ref="BP642" si="1314">+BO656</f>
        <v>0</v>
      </c>
      <c r="BQ642" s="32">
        <f t="shared" ref="BQ642" si="1315">+BP656</f>
        <v>0</v>
      </c>
      <c r="BR642" s="32">
        <f t="shared" ref="BR642" si="1316">+BQ656</f>
        <v>0</v>
      </c>
      <c r="BS642" s="32">
        <f t="shared" ref="BS642" si="1317">+BR656</f>
        <v>0</v>
      </c>
      <c r="BT642" s="32">
        <f t="shared" ref="BT642" si="1318">+BS656</f>
        <v>0</v>
      </c>
      <c r="BU642" s="32">
        <f t="shared" ref="BU642" si="1319">+BT656</f>
        <v>0</v>
      </c>
      <c r="BV642" s="32">
        <f t="shared" ref="BV642" si="1320">+BU656</f>
        <v>0</v>
      </c>
      <c r="BW642" s="32">
        <f t="shared" ref="BW642" si="1321">+BV656</f>
        <v>0</v>
      </c>
      <c r="BX642" s="32">
        <f t="shared" ref="BX642" si="1322">+BW656</f>
        <v>0</v>
      </c>
      <c r="BY642" s="32">
        <f t="shared" ref="BY642" si="1323">+BX656</f>
        <v>0</v>
      </c>
    </row>
    <row r="643" spans="5:77" outlineLevel="1">
      <c r="E643" t="s">
        <v>512</v>
      </c>
      <c r="F643" s="80" t="str">
        <f>+Assumptions!$G$8</f>
        <v>USD</v>
      </c>
      <c r="H643" s="33">
        <f ca="1">+H642*Assumptions!$H$85</f>
        <v>0</v>
      </c>
      <c r="I643" s="33">
        <f ca="1">+I642*Assumptions!$H$85</f>
        <v>0</v>
      </c>
      <c r="J643" s="33">
        <f ca="1">+J642*Assumptions!$H$85</f>
        <v>0</v>
      </c>
      <c r="K643" s="33">
        <f ca="1">+K642*Assumptions!$H$85</f>
        <v>0</v>
      </c>
      <c r="L643" s="33">
        <f ca="1">+L642*Assumptions!$H$85</f>
        <v>0</v>
      </c>
      <c r="M643" s="33">
        <f ca="1">+M642*Assumptions!$H$85</f>
        <v>0</v>
      </c>
      <c r="N643" s="33">
        <f ca="1">+N642*Assumptions!$H$85</f>
        <v>0</v>
      </c>
      <c r="O643" s="33">
        <f ca="1">+O642*Assumptions!$H$85</f>
        <v>0</v>
      </c>
      <c r="P643" s="33">
        <f ca="1">+P642*Assumptions!$H$85</f>
        <v>0</v>
      </c>
      <c r="Q643" s="33">
        <f ca="1">+Q642*Assumptions!$H$85</f>
        <v>0</v>
      </c>
      <c r="R643" s="33">
        <f ca="1">+R642*Assumptions!$H$85</f>
        <v>0</v>
      </c>
      <c r="S643" s="33">
        <f ca="1">+S642*Assumptions!$H$85</f>
        <v>0</v>
      </c>
      <c r="T643" s="33">
        <f ca="1">+T642*Assumptions!$H$85</f>
        <v>0</v>
      </c>
      <c r="U643" s="33">
        <f ca="1">+U642*Assumptions!$H$85</f>
        <v>0</v>
      </c>
      <c r="V643" s="33">
        <f ca="1">+V642*Assumptions!$H$85</f>
        <v>0</v>
      </c>
      <c r="W643" s="33">
        <f ca="1">+W642*Assumptions!$H$85</f>
        <v>0</v>
      </c>
      <c r="X643" s="33">
        <f ca="1">+X642*Assumptions!$H$85</f>
        <v>0</v>
      </c>
      <c r="Y643" s="33">
        <f ca="1">+Y642*Assumptions!$H$85</f>
        <v>0</v>
      </c>
      <c r="Z643" s="33">
        <f ca="1">+Z642*Assumptions!$H$85</f>
        <v>0</v>
      </c>
      <c r="AA643" s="33">
        <f ca="1">+AA642*Assumptions!$H$85</f>
        <v>0</v>
      </c>
      <c r="AB643" s="33">
        <f ca="1">+AB642*Assumptions!$H$85</f>
        <v>0</v>
      </c>
      <c r="AC643" s="33">
        <f ca="1">+AC642*Assumptions!$H$85</f>
        <v>0</v>
      </c>
      <c r="AD643" s="33">
        <f ca="1">+AD642*Assumptions!$H$85</f>
        <v>0</v>
      </c>
      <c r="AE643" s="33">
        <f ca="1">+AE642*Assumptions!$H$85</f>
        <v>0</v>
      </c>
      <c r="AF643" s="33">
        <f ca="1">+AF642*Assumptions!$H$85</f>
        <v>0</v>
      </c>
      <c r="AG643" s="33">
        <f ca="1">+AG642*Assumptions!$H$85</f>
        <v>0</v>
      </c>
      <c r="AH643" s="33">
        <f ca="1">+AH642*Assumptions!$H$85</f>
        <v>0</v>
      </c>
      <c r="AI643" s="33">
        <f ca="1">+AI642*Assumptions!$H$85</f>
        <v>0</v>
      </c>
      <c r="AJ643" s="33">
        <f ca="1">+AJ642*Assumptions!$H$85</f>
        <v>0</v>
      </c>
      <c r="AK643" s="33">
        <f ca="1">+AK642*Assumptions!$H$85</f>
        <v>0</v>
      </c>
      <c r="AL643" s="33">
        <f ca="1">+AL642*Assumptions!$H$85</f>
        <v>0</v>
      </c>
      <c r="AM643" s="33">
        <f ca="1">+AM642*Assumptions!$H$85</f>
        <v>0</v>
      </c>
      <c r="AN643" s="33">
        <f ca="1">+AN642*Assumptions!$H$85</f>
        <v>0</v>
      </c>
      <c r="AO643" s="33">
        <f ca="1">+AO642*Assumptions!$H$85</f>
        <v>0</v>
      </c>
      <c r="AP643" s="33">
        <f ca="1">+AP642*Assumptions!$H$85</f>
        <v>0</v>
      </c>
      <c r="AQ643" s="33">
        <f ca="1">+AQ642*Assumptions!$H$85</f>
        <v>0</v>
      </c>
      <c r="AR643" s="33">
        <f ca="1">+AR642*Assumptions!$H$85</f>
        <v>0</v>
      </c>
      <c r="AS643" s="33">
        <f ca="1">+AS642*Assumptions!$H$85</f>
        <v>0</v>
      </c>
      <c r="AT643" s="33">
        <f ca="1">+AT642*Assumptions!$H$85</f>
        <v>0</v>
      </c>
      <c r="AU643" s="33">
        <f ca="1">+AU642*Assumptions!$H$85</f>
        <v>0</v>
      </c>
      <c r="AV643" s="33">
        <f ca="1">+AV642*Assumptions!$H$85</f>
        <v>0</v>
      </c>
      <c r="AW643" s="33">
        <f ca="1">+AW642*Assumptions!$H$85</f>
        <v>0</v>
      </c>
      <c r="AX643" s="33">
        <f ca="1">+AX642*Assumptions!$H$85</f>
        <v>0</v>
      </c>
      <c r="AY643" s="33">
        <f ca="1">+AY642*Assumptions!$H$85</f>
        <v>0</v>
      </c>
      <c r="AZ643" s="33">
        <f ca="1">+AZ642*Assumptions!$H$85</f>
        <v>0</v>
      </c>
      <c r="BA643" s="33">
        <f ca="1">+BA642*Assumptions!$H$85</f>
        <v>0</v>
      </c>
      <c r="BB643" s="33">
        <f ca="1">+BB642*Assumptions!$H$85</f>
        <v>0</v>
      </c>
      <c r="BC643" s="33">
        <f ca="1">+BC642*Assumptions!$H$85</f>
        <v>0</v>
      </c>
      <c r="BD643" s="33">
        <f ca="1">+BD642*Assumptions!$H$85</f>
        <v>0</v>
      </c>
      <c r="BE643" s="33">
        <f ca="1">+BE642*Assumptions!$H$85</f>
        <v>0</v>
      </c>
      <c r="BF643" s="33">
        <f ca="1">+BF642*Assumptions!$H$85</f>
        <v>0</v>
      </c>
      <c r="BG643" s="33">
        <f ca="1">+BG642*Assumptions!$H$85</f>
        <v>0</v>
      </c>
      <c r="BH643" s="33">
        <f ca="1">+BH642*Assumptions!$H$85</f>
        <v>0</v>
      </c>
      <c r="BI643" s="33">
        <f ca="1">+BI642*Assumptions!$H$85</f>
        <v>0</v>
      </c>
      <c r="BJ643" s="33">
        <f ca="1">+BJ642*Assumptions!$H$85</f>
        <v>0</v>
      </c>
      <c r="BK643" s="33">
        <f ca="1">+BK642*Assumptions!$H$85</f>
        <v>0</v>
      </c>
      <c r="BL643" s="33">
        <f ca="1">+BL642*Assumptions!$H$85</f>
        <v>0</v>
      </c>
      <c r="BM643" s="33">
        <f ca="1">+BM642*Assumptions!$H$85</f>
        <v>0</v>
      </c>
      <c r="BN643" s="33">
        <f ca="1">+BN642*Assumptions!$H$85</f>
        <v>0</v>
      </c>
      <c r="BO643" s="33">
        <f ca="1">+BO642*Assumptions!$H$85</f>
        <v>0</v>
      </c>
      <c r="BP643" s="33">
        <f ca="1">+BP642*Assumptions!$H$85</f>
        <v>0</v>
      </c>
      <c r="BQ643" s="33">
        <f ca="1">+BQ642*Assumptions!$H$85</f>
        <v>0</v>
      </c>
      <c r="BR643" s="33">
        <f ca="1">+BR642*Assumptions!$H$85</f>
        <v>0</v>
      </c>
      <c r="BS643" s="33">
        <f ca="1">+BS642*Assumptions!$H$85</f>
        <v>0</v>
      </c>
      <c r="BT643" s="33">
        <f ca="1">+BT642*Assumptions!$H$85</f>
        <v>0</v>
      </c>
      <c r="BU643" s="33">
        <f ca="1">+BU642*Assumptions!$H$85</f>
        <v>0</v>
      </c>
      <c r="BV643" s="33">
        <f ca="1">+BV642*Assumptions!$H$85</f>
        <v>0</v>
      </c>
      <c r="BW643" s="33">
        <f ca="1">+BW642*Assumptions!$H$85</f>
        <v>0</v>
      </c>
      <c r="BX643" s="33">
        <f ca="1">+BX642*Assumptions!$H$85</f>
        <v>0</v>
      </c>
      <c r="BY643" s="33">
        <f ca="1">+BY642*Assumptions!$H$85</f>
        <v>0</v>
      </c>
    </row>
    <row r="644" spans="5:77" outlineLevel="1">
      <c r="E644" s="25" t="s">
        <v>513</v>
      </c>
      <c r="F644" s="81" t="str">
        <f>+Assumptions!$G$8</f>
        <v>USD</v>
      </c>
      <c r="G644" s="25"/>
      <c r="H644" s="34">
        <f>IF(SUM(H645:H654)=0,0,+SUM(H645:H654)-H643)</f>
        <v>0</v>
      </c>
      <c r="I644" s="34">
        <f t="shared" ref="I644:BT644" si="1324">IF(SUM(I645:I654)=0,0,+SUM(I645:I654)-I643)</f>
        <v>0</v>
      </c>
      <c r="J644" s="34">
        <f t="shared" si="1324"/>
        <v>0</v>
      </c>
      <c r="K644" s="34">
        <f t="shared" si="1324"/>
        <v>0</v>
      </c>
      <c r="L644" s="34">
        <f t="shared" si="1324"/>
        <v>0</v>
      </c>
      <c r="M644" s="34">
        <f t="shared" si="1324"/>
        <v>0</v>
      </c>
      <c r="N644" s="34">
        <f t="shared" si="1324"/>
        <v>0</v>
      </c>
      <c r="O644" s="34">
        <f t="shared" si="1324"/>
        <v>0</v>
      </c>
      <c r="P644" s="34">
        <f t="shared" si="1324"/>
        <v>0</v>
      </c>
      <c r="Q644" s="34">
        <f t="shared" si="1324"/>
        <v>0</v>
      </c>
      <c r="R644" s="34">
        <f t="shared" si="1324"/>
        <v>0</v>
      </c>
      <c r="S644" s="34">
        <f t="shared" si="1324"/>
        <v>0</v>
      </c>
      <c r="T644" s="34">
        <f t="shared" si="1324"/>
        <v>0</v>
      </c>
      <c r="U644" s="34">
        <f t="shared" si="1324"/>
        <v>0</v>
      </c>
      <c r="V644" s="34">
        <f t="shared" si="1324"/>
        <v>0</v>
      </c>
      <c r="W644" s="34">
        <f t="shared" si="1324"/>
        <v>0</v>
      </c>
      <c r="X644" s="34">
        <f t="shared" si="1324"/>
        <v>0</v>
      </c>
      <c r="Y644" s="34">
        <f t="shared" si="1324"/>
        <v>0</v>
      </c>
      <c r="Z644" s="34">
        <f t="shared" si="1324"/>
        <v>0</v>
      </c>
      <c r="AA644" s="34">
        <f t="shared" si="1324"/>
        <v>0</v>
      </c>
      <c r="AB644" s="34">
        <f t="shared" si="1324"/>
        <v>0</v>
      </c>
      <c r="AC644" s="34">
        <f t="shared" si="1324"/>
        <v>0</v>
      </c>
      <c r="AD644" s="34">
        <f t="shared" si="1324"/>
        <v>0</v>
      </c>
      <c r="AE644" s="34">
        <f t="shared" si="1324"/>
        <v>0</v>
      </c>
      <c r="AF644" s="34">
        <f t="shared" si="1324"/>
        <v>0</v>
      </c>
      <c r="AG644" s="34">
        <f t="shared" si="1324"/>
        <v>0</v>
      </c>
      <c r="AH644" s="34">
        <f t="shared" si="1324"/>
        <v>0</v>
      </c>
      <c r="AI644" s="34">
        <f t="shared" si="1324"/>
        <v>0</v>
      </c>
      <c r="AJ644" s="34">
        <f t="shared" si="1324"/>
        <v>0</v>
      </c>
      <c r="AK644" s="34">
        <f t="shared" si="1324"/>
        <v>0</v>
      </c>
      <c r="AL644" s="34">
        <f t="shared" si="1324"/>
        <v>0</v>
      </c>
      <c r="AM644" s="34">
        <f t="shared" si="1324"/>
        <v>0</v>
      </c>
      <c r="AN644" s="34">
        <f t="shared" si="1324"/>
        <v>0</v>
      </c>
      <c r="AO644" s="34">
        <f t="shared" si="1324"/>
        <v>0</v>
      </c>
      <c r="AP644" s="34">
        <f t="shared" si="1324"/>
        <v>0</v>
      </c>
      <c r="AQ644" s="34">
        <f t="shared" si="1324"/>
        <v>0</v>
      </c>
      <c r="AR644" s="34">
        <f t="shared" si="1324"/>
        <v>0</v>
      </c>
      <c r="AS644" s="34">
        <f t="shared" si="1324"/>
        <v>0</v>
      </c>
      <c r="AT644" s="34">
        <f t="shared" si="1324"/>
        <v>0</v>
      </c>
      <c r="AU644" s="34">
        <f t="shared" si="1324"/>
        <v>0</v>
      </c>
      <c r="AV644" s="34">
        <f t="shared" si="1324"/>
        <v>0</v>
      </c>
      <c r="AW644" s="34">
        <f t="shared" si="1324"/>
        <v>0</v>
      </c>
      <c r="AX644" s="34">
        <f t="shared" si="1324"/>
        <v>0</v>
      </c>
      <c r="AY644" s="34">
        <f t="shared" si="1324"/>
        <v>0</v>
      </c>
      <c r="AZ644" s="34">
        <f t="shared" si="1324"/>
        <v>0</v>
      </c>
      <c r="BA644" s="34">
        <f t="shared" si="1324"/>
        <v>0</v>
      </c>
      <c r="BB644" s="34">
        <f t="shared" si="1324"/>
        <v>0</v>
      </c>
      <c r="BC644" s="34">
        <f t="shared" si="1324"/>
        <v>0</v>
      </c>
      <c r="BD644" s="34">
        <f t="shared" si="1324"/>
        <v>0</v>
      </c>
      <c r="BE644" s="34">
        <f t="shared" si="1324"/>
        <v>0</v>
      </c>
      <c r="BF644" s="34">
        <f t="shared" si="1324"/>
        <v>0</v>
      </c>
      <c r="BG644" s="34">
        <f t="shared" si="1324"/>
        <v>0</v>
      </c>
      <c r="BH644" s="34">
        <f t="shared" si="1324"/>
        <v>0</v>
      </c>
      <c r="BI644" s="34">
        <f t="shared" si="1324"/>
        <v>0</v>
      </c>
      <c r="BJ644" s="34">
        <f t="shared" si="1324"/>
        <v>0</v>
      </c>
      <c r="BK644" s="34">
        <f t="shared" si="1324"/>
        <v>0</v>
      </c>
      <c r="BL644" s="34">
        <f t="shared" si="1324"/>
        <v>0</v>
      </c>
      <c r="BM644" s="34">
        <f t="shared" si="1324"/>
        <v>0</v>
      </c>
      <c r="BN644" s="34">
        <f t="shared" si="1324"/>
        <v>0</v>
      </c>
      <c r="BO644" s="34">
        <f t="shared" si="1324"/>
        <v>0</v>
      </c>
      <c r="BP644" s="34">
        <f t="shared" si="1324"/>
        <v>0</v>
      </c>
      <c r="BQ644" s="34">
        <f t="shared" si="1324"/>
        <v>0</v>
      </c>
      <c r="BR644" s="34">
        <f t="shared" si="1324"/>
        <v>0</v>
      </c>
      <c r="BS644" s="34">
        <f t="shared" si="1324"/>
        <v>0</v>
      </c>
      <c r="BT644" s="34">
        <f t="shared" si="1324"/>
        <v>0</v>
      </c>
      <c r="BU644" s="34">
        <f t="shared" ref="BU644:BY644" si="1325">IF(SUM(BU645:BU654)=0,0,+SUM(BU645:BU654)-BU643)</f>
        <v>0</v>
      </c>
      <c r="BV644" s="34">
        <f t="shared" si="1325"/>
        <v>0</v>
      </c>
      <c r="BW644" s="34">
        <f t="shared" si="1325"/>
        <v>0</v>
      </c>
      <c r="BX644" s="34">
        <f t="shared" si="1325"/>
        <v>0</v>
      </c>
      <c r="BY644" s="34">
        <f t="shared" si="1325"/>
        <v>0</v>
      </c>
    </row>
    <row r="645" spans="5:77" outlineLevel="1">
      <c r="E645" s="24" t="s">
        <v>514</v>
      </c>
      <c r="F645" s="80" t="str">
        <f>+Assumptions!$G$8</f>
        <v>USD</v>
      </c>
      <c r="G645" s="24"/>
      <c r="H645" s="39">
        <f>+IFERROR(-ABS(IF(EDATE(_xlfn.XLOOKUP(1,$H632:$BE632,$H$4:$BE$4),12*Assumptions!$H$87+12)=H$4,0,IF(G632=1,PMT(Assumptions!$H$85,Assumptions!$H$48,$C634),G645))),0)</f>
        <v>0</v>
      </c>
      <c r="I645" s="39">
        <f>+IFERROR(-ABS(IF(EDATE(_xlfn.XLOOKUP(1,$H632:$BE632,$H$4:$BE$4),12*Assumptions!$H$87+12)=I$4,0,IF(H632=1,PMT(Assumptions!$H$85,Assumptions!$H$48,$C634),H645))),0)</f>
        <v>0</v>
      </c>
      <c r="J645" s="39">
        <f>+IFERROR(-ABS(IF(EDATE(_xlfn.XLOOKUP(1,$H632:$BE632,$H$4:$BE$4),12*Assumptions!$H$87+12)=J$4,0,IF(I632=1,PMT(Assumptions!$H$85,Assumptions!$H$48,$C634),I645))),0)</f>
        <v>0</v>
      </c>
      <c r="K645" s="39">
        <f>+IFERROR(-ABS(IF(EDATE(_xlfn.XLOOKUP(1,$H632:$BE632,$H$4:$BE$4),12*Assumptions!$H$87+12)=K$4,0,IF(J632=1,PMT(Assumptions!$H$85,Assumptions!$H$48,$C634),J645))),0)</f>
        <v>0</v>
      </c>
      <c r="L645" s="39">
        <f>+IFERROR(-ABS(IF(EDATE(_xlfn.XLOOKUP(1,$H632:$BE632,$H$4:$BE$4),12*Assumptions!$H$87+12)=L$4,0,IF(K632=1,PMT(Assumptions!$H$85,Assumptions!$H$48,$C634),K645))),0)</f>
        <v>0</v>
      </c>
      <c r="M645" s="39">
        <f>+IFERROR(-ABS(IF(EDATE(_xlfn.XLOOKUP(1,$H632:$BE632,$H$4:$BE$4),12*Assumptions!$H$87+12)=M$4,0,IF(L632=1,PMT(Assumptions!$H$85,Assumptions!$H$48,$C634),L645))),0)</f>
        <v>0</v>
      </c>
      <c r="N645" s="39">
        <f>+IFERROR(-ABS(IF(EDATE(_xlfn.XLOOKUP(1,$H632:$BE632,$H$4:$BE$4),12*Assumptions!$H$87+12)=N$4,0,IF(M632=1,PMT(Assumptions!$H$85,Assumptions!$H$48,$C634),M645))),0)</f>
        <v>0</v>
      </c>
      <c r="O645" s="39">
        <f>+IFERROR(-ABS(IF(EDATE(_xlfn.XLOOKUP(1,$H632:$BE632,$H$4:$BE$4),12*Assumptions!$H$87+12)=O$4,0,IF(N632=1,PMT(Assumptions!$H$85,Assumptions!$H$48,$C634),N645))),0)</f>
        <v>0</v>
      </c>
      <c r="P645" s="39">
        <f>+IFERROR(-ABS(IF(EDATE(_xlfn.XLOOKUP(1,$H632:$BE632,$H$4:$BE$4),12*Assumptions!$H$87+12)=P$4,0,IF(O632=1,PMT(Assumptions!$H$85,Assumptions!$H$48,$C634),O645))),0)</f>
        <v>0</v>
      </c>
      <c r="Q645" s="39">
        <f>+IFERROR(-ABS(IF(EDATE(_xlfn.XLOOKUP(1,$H632:$BE632,$H$4:$BE$4),12*Assumptions!$H$87+12)=Q$4,0,IF(P632=1,PMT(Assumptions!$H$85,Assumptions!$H$48,$C634),P645))),0)</f>
        <v>0</v>
      </c>
      <c r="R645" s="39">
        <f>+IFERROR(-ABS(IF(EDATE(_xlfn.XLOOKUP(1,$H632:$BE632,$H$4:$BE$4),12*Assumptions!$H$87+12)=R$4,0,IF(Q632=1,PMT(Assumptions!$H$85,Assumptions!$H$48,$C634),Q645))),0)</f>
        <v>0</v>
      </c>
      <c r="S645" s="39">
        <f>+IFERROR(-ABS(IF(EDATE(_xlfn.XLOOKUP(1,$H632:$BE632,$H$4:$BE$4),12*Assumptions!$H$87+12)=S$4,0,IF(R632=1,PMT(Assumptions!$H$85,Assumptions!$H$48,$C634),R645))),0)</f>
        <v>0</v>
      </c>
      <c r="T645" s="39">
        <f>+IFERROR(-ABS(IF(EDATE(_xlfn.XLOOKUP(1,$H632:$BE632,$H$4:$BE$4),12*Assumptions!$H$87+12)=T$4,0,IF(S632=1,PMT(Assumptions!$H$85,Assumptions!$H$48,$C634),S645))),0)</f>
        <v>0</v>
      </c>
      <c r="U645" s="39">
        <f>+IFERROR(-ABS(IF(EDATE(_xlfn.XLOOKUP(1,$H632:$BE632,$H$4:$BE$4),12*Assumptions!$H$87+12)=U$4,0,IF(T632=1,PMT(Assumptions!$H$85,Assumptions!$H$48,$C634),T645))),0)</f>
        <v>0</v>
      </c>
      <c r="V645" s="39">
        <f>+IFERROR(-ABS(IF(EDATE(_xlfn.XLOOKUP(1,$H632:$BE632,$H$4:$BE$4),12*Assumptions!$H$87+12)=V$4,0,IF(U632=1,PMT(Assumptions!$H$85,Assumptions!$H$48,$C634),U645))),0)</f>
        <v>0</v>
      </c>
      <c r="W645" s="39">
        <f>+IFERROR(-ABS(IF(EDATE(_xlfn.XLOOKUP(1,$H632:$BE632,$H$4:$BE$4),12*Assumptions!$H$87+12)=W$4,0,IF(V632=1,PMT(Assumptions!$H$85,Assumptions!$H$48,$C634),V645))),0)</f>
        <v>0</v>
      </c>
      <c r="X645" s="39">
        <f>+IFERROR(-ABS(IF(EDATE(_xlfn.XLOOKUP(1,$H632:$BE632,$H$4:$BE$4),12*Assumptions!$H$87+12)=X$4,0,IF(W632=1,PMT(Assumptions!$H$85,Assumptions!$H$48,$C634),W645))),0)</f>
        <v>0</v>
      </c>
      <c r="Y645" s="39">
        <f>+IFERROR(-ABS(IF(EDATE(_xlfn.XLOOKUP(1,$H632:$BE632,$H$4:$BE$4),12*Assumptions!$H$87+12)=Y$4,0,IF(X632=1,PMT(Assumptions!$H$85,Assumptions!$H$48,$C634),X645))),0)</f>
        <v>0</v>
      </c>
      <c r="Z645" s="39">
        <f>+IFERROR(-ABS(IF(EDATE(_xlfn.XLOOKUP(1,$H632:$BE632,$H$4:$BE$4),12*Assumptions!$H$87+12)=Z$4,0,IF(Y632=1,PMT(Assumptions!$H$85,Assumptions!$H$48,$C634),Y645))),0)</f>
        <v>0</v>
      </c>
      <c r="AA645" s="39">
        <f>+IFERROR(-ABS(IF(EDATE(_xlfn.XLOOKUP(1,$H632:$BE632,$H$4:$BE$4),12*Assumptions!$H$87+12)=AA$4,0,IF(Z632=1,PMT(Assumptions!$H$85,Assumptions!$H$48,$C634),Z645))),0)</f>
        <v>0</v>
      </c>
      <c r="AB645" s="39">
        <f>+IFERROR(-ABS(IF(EDATE(_xlfn.XLOOKUP(1,$H632:$BE632,$H$4:$BE$4),12*Assumptions!$H$87+12)=AB$4,0,IF(AA632=1,PMT(Assumptions!$H$85,Assumptions!$H$48,$C634),AA645))),0)</f>
        <v>0</v>
      </c>
      <c r="AC645" s="39">
        <f>+IFERROR(-ABS(IF(EDATE(_xlfn.XLOOKUP(1,$H632:$BE632,$H$4:$BE$4),12*Assumptions!$H$87+12)=AC$4,0,IF(AB632=1,PMT(Assumptions!$H$85,Assumptions!$H$48,$C634),AB645))),0)</f>
        <v>0</v>
      </c>
      <c r="AD645" s="39">
        <f>+IFERROR(-ABS(IF(EDATE(_xlfn.XLOOKUP(1,$H632:$BE632,$H$4:$BE$4),12*Assumptions!$H$87+12)=AD$4,0,IF(AC632=1,PMT(Assumptions!$H$85,Assumptions!$H$48,$C634),AC645))),0)</f>
        <v>0</v>
      </c>
      <c r="AE645" s="39">
        <f>+IFERROR(-ABS(IF(EDATE(_xlfn.XLOOKUP(1,$H632:$BE632,$H$4:$BE$4),12*Assumptions!$H$87+12)=AE$4,0,IF(AD632=1,PMT(Assumptions!$H$85,Assumptions!$H$48,$C634),AD645))),0)</f>
        <v>0</v>
      </c>
      <c r="AF645" s="39">
        <f>+IFERROR(-ABS(IF(EDATE(_xlfn.XLOOKUP(1,$H632:$BE632,$H$4:$BE$4),12*Assumptions!$H$87+12)=AF$4,0,IF(AE632=1,PMT(Assumptions!$H$85,Assumptions!$H$48,$C634),AE645))),0)</f>
        <v>0</v>
      </c>
      <c r="AG645" s="39">
        <f>+IFERROR(-ABS(IF(EDATE(_xlfn.XLOOKUP(1,$H632:$BE632,$H$4:$BE$4),12*Assumptions!$H$87+12)=AG$4,0,IF(AF632=1,PMT(Assumptions!$H$85,Assumptions!$H$48,$C634),AF645))),0)</f>
        <v>0</v>
      </c>
      <c r="AH645" s="39">
        <f>+IFERROR(-ABS(IF(EDATE(_xlfn.XLOOKUP(1,$H632:$BE632,$H$4:$BE$4),12*Assumptions!$H$87+12)=AH$4,0,IF(AG632=1,PMT(Assumptions!$H$85,Assumptions!$H$48,$C634),AG645))),0)</f>
        <v>0</v>
      </c>
      <c r="AI645" s="39">
        <f>+IFERROR(-ABS(IF(EDATE(_xlfn.XLOOKUP(1,$H632:$BE632,$H$4:$BE$4),12*Assumptions!$H$87+12)=AI$4,0,IF(AH632=1,PMT(Assumptions!$H$85,Assumptions!$H$48,$C634),AH645))),0)</f>
        <v>0</v>
      </c>
      <c r="AJ645" s="39">
        <f>+IFERROR(-ABS(IF(EDATE(_xlfn.XLOOKUP(1,$H632:$BE632,$H$4:$BE$4),12*Assumptions!$H$87+12)=AJ$4,0,IF(AI632=1,PMT(Assumptions!$H$85,Assumptions!$H$48,$C634),AI645))),0)</f>
        <v>0</v>
      </c>
      <c r="AK645" s="39">
        <f>+IFERROR(-ABS(IF(EDATE(_xlfn.XLOOKUP(1,$H632:$BE632,$H$4:$BE$4),12*Assumptions!$H$87+12)=AK$4,0,IF(AJ632=1,PMT(Assumptions!$H$85,Assumptions!$H$48,$C634),AJ645))),0)</f>
        <v>0</v>
      </c>
      <c r="AL645" s="39">
        <f>+IFERROR(-ABS(IF(EDATE(_xlfn.XLOOKUP(1,$H632:$BE632,$H$4:$BE$4),12*Assumptions!$H$87+12)=AL$4,0,IF(AK632=1,PMT(Assumptions!$H$85,Assumptions!$H$48,$C634),AK645))),0)</f>
        <v>0</v>
      </c>
      <c r="AM645" s="39">
        <f>+IFERROR(-ABS(IF(EDATE(_xlfn.XLOOKUP(1,$H632:$BE632,$H$4:$BE$4),12*Assumptions!$H$87+12)=AM$4,0,IF(AL632=1,PMT(Assumptions!$H$85,Assumptions!$H$48,$C634),AL645))),0)</f>
        <v>0</v>
      </c>
      <c r="AN645" s="39">
        <f>+IFERROR(-ABS(IF(EDATE(_xlfn.XLOOKUP(1,$H632:$BE632,$H$4:$BE$4),12*Assumptions!$H$87+12)=AN$4,0,IF(AM632=1,PMT(Assumptions!$H$85,Assumptions!$H$48,$C634),AM645))),0)</f>
        <v>0</v>
      </c>
      <c r="AO645" s="39">
        <f>+IFERROR(-ABS(IF(EDATE(_xlfn.XLOOKUP(1,$H632:$BE632,$H$4:$BE$4),12*Assumptions!$H$87+12)=AO$4,0,IF(AN632=1,PMT(Assumptions!$H$85,Assumptions!$H$48,$C634),AN645))),0)</f>
        <v>0</v>
      </c>
      <c r="AP645" s="39">
        <f>+IFERROR(-ABS(IF(EDATE(_xlfn.XLOOKUP(1,$H632:$BE632,$H$4:$BE$4),12*Assumptions!$H$87+12)=AP$4,0,IF(AO632=1,PMT(Assumptions!$H$85,Assumptions!$H$48,$C634),AO645))),0)</f>
        <v>0</v>
      </c>
      <c r="AQ645" s="39">
        <f>+IFERROR(-ABS(IF(EDATE(_xlfn.XLOOKUP(1,$H632:$BE632,$H$4:$BE$4),12*Assumptions!$H$87+12)=AQ$4,0,IF(AP632=1,PMT(Assumptions!$H$85,Assumptions!$H$48,$C634),AP645))),0)</f>
        <v>0</v>
      </c>
      <c r="AR645" s="39">
        <f>+IFERROR(-ABS(IF(EDATE(_xlfn.XLOOKUP(1,$H632:$BE632,$H$4:$BE$4),12*Assumptions!$H$87+12)=AR$4,0,IF(AQ632=1,PMT(Assumptions!$H$85,Assumptions!$H$48,$C634),AQ645))),0)</f>
        <v>0</v>
      </c>
      <c r="AS645" s="39">
        <f>+IFERROR(-ABS(IF(EDATE(_xlfn.XLOOKUP(1,$H632:$BE632,$H$4:$BE$4),12*Assumptions!$H$87+12)=AS$4,0,IF(AR632=1,PMT(Assumptions!$H$85,Assumptions!$H$48,$C634),AR645))),0)</f>
        <v>0</v>
      </c>
      <c r="AT645" s="39">
        <f>+IFERROR(-ABS(IF(EDATE(_xlfn.XLOOKUP(1,$H632:$BE632,$H$4:$BE$4),12*Assumptions!$H$87+12)=AT$4,0,IF(AS632=1,PMT(Assumptions!$H$85,Assumptions!$H$48,$C634),AS645))),0)</f>
        <v>0</v>
      </c>
      <c r="AU645" s="39">
        <f>+IFERROR(-ABS(IF(EDATE(_xlfn.XLOOKUP(1,$H632:$BE632,$H$4:$BE$4),12*Assumptions!$H$87+12)=AU$4,0,IF(AT632=1,PMT(Assumptions!$H$85,Assumptions!$H$48,$C634),AT645))),0)</f>
        <v>0</v>
      </c>
      <c r="AV645" s="39">
        <f>+IFERROR(-ABS(IF(EDATE(_xlfn.XLOOKUP(1,$H632:$BE632,$H$4:$BE$4),12*Assumptions!$H$87+12)=AV$4,0,IF(AU632=1,PMT(Assumptions!$H$85,Assumptions!$H$48,$C634),AU645))),0)</f>
        <v>0</v>
      </c>
      <c r="AW645" s="39">
        <f>+IFERROR(-ABS(IF(EDATE(_xlfn.XLOOKUP(1,$H632:$BE632,$H$4:$BE$4),12*Assumptions!$H$87+12)=AW$4,0,IF(AV632=1,PMT(Assumptions!$H$85,Assumptions!$H$48,$C634),AV645))),0)</f>
        <v>0</v>
      </c>
      <c r="AX645" s="39">
        <f>+IFERROR(-ABS(IF(EDATE(_xlfn.XLOOKUP(1,$H632:$BE632,$H$4:$BE$4),12*Assumptions!$H$87+12)=AX$4,0,IF(AW632=1,PMT(Assumptions!$H$85,Assumptions!$H$48,$C634),AW645))),0)</f>
        <v>0</v>
      </c>
      <c r="AY645" s="39">
        <f>+IFERROR(-ABS(IF(EDATE(_xlfn.XLOOKUP(1,$H632:$BE632,$H$4:$BE$4),12*Assumptions!$H$87+12)=AY$4,0,IF(AX632=1,PMT(Assumptions!$H$85,Assumptions!$H$48,$C634),AX645))),0)</f>
        <v>0</v>
      </c>
      <c r="AZ645" s="39">
        <f>+IFERROR(-ABS(IF(EDATE(_xlfn.XLOOKUP(1,$H632:$BE632,$H$4:$BE$4),12*Assumptions!$H$87+12)=AZ$4,0,IF(AY632=1,PMT(Assumptions!$H$85,Assumptions!$H$48,$C634),AY645))),0)</f>
        <v>0</v>
      </c>
      <c r="BA645" s="39">
        <f>+IFERROR(-ABS(IF(EDATE(_xlfn.XLOOKUP(1,$H632:$BE632,$H$4:$BE$4),12*Assumptions!$H$87+12)=BA$4,0,IF(AZ632=1,PMT(Assumptions!$H$85,Assumptions!$H$48,$C634),AZ645))),0)</f>
        <v>0</v>
      </c>
      <c r="BB645" s="39">
        <f>+IFERROR(-ABS(IF(EDATE(_xlfn.XLOOKUP(1,$H632:$BE632,$H$4:$BE$4),12*Assumptions!$H$87+12)=BB$4,0,IF(BA632=1,PMT(Assumptions!$H$85,Assumptions!$H$48,$C634),BA645))),0)</f>
        <v>0</v>
      </c>
      <c r="BC645" s="39">
        <f>+IFERROR(-ABS(IF(EDATE(_xlfn.XLOOKUP(1,$H632:$BE632,$H$4:$BE$4),12*Assumptions!$H$87+12)=BC$4,0,IF(BB632=1,PMT(Assumptions!$H$85,Assumptions!$H$48,$C634),BB645))),0)</f>
        <v>0</v>
      </c>
      <c r="BD645" s="39">
        <f>+IFERROR(-ABS(IF(EDATE(_xlfn.XLOOKUP(1,$H632:$BE632,$H$4:$BE$4),12*Assumptions!$H$87+12)=BD$4,0,IF(BC632=1,PMT(Assumptions!$H$85,Assumptions!$H$48,$C634),BC645))),0)</f>
        <v>0</v>
      </c>
      <c r="BE645" s="39">
        <f>+IFERROR(-ABS(IF(EDATE(_xlfn.XLOOKUP(1,$H632:$BE632,$H$4:$BE$4),12*Assumptions!$H$87+12)=BE$4,0,IF(BD632=1,PMT(Assumptions!$H$85,Assumptions!$H$48,$C634),BD645))),0)</f>
        <v>0</v>
      </c>
      <c r="BF645" s="39">
        <f>+IFERROR(-ABS(IF(EDATE(_xlfn.XLOOKUP(1,$H632:$BE632,$H$4:$BE$4),12*Assumptions!$H$87+12)=BF$4,0,IF(BE632=1,PMT(Assumptions!$H$85,Assumptions!$H$48,$C634),BE645))),0)</f>
        <v>0</v>
      </c>
      <c r="BG645" s="39">
        <f>+IFERROR(-ABS(IF(EDATE(_xlfn.XLOOKUP(1,$H632:$BE632,$H$4:$BE$4),12*Assumptions!$H$87+12)=BG$4,0,IF(BF632=1,PMT(Assumptions!$H$85,Assumptions!$H$48,$C634),BF645))),0)</f>
        <v>0</v>
      </c>
      <c r="BH645" s="39">
        <f>+IFERROR(-ABS(IF(EDATE(_xlfn.XLOOKUP(1,$H632:$BE632,$H$4:$BE$4),12*Assumptions!$H$87+12)=BH$4,0,IF(BG632=1,PMT(Assumptions!$H$85,Assumptions!$H$48,$C634),BG645))),0)</f>
        <v>0</v>
      </c>
      <c r="BI645" s="39">
        <f>+IFERROR(-ABS(IF(EDATE(_xlfn.XLOOKUP(1,$H632:$BE632,$H$4:$BE$4),12*Assumptions!$H$87+12)=BI$4,0,IF(BH632=1,PMT(Assumptions!$H$85,Assumptions!$H$48,$C634),BH645))),0)</f>
        <v>0</v>
      </c>
      <c r="BJ645" s="39">
        <f>+IFERROR(-ABS(IF(EDATE(_xlfn.XLOOKUP(1,$H632:$BE632,$H$4:$BE$4),12*Assumptions!$H$87+12)=BJ$4,0,IF(BI632=1,PMT(Assumptions!$H$85,Assumptions!$H$48,$C634),BI645))),0)</f>
        <v>0</v>
      </c>
      <c r="BK645" s="39">
        <f>+IFERROR(-ABS(IF(EDATE(_xlfn.XLOOKUP(1,$H632:$BE632,$H$4:$BE$4),12*Assumptions!$H$87+12)=BK$4,0,IF(BJ632=1,PMT(Assumptions!$H$85,Assumptions!$H$48,$C634),BJ645))),0)</f>
        <v>0</v>
      </c>
      <c r="BL645" s="39">
        <f>+IFERROR(-ABS(IF(EDATE(_xlfn.XLOOKUP(1,$H632:$BE632,$H$4:$BE$4),12*Assumptions!$H$87+12)=BL$4,0,IF(BK632=1,PMT(Assumptions!$H$85,Assumptions!$H$48,$C634),BK645))),0)</f>
        <v>0</v>
      </c>
      <c r="BM645" s="39">
        <f>+IFERROR(-ABS(IF(EDATE(_xlfn.XLOOKUP(1,$H632:$BE632,$H$4:$BE$4),12*Assumptions!$H$87+12)=BM$4,0,IF(BL632=1,PMT(Assumptions!$H$85,Assumptions!$H$48,$C634),BL645))),0)</f>
        <v>0</v>
      </c>
      <c r="BN645" s="39">
        <f>+IFERROR(-ABS(IF(EDATE(_xlfn.XLOOKUP(1,$H632:$BE632,$H$4:$BE$4),12*Assumptions!$H$87+12)=BN$4,0,IF(BM632=1,PMT(Assumptions!$H$85,Assumptions!$H$48,$C634),BM645))),0)</f>
        <v>0</v>
      </c>
      <c r="BO645" s="39">
        <f>+IFERROR(-ABS(IF(EDATE(_xlfn.XLOOKUP(1,$H632:$BE632,$H$4:$BE$4),12*Assumptions!$H$87+12)=BO$4,0,IF(BN632=1,PMT(Assumptions!$H$85,Assumptions!$H$48,$C634),BN645))),0)</f>
        <v>0</v>
      </c>
      <c r="BP645" s="39">
        <f>+IFERROR(-ABS(IF(EDATE(_xlfn.XLOOKUP(1,$H632:$BE632,$H$4:$BE$4),12*Assumptions!$H$87+12)=BP$4,0,IF(BO632=1,PMT(Assumptions!$H$85,Assumptions!$H$48,$C634),BO645))),0)</f>
        <v>0</v>
      </c>
      <c r="BQ645" s="39">
        <f>+IFERROR(-ABS(IF(EDATE(_xlfn.XLOOKUP(1,$H632:$BE632,$H$4:$BE$4),12*Assumptions!$H$87+12)=BQ$4,0,IF(BP632=1,PMT(Assumptions!$H$85,Assumptions!$H$48,$C634),BP645))),0)</f>
        <v>0</v>
      </c>
      <c r="BR645" s="39">
        <f>+IFERROR(-ABS(IF(EDATE(_xlfn.XLOOKUP(1,$H632:$BE632,$H$4:$BE$4),12*Assumptions!$H$87+12)=BR$4,0,IF(BQ632=1,PMT(Assumptions!$H$85,Assumptions!$H$48,$C634),BQ645))),0)</f>
        <v>0</v>
      </c>
      <c r="BS645" s="39">
        <f>+IFERROR(-ABS(IF(EDATE(_xlfn.XLOOKUP(1,$H632:$BE632,$H$4:$BE$4),12*Assumptions!$H$87+12)=BS$4,0,IF(BR632=1,PMT(Assumptions!$H$85,Assumptions!$H$48,$C634),BR645))),0)</f>
        <v>0</v>
      </c>
      <c r="BT645" s="39">
        <f>+IFERROR(-ABS(IF(EDATE(_xlfn.XLOOKUP(1,$H632:$BE632,$H$4:$BE$4),12*Assumptions!$H$87+12)=BT$4,0,IF(BS632=1,PMT(Assumptions!$H$85,Assumptions!$H$48,$C634),BS645))),0)</f>
        <v>0</v>
      </c>
      <c r="BU645" s="39">
        <f>+IFERROR(-ABS(IF(EDATE(_xlfn.XLOOKUP(1,$H632:$BE632,$H$4:$BE$4),12*Assumptions!$H$87+12)=BU$4,0,IF(BT632=1,PMT(Assumptions!$H$85,Assumptions!$H$48,$C634),BT645))),0)</f>
        <v>0</v>
      </c>
      <c r="BV645" s="39">
        <f>+IFERROR(-ABS(IF(EDATE(_xlfn.XLOOKUP(1,$H632:$BE632,$H$4:$BE$4),12*Assumptions!$H$87+12)=BV$4,0,IF(BU632=1,PMT(Assumptions!$H$85,Assumptions!$H$48,$C634),BU645))),0)</f>
        <v>0</v>
      </c>
      <c r="BW645" s="39">
        <f>+IFERROR(-ABS(IF(EDATE(_xlfn.XLOOKUP(1,$H632:$BE632,$H$4:$BE$4),12*Assumptions!$H$87+12)=BW$4,0,IF(BV632=1,PMT(Assumptions!$H$85,Assumptions!$H$48,$C634),BV645))),0)</f>
        <v>0</v>
      </c>
      <c r="BX645" s="39">
        <f>+IFERROR(-ABS(IF(EDATE(_xlfn.XLOOKUP(1,$H632:$BE632,$H$4:$BE$4),12*Assumptions!$H$87+12)=BX$4,0,IF(BW632=1,PMT(Assumptions!$H$85,Assumptions!$H$48,$C634),BW645))),0)</f>
        <v>0</v>
      </c>
      <c r="BY645" s="39">
        <f>+IFERROR(-ABS(IF(EDATE(_xlfn.XLOOKUP(1,$H632:$BE632,$H$4:$BE$4),12*Assumptions!$H$87+12)=BY$4,0,IF(BX632=1,PMT(Assumptions!$H$85,Assumptions!$H$48,$C634),BX645))),0)</f>
        <v>0</v>
      </c>
    </row>
    <row r="646" spans="5:77" outlineLevel="1">
      <c r="E646" s="24" t="s">
        <v>515</v>
      </c>
      <c r="F646" s="80" t="str">
        <f>+Assumptions!$G$8</f>
        <v>USD</v>
      </c>
      <c r="G646" s="24"/>
      <c r="H646" s="39">
        <f>+IFERROR(-ABS(IF(EDATE(_xlfn.XLOOKUP(1,$H633:$BE633,$H$4:$BE$4),12*Assumptions!$H$87+12)=H$4,0,IF(G633=1,PMT(Assumptions!$H$85,Assumptions!$H$48,$C635),G646))),0)</f>
        <v>0</v>
      </c>
      <c r="I646" s="39">
        <f>+IFERROR(-ABS(IF(EDATE(_xlfn.XLOOKUP(1,$H633:$BE633,$H$4:$BE$4),12*Assumptions!$H$87+12)=I$4,0,IF(H633=1,PMT(Assumptions!$H$85,Assumptions!$H$48,$C635),H646))),0)</f>
        <v>0</v>
      </c>
      <c r="J646" s="39">
        <f>+IFERROR(-ABS(IF(EDATE(_xlfn.XLOOKUP(1,$H633:$BE633,$H$4:$BE$4),12*Assumptions!$H$87+12)=J$4,0,IF(I633=1,PMT(Assumptions!$H$85,Assumptions!$H$48,$C635),I646))),0)</f>
        <v>0</v>
      </c>
      <c r="K646" s="39">
        <f>+IFERROR(-ABS(IF(EDATE(_xlfn.XLOOKUP(1,$H633:$BE633,$H$4:$BE$4),12*Assumptions!$H$87+12)=K$4,0,IF(J633=1,PMT(Assumptions!$H$85,Assumptions!$H$48,$C635),J646))),0)</f>
        <v>0</v>
      </c>
      <c r="L646" s="39">
        <f>+IFERROR(-ABS(IF(EDATE(_xlfn.XLOOKUP(1,$H633:$BE633,$H$4:$BE$4),12*Assumptions!$H$87+12)=L$4,0,IF(K633=1,PMT(Assumptions!$H$85,Assumptions!$H$48,$C635),K646))),0)</f>
        <v>0</v>
      </c>
      <c r="M646" s="39">
        <f>+IFERROR(-ABS(IF(EDATE(_xlfn.XLOOKUP(1,$H633:$BE633,$H$4:$BE$4),12*Assumptions!$H$87+12)=M$4,0,IF(L633=1,PMT(Assumptions!$H$85,Assumptions!$H$48,$C635),L646))),0)</f>
        <v>0</v>
      </c>
      <c r="N646" s="39">
        <f>+IFERROR(-ABS(IF(EDATE(_xlfn.XLOOKUP(1,$H633:$BE633,$H$4:$BE$4),12*Assumptions!$H$87+12)=N$4,0,IF(M633=1,PMT(Assumptions!$H$85,Assumptions!$H$48,$C635),M646))),0)</f>
        <v>0</v>
      </c>
      <c r="O646" s="39">
        <f>+IFERROR(-ABS(IF(EDATE(_xlfn.XLOOKUP(1,$H633:$BE633,$H$4:$BE$4),12*Assumptions!$H$87+12)=O$4,0,IF(N633=1,PMT(Assumptions!$H$85,Assumptions!$H$48,$C635),N646))),0)</f>
        <v>0</v>
      </c>
      <c r="P646" s="39">
        <f>+IFERROR(-ABS(IF(EDATE(_xlfn.XLOOKUP(1,$H633:$BE633,$H$4:$BE$4),12*Assumptions!$H$87+12)=P$4,0,IF(O633=1,PMT(Assumptions!$H$85,Assumptions!$H$48,$C635),O646))),0)</f>
        <v>0</v>
      </c>
      <c r="Q646" s="39">
        <f>+IFERROR(-ABS(IF(EDATE(_xlfn.XLOOKUP(1,$H633:$BE633,$H$4:$BE$4),12*Assumptions!$H$87+12)=Q$4,0,IF(P633=1,PMT(Assumptions!$H$85,Assumptions!$H$48,$C635),P646))),0)</f>
        <v>0</v>
      </c>
      <c r="R646" s="39">
        <f>+IFERROR(-ABS(IF(EDATE(_xlfn.XLOOKUP(1,$H633:$BE633,$H$4:$BE$4),12*Assumptions!$H$87+12)=R$4,0,IF(Q633=1,PMT(Assumptions!$H$85,Assumptions!$H$48,$C635),Q646))),0)</f>
        <v>0</v>
      </c>
      <c r="S646" s="39">
        <f>+IFERROR(-ABS(IF(EDATE(_xlfn.XLOOKUP(1,$H633:$BE633,$H$4:$BE$4),12*Assumptions!$H$87+12)=S$4,0,IF(R633=1,PMT(Assumptions!$H$85,Assumptions!$H$48,$C635),R646))),0)</f>
        <v>0</v>
      </c>
      <c r="T646" s="39">
        <f>+IFERROR(-ABS(IF(EDATE(_xlfn.XLOOKUP(1,$H633:$BE633,$H$4:$BE$4),12*Assumptions!$H$87+12)=T$4,0,IF(S633=1,PMT(Assumptions!$H$85,Assumptions!$H$48,$C635),S646))),0)</f>
        <v>0</v>
      </c>
      <c r="U646" s="39">
        <f>+IFERROR(-ABS(IF(EDATE(_xlfn.XLOOKUP(1,$H633:$BE633,$H$4:$BE$4),12*Assumptions!$H$87+12)=U$4,0,IF(T633=1,PMT(Assumptions!$H$85,Assumptions!$H$48,$C635),T646))),0)</f>
        <v>0</v>
      </c>
      <c r="V646" s="39">
        <f>+IFERROR(-ABS(IF(EDATE(_xlfn.XLOOKUP(1,$H633:$BE633,$H$4:$BE$4),12*Assumptions!$H$87+12)=V$4,0,IF(U633=1,PMT(Assumptions!$H$85,Assumptions!$H$48,$C635),U646))),0)</f>
        <v>0</v>
      </c>
      <c r="W646" s="39">
        <f>+IFERROR(-ABS(IF(EDATE(_xlfn.XLOOKUP(1,$H633:$BE633,$H$4:$BE$4),12*Assumptions!$H$87+12)=W$4,0,IF(V633=1,PMT(Assumptions!$H$85,Assumptions!$H$48,$C635),V646))),0)</f>
        <v>0</v>
      </c>
      <c r="X646" s="39">
        <f>+IFERROR(-ABS(IF(EDATE(_xlfn.XLOOKUP(1,$H633:$BE633,$H$4:$BE$4),12*Assumptions!$H$87+12)=X$4,0,IF(W633=1,PMT(Assumptions!$H$85,Assumptions!$H$48,$C635),W646))),0)</f>
        <v>0</v>
      </c>
      <c r="Y646" s="39">
        <f>+IFERROR(-ABS(IF(EDATE(_xlfn.XLOOKUP(1,$H633:$BE633,$H$4:$BE$4),12*Assumptions!$H$87+12)=Y$4,0,IF(X633=1,PMT(Assumptions!$H$85,Assumptions!$H$48,$C635),X646))),0)</f>
        <v>0</v>
      </c>
      <c r="Z646" s="39">
        <f>+IFERROR(-ABS(IF(EDATE(_xlfn.XLOOKUP(1,$H633:$BE633,$H$4:$BE$4),12*Assumptions!$H$87+12)=Z$4,0,IF(Y633=1,PMT(Assumptions!$H$85,Assumptions!$H$48,$C635),Y646))),0)</f>
        <v>0</v>
      </c>
      <c r="AA646" s="39">
        <f>+IFERROR(-ABS(IF(EDATE(_xlfn.XLOOKUP(1,$H633:$BE633,$H$4:$BE$4),12*Assumptions!$H$87+12)=AA$4,0,IF(Z633=1,PMT(Assumptions!$H$85,Assumptions!$H$48,$C635),Z646))),0)</f>
        <v>0</v>
      </c>
      <c r="AB646" s="39">
        <f>+IFERROR(-ABS(IF(EDATE(_xlfn.XLOOKUP(1,$H633:$BE633,$H$4:$BE$4),12*Assumptions!$H$87+12)=AB$4,0,IF(AA633=1,PMT(Assumptions!$H$85,Assumptions!$H$48,$C635),AA646))),0)</f>
        <v>0</v>
      </c>
      <c r="AC646" s="39">
        <f>+IFERROR(-ABS(IF(EDATE(_xlfn.XLOOKUP(1,$H633:$BE633,$H$4:$BE$4),12*Assumptions!$H$87+12)=AC$4,0,IF(AB633=1,PMT(Assumptions!$H$85,Assumptions!$H$48,$C635),AB646))),0)</f>
        <v>0</v>
      </c>
      <c r="AD646" s="39">
        <f>+IFERROR(-ABS(IF(EDATE(_xlfn.XLOOKUP(1,$H633:$BE633,$H$4:$BE$4),12*Assumptions!$H$87+12)=AD$4,0,IF(AC633=1,PMT(Assumptions!$H$85,Assumptions!$H$48,$C635),AC646))),0)</f>
        <v>0</v>
      </c>
      <c r="AE646" s="39">
        <f>+IFERROR(-ABS(IF(EDATE(_xlfn.XLOOKUP(1,$H633:$BE633,$H$4:$BE$4),12*Assumptions!$H$87+12)=AE$4,0,IF(AD633=1,PMT(Assumptions!$H$85,Assumptions!$H$48,$C635),AD646))),0)</f>
        <v>0</v>
      </c>
      <c r="AF646" s="39">
        <f>+IFERROR(-ABS(IF(EDATE(_xlfn.XLOOKUP(1,$H633:$BE633,$H$4:$BE$4),12*Assumptions!$H$87+12)=AF$4,0,IF(AE633=1,PMT(Assumptions!$H$85,Assumptions!$H$48,$C635),AE646))),0)</f>
        <v>0</v>
      </c>
      <c r="AG646" s="39">
        <f>+IFERROR(-ABS(IF(EDATE(_xlfn.XLOOKUP(1,$H633:$BE633,$H$4:$BE$4),12*Assumptions!$H$87+12)=AG$4,0,IF(AF633=1,PMT(Assumptions!$H$85,Assumptions!$H$48,$C635),AF646))),0)</f>
        <v>0</v>
      </c>
      <c r="AH646" s="39">
        <f>+IFERROR(-ABS(IF(EDATE(_xlfn.XLOOKUP(1,$H633:$BE633,$H$4:$BE$4),12*Assumptions!$H$87+12)=AH$4,0,IF(AG633=1,PMT(Assumptions!$H$85,Assumptions!$H$48,$C635),AG646))),0)</f>
        <v>0</v>
      </c>
      <c r="AI646" s="39">
        <f>+IFERROR(-ABS(IF(EDATE(_xlfn.XLOOKUP(1,$H633:$BE633,$H$4:$BE$4),12*Assumptions!$H$87+12)=AI$4,0,IF(AH633=1,PMT(Assumptions!$H$85,Assumptions!$H$48,$C635),AH646))),0)</f>
        <v>0</v>
      </c>
      <c r="AJ646" s="39">
        <f>+IFERROR(-ABS(IF(EDATE(_xlfn.XLOOKUP(1,$H633:$BE633,$H$4:$BE$4),12*Assumptions!$H$87+12)=AJ$4,0,IF(AI633=1,PMT(Assumptions!$H$85,Assumptions!$H$48,$C635),AI646))),0)</f>
        <v>0</v>
      </c>
      <c r="AK646" s="39">
        <f>+IFERROR(-ABS(IF(EDATE(_xlfn.XLOOKUP(1,$H633:$BE633,$H$4:$BE$4),12*Assumptions!$H$87+12)=AK$4,0,IF(AJ633=1,PMT(Assumptions!$H$85,Assumptions!$H$48,$C635),AJ646))),0)</f>
        <v>0</v>
      </c>
      <c r="AL646" s="39">
        <f>+IFERROR(-ABS(IF(EDATE(_xlfn.XLOOKUP(1,$H633:$BE633,$H$4:$BE$4),12*Assumptions!$H$87+12)=AL$4,0,IF(AK633=1,PMT(Assumptions!$H$85,Assumptions!$H$48,$C635),AK646))),0)</f>
        <v>0</v>
      </c>
      <c r="AM646" s="39">
        <f>+IFERROR(-ABS(IF(EDATE(_xlfn.XLOOKUP(1,$H633:$BE633,$H$4:$BE$4),12*Assumptions!$H$87+12)=AM$4,0,IF(AL633=1,PMT(Assumptions!$H$85,Assumptions!$H$48,$C635),AL646))),0)</f>
        <v>0</v>
      </c>
      <c r="AN646" s="39">
        <f>+IFERROR(-ABS(IF(EDATE(_xlfn.XLOOKUP(1,$H633:$BE633,$H$4:$BE$4),12*Assumptions!$H$87+12)=AN$4,0,IF(AM633=1,PMT(Assumptions!$H$85,Assumptions!$H$48,$C635),AM646))),0)</f>
        <v>0</v>
      </c>
      <c r="AO646" s="39">
        <f>+IFERROR(-ABS(IF(EDATE(_xlfn.XLOOKUP(1,$H633:$BE633,$H$4:$BE$4),12*Assumptions!$H$87+12)=AO$4,0,IF(AN633=1,PMT(Assumptions!$H$85,Assumptions!$H$48,$C635),AN646))),0)</f>
        <v>0</v>
      </c>
      <c r="AP646" s="39">
        <f>+IFERROR(-ABS(IF(EDATE(_xlfn.XLOOKUP(1,$H633:$BE633,$H$4:$BE$4),12*Assumptions!$H$87+12)=AP$4,0,IF(AO633=1,PMT(Assumptions!$H$85,Assumptions!$H$48,$C635),AO646))),0)</f>
        <v>0</v>
      </c>
      <c r="AQ646" s="39">
        <f>+IFERROR(-ABS(IF(EDATE(_xlfn.XLOOKUP(1,$H633:$BE633,$H$4:$BE$4),12*Assumptions!$H$87+12)=AQ$4,0,IF(AP633=1,PMT(Assumptions!$H$85,Assumptions!$H$48,$C635),AP646))),0)</f>
        <v>0</v>
      </c>
      <c r="AR646" s="39">
        <f>+IFERROR(-ABS(IF(EDATE(_xlfn.XLOOKUP(1,$H633:$BE633,$H$4:$BE$4),12*Assumptions!$H$87+12)=AR$4,0,IF(AQ633=1,PMT(Assumptions!$H$85,Assumptions!$H$48,$C635),AQ646))),0)</f>
        <v>0</v>
      </c>
      <c r="AS646" s="39">
        <f>+IFERROR(-ABS(IF(EDATE(_xlfn.XLOOKUP(1,$H633:$BE633,$H$4:$BE$4),12*Assumptions!$H$87+12)=AS$4,0,IF(AR633=1,PMT(Assumptions!$H$85,Assumptions!$H$48,$C635),AR646))),0)</f>
        <v>0</v>
      </c>
      <c r="AT646" s="39">
        <f>+IFERROR(-ABS(IF(EDATE(_xlfn.XLOOKUP(1,$H633:$BE633,$H$4:$BE$4),12*Assumptions!$H$87+12)=AT$4,0,IF(AS633=1,PMT(Assumptions!$H$85,Assumptions!$H$48,$C635),AS646))),0)</f>
        <v>0</v>
      </c>
      <c r="AU646" s="39">
        <f>+IFERROR(-ABS(IF(EDATE(_xlfn.XLOOKUP(1,$H633:$BE633,$H$4:$BE$4),12*Assumptions!$H$87+12)=AU$4,0,IF(AT633=1,PMT(Assumptions!$H$85,Assumptions!$H$48,$C635),AT646))),0)</f>
        <v>0</v>
      </c>
      <c r="AV646" s="39">
        <f>+IFERROR(-ABS(IF(EDATE(_xlfn.XLOOKUP(1,$H633:$BE633,$H$4:$BE$4),12*Assumptions!$H$87+12)=AV$4,0,IF(AU633=1,PMT(Assumptions!$H$85,Assumptions!$H$48,$C635),AU646))),0)</f>
        <v>0</v>
      </c>
      <c r="AW646" s="39">
        <f>+IFERROR(-ABS(IF(EDATE(_xlfn.XLOOKUP(1,$H633:$BE633,$H$4:$BE$4),12*Assumptions!$H$87+12)=AW$4,0,IF(AV633=1,PMT(Assumptions!$H$85,Assumptions!$H$48,$C635),AV646))),0)</f>
        <v>0</v>
      </c>
      <c r="AX646" s="39">
        <f>+IFERROR(-ABS(IF(EDATE(_xlfn.XLOOKUP(1,$H633:$BE633,$H$4:$BE$4),12*Assumptions!$H$87+12)=AX$4,0,IF(AW633=1,PMT(Assumptions!$H$85,Assumptions!$H$48,$C635),AW646))),0)</f>
        <v>0</v>
      </c>
      <c r="AY646" s="39">
        <f>+IFERROR(-ABS(IF(EDATE(_xlfn.XLOOKUP(1,$H633:$BE633,$H$4:$BE$4),12*Assumptions!$H$87+12)=AY$4,0,IF(AX633=1,PMT(Assumptions!$H$85,Assumptions!$H$48,$C635),AX646))),0)</f>
        <v>0</v>
      </c>
      <c r="AZ646" s="39">
        <f>+IFERROR(-ABS(IF(EDATE(_xlfn.XLOOKUP(1,$H633:$BE633,$H$4:$BE$4),12*Assumptions!$H$87+12)=AZ$4,0,IF(AY633=1,PMT(Assumptions!$H$85,Assumptions!$H$48,$C635),AY646))),0)</f>
        <v>0</v>
      </c>
      <c r="BA646" s="39">
        <f>+IFERROR(-ABS(IF(EDATE(_xlfn.XLOOKUP(1,$H633:$BE633,$H$4:$BE$4),12*Assumptions!$H$87+12)=BA$4,0,IF(AZ633=1,PMT(Assumptions!$H$85,Assumptions!$H$48,$C635),AZ646))),0)</f>
        <v>0</v>
      </c>
      <c r="BB646" s="39">
        <f>+IFERROR(-ABS(IF(EDATE(_xlfn.XLOOKUP(1,$H633:$BE633,$H$4:$BE$4),12*Assumptions!$H$87+12)=BB$4,0,IF(BA633=1,PMT(Assumptions!$H$85,Assumptions!$H$48,$C635),BA646))),0)</f>
        <v>0</v>
      </c>
      <c r="BC646" s="39">
        <f>+IFERROR(-ABS(IF(EDATE(_xlfn.XLOOKUP(1,$H633:$BE633,$H$4:$BE$4),12*Assumptions!$H$87+12)=BC$4,0,IF(BB633=1,PMT(Assumptions!$H$85,Assumptions!$H$48,$C635),BB646))),0)</f>
        <v>0</v>
      </c>
      <c r="BD646" s="39">
        <f>+IFERROR(-ABS(IF(EDATE(_xlfn.XLOOKUP(1,$H633:$BE633,$H$4:$BE$4),12*Assumptions!$H$87+12)=BD$4,0,IF(BC633=1,PMT(Assumptions!$H$85,Assumptions!$H$48,$C635),BC646))),0)</f>
        <v>0</v>
      </c>
      <c r="BE646" s="39">
        <f>+IFERROR(-ABS(IF(EDATE(_xlfn.XLOOKUP(1,$H633:$BE633,$H$4:$BE$4),12*Assumptions!$H$87+12)=BE$4,0,IF(BD633=1,PMT(Assumptions!$H$85,Assumptions!$H$48,$C635),BD646))),0)</f>
        <v>0</v>
      </c>
      <c r="BF646" s="39">
        <f>+IFERROR(-ABS(IF(EDATE(_xlfn.XLOOKUP(1,$H633:$BE633,$H$4:$BE$4),12*Assumptions!$H$87+12)=BF$4,0,IF(BE633=1,PMT(Assumptions!$H$85,Assumptions!$H$48,$C635),BE646))),0)</f>
        <v>0</v>
      </c>
      <c r="BG646" s="39">
        <f>+IFERROR(-ABS(IF(EDATE(_xlfn.XLOOKUP(1,$H633:$BE633,$H$4:$BE$4),12*Assumptions!$H$87+12)=BG$4,0,IF(BF633=1,PMT(Assumptions!$H$85,Assumptions!$H$48,$C635),BF646))),0)</f>
        <v>0</v>
      </c>
      <c r="BH646" s="39">
        <f>+IFERROR(-ABS(IF(EDATE(_xlfn.XLOOKUP(1,$H633:$BE633,$H$4:$BE$4),12*Assumptions!$H$87+12)=BH$4,0,IF(BG633=1,PMT(Assumptions!$H$85,Assumptions!$H$48,$C635),BG646))),0)</f>
        <v>0</v>
      </c>
      <c r="BI646" s="39">
        <f>+IFERROR(-ABS(IF(EDATE(_xlfn.XLOOKUP(1,$H633:$BE633,$H$4:$BE$4),12*Assumptions!$H$87+12)=BI$4,0,IF(BH633=1,PMT(Assumptions!$H$85,Assumptions!$H$48,$C635),BH646))),0)</f>
        <v>0</v>
      </c>
      <c r="BJ646" s="39">
        <f>+IFERROR(-ABS(IF(EDATE(_xlfn.XLOOKUP(1,$H633:$BE633,$H$4:$BE$4),12*Assumptions!$H$87+12)=BJ$4,0,IF(BI633=1,PMT(Assumptions!$H$85,Assumptions!$H$48,$C635),BI646))),0)</f>
        <v>0</v>
      </c>
      <c r="BK646" s="39">
        <f>+IFERROR(-ABS(IF(EDATE(_xlfn.XLOOKUP(1,$H633:$BE633,$H$4:$BE$4),12*Assumptions!$H$87+12)=BK$4,0,IF(BJ633=1,PMT(Assumptions!$H$85,Assumptions!$H$48,$C635),BJ646))),0)</f>
        <v>0</v>
      </c>
      <c r="BL646" s="39">
        <f>+IFERROR(-ABS(IF(EDATE(_xlfn.XLOOKUP(1,$H633:$BE633,$H$4:$BE$4),12*Assumptions!$H$87+12)=BL$4,0,IF(BK633=1,PMT(Assumptions!$H$85,Assumptions!$H$48,$C635),BK646))),0)</f>
        <v>0</v>
      </c>
      <c r="BM646" s="39">
        <f>+IFERROR(-ABS(IF(EDATE(_xlfn.XLOOKUP(1,$H633:$BE633,$H$4:$BE$4),12*Assumptions!$H$87+12)=BM$4,0,IF(BL633=1,PMT(Assumptions!$H$85,Assumptions!$H$48,$C635),BL646))),0)</f>
        <v>0</v>
      </c>
      <c r="BN646" s="39">
        <f>+IFERROR(-ABS(IF(EDATE(_xlfn.XLOOKUP(1,$H633:$BE633,$H$4:$BE$4),12*Assumptions!$H$87+12)=BN$4,0,IF(BM633=1,PMT(Assumptions!$H$85,Assumptions!$H$48,$C635),BM646))),0)</f>
        <v>0</v>
      </c>
      <c r="BO646" s="39">
        <f>+IFERROR(-ABS(IF(EDATE(_xlfn.XLOOKUP(1,$H633:$BE633,$H$4:$BE$4),12*Assumptions!$H$87+12)=BO$4,0,IF(BN633=1,PMT(Assumptions!$H$85,Assumptions!$H$48,$C635),BN646))),0)</f>
        <v>0</v>
      </c>
      <c r="BP646" s="39">
        <f>+IFERROR(-ABS(IF(EDATE(_xlfn.XLOOKUP(1,$H633:$BE633,$H$4:$BE$4),12*Assumptions!$H$87+12)=BP$4,0,IF(BO633=1,PMT(Assumptions!$H$85,Assumptions!$H$48,$C635),BO646))),0)</f>
        <v>0</v>
      </c>
      <c r="BQ646" s="39">
        <f>+IFERROR(-ABS(IF(EDATE(_xlfn.XLOOKUP(1,$H633:$BE633,$H$4:$BE$4),12*Assumptions!$H$87+12)=BQ$4,0,IF(BP633=1,PMT(Assumptions!$H$85,Assumptions!$H$48,$C635),BP646))),0)</f>
        <v>0</v>
      </c>
      <c r="BR646" s="39">
        <f>+IFERROR(-ABS(IF(EDATE(_xlfn.XLOOKUP(1,$H633:$BE633,$H$4:$BE$4),12*Assumptions!$H$87+12)=BR$4,0,IF(BQ633=1,PMT(Assumptions!$H$85,Assumptions!$H$48,$C635),BQ646))),0)</f>
        <v>0</v>
      </c>
      <c r="BS646" s="39">
        <f>+IFERROR(-ABS(IF(EDATE(_xlfn.XLOOKUP(1,$H633:$BE633,$H$4:$BE$4),12*Assumptions!$H$87+12)=BS$4,0,IF(BR633=1,PMT(Assumptions!$H$85,Assumptions!$H$48,$C635),BR646))),0)</f>
        <v>0</v>
      </c>
      <c r="BT646" s="39">
        <f>+IFERROR(-ABS(IF(EDATE(_xlfn.XLOOKUP(1,$H633:$BE633,$H$4:$BE$4),12*Assumptions!$H$87+12)=BT$4,0,IF(BS633=1,PMT(Assumptions!$H$85,Assumptions!$H$48,$C635),BS646))),0)</f>
        <v>0</v>
      </c>
      <c r="BU646" s="39">
        <f>+IFERROR(-ABS(IF(EDATE(_xlfn.XLOOKUP(1,$H633:$BE633,$H$4:$BE$4),12*Assumptions!$H$87+12)=BU$4,0,IF(BT633=1,PMT(Assumptions!$H$85,Assumptions!$H$48,$C635),BT646))),0)</f>
        <v>0</v>
      </c>
      <c r="BV646" s="39">
        <f>+IFERROR(-ABS(IF(EDATE(_xlfn.XLOOKUP(1,$H633:$BE633,$H$4:$BE$4),12*Assumptions!$H$87+12)=BV$4,0,IF(BU633=1,PMT(Assumptions!$H$85,Assumptions!$H$48,$C635),BU646))),0)</f>
        <v>0</v>
      </c>
      <c r="BW646" s="39">
        <f>+IFERROR(-ABS(IF(EDATE(_xlfn.XLOOKUP(1,$H633:$BE633,$H$4:$BE$4),12*Assumptions!$H$87+12)=BW$4,0,IF(BV633=1,PMT(Assumptions!$H$85,Assumptions!$H$48,$C635),BV646))),0)</f>
        <v>0</v>
      </c>
      <c r="BX646" s="39">
        <f>+IFERROR(-ABS(IF(EDATE(_xlfn.XLOOKUP(1,$H633:$BE633,$H$4:$BE$4),12*Assumptions!$H$87+12)=BX$4,0,IF(BW633=1,PMT(Assumptions!$H$85,Assumptions!$H$48,$C635),BW646))),0)</f>
        <v>0</v>
      </c>
      <c r="BY646" s="39">
        <f>+IFERROR(-ABS(IF(EDATE(_xlfn.XLOOKUP(1,$H633:$BE633,$H$4:$BE$4),12*Assumptions!$H$87+12)=BY$4,0,IF(BX633=1,PMT(Assumptions!$H$85,Assumptions!$H$48,$C635),BX646))),0)</f>
        <v>0</v>
      </c>
    </row>
    <row r="647" spans="5:77" outlineLevel="1">
      <c r="E647" s="24" t="s">
        <v>516</v>
      </c>
      <c r="F647" s="80" t="str">
        <f>+Assumptions!$G$8</f>
        <v>USD</v>
      </c>
      <c r="G647" s="24"/>
      <c r="H647" s="39">
        <f>+IFERROR(-ABS(IF(EDATE(_xlfn.XLOOKUP(1,$H634:$BE634,$H$4:$BE$4),12*Assumptions!$H$87+12)=H$4,0,IF(G634=1,PMT(Assumptions!$H$85,Assumptions!$H$48,$C636),G647))),0)</f>
        <v>0</v>
      </c>
      <c r="I647" s="39">
        <f>+IFERROR(-ABS(IF(EDATE(_xlfn.XLOOKUP(1,$H634:$BE634,$H$4:$BE$4),12*Assumptions!$H$87+12)=I$4,0,IF(H634=1,PMT(Assumptions!$H$85,Assumptions!$H$48,$C636),H647))),0)</f>
        <v>0</v>
      </c>
      <c r="J647" s="39">
        <f>+IFERROR(-ABS(IF(EDATE(_xlfn.XLOOKUP(1,$H634:$BE634,$H$4:$BE$4),12*Assumptions!$H$87+12)=J$4,0,IF(I634=1,PMT(Assumptions!$H$85,Assumptions!$H$48,$C636),I647))),0)</f>
        <v>0</v>
      </c>
      <c r="K647" s="39">
        <f>+IFERROR(-ABS(IF(EDATE(_xlfn.XLOOKUP(1,$H634:$BE634,$H$4:$BE$4),12*Assumptions!$H$87+12)=K$4,0,IF(J634=1,PMT(Assumptions!$H$85,Assumptions!$H$48,$C636),J647))),0)</f>
        <v>0</v>
      </c>
      <c r="L647" s="39">
        <f>+IFERROR(-ABS(IF(EDATE(_xlfn.XLOOKUP(1,$H634:$BE634,$H$4:$BE$4),12*Assumptions!$H$87+12)=L$4,0,IF(K634=1,PMT(Assumptions!$H$85,Assumptions!$H$48,$C636),K647))),0)</f>
        <v>0</v>
      </c>
      <c r="M647" s="39">
        <f>+IFERROR(-ABS(IF(EDATE(_xlfn.XLOOKUP(1,$H634:$BE634,$H$4:$BE$4),12*Assumptions!$H$87+12)=M$4,0,IF(L634=1,PMT(Assumptions!$H$85,Assumptions!$H$48,$C636),L647))),0)</f>
        <v>0</v>
      </c>
      <c r="N647" s="39">
        <f>+IFERROR(-ABS(IF(EDATE(_xlfn.XLOOKUP(1,$H634:$BE634,$H$4:$BE$4),12*Assumptions!$H$87+12)=N$4,0,IF(M634=1,PMT(Assumptions!$H$85,Assumptions!$H$48,$C636),M647))),0)</f>
        <v>0</v>
      </c>
      <c r="O647" s="39">
        <f>+IFERROR(-ABS(IF(EDATE(_xlfn.XLOOKUP(1,$H634:$BE634,$H$4:$BE$4),12*Assumptions!$H$87+12)=O$4,0,IF(N634=1,PMT(Assumptions!$H$85,Assumptions!$H$48,$C636),N647))),0)</f>
        <v>0</v>
      </c>
      <c r="P647" s="39">
        <f>+IFERROR(-ABS(IF(EDATE(_xlfn.XLOOKUP(1,$H634:$BE634,$H$4:$BE$4),12*Assumptions!$H$87+12)=P$4,0,IF(O634=1,PMT(Assumptions!$H$85,Assumptions!$H$48,$C636),O647))),0)</f>
        <v>0</v>
      </c>
      <c r="Q647" s="39">
        <f>+IFERROR(-ABS(IF(EDATE(_xlfn.XLOOKUP(1,$H634:$BE634,$H$4:$BE$4),12*Assumptions!$H$87+12)=Q$4,0,IF(P634=1,PMT(Assumptions!$H$85,Assumptions!$H$48,$C636),P647))),0)</f>
        <v>0</v>
      </c>
      <c r="R647" s="39">
        <f>+IFERROR(-ABS(IF(EDATE(_xlfn.XLOOKUP(1,$H634:$BE634,$H$4:$BE$4),12*Assumptions!$H$87+12)=R$4,0,IF(Q634=1,PMT(Assumptions!$H$85,Assumptions!$H$48,$C636),Q647))),0)</f>
        <v>0</v>
      </c>
      <c r="S647" s="39">
        <f>+IFERROR(-ABS(IF(EDATE(_xlfn.XLOOKUP(1,$H634:$BE634,$H$4:$BE$4),12*Assumptions!$H$87+12)=S$4,0,IF(R634=1,PMT(Assumptions!$H$85,Assumptions!$H$48,$C636),R647))),0)</f>
        <v>0</v>
      </c>
      <c r="T647" s="39">
        <f>+IFERROR(-ABS(IF(EDATE(_xlfn.XLOOKUP(1,$H634:$BE634,$H$4:$BE$4),12*Assumptions!$H$87+12)=T$4,0,IF(S634=1,PMT(Assumptions!$H$85,Assumptions!$H$48,$C636),S647))),0)</f>
        <v>0</v>
      </c>
      <c r="U647" s="39">
        <f>+IFERROR(-ABS(IF(EDATE(_xlfn.XLOOKUP(1,$H634:$BE634,$H$4:$BE$4),12*Assumptions!$H$87+12)=U$4,0,IF(T634=1,PMT(Assumptions!$H$85,Assumptions!$H$48,$C636),T647))),0)</f>
        <v>0</v>
      </c>
      <c r="V647" s="39">
        <f>+IFERROR(-ABS(IF(EDATE(_xlfn.XLOOKUP(1,$H634:$BE634,$H$4:$BE$4),12*Assumptions!$H$87+12)=V$4,0,IF(U634=1,PMT(Assumptions!$H$85,Assumptions!$H$48,$C636),U647))),0)</f>
        <v>0</v>
      </c>
      <c r="W647" s="39">
        <f>+IFERROR(-ABS(IF(EDATE(_xlfn.XLOOKUP(1,$H634:$BE634,$H$4:$BE$4),12*Assumptions!$H$87+12)=W$4,0,IF(V634=1,PMT(Assumptions!$H$85,Assumptions!$H$48,$C636),V647))),0)</f>
        <v>0</v>
      </c>
      <c r="X647" s="39">
        <f>+IFERROR(-ABS(IF(EDATE(_xlfn.XLOOKUP(1,$H634:$BE634,$H$4:$BE$4),12*Assumptions!$H$87+12)=X$4,0,IF(W634=1,PMT(Assumptions!$H$85,Assumptions!$H$48,$C636),W647))),0)</f>
        <v>0</v>
      </c>
      <c r="Y647" s="39">
        <f>+IFERROR(-ABS(IF(EDATE(_xlfn.XLOOKUP(1,$H634:$BE634,$H$4:$BE$4),12*Assumptions!$H$87+12)=Y$4,0,IF(X634=1,PMT(Assumptions!$H$85,Assumptions!$H$48,$C636),X647))),0)</f>
        <v>0</v>
      </c>
      <c r="Z647" s="39">
        <f>+IFERROR(-ABS(IF(EDATE(_xlfn.XLOOKUP(1,$H634:$BE634,$H$4:$BE$4),12*Assumptions!$H$87+12)=Z$4,0,IF(Y634=1,PMT(Assumptions!$H$85,Assumptions!$H$48,$C636),Y647))),0)</f>
        <v>0</v>
      </c>
      <c r="AA647" s="39">
        <f>+IFERROR(-ABS(IF(EDATE(_xlfn.XLOOKUP(1,$H634:$BE634,$H$4:$BE$4),12*Assumptions!$H$87+12)=AA$4,0,IF(Z634=1,PMT(Assumptions!$H$85,Assumptions!$H$48,$C636),Z647))),0)</f>
        <v>0</v>
      </c>
      <c r="AB647" s="39">
        <f>+IFERROR(-ABS(IF(EDATE(_xlfn.XLOOKUP(1,$H634:$BE634,$H$4:$BE$4),12*Assumptions!$H$87+12)=AB$4,0,IF(AA634=1,PMT(Assumptions!$H$85,Assumptions!$H$48,$C636),AA647))),0)</f>
        <v>0</v>
      </c>
      <c r="AC647" s="39">
        <f>+IFERROR(-ABS(IF(EDATE(_xlfn.XLOOKUP(1,$H634:$BE634,$H$4:$BE$4),12*Assumptions!$H$87+12)=AC$4,0,IF(AB634=1,PMT(Assumptions!$H$85,Assumptions!$H$48,$C636),AB647))),0)</f>
        <v>0</v>
      </c>
      <c r="AD647" s="39">
        <f>+IFERROR(-ABS(IF(EDATE(_xlfn.XLOOKUP(1,$H634:$BE634,$H$4:$BE$4),12*Assumptions!$H$87+12)=AD$4,0,IF(AC634=1,PMT(Assumptions!$H$85,Assumptions!$H$48,$C636),AC647))),0)</f>
        <v>0</v>
      </c>
      <c r="AE647" s="39">
        <f>+IFERROR(-ABS(IF(EDATE(_xlfn.XLOOKUP(1,$H634:$BE634,$H$4:$BE$4),12*Assumptions!$H$87+12)=AE$4,0,IF(AD634=1,PMT(Assumptions!$H$85,Assumptions!$H$48,$C636),AD647))),0)</f>
        <v>0</v>
      </c>
      <c r="AF647" s="39">
        <f>+IFERROR(-ABS(IF(EDATE(_xlfn.XLOOKUP(1,$H634:$BE634,$H$4:$BE$4),12*Assumptions!$H$87+12)=AF$4,0,IF(AE634=1,PMT(Assumptions!$H$85,Assumptions!$H$48,$C636),AE647))),0)</f>
        <v>0</v>
      </c>
      <c r="AG647" s="39">
        <f>+IFERROR(-ABS(IF(EDATE(_xlfn.XLOOKUP(1,$H634:$BE634,$H$4:$BE$4),12*Assumptions!$H$87+12)=AG$4,0,IF(AF634=1,PMT(Assumptions!$H$85,Assumptions!$H$48,$C636),AF647))),0)</f>
        <v>0</v>
      </c>
      <c r="AH647" s="39">
        <f>+IFERROR(-ABS(IF(EDATE(_xlfn.XLOOKUP(1,$H634:$BE634,$H$4:$BE$4),12*Assumptions!$H$87+12)=AH$4,0,IF(AG634=1,PMT(Assumptions!$H$85,Assumptions!$H$48,$C636),AG647))),0)</f>
        <v>0</v>
      </c>
      <c r="AI647" s="39">
        <f>+IFERROR(-ABS(IF(EDATE(_xlfn.XLOOKUP(1,$H634:$BE634,$H$4:$BE$4),12*Assumptions!$H$87+12)=AI$4,0,IF(AH634=1,PMT(Assumptions!$H$85,Assumptions!$H$48,$C636),AH647))),0)</f>
        <v>0</v>
      </c>
      <c r="AJ647" s="39">
        <f>+IFERROR(-ABS(IF(EDATE(_xlfn.XLOOKUP(1,$H634:$BE634,$H$4:$BE$4),12*Assumptions!$H$87+12)=AJ$4,0,IF(AI634=1,PMT(Assumptions!$H$85,Assumptions!$H$48,$C636),AI647))),0)</f>
        <v>0</v>
      </c>
      <c r="AK647" s="39">
        <f>+IFERROR(-ABS(IF(EDATE(_xlfn.XLOOKUP(1,$H634:$BE634,$H$4:$BE$4),12*Assumptions!$H$87+12)=AK$4,0,IF(AJ634=1,PMT(Assumptions!$H$85,Assumptions!$H$48,$C636),AJ647))),0)</f>
        <v>0</v>
      </c>
      <c r="AL647" s="39">
        <f>+IFERROR(-ABS(IF(EDATE(_xlfn.XLOOKUP(1,$H634:$BE634,$H$4:$BE$4),12*Assumptions!$H$87+12)=AL$4,0,IF(AK634=1,PMT(Assumptions!$H$85,Assumptions!$H$48,$C636),AK647))),0)</f>
        <v>0</v>
      </c>
      <c r="AM647" s="39">
        <f>+IFERROR(-ABS(IF(EDATE(_xlfn.XLOOKUP(1,$H634:$BE634,$H$4:$BE$4),12*Assumptions!$H$87+12)=AM$4,0,IF(AL634=1,PMT(Assumptions!$H$85,Assumptions!$H$48,$C636),AL647))),0)</f>
        <v>0</v>
      </c>
      <c r="AN647" s="39">
        <f>+IFERROR(-ABS(IF(EDATE(_xlfn.XLOOKUP(1,$H634:$BE634,$H$4:$BE$4),12*Assumptions!$H$87+12)=AN$4,0,IF(AM634=1,PMT(Assumptions!$H$85,Assumptions!$H$48,$C636),AM647))),0)</f>
        <v>0</v>
      </c>
      <c r="AO647" s="39">
        <f>+IFERROR(-ABS(IF(EDATE(_xlfn.XLOOKUP(1,$H634:$BE634,$H$4:$BE$4),12*Assumptions!$H$87+12)=AO$4,0,IF(AN634=1,PMT(Assumptions!$H$85,Assumptions!$H$48,$C636),AN647))),0)</f>
        <v>0</v>
      </c>
      <c r="AP647" s="39">
        <f>+IFERROR(-ABS(IF(EDATE(_xlfn.XLOOKUP(1,$H634:$BE634,$H$4:$BE$4),12*Assumptions!$H$87+12)=AP$4,0,IF(AO634=1,PMT(Assumptions!$H$85,Assumptions!$H$48,$C636),AO647))),0)</f>
        <v>0</v>
      </c>
      <c r="AQ647" s="39">
        <f>+IFERROR(-ABS(IF(EDATE(_xlfn.XLOOKUP(1,$H634:$BE634,$H$4:$BE$4),12*Assumptions!$H$87+12)=AQ$4,0,IF(AP634=1,PMT(Assumptions!$H$85,Assumptions!$H$48,$C636),AP647))),0)</f>
        <v>0</v>
      </c>
      <c r="AR647" s="39">
        <f>+IFERROR(-ABS(IF(EDATE(_xlfn.XLOOKUP(1,$H634:$BE634,$H$4:$BE$4),12*Assumptions!$H$87+12)=AR$4,0,IF(AQ634=1,PMT(Assumptions!$H$85,Assumptions!$H$48,$C636),AQ647))),0)</f>
        <v>0</v>
      </c>
      <c r="AS647" s="39">
        <f>+IFERROR(-ABS(IF(EDATE(_xlfn.XLOOKUP(1,$H634:$BE634,$H$4:$BE$4),12*Assumptions!$H$87+12)=AS$4,0,IF(AR634=1,PMT(Assumptions!$H$85,Assumptions!$H$48,$C636),AR647))),0)</f>
        <v>0</v>
      </c>
      <c r="AT647" s="39">
        <f>+IFERROR(-ABS(IF(EDATE(_xlfn.XLOOKUP(1,$H634:$BE634,$H$4:$BE$4),12*Assumptions!$H$87+12)=AT$4,0,IF(AS634=1,PMT(Assumptions!$H$85,Assumptions!$H$48,$C636),AS647))),0)</f>
        <v>0</v>
      </c>
      <c r="AU647" s="39">
        <f>+IFERROR(-ABS(IF(EDATE(_xlfn.XLOOKUP(1,$H634:$BE634,$H$4:$BE$4),12*Assumptions!$H$87+12)=AU$4,0,IF(AT634=1,PMT(Assumptions!$H$85,Assumptions!$H$48,$C636),AT647))),0)</f>
        <v>0</v>
      </c>
      <c r="AV647" s="39">
        <f>+IFERROR(-ABS(IF(EDATE(_xlfn.XLOOKUP(1,$H634:$BE634,$H$4:$BE$4),12*Assumptions!$H$87+12)=AV$4,0,IF(AU634=1,PMT(Assumptions!$H$85,Assumptions!$H$48,$C636),AU647))),0)</f>
        <v>0</v>
      </c>
      <c r="AW647" s="39">
        <f>+IFERROR(-ABS(IF(EDATE(_xlfn.XLOOKUP(1,$H634:$BE634,$H$4:$BE$4),12*Assumptions!$H$87+12)=AW$4,0,IF(AV634=1,PMT(Assumptions!$H$85,Assumptions!$H$48,$C636),AV647))),0)</f>
        <v>0</v>
      </c>
      <c r="AX647" s="39">
        <f>+IFERROR(-ABS(IF(EDATE(_xlfn.XLOOKUP(1,$H634:$BE634,$H$4:$BE$4),12*Assumptions!$H$87+12)=AX$4,0,IF(AW634=1,PMT(Assumptions!$H$85,Assumptions!$H$48,$C636),AW647))),0)</f>
        <v>0</v>
      </c>
      <c r="AY647" s="39">
        <f>+IFERROR(-ABS(IF(EDATE(_xlfn.XLOOKUP(1,$H634:$BE634,$H$4:$BE$4),12*Assumptions!$H$87+12)=AY$4,0,IF(AX634=1,PMT(Assumptions!$H$85,Assumptions!$H$48,$C636),AX647))),0)</f>
        <v>0</v>
      </c>
      <c r="AZ647" s="39">
        <f>+IFERROR(-ABS(IF(EDATE(_xlfn.XLOOKUP(1,$H634:$BE634,$H$4:$BE$4),12*Assumptions!$H$87+12)=AZ$4,0,IF(AY634=1,PMT(Assumptions!$H$85,Assumptions!$H$48,$C636),AY647))),0)</f>
        <v>0</v>
      </c>
      <c r="BA647" s="39">
        <f>+IFERROR(-ABS(IF(EDATE(_xlfn.XLOOKUP(1,$H634:$BE634,$H$4:$BE$4),12*Assumptions!$H$87+12)=BA$4,0,IF(AZ634=1,PMT(Assumptions!$H$85,Assumptions!$H$48,$C636),AZ647))),0)</f>
        <v>0</v>
      </c>
      <c r="BB647" s="39">
        <f>+IFERROR(-ABS(IF(EDATE(_xlfn.XLOOKUP(1,$H634:$BE634,$H$4:$BE$4),12*Assumptions!$H$87+12)=BB$4,0,IF(BA634=1,PMT(Assumptions!$H$85,Assumptions!$H$48,$C636),BA647))),0)</f>
        <v>0</v>
      </c>
      <c r="BC647" s="39">
        <f>+IFERROR(-ABS(IF(EDATE(_xlfn.XLOOKUP(1,$H634:$BE634,$H$4:$BE$4),12*Assumptions!$H$87+12)=BC$4,0,IF(BB634=1,PMT(Assumptions!$H$85,Assumptions!$H$48,$C636),BB647))),0)</f>
        <v>0</v>
      </c>
      <c r="BD647" s="39">
        <f>+IFERROR(-ABS(IF(EDATE(_xlfn.XLOOKUP(1,$H634:$BE634,$H$4:$BE$4),12*Assumptions!$H$87+12)=BD$4,0,IF(BC634=1,PMT(Assumptions!$H$85,Assumptions!$H$48,$C636),BC647))),0)</f>
        <v>0</v>
      </c>
      <c r="BE647" s="39">
        <f>+IFERROR(-ABS(IF(EDATE(_xlfn.XLOOKUP(1,$H634:$BE634,$H$4:$BE$4),12*Assumptions!$H$87+12)=BE$4,0,IF(BD634=1,PMT(Assumptions!$H$85,Assumptions!$H$48,$C636),BD647))),0)</f>
        <v>0</v>
      </c>
      <c r="BF647" s="39">
        <f>+IFERROR(-ABS(IF(EDATE(_xlfn.XLOOKUP(1,$H634:$BE634,$H$4:$BE$4),12*Assumptions!$H$87+12)=BF$4,0,IF(BE634=1,PMT(Assumptions!$H$85,Assumptions!$H$48,$C636),BE647))),0)</f>
        <v>0</v>
      </c>
      <c r="BG647" s="39">
        <f>+IFERROR(-ABS(IF(EDATE(_xlfn.XLOOKUP(1,$H634:$BE634,$H$4:$BE$4),12*Assumptions!$H$87+12)=BG$4,0,IF(BF634=1,PMT(Assumptions!$H$85,Assumptions!$H$48,$C636),BF647))),0)</f>
        <v>0</v>
      </c>
      <c r="BH647" s="39">
        <f>+IFERROR(-ABS(IF(EDATE(_xlfn.XLOOKUP(1,$H634:$BE634,$H$4:$BE$4),12*Assumptions!$H$87+12)=BH$4,0,IF(BG634=1,PMT(Assumptions!$H$85,Assumptions!$H$48,$C636),BG647))),0)</f>
        <v>0</v>
      </c>
      <c r="BI647" s="39">
        <f>+IFERROR(-ABS(IF(EDATE(_xlfn.XLOOKUP(1,$H634:$BE634,$H$4:$BE$4),12*Assumptions!$H$87+12)=BI$4,0,IF(BH634=1,PMT(Assumptions!$H$85,Assumptions!$H$48,$C636),BH647))),0)</f>
        <v>0</v>
      </c>
      <c r="BJ647" s="39">
        <f>+IFERROR(-ABS(IF(EDATE(_xlfn.XLOOKUP(1,$H634:$BE634,$H$4:$BE$4),12*Assumptions!$H$87+12)=BJ$4,0,IF(BI634=1,PMT(Assumptions!$H$85,Assumptions!$H$48,$C636),BI647))),0)</f>
        <v>0</v>
      </c>
      <c r="BK647" s="39">
        <f>+IFERROR(-ABS(IF(EDATE(_xlfn.XLOOKUP(1,$H634:$BE634,$H$4:$BE$4),12*Assumptions!$H$87+12)=BK$4,0,IF(BJ634=1,PMT(Assumptions!$H$85,Assumptions!$H$48,$C636),BJ647))),0)</f>
        <v>0</v>
      </c>
      <c r="BL647" s="39">
        <f>+IFERROR(-ABS(IF(EDATE(_xlfn.XLOOKUP(1,$H634:$BE634,$H$4:$BE$4),12*Assumptions!$H$87+12)=BL$4,0,IF(BK634=1,PMT(Assumptions!$H$85,Assumptions!$H$48,$C636),BK647))),0)</f>
        <v>0</v>
      </c>
      <c r="BM647" s="39">
        <f>+IFERROR(-ABS(IF(EDATE(_xlfn.XLOOKUP(1,$H634:$BE634,$H$4:$BE$4),12*Assumptions!$H$87+12)=BM$4,0,IF(BL634=1,PMT(Assumptions!$H$85,Assumptions!$H$48,$C636),BL647))),0)</f>
        <v>0</v>
      </c>
      <c r="BN647" s="39">
        <f>+IFERROR(-ABS(IF(EDATE(_xlfn.XLOOKUP(1,$H634:$BE634,$H$4:$BE$4),12*Assumptions!$H$87+12)=BN$4,0,IF(BM634=1,PMT(Assumptions!$H$85,Assumptions!$H$48,$C636),BM647))),0)</f>
        <v>0</v>
      </c>
      <c r="BO647" s="39">
        <f>+IFERROR(-ABS(IF(EDATE(_xlfn.XLOOKUP(1,$H634:$BE634,$H$4:$BE$4),12*Assumptions!$H$87+12)=BO$4,0,IF(BN634=1,PMT(Assumptions!$H$85,Assumptions!$H$48,$C636),BN647))),0)</f>
        <v>0</v>
      </c>
      <c r="BP647" s="39">
        <f>+IFERROR(-ABS(IF(EDATE(_xlfn.XLOOKUP(1,$H634:$BE634,$H$4:$BE$4),12*Assumptions!$H$87+12)=BP$4,0,IF(BO634=1,PMT(Assumptions!$H$85,Assumptions!$H$48,$C636),BO647))),0)</f>
        <v>0</v>
      </c>
      <c r="BQ647" s="39">
        <f>+IFERROR(-ABS(IF(EDATE(_xlfn.XLOOKUP(1,$H634:$BE634,$H$4:$BE$4),12*Assumptions!$H$87+12)=BQ$4,0,IF(BP634=1,PMT(Assumptions!$H$85,Assumptions!$H$48,$C636),BP647))),0)</f>
        <v>0</v>
      </c>
      <c r="BR647" s="39">
        <f>+IFERROR(-ABS(IF(EDATE(_xlfn.XLOOKUP(1,$H634:$BE634,$H$4:$BE$4),12*Assumptions!$H$87+12)=BR$4,0,IF(BQ634=1,PMT(Assumptions!$H$85,Assumptions!$H$48,$C636),BQ647))),0)</f>
        <v>0</v>
      </c>
      <c r="BS647" s="39">
        <f>+IFERROR(-ABS(IF(EDATE(_xlfn.XLOOKUP(1,$H634:$BE634,$H$4:$BE$4),12*Assumptions!$H$87+12)=BS$4,0,IF(BR634=1,PMT(Assumptions!$H$85,Assumptions!$H$48,$C636),BR647))),0)</f>
        <v>0</v>
      </c>
      <c r="BT647" s="39">
        <f>+IFERROR(-ABS(IF(EDATE(_xlfn.XLOOKUP(1,$H634:$BE634,$H$4:$BE$4),12*Assumptions!$H$87+12)=BT$4,0,IF(BS634=1,PMT(Assumptions!$H$85,Assumptions!$H$48,$C636),BS647))),0)</f>
        <v>0</v>
      </c>
      <c r="BU647" s="39">
        <f>+IFERROR(-ABS(IF(EDATE(_xlfn.XLOOKUP(1,$H634:$BE634,$H$4:$BE$4),12*Assumptions!$H$87+12)=BU$4,0,IF(BT634=1,PMT(Assumptions!$H$85,Assumptions!$H$48,$C636),BT647))),0)</f>
        <v>0</v>
      </c>
      <c r="BV647" s="39">
        <f>+IFERROR(-ABS(IF(EDATE(_xlfn.XLOOKUP(1,$H634:$BE634,$H$4:$BE$4),12*Assumptions!$H$87+12)=BV$4,0,IF(BU634=1,PMT(Assumptions!$H$85,Assumptions!$H$48,$C636),BU647))),0)</f>
        <v>0</v>
      </c>
      <c r="BW647" s="39">
        <f>+IFERROR(-ABS(IF(EDATE(_xlfn.XLOOKUP(1,$H634:$BE634,$H$4:$BE$4),12*Assumptions!$H$87+12)=BW$4,0,IF(BV634=1,PMT(Assumptions!$H$85,Assumptions!$H$48,$C636),BV647))),0)</f>
        <v>0</v>
      </c>
      <c r="BX647" s="39">
        <f>+IFERROR(-ABS(IF(EDATE(_xlfn.XLOOKUP(1,$H634:$BE634,$H$4:$BE$4),12*Assumptions!$H$87+12)=BX$4,0,IF(BW634=1,PMT(Assumptions!$H$85,Assumptions!$H$48,$C636),BW647))),0)</f>
        <v>0</v>
      </c>
      <c r="BY647" s="39">
        <f>+IFERROR(-ABS(IF(EDATE(_xlfn.XLOOKUP(1,$H634:$BE634,$H$4:$BE$4),12*Assumptions!$H$87+12)=BY$4,0,IF(BX634=1,PMT(Assumptions!$H$85,Assumptions!$H$48,$C636),BX647))),0)</f>
        <v>0</v>
      </c>
    </row>
    <row r="648" spans="5:77" outlineLevel="1">
      <c r="E648" s="24" t="s">
        <v>517</v>
      </c>
      <c r="F648" s="80" t="str">
        <f>+Assumptions!$G$8</f>
        <v>USD</v>
      </c>
      <c r="G648" s="24"/>
      <c r="H648" s="39">
        <f>+IFERROR(-ABS(IF(EDATE(_xlfn.XLOOKUP(1,$H635:$BE635,$H$4:$BE$4),12*Assumptions!$H$87+12)=H$4,0,IF(G635=1,PMT(Assumptions!$H$85,Assumptions!$H$48,$C637),G648))),0)</f>
        <v>0</v>
      </c>
      <c r="I648" s="39">
        <f>+IFERROR(-ABS(IF(EDATE(_xlfn.XLOOKUP(1,$H635:$BE635,$H$4:$BE$4),12*Assumptions!$H$87+12)=I$4,0,IF(H635=1,PMT(Assumptions!$H$85,Assumptions!$H$48,$C637),H648))),0)</f>
        <v>0</v>
      </c>
      <c r="J648" s="39">
        <f>+IFERROR(-ABS(IF(EDATE(_xlfn.XLOOKUP(1,$H635:$BE635,$H$4:$BE$4),12*Assumptions!$H$87+12)=J$4,0,IF(I635=1,PMT(Assumptions!$H$85,Assumptions!$H$48,$C637),I648))),0)</f>
        <v>0</v>
      </c>
      <c r="K648" s="39">
        <f>+IFERROR(-ABS(IF(EDATE(_xlfn.XLOOKUP(1,$H635:$BE635,$H$4:$BE$4),12*Assumptions!$H$87+12)=K$4,0,IF(J635=1,PMT(Assumptions!$H$85,Assumptions!$H$48,$C637),J648))),0)</f>
        <v>0</v>
      </c>
      <c r="L648" s="39">
        <f>+IFERROR(-ABS(IF(EDATE(_xlfn.XLOOKUP(1,$H635:$BE635,$H$4:$BE$4),12*Assumptions!$H$87+12)=L$4,0,IF(K635=1,PMT(Assumptions!$H$85,Assumptions!$H$48,$C637),K648))),0)</f>
        <v>0</v>
      </c>
      <c r="M648" s="39">
        <f>+IFERROR(-ABS(IF(EDATE(_xlfn.XLOOKUP(1,$H635:$BE635,$H$4:$BE$4),12*Assumptions!$H$87+12)=M$4,0,IF(L635=1,PMT(Assumptions!$H$85,Assumptions!$H$48,$C637),L648))),0)</f>
        <v>0</v>
      </c>
      <c r="N648" s="39">
        <f>+IFERROR(-ABS(IF(EDATE(_xlfn.XLOOKUP(1,$H635:$BE635,$H$4:$BE$4),12*Assumptions!$H$87+12)=N$4,0,IF(M635=1,PMT(Assumptions!$H$85,Assumptions!$H$48,$C637),M648))),0)</f>
        <v>0</v>
      </c>
      <c r="O648" s="39">
        <f>+IFERROR(-ABS(IF(EDATE(_xlfn.XLOOKUP(1,$H635:$BE635,$H$4:$BE$4),12*Assumptions!$H$87+12)=O$4,0,IF(N635=1,PMT(Assumptions!$H$85,Assumptions!$H$48,$C637),N648))),0)</f>
        <v>0</v>
      </c>
      <c r="P648" s="39">
        <f>+IFERROR(-ABS(IF(EDATE(_xlfn.XLOOKUP(1,$H635:$BE635,$H$4:$BE$4),12*Assumptions!$H$87+12)=P$4,0,IF(O635=1,PMT(Assumptions!$H$85,Assumptions!$H$48,$C637),O648))),0)</f>
        <v>0</v>
      </c>
      <c r="Q648" s="39">
        <f>+IFERROR(-ABS(IF(EDATE(_xlfn.XLOOKUP(1,$H635:$BE635,$H$4:$BE$4),12*Assumptions!$H$87+12)=Q$4,0,IF(P635=1,PMT(Assumptions!$H$85,Assumptions!$H$48,$C637),P648))),0)</f>
        <v>0</v>
      </c>
      <c r="R648" s="39">
        <f>+IFERROR(-ABS(IF(EDATE(_xlfn.XLOOKUP(1,$H635:$BE635,$H$4:$BE$4),12*Assumptions!$H$87+12)=R$4,0,IF(Q635=1,PMT(Assumptions!$H$85,Assumptions!$H$48,$C637),Q648))),0)</f>
        <v>0</v>
      </c>
      <c r="S648" s="39">
        <f>+IFERROR(-ABS(IF(EDATE(_xlfn.XLOOKUP(1,$H635:$BE635,$H$4:$BE$4),12*Assumptions!$H$87+12)=S$4,0,IF(R635=1,PMT(Assumptions!$H$85,Assumptions!$H$48,$C637),R648))),0)</f>
        <v>0</v>
      </c>
      <c r="T648" s="39">
        <f>+IFERROR(-ABS(IF(EDATE(_xlfn.XLOOKUP(1,$H635:$BE635,$H$4:$BE$4),12*Assumptions!$H$87+12)=T$4,0,IF(S635=1,PMT(Assumptions!$H$85,Assumptions!$H$48,$C637),S648))),0)</f>
        <v>0</v>
      </c>
      <c r="U648" s="39">
        <f>+IFERROR(-ABS(IF(EDATE(_xlfn.XLOOKUP(1,$H635:$BE635,$H$4:$BE$4),12*Assumptions!$H$87+12)=U$4,0,IF(T635=1,PMT(Assumptions!$H$85,Assumptions!$H$48,$C637),T648))),0)</f>
        <v>0</v>
      </c>
      <c r="V648" s="39">
        <f>+IFERROR(-ABS(IF(EDATE(_xlfn.XLOOKUP(1,$H635:$BE635,$H$4:$BE$4),12*Assumptions!$H$87+12)=V$4,0,IF(U635=1,PMT(Assumptions!$H$85,Assumptions!$H$48,$C637),U648))),0)</f>
        <v>0</v>
      </c>
      <c r="W648" s="39">
        <f>+IFERROR(-ABS(IF(EDATE(_xlfn.XLOOKUP(1,$H635:$BE635,$H$4:$BE$4),12*Assumptions!$H$87+12)=W$4,0,IF(V635=1,PMT(Assumptions!$H$85,Assumptions!$H$48,$C637),V648))),0)</f>
        <v>0</v>
      </c>
      <c r="X648" s="39">
        <f>+IFERROR(-ABS(IF(EDATE(_xlfn.XLOOKUP(1,$H635:$BE635,$H$4:$BE$4),12*Assumptions!$H$87+12)=X$4,0,IF(W635=1,PMT(Assumptions!$H$85,Assumptions!$H$48,$C637),W648))),0)</f>
        <v>0</v>
      </c>
      <c r="Y648" s="39">
        <f>+IFERROR(-ABS(IF(EDATE(_xlfn.XLOOKUP(1,$H635:$BE635,$H$4:$BE$4),12*Assumptions!$H$87+12)=Y$4,0,IF(X635=1,PMT(Assumptions!$H$85,Assumptions!$H$48,$C637),X648))),0)</f>
        <v>0</v>
      </c>
      <c r="Z648" s="39">
        <f>+IFERROR(-ABS(IF(EDATE(_xlfn.XLOOKUP(1,$H635:$BE635,$H$4:$BE$4),12*Assumptions!$H$87+12)=Z$4,0,IF(Y635=1,PMT(Assumptions!$H$85,Assumptions!$H$48,$C637),Y648))),0)</f>
        <v>0</v>
      </c>
      <c r="AA648" s="39">
        <f>+IFERROR(-ABS(IF(EDATE(_xlfn.XLOOKUP(1,$H635:$BE635,$H$4:$BE$4),12*Assumptions!$H$87+12)=AA$4,0,IF(Z635=1,PMT(Assumptions!$H$85,Assumptions!$H$48,$C637),Z648))),0)</f>
        <v>0</v>
      </c>
      <c r="AB648" s="39">
        <f>+IFERROR(-ABS(IF(EDATE(_xlfn.XLOOKUP(1,$H635:$BE635,$H$4:$BE$4),12*Assumptions!$H$87+12)=AB$4,0,IF(AA635=1,PMT(Assumptions!$H$85,Assumptions!$H$48,$C637),AA648))),0)</f>
        <v>0</v>
      </c>
      <c r="AC648" s="39">
        <f>+IFERROR(-ABS(IF(EDATE(_xlfn.XLOOKUP(1,$H635:$BE635,$H$4:$BE$4),12*Assumptions!$H$87+12)=AC$4,0,IF(AB635=1,PMT(Assumptions!$H$85,Assumptions!$H$48,$C637),AB648))),0)</f>
        <v>0</v>
      </c>
      <c r="AD648" s="39">
        <f>+IFERROR(-ABS(IF(EDATE(_xlfn.XLOOKUP(1,$H635:$BE635,$H$4:$BE$4),12*Assumptions!$H$87+12)=AD$4,0,IF(AC635=1,PMT(Assumptions!$H$85,Assumptions!$H$48,$C637),AC648))),0)</f>
        <v>0</v>
      </c>
      <c r="AE648" s="39">
        <f>+IFERROR(-ABS(IF(EDATE(_xlfn.XLOOKUP(1,$H635:$BE635,$H$4:$BE$4),12*Assumptions!$H$87+12)=AE$4,0,IF(AD635=1,PMT(Assumptions!$H$85,Assumptions!$H$48,$C637),AD648))),0)</f>
        <v>0</v>
      </c>
      <c r="AF648" s="39">
        <f>+IFERROR(-ABS(IF(EDATE(_xlfn.XLOOKUP(1,$H635:$BE635,$H$4:$BE$4),12*Assumptions!$H$87+12)=AF$4,0,IF(AE635=1,PMT(Assumptions!$H$85,Assumptions!$H$48,$C637),AE648))),0)</f>
        <v>0</v>
      </c>
      <c r="AG648" s="39">
        <f>+IFERROR(-ABS(IF(EDATE(_xlfn.XLOOKUP(1,$H635:$BE635,$H$4:$BE$4),12*Assumptions!$H$87+12)=AG$4,0,IF(AF635=1,PMT(Assumptions!$H$85,Assumptions!$H$48,$C637),AF648))),0)</f>
        <v>0</v>
      </c>
      <c r="AH648" s="39">
        <f>+IFERROR(-ABS(IF(EDATE(_xlfn.XLOOKUP(1,$H635:$BE635,$H$4:$BE$4),12*Assumptions!$H$87+12)=AH$4,0,IF(AG635=1,PMT(Assumptions!$H$85,Assumptions!$H$48,$C637),AG648))),0)</f>
        <v>0</v>
      </c>
      <c r="AI648" s="39">
        <f>+IFERROR(-ABS(IF(EDATE(_xlfn.XLOOKUP(1,$H635:$BE635,$H$4:$BE$4),12*Assumptions!$H$87+12)=AI$4,0,IF(AH635=1,PMT(Assumptions!$H$85,Assumptions!$H$48,$C637),AH648))),0)</f>
        <v>0</v>
      </c>
      <c r="AJ648" s="39">
        <f>+IFERROR(-ABS(IF(EDATE(_xlfn.XLOOKUP(1,$H635:$BE635,$H$4:$BE$4),12*Assumptions!$H$87+12)=AJ$4,0,IF(AI635=1,PMT(Assumptions!$H$85,Assumptions!$H$48,$C637),AI648))),0)</f>
        <v>0</v>
      </c>
      <c r="AK648" s="39">
        <f>+IFERROR(-ABS(IF(EDATE(_xlfn.XLOOKUP(1,$H635:$BE635,$H$4:$BE$4),12*Assumptions!$H$87+12)=AK$4,0,IF(AJ635=1,PMT(Assumptions!$H$85,Assumptions!$H$48,$C637),AJ648))),0)</f>
        <v>0</v>
      </c>
      <c r="AL648" s="39">
        <f>+IFERROR(-ABS(IF(EDATE(_xlfn.XLOOKUP(1,$H635:$BE635,$H$4:$BE$4),12*Assumptions!$H$87+12)=AL$4,0,IF(AK635=1,PMT(Assumptions!$H$85,Assumptions!$H$48,$C637),AK648))),0)</f>
        <v>0</v>
      </c>
      <c r="AM648" s="39">
        <f>+IFERROR(-ABS(IF(EDATE(_xlfn.XLOOKUP(1,$H635:$BE635,$H$4:$BE$4),12*Assumptions!$H$87+12)=AM$4,0,IF(AL635=1,PMT(Assumptions!$H$85,Assumptions!$H$48,$C637),AL648))),0)</f>
        <v>0</v>
      </c>
      <c r="AN648" s="39">
        <f>+IFERROR(-ABS(IF(EDATE(_xlfn.XLOOKUP(1,$H635:$BE635,$H$4:$BE$4),12*Assumptions!$H$87+12)=AN$4,0,IF(AM635=1,PMT(Assumptions!$H$85,Assumptions!$H$48,$C637),AM648))),0)</f>
        <v>0</v>
      </c>
      <c r="AO648" s="39">
        <f>+IFERROR(-ABS(IF(EDATE(_xlfn.XLOOKUP(1,$H635:$BE635,$H$4:$BE$4),12*Assumptions!$H$87+12)=AO$4,0,IF(AN635=1,PMT(Assumptions!$H$85,Assumptions!$H$48,$C637),AN648))),0)</f>
        <v>0</v>
      </c>
      <c r="AP648" s="39">
        <f>+IFERROR(-ABS(IF(EDATE(_xlfn.XLOOKUP(1,$H635:$BE635,$H$4:$BE$4),12*Assumptions!$H$87+12)=AP$4,0,IF(AO635=1,PMT(Assumptions!$H$85,Assumptions!$H$48,$C637),AO648))),0)</f>
        <v>0</v>
      </c>
      <c r="AQ648" s="39">
        <f>+IFERROR(-ABS(IF(EDATE(_xlfn.XLOOKUP(1,$H635:$BE635,$H$4:$BE$4),12*Assumptions!$H$87+12)=AQ$4,0,IF(AP635=1,PMT(Assumptions!$H$85,Assumptions!$H$48,$C637),AP648))),0)</f>
        <v>0</v>
      </c>
      <c r="AR648" s="39">
        <f>+IFERROR(-ABS(IF(EDATE(_xlfn.XLOOKUP(1,$H635:$BE635,$H$4:$BE$4),12*Assumptions!$H$87+12)=AR$4,0,IF(AQ635=1,PMT(Assumptions!$H$85,Assumptions!$H$48,$C637),AQ648))),0)</f>
        <v>0</v>
      </c>
      <c r="AS648" s="39">
        <f>+IFERROR(-ABS(IF(EDATE(_xlfn.XLOOKUP(1,$H635:$BE635,$H$4:$BE$4),12*Assumptions!$H$87+12)=AS$4,0,IF(AR635=1,PMT(Assumptions!$H$85,Assumptions!$H$48,$C637),AR648))),0)</f>
        <v>0</v>
      </c>
      <c r="AT648" s="39">
        <f>+IFERROR(-ABS(IF(EDATE(_xlfn.XLOOKUP(1,$H635:$BE635,$H$4:$BE$4),12*Assumptions!$H$87+12)=AT$4,0,IF(AS635=1,PMT(Assumptions!$H$85,Assumptions!$H$48,$C637),AS648))),0)</f>
        <v>0</v>
      </c>
      <c r="AU648" s="39">
        <f>+IFERROR(-ABS(IF(EDATE(_xlfn.XLOOKUP(1,$H635:$BE635,$H$4:$BE$4),12*Assumptions!$H$87+12)=AU$4,0,IF(AT635=1,PMT(Assumptions!$H$85,Assumptions!$H$48,$C637),AT648))),0)</f>
        <v>0</v>
      </c>
      <c r="AV648" s="39">
        <f>+IFERROR(-ABS(IF(EDATE(_xlfn.XLOOKUP(1,$H635:$BE635,$H$4:$BE$4),12*Assumptions!$H$87+12)=AV$4,0,IF(AU635=1,PMT(Assumptions!$H$85,Assumptions!$H$48,$C637),AU648))),0)</f>
        <v>0</v>
      </c>
      <c r="AW648" s="39">
        <f>+IFERROR(-ABS(IF(EDATE(_xlfn.XLOOKUP(1,$H635:$BE635,$H$4:$BE$4),12*Assumptions!$H$87+12)=AW$4,0,IF(AV635=1,PMT(Assumptions!$H$85,Assumptions!$H$48,$C637),AV648))),0)</f>
        <v>0</v>
      </c>
      <c r="AX648" s="39">
        <f>+IFERROR(-ABS(IF(EDATE(_xlfn.XLOOKUP(1,$H635:$BE635,$H$4:$BE$4),12*Assumptions!$H$87+12)=AX$4,0,IF(AW635=1,PMT(Assumptions!$H$85,Assumptions!$H$48,$C637),AW648))),0)</f>
        <v>0</v>
      </c>
      <c r="AY648" s="39">
        <f>+IFERROR(-ABS(IF(EDATE(_xlfn.XLOOKUP(1,$H635:$BE635,$H$4:$BE$4),12*Assumptions!$H$87+12)=AY$4,0,IF(AX635=1,PMT(Assumptions!$H$85,Assumptions!$H$48,$C637),AX648))),0)</f>
        <v>0</v>
      </c>
      <c r="AZ648" s="39">
        <f>+IFERROR(-ABS(IF(EDATE(_xlfn.XLOOKUP(1,$H635:$BE635,$H$4:$BE$4),12*Assumptions!$H$87+12)=AZ$4,0,IF(AY635=1,PMT(Assumptions!$H$85,Assumptions!$H$48,$C637),AY648))),0)</f>
        <v>0</v>
      </c>
      <c r="BA648" s="39">
        <f>+IFERROR(-ABS(IF(EDATE(_xlfn.XLOOKUP(1,$H635:$BE635,$H$4:$BE$4),12*Assumptions!$H$87+12)=BA$4,0,IF(AZ635=1,PMT(Assumptions!$H$85,Assumptions!$H$48,$C637),AZ648))),0)</f>
        <v>0</v>
      </c>
      <c r="BB648" s="39">
        <f>+IFERROR(-ABS(IF(EDATE(_xlfn.XLOOKUP(1,$H635:$BE635,$H$4:$BE$4),12*Assumptions!$H$87+12)=BB$4,0,IF(BA635=1,PMT(Assumptions!$H$85,Assumptions!$H$48,$C637),BA648))),0)</f>
        <v>0</v>
      </c>
      <c r="BC648" s="39">
        <f>+IFERROR(-ABS(IF(EDATE(_xlfn.XLOOKUP(1,$H635:$BE635,$H$4:$BE$4),12*Assumptions!$H$87+12)=BC$4,0,IF(BB635=1,PMT(Assumptions!$H$85,Assumptions!$H$48,$C637),BB648))),0)</f>
        <v>0</v>
      </c>
      <c r="BD648" s="39">
        <f>+IFERROR(-ABS(IF(EDATE(_xlfn.XLOOKUP(1,$H635:$BE635,$H$4:$BE$4),12*Assumptions!$H$87+12)=BD$4,0,IF(BC635=1,PMT(Assumptions!$H$85,Assumptions!$H$48,$C637),BC648))),0)</f>
        <v>0</v>
      </c>
      <c r="BE648" s="39">
        <f>+IFERROR(-ABS(IF(EDATE(_xlfn.XLOOKUP(1,$H635:$BE635,$H$4:$BE$4),12*Assumptions!$H$87+12)=BE$4,0,IF(BD635=1,PMT(Assumptions!$H$85,Assumptions!$H$48,$C637),BD648))),0)</f>
        <v>0</v>
      </c>
      <c r="BF648" s="39">
        <f>+IFERROR(-ABS(IF(EDATE(_xlfn.XLOOKUP(1,$H635:$BE635,$H$4:$BE$4),12*Assumptions!$H$87+12)=BF$4,0,IF(BE635=1,PMT(Assumptions!$H$85,Assumptions!$H$48,$C637),BE648))),0)</f>
        <v>0</v>
      </c>
      <c r="BG648" s="39">
        <f>+IFERROR(-ABS(IF(EDATE(_xlfn.XLOOKUP(1,$H635:$BE635,$H$4:$BE$4),12*Assumptions!$H$87+12)=BG$4,0,IF(BF635=1,PMT(Assumptions!$H$85,Assumptions!$H$48,$C637),BF648))),0)</f>
        <v>0</v>
      </c>
      <c r="BH648" s="39">
        <f>+IFERROR(-ABS(IF(EDATE(_xlfn.XLOOKUP(1,$H635:$BE635,$H$4:$BE$4),12*Assumptions!$H$87+12)=BH$4,0,IF(BG635=1,PMT(Assumptions!$H$85,Assumptions!$H$48,$C637),BG648))),0)</f>
        <v>0</v>
      </c>
      <c r="BI648" s="39">
        <f>+IFERROR(-ABS(IF(EDATE(_xlfn.XLOOKUP(1,$H635:$BE635,$H$4:$BE$4),12*Assumptions!$H$87+12)=BI$4,0,IF(BH635=1,PMT(Assumptions!$H$85,Assumptions!$H$48,$C637),BH648))),0)</f>
        <v>0</v>
      </c>
      <c r="BJ648" s="39">
        <f>+IFERROR(-ABS(IF(EDATE(_xlfn.XLOOKUP(1,$H635:$BE635,$H$4:$BE$4),12*Assumptions!$H$87+12)=BJ$4,0,IF(BI635=1,PMT(Assumptions!$H$85,Assumptions!$H$48,$C637),BI648))),0)</f>
        <v>0</v>
      </c>
      <c r="BK648" s="39">
        <f>+IFERROR(-ABS(IF(EDATE(_xlfn.XLOOKUP(1,$H635:$BE635,$H$4:$BE$4),12*Assumptions!$H$87+12)=BK$4,0,IF(BJ635=1,PMT(Assumptions!$H$85,Assumptions!$H$48,$C637),BJ648))),0)</f>
        <v>0</v>
      </c>
      <c r="BL648" s="39">
        <f>+IFERROR(-ABS(IF(EDATE(_xlfn.XLOOKUP(1,$H635:$BE635,$H$4:$BE$4),12*Assumptions!$H$87+12)=BL$4,0,IF(BK635=1,PMT(Assumptions!$H$85,Assumptions!$H$48,$C637),BK648))),0)</f>
        <v>0</v>
      </c>
      <c r="BM648" s="39">
        <f>+IFERROR(-ABS(IF(EDATE(_xlfn.XLOOKUP(1,$H635:$BE635,$H$4:$BE$4),12*Assumptions!$H$87+12)=BM$4,0,IF(BL635=1,PMT(Assumptions!$H$85,Assumptions!$H$48,$C637),BL648))),0)</f>
        <v>0</v>
      </c>
      <c r="BN648" s="39">
        <f>+IFERROR(-ABS(IF(EDATE(_xlfn.XLOOKUP(1,$H635:$BE635,$H$4:$BE$4),12*Assumptions!$H$87+12)=BN$4,0,IF(BM635=1,PMT(Assumptions!$H$85,Assumptions!$H$48,$C637),BM648))),0)</f>
        <v>0</v>
      </c>
      <c r="BO648" s="39">
        <f>+IFERROR(-ABS(IF(EDATE(_xlfn.XLOOKUP(1,$H635:$BE635,$H$4:$BE$4),12*Assumptions!$H$87+12)=BO$4,0,IF(BN635=1,PMT(Assumptions!$H$85,Assumptions!$H$48,$C637),BN648))),0)</f>
        <v>0</v>
      </c>
      <c r="BP648" s="39">
        <f>+IFERROR(-ABS(IF(EDATE(_xlfn.XLOOKUP(1,$H635:$BE635,$H$4:$BE$4),12*Assumptions!$H$87+12)=BP$4,0,IF(BO635=1,PMT(Assumptions!$H$85,Assumptions!$H$48,$C637),BO648))),0)</f>
        <v>0</v>
      </c>
      <c r="BQ648" s="39">
        <f>+IFERROR(-ABS(IF(EDATE(_xlfn.XLOOKUP(1,$H635:$BE635,$H$4:$BE$4),12*Assumptions!$H$87+12)=BQ$4,0,IF(BP635=1,PMT(Assumptions!$H$85,Assumptions!$H$48,$C637),BP648))),0)</f>
        <v>0</v>
      </c>
      <c r="BR648" s="39">
        <f>+IFERROR(-ABS(IF(EDATE(_xlfn.XLOOKUP(1,$H635:$BE635,$H$4:$BE$4),12*Assumptions!$H$87+12)=BR$4,0,IF(BQ635=1,PMT(Assumptions!$H$85,Assumptions!$H$48,$C637),BQ648))),0)</f>
        <v>0</v>
      </c>
      <c r="BS648" s="39">
        <f>+IFERROR(-ABS(IF(EDATE(_xlfn.XLOOKUP(1,$H635:$BE635,$H$4:$BE$4),12*Assumptions!$H$87+12)=BS$4,0,IF(BR635=1,PMT(Assumptions!$H$85,Assumptions!$H$48,$C637),BR648))),0)</f>
        <v>0</v>
      </c>
      <c r="BT648" s="39">
        <f>+IFERROR(-ABS(IF(EDATE(_xlfn.XLOOKUP(1,$H635:$BE635,$H$4:$BE$4),12*Assumptions!$H$87+12)=BT$4,0,IF(BS635=1,PMT(Assumptions!$H$85,Assumptions!$H$48,$C637),BS648))),0)</f>
        <v>0</v>
      </c>
      <c r="BU648" s="39">
        <f>+IFERROR(-ABS(IF(EDATE(_xlfn.XLOOKUP(1,$H635:$BE635,$H$4:$BE$4),12*Assumptions!$H$87+12)=BU$4,0,IF(BT635=1,PMT(Assumptions!$H$85,Assumptions!$H$48,$C637),BT648))),0)</f>
        <v>0</v>
      </c>
      <c r="BV648" s="39">
        <f>+IFERROR(-ABS(IF(EDATE(_xlfn.XLOOKUP(1,$H635:$BE635,$H$4:$BE$4),12*Assumptions!$H$87+12)=BV$4,0,IF(BU635=1,PMT(Assumptions!$H$85,Assumptions!$H$48,$C637),BU648))),0)</f>
        <v>0</v>
      </c>
      <c r="BW648" s="39">
        <f>+IFERROR(-ABS(IF(EDATE(_xlfn.XLOOKUP(1,$H635:$BE635,$H$4:$BE$4),12*Assumptions!$H$87+12)=BW$4,0,IF(BV635=1,PMT(Assumptions!$H$85,Assumptions!$H$48,$C637),BV648))),0)</f>
        <v>0</v>
      </c>
      <c r="BX648" s="39">
        <f>+IFERROR(-ABS(IF(EDATE(_xlfn.XLOOKUP(1,$H635:$BE635,$H$4:$BE$4),12*Assumptions!$H$87+12)=BX$4,0,IF(BW635=1,PMT(Assumptions!$H$85,Assumptions!$H$48,$C637),BW648))),0)</f>
        <v>0</v>
      </c>
      <c r="BY648" s="39">
        <f>+IFERROR(-ABS(IF(EDATE(_xlfn.XLOOKUP(1,$H635:$BE635,$H$4:$BE$4),12*Assumptions!$H$87+12)=BY$4,0,IF(BX635=1,PMT(Assumptions!$H$85,Assumptions!$H$48,$C637),BX648))),0)</f>
        <v>0</v>
      </c>
    </row>
    <row r="649" spans="5:77" outlineLevel="1">
      <c r="E649" s="24" t="s">
        <v>518</v>
      </c>
      <c r="F649" s="80" t="str">
        <f>+Assumptions!$G$8</f>
        <v>USD</v>
      </c>
      <c r="G649" s="24"/>
      <c r="H649" s="39">
        <f>+IFERROR(-ABS(IF(EDATE(_xlfn.XLOOKUP(1,$H636:$BE636,$H$4:$BE$4),12*Assumptions!$H$87+12)=H$4,0,IF(G636=1,PMT(Assumptions!$H$85,Assumptions!$H$48,$C638),G649))),0)</f>
        <v>0</v>
      </c>
      <c r="I649" s="39">
        <f>+IFERROR(-ABS(IF(EDATE(_xlfn.XLOOKUP(1,$H636:$BE636,$H$4:$BE$4),12*Assumptions!$H$87+12)=I$4,0,IF(H636=1,PMT(Assumptions!$H$85,Assumptions!$H$48,$C638),H649))),0)</f>
        <v>0</v>
      </c>
      <c r="J649" s="39">
        <f>+IFERROR(-ABS(IF(EDATE(_xlfn.XLOOKUP(1,$H636:$BE636,$H$4:$BE$4),12*Assumptions!$H$87+12)=J$4,0,IF(I636=1,PMT(Assumptions!$H$85,Assumptions!$H$48,$C638),I649))),0)</f>
        <v>0</v>
      </c>
      <c r="K649" s="39">
        <f>+IFERROR(-ABS(IF(EDATE(_xlfn.XLOOKUP(1,$H636:$BE636,$H$4:$BE$4),12*Assumptions!$H$87+12)=K$4,0,IF(J636=1,PMT(Assumptions!$H$85,Assumptions!$H$48,$C638),J649))),0)</f>
        <v>0</v>
      </c>
      <c r="L649" s="39">
        <f>+IFERROR(-ABS(IF(EDATE(_xlfn.XLOOKUP(1,$H636:$BE636,$H$4:$BE$4),12*Assumptions!$H$87+12)=L$4,0,IF(K636=1,PMT(Assumptions!$H$85,Assumptions!$H$48,$C638),K649))),0)</f>
        <v>0</v>
      </c>
      <c r="M649" s="39">
        <f>+IFERROR(-ABS(IF(EDATE(_xlfn.XLOOKUP(1,$H636:$BE636,$H$4:$BE$4),12*Assumptions!$H$87+12)=M$4,0,IF(L636=1,PMT(Assumptions!$H$85,Assumptions!$H$48,$C638),L649))),0)</f>
        <v>0</v>
      </c>
      <c r="N649" s="39">
        <f>+IFERROR(-ABS(IF(EDATE(_xlfn.XLOOKUP(1,$H636:$BE636,$H$4:$BE$4),12*Assumptions!$H$87+12)=N$4,0,IF(M636=1,PMT(Assumptions!$H$85,Assumptions!$H$48,$C638),M649))),0)</f>
        <v>0</v>
      </c>
      <c r="O649" s="39">
        <f>+IFERROR(-ABS(IF(EDATE(_xlfn.XLOOKUP(1,$H636:$BE636,$H$4:$BE$4),12*Assumptions!$H$87+12)=O$4,0,IF(N636=1,PMT(Assumptions!$H$85,Assumptions!$H$48,$C638),N649))),0)</f>
        <v>0</v>
      </c>
      <c r="P649" s="39">
        <f>+IFERROR(-ABS(IF(EDATE(_xlfn.XLOOKUP(1,$H636:$BE636,$H$4:$BE$4),12*Assumptions!$H$87+12)=P$4,0,IF(O636=1,PMT(Assumptions!$H$85,Assumptions!$H$48,$C638),O649))),0)</f>
        <v>0</v>
      </c>
      <c r="Q649" s="39">
        <f>+IFERROR(-ABS(IF(EDATE(_xlfn.XLOOKUP(1,$H636:$BE636,$H$4:$BE$4),12*Assumptions!$H$87+12)=Q$4,0,IF(P636=1,PMT(Assumptions!$H$85,Assumptions!$H$48,$C638),P649))),0)</f>
        <v>0</v>
      </c>
      <c r="R649" s="39">
        <f>+IFERROR(-ABS(IF(EDATE(_xlfn.XLOOKUP(1,$H636:$BE636,$H$4:$BE$4),12*Assumptions!$H$87+12)=R$4,0,IF(Q636=1,PMT(Assumptions!$H$85,Assumptions!$H$48,$C638),Q649))),0)</f>
        <v>0</v>
      </c>
      <c r="S649" s="39">
        <f>+IFERROR(-ABS(IF(EDATE(_xlfn.XLOOKUP(1,$H636:$BE636,$H$4:$BE$4),12*Assumptions!$H$87+12)=S$4,0,IF(R636=1,PMT(Assumptions!$H$85,Assumptions!$H$48,$C638),R649))),0)</f>
        <v>0</v>
      </c>
      <c r="T649" s="39">
        <f>+IFERROR(-ABS(IF(EDATE(_xlfn.XLOOKUP(1,$H636:$BE636,$H$4:$BE$4),12*Assumptions!$H$87+12)=T$4,0,IF(S636=1,PMT(Assumptions!$H$85,Assumptions!$H$48,$C638),S649))),0)</f>
        <v>0</v>
      </c>
      <c r="U649" s="39">
        <f>+IFERROR(-ABS(IF(EDATE(_xlfn.XLOOKUP(1,$H636:$BE636,$H$4:$BE$4),12*Assumptions!$H$87+12)=U$4,0,IF(T636=1,PMT(Assumptions!$H$85,Assumptions!$H$48,$C638),T649))),0)</f>
        <v>0</v>
      </c>
      <c r="V649" s="39">
        <f>+IFERROR(-ABS(IF(EDATE(_xlfn.XLOOKUP(1,$H636:$BE636,$H$4:$BE$4),12*Assumptions!$H$87+12)=V$4,0,IF(U636=1,PMT(Assumptions!$H$85,Assumptions!$H$48,$C638),U649))),0)</f>
        <v>0</v>
      </c>
      <c r="W649" s="39">
        <f>+IFERROR(-ABS(IF(EDATE(_xlfn.XLOOKUP(1,$H636:$BE636,$H$4:$BE$4),12*Assumptions!$H$87+12)=W$4,0,IF(V636=1,PMT(Assumptions!$H$85,Assumptions!$H$48,$C638),V649))),0)</f>
        <v>0</v>
      </c>
      <c r="X649" s="39">
        <f>+IFERROR(-ABS(IF(EDATE(_xlfn.XLOOKUP(1,$H636:$BE636,$H$4:$BE$4),12*Assumptions!$H$87+12)=X$4,0,IF(W636=1,PMT(Assumptions!$H$85,Assumptions!$H$48,$C638),W649))),0)</f>
        <v>0</v>
      </c>
      <c r="Y649" s="39">
        <f>+IFERROR(-ABS(IF(EDATE(_xlfn.XLOOKUP(1,$H636:$BE636,$H$4:$BE$4),12*Assumptions!$H$87+12)=Y$4,0,IF(X636=1,PMT(Assumptions!$H$85,Assumptions!$H$48,$C638),X649))),0)</f>
        <v>0</v>
      </c>
      <c r="Z649" s="39">
        <f>+IFERROR(-ABS(IF(EDATE(_xlfn.XLOOKUP(1,$H636:$BE636,$H$4:$BE$4),12*Assumptions!$H$87+12)=Z$4,0,IF(Y636=1,PMT(Assumptions!$H$85,Assumptions!$H$48,$C638),Y649))),0)</f>
        <v>0</v>
      </c>
      <c r="AA649" s="39">
        <f>+IFERROR(-ABS(IF(EDATE(_xlfn.XLOOKUP(1,$H636:$BE636,$H$4:$BE$4),12*Assumptions!$H$87+12)=AA$4,0,IF(Z636=1,PMT(Assumptions!$H$85,Assumptions!$H$48,$C638),Z649))),0)</f>
        <v>0</v>
      </c>
      <c r="AB649" s="39">
        <f>+IFERROR(-ABS(IF(EDATE(_xlfn.XLOOKUP(1,$H636:$BE636,$H$4:$BE$4),12*Assumptions!$H$87+12)=AB$4,0,IF(AA636=1,PMT(Assumptions!$H$85,Assumptions!$H$48,$C638),AA649))),0)</f>
        <v>0</v>
      </c>
      <c r="AC649" s="39">
        <f>+IFERROR(-ABS(IF(EDATE(_xlfn.XLOOKUP(1,$H636:$BE636,$H$4:$BE$4),12*Assumptions!$H$87+12)=AC$4,0,IF(AB636=1,PMT(Assumptions!$H$85,Assumptions!$H$48,$C638),AB649))),0)</f>
        <v>0</v>
      </c>
      <c r="AD649" s="39">
        <f>+IFERROR(-ABS(IF(EDATE(_xlfn.XLOOKUP(1,$H636:$BE636,$H$4:$BE$4),12*Assumptions!$H$87+12)=AD$4,0,IF(AC636=1,PMT(Assumptions!$H$85,Assumptions!$H$48,$C638),AC649))),0)</f>
        <v>0</v>
      </c>
      <c r="AE649" s="39">
        <f>+IFERROR(-ABS(IF(EDATE(_xlfn.XLOOKUP(1,$H636:$BE636,$H$4:$BE$4),12*Assumptions!$H$87+12)=AE$4,0,IF(AD636=1,PMT(Assumptions!$H$85,Assumptions!$H$48,$C638),AD649))),0)</f>
        <v>0</v>
      </c>
      <c r="AF649" s="39">
        <f>+IFERROR(-ABS(IF(EDATE(_xlfn.XLOOKUP(1,$H636:$BE636,$H$4:$BE$4),12*Assumptions!$H$87+12)=AF$4,0,IF(AE636=1,PMT(Assumptions!$H$85,Assumptions!$H$48,$C638),AE649))),0)</f>
        <v>0</v>
      </c>
      <c r="AG649" s="39">
        <f>+IFERROR(-ABS(IF(EDATE(_xlfn.XLOOKUP(1,$H636:$BE636,$H$4:$BE$4),12*Assumptions!$H$87+12)=AG$4,0,IF(AF636=1,PMT(Assumptions!$H$85,Assumptions!$H$48,$C638),AF649))),0)</f>
        <v>0</v>
      </c>
      <c r="AH649" s="39">
        <f>+IFERROR(-ABS(IF(EDATE(_xlfn.XLOOKUP(1,$H636:$BE636,$H$4:$BE$4),12*Assumptions!$H$87+12)=AH$4,0,IF(AG636=1,PMT(Assumptions!$H$85,Assumptions!$H$48,$C638),AG649))),0)</f>
        <v>0</v>
      </c>
      <c r="AI649" s="39">
        <f>+IFERROR(-ABS(IF(EDATE(_xlfn.XLOOKUP(1,$H636:$BE636,$H$4:$BE$4),12*Assumptions!$H$87+12)=AI$4,0,IF(AH636=1,PMT(Assumptions!$H$85,Assumptions!$H$48,$C638),AH649))),0)</f>
        <v>0</v>
      </c>
      <c r="AJ649" s="39">
        <f>+IFERROR(-ABS(IF(EDATE(_xlfn.XLOOKUP(1,$H636:$BE636,$H$4:$BE$4),12*Assumptions!$H$87+12)=AJ$4,0,IF(AI636=1,PMT(Assumptions!$H$85,Assumptions!$H$48,$C638),AI649))),0)</f>
        <v>0</v>
      </c>
      <c r="AK649" s="39">
        <f>+IFERROR(-ABS(IF(EDATE(_xlfn.XLOOKUP(1,$H636:$BE636,$H$4:$BE$4),12*Assumptions!$H$87+12)=AK$4,0,IF(AJ636=1,PMT(Assumptions!$H$85,Assumptions!$H$48,$C638),AJ649))),0)</f>
        <v>0</v>
      </c>
      <c r="AL649" s="39">
        <f>+IFERROR(-ABS(IF(EDATE(_xlfn.XLOOKUP(1,$H636:$BE636,$H$4:$BE$4),12*Assumptions!$H$87+12)=AL$4,0,IF(AK636=1,PMT(Assumptions!$H$85,Assumptions!$H$48,$C638),AK649))),0)</f>
        <v>0</v>
      </c>
      <c r="AM649" s="39">
        <f>+IFERROR(-ABS(IF(EDATE(_xlfn.XLOOKUP(1,$H636:$BE636,$H$4:$BE$4),12*Assumptions!$H$87+12)=AM$4,0,IF(AL636=1,PMT(Assumptions!$H$85,Assumptions!$H$48,$C638),AL649))),0)</f>
        <v>0</v>
      </c>
      <c r="AN649" s="39">
        <f>+IFERROR(-ABS(IF(EDATE(_xlfn.XLOOKUP(1,$H636:$BE636,$H$4:$BE$4),12*Assumptions!$H$87+12)=AN$4,0,IF(AM636=1,PMT(Assumptions!$H$85,Assumptions!$H$48,$C638),AM649))),0)</f>
        <v>0</v>
      </c>
      <c r="AO649" s="39">
        <f>+IFERROR(-ABS(IF(EDATE(_xlfn.XLOOKUP(1,$H636:$BE636,$H$4:$BE$4),12*Assumptions!$H$87+12)=AO$4,0,IF(AN636=1,PMT(Assumptions!$H$85,Assumptions!$H$48,$C638),AN649))),0)</f>
        <v>0</v>
      </c>
      <c r="AP649" s="39">
        <f>+IFERROR(-ABS(IF(EDATE(_xlfn.XLOOKUP(1,$H636:$BE636,$H$4:$BE$4),12*Assumptions!$H$87+12)=AP$4,0,IF(AO636=1,PMT(Assumptions!$H$85,Assumptions!$H$48,$C638),AO649))),0)</f>
        <v>0</v>
      </c>
      <c r="AQ649" s="39">
        <f>+IFERROR(-ABS(IF(EDATE(_xlfn.XLOOKUP(1,$H636:$BE636,$H$4:$BE$4),12*Assumptions!$H$87+12)=AQ$4,0,IF(AP636=1,PMT(Assumptions!$H$85,Assumptions!$H$48,$C638),AP649))),0)</f>
        <v>0</v>
      </c>
      <c r="AR649" s="39">
        <f>+IFERROR(-ABS(IF(EDATE(_xlfn.XLOOKUP(1,$H636:$BE636,$H$4:$BE$4),12*Assumptions!$H$87+12)=AR$4,0,IF(AQ636=1,PMT(Assumptions!$H$85,Assumptions!$H$48,$C638),AQ649))),0)</f>
        <v>0</v>
      </c>
      <c r="AS649" s="39">
        <f>+IFERROR(-ABS(IF(EDATE(_xlfn.XLOOKUP(1,$H636:$BE636,$H$4:$BE$4),12*Assumptions!$H$87+12)=AS$4,0,IF(AR636=1,PMT(Assumptions!$H$85,Assumptions!$H$48,$C638),AR649))),0)</f>
        <v>0</v>
      </c>
      <c r="AT649" s="39">
        <f>+IFERROR(-ABS(IF(EDATE(_xlfn.XLOOKUP(1,$H636:$BE636,$H$4:$BE$4),12*Assumptions!$H$87+12)=AT$4,0,IF(AS636=1,PMT(Assumptions!$H$85,Assumptions!$H$48,$C638),AS649))),0)</f>
        <v>0</v>
      </c>
      <c r="AU649" s="39">
        <f>+IFERROR(-ABS(IF(EDATE(_xlfn.XLOOKUP(1,$H636:$BE636,$H$4:$BE$4),12*Assumptions!$H$87+12)=AU$4,0,IF(AT636=1,PMT(Assumptions!$H$85,Assumptions!$H$48,$C638),AT649))),0)</f>
        <v>0</v>
      </c>
      <c r="AV649" s="39">
        <f>+IFERROR(-ABS(IF(EDATE(_xlfn.XLOOKUP(1,$H636:$BE636,$H$4:$BE$4),12*Assumptions!$H$87+12)=AV$4,0,IF(AU636=1,PMT(Assumptions!$H$85,Assumptions!$H$48,$C638),AU649))),0)</f>
        <v>0</v>
      </c>
      <c r="AW649" s="39">
        <f>+IFERROR(-ABS(IF(EDATE(_xlfn.XLOOKUP(1,$H636:$BE636,$H$4:$BE$4),12*Assumptions!$H$87+12)=AW$4,0,IF(AV636=1,PMT(Assumptions!$H$85,Assumptions!$H$48,$C638),AV649))),0)</f>
        <v>0</v>
      </c>
      <c r="AX649" s="39">
        <f>+IFERROR(-ABS(IF(EDATE(_xlfn.XLOOKUP(1,$H636:$BE636,$H$4:$BE$4),12*Assumptions!$H$87+12)=AX$4,0,IF(AW636=1,PMT(Assumptions!$H$85,Assumptions!$H$48,$C638),AW649))),0)</f>
        <v>0</v>
      </c>
      <c r="AY649" s="39">
        <f>+IFERROR(-ABS(IF(EDATE(_xlfn.XLOOKUP(1,$H636:$BE636,$H$4:$BE$4),12*Assumptions!$H$87+12)=AY$4,0,IF(AX636=1,PMT(Assumptions!$H$85,Assumptions!$H$48,$C638),AX649))),0)</f>
        <v>0</v>
      </c>
      <c r="AZ649" s="39">
        <f>+IFERROR(-ABS(IF(EDATE(_xlfn.XLOOKUP(1,$H636:$BE636,$H$4:$BE$4),12*Assumptions!$H$87+12)=AZ$4,0,IF(AY636=1,PMT(Assumptions!$H$85,Assumptions!$H$48,$C638),AY649))),0)</f>
        <v>0</v>
      </c>
      <c r="BA649" s="39">
        <f>+IFERROR(-ABS(IF(EDATE(_xlfn.XLOOKUP(1,$H636:$BE636,$H$4:$BE$4),12*Assumptions!$H$87+12)=BA$4,0,IF(AZ636=1,PMT(Assumptions!$H$85,Assumptions!$H$48,$C638),AZ649))),0)</f>
        <v>0</v>
      </c>
      <c r="BB649" s="39">
        <f>+IFERROR(-ABS(IF(EDATE(_xlfn.XLOOKUP(1,$H636:$BE636,$H$4:$BE$4),12*Assumptions!$H$87+12)=BB$4,0,IF(BA636=1,PMT(Assumptions!$H$85,Assumptions!$H$48,$C638),BA649))),0)</f>
        <v>0</v>
      </c>
      <c r="BC649" s="39">
        <f>+IFERROR(-ABS(IF(EDATE(_xlfn.XLOOKUP(1,$H636:$BE636,$H$4:$BE$4),12*Assumptions!$H$87+12)=BC$4,0,IF(BB636=1,PMT(Assumptions!$H$85,Assumptions!$H$48,$C638),BB649))),0)</f>
        <v>0</v>
      </c>
      <c r="BD649" s="39">
        <f>+IFERROR(-ABS(IF(EDATE(_xlfn.XLOOKUP(1,$H636:$BE636,$H$4:$BE$4),12*Assumptions!$H$87+12)=BD$4,0,IF(BC636=1,PMT(Assumptions!$H$85,Assumptions!$H$48,$C638),BC649))),0)</f>
        <v>0</v>
      </c>
      <c r="BE649" s="39">
        <f>+IFERROR(-ABS(IF(EDATE(_xlfn.XLOOKUP(1,$H636:$BE636,$H$4:$BE$4),12*Assumptions!$H$87+12)=BE$4,0,IF(BD636=1,PMT(Assumptions!$H$85,Assumptions!$H$48,$C638),BD649))),0)</f>
        <v>0</v>
      </c>
      <c r="BF649" s="39">
        <f>+IFERROR(-ABS(IF(EDATE(_xlfn.XLOOKUP(1,$H636:$BE636,$H$4:$BE$4),12*Assumptions!$H$87+12)=BF$4,0,IF(BE636=1,PMT(Assumptions!$H$85,Assumptions!$H$48,$C638),BE649))),0)</f>
        <v>0</v>
      </c>
      <c r="BG649" s="39">
        <f>+IFERROR(-ABS(IF(EDATE(_xlfn.XLOOKUP(1,$H636:$BE636,$H$4:$BE$4),12*Assumptions!$H$87+12)=BG$4,0,IF(BF636=1,PMT(Assumptions!$H$85,Assumptions!$H$48,$C638),BF649))),0)</f>
        <v>0</v>
      </c>
      <c r="BH649" s="39">
        <f>+IFERROR(-ABS(IF(EDATE(_xlfn.XLOOKUP(1,$H636:$BE636,$H$4:$BE$4),12*Assumptions!$H$87+12)=BH$4,0,IF(BG636=1,PMT(Assumptions!$H$85,Assumptions!$H$48,$C638),BG649))),0)</f>
        <v>0</v>
      </c>
      <c r="BI649" s="39">
        <f>+IFERROR(-ABS(IF(EDATE(_xlfn.XLOOKUP(1,$H636:$BE636,$H$4:$BE$4),12*Assumptions!$H$87+12)=BI$4,0,IF(BH636=1,PMT(Assumptions!$H$85,Assumptions!$H$48,$C638),BH649))),0)</f>
        <v>0</v>
      </c>
      <c r="BJ649" s="39">
        <f>+IFERROR(-ABS(IF(EDATE(_xlfn.XLOOKUP(1,$H636:$BE636,$H$4:$BE$4),12*Assumptions!$H$87+12)=BJ$4,0,IF(BI636=1,PMT(Assumptions!$H$85,Assumptions!$H$48,$C638),BI649))),0)</f>
        <v>0</v>
      </c>
      <c r="BK649" s="39">
        <f>+IFERROR(-ABS(IF(EDATE(_xlfn.XLOOKUP(1,$H636:$BE636,$H$4:$BE$4),12*Assumptions!$H$87+12)=BK$4,0,IF(BJ636=1,PMT(Assumptions!$H$85,Assumptions!$H$48,$C638),BJ649))),0)</f>
        <v>0</v>
      </c>
      <c r="BL649" s="39">
        <f>+IFERROR(-ABS(IF(EDATE(_xlfn.XLOOKUP(1,$H636:$BE636,$H$4:$BE$4),12*Assumptions!$H$87+12)=BL$4,0,IF(BK636=1,PMT(Assumptions!$H$85,Assumptions!$H$48,$C638),BK649))),0)</f>
        <v>0</v>
      </c>
      <c r="BM649" s="39">
        <f>+IFERROR(-ABS(IF(EDATE(_xlfn.XLOOKUP(1,$H636:$BE636,$H$4:$BE$4),12*Assumptions!$H$87+12)=BM$4,0,IF(BL636=1,PMT(Assumptions!$H$85,Assumptions!$H$48,$C638),BL649))),0)</f>
        <v>0</v>
      </c>
      <c r="BN649" s="39">
        <f>+IFERROR(-ABS(IF(EDATE(_xlfn.XLOOKUP(1,$H636:$BE636,$H$4:$BE$4),12*Assumptions!$H$87+12)=BN$4,0,IF(BM636=1,PMT(Assumptions!$H$85,Assumptions!$H$48,$C638),BM649))),0)</f>
        <v>0</v>
      </c>
      <c r="BO649" s="39">
        <f>+IFERROR(-ABS(IF(EDATE(_xlfn.XLOOKUP(1,$H636:$BE636,$H$4:$BE$4),12*Assumptions!$H$87+12)=BO$4,0,IF(BN636=1,PMT(Assumptions!$H$85,Assumptions!$H$48,$C638),BN649))),0)</f>
        <v>0</v>
      </c>
      <c r="BP649" s="39">
        <f>+IFERROR(-ABS(IF(EDATE(_xlfn.XLOOKUP(1,$H636:$BE636,$H$4:$BE$4),12*Assumptions!$H$87+12)=BP$4,0,IF(BO636=1,PMT(Assumptions!$H$85,Assumptions!$H$48,$C638),BO649))),0)</f>
        <v>0</v>
      </c>
      <c r="BQ649" s="39">
        <f>+IFERROR(-ABS(IF(EDATE(_xlfn.XLOOKUP(1,$H636:$BE636,$H$4:$BE$4),12*Assumptions!$H$87+12)=BQ$4,0,IF(BP636=1,PMT(Assumptions!$H$85,Assumptions!$H$48,$C638),BP649))),0)</f>
        <v>0</v>
      </c>
      <c r="BR649" s="39">
        <f>+IFERROR(-ABS(IF(EDATE(_xlfn.XLOOKUP(1,$H636:$BE636,$H$4:$BE$4),12*Assumptions!$H$87+12)=BR$4,0,IF(BQ636=1,PMT(Assumptions!$H$85,Assumptions!$H$48,$C638),BQ649))),0)</f>
        <v>0</v>
      </c>
      <c r="BS649" s="39">
        <f>+IFERROR(-ABS(IF(EDATE(_xlfn.XLOOKUP(1,$H636:$BE636,$H$4:$BE$4),12*Assumptions!$H$87+12)=BS$4,0,IF(BR636=1,PMT(Assumptions!$H$85,Assumptions!$H$48,$C638),BR649))),0)</f>
        <v>0</v>
      </c>
      <c r="BT649" s="39">
        <f>+IFERROR(-ABS(IF(EDATE(_xlfn.XLOOKUP(1,$H636:$BE636,$H$4:$BE$4),12*Assumptions!$H$87+12)=BT$4,0,IF(BS636=1,PMT(Assumptions!$H$85,Assumptions!$H$48,$C638),BS649))),0)</f>
        <v>0</v>
      </c>
      <c r="BU649" s="39">
        <f>+IFERROR(-ABS(IF(EDATE(_xlfn.XLOOKUP(1,$H636:$BE636,$H$4:$BE$4),12*Assumptions!$H$87+12)=BU$4,0,IF(BT636=1,PMT(Assumptions!$H$85,Assumptions!$H$48,$C638),BT649))),0)</f>
        <v>0</v>
      </c>
      <c r="BV649" s="39">
        <f>+IFERROR(-ABS(IF(EDATE(_xlfn.XLOOKUP(1,$H636:$BE636,$H$4:$BE$4),12*Assumptions!$H$87+12)=BV$4,0,IF(BU636=1,PMT(Assumptions!$H$85,Assumptions!$H$48,$C638),BU649))),0)</f>
        <v>0</v>
      </c>
      <c r="BW649" s="39">
        <f>+IFERROR(-ABS(IF(EDATE(_xlfn.XLOOKUP(1,$H636:$BE636,$H$4:$BE$4),12*Assumptions!$H$87+12)=BW$4,0,IF(BV636=1,PMT(Assumptions!$H$85,Assumptions!$H$48,$C638),BV649))),0)</f>
        <v>0</v>
      </c>
      <c r="BX649" s="39">
        <f>+IFERROR(-ABS(IF(EDATE(_xlfn.XLOOKUP(1,$H636:$BE636,$H$4:$BE$4),12*Assumptions!$H$87+12)=BX$4,0,IF(BW636=1,PMT(Assumptions!$H$85,Assumptions!$H$48,$C638),BW649))),0)</f>
        <v>0</v>
      </c>
      <c r="BY649" s="39">
        <f>+IFERROR(-ABS(IF(EDATE(_xlfn.XLOOKUP(1,$H636:$BE636,$H$4:$BE$4),12*Assumptions!$H$87+12)=BY$4,0,IF(BX636=1,PMT(Assumptions!$H$85,Assumptions!$H$48,$C638),BX649))),0)</f>
        <v>0</v>
      </c>
    </row>
    <row r="650" spans="5:77" outlineLevel="1">
      <c r="E650" s="24" t="s">
        <v>519</v>
      </c>
      <c r="F650" s="80" t="str">
        <f>+Assumptions!$G$8</f>
        <v>USD</v>
      </c>
      <c r="G650" s="24"/>
      <c r="H650" s="39">
        <f>+IFERROR(-ABS(IF(EDATE(_xlfn.XLOOKUP(1,$H637:$BE637,$H$4:$BE$4),12*Assumptions!$H$87+12)=H$4,0,IF(G637=1,PMT(Assumptions!$H$85,Assumptions!$H$48,$C639),G650))),0)</f>
        <v>0</v>
      </c>
      <c r="I650" s="39">
        <f>+IFERROR(-ABS(IF(EDATE(_xlfn.XLOOKUP(1,$H637:$BE637,$H$4:$BE$4),12*Assumptions!$H$87+12)=I$4,0,IF(H637=1,PMT(Assumptions!$H$85,Assumptions!$H$48,$C639),H650))),0)</f>
        <v>0</v>
      </c>
      <c r="J650" s="39">
        <f>+IFERROR(-ABS(IF(EDATE(_xlfn.XLOOKUP(1,$H637:$BE637,$H$4:$BE$4),12*Assumptions!$H$87+12)=J$4,0,IF(I637=1,PMT(Assumptions!$H$85,Assumptions!$H$48,$C639),I650))),0)</f>
        <v>0</v>
      </c>
      <c r="K650" s="39">
        <f>+IFERROR(-ABS(IF(EDATE(_xlfn.XLOOKUP(1,$H637:$BE637,$H$4:$BE$4),12*Assumptions!$H$87+12)=K$4,0,IF(J637=1,PMT(Assumptions!$H$85,Assumptions!$H$48,$C639),J650))),0)</f>
        <v>0</v>
      </c>
      <c r="L650" s="39">
        <f>+IFERROR(-ABS(IF(EDATE(_xlfn.XLOOKUP(1,$H637:$BE637,$H$4:$BE$4),12*Assumptions!$H$87+12)=L$4,0,IF(K637=1,PMT(Assumptions!$H$85,Assumptions!$H$48,$C639),K650))),0)</f>
        <v>0</v>
      </c>
      <c r="M650" s="39">
        <f>+IFERROR(-ABS(IF(EDATE(_xlfn.XLOOKUP(1,$H637:$BE637,$H$4:$BE$4),12*Assumptions!$H$87+12)=M$4,0,IF(L637=1,PMT(Assumptions!$H$85,Assumptions!$H$48,$C639),L650))),0)</f>
        <v>0</v>
      </c>
      <c r="N650" s="39">
        <f>+IFERROR(-ABS(IF(EDATE(_xlfn.XLOOKUP(1,$H637:$BE637,$H$4:$BE$4),12*Assumptions!$H$87+12)=N$4,0,IF(M637=1,PMT(Assumptions!$H$85,Assumptions!$H$48,$C639),M650))),0)</f>
        <v>0</v>
      </c>
      <c r="O650" s="39">
        <f>+IFERROR(-ABS(IF(EDATE(_xlfn.XLOOKUP(1,$H637:$BE637,$H$4:$BE$4),12*Assumptions!$H$87+12)=O$4,0,IF(N637=1,PMT(Assumptions!$H$85,Assumptions!$H$48,$C639),N650))),0)</f>
        <v>0</v>
      </c>
      <c r="P650" s="39">
        <f>+IFERROR(-ABS(IF(EDATE(_xlfn.XLOOKUP(1,$H637:$BE637,$H$4:$BE$4),12*Assumptions!$H$87+12)=P$4,0,IF(O637=1,PMT(Assumptions!$H$85,Assumptions!$H$48,$C639),O650))),0)</f>
        <v>0</v>
      </c>
      <c r="Q650" s="39">
        <f>+IFERROR(-ABS(IF(EDATE(_xlfn.XLOOKUP(1,$H637:$BE637,$H$4:$BE$4),12*Assumptions!$H$87+12)=Q$4,0,IF(P637=1,PMT(Assumptions!$H$85,Assumptions!$H$48,$C639),P650))),0)</f>
        <v>0</v>
      </c>
      <c r="R650" s="39">
        <f>+IFERROR(-ABS(IF(EDATE(_xlfn.XLOOKUP(1,$H637:$BE637,$H$4:$BE$4),12*Assumptions!$H$87+12)=R$4,0,IF(Q637=1,PMT(Assumptions!$H$85,Assumptions!$H$48,$C639),Q650))),0)</f>
        <v>0</v>
      </c>
      <c r="S650" s="39">
        <f>+IFERROR(-ABS(IF(EDATE(_xlfn.XLOOKUP(1,$H637:$BE637,$H$4:$BE$4),12*Assumptions!$H$87+12)=S$4,0,IF(R637=1,PMT(Assumptions!$H$85,Assumptions!$H$48,$C639),R650))),0)</f>
        <v>0</v>
      </c>
      <c r="T650" s="39">
        <f>+IFERROR(-ABS(IF(EDATE(_xlfn.XLOOKUP(1,$H637:$BE637,$H$4:$BE$4),12*Assumptions!$H$87+12)=T$4,0,IF(S637=1,PMT(Assumptions!$H$85,Assumptions!$H$48,$C639),S650))),0)</f>
        <v>0</v>
      </c>
      <c r="U650" s="39">
        <f>+IFERROR(-ABS(IF(EDATE(_xlfn.XLOOKUP(1,$H637:$BE637,$H$4:$BE$4),12*Assumptions!$H$87+12)=U$4,0,IF(T637=1,PMT(Assumptions!$H$85,Assumptions!$H$48,$C639),T650))),0)</f>
        <v>0</v>
      </c>
      <c r="V650" s="39">
        <f>+IFERROR(-ABS(IF(EDATE(_xlfn.XLOOKUP(1,$H637:$BE637,$H$4:$BE$4),12*Assumptions!$H$87+12)=V$4,0,IF(U637=1,PMT(Assumptions!$H$85,Assumptions!$H$48,$C639),U650))),0)</f>
        <v>0</v>
      </c>
      <c r="W650" s="39">
        <f>+IFERROR(-ABS(IF(EDATE(_xlfn.XLOOKUP(1,$H637:$BE637,$H$4:$BE$4),12*Assumptions!$H$87+12)=W$4,0,IF(V637=1,PMT(Assumptions!$H$85,Assumptions!$H$48,$C639),V650))),0)</f>
        <v>0</v>
      </c>
      <c r="X650" s="39">
        <f>+IFERROR(-ABS(IF(EDATE(_xlfn.XLOOKUP(1,$H637:$BE637,$H$4:$BE$4),12*Assumptions!$H$87+12)=X$4,0,IF(W637=1,PMT(Assumptions!$H$85,Assumptions!$H$48,$C639),W650))),0)</f>
        <v>0</v>
      </c>
      <c r="Y650" s="39">
        <f>+IFERROR(-ABS(IF(EDATE(_xlfn.XLOOKUP(1,$H637:$BE637,$H$4:$BE$4),12*Assumptions!$H$87+12)=Y$4,0,IF(X637=1,PMT(Assumptions!$H$85,Assumptions!$H$48,$C639),X650))),0)</f>
        <v>0</v>
      </c>
      <c r="Z650" s="39">
        <f>+IFERROR(-ABS(IF(EDATE(_xlfn.XLOOKUP(1,$H637:$BE637,$H$4:$BE$4),12*Assumptions!$H$87+12)=Z$4,0,IF(Y637=1,PMT(Assumptions!$H$85,Assumptions!$H$48,$C639),Y650))),0)</f>
        <v>0</v>
      </c>
      <c r="AA650" s="39">
        <f>+IFERROR(-ABS(IF(EDATE(_xlfn.XLOOKUP(1,$H637:$BE637,$H$4:$BE$4),12*Assumptions!$H$87+12)=AA$4,0,IF(Z637=1,PMT(Assumptions!$H$85,Assumptions!$H$48,$C639),Z650))),0)</f>
        <v>0</v>
      </c>
      <c r="AB650" s="39">
        <f>+IFERROR(-ABS(IF(EDATE(_xlfn.XLOOKUP(1,$H637:$BE637,$H$4:$BE$4),12*Assumptions!$H$87+12)=AB$4,0,IF(AA637=1,PMT(Assumptions!$H$85,Assumptions!$H$48,$C639),AA650))),0)</f>
        <v>0</v>
      </c>
      <c r="AC650" s="39">
        <f>+IFERROR(-ABS(IF(EDATE(_xlfn.XLOOKUP(1,$H637:$BE637,$H$4:$BE$4),12*Assumptions!$H$87+12)=AC$4,0,IF(AB637=1,PMT(Assumptions!$H$85,Assumptions!$H$48,$C639),AB650))),0)</f>
        <v>0</v>
      </c>
      <c r="AD650" s="39">
        <f>+IFERROR(-ABS(IF(EDATE(_xlfn.XLOOKUP(1,$H637:$BE637,$H$4:$BE$4),12*Assumptions!$H$87+12)=AD$4,0,IF(AC637=1,PMT(Assumptions!$H$85,Assumptions!$H$48,$C639),AC650))),0)</f>
        <v>0</v>
      </c>
      <c r="AE650" s="39">
        <f>+IFERROR(-ABS(IF(EDATE(_xlfn.XLOOKUP(1,$H637:$BE637,$H$4:$BE$4),12*Assumptions!$H$87+12)=AE$4,0,IF(AD637=1,PMT(Assumptions!$H$85,Assumptions!$H$48,$C639),AD650))),0)</f>
        <v>0</v>
      </c>
      <c r="AF650" s="39">
        <f>+IFERROR(-ABS(IF(EDATE(_xlfn.XLOOKUP(1,$H637:$BE637,$H$4:$BE$4),12*Assumptions!$H$87+12)=AF$4,0,IF(AE637=1,PMT(Assumptions!$H$85,Assumptions!$H$48,$C639),AE650))),0)</f>
        <v>0</v>
      </c>
      <c r="AG650" s="39">
        <f>+IFERROR(-ABS(IF(EDATE(_xlfn.XLOOKUP(1,$H637:$BE637,$H$4:$BE$4),12*Assumptions!$H$87+12)=AG$4,0,IF(AF637=1,PMT(Assumptions!$H$85,Assumptions!$H$48,$C639),AF650))),0)</f>
        <v>0</v>
      </c>
      <c r="AH650" s="39">
        <f>+IFERROR(-ABS(IF(EDATE(_xlfn.XLOOKUP(1,$H637:$BE637,$H$4:$BE$4),12*Assumptions!$H$87+12)=AH$4,0,IF(AG637=1,PMT(Assumptions!$H$85,Assumptions!$H$48,$C639),AG650))),0)</f>
        <v>0</v>
      </c>
      <c r="AI650" s="39">
        <f>+IFERROR(-ABS(IF(EDATE(_xlfn.XLOOKUP(1,$H637:$BE637,$H$4:$BE$4),12*Assumptions!$H$87+12)=AI$4,0,IF(AH637=1,PMT(Assumptions!$H$85,Assumptions!$H$48,$C639),AH650))),0)</f>
        <v>0</v>
      </c>
      <c r="AJ650" s="39">
        <f>+IFERROR(-ABS(IF(EDATE(_xlfn.XLOOKUP(1,$H637:$BE637,$H$4:$BE$4),12*Assumptions!$H$87+12)=AJ$4,0,IF(AI637=1,PMT(Assumptions!$H$85,Assumptions!$H$48,$C639),AI650))),0)</f>
        <v>0</v>
      </c>
      <c r="AK650" s="39">
        <f>+IFERROR(-ABS(IF(EDATE(_xlfn.XLOOKUP(1,$H637:$BE637,$H$4:$BE$4),12*Assumptions!$H$87+12)=AK$4,0,IF(AJ637=1,PMT(Assumptions!$H$85,Assumptions!$H$48,$C639),AJ650))),0)</f>
        <v>0</v>
      </c>
      <c r="AL650" s="39">
        <f>+IFERROR(-ABS(IF(EDATE(_xlfn.XLOOKUP(1,$H637:$BE637,$H$4:$BE$4),12*Assumptions!$H$87+12)=AL$4,0,IF(AK637=1,PMT(Assumptions!$H$85,Assumptions!$H$48,$C639),AK650))),0)</f>
        <v>0</v>
      </c>
      <c r="AM650" s="39">
        <f>+IFERROR(-ABS(IF(EDATE(_xlfn.XLOOKUP(1,$H637:$BE637,$H$4:$BE$4),12*Assumptions!$H$87+12)=AM$4,0,IF(AL637=1,PMT(Assumptions!$H$85,Assumptions!$H$48,$C639),AL650))),0)</f>
        <v>0</v>
      </c>
      <c r="AN650" s="39">
        <f>+IFERROR(-ABS(IF(EDATE(_xlfn.XLOOKUP(1,$H637:$BE637,$H$4:$BE$4),12*Assumptions!$H$87+12)=AN$4,0,IF(AM637=1,PMT(Assumptions!$H$85,Assumptions!$H$48,$C639),AM650))),0)</f>
        <v>0</v>
      </c>
      <c r="AO650" s="39">
        <f>+IFERROR(-ABS(IF(EDATE(_xlfn.XLOOKUP(1,$H637:$BE637,$H$4:$BE$4),12*Assumptions!$H$87+12)=AO$4,0,IF(AN637=1,PMT(Assumptions!$H$85,Assumptions!$H$48,$C639),AN650))),0)</f>
        <v>0</v>
      </c>
      <c r="AP650" s="39">
        <f>+IFERROR(-ABS(IF(EDATE(_xlfn.XLOOKUP(1,$H637:$BE637,$H$4:$BE$4),12*Assumptions!$H$87+12)=AP$4,0,IF(AO637=1,PMT(Assumptions!$H$85,Assumptions!$H$48,$C639),AO650))),0)</f>
        <v>0</v>
      </c>
      <c r="AQ650" s="39">
        <f>+IFERROR(-ABS(IF(EDATE(_xlfn.XLOOKUP(1,$H637:$BE637,$H$4:$BE$4),12*Assumptions!$H$87+12)=AQ$4,0,IF(AP637=1,PMT(Assumptions!$H$85,Assumptions!$H$48,$C639),AP650))),0)</f>
        <v>0</v>
      </c>
      <c r="AR650" s="39">
        <f>+IFERROR(-ABS(IF(EDATE(_xlfn.XLOOKUP(1,$H637:$BE637,$H$4:$BE$4),12*Assumptions!$H$87+12)=AR$4,0,IF(AQ637=1,PMT(Assumptions!$H$85,Assumptions!$H$48,$C639),AQ650))),0)</f>
        <v>0</v>
      </c>
      <c r="AS650" s="39">
        <f>+IFERROR(-ABS(IF(EDATE(_xlfn.XLOOKUP(1,$H637:$BE637,$H$4:$BE$4),12*Assumptions!$H$87+12)=AS$4,0,IF(AR637=1,PMT(Assumptions!$H$85,Assumptions!$H$48,$C639),AR650))),0)</f>
        <v>0</v>
      </c>
      <c r="AT650" s="39">
        <f>+IFERROR(-ABS(IF(EDATE(_xlfn.XLOOKUP(1,$H637:$BE637,$H$4:$BE$4),12*Assumptions!$H$87+12)=AT$4,0,IF(AS637=1,PMT(Assumptions!$H$85,Assumptions!$H$48,$C639),AS650))),0)</f>
        <v>0</v>
      </c>
      <c r="AU650" s="39">
        <f>+IFERROR(-ABS(IF(EDATE(_xlfn.XLOOKUP(1,$H637:$BE637,$H$4:$BE$4),12*Assumptions!$H$87+12)=AU$4,0,IF(AT637=1,PMT(Assumptions!$H$85,Assumptions!$H$48,$C639),AT650))),0)</f>
        <v>0</v>
      </c>
      <c r="AV650" s="39">
        <f>+IFERROR(-ABS(IF(EDATE(_xlfn.XLOOKUP(1,$H637:$BE637,$H$4:$BE$4),12*Assumptions!$H$87+12)=AV$4,0,IF(AU637=1,PMT(Assumptions!$H$85,Assumptions!$H$48,$C639),AU650))),0)</f>
        <v>0</v>
      </c>
      <c r="AW650" s="39">
        <f>+IFERROR(-ABS(IF(EDATE(_xlfn.XLOOKUP(1,$H637:$BE637,$H$4:$BE$4),12*Assumptions!$H$87+12)=AW$4,0,IF(AV637=1,PMT(Assumptions!$H$85,Assumptions!$H$48,$C639),AV650))),0)</f>
        <v>0</v>
      </c>
      <c r="AX650" s="39">
        <f>+IFERROR(-ABS(IF(EDATE(_xlfn.XLOOKUP(1,$H637:$BE637,$H$4:$BE$4),12*Assumptions!$H$87+12)=AX$4,0,IF(AW637=1,PMT(Assumptions!$H$85,Assumptions!$H$48,$C639),AW650))),0)</f>
        <v>0</v>
      </c>
      <c r="AY650" s="39">
        <f>+IFERROR(-ABS(IF(EDATE(_xlfn.XLOOKUP(1,$H637:$BE637,$H$4:$BE$4),12*Assumptions!$H$87+12)=AY$4,0,IF(AX637=1,PMT(Assumptions!$H$85,Assumptions!$H$48,$C639),AX650))),0)</f>
        <v>0</v>
      </c>
      <c r="AZ650" s="39">
        <f>+IFERROR(-ABS(IF(EDATE(_xlfn.XLOOKUP(1,$H637:$BE637,$H$4:$BE$4),12*Assumptions!$H$87+12)=AZ$4,0,IF(AY637=1,PMT(Assumptions!$H$85,Assumptions!$H$48,$C639),AY650))),0)</f>
        <v>0</v>
      </c>
      <c r="BA650" s="39">
        <f>+IFERROR(-ABS(IF(EDATE(_xlfn.XLOOKUP(1,$H637:$BE637,$H$4:$BE$4),12*Assumptions!$H$87+12)=BA$4,0,IF(AZ637=1,PMT(Assumptions!$H$85,Assumptions!$H$48,$C639),AZ650))),0)</f>
        <v>0</v>
      </c>
      <c r="BB650" s="39">
        <f>+IFERROR(-ABS(IF(EDATE(_xlfn.XLOOKUP(1,$H637:$BE637,$H$4:$BE$4),12*Assumptions!$H$87+12)=BB$4,0,IF(BA637=1,PMT(Assumptions!$H$85,Assumptions!$H$48,$C639),BA650))),0)</f>
        <v>0</v>
      </c>
      <c r="BC650" s="39">
        <f>+IFERROR(-ABS(IF(EDATE(_xlfn.XLOOKUP(1,$H637:$BE637,$H$4:$BE$4),12*Assumptions!$H$87+12)=BC$4,0,IF(BB637=1,PMT(Assumptions!$H$85,Assumptions!$H$48,$C639),BB650))),0)</f>
        <v>0</v>
      </c>
      <c r="BD650" s="39">
        <f>+IFERROR(-ABS(IF(EDATE(_xlfn.XLOOKUP(1,$H637:$BE637,$H$4:$BE$4),12*Assumptions!$H$87+12)=BD$4,0,IF(BC637=1,PMT(Assumptions!$H$85,Assumptions!$H$48,$C639),BC650))),0)</f>
        <v>0</v>
      </c>
      <c r="BE650" s="39">
        <f>+IFERROR(-ABS(IF(EDATE(_xlfn.XLOOKUP(1,$H637:$BE637,$H$4:$BE$4),12*Assumptions!$H$87+12)=BE$4,0,IF(BD637=1,PMT(Assumptions!$H$85,Assumptions!$H$48,$C639),BD650))),0)</f>
        <v>0</v>
      </c>
      <c r="BF650" s="39">
        <f>+IFERROR(-ABS(IF(EDATE(_xlfn.XLOOKUP(1,$H637:$BE637,$H$4:$BE$4),12*Assumptions!$H$87+12)=BF$4,0,IF(BE637=1,PMT(Assumptions!$H$85,Assumptions!$H$48,$C639),BE650))),0)</f>
        <v>0</v>
      </c>
      <c r="BG650" s="39">
        <f>+IFERROR(-ABS(IF(EDATE(_xlfn.XLOOKUP(1,$H637:$BE637,$H$4:$BE$4),12*Assumptions!$H$87+12)=BG$4,0,IF(BF637=1,PMT(Assumptions!$H$85,Assumptions!$H$48,$C639),BF650))),0)</f>
        <v>0</v>
      </c>
      <c r="BH650" s="39">
        <f>+IFERROR(-ABS(IF(EDATE(_xlfn.XLOOKUP(1,$H637:$BE637,$H$4:$BE$4),12*Assumptions!$H$87+12)=BH$4,0,IF(BG637=1,PMT(Assumptions!$H$85,Assumptions!$H$48,$C639),BG650))),0)</f>
        <v>0</v>
      </c>
      <c r="BI650" s="39">
        <f>+IFERROR(-ABS(IF(EDATE(_xlfn.XLOOKUP(1,$H637:$BE637,$H$4:$BE$4),12*Assumptions!$H$87+12)=BI$4,0,IF(BH637=1,PMT(Assumptions!$H$85,Assumptions!$H$48,$C639),BH650))),0)</f>
        <v>0</v>
      </c>
      <c r="BJ650" s="39">
        <f>+IFERROR(-ABS(IF(EDATE(_xlfn.XLOOKUP(1,$H637:$BE637,$H$4:$BE$4),12*Assumptions!$H$87+12)=BJ$4,0,IF(BI637=1,PMT(Assumptions!$H$85,Assumptions!$H$48,$C639),BI650))),0)</f>
        <v>0</v>
      </c>
      <c r="BK650" s="39">
        <f>+IFERROR(-ABS(IF(EDATE(_xlfn.XLOOKUP(1,$H637:$BE637,$H$4:$BE$4),12*Assumptions!$H$87+12)=BK$4,0,IF(BJ637=1,PMT(Assumptions!$H$85,Assumptions!$H$48,$C639),BJ650))),0)</f>
        <v>0</v>
      </c>
      <c r="BL650" s="39">
        <f>+IFERROR(-ABS(IF(EDATE(_xlfn.XLOOKUP(1,$H637:$BE637,$H$4:$BE$4),12*Assumptions!$H$87+12)=BL$4,0,IF(BK637=1,PMT(Assumptions!$H$85,Assumptions!$H$48,$C639),BK650))),0)</f>
        <v>0</v>
      </c>
      <c r="BM650" s="39">
        <f>+IFERROR(-ABS(IF(EDATE(_xlfn.XLOOKUP(1,$H637:$BE637,$H$4:$BE$4),12*Assumptions!$H$87+12)=BM$4,0,IF(BL637=1,PMT(Assumptions!$H$85,Assumptions!$H$48,$C639),BL650))),0)</f>
        <v>0</v>
      </c>
      <c r="BN650" s="39">
        <f>+IFERROR(-ABS(IF(EDATE(_xlfn.XLOOKUP(1,$H637:$BE637,$H$4:$BE$4),12*Assumptions!$H$87+12)=BN$4,0,IF(BM637=1,PMT(Assumptions!$H$85,Assumptions!$H$48,$C639),BM650))),0)</f>
        <v>0</v>
      </c>
      <c r="BO650" s="39">
        <f>+IFERROR(-ABS(IF(EDATE(_xlfn.XLOOKUP(1,$H637:$BE637,$H$4:$BE$4),12*Assumptions!$H$87+12)=BO$4,0,IF(BN637=1,PMT(Assumptions!$H$85,Assumptions!$H$48,$C639),BN650))),0)</f>
        <v>0</v>
      </c>
      <c r="BP650" s="39">
        <f>+IFERROR(-ABS(IF(EDATE(_xlfn.XLOOKUP(1,$H637:$BE637,$H$4:$BE$4),12*Assumptions!$H$87+12)=BP$4,0,IF(BO637=1,PMT(Assumptions!$H$85,Assumptions!$H$48,$C639),BO650))),0)</f>
        <v>0</v>
      </c>
      <c r="BQ650" s="39">
        <f>+IFERROR(-ABS(IF(EDATE(_xlfn.XLOOKUP(1,$H637:$BE637,$H$4:$BE$4),12*Assumptions!$H$87+12)=BQ$4,0,IF(BP637=1,PMT(Assumptions!$H$85,Assumptions!$H$48,$C639),BP650))),0)</f>
        <v>0</v>
      </c>
      <c r="BR650" s="39">
        <f>+IFERROR(-ABS(IF(EDATE(_xlfn.XLOOKUP(1,$H637:$BE637,$H$4:$BE$4),12*Assumptions!$H$87+12)=BR$4,0,IF(BQ637=1,PMT(Assumptions!$H$85,Assumptions!$H$48,$C639),BQ650))),0)</f>
        <v>0</v>
      </c>
      <c r="BS650" s="39">
        <f>+IFERROR(-ABS(IF(EDATE(_xlfn.XLOOKUP(1,$H637:$BE637,$H$4:$BE$4),12*Assumptions!$H$87+12)=BS$4,0,IF(BR637=1,PMT(Assumptions!$H$85,Assumptions!$H$48,$C639),BR650))),0)</f>
        <v>0</v>
      </c>
      <c r="BT650" s="39">
        <f>+IFERROR(-ABS(IF(EDATE(_xlfn.XLOOKUP(1,$H637:$BE637,$H$4:$BE$4),12*Assumptions!$H$87+12)=BT$4,0,IF(BS637=1,PMT(Assumptions!$H$85,Assumptions!$H$48,$C639),BS650))),0)</f>
        <v>0</v>
      </c>
      <c r="BU650" s="39">
        <f>+IFERROR(-ABS(IF(EDATE(_xlfn.XLOOKUP(1,$H637:$BE637,$H$4:$BE$4),12*Assumptions!$H$87+12)=BU$4,0,IF(BT637=1,PMT(Assumptions!$H$85,Assumptions!$H$48,$C639),BT650))),0)</f>
        <v>0</v>
      </c>
      <c r="BV650" s="39">
        <f>+IFERROR(-ABS(IF(EDATE(_xlfn.XLOOKUP(1,$H637:$BE637,$H$4:$BE$4),12*Assumptions!$H$87+12)=BV$4,0,IF(BU637=1,PMT(Assumptions!$H$85,Assumptions!$H$48,$C639),BU650))),0)</f>
        <v>0</v>
      </c>
      <c r="BW650" s="39">
        <f>+IFERROR(-ABS(IF(EDATE(_xlfn.XLOOKUP(1,$H637:$BE637,$H$4:$BE$4),12*Assumptions!$H$87+12)=BW$4,0,IF(BV637=1,PMT(Assumptions!$H$85,Assumptions!$H$48,$C639),BV650))),0)</f>
        <v>0</v>
      </c>
      <c r="BX650" s="39">
        <f>+IFERROR(-ABS(IF(EDATE(_xlfn.XLOOKUP(1,$H637:$BE637,$H$4:$BE$4),12*Assumptions!$H$87+12)=BX$4,0,IF(BW637=1,PMT(Assumptions!$H$85,Assumptions!$H$48,$C639),BW650))),0)</f>
        <v>0</v>
      </c>
      <c r="BY650" s="39">
        <f>+IFERROR(-ABS(IF(EDATE(_xlfn.XLOOKUP(1,$H637:$BE637,$H$4:$BE$4),12*Assumptions!$H$87+12)=BY$4,0,IF(BX637=1,PMT(Assumptions!$H$85,Assumptions!$H$48,$C639),BX650))),0)</f>
        <v>0</v>
      </c>
    </row>
    <row r="651" spans="5:77" outlineLevel="1">
      <c r="E651" s="24" t="s">
        <v>520</v>
      </c>
      <c r="F651" s="80" t="str">
        <f>+Assumptions!$G$8</f>
        <v>USD</v>
      </c>
      <c r="G651" s="24"/>
      <c r="H651" s="39">
        <f>+IFERROR(-ABS(IF(EDATE(_xlfn.XLOOKUP(1,$H638:$BE638,$H$4:$BE$4),12*Assumptions!$H$87+12)=H$4,0,IF(G638=1,PMT(Assumptions!$H$85,Assumptions!$H$48,$C640),G651))),0)</f>
        <v>0</v>
      </c>
      <c r="I651" s="39">
        <f>+IFERROR(-ABS(IF(EDATE(_xlfn.XLOOKUP(1,$H638:$BE638,$H$4:$BE$4),12*Assumptions!$H$87+12)=I$4,0,IF(H638=1,PMT(Assumptions!$H$85,Assumptions!$H$48,$C640),H651))),0)</f>
        <v>0</v>
      </c>
      <c r="J651" s="39">
        <f>+IFERROR(-ABS(IF(EDATE(_xlfn.XLOOKUP(1,$H638:$BE638,$H$4:$BE$4),12*Assumptions!$H$87+12)=J$4,0,IF(I638=1,PMT(Assumptions!$H$85,Assumptions!$H$48,$C640),I651))),0)</f>
        <v>0</v>
      </c>
      <c r="K651" s="39">
        <f>+IFERROR(-ABS(IF(EDATE(_xlfn.XLOOKUP(1,$H638:$BE638,$H$4:$BE$4),12*Assumptions!$H$87+12)=K$4,0,IF(J638=1,PMT(Assumptions!$H$85,Assumptions!$H$48,$C640),J651))),0)</f>
        <v>0</v>
      </c>
      <c r="L651" s="39">
        <f>+IFERROR(-ABS(IF(EDATE(_xlfn.XLOOKUP(1,$H638:$BE638,$H$4:$BE$4),12*Assumptions!$H$87+12)=L$4,0,IF(K638=1,PMT(Assumptions!$H$85,Assumptions!$H$48,$C640),K651))),0)</f>
        <v>0</v>
      </c>
      <c r="M651" s="39">
        <f>+IFERROR(-ABS(IF(EDATE(_xlfn.XLOOKUP(1,$H638:$BE638,$H$4:$BE$4),12*Assumptions!$H$87+12)=M$4,0,IF(L638=1,PMT(Assumptions!$H$85,Assumptions!$H$48,$C640),L651))),0)</f>
        <v>0</v>
      </c>
      <c r="N651" s="39">
        <f>+IFERROR(-ABS(IF(EDATE(_xlfn.XLOOKUP(1,$H638:$BE638,$H$4:$BE$4),12*Assumptions!$H$87+12)=N$4,0,IF(M638=1,PMT(Assumptions!$H$85,Assumptions!$H$48,$C640),M651))),0)</f>
        <v>0</v>
      </c>
      <c r="O651" s="39">
        <f>+IFERROR(-ABS(IF(EDATE(_xlfn.XLOOKUP(1,$H638:$BE638,$H$4:$BE$4),12*Assumptions!$H$87+12)=O$4,0,IF(N638=1,PMT(Assumptions!$H$85,Assumptions!$H$48,$C640),N651))),0)</f>
        <v>0</v>
      </c>
      <c r="P651" s="39">
        <f>+IFERROR(-ABS(IF(EDATE(_xlfn.XLOOKUP(1,$H638:$BE638,$H$4:$BE$4),12*Assumptions!$H$87+12)=P$4,0,IF(O638=1,PMT(Assumptions!$H$85,Assumptions!$H$48,$C640),O651))),0)</f>
        <v>0</v>
      </c>
      <c r="Q651" s="39">
        <f>+IFERROR(-ABS(IF(EDATE(_xlfn.XLOOKUP(1,$H638:$BE638,$H$4:$BE$4),12*Assumptions!$H$87+12)=Q$4,0,IF(P638=1,PMT(Assumptions!$H$85,Assumptions!$H$48,$C640),P651))),0)</f>
        <v>0</v>
      </c>
      <c r="R651" s="39">
        <f>+IFERROR(-ABS(IF(EDATE(_xlfn.XLOOKUP(1,$H638:$BE638,$H$4:$BE$4),12*Assumptions!$H$87+12)=R$4,0,IF(Q638=1,PMT(Assumptions!$H$85,Assumptions!$H$48,$C640),Q651))),0)</f>
        <v>0</v>
      </c>
      <c r="S651" s="39">
        <f>+IFERROR(-ABS(IF(EDATE(_xlfn.XLOOKUP(1,$H638:$BE638,$H$4:$BE$4),12*Assumptions!$H$87+12)=S$4,0,IF(R638=1,PMT(Assumptions!$H$85,Assumptions!$H$48,$C640),R651))),0)</f>
        <v>0</v>
      </c>
      <c r="T651" s="39">
        <f>+IFERROR(-ABS(IF(EDATE(_xlfn.XLOOKUP(1,$H638:$BE638,$H$4:$BE$4),12*Assumptions!$H$87+12)=T$4,0,IF(S638=1,PMT(Assumptions!$H$85,Assumptions!$H$48,$C640),S651))),0)</f>
        <v>0</v>
      </c>
      <c r="U651" s="39">
        <f>+IFERROR(-ABS(IF(EDATE(_xlfn.XLOOKUP(1,$H638:$BE638,$H$4:$BE$4),12*Assumptions!$H$87+12)=U$4,0,IF(T638=1,PMT(Assumptions!$H$85,Assumptions!$H$48,$C640),T651))),0)</f>
        <v>0</v>
      </c>
      <c r="V651" s="39">
        <f>+IFERROR(-ABS(IF(EDATE(_xlfn.XLOOKUP(1,$H638:$BE638,$H$4:$BE$4),12*Assumptions!$H$87+12)=V$4,0,IF(U638=1,PMT(Assumptions!$H$85,Assumptions!$H$48,$C640),U651))),0)</f>
        <v>0</v>
      </c>
      <c r="W651" s="39">
        <f>+IFERROR(-ABS(IF(EDATE(_xlfn.XLOOKUP(1,$H638:$BE638,$H$4:$BE$4),12*Assumptions!$H$87+12)=W$4,0,IF(V638=1,PMT(Assumptions!$H$85,Assumptions!$H$48,$C640),V651))),0)</f>
        <v>0</v>
      </c>
      <c r="X651" s="39">
        <f>+IFERROR(-ABS(IF(EDATE(_xlfn.XLOOKUP(1,$H638:$BE638,$H$4:$BE$4),12*Assumptions!$H$87+12)=X$4,0,IF(W638=1,PMT(Assumptions!$H$85,Assumptions!$H$48,$C640),W651))),0)</f>
        <v>0</v>
      </c>
      <c r="Y651" s="39">
        <f>+IFERROR(-ABS(IF(EDATE(_xlfn.XLOOKUP(1,$H638:$BE638,$H$4:$BE$4),12*Assumptions!$H$87+12)=Y$4,0,IF(X638=1,PMT(Assumptions!$H$85,Assumptions!$H$48,$C640),X651))),0)</f>
        <v>0</v>
      </c>
      <c r="Z651" s="39">
        <f>+IFERROR(-ABS(IF(EDATE(_xlfn.XLOOKUP(1,$H638:$BE638,$H$4:$BE$4),12*Assumptions!$H$87+12)=Z$4,0,IF(Y638=1,PMT(Assumptions!$H$85,Assumptions!$H$48,$C640),Y651))),0)</f>
        <v>0</v>
      </c>
      <c r="AA651" s="39">
        <f>+IFERROR(-ABS(IF(EDATE(_xlfn.XLOOKUP(1,$H638:$BE638,$H$4:$BE$4),12*Assumptions!$H$87+12)=AA$4,0,IF(Z638=1,PMT(Assumptions!$H$85,Assumptions!$H$48,$C640),Z651))),0)</f>
        <v>0</v>
      </c>
      <c r="AB651" s="39">
        <f>+IFERROR(-ABS(IF(EDATE(_xlfn.XLOOKUP(1,$H638:$BE638,$H$4:$BE$4),12*Assumptions!$H$87+12)=AB$4,0,IF(AA638=1,PMT(Assumptions!$H$85,Assumptions!$H$48,$C640),AA651))),0)</f>
        <v>0</v>
      </c>
      <c r="AC651" s="39">
        <f>+IFERROR(-ABS(IF(EDATE(_xlfn.XLOOKUP(1,$H638:$BE638,$H$4:$BE$4),12*Assumptions!$H$87+12)=AC$4,0,IF(AB638=1,PMT(Assumptions!$H$85,Assumptions!$H$48,$C640),AB651))),0)</f>
        <v>0</v>
      </c>
      <c r="AD651" s="39">
        <f>+IFERROR(-ABS(IF(EDATE(_xlfn.XLOOKUP(1,$H638:$BE638,$H$4:$BE$4),12*Assumptions!$H$87+12)=AD$4,0,IF(AC638=1,PMT(Assumptions!$H$85,Assumptions!$H$48,$C640),AC651))),0)</f>
        <v>0</v>
      </c>
      <c r="AE651" s="39">
        <f>+IFERROR(-ABS(IF(EDATE(_xlfn.XLOOKUP(1,$H638:$BE638,$H$4:$BE$4),12*Assumptions!$H$87+12)=AE$4,0,IF(AD638=1,PMT(Assumptions!$H$85,Assumptions!$H$48,$C640),AD651))),0)</f>
        <v>0</v>
      </c>
      <c r="AF651" s="39">
        <f>+IFERROR(-ABS(IF(EDATE(_xlfn.XLOOKUP(1,$H638:$BE638,$H$4:$BE$4),12*Assumptions!$H$87+12)=AF$4,0,IF(AE638=1,PMT(Assumptions!$H$85,Assumptions!$H$48,$C640),AE651))),0)</f>
        <v>0</v>
      </c>
      <c r="AG651" s="39">
        <f>+IFERROR(-ABS(IF(EDATE(_xlfn.XLOOKUP(1,$H638:$BE638,$H$4:$BE$4),12*Assumptions!$H$87+12)=AG$4,0,IF(AF638=1,PMT(Assumptions!$H$85,Assumptions!$H$48,$C640),AF651))),0)</f>
        <v>0</v>
      </c>
      <c r="AH651" s="39">
        <f>+IFERROR(-ABS(IF(EDATE(_xlfn.XLOOKUP(1,$H638:$BE638,$H$4:$BE$4),12*Assumptions!$H$87+12)=AH$4,0,IF(AG638=1,PMT(Assumptions!$H$85,Assumptions!$H$48,$C640),AG651))),0)</f>
        <v>0</v>
      </c>
      <c r="AI651" s="39">
        <f>+IFERROR(-ABS(IF(EDATE(_xlfn.XLOOKUP(1,$H638:$BE638,$H$4:$BE$4),12*Assumptions!$H$87+12)=AI$4,0,IF(AH638=1,PMT(Assumptions!$H$85,Assumptions!$H$48,$C640),AH651))),0)</f>
        <v>0</v>
      </c>
      <c r="AJ651" s="39">
        <f>+IFERROR(-ABS(IF(EDATE(_xlfn.XLOOKUP(1,$H638:$BE638,$H$4:$BE$4),12*Assumptions!$H$87+12)=AJ$4,0,IF(AI638=1,PMT(Assumptions!$H$85,Assumptions!$H$48,$C640),AI651))),0)</f>
        <v>0</v>
      </c>
      <c r="AK651" s="39">
        <f>+IFERROR(-ABS(IF(EDATE(_xlfn.XLOOKUP(1,$H638:$BE638,$H$4:$BE$4),12*Assumptions!$H$87+12)=AK$4,0,IF(AJ638=1,PMT(Assumptions!$H$85,Assumptions!$H$48,$C640),AJ651))),0)</f>
        <v>0</v>
      </c>
      <c r="AL651" s="39">
        <f>+IFERROR(-ABS(IF(EDATE(_xlfn.XLOOKUP(1,$H638:$BE638,$H$4:$BE$4),12*Assumptions!$H$87+12)=AL$4,0,IF(AK638=1,PMT(Assumptions!$H$85,Assumptions!$H$48,$C640),AK651))),0)</f>
        <v>0</v>
      </c>
      <c r="AM651" s="39">
        <f>+IFERROR(-ABS(IF(EDATE(_xlfn.XLOOKUP(1,$H638:$BE638,$H$4:$BE$4),12*Assumptions!$H$87+12)=AM$4,0,IF(AL638=1,PMT(Assumptions!$H$85,Assumptions!$H$48,$C640),AL651))),0)</f>
        <v>0</v>
      </c>
      <c r="AN651" s="39">
        <f>+IFERROR(-ABS(IF(EDATE(_xlfn.XLOOKUP(1,$H638:$BE638,$H$4:$BE$4),12*Assumptions!$H$87+12)=AN$4,0,IF(AM638=1,PMT(Assumptions!$H$85,Assumptions!$H$48,$C640),AM651))),0)</f>
        <v>0</v>
      </c>
      <c r="AO651" s="39">
        <f>+IFERROR(-ABS(IF(EDATE(_xlfn.XLOOKUP(1,$H638:$BE638,$H$4:$BE$4),12*Assumptions!$H$87+12)=AO$4,0,IF(AN638=1,PMT(Assumptions!$H$85,Assumptions!$H$48,$C640),AN651))),0)</f>
        <v>0</v>
      </c>
      <c r="AP651" s="39">
        <f>+IFERROR(-ABS(IF(EDATE(_xlfn.XLOOKUP(1,$H638:$BE638,$H$4:$BE$4),12*Assumptions!$H$87+12)=AP$4,0,IF(AO638=1,PMT(Assumptions!$H$85,Assumptions!$H$48,$C640),AO651))),0)</f>
        <v>0</v>
      </c>
      <c r="AQ651" s="39">
        <f>+IFERROR(-ABS(IF(EDATE(_xlfn.XLOOKUP(1,$H638:$BE638,$H$4:$BE$4),12*Assumptions!$H$87+12)=AQ$4,0,IF(AP638=1,PMT(Assumptions!$H$85,Assumptions!$H$48,$C640),AP651))),0)</f>
        <v>0</v>
      </c>
      <c r="AR651" s="39">
        <f>+IFERROR(-ABS(IF(EDATE(_xlfn.XLOOKUP(1,$H638:$BE638,$H$4:$BE$4),12*Assumptions!$H$87+12)=AR$4,0,IF(AQ638=1,PMT(Assumptions!$H$85,Assumptions!$H$48,$C640),AQ651))),0)</f>
        <v>0</v>
      </c>
      <c r="AS651" s="39">
        <f>+IFERROR(-ABS(IF(EDATE(_xlfn.XLOOKUP(1,$H638:$BE638,$H$4:$BE$4),12*Assumptions!$H$87+12)=AS$4,0,IF(AR638=1,PMT(Assumptions!$H$85,Assumptions!$H$48,$C640),AR651))),0)</f>
        <v>0</v>
      </c>
      <c r="AT651" s="39">
        <f>+IFERROR(-ABS(IF(EDATE(_xlfn.XLOOKUP(1,$H638:$BE638,$H$4:$BE$4),12*Assumptions!$H$87+12)=AT$4,0,IF(AS638=1,PMT(Assumptions!$H$85,Assumptions!$H$48,$C640),AS651))),0)</f>
        <v>0</v>
      </c>
      <c r="AU651" s="39">
        <f>+IFERROR(-ABS(IF(EDATE(_xlfn.XLOOKUP(1,$H638:$BE638,$H$4:$BE$4),12*Assumptions!$H$87+12)=AU$4,0,IF(AT638=1,PMT(Assumptions!$H$85,Assumptions!$H$48,$C640),AT651))),0)</f>
        <v>0</v>
      </c>
      <c r="AV651" s="39">
        <f>+IFERROR(-ABS(IF(EDATE(_xlfn.XLOOKUP(1,$H638:$BE638,$H$4:$BE$4),12*Assumptions!$H$87+12)=AV$4,0,IF(AU638=1,PMT(Assumptions!$H$85,Assumptions!$H$48,$C640),AU651))),0)</f>
        <v>0</v>
      </c>
      <c r="AW651" s="39">
        <f>+IFERROR(-ABS(IF(EDATE(_xlfn.XLOOKUP(1,$H638:$BE638,$H$4:$BE$4),12*Assumptions!$H$87+12)=AW$4,0,IF(AV638=1,PMT(Assumptions!$H$85,Assumptions!$H$48,$C640),AV651))),0)</f>
        <v>0</v>
      </c>
      <c r="AX651" s="39">
        <f>+IFERROR(-ABS(IF(EDATE(_xlfn.XLOOKUP(1,$H638:$BE638,$H$4:$BE$4),12*Assumptions!$H$87+12)=AX$4,0,IF(AW638=1,PMT(Assumptions!$H$85,Assumptions!$H$48,$C640),AW651))),0)</f>
        <v>0</v>
      </c>
      <c r="AY651" s="39">
        <f>+IFERROR(-ABS(IF(EDATE(_xlfn.XLOOKUP(1,$H638:$BE638,$H$4:$BE$4),12*Assumptions!$H$87+12)=AY$4,0,IF(AX638=1,PMT(Assumptions!$H$85,Assumptions!$H$48,$C640),AX651))),0)</f>
        <v>0</v>
      </c>
      <c r="AZ651" s="39">
        <f>+IFERROR(-ABS(IF(EDATE(_xlfn.XLOOKUP(1,$H638:$BE638,$H$4:$BE$4),12*Assumptions!$H$87+12)=AZ$4,0,IF(AY638=1,PMT(Assumptions!$H$85,Assumptions!$H$48,$C640),AY651))),0)</f>
        <v>0</v>
      </c>
      <c r="BA651" s="39">
        <f>+IFERROR(-ABS(IF(EDATE(_xlfn.XLOOKUP(1,$H638:$BE638,$H$4:$BE$4),12*Assumptions!$H$87+12)=BA$4,0,IF(AZ638=1,PMT(Assumptions!$H$85,Assumptions!$H$48,$C640),AZ651))),0)</f>
        <v>0</v>
      </c>
      <c r="BB651" s="39">
        <f>+IFERROR(-ABS(IF(EDATE(_xlfn.XLOOKUP(1,$H638:$BE638,$H$4:$BE$4),12*Assumptions!$H$87+12)=BB$4,0,IF(BA638=1,PMT(Assumptions!$H$85,Assumptions!$H$48,$C640),BA651))),0)</f>
        <v>0</v>
      </c>
      <c r="BC651" s="39">
        <f>+IFERROR(-ABS(IF(EDATE(_xlfn.XLOOKUP(1,$H638:$BE638,$H$4:$BE$4),12*Assumptions!$H$87+12)=BC$4,0,IF(BB638=1,PMT(Assumptions!$H$85,Assumptions!$H$48,$C640),BB651))),0)</f>
        <v>0</v>
      </c>
      <c r="BD651" s="39">
        <f>+IFERROR(-ABS(IF(EDATE(_xlfn.XLOOKUP(1,$H638:$BE638,$H$4:$BE$4),12*Assumptions!$H$87+12)=BD$4,0,IF(BC638=1,PMT(Assumptions!$H$85,Assumptions!$H$48,$C640),BC651))),0)</f>
        <v>0</v>
      </c>
      <c r="BE651" s="39">
        <f>+IFERROR(-ABS(IF(EDATE(_xlfn.XLOOKUP(1,$H638:$BE638,$H$4:$BE$4),12*Assumptions!$H$87+12)=BE$4,0,IF(BD638=1,PMT(Assumptions!$H$85,Assumptions!$H$48,$C640),BD651))),0)</f>
        <v>0</v>
      </c>
      <c r="BF651" s="39">
        <f>+IFERROR(-ABS(IF(EDATE(_xlfn.XLOOKUP(1,$H638:$BE638,$H$4:$BE$4),12*Assumptions!$H$87+12)=BF$4,0,IF(BE638=1,PMT(Assumptions!$H$85,Assumptions!$H$48,$C640),BE651))),0)</f>
        <v>0</v>
      </c>
      <c r="BG651" s="39">
        <f>+IFERROR(-ABS(IF(EDATE(_xlfn.XLOOKUP(1,$H638:$BE638,$H$4:$BE$4),12*Assumptions!$H$87+12)=BG$4,0,IF(BF638=1,PMT(Assumptions!$H$85,Assumptions!$H$48,$C640),BF651))),0)</f>
        <v>0</v>
      </c>
      <c r="BH651" s="39">
        <f>+IFERROR(-ABS(IF(EDATE(_xlfn.XLOOKUP(1,$H638:$BE638,$H$4:$BE$4),12*Assumptions!$H$87+12)=BH$4,0,IF(BG638=1,PMT(Assumptions!$H$85,Assumptions!$H$48,$C640),BG651))),0)</f>
        <v>0</v>
      </c>
      <c r="BI651" s="39">
        <f>+IFERROR(-ABS(IF(EDATE(_xlfn.XLOOKUP(1,$H638:$BE638,$H$4:$BE$4),12*Assumptions!$H$87+12)=BI$4,0,IF(BH638=1,PMT(Assumptions!$H$85,Assumptions!$H$48,$C640),BH651))),0)</f>
        <v>0</v>
      </c>
      <c r="BJ651" s="39">
        <f>+IFERROR(-ABS(IF(EDATE(_xlfn.XLOOKUP(1,$H638:$BE638,$H$4:$BE$4),12*Assumptions!$H$87+12)=BJ$4,0,IF(BI638=1,PMT(Assumptions!$H$85,Assumptions!$H$48,$C640),BI651))),0)</f>
        <v>0</v>
      </c>
      <c r="BK651" s="39">
        <f>+IFERROR(-ABS(IF(EDATE(_xlfn.XLOOKUP(1,$H638:$BE638,$H$4:$BE$4),12*Assumptions!$H$87+12)=BK$4,0,IF(BJ638=1,PMT(Assumptions!$H$85,Assumptions!$H$48,$C640),BJ651))),0)</f>
        <v>0</v>
      </c>
      <c r="BL651" s="39">
        <f>+IFERROR(-ABS(IF(EDATE(_xlfn.XLOOKUP(1,$H638:$BE638,$H$4:$BE$4),12*Assumptions!$H$87+12)=BL$4,0,IF(BK638=1,PMT(Assumptions!$H$85,Assumptions!$H$48,$C640),BK651))),0)</f>
        <v>0</v>
      </c>
      <c r="BM651" s="39">
        <f>+IFERROR(-ABS(IF(EDATE(_xlfn.XLOOKUP(1,$H638:$BE638,$H$4:$BE$4),12*Assumptions!$H$87+12)=BM$4,0,IF(BL638=1,PMT(Assumptions!$H$85,Assumptions!$H$48,$C640),BL651))),0)</f>
        <v>0</v>
      </c>
      <c r="BN651" s="39">
        <f>+IFERROR(-ABS(IF(EDATE(_xlfn.XLOOKUP(1,$H638:$BE638,$H$4:$BE$4),12*Assumptions!$H$87+12)=BN$4,0,IF(BM638=1,PMT(Assumptions!$H$85,Assumptions!$H$48,$C640),BM651))),0)</f>
        <v>0</v>
      </c>
      <c r="BO651" s="39">
        <f>+IFERROR(-ABS(IF(EDATE(_xlfn.XLOOKUP(1,$H638:$BE638,$H$4:$BE$4),12*Assumptions!$H$87+12)=BO$4,0,IF(BN638=1,PMT(Assumptions!$H$85,Assumptions!$H$48,$C640),BN651))),0)</f>
        <v>0</v>
      </c>
      <c r="BP651" s="39">
        <f>+IFERROR(-ABS(IF(EDATE(_xlfn.XLOOKUP(1,$H638:$BE638,$H$4:$BE$4),12*Assumptions!$H$87+12)=BP$4,0,IF(BO638=1,PMT(Assumptions!$H$85,Assumptions!$H$48,$C640),BO651))),0)</f>
        <v>0</v>
      </c>
      <c r="BQ651" s="39">
        <f>+IFERROR(-ABS(IF(EDATE(_xlfn.XLOOKUP(1,$H638:$BE638,$H$4:$BE$4),12*Assumptions!$H$87+12)=BQ$4,0,IF(BP638=1,PMT(Assumptions!$H$85,Assumptions!$H$48,$C640),BP651))),0)</f>
        <v>0</v>
      </c>
      <c r="BR651" s="39">
        <f>+IFERROR(-ABS(IF(EDATE(_xlfn.XLOOKUP(1,$H638:$BE638,$H$4:$BE$4),12*Assumptions!$H$87+12)=BR$4,0,IF(BQ638=1,PMT(Assumptions!$H$85,Assumptions!$H$48,$C640),BQ651))),0)</f>
        <v>0</v>
      </c>
      <c r="BS651" s="39">
        <f>+IFERROR(-ABS(IF(EDATE(_xlfn.XLOOKUP(1,$H638:$BE638,$H$4:$BE$4),12*Assumptions!$H$87+12)=BS$4,0,IF(BR638=1,PMT(Assumptions!$H$85,Assumptions!$H$48,$C640),BR651))),0)</f>
        <v>0</v>
      </c>
      <c r="BT651" s="39">
        <f>+IFERROR(-ABS(IF(EDATE(_xlfn.XLOOKUP(1,$H638:$BE638,$H$4:$BE$4),12*Assumptions!$H$87+12)=BT$4,0,IF(BS638=1,PMT(Assumptions!$H$85,Assumptions!$H$48,$C640),BS651))),0)</f>
        <v>0</v>
      </c>
      <c r="BU651" s="39">
        <f>+IFERROR(-ABS(IF(EDATE(_xlfn.XLOOKUP(1,$H638:$BE638,$H$4:$BE$4),12*Assumptions!$H$87+12)=BU$4,0,IF(BT638=1,PMT(Assumptions!$H$85,Assumptions!$H$48,$C640),BT651))),0)</f>
        <v>0</v>
      </c>
      <c r="BV651" s="39">
        <f>+IFERROR(-ABS(IF(EDATE(_xlfn.XLOOKUP(1,$H638:$BE638,$H$4:$BE$4),12*Assumptions!$H$87+12)=BV$4,0,IF(BU638=1,PMT(Assumptions!$H$85,Assumptions!$H$48,$C640),BU651))),0)</f>
        <v>0</v>
      </c>
      <c r="BW651" s="39">
        <f>+IFERROR(-ABS(IF(EDATE(_xlfn.XLOOKUP(1,$H638:$BE638,$H$4:$BE$4),12*Assumptions!$H$87+12)=BW$4,0,IF(BV638=1,PMT(Assumptions!$H$85,Assumptions!$H$48,$C640),BV651))),0)</f>
        <v>0</v>
      </c>
      <c r="BX651" s="39">
        <f>+IFERROR(-ABS(IF(EDATE(_xlfn.XLOOKUP(1,$H638:$BE638,$H$4:$BE$4),12*Assumptions!$H$87+12)=BX$4,0,IF(BW638=1,PMT(Assumptions!$H$85,Assumptions!$H$48,$C640),BW651))),0)</f>
        <v>0</v>
      </c>
      <c r="BY651" s="39">
        <f>+IFERROR(-ABS(IF(EDATE(_xlfn.XLOOKUP(1,$H638:$BE638,$H$4:$BE$4),12*Assumptions!$H$87+12)=BY$4,0,IF(BX638=1,PMT(Assumptions!$H$85,Assumptions!$H$48,$C640),BX651))),0)</f>
        <v>0</v>
      </c>
    </row>
    <row r="652" spans="5:77" outlineLevel="1">
      <c r="E652" s="24" t="s">
        <v>521</v>
      </c>
      <c r="F652" s="80" t="str">
        <f>+Assumptions!$G$8</f>
        <v>USD</v>
      </c>
      <c r="G652" s="24"/>
      <c r="H652" s="39">
        <f>+IFERROR(-ABS(IF(EDATE(_xlfn.XLOOKUP(1,$H639:$BE639,$H$4:$BE$4),12*Assumptions!$H$87+12)=H$4,0,IF(G639=1,PMT(Assumptions!$H$85,Assumptions!$H$48,$C641),G652))),0)</f>
        <v>0</v>
      </c>
      <c r="I652" s="39">
        <f>+IFERROR(-ABS(IF(EDATE(_xlfn.XLOOKUP(1,$H639:$BE639,$H$4:$BE$4),12*Assumptions!$H$87+12)=I$4,0,IF(H639=1,PMT(Assumptions!$H$85,Assumptions!$H$48,$C641),H652))),0)</f>
        <v>0</v>
      </c>
      <c r="J652" s="39">
        <f>+IFERROR(-ABS(IF(EDATE(_xlfn.XLOOKUP(1,$H639:$BE639,$H$4:$BE$4),12*Assumptions!$H$87+12)=J$4,0,IF(I639=1,PMT(Assumptions!$H$85,Assumptions!$H$48,$C641),I652))),0)</f>
        <v>0</v>
      </c>
      <c r="K652" s="39">
        <f>+IFERROR(-ABS(IF(EDATE(_xlfn.XLOOKUP(1,$H639:$BE639,$H$4:$BE$4),12*Assumptions!$H$87+12)=K$4,0,IF(J639=1,PMT(Assumptions!$H$85,Assumptions!$H$48,$C641),J652))),0)</f>
        <v>0</v>
      </c>
      <c r="L652" s="39">
        <f>+IFERROR(-ABS(IF(EDATE(_xlfn.XLOOKUP(1,$H639:$BE639,$H$4:$BE$4),12*Assumptions!$H$87+12)=L$4,0,IF(K639=1,PMT(Assumptions!$H$85,Assumptions!$H$48,$C641),K652))),0)</f>
        <v>0</v>
      </c>
      <c r="M652" s="39">
        <f>+IFERROR(-ABS(IF(EDATE(_xlfn.XLOOKUP(1,$H639:$BE639,$H$4:$BE$4),12*Assumptions!$H$87+12)=M$4,0,IF(L639=1,PMT(Assumptions!$H$85,Assumptions!$H$48,$C641),L652))),0)</f>
        <v>0</v>
      </c>
      <c r="N652" s="39">
        <f>+IFERROR(-ABS(IF(EDATE(_xlfn.XLOOKUP(1,$H639:$BE639,$H$4:$BE$4),12*Assumptions!$H$87+12)=N$4,0,IF(M639=1,PMT(Assumptions!$H$85,Assumptions!$H$48,$C641),M652))),0)</f>
        <v>0</v>
      </c>
      <c r="O652" s="39">
        <f>+IFERROR(-ABS(IF(EDATE(_xlfn.XLOOKUP(1,$H639:$BE639,$H$4:$BE$4),12*Assumptions!$H$87+12)=O$4,0,IF(N639=1,PMT(Assumptions!$H$85,Assumptions!$H$48,$C641),N652))),0)</f>
        <v>0</v>
      </c>
      <c r="P652" s="39">
        <f>+IFERROR(-ABS(IF(EDATE(_xlfn.XLOOKUP(1,$H639:$BE639,$H$4:$BE$4),12*Assumptions!$H$87+12)=P$4,0,IF(O639=1,PMT(Assumptions!$H$85,Assumptions!$H$48,$C641),O652))),0)</f>
        <v>0</v>
      </c>
      <c r="Q652" s="39">
        <f>+IFERROR(-ABS(IF(EDATE(_xlfn.XLOOKUP(1,$H639:$BE639,$H$4:$BE$4),12*Assumptions!$H$87+12)=Q$4,0,IF(P639=1,PMT(Assumptions!$H$85,Assumptions!$H$48,$C641),P652))),0)</f>
        <v>0</v>
      </c>
      <c r="R652" s="39">
        <f>+IFERROR(-ABS(IF(EDATE(_xlfn.XLOOKUP(1,$H639:$BE639,$H$4:$BE$4),12*Assumptions!$H$87+12)=R$4,0,IF(Q639=1,PMT(Assumptions!$H$85,Assumptions!$H$48,$C641),Q652))),0)</f>
        <v>0</v>
      </c>
      <c r="S652" s="39">
        <f>+IFERROR(-ABS(IF(EDATE(_xlfn.XLOOKUP(1,$H639:$BE639,$H$4:$BE$4),12*Assumptions!$H$87+12)=S$4,0,IF(R639=1,PMT(Assumptions!$H$85,Assumptions!$H$48,$C641),R652))),0)</f>
        <v>0</v>
      </c>
      <c r="T652" s="39">
        <f>+IFERROR(-ABS(IF(EDATE(_xlfn.XLOOKUP(1,$H639:$BE639,$H$4:$BE$4),12*Assumptions!$H$87+12)=T$4,0,IF(S639=1,PMT(Assumptions!$H$85,Assumptions!$H$48,$C641),S652))),0)</f>
        <v>0</v>
      </c>
      <c r="U652" s="39">
        <f>+IFERROR(-ABS(IF(EDATE(_xlfn.XLOOKUP(1,$H639:$BE639,$H$4:$BE$4),12*Assumptions!$H$87+12)=U$4,0,IF(T639=1,PMT(Assumptions!$H$85,Assumptions!$H$48,$C641),T652))),0)</f>
        <v>0</v>
      </c>
      <c r="V652" s="39">
        <f>+IFERROR(-ABS(IF(EDATE(_xlfn.XLOOKUP(1,$H639:$BE639,$H$4:$BE$4),12*Assumptions!$H$87+12)=V$4,0,IF(U639=1,PMT(Assumptions!$H$85,Assumptions!$H$48,$C641),U652))),0)</f>
        <v>0</v>
      </c>
      <c r="W652" s="39">
        <f>+IFERROR(-ABS(IF(EDATE(_xlfn.XLOOKUP(1,$H639:$BE639,$H$4:$BE$4),12*Assumptions!$H$87+12)=W$4,0,IF(V639=1,PMT(Assumptions!$H$85,Assumptions!$H$48,$C641),V652))),0)</f>
        <v>0</v>
      </c>
      <c r="X652" s="39">
        <f>+IFERROR(-ABS(IF(EDATE(_xlfn.XLOOKUP(1,$H639:$BE639,$H$4:$BE$4),12*Assumptions!$H$87+12)=X$4,0,IF(W639=1,PMT(Assumptions!$H$85,Assumptions!$H$48,$C641),W652))),0)</f>
        <v>0</v>
      </c>
      <c r="Y652" s="39">
        <f>+IFERROR(-ABS(IF(EDATE(_xlfn.XLOOKUP(1,$H639:$BE639,$H$4:$BE$4),12*Assumptions!$H$87+12)=Y$4,0,IF(X639=1,PMT(Assumptions!$H$85,Assumptions!$H$48,$C641),X652))),0)</f>
        <v>0</v>
      </c>
      <c r="Z652" s="39">
        <f>+IFERROR(-ABS(IF(EDATE(_xlfn.XLOOKUP(1,$H639:$BE639,$H$4:$BE$4),12*Assumptions!$H$87+12)=Z$4,0,IF(Y639=1,PMT(Assumptions!$H$85,Assumptions!$H$48,$C641),Y652))),0)</f>
        <v>0</v>
      </c>
      <c r="AA652" s="39">
        <f>+IFERROR(-ABS(IF(EDATE(_xlfn.XLOOKUP(1,$H639:$BE639,$H$4:$BE$4),12*Assumptions!$H$87+12)=AA$4,0,IF(Z639=1,PMT(Assumptions!$H$85,Assumptions!$H$48,$C641),Z652))),0)</f>
        <v>0</v>
      </c>
      <c r="AB652" s="39">
        <f>+IFERROR(-ABS(IF(EDATE(_xlfn.XLOOKUP(1,$H639:$BE639,$H$4:$BE$4),12*Assumptions!$H$87+12)=AB$4,0,IF(AA639=1,PMT(Assumptions!$H$85,Assumptions!$H$48,$C641),AA652))),0)</f>
        <v>0</v>
      </c>
      <c r="AC652" s="39">
        <f>+IFERROR(-ABS(IF(EDATE(_xlfn.XLOOKUP(1,$H639:$BE639,$H$4:$BE$4),12*Assumptions!$H$87+12)=AC$4,0,IF(AB639=1,PMT(Assumptions!$H$85,Assumptions!$H$48,$C641),AB652))),0)</f>
        <v>0</v>
      </c>
      <c r="AD652" s="39">
        <f>+IFERROR(-ABS(IF(EDATE(_xlfn.XLOOKUP(1,$H639:$BE639,$H$4:$BE$4),12*Assumptions!$H$87+12)=AD$4,0,IF(AC639=1,PMT(Assumptions!$H$85,Assumptions!$H$48,$C641),AC652))),0)</f>
        <v>0</v>
      </c>
      <c r="AE652" s="39">
        <f>+IFERROR(-ABS(IF(EDATE(_xlfn.XLOOKUP(1,$H639:$BE639,$H$4:$BE$4),12*Assumptions!$H$87+12)=AE$4,0,IF(AD639=1,PMT(Assumptions!$H$85,Assumptions!$H$48,$C641),AD652))),0)</f>
        <v>0</v>
      </c>
      <c r="AF652" s="39">
        <f>+IFERROR(-ABS(IF(EDATE(_xlfn.XLOOKUP(1,$H639:$BE639,$H$4:$BE$4),12*Assumptions!$H$87+12)=AF$4,0,IF(AE639=1,PMT(Assumptions!$H$85,Assumptions!$H$48,$C641),AE652))),0)</f>
        <v>0</v>
      </c>
      <c r="AG652" s="39">
        <f>+IFERROR(-ABS(IF(EDATE(_xlfn.XLOOKUP(1,$H639:$BE639,$H$4:$BE$4),12*Assumptions!$H$87+12)=AG$4,0,IF(AF639=1,PMT(Assumptions!$H$85,Assumptions!$H$48,$C641),AF652))),0)</f>
        <v>0</v>
      </c>
      <c r="AH652" s="39">
        <f>+IFERROR(-ABS(IF(EDATE(_xlfn.XLOOKUP(1,$H639:$BE639,$H$4:$BE$4),12*Assumptions!$H$87+12)=AH$4,0,IF(AG639=1,PMT(Assumptions!$H$85,Assumptions!$H$48,$C641),AG652))),0)</f>
        <v>0</v>
      </c>
      <c r="AI652" s="39">
        <f>+IFERROR(-ABS(IF(EDATE(_xlfn.XLOOKUP(1,$H639:$BE639,$H$4:$BE$4),12*Assumptions!$H$87+12)=AI$4,0,IF(AH639=1,PMT(Assumptions!$H$85,Assumptions!$H$48,$C641),AH652))),0)</f>
        <v>0</v>
      </c>
      <c r="AJ652" s="39">
        <f>+IFERROR(-ABS(IF(EDATE(_xlfn.XLOOKUP(1,$H639:$BE639,$H$4:$BE$4),12*Assumptions!$H$87+12)=AJ$4,0,IF(AI639=1,PMT(Assumptions!$H$85,Assumptions!$H$48,$C641),AI652))),0)</f>
        <v>0</v>
      </c>
      <c r="AK652" s="39">
        <f>+IFERROR(-ABS(IF(EDATE(_xlfn.XLOOKUP(1,$H639:$BE639,$H$4:$BE$4),12*Assumptions!$H$87+12)=AK$4,0,IF(AJ639=1,PMT(Assumptions!$H$85,Assumptions!$H$48,$C641),AJ652))),0)</f>
        <v>0</v>
      </c>
      <c r="AL652" s="39">
        <f>+IFERROR(-ABS(IF(EDATE(_xlfn.XLOOKUP(1,$H639:$BE639,$H$4:$BE$4),12*Assumptions!$H$87+12)=AL$4,0,IF(AK639=1,PMT(Assumptions!$H$85,Assumptions!$H$48,$C641),AK652))),0)</f>
        <v>0</v>
      </c>
      <c r="AM652" s="39">
        <f>+IFERROR(-ABS(IF(EDATE(_xlfn.XLOOKUP(1,$H639:$BE639,$H$4:$BE$4),12*Assumptions!$H$87+12)=AM$4,0,IF(AL639=1,PMT(Assumptions!$H$85,Assumptions!$H$48,$C641),AL652))),0)</f>
        <v>0</v>
      </c>
      <c r="AN652" s="39">
        <f>+IFERROR(-ABS(IF(EDATE(_xlfn.XLOOKUP(1,$H639:$BE639,$H$4:$BE$4),12*Assumptions!$H$87+12)=AN$4,0,IF(AM639=1,PMT(Assumptions!$H$85,Assumptions!$H$48,$C641),AM652))),0)</f>
        <v>0</v>
      </c>
      <c r="AO652" s="39">
        <f>+IFERROR(-ABS(IF(EDATE(_xlfn.XLOOKUP(1,$H639:$BE639,$H$4:$BE$4),12*Assumptions!$H$87+12)=AO$4,0,IF(AN639=1,PMT(Assumptions!$H$85,Assumptions!$H$48,$C641),AN652))),0)</f>
        <v>0</v>
      </c>
      <c r="AP652" s="39">
        <f>+IFERROR(-ABS(IF(EDATE(_xlfn.XLOOKUP(1,$H639:$BE639,$H$4:$BE$4),12*Assumptions!$H$87+12)=AP$4,0,IF(AO639=1,PMT(Assumptions!$H$85,Assumptions!$H$48,$C641),AO652))),0)</f>
        <v>0</v>
      </c>
      <c r="AQ652" s="39">
        <f>+IFERROR(-ABS(IF(EDATE(_xlfn.XLOOKUP(1,$H639:$BE639,$H$4:$BE$4),12*Assumptions!$H$87+12)=AQ$4,0,IF(AP639=1,PMT(Assumptions!$H$85,Assumptions!$H$48,$C641),AP652))),0)</f>
        <v>0</v>
      </c>
      <c r="AR652" s="39">
        <f>+IFERROR(-ABS(IF(EDATE(_xlfn.XLOOKUP(1,$H639:$BE639,$H$4:$BE$4),12*Assumptions!$H$87+12)=AR$4,0,IF(AQ639=1,PMT(Assumptions!$H$85,Assumptions!$H$48,$C641),AQ652))),0)</f>
        <v>0</v>
      </c>
      <c r="AS652" s="39">
        <f>+IFERROR(-ABS(IF(EDATE(_xlfn.XLOOKUP(1,$H639:$BE639,$H$4:$BE$4),12*Assumptions!$H$87+12)=AS$4,0,IF(AR639=1,PMT(Assumptions!$H$85,Assumptions!$H$48,$C641),AR652))),0)</f>
        <v>0</v>
      </c>
      <c r="AT652" s="39">
        <f>+IFERROR(-ABS(IF(EDATE(_xlfn.XLOOKUP(1,$H639:$BE639,$H$4:$BE$4),12*Assumptions!$H$87+12)=AT$4,0,IF(AS639=1,PMT(Assumptions!$H$85,Assumptions!$H$48,$C641),AS652))),0)</f>
        <v>0</v>
      </c>
      <c r="AU652" s="39">
        <f>+IFERROR(-ABS(IF(EDATE(_xlfn.XLOOKUP(1,$H639:$BE639,$H$4:$BE$4),12*Assumptions!$H$87+12)=AU$4,0,IF(AT639=1,PMT(Assumptions!$H$85,Assumptions!$H$48,$C641),AT652))),0)</f>
        <v>0</v>
      </c>
      <c r="AV652" s="39">
        <f>+IFERROR(-ABS(IF(EDATE(_xlfn.XLOOKUP(1,$H639:$BE639,$H$4:$BE$4),12*Assumptions!$H$87+12)=AV$4,0,IF(AU639=1,PMT(Assumptions!$H$85,Assumptions!$H$48,$C641),AU652))),0)</f>
        <v>0</v>
      </c>
      <c r="AW652" s="39">
        <f>+IFERROR(-ABS(IF(EDATE(_xlfn.XLOOKUP(1,$H639:$BE639,$H$4:$BE$4),12*Assumptions!$H$87+12)=AW$4,0,IF(AV639=1,PMT(Assumptions!$H$85,Assumptions!$H$48,$C641),AV652))),0)</f>
        <v>0</v>
      </c>
      <c r="AX652" s="39">
        <f>+IFERROR(-ABS(IF(EDATE(_xlfn.XLOOKUP(1,$H639:$BE639,$H$4:$BE$4),12*Assumptions!$H$87+12)=AX$4,0,IF(AW639=1,PMT(Assumptions!$H$85,Assumptions!$H$48,$C641),AW652))),0)</f>
        <v>0</v>
      </c>
      <c r="AY652" s="39">
        <f>+IFERROR(-ABS(IF(EDATE(_xlfn.XLOOKUP(1,$H639:$BE639,$H$4:$BE$4),12*Assumptions!$H$87+12)=AY$4,0,IF(AX639=1,PMT(Assumptions!$H$85,Assumptions!$H$48,$C641),AX652))),0)</f>
        <v>0</v>
      </c>
      <c r="AZ652" s="39">
        <f>+IFERROR(-ABS(IF(EDATE(_xlfn.XLOOKUP(1,$H639:$BE639,$H$4:$BE$4),12*Assumptions!$H$87+12)=AZ$4,0,IF(AY639=1,PMT(Assumptions!$H$85,Assumptions!$H$48,$C641),AY652))),0)</f>
        <v>0</v>
      </c>
      <c r="BA652" s="39">
        <f>+IFERROR(-ABS(IF(EDATE(_xlfn.XLOOKUP(1,$H639:$BE639,$H$4:$BE$4),12*Assumptions!$H$87+12)=BA$4,0,IF(AZ639=1,PMT(Assumptions!$H$85,Assumptions!$H$48,$C641),AZ652))),0)</f>
        <v>0</v>
      </c>
      <c r="BB652" s="39">
        <f>+IFERROR(-ABS(IF(EDATE(_xlfn.XLOOKUP(1,$H639:$BE639,$H$4:$BE$4),12*Assumptions!$H$87+12)=BB$4,0,IF(BA639=1,PMT(Assumptions!$H$85,Assumptions!$H$48,$C641),BA652))),0)</f>
        <v>0</v>
      </c>
      <c r="BC652" s="39">
        <f>+IFERROR(-ABS(IF(EDATE(_xlfn.XLOOKUP(1,$H639:$BE639,$H$4:$BE$4),12*Assumptions!$H$87+12)=BC$4,0,IF(BB639=1,PMT(Assumptions!$H$85,Assumptions!$H$48,$C641),BB652))),0)</f>
        <v>0</v>
      </c>
      <c r="BD652" s="39">
        <f>+IFERROR(-ABS(IF(EDATE(_xlfn.XLOOKUP(1,$H639:$BE639,$H$4:$BE$4),12*Assumptions!$H$87+12)=BD$4,0,IF(BC639=1,PMT(Assumptions!$H$85,Assumptions!$H$48,$C641),BC652))),0)</f>
        <v>0</v>
      </c>
      <c r="BE652" s="39">
        <f>+IFERROR(-ABS(IF(EDATE(_xlfn.XLOOKUP(1,$H639:$BE639,$H$4:$BE$4),12*Assumptions!$H$87+12)=BE$4,0,IF(BD639=1,PMT(Assumptions!$H$85,Assumptions!$H$48,$C641),BD652))),0)</f>
        <v>0</v>
      </c>
      <c r="BF652" s="39">
        <f>+IFERROR(-ABS(IF(EDATE(_xlfn.XLOOKUP(1,$H639:$BE639,$H$4:$BE$4),12*Assumptions!$H$87+12)=BF$4,0,IF(BE639=1,PMT(Assumptions!$H$85,Assumptions!$H$48,$C641),BE652))),0)</f>
        <v>0</v>
      </c>
      <c r="BG652" s="39">
        <f>+IFERROR(-ABS(IF(EDATE(_xlfn.XLOOKUP(1,$H639:$BE639,$H$4:$BE$4),12*Assumptions!$H$87+12)=BG$4,0,IF(BF639=1,PMT(Assumptions!$H$85,Assumptions!$H$48,$C641),BF652))),0)</f>
        <v>0</v>
      </c>
      <c r="BH652" s="39">
        <f>+IFERROR(-ABS(IF(EDATE(_xlfn.XLOOKUP(1,$H639:$BE639,$H$4:$BE$4),12*Assumptions!$H$87+12)=BH$4,0,IF(BG639=1,PMT(Assumptions!$H$85,Assumptions!$H$48,$C641),BG652))),0)</f>
        <v>0</v>
      </c>
      <c r="BI652" s="39">
        <f>+IFERROR(-ABS(IF(EDATE(_xlfn.XLOOKUP(1,$H639:$BE639,$H$4:$BE$4),12*Assumptions!$H$87+12)=BI$4,0,IF(BH639=1,PMT(Assumptions!$H$85,Assumptions!$H$48,$C641),BH652))),0)</f>
        <v>0</v>
      </c>
      <c r="BJ652" s="39">
        <f>+IFERROR(-ABS(IF(EDATE(_xlfn.XLOOKUP(1,$H639:$BE639,$H$4:$BE$4),12*Assumptions!$H$87+12)=BJ$4,0,IF(BI639=1,PMT(Assumptions!$H$85,Assumptions!$H$48,$C641),BI652))),0)</f>
        <v>0</v>
      </c>
      <c r="BK652" s="39">
        <f>+IFERROR(-ABS(IF(EDATE(_xlfn.XLOOKUP(1,$H639:$BE639,$H$4:$BE$4),12*Assumptions!$H$87+12)=BK$4,0,IF(BJ639=1,PMT(Assumptions!$H$85,Assumptions!$H$48,$C641),BJ652))),0)</f>
        <v>0</v>
      </c>
      <c r="BL652" s="39">
        <f>+IFERROR(-ABS(IF(EDATE(_xlfn.XLOOKUP(1,$H639:$BE639,$H$4:$BE$4),12*Assumptions!$H$87+12)=BL$4,0,IF(BK639=1,PMT(Assumptions!$H$85,Assumptions!$H$48,$C641),BK652))),0)</f>
        <v>0</v>
      </c>
      <c r="BM652" s="39">
        <f>+IFERROR(-ABS(IF(EDATE(_xlfn.XLOOKUP(1,$H639:$BE639,$H$4:$BE$4),12*Assumptions!$H$87+12)=BM$4,0,IF(BL639=1,PMT(Assumptions!$H$85,Assumptions!$H$48,$C641),BL652))),0)</f>
        <v>0</v>
      </c>
      <c r="BN652" s="39">
        <f>+IFERROR(-ABS(IF(EDATE(_xlfn.XLOOKUP(1,$H639:$BE639,$H$4:$BE$4),12*Assumptions!$H$87+12)=BN$4,0,IF(BM639=1,PMT(Assumptions!$H$85,Assumptions!$H$48,$C641),BM652))),0)</f>
        <v>0</v>
      </c>
      <c r="BO652" s="39">
        <f>+IFERROR(-ABS(IF(EDATE(_xlfn.XLOOKUP(1,$H639:$BE639,$H$4:$BE$4),12*Assumptions!$H$87+12)=BO$4,0,IF(BN639=1,PMT(Assumptions!$H$85,Assumptions!$H$48,$C641),BN652))),0)</f>
        <v>0</v>
      </c>
      <c r="BP652" s="39">
        <f>+IFERROR(-ABS(IF(EDATE(_xlfn.XLOOKUP(1,$H639:$BE639,$H$4:$BE$4),12*Assumptions!$H$87+12)=BP$4,0,IF(BO639=1,PMT(Assumptions!$H$85,Assumptions!$H$48,$C641),BO652))),0)</f>
        <v>0</v>
      </c>
      <c r="BQ652" s="39">
        <f>+IFERROR(-ABS(IF(EDATE(_xlfn.XLOOKUP(1,$H639:$BE639,$H$4:$BE$4),12*Assumptions!$H$87+12)=BQ$4,0,IF(BP639=1,PMT(Assumptions!$H$85,Assumptions!$H$48,$C641),BP652))),0)</f>
        <v>0</v>
      </c>
      <c r="BR652" s="39">
        <f>+IFERROR(-ABS(IF(EDATE(_xlfn.XLOOKUP(1,$H639:$BE639,$H$4:$BE$4),12*Assumptions!$H$87+12)=BR$4,0,IF(BQ639=1,PMT(Assumptions!$H$85,Assumptions!$H$48,$C641),BQ652))),0)</f>
        <v>0</v>
      </c>
      <c r="BS652" s="39">
        <f>+IFERROR(-ABS(IF(EDATE(_xlfn.XLOOKUP(1,$H639:$BE639,$H$4:$BE$4),12*Assumptions!$H$87+12)=BS$4,0,IF(BR639=1,PMT(Assumptions!$H$85,Assumptions!$H$48,$C641),BR652))),0)</f>
        <v>0</v>
      </c>
      <c r="BT652" s="39">
        <f>+IFERROR(-ABS(IF(EDATE(_xlfn.XLOOKUP(1,$H639:$BE639,$H$4:$BE$4),12*Assumptions!$H$87+12)=BT$4,0,IF(BS639=1,PMT(Assumptions!$H$85,Assumptions!$H$48,$C641),BS652))),0)</f>
        <v>0</v>
      </c>
      <c r="BU652" s="39">
        <f>+IFERROR(-ABS(IF(EDATE(_xlfn.XLOOKUP(1,$H639:$BE639,$H$4:$BE$4),12*Assumptions!$H$87+12)=BU$4,0,IF(BT639=1,PMT(Assumptions!$H$85,Assumptions!$H$48,$C641),BT652))),0)</f>
        <v>0</v>
      </c>
      <c r="BV652" s="39">
        <f>+IFERROR(-ABS(IF(EDATE(_xlfn.XLOOKUP(1,$H639:$BE639,$H$4:$BE$4),12*Assumptions!$H$87+12)=BV$4,0,IF(BU639=1,PMT(Assumptions!$H$85,Assumptions!$H$48,$C641),BU652))),0)</f>
        <v>0</v>
      </c>
      <c r="BW652" s="39">
        <f>+IFERROR(-ABS(IF(EDATE(_xlfn.XLOOKUP(1,$H639:$BE639,$H$4:$BE$4),12*Assumptions!$H$87+12)=BW$4,0,IF(BV639=1,PMT(Assumptions!$H$85,Assumptions!$H$48,$C641),BV652))),0)</f>
        <v>0</v>
      </c>
      <c r="BX652" s="39">
        <f>+IFERROR(-ABS(IF(EDATE(_xlfn.XLOOKUP(1,$H639:$BE639,$H$4:$BE$4),12*Assumptions!$H$87+12)=BX$4,0,IF(BW639=1,PMT(Assumptions!$H$85,Assumptions!$H$48,$C641),BW652))),0)</f>
        <v>0</v>
      </c>
      <c r="BY652" s="39">
        <f>+IFERROR(-ABS(IF(EDATE(_xlfn.XLOOKUP(1,$H639:$BE639,$H$4:$BE$4),12*Assumptions!$H$87+12)=BY$4,0,IF(BX639=1,PMT(Assumptions!$H$85,Assumptions!$H$48,$C641),BX652))),0)</f>
        <v>0</v>
      </c>
    </row>
    <row r="653" spans="5:77" outlineLevel="1">
      <c r="E653" s="24" t="s">
        <v>522</v>
      </c>
      <c r="F653" s="80" t="str">
        <f>+Assumptions!$G$8</f>
        <v>USD</v>
      </c>
      <c r="G653" s="24"/>
      <c r="H653" s="39">
        <f>+IFERROR(-ABS(IF(EDATE(_xlfn.XLOOKUP(1,$H640:$BE640,$H$4:$BE$4),12*Assumptions!$H$87+12)=H$4,0,IF(G640=1,PMT(Assumptions!$H$85,Assumptions!$H$48,$C642),G653))),0)</f>
        <v>0</v>
      </c>
      <c r="I653" s="39">
        <f>+IFERROR(-ABS(IF(EDATE(_xlfn.XLOOKUP(1,$H640:$BE640,$H$4:$BE$4),12*Assumptions!$H$87+12)=I$4,0,IF(H640=1,PMT(Assumptions!$H$85,Assumptions!$H$48,$C642),H653))),0)</f>
        <v>0</v>
      </c>
      <c r="J653" s="39">
        <f>+IFERROR(-ABS(IF(EDATE(_xlfn.XLOOKUP(1,$H640:$BE640,$H$4:$BE$4),12*Assumptions!$H$87+12)=J$4,0,IF(I640=1,PMT(Assumptions!$H$85,Assumptions!$H$48,$C642),I653))),0)</f>
        <v>0</v>
      </c>
      <c r="K653" s="39">
        <f>+IFERROR(-ABS(IF(EDATE(_xlfn.XLOOKUP(1,$H640:$BE640,$H$4:$BE$4),12*Assumptions!$H$87+12)=K$4,0,IF(J640=1,PMT(Assumptions!$H$85,Assumptions!$H$48,$C642),J653))),0)</f>
        <v>0</v>
      </c>
      <c r="L653" s="39">
        <f>+IFERROR(-ABS(IF(EDATE(_xlfn.XLOOKUP(1,$H640:$BE640,$H$4:$BE$4),12*Assumptions!$H$87+12)=L$4,0,IF(K640=1,PMT(Assumptions!$H$85,Assumptions!$H$48,$C642),K653))),0)</f>
        <v>0</v>
      </c>
      <c r="M653" s="39">
        <f>+IFERROR(-ABS(IF(EDATE(_xlfn.XLOOKUP(1,$H640:$BE640,$H$4:$BE$4),12*Assumptions!$H$87+12)=M$4,0,IF(L640=1,PMT(Assumptions!$H$85,Assumptions!$H$48,$C642),L653))),0)</f>
        <v>0</v>
      </c>
      <c r="N653" s="39">
        <f>+IFERROR(-ABS(IF(EDATE(_xlfn.XLOOKUP(1,$H640:$BE640,$H$4:$BE$4),12*Assumptions!$H$87+12)=N$4,0,IF(M640=1,PMT(Assumptions!$H$85,Assumptions!$H$48,$C642),M653))),0)</f>
        <v>0</v>
      </c>
      <c r="O653" s="39">
        <f>+IFERROR(-ABS(IF(EDATE(_xlfn.XLOOKUP(1,$H640:$BE640,$H$4:$BE$4),12*Assumptions!$H$87+12)=O$4,0,IF(N640=1,PMT(Assumptions!$H$85,Assumptions!$H$48,$C642),N653))),0)</f>
        <v>0</v>
      </c>
      <c r="P653" s="39">
        <f>+IFERROR(-ABS(IF(EDATE(_xlfn.XLOOKUP(1,$H640:$BE640,$H$4:$BE$4),12*Assumptions!$H$87+12)=P$4,0,IF(O640=1,PMT(Assumptions!$H$85,Assumptions!$H$48,$C642),O653))),0)</f>
        <v>0</v>
      </c>
      <c r="Q653" s="39">
        <f>+IFERROR(-ABS(IF(EDATE(_xlfn.XLOOKUP(1,$H640:$BE640,$H$4:$BE$4),12*Assumptions!$H$87+12)=Q$4,0,IF(P640=1,PMT(Assumptions!$H$85,Assumptions!$H$48,$C642),P653))),0)</f>
        <v>0</v>
      </c>
      <c r="R653" s="39">
        <f>+IFERROR(-ABS(IF(EDATE(_xlfn.XLOOKUP(1,$H640:$BE640,$H$4:$BE$4),12*Assumptions!$H$87+12)=R$4,0,IF(Q640=1,PMT(Assumptions!$H$85,Assumptions!$H$48,$C642),Q653))),0)</f>
        <v>0</v>
      </c>
      <c r="S653" s="39">
        <f>+IFERROR(-ABS(IF(EDATE(_xlfn.XLOOKUP(1,$H640:$BE640,$H$4:$BE$4),12*Assumptions!$H$87+12)=S$4,0,IF(R640=1,PMT(Assumptions!$H$85,Assumptions!$H$48,$C642),R653))),0)</f>
        <v>0</v>
      </c>
      <c r="T653" s="39">
        <f>+IFERROR(-ABS(IF(EDATE(_xlfn.XLOOKUP(1,$H640:$BE640,$H$4:$BE$4),12*Assumptions!$H$87+12)=T$4,0,IF(S640=1,PMT(Assumptions!$H$85,Assumptions!$H$48,$C642),S653))),0)</f>
        <v>0</v>
      </c>
      <c r="U653" s="39">
        <f>+IFERROR(-ABS(IF(EDATE(_xlfn.XLOOKUP(1,$H640:$BE640,$H$4:$BE$4),12*Assumptions!$H$87+12)=U$4,0,IF(T640=1,PMT(Assumptions!$H$85,Assumptions!$H$48,$C642),T653))),0)</f>
        <v>0</v>
      </c>
      <c r="V653" s="39">
        <f>+IFERROR(-ABS(IF(EDATE(_xlfn.XLOOKUP(1,$H640:$BE640,$H$4:$BE$4),12*Assumptions!$H$87+12)=V$4,0,IF(U640=1,PMT(Assumptions!$H$85,Assumptions!$H$48,$C642),U653))),0)</f>
        <v>0</v>
      </c>
      <c r="W653" s="39">
        <f>+IFERROR(-ABS(IF(EDATE(_xlfn.XLOOKUP(1,$H640:$BE640,$H$4:$BE$4),12*Assumptions!$H$87+12)=W$4,0,IF(V640=1,PMT(Assumptions!$H$85,Assumptions!$H$48,$C642),V653))),0)</f>
        <v>0</v>
      </c>
      <c r="X653" s="39">
        <f>+IFERROR(-ABS(IF(EDATE(_xlfn.XLOOKUP(1,$H640:$BE640,$H$4:$BE$4),12*Assumptions!$H$87+12)=X$4,0,IF(W640=1,PMT(Assumptions!$H$85,Assumptions!$H$48,$C642),W653))),0)</f>
        <v>0</v>
      </c>
      <c r="Y653" s="39">
        <f>+IFERROR(-ABS(IF(EDATE(_xlfn.XLOOKUP(1,$H640:$BE640,$H$4:$BE$4),12*Assumptions!$H$87+12)=Y$4,0,IF(X640=1,PMT(Assumptions!$H$85,Assumptions!$H$48,$C642),X653))),0)</f>
        <v>0</v>
      </c>
      <c r="Z653" s="39">
        <f>+IFERROR(-ABS(IF(EDATE(_xlfn.XLOOKUP(1,$H640:$BE640,$H$4:$BE$4),12*Assumptions!$H$87+12)=Z$4,0,IF(Y640=1,PMT(Assumptions!$H$85,Assumptions!$H$48,$C642),Y653))),0)</f>
        <v>0</v>
      </c>
      <c r="AA653" s="39">
        <f>+IFERROR(-ABS(IF(EDATE(_xlfn.XLOOKUP(1,$H640:$BE640,$H$4:$BE$4),12*Assumptions!$H$87+12)=AA$4,0,IF(Z640=1,PMT(Assumptions!$H$85,Assumptions!$H$48,$C642),Z653))),0)</f>
        <v>0</v>
      </c>
      <c r="AB653" s="39">
        <f>+IFERROR(-ABS(IF(EDATE(_xlfn.XLOOKUP(1,$H640:$BE640,$H$4:$BE$4),12*Assumptions!$H$87+12)=AB$4,0,IF(AA640=1,PMT(Assumptions!$H$85,Assumptions!$H$48,$C642),AA653))),0)</f>
        <v>0</v>
      </c>
      <c r="AC653" s="39">
        <f>+IFERROR(-ABS(IF(EDATE(_xlfn.XLOOKUP(1,$H640:$BE640,$H$4:$BE$4),12*Assumptions!$H$87+12)=AC$4,0,IF(AB640=1,PMT(Assumptions!$H$85,Assumptions!$H$48,$C642),AB653))),0)</f>
        <v>0</v>
      </c>
      <c r="AD653" s="39">
        <f>+IFERROR(-ABS(IF(EDATE(_xlfn.XLOOKUP(1,$H640:$BE640,$H$4:$BE$4),12*Assumptions!$H$87+12)=AD$4,0,IF(AC640=1,PMT(Assumptions!$H$85,Assumptions!$H$48,$C642),AC653))),0)</f>
        <v>0</v>
      </c>
      <c r="AE653" s="39">
        <f>+IFERROR(-ABS(IF(EDATE(_xlfn.XLOOKUP(1,$H640:$BE640,$H$4:$BE$4),12*Assumptions!$H$87+12)=AE$4,0,IF(AD640=1,PMT(Assumptions!$H$85,Assumptions!$H$48,$C642),AD653))),0)</f>
        <v>0</v>
      </c>
      <c r="AF653" s="39">
        <f>+IFERROR(-ABS(IF(EDATE(_xlfn.XLOOKUP(1,$H640:$BE640,$H$4:$BE$4),12*Assumptions!$H$87+12)=AF$4,0,IF(AE640=1,PMT(Assumptions!$H$85,Assumptions!$H$48,$C642),AE653))),0)</f>
        <v>0</v>
      </c>
      <c r="AG653" s="39">
        <f>+IFERROR(-ABS(IF(EDATE(_xlfn.XLOOKUP(1,$H640:$BE640,$H$4:$BE$4),12*Assumptions!$H$87+12)=AG$4,0,IF(AF640=1,PMT(Assumptions!$H$85,Assumptions!$H$48,$C642),AF653))),0)</f>
        <v>0</v>
      </c>
      <c r="AH653" s="39">
        <f>+IFERROR(-ABS(IF(EDATE(_xlfn.XLOOKUP(1,$H640:$BE640,$H$4:$BE$4),12*Assumptions!$H$87+12)=AH$4,0,IF(AG640=1,PMT(Assumptions!$H$85,Assumptions!$H$48,$C642),AG653))),0)</f>
        <v>0</v>
      </c>
      <c r="AI653" s="39">
        <f>+IFERROR(-ABS(IF(EDATE(_xlfn.XLOOKUP(1,$H640:$BE640,$H$4:$BE$4),12*Assumptions!$H$87+12)=AI$4,0,IF(AH640=1,PMT(Assumptions!$H$85,Assumptions!$H$48,$C642),AH653))),0)</f>
        <v>0</v>
      </c>
      <c r="AJ653" s="39">
        <f>+IFERROR(-ABS(IF(EDATE(_xlfn.XLOOKUP(1,$H640:$BE640,$H$4:$BE$4),12*Assumptions!$H$87+12)=AJ$4,0,IF(AI640=1,PMT(Assumptions!$H$85,Assumptions!$H$48,$C642),AI653))),0)</f>
        <v>0</v>
      </c>
      <c r="AK653" s="39">
        <f>+IFERROR(-ABS(IF(EDATE(_xlfn.XLOOKUP(1,$H640:$BE640,$H$4:$BE$4),12*Assumptions!$H$87+12)=AK$4,0,IF(AJ640=1,PMT(Assumptions!$H$85,Assumptions!$H$48,$C642),AJ653))),0)</f>
        <v>0</v>
      </c>
      <c r="AL653" s="39">
        <f>+IFERROR(-ABS(IF(EDATE(_xlfn.XLOOKUP(1,$H640:$BE640,$H$4:$BE$4),12*Assumptions!$H$87+12)=AL$4,0,IF(AK640=1,PMT(Assumptions!$H$85,Assumptions!$H$48,$C642),AK653))),0)</f>
        <v>0</v>
      </c>
      <c r="AM653" s="39">
        <f>+IFERROR(-ABS(IF(EDATE(_xlfn.XLOOKUP(1,$H640:$BE640,$H$4:$BE$4),12*Assumptions!$H$87+12)=AM$4,0,IF(AL640=1,PMT(Assumptions!$H$85,Assumptions!$H$48,$C642),AL653))),0)</f>
        <v>0</v>
      </c>
      <c r="AN653" s="39">
        <f>+IFERROR(-ABS(IF(EDATE(_xlfn.XLOOKUP(1,$H640:$BE640,$H$4:$BE$4),12*Assumptions!$H$87+12)=AN$4,0,IF(AM640=1,PMT(Assumptions!$H$85,Assumptions!$H$48,$C642),AM653))),0)</f>
        <v>0</v>
      </c>
      <c r="AO653" s="39">
        <f>+IFERROR(-ABS(IF(EDATE(_xlfn.XLOOKUP(1,$H640:$BE640,$H$4:$BE$4),12*Assumptions!$H$87+12)=AO$4,0,IF(AN640=1,PMT(Assumptions!$H$85,Assumptions!$H$48,$C642),AN653))),0)</f>
        <v>0</v>
      </c>
      <c r="AP653" s="39">
        <f>+IFERROR(-ABS(IF(EDATE(_xlfn.XLOOKUP(1,$H640:$BE640,$H$4:$BE$4),12*Assumptions!$H$87+12)=AP$4,0,IF(AO640=1,PMT(Assumptions!$H$85,Assumptions!$H$48,$C642),AO653))),0)</f>
        <v>0</v>
      </c>
      <c r="AQ653" s="39">
        <f>+IFERROR(-ABS(IF(EDATE(_xlfn.XLOOKUP(1,$H640:$BE640,$H$4:$BE$4),12*Assumptions!$H$87+12)=AQ$4,0,IF(AP640=1,PMT(Assumptions!$H$85,Assumptions!$H$48,$C642),AP653))),0)</f>
        <v>0</v>
      </c>
      <c r="AR653" s="39">
        <f>+IFERROR(-ABS(IF(EDATE(_xlfn.XLOOKUP(1,$H640:$BE640,$H$4:$BE$4),12*Assumptions!$H$87+12)=AR$4,0,IF(AQ640=1,PMT(Assumptions!$H$85,Assumptions!$H$48,$C642),AQ653))),0)</f>
        <v>0</v>
      </c>
      <c r="AS653" s="39">
        <f>+IFERROR(-ABS(IF(EDATE(_xlfn.XLOOKUP(1,$H640:$BE640,$H$4:$BE$4),12*Assumptions!$H$87+12)=AS$4,0,IF(AR640=1,PMT(Assumptions!$H$85,Assumptions!$H$48,$C642),AR653))),0)</f>
        <v>0</v>
      </c>
      <c r="AT653" s="39">
        <f>+IFERROR(-ABS(IF(EDATE(_xlfn.XLOOKUP(1,$H640:$BE640,$H$4:$BE$4),12*Assumptions!$H$87+12)=AT$4,0,IF(AS640=1,PMT(Assumptions!$H$85,Assumptions!$H$48,$C642),AS653))),0)</f>
        <v>0</v>
      </c>
      <c r="AU653" s="39">
        <f>+IFERROR(-ABS(IF(EDATE(_xlfn.XLOOKUP(1,$H640:$BE640,$H$4:$BE$4),12*Assumptions!$H$87+12)=AU$4,0,IF(AT640=1,PMT(Assumptions!$H$85,Assumptions!$H$48,$C642),AT653))),0)</f>
        <v>0</v>
      </c>
      <c r="AV653" s="39">
        <f>+IFERROR(-ABS(IF(EDATE(_xlfn.XLOOKUP(1,$H640:$BE640,$H$4:$BE$4),12*Assumptions!$H$87+12)=AV$4,0,IF(AU640=1,PMT(Assumptions!$H$85,Assumptions!$H$48,$C642),AU653))),0)</f>
        <v>0</v>
      </c>
      <c r="AW653" s="39">
        <f>+IFERROR(-ABS(IF(EDATE(_xlfn.XLOOKUP(1,$H640:$BE640,$H$4:$BE$4),12*Assumptions!$H$87+12)=AW$4,0,IF(AV640=1,PMT(Assumptions!$H$85,Assumptions!$H$48,$C642),AV653))),0)</f>
        <v>0</v>
      </c>
      <c r="AX653" s="39">
        <f>+IFERROR(-ABS(IF(EDATE(_xlfn.XLOOKUP(1,$H640:$BE640,$H$4:$BE$4),12*Assumptions!$H$87+12)=AX$4,0,IF(AW640=1,PMT(Assumptions!$H$85,Assumptions!$H$48,$C642),AW653))),0)</f>
        <v>0</v>
      </c>
      <c r="AY653" s="39">
        <f>+IFERROR(-ABS(IF(EDATE(_xlfn.XLOOKUP(1,$H640:$BE640,$H$4:$BE$4),12*Assumptions!$H$87+12)=AY$4,0,IF(AX640=1,PMT(Assumptions!$H$85,Assumptions!$H$48,$C642),AX653))),0)</f>
        <v>0</v>
      </c>
      <c r="AZ653" s="39">
        <f>+IFERROR(-ABS(IF(EDATE(_xlfn.XLOOKUP(1,$H640:$BE640,$H$4:$BE$4),12*Assumptions!$H$87+12)=AZ$4,0,IF(AY640=1,PMT(Assumptions!$H$85,Assumptions!$H$48,$C642),AY653))),0)</f>
        <v>0</v>
      </c>
      <c r="BA653" s="39">
        <f>+IFERROR(-ABS(IF(EDATE(_xlfn.XLOOKUP(1,$H640:$BE640,$H$4:$BE$4),12*Assumptions!$H$87+12)=BA$4,0,IF(AZ640=1,PMT(Assumptions!$H$85,Assumptions!$H$48,$C642),AZ653))),0)</f>
        <v>0</v>
      </c>
      <c r="BB653" s="39">
        <f>+IFERROR(-ABS(IF(EDATE(_xlfn.XLOOKUP(1,$H640:$BE640,$H$4:$BE$4),12*Assumptions!$H$87+12)=BB$4,0,IF(BA640=1,PMT(Assumptions!$H$85,Assumptions!$H$48,$C642),BA653))),0)</f>
        <v>0</v>
      </c>
      <c r="BC653" s="39">
        <f>+IFERROR(-ABS(IF(EDATE(_xlfn.XLOOKUP(1,$H640:$BE640,$H$4:$BE$4),12*Assumptions!$H$87+12)=BC$4,0,IF(BB640=1,PMT(Assumptions!$H$85,Assumptions!$H$48,$C642),BB653))),0)</f>
        <v>0</v>
      </c>
      <c r="BD653" s="39">
        <f>+IFERROR(-ABS(IF(EDATE(_xlfn.XLOOKUP(1,$H640:$BE640,$H$4:$BE$4),12*Assumptions!$H$87+12)=BD$4,0,IF(BC640=1,PMT(Assumptions!$H$85,Assumptions!$H$48,$C642),BC653))),0)</f>
        <v>0</v>
      </c>
      <c r="BE653" s="39">
        <f>+IFERROR(-ABS(IF(EDATE(_xlfn.XLOOKUP(1,$H640:$BE640,$H$4:$BE$4),12*Assumptions!$H$87+12)=BE$4,0,IF(BD640=1,PMT(Assumptions!$H$85,Assumptions!$H$48,$C642),BD653))),0)</f>
        <v>0</v>
      </c>
      <c r="BF653" s="39">
        <f>+IFERROR(-ABS(IF(EDATE(_xlfn.XLOOKUP(1,$H640:$BE640,$H$4:$BE$4),12*Assumptions!$H$87+12)=BF$4,0,IF(BE640=1,PMT(Assumptions!$H$85,Assumptions!$H$48,$C642),BE653))),0)</f>
        <v>0</v>
      </c>
      <c r="BG653" s="39">
        <f>+IFERROR(-ABS(IF(EDATE(_xlfn.XLOOKUP(1,$H640:$BE640,$H$4:$BE$4),12*Assumptions!$H$87+12)=BG$4,0,IF(BF640=1,PMT(Assumptions!$H$85,Assumptions!$H$48,$C642),BF653))),0)</f>
        <v>0</v>
      </c>
      <c r="BH653" s="39">
        <f>+IFERROR(-ABS(IF(EDATE(_xlfn.XLOOKUP(1,$H640:$BE640,$H$4:$BE$4),12*Assumptions!$H$87+12)=BH$4,0,IF(BG640=1,PMT(Assumptions!$H$85,Assumptions!$H$48,$C642),BG653))),0)</f>
        <v>0</v>
      </c>
      <c r="BI653" s="39">
        <f>+IFERROR(-ABS(IF(EDATE(_xlfn.XLOOKUP(1,$H640:$BE640,$H$4:$BE$4),12*Assumptions!$H$87+12)=BI$4,0,IF(BH640=1,PMT(Assumptions!$H$85,Assumptions!$H$48,$C642),BH653))),0)</f>
        <v>0</v>
      </c>
      <c r="BJ653" s="39">
        <f>+IFERROR(-ABS(IF(EDATE(_xlfn.XLOOKUP(1,$H640:$BE640,$H$4:$BE$4),12*Assumptions!$H$87+12)=BJ$4,0,IF(BI640=1,PMT(Assumptions!$H$85,Assumptions!$H$48,$C642),BI653))),0)</f>
        <v>0</v>
      </c>
      <c r="BK653" s="39">
        <f>+IFERROR(-ABS(IF(EDATE(_xlfn.XLOOKUP(1,$H640:$BE640,$H$4:$BE$4),12*Assumptions!$H$87+12)=BK$4,0,IF(BJ640=1,PMT(Assumptions!$H$85,Assumptions!$H$48,$C642),BJ653))),0)</f>
        <v>0</v>
      </c>
      <c r="BL653" s="39">
        <f>+IFERROR(-ABS(IF(EDATE(_xlfn.XLOOKUP(1,$H640:$BE640,$H$4:$BE$4),12*Assumptions!$H$87+12)=BL$4,0,IF(BK640=1,PMT(Assumptions!$H$85,Assumptions!$H$48,$C642),BK653))),0)</f>
        <v>0</v>
      </c>
      <c r="BM653" s="39">
        <f>+IFERROR(-ABS(IF(EDATE(_xlfn.XLOOKUP(1,$H640:$BE640,$H$4:$BE$4),12*Assumptions!$H$87+12)=BM$4,0,IF(BL640=1,PMT(Assumptions!$H$85,Assumptions!$H$48,$C642),BL653))),0)</f>
        <v>0</v>
      </c>
      <c r="BN653" s="39">
        <f>+IFERROR(-ABS(IF(EDATE(_xlfn.XLOOKUP(1,$H640:$BE640,$H$4:$BE$4),12*Assumptions!$H$87+12)=BN$4,0,IF(BM640=1,PMT(Assumptions!$H$85,Assumptions!$H$48,$C642),BM653))),0)</f>
        <v>0</v>
      </c>
      <c r="BO653" s="39">
        <f>+IFERROR(-ABS(IF(EDATE(_xlfn.XLOOKUP(1,$H640:$BE640,$H$4:$BE$4),12*Assumptions!$H$87+12)=BO$4,0,IF(BN640=1,PMT(Assumptions!$H$85,Assumptions!$H$48,$C642),BN653))),0)</f>
        <v>0</v>
      </c>
      <c r="BP653" s="39">
        <f>+IFERROR(-ABS(IF(EDATE(_xlfn.XLOOKUP(1,$H640:$BE640,$H$4:$BE$4),12*Assumptions!$H$87+12)=BP$4,0,IF(BO640=1,PMT(Assumptions!$H$85,Assumptions!$H$48,$C642),BO653))),0)</f>
        <v>0</v>
      </c>
      <c r="BQ653" s="39">
        <f>+IFERROR(-ABS(IF(EDATE(_xlfn.XLOOKUP(1,$H640:$BE640,$H$4:$BE$4),12*Assumptions!$H$87+12)=BQ$4,0,IF(BP640=1,PMT(Assumptions!$H$85,Assumptions!$H$48,$C642),BP653))),0)</f>
        <v>0</v>
      </c>
      <c r="BR653" s="39">
        <f>+IFERROR(-ABS(IF(EDATE(_xlfn.XLOOKUP(1,$H640:$BE640,$H$4:$BE$4),12*Assumptions!$H$87+12)=BR$4,0,IF(BQ640=1,PMT(Assumptions!$H$85,Assumptions!$H$48,$C642),BQ653))),0)</f>
        <v>0</v>
      </c>
      <c r="BS653" s="39">
        <f>+IFERROR(-ABS(IF(EDATE(_xlfn.XLOOKUP(1,$H640:$BE640,$H$4:$BE$4),12*Assumptions!$H$87+12)=BS$4,0,IF(BR640=1,PMT(Assumptions!$H$85,Assumptions!$H$48,$C642),BR653))),0)</f>
        <v>0</v>
      </c>
      <c r="BT653" s="39">
        <f>+IFERROR(-ABS(IF(EDATE(_xlfn.XLOOKUP(1,$H640:$BE640,$H$4:$BE$4),12*Assumptions!$H$87+12)=BT$4,0,IF(BS640=1,PMT(Assumptions!$H$85,Assumptions!$H$48,$C642),BS653))),0)</f>
        <v>0</v>
      </c>
      <c r="BU653" s="39">
        <f>+IFERROR(-ABS(IF(EDATE(_xlfn.XLOOKUP(1,$H640:$BE640,$H$4:$BE$4),12*Assumptions!$H$87+12)=BU$4,0,IF(BT640=1,PMT(Assumptions!$H$85,Assumptions!$H$48,$C642),BT653))),0)</f>
        <v>0</v>
      </c>
      <c r="BV653" s="39">
        <f>+IFERROR(-ABS(IF(EDATE(_xlfn.XLOOKUP(1,$H640:$BE640,$H$4:$BE$4),12*Assumptions!$H$87+12)=BV$4,0,IF(BU640=1,PMT(Assumptions!$H$85,Assumptions!$H$48,$C642),BU653))),0)</f>
        <v>0</v>
      </c>
      <c r="BW653" s="39">
        <f>+IFERROR(-ABS(IF(EDATE(_xlfn.XLOOKUP(1,$H640:$BE640,$H$4:$BE$4),12*Assumptions!$H$87+12)=BW$4,0,IF(BV640=1,PMT(Assumptions!$H$85,Assumptions!$H$48,$C642),BV653))),0)</f>
        <v>0</v>
      </c>
      <c r="BX653" s="39">
        <f>+IFERROR(-ABS(IF(EDATE(_xlfn.XLOOKUP(1,$H640:$BE640,$H$4:$BE$4),12*Assumptions!$H$87+12)=BX$4,0,IF(BW640=1,PMT(Assumptions!$H$85,Assumptions!$H$48,$C642),BW653))),0)</f>
        <v>0</v>
      </c>
      <c r="BY653" s="39">
        <f>+IFERROR(-ABS(IF(EDATE(_xlfn.XLOOKUP(1,$H640:$BE640,$H$4:$BE$4),12*Assumptions!$H$87+12)=BY$4,0,IF(BX640=1,PMT(Assumptions!$H$85,Assumptions!$H$48,$C642),BX653))),0)</f>
        <v>0</v>
      </c>
    </row>
    <row r="654" spans="5:77" outlineLevel="1">
      <c r="E654" s="24" t="s">
        <v>523</v>
      </c>
      <c r="F654" s="80" t="str">
        <f>+Assumptions!$G$8</f>
        <v>USD</v>
      </c>
      <c r="G654" s="24"/>
      <c r="H654" s="39">
        <f>+IFERROR(-ABS(IF(EDATE(_xlfn.XLOOKUP(1,$H641:$BE641,$H$4:$BE$4),12*Assumptions!$H$87+12)=H$4,0,IF(G641=1,PMT(Assumptions!$H$85,Assumptions!$H$48,$C643),G654))),0)</f>
        <v>0</v>
      </c>
      <c r="I654" s="39">
        <f>+IFERROR(-ABS(IF(EDATE(_xlfn.XLOOKUP(1,$H641:$BE641,$H$4:$BE$4),12*Assumptions!$H$87+12)=I$4,0,IF(H641=1,PMT(Assumptions!$H$85,Assumptions!$H$48,$C643),H654))),0)</f>
        <v>0</v>
      </c>
      <c r="J654" s="39">
        <f>+IFERROR(-ABS(IF(EDATE(_xlfn.XLOOKUP(1,$H641:$BE641,$H$4:$BE$4),12*Assumptions!$H$87+12)=J$4,0,IF(I641=1,PMT(Assumptions!$H$85,Assumptions!$H$48,$C643),I654))),0)</f>
        <v>0</v>
      </c>
      <c r="K654" s="39">
        <f>+IFERROR(-ABS(IF(EDATE(_xlfn.XLOOKUP(1,$H641:$BE641,$H$4:$BE$4),12*Assumptions!$H$87+12)=K$4,0,IF(J641=1,PMT(Assumptions!$H$85,Assumptions!$H$48,$C643),J654))),0)</f>
        <v>0</v>
      </c>
      <c r="L654" s="39">
        <f>+IFERROR(-ABS(IF(EDATE(_xlfn.XLOOKUP(1,$H641:$BE641,$H$4:$BE$4),12*Assumptions!$H$87+12)=L$4,0,IF(K641=1,PMT(Assumptions!$H$85,Assumptions!$H$48,$C643),K654))),0)</f>
        <v>0</v>
      </c>
      <c r="M654" s="39">
        <f>+IFERROR(-ABS(IF(EDATE(_xlfn.XLOOKUP(1,$H641:$BE641,$H$4:$BE$4),12*Assumptions!$H$87+12)=M$4,0,IF(L641=1,PMT(Assumptions!$H$85,Assumptions!$H$48,$C643),L654))),0)</f>
        <v>0</v>
      </c>
      <c r="N654" s="39">
        <f>+IFERROR(-ABS(IF(EDATE(_xlfn.XLOOKUP(1,$H641:$BE641,$H$4:$BE$4),12*Assumptions!$H$87+12)=N$4,0,IF(M641=1,PMT(Assumptions!$H$85,Assumptions!$H$48,$C643),M654))),0)</f>
        <v>0</v>
      </c>
      <c r="O654" s="39">
        <f>+IFERROR(-ABS(IF(EDATE(_xlfn.XLOOKUP(1,$H641:$BE641,$H$4:$BE$4),12*Assumptions!$H$87+12)=O$4,0,IF(N641=1,PMT(Assumptions!$H$85,Assumptions!$H$48,$C643),N654))),0)</f>
        <v>0</v>
      </c>
      <c r="P654" s="39">
        <f>+IFERROR(-ABS(IF(EDATE(_xlfn.XLOOKUP(1,$H641:$BE641,$H$4:$BE$4),12*Assumptions!$H$87+12)=P$4,0,IF(O641=1,PMT(Assumptions!$H$85,Assumptions!$H$48,$C643),O654))),0)</f>
        <v>0</v>
      </c>
      <c r="Q654" s="39">
        <f>+IFERROR(-ABS(IF(EDATE(_xlfn.XLOOKUP(1,$H641:$BE641,$H$4:$BE$4),12*Assumptions!$H$87+12)=Q$4,0,IF(P641=1,PMT(Assumptions!$H$85,Assumptions!$H$48,$C643),P654))),0)</f>
        <v>0</v>
      </c>
      <c r="R654" s="39">
        <f>+IFERROR(-ABS(IF(EDATE(_xlfn.XLOOKUP(1,$H641:$BE641,$H$4:$BE$4),12*Assumptions!$H$87+12)=R$4,0,IF(Q641=1,PMT(Assumptions!$H$85,Assumptions!$H$48,$C643),Q654))),0)</f>
        <v>0</v>
      </c>
      <c r="S654" s="39">
        <f>+IFERROR(-ABS(IF(EDATE(_xlfn.XLOOKUP(1,$H641:$BE641,$H$4:$BE$4),12*Assumptions!$H$87+12)=S$4,0,IF(R641=1,PMT(Assumptions!$H$85,Assumptions!$H$48,$C643),R654))),0)</f>
        <v>0</v>
      </c>
      <c r="T654" s="39">
        <f>+IFERROR(-ABS(IF(EDATE(_xlfn.XLOOKUP(1,$H641:$BE641,$H$4:$BE$4),12*Assumptions!$H$87+12)=T$4,0,IF(S641=1,PMT(Assumptions!$H$85,Assumptions!$H$48,$C643),S654))),0)</f>
        <v>0</v>
      </c>
      <c r="U654" s="39">
        <f>+IFERROR(-ABS(IF(EDATE(_xlfn.XLOOKUP(1,$H641:$BE641,$H$4:$BE$4),12*Assumptions!$H$87+12)=U$4,0,IF(T641=1,PMT(Assumptions!$H$85,Assumptions!$H$48,$C643),T654))),0)</f>
        <v>0</v>
      </c>
      <c r="V654" s="39">
        <f>+IFERROR(-ABS(IF(EDATE(_xlfn.XLOOKUP(1,$H641:$BE641,$H$4:$BE$4),12*Assumptions!$H$87+12)=V$4,0,IF(U641=1,PMT(Assumptions!$H$85,Assumptions!$H$48,$C643),U654))),0)</f>
        <v>0</v>
      </c>
      <c r="W654" s="39">
        <f>+IFERROR(-ABS(IF(EDATE(_xlfn.XLOOKUP(1,$H641:$BE641,$H$4:$BE$4),12*Assumptions!$H$87+12)=W$4,0,IF(V641=1,PMT(Assumptions!$H$85,Assumptions!$H$48,$C643),V654))),0)</f>
        <v>0</v>
      </c>
      <c r="X654" s="39">
        <f>+IFERROR(-ABS(IF(EDATE(_xlfn.XLOOKUP(1,$H641:$BE641,$H$4:$BE$4),12*Assumptions!$H$87+12)=X$4,0,IF(W641=1,PMT(Assumptions!$H$85,Assumptions!$H$48,$C643),W654))),0)</f>
        <v>0</v>
      </c>
      <c r="Y654" s="39">
        <f>+IFERROR(-ABS(IF(EDATE(_xlfn.XLOOKUP(1,$H641:$BE641,$H$4:$BE$4),12*Assumptions!$H$87+12)=Y$4,0,IF(X641=1,PMT(Assumptions!$H$85,Assumptions!$H$48,$C643),X654))),0)</f>
        <v>0</v>
      </c>
      <c r="Z654" s="39">
        <f>+IFERROR(-ABS(IF(EDATE(_xlfn.XLOOKUP(1,$H641:$BE641,$H$4:$BE$4),12*Assumptions!$H$87+12)=Z$4,0,IF(Y641=1,PMT(Assumptions!$H$85,Assumptions!$H$48,$C643),Y654))),0)</f>
        <v>0</v>
      </c>
      <c r="AA654" s="39">
        <f>+IFERROR(-ABS(IF(EDATE(_xlfn.XLOOKUP(1,$H641:$BE641,$H$4:$BE$4),12*Assumptions!$H$87+12)=AA$4,0,IF(Z641=1,PMT(Assumptions!$H$85,Assumptions!$H$48,$C643),Z654))),0)</f>
        <v>0</v>
      </c>
      <c r="AB654" s="39">
        <f>+IFERROR(-ABS(IF(EDATE(_xlfn.XLOOKUP(1,$H641:$BE641,$H$4:$BE$4),12*Assumptions!$H$87+12)=AB$4,0,IF(AA641=1,PMT(Assumptions!$H$85,Assumptions!$H$48,$C643),AA654))),0)</f>
        <v>0</v>
      </c>
      <c r="AC654" s="39">
        <f>+IFERROR(-ABS(IF(EDATE(_xlfn.XLOOKUP(1,$H641:$BE641,$H$4:$BE$4),12*Assumptions!$H$87+12)=AC$4,0,IF(AB641=1,PMT(Assumptions!$H$85,Assumptions!$H$48,$C643),AB654))),0)</f>
        <v>0</v>
      </c>
      <c r="AD654" s="39">
        <f>+IFERROR(-ABS(IF(EDATE(_xlfn.XLOOKUP(1,$H641:$BE641,$H$4:$BE$4),12*Assumptions!$H$87+12)=AD$4,0,IF(AC641=1,PMT(Assumptions!$H$85,Assumptions!$H$48,$C643),AC654))),0)</f>
        <v>0</v>
      </c>
      <c r="AE654" s="39">
        <f>+IFERROR(-ABS(IF(EDATE(_xlfn.XLOOKUP(1,$H641:$BE641,$H$4:$BE$4),12*Assumptions!$H$87+12)=AE$4,0,IF(AD641=1,PMT(Assumptions!$H$85,Assumptions!$H$48,$C643),AD654))),0)</f>
        <v>0</v>
      </c>
      <c r="AF654" s="39">
        <f>+IFERROR(-ABS(IF(EDATE(_xlfn.XLOOKUP(1,$H641:$BE641,$H$4:$BE$4),12*Assumptions!$H$87+12)=AF$4,0,IF(AE641=1,PMT(Assumptions!$H$85,Assumptions!$H$48,$C643),AE654))),0)</f>
        <v>0</v>
      </c>
      <c r="AG654" s="39">
        <f>+IFERROR(-ABS(IF(EDATE(_xlfn.XLOOKUP(1,$H641:$BE641,$H$4:$BE$4),12*Assumptions!$H$87+12)=AG$4,0,IF(AF641=1,PMT(Assumptions!$H$85,Assumptions!$H$48,$C643),AF654))),0)</f>
        <v>0</v>
      </c>
      <c r="AH654" s="39">
        <f>+IFERROR(-ABS(IF(EDATE(_xlfn.XLOOKUP(1,$H641:$BE641,$H$4:$BE$4),12*Assumptions!$H$87+12)=AH$4,0,IF(AG641=1,PMT(Assumptions!$H$85,Assumptions!$H$48,$C643),AG654))),0)</f>
        <v>0</v>
      </c>
      <c r="AI654" s="39">
        <f>+IFERROR(-ABS(IF(EDATE(_xlfn.XLOOKUP(1,$H641:$BE641,$H$4:$BE$4),12*Assumptions!$H$87+12)=AI$4,0,IF(AH641=1,PMT(Assumptions!$H$85,Assumptions!$H$48,$C643),AH654))),0)</f>
        <v>0</v>
      </c>
      <c r="AJ654" s="39">
        <f>+IFERROR(-ABS(IF(EDATE(_xlfn.XLOOKUP(1,$H641:$BE641,$H$4:$BE$4),12*Assumptions!$H$87+12)=AJ$4,0,IF(AI641=1,PMT(Assumptions!$H$85,Assumptions!$H$48,$C643),AI654))),0)</f>
        <v>0</v>
      </c>
      <c r="AK654" s="39">
        <f>+IFERROR(-ABS(IF(EDATE(_xlfn.XLOOKUP(1,$H641:$BE641,$H$4:$BE$4),12*Assumptions!$H$87+12)=AK$4,0,IF(AJ641=1,PMT(Assumptions!$H$85,Assumptions!$H$48,$C643),AJ654))),0)</f>
        <v>0</v>
      </c>
      <c r="AL654" s="39">
        <f>+IFERROR(-ABS(IF(EDATE(_xlfn.XLOOKUP(1,$H641:$BE641,$H$4:$BE$4),12*Assumptions!$H$87+12)=AL$4,0,IF(AK641=1,PMT(Assumptions!$H$85,Assumptions!$H$48,$C643),AK654))),0)</f>
        <v>0</v>
      </c>
      <c r="AM654" s="39">
        <f>+IFERROR(-ABS(IF(EDATE(_xlfn.XLOOKUP(1,$H641:$BE641,$H$4:$BE$4),12*Assumptions!$H$87+12)=AM$4,0,IF(AL641=1,PMT(Assumptions!$H$85,Assumptions!$H$48,$C643),AL654))),0)</f>
        <v>0</v>
      </c>
      <c r="AN654" s="39">
        <f>+IFERROR(-ABS(IF(EDATE(_xlfn.XLOOKUP(1,$H641:$BE641,$H$4:$BE$4),12*Assumptions!$H$87+12)=AN$4,0,IF(AM641=1,PMT(Assumptions!$H$85,Assumptions!$H$48,$C643),AM654))),0)</f>
        <v>0</v>
      </c>
      <c r="AO654" s="39">
        <f>+IFERROR(-ABS(IF(EDATE(_xlfn.XLOOKUP(1,$H641:$BE641,$H$4:$BE$4),12*Assumptions!$H$87+12)=AO$4,0,IF(AN641=1,PMT(Assumptions!$H$85,Assumptions!$H$48,$C643),AN654))),0)</f>
        <v>0</v>
      </c>
      <c r="AP654" s="39">
        <f>+IFERROR(-ABS(IF(EDATE(_xlfn.XLOOKUP(1,$H641:$BE641,$H$4:$BE$4),12*Assumptions!$H$87+12)=AP$4,0,IF(AO641=1,PMT(Assumptions!$H$85,Assumptions!$H$48,$C643),AO654))),0)</f>
        <v>0</v>
      </c>
      <c r="AQ654" s="39">
        <f>+IFERROR(-ABS(IF(EDATE(_xlfn.XLOOKUP(1,$H641:$BE641,$H$4:$BE$4),12*Assumptions!$H$87+12)=AQ$4,0,IF(AP641=1,PMT(Assumptions!$H$85,Assumptions!$H$48,$C643),AP654))),0)</f>
        <v>0</v>
      </c>
      <c r="AR654" s="39">
        <f>+IFERROR(-ABS(IF(EDATE(_xlfn.XLOOKUP(1,$H641:$BE641,$H$4:$BE$4),12*Assumptions!$H$87+12)=AR$4,0,IF(AQ641=1,PMT(Assumptions!$H$85,Assumptions!$H$48,$C643),AQ654))),0)</f>
        <v>0</v>
      </c>
      <c r="AS654" s="39">
        <f>+IFERROR(-ABS(IF(EDATE(_xlfn.XLOOKUP(1,$H641:$BE641,$H$4:$BE$4),12*Assumptions!$H$87+12)=AS$4,0,IF(AR641=1,PMT(Assumptions!$H$85,Assumptions!$H$48,$C643),AR654))),0)</f>
        <v>0</v>
      </c>
      <c r="AT654" s="39">
        <f>+IFERROR(-ABS(IF(EDATE(_xlfn.XLOOKUP(1,$H641:$BE641,$H$4:$BE$4),12*Assumptions!$H$87+12)=AT$4,0,IF(AS641=1,PMT(Assumptions!$H$85,Assumptions!$H$48,$C643),AS654))),0)</f>
        <v>0</v>
      </c>
      <c r="AU654" s="39">
        <f>+IFERROR(-ABS(IF(EDATE(_xlfn.XLOOKUP(1,$H641:$BE641,$H$4:$BE$4),12*Assumptions!$H$87+12)=AU$4,0,IF(AT641=1,PMT(Assumptions!$H$85,Assumptions!$H$48,$C643),AT654))),0)</f>
        <v>0</v>
      </c>
      <c r="AV654" s="39">
        <f>+IFERROR(-ABS(IF(EDATE(_xlfn.XLOOKUP(1,$H641:$BE641,$H$4:$BE$4),12*Assumptions!$H$87+12)=AV$4,0,IF(AU641=1,PMT(Assumptions!$H$85,Assumptions!$H$48,$C643),AU654))),0)</f>
        <v>0</v>
      </c>
      <c r="AW654" s="39">
        <f>+IFERROR(-ABS(IF(EDATE(_xlfn.XLOOKUP(1,$H641:$BE641,$H$4:$BE$4),12*Assumptions!$H$87+12)=AW$4,0,IF(AV641=1,PMT(Assumptions!$H$85,Assumptions!$H$48,$C643),AV654))),0)</f>
        <v>0</v>
      </c>
      <c r="AX654" s="39">
        <f>+IFERROR(-ABS(IF(EDATE(_xlfn.XLOOKUP(1,$H641:$BE641,$H$4:$BE$4),12*Assumptions!$H$87+12)=AX$4,0,IF(AW641=1,PMT(Assumptions!$H$85,Assumptions!$H$48,$C643),AW654))),0)</f>
        <v>0</v>
      </c>
      <c r="AY654" s="39">
        <f>+IFERROR(-ABS(IF(EDATE(_xlfn.XLOOKUP(1,$H641:$BE641,$H$4:$BE$4),12*Assumptions!$H$87+12)=AY$4,0,IF(AX641=1,PMT(Assumptions!$H$85,Assumptions!$H$48,$C643),AX654))),0)</f>
        <v>0</v>
      </c>
      <c r="AZ654" s="39">
        <f>+IFERROR(-ABS(IF(EDATE(_xlfn.XLOOKUP(1,$H641:$BE641,$H$4:$BE$4),12*Assumptions!$H$87+12)=AZ$4,0,IF(AY641=1,PMT(Assumptions!$H$85,Assumptions!$H$48,$C643),AY654))),0)</f>
        <v>0</v>
      </c>
      <c r="BA654" s="39">
        <f>+IFERROR(-ABS(IF(EDATE(_xlfn.XLOOKUP(1,$H641:$BE641,$H$4:$BE$4),12*Assumptions!$H$87+12)=BA$4,0,IF(AZ641=1,PMT(Assumptions!$H$85,Assumptions!$H$48,$C643),AZ654))),0)</f>
        <v>0</v>
      </c>
      <c r="BB654" s="39">
        <f>+IFERROR(-ABS(IF(EDATE(_xlfn.XLOOKUP(1,$H641:$BE641,$H$4:$BE$4),12*Assumptions!$H$87+12)=BB$4,0,IF(BA641=1,PMT(Assumptions!$H$85,Assumptions!$H$48,$C643),BA654))),0)</f>
        <v>0</v>
      </c>
      <c r="BC654" s="39">
        <f>+IFERROR(-ABS(IF(EDATE(_xlfn.XLOOKUP(1,$H641:$BE641,$H$4:$BE$4),12*Assumptions!$H$87+12)=BC$4,0,IF(BB641=1,PMT(Assumptions!$H$85,Assumptions!$H$48,$C643),BB654))),0)</f>
        <v>0</v>
      </c>
      <c r="BD654" s="39">
        <f>+IFERROR(-ABS(IF(EDATE(_xlfn.XLOOKUP(1,$H641:$BE641,$H$4:$BE$4),12*Assumptions!$H$87+12)=BD$4,0,IF(BC641=1,PMT(Assumptions!$H$85,Assumptions!$H$48,$C643),BC654))),0)</f>
        <v>0</v>
      </c>
      <c r="BE654" s="39">
        <f>+IFERROR(-ABS(IF(EDATE(_xlfn.XLOOKUP(1,$H641:$BE641,$H$4:$BE$4),12*Assumptions!$H$87+12)=BE$4,0,IF(BD641=1,PMT(Assumptions!$H$85,Assumptions!$H$48,$C643),BD654))),0)</f>
        <v>0</v>
      </c>
      <c r="BF654" s="39">
        <f>+IFERROR(-ABS(IF(EDATE(_xlfn.XLOOKUP(1,$H641:$BE641,$H$4:$BE$4),12*Assumptions!$H$87+12)=BF$4,0,IF(BE641=1,PMT(Assumptions!$H$85,Assumptions!$H$48,$C643),BE654))),0)</f>
        <v>0</v>
      </c>
      <c r="BG654" s="39">
        <f>+IFERROR(-ABS(IF(EDATE(_xlfn.XLOOKUP(1,$H641:$BE641,$H$4:$BE$4),12*Assumptions!$H$87+12)=BG$4,0,IF(BF641=1,PMT(Assumptions!$H$85,Assumptions!$H$48,$C643),BF654))),0)</f>
        <v>0</v>
      </c>
      <c r="BH654" s="39">
        <f>+IFERROR(-ABS(IF(EDATE(_xlfn.XLOOKUP(1,$H641:$BE641,$H$4:$BE$4),12*Assumptions!$H$87+12)=BH$4,0,IF(BG641=1,PMT(Assumptions!$H$85,Assumptions!$H$48,$C643),BG654))),0)</f>
        <v>0</v>
      </c>
      <c r="BI654" s="39">
        <f>+IFERROR(-ABS(IF(EDATE(_xlfn.XLOOKUP(1,$H641:$BE641,$H$4:$BE$4),12*Assumptions!$H$87+12)=BI$4,0,IF(BH641=1,PMT(Assumptions!$H$85,Assumptions!$H$48,$C643),BH654))),0)</f>
        <v>0</v>
      </c>
      <c r="BJ654" s="39">
        <f>+IFERROR(-ABS(IF(EDATE(_xlfn.XLOOKUP(1,$H641:$BE641,$H$4:$BE$4),12*Assumptions!$H$87+12)=BJ$4,0,IF(BI641=1,PMT(Assumptions!$H$85,Assumptions!$H$48,$C643),BI654))),0)</f>
        <v>0</v>
      </c>
      <c r="BK654" s="39">
        <f>+IFERROR(-ABS(IF(EDATE(_xlfn.XLOOKUP(1,$H641:$BE641,$H$4:$BE$4),12*Assumptions!$H$87+12)=BK$4,0,IF(BJ641=1,PMT(Assumptions!$H$85,Assumptions!$H$48,$C643),BJ654))),0)</f>
        <v>0</v>
      </c>
      <c r="BL654" s="39">
        <f>+IFERROR(-ABS(IF(EDATE(_xlfn.XLOOKUP(1,$H641:$BE641,$H$4:$BE$4),12*Assumptions!$H$87+12)=BL$4,0,IF(BK641=1,PMT(Assumptions!$H$85,Assumptions!$H$48,$C643),BK654))),0)</f>
        <v>0</v>
      </c>
      <c r="BM654" s="39">
        <f>+IFERROR(-ABS(IF(EDATE(_xlfn.XLOOKUP(1,$H641:$BE641,$H$4:$BE$4),12*Assumptions!$H$87+12)=BM$4,0,IF(BL641=1,PMT(Assumptions!$H$85,Assumptions!$H$48,$C643),BL654))),0)</f>
        <v>0</v>
      </c>
      <c r="BN654" s="39">
        <f>+IFERROR(-ABS(IF(EDATE(_xlfn.XLOOKUP(1,$H641:$BE641,$H$4:$BE$4),12*Assumptions!$H$87+12)=BN$4,0,IF(BM641=1,PMT(Assumptions!$H$85,Assumptions!$H$48,$C643),BM654))),0)</f>
        <v>0</v>
      </c>
      <c r="BO654" s="39">
        <f>+IFERROR(-ABS(IF(EDATE(_xlfn.XLOOKUP(1,$H641:$BE641,$H$4:$BE$4),12*Assumptions!$H$87+12)=BO$4,0,IF(BN641=1,PMT(Assumptions!$H$85,Assumptions!$H$48,$C643),BN654))),0)</f>
        <v>0</v>
      </c>
      <c r="BP654" s="39">
        <f>+IFERROR(-ABS(IF(EDATE(_xlfn.XLOOKUP(1,$H641:$BE641,$H$4:$BE$4),12*Assumptions!$H$87+12)=BP$4,0,IF(BO641=1,PMT(Assumptions!$H$85,Assumptions!$H$48,$C643),BO654))),0)</f>
        <v>0</v>
      </c>
      <c r="BQ654" s="39">
        <f>+IFERROR(-ABS(IF(EDATE(_xlfn.XLOOKUP(1,$H641:$BE641,$H$4:$BE$4),12*Assumptions!$H$87+12)=BQ$4,0,IF(BP641=1,PMT(Assumptions!$H$85,Assumptions!$H$48,$C643),BP654))),0)</f>
        <v>0</v>
      </c>
      <c r="BR654" s="39">
        <f>+IFERROR(-ABS(IF(EDATE(_xlfn.XLOOKUP(1,$H641:$BE641,$H$4:$BE$4),12*Assumptions!$H$87+12)=BR$4,0,IF(BQ641=1,PMT(Assumptions!$H$85,Assumptions!$H$48,$C643),BQ654))),0)</f>
        <v>0</v>
      </c>
      <c r="BS654" s="39">
        <f>+IFERROR(-ABS(IF(EDATE(_xlfn.XLOOKUP(1,$H641:$BE641,$H$4:$BE$4),12*Assumptions!$H$87+12)=BS$4,0,IF(BR641=1,PMT(Assumptions!$H$85,Assumptions!$H$48,$C643),BR654))),0)</f>
        <v>0</v>
      </c>
      <c r="BT654" s="39">
        <f>+IFERROR(-ABS(IF(EDATE(_xlfn.XLOOKUP(1,$H641:$BE641,$H$4:$BE$4),12*Assumptions!$H$87+12)=BT$4,0,IF(BS641=1,PMT(Assumptions!$H$85,Assumptions!$H$48,$C643),BS654))),0)</f>
        <v>0</v>
      </c>
      <c r="BU654" s="39">
        <f>+IFERROR(-ABS(IF(EDATE(_xlfn.XLOOKUP(1,$H641:$BE641,$H$4:$BE$4),12*Assumptions!$H$87+12)=BU$4,0,IF(BT641=1,PMT(Assumptions!$H$85,Assumptions!$H$48,$C643),BT654))),0)</f>
        <v>0</v>
      </c>
      <c r="BV654" s="39">
        <f>+IFERROR(-ABS(IF(EDATE(_xlfn.XLOOKUP(1,$H641:$BE641,$H$4:$BE$4),12*Assumptions!$H$87+12)=BV$4,0,IF(BU641=1,PMT(Assumptions!$H$85,Assumptions!$H$48,$C643),BU654))),0)</f>
        <v>0</v>
      </c>
      <c r="BW654" s="39">
        <f>+IFERROR(-ABS(IF(EDATE(_xlfn.XLOOKUP(1,$H641:$BE641,$H$4:$BE$4),12*Assumptions!$H$87+12)=BW$4,0,IF(BV641=1,PMT(Assumptions!$H$85,Assumptions!$H$48,$C643),BV654))),0)</f>
        <v>0</v>
      </c>
      <c r="BX654" s="39">
        <f>+IFERROR(-ABS(IF(EDATE(_xlfn.XLOOKUP(1,$H641:$BE641,$H$4:$BE$4),12*Assumptions!$H$87+12)=BX$4,0,IF(BW641=1,PMT(Assumptions!$H$85,Assumptions!$H$48,$C643),BW654))),0)</f>
        <v>0</v>
      </c>
      <c r="BY654" s="39">
        <f>+IFERROR(-ABS(IF(EDATE(_xlfn.XLOOKUP(1,$H641:$BE641,$H$4:$BE$4),12*Assumptions!$H$87+12)=BY$4,0,IF(BX641=1,PMT(Assumptions!$H$85,Assumptions!$H$48,$C643),BX654))),0)</f>
        <v>0</v>
      </c>
    </row>
    <row r="655" spans="5:77" outlineLevel="1">
      <c r="E655" s="24"/>
      <c r="F655" s="23"/>
      <c r="G655" s="24"/>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c r="AS655" s="39"/>
      <c r="AT655" s="39"/>
      <c r="AU655" s="39"/>
      <c r="AV655" s="39"/>
      <c r="AW655" s="39"/>
      <c r="AX655" s="39"/>
      <c r="AY655" s="39"/>
      <c r="AZ655" s="39"/>
      <c r="BA655" s="39"/>
      <c r="BB655" s="39"/>
      <c r="BC655" s="39"/>
      <c r="BD655" s="39"/>
      <c r="BE655" s="39"/>
      <c r="BF655" s="39"/>
      <c r="BG655" s="39"/>
      <c r="BH655" s="39"/>
      <c r="BI655" s="39"/>
      <c r="BJ655" s="39"/>
      <c r="BK655" s="39"/>
      <c r="BL655" s="39"/>
      <c r="BM655" s="39"/>
      <c r="BN655" s="39"/>
      <c r="BO655" s="39"/>
      <c r="BP655" s="39"/>
      <c r="BQ655" s="39"/>
      <c r="BR655" s="39"/>
      <c r="BS655" s="39"/>
      <c r="BT655" s="39"/>
      <c r="BU655" s="39"/>
      <c r="BV655" s="39"/>
      <c r="BW655" s="39"/>
      <c r="BX655" s="39"/>
      <c r="BY655" s="39"/>
    </row>
    <row r="656" spans="5:77" outlineLevel="1">
      <c r="E656" t="s">
        <v>524</v>
      </c>
      <c r="F656" s="80" t="str">
        <f>+Assumptions!$G$8</f>
        <v>USD</v>
      </c>
      <c r="H656" s="32">
        <f>MIN(+H628-H644+H642,0)</f>
        <v>0</v>
      </c>
      <c r="I656" s="32">
        <f t="shared" ref="I656:BT656" si="1326">MIN(+I628-I644+I642,0)</f>
        <v>0</v>
      </c>
      <c r="J656" s="32">
        <f t="shared" si="1326"/>
        <v>0</v>
      </c>
      <c r="K656" s="32">
        <f t="shared" si="1326"/>
        <v>0</v>
      </c>
      <c r="L656" s="32">
        <f t="shared" si="1326"/>
        <v>0</v>
      </c>
      <c r="M656" s="32">
        <f t="shared" si="1326"/>
        <v>0</v>
      </c>
      <c r="N656" s="32">
        <f t="shared" si="1326"/>
        <v>0</v>
      </c>
      <c r="O656" s="32">
        <f t="shared" si="1326"/>
        <v>0</v>
      </c>
      <c r="P656" s="32">
        <f t="shared" si="1326"/>
        <v>0</v>
      </c>
      <c r="Q656" s="32">
        <f t="shared" si="1326"/>
        <v>0</v>
      </c>
      <c r="R656" s="32">
        <f t="shared" si="1326"/>
        <v>0</v>
      </c>
      <c r="S656" s="32">
        <f t="shared" si="1326"/>
        <v>0</v>
      </c>
      <c r="T656" s="32">
        <f t="shared" si="1326"/>
        <v>0</v>
      </c>
      <c r="U656" s="32">
        <f t="shared" si="1326"/>
        <v>0</v>
      </c>
      <c r="V656" s="32">
        <f t="shared" si="1326"/>
        <v>0</v>
      </c>
      <c r="W656" s="32">
        <f t="shared" si="1326"/>
        <v>0</v>
      </c>
      <c r="X656" s="32">
        <f t="shared" si="1326"/>
        <v>0</v>
      </c>
      <c r="Y656" s="32">
        <f t="shared" si="1326"/>
        <v>0</v>
      </c>
      <c r="Z656" s="32">
        <f t="shared" si="1326"/>
        <v>0</v>
      </c>
      <c r="AA656" s="32">
        <f t="shared" si="1326"/>
        <v>0</v>
      </c>
      <c r="AB656" s="32">
        <f t="shared" si="1326"/>
        <v>0</v>
      </c>
      <c r="AC656" s="32">
        <f t="shared" si="1326"/>
        <v>0</v>
      </c>
      <c r="AD656" s="32">
        <f t="shared" si="1326"/>
        <v>0</v>
      </c>
      <c r="AE656" s="32">
        <f t="shared" si="1326"/>
        <v>0</v>
      </c>
      <c r="AF656" s="32">
        <f t="shared" si="1326"/>
        <v>0</v>
      </c>
      <c r="AG656" s="32">
        <f t="shared" si="1326"/>
        <v>0</v>
      </c>
      <c r="AH656" s="32">
        <f t="shared" si="1326"/>
        <v>0</v>
      </c>
      <c r="AI656" s="32">
        <f t="shared" si="1326"/>
        <v>0</v>
      </c>
      <c r="AJ656" s="32">
        <f t="shared" si="1326"/>
        <v>0</v>
      </c>
      <c r="AK656" s="32">
        <f t="shared" si="1326"/>
        <v>0</v>
      </c>
      <c r="AL656" s="32">
        <f t="shared" si="1326"/>
        <v>0</v>
      </c>
      <c r="AM656" s="32">
        <f t="shared" si="1326"/>
        <v>0</v>
      </c>
      <c r="AN656" s="32">
        <f t="shared" si="1326"/>
        <v>0</v>
      </c>
      <c r="AO656" s="32">
        <f t="shared" si="1326"/>
        <v>0</v>
      </c>
      <c r="AP656" s="32">
        <f t="shared" si="1326"/>
        <v>0</v>
      </c>
      <c r="AQ656" s="32">
        <f t="shared" si="1326"/>
        <v>0</v>
      </c>
      <c r="AR656" s="32">
        <f t="shared" si="1326"/>
        <v>0</v>
      </c>
      <c r="AS656" s="32">
        <f t="shared" si="1326"/>
        <v>0</v>
      </c>
      <c r="AT656" s="32">
        <f t="shared" si="1326"/>
        <v>0</v>
      </c>
      <c r="AU656" s="32">
        <f t="shared" si="1326"/>
        <v>0</v>
      </c>
      <c r="AV656" s="32">
        <f t="shared" si="1326"/>
        <v>0</v>
      </c>
      <c r="AW656" s="32">
        <f t="shared" si="1326"/>
        <v>0</v>
      </c>
      <c r="AX656" s="32">
        <f t="shared" si="1326"/>
        <v>0</v>
      </c>
      <c r="AY656" s="32">
        <f t="shared" si="1326"/>
        <v>0</v>
      </c>
      <c r="AZ656" s="32">
        <f t="shared" si="1326"/>
        <v>0</v>
      </c>
      <c r="BA656" s="32">
        <f t="shared" si="1326"/>
        <v>0</v>
      </c>
      <c r="BB656" s="32">
        <f t="shared" si="1326"/>
        <v>0</v>
      </c>
      <c r="BC656" s="32">
        <f t="shared" si="1326"/>
        <v>0</v>
      </c>
      <c r="BD656" s="32">
        <f t="shared" si="1326"/>
        <v>0</v>
      </c>
      <c r="BE656" s="32">
        <f t="shared" si="1326"/>
        <v>0</v>
      </c>
      <c r="BF656" s="32">
        <f t="shared" si="1326"/>
        <v>0</v>
      </c>
      <c r="BG656" s="32">
        <f t="shared" si="1326"/>
        <v>0</v>
      </c>
      <c r="BH656" s="32">
        <f t="shared" si="1326"/>
        <v>0</v>
      </c>
      <c r="BI656" s="32">
        <f t="shared" si="1326"/>
        <v>0</v>
      </c>
      <c r="BJ656" s="32">
        <f t="shared" si="1326"/>
        <v>0</v>
      </c>
      <c r="BK656" s="32">
        <f t="shared" si="1326"/>
        <v>0</v>
      </c>
      <c r="BL656" s="32">
        <f t="shared" si="1326"/>
        <v>0</v>
      </c>
      <c r="BM656" s="32">
        <f t="shared" si="1326"/>
        <v>0</v>
      </c>
      <c r="BN656" s="32">
        <f t="shared" si="1326"/>
        <v>0</v>
      </c>
      <c r="BO656" s="32">
        <f t="shared" si="1326"/>
        <v>0</v>
      </c>
      <c r="BP656" s="32">
        <f t="shared" si="1326"/>
        <v>0</v>
      </c>
      <c r="BQ656" s="32">
        <f t="shared" si="1326"/>
        <v>0</v>
      </c>
      <c r="BR656" s="32">
        <f t="shared" si="1326"/>
        <v>0</v>
      </c>
      <c r="BS656" s="32">
        <f t="shared" si="1326"/>
        <v>0</v>
      </c>
      <c r="BT656" s="32">
        <f t="shared" si="1326"/>
        <v>0</v>
      </c>
      <c r="BU656" s="32">
        <f t="shared" ref="BU656:BY656" si="1327">MIN(+BU628-BU644+BU642,0)</f>
        <v>0</v>
      </c>
      <c r="BV656" s="32">
        <f t="shared" si="1327"/>
        <v>0</v>
      </c>
      <c r="BW656" s="32">
        <f t="shared" si="1327"/>
        <v>0</v>
      </c>
      <c r="BX656" s="32">
        <f t="shared" si="1327"/>
        <v>0</v>
      </c>
      <c r="BY656" s="32">
        <f t="shared" si="1327"/>
        <v>0</v>
      </c>
    </row>
    <row r="657" spans="3:77" outlineLevel="1"/>
    <row r="658" spans="3:77" ht="15" outlineLevel="1">
      <c r="C658" s="22" t="s">
        <v>525</v>
      </c>
      <c r="D658" s="31"/>
    </row>
    <row r="659" spans="3:77" ht="15" outlineLevel="1">
      <c r="C659" s="68" t="str">
        <f>+Assumptions!$H$99</f>
        <v>Equity-first</v>
      </c>
      <c r="D659" s="28"/>
      <c r="E659" s="22" t="s">
        <v>459</v>
      </c>
      <c r="H659" s="32"/>
      <c r="BF659" s="33"/>
      <c r="BG659" s="33"/>
      <c r="BH659" s="33"/>
      <c r="BI659" s="33"/>
      <c r="BJ659" s="33"/>
      <c r="BK659" s="33"/>
      <c r="BL659" s="33"/>
      <c r="BM659" s="33"/>
      <c r="BN659" s="33"/>
      <c r="BO659" s="33"/>
      <c r="BP659" s="33"/>
      <c r="BQ659" s="33"/>
      <c r="BR659" s="33"/>
      <c r="BS659" s="33"/>
      <c r="BT659" s="33"/>
      <c r="BU659" s="33"/>
      <c r="BV659" s="33"/>
      <c r="BW659" s="33"/>
      <c r="BX659" s="33"/>
      <c r="BY659" s="33"/>
    </row>
    <row r="660" spans="3:77" outlineLevel="1">
      <c r="C660" s="68" t="str">
        <f>+Assumptions!$H$100</f>
        <v>Annuity</v>
      </c>
      <c r="D660" s="28"/>
      <c r="E660" t="s">
        <v>458</v>
      </c>
      <c r="F660" s="80" t="str">
        <f>+Assumptions!$G$8</f>
        <v>USD</v>
      </c>
      <c r="H660" s="32">
        <f>IF(AND(Assumptions!$H$77="Yes",Assumptions!$H$78="Detailed"),-Assumptions_Detailed!H$138,MAX(IFERROR(H610-H623-H628,0),$C$663-SUM($G$660:G660)))</f>
        <v>0</v>
      </c>
      <c r="I660" s="32">
        <f>IF(AND(Assumptions!$H$77="Yes",Assumptions!$H$78="Detailed"),-Assumptions_Detailed!I$138,MAX(IFERROR(I610-I623-I628,0),$C$663-SUM($G$660:H660)))</f>
        <v>0</v>
      </c>
      <c r="J660" s="32">
        <f>IF(AND(Assumptions!$H$77="Yes",Assumptions!$H$78="Detailed"),-Assumptions_Detailed!J$138,MAX(IFERROR(J610-J623-J628,0),$C$663-SUM($G$660:I660)))</f>
        <v>0</v>
      </c>
      <c r="K660" s="32">
        <f>IF(AND(Assumptions!$H$77="Yes",Assumptions!$H$78="Detailed"),-Assumptions_Detailed!K$138,MAX(IFERROR(K610-K623-K628,0),$C$663-SUM($G$660:J660)))</f>
        <v>0</v>
      </c>
      <c r="L660" s="32">
        <f>IF(AND(Assumptions!$H$77="Yes",Assumptions!$H$78="Detailed"),-Assumptions_Detailed!L$138,MAX(IFERROR(L610-L623-L628,0),$C$663-SUM($G$660:K660)))</f>
        <v>0</v>
      </c>
      <c r="M660" s="32">
        <f>IF(AND(Assumptions!$H$77="Yes",Assumptions!$H$78="Detailed"),-Assumptions_Detailed!M$138,MAX(IFERROR(M610-M623-M628,0),$C$663-SUM($G$660:L660)))</f>
        <v>0</v>
      </c>
      <c r="N660" s="32">
        <f>IF(AND(Assumptions!$H$77="Yes",Assumptions!$H$78="Detailed"),-Assumptions_Detailed!N$138,MAX(IFERROR(N610-N623-N628,0),$C$663-SUM($G$660:M660)))</f>
        <v>0</v>
      </c>
      <c r="O660" s="32">
        <f>IF(AND(Assumptions!$H$77="Yes",Assumptions!$H$78="Detailed"),-Assumptions_Detailed!O$138,MAX(IFERROR(O610-O623-O628,0),$C$663-SUM($G$660:N660)))</f>
        <v>0</v>
      </c>
      <c r="P660" s="32">
        <f>IF(AND(Assumptions!$H$77="Yes",Assumptions!$H$78="Detailed"),-Assumptions_Detailed!P$138,MAX(IFERROR(P610-P623-P628,0),$C$663-SUM($G$660:O660)))</f>
        <v>0</v>
      </c>
      <c r="Q660" s="32">
        <f>IF(AND(Assumptions!$H$77="Yes",Assumptions!$H$78="Detailed"),-Assumptions_Detailed!Q$138,MAX(IFERROR(Q610-Q623-Q628,0),$C$663-SUM($G$660:P660)))</f>
        <v>0</v>
      </c>
      <c r="R660" s="32">
        <f>IF(AND(Assumptions!$H$77="Yes",Assumptions!$H$78="Detailed"),-Assumptions_Detailed!R$138,MAX(IFERROR(R610-R623-R628,0),$C$663-SUM($G$660:Q660)))</f>
        <v>0</v>
      </c>
      <c r="S660" s="32">
        <f>IF(AND(Assumptions!$H$77="Yes",Assumptions!$H$78="Detailed"),-Assumptions_Detailed!S$138,MAX(IFERROR(S610-S623-S628,0),$C$663-SUM($G$660:R660)))</f>
        <v>0</v>
      </c>
      <c r="T660" s="32">
        <f>IF(AND(Assumptions!$H$77="Yes",Assumptions!$H$78="Detailed"),-Assumptions_Detailed!T$138,MAX(IFERROR(T610-T623-T628,0),$C$663-SUM($G$660:S660)))</f>
        <v>0</v>
      </c>
      <c r="U660" s="32">
        <f>IF(AND(Assumptions!$H$77="Yes",Assumptions!$H$78="Detailed"),-Assumptions_Detailed!U$138,MAX(IFERROR(U610-U623-U628,0),$C$663-SUM($G$660:T660)))</f>
        <v>0</v>
      </c>
      <c r="V660" s="32">
        <f>IF(AND(Assumptions!$H$77="Yes",Assumptions!$H$78="Detailed"),-Assumptions_Detailed!V$138,MAX(IFERROR(V610-V623-V628,0),$C$663-SUM($G$660:U660)))</f>
        <v>0</v>
      </c>
      <c r="W660" s="32">
        <f>IF(AND(Assumptions!$H$77="Yes",Assumptions!$H$78="Detailed"),-Assumptions_Detailed!W$138,MAX(IFERROR(W610-W623-W628,0),$C$663-SUM($G$660:V660)))</f>
        <v>0</v>
      </c>
      <c r="X660" s="32">
        <f>IF(AND(Assumptions!$H$77="Yes",Assumptions!$H$78="Detailed"),-Assumptions_Detailed!X$138,MAX(IFERROR(X610-X623-X628,0),$C$663-SUM($G$660:W660)))</f>
        <v>0</v>
      </c>
      <c r="Y660" s="32">
        <f>IF(AND(Assumptions!$H$77="Yes",Assumptions!$H$78="Detailed"),-Assumptions_Detailed!Y$138,MAX(IFERROR(Y610-Y623-Y628,0),$C$663-SUM($G$660:X660)))</f>
        <v>0</v>
      </c>
      <c r="Z660" s="32">
        <f>IF(AND(Assumptions!$H$77="Yes",Assumptions!$H$78="Detailed"),-Assumptions_Detailed!Z$138,MAX(IFERROR(Z610-Z623-Z628,0),$C$663-SUM($G$660:Y660)))</f>
        <v>0</v>
      </c>
      <c r="AA660" s="32">
        <f>IF(AND(Assumptions!$H$77="Yes",Assumptions!$H$78="Detailed"),-Assumptions_Detailed!AA$138,MAX(IFERROR(AA610-AA623-AA628,0),$C$663-SUM($G$660:Z660)))</f>
        <v>0</v>
      </c>
      <c r="AB660" s="32">
        <f>IF(AND(Assumptions!$H$77="Yes",Assumptions!$H$78="Detailed"),-Assumptions_Detailed!AB$138,MAX(IFERROR(AB610-AB623-AB628,0),$C$663-SUM($G$660:AA660)))</f>
        <v>0</v>
      </c>
      <c r="AC660" s="32">
        <f>IF(AND(Assumptions!$H$77="Yes",Assumptions!$H$78="Detailed"),-Assumptions_Detailed!AC$138,MAX(IFERROR(AC610-AC623-AC628,0),$C$663-SUM($G$660:AB660)))</f>
        <v>0</v>
      </c>
      <c r="AD660" s="32">
        <f>IF(AND(Assumptions!$H$77="Yes",Assumptions!$H$78="Detailed"),-Assumptions_Detailed!AD$138,MAX(IFERROR(AD610-AD623-AD628,0),$C$663-SUM($G$660:AC660)))</f>
        <v>0</v>
      </c>
      <c r="AE660" s="32">
        <f>IF(AND(Assumptions!$H$77="Yes",Assumptions!$H$78="Detailed"),-Assumptions_Detailed!AE$138,MAX(IFERROR(AE610-AE623-AE628,0),$C$663-SUM($G$660:AD660)))</f>
        <v>0</v>
      </c>
      <c r="AF660" s="32">
        <f>IF(AND(Assumptions!$H$77="Yes",Assumptions!$H$78="Detailed"),-Assumptions_Detailed!AF$138,MAX(IFERROR(AF610-AF623-AF628,0),$C$663-SUM($G$660:AE660)))</f>
        <v>0</v>
      </c>
      <c r="AG660" s="32">
        <f>IF(AND(Assumptions!$H$77="Yes",Assumptions!$H$78="Detailed"),-Assumptions_Detailed!AG$138,MAX(IFERROR(AG610-AG623-AG628,0),$C$663-SUM($G$660:AF660)))</f>
        <v>0</v>
      </c>
      <c r="AH660" s="32">
        <f>IF(AND(Assumptions!$H$77="Yes",Assumptions!$H$78="Detailed"),-Assumptions_Detailed!AH$138,MAX(IFERROR(AH610-AH623-AH628,0),$C$663-SUM($G$660:AG660)))</f>
        <v>0</v>
      </c>
      <c r="AI660" s="32">
        <f>IF(AND(Assumptions!$H$77="Yes",Assumptions!$H$78="Detailed"),-Assumptions_Detailed!AI$138,MAX(IFERROR(AI610-AI623-AI628,0),$C$663-SUM($G$660:AH660)))</f>
        <v>0</v>
      </c>
      <c r="AJ660" s="32">
        <f>IF(AND(Assumptions!$H$77="Yes",Assumptions!$H$78="Detailed"),-Assumptions_Detailed!AJ$138,MAX(IFERROR(AJ610-AJ623-AJ628,0),$C$663-SUM($G$660:AI660)))</f>
        <v>0</v>
      </c>
      <c r="AK660" s="32">
        <f>IF(AND(Assumptions!$H$77="Yes",Assumptions!$H$78="Detailed"),-Assumptions_Detailed!AK$138,MAX(IFERROR(AK610-AK623-AK628,0),$C$663-SUM($G$660:AJ660)))</f>
        <v>0</v>
      </c>
      <c r="AL660" s="32">
        <f>IF(AND(Assumptions!$H$77="Yes",Assumptions!$H$78="Detailed"),-Assumptions_Detailed!AL$138,MAX(IFERROR(AL610-AL623-AL628,0),$C$663-SUM($G$660:AK660)))</f>
        <v>0</v>
      </c>
      <c r="AM660" s="32">
        <f>IF(AND(Assumptions!$H$77="Yes",Assumptions!$H$78="Detailed"),-Assumptions_Detailed!AM$138,MAX(IFERROR(AM610-AM623-AM628,0),$C$663-SUM($G$660:AL660)))</f>
        <v>0</v>
      </c>
      <c r="AN660" s="32">
        <f>IF(AND(Assumptions!$H$77="Yes",Assumptions!$H$78="Detailed"),-Assumptions_Detailed!AN$138,MAX(IFERROR(AN610-AN623-AN628,0),$C$663-SUM($G$660:AM660)))</f>
        <v>0</v>
      </c>
      <c r="AO660" s="32">
        <f>IF(AND(Assumptions!$H$77="Yes",Assumptions!$H$78="Detailed"),-Assumptions_Detailed!AO$138,MAX(IFERROR(AO610-AO623-AO628,0),$C$663-SUM($G$660:AN660)))</f>
        <v>0</v>
      </c>
      <c r="AP660" s="32">
        <f>IF(AND(Assumptions!$H$77="Yes",Assumptions!$H$78="Detailed"),-Assumptions_Detailed!AP$138,MAX(IFERROR(AP610-AP623-AP628,0),$C$663-SUM($G$660:AO660)))</f>
        <v>0</v>
      </c>
      <c r="AQ660" s="32">
        <f>IF(AND(Assumptions!$H$77="Yes",Assumptions!$H$78="Detailed"),-Assumptions_Detailed!AQ$138,MAX(IFERROR(AQ610-AQ623-AQ628,0),$C$663-SUM($G$660:AP660)))</f>
        <v>0</v>
      </c>
      <c r="AR660" s="32">
        <f>IF(AND(Assumptions!$H$77="Yes",Assumptions!$H$78="Detailed"),-Assumptions_Detailed!AR$138,MAX(IFERROR(AR610-AR623-AR628,0),$C$663-SUM($G$660:AQ660)))</f>
        <v>0</v>
      </c>
      <c r="AS660" s="32">
        <f>IF(AND(Assumptions!$H$77="Yes",Assumptions!$H$78="Detailed"),-Assumptions_Detailed!AS$138,MAX(IFERROR(AS610-AS623-AS628,0),$C$663-SUM($G$660:AR660)))</f>
        <v>0</v>
      </c>
      <c r="AT660" s="32">
        <f>IF(AND(Assumptions!$H$77="Yes",Assumptions!$H$78="Detailed"),-Assumptions_Detailed!AT$138,MAX(IFERROR(AT610-AT623-AT628,0),$C$663-SUM($G$660:AS660)))</f>
        <v>0</v>
      </c>
      <c r="AU660" s="32">
        <f>IF(AND(Assumptions!$H$77="Yes",Assumptions!$H$78="Detailed"),-Assumptions_Detailed!AU$138,MAX(IFERROR(AU610-AU623-AU628,0),$C$663-SUM($G$660:AT660)))</f>
        <v>0</v>
      </c>
      <c r="AV660" s="32">
        <f>IF(AND(Assumptions!$H$77="Yes",Assumptions!$H$78="Detailed"),-Assumptions_Detailed!AV$138,MAX(IFERROR(AV610-AV623-AV628,0),$C$663-SUM($G$660:AU660)))</f>
        <v>0</v>
      </c>
      <c r="AW660" s="32">
        <f>IF(AND(Assumptions!$H$77="Yes",Assumptions!$H$78="Detailed"),-Assumptions_Detailed!AW$138,MAX(IFERROR(AW610-AW623-AW628,0),$C$663-SUM($G$660:AV660)))</f>
        <v>0</v>
      </c>
      <c r="AX660" s="32">
        <f>IF(AND(Assumptions!$H$77="Yes",Assumptions!$H$78="Detailed"),-Assumptions_Detailed!AX$138,MAX(IFERROR(AX610-AX623-AX628,0),$C$663-SUM($G$660:AW660)))</f>
        <v>0</v>
      </c>
      <c r="AY660" s="32">
        <f>IF(AND(Assumptions!$H$77="Yes",Assumptions!$H$78="Detailed"),-Assumptions_Detailed!AY$138,MAX(IFERROR(AY610-AY623-AY628,0),$C$663-SUM($G$660:AX660)))</f>
        <v>0</v>
      </c>
      <c r="AZ660" s="32">
        <f>IF(AND(Assumptions!$H$77="Yes",Assumptions!$H$78="Detailed"),-Assumptions_Detailed!AZ$138,MAX(IFERROR(AZ610-AZ623-AZ628,0),$C$663-SUM($G$660:AY660)))</f>
        <v>0</v>
      </c>
      <c r="BA660" s="32">
        <f>IF(AND(Assumptions!$H$77="Yes",Assumptions!$H$78="Detailed"),-Assumptions_Detailed!BA$138,MAX(IFERROR(BA610-BA623-BA628,0),$C$663-SUM($G$660:AZ660)))</f>
        <v>0</v>
      </c>
      <c r="BB660" s="32">
        <f>IF(AND(Assumptions!$H$77="Yes",Assumptions!$H$78="Detailed"),-Assumptions_Detailed!BB$138,MAX(IFERROR(BB610-BB623-BB628,0),$C$663-SUM($G$660:BA660)))</f>
        <v>0</v>
      </c>
      <c r="BC660" s="32">
        <f>IF(AND(Assumptions!$H$77="Yes",Assumptions!$H$78="Detailed"),-Assumptions_Detailed!BC$138,MAX(IFERROR(BC610-BC623-BC628,0),$C$663-SUM($G$660:BB660)))</f>
        <v>0</v>
      </c>
      <c r="BD660" s="32">
        <f>IF(AND(Assumptions!$H$77="Yes",Assumptions!$H$78="Detailed"),-Assumptions_Detailed!BD$138,MAX(IFERROR(BD610-BD623-BD628,0),$C$663-SUM($G$660:BC660)))</f>
        <v>0</v>
      </c>
      <c r="BE660" s="32">
        <f>IF(AND(Assumptions!$H$77="Yes",Assumptions!$H$78="Detailed"),-Assumptions_Detailed!BE$138,MAX(IFERROR(BE610-BE623-BE628,0),$C$663-SUM($G$660:BD660)))</f>
        <v>0</v>
      </c>
      <c r="BF660" s="32">
        <f>IF(AND(Assumptions!$H$77="Yes",Assumptions!$H$78="Detailed"),-Assumptions_Detailed!BF$138,MAX(IFERROR(BF610-BF623-BF628,0),$C$663-SUM($G$660:BE660)))</f>
        <v>0</v>
      </c>
      <c r="BG660" s="32">
        <f>IF(AND(Assumptions!$H$77="Yes",Assumptions!$H$78="Detailed"),-Assumptions_Detailed!BG$138,MAX(IFERROR(BG610-BG623-BG628,0),$C$663-SUM($G$660:BF660)))</f>
        <v>0</v>
      </c>
      <c r="BH660" s="32">
        <f>IF(AND(Assumptions!$H$77="Yes",Assumptions!$H$78="Detailed"),-Assumptions_Detailed!BH$138,MAX(IFERROR(BH610-BH623-BH628,0),$C$663-SUM($G$660:BG660)))</f>
        <v>0</v>
      </c>
      <c r="BI660" s="32">
        <f>IF(AND(Assumptions!$H$77="Yes",Assumptions!$H$78="Detailed"),-Assumptions_Detailed!BI$138,MAX(IFERROR(BI610-BI623-BI628,0),$C$663-SUM($G$660:BH660)))</f>
        <v>0</v>
      </c>
      <c r="BJ660" s="32">
        <f>IF(AND(Assumptions!$H$77="Yes",Assumptions!$H$78="Detailed"),-Assumptions_Detailed!BJ$138,MAX(IFERROR(BJ610-BJ623-BJ628,0),$C$663-SUM($G$660:BI660)))</f>
        <v>0</v>
      </c>
      <c r="BK660" s="32">
        <f>IF(AND(Assumptions!$H$77="Yes",Assumptions!$H$78="Detailed"),-Assumptions_Detailed!BK$138,MAX(IFERROR(BK610-BK623-BK628,0),$C$663-SUM($G$660:BJ660)))</f>
        <v>0</v>
      </c>
      <c r="BL660" s="32">
        <f>IF(AND(Assumptions!$H$77="Yes",Assumptions!$H$78="Detailed"),-Assumptions_Detailed!BL$138,MAX(IFERROR(BL610-BL623-BL628,0),$C$663-SUM($G$660:BK660)))</f>
        <v>0</v>
      </c>
      <c r="BM660" s="32">
        <f>IF(AND(Assumptions!$H$77="Yes",Assumptions!$H$78="Detailed"),-Assumptions_Detailed!BM$138,MAX(IFERROR(BM610-BM623-BM628,0),$C$663-SUM($G$660:BL660)))</f>
        <v>0</v>
      </c>
      <c r="BN660" s="32">
        <f>IF(AND(Assumptions!$H$77="Yes",Assumptions!$H$78="Detailed"),-Assumptions_Detailed!BN$138,MAX(IFERROR(BN610-BN623-BN628,0),$C$663-SUM($G$660:BM660)))</f>
        <v>0</v>
      </c>
      <c r="BO660" s="32">
        <f>IF(AND(Assumptions!$H$77="Yes",Assumptions!$H$78="Detailed"),-Assumptions_Detailed!BO$138,MAX(IFERROR(BO610-BO623-BO628,0),$C$663-SUM($G$660:BN660)))</f>
        <v>0</v>
      </c>
      <c r="BP660" s="32">
        <f>IF(AND(Assumptions!$H$77="Yes",Assumptions!$H$78="Detailed"),-Assumptions_Detailed!BP$138,MAX(IFERROR(BP610-BP623-BP628,0),$C$663-SUM($G$660:BO660)))</f>
        <v>0</v>
      </c>
      <c r="BQ660" s="32">
        <f>IF(AND(Assumptions!$H$77="Yes",Assumptions!$H$78="Detailed"),-Assumptions_Detailed!BQ$138,MAX(IFERROR(BQ610-BQ623-BQ628,0),$C$663-SUM($G$660:BP660)))</f>
        <v>0</v>
      </c>
      <c r="BR660" s="32">
        <f>IF(AND(Assumptions!$H$77="Yes",Assumptions!$H$78="Detailed"),-Assumptions_Detailed!BR$138,MAX(IFERROR(BR610-BR623-BR628,0),$C$663-SUM($G$660:BQ660)))</f>
        <v>0</v>
      </c>
      <c r="BS660" s="32">
        <f>IF(AND(Assumptions!$H$77="Yes",Assumptions!$H$78="Detailed"),-Assumptions_Detailed!BS$138,MAX(IFERROR(BS610-BS623-BS628,0),$C$663-SUM($G$660:BR660)))</f>
        <v>0</v>
      </c>
      <c r="BT660" s="32">
        <f>IF(AND(Assumptions!$H$77="Yes",Assumptions!$H$78="Detailed"),-Assumptions_Detailed!BT$138,MAX(IFERROR(BT610-BT623-BT628,0),$C$663-SUM($G$660:BS660)))</f>
        <v>0</v>
      </c>
      <c r="BU660" s="32">
        <f>IF(AND(Assumptions!$H$77="Yes",Assumptions!$H$78="Detailed"),-Assumptions_Detailed!BU$138,MAX(IFERROR(BU610-BU623-BU628,0),$C$663-SUM($G$660:BT660)))</f>
        <v>0</v>
      </c>
      <c r="BV660" s="32">
        <f>IF(AND(Assumptions!$H$77="Yes",Assumptions!$H$78="Detailed"),-Assumptions_Detailed!BV$138,MAX(IFERROR(BV610-BV623-BV628,0),$C$663-SUM($G$660:BU660)))</f>
        <v>0</v>
      </c>
      <c r="BW660" s="32">
        <f>IF(AND(Assumptions!$H$77="Yes",Assumptions!$H$78="Detailed"),-Assumptions_Detailed!BW$138,MAX(IFERROR(BW610-BW623-BW628,0),$C$663-SUM($G$660:BV660)))</f>
        <v>0</v>
      </c>
      <c r="BX660" s="32">
        <f>IF(AND(Assumptions!$H$77="Yes",Assumptions!$H$78="Detailed"),-Assumptions_Detailed!BX$138,MAX(IFERROR(BX610-BX623-BX628,0),$C$663-SUM($G$660:BW660)))</f>
        <v>0</v>
      </c>
      <c r="BY660" s="32">
        <f>IF(AND(Assumptions!$H$77="Yes",Assumptions!$H$78="Detailed"),-Assumptions_Detailed!BY$138,MAX(IFERROR(BY610-BY623-BY628,0),$C$663-SUM($G$660:BX660)))</f>
        <v>0</v>
      </c>
    </row>
    <row r="661" spans="3:77" outlineLevel="1">
      <c r="D661" s="31"/>
      <c r="BF661" s="33"/>
      <c r="BG661" s="33"/>
      <c r="BH661" s="33"/>
      <c r="BI661" s="33"/>
      <c r="BJ661" s="33"/>
      <c r="BK661" s="33"/>
      <c r="BL661" s="33"/>
      <c r="BM661" s="33"/>
      <c r="BN661" s="33"/>
      <c r="BO661" s="33"/>
      <c r="BP661" s="33"/>
      <c r="BQ661" s="33"/>
      <c r="BR661" s="33"/>
      <c r="BS661" s="33"/>
      <c r="BT661" s="33"/>
      <c r="BU661" s="33"/>
      <c r="BV661" s="33"/>
      <c r="BW661" s="33"/>
      <c r="BX661" s="33"/>
      <c r="BY661" s="33"/>
    </row>
    <row r="662" spans="3:77" ht="15" outlineLevel="1">
      <c r="C662" s="22" t="s">
        <v>498</v>
      </c>
      <c r="D662" s="31"/>
      <c r="BF662" s="33"/>
      <c r="BG662" s="33"/>
      <c r="BH662" s="33"/>
      <c r="BI662" s="33"/>
      <c r="BJ662" s="33"/>
      <c r="BK662" s="33"/>
      <c r="BL662" s="33"/>
      <c r="BM662" s="33"/>
      <c r="BN662" s="33"/>
      <c r="BO662" s="33"/>
      <c r="BP662" s="33"/>
      <c r="BQ662" s="33"/>
      <c r="BR662" s="33"/>
      <c r="BS662" s="33"/>
      <c r="BT662" s="33"/>
      <c r="BU662" s="33"/>
      <c r="BV662" s="33"/>
      <c r="BW662" s="33"/>
      <c r="BX662" s="33"/>
      <c r="BY662" s="33"/>
    </row>
    <row r="663" spans="3:77" outlineLevel="1">
      <c r="C663" s="94">
        <f>+Assumptions!$H$93*C609</f>
        <v>0</v>
      </c>
      <c r="D663" s="31"/>
      <c r="BF663" s="33"/>
      <c r="BG663" s="33"/>
      <c r="BH663" s="33"/>
      <c r="BI663" s="33"/>
      <c r="BJ663" s="33"/>
      <c r="BK663" s="33"/>
      <c r="BL663" s="33"/>
      <c r="BM663" s="33"/>
      <c r="BN663" s="33"/>
      <c r="BO663" s="33"/>
      <c r="BP663" s="33"/>
      <c r="BQ663" s="33"/>
      <c r="BR663" s="33"/>
      <c r="BS663" s="33"/>
      <c r="BT663" s="33"/>
      <c r="BU663" s="33"/>
      <c r="BV663" s="33"/>
      <c r="BW663" s="33"/>
      <c r="BX663" s="33"/>
      <c r="BY663" s="33"/>
    </row>
    <row r="664" spans="3:77" outlineLevel="1">
      <c r="D664" s="31"/>
      <c r="E664" t="s">
        <v>499</v>
      </c>
      <c r="F664" s="23" t="s">
        <v>500</v>
      </c>
      <c r="G664" s="33"/>
      <c r="H664" s="33" t="e" vm="1">
        <f>+IF(AND(H$660=$C666,H$660&lt;0),1,0)</f>
        <v>#VALUE!</v>
      </c>
      <c r="I664" s="33" t="e" vm="1">
        <f t="shared" ref="I664:BT664" si="1328">+IF(AND(I$660=$C666,I$660&lt;0),1,0)</f>
        <v>#VALUE!</v>
      </c>
      <c r="J664" s="33" t="e" vm="1">
        <f t="shared" si="1328"/>
        <v>#VALUE!</v>
      </c>
      <c r="K664" s="33" t="e" vm="1">
        <f t="shared" si="1328"/>
        <v>#VALUE!</v>
      </c>
      <c r="L664" s="33" t="e" vm="1">
        <f t="shared" si="1328"/>
        <v>#VALUE!</v>
      </c>
      <c r="M664" s="33" t="e" vm="1">
        <f t="shared" si="1328"/>
        <v>#VALUE!</v>
      </c>
      <c r="N664" s="33" t="e" vm="1">
        <f t="shared" si="1328"/>
        <v>#VALUE!</v>
      </c>
      <c r="O664" s="33" t="e" vm="1">
        <f t="shared" si="1328"/>
        <v>#VALUE!</v>
      </c>
      <c r="P664" s="33" t="e" vm="1">
        <f t="shared" si="1328"/>
        <v>#VALUE!</v>
      </c>
      <c r="Q664" s="33" t="e" vm="1">
        <f t="shared" si="1328"/>
        <v>#VALUE!</v>
      </c>
      <c r="R664" s="33" t="e" vm="1">
        <f t="shared" si="1328"/>
        <v>#VALUE!</v>
      </c>
      <c r="S664" s="33" t="e" vm="1">
        <f t="shared" si="1328"/>
        <v>#VALUE!</v>
      </c>
      <c r="T664" s="33" t="e" vm="1">
        <f t="shared" si="1328"/>
        <v>#VALUE!</v>
      </c>
      <c r="U664" s="33" t="e" vm="1">
        <f t="shared" si="1328"/>
        <v>#VALUE!</v>
      </c>
      <c r="V664" s="33" t="e" vm="1">
        <f t="shared" si="1328"/>
        <v>#VALUE!</v>
      </c>
      <c r="W664" s="33" t="e" vm="1">
        <f t="shared" si="1328"/>
        <v>#VALUE!</v>
      </c>
      <c r="X664" s="33" t="e" vm="1">
        <f t="shared" si="1328"/>
        <v>#VALUE!</v>
      </c>
      <c r="Y664" s="33" t="e" vm="1">
        <f t="shared" si="1328"/>
        <v>#VALUE!</v>
      </c>
      <c r="Z664" s="33" t="e" vm="1">
        <f t="shared" si="1328"/>
        <v>#VALUE!</v>
      </c>
      <c r="AA664" s="33" t="e" vm="1">
        <f t="shared" si="1328"/>
        <v>#VALUE!</v>
      </c>
      <c r="AB664" s="33" t="e" vm="1">
        <f t="shared" si="1328"/>
        <v>#VALUE!</v>
      </c>
      <c r="AC664" s="33" t="e" vm="1">
        <f t="shared" si="1328"/>
        <v>#VALUE!</v>
      </c>
      <c r="AD664" s="33" t="e" vm="1">
        <f t="shared" si="1328"/>
        <v>#VALUE!</v>
      </c>
      <c r="AE664" s="33" t="e" vm="1">
        <f t="shared" si="1328"/>
        <v>#VALUE!</v>
      </c>
      <c r="AF664" s="33" t="e" vm="1">
        <f t="shared" si="1328"/>
        <v>#VALUE!</v>
      </c>
      <c r="AG664" s="33" t="e" vm="1">
        <f t="shared" si="1328"/>
        <v>#VALUE!</v>
      </c>
      <c r="AH664" s="33" t="e" vm="1">
        <f t="shared" si="1328"/>
        <v>#VALUE!</v>
      </c>
      <c r="AI664" s="33" t="e" vm="1">
        <f t="shared" si="1328"/>
        <v>#VALUE!</v>
      </c>
      <c r="AJ664" s="33" t="e" vm="1">
        <f t="shared" si="1328"/>
        <v>#VALUE!</v>
      </c>
      <c r="AK664" s="33" t="e" vm="1">
        <f t="shared" si="1328"/>
        <v>#VALUE!</v>
      </c>
      <c r="AL664" s="33" t="e" vm="1">
        <f t="shared" si="1328"/>
        <v>#VALUE!</v>
      </c>
      <c r="AM664" s="33" t="e" vm="1">
        <f t="shared" si="1328"/>
        <v>#VALUE!</v>
      </c>
      <c r="AN664" s="33" t="e" vm="1">
        <f t="shared" si="1328"/>
        <v>#VALUE!</v>
      </c>
      <c r="AO664" s="33" t="e" vm="1">
        <f t="shared" si="1328"/>
        <v>#VALUE!</v>
      </c>
      <c r="AP664" s="33" t="e" vm="1">
        <f t="shared" si="1328"/>
        <v>#VALUE!</v>
      </c>
      <c r="AQ664" s="33" t="e" vm="1">
        <f t="shared" si="1328"/>
        <v>#VALUE!</v>
      </c>
      <c r="AR664" s="33" t="e" vm="1">
        <f t="shared" si="1328"/>
        <v>#VALUE!</v>
      </c>
      <c r="AS664" s="33" t="e" vm="1">
        <f t="shared" si="1328"/>
        <v>#VALUE!</v>
      </c>
      <c r="AT664" s="33" t="e" vm="1">
        <f t="shared" si="1328"/>
        <v>#VALUE!</v>
      </c>
      <c r="AU664" s="33" t="e" vm="1">
        <f t="shared" si="1328"/>
        <v>#VALUE!</v>
      </c>
      <c r="AV664" s="33" t="e" vm="1">
        <f t="shared" si="1328"/>
        <v>#VALUE!</v>
      </c>
      <c r="AW664" s="33" t="e" vm="1">
        <f t="shared" si="1328"/>
        <v>#VALUE!</v>
      </c>
      <c r="AX664" s="33" t="e" vm="1">
        <f t="shared" si="1328"/>
        <v>#VALUE!</v>
      </c>
      <c r="AY664" s="33" t="e" vm="1">
        <f t="shared" si="1328"/>
        <v>#VALUE!</v>
      </c>
      <c r="AZ664" s="33" t="e" vm="1">
        <f t="shared" si="1328"/>
        <v>#VALUE!</v>
      </c>
      <c r="BA664" s="33" t="e" vm="1">
        <f t="shared" si="1328"/>
        <v>#VALUE!</v>
      </c>
      <c r="BB664" s="33" t="e" vm="1">
        <f t="shared" si="1328"/>
        <v>#VALUE!</v>
      </c>
      <c r="BC664" s="33" t="e" vm="1">
        <f t="shared" si="1328"/>
        <v>#VALUE!</v>
      </c>
      <c r="BD664" s="33" t="e" vm="1">
        <f t="shared" si="1328"/>
        <v>#VALUE!</v>
      </c>
      <c r="BE664" s="33" t="e" vm="1">
        <f t="shared" si="1328"/>
        <v>#VALUE!</v>
      </c>
      <c r="BF664" s="33" t="e" vm="1">
        <f t="shared" si="1328"/>
        <v>#VALUE!</v>
      </c>
      <c r="BG664" s="33" t="e" vm="1">
        <f t="shared" si="1328"/>
        <v>#VALUE!</v>
      </c>
      <c r="BH664" s="33" t="e" vm="1">
        <f t="shared" si="1328"/>
        <v>#VALUE!</v>
      </c>
      <c r="BI664" s="33" t="e" vm="1">
        <f t="shared" si="1328"/>
        <v>#VALUE!</v>
      </c>
      <c r="BJ664" s="33" t="e" vm="1">
        <f t="shared" si="1328"/>
        <v>#VALUE!</v>
      </c>
      <c r="BK664" s="33" t="e" vm="1">
        <f t="shared" si="1328"/>
        <v>#VALUE!</v>
      </c>
      <c r="BL664" s="33" t="e" vm="1">
        <f t="shared" si="1328"/>
        <v>#VALUE!</v>
      </c>
      <c r="BM664" s="33" t="e" vm="1">
        <f t="shared" si="1328"/>
        <v>#VALUE!</v>
      </c>
      <c r="BN664" s="33" t="e" vm="1">
        <f t="shared" si="1328"/>
        <v>#VALUE!</v>
      </c>
      <c r="BO664" s="33" t="e" vm="1">
        <f t="shared" si="1328"/>
        <v>#VALUE!</v>
      </c>
      <c r="BP664" s="33" t="e" vm="1">
        <f t="shared" si="1328"/>
        <v>#VALUE!</v>
      </c>
      <c r="BQ664" s="33" t="e" vm="1">
        <f t="shared" si="1328"/>
        <v>#VALUE!</v>
      </c>
      <c r="BR664" s="33" t="e" vm="1">
        <f t="shared" si="1328"/>
        <v>#VALUE!</v>
      </c>
      <c r="BS664" s="33" t="e" vm="1">
        <f t="shared" si="1328"/>
        <v>#VALUE!</v>
      </c>
      <c r="BT664" s="33" t="e" vm="1">
        <f t="shared" si="1328"/>
        <v>#VALUE!</v>
      </c>
      <c r="BU664" s="33" t="e" vm="1">
        <f t="shared" ref="BU664:BY664" si="1329">+IF(AND(BU$660=$C666,BU$660&lt;0),1,0)</f>
        <v>#VALUE!</v>
      </c>
      <c r="BV664" s="33" t="e" vm="1">
        <f t="shared" si="1329"/>
        <v>#VALUE!</v>
      </c>
      <c r="BW664" s="33" t="e" vm="1">
        <f t="shared" si="1329"/>
        <v>#VALUE!</v>
      </c>
      <c r="BX664" s="33" t="e" vm="1">
        <f t="shared" si="1329"/>
        <v>#VALUE!</v>
      </c>
      <c r="BY664" s="33" t="e" vm="1">
        <f t="shared" si="1329"/>
        <v>#VALUE!</v>
      </c>
    </row>
    <row r="665" spans="3:77" ht="15" outlineLevel="1">
      <c r="C665" s="22" t="s">
        <v>501</v>
      </c>
      <c r="D665" s="31"/>
      <c r="E665" t="s">
        <v>502</v>
      </c>
      <c r="F665" s="23" t="s">
        <v>500</v>
      </c>
      <c r="H665" s="33">
        <f t="shared" ref="H665:BS665" si="1330">+IF(AND(H$660=$C667,H$660&lt;0),1,0)</f>
        <v>0</v>
      </c>
      <c r="I665" s="33">
        <f t="shared" si="1330"/>
        <v>0</v>
      </c>
      <c r="J665" s="33">
        <f t="shared" si="1330"/>
        <v>0</v>
      </c>
      <c r="K665" s="33">
        <f t="shared" si="1330"/>
        <v>0</v>
      </c>
      <c r="L665" s="33">
        <f t="shared" si="1330"/>
        <v>0</v>
      </c>
      <c r="M665" s="33">
        <f t="shared" si="1330"/>
        <v>0</v>
      </c>
      <c r="N665" s="33">
        <f t="shared" si="1330"/>
        <v>0</v>
      </c>
      <c r="O665" s="33">
        <f t="shared" si="1330"/>
        <v>0</v>
      </c>
      <c r="P665" s="33">
        <f t="shared" si="1330"/>
        <v>0</v>
      </c>
      <c r="Q665" s="33">
        <f t="shared" si="1330"/>
        <v>0</v>
      </c>
      <c r="R665" s="33">
        <f t="shared" si="1330"/>
        <v>0</v>
      </c>
      <c r="S665" s="33">
        <f t="shared" si="1330"/>
        <v>0</v>
      </c>
      <c r="T665" s="33">
        <f t="shared" si="1330"/>
        <v>0</v>
      </c>
      <c r="U665" s="33">
        <f t="shared" si="1330"/>
        <v>0</v>
      </c>
      <c r="V665" s="33">
        <f t="shared" si="1330"/>
        <v>0</v>
      </c>
      <c r="W665" s="33">
        <f t="shared" si="1330"/>
        <v>0</v>
      </c>
      <c r="X665" s="33">
        <f t="shared" si="1330"/>
        <v>0</v>
      </c>
      <c r="Y665" s="33">
        <f t="shared" si="1330"/>
        <v>0</v>
      </c>
      <c r="Z665" s="33">
        <f t="shared" si="1330"/>
        <v>0</v>
      </c>
      <c r="AA665" s="33">
        <f t="shared" si="1330"/>
        <v>0</v>
      </c>
      <c r="AB665" s="33">
        <f t="shared" si="1330"/>
        <v>0</v>
      </c>
      <c r="AC665" s="33">
        <f t="shared" si="1330"/>
        <v>0</v>
      </c>
      <c r="AD665" s="33">
        <f t="shared" si="1330"/>
        <v>0</v>
      </c>
      <c r="AE665" s="33">
        <f t="shared" si="1330"/>
        <v>0</v>
      </c>
      <c r="AF665" s="33">
        <f t="shared" si="1330"/>
        <v>0</v>
      </c>
      <c r="AG665" s="33">
        <f t="shared" si="1330"/>
        <v>0</v>
      </c>
      <c r="AH665" s="33">
        <f t="shared" si="1330"/>
        <v>0</v>
      </c>
      <c r="AI665" s="33">
        <f t="shared" si="1330"/>
        <v>0</v>
      </c>
      <c r="AJ665" s="33">
        <f t="shared" si="1330"/>
        <v>0</v>
      </c>
      <c r="AK665" s="33">
        <f t="shared" si="1330"/>
        <v>0</v>
      </c>
      <c r="AL665" s="33">
        <f t="shared" si="1330"/>
        <v>0</v>
      </c>
      <c r="AM665" s="33">
        <f t="shared" si="1330"/>
        <v>0</v>
      </c>
      <c r="AN665" s="33">
        <f t="shared" si="1330"/>
        <v>0</v>
      </c>
      <c r="AO665" s="33">
        <f t="shared" si="1330"/>
        <v>0</v>
      </c>
      <c r="AP665" s="33">
        <f t="shared" si="1330"/>
        <v>0</v>
      </c>
      <c r="AQ665" s="33">
        <f t="shared" si="1330"/>
        <v>0</v>
      </c>
      <c r="AR665" s="33">
        <f t="shared" si="1330"/>
        <v>0</v>
      </c>
      <c r="AS665" s="33">
        <f t="shared" si="1330"/>
        <v>0</v>
      </c>
      <c r="AT665" s="33">
        <f t="shared" si="1330"/>
        <v>0</v>
      </c>
      <c r="AU665" s="33">
        <f t="shared" si="1330"/>
        <v>0</v>
      </c>
      <c r="AV665" s="33">
        <f t="shared" si="1330"/>
        <v>0</v>
      </c>
      <c r="AW665" s="33">
        <f t="shared" si="1330"/>
        <v>0</v>
      </c>
      <c r="AX665" s="33">
        <f t="shared" si="1330"/>
        <v>0</v>
      </c>
      <c r="AY665" s="33">
        <f t="shared" si="1330"/>
        <v>0</v>
      </c>
      <c r="AZ665" s="33">
        <f t="shared" si="1330"/>
        <v>0</v>
      </c>
      <c r="BA665" s="33">
        <f t="shared" si="1330"/>
        <v>0</v>
      </c>
      <c r="BB665" s="33">
        <f t="shared" si="1330"/>
        <v>0</v>
      </c>
      <c r="BC665" s="33">
        <f t="shared" si="1330"/>
        <v>0</v>
      </c>
      <c r="BD665" s="33">
        <f t="shared" si="1330"/>
        <v>0</v>
      </c>
      <c r="BE665" s="33">
        <f t="shared" si="1330"/>
        <v>0</v>
      </c>
      <c r="BF665" s="33">
        <f t="shared" si="1330"/>
        <v>0</v>
      </c>
      <c r="BG665" s="33">
        <f t="shared" si="1330"/>
        <v>0</v>
      </c>
      <c r="BH665" s="33">
        <f t="shared" si="1330"/>
        <v>0</v>
      </c>
      <c r="BI665" s="33">
        <f t="shared" si="1330"/>
        <v>0</v>
      </c>
      <c r="BJ665" s="33">
        <f t="shared" si="1330"/>
        <v>0</v>
      </c>
      <c r="BK665" s="33">
        <f t="shared" si="1330"/>
        <v>0</v>
      </c>
      <c r="BL665" s="33">
        <f t="shared" si="1330"/>
        <v>0</v>
      </c>
      <c r="BM665" s="33">
        <f t="shared" si="1330"/>
        <v>0</v>
      </c>
      <c r="BN665" s="33">
        <f t="shared" si="1330"/>
        <v>0</v>
      </c>
      <c r="BO665" s="33">
        <f t="shared" si="1330"/>
        <v>0</v>
      </c>
      <c r="BP665" s="33">
        <f t="shared" si="1330"/>
        <v>0</v>
      </c>
      <c r="BQ665" s="33">
        <f t="shared" si="1330"/>
        <v>0</v>
      </c>
      <c r="BR665" s="33">
        <f t="shared" si="1330"/>
        <v>0</v>
      </c>
      <c r="BS665" s="33">
        <f t="shared" si="1330"/>
        <v>0</v>
      </c>
      <c r="BT665" s="33">
        <f t="shared" ref="BT665:BY665" si="1331">+IF(AND(BT$660=$C667,BT$660&lt;0),1,0)</f>
        <v>0</v>
      </c>
      <c r="BU665" s="33">
        <f t="shared" si="1331"/>
        <v>0</v>
      </c>
      <c r="BV665" s="33">
        <f t="shared" si="1331"/>
        <v>0</v>
      </c>
      <c r="BW665" s="33">
        <f t="shared" si="1331"/>
        <v>0</v>
      </c>
      <c r="BX665" s="33">
        <f t="shared" si="1331"/>
        <v>0</v>
      </c>
      <c r="BY665" s="33">
        <f t="shared" si="1331"/>
        <v>0</v>
      </c>
    </row>
    <row r="666" spans="3:77" outlineLevel="1">
      <c r="C666" s="32" t="e" cm="1" vm="2">
        <f t="array" ref="C666">+TRANSPOSE(_xlfn._xlws.FILTER(H660:BY660,H660:BY660))</f>
        <v>#VALUE!</v>
      </c>
      <c r="D666" s="31"/>
      <c r="E666" t="s">
        <v>503</v>
      </c>
      <c r="F666" s="23" t="s">
        <v>500</v>
      </c>
      <c r="H666" s="33">
        <f t="shared" ref="H666:BS666" si="1332">+IF(AND(H$660=$C668,H$660&lt;0),1,0)</f>
        <v>0</v>
      </c>
      <c r="I666" s="33">
        <f t="shared" si="1332"/>
        <v>0</v>
      </c>
      <c r="J666" s="33">
        <f t="shared" si="1332"/>
        <v>0</v>
      </c>
      <c r="K666" s="33">
        <f t="shared" si="1332"/>
        <v>0</v>
      </c>
      <c r="L666" s="33">
        <f t="shared" si="1332"/>
        <v>0</v>
      </c>
      <c r="M666" s="33">
        <f t="shared" si="1332"/>
        <v>0</v>
      </c>
      <c r="N666" s="33">
        <f t="shared" si="1332"/>
        <v>0</v>
      </c>
      <c r="O666" s="33">
        <f t="shared" si="1332"/>
        <v>0</v>
      </c>
      <c r="P666" s="33">
        <f t="shared" si="1332"/>
        <v>0</v>
      </c>
      <c r="Q666" s="33">
        <f t="shared" si="1332"/>
        <v>0</v>
      </c>
      <c r="R666" s="33">
        <f t="shared" si="1332"/>
        <v>0</v>
      </c>
      <c r="S666" s="33">
        <f t="shared" si="1332"/>
        <v>0</v>
      </c>
      <c r="T666" s="33">
        <f t="shared" si="1332"/>
        <v>0</v>
      </c>
      <c r="U666" s="33">
        <f t="shared" si="1332"/>
        <v>0</v>
      </c>
      <c r="V666" s="33">
        <f t="shared" si="1332"/>
        <v>0</v>
      </c>
      <c r="W666" s="33">
        <f t="shared" si="1332"/>
        <v>0</v>
      </c>
      <c r="X666" s="33">
        <f t="shared" si="1332"/>
        <v>0</v>
      </c>
      <c r="Y666" s="33">
        <f t="shared" si="1332"/>
        <v>0</v>
      </c>
      <c r="Z666" s="33">
        <f t="shared" si="1332"/>
        <v>0</v>
      </c>
      <c r="AA666" s="33">
        <f t="shared" si="1332"/>
        <v>0</v>
      </c>
      <c r="AB666" s="33">
        <f t="shared" si="1332"/>
        <v>0</v>
      </c>
      <c r="AC666" s="33">
        <f t="shared" si="1332"/>
        <v>0</v>
      </c>
      <c r="AD666" s="33">
        <f t="shared" si="1332"/>
        <v>0</v>
      </c>
      <c r="AE666" s="33">
        <f t="shared" si="1332"/>
        <v>0</v>
      </c>
      <c r="AF666" s="33">
        <f t="shared" si="1332"/>
        <v>0</v>
      </c>
      <c r="AG666" s="33">
        <f t="shared" si="1332"/>
        <v>0</v>
      </c>
      <c r="AH666" s="33">
        <f t="shared" si="1332"/>
        <v>0</v>
      </c>
      <c r="AI666" s="33">
        <f t="shared" si="1332"/>
        <v>0</v>
      </c>
      <c r="AJ666" s="33">
        <f t="shared" si="1332"/>
        <v>0</v>
      </c>
      <c r="AK666" s="33">
        <f t="shared" si="1332"/>
        <v>0</v>
      </c>
      <c r="AL666" s="33">
        <f t="shared" si="1332"/>
        <v>0</v>
      </c>
      <c r="AM666" s="33">
        <f t="shared" si="1332"/>
        <v>0</v>
      </c>
      <c r="AN666" s="33">
        <f t="shared" si="1332"/>
        <v>0</v>
      </c>
      <c r="AO666" s="33">
        <f t="shared" si="1332"/>
        <v>0</v>
      </c>
      <c r="AP666" s="33">
        <f t="shared" si="1332"/>
        <v>0</v>
      </c>
      <c r="AQ666" s="33">
        <f t="shared" si="1332"/>
        <v>0</v>
      </c>
      <c r="AR666" s="33">
        <f t="shared" si="1332"/>
        <v>0</v>
      </c>
      <c r="AS666" s="33">
        <f t="shared" si="1332"/>
        <v>0</v>
      </c>
      <c r="AT666" s="33">
        <f t="shared" si="1332"/>
        <v>0</v>
      </c>
      <c r="AU666" s="33">
        <f t="shared" si="1332"/>
        <v>0</v>
      </c>
      <c r="AV666" s="33">
        <f t="shared" si="1332"/>
        <v>0</v>
      </c>
      <c r="AW666" s="33">
        <f t="shared" si="1332"/>
        <v>0</v>
      </c>
      <c r="AX666" s="33">
        <f t="shared" si="1332"/>
        <v>0</v>
      </c>
      <c r="AY666" s="33">
        <f t="shared" si="1332"/>
        <v>0</v>
      </c>
      <c r="AZ666" s="33">
        <f t="shared" si="1332"/>
        <v>0</v>
      </c>
      <c r="BA666" s="33">
        <f t="shared" si="1332"/>
        <v>0</v>
      </c>
      <c r="BB666" s="33">
        <f t="shared" si="1332"/>
        <v>0</v>
      </c>
      <c r="BC666" s="33">
        <f t="shared" si="1332"/>
        <v>0</v>
      </c>
      <c r="BD666" s="33">
        <f t="shared" si="1332"/>
        <v>0</v>
      </c>
      <c r="BE666" s="33">
        <f t="shared" si="1332"/>
        <v>0</v>
      </c>
      <c r="BF666" s="33">
        <f t="shared" si="1332"/>
        <v>0</v>
      </c>
      <c r="BG666" s="33">
        <f t="shared" si="1332"/>
        <v>0</v>
      </c>
      <c r="BH666" s="33">
        <f t="shared" si="1332"/>
        <v>0</v>
      </c>
      <c r="BI666" s="33">
        <f t="shared" si="1332"/>
        <v>0</v>
      </c>
      <c r="BJ666" s="33">
        <f t="shared" si="1332"/>
        <v>0</v>
      </c>
      <c r="BK666" s="33">
        <f t="shared" si="1332"/>
        <v>0</v>
      </c>
      <c r="BL666" s="33">
        <f t="shared" si="1332"/>
        <v>0</v>
      </c>
      <c r="BM666" s="33">
        <f t="shared" si="1332"/>
        <v>0</v>
      </c>
      <c r="BN666" s="33">
        <f t="shared" si="1332"/>
        <v>0</v>
      </c>
      <c r="BO666" s="33">
        <f t="shared" si="1332"/>
        <v>0</v>
      </c>
      <c r="BP666" s="33">
        <f t="shared" si="1332"/>
        <v>0</v>
      </c>
      <c r="BQ666" s="33">
        <f t="shared" si="1332"/>
        <v>0</v>
      </c>
      <c r="BR666" s="33">
        <f t="shared" si="1332"/>
        <v>0</v>
      </c>
      <c r="BS666" s="33">
        <f t="shared" si="1332"/>
        <v>0</v>
      </c>
      <c r="BT666" s="33">
        <f t="shared" ref="BT666:BY666" si="1333">+IF(AND(BT$660=$C668,BT$660&lt;0),1,0)</f>
        <v>0</v>
      </c>
      <c r="BU666" s="33">
        <f t="shared" si="1333"/>
        <v>0</v>
      </c>
      <c r="BV666" s="33">
        <f t="shared" si="1333"/>
        <v>0</v>
      </c>
      <c r="BW666" s="33">
        <f t="shared" si="1333"/>
        <v>0</v>
      </c>
      <c r="BX666" s="33">
        <f t="shared" si="1333"/>
        <v>0</v>
      </c>
      <c r="BY666" s="33">
        <f t="shared" si="1333"/>
        <v>0</v>
      </c>
    </row>
    <row r="667" spans="3:77" outlineLevel="1">
      <c r="C667" s="32"/>
      <c r="D667" s="31"/>
      <c r="E667" t="s">
        <v>504</v>
      </c>
      <c r="F667" s="23" t="s">
        <v>500</v>
      </c>
      <c r="H667" s="33">
        <f t="shared" ref="H667:BS667" si="1334">+IF(AND(H$660=$C669,H$660&lt;0),1,0)</f>
        <v>0</v>
      </c>
      <c r="I667" s="33">
        <f t="shared" si="1334"/>
        <v>0</v>
      </c>
      <c r="J667" s="33">
        <f t="shared" si="1334"/>
        <v>0</v>
      </c>
      <c r="K667" s="33">
        <f t="shared" si="1334"/>
        <v>0</v>
      </c>
      <c r="L667" s="33">
        <f t="shared" si="1334"/>
        <v>0</v>
      </c>
      <c r="M667" s="33">
        <f t="shared" si="1334"/>
        <v>0</v>
      </c>
      <c r="N667" s="33">
        <f t="shared" si="1334"/>
        <v>0</v>
      </c>
      <c r="O667" s="33">
        <f t="shared" si="1334"/>
        <v>0</v>
      </c>
      <c r="P667" s="33">
        <f t="shared" si="1334"/>
        <v>0</v>
      </c>
      <c r="Q667" s="33">
        <f t="shared" si="1334"/>
        <v>0</v>
      </c>
      <c r="R667" s="33">
        <f t="shared" si="1334"/>
        <v>0</v>
      </c>
      <c r="S667" s="33">
        <f t="shared" si="1334"/>
        <v>0</v>
      </c>
      <c r="T667" s="33">
        <f t="shared" si="1334"/>
        <v>0</v>
      </c>
      <c r="U667" s="33">
        <f t="shared" si="1334"/>
        <v>0</v>
      </c>
      <c r="V667" s="33">
        <f t="shared" si="1334"/>
        <v>0</v>
      </c>
      <c r="W667" s="33">
        <f t="shared" si="1334"/>
        <v>0</v>
      </c>
      <c r="X667" s="33">
        <f t="shared" si="1334"/>
        <v>0</v>
      </c>
      <c r="Y667" s="33">
        <f t="shared" si="1334"/>
        <v>0</v>
      </c>
      <c r="Z667" s="33">
        <f t="shared" si="1334"/>
        <v>0</v>
      </c>
      <c r="AA667" s="33">
        <f t="shared" si="1334"/>
        <v>0</v>
      </c>
      <c r="AB667" s="33">
        <f t="shared" si="1334"/>
        <v>0</v>
      </c>
      <c r="AC667" s="33">
        <f t="shared" si="1334"/>
        <v>0</v>
      </c>
      <c r="AD667" s="33">
        <f t="shared" si="1334"/>
        <v>0</v>
      </c>
      <c r="AE667" s="33">
        <f t="shared" si="1334"/>
        <v>0</v>
      </c>
      <c r="AF667" s="33">
        <f t="shared" si="1334"/>
        <v>0</v>
      </c>
      <c r="AG667" s="33">
        <f t="shared" si="1334"/>
        <v>0</v>
      </c>
      <c r="AH667" s="33">
        <f t="shared" si="1334"/>
        <v>0</v>
      </c>
      <c r="AI667" s="33">
        <f t="shared" si="1334"/>
        <v>0</v>
      </c>
      <c r="AJ667" s="33">
        <f t="shared" si="1334"/>
        <v>0</v>
      </c>
      <c r="AK667" s="33">
        <f t="shared" si="1334"/>
        <v>0</v>
      </c>
      <c r="AL667" s="33">
        <f t="shared" si="1334"/>
        <v>0</v>
      </c>
      <c r="AM667" s="33">
        <f t="shared" si="1334"/>
        <v>0</v>
      </c>
      <c r="AN667" s="33">
        <f t="shared" si="1334"/>
        <v>0</v>
      </c>
      <c r="AO667" s="33">
        <f t="shared" si="1334"/>
        <v>0</v>
      </c>
      <c r="AP667" s="33">
        <f t="shared" si="1334"/>
        <v>0</v>
      </c>
      <c r="AQ667" s="33">
        <f t="shared" si="1334"/>
        <v>0</v>
      </c>
      <c r="AR667" s="33">
        <f t="shared" si="1334"/>
        <v>0</v>
      </c>
      <c r="AS667" s="33">
        <f t="shared" si="1334"/>
        <v>0</v>
      </c>
      <c r="AT667" s="33">
        <f t="shared" si="1334"/>
        <v>0</v>
      </c>
      <c r="AU667" s="33">
        <f t="shared" si="1334"/>
        <v>0</v>
      </c>
      <c r="AV667" s="33">
        <f t="shared" si="1334"/>
        <v>0</v>
      </c>
      <c r="AW667" s="33">
        <f t="shared" si="1334"/>
        <v>0</v>
      </c>
      <c r="AX667" s="33">
        <f t="shared" si="1334"/>
        <v>0</v>
      </c>
      <c r="AY667" s="33">
        <f t="shared" si="1334"/>
        <v>0</v>
      </c>
      <c r="AZ667" s="33">
        <f t="shared" si="1334"/>
        <v>0</v>
      </c>
      <c r="BA667" s="33">
        <f t="shared" si="1334"/>
        <v>0</v>
      </c>
      <c r="BB667" s="33">
        <f t="shared" si="1334"/>
        <v>0</v>
      </c>
      <c r="BC667" s="33">
        <f t="shared" si="1334"/>
        <v>0</v>
      </c>
      <c r="BD667" s="33">
        <f t="shared" si="1334"/>
        <v>0</v>
      </c>
      <c r="BE667" s="33">
        <f t="shared" si="1334"/>
        <v>0</v>
      </c>
      <c r="BF667" s="33">
        <f t="shared" si="1334"/>
        <v>0</v>
      </c>
      <c r="BG667" s="33">
        <f t="shared" si="1334"/>
        <v>0</v>
      </c>
      <c r="BH667" s="33">
        <f t="shared" si="1334"/>
        <v>0</v>
      </c>
      <c r="BI667" s="33">
        <f t="shared" si="1334"/>
        <v>0</v>
      </c>
      <c r="BJ667" s="33">
        <f t="shared" si="1334"/>
        <v>0</v>
      </c>
      <c r="BK667" s="33">
        <f t="shared" si="1334"/>
        <v>0</v>
      </c>
      <c r="BL667" s="33">
        <f t="shared" si="1334"/>
        <v>0</v>
      </c>
      <c r="BM667" s="33">
        <f t="shared" si="1334"/>
        <v>0</v>
      </c>
      <c r="BN667" s="33">
        <f t="shared" si="1334"/>
        <v>0</v>
      </c>
      <c r="BO667" s="33">
        <f t="shared" si="1334"/>
        <v>0</v>
      </c>
      <c r="BP667" s="33">
        <f t="shared" si="1334"/>
        <v>0</v>
      </c>
      <c r="BQ667" s="33">
        <f t="shared" si="1334"/>
        <v>0</v>
      </c>
      <c r="BR667" s="33">
        <f t="shared" si="1334"/>
        <v>0</v>
      </c>
      <c r="BS667" s="33">
        <f t="shared" si="1334"/>
        <v>0</v>
      </c>
      <c r="BT667" s="33">
        <f t="shared" ref="BT667:BY667" si="1335">+IF(AND(BT$660=$C669,BT$660&lt;0),1,0)</f>
        <v>0</v>
      </c>
      <c r="BU667" s="33">
        <f t="shared" si="1335"/>
        <v>0</v>
      </c>
      <c r="BV667" s="33">
        <f t="shared" si="1335"/>
        <v>0</v>
      </c>
      <c r="BW667" s="33">
        <f t="shared" si="1335"/>
        <v>0</v>
      </c>
      <c r="BX667" s="33">
        <f t="shared" si="1335"/>
        <v>0</v>
      </c>
      <c r="BY667" s="33">
        <f t="shared" si="1335"/>
        <v>0</v>
      </c>
    </row>
    <row r="668" spans="3:77" outlineLevel="1">
      <c r="C668" s="32"/>
      <c r="D668" s="31"/>
      <c r="E668" t="s">
        <v>505</v>
      </c>
      <c r="F668" s="23" t="s">
        <v>500</v>
      </c>
      <c r="H668" s="33">
        <f t="shared" ref="H668:BS668" si="1336">+IF(AND(H$660=$C670,H$660&lt;0),1,0)</f>
        <v>0</v>
      </c>
      <c r="I668" s="33">
        <f t="shared" si="1336"/>
        <v>0</v>
      </c>
      <c r="J668" s="33">
        <f t="shared" si="1336"/>
        <v>0</v>
      </c>
      <c r="K668" s="33">
        <f t="shared" si="1336"/>
        <v>0</v>
      </c>
      <c r="L668" s="33">
        <f t="shared" si="1336"/>
        <v>0</v>
      </c>
      <c r="M668" s="33">
        <f t="shared" si="1336"/>
        <v>0</v>
      </c>
      <c r="N668" s="33">
        <f t="shared" si="1336"/>
        <v>0</v>
      </c>
      <c r="O668" s="33">
        <f t="shared" si="1336"/>
        <v>0</v>
      </c>
      <c r="P668" s="33">
        <f t="shared" si="1336"/>
        <v>0</v>
      </c>
      <c r="Q668" s="33">
        <f t="shared" si="1336"/>
        <v>0</v>
      </c>
      <c r="R668" s="33">
        <f t="shared" si="1336"/>
        <v>0</v>
      </c>
      <c r="S668" s="33">
        <f t="shared" si="1336"/>
        <v>0</v>
      </c>
      <c r="T668" s="33">
        <f t="shared" si="1336"/>
        <v>0</v>
      </c>
      <c r="U668" s="33">
        <f t="shared" si="1336"/>
        <v>0</v>
      </c>
      <c r="V668" s="33">
        <f t="shared" si="1336"/>
        <v>0</v>
      </c>
      <c r="W668" s="33">
        <f t="shared" si="1336"/>
        <v>0</v>
      </c>
      <c r="X668" s="33">
        <f t="shared" si="1336"/>
        <v>0</v>
      </c>
      <c r="Y668" s="33">
        <f t="shared" si="1336"/>
        <v>0</v>
      </c>
      <c r="Z668" s="33">
        <f t="shared" si="1336"/>
        <v>0</v>
      </c>
      <c r="AA668" s="33">
        <f t="shared" si="1336"/>
        <v>0</v>
      </c>
      <c r="AB668" s="33">
        <f t="shared" si="1336"/>
        <v>0</v>
      </c>
      <c r="AC668" s="33">
        <f t="shared" si="1336"/>
        <v>0</v>
      </c>
      <c r="AD668" s="33">
        <f t="shared" si="1336"/>
        <v>0</v>
      </c>
      <c r="AE668" s="33">
        <f t="shared" si="1336"/>
        <v>0</v>
      </c>
      <c r="AF668" s="33">
        <f t="shared" si="1336"/>
        <v>0</v>
      </c>
      <c r="AG668" s="33">
        <f t="shared" si="1336"/>
        <v>0</v>
      </c>
      <c r="AH668" s="33">
        <f t="shared" si="1336"/>
        <v>0</v>
      </c>
      <c r="AI668" s="33">
        <f t="shared" si="1336"/>
        <v>0</v>
      </c>
      <c r="AJ668" s="33">
        <f t="shared" si="1336"/>
        <v>0</v>
      </c>
      <c r="AK668" s="33">
        <f t="shared" si="1336"/>
        <v>0</v>
      </c>
      <c r="AL668" s="33">
        <f t="shared" si="1336"/>
        <v>0</v>
      </c>
      <c r="AM668" s="33">
        <f t="shared" si="1336"/>
        <v>0</v>
      </c>
      <c r="AN668" s="33">
        <f t="shared" si="1336"/>
        <v>0</v>
      </c>
      <c r="AO668" s="33">
        <f t="shared" si="1336"/>
        <v>0</v>
      </c>
      <c r="AP668" s="33">
        <f t="shared" si="1336"/>
        <v>0</v>
      </c>
      <c r="AQ668" s="33">
        <f t="shared" si="1336"/>
        <v>0</v>
      </c>
      <c r="AR668" s="33">
        <f t="shared" si="1336"/>
        <v>0</v>
      </c>
      <c r="AS668" s="33">
        <f t="shared" si="1336"/>
        <v>0</v>
      </c>
      <c r="AT668" s="33">
        <f t="shared" si="1336"/>
        <v>0</v>
      </c>
      <c r="AU668" s="33">
        <f t="shared" si="1336"/>
        <v>0</v>
      </c>
      <c r="AV668" s="33">
        <f t="shared" si="1336"/>
        <v>0</v>
      </c>
      <c r="AW668" s="33">
        <f t="shared" si="1336"/>
        <v>0</v>
      </c>
      <c r="AX668" s="33">
        <f t="shared" si="1336"/>
        <v>0</v>
      </c>
      <c r="AY668" s="33">
        <f t="shared" si="1336"/>
        <v>0</v>
      </c>
      <c r="AZ668" s="33">
        <f t="shared" si="1336"/>
        <v>0</v>
      </c>
      <c r="BA668" s="33">
        <f t="shared" si="1336"/>
        <v>0</v>
      </c>
      <c r="BB668" s="33">
        <f t="shared" si="1336"/>
        <v>0</v>
      </c>
      <c r="BC668" s="33">
        <f t="shared" si="1336"/>
        <v>0</v>
      </c>
      <c r="BD668" s="33">
        <f t="shared" si="1336"/>
        <v>0</v>
      </c>
      <c r="BE668" s="33">
        <f t="shared" si="1336"/>
        <v>0</v>
      </c>
      <c r="BF668" s="33">
        <f t="shared" si="1336"/>
        <v>0</v>
      </c>
      <c r="BG668" s="33">
        <f t="shared" si="1336"/>
        <v>0</v>
      </c>
      <c r="BH668" s="33">
        <f t="shared" si="1336"/>
        <v>0</v>
      </c>
      <c r="BI668" s="33">
        <f t="shared" si="1336"/>
        <v>0</v>
      </c>
      <c r="BJ668" s="33">
        <f t="shared" si="1336"/>
        <v>0</v>
      </c>
      <c r="BK668" s="33">
        <f t="shared" si="1336"/>
        <v>0</v>
      </c>
      <c r="BL668" s="33">
        <f t="shared" si="1336"/>
        <v>0</v>
      </c>
      <c r="BM668" s="33">
        <f t="shared" si="1336"/>
        <v>0</v>
      </c>
      <c r="BN668" s="33">
        <f t="shared" si="1336"/>
        <v>0</v>
      </c>
      <c r="BO668" s="33">
        <f t="shared" si="1336"/>
        <v>0</v>
      </c>
      <c r="BP668" s="33">
        <f t="shared" si="1336"/>
        <v>0</v>
      </c>
      <c r="BQ668" s="33">
        <f t="shared" si="1336"/>
        <v>0</v>
      </c>
      <c r="BR668" s="33">
        <f t="shared" si="1336"/>
        <v>0</v>
      </c>
      <c r="BS668" s="33">
        <f t="shared" si="1336"/>
        <v>0</v>
      </c>
      <c r="BT668" s="33">
        <f t="shared" ref="BT668:BY668" si="1337">+IF(AND(BT$660=$C670,BT$660&lt;0),1,0)</f>
        <v>0</v>
      </c>
      <c r="BU668" s="33">
        <f t="shared" si="1337"/>
        <v>0</v>
      </c>
      <c r="BV668" s="33">
        <f t="shared" si="1337"/>
        <v>0</v>
      </c>
      <c r="BW668" s="33">
        <f t="shared" si="1337"/>
        <v>0</v>
      </c>
      <c r="BX668" s="33">
        <f t="shared" si="1337"/>
        <v>0</v>
      </c>
      <c r="BY668" s="33">
        <f t="shared" si="1337"/>
        <v>0</v>
      </c>
    </row>
    <row r="669" spans="3:77" outlineLevel="1">
      <c r="C669" s="32"/>
      <c r="D669" s="31"/>
      <c r="E669" t="s">
        <v>506</v>
      </c>
      <c r="F669" s="23" t="s">
        <v>500</v>
      </c>
      <c r="H669" s="33">
        <f t="shared" ref="H669:BS669" si="1338">+IF(AND(H$660=$C671,H$660&lt;0),1,0)</f>
        <v>0</v>
      </c>
      <c r="I669" s="33">
        <f t="shared" si="1338"/>
        <v>0</v>
      </c>
      <c r="J669" s="33">
        <f t="shared" si="1338"/>
        <v>0</v>
      </c>
      <c r="K669" s="33">
        <f t="shared" si="1338"/>
        <v>0</v>
      </c>
      <c r="L669" s="33">
        <f t="shared" si="1338"/>
        <v>0</v>
      </c>
      <c r="M669" s="33">
        <f t="shared" si="1338"/>
        <v>0</v>
      </c>
      <c r="N669" s="33">
        <f t="shared" si="1338"/>
        <v>0</v>
      </c>
      <c r="O669" s="33">
        <f t="shared" si="1338"/>
        <v>0</v>
      </c>
      <c r="P669" s="33">
        <f t="shared" si="1338"/>
        <v>0</v>
      </c>
      <c r="Q669" s="33">
        <f t="shared" si="1338"/>
        <v>0</v>
      </c>
      <c r="R669" s="33">
        <f t="shared" si="1338"/>
        <v>0</v>
      </c>
      <c r="S669" s="33">
        <f t="shared" si="1338"/>
        <v>0</v>
      </c>
      <c r="T669" s="33">
        <f t="shared" si="1338"/>
        <v>0</v>
      </c>
      <c r="U669" s="33">
        <f t="shared" si="1338"/>
        <v>0</v>
      </c>
      <c r="V669" s="33">
        <f t="shared" si="1338"/>
        <v>0</v>
      </c>
      <c r="W669" s="33">
        <f t="shared" si="1338"/>
        <v>0</v>
      </c>
      <c r="X669" s="33">
        <f t="shared" si="1338"/>
        <v>0</v>
      </c>
      <c r="Y669" s="33">
        <f t="shared" si="1338"/>
        <v>0</v>
      </c>
      <c r="Z669" s="33">
        <f t="shared" si="1338"/>
        <v>0</v>
      </c>
      <c r="AA669" s="33">
        <f t="shared" si="1338"/>
        <v>0</v>
      </c>
      <c r="AB669" s="33">
        <f t="shared" si="1338"/>
        <v>0</v>
      </c>
      <c r="AC669" s="33">
        <f t="shared" si="1338"/>
        <v>0</v>
      </c>
      <c r="AD669" s="33">
        <f t="shared" si="1338"/>
        <v>0</v>
      </c>
      <c r="AE669" s="33">
        <f t="shared" si="1338"/>
        <v>0</v>
      </c>
      <c r="AF669" s="33">
        <f t="shared" si="1338"/>
        <v>0</v>
      </c>
      <c r="AG669" s="33">
        <f t="shared" si="1338"/>
        <v>0</v>
      </c>
      <c r="AH669" s="33">
        <f t="shared" si="1338"/>
        <v>0</v>
      </c>
      <c r="AI669" s="33">
        <f t="shared" si="1338"/>
        <v>0</v>
      </c>
      <c r="AJ669" s="33">
        <f t="shared" si="1338"/>
        <v>0</v>
      </c>
      <c r="AK669" s="33">
        <f t="shared" si="1338"/>
        <v>0</v>
      </c>
      <c r="AL669" s="33">
        <f t="shared" si="1338"/>
        <v>0</v>
      </c>
      <c r="AM669" s="33">
        <f t="shared" si="1338"/>
        <v>0</v>
      </c>
      <c r="AN669" s="33">
        <f t="shared" si="1338"/>
        <v>0</v>
      </c>
      <c r="AO669" s="33">
        <f t="shared" si="1338"/>
        <v>0</v>
      </c>
      <c r="AP669" s="33">
        <f t="shared" si="1338"/>
        <v>0</v>
      </c>
      <c r="AQ669" s="33">
        <f t="shared" si="1338"/>
        <v>0</v>
      </c>
      <c r="AR669" s="33">
        <f t="shared" si="1338"/>
        <v>0</v>
      </c>
      <c r="AS669" s="33">
        <f t="shared" si="1338"/>
        <v>0</v>
      </c>
      <c r="AT669" s="33">
        <f t="shared" si="1338"/>
        <v>0</v>
      </c>
      <c r="AU669" s="33">
        <f t="shared" si="1338"/>
        <v>0</v>
      </c>
      <c r="AV669" s="33">
        <f t="shared" si="1338"/>
        <v>0</v>
      </c>
      <c r="AW669" s="33">
        <f t="shared" si="1338"/>
        <v>0</v>
      </c>
      <c r="AX669" s="33">
        <f t="shared" si="1338"/>
        <v>0</v>
      </c>
      <c r="AY669" s="33">
        <f t="shared" si="1338"/>
        <v>0</v>
      </c>
      <c r="AZ669" s="33">
        <f t="shared" si="1338"/>
        <v>0</v>
      </c>
      <c r="BA669" s="33">
        <f t="shared" si="1338"/>
        <v>0</v>
      </c>
      <c r="BB669" s="33">
        <f t="shared" si="1338"/>
        <v>0</v>
      </c>
      <c r="BC669" s="33">
        <f t="shared" si="1338"/>
        <v>0</v>
      </c>
      <c r="BD669" s="33">
        <f t="shared" si="1338"/>
        <v>0</v>
      </c>
      <c r="BE669" s="33">
        <f t="shared" si="1338"/>
        <v>0</v>
      </c>
      <c r="BF669" s="33">
        <f t="shared" si="1338"/>
        <v>0</v>
      </c>
      <c r="BG669" s="33">
        <f t="shared" si="1338"/>
        <v>0</v>
      </c>
      <c r="BH669" s="33">
        <f t="shared" si="1338"/>
        <v>0</v>
      </c>
      <c r="BI669" s="33">
        <f t="shared" si="1338"/>
        <v>0</v>
      </c>
      <c r="BJ669" s="33">
        <f t="shared" si="1338"/>
        <v>0</v>
      </c>
      <c r="BK669" s="33">
        <f t="shared" si="1338"/>
        <v>0</v>
      </c>
      <c r="BL669" s="33">
        <f t="shared" si="1338"/>
        <v>0</v>
      </c>
      <c r="BM669" s="33">
        <f t="shared" si="1338"/>
        <v>0</v>
      </c>
      <c r="BN669" s="33">
        <f t="shared" si="1338"/>
        <v>0</v>
      </c>
      <c r="BO669" s="33">
        <f t="shared" si="1338"/>
        <v>0</v>
      </c>
      <c r="BP669" s="33">
        <f t="shared" si="1338"/>
        <v>0</v>
      </c>
      <c r="BQ669" s="33">
        <f t="shared" si="1338"/>
        <v>0</v>
      </c>
      <c r="BR669" s="33">
        <f t="shared" si="1338"/>
        <v>0</v>
      </c>
      <c r="BS669" s="33">
        <f t="shared" si="1338"/>
        <v>0</v>
      </c>
      <c r="BT669" s="33">
        <f t="shared" ref="BT669:BY669" si="1339">+IF(AND(BT$660=$C671,BT$660&lt;0),1,0)</f>
        <v>0</v>
      </c>
      <c r="BU669" s="33">
        <f t="shared" si="1339"/>
        <v>0</v>
      </c>
      <c r="BV669" s="33">
        <f t="shared" si="1339"/>
        <v>0</v>
      </c>
      <c r="BW669" s="33">
        <f t="shared" si="1339"/>
        <v>0</v>
      </c>
      <c r="BX669" s="33">
        <f t="shared" si="1339"/>
        <v>0</v>
      </c>
      <c r="BY669" s="33">
        <f t="shared" si="1339"/>
        <v>0</v>
      </c>
    </row>
    <row r="670" spans="3:77" outlineLevel="1">
      <c r="C670" s="32"/>
      <c r="D670" s="31"/>
      <c r="E670" t="s">
        <v>507</v>
      </c>
      <c r="F670" s="23" t="s">
        <v>500</v>
      </c>
      <c r="H670" s="33">
        <f t="shared" ref="H670:BS670" si="1340">+IF(AND(H$660=$C672,H$660&lt;0),1,0)</f>
        <v>0</v>
      </c>
      <c r="I670" s="33">
        <f t="shared" si="1340"/>
        <v>0</v>
      </c>
      <c r="J670" s="33">
        <f t="shared" si="1340"/>
        <v>0</v>
      </c>
      <c r="K670" s="33">
        <f t="shared" si="1340"/>
        <v>0</v>
      </c>
      <c r="L670" s="33">
        <f t="shared" si="1340"/>
        <v>0</v>
      </c>
      <c r="M670" s="33">
        <f t="shared" si="1340"/>
        <v>0</v>
      </c>
      <c r="N670" s="33">
        <f t="shared" si="1340"/>
        <v>0</v>
      </c>
      <c r="O670" s="33">
        <f t="shared" si="1340"/>
        <v>0</v>
      </c>
      <c r="P670" s="33">
        <f t="shared" si="1340"/>
        <v>0</v>
      </c>
      <c r="Q670" s="33">
        <f t="shared" si="1340"/>
        <v>0</v>
      </c>
      <c r="R670" s="33">
        <f t="shared" si="1340"/>
        <v>0</v>
      </c>
      <c r="S670" s="33">
        <f t="shared" si="1340"/>
        <v>0</v>
      </c>
      <c r="T670" s="33">
        <f t="shared" si="1340"/>
        <v>0</v>
      </c>
      <c r="U670" s="33">
        <f t="shared" si="1340"/>
        <v>0</v>
      </c>
      <c r="V670" s="33">
        <f t="shared" si="1340"/>
        <v>0</v>
      </c>
      <c r="W670" s="33">
        <f t="shared" si="1340"/>
        <v>0</v>
      </c>
      <c r="X670" s="33">
        <f t="shared" si="1340"/>
        <v>0</v>
      </c>
      <c r="Y670" s="33">
        <f t="shared" si="1340"/>
        <v>0</v>
      </c>
      <c r="Z670" s="33">
        <f t="shared" si="1340"/>
        <v>0</v>
      </c>
      <c r="AA670" s="33">
        <f t="shared" si="1340"/>
        <v>0</v>
      </c>
      <c r="AB670" s="33">
        <f t="shared" si="1340"/>
        <v>0</v>
      </c>
      <c r="AC670" s="33">
        <f t="shared" si="1340"/>
        <v>0</v>
      </c>
      <c r="AD670" s="33">
        <f t="shared" si="1340"/>
        <v>0</v>
      </c>
      <c r="AE670" s="33">
        <f t="shared" si="1340"/>
        <v>0</v>
      </c>
      <c r="AF670" s="33">
        <f t="shared" si="1340"/>
        <v>0</v>
      </c>
      <c r="AG670" s="33">
        <f t="shared" si="1340"/>
        <v>0</v>
      </c>
      <c r="AH670" s="33">
        <f t="shared" si="1340"/>
        <v>0</v>
      </c>
      <c r="AI670" s="33">
        <f t="shared" si="1340"/>
        <v>0</v>
      </c>
      <c r="AJ670" s="33">
        <f t="shared" si="1340"/>
        <v>0</v>
      </c>
      <c r="AK670" s="33">
        <f t="shared" si="1340"/>
        <v>0</v>
      </c>
      <c r="AL670" s="33">
        <f t="shared" si="1340"/>
        <v>0</v>
      </c>
      <c r="AM670" s="33">
        <f t="shared" si="1340"/>
        <v>0</v>
      </c>
      <c r="AN670" s="33">
        <f t="shared" si="1340"/>
        <v>0</v>
      </c>
      <c r="AO670" s="33">
        <f t="shared" si="1340"/>
        <v>0</v>
      </c>
      <c r="AP670" s="33">
        <f t="shared" si="1340"/>
        <v>0</v>
      </c>
      <c r="AQ670" s="33">
        <f t="shared" si="1340"/>
        <v>0</v>
      </c>
      <c r="AR670" s="33">
        <f t="shared" si="1340"/>
        <v>0</v>
      </c>
      <c r="AS670" s="33">
        <f t="shared" si="1340"/>
        <v>0</v>
      </c>
      <c r="AT670" s="33">
        <f t="shared" si="1340"/>
        <v>0</v>
      </c>
      <c r="AU670" s="33">
        <f t="shared" si="1340"/>
        <v>0</v>
      </c>
      <c r="AV670" s="33">
        <f t="shared" si="1340"/>
        <v>0</v>
      </c>
      <c r="AW670" s="33">
        <f t="shared" si="1340"/>
        <v>0</v>
      </c>
      <c r="AX670" s="33">
        <f t="shared" si="1340"/>
        <v>0</v>
      </c>
      <c r="AY670" s="33">
        <f t="shared" si="1340"/>
        <v>0</v>
      </c>
      <c r="AZ670" s="33">
        <f t="shared" si="1340"/>
        <v>0</v>
      </c>
      <c r="BA670" s="33">
        <f t="shared" si="1340"/>
        <v>0</v>
      </c>
      <c r="BB670" s="33">
        <f t="shared" si="1340"/>
        <v>0</v>
      </c>
      <c r="BC670" s="33">
        <f t="shared" si="1340"/>
        <v>0</v>
      </c>
      <c r="BD670" s="33">
        <f t="shared" si="1340"/>
        <v>0</v>
      </c>
      <c r="BE670" s="33">
        <f t="shared" si="1340"/>
        <v>0</v>
      </c>
      <c r="BF670" s="33">
        <f t="shared" si="1340"/>
        <v>0</v>
      </c>
      <c r="BG670" s="33">
        <f t="shared" si="1340"/>
        <v>0</v>
      </c>
      <c r="BH670" s="33">
        <f t="shared" si="1340"/>
        <v>0</v>
      </c>
      <c r="BI670" s="33">
        <f t="shared" si="1340"/>
        <v>0</v>
      </c>
      <c r="BJ670" s="33">
        <f t="shared" si="1340"/>
        <v>0</v>
      </c>
      <c r="BK670" s="33">
        <f t="shared" si="1340"/>
        <v>0</v>
      </c>
      <c r="BL670" s="33">
        <f t="shared" si="1340"/>
        <v>0</v>
      </c>
      <c r="BM670" s="33">
        <f t="shared" si="1340"/>
        <v>0</v>
      </c>
      <c r="BN670" s="33">
        <f t="shared" si="1340"/>
        <v>0</v>
      </c>
      <c r="BO670" s="33">
        <f t="shared" si="1340"/>
        <v>0</v>
      </c>
      <c r="BP670" s="33">
        <f t="shared" si="1340"/>
        <v>0</v>
      </c>
      <c r="BQ670" s="33">
        <f t="shared" si="1340"/>
        <v>0</v>
      </c>
      <c r="BR670" s="33">
        <f t="shared" si="1340"/>
        <v>0</v>
      </c>
      <c r="BS670" s="33">
        <f t="shared" si="1340"/>
        <v>0</v>
      </c>
      <c r="BT670" s="33">
        <f t="shared" ref="BT670:BY670" si="1341">+IF(AND(BT$660=$C672,BT$660&lt;0),1,0)</f>
        <v>0</v>
      </c>
      <c r="BU670" s="33">
        <f t="shared" si="1341"/>
        <v>0</v>
      </c>
      <c r="BV670" s="33">
        <f t="shared" si="1341"/>
        <v>0</v>
      </c>
      <c r="BW670" s="33">
        <f t="shared" si="1341"/>
        <v>0</v>
      </c>
      <c r="BX670" s="33">
        <f t="shared" si="1341"/>
        <v>0</v>
      </c>
      <c r="BY670" s="33">
        <f t="shared" si="1341"/>
        <v>0</v>
      </c>
    </row>
    <row r="671" spans="3:77" outlineLevel="1">
      <c r="C671" s="32"/>
      <c r="D671" s="31"/>
      <c r="E671" t="s">
        <v>508</v>
      </c>
      <c r="F671" s="23" t="s">
        <v>500</v>
      </c>
      <c r="H671" s="33">
        <f t="shared" ref="H671:BS671" si="1342">+IF(AND(H$660=$C673,H$660&lt;0),1,0)</f>
        <v>0</v>
      </c>
      <c r="I671" s="33">
        <f t="shared" si="1342"/>
        <v>0</v>
      </c>
      <c r="J671" s="33">
        <f t="shared" si="1342"/>
        <v>0</v>
      </c>
      <c r="K671" s="33">
        <f t="shared" si="1342"/>
        <v>0</v>
      </c>
      <c r="L671" s="33">
        <f t="shared" si="1342"/>
        <v>0</v>
      </c>
      <c r="M671" s="33">
        <f t="shared" si="1342"/>
        <v>0</v>
      </c>
      <c r="N671" s="33">
        <f t="shared" si="1342"/>
        <v>0</v>
      </c>
      <c r="O671" s="33">
        <f t="shared" si="1342"/>
        <v>0</v>
      </c>
      <c r="P671" s="33">
        <f t="shared" si="1342"/>
        <v>0</v>
      </c>
      <c r="Q671" s="33">
        <f t="shared" si="1342"/>
        <v>0</v>
      </c>
      <c r="R671" s="33">
        <f t="shared" si="1342"/>
        <v>0</v>
      </c>
      <c r="S671" s="33">
        <f t="shared" si="1342"/>
        <v>0</v>
      </c>
      <c r="T671" s="33">
        <f t="shared" si="1342"/>
        <v>0</v>
      </c>
      <c r="U671" s="33">
        <f t="shared" si="1342"/>
        <v>0</v>
      </c>
      <c r="V671" s="33">
        <f t="shared" si="1342"/>
        <v>0</v>
      </c>
      <c r="W671" s="33">
        <f t="shared" si="1342"/>
        <v>0</v>
      </c>
      <c r="X671" s="33">
        <f t="shared" si="1342"/>
        <v>0</v>
      </c>
      <c r="Y671" s="33">
        <f t="shared" si="1342"/>
        <v>0</v>
      </c>
      <c r="Z671" s="33">
        <f t="shared" si="1342"/>
        <v>0</v>
      </c>
      <c r="AA671" s="33">
        <f t="shared" si="1342"/>
        <v>0</v>
      </c>
      <c r="AB671" s="33">
        <f t="shared" si="1342"/>
        <v>0</v>
      </c>
      <c r="AC671" s="33">
        <f t="shared" si="1342"/>
        <v>0</v>
      </c>
      <c r="AD671" s="33">
        <f t="shared" si="1342"/>
        <v>0</v>
      </c>
      <c r="AE671" s="33">
        <f t="shared" si="1342"/>
        <v>0</v>
      </c>
      <c r="AF671" s="33">
        <f t="shared" si="1342"/>
        <v>0</v>
      </c>
      <c r="AG671" s="33">
        <f t="shared" si="1342"/>
        <v>0</v>
      </c>
      <c r="AH671" s="33">
        <f t="shared" si="1342"/>
        <v>0</v>
      </c>
      <c r="AI671" s="33">
        <f t="shared" si="1342"/>
        <v>0</v>
      </c>
      <c r="AJ671" s="33">
        <f t="shared" si="1342"/>
        <v>0</v>
      </c>
      <c r="AK671" s="33">
        <f t="shared" si="1342"/>
        <v>0</v>
      </c>
      <c r="AL671" s="33">
        <f t="shared" si="1342"/>
        <v>0</v>
      </c>
      <c r="AM671" s="33">
        <f t="shared" si="1342"/>
        <v>0</v>
      </c>
      <c r="AN671" s="33">
        <f t="shared" si="1342"/>
        <v>0</v>
      </c>
      <c r="AO671" s="33">
        <f t="shared" si="1342"/>
        <v>0</v>
      </c>
      <c r="AP671" s="33">
        <f t="shared" si="1342"/>
        <v>0</v>
      </c>
      <c r="AQ671" s="33">
        <f t="shared" si="1342"/>
        <v>0</v>
      </c>
      <c r="AR671" s="33">
        <f t="shared" si="1342"/>
        <v>0</v>
      </c>
      <c r="AS671" s="33">
        <f t="shared" si="1342"/>
        <v>0</v>
      </c>
      <c r="AT671" s="33">
        <f t="shared" si="1342"/>
        <v>0</v>
      </c>
      <c r="AU671" s="33">
        <f t="shared" si="1342"/>
        <v>0</v>
      </c>
      <c r="AV671" s="33">
        <f t="shared" si="1342"/>
        <v>0</v>
      </c>
      <c r="AW671" s="33">
        <f t="shared" si="1342"/>
        <v>0</v>
      </c>
      <c r="AX671" s="33">
        <f t="shared" si="1342"/>
        <v>0</v>
      </c>
      <c r="AY671" s="33">
        <f t="shared" si="1342"/>
        <v>0</v>
      </c>
      <c r="AZ671" s="33">
        <f t="shared" si="1342"/>
        <v>0</v>
      </c>
      <c r="BA671" s="33">
        <f t="shared" si="1342"/>
        <v>0</v>
      </c>
      <c r="BB671" s="33">
        <f t="shared" si="1342"/>
        <v>0</v>
      </c>
      <c r="BC671" s="33">
        <f t="shared" si="1342"/>
        <v>0</v>
      </c>
      <c r="BD671" s="33">
        <f t="shared" si="1342"/>
        <v>0</v>
      </c>
      <c r="BE671" s="33">
        <f t="shared" si="1342"/>
        <v>0</v>
      </c>
      <c r="BF671" s="33">
        <f t="shared" si="1342"/>
        <v>0</v>
      </c>
      <c r="BG671" s="33">
        <f t="shared" si="1342"/>
        <v>0</v>
      </c>
      <c r="BH671" s="33">
        <f t="shared" si="1342"/>
        <v>0</v>
      </c>
      <c r="BI671" s="33">
        <f t="shared" si="1342"/>
        <v>0</v>
      </c>
      <c r="BJ671" s="33">
        <f t="shared" si="1342"/>
        <v>0</v>
      </c>
      <c r="BK671" s="33">
        <f t="shared" si="1342"/>
        <v>0</v>
      </c>
      <c r="BL671" s="33">
        <f t="shared" si="1342"/>
        <v>0</v>
      </c>
      <c r="BM671" s="33">
        <f t="shared" si="1342"/>
        <v>0</v>
      </c>
      <c r="BN671" s="33">
        <f t="shared" si="1342"/>
        <v>0</v>
      </c>
      <c r="BO671" s="33">
        <f t="shared" si="1342"/>
        <v>0</v>
      </c>
      <c r="BP671" s="33">
        <f t="shared" si="1342"/>
        <v>0</v>
      </c>
      <c r="BQ671" s="33">
        <f t="shared" si="1342"/>
        <v>0</v>
      </c>
      <c r="BR671" s="33">
        <f t="shared" si="1342"/>
        <v>0</v>
      </c>
      <c r="BS671" s="33">
        <f t="shared" si="1342"/>
        <v>0</v>
      </c>
      <c r="BT671" s="33">
        <f t="shared" ref="BT671:BY671" si="1343">+IF(AND(BT$660=$C673,BT$660&lt;0),1,0)</f>
        <v>0</v>
      </c>
      <c r="BU671" s="33">
        <f t="shared" si="1343"/>
        <v>0</v>
      </c>
      <c r="BV671" s="33">
        <f t="shared" si="1343"/>
        <v>0</v>
      </c>
      <c r="BW671" s="33">
        <f t="shared" si="1343"/>
        <v>0</v>
      </c>
      <c r="BX671" s="33">
        <f t="shared" si="1343"/>
        <v>0</v>
      </c>
      <c r="BY671" s="33">
        <f t="shared" si="1343"/>
        <v>0</v>
      </c>
    </row>
    <row r="672" spans="3:77" outlineLevel="1">
      <c r="C672" s="32"/>
      <c r="D672" s="31"/>
      <c r="E672" t="s">
        <v>509</v>
      </c>
      <c r="F672" s="23" t="s">
        <v>500</v>
      </c>
      <c r="H672" s="33">
        <f t="shared" ref="H672:BS672" si="1344">+IF(AND(H$660=$C674,H$660&lt;0),1,0)</f>
        <v>0</v>
      </c>
      <c r="I672" s="33">
        <f t="shared" si="1344"/>
        <v>0</v>
      </c>
      <c r="J672" s="33">
        <f t="shared" si="1344"/>
        <v>0</v>
      </c>
      <c r="K672" s="33">
        <f t="shared" si="1344"/>
        <v>0</v>
      </c>
      <c r="L672" s="33">
        <f t="shared" si="1344"/>
        <v>0</v>
      </c>
      <c r="M672" s="33">
        <f t="shared" si="1344"/>
        <v>0</v>
      </c>
      <c r="N672" s="33">
        <f t="shared" si="1344"/>
        <v>0</v>
      </c>
      <c r="O672" s="33">
        <f t="shared" si="1344"/>
        <v>0</v>
      </c>
      <c r="P672" s="33">
        <f t="shared" si="1344"/>
        <v>0</v>
      </c>
      <c r="Q672" s="33">
        <f t="shared" si="1344"/>
        <v>0</v>
      </c>
      <c r="R672" s="33">
        <f t="shared" si="1344"/>
        <v>0</v>
      </c>
      <c r="S672" s="33">
        <f t="shared" si="1344"/>
        <v>0</v>
      </c>
      <c r="T672" s="33">
        <f t="shared" si="1344"/>
        <v>0</v>
      </c>
      <c r="U672" s="33">
        <f t="shared" si="1344"/>
        <v>0</v>
      </c>
      <c r="V672" s="33">
        <f t="shared" si="1344"/>
        <v>0</v>
      </c>
      <c r="W672" s="33">
        <f t="shared" si="1344"/>
        <v>0</v>
      </c>
      <c r="X672" s="33">
        <f t="shared" si="1344"/>
        <v>0</v>
      </c>
      <c r="Y672" s="33">
        <f t="shared" si="1344"/>
        <v>0</v>
      </c>
      <c r="Z672" s="33">
        <f t="shared" si="1344"/>
        <v>0</v>
      </c>
      <c r="AA672" s="33">
        <f t="shared" si="1344"/>
        <v>0</v>
      </c>
      <c r="AB672" s="33">
        <f t="shared" si="1344"/>
        <v>0</v>
      </c>
      <c r="AC672" s="33">
        <f t="shared" si="1344"/>
        <v>0</v>
      </c>
      <c r="AD672" s="33">
        <f t="shared" si="1344"/>
        <v>0</v>
      </c>
      <c r="AE672" s="33">
        <f t="shared" si="1344"/>
        <v>0</v>
      </c>
      <c r="AF672" s="33">
        <f t="shared" si="1344"/>
        <v>0</v>
      </c>
      <c r="AG672" s="33">
        <f t="shared" si="1344"/>
        <v>0</v>
      </c>
      <c r="AH672" s="33">
        <f t="shared" si="1344"/>
        <v>0</v>
      </c>
      <c r="AI672" s="33">
        <f t="shared" si="1344"/>
        <v>0</v>
      </c>
      <c r="AJ672" s="33">
        <f t="shared" si="1344"/>
        <v>0</v>
      </c>
      <c r="AK672" s="33">
        <f t="shared" si="1344"/>
        <v>0</v>
      </c>
      <c r="AL672" s="33">
        <f t="shared" si="1344"/>
        <v>0</v>
      </c>
      <c r="AM672" s="33">
        <f t="shared" si="1344"/>
        <v>0</v>
      </c>
      <c r="AN672" s="33">
        <f t="shared" si="1344"/>
        <v>0</v>
      </c>
      <c r="AO672" s="33">
        <f t="shared" si="1344"/>
        <v>0</v>
      </c>
      <c r="AP672" s="33">
        <f t="shared" si="1344"/>
        <v>0</v>
      </c>
      <c r="AQ672" s="33">
        <f t="shared" si="1344"/>
        <v>0</v>
      </c>
      <c r="AR672" s="33">
        <f t="shared" si="1344"/>
        <v>0</v>
      </c>
      <c r="AS672" s="33">
        <f t="shared" si="1344"/>
        <v>0</v>
      </c>
      <c r="AT672" s="33">
        <f t="shared" si="1344"/>
        <v>0</v>
      </c>
      <c r="AU672" s="33">
        <f t="shared" si="1344"/>
        <v>0</v>
      </c>
      <c r="AV672" s="33">
        <f t="shared" si="1344"/>
        <v>0</v>
      </c>
      <c r="AW672" s="33">
        <f t="shared" si="1344"/>
        <v>0</v>
      </c>
      <c r="AX672" s="33">
        <f t="shared" si="1344"/>
        <v>0</v>
      </c>
      <c r="AY672" s="33">
        <f t="shared" si="1344"/>
        <v>0</v>
      </c>
      <c r="AZ672" s="33">
        <f t="shared" si="1344"/>
        <v>0</v>
      </c>
      <c r="BA672" s="33">
        <f t="shared" si="1344"/>
        <v>0</v>
      </c>
      <c r="BB672" s="33">
        <f t="shared" si="1344"/>
        <v>0</v>
      </c>
      <c r="BC672" s="33">
        <f t="shared" si="1344"/>
        <v>0</v>
      </c>
      <c r="BD672" s="33">
        <f t="shared" si="1344"/>
        <v>0</v>
      </c>
      <c r="BE672" s="33">
        <f t="shared" si="1344"/>
        <v>0</v>
      </c>
      <c r="BF672" s="33">
        <f t="shared" si="1344"/>
        <v>0</v>
      </c>
      <c r="BG672" s="33">
        <f t="shared" si="1344"/>
        <v>0</v>
      </c>
      <c r="BH672" s="33">
        <f t="shared" si="1344"/>
        <v>0</v>
      </c>
      <c r="BI672" s="33">
        <f t="shared" si="1344"/>
        <v>0</v>
      </c>
      <c r="BJ672" s="33">
        <f t="shared" si="1344"/>
        <v>0</v>
      </c>
      <c r="BK672" s="33">
        <f t="shared" si="1344"/>
        <v>0</v>
      </c>
      <c r="BL672" s="33">
        <f t="shared" si="1344"/>
        <v>0</v>
      </c>
      <c r="BM672" s="33">
        <f t="shared" si="1344"/>
        <v>0</v>
      </c>
      <c r="BN672" s="33">
        <f t="shared" si="1344"/>
        <v>0</v>
      </c>
      <c r="BO672" s="33">
        <f t="shared" si="1344"/>
        <v>0</v>
      </c>
      <c r="BP672" s="33">
        <f t="shared" si="1344"/>
        <v>0</v>
      </c>
      <c r="BQ672" s="33">
        <f t="shared" si="1344"/>
        <v>0</v>
      </c>
      <c r="BR672" s="33">
        <f t="shared" si="1344"/>
        <v>0</v>
      </c>
      <c r="BS672" s="33">
        <f t="shared" si="1344"/>
        <v>0</v>
      </c>
      <c r="BT672" s="33">
        <f t="shared" ref="BT672:BY672" si="1345">+IF(AND(BT$660=$C674,BT$660&lt;0),1,0)</f>
        <v>0</v>
      </c>
      <c r="BU672" s="33">
        <f t="shared" si="1345"/>
        <v>0</v>
      </c>
      <c r="BV672" s="33">
        <f t="shared" si="1345"/>
        <v>0</v>
      </c>
      <c r="BW672" s="33">
        <f t="shared" si="1345"/>
        <v>0</v>
      </c>
      <c r="BX672" s="33">
        <f t="shared" si="1345"/>
        <v>0</v>
      </c>
      <c r="BY672" s="33">
        <f t="shared" si="1345"/>
        <v>0</v>
      </c>
    </row>
    <row r="673" spans="5:77" outlineLevel="1">
      <c r="E673" s="25" t="s">
        <v>510</v>
      </c>
      <c r="F673" s="30" t="s">
        <v>500</v>
      </c>
      <c r="G673" s="25"/>
      <c r="H673" s="34">
        <f t="shared" ref="H673:BS673" si="1346">+IF(AND(H$660=$C675,H$660&lt;0),1,0)</f>
        <v>0</v>
      </c>
      <c r="I673" s="34">
        <f t="shared" si="1346"/>
        <v>0</v>
      </c>
      <c r="J673" s="34">
        <f t="shared" si="1346"/>
        <v>0</v>
      </c>
      <c r="K673" s="34">
        <f t="shared" si="1346"/>
        <v>0</v>
      </c>
      <c r="L673" s="34">
        <f t="shared" si="1346"/>
        <v>0</v>
      </c>
      <c r="M673" s="34">
        <f t="shared" si="1346"/>
        <v>0</v>
      </c>
      <c r="N673" s="34">
        <f t="shared" si="1346"/>
        <v>0</v>
      </c>
      <c r="O673" s="34">
        <f t="shared" si="1346"/>
        <v>0</v>
      </c>
      <c r="P673" s="34">
        <f t="shared" si="1346"/>
        <v>0</v>
      </c>
      <c r="Q673" s="34">
        <f t="shared" si="1346"/>
        <v>0</v>
      </c>
      <c r="R673" s="34">
        <f t="shared" si="1346"/>
        <v>0</v>
      </c>
      <c r="S673" s="34">
        <f t="shared" si="1346"/>
        <v>0</v>
      </c>
      <c r="T673" s="34">
        <f t="shared" si="1346"/>
        <v>0</v>
      </c>
      <c r="U673" s="34">
        <f t="shared" si="1346"/>
        <v>0</v>
      </c>
      <c r="V673" s="34">
        <f t="shared" si="1346"/>
        <v>0</v>
      </c>
      <c r="W673" s="34">
        <f t="shared" si="1346"/>
        <v>0</v>
      </c>
      <c r="X673" s="34">
        <f t="shared" si="1346"/>
        <v>0</v>
      </c>
      <c r="Y673" s="34">
        <f t="shared" si="1346"/>
        <v>0</v>
      </c>
      <c r="Z673" s="34">
        <f t="shared" si="1346"/>
        <v>0</v>
      </c>
      <c r="AA673" s="34">
        <f t="shared" si="1346"/>
        <v>0</v>
      </c>
      <c r="AB673" s="34">
        <f t="shared" si="1346"/>
        <v>0</v>
      </c>
      <c r="AC673" s="34">
        <f t="shared" si="1346"/>
        <v>0</v>
      </c>
      <c r="AD673" s="34">
        <f t="shared" si="1346"/>
        <v>0</v>
      </c>
      <c r="AE673" s="34">
        <f t="shared" si="1346"/>
        <v>0</v>
      </c>
      <c r="AF673" s="34">
        <f t="shared" si="1346"/>
        <v>0</v>
      </c>
      <c r="AG673" s="34">
        <f t="shared" si="1346"/>
        <v>0</v>
      </c>
      <c r="AH673" s="34">
        <f t="shared" si="1346"/>
        <v>0</v>
      </c>
      <c r="AI673" s="34">
        <f t="shared" si="1346"/>
        <v>0</v>
      </c>
      <c r="AJ673" s="34">
        <f t="shared" si="1346"/>
        <v>0</v>
      </c>
      <c r="AK673" s="34">
        <f t="shared" si="1346"/>
        <v>0</v>
      </c>
      <c r="AL673" s="34">
        <f t="shared" si="1346"/>
        <v>0</v>
      </c>
      <c r="AM673" s="34">
        <f t="shared" si="1346"/>
        <v>0</v>
      </c>
      <c r="AN673" s="34">
        <f t="shared" si="1346"/>
        <v>0</v>
      </c>
      <c r="AO673" s="34">
        <f t="shared" si="1346"/>
        <v>0</v>
      </c>
      <c r="AP673" s="34">
        <f t="shared" si="1346"/>
        <v>0</v>
      </c>
      <c r="AQ673" s="34">
        <f t="shared" si="1346"/>
        <v>0</v>
      </c>
      <c r="AR673" s="34">
        <f t="shared" si="1346"/>
        <v>0</v>
      </c>
      <c r="AS673" s="34">
        <f t="shared" si="1346"/>
        <v>0</v>
      </c>
      <c r="AT673" s="34">
        <f t="shared" si="1346"/>
        <v>0</v>
      </c>
      <c r="AU673" s="34">
        <f t="shared" si="1346"/>
        <v>0</v>
      </c>
      <c r="AV673" s="34">
        <f t="shared" si="1346"/>
        <v>0</v>
      </c>
      <c r="AW673" s="34">
        <f t="shared" si="1346"/>
        <v>0</v>
      </c>
      <c r="AX673" s="34">
        <f t="shared" si="1346"/>
        <v>0</v>
      </c>
      <c r="AY673" s="34">
        <f t="shared" si="1346"/>
        <v>0</v>
      </c>
      <c r="AZ673" s="34">
        <f t="shared" si="1346"/>
        <v>0</v>
      </c>
      <c r="BA673" s="34">
        <f t="shared" si="1346"/>
        <v>0</v>
      </c>
      <c r="BB673" s="34">
        <f t="shared" si="1346"/>
        <v>0</v>
      </c>
      <c r="BC673" s="34">
        <f t="shared" si="1346"/>
        <v>0</v>
      </c>
      <c r="BD673" s="34">
        <f t="shared" si="1346"/>
        <v>0</v>
      </c>
      <c r="BE673" s="34">
        <f t="shared" si="1346"/>
        <v>0</v>
      </c>
      <c r="BF673" s="34">
        <f t="shared" si="1346"/>
        <v>0</v>
      </c>
      <c r="BG673" s="34">
        <f t="shared" si="1346"/>
        <v>0</v>
      </c>
      <c r="BH673" s="34">
        <f t="shared" si="1346"/>
        <v>0</v>
      </c>
      <c r="BI673" s="34">
        <f t="shared" si="1346"/>
        <v>0</v>
      </c>
      <c r="BJ673" s="34">
        <f t="shared" si="1346"/>
        <v>0</v>
      </c>
      <c r="BK673" s="34">
        <f t="shared" si="1346"/>
        <v>0</v>
      </c>
      <c r="BL673" s="34">
        <f t="shared" si="1346"/>
        <v>0</v>
      </c>
      <c r="BM673" s="34">
        <f t="shared" si="1346"/>
        <v>0</v>
      </c>
      <c r="BN673" s="34">
        <f t="shared" si="1346"/>
        <v>0</v>
      </c>
      <c r="BO673" s="34">
        <f t="shared" si="1346"/>
        <v>0</v>
      </c>
      <c r="BP673" s="34">
        <f t="shared" si="1346"/>
        <v>0</v>
      </c>
      <c r="BQ673" s="34">
        <f t="shared" si="1346"/>
        <v>0</v>
      </c>
      <c r="BR673" s="34">
        <f t="shared" si="1346"/>
        <v>0</v>
      </c>
      <c r="BS673" s="34">
        <f t="shared" si="1346"/>
        <v>0</v>
      </c>
      <c r="BT673" s="34">
        <f t="shared" ref="BT673:BY673" si="1347">+IF(AND(BT$660=$C675,BT$660&lt;0),1,0)</f>
        <v>0</v>
      </c>
      <c r="BU673" s="34">
        <f t="shared" si="1347"/>
        <v>0</v>
      </c>
      <c r="BV673" s="34">
        <f t="shared" si="1347"/>
        <v>0</v>
      </c>
      <c r="BW673" s="34">
        <f t="shared" si="1347"/>
        <v>0</v>
      </c>
      <c r="BX673" s="34">
        <f t="shared" si="1347"/>
        <v>0</v>
      </c>
      <c r="BY673" s="34">
        <f t="shared" si="1347"/>
        <v>0</v>
      </c>
    </row>
    <row r="674" spans="5:77" outlineLevel="1">
      <c r="E674" t="s">
        <v>511</v>
      </c>
      <c r="F674" s="80" t="str">
        <f>+Assumptions!$G$8</f>
        <v>USD</v>
      </c>
      <c r="H674" s="32">
        <f t="shared" ref="H674" si="1348">+G688</f>
        <v>0</v>
      </c>
      <c r="I674" s="32">
        <f t="shared" ref="I674" si="1349">+H688</f>
        <v>0</v>
      </c>
      <c r="J674" s="32">
        <f>+I688</f>
        <v>0</v>
      </c>
      <c r="K674" s="32">
        <f t="shared" ref="K674" si="1350">+J688</f>
        <v>0</v>
      </c>
      <c r="L674" s="32">
        <f t="shared" ref="L674" si="1351">+K688</f>
        <v>0</v>
      </c>
      <c r="M674" s="32">
        <f t="shared" ref="M674" si="1352">+L688</f>
        <v>0</v>
      </c>
      <c r="N674" s="32">
        <f t="shared" ref="N674" si="1353">+M688</f>
        <v>0</v>
      </c>
      <c r="O674" s="32">
        <f t="shared" ref="O674" si="1354">+N688</f>
        <v>0</v>
      </c>
      <c r="P674" s="32">
        <f t="shared" ref="P674" si="1355">+O688</f>
        <v>0</v>
      </c>
      <c r="Q674" s="32">
        <f t="shared" ref="Q674" si="1356">+P688</f>
        <v>0</v>
      </c>
      <c r="R674" s="32">
        <f t="shared" ref="R674" si="1357">+Q688</f>
        <v>0</v>
      </c>
      <c r="S674" s="32">
        <f t="shared" ref="S674" si="1358">+R688</f>
        <v>0</v>
      </c>
      <c r="T674" s="32">
        <f t="shared" ref="T674" si="1359">+S688</f>
        <v>0</v>
      </c>
      <c r="U674" s="32">
        <f t="shared" ref="U674" si="1360">+T688</f>
        <v>0</v>
      </c>
      <c r="V674" s="32">
        <f t="shared" ref="V674" si="1361">+U688</f>
        <v>0</v>
      </c>
      <c r="W674" s="32">
        <f t="shared" ref="W674" si="1362">+V688</f>
        <v>0</v>
      </c>
      <c r="X674" s="32">
        <f t="shared" ref="X674" si="1363">+W688</f>
        <v>0</v>
      </c>
      <c r="Y674" s="32">
        <f t="shared" ref="Y674" si="1364">+X688</f>
        <v>0</v>
      </c>
      <c r="Z674" s="32">
        <f t="shared" ref="Z674" si="1365">+Y688</f>
        <v>0</v>
      </c>
      <c r="AA674" s="32">
        <f t="shared" ref="AA674" si="1366">+Z688</f>
        <v>0</v>
      </c>
      <c r="AB674" s="32">
        <f t="shared" ref="AB674" si="1367">+AA688</f>
        <v>0</v>
      </c>
      <c r="AC674" s="32">
        <f t="shared" ref="AC674" si="1368">+AB688</f>
        <v>0</v>
      </c>
      <c r="AD674" s="32">
        <f t="shared" ref="AD674" si="1369">+AC688</f>
        <v>0</v>
      </c>
      <c r="AE674" s="32">
        <f t="shared" ref="AE674" si="1370">+AD688</f>
        <v>0</v>
      </c>
      <c r="AF674" s="32">
        <f t="shared" ref="AF674" si="1371">+AE688</f>
        <v>0</v>
      </c>
      <c r="AG674" s="32">
        <f t="shared" ref="AG674" si="1372">+AF688</f>
        <v>0</v>
      </c>
      <c r="AH674" s="32">
        <f t="shared" ref="AH674" si="1373">+AG688</f>
        <v>0</v>
      </c>
      <c r="AI674" s="32">
        <f t="shared" ref="AI674" si="1374">+AH688</f>
        <v>0</v>
      </c>
      <c r="AJ674" s="32">
        <f t="shared" ref="AJ674" si="1375">+AI688</f>
        <v>0</v>
      </c>
      <c r="AK674" s="32">
        <f t="shared" ref="AK674" si="1376">+AJ688</f>
        <v>0</v>
      </c>
      <c r="AL674" s="32">
        <f t="shared" ref="AL674" si="1377">+AK688</f>
        <v>0</v>
      </c>
      <c r="AM674" s="32">
        <f t="shared" ref="AM674" si="1378">+AL688</f>
        <v>0</v>
      </c>
      <c r="AN674" s="32">
        <f t="shared" ref="AN674" si="1379">+AM688</f>
        <v>0</v>
      </c>
      <c r="AO674" s="32">
        <f t="shared" ref="AO674" si="1380">+AN688</f>
        <v>0</v>
      </c>
      <c r="AP674" s="32">
        <f t="shared" ref="AP674" si="1381">+AO688</f>
        <v>0</v>
      </c>
      <c r="AQ674" s="32">
        <f t="shared" ref="AQ674" si="1382">+AP688</f>
        <v>0</v>
      </c>
      <c r="AR674" s="32">
        <f t="shared" ref="AR674" si="1383">+AQ688</f>
        <v>0</v>
      </c>
      <c r="AS674" s="32">
        <f t="shared" ref="AS674" si="1384">+AR688</f>
        <v>0</v>
      </c>
      <c r="AT674" s="32">
        <f t="shared" ref="AT674" si="1385">+AS688</f>
        <v>0</v>
      </c>
      <c r="AU674" s="32">
        <f t="shared" ref="AU674" si="1386">+AT688</f>
        <v>0</v>
      </c>
      <c r="AV674" s="32">
        <f t="shared" ref="AV674" si="1387">+AU688</f>
        <v>0</v>
      </c>
      <c r="AW674" s="32">
        <f t="shared" ref="AW674" si="1388">+AV688</f>
        <v>0</v>
      </c>
      <c r="AX674" s="32">
        <f t="shared" ref="AX674" si="1389">+AW688</f>
        <v>0</v>
      </c>
      <c r="AY674" s="32">
        <f t="shared" ref="AY674" si="1390">+AX688</f>
        <v>0</v>
      </c>
      <c r="AZ674" s="32">
        <f t="shared" ref="AZ674" si="1391">+AY688</f>
        <v>0</v>
      </c>
      <c r="BA674" s="32">
        <f t="shared" ref="BA674" si="1392">+AZ688</f>
        <v>0</v>
      </c>
      <c r="BB674" s="32">
        <f t="shared" ref="BB674" si="1393">+BA688</f>
        <v>0</v>
      </c>
      <c r="BC674" s="32">
        <f t="shared" ref="BC674" si="1394">+BB688</f>
        <v>0</v>
      </c>
      <c r="BD674" s="32">
        <f t="shared" ref="BD674" si="1395">+BC688</f>
        <v>0</v>
      </c>
      <c r="BE674" s="32">
        <f t="shared" ref="BE674" si="1396">+BD688</f>
        <v>0</v>
      </c>
      <c r="BF674" s="32">
        <f t="shared" ref="BF674" si="1397">+BE688</f>
        <v>0</v>
      </c>
      <c r="BG674" s="32">
        <f t="shared" ref="BG674" si="1398">+BF688</f>
        <v>0</v>
      </c>
      <c r="BH674" s="32">
        <f t="shared" ref="BH674" si="1399">+BG688</f>
        <v>0</v>
      </c>
      <c r="BI674" s="32">
        <f t="shared" ref="BI674" si="1400">+BH688</f>
        <v>0</v>
      </c>
      <c r="BJ674" s="32">
        <f t="shared" ref="BJ674" si="1401">+BI688</f>
        <v>0</v>
      </c>
      <c r="BK674" s="32">
        <f t="shared" ref="BK674" si="1402">+BJ688</f>
        <v>0</v>
      </c>
      <c r="BL674" s="32">
        <f t="shared" ref="BL674" si="1403">+BK688</f>
        <v>0</v>
      </c>
      <c r="BM674" s="32">
        <f t="shared" ref="BM674" si="1404">+BL688</f>
        <v>0</v>
      </c>
      <c r="BN674" s="32">
        <f t="shared" ref="BN674" si="1405">+BM688</f>
        <v>0</v>
      </c>
      <c r="BO674" s="32">
        <f t="shared" ref="BO674" si="1406">+BN688</f>
        <v>0</v>
      </c>
      <c r="BP674" s="32">
        <f t="shared" ref="BP674" si="1407">+BO688</f>
        <v>0</v>
      </c>
      <c r="BQ674" s="32">
        <f t="shared" ref="BQ674" si="1408">+BP688</f>
        <v>0</v>
      </c>
      <c r="BR674" s="32">
        <f t="shared" ref="BR674" si="1409">+BQ688</f>
        <v>0</v>
      </c>
      <c r="BS674" s="32">
        <f t="shared" ref="BS674" si="1410">+BR688</f>
        <v>0</v>
      </c>
      <c r="BT674" s="32">
        <f t="shared" ref="BT674" si="1411">+BS688</f>
        <v>0</v>
      </c>
      <c r="BU674" s="32">
        <f t="shared" ref="BU674" si="1412">+BT688</f>
        <v>0</v>
      </c>
      <c r="BV674" s="32">
        <f t="shared" ref="BV674" si="1413">+BU688</f>
        <v>0</v>
      </c>
      <c r="BW674" s="32">
        <f t="shared" ref="BW674" si="1414">+BV688</f>
        <v>0</v>
      </c>
      <c r="BX674" s="32">
        <f t="shared" ref="BX674" si="1415">+BW688</f>
        <v>0</v>
      </c>
      <c r="BY674" s="32">
        <f t="shared" ref="BY674" si="1416">+BX688</f>
        <v>0</v>
      </c>
    </row>
    <row r="675" spans="5:77" outlineLevel="1">
      <c r="E675" t="s">
        <v>512</v>
      </c>
      <c r="F675" s="80" t="str">
        <f>+Assumptions!$G$8</f>
        <v>USD</v>
      </c>
      <c r="H675" s="33">
        <f ca="1">+H674*Assumptions!$H$96</f>
        <v>0</v>
      </c>
      <c r="I675" s="33">
        <f ca="1">+I674*Assumptions!$H$96</f>
        <v>0</v>
      </c>
      <c r="J675" s="33">
        <f ca="1">+J674*Assumptions!$H$96</f>
        <v>0</v>
      </c>
      <c r="K675" s="33">
        <f ca="1">+K674*Assumptions!$H$96</f>
        <v>0</v>
      </c>
      <c r="L675" s="33">
        <f ca="1">+L674*Assumptions!$H$96</f>
        <v>0</v>
      </c>
      <c r="M675" s="33">
        <f ca="1">+M674*Assumptions!$H$96</f>
        <v>0</v>
      </c>
      <c r="N675" s="33">
        <f ca="1">+N674*Assumptions!$H$96</f>
        <v>0</v>
      </c>
      <c r="O675" s="33">
        <f ca="1">+O674*Assumptions!$H$96</f>
        <v>0</v>
      </c>
      <c r="P675" s="33">
        <f ca="1">+P674*Assumptions!$H$96</f>
        <v>0</v>
      </c>
      <c r="Q675" s="33">
        <f ca="1">+Q674*Assumptions!$H$96</f>
        <v>0</v>
      </c>
      <c r="R675" s="33">
        <f ca="1">+R674*Assumptions!$H$96</f>
        <v>0</v>
      </c>
      <c r="S675" s="33">
        <f ca="1">+S674*Assumptions!$H$96</f>
        <v>0</v>
      </c>
      <c r="T675" s="33">
        <f ca="1">+T674*Assumptions!$H$96</f>
        <v>0</v>
      </c>
      <c r="U675" s="33">
        <f ca="1">+U674*Assumptions!$H$96</f>
        <v>0</v>
      </c>
      <c r="V675" s="33">
        <f ca="1">+V674*Assumptions!$H$96</f>
        <v>0</v>
      </c>
      <c r="W675" s="33">
        <f ca="1">+W674*Assumptions!$H$96</f>
        <v>0</v>
      </c>
      <c r="X675" s="33">
        <f ca="1">+X674*Assumptions!$H$96</f>
        <v>0</v>
      </c>
      <c r="Y675" s="33">
        <f ca="1">+Y674*Assumptions!$H$96</f>
        <v>0</v>
      </c>
      <c r="Z675" s="33">
        <f ca="1">+Z674*Assumptions!$H$96</f>
        <v>0</v>
      </c>
      <c r="AA675" s="33">
        <f ca="1">+AA674*Assumptions!$H$96</f>
        <v>0</v>
      </c>
      <c r="AB675" s="33">
        <f ca="1">+AB674*Assumptions!$H$96</f>
        <v>0</v>
      </c>
      <c r="AC675" s="33">
        <f ca="1">+AC674*Assumptions!$H$96</f>
        <v>0</v>
      </c>
      <c r="AD675" s="33">
        <f ca="1">+AD674*Assumptions!$H$96</f>
        <v>0</v>
      </c>
      <c r="AE675" s="33">
        <f ca="1">+AE674*Assumptions!$H$96</f>
        <v>0</v>
      </c>
      <c r="AF675" s="33">
        <f ca="1">+AF674*Assumptions!$H$96</f>
        <v>0</v>
      </c>
      <c r="AG675" s="33">
        <f ca="1">+AG674*Assumptions!$H$96</f>
        <v>0</v>
      </c>
      <c r="AH675" s="33">
        <f ca="1">+AH674*Assumptions!$H$96</f>
        <v>0</v>
      </c>
      <c r="AI675" s="33">
        <f ca="1">+AI674*Assumptions!$H$96</f>
        <v>0</v>
      </c>
      <c r="AJ675" s="33">
        <f ca="1">+AJ674*Assumptions!$H$96</f>
        <v>0</v>
      </c>
      <c r="AK675" s="33">
        <f ca="1">+AK674*Assumptions!$H$96</f>
        <v>0</v>
      </c>
      <c r="AL675" s="33">
        <f ca="1">+AL674*Assumptions!$H$96</f>
        <v>0</v>
      </c>
      <c r="AM675" s="33">
        <f ca="1">+AM674*Assumptions!$H$96</f>
        <v>0</v>
      </c>
      <c r="AN675" s="33">
        <f ca="1">+AN674*Assumptions!$H$96</f>
        <v>0</v>
      </c>
      <c r="AO675" s="33">
        <f ca="1">+AO674*Assumptions!$H$96</f>
        <v>0</v>
      </c>
      <c r="AP675" s="33">
        <f ca="1">+AP674*Assumptions!$H$96</f>
        <v>0</v>
      </c>
      <c r="AQ675" s="33">
        <f ca="1">+AQ674*Assumptions!$H$96</f>
        <v>0</v>
      </c>
      <c r="AR675" s="33">
        <f ca="1">+AR674*Assumptions!$H$96</f>
        <v>0</v>
      </c>
      <c r="AS675" s="33">
        <f ca="1">+AS674*Assumptions!$H$96</f>
        <v>0</v>
      </c>
      <c r="AT675" s="33">
        <f ca="1">+AT674*Assumptions!$H$96</f>
        <v>0</v>
      </c>
      <c r="AU675" s="33">
        <f ca="1">+AU674*Assumptions!$H$96</f>
        <v>0</v>
      </c>
      <c r="AV675" s="33">
        <f ca="1">+AV674*Assumptions!$H$96</f>
        <v>0</v>
      </c>
      <c r="AW675" s="33">
        <f ca="1">+AW674*Assumptions!$H$96</f>
        <v>0</v>
      </c>
      <c r="AX675" s="33">
        <f ca="1">+AX674*Assumptions!$H$96</f>
        <v>0</v>
      </c>
      <c r="AY675" s="33">
        <f ca="1">+AY674*Assumptions!$H$96</f>
        <v>0</v>
      </c>
      <c r="AZ675" s="33">
        <f ca="1">+AZ674*Assumptions!$H$96</f>
        <v>0</v>
      </c>
      <c r="BA675" s="33">
        <f ca="1">+BA674*Assumptions!$H$96</f>
        <v>0</v>
      </c>
      <c r="BB675" s="33">
        <f ca="1">+BB674*Assumptions!$H$96</f>
        <v>0</v>
      </c>
      <c r="BC675" s="33">
        <f ca="1">+BC674*Assumptions!$H$96</f>
        <v>0</v>
      </c>
      <c r="BD675" s="33">
        <f ca="1">+BD674*Assumptions!$H$96</f>
        <v>0</v>
      </c>
      <c r="BE675" s="33">
        <f ca="1">+BE674*Assumptions!$H$96</f>
        <v>0</v>
      </c>
      <c r="BF675" s="33">
        <f ca="1">+BF674*Assumptions!$H$96</f>
        <v>0</v>
      </c>
      <c r="BG675" s="33">
        <f ca="1">+BG674*Assumptions!$H$96</f>
        <v>0</v>
      </c>
      <c r="BH675" s="33">
        <f ca="1">+BH674*Assumptions!$H$96</f>
        <v>0</v>
      </c>
      <c r="BI675" s="33">
        <f ca="1">+BI674*Assumptions!$H$96</f>
        <v>0</v>
      </c>
      <c r="BJ675" s="33">
        <f ca="1">+BJ674*Assumptions!$H$96</f>
        <v>0</v>
      </c>
      <c r="BK675" s="33">
        <f ca="1">+BK674*Assumptions!$H$96</f>
        <v>0</v>
      </c>
      <c r="BL675" s="33">
        <f ca="1">+BL674*Assumptions!$H$96</f>
        <v>0</v>
      </c>
      <c r="BM675" s="33">
        <f ca="1">+BM674*Assumptions!$H$96</f>
        <v>0</v>
      </c>
      <c r="BN675" s="33">
        <f ca="1">+BN674*Assumptions!$H$96</f>
        <v>0</v>
      </c>
      <c r="BO675" s="33">
        <f ca="1">+BO674*Assumptions!$H$96</f>
        <v>0</v>
      </c>
      <c r="BP675" s="33">
        <f ca="1">+BP674*Assumptions!$H$96</f>
        <v>0</v>
      </c>
      <c r="BQ675" s="33">
        <f ca="1">+BQ674*Assumptions!$H$96</f>
        <v>0</v>
      </c>
      <c r="BR675" s="33">
        <f ca="1">+BR674*Assumptions!$H$96</f>
        <v>0</v>
      </c>
      <c r="BS675" s="33">
        <f ca="1">+BS674*Assumptions!$H$96</f>
        <v>0</v>
      </c>
      <c r="BT675" s="33">
        <f ca="1">+BT674*Assumptions!$H$96</f>
        <v>0</v>
      </c>
      <c r="BU675" s="33">
        <f ca="1">+BU674*Assumptions!$H$96</f>
        <v>0</v>
      </c>
      <c r="BV675" s="33">
        <f ca="1">+BV674*Assumptions!$H$96</f>
        <v>0</v>
      </c>
      <c r="BW675" s="33">
        <f ca="1">+BW674*Assumptions!$H$96</f>
        <v>0</v>
      </c>
      <c r="BX675" s="33">
        <f ca="1">+BX674*Assumptions!$H$96</f>
        <v>0</v>
      </c>
      <c r="BY675" s="33">
        <f ca="1">+BY674*Assumptions!$H$96</f>
        <v>0</v>
      </c>
    </row>
    <row r="676" spans="5:77" outlineLevel="1">
      <c r="E676" s="25" t="s">
        <v>513</v>
      </c>
      <c r="F676" s="81" t="str">
        <f>+Assumptions!$G$8</f>
        <v>USD</v>
      </c>
      <c r="G676" s="25"/>
      <c r="H676" s="34">
        <f>IF(SUM(H677:H686)=0,0,+SUM(H677:H686)-H675)</f>
        <v>0</v>
      </c>
      <c r="I676" s="34">
        <f t="shared" ref="I676:BT676" si="1417">IF(SUM(I677:I686)=0,0,+SUM(I677:I686)-I675)</f>
        <v>0</v>
      </c>
      <c r="J676" s="34">
        <f t="shared" si="1417"/>
        <v>0</v>
      </c>
      <c r="K676" s="34">
        <f t="shared" si="1417"/>
        <v>0</v>
      </c>
      <c r="L676" s="34">
        <f t="shared" si="1417"/>
        <v>0</v>
      </c>
      <c r="M676" s="34">
        <f t="shared" si="1417"/>
        <v>0</v>
      </c>
      <c r="N676" s="34">
        <f t="shared" si="1417"/>
        <v>0</v>
      </c>
      <c r="O676" s="34">
        <f t="shared" si="1417"/>
        <v>0</v>
      </c>
      <c r="P676" s="34">
        <f t="shared" si="1417"/>
        <v>0</v>
      </c>
      <c r="Q676" s="34">
        <f t="shared" si="1417"/>
        <v>0</v>
      </c>
      <c r="R676" s="34">
        <f t="shared" si="1417"/>
        <v>0</v>
      </c>
      <c r="S676" s="34">
        <f t="shared" si="1417"/>
        <v>0</v>
      </c>
      <c r="T676" s="34">
        <f t="shared" si="1417"/>
        <v>0</v>
      </c>
      <c r="U676" s="34">
        <f t="shared" si="1417"/>
        <v>0</v>
      </c>
      <c r="V676" s="34">
        <f t="shared" si="1417"/>
        <v>0</v>
      </c>
      <c r="W676" s="34">
        <f t="shared" si="1417"/>
        <v>0</v>
      </c>
      <c r="X676" s="34">
        <f t="shared" si="1417"/>
        <v>0</v>
      </c>
      <c r="Y676" s="34">
        <f t="shared" si="1417"/>
        <v>0</v>
      </c>
      <c r="Z676" s="34">
        <f t="shared" si="1417"/>
        <v>0</v>
      </c>
      <c r="AA676" s="34">
        <f t="shared" si="1417"/>
        <v>0</v>
      </c>
      <c r="AB676" s="34">
        <f t="shared" si="1417"/>
        <v>0</v>
      </c>
      <c r="AC676" s="34">
        <f t="shared" si="1417"/>
        <v>0</v>
      </c>
      <c r="AD676" s="34">
        <f t="shared" si="1417"/>
        <v>0</v>
      </c>
      <c r="AE676" s="34">
        <f t="shared" si="1417"/>
        <v>0</v>
      </c>
      <c r="AF676" s="34">
        <f t="shared" si="1417"/>
        <v>0</v>
      </c>
      <c r="AG676" s="34">
        <f t="shared" si="1417"/>
        <v>0</v>
      </c>
      <c r="AH676" s="34">
        <f t="shared" si="1417"/>
        <v>0</v>
      </c>
      <c r="AI676" s="34">
        <f t="shared" si="1417"/>
        <v>0</v>
      </c>
      <c r="AJ676" s="34">
        <f t="shared" si="1417"/>
        <v>0</v>
      </c>
      <c r="AK676" s="34">
        <f t="shared" si="1417"/>
        <v>0</v>
      </c>
      <c r="AL676" s="34">
        <f t="shared" si="1417"/>
        <v>0</v>
      </c>
      <c r="AM676" s="34">
        <f t="shared" si="1417"/>
        <v>0</v>
      </c>
      <c r="AN676" s="34">
        <f t="shared" si="1417"/>
        <v>0</v>
      </c>
      <c r="AO676" s="34">
        <f t="shared" si="1417"/>
        <v>0</v>
      </c>
      <c r="AP676" s="34">
        <f t="shared" si="1417"/>
        <v>0</v>
      </c>
      <c r="AQ676" s="34">
        <f t="shared" si="1417"/>
        <v>0</v>
      </c>
      <c r="AR676" s="34">
        <f t="shared" si="1417"/>
        <v>0</v>
      </c>
      <c r="AS676" s="34">
        <f t="shared" si="1417"/>
        <v>0</v>
      </c>
      <c r="AT676" s="34">
        <f t="shared" si="1417"/>
        <v>0</v>
      </c>
      <c r="AU676" s="34">
        <f t="shared" si="1417"/>
        <v>0</v>
      </c>
      <c r="AV676" s="34">
        <f t="shared" si="1417"/>
        <v>0</v>
      </c>
      <c r="AW676" s="34">
        <f t="shared" si="1417"/>
        <v>0</v>
      </c>
      <c r="AX676" s="34">
        <f t="shared" si="1417"/>
        <v>0</v>
      </c>
      <c r="AY676" s="34">
        <f t="shared" si="1417"/>
        <v>0</v>
      </c>
      <c r="AZ676" s="34">
        <f t="shared" si="1417"/>
        <v>0</v>
      </c>
      <c r="BA676" s="34">
        <f t="shared" si="1417"/>
        <v>0</v>
      </c>
      <c r="BB676" s="34">
        <f t="shared" si="1417"/>
        <v>0</v>
      </c>
      <c r="BC676" s="34">
        <f t="shared" si="1417"/>
        <v>0</v>
      </c>
      <c r="BD676" s="34">
        <f t="shared" si="1417"/>
        <v>0</v>
      </c>
      <c r="BE676" s="34">
        <f t="shared" si="1417"/>
        <v>0</v>
      </c>
      <c r="BF676" s="34">
        <f t="shared" si="1417"/>
        <v>0</v>
      </c>
      <c r="BG676" s="34">
        <f t="shared" si="1417"/>
        <v>0</v>
      </c>
      <c r="BH676" s="34">
        <f t="shared" si="1417"/>
        <v>0</v>
      </c>
      <c r="BI676" s="34">
        <f t="shared" si="1417"/>
        <v>0</v>
      </c>
      <c r="BJ676" s="34">
        <f t="shared" si="1417"/>
        <v>0</v>
      </c>
      <c r="BK676" s="34">
        <f t="shared" si="1417"/>
        <v>0</v>
      </c>
      <c r="BL676" s="34">
        <f t="shared" si="1417"/>
        <v>0</v>
      </c>
      <c r="BM676" s="34">
        <f t="shared" si="1417"/>
        <v>0</v>
      </c>
      <c r="BN676" s="34">
        <f t="shared" si="1417"/>
        <v>0</v>
      </c>
      <c r="BO676" s="34">
        <f t="shared" si="1417"/>
        <v>0</v>
      </c>
      <c r="BP676" s="34">
        <f t="shared" si="1417"/>
        <v>0</v>
      </c>
      <c r="BQ676" s="34">
        <f t="shared" si="1417"/>
        <v>0</v>
      </c>
      <c r="BR676" s="34">
        <f t="shared" si="1417"/>
        <v>0</v>
      </c>
      <c r="BS676" s="34">
        <f t="shared" si="1417"/>
        <v>0</v>
      </c>
      <c r="BT676" s="34">
        <f t="shared" si="1417"/>
        <v>0</v>
      </c>
      <c r="BU676" s="34">
        <f t="shared" ref="BU676:BY676" si="1418">IF(SUM(BU677:BU686)=0,0,+SUM(BU677:BU686)-BU675)</f>
        <v>0</v>
      </c>
      <c r="BV676" s="34">
        <f t="shared" si="1418"/>
        <v>0</v>
      </c>
      <c r="BW676" s="34">
        <f t="shared" si="1418"/>
        <v>0</v>
      </c>
      <c r="BX676" s="34">
        <f t="shared" si="1418"/>
        <v>0</v>
      </c>
      <c r="BY676" s="34">
        <f t="shared" si="1418"/>
        <v>0</v>
      </c>
    </row>
    <row r="677" spans="5:77" outlineLevel="1">
      <c r="E677" s="24" t="s">
        <v>514</v>
      </c>
      <c r="F677" s="80" t="str">
        <f>+Assumptions!$G$8</f>
        <v>USD</v>
      </c>
      <c r="G677" s="24"/>
      <c r="H677" s="39">
        <f>+IFERROR(-ABS(IF(EDATE(_xlfn.XLOOKUP(1,$H664:$BE664,$H$4:$BE$4),12*Assumptions!$H$98+12)=H$4,0,IF(G664=1,PMT(Assumptions!$H$96,Assumptions!$H$98,$C666),G677))),0)</f>
        <v>0</v>
      </c>
      <c r="I677" s="39">
        <f>+IFERROR(-ABS(IF(EDATE(_xlfn.XLOOKUP(1,$H664:$BE664,$H$4:$BE$4),12*Assumptions!$H$98+12)=I$4,0,IF(H664=1,PMT(Assumptions!$H$96,Assumptions!$H$98,$C666),H677))),0)</f>
        <v>0</v>
      </c>
      <c r="J677" s="39">
        <f>+IFERROR(-ABS(IF(EDATE(_xlfn.XLOOKUP(1,$H664:$BE664,$H$4:$BE$4),12*Assumptions!$H$98+12)=J$4,0,IF(I664=1,PMT(Assumptions!$H$96,Assumptions!$H$98,$C666),I677))),0)</f>
        <v>0</v>
      </c>
      <c r="K677" s="39">
        <f>+IFERROR(-ABS(IF(EDATE(_xlfn.XLOOKUP(1,$H664:$BE664,$H$4:$BE$4),12*Assumptions!$H$98+12)=K$4,0,IF(J664=1,PMT(Assumptions!$H$96,Assumptions!$H$98,$C666),J677))),0)</f>
        <v>0</v>
      </c>
      <c r="L677" s="39">
        <f>+IFERROR(-ABS(IF(EDATE(_xlfn.XLOOKUP(1,$H664:$BE664,$H$4:$BE$4),12*Assumptions!$H$98+12)=L$4,0,IF(K664=1,PMT(Assumptions!$H$96,Assumptions!$H$98,$C666),K677))),0)</f>
        <v>0</v>
      </c>
      <c r="M677" s="39">
        <f>+IFERROR(-ABS(IF(EDATE(_xlfn.XLOOKUP(1,$H664:$BE664,$H$4:$BE$4),12*Assumptions!$H$98+12)=M$4,0,IF(L664=1,PMT(Assumptions!$H$96,Assumptions!$H$98,$C666),L677))),0)</f>
        <v>0</v>
      </c>
      <c r="N677" s="39">
        <f>+IFERROR(-ABS(IF(EDATE(_xlfn.XLOOKUP(1,$H664:$BE664,$H$4:$BE$4),12*Assumptions!$H$98+12)=N$4,0,IF(M664=1,PMT(Assumptions!$H$96,Assumptions!$H$98,$C666),M677))),0)</f>
        <v>0</v>
      </c>
      <c r="O677" s="39">
        <f>+IFERROR(-ABS(IF(EDATE(_xlfn.XLOOKUP(1,$H664:$BE664,$H$4:$BE$4),12*Assumptions!$H$98+12)=O$4,0,IF(N664=1,PMT(Assumptions!$H$96,Assumptions!$H$98,$C666),N677))),0)</f>
        <v>0</v>
      </c>
      <c r="P677" s="39">
        <f>+IFERROR(-ABS(IF(EDATE(_xlfn.XLOOKUP(1,$H664:$BE664,$H$4:$BE$4),12*Assumptions!$H$98+12)=P$4,0,IF(O664=1,PMT(Assumptions!$H$96,Assumptions!$H$98,$C666),O677))),0)</f>
        <v>0</v>
      </c>
      <c r="Q677" s="39">
        <f>+IFERROR(-ABS(IF(EDATE(_xlfn.XLOOKUP(1,$H664:$BE664,$H$4:$BE$4),12*Assumptions!$H$98+12)=Q$4,0,IF(P664=1,PMT(Assumptions!$H$96,Assumptions!$H$98,$C666),P677))),0)</f>
        <v>0</v>
      </c>
      <c r="R677" s="39">
        <f>+IFERROR(-ABS(IF(EDATE(_xlfn.XLOOKUP(1,$H664:$BE664,$H$4:$BE$4),12*Assumptions!$H$98+12)=R$4,0,IF(Q664=1,PMT(Assumptions!$H$96,Assumptions!$H$98,$C666),Q677))),0)</f>
        <v>0</v>
      </c>
      <c r="S677" s="39">
        <f>+IFERROR(-ABS(IF(EDATE(_xlfn.XLOOKUP(1,$H664:$BE664,$H$4:$BE$4),12*Assumptions!$H$98+12)=S$4,0,IF(R664=1,PMT(Assumptions!$H$96,Assumptions!$H$98,$C666),R677))),0)</f>
        <v>0</v>
      </c>
      <c r="T677" s="39">
        <f>+IFERROR(-ABS(IF(EDATE(_xlfn.XLOOKUP(1,$H664:$BE664,$H$4:$BE$4),12*Assumptions!$H$98+12)=T$4,0,IF(S664=1,PMT(Assumptions!$H$96,Assumptions!$H$98,$C666),S677))),0)</f>
        <v>0</v>
      </c>
      <c r="U677" s="39">
        <f>+IFERROR(-ABS(IF(EDATE(_xlfn.XLOOKUP(1,$H664:$BE664,$H$4:$BE$4),12*Assumptions!$H$98+12)=U$4,0,IF(T664=1,PMT(Assumptions!$H$96,Assumptions!$H$98,$C666),T677))),0)</f>
        <v>0</v>
      </c>
      <c r="V677" s="39">
        <f>+IFERROR(-ABS(IF(EDATE(_xlfn.XLOOKUP(1,$H664:$BE664,$H$4:$BE$4),12*Assumptions!$H$98+12)=V$4,0,IF(U664=1,PMT(Assumptions!$H$96,Assumptions!$H$98,$C666),U677))),0)</f>
        <v>0</v>
      </c>
      <c r="W677" s="39">
        <f>+IFERROR(-ABS(IF(EDATE(_xlfn.XLOOKUP(1,$H664:$BE664,$H$4:$BE$4),12*Assumptions!$H$98+12)=W$4,0,IF(V664=1,PMT(Assumptions!$H$96,Assumptions!$H$98,$C666),V677))),0)</f>
        <v>0</v>
      </c>
      <c r="X677" s="39">
        <f>+IFERROR(-ABS(IF(EDATE(_xlfn.XLOOKUP(1,$H664:$BE664,$H$4:$BE$4),12*Assumptions!$H$98+12)=X$4,0,IF(W664=1,PMT(Assumptions!$H$96,Assumptions!$H$98,$C666),W677))),0)</f>
        <v>0</v>
      </c>
      <c r="Y677" s="39">
        <f>+IFERROR(-ABS(IF(EDATE(_xlfn.XLOOKUP(1,$H664:$BE664,$H$4:$BE$4),12*Assumptions!$H$98+12)=Y$4,0,IF(X664=1,PMT(Assumptions!$H$96,Assumptions!$H$98,$C666),X677))),0)</f>
        <v>0</v>
      </c>
      <c r="Z677" s="39">
        <f>+IFERROR(-ABS(IF(EDATE(_xlfn.XLOOKUP(1,$H664:$BE664,$H$4:$BE$4),12*Assumptions!$H$98+12)=Z$4,0,IF(Y664=1,PMT(Assumptions!$H$96,Assumptions!$H$98,$C666),Y677))),0)</f>
        <v>0</v>
      </c>
      <c r="AA677" s="39">
        <f>+IFERROR(-ABS(IF(EDATE(_xlfn.XLOOKUP(1,$H664:$BE664,$H$4:$BE$4),12*Assumptions!$H$98+12)=AA$4,0,IF(Z664=1,PMT(Assumptions!$H$96,Assumptions!$H$98,$C666),Z677))),0)</f>
        <v>0</v>
      </c>
      <c r="AB677" s="39">
        <f>+IFERROR(-ABS(IF(EDATE(_xlfn.XLOOKUP(1,$H664:$BE664,$H$4:$BE$4),12*Assumptions!$H$98+12)=AB$4,0,IF(AA664=1,PMT(Assumptions!$H$96,Assumptions!$H$98,$C666),AA677))),0)</f>
        <v>0</v>
      </c>
      <c r="AC677" s="39">
        <f>+IFERROR(-ABS(IF(EDATE(_xlfn.XLOOKUP(1,$H664:$BE664,$H$4:$BE$4),12*Assumptions!$H$98+12)=AC$4,0,IF(AB664=1,PMT(Assumptions!$H$96,Assumptions!$H$98,$C666),AB677))),0)</f>
        <v>0</v>
      </c>
      <c r="AD677" s="39">
        <f>+IFERROR(-ABS(IF(EDATE(_xlfn.XLOOKUP(1,$H664:$BE664,$H$4:$BE$4),12*Assumptions!$H$98+12)=AD$4,0,IF(AC664=1,PMT(Assumptions!$H$96,Assumptions!$H$98,$C666),AC677))),0)</f>
        <v>0</v>
      </c>
      <c r="AE677" s="39">
        <f>+IFERROR(-ABS(IF(EDATE(_xlfn.XLOOKUP(1,$H664:$BE664,$H$4:$BE$4),12*Assumptions!$H$98+12)=AE$4,0,IF(AD664=1,PMT(Assumptions!$H$96,Assumptions!$H$98,$C666),AD677))),0)</f>
        <v>0</v>
      </c>
      <c r="AF677" s="39">
        <f>+IFERROR(-ABS(IF(EDATE(_xlfn.XLOOKUP(1,$H664:$BE664,$H$4:$BE$4),12*Assumptions!$H$98+12)=AF$4,0,IF(AE664=1,PMT(Assumptions!$H$96,Assumptions!$H$98,$C666),AE677))),0)</f>
        <v>0</v>
      </c>
      <c r="AG677" s="39">
        <f>+IFERROR(-ABS(IF(EDATE(_xlfn.XLOOKUP(1,$H664:$BE664,$H$4:$BE$4),12*Assumptions!$H$98+12)=AG$4,0,IF(AF664=1,PMT(Assumptions!$H$96,Assumptions!$H$98,$C666),AF677))),0)</f>
        <v>0</v>
      </c>
      <c r="AH677" s="39">
        <f>+IFERROR(-ABS(IF(EDATE(_xlfn.XLOOKUP(1,$H664:$BE664,$H$4:$BE$4),12*Assumptions!$H$98+12)=AH$4,0,IF(AG664=1,PMT(Assumptions!$H$96,Assumptions!$H$98,$C666),AG677))),0)</f>
        <v>0</v>
      </c>
      <c r="AI677" s="39">
        <f>+IFERROR(-ABS(IF(EDATE(_xlfn.XLOOKUP(1,$H664:$BE664,$H$4:$BE$4),12*Assumptions!$H$98+12)=AI$4,0,IF(AH664=1,PMT(Assumptions!$H$96,Assumptions!$H$98,$C666),AH677))),0)</f>
        <v>0</v>
      </c>
      <c r="AJ677" s="39">
        <f>+IFERROR(-ABS(IF(EDATE(_xlfn.XLOOKUP(1,$H664:$BE664,$H$4:$BE$4),12*Assumptions!$H$98+12)=AJ$4,0,IF(AI664=1,PMT(Assumptions!$H$96,Assumptions!$H$98,$C666),AI677))),0)</f>
        <v>0</v>
      </c>
      <c r="AK677" s="39">
        <f>+IFERROR(-ABS(IF(EDATE(_xlfn.XLOOKUP(1,$H664:$BE664,$H$4:$BE$4),12*Assumptions!$H$98+12)=AK$4,0,IF(AJ664=1,PMT(Assumptions!$H$96,Assumptions!$H$98,$C666),AJ677))),0)</f>
        <v>0</v>
      </c>
      <c r="AL677" s="39">
        <f>+IFERROR(-ABS(IF(EDATE(_xlfn.XLOOKUP(1,$H664:$BE664,$H$4:$BE$4),12*Assumptions!$H$98+12)=AL$4,0,IF(AK664=1,PMT(Assumptions!$H$96,Assumptions!$H$98,$C666),AK677))),0)</f>
        <v>0</v>
      </c>
      <c r="AM677" s="39">
        <f>+IFERROR(-ABS(IF(EDATE(_xlfn.XLOOKUP(1,$H664:$BE664,$H$4:$BE$4),12*Assumptions!$H$98+12)=AM$4,0,IF(AL664=1,PMT(Assumptions!$H$96,Assumptions!$H$98,$C666),AL677))),0)</f>
        <v>0</v>
      </c>
      <c r="AN677" s="39">
        <f>+IFERROR(-ABS(IF(EDATE(_xlfn.XLOOKUP(1,$H664:$BE664,$H$4:$BE$4),12*Assumptions!$H$98+12)=AN$4,0,IF(AM664=1,PMT(Assumptions!$H$96,Assumptions!$H$98,$C666),AM677))),0)</f>
        <v>0</v>
      </c>
      <c r="AO677" s="39">
        <f>+IFERROR(-ABS(IF(EDATE(_xlfn.XLOOKUP(1,$H664:$BE664,$H$4:$BE$4),12*Assumptions!$H$98+12)=AO$4,0,IF(AN664=1,PMT(Assumptions!$H$96,Assumptions!$H$98,$C666),AN677))),0)</f>
        <v>0</v>
      </c>
      <c r="AP677" s="39">
        <f>+IFERROR(-ABS(IF(EDATE(_xlfn.XLOOKUP(1,$H664:$BE664,$H$4:$BE$4),12*Assumptions!$H$98+12)=AP$4,0,IF(AO664=1,PMT(Assumptions!$H$96,Assumptions!$H$98,$C666),AO677))),0)</f>
        <v>0</v>
      </c>
      <c r="AQ677" s="39">
        <f>+IFERROR(-ABS(IF(EDATE(_xlfn.XLOOKUP(1,$H664:$BE664,$H$4:$BE$4),12*Assumptions!$H$98+12)=AQ$4,0,IF(AP664=1,PMT(Assumptions!$H$96,Assumptions!$H$98,$C666),AP677))),0)</f>
        <v>0</v>
      </c>
      <c r="AR677" s="39">
        <f>+IFERROR(-ABS(IF(EDATE(_xlfn.XLOOKUP(1,$H664:$BE664,$H$4:$BE$4),12*Assumptions!$H$98+12)=AR$4,0,IF(AQ664=1,PMT(Assumptions!$H$96,Assumptions!$H$98,$C666),AQ677))),0)</f>
        <v>0</v>
      </c>
      <c r="AS677" s="39">
        <f>+IFERROR(-ABS(IF(EDATE(_xlfn.XLOOKUP(1,$H664:$BE664,$H$4:$BE$4),12*Assumptions!$H$98+12)=AS$4,0,IF(AR664=1,PMT(Assumptions!$H$96,Assumptions!$H$98,$C666),AR677))),0)</f>
        <v>0</v>
      </c>
      <c r="AT677" s="39">
        <f>+IFERROR(-ABS(IF(EDATE(_xlfn.XLOOKUP(1,$H664:$BE664,$H$4:$BE$4),12*Assumptions!$H$98+12)=AT$4,0,IF(AS664=1,PMT(Assumptions!$H$96,Assumptions!$H$98,$C666),AS677))),0)</f>
        <v>0</v>
      </c>
      <c r="AU677" s="39">
        <f>+IFERROR(-ABS(IF(EDATE(_xlfn.XLOOKUP(1,$H664:$BE664,$H$4:$BE$4),12*Assumptions!$H$98+12)=AU$4,0,IF(AT664=1,PMT(Assumptions!$H$96,Assumptions!$H$98,$C666),AT677))),0)</f>
        <v>0</v>
      </c>
      <c r="AV677" s="39">
        <f>+IFERROR(-ABS(IF(EDATE(_xlfn.XLOOKUP(1,$H664:$BE664,$H$4:$BE$4),12*Assumptions!$H$98+12)=AV$4,0,IF(AU664=1,PMT(Assumptions!$H$96,Assumptions!$H$98,$C666),AU677))),0)</f>
        <v>0</v>
      </c>
      <c r="AW677" s="39">
        <f>+IFERROR(-ABS(IF(EDATE(_xlfn.XLOOKUP(1,$H664:$BE664,$H$4:$BE$4),12*Assumptions!$H$98+12)=AW$4,0,IF(AV664=1,PMT(Assumptions!$H$96,Assumptions!$H$98,$C666),AV677))),0)</f>
        <v>0</v>
      </c>
      <c r="AX677" s="39">
        <f>+IFERROR(-ABS(IF(EDATE(_xlfn.XLOOKUP(1,$H664:$BE664,$H$4:$BE$4),12*Assumptions!$H$98+12)=AX$4,0,IF(AW664=1,PMT(Assumptions!$H$96,Assumptions!$H$98,$C666),AW677))),0)</f>
        <v>0</v>
      </c>
      <c r="AY677" s="39">
        <f>+IFERROR(-ABS(IF(EDATE(_xlfn.XLOOKUP(1,$H664:$BE664,$H$4:$BE$4),12*Assumptions!$H$98+12)=AY$4,0,IF(AX664=1,PMT(Assumptions!$H$96,Assumptions!$H$98,$C666),AX677))),0)</f>
        <v>0</v>
      </c>
      <c r="AZ677" s="39">
        <f>+IFERROR(-ABS(IF(EDATE(_xlfn.XLOOKUP(1,$H664:$BE664,$H$4:$BE$4),12*Assumptions!$H$98+12)=AZ$4,0,IF(AY664=1,PMT(Assumptions!$H$96,Assumptions!$H$98,$C666),AY677))),0)</f>
        <v>0</v>
      </c>
      <c r="BA677" s="39">
        <f>+IFERROR(-ABS(IF(EDATE(_xlfn.XLOOKUP(1,$H664:$BE664,$H$4:$BE$4),12*Assumptions!$H$98+12)=BA$4,0,IF(AZ664=1,PMT(Assumptions!$H$96,Assumptions!$H$98,$C666),AZ677))),0)</f>
        <v>0</v>
      </c>
      <c r="BB677" s="39">
        <f>+IFERROR(-ABS(IF(EDATE(_xlfn.XLOOKUP(1,$H664:$BE664,$H$4:$BE$4),12*Assumptions!$H$98+12)=BB$4,0,IF(BA664=1,PMT(Assumptions!$H$96,Assumptions!$H$98,$C666),BA677))),0)</f>
        <v>0</v>
      </c>
      <c r="BC677" s="39">
        <f>+IFERROR(-ABS(IF(EDATE(_xlfn.XLOOKUP(1,$H664:$BE664,$H$4:$BE$4),12*Assumptions!$H$98+12)=BC$4,0,IF(BB664=1,PMT(Assumptions!$H$96,Assumptions!$H$98,$C666),BB677))),0)</f>
        <v>0</v>
      </c>
      <c r="BD677" s="39">
        <f>+IFERROR(-ABS(IF(EDATE(_xlfn.XLOOKUP(1,$H664:$BE664,$H$4:$BE$4),12*Assumptions!$H$98+12)=BD$4,0,IF(BC664=1,PMT(Assumptions!$H$96,Assumptions!$H$98,$C666),BC677))),0)</f>
        <v>0</v>
      </c>
      <c r="BE677" s="39">
        <f>+IFERROR(-ABS(IF(EDATE(_xlfn.XLOOKUP(1,$H664:$BE664,$H$4:$BE$4),12*Assumptions!$H$98+12)=BE$4,0,IF(BD664=1,PMT(Assumptions!$H$96,Assumptions!$H$98,$C666),BD677))),0)</f>
        <v>0</v>
      </c>
      <c r="BF677" s="39">
        <f>+IFERROR(-ABS(IF(EDATE(_xlfn.XLOOKUP(1,$H664:$BE664,$H$4:$BE$4),12*Assumptions!$H$98+12)=BF$4,0,IF(BE664=1,PMT(Assumptions!$H$96,Assumptions!$H$98,$C666),BE677))),0)</f>
        <v>0</v>
      </c>
      <c r="BG677" s="39">
        <f>+IFERROR(-ABS(IF(EDATE(_xlfn.XLOOKUP(1,$H664:$BE664,$H$4:$BE$4),12*Assumptions!$H$98+12)=BG$4,0,IF(BF664=1,PMT(Assumptions!$H$96,Assumptions!$H$98,$C666),BF677))),0)</f>
        <v>0</v>
      </c>
      <c r="BH677" s="39">
        <f>+IFERROR(-ABS(IF(EDATE(_xlfn.XLOOKUP(1,$H664:$BE664,$H$4:$BE$4),12*Assumptions!$H$98+12)=BH$4,0,IF(BG664=1,PMT(Assumptions!$H$96,Assumptions!$H$98,$C666),BG677))),0)</f>
        <v>0</v>
      </c>
      <c r="BI677" s="39">
        <f>+IFERROR(-ABS(IF(EDATE(_xlfn.XLOOKUP(1,$H664:$BE664,$H$4:$BE$4),12*Assumptions!$H$98+12)=BI$4,0,IF(BH664=1,PMT(Assumptions!$H$96,Assumptions!$H$98,$C666),BH677))),0)</f>
        <v>0</v>
      </c>
      <c r="BJ677" s="39">
        <f>+IFERROR(-ABS(IF(EDATE(_xlfn.XLOOKUP(1,$H664:$BE664,$H$4:$BE$4),12*Assumptions!$H$98+12)=BJ$4,0,IF(BI664=1,PMT(Assumptions!$H$96,Assumptions!$H$98,$C666),BI677))),0)</f>
        <v>0</v>
      </c>
      <c r="BK677" s="39">
        <f>+IFERROR(-ABS(IF(EDATE(_xlfn.XLOOKUP(1,$H664:$BE664,$H$4:$BE$4),12*Assumptions!$H$98+12)=BK$4,0,IF(BJ664=1,PMT(Assumptions!$H$96,Assumptions!$H$98,$C666),BJ677))),0)</f>
        <v>0</v>
      </c>
      <c r="BL677" s="39">
        <f>+IFERROR(-ABS(IF(EDATE(_xlfn.XLOOKUP(1,$H664:$BE664,$H$4:$BE$4),12*Assumptions!$H$98+12)=BL$4,0,IF(BK664=1,PMT(Assumptions!$H$96,Assumptions!$H$98,$C666),BK677))),0)</f>
        <v>0</v>
      </c>
      <c r="BM677" s="39">
        <f>+IFERROR(-ABS(IF(EDATE(_xlfn.XLOOKUP(1,$H664:$BE664,$H$4:$BE$4),12*Assumptions!$H$98+12)=BM$4,0,IF(BL664=1,PMT(Assumptions!$H$96,Assumptions!$H$98,$C666),BL677))),0)</f>
        <v>0</v>
      </c>
      <c r="BN677" s="39">
        <f>+IFERROR(-ABS(IF(EDATE(_xlfn.XLOOKUP(1,$H664:$BE664,$H$4:$BE$4),12*Assumptions!$H$98+12)=BN$4,0,IF(BM664=1,PMT(Assumptions!$H$96,Assumptions!$H$98,$C666),BM677))),0)</f>
        <v>0</v>
      </c>
      <c r="BO677" s="39">
        <f>+IFERROR(-ABS(IF(EDATE(_xlfn.XLOOKUP(1,$H664:$BE664,$H$4:$BE$4),12*Assumptions!$H$98+12)=BO$4,0,IF(BN664=1,PMT(Assumptions!$H$96,Assumptions!$H$98,$C666),BN677))),0)</f>
        <v>0</v>
      </c>
      <c r="BP677" s="39">
        <f>+IFERROR(-ABS(IF(EDATE(_xlfn.XLOOKUP(1,$H664:$BE664,$H$4:$BE$4),12*Assumptions!$H$98+12)=BP$4,0,IF(BO664=1,PMT(Assumptions!$H$96,Assumptions!$H$98,$C666),BO677))),0)</f>
        <v>0</v>
      </c>
      <c r="BQ677" s="39">
        <f>+IFERROR(-ABS(IF(EDATE(_xlfn.XLOOKUP(1,$H664:$BE664,$H$4:$BE$4),12*Assumptions!$H$98+12)=BQ$4,0,IF(BP664=1,PMT(Assumptions!$H$96,Assumptions!$H$98,$C666),BP677))),0)</f>
        <v>0</v>
      </c>
      <c r="BR677" s="39">
        <f>+IFERROR(-ABS(IF(EDATE(_xlfn.XLOOKUP(1,$H664:$BE664,$H$4:$BE$4),12*Assumptions!$H$98+12)=BR$4,0,IF(BQ664=1,PMT(Assumptions!$H$96,Assumptions!$H$98,$C666),BQ677))),0)</f>
        <v>0</v>
      </c>
      <c r="BS677" s="39">
        <f>+IFERROR(-ABS(IF(EDATE(_xlfn.XLOOKUP(1,$H664:$BE664,$H$4:$BE$4),12*Assumptions!$H$98+12)=BS$4,0,IF(BR664=1,PMT(Assumptions!$H$96,Assumptions!$H$98,$C666),BR677))),0)</f>
        <v>0</v>
      </c>
      <c r="BT677" s="39">
        <f>+IFERROR(-ABS(IF(EDATE(_xlfn.XLOOKUP(1,$H664:$BE664,$H$4:$BE$4),12*Assumptions!$H$98+12)=BT$4,0,IF(BS664=1,PMT(Assumptions!$H$96,Assumptions!$H$98,$C666),BS677))),0)</f>
        <v>0</v>
      </c>
      <c r="BU677" s="39">
        <f>+IFERROR(-ABS(IF(EDATE(_xlfn.XLOOKUP(1,$H664:$BE664,$H$4:$BE$4),12*Assumptions!$H$98+12)=BU$4,0,IF(BT664=1,PMT(Assumptions!$H$96,Assumptions!$H$98,$C666),BT677))),0)</f>
        <v>0</v>
      </c>
      <c r="BV677" s="39">
        <f>+IFERROR(-ABS(IF(EDATE(_xlfn.XLOOKUP(1,$H664:$BE664,$H$4:$BE$4),12*Assumptions!$H$98+12)=BV$4,0,IF(BU664=1,PMT(Assumptions!$H$96,Assumptions!$H$98,$C666),BU677))),0)</f>
        <v>0</v>
      </c>
      <c r="BW677" s="39">
        <f>+IFERROR(-ABS(IF(EDATE(_xlfn.XLOOKUP(1,$H664:$BE664,$H$4:$BE$4),12*Assumptions!$H$98+12)=BW$4,0,IF(BV664=1,PMT(Assumptions!$H$96,Assumptions!$H$98,$C666),BV677))),0)</f>
        <v>0</v>
      </c>
      <c r="BX677" s="39">
        <f>+IFERROR(-ABS(IF(EDATE(_xlfn.XLOOKUP(1,$H664:$BE664,$H$4:$BE$4),12*Assumptions!$H$98+12)=BX$4,0,IF(BW664=1,PMT(Assumptions!$H$96,Assumptions!$H$98,$C666),BW677))),0)</f>
        <v>0</v>
      </c>
      <c r="BY677" s="39">
        <f>+IFERROR(-ABS(IF(EDATE(_xlfn.XLOOKUP(1,$H664:$BE664,$H$4:$BE$4),12*Assumptions!$H$98+12)=BY$4,0,IF(BX664=1,PMT(Assumptions!$H$96,Assumptions!$H$98,$C666),BX677))),0)</f>
        <v>0</v>
      </c>
    </row>
    <row r="678" spans="5:77" outlineLevel="1">
      <c r="E678" s="24" t="s">
        <v>515</v>
      </c>
      <c r="F678" s="80" t="str">
        <f>+Assumptions!$G$8</f>
        <v>USD</v>
      </c>
      <c r="G678" s="24"/>
      <c r="H678" s="39">
        <f>+IFERROR(-ABS(IF(EDATE(_xlfn.XLOOKUP(1,$H665:$BE665,$H$4:$BE$4),12*Assumptions!$H$98+12)=H$4,0,IF(G665=1,PMT(Assumptions!$H$96,Assumptions!$H$98,$C667),G678))),0)</f>
        <v>0</v>
      </c>
      <c r="I678" s="39">
        <f>+IFERROR(-ABS(IF(EDATE(_xlfn.XLOOKUP(1,$H665:$BE665,$H$4:$BE$4),12*Assumptions!$H$98+12)=I$4,0,IF(H665=1,PMT(Assumptions!$H$96,Assumptions!$H$98,$C667),H678))),0)</f>
        <v>0</v>
      </c>
      <c r="J678" s="39">
        <f>+IFERROR(-ABS(IF(EDATE(_xlfn.XLOOKUP(1,$H665:$BE665,$H$4:$BE$4),12*Assumptions!$H$98+12)=J$4,0,IF(I665=1,PMT(Assumptions!$H$96,Assumptions!$H$98,$C667),I678))),0)</f>
        <v>0</v>
      </c>
      <c r="K678" s="39">
        <f>+IFERROR(-ABS(IF(EDATE(_xlfn.XLOOKUP(1,$H665:$BE665,$H$4:$BE$4),12*Assumptions!$H$98+12)=K$4,0,IF(J665=1,PMT(Assumptions!$H$96,Assumptions!$H$98,$C667),J678))),0)</f>
        <v>0</v>
      </c>
      <c r="L678" s="39">
        <f>+IFERROR(-ABS(IF(EDATE(_xlfn.XLOOKUP(1,$H665:$BE665,$H$4:$BE$4),12*Assumptions!$H$98+12)=L$4,0,IF(K665=1,PMT(Assumptions!$H$96,Assumptions!$H$98,$C667),K678))),0)</f>
        <v>0</v>
      </c>
      <c r="M678" s="39">
        <f>+IFERROR(-ABS(IF(EDATE(_xlfn.XLOOKUP(1,$H665:$BE665,$H$4:$BE$4),12*Assumptions!$H$98+12)=M$4,0,IF(L665=1,PMT(Assumptions!$H$96,Assumptions!$H$98,$C667),L678))),0)</f>
        <v>0</v>
      </c>
      <c r="N678" s="39">
        <f>+IFERROR(-ABS(IF(EDATE(_xlfn.XLOOKUP(1,$H665:$BE665,$H$4:$BE$4),12*Assumptions!$H$98+12)=N$4,0,IF(M665=1,PMT(Assumptions!$H$96,Assumptions!$H$98,$C667),M678))),0)</f>
        <v>0</v>
      </c>
      <c r="O678" s="39">
        <f>+IFERROR(-ABS(IF(EDATE(_xlfn.XLOOKUP(1,$H665:$BE665,$H$4:$BE$4),12*Assumptions!$H$98+12)=O$4,0,IF(N665=1,PMT(Assumptions!$H$96,Assumptions!$H$98,$C667),N678))),0)</f>
        <v>0</v>
      </c>
      <c r="P678" s="39">
        <f>+IFERROR(-ABS(IF(EDATE(_xlfn.XLOOKUP(1,$H665:$BE665,$H$4:$BE$4),12*Assumptions!$H$98+12)=P$4,0,IF(O665=1,PMT(Assumptions!$H$96,Assumptions!$H$98,$C667),O678))),0)</f>
        <v>0</v>
      </c>
      <c r="Q678" s="39">
        <f>+IFERROR(-ABS(IF(EDATE(_xlfn.XLOOKUP(1,$H665:$BE665,$H$4:$BE$4),12*Assumptions!$H$98+12)=Q$4,0,IF(P665=1,PMT(Assumptions!$H$96,Assumptions!$H$98,$C667),P678))),0)</f>
        <v>0</v>
      </c>
      <c r="R678" s="39">
        <f>+IFERROR(-ABS(IF(EDATE(_xlfn.XLOOKUP(1,$H665:$BE665,$H$4:$BE$4),12*Assumptions!$H$98+12)=R$4,0,IF(Q665=1,PMT(Assumptions!$H$96,Assumptions!$H$98,$C667),Q678))),0)</f>
        <v>0</v>
      </c>
      <c r="S678" s="39">
        <f>+IFERROR(-ABS(IF(EDATE(_xlfn.XLOOKUP(1,$H665:$BE665,$H$4:$BE$4),12*Assumptions!$H$98+12)=S$4,0,IF(R665=1,PMT(Assumptions!$H$96,Assumptions!$H$98,$C667),R678))),0)</f>
        <v>0</v>
      </c>
      <c r="T678" s="39">
        <f>+IFERROR(-ABS(IF(EDATE(_xlfn.XLOOKUP(1,$H665:$BE665,$H$4:$BE$4),12*Assumptions!$H$98+12)=T$4,0,IF(S665=1,PMT(Assumptions!$H$96,Assumptions!$H$98,$C667),S678))),0)</f>
        <v>0</v>
      </c>
      <c r="U678" s="39">
        <f>+IFERROR(-ABS(IF(EDATE(_xlfn.XLOOKUP(1,$H665:$BE665,$H$4:$BE$4),12*Assumptions!$H$98+12)=U$4,0,IF(T665=1,PMT(Assumptions!$H$96,Assumptions!$H$98,$C667),T678))),0)</f>
        <v>0</v>
      </c>
      <c r="V678" s="39">
        <f>+IFERROR(-ABS(IF(EDATE(_xlfn.XLOOKUP(1,$H665:$BE665,$H$4:$BE$4),12*Assumptions!$H$98+12)=V$4,0,IF(U665=1,PMT(Assumptions!$H$96,Assumptions!$H$98,$C667),U678))),0)</f>
        <v>0</v>
      </c>
      <c r="W678" s="39">
        <f>+IFERROR(-ABS(IF(EDATE(_xlfn.XLOOKUP(1,$H665:$BE665,$H$4:$BE$4),12*Assumptions!$H$98+12)=W$4,0,IF(V665=1,PMT(Assumptions!$H$96,Assumptions!$H$98,$C667),V678))),0)</f>
        <v>0</v>
      </c>
      <c r="X678" s="39">
        <f>+IFERROR(-ABS(IF(EDATE(_xlfn.XLOOKUP(1,$H665:$BE665,$H$4:$BE$4),12*Assumptions!$H$98+12)=X$4,0,IF(W665=1,PMT(Assumptions!$H$96,Assumptions!$H$98,$C667),W678))),0)</f>
        <v>0</v>
      </c>
      <c r="Y678" s="39">
        <f>+IFERROR(-ABS(IF(EDATE(_xlfn.XLOOKUP(1,$H665:$BE665,$H$4:$BE$4),12*Assumptions!$H$98+12)=Y$4,0,IF(X665=1,PMT(Assumptions!$H$96,Assumptions!$H$98,$C667),X678))),0)</f>
        <v>0</v>
      </c>
      <c r="Z678" s="39">
        <f>+IFERROR(-ABS(IF(EDATE(_xlfn.XLOOKUP(1,$H665:$BE665,$H$4:$BE$4),12*Assumptions!$H$98+12)=Z$4,0,IF(Y665=1,PMT(Assumptions!$H$96,Assumptions!$H$98,$C667),Y678))),0)</f>
        <v>0</v>
      </c>
      <c r="AA678" s="39">
        <f>+IFERROR(-ABS(IF(EDATE(_xlfn.XLOOKUP(1,$H665:$BE665,$H$4:$BE$4),12*Assumptions!$H$98+12)=AA$4,0,IF(Z665=1,PMT(Assumptions!$H$96,Assumptions!$H$98,$C667),Z678))),0)</f>
        <v>0</v>
      </c>
      <c r="AB678" s="39">
        <f>+IFERROR(-ABS(IF(EDATE(_xlfn.XLOOKUP(1,$H665:$BE665,$H$4:$BE$4),12*Assumptions!$H$98+12)=AB$4,0,IF(AA665=1,PMT(Assumptions!$H$96,Assumptions!$H$98,$C667),AA678))),0)</f>
        <v>0</v>
      </c>
      <c r="AC678" s="39">
        <f>+IFERROR(-ABS(IF(EDATE(_xlfn.XLOOKUP(1,$H665:$BE665,$H$4:$BE$4),12*Assumptions!$H$98+12)=AC$4,0,IF(AB665=1,PMT(Assumptions!$H$96,Assumptions!$H$98,$C667),AB678))),0)</f>
        <v>0</v>
      </c>
      <c r="AD678" s="39">
        <f>+IFERROR(-ABS(IF(EDATE(_xlfn.XLOOKUP(1,$H665:$BE665,$H$4:$BE$4),12*Assumptions!$H$98+12)=AD$4,0,IF(AC665=1,PMT(Assumptions!$H$96,Assumptions!$H$98,$C667),AC678))),0)</f>
        <v>0</v>
      </c>
      <c r="AE678" s="39">
        <f>+IFERROR(-ABS(IF(EDATE(_xlfn.XLOOKUP(1,$H665:$BE665,$H$4:$BE$4),12*Assumptions!$H$98+12)=AE$4,0,IF(AD665=1,PMT(Assumptions!$H$96,Assumptions!$H$98,$C667),AD678))),0)</f>
        <v>0</v>
      </c>
      <c r="AF678" s="39">
        <f>+IFERROR(-ABS(IF(EDATE(_xlfn.XLOOKUP(1,$H665:$BE665,$H$4:$BE$4),12*Assumptions!$H$98+12)=AF$4,0,IF(AE665=1,PMT(Assumptions!$H$96,Assumptions!$H$98,$C667),AE678))),0)</f>
        <v>0</v>
      </c>
      <c r="AG678" s="39">
        <f>+IFERROR(-ABS(IF(EDATE(_xlfn.XLOOKUP(1,$H665:$BE665,$H$4:$BE$4),12*Assumptions!$H$98+12)=AG$4,0,IF(AF665=1,PMT(Assumptions!$H$96,Assumptions!$H$98,$C667),AF678))),0)</f>
        <v>0</v>
      </c>
      <c r="AH678" s="39">
        <f>+IFERROR(-ABS(IF(EDATE(_xlfn.XLOOKUP(1,$H665:$BE665,$H$4:$BE$4),12*Assumptions!$H$98+12)=AH$4,0,IF(AG665=1,PMT(Assumptions!$H$96,Assumptions!$H$98,$C667),AG678))),0)</f>
        <v>0</v>
      </c>
      <c r="AI678" s="39">
        <f>+IFERROR(-ABS(IF(EDATE(_xlfn.XLOOKUP(1,$H665:$BE665,$H$4:$BE$4),12*Assumptions!$H$98+12)=AI$4,0,IF(AH665=1,PMT(Assumptions!$H$96,Assumptions!$H$98,$C667),AH678))),0)</f>
        <v>0</v>
      </c>
      <c r="AJ678" s="39">
        <f>+IFERROR(-ABS(IF(EDATE(_xlfn.XLOOKUP(1,$H665:$BE665,$H$4:$BE$4),12*Assumptions!$H$98+12)=AJ$4,0,IF(AI665=1,PMT(Assumptions!$H$96,Assumptions!$H$98,$C667),AI678))),0)</f>
        <v>0</v>
      </c>
      <c r="AK678" s="39">
        <f>+IFERROR(-ABS(IF(EDATE(_xlfn.XLOOKUP(1,$H665:$BE665,$H$4:$BE$4),12*Assumptions!$H$98+12)=AK$4,0,IF(AJ665=1,PMT(Assumptions!$H$96,Assumptions!$H$98,$C667),AJ678))),0)</f>
        <v>0</v>
      </c>
      <c r="AL678" s="39">
        <f>+IFERROR(-ABS(IF(EDATE(_xlfn.XLOOKUP(1,$H665:$BE665,$H$4:$BE$4),12*Assumptions!$H$98+12)=AL$4,0,IF(AK665=1,PMT(Assumptions!$H$96,Assumptions!$H$98,$C667),AK678))),0)</f>
        <v>0</v>
      </c>
      <c r="AM678" s="39">
        <f>+IFERROR(-ABS(IF(EDATE(_xlfn.XLOOKUP(1,$H665:$BE665,$H$4:$BE$4),12*Assumptions!$H$98+12)=AM$4,0,IF(AL665=1,PMT(Assumptions!$H$96,Assumptions!$H$98,$C667),AL678))),0)</f>
        <v>0</v>
      </c>
      <c r="AN678" s="39">
        <f>+IFERROR(-ABS(IF(EDATE(_xlfn.XLOOKUP(1,$H665:$BE665,$H$4:$BE$4),12*Assumptions!$H$98+12)=AN$4,0,IF(AM665=1,PMT(Assumptions!$H$96,Assumptions!$H$98,$C667),AM678))),0)</f>
        <v>0</v>
      </c>
      <c r="AO678" s="39">
        <f>+IFERROR(-ABS(IF(EDATE(_xlfn.XLOOKUP(1,$H665:$BE665,$H$4:$BE$4),12*Assumptions!$H$98+12)=AO$4,0,IF(AN665=1,PMT(Assumptions!$H$96,Assumptions!$H$98,$C667),AN678))),0)</f>
        <v>0</v>
      </c>
      <c r="AP678" s="39">
        <f>+IFERROR(-ABS(IF(EDATE(_xlfn.XLOOKUP(1,$H665:$BE665,$H$4:$BE$4),12*Assumptions!$H$98+12)=AP$4,0,IF(AO665=1,PMT(Assumptions!$H$96,Assumptions!$H$98,$C667),AO678))),0)</f>
        <v>0</v>
      </c>
      <c r="AQ678" s="39">
        <f>+IFERROR(-ABS(IF(EDATE(_xlfn.XLOOKUP(1,$H665:$BE665,$H$4:$BE$4),12*Assumptions!$H$98+12)=AQ$4,0,IF(AP665=1,PMT(Assumptions!$H$96,Assumptions!$H$98,$C667),AP678))),0)</f>
        <v>0</v>
      </c>
      <c r="AR678" s="39">
        <f>+IFERROR(-ABS(IF(EDATE(_xlfn.XLOOKUP(1,$H665:$BE665,$H$4:$BE$4),12*Assumptions!$H$98+12)=AR$4,0,IF(AQ665=1,PMT(Assumptions!$H$96,Assumptions!$H$98,$C667),AQ678))),0)</f>
        <v>0</v>
      </c>
      <c r="AS678" s="39">
        <f>+IFERROR(-ABS(IF(EDATE(_xlfn.XLOOKUP(1,$H665:$BE665,$H$4:$BE$4),12*Assumptions!$H$98+12)=AS$4,0,IF(AR665=1,PMT(Assumptions!$H$96,Assumptions!$H$98,$C667),AR678))),0)</f>
        <v>0</v>
      </c>
      <c r="AT678" s="39">
        <f>+IFERROR(-ABS(IF(EDATE(_xlfn.XLOOKUP(1,$H665:$BE665,$H$4:$BE$4),12*Assumptions!$H$98+12)=AT$4,0,IF(AS665=1,PMT(Assumptions!$H$96,Assumptions!$H$98,$C667),AS678))),0)</f>
        <v>0</v>
      </c>
      <c r="AU678" s="39">
        <f>+IFERROR(-ABS(IF(EDATE(_xlfn.XLOOKUP(1,$H665:$BE665,$H$4:$BE$4),12*Assumptions!$H$98+12)=AU$4,0,IF(AT665=1,PMT(Assumptions!$H$96,Assumptions!$H$98,$C667),AT678))),0)</f>
        <v>0</v>
      </c>
      <c r="AV678" s="39">
        <f>+IFERROR(-ABS(IF(EDATE(_xlfn.XLOOKUP(1,$H665:$BE665,$H$4:$BE$4),12*Assumptions!$H$98+12)=AV$4,0,IF(AU665=1,PMT(Assumptions!$H$96,Assumptions!$H$98,$C667),AU678))),0)</f>
        <v>0</v>
      </c>
      <c r="AW678" s="39">
        <f>+IFERROR(-ABS(IF(EDATE(_xlfn.XLOOKUP(1,$H665:$BE665,$H$4:$BE$4),12*Assumptions!$H$98+12)=AW$4,0,IF(AV665=1,PMT(Assumptions!$H$96,Assumptions!$H$98,$C667),AV678))),0)</f>
        <v>0</v>
      </c>
      <c r="AX678" s="39">
        <f>+IFERROR(-ABS(IF(EDATE(_xlfn.XLOOKUP(1,$H665:$BE665,$H$4:$BE$4),12*Assumptions!$H$98+12)=AX$4,0,IF(AW665=1,PMT(Assumptions!$H$96,Assumptions!$H$98,$C667),AW678))),0)</f>
        <v>0</v>
      </c>
      <c r="AY678" s="39">
        <f>+IFERROR(-ABS(IF(EDATE(_xlfn.XLOOKUP(1,$H665:$BE665,$H$4:$BE$4),12*Assumptions!$H$98+12)=AY$4,0,IF(AX665=1,PMT(Assumptions!$H$96,Assumptions!$H$98,$C667),AX678))),0)</f>
        <v>0</v>
      </c>
      <c r="AZ678" s="39">
        <f>+IFERROR(-ABS(IF(EDATE(_xlfn.XLOOKUP(1,$H665:$BE665,$H$4:$BE$4),12*Assumptions!$H$98+12)=AZ$4,0,IF(AY665=1,PMT(Assumptions!$H$96,Assumptions!$H$98,$C667),AY678))),0)</f>
        <v>0</v>
      </c>
      <c r="BA678" s="39">
        <f>+IFERROR(-ABS(IF(EDATE(_xlfn.XLOOKUP(1,$H665:$BE665,$H$4:$BE$4),12*Assumptions!$H$98+12)=BA$4,0,IF(AZ665=1,PMT(Assumptions!$H$96,Assumptions!$H$98,$C667),AZ678))),0)</f>
        <v>0</v>
      </c>
      <c r="BB678" s="39">
        <f>+IFERROR(-ABS(IF(EDATE(_xlfn.XLOOKUP(1,$H665:$BE665,$H$4:$BE$4),12*Assumptions!$H$98+12)=BB$4,0,IF(BA665=1,PMT(Assumptions!$H$96,Assumptions!$H$98,$C667),BA678))),0)</f>
        <v>0</v>
      </c>
      <c r="BC678" s="39">
        <f>+IFERROR(-ABS(IF(EDATE(_xlfn.XLOOKUP(1,$H665:$BE665,$H$4:$BE$4),12*Assumptions!$H$98+12)=BC$4,0,IF(BB665=1,PMT(Assumptions!$H$96,Assumptions!$H$98,$C667),BB678))),0)</f>
        <v>0</v>
      </c>
      <c r="BD678" s="39">
        <f>+IFERROR(-ABS(IF(EDATE(_xlfn.XLOOKUP(1,$H665:$BE665,$H$4:$BE$4),12*Assumptions!$H$98+12)=BD$4,0,IF(BC665=1,PMT(Assumptions!$H$96,Assumptions!$H$98,$C667),BC678))),0)</f>
        <v>0</v>
      </c>
      <c r="BE678" s="39">
        <f>+IFERROR(-ABS(IF(EDATE(_xlfn.XLOOKUP(1,$H665:$BE665,$H$4:$BE$4),12*Assumptions!$H$98+12)=BE$4,0,IF(BD665=1,PMT(Assumptions!$H$96,Assumptions!$H$98,$C667),BD678))),0)</f>
        <v>0</v>
      </c>
      <c r="BF678" s="39">
        <f>+IFERROR(-ABS(IF(EDATE(_xlfn.XLOOKUP(1,$H665:$BE665,$H$4:$BE$4),12*Assumptions!$H$98+12)=BF$4,0,IF(BE665=1,PMT(Assumptions!$H$96,Assumptions!$H$98,$C667),BE678))),0)</f>
        <v>0</v>
      </c>
      <c r="BG678" s="39">
        <f>+IFERROR(-ABS(IF(EDATE(_xlfn.XLOOKUP(1,$H665:$BE665,$H$4:$BE$4),12*Assumptions!$H$98+12)=BG$4,0,IF(BF665=1,PMT(Assumptions!$H$96,Assumptions!$H$98,$C667),BF678))),0)</f>
        <v>0</v>
      </c>
      <c r="BH678" s="39">
        <f>+IFERROR(-ABS(IF(EDATE(_xlfn.XLOOKUP(1,$H665:$BE665,$H$4:$BE$4),12*Assumptions!$H$98+12)=BH$4,0,IF(BG665=1,PMT(Assumptions!$H$96,Assumptions!$H$98,$C667),BG678))),0)</f>
        <v>0</v>
      </c>
      <c r="BI678" s="39">
        <f>+IFERROR(-ABS(IF(EDATE(_xlfn.XLOOKUP(1,$H665:$BE665,$H$4:$BE$4),12*Assumptions!$H$98+12)=BI$4,0,IF(BH665=1,PMT(Assumptions!$H$96,Assumptions!$H$98,$C667),BH678))),0)</f>
        <v>0</v>
      </c>
      <c r="BJ678" s="39">
        <f>+IFERROR(-ABS(IF(EDATE(_xlfn.XLOOKUP(1,$H665:$BE665,$H$4:$BE$4),12*Assumptions!$H$98+12)=BJ$4,0,IF(BI665=1,PMT(Assumptions!$H$96,Assumptions!$H$98,$C667),BI678))),0)</f>
        <v>0</v>
      </c>
      <c r="BK678" s="39">
        <f>+IFERROR(-ABS(IF(EDATE(_xlfn.XLOOKUP(1,$H665:$BE665,$H$4:$BE$4),12*Assumptions!$H$98+12)=BK$4,0,IF(BJ665=1,PMT(Assumptions!$H$96,Assumptions!$H$98,$C667),BJ678))),0)</f>
        <v>0</v>
      </c>
      <c r="BL678" s="39">
        <f>+IFERROR(-ABS(IF(EDATE(_xlfn.XLOOKUP(1,$H665:$BE665,$H$4:$BE$4),12*Assumptions!$H$98+12)=BL$4,0,IF(BK665=1,PMT(Assumptions!$H$96,Assumptions!$H$98,$C667),BK678))),0)</f>
        <v>0</v>
      </c>
      <c r="BM678" s="39">
        <f>+IFERROR(-ABS(IF(EDATE(_xlfn.XLOOKUP(1,$H665:$BE665,$H$4:$BE$4),12*Assumptions!$H$98+12)=BM$4,0,IF(BL665=1,PMT(Assumptions!$H$96,Assumptions!$H$98,$C667),BL678))),0)</f>
        <v>0</v>
      </c>
      <c r="BN678" s="39">
        <f>+IFERROR(-ABS(IF(EDATE(_xlfn.XLOOKUP(1,$H665:$BE665,$H$4:$BE$4),12*Assumptions!$H$98+12)=BN$4,0,IF(BM665=1,PMT(Assumptions!$H$96,Assumptions!$H$98,$C667),BM678))),0)</f>
        <v>0</v>
      </c>
      <c r="BO678" s="39">
        <f>+IFERROR(-ABS(IF(EDATE(_xlfn.XLOOKUP(1,$H665:$BE665,$H$4:$BE$4),12*Assumptions!$H$98+12)=BO$4,0,IF(BN665=1,PMT(Assumptions!$H$96,Assumptions!$H$98,$C667),BN678))),0)</f>
        <v>0</v>
      </c>
      <c r="BP678" s="39">
        <f>+IFERROR(-ABS(IF(EDATE(_xlfn.XLOOKUP(1,$H665:$BE665,$H$4:$BE$4),12*Assumptions!$H$98+12)=BP$4,0,IF(BO665=1,PMT(Assumptions!$H$96,Assumptions!$H$98,$C667),BO678))),0)</f>
        <v>0</v>
      </c>
      <c r="BQ678" s="39">
        <f>+IFERROR(-ABS(IF(EDATE(_xlfn.XLOOKUP(1,$H665:$BE665,$H$4:$BE$4),12*Assumptions!$H$98+12)=BQ$4,0,IF(BP665=1,PMT(Assumptions!$H$96,Assumptions!$H$98,$C667),BP678))),0)</f>
        <v>0</v>
      </c>
      <c r="BR678" s="39">
        <f>+IFERROR(-ABS(IF(EDATE(_xlfn.XLOOKUP(1,$H665:$BE665,$H$4:$BE$4),12*Assumptions!$H$98+12)=BR$4,0,IF(BQ665=1,PMT(Assumptions!$H$96,Assumptions!$H$98,$C667),BQ678))),0)</f>
        <v>0</v>
      </c>
      <c r="BS678" s="39">
        <f>+IFERROR(-ABS(IF(EDATE(_xlfn.XLOOKUP(1,$H665:$BE665,$H$4:$BE$4),12*Assumptions!$H$98+12)=BS$4,0,IF(BR665=1,PMT(Assumptions!$H$96,Assumptions!$H$98,$C667),BR678))),0)</f>
        <v>0</v>
      </c>
      <c r="BT678" s="39">
        <f>+IFERROR(-ABS(IF(EDATE(_xlfn.XLOOKUP(1,$H665:$BE665,$H$4:$BE$4),12*Assumptions!$H$98+12)=BT$4,0,IF(BS665=1,PMT(Assumptions!$H$96,Assumptions!$H$98,$C667),BS678))),0)</f>
        <v>0</v>
      </c>
      <c r="BU678" s="39">
        <f>+IFERROR(-ABS(IF(EDATE(_xlfn.XLOOKUP(1,$H665:$BE665,$H$4:$BE$4),12*Assumptions!$H$98+12)=BU$4,0,IF(BT665=1,PMT(Assumptions!$H$96,Assumptions!$H$98,$C667),BT678))),0)</f>
        <v>0</v>
      </c>
      <c r="BV678" s="39">
        <f>+IFERROR(-ABS(IF(EDATE(_xlfn.XLOOKUP(1,$H665:$BE665,$H$4:$BE$4),12*Assumptions!$H$98+12)=BV$4,0,IF(BU665=1,PMT(Assumptions!$H$96,Assumptions!$H$98,$C667),BU678))),0)</f>
        <v>0</v>
      </c>
      <c r="BW678" s="39">
        <f>+IFERROR(-ABS(IF(EDATE(_xlfn.XLOOKUP(1,$H665:$BE665,$H$4:$BE$4),12*Assumptions!$H$98+12)=BW$4,0,IF(BV665=1,PMT(Assumptions!$H$96,Assumptions!$H$98,$C667),BV678))),0)</f>
        <v>0</v>
      </c>
      <c r="BX678" s="39">
        <f>+IFERROR(-ABS(IF(EDATE(_xlfn.XLOOKUP(1,$H665:$BE665,$H$4:$BE$4),12*Assumptions!$H$98+12)=BX$4,0,IF(BW665=1,PMT(Assumptions!$H$96,Assumptions!$H$98,$C667),BW678))),0)</f>
        <v>0</v>
      </c>
      <c r="BY678" s="39">
        <f>+IFERROR(-ABS(IF(EDATE(_xlfn.XLOOKUP(1,$H665:$BE665,$H$4:$BE$4),12*Assumptions!$H$98+12)=BY$4,0,IF(BX665=1,PMT(Assumptions!$H$96,Assumptions!$H$98,$C667),BX678))),0)</f>
        <v>0</v>
      </c>
    </row>
    <row r="679" spans="5:77" outlineLevel="1">
      <c r="E679" s="24" t="s">
        <v>516</v>
      </c>
      <c r="F679" s="80" t="str">
        <f>+Assumptions!$G$8</f>
        <v>USD</v>
      </c>
      <c r="G679" s="24"/>
      <c r="H679" s="39">
        <f>+IFERROR(-ABS(IF(EDATE(_xlfn.XLOOKUP(1,$H666:$BE666,$H$4:$BE$4),12*Assumptions!$H$98+12)=H$4,0,IF(G666=1,PMT(Assumptions!$H$96,Assumptions!$H$98,$C668),G679))),0)</f>
        <v>0</v>
      </c>
      <c r="I679" s="39">
        <f>+IFERROR(-ABS(IF(EDATE(_xlfn.XLOOKUP(1,$H666:$BE666,$H$4:$BE$4),12*Assumptions!$H$98+12)=I$4,0,IF(H666=1,PMT(Assumptions!$H$96,Assumptions!$H$98,$C668),H679))),0)</f>
        <v>0</v>
      </c>
      <c r="J679" s="39">
        <f>+IFERROR(-ABS(IF(EDATE(_xlfn.XLOOKUP(1,$H666:$BE666,$H$4:$BE$4),12*Assumptions!$H$98+12)=J$4,0,IF(I666=1,PMT(Assumptions!$H$96,Assumptions!$H$98,$C668),I679))),0)</f>
        <v>0</v>
      </c>
      <c r="K679" s="39">
        <f>+IFERROR(-ABS(IF(EDATE(_xlfn.XLOOKUP(1,$H666:$BE666,$H$4:$BE$4),12*Assumptions!$H$98+12)=K$4,0,IF(J666=1,PMT(Assumptions!$H$96,Assumptions!$H$98,$C668),J679))),0)</f>
        <v>0</v>
      </c>
      <c r="L679" s="39">
        <f>+IFERROR(-ABS(IF(EDATE(_xlfn.XLOOKUP(1,$H666:$BE666,$H$4:$BE$4),12*Assumptions!$H$98+12)=L$4,0,IF(K666=1,PMT(Assumptions!$H$96,Assumptions!$H$98,$C668),K679))),0)</f>
        <v>0</v>
      </c>
      <c r="M679" s="39">
        <f>+IFERROR(-ABS(IF(EDATE(_xlfn.XLOOKUP(1,$H666:$BE666,$H$4:$BE$4),12*Assumptions!$H$98+12)=M$4,0,IF(L666=1,PMT(Assumptions!$H$96,Assumptions!$H$98,$C668),L679))),0)</f>
        <v>0</v>
      </c>
      <c r="N679" s="39">
        <f>+IFERROR(-ABS(IF(EDATE(_xlfn.XLOOKUP(1,$H666:$BE666,$H$4:$BE$4),12*Assumptions!$H$98+12)=N$4,0,IF(M666=1,PMT(Assumptions!$H$96,Assumptions!$H$98,$C668),M679))),0)</f>
        <v>0</v>
      </c>
      <c r="O679" s="39">
        <f>+IFERROR(-ABS(IF(EDATE(_xlfn.XLOOKUP(1,$H666:$BE666,$H$4:$BE$4),12*Assumptions!$H$98+12)=O$4,0,IF(N666=1,PMT(Assumptions!$H$96,Assumptions!$H$98,$C668),N679))),0)</f>
        <v>0</v>
      </c>
      <c r="P679" s="39">
        <f>+IFERROR(-ABS(IF(EDATE(_xlfn.XLOOKUP(1,$H666:$BE666,$H$4:$BE$4),12*Assumptions!$H$98+12)=P$4,0,IF(O666=1,PMT(Assumptions!$H$96,Assumptions!$H$98,$C668),O679))),0)</f>
        <v>0</v>
      </c>
      <c r="Q679" s="39">
        <f>+IFERROR(-ABS(IF(EDATE(_xlfn.XLOOKUP(1,$H666:$BE666,$H$4:$BE$4),12*Assumptions!$H$98+12)=Q$4,0,IF(P666=1,PMT(Assumptions!$H$96,Assumptions!$H$98,$C668),P679))),0)</f>
        <v>0</v>
      </c>
      <c r="R679" s="39">
        <f>+IFERROR(-ABS(IF(EDATE(_xlfn.XLOOKUP(1,$H666:$BE666,$H$4:$BE$4),12*Assumptions!$H$98+12)=R$4,0,IF(Q666=1,PMT(Assumptions!$H$96,Assumptions!$H$98,$C668),Q679))),0)</f>
        <v>0</v>
      </c>
      <c r="S679" s="39">
        <f>+IFERROR(-ABS(IF(EDATE(_xlfn.XLOOKUP(1,$H666:$BE666,$H$4:$BE$4),12*Assumptions!$H$98+12)=S$4,0,IF(R666=1,PMT(Assumptions!$H$96,Assumptions!$H$98,$C668),R679))),0)</f>
        <v>0</v>
      </c>
      <c r="T679" s="39">
        <f>+IFERROR(-ABS(IF(EDATE(_xlfn.XLOOKUP(1,$H666:$BE666,$H$4:$BE$4),12*Assumptions!$H$98+12)=T$4,0,IF(S666=1,PMT(Assumptions!$H$96,Assumptions!$H$98,$C668),S679))),0)</f>
        <v>0</v>
      </c>
      <c r="U679" s="39">
        <f>+IFERROR(-ABS(IF(EDATE(_xlfn.XLOOKUP(1,$H666:$BE666,$H$4:$BE$4),12*Assumptions!$H$98+12)=U$4,0,IF(T666=1,PMT(Assumptions!$H$96,Assumptions!$H$98,$C668),T679))),0)</f>
        <v>0</v>
      </c>
      <c r="V679" s="39">
        <f>+IFERROR(-ABS(IF(EDATE(_xlfn.XLOOKUP(1,$H666:$BE666,$H$4:$BE$4),12*Assumptions!$H$98+12)=V$4,0,IF(U666=1,PMT(Assumptions!$H$96,Assumptions!$H$98,$C668),U679))),0)</f>
        <v>0</v>
      </c>
      <c r="W679" s="39">
        <f>+IFERROR(-ABS(IF(EDATE(_xlfn.XLOOKUP(1,$H666:$BE666,$H$4:$BE$4),12*Assumptions!$H$98+12)=W$4,0,IF(V666=1,PMT(Assumptions!$H$96,Assumptions!$H$98,$C668),V679))),0)</f>
        <v>0</v>
      </c>
      <c r="X679" s="39">
        <f>+IFERROR(-ABS(IF(EDATE(_xlfn.XLOOKUP(1,$H666:$BE666,$H$4:$BE$4),12*Assumptions!$H$98+12)=X$4,0,IF(W666=1,PMT(Assumptions!$H$96,Assumptions!$H$98,$C668),W679))),0)</f>
        <v>0</v>
      </c>
      <c r="Y679" s="39">
        <f>+IFERROR(-ABS(IF(EDATE(_xlfn.XLOOKUP(1,$H666:$BE666,$H$4:$BE$4),12*Assumptions!$H$98+12)=Y$4,0,IF(X666=1,PMT(Assumptions!$H$96,Assumptions!$H$98,$C668),X679))),0)</f>
        <v>0</v>
      </c>
      <c r="Z679" s="39">
        <f>+IFERROR(-ABS(IF(EDATE(_xlfn.XLOOKUP(1,$H666:$BE666,$H$4:$BE$4),12*Assumptions!$H$98+12)=Z$4,0,IF(Y666=1,PMT(Assumptions!$H$96,Assumptions!$H$98,$C668),Y679))),0)</f>
        <v>0</v>
      </c>
      <c r="AA679" s="39">
        <f>+IFERROR(-ABS(IF(EDATE(_xlfn.XLOOKUP(1,$H666:$BE666,$H$4:$BE$4),12*Assumptions!$H$98+12)=AA$4,0,IF(Z666=1,PMT(Assumptions!$H$96,Assumptions!$H$98,$C668),Z679))),0)</f>
        <v>0</v>
      </c>
      <c r="AB679" s="39">
        <f>+IFERROR(-ABS(IF(EDATE(_xlfn.XLOOKUP(1,$H666:$BE666,$H$4:$BE$4),12*Assumptions!$H$98+12)=AB$4,0,IF(AA666=1,PMT(Assumptions!$H$96,Assumptions!$H$98,$C668),AA679))),0)</f>
        <v>0</v>
      </c>
      <c r="AC679" s="39">
        <f>+IFERROR(-ABS(IF(EDATE(_xlfn.XLOOKUP(1,$H666:$BE666,$H$4:$BE$4),12*Assumptions!$H$98+12)=AC$4,0,IF(AB666=1,PMT(Assumptions!$H$96,Assumptions!$H$98,$C668),AB679))),0)</f>
        <v>0</v>
      </c>
      <c r="AD679" s="39">
        <f>+IFERROR(-ABS(IF(EDATE(_xlfn.XLOOKUP(1,$H666:$BE666,$H$4:$BE$4),12*Assumptions!$H$98+12)=AD$4,0,IF(AC666=1,PMT(Assumptions!$H$96,Assumptions!$H$98,$C668),AC679))),0)</f>
        <v>0</v>
      </c>
      <c r="AE679" s="39">
        <f>+IFERROR(-ABS(IF(EDATE(_xlfn.XLOOKUP(1,$H666:$BE666,$H$4:$BE$4),12*Assumptions!$H$98+12)=AE$4,0,IF(AD666=1,PMT(Assumptions!$H$96,Assumptions!$H$98,$C668),AD679))),0)</f>
        <v>0</v>
      </c>
      <c r="AF679" s="39">
        <f>+IFERROR(-ABS(IF(EDATE(_xlfn.XLOOKUP(1,$H666:$BE666,$H$4:$BE$4),12*Assumptions!$H$98+12)=AF$4,0,IF(AE666=1,PMT(Assumptions!$H$96,Assumptions!$H$98,$C668),AE679))),0)</f>
        <v>0</v>
      </c>
      <c r="AG679" s="39">
        <f>+IFERROR(-ABS(IF(EDATE(_xlfn.XLOOKUP(1,$H666:$BE666,$H$4:$BE$4),12*Assumptions!$H$98+12)=AG$4,0,IF(AF666=1,PMT(Assumptions!$H$96,Assumptions!$H$98,$C668),AF679))),0)</f>
        <v>0</v>
      </c>
      <c r="AH679" s="39">
        <f>+IFERROR(-ABS(IF(EDATE(_xlfn.XLOOKUP(1,$H666:$BE666,$H$4:$BE$4),12*Assumptions!$H$98+12)=AH$4,0,IF(AG666=1,PMT(Assumptions!$H$96,Assumptions!$H$98,$C668),AG679))),0)</f>
        <v>0</v>
      </c>
      <c r="AI679" s="39">
        <f>+IFERROR(-ABS(IF(EDATE(_xlfn.XLOOKUP(1,$H666:$BE666,$H$4:$BE$4),12*Assumptions!$H$98+12)=AI$4,0,IF(AH666=1,PMT(Assumptions!$H$96,Assumptions!$H$98,$C668),AH679))),0)</f>
        <v>0</v>
      </c>
      <c r="AJ679" s="39">
        <f>+IFERROR(-ABS(IF(EDATE(_xlfn.XLOOKUP(1,$H666:$BE666,$H$4:$BE$4),12*Assumptions!$H$98+12)=AJ$4,0,IF(AI666=1,PMT(Assumptions!$H$96,Assumptions!$H$98,$C668),AI679))),0)</f>
        <v>0</v>
      </c>
      <c r="AK679" s="39">
        <f>+IFERROR(-ABS(IF(EDATE(_xlfn.XLOOKUP(1,$H666:$BE666,$H$4:$BE$4),12*Assumptions!$H$98+12)=AK$4,0,IF(AJ666=1,PMT(Assumptions!$H$96,Assumptions!$H$98,$C668),AJ679))),0)</f>
        <v>0</v>
      </c>
      <c r="AL679" s="39">
        <f>+IFERROR(-ABS(IF(EDATE(_xlfn.XLOOKUP(1,$H666:$BE666,$H$4:$BE$4),12*Assumptions!$H$98+12)=AL$4,0,IF(AK666=1,PMT(Assumptions!$H$96,Assumptions!$H$98,$C668),AK679))),0)</f>
        <v>0</v>
      </c>
      <c r="AM679" s="39">
        <f>+IFERROR(-ABS(IF(EDATE(_xlfn.XLOOKUP(1,$H666:$BE666,$H$4:$BE$4),12*Assumptions!$H$98+12)=AM$4,0,IF(AL666=1,PMT(Assumptions!$H$96,Assumptions!$H$98,$C668),AL679))),0)</f>
        <v>0</v>
      </c>
      <c r="AN679" s="39">
        <f>+IFERROR(-ABS(IF(EDATE(_xlfn.XLOOKUP(1,$H666:$BE666,$H$4:$BE$4),12*Assumptions!$H$98+12)=AN$4,0,IF(AM666=1,PMT(Assumptions!$H$96,Assumptions!$H$98,$C668),AM679))),0)</f>
        <v>0</v>
      </c>
      <c r="AO679" s="39">
        <f>+IFERROR(-ABS(IF(EDATE(_xlfn.XLOOKUP(1,$H666:$BE666,$H$4:$BE$4),12*Assumptions!$H$98+12)=AO$4,0,IF(AN666=1,PMT(Assumptions!$H$96,Assumptions!$H$98,$C668),AN679))),0)</f>
        <v>0</v>
      </c>
      <c r="AP679" s="39">
        <f>+IFERROR(-ABS(IF(EDATE(_xlfn.XLOOKUP(1,$H666:$BE666,$H$4:$BE$4),12*Assumptions!$H$98+12)=AP$4,0,IF(AO666=1,PMT(Assumptions!$H$96,Assumptions!$H$98,$C668),AO679))),0)</f>
        <v>0</v>
      </c>
      <c r="AQ679" s="39">
        <f>+IFERROR(-ABS(IF(EDATE(_xlfn.XLOOKUP(1,$H666:$BE666,$H$4:$BE$4),12*Assumptions!$H$98+12)=AQ$4,0,IF(AP666=1,PMT(Assumptions!$H$96,Assumptions!$H$98,$C668),AP679))),0)</f>
        <v>0</v>
      </c>
      <c r="AR679" s="39">
        <f>+IFERROR(-ABS(IF(EDATE(_xlfn.XLOOKUP(1,$H666:$BE666,$H$4:$BE$4),12*Assumptions!$H$98+12)=AR$4,0,IF(AQ666=1,PMT(Assumptions!$H$96,Assumptions!$H$98,$C668),AQ679))),0)</f>
        <v>0</v>
      </c>
      <c r="AS679" s="39">
        <f>+IFERROR(-ABS(IF(EDATE(_xlfn.XLOOKUP(1,$H666:$BE666,$H$4:$BE$4),12*Assumptions!$H$98+12)=AS$4,0,IF(AR666=1,PMT(Assumptions!$H$96,Assumptions!$H$98,$C668),AR679))),0)</f>
        <v>0</v>
      </c>
      <c r="AT679" s="39">
        <f>+IFERROR(-ABS(IF(EDATE(_xlfn.XLOOKUP(1,$H666:$BE666,$H$4:$BE$4),12*Assumptions!$H$98+12)=AT$4,0,IF(AS666=1,PMT(Assumptions!$H$96,Assumptions!$H$98,$C668),AS679))),0)</f>
        <v>0</v>
      </c>
      <c r="AU679" s="39">
        <f>+IFERROR(-ABS(IF(EDATE(_xlfn.XLOOKUP(1,$H666:$BE666,$H$4:$BE$4),12*Assumptions!$H$98+12)=AU$4,0,IF(AT666=1,PMT(Assumptions!$H$96,Assumptions!$H$98,$C668),AT679))),0)</f>
        <v>0</v>
      </c>
      <c r="AV679" s="39">
        <f>+IFERROR(-ABS(IF(EDATE(_xlfn.XLOOKUP(1,$H666:$BE666,$H$4:$BE$4),12*Assumptions!$H$98+12)=AV$4,0,IF(AU666=1,PMT(Assumptions!$H$96,Assumptions!$H$98,$C668),AU679))),0)</f>
        <v>0</v>
      </c>
      <c r="AW679" s="39">
        <f>+IFERROR(-ABS(IF(EDATE(_xlfn.XLOOKUP(1,$H666:$BE666,$H$4:$BE$4),12*Assumptions!$H$98+12)=AW$4,0,IF(AV666=1,PMT(Assumptions!$H$96,Assumptions!$H$98,$C668),AV679))),0)</f>
        <v>0</v>
      </c>
      <c r="AX679" s="39">
        <f>+IFERROR(-ABS(IF(EDATE(_xlfn.XLOOKUP(1,$H666:$BE666,$H$4:$BE$4),12*Assumptions!$H$98+12)=AX$4,0,IF(AW666=1,PMT(Assumptions!$H$96,Assumptions!$H$98,$C668),AW679))),0)</f>
        <v>0</v>
      </c>
      <c r="AY679" s="39">
        <f>+IFERROR(-ABS(IF(EDATE(_xlfn.XLOOKUP(1,$H666:$BE666,$H$4:$BE$4),12*Assumptions!$H$98+12)=AY$4,0,IF(AX666=1,PMT(Assumptions!$H$96,Assumptions!$H$98,$C668),AX679))),0)</f>
        <v>0</v>
      </c>
      <c r="AZ679" s="39">
        <f>+IFERROR(-ABS(IF(EDATE(_xlfn.XLOOKUP(1,$H666:$BE666,$H$4:$BE$4),12*Assumptions!$H$98+12)=AZ$4,0,IF(AY666=1,PMT(Assumptions!$H$96,Assumptions!$H$98,$C668),AY679))),0)</f>
        <v>0</v>
      </c>
      <c r="BA679" s="39">
        <f>+IFERROR(-ABS(IF(EDATE(_xlfn.XLOOKUP(1,$H666:$BE666,$H$4:$BE$4),12*Assumptions!$H$98+12)=BA$4,0,IF(AZ666=1,PMT(Assumptions!$H$96,Assumptions!$H$98,$C668),AZ679))),0)</f>
        <v>0</v>
      </c>
      <c r="BB679" s="39">
        <f>+IFERROR(-ABS(IF(EDATE(_xlfn.XLOOKUP(1,$H666:$BE666,$H$4:$BE$4),12*Assumptions!$H$98+12)=BB$4,0,IF(BA666=1,PMT(Assumptions!$H$96,Assumptions!$H$98,$C668),BA679))),0)</f>
        <v>0</v>
      </c>
      <c r="BC679" s="39">
        <f>+IFERROR(-ABS(IF(EDATE(_xlfn.XLOOKUP(1,$H666:$BE666,$H$4:$BE$4),12*Assumptions!$H$98+12)=BC$4,0,IF(BB666=1,PMT(Assumptions!$H$96,Assumptions!$H$98,$C668),BB679))),0)</f>
        <v>0</v>
      </c>
      <c r="BD679" s="39">
        <f>+IFERROR(-ABS(IF(EDATE(_xlfn.XLOOKUP(1,$H666:$BE666,$H$4:$BE$4),12*Assumptions!$H$98+12)=BD$4,0,IF(BC666=1,PMT(Assumptions!$H$96,Assumptions!$H$98,$C668),BC679))),0)</f>
        <v>0</v>
      </c>
      <c r="BE679" s="39">
        <f>+IFERROR(-ABS(IF(EDATE(_xlfn.XLOOKUP(1,$H666:$BE666,$H$4:$BE$4),12*Assumptions!$H$98+12)=BE$4,0,IF(BD666=1,PMT(Assumptions!$H$96,Assumptions!$H$98,$C668),BD679))),0)</f>
        <v>0</v>
      </c>
      <c r="BF679" s="39">
        <f>+IFERROR(-ABS(IF(EDATE(_xlfn.XLOOKUP(1,$H666:$BE666,$H$4:$BE$4),12*Assumptions!$H$98+12)=BF$4,0,IF(BE666=1,PMT(Assumptions!$H$96,Assumptions!$H$98,$C668),BE679))),0)</f>
        <v>0</v>
      </c>
      <c r="BG679" s="39">
        <f>+IFERROR(-ABS(IF(EDATE(_xlfn.XLOOKUP(1,$H666:$BE666,$H$4:$BE$4),12*Assumptions!$H$98+12)=BG$4,0,IF(BF666=1,PMT(Assumptions!$H$96,Assumptions!$H$98,$C668),BF679))),0)</f>
        <v>0</v>
      </c>
      <c r="BH679" s="39">
        <f>+IFERROR(-ABS(IF(EDATE(_xlfn.XLOOKUP(1,$H666:$BE666,$H$4:$BE$4),12*Assumptions!$H$98+12)=BH$4,0,IF(BG666=1,PMT(Assumptions!$H$96,Assumptions!$H$98,$C668),BG679))),0)</f>
        <v>0</v>
      </c>
      <c r="BI679" s="39">
        <f>+IFERROR(-ABS(IF(EDATE(_xlfn.XLOOKUP(1,$H666:$BE666,$H$4:$BE$4),12*Assumptions!$H$98+12)=BI$4,0,IF(BH666=1,PMT(Assumptions!$H$96,Assumptions!$H$98,$C668),BH679))),0)</f>
        <v>0</v>
      </c>
      <c r="BJ679" s="39">
        <f>+IFERROR(-ABS(IF(EDATE(_xlfn.XLOOKUP(1,$H666:$BE666,$H$4:$BE$4),12*Assumptions!$H$98+12)=BJ$4,0,IF(BI666=1,PMT(Assumptions!$H$96,Assumptions!$H$98,$C668),BI679))),0)</f>
        <v>0</v>
      </c>
      <c r="BK679" s="39">
        <f>+IFERROR(-ABS(IF(EDATE(_xlfn.XLOOKUP(1,$H666:$BE666,$H$4:$BE$4),12*Assumptions!$H$98+12)=BK$4,0,IF(BJ666=1,PMT(Assumptions!$H$96,Assumptions!$H$98,$C668),BJ679))),0)</f>
        <v>0</v>
      </c>
      <c r="BL679" s="39">
        <f>+IFERROR(-ABS(IF(EDATE(_xlfn.XLOOKUP(1,$H666:$BE666,$H$4:$BE$4),12*Assumptions!$H$98+12)=BL$4,0,IF(BK666=1,PMT(Assumptions!$H$96,Assumptions!$H$98,$C668),BK679))),0)</f>
        <v>0</v>
      </c>
      <c r="BM679" s="39">
        <f>+IFERROR(-ABS(IF(EDATE(_xlfn.XLOOKUP(1,$H666:$BE666,$H$4:$BE$4),12*Assumptions!$H$98+12)=BM$4,0,IF(BL666=1,PMT(Assumptions!$H$96,Assumptions!$H$98,$C668),BL679))),0)</f>
        <v>0</v>
      </c>
      <c r="BN679" s="39">
        <f>+IFERROR(-ABS(IF(EDATE(_xlfn.XLOOKUP(1,$H666:$BE666,$H$4:$BE$4),12*Assumptions!$H$98+12)=BN$4,0,IF(BM666=1,PMT(Assumptions!$H$96,Assumptions!$H$98,$C668),BM679))),0)</f>
        <v>0</v>
      </c>
      <c r="BO679" s="39">
        <f>+IFERROR(-ABS(IF(EDATE(_xlfn.XLOOKUP(1,$H666:$BE666,$H$4:$BE$4),12*Assumptions!$H$98+12)=BO$4,0,IF(BN666=1,PMT(Assumptions!$H$96,Assumptions!$H$98,$C668),BN679))),0)</f>
        <v>0</v>
      </c>
      <c r="BP679" s="39">
        <f>+IFERROR(-ABS(IF(EDATE(_xlfn.XLOOKUP(1,$H666:$BE666,$H$4:$BE$4),12*Assumptions!$H$98+12)=BP$4,0,IF(BO666=1,PMT(Assumptions!$H$96,Assumptions!$H$98,$C668),BO679))),0)</f>
        <v>0</v>
      </c>
      <c r="BQ679" s="39">
        <f>+IFERROR(-ABS(IF(EDATE(_xlfn.XLOOKUP(1,$H666:$BE666,$H$4:$BE$4),12*Assumptions!$H$98+12)=BQ$4,0,IF(BP666=1,PMT(Assumptions!$H$96,Assumptions!$H$98,$C668),BP679))),0)</f>
        <v>0</v>
      </c>
      <c r="BR679" s="39">
        <f>+IFERROR(-ABS(IF(EDATE(_xlfn.XLOOKUP(1,$H666:$BE666,$H$4:$BE$4),12*Assumptions!$H$98+12)=BR$4,0,IF(BQ666=1,PMT(Assumptions!$H$96,Assumptions!$H$98,$C668),BQ679))),0)</f>
        <v>0</v>
      </c>
      <c r="BS679" s="39">
        <f>+IFERROR(-ABS(IF(EDATE(_xlfn.XLOOKUP(1,$H666:$BE666,$H$4:$BE$4),12*Assumptions!$H$98+12)=BS$4,0,IF(BR666=1,PMT(Assumptions!$H$96,Assumptions!$H$98,$C668),BR679))),0)</f>
        <v>0</v>
      </c>
      <c r="BT679" s="39">
        <f>+IFERROR(-ABS(IF(EDATE(_xlfn.XLOOKUP(1,$H666:$BE666,$H$4:$BE$4),12*Assumptions!$H$98+12)=BT$4,0,IF(BS666=1,PMT(Assumptions!$H$96,Assumptions!$H$98,$C668),BS679))),0)</f>
        <v>0</v>
      </c>
      <c r="BU679" s="39">
        <f>+IFERROR(-ABS(IF(EDATE(_xlfn.XLOOKUP(1,$H666:$BE666,$H$4:$BE$4),12*Assumptions!$H$98+12)=BU$4,0,IF(BT666=1,PMT(Assumptions!$H$96,Assumptions!$H$98,$C668),BT679))),0)</f>
        <v>0</v>
      </c>
      <c r="BV679" s="39">
        <f>+IFERROR(-ABS(IF(EDATE(_xlfn.XLOOKUP(1,$H666:$BE666,$H$4:$BE$4),12*Assumptions!$H$98+12)=BV$4,0,IF(BU666=1,PMT(Assumptions!$H$96,Assumptions!$H$98,$C668),BU679))),0)</f>
        <v>0</v>
      </c>
      <c r="BW679" s="39">
        <f>+IFERROR(-ABS(IF(EDATE(_xlfn.XLOOKUP(1,$H666:$BE666,$H$4:$BE$4),12*Assumptions!$H$98+12)=BW$4,0,IF(BV666=1,PMT(Assumptions!$H$96,Assumptions!$H$98,$C668),BV679))),0)</f>
        <v>0</v>
      </c>
      <c r="BX679" s="39">
        <f>+IFERROR(-ABS(IF(EDATE(_xlfn.XLOOKUP(1,$H666:$BE666,$H$4:$BE$4),12*Assumptions!$H$98+12)=BX$4,0,IF(BW666=1,PMT(Assumptions!$H$96,Assumptions!$H$98,$C668),BW679))),0)</f>
        <v>0</v>
      </c>
      <c r="BY679" s="39">
        <f>+IFERROR(-ABS(IF(EDATE(_xlfn.XLOOKUP(1,$H666:$BE666,$H$4:$BE$4),12*Assumptions!$H$98+12)=BY$4,0,IF(BX666=1,PMT(Assumptions!$H$96,Assumptions!$H$98,$C668),BX679))),0)</f>
        <v>0</v>
      </c>
    </row>
    <row r="680" spans="5:77" outlineLevel="1">
      <c r="E680" s="24" t="s">
        <v>517</v>
      </c>
      <c r="F680" s="80" t="str">
        <f>+Assumptions!$G$8</f>
        <v>USD</v>
      </c>
      <c r="G680" s="24"/>
      <c r="H680" s="39">
        <f>+IFERROR(-ABS(IF(EDATE(_xlfn.XLOOKUP(1,$H667:$BE667,$H$4:$BE$4),12*Assumptions!$H$98+12)=H$4,0,IF(G667=1,PMT(Assumptions!$H$96,Assumptions!$H$98,$C669),G680))),0)</f>
        <v>0</v>
      </c>
      <c r="I680" s="39">
        <f>+IFERROR(-ABS(IF(EDATE(_xlfn.XLOOKUP(1,$H667:$BE667,$H$4:$BE$4),12*Assumptions!$H$98+12)=I$4,0,IF(H667=1,PMT(Assumptions!$H$96,Assumptions!$H$98,$C669),H680))),0)</f>
        <v>0</v>
      </c>
      <c r="J680" s="39">
        <f>+IFERROR(-ABS(IF(EDATE(_xlfn.XLOOKUP(1,$H667:$BE667,$H$4:$BE$4),12*Assumptions!$H$98+12)=J$4,0,IF(I667=1,PMT(Assumptions!$H$96,Assumptions!$H$98,$C669),I680))),0)</f>
        <v>0</v>
      </c>
      <c r="K680" s="39">
        <f>+IFERROR(-ABS(IF(EDATE(_xlfn.XLOOKUP(1,$H667:$BE667,$H$4:$BE$4),12*Assumptions!$H$98+12)=K$4,0,IF(J667=1,PMT(Assumptions!$H$96,Assumptions!$H$98,$C669),J680))),0)</f>
        <v>0</v>
      </c>
      <c r="L680" s="39">
        <f>+IFERROR(-ABS(IF(EDATE(_xlfn.XLOOKUP(1,$H667:$BE667,$H$4:$BE$4),12*Assumptions!$H$98+12)=L$4,0,IF(K667=1,PMT(Assumptions!$H$96,Assumptions!$H$98,$C669),K680))),0)</f>
        <v>0</v>
      </c>
      <c r="M680" s="39">
        <f>+IFERROR(-ABS(IF(EDATE(_xlfn.XLOOKUP(1,$H667:$BE667,$H$4:$BE$4),12*Assumptions!$H$98+12)=M$4,0,IF(L667=1,PMT(Assumptions!$H$96,Assumptions!$H$98,$C669),L680))),0)</f>
        <v>0</v>
      </c>
      <c r="N680" s="39">
        <f>+IFERROR(-ABS(IF(EDATE(_xlfn.XLOOKUP(1,$H667:$BE667,$H$4:$BE$4),12*Assumptions!$H$98+12)=N$4,0,IF(M667=1,PMT(Assumptions!$H$96,Assumptions!$H$98,$C669),M680))),0)</f>
        <v>0</v>
      </c>
      <c r="O680" s="39">
        <f>+IFERROR(-ABS(IF(EDATE(_xlfn.XLOOKUP(1,$H667:$BE667,$H$4:$BE$4),12*Assumptions!$H$98+12)=O$4,0,IF(N667=1,PMT(Assumptions!$H$96,Assumptions!$H$98,$C669),N680))),0)</f>
        <v>0</v>
      </c>
      <c r="P680" s="39">
        <f>+IFERROR(-ABS(IF(EDATE(_xlfn.XLOOKUP(1,$H667:$BE667,$H$4:$BE$4),12*Assumptions!$H$98+12)=P$4,0,IF(O667=1,PMT(Assumptions!$H$96,Assumptions!$H$98,$C669),O680))),0)</f>
        <v>0</v>
      </c>
      <c r="Q680" s="39">
        <f>+IFERROR(-ABS(IF(EDATE(_xlfn.XLOOKUP(1,$H667:$BE667,$H$4:$BE$4),12*Assumptions!$H$98+12)=Q$4,0,IF(P667=1,PMT(Assumptions!$H$96,Assumptions!$H$98,$C669),P680))),0)</f>
        <v>0</v>
      </c>
      <c r="R680" s="39">
        <f>+IFERROR(-ABS(IF(EDATE(_xlfn.XLOOKUP(1,$H667:$BE667,$H$4:$BE$4),12*Assumptions!$H$98+12)=R$4,0,IF(Q667=1,PMT(Assumptions!$H$96,Assumptions!$H$98,$C669),Q680))),0)</f>
        <v>0</v>
      </c>
      <c r="S680" s="39">
        <f>+IFERROR(-ABS(IF(EDATE(_xlfn.XLOOKUP(1,$H667:$BE667,$H$4:$BE$4),12*Assumptions!$H$98+12)=S$4,0,IF(R667=1,PMT(Assumptions!$H$96,Assumptions!$H$98,$C669),R680))),0)</f>
        <v>0</v>
      </c>
      <c r="T680" s="39">
        <f>+IFERROR(-ABS(IF(EDATE(_xlfn.XLOOKUP(1,$H667:$BE667,$H$4:$BE$4),12*Assumptions!$H$98+12)=T$4,0,IF(S667=1,PMT(Assumptions!$H$96,Assumptions!$H$98,$C669),S680))),0)</f>
        <v>0</v>
      </c>
      <c r="U680" s="39">
        <f>+IFERROR(-ABS(IF(EDATE(_xlfn.XLOOKUP(1,$H667:$BE667,$H$4:$BE$4),12*Assumptions!$H$98+12)=U$4,0,IF(T667=1,PMT(Assumptions!$H$96,Assumptions!$H$98,$C669),T680))),0)</f>
        <v>0</v>
      </c>
      <c r="V680" s="39">
        <f>+IFERROR(-ABS(IF(EDATE(_xlfn.XLOOKUP(1,$H667:$BE667,$H$4:$BE$4),12*Assumptions!$H$98+12)=V$4,0,IF(U667=1,PMT(Assumptions!$H$96,Assumptions!$H$98,$C669),U680))),0)</f>
        <v>0</v>
      </c>
      <c r="W680" s="39">
        <f>+IFERROR(-ABS(IF(EDATE(_xlfn.XLOOKUP(1,$H667:$BE667,$H$4:$BE$4),12*Assumptions!$H$98+12)=W$4,0,IF(V667=1,PMT(Assumptions!$H$96,Assumptions!$H$98,$C669),V680))),0)</f>
        <v>0</v>
      </c>
      <c r="X680" s="39">
        <f>+IFERROR(-ABS(IF(EDATE(_xlfn.XLOOKUP(1,$H667:$BE667,$H$4:$BE$4),12*Assumptions!$H$98+12)=X$4,0,IF(W667=1,PMT(Assumptions!$H$96,Assumptions!$H$98,$C669),W680))),0)</f>
        <v>0</v>
      </c>
      <c r="Y680" s="39">
        <f>+IFERROR(-ABS(IF(EDATE(_xlfn.XLOOKUP(1,$H667:$BE667,$H$4:$BE$4),12*Assumptions!$H$98+12)=Y$4,0,IF(X667=1,PMT(Assumptions!$H$96,Assumptions!$H$98,$C669),X680))),0)</f>
        <v>0</v>
      </c>
      <c r="Z680" s="39">
        <f>+IFERROR(-ABS(IF(EDATE(_xlfn.XLOOKUP(1,$H667:$BE667,$H$4:$BE$4),12*Assumptions!$H$98+12)=Z$4,0,IF(Y667=1,PMT(Assumptions!$H$96,Assumptions!$H$98,$C669),Y680))),0)</f>
        <v>0</v>
      </c>
      <c r="AA680" s="39">
        <f>+IFERROR(-ABS(IF(EDATE(_xlfn.XLOOKUP(1,$H667:$BE667,$H$4:$BE$4),12*Assumptions!$H$98+12)=AA$4,0,IF(Z667=1,PMT(Assumptions!$H$96,Assumptions!$H$98,$C669),Z680))),0)</f>
        <v>0</v>
      </c>
      <c r="AB680" s="39">
        <f>+IFERROR(-ABS(IF(EDATE(_xlfn.XLOOKUP(1,$H667:$BE667,$H$4:$BE$4),12*Assumptions!$H$98+12)=AB$4,0,IF(AA667=1,PMT(Assumptions!$H$96,Assumptions!$H$98,$C669),AA680))),0)</f>
        <v>0</v>
      </c>
      <c r="AC680" s="39">
        <f>+IFERROR(-ABS(IF(EDATE(_xlfn.XLOOKUP(1,$H667:$BE667,$H$4:$BE$4),12*Assumptions!$H$98+12)=AC$4,0,IF(AB667=1,PMT(Assumptions!$H$96,Assumptions!$H$98,$C669),AB680))),0)</f>
        <v>0</v>
      </c>
      <c r="AD680" s="39">
        <f>+IFERROR(-ABS(IF(EDATE(_xlfn.XLOOKUP(1,$H667:$BE667,$H$4:$BE$4),12*Assumptions!$H$98+12)=AD$4,0,IF(AC667=1,PMT(Assumptions!$H$96,Assumptions!$H$98,$C669),AC680))),0)</f>
        <v>0</v>
      </c>
      <c r="AE680" s="39">
        <f>+IFERROR(-ABS(IF(EDATE(_xlfn.XLOOKUP(1,$H667:$BE667,$H$4:$BE$4),12*Assumptions!$H$98+12)=AE$4,0,IF(AD667=1,PMT(Assumptions!$H$96,Assumptions!$H$98,$C669),AD680))),0)</f>
        <v>0</v>
      </c>
      <c r="AF680" s="39">
        <f>+IFERROR(-ABS(IF(EDATE(_xlfn.XLOOKUP(1,$H667:$BE667,$H$4:$BE$4),12*Assumptions!$H$98+12)=AF$4,0,IF(AE667=1,PMT(Assumptions!$H$96,Assumptions!$H$98,$C669),AE680))),0)</f>
        <v>0</v>
      </c>
      <c r="AG680" s="39">
        <f>+IFERROR(-ABS(IF(EDATE(_xlfn.XLOOKUP(1,$H667:$BE667,$H$4:$BE$4),12*Assumptions!$H$98+12)=AG$4,0,IF(AF667=1,PMT(Assumptions!$H$96,Assumptions!$H$98,$C669),AF680))),0)</f>
        <v>0</v>
      </c>
      <c r="AH680" s="39">
        <f>+IFERROR(-ABS(IF(EDATE(_xlfn.XLOOKUP(1,$H667:$BE667,$H$4:$BE$4),12*Assumptions!$H$98+12)=AH$4,0,IF(AG667=1,PMT(Assumptions!$H$96,Assumptions!$H$98,$C669),AG680))),0)</f>
        <v>0</v>
      </c>
      <c r="AI680" s="39">
        <f>+IFERROR(-ABS(IF(EDATE(_xlfn.XLOOKUP(1,$H667:$BE667,$H$4:$BE$4),12*Assumptions!$H$98+12)=AI$4,0,IF(AH667=1,PMT(Assumptions!$H$96,Assumptions!$H$98,$C669),AH680))),0)</f>
        <v>0</v>
      </c>
      <c r="AJ680" s="39">
        <f>+IFERROR(-ABS(IF(EDATE(_xlfn.XLOOKUP(1,$H667:$BE667,$H$4:$BE$4),12*Assumptions!$H$98+12)=AJ$4,0,IF(AI667=1,PMT(Assumptions!$H$96,Assumptions!$H$98,$C669),AI680))),0)</f>
        <v>0</v>
      </c>
      <c r="AK680" s="39">
        <f>+IFERROR(-ABS(IF(EDATE(_xlfn.XLOOKUP(1,$H667:$BE667,$H$4:$BE$4),12*Assumptions!$H$98+12)=AK$4,0,IF(AJ667=1,PMT(Assumptions!$H$96,Assumptions!$H$98,$C669),AJ680))),0)</f>
        <v>0</v>
      </c>
      <c r="AL680" s="39">
        <f>+IFERROR(-ABS(IF(EDATE(_xlfn.XLOOKUP(1,$H667:$BE667,$H$4:$BE$4),12*Assumptions!$H$98+12)=AL$4,0,IF(AK667=1,PMT(Assumptions!$H$96,Assumptions!$H$98,$C669),AK680))),0)</f>
        <v>0</v>
      </c>
      <c r="AM680" s="39">
        <f>+IFERROR(-ABS(IF(EDATE(_xlfn.XLOOKUP(1,$H667:$BE667,$H$4:$BE$4),12*Assumptions!$H$98+12)=AM$4,0,IF(AL667=1,PMT(Assumptions!$H$96,Assumptions!$H$98,$C669),AL680))),0)</f>
        <v>0</v>
      </c>
      <c r="AN680" s="39">
        <f>+IFERROR(-ABS(IF(EDATE(_xlfn.XLOOKUP(1,$H667:$BE667,$H$4:$BE$4),12*Assumptions!$H$98+12)=AN$4,0,IF(AM667=1,PMT(Assumptions!$H$96,Assumptions!$H$98,$C669),AM680))),0)</f>
        <v>0</v>
      </c>
      <c r="AO680" s="39">
        <f>+IFERROR(-ABS(IF(EDATE(_xlfn.XLOOKUP(1,$H667:$BE667,$H$4:$BE$4),12*Assumptions!$H$98+12)=AO$4,0,IF(AN667=1,PMT(Assumptions!$H$96,Assumptions!$H$98,$C669),AN680))),0)</f>
        <v>0</v>
      </c>
      <c r="AP680" s="39">
        <f>+IFERROR(-ABS(IF(EDATE(_xlfn.XLOOKUP(1,$H667:$BE667,$H$4:$BE$4),12*Assumptions!$H$98+12)=AP$4,0,IF(AO667=1,PMT(Assumptions!$H$96,Assumptions!$H$98,$C669),AO680))),0)</f>
        <v>0</v>
      </c>
      <c r="AQ680" s="39">
        <f>+IFERROR(-ABS(IF(EDATE(_xlfn.XLOOKUP(1,$H667:$BE667,$H$4:$BE$4),12*Assumptions!$H$98+12)=AQ$4,0,IF(AP667=1,PMT(Assumptions!$H$96,Assumptions!$H$98,$C669),AP680))),0)</f>
        <v>0</v>
      </c>
      <c r="AR680" s="39">
        <f>+IFERROR(-ABS(IF(EDATE(_xlfn.XLOOKUP(1,$H667:$BE667,$H$4:$BE$4),12*Assumptions!$H$98+12)=AR$4,0,IF(AQ667=1,PMT(Assumptions!$H$96,Assumptions!$H$98,$C669),AQ680))),0)</f>
        <v>0</v>
      </c>
      <c r="AS680" s="39">
        <f>+IFERROR(-ABS(IF(EDATE(_xlfn.XLOOKUP(1,$H667:$BE667,$H$4:$BE$4),12*Assumptions!$H$98+12)=AS$4,0,IF(AR667=1,PMT(Assumptions!$H$96,Assumptions!$H$98,$C669),AR680))),0)</f>
        <v>0</v>
      </c>
      <c r="AT680" s="39">
        <f>+IFERROR(-ABS(IF(EDATE(_xlfn.XLOOKUP(1,$H667:$BE667,$H$4:$BE$4),12*Assumptions!$H$98+12)=AT$4,0,IF(AS667=1,PMT(Assumptions!$H$96,Assumptions!$H$98,$C669),AS680))),0)</f>
        <v>0</v>
      </c>
      <c r="AU680" s="39">
        <f>+IFERROR(-ABS(IF(EDATE(_xlfn.XLOOKUP(1,$H667:$BE667,$H$4:$BE$4),12*Assumptions!$H$98+12)=AU$4,0,IF(AT667=1,PMT(Assumptions!$H$96,Assumptions!$H$98,$C669),AT680))),0)</f>
        <v>0</v>
      </c>
      <c r="AV680" s="39">
        <f>+IFERROR(-ABS(IF(EDATE(_xlfn.XLOOKUP(1,$H667:$BE667,$H$4:$BE$4),12*Assumptions!$H$98+12)=AV$4,0,IF(AU667=1,PMT(Assumptions!$H$96,Assumptions!$H$98,$C669),AU680))),0)</f>
        <v>0</v>
      </c>
      <c r="AW680" s="39">
        <f>+IFERROR(-ABS(IF(EDATE(_xlfn.XLOOKUP(1,$H667:$BE667,$H$4:$BE$4),12*Assumptions!$H$98+12)=AW$4,0,IF(AV667=1,PMT(Assumptions!$H$96,Assumptions!$H$98,$C669),AV680))),0)</f>
        <v>0</v>
      </c>
      <c r="AX680" s="39">
        <f>+IFERROR(-ABS(IF(EDATE(_xlfn.XLOOKUP(1,$H667:$BE667,$H$4:$BE$4),12*Assumptions!$H$98+12)=AX$4,0,IF(AW667=1,PMT(Assumptions!$H$96,Assumptions!$H$98,$C669),AW680))),0)</f>
        <v>0</v>
      </c>
      <c r="AY680" s="39">
        <f>+IFERROR(-ABS(IF(EDATE(_xlfn.XLOOKUP(1,$H667:$BE667,$H$4:$BE$4),12*Assumptions!$H$98+12)=AY$4,0,IF(AX667=1,PMT(Assumptions!$H$96,Assumptions!$H$98,$C669),AX680))),0)</f>
        <v>0</v>
      </c>
      <c r="AZ680" s="39">
        <f>+IFERROR(-ABS(IF(EDATE(_xlfn.XLOOKUP(1,$H667:$BE667,$H$4:$BE$4),12*Assumptions!$H$98+12)=AZ$4,0,IF(AY667=1,PMT(Assumptions!$H$96,Assumptions!$H$98,$C669),AY680))),0)</f>
        <v>0</v>
      </c>
      <c r="BA680" s="39">
        <f>+IFERROR(-ABS(IF(EDATE(_xlfn.XLOOKUP(1,$H667:$BE667,$H$4:$BE$4),12*Assumptions!$H$98+12)=BA$4,0,IF(AZ667=1,PMT(Assumptions!$H$96,Assumptions!$H$98,$C669),AZ680))),0)</f>
        <v>0</v>
      </c>
      <c r="BB680" s="39">
        <f>+IFERROR(-ABS(IF(EDATE(_xlfn.XLOOKUP(1,$H667:$BE667,$H$4:$BE$4),12*Assumptions!$H$98+12)=BB$4,0,IF(BA667=1,PMT(Assumptions!$H$96,Assumptions!$H$98,$C669),BA680))),0)</f>
        <v>0</v>
      </c>
      <c r="BC680" s="39">
        <f>+IFERROR(-ABS(IF(EDATE(_xlfn.XLOOKUP(1,$H667:$BE667,$H$4:$BE$4),12*Assumptions!$H$98+12)=BC$4,0,IF(BB667=1,PMT(Assumptions!$H$96,Assumptions!$H$98,$C669),BB680))),0)</f>
        <v>0</v>
      </c>
      <c r="BD680" s="39">
        <f>+IFERROR(-ABS(IF(EDATE(_xlfn.XLOOKUP(1,$H667:$BE667,$H$4:$BE$4),12*Assumptions!$H$98+12)=BD$4,0,IF(BC667=1,PMT(Assumptions!$H$96,Assumptions!$H$98,$C669),BC680))),0)</f>
        <v>0</v>
      </c>
      <c r="BE680" s="39">
        <f>+IFERROR(-ABS(IF(EDATE(_xlfn.XLOOKUP(1,$H667:$BE667,$H$4:$BE$4),12*Assumptions!$H$98+12)=BE$4,0,IF(BD667=1,PMT(Assumptions!$H$96,Assumptions!$H$98,$C669),BD680))),0)</f>
        <v>0</v>
      </c>
      <c r="BF680" s="39">
        <f>+IFERROR(-ABS(IF(EDATE(_xlfn.XLOOKUP(1,$H667:$BE667,$H$4:$BE$4),12*Assumptions!$H$98+12)=BF$4,0,IF(BE667=1,PMT(Assumptions!$H$96,Assumptions!$H$98,$C669),BE680))),0)</f>
        <v>0</v>
      </c>
      <c r="BG680" s="39">
        <f>+IFERROR(-ABS(IF(EDATE(_xlfn.XLOOKUP(1,$H667:$BE667,$H$4:$BE$4),12*Assumptions!$H$98+12)=BG$4,0,IF(BF667=1,PMT(Assumptions!$H$96,Assumptions!$H$98,$C669),BF680))),0)</f>
        <v>0</v>
      </c>
      <c r="BH680" s="39">
        <f>+IFERROR(-ABS(IF(EDATE(_xlfn.XLOOKUP(1,$H667:$BE667,$H$4:$BE$4),12*Assumptions!$H$98+12)=BH$4,0,IF(BG667=1,PMT(Assumptions!$H$96,Assumptions!$H$98,$C669),BG680))),0)</f>
        <v>0</v>
      </c>
      <c r="BI680" s="39">
        <f>+IFERROR(-ABS(IF(EDATE(_xlfn.XLOOKUP(1,$H667:$BE667,$H$4:$BE$4),12*Assumptions!$H$98+12)=BI$4,0,IF(BH667=1,PMT(Assumptions!$H$96,Assumptions!$H$98,$C669),BH680))),0)</f>
        <v>0</v>
      </c>
      <c r="BJ680" s="39">
        <f>+IFERROR(-ABS(IF(EDATE(_xlfn.XLOOKUP(1,$H667:$BE667,$H$4:$BE$4),12*Assumptions!$H$98+12)=BJ$4,0,IF(BI667=1,PMT(Assumptions!$H$96,Assumptions!$H$98,$C669),BI680))),0)</f>
        <v>0</v>
      </c>
      <c r="BK680" s="39">
        <f>+IFERROR(-ABS(IF(EDATE(_xlfn.XLOOKUP(1,$H667:$BE667,$H$4:$BE$4),12*Assumptions!$H$98+12)=BK$4,0,IF(BJ667=1,PMT(Assumptions!$H$96,Assumptions!$H$98,$C669),BJ680))),0)</f>
        <v>0</v>
      </c>
      <c r="BL680" s="39">
        <f>+IFERROR(-ABS(IF(EDATE(_xlfn.XLOOKUP(1,$H667:$BE667,$H$4:$BE$4),12*Assumptions!$H$98+12)=BL$4,0,IF(BK667=1,PMT(Assumptions!$H$96,Assumptions!$H$98,$C669),BK680))),0)</f>
        <v>0</v>
      </c>
      <c r="BM680" s="39">
        <f>+IFERROR(-ABS(IF(EDATE(_xlfn.XLOOKUP(1,$H667:$BE667,$H$4:$BE$4),12*Assumptions!$H$98+12)=BM$4,0,IF(BL667=1,PMT(Assumptions!$H$96,Assumptions!$H$98,$C669),BL680))),0)</f>
        <v>0</v>
      </c>
      <c r="BN680" s="39">
        <f>+IFERROR(-ABS(IF(EDATE(_xlfn.XLOOKUP(1,$H667:$BE667,$H$4:$BE$4),12*Assumptions!$H$98+12)=BN$4,0,IF(BM667=1,PMT(Assumptions!$H$96,Assumptions!$H$98,$C669),BM680))),0)</f>
        <v>0</v>
      </c>
      <c r="BO680" s="39">
        <f>+IFERROR(-ABS(IF(EDATE(_xlfn.XLOOKUP(1,$H667:$BE667,$H$4:$BE$4),12*Assumptions!$H$98+12)=BO$4,0,IF(BN667=1,PMT(Assumptions!$H$96,Assumptions!$H$98,$C669),BN680))),0)</f>
        <v>0</v>
      </c>
      <c r="BP680" s="39">
        <f>+IFERROR(-ABS(IF(EDATE(_xlfn.XLOOKUP(1,$H667:$BE667,$H$4:$BE$4),12*Assumptions!$H$98+12)=BP$4,0,IF(BO667=1,PMT(Assumptions!$H$96,Assumptions!$H$98,$C669),BO680))),0)</f>
        <v>0</v>
      </c>
      <c r="BQ680" s="39">
        <f>+IFERROR(-ABS(IF(EDATE(_xlfn.XLOOKUP(1,$H667:$BE667,$H$4:$BE$4),12*Assumptions!$H$98+12)=BQ$4,0,IF(BP667=1,PMT(Assumptions!$H$96,Assumptions!$H$98,$C669),BP680))),0)</f>
        <v>0</v>
      </c>
      <c r="BR680" s="39">
        <f>+IFERROR(-ABS(IF(EDATE(_xlfn.XLOOKUP(1,$H667:$BE667,$H$4:$BE$4),12*Assumptions!$H$98+12)=BR$4,0,IF(BQ667=1,PMT(Assumptions!$H$96,Assumptions!$H$98,$C669),BQ680))),0)</f>
        <v>0</v>
      </c>
      <c r="BS680" s="39">
        <f>+IFERROR(-ABS(IF(EDATE(_xlfn.XLOOKUP(1,$H667:$BE667,$H$4:$BE$4),12*Assumptions!$H$98+12)=BS$4,0,IF(BR667=1,PMT(Assumptions!$H$96,Assumptions!$H$98,$C669),BR680))),0)</f>
        <v>0</v>
      </c>
      <c r="BT680" s="39">
        <f>+IFERROR(-ABS(IF(EDATE(_xlfn.XLOOKUP(1,$H667:$BE667,$H$4:$BE$4),12*Assumptions!$H$98+12)=BT$4,0,IF(BS667=1,PMT(Assumptions!$H$96,Assumptions!$H$98,$C669),BS680))),0)</f>
        <v>0</v>
      </c>
      <c r="BU680" s="39">
        <f>+IFERROR(-ABS(IF(EDATE(_xlfn.XLOOKUP(1,$H667:$BE667,$H$4:$BE$4),12*Assumptions!$H$98+12)=BU$4,0,IF(BT667=1,PMT(Assumptions!$H$96,Assumptions!$H$98,$C669),BT680))),0)</f>
        <v>0</v>
      </c>
      <c r="BV680" s="39">
        <f>+IFERROR(-ABS(IF(EDATE(_xlfn.XLOOKUP(1,$H667:$BE667,$H$4:$BE$4),12*Assumptions!$H$98+12)=BV$4,0,IF(BU667=1,PMT(Assumptions!$H$96,Assumptions!$H$98,$C669),BU680))),0)</f>
        <v>0</v>
      </c>
      <c r="BW680" s="39">
        <f>+IFERROR(-ABS(IF(EDATE(_xlfn.XLOOKUP(1,$H667:$BE667,$H$4:$BE$4),12*Assumptions!$H$98+12)=BW$4,0,IF(BV667=1,PMT(Assumptions!$H$96,Assumptions!$H$98,$C669),BV680))),0)</f>
        <v>0</v>
      </c>
      <c r="BX680" s="39">
        <f>+IFERROR(-ABS(IF(EDATE(_xlfn.XLOOKUP(1,$H667:$BE667,$H$4:$BE$4),12*Assumptions!$H$98+12)=BX$4,0,IF(BW667=1,PMT(Assumptions!$H$96,Assumptions!$H$98,$C669),BW680))),0)</f>
        <v>0</v>
      </c>
      <c r="BY680" s="39">
        <f>+IFERROR(-ABS(IF(EDATE(_xlfn.XLOOKUP(1,$H667:$BE667,$H$4:$BE$4),12*Assumptions!$H$98+12)=BY$4,0,IF(BX667=1,PMT(Assumptions!$H$96,Assumptions!$H$98,$C669),BX680))),0)</f>
        <v>0</v>
      </c>
    </row>
    <row r="681" spans="5:77" outlineLevel="1">
      <c r="E681" s="24" t="s">
        <v>518</v>
      </c>
      <c r="F681" s="80" t="str">
        <f>+Assumptions!$G$8</f>
        <v>USD</v>
      </c>
      <c r="G681" s="24"/>
      <c r="H681" s="39">
        <f>+IFERROR(-ABS(IF(EDATE(_xlfn.XLOOKUP(1,$H668:$BE668,$H$4:$BE$4),12*Assumptions!$H$98+12)=H$4,0,IF(G668=1,PMT(Assumptions!$H$96,Assumptions!$H$98,$C670),G681))),0)</f>
        <v>0</v>
      </c>
      <c r="I681" s="39">
        <f>+IFERROR(-ABS(IF(EDATE(_xlfn.XLOOKUP(1,$H668:$BE668,$H$4:$BE$4),12*Assumptions!$H$98+12)=I$4,0,IF(H668=1,PMT(Assumptions!$H$96,Assumptions!$H$98,$C670),H681))),0)</f>
        <v>0</v>
      </c>
      <c r="J681" s="39">
        <f>+IFERROR(-ABS(IF(EDATE(_xlfn.XLOOKUP(1,$H668:$BE668,$H$4:$BE$4),12*Assumptions!$H$98+12)=J$4,0,IF(I668=1,PMT(Assumptions!$H$96,Assumptions!$H$98,$C670),I681))),0)</f>
        <v>0</v>
      </c>
      <c r="K681" s="39">
        <f>+IFERROR(-ABS(IF(EDATE(_xlfn.XLOOKUP(1,$H668:$BE668,$H$4:$BE$4),12*Assumptions!$H$98+12)=K$4,0,IF(J668=1,PMT(Assumptions!$H$96,Assumptions!$H$98,$C670),J681))),0)</f>
        <v>0</v>
      </c>
      <c r="L681" s="39">
        <f>+IFERROR(-ABS(IF(EDATE(_xlfn.XLOOKUP(1,$H668:$BE668,$H$4:$BE$4),12*Assumptions!$H$98+12)=L$4,0,IF(K668=1,PMT(Assumptions!$H$96,Assumptions!$H$98,$C670),K681))),0)</f>
        <v>0</v>
      </c>
      <c r="M681" s="39">
        <f>+IFERROR(-ABS(IF(EDATE(_xlfn.XLOOKUP(1,$H668:$BE668,$H$4:$BE$4),12*Assumptions!$H$98+12)=M$4,0,IF(L668=1,PMT(Assumptions!$H$96,Assumptions!$H$98,$C670),L681))),0)</f>
        <v>0</v>
      </c>
      <c r="N681" s="39">
        <f>+IFERROR(-ABS(IF(EDATE(_xlfn.XLOOKUP(1,$H668:$BE668,$H$4:$BE$4),12*Assumptions!$H$98+12)=N$4,0,IF(M668=1,PMT(Assumptions!$H$96,Assumptions!$H$98,$C670),M681))),0)</f>
        <v>0</v>
      </c>
      <c r="O681" s="39">
        <f>+IFERROR(-ABS(IF(EDATE(_xlfn.XLOOKUP(1,$H668:$BE668,$H$4:$BE$4),12*Assumptions!$H$98+12)=O$4,0,IF(N668=1,PMT(Assumptions!$H$96,Assumptions!$H$98,$C670),N681))),0)</f>
        <v>0</v>
      </c>
      <c r="P681" s="39">
        <f>+IFERROR(-ABS(IF(EDATE(_xlfn.XLOOKUP(1,$H668:$BE668,$H$4:$BE$4),12*Assumptions!$H$98+12)=P$4,0,IF(O668=1,PMT(Assumptions!$H$96,Assumptions!$H$98,$C670),O681))),0)</f>
        <v>0</v>
      </c>
      <c r="Q681" s="39">
        <f>+IFERROR(-ABS(IF(EDATE(_xlfn.XLOOKUP(1,$H668:$BE668,$H$4:$BE$4),12*Assumptions!$H$98+12)=Q$4,0,IF(P668=1,PMT(Assumptions!$H$96,Assumptions!$H$98,$C670),P681))),0)</f>
        <v>0</v>
      </c>
      <c r="R681" s="39">
        <f>+IFERROR(-ABS(IF(EDATE(_xlfn.XLOOKUP(1,$H668:$BE668,$H$4:$BE$4),12*Assumptions!$H$98+12)=R$4,0,IF(Q668=1,PMT(Assumptions!$H$96,Assumptions!$H$98,$C670),Q681))),0)</f>
        <v>0</v>
      </c>
      <c r="S681" s="39">
        <f>+IFERROR(-ABS(IF(EDATE(_xlfn.XLOOKUP(1,$H668:$BE668,$H$4:$BE$4),12*Assumptions!$H$98+12)=S$4,0,IF(R668=1,PMT(Assumptions!$H$96,Assumptions!$H$98,$C670),R681))),0)</f>
        <v>0</v>
      </c>
      <c r="T681" s="39">
        <f>+IFERROR(-ABS(IF(EDATE(_xlfn.XLOOKUP(1,$H668:$BE668,$H$4:$BE$4),12*Assumptions!$H$98+12)=T$4,0,IF(S668=1,PMT(Assumptions!$H$96,Assumptions!$H$98,$C670),S681))),0)</f>
        <v>0</v>
      </c>
      <c r="U681" s="39">
        <f>+IFERROR(-ABS(IF(EDATE(_xlfn.XLOOKUP(1,$H668:$BE668,$H$4:$BE$4),12*Assumptions!$H$98+12)=U$4,0,IF(T668=1,PMT(Assumptions!$H$96,Assumptions!$H$98,$C670),T681))),0)</f>
        <v>0</v>
      </c>
      <c r="V681" s="39">
        <f>+IFERROR(-ABS(IF(EDATE(_xlfn.XLOOKUP(1,$H668:$BE668,$H$4:$BE$4),12*Assumptions!$H$98+12)=V$4,0,IF(U668=1,PMT(Assumptions!$H$96,Assumptions!$H$98,$C670),U681))),0)</f>
        <v>0</v>
      </c>
      <c r="W681" s="39">
        <f>+IFERROR(-ABS(IF(EDATE(_xlfn.XLOOKUP(1,$H668:$BE668,$H$4:$BE$4),12*Assumptions!$H$98+12)=W$4,0,IF(V668=1,PMT(Assumptions!$H$96,Assumptions!$H$98,$C670),V681))),0)</f>
        <v>0</v>
      </c>
      <c r="X681" s="39">
        <f>+IFERROR(-ABS(IF(EDATE(_xlfn.XLOOKUP(1,$H668:$BE668,$H$4:$BE$4),12*Assumptions!$H$98+12)=X$4,0,IF(W668=1,PMT(Assumptions!$H$96,Assumptions!$H$98,$C670),W681))),0)</f>
        <v>0</v>
      </c>
      <c r="Y681" s="39">
        <f>+IFERROR(-ABS(IF(EDATE(_xlfn.XLOOKUP(1,$H668:$BE668,$H$4:$BE$4),12*Assumptions!$H$98+12)=Y$4,0,IF(X668=1,PMT(Assumptions!$H$96,Assumptions!$H$98,$C670),X681))),0)</f>
        <v>0</v>
      </c>
      <c r="Z681" s="39">
        <f>+IFERROR(-ABS(IF(EDATE(_xlfn.XLOOKUP(1,$H668:$BE668,$H$4:$BE$4),12*Assumptions!$H$98+12)=Z$4,0,IF(Y668=1,PMT(Assumptions!$H$96,Assumptions!$H$98,$C670),Y681))),0)</f>
        <v>0</v>
      </c>
      <c r="AA681" s="39">
        <f>+IFERROR(-ABS(IF(EDATE(_xlfn.XLOOKUP(1,$H668:$BE668,$H$4:$BE$4),12*Assumptions!$H$98+12)=AA$4,0,IF(Z668=1,PMT(Assumptions!$H$96,Assumptions!$H$98,$C670),Z681))),0)</f>
        <v>0</v>
      </c>
      <c r="AB681" s="39">
        <f>+IFERROR(-ABS(IF(EDATE(_xlfn.XLOOKUP(1,$H668:$BE668,$H$4:$BE$4),12*Assumptions!$H$98+12)=AB$4,0,IF(AA668=1,PMT(Assumptions!$H$96,Assumptions!$H$98,$C670),AA681))),0)</f>
        <v>0</v>
      </c>
      <c r="AC681" s="39">
        <f>+IFERROR(-ABS(IF(EDATE(_xlfn.XLOOKUP(1,$H668:$BE668,$H$4:$BE$4),12*Assumptions!$H$98+12)=AC$4,0,IF(AB668=1,PMT(Assumptions!$H$96,Assumptions!$H$98,$C670),AB681))),0)</f>
        <v>0</v>
      </c>
      <c r="AD681" s="39">
        <f>+IFERROR(-ABS(IF(EDATE(_xlfn.XLOOKUP(1,$H668:$BE668,$H$4:$BE$4),12*Assumptions!$H$98+12)=AD$4,0,IF(AC668=1,PMT(Assumptions!$H$96,Assumptions!$H$98,$C670),AC681))),0)</f>
        <v>0</v>
      </c>
      <c r="AE681" s="39">
        <f>+IFERROR(-ABS(IF(EDATE(_xlfn.XLOOKUP(1,$H668:$BE668,$H$4:$BE$4),12*Assumptions!$H$98+12)=AE$4,0,IF(AD668=1,PMT(Assumptions!$H$96,Assumptions!$H$98,$C670),AD681))),0)</f>
        <v>0</v>
      </c>
      <c r="AF681" s="39">
        <f>+IFERROR(-ABS(IF(EDATE(_xlfn.XLOOKUP(1,$H668:$BE668,$H$4:$BE$4),12*Assumptions!$H$98+12)=AF$4,0,IF(AE668=1,PMT(Assumptions!$H$96,Assumptions!$H$98,$C670),AE681))),0)</f>
        <v>0</v>
      </c>
      <c r="AG681" s="39">
        <f>+IFERROR(-ABS(IF(EDATE(_xlfn.XLOOKUP(1,$H668:$BE668,$H$4:$BE$4),12*Assumptions!$H$98+12)=AG$4,0,IF(AF668=1,PMT(Assumptions!$H$96,Assumptions!$H$98,$C670),AF681))),0)</f>
        <v>0</v>
      </c>
      <c r="AH681" s="39">
        <f>+IFERROR(-ABS(IF(EDATE(_xlfn.XLOOKUP(1,$H668:$BE668,$H$4:$BE$4),12*Assumptions!$H$98+12)=AH$4,0,IF(AG668=1,PMT(Assumptions!$H$96,Assumptions!$H$98,$C670),AG681))),0)</f>
        <v>0</v>
      </c>
      <c r="AI681" s="39">
        <f>+IFERROR(-ABS(IF(EDATE(_xlfn.XLOOKUP(1,$H668:$BE668,$H$4:$BE$4),12*Assumptions!$H$98+12)=AI$4,0,IF(AH668=1,PMT(Assumptions!$H$96,Assumptions!$H$98,$C670),AH681))),0)</f>
        <v>0</v>
      </c>
      <c r="AJ681" s="39">
        <f>+IFERROR(-ABS(IF(EDATE(_xlfn.XLOOKUP(1,$H668:$BE668,$H$4:$BE$4),12*Assumptions!$H$98+12)=AJ$4,0,IF(AI668=1,PMT(Assumptions!$H$96,Assumptions!$H$98,$C670),AI681))),0)</f>
        <v>0</v>
      </c>
      <c r="AK681" s="39">
        <f>+IFERROR(-ABS(IF(EDATE(_xlfn.XLOOKUP(1,$H668:$BE668,$H$4:$BE$4),12*Assumptions!$H$98+12)=AK$4,0,IF(AJ668=1,PMT(Assumptions!$H$96,Assumptions!$H$98,$C670),AJ681))),0)</f>
        <v>0</v>
      </c>
      <c r="AL681" s="39">
        <f>+IFERROR(-ABS(IF(EDATE(_xlfn.XLOOKUP(1,$H668:$BE668,$H$4:$BE$4),12*Assumptions!$H$98+12)=AL$4,0,IF(AK668=1,PMT(Assumptions!$H$96,Assumptions!$H$98,$C670),AK681))),0)</f>
        <v>0</v>
      </c>
      <c r="AM681" s="39">
        <f>+IFERROR(-ABS(IF(EDATE(_xlfn.XLOOKUP(1,$H668:$BE668,$H$4:$BE$4),12*Assumptions!$H$98+12)=AM$4,0,IF(AL668=1,PMT(Assumptions!$H$96,Assumptions!$H$98,$C670),AL681))),0)</f>
        <v>0</v>
      </c>
      <c r="AN681" s="39">
        <f>+IFERROR(-ABS(IF(EDATE(_xlfn.XLOOKUP(1,$H668:$BE668,$H$4:$BE$4),12*Assumptions!$H$98+12)=AN$4,0,IF(AM668=1,PMT(Assumptions!$H$96,Assumptions!$H$98,$C670),AM681))),0)</f>
        <v>0</v>
      </c>
      <c r="AO681" s="39">
        <f>+IFERROR(-ABS(IF(EDATE(_xlfn.XLOOKUP(1,$H668:$BE668,$H$4:$BE$4),12*Assumptions!$H$98+12)=AO$4,0,IF(AN668=1,PMT(Assumptions!$H$96,Assumptions!$H$98,$C670),AN681))),0)</f>
        <v>0</v>
      </c>
      <c r="AP681" s="39">
        <f>+IFERROR(-ABS(IF(EDATE(_xlfn.XLOOKUP(1,$H668:$BE668,$H$4:$BE$4),12*Assumptions!$H$98+12)=AP$4,0,IF(AO668=1,PMT(Assumptions!$H$96,Assumptions!$H$98,$C670),AO681))),0)</f>
        <v>0</v>
      </c>
      <c r="AQ681" s="39">
        <f>+IFERROR(-ABS(IF(EDATE(_xlfn.XLOOKUP(1,$H668:$BE668,$H$4:$BE$4),12*Assumptions!$H$98+12)=AQ$4,0,IF(AP668=1,PMT(Assumptions!$H$96,Assumptions!$H$98,$C670),AP681))),0)</f>
        <v>0</v>
      </c>
      <c r="AR681" s="39">
        <f>+IFERROR(-ABS(IF(EDATE(_xlfn.XLOOKUP(1,$H668:$BE668,$H$4:$BE$4),12*Assumptions!$H$98+12)=AR$4,0,IF(AQ668=1,PMT(Assumptions!$H$96,Assumptions!$H$98,$C670),AQ681))),0)</f>
        <v>0</v>
      </c>
      <c r="AS681" s="39">
        <f>+IFERROR(-ABS(IF(EDATE(_xlfn.XLOOKUP(1,$H668:$BE668,$H$4:$BE$4),12*Assumptions!$H$98+12)=AS$4,0,IF(AR668=1,PMT(Assumptions!$H$96,Assumptions!$H$98,$C670),AR681))),0)</f>
        <v>0</v>
      </c>
      <c r="AT681" s="39">
        <f>+IFERROR(-ABS(IF(EDATE(_xlfn.XLOOKUP(1,$H668:$BE668,$H$4:$BE$4),12*Assumptions!$H$98+12)=AT$4,0,IF(AS668=1,PMT(Assumptions!$H$96,Assumptions!$H$98,$C670),AS681))),0)</f>
        <v>0</v>
      </c>
      <c r="AU681" s="39">
        <f>+IFERROR(-ABS(IF(EDATE(_xlfn.XLOOKUP(1,$H668:$BE668,$H$4:$BE$4),12*Assumptions!$H$98+12)=AU$4,0,IF(AT668=1,PMT(Assumptions!$H$96,Assumptions!$H$98,$C670),AT681))),0)</f>
        <v>0</v>
      </c>
      <c r="AV681" s="39">
        <f>+IFERROR(-ABS(IF(EDATE(_xlfn.XLOOKUP(1,$H668:$BE668,$H$4:$BE$4),12*Assumptions!$H$98+12)=AV$4,0,IF(AU668=1,PMT(Assumptions!$H$96,Assumptions!$H$98,$C670),AU681))),0)</f>
        <v>0</v>
      </c>
      <c r="AW681" s="39">
        <f>+IFERROR(-ABS(IF(EDATE(_xlfn.XLOOKUP(1,$H668:$BE668,$H$4:$BE$4),12*Assumptions!$H$98+12)=AW$4,0,IF(AV668=1,PMT(Assumptions!$H$96,Assumptions!$H$98,$C670),AV681))),0)</f>
        <v>0</v>
      </c>
      <c r="AX681" s="39">
        <f>+IFERROR(-ABS(IF(EDATE(_xlfn.XLOOKUP(1,$H668:$BE668,$H$4:$BE$4),12*Assumptions!$H$98+12)=AX$4,0,IF(AW668=1,PMT(Assumptions!$H$96,Assumptions!$H$98,$C670),AW681))),0)</f>
        <v>0</v>
      </c>
      <c r="AY681" s="39">
        <f>+IFERROR(-ABS(IF(EDATE(_xlfn.XLOOKUP(1,$H668:$BE668,$H$4:$BE$4),12*Assumptions!$H$98+12)=AY$4,0,IF(AX668=1,PMT(Assumptions!$H$96,Assumptions!$H$98,$C670),AX681))),0)</f>
        <v>0</v>
      </c>
      <c r="AZ681" s="39">
        <f>+IFERROR(-ABS(IF(EDATE(_xlfn.XLOOKUP(1,$H668:$BE668,$H$4:$BE$4),12*Assumptions!$H$98+12)=AZ$4,0,IF(AY668=1,PMT(Assumptions!$H$96,Assumptions!$H$98,$C670),AY681))),0)</f>
        <v>0</v>
      </c>
      <c r="BA681" s="39">
        <f>+IFERROR(-ABS(IF(EDATE(_xlfn.XLOOKUP(1,$H668:$BE668,$H$4:$BE$4),12*Assumptions!$H$98+12)=BA$4,0,IF(AZ668=1,PMT(Assumptions!$H$96,Assumptions!$H$98,$C670),AZ681))),0)</f>
        <v>0</v>
      </c>
      <c r="BB681" s="39">
        <f>+IFERROR(-ABS(IF(EDATE(_xlfn.XLOOKUP(1,$H668:$BE668,$H$4:$BE$4),12*Assumptions!$H$98+12)=BB$4,0,IF(BA668=1,PMT(Assumptions!$H$96,Assumptions!$H$98,$C670),BA681))),0)</f>
        <v>0</v>
      </c>
      <c r="BC681" s="39">
        <f>+IFERROR(-ABS(IF(EDATE(_xlfn.XLOOKUP(1,$H668:$BE668,$H$4:$BE$4),12*Assumptions!$H$98+12)=BC$4,0,IF(BB668=1,PMT(Assumptions!$H$96,Assumptions!$H$98,$C670),BB681))),0)</f>
        <v>0</v>
      </c>
      <c r="BD681" s="39">
        <f>+IFERROR(-ABS(IF(EDATE(_xlfn.XLOOKUP(1,$H668:$BE668,$H$4:$BE$4),12*Assumptions!$H$98+12)=BD$4,0,IF(BC668=1,PMT(Assumptions!$H$96,Assumptions!$H$98,$C670),BC681))),0)</f>
        <v>0</v>
      </c>
      <c r="BE681" s="39">
        <f>+IFERROR(-ABS(IF(EDATE(_xlfn.XLOOKUP(1,$H668:$BE668,$H$4:$BE$4),12*Assumptions!$H$98+12)=BE$4,0,IF(BD668=1,PMT(Assumptions!$H$96,Assumptions!$H$98,$C670),BD681))),0)</f>
        <v>0</v>
      </c>
      <c r="BF681" s="39">
        <f>+IFERROR(-ABS(IF(EDATE(_xlfn.XLOOKUP(1,$H668:$BE668,$H$4:$BE$4),12*Assumptions!$H$98+12)=BF$4,0,IF(BE668=1,PMT(Assumptions!$H$96,Assumptions!$H$98,$C670),BE681))),0)</f>
        <v>0</v>
      </c>
      <c r="BG681" s="39">
        <f>+IFERROR(-ABS(IF(EDATE(_xlfn.XLOOKUP(1,$H668:$BE668,$H$4:$BE$4),12*Assumptions!$H$98+12)=BG$4,0,IF(BF668=1,PMT(Assumptions!$H$96,Assumptions!$H$98,$C670),BF681))),0)</f>
        <v>0</v>
      </c>
      <c r="BH681" s="39">
        <f>+IFERROR(-ABS(IF(EDATE(_xlfn.XLOOKUP(1,$H668:$BE668,$H$4:$BE$4),12*Assumptions!$H$98+12)=BH$4,0,IF(BG668=1,PMT(Assumptions!$H$96,Assumptions!$H$98,$C670),BG681))),0)</f>
        <v>0</v>
      </c>
      <c r="BI681" s="39">
        <f>+IFERROR(-ABS(IF(EDATE(_xlfn.XLOOKUP(1,$H668:$BE668,$H$4:$BE$4),12*Assumptions!$H$98+12)=BI$4,0,IF(BH668=1,PMT(Assumptions!$H$96,Assumptions!$H$98,$C670),BH681))),0)</f>
        <v>0</v>
      </c>
      <c r="BJ681" s="39">
        <f>+IFERROR(-ABS(IF(EDATE(_xlfn.XLOOKUP(1,$H668:$BE668,$H$4:$BE$4),12*Assumptions!$H$98+12)=BJ$4,0,IF(BI668=1,PMT(Assumptions!$H$96,Assumptions!$H$98,$C670),BI681))),0)</f>
        <v>0</v>
      </c>
      <c r="BK681" s="39">
        <f>+IFERROR(-ABS(IF(EDATE(_xlfn.XLOOKUP(1,$H668:$BE668,$H$4:$BE$4),12*Assumptions!$H$98+12)=BK$4,0,IF(BJ668=1,PMT(Assumptions!$H$96,Assumptions!$H$98,$C670),BJ681))),0)</f>
        <v>0</v>
      </c>
      <c r="BL681" s="39">
        <f>+IFERROR(-ABS(IF(EDATE(_xlfn.XLOOKUP(1,$H668:$BE668,$H$4:$BE$4),12*Assumptions!$H$98+12)=BL$4,0,IF(BK668=1,PMT(Assumptions!$H$96,Assumptions!$H$98,$C670),BK681))),0)</f>
        <v>0</v>
      </c>
      <c r="BM681" s="39">
        <f>+IFERROR(-ABS(IF(EDATE(_xlfn.XLOOKUP(1,$H668:$BE668,$H$4:$BE$4),12*Assumptions!$H$98+12)=BM$4,0,IF(BL668=1,PMT(Assumptions!$H$96,Assumptions!$H$98,$C670),BL681))),0)</f>
        <v>0</v>
      </c>
      <c r="BN681" s="39">
        <f>+IFERROR(-ABS(IF(EDATE(_xlfn.XLOOKUP(1,$H668:$BE668,$H$4:$BE$4),12*Assumptions!$H$98+12)=BN$4,0,IF(BM668=1,PMT(Assumptions!$H$96,Assumptions!$H$98,$C670),BM681))),0)</f>
        <v>0</v>
      </c>
      <c r="BO681" s="39">
        <f>+IFERROR(-ABS(IF(EDATE(_xlfn.XLOOKUP(1,$H668:$BE668,$H$4:$BE$4),12*Assumptions!$H$98+12)=BO$4,0,IF(BN668=1,PMT(Assumptions!$H$96,Assumptions!$H$98,$C670),BN681))),0)</f>
        <v>0</v>
      </c>
      <c r="BP681" s="39">
        <f>+IFERROR(-ABS(IF(EDATE(_xlfn.XLOOKUP(1,$H668:$BE668,$H$4:$BE$4),12*Assumptions!$H$98+12)=BP$4,0,IF(BO668=1,PMT(Assumptions!$H$96,Assumptions!$H$98,$C670),BO681))),0)</f>
        <v>0</v>
      </c>
      <c r="BQ681" s="39">
        <f>+IFERROR(-ABS(IF(EDATE(_xlfn.XLOOKUP(1,$H668:$BE668,$H$4:$BE$4),12*Assumptions!$H$98+12)=BQ$4,0,IF(BP668=1,PMT(Assumptions!$H$96,Assumptions!$H$98,$C670),BP681))),0)</f>
        <v>0</v>
      </c>
      <c r="BR681" s="39">
        <f>+IFERROR(-ABS(IF(EDATE(_xlfn.XLOOKUP(1,$H668:$BE668,$H$4:$BE$4),12*Assumptions!$H$98+12)=BR$4,0,IF(BQ668=1,PMT(Assumptions!$H$96,Assumptions!$H$98,$C670),BQ681))),0)</f>
        <v>0</v>
      </c>
      <c r="BS681" s="39">
        <f>+IFERROR(-ABS(IF(EDATE(_xlfn.XLOOKUP(1,$H668:$BE668,$H$4:$BE$4),12*Assumptions!$H$98+12)=BS$4,0,IF(BR668=1,PMT(Assumptions!$H$96,Assumptions!$H$98,$C670),BR681))),0)</f>
        <v>0</v>
      </c>
      <c r="BT681" s="39">
        <f>+IFERROR(-ABS(IF(EDATE(_xlfn.XLOOKUP(1,$H668:$BE668,$H$4:$BE$4),12*Assumptions!$H$98+12)=BT$4,0,IF(BS668=1,PMT(Assumptions!$H$96,Assumptions!$H$98,$C670),BS681))),0)</f>
        <v>0</v>
      </c>
      <c r="BU681" s="39">
        <f>+IFERROR(-ABS(IF(EDATE(_xlfn.XLOOKUP(1,$H668:$BE668,$H$4:$BE$4),12*Assumptions!$H$98+12)=BU$4,0,IF(BT668=1,PMT(Assumptions!$H$96,Assumptions!$H$98,$C670),BT681))),0)</f>
        <v>0</v>
      </c>
      <c r="BV681" s="39">
        <f>+IFERROR(-ABS(IF(EDATE(_xlfn.XLOOKUP(1,$H668:$BE668,$H$4:$BE$4),12*Assumptions!$H$98+12)=BV$4,0,IF(BU668=1,PMT(Assumptions!$H$96,Assumptions!$H$98,$C670),BU681))),0)</f>
        <v>0</v>
      </c>
      <c r="BW681" s="39">
        <f>+IFERROR(-ABS(IF(EDATE(_xlfn.XLOOKUP(1,$H668:$BE668,$H$4:$BE$4),12*Assumptions!$H$98+12)=BW$4,0,IF(BV668=1,PMT(Assumptions!$H$96,Assumptions!$H$98,$C670),BV681))),0)</f>
        <v>0</v>
      </c>
      <c r="BX681" s="39">
        <f>+IFERROR(-ABS(IF(EDATE(_xlfn.XLOOKUP(1,$H668:$BE668,$H$4:$BE$4),12*Assumptions!$H$98+12)=BX$4,0,IF(BW668=1,PMT(Assumptions!$H$96,Assumptions!$H$98,$C670),BW681))),0)</f>
        <v>0</v>
      </c>
      <c r="BY681" s="39">
        <f>+IFERROR(-ABS(IF(EDATE(_xlfn.XLOOKUP(1,$H668:$BE668,$H$4:$BE$4),12*Assumptions!$H$98+12)=BY$4,0,IF(BX668=1,PMT(Assumptions!$H$96,Assumptions!$H$98,$C670),BX681))),0)</f>
        <v>0</v>
      </c>
    </row>
    <row r="682" spans="5:77" outlineLevel="1">
      <c r="E682" s="24" t="s">
        <v>519</v>
      </c>
      <c r="F682" s="80" t="str">
        <f>+Assumptions!$G$8</f>
        <v>USD</v>
      </c>
      <c r="G682" s="24"/>
      <c r="H682" s="39">
        <f>+IFERROR(-ABS(IF(EDATE(_xlfn.XLOOKUP(1,$H669:$BE669,$H$4:$BE$4),12*Assumptions!$H$98+12)=H$4,0,IF(G669=1,PMT(Assumptions!$H$96,Assumptions!$H$98,$C671),G682))),0)</f>
        <v>0</v>
      </c>
      <c r="I682" s="39">
        <f>+IFERROR(-ABS(IF(EDATE(_xlfn.XLOOKUP(1,$H669:$BE669,$H$4:$BE$4),12*Assumptions!$H$98+12)=I$4,0,IF(H669=1,PMT(Assumptions!$H$96,Assumptions!$H$98,$C671),H682))),0)</f>
        <v>0</v>
      </c>
      <c r="J682" s="39">
        <f>+IFERROR(-ABS(IF(EDATE(_xlfn.XLOOKUP(1,$H669:$BE669,$H$4:$BE$4),12*Assumptions!$H$98+12)=J$4,0,IF(I669=1,PMT(Assumptions!$H$96,Assumptions!$H$98,$C671),I682))),0)</f>
        <v>0</v>
      </c>
      <c r="K682" s="39">
        <f>+IFERROR(-ABS(IF(EDATE(_xlfn.XLOOKUP(1,$H669:$BE669,$H$4:$BE$4),12*Assumptions!$H$98+12)=K$4,0,IF(J669=1,PMT(Assumptions!$H$96,Assumptions!$H$98,$C671),J682))),0)</f>
        <v>0</v>
      </c>
      <c r="L682" s="39">
        <f>+IFERROR(-ABS(IF(EDATE(_xlfn.XLOOKUP(1,$H669:$BE669,$H$4:$BE$4),12*Assumptions!$H$98+12)=L$4,0,IF(K669=1,PMT(Assumptions!$H$96,Assumptions!$H$98,$C671),K682))),0)</f>
        <v>0</v>
      </c>
      <c r="M682" s="39">
        <f>+IFERROR(-ABS(IF(EDATE(_xlfn.XLOOKUP(1,$H669:$BE669,$H$4:$BE$4),12*Assumptions!$H$98+12)=M$4,0,IF(L669=1,PMT(Assumptions!$H$96,Assumptions!$H$98,$C671),L682))),0)</f>
        <v>0</v>
      </c>
      <c r="N682" s="39">
        <f>+IFERROR(-ABS(IF(EDATE(_xlfn.XLOOKUP(1,$H669:$BE669,$H$4:$BE$4),12*Assumptions!$H$98+12)=N$4,0,IF(M669=1,PMT(Assumptions!$H$96,Assumptions!$H$98,$C671),M682))),0)</f>
        <v>0</v>
      </c>
      <c r="O682" s="39">
        <f>+IFERROR(-ABS(IF(EDATE(_xlfn.XLOOKUP(1,$H669:$BE669,$H$4:$BE$4),12*Assumptions!$H$98+12)=O$4,0,IF(N669=1,PMT(Assumptions!$H$96,Assumptions!$H$98,$C671),N682))),0)</f>
        <v>0</v>
      </c>
      <c r="P682" s="39">
        <f>+IFERROR(-ABS(IF(EDATE(_xlfn.XLOOKUP(1,$H669:$BE669,$H$4:$BE$4),12*Assumptions!$H$98+12)=P$4,0,IF(O669=1,PMT(Assumptions!$H$96,Assumptions!$H$98,$C671),O682))),0)</f>
        <v>0</v>
      </c>
      <c r="Q682" s="39">
        <f>+IFERROR(-ABS(IF(EDATE(_xlfn.XLOOKUP(1,$H669:$BE669,$H$4:$BE$4),12*Assumptions!$H$98+12)=Q$4,0,IF(P669=1,PMT(Assumptions!$H$96,Assumptions!$H$98,$C671),P682))),0)</f>
        <v>0</v>
      </c>
      <c r="R682" s="39">
        <f>+IFERROR(-ABS(IF(EDATE(_xlfn.XLOOKUP(1,$H669:$BE669,$H$4:$BE$4),12*Assumptions!$H$98+12)=R$4,0,IF(Q669=1,PMT(Assumptions!$H$96,Assumptions!$H$98,$C671),Q682))),0)</f>
        <v>0</v>
      </c>
      <c r="S682" s="39">
        <f>+IFERROR(-ABS(IF(EDATE(_xlfn.XLOOKUP(1,$H669:$BE669,$H$4:$BE$4),12*Assumptions!$H$98+12)=S$4,0,IF(R669=1,PMT(Assumptions!$H$96,Assumptions!$H$98,$C671),R682))),0)</f>
        <v>0</v>
      </c>
      <c r="T682" s="39">
        <f>+IFERROR(-ABS(IF(EDATE(_xlfn.XLOOKUP(1,$H669:$BE669,$H$4:$BE$4),12*Assumptions!$H$98+12)=T$4,0,IF(S669=1,PMT(Assumptions!$H$96,Assumptions!$H$98,$C671),S682))),0)</f>
        <v>0</v>
      </c>
      <c r="U682" s="39">
        <f>+IFERROR(-ABS(IF(EDATE(_xlfn.XLOOKUP(1,$H669:$BE669,$H$4:$BE$4),12*Assumptions!$H$98+12)=U$4,0,IF(T669=1,PMT(Assumptions!$H$96,Assumptions!$H$98,$C671),T682))),0)</f>
        <v>0</v>
      </c>
      <c r="V682" s="39">
        <f>+IFERROR(-ABS(IF(EDATE(_xlfn.XLOOKUP(1,$H669:$BE669,$H$4:$BE$4),12*Assumptions!$H$98+12)=V$4,0,IF(U669=1,PMT(Assumptions!$H$96,Assumptions!$H$98,$C671),U682))),0)</f>
        <v>0</v>
      </c>
      <c r="W682" s="39">
        <f>+IFERROR(-ABS(IF(EDATE(_xlfn.XLOOKUP(1,$H669:$BE669,$H$4:$BE$4),12*Assumptions!$H$98+12)=W$4,0,IF(V669=1,PMT(Assumptions!$H$96,Assumptions!$H$98,$C671),V682))),0)</f>
        <v>0</v>
      </c>
      <c r="X682" s="39">
        <f>+IFERROR(-ABS(IF(EDATE(_xlfn.XLOOKUP(1,$H669:$BE669,$H$4:$BE$4),12*Assumptions!$H$98+12)=X$4,0,IF(W669=1,PMT(Assumptions!$H$96,Assumptions!$H$98,$C671),W682))),0)</f>
        <v>0</v>
      </c>
      <c r="Y682" s="39">
        <f>+IFERROR(-ABS(IF(EDATE(_xlfn.XLOOKUP(1,$H669:$BE669,$H$4:$BE$4),12*Assumptions!$H$98+12)=Y$4,0,IF(X669=1,PMT(Assumptions!$H$96,Assumptions!$H$98,$C671),X682))),0)</f>
        <v>0</v>
      </c>
      <c r="Z682" s="39">
        <f>+IFERROR(-ABS(IF(EDATE(_xlfn.XLOOKUP(1,$H669:$BE669,$H$4:$BE$4),12*Assumptions!$H$98+12)=Z$4,0,IF(Y669=1,PMT(Assumptions!$H$96,Assumptions!$H$98,$C671),Y682))),0)</f>
        <v>0</v>
      </c>
      <c r="AA682" s="39">
        <f>+IFERROR(-ABS(IF(EDATE(_xlfn.XLOOKUP(1,$H669:$BE669,$H$4:$BE$4),12*Assumptions!$H$98+12)=AA$4,0,IF(Z669=1,PMT(Assumptions!$H$96,Assumptions!$H$98,$C671),Z682))),0)</f>
        <v>0</v>
      </c>
      <c r="AB682" s="39">
        <f>+IFERROR(-ABS(IF(EDATE(_xlfn.XLOOKUP(1,$H669:$BE669,$H$4:$BE$4),12*Assumptions!$H$98+12)=AB$4,0,IF(AA669=1,PMT(Assumptions!$H$96,Assumptions!$H$98,$C671),AA682))),0)</f>
        <v>0</v>
      </c>
      <c r="AC682" s="39">
        <f>+IFERROR(-ABS(IF(EDATE(_xlfn.XLOOKUP(1,$H669:$BE669,$H$4:$BE$4),12*Assumptions!$H$98+12)=AC$4,0,IF(AB669=1,PMT(Assumptions!$H$96,Assumptions!$H$98,$C671),AB682))),0)</f>
        <v>0</v>
      </c>
      <c r="AD682" s="39">
        <f>+IFERROR(-ABS(IF(EDATE(_xlfn.XLOOKUP(1,$H669:$BE669,$H$4:$BE$4),12*Assumptions!$H$98+12)=AD$4,0,IF(AC669=1,PMT(Assumptions!$H$96,Assumptions!$H$98,$C671),AC682))),0)</f>
        <v>0</v>
      </c>
      <c r="AE682" s="39">
        <f>+IFERROR(-ABS(IF(EDATE(_xlfn.XLOOKUP(1,$H669:$BE669,$H$4:$BE$4),12*Assumptions!$H$98+12)=AE$4,0,IF(AD669=1,PMT(Assumptions!$H$96,Assumptions!$H$98,$C671),AD682))),0)</f>
        <v>0</v>
      </c>
      <c r="AF682" s="39">
        <f>+IFERROR(-ABS(IF(EDATE(_xlfn.XLOOKUP(1,$H669:$BE669,$H$4:$BE$4),12*Assumptions!$H$98+12)=AF$4,0,IF(AE669=1,PMT(Assumptions!$H$96,Assumptions!$H$98,$C671),AE682))),0)</f>
        <v>0</v>
      </c>
      <c r="AG682" s="39">
        <f>+IFERROR(-ABS(IF(EDATE(_xlfn.XLOOKUP(1,$H669:$BE669,$H$4:$BE$4),12*Assumptions!$H$98+12)=AG$4,0,IF(AF669=1,PMT(Assumptions!$H$96,Assumptions!$H$98,$C671),AF682))),0)</f>
        <v>0</v>
      </c>
      <c r="AH682" s="39">
        <f>+IFERROR(-ABS(IF(EDATE(_xlfn.XLOOKUP(1,$H669:$BE669,$H$4:$BE$4),12*Assumptions!$H$98+12)=AH$4,0,IF(AG669=1,PMT(Assumptions!$H$96,Assumptions!$H$98,$C671),AG682))),0)</f>
        <v>0</v>
      </c>
      <c r="AI682" s="39">
        <f>+IFERROR(-ABS(IF(EDATE(_xlfn.XLOOKUP(1,$H669:$BE669,$H$4:$BE$4),12*Assumptions!$H$98+12)=AI$4,0,IF(AH669=1,PMT(Assumptions!$H$96,Assumptions!$H$98,$C671),AH682))),0)</f>
        <v>0</v>
      </c>
      <c r="AJ682" s="39">
        <f>+IFERROR(-ABS(IF(EDATE(_xlfn.XLOOKUP(1,$H669:$BE669,$H$4:$BE$4),12*Assumptions!$H$98+12)=AJ$4,0,IF(AI669=1,PMT(Assumptions!$H$96,Assumptions!$H$98,$C671),AI682))),0)</f>
        <v>0</v>
      </c>
      <c r="AK682" s="39">
        <f>+IFERROR(-ABS(IF(EDATE(_xlfn.XLOOKUP(1,$H669:$BE669,$H$4:$BE$4),12*Assumptions!$H$98+12)=AK$4,0,IF(AJ669=1,PMT(Assumptions!$H$96,Assumptions!$H$98,$C671),AJ682))),0)</f>
        <v>0</v>
      </c>
      <c r="AL682" s="39">
        <f>+IFERROR(-ABS(IF(EDATE(_xlfn.XLOOKUP(1,$H669:$BE669,$H$4:$BE$4),12*Assumptions!$H$98+12)=AL$4,0,IF(AK669=1,PMT(Assumptions!$H$96,Assumptions!$H$98,$C671),AK682))),0)</f>
        <v>0</v>
      </c>
      <c r="AM682" s="39">
        <f>+IFERROR(-ABS(IF(EDATE(_xlfn.XLOOKUP(1,$H669:$BE669,$H$4:$BE$4),12*Assumptions!$H$98+12)=AM$4,0,IF(AL669=1,PMT(Assumptions!$H$96,Assumptions!$H$98,$C671),AL682))),0)</f>
        <v>0</v>
      </c>
      <c r="AN682" s="39">
        <f>+IFERROR(-ABS(IF(EDATE(_xlfn.XLOOKUP(1,$H669:$BE669,$H$4:$BE$4),12*Assumptions!$H$98+12)=AN$4,0,IF(AM669=1,PMT(Assumptions!$H$96,Assumptions!$H$98,$C671),AM682))),0)</f>
        <v>0</v>
      </c>
      <c r="AO682" s="39">
        <f>+IFERROR(-ABS(IF(EDATE(_xlfn.XLOOKUP(1,$H669:$BE669,$H$4:$BE$4),12*Assumptions!$H$98+12)=AO$4,0,IF(AN669=1,PMT(Assumptions!$H$96,Assumptions!$H$98,$C671),AN682))),0)</f>
        <v>0</v>
      </c>
      <c r="AP682" s="39">
        <f>+IFERROR(-ABS(IF(EDATE(_xlfn.XLOOKUP(1,$H669:$BE669,$H$4:$BE$4),12*Assumptions!$H$98+12)=AP$4,0,IF(AO669=1,PMT(Assumptions!$H$96,Assumptions!$H$98,$C671),AO682))),0)</f>
        <v>0</v>
      </c>
      <c r="AQ682" s="39">
        <f>+IFERROR(-ABS(IF(EDATE(_xlfn.XLOOKUP(1,$H669:$BE669,$H$4:$BE$4),12*Assumptions!$H$98+12)=AQ$4,0,IF(AP669=1,PMT(Assumptions!$H$96,Assumptions!$H$98,$C671),AP682))),0)</f>
        <v>0</v>
      </c>
      <c r="AR682" s="39">
        <f>+IFERROR(-ABS(IF(EDATE(_xlfn.XLOOKUP(1,$H669:$BE669,$H$4:$BE$4),12*Assumptions!$H$98+12)=AR$4,0,IF(AQ669=1,PMT(Assumptions!$H$96,Assumptions!$H$98,$C671),AQ682))),0)</f>
        <v>0</v>
      </c>
      <c r="AS682" s="39">
        <f>+IFERROR(-ABS(IF(EDATE(_xlfn.XLOOKUP(1,$H669:$BE669,$H$4:$BE$4),12*Assumptions!$H$98+12)=AS$4,0,IF(AR669=1,PMT(Assumptions!$H$96,Assumptions!$H$98,$C671),AR682))),0)</f>
        <v>0</v>
      </c>
      <c r="AT682" s="39">
        <f>+IFERROR(-ABS(IF(EDATE(_xlfn.XLOOKUP(1,$H669:$BE669,$H$4:$BE$4),12*Assumptions!$H$98+12)=AT$4,0,IF(AS669=1,PMT(Assumptions!$H$96,Assumptions!$H$98,$C671),AS682))),0)</f>
        <v>0</v>
      </c>
      <c r="AU682" s="39">
        <f>+IFERROR(-ABS(IF(EDATE(_xlfn.XLOOKUP(1,$H669:$BE669,$H$4:$BE$4),12*Assumptions!$H$98+12)=AU$4,0,IF(AT669=1,PMT(Assumptions!$H$96,Assumptions!$H$98,$C671),AT682))),0)</f>
        <v>0</v>
      </c>
      <c r="AV682" s="39">
        <f>+IFERROR(-ABS(IF(EDATE(_xlfn.XLOOKUP(1,$H669:$BE669,$H$4:$BE$4),12*Assumptions!$H$98+12)=AV$4,0,IF(AU669=1,PMT(Assumptions!$H$96,Assumptions!$H$98,$C671),AU682))),0)</f>
        <v>0</v>
      </c>
      <c r="AW682" s="39">
        <f>+IFERROR(-ABS(IF(EDATE(_xlfn.XLOOKUP(1,$H669:$BE669,$H$4:$BE$4),12*Assumptions!$H$98+12)=AW$4,0,IF(AV669=1,PMT(Assumptions!$H$96,Assumptions!$H$98,$C671),AV682))),0)</f>
        <v>0</v>
      </c>
      <c r="AX682" s="39">
        <f>+IFERROR(-ABS(IF(EDATE(_xlfn.XLOOKUP(1,$H669:$BE669,$H$4:$BE$4),12*Assumptions!$H$98+12)=AX$4,0,IF(AW669=1,PMT(Assumptions!$H$96,Assumptions!$H$98,$C671),AW682))),0)</f>
        <v>0</v>
      </c>
      <c r="AY682" s="39">
        <f>+IFERROR(-ABS(IF(EDATE(_xlfn.XLOOKUP(1,$H669:$BE669,$H$4:$BE$4),12*Assumptions!$H$98+12)=AY$4,0,IF(AX669=1,PMT(Assumptions!$H$96,Assumptions!$H$98,$C671),AX682))),0)</f>
        <v>0</v>
      </c>
      <c r="AZ682" s="39">
        <f>+IFERROR(-ABS(IF(EDATE(_xlfn.XLOOKUP(1,$H669:$BE669,$H$4:$BE$4),12*Assumptions!$H$98+12)=AZ$4,0,IF(AY669=1,PMT(Assumptions!$H$96,Assumptions!$H$98,$C671),AY682))),0)</f>
        <v>0</v>
      </c>
      <c r="BA682" s="39">
        <f>+IFERROR(-ABS(IF(EDATE(_xlfn.XLOOKUP(1,$H669:$BE669,$H$4:$BE$4),12*Assumptions!$H$98+12)=BA$4,0,IF(AZ669=1,PMT(Assumptions!$H$96,Assumptions!$H$98,$C671),AZ682))),0)</f>
        <v>0</v>
      </c>
      <c r="BB682" s="39">
        <f>+IFERROR(-ABS(IF(EDATE(_xlfn.XLOOKUP(1,$H669:$BE669,$H$4:$BE$4),12*Assumptions!$H$98+12)=BB$4,0,IF(BA669=1,PMT(Assumptions!$H$96,Assumptions!$H$98,$C671),BA682))),0)</f>
        <v>0</v>
      </c>
      <c r="BC682" s="39">
        <f>+IFERROR(-ABS(IF(EDATE(_xlfn.XLOOKUP(1,$H669:$BE669,$H$4:$BE$4),12*Assumptions!$H$98+12)=BC$4,0,IF(BB669=1,PMT(Assumptions!$H$96,Assumptions!$H$98,$C671),BB682))),0)</f>
        <v>0</v>
      </c>
      <c r="BD682" s="39">
        <f>+IFERROR(-ABS(IF(EDATE(_xlfn.XLOOKUP(1,$H669:$BE669,$H$4:$BE$4),12*Assumptions!$H$98+12)=BD$4,0,IF(BC669=1,PMT(Assumptions!$H$96,Assumptions!$H$98,$C671),BC682))),0)</f>
        <v>0</v>
      </c>
      <c r="BE682" s="39">
        <f>+IFERROR(-ABS(IF(EDATE(_xlfn.XLOOKUP(1,$H669:$BE669,$H$4:$BE$4),12*Assumptions!$H$98+12)=BE$4,0,IF(BD669=1,PMT(Assumptions!$H$96,Assumptions!$H$98,$C671),BD682))),0)</f>
        <v>0</v>
      </c>
      <c r="BF682" s="39">
        <f>+IFERROR(-ABS(IF(EDATE(_xlfn.XLOOKUP(1,$H669:$BE669,$H$4:$BE$4),12*Assumptions!$H$98+12)=BF$4,0,IF(BE669=1,PMT(Assumptions!$H$96,Assumptions!$H$98,$C671),BE682))),0)</f>
        <v>0</v>
      </c>
      <c r="BG682" s="39">
        <f>+IFERROR(-ABS(IF(EDATE(_xlfn.XLOOKUP(1,$H669:$BE669,$H$4:$BE$4),12*Assumptions!$H$98+12)=BG$4,0,IF(BF669=1,PMT(Assumptions!$H$96,Assumptions!$H$98,$C671),BF682))),0)</f>
        <v>0</v>
      </c>
      <c r="BH682" s="39">
        <f>+IFERROR(-ABS(IF(EDATE(_xlfn.XLOOKUP(1,$H669:$BE669,$H$4:$BE$4),12*Assumptions!$H$98+12)=BH$4,0,IF(BG669=1,PMT(Assumptions!$H$96,Assumptions!$H$98,$C671),BG682))),0)</f>
        <v>0</v>
      </c>
      <c r="BI682" s="39">
        <f>+IFERROR(-ABS(IF(EDATE(_xlfn.XLOOKUP(1,$H669:$BE669,$H$4:$BE$4),12*Assumptions!$H$98+12)=BI$4,0,IF(BH669=1,PMT(Assumptions!$H$96,Assumptions!$H$98,$C671),BH682))),0)</f>
        <v>0</v>
      </c>
      <c r="BJ682" s="39">
        <f>+IFERROR(-ABS(IF(EDATE(_xlfn.XLOOKUP(1,$H669:$BE669,$H$4:$BE$4),12*Assumptions!$H$98+12)=BJ$4,0,IF(BI669=1,PMT(Assumptions!$H$96,Assumptions!$H$98,$C671),BI682))),0)</f>
        <v>0</v>
      </c>
      <c r="BK682" s="39">
        <f>+IFERROR(-ABS(IF(EDATE(_xlfn.XLOOKUP(1,$H669:$BE669,$H$4:$BE$4),12*Assumptions!$H$98+12)=BK$4,0,IF(BJ669=1,PMT(Assumptions!$H$96,Assumptions!$H$98,$C671),BJ682))),0)</f>
        <v>0</v>
      </c>
      <c r="BL682" s="39">
        <f>+IFERROR(-ABS(IF(EDATE(_xlfn.XLOOKUP(1,$H669:$BE669,$H$4:$BE$4),12*Assumptions!$H$98+12)=BL$4,0,IF(BK669=1,PMT(Assumptions!$H$96,Assumptions!$H$98,$C671),BK682))),0)</f>
        <v>0</v>
      </c>
      <c r="BM682" s="39">
        <f>+IFERROR(-ABS(IF(EDATE(_xlfn.XLOOKUP(1,$H669:$BE669,$H$4:$BE$4),12*Assumptions!$H$98+12)=BM$4,0,IF(BL669=1,PMT(Assumptions!$H$96,Assumptions!$H$98,$C671),BL682))),0)</f>
        <v>0</v>
      </c>
      <c r="BN682" s="39">
        <f>+IFERROR(-ABS(IF(EDATE(_xlfn.XLOOKUP(1,$H669:$BE669,$H$4:$BE$4),12*Assumptions!$H$98+12)=BN$4,0,IF(BM669=1,PMT(Assumptions!$H$96,Assumptions!$H$98,$C671),BM682))),0)</f>
        <v>0</v>
      </c>
      <c r="BO682" s="39">
        <f>+IFERROR(-ABS(IF(EDATE(_xlfn.XLOOKUP(1,$H669:$BE669,$H$4:$BE$4),12*Assumptions!$H$98+12)=BO$4,0,IF(BN669=1,PMT(Assumptions!$H$96,Assumptions!$H$98,$C671),BN682))),0)</f>
        <v>0</v>
      </c>
      <c r="BP682" s="39">
        <f>+IFERROR(-ABS(IF(EDATE(_xlfn.XLOOKUP(1,$H669:$BE669,$H$4:$BE$4),12*Assumptions!$H$98+12)=BP$4,0,IF(BO669=1,PMT(Assumptions!$H$96,Assumptions!$H$98,$C671),BO682))),0)</f>
        <v>0</v>
      </c>
      <c r="BQ682" s="39">
        <f>+IFERROR(-ABS(IF(EDATE(_xlfn.XLOOKUP(1,$H669:$BE669,$H$4:$BE$4),12*Assumptions!$H$98+12)=BQ$4,0,IF(BP669=1,PMT(Assumptions!$H$96,Assumptions!$H$98,$C671),BP682))),0)</f>
        <v>0</v>
      </c>
      <c r="BR682" s="39">
        <f>+IFERROR(-ABS(IF(EDATE(_xlfn.XLOOKUP(1,$H669:$BE669,$H$4:$BE$4),12*Assumptions!$H$98+12)=BR$4,0,IF(BQ669=1,PMT(Assumptions!$H$96,Assumptions!$H$98,$C671),BQ682))),0)</f>
        <v>0</v>
      </c>
      <c r="BS682" s="39">
        <f>+IFERROR(-ABS(IF(EDATE(_xlfn.XLOOKUP(1,$H669:$BE669,$H$4:$BE$4),12*Assumptions!$H$98+12)=BS$4,0,IF(BR669=1,PMT(Assumptions!$H$96,Assumptions!$H$98,$C671),BR682))),0)</f>
        <v>0</v>
      </c>
      <c r="BT682" s="39">
        <f>+IFERROR(-ABS(IF(EDATE(_xlfn.XLOOKUP(1,$H669:$BE669,$H$4:$BE$4),12*Assumptions!$H$98+12)=BT$4,0,IF(BS669=1,PMT(Assumptions!$H$96,Assumptions!$H$98,$C671),BS682))),0)</f>
        <v>0</v>
      </c>
      <c r="BU682" s="39">
        <f>+IFERROR(-ABS(IF(EDATE(_xlfn.XLOOKUP(1,$H669:$BE669,$H$4:$BE$4),12*Assumptions!$H$98+12)=BU$4,0,IF(BT669=1,PMT(Assumptions!$H$96,Assumptions!$H$98,$C671),BT682))),0)</f>
        <v>0</v>
      </c>
      <c r="BV682" s="39">
        <f>+IFERROR(-ABS(IF(EDATE(_xlfn.XLOOKUP(1,$H669:$BE669,$H$4:$BE$4),12*Assumptions!$H$98+12)=BV$4,0,IF(BU669=1,PMT(Assumptions!$H$96,Assumptions!$H$98,$C671),BU682))),0)</f>
        <v>0</v>
      </c>
      <c r="BW682" s="39">
        <f>+IFERROR(-ABS(IF(EDATE(_xlfn.XLOOKUP(1,$H669:$BE669,$H$4:$BE$4),12*Assumptions!$H$98+12)=BW$4,0,IF(BV669=1,PMT(Assumptions!$H$96,Assumptions!$H$98,$C671),BV682))),0)</f>
        <v>0</v>
      </c>
      <c r="BX682" s="39">
        <f>+IFERROR(-ABS(IF(EDATE(_xlfn.XLOOKUP(1,$H669:$BE669,$H$4:$BE$4),12*Assumptions!$H$98+12)=BX$4,0,IF(BW669=1,PMT(Assumptions!$H$96,Assumptions!$H$98,$C671),BW682))),0)</f>
        <v>0</v>
      </c>
      <c r="BY682" s="39">
        <f>+IFERROR(-ABS(IF(EDATE(_xlfn.XLOOKUP(1,$H669:$BE669,$H$4:$BE$4),12*Assumptions!$H$98+12)=BY$4,0,IF(BX669=1,PMT(Assumptions!$H$96,Assumptions!$H$98,$C671),BX682))),0)</f>
        <v>0</v>
      </c>
    </row>
    <row r="683" spans="5:77" outlineLevel="1">
      <c r="E683" s="24" t="s">
        <v>520</v>
      </c>
      <c r="F683" s="80" t="str">
        <f>+Assumptions!$G$8</f>
        <v>USD</v>
      </c>
      <c r="G683" s="24"/>
      <c r="H683" s="39">
        <f>+IFERROR(-ABS(IF(EDATE(_xlfn.XLOOKUP(1,$H670:$BE670,$H$4:$BE$4),12*Assumptions!$H$98+12)=H$4,0,IF(G670=1,PMT(Assumptions!$H$96,Assumptions!$H$98,$C672),G683))),0)</f>
        <v>0</v>
      </c>
      <c r="I683" s="39">
        <f>+IFERROR(-ABS(IF(EDATE(_xlfn.XLOOKUP(1,$H670:$BE670,$H$4:$BE$4),12*Assumptions!$H$98+12)=I$4,0,IF(H670=1,PMT(Assumptions!$H$96,Assumptions!$H$98,$C672),H683))),0)</f>
        <v>0</v>
      </c>
      <c r="J683" s="39">
        <f>+IFERROR(-ABS(IF(EDATE(_xlfn.XLOOKUP(1,$H670:$BE670,$H$4:$BE$4),12*Assumptions!$H$98+12)=J$4,0,IF(I670=1,PMT(Assumptions!$H$96,Assumptions!$H$98,$C672),I683))),0)</f>
        <v>0</v>
      </c>
      <c r="K683" s="39">
        <f>+IFERROR(-ABS(IF(EDATE(_xlfn.XLOOKUP(1,$H670:$BE670,$H$4:$BE$4),12*Assumptions!$H$98+12)=K$4,0,IF(J670=1,PMT(Assumptions!$H$96,Assumptions!$H$98,$C672),J683))),0)</f>
        <v>0</v>
      </c>
      <c r="L683" s="39">
        <f>+IFERROR(-ABS(IF(EDATE(_xlfn.XLOOKUP(1,$H670:$BE670,$H$4:$BE$4),12*Assumptions!$H$98+12)=L$4,0,IF(K670=1,PMT(Assumptions!$H$96,Assumptions!$H$98,$C672),K683))),0)</f>
        <v>0</v>
      </c>
      <c r="M683" s="39">
        <f>+IFERROR(-ABS(IF(EDATE(_xlfn.XLOOKUP(1,$H670:$BE670,$H$4:$BE$4),12*Assumptions!$H$98+12)=M$4,0,IF(L670=1,PMT(Assumptions!$H$96,Assumptions!$H$98,$C672),L683))),0)</f>
        <v>0</v>
      </c>
      <c r="N683" s="39">
        <f>+IFERROR(-ABS(IF(EDATE(_xlfn.XLOOKUP(1,$H670:$BE670,$H$4:$BE$4),12*Assumptions!$H$98+12)=N$4,0,IF(M670=1,PMT(Assumptions!$H$96,Assumptions!$H$98,$C672),M683))),0)</f>
        <v>0</v>
      </c>
      <c r="O683" s="39">
        <f>+IFERROR(-ABS(IF(EDATE(_xlfn.XLOOKUP(1,$H670:$BE670,$H$4:$BE$4),12*Assumptions!$H$98+12)=O$4,0,IF(N670=1,PMT(Assumptions!$H$96,Assumptions!$H$98,$C672),N683))),0)</f>
        <v>0</v>
      </c>
      <c r="P683" s="39">
        <f>+IFERROR(-ABS(IF(EDATE(_xlfn.XLOOKUP(1,$H670:$BE670,$H$4:$BE$4),12*Assumptions!$H$98+12)=P$4,0,IF(O670=1,PMT(Assumptions!$H$96,Assumptions!$H$98,$C672),O683))),0)</f>
        <v>0</v>
      </c>
      <c r="Q683" s="39">
        <f>+IFERROR(-ABS(IF(EDATE(_xlfn.XLOOKUP(1,$H670:$BE670,$H$4:$BE$4),12*Assumptions!$H$98+12)=Q$4,0,IF(P670=1,PMT(Assumptions!$H$96,Assumptions!$H$98,$C672),P683))),0)</f>
        <v>0</v>
      </c>
      <c r="R683" s="39">
        <f>+IFERROR(-ABS(IF(EDATE(_xlfn.XLOOKUP(1,$H670:$BE670,$H$4:$BE$4),12*Assumptions!$H$98+12)=R$4,0,IF(Q670=1,PMT(Assumptions!$H$96,Assumptions!$H$98,$C672),Q683))),0)</f>
        <v>0</v>
      </c>
      <c r="S683" s="39">
        <f>+IFERROR(-ABS(IF(EDATE(_xlfn.XLOOKUP(1,$H670:$BE670,$H$4:$BE$4),12*Assumptions!$H$98+12)=S$4,0,IF(R670=1,PMT(Assumptions!$H$96,Assumptions!$H$98,$C672),R683))),0)</f>
        <v>0</v>
      </c>
      <c r="T683" s="39">
        <f>+IFERROR(-ABS(IF(EDATE(_xlfn.XLOOKUP(1,$H670:$BE670,$H$4:$BE$4),12*Assumptions!$H$98+12)=T$4,0,IF(S670=1,PMT(Assumptions!$H$96,Assumptions!$H$98,$C672),S683))),0)</f>
        <v>0</v>
      </c>
      <c r="U683" s="39">
        <f>+IFERROR(-ABS(IF(EDATE(_xlfn.XLOOKUP(1,$H670:$BE670,$H$4:$BE$4),12*Assumptions!$H$98+12)=U$4,0,IF(T670=1,PMT(Assumptions!$H$96,Assumptions!$H$98,$C672),T683))),0)</f>
        <v>0</v>
      </c>
      <c r="V683" s="39">
        <f>+IFERROR(-ABS(IF(EDATE(_xlfn.XLOOKUP(1,$H670:$BE670,$H$4:$BE$4),12*Assumptions!$H$98+12)=V$4,0,IF(U670=1,PMT(Assumptions!$H$96,Assumptions!$H$98,$C672),U683))),0)</f>
        <v>0</v>
      </c>
      <c r="W683" s="39">
        <f>+IFERROR(-ABS(IF(EDATE(_xlfn.XLOOKUP(1,$H670:$BE670,$H$4:$BE$4),12*Assumptions!$H$98+12)=W$4,0,IF(V670=1,PMT(Assumptions!$H$96,Assumptions!$H$98,$C672),V683))),0)</f>
        <v>0</v>
      </c>
      <c r="X683" s="39">
        <f>+IFERROR(-ABS(IF(EDATE(_xlfn.XLOOKUP(1,$H670:$BE670,$H$4:$BE$4),12*Assumptions!$H$98+12)=X$4,0,IF(W670=1,PMT(Assumptions!$H$96,Assumptions!$H$98,$C672),W683))),0)</f>
        <v>0</v>
      </c>
      <c r="Y683" s="39">
        <f>+IFERROR(-ABS(IF(EDATE(_xlfn.XLOOKUP(1,$H670:$BE670,$H$4:$BE$4),12*Assumptions!$H$98+12)=Y$4,0,IF(X670=1,PMT(Assumptions!$H$96,Assumptions!$H$98,$C672),X683))),0)</f>
        <v>0</v>
      </c>
      <c r="Z683" s="39">
        <f>+IFERROR(-ABS(IF(EDATE(_xlfn.XLOOKUP(1,$H670:$BE670,$H$4:$BE$4),12*Assumptions!$H$98+12)=Z$4,0,IF(Y670=1,PMT(Assumptions!$H$96,Assumptions!$H$98,$C672),Y683))),0)</f>
        <v>0</v>
      </c>
      <c r="AA683" s="39">
        <f>+IFERROR(-ABS(IF(EDATE(_xlfn.XLOOKUP(1,$H670:$BE670,$H$4:$BE$4),12*Assumptions!$H$98+12)=AA$4,0,IF(Z670=1,PMT(Assumptions!$H$96,Assumptions!$H$98,$C672),Z683))),0)</f>
        <v>0</v>
      </c>
      <c r="AB683" s="39">
        <f>+IFERROR(-ABS(IF(EDATE(_xlfn.XLOOKUP(1,$H670:$BE670,$H$4:$BE$4),12*Assumptions!$H$98+12)=AB$4,0,IF(AA670=1,PMT(Assumptions!$H$96,Assumptions!$H$98,$C672),AA683))),0)</f>
        <v>0</v>
      </c>
      <c r="AC683" s="39">
        <f>+IFERROR(-ABS(IF(EDATE(_xlfn.XLOOKUP(1,$H670:$BE670,$H$4:$BE$4),12*Assumptions!$H$98+12)=AC$4,0,IF(AB670=1,PMT(Assumptions!$H$96,Assumptions!$H$98,$C672),AB683))),0)</f>
        <v>0</v>
      </c>
      <c r="AD683" s="39">
        <f>+IFERROR(-ABS(IF(EDATE(_xlfn.XLOOKUP(1,$H670:$BE670,$H$4:$BE$4),12*Assumptions!$H$98+12)=AD$4,0,IF(AC670=1,PMT(Assumptions!$H$96,Assumptions!$H$98,$C672),AC683))),0)</f>
        <v>0</v>
      </c>
      <c r="AE683" s="39">
        <f>+IFERROR(-ABS(IF(EDATE(_xlfn.XLOOKUP(1,$H670:$BE670,$H$4:$BE$4),12*Assumptions!$H$98+12)=AE$4,0,IF(AD670=1,PMT(Assumptions!$H$96,Assumptions!$H$98,$C672),AD683))),0)</f>
        <v>0</v>
      </c>
      <c r="AF683" s="39">
        <f>+IFERROR(-ABS(IF(EDATE(_xlfn.XLOOKUP(1,$H670:$BE670,$H$4:$BE$4),12*Assumptions!$H$98+12)=AF$4,0,IF(AE670=1,PMT(Assumptions!$H$96,Assumptions!$H$98,$C672),AE683))),0)</f>
        <v>0</v>
      </c>
      <c r="AG683" s="39">
        <f>+IFERROR(-ABS(IF(EDATE(_xlfn.XLOOKUP(1,$H670:$BE670,$H$4:$BE$4),12*Assumptions!$H$98+12)=AG$4,0,IF(AF670=1,PMT(Assumptions!$H$96,Assumptions!$H$98,$C672),AF683))),0)</f>
        <v>0</v>
      </c>
      <c r="AH683" s="39">
        <f>+IFERROR(-ABS(IF(EDATE(_xlfn.XLOOKUP(1,$H670:$BE670,$H$4:$BE$4),12*Assumptions!$H$98+12)=AH$4,0,IF(AG670=1,PMT(Assumptions!$H$96,Assumptions!$H$98,$C672),AG683))),0)</f>
        <v>0</v>
      </c>
      <c r="AI683" s="39">
        <f>+IFERROR(-ABS(IF(EDATE(_xlfn.XLOOKUP(1,$H670:$BE670,$H$4:$BE$4),12*Assumptions!$H$98+12)=AI$4,0,IF(AH670=1,PMT(Assumptions!$H$96,Assumptions!$H$98,$C672),AH683))),0)</f>
        <v>0</v>
      </c>
      <c r="AJ683" s="39">
        <f>+IFERROR(-ABS(IF(EDATE(_xlfn.XLOOKUP(1,$H670:$BE670,$H$4:$BE$4),12*Assumptions!$H$98+12)=AJ$4,0,IF(AI670=1,PMT(Assumptions!$H$96,Assumptions!$H$98,$C672),AI683))),0)</f>
        <v>0</v>
      </c>
      <c r="AK683" s="39">
        <f>+IFERROR(-ABS(IF(EDATE(_xlfn.XLOOKUP(1,$H670:$BE670,$H$4:$BE$4),12*Assumptions!$H$98+12)=AK$4,0,IF(AJ670=1,PMT(Assumptions!$H$96,Assumptions!$H$98,$C672),AJ683))),0)</f>
        <v>0</v>
      </c>
      <c r="AL683" s="39">
        <f>+IFERROR(-ABS(IF(EDATE(_xlfn.XLOOKUP(1,$H670:$BE670,$H$4:$BE$4),12*Assumptions!$H$98+12)=AL$4,0,IF(AK670=1,PMT(Assumptions!$H$96,Assumptions!$H$98,$C672),AK683))),0)</f>
        <v>0</v>
      </c>
      <c r="AM683" s="39">
        <f>+IFERROR(-ABS(IF(EDATE(_xlfn.XLOOKUP(1,$H670:$BE670,$H$4:$BE$4),12*Assumptions!$H$98+12)=AM$4,0,IF(AL670=1,PMT(Assumptions!$H$96,Assumptions!$H$98,$C672),AL683))),0)</f>
        <v>0</v>
      </c>
      <c r="AN683" s="39">
        <f>+IFERROR(-ABS(IF(EDATE(_xlfn.XLOOKUP(1,$H670:$BE670,$H$4:$BE$4),12*Assumptions!$H$98+12)=AN$4,0,IF(AM670=1,PMT(Assumptions!$H$96,Assumptions!$H$98,$C672),AM683))),0)</f>
        <v>0</v>
      </c>
      <c r="AO683" s="39">
        <f>+IFERROR(-ABS(IF(EDATE(_xlfn.XLOOKUP(1,$H670:$BE670,$H$4:$BE$4),12*Assumptions!$H$98+12)=AO$4,0,IF(AN670=1,PMT(Assumptions!$H$96,Assumptions!$H$98,$C672),AN683))),0)</f>
        <v>0</v>
      </c>
      <c r="AP683" s="39">
        <f>+IFERROR(-ABS(IF(EDATE(_xlfn.XLOOKUP(1,$H670:$BE670,$H$4:$BE$4),12*Assumptions!$H$98+12)=AP$4,0,IF(AO670=1,PMT(Assumptions!$H$96,Assumptions!$H$98,$C672),AO683))),0)</f>
        <v>0</v>
      </c>
      <c r="AQ683" s="39">
        <f>+IFERROR(-ABS(IF(EDATE(_xlfn.XLOOKUP(1,$H670:$BE670,$H$4:$BE$4),12*Assumptions!$H$98+12)=AQ$4,0,IF(AP670=1,PMT(Assumptions!$H$96,Assumptions!$H$98,$C672),AP683))),0)</f>
        <v>0</v>
      </c>
      <c r="AR683" s="39">
        <f>+IFERROR(-ABS(IF(EDATE(_xlfn.XLOOKUP(1,$H670:$BE670,$H$4:$BE$4),12*Assumptions!$H$98+12)=AR$4,0,IF(AQ670=1,PMT(Assumptions!$H$96,Assumptions!$H$98,$C672),AQ683))),0)</f>
        <v>0</v>
      </c>
      <c r="AS683" s="39">
        <f>+IFERROR(-ABS(IF(EDATE(_xlfn.XLOOKUP(1,$H670:$BE670,$H$4:$BE$4),12*Assumptions!$H$98+12)=AS$4,0,IF(AR670=1,PMT(Assumptions!$H$96,Assumptions!$H$98,$C672),AR683))),0)</f>
        <v>0</v>
      </c>
      <c r="AT683" s="39">
        <f>+IFERROR(-ABS(IF(EDATE(_xlfn.XLOOKUP(1,$H670:$BE670,$H$4:$BE$4),12*Assumptions!$H$98+12)=AT$4,0,IF(AS670=1,PMT(Assumptions!$H$96,Assumptions!$H$98,$C672),AS683))),0)</f>
        <v>0</v>
      </c>
      <c r="AU683" s="39">
        <f>+IFERROR(-ABS(IF(EDATE(_xlfn.XLOOKUP(1,$H670:$BE670,$H$4:$BE$4),12*Assumptions!$H$98+12)=AU$4,0,IF(AT670=1,PMT(Assumptions!$H$96,Assumptions!$H$98,$C672),AT683))),0)</f>
        <v>0</v>
      </c>
      <c r="AV683" s="39">
        <f>+IFERROR(-ABS(IF(EDATE(_xlfn.XLOOKUP(1,$H670:$BE670,$H$4:$BE$4),12*Assumptions!$H$98+12)=AV$4,0,IF(AU670=1,PMT(Assumptions!$H$96,Assumptions!$H$98,$C672),AU683))),0)</f>
        <v>0</v>
      </c>
      <c r="AW683" s="39">
        <f>+IFERROR(-ABS(IF(EDATE(_xlfn.XLOOKUP(1,$H670:$BE670,$H$4:$BE$4),12*Assumptions!$H$98+12)=AW$4,0,IF(AV670=1,PMT(Assumptions!$H$96,Assumptions!$H$98,$C672),AV683))),0)</f>
        <v>0</v>
      </c>
      <c r="AX683" s="39">
        <f>+IFERROR(-ABS(IF(EDATE(_xlfn.XLOOKUP(1,$H670:$BE670,$H$4:$BE$4),12*Assumptions!$H$98+12)=AX$4,0,IF(AW670=1,PMT(Assumptions!$H$96,Assumptions!$H$98,$C672),AW683))),0)</f>
        <v>0</v>
      </c>
      <c r="AY683" s="39">
        <f>+IFERROR(-ABS(IF(EDATE(_xlfn.XLOOKUP(1,$H670:$BE670,$H$4:$BE$4),12*Assumptions!$H$98+12)=AY$4,0,IF(AX670=1,PMT(Assumptions!$H$96,Assumptions!$H$98,$C672),AX683))),0)</f>
        <v>0</v>
      </c>
      <c r="AZ683" s="39">
        <f>+IFERROR(-ABS(IF(EDATE(_xlfn.XLOOKUP(1,$H670:$BE670,$H$4:$BE$4),12*Assumptions!$H$98+12)=AZ$4,0,IF(AY670=1,PMT(Assumptions!$H$96,Assumptions!$H$98,$C672),AY683))),0)</f>
        <v>0</v>
      </c>
      <c r="BA683" s="39">
        <f>+IFERROR(-ABS(IF(EDATE(_xlfn.XLOOKUP(1,$H670:$BE670,$H$4:$BE$4),12*Assumptions!$H$98+12)=BA$4,0,IF(AZ670=1,PMT(Assumptions!$H$96,Assumptions!$H$98,$C672),AZ683))),0)</f>
        <v>0</v>
      </c>
      <c r="BB683" s="39">
        <f>+IFERROR(-ABS(IF(EDATE(_xlfn.XLOOKUP(1,$H670:$BE670,$H$4:$BE$4),12*Assumptions!$H$98+12)=BB$4,0,IF(BA670=1,PMT(Assumptions!$H$96,Assumptions!$H$98,$C672),BA683))),0)</f>
        <v>0</v>
      </c>
      <c r="BC683" s="39">
        <f>+IFERROR(-ABS(IF(EDATE(_xlfn.XLOOKUP(1,$H670:$BE670,$H$4:$BE$4),12*Assumptions!$H$98+12)=BC$4,0,IF(BB670=1,PMT(Assumptions!$H$96,Assumptions!$H$98,$C672),BB683))),0)</f>
        <v>0</v>
      </c>
      <c r="BD683" s="39">
        <f>+IFERROR(-ABS(IF(EDATE(_xlfn.XLOOKUP(1,$H670:$BE670,$H$4:$BE$4),12*Assumptions!$H$98+12)=BD$4,0,IF(BC670=1,PMT(Assumptions!$H$96,Assumptions!$H$98,$C672),BC683))),0)</f>
        <v>0</v>
      </c>
      <c r="BE683" s="39">
        <f>+IFERROR(-ABS(IF(EDATE(_xlfn.XLOOKUP(1,$H670:$BE670,$H$4:$BE$4),12*Assumptions!$H$98+12)=BE$4,0,IF(BD670=1,PMT(Assumptions!$H$96,Assumptions!$H$98,$C672),BD683))),0)</f>
        <v>0</v>
      </c>
      <c r="BF683" s="39">
        <f>+IFERROR(-ABS(IF(EDATE(_xlfn.XLOOKUP(1,$H670:$BE670,$H$4:$BE$4),12*Assumptions!$H$98+12)=BF$4,0,IF(BE670=1,PMT(Assumptions!$H$96,Assumptions!$H$98,$C672),BE683))),0)</f>
        <v>0</v>
      </c>
      <c r="BG683" s="39">
        <f>+IFERROR(-ABS(IF(EDATE(_xlfn.XLOOKUP(1,$H670:$BE670,$H$4:$BE$4),12*Assumptions!$H$98+12)=BG$4,0,IF(BF670=1,PMT(Assumptions!$H$96,Assumptions!$H$98,$C672),BF683))),0)</f>
        <v>0</v>
      </c>
      <c r="BH683" s="39">
        <f>+IFERROR(-ABS(IF(EDATE(_xlfn.XLOOKUP(1,$H670:$BE670,$H$4:$BE$4),12*Assumptions!$H$98+12)=BH$4,0,IF(BG670=1,PMT(Assumptions!$H$96,Assumptions!$H$98,$C672),BG683))),0)</f>
        <v>0</v>
      </c>
      <c r="BI683" s="39">
        <f>+IFERROR(-ABS(IF(EDATE(_xlfn.XLOOKUP(1,$H670:$BE670,$H$4:$BE$4),12*Assumptions!$H$98+12)=BI$4,0,IF(BH670=1,PMT(Assumptions!$H$96,Assumptions!$H$98,$C672),BH683))),0)</f>
        <v>0</v>
      </c>
      <c r="BJ683" s="39">
        <f>+IFERROR(-ABS(IF(EDATE(_xlfn.XLOOKUP(1,$H670:$BE670,$H$4:$BE$4),12*Assumptions!$H$98+12)=BJ$4,0,IF(BI670=1,PMT(Assumptions!$H$96,Assumptions!$H$98,$C672),BI683))),0)</f>
        <v>0</v>
      </c>
      <c r="BK683" s="39">
        <f>+IFERROR(-ABS(IF(EDATE(_xlfn.XLOOKUP(1,$H670:$BE670,$H$4:$BE$4),12*Assumptions!$H$98+12)=BK$4,0,IF(BJ670=1,PMT(Assumptions!$H$96,Assumptions!$H$98,$C672),BJ683))),0)</f>
        <v>0</v>
      </c>
      <c r="BL683" s="39">
        <f>+IFERROR(-ABS(IF(EDATE(_xlfn.XLOOKUP(1,$H670:$BE670,$H$4:$BE$4),12*Assumptions!$H$98+12)=BL$4,0,IF(BK670=1,PMT(Assumptions!$H$96,Assumptions!$H$98,$C672),BK683))),0)</f>
        <v>0</v>
      </c>
      <c r="BM683" s="39">
        <f>+IFERROR(-ABS(IF(EDATE(_xlfn.XLOOKUP(1,$H670:$BE670,$H$4:$BE$4),12*Assumptions!$H$98+12)=BM$4,0,IF(BL670=1,PMT(Assumptions!$H$96,Assumptions!$H$98,$C672),BL683))),0)</f>
        <v>0</v>
      </c>
      <c r="BN683" s="39">
        <f>+IFERROR(-ABS(IF(EDATE(_xlfn.XLOOKUP(1,$H670:$BE670,$H$4:$BE$4),12*Assumptions!$H$98+12)=BN$4,0,IF(BM670=1,PMT(Assumptions!$H$96,Assumptions!$H$98,$C672),BM683))),0)</f>
        <v>0</v>
      </c>
      <c r="BO683" s="39">
        <f>+IFERROR(-ABS(IF(EDATE(_xlfn.XLOOKUP(1,$H670:$BE670,$H$4:$BE$4),12*Assumptions!$H$98+12)=BO$4,0,IF(BN670=1,PMT(Assumptions!$H$96,Assumptions!$H$98,$C672),BN683))),0)</f>
        <v>0</v>
      </c>
      <c r="BP683" s="39">
        <f>+IFERROR(-ABS(IF(EDATE(_xlfn.XLOOKUP(1,$H670:$BE670,$H$4:$BE$4),12*Assumptions!$H$98+12)=BP$4,0,IF(BO670=1,PMT(Assumptions!$H$96,Assumptions!$H$98,$C672),BO683))),0)</f>
        <v>0</v>
      </c>
      <c r="BQ683" s="39">
        <f>+IFERROR(-ABS(IF(EDATE(_xlfn.XLOOKUP(1,$H670:$BE670,$H$4:$BE$4),12*Assumptions!$H$98+12)=BQ$4,0,IF(BP670=1,PMT(Assumptions!$H$96,Assumptions!$H$98,$C672),BP683))),0)</f>
        <v>0</v>
      </c>
      <c r="BR683" s="39">
        <f>+IFERROR(-ABS(IF(EDATE(_xlfn.XLOOKUP(1,$H670:$BE670,$H$4:$BE$4),12*Assumptions!$H$98+12)=BR$4,0,IF(BQ670=1,PMT(Assumptions!$H$96,Assumptions!$H$98,$C672),BQ683))),0)</f>
        <v>0</v>
      </c>
      <c r="BS683" s="39">
        <f>+IFERROR(-ABS(IF(EDATE(_xlfn.XLOOKUP(1,$H670:$BE670,$H$4:$BE$4),12*Assumptions!$H$98+12)=BS$4,0,IF(BR670=1,PMT(Assumptions!$H$96,Assumptions!$H$98,$C672),BR683))),0)</f>
        <v>0</v>
      </c>
      <c r="BT683" s="39">
        <f>+IFERROR(-ABS(IF(EDATE(_xlfn.XLOOKUP(1,$H670:$BE670,$H$4:$BE$4),12*Assumptions!$H$98+12)=BT$4,0,IF(BS670=1,PMT(Assumptions!$H$96,Assumptions!$H$98,$C672),BS683))),0)</f>
        <v>0</v>
      </c>
      <c r="BU683" s="39">
        <f>+IFERROR(-ABS(IF(EDATE(_xlfn.XLOOKUP(1,$H670:$BE670,$H$4:$BE$4),12*Assumptions!$H$98+12)=BU$4,0,IF(BT670=1,PMT(Assumptions!$H$96,Assumptions!$H$98,$C672),BT683))),0)</f>
        <v>0</v>
      </c>
      <c r="BV683" s="39">
        <f>+IFERROR(-ABS(IF(EDATE(_xlfn.XLOOKUP(1,$H670:$BE670,$H$4:$BE$4),12*Assumptions!$H$98+12)=BV$4,0,IF(BU670=1,PMT(Assumptions!$H$96,Assumptions!$H$98,$C672),BU683))),0)</f>
        <v>0</v>
      </c>
      <c r="BW683" s="39">
        <f>+IFERROR(-ABS(IF(EDATE(_xlfn.XLOOKUP(1,$H670:$BE670,$H$4:$BE$4),12*Assumptions!$H$98+12)=BW$4,0,IF(BV670=1,PMT(Assumptions!$H$96,Assumptions!$H$98,$C672),BV683))),0)</f>
        <v>0</v>
      </c>
      <c r="BX683" s="39">
        <f>+IFERROR(-ABS(IF(EDATE(_xlfn.XLOOKUP(1,$H670:$BE670,$H$4:$BE$4),12*Assumptions!$H$98+12)=BX$4,0,IF(BW670=1,PMT(Assumptions!$H$96,Assumptions!$H$98,$C672),BW683))),0)</f>
        <v>0</v>
      </c>
      <c r="BY683" s="39">
        <f>+IFERROR(-ABS(IF(EDATE(_xlfn.XLOOKUP(1,$H670:$BE670,$H$4:$BE$4),12*Assumptions!$H$98+12)=BY$4,0,IF(BX670=1,PMT(Assumptions!$H$96,Assumptions!$H$98,$C672),BX683))),0)</f>
        <v>0</v>
      </c>
    </row>
    <row r="684" spans="5:77" outlineLevel="1">
      <c r="E684" s="24" t="s">
        <v>521</v>
      </c>
      <c r="F684" s="80" t="str">
        <f>+Assumptions!$G$8</f>
        <v>USD</v>
      </c>
      <c r="G684" s="24"/>
      <c r="H684" s="39">
        <f>+IFERROR(-ABS(IF(EDATE(_xlfn.XLOOKUP(1,$H671:$BE671,$H$4:$BE$4),12*Assumptions!$H$98+12)=H$4,0,IF(G671=1,PMT(Assumptions!$H$96,Assumptions!$H$98,$C673),G684))),0)</f>
        <v>0</v>
      </c>
      <c r="I684" s="39">
        <f>+IFERROR(-ABS(IF(EDATE(_xlfn.XLOOKUP(1,$H671:$BE671,$H$4:$BE$4),12*Assumptions!$H$98+12)=I$4,0,IF(H671=1,PMT(Assumptions!$H$96,Assumptions!$H$98,$C673),H684))),0)</f>
        <v>0</v>
      </c>
      <c r="J684" s="39">
        <f>+IFERROR(-ABS(IF(EDATE(_xlfn.XLOOKUP(1,$H671:$BE671,$H$4:$BE$4),12*Assumptions!$H$98+12)=J$4,0,IF(I671=1,PMT(Assumptions!$H$96,Assumptions!$H$98,$C673),I684))),0)</f>
        <v>0</v>
      </c>
      <c r="K684" s="39">
        <f>+IFERROR(-ABS(IF(EDATE(_xlfn.XLOOKUP(1,$H671:$BE671,$H$4:$BE$4),12*Assumptions!$H$98+12)=K$4,0,IF(J671=1,PMT(Assumptions!$H$96,Assumptions!$H$98,$C673),J684))),0)</f>
        <v>0</v>
      </c>
      <c r="L684" s="39">
        <f>+IFERROR(-ABS(IF(EDATE(_xlfn.XLOOKUP(1,$H671:$BE671,$H$4:$BE$4),12*Assumptions!$H$98+12)=L$4,0,IF(K671=1,PMT(Assumptions!$H$96,Assumptions!$H$98,$C673),K684))),0)</f>
        <v>0</v>
      </c>
      <c r="M684" s="39">
        <f>+IFERROR(-ABS(IF(EDATE(_xlfn.XLOOKUP(1,$H671:$BE671,$H$4:$BE$4),12*Assumptions!$H$98+12)=M$4,0,IF(L671=1,PMT(Assumptions!$H$96,Assumptions!$H$98,$C673),L684))),0)</f>
        <v>0</v>
      </c>
      <c r="N684" s="39">
        <f>+IFERROR(-ABS(IF(EDATE(_xlfn.XLOOKUP(1,$H671:$BE671,$H$4:$BE$4),12*Assumptions!$H$98+12)=N$4,0,IF(M671=1,PMT(Assumptions!$H$96,Assumptions!$H$98,$C673),M684))),0)</f>
        <v>0</v>
      </c>
      <c r="O684" s="39">
        <f>+IFERROR(-ABS(IF(EDATE(_xlfn.XLOOKUP(1,$H671:$BE671,$H$4:$BE$4),12*Assumptions!$H$98+12)=O$4,0,IF(N671=1,PMT(Assumptions!$H$96,Assumptions!$H$98,$C673),N684))),0)</f>
        <v>0</v>
      </c>
      <c r="P684" s="39">
        <f>+IFERROR(-ABS(IF(EDATE(_xlfn.XLOOKUP(1,$H671:$BE671,$H$4:$BE$4),12*Assumptions!$H$98+12)=P$4,0,IF(O671=1,PMT(Assumptions!$H$96,Assumptions!$H$98,$C673),O684))),0)</f>
        <v>0</v>
      </c>
      <c r="Q684" s="39">
        <f>+IFERROR(-ABS(IF(EDATE(_xlfn.XLOOKUP(1,$H671:$BE671,$H$4:$BE$4),12*Assumptions!$H$98+12)=Q$4,0,IF(P671=1,PMT(Assumptions!$H$96,Assumptions!$H$98,$C673),P684))),0)</f>
        <v>0</v>
      </c>
      <c r="R684" s="39">
        <f>+IFERROR(-ABS(IF(EDATE(_xlfn.XLOOKUP(1,$H671:$BE671,$H$4:$BE$4),12*Assumptions!$H$98+12)=R$4,0,IF(Q671=1,PMT(Assumptions!$H$96,Assumptions!$H$98,$C673),Q684))),0)</f>
        <v>0</v>
      </c>
      <c r="S684" s="39">
        <f>+IFERROR(-ABS(IF(EDATE(_xlfn.XLOOKUP(1,$H671:$BE671,$H$4:$BE$4),12*Assumptions!$H$98+12)=S$4,0,IF(R671=1,PMT(Assumptions!$H$96,Assumptions!$H$98,$C673),R684))),0)</f>
        <v>0</v>
      </c>
      <c r="T684" s="39">
        <f>+IFERROR(-ABS(IF(EDATE(_xlfn.XLOOKUP(1,$H671:$BE671,$H$4:$BE$4),12*Assumptions!$H$98+12)=T$4,0,IF(S671=1,PMT(Assumptions!$H$96,Assumptions!$H$98,$C673),S684))),0)</f>
        <v>0</v>
      </c>
      <c r="U684" s="39">
        <f>+IFERROR(-ABS(IF(EDATE(_xlfn.XLOOKUP(1,$H671:$BE671,$H$4:$BE$4),12*Assumptions!$H$98+12)=U$4,0,IF(T671=1,PMT(Assumptions!$H$96,Assumptions!$H$98,$C673),T684))),0)</f>
        <v>0</v>
      </c>
      <c r="V684" s="39">
        <f>+IFERROR(-ABS(IF(EDATE(_xlfn.XLOOKUP(1,$H671:$BE671,$H$4:$BE$4),12*Assumptions!$H$98+12)=V$4,0,IF(U671=1,PMT(Assumptions!$H$96,Assumptions!$H$98,$C673),U684))),0)</f>
        <v>0</v>
      </c>
      <c r="W684" s="39">
        <f>+IFERROR(-ABS(IF(EDATE(_xlfn.XLOOKUP(1,$H671:$BE671,$H$4:$BE$4),12*Assumptions!$H$98+12)=W$4,0,IF(V671=1,PMT(Assumptions!$H$96,Assumptions!$H$98,$C673),V684))),0)</f>
        <v>0</v>
      </c>
      <c r="X684" s="39">
        <f>+IFERROR(-ABS(IF(EDATE(_xlfn.XLOOKUP(1,$H671:$BE671,$H$4:$BE$4),12*Assumptions!$H$98+12)=X$4,0,IF(W671=1,PMT(Assumptions!$H$96,Assumptions!$H$98,$C673),W684))),0)</f>
        <v>0</v>
      </c>
      <c r="Y684" s="39">
        <f>+IFERROR(-ABS(IF(EDATE(_xlfn.XLOOKUP(1,$H671:$BE671,$H$4:$BE$4),12*Assumptions!$H$98+12)=Y$4,0,IF(X671=1,PMT(Assumptions!$H$96,Assumptions!$H$98,$C673),X684))),0)</f>
        <v>0</v>
      </c>
      <c r="Z684" s="39">
        <f>+IFERROR(-ABS(IF(EDATE(_xlfn.XLOOKUP(1,$H671:$BE671,$H$4:$BE$4),12*Assumptions!$H$98+12)=Z$4,0,IF(Y671=1,PMT(Assumptions!$H$96,Assumptions!$H$98,$C673),Y684))),0)</f>
        <v>0</v>
      </c>
      <c r="AA684" s="39">
        <f>+IFERROR(-ABS(IF(EDATE(_xlfn.XLOOKUP(1,$H671:$BE671,$H$4:$BE$4),12*Assumptions!$H$98+12)=AA$4,0,IF(Z671=1,PMT(Assumptions!$H$96,Assumptions!$H$98,$C673),Z684))),0)</f>
        <v>0</v>
      </c>
      <c r="AB684" s="39">
        <f>+IFERROR(-ABS(IF(EDATE(_xlfn.XLOOKUP(1,$H671:$BE671,$H$4:$BE$4),12*Assumptions!$H$98+12)=AB$4,0,IF(AA671=1,PMT(Assumptions!$H$96,Assumptions!$H$98,$C673),AA684))),0)</f>
        <v>0</v>
      </c>
      <c r="AC684" s="39">
        <f>+IFERROR(-ABS(IF(EDATE(_xlfn.XLOOKUP(1,$H671:$BE671,$H$4:$BE$4),12*Assumptions!$H$98+12)=AC$4,0,IF(AB671=1,PMT(Assumptions!$H$96,Assumptions!$H$98,$C673),AB684))),0)</f>
        <v>0</v>
      </c>
      <c r="AD684" s="39">
        <f>+IFERROR(-ABS(IF(EDATE(_xlfn.XLOOKUP(1,$H671:$BE671,$H$4:$BE$4),12*Assumptions!$H$98+12)=AD$4,0,IF(AC671=1,PMT(Assumptions!$H$96,Assumptions!$H$98,$C673),AC684))),0)</f>
        <v>0</v>
      </c>
      <c r="AE684" s="39">
        <f>+IFERROR(-ABS(IF(EDATE(_xlfn.XLOOKUP(1,$H671:$BE671,$H$4:$BE$4),12*Assumptions!$H$98+12)=AE$4,0,IF(AD671=1,PMT(Assumptions!$H$96,Assumptions!$H$98,$C673),AD684))),0)</f>
        <v>0</v>
      </c>
      <c r="AF684" s="39">
        <f>+IFERROR(-ABS(IF(EDATE(_xlfn.XLOOKUP(1,$H671:$BE671,$H$4:$BE$4),12*Assumptions!$H$98+12)=AF$4,0,IF(AE671=1,PMT(Assumptions!$H$96,Assumptions!$H$98,$C673),AE684))),0)</f>
        <v>0</v>
      </c>
      <c r="AG684" s="39">
        <f>+IFERROR(-ABS(IF(EDATE(_xlfn.XLOOKUP(1,$H671:$BE671,$H$4:$BE$4),12*Assumptions!$H$98+12)=AG$4,0,IF(AF671=1,PMT(Assumptions!$H$96,Assumptions!$H$98,$C673),AF684))),0)</f>
        <v>0</v>
      </c>
      <c r="AH684" s="39">
        <f>+IFERROR(-ABS(IF(EDATE(_xlfn.XLOOKUP(1,$H671:$BE671,$H$4:$BE$4),12*Assumptions!$H$98+12)=AH$4,0,IF(AG671=1,PMT(Assumptions!$H$96,Assumptions!$H$98,$C673),AG684))),0)</f>
        <v>0</v>
      </c>
      <c r="AI684" s="39">
        <f>+IFERROR(-ABS(IF(EDATE(_xlfn.XLOOKUP(1,$H671:$BE671,$H$4:$BE$4),12*Assumptions!$H$98+12)=AI$4,0,IF(AH671=1,PMT(Assumptions!$H$96,Assumptions!$H$98,$C673),AH684))),0)</f>
        <v>0</v>
      </c>
      <c r="AJ684" s="39">
        <f>+IFERROR(-ABS(IF(EDATE(_xlfn.XLOOKUP(1,$H671:$BE671,$H$4:$BE$4),12*Assumptions!$H$98+12)=AJ$4,0,IF(AI671=1,PMT(Assumptions!$H$96,Assumptions!$H$98,$C673),AI684))),0)</f>
        <v>0</v>
      </c>
      <c r="AK684" s="39">
        <f>+IFERROR(-ABS(IF(EDATE(_xlfn.XLOOKUP(1,$H671:$BE671,$H$4:$BE$4),12*Assumptions!$H$98+12)=AK$4,0,IF(AJ671=1,PMT(Assumptions!$H$96,Assumptions!$H$98,$C673),AJ684))),0)</f>
        <v>0</v>
      </c>
      <c r="AL684" s="39">
        <f>+IFERROR(-ABS(IF(EDATE(_xlfn.XLOOKUP(1,$H671:$BE671,$H$4:$BE$4),12*Assumptions!$H$98+12)=AL$4,0,IF(AK671=1,PMT(Assumptions!$H$96,Assumptions!$H$98,$C673),AK684))),0)</f>
        <v>0</v>
      </c>
      <c r="AM684" s="39">
        <f>+IFERROR(-ABS(IF(EDATE(_xlfn.XLOOKUP(1,$H671:$BE671,$H$4:$BE$4),12*Assumptions!$H$98+12)=AM$4,0,IF(AL671=1,PMT(Assumptions!$H$96,Assumptions!$H$98,$C673),AL684))),0)</f>
        <v>0</v>
      </c>
      <c r="AN684" s="39">
        <f>+IFERROR(-ABS(IF(EDATE(_xlfn.XLOOKUP(1,$H671:$BE671,$H$4:$BE$4),12*Assumptions!$H$98+12)=AN$4,0,IF(AM671=1,PMT(Assumptions!$H$96,Assumptions!$H$98,$C673),AM684))),0)</f>
        <v>0</v>
      </c>
      <c r="AO684" s="39">
        <f>+IFERROR(-ABS(IF(EDATE(_xlfn.XLOOKUP(1,$H671:$BE671,$H$4:$BE$4),12*Assumptions!$H$98+12)=AO$4,0,IF(AN671=1,PMT(Assumptions!$H$96,Assumptions!$H$98,$C673),AN684))),0)</f>
        <v>0</v>
      </c>
      <c r="AP684" s="39">
        <f>+IFERROR(-ABS(IF(EDATE(_xlfn.XLOOKUP(1,$H671:$BE671,$H$4:$BE$4),12*Assumptions!$H$98+12)=AP$4,0,IF(AO671=1,PMT(Assumptions!$H$96,Assumptions!$H$98,$C673),AO684))),0)</f>
        <v>0</v>
      </c>
      <c r="AQ684" s="39">
        <f>+IFERROR(-ABS(IF(EDATE(_xlfn.XLOOKUP(1,$H671:$BE671,$H$4:$BE$4),12*Assumptions!$H$98+12)=AQ$4,0,IF(AP671=1,PMT(Assumptions!$H$96,Assumptions!$H$98,$C673),AP684))),0)</f>
        <v>0</v>
      </c>
      <c r="AR684" s="39">
        <f>+IFERROR(-ABS(IF(EDATE(_xlfn.XLOOKUP(1,$H671:$BE671,$H$4:$BE$4),12*Assumptions!$H$98+12)=AR$4,0,IF(AQ671=1,PMT(Assumptions!$H$96,Assumptions!$H$98,$C673),AQ684))),0)</f>
        <v>0</v>
      </c>
      <c r="AS684" s="39">
        <f>+IFERROR(-ABS(IF(EDATE(_xlfn.XLOOKUP(1,$H671:$BE671,$H$4:$BE$4),12*Assumptions!$H$98+12)=AS$4,0,IF(AR671=1,PMT(Assumptions!$H$96,Assumptions!$H$98,$C673),AR684))),0)</f>
        <v>0</v>
      </c>
      <c r="AT684" s="39">
        <f>+IFERROR(-ABS(IF(EDATE(_xlfn.XLOOKUP(1,$H671:$BE671,$H$4:$BE$4),12*Assumptions!$H$98+12)=AT$4,0,IF(AS671=1,PMT(Assumptions!$H$96,Assumptions!$H$98,$C673),AS684))),0)</f>
        <v>0</v>
      </c>
      <c r="AU684" s="39">
        <f>+IFERROR(-ABS(IF(EDATE(_xlfn.XLOOKUP(1,$H671:$BE671,$H$4:$BE$4),12*Assumptions!$H$98+12)=AU$4,0,IF(AT671=1,PMT(Assumptions!$H$96,Assumptions!$H$98,$C673),AT684))),0)</f>
        <v>0</v>
      </c>
      <c r="AV684" s="39">
        <f>+IFERROR(-ABS(IF(EDATE(_xlfn.XLOOKUP(1,$H671:$BE671,$H$4:$BE$4),12*Assumptions!$H$98+12)=AV$4,0,IF(AU671=1,PMT(Assumptions!$H$96,Assumptions!$H$98,$C673),AU684))),0)</f>
        <v>0</v>
      </c>
      <c r="AW684" s="39">
        <f>+IFERROR(-ABS(IF(EDATE(_xlfn.XLOOKUP(1,$H671:$BE671,$H$4:$BE$4),12*Assumptions!$H$98+12)=AW$4,0,IF(AV671=1,PMT(Assumptions!$H$96,Assumptions!$H$98,$C673),AV684))),0)</f>
        <v>0</v>
      </c>
      <c r="AX684" s="39">
        <f>+IFERROR(-ABS(IF(EDATE(_xlfn.XLOOKUP(1,$H671:$BE671,$H$4:$BE$4),12*Assumptions!$H$98+12)=AX$4,0,IF(AW671=1,PMT(Assumptions!$H$96,Assumptions!$H$98,$C673),AW684))),0)</f>
        <v>0</v>
      </c>
      <c r="AY684" s="39">
        <f>+IFERROR(-ABS(IF(EDATE(_xlfn.XLOOKUP(1,$H671:$BE671,$H$4:$BE$4),12*Assumptions!$H$98+12)=AY$4,0,IF(AX671=1,PMT(Assumptions!$H$96,Assumptions!$H$98,$C673),AX684))),0)</f>
        <v>0</v>
      </c>
      <c r="AZ684" s="39">
        <f>+IFERROR(-ABS(IF(EDATE(_xlfn.XLOOKUP(1,$H671:$BE671,$H$4:$BE$4),12*Assumptions!$H$98+12)=AZ$4,0,IF(AY671=1,PMT(Assumptions!$H$96,Assumptions!$H$98,$C673),AY684))),0)</f>
        <v>0</v>
      </c>
      <c r="BA684" s="39">
        <f>+IFERROR(-ABS(IF(EDATE(_xlfn.XLOOKUP(1,$H671:$BE671,$H$4:$BE$4),12*Assumptions!$H$98+12)=BA$4,0,IF(AZ671=1,PMT(Assumptions!$H$96,Assumptions!$H$98,$C673),AZ684))),0)</f>
        <v>0</v>
      </c>
      <c r="BB684" s="39">
        <f>+IFERROR(-ABS(IF(EDATE(_xlfn.XLOOKUP(1,$H671:$BE671,$H$4:$BE$4),12*Assumptions!$H$98+12)=BB$4,0,IF(BA671=1,PMT(Assumptions!$H$96,Assumptions!$H$98,$C673),BA684))),0)</f>
        <v>0</v>
      </c>
      <c r="BC684" s="39">
        <f>+IFERROR(-ABS(IF(EDATE(_xlfn.XLOOKUP(1,$H671:$BE671,$H$4:$BE$4),12*Assumptions!$H$98+12)=BC$4,0,IF(BB671=1,PMT(Assumptions!$H$96,Assumptions!$H$98,$C673),BB684))),0)</f>
        <v>0</v>
      </c>
      <c r="BD684" s="39">
        <f>+IFERROR(-ABS(IF(EDATE(_xlfn.XLOOKUP(1,$H671:$BE671,$H$4:$BE$4),12*Assumptions!$H$98+12)=BD$4,0,IF(BC671=1,PMT(Assumptions!$H$96,Assumptions!$H$98,$C673),BC684))),0)</f>
        <v>0</v>
      </c>
      <c r="BE684" s="39">
        <f>+IFERROR(-ABS(IF(EDATE(_xlfn.XLOOKUP(1,$H671:$BE671,$H$4:$BE$4),12*Assumptions!$H$98+12)=BE$4,0,IF(BD671=1,PMT(Assumptions!$H$96,Assumptions!$H$98,$C673),BD684))),0)</f>
        <v>0</v>
      </c>
      <c r="BF684" s="39">
        <f>+IFERROR(-ABS(IF(EDATE(_xlfn.XLOOKUP(1,$H671:$BE671,$H$4:$BE$4),12*Assumptions!$H$98+12)=BF$4,0,IF(BE671=1,PMT(Assumptions!$H$96,Assumptions!$H$98,$C673),BE684))),0)</f>
        <v>0</v>
      </c>
      <c r="BG684" s="39">
        <f>+IFERROR(-ABS(IF(EDATE(_xlfn.XLOOKUP(1,$H671:$BE671,$H$4:$BE$4),12*Assumptions!$H$98+12)=BG$4,0,IF(BF671=1,PMT(Assumptions!$H$96,Assumptions!$H$98,$C673),BF684))),0)</f>
        <v>0</v>
      </c>
      <c r="BH684" s="39">
        <f>+IFERROR(-ABS(IF(EDATE(_xlfn.XLOOKUP(1,$H671:$BE671,$H$4:$BE$4),12*Assumptions!$H$98+12)=BH$4,0,IF(BG671=1,PMT(Assumptions!$H$96,Assumptions!$H$98,$C673),BG684))),0)</f>
        <v>0</v>
      </c>
      <c r="BI684" s="39">
        <f>+IFERROR(-ABS(IF(EDATE(_xlfn.XLOOKUP(1,$H671:$BE671,$H$4:$BE$4),12*Assumptions!$H$98+12)=BI$4,0,IF(BH671=1,PMT(Assumptions!$H$96,Assumptions!$H$98,$C673),BH684))),0)</f>
        <v>0</v>
      </c>
      <c r="BJ684" s="39">
        <f>+IFERROR(-ABS(IF(EDATE(_xlfn.XLOOKUP(1,$H671:$BE671,$H$4:$BE$4),12*Assumptions!$H$98+12)=BJ$4,0,IF(BI671=1,PMT(Assumptions!$H$96,Assumptions!$H$98,$C673),BI684))),0)</f>
        <v>0</v>
      </c>
      <c r="BK684" s="39">
        <f>+IFERROR(-ABS(IF(EDATE(_xlfn.XLOOKUP(1,$H671:$BE671,$H$4:$BE$4),12*Assumptions!$H$98+12)=BK$4,0,IF(BJ671=1,PMT(Assumptions!$H$96,Assumptions!$H$98,$C673),BJ684))),0)</f>
        <v>0</v>
      </c>
      <c r="BL684" s="39">
        <f>+IFERROR(-ABS(IF(EDATE(_xlfn.XLOOKUP(1,$H671:$BE671,$H$4:$BE$4),12*Assumptions!$H$98+12)=BL$4,0,IF(BK671=1,PMT(Assumptions!$H$96,Assumptions!$H$98,$C673),BK684))),0)</f>
        <v>0</v>
      </c>
      <c r="BM684" s="39">
        <f>+IFERROR(-ABS(IF(EDATE(_xlfn.XLOOKUP(1,$H671:$BE671,$H$4:$BE$4),12*Assumptions!$H$98+12)=BM$4,0,IF(BL671=1,PMT(Assumptions!$H$96,Assumptions!$H$98,$C673),BL684))),0)</f>
        <v>0</v>
      </c>
      <c r="BN684" s="39">
        <f>+IFERROR(-ABS(IF(EDATE(_xlfn.XLOOKUP(1,$H671:$BE671,$H$4:$BE$4),12*Assumptions!$H$98+12)=BN$4,0,IF(BM671=1,PMT(Assumptions!$H$96,Assumptions!$H$98,$C673),BM684))),0)</f>
        <v>0</v>
      </c>
      <c r="BO684" s="39">
        <f>+IFERROR(-ABS(IF(EDATE(_xlfn.XLOOKUP(1,$H671:$BE671,$H$4:$BE$4),12*Assumptions!$H$98+12)=BO$4,0,IF(BN671=1,PMT(Assumptions!$H$96,Assumptions!$H$98,$C673),BN684))),0)</f>
        <v>0</v>
      </c>
      <c r="BP684" s="39">
        <f>+IFERROR(-ABS(IF(EDATE(_xlfn.XLOOKUP(1,$H671:$BE671,$H$4:$BE$4),12*Assumptions!$H$98+12)=BP$4,0,IF(BO671=1,PMT(Assumptions!$H$96,Assumptions!$H$98,$C673),BO684))),0)</f>
        <v>0</v>
      </c>
      <c r="BQ684" s="39">
        <f>+IFERROR(-ABS(IF(EDATE(_xlfn.XLOOKUP(1,$H671:$BE671,$H$4:$BE$4),12*Assumptions!$H$98+12)=BQ$4,0,IF(BP671=1,PMT(Assumptions!$H$96,Assumptions!$H$98,$C673),BP684))),0)</f>
        <v>0</v>
      </c>
      <c r="BR684" s="39">
        <f>+IFERROR(-ABS(IF(EDATE(_xlfn.XLOOKUP(1,$H671:$BE671,$H$4:$BE$4),12*Assumptions!$H$98+12)=BR$4,0,IF(BQ671=1,PMT(Assumptions!$H$96,Assumptions!$H$98,$C673),BQ684))),0)</f>
        <v>0</v>
      </c>
      <c r="BS684" s="39">
        <f>+IFERROR(-ABS(IF(EDATE(_xlfn.XLOOKUP(1,$H671:$BE671,$H$4:$BE$4),12*Assumptions!$H$98+12)=BS$4,0,IF(BR671=1,PMT(Assumptions!$H$96,Assumptions!$H$98,$C673),BR684))),0)</f>
        <v>0</v>
      </c>
      <c r="BT684" s="39">
        <f>+IFERROR(-ABS(IF(EDATE(_xlfn.XLOOKUP(1,$H671:$BE671,$H$4:$BE$4),12*Assumptions!$H$98+12)=BT$4,0,IF(BS671=1,PMT(Assumptions!$H$96,Assumptions!$H$98,$C673),BS684))),0)</f>
        <v>0</v>
      </c>
      <c r="BU684" s="39">
        <f>+IFERROR(-ABS(IF(EDATE(_xlfn.XLOOKUP(1,$H671:$BE671,$H$4:$BE$4),12*Assumptions!$H$98+12)=BU$4,0,IF(BT671=1,PMT(Assumptions!$H$96,Assumptions!$H$98,$C673),BT684))),0)</f>
        <v>0</v>
      </c>
      <c r="BV684" s="39">
        <f>+IFERROR(-ABS(IF(EDATE(_xlfn.XLOOKUP(1,$H671:$BE671,$H$4:$BE$4),12*Assumptions!$H$98+12)=BV$4,0,IF(BU671=1,PMT(Assumptions!$H$96,Assumptions!$H$98,$C673),BU684))),0)</f>
        <v>0</v>
      </c>
      <c r="BW684" s="39">
        <f>+IFERROR(-ABS(IF(EDATE(_xlfn.XLOOKUP(1,$H671:$BE671,$H$4:$BE$4),12*Assumptions!$H$98+12)=BW$4,0,IF(BV671=1,PMT(Assumptions!$H$96,Assumptions!$H$98,$C673),BV684))),0)</f>
        <v>0</v>
      </c>
      <c r="BX684" s="39">
        <f>+IFERROR(-ABS(IF(EDATE(_xlfn.XLOOKUP(1,$H671:$BE671,$H$4:$BE$4),12*Assumptions!$H$98+12)=BX$4,0,IF(BW671=1,PMT(Assumptions!$H$96,Assumptions!$H$98,$C673),BW684))),0)</f>
        <v>0</v>
      </c>
      <c r="BY684" s="39">
        <f>+IFERROR(-ABS(IF(EDATE(_xlfn.XLOOKUP(1,$H671:$BE671,$H$4:$BE$4),12*Assumptions!$H$98+12)=BY$4,0,IF(BX671=1,PMT(Assumptions!$H$96,Assumptions!$H$98,$C673),BX684))),0)</f>
        <v>0</v>
      </c>
    </row>
    <row r="685" spans="5:77" outlineLevel="1">
      <c r="E685" s="24" t="s">
        <v>522</v>
      </c>
      <c r="F685" s="80" t="str">
        <f>+Assumptions!$G$8</f>
        <v>USD</v>
      </c>
      <c r="G685" s="24"/>
      <c r="H685" s="39">
        <f>+IFERROR(-ABS(IF(EDATE(_xlfn.XLOOKUP(1,$H672:$BE672,$H$4:$BE$4),12*Assumptions!$H$98+12)=H$4,0,IF(G672=1,PMT(Assumptions!$H$96,Assumptions!$H$98,$C674),G685))),0)</f>
        <v>0</v>
      </c>
      <c r="I685" s="39">
        <f>+IFERROR(-ABS(IF(EDATE(_xlfn.XLOOKUP(1,$H672:$BE672,$H$4:$BE$4),12*Assumptions!$H$98+12)=I$4,0,IF(H672=1,PMT(Assumptions!$H$96,Assumptions!$H$98,$C674),H685))),0)</f>
        <v>0</v>
      </c>
      <c r="J685" s="39">
        <f>+IFERROR(-ABS(IF(EDATE(_xlfn.XLOOKUP(1,$H672:$BE672,$H$4:$BE$4),12*Assumptions!$H$98+12)=J$4,0,IF(I672=1,PMT(Assumptions!$H$96,Assumptions!$H$98,$C674),I685))),0)</f>
        <v>0</v>
      </c>
      <c r="K685" s="39">
        <f>+IFERROR(-ABS(IF(EDATE(_xlfn.XLOOKUP(1,$H672:$BE672,$H$4:$BE$4),12*Assumptions!$H$98+12)=K$4,0,IF(J672=1,PMT(Assumptions!$H$96,Assumptions!$H$98,$C674),J685))),0)</f>
        <v>0</v>
      </c>
      <c r="L685" s="39">
        <f>+IFERROR(-ABS(IF(EDATE(_xlfn.XLOOKUP(1,$H672:$BE672,$H$4:$BE$4),12*Assumptions!$H$98+12)=L$4,0,IF(K672=1,PMT(Assumptions!$H$96,Assumptions!$H$98,$C674),K685))),0)</f>
        <v>0</v>
      </c>
      <c r="M685" s="39">
        <f>+IFERROR(-ABS(IF(EDATE(_xlfn.XLOOKUP(1,$H672:$BE672,$H$4:$BE$4),12*Assumptions!$H$98+12)=M$4,0,IF(L672=1,PMT(Assumptions!$H$96,Assumptions!$H$98,$C674),L685))),0)</f>
        <v>0</v>
      </c>
      <c r="N685" s="39">
        <f>+IFERROR(-ABS(IF(EDATE(_xlfn.XLOOKUP(1,$H672:$BE672,$H$4:$BE$4),12*Assumptions!$H$98+12)=N$4,0,IF(M672=1,PMT(Assumptions!$H$96,Assumptions!$H$98,$C674),M685))),0)</f>
        <v>0</v>
      </c>
      <c r="O685" s="39">
        <f>+IFERROR(-ABS(IF(EDATE(_xlfn.XLOOKUP(1,$H672:$BE672,$H$4:$BE$4),12*Assumptions!$H$98+12)=O$4,0,IF(N672=1,PMT(Assumptions!$H$96,Assumptions!$H$98,$C674),N685))),0)</f>
        <v>0</v>
      </c>
      <c r="P685" s="39">
        <f>+IFERROR(-ABS(IF(EDATE(_xlfn.XLOOKUP(1,$H672:$BE672,$H$4:$BE$4),12*Assumptions!$H$98+12)=P$4,0,IF(O672=1,PMT(Assumptions!$H$96,Assumptions!$H$98,$C674),O685))),0)</f>
        <v>0</v>
      </c>
      <c r="Q685" s="39">
        <f>+IFERROR(-ABS(IF(EDATE(_xlfn.XLOOKUP(1,$H672:$BE672,$H$4:$BE$4),12*Assumptions!$H$98+12)=Q$4,0,IF(P672=1,PMT(Assumptions!$H$96,Assumptions!$H$98,$C674),P685))),0)</f>
        <v>0</v>
      </c>
      <c r="R685" s="39">
        <f>+IFERROR(-ABS(IF(EDATE(_xlfn.XLOOKUP(1,$H672:$BE672,$H$4:$BE$4),12*Assumptions!$H$98+12)=R$4,0,IF(Q672=1,PMT(Assumptions!$H$96,Assumptions!$H$98,$C674),Q685))),0)</f>
        <v>0</v>
      </c>
      <c r="S685" s="39">
        <f>+IFERROR(-ABS(IF(EDATE(_xlfn.XLOOKUP(1,$H672:$BE672,$H$4:$BE$4),12*Assumptions!$H$98+12)=S$4,0,IF(R672=1,PMT(Assumptions!$H$96,Assumptions!$H$98,$C674),R685))),0)</f>
        <v>0</v>
      </c>
      <c r="T685" s="39">
        <f>+IFERROR(-ABS(IF(EDATE(_xlfn.XLOOKUP(1,$H672:$BE672,$H$4:$BE$4),12*Assumptions!$H$98+12)=T$4,0,IF(S672=1,PMT(Assumptions!$H$96,Assumptions!$H$98,$C674),S685))),0)</f>
        <v>0</v>
      </c>
      <c r="U685" s="39">
        <f>+IFERROR(-ABS(IF(EDATE(_xlfn.XLOOKUP(1,$H672:$BE672,$H$4:$BE$4),12*Assumptions!$H$98+12)=U$4,0,IF(T672=1,PMT(Assumptions!$H$96,Assumptions!$H$98,$C674),T685))),0)</f>
        <v>0</v>
      </c>
      <c r="V685" s="39">
        <f>+IFERROR(-ABS(IF(EDATE(_xlfn.XLOOKUP(1,$H672:$BE672,$H$4:$BE$4),12*Assumptions!$H$98+12)=V$4,0,IF(U672=1,PMT(Assumptions!$H$96,Assumptions!$H$98,$C674),U685))),0)</f>
        <v>0</v>
      </c>
      <c r="W685" s="39">
        <f>+IFERROR(-ABS(IF(EDATE(_xlfn.XLOOKUP(1,$H672:$BE672,$H$4:$BE$4),12*Assumptions!$H$98+12)=W$4,0,IF(V672=1,PMT(Assumptions!$H$96,Assumptions!$H$98,$C674),V685))),0)</f>
        <v>0</v>
      </c>
      <c r="X685" s="39">
        <f>+IFERROR(-ABS(IF(EDATE(_xlfn.XLOOKUP(1,$H672:$BE672,$H$4:$BE$4),12*Assumptions!$H$98+12)=X$4,0,IF(W672=1,PMT(Assumptions!$H$96,Assumptions!$H$98,$C674),W685))),0)</f>
        <v>0</v>
      </c>
      <c r="Y685" s="39">
        <f>+IFERROR(-ABS(IF(EDATE(_xlfn.XLOOKUP(1,$H672:$BE672,$H$4:$BE$4),12*Assumptions!$H$98+12)=Y$4,0,IF(X672=1,PMT(Assumptions!$H$96,Assumptions!$H$98,$C674),X685))),0)</f>
        <v>0</v>
      </c>
      <c r="Z685" s="39">
        <f>+IFERROR(-ABS(IF(EDATE(_xlfn.XLOOKUP(1,$H672:$BE672,$H$4:$BE$4),12*Assumptions!$H$98+12)=Z$4,0,IF(Y672=1,PMT(Assumptions!$H$96,Assumptions!$H$98,$C674),Y685))),0)</f>
        <v>0</v>
      </c>
      <c r="AA685" s="39">
        <f>+IFERROR(-ABS(IF(EDATE(_xlfn.XLOOKUP(1,$H672:$BE672,$H$4:$BE$4),12*Assumptions!$H$98+12)=AA$4,0,IF(Z672=1,PMT(Assumptions!$H$96,Assumptions!$H$98,$C674),Z685))),0)</f>
        <v>0</v>
      </c>
      <c r="AB685" s="39">
        <f>+IFERROR(-ABS(IF(EDATE(_xlfn.XLOOKUP(1,$H672:$BE672,$H$4:$BE$4),12*Assumptions!$H$98+12)=AB$4,0,IF(AA672=1,PMT(Assumptions!$H$96,Assumptions!$H$98,$C674),AA685))),0)</f>
        <v>0</v>
      </c>
      <c r="AC685" s="39">
        <f>+IFERROR(-ABS(IF(EDATE(_xlfn.XLOOKUP(1,$H672:$BE672,$H$4:$BE$4),12*Assumptions!$H$98+12)=AC$4,0,IF(AB672=1,PMT(Assumptions!$H$96,Assumptions!$H$98,$C674),AB685))),0)</f>
        <v>0</v>
      </c>
      <c r="AD685" s="39">
        <f>+IFERROR(-ABS(IF(EDATE(_xlfn.XLOOKUP(1,$H672:$BE672,$H$4:$BE$4),12*Assumptions!$H$98+12)=AD$4,0,IF(AC672=1,PMT(Assumptions!$H$96,Assumptions!$H$98,$C674),AC685))),0)</f>
        <v>0</v>
      </c>
      <c r="AE685" s="39">
        <f>+IFERROR(-ABS(IF(EDATE(_xlfn.XLOOKUP(1,$H672:$BE672,$H$4:$BE$4),12*Assumptions!$H$98+12)=AE$4,0,IF(AD672=1,PMT(Assumptions!$H$96,Assumptions!$H$98,$C674),AD685))),0)</f>
        <v>0</v>
      </c>
      <c r="AF685" s="39">
        <f>+IFERROR(-ABS(IF(EDATE(_xlfn.XLOOKUP(1,$H672:$BE672,$H$4:$BE$4),12*Assumptions!$H$98+12)=AF$4,0,IF(AE672=1,PMT(Assumptions!$H$96,Assumptions!$H$98,$C674),AE685))),0)</f>
        <v>0</v>
      </c>
      <c r="AG685" s="39">
        <f>+IFERROR(-ABS(IF(EDATE(_xlfn.XLOOKUP(1,$H672:$BE672,$H$4:$BE$4),12*Assumptions!$H$98+12)=AG$4,0,IF(AF672=1,PMT(Assumptions!$H$96,Assumptions!$H$98,$C674),AF685))),0)</f>
        <v>0</v>
      </c>
      <c r="AH685" s="39">
        <f>+IFERROR(-ABS(IF(EDATE(_xlfn.XLOOKUP(1,$H672:$BE672,$H$4:$BE$4),12*Assumptions!$H$98+12)=AH$4,0,IF(AG672=1,PMT(Assumptions!$H$96,Assumptions!$H$98,$C674),AG685))),0)</f>
        <v>0</v>
      </c>
      <c r="AI685" s="39">
        <f>+IFERROR(-ABS(IF(EDATE(_xlfn.XLOOKUP(1,$H672:$BE672,$H$4:$BE$4),12*Assumptions!$H$98+12)=AI$4,0,IF(AH672=1,PMT(Assumptions!$H$96,Assumptions!$H$98,$C674),AH685))),0)</f>
        <v>0</v>
      </c>
      <c r="AJ685" s="39">
        <f>+IFERROR(-ABS(IF(EDATE(_xlfn.XLOOKUP(1,$H672:$BE672,$H$4:$BE$4),12*Assumptions!$H$98+12)=AJ$4,0,IF(AI672=1,PMT(Assumptions!$H$96,Assumptions!$H$98,$C674),AI685))),0)</f>
        <v>0</v>
      </c>
      <c r="AK685" s="39">
        <f>+IFERROR(-ABS(IF(EDATE(_xlfn.XLOOKUP(1,$H672:$BE672,$H$4:$BE$4),12*Assumptions!$H$98+12)=AK$4,0,IF(AJ672=1,PMT(Assumptions!$H$96,Assumptions!$H$98,$C674),AJ685))),0)</f>
        <v>0</v>
      </c>
      <c r="AL685" s="39">
        <f>+IFERROR(-ABS(IF(EDATE(_xlfn.XLOOKUP(1,$H672:$BE672,$H$4:$BE$4),12*Assumptions!$H$98+12)=AL$4,0,IF(AK672=1,PMT(Assumptions!$H$96,Assumptions!$H$98,$C674),AK685))),0)</f>
        <v>0</v>
      </c>
      <c r="AM685" s="39">
        <f>+IFERROR(-ABS(IF(EDATE(_xlfn.XLOOKUP(1,$H672:$BE672,$H$4:$BE$4),12*Assumptions!$H$98+12)=AM$4,0,IF(AL672=1,PMT(Assumptions!$H$96,Assumptions!$H$98,$C674),AL685))),0)</f>
        <v>0</v>
      </c>
      <c r="AN685" s="39">
        <f>+IFERROR(-ABS(IF(EDATE(_xlfn.XLOOKUP(1,$H672:$BE672,$H$4:$BE$4),12*Assumptions!$H$98+12)=AN$4,0,IF(AM672=1,PMT(Assumptions!$H$96,Assumptions!$H$98,$C674),AM685))),0)</f>
        <v>0</v>
      </c>
      <c r="AO685" s="39">
        <f>+IFERROR(-ABS(IF(EDATE(_xlfn.XLOOKUP(1,$H672:$BE672,$H$4:$BE$4),12*Assumptions!$H$98+12)=AO$4,0,IF(AN672=1,PMT(Assumptions!$H$96,Assumptions!$H$98,$C674),AN685))),0)</f>
        <v>0</v>
      </c>
      <c r="AP685" s="39">
        <f>+IFERROR(-ABS(IF(EDATE(_xlfn.XLOOKUP(1,$H672:$BE672,$H$4:$BE$4),12*Assumptions!$H$98+12)=AP$4,0,IF(AO672=1,PMT(Assumptions!$H$96,Assumptions!$H$98,$C674),AO685))),0)</f>
        <v>0</v>
      </c>
      <c r="AQ685" s="39">
        <f>+IFERROR(-ABS(IF(EDATE(_xlfn.XLOOKUP(1,$H672:$BE672,$H$4:$BE$4),12*Assumptions!$H$98+12)=AQ$4,0,IF(AP672=1,PMT(Assumptions!$H$96,Assumptions!$H$98,$C674),AP685))),0)</f>
        <v>0</v>
      </c>
      <c r="AR685" s="39">
        <f>+IFERROR(-ABS(IF(EDATE(_xlfn.XLOOKUP(1,$H672:$BE672,$H$4:$BE$4),12*Assumptions!$H$98+12)=AR$4,0,IF(AQ672=1,PMT(Assumptions!$H$96,Assumptions!$H$98,$C674),AQ685))),0)</f>
        <v>0</v>
      </c>
      <c r="AS685" s="39">
        <f>+IFERROR(-ABS(IF(EDATE(_xlfn.XLOOKUP(1,$H672:$BE672,$H$4:$BE$4),12*Assumptions!$H$98+12)=AS$4,0,IF(AR672=1,PMT(Assumptions!$H$96,Assumptions!$H$98,$C674),AR685))),0)</f>
        <v>0</v>
      </c>
      <c r="AT685" s="39">
        <f>+IFERROR(-ABS(IF(EDATE(_xlfn.XLOOKUP(1,$H672:$BE672,$H$4:$BE$4),12*Assumptions!$H$98+12)=AT$4,0,IF(AS672=1,PMT(Assumptions!$H$96,Assumptions!$H$98,$C674),AS685))),0)</f>
        <v>0</v>
      </c>
      <c r="AU685" s="39">
        <f>+IFERROR(-ABS(IF(EDATE(_xlfn.XLOOKUP(1,$H672:$BE672,$H$4:$BE$4),12*Assumptions!$H$98+12)=AU$4,0,IF(AT672=1,PMT(Assumptions!$H$96,Assumptions!$H$98,$C674),AT685))),0)</f>
        <v>0</v>
      </c>
      <c r="AV685" s="39">
        <f>+IFERROR(-ABS(IF(EDATE(_xlfn.XLOOKUP(1,$H672:$BE672,$H$4:$BE$4),12*Assumptions!$H$98+12)=AV$4,0,IF(AU672=1,PMT(Assumptions!$H$96,Assumptions!$H$98,$C674),AU685))),0)</f>
        <v>0</v>
      </c>
      <c r="AW685" s="39">
        <f>+IFERROR(-ABS(IF(EDATE(_xlfn.XLOOKUP(1,$H672:$BE672,$H$4:$BE$4),12*Assumptions!$H$98+12)=AW$4,0,IF(AV672=1,PMT(Assumptions!$H$96,Assumptions!$H$98,$C674),AV685))),0)</f>
        <v>0</v>
      </c>
      <c r="AX685" s="39">
        <f>+IFERROR(-ABS(IF(EDATE(_xlfn.XLOOKUP(1,$H672:$BE672,$H$4:$BE$4),12*Assumptions!$H$98+12)=AX$4,0,IF(AW672=1,PMT(Assumptions!$H$96,Assumptions!$H$98,$C674),AW685))),0)</f>
        <v>0</v>
      </c>
      <c r="AY685" s="39">
        <f>+IFERROR(-ABS(IF(EDATE(_xlfn.XLOOKUP(1,$H672:$BE672,$H$4:$BE$4),12*Assumptions!$H$98+12)=AY$4,0,IF(AX672=1,PMT(Assumptions!$H$96,Assumptions!$H$98,$C674),AX685))),0)</f>
        <v>0</v>
      </c>
      <c r="AZ685" s="39">
        <f>+IFERROR(-ABS(IF(EDATE(_xlfn.XLOOKUP(1,$H672:$BE672,$H$4:$BE$4),12*Assumptions!$H$98+12)=AZ$4,0,IF(AY672=1,PMT(Assumptions!$H$96,Assumptions!$H$98,$C674),AY685))),0)</f>
        <v>0</v>
      </c>
      <c r="BA685" s="39">
        <f>+IFERROR(-ABS(IF(EDATE(_xlfn.XLOOKUP(1,$H672:$BE672,$H$4:$BE$4),12*Assumptions!$H$98+12)=BA$4,0,IF(AZ672=1,PMT(Assumptions!$H$96,Assumptions!$H$98,$C674),AZ685))),0)</f>
        <v>0</v>
      </c>
      <c r="BB685" s="39">
        <f>+IFERROR(-ABS(IF(EDATE(_xlfn.XLOOKUP(1,$H672:$BE672,$H$4:$BE$4),12*Assumptions!$H$98+12)=BB$4,0,IF(BA672=1,PMT(Assumptions!$H$96,Assumptions!$H$98,$C674),BA685))),0)</f>
        <v>0</v>
      </c>
      <c r="BC685" s="39">
        <f>+IFERROR(-ABS(IF(EDATE(_xlfn.XLOOKUP(1,$H672:$BE672,$H$4:$BE$4),12*Assumptions!$H$98+12)=BC$4,0,IF(BB672=1,PMT(Assumptions!$H$96,Assumptions!$H$98,$C674),BB685))),0)</f>
        <v>0</v>
      </c>
      <c r="BD685" s="39">
        <f>+IFERROR(-ABS(IF(EDATE(_xlfn.XLOOKUP(1,$H672:$BE672,$H$4:$BE$4),12*Assumptions!$H$98+12)=BD$4,0,IF(BC672=1,PMT(Assumptions!$H$96,Assumptions!$H$98,$C674),BC685))),0)</f>
        <v>0</v>
      </c>
      <c r="BE685" s="39">
        <f>+IFERROR(-ABS(IF(EDATE(_xlfn.XLOOKUP(1,$H672:$BE672,$H$4:$BE$4),12*Assumptions!$H$98+12)=BE$4,0,IF(BD672=1,PMT(Assumptions!$H$96,Assumptions!$H$98,$C674),BD685))),0)</f>
        <v>0</v>
      </c>
      <c r="BF685" s="39">
        <f>+IFERROR(-ABS(IF(EDATE(_xlfn.XLOOKUP(1,$H672:$BE672,$H$4:$BE$4),12*Assumptions!$H$98+12)=BF$4,0,IF(BE672=1,PMT(Assumptions!$H$96,Assumptions!$H$98,$C674),BE685))),0)</f>
        <v>0</v>
      </c>
      <c r="BG685" s="39">
        <f>+IFERROR(-ABS(IF(EDATE(_xlfn.XLOOKUP(1,$H672:$BE672,$H$4:$BE$4),12*Assumptions!$H$98+12)=BG$4,0,IF(BF672=1,PMT(Assumptions!$H$96,Assumptions!$H$98,$C674),BF685))),0)</f>
        <v>0</v>
      </c>
      <c r="BH685" s="39">
        <f>+IFERROR(-ABS(IF(EDATE(_xlfn.XLOOKUP(1,$H672:$BE672,$H$4:$BE$4),12*Assumptions!$H$98+12)=BH$4,0,IF(BG672=1,PMT(Assumptions!$H$96,Assumptions!$H$98,$C674),BG685))),0)</f>
        <v>0</v>
      </c>
      <c r="BI685" s="39">
        <f>+IFERROR(-ABS(IF(EDATE(_xlfn.XLOOKUP(1,$H672:$BE672,$H$4:$BE$4),12*Assumptions!$H$98+12)=BI$4,0,IF(BH672=1,PMT(Assumptions!$H$96,Assumptions!$H$98,$C674),BH685))),0)</f>
        <v>0</v>
      </c>
      <c r="BJ685" s="39">
        <f>+IFERROR(-ABS(IF(EDATE(_xlfn.XLOOKUP(1,$H672:$BE672,$H$4:$BE$4),12*Assumptions!$H$98+12)=BJ$4,0,IF(BI672=1,PMT(Assumptions!$H$96,Assumptions!$H$98,$C674),BI685))),0)</f>
        <v>0</v>
      </c>
      <c r="BK685" s="39">
        <f>+IFERROR(-ABS(IF(EDATE(_xlfn.XLOOKUP(1,$H672:$BE672,$H$4:$BE$4),12*Assumptions!$H$98+12)=BK$4,0,IF(BJ672=1,PMT(Assumptions!$H$96,Assumptions!$H$98,$C674),BJ685))),0)</f>
        <v>0</v>
      </c>
      <c r="BL685" s="39">
        <f>+IFERROR(-ABS(IF(EDATE(_xlfn.XLOOKUP(1,$H672:$BE672,$H$4:$BE$4),12*Assumptions!$H$98+12)=BL$4,0,IF(BK672=1,PMT(Assumptions!$H$96,Assumptions!$H$98,$C674),BK685))),0)</f>
        <v>0</v>
      </c>
      <c r="BM685" s="39">
        <f>+IFERROR(-ABS(IF(EDATE(_xlfn.XLOOKUP(1,$H672:$BE672,$H$4:$BE$4),12*Assumptions!$H$98+12)=BM$4,0,IF(BL672=1,PMT(Assumptions!$H$96,Assumptions!$H$98,$C674),BL685))),0)</f>
        <v>0</v>
      </c>
      <c r="BN685" s="39">
        <f>+IFERROR(-ABS(IF(EDATE(_xlfn.XLOOKUP(1,$H672:$BE672,$H$4:$BE$4),12*Assumptions!$H$98+12)=BN$4,0,IF(BM672=1,PMT(Assumptions!$H$96,Assumptions!$H$98,$C674),BM685))),0)</f>
        <v>0</v>
      </c>
      <c r="BO685" s="39">
        <f>+IFERROR(-ABS(IF(EDATE(_xlfn.XLOOKUP(1,$H672:$BE672,$H$4:$BE$4),12*Assumptions!$H$98+12)=BO$4,0,IF(BN672=1,PMT(Assumptions!$H$96,Assumptions!$H$98,$C674),BN685))),0)</f>
        <v>0</v>
      </c>
      <c r="BP685" s="39">
        <f>+IFERROR(-ABS(IF(EDATE(_xlfn.XLOOKUP(1,$H672:$BE672,$H$4:$BE$4),12*Assumptions!$H$98+12)=BP$4,0,IF(BO672=1,PMT(Assumptions!$H$96,Assumptions!$H$98,$C674),BO685))),0)</f>
        <v>0</v>
      </c>
      <c r="BQ685" s="39">
        <f>+IFERROR(-ABS(IF(EDATE(_xlfn.XLOOKUP(1,$H672:$BE672,$H$4:$BE$4),12*Assumptions!$H$98+12)=BQ$4,0,IF(BP672=1,PMT(Assumptions!$H$96,Assumptions!$H$98,$C674),BP685))),0)</f>
        <v>0</v>
      </c>
      <c r="BR685" s="39">
        <f>+IFERROR(-ABS(IF(EDATE(_xlfn.XLOOKUP(1,$H672:$BE672,$H$4:$BE$4),12*Assumptions!$H$98+12)=BR$4,0,IF(BQ672=1,PMT(Assumptions!$H$96,Assumptions!$H$98,$C674),BQ685))),0)</f>
        <v>0</v>
      </c>
      <c r="BS685" s="39">
        <f>+IFERROR(-ABS(IF(EDATE(_xlfn.XLOOKUP(1,$H672:$BE672,$H$4:$BE$4),12*Assumptions!$H$98+12)=BS$4,0,IF(BR672=1,PMT(Assumptions!$H$96,Assumptions!$H$98,$C674),BR685))),0)</f>
        <v>0</v>
      </c>
      <c r="BT685" s="39">
        <f>+IFERROR(-ABS(IF(EDATE(_xlfn.XLOOKUP(1,$H672:$BE672,$H$4:$BE$4),12*Assumptions!$H$98+12)=BT$4,0,IF(BS672=1,PMT(Assumptions!$H$96,Assumptions!$H$98,$C674),BS685))),0)</f>
        <v>0</v>
      </c>
      <c r="BU685" s="39">
        <f>+IFERROR(-ABS(IF(EDATE(_xlfn.XLOOKUP(1,$H672:$BE672,$H$4:$BE$4),12*Assumptions!$H$98+12)=BU$4,0,IF(BT672=1,PMT(Assumptions!$H$96,Assumptions!$H$98,$C674),BT685))),0)</f>
        <v>0</v>
      </c>
      <c r="BV685" s="39">
        <f>+IFERROR(-ABS(IF(EDATE(_xlfn.XLOOKUP(1,$H672:$BE672,$H$4:$BE$4),12*Assumptions!$H$98+12)=BV$4,0,IF(BU672=1,PMT(Assumptions!$H$96,Assumptions!$H$98,$C674),BU685))),0)</f>
        <v>0</v>
      </c>
      <c r="BW685" s="39">
        <f>+IFERROR(-ABS(IF(EDATE(_xlfn.XLOOKUP(1,$H672:$BE672,$H$4:$BE$4),12*Assumptions!$H$98+12)=BW$4,0,IF(BV672=1,PMT(Assumptions!$H$96,Assumptions!$H$98,$C674),BV685))),0)</f>
        <v>0</v>
      </c>
      <c r="BX685" s="39">
        <f>+IFERROR(-ABS(IF(EDATE(_xlfn.XLOOKUP(1,$H672:$BE672,$H$4:$BE$4),12*Assumptions!$H$98+12)=BX$4,0,IF(BW672=1,PMT(Assumptions!$H$96,Assumptions!$H$98,$C674),BW685))),0)</f>
        <v>0</v>
      </c>
      <c r="BY685" s="39">
        <f>+IFERROR(-ABS(IF(EDATE(_xlfn.XLOOKUP(1,$H672:$BE672,$H$4:$BE$4),12*Assumptions!$H$98+12)=BY$4,0,IF(BX672=1,PMT(Assumptions!$H$96,Assumptions!$H$98,$C674),BX685))),0)</f>
        <v>0</v>
      </c>
    </row>
    <row r="686" spans="5:77" outlineLevel="1">
      <c r="E686" s="24" t="s">
        <v>523</v>
      </c>
      <c r="F686" s="80" t="str">
        <f>+Assumptions!$G$8</f>
        <v>USD</v>
      </c>
      <c r="G686" s="24"/>
      <c r="H686" s="39">
        <f>+IFERROR(-ABS(IF(EDATE(_xlfn.XLOOKUP(1,$H673:$BE673,$H$4:$BE$4),12*Assumptions!$H$98+12)=H$4,0,IF(G673=1,PMT(Assumptions!$H$96,Assumptions!$H$98,$C675),G686))),0)</f>
        <v>0</v>
      </c>
      <c r="I686" s="39">
        <f>+IFERROR(-ABS(IF(EDATE(_xlfn.XLOOKUP(1,$H673:$BE673,$H$4:$BE$4),12*Assumptions!$H$98+12)=I$4,0,IF(H673=1,PMT(Assumptions!$H$96,Assumptions!$H$98,$C675),H686))),0)</f>
        <v>0</v>
      </c>
      <c r="J686" s="39">
        <f>+IFERROR(-ABS(IF(EDATE(_xlfn.XLOOKUP(1,$H673:$BE673,$H$4:$BE$4),12*Assumptions!$H$98+12)=J$4,0,IF(I673=1,PMT(Assumptions!$H$96,Assumptions!$H$98,$C675),I686))),0)</f>
        <v>0</v>
      </c>
      <c r="K686" s="39">
        <f>+IFERROR(-ABS(IF(EDATE(_xlfn.XLOOKUP(1,$H673:$BE673,$H$4:$BE$4),12*Assumptions!$H$98+12)=K$4,0,IF(J673=1,PMT(Assumptions!$H$96,Assumptions!$H$98,$C675),J686))),0)</f>
        <v>0</v>
      </c>
      <c r="L686" s="39">
        <f>+IFERROR(-ABS(IF(EDATE(_xlfn.XLOOKUP(1,$H673:$BE673,$H$4:$BE$4),12*Assumptions!$H$98+12)=L$4,0,IF(K673=1,PMT(Assumptions!$H$96,Assumptions!$H$98,$C675),K686))),0)</f>
        <v>0</v>
      </c>
      <c r="M686" s="39">
        <f>+IFERROR(-ABS(IF(EDATE(_xlfn.XLOOKUP(1,$H673:$BE673,$H$4:$BE$4),12*Assumptions!$H$98+12)=M$4,0,IF(L673=1,PMT(Assumptions!$H$96,Assumptions!$H$98,$C675),L686))),0)</f>
        <v>0</v>
      </c>
      <c r="N686" s="39">
        <f>+IFERROR(-ABS(IF(EDATE(_xlfn.XLOOKUP(1,$H673:$BE673,$H$4:$BE$4),12*Assumptions!$H$98+12)=N$4,0,IF(M673=1,PMT(Assumptions!$H$96,Assumptions!$H$98,$C675),M686))),0)</f>
        <v>0</v>
      </c>
      <c r="O686" s="39">
        <f>+IFERROR(-ABS(IF(EDATE(_xlfn.XLOOKUP(1,$H673:$BE673,$H$4:$BE$4),12*Assumptions!$H$98+12)=O$4,0,IF(N673=1,PMT(Assumptions!$H$96,Assumptions!$H$98,$C675),N686))),0)</f>
        <v>0</v>
      </c>
      <c r="P686" s="39">
        <f>+IFERROR(-ABS(IF(EDATE(_xlfn.XLOOKUP(1,$H673:$BE673,$H$4:$BE$4),12*Assumptions!$H$98+12)=P$4,0,IF(O673=1,PMT(Assumptions!$H$96,Assumptions!$H$98,$C675),O686))),0)</f>
        <v>0</v>
      </c>
      <c r="Q686" s="39">
        <f>+IFERROR(-ABS(IF(EDATE(_xlfn.XLOOKUP(1,$H673:$BE673,$H$4:$BE$4),12*Assumptions!$H$98+12)=Q$4,0,IF(P673=1,PMT(Assumptions!$H$96,Assumptions!$H$98,$C675),P686))),0)</f>
        <v>0</v>
      </c>
      <c r="R686" s="39">
        <f>+IFERROR(-ABS(IF(EDATE(_xlfn.XLOOKUP(1,$H673:$BE673,$H$4:$BE$4),12*Assumptions!$H$98+12)=R$4,0,IF(Q673=1,PMT(Assumptions!$H$96,Assumptions!$H$98,$C675),Q686))),0)</f>
        <v>0</v>
      </c>
      <c r="S686" s="39">
        <f>+IFERROR(-ABS(IF(EDATE(_xlfn.XLOOKUP(1,$H673:$BE673,$H$4:$BE$4),12*Assumptions!$H$98+12)=S$4,0,IF(R673=1,PMT(Assumptions!$H$96,Assumptions!$H$98,$C675),R686))),0)</f>
        <v>0</v>
      </c>
      <c r="T686" s="39">
        <f>+IFERROR(-ABS(IF(EDATE(_xlfn.XLOOKUP(1,$H673:$BE673,$H$4:$BE$4),12*Assumptions!$H$98+12)=T$4,0,IF(S673=1,PMT(Assumptions!$H$96,Assumptions!$H$98,$C675),S686))),0)</f>
        <v>0</v>
      </c>
      <c r="U686" s="39">
        <f>+IFERROR(-ABS(IF(EDATE(_xlfn.XLOOKUP(1,$H673:$BE673,$H$4:$BE$4),12*Assumptions!$H$98+12)=U$4,0,IF(T673=1,PMT(Assumptions!$H$96,Assumptions!$H$98,$C675),T686))),0)</f>
        <v>0</v>
      </c>
      <c r="V686" s="39">
        <f>+IFERROR(-ABS(IF(EDATE(_xlfn.XLOOKUP(1,$H673:$BE673,$H$4:$BE$4),12*Assumptions!$H$98+12)=V$4,0,IF(U673=1,PMT(Assumptions!$H$96,Assumptions!$H$98,$C675),U686))),0)</f>
        <v>0</v>
      </c>
      <c r="W686" s="39">
        <f>+IFERROR(-ABS(IF(EDATE(_xlfn.XLOOKUP(1,$H673:$BE673,$H$4:$BE$4),12*Assumptions!$H$98+12)=W$4,0,IF(V673=1,PMT(Assumptions!$H$96,Assumptions!$H$98,$C675),V686))),0)</f>
        <v>0</v>
      </c>
      <c r="X686" s="39">
        <f>+IFERROR(-ABS(IF(EDATE(_xlfn.XLOOKUP(1,$H673:$BE673,$H$4:$BE$4),12*Assumptions!$H$98+12)=X$4,0,IF(W673=1,PMT(Assumptions!$H$96,Assumptions!$H$98,$C675),W686))),0)</f>
        <v>0</v>
      </c>
      <c r="Y686" s="39">
        <f>+IFERROR(-ABS(IF(EDATE(_xlfn.XLOOKUP(1,$H673:$BE673,$H$4:$BE$4),12*Assumptions!$H$98+12)=Y$4,0,IF(X673=1,PMT(Assumptions!$H$96,Assumptions!$H$98,$C675),X686))),0)</f>
        <v>0</v>
      </c>
      <c r="Z686" s="39">
        <f>+IFERROR(-ABS(IF(EDATE(_xlfn.XLOOKUP(1,$H673:$BE673,$H$4:$BE$4),12*Assumptions!$H$98+12)=Z$4,0,IF(Y673=1,PMT(Assumptions!$H$96,Assumptions!$H$98,$C675),Y686))),0)</f>
        <v>0</v>
      </c>
      <c r="AA686" s="39">
        <f>+IFERROR(-ABS(IF(EDATE(_xlfn.XLOOKUP(1,$H673:$BE673,$H$4:$BE$4),12*Assumptions!$H$98+12)=AA$4,0,IF(Z673=1,PMT(Assumptions!$H$96,Assumptions!$H$98,$C675),Z686))),0)</f>
        <v>0</v>
      </c>
      <c r="AB686" s="39">
        <f>+IFERROR(-ABS(IF(EDATE(_xlfn.XLOOKUP(1,$H673:$BE673,$H$4:$BE$4),12*Assumptions!$H$98+12)=AB$4,0,IF(AA673=1,PMT(Assumptions!$H$96,Assumptions!$H$98,$C675),AA686))),0)</f>
        <v>0</v>
      </c>
      <c r="AC686" s="39">
        <f>+IFERROR(-ABS(IF(EDATE(_xlfn.XLOOKUP(1,$H673:$BE673,$H$4:$BE$4),12*Assumptions!$H$98+12)=AC$4,0,IF(AB673=1,PMT(Assumptions!$H$96,Assumptions!$H$98,$C675),AB686))),0)</f>
        <v>0</v>
      </c>
      <c r="AD686" s="39">
        <f>+IFERROR(-ABS(IF(EDATE(_xlfn.XLOOKUP(1,$H673:$BE673,$H$4:$BE$4),12*Assumptions!$H$98+12)=AD$4,0,IF(AC673=1,PMT(Assumptions!$H$96,Assumptions!$H$98,$C675),AC686))),0)</f>
        <v>0</v>
      </c>
      <c r="AE686" s="39">
        <f>+IFERROR(-ABS(IF(EDATE(_xlfn.XLOOKUP(1,$H673:$BE673,$H$4:$BE$4),12*Assumptions!$H$98+12)=AE$4,0,IF(AD673=1,PMT(Assumptions!$H$96,Assumptions!$H$98,$C675),AD686))),0)</f>
        <v>0</v>
      </c>
      <c r="AF686" s="39">
        <f>+IFERROR(-ABS(IF(EDATE(_xlfn.XLOOKUP(1,$H673:$BE673,$H$4:$BE$4),12*Assumptions!$H$98+12)=AF$4,0,IF(AE673=1,PMT(Assumptions!$H$96,Assumptions!$H$98,$C675),AE686))),0)</f>
        <v>0</v>
      </c>
      <c r="AG686" s="39">
        <f>+IFERROR(-ABS(IF(EDATE(_xlfn.XLOOKUP(1,$H673:$BE673,$H$4:$BE$4),12*Assumptions!$H$98+12)=AG$4,0,IF(AF673=1,PMT(Assumptions!$H$96,Assumptions!$H$98,$C675),AF686))),0)</f>
        <v>0</v>
      </c>
      <c r="AH686" s="39">
        <f>+IFERROR(-ABS(IF(EDATE(_xlfn.XLOOKUP(1,$H673:$BE673,$H$4:$BE$4),12*Assumptions!$H$98+12)=AH$4,0,IF(AG673=1,PMT(Assumptions!$H$96,Assumptions!$H$98,$C675),AG686))),0)</f>
        <v>0</v>
      </c>
      <c r="AI686" s="39">
        <f>+IFERROR(-ABS(IF(EDATE(_xlfn.XLOOKUP(1,$H673:$BE673,$H$4:$BE$4),12*Assumptions!$H$98+12)=AI$4,0,IF(AH673=1,PMT(Assumptions!$H$96,Assumptions!$H$98,$C675),AH686))),0)</f>
        <v>0</v>
      </c>
      <c r="AJ686" s="39">
        <f>+IFERROR(-ABS(IF(EDATE(_xlfn.XLOOKUP(1,$H673:$BE673,$H$4:$BE$4),12*Assumptions!$H$98+12)=AJ$4,0,IF(AI673=1,PMT(Assumptions!$H$96,Assumptions!$H$98,$C675),AI686))),0)</f>
        <v>0</v>
      </c>
      <c r="AK686" s="39">
        <f>+IFERROR(-ABS(IF(EDATE(_xlfn.XLOOKUP(1,$H673:$BE673,$H$4:$BE$4),12*Assumptions!$H$98+12)=AK$4,0,IF(AJ673=1,PMT(Assumptions!$H$96,Assumptions!$H$98,$C675),AJ686))),0)</f>
        <v>0</v>
      </c>
      <c r="AL686" s="39">
        <f>+IFERROR(-ABS(IF(EDATE(_xlfn.XLOOKUP(1,$H673:$BE673,$H$4:$BE$4),12*Assumptions!$H$98+12)=AL$4,0,IF(AK673=1,PMT(Assumptions!$H$96,Assumptions!$H$98,$C675),AK686))),0)</f>
        <v>0</v>
      </c>
      <c r="AM686" s="39">
        <f>+IFERROR(-ABS(IF(EDATE(_xlfn.XLOOKUP(1,$H673:$BE673,$H$4:$BE$4),12*Assumptions!$H$98+12)=AM$4,0,IF(AL673=1,PMT(Assumptions!$H$96,Assumptions!$H$98,$C675),AL686))),0)</f>
        <v>0</v>
      </c>
      <c r="AN686" s="39">
        <f>+IFERROR(-ABS(IF(EDATE(_xlfn.XLOOKUP(1,$H673:$BE673,$H$4:$BE$4),12*Assumptions!$H$98+12)=AN$4,0,IF(AM673=1,PMT(Assumptions!$H$96,Assumptions!$H$98,$C675),AM686))),0)</f>
        <v>0</v>
      </c>
      <c r="AO686" s="39">
        <f>+IFERROR(-ABS(IF(EDATE(_xlfn.XLOOKUP(1,$H673:$BE673,$H$4:$BE$4),12*Assumptions!$H$98+12)=AO$4,0,IF(AN673=1,PMT(Assumptions!$H$96,Assumptions!$H$98,$C675),AN686))),0)</f>
        <v>0</v>
      </c>
      <c r="AP686" s="39">
        <f>+IFERROR(-ABS(IF(EDATE(_xlfn.XLOOKUP(1,$H673:$BE673,$H$4:$BE$4),12*Assumptions!$H$98+12)=AP$4,0,IF(AO673=1,PMT(Assumptions!$H$96,Assumptions!$H$98,$C675),AO686))),0)</f>
        <v>0</v>
      </c>
      <c r="AQ686" s="39">
        <f>+IFERROR(-ABS(IF(EDATE(_xlfn.XLOOKUP(1,$H673:$BE673,$H$4:$BE$4),12*Assumptions!$H$98+12)=AQ$4,0,IF(AP673=1,PMT(Assumptions!$H$96,Assumptions!$H$98,$C675),AP686))),0)</f>
        <v>0</v>
      </c>
      <c r="AR686" s="39">
        <f>+IFERROR(-ABS(IF(EDATE(_xlfn.XLOOKUP(1,$H673:$BE673,$H$4:$BE$4),12*Assumptions!$H$98+12)=AR$4,0,IF(AQ673=1,PMT(Assumptions!$H$96,Assumptions!$H$98,$C675),AQ686))),0)</f>
        <v>0</v>
      </c>
      <c r="AS686" s="39">
        <f>+IFERROR(-ABS(IF(EDATE(_xlfn.XLOOKUP(1,$H673:$BE673,$H$4:$BE$4),12*Assumptions!$H$98+12)=AS$4,0,IF(AR673=1,PMT(Assumptions!$H$96,Assumptions!$H$98,$C675),AR686))),0)</f>
        <v>0</v>
      </c>
      <c r="AT686" s="39">
        <f>+IFERROR(-ABS(IF(EDATE(_xlfn.XLOOKUP(1,$H673:$BE673,$H$4:$BE$4),12*Assumptions!$H$98+12)=AT$4,0,IF(AS673=1,PMT(Assumptions!$H$96,Assumptions!$H$98,$C675),AS686))),0)</f>
        <v>0</v>
      </c>
      <c r="AU686" s="39">
        <f>+IFERROR(-ABS(IF(EDATE(_xlfn.XLOOKUP(1,$H673:$BE673,$H$4:$BE$4),12*Assumptions!$H$98+12)=AU$4,0,IF(AT673=1,PMT(Assumptions!$H$96,Assumptions!$H$98,$C675),AT686))),0)</f>
        <v>0</v>
      </c>
      <c r="AV686" s="39">
        <f>+IFERROR(-ABS(IF(EDATE(_xlfn.XLOOKUP(1,$H673:$BE673,$H$4:$BE$4),12*Assumptions!$H$98+12)=AV$4,0,IF(AU673=1,PMT(Assumptions!$H$96,Assumptions!$H$98,$C675),AU686))),0)</f>
        <v>0</v>
      </c>
      <c r="AW686" s="39">
        <f>+IFERROR(-ABS(IF(EDATE(_xlfn.XLOOKUP(1,$H673:$BE673,$H$4:$BE$4),12*Assumptions!$H$98+12)=AW$4,0,IF(AV673=1,PMT(Assumptions!$H$96,Assumptions!$H$98,$C675),AV686))),0)</f>
        <v>0</v>
      </c>
      <c r="AX686" s="39">
        <f>+IFERROR(-ABS(IF(EDATE(_xlfn.XLOOKUP(1,$H673:$BE673,$H$4:$BE$4),12*Assumptions!$H$98+12)=AX$4,0,IF(AW673=1,PMT(Assumptions!$H$96,Assumptions!$H$98,$C675),AW686))),0)</f>
        <v>0</v>
      </c>
      <c r="AY686" s="39">
        <f>+IFERROR(-ABS(IF(EDATE(_xlfn.XLOOKUP(1,$H673:$BE673,$H$4:$BE$4),12*Assumptions!$H$98+12)=AY$4,0,IF(AX673=1,PMT(Assumptions!$H$96,Assumptions!$H$98,$C675),AX686))),0)</f>
        <v>0</v>
      </c>
      <c r="AZ686" s="39">
        <f>+IFERROR(-ABS(IF(EDATE(_xlfn.XLOOKUP(1,$H673:$BE673,$H$4:$BE$4),12*Assumptions!$H$98+12)=AZ$4,0,IF(AY673=1,PMT(Assumptions!$H$96,Assumptions!$H$98,$C675),AY686))),0)</f>
        <v>0</v>
      </c>
      <c r="BA686" s="39">
        <f>+IFERROR(-ABS(IF(EDATE(_xlfn.XLOOKUP(1,$H673:$BE673,$H$4:$BE$4),12*Assumptions!$H$98+12)=BA$4,0,IF(AZ673=1,PMT(Assumptions!$H$96,Assumptions!$H$98,$C675),AZ686))),0)</f>
        <v>0</v>
      </c>
      <c r="BB686" s="39">
        <f>+IFERROR(-ABS(IF(EDATE(_xlfn.XLOOKUP(1,$H673:$BE673,$H$4:$BE$4),12*Assumptions!$H$98+12)=BB$4,0,IF(BA673=1,PMT(Assumptions!$H$96,Assumptions!$H$98,$C675),BA686))),0)</f>
        <v>0</v>
      </c>
      <c r="BC686" s="39">
        <f>+IFERROR(-ABS(IF(EDATE(_xlfn.XLOOKUP(1,$H673:$BE673,$H$4:$BE$4),12*Assumptions!$H$98+12)=BC$4,0,IF(BB673=1,PMT(Assumptions!$H$96,Assumptions!$H$98,$C675),BB686))),0)</f>
        <v>0</v>
      </c>
      <c r="BD686" s="39">
        <f>+IFERROR(-ABS(IF(EDATE(_xlfn.XLOOKUP(1,$H673:$BE673,$H$4:$BE$4),12*Assumptions!$H$98+12)=BD$4,0,IF(BC673=1,PMT(Assumptions!$H$96,Assumptions!$H$98,$C675),BC686))),0)</f>
        <v>0</v>
      </c>
      <c r="BE686" s="39">
        <f>+IFERROR(-ABS(IF(EDATE(_xlfn.XLOOKUP(1,$H673:$BE673,$H$4:$BE$4),12*Assumptions!$H$98+12)=BE$4,0,IF(BD673=1,PMT(Assumptions!$H$96,Assumptions!$H$98,$C675),BD686))),0)</f>
        <v>0</v>
      </c>
      <c r="BF686" s="39">
        <f>+IFERROR(-ABS(IF(EDATE(_xlfn.XLOOKUP(1,$H673:$BE673,$H$4:$BE$4),12*Assumptions!$H$98+12)=BF$4,0,IF(BE673=1,PMT(Assumptions!$H$96,Assumptions!$H$98,$C675),BE686))),0)</f>
        <v>0</v>
      </c>
      <c r="BG686" s="39">
        <f>+IFERROR(-ABS(IF(EDATE(_xlfn.XLOOKUP(1,$H673:$BE673,$H$4:$BE$4),12*Assumptions!$H$98+12)=BG$4,0,IF(BF673=1,PMT(Assumptions!$H$96,Assumptions!$H$98,$C675),BF686))),0)</f>
        <v>0</v>
      </c>
      <c r="BH686" s="39">
        <f>+IFERROR(-ABS(IF(EDATE(_xlfn.XLOOKUP(1,$H673:$BE673,$H$4:$BE$4),12*Assumptions!$H$98+12)=BH$4,0,IF(BG673=1,PMT(Assumptions!$H$96,Assumptions!$H$98,$C675),BG686))),0)</f>
        <v>0</v>
      </c>
      <c r="BI686" s="39">
        <f>+IFERROR(-ABS(IF(EDATE(_xlfn.XLOOKUP(1,$H673:$BE673,$H$4:$BE$4),12*Assumptions!$H$98+12)=BI$4,0,IF(BH673=1,PMT(Assumptions!$H$96,Assumptions!$H$98,$C675),BH686))),0)</f>
        <v>0</v>
      </c>
      <c r="BJ686" s="39">
        <f>+IFERROR(-ABS(IF(EDATE(_xlfn.XLOOKUP(1,$H673:$BE673,$H$4:$BE$4),12*Assumptions!$H$98+12)=BJ$4,0,IF(BI673=1,PMT(Assumptions!$H$96,Assumptions!$H$98,$C675),BI686))),0)</f>
        <v>0</v>
      </c>
      <c r="BK686" s="39">
        <f>+IFERROR(-ABS(IF(EDATE(_xlfn.XLOOKUP(1,$H673:$BE673,$H$4:$BE$4),12*Assumptions!$H$98+12)=BK$4,0,IF(BJ673=1,PMT(Assumptions!$H$96,Assumptions!$H$98,$C675),BJ686))),0)</f>
        <v>0</v>
      </c>
      <c r="BL686" s="39">
        <f>+IFERROR(-ABS(IF(EDATE(_xlfn.XLOOKUP(1,$H673:$BE673,$H$4:$BE$4),12*Assumptions!$H$98+12)=BL$4,0,IF(BK673=1,PMT(Assumptions!$H$96,Assumptions!$H$98,$C675),BK686))),0)</f>
        <v>0</v>
      </c>
      <c r="BM686" s="39">
        <f>+IFERROR(-ABS(IF(EDATE(_xlfn.XLOOKUP(1,$H673:$BE673,$H$4:$BE$4),12*Assumptions!$H$98+12)=BM$4,0,IF(BL673=1,PMT(Assumptions!$H$96,Assumptions!$H$98,$C675),BL686))),0)</f>
        <v>0</v>
      </c>
      <c r="BN686" s="39">
        <f>+IFERROR(-ABS(IF(EDATE(_xlfn.XLOOKUP(1,$H673:$BE673,$H$4:$BE$4),12*Assumptions!$H$98+12)=BN$4,0,IF(BM673=1,PMT(Assumptions!$H$96,Assumptions!$H$98,$C675),BM686))),0)</f>
        <v>0</v>
      </c>
      <c r="BO686" s="39">
        <f>+IFERROR(-ABS(IF(EDATE(_xlfn.XLOOKUP(1,$H673:$BE673,$H$4:$BE$4),12*Assumptions!$H$98+12)=BO$4,0,IF(BN673=1,PMT(Assumptions!$H$96,Assumptions!$H$98,$C675),BN686))),0)</f>
        <v>0</v>
      </c>
      <c r="BP686" s="39">
        <f>+IFERROR(-ABS(IF(EDATE(_xlfn.XLOOKUP(1,$H673:$BE673,$H$4:$BE$4),12*Assumptions!$H$98+12)=BP$4,0,IF(BO673=1,PMT(Assumptions!$H$96,Assumptions!$H$98,$C675),BO686))),0)</f>
        <v>0</v>
      </c>
      <c r="BQ686" s="39">
        <f>+IFERROR(-ABS(IF(EDATE(_xlfn.XLOOKUP(1,$H673:$BE673,$H$4:$BE$4),12*Assumptions!$H$98+12)=BQ$4,0,IF(BP673=1,PMT(Assumptions!$H$96,Assumptions!$H$98,$C675),BP686))),0)</f>
        <v>0</v>
      </c>
      <c r="BR686" s="39">
        <f>+IFERROR(-ABS(IF(EDATE(_xlfn.XLOOKUP(1,$H673:$BE673,$H$4:$BE$4),12*Assumptions!$H$98+12)=BR$4,0,IF(BQ673=1,PMT(Assumptions!$H$96,Assumptions!$H$98,$C675),BQ686))),0)</f>
        <v>0</v>
      </c>
      <c r="BS686" s="39">
        <f>+IFERROR(-ABS(IF(EDATE(_xlfn.XLOOKUP(1,$H673:$BE673,$H$4:$BE$4),12*Assumptions!$H$98+12)=BS$4,0,IF(BR673=1,PMT(Assumptions!$H$96,Assumptions!$H$98,$C675),BR686))),0)</f>
        <v>0</v>
      </c>
      <c r="BT686" s="39">
        <f>+IFERROR(-ABS(IF(EDATE(_xlfn.XLOOKUP(1,$H673:$BE673,$H$4:$BE$4),12*Assumptions!$H$98+12)=BT$4,0,IF(BS673=1,PMT(Assumptions!$H$96,Assumptions!$H$98,$C675),BS686))),0)</f>
        <v>0</v>
      </c>
      <c r="BU686" s="39">
        <f>+IFERROR(-ABS(IF(EDATE(_xlfn.XLOOKUP(1,$H673:$BE673,$H$4:$BE$4),12*Assumptions!$H$98+12)=BU$4,0,IF(BT673=1,PMT(Assumptions!$H$96,Assumptions!$H$98,$C675),BT686))),0)</f>
        <v>0</v>
      </c>
      <c r="BV686" s="39">
        <f>+IFERROR(-ABS(IF(EDATE(_xlfn.XLOOKUP(1,$H673:$BE673,$H$4:$BE$4),12*Assumptions!$H$98+12)=BV$4,0,IF(BU673=1,PMT(Assumptions!$H$96,Assumptions!$H$98,$C675),BU686))),0)</f>
        <v>0</v>
      </c>
      <c r="BW686" s="39">
        <f>+IFERROR(-ABS(IF(EDATE(_xlfn.XLOOKUP(1,$H673:$BE673,$H$4:$BE$4),12*Assumptions!$H$98+12)=BW$4,0,IF(BV673=1,PMT(Assumptions!$H$96,Assumptions!$H$98,$C675),BV686))),0)</f>
        <v>0</v>
      </c>
      <c r="BX686" s="39">
        <f>+IFERROR(-ABS(IF(EDATE(_xlfn.XLOOKUP(1,$H673:$BE673,$H$4:$BE$4),12*Assumptions!$H$98+12)=BX$4,0,IF(BW673=1,PMT(Assumptions!$H$96,Assumptions!$H$98,$C675),BW686))),0)</f>
        <v>0</v>
      </c>
      <c r="BY686" s="39">
        <f>+IFERROR(-ABS(IF(EDATE(_xlfn.XLOOKUP(1,$H673:$BE673,$H$4:$BE$4),12*Assumptions!$H$98+12)=BY$4,0,IF(BX673=1,PMT(Assumptions!$H$96,Assumptions!$H$98,$C675),BX686))),0)</f>
        <v>0</v>
      </c>
    </row>
    <row r="687" spans="5:77" outlineLevel="1">
      <c r="E687" s="24"/>
      <c r="F687" s="23"/>
      <c r="G687" s="24"/>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39"/>
      <c r="BC687" s="39"/>
      <c r="BD687" s="39"/>
      <c r="BE687" s="39"/>
      <c r="BF687" s="39"/>
      <c r="BG687" s="39"/>
      <c r="BH687" s="39"/>
      <c r="BI687" s="39"/>
      <c r="BJ687" s="39"/>
      <c r="BK687" s="39"/>
      <c r="BL687" s="39"/>
      <c r="BM687" s="39"/>
      <c r="BN687" s="39"/>
      <c r="BO687" s="39"/>
      <c r="BP687" s="39"/>
      <c r="BQ687" s="39"/>
      <c r="BR687" s="39"/>
      <c r="BS687" s="39"/>
      <c r="BT687" s="39"/>
      <c r="BU687" s="39"/>
      <c r="BV687" s="39"/>
      <c r="BW687" s="39"/>
      <c r="BX687" s="39"/>
      <c r="BY687" s="39"/>
    </row>
    <row r="688" spans="5:77" outlineLevel="1">
      <c r="E688" t="s">
        <v>524</v>
      </c>
      <c r="F688" s="80" t="str">
        <f>+Assumptions!$G$8</f>
        <v>USD</v>
      </c>
      <c r="H688" s="32">
        <f>MIN(+H660-H676+H674,0)</f>
        <v>0</v>
      </c>
      <c r="I688" s="32">
        <f t="shared" ref="I688:BT688" si="1419">MIN(+I660-I676+I674,0)</f>
        <v>0</v>
      </c>
      <c r="J688" s="32">
        <f t="shared" si="1419"/>
        <v>0</v>
      </c>
      <c r="K688" s="32">
        <f t="shared" si="1419"/>
        <v>0</v>
      </c>
      <c r="L688" s="32">
        <f t="shared" si="1419"/>
        <v>0</v>
      </c>
      <c r="M688" s="32">
        <f t="shared" si="1419"/>
        <v>0</v>
      </c>
      <c r="N688" s="32">
        <f t="shared" si="1419"/>
        <v>0</v>
      </c>
      <c r="O688" s="32">
        <f t="shared" si="1419"/>
        <v>0</v>
      </c>
      <c r="P688" s="32">
        <f t="shared" si="1419"/>
        <v>0</v>
      </c>
      <c r="Q688" s="32">
        <f t="shared" si="1419"/>
        <v>0</v>
      </c>
      <c r="R688" s="32">
        <f t="shared" si="1419"/>
        <v>0</v>
      </c>
      <c r="S688" s="32">
        <f t="shared" si="1419"/>
        <v>0</v>
      </c>
      <c r="T688" s="32">
        <f t="shared" si="1419"/>
        <v>0</v>
      </c>
      <c r="U688" s="32">
        <f t="shared" si="1419"/>
        <v>0</v>
      </c>
      <c r="V688" s="32">
        <f t="shared" si="1419"/>
        <v>0</v>
      </c>
      <c r="W688" s="32">
        <f t="shared" si="1419"/>
        <v>0</v>
      </c>
      <c r="X688" s="32">
        <f t="shared" si="1419"/>
        <v>0</v>
      </c>
      <c r="Y688" s="32">
        <f t="shared" si="1419"/>
        <v>0</v>
      </c>
      <c r="Z688" s="32">
        <f t="shared" si="1419"/>
        <v>0</v>
      </c>
      <c r="AA688" s="32">
        <f t="shared" si="1419"/>
        <v>0</v>
      </c>
      <c r="AB688" s="32">
        <f t="shared" si="1419"/>
        <v>0</v>
      </c>
      <c r="AC688" s="32">
        <f t="shared" si="1419"/>
        <v>0</v>
      </c>
      <c r="AD688" s="32">
        <f t="shared" si="1419"/>
        <v>0</v>
      </c>
      <c r="AE688" s="32">
        <f t="shared" si="1419"/>
        <v>0</v>
      </c>
      <c r="AF688" s="32">
        <f t="shared" si="1419"/>
        <v>0</v>
      </c>
      <c r="AG688" s="32">
        <f t="shared" si="1419"/>
        <v>0</v>
      </c>
      <c r="AH688" s="32">
        <f t="shared" si="1419"/>
        <v>0</v>
      </c>
      <c r="AI688" s="32">
        <f t="shared" si="1419"/>
        <v>0</v>
      </c>
      <c r="AJ688" s="32">
        <f t="shared" si="1419"/>
        <v>0</v>
      </c>
      <c r="AK688" s="32">
        <f t="shared" si="1419"/>
        <v>0</v>
      </c>
      <c r="AL688" s="32">
        <f t="shared" si="1419"/>
        <v>0</v>
      </c>
      <c r="AM688" s="32">
        <f t="shared" si="1419"/>
        <v>0</v>
      </c>
      <c r="AN688" s="32">
        <f t="shared" si="1419"/>
        <v>0</v>
      </c>
      <c r="AO688" s="32">
        <f t="shared" si="1419"/>
        <v>0</v>
      </c>
      <c r="AP688" s="32">
        <f t="shared" si="1419"/>
        <v>0</v>
      </c>
      <c r="AQ688" s="32">
        <f t="shared" si="1419"/>
        <v>0</v>
      </c>
      <c r="AR688" s="32">
        <f t="shared" si="1419"/>
        <v>0</v>
      </c>
      <c r="AS688" s="32">
        <f t="shared" si="1419"/>
        <v>0</v>
      </c>
      <c r="AT688" s="32">
        <f t="shared" si="1419"/>
        <v>0</v>
      </c>
      <c r="AU688" s="32">
        <f t="shared" si="1419"/>
        <v>0</v>
      </c>
      <c r="AV688" s="32">
        <f t="shared" si="1419"/>
        <v>0</v>
      </c>
      <c r="AW688" s="32">
        <f t="shared" si="1419"/>
        <v>0</v>
      </c>
      <c r="AX688" s="32">
        <f t="shared" si="1419"/>
        <v>0</v>
      </c>
      <c r="AY688" s="32">
        <f t="shared" si="1419"/>
        <v>0</v>
      </c>
      <c r="AZ688" s="32">
        <f t="shared" si="1419"/>
        <v>0</v>
      </c>
      <c r="BA688" s="32">
        <f t="shared" si="1419"/>
        <v>0</v>
      </c>
      <c r="BB688" s="32">
        <f t="shared" si="1419"/>
        <v>0</v>
      </c>
      <c r="BC688" s="32">
        <f t="shared" si="1419"/>
        <v>0</v>
      </c>
      <c r="BD688" s="32">
        <f t="shared" si="1419"/>
        <v>0</v>
      </c>
      <c r="BE688" s="32">
        <f t="shared" si="1419"/>
        <v>0</v>
      </c>
      <c r="BF688" s="32">
        <f t="shared" si="1419"/>
        <v>0</v>
      </c>
      <c r="BG688" s="32">
        <f t="shared" si="1419"/>
        <v>0</v>
      </c>
      <c r="BH688" s="32">
        <f t="shared" si="1419"/>
        <v>0</v>
      </c>
      <c r="BI688" s="32">
        <f t="shared" si="1419"/>
        <v>0</v>
      </c>
      <c r="BJ688" s="32">
        <f t="shared" si="1419"/>
        <v>0</v>
      </c>
      <c r="BK688" s="32">
        <f t="shared" si="1419"/>
        <v>0</v>
      </c>
      <c r="BL688" s="32">
        <f t="shared" si="1419"/>
        <v>0</v>
      </c>
      <c r="BM688" s="32">
        <f t="shared" si="1419"/>
        <v>0</v>
      </c>
      <c r="BN688" s="32">
        <f t="shared" si="1419"/>
        <v>0</v>
      </c>
      <c r="BO688" s="32">
        <f t="shared" si="1419"/>
        <v>0</v>
      </c>
      <c r="BP688" s="32">
        <f t="shared" si="1419"/>
        <v>0</v>
      </c>
      <c r="BQ688" s="32">
        <f t="shared" si="1419"/>
        <v>0</v>
      </c>
      <c r="BR688" s="32">
        <f t="shared" si="1419"/>
        <v>0</v>
      </c>
      <c r="BS688" s="32">
        <f t="shared" si="1419"/>
        <v>0</v>
      </c>
      <c r="BT688" s="32">
        <f t="shared" si="1419"/>
        <v>0</v>
      </c>
      <c r="BU688" s="32">
        <f t="shared" ref="BU688:BY688" si="1420">MIN(+BU660-BU676+BU674,0)</f>
        <v>0</v>
      </c>
      <c r="BV688" s="32">
        <f t="shared" si="1420"/>
        <v>0</v>
      </c>
      <c r="BW688" s="32">
        <f t="shared" si="1420"/>
        <v>0</v>
      </c>
      <c r="BX688" s="32">
        <f t="shared" si="1420"/>
        <v>0</v>
      </c>
      <c r="BY688" s="32">
        <f t="shared" si="1420"/>
        <v>0</v>
      </c>
    </row>
    <row r="689" spans="2:77" outlineLevel="1"/>
    <row r="690" spans="2:77" outlineLevel="1"/>
    <row r="691" spans="2:77" s="19" customFormat="1" ht="12.75" outlineLevel="1">
      <c r="B691" s="18" t="s">
        <v>526</v>
      </c>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c r="BN691" s="35"/>
      <c r="BO691" s="35"/>
      <c r="BP691" s="35"/>
      <c r="BQ691" s="35"/>
      <c r="BR691" s="35"/>
      <c r="BS691" s="35"/>
      <c r="BT691" s="35"/>
      <c r="BU691" s="35"/>
      <c r="BV691" s="35"/>
      <c r="BW691" s="35"/>
      <c r="BX691" s="35"/>
      <c r="BY691" s="35"/>
    </row>
    <row r="692" spans="2:77" outlineLevel="1">
      <c r="BF692" s="33"/>
      <c r="BG692" s="33"/>
      <c r="BH692" s="33"/>
      <c r="BI692" s="33"/>
      <c r="BJ692" s="33"/>
      <c r="BK692" s="33"/>
      <c r="BL692" s="33"/>
      <c r="BM692" s="33"/>
      <c r="BN692" s="33"/>
      <c r="BO692" s="33"/>
      <c r="BP692" s="33"/>
      <c r="BQ692" s="33"/>
      <c r="BR692" s="33"/>
      <c r="BS692" s="33"/>
      <c r="BT692" s="33"/>
      <c r="BU692" s="33"/>
      <c r="BV692" s="33"/>
      <c r="BW692" s="33"/>
      <c r="BX692" s="33"/>
      <c r="BY692" s="33"/>
    </row>
    <row r="693" spans="2:77" s="33" customFormat="1" outlineLevel="1">
      <c r="B693"/>
      <c r="C693"/>
      <c r="D693"/>
      <c r="E693" t="s">
        <v>450</v>
      </c>
      <c r="F693" s="23" t="s">
        <v>466</v>
      </c>
      <c r="G693"/>
      <c r="H693" s="33">
        <f t="shared" ref="H693:AM693" ca="1" si="1421">+H617</f>
        <v>0</v>
      </c>
      <c r="I693" s="33">
        <f t="shared" ca="1" si="1421"/>
        <v>0</v>
      </c>
      <c r="J693" s="33">
        <f t="shared" ca="1" si="1421"/>
        <v>0</v>
      </c>
      <c r="K693" s="33">
        <f t="shared" si="1421"/>
        <v>0</v>
      </c>
      <c r="L693" s="33">
        <f t="shared" si="1421"/>
        <v>0</v>
      </c>
      <c r="M693" s="33">
        <f t="shared" si="1421"/>
        <v>0</v>
      </c>
      <c r="N693" s="33">
        <f t="shared" si="1421"/>
        <v>0</v>
      </c>
      <c r="O693" s="33">
        <f t="shared" si="1421"/>
        <v>0</v>
      </c>
      <c r="P693" s="33">
        <f t="shared" si="1421"/>
        <v>0</v>
      </c>
      <c r="Q693" s="33">
        <f t="shared" si="1421"/>
        <v>0</v>
      </c>
      <c r="R693" s="33">
        <f t="shared" si="1421"/>
        <v>0</v>
      </c>
      <c r="S693" s="33">
        <f t="shared" si="1421"/>
        <v>0</v>
      </c>
      <c r="T693" s="33">
        <f t="shared" si="1421"/>
        <v>0</v>
      </c>
      <c r="U693" s="33">
        <f t="shared" si="1421"/>
        <v>0</v>
      </c>
      <c r="V693" s="33">
        <f t="shared" si="1421"/>
        <v>0</v>
      </c>
      <c r="W693" s="33">
        <f t="shared" si="1421"/>
        <v>0</v>
      </c>
      <c r="X693" s="33">
        <f t="shared" si="1421"/>
        <v>0</v>
      </c>
      <c r="Y693" s="33">
        <f t="shared" si="1421"/>
        <v>0</v>
      </c>
      <c r="Z693" s="33">
        <f t="shared" ca="1" si="1421"/>
        <v>0</v>
      </c>
      <c r="AA693" s="33">
        <f t="shared" ca="1" si="1421"/>
        <v>0</v>
      </c>
      <c r="AB693" s="33">
        <f t="shared" ca="1" si="1421"/>
        <v>0</v>
      </c>
      <c r="AC693" s="33">
        <f t="shared" ca="1" si="1421"/>
        <v>0</v>
      </c>
      <c r="AD693" s="33">
        <f t="shared" ca="1" si="1421"/>
        <v>0</v>
      </c>
      <c r="AE693" s="33">
        <f t="shared" ca="1" si="1421"/>
        <v>0</v>
      </c>
      <c r="AF693" s="33">
        <f t="shared" ca="1" si="1421"/>
        <v>0</v>
      </c>
      <c r="AG693" s="33">
        <f t="shared" ca="1" si="1421"/>
        <v>0</v>
      </c>
      <c r="AH693" s="33">
        <f t="shared" ca="1" si="1421"/>
        <v>0</v>
      </c>
      <c r="AI693" s="33">
        <f t="shared" ca="1" si="1421"/>
        <v>0</v>
      </c>
      <c r="AJ693" s="33">
        <f t="shared" ca="1" si="1421"/>
        <v>0</v>
      </c>
      <c r="AK693" s="33">
        <f t="shared" ca="1" si="1421"/>
        <v>0</v>
      </c>
      <c r="AL693" s="33">
        <f t="shared" ca="1" si="1421"/>
        <v>0</v>
      </c>
      <c r="AM693" s="33">
        <f t="shared" ca="1" si="1421"/>
        <v>0</v>
      </c>
      <c r="AN693" s="33">
        <f t="shared" ref="AN693:BS693" ca="1" si="1422">+AN617</f>
        <v>0</v>
      </c>
      <c r="AO693" s="33">
        <f t="shared" ca="1" si="1422"/>
        <v>0</v>
      </c>
      <c r="AP693" s="33">
        <f t="shared" ca="1" si="1422"/>
        <v>0</v>
      </c>
      <c r="AQ693" s="33">
        <f t="shared" ca="1" si="1422"/>
        <v>0</v>
      </c>
      <c r="AR693" s="33">
        <f t="shared" ca="1" si="1422"/>
        <v>0</v>
      </c>
      <c r="AS693" s="33">
        <f t="shared" ca="1" si="1422"/>
        <v>0</v>
      </c>
      <c r="AT693" s="33">
        <f t="shared" ca="1" si="1422"/>
        <v>0</v>
      </c>
      <c r="AU693" s="33">
        <f t="shared" ca="1" si="1422"/>
        <v>0</v>
      </c>
      <c r="AV693" s="33">
        <f t="shared" ca="1" si="1422"/>
        <v>0</v>
      </c>
      <c r="AW693" s="33">
        <f t="shared" ca="1" si="1422"/>
        <v>0</v>
      </c>
      <c r="AX693" s="33">
        <f t="shared" ca="1" si="1422"/>
        <v>0</v>
      </c>
      <c r="AY693" s="33">
        <f t="shared" ca="1" si="1422"/>
        <v>0</v>
      </c>
      <c r="AZ693" s="33">
        <f t="shared" ca="1" si="1422"/>
        <v>0</v>
      </c>
      <c r="BA693" s="33">
        <f t="shared" ca="1" si="1422"/>
        <v>0</v>
      </c>
      <c r="BB693" s="33">
        <f t="shared" ca="1" si="1422"/>
        <v>0</v>
      </c>
      <c r="BC693" s="33">
        <f t="shared" ca="1" si="1422"/>
        <v>0</v>
      </c>
      <c r="BD693" s="33">
        <f t="shared" ca="1" si="1422"/>
        <v>0</v>
      </c>
      <c r="BE693" s="33">
        <f t="shared" ca="1" si="1422"/>
        <v>0</v>
      </c>
      <c r="BF693" s="33">
        <f t="shared" ca="1" si="1422"/>
        <v>0</v>
      </c>
      <c r="BG693" s="33">
        <f t="shared" ca="1" si="1422"/>
        <v>0</v>
      </c>
      <c r="BH693" s="33">
        <f t="shared" ca="1" si="1422"/>
        <v>0</v>
      </c>
      <c r="BI693" s="33">
        <f t="shared" ca="1" si="1422"/>
        <v>0</v>
      </c>
      <c r="BJ693" s="33">
        <f t="shared" ca="1" si="1422"/>
        <v>0</v>
      </c>
      <c r="BK693" s="33">
        <f t="shared" ca="1" si="1422"/>
        <v>0</v>
      </c>
      <c r="BL693" s="33">
        <f t="shared" ca="1" si="1422"/>
        <v>0</v>
      </c>
      <c r="BM693" s="33">
        <f t="shared" ca="1" si="1422"/>
        <v>0</v>
      </c>
      <c r="BN693" s="33">
        <f t="shared" ca="1" si="1422"/>
        <v>0</v>
      </c>
      <c r="BO693" s="33">
        <f t="shared" ca="1" si="1422"/>
        <v>0</v>
      </c>
      <c r="BP693" s="33">
        <f t="shared" ca="1" si="1422"/>
        <v>0</v>
      </c>
      <c r="BQ693" s="33">
        <f t="shared" ca="1" si="1422"/>
        <v>0</v>
      </c>
      <c r="BR693" s="33">
        <f t="shared" ca="1" si="1422"/>
        <v>0</v>
      </c>
      <c r="BS693" s="33">
        <f t="shared" ca="1" si="1422"/>
        <v>0</v>
      </c>
      <c r="BT693" s="33">
        <f t="shared" ref="BT693:BY693" ca="1" si="1423">+BT617</f>
        <v>0</v>
      </c>
      <c r="BU693" s="33">
        <f t="shared" ca="1" si="1423"/>
        <v>0</v>
      </c>
      <c r="BV693" s="33">
        <f t="shared" ca="1" si="1423"/>
        <v>0</v>
      </c>
      <c r="BW693" s="33">
        <f t="shared" ca="1" si="1423"/>
        <v>0</v>
      </c>
      <c r="BX693" s="33">
        <f t="shared" ca="1" si="1423"/>
        <v>0</v>
      </c>
      <c r="BY693" s="33">
        <f t="shared" ca="1" si="1423"/>
        <v>0</v>
      </c>
    </row>
    <row r="694" spans="2:77" s="37" customFormat="1" ht="15" outlineLevel="1">
      <c r="B694"/>
      <c r="C694"/>
      <c r="D694"/>
      <c r="E694" t="s">
        <v>467</v>
      </c>
      <c r="F694" s="23" t="s">
        <v>466</v>
      </c>
      <c r="G694"/>
      <c r="H694" s="33">
        <f>+IFERROR($C$73/Assumptions!$H$57*H604,0)</f>
        <v>0</v>
      </c>
      <c r="I694" s="33">
        <f>+IFERROR($C$73/Assumptions!$H$57*I604,0)</f>
        <v>0</v>
      </c>
      <c r="J694" s="33">
        <f>+IFERROR($C$73/Assumptions!$H$57*J604,0)</f>
        <v>0</v>
      </c>
      <c r="K694" s="33">
        <f>+IFERROR($C$73/Assumptions!$H$57*K604,0)</f>
        <v>0</v>
      </c>
      <c r="L694" s="33">
        <f>+IFERROR($C$73/Assumptions!$H$57*L604,0)</f>
        <v>0</v>
      </c>
      <c r="M694" s="33">
        <f>+IFERROR($C$73/Assumptions!$H$57*M604,0)</f>
        <v>0</v>
      </c>
      <c r="N694" s="33">
        <f>+IFERROR($C$73/Assumptions!$H$57*N604,0)</f>
        <v>0</v>
      </c>
      <c r="O694" s="33">
        <f>+IFERROR($C$73/Assumptions!$H$57*O604,0)</f>
        <v>0</v>
      </c>
      <c r="P694" s="33">
        <f>+IFERROR($C$73/Assumptions!$H$57*P604,0)</f>
        <v>0</v>
      </c>
      <c r="Q694" s="33">
        <f>+IFERROR($C$73/Assumptions!$H$57*Q604,0)</f>
        <v>0</v>
      </c>
      <c r="R694" s="33">
        <f>+IFERROR($C$73/Assumptions!$H$57*R604,0)</f>
        <v>0</v>
      </c>
      <c r="S694" s="33">
        <f>+IFERROR($C$73/Assumptions!$H$57*S604,0)</f>
        <v>0</v>
      </c>
      <c r="T694" s="33">
        <f>+IFERROR($C$73/Assumptions!$H$57*T604,0)</f>
        <v>0</v>
      </c>
      <c r="U694" s="33">
        <f>+IFERROR($C$73/Assumptions!$H$57*U604,0)</f>
        <v>0</v>
      </c>
      <c r="V694" s="33">
        <f>+IFERROR($C$73/Assumptions!$H$57*V604,0)</f>
        <v>0</v>
      </c>
      <c r="W694" s="33">
        <f>+IFERROR($C$73/Assumptions!$H$57*W604,0)</f>
        <v>0</v>
      </c>
      <c r="X694" s="33">
        <f>+IFERROR($C$73/Assumptions!$H$57*X604,0)</f>
        <v>0</v>
      </c>
      <c r="Y694" s="33">
        <f>+IFERROR($C$73/Assumptions!$H$57*Y604,0)</f>
        <v>0</v>
      </c>
      <c r="Z694" s="33">
        <f>+IFERROR($C$73/Assumptions!$H$57*Z604,0)</f>
        <v>0</v>
      </c>
      <c r="AA694" s="33">
        <f>+IFERROR($C$73/Assumptions!$H$57*AA604,0)</f>
        <v>0</v>
      </c>
      <c r="AB694" s="33">
        <f>+IFERROR($C$73/Assumptions!$H$57*AB604,0)</f>
        <v>0</v>
      </c>
      <c r="AC694" s="33">
        <f>+IFERROR($C$73/Assumptions!$H$57*AC604,0)</f>
        <v>0</v>
      </c>
      <c r="AD694" s="33">
        <f>+IFERROR($C$73/Assumptions!$H$57*AD604,0)</f>
        <v>0</v>
      </c>
      <c r="AE694" s="33">
        <f>+IFERROR($C$73/Assumptions!$H$57*AE604,0)</f>
        <v>0</v>
      </c>
      <c r="AF694" s="33">
        <f>+IFERROR($C$73/Assumptions!$H$57*AF604,0)</f>
        <v>0</v>
      </c>
      <c r="AG694" s="33">
        <f>+IFERROR($C$73/Assumptions!$H$57*AG604,0)</f>
        <v>0</v>
      </c>
      <c r="AH694" s="33">
        <f>+IFERROR($C$73/Assumptions!$H$57*AH604,0)</f>
        <v>0</v>
      </c>
      <c r="AI694" s="33">
        <f>+IFERROR($C$73/Assumptions!$H$57*AI604,0)</f>
        <v>0</v>
      </c>
      <c r="AJ694" s="33">
        <f>+IFERROR($C$73/Assumptions!$H$57*AJ604,0)</f>
        <v>0</v>
      </c>
      <c r="AK694" s="33">
        <f>+IFERROR($C$73/Assumptions!$H$57*AK604,0)</f>
        <v>0</v>
      </c>
      <c r="AL694" s="33">
        <f>+IFERROR($C$73/Assumptions!$H$57*AL604,0)</f>
        <v>0</v>
      </c>
      <c r="AM694" s="33">
        <f>+IFERROR($C$73/Assumptions!$H$57*AM604,0)</f>
        <v>0</v>
      </c>
      <c r="AN694" s="33">
        <f>+IFERROR($C$73/Assumptions!$H$57*AN604,0)</f>
        <v>0</v>
      </c>
      <c r="AO694" s="33">
        <f>+IFERROR($C$73/Assumptions!$H$57*AO604,0)</f>
        <v>0</v>
      </c>
      <c r="AP694" s="33">
        <f>+IFERROR($C$73/Assumptions!$H$57*AP604,0)</f>
        <v>0</v>
      </c>
      <c r="AQ694" s="33">
        <f>+IFERROR($C$73/Assumptions!$H$57*AQ604,0)</f>
        <v>0</v>
      </c>
      <c r="AR694" s="33">
        <f>+IFERROR($C$73/Assumptions!$H$57*AR604,0)</f>
        <v>0</v>
      </c>
      <c r="AS694" s="33">
        <f>+IFERROR($C$73/Assumptions!$H$57*AS604,0)</f>
        <v>0</v>
      </c>
      <c r="AT694" s="33">
        <f>+IFERROR($C$73/Assumptions!$H$57*AT604,0)</f>
        <v>0</v>
      </c>
      <c r="AU694" s="33">
        <f>+IFERROR($C$73/Assumptions!$H$57*AU604,0)</f>
        <v>0</v>
      </c>
      <c r="AV694" s="33">
        <f>+IFERROR($C$73/Assumptions!$H$57*AV604,0)</f>
        <v>0</v>
      </c>
      <c r="AW694" s="33">
        <f>+IFERROR($C$73/Assumptions!$H$57*AW604,0)</f>
        <v>0</v>
      </c>
      <c r="AX694" s="33">
        <f>+IFERROR($C$73/Assumptions!$H$57*AX604,0)</f>
        <v>0</v>
      </c>
      <c r="AY694" s="33">
        <f>+IFERROR($C$73/Assumptions!$H$57*AY604,0)</f>
        <v>0</v>
      </c>
      <c r="AZ694" s="33">
        <f>+IFERROR($C$73/Assumptions!$H$57*AZ604,0)</f>
        <v>0</v>
      </c>
      <c r="BA694" s="33">
        <f>+IFERROR($C$73/Assumptions!$H$57*BA604,0)</f>
        <v>0</v>
      </c>
      <c r="BB694" s="33">
        <f>+IFERROR($C$73/Assumptions!$H$57*BB604,0)</f>
        <v>0</v>
      </c>
      <c r="BC694" s="33">
        <f>+IFERROR($C$73/Assumptions!$H$57*BC604,0)</f>
        <v>0</v>
      </c>
      <c r="BD694" s="33">
        <f>+IFERROR($C$73/Assumptions!$H$57*BD604,0)</f>
        <v>0</v>
      </c>
      <c r="BE694" s="33">
        <f>+IFERROR($C$73/Assumptions!$H$57*BE604,0)</f>
        <v>0</v>
      </c>
      <c r="BF694" s="33">
        <f>+IFERROR($C$73/Assumptions!$H$57*BF604,0)</f>
        <v>0</v>
      </c>
      <c r="BG694" s="33">
        <f>+IFERROR($C$73/Assumptions!$H$57*BG604,0)</f>
        <v>0</v>
      </c>
      <c r="BH694" s="33">
        <f>+IFERROR($C$73/Assumptions!$H$57*BH604,0)</f>
        <v>0</v>
      </c>
      <c r="BI694" s="33">
        <f>+IFERROR($C$73/Assumptions!$H$57*BI604,0)</f>
        <v>0</v>
      </c>
      <c r="BJ694" s="33">
        <f>+IFERROR($C$73/Assumptions!$H$57*BJ604,0)</f>
        <v>0</v>
      </c>
      <c r="BK694" s="33">
        <f>+IFERROR($C$73/Assumptions!$H$57*BK604,0)</f>
        <v>0</v>
      </c>
      <c r="BL694" s="33">
        <f>+IFERROR($C$73/Assumptions!$H$57*BL604,0)</f>
        <v>0</v>
      </c>
      <c r="BM694" s="33">
        <f>+IFERROR($C$73/Assumptions!$H$57*BM604,0)</f>
        <v>0</v>
      </c>
      <c r="BN694" s="33">
        <f>+IFERROR($C$73/Assumptions!$H$57*BN604,0)</f>
        <v>0</v>
      </c>
      <c r="BO694" s="33">
        <f>+IFERROR($C$73/Assumptions!$H$57*BO604,0)</f>
        <v>0</v>
      </c>
      <c r="BP694" s="33">
        <f>+IFERROR($C$73/Assumptions!$H$57*BP604,0)</f>
        <v>0</v>
      </c>
      <c r="BQ694" s="33">
        <f>+IFERROR($C$73/Assumptions!$H$57*BQ604,0)</f>
        <v>0</v>
      </c>
      <c r="BR694" s="33">
        <f>+IFERROR($C$73/Assumptions!$H$57*BR604,0)</f>
        <v>0</v>
      </c>
      <c r="BS694" s="33">
        <f>+IFERROR($C$73/Assumptions!$H$57*BS604,0)</f>
        <v>0</v>
      </c>
      <c r="BT694" s="33">
        <f>+IFERROR($C$73/Assumptions!$H$57*BT604,0)</f>
        <v>0</v>
      </c>
      <c r="BU694" s="33">
        <f>+IFERROR($C$73/Assumptions!$H$57*BU604,0)</f>
        <v>0</v>
      </c>
      <c r="BV694" s="33">
        <f>+IFERROR($C$73/Assumptions!$H$57*BV604,0)</f>
        <v>0</v>
      </c>
      <c r="BW694" s="33">
        <f>+IFERROR($C$73/Assumptions!$H$57*BW604,0)</f>
        <v>0</v>
      </c>
      <c r="BX694" s="33">
        <f>+IFERROR($C$73/Assumptions!$H$57*BX604,0)</f>
        <v>0</v>
      </c>
      <c r="BY694" s="33">
        <f>+IFERROR($C$73/Assumptions!$H$57*BY604,0)</f>
        <v>0</v>
      </c>
    </row>
    <row r="695" spans="2:77" s="33" customFormat="1" ht="15" outlineLevel="1">
      <c r="B695" s="22"/>
      <c r="C695" s="22"/>
      <c r="D695"/>
      <c r="E695" t="s">
        <v>468</v>
      </c>
      <c r="F695" s="23" t="s">
        <v>466</v>
      </c>
      <c r="G695"/>
      <c r="H695" s="33">
        <f t="shared" ref="H695:BS695" ca="1" si="1424">+H643+H675</f>
        <v>0</v>
      </c>
      <c r="I695" s="33">
        <f t="shared" ca="1" si="1424"/>
        <v>0</v>
      </c>
      <c r="J695" s="33">
        <f t="shared" ca="1" si="1424"/>
        <v>0</v>
      </c>
      <c r="K695" s="33">
        <f t="shared" ca="1" si="1424"/>
        <v>0</v>
      </c>
      <c r="L695" s="33">
        <f t="shared" ca="1" si="1424"/>
        <v>0</v>
      </c>
      <c r="M695" s="33">
        <f t="shared" ca="1" si="1424"/>
        <v>0</v>
      </c>
      <c r="N695" s="33">
        <f t="shared" ca="1" si="1424"/>
        <v>0</v>
      </c>
      <c r="O695" s="33">
        <f t="shared" ca="1" si="1424"/>
        <v>0</v>
      </c>
      <c r="P695" s="33">
        <f t="shared" ca="1" si="1424"/>
        <v>0</v>
      </c>
      <c r="Q695" s="33">
        <f t="shared" ca="1" si="1424"/>
        <v>0</v>
      </c>
      <c r="R695" s="33">
        <f t="shared" ca="1" si="1424"/>
        <v>0</v>
      </c>
      <c r="S695" s="33">
        <f t="shared" ca="1" si="1424"/>
        <v>0</v>
      </c>
      <c r="T695" s="33">
        <f t="shared" ca="1" si="1424"/>
        <v>0</v>
      </c>
      <c r="U695" s="33">
        <f t="shared" ca="1" si="1424"/>
        <v>0</v>
      </c>
      <c r="V695" s="33">
        <f t="shared" ca="1" si="1424"/>
        <v>0</v>
      </c>
      <c r="W695" s="33">
        <f t="shared" ca="1" si="1424"/>
        <v>0</v>
      </c>
      <c r="X695" s="33">
        <f t="shared" ca="1" si="1424"/>
        <v>0</v>
      </c>
      <c r="Y695" s="33">
        <f t="shared" ca="1" si="1424"/>
        <v>0</v>
      </c>
      <c r="Z695" s="33">
        <f t="shared" ca="1" si="1424"/>
        <v>0</v>
      </c>
      <c r="AA695" s="33">
        <f t="shared" ca="1" si="1424"/>
        <v>0</v>
      </c>
      <c r="AB695" s="33">
        <f t="shared" ca="1" si="1424"/>
        <v>0</v>
      </c>
      <c r="AC695" s="33">
        <f t="shared" ca="1" si="1424"/>
        <v>0</v>
      </c>
      <c r="AD695" s="33">
        <f t="shared" ca="1" si="1424"/>
        <v>0</v>
      </c>
      <c r="AE695" s="33">
        <f t="shared" ca="1" si="1424"/>
        <v>0</v>
      </c>
      <c r="AF695" s="33">
        <f t="shared" ca="1" si="1424"/>
        <v>0</v>
      </c>
      <c r="AG695" s="33">
        <f t="shared" ca="1" si="1424"/>
        <v>0</v>
      </c>
      <c r="AH695" s="33">
        <f t="shared" ca="1" si="1424"/>
        <v>0</v>
      </c>
      <c r="AI695" s="33">
        <f t="shared" ca="1" si="1424"/>
        <v>0</v>
      </c>
      <c r="AJ695" s="33">
        <f t="shared" ca="1" si="1424"/>
        <v>0</v>
      </c>
      <c r="AK695" s="33">
        <f t="shared" ca="1" si="1424"/>
        <v>0</v>
      </c>
      <c r="AL695" s="33">
        <f t="shared" ca="1" si="1424"/>
        <v>0</v>
      </c>
      <c r="AM695" s="33">
        <f t="shared" ca="1" si="1424"/>
        <v>0</v>
      </c>
      <c r="AN695" s="33">
        <f t="shared" ca="1" si="1424"/>
        <v>0</v>
      </c>
      <c r="AO695" s="33">
        <f t="shared" ca="1" si="1424"/>
        <v>0</v>
      </c>
      <c r="AP695" s="33">
        <f t="shared" ca="1" si="1424"/>
        <v>0</v>
      </c>
      <c r="AQ695" s="33">
        <f t="shared" ca="1" si="1424"/>
        <v>0</v>
      </c>
      <c r="AR695" s="33">
        <f t="shared" ca="1" si="1424"/>
        <v>0</v>
      </c>
      <c r="AS695" s="33">
        <f t="shared" ca="1" si="1424"/>
        <v>0</v>
      </c>
      <c r="AT695" s="33">
        <f t="shared" ca="1" si="1424"/>
        <v>0</v>
      </c>
      <c r="AU695" s="33">
        <f t="shared" ca="1" si="1424"/>
        <v>0</v>
      </c>
      <c r="AV695" s="33">
        <f t="shared" ca="1" si="1424"/>
        <v>0</v>
      </c>
      <c r="AW695" s="33">
        <f t="shared" ca="1" si="1424"/>
        <v>0</v>
      </c>
      <c r="AX695" s="33">
        <f t="shared" ca="1" si="1424"/>
        <v>0</v>
      </c>
      <c r="AY695" s="33">
        <f t="shared" ca="1" si="1424"/>
        <v>0</v>
      </c>
      <c r="AZ695" s="33">
        <f t="shared" ca="1" si="1424"/>
        <v>0</v>
      </c>
      <c r="BA695" s="33">
        <f t="shared" ca="1" si="1424"/>
        <v>0</v>
      </c>
      <c r="BB695" s="33">
        <f t="shared" ca="1" si="1424"/>
        <v>0</v>
      </c>
      <c r="BC695" s="33">
        <f t="shared" ca="1" si="1424"/>
        <v>0</v>
      </c>
      <c r="BD695" s="33">
        <f t="shared" ca="1" si="1424"/>
        <v>0</v>
      </c>
      <c r="BE695" s="33">
        <f t="shared" ca="1" si="1424"/>
        <v>0</v>
      </c>
      <c r="BF695" s="33">
        <f t="shared" ca="1" si="1424"/>
        <v>0</v>
      </c>
      <c r="BG695" s="33">
        <f t="shared" ca="1" si="1424"/>
        <v>0</v>
      </c>
      <c r="BH695" s="33">
        <f t="shared" ca="1" si="1424"/>
        <v>0</v>
      </c>
      <c r="BI695" s="33">
        <f t="shared" ca="1" si="1424"/>
        <v>0</v>
      </c>
      <c r="BJ695" s="33">
        <f t="shared" ca="1" si="1424"/>
        <v>0</v>
      </c>
      <c r="BK695" s="33">
        <f t="shared" ca="1" si="1424"/>
        <v>0</v>
      </c>
      <c r="BL695" s="33">
        <f t="shared" ca="1" si="1424"/>
        <v>0</v>
      </c>
      <c r="BM695" s="33">
        <f t="shared" ca="1" si="1424"/>
        <v>0</v>
      </c>
      <c r="BN695" s="33">
        <f t="shared" ca="1" si="1424"/>
        <v>0</v>
      </c>
      <c r="BO695" s="33">
        <f t="shared" ca="1" si="1424"/>
        <v>0</v>
      </c>
      <c r="BP695" s="33">
        <f t="shared" ca="1" si="1424"/>
        <v>0</v>
      </c>
      <c r="BQ695" s="33">
        <f t="shared" ca="1" si="1424"/>
        <v>0</v>
      </c>
      <c r="BR695" s="33">
        <f t="shared" ca="1" si="1424"/>
        <v>0</v>
      </c>
      <c r="BS695" s="33">
        <f t="shared" ca="1" si="1424"/>
        <v>0</v>
      </c>
      <c r="BT695" s="33">
        <f t="shared" ref="BT695:BY695" ca="1" si="1425">+BT643+BT675</f>
        <v>0</v>
      </c>
      <c r="BU695" s="33">
        <f t="shared" ca="1" si="1425"/>
        <v>0</v>
      </c>
      <c r="BV695" s="33">
        <f t="shared" ca="1" si="1425"/>
        <v>0</v>
      </c>
      <c r="BW695" s="33">
        <f t="shared" ca="1" si="1425"/>
        <v>0</v>
      </c>
      <c r="BX695" s="33">
        <f t="shared" ca="1" si="1425"/>
        <v>0</v>
      </c>
      <c r="BY695" s="33">
        <f t="shared" ca="1" si="1425"/>
        <v>0</v>
      </c>
    </row>
    <row r="696" spans="2:77" s="37" customFormat="1" ht="15" outlineLevel="1">
      <c r="B696"/>
      <c r="C696"/>
      <c r="D696"/>
      <c r="E696" s="22" t="s">
        <v>469</v>
      </c>
      <c r="F696" s="36" t="s">
        <v>470</v>
      </c>
      <c r="G696" s="22"/>
      <c r="H696" s="37">
        <f ca="1">+SUM(H693:H695)</f>
        <v>0</v>
      </c>
      <c r="I696" s="37">
        <f t="shared" ref="I696:BT696" ca="1" si="1426">+SUM(I693:I695)</f>
        <v>0</v>
      </c>
      <c r="J696" s="37">
        <f t="shared" ca="1" si="1426"/>
        <v>0</v>
      </c>
      <c r="K696" s="37">
        <f t="shared" ca="1" si="1426"/>
        <v>0</v>
      </c>
      <c r="L696" s="37">
        <f t="shared" ca="1" si="1426"/>
        <v>0</v>
      </c>
      <c r="M696" s="37">
        <f t="shared" ca="1" si="1426"/>
        <v>0</v>
      </c>
      <c r="N696" s="37">
        <f t="shared" ca="1" si="1426"/>
        <v>0</v>
      </c>
      <c r="O696" s="37">
        <f t="shared" ca="1" si="1426"/>
        <v>0</v>
      </c>
      <c r="P696" s="37">
        <f t="shared" ca="1" si="1426"/>
        <v>0</v>
      </c>
      <c r="Q696" s="37">
        <f t="shared" ca="1" si="1426"/>
        <v>0</v>
      </c>
      <c r="R696" s="37">
        <f t="shared" ca="1" si="1426"/>
        <v>0</v>
      </c>
      <c r="S696" s="37">
        <f t="shared" ca="1" si="1426"/>
        <v>0</v>
      </c>
      <c r="T696" s="37">
        <f t="shared" ca="1" si="1426"/>
        <v>0</v>
      </c>
      <c r="U696" s="37">
        <f t="shared" ca="1" si="1426"/>
        <v>0</v>
      </c>
      <c r="V696" s="37">
        <f t="shared" ca="1" si="1426"/>
        <v>0</v>
      </c>
      <c r="W696" s="37">
        <f t="shared" ca="1" si="1426"/>
        <v>0</v>
      </c>
      <c r="X696" s="37">
        <f t="shared" ca="1" si="1426"/>
        <v>0</v>
      </c>
      <c r="Y696" s="37">
        <f t="shared" ca="1" si="1426"/>
        <v>0</v>
      </c>
      <c r="Z696" s="37">
        <f t="shared" ca="1" si="1426"/>
        <v>0</v>
      </c>
      <c r="AA696" s="37">
        <f t="shared" ca="1" si="1426"/>
        <v>0</v>
      </c>
      <c r="AB696" s="37">
        <f t="shared" ca="1" si="1426"/>
        <v>0</v>
      </c>
      <c r="AC696" s="37">
        <f t="shared" ca="1" si="1426"/>
        <v>0</v>
      </c>
      <c r="AD696" s="37">
        <f t="shared" ca="1" si="1426"/>
        <v>0</v>
      </c>
      <c r="AE696" s="37">
        <f t="shared" ca="1" si="1426"/>
        <v>0</v>
      </c>
      <c r="AF696" s="37">
        <f t="shared" ca="1" si="1426"/>
        <v>0</v>
      </c>
      <c r="AG696" s="37">
        <f t="shared" ca="1" si="1426"/>
        <v>0</v>
      </c>
      <c r="AH696" s="37">
        <f t="shared" ca="1" si="1426"/>
        <v>0</v>
      </c>
      <c r="AI696" s="37">
        <f t="shared" ca="1" si="1426"/>
        <v>0</v>
      </c>
      <c r="AJ696" s="37">
        <f t="shared" ca="1" si="1426"/>
        <v>0</v>
      </c>
      <c r="AK696" s="37">
        <f t="shared" ca="1" si="1426"/>
        <v>0</v>
      </c>
      <c r="AL696" s="37">
        <f t="shared" ca="1" si="1426"/>
        <v>0</v>
      </c>
      <c r="AM696" s="37">
        <f t="shared" ca="1" si="1426"/>
        <v>0</v>
      </c>
      <c r="AN696" s="37">
        <f t="shared" ca="1" si="1426"/>
        <v>0</v>
      </c>
      <c r="AO696" s="37">
        <f t="shared" ca="1" si="1426"/>
        <v>0</v>
      </c>
      <c r="AP696" s="37">
        <f t="shared" ca="1" si="1426"/>
        <v>0</v>
      </c>
      <c r="AQ696" s="37">
        <f t="shared" ca="1" si="1426"/>
        <v>0</v>
      </c>
      <c r="AR696" s="37">
        <f t="shared" ca="1" si="1426"/>
        <v>0</v>
      </c>
      <c r="AS696" s="37">
        <f t="shared" ca="1" si="1426"/>
        <v>0</v>
      </c>
      <c r="AT696" s="37">
        <f t="shared" ca="1" si="1426"/>
        <v>0</v>
      </c>
      <c r="AU696" s="37">
        <f t="shared" ca="1" si="1426"/>
        <v>0</v>
      </c>
      <c r="AV696" s="37">
        <f t="shared" ca="1" si="1426"/>
        <v>0</v>
      </c>
      <c r="AW696" s="37">
        <f t="shared" ca="1" si="1426"/>
        <v>0</v>
      </c>
      <c r="AX696" s="37">
        <f t="shared" ca="1" si="1426"/>
        <v>0</v>
      </c>
      <c r="AY696" s="37">
        <f t="shared" ca="1" si="1426"/>
        <v>0</v>
      </c>
      <c r="AZ696" s="37">
        <f t="shared" ca="1" si="1426"/>
        <v>0</v>
      </c>
      <c r="BA696" s="37">
        <f t="shared" ca="1" si="1426"/>
        <v>0</v>
      </c>
      <c r="BB696" s="37">
        <f t="shared" ca="1" si="1426"/>
        <v>0</v>
      </c>
      <c r="BC696" s="37">
        <f t="shared" ca="1" si="1426"/>
        <v>0</v>
      </c>
      <c r="BD696" s="37">
        <f t="shared" ca="1" si="1426"/>
        <v>0</v>
      </c>
      <c r="BE696" s="37">
        <f t="shared" ca="1" si="1426"/>
        <v>0</v>
      </c>
      <c r="BF696" s="37">
        <f t="shared" ca="1" si="1426"/>
        <v>0</v>
      </c>
      <c r="BG696" s="37">
        <f t="shared" ca="1" si="1426"/>
        <v>0</v>
      </c>
      <c r="BH696" s="37">
        <f t="shared" ca="1" si="1426"/>
        <v>0</v>
      </c>
      <c r="BI696" s="37">
        <f t="shared" ca="1" si="1426"/>
        <v>0</v>
      </c>
      <c r="BJ696" s="37">
        <f t="shared" ca="1" si="1426"/>
        <v>0</v>
      </c>
      <c r="BK696" s="37">
        <f t="shared" ca="1" si="1426"/>
        <v>0</v>
      </c>
      <c r="BL696" s="37">
        <f t="shared" ca="1" si="1426"/>
        <v>0</v>
      </c>
      <c r="BM696" s="37">
        <f t="shared" ca="1" si="1426"/>
        <v>0</v>
      </c>
      <c r="BN696" s="37">
        <f t="shared" ca="1" si="1426"/>
        <v>0</v>
      </c>
      <c r="BO696" s="37">
        <f t="shared" ca="1" si="1426"/>
        <v>0</v>
      </c>
      <c r="BP696" s="37">
        <f t="shared" ca="1" si="1426"/>
        <v>0</v>
      </c>
      <c r="BQ696" s="37">
        <f t="shared" ca="1" si="1426"/>
        <v>0</v>
      </c>
      <c r="BR696" s="37">
        <f t="shared" ca="1" si="1426"/>
        <v>0</v>
      </c>
      <c r="BS696" s="37">
        <f t="shared" ca="1" si="1426"/>
        <v>0</v>
      </c>
      <c r="BT696" s="37">
        <f t="shared" ca="1" si="1426"/>
        <v>0</v>
      </c>
      <c r="BU696" s="37">
        <f t="shared" ref="BU696:BY696" ca="1" si="1427">+SUM(BU693:BU695)</f>
        <v>0</v>
      </c>
      <c r="BV696" s="37">
        <f t="shared" ca="1" si="1427"/>
        <v>0</v>
      </c>
      <c r="BW696" s="37">
        <f t="shared" ca="1" si="1427"/>
        <v>0</v>
      </c>
      <c r="BX696" s="37">
        <f t="shared" ca="1" si="1427"/>
        <v>0</v>
      </c>
      <c r="BY696" s="37">
        <f t="shared" ca="1" si="1427"/>
        <v>0</v>
      </c>
    </row>
    <row r="697" spans="2:77" s="33" customFormat="1" ht="15" outlineLevel="1">
      <c r="B697" s="22"/>
      <c r="C697" s="22"/>
      <c r="D697"/>
      <c r="E697" s="25" t="s">
        <v>471</v>
      </c>
      <c r="F697" s="30" t="s">
        <v>466</v>
      </c>
      <c r="G697" s="25"/>
      <c r="H697" s="34">
        <f ca="1">+H696*-Assumptions!$H$22</f>
        <v>0</v>
      </c>
      <c r="I697" s="34">
        <f ca="1">+I696*-Assumptions!$H$22</f>
        <v>0</v>
      </c>
      <c r="J697" s="34">
        <f ca="1">+J696*-Assumptions!$H$22</f>
        <v>0</v>
      </c>
      <c r="K697" s="34">
        <f ca="1">+K696*-Assumptions!$H$22</f>
        <v>0</v>
      </c>
      <c r="L697" s="34">
        <f ca="1">+L696*-Assumptions!$H$22</f>
        <v>0</v>
      </c>
      <c r="M697" s="34">
        <f ca="1">+M696*-Assumptions!$H$22</f>
        <v>0</v>
      </c>
      <c r="N697" s="34">
        <f ca="1">+N696*-Assumptions!$H$22</f>
        <v>0</v>
      </c>
      <c r="O697" s="34">
        <f ca="1">+O696*-Assumptions!$H$22</f>
        <v>0</v>
      </c>
      <c r="P697" s="34">
        <f ca="1">+P696*-Assumptions!$H$22</f>
        <v>0</v>
      </c>
      <c r="Q697" s="34">
        <f ca="1">+Q696*-Assumptions!$H$22</f>
        <v>0</v>
      </c>
      <c r="R697" s="34">
        <f ca="1">+R696*-Assumptions!$H$22</f>
        <v>0</v>
      </c>
      <c r="S697" s="34">
        <f ca="1">+S696*-Assumptions!$H$22</f>
        <v>0</v>
      </c>
      <c r="T697" s="34">
        <f ca="1">+T696*-Assumptions!$H$22</f>
        <v>0</v>
      </c>
      <c r="U697" s="34">
        <f ca="1">+U696*-Assumptions!$H$22</f>
        <v>0</v>
      </c>
      <c r="V697" s="34">
        <f ca="1">+V696*-Assumptions!$H$22</f>
        <v>0</v>
      </c>
      <c r="W697" s="34">
        <f ca="1">+W696*-Assumptions!$H$22</f>
        <v>0</v>
      </c>
      <c r="X697" s="34">
        <f ca="1">+X696*-Assumptions!$H$22</f>
        <v>0</v>
      </c>
      <c r="Y697" s="34">
        <f ca="1">+Y696*-Assumptions!$H$22</f>
        <v>0</v>
      </c>
      <c r="Z697" s="34">
        <f ca="1">+Z696*-Assumptions!$H$22</f>
        <v>0</v>
      </c>
      <c r="AA697" s="34">
        <f ca="1">+AA696*-Assumptions!$H$22</f>
        <v>0</v>
      </c>
      <c r="AB697" s="34">
        <f ca="1">+AB696*-Assumptions!$H$22</f>
        <v>0</v>
      </c>
      <c r="AC697" s="34">
        <f ca="1">+AC696*-Assumptions!$H$22</f>
        <v>0</v>
      </c>
      <c r="AD697" s="34">
        <f ca="1">+AD696*-Assumptions!$H$22</f>
        <v>0</v>
      </c>
      <c r="AE697" s="34">
        <f ca="1">+AE696*-Assumptions!$H$22</f>
        <v>0</v>
      </c>
      <c r="AF697" s="34">
        <f ca="1">+AF696*-Assumptions!$H$22</f>
        <v>0</v>
      </c>
      <c r="AG697" s="34">
        <f ca="1">+AG696*-Assumptions!$H$22</f>
        <v>0</v>
      </c>
      <c r="AH697" s="34">
        <f ca="1">+AH696*-Assumptions!$H$22</f>
        <v>0</v>
      </c>
      <c r="AI697" s="34">
        <f ca="1">+AI696*-Assumptions!$H$22</f>
        <v>0</v>
      </c>
      <c r="AJ697" s="34">
        <f ca="1">+AJ696*-Assumptions!$H$22</f>
        <v>0</v>
      </c>
      <c r="AK697" s="34">
        <f ca="1">+AK696*-Assumptions!$H$22</f>
        <v>0</v>
      </c>
      <c r="AL697" s="34">
        <f ca="1">+AL696*-Assumptions!$H$22</f>
        <v>0</v>
      </c>
      <c r="AM697" s="34">
        <f ca="1">+AM696*-Assumptions!$H$22</f>
        <v>0</v>
      </c>
      <c r="AN697" s="34">
        <f ca="1">+AN696*-Assumptions!$H$22</f>
        <v>0</v>
      </c>
      <c r="AO697" s="34">
        <f ca="1">+AO696*-Assumptions!$H$22</f>
        <v>0</v>
      </c>
      <c r="AP697" s="34">
        <f ca="1">+AP696*-Assumptions!$H$22</f>
        <v>0</v>
      </c>
      <c r="AQ697" s="34">
        <f ca="1">+AQ696*-Assumptions!$H$22</f>
        <v>0</v>
      </c>
      <c r="AR697" s="34">
        <f ca="1">+AR696*-Assumptions!$H$22</f>
        <v>0</v>
      </c>
      <c r="AS697" s="34">
        <f ca="1">+AS696*-Assumptions!$H$22</f>
        <v>0</v>
      </c>
      <c r="AT697" s="34">
        <f ca="1">+AT696*-Assumptions!$H$22</f>
        <v>0</v>
      </c>
      <c r="AU697" s="34">
        <f ca="1">+AU696*-Assumptions!$H$22</f>
        <v>0</v>
      </c>
      <c r="AV697" s="34">
        <f ca="1">+AV696*-Assumptions!$H$22</f>
        <v>0</v>
      </c>
      <c r="AW697" s="34">
        <f ca="1">+AW696*-Assumptions!$H$22</f>
        <v>0</v>
      </c>
      <c r="AX697" s="34">
        <f ca="1">+AX696*-Assumptions!$H$22</f>
        <v>0</v>
      </c>
      <c r="AY697" s="34">
        <f ca="1">+AY696*-Assumptions!$H$22</f>
        <v>0</v>
      </c>
      <c r="AZ697" s="34">
        <f ca="1">+AZ696*-Assumptions!$H$22</f>
        <v>0</v>
      </c>
      <c r="BA697" s="34">
        <f ca="1">+BA696*-Assumptions!$H$22</f>
        <v>0</v>
      </c>
      <c r="BB697" s="34">
        <f ca="1">+BB696*-Assumptions!$H$22</f>
        <v>0</v>
      </c>
      <c r="BC697" s="34">
        <f ca="1">+BC696*-Assumptions!$H$22</f>
        <v>0</v>
      </c>
      <c r="BD697" s="34">
        <f ca="1">+BD696*-Assumptions!$H$22</f>
        <v>0</v>
      </c>
      <c r="BE697" s="34">
        <f ca="1">+BE696*-Assumptions!$H$22</f>
        <v>0</v>
      </c>
      <c r="BF697" s="34">
        <f ca="1">+BF696*-Assumptions!$H$22</f>
        <v>0</v>
      </c>
      <c r="BG697" s="34">
        <f ca="1">+BG696*-Assumptions!$H$22</f>
        <v>0</v>
      </c>
      <c r="BH697" s="34">
        <f ca="1">+BH696*-Assumptions!$H$22</f>
        <v>0</v>
      </c>
      <c r="BI697" s="34">
        <f ca="1">+BI696*-Assumptions!$H$22</f>
        <v>0</v>
      </c>
      <c r="BJ697" s="34">
        <f ca="1">+BJ696*-Assumptions!$H$22</f>
        <v>0</v>
      </c>
      <c r="BK697" s="34">
        <f ca="1">+BK696*-Assumptions!$H$22</f>
        <v>0</v>
      </c>
      <c r="BL697" s="34">
        <f ca="1">+BL696*-Assumptions!$H$22</f>
        <v>0</v>
      </c>
      <c r="BM697" s="34">
        <f ca="1">+BM696*-Assumptions!$H$22</f>
        <v>0</v>
      </c>
      <c r="BN697" s="34">
        <f ca="1">+BN696*-Assumptions!$H$22</f>
        <v>0</v>
      </c>
      <c r="BO697" s="34">
        <f ca="1">+BO696*-Assumptions!$H$22</f>
        <v>0</v>
      </c>
      <c r="BP697" s="34">
        <f ca="1">+BP696*-Assumptions!$H$22</f>
        <v>0</v>
      </c>
      <c r="BQ697" s="34">
        <f ca="1">+BQ696*-Assumptions!$H$22</f>
        <v>0</v>
      </c>
      <c r="BR697" s="34">
        <f ca="1">+BR696*-Assumptions!$H$22</f>
        <v>0</v>
      </c>
      <c r="BS697" s="34">
        <f ca="1">+BS696*-Assumptions!$H$22</f>
        <v>0</v>
      </c>
      <c r="BT697" s="34">
        <f ca="1">+BT696*-Assumptions!$H$22</f>
        <v>0</v>
      </c>
      <c r="BU697" s="34">
        <f ca="1">+BU696*-Assumptions!$H$22</f>
        <v>0</v>
      </c>
      <c r="BV697" s="34">
        <f ca="1">+BV696*-Assumptions!$H$22</f>
        <v>0</v>
      </c>
      <c r="BW697" s="34">
        <f ca="1">+BW696*-Assumptions!$H$22</f>
        <v>0</v>
      </c>
      <c r="BX697" s="34">
        <f ca="1">+BX696*-Assumptions!$H$22</f>
        <v>0</v>
      </c>
      <c r="BY697" s="34">
        <f ca="1">+BY696*-Assumptions!$H$22</f>
        <v>0</v>
      </c>
    </row>
    <row r="698" spans="2:77" s="37" customFormat="1" ht="15" outlineLevel="1">
      <c r="B698"/>
      <c r="C698"/>
      <c r="D698"/>
      <c r="E698" s="22" t="s">
        <v>527</v>
      </c>
      <c r="F698" s="36" t="s">
        <v>470</v>
      </c>
      <c r="G698" s="22"/>
      <c r="H698" s="37">
        <f t="shared" ref="H698:AM698" ca="1" si="1428">+SUM(H696:H697)</f>
        <v>0</v>
      </c>
      <c r="I698" s="37">
        <f t="shared" ca="1" si="1428"/>
        <v>0</v>
      </c>
      <c r="J698" s="37">
        <f t="shared" ca="1" si="1428"/>
        <v>0</v>
      </c>
      <c r="K698" s="37">
        <f t="shared" ca="1" si="1428"/>
        <v>0</v>
      </c>
      <c r="L698" s="37">
        <f t="shared" ca="1" si="1428"/>
        <v>0</v>
      </c>
      <c r="M698" s="37">
        <f t="shared" ca="1" si="1428"/>
        <v>0</v>
      </c>
      <c r="N698" s="37">
        <f t="shared" ca="1" si="1428"/>
        <v>0</v>
      </c>
      <c r="O698" s="37">
        <f t="shared" ca="1" si="1428"/>
        <v>0</v>
      </c>
      <c r="P698" s="37">
        <f t="shared" ca="1" si="1428"/>
        <v>0</v>
      </c>
      <c r="Q698" s="37">
        <f t="shared" ca="1" si="1428"/>
        <v>0</v>
      </c>
      <c r="R698" s="37">
        <f t="shared" ca="1" si="1428"/>
        <v>0</v>
      </c>
      <c r="S698" s="37">
        <f t="shared" ca="1" si="1428"/>
        <v>0</v>
      </c>
      <c r="T698" s="37">
        <f t="shared" ca="1" si="1428"/>
        <v>0</v>
      </c>
      <c r="U698" s="37">
        <f t="shared" ca="1" si="1428"/>
        <v>0</v>
      </c>
      <c r="V698" s="37">
        <f t="shared" ca="1" si="1428"/>
        <v>0</v>
      </c>
      <c r="W698" s="37">
        <f t="shared" ca="1" si="1428"/>
        <v>0</v>
      </c>
      <c r="X698" s="37">
        <f t="shared" ca="1" si="1428"/>
        <v>0</v>
      </c>
      <c r="Y698" s="37">
        <f t="shared" ca="1" si="1428"/>
        <v>0</v>
      </c>
      <c r="Z698" s="37">
        <f t="shared" ca="1" si="1428"/>
        <v>0</v>
      </c>
      <c r="AA698" s="37">
        <f t="shared" ca="1" si="1428"/>
        <v>0</v>
      </c>
      <c r="AB698" s="37">
        <f t="shared" ca="1" si="1428"/>
        <v>0</v>
      </c>
      <c r="AC698" s="37">
        <f t="shared" ca="1" si="1428"/>
        <v>0</v>
      </c>
      <c r="AD698" s="37">
        <f t="shared" ca="1" si="1428"/>
        <v>0</v>
      </c>
      <c r="AE698" s="37">
        <f t="shared" ca="1" si="1428"/>
        <v>0</v>
      </c>
      <c r="AF698" s="37">
        <f t="shared" ca="1" si="1428"/>
        <v>0</v>
      </c>
      <c r="AG698" s="37">
        <f t="shared" ca="1" si="1428"/>
        <v>0</v>
      </c>
      <c r="AH698" s="37">
        <f t="shared" ca="1" si="1428"/>
        <v>0</v>
      </c>
      <c r="AI698" s="37">
        <f t="shared" ca="1" si="1428"/>
        <v>0</v>
      </c>
      <c r="AJ698" s="37">
        <f t="shared" ca="1" si="1428"/>
        <v>0</v>
      </c>
      <c r="AK698" s="37">
        <f t="shared" ca="1" si="1428"/>
        <v>0</v>
      </c>
      <c r="AL698" s="37">
        <f t="shared" ca="1" si="1428"/>
        <v>0</v>
      </c>
      <c r="AM698" s="37">
        <f t="shared" ca="1" si="1428"/>
        <v>0</v>
      </c>
      <c r="AN698" s="37">
        <f t="shared" ref="AN698:BS698" ca="1" si="1429">+SUM(AN696:AN697)</f>
        <v>0</v>
      </c>
      <c r="AO698" s="37">
        <f t="shared" ca="1" si="1429"/>
        <v>0</v>
      </c>
      <c r="AP698" s="37">
        <f t="shared" ca="1" si="1429"/>
        <v>0</v>
      </c>
      <c r="AQ698" s="37">
        <f t="shared" ca="1" si="1429"/>
        <v>0</v>
      </c>
      <c r="AR698" s="37">
        <f t="shared" ca="1" si="1429"/>
        <v>0</v>
      </c>
      <c r="AS698" s="37">
        <f t="shared" ca="1" si="1429"/>
        <v>0</v>
      </c>
      <c r="AT698" s="37">
        <f t="shared" ca="1" si="1429"/>
        <v>0</v>
      </c>
      <c r="AU698" s="37">
        <f t="shared" ca="1" si="1429"/>
        <v>0</v>
      </c>
      <c r="AV698" s="37">
        <f t="shared" ca="1" si="1429"/>
        <v>0</v>
      </c>
      <c r="AW698" s="37">
        <f t="shared" ca="1" si="1429"/>
        <v>0</v>
      </c>
      <c r="AX698" s="37">
        <f t="shared" ca="1" si="1429"/>
        <v>0</v>
      </c>
      <c r="AY698" s="37">
        <f t="shared" ca="1" si="1429"/>
        <v>0</v>
      </c>
      <c r="AZ698" s="37">
        <f t="shared" ca="1" si="1429"/>
        <v>0</v>
      </c>
      <c r="BA698" s="37">
        <f t="shared" ca="1" si="1429"/>
        <v>0</v>
      </c>
      <c r="BB698" s="37">
        <f t="shared" ca="1" si="1429"/>
        <v>0</v>
      </c>
      <c r="BC698" s="37">
        <f t="shared" ca="1" si="1429"/>
        <v>0</v>
      </c>
      <c r="BD698" s="37">
        <f t="shared" ca="1" si="1429"/>
        <v>0</v>
      </c>
      <c r="BE698" s="37">
        <f t="shared" ca="1" si="1429"/>
        <v>0</v>
      </c>
      <c r="BF698" s="37">
        <f t="shared" ca="1" si="1429"/>
        <v>0</v>
      </c>
      <c r="BG698" s="37">
        <f t="shared" ca="1" si="1429"/>
        <v>0</v>
      </c>
      <c r="BH698" s="37">
        <f t="shared" ca="1" si="1429"/>
        <v>0</v>
      </c>
      <c r="BI698" s="37">
        <f t="shared" ca="1" si="1429"/>
        <v>0</v>
      </c>
      <c r="BJ698" s="37">
        <f t="shared" ca="1" si="1429"/>
        <v>0</v>
      </c>
      <c r="BK698" s="37">
        <f t="shared" ca="1" si="1429"/>
        <v>0</v>
      </c>
      <c r="BL698" s="37">
        <f t="shared" ca="1" si="1429"/>
        <v>0</v>
      </c>
      <c r="BM698" s="37">
        <f t="shared" ca="1" si="1429"/>
        <v>0</v>
      </c>
      <c r="BN698" s="37">
        <f t="shared" ca="1" si="1429"/>
        <v>0</v>
      </c>
      <c r="BO698" s="37">
        <f t="shared" ca="1" si="1429"/>
        <v>0</v>
      </c>
      <c r="BP698" s="37">
        <f t="shared" ca="1" si="1429"/>
        <v>0</v>
      </c>
      <c r="BQ698" s="37">
        <f t="shared" ca="1" si="1429"/>
        <v>0</v>
      </c>
      <c r="BR698" s="37">
        <f t="shared" ca="1" si="1429"/>
        <v>0</v>
      </c>
      <c r="BS698" s="37">
        <f t="shared" ca="1" si="1429"/>
        <v>0</v>
      </c>
      <c r="BT698" s="37">
        <f t="shared" ref="BT698:BY698" ca="1" si="1430">+SUM(BT696:BT697)</f>
        <v>0</v>
      </c>
      <c r="BU698" s="37">
        <f t="shared" ca="1" si="1430"/>
        <v>0</v>
      </c>
      <c r="BV698" s="37">
        <f t="shared" ca="1" si="1430"/>
        <v>0</v>
      </c>
      <c r="BW698" s="37">
        <f t="shared" ca="1" si="1430"/>
        <v>0</v>
      </c>
      <c r="BX698" s="37">
        <f t="shared" ca="1" si="1430"/>
        <v>0</v>
      </c>
      <c r="BY698" s="37">
        <f t="shared" ca="1" si="1430"/>
        <v>0</v>
      </c>
    </row>
    <row r="699" spans="2:77" s="33" customFormat="1" ht="15" outlineLevel="1">
      <c r="B699" s="22"/>
      <c r="C699" s="22"/>
      <c r="D699"/>
    </row>
    <row r="700" spans="2:77" s="37" customFormat="1" ht="15" outlineLevel="1">
      <c r="B700" s="22"/>
      <c r="C700" s="22"/>
      <c r="D700" s="22"/>
    </row>
    <row r="701" spans="2:77" s="22" customFormat="1" ht="15" outlineLevel="1">
      <c r="F701" s="36"/>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37"/>
      <c r="BV701" s="37"/>
      <c r="BW701" s="37"/>
      <c r="BX701" s="37"/>
      <c r="BY701" s="37"/>
    </row>
    <row r="702" spans="2:77" s="19" customFormat="1" ht="12.75" outlineLevel="1">
      <c r="B702" s="18" t="s">
        <v>528</v>
      </c>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c r="BO702" s="35"/>
      <c r="BP702" s="35"/>
      <c r="BQ702" s="35"/>
      <c r="BR702" s="35"/>
      <c r="BS702" s="35"/>
      <c r="BT702" s="35"/>
      <c r="BU702" s="35"/>
      <c r="BV702" s="35"/>
      <c r="BW702" s="35"/>
      <c r="BX702" s="35"/>
      <c r="BY702" s="35"/>
    </row>
    <row r="703" spans="2:77" outlineLevel="1">
      <c r="BF703" s="33"/>
      <c r="BG703" s="33"/>
      <c r="BH703" s="33"/>
      <c r="BI703" s="33"/>
      <c r="BJ703" s="33"/>
      <c r="BK703" s="33"/>
      <c r="BL703" s="33"/>
      <c r="BM703" s="33"/>
      <c r="BN703" s="33"/>
      <c r="BO703" s="33"/>
      <c r="BP703" s="33"/>
      <c r="BQ703" s="33"/>
      <c r="BR703" s="33"/>
      <c r="BS703" s="33"/>
      <c r="BT703" s="33"/>
      <c r="BU703" s="33"/>
      <c r="BV703" s="33"/>
      <c r="BW703" s="33"/>
      <c r="BX703" s="33"/>
      <c r="BY703" s="33"/>
    </row>
    <row r="704" spans="2:77" s="22" customFormat="1" ht="15" outlineLevel="1">
      <c r="E704" t="s">
        <v>474</v>
      </c>
      <c r="F704" s="23" t="s">
        <v>475</v>
      </c>
      <c r="G704"/>
      <c r="H704" s="33">
        <f ca="1">+H694+H693</f>
        <v>0</v>
      </c>
      <c r="I704" s="33">
        <f t="shared" ref="I704:BT704" ca="1" si="1431">+I694+I693</f>
        <v>0</v>
      </c>
      <c r="J704" s="33">
        <f t="shared" ca="1" si="1431"/>
        <v>0</v>
      </c>
      <c r="K704" s="33">
        <f t="shared" si="1431"/>
        <v>0</v>
      </c>
      <c r="L704" s="33">
        <f t="shared" si="1431"/>
        <v>0</v>
      </c>
      <c r="M704" s="33">
        <f t="shared" si="1431"/>
        <v>0</v>
      </c>
      <c r="N704" s="33">
        <f t="shared" si="1431"/>
        <v>0</v>
      </c>
      <c r="O704" s="33">
        <f t="shared" si="1431"/>
        <v>0</v>
      </c>
      <c r="P704" s="33">
        <f t="shared" si="1431"/>
        <v>0</v>
      </c>
      <c r="Q704" s="33">
        <f t="shared" si="1431"/>
        <v>0</v>
      </c>
      <c r="R704" s="33">
        <f t="shared" si="1431"/>
        <v>0</v>
      </c>
      <c r="S704" s="33">
        <f t="shared" si="1431"/>
        <v>0</v>
      </c>
      <c r="T704" s="33">
        <f t="shared" si="1431"/>
        <v>0</v>
      </c>
      <c r="U704" s="33">
        <f t="shared" si="1431"/>
        <v>0</v>
      </c>
      <c r="V704" s="33">
        <f t="shared" si="1431"/>
        <v>0</v>
      </c>
      <c r="W704" s="33">
        <f t="shared" si="1431"/>
        <v>0</v>
      </c>
      <c r="X704" s="33">
        <f t="shared" si="1431"/>
        <v>0</v>
      </c>
      <c r="Y704" s="33">
        <f t="shared" si="1431"/>
        <v>0</v>
      </c>
      <c r="Z704" s="33">
        <f t="shared" ca="1" si="1431"/>
        <v>0</v>
      </c>
      <c r="AA704" s="33">
        <f t="shared" ca="1" si="1431"/>
        <v>0</v>
      </c>
      <c r="AB704" s="33">
        <f t="shared" ca="1" si="1431"/>
        <v>0</v>
      </c>
      <c r="AC704" s="33">
        <f t="shared" ca="1" si="1431"/>
        <v>0</v>
      </c>
      <c r="AD704" s="33">
        <f t="shared" ca="1" si="1431"/>
        <v>0</v>
      </c>
      <c r="AE704" s="33">
        <f t="shared" ca="1" si="1431"/>
        <v>0</v>
      </c>
      <c r="AF704" s="33">
        <f t="shared" ca="1" si="1431"/>
        <v>0</v>
      </c>
      <c r="AG704" s="33">
        <f t="shared" ca="1" si="1431"/>
        <v>0</v>
      </c>
      <c r="AH704" s="33">
        <f t="shared" ca="1" si="1431"/>
        <v>0</v>
      </c>
      <c r="AI704" s="33">
        <f t="shared" ca="1" si="1431"/>
        <v>0</v>
      </c>
      <c r="AJ704" s="33">
        <f t="shared" ca="1" si="1431"/>
        <v>0</v>
      </c>
      <c r="AK704" s="33">
        <f t="shared" ca="1" si="1431"/>
        <v>0</v>
      </c>
      <c r="AL704" s="33">
        <f t="shared" ca="1" si="1431"/>
        <v>0</v>
      </c>
      <c r="AM704" s="33">
        <f t="shared" ca="1" si="1431"/>
        <v>0</v>
      </c>
      <c r="AN704" s="33">
        <f t="shared" ca="1" si="1431"/>
        <v>0</v>
      </c>
      <c r="AO704" s="33">
        <f t="shared" ca="1" si="1431"/>
        <v>0</v>
      </c>
      <c r="AP704" s="33">
        <f t="shared" ca="1" si="1431"/>
        <v>0</v>
      </c>
      <c r="AQ704" s="33">
        <f t="shared" ca="1" si="1431"/>
        <v>0</v>
      </c>
      <c r="AR704" s="33">
        <f t="shared" ca="1" si="1431"/>
        <v>0</v>
      </c>
      <c r="AS704" s="33">
        <f t="shared" ca="1" si="1431"/>
        <v>0</v>
      </c>
      <c r="AT704" s="33">
        <f t="shared" ca="1" si="1431"/>
        <v>0</v>
      </c>
      <c r="AU704" s="33">
        <f t="shared" ca="1" si="1431"/>
        <v>0</v>
      </c>
      <c r="AV704" s="33">
        <f t="shared" ca="1" si="1431"/>
        <v>0</v>
      </c>
      <c r="AW704" s="33">
        <f t="shared" ca="1" si="1431"/>
        <v>0</v>
      </c>
      <c r="AX704" s="33">
        <f t="shared" ca="1" si="1431"/>
        <v>0</v>
      </c>
      <c r="AY704" s="33">
        <f t="shared" ca="1" si="1431"/>
        <v>0</v>
      </c>
      <c r="AZ704" s="33">
        <f t="shared" ca="1" si="1431"/>
        <v>0</v>
      </c>
      <c r="BA704" s="33">
        <f t="shared" ca="1" si="1431"/>
        <v>0</v>
      </c>
      <c r="BB704" s="33">
        <f t="shared" ca="1" si="1431"/>
        <v>0</v>
      </c>
      <c r="BC704" s="33">
        <f t="shared" ca="1" si="1431"/>
        <v>0</v>
      </c>
      <c r="BD704" s="33">
        <f t="shared" ca="1" si="1431"/>
        <v>0</v>
      </c>
      <c r="BE704" s="33">
        <f t="shared" ca="1" si="1431"/>
        <v>0</v>
      </c>
      <c r="BF704" s="33">
        <f t="shared" ca="1" si="1431"/>
        <v>0</v>
      </c>
      <c r="BG704" s="33">
        <f t="shared" ca="1" si="1431"/>
        <v>0</v>
      </c>
      <c r="BH704" s="33">
        <f t="shared" ca="1" si="1431"/>
        <v>0</v>
      </c>
      <c r="BI704" s="33">
        <f t="shared" ca="1" si="1431"/>
        <v>0</v>
      </c>
      <c r="BJ704" s="33">
        <f t="shared" ca="1" si="1431"/>
        <v>0</v>
      </c>
      <c r="BK704" s="33">
        <f t="shared" ca="1" si="1431"/>
        <v>0</v>
      </c>
      <c r="BL704" s="33">
        <f t="shared" ca="1" si="1431"/>
        <v>0</v>
      </c>
      <c r="BM704" s="33">
        <f t="shared" ca="1" si="1431"/>
        <v>0</v>
      </c>
      <c r="BN704" s="33">
        <f t="shared" ca="1" si="1431"/>
        <v>0</v>
      </c>
      <c r="BO704" s="33">
        <f t="shared" ca="1" si="1431"/>
        <v>0</v>
      </c>
      <c r="BP704" s="33">
        <f t="shared" ca="1" si="1431"/>
        <v>0</v>
      </c>
      <c r="BQ704" s="33">
        <f t="shared" ca="1" si="1431"/>
        <v>0</v>
      </c>
      <c r="BR704" s="33">
        <f t="shared" ca="1" si="1431"/>
        <v>0</v>
      </c>
      <c r="BS704" s="33">
        <f t="shared" ca="1" si="1431"/>
        <v>0</v>
      </c>
      <c r="BT704" s="33">
        <f t="shared" ca="1" si="1431"/>
        <v>0</v>
      </c>
      <c r="BU704" s="33">
        <f t="shared" ref="BU704:BY704" ca="1" si="1432">+BU694+BU693</f>
        <v>0</v>
      </c>
      <c r="BV704" s="33">
        <f t="shared" ca="1" si="1432"/>
        <v>0</v>
      </c>
      <c r="BW704" s="33">
        <f t="shared" ca="1" si="1432"/>
        <v>0</v>
      </c>
      <c r="BX704" s="33">
        <f t="shared" ca="1" si="1432"/>
        <v>0</v>
      </c>
      <c r="BY704" s="33">
        <f t="shared" ca="1" si="1432"/>
        <v>0</v>
      </c>
    </row>
    <row r="705" spans="1:77" s="22" customFormat="1" ht="15" outlineLevel="1">
      <c r="A705"/>
      <c r="E705" t="s">
        <v>476</v>
      </c>
      <c r="F705" s="23" t="s">
        <v>475</v>
      </c>
      <c r="G705"/>
      <c r="H705" s="33">
        <f>-H694</f>
        <v>0</v>
      </c>
      <c r="I705" s="33">
        <f t="shared" ref="I705:BT705" si="1433">-I694</f>
        <v>0</v>
      </c>
      <c r="J705" s="33">
        <f t="shared" si="1433"/>
        <v>0</v>
      </c>
      <c r="K705" s="33">
        <f t="shared" si="1433"/>
        <v>0</v>
      </c>
      <c r="L705" s="33">
        <f t="shared" si="1433"/>
        <v>0</v>
      </c>
      <c r="M705" s="33">
        <f t="shared" si="1433"/>
        <v>0</v>
      </c>
      <c r="N705" s="33">
        <f t="shared" si="1433"/>
        <v>0</v>
      </c>
      <c r="O705" s="33">
        <f t="shared" si="1433"/>
        <v>0</v>
      </c>
      <c r="P705" s="33">
        <f t="shared" si="1433"/>
        <v>0</v>
      </c>
      <c r="Q705" s="33">
        <f t="shared" si="1433"/>
        <v>0</v>
      </c>
      <c r="R705" s="33">
        <f t="shared" si="1433"/>
        <v>0</v>
      </c>
      <c r="S705" s="33">
        <f t="shared" si="1433"/>
        <v>0</v>
      </c>
      <c r="T705" s="33">
        <f t="shared" si="1433"/>
        <v>0</v>
      </c>
      <c r="U705" s="33">
        <f t="shared" si="1433"/>
        <v>0</v>
      </c>
      <c r="V705" s="33">
        <f t="shared" si="1433"/>
        <v>0</v>
      </c>
      <c r="W705" s="33">
        <f t="shared" si="1433"/>
        <v>0</v>
      </c>
      <c r="X705" s="33">
        <f t="shared" si="1433"/>
        <v>0</v>
      </c>
      <c r="Y705" s="33">
        <f t="shared" si="1433"/>
        <v>0</v>
      </c>
      <c r="Z705" s="33">
        <f t="shared" si="1433"/>
        <v>0</v>
      </c>
      <c r="AA705" s="33">
        <f t="shared" si="1433"/>
        <v>0</v>
      </c>
      <c r="AB705" s="33">
        <f t="shared" si="1433"/>
        <v>0</v>
      </c>
      <c r="AC705" s="33">
        <f t="shared" si="1433"/>
        <v>0</v>
      </c>
      <c r="AD705" s="33">
        <f t="shared" si="1433"/>
        <v>0</v>
      </c>
      <c r="AE705" s="33">
        <f t="shared" si="1433"/>
        <v>0</v>
      </c>
      <c r="AF705" s="33">
        <f t="shared" si="1433"/>
        <v>0</v>
      </c>
      <c r="AG705" s="33">
        <f t="shared" si="1433"/>
        <v>0</v>
      </c>
      <c r="AH705" s="33">
        <f t="shared" si="1433"/>
        <v>0</v>
      </c>
      <c r="AI705" s="33">
        <f t="shared" si="1433"/>
        <v>0</v>
      </c>
      <c r="AJ705" s="33">
        <f t="shared" si="1433"/>
        <v>0</v>
      </c>
      <c r="AK705" s="33">
        <f t="shared" si="1433"/>
        <v>0</v>
      </c>
      <c r="AL705" s="33">
        <f t="shared" si="1433"/>
        <v>0</v>
      </c>
      <c r="AM705" s="33">
        <f t="shared" si="1433"/>
        <v>0</v>
      </c>
      <c r="AN705" s="33">
        <f t="shared" si="1433"/>
        <v>0</v>
      </c>
      <c r="AO705" s="33">
        <f t="shared" si="1433"/>
        <v>0</v>
      </c>
      <c r="AP705" s="33">
        <f t="shared" si="1433"/>
        <v>0</v>
      </c>
      <c r="AQ705" s="33">
        <f t="shared" si="1433"/>
        <v>0</v>
      </c>
      <c r="AR705" s="33">
        <f t="shared" si="1433"/>
        <v>0</v>
      </c>
      <c r="AS705" s="33">
        <f t="shared" si="1433"/>
        <v>0</v>
      </c>
      <c r="AT705" s="33">
        <f t="shared" si="1433"/>
        <v>0</v>
      </c>
      <c r="AU705" s="33">
        <f t="shared" si="1433"/>
        <v>0</v>
      </c>
      <c r="AV705" s="33">
        <f t="shared" si="1433"/>
        <v>0</v>
      </c>
      <c r="AW705" s="33">
        <f t="shared" si="1433"/>
        <v>0</v>
      </c>
      <c r="AX705" s="33">
        <f t="shared" si="1433"/>
        <v>0</v>
      </c>
      <c r="AY705" s="33">
        <f t="shared" si="1433"/>
        <v>0</v>
      </c>
      <c r="AZ705" s="33">
        <f t="shared" si="1433"/>
        <v>0</v>
      </c>
      <c r="BA705" s="33">
        <f t="shared" si="1433"/>
        <v>0</v>
      </c>
      <c r="BB705" s="33">
        <f t="shared" si="1433"/>
        <v>0</v>
      </c>
      <c r="BC705" s="33">
        <f t="shared" si="1433"/>
        <v>0</v>
      </c>
      <c r="BD705" s="33">
        <f t="shared" si="1433"/>
        <v>0</v>
      </c>
      <c r="BE705" s="33">
        <f t="shared" si="1433"/>
        <v>0</v>
      </c>
      <c r="BF705" s="33">
        <f t="shared" si="1433"/>
        <v>0</v>
      </c>
      <c r="BG705" s="33">
        <f t="shared" si="1433"/>
        <v>0</v>
      </c>
      <c r="BH705" s="33">
        <f t="shared" si="1433"/>
        <v>0</v>
      </c>
      <c r="BI705" s="33">
        <f t="shared" si="1433"/>
        <v>0</v>
      </c>
      <c r="BJ705" s="33">
        <f t="shared" si="1433"/>
        <v>0</v>
      </c>
      <c r="BK705" s="33">
        <f t="shared" si="1433"/>
        <v>0</v>
      </c>
      <c r="BL705" s="33">
        <f t="shared" si="1433"/>
        <v>0</v>
      </c>
      <c r="BM705" s="33">
        <f t="shared" si="1433"/>
        <v>0</v>
      </c>
      <c r="BN705" s="33">
        <f t="shared" si="1433"/>
        <v>0</v>
      </c>
      <c r="BO705" s="33">
        <f t="shared" si="1433"/>
        <v>0</v>
      </c>
      <c r="BP705" s="33">
        <f t="shared" si="1433"/>
        <v>0</v>
      </c>
      <c r="BQ705" s="33">
        <f t="shared" si="1433"/>
        <v>0</v>
      </c>
      <c r="BR705" s="33">
        <f t="shared" si="1433"/>
        <v>0</v>
      </c>
      <c r="BS705" s="33">
        <f t="shared" si="1433"/>
        <v>0</v>
      </c>
      <c r="BT705" s="33">
        <f t="shared" si="1433"/>
        <v>0</v>
      </c>
      <c r="BU705" s="33">
        <f t="shared" ref="BU705:BY705" si="1434">-BU694</f>
        <v>0</v>
      </c>
      <c r="BV705" s="33">
        <f t="shared" si="1434"/>
        <v>0</v>
      </c>
      <c r="BW705" s="33">
        <f t="shared" si="1434"/>
        <v>0</v>
      </c>
      <c r="BX705" s="33">
        <f t="shared" si="1434"/>
        <v>0</v>
      </c>
      <c r="BY705" s="33">
        <f t="shared" si="1434"/>
        <v>0</v>
      </c>
    </row>
    <row r="706" spans="1:77" s="22" customFormat="1" ht="15" outlineLevel="1">
      <c r="A706"/>
      <c r="E706" t="s">
        <v>477</v>
      </c>
      <c r="F706" s="23" t="s">
        <v>466</v>
      </c>
      <c r="G706"/>
      <c r="H706" s="33">
        <v>0</v>
      </c>
      <c r="I706" s="33">
        <v>0</v>
      </c>
      <c r="J706" s="33">
        <v>0</v>
      </c>
      <c r="K706" s="33">
        <v>0</v>
      </c>
      <c r="L706" s="33">
        <v>0</v>
      </c>
      <c r="M706" s="33">
        <v>0</v>
      </c>
      <c r="N706" s="33">
        <v>0</v>
      </c>
      <c r="O706" s="33">
        <v>0</v>
      </c>
      <c r="P706" s="33">
        <v>0</v>
      </c>
      <c r="Q706" s="33">
        <v>0</v>
      </c>
      <c r="R706" s="33">
        <v>0</v>
      </c>
      <c r="S706" s="33">
        <v>0</v>
      </c>
      <c r="T706" s="33">
        <v>0</v>
      </c>
      <c r="U706" s="33">
        <v>0</v>
      </c>
      <c r="V706" s="33">
        <v>0</v>
      </c>
      <c r="W706" s="33">
        <v>0</v>
      </c>
      <c r="X706" s="33">
        <v>0</v>
      </c>
      <c r="Y706" s="33">
        <v>0</v>
      </c>
      <c r="Z706" s="33">
        <v>0</v>
      </c>
      <c r="AA706" s="33">
        <v>0</v>
      </c>
      <c r="AB706" s="33">
        <v>0</v>
      </c>
      <c r="AC706" s="33">
        <v>0</v>
      </c>
      <c r="AD706" s="33">
        <v>0</v>
      </c>
      <c r="AE706" s="33">
        <v>0</v>
      </c>
      <c r="AF706" s="33">
        <v>0</v>
      </c>
      <c r="AG706" s="33">
        <v>0</v>
      </c>
      <c r="AH706" s="33">
        <v>0</v>
      </c>
      <c r="AI706" s="33">
        <v>0</v>
      </c>
      <c r="AJ706" s="33">
        <v>0</v>
      </c>
      <c r="AK706" s="33">
        <v>0</v>
      </c>
      <c r="AL706" s="33">
        <v>0</v>
      </c>
      <c r="AM706" s="33">
        <v>0</v>
      </c>
      <c r="AN706" s="33">
        <v>0</v>
      </c>
      <c r="AO706" s="33">
        <v>0</v>
      </c>
      <c r="AP706" s="33">
        <v>0</v>
      </c>
      <c r="AQ706" s="33">
        <v>0</v>
      </c>
      <c r="AR706" s="33">
        <v>0</v>
      </c>
      <c r="AS706" s="33">
        <v>0</v>
      </c>
      <c r="AT706" s="33">
        <v>0</v>
      </c>
      <c r="AU706" s="33">
        <v>0</v>
      </c>
      <c r="AV706" s="33">
        <v>0</v>
      </c>
      <c r="AW706" s="33">
        <v>0</v>
      </c>
      <c r="AX706" s="33">
        <v>0</v>
      </c>
      <c r="AY706" s="33">
        <v>0</v>
      </c>
      <c r="AZ706" s="33">
        <v>0</v>
      </c>
      <c r="BA706" s="33">
        <v>0</v>
      </c>
      <c r="BB706" s="33">
        <v>0</v>
      </c>
      <c r="BC706" s="33">
        <v>0</v>
      </c>
      <c r="BD706" s="33">
        <v>0</v>
      </c>
      <c r="BE706" s="33">
        <v>0</v>
      </c>
      <c r="BF706" s="33">
        <v>0</v>
      </c>
      <c r="BG706" s="33">
        <v>0</v>
      </c>
      <c r="BH706" s="33">
        <v>0</v>
      </c>
      <c r="BI706" s="33">
        <v>0</v>
      </c>
      <c r="BJ706" s="33">
        <v>0</v>
      </c>
      <c r="BK706" s="33">
        <v>0</v>
      </c>
      <c r="BL706" s="33">
        <v>0</v>
      </c>
      <c r="BM706" s="33">
        <v>0</v>
      </c>
      <c r="BN706" s="33">
        <v>0</v>
      </c>
      <c r="BO706" s="33">
        <v>0</v>
      </c>
      <c r="BP706" s="33">
        <v>0</v>
      </c>
      <c r="BQ706" s="33">
        <v>0</v>
      </c>
      <c r="BR706" s="33">
        <v>0</v>
      </c>
      <c r="BS706" s="33">
        <v>0</v>
      </c>
      <c r="BT706" s="33">
        <v>0</v>
      </c>
      <c r="BU706" s="33">
        <v>0</v>
      </c>
      <c r="BV706" s="33">
        <v>0</v>
      </c>
      <c r="BW706" s="33">
        <v>0</v>
      </c>
      <c r="BX706" s="33">
        <v>0</v>
      </c>
      <c r="BY706" s="33">
        <v>0</v>
      </c>
    </row>
    <row r="707" spans="1:77" s="22" customFormat="1" ht="15" outlineLevel="1">
      <c r="A707"/>
      <c r="E707" t="s">
        <v>471</v>
      </c>
      <c r="F707" s="23" t="s">
        <v>466</v>
      </c>
      <c r="G707"/>
      <c r="H707" s="33">
        <f ca="1">+H697</f>
        <v>0</v>
      </c>
      <c r="I707" s="33">
        <f t="shared" ref="I707:BT707" ca="1" si="1435">+I697</f>
        <v>0</v>
      </c>
      <c r="J707" s="33">
        <f t="shared" ca="1" si="1435"/>
        <v>0</v>
      </c>
      <c r="K707" s="33">
        <f t="shared" ca="1" si="1435"/>
        <v>0</v>
      </c>
      <c r="L707" s="33">
        <f t="shared" ca="1" si="1435"/>
        <v>0</v>
      </c>
      <c r="M707" s="33">
        <f t="shared" ca="1" si="1435"/>
        <v>0</v>
      </c>
      <c r="N707" s="33">
        <f t="shared" ca="1" si="1435"/>
        <v>0</v>
      </c>
      <c r="O707" s="33">
        <f t="shared" ca="1" si="1435"/>
        <v>0</v>
      </c>
      <c r="P707" s="33">
        <f t="shared" ca="1" si="1435"/>
        <v>0</v>
      </c>
      <c r="Q707" s="33">
        <f t="shared" ca="1" si="1435"/>
        <v>0</v>
      </c>
      <c r="R707" s="33">
        <f t="shared" ca="1" si="1435"/>
        <v>0</v>
      </c>
      <c r="S707" s="33">
        <f t="shared" ca="1" si="1435"/>
        <v>0</v>
      </c>
      <c r="T707" s="33">
        <f t="shared" ca="1" si="1435"/>
        <v>0</v>
      </c>
      <c r="U707" s="33">
        <f t="shared" ca="1" si="1435"/>
        <v>0</v>
      </c>
      <c r="V707" s="33">
        <f t="shared" ca="1" si="1435"/>
        <v>0</v>
      </c>
      <c r="W707" s="33">
        <f t="shared" ca="1" si="1435"/>
        <v>0</v>
      </c>
      <c r="X707" s="33">
        <f t="shared" ca="1" si="1435"/>
        <v>0</v>
      </c>
      <c r="Y707" s="33">
        <f t="shared" ca="1" si="1435"/>
        <v>0</v>
      </c>
      <c r="Z707" s="33">
        <f t="shared" ca="1" si="1435"/>
        <v>0</v>
      </c>
      <c r="AA707" s="33">
        <f t="shared" ca="1" si="1435"/>
        <v>0</v>
      </c>
      <c r="AB707" s="33">
        <f t="shared" ca="1" si="1435"/>
        <v>0</v>
      </c>
      <c r="AC707" s="33">
        <f t="shared" ca="1" si="1435"/>
        <v>0</v>
      </c>
      <c r="AD707" s="33">
        <f t="shared" ca="1" si="1435"/>
        <v>0</v>
      </c>
      <c r="AE707" s="33">
        <f t="shared" ca="1" si="1435"/>
        <v>0</v>
      </c>
      <c r="AF707" s="33">
        <f t="shared" ca="1" si="1435"/>
        <v>0</v>
      </c>
      <c r="AG707" s="33">
        <f t="shared" ca="1" si="1435"/>
        <v>0</v>
      </c>
      <c r="AH707" s="33">
        <f t="shared" ca="1" si="1435"/>
        <v>0</v>
      </c>
      <c r="AI707" s="33">
        <f t="shared" ca="1" si="1435"/>
        <v>0</v>
      </c>
      <c r="AJ707" s="33">
        <f t="shared" ca="1" si="1435"/>
        <v>0</v>
      </c>
      <c r="AK707" s="33">
        <f t="shared" ca="1" si="1435"/>
        <v>0</v>
      </c>
      <c r="AL707" s="33">
        <f t="shared" ca="1" si="1435"/>
        <v>0</v>
      </c>
      <c r="AM707" s="33">
        <f t="shared" ca="1" si="1435"/>
        <v>0</v>
      </c>
      <c r="AN707" s="33">
        <f t="shared" ca="1" si="1435"/>
        <v>0</v>
      </c>
      <c r="AO707" s="33">
        <f t="shared" ca="1" si="1435"/>
        <v>0</v>
      </c>
      <c r="AP707" s="33">
        <f t="shared" ca="1" si="1435"/>
        <v>0</v>
      </c>
      <c r="AQ707" s="33">
        <f t="shared" ca="1" si="1435"/>
        <v>0</v>
      </c>
      <c r="AR707" s="33">
        <f t="shared" ca="1" si="1435"/>
        <v>0</v>
      </c>
      <c r="AS707" s="33">
        <f t="shared" ca="1" si="1435"/>
        <v>0</v>
      </c>
      <c r="AT707" s="33">
        <f t="shared" ca="1" si="1435"/>
        <v>0</v>
      </c>
      <c r="AU707" s="33">
        <f t="shared" ca="1" si="1435"/>
        <v>0</v>
      </c>
      <c r="AV707" s="33">
        <f t="shared" ca="1" si="1435"/>
        <v>0</v>
      </c>
      <c r="AW707" s="33">
        <f t="shared" ca="1" si="1435"/>
        <v>0</v>
      </c>
      <c r="AX707" s="33">
        <f t="shared" ca="1" si="1435"/>
        <v>0</v>
      </c>
      <c r="AY707" s="33">
        <f t="shared" ca="1" si="1435"/>
        <v>0</v>
      </c>
      <c r="AZ707" s="33">
        <f t="shared" ca="1" si="1435"/>
        <v>0</v>
      </c>
      <c r="BA707" s="33">
        <f t="shared" ca="1" si="1435"/>
        <v>0</v>
      </c>
      <c r="BB707" s="33">
        <f t="shared" ca="1" si="1435"/>
        <v>0</v>
      </c>
      <c r="BC707" s="33">
        <f t="shared" ca="1" si="1435"/>
        <v>0</v>
      </c>
      <c r="BD707" s="33">
        <f t="shared" ca="1" si="1435"/>
        <v>0</v>
      </c>
      <c r="BE707" s="33">
        <f t="shared" ca="1" si="1435"/>
        <v>0</v>
      </c>
      <c r="BF707" s="33">
        <f t="shared" ca="1" si="1435"/>
        <v>0</v>
      </c>
      <c r="BG707" s="33">
        <f t="shared" ca="1" si="1435"/>
        <v>0</v>
      </c>
      <c r="BH707" s="33">
        <f t="shared" ca="1" si="1435"/>
        <v>0</v>
      </c>
      <c r="BI707" s="33">
        <f t="shared" ca="1" si="1435"/>
        <v>0</v>
      </c>
      <c r="BJ707" s="33">
        <f t="shared" ca="1" si="1435"/>
        <v>0</v>
      </c>
      <c r="BK707" s="33">
        <f t="shared" ca="1" si="1435"/>
        <v>0</v>
      </c>
      <c r="BL707" s="33">
        <f t="shared" ca="1" si="1435"/>
        <v>0</v>
      </c>
      <c r="BM707" s="33">
        <f t="shared" ca="1" si="1435"/>
        <v>0</v>
      </c>
      <c r="BN707" s="33">
        <f t="shared" ca="1" si="1435"/>
        <v>0</v>
      </c>
      <c r="BO707" s="33">
        <f t="shared" ca="1" si="1435"/>
        <v>0</v>
      </c>
      <c r="BP707" s="33">
        <f t="shared" ca="1" si="1435"/>
        <v>0</v>
      </c>
      <c r="BQ707" s="33">
        <f t="shared" ca="1" si="1435"/>
        <v>0</v>
      </c>
      <c r="BR707" s="33">
        <f t="shared" ca="1" si="1435"/>
        <v>0</v>
      </c>
      <c r="BS707" s="33">
        <f t="shared" ca="1" si="1435"/>
        <v>0</v>
      </c>
      <c r="BT707" s="33">
        <f t="shared" ca="1" si="1435"/>
        <v>0</v>
      </c>
      <c r="BU707" s="33">
        <f t="shared" ref="BU707:BY707" ca="1" si="1436">+BU697</f>
        <v>0</v>
      </c>
      <c r="BV707" s="33">
        <f t="shared" ca="1" si="1436"/>
        <v>0</v>
      </c>
      <c r="BW707" s="33">
        <f t="shared" ca="1" si="1436"/>
        <v>0</v>
      </c>
      <c r="BX707" s="33">
        <f t="shared" ca="1" si="1436"/>
        <v>0</v>
      </c>
      <c r="BY707" s="33">
        <f t="shared" ca="1" si="1436"/>
        <v>0</v>
      </c>
    </row>
    <row r="708" spans="1:77" s="22" customFormat="1" ht="15" outlineLevel="1">
      <c r="A708"/>
      <c r="E708" s="22" t="s">
        <v>478</v>
      </c>
      <c r="F708" s="36" t="s">
        <v>470</v>
      </c>
      <c r="H708" s="37">
        <f ca="1">+SUM(H704:H707)</f>
        <v>0</v>
      </c>
      <c r="I708" s="37">
        <f t="shared" ref="I708:BT708" ca="1" si="1437">+SUM(I704:I707)</f>
        <v>0</v>
      </c>
      <c r="J708" s="37">
        <f t="shared" ca="1" si="1437"/>
        <v>0</v>
      </c>
      <c r="K708" s="37">
        <f t="shared" ca="1" si="1437"/>
        <v>0</v>
      </c>
      <c r="L708" s="37">
        <f t="shared" ca="1" si="1437"/>
        <v>0</v>
      </c>
      <c r="M708" s="37">
        <f t="shared" ca="1" si="1437"/>
        <v>0</v>
      </c>
      <c r="N708" s="37">
        <f t="shared" ca="1" si="1437"/>
        <v>0</v>
      </c>
      <c r="O708" s="37">
        <f t="shared" ca="1" si="1437"/>
        <v>0</v>
      </c>
      <c r="P708" s="37">
        <f t="shared" ca="1" si="1437"/>
        <v>0</v>
      </c>
      <c r="Q708" s="37">
        <f t="shared" ca="1" si="1437"/>
        <v>0</v>
      </c>
      <c r="R708" s="37">
        <f t="shared" ca="1" si="1437"/>
        <v>0</v>
      </c>
      <c r="S708" s="37">
        <f t="shared" ca="1" si="1437"/>
        <v>0</v>
      </c>
      <c r="T708" s="37">
        <f t="shared" ca="1" si="1437"/>
        <v>0</v>
      </c>
      <c r="U708" s="37">
        <f t="shared" ca="1" si="1437"/>
        <v>0</v>
      </c>
      <c r="V708" s="37">
        <f t="shared" ca="1" si="1437"/>
        <v>0</v>
      </c>
      <c r="W708" s="37">
        <f t="shared" ca="1" si="1437"/>
        <v>0</v>
      </c>
      <c r="X708" s="37">
        <f t="shared" ca="1" si="1437"/>
        <v>0</v>
      </c>
      <c r="Y708" s="37">
        <f t="shared" ca="1" si="1437"/>
        <v>0</v>
      </c>
      <c r="Z708" s="37">
        <f t="shared" ca="1" si="1437"/>
        <v>0</v>
      </c>
      <c r="AA708" s="37">
        <f t="shared" ca="1" si="1437"/>
        <v>0</v>
      </c>
      <c r="AB708" s="37">
        <f t="shared" ca="1" si="1437"/>
        <v>0</v>
      </c>
      <c r="AC708" s="37">
        <f t="shared" ca="1" si="1437"/>
        <v>0</v>
      </c>
      <c r="AD708" s="37">
        <f t="shared" ca="1" si="1437"/>
        <v>0</v>
      </c>
      <c r="AE708" s="37">
        <f t="shared" ca="1" si="1437"/>
        <v>0</v>
      </c>
      <c r="AF708" s="37">
        <f t="shared" ca="1" si="1437"/>
        <v>0</v>
      </c>
      <c r="AG708" s="37">
        <f t="shared" ca="1" si="1437"/>
        <v>0</v>
      </c>
      <c r="AH708" s="37">
        <f t="shared" ca="1" si="1437"/>
        <v>0</v>
      </c>
      <c r="AI708" s="37">
        <f t="shared" ca="1" si="1437"/>
        <v>0</v>
      </c>
      <c r="AJ708" s="37">
        <f t="shared" ca="1" si="1437"/>
        <v>0</v>
      </c>
      <c r="AK708" s="37">
        <f t="shared" ca="1" si="1437"/>
        <v>0</v>
      </c>
      <c r="AL708" s="37">
        <f t="shared" ca="1" si="1437"/>
        <v>0</v>
      </c>
      <c r="AM708" s="37">
        <f t="shared" ca="1" si="1437"/>
        <v>0</v>
      </c>
      <c r="AN708" s="37">
        <f t="shared" ca="1" si="1437"/>
        <v>0</v>
      </c>
      <c r="AO708" s="37">
        <f t="shared" ca="1" si="1437"/>
        <v>0</v>
      </c>
      <c r="AP708" s="37">
        <f t="shared" ca="1" si="1437"/>
        <v>0</v>
      </c>
      <c r="AQ708" s="37">
        <f t="shared" ca="1" si="1437"/>
        <v>0</v>
      </c>
      <c r="AR708" s="37">
        <f t="shared" ca="1" si="1437"/>
        <v>0</v>
      </c>
      <c r="AS708" s="37">
        <f t="shared" ca="1" si="1437"/>
        <v>0</v>
      </c>
      <c r="AT708" s="37">
        <f t="shared" ca="1" si="1437"/>
        <v>0</v>
      </c>
      <c r="AU708" s="37">
        <f t="shared" ca="1" si="1437"/>
        <v>0</v>
      </c>
      <c r="AV708" s="37">
        <f t="shared" ca="1" si="1437"/>
        <v>0</v>
      </c>
      <c r="AW708" s="37">
        <f t="shared" ca="1" si="1437"/>
        <v>0</v>
      </c>
      <c r="AX708" s="37">
        <f t="shared" ca="1" si="1437"/>
        <v>0</v>
      </c>
      <c r="AY708" s="37">
        <f t="shared" ca="1" si="1437"/>
        <v>0</v>
      </c>
      <c r="AZ708" s="37">
        <f t="shared" ca="1" si="1437"/>
        <v>0</v>
      </c>
      <c r="BA708" s="37">
        <f t="shared" ca="1" si="1437"/>
        <v>0</v>
      </c>
      <c r="BB708" s="37">
        <f t="shared" ca="1" si="1437"/>
        <v>0</v>
      </c>
      <c r="BC708" s="37">
        <f t="shared" ca="1" si="1437"/>
        <v>0</v>
      </c>
      <c r="BD708" s="37">
        <f t="shared" ca="1" si="1437"/>
        <v>0</v>
      </c>
      <c r="BE708" s="37">
        <f t="shared" ca="1" si="1437"/>
        <v>0</v>
      </c>
      <c r="BF708" s="37">
        <f t="shared" ca="1" si="1437"/>
        <v>0</v>
      </c>
      <c r="BG708" s="37">
        <f t="shared" ca="1" si="1437"/>
        <v>0</v>
      </c>
      <c r="BH708" s="37">
        <f t="shared" ca="1" si="1437"/>
        <v>0</v>
      </c>
      <c r="BI708" s="37">
        <f t="shared" ca="1" si="1437"/>
        <v>0</v>
      </c>
      <c r="BJ708" s="37">
        <f t="shared" ca="1" si="1437"/>
        <v>0</v>
      </c>
      <c r="BK708" s="37">
        <f t="shared" ca="1" si="1437"/>
        <v>0</v>
      </c>
      <c r="BL708" s="37">
        <f t="shared" ca="1" si="1437"/>
        <v>0</v>
      </c>
      <c r="BM708" s="37">
        <f t="shared" ca="1" si="1437"/>
        <v>0</v>
      </c>
      <c r="BN708" s="37">
        <f t="shared" ca="1" si="1437"/>
        <v>0</v>
      </c>
      <c r="BO708" s="37">
        <f t="shared" ca="1" si="1437"/>
        <v>0</v>
      </c>
      <c r="BP708" s="37">
        <f t="shared" ca="1" si="1437"/>
        <v>0</v>
      </c>
      <c r="BQ708" s="37">
        <f t="shared" ca="1" si="1437"/>
        <v>0</v>
      </c>
      <c r="BR708" s="37">
        <f t="shared" ca="1" si="1437"/>
        <v>0</v>
      </c>
      <c r="BS708" s="37">
        <f t="shared" ca="1" si="1437"/>
        <v>0</v>
      </c>
      <c r="BT708" s="37">
        <f t="shared" ca="1" si="1437"/>
        <v>0</v>
      </c>
      <c r="BU708" s="37">
        <f t="shared" ref="BU708:BY708" ca="1" si="1438">+SUM(BU704:BU707)</f>
        <v>0</v>
      </c>
      <c r="BV708" s="37">
        <f t="shared" ca="1" si="1438"/>
        <v>0</v>
      </c>
      <c r="BW708" s="37">
        <f t="shared" ca="1" si="1438"/>
        <v>0</v>
      </c>
      <c r="BX708" s="37">
        <f t="shared" ca="1" si="1438"/>
        <v>0</v>
      </c>
      <c r="BY708" s="37">
        <f t="shared" ca="1" si="1438"/>
        <v>0</v>
      </c>
    </row>
    <row r="709" spans="1:77" s="22" customFormat="1" ht="15" outlineLevel="1">
      <c r="A709"/>
      <c r="E709" t="s">
        <v>446</v>
      </c>
      <c r="F709" s="23" t="s">
        <v>466</v>
      </c>
      <c r="G709"/>
      <c r="H709" s="33">
        <f t="shared" ref="H709:AM709" si="1439">+H611</f>
        <v>0</v>
      </c>
      <c r="I709" s="33">
        <f t="shared" si="1439"/>
        <v>0</v>
      </c>
      <c r="J709" s="33">
        <f t="shared" si="1439"/>
        <v>0</v>
      </c>
      <c r="K709" s="33">
        <f t="shared" si="1439"/>
        <v>0</v>
      </c>
      <c r="L709" s="33">
        <f t="shared" si="1439"/>
        <v>0</v>
      </c>
      <c r="M709" s="33">
        <f t="shared" si="1439"/>
        <v>0</v>
      </c>
      <c r="N709" s="33">
        <f t="shared" si="1439"/>
        <v>0</v>
      </c>
      <c r="O709" s="33">
        <f t="shared" si="1439"/>
        <v>0</v>
      </c>
      <c r="P709" s="33">
        <f t="shared" si="1439"/>
        <v>0</v>
      </c>
      <c r="Q709" s="33">
        <f t="shared" si="1439"/>
        <v>0</v>
      </c>
      <c r="R709" s="33">
        <f t="shared" si="1439"/>
        <v>0</v>
      </c>
      <c r="S709" s="33">
        <f t="shared" si="1439"/>
        <v>0</v>
      </c>
      <c r="T709" s="33">
        <f t="shared" si="1439"/>
        <v>0</v>
      </c>
      <c r="U709" s="33">
        <f t="shared" si="1439"/>
        <v>0</v>
      </c>
      <c r="V709" s="33">
        <f t="shared" si="1439"/>
        <v>0</v>
      </c>
      <c r="W709" s="33">
        <f t="shared" si="1439"/>
        <v>0</v>
      </c>
      <c r="X709" s="33">
        <f t="shared" si="1439"/>
        <v>0</v>
      </c>
      <c r="Y709" s="33">
        <f t="shared" si="1439"/>
        <v>0</v>
      </c>
      <c r="Z709" s="33">
        <f t="shared" si="1439"/>
        <v>0</v>
      </c>
      <c r="AA709" s="33">
        <f t="shared" si="1439"/>
        <v>0</v>
      </c>
      <c r="AB709" s="33">
        <f t="shared" si="1439"/>
        <v>0</v>
      </c>
      <c r="AC709" s="33">
        <f t="shared" si="1439"/>
        <v>0</v>
      </c>
      <c r="AD709" s="33">
        <f t="shared" si="1439"/>
        <v>0</v>
      </c>
      <c r="AE709" s="33">
        <f t="shared" si="1439"/>
        <v>0</v>
      </c>
      <c r="AF709" s="33">
        <f t="shared" si="1439"/>
        <v>0</v>
      </c>
      <c r="AG709" s="33">
        <f t="shared" si="1439"/>
        <v>0</v>
      </c>
      <c r="AH709" s="33">
        <f t="shared" si="1439"/>
        <v>0</v>
      </c>
      <c r="AI709" s="33">
        <f t="shared" si="1439"/>
        <v>0</v>
      </c>
      <c r="AJ709" s="33">
        <f t="shared" si="1439"/>
        <v>0</v>
      </c>
      <c r="AK709" s="33">
        <f t="shared" si="1439"/>
        <v>0</v>
      </c>
      <c r="AL709" s="33">
        <f t="shared" si="1439"/>
        <v>0</v>
      </c>
      <c r="AM709" s="33">
        <f t="shared" si="1439"/>
        <v>0</v>
      </c>
      <c r="AN709" s="33">
        <f t="shared" ref="AN709:BS709" si="1440">+AN611</f>
        <v>0</v>
      </c>
      <c r="AO709" s="33">
        <f t="shared" si="1440"/>
        <v>0</v>
      </c>
      <c r="AP709" s="33">
        <f t="shared" si="1440"/>
        <v>0</v>
      </c>
      <c r="AQ709" s="33">
        <f t="shared" si="1440"/>
        <v>0</v>
      </c>
      <c r="AR709" s="33">
        <f t="shared" si="1440"/>
        <v>0</v>
      </c>
      <c r="AS709" s="33">
        <f t="shared" si="1440"/>
        <v>0</v>
      </c>
      <c r="AT709" s="33">
        <f t="shared" si="1440"/>
        <v>0</v>
      </c>
      <c r="AU709" s="33">
        <f t="shared" si="1440"/>
        <v>0</v>
      </c>
      <c r="AV709" s="33">
        <f t="shared" si="1440"/>
        <v>0</v>
      </c>
      <c r="AW709" s="33">
        <f t="shared" si="1440"/>
        <v>0</v>
      </c>
      <c r="AX709" s="33">
        <f t="shared" si="1440"/>
        <v>0</v>
      </c>
      <c r="AY709" s="33">
        <f t="shared" si="1440"/>
        <v>0</v>
      </c>
      <c r="AZ709" s="33">
        <f t="shared" si="1440"/>
        <v>0</v>
      </c>
      <c r="BA709" s="33">
        <f t="shared" si="1440"/>
        <v>0</v>
      </c>
      <c r="BB709" s="33">
        <f t="shared" si="1440"/>
        <v>0</v>
      </c>
      <c r="BC709" s="33">
        <f t="shared" si="1440"/>
        <v>0</v>
      </c>
      <c r="BD709" s="33">
        <f t="shared" si="1440"/>
        <v>0</v>
      </c>
      <c r="BE709" s="33">
        <f t="shared" si="1440"/>
        <v>0</v>
      </c>
      <c r="BF709" s="33">
        <f t="shared" si="1440"/>
        <v>0</v>
      </c>
      <c r="BG709" s="33">
        <f t="shared" si="1440"/>
        <v>0</v>
      </c>
      <c r="BH709" s="33">
        <f t="shared" si="1440"/>
        <v>0</v>
      </c>
      <c r="BI709" s="33">
        <f t="shared" si="1440"/>
        <v>0</v>
      </c>
      <c r="BJ709" s="33">
        <f t="shared" si="1440"/>
        <v>0</v>
      </c>
      <c r="BK709" s="33">
        <f t="shared" si="1440"/>
        <v>0</v>
      </c>
      <c r="BL709" s="33">
        <f t="shared" si="1440"/>
        <v>0</v>
      </c>
      <c r="BM709" s="33">
        <f t="shared" si="1440"/>
        <v>0</v>
      </c>
      <c r="BN709" s="33">
        <f t="shared" si="1440"/>
        <v>0</v>
      </c>
      <c r="BO709" s="33">
        <f t="shared" si="1440"/>
        <v>0</v>
      </c>
      <c r="BP709" s="33">
        <f t="shared" si="1440"/>
        <v>0</v>
      </c>
      <c r="BQ709" s="33">
        <f t="shared" si="1440"/>
        <v>0</v>
      </c>
      <c r="BR709" s="33">
        <f t="shared" si="1440"/>
        <v>0</v>
      </c>
      <c r="BS709" s="33">
        <f t="shared" si="1440"/>
        <v>0</v>
      </c>
      <c r="BT709" s="33">
        <f t="shared" ref="BT709:BY709" si="1441">+BT611</f>
        <v>0</v>
      </c>
      <c r="BU709" s="33">
        <f t="shared" si="1441"/>
        <v>0</v>
      </c>
      <c r="BV709" s="33">
        <f t="shared" si="1441"/>
        <v>0</v>
      </c>
      <c r="BW709" s="33">
        <f t="shared" si="1441"/>
        <v>0</v>
      </c>
      <c r="BX709" s="33">
        <f t="shared" si="1441"/>
        <v>0</v>
      </c>
      <c r="BY709" s="33">
        <f t="shared" si="1441"/>
        <v>0</v>
      </c>
    </row>
    <row r="710" spans="1:77" s="22" customFormat="1" ht="15" outlineLevel="1">
      <c r="A710"/>
      <c r="E710" s="22" t="s">
        <v>479</v>
      </c>
      <c r="F710" s="36" t="s">
        <v>470</v>
      </c>
      <c r="H710" s="37">
        <f ca="1">+SUM(H708:H709)</f>
        <v>0</v>
      </c>
      <c r="I710" s="37">
        <f t="shared" ref="I710:BT710" ca="1" si="1442">+SUM(I708:I709)</f>
        <v>0</v>
      </c>
      <c r="J710" s="37">
        <f t="shared" ca="1" si="1442"/>
        <v>0</v>
      </c>
      <c r="K710" s="37">
        <f t="shared" ca="1" si="1442"/>
        <v>0</v>
      </c>
      <c r="L710" s="37">
        <f t="shared" ca="1" si="1442"/>
        <v>0</v>
      </c>
      <c r="M710" s="37">
        <f t="shared" ca="1" si="1442"/>
        <v>0</v>
      </c>
      <c r="N710" s="37">
        <f t="shared" ca="1" si="1442"/>
        <v>0</v>
      </c>
      <c r="O710" s="37">
        <f t="shared" ca="1" si="1442"/>
        <v>0</v>
      </c>
      <c r="P710" s="37">
        <f t="shared" ca="1" si="1442"/>
        <v>0</v>
      </c>
      <c r="Q710" s="37">
        <f t="shared" ca="1" si="1442"/>
        <v>0</v>
      </c>
      <c r="R710" s="37">
        <f t="shared" ca="1" si="1442"/>
        <v>0</v>
      </c>
      <c r="S710" s="37">
        <f t="shared" ca="1" si="1442"/>
        <v>0</v>
      </c>
      <c r="T710" s="37">
        <f t="shared" ca="1" si="1442"/>
        <v>0</v>
      </c>
      <c r="U710" s="37">
        <f t="shared" ca="1" si="1442"/>
        <v>0</v>
      </c>
      <c r="V710" s="37">
        <f t="shared" ca="1" si="1442"/>
        <v>0</v>
      </c>
      <c r="W710" s="37">
        <f t="shared" ca="1" si="1442"/>
        <v>0</v>
      </c>
      <c r="X710" s="37">
        <f t="shared" ca="1" si="1442"/>
        <v>0</v>
      </c>
      <c r="Y710" s="37">
        <f t="shared" ca="1" si="1442"/>
        <v>0</v>
      </c>
      <c r="Z710" s="37">
        <f t="shared" ca="1" si="1442"/>
        <v>0</v>
      </c>
      <c r="AA710" s="37">
        <f t="shared" ca="1" si="1442"/>
        <v>0</v>
      </c>
      <c r="AB710" s="37">
        <f t="shared" ca="1" si="1442"/>
        <v>0</v>
      </c>
      <c r="AC710" s="37">
        <f t="shared" ca="1" si="1442"/>
        <v>0</v>
      </c>
      <c r="AD710" s="37">
        <f t="shared" ca="1" si="1442"/>
        <v>0</v>
      </c>
      <c r="AE710" s="37">
        <f t="shared" ca="1" si="1442"/>
        <v>0</v>
      </c>
      <c r="AF710" s="37">
        <f t="shared" ca="1" si="1442"/>
        <v>0</v>
      </c>
      <c r="AG710" s="37">
        <f t="shared" ca="1" si="1442"/>
        <v>0</v>
      </c>
      <c r="AH710" s="37">
        <f t="shared" ca="1" si="1442"/>
        <v>0</v>
      </c>
      <c r="AI710" s="37">
        <f t="shared" ca="1" si="1442"/>
        <v>0</v>
      </c>
      <c r="AJ710" s="37">
        <f t="shared" ca="1" si="1442"/>
        <v>0</v>
      </c>
      <c r="AK710" s="37">
        <f t="shared" ca="1" si="1442"/>
        <v>0</v>
      </c>
      <c r="AL710" s="37">
        <f t="shared" ca="1" si="1442"/>
        <v>0</v>
      </c>
      <c r="AM710" s="37">
        <f t="shared" ca="1" si="1442"/>
        <v>0</v>
      </c>
      <c r="AN710" s="37">
        <f t="shared" ca="1" si="1442"/>
        <v>0</v>
      </c>
      <c r="AO710" s="37">
        <f t="shared" ca="1" si="1442"/>
        <v>0</v>
      </c>
      <c r="AP710" s="37">
        <f t="shared" ca="1" si="1442"/>
        <v>0</v>
      </c>
      <c r="AQ710" s="37">
        <f t="shared" ca="1" si="1442"/>
        <v>0</v>
      </c>
      <c r="AR710" s="37">
        <f t="shared" ca="1" si="1442"/>
        <v>0</v>
      </c>
      <c r="AS710" s="37">
        <f t="shared" ca="1" si="1442"/>
        <v>0</v>
      </c>
      <c r="AT710" s="37">
        <f t="shared" ca="1" si="1442"/>
        <v>0</v>
      </c>
      <c r="AU710" s="37">
        <f t="shared" ca="1" si="1442"/>
        <v>0</v>
      </c>
      <c r="AV710" s="37">
        <f t="shared" ca="1" si="1442"/>
        <v>0</v>
      </c>
      <c r="AW710" s="37">
        <f t="shared" ca="1" si="1442"/>
        <v>0</v>
      </c>
      <c r="AX710" s="37">
        <f t="shared" ca="1" si="1442"/>
        <v>0</v>
      </c>
      <c r="AY710" s="37">
        <f t="shared" ca="1" si="1442"/>
        <v>0</v>
      </c>
      <c r="AZ710" s="37">
        <f t="shared" ca="1" si="1442"/>
        <v>0</v>
      </c>
      <c r="BA710" s="37">
        <f t="shared" ca="1" si="1442"/>
        <v>0</v>
      </c>
      <c r="BB710" s="37">
        <f t="shared" ca="1" si="1442"/>
        <v>0</v>
      </c>
      <c r="BC710" s="37">
        <f t="shared" ca="1" si="1442"/>
        <v>0</v>
      </c>
      <c r="BD710" s="37">
        <f t="shared" ca="1" si="1442"/>
        <v>0</v>
      </c>
      <c r="BE710" s="37">
        <f t="shared" ca="1" si="1442"/>
        <v>0</v>
      </c>
      <c r="BF710" s="37">
        <f t="shared" ca="1" si="1442"/>
        <v>0</v>
      </c>
      <c r="BG710" s="37">
        <f t="shared" ca="1" si="1442"/>
        <v>0</v>
      </c>
      <c r="BH710" s="37">
        <f t="shared" ca="1" si="1442"/>
        <v>0</v>
      </c>
      <c r="BI710" s="37">
        <f t="shared" ca="1" si="1442"/>
        <v>0</v>
      </c>
      <c r="BJ710" s="37">
        <f t="shared" ca="1" si="1442"/>
        <v>0</v>
      </c>
      <c r="BK710" s="37">
        <f t="shared" ca="1" si="1442"/>
        <v>0</v>
      </c>
      <c r="BL710" s="37">
        <f t="shared" ca="1" si="1442"/>
        <v>0</v>
      </c>
      <c r="BM710" s="37">
        <f t="shared" ca="1" si="1442"/>
        <v>0</v>
      </c>
      <c r="BN710" s="37">
        <f t="shared" ca="1" si="1442"/>
        <v>0</v>
      </c>
      <c r="BO710" s="37">
        <f t="shared" ca="1" si="1442"/>
        <v>0</v>
      </c>
      <c r="BP710" s="37">
        <f t="shared" ca="1" si="1442"/>
        <v>0</v>
      </c>
      <c r="BQ710" s="37">
        <f t="shared" ca="1" si="1442"/>
        <v>0</v>
      </c>
      <c r="BR710" s="37">
        <f t="shared" ca="1" si="1442"/>
        <v>0</v>
      </c>
      <c r="BS710" s="37">
        <f t="shared" ca="1" si="1442"/>
        <v>0</v>
      </c>
      <c r="BT710" s="37">
        <f t="shared" ca="1" si="1442"/>
        <v>0</v>
      </c>
      <c r="BU710" s="37">
        <f t="shared" ref="BU710:BY710" ca="1" si="1443">+SUM(BU708:BU709)</f>
        <v>0</v>
      </c>
      <c r="BV710" s="37">
        <f t="shared" ca="1" si="1443"/>
        <v>0</v>
      </c>
      <c r="BW710" s="37">
        <f t="shared" ca="1" si="1443"/>
        <v>0</v>
      </c>
      <c r="BX710" s="37">
        <f t="shared" ca="1" si="1443"/>
        <v>0</v>
      </c>
      <c r="BY710" s="37">
        <f t="shared" ca="1" si="1443"/>
        <v>0</v>
      </c>
    </row>
    <row r="711" spans="1:77" s="22" customFormat="1" ht="15" outlineLevel="1">
      <c r="A711"/>
      <c r="E711" t="s">
        <v>480</v>
      </c>
      <c r="F711" s="40" t="s">
        <v>475</v>
      </c>
      <c r="G711"/>
      <c r="H711" s="33">
        <f>-H628+H644-H660+H676</f>
        <v>0</v>
      </c>
      <c r="I711" s="33">
        <f t="shared" ref="I711:BT711" si="1444">-I628+I644-I660+I676</f>
        <v>0</v>
      </c>
      <c r="J711" s="33">
        <f t="shared" si="1444"/>
        <v>0</v>
      </c>
      <c r="K711" s="33">
        <f t="shared" si="1444"/>
        <v>0</v>
      </c>
      <c r="L711" s="33">
        <f t="shared" si="1444"/>
        <v>0</v>
      </c>
      <c r="M711" s="33">
        <f t="shared" si="1444"/>
        <v>0</v>
      </c>
      <c r="N711" s="33">
        <f t="shared" si="1444"/>
        <v>0</v>
      </c>
      <c r="O711" s="33">
        <f t="shared" si="1444"/>
        <v>0</v>
      </c>
      <c r="P711" s="33">
        <f t="shared" si="1444"/>
        <v>0</v>
      </c>
      <c r="Q711" s="33">
        <f t="shared" si="1444"/>
        <v>0</v>
      </c>
      <c r="R711" s="33">
        <f t="shared" si="1444"/>
        <v>0</v>
      </c>
      <c r="S711" s="33">
        <f t="shared" si="1444"/>
        <v>0</v>
      </c>
      <c r="T711" s="33">
        <f t="shared" si="1444"/>
        <v>0</v>
      </c>
      <c r="U711" s="33">
        <f t="shared" si="1444"/>
        <v>0</v>
      </c>
      <c r="V711" s="33">
        <f t="shared" si="1444"/>
        <v>0</v>
      </c>
      <c r="W711" s="33">
        <f t="shared" si="1444"/>
        <v>0</v>
      </c>
      <c r="X711" s="33">
        <f t="shared" si="1444"/>
        <v>0</v>
      </c>
      <c r="Y711" s="33">
        <f t="shared" si="1444"/>
        <v>0</v>
      </c>
      <c r="Z711" s="33">
        <f t="shared" si="1444"/>
        <v>0</v>
      </c>
      <c r="AA711" s="33">
        <f t="shared" si="1444"/>
        <v>0</v>
      </c>
      <c r="AB711" s="33">
        <f t="shared" si="1444"/>
        <v>0</v>
      </c>
      <c r="AC711" s="33">
        <f t="shared" si="1444"/>
        <v>0</v>
      </c>
      <c r="AD711" s="33">
        <f t="shared" si="1444"/>
        <v>0</v>
      </c>
      <c r="AE711" s="33">
        <f t="shared" si="1444"/>
        <v>0</v>
      </c>
      <c r="AF711" s="33">
        <f t="shared" si="1444"/>
        <v>0</v>
      </c>
      <c r="AG711" s="33">
        <f t="shared" si="1444"/>
        <v>0</v>
      </c>
      <c r="AH711" s="33">
        <f t="shared" si="1444"/>
        <v>0</v>
      </c>
      <c r="AI711" s="33">
        <f t="shared" si="1444"/>
        <v>0</v>
      </c>
      <c r="AJ711" s="33">
        <f t="shared" si="1444"/>
        <v>0</v>
      </c>
      <c r="AK711" s="33">
        <f t="shared" si="1444"/>
        <v>0</v>
      </c>
      <c r="AL711" s="33">
        <f t="shared" si="1444"/>
        <v>0</v>
      </c>
      <c r="AM711" s="33">
        <f t="shared" si="1444"/>
        <v>0</v>
      </c>
      <c r="AN711" s="33">
        <f t="shared" si="1444"/>
        <v>0</v>
      </c>
      <c r="AO711" s="33">
        <f t="shared" si="1444"/>
        <v>0</v>
      </c>
      <c r="AP711" s="33">
        <f t="shared" si="1444"/>
        <v>0</v>
      </c>
      <c r="AQ711" s="33">
        <f t="shared" si="1444"/>
        <v>0</v>
      </c>
      <c r="AR711" s="33">
        <f t="shared" si="1444"/>
        <v>0</v>
      </c>
      <c r="AS711" s="33">
        <f t="shared" si="1444"/>
        <v>0</v>
      </c>
      <c r="AT711" s="33">
        <f t="shared" si="1444"/>
        <v>0</v>
      </c>
      <c r="AU711" s="33">
        <f t="shared" si="1444"/>
        <v>0</v>
      </c>
      <c r="AV711" s="33">
        <f t="shared" si="1444"/>
        <v>0</v>
      </c>
      <c r="AW711" s="33">
        <f t="shared" si="1444"/>
        <v>0</v>
      </c>
      <c r="AX711" s="33">
        <f t="shared" si="1444"/>
        <v>0</v>
      </c>
      <c r="AY711" s="33">
        <f t="shared" si="1444"/>
        <v>0</v>
      </c>
      <c r="AZ711" s="33">
        <f t="shared" si="1444"/>
        <v>0</v>
      </c>
      <c r="BA711" s="33">
        <f t="shared" si="1444"/>
        <v>0</v>
      </c>
      <c r="BB711" s="33">
        <f t="shared" si="1444"/>
        <v>0</v>
      </c>
      <c r="BC711" s="33">
        <f t="shared" si="1444"/>
        <v>0</v>
      </c>
      <c r="BD711" s="33">
        <f t="shared" si="1444"/>
        <v>0</v>
      </c>
      <c r="BE711" s="33">
        <f t="shared" si="1444"/>
        <v>0</v>
      </c>
      <c r="BF711" s="33">
        <f t="shared" si="1444"/>
        <v>0</v>
      </c>
      <c r="BG711" s="33">
        <f t="shared" si="1444"/>
        <v>0</v>
      </c>
      <c r="BH711" s="33">
        <f t="shared" si="1444"/>
        <v>0</v>
      </c>
      <c r="BI711" s="33">
        <f t="shared" si="1444"/>
        <v>0</v>
      </c>
      <c r="BJ711" s="33">
        <f t="shared" si="1444"/>
        <v>0</v>
      </c>
      <c r="BK711" s="33">
        <f t="shared" si="1444"/>
        <v>0</v>
      </c>
      <c r="BL711" s="33">
        <f t="shared" si="1444"/>
        <v>0</v>
      </c>
      <c r="BM711" s="33">
        <f t="shared" si="1444"/>
        <v>0</v>
      </c>
      <c r="BN711" s="33">
        <f t="shared" si="1444"/>
        <v>0</v>
      </c>
      <c r="BO711" s="33">
        <f t="shared" si="1444"/>
        <v>0</v>
      </c>
      <c r="BP711" s="33">
        <f t="shared" si="1444"/>
        <v>0</v>
      </c>
      <c r="BQ711" s="33">
        <f t="shared" si="1444"/>
        <v>0</v>
      </c>
      <c r="BR711" s="33">
        <f t="shared" si="1444"/>
        <v>0</v>
      </c>
      <c r="BS711" s="33">
        <f t="shared" si="1444"/>
        <v>0</v>
      </c>
      <c r="BT711" s="33">
        <f t="shared" si="1444"/>
        <v>0</v>
      </c>
      <c r="BU711" s="33">
        <f t="shared" ref="BU711:BY711" si="1445">-BU628+BU644-BU660+BU676</f>
        <v>0</v>
      </c>
      <c r="BV711" s="33">
        <f t="shared" si="1445"/>
        <v>0</v>
      </c>
      <c r="BW711" s="33">
        <f t="shared" si="1445"/>
        <v>0</v>
      </c>
      <c r="BX711" s="33">
        <f t="shared" si="1445"/>
        <v>0</v>
      </c>
      <c r="BY711" s="33">
        <f t="shared" si="1445"/>
        <v>0</v>
      </c>
    </row>
    <row r="712" spans="1:77" s="22" customFormat="1" ht="15" outlineLevel="1">
      <c r="A712"/>
      <c r="E712" s="25" t="s">
        <v>468</v>
      </c>
      <c r="F712" s="30" t="s">
        <v>466</v>
      </c>
      <c r="G712" s="25"/>
      <c r="H712" s="34">
        <f ca="1">+H695</f>
        <v>0</v>
      </c>
      <c r="I712" s="34">
        <f t="shared" ref="I712:BT712" ca="1" si="1446">+I695</f>
        <v>0</v>
      </c>
      <c r="J712" s="34">
        <f t="shared" ca="1" si="1446"/>
        <v>0</v>
      </c>
      <c r="K712" s="34">
        <f t="shared" ca="1" si="1446"/>
        <v>0</v>
      </c>
      <c r="L712" s="34">
        <f t="shared" ca="1" si="1446"/>
        <v>0</v>
      </c>
      <c r="M712" s="34">
        <f t="shared" ca="1" si="1446"/>
        <v>0</v>
      </c>
      <c r="N712" s="34">
        <f t="shared" ca="1" si="1446"/>
        <v>0</v>
      </c>
      <c r="O712" s="34">
        <f t="shared" ca="1" si="1446"/>
        <v>0</v>
      </c>
      <c r="P712" s="34">
        <f t="shared" ca="1" si="1446"/>
        <v>0</v>
      </c>
      <c r="Q712" s="34">
        <f t="shared" ca="1" si="1446"/>
        <v>0</v>
      </c>
      <c r="R712" s="34">
        <f t="shared" ca="1" si="1446"/>
        <v>0</v>
      </c>
      <c r="S712" s="34">
        <f t="shared" ca="1" si="1446"/>
        <v>0</v>
      </c>
      <c r="T712" s="34">
        <f t="shared" ca="1" si="1446"/>
        <v>0</v>
      </c>
      <c r="U712" s="34">
        <f t="shared" ca="1" si="1446"/>
        <v>0</v>
      </c>
      <c r="V712" s="34">
        <f t="shared" ca="1" si="1446"/>
        <v>0</v>
      </c>
      <c r="W712" s="34">
        <f t="shared" ca="1" si="1446"/>
        <v>0</v>
      </c>
      <c r="X712" s="34">
        <f t="shared" ca="1" si="1446"/>
        <v>0</v>
      </c>
      <c r="Y712" s="34">
        <f t="shared" ca="1" si="1446"/>
        <v>0</v>
      </c>
      <c r="Z712" s="34">
        <f t="shared" ca="1" si="1446"/>
        <v>0</v>
      </c>
      <c r="AA712" s="34">
        <f t="shared" ca="1" si="1446"/>
        <v>0</v>
      </c>
      <c r="AB712" s="34">
        <f t="shared" ca="1" si="1446"/>
        <v>0</v>
      </c>
      <c r="AC712" s="34">
        <f t="shared" ca="1" si="1446"/>
        <v>0</v>
      </c>
      <c r="AD712" s="34">
        <f t="shared" ca="1" si="1446"/>
        <v>0</v>
      </c>
      <c r="AE712" s="34">
        <f t="shared" ca="1" si="1446"/>
        <v>0</v>
      </c>
      <c r="AF712" s="34">
        <f t="shared" ca="1" si="1446"/>
        <v>0</v>
      </c>
      <c r="AG712" s="34">
        <f t="shared" ca="1" si="1446"/>
        <v>0</v>
      </c>
      <c r="AH712" s="34">
        <f t="shared" ca="1" si="1446"/>
        <v>0</v>
      </c>
      <c r="AI712" s="34">
        <f t="shared" ca="1" si="1446"/>
        <v>0</v>
      </c>
      <c r="AJ712" s="34">
        <f t="shared" ca="1" si="1446"/>
        <v>0</v>
      </c>
      <c r="AK712" s="34">
        <f t="shared" ca="1" si="1446"/>
        <v>0</v>
      </c>
      <c r="AL712" s="34">
        <f t="shared" ca="1" si="1446"/>
        <v>0</v>
      </c>
      <c r="AM712" s="34">
        <f t="shared" ca="1" si="1446"/>
        <v>0</v>
      </c>
      <c r="AN712" s="34">
        <f t="shared" ca="1" si="1446"/>
        <v>0</v>
      </c>
      <c r="AO712" s="34">
        <f t="shared" ca="1" si="1446"/>
        <v>0</v>
      </c>
      <c r="AP712" s="34">
        <f t="shared" ca="1" si="1446"/>
        <v>0</v>
      </c>
      <c r="AQ712" s="34">
        <f t="shared" ca="1" si="1446"/>
        <v>0</v>
      </c>
      <c r="AR712" s="34">
        <f t="shared" ca="1" si="1446"/>
        <v>0</v>
      </c>
      <c r="AS712" s="34">
        <f t="shared" ca="1" si="1446"/>
        <v>0</v>
      </c>
      <c r="AT712" s="34">
        <f t="shared" ca="1" si="1446"/>
        <v>0</v>
      </c>
      <c r="AU712" s="34">
        <f t="shared" ca="1" si="1446"/>
        <v>0</v>
      </c>
      <c r="AV712" s="34">
        <f t="shared" ca="1" si="1446"/>
        <v>0</v>
      </c>
      <c r="AW712" s="34">
        <f t="shared" ca="1" si="1446"/>
        <v>0</v>
      </c>
      <c r="AX712" s="34">
        <f t="shared" ca="1" si="1446"/>
        <v>0</v>
      </c>
      <c r="AY712" s="34">
        <f t="shared" ca="1" si="1446"/>
        <v>0</v>
      </c>
      <c r="AZ712" s="34">
        <f t="shared" ca="1" si="1446"/>
        <v>0</v>
      </c>
      <c r="BA712" s="34">
        <f t="shared" ca="1" si="1446"/>
        <v>0</v>
      </c>
      <c r="BB712" s="34">
        <f t="shared" ca="1" si="1446"/>
        <v>0</v>
      </c>
      <c r="BC712" s="34">
        <f t="shared" ca="1" si="1446"/>
        <v>0</v>
      </c>
      <c r="BD712" s="34">
        <f t="shared" ca="1" si="1446"/>
        <v>0</v>
      </c>
      <c r="BE712" s="34">
        <f t="shared" ca="1" si="1446"/>
        <v>0</v>
      </c>
      <c r="BF712" s="34">
        <f t="shared" ca="1" si="1446"/>
        <v>0</v>
      </c>
      <c r="BG712" s="34">
        <f t="shared" ca="1" si="1446"/>
        <v>0</v>
      </c>
      <c r="BH712" s="34">
        <f t="shared" ca="1" si="1446"/>
        <v>0</v>
      </c>
      <c r="BI712" s="34">
        <f t="shared" ca="1" si="1446"/>
        <v>0</v>
      </c>
      <c r="BJ712" s="34">
        <f t="shared" ca="1" si="1446"/>
        <v>0</v>
      </c>
      <c r="BK712" s="34">
        <f t="shared" ca="1" si="1446"/>
        <v>0</v>
      </c>
      <c r="BL712" s="34">
        <f t="shared" ca="1" si="1446"/>
        <v>0</v>
      </c>
      <c r="BM712" s="34">
        <f t="shared" ca="1" si="1446"/>
        <v>0</v>
      </c>
      <c r="BN712" s="34">
        <f t="shared" ca="1" si="1446"/>
        <v>0</v>
      </c>
      <c r="BO712" s="34">
        <f t="shared" ca="1" si="1446"/>
        <v>0</v>
      </c>
      <c r="BP712" s="34">
        <f t="shared" ca="1" si="1446"/>
        <v>0</v>
      </c>
      <c r="BQ712" s="34">
        <f t="shared" ca="1" si="1446"/>
        <v>0</v>
      </c>
      <c r="BR712" s="34">
        <f t="shared" ca="1" si="1446"/>
        <v>0</v>
      </c>
      <c r="BS712" s="34">
        <f t="shared" ca="1" si="1446"/>
        <v>0</v>
      </c>
      <c r="BT712" s="34">
        <f t="shared" ca="1" si="1446"/>
        <v>0</v>
      </c>
      <c r="BU712" s="34">
        <f t="shared" ref="BU712:BY712" ca="1" si="1447">+BU695</f>
        <v>0</v>
      </c>
      <c r="BV712" s="34">
        <f t="shared" ca="1" si="1447"/>
        <v>0</v>
      </c>
      <c r="BW712" s="34">
        <f t="shared" ca="1" si="1447"/>
        <v>0</v>
      </c>
      <c r="BX712" s="34">
        <f t="shared" ca="1" si="1447"/>
        <v>0</v>
      </c>
      <c r="BY712" s="34">
        <f t="shared" ca="1" si="1447"/>
        <v>0</v>
      </c>
    </row>
    <row r="713" spans="1:77" s="22" customFormat="1" ht="15" outlineLevel="1">
      <c r="A713"/>
      <c r="E713" s="22" t="s">
        <v>481</v>
      </c>
      <c r="F713" s="36" t="s">
        <v>470</v>
      </c>
      <c r="G713" s="45"/>
      <c r="H713" s="47">
        <f ca="1">+SUM(H710:H712)</f>
        <v>0</v>
      </c>
      <c r="I713" s="47">
        <f t="shared" ref="I713:BT713" ca="1" si="1448">+SUM(I710:I712)</f>
        <v>0</v>
      </c>
      <c r="J713" s="47">
        <f t="shared" ca="1" si="1448"/>
        <v>0</v>
      </c>
      <c r="K713" s="47">
        <f t="shared" ca="1" si="1448"/>
        <v>0</v>
      </c>
      <c r="L713" s="47">
        <f t="shared" ca="1" si="1448"/>
        <v>0</v>
      </c>
      <c r="M713" s="47">
        <f t="shared" ca="1" si="1448"/>
        <v>0</v>
      </c>
      <c r="N713" s="47">
        <f t="shared" ca="1" si="1448"/>
        <v>0</v>
      </c>
      <c r="O713" s="47">
        <f t="shared" ca="1" si="1448"/>
        <v>0</v>
      </c>
      <c r="P713" s="47">
        <f t="shared" ca="1" si="1448"/>
        <v>0</v>
      </c>
      <c r="Q713" s="47">
        <f t="shared" ca="1" si="1448"/>
        <v>0</v>
      </c>
      <c r="R713" s="47">
        <f t="shared" ca="1" si="1448"/>
        <v>0</v>
      </c>
      <c r="S713" s="47">
        <f t="shared" ca="1" si="1448"/>
        <v>0</v>
      </c>
      <c r="T713" s="47">
        <f t="shared" ca="1" si="1448"/>
        <v>0</v>
      </c>
      <c r="U713" s="47">
        <f t="shared" ca="1" si="1448"/>
        <v>0</v>
      </c>
      <c r="V713" s="47">
        <f t="shared" ca="1" si="1448"/>
        <v>0</v>
      </c>
      <c r="W713" s="47">
        <f t="shared" ca="1" si="1448"/>
        <v>0</v>
      </c>
      <c r="X713" s="47">
        <f t="shared" ca="1" si="1448"/>
        <v>0</v>
      </c>
      <c r="Y713" s="47">
        <f t="shared" ca="1" si="1448"/>
        <v>0</v>
      </c>
      <c r="Z713" s="47">
        <f t="shared" ca="1" si="1448"/>
        <v>0</v>
      </c>
      <c r="AA713" s="47">
        <f t="shared" ca="1" si="1448"/>
        <v>0</v>
      </c>
      <c r="AB713" s="47">
        <f t="shared" ca="1" si="1448"/>
        <v>0</v>
      </c>
      <c r="AC713" s="47">
        <f t="shared" ca="1" si="1448"/>
        <v>0</v>
      </c>
      <c r="AD713" s="47">
        <f t="shared" ca="1" si="1448"/>
        <v>0</v>
      </c>
      <c r="AE713" s="47">
        <f t="shared" ca="1" si="1448"/>
        <v>0</v>
      </c>
      <c r="AF713" s="47">
        <f t="shared" ca="1" si="1448"/>
        <v>0</v>
      </c>
      <c r="AG713" s="47">
        <f t="shared" ca="1" si="1448"/>
        <v>0</v>
      </c>
      <c r="AH713" s="47">
        <f t="shared" ca="1" si="1448"/>
        <v>0</v>
      </c>
      <c r="AI713" s="47">
        <f t="shared" ca="1" si="1448"/>
        <v>0</v>
      </c>
      <c r="AJ713" s="47">
        <f t="shared" ca="1" si="1448"/>
        <v>0</v>
      </c>
      <c r="AK713" s="47">
        <f t="shared" ca="1" si="1448"/>
        <v>0</v>
      </c>
      <c r="AL713" s="47">
        <f t="shared" ca="1" si="1448"/>
        <v>0</v>
      </c>
      <c r="AM713" s="47">
        <f t="shared" ca="1" si="1448"/>
        <v>0</v>
      </c>
      <c r="AN713" s="47">
        <f t="shared" ca="1" si="1448"/>
        <v>0</v>
      </c>
      <c r="AO713" s="47">
        <f t="shared" ca="1" si="1448"/>
        <v>0</v>
      </c>
      <c r="AP713" s="47">
        <f t="shared" ca="1" si="1448"/>
        <v>0</v>
      </c>
      <c r="AQ713" s="47">
        <f t="shared" ca="1" si="1448"/>
        <v>0</v>
      </c>
      <c r="AR713" s="47">
        <f t="shared" ca="1" si="1448"/>
        <v>0</v>
      </c>
      <c r="AS713" s="47">
        <f t="shared" ca="1" si="1448"/>
        <v>0</v>
      </c>
      <c r="AT713" s="47">
        <f t="shared" ca="1" si="1448"/>
        <v>0</v>
      </c>
      <c r="AU713" s="47">
        <f t="shared" ca="1" si="1448"/>
        <v>0</v>
      </c>
      <c r="AV713" s="47">
        <f t="shared" ca="1" si="1448"/>
        <v>0</v>
      </c>
      <c r="AW713" s="47">
        <f t="shared" ca="1" si="1448"/>
        <v>0</v>
      </c>
      <c r="AX713" s="47">
        <f t="shared" ca="1" si="1448"/>
        <v>0</v>
      </c>
      <c r="AY713" s="47">
        <f t="shared" ca="1" si="1448"/>
        <v>0</v>
      </c>
      <c r="AZ713" s="47">
        <f t="shared" ca="1" si="1448"/>
        <v>0</v>
      </c>
      <c r="BA713" s="47">
        <f t="shared" ca="1" si="1448"/>
        <v>0</v>
      </c>
      <c r="BB713" s="47">
        <f t="shared" ca="1" si="1448"/>
        <v>0</v>
      </c>
      <c r="BC713" s="47">
        <f t="shared" ca="1" si="1448"/>
        <v>0</v>
      </c>
      <c r="BD713" s="47">
        <f t="shared" ca="1" si="1448"/>
        <v>0</v>
      </c>
      <c r="BE713" s="47">
        <f t="shared" ca="1" si="1448"/>
        <v>0</v>
      </c>
      <c r="BF713" s="47">
        <f t="shared" ca="1" si="1448"/>
        <v>0</v>
      </c>
      <c r="BG713" s="47">
        <f t="shared" ca="1" si="1448"/>
        <v>0</v>
      </c>
      <c r="BH713" s="47">
        <f t="shared" ca="1" si="1448"/>
        <v>0</v>
      </c>
      <c r="BI713" s="47">
        <f t="shared" ca="1" si="1448"/>
        <v>0</v>
      </c>
      <c r="BJ713" s="47">
        <f t="shared" ca="1" si="1448"/>
        <v>0</v>
      </c>
      <c r="BK713" s="47">
        <f t="shared" ca="1" si="1448"/>
        <v>0</v>
      </c>
      <c r="BL713" s="47">
        <f t="shared" ca="1" si="1448"/>
        <v>0</v>
      </c>
      <c r="BM713" s="47">
        <f t="shared" ca="1" si="1448"/>
        <v>0</v>
      </c>
      <c r="BN713" s="47">
        <f t="shared" ca="1" si="1448"/>
        <v>0</v>
      </c>
      <c r="BO713" s="47">
        <f t="shared" ca="1" si="1448"/>
        <v>0</v>
      </c>
      <c r="BP713" s="47">
        <f t="shared" ca="1" si="1448"/>
        <v>0</v>
      </c>
      <c r="BQ713" s="47">
        <f t="shared" ca="1" si="1448"/>
        <v>0</v>
      </c>
      <c r="BR713" s="47">
        <f t="shared" ca="1" si="1448"/>
        <v>0</v>
      </c>
      <c r="BS713" s="47">
        <f t="shared" ca="1" si="1448"/>
        <v>0</v>
      </c>
      <c r="BT713" s="47">
        <f t="shared" ca="1" si="1448"/>
        <v>0</v>
      </c>
      <c r="BU713" s="47">
        <f t="shared" ref="BU713:BY713" ca="1" si="1449">+SUM(BU710:BU712)</f>
        <v>0</v>
      </c>
      <c r="BV713" s="47">
        <f t="shared" ca="1" si="1449"/>
        <v>0</v>
      </c>
      <c r="BW713" s="47">
        <f t="shared" ca="1" si="1449"/>
        <v>0</v>
      </c>
      <c r="BX713" s="47">
        <f t="shared" ca="1" si="1449"/>
        <v>0</v>
      </c>
      <c r="BY713" s="47">
        <f t="shared" ca="1" si="1449"/>
        <v>0</v>
      </c>
    </row>
    <row r="714" spans="1:77">
      <c r="BF714" s="33"/>
      <c r="BG714" s="33"/>
      <c r="BH714" s="33"/>
      <c r="BI714" s="33"/>
      <c r="BJ714" s="33"/>
      <c r="BK714" s="33"/>
      <c r="BL714" s="33"/>
      <c r="BM714" s="33"/>
      <c r="BN714" s="33"/>
      <c r="BO714" s="33"/>
      <c r="BP714" s="33"/>
      <c r="BQ714" s="33"/>
      <c r="BR714" s="33"/>
      <c r="BS714" s="33"/>
      <c r="BT714" s="33"/>
      <c r="BU714" s="33"/>
      <c r="BV714" s="33"/>
      <c r="BW714" s="33"/>
      <c r="BX714" s="33"/>
      <c r="BY714" s="33"/>
    </row>
    <row r="715" spans="1:77">
      <c r="BF715" s="33"/>
      <c r="BG715" s="33"/>
      <c r="BH715" s="33"/>
      <c r="BI715" s="33"/>
      <c r="BJ715" s="33"/>
      <c r="BK715" s="33"/>
      <c r="BL715" s="33"/>
      <c r="BM715" s="33"/>
      <c r="BN715" s="33"/>
      <c r="BO715" s="33"/>
      <c r="BP715" s="33"/>
      <c r="BQ715" s="33"/>
      <c r="BR715" s="33"/>
      <c r="BS715" s="33"/>
      <c r="BT715" s="33"/>
      <c r="BU715" s="33"/>
      <c r="BV715" s="33"/>
      <c r="BW715" s="33"/>
      <c r="BX715" s="33"/>
      <c r="BY715" s="33"/>
    </row>
    <row r="716" spans="1:77" s="66" customFormat="1" ht="15">
      <c r="A716" s="66" t="str">
        <f>+A182</f>
        <v>2.0 Ports</v>
      </c>
    </row>
    <row r="717" spans="1:77" s="19" customFormat="1" outlineLevel="1">
      <c r="A717"/>
      <c r="B717" s="18" t="s">
        <v>251</v>
      </c>
    </row>
    <row r="718" spans="1:77" outlineLevel="1">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row>
    <row r="719" spans="1:77" outlineLevel="1">
      <c r="E719" t="s">
        <v>487</v>
      </c>
      <c r="F719" s="23" t="s">
        <v>423</v>
      </c>
      <c r="H719" s="31">
        <f>IFERROR(+(1+Assumptions!$H$10)^(YEARFRAC(Assumptions!$H$11,H$4)),"")</f>
        <v>1.02</v>
      </c>
      <c r="I719" s="31">
        <f>IFERROR(+(1+Assumptions!$H$10)^(YEARFRAC(Assumptions!$H$11,I$4)),"")</f>
        <v>1.0404</v>
      </c>
      <c r="J719" s="31">
        <f>IFERROR(+(1+Assumptions!$H$10)^(YEARFRAC(Assumptions!$H$11,J$4)),"")</f>
        <v>1.0612079999999999</v>
      </c>
      <c r="K719" s="31">
        <f>IFERROR(+(1+Assumptions!$H$10)^(YEARFRAC(Assumptions!$H$11,K$4)),"")</f>
        <v>1.08243216</v>
      </c>
      <c r="L719" s="31">
        <f>IFERROR(+(1+Assumptions!$H$10)^(YEARFRAC(Assumptions!$H$11,L$4)),"")</f>
        <v>1.1040808032</v>
      </c>
      <c r="M719" s="31">
        <f>IFERROR(+(1+Assumptions!$H$10)^(YEARFRAC(Assumptions!$H$11,M$4)),"")</f>
        <v>1.1261624192640001</v>
      </c>
      <c r="N719" s="31">
        <f>IFERROR(+(1+Assumptions!$H$10)^(YEARFRAC(Assumptions!$H$11,N$4)),"")</f>
        <v>1.1486856676492798</v>
      </c>
      <c r="O719" s="31">
        <f>IFERROR(+(1+Assumptions!$H$10)^(YEARFRAC(Assumptions!$H$11,O$4)),"")</f>
        <v>1.1716593810022655</v>
      </c>
      <c r="P719" s="31">
        <f>IFERROR(+(1+Assumptions!$H$10)^(YEARFRAC(Assumptions!$H$11,P$4)),"")</f>
        <v>1.1950925686223108</v>
      </c>
      <c r="Q719" s="31">
        <f>IFERROR(+(1+Assumptions!$H$10)^(YEARFRAC(Assumptions!$H$11,Q$4)),"")</f>
        <v>1.2189944199947571</v>
      </c>
      <c r="R719" s="31">
        <f>IFERROR(+(1+Assumptions!$H$10)^(YEARFRAC(Assumptions!$H$11,R$4)),"")</f>
        <v>1.243374308394652</v>
      </c>
      <c r="S719" s="31">
        <f>IFERROR(+(1+Assumptions!$H$10)^(YEARFRAC(Assumptions!$H$11,S$4)),"")</f>
        <v>1.2682417945625453</v>
      </c>
      <c r="T719" s="31">
        <f>IFERROR(+(1+Assumptions!$H$10)^(YEARFRAC(Assumptions!$H$11,T$4)),"")</f>
        <v>1.2936066304537961</v>
      </c>
      <c r="U719" s="31">
        <f>IFERROR(+(1+Assumptions!$H$10)^(YEARFRAC(Assumptions!$H$11,U$4)),"")</f>
        <v>1.3194787630628722</v>
      </c>
      <c r="V719" s="31">
        <f>IFERROR(+(1+Assumptions!$H$10)^(YEARFRAC(Assumptions!$H$11,V$4)),"")</f>
        <v>1.3458683383241292</v>
      </c>
      <c r="W719" s="31">
        <f>IFERROR(+(1+Assumptions!$H$10)^(YEARFRAC(Assumptions!$H$11,W$4)),"")</f>
        <v>1.372785705090612</v>
      </c>
      <c r="X719" s="31">
        <f>IFERROR(+(1+Assumptions!$H$10)^(YEARFRAC(Assumptions!$H$11,X$4)),"")</f>
        <v>1.4002414191924244</v>
      </c>
      <c r="Y719" s="31">
        <f>IFERROR(+(1+Assumptions!$H$10)^(YEARFRAC(Assumptions!$H$11,Y$4)),"")</f>
        <v>1.4282462475762727</v>
      </c>
      <c r="Z719" s="31">
        <f>IFERROR(+(1+Assumptions!$H$10)^(YEARFRAC(Assumptions!$H$11,Z$4)),"")</f>
        <v>1.4568111725277981</v>
      </c>
      <c r="AA719" s="31" t="str">
        <f>IFERROR(+(1+Assumptions!$H$10)^(YEARFRAC(Assumptions!$H$11,AA$4)),"")</f>
        <v/>
      </c>
      <c r="AB719" s="31" t="str">
        <f>IFERROR(+(1+Assumptions!$H$10)^(YEARFRAC(Assumptions!$H$11,AB$4)),"")</f>
        <v/>
      </c>
      <c r="AC719" s="31" t="str">
        <f>IFERROR(+(1+Assumptions!$H$10)^(YEARFRAC(Assumptions!$H$11,AC$4)),"")</f>
        <v/>
      </c>
      <c r="AD719" s="31" t="str">
        <f>IFERROR(+(1+Assumptions!$H$10)^(YEARFRAC(Assumptions!$H$11,AD$4)),"")</f>
        <v/>
      </c>
      <c r="AE719" s="31" t="str">
        <f>IFERROR(+(1+Assumptions!$H$10)^(YEARFRAC(Assumptions!$H$11,AE$4)),"")</f>
        <v/>
      </c>
      <c r="AF719" s="31" t="str">
        <f>IFERROR(+(1+Assumptions!$H$10)^(YEARFRAC(Assumptions!$H$11,AF$4)),"")</f>
        <v/>
      </c>
      <c r="AG719" s="31" t="str">
        <f>IFERROR(+(1+Assumptions!$H$10)^(YEARFRAC(Assumptions!$H$11,AG$4)),"")</f>
        <v/>
      </c>
      <c r="AH719" s="31" t="str">
        <f>IFERROR(+(1+Assumptions!$H$10)^(YEARFRAC(Assumptions!$H$11,AH$4)),"")</f>
        <v/>
      </c>
      <c r="AI719" s="31" t="str">
        <f>IFERROR(+(1+Assumptions!$H$10)^(YEARFRAC(Assumptions!$H$11,AI$4)),"")</f>
        <v/>
      </c>
      <c r="AJ719" s="31" t="str">
        <f>IFERROR(+(1+Assumptions!$H$10)^(YEARFRAC(Assumptions!$H$11,AJ$4)),"")</f>
        <v/>
      </c>
      <c r="AK719" s="31" t="str">
        <f>IFERROR(+(1+Assumptions!$H$10)^(YEARFRAC(Assumptions!$H$11,AK$4)),"")</f>
        <v/>
      </c>
      <c r="AL719" s="31" t="str">
        <f>IFERROR(+(1+Assumptions!$H$10)^(YEARFRAC(Assumptions!$H$11,AL$4)),"")</f>
        <v/>
      </c>
      <c r="AM719" s="31" t="str">
        <f>IFERROR(+(1+Assumptions!$H$10)^(YEARFRAC(Assumptions!$H$11,AM$4)),"")</f>
        <v/>
      </c>
      <c r="AN719" s="31" t="str">
        <f>IFERROR(+(1+Assumptions!$H$10)^(YEARFRAC(Assumptions!$H$11,AN$4)),"")</f>
        <v/>
      </c>
      <c r="AO719" s="31" t="str">
        <f>IFERROR(+(1+Assumptions!$H$10)^(YEARFRAC(Assumptions!$H$11,AO$4)),"")</f>
        <v/>
      </c>
      <c r="AP719" s="31" t="str">
        <f>IFERROR(+(1+Assumptions!$H$10)^(YEARFRAC(Assumptions!$H$11,AP$4)),"")</f>
        <v/>
      </c>
      <c r="AQ719" s="31" t="str">
        <f>IFERROR(+(1+Assumptions!$H$10)^(YEARFRAC(Assumptions!$H$11,AQ$4)),"")</f>
        <v/>
      </c>
      <c r="AR719" s="31" t="str">
        <f>IFERROR(+(1+Assumptions!$H$10)^(YEARFRAC(Assumptions!$H$11,AR$4)),"")</f>
        <v/>
      </c>
      <c r="AS719" s="31" t="str">
        <f>IFERROR(+(1+Assumptions!$H$10)^(YEARFRAC(Assumptions!$H$11,AS$4)),"")</f>
        <v/>
      </c>
      <c r="AT719" s="31" t="str">
        <f>IFERROR(+(1+Assumptions!$H$10)^(YEARFRAC(Assumptions!$H$11,AT$4)),"")</f>
        <v/>
      </c>
      <c r="AU719" s="31" t="str">
        <f>IFERROR(+(1+Assumptions!$H$10)^(YEARFRAC(Assumptions!$H$11,AU$4)),"")</f>
        <v/>
      </c>
      <c r="AV719" s="31" t="str">
        <f>IFERROR(+(1+Assumptions!$H$10)^(YEARFRAC(Assumptions!$H$11,AV$4)),"")</f>
        <v/>
      </c>
      <c r="AW719" s="31" t="str">
        <f>IFERROR(+(1+Assumptions!$H$10)^(YEARFRAC(Assumptions!$H$11,AW$4)),"")</f>
        <v/>
      </c>
      <c r="AX719" s="31" t="str">
        <f>IFERROR(+(1+Assumptions!$H$10)^(YEARFRAC(Assumptions!$H$11,AX$4)),"")</f>
        <v/>
      </c>
      <c r="AY719" s="31" t="str">
        <f>IFERROR(+(1+Assumptions!$H$10)^(YEARFRAC(Assumptions!$H$11,AY$4)),"")</f>
        <v/>
      </c>
      <c r="AZ719" s="31" t="str">
        <f>IFERROR(+(1+Assumptions!$H$10)^(YEARFRAC(Assumptions!$H$11,AZ$4)),"")</f>
        <v/>
      </c>
      <c r="BA719" s="31" t="str">
        <f>IFERROR(+(1+Assumptions!$H$10)^(YEARFRAC(Assumptions!$H$11,BA$4)),"")</f>
        <v/>
      </c>
      <c r="BB719" s="31" t="str">
        <f>IFERROR(+(1+Assumptions!$H$10)^(YEARFRAC(Assumptions!$H$11,BB$4)),"")</f>
        <v/>
      </c>
      <c r="BC719" s="31" t="str">
        <f>IFERROR(+(1+Assumptions!$H$10)^(YEARFRAC(Assumptions!$H$11,BC$4)),"")</f>
        <v/>
      </c>
      <c r="BD719" s="31" t="str">
        <f>IFERROR(+(1+Assumptions!$H$10)^(YEARFRAC(Assumptions!$H$11,BD$4)),"")</f>
        <v/>
      </c>
      <c r="BE719" s="31" t="str">
        <f>IFERROR(+(1+Assumptions!$H$10)^(YEARFRAC(Assumptions!$H$11,BE$4)),"")</f>
        <v/>
      </c>
      <c r="BF719" s="31" t="str">
        <f>IFERROR(+(1+Assumptions!$H$10)^(YEARFRAC(Assumptions!$H$11,BF$4)),"")</f>
        <v/>
      </c>
      <c r="BG719" s="31" t="str">
        <f>IFERROR(+(1+Assumptions!$H$10)^(YEARFRAC(Assumptions!$H$11,BG$4)),"")</f>
        <v/>
      </c>
      <c r="BH719" s="31" t="str">
        <f>IFERROR(+(1+Assumptions!$H$10)^(YEARFRAC(Assumptions!$H$11,BH$4)),"")</f>
        <v/>
      </c>
      <c r="BI719" s="31" t="str">
        <f>IFERROR(+(1+Assumptions!$H$10)^(YEARFRAC(Assumptions!$H$11,BI$4)),"")</f>
        <v/>
      </c>
      <c r="BJ719" s="31" t="str">
        <f>IFERROR(+(1+Assumptions!$H$10)^(YEARFRAC(Assumptions!$H$11,BJ$4)),"")</f>
        <v/>
      </c>
      <c r="BK719" s="31" t="str">
        <f>IFERROR(+(1+Assumptions!$H$10)^(YEARFRAC(Assumptions!$H$11,BK$4)),"")</f>
        <v/>
      </c>
      <c r="BL719" s="31" t="str">
        <f>IFERROR(+(1+Assumptions!$H$10)^(YEARFRAC(Assumptions!$H$11,BL$4)),"")</f>
        <v/>
      </c>
      <c r="BM719" s="31" t="str">
        <f>IFERROR(+(1+Assumptions!$H$10)^(YEARFRAC(Assumptions!$H$11,BM$4)),"")</f>
        <v/>
      </c>
      <c r="BN719" s="31" t="str">
        <f>IFERROR(+(1+Assumptions!$H$10)^(YEARFRAC(Assumptions!$H$11,BN$4)),"")</f>
        <v/>
      </c>
      <c r="BO719" s="31" t="str">
        <f>IFERROR(+(1+Assumptions!$H$10)^(YEARFRAC(Assumptions!$H$11,BO$4)),"")</f>
        <v/>
      </c>
      <c r="BP719" s="31" t="str">
        <f>IFERROR(+(1+Assumptions!$H$10)^(YEARFRAC(Assumptions!$H$11,BP$4)),"")</f>
        <v/>
      </c>
      <c r="BQ719" s="31" t="str">
        <f>IFERROR(+(1+Assumptions!$H$10)^(YEARFRAC(Assumptions!$H$11,BQ$4)),"")</f>
        <v/>
      </c>
      <c r="BR719" s="31" t="str">
        <f>IFERROR(+(1+Assumptions!$H$10)^(YEARFRAC(Assumptions!$H$11,BR$4)),"")</f>
        <v/>
      </c>
      <c r="BS719" s="31" t="str">
        <f>IFERROR(+(1+Assumptions!$H$10)^(YEARFRAC(Assumptions!$H$11,BS$4)),"")</f>
        <v/>
      </c>
      <c r="BT719" s="31" t="str">
        <f>IFERROR(+(1+Assumptions!$H$10)^(YEARFRAC(Assumptions!$H$11,BT$4)),"")</f>
        <v/>
      </c>
      <c r="BU719" s="31" t="str">
        <f>IFERROR(+(1+Assumptions!$H$10)^(YEARFRAC(Assumptions!$H$11,BU$4)),"")</f>
        <v/>
      </c>
      <c r="BV719" s="31" t="str">
        <f>IFERROR(+(1+Assumptions!$H$10)^(YEARFRAC(Assumptions!$H$11,BV$4)),"")</f>
        <v/>
      </c>
      <c r="BW719" s="31" t="str">
        <f>IFERROR(+(1+Assumptions!$H$10)^(YEARFRAC(Assumptions!$H$11,BW$4)),"")</f>
        <v/>
      </c>
      <c r="BX719" s="31" t="str">
        <f>IFERROR(+(1+Assumptions!$H$10)^(YEARFRAC(Assumptions!$H$11,BX$4)),"")</f>
        <v/>
      </c>
      <c r="BY719" s="31" t="str">
        <f>IFERROR(+(1+Assumptions!$H$10)^(YEARFRAC(Assumptions!$H$11,BY$4)),"")</f>
        <v/>
      </c>
    </row>
    <row r="720" spans="1:77" outlineLevel="1"/>
    <row r="721" spans="2:77" ht="15" outlineLevel="1">
      <c r="E721" s="22" t="s">
        <v>365</v>
      </c>
      <c r="H721" s="41"/>
      <c r="I721" s="41"/>
      <c r="J721" s="41"/>
      <c r="K721" s="41"/>
      <c r="L721" s="41"/>
      <c r="M721" s="41"/>
      <c r="N721" s="41"/>
      <c r="O721" s="41"/>
      <c r="P721" s="41"/>
      <c r="Q721" s="41"/>
      <c r="R721" s="41"/>
      <c r="S721" s="41"/>
      <c r="T721" s="41"/>
      <c r="U721" s="41"/>
      <c r="V721" s="41"/>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41"/>
      <c r="BC721" s="41"/>
      <c r="BD721" s="41"/>
      <c r="BE721" s="41"/>
      <c r="BF721" s="41"/>
      <c r="BG721" s="41"/>
      <c r="BH721" s="41"/>
      <c r="BI721" s="41"/>
      <c r="BJ721" s="41"/>
      <c r="BK721" s="41"/>
      <c r="BL721" s="41"/>
      <c r="BM721" s="41"/>
      <c r="BN721" s="41"/>
      <c r="BO721" s="41"/>
      <c r="BP721" s="41"/>
      <c r="BQ721" s="41"/>
      <c r="BR721" s="41"/>
      <c r="BS721" s="41"/>
      <c r="BT721" s="41"/>
      <c r="BU721" s="41"/>
      <c r="BV721" s="41"/>
      <c r="BW721" s="41"/>
      <c r="BX721" s="41"/>
      <c r="BY721" s="41"/>
    </row>
    <row r="722" spans="2:77" ht="15" outlineLevel="1">
      <c r="C722" s="22"/>
      <c r="E722" t="s">
        <v>195</v>
      </c>
      <c r="F722" s="23" t="s">
        <v>488</v>
      </c>
      <c r="H722">
        <f>+IF(AND(Assumptions!$H$122&gt;=H$3,Assumptions!$H$122&lt;H$4),1,0)</f>
        <v>1</v>
      </c>
      <c r="I722">
        <f>+IF(AND(Assumptions!$H$122&gt;=I$3,Assumptions!$H$122&lt;I$4),1,0)</f>
        <v>0</v>
      </c>
      <c r="J722">
        <f>+IF(AND(Assumptions!$H$122&gt;=J$3,Assumptions!$H$122&lt;J$4),1,0)</f>
        <v>0</v>
      </c>
      <c r="K722">
        <f>+IF(AND(Assumptions!$H$122&gt;=K$3,Assumptions!$H$122&lt;K$4),1,0)</f>
        <v>0</v>
      </c>
      <c r="L722">
        <f>+IF(AND(Assumptions!$H$122&gt;=L$3,Assumptions!$H$122&lt;L$4),1,0)</f>
        <v>0</v>
      </c>
      <c r="M722">
        <f>+IF(AND(Assumptions!$H$122&gt;=M$3,Assumptions!$H$122&lt;M$4),1,0)</f>
        <v>0</v>
      </c>
      <c r="N722">
        <f>+IF(AND(Assumptions!$H$122&gt;=N$3,Assumptions!$H$122&lt;N$4),1,0)</f>
        <v>0</v>
      </c>
      <c r="O722">
        <f>+IF(AND(Assumptions!$H$122&gt;=O$3,Assumptions!$H$122&lt;O$4),1,0)</f>
        <v>0</v>
      </c>
      <c r="P722">
        <f>+IF(AND(Assumptions!$H$122&gt;=P$3,Assumptions!$H$122&lt;P$4),1,0)</f>
        <v>0</v>
      </c>
      <c r="Q722">
        <f>+IF(AND(Assumptions!$H$122&gt;=Q$3,Assumptions!$H$122&lt;Q$4),1,0)</f>
        <v>0</v>
      </c>
      <c r="R722">
        <f>+IF(AND(Assumptions!$H$122&gt;=R$3,Assumptions!$H$122&lt;R$4),1,0)</f>
        <v>0</v>
      </c>
      <c r="S722">
        <f>+IF(AND(Assumptions!$H$122&gt;=S$3,Assumptions!$H$122&lt;S$4),1,0)</f>
        <v>0</v>
      </c>
      <c r="T722">
        <f>+IF(AND(Assumptions!$H$122&gt;=T$3,Assumptions!$H$122&lt;T$4),1,0)</f>
        <v>0</v>
      </c>
      <c r="U722">
        <f>+IF(AND(Assumptions!$H$122&gt;=U$3,Assumptions!$H$122&lt;U$4),1,0)</f>
        <v>0</v>
      </c>
      <c r="V722">
        <f>+IF(AND(Assumptions!$H$122&gt;=V$3,Assumptions!$H$122&lt;V$4),1,0)</f>
        <v>0</v>
      </c>
      <c r="W722">
        <f>+IF(AND(Assumptions!$H$122&gt;=W$3,Assumptions!$H$122&lt;W$4),1,0)</f>
        <v>0</v>
      </c>
      <c r="X722">
        <f>+IF(AND(Assumptions!$H$122&gt;=X$3,Assumptions!$H$122&lt;X$4),1,0)</f>
        <v>0</v>
      </c>
      <c r="Y722">
        <f>+IF(AND(Assumptions!$H$122&gt;=Y$3,Assumptions!$H$122&lt;Y$4),1,0)</f>
        <v>0</v>
      </c>
      <c r="Z722">
        <f>+IF(AND(Assumptions!$H$122&gt;=Z$3,Assumptions!$H$122&lt;Z$4),1,0)</f>
        <v>0</v>
      </c>
      <c r="AA722">
        <f>+IF(AND(Assumptions!$H$122&gt;=AA$3,Assumptions!$H$122&lt;AA$4),1,0)</f>
        <v>0</v>
      </c>
      <c r="AB722">
        <f>+IF(AND(Assumptions!$H$122&gt;=AB$3,Assumptions!$H$122&lt;AB$4),1,0)</f>
        <v>0</v>
      </c>
      <c r="AC722">
        <f>+IF(AND(Assumptions!$H$122&gt;=AC$3,Assumptions!$H$122&lt;AC$4),1,0)</f>
        <v>0</v>
      </c>
      <c r="AD722">
        <f>+IF(AND(Assumptions!$H$122&gt;=AD$3,Assumptions!$H$122&lt;AD$4),1,0)</f>
        <v>0</v>
      </c>
      <c r="AE722">
        <f>+IF(AND(Assumptions!$H$122&gt;=AE$3,Assumptions!$H$122&lt;AE$4),1,0)</f>
        <v>0</v>
      </c>
      <c r="AF722">
        <f>+IF(AND(Assumptions!$H$122&gt;=AF$3,Assumptions!$H$122&lt;AF$4),1,0)</f>
        <v>0</v>
      </c>
      <c r="AG722">
        <f>+IF(AND(Assumptions!$H$122&gt;=AG$3,Assumptions!$H$122&lt;AG$4),1,0)</f>
        <v>0</v>
      </c>
      <c r="AH722">
        <f>+IF(AND(Assumptions!$H$122&gt;=AH$3,Assumptions!$H$122&lt;AH$4),1,0)</f>
        <v>0</v>
      </c>
      <c r="AI722">
        <f>+IF(AND(Assumptions!$H$122&gt;=AI$3,Assumptions!$H$122&lt;AI$4),1,0)</f>
        <v>0</v>
      </c>
      <c r="AJ722">
        <f>+IF(AND(Assumptions!$H$122&gt;=AJ$3,Assumptions!$H$122&lt;AJ$4),1,0)</f>
        <v>0</v>
      </c>
      <c r="AK722">
        <f>+IF(AND(Assumptions!$H$122&gt;=AK$3,Assumptions!$H$122&lt;AK$4),1,0)</f>
        <v>0</v>
      </c>
      <c r="AL722">
        <f>+IF(AND(Assumptions!$H$122&gt;=AL$3,Assumptions!$H$122&lt;AL$4),1,0)</f>
        <v>0</v>
      </c>
      <c r="AM722">
        <f>+IF(AND(Assumptions!$H$122&gt;=AM$3,Assumptions!$H$122&lt;AM$4),1,0)</f>
        <v>0</v>
      </c>
      <c r="AN722">
        <f>+IF(AND(Assumptions!$H$122&gt;=AN$3,Assumptions!$H$122&lt;AN$4),1,0)</f>
        <v>0</v>
      </c>
      <c r="AO722">
        <f>+IF(AND(Assumptions!$H$122&gt;=AO$3,Assumptions!$H$122&lt;AO$4),1,0)</f>
        <v>0</v>
      </c>
      <c r="AP722">
        <f>+IF(AND(Assumptions!$H$122&gt;=AP$3,Assumptions!$H$122&lt;AP$4),1,0)</f>
        <v>0</v>
      </c>
      <c r="AQ722">
        <f>+IF(AND(Assumptions!$H$122&gt;=AQ$3,Assumptions!$H$122&lt;AQ$4),1,0)</f>
        <v>0</v>
      </c>
      <c r="AR722">
        <f>+IF(AND(Assumptions!$H$122&gt;=AR$3,Assumptions!$H$122&lt;AR$4),1,0)</f>
        <v>0</v>
      </c>
      <c r="AS722">
        <f>+IF(AND(Assumptions!$H$122&gt;=AS$3,Assumptions!$H$122&lt;AS$4),1,0)</f>
        <v>0</v>
      </c>
      <c r="AT722">
        <f>+IF(AND(Assumptions!$H$122&gt;=AT$3,Assumptions!$H$122&lt;AT$4),1,0)</f>
        <v>0</v>
      </c>
      <c r="AU722">
        <f>+IF(AND(Assumptions!$H$122&gt;=AU$3,Assumptions!$H$122&lt;AU$4),1,0)</f>
        <v>0</v>
      </c>
      <c r="AV722">
        <f>+IF(AND(Assumptions!$H$122&gt;=AV$3,Assumptions!$H$122&lt;AV$4),1,0)</f>
        <v>0</v>
      </c>
      <c r="AW722">
        <f>+IF(AND(Assumptions!$H$122&gt;=AW$3,Assumptions!$H$122&lt;AW$4),1,0)</f>
        <v>0</v>
      </c>
      <c r="AX722">
        <f>+IF(AND(Assumptions!$H$122&gt;=AX$3,Assumptions!$H$122&lt;AX$4),1,0)</f>
        <v>0</v>
      </c>
      <c r="AY722">
        <f>+IF(AND(Assumptions!$H$122&gt;=AY$3,Assumptions!$H$122&lt;AY$4),1,0)</f>
        <v>0</v>
      </c>
      <c r="AZ722">
        <f>+IF(AND(Assumptions!$H$122&gt;=AZ$3,Assumptions!$H$122&lt;AZ$4),1,0)</f>
        <v>0</v>
      </c>
      <c r="BA722">
        <f>+IF(AND(Assumptions!$H$122&gt;=BA$3,Assumptions!$H$122&lt;BA$4),1,0)</f>
        <v>0</v>
      </c>
      <c r="BB722">
        <f>+IF(AND(Assumptions!$H$122&gt;=BB$3,Assumptions!$H$122&lt;BB$4),1,0)</f>
        <v>0</v>
      </c>
      <c r="BC722">
        <f>+IF(AND(Assumptions!$H$122&gt;=BC$3,Assumptions!$H$122&lt;BC$4),1,0)</f>
        <v>0</v>
      </c>
      <c r="BD722">
        <f>+IF(AND(Assumptions!$H$122&gt;=BD$3,Assumptions!$H$122&lt;BD$4),1,0)</f>
        <v>0</v>
      </c>
      <c r="BE722">
        <f>+IF(AND(Assumptions!$H$122&gt;=BE$3,Assumptions!$H$122&lt;BE$4),1,0)</f>
        <v>0</v>
      </c>
      <c r="BF722">
        <f>+IF(AND(Assumptions!$H$122&gt;=BF$3,Assumptions!$H$122&lt;BF$4),1,0)</f>
        <v>0</v>
      </c>
      <c r="BG722">
        <f>+IF(AND(Assumptions!$H$122&gt;=BG$3,Assumptions!$H$122&lt;BG$4),1,0)</f>
        <v>0</v>
      </c>
      <c r="BH722">
        <f>+IF(AND(Assumptions!$H$122&gt;=BH$3,Assumptions!$H$122&lt;BH$4),1,0)</f>
        <v>0</v>
      </c>
      <c r="BI722">
        <f>+IF(AND(Assumptions!$H$122&gt;=BI$3,Assumptions!$H$122&lt;BI$4),1,0)</f>
        <v>0</v>
      </c>
      <c r="BJ722">
        <f>+IF(AND(Assumptions!$H$122&gt;=BJ$3,Assumptions!$H$122&lt;BJ$4),1,0)</f>
        <v>0</v>
      </c>
      <c r="BK722">
        <f>+IF(AND(Assumptions!$H$122&gt;=BK$3,Assumptions!$H$122&lt;BK$4),1,0)</f>
        <v>0</v>
      </c>
      <c r="BL722">
        <f>+IF(AND(Assumptions!$H$122&gt;=BL$3,Assumptions!$H$122&lt;BL$4),1,0)</f>
        <v>0</v>
      </c>
      <c r="BM722">
        <f>+IF(AND(Assumptions!$H$122&gt;=BM$3,Assumptions!$H$122&lt;BM$4),1,0)</f>
        <v>0</v>
      </c>
      <c r="BN722">
        <f>+IF(AND(Assumptions!$H$122&gt;=BN$3,Assumptions!$H$122&lt;BN$4),1,0)</f>
        <v>0</v>
      </c>
      <c r="BO722">
        <f>+IF(AND(Assumptions!$H$122&gt;=BO$3,Assumptions!$H$122&lt;BO$4),1,0)</f>
        <v>0</v>
      </c>
      <c r="BP722">
        <f>+IF(AND(Assumptions!$H$122&gt;=BP$3,Assumptions!$H$122&lt;BP$4),1,0)</f>
        <v>0</v>
      </c>
      <c r="BQ722">
        <f>+IF(AND(Assumptions!$H$122&gt;=BQ$3,Assumptions!$H$122&lt;BQ$4),1,0)</f>
        <v>0</v>
      </c>
      <c r="BR722">
        <f>+IF(AND(Assumptions!$H$122&gt;=BR$3,Assumptions!$H$122&lt;BR$4),1,0)</f>
        <v>0</v>
      </c>
      <c r="BS722">
        <f>+IF(AND(Assumptions!$H$122&gt;=BS$3,Assumptions!$H$122&lt;BS$4),1,0)</f>
        <v>0</v>
      </c>
      <c r="BT722">
        <f>+IF(AND(Assumptions!$H$122&gt;=BT$3,Assumptions!$H$122&lt;BT$4),1,0)</f>
        <v>0</v>
      </c>
      <c r="BU722">
        <f>+IF(AND(Assumptions!$H$122&gt;=BU$3,Assumptions!$H$122&lt;BU$4),1,0)</f>
        <v>0</v>
      </c>
      <c r="BV722">
        <f>+IF(AND(Assumptions!$H$122&gt;=BV$3,Assumptions!$H$122&lt;BV$4),1,0)</f>
        <v>0</v>
      </c>
      <c r="BW722">
        <f>+IF(AND(Assumptions!$H$122&gt;=BW$3,Assumptions!$H$122&lt;BW$4),1,0)</f>
        <v>0</v>
      </c>
      <c r="BX722">
        <f>+IF(AND(Assumptions!$H$122&gt;=BX$3,Assumptions!$H$122&lt;BX$4),1,0)</f>
        <v>0</v>
      </c>
      <c r="BY722">
        <f>+IF(AND(Assumptions!$H$122&gt;=BY$3,Assumptions!$H$122&lt;BY$4),1,0)</f>
        <v>0</v>
      </c>
    </row>
    <row r="723" spans="2:77" outlineLevel="1">
      <c r="E723" t="s">
        <v>197</v>
      </c>
      <c r="F723" s="23" t="s">
        <v>488</v>
      </c>
      <c r="H723" s="67">
        <f>+IF(AND(H$3&gt;=Assumptions!$H$122,H$3&lt;Assumptions!$H$124),1,0)</f>
        <v>1</v>
      </c>
      <c r="I723" s="67">
        <f>+IF(AND(I$3&gt;=Assumptions!$H$122,I$3&lt;Assumptions!$H$124),1,0)</f>
        <v>0</v>
      </c>
      <c r="J723" s="67">
        <f>+IF(AND(J$3&gt;=Assumptions!$H$122,J$3&lt;Assumptions!$H$124),1,0)</f>
        <v>0</v>
      </c>
      <c r="K723" s="67">
        <f>+IF(AND(K$3&gt;=Assumptions!$H$122,K$3&lt;Assumptions!$H$124),1,0)</f>
        <v>0</v>
      </c>
      <c r="L723" s="67">
        <f>+IF(AND(L$3&gt;=Assumptions!$H$122,L$3&lt;Assumptions!$H$124),1,0)</f>
        <v>0</v>
      </c>
      <c r="M723" s="67">
        <f>+IF(AND(M$3&gt;=Assumptions!$H$122,M$3&lt;Assumptions!$H$124),1,0)</f>
        <v>0</v>
      </c>
      <c r="N723" s="67">
        <f>+IF(AND(N$3&gt;=Assumptions!$H$122,N$3&lt;Assumptions!$H$124),1,0)</f>
        <v>0</v>
      </c>
      <c r="O723" s="67">
        <f>+IF(AND(O$3&gt;=Assumptions!$H$122,O$3&lt;Assumptions!$H$124),1,0)</f>
        <v>0</v>
      </c>
      <c r="P723" s="67">
        <f>+IF(AND(P$3&gt;=Assumptions!$H$122,P$3&lt;Assumptions!$H$124),1,0)</f>
        <v>0</v>
      </c>
      <c r="Q723" s="67">
        <f>+IF(AND(Q$3&gt;=Assumptions!$H$122,Q$3&lt;Assumptions!$H$124),1,0)</f>
        <v>0</v>
      </c>
      <c r="R723" s="67">
        <f>+IF(AND(R$3&gt;=Assumptions!$H$122,R$3&lt;Assumptions!$H$124),1,0)</f>
        <v>0</v>
      </c>
      <c r="S723" s="67">
        <f>+IF(AND(S$3&gt;=Assumptions!$H$122,S$3&lt;Assumptions!$H$124),1,0)</f>
        <v>0</v>
      </c>
      <c r="T723" s="67">
        <f>+IF(AND(T$3&gt;=Assumptions!$H$122,T$3&lt;Assumptions!$H$124),1,0)</f>
        <v>0</v>
      </c>
      <c r="U723" s="67">
        <f>+IF(AND(U$3&gt;=Assumptions!$H$122,U$3&lt;Assumptions!$H$124),1,0)</f>
        <v>0</v>
      </c>
      <c r="V723" s="67">
        <f>+IF(AND(V$3&gt;=Assumptions!$H$122,V$3&lt;Assumptions!$H$124),1,0)</f>
        <v>0</v>
      </c>
      <c r="W723" s="67">
        <f>+IF(AND(W$3&gt;=Assumptions!$H$122,W$3&lt;Assumptions!$H$124),1,0)</f>
        <v>0</v>
      </c>
      <c r="X723" s="67">
        <f>+IF(AND(X$3&gt;=Assumptions!$H$122,X$3&lt;Assumptions!$H$124),1,0)</f>
        <v>0</v>
      </c>
      <c r="Y723" s="67">
        <f>+IF(AND(Y$3&gt;=Assumptions!$H$122,Y$3&lt;Assumptions!$H$124),1,0)</f>
        <v>0</v>
      </c>
      <c r="Z723" s="67">
        <f>+IF(AND(Z$3&gt;=Assumptions!$H$122,Z$3&lt;Assumptions!$H$124),1,0)</f>
        <v>0</v>
      </c>
      <c r="AA723" s="67">
        <f>+IF(AND(AA$3&gt;=Assumptions!$H$122,AA$3&lt;Assumptions!$H$124),1,0)</f>
        <v>0</v>
      </c>
      <c r="AB723" s="67">
        <f>+IF(AND(AB$3&gt;=Assumptions!$H$122,AB$3&lt;Assumptions!$H$124),1,0)</f>
        <v>0</v>
      </c>
      <c r="AC723" s="67">
        <f>+IF(AND(AC$3&gt;=Assumptions!$H$122,AC$3&lt;Assumptions!$H$124),1,0)</f>
        <v>0</v>
      </c>
      <c r="AD723" s="67">
        <f>+IF(AND(AD$3&gt;=Assumptions!$H$122,AD$3&lt;Assumptions!$H$124),1,0)</f>
        <v>0</v>
      </c>
      <c r="AE723" s="67">
        <f>+IF(AND(AE$3&gt;=Assumptions!$H$122,AE$3&lt;Assumptions!$H$124),1,0)</f>
        <v>0</v>
      </c>
      <c r="AF723" s="67">
        <f>+IF(AND(AF$3&gt;=Assumptions!$H$122,AF$3&lt;Assumptions!$H$124),1,0)</f>
        <v>0</v>
      </c>
      <c r="AG723" s="67">
        <f>+IF(AND(AG$3&gt;=Assumptions!$H$122,AG$3&lt;Assumptions!$H$124),1,0)</f>
        <v>0</v>
      </c>
      <c r="AH723" s="67">
        <f>+IF(AND(AH$3&gt;=Assumptions!$H$122,AH$3&lt;Assumptions!$H$124),1,0)</f>
        <v>0</v>
      </c>
      <c r="AI723" s="67">
        <f>+IF(AND(AI$3&gt;=Assumptions!$H$122,AI$3&lt;Assumptions!$H$124),1,0)</f>
        <v>0</v>
      </c>
      <c r="AJ723" s="67">
        <f>+IF(AND(AJ$3&gt;=Assumptions!$H$122,AJ$3&lt;Assumptions!$H$124),1,0)</f>
        <v>0</v>
      </c>
      <c r="AK723" s="67">
        <f>+IF(AND(AK$3&gt;=Assumptions!$H$122,AK$3&lt;Assumptions!$H$124),1,0)</f>
        <v>0</v>
      </c>
      <c r="AL723" s="67">
        <f>+IF(AND(AL$3&gt;=Assumptions!$H$122,AL$3&lt;Assumptions!$H$124),1,0)</f>
        <v>0</v>
      </c>
      <c r="AM723" s="67">
        <f>+IF(AND(AM$3&gt;=Assumptions!$H$122,AM$3&lt;Assumptions!$H$124),1,0)</f>
        <v>0</v>
      </c>
      <c r="AN723" s="67">
        <f>+IF(AND(AN$3&gt;=Assumptions!$H$122,AN$3&lt;Assumptions!$H$124),1,0)</f>
        <v>0</v>
      </c>
      <c r="AO723" s="67">
        <f>+IF(AND(AO$3&gt;=Assumptions!$H$122,AO$3&lt;Assumptions!$H$124),1,0)</f>
        <v>0</v>
      </c>
      <c r="AP723" s="67">
        <f>+IF(AND(AP$3&gt;=Assumptions!$H$122,AP$3&lt;Assumptions!$H$124),1,0)</f>
        <v>0</v>
      </c>
      <c r="AQ723" s="67">
        <f>+IF(AND(AQ$3&gt;=Assumptions!$H$122,AQ$3&lt;Assumptions!$H$124),1,0)</f>
        <v>0</v>
      </c>
      <c r="AR723" s="67">
        <f>+IF(AND(AR$3&gt;=Assumptions!$H$122,AR$3&lt;Assumptions!$H$124),1,0)</f>
        <v>0</v>
      </c>
      <c r="AS723" s="67">
        <f>+IF(AND(AS$3&gt;=Assumptions!$H$122,AS$3&lt;Assumptions!$H$124),1,0)</f>
        <v>0</v>
      </c>
      <c r="AT723" s="67">
        <f>+IF(AND(AT$3&gt;=Assumptions!$H$122,AT$3&lt;Assumptions!$H$124),1,0)</f>
        <v>0</v>
      </c>
      <c r="AU723" s="67">
        <f>+IF(AND(AU$3&gt;=Assumptions!$H$122,AU$3&lt;Assumptions!$H$124),1,0)</f>
        <v>0</v>
      </c>
      <c r="AV723" s="67">
        <f>+IF(AND(AV$3&gt;=Assumptions!$H$122,AV$3&lt;Assumptions!$H$124),1,0)</f>
        <v>0</v>
      </c>
      <c r="AW723" s="67">
        <f>+IF(AND(AW$3&gt;=Assumptions!$H$122,AW$3&lt;Assumptions!$H$124),1,0)</f>
        <v>0</v>
      </c>
      <c r="AX723" s="67">
        <f>+IF(AND(AX$3&gt;=Assumptions!$H$122,AX$3&lt;Assumptions!$H$124),1,0)</f>
        <v>0</v>
      </c>
      <c r="AY723" s="67">
        <f>+IF(AND(AY$3&gt;=Assumptions!$H$122,AY$3&lt;Assumptions!$H$124),1,0)</f>
        <v>0</v>
      </c>
      <c r="AZ723" s="67">
        <f>+IF(AND(AZ$3&gt;=Assumptions!$H$122,AZ$3&lt;Assumptions!$H$124),1,0)</f>
        <v>0</v>
      </c>
      <c r="BA723" s="67">
        <f>+IF(AND(BA$3&gt;=Assumptions!$H$122,BA$3&lt;Assumptions!$H$124),1,0)</f>
        <v>0</v>
      </c>
      <c r="BB723" s="67">
        <f>+IF(AND(BB$3&gt;=Assumptions!$H$122,BB$3&lt;Assumptions!$H$124),1,0)</f>
        <v>0</v>
      </c>
      <c r="BC723" s="67">
        <f>+IF(AND(BC$3&gt;=Assumptions!$H$122,BC$3&lt;Assumptions!$H$124),1,0)</f>
        <v>0</v>
      </c>
      <c r="BD723" s="67">
        <f>+IF(AND(BD$3&gt;=Assumptions!$H$122,BD$3&lt;Assumptions!$H$124),1,0)</f>
        <v>0</v>
      </c>
      <c r="BE723" s="67">
        <f>+IF(AND(BE$3&gt;=Assumptions!$H$122,BE$3&lt;Assumptions!$H$124),1,0)</f>
        <v>0</v>
      </c>
      <c r="BF723" s="67">
        <f>+IF(AND(BF$3&gt;=Assumptions!$H$122,BF$3&lt;Assumptions!$H$124),1,0)</f>
        <v>0</v>
      </c>
      <c r="BG723" s="67">
        <f>+IF(AND(BG$3&gt;=Assumptions!$H$122,BG$3&lt;Assumptions!$H$124),1,0)</f>
        <v>0</v>
      </c>
      <c r="BH723" s="67">
        <f>+IF(AND(BH$3&gt;=Assumptions!$H$122,BH$3&lt;Assumptions!$H$124),1,0)</f>
        <v>0</v>
      </c>
      <c r="BI723" s="67">
        <f>+IF(AND(BI$3&gt;=Assumptions!$H$122,BI$3&lt;Assumptions!$H$124),1,0)</f>
        <v>0</v>
      </c>
      <c r="BJ723" s="67">
        <f>+IF(AND(BJ$3&gt;=Assumptions!$H$122,BJ$3&lt;Assumptions!$H$124),1,0)</f>
        <v>0</v>
      </c>
      <c r="BK723" s="67">
        <f>+IF(AND(BK$3&gt;=Assumptions!$H$122,BK$3&lt;Assumptions!$H$124),1,0)</f>
        <v>0</v>
      </c>
      <c r="BL723" s="67">
        <f>+IF(AND(BL$3&gt;=Assumptions!$H$122,BL$3&lt;Assumptions!$H$124),1,0)</f>
        <v>0</v>
      </c>
      <c r="BM723" s="67">
        <f>+IF(AND(BM$3&gt;=Assumptions!$H$122,BM$3&lt;Assumptions!$H$124),1,0)</f>
        <v>0</v>
      </c>
      <c r="BN723" s="67">
        <f>+IF(AND(BN$3&gt;=Assumptions!$H$122,BN$3&lt;Assumptions!$H$124),1,0)</f>
        <v>0</v>
      </c>
      <c r="BO723" s="67">
        <f>+IF(AND(BO$3&gt;=Assumptions!$H$122,BO$3&lt;Assumptions!$H$124),1,0)</f>
        <v>0</v>
      </c>
      <c r="BP723" s="67">
        <f>+IF(AND(BP$3&gt;=Assumptions!$H$122,BP$3&lt;Assumptions!$H$124),1,0)</f>
        <v>0</v>
      </c>
      <c r="BQ723" s="67">
        <f>+IF(AND(BQ$3&gt;=Assumptions!$H$122,BQ$3&lt;Assumptions!$H$124),1,0)</f>
        <v>0</v>
      </c>
      <c r="BR723" s="67">
        <f>+IF(AND(BR$3&gt;=Assumptions!$H$122,BR$3&lt;Assumptions!$H$124),1,0)</f>
        <v>0</v>
      </c>
      <c r="BS723" s="67">
        <f>+IF(AND(BS$3&gt;=Assumptions!$H$122,BS$3&lt;Assumptions!$H$124),1,0)</f>
        <v>0</v>
      </c>
      <c r="BT723" s="67">
        <f>+IF(AND(BT$3&gt;=Assumptions!$H$122,BT$3&lt;Assumptions!$H$124),1,0)</f>
        <v>0</v>
      </c>
      <c r="BU723" s="67">
        <f>+IF(AND(BU$3&gt;=Assumptions!$H$122,BU$3&lt;Assumptions!$H$124),1,0)</f>
        <v>0</v>
      </c>
      <c r="BV723" s="67">
        <f>+IF(AND(BV$3&gt;=Assumptions!$H$122,BV$3&lt;Assumptions!$H$124),1,0)</f>
        <v>0</v>
      </c>
      <c r="BW723" s="67">
        <f>+IF(AND(BW$3&gt;=Assumptions!$H$122,BW$3&lt;Assumptions!$H$124),1,0)</f>
        <v>0</v>
      </c>
      <c r="BX723" s="67">
        <f>+IF(AND(BX$3&gt;=Assumptions!$H$122,BX$3&lt;Assumptions!$H$124),1,0)</f>
        <v>0</v>
      </c>
      <c r="BY723" s="67">
        <f>+IF(AND(BY$3&gt;=Assumptions!$H$122,BY$3&lt;Assumptions!$H$124),1,0)</f>
        <v>0</v>
      </c>
    </row>
    <row r="724" spans="2:77" outlineLevel="1">
      <c r="E724" t="s">
        <v>200</v>
      </c>
      <c r="F724" s="23" t="s">
        <v>488</v>
      </c>
      <c r="H724" s="67">
        <f>+IF(AND(H$3&gt;=Assumptions!$H$124,H$3&lt;Assumptions!$H$126),1,0)</f>
        <v>0</v>
      </c>
      <c r="I724" s="67">
        <f>+IF(AND(I$3&gt;=Assumptions!$H$124,I$3&lt;Assumptions!$H$126),1,0)</f>
        <v>1</v>
      </c>
      <c r="J724" s="67">
        <f>+IF(AND(J$3&gt;=Assumptions!$H$124,J$3&lt;Assumptions!$H$126),1,0)</f>
        <v>1</v>
      </c>
      <c r="K724" s="67">
        <f>+IF(AND(K$3&gt;=Assumptions!$H$124,K$3&lt;Assumptions!$H$126),1,0)</f>
        <v>0</v>
      </c>
      <c r="L724" s="67">
        <f>+IF(AND(L$3&gt;=Assumptions!$H$124,L$3&lt;Assumptions!$H$126),1,0)</f>
        <v>0</v>
      </c>
      <c r="M724" s="67">
        <f>+IF(AND(M$3&gt;=Assumptions!$H$124,M$3&lt;Assumptions!$H$126),1,0)</f>
        <v>0</v>
      </c>
      <c r="N724" s="67">
        <f>+IF(AND(N$3&gt;=Assumptions!$H$124,N$3&lt;Assumptions!$H$126),1,0)</f>
        <v>0</v>
      </c>
      <c r="O724" s="67">
        <f>+IF(AND(O$3&gt;=Assumptions!$H$124,O$3&lt;Assumptions!$H$126),1,0)</f>
        <v>0</v>
      </c>
      <c r="P724" s="67">
        <f>+IF(AND(P$3&gt;=Assumptions!$H$124,P$3&lt;Assumptions!$H$126),1,0)</f>
        <v>0</v>
      </c>
      <c r="Q724" s="67">
        <f>+IF(AND(Q$3&gt;=Assumptions!$H$124,Q$3&lt;Assumptions!$H$126),1,0)</f>
        <v>0</v>
      </c>
      <c r="R724" s="67">
        <f>+IF(AND(R$3&gt;=Assumptions!$H$124,R$3&lt;Assumptions!$H$126),1,0)</f>
        <v>0</v>
      </c>
      <c r="S724" s="67">
        <f>+IF(AND(S$3&gt;=Assumptions!$H$124,S$3&lt;Assumptions!$H$126),1,0)</f>
        <v>0</v>
      </c>
      <c r="T724" s="67">
        <f>+IF(AND(T$3&gt;=Assumptions!$H$124,T$3&lt;Assumptions!$H$126),1,0)</f>
        <v>0</v>
      </c>
      <c r="U724" s="67">
        <f>+IF(AND(U$3&gt;=Assumptions!$H$124,U$3&lt;Assumptions!$H$126),1,0)</f>
        <v>0</v>
      </c>
      <c r="V724" s="67">
        <f>+IF(AND(V$3&gt;=Assumptions!$H$124,V$3&lt;Assumptions!$H$126),1,0)</f>
        <v>0</v>
      </c>
      <c r="W724" s="67">
        <f>+IF(AND(W$3&gt;=Assumptions!$H$124,W$3&lt;Assumptions!$H$126),1,0)</f>
        <v>0</v>
      </c>
      <c r="X724" s="67">
        <f>+IF(AND(X$3&gt;=Assumptions!$H$124,X$3&lt;Assumptions!$H$126),1,0)</f>
        <v>0</v>
      </c>
      <c r="Y724" s="67">
        <f>+IF(AND(Y$3&gt;=Assumptions!$H$124,Y$3&lt;Assumptions!$H$126),1,0)</f>
        <v>0</v>
      </c>
      <c r="Z724" s="67">
        <f>+IF(AND(Z$3&gt;=Assumptions!$H$124,Z$3&lt;Assumptions!$H$126),1,0)</f>
        <v>0</v>
      </c>
      <c r="AA724" s="67">
        <f>+IF(AND(AA$3&gt;=Assumptions!$H$124,AA$3&lt;Assumptions!$H$126),1,0)</f>
        <v>0</v>
      </c>
      <c r="AB724" s="67">
        <f>+IF(AND(AB$3&gt;=Assumptions!$H$124,AB$3&lt;Assumptions!$H$126),1,0)</f>
        <v>0</v>
      </c>
      <c r="AC724" s="67">
        <f>+IF(AND(AC$3&gt;=Assumptions!$H$124,AC$3&lt;Assumptions!$H$126),1,0)</f>
        <v>0</v>
      </c>
      <c r="AD724" s="67">
        <f>+IF(AND(AD$3&gt;=Assumptions!$H$124,AD$3&lt;Assumptions!$H$126),1,0)</f>
        <v>0</v>
      </c>
      <c r="AE724" s="67">
        <f>+IF(AND(AE$3&gt;=Assumptions!$H$124,AE$3&lt;Assumptions!$H$126),1,0)</f>
        <v>0</v>
      </c>
      <c r="AF724" s="67">
        <f>+IF(AND(AF$3&gt;=Assumptions!$H$124,AF$3&lt;Assumptions!$H$126),1,0)</f>
        <v>0</v>
      </c>
      <c r="AG724" s="67">
        <f>+IF(AND(AG$3&gt;=Assumptions!$H$124,AG$3&lt;Assumptions!$H$126),1,0)</f>
        <v>0</v>
      </c>
      <c r="AH724" s="67">
        <f>+IF(AND(AH$3&gt;=Assumptions!$H$124,AH$3&lt;Assumptions!$H$126),1,0)</f>
        <v>0</v>
      </c>
      <c r="AI724" s="67">
        <f>+IF(AND(AI$3&gt;=Assumptions!$H$124,AI$3&lt;Assumptions!$H$126),1,0)</f>
        <v>0</v>
      </c>
      <c r="AJ724" s="67">
        <f>+IF(AND(AJ$3&gt;=Assumptions!$H$124,AJ$3&lt;Assumptions!$H$126),1,0)</f>
        <v>0</v>
      </c>
      <c r="AK724" s="67">
        <f>+IF(AND(AK$3&gt;=Assumptions!$H$124,AK$3&lt;Assumptions!$H$126),1,0)</f>
        <v>0</v>
      </c>
      <c r="AL724" s="67">
        <f>+IF(AND(AL$3&gt;=Assumptions!$H$124,AL$3&lt;Assumptions!$H$126),1,0)</f>
        <v>0</v>
      </c>
      <c r="AM724" s="67">
        <f>+IF(AND(AM$3&gt;=Assumptions!$H$124,AM$3&lt;Assumptions!$H$126),1,0)</f>
        <v>0</v>
      </c>
      <c r="AN724" s="67">
        <f>+IF(AND(AN$3&gt;=Assumptions!$H$124,AN$3&lt;Assumptions!$H$126),1,0)</f>
        <v>0</v>
      </c>
      <c r="AO724" s="67">
        <f>+IF(AND(AO$3&gt;=Assumptions!$H$124,AO$3&lt;Assumptions!$H$126),1,0)</f>
        <v>0</v>
      </c>
      <c r="AP724" s="67">
        <f>+IF(AND(AP$3&gt;=Assumptions!$H$124,AP$3&lt;Assumptions!$H$126),1,0)</f>
        <v>0</v>
      </c>
      <c r="AQ724" s="67">
        <f>+IF(AND(AQ$3&gt;=Assumptions!$H$124,AQ$3&lt;Assumptions!$H$126),1,0)</f>
        <v>0</v>
      </c>
      <c r="AR724" s="67">
        <f>+IF(AND(AR$3&gt;=Assumptions!$H$124,AR$3&lt;Assumptions!$H$126),1,0)</f>
        <v>0</v>
      </c>
      <c r="AS724" s="67">
        <f>+IF(AND(AS$3&gt;=Assumptions!$H$124,AS$3&lt;Assumptions!$H$126),1,0)</f>
        <v>0</v>
      </c>
      <c r="AT724" s="67">
        <f>+IF(AND(AT$3&gt;=Assumptions!$H$124,AT$3&lt;Assumptions!$H$126),1,0)</f>
        <v>0</v>
      </c>
      <c r="AU724" s="67">
        <f>+IF(AND(AU$3&gt;=Assumptions!$H$124,AU$3&lt;Assumptions!$H$126),1,0)</f>
        <v>0</v>
      </c>
      <c r="AV724" s="67">
        <f>+IF(AND(AV$3&gt;=Assumptions!$H$124,AV$3&lt;Assumptions!$H$126),1,0)</f>
        <v>0</v>
      </c>
      <c r="AW724" s="67">
        <f>+IF(AND(AW$3&gt;=Assumptions!$H$124,AW$3&lt;Assumptions!$H$126),1,0)</f>
        <v>0</v>
      </c>
      <c r="AX724" s="67">
        <f>+IF(AND(AX$3&gt;=Assumptions!$H$124,AX$3&lt;Assumptions!$H$126),1,0)</f>
        <v>0</v>
      </c>
      <c r="AY724" s="67">
        <f>+IF(AND(AY$3&gt;=Assumptions!$H$124,AY$3&lt;Assumptions!$H$126),1,0)</f>
        <v>0</v>
      </c>
      <c r="AZ724" s="67">
        <f>+IF(AND(AZ$3&gt;=Assumptions!$H$124,AZ$3&lt;Assumptions!$H$126),1,0)</f>
        <v>0</v>
      </c>
      <c r="BA724" s="67">
        <f>+IF(AND(BA$3&gt;=Assumptions!$H$124,BA$3&lt;Assumptions!$H$126),1,0)</f>
        <v>0</v>
      </c>
      <c r="BB724" s="67">
        <f>+IF(AND(BB$3&gt;=Assumptions!$H$124,BB$3&lt;Assumptions!$H$126),1,0)</f>
        <v>0</v>
      </c>
      <c r="BC724" s="67">
        <f>+IF(AND(BC$3&gt;=Assumptions!$H$124,BC$3&lt;Assumptions!$H$126),1,0)</f>
        <v>0</v>
      </c>
      <c r="BD724" s="67">
        <f>+IF(AND(BD$3&gt;=Assumptions!$H$124,BD$3&lt;Assumptions!$H$126),1,0)</f>
        <v>0</v>
      </c>
      <c r="BE724" s="67">
        <f>+IF(AND(BE$3&gt;=Assumptions!$H$124,BE$3&lt;Assumptions!$H$126),1,0)</f>
        <v>0</v>
      </c>
      <c r="BF724" s="67">
        <f>+IF(AND(BF$3&gt;=Assumptions!$H$124,BF$3&lt;Assumptions!$H$126),1,0)</f>
        <v>0</v>
      </c>
      <c r="BG724" s="67">
        <f>+IF(AND(BG$3&gt;=Assumptions!$H$124,BG$3&lt;Assumptions!$H$126),1,0)</f>
        <v>0</v>
      </c>
      <c r="BH724" s="67">
        <f>+IF(AND(BH$3&gt;=Assumptions!$H$124,BH$3&lt;Assumptions!$H$126),1,0)</f>
        <v>0</v>
      </c>
      <c r="BI724" s="67">
        <f>+IF(AND(BI$3&gt;=Assumptions!$H$124,BI$3&lt;Assumptions!$H$126),1,0)</f>
        <v>0</v>
      </c>
      <c r="BJ724" s="67">
        <f>+IF(AND(BJ$3&gt;=Assumptions!$H$124,BJ$3&lt;Assumptions!$H$126),1,0)</f>
        <v>0</v>
      </c>
      <c r="BK724" s="67">
        <f>+IF(AND(BK$3&gt;=Assumptions!$H$124,BK$3&lt;Assumptions!$H$126),1,0)</f>
        <v>0</v>
      </c>
      <c r="BL724" s="67">
        <f>+IF(AND(BL$3&gt;=Assumptions!$H$124,BL$3&lt;Assumptions!$H$126),1,0)</f>
        <v>0</v>
      </c>
      <c r="BM724" s="67">
        <f>+IF(AND(BM$3&gt;=Assumptions!$H$124,BM$3&lt;Assumptions!$H$126),1,0)</f>
        <v>0</v>
      </c>
      <c r="BN724" s="67">
        <f>+IF(AND(BN$3&gt;=Assumptions!$H$124,BN$3&lt;Assumptions!$H$126),1,0)</f>
        <v>0</v>
      </c>
      <c r="BO724" s="67">
        <f>+IF(AND(BO$3&gt;=Assumptions!$H$124,BO$3&lt;Assumptions!$H$126),1,0)</f>
        <v>0</v>
      </c>
      <c r="BP724" s="67">
        <f>+IF(AND(BP$3&gt;=Assumptions!$H$124,BP$3&lt;Assumptions!$H$126),1,0)</f>
        <v>0</v>
      </c>
      <c r="BQ724" s="67">
        <f>+IF(AND(BQ$3&gt;=Assumptions!$H$124,BQ$3&lt;Assumptions!$H$126),1,0)</f>
        <v>0</v>
      </c>
      <c r="BR724" s="67">
        <f>+IF(AND(BR$3&gt;=Assumptions!$H$124,BR$3&lt;Assumptions!$H$126),1,0)</f>
        <v>0</v>
      </c>
      <c r="BS724" s="67">
        <f>+IF(AND(BS$3&gt;=Assumptions!$H$124,BS$3&lt;Assumptions!$H$126),1,0)</f>
        <v>0</v>
      </c>
      <c r="BT724" s="67">
        <f>+IF(AND(BT$3&gt;=Assumptions!$H$124,BT$3&lt;Assumptions!$H$126),1,0)</f>
        <v>0</v>
      </c>
      <c r="BU724" s="67">
        <f>+IF(AND(BU$3&gt;=Assumptions!$H$124,BU$3&lt;Assumptions!$H$126),1,0)</f>
        <v>0</v>
      </c>
      <c r="BV724" s="67">
        <f>+IF(AND(BV$3&gt;=Assumptions!$H$124,BV$3&lt;Assumptions!$H$126),1,0)</f>
        <v>0</v>
      </c>
      <c r="BW724" s="67">
        <f>+IF(AND(BW$3&gt;=Assumptions!$H$124,BW$3&lt;Assumptions!$H$126),1,0)</f>
        <v>0</v>
      </c>
      <c r="BX724" s="67">
        <f>+IF(AND(BX$3&gt;=Assumptions!$H$124,BX$3&lt;Assumptions!$H$126),1,0)</f>
        <v>0</v>
      </c>
      <c r="BY724" s="67">
        <f>+IF(AND(BY$3&gt;=Assumptions!$H$124,BY$3&lt;Assumptions!$H$126),1,0)</f>
        <v>0</v>
      </c>
    </row>
    <row r="725" spans="2:77" outlineLevel="1">
      <c r="E725" t="s">
        <v>202</v>
      </c>
      <c r="F725" s="23" t="s">
        <v>488</v>
      </c>
      <c r="H725">
        <f>+IF(AND(SUM(H724:$BY724)=0,EDATE(Assumptions!$H$122,SUM(Assumptions!$H$123,Assumptions!$H$125,Assumptions!$H$128)*12)&gt;H$3),1,0)</f>
        <v>0</v>
      </c>
      <c r="I725">
        <f>+IF(AND(SUM(I724:$BY724)=0,EDATE(Assumptions!$H$122,SUM(Assumptions!$H$123,Assumptions!$H$125,Assumptions!$H$128)*12)&gt;I$3),1,0)</f>
        <v>0</v>
      </c>
      <c r="J725">
        <f>+IF(AND(SUM(J724:$BY724)=0,EDATE(Assumptions!$H$122,SUM(Assumptions!$H$123,Assumptions!$H$125,Assumptions!$H$128)*12)&gt;J$3),1,0)</f>
        <v>0</v>
      </c>
      <c r="K725">
        <f>+IF(AND(SUM(K724:$BY724)=0,EDATE(Assumptions!$H$122,SUM(Assumptions!$H$123,Assumptions!$H$125,Assumptions!$H$128)*12)&gt;K$3),1,0)</f>
        <v>1</v>
      </c>
      <c r="L725">
        <f>+IF(AND(SUM(L724:$BY724)=0,EDATE(Assumptions!$H$122,SUM(Assumptions!$H$123,Assumptions!$H$125,Assumptions!$H$128)*12)&gt;L$3),1,0)</f>
        <v>1</v>
      </c>
      <c r="M725">
        <f>+IF(AND(SUM(M724:$BY724)=0,EDATE(Assumptions!$H$122,SUM(Assumptions!$H$123,Assumptions!$H$125,Assumptions!$H$128)*12)&gt;M$3),1,0)</f>
        <v>1</v>
      </c>
      <c r="N725">
        <f>+IF(AND(SUM(N724:$BY724)=0,EDATE(Assumptions!$H$122,SUM(Assumptions!$H$123,Assumptions!$H$125,Assumptions!$H$128)*12)&gt;N$3),1,0)</f>
        <v>1</v>
      </c>
      <c r="O725">
        <f>+IF(AND(SUM(O724:$BY724)=0,EDATE(Assumptions!$H$122,SUM(Assumptions!$H$123,Assumptions!$H$125,Assumptions!$H$128)*12)&gt;O$3),1,0)</f>
        <v>1</v>
      </c>
      <c r="P725">
        <f>+IF(AND(SUM(P724:$BY724)=0,EDATE(Assumptions!$H$122,SUM(Assumptions!$H$123,Assumptions!$H$125,Assumptions!$H$128)*12)&gt;P$3),1,0)</f>
        <v>1</v>
      </c>
      <c r="Q725">
        <f>+IF(AND(SUM(Q724:$BY724)=0,EDATE(Assumptions!$H$122,SUM(Assumptions!$H$123,Assumptions!$H$125,Assumptions!$H$128)*12)&gt;Q$3),1,0)</f>
        <v>1</v>
      </c>
      <c r="R725">
        <f>+IF(AND(SUM(R724:$BY724)=0,EDATE(Assumptions!$H$122,SUM(Assumptions!$H$123,Assumptions!$H$125,Assumptions!$H$128)*12)&gt;R$3),1,0)</f>
        <v>1</v>
      </c>
      <c r="S725">
        <f>+IF(AND(SUM(S724:$BY724)=0,EDATE(Assumptions!$H$122,SUM(Assumptions!$H$123,Assumptions!$H$125,Assumptions!$H$128)*12)&gt;S$3),1,0)</f>
        <v>1</v>
      </c>
      <c r="T725">
        <f>+IF(AND(SUM(T724:$BY724)=0,EDATE(Assumptions!$H$122,SUM(Assumptions!$H$123,Assumptions!$H$125,Assumptions!$H$128)*12)&gt;T$3),1,0)</f>
        <v>1</v>
      </c>
      <c r="U725">
        <f>+IF(AND(SUM(U724:$BY724)=0,EDATE(Assumptions!$H$122,SUM(Assumptions!$H$123,Assumptions!$H$125,Assumptions!$H$128)*12)&gt;U$3),1,0)</f>
        <v>1</v>
      </c>
      <c r="V725">
        <f>+IF(AND(SUM(V724:$BY724)=0,EDATE(Assumptions!$H$122,SUM(Assumptions!$H$123,Assumptions!$H$125,Assumptions!$H$128)*12)&gt;V$3),1,0)</f>
        <v>1</v>
      </c>
      <c r="W725">
        <f>+IF(AND(SUM(W724:$BY724)=0,EDATE(Assumptions!$H$122,SUM(Assumptions!$H$123,Assumptions!$H$125,Assumptions!$H$128)*12)&gt;W$3),1,0)</f>
        <v>1</v>
      </c>
      <c r="X725">
        <f>+IF(AND(SUM(X724:$BY724)=0,EDATE(Assumptions!$H$122,SUM(Assumptions!$H$123,Assumptions!$H$125,Assumptions!$H$128)*12)&gt;X$3),1,0)</f>
        <v>1</v>
      </c>
      <c r="Y725">
        <f>+IF(AND(SUM(Y724:$BY724)=0,EDATE(Assumptions!$H$122,SUM(Assumptions!$H$123,Assumptions!$H$125,Assumptions!$H$128)*12)&gt;Y$3),1,0)</f>
        <v>1</v>
      </c>
      <c r="Z725">
        <f>+IF(AND(SUM(Z724:$BY724)=0,EDATE(Assumptions!$H$122,SUM(Assumptions!$H$123,Assumptions!$H$125,Assumptions!$H$128)*12)&gt;Z$3),1,0)</f>
        <v>0</v>
      </c>
      <c r="AA725">
        <f>+IF(AND(SUM(AA724:$BY724)=0,EDATE(Assumptions!$H$122,SUM(Assumptions!$H$123,Assumptions!$H$125,Assumptions!$H$128)*12)&gt;AA$3),1,0)</f>
        <v>0</v>
      </c>
      <c r="AB725">
        <f>+IF(AND(SUM(AB724:$BY724)=0,EDATE(Assumptions!$H$122,SUM(Assumptions!$H$123,Assumptions!$H$125,Assumptions!$H$128)*12)&gt;AB$3),1,0)</f>
        <v>0</v>
      </c>
      <c r="AC725">
        <f>+IF(AND(SUM(AC724:$BY724)=0,EDATE(Assumptions!$H$122,SUM(Assumptions!$H$123,Assumptions!$H$125,Assumptions!$H$128)*12)&gt;AC$3),1,0)</f>
        <v>0</v>
      </c>
      <c r="AD725">
        <f>+IF(AND(SUM(AD724:$BY724)=0,EDATE(Assumptions!$H$122,SUM(Assumptions!$H$123,Assumptions!$H$125,Assumptions!$H$128)*12)&gt;AD$3),1,0)</f>
        <v>0</v>
      </c>
      <c r="AE725">
        <f>+IF(AND(SUM(AE724:$BY724)=0,EDATE(Assumptions!$H$122,SUM(Assumptions!$H$123,Assumptions!$H$125,Assumptions!$H$128)*12)&gt;AE$3),1,0)</f>
        <v>0</v>
      </c>
      <c r="AF725">
        <f>+IF(AND(SUM(AF724:$BY724)=0,EDATE(Assumptions!$H$122,SUM(Assumptions!$H$123,Assumptions!$H$125,Assumptions!$H$128)*12)&gt;AF$3),1,0)</f>
        <v>0</v>
      </c>
      <c r="AG725">
        <f>+IF(AND(SUM(AG724:$BY724)=0,EDATE(Assumptions!$H$122,SUM(Assumptions!$H$123,Assumptions!$H$125,Assumptions!$H$128)*12)&gt;AG$3),1,0)</f>
        <v>0</v>
      </c>
      <c r="AH725">
        <f>+IF(AND(SUM(AH724:$BY724)=0,EDATE(Assumptions!$H$122,SUM(Assumptions!$H$123,Assumptions!$H$125,Assumptions!$H$128)*12)&gt;AH$3),1,0)</f>
        <v>0</v>
      </c>
      <c r="AI725">
        <f>+IF(AND(SUM(AI724:$BY724)=0,EDATE(Assumptions!$H$122,SUM(Assumptions!$H$123,Assumptions!$H$125,Assumptions!$H$128)*12)&gt;AI$3),1,0)</f>
        <v>0</v>
      </c>
      <c r="AJ725">
        <f>+IF(AND(SUM(AJ724:$BY724)=0,EDATE(Assumptions!$H$122,SUM(Assumptions!$H$123,Assumptions!$H$125,Assumptions!$H$128)*12)&gt;AJ$3),1,0)</f>
        <v>0</v>
      </c>
      <c r="AK725">
        <f>+IF(AND(SUM(AK724:$BY724)=0,EDATE(Assumptions!$H$122,SUM(Assumptions!$H$123,Assumptions!$H$125,Assumptions!$H$128)*12)&gt;AK$3),1,0)</f>
        <v>0</v>
      </c>
      <c r="AL725">
        <f>+IF(AND(SUM(AL724:$BY724)=0,EDATE(Assumptions!$H$122,SUM(Assumptions!$H$123,Assumptions!$H$125,Assumptions!$H$128)*12)&gt;AL$3),1,0)</f>
        <v>0</v>
      </c>
      <c r="AM725">
        <f>+IF(AND(SUM(AM724:$BY724)=0,EDATE(Assumptions!$H$122,SUM(Assumptions!$H$123,Assumptions!$H$125,Assumptions!$H$128)*12)&gt;AM$3),1,0)</f>
        <v>0</v>
      </c>
      <c r="AN725">
        <f>+IF(AND(SUM(AN724:$BY724)=0,EDATE(Assumptions!$H$122,SUM(Assumptions!$H$123,Assumptions!$H$125,Assumptions!$H$128)*12)&gt;AN$3),1,0)</f>
        <v>0</v>
      </c>
      <c r="AO725">
        <f>+IF(AND(SUM(AO724:$BY724)=0,EDATE(Assumptions!$H$122,SUM(Assumptions!$H$123,Assumptions!$H$125,Assumptions!$H$128)*12)&gt;AO$3),1,0)</f>
        <v>0</v>
      </c>
      <c r="AP725">
        <f>+IF(AND(SUM(AP724:$BY724)=0,EDATE(Assumptions!$H$122,SUM(Assumptions!$H$123,Assumptions!$H$125,Assumptions!$H$128)*12)&gt;AP$3),1,0)</f>
        <v>0</v>
      </c>
      <c r="AQ725">
        <f>+IF(AND(SUM(AQ724:$BY724)=0,EDATE(Assumptions!$H$122,SUM(Assumptions!$H$123,Assumptions!$H$125,Assumptions!$H$128)*12)&gt;AQ$3),1,0)</f>
        <v>0</v>
      </c>
      <c r="AR725">
        <f>+IF(AND(SUM(AR724:$BY724)=0,EDATE(Assumptions!$H$122,SUM(Assumptions!$H$123,Assumptions!$H$125,Assumptions!$H$128)*12)&gt;AR$3),1,0)</f>
        <v>0</v>
      </c>
      <c r="AS725">
        <f>+IF(AND(SUM(AS724:$BY724)=0,EDATE(Assumptions!$H$122,SUM(Assumptions!$H$123,Assumptions!$H$125,Assumptions!$H$128)*12)&gt;AS$3),1,0)</f>
        <v>0</v>
      </c>
      <c r="AT725">
        <f>+IF(AND(SUM(AT724:$BY724)=0,EDATE(Assumptions!$H$122,SUM(Assumptions!$H$123,Assumptions!$H$125,Assumptions!$H$128)*12)&gt;AT$3),1,0)</f>
        <v>0</v>
      </c>
      <c r="AU725">
        <f>+IF(AND(SUM(AU724:$BY724)=0,EDATE(Assumptions!$H$122,SUM(Assumptions!$H$123,Assumptions!$H$125,Assumptions!$H$128)*12)&gt;AU$3),1,0)</f>
        <v>0</v>
      </c>
      <c r="AV725">
        <f>+IF(AND(SUM(AV724:$BY724)=0,EDATE(Assumptions!$H$122,SUM(Assumptions!$H$123,Assumptions!$H$125,Assumptions!$H$128)*12)&gt;AV$3),1,0)</f>
        <v>0</v>
      </c>
      <c r="AW725">
        <f>+IF(AND(SUM(AW724:$BY724)=0,EDATE(Assumptions!$H$122,SUM(Assumptions!$H$123,Assumptions!$H$125,Assumptions!$H$128)*12)&gt;AW$3),1,0)</f>
        <v>0</v>
      </c>
      <c r="AX725">
        <f>+IF(AND(SUM(AX724:$BY724)=0,EDATE(Assumptions!$H$122,SUM(Assumptions!$H$123,Assumptions!$H$125,Assumptions!$H$128)*12)&gt;AX$3),1,0)</f>
        <v>0</v>
      </c>
      <c r="AY725">
        <f>+IF(AND(SUM(AY724:$BY724)=0,EDATE(Assumptions!$H$122,SUM(Assumptions!$H$123,Assumptions!$H$125,Assumptions!$H$128)*12)&gt;AY$3),1,0)</f>
        <v>0</v>
      </c>
      <c r="AZ725">
        <f>+IF(AND(SUM(AZ724:$BY724)=0,EDATE(Assumptions!$H$122,SUM(Assumptions!$H$123,Assumptions!$H$125,Assumptions!$H$128)*12)&gt;AZ$3),1,0)</f>
        <v>0</v>
      </c>
      <c r="BA725">
        <f>+IF(AND(SUM(BA724:$BY724)=0,EDATE(Assumptions!$H$122,SUM(Assumptions!$H$123,Assumptions!$H$125,Assumptions!$H$128)*12)&gt;BA$3),1,0)</f>
        <v>0</v>
      </c>
      <c r="BB725">
        <f>+IF(AND(SUM(BB724:$BY724)=0,EDATE(Assumptions!$H$122,SUM(Assumptions!$H$123,Assumptions!$H$125,Assumptions!$H$128)*12)&gt;BB$3),1,0)</f>
        <v>0</v>
      </c>
      <c r="BC725">
        <f>+IF(AND(SUM(BC724:$BY724)=0,EDATE(Assumptions!$H$122,SUM(Assumptions!$H$123,Assumptions!$H$125,Assumptions!$H$128)*12)&gt;BC$3),1,0)</f>
        <v>0</v>
      </c>
      <c r="BD725">
        <f>+IF(AND(SUM(BD724:$BY724)=0,EDATE(Assumptions!$H$122,SUM(Assumptions!$H$123,Assumptions!$H$125,Assumptions!$H$128)*12)&gt;BD$3),1,0)</f>
        <v>0</v>
      </c>
      <c r="BE725">
        <f>+IF(AND(SUM(BE724:$BY724)=0,EDATE(Assumptions!$H$122,SUM(Assumptions!$H$123,Assumptions!$H$125,Assumptions!$H$128)*12)&gt;BE$3),1,0)</f>
        <v>0</v>
      </c>
      <c r="BF725">
        <f>+IF(AND(SUM(BF724:$BY724)=0,EDATE(Assumptions!$H$122,SUM(Assumptions!$H$123,Assumptions!$H$125,Assumptions!$H$128)*12)&gt;BF$3),1,0)</f>
        <v>0</v>
      </c>
      <c r="BG725">
        <f>+IF(AND(SUM(BG724:$BY724)=0,EDATE(Assumptions!$H$122,SUM(Assumptions!$H$123,Assumptions!$H$125,Assumptions!$H$128)*12)&gt;BG$3),1,0)</f>
        <v>0</v>
      </c>
      <c r="BH725">
        <f>+IF(AND(SUM(BH724:$BY724)=0,EDATE(Assumptions!$H$122,SUM(Assumptions!$H$123,Assumptions!$H$125,Assumptions!$H$128)*12)&gt;BH$3),1,0)</f>
        <v>0</v>
      </c>
      <c r="BI725">
        <f>+IF(AND(SUM(BI724:$BY724)=0,EDATE(Assumptions!$H$122,SUM(Assumptions!$H$123,Assumptions!$H$125,Assumptions!$H$128)*12)&gt;BI$3),1,0)</f>
        <v>0</v>
      </c>
      <c r="BJ725">
        <f>+IF(AND(SUM(BJ724:$BY724)=0,EDATE(Assumptions!$H$122,SUM(Assumptions!$H$123,Assumptions!$H$125,Assumptions!$H$128)*12)&gt;BJ$3),1,0)</f>
        <v>0</v>
      </c>
      <c r="BK725">
        <f>+IF(AND(SUM(BK724:$BY724)=0,EDATE(Assumptions!$H$122,SUM(Assumptions!$H$123,Assumptions!$H$125,Assumptions!$H$128)*12)&gt;BK$3),1,0)</f>
        <v>0</v>
      </c>
      <c r="BL725">
        <f>+IF(AND(SUM(BL724:$BY724)=0,EDATE(Assumptions!$H$122,SUM(Assumptions!$H$123,Assumptions!$H$125,Assumptions!$H$128)*12)&gt;BL$3),1,0)</f>
        <v>0</v>
      </c>
      <c r="BM725">
        <f>+IF(AND(SUM(BM724:$BY724)=0,EDATE(Assumptions!$H$122,SUM(Assumptions!$H$123,Assumptions!$H$125,Assumptions!$H$128)*12)&gt;BM$3),1,0)</f>
        <v>0</v>
      </c>
      <c r="BN725">
        <f>+IF(AND(SUM(BN724:$BY724)=0,EDATE(Assumptions!$H$122,SUM(Assumptions!$H$123,Assumptions!$H$125,Assumptions!$H$128)*12)&gt;BN$3),1,0)</f>
        <v>0</v>
      </c>
      <c r="BO725">
        <f>+IF(AND(SUM(BO724:$BY724)=0,EDATE(Assumptions!$H$122,SUM(Assumptions!$H$123,Assumptions!$H$125,Assumptions!$H$128)*12)&gt;BO$3),1,0)</f>
        <v>0</v>
      </c>
      <c r="BP725">
        <f>+IF(AND(SUM(BP724:$BY724)=0,EDATE(Assumptions!$H$122,SUM(Assumptions!$H$123,Assumptions!$H$125,Assumptions!$H$128)*12)&gt;BP$3),1,0)</f>
        <v>0</v>
      </c>
      <c r="BQ725">
        <f>+IF(AND(SUM(BQ724:$BY724)=0,EDATE(Assumptions!$H$122,SUM(Assumptions!$H$123,Assumptions!$H$125,Assumptions!$H$128)*12)&gt;BQ$3),1,0)</f>
        <v>0</v>
      </c>
      <c r="BR725">
        <f>+IF(AND(SUM(BR724:$BY724)=0,EDATE(Assumptions!$H$122,SUM(Assumptions!$H$123,Assumptions!$H$125,Assumptions!$H$128)*12)&gt;BR$3),1,0)</f>
        <v>0</v>
      </c>
      <c r="BS725">
        <f>+IF(AND(SUM(BS724:$BY724)=0,EDATE(Assumptions!$H$122,SUM(Assumptions!$H$123,Assumptions!$H$125,Assumptions!$H$128)*12)&gt;BS$3),1,0)</f>
        <v>0</v>
      </c>
      <c r="BT725">
        <f>+IF(AND(SUM(BT724:$BY724)=0,EDATE(Assumptions!$H$122,SUM(Assumptions!$H$123,Assumptions!$H$125,Assumptions!$H$128)*12)&gt;BT$3),1,0)</f>
        <v>0</v>
      </c>
      <c r="BU725">
        <f>+IF(AND(SUM(BU724:$BY724)=0,EDATE(Assumptions!$H$122,SUM(Assumptions!$H$123,Assumptions!$H$125,Assumptions!$H$128)*12)&gt;BU$3),1,0)</f>
        <v>0</v>
      </c>
      <c r="BV725">
        <f>+IF(AND(SUM(BV724:$BY724)=0,EDATE(Assumptions!$H$122,SUM(Assumptions!$H$123,Assumptions!$H$125,Assumptions!$H$128)*12)&gt;BV$3),1,0)</f>
        <v>0</v>
      </c>
      <c r="BW725">
        <f>+IF(AND(SUM(BW724:$BY724)=0,EDATE(Assumptions!$H$122,SUM(Assumptions!$H$123,Assumptions!$H$125,Assumptions!$H$128)*12)&gt;BW$3),1,0)</f>
        <v>0</v>
      </c>
      <c r="BX725">
        <f>+IF(AND(SUM(BX724:$BY724)=0,EDATE(Assumptions!$H$122,SUM(Assumptions!$H$123,Assumptions!$H$125,Assumptions!$H$128)*12)&gt;BX$3),1,0)</f>
        <v>0</v>
      </c>
      <c r="BY725">
        <f>+IF(AND(SUM(BY724:$BY724)=0,EDATE(Assumptions!$H$122,SUM(Assumptions!$H$123,Assumptions!$H$125,Assumptions!$H$128)*12)&gt;BY$3),1,0)</f>
        <v>0</v>
      </c>
    </row>
    <row r="726" spans="2:77" outlineLevel="1">
      <c r="F726" s="23"/>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row>
    <row r="727" spans="2:77" ht="15" outlineLevel="1">
      <c r="E727" s="22" t="s">
        <v>366</v>
      </c>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row>
    <row r="728" spans="2:77" outlineLevel="1">
      <c r="E728" t="s">
        <v>195</v>
      </c>
      <c r="F728" s="23" t="s">
        <v>488</v>
      </c>
      <c r="H728">
        <f>+IF(AND(Assumptions!$H$149&gt;=H$3,Assumptions!$H$149&lt;H$4),1,0)</f>
        <v>1</v>
      </c>
      <c r="I728">
        <f>+IF(AND(Assumptions!$H$149&gt;=I$3,Assumptions!$H$149&lt;I$4),1,0)</f>
        <v>0</v>
      </c>
      <c r="J728">
        <f>+IF(AND(Assumptions!$H$149&gt;=J$3,Assumptions!$H$149&lt;J$4),1,0)</f>
        <v>0</v>
      </c>
      <c r="K728">
        <f>+IF(AND(Assumptions!$H$149&gt;=K$3,Assumptions!$H$149&lt;K$4),1,0)</f>
        <v>0</v>
      </c>
      <c r="L728">
        <f>+IF(AND(Assumptions!$H$149&gt;=L$3,Assumptions!$H$149&lt;L$4),1,0)</f>
        <v>0</v>
      </c>
      <c r="M728">
        <f>+IF(AND(Assumptions!$H$149&gt;=M$3,Assumptions!$H$149&lt;M$4),1,0)</f>
        <v>0</v>
      </c>
      <c r="N728">
        <f>+IF(AND(Assumptions!$H$149&gt;=N$3,Assumptions!$H$149&lt;N$4),1,0)</f>
        <v>0</v>
      </c>
      <c r="O728">
        <f>+IF(AND(Assumptions!$H$149&gt;=O$3,Assumptions!$H$149&lt;O$4),1,0)</f>
        <v>0</v>
      </c>
      <c r="P728">
        <f>+IF(AND(Assumptions!$H$149&gt;=P$3,Assumptions!$H$149&lt;P$4),1,0)</f>
        <v>0</v>
      </c>
      <c r="Q728">
        <f>+IF(AND(Assumptions!$H$149&gt;=Q$3,Assumptions!$H$149&lt;Q$4),1,0)</f>
        <v>0</v>
      </c>
      <c r="R728">
        <f>+IF(AND(Assumptions!$H$149&gt;=R$3,Assumptions!$H$149&lt;R$4),1,0)</f>
        <v>0</v>
      </c>
      <c r="S728">
        <f>+IF(AND(Assumptions!$H$149&gt;=S$3,Assumptions!$H$149&lt;S$4),1,0)</f>
        <v>0</v>
      </c>
      <c r="T728">
        <f>+IF(AND(Assumptions!$H$149&gt;=T$3,Assumptions!$H$149&lt;T$4),1,0)</f>
        <v>0</v>
      </c>
      <c r="U728">
        <f>+IF(AND(Assumptions!$H$149&gt;=U$3,Assumptions!$H$149&lt;U$4),1,0)</f>
        <v>0</v>
      </c>
      <c r="V728">
        <f>+IF(AND(Assumptions!$H$149&gt;=V$3,Assumptions!$H$149&lt;V$4),1,0)</f>
        <v>0</v>
      </c>
      <c r="W728">
        <f>+IF(AND(Assumptions!$H$149&gt;=W$3,Assumptions!$H$149&lt;W$4),1,0)</f>
        <v>0</v>
      </c>
      <c r="X728">
        <f>+IF(AND(Assumptions!$H$149&gt;=X$3,Assumptions!$H$149&lt;X$4),1,0)</f>
        <v>0</v>
      </c>
      <c r="Y728">
        <f>+IF(AND(Assumptions!$H$149&gt;=Y$3,Assumptions!$H$149&lt;Y$4),1,0)</f>
        <v>0</v>
      </c>
      <c r="Z728">
        <f>+IF(AND(Assumptions!$H$149&gt;=Z$3,Assumptions!$H$149&lt;Z$4),1,0)</f>
        <v>0</v>
      </c>
      <c r="AA728">
        <f>+IF(AND(Assumptions!$H$149&gt;=AA$3,Assumptions!$H$149&lt;AA$4),1,0)</f>
        <v>0</v>
      </c>
      <c r="AB728">
        <f>+IF(AND(Assumptions!$H$149&gt;=AB$3,Assumptions!$H$149&lt;AB$4),1,0)</f>
        <v>0</v>
      </c>
      <c r="AC728">
        <f>+IF(AND(Assumptions!$H$149&gt;=AC$3,Assumptions!$H$149&lt;AC$4),1,0)</f>
        <v>0</v>
      </c>
      <c r="AD728">
        <f>+IF(AND(Assumptions!$H$149&gt;=AD$3,Assumptions!$H$149&lt;AD$4),1,0)</f>
        <v>0</v>
      </c>
      <c r="AE728">
        <f>+IF(AND(Assumptions!$H$149&gt;=AE$3,Assumptions!$H$149&lt;AE$4),1,0)</f>
        <v>0</v>
      </c>
      <c r="AF728">
        <f>+IF(AND(Assumptions!$H$149&gt;=AF$3,Assumptions!$H$149&lt;AF$4),1,0)</f>
        <v>0</v>
      </c>
      <c r="AG728">
        <f>+IF(AND(Assumptions!$H$149&gt;=AG$3,Assumptions!$H$149&lt;AG$4),1,0)</f>
        <v>0</v>
      </c>
      <c r="AH728">
        <f>+IF(AND(Assumptions!$H$149&gt;=AH$3,Assumptions!$H$149&lt;AH$4),1,0)</f>
        <v>0</v>
      </c>
      <c r="AI728">
        <f>+IF(AND(Assumptions!$H$149&gt;=AI$3,Assumptions!$H$149&lt;AI$4),1,0)</f>
        <v>0</v>
      </c>
      <c r="AJ728">
        <f>+IF(AND(Assumptions!$H$149&gt;=AJ$3,Assumptions!$H$149&lt;AJ$4),1,0)</f>
        <v>0</v>
      </c>
      <c r="AK728">
        <f>+IF(AND(Assumptions!$H$149&gt;=AK$3,Assumptions!$H$149&lt;AK$4),1,0)</f>
        <v>0</v>
      </c>
      <c r="AL728">
        <f>+IF(AND(Assumptions!$H$149&gt;=AL$3,Assumptions!$H$149&lt;AL$4),1,0)</f>
        <v>0</v>
      </c>
      <c r="AM728">
        <f>+IF(AND(Assumptions!$H$149&gt;=AM$3,Assumptions!$H$149&lt;AM$4),1,0)</f>
        <v>0</v>
      </c>
      <c r="AN728">
        <f>+IF(AND(Assumptions!$H$149&gt;=AN$3,Assumptions!$H$149&lt;AN$4),1,0)</f>
        <v>0</v>
      </c>
      <c r="AO728">
        <f>+IF(AND(Assumptions!$H$149&gt;=AO$3,Assumptions!$H$149&lt;AO$4),1,0)</f>
        <v>0</v>
      </c>
      <c r="AP728">
        <f>+IF(AND(Assumptions!$H$149&gt;=AP$3,Assumptions!$H$149&lt;AP$4),1,0)</f>
        <v>0</v>
      </c>
      <c r="AQ728">
        <f>+IF(AND(Assumptions!$H$149&gt;=AQ$3,Assumptions!$H$149&lt;AQ$4),1,0)</f>
        <v>0</v>
      </c>
      <c r="AR728">
        <f>+IF(AND(Assumptions!$H$149&gt;=AR$3,Assumptions!$H$149&lt;AR$4),1,0)</f>
        <v>0</v>
      </c>
      <c r="AS728">
        <f>+IF(AND(Assumptions!$H$149&gt;=AS$3,Assumptions!$H$149&lt;AS$4),1,0)</f>
        <v>0</v>
      </c>
      <c r="AT728">
        <f>+IF(AND(Assumptions!$H$149&gt;=AT$3,Assumptions!$H$149&lt;AT$4),1,0)</f>
        <v>0</v>
      </c>
      <c r="AU728">
        <f>+IF(AND(Assumptions!$H$149&gt;=AU$3,Assumptions!$H$149&lt;AU$4),1,0)</f>
        <v>0</v>
      </c>
      <c r="AV728">
        <f>+IF(AND(Assumptions!$H$149&gt;=AV$3,Assumptions!$H$149&lt;AV$4),1,0)</f>
        <v>0</v>
      </c>
      <c r="AW728">
        <f>+IF(AND(Assumptions!$H$149&gt;=AW$3,Assumptions!$H$149&lt;AW$4),1,0)</f>
        <v>0</v>
      </c>
      <c r="AX728">
        <f>+IF(AND(Assumptions!$H$149&gt;=AX$3,Assumptions!$H$149&lt;AX$4),1,0)</f>
        <v>0</v>
      </c>
      <c r="AY728">
        <f>+IF(AND(Assumptions!$H$149&gt;=AY$3,Assumptions!$H$149&lt;AY$4),1,0)</f>
        <v>0</v>
      </c>
      <c r="AZ728">
        <f>+IF(AND(Assumptions!$H$149&gt;=AZ$3,Assumptions!$H$149&lt;AZ$4),1,0)</f>
        <v>0</v>
      </c>
      <c r="BA728">
        <f>+IF(AND(Assumptions!$H$149&gt;=BA$3,Assumptions!$H$149&lt;BA$4),1,0)</f>
        <v>0</v>
      </c>
      <c r="BB728">
        <f>+IF(AND(Assumptions!$H$149&gt;=BB$3,Assumptions!$H$149&lt;BB$4),1,0)</f>
        <v>0</v>
      </c>
      <c r="BC728">
        <f>+IF(AND(Assumptions!$H$149&gt;=BC$3,Assumptions!$H$149&lt;BC$4),1,0)</f>
        <v>0</v>
      </c>
      <c r="BD728">
        <f>+IF(AND(Assumptions!$H$149&gt;=BD$3,Assumptions!$H$149&lt;BD$4),1,0)</f>
        <v>0</v>
      </c>
      <c r="BE728">
        <f>+IF(AND(Assumptions!$H$149&gt;=BE$3,Assumptions!$H$149&lt;BE$4),1,0)</f>
        <v>0</v>
      </c>
      <c r="BF728">
        <f>+IF(AND(Assumptions!$H$149&gt;=BF$3,Assumptions!$H$149&lt;BF$4),1,0)</f>
        <v>0</v>
      </c>
      <c r="BG728">
        <f>+IF(AND(Assumptions!$H$149&gt;=BG$3,Assumptions!$H$149&lt;BG$4),1,0)</f>
        <v>0</v>
      </c>
      <c r="BH728">
        <f>+IF(AND(Assumptions!$H$149&gt;=BH$3,Assumptions!$H$149&lt;BH$4),1,0)</f>
        <v>0</v>
      </c>
      <c r="BI728">
        <f>+IF(AND(Assumptions!$H$149&gt;=BI$3,Assumptions!$H$149&lt;BI$4),1,0)</f>
        <v>0</v>
      </c>
      <c r="BJ728">
        <f>+IF(AND(Assumptions!$H$149&gt;=BJ$3,Assumptions!$H$149&lt;BJ$4),1,0)</f>
        <v>0</v>
      </c>
      <c r="BK728">
        <f>+IF(AND(Assumptions!$H$149&gt;=BK$3,Assumptions!$H$149&lt;BK$4),1,0)</f>
        <v>0</v>
      </c>
      <c r="BL728">
        <f>+IF(AND(Assumptions!$H$149&gt;=BL$3,Assumptions!$H$149&lt;BL$4),1,0)</f>
        <v>0</v>
      </c>
      <c r="BM728">
        <f>+IF(AND(Assumptions!$H$149&gt;=BM$3,Assumptions!$H$149&lt;BM$4),1,0)</f>
        <v>0</v>
      </c>
      <c r="BN728">
        <f>+IF(AND(Assumptions!$H$149&gt;=BN$3,Assumptions!$H$149&lt;BN$4),1,0)</f>
        <v>0</v>
      </c>
      <c r="BO728">
        <f>+IF(AND(Assumptions!$H$149&gt;=BO$3,Assumptions!$H$149&lt;BO$4),1,0)</f>
        <v>0</v>
      </c>
      <c r="BP728">
        <f>+IF(AND(Assumptions!$H$149&gt;=BP$3,Assumptions!$H$149&lt;BP$4),1,0)</f>
        <v>0</v>
      </c>
      <c r="BQ728">
        <f>+IF(AND(Assumptions!$H$149&gt;=BQ$3,Assumptions!$H$149&lt;BQ$4),1,0)</f>
        <v>0</v>
      </c>
      <c r="BR728">
        <f>+IF(AND(Assumptions!$H$149&gt;=BR$3,Assumptions!$H$149&lt;BR$4),1,0)</f>
        <v>0</v>
      </c>
      <c r="BS728">
        <f>+IF(AND(Assumptions!$H$149&gt;=BS$3,Assumptions!$H$149&lt;BS$4),1,0)</f>
        <v>0</v>
      </c>
      <c r="BT728">
        <f>+IF(AND(Assumptions!$H$149&gt;=BT$3,Assumptions!$H$149&lt;BT$4),1,0)</f>
        <v>0</v>
      </c>
      <c r="BU728">
        <f>+IF(AND(Assumptions!$H$149&gt;=BU$3,Assumptions!$H$149&lt;BU$4),1,0)</f>
        <v>0</v>
      </c>
      <c r="BV728">
        <f>+IF(AND(Assumptions!$H$149&gt;=BV$3,Assumptions!$H$149&lt;BV$4),1,0)</f>
        <v>0</v>
      </c>
      <c r="BW728">
        <f>+IF(AND(Assumptions!$H$149&gt;=BW$3,Assumptions!$H$149&lt;BW$4),1,0)</f>
        <v>0</v>
      </c>
      <c r="BX728">
        <f>+IF(AND(Assumptions!$H$149&gt;=BX$3,Assumptions!$H$149&lt;BX$4),1,0)</f>
        <v>0</v>
      </c>
      <c r="BY728">
        <f>+IF(AND(Assumptions!$H$149&gt;=BY$3,Assumptions!$H$149&lt;BY$4),1,0)</f>
        <v>0</v>
      </c>
    </row>
    <row r="729" spans="2:77" outlineLevel="1">
      <c r="E729" t="s">
        <v>197</v>
      </c>
      <c r="F729" s="23" t="s">
        <v>488</v>
      </c>
      <c r="H729" s="67">
        <f>+IF(AND(H$3&gt;=Assumptions!$H$149,H$3&lt;Assumptions!$H$151),1,0)</f>
        <v>1</v>
      </c>
      <c r="I729" s="67">
        <f>+IF(AND(I$3&gt;=Assumptions!$H$149,I$3&lt;Assumptions!$H$151),1,0)</f>
        <v>0</v>
      </c>
      <c r="J729" s="67">
        <f>+IF(AND(J$3&gt;=Assumptions!$H$149,J$3&lt;Assumptions!$H$151),1,0)</f>
        <v>0</v>
      </c>
      <c r="K729" s="67">
        <f>+IF(AND(K$3&gt;=Assumptions!$H$149,K$3&lt;Assumptions!$H$151),1,0)</f>
        <v>0</v>
      </c>
      <c r="L729" s="67">
        <f>+IF(AND(L$3&gt;=Assumptions!$H$149,L$3&lt;Assumptions!$H$151),1,0)</f>
        <v>0</v>
      </c>
      <c r="M729" s="67">
        <f>+IF(AND(M$3&gt;=Assumptions!$H$149,M$3&lt;Assumptions!$H$151),1,0)</f>
        <v>0</v>
      </c>
      <c r="N729" s="67">
        <f>+IF(AND(N$3&gt;=Assumptions!$H$149,N$3&lt;Assumptions!$H$151),1,0)</f>
        <v>0</v>
      </c>
      <c r="O729" s="67">
        <f>+IF(AND(O$3&gt;=Assumptions!$H$149,O$3&lt;Assumptions!$H$151),1,0)</f>
        <v>0</v>
      </c>
      <c r="P729" s="67">
        <f>+IF(AND(P$3&gt;=Assumptions!$H$149,P$3&lt;Assumptions!$H$151),1,0)</f>
        <v>0</v>
      </c>
      <c r="Q729" s="67">
        <f>+IF(AND(Q$3&gt;=Assumptions!$H$149,Q$3&lt;Assumptions!$H$151),1,0)</f>
        <v>0</v>
      </c>
      <c r="R729" s="67">
        <f>+IF(AND(R$3&gt;=Assumptions!$H$149,R$3&lt;Assumptions!$H$151),1,0)</f>
        <v>0</v>
      </c>
      <c r="S729" s="67">
        <f>+IF(AND(S$3&gt;=Assumptions!$H$149,S$3&lt;Assumptions!$H$151),1,0)</f>
        <v>0</v>
      </c>
      <c r="T729" s="67">
        <f>+IF(AND(T$3&gt;=Assumptions!$H$149,T$3&lt;Assumptions!$H$151),1,0)</f>
        <v>0</v>
      </c>
      <c r="U729" s="67">
        <f>+IF(AND(U$3&gt;=Assumptions!$H$149,U$3&lt;Assumptions!$H$151),1,0)</f>
        <v>0</v>
      </c>
      <c r="V729" s="67">
        <f>+IF(AND(V$3&gt;=Assumptions!$H$149,V$3&lt;Assumptions!$H$151),1,0)</f>
        <v>0</v>
      </c>
      <c r="W729" s="67">
        <f>+IF(AND(W$3&gt;=Assumptions!$H$149,W$3&lt;Assumptions!$H$151),1,0)</f>
        <v>0</v>
      </c>
      <c r="X729" s="67">
        <f>+IF(AND(X$3&gt;=Assumptions!$H$149,X$3&lt;Assumptions!$H$151),1,0)</f>
        <v>0</v>
      </c>
      <c r="Y729" s="67">
        <f>+IF(AND(Y$3&gt;=Assumptions!$H$149,Y$3&lt;Assumptions!$H$151),1,0)</f>
        <v>0</v>
      </c>
      <c r="Z729" s="67">
        <f>+IF(AND(Z$3&gt;=Assumptions!$H$149,Z$3&lt;Assumptions!$H$151),1,0)</f>
        <v>0</v>
      </c>
      <c r="AA729" s="67">
        <f>+IF(AND(AA$3&gt;=Assumptions!$H$149,AA$3&lt;Assumptions!$H$151),1,0)</f>
        <v>0</v>
      </c>
      <c r="AB729" s="67">
        <f>+IF(AND(AB$3&gt;=Assumptions!$H$149,AB$3&lt;Assumptions!$H$151),1,0)</f>
        <v>0</v>
      </c>
      <c r="AC729" s="67">
        <f>+IF(AND(AC$3&gt;=Assumptions!$H$149,AC$3&lt;Assumptions!$H$151),1,0)</f>
        <v>0</v>
      </c>
      <c r="AD729" s="67">
        <f>+IF(AND(AD$3&gt;=Assumptions!$H$149,AD$3&lt;Assumptions!$H$151),1,0)</f>
        <v>0</v>
      </c>
      <c r="AE729" s="67">
        <f>+IF(AND(AE$3&gt;=Assumptions!$H$149,AE$3&lt;Assumptions!$H$151),1,0)</f>
        <v>0</v>
      </c>
      <c r="AF729" s="67">
        <f>+IF(AND(AF$3&gt;=Assumptions!$H$149,AF$3&lt;Assumptions!$H$151),1,0)</f>
        <v>0</v>
      </c>
      <c r="AG729" s="67">
        <f>+IF(AND(AG$3&gt;=Assumptions!$H$149,AG$3&lt;Assumptions!$H$151),1,0)</f>
        <v>0</v>
      </c>
      <c r="AH729" s="67">
        <f>+IF(AND(AH$3&gt;=Assumptions!$H$149,AH$3&lt;Assumptions!$H$151),1,0)</f>
        <v>0</v>
      </c>
      <c r="AI729" s="67">
        <f>+IF(AND(AI$3&gt;=Assumptions!$H$149,AI$3&lt;Assumptions!$H$151),1,0)</f>
        <v>0</v>
      </c>
      <c r="AJ729" s="67">
        <f>+IF(AND(AJ$3&gt;=Assumptions!$H$149,AJ$3&lt;Assumptions!$H$151),1,0)</f>
        <v>0</v>
      </c>
      <c r="AK729" s="67">
        <f>+IF(AND(AK$3&gt;=Assumptions!$H$149,AK$3&lt;Assumptions!$H$151),1,0)</f>
        <v>0</v>
      </c>
      <c r="AL729" s="67">
        <f>+IF(AND(AL$3&gt;=Assumptions!$H$149,AL$3&lt;Assumptions!$H$151),1,0)</f>
        <v>0</v>
      </c>
      <c r="AM729" s="67">
        <f>+IF(AND(AM$3&gt;=Assumptions!$H$149,AM$3&lt;Assumptions!$H$151),1,0)</f>
        <v>0</v>
      </c>
      <c r="AN729" s="67">
        <f>+IF(AND(AN$3&gt;=Assumptions!$H$149,AN$3&lt;Assumptions!$H$151),1,0)</f>
        <v>0</v>
      </c>
      <c r="AO729" s="67">
        <f>+IF(AND(AO$3&gt;=Assumptions!$H$149,AO$3&lt;Assumptions!$H$151),1,0)</f>
        <v>0</v>
      </c>
      <c r="AP729" s="67">
        <f>+IF(AND(AP$3&gt;=Assumptions!$H$149,AP$3&lt;Assumptions!$H$151),1,0)</f>
        <v>0</v>
      </c>
      <c r="AQ729" s="67">
        <f>+IF(AND(AQ$3&gt;=Assumptions!$H$149,AQ$3&lt;Assumptions!$H$151),1,0)</f>
        <v>0</v>
      </c>
      <c r="AR729" s="67">
        <f>+IF(AND(AR$3&gt;=Assumptions!$H$149,AR$3&lt;Assumptions!$H$151),1,0)</f>
        <v>0</v>
      </c>
      <c r="AS729" s="67">
        <f>+IF(AND(AS$3&gt;=Assumptions!$H$149,AS$3&lt;Assumptions!$H$151),1,0)</f>
        <v>0</v>
      </c>
      <c r="AT729" s="67">
        <f>+IF(AND(AT$3&gt;=Assumptions!$H$149,AT$3&lt;Assumptions!$H$151),1,0)</f>
        <v>0</v>
      </c>
      <c r="AU729" s="67">
        <f>+IF(AND(AU$3&gt;=Assumptions!$H$149,AU$3&lt;Assumptions!$H$151),1,0)</f>
        <v>0</v>
      </c>
      <c r="AV729" s="67">
        <f>+IF(AND(AV$3&gt;=Assumptions!$H$149,AV$3&lt;Assumptions!$H$151),1,0)</f>
        <v>0</v>
      </c>
      <c r="AW729" s="67">
        <f>+IF(AND(AW$3&gt;=Assumptions!$H$149,AW$3&lt;Assumptions!$H$151),1,0)</f>
        <v>0</v>
      </c>
      <c r="AX729" s="67">
        <f>+IF(AND(AX$3&gt;=Assumptions!$H$149,AX$3&lt;Assumptions!$H$151),1,0)</f>
        <v>0</v>
      </c>
      <c r="AY729" s="67">
        <f>+IF(AND(AY$3&gt;=Assumptions!$H$149,AY$3&lt;Assumptions!$H$151),1,0)</f>
        <v>0</v>
      </c>
      <c r="AZ729" s="67">
        <f>+IF(AND(AZ$3&gt;=Assumptions!$H$149,AZ$3&lt;Assumptions!$H$151),1,0)</f>
        <v>0</v>
      </c>
      <c r="BA729" s="67">
        <f>+IF(AND(BA$3&gt;=Assumptions!$H$149,BA$3&lt;Assumptions!$H$151),1,0)</f>
        <v>0</v>
      </c>
      <c r="BB729" s="67">
        <f>+IF(AND(BB$3&gt;=Assumptions!$H$149,BB$3&lt;Assumptions!$H$151),1,0)</f>
        <v>0</v>
      </c>
      <c r="BC729" s="67">
        <f>+IF(AND(BC$3&gt;=Assumptions!$H$149,BC$3&lt;Assumptions!$H$151),1,0)</f>
        <v>0</v>
      </c>
      <c r="BD729" s="67">
        <f>+IF(AND(BD$3&gt;=Assumptions!$H$149,BD$3&lt;Assumptions!$H$151),1,0)</f>
        <v>0</v>
      </c>
      <c r="BE729" s="67">
        <f>+IF(AND(BE$3&gt;=Assumptions!$H$149,BE$3&lt;Assumptions!$H$151),1,0)</f>
        <v>0</v>
      </c>
      <c r="BF729" s="67">
        <f>+IF(AND(BF$3&gt;=Assumptions!$H$149,BF$3&lt;Assumptions!$H$151),1,0)</f>
        <v>0</v>
      </c>
      <c r="BG729" s="67">
        <f>+IF(AND(BG$3&gt;=Assumptions!$H$149,BG$3&lt;Assumptions!$H$151),1,0)</f>
        <v>0</v>
      </c>
      <c r="BH729" s="67">
        <f>+IF(AND(BH$3&gt;=Assumptions!$H$149,BH$3&lt;Assumptions!$H$151),1,0)</f>
        <v>0</v>
      </c>
      <c r="BI729" s="67">
        <f>+IF(AND(BI$3&gt;=Assumptions!$H$149,BI$3&lt;Assumptions!$H$151),1,0)</f>
        <v>0</v>
      </c>
      <c r="BJ729" s="67">
        <f>+IF(AND(BJ$3&gt;=Assumptions!$H$149,BJ$3&lt;Assumptions!$H$151),1,0)</f>
        <v>0</v>
      </c>
      <c r="BK729" s="67">
        <f>+IF(AND(BK$3&gt;=Assumptions!$H$149,BK$3&lt;Assumptions!$H$151),1,0)</f>
        <v>0</v>
      </c>
      <c r="BL729" s="67">
        <f>+IF(AND(BL$3&gt;=Assumptions!$H$149,BL$3&lt;Assumptions!$H$151),1,0)</f>
        <v>0</v>
      </c>
      <c r="BM729" s="67">
        <f>+IF(AND(BM$3&gt;=Assumptions!$H$149,BM$3&lt;Assumptions!$H$151),1,0)</f>
        <v>0</v>
      </c>
      <c r="BN729" s="67">
        <f>+IF(AND(BN$3&gt;=Assumptions!$H$149,BN$3&lt;Assumptions!$H$151),1,0)</f>
        <v>0</v>
      </c>
      <c r="BO729" s="67">
        <f>+IF(AND(BO$3&gt;=Assumptions!$H$149,BO$3&lt;Assumptions!$H$151),1,0)</f>
        <v>0</v>
      </c>
      <c r="BP729" s="67">
        <f>+IF(AND(BP$3&gt;=Assumptions!$H$149,BP$3&lt;Assumptions!$H$151),1,0)</f>
        <v>0</v>
      </c>
      <c r="BQ729" s="67">
        <f>+IF(AND(BQ$3&gt;=Assumptions!$H$149,BQ$3&lt;Assumptions!$H$151),1,0)</f>
        <v>0</v>
      </c>
      <c r="BR729" s="67">
        <f>+IF(AND(BR$3&gt;=Assumptions!$H$149,BR$3&lt;Assumptions!$H$151),1,0)</f>
        <v>0</v>
      </c>
      <c r="BS729" s="67">
        <f>+IF(AND(BS$3&gt;=Assumptions!$H$149,BS$3&lt;Assumptions!$H$151),1,0)</f>
        <v>0</v>
      </c>
      <c r="BT729" s="67">
        <f>+IF(AND(BT$3&gt;=Assumptions!$H$149,BT$3&lt;Assumptions!$H$151),1,0)</f>
        <v>0</v>
      </c>
      <c r="BU729" s="67">
        <f>+IF(AND(BU$3&gt;=Assumptions!$H$149,BU$3&lt;Assumptions!$H$151),1,0)</f>
        <v>0</v>
      </c>
      <c r="BV729" s="67">
        <f>+IF(AND(BV$3&gt;=Assumptions!$H$149,BV$3&lt;Assumptions!$H$151),1,0)</f>
        <v>0</v>
      </c>
      <c r="BW729" s="67">
        <f>+IF(AND(BW$3&gt;=Assumptions!$H$149,BW$3&lt;Assumptions!$H$151),1,0)</f>
        <v>0</v>
      </c>
      <c r="BX729" s="67">
        <f>+IF(AND(BX$3&gt;=Assumptions!$H$149,BX$3&lt;Assumptions!$H$151),1,0)</f>
        <v>0</v>
      </c>
      <c r="BY729" s="67">
        <f>+IF(AND(BY$3&gt;=Assumptions!$H$149,BY$3&lt;Assumptions!$H$151),1,0)</f>
        <v>0</v>
      </c>
    </row>
    <row r="730" spans="2:77" outlineLevel="1">
      <c r="E730" t="s">
        <v>200</v>
      </c>
      <c r="F730" s="23" t="s">
        <v>488</v>
      </c>
      <c r="H730" s="67">
        <f>+IF(AND(H$3&gt;=Assumptions!$H$151,H$3&lt;Assumptions!$H$153),1,0)</f>
        <v>0</v>
      </c>
      <c r="I730" s="67">
        <f>+IF(AND(I$3&gt;=Assumptions!$H$151,I$3&lt;Assumptions!$H$153),1,0)</f>
        <v>1</v>
      </c>
      <c r="J730" s="67">
        <f>+IF(AND(J$3&gt;=Assumptions!$H$151,J$3&lt;Assumptions!$H$153),1,0)</f>
        <v>1</v>
      </c>
      <c r="K730" s="67">
        <f>+IF(AND(K$3&gt;=Assumptions!$H$151,K$3&lt;Assumptions!$H$153),1,0)</f>
        <v>0</v>
      </c>
      <c r="L730" s="67">
        <f>+IF(AND(L$3&gt;=Assumptions!$H$151,L$3&lt;Assumptions!$H$153),1,0)</f>
        <v>0</v>
      </c>
      <c r="M730" s="67">
        <f>+IF(AND(M$3&gt;=Assumptions!$H$151,M$3&lt;Assumptions!$H$153),1,0)</f>
        <v>0</v>
      </c>
      <c r="N730" s="67">
        <f>+IF(AND(N$3&gt;=Assumptions!$H$151,N$3&lt;Assumptions!$H$153),1,0)</f>
        <v>0</v>
      </c>
      <c r="O730" s="67">
        <f>+IF(AND(O$3&gt;=Assumptions!$H$151,O$3&lt;Assumptions!$H$153),1,0)</f>
        <v>0</v>
      </c>
      <c r="P730" s="67">
        <f>+IF(AND(P$3&gt;=Assumptions!$H$151,P$3&lt;Assumptions!$H$153),1,0)</f>
        <v>0</v>
      </c>
      <c r="Q730" s="67">
        <f>+IF(AND(Q$3&gt;=Assumptions!$H$151,Q$3&lt;Assumptions!$H$153),1,0)</f>
        <v>0</v>
      </c>
      <c r="R730" s="67">
        <f>+IF(AND(R$3&gt;=Assumptions!$H$151,R$3&lt;Assumptions!$H$153),1,0)</f>
        <v>0</v>
      </c>
      <c r="S730" s="67">
        <f>+IF(AND(S$3&gt;=Assumptions!$H$151,S$3&lt;Assumptions!$H$153),1,0)</f>
        <v>0</v>
      </c>
      <c r="T730" s="67">
        <f>+IF(AND(T$3&gt;=Assumptions!$H$151,T$3&lt;Assumptions!$H$153),1,0)</f>
        <v>0</v>
      </c>
      <c r="U730" s="67">
        <f>+IF(AND(U$3&gt;=Assumptions!$H$151,U$3&lt;Assumptions!$H$153),1,0)</f>
        <v>0</v>
      </c>
      <c r="V730" s="67">
        <f>+IF(AND(V$3&gt;=Assumptions!$H$151,V$3&lt;Assumptions!$H$153),1,0)</f>
        <v>0</v>
      </c>
      <c r="W730" s="67">
        <f>+IF(AND(W$3&gt;=Assumptions!$H$151,W$3&lt;Assumptions!$H$153),1,0)</f>
        <v>0</v>
      </c>
      <c r="X730" s="67">
        <f>+IF(AND(X$3&gt;=Assumptions!$H$151,X$3&lt;Assumptions!$H$153),1,0)</f>
        <v>0</v>
      </c>
      <c r="Y730" s="67">
        <f>+IF(AND(Y$3&gt;=Assumptions!$H$151,Y$3&lt;Assumptions!$H$153),1,0)</f>
        <v>0</v>
      </c>
      <c r="Z730" s="67">
        <f>+IF(AND(Z$3&gt;=Assumptions!$H$151,Z$3&lt;Assumptions!$H$153),1,0)</f>
        <v>0</v>
      </c>
      <c r="AA730" s="67">
        <f>+IF(AND(AA$3&gt;=Assumptions!$H$151,AA$3&lt;Assumptions!$H$153),1,0)</f>
        <v>0</v>
      </c>
      <c r="AB730" s="67">
        <f>+IF(AND(AB$3&gt;=Assumptions!$H$151,AB$3&lt;Assumptions!$H$153),1,0)</f>
        <v>0</v>
      </c>
      <c r="AC730" s="67">
        <f>+IF(AND(AC$3&gt;=Assumptions!$H$151,AC$3&lt;Assumptions!$H$153),1,0)</f>
        <v>0</v>
      </c>
      <c r="AD730" s="67">
        <f>+IF(AND(AD$3&gt;=Assumptions!$H$151,AD$3&lt;Assumptions!$H$153),1,0)</f>
        <v>0</v>
      </c>
      <c r="AE730" s="67">
        <f>+IF(AND(AE$3&gt;=Assumptions!$H$151,AE$3&lt;Assumptions!$H$153),1,0)</f>
        <v>0</v>
      </c>
      <c r="AF730" s="67">
        <f>+IF(AND(AF$3&gt;=Assumptions!$H$151,AF$3&lt;Assumptions!$H$153),1,0)</f>
        <v>0</v>
      </c>
      <c r="AG730" s="67">
        <f>+IF(AND(AG$3&gt;=Assumptions!$H$151,AG$3&lt;Assumptions!$H$153),1,0)</f>
        <v>0</v>
      </c>
      <c r="AH730" s="67">
        <f>+IF(AND(AH$3&gt;=Assumptions!$H$151,AH$3&lt;Assumptions!$H$153),1,0)</f>
        <v>0</v>
      </c>
      <c r="AI730" s="67">
        <f>+IF(AND(AI$3&gt;=Assumptions!$H$151,AI$3&lt;Assumptions!$H$153),1,0)</f>
        <v>0</v>
      </c>
      <c r="AJ730" s="67">
        <f>+IF(AND(AJ$3&gt;=Assumptions!$H$151,AJ$3&lt;Assumptions!$H$153),1,0)</f>
        <v>0</v>
      </c>
      <c r="AK730" s="67">
        <f>+IF(AND(AK$3&gt;=Assumptions!$H$151,AK$3&lt;Assumptions!$H$153),1,0)</f>
        <v>0</v>
      </c>
      <c r="AL730" s="67">
        <f>+IF(AND(AL$3&gt;=Assumptions!$H$151,AL$3&lt;Assumptions!$H$153),1,0)</f>
        <v>0</v>
      </c>
      <c r="AM730" s="67">
        <f>+IF(AND(AM$3&gt;=Assumptions!$H$151,AM$3&lt;Assumptions!$H$153),1,0)</f>
        <v>0</v>
      </c>
      <c r="AN730" s="67">
        <f>+IF(AND(AN$3&gt;=Assumptions!$H$151,AN$3&lt;Assumptions!$H$153),1,0)</f>
        <v>0</v>
      </c>
      <c r="AO730" s="67">
        <f>+IF(AND(AO$3&gt;=Assumptions!$H$151,AO$3&lt;Assumptions!$H$153),1,0)</f>
        <v>0</v>
      </c>
      <c r="AP730" s="67">
        <f>+IF(AND(AP$3&gt;=Assumptions!$H$151,AP$3&lt;Assumptions!$H$153),1,0)</f>
        <v>0</v>
      </c>
      <c r="AQ730" s="67">
        <f>+IF(AND(AQ$3&gt;=Assumptions!$H$151,AQ$3&lt;Assumptions!$H$153),1,0)</f>
        <v>0</v>
      </c>
      <c r="AR730" s="67">
        <f>+IF(AND(AR$3&gt;=Assumptions!$H$151,AR$3&lt;Assumptions!$H$153),1,0)</f>
        <v>0</v>
      </c>
      <c r="AS730" s="67">
        <f>+IF(AND(AS$3&gt;=Assumptions!$H$151,AS$3&lt;Assumptions!$H$153),1,0)</f>
        <v>0</v>
      </c>
      <c r="AT730" s="67">
        <f>+IF(AND(AT$3&gt;=Assumptions!$H$151,AT$3&lt;Assumptions!$H$153),1,0)</f>
        <v>0</v>
      </c>
      <c r="AU730" s="67">
        <f>+IF(AND(AU$3&gt;=Assumptions!$H$151,AU$3&lt;Assumptions!$H$153),1,0)</f>
        <v>0</v>
      </c>
      <c r="AV730" s="67">
        <f>+IF(AND(AV$3&gt;=Assumptions!$H$151,AV$3&lt;Assumptions!$H$153),1,0)</f>
        <v>0</v>
      </c>
      <c r="AW730" s="67">
        <f>+IF(AND(AW$3&gt;=Assumptions!$H$151,AW$3&lt;Assumptions!$H$153),1,0)</f>
        <v>0</v>
      </c>
      <c r="AX730" s="67">
        <f>+IF(AND(AX$3&gt;=Assumptions!$H$151,AX$3&lt;Assumptions!$H$153),1,0)</f>
        <v>0</v>
      </c>
      <c r="AY730" s="67">
        <f>+IF(AND(AY$3&gt;=Assumptions!$H$151,AY$3&lt;Assumptions!$H$153),1,0)</f>
        <v>0</v>
      </c>
      <c r="AZ730" s="67">
        <f>+IF(AND(AZ$3&gt;=Assumptions!$H$151,AZ$3&lt;Assumptions!$H$153),1,0)</f>
        <v>0</v>
      </c>
      <c r="BA730" s="67">
        <f>+IF(AND(BA$3&gt;=Assumptions!$H$151,BA$3&lt;Assumptions!$H$153),1,0)</f>
        <v>0</v>
      </c>
      <c r="BB730" s="67">
        <f>+IF(AND(BB$3&gt;=Assumptions!$H$151,BB$3&lt;Assumptions!$H$153),1,0)</f>
        <v>0</v>
      </c>
      <c r="BC730" s="67">
        <f>+IF(AND(BC$3&gt;=Assumptions!$H$151,BC$3&lt;Assumptions!$H$153),1,0)</f>
        <v>0</v>
      </c>
      <c r="BD730" s="67">
        <f>+IF(AND(BD$3&gt;=Assumptions!$H$151,BD$3&lt;Assumptions!$H$153),1,0)</f>
        <v>0</v>
      </c>
      <c r="BE730" s="67">
        <f>+IF(AND(BE$3&gt;=Assumptions!$H$151,BE$3&lt;Assumptions!$H$153),1,0)</f>
        <v>0</v>
      </c>
      <c r="BF730" s="67">
        <f>+IF(AND(BF$3&gt;=Assumptions!$H$151,BF$3&lt;Assumptions!$H$153),1,0)</f>
        <v>0</v>
      </c>
      <c r="BG730" s="67">
        <f>+IF(AND(BG$3&gt;=Assumptions!$H$151,BG$3&lt;Assumptions!$H$153),1,0)</f>
        <v>0</v>
      </c>
      <c r="BH730" s="67">
        <f>+IF(AND(BH$3&gt;=Assumptions!$H$151,BH$3&lt;Assumptions!$H$153),1,0)</f>
        <v>0</v>
      </c>
      <c r="BI730" s="67">
        <f>+IF(AND(BI$3&gt;=Assumptions!$H$151,BI$3&lt;Assumptions!$H$153),1,0)</f>
        <v>0</v>
      </c>
      <c r="BJ730" s="67">
        <f>+IF(AND(BJ$3&gt;=Assumptions!$H$151,BJ$3&lt;Assumptions!$H$153),1,0)</f>
        <v>0</v>
      </c>
      <c r="BK730" s="67">
        <f>+IF(AND(BK$3&gt;=Assumptions!$H$151,BK$3&lt;Assumptions!$H$153),1,0)</f>
        <v>0</v>
      </c>
      <c r="BL730" s="67">
        <f>+IF(AND(BL$3&gt;=Assumptions!$H$151,BL$3&lt;Assumptions!$H$153),1,0)</f>
        <v>0</v>
      </c>
      <c r="BM730" s="67">
        <f>+IF(AND(BM$3&gt;=Assumptions!$H$151,BM$3&lt;Assumptions!$H$153),1,0)</f>
        <v>0</v>
      </c>
      <c r="BN730" s="67">
        <f>+IF(AND(BN$3&gt;=Assumptions!$H$151,BN$3&lt;Assumptions!$H$153),1,0)</f>
        <v>0</v>
      </c>
      <c r="BO730" s="67">
        <f>+IF(AND(BO$3&gt;=Assumptions!$H$151,BO$3&lt;Assumptions!$H$153),1,0)</f>
        <v>0</v>
      </c>
      <c r="BP730" s="67">
        <f>+IF(AND(BP$3&gt;=Assumptions!$H$151,BP$3&lt;Assumptions!$H$153),1,0)</f>
        <v>0</v>
      </c>
      <c r="BQ730" s="67">
        <f>+IF(AND(BQ$3&gt;=Assumptions!$H$151,BQ$3&lt;Assumptions!$H$153),1,0)</f>
        <v>0</v>
      </c>
      <c r="BR730" s="67">
        <f>+IF(AND(BR$3&gt;=Assumptions!$H$151,BR$3&lt;Assumptions!$H$153),1,0)</f>
        <v>0</v>
      </c>
      <c r="BS730" s="67">
        <f>+IF(AND(BS$3&gt;=Assumptions!$H$151,BS$3&lt;Assumptions!$H$153),1,0)</f>
        <v>0</v>
      </c>
      <c r="BT730" s="67">
        <f>+IF(AND(BT$3&gt;=Assumptions!$H$151,BT$3&lt;Assumptions!$H$153),1,0)</f>
        <v>0</v>
      </c>
      <c r="BU730" s="67">
        <f>+IF(AND(BU$3&gt;=Assumptions!$H$151,BU$3&lt;Assumptions!$H$153),1,0)</f>
        <v>0</v>
      </c>
      <c r="BV730" s="67">
        <f>+IF(AND(BV$3&gt;=Assumptions!$H$151,BV$3&lt;Assumptions!$H$153),1,0)</f>
        <v>0</v>
      </c>
      <c r="BW730" s="67">
        <f>+IF(AND(BW$3&gt;=Assumptions!$H$151,BW$3&lt;Assumptions!$H$153),1,0)</f>
        <v>0</v>
      </c>
      <c r="BX730" s="67">
        <f>+IF(AND(BX$3&gt;=Assumptions!$H$151,BX$3&lt;Assumptions!$H$153),1,0)</f>
        <v>0</v>
      </c>
      <c r="BY730" s="67">
        <f>+IF(AND(BY$3&gt;=Assumptions!$H$151,BY$3&lt;Assumptions!$H$153),1,0)</f>
        <v>0</v>
      </c>
    </row>
    <row r="731" spans="2:77" outlineLevel="1">
      <c r="E731" t="s">
        <v>202</v>
      </c>
      <c r="F731" s="23" t="s">
        <v>488</v>
      </c>
      <c r="H731">
        <f>+IF(AND(SUM(H730:$BY730)=0,EDATE(Assumptions!$H$149,SUM(Assumptions!$H$150,Assumptions!$H$152,Assumptions!$H$154)*12)&gt;H$3),1,0)</f>
        <v>0</v>
      </c>
      <c r="I731">
        <f>+IF(AND(SUM(I730:$BY730)=0,EDATE(Assumptions!$H$149,SUM(Assumptions!$H$150,Assumptions!$H$152,Assumptions!$H$154)*12)&gt;I$3),1,0)</f>
        <v>0</v>
      </c>
      <c r="J731">
        <f>+IF(AND(SUM(J730:$BY730)=0,EDATE(Assumptions!$H$149,SUM(Assumptions!$H$150,Assumptions!$H$152,Assumptions!$H$154)*12)&gt;J$3),1,0)</f>
        <v>0</v>
      </c>
      <c r="K731">
        <f>+IF(AND(SUM(K730:$BY730)=0,EDATE(Assumptions!$H$149,SUM(Assumptions!$H$150,Assumptions!$H$152,Assumptions!$H$154)*12)&gt;K$3),1,0)</f>
        <v>1</v>
      </c>
      <c r="L731">
        <f>+IF(AND(SUM(L730:$BY730)=0,EDATE(Assumptions!$H$149,SUM(Assumptions!$H$150,Assumptions!$H$152,Assumptions!$H$154)*12)&gt;L$3),1,0)</f>
        <v>1</v>
      </c>
      <c r="M731">
        <f>+IF(AND(SUM(M730:$BY730)=0,EDATE(Assumptions!$H$149,SUM(Assumptions!$H$150,Assumptions!$H$152,Assumptions!$H$154)*12)&gt;M$3),1,0)</f>
        <v>1</v>
      </c>
      <c r="N731">
        <f>+IF(AND(SUM(N730:$BY730)=0,EDATE(Assumptions!$H$149,SUM(Assumptions!$H$150,Assumptions!$H$152,Assumptions!$H$154)*12)&gt;N$3),1,0)</f>
        <v>1</v>
      </c>
      <c r="O731">
        <f>+IF(AND(SUM(O730:$BY730)=0,EDATE(Assumptions!$H$149,SUM(Assumptions!$H$150,Assumptions!$H$152,Assumptions!$H$154)*12)&gt;O$3),1,0)</f>
        <v>1</v>
      </c>
      <c r="P731">
        <f>+IF(AND(SUM(P730:$BY730)=0,EDATE(Assumptions!$H$149,SUM(Assumptions!$H$150,Assumptions!$H$152,Assumptions!$H$154)*12)&gt;P$3),1,0)</f>
        <v>1</v>
      </c>
      <c r="Q731">
        <f>+IF(AND(SUM(Q730:$BY730)=0,EDATE(Assumptions!$H$149,SUM(Assumptions!$H$150,Assumptions!$H$152,Assumptions!$H$154)*12)&gt;Q$3),1,0)</f>
        <v>1</v>
      </c>
      <c r="R731">
        <f>+IF(AND(SUM(R730:$BY730)=0,EDATE(Assumptions!$H$149,SUM(Assumptions!$H$150,Assumptions!$H$152,Assumptions!$H$154)*12)&gt;R$3),1,0)</f>
        <v>1</v>
      </c>
      <c r="S731">
        <f>+IF(AND(SUM(S730:$BY730)=0,EDATE(Assumptions!$H$149,SUM(Assumptions!$H$150,Assumptions!$H$152,Assumptions!$H$154)*12)&gt;S$3),1,0)</f>
        <v>1</v>
      </c>
      <c r="T731">
        <f>+IF(AND(SUM(T730:$BY730)=0,EDATE(Assumptions!$H$149,SUM(Assumptions!$H$150,Assumptions!$H$152,Assumptions!$H$154)*12)&gt;T$3),1,0)</f>
        <v>1</v>
      </c>
      <c r="U731">
        <f>+IF(AND(SUM(U730:$BY730)=0,EDATE(Assumptions!$H$149,SUM(Assumptions!$H$150,Assumptions!$H$152,Assumptions!$H$154)*12)&gt;U$3),1,0)</f>
        <v>1</v>
      </c>
      <c r="V731">
        <f>+IF(AND(SUM(V730:$BY730)=0,EDATE(Assumptions!$H$149,SUM(Assumptions!$H$150,Assumptions!$H$152,Assumptions!$H$154)*12)&gt;V$3),1,0)</f>
        <v>1</v>
      </c>
      <c r="W731">
        <f>+IF(AND(SUM(W730:$BY730)=0,EDATE(Assumptions!$H$149,SUM(Assumptions!$H$150,Assumptions!$H$152,Assumptions!$H$154)*12)&gt;W$3),1,0)</f>
        <v>1</v>
      </c>
      <c r="X731">
        <f>+IF(AND(SUM(X730:$BY730)=0,EDATE(Assumptions!$H$149,SUM(Assumptions!$H$150,Assumptions!$H$152,Assumptions!$H$154)*12)&gt;X$3),1,0)</f>
        <v>1</v>
      </c>
      <c r="Y731">
        <f>+IF(AND(SUM(Y730:$BY730)=0,EDATE(Assumptions!$H$149,SUM(Assumptions!$H$150,Assumptions!$H$152,Assumptions!$H$154)*12)&gt;Y$3),1,0)</f>
        <v>1</v>
      </c>
      <c r="Z731">
        <f>+IF(AND(SUM(Z730:$BY730)=0,EDATE(Assumptions!$H$149,SUM(Assumptions!$H$150,Assumptions!$H$152,Assumptions!$H$154)*12)&gt;Z$3),1,0)</f>
        <v>1</v>
      </c>
      <c r="AA731">
        <f>+IF(AND(SUM(AA730:$BY730)=0,EDATE(Assumptions!$H$149,SUM(Assumptions!$H$150,Assumptions!$H$152,Assumptions!$H$154)*12)&gt;AA$3),1,0)</f>
        <v>0</v>
      </c>
      <c r="AB731">
        <f>+IF(AND(SUM(AB730:$BY730)=0,EDATE(Assumptions!$H$149,SUM(Assumptions!$H$150,Assumptions!$H$152,Assumptions!$H$154)*12)&gt;AB$3),1,0)</f>
        <v>0</v>
      </c>
      <c r="AC731">
        <f>+IF(AND(SUM(AC730:$BY730)=0,EDATE(Assumptions!$H$149,SUM(Assumptions!$H$150,Assumptions!$H$152,Assumptions!$H$154)*12)&gt;AC$3),1,0)</f>
        <v>0</v>
      </c>
      <c r="AD731">
        <f>+IF(AND(SUM(AD730:$BY730)=0,EDATE(Assumptions!$H$149,SUM(Assumptions!$H$150,Assumptions!$H$152,Assumptions!$H$154)*12)&gt;AD$3),1,0)</f>
        <v>0</v>
      </c>
      <c r="AE731">
        <f>+IF(AND(SUM(AE730:$BY730)=0,EDATE(Assumptions!$H$149,SUM(Assumptions!$H$150,Assumptions!$H$152,Assumptions!$H$154)*12)&gt;AE$3),1,0)</f>
        <v>0</v>
      </c>
      <c r="AF731">
        <f>+IF(AND(SUM(AF730:$BY730)=0,EDATE(Assumptions!$H$149,SUM(Assumptions!$H$150,Assumptions!$H$152,Assumptions!$H$154)*12)&gt;AF$3),1,0)</f>
        <v>0</v>
      </c>
      <c r="AG731">
        <f>+IF(AND(SUM(AG730:$BY730)=0,EDATE(Assumptions!$H$149,SUM(Assumptions!$H$150,Assumptions!$H$152,Assumptions!$H$154)*12)&gt;AG$3),1,0)</f>
        <v>0</v>
      </c>
      <c r="AH731">
        <f>+IF(AND(SUM(AH730:$BY730)=0,EDATE(Assumptions!$H$149,SUM(Assumptions!$H$150,Assumptions!$H$152,Assumptions!$H$154)*12)&gt;AH$3),1,0)</f>
        <v>0</v>
      </c>
      <c r="AI731">
        <f>+IF(AND(SUM(AI730:$BY730)=0,EDATE(Assumptions!$H$149,SUM(Assumptions!$H$150,Assumptions!$H$152,Assumptions!$H$154)*12)&gt;AI$3),1,0)</f>
        <v>0</v>
      </c>
      <c r="AJ731">
        <f>+IF(AND(SUM(AJ730:$BY730)=0,EDATE(Assumptions!$H$149,SUM(Assumptions!$H$150,Assumptions!$H$152,Assumptions!$H$154)*12)&gt;AJ$3),1,0)</f>
        <v>0</v>
      </c>
      <c r="AK731">
        <f>+IF(AND(SUM(AK730:$BY730)=0,EDATE(Assumptions!$H$149,SUM(Assumptions!$H$150,Assumptions!$H$152,Assumptions!$H$154)*12)&gt;AK$3),1,0)</f>
        <v>0</v>
      </c>
      <c r="AL731">
        <f>+IF(AND(SUM(AL730:$BY730)=0,EDATE(Assumptions!$H$149,SUM(Assumptions!$H$150,Assumptions!$H$152,Assumptions!$H$154)*12)&gt;AL$3),1,0)</f>
        <v>0</v>
      </c>
      <c r="AM731">
        <f>+IF(AND(SUM(AM730:$BY730)=0,EDATE(Assumptions!$H$149,SUM(Assumptions!$H$150,Assumptions!$H$152,Assumptions!$H$154)*12)&gt;AM$3),1,0)</f>
        <v>0</v>
      </c>
      <c r="AN731">
        <f>+IF(AND(SUM(AN730:$BY730)=0,EDATE(Assumptions!$H$149,SUM(Assumptions!$H$150,Assumptions!$H$152,Assumptions!$H$154)*12)&gt;AN$3),1,0)</f>
        <v>0</v>
      </c>
      <c r="AO731">
        <f>+IF(AND(SUM(AO730:$BY730)=0,EDATE(Assumptions!$H$149,SUM(Assumptions!$H$150,Assumptions!$H$152,Assumptions!$H$154)*12)&gt;AO$3),1,0)</f>
        <v>0</v>
      </c>
      <c r="AP731">
        <f>+IF(AND(SUM(AP730:$BY730)=0,EDATE(Assumptions!$H$149,SUM(Assumptions!$H$150,Assumptions!$H$152,Assumptions!$H$154)*12)&gt;AP$3),1,0)</f>
        <v>0</v>
      </c>
      <c r="AQ731">
        <f>+IF(AND(SUM(AQ730:$BY730)=0,EDATE(Assumptions!$H$149,SUM(Assumptions!$H$150,Assumptions!$H$152,Assumptions!$H$154)*12)&gt;AQ$3),1,0)</f>
        <v>0</v>
      </c>
      <c r="AR731">
        <f>+IF(AND(SUM(AR730:$BY730)=0,EDATE(Assumptions!$H$149,SUM(Assumptions!$H$150,Assumptions!$H$152,Assumptions!$H$154)*12)&gt;AR$3),1,0)</f>
        <v>0</v>
      </c>
      <c r="AS731">
        <f>+IF(AND(SUM(AS730:$BY730)=0,EDATE(Assumptions!$H$149,SUM(Assumptions!$H$150,Assumptions!$H$152,Assumptions!$H$154)*12)&gt;AS$3),1,0)</f>
        <v>0</v>
      </c>
      <c r="AT731">
        <f>+IF(AND(SUM(AT730:$BY730)=0,EDATE(Assumptions!$H$149,SUM(Assumptions!$H$150,Assumptions!$H$152,Assumptions!$H$154)*12)&gt;AT$3),1,0)</f>
        <v>0</v>
      </c>
      <c r="AU731">
        <f>+IF(AND(SUM(AU730:$BY730)=0,EDATE(Assumptions!$H$149,SUM(Assumptions!$H$150,Assumptions!$H$152,Assumptions!$H$154)*12)&gt;AU$3),1,0)</f>
        <v>0</v>
      </c>
      <c r="AV731">
        <f>+IF(AND(SUM(AV730:$BY730)=0,EDATE(Assumptions!$H$149,SUM(Assumptions!$H$150,Assumptions!$H$152,Assumptions!$H$154)*12)&gt;AV$3),1,0)</f>
        <v>0</v>
      </c>
      <c r="AW731">
        <f>+IF(AND(SUM(AW730:$BY730)=0,EDATE(Assumptions!$H$149,SUM(Assumptions!$H$150,Assumptions!$H$152,Assumptions!$H$154)*12)&gt;AW$3),1,0)</f>
        <v>0</v>
      </c>
      <c r="AX731">
        <f>+IF(AND(SUM(AX730:$BY730)=0,EDATE(Assumptions!$H$149,SUM(Assumptions!$H$150,Assumptions!$H$152,Assumptions!$H$154)*12)&gt;AX$3),1,0)</f>
        <v>0</v>
      </c>
      <c r="AY731">
        <f>+IF(AND(SUM(AY730:$BY730)=0,EDATE(Assumptions!$H$149,SUM(Assumptions!$H$150,Assumptions!$H$152,Assumptions!$H$154)*12)&gt;AY$3),1,0)</f>
        <v>0</v>
      </c>
      <c r="AZ731">
        <f>+IF(AND(SUM(AZ730:$BY730)=0,EDATE(Assumptions!$H$149,SUM(Assumptions!$H$150,Assumptions!$H$152,Assumptions!$H$154)*12)&gt;AZ$3),1,0)</f>
        <v>0</v>
      </c>
      <c r="BA731">
        <f>+IF(AND(SUM(BA730:$BY730)=0,EDATE(Assumptions!$H$149,SUM(Assumptions!$H$150,Assumptions!$H$152,Assumptions!$H$154)*12)&gt;BA$3),1,0)</f>
        <v>0</v>
      </c>
      <c r="BB731">
        <f>+IF(AND(SUM(BB730:$BY730)=0,EDATE(Assumptions!$H$149,SUM(Assumptions!$H$150,Assumptions!$H$152,Assumptions!$H$154)*12)&gt;BB$3),1,0)</f>
        <v>0</v>
      </c>
      <c r="BC731">
        <f>+IF(AND(SUM(BC730:$BY730)=0,EDATE(Assumptions!$H$149,SUM(Assumptions!$H$150,Assumptions!$H$152,Assumptions!$H$154)*12)&gt;BC$3),1,0)</f>
        <v>0</v>
      </c>
      <c r="BD731">
        <f>+IF(AND(SUM(BD730:$BY730)=0,EDATE(Assumptions!$H$149,SUM(Assumptions!$H$150,Assumptions!$H$152,Assumptions!$H$154)*12)&gt;BD$3),1,0)</f>
        <v>0</v>
      </c>
      <c r="BE731">
        <f>+IF(AND(SUM(BE730:$BY730)=0,EDATE(Assumptions!$H$149,SUM(Assumptions!$H$150,Assumptions!$H$152,Assumptions!$H$154)*12)&gt;BE$3),1,0)</f>
        <v>0</v>
      </c>
      <c r="BF731">
        <f>+IF(AND(SUM(BF730:$BY730)=0,EDATE(Assumptions!$H$149,SUM(Assumptions!$H$150,Assumptions!$H$152,Assumptions!$H$154)*12)&gt;BF$3),1,0)</f>
        <v>0</v>
      </c>
      <c r="BG731">
        <f>+IF(AND(SUM(BG730:$BY730)=0,EDATE(Assumptions!$H$149,SUM(Assumptions!$H$150,Assumptions!$H$152,Assumptions!$H$154)*12)&gt;BG$3),1,0)</f>
        <v>0</v>
      </c>
      <c r="BH731">
        <f>+IF(AND(SUM(BH730:$BY730)=0,EDATE(Assumptions!$H$149,SUM(Assumptions!$H$150,Assumptions!$H$152,Assumptions!$H$154)*12)&gt;BH$3),1,0)</f>
        <v>0</v>
      </c>
      <c r="BI731">
        <f>+IF(AND(SUM(BI730:$BY730)=0,EDATE(Assumptions!$H$149,SUM(Assumptions!$H$150,Assumptions!$H$152,Assumptions!$H$154)*12)&gt;BI$3),1,0)</f>
        <v>0</v>
      </c>
      <c r="BJ731">
        <f>+IF(AND(SUM(BJ730:$BY730)=0,EDATE(Assumptions!$H$149,SUM(Assumptions!$H$150,Assumptions!$H$152,Assumptions!$H$154)*12)&gt;BJ$3),1,0)</f>
        <v>0</v>
      </c>
      <c r="BK731">
        <f>+IF(AND(SUM(BK730:$BY730)=0,EDATE(Assumptions!$H$149,SUM(Assumptions!$H$150,Assumptions!$H$152,Assumptions!$H$154)*12)&gt;BK$3),1,0)</f>
        <v>0</v>
      </c>
      <c r="BL731">
        <f>+IF(AND(SUM(BL730:$BY730)=0,EDATE(Assumptions!$H$149,SUM(Assumptions!$H$150,Assumptions!$H$152,Assumptions!$H$154)*12)&gt;BL$3),1,0)</f>
        <v>0</v>
      </c>
      <c r="BM731">
        <f>+IF(AND(SUM(BM730:$BY730)=0,EDATE(Assumptions!$H$149,SUM(Assumptions!$H$150,Assumptions!$H$152,Assumptions!$H$154)*12)&gt;BM$3),1,0)</f>
        <v>0</v>
      </c>
      <c r="BN731">
        <f>+IF(AND(SUM(BN730:$BY730)=0,EDATE(Assumptions!$H$149,SUM(Assumptions!$H$150,Assumptions!$H$152,Assumptions!$H$154)*12)&gt;BN$3),1,0)</f>
        <v>0</v>
      </c>
      <c r="BO731">
        <f>+IF(AND(SUM(BO730:$BY730)=0,EDATE(Assumptions!$H$149,SUM(Assumptions!$H$150,Assumptions!$H$152,Assumptions!$H$154)*12)&gt;BO$3),1,0)</f>
        <v>0</v>
      </c>
      <c r="BP731">
        <f>+IF(AND(SUM(BP730:$BY730)=0,EDATE(Assumptions!$H$149,SUM(Assumptions!$H$150,Assumptions!$H$152,Assumptions!$H$154)*12)&gt;BP$3),1,0)</f>
        <v>0</v>
      </c>
      <c r="BQ731">
        <f>+IF(AND(SUM(BQ730:$BY730)=0,EDATE(Assumptions!$H$149,SUM(Assumptions!$H$150,Assumptions!$H$152,Assumptions!$H$154)*12)&gt;BQ$3),1,0)</f>
        <v>0</v>
      </c>
      <c r="BR731">
        <f>+IF(AND(SUM(BR730:$BY730)=0,EDATE(Assumptions!$H$149,SUM(Assumptions!$H$150,Assumptions!$H$152,Assumptions!$H$154)*12)&gt;BR$3),1,0)</f>
        <v>0</v>
      </c>
      <c r="BS731">
        <f>+IF(AND(SUM(BS730:$BY730)=0,EDATE(Assumptions!$H$149,SUM(Assumptions!$H$150,Assumptions!$H$152,Assumptions!$H$154)*12)&gt;BS$3),1,0)</f>
        <v>0</v>
      </c>
      <c r="BT731">
        <f>+IF(AND(SUM(BT730:$BY730)=0,EDATE(Assumptions!$H$149,SUM(Assumptions!$H$150,Assumptions!$H$152,Assumptions!$H$154)*12)&gt;BT$3),1,0)</f>
        <v>0</v>
      </c>
      <c r="BU731">
        <f>+IF(AND(SUM(BU730:$BY730)=0,EDATE(Assumptions!$H$149,SUM(Assumptions!$H$150,Assumptions!$H$152,Assumptions!$H$154)*12)&gt;BU$3),1,0)</f>
        <v>0</v>
      </c>
      <c r="BV731">
        <f>+IF(AND(SUM(BV730:$BY730)=0,EDATE(Assumptions!$H$149,SUM(Assumptions!$H$150,Assumptions!$H$152,Assumptions!$H$154)*12)&gt;BV$3),1,0)</f>
        <v>0</v>
      </c>
      <c r="BW731">
        <f>+IF(AND(SUM(BW730:$BY730)=0,EDATE(Assumptions!$H$149,SUM(Assumptions!$H$150,Assumptions!$H$152,Assumptions!$H$154)*12)&gt;BW$3),1,0)</f>
        <v>0</v>
      </c>
      <c r="BX731">
        <f>+IF(AND(SUM(BX730:$BY730)=0,EDATE(Assumptions!$H$149,SUM(Assumptions!$H$150,Assumptions!$H$152,Assumptions!$H$154)*12)&gt;BX$3),1,0)</f>
        <v>0</v>
      </c>
      <c r="BY731">
        <f>+IF(AND(SUM(BY730:$BY730)=0,EDATE(Assumptions!$H$149,SUM(Assumptions!$H$150,Assumptions!$H$152,Assumptions!$H$154)*12)&gt;BY$3),1,0)</f>
        <v>0</v>
      </c>
    </row>
    <row r="732" spans="2:77" outlineLevel="1">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row>
    <row r="733" spans="2:77" s="19" customFormat="1" ht="12.75" outlineLevel="1">
      <c r="B733" s="18" t="s">
        <v>255</v>
      </c>
    </row>
    <row r="734" spans="2:77" ht="15" outlineLevel="1">
      <c r="C734" s="74" t="s">
        <v>489</v>
      </c>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row>
    <row r="735" spans="2:77" ht="15" outlineLevel="1">
      <c r="C735" s="76">
        <f>+SUM(H737:BY737)</f>
        <v>-863440.24293841014</v>
      </c>
      <c r="E735" s="22" t="s">
        <v>460</v>
      </c>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row>
    <row r="736" spans="2:77" outlineLevel="1">
      <c r="C736" s="102"/>
      <c r="E736" t="s">
        <v>197</v>
      </c>
      <c r="F736" s="80" t="str">
        <f>+Assumptions!$G$8</f>
        <v>USD</v>
      </c>
      <c r="H736" s="31">
        <f>IFERROR((1+Sensitivity_tables!$N$23)*IF(AND(H723=1,Assumptions!$H$133="Detailed",Assumptions!$H$132="yes"),-Assumptions_Detailed!H$145,IF(H723=1,-Assumptions!$H$135/SUM($H$723:$BY$723)*H719,0)),0)</f>
        <v>0</v>
      </c>
      <c r="I736" s="31">
        <f>IFERROR((1+Sensitivity_tables!$N$23)*IF(AND(I723=1,Assumptions!$H$133="Detailed",Assumptions!$H$132="yes"),-Assumptions_Detailed!I$145,IF(I723=1,-Assumptions!$H$135/SUM($H$723:$BY$723)*I719,0)),0)</f>
        <v>0</v>
      </c>
      <c r="J736" s="31">
        <f>IFERROR((1+Sensitivity_tables!$N$23)*IF(AND(J723=1,Assumptions!$H$133="Detailed",Assumptions!$H$132="yes"),-Assumptions_Detailed!J$145,IF(J723=1,-Assumptions!$H$135/SUM($H$723:$BY$723)*J719,0)),0)</f>
        <v>0</v>
      </c>
      <c r="K736" s="31">
        <f>IFERROR((1+Sensitivity_tables!$N$23)*IF(AND(K723=1,Assumptions!$H$133="Detailed",Assumptions!$H$132="yes"),-Assumptions_Detailed!K$145,IF(K723=1,-Assumptions!$H$135/SUM($H$723:$BY$723)*K719,0)),0)</f>
        <v>0</v>
      </c>
      <c r="L736" s="31">
        <f>IFERROR((1+Sensitivity_tables!$N$23)*IF(AND(L723=1,Assumptions!$H$133="Detailed",Assumptions!$H$132="yes"),-Assumptions_Detailed!L$145,IF(L723=1,-Assumptions!$H$135/SUM($H$723:$BY$723)*L719,0)),0)</f>
        <v>0</v>
      </c>
      <c r="M736" s="31">
        <f>IFERROR((1+Sensitivity_tables!$N$23)*IF(AND(M723=1,Assumptions!$H$133="Detailed",Assumptions!$H$132="yes"),-Assumptions_Detailed!M$145,IF(M723=1,-Assumptions!$H$135/SUM($H$723:$BY$723)*M719,0)),0)</f>
        <v>0</v>
      </c>
      <c r="N736" s="31">
        <f>IFERROR((1+Sensitivity_tables!$N$23)*IF(AND(N723=1,Assumptions!$H$133="Detailed",Assumptions!$H$132="yes"),-Assumptions_Detailed!N$145,IF(N723=1,-Assumptions!$H$135/SUM($H$723:$BY$723)*N719,0)),0)</f>
        <v>0</v>
      </c>
      <c r="O736" s="31">
        <f>IFERROR((1+Sensitivity_tables!$N$23)*IF(AND(O723=1,Assumptions!$H$133="Detailed",Assumptions!$H$132="yes"),-Assumptions_Detailed!O$145,IF(O723=1,-Assumptions!$H$135/SUM($H$723:$BY$723)*O719,0)),0)</f>
        <v>0</v>
      </c>
      <c r="P736" s="31">
        <f>IFERROR((1+Sensitivity_tables!$N$23)*IF(AND(P723=1,Assumptions!$H$133="Detailed",Assumptions!$H$132="yes"),-Assumptions_Detailed!P$145,IF(P723=1,-Assumptions!$H$135/SUM($H$723:$BY$723)*P719,0)),0)</f>
        <v>0</v>
      </c>
      <c r="Q736" s="31">
        <f>IFERROR((1+Sensitivity_tables!$N$23)*IF(AND(Q723=1,Assumptions!$H$133="Detailed",Assumptions!$H$132="yes"),-Assumptions_Detailed!Q$145,IF(Q723=1,-Assumptions!$H$135/SUM($H$723:$BY$723)*Q719,0)),0)</f>
        <v>0</v>
      </c>
      <c r="R736" s="31">
        <f>IFERROR((1+Sensitivity_tables!$N$23)*IF(AND(R723=1,Assumptions!$H$133="Detailed",Assumptions!$H$132="yes"),-Assumptions_Detailed!R$145,IF(R723=1,-Assumptions!$H$135/SUM($H$723:$BY$723)*R719,0)),0)</f>
        <v>0</v>
      </c>
      <c r="S736" s="31">
        <f>IFERROR((1+Sensitivity_tables!$N$23)*IF(AND(S723=1,Assumptions!$H$133="Detailed",Assumptions!$H$132="yes"),-Assumptions_Detailed!S$145,IF(S723=1,-Assumptions!$H$135/SUM($H$723:$BY$723)*S719,0)),0)</f>
        <v>0</v>
      </c>
      <c r="T736" s="31">
        <f>IFERROR((1+Sensitivity_tables!$N$23)*IF(AND(T723=1,Assumptions!$H$133="Detailed",Assumptions!$H$132="yes"),-Assumptions_Detailed!T$145,IF(T723=1,-Assumptions!$H$135/SUM($H$723:$BY$723)*T719,0)),0)</f>
        <v>0</v>
      </c>
      <c r="U736" s="31">
        <f>IFERROR((1+Sensitivity_tables!$N$23)*IF(AND(U723=1,Assumptions!$H$133="Detailed",Assumptions!$H$132="yes"),-Assumptions_Detailed!U$145,IF(U723=1,-Assumptions!$H$135/SUM($H$723:$BY$723)*U719,0)),0)</f>
        <v>0</v>
      </c>
      <c r="V736" s="31">
        <f>IFERROR((1+Sensitivity_tables!$N$23)*IF(AND(V723=1,Assumptions!$H$133="Detailed",Assumptions!$H$132="yes"),-Assumptions_Detailed!V$145,IF(V723=1,-Assumptions!$H$135/SUM($H$723:$BY$723)*V719,0)),0)</f>
        <v>0</v>
      </c>
      <c r="W736" s="31">
        <f>IFERROR((1+Sensitivity_tables!$N$23)*IF(AND(W723=1,Assumptions!$H$133="Detailed",Assumptions!$H$132="yes"),-Assumptions_Detailed!W$145,IF(W723=1,-Assumptions!$H$135/SUM($H$723:$BY$723)*W719,0)),0)</f>
        <v>0</v>
      </c>
      <c r="X736" s="31">
        <f>IFERROR((1+Sensitivity_tables!$N$23)*IF(AND(X723=1,Assumptions!$H$133="Detailed",Assumptions!$H$132="yes"),-Assumptions_Detailed!X$145,IF(X723=1,-Assumptions!$H$135/SUM($H$723:$BY$723)*X719,0)),0)</f>
        <v>0</v>
      </c>
      <c r="Y736" s="31">
        <f>IFERROR((1+Sensitivity_tables!$N$23)*IF(AND(Y723=1,Assumptions!$H$133="Detailed",Assumptions!$H$132="yes"),-Assumptions_Detailed!Y$145,IF(Y723=1,-Assumptions!$H$135/SUM($H$723:$BY$723)*Y719,0)),0)</f>
        <v>0</v>
      </c>
      <c r="Z736" s="31">
        <f>IFERROR((1+Sensitivity_tables!$N$23)*IF(AND(Z723=1,Assumptions!$H$133="Detailed",Assumptions!$H$132="yes"),-Assumptions_Detailed!Z$145,IF(Z723=1,-Assumptions!$H$135/SUM($H$723:$BY$723)*Z719,0)),0)</f>
        <v>0</v>
      </c>
      <c r="AA736" s="31">
        <f>IFERROR((1+Sensitivity_tables!$N$23)*IF(AND(AA723=1,Assumptions!$H$133="Detailed",Assumptions!$H$132="yes"),-Assumptions_Detailed!AA$145,IF(AA723=1,-Assumptions!$H$135/SUM($H$723:$BY$723)*AA719,0)),0)</f>
        <v>0</v>
      </c>
      <c r="AB736" s="31">
        <f>IFERROR((1+Sensitivity_tables!$N$23)*IF(AND(AB723=1,Assumptions!$H$133="Detailed",Assumptions!$H$132="yes"),-Assumptions_Detailed!AB$145,IF(AB723=1,-Assumptions!$H$135/SUM($H$723:$BY$723)*AB719,0)),0)</f>
        <v>0</v>
      </c>
      <c r="AC736" s="31">
        <f>IFERROR((1+Sensitivity_tables!$N$23)*IF(AND(AC723=1,Assumptions!$H$133="Detailed",Assumptions!$H$132="yes"),-Assumptions_Detailed!AC$145,IF(AC723=1,-Assumptions!$H$135/SUM($H$723:$BY$723)*AC719,0)),0)</f>
        <v>0</v>
      </c>
      <c r="AD736" s="31">
        <f>IFERROR((1+Sensitivity_tables!$N$23)*IF(AND(AD723=1,Assumptions!$H$133="Detailed",Assumptions!$H$132="yes"),-Assumptions_Detailed!AD$145,IF(AD723=1,-Assumptions!$H$135/SUM($H$723:$BY$723)*AD719,0)),0)</f>
        <v>0</v>
      </c>
      <c r="AE736" s="31">
        <f>IFERROR((1+Sensitivity_tables!$N$23)*IF(AND(AE723=1,Assumptions!$H$133="Detailed",Assumptions!$H$132="yes"),-Assumptions_Detailed!AE$145,IF(AE723=1,-Assumptions!$H$135/SUM($H$723:$BY$723)*AE719,0)),0)</f>
        <v>0</v>
      </c>
      <c r="AF736" s="31">
        <f>IFERROR((1+Sensitivity_tables!$N$23)*IF(AND(AF723=1,Assumptions!$H$133="Detailed",Assumptions!$H$132="yes"),-Assumptions_Detailed!AF$145,IF(AF723=1,-Assumptions!$H$135/SUM($H$723:$BY$723)*AF719,0)),0)</f>
        <v>0</v>
      </c>
      <c r="AG736" s="31">
        <f>IFERROR((1+Sensitivity_tables!$N$23)*IF(AND(AG723=1,Assumptions!$H$133="Detailed",Assumptions!$H$132="yes"),-Assumptions_Detailed!AG$145,IF(AG723=1,-Assumptions!$H$135/SUM($H$723:$BY$723)*AG719,0)),0)</f>
        <v>0</v>
      </c>
      <c r="AH736" s="31">
        <f>IFERROR((1+Sensitivity_tables!$N$23)*IF(AND(AH723=1,Assumptions!$H$133="Detailed",Assumptions!$H$132="yes"),-Assumptions_Detailed!AH$145,IF(AH723=1,-Assumptions!$H$135/SUM($H$723:$BY$723)*AH719,0)),0)</f>
        <v>0</v>
      </c>
      <c r="AI736" s="31">
        <f>IFERROR((1+Sensitivity_tables!$N$23)*IF(AND(AI723=1,Assumptions!$H$133="Detailed",Assumptions!$H$132="yes"),-Assumptions_Detailed!AI$145,IF(AI723=1,-Assumptions!$H$135/SUM($H$723:$BY$723)*AI719,0)),0)</f>
        <v>0</v>
      </c>
      <c r="AJ736" s="31">
        <f>IFERROR((1+Sensitivity_tables!$N$23)*IF(AND(AJ723=1,Assumptions!$H$133="Detailed",Assumptions!$H$132="yes"),-Assumptions_Detailed!AJ$145,IF(AJ723=1,-Assumptions!$H$135/SUM($H$723:$BY$723)*AJ719,0)),0)</f>
        <v>0</v>
      </c>
      <c r="AK736" s="31">
        <f>IFERROR((1+Sensitivity_tables!$N$23)*IF(AND(AK723=1,Assumptions!$H$133="Detailed",Assumptions!$H$132="yes"),-Assumptions_Detailed!AK$145,IF(AK723=1,-Assumptions!$H$135/SUM($H$723:$BY$723)*AK719,0)),0)</f>
        <v>0</v>
      </c>
      <c r="AL736" s="31">
        <f>IFERROR((1+Sensitivity_tables!$N$23)*IF(AND(AL723=1,Assumptions!$H$133="Detailed",Assumptions!$H$132="yes"),-Assumptions_Detailed!AL$145,IF(AL723=1,-Assumptions!$H$135/SUM($H$723:$BY$723)*AL719,0)),0)</f>
        <v>0</v>
      </c>
      <c r="AM736" s="31">
        <f>IFERROR((1+Sensitivity_tables!$N$23)*IF(AND(AM723=1,Assumptions!$H$133="Detailed",Assumptions!$H$132="yes"),-Assumptions_Detailed!AM$145,IF(AM723=1,-Assumptions!$H$135/SUM($H$723:$BY$723)*AM719,0)),0)</f>
        <v>0</v>
      </c>
      <c r="AN736" s="31">
        <f>IFERROR((1+Sensitivity_tables!$N$23)*IF(AND(AN723=1,Assumptions!$H$133="Detailed",Assumptions!$H$132="yes"),-Assumptions_Detailed!AN$145,IF(AN723=1,-Assumptions!$H$135/SUM($H$723:$BY$723)*AN719,0)),0)</f>
        <v>0</v>
      </c>
      <c r="AO736" s="31">
        <f>IFERROR((1+Sensitivity_tables!$N$23)*IF(AND(AO723=1,Assumptions!$H$133="Detailed",Assumptions!$H$132="yes"),-Assumptions_Detailed!AO$145,IF(AO723=1,-Assumptions!$H$135/SUM($H$723:$BY$723)*AO719,0)),0)</f>
        <v>0</v>
      </c>
      <c r="AP736" s="31">
        <f>IFERROR((1+Sensitivity_tables!$N$23)*IF(AND(AP723=1,Assumptions!$H$133="Detailed",Assumptions!$H$132="yes"),-Assumptions_Detailed!AP$145,IF(AP723=1,-Assumptions!$H$135/SUM($H$723:$BY$723)*AP719,0)),0)</f>
        <v>0</v>
      </c>
      <c r="AQ736" s="31">
        <f>IFERROR((1+Sensitivity_tables!$N$23)*IF(AND(AQ723=1,Assumptions!$H$133="Detailed",Assumptions!$H$132="yes"),-Assumptions_Detailed!AQ$145,IF(AQ723=1,-Assumptions!$H$135/SUM($H$723:$BY$723)*AQ719,0)),0)</f>
        <v>0</v>
      </c>
      <c r="AR736" s="31">
        <f>IFERROR((1+Sensitivity_tables!$N$23)*IF(AND(AR723=1,Assumptions!$H$133="Detailed",Assumptions!$H$132="yes"),-Assumptions_Detailed!AR$145,IF(AR723=1,-Assumptions!$H$135/SUM($H$723:$BY$723)*AR719,0)),0)</f>
        <v>0</v>
      </c>
      <c r="AS736" s="31">
        <f>IFERROR((1+Sensitivity_tables!$N$23)*IF(AND(AS723=1,Assumptions!$H$133="Detailed",Assumptions!$H$132="yes"),-Assumptions_Detailed!AS$145,IF(AS723=1,-Assumptions!$H$135/SUM($H$723:$BY$723)*AS719,0)),0)</f>
        <v>0</v>
      </c>
      <c r="AT736" s="31">
        <f>IFERROR((1+Sensitivity_tables!$N$23)*IF(AND(AT723=1,Assumptions!$H$133="Detailed",Assumptions!$H$132="yes"),-Assumptions_Detailed!AT$145,IF(AT723=1,-Assumptions!$H$135/SUM($H$723:$BY$723)*AT719,0)),0)</f>
        <v>0</v>
      </c>
      <c r="AU736" s="31">
        <f>IFERROR((1+Sensitivity_tables!$N$23)*IF(AND(AU723=1,Assumptions!$H$133="Detailed",Assumptions!$H$132="yes"),-Assumptions_Detailed!AU$145,IF(AU723=1,-Assumptions!$H$135/SUM($H$723:$BY$723)*AU719,0)),0)</f>
        <v>0</v>
      </c>
      <c r="AV736" s="31">
        <f>IFERROR((1+Sensitivity_tables!$N$23)*IF(AND(AV723=1,Assumptions!$H$133="Detailed",Assumptions!$H$132="yes"),-Assumptions_Detailed!AV$145,IF(AV723=1,-Assumptions!$H$135/SUM($H$723:$BY$723)*AV719,0)),0)</f>
        <v>0</v>
      </c>
      <c r="AW736" s="31">
        <f>IFERROR((1+Sensitivity_tables!$N$23)*IF(AND(AW723=1,Assumptions!$H$133="Detailed",Assumptions!$H$132="yes"),-Assumptions_Detailed!AW$145,IF(AW723=1,-Assumptions!$H$135/SUM($H$723:$BY$723)*AW719,0)),0)</f>
        <v>0</v>
      </c>
      <c r="AX736" s="31">
        <f>IFERROR((1+Sensitivity_tables!$N$23)*IF(AND(AX723=1,Assumptions!$H$133="Detailed",Assumptions!$H$132="yes"),-Assumptions_Detailed!AX$145,IF(AX723=1,-Assumptions!$H$135/SUM($H$723:$BY$723)*AX719,0)),0)</f>
        <v>0</v>
      </c>
      <c r="AY736" s="31">
        <f>IFERROR((1+Sensitivity_tables!$N$23)*IF(AND(AY723=1,Assumptions!$H$133="Detailed",Assumptions!$H$132="yes"),-Assumptions_Detailed!AY$145,IF(AY723=1,-Assumptions!$H$135/SUM($H$723:$BY$723)*AY719,0)),0)</f>
        <v>0</v>
      </c>
      <c r="AZ736" s="31">
        <f>IFERROR((1+Sensitivity_tables!$N$23)*IF(AND(AZ723=1,Assumptions!$H$133="Detailed",Assumptions!$H$132="yes"),-Assumptions_Detailed!AZ$145,IF(AZ723=1,-Assumptions!$H$135/SUM($H$723:$BY$723)*AZ719,0)),0)</f>
        <v>0</v>
      </c>
      <c r="BA736" s="31">
        <f>IFERROR((1+Sensitivity_tables!$N$23)*IF(AND(BA723=1,Assumptions!$H$133="Detailed",Assumptions!$H$132="yes"),-Assumptions_Detailed!BA$145,IF(BA723=1,-Assumptions!$H$135/SUM($H$723:$BY$723)*BA719,0)),0)</f>
        <v>0</v>
      </c>
      <c r="BB736" s="31">
        <f>IFERROR((1+Sensitivity_tables!$N$23)*IF(AND(BB723=1,Assumptions!$H$133="Detailed",Assumptions!$H$132="yes"),-Assumptions_Detailed!BB$145,IF(BB723=1,-Assumptions!$H$135/SUM($H$723:$BY$723)*BB719,0)),0)</f>
        <v>0</v>
      </c>
      <c r="BC736" s="31">
        <f>IFERROR((1+Sensitivity_tables!$N$23)*IF(AND(BC723=1,Assumptions!$H$133="Detailed",Assumptions!$H$132="yes"),-Assumptions_Detailed!BC$145,IF(BC723=1,-Assumptions!$H$135/SUM($H$723:$BY$723)*BC719,0)),0)</f>
        <v>0</v>
      </c>
      <c r="BD736" s="31">
        <f>IFERROR((1+Sensitivity_tables!$N$23)*IF(AND(BD723=1,Assumptions!$H$133="Detailed",Assumptions!$H$132="yes"),-Assumptions_Detailed!BD$145,IF(BD723=1,-Assumptions!$H$135/SUM($H$723:$BY$723)*BD719,0)),0)</f>
        <v>0</v>
      </c>
      <c r="BE736" s="31">
        <f>IFERROR((1+Sensitivity_tables!$N$23)*IF(AND(BE723=1,Assumptions!$H$133="Detailed",Assumptions!$H$132="yes"),-Assumptions_Detailed!BE$145,IF(BE723=1,-Assumptions!$H$135/SUM($H$723:$BY$723)*BE719,0)),0)</f>
        <v>0</v>
      </c>
      <c r="BF736" s="31">
        <f>IFERROR((1+Sensitivity_tables!$N$23)*IF(AND(BF723=1,Assumptions!$H$133="Detailed",Assumptions!$H$132="yes"),-Assumptions_Detailed!BF$145,IF(BF723=1,-Assumptions!$H$135/SUM($H$723:$BY$723)*BF719,0)),0)</f>
        <v>0</v>
      </c>
      <c r="BG736" s="31">
        <f>IFERROR((1+Sensitivity_tables!$N$23)*IF(AND(BG723=1,Assumptions!$H$133="Detailed",Assumptions!$H$132="yes"),-Assumptions_Detailed!BG$145,IF(BG723=1,-Assumptions!$H$135/SUM($H$723:$BY$723)*BG719,0)),0)</f>
        <v>0</v>
      </c>
      <c r="BH736" s="31">
        <f>IFERROR((1+Sensitivity_tables!$N$23)*IF(AND(BH723=1,Assumptions!$H$133="Detailed",Assumptions!$H$132="yes"),-Assumptions_Detailed!BH$145,IF(BH723=1,-Assumptions!$H$135/SUM($H$723:$BY$723)*BH719,0)),0)</f>
        <v>0</v>
      </c>
      <c r="BI736" s="31">
        <f>IFERROR((1+Sensitivity_tables!$N$23)*IF(AND(BI723=1,Assumptions!$H$133="Detailed",Assumptions!$H$132="yes"),-Assumptions_Detailed!BI$145,IF(BI723=1,-Assumptions!$H$135/SUM($H$723:$BY$723)*BI719,0)),0)</f>
        <v>0</v>
      </c>
      <c r="BJ736" s="31">
        <f>IFERROR((1+Sensitivity_tables!$N$23)*IF(AND(BJ723=1,Assumptions!$H$133="Detailed",Assumptions!$H$132="yes"),-Assumptions_Detailed!BJ$145,IF(BJ723=1,-Assumptions!$H$135/SUM($H$723:$BY$723)*BJ719,0)),0)</f>
        <v>0</v>
      </c>
      <c r="BK736" s="31">
        <f>IFERROR((1+Sensitivity_tables!$N$23)*IF(AND(BK723=1,Assumptions!$H$133="Detailed",Assumptions!$H$132="yes"),-Assumptions_Detailed!BK$145,IF(BK723=1,-Assumptions!$H$135/SUM($H$723:$BY$723)*BK719,0)),0)</f>
        <v>0</v>
      </c>
      <c r="BL736" s="31">
        <f>IFERROR((1+Sensitivity_tables!$N$23)*IF(AND(BL723=1,Assumptions!$H$133="Detailed",Assumptions!$H$132="yes"),-Assumptions_Detailed!BL$145,IF(BL723=1,-Assumptions!$H$135/SUM($H$723:$BY$723)*BL719,0)),0)</f>
        <v>0</v>
      </c>
      <c r="BM736" s="31">
        <f>IFERROR((1+Sensitivity_tables!$N$23)*IF(AND(BM723=1,Assumptions!$H$133="Detailed",Assumptions!$H$132="yes"),-Assumptions_Detailed!BM$145,IF(BM723=1,-Assumptions!$H$135/SUM($H$723:$BY$723)*BM719,0)),0)</f>
        <v>0</v>
      </c>
      <c r="BN736" s="31">
        <f>IFERROR((1+Sensitivity_tables!$N$23)*IF(AND(BN723=1,Assumptions!$H$133="Detailed",Assumptions!$H$132="yes"),-Assumptions_Detailed!BN$145,IF(BN723=1,-Assumptions!$H$135/SUM($H$723:$BY$723)*BN719,0)),0)</f>
        <v>0</v>
      </c>
      <c r="BO736" s="31">
        <f>IFERROR((1+Sensitivity_tables!$N$23)*IF(AND(BO723=1,Assumptions!$H$133="Detailed",Assumptions!$H$132="yes"),-Assumptions_Detailed!BO$145,IF(BO723=1,-Assumptions!$H$135/SUM($H$723:$BY$723)*BO719,0)),0)</f>
        <v>0</v>
      </c>
      <c r="BP736" s="31">
        <f>IFERROR((1+Sensitivity_tables!$N$23)*IF(AND(BP723=1,Assumptions!$H$133="Detailed",Assumptions!$H$132="yes"),-Assumptions_Detailed!BP$145,IF(BP723=1,-Assumptions!$H$135/SUM($H$723:$BY$723)*BP719,0)),0)</f>
        <v>0</v>
      </c>
      <c r="BQ736" s="31">
        <f>IFERROR((1+Sensitivity_tables!$N$23)*IF(AND(BQ723=1,Assumptions!$H$133="Detailed",Assumptions!$H$132="yes"),-Assumptions_Detailed!BQ$145,IF(BQ723=1,-Assumptions!$H$135/SUM($H$723:$BY$723)*BQ719,0)),0)</f>
        <v>0</v>
      </c>
      <c r="BR736" s="31">
        <f>IFERROR((1+Sensitivity_tables!$N$23)*IF(AND(BR723=1,Assumptions!$H$133="Detailed",Assumptions!$H$132="yes"),-Assumptions_Detailed!BR$145,IF(BR723=1,-Assumptions!$H$135/SUM($H$723:$BY$723)*BR719,0)),0)</f>
        <v>0</v>
      </c>
      <c r="BS736" s="31">
        <f>IFERROR((1+Sensitivity_tables!$N$23)*IF(AND(BS723=1,Assumptions!$H$133="Detailed",Assumptions!$H$132="yes"),-Assumptions_Detailed!BS$145,IF(BS723=1,-Assumptions!$H$135/SUM($H$723:$BY$723)*BS719,0)),0)</f>
        <v>0</v>
      </c>
      <c r="BT736" s="31">
        <f>IFERROR((1+Sensitivity_tables!$N$23)*IF(AND(BT723=1,Assumptions!$H$133="Detailed",Assumptions!$H$132="yes"),-Assumptions_Detailed!BT$145,IF(BT723=1,-Assumptions!$H$135/SUM($H$723:$BY$723)*BT719,0)),0)</f>
        <v>0</v>
      </c>
      <c r="BU736" s="31">
        <f>IFERROR((1+Sensitivity_tables!$N$23)*IF(AND(BU723=1,Assumptions!$H$133="Detailed",Assumptions!$H$132="yes"),-Assumptions_Detailed!BU$145,IF(BU723=1,-Assumptions!$H$135/SUM($H$723:$BY$723)*BU719,0)),0)</f>
        <v>0</v>
      </c>
      <c r="BV736" s="31">
        <f>IFERROR((1+Sensitivity_tables!$N$23)*IF(AND(BV723=1,Assumptions!$H$133="Detailed",Assumptions!$H$132="yes"),-Assumptions_Detailed!BV$145,IF(BV723=1,-Assumptions!$H$135/SUM($H$723:$BY$723)*BV719,0)),0)</f>
        <v>0</v>
      </c>
      <c r="BW736" s="31">
        <f>IFERROR((1+Sensitivity_tables!$N$23)*IF(AND(BW723=1,Assumptions!$H$133="Detailed",Assumptions!$H$132="yes"),-Assumptions_Detailed!BW$145,IF(BW723=1,-Assumptions!$H$135/SUM($H$723:$BY$723)*BW719,0)),0)</f>
        <v>0</v>
      </c>
      <c r="BX736" s="31">
        <f>IFERROR((1+Sensitivity_tables!$N$23)*IF(AND(BX723=1,Assumptions!$H$133="Detailed",Assumptions!$H$132="yes"),-Assumptions_Detailed!BX$145,IF(BX723=1,-Assumptions!$H$135/SUM($H$723:$BY$723)*BX719,0)),0)</f>
        <v>0</v>
      </c>
      <c r="BY736" s="31">
        <f>IFERROR((1+Sensitivity_tables!$N$23)*IF(AND(BY723=1,Assumptions!$H$133="Detailed",Assumptions!$H$132="yes"),-Assumptions_Detailed!BY$145,IF(BY723=1,-Assumptions!$H$135/SUM($H$723:$BY$723)*BY719,0)),0)</f>
        <v>0</v>
      </c>
    </row>
    <row r="737" spans="2:77" outlineLevel="1">
      <c r="C737" s="21"/>
      <c r="E737" s="25" t="s">
        <v>200</v>
      </c>
      <c r="F737" s="81" t="str">
        <f>+Assumptions!$G$8</f>
        <v>USD</v>
      </c>
      <c r="G737" s="30"/>
      <c r="H737" s="73">
        <f>IFERROR((1+Sensitivity_tables!$N$23)*IF(AND(H724=1,Assumptions!$H$139="Detailed",Assumptions!$H$138="yes"),-Assumptions_Detailed!H$146,IF(H724=1,-Assumptions!$H$141/SUM($H$724:$BY$724)*H719,0)),0)</f>
        <v>0</v>
      </c>
      <c r="I737" s="73">
        <f>IFERROR((1+Sensitivity_tables!$N$23)*IF(AND(I724=1,Assumptions!$H$139="Detailed",Assumptions!$H$138="yes"),-Assumptions_Detailed!I$146,IF(I724=1,-Assumptions!$H$141/SUM($H$724:$BY$724)*I719,0)),0)</f>
        <v>-427445.66482099512</v>
      </c>
      <c r="J737" s="73">
        <f>IFERROR((1+Sensitivity_tables!$N$23)*IF(AND(J724=1,Assumptions!$H$139="Detailed",Assumptions!$H$138="yes"),-Assumptions_Detailed!J$146,IF(J724=1,-Assumptions!$H$141/SUM($H$724:$BY$724)*J719,0)),0)</f>
        <v>-435994.57811741502</v>
      </c>
      <c r="K737" s="73">
        <f>IFERROR((1+Sensitivity_tables!$N$23)*IF(AND(K724=1,Assumptions!$H$139="Detailed",Assumptions!$H$138="yes"),-Assumptions_Detailed!K$146,IF(K724=1,-Assumptions!$H$141/SUM($H$724:$BY$724)*K719,0)),0)</f>
        <v>0</v>
      </c>
      <c r="L737" s="73">
        <f>IFERROR((1+Sensitivity_tables!$N$23)*IF(AND(L724=1,Assumptions!$H$139="Detailed",Assumptions!$H$138="yes"),-Assumptions_Detailed!L$146,IF(L724=1,-Assumptions!$H$141/SUM($H$724:$BY$724)*L719,0)),0)</f>
        <v>0</v>
      </c>
      <c r="M737" s="73">
        <f>IFERROR((1+Sensitivity_tables!$N$23)*IF(AND(M724=1,Assumptions!$H$139="Detailed",Assumptions!$H$138="yes"),-Assumptions_Detailed!M$146,IF(M724=1,-Assumptions!$H$141/SUM($H$724:$BY$724)*M719,0)),0)</f>
        <v>0</v>
      </c>
      <c r="N737" s="73">
        <f>IFERROR((1+Sensitivity_tables!$N$23)*IF(AND(N724=1,Assumptions!$H$139="Detailed",Assumptions!$H$138="yes"),-Assumptions_Detailed!N$146,IF(N724=1,-Assumptions!$H$141/SUM($H$724:$BY$724)*N719,0)),0)</f>
        <v>0</v>
      </c>
      <c r="O737" s="73">
        <f>IFERROR((1+Sensitivity_tables!$N$23)*IF(AND(O724=1,Assumptions!$H$139="Detailed",Assumptions!$H$138="yes"),-Assumptions_Detailed!O$146,IF(O724=1,-Assumptions!$H$141/SUM($H$724:$BY$724)*O719,0)),0)</f>
        <v>0</v>
      </c>
      <c r="P737" s="73">
        <f>IFERROR((1+Sensitivity_tables!$N$23)*IF(AND(P724=1,Assumptions!$H$139="Detailed",Assumptions!$H$138="yes"),-Assumptions_Detailed!P$146,IF(P724=1,-Assumptions!$H$141/SUM($H$724:$BY$724)*P719,0)),0)</f>
        <v>0</v>
      </c>
      <c r="Q737" s="73">
        <f>IFERROR((1+Sensitivity_tables!$N$23)*IF(AND(Q724=1,Assumptions!$H$139="Detailed",Assumptions!$H$138="yes"),-Assumptions_Detailed!Q$146,IF(Q724=1,-Assumptions!$H$141/SUM($H$724:$BY$724)*Q719,0)),0)</f>
        <v>0</v>
      </c>
      <c r="R737" s="73">
        <f>IFERROR((1+Sensitivity_tables!$N$23)*IF(AND(R724=1,Assumptions!$H$139="Detailed",Assumptions!$H$138="yes"),-Assumptions_Detailed!R$146,IF(R724=1,-Assumptions!$H$141/SUM($H$724:$BY$724)*R719,0)),0)</f>
        <v>0</v>
      </c>
      <c r="S737" s="73">
        <f>IFERROR((1+Sensitivity_tables!$N$23)*IF(AND(S724=1,Assumptions!$H$139="Detailed",Assumptions!$H$138="yes"),-Assumptions_Detailed!S$146,IF(S724=1,-Assumptions!$H$141/SUM($H$724:$BY$724)*S719,0)),0)</f>
        <v>0</v>
      </c>
      <c r="T737" s="73">
        <f>IFERROR((1+Sensitivity_tables!$N$23)*IF(AND(T724=1,Assumptions!$H$139="Detailed",Assumptions!$H$138="yes"),-Assumptions_Detailed!T$146,IF(T724=1,-Assumptions!$H$141/SUM($H$724:$BY$724)*T719,0)),0)</f>
        <v>0</v>
      </c>
      <c r="U737" s="73">
        <f>IFERROR((1+Sensitivity_tables!$N$23)*IF(AND(U724=1,Assumptions!$H$139="Detailed",Assumptions!$H$138="yes"),-Assumptions_Detailed!U$146,IF(U724=1,-Assumptions!$H$141/SUM($H$724:$BY$724)*U719,0)),0)</f>
        <v>0</v>
      </c>
      <c r="V737" s="73">
        <f>IFERROR((1+Sensitivity_tables!$N$23)*IF(AND(V724=1,Assumptions!$H$139="Detailed",Assumptions!$H$138="yes"),-Assumptions_Detailed!V$146,IF(V724=1,-Assumptions!$H$141/SUM($H$724:$BY$724)*V719,0)),0)</f>
        <v>0</v>
      </c>
      <c r="W737" s="73">
        <f>IFERROR((1+Sensitivity_tables!$N$23)*IF(AND(W724=1,Assumptions!$H$139="Detailed",Assumptions!$H$138="yes"),-Assumptions_Detailed!W$146,IF(W724=1,-Assumptions!$H$141/SUM($H$724:$BY$724)*W719,0)),0)</f>
        <v>0</v>
      </c>
      <c r="X737" s="73">
        <f>IFERROR((1+Sensitivity_tables!$N$23)*IF(AND(X724=1,Assumptions!$H$139="Detailed",Assumptions!$H$138="yes"),-Assumptions_Detailed!X$146,IF(X724=1,-Assumptions!$H$141/SUM($H$724:$BY$724)*X719,0)),0)</f>
        <v>0</v>
      </c>
      <c r="Y737" s="73">
        <f>IFERROR((1+Sensitivity_tables!$N$23)*IF(AND(Y724=1,Assumptions!$H$139="Detailed",Assumptions!$H$138="yes"),-Assumptions_Detailed!Y$146,IF(Y724=1,-Assumptions!$H$141/SUM($H$724:$BY$724)*Y719,0)),0)</f>
        <v>0</v>
      </c>
      <c r="Z737" s="73">
        <f>IFERROR((1+Sensitivity_tables!$N$23)*IF(AND(Z724=1,Assumptions!$H$139="Detailed",Assumptions!$H$138="yes"),-Assumptions_Detailed!Z$146,IF(Z724=1,-Assumptions!$H$141/SUM($H$724:$BY$724)*Z719,0)),0)</f>
        <v>0</v>
      </c>
      <c r="AA737" s="73">
        <f>IFERROR((1+Sensitivity_tables!$N$23)*IF(AND(AA724=1,Assumptions!$H$139="Detailed",Assumptions!$H$138="yes"),-Assumptions_Detailed!AA$146,IF(AA724=1,-Assumptions!$H$141/SUM($H$724:$BY$724)*AA719,0)),0)</f>
        <v>0</v>
      </c>
      <c r="AB737" s="73">
        <f>IFERROR((1+Sensitivity_tables!$N$23)*IF(AND(AB724=1,Assumptions!$H$139="Detailed",Assumptions!$H$138="yes"),-Assumptions_Detailed!AB$146,IF(AB724=1,-Assumptions!$H$141/SUM($H$724:$BY$724)*AB719,0)),0)</f>
        <v>0</v>
      </c>
      <c r="AC737" s="73">
        <f>IFERROR((1+Sensitivity_tables!$N$23)*IF(AND(AC724=1,Assumptions!$H$139="Detailed",Assumptions!$H$138="yes"),-Assumptions_Detailed!AC$146,IF(AC724=1,-Assumptions!$H$141/SUM($H$724:$BY$724)*AC719,0)),0)</f>
        <v>0</v>
      </c>
      <c r="AD737" s="73">
        <f>IFERROR((1+Sensitivity_tables!$N$23)*IF(AND(AD724=1,Assumptions!$H$139="Detailed",Assumptions!$H$138="yes"),-Assumptions_Detailed!AD$146,IF(AD724=1,-Assumptions!$H$141/SUM($H$724:$BY$724)*AD719,0)),0)</f>
        <v>0</v>
      </c>
      <c r="AE737" s="73">
        <f>IFERROR((1+Sensitivity_tables!$N$23)*IF(AND(AE724=1,Assumptions!$H$139="Detailed",Assumptions!$H$138="yes"),-Assumptions_Detailed!AE$146,IF(AE724=1,-Assumptions!$H$141/SUM($H$724:$BY$724)*AE719,0)),0)</f>
        <v>0</v>
      </c>
      <c r="AF737" s="73">
        <f>IFERROR((1+Sensitivity_tables!$N$23)*IF(AND(AF724=1,Assumptions!$H$139="Detailed",Assumptions!$H$138="yes"),-Assumptions_Detailed!AF$146,IF(AF724=1,-Assumptions!$H$141/SUM($H$724:$BY$724)*AF719,0)),0)</f>
        <v>0</v>
      </c>
      <c r="AG737" s="73">
        <f>IFERROR((1+Sensitivity_tables!$N$23)*IF(AND(AG724=1,Assumptions!$H$139="Detailed",Assumptions!$H$138="yes"),-Assumptions_Detailed!AG$146,IF(AG724=1,-Assumptions!$H$141/SUM($H$724:$BY$724)*AG719,0)),0)</f>
        <v>0</v>
      </c>
      <c r="AH737" s="73">
        <f>IFERROR((1+Sensitivity_tables!$N$23)*IF(AND(AH724=1,Assumptions!$H$139="Detailed",Assumptions!$H$138="yes"),-Assumptions_Detailed!AH$146,IF(AH724=1,-Assumptions!$H$141/SUM($H$724:$BY$724)*AH719,0)),0)</f>
        <v>0</v>
      </c>
      <c r="AI737" s="73">
        <f>IFERROR((1+Sensitivity_tables!$N$23)*IF(AND(AI724=1,Assumptions!$H$139="Detailed",Assumptions!$H$138="yes"),-Assumptions_Detailed!AI$146,IF(AI724=1,-Assumptions!$H$141/SUM($H$724:$BY$724)*AI719,0)),0)</f>
        <v>0</v>
      </c>
      <c r="AJ737" s="73">
        <f>IFERROR((1+Sensitivity_tables!$N$23)*IF(AND(AJ724=1,Assumptions!$H$139="Detailed",Assumptions!$H$138="yes"),-Assumptions_Detailed!AJ$146,IF(AJ724=1,-Assumptions!$H$141/SUM($H$724:$BY$724)*AJ719,0)),0)</f>
        <v>0</v>
      </c>
      <c r="AK737" s="73">
        <f>IFERROR((1+Sensitivity_tables!$N$23)*IF(AND(AK724=1,Assumptions!$H$139="Detailed",Assumptions!$H$138="yes"),-Assumptions_Detailed!AK$146,IF(AK724=1,-Assumptions!$H$141/SUM($H$724:$BY$724)*AK719,0)),0)</f>
        <v>0</v>
      </c>
      <c r="AL737" s="73">
        <f>IFERROR((1+Sensitivity_tables!$N$23)*IF(AND(AL724=1,Assumptions!$H$139="Detailed",Assumptions!$H$138="yes"),-Assumptions_Detailed!AL$146,IF(AL724=1,-Assumptions!$H$141/SUM($H$724:$BY$724)*AL719,0)),0)</f>
        <v>0</v>
      </c>
      <c r="AM737" s="73">
        <f>IFERROR((1+Sensitivity_tables!$N$23)*IF(AND(AM724=1,Assumptions!$H$139="Detailed",Assumptions!$H$138="yes"),-Assumptions_Detailed!AM$146,IF(AM724=1,-Assumptions!$H$141/SUM($H$724:$BY$724)*AM719,0)),0)</f>
        <v>0</v>
      </c>
      <c r="AN737" s="73">
        <f>IFERROR((1+Sensitivity_tables!$N$23)*IF(AND(AN724=1,Assumptions!$H$139="Detailed",Assumptions!$H$138="yes"),-Assumptions_Detailed!AN$146,IF(AN724=1,-Assumptions!$H$141/SUM($H$724:$BY$724)*AN719,0)),0)</f>
        <v>0</v>
      </c>
      <c r="AO737" s="73">
        <f>IFERROR((1+Sensitivity_tables!$N$23)*IF(AND(AO724=1,Assumptions!$H$139="Detailed",Assumptions!$H$138="yes"),-Assumptions_Detailed!AO$146,IF(AO724=1,-Assumptions!$H$141/SUM($H$724:$BY$724)*AO719,0)),0)</f>
        <v>0</v>
      </c>
      <c r="AP737" s="73">
        <f>IFERROR((1+Sensitivity_tables!$N$23)*IF(AND(AP724=1,Assumptions!$H$139="Detailed",Assumptions!$H$138="yes"),-Assumptions_Detailed!AP$146,IF(AP724=1,-Assumptions!$H$141/SUM($H$724:$BY$724)*AP719,0)),0)</f>
        <v>0</v>
      </c>
      <c r="AQ737" s="73">
        <f>IFERROR((1+Sensitivity_tables!$N$23)*IF(AND(AQ724=1,Assumptions!$H$139="Detailed",Assumptions!$H$138="yes"),-Assumptions_Detailed!AQ$146,IF(AQ724=1,-Assumptions!$H$141/SUM($H$724:$BY$724)*AQ719,0)),0)</f>
        <v>0</v>
      </c>
      <c r="AR737" s="73">
        <f>IFERROR((1+Sensitivity_tables!$N$23)*IF(AND(AR724=1,Assumptions!$H$139="Detailed",Assumptions!$H$138="yes"),-Assumptions_Detailed!AR$146,IF(AR724=1,-Assumptions!$H$141/SUM($H$724:$BY$724)*AR719,0)),0)</f>
        <v>0</v>
      </c>
      <c r="AS737" s="73">
        <f>IFERROR((1+Sensitivity_tables!$N$23)*IF(AND(AS724=1,Assumptions!$H$139="Detailed",Assumptions!$H$138="yes"),-Assumptions_Detailed!AS$146,IF(AS724=1,-Assumptions!$H$141/SUM($H$724:$BY$724)*AS719,0)),0)</f>
        <v>0</v>
      </c>
      <c r="AT737" s="73">
        <f>IFERROR((1+Sensitivity_tables!$N$23)*IF(AND(AT724=1,Assumptions!$H$139="Detailed",Assumptions!$H$138="yes"),-Assumptions_Detailed!AT$146,IF(AT724=1,-Assumptions!$H$141/SUM($H$724:$BY$724)*AT719,0)),0)</f>
        <v>0</v>
      </c>
      <c r="AU737" s="73">
        <f>IFERROR((1+Sensitivity_tables!$N$23)*IF(AND(AU724=1,Assumptions!$H$139="Detailed",Assumptions!$H$138="yes"),-Assumptions_Detailed!AU$146,IF(AU724=1,-Assumptions!$H$141/SUM($H$724:$BY$724)*AU719,0)),0)</f>
        <v>0</v>
      </c>
      <c r="AV737" s="73">
        <f>IFERROR((1+Sensitivity_tables!$N$23)*IF(AND(AV724=1,Assumptions!$H$139="Detailed",Assumptions!$H$138="yes"),-Assumptions_Detailed!AV$146,IF(AV724=1,-Assumptions!$H$141/SUM($H$724:$BY$724)*AV719,0)),0)</f>
        <v>0</v>
      </c>
      <c r="AW737" s="73">
        <f>IFERROR((1+Sensitivity_tables!$N$23)*IF(AND(AW724=1,Assumptions!$H$139="Detailed",Assumptions!$H$138="yes"),-Assumptions_Detailed!AW$146,IF(AW724=1,-Assumptions!$H$141/SUM($H$724:$BY$724)*AW719,0)),0)</f>
        <v>0</v>
      </c>
      <c r="AX737" s="73">
        <f>IFERROR((1+Sensitivity_tables!$N$23)*IF(AND(AX724=1,Assumptions!$H$139="Detailed",Assumptions!$H$138="yes"),-Assumptions_Detailed!AX$146,IF(AX724=1,-Assumptions!$H$141/SUM($H$724:$BY$724)*AX719,0)),0)</f>
        <v>0</v>
      </c>
      <c r="AY737" s="73">
        <f>IFERROR((1+Sensitivity_tables!$N$23)*IF(AND(AY724=1,Assumptions!$H$139="Detailed",Assumptions!$H$138="yes"),-Assumptions_Detailed!AY$146,IF(AY724=1,-Assumptions!$H$141/SUM($H$724:$BY$724)*AY719,0)),0)</f>
        <v>0</v>
      </c>
      <c r="AZ737" s="73">
        <f>IFERROR((1+Sensitivity_tables!$N$23)*IF(AND(AZ724=1,Assumptions!$H$139="Detailed",Assumptions!$H$138="yes"),-Assumptions_Detailed!AZ$146,IF(AZ724=1,-Assumptions!$H$141/SUM($H$724:$BY$724)*AZ719,0)),0)</f>
        <v>0</v>
      </c>
      <c r="BA737" s="73">
        <f>IFERROR((1+Sensitivity_tables!$N$23)*IF(AND(BA724=1,Assumptions!$H$139="Detailed",Assumptions!$H$138="yes"),-Assumptions_Detailed!BA$146,IF(BA724=1,-Assumptions!$H$141/SUM($H$724:$BY$724)*BA719,0)),0)</f>
        <v>0</v>
      </c>
      <c r="BB737" s="73">
        <f>IFERROR((1+Sensitivity_tables!$N$23)*IF(AND(BB724=1,Assumptions!$H$139="Detailed",Assumptions!$H$138="yes"),-Assumptions_Detailed!BB$146,IF(BB724=1,-Assumptions!$H$141/SUM($H$724:$BY$724)*BB719,0)),0)</f>
        <v>0</v>
      </c>
      <c r="BC737" s="73">
        <f>IFERROR((1+Sensitivity_tables!$N$23)*IF(AND(BC724=1,Assumptions!$H$139="Detailed",Assumptions!$H$138="yes"),-Assumptions_Detailed!BC$146,IF(BC724=1,-Assumptions!$H$141/SUM($H$724:$BY$724)*BC719,0)),0)</f>
        <v>0</v>
      </c>
      <c r="BD737" s="73">
        <f>IFERROR((1+Sensitivity_tables!$N$23)*IF(AND(BD724=1,Assumptions!$H$139="Detailed",Assumptions!$H$138="yes"),-Assumptions_Detailed!BD$146,IF(BD724=1,-Assumptions!$H$141/SUM($H$724:$BY$724)*BD719,0)),0)</f>
        <v>0</v>
      </c>
      <c r="BE737" s="73">
        <f>IFERROR((1+Sensitivity_tables!$N$23)*IF(AND(BE724=1,Assumptions!$H$139="Detailed",Assumptions!$H$138="yes"),-Assumptions_Detailed!BE$146,IF(BE724=1,-Assumptions!$H$141/SUM($H$724:$BY$724)*BE719,0)),0)</f>
        <v>0</v>
      </c>
      <c r="BF737" s="73">
        <f>IFERROR((1+Sensitivity_tables!$N$23)*IF(AND(BF724=1,Assumptions!$H$139="Detailed",Assumptions!$H$138="yes"),-Assumptions_Detailed!BF$146,IF(BF724=1,-Assumptions!$H$141/SUM($H$724:$BY$724)*BF719,0)),0)</f>
        <v>0</v>
      </c>
      <c r="BG737" s="73">
        <f>IFERROR((1+Sensitivity_tables!$N$23)*IF(AND(BG724=1,Assumptions!$H$139="Detailed",Assumptions!$H$138="yes"),-Assumptions_Detailed!BG$146,IF(BG724=1,-Assumptions!$H$141/SUM($H$724:$BY$724)*BG719,0)),0)</f>
        <v>0</v>
      </c>
      <c r="BH737" s="73">
        <f>IFERROR((1+Sensitivity_tables!$N$23)*IF(AND(BH724=1,Assumptions!$H$139="Detailed",Assumptions!$H$138="yes"),-Assumptions_Detailed!BH$146,IF(BH724=1,-Assumptions!$H$141/SUM($H$724:$BY$724)*BH719,0)),0)</f>
        <v>0</v>
      </c>
      <c r="BI737" s="73">
        <f>IFERROR((1+Sensitivity_tables!$N$23)*IF(AND(BI724=1,Assumptions!$H$139="Detailed",Assumptions!$H$138="yes"),-Assumptions_Detailed!BI$146,IF(BI724=1,-Assumptions!$H$141/SUM($H$724:$BY$724)*BI719,0)),0)</f>
        <v>0</v>
      </c>
      <c r="BJ737" s="73">
        <f>IFERROR((1+Sensitivity_tables!$N$23)*IF(AND(BJ724=1,Assumptions!$H$139="Detailed",Assumptions!$H$138="yes"),-Assumptions_Detailed!BJ$146,IF(BJ724=1,-Assumptions!$H$141/SUM($H$724:$BY$724)*BJ719,0)),0)</f>
        <v>0</v>
      </c>
      <c r="BK737" s="73">
        <f>IFERROR((1+Sensitivity_tables!$N$23)*IF(AND(BK724=1,Assumptions!$H$139="Detailed",Assumptions!$H$138="yes"),-Assumptions_Detailed!BK$146,IF(BK724=1,-Assumptions!$H$141/SUM($H$724:$BY$724)*BK719,0)),0)</f>
        <v>0</v>
      </c>
      <c r="BL737" s="73">
        <f>IFERROR((1+Sensitivity_tables!$N$23)*IF(AND(BL724=1,Assumptions!$H$139="Detailed",Assumptions!$H$138="yes"),-Assumptions_Detailed!BL$146,IF(BL724=1,-Assumptions!$H$141/SUM($H$724:$BY$724)*BL719,0)),0)</f>
        <v>0</v>
      </c>
      <c r="BM737" s="73">
        <f>IFERROR((1+Sensitivity_tables!$N$23)*IF(AND(BM724=1,Assumptions!$H$139="Detailed",Assumptions!$H$138="yes"),-Assumptions_Detailed!BM$146,IF(BM724=1,-Assumptions!$H$141/SUM($H$724:$BY$724)*BM719,0)),0)</f>
        <v>0</v>
      </c>
      <c r="BN737" s="73">
        <f>IFERROR((1+Sensitivity_tables!$N$23)*IF(AND(BN724=1,Assumptions!$H$139="Detailed",Assumptions!$H$138="yes"),-Assumptions_Detailed!BN$146,IF(BN724=1,-Assumptions!$H$141/SUM($H$724:$BY$724)*BN719,0)),0)</f>
        <v>0</v>
      </c>
      <c r="BO737" s="73">
        <f>IFERROR((1+Sensitivity_tables!$N$23)*IF(AND(BO724=1,Assumptions!$H$139="Detailed",Assumptions!$H$138="yes"),-Assumptions_Detailed!BO$146,IF(BO724=1,-Assumptions!$H$141/SUM($H$724:$BY$724)*BO719,0)),0)</f>
        <v>0</v>
      </c>
      <c r="BP737" s="73">
        <f>IFERROR((1+Sensitivity_tables!$N$23)*IF(AND(BP724=1,Assumptions!$H$139="Detailed",Assumptions!$H$138="yes"),-Assumptions_Detailed!BP$146,IF(BP724=1,-Assumptions!$H$141/SUM($H$724:$BY$724)*BP719,0)),0)</f>
        <v>0</v>
      </c>
      <c r="BQ737" s="73">
        <f>IFERROR((1+Sensitivity_tables!$N$23)*IF(AND(BQ724=1,Assumptions!$H$139="Detailed",Assumptions!$H$138="yes"),-Assumptions_Detailed!BQ$146,IF(BQ724=1,-Assumptions!$H$141/SUM($H$724:$BY$724)*BQ719,0)),0)</f>
        <v>0</v>
      </c>
      <c r="BR737" s="73">
        <f>IFERROR((1+Sensitivity_tables!$N$23)*IF(AND(BR724=1,Assumptions!$H$139="Detailed",Assumptions!$H$138="yes"),-Assumptions_Detailed!BR$146,IF(BR724=1,-Assumptions!$H$141/SUM($H$724:$BY$724)*BR719,0)),0)</f>
        <v>0</v>
      </c>
      <c r="BS737" s="73">
        <f>IFERROR((1+Sensitivity_tables!$N$23)*IF(AND(BS724=1,Assumptions!$H$139="Detailed",Assumptions!$H$138="yes"),-Assumptions_Detailed!BS$146,IF(BS724=1,-Assumptions!$H$141/SUM($H$724:$BY$724)*BS719,0)),0)</f>
        <v>0</v>
      </c>
      <c r="BT737" s="73">
        <f>IFERROR((1+Sensitivity_tables!$N$23)*IF(AND(BT724=1,Assumptions!$H$139="Detailed",Assumptions!$H$138="yes"),-Assumptions_Detailed!BT$146,IF(BT724=1,-Assumptions!$H$141/SUM($H$724:$BY$724)*BT719,0)),0)</f>
        <v>0</v>
      </c>
      <c r="BU737" s="73">
        <f>IFERROR((1+Sensitivity_tables!$N$23)*IF(AND(BU724=1,Assumptions!$H$139="Detailed",Assumptions!$H$138="yes"),-Assumptions_Detailed!BU$146,IF(BU724=1,-Assumptions!$H$141/SUM($H$724:$BY$724)*BU719,0)),0)</f>
        <v>0</v>
      </c>
      <c r="BV737" s="73">
        <f>IFERROR((1+Sensitivity_tables!$N$23)*IF(AND(BV724=1,Assumptions!$H$139="Detailed",Assumptions!$H$138="yes"),-Assumptions_Detailed!BV$146,IF(BV724=1,-Assumptions!$H$141/SUM($H$724:$BY$724)*BV719,0)),0)</f>
        <v>0</v>
      </c>
      <c r="BW737" s="73">
        <f>IFERROR((1+Sensitivity_tables!$N$23)*IF(AND(BW724=1,Assumptions!$H$139="Detailed",Assumptions!$H$138="yes"),-Assumptions_Detailed!BW$146,IF(BW724=1,-Assumptions!$H$141/SUM($H$724:$BY$724)*BW719,0)),0)</f>
        <v>0</v>
      </c>
      <c r="BX737" s="73">
        <f>IFERROR((1+Sensitivity_tables!$N$23)*IF(AND(BX724=1,Assumptions!$H$139="Detailed",Assumptions!$H$138="yes"),-Assumptions_Detailed!BX$146,IF(BX724=1,-Assumptions!$H$141/SUM($H$724:$BY$724)*BX719,0)),0)</f>
        <v>0</v>
      </c>
      <c r="BY737" s="73">
        <f>IFERROR((1+Sensitivity_tables!$N$23)*IF(AND(BY724=1,Assumptions!$H$139="Detailed",Assumptions!$H$138="yes"),-Assumptions_Detailed!BY$146,IF(BY724=1,-Assumptions!$H$141/SUM($H$724:$BY$724)*BY719,0)),0)</f>
        <v>0</v>
      </c>
    </row>
    <row r="738" spans="2:77" outlineLevel="1">
      <c r="E738" t="s">
        <v>207</v>
      </c>
      <c r="F738" s="80" t="str">
        <f>+Assumptions!$G$8</f>
        <v>USD</v>
      </c>
      <c r="G738" s="23"/>
      <c r="H738" s="33">
        <f>+SUM(H736:H737)</f>
        <v>0</v>
      </c>
      <c r="I738" s="33">
        <f t="shared" ref="I738:BT738" si="1450">+SUM(I736:I737)</f>
        <v>-427445.66482099512</v>
      </c>
      <c r="J738" s="33">
        <f t="shared" si="1450"/>
        <v>-435994.57811741502</v>
      </c>
      <c r="K738" s="33">
        <f t="shared" si="1450"/>
        <v>0</v>
      </c>
      <c r="L738" s="33">
        <f t="shared" si="1450"/>
        <v>0</v>
      </c>
      <c r="M738" s="33">
        <f t="shared" si="1450"/>
        <v>0</v>
      </c>
      <c r="N738" s="33">
        <f t="shared" si="1450"/>
        <v>0</v>
      </c>
      <c r="O738" s="33">
        <f t="shared" si="1450"/>
        <v>0</v>
      </c>
      <c r="P738" s="33">
        <f t="shared" si="1450"/>
        <v>0</v>
      </c>
      <c r="Q738" s="33">
        <f t="shared" si="1450"/>
        <v>0</v>
      </c>
      <c r="R738" s="33">
        <f t="shared" si="1450"/>
        <v>0</v>
      </c>
      <c r="S738" s="33">
        <f t="shared" si="1450"/>
        <v>0</v>
      </c>
      <c r="T738" s="33">
        <f t="shared" si="1450"/>
        <v>0</v>
      </c>
      <c r="U738" s="33">
        <f t="shared" si="1450"/>
        <v>0</v>
      </c>
      <c r="V738" s="33">
        <f t="shared" si="1450"/>
        <v>0</v>
      </c>
      <c r="W738" s="33">
        <f t="shared" si="1450"/>
        <v>0</v>
      </c>
      <c r="X738" s="33">
        <f t="shared" si="1450"/>
        <v>0</v>
      </c>
      <c r="Y738" s="33">
        <f t="shared" si="1450"/>
        <v>0</v>
      </c>
      <c r="Z738" s="33">
        <f t="shared" si="1450"/>
        <v>0</v>
      </c>
      <c r="AA738" s="33">
        <f t="shared" si="1450"/>
        <v>0</v>
      </c>
      <c r="AB738" s="33">
        <f t="shared" si="1450"/>
        <v>0</v>
      </c>
      <c r="AC738" s="33">
        <f t="shared" si="1450"/>
        <v>0</v>
      </c>
      <c r="AD738" s="33">
        <f t="shared" si="1450"/>
        <v>0</v>
      </c>
      <c r="AE738" s="33">
        <f t="shared" si="1450"/>
        <v>0</v>
      </c>
      <c r="AF738" s="33">
        <f t="shared" si="1450"/>
        <v>0</v>
      </c>
      <c r="AG738" s="33">
        <f t="shared" si="1450"/>
        <v>0</v>
      </c>
      <c r="AH738" s="33">
        <f t="shared" si="1450"/>
        <v>0</v>
      </c>
      <c r="AI738" s="33">
        <f t="shared" si="1450"/>
        <v>0</v>
      </c>
      <c r="AJ738" s="33">
        <f t="shared" si="1450"/>
        <v>0</v>
      </c>
      <c r="AK738" s="33">
        <f t="shared" si="1450"/>
        <v>0</v>
      </c>
      <c r="AL738" s="33">
        <f t="shared" si="1450"/>
        <v>0</v>
      </c>
      <c r="AM738" s="33">
        <f t="shared" si="1450"/>
        <v>0</v>
      </c>
      <c r="AN738" s="33">
        <f t="shared" si="1450"/>
        <v>0</v>
      </c>
      <c r="AO738" s="33">
        <f t="shared" si="1450"/>
        <v>0</v>
      </c>
      <c r="AP738" s="33">
        <f t="shared" si="1450"/>
        <v>0</v>
      </c>
      <c r="AQ738" s="33">
        <f t="shared" si="1450"/>
        <v>0</v>
      </c>
      <c r="AR738" s="33">
        <f t="shared" si="1450"/>
        <v>0</v>
      </c>
      <c r="AS738" s="33">
        <f t="shared" si="1450"/>
        <v>0</v>
      </c>
      <c r="AT738" s="33">
        <f t="shared" si="1450"/>
        <v>0</v>
      </c>
      <c r="AU738" s="33">
        <f t="shared" si="1450"/>
        <v>0</v>
      </c>
      <c r="AV738" s="33">
        <f t="shared" si="1450"/>
        <v>0</v>
      </c>
      <c r="AW738" s="33">
        <f t="shared" si="1450"/>
        <v>0</v>
      </c>
      <c r="AX738" s="33">
        <f t="shared" si="1450"/>
        <v>0</v>
      </c>
      <c r="AY738" s="33">
        <f t="shared" si="1450"/>
        <v>0</v>
      </c>
      <c r="AZ738" s="33">
        <f t="shared" si="1450"/>
        <v>0</v>
      </c>
      <c r="BA738" s="33">
        <f t="shared" si="1450"/>
        <v>0</v>
      </c>
      <c r="BB738" s="33">
        <f t="shared" si="1450"/>
        <v>0</v>
      </c>
      <c r="BC738" s="33">
        <f t="shared" si="1450"/>
        <v>0</v>
      </c>
      <c r="BD738" s="33">
        <f t="shared" si="1450"/>
        <v>0</v>
      </c>
      <c r="BE738" s="33">
        <f t="shared" si="1450"/>
        <v>0</v>
      </c>
      <c r="BF738" s="33">
        <f t="shared" si="1450"/>
        <v>0</v>
      </c>
      <c r="BG738" s="33">
        <f t="shared" si="1450"/>
        <v>0</v>
      </c>
      <c r="BH738" s="33">
        <f t="shared" si="1450"/>
        <v>0</v>
      </c>
      <c r="BI738" s="33">
        <f t="shared" si="1450"/>
        <v>0</v>
      </c>
      <c r="BJ738" s="33">
        <f t="shared" si="1450"/>
        <v>0</v>
      </c>
      <c r="BK738" s="33">
        <f t="shared" si="1450"/>
        <v>0</v>
      </c>
      <c r="BL738" s="33">
        <f t="shared" si="1450"/>
        <v>0</v>
      </c>
      <c r="BM738" s="33">
        <f t="shared" si="1450"/>
        <v>0</v>
      </c>
      <c r="BN738" s="33">
        <f t="shared" si="1450"/>
        <v>0</v>
      </c>
      <c r="BO738" s="33">
        <f t="shared" si="1450"/>
        <v>0</v>
      </c>
      <c r="BP738" s="33">
        <f t="shared" si="1450"/>
        <v>0</v>
      </c>
      <c r="BQ738" s="33">
        <f t="shared" si="1450"/>
        <v>0</v>
      </c>
      <c r="BR738" s="33">
        <f t="shared" si="1450"/>
        <v>0</v>
      </c>
      <c r="BS738" s="33">
        <f t="shared" si="1450"/>
        <v>0</v>
      </c>
      <c r="BT738" s="33">
        <f t="shared" si="1450"/>
        <v>0</v>
      </c>
      <c r="BU738" s="33">
        <f t="shared" ref="BU738:BY738" si="1451">+SUM(BU736:BU737)</f>
        <v>0</v>
      </c>
      <c r="BV738" s="33">
        <f t="shared" si="1451"/>
        <v>0</v>
      </c>
      <c r="BW738" s="33">
        <f t="shared" si="1451"/>
        <v>0</v>
      </c>
      <c r="BX738" s="33">
        <f t="shared" si="1451"/>
        <v>0</v>
      </c>
      <c r="BY738" s="33">
        <f t="shared" si="1451"/>
        <v>0</v>
      </c>
    </row>
    <row r="739" spans="2:77" outlineLevel="1">
      <c r="F739" s="23"/>
      <c r="G739" s="23"/>
      <c r="BF739" s="33"/>
      <c r="BG739" s="33"/>
      <c r="BH739" s="33"/>
      <c r="BI739" s="33"/>
      <c r="BJ739" s="33"/>
      <c r="BK739" s="33"/>
      <c r="BL739" s="33"/>
      <c r="BM739" s="33"/>
      <c r="BN739" s="33"/>
      <c r="BO739" s="33"/>
      <c r="BP739" s="33"/>
      <c r="BQ739" s="33"/>
      <c r="BR739" s="33"/>
      <c r="BS739" s="33"/>
      <c r="BT739" s="33"/>
      <c r="BU739" s="33"/>
      <c r="BV739" s="33"/>
      <c r="BW739" s="33"/>
      <c r="BX739" s="33"/>
      <c r="BY739" s="33"/>
    </row>
    <row r="740" spans="2:77" s="19" customFormat="1" ht="12.75" outlineLevel="1">
      <c r="B740" s="18" t="s">
        <v>256</v>
      </c>
    </row>
    <row r="741" spans="2:77" ht="15" outlineLevel="1">
      <c r="C741" s="74" t="s">
        <v>489</v>
      </c>
      <c r="F741" s="23"/>
      <c r="G741" s="23"/>
      <c r="BF741" s="33"/>
      <c r="BG741" s="33"/>
      <c r="BH741" s="33"/>
      <c r="BI741" s="33"/>
      <c r="BJ741" s="33"/>
      <c r="BK741" s="33"/>
      <c r="BL741" s="33"/>
      <c r="BM741" s="33"/>
      <c r="BN741" s="33"/>
      <c r="BO741" s="33"/>
      <c r="BP741" s="33"/>
      <c r="BQ741" s="33"/>
      <c r="BR741" s="33"/>
      <c r="BS741" s="33"/>
      <c r="BT741" s="33"/>
      <c r="BU741" s="33"/>
      <c r="BV741" s="33"/>
      <c r="BW741" s="33"/>
      <c r="BX741" s="33"/>
      <c r="BY741" s="33"/>
    </row>
    <row r="742" spans="2:77" ht="15" outlineLevel="1">
      <c r="C742" s="76">
        <f>+SUM(H744:BY744)</f>
        <v>-863440.24293841003</v>
      </c>
      <c r="E742" s="22" t="s">
        <v>461</v>
      </c>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row>
    <row r="743" spans="2:77" outlineLevel="1">
      <c r="C743" s="102"/>
      <c r="E743" t="s">
        <v>197</v>
      </c>
      <c r="F743" s="80" t="str">
        <f>+Assumptions!$G$8</f>
        <v>USD</v>
      </c>
      <c r="H743" s="31">
        <f>IFERROR((1+Sensitivity_tables!$N$23)*IF(AND(H729=1,Assumptions!$H$159="Detailed",Assumptions!$H$158="yes"),-Assumptions_Detailed!H$151,IF(H729=1,-Assumptions!$H$161/SUM($H$729:$BY$729)*H719,0)),0)</f>
        <v>0</v>
      </c>
      <c r="I743" s="31">
        <f>IFERROR((1+Sensitivity_tables!$N$23)*IF(AND(I729=1,Assumptions!$H$159="Detailed",Assumptions!$H$158="yes"),-Assumptions_Detailed!I$151,IF(I729=1,-Assumptions!$H$161/SUM($H$729:$BY$729)*I719,0)),0)</f>
        <v>0</v>
      </c>
      <c r="J743" s="31">
        <f>IFERROR((1+Sensitivity_tables!$N$23)*IF(AND(J729=1,Assumptions!$H$159="Detailed",Assumptions!$H$158="yes"),-Assumptions_Detailed!J$151,IF(J729=1,-Assumptions!$H$161/SUM($H$729:$BY$729)*J719,0)),0)</f>
        <v>0</v>
      </c>
      <c r="K743" s="31">
        <f>IFERROR((1+Sensitivity_tables!$N$23)*IF(AND(K729=1,Assumptions!$H$159="Detailed",Assumptions!$H$158="yes"),-Assumptions_Detailed!K$151,IF(K729=1,-Assumptions!$H$161/SUM($H$729:$BY$729)*K719,0)),0)</f>
        <v>0</v>
      </c>
      <c r="L743" s="31">
        <f>IFERROR((1+Sensitivity_tables!$N$23)*IF(AND(L729=1,Assumptions!$H$159="Detailed",Assumptions!$H$158="yes"),-Assumptions_Detailed!L$151,IF(L729=1,-Assumptions!$H$161/SUM($H$729:$BY$729)*L719,0)),0)</f>
        <v>0</v>
      </c>
      <c r="M743" s="31">
        <f>IFERROR((1+Sensitivity_tables!$N$23)*IF(AND(M729=1,Assumptions!$H$159="Detailed",Assumptions!$H$158="yes"),-Assumptions_Detailed!M$151,IF(M729=1,-Assumptions!$H$161/SUM($H$729:$BY$729)*M719,0)),0)</f>
        <v>0</v>
      </c>
      <c r="N743" s="31">
        <f>IFERROR((1+Sensitivity_tables!$N$23)*IF(AND(N729=1,Assumptions!$H$159="Detailed",Assumptions!$H$158="yes"),-Assumptions_Detailed!N$151,IF(N729=1,-Assumptions!$H$161/SUM($H$729:$BY$729)*N719,0)),0)</f>
        <v>0</v>
      </c>
      <c r="O743" s="31">
        <f>IFERROR((1+Sensitivity_tables!$N$23)*IF(AND(O729=1,Assumptions!$H$159="Detailed",Assumptions!$H$158="yes"),-Assumptions_Detailed!O$151,IF(O729=1,-Assumptions!$H$161/SUM($H$729:$BY$729)*O719,0)),0)</f>
        <v>0</v>
      </c>
      <c r="P743" s="31">
        <f>IFERROR((1+Sensitivity_tables!$N$23)*IF(AND(P729=1,Assumptions!$H$159="Detailed",Assumptions!$H$158="yes"),-Assumptions_Detailed!P$151,IF(P729=1,-Assumptions!$H$161/SUM($H$729:$BY$729)*P719,0)),0)</f>
        <v>0</v>
      </c>
      <c r="Q743" s="31">
        <f>IFERROR((1+Sensitivity_tables!$N$23)*IF(AND(Q729=1,Assumptions!$H$159="Detailed",Assumptions!$H$158="yes"),-Assumptions_Detailed!Q$151,IF(Q729=1,-Assumptions!$H$161/SUM($H$729:$BY$729)*Q719,0)),0)</f>
        <v>0</v>
      </c>
      <c r="R743" s="31">
        <f>IFERROR((1+Sensitivity_tables!$N$23)*IF(AND(R729=1,Assumptions!$H$159="Detailed",Assumptions!$H$158="yes"),-Assumptions_Detailed!R$151,IF(R729=1,-Assumptions!$H$161/SUM($H$729:$BY$729)*R719,0)),0)</f>
        <v>0</v>
      </c>
      <c r="S743" s="31">
        <f>IFERROR((1+Sensitivity_tables!$N$23)*IF(AND(S729=1,Assumptions!$H$159="Detailed",Assumptions!$H$158="yes"),-Assumptions_Detailed!S$151,IF(S729=1,-Assumptions!$H$161/SUM($H$729:$BY$729)*S719,0)),0)</f>
        <v>0</v>
      </c>
      <c r="T743" s="31">
        <f>IFERROR((1+Sensitivity_tables!$N$23)*IF(AND(T729=1,Assumptions!$H$159="Detailed",Assumptions!$H$158="yes"),-Assumptions_Detailed!T$151,IF(T729=1,-Assumptions!$H$161/SUM($H$729:$BY$729)*T719,0)),0)</f>
        <v>0</v>
      </c>
      <c r="U743" s="31">
        <f>IFERROR((1+Sensitivity_tables!$N$23)*IF(AND(U729=1,Assumptions!$H$159="Detailed",Assumptions!$H$158="yes"),-Assumptions_Detailed!U$151,IF(U729=1,-Assumptions!$H$161/SUM($H$729:$BY$729)*U719,0)),0)</f>
        <v>0</v>
      </c>
      <c r="V743" s="31">
        <f>IFERROR((1+Sensitivity_tables!$N$23)*IF(AND(V729=1,Assumptions!$H$159="Detailed",Assumptions!$H$158="yes"),-Assumptions_Detailed!V$151,IF(V729=1,-Assumptions!$H$161/SUM($H$729:$BY$729)*V719,0)),0)</f>
        <v>0</v>
      </c>
      <c r="W743" s="31">
        <f>IFERROR((1+Sensitivity_tables!$N$23)*IF(AND(W729=1,Assumptions!$H$159="Detailed",Assumptions!$H$158="yes"),-Assumptions_Detailed!W$151,IF(W729=1,-Assumptions!$H$161/SUM($H$729:$BY$729)*W719,0)),0)</f>
        <v>0</v>
      </c>
      <c r="X743" s="31">
        <f>IFERROR((1+Sensitivity_tables!$N$23)*IF(AND(X729=1,Assumptions!$H$159="Detailed",Assumptions!$H$158="yes"),-Assumptions_Detailed!X$151,IF(X729=1,-Assumptions!$H$161/SUM($H$729:$BY$729)*X719,0)),0)</f>
        <v>0</v>
      </c>
      <c r="Y743" s="31">
        <f>IFERROR((1+Sensitivity_tables!$N$23)*IF(AND(Y729=1,Assumptions!$H$159="Detailed",Assumptions!$H$158="yes"),-Assumptions_Detailed!Y$151,IF(Y729=1,-Assumptions!$H$161/SUM($H$729:$BY$729)*Y719,0)),0)</f>
        <v>0</v>
      </c>
      <c r="Z743" s="31">
        <f>IFERROR((1+Sensitivity_tables!$N$23)*IF(AND(Z729=1,Assumptions!$H$159="Detailed",Assumptions!$H$158="yes"),-Assumptions_Detailed!Z$151,IF(Z729=1,-Assumptions!$H$161/SUM($H$729:$BY$729)*Z719,0)),0)</f>
        <v>0</v>
      </c>
      <c r="AA743" s="31">
        <f>IFERROR((1+Sensitivity_tables!$N$23)*IF(AND(AA729=1,Assumptions!$H$159="Detailed",Assumptions!$H$158="yes"),-Assumptions_Detailed!AA$151,IF(AA729=1,-Assumptions!$H$161/SUM($H$729:$BY$729)*AA719,0)),0)</f>
        <v>0</v>
      </c>
      <c r="AB743" s="31">
        <f>IFERROR((1+Sensitivity_tables!$N$23)*IF(AND(AB729=1,Assumptions!$H$159="Detailed",Assumptions!$H$158="yes"),-Assumptions_Detailed!AB$151,IF(AB729=1,-Assumptions!$H$161/SUM($H$729:$BY$729)*AB719,0)),0)</f>
        <v>0</v>
      </c>
      <c r="AC743" s="31">
        <f>IFERROR((1+Sensitivity_tables!$N$23)*IF(AND(AC729=1,Assumptions!$H$159="Detailed",Assumptions!$H$158="yes"),-Assumptions_Detailed!AC$151,IF(AC729=1,-Assumptions!$H$161/SUM($H$729:$BY$729)*AC719,0)),0)</f>
        <v>0</v>
      </c>
      <c r="AD743" s="31">
        <f>IFERROR((1+Sensitivity_tables!$N$23)*IF(AND(AD729=1,Assumptions!$H$159="Detailed",Assumptions!$H$158="yes"),-Assumptions_Detailed!AD$151,IF(AD729=1,-Assumptions!$H$161/SUM($H$729:$BY$729)*AD719,0)),0)</f>
        <v>0</v>
      </c>
      <c r="AE743" s="31">
        <f>IFERROR((1+Sensitivity_tables!$N$23)*IF(AND(AE729=1,Assumptions!$H$159="Detailed",Assumptions!$H$158="yes"),-Assumptions_Detailed!AE$151,IF(AE729=1,-Assumptions!$H$161/SUM($H$729:$BY$729)*AE719,0)),0)</f>
        <v>0</v>
      </c>
      <c r="AF743" s="31">
        <f>IFERROR((1+Sensitivity_tables!$N$23)*IF(AND(AF729=1,Assumptions!$H$159="Detailed",Assumptions!$H$158="yes"),-Assumptions_Detailed!AF$151,IF(AF729=1,-Assumptions!$H$161/SUM($H$729:$BY$729)*AF719,0)),0)</f>
        <v>0</v>
      </c>
      <c r="AG743" s="31">
        <f>IFERROR((1+Sensitivity_tables!$N$23)*IF(AND(AG729=1,Assumptions!$H$159="Detailed",Assumptions!$H$158="yes"),-Assumptions_Detailed!AG$151,IF(AG729=1,-Assumptions!$H$161/SUM($H$729:$BY$729)*AG719,0)),0)</f>
        <v>0</v>
      </c>
      <c r="AH743" s="31">
        <f>IFERROR((1+Sensitivity_tables!$N$23)*IF(AND(AH729=1,Assumptions!$H$159="Detailed",Assumptions!$H$158="yes"),-Assumptions_Detailed!AH$151,IF(AH729=1,-Assumptions!$H$161/SUM($H$729:$BY$729)*AH719,0)),0)</f>
        <v>0</v>
      </c>
      <c r="AI743" s="31">
        <f>IFERROR((1+Sensitivity_tables!$N$23)*IF(AND(AI729=1,Assumptions!$H$159="Detailed",Assumptions!$H$158="yes"),-Assumptions_Detailed!AI$151,IF(AI729=1,-Assumptions!$H$161/SUM($H$729:$BY$729)*AI719,0)),0)</f>
        <v>0</v>
      </c>
      <c r="AJ743" s="31">
        <f>IFERROR((1+Sensitivity_tables!$N$23)*IF(AND(AJ729=1,Assumptions!$H$159="Detailed",Assumptions!$H$158="yes"),-Assumptions_Detailed!AJ$151,IF(AJ729=1,-Assumptions!$H$161/SUM($H$729:$BY$729)*AJ719,0)),0)</f>
        <v>0</v>
      </c>
      <c r="AK743" s="31">
        <f>IFERROR((1+Sensitivity_tables!$N$23)*IF(AND(AK729=1,Assumptions!$H$159="Detailed",Assumptions!$H$158="yes"),-Assumptions_Detailed!AK$151,IF(AK729=1,-Assumptions!$H$161/SUM($H$729:$BY$729)*AK719,0)),0)</f>
        <v>0</v>
      </c>
      <c r="AL743" s="31">
        <f>IFERROR((1+Sensitivity_tables!$N$23)*IF(AND(AL729=1,Assumptions!$H$159="Detailed",Assumptions!$H$158="yes"),-Assumptions_Detailed!AL$151,IF(AL729=1,-Assumptions!$H$161/SUM($H$729:$BY$729)*AL719,0)),0)</f>
        <v>0</v>
      </c>
      <c r="AM743" s="31">
        <f>IFERROR((1+Sensitivity_tables!$N$23)*IF(AND(AM729=1,Assumptions!$H$159="Detailed",Assumptions!$H$158="yes"),-Assumptions_Detailed!AM$151,IF(AM729=1,-Assumptions!$H$161/SUM($H$729:$BY$729)*AM719,0)),0)</f>
        <v>0</v>
      </c>
      <c r="AN743" s="31">
        <f>IFERROR((1+Sensitivity_tables!$N$23)*IF(AND(AN729=1,Assumptions!$H$159="Detailed",Assumptions!$H$158="yes"),-Assumptions_Detailed!AN$151,IF(AN729=1,-Assumptions!$H$161/SUM($H$729:$BY$729)*AN719,0)),0)</f>
        <v>0</v>
      </c>
      <c r="AO743" s="31">
        <f>IFERROR((1+Sensitivity_tables!$N$23)*IF(AND(AO729=1,Assumptions!$H$159="Detailed",Assumptions!$H$158="yes"),-Assumptions_Detailed!AO$151,IF(AO729=1,-Assumptions!$H$161/SUM($H$729:$BY$729)*AO719,0)),0)</f>
        <v>0</v>
      </c>
      <c r="AP743" s="31">
        <f>IFERROR((1+Sensitivity_tables!$N$23)*IF(AND(AP729=1,Assumptions!$H$159="Detailed",Assumptions!$H$158="yes"),-Assumptions_Detailed!AP$151,IF(AP729=1,-Assumptions!$H$161/SUM($H$729:$BY$729)*AP719,0)),0)</f>
        <v>0</v>
      </c>
      <c r="AQ743" s="31">
        <f>IFERROR((1+Sensitivity_tables!$N$23)*IF(AND(AQ729=1,Assumptions!$H$159="Detailed",Assumptions!$H$158="yes"),-Assumptions_Detailed!AQ$151,IF(AQ729=1,-Assumptions!$H$161/SUM($H$729:$BY$729)*AQ719,0)),0)</f>
        <v>0</v>
      </c>
      <c r="AR743" s="31">
        <f>IFERROR((1+Sensitivity_tables!$N$23)*IF(AND(AR729=1,Assumptions!$H$159="Detailed",Assumptions!$H$158="yes"),-Assumptions_Detailed!AR$151,IF(AR729=1,-Assumptions!$H$161/SUM($H$729:$BY$729)*AR719,0)),0)</f>
        <v>0</v>
      </c>
      <c r="AS743" s="31">
        <f>IFERROR((1+Sensitivity_tables!$N$23)*IF(AND(AS729=1,Assumptions!$H$159="Detailed",Assumptions!$H$158="yes"),-Assumptions_Detailed!AS$151,IF(AS729=1,-Assumptions!$H$161/SUM($H$729:$BY$729)*AS719,0)),0)</f>
        <v>0</v>
      </c>
      <c r="AT743" s="31">
        <f>IFERROR((1+Sensitivity_tables!$N$23)*IF(AND(AT729=1,Assumptions!$H$159="Detailed",Assumptions!$H$158="yes"),-Assumptions_Detailed!AT$151,IF(AT729=1,-Assumptions!$H$161/SUM($H$729:$BY$729)*AT719,0)),0)</f>
        <v>0</v>
      </c>
      <c r="AU743" s="31">
        <f>IFERROR((1+Sensitivity_tables!$N$23)*IF(AND(AU729=1,Assumptions!$H$159="Detailed",Assumptions!$H$158="yes"),-Assumptions_Detailed!AU$151,IF(AU729=1,-Assumptions!$H$161/SUM($H$729:$BY$729)*AU719,0)),0)</f>
        <v>0</v>
      </c>
      <c r="AV743" s="31">
        <f>IFERROR((1+Sensitivity_tables!$N$23)*IF(AND(AV729=1,Assumptions!$H$159="Detailed",Assumptions!$H$158="yes"),-Assumptions_Detailed!AV$151,IF(AV729=1,-Assumptions!$H$161/SUM($H$729:$BY$729)*AV719,0)),0)</f>
        <v>0</v>
      </c>
      <c r="AW743" s="31">
        <f>IFERROR((1+Sensitivity_tables!$N$23)*IF(AND(AW729=1,Assumptions!$H$159="Detailed",Assumptions!$H$158="yes"),-Assumptions_Detailed!AW$151,IF(AW729=1,-Assumptions!$H$161/SUM($H$729:$BY$729)*AW719,0)),0)</f>
        <v>0</v>
      </c>
      <c r="AX743" s="31">
        <f>IFERROR((1+Sensitivity_tables!$N$23)*IF(AND(AX729=1,Assumptions!$H$159="Detailed",Assumptions!$H$158="yes"),-Assumptions_Detailed!AX$151,IF(AX729=1,-Assumptions!$H$161/SUM($H$729:$BY$729)*AX719,0)),0)</f>
        <v>0</v>
      </c>
      <c r="AY743" s="31">
        <f>IFERROR((1+Sensitivity_tables!$N$23)*IF(AND(AY729=1,Assumptions!$H$159="Detailed",Assumptions!$H$158="yes"),-Assumptions_Detailed!AY$151,IF(AY729=1,-Assumptions!$H$161/SUM($H$729:$BY$729)*AY719,0)),0)</f>
        <v>0</v>
      </c>
      <c r="AZ743" s="31">
        <f>IFERROR((1+Sensitivity_tables!$N$23)*IF(AND(AZ729=1,Assumptions!$H$159="Detailed",Assumptions!$H$158="yes"),-Assumptions_Detailed!AZ$151,IF(AZ729=1,-Assumptions!$H$161/SUM($H$729:$BY$729)*AZ719,0)),0)</f>
        <v>0</v>
      </c>
      <c r="BA743" s="31">
        <f>IFERROR((1+Sensitivity_tables!$N$23)*IF(AND(BA729=1,Assumptions!$H$159="Detailed",Assumptions!$H$158="yes"),-Assumptions_Detailed!BA$151,IF(BA729=1,-Assumptions!$H$161/SUM($H$729:$BY$729)*BA719,0)),0)</f>
        <v>0</v>
      </c>
      <c r="BB743" s="31">
        <f>IFERROR((1+Sensitivity_tables!$N$23)*IF(AND(BB729=1,Assumptions!$H$159="Detailed",Assumptions!$H$158="yes"),-Assumptions_Detailed!BB$151,IF(BB729=1,-Assumptions!$H$161/SUM($H$729:$BY$729)*BB719,0)),0)</f>
        <v>0</v>
      </c>
      <c r="BC743" s="31">
        <f>IFERROR((1+Sensitivity_tables!$N$23)*IF(AND(BC729=1,Assumptions!$H$159="Detailed",Assumptions!$H$158="yes"),-Assumptions_Detailed!BC$151,IF(BC729=1,-Assumptions!$H$161/SUM($H$729:$BY$729)*BC719,0)),0)</f>
        <v>0</v>
      </c>
      <c r="BD743" s="31">
        <f>IFERROR((1+Sensitivity_tables!$N$23)*IF(AND(BD729=1,Assumptions!$H$159="Detailed",Assumptions!$H$158="yes"),-Assumptions_Detailed!BD$151,IF(BD729=1,-Assumptions!$H$161/SUM($H$729:$BY$729)*BD719,0)),0)</f>
        <v>0</v>
      </c>
      <c r="BE743" s="31">
        <f>IFERROR((1+Sensitivity_tables!$N$23)*IF(AND(BE729=1,Assumptions!$H$159="Detailed",Assumptions!$H$158="yes"),-Assumptions_Detailed!BE$151,IF(BE729=1,-Assumptions!$H$161/SUM($H$729:$BY$729)*BE719,0)),0)</f>
        <v>0</v>
      </c>
      <c r="BF743" s="31">
        <f>IFERROR((1+Sensitivity_tables!$N$23)*IF(AND(BF729=1,Assumptions!$H$159="Detailed",Assumptions!$H$158="yes"),-Assumptions_Detailed!BF$151,IF(BF729=1,-Assumptions!$H$161/SUM($H$729:$BY$729)*BF719,0)),0)</f>
        <v>0</v>
      </c>
      <c r="BG743" s="31">
        <f>IFERROR((1+Sensitivity_tables!$N$23)*IF(AND(BG729=1,Assumptions!$H$159="Detailed",Assumptions!$H$158="yes"),-Assumptions_Detailed!BG$151,IF(BG729=1,-Assumptions!$H$161/SUM($H$729:$BY$729)*BG719,0)),0)</f>
        <v>0</v>
      </c>
      <c r="BH743" s="31">
        <f>IFERROR((1+Sensitivity_tables!$N$23)*IF(AND(BH729=1,Assumptions!$H$159="Detailed",Assumptions!$H$158="yes"),-Assumptions_Detailed!BH$151,IF(BH729=1,-Assumptions!$H$161/SUM($H$729:$BY$729)*BH719,0)),0)</f>
        <v>0</v>
      </c>
      <c r="BI743" s="31">
        <f>IFERROR((1+Sensitivity_tables!$N$23)*IF(AND(BI729=1,Assumptions!$H$159="Detailed",Assumptions!$H$158="yes"),-Assumptions_Detailed!BI$151,IF(BI729=1,-Assumptions!$H$161/SUM($H$729:$BY$729)*BI719,0)),0)</f>
        <v>0</v>
      </c>
      <c r="BJ743" s="31">
        <f>IFERROR((1+Sensitivity_tables!$N$23)*IF(AND(BJ729=1,Assumptions!$H$159="Detailed",Assumptions!$H$158="yes"),-Assumptions_Detailed!BJ$151,IF(BJ729=1,-Assumptions!$H$161/SUM($H$729:$BY$729)*BJ719,0)),0)</f>
        <v>0</v>
      </c>
      <c r="BK743" s="31">
        <f>IFERROR((1+Sensitivity_tables!$N$23)*IF(AND(BK729=1,Assumptions!$H$159="Detailed",Assumptions!$H$158="yes"),-Assumptions_Detailed!BK$151,IF(BK729=1,-Assumptions!$H$161/SUM($H$729:$BY$729)*BK719,0)),0)</f>
        <v>0</v>
      </c>
      <c r="BL743" s="31">
        <f>IFERROR((1+Sensitivity_tables!$N$23)*IF(AND(BL729=1,Assumptions!$H$159="Detailed",Assumptions!$H$158="yes"),-Assumptions_Detailed!BL$151,IF(BL729=1,-Assumptions!$H$161/SUM($H$729:$BY$729)*BL719,0)),0)</f>
        <v>0</v>
      </c>
      <c r="BM743" s="31">
        <f>IFERROR((1+Sensitivity_tables!$N$23)*IF(AND(BM729=1,Assumptions!$H$159="Detailed",Assumptions!$H$158="yes"),-Assumptions_Detailed!BM$151,IF(BM729=1,-Assumptions!$H$161/SUM($H$729:$BY$729)*BM719,0)),0)</f>
        <v>0</v>
      </c>
      <c r="BN743" s="31">
        <f>IFERROR((1+Sensitivity_tables!$N$23)*IF(AND(BN729=1,Assumptions!$H$159="Detailed",Assumptions!$H$158="yes"),-Assumptions_Detailed!BN$151,IF(BN729=1,-Assumptions!$H$161/SUM($H$729:$BY$729)*BN719,0)),0)</f>
        <v>0</v>
      </c>
      <c r="BO743" s="31">
        <f>IFERROR((1+Sensitivity_tables!$N$23)*IF(AND(BO729=1,Assumptions!$H$159="Detailed",Assumptions!$H$158="yes"),-Assumptions_Detailed!BO$151,IF(BO729=1,-Assumptions!$H$161/SUM($H$729:$BY$729)*BO719,0)),0)</f>
        <v>0</v>
      </c>
      <c r="BP743" s="31">
        <f>IFERROR((1+Sensitivity_tables!$N$23)*IF(AND(BP729=1,Assumptions!$H$159="Detailed",Assumptions!$H$158="yes"),-Assumptions_Detailed!BP$151,IF(BP729=1,-Assumptions!$H$161/SUM($H$729:$BY$729)*BP719,0)),0)</f>
        <v>0</v>
      </c>
      <c r="BQ743" s="31">
        <f>IFERROR((1+Sensitivity_tables!$N$23)*IF(AND(BQ729=1,Assumptions!$H$159="Detailed",Assumptions!$H$158="yes"),-Assumptions_Detailed!BQ$151,IF(BQ729=1,-Assumptions!$H$161/SUM($H$729:$BY$729)*BQ719,0)),0)</f>
        <v>0</v>
      </c>
      <c r="BR743" s="31">
        <f>IFERROR((1+Sensitivity_tables!$N$23)*IF(AND(BR729=1,Assumptions!$H$159="Detailed",Assumptions!$H$158="yes"),-Assumptions_Detailed!BR$151,IF(BR729=1,-Assumptions!$H$161/SUM($H$729:$BY$729)*BR719,0)),0)</f>
        <v>0</v>
      </c>
      <c r="BS743" s="31">
        <f>IFERROR((1+Sensitivity_tables!$N$23)*IF(AND(BS729=1,Assumptions!$H$159="Detailed",Assumptions!$H$158="yes"),-Assumptions_Detailed!BS$151,IF(BS729=1,-Assumptions!$H$161/SUM($H$729:$BY$729)*BS719,0)),0)</f>
        <v>0</v>
      </c>
      <c r="BT743" s="31">
        <f>IFERROR((1+Sensitivity_tables!$N$23)*IF(AND(BT729=1,Assumptions!$H$159="Detailed",Assumptions!$H$158="yes"),-Assumptions_Detailed!BT$151,IF(BT729=1,-Assumptions!$H$161/SUM($H$729:$BY$729)*BT719,0)),0)</f>
        <v>0</v>
      </c>
      <c r="BU743" s="31">
        <f>IFERROR((1+Sensitivity_tables!$N$23)*IF(AND(BU729=1,Assumptions!$H$159="Detailed",Assumptions!$H$158="yes"),-Assumptions_Detailed!BU$151,IF(BU729=1,-Assumptions!$H$161/SUM($H$729:$BY$729)*BU719,0)),0)</f>
        <v>0</v>
      </c>
      <c r="BV743" s="31">
        <f>IFERROR((1+Sensitivity_tables!$N$23)*IF(AND(BV729=1,Assumptions!$H$159="Detailed",Assumptions!$H$158="yes"),-Assumptions_Detailed!BV$151,IF(BV729=1,-Assumptions!$H$161/SUM($H$729:$BY$729)*BV719,0)),0)</f>
        <v>0</v>
      </c>
      <c r="BW743" s="31">
        <f>IFERROR((1+Sensitivity_tables!$N$23)*IF(AND(BW729=1,Assumptions!$H$159="Detailed",Assumptions!$H$158="yes"),-Assumptions_Detailed!BW$151,IF(BW729=1,-Assumptions!$H$161/SUM($H$729:$BY$729)*BW719,0)),0)</f>
        <v>0</v>
      </c>
      <c r="BX743" s="31">
        <f>IFERROR((1+Sensitivity_tables!$N$23)*IF(AND(BX729=1,Assumptions!$H$159="Detailed",Assumptions!$H$158="yes"),-Assumptions_Detailed!BX$151,IF(BX729=1,-Assumptions!$H$161/SUM($H$729:$BY$729)*BX719,0)),0)</f>
        <v>0</v>
      </c>
      <c r="BY743" s="31">
        <f>IFERROR((1+Sensitivity_tables!$N$23)*IF(AND(BY729=1,Assumptions!$H$159="Detailed",Assumptions!$H$158="yes"),-Assumptions_Detailed!BY$151,IF(BY729=1,-Assumptions!$H$161/SUM($H$729:$BY$729)*BY719,0)),0)</f>
        <v>0</v>
      </c>
    </row>
    <row r="744" spans="2:77" outlineLevel="1">
      <c r="E744" s="25" t="s">
        <v>200</v>
      </c>
      <c r="F744" s="81" t="str">
        <f>+Assumptions!$G$8</f>
        <v>USD</v>
      </c>
      <c r="G744" s="30"/>
      <c r="H744" s="73">
        <f>IFERROR((1+Sensitivity_tables!$N$23)*IF(AND(H730=1,Assumptions!$H$165="Detailed",Assumptions!$H$164="yes"),-Assumptions_Detailed!H$152,IF(H730=1,-Assumptions!$H$167/SUM($H$730:$BY$730)*H719,0)),0)</f>
        <v>0</v>
      </c>
      <c r="I744" s="73">
        <f>IFERROR((1+Sensitivity_tables!$N$23)*IF(AND(I730=1,Assumptions!$H$165="Detailed",Assumptions!$H$164="yes"),-Assumptions_Detailed!I$152,IF(I730=1,-Assumptions!$H$167/SUM($H$730:$BY$730)*I719,0)),0)</f>
        <v>-427445.66482099507</v>
      </c>
      <c r="J744" s="73">
        <f>IFERROR((1+Sensitivity_tables!$N$23)*IF(AND(J730=1,Assumptions!$H$165="Detailed",Assumptions!$H$164="yes"),-Assumptions_Detailed!J$152,IF(J730=1,-Assumptions!$H$167/SUM($H$730:$BY$730)*J719,0)),0)</f>
        <v>-435994.57811741496</v>
      </c>
      <c r="K744" s="73">
        <f>IFERROR((1+Sensitivity_tables!$N$23)*IF(AND(K730=1,Assumptions!$H$165="Detailed",Assumptions!$H$164="yes"),-Assumptions_Detailed!K$152,IF(K730=1,-Assumptions!$H$167/SUM($H$730:$BY$730)*K719,0)),0)</f>
        <v>0</v>
      </c>
      <c r="L744" s="73">
        <f>IFERROR((1+Sensitivity_tables!$N$23)*IF(AND(L730=1,Assumptions!$H$165="Detailed",Assumptions!$H$164="yes"),-Assumptions_Detailed!L$152,IF(L730=1,-Assumptions!$H$167/SUM($H$730:$BY$730)*L719,0)),0)</f>
        <v>0</v>
      </c>
      <c r="M744" s="73">
        <f>IFERROR((1+Sensitivity_tables!$N$23)*IF(AND(M730=1,Assumptions!$H$165="Detailed",Assumptions!$H$164="yes"),-Assumptions_Detailed!M$152,IF(M730=1,-Assumptions!$H$167/SUM($H$730:$BY$730)*M719,0)),0)</f>
        <v>0</v>
      </c>
      <c r="N744" s="73">
        <f>IFERROR((1+Sensitivity_tables!$N$23)*IF(AND(N730=1,Assumptions!$H$165="Detailed",Assumptions!$H$164="yes"),-Assumptions_Detailed!N$152,IF(N730=1,-Assumptions!$H$167/SUM($H$730:$BY$730)*N719,0)),0)</f>
        <v>0</v>
      </c>
      <c r="O744" s="73">
        <f>IFERROR((1+Sensitivity_tables!$N$23)*IF(AND(O730=1,Assumptions!$H$165="Detailed",Assumptions!$H$164="yes"),-Assumptions_Detailed!O$152,IF(O730=1,-Assumptions!$H$167/SUM($H$730:$BY$730)*O719,0)),0)</f>
        <v>0</v>
      </c>
      <c r="P744" s="73">
        <f>IFERROR((1+Sensitivity_tables!$N$23)*IF(AND(P730=1,Assumptions!$H$165="Detailed",Assumptions!$H$164="yes"),-Assumptions_Detailed!P$152,IF(P730=1,-Assumptions!$H$167/SUM($H$730:$BY$730)*P719,0)),0)</f>
        <v>0</v>
      </c>
      <c r="Q744" s="73">
        <f>IFERROR((1+Sensitivity_tables!$N$23)*IF(AND(Q730=1,Assumptions!$H$165="Detailed",Assumptions!$H$164="yes"),-Assumptions_Detailed!Q$152,IF(Q730=1,-Assumptions!$H$167/SUM($H$730:$BY$730)*Q719,0)),0)</f>
        <v>0</v>
      </c>
      <c r="R744" s="73">
        <f>IFERROR((1+Sensitivity_tables!$N$23)*IF(AND(R730=1,Assumptions!$H$165="Detailed",Assumptions!$H$164="yes"),-Assumptions_Detailed!R$152,IF(R730=1,-Assumptions!$H$167/SUM($H$730:$BY$730)*R719,0)),0)</f>
        <v>0</v>
      </c>
      <c r="S744" s="73">
        <f>IFERROR((1+Sensitivity_tables!$N$23)*IF(AND(S730=1,Assumptions!$H$165="Detailed",Assumptions!$H$164="yes"),-Assumptions_Detailed!S$152,IF(S730=1,-Assumptions!$H$167/SUM($H$730:$BY$730)*S719,0)),0)</f>
        <v>0</v>
      </c>
      <c r="T744" s="73">
        <f>IFERROR((1+Sensitivity_tables!$N$23)*IF(AND(T730=1,Assumptions!$H$165="Detailed",Assumptions!$H$164="yes"),-Assumptions_Detailed!T$152,IF(T730=1,-Assumptions!$H$167/SUM($H$730:$BY$730)*T719,0)),0)</f>
        <v>0</v>
      </c>
      <c r="U744" s="73">
        <f>IFERROR((1+Sensitivity_tables!$N$23)*IF(AND(U730=1,Assumptions!$H$165="Detailed",Assumptions!$H$164="yes"),-Assumptions_Detailed!U$152,IF(U730=1,-Assumptions!$H$167/SUM($H$730:$BY$730)*U719,0)),0)</f>
        <v>0</v>
      </c>
      <c r="V744" s="73">
        <f>IFERROR((1+Sensitivity_tables!$N$23)*IF(AND(V730=1,Assumptions!$H$165="Detailed",Assumptions!$H$164="yes"),-Assumptions_Detailed!V$152,IF(V730=1,-Assumptions!$H$167/SUM($H$730:$BY$730)*V719,0)),0)</f>
        <v>0</v>
      </c>
      <c r="W744" s="73">
        <f>IFERROR((1+Sensitivity_tables!$N$23)*IF(AND(W730=1,Assumptions!$H$165="Detailed",Assumptions!$H$164="yes"),-Assumptions_Detailed!W$152,IF(W730=1,-Assumptions!$H$167/SUM($H$730:$BY$730)*W719,0)),0)</f>
        <v>0</v>
      </c>
      <c r="X744" s="73">
        <f>IFERROR((1+Sensitivity_tables!$N$23)*IF(AND(X730=1,Assumptions!$H$165="Detailed",Assumptions!$H$164="yes"),-Assumptions_Detailed!X$152,IF(X730=1,-Assumptions!$H$167/SUM($H$730:$BY$730)*X719,0)),0)</f>
        <v>0</v>
      </c>
      <c r="Y744" s="73">
        <f>IFERROR((1+Sensitivity_tables!$N$23)*IF(AND(Y730=1,Assumptions!$H$165="Detailed",Assumptions!$H$164="yes"),-Assumptions_Detailed!Y$152,IF(Y730=1,-Assumptions!$H$167/SUM($H$730:$BY$730)*Y719,0)),0)</f>
        <v>0</v>
      </c>
      <c r="Z744" s="73">
        <f>IFERROR((1+Sensitivity_tables!$N$23)*IF(AND(Z730=1,Assumptions!$H$165="Detailed",Assumptions!$H$164="yes"),-Assumptions_Detailed!Z$152,IF(Z730=1,-Assumptions!$H$167/SUM($H$730:$BY$730)*Z719,0)),0)</f>
        <v>0</v>
      </c>
      <c r="AA744" s="73">
        <f>IFERROR((1+Sensitivity_tables!$N$23)*IF(AND(AA730=1,Assumptions!$H$165="Detailed",Assumptions!$H$164="yes"),-Assumptions_Detailed!AA$152,IF(AA730=1,-Assumptions!$H$167/SUM($H$730:$BY$730)*AA719,0)),0)</f>
        <v>0</v>
      </c>
      <c r="AB744" s="73">
        <f>IFERROR((1+Sensitivity_tables!$N$23)*IF(AND(AB730=1,Assumptions!$H$165="Detailed",Assumptions!$H$164="yes"),-Assumptions_Detailed!AB$152,IF(AB730=1,-Assumptions!$H$167/SUM($H$730:$BY$730)*AB719,0)),0)</f>
        <v>0</v>
      </c>
      <c r="AC744" s="73">
        <f>IFERROR((1+Sensitivity_tables!$N$23)*IF(AND(AC730=1,Assumptions!$H$165="Detailed",Assumptions!$H$164="yes"),-Assumptions_Detailed!AC$152,IF(AC730=1,-Assumptions!$H$167/SUM($H$730:$BY$730)*AC719,0)),0)</f>
        <v>0</v>
      </c>
      <c r="AD744" s="73">
        <f>IFERROR((1+Sensitivity_tables!$N$23)*IF(AND(AD730=1,Assumptions!$H$165="Detailed",Assumptions!$H$164="yes"),-Assumptions_Detailed!AD$152,IF(AD730=1,-Assumptions!$H$167/SUM($H$730:$BY$730)*AD719,0)),0)</f>
        <v>0</v>
      </c>
      <c r="AE744" s="73">
        <f>IFERROR((1+Sensitivity_tables!$N$23)*IF(AND(AE730=1,Assumptions!$H$165="Detailed",Assumptions!$H$164="yes"),-Assumptions_Detailed!AE$152,IF(AE730=1,-Assumptions!$H$167/SUM($H$730:$BY$730)*AE719,0)),0)</f>
        <v>0</v>
      </c>
      <c r="AF744" s="73">
        <f>IFERROR((1+Sensitivity_tables!$N$23)*IF(AND(AF730=1,Assumptions!$H$165="Detailed",Assumptions!$H$164="yes"),-Assumptions_Detailed!AF$152,IF(AF730=1,-Assumptions!$H$167/SUM($H$730:$BY$730)*AF719,0)),0)</f>
        <v>0</v>
      </c>
      <c r="AG744" s="73">
        <f>IFERROR((1+Sensitivity_tables!$N$23)*IF(AND(AG730=1,Assumptions!$H$165="Detailed",Assumptions!$H$164="yes"),-Assumptions_Detailed!AG$152,IF(AG730=1,-Assumptions!$H$167/SUM($H$730:$BY$730)*AG719,0)),0)</f>
        <v>0</v>
      </c>
      <c r="AH744" s="73">
        <f>IFERROR((1+Sensitivity_tables!$N$23)*IF(AND(AH730=1,Assumptions!$H$165="Detailed",Assumptions!$H$164="yes"),-Assumptions_Detailed!AH$152,IF(AH730=1,-Assumptions!$H$167/SUM($H$730:$BY$730)*AH719,0)),0)</f>
        <v>0</v>
      </c>
      <c r="AI744" s="73">
        <f>IFERROR((1+Sensitivity_tables!$N$23)*IF(AND(AI730=1,Assumptions!$H$165="Detailed",Assumptions!$H$164="yes"),-Assumptions_Detailed!AI$152,IF(AI730=1,-Assumptions!$H$167/SUM($H$730:$BY$730)*AI719,0)),0)</f>
        <v>0</v>
      </c>
      <c r="AJ744" s="73">
        <f>IFERROR((1+Sensitivity_tables!$N$23)*IF(AND(AJ730=1,Assumptions!$H$165="Detailed",Assumptions!$H$164="yes"),-Assumptions_Detailed!AJ$152,IF(AJ730=1,-Assumptions!$H$167/SUM($H$730:$BY$730)*AJ719,0)),0)</f>
        <v>0</v>
      </c>
      <c r="AK744" s="73">
        <f>IFERROR((1+Sensitivity_tables!$N$23)*IF(AND(AK730=1,Assumptions!$H$165="Detailed",Assumptions!$H$164="yes"),-Assumptions_Detailed!AK$152,IF(AK730=1,-Assumptions!$H$167/SUM($H$730:$BY$730)*AK719,0)),0)</f>
        <v>0</v>
      </c>
      <c r="AL744" s="73">
        <f>IFERROR((1+Sensitivity_tables!$N$23)*IF(AND(AL730=1,Assumptions!$H$165="Detailed",Assumptions!$H$164="yes"),-Assumptions_Detailed!AL$152,IF(AL730=1,-Assumptions!$H$167/SUM($H$730:$BY$730)*AL719,0)),0)</f>
        <v>0</v>
      </c>
      <c r="AM744" s="73">
        <f>IFERROR((1+Sensitivity_tables!$N$23)*IF(AND(AM730=1,Assumptions!$H$165="Detailed",Assumptions!$H$164="yes"),-Assumptions_Detailed!AM$152,IF(AM730=1,-Assumptions!$H$167/SUM($H$730:$BY$730)*AM719,0)),0)</f>
        <v>0</v>
      </c>
      <c r="AN744" s="73">
        <f>IFERROR((1+Sensitivity_tables!$N$23)*IF(AND(AN730=1,Assumptions!$H$165="Detailed",Assumptions!$H$164="yes"),-Assumptions_Detailed!AN$152,IF(AN730=1,-Assumptions!$H$167/SUM($H$730:$BY$730)*AN719,0)),0)</f>
        <v>0</v>
      </c>
      <c r="AO744" s="73">
        <f>IFERROR((1+Sensitivity_tables!$N$23)*IF(AND(AO730=1,Assumptions!$H$165="Detailed",Assumptions!$H$164="yes"),-Assumptions_Detailed!AO$152,IF(AO730=1,-Assumptions!$H$167/SUM($H$730:$BY$730)*AO719,0)),0)</f>
        <v>0</v>
      </c>
      <c r="AP744" s="73">
        <f>IFERROR((1+Sensitivity_tables!$N$23)*IF(AND(AP730=1,Assumptions!$H$165="Detailed",Assumptions!$H$164="yes"),-Assumptions_Detailed!AP$152,IF(AP730=1,-Assumptions!$H$167/SUM($H$730:$BY$730)*AP719,0)),0)</f>
        <v>0</v>
      </c>
      <c r="AQ744" s="73">
        <f>IFERROR((1+Sensitivity_tables!$N$23)*IF(AND(AQ730=1,Assumptions!$H$165="Detailed",Assumptions!$H$164="yes"),-Assumptions_Detailed!AQ$152,IF(AQ730=1,-Assumptions!$H$167/SUM($H$730:$BY$730)*AQ719,0)),0)</f>
        <v>0</v>
      </c>
      <c r="AR744" s="73">
        <f>IFERROR((1+Sensitivity_tables!$N$23)*IF(AND(AR730=1,Assumptions!$H$165="Detailed",Assumptions!$H$164="yes"),-Assumptions_Detailed!AR$152,IF(AR730=1,-Assumptions!$H$167/SUM($H$730:$BY$730)*AR719,0)),0)</f>
        <v>0</v>
      </c>
      <c r="AS744" s="73">
        <f>IFERROR((1+Sensitivity_tables!$N$23)*IF(AND(AS730=1,Assumptions!$H$165="Detailed",Assumptions!$H$164="yes"),-Assumptions_Detailed!AS$152,IF(AS730=1,-Assumptions!$H$167/SUM($H$730:$BY$730)*AS719,0)),0)</f>
        <v>0</v>
      </c>
      <c r="AT744" s="73">
        <f>IFERROR((1+Sensitivity_tables!$N$23)*IF(AND(AT730=1,Assumptions!$H$165="Detailed",Assumptions!$H$164="yes"),-Assumptions_Detailed!AT$152,IF(AT730=1,-Assumptions!$H$167/SUM($H$730:$BY$730)*AT719,0)),0)</f>
        <v>0</v>
      </c>
      <c r="AU744" s="73">
        <f>IFERROR((1+Sensitivity_tables!$N$23)*IF(AND(AU730=1,Assumptions!$H$165="Detailed",Assumptions!$H$164="yes"),-Assumptions_Detailed!AU$152,IF(AU730=1,-Assumptions!$H$167/SUM($H$730:$BY$730)*AU719,0)),0)</f>
        <v>0</v>
      </c>
      <c r="AV744" s="73">
        <f>IFERROR((1+Sensitivity_tables!$N$23)*IF(AND(AV730=1,Assumptions!$H$165="Detailed",Assumptions!$H$164="yes"),-Assumptions_Detailed!AV$152,IF(AV730=1,-Assumptions!$H$167/SUM($H$730:$BY$730)*AV719,0)),0)</f>
        <v>0</v>
      </c>
      <c r="AW744" s="73">
        <f>IFERROR((1+Sensitivity_tables!$N$23)*IF(AND(AW730=1,Assumptions!$H$165="Detailed",Assumptions!$H$164="yes"),-Assumptions_Detailed!AW$152,IF(AW730=1,-Assumptions!$H$167/SUM($H$730:$BY$730)*AW719,0)),0)</f>
        <v>0</v>
      </c>
      <c r="AX744" s="73">
        <f>IFERROR((1+Sensitivity_tables!$N$23)*IF(AND(AX730=1,Assumptions!$H$165="Detailed",Assumptions!$H$164="yes"),-Assumptions_Detailed!AX$152,IF(AX730=1,-Assumptions!$H$167/SUM($H$730:$BY$730)*AX719,0)),0)</f>
        <v>0</v>
      </c>
      <c r="AY744" s="73">
        <f>IFERROR((1+Sensitivity_tables!$N$23)*IF(AND(AY730=1,Assumptions!$H$165="Detailed",Assumptions!$H$164="yes"),-Assumptions_Detailed!AY$152,IF(AY730=1,-Assumptions!$H$167/SUM($H$730:$BY$730)*AY719,0)),0)</f>
        <v>0</v>
      </c>
      <c r="AZ744" s="73">
        <f>IFERROR((1+Sensitivity_tables!$N$23)*IF(AND(AZ730=1,Assumptions!$H$165="Detailed",Assumptions!$H$164="yes"),-Assumptions_Detailed!AZ$152,IF(AZ730=1,-Assumptions!$H$167/SUM($H$730:$BY$730)*AZ719,0)),0)</f>
        <v>0</v>
      </c>
      <c r="BA744" s="73">
        <f>IFERROR((1+Sensitivity_tables!$N$23)*IF(AND(BA730=1,Assumptions!$H$165="Detailed",Assumptions!$H$164="yes"),-Assumptions_Detailed!BA$152,IF(BA730=1,-Assumptions!$H$167/SUM($H$730:$BY$730)*BA719,0)),0)</f>
        <v>0</v>
      </c>
      <c r="BB744" s="73">
        <f>IFERROR((1+Sensitivity_tables!$N$23)*IF(AND(BB730=1,Assumptions!$H$165="Detailed",Assumptions!$H$164="yes"),-Assumptions_Detailed!BB$152,IF(BB730=1,-Assumptions!$H$167/SUM($H$730:$BY$730)*BB719,0)),0)</f>
        <v>0</v>
      </c>
      <c r="BC744" s="73">
        <f>IFERROR((1+Sensitivity_tables!$N$23)*IF(AND(BC730=1,Assumptions!$H$165="Detailed",Assumptions!$H$164="yes"),-Assumptions_Detailed!BC$152,IF(BC730=1,-Assumptions!$H$167/SUM($H$730:$BY$730)*BC719,0)),0)</f>
        <v>0</v>
      </c>
      <c r="BD744" s="73">
        <f>IFERROR((1+Sensitivity_tables!$N$23)*IF(AND(BD730=1,Assumptions!$H$165="Detailed",Assumptions!$H$164="yes"),-Assumptions_Detailed!BD$152,IF(BD730=1,-Assumptions!$H$167/SUM($H$730:$BY$730)*BD719,0)),0)</f>
        <v>0</v>
      </c>
      <c r="BE744" s="73">
        <f>IFERROR((1+Sensitivity_tables!$N$23)*IF(AND(BE730=1,Assumptions!$H$165="Detailed",Assumptions!$H$164="yes"),-Assumptions_Detailed!BE$152,IF(BE730=1,-Assumptions!$H$167/SUM($H$730:$BY$730)*BE719,0)),0)</f>
        <v>0</v>
      </c>
      <c r="BF744" s="73">
        <f>IFERROR((1+Sensitivity_tables!$N$23)*IF(AND(BF730=1,Assumptions!$H$165="Detailed",Assumptions!$H$164="yes"),-Assumptions_Detailed!BF$152,IF(BF730=1,-Assumptions!$H$167/SUM($H$730:$BY$730)*BF719,0)),0)</f>
        <v>0</v>
      </c>
      <c r="BG744" s="73">
        <f>IFERROR((1+Sensitivity_tables!$N$23)*IF(AND(BG730=1,Assumptions!$H$165="Detailed",Assumptions!$H$164="yes"),-Assumptions_Detailed!BG$152,IF(BG730=1,-Assumptions!$H$167/SUM($H$730:$BY$730)*BG719,0)),0)</f>
        <v>0</v>
      </c>
      <c r="BH744" s="73">
        <f>IFERROR((1+Sensitivity_tables!$N$23)*IF(AND(BH730=1,Assumptions!$H$165="Detailed",Assumptions!$H$164="yes"),-Assumptions_Detailed!BH$152,IF(BH730=1,-Assumptions!$H$167/SUM($H$730:$BY$730)*BH719,0)),0)</f>
        <v>0</v>
      </c>
      <c r="BI744" s="73">
        <f>IFERROR((1+Sensitivity_tables!$N$23)*IF(AND(BI730=1,Assumptions!$H$165="Detailed",Assumptions!$H$164="yes"),-Assumptions_Detailed!BI$152,IF(BI730=1,-Assumptions!$H$167/SUM($H$730:$BY$730)*BI719,0)),0)</f>
        <v>0</v>
      </c>
      <c r="BJ744" s="73">
        <f>IFERROR((1+Sensitivity_tables!$N$23)*IF(AND(BJ730=1,Assumptions!$H$165="Detailed",Assumptions!$H$164="yes"),-Assumptions_Detailed!BJ$152,IF(BJ730=1,-Assumptions!$H$167/SUM($H$730:$BY$730)*BJ719,0)),0)</f>
        <v>0</v>
      </c>
      <c r="BK744" s="73">
        <f>IFERROR((1+Sensitivity_tables!$N$23)*IF(AND(BK730=1,Assumptions!$H$165="Detailed",Assumptions!$H$164="yes"),-Assumptions_Detailed!BK$152,IF(BK730=1,-Assumptions!$H$167/SUM($H$730:$BY$730)*BK719,0)),0)</f>
        <v>0</v>
      </c>
      <c r="BL744" s="73">
        <f>IFERROR((1+Sensitivity_tables!$N$23)*IF(AND(BL730=1,Assumptions!$H$165="Detailed",Assumptions!$H$164="yes"),-Assumptions_Detailed!BL$152,IF(BL730=1,-Assumptions!$H$167/SUM($H$730:$BY$730)*BL719,0)),0)</f>
        <v>0</v>
      </c>
      <c r="BM744" s="73">
        <f>IFERROR((1+Sensitivity_tables!$N$23)*IF(AND(BM730=1,Assumptions!$H$165="Detailed",Assumptions!$H$164="yes"),-Assumptions_Detailed!BM$152,IF(BM730=1,-Assumptions!$H$167/SUM($H$730:$BY$730)*BM719,0)),0)</f>
        <v>0</v>
      </c>
      <c r="BN744" s="73">
        <f>IFERROR((1+Sensitivity_tables!$N$23)*IF(AND(BN730=1,Assumptions!$H$165="Detailed",Assumptions!$H$164="yes"),-Assumptions_Detailed!BN$152,IF(BN730=1,-Assumptions!$H$167/SUM($H$730:$BY$730)*BN719,0)),0)</f>
        <v>0</v>
      </c>
      <c r="BO744" s="73">
        <f>IFERROR((1+Sensitivity_tables!$N$23)*IF(AND(BO730=1,Assumptions!$H$165="Detailed",Assumptions!$H$164="yes"),-Assumptions_Detailed!BO$152,IF(BO730=1,-Assumptions!$H$167/SUM($H$730:$BY$730)*BO719,0)),0)</f>
        <v>0</v>
      </c>
      <c r="BP744" s="73">
        <f>IFERROR((1+Sensitivity_tables!$N$23)*IF(AND(BP730=1,Assumptions!$H$165="Detailed",Assumptions!$H$164="yes"),-Assumptions_Detailed!BP$152,IF(BP730=1,-Assumptions!$H$167/SUM($H$730:$BY$730)*BP719,0)),0)</f>
        <v>0</v>
      </c>
      <c r="BQ744" s="73">
        <f>IFERROR((1+Sensitivity_tables!$N$23)*IF(AND(BQ730=1,Assumptions!$H$165="Detailed",Assumptions!$H$164="yes"),-Assumptions_Detailed!BQ$152,IF(BQ730=1,-Assumptions!$H$167/SUM($H$730:$BY$730)*BQ719,0)),0)</f>
        <v>0</v>
      </c>
      <c r="BR744" s="73">
        <f>IFERROR((1+Sensitivity_tables!$N$23)*IF(AND(BR730=1,Assumptions!$H$165="Detailed",Assumptions!$H$164="yes"),-Assumptions_Detailed!BR$152,IF(BR730=1,-Assumptions!$H$167/SUM($H$730:$BY$730)*BR719,0)),0)</f>
        <v>0</v>
      </c>
      <c r="BS744" s="73">
        <f>IFERROR((1+Sensitivity_tables!$N$23)*IF(AND(BS730=1,Assumptions!$H$165="Detailed",Assumptions!$H$164="yes"),-Assumptions_Detailed!BS$152,IF(BS730=1,-Assumptions!$H$167/SUM($H$730:$BY$730)*BS719,0)),0)</f>
        <v>0</v>
      </c>
      <c r="BT744" s="73">
        <f>IFERROR((1+Sensitivity_tables!$N$23)*IF(AND(BT730=1,Assumptions!$H$165="Detailed",Assumptions!$H$164="yes"),-Assumptions_Detailed!BT$152,IF(BT730=1,-Assumptions!$H$167/SUM($H$730:$BY$730)*BT719,0)),0)</f>
        <v>0</v>
      </c>
      <c r="BU744" s="73">
        <f>IFERROR((1+Sensitivity_tables!$N$23)*IF(AND(BU730=1,Assumptions!$H$165="Detailed",Assumptions!$H$164="yes"),-Assumptions_Detailed!BU$152,IF(BU730=1,-Assumptions!$H$167/SUM($H$730:$BY$730)*BU719,0)),0)</f>
        <v>0</v>
      </c>
      <c r="BV744" s="73">
        <f>IFERROR((1+Sensitivity_tables!$N$23)*IF(AND(BV730=1,Assumptions!$H$165="Detailed",Assumptions!$H$164="yes"),-Assumptions_Detailed!BV$152,IF(BV730=1,-Assumptions!$H$167/SUM($H$730:$BY$730)*BV719,0)),0)</f>
        <v>0</v>
      </c>
      <c r="BW744" s="73">
        <f>IFERROR((1+Sensitivity_tables!$N$23)*IF(AND(BW730=1,Assumptions!$H$165="Detailed",Assumptions!$H$164="yes"),-Assumptions_Detailed!BW$152,IF(BW730=1,-Assumptions!$H$167/SUM($H$730:$BY$730)*BW719,0)),0)</f>
        <v>0</v>
      </c>
      <c r="BX744" s="73">
        <f>IFERROR((1+Sensitivity_tables!$N$23)*IF(AND(BX730=1,Assumptions!$H$165="Detailed",Assumptions!$H$164="yes"),-Assumptions_Detailed!BX$152,IF(BX730=1,-Assumptions!$H$167/SUM($H$730:$BY$730)*BX719,0)),0)</f>
        <v>0</v>
      </c>
      <c r="BY744" s="73">
        <f>IFERROR((1+Sensitivity_tables!$N$23)*IF(AND(BY730=1,Assumptions!$H$165="Detailed",Assumptions!$H$164="yes"),-Assumptions_Detailed!BY$152,IF(BY730=1,-Assumptions!$H$167/SUM($H$730:$BY$730)*BY719,0)),0)</f>
        <v>0</v>
      </c>
    </row>
    <row r="745" spans="2:77" outlineLevel="1">
      <c r="E745" t="s">
        <v>207</v>
      </c>
      <c r="F745" s="80" t="str">
        <f>+Assumptions!$G$8</f>
        <v>USD</v>
      </c>
      <c r="G745" s="23"/>
      <c r="H745" s="33">
        <f>+SUM(H743:H744)</f>
        <v>0</v>
      </c>
      <c r="I745" s="33">
        <f t="shared" ref="I745:BT745" si="1452">+SUM(I743:I744)</f>
        <v>-427445.66482099507</v>
      </c>
      <c r="J745" s="33">
        <f t="shared" si="1452"/>
        <v>-435994.57811741496</v>
      </c>
      <c r="K745" s="33">
        <f t="shared" si="1452"/>
        <v>0</v>
      </c>
      <c r="L745" s="33">
        <f t="shared" si="1452"/>
        <v>0</v>
      </c>
      <c r="M745" s="33">
        <f t="shared" si="1452"/>
        <v>0</v>
      </c>
      <c r="N745" s="33">
        <f t="shared" si="1452"/>
        <v>0</v>
      </c>
      <c r="O745" s="33">
        <f t="shared" si="1452"/>
        <v>0</v>
      </c>
      <c r="P745" s="33">
        <f t="shared" si="1452"/>
        <v>0</v>
      </c>
      <c r="Q745" s="33">
        <f t="shared" si="1452"/>
        <v>0</v>
      </c>
      <c r="R745" s="33">
        <f t="shared" si="1452"/>
        <v>0</v>
      </c>
      <c r="S745" s="33">
        <f t="shared" si="1452"/>
        <v>0</v>
      </c>
      <c r="T745" s="33">
        <f t="shared" si="1452"/>
        <v>0</v>
      </c>
      <c r="U745" s="33">
        <f t="shared" si="1452"/>
        <v>0</v>
      </c>
      <c r="V745" s="33">
        <f t="shared" si="1452"/>
        <v>0</v>
      </c>
      <c r="W745" s="33">
        <f t="shared" si="1452"/>
        <v>0</v>
      </c>
      <c r="X745" s="33">
        <f t="shared" si="1452"/>
        <v>0</v>
      </c>
      <c r="Y745" s="33">
        <f t="shared" si="1452"/>
        <v>0</v>
      </c>
      <c r="Z745" s="33">
        <f t="shared" si="1452"/>
        <v>0</v>
      </c>
      <c r="AA745" s="33">
        <f t="shared" si="1452"/>
        <v>0</v>
      </c>
      <c r="AB745" s="33">
        <f t="shared" si="1452"/>
        <v>0</v>
      </c>
      <c r="AC745" s="33">
        <f t="shared" si="1452"/>
        <v>0</v>
      </c>
      <c r="AD745" s="33">
        <f t="shared" si="1452"/>
        <v>0</v>
      </c>
      <c r="AE745" s="33">
        <f t="shared" si="1452"/>
        <v>0</v>
      </c>
      <c r="AF745" s="33">
        <f t="shared" si="1452"/>
        <v>0</v>
      </c>
      <c r="AG745" s="33">
        <f t="shared" si="1452"/>
        <v>0</v>
      </c>
      <c r="AH745" s="33">
        <f t="shared" si="1452"/>
        <v>0</v>
      </c>
      <c r="AI745" s="33">
        <f t="shared" si="1452"/>
        <v>0</v>
      </c>
      <c r="AJ745" s="33">
        <f t="shared" si="1452"/>
        <v>0</v>
      </c>
      <c r="AK745" s="33">
        <f t="shared" si="1452"/>
        <v>0</v>
      </c>
      <c r="AL745" s="33">
        <f t="shared" si="1452"/>
        <v>0</v>
      </c>
      <c r="AM745" s="33">
        <f t="shared" si="1452"/>
        <v>0</v>
      </c>
      <c r="AN745" s="33">
        <f t="shared" si="1452"/>
        <v>0</v>
      </c>
      <c r="AO745" s="33">
        <f t="shared" si="1452"/>
        <v>0</v>
      </c>
      <c r="AP745" s="33">
        <f t="shared" si="1452"/>
        <v>0</v>
      </c>
      <c r="AQ745" s="33">
        <f t="shared" si="1452"/>
        <v>0</v>
      </c>
      <c r="AR745" s="33">
        <f t="shared" si="1452"/>
        <v>0</v>
      </c>
      <c r="AS745" s="33">
        <f t="shared" si="1452"/>
        <v>0</v>
      </c>
      <c r="AT745" s="33">
        <f t="shared" si="1452"/>
        <v>0</v>
      </c>
      <c r="AU745" s="33">
        <f t="shared" si="1452"/>
        <v>0</v>
      </c>
      <c r="AV745" s="33">
        <f t="shared" si="1452"/>
        <v>0</v>
      </c>
      <c r="AW745" s="33">
        <f t="shared" si="1452"/>
        <v>0</v>
      </c>
      <c r="AX745" s="33">
        <f t="shared" si="1452"/>
        <v>0</v>
      </c>
      <c r="AY745" s="33">
        <f t="shared" si="1452"/>
        <v>0</v>
      </c>
      <c r="AZ745" s="33">
        <f t="shared" si="1452"/>
        <v>0</v>
      </c>
      <c r="BA745" s="33">
        <f t="shared" si="1452"/>
        <v>0</v>
      </c>
      <c r="BB745" s="33">
        <f t="shared" si="1452"/>
        <v>0</v>
      </c>
      <c r="BC745" s="33">
        <f t="shared" si="1452"/>
        <v>0</v>
      </c>
      <c r="BD745" s="33">
        <f t="shared" si="1452"/>
        <v>0</v>
      </c>
      <c r="BE745" s="33">
        <f t="shared" si="1452"/>
        <v>0</v>
      </c>
      <c r="BF745" s="33">
        <f t="shared" si="1452"/>
        <v>0</v>
      </c>
      <c r="BG745" s="33">
        <f t="shared" si="1452"/>
        <v>0</v>
      </c>
      <c r="BH745" s="33">
        <f t="shared" si="1452"/>
        <v>0</v>
      </c>
      <c r="BI745" s="33">
        <f t="shared" si="1452"/>
        <v>0</v>
      </c>
      <c r="BJ745" s="33">
        <f t="shared" si="1452"/>
        <v>0</v>
      </c>
      <c r="BK745" s="33">
        <f t="shared" si="1452"/>
        <v>0</v>
      </c>
      <c r="BL745" s="33">
        <f t="shared" si="1452"/>
        <v>0</v>
      </c>
      <c r="BM745" s="33">
        <f t="shared" si="1452"/>
        <v>0</v>
      </c>
      <c r="BN745" s="33">
        <f t="shared" si="1452"/>
        <v>0</v>
      </c>
      <c r="BO745" s="33">
        <f t="shared" si="1452"/>
        <v>0</v>
      </c>
      <c r="BP745" s="33">
        <f t="shared" si="1452"/>
        <v>0</v>
      </c>
      <c r="BQ745" s="33">
        <f t="shared" si="1452"/>
        <v>0</v>
      </c>
      <c r="BR745" s="33">
        <f t="shared" si="1452"/>
        <v>0</v>
      </c>
      <c r="BS745" s="33">
        <f t="shared" si="1452"/>
        <v>0</v>
      </c>
      <c r="BT745" s="33">
        <f t="shared" si="1452"/>
        <v>0</v>
      </c>
      <c r="BU745" s="33">
        <f t="shared" ref="BU745:BY745" si="1453">+SUM(BU743:BU744)</f>
        <v>0</v>
      </c>
      <c r="BV745" s="33">
        <f t="shared" si="1453"/>
        <v>0</v>
      </c>
      <c r="BW745" s="33">
        <f t="shared" si="1453"/>
        <v>0</v>
      </c>
      <c r="BX745" s="33">
        <f t="shared" si="1453"/>
        <v>0</v>
      </c>
      <c r="BY745" s="33">
        <f t="shared" si="1453"/>
        <v>0</v>
      </c>
    </row>
    <row r="746" spans="2:77" outlineLevel="1"/>
    <row r="747" spans="2:77" s="19" customFormat="1" ht="12.75" outlineLevel="1">
      <c r="B747" s="18" t="s">
        <v>258</v>
      </c>
    </row>
    <row r="748" spans="2:77" outlineLevel="1">
      <c r="C748" s="21"/>
      <c r="BF748" s="33"/>
      <c r="BG748" s="33"/>
      <c r="BH748" s="33"/>
      <c r="BI748" s="33"/>
      <c r="BJ748" s="33"/>
      <c r="BK748" s="33"/>
      <c r="BL748" s="33"/>
      <c r="BM748" s="33"/>
      <c r="BN748" s="33"/>
      <c r="BO748" s="33"/>
      <c r="BP748" s="33"/>
      <c r="BQ748" s="33"/>
      <c r="BR748" s="33"/>
      <c r="BS748" s="33"/>
      <c r="BT748" s="33"/>
      <c r="BU748" s="33"/>
      <c r="BV748" s="33"/>
      <c r="BW748" s="33"/>
      <c r="BX748" s="33"/>
      <c r="BY748" s="33"/>
    </row>
    <row r="749" spans="2:77" ht="15" outlineLevel="1">
      <c r="E749" s="22" t="s">
        <v>450</v>
      </c>
      <c r="BF749" s="33"/>
      <c r="BG749" s="33"/>
      <c r="BH749" s="33"/>
      <c r="BI749" s="33"/>
      <c r="BJ749" s="33"/>
      <c r="BK749" s="33"/>
      <c r="BL749" s="33"/>
      <c r="BM749" s="33"/>
      <c r="BN749" s="33"/>
      <c r="BO749" s="33"/>
      <c r="BP749" s="33"/>
      <c r="BQ749" s="33"/>
      <c r="BR749" s="33"/>
      <c r="BS749" s="33"/>
      <c r="BT749" s="33"/>
      <c r="BU749" s="33"/>
      <c r="BV749" s="33"/>
      <c r="BW749" s="33"/>
      <c r="BX749" s="33"/>
      <c r="BY749" s="33"/>
    </row>
    <row r="750" spans="2:77" outlineLevel="1">
      <c r="E750" t="str">
        <f>+Assumptions!$D$177</f>
        <v>Implied - (Storage) Total OPEX</v>
      </c>
      <c r="F750" s="80" t="str">
        <f>+Assumptions!$G$8</f>
        <v>USD</v>
      </c>
      <c r="G750" s="23"/>
      <c r="H750" s="33">
        <f>IFERROR((1+Sensitivity_tables!$N$28)*IF(AND(Assumptions!$H$174="Yes",Assumptions!$H$175="Detailed"),-Assumptions_Detailed!H$157*H$725,IF(H$725=1,-Assumptions!$H$177*H$719,0)),0)</f>
        <v>0</v>
      </c>
      <c r="I750" s="33">
        <f>IFERROR((1+Sensitivity_tables!$N$28)*IF(AND(Assumptions!$H$174="Yes",Assumptions!$H$175="Detailed"),-Assumptions_Detailed!I$157*I$725,IF(I$725=1,-Assumptions!$H$177*I$719,0)),0)</f>
        <v>0</v>
      </c>
      <c r="J750" s="33">
        <f>IFERROR((1+Sensitivity_tables!$N$28)*IF(AND(Assumptions!$H$174="Yes",Assumptions!$H$175="Detailed"),-Assumptions_Detailed!J$157*J$725,IF(J$725=1,-Assumptions!$H$177*J$719,0)),0)</f>
        <v>0</v>
      </c>
      <c r="K750" s="33">
        <f>IFERROR((1+Sensitivity_tables!$N$28)*IF(AND(Assumptions!$H$174="Yes",Assumptions!$H$175="Detailed"),-Assumptions_Detailed!K$157*K$725,IF(K$725=1,-Assumptions!$H$177*K$719,0)),0)</f>
        <v>-1778.8578787190531</v>
      </c>
      <c r="L750" s="33">
        <f>IFERROR((1+Sensitivity_tables!$N$28)*IF(AND(Assumptions!$H$174="Yes",Assumptions!$H$175="Detailed"),-Assumptions_Detailed!L$157*L$725,IF(L$725=1,-Assumptions!$H$177*L$719,0)),0)</f>
        <v>-1814.4350362934342</v>
      </c>
      <c r="M750" s="33">
        <f>IFERROR((1+Sensitivity_tables!$N$28)*IF(AND(Assumptions!$H$174="Yes",Assumptions!$H$175="Detailed"),-Assumptions_Detailed!M$157*M$725,IF(M$725=1,-Assumptions!$H$177*M$719,0)),0)</f>
        <v>-1850.7237370193029</v>
      </c>
      <c r="N750" s="33">
        <f>IFERROR((1+Sensitivity_tables!$N$28)*IF(AND(Assumptions!$H$174="Yes",Assumptions!$H$175="Detailed"),-Assumptions_Detailed!N$157*N$725,IF(N$725=1,-Assumptions!$H$177*N$719,0)),0)</f>
        <v>-1887.7382117596885</v>
      </c>
      <c r="O750" s="33">
        <f>IFERROR((1+Sensitivity_tables!$N$28)*IF(AND(Assumptions!$H$174="Yes",Assumptions!$H$175="Detailed"),-Assumptions_Detailed!O$157*O$725,IF(O$725=1,-Assumptions!$H$177*O$719,0)),0)</f>
        <v>-1925.4929759948825</v>
      </c>
      <c r="P750" s="33">
        <f>IFERROR((1+Sensitivity_tables!$N$28)*IF(AND(Assumptions!$H$174="Yes",Assumptions!$H$175="Detailed"),-Assumptions_Detailed!P$157*P$725,IF(P$725=1,-Assumptions!$H$177*P$719,0)),0)</f>
        <v>-1964.0028355147801</v>
      </c>
      <c r="Q750" s="33">
        <f>IFERROR((1+Sensitivity_tables!$N$28)*IF(AND(Assumptions!$H$174="Yes",Assumptions!$H$175="Detailed"),-Assumptions_Detailed!Q$157*Q$725,IF(Q$725=1,-Assumptions!$H$177*Q$719,0)),0)</f>
        <v>-2003.2828922250758</v>
      </c>
      <c r="R750" s="33">
        <f>IFERROR((1+Sensitivity_tables!$N$28)*IF(AND(Assumptions!$H$174="Yes",Assumptions!$H$175="Detailed"),-Assumptions_Detailed!R$157*R$725,IF(R$725=1,-Assumptions!$H$177*R$719,0)),0)</f>
        <v>-2043.348550069577</v>
      </c>
      <c r="S750" s="33">
        <f>IFERROR((1+Sensitivity_tables!$N$28)*IF(AND(Assumptions!$H$174="Yes",Assumptions!$H$175="Detailed"),-Assumptions_Detailed!S$157*S$725,IF(S$725=1,-Assumptions!$H$177*S$719,0)),0)</f>
        <v>-2084.2155210709689</v>
      </c>
      <c r="T750" s="33">
        <f>IFERROR((1+Sensitivity_tables!$N$28)*IF(AND(Assumptions!$H$174="Yes",Assumptions!$H$175="Detailed"),-Assumptions_Detailed!T$157*T$725,IF(T$725=1,-Assumptions!$H$177*T$719,0)),0)</f>
        <v>-2125.8998314923883</v>
      </c>
      <c r="U750" s="33">
        <f>IFERROR((1+Sensitivity_tables!$N$28)*IF(AND(Assumptions!$H$174="Yes",Assumptions!$H$175="Detailed"),-Assumptions_Detailed!U$157*U$725,IF(U$725=1,-Assumptions!$H$177*U$719,0)),0)</f>
        <v>-2168.4178281222362</v>
      </c>
      <c r="V750" s="33">
        <f>IFERROR((1+Sensitivity_tables!$N$28)*IF(AND(Assumptions!$H$174="Yes",Assumptions!$H$175="Detailed"),-Assumptions_Detailed!V$157*V$725,IF(V$725=1,-Assumptions!$H$177*V$719,0)),0)</f>
        <v>-2211.7861846846804</v>
      </c>
      <c r="W750" s="33">
        <f>IFERROR((1+Sensitivity_tables!$N$28)*IF(AND(Assumptions!$H$174="Yes",Assumptions!$H$175="Detailed"),-Assumptions_Detailed!W$157*W$725,IF(W$725=1,-Assumptions!$H$177*W$719,0)),0)</f>
        <v>-2256.0219083783741</v>
      </c>
      <c r="X750" s="33">
        <f>IFERROR((1+Sensitivity_tables!$N$28)*IF(AND(Assumptions!$H$174="Yes",Assumptions!$H$175="Detailed"),-Assumptions_Detailed!X$157*X$725,IF(X$725=1,-Assumptions!$H$177*X$719,0)),0)</f>
        <v>-2301.142346545942</v>
      </c>
      <c r="Y750" s="33">
        <f>IFERROR((1+Sensitivity_tables!$N$28)*IF(AND(Assumptions!$H$174="Yes",Assumptions!$H$175="Detailed"),-Assumptions_Detailed!Y$157*Y$725,IF(Y$725=1,-Assumptions!$H$177*Y$719,0)),0)</f>
        <v>-2347.1651934768606</v>
      </c>
      <c r="Z750" s="33">
        <f>IFERROR((1+Sensitivity_tables!$N$28)*IF(AND(Assumptions!$H$174="Yes",Assumptions!$H$175="Detailed"),-Assumptions_Detailed!Z$157*Z$725,IF(Z$725=1,-Assumptions!$H$177*Z$719,0)),0)</f>
        <v>0</v>
      </c>
      <c r="AA750" s="33">
        <f>IFERROR((1+Sensitivity_tables!$N$28)*IF(AND(Assumptions!$H$174="Yes",Assumptions!$H$175="Detailed"),-Assumptions_Detailed!AA$157*AA$725,IF(AA$725=1,-Assumptions!$H$177*AA$719,0)),0)</f>
        <v>0</v>
      </c>
      <c r="AB750" s="33">
        <f>IFERROR((1+Sensitivity_tables!$N$28)*IF(AND(Assumptions!$H$174="Yes",Assumptions!$H$175="Detailed"),-Assumptions_Detailed!AB$157*AB$725,IF(AB$725=1,-Assumptions!$H$177*AB$719,0)),0)</f>
        <v>0</v>
      </c>
      <c r="AC750" s="33">
        <f>IFERROR((1+Sensitivity_tables!$N$28)*IF(AND(Assumptions!$H$174="Yes",Assumptions!$H$175="Detailed"),-Assumptions_Detailed!AC$157*AC$725,IF(AC$725=1,-Assumptions!$H$177*AC$719,0)),0)</f>
        <v>0</v>
      </c>
      <c r="AD750" s="33">
        <f>IFERROR((1+Sensitivity_tables!$N$28)*IF(AND(Assumptions!$H$174="Yes",Assumptions!$H$175="Detailed"),-Assumptions_Detailed!AD$157*AD$725,IF(AD$725=1,-Assumptions!$H$177*AD$719,0)),0)</f>
        <v>0</v>
      </c>
      <c r="AE750" s="33">
        <f>IFERROR((1+Sensitivity_tables!$N$28)*IF(AND(Assumptions!$H$174="Yes",Assumptions!$H$175="Detailed"),-Assumptions_Detailed!AE$157*AE$725,IF(AE$725=1,-Assumptions!$H$177*AE$719,0)),0)</f>
        <v>0</v>
      </c>
      <c r="AF750" s="33">
        <f>IFERROR((1+Sensitivity_tables!$N$28)*IF(AND(Assumptions!$H$174="Yes",Assumptions!$H$175="Detailed"),-Assumptions_Detailed!AF$157*AF$725,IF(AF$725=1,-Assumptions!$H$177*AF$719,0)),0)</f>
        <v>0</v>
      </c>
      <c r="AG750" s="33">
        <f>IFERROR((1+Sensitivity_tables!$N$28)*IF(AND(Assumptions!$H$174="Yes",Assumptions!$H$175="Detailed"),-Assumptions_Detailed!AG$157*AG$725,IF(AG$725=1,-Assumptions!$H$177*AG$719,0)),0)</f>
        <v>0</v>
      </c>
      <c r="AH750" s="33">
        <f>IFERROR((1+Sensitivity_tables!$N$28)*IF(AND(Assumptions!$H$174="Yes",Assumptions!$H$175="Detailed"),-Assumptions_Detailed!AH$157*AH$725,IF(AH$725=1,-Assumptions!$H$177*AH$719,0)),0)</f>
        <v>0</v>
      </c>
      <c r="AI750" s="33">
        <f>IFERROR((1+Sensitivity_tables!$N$28)*IF(AND(Assumptions!$H$174="Yes",Assumptions!$H$175="Detailed"),-Assumptions_Detailed!AI$157*AI$725,IF(AI$725=1,-Assumptions!$H$177*AI$719,0)),0)</f>
        <v>0</v>
      </c>
      <c r="AJ750" s="33">
        <f>IFERROR((1+Sensitivity_tables!$N$28)*IF(AND(Assumptions!$H$174="Yes",Assumptions!$H$175="Detailed"),-Assumptions_Detailed!AJ$157*AJ$725,IF(AJ$725=1,-Assumptions!$H$177*AJ$719,0)),0)</f>
        <v>0</v>
      </c>
      <c r="AK750" s="33">
        <f>IFERROR((1+Sensitivity_tables!$N$28)*IF(AND(Assumptions!$H$174="Yes",Assumptions!$H$175="Detailed"),-Assumptions_Detailed!AK$157*AK$725,IF(AK$725=1,-Assumptions!$H$177*AK$719,0)),0)</f>
        <v>0</v>
      </c>
      <c r="AL750" s="33">
        <f>IFERROR((1+Sensitivity_tables!$N$28)*IF(AND(Assumptions!$H$174="Yes",Assumptions!$H$175="Detailed"),-Assumptions_Detailed!AL$157*AL$725,IF(AL$725=1,-Assumptions!$H$177*AL$719,0)),0)</f>
        <v>0</v>
      </c>
      <c r="AM750" s="33">
        <f>IFERROR((1+Sensitivity_tables!$N$28)*IF(AND(Assumptions!$H$174="Yes",Assumptions!$H$175="Detailed"),-Assumptions_Detailed!AM$157*AM$725,IF(AM$725=1,-Assumptions!$H$177*AM$719,0)),0)</f>
        <v>0</v>
      </c>
      <c r="AN750" s="33">
        <f>IFERROR((1+Sensitivity_tables!$N$28)*IF(AND(Assumptions!$H$174="Yes",Assumptions!$H$175="Detailed"),-Assumptions_Detailed!AN$157*AN$725,IF(AN$725=1,-Assumptions!$H$177*AN$719,0)),0)</f>
        <v>0</v>
      </c>
      <c r="AO750" s="33">
        <f>IFERROR((1+Sensitivity_tables!$N$28)*IF(AND(Assumptions!$H$174="Yes",Assumptions!$H$175="Detailed"),-Assumptions_Detailed!AO$157*AO$725,IF(AO$725=1,-Assumptions!$H$177*AO$719,0)),0)</f>
        <v>0</v>
      </c>
      <c r="AP750" s="33">
        <f>IFERROR((1+Sensitivity_tables!$N$28)*IF(AND(Assumptions!$H$174="Yes",Assumptions!$H$175="Detailed"),-Assumptions_Detailed!AP$157*AP$725,IF(AP$725=1,-Assumptions!$H$177*AP$719,0)),0)</f>
        <v>0</v>
      </c>
      <c r="AQ750" s="33">
        <f>IFERROR((1+Sensitivity_tables!$N$28)*IF(AND(Assumptions!$H$174="Yes",Assumptions!$H$175="Detailed"),-Assumptions_Detailed!AQ$157*AQ$725,IF(AQ$725=1,-Assumptions!$H$177*AQ$719,0)),0)</f>
        <v>0</v>
      </c>
      <c r="AR750" s="33">
        <f>IFERROR((1+Sensitivity_tables!$N$28)*IF(AND(Assumptions!$H$174="Yes",Assumptions!$H$175="Detailed"),-Assumptions_Detailed!AR$157*AR$725,IF(AR$725=1,-Assumptions!$H$177*AR$719,0)),0)</f>
        <v>0</v>
      </c>
      <c r="AS750" s="33">
        <f>IFERROR((1+Sensitivity_tables!$N$28)*IF(AND(Assumptions!$H$174="Yes",Assumptions!$H$175="Detailed"),-Assumptions_Detailed!AS$157*AS$725,IF(AS$725=1,-Assumptions!$H$177*AS$719,0)),0)</f>
        <v>0</v>
      </c>
      <c r="AT750" s="33">
        <f>IFERROR((1+Sensitivity_tables!$N$28)*IF(AND(Assumptions!$H$174="Yes",Assumptions!$H$175="Detailed"),-Assumptions_Detailed!AT$157*AT$725,IF(AT$725=1,-Assumptions!$H$177*AT$719,0)),0)</f>
        <v>0</v>
      </c>
      <c r="AU750" s="33">
        <f>IFERROR((1+Sensitivity_tables!$N$28)*IF(AND(Assumptions!$H$174="Yes",Assumptions!$H$175="Detailed"),-Assumptions_Detailed!AU$157*AU$725,IF(AU$725=1,-Assumptions!$H$177*AU$719,0)),0)</f>
        <v>0</v>
      </c>
      <c r="AV750" s="33">
        <f>IFERROR((1+Sensitivity_tables!$N$28)*IF(AND(Assumptions!$H$174="Yes",Assumptions!$H$175="Detailed"),-Assumptions_Detailed!AV$157*AV$725,IF(AV$725=1,-Assumptions!$H$177*AV$719,0)),0)</f>
        <v>0</v>
      </c>
      <c r="AW750" s="33">
        <f>IFERROR((1+Sensitivity_tables!$N$28)*IF(AND(Assumptions!$H$174="Yes",Assumptions!$H$175="Detailed"),-Assumptions_Detailed!AW$157*AW$725,IF(AW$725=1,-Assumptions!$H$177*AW$719,0)),0)</f>
        <v>0</v>
      </c>
      <c r="AX750" s="33">
        <f>IFERROR((1+Sensitivity_tables!$N$28)*IF(AND(Assumptions!$H$174="Yes",Assumptions!$H$175="Detailed"),-Assumptions_Detailed!AX$157*AX$725,IF(AX$725=1,-Assumptions!$H$177*AX$719,0)),0)</f>
        <v>0</v>
      </c>
      <c r="AY750" s="33">
        <f>IFERROR((1+Sensitivity_tables!$N$28)*IF(AND(Assumptions!$H$174="Yes",Assumptions!$H$175="Detailed"),-Assumptions_Detailed!AY$157*AY$725,IF(AY$725=1,-Assumptions!$H$177*AY$719,0)),0)</f>
        <v>0</v>
      </c>
      <c r="AZ750" s="33">
        <f>IFERROR((1+Sensitivity_tables!$N$28)*IF(AND(Assumptions!$H$174="Yes",Assumptions!$H$175="Detailed"),-Assumptions_Detailed!AZ$157*AZ$725,IF(AZ$725=1,-Assumptions!$H$177*AZ$719,0)),0)</f>
        <v>0</v>
      </c>
      <c r="BA750" s="33">
        <f>IFERROR((1+Sensitivity_tables!$N$28)*IF(AND(Assumptions!$H$174="Yes",Assumptions!$H$175="Detailed"),-Assumptions_Detailed!BA$157*BA$725,IF(BA$725=1,-Assumptions!$H$177*BA$719,0)),0)</f>
        <v>0</v>
      </c>
      <c r="BB750" s="33">
        <f>IFERROR((1+Sensitivity_tables!$N$28)*IF(AND(Assumptions!$H$174="Yes",Assumptions!$H$175="Detailed"),-Assumptions_Detailed!BB$157*BB$725,IF(BB$725=1,-Assumptions!$H$177*BB$719,0)),0)</f>
        <v>0</v>
      </c>
      <c r="BC750" s="33">
        <f>IFERROR((1+Sensitivity_tables!$N$28)*IF(AND(Assumptions!$H$174="Yes",Assumptions!$H$175="Detailed"),-Assumptions_Detailed!BC$157*BC$725,IF(BC$725=1,-Assumptions!$H$177*BC$719,0)),0)</f>
        <v>0</v>
      </c>
      <c r="BD750" s="33">
        <f>IFERROR((1+Sensitivity_tables!$N$28)*IF(AND(Assumptions!$H$174="Yes",Assumptions!$H$175="Detailed"),-Assumptions_Detailed!BD$157*BD$725,IF(BD$725=1,-Assumptions!$H$177*BD$719,0)),0)</f>
        <v>0</v>
      </c>
      <c r="BE750" s="33">
        <f>IFERROR((1+Sensitivity_tables!$N$28)*IF(AND(Assumptions!$H$174="Yes",Assumptions!$H$175="Detailed"),-Assumptions_Detailed!BE$157*BE$725,IF(BE$725=1,-Assumptions!$H$177*BE$719,0)),0)</f>
        <v>0</v>
      </c>
      <c r="BF750" s="33">
        <f>IFERROR((1+Sensitivity_tables!$N$28)*IF(AND(Assumptions!$H$174="Yes",Assumptions!$H$175="Detailed"),-Assumptions_Detailed!BF$157*BF$725,IF(BF$725=1,-Assumptions!$H$177*BF$719,0)),0)</f>
        <v>0</v>
      </c>
      <c r="BG750" s="33">
        <f>IFERROR((1+Sensitivity_tables!$N$28)*IF(AND(Assumptions!$H$174="Yes",Assumptions!$H$175="Detailed"),-Assumptions_Detailed!BG$157*BG$725,IF(BG$725=1,-Assumptions!$H$177*BG$719,0)),0)</f>
        <v>0</v>
      </c>
      <c r="BH750" s="33">
        <f>IFERROR((1+Sensitivity_tables!$N$28)*IF(AND(Assumptions!$H$174="Yes",Assumptions!$H$175="Detailed"),-Assumptions_Detailed!BH$157*BH$725,IF(BH$725=1,-Assumptions!$H$177*BH$719,0)),0)</f>
        <v>0</v>
      </c>
      <c r="BI750" s="33">
        <f>IFERROR((1+Sensitivity_tables!$N$28)*IF(AND(Assumptions!$H$174="Yes",Assumptions!$H$175="Detailed"),-Assumptions_Detailed!BI$157*BI$725,IF(BI$725=1,-Assumptions!$H$177*BI$719,0)),0)</f>
        <v>0</v>
      </c>
      <c r="BJ750" s="33">
        <f>IFERROR((1+Sensitivity_tables!$N$28)*IF(AND(Assumptions!$H$174="Yes",Assumptions!$H$175="Detailed"),-Assumptions_Detailed!BJ$157*BJ$725,IF(BJ$725=1,-Assumptions!$H$177*BJ$719,0)),0)</f>
        <v>0</v>
      </c>
      <c r="BK750" s="33">
        <f>IFERROR((1+Sensitivity_tables!$N$28)*IF(AND(Assumptions!$H$174="Yes",Assumptions!$H$175="Detailed"),-Assumptions_Detailed!BK$157*BK$725,IF(BK$725=1,-Assumptions!$H$177*BK$719,0)),0)</f>
        <v>0</v>
      </c>
      <c r="BL750" s="33">
        <f>IFERROR((1+Sensitivity_tables!$N$28)*IF(AND(Assumptions!$H$174="Yes",Assumptions!$H$175="Detailed"),-Assumptions_Detailed!BL$157*BL$725,IF(BL$725=1,-Assumptions!$H$177*BL$719,0)),0)</f>
        <v>0</v>
      </c>
      <c r="BM750" s="33">
        <f>IFERROR((1+Sensitivity_tables!$N$28)*IF(AND(Assumptions!$H$174="Yes",Assumptions!$H$175="Detailed"),-Assumptions_Detailed!BM$157*BM$725,IF(BM$725=1,-Assumptions!$H$177*BM$719,0)),0)</f>
        <v>0</v>
      </c>
      <c r="BN750" s="33">
        <f>IFERROR((1+Sensitivity_tables!$N$28)*IF(AND(Assumptions!$H$174="Yes",Assumptions!$H$175="Detailed"),-Assumptions_Detailed!BN$157*BN$725,IF(BN$725=1,-Assumptions!$H$177*BN$719,0)),0)</f>
        <v>0</v>
      </c>
      <c r="BO750" s="33">
        <f>IFERROR((1+Sensitivity_tables!$N$28)*IF(AND(Assumptions!$H$174="Yes",Assumptions!$H$175="Detailed"),-Assumptions_Detailed!BO$157*BO$725,IF(BO$725=1,-Assumptions!$H$177*BO$719,0)),0)</f>
        <v>0</v>
      </c>
      <c r="BP750" s="33">
        <f>IFERROR((1+Sensitivity_tables!$N$28)*IF(AND(Assumptions!$H$174="Yes",Assumptions!$H$175="Detailed"),-Assumptions_Detailed!BP$157*BP$725,IF(BP$725=1,-Assumptions!$H$177*BP$719,0)),0)</f>
        <v>0</v>
      </c>
      <c r="BQ750" s="33">
        <f>IFERROR((1+Sensitivity_tables!$N$28)*IF(AND(Assumptions!$H$174="Yes",Assumptions!$H$175="Detailed"),-Assumptions_Detailed!BQ$157*BQ$725,IF(BQ$725=1,-Assumptions!$H$177*BQ$719,0)),0)</f>
        <v>0</v>
      </c>
      <c r="BR750" s="33">
        <f>IFERROR((1+Sensitivity_tables!$N$28)*IF(AND(Assumptions!$H$174="Yes",Assumptions!$H$175="Detailed"),-Assumptions_Detailed!BR$157*BR$725,IF(BR$725=1,-Assumptions!$H$177*BR$719,0)),0)</f>
        <v>0</v>
      </c>
      <c r="BS750" s="33">
        <f>IFERROR((1+Sensitivity_tables!$N$28)*IF(AND(Assumptions!$H$174="Yes",Assumptions!$H$175="Detailed"),-Assumptions_Detailed!BS$157*BS$725,IF(BS$725=1,-Assumptions!$H$177*BS$719,0)),0)</f>
        <v>0</v>
      </c>
      <c r="BT750" s="33">
        <f>IFERROR((1+Sensitivity_tables!$N$28)*IF(AND(Assumptions!$H$174="Yes",Assumptions!$H$175="Detailed"),-Assumptions_Detailed!BT$157*BT$725,IF(BT$725=1,-Assumptions!$H$177*BT$719,0)),0)</f>
        <v>0</v>
      </c>
      <c r="BU750" s="33">
        <f>IFERROR((1+Sensitivity_tables!$N$28)*IF(AND(Assumptions!$H$174="Yes",Assumptions!$H$175="Detailed"),-Assumptions_Detailed!BU$157*BU$725,IF(BU$725=1,-Assumptions!$H$177*BU$719,0)),0)</f>
        <v>0</v>
      </c>
      <c r="BV750" s="33">
        <f>IFERROR((1+Sensitivity_tables!$N$28)*IF(AND(Assumptions!$H$174="Yes",Assumptions!$H$175="Detailed"),-Assumptions_Detailed!BV$157*BV$725,IF(BV$725=1,-Assumptions!$H$177*BV$719,0)),0)</f>
        <v>0</v>
      </c>
      <c r="BW750" s="33">
        <f>IFERROR((1+Sensitivity_tables!$N$28)*IF(AND(Assumptions!$H$174="Yes",Assumptions!$H$175="Detailed"),-Assumptions_Detailed!BW$157*BW$725,IF(BW$725=1,-Assumptions!$H$177*BW$719,0)),0)</f>
        <v>0</v>
      </c>
      <c r="BX750" s="33">
        <f>IFERROR((1+Sensitivity_tables!$N$28)*IF(AND(Assumptions!$H$174="Yes",Assumptions!$H$175="Detailed"),-Assumptions_Detailed!BX$157*BX$725,IF(BX$725=1,-Assumptions!$H$177*BX$719,0)),0)</f>
        <v>0</v>
      </c>
      <c r="BY750" s="33">
        <f>IFERROR((1+Sensitivity_tables!$N$28)*IF(AND(Assumptions!$H$174="Yes",Assumptions!$H$175="Detailed"),-Assumptions_Detailed!BY$157*BY$725,IF(BY$725=1,-Assumptions!$H$177*BY$719,0)),0)</f>
        <v>0</v>
      </c>
    </row>
    <row r="751" spans="2:77" outlineLevel="1">
      <c r="E751" s="25" t="str">
        <f>+Assumptions!$D$179</f>
        <v>Implied - (Barge) Total OPEX</v>
      </c>
      <c r="F751" s="81" t="str">
        <f>+Assumptions!$G$8</f>
        <v>USD</v>
      </c>
      <c r="G751" s="30"/>
      <c r="H751" s="34">
        <f>IFERROR((1+Sensitivity_tables!$N$28)*IF(AND(Assumptions!$H$174="Yes",Assumptions!$H$175="Detailed"),-Assumptions_Detailed!H$158*H$725,IF(H$725=1,-Assumptions!$H$179*H$719,0)),0)</f>
        <v>0</v>
      </c>
      <c r="I751" s="34">
        <f>IFERROR((1+Sensitivity_tables!$N$28)*IF(AND(Assumptions!$H$174="Yes",Assumptions!$H$175="Detailed"),-Assumptions_Detailed!I$158*I$725,IF(I$725=1,-Assumptions!$H$179*I$719,0)),0)</f>
        <v>0</v>
      </c>
      <c r="J751" s="34">
        <f>IFERROR((1+Sensitivity_tables!$N$28)*IF(AND(Assumptions!$H$174="Yes",Assumptions!$H$175="Detailed"),-Assumptions_Detailed!J$158*J$725,IF(J$725=1,-Assumptions!$H$179*J$719,0)),0)</f>
        <v>0</v>
      </c>
      <c r="K751" s="34">
        <f>IFERROR((1+Sensitivity_tables!$N$28)*IF(AND(Assumptions!$H$174="Yes",Assumptions!$H$175="Detailed"),-Assumptions_Detailed!K$158*K$725,IF(K$725=1,-Assumptions!$H$179*K$719,0)),0)</f>
        <v>-5929.5262623968447</v>
      </c>
      <c r="L751" s="34">
        <f>IFERROR((1+Sensitivity_tables!$N$28)*IF(AND(Assumptions!$H$174="Yes",Assumptions!$H$175="Detailed"),-Assumptions_Detailed!L$158*L$725,IF(L$725=1,-Assumptions!$H$179*L$719,0)),0)</f>
        <v>-6048.1167876447817</v>
      </c>
      <c r="M751" s="34">
        <f>IFERROR((1+Sensitivity_tables!$N$28)*IF(AND(Assumptions!$H$174="Yes",Assumptions!$H$175="Detailed"),-Assumptions_Detailed!M$158*M$725,IF(M$725=1,-Assumptions!$H$179*M$719,0)),0)</f>
        <v>-6169.0791233976779</v>
      </c>
      <c r="N751" s="34">
        <f>IFERROR((1+Sensitivity_tables!$N$28)*IF(AND(Assumptions!$H$174="Yes",Assumptions!$H$175="Detailed"),-Assumptions_Detailed!N$158*N$725,IF(N$725=1,-Assumptions!$H$179*N$719,0)),0)</f>
        <v>-6292.4607058656293</v>
      </c>
      <c r="O751" s="34">
        <f>IFERROR((1+Sensitivity_tables!$N$28)*IF(AND(Assumptions!$H$174="Yes",Assumptions!$H$175="Detailed"),-Assumptions_Detailed!O$158*O$725,IF(O$725=1,-Assumptions!$H$179*O$719,0)),0)</f>
        <v>-6418.309919982943</v>
      </c>
      <c r="P751" s="34">
        <f>IFERROR((1+Sensitivity_tables!$N$28)*IF(AND(Assumptions!$H$174="Yes",Assumptions!$H$175="Detailed"),-Assumptions_Detailed!P$158*P$725,IF(P$725=1,-Assumptions!$H$179*P$719,0)),0)</f>
        <v>-6546.676118382602</v>
      </c>
      <c r="Q751" s="34">
        <f>IFERROR((1+Sensitivity_tables!$N$28)*IF(AND(Assumptions!$H$174="Yes",Assumptions!$H$175="Detailed"),-Assumptions_Detailed!Q$158*Q$725,IF(Q$725=1,-Assumptions!$H$179*Q$719,0)),0)</f>
        <v>-6677.6096407502537</v>
      </c>
      <c r="R751" s="34">
        <f>IFERROR((1+Sensitivity_tables!$N$28)*IF(AND(Assumptions!$H$174="Yes",Assumptions!$H$175="Detailed"),-Assumptions_Detailed!R$158*R$725,IF(R$725=1,-Assumptions!$H$179*R$719,0)),0)</f>
        <v>-6811.1618335652574</v>
      </c>
      <c r="S751" s="34">
        <f>IFERROR((1+Sensitivity_tables!$N$28)*IF(AND(Assumptions!$H$174="Yes",Assumptions!$H$175="Detailed"),-Assumptions_Detailed!S$158*S$725,IF(S$725=1,-Assumptions!$H$179*S$719,0)),0)</f>
        <v>-6947.3850702365644</v>
      </c>
      <c r="T751" s="34">
        <f>IFERROR((1+Sensitivity_tables!$N$28)*IF(AND(Assumptions!$H$174="Yes",Assumptions!$H$175="Detailed"),-Assumptions_Detailed!T$158*T$725,IF(T$725=1,-Assumptions!$H$179*T$719,0)),0)</f>
        <v>-7086.332771641295</v>
      </c>
      <c r="U751" s="34">
        <f>IFERROR((1+Sensitivity_tables!$N$28)*IF(AND(Assumptions!$H$174="Yes",Assumptions!$H$175="Detailed"),-Assumptions_Detailed!U$158*U$725,IF(U$725=1,-Assumptions!$H$179*U$719,0)),0)</f>
        <v>-7228.0594270741212</v>
      </c>
      <c r="V751" s="34">
        <f>IFERROR((1+Sensitivity_tables!$N$28)*IF(AND(Assumptions!$H$174="Yes",Assumptions!$H$175="Detailed"),-Assumptions_Detailed!V$158*V$725,IF(V$725=1,-Assumptions!$H$179*V$719,0)),0)</f>
        <v>-7372.6206156156022</v>
      </c>
      <c r="W751" s="34">
        <f>IFERROR((1+Sensitivity_tables!$N$28)*IF(AND(Assumptions!$H$174="Yes",Assumptions!$H$175="Detailed"),-Assumptions_Detailed!W$158*W$725,IF(W$725=1,-Assumptions!$H$179*W$719,0)),0)</f>
        <v>-7520.0730279279151</v>
      </c>
      <c r="X751" s="34">
        <f>IFERROR((1+Sensitivity_tables!$N$28)*IF(AND(Assumptions!$H$174="Yes",Assumptions!$H$175="Detailed"),-Assumptions_Detailed!X$158*X$725,IF(X$725=1,-Assumptions!$H$179*X$719,0)),0)</f>
        <v>-7670.474488486474</v>
      </c>
      <c r="Y751" s="34">
        <f>IFERROR((1+Sensitivity_tables!$N$28)*IF(AND(Assumptions!$H$174="Yes",Assumptions!$H$175="Detailed"),-Assumptions_Detailed!Y$158*Y$725,IF(Y$725=1,-Assumptions!$H$179*Y$719,0)),0)</f>
        <v>-7823.8839782562027</v>
      </c>
      <c r="Z751" s="34">
        <f>IFERROR((1+Sensitivity_tables!$N$28)*IF(AND(Assumptions!$H$174="Yes",Assumptions!$H$175="Detailed"),-Assumptions_Detailed!Z$158*Z$725,IF(Z$725=1,-Assumptions!$H$179*Z$719,0)),0)</f>
        <v>0</v>
      </c>
      <c r="AA751" s="34">
        <f>IFERROR((1+Sensitivity_tables!$N$28)*IF(AND(Assumptions!$H$174="Yes",Assumptions!$H$175="Detailed"),-Assumptions_Detailed!AA$158*AA$725,IF(AA$725=1,-Assumptions!$H$179*AA$719,0)),0)</f>
        <v>0</v>
      </c>
      <c r="AB751" s="34">
        <f>IFERROR((1+Sensitivity_tables!$N$28)*IF(AND(Assumptions!$H$174="Yes",Assumptions!$H$175="Detailed"),-Assumptions_Detailed!AB$158*AB$725,IF(AB$725=1,-Assumptions!$H$179*AB$719,0)),0)</f>
        <v>0</v>
      </c>
      <c r="AC751" s="34">
        <f>IFERROR((1+Sensitivity_tables!$N$28)*IF(AND(Assumptions!$H$174="Yes",Assumptions!$H$175="Detailed"),-Assumptions_Detailed!AC$158*AC$725,IF(AC$725=1,-Assumptions!$H$179*AC$719,0)),0)</f>
        <v>0</v>
      </c>
      <c r="AD751" s="34">
        <f>IFERROR((1+Sensitivity_tables!$N$28)*IF(AND(Assumptions!$H$174="Yes",Assumptions!$H$175="Detailed"),-Assumptions_Detailed!AD$158*AD$725,IF(AD$725=1,-Assumptions!$H$179*AD$719,0)),0)</f>
        <v>0</v>
      </c>
      <c r="AE751" s="34">
        <f>IFERROR((1+Sensitivity_tables!$N$28)*IF(AND(Assumptions!$H$174="Yes",Assumptions!$H$175="Detailed"),-Assumptions_Detailed!AE$158*AE$725,IF(AE$725=1,-Assumptions!$H$179*AE$719,0)),0)</f>
        <v>0</v>
      </c>
      <c r="AF751" s="34">
        <f>IFERROR((1+Sensitivity_tables!$N$28)*IF(AND(Assumptions!$H$174="Yes",Assumptions!$H$175="Detailed"),-Assumptions_Detailed!AF$158*AF$725,IF(AF$725=1,-Assumptions!$H$179*AF$719,0)),0)</f>
        <v>0</v>
      </c>
      <c r="AG751" s="34">
        <f>IFERROR((1+Sensitivity_tables!$N$28)*IF(AND(Assumptions!$H$174="Yes",Assumptions!$H$175="Detailed"),-Assumptions_Detailed!AG$158*AG$725,IF(AG$725=1,-Assumptions!$H$179*AG$719,0)),0)</f>
        <v>0</v>
      </c>
      <c r="AH751" s="34">
        <f>IFERROR((1+Sensitivity_tables!$N$28)*IF(AND(Assumptions!$H$174="Yes",Assumptions!$H$175="Detailed"),-Assumptions_Detailed!AH$158*AH$725,IF(AH$725=1,-Assumptions!$H$179*AH$719,0)),0)</f>
        <v>0</v>
      </c>
      <c r="AI751" s="34">
        <f>IFERROR((1+Sensitivity_tables!$N$28)*IF(AND(Assumptions!$H$174="Yes",Assumptions!$H$175="Detailed"),-Assumptions_Detailed!AI$158*AI$725,IF(AI$725=1,-Assumptions!$H$179*AI$719,0)),0)</f>
        <v>0</v>
      </c>
      <c r="AJ751" s="34">
        <f>IFERROR((1+Sensitivity_tables!$N$28)*IF(AND(Assumptions!$H$174="Yes",Assumptions!$H$175="Detailed"),-Assumptions_Detailed!AJ$158*AJ$725,IF(AJ$725=1,-Assumptions!$H$179*AJ$719,0)),0)</f>
        <v>0</v>
      </c>
      <c r="AK751" s="34">
        <f>IFERROR((1+Sensitivity_tables!$N$28)*IF(AND(Assumptions!$H$174="Yes",Assumptions!$H$175="Detailed"),-Assumptions_Detailed!AK$158*AK$725,IF(AK$725=1,-Assumptions!$H$179*AK$719,0)),0)</f>
        <v>0</v>
      </c>
      <c r="AL751" s="34">
        <f>IFERROR((1+Sensitivity_tables!$N$28)*IF(AND(Assumptions!$H$174="Yes",Assumptions!$H$175="Detailed"),-Assumptions_Detailed!AL$158*AL$725,IF(AL$725=1,-Assumptions!$H$179*AL$719,0)),0)</f>
        <v>0</v>
      </c>
      <c r="AM751" s="34">
        <f>IFERROR((1+Sensitivity_tables!$N$28)*IF(AND(Assumptions!$H$174="Yes",Assumptions!$H$175="Detailed"),-Assumptions_Detailed!AM$158*AM$725,IF(AM$725=1,-Assumptions!$H$179*AM$719,0)),0)</f>
        <v>0</v>
      </c>
      <c r="AN751" s="34">
        <f>IFERROR((1+Sensitivity_tables!$N$28)*IF(AND(Assumptions!$H$174="Yes",Assumptions!$H$175="Detailed"),-Assumptions_Detailed!AN$158*AN$725,IF(AN$725=1,-Assumptions!$H$179*AN$719,0)),0)</f>
        <v>0</v>
      </c>
      <c r="AO751" s="34">
        <f>IFERROR((1+Sensitivity_tables!$N$28)*IF(AND(Assumptions!$H$174="Yes",Assumptions!$H$175="Detailed"),-Assumptions_Detailed!AO$158*AO$725,IF(AO$725=1,-Assumptions!$H$179*AO$719,0)),0)</f>
        <v>0</v>
      </c>
      <c r="AP751" s="34">
        <f>IFERROR((1+Sensitivity_tables!$N$28)*IF(AND(Assumptions!$H$174="Yes",Assumptions!$H$175="Detailed"),-Assumptions_Detailed!AP$158*AP$725,IF(AP$725=1,-Assumptions!$H$179*AP$719,0)),0)</f>
        <v>0</v>
      </c>
      <c r="AQ751" s="34">
        <f>IFERROR((1+Sensitivity_tables!$N$28)*IF(AND(Assumptions!$H$174="Yes",Assumptions!$H$175="Detailed"),-Assumptions_Detailed!AQ$158*AQ$725,IF(AQ$725=1,-Assumptions!$H$179*AQ$719,0)),0)</f>
        <v>0</v>
      </c>
      <c r="AR751" s="34">
        <f>IFERROR((1+Sensitivity_tables!$N$28)*IF(AND(Assumptions!$H$174="Yes",Assumptions!$H$175="Detailed"),-Assumptions_Detailed!AR$158*AR$725,IF(AR$725=1,-Assumptions!$H$179*AR$719,0)),0)</f>
        <v>0</v>
      </c>
      <c r="AS751" s="34">
        <f>IFERROR((1+Sensitivity_tables!$N$28)*IF(AND(Assumptions!$H$174="Yes",Assumptions!$H$175="Detailed"),-Assumptions_Detailed!AS$158*AS$725,IF(AS$725=1,-Assumptions!$H$179*AS$719,0)),0)</f>
        <v>0</v>
      </c>
      <c r="AT751" s="34">
        <f>IFERROR((1+Sensitivity_tables!$N$28)*IF(AND(Assumptions!$H$174="Yes",Assumptions!$H$175="Detailed"),-Assumptions_Detailed!AT$158*AT$725,IF(AT$725=1,-Assumptions!$H$179*AT$719,0)),0)</f>
        <v>0</v>
      </c>
      <c r="AU751" s="34">
        <f>IFERROR((1+Sensitivity_tables!$N$28)*IF(AND(Assumptions!$H$174="Yes",Assumptions!$H$175="Detailed"),-Assumptions_Detailed!AU$158*AU$725,IF(AU$725=1,-Assumptions!$H$179*AU$719,0)),0)</f>
        <v>0</v>
      </c>
      <c r="AV751" s="34">
        <f>IFERROR((1+Sensitivity_tables!$N$28)*IF(AND(Assumptions!$H$174="Yes",Assumptions!$H$175="Detailed"),-Assumptions_Detailed!AV$158*AV$725,IF(AV$725=1,-Assumptions!$H$179*AV$719,0)),0)</f>
        <v>0</v>
      </c>
      <c r="AW751" s="34">
        <f>IFERROR((1+Sensitivity_tables!$N$28)*IF(AND(Assumptions!$H$174="Yes",Assumptions!$H$175="Detailed"),-Assumptions_Detailed!AW$158*AW$725,IF(AW$725=1,-Assumptions!$H$179*AW$719,0)),0)</f>
        <v>0</v>
      </c>
      <c r="AX751" s="34">
        <f>IFERROR((1+Sensitivity_tables!$N$28)*IF(AND(Assumptions!$H$174="Yes",Assumptions!$H$175="Detailed"),-Assumptions_Detailed!AX$158*AX$725,IF(AX$725=1,-Assumptions!$H$179*AX$719,0)),0)</f>
        <v>0</v>
      </c>
      <c r="AY751" s="34">
        <f>IFERROR((1+Sensitivity_tables!$N$28)*IF(AND(Assumptions!$H$174="Yes",Assumptions!$H$175="Detailed"),-Assumptions_Detailed!AY$158*AY$725,IF(AY$725=1,-Assumptions!$H$179*AY$719,0)),0)</f>
        <v>0</v>
      </c>
      <c r="AZ751" s="34">
        <f>IFERROR((1+Sensitivity_tables!$N$28)*IF(AND(Assumptions!$H$174="Yes",Assumptions!$H$175="Detailed"),-Assumptions_Detailed!AZ$158*AZ$725,IF(AZ$725=1,-Assumptions!$H$179*AZ$719,0)),0)</f>
        <v>0</v>
      </c>
      <c r="BA751" s="34">
        <f>IFERROR((1+Sensitivity_tables!$N$28)*IF(AND(Assumptions!$H$174="Yes",Assumptions!$H$175="Detailed"),-Assumptions_Detailed!BA$158*BA$725,IF(BA$725=1,-Assumptions!$H$179*BA$719,0)),0)</f>
        <v>0</v>
      </c>
      <c r="BB751" s="34">
        <f>IFERROR((1+Sensitivity_tables!$N$28)*IF(AND(Assumptions!$H$174="Yes",Assumptions!$H$175="Detailed"),-Assumptions_Detailed!BB$158*BB$725,IF(BB$725=1,-Assumptions!$H$179*BB$719,0)),0)</f>
        <v>0</v>
      </c>
      <c r="BC751" s="34">
        <f>IFERROR((1+Sensitivity_tables!$N$28)*IF(AND(Assumptions!$H$174="Yes",Assumptions!$H$175="Detailed"),-Assumptions_Detailed!BC$158*BC$725,IF(BC$725=1,-Assumptions!$H$179*BC$719,0)),0)</f>
        <v>0</v>
      </c>
      <c r="BD751" s="34">
        <f>IFERROR((1+Sensitivity_tables!$N$28)*IF(AND(Assumptions!$H$174="Yes",Assumptions!$H$175="Detailed"),-Assumptions_Detailed!BD$158*BD$725,IF(BD$725=1,-Assumptions!$H$179*BD$719,0)),0)</f>
        <v>0</v>
      </c>
      <c r="BE751" s="34">
        <f>IFERROR((1+Sensitivity_tables!$N$28)*IF(AND(Assumptions!$H$174="Yes",Assumptions!$H$175="Detailed"),-Assumptions_Detailed!BE$158*BE$725,IF(BE$725=1,-Assumptions!$H$179*BE$719,0)),0)</f>
        <v>0</v>
      </c>
      <c r="BF751" s="34">
        <f>IFERROR((1+Sensitivity_tables!$N$28)*IF(AND(Assumptions!$H$174="Yes",Assumptions!$H$175="Detailed"),-Assumptions_Detailed!BF$158*BF$725,IF(BF$725=1,-Assumptions!$H$179*BF$719,0)),0)</f>
        <v>0</v>
      </c>
      <c r="BG751" s="34">
        <f>IFERROR((1+Sensitivity_tables!$N$28)*IF(AND(Assumptions!$H$174="Yes",Assumptions!$H$175="Detailed"),-Assumptions_Detailed!BG$158*BG$725,IF(BG$725=1,-Assumptions!$H$179*BG$719,0)),0)</f>
        <v>0</v>
      </c>
      <c r="BH751" s="34">
        <f>IFERROR((1+Sensitivity_tables!$N$28)*IF(AND(Assumptions!$H$174="Yes",Assumptions!$H$175="Detailed"),-Assumptions_Detailed!BH$158*BH$725,IF(BH$725=1,-Assumptions!$H$179*BH$719,0)),0)</f>
        <v>0</v>
      </c>
      <c r="BI751" s="34">
        <f>IFERROR((1+Sensitivity_tables!$N$28)*IF(AND(Assumptions!$H$174="Yes",Assumptions!$H$175="Detailed"),-Assumptions_Detailed!BI$158*BI$725,IF(BI$725=1,-Assumptions!$H$179*BI$719,0)),0)</f>
        <v>0</v>
      </c>
      <c r="BJ751" s="34">
        <f>IFERROR((1+Sensitivity_tables!$N$28)*IF(AND(Assumptions!$H$174="Yes",Assumptions!$H$175="Detailed"),-Assumptions_Detailed!BJ$158*BJ$725,IF(BJ$725=1,-Assumptions!$H$179*BJ$719,0)),0)</f>
        <v>0</v>
      </c>
      <c r="BK751" s="34">
        <f>IFERROR((1+Sensitivity_tables!$N$28)*IF(AND(Assumptions!$H$174="Yes",Assumptions!$H$175="Detailed"),-Assumptions_Detailed!BK$158*BK$725,IF(BK$725=1,-Assumptions!$H$179*BK$719,0)),0)</f>
        <v>0</v>
      </c>
      <c r="BL751" s="34">
        <f>IFERROR((1+Sensitivity_tables!$N$28)*IF(AND(Assumptions!$H$174="Yes",Assumptions!$H$175="Detailed"),-Assumptions_Detailed!BL$158*BL$725,IF(BL$725=1,-Assumptions!$H$179*BL$719,0)),0)</f>
        <v>0</v>
      </c>
      <c r="BM751" s="34">
        <f>IFERROR((1+Sensitivity_tables!$N$28)*IF(AND(Assumptions!$H$174="Yes",Assumptions!$H$175="Detailed"),-Assumptions_Detailed!BM$158*BM$725,IF(BM$725=1,-Assumptions!$H$179*BM$719,0)),0)</f>
        <v>0</v>
      </c>
      <c r="BN751" s="34">
        <f>IFERROR((1+Sensitivity_tables!$N$28)*IF(AND(Assumptions!$H$174="Yes",Assumptions!$H$175="Detailed"),-Assumptions_Detailed!BN$158*BN$725,IF(BN$725=1,-Assumptions!$H$179*BN$719,0)),0)</f>
        <v>0</v>
      </c>
      <c r="BO751" s="34">
        <f>IFERROR((1+Sensitivity_tables!$N$28)*IF(AND(Assumptions!$H$174="Yes",Assumptions!$H$175="Detailed"),-Assumptions_Detailed!BO$158*BO$725,IF(BO$725=1,-Assumptions!$H$179*BO$719,0)),0)</f>
        <v>0</v>
      </c>
      <c r="BP751" s="34">
        <f>IFERROR((1+Sensitivity_tables!$N$28)*IF(AND(Assumptions!$H$174="Yes",Assumptions!$H$175="Detailed"),-Assumptions_Detailed!BP$158*BP$725,IF(BP$725=1,-Assumptions!$H$179*BP$719,0)),0)</f>
        <v>0</v>
      </c>
      <c r="BQ751" s="34">
        <f>IFERROR((1+Sensitivity_tables!$N$28)*IF(AND(Assumptions!$H$174="Yes",Assumptions!$H$175="Detailed"),-Assumptions_Detailed!BQ$158*BQ$725,IF(BQ$725=1,-Assumptions!$H$179*BQ$719,0)),0)</f>
        <v>0</v>
      </c>
      <c r="BR751" s="34">
        <f>IFERROR((1+Sensitivity_tables!$N$28)*IF(AND(Assumptions!$H$174="Yes",Assumptions!$H$175="Detailed"),-Assumptions_Detailed!BR$158*BR$725,IF(BR$725=1,-Assumptions!$H$179*BR$719,0)),0)</f>
        <v>0</v>
      </c>
      <c r="BS751" s="34">
        <f>IFERROR((1+Sensitivity_tables!$N$28)*IF(AND(Assumptions!$H$174="Yes",Assumptions!$H$175="Detailed"),-Assumptions_Detailed!BS$158*BS$725,IF(BS$725=1,-Assumptions!$H$179*BS$719,0)),0)</f>
        <v>0</v>
      </c>
      <c r="BT751" s="34">
        <f>IFERROR((1+Sensitivity_tables!$N$28)*IF(AND(Assumptions!$H$174="Yes",Assumptions!$H$175="Detailed"),-Assumptions_Detailed!BT$158*BT$725,IF(BT$725=1,-Assumptions!$H$179*BT$719,0)),0)</f>
        <v>0</v>
      </c>
      <c r="BU751" s="34">
        <f>IFERROR((1+Sensitivity_tables!$N$28)*IF(AND(Assumptions!$H$174="Yes",Assumptions!$H$175="Detailed"),-Assumptions_Detailed!BU$158*BU$725,IF(BU$725=1,-Assumptions!$H$179*BU$719,0)),0)</f>
        <v>0</v>
      </c>
      <c r="BV751" s="34">
        <f>IFERROR((1+Sensitivity_tables!$N$28)*IF(AND(Assumptions!$H$174="Yes",Assumptions!$H$175="Detailed"),-Assumptions_Detailed!BV$158*BV$725,IF(BV$725=1,-Assumptions!$H$179*BV$719,0)),0)</f>
        <v>0</v>
      </c>
      <c r="BW751" s="34">
        <f>IFERROR((1+Sensitivity_tables!$N$28)*IF(AND(Assumptions!$H$174="Yes",Assumptions!$H$175="Detailed"),-Assumptions_Detailed!BW$158*BW$725,IF(BW$725=1,-Assumptions!$H$179*BW$719,0)),0)</f>
        <v>0</v>
      </c>
      <c r="BX751" s="34">
        <f>IFERROR((1+Sensitivity_tables!$N$28)*IF(AND(Assumptions!$H$174="Yes",Assumptions!$H$175="Detailed"),-Assumptions_Detailed!BX$158*BX$725,IF(BX$725=1,-Assumptions!$H$179*BX$719,0)),0)</f>
        <v>0</v>
      </c>
      <c r="BY751" s="34">
        <f>IFERROR((1+Sensitivity_tables!$N$28)*IF(AND(Assumptions!$H$174="Yes",Assumptions!$H$175="Detailed"),-Assumptions_Detailed!BY$158*BY$725,IF(BY$725=1,-Assumptions!$H$179*BY$719,0)),0)</f>
        <v>0</v>
      </c>
    </row>
    <row r="752" spans="2:77" outlineLevel="1">
      <c r="E752" t="s">
        <v>494</v>
      </c>
      <c r="F752" s="80" t="str">
        <f>+Assumptions!$G$8</f>
        <v>USD</v>
      </c>
      <c r="G752" s="23"/>
      <c r="H752" s="33">
        <f t="shared" ref="H752" si="1454">+SUM(H750:H751)</f>
        <v>0</v>
      </c>
      <c r="I752" s="33">
        <f t="shared" ref="I752" si="1455">+SUM(I750:I751)</f>
        <v>0</v>
      </c>
      <c r="J752" s="33">
        <f t="shared" ref="J752" si="1456">+SUM(J750:J751)</f>
        <v>0</v>
      </c>
      <c r="K752" s="33">
        <f t="shared" ref="K752" si="1457">+SUM(K750:K751)</f>
        <v>-7708.3841411158974</v>
      </c>
      <c r="L752" s="33">
        <f t="shared" ref="L752" si="1458">+SUM(L750:L751)</f>
        <v>-7862.5518239382163</v>
      </c>
      <c r="M752" s="33">
        <f t="shared" ref="M752" si="1459">+SUM(M750:M751)</f>
        <v>-8019.8028604169813</v>
      </c>
      <c r="N752" s="33">
        <f t="shared" ref="N752" si="1460">+SUM(N750:N751)</f>
        <v>-8180.1989176253173</v>
      </c>
      <c r="O752" s="33">
        <f t="shared" ref="O752" si="1461">+SUM(O750:O751)</f>
        <v>-8343.8028959778258</v>
      </c>
      <c r="P752" s="33">
        <f t="shared" ref="P752" si="1462">+SUM(P750:P751)</f>
        <v>-8510.6789538973826</v>
      </c>
      <c r="Q752" s="33">
        <f t="shared" ref="Q752" si="1463">+SUM(Q750:Q751)</f>
        <v>-8680.8925329753292</v>
      </c>
      <c r="R752" s="33">
        <f t="shared" ref="R752" si="1464">+SUM(R750:R751)</f>
        <v>-8854.5103836348353</v>
      </c>
      <c r="S752" s="33">
        <f t="shared" ref="S752" si="1465">+SUM(S750:S751)</f>
        <v>-9031.6005913075333</v>
      </c>
      <c r="T752" s="33">
        <f t="shared" ref="T752" si="1466">+SUM(T750:T751)</f>
        <v>-9212.2326031336834</v>
      </c>
      <c r="U752" s="33">
        <f t="shared" ref="U752" si="1467">+SUM(U750:U751)</f>
        <v>-9396.4772551963579</v>
      </c>
      <c r="V752" s="33">
        <f t="shared" ref="V752" si="1468">+SUM(V750:V751)</f>
        <v>-9584.4068003002831</v>
      </c>
      <c r="W752" s="33">
        <f t="shared" ref="W752" si="1469">+SUM(W750:W751)</f>
        <v>-9776.09493630629</v>
      </c>
      <c r="X752" s="33">
        <f t="shared" ref="X752" si="1470">+SUM(X750:X751)</f>
        <v>-9971.6168350324151</v>
      </c>
      <c r="Y752" s="33">
        <f t="shared" ref="Y752" si="1471">+SUM(Y750:Y751)</f>
        <v>-10171.049171733062</v>
      </c>
      <c r="Z752" s="33">
        <f t="shared" ref="Z752" si="1472">+SUM(Z750:Z751)</f>
        <v>0</v>
      </c>
      <c r="AA752" s="33">
        <f t="shared" ref="AA752" si="1473">+SUM(AA750:AA751)</f>
        <v>0</v>
      </c>
      <c r="AB752" s="33">
        <f t="shared" ref="AB752" si="1474">+SUM(AB750:AB751)</f>
        <v>0</v>
      </c>
      <c r="AC752" s="33">
        <f t="shared" ref="AC752" si="1475">+SUM(AC750:AC751)</f>
        <v>0</v>
      </c>
      <c r="AD752" s="33">
        <f t="shared" ref="AD752" si="1476">+SUM(AD750:AD751)</f>
        <v>0</v>
      </c>
      <c r="AE752" s="33">
        <f t="shared" ref="AE752" si="1477">+SUM(AE750:AE751)</f>
        <v>0</v>
      </c>
      <c r="AF752" s="33">
        <f t="shared" ref="AF752" si="1478">+SUM(AF750:AF751)</f>
        <v>0</v>
      </c>
      <c r="AG752" s="33">
        <f t="shared" ref="AG752" si="1479">+SUM(AG750:AG751)</f>
        <v>0</v>
      </c>
      <c r="AH752" s="33">
        <f t="shared" ref="AH752" si="1480">+SUM(AH750:AH751)</f>
        <v>0</v>
      </c>
      <c r="AI752" s="33">
        <f t="shared" ref="AI752" si="1481">+SUM(AI750:AI751)</f>
        <v>0</v>
      </c>
      <c r="AJ752" s="33">
        <f t="shared" ref="AJ752" si="1482">+SUM(AJ750:AJ751)</f>
        <v>0</v>
      </c>
      <c r="AK752" s="33">
        <f t="shared" ref="AK752" si="1483">+SUM(AK750:AK751)</f>
        <v>0</v>
      </c>
      <c r="AL752" s="33">
        <f t="shared" ref="AL752" si="1484">+SUM(AL750:AL751)</f>
        <v>0</v>
      </c>
      <c r="AM752" s="33">
        <f t="shared" ref="AM752" si="1485">+SUM(AM750:AM751)</f>
        <v>0</v>
      </c>
      <c r="AN752" s="33">
        <f t="shared" ref="AN752" si="1486">+SUM(AN750:AN751)</f>
        <v>0</v>
      </c>
      <c r="AO752" s="33">
        <f t="shared" ref="AO752" si="1487">+SUM(AO750:AO751)</f>
        <v>0</v>
      </c>
      <c r="AP752" s="33">
        <f t="shared" ref="AP752" si="1488">+SUM(AP750:AP751)</f>
        <v>0</v>
      </c>
      <c r="AQ752" s="33">
        <f t="shared" ref="AQ752" si="1489">+SUM(AQ750:AQ751)</f>
        <v>0</v>
      </c>
      <c r="AR752" s="33">
        <f t="shared" ref="AR752" si="1490">+SUM(AR750:AR751)</f>
        <v>0</v>
      </c>
      <c r="AS752" s="33">
        <f t="shared" ref="AS752" si="1491">+SUM(AS750:AS751)</f>
        <v>0</v>
      </c>
      <c r="AT752" s="33">
        <f t="shared" ref="AT752" si="1492">+SUM(AT750:AT751)</f>
        <v>0</v>
      </c>
      <c r="AU752" s="33">
        <f t="shared" ref="AU752" si="1493">+SUM(AU750:AU751)</f>
        <v>0</v>
      </c>
      <c r="AV752" s="33">
        <f t="shared" ref="AV752" si="1494">+SUM(AV750:AV751)</f>
        <v>0</v>
      </c>
      <c r="AW752" s="33">
        <f t="shared" ref="AW752" si="1495">+SUM(AW750:AW751)</f>
        <v>0</v>
      </c>
      <c r="AX752" s="33">
        <f t="shared" ref="AX752" si="1496">+SUM(AX750:AX751)</f>
        <v>0</v>
      </c>
      <c r="AY752" s="33">
        <f t="shared" ref="AY752" si="1497">+SUM(AY750:AY751)</f>
        <v>0</v>
      </c>
      <c r="AZ752" s="33">
        <f t="shared" ref="AZ752" si="1498">+SUM(AZ750:AZ751)</f>
        <v>0</v>
      </c>
      <c r="BA752" s="33">
        <f t="shared" ref="BA752" si="1499">+SUM(BA750:BA751)</f>
        <v>0</v>
      </c>
      <c r="BB752" s="33">
        <f t="shared" ref="BB752" si="1500">+SUM(BB750:BB751)</f>
        <v>0</v>
      </c>
      <c r="BC752" s="33">
        <f t="shared" ref="BC752" si="1501">+SUM(BC750:BC751)</f>
        <v>0</v>
      </c>
      <c r="BD752" s="33">
        <f t="shared" ref="BD752" si="1502">+SUM(BD750:BD751)</f>
        <v>0</v>
      </c>
      <c r="BE752" s="33">
        <f t="shared" ref="BE752" si="1503">+SUM(BE750:BE751)</f>
        <v>0</v>
      </c>
      <c r="BF752" s="33">
        <f t="shared" ref="BF752" si="1504">+SUM(BF750:BF751)</f>
        <v>0</v>
      </c>
      <c r="BG752" s="33">
        <f t="shared" ref="BG752" si="1505">+SUM(BG750:BG751)</f>
        <v>0</v>
      </c>
      <c r="BH752" s="33">
        <f t="shared" ref="BH752" si="1506">+SUM(BH750:BH751)</f>
        <v>0</v>
      </c>
      <c r="BI752" s="33">
        <f t="shared" ref="BI752" si="1507">+SUM(BI750:BI751)</f>
        <v>0</v>
      </c>
      <c r="BJ752" s="33">
        <f t="shared" ref="BJ752" si="1508">+SUM(BJ750:BJ751)</f>
        <v>0</v>
      </c>
      <c r="BK752" s="33">
        <f t="shared" ref="BK752" si="1509">+SUM(BK750:BK751)</f>
        <v>0</v>
      </c>
      <c r="BL752" s="33">
        <f t="shared" ref="BL752" si="1510">+SUM(BL750:BL751)</f>
        <v>0</v>
      </c>
      <c r="BM752" s="33">
        <f t="shared" ref="BM752" si="1511">+SUM(BM750:BM751)</f>
        <v>0</v>
      </c>
      <c r="BN752" s="33">
        <f t="shared" ref="BN752" si="1512">+SUM(BN750:BN751)</f>
        <v>0</v>
      </c>
      <c r="BO752" s="33">
        <f t="shared" ref="BO752" si="1513">+SUM(BO750:BO751)</f>
        <v>0</v>
      </c>
      <c r="BP752" s="33">
        <f t="shared" ref="BP752" si="1514">+SUM(BP750:BP751)</f>
        <v>0</v>
      </c>
      <c r="BQ752" s="33">
        <f t="shared" ref="BQ752" si="1515">+SUM(BQ750:BQ751)</f>
        <v>0</v>
      </c>
      <c r="BR752" s="33">
        <f t="shared" ref="BR752" si="1516">+SUM(BR750:BR751)</f>
        <v>0</v>
      </c>
      <c r="BS752" s="33">
        <f t="shared" ref="BS752" si="1517">+SUM(BS750:BS751)</f>
        <v>0</v>
      </c>
      <c r="BT752" s="33">
        <f t="shared" ref="BT752" si="1518">+SUM(BT750:BT751)</f>
        <v>0</v>
      </c>
      <c r="BU752" s="33">
        <f t="shared" ref="BU752" si="1519">+SUM(BU750:BU751)</f>
        <v>0</v>
      </c>
      <c r="BV752" s="33">
        <f t="shared" ref="BV752" si="1520">+SUM(BV750:BV751)</f>
        <v>0</v>
      </c>
      <c r="BW752" s="33">
        <f t="shared" ref="BW752" si="1521">+SUM(BW750:BW751)</f>
        <v>0</v>
      </c>
      <c r="BX752" s="33">
        <f t="shared" ref="BX752" si="1522">+SUM(BX750:BX751)</f>
        <v>0</v>
      </c>
      <c r="BY752" s="33">
        <f t="shared" ref="BY752" si="1523">+SUM(BY750:BY751)</f>
        <v>0</v>
      </c>
    </row>
    <row r="753" spans="2:77" outlineLevel="1"/>
    <row r="754" spans="2:77" outlineLevel="1"/>
    <row r="755" spans="2:77" outlineLevel="1"/>
    <row r="756" spans="2:77" s="19" customFormat="1" ht="12.75" outlineLevel="1">
      <c r="B756" s="18" t="s">
        <v>264</v>
      </c>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5"/>
      <c r="BW756" s="35"/>
      <c r="BX756" s="35"/>
      <c r="BY756" s="35"/>
    </row>
    <row r="757" spans="2:77" outlineLevel="1">
      <c r="BF757" s="33"/>
      <c r="BG757" s="33"/>
      <c r="BH757" s="33"/>
      <c r="BI757" s="33"/>
      <c r="BJ757" s="33"/>
      <c r="BK757" s="33"/>
      <c r="BL757" s="33"/>
      <c r="BM757" s="33"/>
      <c r="BN757" s="33"/>
      <c r="BO757" s="33"/>
      <c r="BP757" s="33"/>
      <c r="BQ757" s="33"/>
      <c r="BR757" s="33"/>
      <c r="BS757" s="33"/>
      <c r="BT757" s="33"/>
      <c r="BU757" s="33"/>
      <c r="BV757" s="33"/>
      <c r="BW757" s="33"/>
      <c r="BX757" s="33"/>
      <c r="BY757" s="33"/>
    </row>
    <row r="758" spans="2:77" ht="15" outlineLevel="1">
      <c r="C758" s="22" t="s">
        <v>496</v>
      </c>
      <c r="BF758" s="33"/>
      <c r="BG758" s="33"/>
      <c r="BH758" s="33"/>
      <c r="BI758" s="33"/>
      <c r="BJ758" s="33"/>
      <c r="BK758" s="33"/>
      <c r="BL758" s="33"/>
      <c r="BM758" s="33"/>
      <c r="BN758" s="33"/>
      <c r="BO758" s="33"/>
      <c r="BP758" s="33"/>
      <c r="BQ758" s="33"/>
      <c r="BR758" s="33"/>
      <c r="BS758" s="33"/>
      <c r="BT758" s="33"/>
      <c r="BU758" s="33"/>
      <c r="BV758" s="33"/>
      <c r="BW758" s="33"/>
      <c r="BX758" s="33"/>
      <c r="BY758" s="33"/>
    </row>
    <row r="759" spans="2:77" outlineLevel="1">
      <c r="C759" s="95">
        <f>Assumptions!$H$208*C735</f>
        <v>-259032.07288152308</v>
      </c>
      <c r="E759" t="s">
        <v>456</v>
      </c>
      <c r="F759" s="80" t="str">
        <f>+Assumptions!$G$8</f>
        <v>USD</v>
      </c>
      <c r="H759" s="32">
        <f>IF(AND(Assumptions!$H$183="Yes",Assumptions!$H$184="Detailed"),-Assumptions_Detailed!H$164,IF(SUM($H$724:H724)&gt;0,IF(SUM($H$737:H737)&lt;$C$759,MAX($C$759-SUM($G$759:G759),H737),H737),0))</f>
        <v>0</v>
      </c>
      <c r="I759" s="32">
        <f>IF(AND(Assumptions!$H$183="Yes",Assumptions!$H$184="Detailed"),-Assumptions_Detailed!I$164,IF(SUM($H$724:I724)&gt;0,IF(SUM($H$737:I737)&lt;$C$759,MAX($C$759-SUM($G$759:H759),I737),I737),0))</f>
        <v>-259032.07288152308</v>
      </c>
      <c r="J759" s="32">
        <f>IF(AND(Assumptions!$H$183="Yes",Assumptions!$H$184="Detailed"),-Assumptions_Detailed!J$164,IF(SUM($H$724:J724)&gt;0,IF(SUM($H$737:J737)&lt;$C$759,MAX($C$759-SUM($G$759:I759),J737),J737),0))</f>
        <v>0</v>
      </c>
      <c r="K759" s="32">
        <f>IF(AND(Assumptions!$H$183="Yes",Assumptions!$H$184="Detailed"),-Assumptions_Detailed!K$164,IF(SUM($H$724:K724)&gt;0,IF(SUM($H$737:K737)&lt;$C$759,MAX($C$759-SUM($G$759:J759),K737),K737),0))</f>
        <v>0</v>
      </c>
      <c r="L759" s="32">
        <f>IF(AND(Assumptions!$H$183="Yes",Assumptions!$H$184="Detailed"),-Assumptions_Detailed!L$164,IF(SUM($H$724:L724)&gt;0,IF(SUM($H$737:L737)&lt;$C$759,MAX($C$759-SUM($G$759:K759),L737),L737),0))</f>
        <v>0</v>
      </c>
      <c r="M759" s="32">
        <f>IF(AND(Assumptions!$H$183="Yes",Assumptions!$H$184="Detailed"),-Assumptions_Detailed!M$164,IF(SUM($H$724:M724)&gt;0,IF(SUM($H$737:M737)&lt;$C$759,MAX($C$759-SUM($G$759:L759),M737),M737),0))</f>
        <v>0</v>
      </c>
      <c r="N759" s="32">
        <f>IF(AND(Assumptions!$H$183="Yes",Assumptions!$H$184="Detailed"),-Assumptions_Detailed!N$164,IF(SUM($H$724:N724)&gt;0,IF(SUM($H$737:N737)&lt;$C$759,MAX($C$759-SUM($G$759:M759),N737),N737),0))</f>
        <v>0</v>
      </c>
      <c r="O759" s="32">
        <f>IF(AND(Assumptions!$H$183="Yes",Assumptions!$H$184="Detailed"),-Assumptions_Detailed!O$164,IF(SUM($H$724:O724)&gt;0,IF(SUM($H$737:O737)&lt;$C$759,MAX($C$759-SUM($G$759:N759),O737),O737),0))</f>
        <v>0</v>
      </c>
      <c r="P759" s="32">
        <f>IF(AND(Assumptions!$H$183="Yes",Assumptions!$H$184="Detailed"),-Assumptions_Detailed!P$164,IF(SUM($H$724:P724)&gt;0,IF(SUM($H$737:P737)&lt;$C$759,MAX($C$759-SUM($G$759:O759),P737),P737),0))</f>
        <v>0</v>
      </c>
      <c r="Q759" s="32">
        <f>IF(AND(Assumptions!$H$183="Yes",Assumptions!$H$184="Detailed"),-Assumptions_Detailed!Q$164,IF(SUM($H$724:Q724)&gt;0,IF(SUM($H$737:Q737)&lt;$C$759,MAX($C$759-SUM($G$759:P759),Q737),Q737),0))</f>
        <v>0</v>
      </c>
      <c r="R759" s="32">
        <f>IF(AND(Assumptions!$H$183="Yes",Assumptions!$H$184="Detailed"),-Assumptions_Detailed!R$164,IF(SUM($H$724:R724)&gt;0,IF(SUM($H$737:R737)&lt;$C$759,MAX($C$759-SUM($G$759:Q759),R737),R737),0))</f>
        <v>0</v>
      </c>
      <c r="S759" s="32">
        <f>IF(AND(Assumptions!$H$183="Yes",Assumptions!$H$184="Detailed"),-Assumptions_Detailed!S$164,IF(SUM($H$724:S724)&gt;0,IF(SUM($H$737:S737)&lt;$C$759,MAX($C$759-SUM($G$759:R759),S737),S737),0))</f>
        <v>0</v>
      </c>
      <c r="T759" s="32">
        <f>IF(AND(Assumptions!$H$183="Yes",Assumptions!$H$184="Detailed"),-Assumptions_Detailed!T$164,IF(SUM($H$724:T724)&gt;0,IF(SUM($H$737:T737)&lt;$C$759,MAX($C$759-SUM($G$759:S759),T737),T737),0))</f>
        <v>0</v>
      </c>
      <c r="U759" s="32">
        <f>IF(AND(Assumptions!$H$183="Yes",Assumptions!$H$184="Detailed"),-Assumptions_Detailed!U$164,IF(SUM($H$724:U724)&gt;0,IF(SUM($H$737:U737)&lt;$C$759,MAX($C$759-SUM($G$759:T759),U737),U737),0))</f>
        <v>0</v>
      </c>
      <c r="V759" s="32">
        <f>IF(AND(Assumptions!$H$183="Yes",Assumptions!$H$184="Detailed"),-Assumptions_Detailed!V$164,IF(SUM($H$724:V724)&gt;0,IF(SUM($H$737:V737)&lt;$C$759,MAX($C$759-SUM($G$759:U759),V737),V737),0))</f>
        <v>0</v>
      </c>
      <c r="W759" s="32">
        <f>IF(AND(Assumptions!$H$183="Yes",Assumptions!$H$184="Detailed"),-Assumptions_Detailed!W$164,IF(SUM($H$724:W724)&gt;0,IF(SUM($H$737:W737)&lt;$C$759,MAX($C$759-SUM($G$759:V759),W737),W737),0))</f>
        <v>0</v>
      </c>
      <c r="X759" s="32">
        <f>IF(AND(Assumptions!$H$183="Yes",Assumptions!$H$184="Detailed"),-Assumptions_Detailed!X$164,IF(SUM($H$724:X724)&gt;0,IF(SUM($H$737:X737)&lt;$C$759,MAX($C$759-SUM($G$759:W759),X737),X737),0))</f>
        <v>0</v>
      </c>
      <c r="Y759" s="32">
        <f>IF(AND(Assumptions!$H$183="Yes",Assumptions!$H$184="Detailed"),-Assumptions_Detailed!Y$164,IF(SUM($H$724:Y724)&gt;0,IF(SUM($H$737:Y737)&lt;$C$759,MAX($C$759-SUM($G$759:X759),Y737),Y737),0))</f>
        <v>0</v>
      </c>
      <c r="Z759" s="32">
        <f>IF(AND(Assumptions!$H$183="Yes",Assumptions!$H$184="Detailed"),-Assumptions_Detailed!Z$164,IF(SUM($H$724:Z724)&gt;0,IF(SUM($H$737:Z737)&lt;$C$759,MAX($C$759-SUM($G$759:Y759),Z737),Z737),0))</f>
        <v>0</v>
      </c>
      <c r="AA759" s="32">
        <f>IF(AND(Assumptions!$H$183="Yes",Assumptions!$H$184="Detailed"),-Assumptions_Detailed!AA$164,IF(SUM($H$724:AA724)&gt;0,IF(SUM($H$737:AA737)&lt;$C$759,MAX($C$759-SUM($G$759:Z759),AA737),AA737),0))</f>
        <v>0</v>
      </c>
      <c r="AB759" s="32">
        <f>IF(AND(Assumptions!$H$183="Yes",Assumptions!$H$184="Detailed"),-Assumptions_Detailed!AB$164,IF(SUM($H$724:AB724)&gt;0,IF(SUM($H$737:AB737)&lt;$C$759,MAX($C$759-SUM($G$759:AA759),AB737),AB737),0))</f>
        <v>0</v>
      </c>
      <c r="AC759" s="32">
        <f>IF(AND(Assumptions!$H$183="Yes",Assumptions!$H$184="Detailed"),-Assumptions_Detailed!AC$164,IF(SUM($H$724:AC724)&gt;0,IF(SUM($H$737:AC737)&lt;$C$759,MAX($C$759-SUM($G$759:AB759),AC737),AC737),0))</f>
        <v>0</v>
      </c>
      <c r="AD759" s="32">
        <f>IF(AND(Assumptions!$H$183="Yes",Assumptions!$H$184="Detailed"),-Assumptions_Detailed!AD$164,IF(SUM($H$724:AD724)&gt;0,IF(SUM($H$737:AD737)&lt;$C$759,MAX($C$759-SUM($G$759:AC759),AD737),AD737),0))</f>
        <v>0</v>
      </c>
      <c r="AE759" s="32">
        <f>IF(AND(Assumptions!$H$183="Yes",Assumptions!$H$184="Detailed"),-Assumptions_Detailed!AE$164,IF(SUM($H$724:AE724)&gt;0,IF(SUM($H$737:AE737)&lt;$C$759,MAX($C$759-SUM($G$759:AD759),AE737),AE737),0))</f>
        <v>0</v>
      </c>
      <c r="AF759" s="32">
        <f>IF(AND(Assumptions!$H$183="Yes",Assumptions!$H$184="Detailed"),-Assumptions_Detailed!AF$164,IF(SUM($H$724:AF724)&gt;0,IF(SUM($H$737:AF737)&lt;$C$759,MAX($C$759-SUM($G$759:AE759),AF737),AF737),0))</f>
        <v>0</v>
      </c>
      <c r="AG759" s="32">
        <f>IF(AND(Assumptions!$H$183="Yes",Assumptions!$H$184="Detailed"),-Assumptions_Detailed!AG$164,IF(SUM($H$724:AG724)&gt;0,IF(SUM($H$737:AG737)&lt;$C$759,MAX($C$759-SUM($G$759:AF759),AG737),AG737),0))</f>
        <v>0</v>
      </c>
      <c r="AH759" s="32">
        <f>IF(AND(Assumptions!$H$183="Yes",Assumptions!$H$184="Detailed"),-Assumptions_Detailed!AH$164,IF(SUM($H$724:AH724)&gt;0,IF(SUM($H$737:AH737)&lt;$C$759,MAX($C$759-SUM($G$759:AG759),AH737),AH737),0))</f>
        <v>0</v>
      </c>
      <c r="AI759" s="32">
        <f>IF(AND(Assumptions!$H$183="Yes",Assumptions!$H$184="Detailed"),-Assumptions_Detailed!AI$164,IF(SUM($H$724:AI724)&gt;0,IF(SUM($H$737:AI737)&lt;$C$759,MAX($C$759-SUM($G$759:AH759),AI737),AI737),0))</f>
        <v>0</v>
      </c>
      <c r="AJ759" s="32">
        <f>IF(AND(Assumptions!$H$183="Yes",Assumptions!$H$184="Detailed"),-Assumptions_Detailed!AJ$164,IF(SUM($H$724:AJ724)&gt;0,IF(SUM($H$737:AJ737)&lt;$C$759,MAX($C$759-SUM($G$759:AI759),AJ737),AJ737),0))</f>
        <v>0</v>
      </c>
      <c r="AK759" s="32">
        <f>IF(AND(Assumptions!$H$183="Yes",Assumptions!$H$184="Detailed"),-Assumptions_Detailed!AK$164,IF(SUM($H$724:AK724)&gt;0,IF(SUM($H$737:AK737)&lt;$C$759,MAX($C$759-SUM($G$759:AJ759),AK737),AK737),0))</f>
        <v>0</v>
      </c>
      <c r="AL759" s="32">
        <f>IF(AND(Assumptions!$H$183="Yes",Assumptions!$H$184="Detailed"),-Assumptions_Detailed!AL$164,IF(SUM($H$724:AL724)&gt;0,IF(SUM($H$737:AL737)&lt;$C$759,MAX($C$759-SUM($G$759:AK759),AL737),AL737),0))</f>
        <v>0</v>
      </c>
      <c r="AM759" s="32">
        <f>IF(AND(Assumptions!$H$183="Yes",Assumptions!$H$184="Detailed"),-Assumptions_Detailed!AM$164,IF(SUM($H$724:AM724)&gt;0,IF(SUM($H$737:AM737)&lt;$C$759,MAX($C$759-SUM($G$759:AL759),AM737),AM737),0))</f>
        <v>0</v>
      </c>
      <c r="AN759" s="32">
        <f>IF(AND(Assumptions!$H$183="Yes",Assumptions!$H$184="Detailed"),-Assumptions_Detailed!AN$164,IF(SUM($H$724:AN724)&gt;0,IF(SUM($H$737:AN737)&lt;$C$759,MAX($C$759-SUM($G$759:AM759),AN737),AN737),0))</f>
        <v>0</v>
      </c>
      <c r="AO759" s="32">
        <f>IF(AND(Assumptions!$H$183="Yes",Assumptions!$H$184="Detailed"),-Assumptions_Detailed!AO$164,IF(SUM($H$724:AO724)&gt;0,IF(SUM($H$737:AO737)&lt;$C$759,MAX($C$759-SUM($G$759:AN759),AO737),AO737),0))</f>
        <v>0</v>
      </c>
      <c r="AP759" s="32">
        <f>IF(AND(Assumptions!$H$183="Yes",Assumptions!$H$184="Detailed"),-Assumptions_Detailed!AP$164,IF(SUM($H$724:AP724)&gt;0,IF(SUM($H$737:AP737)&lt;$C$759,MAX($C$759-SUM($G$759:AO759),AP737),AP737),0))</f>
        <v>0</v>
      </c>
      <c r="AQ759" s="32">
        <f>IF(AND(Assumptions!$H$183="Yes",Assumptions!$H$184="Detailed"),-Assumptions_Detailed!AQ$164,IF(SUM($H$724:AQ724)&gt;0,IF(SUM($H$737:AQ737)&lt;$C$759,MAX($C$759-SUM($G$759:AP759),AQ737),AQ737),0))</f>
        <v>0</v>
      </c>
      <c r="AR759" s="32">
        <f>IF(AND(Assumptions!$H$183="Yes",Assumptions!$H$184="Detailed"),-Assumptions_Detailed!AR$164,IF(SUM($H$724:AR724)&gt;0,IF(SUM($H$737:AR737)&lt;$C$759,MAX($C$759-SUM($G$759:AQ759),AR737),AR737),0))</f>
        <v>0</v>
      </c>
      <c r="AS759" s="32">
        <f>IF(AND(Assumptions!$H$183="Yes",Assumptions!$H$184="Detailed"),-Assumptions_Detailed!AS$164,IF(SUM($H$724:AS724)&gt;0,IF(SUM($H$737:AS737)&lt;$C$759,MAX($C$759-SUM($G$759:AR759),AS737),AS737),0))</f>
        <v>0</v>
      </c>
      <c r="AT759" s="32">
        <f>IF(AND(Assumptions!$H$183="Yes",Assumptions!$H$184="Detailed"),-Assumptions_Detailed!AT$164,IF(SUM($H$724:AT724)&gt;0,IF(SUM($H$737:AT737)&lt;$C$759,MAX($C$759-SUM($G$759:AS759),AT737),AT737),0))</f>
        <v>0</v>
      </c>
      <c r="AU759" s="32">
        <f>IF(AND(Assumptions!$H$183="Yes",Assumptions!$H$184="Detailed"),-Assumptions_Detailed!AU$164,IF(SUM($H$724:AU724)&gt;0,IF(SUM($H$737:AU737)&lt;$C$759,MAX($C$759-SUM($G$759:AT759),AU737),AU737),0))</f>
        <v>0</v>
      </c>
      <c r="AV759" s="32">
        <f>IF(AND(Assumptions!$H$183="Yes",Assumptions!$H$184="Detailed"),-Assumptions_Detailed!AV$164,IF(SUM($H$724:AV724)&gt;0,IF(SUM($H$737:AV737)&lt;$C$759,MAX($C$759-SUM($G$759:AU759),AV737),AV737),0))</f>
        <v>0</v>
      </c>
      <c r="AW759" s="32">
        <f>IF(AND(Assumptions!$H$183="Yes",Assumptions!$H$184="Detailed"),-Assumptions_Detailed!AW$164,IF(SUM($H$724:AW724)&gt;0,IF(SUM($H$737:AW737)&lt;$C$759,MAX($C$759-SUM($G$759:AV759),AW737),AW737),0))</f>
        <v>0</v>
      </c>
      <c r="AX759" s="32">
        <f>IF(AND(Assumptions!$H$183="Yes",Assumptions!$H$184="Detailed"),-Assumptions_Detailed!AX$164,IF(SUM($H$724:AX724)&gt;0,IF(SUM($H$737:AX737)&lt;$C$759,MAX($C$759-SUM($G$759:AW759),AX737),AX737),0))</f>
        <v>0</v>
      </c>
      <c r="AY759" s="32">
        <f>IF(AND(Assumptions!$H$183="Yes",Assumptions!$H$184="Detailed"),-Assumptions_Detailed!AY$164,IF(SUM($H$724:AY724)&gt;0,IF(SUM($H$737:AY737)&lt;$C$759,MAX($C$759-SUM($G$759:AX759),AY737),AY737),0))</f>
        <v>0</v>
      </c>
      <c r="AZ759" s="32">
        <f>IF(AND(Assumptions!$H$183="Yes",Assumptions!$H$184="Detailed"),-Assumptions_Detailed!AZ$164,IF(SUM($H$724:AZ724)&gt;0,IF(SUM($H$737:AZ737)&lt;$C$759,MAX($C$759-SUM($G$759:AY759),AZ737),AZ737),0))</f>
        <v>0</v>
      </c>
      <c r="BA759" s="32">
        <f>IF(AND(Assumptions!$H$183="Yes",Assumptions!$H$184="Detailed"),-Assumptions_Detailed!BA$164,IF(SUM($H$724:BA724)&gt;0,IF(SUM($H$737:BA737)&lt;$C$759,MAX($C$759-SUM($G$759:AZ759),BA737),BA737),0))</f>
        <v>0</v>
      </c>
      <c r="BB759" s="32">
        <f>IF(AND(Assumptions!$H$183="Yes",Assumptions!$H$184="Detailed"),-Assumptions_Detailed!BB$164,IF(SUM($H$724:BB724)&gt;0,IF(SUM($H$737:BB737)&lt;$C$759,MAX($C$759-SUM($G$759:BA759),BB737),BB737),0))</f>
        <v>0</v>
      </c>
      <c r="BC759" s="32">
        <f>IF(AND(Assumptions!$H$183="Yes",Assumptions!$H$184="Detailed"),-Assumptions_Detailed!BC$164,IF(SUM($H$724:BC724)&gt;0,IF(SUM($H$737:BC737)&lt;$C$759,MAX($C$759-SUM($G$759:BB759),BC737),BC737),0))</f>
        <v>0</v>
      </c>
      <c r="BD759" s="32">
        <f>IF(AND(Assumptions!$H$183="Yes",Assumptions!$H$184="Detailed"),-Assumptions_Detailed!BD$164,IF(SUM($H$724:BD724)&gt;0,IF(SUM($H$737:BD737)&lt;$C$759,MAX($C$759-SUM($G$759:BC759),BD737),BD737),0))</f>
        <v>0</v>
      </c>
      <c r="BE759" s="32">
        <f>IF(AND(Assumptions!$H$183="Yes",Assumptions!$H$184="Detailed"),-Assumptions_Detailed!BE$164,IF(SUM($H$724:BE724)&gt;0,IF(SUM($H$737:BE737)&lt;$C$759,MAX($C$759-SUM($G$759:BD759),BE737),BE737),0))</f>
        <v>0</v>
      </c>
      <c r="BF759" s="32">
        <f>IF(AND(Assumptions!$H$183="Yes",Assumptions!$H$184="Detailed"),-Assumptions_Detailed!BF$164,IF(SUM($H$724:BF724)&gt;0,IF(SUM($H$737:BF737)&lt;$C$759,MAX($C$759-SUM($G$759:BE759),BF737),BF737),0))</f>
        <v>0</v>
      </c>
      <c r="BG759" s="32">
        <f>IF(AND(Assumptions!$H$183="Yes",Assumptions!$H$184="Detailed"),-Assumptions_Detailed!BG$164,IF(SUM($H$724:BG724)&gt;0,IF(SUM($H$737:BG737)&lt;$C$759,MAX($C$759-SUM($G$759:BF759),BG737),BG737),0))</f>
        <v>0</v>
      </c>
      <c r="BH759" s="32">
        <f>IF(AND(Assumptions!$H$183="Yes",Assumptions!$H$184="Detailed"),-Assumptions_Detailed!BH$164,IF(SUM($H$724:BH724)&gt;0,IF(SUM($H$737:BH737)&lt;$C$759,MAX($C$759-SUM($G$759:BG759),BH737),BH737),0))</f>
        <v>0</v>
      </c>
      <c r="BI759" s="32">
        <f>IF(AND(Assumptions!$H$183="Yes",Assumptions!$H$184="Detailed"),-Assumptions_Detailed!BI$164,IF(SUM($H$724:BI724)&gt;0,IF(SUM($H$737:BI737)&lt;$C$759,MAX($C$759-SUM($G$759:BH759),BI737),BI737),0))</f>
        <v>0</v>
      </c>
      <c r="BJ759" s="32">
        <f>IF(AND(Assumptions!$H$183="Yes",Assumptions!$H$184="Detailed"),-Assumptions_Detailed!BJ$164,IF(SUM($H$724:BJ724)&gt;0,IF(SUM($H$737:BJ737)&lt;$C$759,MAX($C$759-SUM($G$759:BI759),BJ737),BJ737),0))</f>
        <v>0</v>
      </c>
      <c r="BK759" s="32">
        <f>IF(AND(Assumptions!$H$183="Yes",Assumptions!$H$184="Detailed"),-Assumptions_Detailed!BK$164,IF(SUM($H$724:BK724)&gt;0,IF(SUM($H$737:BK737)&lt;$C$759,MAX($C$759-SUM($G$759:BJ759),BK737),BK737),0))</f>
        <v>0</v>
      </c>
      <c r="BL759" s="32">
        <f>IF(AND(Assumptions!$H$183="Yes",Assumptions!$H$184="Detailed"),-Assumptions_Detailed!BL$164,IF(SUM($H$724:BL724)&gt;0,IF(SUM($H$737:BL737)&lt;$C$759,MAX($C$759-SUM($G$759:BK759),BL737),BL737),0))</f>
        <v>0</v>
      </c>
      <c r="BM759" s="32">
        <f>IF(AND(Assumptions!$H$183="Yes",Assumptions!$H$184="Detailed"),-Assumptions_Detailed!BM$164,IF(SUM($H$724:BM724)&gt;0,IF(SUM($H$737:BM737)&lt;$C$759,MAX($C$759-SUM($G$759:BL759),BM737),BM737),0))</f>
        <v>0</v>
      </c>
      <c r="BN759" s="32">
        <f>IF(AND(Assumptions!$H$183="Yes",Assumptions!$H$184="Detailed"),-Assumptions_Detailed!BN$164,IF(SUM($H$724:BN724)&gt;0,IF(SUM($H$737:BN737)&lt;$C$759,MAX($C$759-SUM($G$759:BM759),BN737),BN737),0))</f>
        <v>0</v>
      </c>
      <c r="BO759" s="32">
        <f>IF(AND(Assumptions!$H$183="Yes",Assumptions!$H$184="Detailed"),-Assumptions_Detailed!BO$164,IF(SUM($H$724:BO724)&gt;0,IF(SUM($H$737:BO737)&lt;$C$759,MAX($C$759-SUM($G$759:BN759),BO737),BO737),0))</f>
        <v>0</v>
      </c>
      <c r="BP759" s="32">
        <f>IF(AND(Assumptions!$H$183="Yes",Assumptions!$H$184="Detailed"),-Assumptions_Detailed!BP$164,IF(SUM($H$724:BP724)&gt;0,IF(SUM($H$737:BP737)&lt;$C$759,MAX($C$759-SUM($G$759:BO759),BP737),BP737),0))</f>
        <v>0</v>
      </c>
      <c r="BQ759" s="32">
        <f>IF(AND(Assumptions!$H$183="Yes",Assumptions!$H$184="Detailed"),-Assumptions_Detailed!BQ$164,IF(SUM($H$724:BQ724)&gt;0,IF(SUM($H$737:BQ737)&lt;$C$759,MAX($C$759-SUM($G$759:BP759),BQ737),BQ737),0))</f>
        <v>0</v>
      </c>
      <c r="BR759" s="32">
        <f>IF(AND(Assumptions!$H$183="Yes",Assumptions!$H$184="Detailed"),-Assumptions_Detailed!BR$164,IF(SUM($H$724:BR724)&gt;0,IF(SUM($H$737:BR737)&lt;$C$759,MAX($C$759-SUM($G$759:BQ759),BR737),BR737),0))</f>
        <v>0</v>
      </c>
      <c r="BS759" s="32">
        <f>IF(AND(Assumptions!$H$183="Yes",Assumptions!$H$184="Detailed"),-Assumptions_Detailed!BS$164,IF(SUM($H$724:BS724)&gt;0,IF(SUM($H$737:BS737)&lt;$C$759,MAX($C$759-SUM($G$759:BR759),BS737),BS737),0))</f>
        <v>0</v>
      </c>
      <c r="BT759" s="32">
        <f>IF(AND(Assumptions!$H$183="Yes",Assumptions!$H$184="Detailed"),-Assumptions_Detailed!BT$164,IF(SUM($H$724:BT724)&gt;0,IF(SUM($H$737:BT737)&lt;$C$759,MAX($C$759-SUM($G$759:BS759),BT737),BT737),0))</f>
        <v>0</v>
      </c>
      <c r="BU759" s="32">
        <f>IF(AND(Assumptions!$H$183="Yes",Assumptions!$H$184="Detailed"),-Assumptions_Detailed!BU$164,IF(SUM($H$724:BU724)&gt;0,IF(SUM($H$737:BU737)&lt;$C$759,MAX($C$759-SUM($G$759:BT759),BU737),BU737),0))</f>
        <v>0</v>
      </c>
      <c r="BV759" s="32">
        <f>IF(AND(Assumptions!$H$183="Yes",Assumptions!$H$184="Detailed"),-Assumptions_Detailed!BV$164,IF(SUM($H$724:BV724)&gt;0,IF(SUM($H$737:BV737)&lt;$C$759,MAX($C$759-SUM($G$759:BU759),BV737),BV737),0))</f>
        <v>0</v>
      </c>
      <c r="BW759" s="32">
        <f>IF(AND(Assumptions!$H$183="Yes",Assumptions!$H$184="Detailed"),-Assumptions_Detailed!BW$164,IF(SUM($H$724:BW724)&gt;0,IF(SUM($H$737:BW737)&lt;$C$759,MAX($C$759-SUM($G$759:BV759),BW737),BW737),0))</f>
        <v>0</v>
      </c>
      <c r="BX759" s="32">
        <f>IF(AND(Assumptions!$H$183="Yes",Assumptions!$H$184="Detailed"),-Assumptions_Detailed!BX$164,IF(SUM($H$724:BX724)&gt;0,IF(SUM($H$737:BX737)&lt;$C$759,MAX($C$759-SUM($G$759:BW759),BX737),BX737),0))</f>
        <v>0</v>
      </c>
      <c r="BY759" s="32">
        <f>IF(AND(Assumptions!$H$183="Yes",Assumptions!$H$184="Detailed"),-Assumptions_Detailed!BY$164,IF(SUM($H$724:BY724)&gt;0,IF(SUM($H$737:BY737)&lt;$C$759,MAX($C$759-SUM($G$759:BX759),BY737),BY737),0))</f>
        <v>0</v>
      </c>
    </row>
    <row r="760" spans="2:77" outlineLevel="1">
      <c r="BF760" s="33"/>
      <c r="BG760" s="33"/>
      <c r="BH760" s="33"/>
      <c r="BI760" s="33"/>
      <c r="BJ760" s="33"/>
      <c r="BK760" s="33"/>
      <c r="BL760" s="33"/>
      <c r="BM760" s="33"/>
      <c r="BN760" s="33"/>
      <c r="BO760" s="33"/>
      <c r="BP760" s="33"/>
      <c r="BQ760" s="33"/>
      <c r="BR760" s="33"/>
      <c r="BS760" s="33"/>
      <c r="BT760" s="33"/>
      <c r="BU760" s="33"/>
      <c r="BV760" s="33"/>
      <c r="BW760" s="33"/>
      <c r="BX760" s="33"/>
      <c r="BY760" s="33"/>
    </row>
    <row r="761" spans="2:77" outlineLevel="1">
      <c r="BF761" s="33"/>
      <c r="BG761" s="33"/>
      <c r="BH761" s="33"/>
      <c r="BI761" s="33"/>
      <c r="BJ761" s="33"/>
      <c r="BK761" s="33"/>
      <c r="BL761" s="33"/>
      <c r="BM761" s="33"/>
      <c r="BN761" s="33"/>
      <c r="BO761" s="33"/>
      <c r="BP761" s="33"/>
      <c r="BQ761" s="33"/>
      <c r="BR761" s="33"/>
      <c r="BS761" s="33"/>
      <c r="BT761" s="33"/>
      <c r="BU761" s="33"/>
      <c r="BV761" s="33"/>
      <c r="BW761" s="33"/>
      <c r="BX761" s="33"/>
      <c r="BY761" s="33"/>
    </row>
    <row r="762" spans="2:77" ht="15" outlineLevel="1">
      <c r="C762" s="22" t="s">
        <v>497</v>
      </c>
      <c r="D762" s="31"/>
    </row>
    <row r="763" spans="2:77" ht="15" outlineLevel="1">
      <c r="C763" s="68" t="str">
        <f>+Assumptions!$G$194</f>
        <v>Equity-first</v>
      </c>
      <c r="D763" s="28"/>
      <c r="E763" s="22" t="s">
        <v>457</v>
      </c>
      <c r="H763" s="32"/>
      <c r="BF763" s="33"/>
      <c r="BG763" s="33"/>
      <c r="BH763" s="33"/>
      <c r="BI763" s="33"/>
      <c r="BJ763" s="33"/>
      <c r="BK763" s="33"/>
      <c r="BL763" s="33"/>
      <c r="BM763" s="33"/>
      <c r="BN763" s="33"/>
      <c r="BO763" s="33"/>
      <c r="BP763" s="33"/>
      <c r="BQ763" s="33"/>
      <c r="BR763" s="33"/>
      <c r="BS763" s="33"/>
      <c r="BT763" s="33"/>
      <c r="BU763" s="33"/>
      <c r="BV763" s="33"/>
      <c r="BW763" s="33"/>
      <c r="BX763" s="33"/>
      <c r="BY763" s="33"/>
    </row>
    <row r="764" spans="2:77" outlineLevel="1">
      <c r="C764" s="68" t="str">
        <f>+Assumptions!$G$195</f>
        <v>Annuity</v>
      </c>
      <c r="D764" s="28"/>
      <c r="E764" t="s">
        <v>458</v>
      </c>
      <c r="F764" s="80" t="str">
        <f>+Assumptions!$G$8</f>
        <v>USD</v>
      </c>
      <c r="H764" s="32">
        <f>IF(AND(Assumptions!$H$183="Yes",Assumptions!$H$184="Detailed"),-Assumptions_Detailed!H$167,MAX(IFERROR(H737-H759,0),$C$767-SUM($G$764:G764)))</f>
        <v>0</v>
      </c>
      <c r="I764" s="32">
        <f>IF(AND(Assumptions!$H$183="Yes",Assumptions!$H$184="Detailed"),-Assumptions_Detailed!I$167,MAX(IFERROR(I737-I759,0),$C$767-SUM($G$764:H764)))</f>
        <v>-168413.59193947204</v>
      </c>
      <c r="J764" s="32">
        <f>IF(AND(Assumptions!$H$183="Yes",Assumptions!$H$184="Detailed"),-Assumptions_Detailed!J$167,MAX(IFERROR(J737-J759,0),$C$767-SUM($G$764:I764)))</f>
        <v>-435994.57811741502</v>
      </c>
      <c r="K764" s="32">
        <f>IF(AND(Assumptions!$H$183="Yes",Assumptions!$H$184="Detailed"),-Assumptions_Detailed!K$167,MAX(IFERROR(K737-K759,0),$C$767-SUM($G$764:J764)))</f>
        <v>0</v>
      </c>
      <c r="L764" s="32">
        <f>IF(AND(Assumptions!$H$183="Yes",Assumptions!$H$184="Detailed"),-Assumptions_Detailed!L$167,MAX(IFERROR(L737-L759,0),$C$767-SUM($G$764:K764)))</f>
        <v>0</v>
      </c>
      <c r="M764" s="32">
        <f>IF(AND(Assumptions!$H$183="Yes",Assumptions!$H$184="Detailed"),-Assumptions_Detailed!M$167,MAX(IFERROR(M737-M759,0),$C$767-SUM($G$764:L764)))</f>
        <v>0</v>
      </c>
      <c r="N764" s="32">
        <f>IF(AND(Assumptions!$H$183="Yes",Assumptions!$H$184="Detailed"),-Assumptions_Detailed!N$167,MAX(IFERROR(N737-N759,0),$C$767-SUM($G$764:M764)))</f>
        <v>0</v>
      </c>
      <c r="O764" s="32">
        <f>IF(AND(Assumptions!$H$183="Yes",Assumptions!$H$184="Detailed"),-Assumptions_Detailed!O$167,MAX(IFERROR(O737-O759,0),$C$767-SUM($G$764:N764)))</f>
        <v>0</v>
      </c>
      <c r="P764" s="32">
        <f>IF(AND(Assumptions!$H$183="Yes",Assumptions!$H$184="Detailed"),-Assumptions_Detailed!P$167,MAX(IFERROR(P737-P759,0),$C$767-SUM($G$764:O764)))</f>
        <v>0</v>
      </c>
      <c r="Q764" s="32">
        <f>IF(AND(Assumptions!$H$183="Yes",Assumptions!$H$184="Detailed"),-Assumptions_Detailed!Q$167,MAX(IFERROR(Q737-Q759,0),$C$767-SUM($G$764:P764)))</f>
        <v>0</v>
      </c>
      <c r="R764" s="32">
        <f>IF(AND(Assumptions!$H$183="Yes",Assumptions!$H$184="Detailed"),-Assumptions_Detailed!R$167,MAX(IFERROR(R737-R759,0),$C$767-SUM($G$764:Q764)))</f>
        <v>0</v>
      </c>
      <c r="S764" s="32">
        <f>IF(AND(Assumptions!$H$183="Yes",Assumptions!$H$184="Detailed"),-Assumptions_Detailed!S$167,MAX(IFERROR(S737-S759,0),$C$767-SUM($G$764:R764)))</f>
        <v>0</v>
      </c>
      <c r="T764" s="32">
        <f>IF(AND(Assumptions!$H$183="Yes",Assumptions!$H$184="Detailed"),-Assumptions_Detailed!T$167,MAX(IFERROR(T737-T759,0),$C$767-SUM($G$764:S764)))</f>
        <v>0</v>
      </c>
      <c r="U764" s="32">
        <f>IF(AND(Assumptions!$H$183="Yes",Assumptions!$H$184="Detailed"),-Assumptions_Detailed!U$167,MAX(IFERROR(U737-U759,0),$C$767-SUM($G$764:T764)))</f>
        <v>0</v>
      </c>
      <c r="V764" s="32">
        <f>IF(AND(Assumptions!$H$183="Yes",Assumptions!$H$184="Detailed"),-Assumptions_Detailed!V$167,MAX(IFERROR(V737-V759,0),$C$767-SUM($G$764:U764)))</f>
        <v>0</v>
      </c>
      <c r="W764" s="32">
        <f>IF(AND(Assumptions!$H$183="Yes",Assumptions!$H$184="Detailed"),-Assumptions_Detailed!W$167,MAX(IFERROR(W737-W759,0),$C$767-SUM($G$764:V764)))</f>
        <v>0</v>
      </c>
      <c r="X764" s="32">
        <f>IF(AND(Assumptions!$H$183="Yes",Assumptions!$H$184="Detailed"),-Assumptions_Detailed!X$167,MAX(IFERROR(X737-X759,0),$C$767-SUM($G$764:W764)))</f>
        <v>0</v>
      </c>
      <c r="Y764" s="32">
        <f>IF(AND(Assumptions!$H$183="Yes",Assumptions!$H$184="Detailed"),-Assumptions_Detailed!Y$167,MAX(IFERROR(Y737-Y759,0),$C$767-SUM($G$764:X764)))</f>
        <v>0</v>
      </c>
      <c r="Z764" s="32">
        <f>IF(AND(Assumptions!$H$183="Yes",Assumptions!$H$184="Detailed"),-Assumptions_Detailed!Z$167,MAX(IFERROR(Z737-Z759,0),$C$767-SUM($G$764:Y764)))</f>
        <v>0</v>
      </c>
      <c r="AA764" s="32">
        <f>IF(AND(Assumptions!$H$183="Yes",Assumptions!$H$184="Detailed"),-Assumptions_Detailed!AA$167,MAX(IFERROR(AA737-AA759,0),$C$767-SUM($G$764:Z764)))</f>
        <v>0</v>
      </c>
      <c r="AB764" s="32">
        <f>IF(AND(Assumptions!$H$183="Yes",Assumptions!$H$184="Detailed"),-Assumptions_Detailed!AB$167,MAX(IFERROR(AB737-AB759,0),$C$767-SUM($G$764:AA764)))</f>
        <v>0</v>
      </c>
      <c r="AC764" s="32">
        <f>IF(AND(Assumptions!$H$183="Yes",Assumptions!$H$184="Detailed"),-Assumptions_Detailed!AC$167,MAX(IFERROR(AC737-AC759,0),$C$767-SUM($G$764:AB764)))</f>
        <v>0</v>
      </c>
      <c r="AD764" s="32">
        <f>IF(AND(Assumptions!$H$183="Yes",Assumptions!$H$184="Detailed"),-Assumptions_Detailed!AD$167,MAX(IFERROR(AD737-AD759,0),$C$767-SUM($G$764:AC764)))</f>
        <v>0</v>
      </c>
      <c r="AE764" s="32">
        <f>IF(AND(Assumptions!$H$183="Yes",Assumptions!$H$184="Detailed"),-Assumptions_Detailed!AE$167,MAX(IFERROR(AE737-AE759,0),$C$767-SUM($G$764:AD764)))</f>
        <v>0</v>
      </c>
      <c r="AF764" s="32">
        <f>IF(AND(Assumptions!$H$183="Yes",Assumptions!$H$184="Detailed"),-Assumptions_Detailed!AF$167,MAX(IFERROR(AF737-AF759,0),$C$767-SUM($G$764:AE764)))</f>
        <v>0</v>
      </c>
      <c r="AG764" s="32">
        <f>IF(AND(Assumptions!$H$183="Yes",Assumptions!$H$184="Detailed"),-Assumptions_Detailed!AG$167,MAX(IFERROR(AG737-AG759,0),$C$767-SUM($G$764:AF764)))</f>
        <v>0</v>
      </c>
      <c r="AH764" s="32">
        <f>IF(AND(Assumptions!$H$183="Yes",Assumptions!$H$184="Detailed"),-Assumptions_Detailed!AH$167,MAX(IFERROR(AH737-AH759,0),$C$767-SUM($G$764:AG764)))</f>
        <v>0</v>
      </c>
      <c r="AI764" s="32">
        <f>IF(AND(Assumptions!$H$183="Yes",Assumptions!$H$184="Detailed"),-Assumptions_Detailed!AI$167,MAX(IFERROR(AI737-AI759,0),$C$767-SUM($G$764:AH764)))</f>
        <v>0</v>
      </c>
      <c r="AJ764" s="32">
        <f>IF(AND(Assumptions!$H$183="Yes",Assumptions!$H$184="Detailed"),-Assumptions_Detailed!AJ$167,MAX(IFERROR(AJ737-AJ759,0),$C$767-SUM($G$764:AI764)))</f>
        <v>0</v>
      </c>
      <c r="AK764" s="32">
        <f>IF(AND(Assumptions!$H$183="Yes",Assumptions!$H$184="Detailed"),-Assumptions_Detailed!AK$167,MAX(IFERROR(AK737-AK759,0),$C$767-SUM($G$764:AJ764)))</f>
        <v>0</v>
      </c>
      <c r="AL764" s="32">
        <f>IF(AND(Assumptions!$H$183="Yes",Assumptions!$H$184="Detailed"),-Assumptions_Detailed!AL$167,MAX(IFERROR(AL737-AL759,0),$C$767-SUM($G$764:AK764)))</f>
        <v>0</v>
      </c>
      <c r="AM764" s="32">
        <f>IF(AND(Assumptions!$H$183="Yes",Assumptions!$H$184="Detailed"),-Assumptions_Detailed!AM$167,MAX(IFERROR(AM737-AM759,0),$C$767-SUM($G$764:AL764)))</f>
        <v>0</v>
      </c>
      <c r="AN764" s="32">
        <f>IF(AND(Assumptions!$H$183="Yes",Assumptions!$H$184="Detailed"),-Assumptions_Detailed!AN$167,MAX(IFERROR(AN737-AN759,0),$C$767-SUM($G$764:AM764)))</f>
        <v>0</v>
      </c>
      <c r="AO764" s="32">
        <f>IF(AND(Assumptions!$H$183="Yes",Assumptions!$H$184="Detailed"),-Assumptions_Detailed!AO$167,MAX(IFERROR(AO737-AO759,0),$C$767-SUM($G$764:AN764)))</f>
        <v>0</v>
      </c>
      <c r="AP764" s="32">
        <f>IF(AND(Assumptions!$H$183="Yes",Assumptions!$H$184="Detailed"),-Assumptions_Detailed!AP$167,MAX(IFERROR(AP737-AP759,0),$C$767-SUM($G$764:AO764)))</f>
        <v>0</v>
      </c>
      <c r="AQ764" s="32">
        <f>IF(AND(Assumptions!$H$183="Yes",Assumptions!$H$184="Detailed"),-Assumptions_Detailed!AQ$167,MAX(IFERROR(AQ737-AQ759,0),$C$767-SUM($G$764:AP764)))</f>
        <v>0</v>
      </c>
      <c r="AR764" s="32">
        <f>IF(AND(Assumptions!$H$183="Yes",Assumptions!$H$184="Detailed"),-Assumptions_Detailed!AR$167,MAX(IFERROR(AR737-AR759,0),$C$767-SUM($G$764:AQ764)))</f>
        <v>0</v>
      </c>
      <c r="AS764" s="32">
        <f>IF(AND(Assumptions!$H$183="Yes",Assumptions!$H$184="Detailed"),-Assumptions_Detailed!AS$167,MAX(IFERROR(AS737-AS759,0),$C$767-SUM($G$764:AR764)))</f>
        <v>0</v>
      </c>
      <c r="AT764" s="32">
        <f>IF(AND(Assumptions!$H$183="Yes",Assumptions!$H$184="Detailed"),-Assumptions_Detailed!AT$167,MAX(IFERROR(AT737-AT759,0),$C$767-SUM($G$764:AS764)))</f>
        <v>0</v>
      </c>
      <c r="AU764" s="32">
        <f>IF(AND(Assumptions!$H$183="Yes",Assumptions!$H$184="Detailed"),-Assumptions_Detailed!AU$167,MAX(IFERROR(AU737-AU759,0),$C$767-SUM($G$764:AT764)))</f>
        <v>0</v>
      </c>
      <c r="AV764" s="32">
        <f>IF(AND(Assumptions!$H$183="Yes",Assumptions!$H$184="Detailed"),-Assumptions_Detailed!AV$167,MAX(IFERROR(AV737-AV759,0),$C$767-SUM($G$764:AU764)))</f>
        <v>0</v>
      </c>
      <c r="AW764" s="32">
        <f>IF(AND(Assumptions!$H$183="Yes",Assumptions!$H$184="Detailed"),-Assumptions_Detailed!AW$167,MAX(IFERROR(AW737-AW759,0),$C$767-SUM($G$764:AV764)))</f>
        <v>0</v>
      </c>
      <c r="AX764" s="32">
        <f>IF(AND(Assumptions!$H$183="Yes",Assumptions!$H$184="Detailed"),-Assumptions_Detailed!AX$167,MAX(IFERROR(AX737-AX759,0),$C$767-SUM($G$764:AW764)))</f>
        <v>0</v>
      </c>
      <c r="AY764" s="32">
        <f>IF(AND(Assumptions!$H$183="Yes",Assumptions!$H$184="Detailed"),-Assumptions_Detailed!AY$167,MAX(IFERROR(AY737-AY759,0),$C$767-SUM($G$764:AX764)))</f>
        <v>0</v>
      </c>
      <c r="AZ764" s="32">
        <f>IF(AND(Assumptions!$H$183="Yes",Assumptions!$H$184="Detailed"),-Assumptions_Detailed!AZ$167,MAX(IFERROR(AZ737-AZ759,0),$C$767-SUM($G$764:AY764)))</f>
        <v>0</v>
      </c>
      <c r="BA764" s="32">
        <f>IF(AND(Assumptions!$H$183="Yes",Assumptions!$H$184="Detailed"),-Assumptions_Detailed!BA$167,MAX(IFERROR(BA737-BA759,0),$C$767-SUM($G$764:AZ764)))</f>
        <v>0</v>
      </c>
      <c r="BB764" s="32">
        <f>IF(AND(Assumptions!$H$183="Yes",Assumptions!$H$184="Detailed"),-Assumptions_Detailed!BB$167,MAX(IFERROR(BB737-BB759,0),$C$767-SUM($G$764:BA764)))</f>
        <v>0</v>
      </c>
      <c r="BC764" s="32">
        <f>IF(AND(Assumptions!$H$183="Yes",Assumptions!$H$184="Detailed"),-Assumptions_Detailed!BC$167,MAX(IFERROR(BC737-BC759,0),$C$767-SUM($G$764:BB764)))</f>
        <v>0</v>
      </c>
      <c r="BD764" s="32">
        <f>IF(AND(Assumptions!$H$183="Yes",Assumptions!$H$184="Detailed"),-Assumptions_Detailed!BD$167,MAX(IFERROR(BD737-BD759,0),$C$767-SUM($G$764:BC764)))</f>
        <v>0</v>
      </c>
      <c r="BE764" s="32">
        <f>IF(AND(Assumptions!$H$183="Yes",Assumptions!$H$184="Detailed"),-Assumptions_Detailed!BE$167,MAX(IFERROR(BE737-BE759,0),$C$767-SUM($G$764:BD764)))</f>
        <v>0</v>
      </c>
      <c r="BF764" s="32">
        <f>IF(AND(Assumptions!$H$183="Yes",Assumptions!$H$184="Detailed"),-Assumptions_Detailed!BF$167,MAX(IFERROR(BF737-BF759,0),$C$767-SUM($G$764:BE764)))</f>
        <v>0</v>
      </c>
      <c r="BG764" s="32">
        <f>IF(AND(Assumptions!$H$183="Yes",Assumptions!$H$184="Detailed"),-Assumptions_Detailed!BG$167,MAX(IFERROR(BG737-BG759,0),$C$767-SUM($G$764:BF764)))</f>
        <v>0</v>
      </c>
      <c r="BH764" s="32">
        <f>IF(AND(Assumptions!$H$183="Yes",Assumptions!$H$184="Detailed"),-Assumptions_Detailed!BH$167,MAX(IFERROR(BH737-BH759,0),$C$767-SUM($G$764:BG764)))</f>
        <v>0</v>
      </c>
      <c r="BI764" s="32">
        <f>IF(AND(Assumptions!$H$183="Yes",Assumptions!$H$184="Detailed"),-Assumptions_Detailed!BI$167,MAX(IFERROR(BI737-BI759,0),$C$767-SUM($G$764:BH764)))</f>
        <v>0</v>
      </c>
      <c r="BJ764" s="32">
        <f>IF(AND(Assumptions!$H$183="Yes",Assumptions!$H$184="Detailed"),-Assumptions_Detailed!BJ$167,MAX(IFERROR(BJ737-BJ759,0),$C$767-SUM($G$764:BI764)))</f>
        <v>0</v>
      </c>
      <c r="BK764" s="32">
        <f>IF(AND(Assumptions!$H$183="Yes",Assumptions!$H$184="Detailed"),-Assumptions_Detailed!BK$167,MAX(IFERROR(BK737-BK759,0),$C$767-SUM($G$764:BJ764)))</f>
        <v>0</v>
      </c>
      <c r="BL764" s="32">
        <f>IF(AND(Assumptions!$H$183="Yes",Assumptions!$H$184="Detailed"),-Assumptions_Detailed!BL$167,MAX(IFERROR(BL737-BL759,0),$C$767-SUM($G$764:BK764)))</f>
        <v>0</v>
      </c>
      <c r="BM764" s="32">
        <f>IF(AND(Assumptions!$H$183="Yes",Assumptions!$H$184="Detailed"),-Assumptions_Detailed!BM$167,MAX(IFERROR(BM737-BM759,0),$C$767-SUM($G$764:BL764)))</f>
        <v>0</v>
      </c>
      <c r="BN764" s="32">
        <f>IF(AND(Assumptions!$H$183="Yes",Assumptions!$H$184="Detailed"),-Assumptions_Detailed!BN$167,MAX(IFERROR(BN737-BN759,0),$C$767-SUM($G$764:BM764)))</f>
        <v>0</v>
      </c>
      <c r="BO764" s="32">
        <f>IF(AND(Assumptions!$H$183="Yes",Assumptions!$H$184="Detailed"),-Assumptions_Detailed!BO$167,MAX(IFERROR(BO737-BO759,0),$C$767-SUM($G$764:BN764)))</f>
        <v>0</v>
      </c>
      <c r="BP764" s="32">
        <f>IF(AND(Assumptions!$H$183="Yes",Assumptions!$H$184="Detailed"),-Assumptions_Detailed!BP$167,MAX(IFERROR(BP737-BP759,0),$C$767-SUM($G$764:BO764)))</f>
        <v>0</v>
      </c>
      <c r="BQ764" s="32">
        <f>IF(AND(Assumptions!$H$183="Yes",Assumptions!$H$184="Detailed"),-Assumptions_Detailed!BQ$167,MAX(IFERROR(BQ737-BQ759,0),$C$767-SUM($G$764:BP764)))</f>
        <v>0</v>
      </c>
      <c r="BR764" s="32">
        <f>IF(AND(Assumptions!$H$183="Yes",Assumptions!$H$184="Detailed"),-Assumptions_Detailed!BR$167,MAX(IFERROR(BR737-BR759,0),$C$767-SUM($G$764:BQ764)))</f>
        <v>0</v>
      </c>
      <c r="BS764" s="32">
        <f>IF(AND(Assumptions!$H$183="Yes",Assumptions!$H$184="Detailed"),-Assumptions_Detailed!BS$167,MAX(IFERROR(BS737-BS759,0),$C$767-SUM($G$764:BR764)))</f>
        <v>0</v>
      </c>
      <c r="BT764" s="32">
        <f>IF(AND(Assumptions!$H$183="Yes",Assumptions!$H$184="Detailed"),-Assumptions_Detailed!BT$167,MAX(IFERROR(BT737-BT759,0),$C$767-SUM($G$764:BS764)))</f>
        <v>0</v>
      </c>
      <c r="BU764" s="32">
        <f>IF(AND(Assumptions!$H$183="Yes",Assumptions!$H$184="Detailed"),-Assumptions_Detailed!BU$167,MAX(IFERROR(BU737-BU759,0),$C$767-SUM($G$764:BT764)))</f>
        <v>0</v>
      </c>
      <c r="BV764" s="32">
        <f>IF(AND(Assumptions!$H$183="Yes",Assumptions!$H$184="Detailed"),-Assumptions_Detailed!BV$167,MAX(IFERROR(BV737-BV759,0),$C$767-SUM($G$764:BU764)))</f>
        <v>0</v>
      </c>
      <c r="BW764" s="32">
        <f>IF(AND(Assumptions!$H$183="Yes",Assumptions!$H$184="Detailed"),-Assumptions_Detailed!BW$167,MAX(IFERROR(BW737-BW759,0),$C$767-SUM($G$764:BV764)))</f>
        <v>0</v>
      </c>
      <c r="BX764" s="32">
        <f>IF(AND(Assumptions!$H$183="Yes",Assumptions!$H$184="Detailed"),-Assumptions_Detailed!BX$167,MAX(IFERROR(BX737-BX759,0),$C$767-SUM($G$764:BW764)))</f>
        <v>0</v>
      </c>
      <c r="BY764" s="32">
        <f>IF(AND(Assumptions!$H$183="Yes",Assumptions!$H$184="Detailed"),-Assumptions_Detailed!BY$167,MAX(IFERROR(BY737-BY759,0),$C$767-SUM($G$764:BX764)))</f>
        <v>0</v>
      </c>
    </row>
    <row r="765" spans="2:77" outlineLevel="1">
      <c r="D765" s="31"/>
      <c r="BF765" s="33"/>
      <c r="BG765" s="33"/>
      <c r="BH765" s="33"/>
      <c r="BI765" s="33"/>
      <c r="BJ765" s="33"/>
      <c r="BK765" s="33"/>
      <c r="BL765" s="33"/>
      <c r="BM765" s="33"/>
      <c r="BN765" s="33"/>
      <c r="BO765" s="33"/>
      <c r="BP765" s="33"/>
      <c r="BQ765" s="33"/>
      <c r="BR765" s="33"/>
      <c r="BS765" s="33"/>
      <c r="BT765" s="33"/>
      <c r="BU765" s="33"/>
      <c r="BV765" s="33"/>
      <c r="BW765" s="33"/>
      <c r="BX765" s="33"/>
      <c r="BY765" s="33"/>
    </row>
    <row r="766" spans="2:77" ht="15" outlineLevel="1">
      <c r="C766" s="22" t="s">
        <v>498</v>
      </c>
      <c r="D766" s="31"/>
      <c r="BF766" s="33"/>
      <c r="BG766" s="33"/>
      <c r="BH766" s="33"/>
      <c r="BI766" s="33"/>
      <c r="BJ766" s="33"/>
      <c r="BK766" s="33"/>
      <c r="BL766" s="33"/>
      <c r="BM766" s="33"/>
      <c r="BN766" s="33"/>
      <c r="BO766" s="33"/>
      <c r="BP766" s="33"/>
      <c r="BQ766" s="33"/>
      <c r="BR766" s="33"/>
      <c r="BS766" s="33"/>
      <c r="BT766" s="33"/>
      <c r="BU766" s="33"/>
      <c r="BV766" s="33"/>
      <c r="BW766" s="33"/>
      <c r="BX766" s="33"/>
      <c r="BY766" s="33"/>
    </row>
    <row r="767" spans="2:77" outlineLevel="1">
      <c r="C767" s="94">
        <f>+Assumptions!$H$188*C735</f>
        <v>-604408.17005688709</v>
      </c>
      <c r="D767" s="31"/>
      <c r="BF767" s="33"/>
      <c r="BG767" s="33"/>
      <c r="BH767" s="33"/>
      <c r="BI767" s="33"/>
      <c r="BJ767" s="33"/>
      <c r="BK767" s="33"/>
      <c r="BL767" s="33"/>
      <c r="BM767" s="33"/>
      <c r="BN767" s="33"/>
      <c r="BO767" s="33"/>
      <c r="BP767" s="33"/>
      <c r="BQ767" s="33"/>
      <c r="BR767" s="33"/>
      <c r="BS767" s="33"/>
      <c r="BT767" s="33"/>
      <c r="BU767" s="33"/>
      <c r="BV767" s="33"/>
      <c r="BW767" s="33"/>
      <c r="BX767" s="33"/>
      <c r="BY767" s="33"/>
    </row>
    <row r="768" spans="2:77" outlineLevel="1">
      <c r="D768" s="31"/>
      <c r="E768" t="s">
        <v>499</v>
      </c>
      <c r="F768" s="23" t="s">
        <v>500</v>
      </c>
      <c r="G768" s="33"/>
      <c r="H768" s="33">
        <f>+IF(AND(H$764=$C770,H$764&lt;0),1,0)</f>
        <v>0</v>
      </c>
      <c r="I768" s="33">
        <f t="shared" ref="I768:BT768" si="1524">+IF(AND(I$764=$C770,I$764&lt;0),1,0)</f>
        <v>1</v>
      </c>
      <c r="J768" s="33">
        <f t="shared" si="1524"/>
        <v>0</v>
      </c>
      <c r="K768" s="33">
        <f t="shared" si="1524"/>
        <v>0</v>
      </c>
      <c r="L768" s="33">
        <f t="shared" si="1524"/>
        <v>0</v>
      </c>
      <c r="M768" s="33">
        <f t="shared" si="1524"/>
        <v>0</v>
      </c>
      <c r="N768" s="33">
        <f t="shared" si="1524"/>
        <v>0</v>
      </c>
      <c r="O768" s="33">
        <f t="shared" si="1524"/>
        <v>0</v>
      </c>
      <c r="P768" s="33">
        <f t="shared" si="1524"/>
        <v>0</v>
      </c>
      <c r="Q768" s="33">
        <f t="shared" si="1524"/>
        <v>0</v>
      </c>
      <c r="R768" s="33">
        <f t="shared" si="1524"/>
        <v>0</v>
      </c>
      <c r="S768" s="33">
        <f t="shared" si="1524"/>
        <v>0</v>
      </c>
      <c r="T768" s="33">
        <f t="shared" si="1524"/>
        <v>0</v>
      </c>
      <c r="U768" s="33">
        <f t="shared" si="1524"/>
        <v>0</v>
      </c>
      <c r="V768" s="33">
        <f t="shared" si="1524"/>
        <v>0</v>
      </c>
      <c r="W768" s="33">
        <f t="shared" si="1524"/>
        <v>0</v>
      </c>
      <c r="X768" s="33">
        <f t="shared" si="1524"/>
        <v>0</v>
      </c>
      <c r="Y768" s="33">
        <f t="shared" si="1524"/>
        <v>0</v>
      </c>
      <c r="Z768" s="33">
        <f t="shared" si="1524"/>
        <v>0</v>
      </c>
      <c r="AA768" s="33">
        <f t="shared" si="1524"/>
        <v>0</v>
      </c>
      <c r="AB768" s="33">
        <f t="shared" si="1524"/>
        <v>0</v>
      </c>
      <c r="AC768" s="33">
        <f t="shared" si="1524"/>
        <v>0</v>
      </c>
      <c r="AD768" s="33">
        <f t="shared" si="1524"/>
        <v>0</v>
      </c>
      <c r="AE768" s="33">
        <f t="shared" si="1524"/>
        <v>0</v>
      </c>
      <c r="AF768" s="33">
        <f t="shared" si="1524"/>
        <v>0</v>
      </c>
      <c r="AG768" s="33">
        <f t="shared" si="1524"/>
        <v>0</v>
      </c>
      <c r="AH768" s="33">
        <f t="shared" si="1524"/>
        <v>0</v>
      </c>
      <c r="AI768" s="33">
        <f t="shared" si="1524"/>
        <v>0</v>
      </c>
      <c r="AJ768" s="33">
        <f t="shared" si="1524"/>
        <v>0</v>
      </c>
      <c r="AK768" s="33">
        <f t="shared" si="1524"/>
        <v>0</v>
      </c>
      <c r="AL768" s="33">
        <f t="shared" si="1524"/>
        <v>0</v>
      </c>
      <c r="AM768" s="33">
        <f t="shared" si="1524"/>
        <v>0</v>
      </c>
      <c r="AN768" s="33">
        <f t="shared" si="1524"/>
        <v>0</v>
      </c>
      <c r="AO768" s="33">
        <f t="shared" si="1524"/>
        <v>0</v>
      </c>
      <c r="AP768" s="33">
        <f t="shared" si="1524"/>
        <v>0</v>
      </c>
      <c r="AQ768" s="33">
        <f t="shared" si="1524"/>
        <v>0</v>
      </c>
      <c r="AR768" s="33">
        <f t="shared" si="1524"/>
        <v>0</v>
      </c>
      <c r="AS768" s="33">
        <f t="shared" si="1524"/>
        <v>0</v>
      </c>
      <c r="AT768" s="33">
        <f t="shared" si="1524"/>
        <v>0</v>
      </c>
      <c r="AU768" s="33">
        <f t="shared" si="1524"/>
        <v>0</v>
      </c>
      <c r="AV768" s="33">
        <f t="shared" si="1524"/>
        <v>0</v>
      </c>
      <c r="AW768" s="33">
        <f t="shared" si="1524"/>
        <v>0</v>
      </c>
      <c r="AX768" s="33">
        <f t="shared" si="1524"/>
        <v>0</v>
      </c>
      <c r="AY768" s="33">
        <f t="shared" si="1524"/>
        <v>0</v>
      </c>
      <c r="AZ768" s="33">
        <f t="shared" si="1524"/>
        <v>0</v>
      </c>
      <c r="BA768" s="33">
        <f t="shared" si="1524"/>
        <v>0</v>
      </c>
      <c r="BB768" s="33">
        <f t="shared" si="1524"/>
        <v>0</v>
      </c>
      <c r="BC768" s="33">
        <f t="shared" si="1524"/>
        <v>0</v>
      </c>
      <c r="BD768" s="33">
        <f t="shared" si="1524"/>
        <v>0</v>
      </c>
      <c r="BE768" s="33">
        <f t="shared" si="1524"/>
        <v>0</v>
      </c>
      <c r="BF768" s="33">
        <f t="shared" si="1524"/>
        <v>0</v>
      </c>
      <c r="BG768" s="33">
        <f t="shared" si="1524"/>
        <v>0</v>
      </c>
      <c r="BH768" s="33">
        <f t="shared" si="1524"/>
        <v>0</v>
      </c>
      <c r="BI768" s="33">
        <f t="shared" si="1524"/>
        <v>0</v>
      </c>
      <c r="BJ768" s="33">
        <f t="shared" si="1524"/>
        <v>0</v>
      </c>
      <c r="BK768" s="33">
        <f t="shared" si="1524"/>
        <v>0</v>
      </c>
      <c r="BL768" s="33">
        <f t="shared" si="1524"/>
        <v>0</v>
      </c>
      <c r="BM768" s="33">
        <f t="shared" si="1524"/>
        <v>0</v>
      </c>
      <c r="BN768" s="33">
        <f t="shared" si="1524"/>
        <v>0</v>
      </c>
      <c r="BO768" s="33">
        <f t="shared" si="1524"/>
        <v>0</v>
      </c>
      <c r="BP768" s="33">
        <f t="shared" si="1524"/>
        <v>0</v>
      </c>
      <c r="BQ768" s="33">
        <f t="shared" si="1524"/>
        <v>0</v>
      </c>
      <c r="BR768" s="33">
        <f t="shared" si="1524"/>
        <v>0</v>
      </c>
      <c r="BS768" s="33">
        <f t="shared" si="1524"/>
        <v>0</v>
      </c>
      <c r="BT768" s="33">
        <f t="shared" si="1524"/>
        <v>0</v>
      </c>
      <c r="BU768" s="33">
        <f t="shared" ref="BU768:BY768" si="1525">+IF(AND(BU$764=$C770,BU$764&lt;0),1,0)</f>
        <v>0</v>
      </c>
      <c r="BV768" s="33">
        <f t="shared" si="1525"/>
        <v>0</v>
      </c>
      <c r="BW768" s="33">
        <f t="shared" si="1525"/>
        <v>0</v>
      </c>
      <c r="BX768" s="33">
        <f t="shared" si="1525"/>
        <v>0</v>
      </c>
      <c r="BY768" s="33">
        <f t="shared" si="1525"/>
        <v>0</v>
      </c>
    </row>
    <row r="769" spans="3:77" ht="15" outlineLevel="1">
      <c r="C769" s="22" t="s">
        <v>501</v>
      </c>
      <c r="D769" s="31"/>
      <c r="E769" t="s">
        <v>502</v>
      </c>
      <c r="F769" s="23" t="s">
        <v>500</v>
      </c>
      <c r="H769" s="33">
        <f t="shared" ref="H769:BS769" si="1526">+IF(AND(H$764=$C771,H$764&lt;0),1,0)</f>
        <v>0</v>
      </c>
      <c r="I769" s="33">
        <f t="shared" si="1526"/>
        <v>0</v>
      </c>
      <c r="J769" s="33">
        <f t="shared" si="1526"/>
        <v>1</v>
      </c>
      <c r="K769" s="33">
        <f t="shared" si="1526"/>
        <v>0</v>
      </c>
      <c r="L769" s="33">
        <f t="shared" si="1526"/>
        <v>0</v>
      </c>
      <c r="M769" s="33">
        <f t="shared" si="1526"/>
        <v>0</v>
      </c>
      <c r="N769" s="33">
        <f t="shared" si="1526"/>
        <v>0</v>
      </c>
      <c r="O769" s="33">
        <f t="shared" si="1526"/>
        <v>0</v>
      </c>
      <c r="P769" s="33">
        <f t="shared" si="1526"/>
        <v>0</v>
      </c>
      <c r="Q769" s="33">
        <f t="shared" si="1526"/>
        <v>0</v>
      </c>
      <c r="R769" s="33">
        <f t="shared" si="1526"/>
        <v>0</v>
      </c>
      <c r="S769" s="33">
        <f t="shared" si="1526"/>
        <v>0</v>
      </c>
      <c r="T769" s="33">
        <f t="shared" si="1526"/>
        <v>0</v>
      </c>
      <c r="U769" s="33">
        <f t="shared" si="1526"/>
        <v>0</v>
      </c>
      <c r="V769" s="33">
        <f t="shared" si="1526"/>
        <v>0</v>
      </c>
      <c r="W769" s="33">
        <f t="shared" si="1526"/>
        <v>0</v>
      </c>
      <c r="X769" s="33">
        <f t="shared" si="1526"/>
        <v>0</v>
      </c>
      <c r="Y769" s="33">
        <f t="shared" si="1526"/>
        <v>0</v>
      </c>
      <c r="Z769" s="33">
        <f t="shared" si="1526"/>
        <v>0</v>
      </c>
      <c r="AA769" s="33">
        <f t="shared" si="1526"/>
        <v>0</v>
      </c>
      <c r="AB769" s="33">
        <f t="shared" si="1526"/>
        <v>0</v>
      </c>
      <c r="AC769" s="33">
        <f t="shared" si="1526"/>
        <v>0</v>
      </c>
      <c r="AD769" s="33">
        <f t="shared" si="1526"/>
        <v>0</v>
      </c>
      <c r="AE769" s="33">
        <f t="shared" si="1526"/>
        <v>0</v>
      </c>
      <c r="AF769" s="33">
        <f t="shared" si="1526"/>
        <v>0</v>
      </c>
      <c r="AG769" s="33">
        <f t="shared" si="1526"/>
        <v>0</v>
      </c>
      <c r="AH769" s="33">
        <f t="shared" si="1526"/>
        <v>0</v>
      </c>
      <c r="AI769" s="33">
        <f t="shared" si="1526"/>
        <v>0</v>
      </c>
      <c r="AJ769" s="33">
        <f t="shared" si="1526"/>
        <v>0</v>
      </c>
      <c r="AK769" s="33">
        <f t="shared" si="1526"/>
        <v>0</v>
      </c>
      <c r="AL769" s="33">
        <f t="shared" si="1526"/>
        <v>0</v>
      </c>
      <c r="AM769" s="33">
        <f t="shared" si="1526"/>
        <v>0</v>
      </c>
      <c r="AN769" s="33">
        <f t="shared" si="1526"/>
        <v>0</v>
      </c>
      <c r="AO769" s="33">
        <f t="shared" si="1526"/>
        <v>0</v>
      </c>
      <c r="AP769" s="33">
        <f t="shared" si="1526"/>
        <v>0</v>
      </c>
      <c r="AQ769" s="33">
        <f t="shared" si="1526"/>
        <v>0</v>
      </c>
      <c r="AR769" s="33">
        <f t="shared" si="1526"/>
        <v>0</v>
      </c>
      <c r="AS769" s="33">
        <f t="shared" si="1526"/>
        <v>0</v>
      </c>
      <c r="AT769" s="33">
        <f t="shared" si="1526"/>
        <v>0</v>
      </c>
      <c r="AU769" s="33">
        <f t="shared" si="1526"/>
        <v>0</v>
      </c>
      <c r="AV769" s="33">
        <f t="shared" si="1526"/>
        <v>0</v>
      </c>
      <c r="AW769" s="33">
        <f t="shared" si="1526"/>
        <v>0</v>
      </c>
      <c r="AX769" s="33">
        <f t="shared" si="1526"/>
        <v>0</v>
      </c>
      <c r="AY769" s="33">
        <f t="shared" si="1526"/>
        <v>0</v>
      </c>
      <c r="AZ769" s="33">
        <f t="shared" si="1526"/>
        <v>0</v>
      </c>
      <c r="BA769" s="33">
        <f t="shared" si="1526"/>
        <v>0</v>
      </c>
      <c r="BB769" s="33">
        <f t="shared" si="1526"/>
        <v>0</v>
      </c>
      <c r="BC769" s="33">
        <f t="shared" si="1526"/>
        <v>0</v>
      </c>
      <c r="BD769" s="33">
        <f t="shared" si="1526"/>
        <v>0</v>
      </c>
      <c r="BE769" s="33">
        <f t="shared" si="1526"/>
        <v>0</v>
      </c>
      <c r="BF769" s="33">
        <f t="shared" si="1526"/>
        <v>0</v>
      </c>
      <c r="BG769" s="33">
        <f t="shared" si="1526"/>
        <v>0</v>
      </c>
      <c r="BH769" s="33">
        <f t="shared" si="1526"/>
        <v>0</v>
      </c>
      <c r="BI769" s="33">
        <f t="shared" si="1526"/>
        <v>0</v>
      </c>
      <c r="BJ769" s="33">
        <f t="shared" si="1526"/>
        <v>0</v>
      </c>
      <c r="BK769" s="33">
        <f t="shared" si="1526"/>
        <v>0</v>
      </c>
      <c r="BL769" s="33">
        <f t="shared" si="1526"/>
        <v>0</v>
      </c>
      <c r="BM769" s="33">
        <f t="shared" si="1526"/>
        <v>0</v>
      </c>
      <c r="BN769" s="33">
        <f t="shared" si="1526"/>
        <v>0</v>
      </c>
      <c r="BO769" s="33">
        <f t="shared" si="1526"/>
        <v>0</v>
      </c>
      <c r="BP769" s="33">
        <f t="shared" si="1526"/>
        <v>0</v>
      </c>
      <c r="BQ769" s="33">
        <f t="shared" si="1526"/>
        <v>0</v>
      </c>
      <c r="BR769" s="33">
        <f t="shared" si="1526"/>
        <v>0</v>
      </c>
      <c r="BS769" s="33">
        <f t="shared" si="1526"/>
        <v>0</v>
      </c>
      <c r="BT769" s="33">
        <f t="shared" ref="BT769:BY769" si="1527">+IF(AND(BT$764=$C771,BT$764&lt;0),1,0)</f>
        <v>0</v>
      </c>
      <c r="BU769" s="33">
        <f t="shared" si="1527"/>
        <v>0</v>
      </c>
      <c r="BV769" s="33">
        <f t="shared" si="1527"/>
        <v>0</v>
      </c>
      <c r="BW769" s="33">
        <f t="shared" si="1527"/>
        <v>0</v>
      </c>
      <c r="BX769" s="33">
        <f t="shared" si="1527"/>
        <v>0</v>
      </c>
      <c r="BY769" s="33">
        <f t="shared" si="1527"/>
        <v>0</v>
      </c>
    </row>
    <row r="770" spans="3:77" outlineLevel="1">
      <c r="C770" s="32" cm="1">
        <f t="array" ref="C770:C771">+TRANSPOSE(_xlfn._xlws.FILTER(H764:BY764,H764:BY764))</f>
        <v>-168413.59193947204</v>
      </c>
      <c r="D770" s="31"/>
      <c r="E770" t="s">
        <v>503</v>
      </c>
      <c r="F770" s="23" t="s">
        <v>500</v>
      </c>
      <c r="H770" s="33">
        <f t="shared" ref="H770:BS770" si="1528">+IF(AND(H$764=$C772,H$764&lt;0),1,0)</f>
        <v>0</v>
      </c>
      <c r="I770" s="33">
        <f t="shared" si="1528"/>
        <v>0</v>
      </c>
      <c r="J770" s="33">
        <f t="shared" si="1528"/>
        <v>0</v>
      </c>
      <c r="K770" s="33">
        <f t="shared" si="1528"/>
        <v>0</v>
      </c>
      <c r="L770" s="33">
        <f t="shared" si="1528"/>
        <v>0</v>
      </c>
      <c r="M770" s="33">
        <f t="shared" si="1528"/>
        <v>0</v>
      </c>
      <c r="N770" s="33">
        <f t="shared" si="1528"/>
        <v>0</v>
      </c>
      <c r="O770" s="33">
        <f t="shared" si="1528"/>
        <v>0</v>
      </c>
      <c r="P770" s="33">
        <f t="shared" si="1528"/>
        <v>0</v>
      </c>
      <c r="Q770" s="33">
        <f t="shared" si="1528"/>
        <v>0</v>
      </c>
      <c r="R770" s="33">
        <f t="shared" si="1528"/>
        <v>0</v>
      </c>
      <c r="S770" s="33">
        <f t="shared" si="1528"/>
        <v>0</v>
      </c>
      <c r="T770" s="33">
        <f t="shared" si="1528"/>
        <v>0</v>
      </c>
      <c r="U770" s="33">
        <f t="shared" si="1528"/>
        <v>0</v>
      </c>
      <c r="V770" s="33">
        <f t="shared" si="1528"/>
        <v>0</v>
      </c>
      <c r="W770" s="33">
        <f t="shared" si="1528"/>
        <v>0</v>
      </c>
      <c r="X770" s="33">
        <f t="shared" si="1528"/>
        <v>0</v>
      </c>
      <c r="Y770" s="33">
        <f t="shared" si="1528"/>
        <v>0</v>
      </c>
      <c r="Z770" s="33">
        <f t="shared" si="1528"/>
        <v>0</v>
      </c>
      <c r="AA770" s="33">
        <f t="shared" si="1528"/>
        <v>0</v>
      </c>
      <c r="AB770" s="33">
        <f t="shared" si="1528"/>
        <v>0</v>
      </c>
      <c r="AC770" s="33">
        <f t="shared" si="1528"/>
        <v>0</v>
      </c>
      <c r="AD770" s="33">
        <f t="shared" si="1528"/>
        <v>0</v>
      </c>
      <c r="AE770" s="33">
        <f t="shared" si="1528"/>
        <v>0</v>
      </c>
      <c r="AF770" s="33">
        <f t="shared" si="1528"/>
        <v>0</v>
      </c>
      <c r="AG770" s="33">
        <f t="shared" si="1528"/>
        <v>0</v>
      </c>
      <c r="AH770" s="33">
        <f t="shared" si="1528"/>
        <v>0</v>
      </c>
      <c r="AI770" s="33">
        <f t="shared" si="1528"/>
        <v>0</v>
      </c>
      <c r="AJ770" s="33">
        <f t="shared" si="1528"/>
        <v>0</v>
      </c>
      <c r="AK770" s="33">
        <f t="shared" si="1528"/>
        <v>0</v>
      </c>
      <c r="AL770" s="33">
        <f t="shared" si="1528"/>
        <v>0</v>
      </c>
      <c r="AM770" s="33">
        <f t="shared" si="1528"/>
        <v>0</v>
      </c>
      <c r="AN770" s="33">
        <f t="shared" si="1528"/>
        <v>0</v>
      </c>
      <c r="AO770" s="33">
        <f t="shared" si="1528"/>
        <v>0</v>
      </c>
      <c r="AP770" s="33">
        <f t="shared" si="1528"/>
        <v>0</v>
      </c>
      <c r="AQ770" s="33">
        <f t="shared" si="1528"/>
        <v>0</v>
      </c>
      <c r="AR770" s="33">
        <f t="shared" si="1528"/>
        <v>0</v>
      </c>
      <c r="AS770" s="33">
        <f t="shared" si="1528"/>
        <v>0</v>
      </c>
      <c r="AT770" s="33">
        <f t="shared" si="1528"/>
        <v>0</v>
      </c>
      <c r="AU770" s="33">
        <f t="shared" si="1528"/>
        <v>0</v>
      </c>
      <c r="AV770" s="33">
        <f t="shared" si="1528"/>
        <v>0</v>
      </c>
      <c r="AW770" s="33">
        <f t="shared" si="1528"/>
        <v>0</v>
      </c>
      <c r="AX770" s="33">
        <f t="shared" si="1528"/>
        <v>0</v>
      </c>
      <c r="AY770" s="33">
        <f t="shared" si="1528"/>
        <v>0</v>
      </c>
      <c r="AZ770" s="33">
        <f t="shared" si="1528"/>
        <v>0</v>
      </c>
      <c r="BA770" s="33">
        <f t="shared" si="1528"/>
        <v>0</v>
      </c>
      <c r="BB770" s="33">
        <f t="shared" si="1528"/>
        <v>0</v>
      </c>
      <c r="BC770" s="33">
        <f t="shared" si="1528"/>
        <v>0</v>
      </c>
      <c r="BD770" s="33">
        <f t="shared" si="1528"/>
        <v>0</v>
      </c>
      <c r="BE770" s="33">
        <f t="shared" si="1528"/>
        <v>0</v>
      </c>
      <c r="BF770" s="33">
        <f t="shared" si="1528"/>
        <v>0</v>
      </c>
      <c r="BG770" s="33">
        <f t="shared" si="1528"/>
        <v>0</v>
      </c>
      <c r="BH770" s="33">
        <f t="shared" si="1528"/>
        <v>0</v>
      </c>
      <c r="BI770" s="33">
        <f t="shared" si="1528"/>
        <v>0</v>
      </c>
      <c r="BJ770" s="33">
        <f t="shared" si="1528"/>
        <v>0</v>
      </c>
      <c r="BK770" s="33">
        <f t="shared" si="1528"/>
        <v>0</v>
      </c>
      <c r="BL770" s="33">
        <f t="shared" si="1528"/>
        <v>0</v>
      </c>
      <c r="BM770" s="33">
        <f t="shared" si="1528"/>
        <v>0</v>
      </c>
      <c r="BN770" s="33">
        <f t="shared" si="1528"/>
        <v>0</v>
      </c>
      <c r="BO770" s="33">
        <f t="shared" si="1528"/>
        <v>0</v>
      </c>
      <c r="BP770" s="33">
        <f t="shared" si="1528"/>
        <v>0</v>
      </c>
      <c r="BQ770" s="33">
        <f t="shared" si="1528"/>
        <v>0</v>
      </c>
      <c r="BR770" s="33">
        <f t="shared" si="1528"/>
        <v>0</v>
      </c>
      <c r="BS770" s="33">
        <f t="shared" si="1528"/>
        <v>0</v>
      </c>
      <c r="BT770" s="33">
        <f t="shared" ref="BT770:BY770" si="1529">+IF(AND(BT$764=$C772,BT$764&lt;0),1,0)</f>
        <v>0</v>
      </c>
      <c r="BU770" s="33">
        <f t="shared" si="1529"/>
        <v>0</v>
      </c>
      <c r="BV770" s="33">
        <f t="shared" si="1529"/>
        <v>0</v>
      </c>
      <c r="BW770" s="33">
        <f t="shared" si="1529"/>
        <v>0</v>
      </c>
      <c r="BX770" s="33">
        <f t="shared" si="1529"/>
        <v>0</v>
      </c>
      <c r="BY770" s="33">
        <f t="shared" si="1529"/>
        <v>0</v>
      </c>
    </row>
    <row r="771" spans="3:77" outlineLevel="1">
      <c r="C771" s="32">
        <v>-435994.57811741502</v>
      </c>
      <c r="D771" s="31"/>
      <c r="E771" t="s">
        <v>504</v>
      </c>
      <c r="F771" s="23" t="s">
        <v>500</v>
      </c>
      <c r="H771" s="33">
        <f t="shared" ref="H771:BS771" si="1530">+IF(AND(H$764=$C773,H$764&lt;0),1,0)</f>
        <v>0</v>
      </c>
      <c r="I771" s="33">
        <f t="shared" si="1530"/>
        <v>0</v>
      </c>
      <c r="J771" s="33">
        <f t="shared" si="1530"/>
        <v>0</v>
      </c>
      <c r="K771" s="33">
        <f t="shared" si="1530"/>
        <v>0</v>
      </c>
      <c r="L771" s="33">
        <f t="shared" si="1530"/>
        <v>0</v>
      </c>
      <c r="M771" s="33">
        <f t="shared" si="1530"/>
        <v>0</v>
      </c>
      <c r="N771" s="33">
        <f t="shared" si="1530"/>
        <v>0</v>
      </c>
      <c r="O771" s="33">
        <f t="shared" si="1530"/>
        <v>0</v>
      </c>
      <c r="P771" s="33">
        <f t="shared" si="1530"/>
        <v>0</v>
      </c>
      <c r="Q771" s="33">
        <f t="shared" si="1530"/>
        <v>0</v>
      </c>
      <c r="R771" s="33">
        <f t="shared" si="1530"/>
        <v>0</v>
      </c>
      <c r="S771" s="33">
        <f t="shared" si="1530"/>
        <v>0</v>
      </c>
      <c r="T771" s="33">
        <f t="shared" si="1530"/>
        <v>0</v>
      </c>
      <c r="U771" s="33">
        <f t="shared" si="1530"/>
        <v>0</v>
      </c>
      <c r="V771" s="33">
        <f t="shared" si="1530"/>
        <v>0</v>
      </c>
      <c r="W771" s="33">
        <f t="shared" si="1530"/>
        <v>0</v>
      </c>
      <c r="X771" s="33">
        <f t="shared" si="1530"/>
        <v>0</v>
      </c>
      <c r="Y771" s="33">
        <f t="shared" si="1530"/>
        <v>0</v>
      </c>
      <c r="Z771" s="33">
        <f t="shared" si="1530"/>
        <v>0</v>
      </c>
      <c r="AA771" s="33">
        <f t="shared" si="1530"/>
        <v>0</v>
      </c>
      <c r="AB771" s="33">
        <f t="shared" si="1530"/>
        <v>0</v>
      </c>
      <c r="AC771" s="33">
        <f t="shared" si="1530"/>
        <v>0</v>
      </c>
      <c r="AD771" s="33">
        <f t="shared" si="1530"/>
        <v>0</v>
      </c>
      <c r="AE771" s="33">
        <f t="shared" si="1530"/>
        <v>0</v>
      </c>
      <c r="AF771" s="33">
        <f t="shared" si="1530"/>
        <v>0</v>
      </c>
      <c r="AG771" s="33">
        <f t="shared" si="1530"/>
        <v>0</v>
      </c>
      <c r="AH771" s="33">
        <f t="shared" si="1530"/>
        <v>0</v>
      </c>
      <c r="AI771" s="33">
        <f t="shared" si="1530"/>
        <v>0</v>
      </c>
      <c r="AJ771" s="33">
        <f t="shared" si="1530"/>
        <v>0</v>
      </c>
      <c r="AK771" s="33">
        <f t="shared" si="1530"/>
        <v>0</v>
      </c>
      <c r="AL771" s="33">
        <f t="shared" si="1530"/>
        <v>0</v>
      </c>
      <c r="AM771" s="33">
        <f t="shared" si="1530"/>
        <v>0</v>
      </c>
      <c r="AN771" s="33">
        <f t="shared" si="1530"/>
        <v>0</v>
      </c>
      <c r="AO771" s="33">
        <f t="shared" si="1530"/>
        <v>0</v>
      </c>
      <c r="AP771" s="33">
        <f t="shared" si="1530"/>
        <v>0</v>
      </c>
      <c r="AQ771" s="33">
        <f t="shared" si="1530"/>
        <v>0</v>
      </c>
      <c r="AR771" s="33">
        <f t="shared" si="1530"/>
        <v>0</v>
      </c>
      <c r="AS771" s="33">
        <f t="shared" si="1530"/>
        <v>0</v>
      </c>
      <c r="AT771" s="33">
        <f t="shared" si="1530"/>
        <v>0</v>
      </c>
      <c r="AU771" s="33">
        <f t="shared" si="1530"/>
        <v>0</v>
      </c>
      <c r="AV771" s="33">
        <f t="shared" si="1530"/>
        <v>0</v>
      </c>
      <c r="AW771" s="33">
        <f t="shared" si="1530"/>
        <v>0</v>
      </c>
      <c r="AX771" s="33">
        <f t="shared" si="1530"/>
        <v>0</v>
      </c>
      <c r="AY771" s="33">
        <f t="shared" si="1530"/>
        <v>0</v>
      </c>
      <c r="AZ771" s="33">
        <f t="shared" si="1530"/>
        <v>0</v>
      </c>
      <c r="BA771" s="33">
        <f t="shared" si="1530"/>
        <v>0</v>
      </c>
      <c r="BB771" s="33">
        <f t="shared" si="1530"/>
        <v>0</v>
      </c>
      <c r="BC771" s="33">
        <f t="shared" si="1530"/>
        <v>0</v>
      </c>
      <c r="BD771" s="33">
        <f t="shared" si="1530"/>
        <v>0</v>
      </c>
      <c r="BE771" s="33">
        <f t="shared" si="1530"/>
        <v>0</v>
      </c>
      <c r="BF771" s="33">
        <f t="shared" si="1530"/>
        <v>0</v>
      </c>
      <c r="BG771" s="33">
        <f t="shared" si="1530"/>
        <v>0</v>
      </c>
      <c r="BH771" s="33">
        <f t="shared" si="1530"/>
        <v>0</v>
      </c>
      <c r="BI771" s="33">
        <f t="shared" si="1530"/>
        <v>0</v>
      </c>
      <c r="BJ771" s="33">
        <f t="shared" si="1530"/>
        <v>0</v>
      </c>
      <c r="BK771" s="33">
        <f t="shared" si="1530"/>
        <v>0</v>
      </c>
      <c r="BL771" s="33">
        <f t="shared" si="1530"/>
        <v>0</v>
      </c>
      <c r="BM771" s="33">
        <f t="shared" si="1530"/>
        <v>0</v>
      </c>
      <c r="BN771" s="33">
        <f t="shared" si="1530"/>
        <v>0</v>
      </c>
      <c r="BO771" s="33">
        <f t="shared" si="1530"/>
        <v>0</v>
      </c>
      <c r="BP771" s="33">
        <f t="shared" si="1530"/>
        <v>0</v>
      </c>
      <c r="BQ771" s="33">
        <f t="shared" si="1530"/>
        <v>0</v>
      </c>
      <c r="BR771" s="33">
        <f t="shared" si="1530"/>
        <v>0</v>
      </c>
      <c r="BS771" s="33">
        <f t="shared" si="1530"/>
        <v>0</v>
      </c>
      <c r="BT771" s="33">
        <f t="shared" ref="BT771:BY771" si="1531">+IF(AND(BT$764=$C773,BT$764&lt;0),1,0)</f>
        <v>0</v>
      </c>
      <c r="BU771" s="33">
        <f t="shared" si="1531"/>
        <v>0</v>
      </c>
      <c r="BV771" s="33">
        <f t="shared" si="1531"/>
        <v>0</v>
      </c>
      <c r="BW771" s="33">
        <f t="shared" si="1531"/>
        <v>0</v>
      </c>
      <c r="BX771" s="33">
        <f t="shared" si="1531"/>
        <v>0</v>
      </c>
      <c r="BY771" s="33">
        <f t="shared" si="1531"/>
        <v>0</v>
      </c>
    </row>
    <row r="772" spans="3:77" outlineLevel="1">
      <c r="C772" s="32"/>
      <c r="D772" s="31"/>
      <c r="E772" t="s">
        <v>505</v>
      </c>
      <c r="F772" s="23" t="s">
        <v>500</v>
      </c>
      <c r="H772" s="33">
        <f t="shared" ref="H772:BS772" si="1532">+IF(AND(H$764=$C774,H$764&lt;0),1,0)</f>
        <v>0</v>
      </c>
      <c r="I772" s="33">
        <f t="shared" si="1532"/>
        <v>0</v>
      </c>
      <c r="J772" s="33">
        <f t="shared" si="1532"/>
        <v>0</v>
      </c>
      <c r="K772" s="33">
        <f t="shared" si="1532"/>
        <v>0</v>
      </c>
      <c r="L772" s="33">
        <f t="shared" si="1532"/>
        <v>0</v>
      </c>
      <c r="M772" s="33">
        <f t="shared" si="1532"/>
        <v>0</v>
      </c>
      <c r="N772" s="33">
        <f t="shared" si="1532"/>
        <v>0</v>
      </c>
      <c r="O772" s="33">
        <f t="shared" si="1532"/>
        <v>0</v>
      </c>
      <c r="P772" s="33">
        <f t="shared" si="1532"/>
        <v>0</v>
      </c>
      <c r="Q772" s="33">
        <f t="shared" si="1532"/>
        <v>0</v>
      </c>
      <c r="R772" s="33">
        <f t="shared" si="1532"/>
        <v>0</v>
      </c>
      <c r="S772" s="33">
        <f t="shared" si="1532"/>
        <v>0</v>
      </c>
      <c r="T772" s="33">
        <f t="shared" si="1532"/>
        <v>0</v>
      </c>
      <c r="U772" s="33">
        <f t="shared" si="1532"/>
        <v>0</v>
      </c>
      <c r="V772" s="33">
        <f t="shared" si="1532"/>
        <v>0</v>
      </c>
      <c r="W772" s="33">
        <f t="shared" si="1532"/>
        <v>0</v>
      </c>
      <c r="X772" s="33">
        <f t="shared" si="1532"/>
        <v>0</v>
      </c>
      <c r="Y772" s="33">
        <f t="shared" si="1532"/>
        <v>0</v>
      </c>
      <c r="Z772" s="33">
        <f t="shared" si="1532"/>
        <v>0</v>
      </c>
      <c r="AA772" s="33">
        <f t="shared" si="1532"/>
        <v>0</v>
      </c>
      <c r="AB772" s="33">
        <f t="shared" si="1532"/>
        <v>0</v>
      </c>
      <c r="AC772" s="33">
        <f t="shared" si="1532"/>
        <v>0</v>
      </c>
      <c r="AD772" s="33">
        <f t="shared" si="1532"/>
        <v>0</v>
      </c>
      <c r="AE772" s="33">
        <f t="shared" si="1532"/>
        <v>0</v>
      </c>
      <c r="AF772" s="33">
        <f t="shared" si="1532"/>
        <v>0</v>
      </c>
      <c r="AG772" s="33">
        <f t="shared" si="1532"/>
        <v>0</v>
      </c>
      <c r="AH772" s="33">
        <f t="shared" si="1532"/>
        <v>0</v>
      </c>
      <c r="AI772" s="33">
        <f t="shared" si="1532"/>
        <v>0</v>
      </c>
      <c r="AJ772" s="33">
        <f t="shared" si="1532"/>
        <v>0</v>
      </c>
      <c r="AK772" s="33">
        <f t="shared" si="1532"/>
        <v>0</v>
      </c>
      <c r="AL772" s="33">
        <f t="shared" si="1532"/>
        <v>0</v>
      </c>
      <c r="AM772" s="33">
        <f t="shared" si="1532"/>
        <v>0</v>
      </c>
      <c r="AN772" s="33">
        <f t="shared" si="1532"/>
        <v>0</v>
      </c>
      <c r="AO772" s="33">
        <f t="shared" si="1532"/>
        <v>0</v>
      </c>
      <c r="AP772" s="33">
        <f t="shared" si="1532"/>
        <v>0</v>
      </c>
      <c r="AQ772" s="33">
        <f t="shared" si="1532"/>
        <v>0</v>
      </c>
      <c r="AR772" s="33">
        <f t="shared" si="1532"/>
        <v>0</v>
      </c>
      <c r="AS772" s="33">
        <f t="shared" si="1532"/>
        <v>0</v>
      </c>
      <c r="AT772" s="33">
        <f t="shared" si="1532"/>
        <v>0</v>
      </c>
      <c r="AU772" s="33">
        <f t="shared" si="1532"/>
        <v>0</v>
      </c>
      <c r="AV772" s="33">
        <f t="shared" si="1532"/>
        <v>0</v>
      </c>
      <c r="AW772" s="33">
        <f t="shared" si="1532"/>
        <v>0</v>
      </c>
      <c r="AX772" s="33">
        <f t="shared" si="1532"/>
        <v>0</v>
      </c>
      <c r="AY772" s="33">
        <f t="shared" si="1532"/>
        <v>0</v>
      </c>
      <c r="AZ772" s="33">
        <f t="shared" si="1532"/>
        <v>0</v>
      </c>
      <c r="BA772" s="33">
        <f t="shared" si="1532"/>
        <v>0</v>
      </c>
      <c r="BB772" s="33">
        <f t="shared" si="1532"/>
        <v>0</v>
      </c>
      <c r="BC772" s="33">
        <f t="shared" si="1532"/>
        <v>0</v>
      </c>
      <c r="BD772" s="33">
        <f t="shared" si="1532"/>
        <v>0</v>
      </c>
      <c r="BE772" s="33">
        <f t="shared" si="1532"/>
        <v>0</v>
      </c>
      <c r="BF772" s="33">
        <f t="shared" si="1532"/>
        <v>0</v>
      </c>
      <c r="BG772" s="33">
        <f t="shared" si="1532"/>
        <v>0</v>
      </c>
      <c r="BH772" s="33">
        <f t="shared" si="1532"/>
        <v>0</v>
      </c>
      <c r="BI772" s="33">
        <f t="shared" si="1532"/>
        <v>0</v>
      </c>
      <c r="BJ772" s="33">
        <f t="shared" si="1532"/>
        <v>0</v>
      </c>
      <c r="BK772" s="33">
        <f t="shared" si="1532"/>
        <v>0</v>
      </c>
      <c r="BL772" s="33">
        <f t="shared" si="1532"/>
        <v>0</v>
      </c>
      <c r="BM772" s="33">
        <f t="shared" si="1532"/>
        <v>0</v>
      </c>
      <c r="BN772" s="33">
        <f t="shared" si="1532"/>
        <v>0</v>
      </c>
      <c r="BO772" s="33">
        <f t="shared" si="1532"/>
        <v>0</v>
      </c>
      <c r="BP772" s="33">
        <f t="shared" si="1532"/>
        <v>0</v>
      </c>
      <c r="BQ772" s="33">
        <f t="shared" si="1532"/>
        <v>0</v>
      </c>
      <c r="BR772" s="33">
        <f t="shared" si="1532"/>
        <v>0</v>
      </c>
      <c r="BS772" s="33">
        <f t="shared" si="1532"/>
        <v>0</v>
      </c>
      <c r="BT772" s="33">
        <f t="shared" ref="BT772:BY772" si="1533">+IF(AND(BT$764=$C774,BT$764&lt;0),1,0)</f>
        <v>0</v>
      </c>
      <c r="BU772" s="33">
        <f t="shared" si="1533"/>
        <v>0</v>
      </c>
      <c r="BV772" s="33">
        <f t="shared" si="1533"/>
        <v>0</v>
      </c>
      <c r="BW772" s="33">
        <f t="shared" si="1533"/>
        <v>0</v>
      </c>
      <c r="BX772" s="33">
        <f t="shared" si="1533"/>
        <v>0</v>
      </c>
      <c r="BY772" s="33">
        <f t="shared" si="1533"/>
        <v>0</v>
      </c>
    </row>
    <row r="773" spans="3:77" outlineLevel="1">
      <c r="C773" s="32"/>
      <c r="D773" s="31"/>
      <c r="E773" t="s">
        <v>506</v>
      </c>
      <c r="F773" s="23" t="s">
        <v>500</v>
      </c>
      <c r="H773" s="33">
        <f t="shared" ref="H773:BS773" si="1534">+IF(AND(H$764=$C775,H$764&lt;0),1,0)</f>
        <v>0</v>
      </c>
      <c r="I773" s="33">
        <f t="shared" si="1534"/>
        <v>0</v>
      </c>
      <c r="J773" s="33">
        <f t="shared" si="1534"/>
        <v>0</v>
      </c>
      <c r="K773" s="33">
        <f t="shared" si="1534"/>
        <v>0</v>
      </c>
      <c r="L773" s="33">
        <f t="shared" si="1534"/>
        <v>0</v>
      </c>
      <c r="M773" s="33">
        <f t="shared" si="1534"/>
        <v>0</v>
      </c>
      <c r="N773" s="33">
        <f t="shared" si="1534"/>
        <v>0</v>
      </c>
      <c r="O773" s="33">
        <f t="shared" si="1534"/>
        <v>0</v>
      </c>
      <c r="P773" s="33">
        <f t="shared" si="1534"/>
        <v>0</v>
      </c>
      <c r="Q773" s="33">
        <f t="shared" si="1534"/>
        <v>0</v>
      </c>
      <c r="R773" s="33">
        <f t="shared" si="1534"/>
        <v>0</v>
      </c>
      <c r="S773" s="33">
        <f t="shared" si="1534"/>
        <v>0</v>
      </c>
      <c r="T773" s="33">
        <f t="shared" si="1534"/>
        <v>0</v>
      </c>
      <c r="U773" s="33">
        <f t="shared" si="1534"/>
        <v>0</v>
      </c>
      <c r="V773" s="33">
        <f t="shared" si="1534"/>
        <v>0</v>
      </c>
      <c r="W773" s="33">
        <f t="shared" si="1534"/>
        <v>0</v>
      </c>
      <c r="X773" s="33">
        <f t="shared" si="1534"/>
        <v>0</v>
      </c>
      <c r="Y773" s="33">
        <f t="shared" si="1534"/>
        <v>0</v>
      </c>
      <c r="Z773" s="33">
        <f t="shared" si="1534"/>
        <v>0</v>
      </c>
      <c r="AA773" s="33">
        <f t="shared" si="1534"/>
        <v>0</v>
      </c>
      <c r="AB773" s="33">
        <f t="shared" si="1534"/>
        <v>0</v>
      </c>
      <c r="AC773" s="33">
        <f t="shared" si="1534"/>
        <v>0</v>
      </c>
      <c r="AD773" s="33">
        <f t="shared" si="1534"/>
        <v>0</v>
      </c>
      <c r="AE773" s="33">
        <f t="shared" si="1534"/>
        <v>0</v>
      </c>
      <c r="AF773" s="33">
        <f t="shared" si="1534"/>
        <v>0</v>
      </c>
      <c r="AG773" s="33">
        <f t="shared" si="1534"/>
        <v>0</v>
      </c>
      <c r="AH773" s="33">
        <f t="shared" si="1534"/>
        <v>0</v>
      </c>
      <c r="AI773" s="33">
        <f t="shared" si="1534"/>
        <v>0</v>
      </c>
      <c r="AJ773" s="33">
        <f t="shared" si="1534"/>
        <v>0</v>
      </c>
      <c r="AK773" s="33">
        <f t="shared" si="1534"/>
        <v>0</v>
      </c>
      <c r="AL773" s="33">
        <f t="shared" si="1534"/>
        <v>0</v>
      </c>
      <c r="AM773" s="33">
        <f t="shared" si="1534"/>
        <v>0</v>
      </c>
      <c r="AN773" s="33">
        <f t="shared" si="1534"/>
        <v>0</v>
      </c>
      <c r="AO773" s="33">
        <f t="shared" si="1534"/>
        <v>0</v>
      </c>
      <c r="AP773" s="33">
        <f t="shared" si="1534"/>
        <v>0</v>
      </c>
      <c r="AQ773" s="33">
        <f t="shared" si="1534"/>
        <v>0</v>
      </c>
      <c r="AR773" s="33">
        <f t="shared" si="1534"/>
        <v>0</v>
      </c>
      <c r="AS773" s="33">
        <f t="shared" si="1534"/>
        <v>0</v>
      </c>
      <c r="AT773" s="33">
        <f t="shared" si="1534"/>
        <v>0</v>
      </c>
      <c r="AU773" s="33">
        <f t="shared" si="1534"/>
        <v>0</v>
      </c>
      <c r="AV773" s="33">
        <f t="shared" si="1534"/>
        <v>0</v>
      </c>
      <c r="AW773" s="33">
        <f t="shared" si="1534"/>
        <v>0</v>
      </c>
      <c r="AX773" s="33">
        <f t="shared" si="1534"/>
        <v>0</v>
      </c>
      <c r="AY773" s="33">
        <f t="shared" si="1534"/>
        <v>0</v>
      </c>
      <c r="AZ773" s="33">
        <f t="shared" si="1534"/>
        <v>0</v>
      </c>
      <c r="BA773" s="33">
        <f t="shared" si="1534"/>
        <v>0</v>
      </c>
      <c r="BB773" s="33">
        <f t="shared" si="1534"/>
        <v>0</v>
      </c>
      <c r="BC773" s="33">
        <f t="shared" si="1534"/>
        <v>0</v>
      </c>
      <c r="BD773" s="33">
        <f t="shared" si="1534"/>
        <v>0</v>
      </c>
      <c r="BE773" s="33">
        <f t="shared" si="1534"/>
        <v>0</v>
      </c>
      <c r="BF773" s="33">
        <f t="shared" si="1534"/>
        <v>0</v>
      </c>
      <c r="BG773" s="33">
        <f t="shared" si="1534"/>
        <v>0</v>
      </c>
      <c r="BH773" s="33">
        <f t="shared" si="1534"/>
        <v>0</v>
      </c>
      <c r="BI773" s="33">
        <f t="shared" si="1534"/>
        <v>0</v>
      </c>
      <c r="BJ773" s="33">
        <f t="shared" si="1534"/>
        <v>0</v>
      </c>
      <c r="BK773" s="33">
        <f t="shared" si="1534"/>
        <v>0</v>
      </c>
      <c r="BL773" s="33">
        <f t="shared" si="1534"/>
        <v>0</v>
      </c>
      <c r="BM773" s="33">
        <f t="shared" si="1534"/>
        <v>0</v>
      </c>
      <c r="BN773" s="33">
        <f t="shared" si="1534"/>
        <v>0</v>
      </c>
      <c r="BO773" s="33">
        <f t="shared" si="1534"/>
        <v>0</v>
      </c>
      <c r="BP773" s="33">
        <f t="shared" si="1534"/>
        <v>0</v>
      </c>
      <c r="BQ773" s="33">
        <f t="shared" si="1534"/>
        <v>0</v>
      </c>
      <c r="BR773" s="33">
        <f t="shared" si="1534"/>
        <v>0</v>
      </c>
      <c r="BS773" s="33">
        <f t="shared" si="1534"/>
        <v>0</v>
      </c>
      <c r="BT773" s="33">
        <f t="shared" ref="BT773:BY773" si="1535">+IF(AND(BT$764=$C775,BT$764&lt;0),1,0)</f>
        <v>0</v>
      </c>
      <c r="BU773" s="33">
        <f t="shared" si="1535"/>
        <v>0</v>
      </c>
      <c r="BV773" s="33">
        <f t="shared" si="1535"/>
        <v>0</v>
      </c>
      <c r="BW773" s="33">
        <f t="shared" si="1535"/>
        <v>0</v>
      </c>
      <c r="BX773" s="33">
        <f t="shared" si="1535"/>
        <v>0</v>
      </c>
      <c r="BY773" s="33">
        <f t="shared" si="1535"/>
        <v>0</v>
      </c>
    </row>
    <row r="774" spans="3:77" outlineLevel="1">
      <c r="C774" s="32"/>
      <c r="D774" s="31"/>
      <c r="E774" t="s">
        <v>507</v>
      </c>
      <c r="F774" s="23" t="s">
        <v>500</v>
      </c>
      <c r="H774" s="33">
        <f t="shared" ref="H774:BS774" si="1536">+IF(AND(H$764=$C776,H$764&lt;0),1,0)</f>
        <v>0</v>
      </c>
      <c r="I774" s="33">
        <f t="shared" si="1536"/>
        <v>0</v>
      </c>
      <c r="J774" s="33">
        <f t="shared" si="1536"/>
        <v>0</v>
      </c>
      <c r="K774" s="33">
        <f t="shared" si="1536"/>
        <v>0</v>
      </c>
      <c r="L774" s="33">
        <f t="shared" si="1536"/>
        <v>0</v>
      </c>
      <c r="M774" s="33">
        <f t="shared" si="1536"/>
        <v>0</v>
      </c>
      <c r="N774" s="33">
        <f t="shared" si="1536"/>
        <v>0</v>
      </c>
      <c r="O774" s="33">
        <f t="shared" si="1536"/>
        <v>0</v>
      </c>
      <c r="P774" s="33">
        <f t="shared" si="1536"/>
        <v>0</v>
      </c>
      <c r="Q774" s="33">
        <f t="shared" si="1536"/>
        <v>0</v>
      </c>
      <c r="R774" s="33">
        <f t="shared" si="1536"/>
        <v>0</v>
      </c>
      <c r="S774" s="33">
        <f t="shared" si="1536"/>
        <v>0</v>
      </c>
      <c r="T774" s="33">
        <f t="shared" si="1536"/>
        <v>0</v>
      </c>
      <c r="U774" s="33">
        <f t="shared" si="1536"/>
        <v>0</v>
      </c>
      <c r="V774" s="33">
        <f t="shared" si="1536"/>
        <v>0</v>
      </c>
      <c r="W774" s="33">
        <f t="shared" si="1536"/>
        <v>0</v>
      </c>
      <c r="X774" s="33">
        <f t="shared" si="1536"/>
        <v>0</v>
      </c>
      <c r="Y774" s="33">
        <f t="shared" si="1536"/>
        <v>0</v>
      </c>
      <c r="Z774" s="33">
        <f t="shared" si="1536"/>
        <v>0</v>
      </c>
      <c r="AA774" s="33">
        <f t="shared" si="1536"/>
        <v>0</v>
      </c>
      <c r="AB774" s="33">
        <f t="shared" si="1536"/>
        <v>0</v>
      </c>
      <c r="AC774" s="33">
        <f t="shared" si="1536"/>
        <v>0</v>
      </c>
      <c r="AD774" s="33">
        <f t="shared" si="1536"/>
        <v>0</v>
      </c>
      <c r="AE774" s="33">
        <f t="shared" si="1536"/>
        <v>0</v>
      </c>
      <c r="AF774" s="33">
        <f t="shared" si="1536"/>
        <v>0</v>
      </c>
      <c r="AG774" s="33">
        <f t="shared" si="1536"/>
        <v>0</v>
      </c>
      <c r="AH774" s="33">
        <f t="shared" si="1536"/>
        <v>0</v>
      </c>
      <c r="AI774" s="33">
        <f t="shared" si="1536"/>
        <v>0</v>
      </c>
      <c r="AJ774" s="33">
        <f t="shared" si="1536"/>
        <v>0</v>
      </c>
      <c r="AK774" s="33">
        <f t="shared" si="1536"/>
        <v>0</v>
      </c>
      <c r="AL774" s="33">
        <f t="shared" si="1536"/>
        <v>0</v>
      </c>
      <c r="AM774" s="33">
        <f t="shared" si="1536"/>
        <v>0</v>
      </c>
      <c r="AN774" s="33">
        <f t="shared" si="1536"/>
        <v>0</v>
      </c>
      <c r="AO774" s="33">
        <f t="shared" si="1536"/>
        <v>0</v>
      </c>
      <c r="AP774" s="33">
        <f t="shared" si="1536"/>
        <v>0</v>
      </c>
      <c r="AQ774" s="33">
        <f t="shared" si="1536"/>
        <v>0</v>
      </c>
      <c r="AR774" s="33">
        <f t="shared" si="1536"/>
        <v>0</v>
      </c>
      <c r="AS774" s="33">
        <f t="shared" si="1536"/>
        <v>0</v>
      </c>
      <c r="AT774" s="33">
        <f t="shared" si="1536"/>
        <v>0</v>
      </c>
      <c r="AU774" s="33">
        <f t="shared" si="1536"/>
        <v>0</v>
      </c>
      <c r="AV774" s="33">
        <f t="shared" si="1536"/>
        <v>0</v>
      </c>
      <c r="AW774" s="33">
        <f t="shared" si="1536"/>
        <v>0</v>
      </c>
      <c r="AX774" s="33">
        <f t="shared" si="1536"/>
        <v>0</v>
      </c>
      <c r="AY774" s="33">
        <f t="shared" si="1536"/>
        <v>0</v>
      </c>
      <c r="AZ774" s="33">
        <f t="shared" si="1536"/>
        <v>0</v>
      </c>
      <c r="BA774" s="33">
        <f t="shared" si="1536"/>
        <v>0</v>
      </c>
      <c r="BB774" s="33">
        <f t="shared" si="1536"/>
        <v>0</v>
      </c>
      <c r="BC774" s="33">
        <f t="shared" si="1536"/>
        <v>0</v>
      </c>
      <c r="BD774" s="33">
        <f t="shared" si="1536"/>
        <v>0</v>
      </c>
      <c r="BE774" s="33">
        <f t="shared" si="1536"/>
        <v>0</v>
      </c>
      <c r="BF774" s="33">
        <f t="shared" si="1536"/>
        <v>0</v>
      </c>
      <c r="BG774" s="33">
        <f t="shared" si="1536"/>
        <v>0</v>
      </c>
      <c r="BH774" s="33">
        <f t="shared" si="1536"/>
        <v>0</v>
      </c>
      <c r="BI774" s="33">
        <f t="shared" si="1536"/>
        <v>0</v>
      </c>
      <c r="BJ774" s="33">
        <f t="shared" si="1536"/>
        <v>0</v>
      </c>
      <c r="BK774" s="33">
        <f t="shared" si="1536"/>
        <v>0</v>
      </c>
      <c r="BL774" s="33">
        <f t="shared" si="1536"/>
        <v>0</v>
      </c>
      <c r="BM774" s="33">
        <f t="shared" si="1536"/>
        <v>0</v>
      </c>
      <c r="BN774" s="33">
        <f t="shared" si="1536"/>
        <v>0</v>
      </c>
      <c r="BO774" s="33">
        <f t="shared" si="1536"/>
        <v>0</v>
      </c>
      <c r="BP774" s="33">
        <f t="shared" si="1536"/>
        <v>0</v>
      </c>
      <c r="BQ774" s="33">
        <f t="shared" si="1536"/>
        <v>0</v>
      </c>
      <c r="BR774" s="33">
        <f t="shared" si="1536"/>
        <v>0</v>
      </c>
      <c r="BS774" s="33">
        <f t="shared" si="1536"/>
        <v>0</v>
      </c>
      <c r="BT774" s="33">
        <f t="shared" ref="BT774:BY774" si="1537">+IF(AND(BT$764=$C776,BT$764&lt;0),1,0)</f>
        <v>0</v>
      </c>
      <c r="BU774" s="33">
        <f t="shared" si="1537"/>
        <v>0</v>
      </c>
      <c r="BV774" s="33">
        <f t="shared" si="1537"/>
        <v>0</v>
      </c>
      <c r="BW774" s="33">
        <f t="shared" si="1537"/>
        <v>0</v>
      </c>
      <c r="BX774" s="33">
        <f t="shared" si="1537"/>
        <v>0</v>
      </c>
      <c r="BY774" s="33">
        <f t="shared" si="1537"/>
        <v>0</v>
      </c>
    </row>
    <row r="775" spans="3:77" outlineLevel="1">
      <c r="C775" s="32"/>
      <c r="D775" s="31"/>
      <c r="E775" t="s">
        <v>508</v>
      </c>
      <c r="F775" s="23" t="s">
        <v>500</v>
      </c>
      <c r="H775" s="33">
        <f t="shared" ref="H775:BS775" si="1538">+IF(AND(H$764=$C777,H$764&lt;0),1,0)</f>
        <v>0</v>
      </c>
      <c r="I775" s="33">
        <f t="shared" si="1538"/>
        <v>0</v>
      </c>
      <c r="J775" s="33">
        <f t="shared" si="1538"/>
        <v>0</v>
      </c>
      <c r="K775" s="33">
        <f t="shared" si="1538"/>
        <v>0</v>
      </c>
      <c r="L775" s="33">
        <f t="shared" si="1538"/>
        <v>0</v>
      </c>
      <c r="M775" s="33">
        <f t="shared" si="1538"/>
        <v>0</v>
      </c>
      <c r="N775" s="33">
        <f t="shared" si="1538"/>
        <v>0</v>
      </c>
      <c r="O775" s="33">
        <f t="shared" si="1538"/>
        <v>0</v>
      </c>
      <c r="P775" s="33">
        <f t="shared" si="1538"/>
        <v>0</v>
      </c>
      <c r="Q775" s="33">
        <f t="shared" si="1538"/>
        <v>0</v>
      </c>
      <c r="R775" s="33">
        <f t="shared" si="1538"/>
        <v>0</v>
      </c>
      <c r="S775" s="33">
        <f t="shared" si="1538"/>
        <v>0</v>
      </c>
      <c r="T775" s="33">
        <f t="shared" si="1538"/>
        <v>0</v>
      </c>
      <c r="U775" s="33">
        <f t="shared" si="1538"/>
        <v>0</v>
      </c>
      <c r="V775" s="33">
        <f t="shared" si="1538"/>
        <v>0</v>
      </c>
      <c r="W775" s="33">
        <f t="shared" si="1538"/>
        <v>0</v>
      </c>
      <c r="X775" s="33">
        <f t="shared" si="1538"/>
        <v>0</v>
      </c>
      <c r="Y775" s="33">
        <f t="shared" si="1538"/>
        <v>0</v>
      </c>
      <c r="Z775" s="33">
        <f t="shared" si="1538"/>
        <v>0</v>
      </c>
      <c r="AA775" s="33">
        <f t="shared" si="1538"/>
        <v>0</v>
      </c>
      <c r="AB775" s="33">
        <f t="shared" si="1538"/>
        <v>0</v>
      </c>
      <c r="AC775" s="33">
        <f t="shared" si="1538"/>
        <v>0</v>
      </c>
      <c r="AD775" s="33">
        <f t="shared" si="1538"/>
        <v>0</v>
      </c>
      <c r="AE775" s="33">
        <f t="shared" si="1538"/>
        <v>0</v>
      </c>
      <c r="AF775" s="33">
        <f t="shared" si="1538"/>
        <v>0</v>
      </c>
      <c r="AG775" s="33">
        <f t="shared" si="1538"/>
        <v>0</v>
      </c>
      <c r="AH775" s="33">
        <f t="shared" si="1538"/>
        <v>0</v>
      </c>
      <c r="AI775" s="33">
        <f t="shared" si="1538"/>
        <v>0</v>
      </c>
      <c r="AJ775" s="33">
        <f t="shared" si="1538"/>
        <v>0</v>
      </c>
      <c r="AK775" s="33">
        <f t="shared" si="1538"/>
        <v>0</v>
      </c>
      <c r="AL775" s="33">
        <f t="shared" si="1538"/>
        <v>0</v>
      </c>
      <c r="AM775" s="33">
        <f t="shared" si="1538"/>
        <v>0</v>
      </c>
      <c r="AN775" s="33">
        <f t="shared" si="1538"/>
        <v>0</v>
      </c>
      <c r="AO775" s="33">
        <f t="shared" si="1538"/>
        <v>0</v>
      </c>
      <c r="AP775" s="33">
        <f t="shared" si="1538"/>
        <v>0</v>
      </c>
      <c r="AQ775" s="33">
        <f t="shared" si="1538"/>
        <v>0</v>
      </c>
      <c r="AR775" s="33">
        <f t="shared" si="1538"/>
        <v>0</v>
      </c>
      <c r="AS775" s="33">
        <f t="shared" si="1538"/>
        <v>0</v>
      </c>
      <c r="AT775" s="33">
        <f t="shared" si="1538"/>
        <v>0</v>
      </c>
      <c r="AU775" s="33">
        <f t="shared" si="1538"/>
        <v>0</v>
      </c>
      <c r="AV775" s="33">
        <f t="shared" si="1538"/>
        <v>0</v>
      </c>
      <c r="AW775" s="33">
        <f t="shared" si="1538"/>
        <v>0</v>
      </c>
      <c r="AX775" s="33">
        <f t="shared" si="1538"/>
        <v>0</v>
      </c>
      <c r="AY775" s="33">
        <f t="shared" si="1538"/>
        <v>0</v>
      </c>
      <c r="AZ775" s="33">
        <f t="shared" si="1538"/>
        <v>0</v>
      </c>
      <c r="BA775" s="33">
        <f t="shared" si="1538"/>
        <v>0</v>
      </c>
      <c r="BB775" s="33">
        <f t="shared" si="1538"/>
        <v>0</v>
      </c>
      <c r="BC775" s="33">
        <f t="shared" si="1538"/>
        <v>0</v>
      </c>
      <c r="BD775" s="33">
        <f t="shared" si="1538"/>
        <v>0</v>
      </c>
      <c r="BE775" s="33">
        <f t="shared" si="1538"/>
        <v>0</v>
      </c>
      <c r="BF775" s="33">
        <f t="shared" si="1538"/>
        <v>0</v>
      </c>
      <c r="BG775" s="33">
        <f t="shared" si="1538"/>
        <v>0</v>
      </c>
      <c r="BH775" s="33">
        <f t="shared" si="1538"/>
        <v>0</v>
      </c>
      <c r="BI775" s="33">
        <f t="shared" si="1538"/>
        <v>0</v>
      </c>
      <c r="BJ775" s="33">
        <f t="shared" si="1538"/>
        <v>0</v>
      </c>
      <c r="BK775" s="33">
        <f t="shared" si="1538"/>
        <v>0</v>
      </c>
      <c r="BL775" s="33">
        <f t="shared" si="1538"/>
        <v>0</v>
      </c>
      <c r="BM775" s="33">
        <f t="shared" si="1538"/>
        <v>0</v>
      </c>
      <c r="BN775" s="33">
        <f t="shared" si="1538"/>
        <v>0</v>
      </c>
      <c r="BO775" s="33">
        <f t="shared" si="1538"/>
        <v>0</v>
      </c>
      <c r="BP775" s="33">
        <f t="shared" si="1538"/>
        <v>0</v>
      </c>
      <c r="BQ775" s="33">
        <f t="shared" si="1538"/>
        <v>0</v>
      </c>
      <c r="BR775" s="33">
        <f t="shared" si="1538"/>
        <v>0</v>
      </c>
      <c r="BS775" s="33">
        <f t="shared" si="1538"/>
        <v>0</v>
      </c>
      <c r="BT775" s="33">
        <f t="shared" ref="BT775:BY775" si="1539">+IF(AND(BT$764=$C777,BT$764&lt;0),1,0)</f>
        <v>0</v>
      </c>
      <c r="BU775" s="33">
        <f t="shared" si="1539"/>
        <v>0</v>
      </c>
      <c r="BV775" s="33">
        <f t="shared" si="1539"/>
        <v>0</v>
      </c>
      <c r="BW775" s="33">
        <f t="shared" si="1539"/>
        <v>0</v>
      </c>
      <c r="BX775" s="33">
        <f t="shared" si="1539"/>
        <v>0</v>
      </c>
      <c r="BY775" s="33">
        <f t="shared" si="1539"/>
        <v>0</v>
      </c>
    </row>
    <row r="776" spans="3:77" outlineLevel="1">
      <c r="C776" s="32"/>
      <c r="D776" s="31"/>
      <c r="E776" t="s">
        <v>509</v>
      </c>
      <c r="F776" s="23" t="s">
        <v>500</v>
      </c>
      <c r="H776" s="33">
        <f t="shared" ref="H776:BS776" si="1540">+IF(AND(H$764=$C778,H$764&lt;0),1,0)</f>
        <v>0</v>
      </c>
      <c r="I776" s="33">
        <f t="shared" si="1540"/>
        <v>0</v>
      </c>
      <c r="J776" s="33">
        <f t="shared" si="1540"/>
        <v>0</v>
      </c>
      <c r="K776" s="33">
        <f t="shared" si="1540"/>
        <v>0</v>
      </c>
      <c r="L776" s="33">
        <f t="shared" si="1540"/>
        <v>0</v>
      </c>
      <c r="M776" s="33">
        <f t="shared" si="1540"/>
        <v>0</v>
      </c>
      <c r="N776" s="33">
        <f t="shared" si="1540"/>
        <v>0</v>
      </c>
      <c r="O776" s="33">
        <f t="shared" si="1540"/>
        <v>0</v>
      </c>
      <c r="P776" s="33">
        <f t="shared" si="1540"/>
        <v>0</v>
      </c>
      <c r="Q776" s="33">
        <f t="shared" si="1540"/>
        <v>0</v>
      </c>
      <c r="R776" s="33">
        <f t="shared" si="1540"/>
        <v>0</v>
      </c>
      <c r="S776" s="33">
        <f t="shared" si="1540"/>
        <v>0</v>
      </c>
      <c r="T776" s="33">
        <f t="shared" si="1540"/>
        <v>0</v>
      </c>
      <c r="U776" s="33">
        <f t="shared" si="1540"/>
        <v>0</v>
      </c>
      <c r="V776" s="33">
        <f t="shared" si="1540"/>
        <v>0</v>
      </c>
      <c r="W776" s="33">
        <f t="shared" si="1540"/>
        <v>0</v>
      </c>
      <c r="X776" s="33">
        <f t="shared" si="1540"/>
        <v>0</v>
      </c>
      <c r="Y776" s="33">
        <f t="shared" si="1540"/>
        <v>0</v>
      </c>
      <c r="Z776" s="33">
        <f t="shared" si="1540"/>
        <v>0</v>
      </c>
      <c r="AA776" s="33">
        <f t="shared" si="1540"/>
        <v>0</v>
      </c>
      <c r="AB776" s="33">
        <f t="shared" si="1540"/>
        <v>0</v>
      </c>
      <c r="AC776" s="33">
        <f t="shared" si="1540"/>
        <v>0</v>
      </c>
      <c r="AD776" s="33">
        <f t="shared" si="1540"/>
        <v>0</v>
      </c>
      <c r="AE776" s="33">
        <f t="shared" si="1540"/>
        <v>0</v>
      </c>
      <c r="AF776" s="33">
        <f t="shared" si="1540"/>
        <v>0</v>
      </c>
      <c r="AG776" s="33">
        <f t="shared" si="1540"/>
        <v>0</v>
      </c>
      <c r="AH776" s="33">
        <f t="shared" si="1540"/>
        <v>0</v>
      </c>
      <c r="AI776" s="33">
        <f t="shared" si="1540"/>
        <v>0</v>
      </c>
      <c r="AJ776" s="33">
        <f t="shared" si="1540"/>
        <v>0</v>
      </c>
      <c r="AK776" s="33">
        <f t="shared" si="1540"/>
        <v>0</v>
      </c>
      <c r="AL776" s="33">
        <f t="shared" si="1540"/>
        <v>0</v>
      </c>
      <c r="AM776" s="33">
        <f t="shared" si="1540"/>
        <v>0</v>
      </c>
      <c r="AN776" s="33">
        <f t="shared" si="1540"/>
        <v>0</v>
      </c>
      <c r="AO776" s="33">
        <f t="shared" si="1540"/>
        <v>0</v>
      </c>
      <c r="AP776" s="33">
        <f t="shared" si="1540"/>
        <v>0</v>
      </c>
      <c r="AQ776" s="33">
        <f t="shared" si="1540"/>
        <v>0</v>
      </c>
      <c r="AR776" s="33">
        <f t="shared" si="1540"/>
        <v>0</v>
      </c>
      <c r="AS776" s="33">
        <f t="shared" si="1540"/>
        <v>0</v>
      </c>
      <c r="AT776" s="33">
        <f t="shared" si="1540"/>
        <v>0</v>
      </c>
      <c r="AU776" s="33">
        <f t="shared" si="1540"/>
        <v>0</v>
      </c>
      <c r="AV776" s="33">
        <f t="shared" si="1540"/>
        <v>0</v>
      </c>
      <c r="AW776" s="33">
        <f t="shared" si="1540"/>
        <v>0</v>
      </c>
      <c r="AX776" s="33">
        <f t="shared" si="1540"/>
        <v>0</v>
      </c>
      <c r="AY776" s="33">
        <f t="shared" si="1540"/>
        <v>0</v>
      </c>
      <c r="AZ776" s="33">
        <f t="shared" si="1540"/>
        <v>0</v>
      </c>
      <c r="BA776" s="33">
        <f t="shared" si="1540"/>
        <v>0</v>
      </c>
      <c r="BB776" s="33">
        <f t="shared" si="1540"/>
        <v>0</v>
      </c>
      <c r="BC776" s="33">
        <f t="shared" si="1540"/>
        <v>0</v>
      </c>
      <c r="BD776" s="33">
        <f t="shared" si="1540"/>
        <v>0</v>
      </c>
      <c r="BE776" s="33">
        <f t="shared" si="1540"/>
        <v>0</v>
      </c>
      <c r="BF776" s="33">
        <f t="shared" si="1540"/>
        <v>0</v>
      </c>
      <c r="BG776" s="33">
        <f t="shared" si="1540"/>
        <v>0</v>
      </c>
      <c r="BH776" s="33">
        <f t="shared" si="1540"/>
        <v>0</v>
      </c>
      <c r="BI776" s="33">
        <f t="shared" si="1540"/>
        <v>0</v>
      </c>
      <c r="BJ776" s="33">
        <f t="shared" si="1540"/>
        <v>0</v>
      </c>
      <c r="BK776" s="33">
        <f t="shared" si="1540"/>
        <v>0</v>
      </c>
      <c r="BL776" s="33">
        <f t="shared" si="1540"/>
        <v>0</v>
      </c>
      <c r="BM776" s="33">
        <f t="shared" si="1540"/>
        <v>0</v>
      </c>
      <c r="BN776" s="33">
        <f t="shared" si="1540"/>
        <v>0</v>
      </c>
      <c r="BO776" s="33">
        <f t="shared" si="1540"/>
        <v>0</v>
      </c>
      <c r="BP776" s="33">
        <f t="shared" si="1540"/>
        <v>0</v>
      </c>
      <c r="BQ776" s="33">
        <f t="shared" si="1540"/>
        <v>0</v>
      </c>
      <c r="BR776" s="33">
        <f t="shared" si="1540"/>
        <v>0</v>
      </c>
      <c r="BS776" s="33">
        <f t="shared" si="1540"/>
        <v>0</v>
      </c>
      <c r="BT776" s="33">
        <f t="shared" ref="BT776:BY776" si="1541">+IF(AND(BT$764=$C778,BT$764&lt;0),1,0)</f>
        <v>0</v>
      </c>
      <c r="BU776" s="33">
        <f t="shared" si="1541"/>
        <v>0</v>
      </c>
      <c r="BV776" s="33">
        <f t="shared" si="1541"/>
        <v>0</v>
      </c>
      <c r="BW776" s="33">
        <f t="shared" si="1541"/>
        <v>0</v>
      </c>
      <c r="BX776" s="33">
        <f t="shared" si="1541"/>
        <v>0</v>
      </c>
      <c r="BY776" s="33">
        <f t="shared" si="1541"/>
        <v>0</v>
      </c>
    </row>
    <row r="777" spans="3:77" outlineLevel="1">
      <c r="C777" s="32"/>
      <c r="D777" s="31"/>
      <c r="E777" s="25" t="s">
        <v>510</v>
      </c>
      <c r="F777" s="30" t="s">
        <v>500</v>
      </c>
      <c r="G777" s="25"/>
      <c r="H777" s="34">
        <f t="shared" ref="H777:BS777" si="1542">+IF(AND(H$764=$C779,H$764&lt;0),1,0)</f>
        <v>0</v>
      </c>
      <c r="I777" s="34">
        <f t="shared" si="1542"/>
        <v>0</v>
      </c>
      <c r="J777" s="34">
        <f t="shared" si="1542"/>
        <v>0</v>
      </c>
      <c r="K777" s="34">
        <f t="shared" si="1542"/>
        <v>0</v>
      </c>
      <c r="L777" s="34">
        <f t="shared" si="1542"/>
        <v>0</v>
      </c>
      <c r="M777" s="34">
        <f t="shared" si="1542"/>
        <v>0</v>
      </c>
      <c r="N777" s="34">
        <f t="shared" si="1542"/>
        <v>0</v>
      </c>
      <c r="O777" s="34">
        <f t="shared" si="1542"/>
        <v>0</v>
      </c>
      <c r="P777" s="34">
        <f t="shared" si="1542"/>
        <v>0</v>
      </c>
      <c r="Q777" s="34">
        <f t="shared" si="1542"/>
        <v>0</v>
      </c>
      <c r="R777" s="34">
        <f t="shared" si="1542"/>
        <v>0</v>
      </c>
      <c r="S777" s="34">
        <f t="shared" si="1542"/>
        <v>0</v>
      </c>
      <c r="T777" s="34">
        <f t="shared" si="1542"/>
        <v>0</v>
      </c>
      <c r="U777" s="34">
        <f t="shared" si="1542"/>
        <v>0</v>
      </c>
      <c r="V777" s="34">
        <f t="shared" si="1542"/>
        <v>0</v>
      </c>
      <c r="W777" s="34">
        <f t="shared" si="1542"/>
        <v>0</v>
      </c>
      <c r="X777" s="34">
        <f t="shared" si="1542"/>
        <v>0</v>
      </c>
      <c r="Y777" s="34">
        <f t="shared" si="1542"/>
        <v>0</v>
      </c>
      <c r="Z777" s="34">
        <f t="shared" si="1542"/>
        <v>0</v>
      </c>
      <c r="AA777" s="34">
        <f t="shared" si="1542"/>
        <v>0</v>
      </c>
      <c r="AB777" s="34">
        <f t="shared" si="1542"/>
        <v>0</v>
      </c>
      <c r="AC777" s="34">
        <f t="shared" si="1542"/>
        <v>0</v>
      </c>
      <c r="AD777" s="34">
        <f t="shared" si="1542"/>
        <v>0</v>
      </c>
      <c r="AE777" s="34">
        <f t="shared" si="1542"/>
        <v>0</v>
      </c>
      <c r="AF777" s="34">
        <f t="shared" si="1542"/>
        <v>0</v>
      </c>
      <c r="AG777" s="34">
        <f t="shared" si="1542"/>
        <v>0</v>
      </c>
      <c r="AH777" s="34">
        <f t="shared" si="1542"/>
        <v>0</v>
      </c>
      <c r="AI777" s="34">
        <f t="shared" si="1542"/>
        <v>0</v>
      </c>
      <c r="AJ777" s="34">
        <f t="shared" si="1542"/>
        <v>0</v>
      </c>
      <c r="AK777" s="34">
        <f t="shared" si="1542"/>
        <v>0</v>
      </c>
      <c r="AL777" s="34">
        <f t="shared" si="1542"/>
        <v>0</v>
      </c>
      <c r="AM777" s="34">
        <f t="shared" si="1542"/>
        <v>0</v>
      </c>
      <c r="AN777" s="34">
        <f t="shared" si="1542"/>
        <v>0</v>
      </c>
      <c r="AO777" s="34">
        <f t="shared" si="1542"/>
        <v>0</v>
      </c>
      <c r="AP777" s="34">
        <f t="shared" si="1542"/>
        <v>0</v>
      </c>
      <c r="AQ777" s="34">
        <f t="shared" si="1542"/>
        <v>0</v>
      </c>
      <c r="AR777" s="34">
        <f t="shared" si="1542"/>
        <v>0</v>
      </c>
      <c r="AS777" s="34">
        <f t="shared" si="1542"/>
        <v>0</v>
      </c>
      <c r="AT777" s="34">
        <f t="shared" si="1542"/>
        <v>0</v>
      </c>
      <c r="AU777" s="34">
        <f t="shared" si="1542"/>
        <v>0</v>
      </c>
      <c r="AV777" s="34">
        <f t="shared" si="1542"/>
        <v>0</v>
      </c>
      <c r="AW777" s="34">
        <f t="shared" si="1542"/>
        <v>0</v>
      </c>
      <c r="AX777" s="34">
        <f t="shared" si="1542"/>
        <v>0</v>
      </c>
      <c r="AY777" s="34">
        <f t="shared" si="1542"/>
        <v>0</v>
      </c>
      <c r="AZ777" s="34">
        <f t="shared" si="1542"/>
        <v>0</v>
      </c>
      <c r="BA777" s="34">
        <f t="shared" si="1542"/>
        <v>0</v>
      </c>
      <c r="BB777" s="34">
        <f t="shared" si="1542"/>
        <v>0</v>
      </c>
      <c r="BC777" s="34">
        <f t="shared" si="1542"/>
        <v>0</v>
      </c>
      <c r="BD777" s="34">
        <f t="shared" si="1542"/>
        <v>0</v>
      </c>
      <c r="BE777" s="34">
        <f t="shared" si="1542"/>
        <v>0</v>
      </c>
      <c r="BF777" s="34">
        <f t="shared" si="1542"/>
        <v>0</v>
      </c>
      <c r="BG777" s="34">
        <f t="shared" si="1542"/>
        <v>0</v>
      </c>
      <c r="BH777" s="34">
        <f t="shared" si="1542"/>
        <v>0</v>
      </c>
      <c r="BI777" s="34">
        <f t="shared" si="1542"/>
        <v>0</v>
      </c>
      <c r="BJ777" s="34">
        <f t="shared" si="1542"/>
        <v>0</v>
      </c>
      <c r="BK777" s="34">
        <f t="shared" si="1542"/>
        <v>0</v>
      </c>
      <c r="BL777" s="34">
        <f t="shared" si="1542"/>
        <v>0</v>
      </c>
      <c r="BM777" s="34">
        <f t="shared" si="1542"/>
        <v>0</v>
      </c>
      <c r="BN777" s="34">
        <f t="shared" si="1542"/>
        <v>0</v>
      </c>
      <c r="BO777" s="34">
        <f t="shared" si="1542"/>
        <v>0</v>
      </c>
      <c r="BP777" s="34">
        <f t="shared" si="1542"/>
        <v>0</v>
      </c>
      <c r="BQ777" s="34">
        <f t="shared" si="1542"/>
        <v>0</v>
      </c>
      <c r="BR777" s="34">
        <f t="shared" si="1542"/>
        <v>0</v>
      </c>
      <c r="BS777" s="34">
        <f t="shared" si="1542"/>
        <v>0</v>
      </c>
      <c r="BT777" s="34">
        <f t="shared" ref="BT777:BY777" si="1543">+IF(AND(BT$764=$C779,BT$764&lt;0),1,0)</f>
        <v>0</v>
      </c>
      <c r="BU777" s="34">
        <f t="shared" si="1543"/>
        <v>0</v>
      </c>
      <c r="BV777" s="34">
        <f t="shared" si="1543"/>
        <v>0</v>
      </c>
      <c r="BW777" s="34">
        <f t="shared" si="1543"/>
        <v>0</v>
      </c>
      <c r="BX777" s="34">
        <f t="shared" si="1543"/>
        <v>0</v>
      </c>
      <c r="BY777" s="34">
        <f t="shared" si="1543"/>
        <v>0</v>
      </c>
    </row>
    <row r="778" spans="3:77" outlineLevel="1">
      <c r="C778" s="32"/>
      <c r="D778" s="31"/>
      <c r="E778" t="s">
        <v>511</v>
      </c>
      <c r="F778" s="80" t="str">
        <f>+Assumptions!$G$8</f>
        <v>USD</v>
      </c>
      <c r="H778" s="32">
        <f t="shared" ref="H778" si="1544">+G792</f>
        <v>0</v>
      </c>
      <c r="I778" s="32">
        <f t="shared" ref="I778" si="1545">+H792</f>
        <v>0</v>
      </c>
      <c r="J778" s="32">
        <f>+I792</f>
        <v>-168413.59193947204</v>
      </c>
      <c r="K778" s="32">
        <f t="shared" ref="K778" ca="1" si="1546">+J792</f>
        <v>-597027.59509537858</v>
      </c>
      <c r="L778" s="32">
        <f t="shared" ref="L778" ca="1" si="1547">+K792</f>
        <v>-570116.37670145184</v>
      </c>
      <c r="M778" s="32">
        <f t="shared" ref="M778" ca="1" si="1548">+L792</f>
        <v>-541660.72348389763</v>
      </c>
      <c r="N778" s="32">
        <f t="shared" ref="N778" ca="1" si="1549">+M792</f>
        <v>-511572.00032818801</v>
      </c>
      <c r="O778" s="32">
        <f t="shared" ref="O778" ca="1" si="1550">+N792</f>
        <v>-479756.48535057221</v>
      </c>
      <c r="P778" s="32">
        <f t="shared" ref="P778" ca="1" si="1551">+O792</f>
        <v>-446115.07796839107</v>
      </c>
      <c r="Q778" s="32">
        <f t="shared" ref="Q778" ca="1" si="1552">+P792</f>
        <v>-410542.99021654652</v>
      </c>
      <c r="R778" s="32">
        <f t="shared" ref="R778" ca="1" si="1553">+Q792</f>
        <v>-372929.42034862359</v>
      </c>
      <c r="S778" s="32">
        <f t="shared" ref="S778" ca="1" si="1554">+R792</f>
        <v>-333157.20770598057</v>
      </c>
      <c r="T778" s="32">
        <f t="shared" ref="T778" ca="1" si="1555">+S792</f>
        <v>-291102.46777977631</v>
      </c>
      <c r="U778" s="32">
        <f t="shared" ref="U778" ca="1" si="1556">+T792</f>
        <v>-246634.20632920717</v>
      </c>
      <c r="V778" s="32">
        <f t="shared" ref="V778" ca="1" si="1557">+U792</f>
        <v>-199613.91135398985</v>
      </c>
      <c r="W778" s="32">
        <f t="shared" ref="W778" ca="1" si="1558">+V792</f>
        <v>-149895.12165014481</v>
      </c>
      <c r="X778" s="32">
        <f t="shared" ref="X778" ca="1" si="1559">+W792</f>
        <v>-97322.970605196111</v>
      </c>
      <c r="Y778" s="32">
        <f t="shared" ref="Y778" ca="1" si="1560">+X792</f>
        <v>-41733.703811777807</v>
      </c>
      <c r="Z778" s="32">
        <f t="shared" ref="Z778" ca="1" si="1561">+Y792</f>
        <v>-7.2759576141834259E-12</v>
      </c>
      <c r="AA778" s="32">
        <f t="shared" ref="AA778" ca="1" si="1562">+Z792</f>
        <v>-7.2759576141834259E-12</v>
      </c>
      <c r="AB778" s="32">
        <f t="shared" ref="AB778" ca="1" si="1563">+AA792</f>
        <v>-7.2759576141834259E-12</v>
      </c>
      <c r="AC778" s="32">
        <f t="shared" ref="AC778" ca="1" si="1564">+AB792</f>
        <v>-7.2759576141834259E-12</v>
      </c>
      <c r="AD778" s="32">
        <f t="shared" ref="AD778" ca="1" si="1565">+AC792</f>
        <v>-7.2759576141834259E-12</v>
      </c>
      <c r="AE778" s="32">
        <f t="shared" ref="AE778" ca="1" si="1566">+AD792</f>
        <v>-7.2759576141834259E-12</v>
      </c>
      <c r="AF778" s="32">
        <f t="shared" ref="AF778" ca="1" si="1567">+AE792</f>
        <v>-7.2759576141834259E-12</v>
      </c>
      <c r="AG778" s="32">
        <f t="shared" ref="AG778" ca="1" si="1568">+AF792</f>
        <v>-7.2759576141834259E-12</v>
      </c>
      <c r="AH778" s="32">
        <f t="shared" ref="AH778" ca="1" si="1569">+AG792</f>
        <v>-7.2759576141834259E-12</v>
      </c>
      <c r="AI778" s="32">
        <f t="shared" ref="AI778" ca="1" si="1570">+AH792</f>
        <v>-7.2759576141834259E-12</v>
      </c>
      <c r="AJ778" s="32">
        <f t="shared" ref="AJ778" ca="1" si="1571">+AI792</f>
        <v>-7.2759576141834259E-12</v>
      </c>
      <c r="AK778" s="32">
        <f t="shared" ref="AK778" ca="1" si="1572">+AJ792</f>
        <v>-7.2759576141834259E-12</v>
      </c>
      <c r="AL778" s="32">
        <f t="shared" ref="AL778" ca="1" si="1573">+AK792</f>
        <v>-7.2759576141834259E-12</v>
      </c>
      <c r="AM778" s="32">
        <f t="shared" ref="AM778" ca="1" si="1574">+AL792</f>
        <v>-7.2759576141834259E-12</v>
      </c>
      <c r="AN778" s="32">
        <f t="shared" ref="AN778" ca="1" si="1575">+AM792</f>
        <v>-7.2759576141834259E-12</v>
      </c>
      <c r="AO778" s="32">
        <f t="shared" ref="AO778" ca="1" si="1576">+AN792</f>
        <v>-7.2759576141834259E-12</v>
      </c>
      <c r="AP778" s="32">
        <f t="shared" ref="AP778" ca="1" si="1577">+AO792</f>
        <v>-7.2759576141834259E-12</v>
      </c>
      <c r="AQ778" s="32">
        <f t="shared" ref="AQ778" ca="1" si="1578">+AP792</f>
        <v>-7.2759576141834259E-12</v>
      </c>
      <c r="AR778" s="32">
        <f t="shared" ref="AR778" ca="1" si="1579">+AQ792</f>
        <v>-7.2759576141834259E-12</v>
      </c>
      <c r="AS778" s="32">
        <f t="shared" ref="AS778" ca="1" si="1580">+AR792</f>
        <v>-7.2759576141834259E-12</v>
      </c>
      <c r="AT778" s="32">
        <f t="shared" ref="AT778" ca="1" si="1581">+AS792</f>
        <v>-7.2759576141834259E-12</v>
      </c>
      <c r="AU778" s="32">
        <f t="shared" ref="AU778" ca="1" si="1582">+AT792</f>
        <v>-7.2759576141834259E-12</v>
      </c>
      <c r="AV778" s="32">
        <f t="shared" ref="AV778" ca="1" si="1583">+AU792</f>
        <v>-7.2759576141834259E-12</v>
      </c>
      <c r="AW778" s="32">
        <f t="shared" ref="AW778" ca="1" si="1584">+AV792</f>
        <v>-7.2759576141834259E-12</v>
      </c>
      <c r="AX778" s="32">
        <f t="shared" ref="AX778" ca="1" si="1585">+AW792</f>
        <v>-7.2759576141834259E-12</v>
      </c>
      <c r="AY778" s="32">
        <f t="shared" ref="AY778" ca="1" si="1586">+AX792</f>
        <v>-7.2759576141834259E-12</v>
      </c>
      <c r="AZ778" s="32">
        <f t="shared" ref="AZ778" ca="1" si="1587">+AY792</f>
        <v>-7.2759576141834259E-12</v>
      </c>
      <c r="BA778" s="32">
        <f t="shared" ref="BA778" ca="1" si="1588">+AZ792</f>
        <v>-7.2759576141834259E-12</v>
      </c>
      <c r="BB778" s="32">
        <f t="shared" ref="BB778" ca="1" si="1589">+BA792</f>
        <v>-7.2759576141834259E-12</v>
      </c>
      <c r="BC778" s="32">
        <f t="shared" ref="BC778" ca="1" si="1590">+BB792</f>
        <v>-7.2759576141834259E-12</v>
      </c>
      <c r="BD778" s="32">
        <f t="shared" ref="BD778" ca="1" si="1591">+BC792</f>
        <v>-7.2759576141834259E-12</v>
      </c>
      <c r="BE778" s="32">
        <f t="shared" ref="BE778" ca="1" si="1592">+BD792</f>
        <v>-7.2759576141834259E-12</v>
      </c>
      <c r="BF778" s="32">
        <f t="shared" ref="BF778" ca="1" si="1593">+BE792</f>
        <v>-7.2759576141834259E-12</v>
      </c>
      <c r="BG778" s="32">
        <f t="shared" ref="BG778" ca="1" si="1594">+BF792</f>
        <v>-7.2759576141834259E-12</v>
      </c>
      <c r="BH778" s="32">
        <f t="shared" ref="BH778" ca="1" si="1595">+BG792</f>
        <v>-7.2759576141834259E-12</v>
      </c>
      <c r="BI778" s="32">
        <f t="shared" ref="BI778" ca="1" si="1596">+BH792</f>
        <v>-7.2759576141834259E-12</v>
      </c>
      <c r="BJ778" s="32">
        <f t="shared" ref="BJ778" ca="1" si="1597">+BI792</f>
        <v>-7.2759576141834259E-12</v>
      </c>
      <c r="BK778" s="32">
        <f t="shared" ref="BK778" ca="1" si="1598">+BJ792</f>
        <v>-7.2759576141834259E-12</v>
      </c>
      <c r="BL778" s="32">
        <f t="shared" ref="BL778" ca="1" si="1599">+BK792</f>
        <v>-7.2759576141834259E-12</v>
      </c>
      <c r="BM778" s="32">
        <f t="shared" ref="BM778" ca="1" si="1600">+BL792</f>
        <v>-7.2759576141834259E-12</v>
      </c>
      <c r="BN778" s="32">
        <f t="shared" ref="BN778" ca="1" si="1601">+BM792</f>
        <v>-7.2759576141834259E-12</v>
      </c>
      <c r="BO778" s="32">
        <f t="shared" ref="BO778" ca="1" si="1602">+BN792</f>
        <v>-7.2759576141834259E-12</v>
      </c>
      <c r="BP778" s="32">
        <f t="shared" ref="BP778" ca="1" si="1603">+BO792</f>
        <v>-7.2759576141834259E-12</v>
      </c>
      <c r="BQ778" s="32">
        <f t="shared" ref="BQ778" ca="1" si="1604">+BP792</f>
        <v>-7.2759576141834259E-12</v>
      </c>
      <c r="BR778" s="32">
        <f t="shared" ref="BR778" ca="1" si="1605">+BQ792</f>
        <v>-7.2759576141834259E-12</v>
      </c>
      <c r="BS778" s="32">
        <f t="shared" ref="BS778" ca="1" si="1606">+BR792</f>
        <v>-7.2759576141834259E-12</v>
      </c>
      <c r="BT778" s="32">
        <f t="shared" ref="BT778" ca="1" si="1607">+BS792</f>
        <v>-7.2759576141834259E-12</v>
      </c>
      <c r="BU778" s="32">
        <f t="shared" ref="BU778" ca="1" si="1608">+BT792</f>
        <v>-7.2759576141834259E-12</v>
      </c>
      <c r="BV778" s="32">
        <f t="shared" ref="BV778" ca="1" si="1609">+BU792</f>
        <v>-7.2759576141834259E-12</v>
      </c>
      <c r="BW778" s="32">
        <f t="shared" ref="BW778" ca="1" si="1610">+BV792</f>
        <v>-7.2759576141834259E-12</v>
      </c>
      <c r="BX778" s="32">
        <f t="shared" ref="BX778" ca="1" si="1611">+BW792</f>
        <v>-7.2759576141834259E-12</v>
      </c>
      <c r="BY778" s="32">
        <f t="shared" ref="BY778" ca="1" si="1612">+BX792</f>
        <v>-7.2759576141834259E-12</v>
      </c>
    </row>
    <row r="779" spans="3:77" outlineLevel="1">
      <c r="C779" s="32"/>
      <c r="D779" s="31"/>
      <c r="E779" t="s">
        <v>512</v>
      </c>
      <c r="F779" s="80" t="str">
        <f>+Assumptions!$G$8</f>
        <v>USD</v>
      </c>
      <c r="H779" s="33">
        <f ca="1">+H778*Assumptions!$H$191</f>
        <v>0</v>
      </c>
      <c r="I779" s="33">
        <f ca="1">+I778*Assumptions!$H$191</f>
        <v>0</v>
      </c>
      <c r="J779" s="33">
        <f ca="1">+J778*Assumptions!$H$191</f>
        <v>-9665.2560414063009</v>
      </c>
      <c r="K779" s="33">
        <f ca="1">+K778*Assumptions!$H$191</f>
        <v>-34263.41368252378</v>
      </c>
      <c r="L779" s="33">
        <f ca="1">+L778*Assumptions!$H$191</f>
        <v>-32718.978858896324</v>
      </c>
      <c r="M779" s="33">
        <f ca="1">+M778*Assumptions!$H$191</f>
        <v>-31085.908920740887</v>
      </c>
      <c r="N779" s="33">
        <f ca="1">+N778*Assumptions!$H$191</f>
        <v>-29359.117098834711</v>
      </c>
      <c r="O779" s="33">
        <f ca="1">+O778*Assumptions!$H$191</f>
        <v>-27533.224694269342</v>
      </c>
      <c r="P779" s="33">
        <f ca="1">+P778*Assumptions!$H$191</f>
        <v>-25602.544324605966</v>
      </c>
      <c r="Q779" s="33">
        <f ca="1">+Q778*Assumptions!$H$191</f>
        <v>-23561.062208527605</v>
      </c>
      <c r="R779" s="33">
        <f ca="1">+R778*Assumptions!$H$191</f>
        <v>-21402.41943380751</v>
      </c>
      <c r="S779" s="33">
        <f ca="1">+S778*Assumptions!$H$191</f>
        <v>-19119.892150246225</v>
      </c>
      <c r="T779" s="33">
        <f ca="1">+T778*Assumptions!$H$191</f>
        <v>-16706.370625881365</v>
      </c>
      <c r="U779" s="33">
        <f ca="1">+U778*Assumptions!$H$191</f>
        <v>-14154.337101233201</v>
      </c>
      <c r="V779" s="33">
        <f ca="1">+V778*Assumptions!$H$191</f>
        <v>-11455.842372605479</v>
      </c>
      <c r="W779" s="33">
        <f ca="1">+W778*Assumptions!$H$191</f>
        <v>-8602.4810315018112</v>
      </c>
      <c r="X779" s="33">
        <f ca="1">+X778*Assumptions!$H$191</f>
        <v>-5585.3652830322053</v>
      </c>
      <c r="Y779" s="33">
        <f ca="1">+Y778*Assumptions!$H$191</f>
        <v>-2395.0972617579287</v>
      </c>
      <c r="Z779" s="33">
        <f ca="1">+Z778*Assumptions!$H$191</f>
        <v>-4.1756720747798684E-13</v>
      </c>
      <c r="AA779" s="33">
        <f ca="1">+AA778*Assumptions!$H$191</f>
        <v>-4.1756720747798684E-13</v>
      </c>
      <c r="AB779" s="33">
        <f ca="1">+AB778*Assumptions!$H$191</f>
        <v>-4.1756720747798684E-13</v>
      </c>
      <c r="AC779" s="33">
        <f ca="1">+AC778*Assumptions!$H$191</f>
        <v>-4.1756720747798684E-13</v>
      </c>
      <c r="AD779" s="33">
        <f ca="1">+AD778*Assumptions!$H$191</f>
        <v>-4.1756720747798684E-13</v>
      </c>
      <c r="AE779" s="33">
        <f ca="1">+AE778*Assumptions!$H$191</f>
        <v>-4.1756720747798684E-13</v>
      </c>
      <c r="AF779" s="33">
        <f ca="1">+AF778*Assumptions!$H$191</f>
        <v>-4.1756720747798684E-13</v>
      </c>
      <c r="AG779" s="33">
        <f ca="1">+AG778*Assumptions!$H$191</f>
        <v>-4.1756720747798684E-13</v>
      </c>
      <c r="AH779" s="33">
        <f ca="1">+AH778*Assumptions!$H$191</f>
        <v>-4.1756720747798684E-13</v>
      </c>
      <c r="AI779" s="33">
        <f ca="1">+AI778*Assumptions!$H$191</f>
        <v>-4.1756720747798684E-13</v>
      </c>
      <c r="AJ779" s="33">
        <f ca="1">+AJ778*Assumptions!$H$191</f>
        <v>-4.1756720747798684E-13</v>
      </c>
      <c r="AK779" s="33">
        <f ca="1">+AK778*Assumptions!$H$191</f>
        <v>-4.1756720747798684E-13</v>
      </c>
      <c r="AL779" s="33">
        <f ca="1">+AL778*Assumptions!$H$191</f>
        <v>-4.1756720747798684E-13</v>
      </c>
      <c r="AM779" s="33">
        <f ca="1">+AM778*Assumptions!$H$191</f>
        <v>-4.1756720747798684E-13</v>
      </c>
      <c r="AN779" s="33">
        <f ca="1">+AN778*Assumptions!$H$191</f>
        <v>-4.1756720747798684E-13</v>
      </c>
      <c r="AO779" s="33">
        <f ca="1">+AO778*Assumptions!$H$191</f>
        <v>-4.1756720747798684E-13</v>
      </c>
      <c r="AP779" s="33">
        <f ca="1">+AP778*Assumptions!$H$191</f>
        <v>-4.1756720747798684E-13</v>
      </c>
      <c r="AQ779" s="33">
        <f ca="1">+AQ778*Assumptions!$H$191</f>
        <v>-4.1756720747798684E-13</v>
      </c>
      <c r="AR779" s="33">
        <f ca="1">+AR778*Assumptions!$H$191</f>
        <v>-4.1756720747798684E-13</v>
      </c>
      <c r="AS779" s="33">
        <f ca="1">+AS778*Assumptions!$H$191</f>
        <v>-4.1756720747798684E-13</v>
      </c>
      <c r="AT779" s="33">
        <f ca="1">+AT778*Assumptions!$H$191</f>
        <v>-4.1756720747798684E-13</v>
      </c>
      <c r="AU779" s="33">
        <f ca="1">+AU778*Assumptions!$H$191</f>
        <v>-4.1756720747798684E-13</v>
      </c>
      <c r="AV779" s="33">
        <f ca="1">+AV778*Assumptions!$H$191</f>
        <v>-4.1756720747798684E-13</v>
      </c>
      <c r="AW779" s="33">
        <f ca="1">+AW778*Assumptions!$H$191</f>
        <v>-4.1756720747798684E-13</v>
      </c>
      <c r="AX779" s="33">
        <f ca="1">+AX778*Assumptions!$H$191</f>
        <v>-4.1756720747798684E-13</v>
      </c>
      <c r="AY779" s="33">
        <f ca="1">+AY778*Assumptions!$H$191</f>
        <v>-4.1756720747798684E-13</v>
      </c>
      <c r="AZ779" s="33">
        <f ca="1">+AZ778*Assumptions!$H$191</f>
        <v>-4.1756720747798684E-13</v>
      </c>
      <c r="BA779" s="33">
        <f ca="1">+BA778*Assumptions!$H$191</f>
        <v>-4.1756720747798684E-13</v>
      </c>
      <c r="BB779" s="33">
        <f ca="1">+BB778*Assumptions!$H$191</f>
        <v>-4.1756720747798684E-13</v>
      </c>
      <c r="BC779" s="33">
        <f ca="1">+BC778*Assumptions!$H$191</f>
        <v>-4.1756720747798684E-13</v>
      </c>
      <c r="BD779" s="33">
        <f ca="1">+BD778*Assumptions!$H$191</f>
        <v>-4.1756720747798684E-13</v>
      </c>
      <c r="BE779" s="33">
        <f ca="1">+BE778*Assumptions!$H$191</f>
        <v>-4.1756720747798684E-13</v>
      </c>
      <c r="BF779" s="33">
        <f ca="1">+BF778*Assumptions!$H$191</f>
        <v>-4.1756720747798684E-13</v>
      </c>
      <c r="BG779" s="33">
        <f ca="1">+BG778*Assumptions!$H$191</f>
        <v>-4.1756720747798684E-13</v>
      </c>
      <c r="BH779" s="33">
        <f ca="1">+BH778*Assumptions!$H$191</f>
        <v>-4.1756720747798684E-13</v>
      </c>
      <c r="BI779" s="33">
        <f ca="1">+BI778*Assumptions!$H$191</f>
        <v>-4.1756720747798684E-13</v>
      </c>
      <c r="BJ779" s="33">
        <f ca="1">+BJ778*Assumptions!$H$191</f>
        <v>-4.1756720747798684E-13</v>
      </c>
      <c r="BK779" s="33">
        <f ca="1">+BK778*Assumptions!$H$191</f>
        <v>-4.1756720747798684E-13</v>
      </c>
      <c r="BL779" s="33">
        <f ca="1">+BL778*Assumptions!$H$191</f>
        <v>-4.1756720747798684E-13</v>
      </c>
      <c r="BM779" s="33">
        <f ca="1">+BM778*Assumptions!$H$191</f>
        <v>-4.1756720747798684E-13</v>
      </c>
      <c r="BN779" s="33">
        <f ca="1">+BN778*Assumptions!$H$191</f>
        <v>-4.1756720747798684E-13</v>
      </c>
      <c r="BO779" s="33">
        <f ca="1">+BO778*Assumptions!$H$191</f>
        <v>-4.1756720747798684E-13</v>
      </c>
      <c r="BP779" s="33">
        <f ca="1">+BP778*Assumptions!$H$191</f>
        <v>-4.1756720747798684E-13</v>
      </c>
      <c r="BQ779" s="33">
        <f ca="1">+BQ778*Assumptions!$H$191</f>
        <v>-4.1756720747798684E-13</v>
      </c>
      <c r="BR779" s="33">
        <f ca="1">+BR778*Assumptions!$H$191</f>
        <v>-4.1756720747798684E-13</v>
      </c>
      <c r="BS779" s="33">
        <f ca="1">+BS778*Assumptions!$H$191</f>
        <v>-4.1756720747798684E-13</v>
      </c>
      <c r="BT779" s="33">
        <f ca="1">+BT778*Assumptions!$H$191</f>
        <v>-4.1756720747798684E-13</v>
      </c>
      <c r="BU779" s="33">
        <f ca="1">+BU778*Assumptions!$H$191</f>
        <v>-4.1756720747798684E-13</v>
      </c>
      <c r="BV779" s="33">
        <f ca="1">+BV778*Assumptions!$H$191</f>
        <v>-4.1756720747798684E-13</v>
      </c>
      <c r="BW779" s="33">
        <f ca="1">+BW778*Assumptions!$H$191</f>
        <v>-4.1756720747798684E-13</v>
      </c>
      <c r="BX779" s="33">
        <f ca="1">+BX778*Assumptions!$H$191</f>
        <v>-4.1756720747798684E-13</v>
      </c>
      <c r="BY779" s="33">
        <f ca="1">+BY778*Assumptions!$H$191</f>
        <v>-4.1756720747798684E-13</v>
      </c>
    </row>
    <row r="780" spans="3:77" outlineLevel="1">
      <c r="C780" s="31"/>
      <c r="E780" s="25" t="s">
        <v>513</v>
      </c>
      <c r="F780" s="81" t="str">
        <f>+Assumptions!$G$8</f>
        <v>USD</v>
      </c>
      <c r="G780" s="25"/>
      <c r="H780" s="34">
        <f>IF(SUM(H781:H790)=0,0,+SUM(H781:H790)-H779)</f>
        <v>0</v>
      </c>
      <c r="I780" s="34">
        <f t="shared" ref="I780:BT780" si="1613">IF(SUM(I781:I790)=0,0,+SUM(I781:I790)-I779)</f>
        <v>0</v>
      </c>
      <c r="J780" s="34">
        <f t="shared" ca="1" si="1613"/>
        <v>-7380.5749615084787</v>
      </c>
      <c r="K780" s="34">
        <f t="shared" ca="1" si="1613"/>
        <v>-26911.218393926727</v>
      </c>
      <c r="L780" s="34">
        <f t="shared" ca="1" si="1613"/>
        <v>-28455.653217554183</v>
      </c>
      <c r="M780" s="34">
        <f t="shared" ca="1" si="1613"/>
        <v>-30088.72315570962</v>
      </c>
      <c r="N780" s="34">
        <f t="shared" ca="1" si="1613"/>
        <v>-31815.514977615796</v>
      </c>
      <c r="O780" s="34">
        <f t="shared" ca="1" si="1613"/>
        <v>-33641.407382181162</v>
      </c>
      <c r="P780" s="34">
        <f t="shared" ca="1" si="1613"/>
        <v>-35572.087751844541</v>
      </c>
      <c r="Q780" s="34">
        <f t="shared" ca="1" si="1613"/>
        <v>-37613.569867922903</v>
      </c>
      <c r="R780" s="34">
        <f t="shared" ca="1" si="1613"/>
        <v>-39772.212642642997</v>
      </c>
      <c r="S780" s="34">
        <f t="shared" ca="1" si="1613"/>
        <v>-42054.739926204282</v>
      </c>
      <c r="T780" s="34">
        <f t="shared" ca="1" si="1613"/>
        <v>-44468.261450569145</v>
      </c>
      <c r="U780" s="34">
        <f t="shared" ca="1" si="1613"/>
        <v>-47020.294975217308</v>
      </c>
      <c r="V780" s="34">
        <f t="shared" ca="1" si="1613"/>
        <v>-49718.789703845032</v>
      </c>
      <c r="W780" s="34">
        <f t="shared" ca="1" si="1613"/>
        <v>-52572.151044948696</v>
      </c>
      <c r="X780" s="34">
        <f t="shared" ca="1" si="1613"/>
        <v>-55589.266793418305</v>
      </c>
      <c r="Y780" s="34">
        <f t="shared" ca="1" si="1613"/>
        <v>-41733.703811777799</v>
      </c>
      <c r="Z780" s="34">
        <f t="shared" si="1613"/>
        <v>0</v>
      </c>
      <c r="AA780" s="34">
        <f t="shared" si="1613"/>
        <v>0</v>
      </c>
      <c r="AB780" s="34">
        <f t="shared" si="1613"/>
        <v>0</v>
      </c>
      <c r="AC780" s="34">
        <f t="shared" si="1613"/>
        <v>0</v>
      </c>
      <c r="AD780" s="34">
        <f t="shared" si="1613"/>
        <v>0</v>
      </c>
      <c r="AE780" s="34">
        <f t="shared" si="1613"/>
        <v>0</v>
      </c>
      <c r="AF780" s="34">
        <f t="shared" si="1613"/>
        <v>0</v>
      </c>
      <c r="AG780" s="34">
        <f t="shared" si="1613"/>
        <v>0</v>
      </c>
      <c r="AH780" s="34">
        <f t="shared" si="1613"/>
        <v>0</v>
      </c>
      <c r="AI780" s="34">
        <f t="shared" si="1613"/>
        <v>0</v>
      </c>
      <c r="AJ780" s="34">
        <f t="shared" si="1613"/>
        <v>0</v>
      </c>
      <c r="AK780" s="34">
        <f t="shared" si="1613"/>
        <v>0</v>
      </c>
      <c r="AL780" s="34">
        <f t="shared" si="1613"/>
        <v>0</v>
      </c>
      <c r="AM780" s="34">
        <f t="shared" si="1613"/>
        <v>0</v>
      </c>
      <c r="AN780" s="34">
        <f t="shared" si="1613"/>
        <v>0</v>
      </c>
      <c r="AO780" s="34">
        <f t="shared" si="1613"/>
        <v>0</v>
      </c>
      <c r="AP780" s="34">
        <f t="shared" si="1613"/>
        <v>0</v>
      </c>
      <c r="AQ780" s="34">
        <f t="shared" si="1613"/>
        <v>0</v>
      </c>
      <c r="AR780" s="34">
        <f t="shared" si="1613"/>
        <v>0</v>
      </c>
      <c r="AS780" s="34">
        <f t="shared" si="1613"/>
        <v>0</v>
      </c>
      <c r="AT780" s="34">
        <f t="shared" si="1613"/>
        <v>0</v>
      </c>
      <c r="AU780" s="34">
        <f t="shared" si="1613"/>
        <v>0</v>
      </c>
      <c r="AV780" s="34">
        <f t="shared" si="1613"/>
        <v>0</v>
      </c>
      <c r="AW780" s="34">
        <f t="shared" si="1613"/>
        <v>0</v>
      </c>
      <c r="AX780" s="34">
        <f t="shared" si="1613"/>
        <v>0</v>
      </c>
      <c r="AY780" s="34">
        <f t="shared" si="1613"/>
        <v>0</v>
      </c>
      <c r="AZ780" s="34">
        <f t="shared" si="1613"/>
        <v>0</v>
      </c>
      <c r="BA780" s="34">
        <f t="shared" si="1613"/>
        <v>0</v>
      </c>
      <c r="BB780" s="34">
        <f t="shared" si="1613"/>
        <v>0</v>
      </c>
      <c r="BC780" s="34">
        <f t="shared" si="1613"/>
        <v>0</v>
      </c>
      <c r="BD780" s="34">
        <f t="shared" si="1613"/>
        <v>0</v>
      </c>
      <c r="BE780" s="34">
        <f t="shared" si="1613"/>
        <v>0</v>
      </c>
      <c r="BF780" s="34">
        <f t="shared" si="1613"/>
        <v>0</v>
      </c>
      <c r="BG780" s="34">
        <f t="shared" si="1613"/>
        <v>0</v>
      </c>
      <c r="BH780" s="34">
        <f t="shared" si="1613"/>
        <v>0</v>
      </c>
      <c r="BI780" s="34">
        <f t="shared" si="1613"/>
        <v>0</v>
      </c>
      <c r="BJ780" s="34">
        <f t="shared" si="1613"/>
        <v>0</v>
      </c>
      <c r="BK780" s="34">
        <f t="shared" si="1613"/>
        <v>0</v>
      </c>
      <c r="BL780" s="34">
        <f t="shared" si="1613"/>
        <v>0</v>
      </c>
      <c r="BM780" s="34">
        <f t="shared" si="1613"/>
        <v>0</v>
      </c>
      <c r="BN780" s="34">
        <f t="shared" si="1613"/>
        <v>0</v>
      </c>
      <c r="BO780" s="34">
        <f t="shared" si="1613"/>
        <v>0</v>
      </c>
      <c r="BP780" s="34">
        <f t="shared" si="1613"/>
        <v>0</v>
      </c>
      <c r="BQ780" s="34">
        <f t="shared" si="1613"/>
        <v>0</v>
      </c>
      <c r="BR780" s="34">
        <f t="shared" si="1613"/>
        <v>0</v>
      </c>
      <c r="BS780" s="34">
        <f t="shared" si="1613"/>
        <v>0</v>
      </c>
      <c r="BT780" s="34">
        <f t="shared" si="1613"/>
        <v>0</v>
      </c>
      <c r="BU780" s="34">
        <f t="shared" ref="BU780:BY780" si="1614">IF(SUM(BU781:BU790)=0,0,+SUM(BU781:BU790)-BU779)</f>
        <v>0</v>
      </c>
      <c r="BV780" s="34">
        <f t="shared" si="1614"/>
        <v>0</v>
      </c>
      <c r="BW780" s="34">
        <f t="shared" si="1614"/>
        <v>0</v>
      </c>
      <c r="BX780" s="34">
        <f t="shared" si="1614"/>
        <v>0</v>
      </c>
      <c r="BY780" s="34">
        <f t="shared" si="1614"/>
        <v>0</v>
      </c>
    </row>
    <row r="781" spans="3:77" outlineLevel="1">
      <c r="C781" s="31"/>
      <c r="E781" s="24" t="s">
        <v>514</v>
      </c>
      <c r="F781" s="80" t="str">
        <f>+Assumptions!$G$8</f>
        <v>USD</v>
      </c>
      <c r="G781" s="24"/>
      <c r="H781" s="39">
        <f>+IFERROR(-ABS(IF(EDATE(_xlfn.XLOOKUP(1,$H768:$BE768,$H$4:$BE$4),12*Assumptions!$H$193+12)=H$4,0,IF(G768=1,PMT(Assumptions!$H$191,Assumptions!$H$193,$C770),G781))),0)</f>
        <v>0</v>
      </c>
      <c r="I781" s="39">
        <f>+IFERROR(-ABS(IF(EDATE(_xlfn.XLOOKUP(1,$H768:$BE768,$H$4:$BE$4),12*Assumptions!$H$193+12)=I$4,0,IF(H768=1,PMT(Assumptions!$H$191,Assumptions!$H$193,$C770),H781))),0)</f>
        <v>0</v>
      </c>
      <c r="J781" s="39">
        <f ca="1">+IFERROR(-ABS(IF(EDATE(_xlfn.XLOOKUP(1,$H768:$BE768,$H$4:$BE$4),12*Assumptions!$H$193+12)=J$4,0,IF(I768=1,PMT(Assumptions!$H$191,Assumptions!$H$193,$C770),I781))),0)</f>
        <v>-17045.83100291478</v>
      </c>
      <c r="K781" s="39">
        <f ca="1">+IFERROR(-ABS(IF(EDATE(_xlfn.XLOOKUP(1,$H768:$BE768,$H$4:$BE$4),12*Assumptions!$H$193+12)=K$4,0,IF(J768=1,PMT(Assumptions!$H$191,Assumptions!$H$193,$C770),J781))),0)</f>
        <v>-17045.83100291478</v>
      </c>
      <c r="L781" s="39">
        <f ca="1">+IFERROR(-ABS(IF(EDATE(_xlfn.XLOOKUP(1,$H768:$BE768,$H$4:$BE$4),12*Assumptions!$H$193+12)=L$4,0,IF(K768=1,PMT(Assumptions!$H$191,Assumptions!$H$193,$C770),K781))),0)</f>
        <v>-17045.83100291478</v>
      </c>
      <c r="M781" s="39">
        <f ca="1">+IFERROR(-ABS(IF(EDATE(_xlfn.XLOOKUP(1,$H768:$BE768,$H$4:$BE$4),12*Assumptions!$H$193+12)=M$4,0,IF(L768=1,PMT(Assumptions!$H$191,Assumptions!$H$193,$C770),L781))),0)</f>
        <v>-17045.83100291478</v>
      </c>
      <c r="N781" s="39">
        <f ca="1">+IFERROR(-ABS(IF(EDATE(_xlfn.XLOOKUP(1,$H768:$BE768,$H$4:$BE$4),12*Assumptions!$H$193+12)=N$4,0,IF(M768=1,PMT(Assumptions!$H$191,Assumptions!$H$193,$C770),M781))),0)</f>
        <v>-17045.83100291478</v>
      </c>
      <c r="O781" s="39">
        <f ca="1">+IFERROR(-ABS(IF(EDATE(_xlfn.XLOOKUP(1,$H768:$BE768,$H$4:$BE$4),12*Assumptions!$H$193+12)=O$4,0,IF(N768=1,PMT(Assumptions!$H$191,Assumptions!$H$193,$C770),N781))),0)</f>
        <v>-17045.83100291478</v>
      </c>
      <c r="P781" s="39">
        <f ca="1">+IFERROR(-ABS(IF(EDATE(_xlfn.XLOOKUP(1,$H768:$BE768,$H$4:$BE$4),12*Assumptions!$H$193+12)=P$4,0,IF(O768=1,PMT(Assumptions!$H$191,Assumptions!$H$193,$C770),O781))),0)</f>
        <v>-17045.83100291478</v>
      </c>
      <c r="Q781" s="39">
        <f ca="1">+IFERROR(-ABS(IF(EDATE(_xlfn.XLOOKUP(1,$H768:$BE768,$H$4:$BE$4),12*Assumptions!$H$193+12)=Q$4,0,IF(P768=1,PMT(Assumptions!$H$191,Assumptions!$H$193,$C770),P781))),0)</f>
        <v>-17045.83100291478</v>
      </c>
      <c r="R781" s="39">
        <f ca="1">+IFERROR(-ABS(IF(EDATE(_xlfn.XLOOKUP(1,$H768:$BE768,$H$4:$BE$4),12*Assumptions!$H$193+12)=R$4,0,IF(Q768=1,PMT(Assumptions!$H$191,Assumptions!$H$193,$C770),Q781))),0)</f>
        <v>-17045.83100291478</v>
      </c>
      <c r="S781" s="39">
        <f ca="1">+IFERROR(-ABS(IF(EDATE(_xlfn.XLOOKUP(1,$H768:$BE768,$H$4:$BE$4),12*Assumptions!$H$193+12)=S$4,0,IF(R768=1,PMT(Assumptions!$H$191,Assumptions!$H$193,$C770),R781))),0)</f>
        <v>-17045.83100291478</v>
      </c>
      <c r="T781" s="39">
        <f ca="1">+IFERROR(-ABS(IF(EDATE(_xlfn.XLOOKUP(1,$H768:$BE768,$H$4:$BE$4),12*Assumptions!$H$193+12)=T$4,0,IF(S768=1,PMT(Assumptions!$H$191,Assumptions!$H$193,$C770),S781))),0)</f>
        <v>-17045.83100291478</v>
      </c>
      <c r="U781" s="39">
        <f ca="1">+IFERROR(-ABS(IF(EDATE(_xlfn.XLOOKUP(1,$H768:$BE768,$H$4:$BE$4),12*Assumptions!$H$193+12)=U$4,0,IF(T768=1,PMT(Assumptions!$H$191,Assumptions!$H$193,$C770),T781))),0)</f>
        <v>-17045.83100291478</v>
      </c>
      <c r="V781" s="39">
        <f ca="1">+IFERROR(-ABS(IF(EDATE(_xlfn.XLOOKUP(1,$H768:$BE768,$H$4:$BE$4),12*Assumptions!$H$193+12)=V$4,0,IF(U768=1,PMT(Assumptions!$H$191,Assumptions!$H$193,$C770),U781))),0)</f>
        <v>-17045.83100291478</v>
      </c>
      <c r="W781" s="39">
        <f ca="1">+IFERROR(-ABS(IF(EDATE(_xlfn.XLOOKUP(1,$H768:$BE768,$H$4:$BE$4),12*Assumptions!$H$193+12)=W$4,0,IF(V768=1,PMT(Assumptions!$H$191,Assumptions!$H$193,$C770),V781))),0)</f>
        <v>-17045.83100291478</v>
      </c>
      <c r="X781" s="39">
        <f ca="1">+IFERROR(-ABS(IF(EDATE(_xlfn.XLOOKUP(1,$H768:$BE768,$H$4:$BE$4),12*Assumptions!$H$193+12)=X$4,0,IF(W768=1,PMT(Assumptions!$H$191,Assumptions!$H$193,$C770),W781))),0)</f>
        <v>-17045.83100291478</v>
      </c>
      <c r="Y781" s="39">
        <f>+IFERROR(-ABS(IF(EDATE(_xlfn.XLOOKUP(1,$H768:$BE768,$H$4:$BE$4),12*Assumptions!$H$193+12)=Y$4,0,IF(X768=1,PMT(Assumptions!$H$191,Assumptions!$H$193,$C770),X781))),0)</f>
        <v>0</v>
      </c>
      <c r="Z781" s="39">
        <f>+IFERROR(-ABS(IF(EDATE(_xlfn.XLOOKUP(1,$H768:$BE768,$H$4:$BE$4),12*Assumptions!$H$193+12)=Z$4,0,IF(Y768=1,PMT(Assumptions!$H$191,Assumptions!$H$193,$C770),Y781))),0)</f>
        <v>0</v>
      </c>
      <c r="AA781" s="39">
        <f>+IFERROR(-ABS(IF(EDATE(_xlfn.XLOOKUP(1,$H768:$BE768,$H$4:$BE$4),12*Assumptions!$H$193+12)=AA$4,0,IF(Z768=1,PMT(Assumptions!$H$191,Assumptions!$H$193,$C770),Z781))),0)</f>
        <v>0</v>
      </c>
      <c r="AB781" s="39">
        <f>+IFERROR(-ABS(IF(EDATE(_xlfn.XLOOKUP(1,$H768:$BE768,$H$4:$BE$4),12*Assumptions!$H$193+12)=AB$4,0,IF(AA768=1,PMT(Assumptions!$H$191,Assumptions!$H$193,$C770),AA781))),0)</f>
        <v>0</v>
      </c>
      <c r="AC781" s="39">
        <f>+IFERROR(-ABS(IF(EDATE(_xlfn.XLOOKUP(1,$H768:$BE768,$H$4:$BE$4),12*Assumptions!$H$193+12)=AC$4,0,IF(AB768=1,PMT(Assumptions!$H$191,Assumptions!$H$193,$C770),AB781))),0)</f>
        <v>0</v>
      </c>
      <c r="AD781" s="39">
        <f>+IFERROR(-ABS(IF(EDATE(_xlfn.XLOOKUP(1,$H768:$BE768,$H$4:$BE$4),12*Assumptions!$H$193+12)=AD$4,0,IF(AC768=1,PMT(Assumptions!$H$191,Assumptions!$H$193,$C770),AC781))),0)</f>
        <v>0</v>
      </c>
      <c r="AE781" s="39">
        <f>+IFERROR(-ABS(IF(EDATE(_xlfn.XLOOKUP(1,$H768:$BE768,$H$4:$BE$4),12*Assumptions!$H$193+12)=AE$4,0,IF(AD768=1,PMT(Assumptions!$H$191,Assumptions!$H$193,$C770),AD781))),0)</f>
        <v>0</v>
      </c>
      <c r="AF781" s="39">
        <f>+IFERROR(-ABS(IF(EDATE(_xlfn.XLOOKUP(1,$H768:$BE768,$H$4:$BE$4),12*Assumptions!$H$193+12)=AF$4,0,IF(AE768=1,PMT(Assumptions!$H$191,Assumptions!$H$193,$C770),AE781))),0)</f>
        <v>0</v>
      </c>
      <c r="AG781" s="39">
        <f>+IFERROR(-ABS(IF(EDATE(_xlfn.XLOOKUP(1,$H768:$BE768,$H$4:$BE$4),12*Assumptions!$H$193+12)=AG$4,0,IF(AF768=1,PMT(Assumptions!$H$191,Assumptions!$H$193,$C770),AF781))),0)</f>
        <v>0</v>
      </c>
      <c r="AH781" s="39">
        <f>+IFERROR(-ABS(IF(EDATE(_xlfn.XLOOKUP(1,$H768:$BE768,$H$4:$BE$4),12*Assumptions!$H$193+12)=AH$4,0,IF(AG768=1,PMT(Assumptions!$H$191,Assumptions!$H$193,$C770),AG781))),0)</f>
        <v>0</v>
      </c>
      <c r="AI781" s="39">
        <f>+IFERROR(-ABS(IF(EDATE(_xlfn.XLOOKUP(1,$H768:$BE768,$H$4:$BE$4),12*Assumptions!$H$193+12)=AI$4,0,IF(AH768=1,PMT(Assumptions!$H$191,Assumptions!$H$193,$C770),AH781))),0)</f>
        <v>0</v>
      </c>
      <c r="AJ781" s="39">
        <f>+IFERROR(-ABS(IF(EDATE(_xlfn.XLOOKUP(1,$H768:$BE768,$H$4:$BE$4),12*Assumptions!$H$193+12)=AJ$4,0,IF(AI768=1,PMT(Assumptions!$H$191,Assumptions!$H$193,$C770),AI781))),0)</f>
        <v>0</v>
      </c>
      <c r="AK781" s="39">
        <f>+IFERROR(-ABS(IF(EDATE(_xlfn.XLOOKUP(1,$H768:$BE768,$H$4:$BE$4),12*Assumptions!$H$193+12)=AK$4,0,IF(AJ768=1,PMT(Assumptions!$H$191,Assumptions!$H$193,$C770),AJ781))),0)</f>
        <v>0</v>
      </c>
      <c r="AL781" s="39">
        <f>+IFERROR(-ABS(IF(EDATE(_xlfn.XLOOKUP(1,$H768:$BE768,$H$4:$BE$4),12*Assumptions!$H$193+12)=AL$4,0,IF(AK768=1,PMT(Assumptions!$H$191,Assumptions!$H$193,$C770),AK781))),0)</f>
        <v>0</v>
      </c>
      <c r="AM781" s="39">
        <f>+IFERROR(-ABS(IF(EDATE(_xlfn.XLOOKUP(1,$H768:$BE768,$H$4:$BE$4),12*Assumptions!$H$193+12)=AM$4,0,IF(AL768=1,PMT(Assumptions!$H$191,Assumptions!$H$193,$C770),AL781))),0)</f>
        <v>0</v>
      </c>
      <c r="AN781" s="39">
        <f>+IFERROR(-ABS(IF(EDATE(_xlfn.XLOOKUP(1,$H768:$BE768,$H$4:$BE$4),12*Assumptions!$H$193+12)=AN$4,0,IF(AM768=1,PMT(Assumptions!$H$191,Assumptions!$H$193,$C770),AM781))),0)</f>
        <v>0</v>
      </c>
      <c r="AO781" s="39">
        <f>+IFERROR(-ABS(IF(EDATE(_xlfn.XLOOKUP(1,$H768:$BE768,$H$4:$BE$4),12*Assumptions!$H$193+12)=AO$4,0,IF(AN768=1,PMT(Assumptions!$H$191,Assumptions!$H$193,$C770),AN781))),0)</f>
        <v>0</v>
      </c>
      <c r="AP781" s="39">
        <f>+IFERROR(-ABS(IF(EDATE(_xlfn.XLOOKUP(1,$H768:$BE768,$H$4:$BE$4),12*Assumptions!$H$193+12)=AP$4,0,IF(AO768=1,PMT(Assumptions!$H$191,Assumptions!$H$193,$C770),AO781))),0)</f>
        <v>0</v>
      </c>
      <c r="AQ781" s="39">
        <f>+IFERROR(-ABS(IF(EDATE(_xlfn.XLOOKUP(1,$H768:$BE768,$H$4:$BE$4),12*Assumptions!$H$193+12)=AQ$4,0,IF(AP768=1,PMT(Assumptions!$H$191,Assumptions!$H$193,$C770),AP781))),0)</f>
        <v>0</v>
      </c>
      <c r="AR781" s="39">
        <f>+IFERROR(-ABS(IF(EDATE(_xlfn.XLOOKUP(1,$H768:$BE768,$H$4:$BE$4),12*Assumptions!$H$193+12)=AR$4,0,IF(AQ768=1,PMT(Assumptions!$H$191,Assumptions!$H$193,$C770),AQ781))),0)</f>
        <v>0</v>
      </c>
      <c r="AS781" s="39">
        <f>+IFERROR(-ABS(IF(EDATE(_xlfn.XLOOKUP(1,$H768:$BE768,$H$4:$BE$4),12*Assumptions!$H$193+12)=AS$4,0,IF(AR768=1,PMT(Assumptions!$H$191,Assumptions!$H$193,$C770),AR781))),0)</f>
        <v>0</v>
      </c>
      <c r="AT781" s="39">
        <f>+IFERROR(-ABS(IF(EDATE(_xlfn.XLOOKUP(1,$H768:$BE768,$H$4:$BE$4),12*Assumptions!$H$193+12)=AT$4,0,IF(AS768=1,PMT(Assumptions!$H$191,Assumptions!$H$193,$C770),AS781))),0)</f>
        <v>0</v>
      </c>
      <c r="AU781" s="39">
        <f>+IFERROR(-ABS(IF(EDATE(_xlfn.XLOOKUP(1,$H768:$BE768,$H$4:$BE$4),12*Assumptions!$H$193+12)=AU$4,0,IF(AT768=1,PMT(Assumptions!$H$191,Assumptions!$H$193,$C770),AT781))),0)</f>
        <v>0</v>
      </c>
      <c r="AV781" s="39">
        <f>+IFERROR(-ABS(IF(EDATE(_xlfn.XLOOKUP(1,$H768:$BE768,$H$4:$BE$4),12*Assumptions!$H$193+12)=AV$4,0,IF(AU768=1,PMT(Assumptions!$H$191,Assumptions!$H$193,$C770),AU781))),0)</f>
        <v>0</v>
      </c>
      <c r="AW781" s="39">
        <f>+IFERROR(-ABS(IF(EDATE(_xlfn.XLOOKUP(1,$H768:$BE768,$H$4:$BE$4),12*Assumptions!$H$193+12)=AW$4,0,IF(AV768=1,PMT(Assumptions!$H$191,Assumptions!$H$193,$C770),AV781))),0)</f>
        <v>0</v>
      </c>
      <c r="AX781" s="39">
        <f>+IFERROR(-ABS(IF(EDATE(_xlfn.XLOOKUP(1,$H768:$BE768,$H$4:$BE$4),12*Assumptions!$H$193+12)=AX$4,0,IF(AW768=1,PMT(Assumptions!$H$191,Assumptions!$H$193,$C770),AW781))),0)</f>
        <v>0</v>
      </c>
      <c r="AY781" s="39">
        <f>+IFERROR(-ABS(IF(EDATE(_xlfn.XLOOKUP(1,$H768:$BE768,$H$4:$BE$4),12*Assumptions!$H$193+12)=AY$4,0,IF(AX768=1,PMT(Assumptions!$H$191,Assumptions!$H$193,$C770),AX781))),0)</f>
        <v>0</v>
      </c>
      <c r="AZ781" s="39">
        <f>+IFERROR(-ABS(IF(EDATE(_xlfn.XLOOKUP(1,$H768:$BE768,$H$4:$BE$4),12*Assumptions!$H$193+12)=AZ$4,0,IF(AY768=1,PMT(Assumptions!$H$191,Assumptions!$H$193,$C770),AY781))),0)</f>
        <v>0</v>
      </c>
      <c r="BA781" s="39">
        <f>+IFERROR(-ABS(IF(EDATE(_xlfn.XLOOKUP(1,$H768:$BE768,$H$4:$BE$4),12*Assumptions!$H$193+12)=BA$4,0,IF(AZ768=1,PMT(Assumptions!$H$191,Assumptions!$H$193,$C770),AZ781))),0)</f>
        <v>0</v>
      </c>
      <c r="BB781" s="39">
        <f>+IFERROR(-ABS(IF(EDATE(_xlfn.XLOOKUP(1,$H768:$BE768,$H$4:$BE$4),12*Assumptions!$H$193+12)=BB$4,0,IF(BA768=1,PMT(Assumptions!$H$191,Assumptions!$H$193,$C770),BA781))),0)</f>
        <v>0</v>
      </c>
      <c r="BC781" s="39">
        <f>+IFERROR(-ABS(IF(EDATE(_xlfn.XLOOKUP(1,$H768:$BE768,$H$4:$BE$4),12*Assumptions!$H$193+12)=BC$4,0,IF(BB768=1,PMT(Assumptions!$H$191,Assumptions!$H$193,$C770),BB781))),0)</f>
        <v>0</v>
      </c>
      <c r="BD781" s="39">
        <f>+IFERROR(-ABS(IF(EDATE(_xlfn.XLOOKUP(1,$H768:$BE768,$H$4:$BE$4),12*Assumptions!$H$193+12)=BD$4,0,IF(BC768=1,PMT(Assumptions!$H$191,Assumptions!$H$193,$C770),BC781))),0)</f>
        <v>0</v>
      </c>
      <c r="BE781" s="39">
        <f>+IFERROR(-ABS(IF(EDATE(_xlfn.XLOOKUP(1,$H768:$BE768,$H$4:$BE$4),12*Assumptions!$H$193+12)=BE$4,0,IF(BD768=1,PMT(Assumptions!$H$191,Assumptions!$H$193,$C770),BD781))),0)</f>
        <v>0</v>
      </c>
      <c r="BF781" s="39">
        <f>+IFERROR(-ABS(IF(EDATE(_xlfn.XLOOKUP(1,$H768:$BE768,$H$4:$BE$4),12*Assumptions!$H$193+12)=BF$4,0,IF(BE768=1,PMT(Assumptions!$H$191,Assumptions!$H$193,$C770),BE781))),0)</f>
        <v>0</v>
      </c>
      <c r="BG781" s="39">
        <f>+IFERROR(-ABS(IF(EDATE(_xlfn.XLOOKUP(1,$H768:$BE768,$H$4:$BE$4),12*Assumptions!$H$193+12)=BG$4,0,IF(BF768=1,PMT(Assumptions!$H$191,Assumptions!$H$193,$C770),BF781))),0)</f>
        <v>0</v>
      </c>
      <c r="BH781" s="39">
        <f>+IFERROR(-ABS(IF(EDATE(_xlfn.XLOOKUP(1,$H768:$BE768,$H$4:$BE$4),12*Assumptions!$H$193+12)=BH$4,0,IF(BG768=1,PMT(Assumptions!$H$191,Assumptions!$H$193,$C770),BG781))),0)</f>
        <v>0</v>
      </c>
      <c r="BI781" s="39">
        <f>+IFERROR(-ABS(IF(EDATE(_xlfn.XLOOKUP(1,$H768:$BE768,$H$4:$BE$4),12*Assumptions!$H$193+12)=BI$4,0,IF(BH768=1,PMT(Assumptions!$H$191,Assumptions!$H$193,$C770),BH781))),0)</f>
        <v>0</v>
      </c>
      <c r="BJ781" s="39">
        <f>+IFERROR(-ABS(IF(EDATE(_xlfn.XLOOKUP(1,$H768:$BE768,$H$4:$BE$4),12*Assumptions!$H$193+12)=BJ$4,0,IF(BI768=1,PMT(Assumptions!$H$191,Assumptions!$H$193,$C770),BI781))),0)</f>
        <v>0</v>
      </c>
      <c r="BK781" s="39">
        <f>+IFERROR(-ABS(IF(EDATE(_xlfn.XLOOKUP(1,$H768:$BE768,$H$4:$BE$4),12*Assumptions!$H$193+12)=BK$4,0,IF(BJ768=1,PMT(Assumptions!$H$191,Assumptions!$H$193,$C770),BJ781))),0)</f>
        <v>0</v>
      </c>
      <c r="BL781" s="39">
        <f>+IFERROR(-ABS(IF(EDATE(_xlfn.XLOOKUP(1,$H768:$BE768,$H$4:$BE$4),12*Assumptions!$H$193+12)=BL$4,0,IF(BK768=1,PMT(Assumptions!$H$191,Assumptions!$H$193,$C770),BK781))),0)</f>
        <v>0</v>
      </c>
      <c r="BM781" s="39">
        <f>+IFERROR(-ABS(IF(EDATE(_xlfn.XLOOKUP(1,$H768:$BE768,$H$4:$BE$4),12*Assumptions!$H$193+12)=BM$4,0,IF(BL768=1,PMT(Assumptions!$H$191,Assumptions!$H$193,$C770),BL781))),0)</f>
        <v>0</v>
      </c>
      <c r="BN781" s="39">
        <f>+IFERROR(-ABS(IF(EDATE(_xlfn.XLOOKUP(1,$H768:$BE768,$H$4:$BE$4),12*Assumptions!$H$193+12)=BN$4,0,IF(BM768=1,PMT(Assumptions!$H$191,Assumptions!$H$193,$C770),BM781))),0)</f>
        <v>0</v>
      </c>
      <c r="BO781" s="39">
        <f>+IFERROR(-ABS(IF(EDATE(_xlfn.XLOOKUP(1,$H768:$BE768,$H$4:$BE$4),12*Assumptions!$H$193+12)=BO$4,0,IF(BN768=1,PMT(Assumptions!$H$191,Assumptions!$H$193,$C770),BN781))),0)</f>
        <v>0</v>
      </c>
      <c r="BP781" s="39">
        <f>+IFERROR(-ABS(IF(EDATE(_xlfn.XLOOKUP(1,$H768:$BE768,$H$4:$BE$4),12*Assumptions!$H$193+12)=BP$4,0,IF(BO768=1,PMT(Assumptions!$H$191,Assumptions!$H$193,$C770),BO781))),0)</f>
        <v>0</v>
      </c>
      <c r="BQ781" s="39">
        <f>+IFERROR(-ABS(IF(EDATE(_xlfn.XLOOKUP(1,$H768:$BE768,$H$4:$BE$4),12*Assumptions!$H$193+12)=BQ$4,0,IF(BP768=1,PMT(Assumptions!$H$191,Assumptions!$H$193,$C770),BP781))),0)</f>
        <v>0</v>
      </c>
      <c r="BR781" s="39">
        <f>+IFERROR(-ABS(IF(EDATE(_xlfn.XLOOKUP(1,$H768:$BE768,$H$4:$BE$4),12*Assumptions!$H$193+12)=BR$4,0,IF(BQ768=1,PMT(Assumptions!$H$191,Assumptions!$H$193,$C770),BQ781))),0)</f>
        <v>0</v>
      </c>
      <c r="BS781" s="39">
        <f>+IFERROR(-ABS(IF(EDATE(_xlfn.XLOOKUP(1,$H768:$BE768,$H$4:$BE$4),12*Assumptions!$H$193+12)=BS$4,0,IF(BR768=1,PMT(Assumptions!$H$191,Assumptions!$H$193,$C770),BR781))),0)</f>
        <v>0</v>
      </c>
      <c r="BT781" s="39">
        <f>+IFERROR(-ABS(IF(EDATE(_xlfn.XLOOKUP(1,$H768:$BE768,$H$4:$BE$4),12*Assumptions!$H$193+12)=BT$4,0,IF(BS768=1,PMT(Assumptions!$H$191,Assumptions!$H$193,$C770),BS781))),0)</f>
        <v>0</v>
      </c>
      <c r="BU781" s="39">
        <f>+IFERROR(-ABS(IF(EDATE(_xlfn.XLOOKUP(1,$H768:$BE768,$H$4:$BE$4),12*Assumptions!$H$193+12)=BU$4,0,IF(BT768=1,PMT(Assumptions!$H$191,Assumptions!$H$193,$C770),BT781))),0)</f>
        <v>0</v>
      </c>
      <c r="BV781" s="39">
        <f>+IFERROR(-ABS(IF(EDATE(_xlfn.XLOOKUP(1,$H768:$BE768,$H$4:$BE$4),12*Assumptions!$H$193+12)=BV$4,0,IF(BU768=1,PMT(Assumptions!$H$191,Assumptions!$H$193,$C770),BU781))),0)</f>
        <v>0</v>
      </c>
      <c r="BW781" s="39">
        <f>+IFERROR(-ABS(IF(EDATE(_xlfn.XLOOKUP(1,$H768:$BE768,$H$4:$BE$4),12*Assumptions!$H$193+12)=BW$4,0,IF(BV768=1,PMT(Assumptions!$H$191,Assumptions!$H$193,$C770),BV781))),0)</f>
        <v>0</v>
      </c>
      <c r="BX781" s="39">
        <f>+IFERROR(-ABS(IF(EDATE(_xlfn.XLOOKUP(1,$H768:$BE768,$H$4:$BE$4),12*Assumptions!$H$193+12)=BX$4,0,IF(BW768=1,PMT(Assumptions!$H$191,Assumptions!$H$193,$C770),BW781))),0)</f>
        <v>0</v>
      </c>
      <c r="BY781" s="39">
        <f>+IFERROR(-ABS(IF(EDATE(_xlfn.XLOOKUP(1,$H768:$BE768,$H$4:$BE$4),12*Assumptions!$H$193+12)=BY$4,0,IF(BX768=1,PMT(Assumptions!$H$191,Assumptions!$H$193,$C770),BX781))),0)</f>
        <v>0</v>
      </c>
    </row>
    <row r="782" spans="3:77" outlineLevel="1">
      <c r="C782" s="31"/>
      <c r="E782" s="24" t="s">
        <v>515</v>
      </c>
      <c r="F782" s="80" t="str">
        <f>+Assumptions!$G$8</f>
        <v>USD</v>
      </c>
      <c r="G782" s="24"/>
      <c r="H782" s="39">
        <f>+IFERROR(-ABS(IF(EDATE(_xlfn.XLOOKUP(1,$H769:$BE769,$H$4:$BE$4),12*Assumptions!$H$193+12)=H$4,0,IF(G769=1,PMT(Assumptions!$H$191,Assumptions!$H$193,$C771),G782))),0)</f>
        <v>0</v>
      </c>
      <c r="I782" s="39">
        <f>+IFERROR(-ABS(IF(EDATE(_xlfn.XLOOKUP(1,$H769:$BE769,$H$4:$BE$4),12*Assumptions!$H$193+12)=I$4,0,IF(H769=1,PMT(Assumptions!$H$191,Assumptions!$H$193,$C771),H782))),0)</f>
        <v>0</v>
      </c>
      <c r="J782" s="39">
        <f>+IFERROR(-ABS(IF(EDATE(_xlfn.XLOOKUP(1,$H769:$BE769,$H$4:$BE$4),12*Assumptions!$H$193+12)=J$4,0,IF(I769=1,PMT(Assumptions!$H$191,Assumptions!$H$193,$C771),I782))),0)</f>
        <v>0</v>
      </c>
      <c r="K782" s="39">
        <f ca="1">+IFERROR(-ABS(IF(EDATE(_xlfn.XLOOKUP(1,$H769:$BE769,$H$4:$BE$4),12*Assumptions!$H$193+12)=K$4,0,IF(J769=1,PMT(Assumptions!$H$191,Assumptions!$H$193,$C771),J782))),0)</f>
        <v>-44128.801073535731</v>
      </c>
      <c r="L782" s="39">
        <f ca="1">+IFERROR(-ABS(IF(EDATE(_xlfn.XLOOKUP(1,$H769:$BE769,$H$4:$BE$4),12*Assumptions!$H$193+12)=L$4,0,IF(K769=1,PMT(Assumptions!$H$191,Assumptions!$H$193,$C771),K782))),0)</f>
        <v>-44128.801073535731</v>
      </c>
      <c r="M782" s="39">
        <f ca="1">+IFERROR(-ABS(IF(EDATE(_xlfn.XLOOKUP(1,$H769:$BE769,$H$4:$BE$4),12*Assumptions!$H$193+12)=M$4,0,IF(L769=1,PMT(Assumptions!$H$191,Assumptions!$H$193,$C771),L782))),0)</f>
        <v>-44128.801073535731</v>
      </c>
      <c r="N782" s="39">
        <f ca="1">+IFERROR(-ABS(IF(EDATE(_xlfn.XLOOKUP(1,$H769:$BE769,$H$4:$BE$4),12*Assumptions!$H$193+12)=N$4,0,IF(M769=1,PMT(Assumptions!$H$191,Assumptions!$H$193,$C771),M782))),0)</f>
        <v>-44128.801073535731</v>
      </c>
      <c r="O782" s="39">
        <f ca="1">+IFERROR(-ABS(IF(EDATE(_xlfn.XLOOKUP(1,$H769:$BE769,$H$4:$BE$4),12*Assumptions!$H$193+12)=O$4,0,IF(N769=1,PMT(Assumptions!$H$191,Assumptions!$H$193,$C771),N782))),0)</f>
        <v>-44128.801073535731</v>
      </c>
      <c r="P782" s="39">
        <f ca="1">+IFERROR(-ABS(IF(EDATE(_xlfn.XLOOKUP(1,$H769:$BE769,$H$4:$BE$4),12*Assumptions!$H$193+12)=P$4,0,IF(O769=1,PMT(Assumptions!$H$191,Assumptions!$H$193,$C771),O782))),0)</f>
        <v>-44128.801073535731</v>
      </c>
      <c r="Q782" s="39">
        <f ca="1">+IFERROR(-ABS(IF(EDATE(_xlfn.XLOOKUP(1,$H769:$BE769,$H$4:$BE$4),12*Assumptions!$H$193+12)=Q$4,0,IF(P769=1,PMT(Assumptions!$H$191,Assumptions!$H$193,$C771),P782))),0)</f>
        <v>-44128.801073535731</v>
      </c>
      <c r="R782" s="39">
        <f ca="1">+IFERROR(-ABS(IF(EDATE(_xlfn.XLOOKUP(1,$H769:$BE769,$H$4:$BE$4),12*Assumptions!$H$193+12)=R$4,0,IF(Q769=1,PMT(Assumptions!$H$191,Assumptions!$H$193,$C771),Q782))),0)</f>
        <v>-44128.801073535731</v>
      </c>
      <c r="S782" s="39">
        <f ca="1">+IFERROR(-ABS(IF(EDATE(_xlfn.XLOOKUP(1,$H769:$BE769,$H$4:$BE$4),12*Assumptions!$H$193+12)=S$4,0,IF(R769=1,PMT(Assumptions!$H$191,Assumptions!$H$193,$C771),R782))),0)</f>
        <v>-44128.801073535731</v>
      </c>
      <c r="T782" s="39">
        <f ca="1">+IFERROR(-ABS(IF(EDATE(_xlfn.XLOOKUP(1,$H769:$BE769,$H$4:$BE$4),12*Assumptions!$H$193+12)=T$4,0,IF(S769=1,PMT(Assumptions!$H$191,Assumptions!$H$193,$C771),S782))),0)</f>
        <v>-44128.801073535731</v>
      </c>
      <c r="U782" s="39">
        <f ca="1">+IFERROR(-ABS(IF(EDATE(_xlfn.XLOOKUP(1,$H769:$BE769,$H$4:$BE$4),12*Assumptions!$H$193+12)=U$4,0,IF(T769=1,PMT(Assumptions!$H$191,Assumptions!$H$193,$C771),T782))),0)</f>
        <v>-44128.801073535731</v>
      </c>
      <c r="V782" s="39">
        <f ca="1">+IFERROR(-ABS(IF(EDATE(_xlfn.XLOOKUP(1,$H769:$BE769,$H$4:$BE$4),12*Assumptions!$H$193+12)=V$4,0,IF(U769=1,PMT(Assumptions!$H$191,Assumptions!$H$193,$C771),U782))),0)</f>
        <v>-44128.801073535731</v>
      </c>
      <c r="W782" s="39">
        <f ca="1">+IFERROR(-ABS(IF(EDATE(_xlfn.XLOOKUP(1,$H769:$BE769,$H$4:$BE$4),12*Assumptions!$H$193+12)=W$4,0,IF(V769=1,PMT(Assumptions!$H$191,Assumptions!$H$193,$C771),V782))),0)</f>
        <v>-44128.801073535731</v>
      </c>
      <c r="X782" s="39">
        <f ca="1">+IFERROR(-ABS(IF(EDATE(_xlfn.XLOOKUP(1,$H769:$BE769,$H$4:$BE$4),12*Assumptions!$H$193+12)=X$4,0,IF(W769=1,PMT(Assumptions!$H$191,Assumptions!$H$193,$C771),W782))),0)</f>
        <v>-44128.801073535731</v>
      </c>
      <c r="Y782" s="39">
        <f ca="1">+IFERROR(-ABS(IF(EDATE(_xlfn.XLOOKUP(1,$H769:$BE769,$H$4:$BE$4),12*Assumptions!$H$193+12)=Y$4,0,IF(X769=1,PMT(Assumptions!$H$191,Assumptions!$H$193,$C771),X782))),0)</f>
        <v>-44128.801073535731</v>
      </c>
      <c r="Z782" s="39">
        <f>+IFERROR(-ABS(IF(EDATE(_xlfn.XLOOKUP(1,$H769:$BE769,$H$4:$BE$4),12*Assumptions!$H$193+12)=Z$4,0,IF(Y769=1,PMT(Assumptions!$H$191,Assumptions!$H$193,$C771),Y782))),0)</f>
        <v>0</v>
      </c>
      <c r="AA782" s="39">
        <f>+IFERROR(-ABS(IF(EDATE(_xlfn.XLOOKUP(1,$H769:$BE769,$H$4:$BE$4),12*Assumptions!$H$193+12)=AA$4,0,IF(Z769=1,PMT(Assumptions!$H$191,Assumptions!$H$193,$C771),Z782))),0)</f>
        <v>0</v>
      </c>
      <c r="AB782" s="39">
        <f>+IFERROR(-ABS(IF(EDATE(_xlfn.XLOOKUP(1,$H769:$BE769,$H$4:$BE$4),12*Assumptions!$H$193+12)=AB$4,0,IF(AA769=1,PMT(Assumptions!$H$191,Assumptions!$H$193,$C771),AA782))),0)</f>
        <v>0</v>
      </c>
      <c r="AC782" s="39">
        <f>+IFERROR(-ABS(IF(EDATE(_xlfn.XLOOKUP(1,$H769:$BE769,$H$4:$BE$4),12*Assumptions!$H$193+12)=AC$4,0,IF(AB769=1,PMT(Assumptions!$H$191,Assumptions!$H$193,$C771),AB782))),0)</f>
        <v>0</v>
      </c>
      <c r="AD782" s="39">
        <f>+IFERROR(-ABS(IF(EDATE(_xlfn.XLOOKUP(1,$H769:$BE769,$H$4:$BE$4),12*Assumptions!$H$193+12)=AD$4,0,IF(AC769=1,PMT(Assumptions!$H$191,Assumptions!$H$193,$C771),AC782))),0)</f>
        <v>0</v>
      </c>
      <c r="AE782" s="39">
        <f>+IFERROR(-ABS(IF(EDATE(_xlfn.XLOOKUP(1,$H769:$BE769,$H$4:$BE$4),12*Assumptions!$H$193+12)=AE$4,0,IF(AD769=1,PMT(Assumptions!$H$191,Assumptions!$H$193,$C771),AD782))),0)</f>
        <v>0</v>
      </c>
      <c r="AF782" s="39">
        <f>+IFERROR(-ABS(IF(EDATE(_xlfn.XLOOKUP(1,$H769:$BE769,$H$4:$BE$4),12*Assumptions!$H$193+12)=AF$4,0,IF(AE769=1,PMT(Assumptions!$H$191,Assumptions!$H$193,$C771),AE782))),0)</f>
        <v>0</v>
      </c>
      <c r="AG782" s="39">
        <f>+IFERROR(-ABS(IF(EDATE(_xlfn.XLOOKUP(1,$H769:$BE769,$H$4:$BE$4),12*Assumptions!$H$193+12)=AG$4,0,IF(AF769=1,PMT(Assumptions!$H$191,Assumptions!$H$193,$C771),AF782))),0)</f>
        <v>0</v>
      </c>
      <c r="AH782" s="39">
        <f>+IFERROR(-ABS(IF(EDATE(_xlfn.XLOOKUP(1,$H769:$BE769,$H$4:$BE$4),12*Assumptions!$H$193+12)=AH$4,0,IF(AG769=1,PMT(Assumptions!$H$191,Assumptions!$H$193,$C771),AG782))),0)</f>
        <v>0</v>
      </c>
      <c r="AI782" s="39">
        <f>+IFERROR(-ABS(IF(EDATE(_xlfn.XLOOKUP(1,$H769:$BE769,$H$4:$BE$4),12*Assumptions!$H$193+12)=AI$4,0,IF(AH769=1,PMT(Assumptions!$H$191,Assumptions!$H$193,$C771),AH782))),0)</f>
        <v>0</v>
      </c>
      <c r="AJ782" s="39">
        <f>+IFERROR(-ABS(IF(EDATE(_xlfn.XLOOKUP(1,$H769:$BE769,$H$4:$BE$4),12*Assumptions!$H$193+12)=AJ$4,0,IF(AI769=1,PMT(Assumptions!$H$191,Assumptions!$H$193,$C771),AI782))),0)</f>
        <v>0</v>
      </c>
      <c r="AK782" s="39">
        <f>+IFERROR(-ABS(IF(EDATE(_xlfn.XLOOKUP(1,$H769:$BE769,$H$4:$BE$4),12*Assumptions!$H$193+12)=AK$4,0,IF(AJ769=1,PMT(Assumptions!$H$191,Assumptions!$H$193,$C771),AJ782))),0)</f>
        <v>0</v>
      </c>
      <c r="AL782" s="39">
        <f>+IFERROR(-ABS(IF(EDATE(_xlfn.XLOOKUP(1,$H769:$BE769,$H$4:$BE$4),12*Assumptions!$H$193+12)=AL$4,0,IF(AK769=1,PMT(Assumptions!$H$191,Assumptions!$H$193,$C771),AK782))),0)</f>
        <v>0</v>
      </c>
      <c r="AM782" s="39">
        <f>+IFERROR(-ABS(IF(EDATE(_xlfn.XLOOKUP(1,$H769:$BE769,$H$4:$BE$4),12*Assumptions!$H$193+12)=AM$4,0,IF(AL769=1,PMT(Assumptions!$H$191,Assumptions!$H$193,$C771),AL782))),0)</f>
        <v>0</v>
      </c>
      <c r="AN782" s="39">
        <f>+IFERROR(-ABS(IF(EDATE(_xlfn.XLOOKUP(1,$H769:$BE769,$H$4:$BE$4),12*Assumptions!$H$193+12)=AN$4,0,IF(AM769=1,PMT(Assumptions!$H$191,Assumptions!$H$193,$C771),AM782))),0)</f>
        <v>0</v>
      </c>
      <c r="AO782" s="39">
        <f>+IFERROR(-ABS(IF(EDATE(_xlfn.XLOOKUP(1,$H769:$BE769,$H$4:$BE$4),12*Assumptions!$H$193+12)=AO$4,0,IF(AN769=1,PMT(Assumptions!$H$191,Assumptions!$H$193,$C771),AN782))),0)</f>
        <v>0</v>
      </c>
      <c r="AP782" s="39">
        <f>+IFERROR(-ABS(IF(EDATE(_xlfn.XLOOKUP(1,$H769:$BE769,$H$4:$BE$4),12*Assumptions!$H$193+12)=AP$4,0,IF(AO769=1,PMT(Assumptions!$H$191,Assumptions!$H$193,$C771),AO782))),0)</f>
        <v>0</v>
      </c>
      <c r="AQ782" s="39">
        <f>+IFERROR(-ABS(IF(EDATE(_xlfn.XLOOKUP(1,$H769:$BE769,$H$4:$BE$4),12*Assumptions!$H$193+12)=AQ$4,0,IF(AP769=1,PMT(Assumptions!$H$191,Assumptions!$H$193,$C771),AP782))),0)</f>
        <v>0</v>
      </c>
      <c r="AR782" s="39">
        <f>+IFERROR(-ABS(IF(EDATE(_xlfn.XLOOKUP(1,$H769:$BE769,$H$4:$BE$4),12*Assumptions!$H$193+12)=AR$4,0,IF(AQ769=1,PMT(Assumptions!$H$191,Assumptions!$H$193,$C771),AQ782))),0)</f>
        <v>0</v>
      </c>
      <c r="AS782" s="39">
        <f>+IFERROR(-ABS(IF(EDATE(_xlfn.XLOOKUP(1,$H769:$BE769,$H$4:$BE$4),12*Assumptions!$H$193+12)=AS$4,0,IF(AR769=1,PMT(Assumptions!$H$191,Assumptions!$H$193,$C771),AR782))),0)</f>
        <v>0</v>
      </c>
      <c r="AT782" s="39">
        <f>+IFERROR(-ABS(IF(EDATE(_xlfn.XLOOKUP(1,$H769:$BE769,$H$4:$BE$4),12*Assumptions!$H$193+12)=AT$4,0,IF(AS769=1,PMT(Assumptions!$H$191,Assumptions!$H$193,$C771),AS782))),0)</f>
        <v>0</v>
      </c>
      <c r="AU782" s="39">
        <f>+IFERROR(-ABS(IF(EDATE(_xlfn.XLOOKUP(1,$H769:$BE769,$H$4:$BE$4),12*Assumptions!$H$193+12)=AU$4,0,IF(AT769=1,PMT(Assumptions!$H$191,Assumptions!$H$193,$C771),AT782))),0)</f>
        <v>0</v>
      </c>
      <c r="AV782" s="39">
        <f>+IFERROR(-ABS(IF(EDATE(_xlfn.XLOOKUP(1,$H769:$BE769,$H$4:$BE$4),12*Assumptions!$H$193+12)=AV$4,0,IF(AU769=1,PMT(Assumptions!$H$191,Assumptions!$H$193,$C771),AU782))),0)</f>
        <v>0</v>
      </c>
      <c r="AW782" s="39">
        <f>+IFERROR(-ABS(IF(EDATE(_xlfn.XLOOKUP(1,$H769:$BE769,$H$4:$BE$4),12*Assumptions!$H$193+12)=AW$4,0,IF(AV769=1,PMT(Assumptions!$H$191,Assumptions!$H$193,$C771),AV782))),0)</f>
        <v>0</v>
      </c>
      <c r="AX782" s="39">
        <f>+IFERROR(-ABS(IF(EDATE(_xlfn.XLOOKUP(1,$H769:$BE769,$H$4:$BE$4),12*Assumptions!$H$193+12)=AX$4,0,IF(AW769=1,PMT(Assumptions!$H$191,Assumptions!$H$193,$C771),AW782))),0)</f>
        <v>0</v>
      </c>
      <c r="AY782" s="39">
        <f>+IFERROR(-ABS(IF(EDATE(_xlfn.XLOOKUP(1,$H769:$BE769,$H$4:$BE$4),12*Assumptions!$H$193+12)=AY$4,0,IF(AX769=1,PMT(Assumptions!$H$191,Assumptions!$H$193,$C771),AX782))),0)</f>
        <v>0</v>
      </c>
      <c r="AZ782" s="39">
        <f>+IFERROR(-ABS(IF(EDATE(_xlfn.XLOOKUP(1,$H769:$BE769,$H$4:$BE$4),12*Assumptions!$H$193+12)=AZ$4,0,IF(AY769=1,PMT(Assumptions!$H$191,Assumptions!$H$193,$C771),AY782))),0)</f>
        <v>0</v>
      </c>
      <c r="BA782" s="39">
        <f>+IFERROR(-ABS(IF(EDATE(_xlfn.XLOOKUP(1,$H769:$BE769,$H$4:$BE$4),12*Assumptions!$H$193+12)=BA$4,0,IF(AZ769=1,PMT(Assumptions!$H$191,Assumptions!$H$193,$C771),AZ782))),0)</f>
        <v>0</v>
      </c>
      <c r="BB782" s="39">
        <f>+IFERROR(-ABS(IF(EDATE(_xlfn.XLOOKUP(1,$H769:$BE769,$H$4:$BE$4),12*Assumptions!$H$193+12)=BB$4,0,IF(BA769=1,PMT(Assumptions!$H$191,Assumptions!$H$193,$C771),BA782))),0)</f>
        <v>0</v>
      </c>
      <c r="BC782" s="39">
        <f>+IFERROR(-ABS(IF(EDATE(_xlfn.XLOOKUP(1,$H769:$BE769,$H$4:$BE$4),12*Assumptions!$H$193+12)=BC$4,0,IF(BB769=1,PMT(Assumptions!$H$191,Assumptions!$H$193,$C771),BB782))),0)</f>
        <v>0</v>
      </c>
      <c r="BD782" s="39">
        <f>+IFERROR(-ABS(IF(EDATE(_xlfn.XLOOKUP(1,$H769:$BE769,$H$4:$BE$4),12*Assumptions!$H$193+12)=BD$4,0,IF(BC769=1,PMT(Assumptions!$H$191,Assumptions!$H$193,$C771),BC782))),0)</f>
        <v>0</v>
      </c>
      <c r="BE782" s="39">
        <f>+IFERROR(-ABS(IF(EDATE(_xlfn.XLOOKUP(1,$H769:$BE769,$H$4:$BE$4),12*Assumptions!$H$193+12)=BE$4,0,IF(BD769=1,PMT(Assumptions!$H$191,Assumptions!$H$193,$C771),BD782))),0)</f>
        <v>0</v>
      </c>
      <c r="BF782" s="39">
        <f>+IFERROR(-ABS(IF(EDATE(_xlfn.XLOOKUP(1,$H769:$BE769,$H$4:$BE$4),12*Assumptions!$H$193+12)=BF$4,0,IF(BE769=1,PMT(Assumptions!$H$191,Assumptions!$H$193,$C771),BE782))),0)</f>
        <v>0</v>
      </c>
      <c r="BG782" s="39">
        <f>+IFERROR(-ABS(IF(EDATE(_xlfn.XLOOKUP(1,$H769:$BE769,$H$4:$BE$4),12*Assumptions!$H$193+12)=BG$4,0,IF(BF769=1,PMT(Assumptions!$H$191,Assumptions!$H$193,$C771),BF782))),0)</f>
        <v>0</v>
      </c>
      <c r="BH782" s="39">
        <f>+IFERROR(-ABS(IF(EDATE(_xlfn.XLOOKUP(1,$H769:$BE769,$H$4:$BE$4),12*Assumptions!$H$193+12)=BH$4,0,IF(BG769=1,PMT(Assumptions!$H$191,Assumptions!$H$193,$C771),BG782))),0)</f>
        <v>0</v>
      </c>
      <c r="BI782" s="39">
        <f>+IFERROR(-ABS(IF(EDATE(_xlfn.XLOOKUP(1,$H769:$BE769,$H$4:$BE$4),12*Assumptions!$H$193+12)=BI$4,0,IF(BH769=1,PMT(Assumptions!$H$191,Assumptions!$H$193,$C771),BH782))),0)</f>
        <v>0</v>
      </c>
      <c r="BJ782" s="39">
        <f>+IFERROR(-ABS(IF(EDATE(_xlfn.XLOOKUP(1,$H769:$BE769,$H$4:$BE$4),12*Assumptions!$H$193+12)=BJ$4,0,IF(BI769=1,PMT(Assumptions!$H$191,Assumptions!$H$193,$C771),BI782))),0)</f>
        <v>0</v>
      </c>
      <c r="BK782" s="39">
        <f>+IFERROR(-ABS(IF(EDATE(_xlfn.XLOOKUP(1,$H769:$BE769,$H$4:$BE$4),12*Assumptions!$H$193+12)=BK$4,0,IF(BJ769=1,PMT(Assumptions!$H$191,Assumptions!$H$193,$C771),BJ782))),0)</f>
        <v>0</v>
      </c>
      <c r="BL782" s="39">
        <f>+IFERROR(-ABS(IF(EDATE(_xlfn.XLOOKUP(1,$H769:$BE769,$H$4:$BE$4),12*Assumptions!$H$193+12)=BL$4,0,IF(BK769=1,PMT(Assumptions!$H$191,Assumptions!$H$193,$C771),BK782))),0)</f>
        <v>0</v>
      </c>
      <c r="BM782" s="39">
        <f>+IFERROR(-ABS(IF(EDATE(_xlfn.XLOOKUP(1,$H769:$BE769,$H$4:$BE$4),12*Assumptions!$H$193+12)=BM$4,0,IF(BL769=1,PMT(Assumptions!$H$191,Assumptions!$H$193,$C771),BL782))),0)</f>
        <v>0</v>
      </c>
      <c r="BN782" s="39">
        <f>+IFERROR(-ABS(IF(EDATE(_xlfn.XLOOKUP(1,$H769:$BE769,$H$4:$BE$4),12*Assumptions!$H$193+12)=BN$4,0,IF(BM769=1,PMT(Assumptions!$H$191,Assumptions!$H$193,$C771),BM782))),0)</f>
        <v>0</v>
      </c>
      <c r="BO782" s="39">
        <f>+IFERROR(-ABS(IF(EDATE(_xlfn.XLOOKUP(1,$H769:$BE769,$H$4:$BE$4),12*Assumptions!$H$193+12)=BO$4,0,IF(BN769=1,PMT(Assumptions!$H$191,Assumptions!$H$193,$C771),BN782))),0)</f>
        <v>0</v>
      </c>
      <c r="BP782" s="39">
        <f>+IFERROR(-ABS(IF(EDATE(_xlfn.XLOOKUP(1,$H769:$BE769,$H$4:$BE$4),12*Assumptions!$H$193+12)=BP$4,0,IF(BO769=1,PMT(Assumptions!$H$191,Assumptions!$H$193,$C771),BO782))),0)</f>
        <v>0</v>
      </c>
      <c r="BQ782" s="39">
        <f>+IFERROR(-ABS(IF(EDATE(_xlfn.XLOOKUP(1,$H769:$BE769,$H$4:$BE$4),12*Assumptions!$H$193+12)=BQ$4,0,IF(BP769=1,PMT(Assumptions!$H$191,Assumptions!$H$193,$C771),BP782))),0)</f>
        <v>0</v>
      </c>
      <c r="BR782" s="39">
        <f>+IFERROR(-ABS(IF(EDATE(_xlfn.XLOOKUP(1,$H769:$BE769,$H$4:$BE$4),12*Assumptions!$H$193+12)=BR$4,0,IF(BQ769=1,PMT(Assumptions!$H$191,Assumptions!$H$193,$C771),BQ782))),0)</f>
        <v>0</v>
      </c>
      <c r="BS782" s="39">
        <f>+IFERROR(-ABS(IF(EDATE(_xlfn.XLOOKUP(1,$H769:$BE769,$H$4:$BE$4),12*Assumptions!$H$193+12)=BS$4,0,IF(BR769=1,PMT(Assumptions!$H$191,Assumptions!$H$193,$C771),BR782))),0)</f>
        <v>0</v>
      </c>
      <c r="BT782" s="39">
        <f>+IFERROR(-ABS(IF(EDATE(_xlfn.XLOOKUP(1,$H769:$BE769,$H$4:$BE$4),12*Assumptions!$H$193+12)=BT$4,0,IF(BS769=1,PMT(Assumptions!$H$191,Assumptions!$H$193,$C771),BS782))),0)</f>
        <v>0</v>
      </c>
      <c r="BU782" s="39">
        <f>+IFERROR(-ABS(IF(EDATE(_xlfn.XLOOKUP(1,$H769:$BE769,$H$4:$BE$4),12*Assumptions!$H$193+12)=BU$4,0,IF(BT769=1,PMT(Assumptions!$H$191,Assumptions!$H$193,$C771),BT782))),0)</f>
        <v>0</v>
      </c>
      <c r="BV782" s="39">
        <f>+IFERROR(-ABS(IF(EDATE(_xlfn.XLOOKUP(1,$H769:$BE769,$H$4:$BE$4),12*Assumptions!$H$193+12)=BV$4,0,IF(BU769=1,PMT(Assumptions!$H$191,Assumptions!$H$193,$C771),BU782))),0)</f>
        <v>0</v>
      </c>
      <c r="BW782" s="39">
        <f>+IFERROR(-ABS(IF(EDATE(_xlfn.XLOOKUP(1,$H769:$BE769,$H$4:$BE$4),12*Assumptions!$H$193+12)=BW$4,0,IF(BV769=1,PMT(Assumptions!$H$191,Assumptions!$H$193,$C771),BV782))),0)</f>
        <v>0</v>
      </c>
      <c r="BX782" s="39">
        <f>+IFERROR(-ABS(IF(EDATE(_xlfn.XLOOKUP(1,$H769:$BE769,$H$4:$BE$4),12*Assumptions!$H$193+12)=BX$4,0,IF(BW769=1,PMT(Assumptions!$H$191,Assumptions!$H$193,$C771),BW782))),0)</f>
        <v>0</v>
      </c>
      <c r="BY782" s="39">
        <f>+IFERROR(-ABS(IF(EDATE(_xlfn.XLOOKUP(1,$H769:$BE769,$H$4:$BE$4),12*Assumptions!$H$193+12)=BY$4,0,IF(BX769=1,PMT(Assumptions!$H$191,Assumptions!$H$193,$C771),BX782))),0)</f>
        <v>0</v>
      </c>
    </row>
    <row r="783" spans="3:77" outlineLevel="1">
      <c r="E783" s="24" t="s">
        <v>516</v>
      </c>
      <c r="F783" s="80" t="str">
        <f>+Assumptions!$G$8</f>
        <v>USD</v>
      </c>
      <c r="G783" s="24"/>
      <c r="H783" s="39">
        <f>+IFERROR(-ABS(IF(EDATE(_xlfn.XLOOKUP(1,$H770:$BE770,$H$4:$BE$4),12*Assumptions!$H$193+12)=H$4,0,IF(G770=1,PMT(Assumptions!$H$191,Assumptions!$H$193,$C772),G783))),0)</f>
        <v>0</v>
      </c>
      <c r="I783" s="39">
        <f>+IFERROR(-ABS(IF(EDATE(_xlfn.XLOOKUP(1,$H770:$BE770,$H$4:$BE$4),12*Assumptions!$H$193+12)=I$4,0,IF(H770=1,PMT(Assumptions!$H$191,Assumptions!$H$193,$C772),H783))),0)</f>
        <v>0</v>
      </c>
      <c r="J783" s="39">
        <f>+IFERROR(-ABS(IF(EDATE(_xlfn.XLOOKUP(1,$H770:$BE770,$H$4:$BE$4),12*Assumptions!$H$193+12)=J$4,0,IF(I770=1,PMT(Assumptions!$H$191,Assumptions!$H$193,$C772),I783))),0)</f>
        <v>0</v>
      </c>
      <c r="K783" s="39">
        <f>+IFERROR(-ABS(IF(EDATE(_xlfn.XLOOKUP(1,$H770:$BE770,$H$4:$BE$4),12*Assumptions!$H$193+12)=K$4,0,IF(J770=1,PMT(Assumptions!$H$191,Assumptions!$H$193,$C772),J783))),0)</f>
        <v>0</v>
      </c>
      <c r="L783" s="39">
        <f>+IFERROR(-ABS(IF(EDATE(_xlfn.XLOOKUP(1,$H770:$BE770,$H$4:$BE$4),12*Assumptions!$H$193+12)=L$4,0,IF(K770=1,PMT(Assumptions!$H$191,Assumptions!$H$193,$C772),K783))),0)</f>
        <v>0</v>
      </c>
      <c r="M783" s="39">
        <f>+IFERROR(-ABS(IF(EDATE(_xlfn.XLOOKUP(1,$H770:$BE770,$H$4:$BE$4),12*Assumptions!$H$193+12)=M$4,0,IF(L770=1,PMT(Assumptions!$H$191,Assumptions!$H$193,$C772),L783))),0)</f>
        <v>0</v>
      </c>
      <c r="N783" s="39">
        <f>+IFERROR(-ABS(IF(EDATE(_xlfn.XLOOKUP(1,$H770:$BE770,$H$4:$BE$4),12*Assumptions!$H$193+12)=N$4,0,IF(M770=1,PMT(Assumptions!$H$191,Assumptions!$H$193,$C772),M783))),0)</f>
        <v>0</v>
      </c>
      <c r="O783" s="39">
        <f>+IFERROR(-ABS(IF(EDATE(_xlfn.XLOOKUP(1,$H770:$BE770,$H$4:$BE$4),12*Assumptions!$H$193+12)=O$4,0,IF(N770=1,PMT(Assumptions!$H$191,Assumptions!$H$193,$C772),N783))),0)</f>
        <v>0</v>
      </c>
      <c r="P783" s="39">
        <f>+IFERROR(-ABS(IF(EDATE(_xlfn.XLOOKUP(1,$H770:$BE770,$H$4:$BE$4),12*Assumptions!$H$193+12)=P$4,0,IF(O770=1,PMT(Assumptions!$H$191,Assumptions!$H$193,$C772),O783))),0)</f>
        <v>0</v>
      </c>
      <c r="Q783" s="39">
        <f>+IFERROR(-ABS(IF(EDATE(_xlfn.XLOOKUP(1,$H770:$BE770,$H$4:$BE$4),12*Assumptions!$H$193+12)=Q$4,0,IF(P770=1,PMT(Assumptions!$H$191,Assumptions!$H$193,$C772),P783))),0)</f>
        <v>0</v>
      </c>
      <c r="R783" s="39">
        <f>+IFERROR(-ABS(IF(EDATE(_xlfn.XLOOKUP(1,$H770:$BE770,$H$4:$BE$4),12*Assumptions!$H$193+12)=R$4,0,IF(Q770=1,PMT(Assumptions!$H$191,Assumptions!$H$193,$C772),Q783))),0)</f>
        <v>0</v>
      </c>
      <c r="S783" s="39">
        <f>+IFERROR(-ABS(IF(EDATE(_xlfn.XLOOKUP(1,$H770:$BE770,$H$4:$BE$4),12*Assumptions!$H$193+12)=S$4,0,IF(R770=1,PMT(Assumptions!$H$191,Assumptions!$H$193,$C772),R783))),0)</f>
        <v>0</v>
      </c>
      <c r="T783" s="39">
        <f>+IFERROR(-ABS(IF(EDATE(_xlfn.XLOOKUP(1,$H770:$BE770,$H$4:$BE$4),12*Assumptions!$H$193+12)=T$4,0,IF(S770=1,PMT(Assumptions!$H$191,Assumptions!$H$193,$C772),S783))),0)</f>
        <v>0</v>
      </c>
      <c r="U783" s="39">
        <f>+IFERROR(-ABS(IF(EDATE(_xlfn.XLOOKUP(1,$H770:$BE770,$H$4:$BE$4),12*Assumptions!$H$193+12)=U$4,0,IF(T770=1,PMT(Assumptions!$H$191,Assumptions!$H$193,$C772),T783))),0)</f>
        <v>0</v>
      </c>
      <c r="V783" s="39">
        <f>+IFERROR(-ABS(IF(EDATE(_xlfn.XLOOKUP(1,$H770:$BE770,$H$4:$BE$4),12*Assumptions!$H$193+12)=V$4,0,IF(U770=1,PMT(Assumptions!$H$191,Assumptions!$H$193,$C772),U783))),0)</f>
        <v>0</v>
      </c>
      <c r="W783" s="39">
        <f>+IFERROR(-ABS(IF(EDATE(_xlfn.XLOOKUP(1,$H770:$BE770,$H$4:$BE$4),12*Assumptions!$H$193+12)=W$4,0,IF(V770=1,PMT(Assumptions!$H$191,Assumptions!$H$193,$C772),V783))),0)</f>
        <v>0</v>
      </c>
      <c r="X783" s="39">
        <f>+IFERROR(-ABS(IF(EDATE(_xlfn.XLOOKUP(1,$H770:$BE770,$H$4:$BE$4),12*Assumptions!$H$193+12)=X$4,0,IF(W770=1,PMT(Assumptions!$H$191,Assumptions!$H$193,$C772),W783))),0)</f>
        <v>0</v>
      </c>
      <c r="Y783" s="39">
        <f>+IFERROR(-ABS(IF(EDATE(_xlfn.XLOOKUP(1,$H770:$BE770,$H$4:$BE$4),12*Assumptions!$H$193+12)=Y$4,0,IF(X770=1,PMT(Assumptions!$H$191,Assumptions!$H$193,$C772),X783))),0)</f>
        <v>0</v>
      </c>
      <c r="Z783" s="39">
        <f>+IFERROR(-ABS(IF(EDATE(_xlfn.XLOOKUP(1,$H770:$BE770,$H$4:$BE$4),12*Assumptions!$H$193+12)=Z$4,0,IF(Y770=1,PMT(Assumptions!$H$191,Assumptions!$H$193,$C772),Y783))),0)</f>
        <v>0</v>
      </c>
      <c r="AA783" s="39">
        <f>+IFERROR(-ABS(IF(EDATE(_xlfn.XLOOKUP(1,$H770:$BE770,$H$4:$BE$4),12*Assumptions!$H$193+12)=AA$4,0,IF(Z770=1,PMT(Assumptions!$H$191,Assumptions!$H$193,$C772),Z783))),0)</f>
        <v>0</v>
      </c>
      <c r="AB783" s="39">
        <f>+IFERROR(-ABS(IF(EDATE(_xlfn.XLOOKUP(1,$H770:$BE770,$H$4:$BE$4),12*Assumptions!$H$193+12)=AB$4,0,IF(AA770=1,PMT(Assumptions!$H$191,Assumptions!$H$193,$C772),AA783))),0)</f>
        <v>0</v>
      </c>
      <c r="AC783" s="39">
        <f>+IFERROR(-ABS(IF(EDATE(_xlfn.XLOOKUP(1,$H770:$BE770,$H$4:$BE$4),12*Assumptions!$H$193+12)=AC$4,0,IF(AB770=1,PMT(Assumptions!$H$191,Assumptions!$H$193,$C772),AB783))),0)</f>
        <v>0</v>
      </c>
      <c r="AD783" s="39">
        <f>+IFERROR(-ABS(IF(EDATE(_xlfn.XLOOKUP(1,$H770:$BE770,$H$4:$BE$4),12*Assumptions!$H$193+12)=AD$4,0,IF(AC770=1,PMT(Assumptions!$H$191,Assumptions!$H$193,$C772),AC783))),0)</f>
        <v>0</v>
      </c>
      <c r="AE783" s="39">
        <f>+IFERROR(-ABS(IF(EDATE(_xlfn.XLOOKUP(1,$H770:$BE770,$H$4:$BE$4),12*Assumptions!$H$193+12)=AE$4,0,IF(AD770=1,PMT(Assumptions!$H$191,Assumptions!$H$193,$C772),AD783))),0)</f>
        <v>0</v>
      </c>
      <c r="AF783" s="39">
        <f>+IFERROR(-ABS(IF(EDATE(_xlfn.XLOOKUP(1,$H770:$BE770,$H$4:$BE$4),12*Assumptions!$H$193+12)=AF$4,0,IF(AE770=1,PMT(Assumptions!$H$191,Assumptions!$H$193,$C772),AE783))),0)</f>
        <v>0</v>
      </c>
      <c r="AG783" s="39">
        <f>+IFERROR(-ABS(IF(EDATE(_xlfn.XLOOKUP(1,$H770:$BE770,$H$4:$BE$4),12*Assumptions!$H$193+12)=AG$4,0,IF(AF770=1,PMT(Assumptions!$H$191,Assumptions!$H$193,$C772),AF783))),0)</f>
        <v>0</v>
      </c>
      <c r="AH783" s="39">
        <f>+IFERROR(-ABS(IF(EDATE(_xlfn.XLOOKUP(1,$H770:$BE770,$H$4:$BE$4),12*Assumptions!$H$193+12)=AH$4,0,IF(AG770=1,PMT(Assumptions!$H$191,Assumptions!$H$193,$C772),AG783))),0)</f>
        <v>0</v>
      </c>
      <c r="AI783" s="39">
        <f>+IFERROR(-ABS(IF(EDATE(_xlfn.XLOOKUP(1,$H770:$BE770,$H$4:$BE$4),12*Assumptions!$H$193+12)=AI$4,0,IF(AH770=1,PMT(Assumptions!$H$191,Assumptions!$H$193,$C772),AH783))),0)</f>
        <v>0</v>
      </c>
      <c r="AJ783" s="39">
        <f>+IFERROR(-ABS(IF(EDATE(_xlfn.XLOOKUP(1,$H770:$BE770,$H$4:$BE$4),12*Assumptions!$H$193+12)=AJ$4,0,IF(AI770=1,PMT(Assumptions!$H$191,Assumptions!$H$193,$C772),AI783))),0)</f>
        <v>0</v>
      </c>
      <c r="AK783" s="39">
        <f>+IFERROR(-ABS(IF(EDATE(_xlfn.XLOOKUP(1,$H770:$BE770,$H$4:$BE$4),12*Assumptions!$H$193+12)=AK$4,0,IF(AJ770=1,PMT(Assumptions!$H$191,Assumptions!$H$193,$C772),AJ783))),0)</f>
        <v>0</v>
      </c>
      <c r="AL783" s="39">
        <f>+IFERROR(-ABS(IF(EDATE(_xlfn.XLOOKUP(1,$H770:$BE770,$H$4:$BE$4),12*Assumptions!$H$193+12)=AL$4,0,IF(AK770=1,PMT(Assumptions!$H$191,Assumptions!$H$193,$C772),AK783))),0)</f>
        <v>0</v>
      </c>
      <c r="AM783" s="39">
        <f>+IFERROR(-ABS(IF(EDATE(_xlfn.XLOOKUP(1,$H770:$BE770,$H$4:$BE$4),12*Assumptions!$H$193+12)=AM$4,0,IF(AL770=1,PMT(Assumptions!$H$191,Assumptions!$H$193,$C772),AL783))),0)</f>
        <v>0</v>
      </c>
      <c r="AN783" s="39">
        <f>+IFERROR(-ABS(IF(EDATE(_xlfn.XLOOKUP(1,$H770:$BE770,$H$4:$BE$4),12*Assumptions!$H$193+12)=AN$4,0,IF(AM770=1,PMT(Assumptions!$H$191,Assumptions!$H$193,$C772),AM783))),0)</f>
        <v>0</v>
      </c>
      <c r="AO783" s="39">
        <f>+IFERROR(-ABS(IF(EDATE(_xlfn.XLOOKUP(1,$H770:$BE770,$H$4:$BE$4),12*Assumptions!$H$193+12)=AO$4,0,IF(AN770=1,PMT(Assumptions!$H$191,Assumptions!$H$193,$C772),AN783))),0)</f>
        <v>0</v>
      </c>
      <c r="AP783" s="39">
        <f>+IFERROR(-ABS(IF(EDATE(_xlfn.XLOOKUP(1,$H770:$BE770,$H$4:$BE$4),12*Assumptions!$H$193+12)=AP$4,0,IF(AO770=1,PMT(Assumptions!$H$191,Assumptions!$H$193,$C772),AO783))),0)</f>
        <v>0</v>
      </c>
      <c r="AQ783" s="39">
        <f>+IFERROR(-ABS(IF(EDATE(_xlfn.XLOOKUP(1,$H770:$BE770,$H$4:$BE$4),12*Assumptions!$H$193+12)=AQ$4,0,IF(AP770=1,PMT(Assumptions!$H$191,Assumptions!$H$193,$C772),AP783))),0)</f>
        <v>0</v>
      </c>
      <c r="AR783" s="39">
        <f>+IFERROR(-ABS(IF(EDATE(_xlfn.XLOOKUP(1,$H770:$BE770,$H$4:$BE$4),12*Assumptions!$H$193+12)=AR$4,0,IF(AQ770=1,PMT(Assumptions!$H$191,Assumptions!$H$193,$C772),AQ783))),0)</f>
        <v>0</v>
      </c>
      <c r="AS783" s="39">
        <f>+IFERROR(-ABS(IF(EDATE(_xlfn.XLOOKUP(1,$H770:$BE770,$H$4:$BE$4),12*Assumptions!$H$193+12)=AS$4,0,IF(AR770=1,PMT(Assumptions!$H$191,Assumptions!$H$193,$C772),AR783))),0)</f>
        <v>0</v>
      </c>
      <c r="AT783" s="39">
        <f>+IFERROR(-ABS(IF(EDATE(_xlfn.XLOOKUP(1,$H770:$BE770,$H$4:$BE$4),12*Assumptions!$H$193+12)=AT$4,0,IF(AS770=1,PMT(Assumptions!$H$191,Assumptions!$H$193,$C772),AS783))),0)</f>
        <v>0</v>
      </c>
      <c r="AU783" s="39">
        <f>+IFERROR(-ABS(IF(EDATE(_xlfn.XLOOKUP(1,$H770:$BE770,$H$4:$BE$4),12*Assumptions!$H$193+12)=AU$4,0,IF(AT770=1,PMT(Assumptions!$H$191,Assumptions!$H$193,$C772),AT783))),0)</f>
        <v>0</v>
      </c>
      <c r="AV783" s="39">
        <f>+IFERROR(-ABS(IF(EDATE(_xlfn.XLOOKUP(1,$H770:$BE770,$H$4:$BE$4),12*Assumptions!$H$193+12)=AV$4,0,IF(AU770=1,PMT(Assumptions!$H$191,Assumptions!$H$193,$C772),AU783))),0)</f>
        <v>0</v>
      </c>
      <c r="AW783" s="39">
        <f>+IFERROR(-ABS(IF(EDATE(_xlfn.XLOOKUP(1,$H770:$BE770,$H$4:$BE$4),12*Assumptions!$H$193+12)=AW$4,0,IF(AV770=1,PMT(Assumptions!$H$191,Assumptions!$H$193,$C772),AV783))),0)</f>
        <v>0</v>
      </c>
      <c r="AX783" s="39">
        <f>+IFERROR(-ABS(IF(EDATE(_xlfn.XLOOKUP(1,$H770:$BE770,$H$4:$BE$4),12*Assumptions!$H$193+12)=AX$4,0,IF(AW770=1,PMT(Assumptions!$H$191,Assumptions!$H$193,$C772),AW783))),0)</f>
        <v>0</v>
      </c>
      <c r="AY783" s="39">
        <f>+IFERROR(-ABS(IF(EDATE(_xlfn.XLOOKUP(1,$H770:$BE770,$H$4:$BE$4),12*Assumptions!$H$193+12)=AY$4,0,IF(AX770=1,PMT(Assumptions!$H$191,Assumptions!$H$193,$C772),AX783))),0)</f>
        <v>0</v>
      </c>
      <c r="AZ783" s="39">
        <f>+IFERROR(-ABS(IF(EDATE(_xlfn.XLOOKUP(1,$H770:$BE770,$H$4:$BE$4),12*Assumptions!$H$193+12)=AZ$4,0,IF(AY770=1,PMT(Assumptions!$H$191,Assumptions!$H$193,$C772),AY783))),0)</f>
        <v>0</v>
      </c>
      <c r="BA783" s="39">
        <f>+IFERROR(-ABS(IF(EDATE(_xlfn.XLOOKUP(1,$H770:$BE770,$H$4:$BE$4),12*Assumptions!$H$193+12)=BA$4,0,IF(AZ770=1,PMT(Assumptions!$H$191,Assumptions!$H$193,$C772),AZ783))),0)</f>
        <v>0</v>
      </c>
      <c r="BB783" s="39">
        <f>+IFERROR(-ABS(IF(EDATE(_xlfn.XLOOKUP(1,$H770:$BE770,$H$4:$BE$4),12*Assumptions!$H$193+12)=BB$4,0,IF(BA770=1,PMT(Assumptions!$H$191,Assumptions!$H$193,$C772),BA783))),0)</f>
        <v>0</v>
      </c>
      <c r="BC783" s="39">
        <f>+IFERROR(-ABS(IF(EDATE(_xlfn.XLOOKUP(1,$H770:$BE770,$H$4:$BE$4),12*Assumptions!$H$193+12)=BC$4,0,IF(BB770=1,PMT(Assumptions!$H$191,Assumptions!$H$193,$C772),BB783))),0)</f>
        <v>0</v>
      </c>
      <c r="BD783" s="39">
        <f>+IFERROR(-ABS(IF(EDATE(_xlfn.XLOOKUP(1,$H770:$BE770,$H$4:$BE$4),12*Assumptions!$H$193+12)=BD$4,0,IF(BC770=1,PMT(Assumptions!$H$191,Assumptions!$H$193,$C772),BC783))),0)</f>
        <v>0</v>
      </c>
      <c r="BE783" s="39">
        <f>+IFERROR(-ABS(IF(EDATE(_xlfn.XLOOKUP(1,$H770:$BE770,$H$4:$BE$4),12*Assumptions!$H$193+12)=BE$4,0,IF(BD770=1,PMT(Assumptions!$H$191,Assumptions!$H$193,$C772),BD783))),0)</f>
        <v>0</v>
      </c>
      <c r="BF783" s="39">
        <f>+IFERROR(-ABS(IF(EDATE(_xlfn.XLOOKUP(1,$H770:$BE770,$H$4:$BE$4),12*Assumptions!$H$193+12)=BF$4,0,IF(BE770=1,PMT(Assumptions!$H$191,Assumptions!$H$193,$C772),BE783))),0)</f>
        <v>0</v>
      </c>
      <c r="BG783" s="39">
        <f>+IFERROR(-ABS(IF(EDATE(_xlfn.XLOOKUP(1,$H770:$BE770,$H$4:$BE$4),12*Assumptions!$H$193+12)=BG$4,0,IF(BF770=1,PMT(Assumptions!$H$191,Assumptions!$H$193,$C772),BF783))),0)</f>
        <v>0</v>
      </c>
      <c r="BH783" s="39">
        <f>+IFERROR(-ABS(IF(EDATE(_xlfn.XLOOKUP(1,$H770:$BE770,$H$4:$BE$4),12*Assumptions!$H$193+12)=BH$4,0,IF(BG770=1,PMT(Assumptions!$H$191,Assumptions!$H$193,$C772),BG783))),0)</f>
        <v>0</v>
      </c>
      <c r="BI783" s="39">
        <f>+IFERROR(-ABS(IF(EDATE(_xlfn.XLOOKUP(1,$H770:$BE770,$H$4:$BE$4),12*Assumptions!$H$193+12)=BI$4,0,IF(BH770=1,PMT(Assumptions!$H$191,Assumptions!$H$193,$C772),BH783))),0)</f>
        <v>0</v>
      </c>
      <c r="BJ783" s="39">
        <f>+IFERROR(-ABS(IF(EDATE(_xlfn.XLOOKUP(1,$H770:$BE770,$H$4:$BE$4),12*Assumptions!$H$193+12)=BJ$4,0,IF(BI770=1,PMT(Assumptions!$H$191,Assumptions!$H$193,$C772),BI783))),0)</f>
        <v>0</v>
      </c>
      <c r="BK783" s="39">
        <f>+IFERROR(-ABS(IF(EDATE(_xlfn.XLOOKUP(1,$H770:$BE770,$H$4:$BE$4),12*Assumptions!$H$193+12)=BK$4,0,IF(BJ770=1,PMT(Assumptions!$H$191,Assumptions!$H$193,$C772),BJ783))),0)</f>
        <v>0</v>
      </c>
      <c r="BL783" s="39">
        <f>+IFERROR(-ABS(IF(EDATE(_xlfn.XLOOKUP(1,$H770:$BE770,$H$4:$BE$4),12*Assumptions!$H$193+12)=BL$4,0,IF(BK770=1,PMT(Assumptions!$H$191,Assumptions!$H$193,$C772),BK783))),0)</f>
        <v>0</v>
      </c>
      <c r="BM783" s="39">
        <f>+IFERROR(-ABS(IF(EDATE(_xlfn.XLOOKUP(1,$H770:$BE770,$H$4:$BE$4),12*Assumptions!$H$193+12)=BM$4,0,IF(BL770=1,PMT(Assumptions!$H$191,Assumptions!$H$193,$C772),BL783))),0)</f>
        <v>0</v>
      </c>
      <c r="BN783" s="39">
        <f>+IFERROR(-ABS(IF(EDATE(_xlfn.XLOOKUP(1,$H770:$BE770,$H$4:$BE$4),12*Assumptions!$H$193+12)=BN$4,0,IF(BM770=1,PMT(Assumptions!$H$191,Assumptions!$H$193,$C772),BM783))),0)</f>
        <v>0</v>
      </c>
      <c r="BO783" s="39">
        <f>+IFERROR(-ABS(IF(EDATE(_xlfn.XLOOKUP(1,$H770:$BE770,$H$4:$BE$4),12*Assumptions!$H$193+12)=BO$4,0,IF(BN770=1,PMT(Assumptions!$H$191,Assumptions!$H$193,$C772),BN783))),0)</f>
        <v>0</v>
      </c>
      <c r="BP783" s="39">
        <f>+IFERROR(-ABS(IF(EDATE(_xlfn.XLOOKUP(1,$H770:$BE770,$H$4:$BE$4),12*Assumptions!$H$193+12)=BP$4,0,IF(BO770=1,PMT(Assumptions!$H$191,Assumptions!$H$193,$C772),BO783))),0)</f>
        <v>0</v>
      </c>
      <c r="BQ783" s="39">
        <f>+IFERROR(-ABS(IF(EDATE(_xlfn.XLOOKUP(1,$H770:$BE770,$H$4:$BE$4),12*Assumptions!$H$193+12)=BQ$4,0,IF(BP770=1,PMT(Assumptions!$H$191,Assumptions!$H$193,$C772),BP783))),0)</f>
        <v>0</v>
      </c>
      <c r="BR783" s="39">
        <f>+IFERROR(-ABS(IF(EDATE(_xlfn.XLOOKUP(1,$H770:$BE770,$H$4:$BE$4),12*Assumptions!$H$193+12)=BR$4,0,IF(BQ770=1,PMT(Assumptions!$H$191,Assumptions!$H$193,$C772),BQ783))),0)</f>
        <v>0</v>
      </c>
      <c r="BS783" s="39">
        <f>+IFERROR(-ABS(IF(EDATE(_xlfn.XLOOKUP(1,$H770:$BE770,$H$4:$BE$4),12*Assumptions!$H$193+12)=BS$4,0,IF(BR770=1,PMT(Assumptions!$H$191,Assumptions!$H$193,$C772),BR783))),0)</f>
        <v>0</v>
      </c>
      <c r="BT783" s="39">
        <f>+IFERROR(-ABS(IF(EDATE(_xlfn.XLOOKUP(1,$H770:$BE770,$H$4:$BE$4),12*Assumptions!$H$193+12)=BT$4,0,IF(BS770=1,PMT(Assumptions!$H$191,Assumptions!$H$193,$C772),BS783))),0)</f>
        <v>0</v>
      </c>
      <c r="BU783" s="39">
        <f>+IFERROR(-ABS(IF(EDATE(_xlfn.XLOOKUP(1,$H770:$BE770,$H$4:$BE$4),12*Assumptions!$H$193+12)=BU$4,0,IF(BT770=1,PMT(Assumptions!$H$191,Assumptions!$H$193,$C772),BT783))),0)</f>
        <v>0</v>
      </c>
      <c r="BV783" s="39">
        <f>+IFERROR(-ABS(IF(EDATE(_xlfn.XLOOKUP(1,$H770:$BE770,$H$4:$BE$4),12*Assumptions!$H$193+12)=BV$4,0,IF(BU770=1,PMT(Assumptions!$H$191,Assumptions!$H$193,$C772),BU783))),0)</f>
        <v>0</v>
      </c>
      <c r="BW783" s="39">
        <f>+IFERROR(-ABS(IF(EDATE(_xlfn.XLOOKUP(1,$H770:$BE770,$H$4:$BE$4),12*Assumptions!$H$193+12)=BW$4,0,IF(BV770=1,PMT(Assumptions!$H$191,Assumptions!$H$193,$C772),BV783))),0)</f>
        <v>0</v>
      </c>
      <c r="BX783" s="39">
        <f>+IFERROR(-ABS(IF(EDATE(_xlfn.XLOOKUP(1,$H770:$BE770,$H$4:$BE$4),12*Assumptions!$H$193+12)=BX$4,0,IF(BW770=1,PMT(Assumptions!$H$191,Assumptions!$H$193,$C772),BW783))),0)</f>
        <v>0</v>
      </c>
      <c r="BY783" s="39">
        <f>+IFERROR(-ABS(IF(EDATE(_xlfn.XLOOKUP(1,$H770:$BE770,$H$4:$BE$4),12*Assumptions!$H$193+12)=BY$4,0,IF(BX770=1,PMT(Assumptions!$H$191,Assumptions!$H$193,$C772),BX783))),0)</f>
        <v>0</v>
      </c>
    </row>
    <row r="784" spans="3:77" outlineLevel="1">
      <c r="E784" s="24" t="s">
        <v>517</v>
      </c>
      <c r="F784" s="80" t="str">
        <f>+Assumptions!$G$8</f>
        <v>USD</v>
      </c>
      <c r="G784" s="24"/>
      <c r="H784" s="39">
        <f>+IFERROR(-ABS(IF(EDATE(_xlfn.XLOOKUP(1,$H771:$BE771,$H$4:$BE$4),12*Assumptions!$H$193+12)=H$4,0,IF(G771=1,PMT(Assumptions!$H$191,Assumptions!$H$193,$C773),G784))),0)</f>
        <v>0</v>
      </c>
      <c r="I784" s="39">
        <f>+IFERROR(-ABS(IF(EDATE(_xlfn.XLOOKUP(1,$H771:$BE771,$H$4:$BE$4),12*Assumptions!$H$193+12)=I$4,0,IF(H771=1,PMT(Assumptions!$H$191,Assumptions!$H$193,$C773),H784))),0)</f>
        <v>0</v>
      </c>
      <c r="J784" s="39">
        <f>+IFERROR(-ABS(IF(EDATE(_xlfn.XLOOKUP(1,$H771:$BE771,$H$4:$BE$4),12*Assumptions!$H$193+12)=J$4,0,IF(I771=1,PMT(Assumptions!$H$191,Assumptions!$H$193,$C773),I784))),0)</f>
        <v>0</v>
      </c>
      <c r="K784" s="39">
        <f>+IFERROR(-ABS(IF(EDATE(_xlfn.XLOOKUP(1,$H771:$BE771,$H$4:$BE$4),12*Assumptions!$H$193+12)=K$4,0,IF(J771=1,PMT(Assumptions!$H$191,Assumptions!$H$193,$C773),J784))),0)</f>
        <v>0</v>
      </c>
      <c r="L784" s="39">
        <f>+IFERROR(-ABS(IF(EDATE(_xlfn.XLOOKUP(1,$H771:$BE771,$H$4:$BE$4),12*Assumptions!$H$193+12)=L$4,0,IF(K771=1,PMT(Assumptions!$H$191,Assumptions!$H$193,$C773),K784))),0)</f>
        <v>0</v>
      </c>
      <c r="M784" s="39">
        <f>+IFERROR(-ABS(IF(EDATE(_xlfn.XLOOKUP(1,$H771:$BE771,$H$4:$BE$4),12*Assumptions!$H$193+12)=M$4,0,IF(L771=1,PMT(Assumptions!$H$191,Assumptions!$H$193,$C773),L784))),0)</f>
        <v>0</v>
      </c>
      <c r="N784" s="39">
        <f>+IFERROR(-ABS(IF(EDATE(_xlfn.XLOOKUP(1,$H771:$BE771,$H$4:$BE$4),12*Assumptions!$H$193+12)=N$4,0,IF(M771=1,PMT(Assumptions!$H$191,Assumptions!$H$193,$C773),M784))),0)</f>
        <v>0</v>
      </c>
      <c r="O784" s="39">
        <f>+IFERROR(-ABS(IF(EDATE(_xlfn.XLOOKUP(1,$H771:$BE771,$H$4:$BE$4),12*Assumptions!$H$193+12)=O$4,0,IF(N771=1,PMT(Assumptions!$H$191,Assumptions!$H$193,$C773),N784))),0)</f>
        <v>0</v>
      </c>
      <c r="P784" s="39">
        <f>+IFERROR(-ABS(IF(EDATE(_xlfn.XLOOKUP(1,$H771:$BE771,$H$4:$BE$4),12*Assumptions!$H$193+12)=P$4,0,IF(O771=1,PMT(Assumptions!$H$191,Assumptions!$H$193,$C773),O784))),0)</f>
        <v>0</v>
      </c>
      <c r="Q784" s="39">
        <f>+IFERROR(-ABS(IF(EDATE(_xlfn.XLOOKUP(1,$H771:$BE771,$H$4:$BE$4),12*Assumptions!$H$193+12)=Q$4,0,IF(P771=1,PMT(Assumptions!$H$191,Assumptions!$H$193,$C773),P784))),0)</f>
        <v>0</v>
      </c>
      <c r="R784" s="39">
        <f>+IFERROR(-ABS(IF(EDATE(_xlfn.XLOOKUP(1,$H771:$BE771,$H$4:$BE$4),12*Assumptions!$H$193+12)=R$4,0,IF(Q771=1,PMT(Assumptions!$H$191,Assumptions!$H$193,$C773),Q784))),0)</f>
        <v>0</v>
      </c>
      <c r="S784" s="39">
        <f>+IFERROR(-ABS(IF(EDATE(_xlfn.XLOOKUP(1,$H771:$BE771,$H$4:$BE$4),12*Assumptions!$H$193+12)=S$4,0,IF(R771=1,PMT(Assumptions!$H$191,Assumptions!$H$193,$C773),R784))),0)</f>
        <v>0</v>
      </c>
      <c r="T784" s="39">
        <f>+IFERROR(-ABS(IF(EDATE(_xlfn.XLOOKUP(1,$H771:$BE771,$H$4:$BE$4),12*Assumptions!$H$193+12)=T$4,0,IF(S771=1,PMT(Assumptions!$H$191,Assumptions!$H$193,$C773),S784))),0)</f>
        <v>0</v>
      </c>
      <c r="U784" s="39">
        <f>+IFERROR(-ABS(IF(EDATE(_xlfn.XLOOKUP(1,$H771:$BE771,$H$4:$BE$4),12*Assumptions!$H$193+12)=U$4,0,IF(T771=1,PMT(Assumptions!$H$191,Assumptions!$H$193,$C773),T784))),0)</f>
        <v>0</v>
      </c>
      <c r="V784" s="39">
        <f>+IFERROR(-ABS(IF(EDATE(_xlfn.XLOOKUP(1,$H771:$BE771,$H$4:$BE$4),12*Assumptions!$H$193+12)=V$4,0,IF(U771=1,PMT(Assumptions!$H$191,Assumptions!$H$193,$C773),U784))),0)</f>
        <v>0</v>
      </c>
      <c r="W784" s="39">
        <f>+IFERROR(-ABS(IF(EDATE(_xlfn.XLOOKUP(1,$H771:$BE771,$H$4:$BE$4),12*Assumptions!$H$193+12)=W$4,0,IF(V771=1,PMT(Assumptions!$H$191,Assumptions!$H$193,$C773),V784))),0)</f>
        <v>0</v>
      </c>
      <c r="X784" s="39">
        <f>+IFERROR(-ABS(IF(EDATE(_xlfn.XLOOKUP(1,$H771:$BE771,$H$4:$BE$4),12*Assumptions!$H$193+12)=X$4,0,IF(W771=1,PMT(Assumptions!$H$191,Assumptions!$H$193,$C773),W784))),0)</f>
        <v>0</v>
      </c>
      <c r="Y784" s="39">
        <f>+IFERROR(-ABS(IF(EDATE(_xlfn.XLOOKUP(1,$H771:$BE771,$H$4:$BE$4),12*Assumptions!$H$193+12)=Y$4,0,IF(X771=1,PMT(Assumptions!$H$191,Assumptions!$H$193,$C773),X784))),0)</f>
        <v>0</v>
      </c>
      <c r="Z784" s="39">
        <f>+IFERROR(-ABS(IF(EDATE(_xlfn.XLOOKUP(1,$H771:$BE771,$H$4:$BE$4),12*Assumptions!$H$193+12)=Z$4,0,IF(Y771=1,PMT(Assumptions!$H$191,Assumptions!$H$193,$C773),Y784))),0)</f>
        <v>0</v>
      </c>
      <c r="AA784" s="39">
        <f>+IFERROR(-ABS(IF(EDATE(_xlfn.XLOOKUP(1,$H771:$BE771,$H$4:$BE$4),12*Assumptions!$H$193+12)=AA$4,0,IF(Z771=1,PMT(Assumptions!$H$191,Assumptions!$H$193,$C773),Z784))),0)</f>
        <v>0</v>
      </c>
      <c r="AB784" s="39">
        <f>+IFERROR(-ABS(IF(EDATE(_xlfn.XLOOKUP(1,$H771:$BE771,$H$4:$BE$4),12*Assumptions!$H$193+12)=AB$4,0,IF(AA771=1,PMT(Assumptions!$H$191,Assumptions!$H$193,$C773),AA784))),0)</f>
        <v>0</v>
      </c>
      <c r="AC784" s="39">
        <f>+IFERROR(-ABS(IF(EDATE(_xlfn.XLOOKUP(1,$H771:$BE771,$H$4:$BE$4),12*Assumptions!$H$193+12)=AC$4,0,IF(AB771=1,PMT(Assumptions!$H$191,Assumptions!$H$193,$C773),AB784))),0)</f>
        <v>0</v>
      </c>
      <c r="AD784" s="39">
        <f>+IFERROR(-ABS(IF(EDATE(_xlfn.XLOOKUP(1,$H771:$BE771,$H$4:$BE$4),12*Assumptions!$H$193+12)=AD$4,0,IF(AC771=1,PMT(Assumptions!$H$191,Assumptions!$H$193,$C773),AC784))),0)</f>
        <v>0</v>
      </c>
      <c r="AE784" s="39">
        <f>+IFERROR(-ABS(IF(EDATE(_xlfn.XLOOKUP(1,$H771:$BE771,$H$4:$BE$4),12*Assumptions!$H$193+12)=AE$4,0,IF(AD771=1,PMT(Assumptions!$H$191,Assumptions!$H$193,$C773),AD784))),0)</f>
        <v>0</v>
      </c>
      <c r="AF784" s="39">
        <f>+IFERROR(-ABS(IF(EDATE(_xlfn.XLOOKUP(1,$H771:$BE771,$H$4:$BE$4),12*Assumptions!$H$193+12)=AF$4,0,IF(AE771=1,PMT(Assumptions!$H$191,Assumptions!$H$193,$C773),AE784))),0)</f>
        <v>0</v>
      </c>
      <c r="AG784" s="39">
        <f>+IFERROR(-ABS(IF(EDATE(_xlfn.XLOOKUP(1,$H771:$BE771,$H$4:$BE$4),12*Assumptions!$H$193+12)=AG$4,0,IF(AF771=1,PMT(Assumptions!$H$191,Assumptions!$H$193,$C773),AF784))),0)</f>
        <v>0</v>
      </c>
      <c r="AH784" s="39">
        <f>+IFERROR(-ABS(IF(EDATE(_xlfn.XLOOKUP(1,$H771:$BE771,$H$4:$BE$4),12*Assumptions!$H$193+12)=AH$4,0,IF(AG771=1,PMT(Assumptions!$H$191,Assumptions!$H$193,$C773),AG784))),0)</f>
        <v>0</v>
      </c>
      <c r="AI784" s="39">
        <f>+IFERROR(-ABS(IF(EDATE(_xlfn.XLOOKUP(1,$H771:$BE771,$H$4:$BE$4),12*Assumptions!$H$193+12)=AI$4,0,IF(AH771=1,PMT(Assumptions!$H$191,Assumptions!$H$193,$C773),AH784))),0)</f>
        <v>0</v>
      </c>
      <c r="AJ784" s="39">
        <f>+IFERROR(-ABS(IF(EDATE(_xlfn.XLOOKUP(1,$H771:$BE771,$H$4:$BE$4),12*Assumptions!$H$193+12)=AJ$4,0,IF(AI771=1,PMT(Assumptions!$H$191,Assumptions!$H$193,$C773),AI784))),0)</f>
        <v>0</v>
      </c>
      <c r="AK784" s="39">
        <f>+IFERROR(-ABS(IF(EDATE(_xlfn.XLOOKUP(1,$H771:$BE771,$H$4:$BE$4),12*Assumptions!$H$193+12)=AK$4,0,IF(AJ771=1,PMT(Assumptions!$H$191,Assumptions!$H$193,$C773),AJ784))),0)</f>
        <v>0</v>
      </c>
      <c r="AL784" s="39">
        <f>+IFERROR(-ABS(IF(EDATE(_xlfn.XLOOKUP(1,$H771:$BE771,$H$4:$BE$4),12*Assumptions!$H$193+12)=AL$4,0,IF(AK771=1,PMT(Assumptions!$H$191,Assumptions!$H$193,$C773),AK784))),0)</f>
        <v>0</v>
      </c>
      <c r="AM784" s="39">
        <f>+IFERROR(-ABS(IF(EDATE(_xlfn.XLOOKUP(1,$H771:$BE771,$H$4:$BE$4),12*Assumptions!$H$193+12)=AM$4,0,IF(AL771=1,PMT(Assumptions!$H$191,Assumptions!$H$193,$C773),AL784))),0)</f>
        <v>0</v>
      </c>
      <c r="AN784" s="39">
        <f>+IFERROR(-ABS(IF(EDATE(_xlfn.XLOOKUP(1,$H771:$BE771,$H$4:$BE$4),12*Assumptions!$H$193+12)=AN$4,0,IF(AM771=1,PMT(Assumptions!$H$191,Assumptions!$H$193,$C773),AM784))),0)</f>
        <v>0</v>
      </c>
      <c r="AO784" s="39">
        <f>+IFERROR(-ABS(IF(EDATE(_xlfn.XLOOKUP(1,$H771:$BE771,$H$4:$BE$4),12*Assumptions!$H$193+12)=AO$4,0,IF(AN771=1,PMT(Assumptions!$H$191,Assumptions!$H$193,$C773),AN784))),0)</f>
        <v>0</v>
      </c>
      <c r="AP784" s="39">
        <f>+IFERROR(-ABS(IF(EDATE(_xlfn.XLOOKUP(1,$H771:$BE771,$H$4:$BE$4),12*Assumptions!$H$193+12)=AP$4,0,IF(AO771=1,PMT(Assumptions!$H$191,Assumptions!$H$193,$C773),AO784))),0)</f>
        <v>0</v>
      </c>
      <c r="AQ784" s="39">
        <f>+IFERROR(-ABS(IF(EDATE(_xlfn.XLOOKUP(1,$H771:$BE771,$H$4:$BE$4),12*Assumptions!$H$193+12)=AQ$4,0,IF(AP771=1,PMT(Assumptions!$H$191,Assumptions!$H$193,$C773),AP784))),0)</f>
        <v>0</v>
      </c>
      <c r="AR784" s="39">
        <f>+IFERROR(-ABS(IF(EDATE(_xlfn.XLOOKUP(1,$H771:$BE771,$H$4:$BE$4),12*Assumptions!$H$193+12)=AR$4,0,IF(AQ771=1,PMT(Assumptions!$H$191,Assumptions!$H$193,$C773),AQ784))),0)</f>
        <v>0</v>
      </c>
      <c r="AS784" s="39">
        <f>+IFERROR(-ABS(IF(EDATE(_xlfn.XLOOKUP(1,$H771:$BE771,$H$4:$BE$4),12*Assumptions!$H$193+12)=AS$4,0,IF(AR771=1,PMT(Assumptions!$H$191,Assumptions!$H$193,$C773),AR784))),0)</f>
        <v>0</v>
      </c>
      <c r="AT784" s="39">
        <f>+IFERROR(-ABS(IF(EDATE(_xlfn.XLOOKUP(1,$H771:$BE771,$H$4:$BE$4),12*Assumptions!$H$193+12)=AT$4,0,IF(AS771=1,PMT(Assumptions!$H$191,Assumptions!$H$193,$C773),AS784))),0)</f>
        <v>0</v>
      </c>
      <c r="AU784" s="39">
        <f>+IFERROR(-ABS(IF(EDATE(_xlfn.XLOOKUP(1,$H771:$BE771,$H$4:$BE$4),12*Assumptions!$H$193+12)=AU$4,0,IF(AT771=1,PMT(Assumptions!$H$191,Assumptions!$H$193,$C773),AT784))),0)</f>
        <v>0</v>
      </c>
      <c r="AV784" s="39">
        <f>+IFERROR(-ABS(IF(EDATE(_xlfn.XLOOKUP(1,$H771:$BE771,$H$4:$BE$4),12*Assumptions!$H$193+12)=AV$4,0,IF(AU771=1,PMT(Assumptions!$H$191,Assumptions!$H$193,$C773),AU784))),0)</f>
        <v>0</v>
      </c>
      <c r="AW784" s="39">
        <f>+IFERROR(-ABS(IF(EDATE(_xlfn.XLOOKUP(1,$H771:$BE771,$H$4:$BE$4),12*Assumptions!$H$193+12)=AW$4,0,IF(AV771=1,PMT(Assumptions!$H$191,Assumptions!$H$193,$C773),AV784))),0)</f>
        <v>0</v>
      </c>
      <c r="AX784" s="39">
        <f>+IFERROR(-ABS(IF(EDATE(_xlfn.XLOOKUP(1,$H771:$BE771,$H$4:$BE$4),12*Assumptions!$H$193+12)=AX$4,0,IF(AW771=1,PMT(Assumptions!$H$191,Assumptions!$H$193,$C773),AW784))),0)</f>
        <v>0</v>
      </c>
      <c r="AY784" s="39">
        <f>+IFERROR(-ABS(IF(EDATE(_xlfn.XLOOKUP(1,$H771:$BE771,$H$4:$BE$4),12*Assumptions!$H$193+12)=AY$4,0,IF(AX771=1,PMT(Assumptions!$H$191,Assumptions!$H$193,$C773),AX784))),0)</f>
        <v>0</v>
      </c>
      <c r="AZ784" s="39">
        <f>+IFERROR(-ABS(IF(EDATE(_xlfn.XLOOKUP(1,$H771:$BE771,$H$4:$BE$4),12*Assumptions!$H$193+12)=AZ$4,0,IF(AY771=1,PMT(Assumptions!$H$191,Assumptions!$H$193,$C773),AY784))),0)</f>
        <v>0</v>
      </c>
      <c r="BA784" s="39">
        <f>+IFERROR(-ABS(IF(EDATE(_xlfn.XLOOKUP(1,$H771:$BE771,$H$4:$BE$4),12*Assumptions!$H$193+12)=BA$4,0,IF(AZ771=1,PMT(Assumptions!$H$191,Assumptions!$H$193,$C773),AZ784))),0)</f>
        <v>0</v>
      </c>
      <c r="BB784" s="39">
        <f>+IFERROR(-ABS(IF(EDATE(_xlfn.XLOOKUP(1,$H771:$BE771,$H$4:$BE$4),12*Assumptions!$H$193+12)=BB$4,0,IF(BA771=1,PMT(Assumptions!$H$191,Assumptions!$H$193,$C773),BA784))),0)</f>
        <v>0</v>
      </c>
      <c r="BC784" s="39">
        <f>+IFERROR(-ABS(IF(EDATE(_xlfn.XLOOKUP(1,$H771:$BE771,$H$4:$BE$4),12*Assumptions!$H$193+12)=BC$4,0,IF(BB771=1,PMT(Assumptions!$H$191,Assumptions!$H$193,$C773),BB784))),0)</f>
        <v>0</v>
      </c>
      <c r="BD784" s="39">
        <f>+IFERROR(-ABS(IF(EDATE(_xlfn.XLOOKUP(1,$H771:$BE771,$H$4:$BE$4),12*Assumptions!$H$193+12)=BD$4,0,IF(BC771=1,PMT(Assumptions!$H$191,Assumptions!$H$193,$C773),BC784))),0)</f>
        <v>0</v>
      </c>
      <c r="BE784" s="39">
        <f>+IFERROR(-ABS(IF(EDATE(_xlfn.XLOOKUP(1,$H771:$BE771,$H$4:$BE$4),12*Assumptions!$H$193+12)=BE$4,0,IF(BD771=1,PMT(Assumptions!$H$191,Assumptions!$H$193,$C773),BD784))),0)</f>
        <v>0</v>
      </c>
      <c r="BF784" s="39">
        <f>+IFERROR(-ABS(IF(EDATE(_xlfn.XLOOKUP(1,$H771:$BE771,$H$4:$BE$4),12*Assumptions!$H$193+12)=BF$4,0,IF(BE771=1,PMT(Assumptions!$H$191,Assumptions!$H$193,$C773),BE784))),0)</f>
        <v>0</v>
      </c>
      <c r="BG784" s="39">
        <f>+IFERROR(-ABS(IF(EDATE(_xlfn.XLOOKUP(1,$H771:$BE771,$H$4:$BE$4),12*Assumptions!$H$193+12)=BG$4,0,IF(BF771=1,PMT(Assumptions!$H$191,Assumptions!$H$193,$C773),BF784))),0)</f>
        <v>0</v>
      </c>
      <c r="BH784" s="39">
        <f>+IFERROR(-ABS(IF(EDATE(_xlfn.XLOOKUP(1,$H771:$BE771,$H$4:$BE$4),12*Assumptions!$H$193+12)=BH$4,0,IF(BG771=1,PMT(Assumptions!$H$191,Assumptions!$H$193,$C773),BG784))),0)</f>
        <v>0</v>
      </c>
      <c r="BI784" s="39">
        <f>+IFERROR(-ABS(IF(EDATE(_xlfn.XLOOKUP(1,$H771:$BE771,$H$4:$BE$4),12*Assumptions!$H$193+12)=BI$4,0,IF(BH771=1,PMT(Assumptions!$H$191,Assumptions!$H$193,$C773),BH784))),0)</f>
        <v>0</v>
      </c>
      <c r="BJ784" s="39">
        <f>+IFERROR(-ABS(IF(EDATE(_xlfn.XLOOKUP(1,$H771:$BE771,$H$4:$BE$4),12*Assumptions!$H$193+12)=BJ$4,0,IF(BI771=1,PMT(Assumptions!$H$191,Assumptions!$H$193,$C773),BI784))),0)</f>
        <v>0</v>
      </c>
      <c r="BK784" s="39">
        <f>+IFERROR(-ABS(IF(EDATE(_xlfn.XLOOKUP(1,$H771:$BE771,$H$4:$BE$4),12*Assumptions!$H$193+12)=BK$4,0,IF(BJ771=1,PMT(Assumptions!$H$191,Assumptions!$H$193,$C773),BJ784))),0)</f>
        <v>0</v>
      </c>
      <c r="BL784" s="39">
        <f>+IFERROR(-ABS(IF(EDATE(_xlfn.XLOOKUP(1,$H771:$BE771,$H$4:$BE$4),12*Assumptions!$H$193+12)=BL$4,0,IF(BK771=1,PMT(Assumptions!$H$191,Assumptions!$H$193,$C773),BK784))),0)</f>
        <v>0</v>
      </c>
      <c r="BM784" s="39">
        <f>+IFERROR(-ABS(IF(EDATE(_xlfn.XLOOKUP(1,$H771:$BE771,$H$4:$BE$4),12*Assumptions!$H$193+12)=BM$4,0,IF(BL771=1,PMT(Assumptions!$H$191,Assumptions!$H$193,$C773),BL784))),0)</f>
        <v>0</v>
      </c>
      <c r="BN784" s="39">
        <f>+IFERROR(-ABS(IF(EDATE(_xlfn.XLOOKUP(1,$H771:$BE771,$H$4:$BE$4),12*Assumptions!$H$193+12)=BN$4,0,IF(BM771=1,PMT(Assumptions!$H$191,Assumptions!$H$193,$C773),BM784))),0)</f>
        <v>0</v>
      </c>
      <c r="BO784" s="39">
        <f>+IFERROR(-ABS(IF(EDATE(_xlfn.XLOOKUP(1,$H771:$BE771,$H$4:$BE$4),12*Assumptions!$H$193+12)=BO$4,0,IF(BN771=1,PMT(Assumptions!$H$191,Assumptions!$H$193,$C773),BN784))),0)</f>
        <v>0</v>
      </c>
      <c r="BP784" s="39">
        <f>+IFERROR(-ABS(IF(EDATE(_xlfn.XLOOKUP(1,$H771:$BE771,$H$4:$BE$4),12*Assumptions!$H$193+12)=BP$4,0,IF(BO771=1,PMT(Assumptions!$H$191,Assumptions!$H$193,$C773),BO784))),0)</f>
        <v>0</v>
      </c>
      <c r="BQ784" s="39">
        <f>+IFERROR(-ABS(IF(EDATE(_xlfn.XLOOKUP(1,$H771:$BE771,$H$4:$BE$4),12*Assumptions!$H$193+12)=BQ$4,0,IF(BP771=1,PMT(Assumptions!$H$191,Assumptions!$H$193,$C773),BP784))),0)</f>
        <v>0</v>
      </c>
      <c r="BR784" s="39">
        <f>+IFERROR(-ABS(IF(EDATE(_xlfn.XLOOKUP(1,$H771:$BE771,$H$4:$BE$4),12*Assumptions!$H$193+12)=BR$4,0,IF(BQ771=1,PMT(Assumptions!$H$191,Assumptions!$H$193,$C773),BQ784))),0)</f>
        <v>0</v>
      </c>
      <c r="BS784" s="39">
        <f>+IFERROR(-ABS(IF(EDATE(_xlfn.XLOOKUP(1,$H771:$BE771,$H$4:$BE$4),12*Assumptions!$H$193+12)=BS$4,0,IF(BR771=1,PMT(Assumptions!$H$191,Assumptions!$H$193,$C773),BR784))),0)</f>
        <v>0</v>
      </c>
      <c r="BT784" s="39">
        <f>+IFERROR(-ABS(IF(EDATE(_xlfn.XLOOKUP(1,$H771:$BE771,$H$4:$BE$4),12*Assumptions!$H$193+12)=BT$4,0,IF(BS771=1,PMT(Assumptions!$H$191,Assumptions!$H$193,$C773),BS784))),0)</f>
        <v>0</v>
      </c>
      <c r="BU784" s="39">
        <f>+IFERROR(-ABS(IF(EDATE(_xlfn.XLOOKUP(1,$H771:$BE771,$H$4:$BE$4),12*Assumptions!$H$193+12)=BU$4,0,IF(BT771=1,PMT(Assumptions!$H$191,Assumptions!$H$193,$C773),BT784))),0)</f>
        <v>0</v>
      </c>
      <c r="BV784" s="39">
        <f>+IFERROR(-ABS(IF(EDATE(_xlfn.XLOOKUP(1,$H771:$BE771,$H$4:$BE$4),12*Assumptions!$H$193+12)=BV$4,0,IF(BU771=1,PMT(Assumptions!$H$191,Assumptions!$H$193,$C773),BU784))),0)</f>
        <v>0</v>
      </c>
      <c r="BW784" s="39">
        <f>+IFERROR(-ABS(IF(EDATE(_xlfn.XLOOKUP(1,$H771:$BE771,$H$4:$BE$4),12*Assumptions!$H$193+12)=BW$4,0,IF(BV771=1,PMT(Assumptions!$H$191,Assumptions!$H$193,$C773),BV784))),0)</f>
        <v>0</v>
      </c>
      <c r="BX784" s="39">
        <f>+IFERROR(-ABS(IF(EDATE(_xlfn.XLOOKUP(1,$H771:$BE771,$H$4:$BE$4),12*Assumptions!$H$193+12)=BX$4,0,IF(BW771=1,PMT(Assumptions!$H$191,Assumptions!$H$193,$C773),BW784))),0)</f>
        <v>0</v>
      </c>
      <c r="BY784" s="39">
        <f>+IFERROR(-ABS(IF(EDATE(_xlfn.XLOOKUP(1,$H771:$BE771,$H$4:$BE$4),12*Assumptions!$H$193+12)=BY$4,0,IF(BX771=1,PMT(Assumptions!$H$191,Assumptions!$H$193,$C773),BX784))),0)</f>
        <v>0</v>
      </c>
    </row>
    <row r="785" spans="3:77" outlineLevel="1">
      <c r="E785" s="24" t="s">
        <v>518</v>
      </c>
      <c r="F785" s="80" t="str">
        <f>+Assumptions!$G$8</f>
        <v>USD</v>
      </c>
      <c r="G785" s="24"/>
      <c r="H785" s="39">
        <f>+IFERROR(-ABS(IF(EDATE(_xlfn.XLOOKUP(1,$H772:$BE772,$H$4:$BE$4),12*Assumptions!$H$193+12)=H$4,0,IF(G772=1,PMT(Assumptions!$H$191,Assumptions!$H$193,$C774),G785))),0)</f>
        <v>0</v>
      </c>
      <c r="I785" s="39">
        <f>+IFERROR(-ABS(IF(EDATE(_xlfn.XLOOKUP(1,$H772:$BE772,$H$4:$BE$4),12*Assumptions!$H$193+12)=I$4,0,IF(H772=1,PMT(Assumptions!$H$191,Assumptions!$H$193,$C774),H785))),0)</f>
        <v>0</v>
      </c>
      <c r="J785" s="39">
        <f>+IFERROR(-ABS(IF(EDATE(_xlfn.XLOOKUP(1,$H772:$BE772,$H$4:$BE$4),12*Assumptions!$H$193+12)=J$4,0,IF(I772=1,PMT(Assumptions!$H$191,Assumptions!$H$193,$C774),I785))),0)</f>
        <v>0</v>
      </c>
      <c r="K785" s="39">
        <f>+IFERROR(-ABS(IF(EDATE(_xlfn.XLOOKUP(1,$H772:$BE772,$H$4:$BE$4),12*Assumptions!$H$193+12)=K$4,0,IF(J772=1,PMT(Assumptions!$H$191,Assumptions!$H$193,$C774),J785))),0)</f>
        <v>0</v>
      </c>
      <c r="L785" s="39">
        <f>+IFERROR(-ABS(IF(EDATE(_xlfn.XLOOKUP(1,$H772:$BE772,$H$4:$BE$4),12*Assumptions!$H$193+12)=L$4,0,IF(K772=1,PMT(Assumptions!$H$191,Assumptions!$H$193,$C774),K785))),0)</f>
        <v>0</v>
      </c>
      <c r="M785" s="39">
        <f>+IFERROR(-ABS(IF(EDATE(_xlfn.XLOOKUP(1,$H772:$BE772,$H$4:$BE$4),12*Assumptions!$H$193+12)=M$4,0,IF(L772=1,PMT(Assumptions!$H$191,Assumptions!$H$193,$C774),L785))),0)</f>
        <v>0</v>
      </c>
      <c r="N785" s="39">
        <f>+IFERROR(-ABS(IF(EDATE(_xlfn.XLOOKUP(1,$H772:$BE772,$H$4:$BE$4),12*Assumptions!$H$193+12)=N$4,0,IF(M772=1,PMT(Assumptions!$H$191,Assumptions!$H$193,$C774),M785))),0)</f>
        <v>0</v>
      </c>
      <c r="O785" s="39">
        <f>+IFERROR(-ABS(IF(EDATE(_xlfn.XLOOKUP(1,$H772:$BE772,$H$4:$BE$4),12*Assumptions!$H$193+12)=O$4,0,IF(N772=1,PMT(Assumptions!$H$191,Assumptions!$H$193,$C774),N785))),0)</f>
        <v>0</v>
      </c>
      <c r="P785" s="39">
        <f>+IFERROR(-ABS(IF(EDATE(_xlfn.XLOOKUP(1,$H772:$BE772,$H$4:$BE$4),12*Assumptions!$H$193+12)=P$4,0,IF(O772=1,PMT(Assumptions!$H$191,Assumptions!$H$193,$C774),O785))),0)</f>
        <v>0</v>
      </c>
      <c r="Q785" s="39">
        <f>+IFERROR(-ABS(IF(EDATE(_xlfn.XLOOKUP(1,$H772:$BE772,$H$4:$BE$4),12*Assumptions!$H$193+12)=Q$4,0,IF(P772=1,PMT(Assumptions!$H$191,Assumptions!$H$193,$C774),P785))),0)</f>
        <v>0</v>
      </c>
      <c r="R785" s="39">
        <f>+IFERROR(-ABS(IF(EDATE(_xlfn.XLOOKUP(1,$H772:$BE772,$H$4:$BE$4),12*Assumptions!$H$193+12)=R$4,0,IF(Q772=1,PMT(Assumptions!$H$191,Assumptions!$H$193,$C774),Q785))),0)</f>
        <v>0</v>
      </c>
      <c r="S785" s="39">
        <f>+IFERROR(-ABS(IF(EDATE(_xlfn.XLOOKUP(1,$H772:$BE772,$H$4:$BE$4),12*Assumptions!$H$193+12)=S$4,0,IF(R772=1,PMT(Assumptions!$H$191,Assumptions!$H$193,$C774),R785))),0)</f>
        <v>0</v>
      </c>
      <c r="T785" s="39">
        <f>+IFERROR(-ABS(IF(EDATE(_xlfn.XLOOKUP(1,$H772:$BE772,$H$4:$BE$4),12*Assumptions!$H$193+12)=T$4,0,IF(S772=1,PMT(Assumptions!$H$191,Assumptions!$H$193,$C774),S785))),0)</f>
        <v>0</v>
      </c>
      <c r="U785" s="39">
        <f>+IFERROR(-ABS(IF(EDATE(_xlfn.XLOOKUP(1,$H772:$BE772,$H$4:$BE$4),12*Assumptions!$H$193+12)=U$4,0,IF(T772=1,PMT(Assumptions!$H$191,Assumptions!$H$193,$C774),T785))),0)</f>
        <v>0</v>
      </c>
      <c r="V785" s="39">
        <f>+IFERROR(-ABS(IF(EDATE(_xlfn.XLOOKUP(1,$H772:$BE772,$H$4:$BE$4),12*Assumptions!$H$193+12)=V$4,0,IF(U772=1,PMT(Assumptions!$H$191,Assumptions!$H$193,$C774),U785))),0)</f>
        <v>0</v>
      </c>
      <c r="W785" s="39">
        <f>+IFERROR(-ABS(IF(EDATE(_xlfn.XLOOKUP(1,$H772:$BE772,$H$4:$BE$4),12*Assumptions!$H$193+12)=W$4,0,IF(V772=1,PMT(Assumptions!$H$191,Assumptions!$H$193,$C774),V785))),0)</f>
        <v>0</v>
      </c>
      <c r="X785" s="39">
        <f>+IFERROR(-ABS(IF(EDATE(_xlfn.XLOOKUP(1,$H772:$BE772,$H$4:$BE$4),12*Assumptions!$H$193+12)=X$4,0,IF(W772=1,PMT(Assumptions!$H$191,Assumptions!$H$193,$C774),W785))),0)</f>
        <v>0</v>
      </c>
      <c r="Y785" s="39">
        <f>+IFERROR(-ABS(IF(EDATE(_xlfn.XLOOKUP(1,$H772:$BE772,$H$4:$BE$4),12*Assumptions!$H$193+12)=Y$4,0,IF(X772=1,PMT(Assumptions!$H$191,Assumptions!$H$193,$C774),X785))),0)</f>
        <v>0</v>
      </c>
      <c r="Z785" s="39">
        <f>+IFERROR(-ABS(IF(EDATE(_xlfn.XLOOKUP(1,$H772:$BE772,$H$4:$BE$4),12*Assumptions!$H$193+12)=Z$4,0,IF(Y772=1,PMT(Assumptions!$H$191,Assumptions!$H$193,$C774),Y785))),0)</f>
        <v>0</v>
      </c>
      <c r="AA785" s="39">
        <f>+IFERROR(-ABS(IF(EDATE(_xlfn.XLOOKUP(1,$H772:$BE772,$H$4:$BE$4),12*Assumptions!$H$193+12)=AA$4,0,IF(Z772=1,PMT(Assumptions!$H$191,Assumptions!$H$193,$C774),Z785))),0)</f>
        <v>0</v>
      </c>
      <c r="AB785" s="39">
        <f>+IFERROR(-ABS(IF(EDATE(_xlfn.XLOOKUP(1,$H772:$BE772,$H$4:$BE$4),12*Assumptions!$H$193+12)=AB$4,0,IF(AA772=1,PMT(Assumptions!$H$191,Assumptions!$H$193,$C774),AA785))),0)</f>
        <v>0</v>
      </c>
      <c r="AC785" s="39">
        <f>+IFERROR(-ABS(IF(EDATE(_xlfn.XLOOKUP(1,$H772:$BE772,$H$4:$BE$4),12*Assumptions!$H$193+12)=AC$4,0,IF(AB772=1,PMT(Assumptions!$H$191,Assumptions!$H$193,$C774),AB785))),0)</f>
        <v>0</v>
      </c>
      <c r="AD785" s="39">
        <f>+IFERROR(-ABS(IF(EDATE(_xlfn.XLOOKUP(1,$H772:$BE772,$H$4:$BE$4),12*Assumptions!$H$193+12)=AD$4,0,IF(AC772=1,PMT(Assumptions!$H$191,Assumptions!$H$193,$C774),AC785))),0)</f>
        <v>0</v>
      </c>
      <c r="AE785" s="39">
        <f>+IFERROR(-ABS(IF(EDATE(_xlfn.XLOOKUP(1,$H772:$BE772,$H$4:$BE$4),12*Assumptions!$H$193+12)=AE$4,0,IF(AD772=1,PMT(Assumptions!$H$191,Assumptions!$H$193,$C774),AD785))),0)</f>
        <v>0</v>
      </c>
      <c r="AF785" s="39">
        <f>+IFERROR(-ABS(IF(EDATE(_xlfn.XLOOKUP(1,$H772:$BE772,$H$4:$BE$4),12*Assumptions!$H$193+12)=AF$4,0,IF(AE772=1,PMT(Assumptions!$H$191,Assumptions!$H$193,$C774),AE785))),0)</f>
        <v>0</v>
      </c>
      <c r="AG785" s="39">
        <f>+IFERROR(-ABS(IF(EDATE(_xlfn.XLOOKUP(1,$H772:$BE772,$H$4:$BE$4),12*Assumptions!$H$193+12)=AG$4,0,IF(AF772=1,PMT(Assumptions!$H$191,Assumptions!$H$193,$C774),AF785))),0)</f>
        <v>0</v>
      </c>
      <c r="AH785" s="39">
        <f>+IFERROR(-ABS(IF(EDATE(_xlfn.XLOOKUP(1,$H772:$BE772,$H$4:$BE$4),12*Assumptions!$H$193+12)=AH$4,0,IF(AG772=1,PMT(Assumptions!$H$191,Assumptions!$H$193,$C774),AG785))),0)</f>
        <v>0</v>
      </c>
      <c r="AI785" s="39">
        <f>+IFERROR(-ABS(IF(EDATE(_xlfn.XLOOKUP(1,$H772:$BE772,$H$4:$BE$4),12*Assumptions!$H$193+12)=AI$4,0,IF(AH772=1,PMT(Assumptions!$H$191,Assumptions!$H$193,$C774),AH785))),0)</f>
        <v>0</v>
      </c>
      <c r="AJ785" s="39">
        <f>+IFERROR(-ABS(IF(EDATE(_xlfn.XLOOKUP(1,$H772:$BE772,$H$4:$BE$4),12*Assumptions!$H$193+12)=AJ$4,0,IF(AI772=1,PMT(Assumptions!$H$191,Assumptions!$H$193,$C774),AI785))),0)</f>
        <v>0</v>
      </c>
      <c r="AK785" s="39">
        <f>+IFERROR(-ABS(IF(EDATE(_xlfn.XLOOKUP(1,$H772:$BE772,$H$4:$BE$4),12*Assumptions!$H$193+12)=AK$4,0,IF(AJ772=1,PMT(Assumptions!$H$191,Assumptions!$H$193,$C774),AJ785))),0)</f>
        <v>0</v>
      </c>
      <c r="AL785" s="39">
        <f>+IFERROR(-ABS(IF(EDATE(_xlfn.XLOOKUP(1,$H772:$BE772,$H$4:$BE$4),12*Assumptions!$H$193+12)=AL$4,0,IF(AK772=1,PMT(Assumptions!$H$191,Assumptions!$H$193,$C774),AK785))),0)</f>
        <v>0</v>
      </c>
      <c r="AM785" s="39">
        <f>+IFERROR(-ABS(IF(EDATE(_xlfn.XLOOKUP(1,$H772:$BE772,$H$4:$BE$4),12*Assumptions!$H$193+12)=AM$4,0,IF(AL772=1,PMT(Assumptions!$H$191,Assumptions!$H$193,$C774),AL785))),0)</f>
        <v>0</v>
      </c>
      <c r="AN785" s="39">
        <f>+IFERROR(-ABS(IF(EDATE(_xlfn.XLOOKUP(1,$H772:$BE772,$H$4:$BE$4),12*Assumptions!$H$193+12)=AN$4,0,IF(AM772=1,PMT(Assumptions!$H$191,Assumptions!$H$193,$C774),AM785))),0)</f>
        <v>0</v>
      </c>
      <c r="AO785" s="39">
        <f>+IFERROR(-ABS(IF(EDATE(_xlfn.XLOOKUP(1,$H772:$BE772,$H$4:$BE$4),12*Assumptions!$H$193+12)=AO$4,0,IF(AN772=1,PMT(Assumptions!$H$191,Assumptions!$H$193,$C774),AN785))),0)</f>
        <v>0</v>
      </c>
      <c r="AP785" s="39">
        <f>+IFERROR(-ABS(IF(EDATE(_xlfn.XLOOKUP(1,$H772:$BE772,$H$4:$BE$4),12*Assumptions!$H$193+12)=AP$4,0,IF(AO772=1,PMT(Assumptions!$H$191,Assumptions!$H$193,$C774),AO785))),0)</f>
        <v>0</v>
      </c>
      <c r="AQ785" s="39">
        <f>+IFERROR(-ABS(IF(EDATE(_xlfn.XLOOKUP(1,$H772:$BE772,$H$4:$BE$4),12*Assumptions!$H$193+12)=AQ$4,0,IF(AP772=1,PMT(Assumptions!$H$191,Assumptions!$H$193,$C774),AP785))),0)</f>
        <v>0</v>
      </c>
      <c r="AR785" s="39">
        <f>+IFERROR(-ABS(IF(EDATE(_xlfn.XLOOKUP(1,$H772:$BE772,$H$4:$BE$4),12*Assumptions!$H$193+12)=AR$4,0,IF(AQ772=1,PMT(Assumptions!$H$191,Assumptions!$H$193,$C774),AQ785))),0)</f>
        <v>0</v>
      </c>
      <c r="AS785" s="39">
        <f>+IFERROR(-ABS(IF(EDATE(_xlfn.XLOOKUP(1,$H772:$BE772,$H$4:$BE$4),12*Assumptions!$H$193+12)=AS$4,0,IF(AR772=1,PMT(Assumptions!$H$191,Assumptions!$H$193,$C774),AR785))),0)</f>
        <v>0</v>
      </c>
      <c r="AT785" s="39">
        <f>+IFERROR(-ABS(IF(EDATE(_xlfn.XLOOKUP(1,$H772:$BE772,$H$4:$BE$4),12*Assumptions!$H$193+12)=AT$4,0,IF(AS772=1,PMT(Assumptions!$H$191,Assumptions!$H$193,$C774),AS785))),0)</f>
        <v>0</v>
      </c>
      <c r="AU785" s="39">
        <f>+IFERROR(-ABS(IF(EDATE(_xlfn.XLOOKUP(1,$H772:$BE772,$H$4:$BE$4),12*Assumptions!$H$193+12)=AU$4,0,IF(AT772=1,PMT(Assumptions!$H$191,Assumptions!$H$193,$C774),AT785))),0)</f>
        <v>0</v>
      </c>
      <c r="AV785" s="39">
        <f>+IFERROR(-ABS(IF(EDATE(_xlfn.XLOOKUP(1,$H772:$BE772,$H$4:$BE$4),12*Assumptions!$H$193+12)=AV$4,0,IF(AU772=1,PMT(Assumptions!$H$191,Assumptions!$H$193,$C774),AU785))),0)</f>
        <v>0</v>
      </c>
      <c r="AW785" s="39">
        <f>+IFERROR(-ABS(IF(EDATE(_xlfn.XLOOKUP(1,$H772:$BE772,$H$4:$BE$4),12*Assumptions!$H$193+12)=AW$4,0,IF(AV772=1,PMT(Assumptions!$H$191,Assumptions!$H$193,$C774),AV785))),0)</f>
        <v>0</v>
      </c>
      <c r="AX785" s="39">
        <f>+IFERROR(-ABS(IF(EDATE(_xlfn.XLOOKUP(1,$H772:$BE772,$H$4:$BE$4),12*Assumptions!$H$193+12)=AX$4,0,IF(AW772=1,PMT(Assumptions!$H$191,Assumptions!$H$193,$C774),AW785))),0)</f>
        <v>0</v>
      </c>
      <c r="AY785" s="39">
        <f>+IFERROR(-ABS(IF(EDATE(_xlfn.XLOOKUP(1,$H772:$BE772,$H$4:$BE$4),12*Assumptions!$H$193+12)=AY$4,0,IF(AX772=1,PMT(Assumptions!$H$191,Assumptions!$H$193,$C774),AX785))),0)</f>
        <v>0</v>
      </c>
      <c r="AZ785" s="39">
        <f>+IFERROR(-ABS(IF(EDATE(_xlfn.XLOOKUP(1,$H772:$BE772,$H$4:$BE$4),12*Assumptions!$H$193+12)=AZ$4,0,IF(AY772=1,PMT(Assumptions!$H$191,Assumptions!$H$193,$C774),AY785))),0)</f>
        <v>0</v>
      </c>
      <c r="BA785" s="39">
        <f>+IFERROR(-ABS(IF(EDATE(_xlfn.XLOOKUP(1,$H772:$BE772,$H$4:$BE$4),12*Assumptions!$H$193+12)=BA$4,0,IF(AZ772=1,PMT(Assumptions!$H$191,Assumptions!$H$193,$C774),AZ785))),0)</f>
        <v>0</v>
      </c>
      <c r="BB785" s="39">
        <f>+IFERROR(-ABS(IF(EDATE(_xlfn.XLOOKUP(1,$H772:$BE772,$H$4:$BE$4),12*Assumptions!$H$193+12)=BB$4,0,IF(BA772=1,PMT(Assumptions!$H$191,Assumptions!$H$193,$C774),BA785))),0)</f>
        <v>0</v>
      </c>
      <c r="BC785" s="39">
        <f>+IFERROR(-ABS(IF(EDATE(_xlfn.XLOOKUP(1,$H772:$BE772,$H$4:$BE$4),12*Assumptions!$H$193+12)=BC$4,0,IF(BB772=1,PMT(Assumptions!$H$191,Assumptions!$H$193,$C774),BB785))),0)</f>
        <v>0</v>
      </c>
      <c r="BD785" s="39">
        <f>+IFERROR(-ABS(IF(EDATE(_xlfn.XLOOKUP(1,$H772:$BE772,$H$4:$BE$4),12*Assumptions!$H$193+12)=BD$4,0,IF(BC772=1,PMT(Assumptions!$H$191,Assumptions!$H$193,$C774),BC785))),0)</f>
        <v>0</v>
      </c>
      <c r="BE785" s="39">
        <f>+IFERROR(-ABS(IF(EDATE(_xlfn.XLOOKUP(1,$H772:$BE772,$H$4:$BE$4),12*Assumptions!$H$193+12)=BE$4,0,IF(BD772=1,PMT(Assumptions!$H$191,Assumptions!$H$193,$C774),BD785))),0)</f>
        <v>0</v>
      </c>
      <c r="BF785" s="39">
        <f>+IFERROR(-ABS(IF(EDATE(_xlfn.XLOOKUP(1,$H772:$BE772,$H$4:$BE$4),12*Assumptions!$H$193+12)=BF$4,0,IF(BE772=1,PMT(Assumptions!$H$191,Assumptions!$H$193,$C774),BE785))),0)</f>
        <v>0</v>
      </c>
      <c r="BG785" s="39">
        <f>+IFERROR(-ABS(IF(EDATE(_xlfn.XLOOKUP(1,$H772:$BE772,$H$4:$BE$4),12*Assumptions!$H$193+12)=BG$4,0,IF(BF772=1,PMT(Assumptions!$H$191,Assumptions!$H$193,$C774),BF785))),0)</f>
        <v>0</v>
      </c>
      <c r="BH785" s="39">
        <f>+IFERROR(-ABS(IF(EDATE(_xlfn.XLOOKUP(1,$H772:$BE772,$H$4:$BE$4),12*Assumptions!$H$193+12)=BH$4,0,IF(BG772=1,PMT(Assumptions!$H$191,Assumptions!$H$193,$C774),BG785))),0)</f>
        <v>0</v>
      </c>
      <c r="BI785" s="39">
        <f>+IFERROR(-ABS(IF(EDATE(_xlfn.XLOOKUP(1,$H772:$BE772,$H$4:$BE$4),12*Assumptions!$H$193+12)=BI$4,0,IF(BH772=1,PMT(Assumptions!$H$191,Assumptions!$H$193,$C774),BH785))),0)</f>
        <v>0</v>
      </c>
      <c r="BJ785" s="39">
        <f>+IFERROR(-ABS(IF(EDATE(_xlfn.XLOOKUP(1,$H772:$BE772,$H$4:$BE$4),12*Assumptions!$H$193+12)=BJ$4,0,IF(BI772=1,PMT(Assumptions!$H$191,Assumptions!$H$193,$C774),BI785))),0)</f>
        <v>0</v>
      </c>
      <c r="BK785" s="39">
        <f>+IFERROR(-ABS(IF(EDATE(_xlfn.XLOOKUP(1,$H772:$BE772,$H$4:$BE$4),12*Assumptions!$H$193+12)=BK$4,0,IF(BJ772=1,PMT(Assumptions!$H$191,Assumptions!$H$193,$C774),BJ785))),0)</f>
        <v>0</v>
      </c>
      <c r="BL785" s="39">
        <f>+IFERROR(-ABS(IF(EDATE(_xlfn.XLOOKUP(1,$H772:$BE772,$H$4:$BE$4),12*Assumptions!$H$193+12)=BL$4,0,IF(BK772=1,PMT(Assumptions!$H$191,Assumptions!$H$193,$C774),BK785))),0)</f>
        <v>0</v>
      </c>
      <c r="BM785" s="39">
        <f>+IFERROR(-ABS(IF(EDATE(_xlfn.XLOOKUP(1,$H772:$BE772,$H$4:$BE$4),12*Assumptions!$H$193+12)=BM$4,0,IF(BL772=1,PMT(Assumptions!$H$191,Assumptions!$H$193,$C774),BL785))),0)</f>
        <v>0</v>
      </c>
      <c r="BN785" s="39">
        <f>+IFERROR(-ABS(IF(EDATE(_xlfn.XLOOKUP(1,$H772:$BE772,$H$4:$BE$4),12*Assumptions!$H$193+12)=BN$4,0,IF(BM772=1,PMT(Assumptions!$H$191,Assumptions!$H$193,$C774),BM785))),0)</f>
        <v>0</v>
      </c>
      <c r="BO785" s="39">
        <f>+IFERROR(-ABS(IF(EDATE(_xlfn.XLOOKUP(1,$H772:$BE772,$H$4:$BE$4),12*Assumptions!$H$193+12)=BO$4,0,IF(BN772=1,PMT(Assumptions!$H$191,Assumptions!$H$193,$C774),BN785))),0)</f>
        <v>0</v>
      </c>
      <c r="BP785" s="39">
        <f>+IFERROR(-ABS(IF(EDATE(_xlfn.XLOOKUP(1,$H772:$BE772,$H$4:$BE$4),12*Assumptions!$H$193+12)=BP$4,0,IF(BO772=1,PMT(Assumptions!$H$191,Assumptions!$H$193,$C774),BO785))),0)</f>
        <v>0</v>
      </c>
      <c r="BQ785" s="39">
        <f>+IFERROR(-ABS(IF(EDATE(_xlfn.XLOOKUP(1,$H772:$BE772,$H$4:$BE$4),12*Assumptions!$H$193+12)=BQ$4,0,IF(BP772=1,PMT(Assumptions!$H$191,Assumptions!$H$193,$C774),BP785))),0)</f>
        <v>0</v>
      </c>
      <c r="BR785" s="39">
        <f>+IFERROR(-ABS(IF(EDATE(_xlfn.XLOOKUP(1,$H772:$BE772,$H$4:$BE$4),12*Assumptions!$H$193+12)=BR$4,0,IF(BQ772=1,PMT(Assumptions!$H$191,Assumptions!$H$193,$C774),BQ785))),0)</f>
        <v>0</v>
      </c>
      <c r="BS785" s="39">
        <f>+IFERROR(-ABS(IF(EDATE(_xlfn.XLOOKUP(1,$H772:$BE772,$H$4:$BE$4),12*Assumptions!$H$193+12)=BS$4,0,IF(BR772=1,PMT(Assumptions!$H$191,Assumptions!$H$193,$C774),BR785))),0)</f>
        <v>0</v>
      </c>
      <c r="BT785" s="39">
        <f>+IFERROR(-ABS(IF(EDATE(_xlfn.XLOOKUP(1,$H772:$BE772,$H$4:$BE$4),12*Assumptions!$H$193+12)=BT$4,0,IF(BS772=1,PMT(Assumptions!$H$191,Assumptions!$H$193,$C774),BS785))),0)</f>
        <v>0</v>
      </c>
      <c r="BU785" s="39">
        <f>+IFERROR(-ABS(IF(EDATE(_xlfn.XLOOKUP(1,$H772:$BE772,$H$4:$BE$4),12*Assumptions!$H$193+12)=BU$4,0,IF(BT772=1,PMT(Assumptions!$H$191,Assumptions!$H$193,$C774),BT785))),0)</f>
        <v>0</v>
      </c>
      <c r="BV785" s="39">
        <f>+IFERROR(-ABS(IF(EDATE(_xlfn.XLOOKUP(1,$H772:$BE772,$H$4:$BE$4),12*Assumptions!$H$193+12)=BV$4,0,IF(BU772=1,PMT(Assumptions!$H$191,Assumptions!$H$193,$C774),BU785))),0)</f>
        <v>0</v>
      </c>
      <c r="BW785" s="39">
        <f>+IFERROR(-ABS(IF(EDATE(_xlfn.XLOOKUP(1,$H772:$BE772,$H$4:$BE$4),12*Assumptions!$H$193+12)=BW$4,0,IF(BV772=1,PMT(Assumptions!$H$191,Assumptions!$H$193,$C774),BV785))),0)</f>
        <v>0</v>
      </c>
      <c r="BX785" s="39">
        <f>+IFERROR(-ABS(IF(EDATE(_xlfn.XLOOKUP(1,$H772:$BE772,$H$4:$BE$4),12*Assumptions!$H$193+12)=BX$4,0,IF(BW772=1,PMT(Assumptions!$H$191,Assumptions!$H$193,$C774),BW785))),0)</f>
        <v>0</v>
      </c>
      <c r="BY785" s="39">
        <f>+IFERROR(-ABS(IF(EDATE(_xlfn.XLOOKUP(1,$H772:$BE772,$H$4:$BE$4),12*Assumptions!$H$193+12)=BY$4,0,IF(BX772=1,PMT(Assumptions!$H$191,Assumptions!$H$193,$C774),BX785))),0)</f>
        <v>0</v>
      </c>
    </row>
    <row r="786" spans="3:77" outlineLevel="1">
      <c r="E786" s="24" t="s">
        <v>519</v>
      </c>
      <c r="F786" s="80" t="str">
        <f>+Assumptions!$G$8</f>
        <v>USD</v>
      </c>
      <c r="G786" s="24"/>
      <c r="H786" s="39">
        <f>+IFERROR(-ABS(IF(EDATE(_xlfn.XLOOKUP(1,$H773:$BE773,$H$4:$BE$4),12*Assumptions!$H$193+12)=H$4,0,IF(G773=1,PMT(Assumptions!$H$191,Assumptions!$H$193,$C775),G786))),0)</f>
        <v>0</v>
      </c>
      <c r="I786" s="39">
        <f>+IFERROR(-ABS(IF(EDATE(_xlfn.XLOOKUP(1,$H773:$BE773,$H$4:$BE$4),12*Assumptions!$H$193+12)=I$4,0,IF(H773=1,PMT(Assumptions!$H$191,Assumptions!$H$193,$C775),H786))),0)</f>
        <v>0</v>
      </c>
      <c r="J786" s="39">
        <f>+IFERROR(-ABS(IF(EDATE(_xlfn.XLOOKUP(1,$H773:$BE773,$H$4:$BE$4),12*Assumptions!$H$193+12)=J$4,0,IF(I773=1,PMT(Assumptions!$H$191,Assumptions!$H$193,$C775),I786))),0)</f>
        <v>0</v>
      </c>
      <c r="K786" s="39">
        <f>+IFERROR(-ABS(IF(EDATE(_xlfn.XLOOKUP(1,$H773:$BE773,$H$4:$BE$4),12*Assumptions!$H$193+12)=K$4,0,IF(J773=1,PMT(Assumptions!$H$191,Assumptions!$H$193,$C775),J786))),0)</f>
        <v>0</v>
      </c>
      <c r="L786" s="39">
        <f>+IFERROR(-ABS(IF(EDATE(_xlfn.XLOOKUP(1,$H773:$BE773,$H$4:$BE$4),12*Assumptions!$H$193+12)=L$4,0,IF(K773=1,PMT(Assumptions!$H$191,Assumptions!$H$193,$C775),K786))),0)</f>
        <v>0</v>
      </c>
      <c r="M786" s="39">
        <f>+IFERROR(-ABS(IF(EDATE(_xlfn.XLOOKUP(1,$H773:$BE773,$H$4:$BE$4),12*Assumptions!$H$193+12)=M$4,0,IF(L773=1,PMT(Assumptions!$H$191,Assumptions!$H$193,$C775),L786))),0)</f>
        <v>0</v>
      </c>
      <c r="N786" s="39">
        <f>+IFERROR(-ABS(IF(EDATE(_xlfn.XLOOKUP(1,$H773:$BE773,$H$4:$BE$4),12*Assumptions!$H$193+12)=N$4,0,IF(M773=1,PMT(Assumptions!$H$191,Assumptions!$H$193,$C775),M786))),0)</f>
        <v>0</v>
      </c>
      <c r="O786" s="39">
        <f>+IFERROR(-ABS(IF(EDATE(_xlfn.XLOOKUP(1,$H773:$BE773,$H$4:$BE$4),12*Assumptions!$H$193+12)=O$4,0,IF(N773=1,PMT(Assumptions!$H$191,Assumptions!$H$193,$C775),N786))),0)</f>
        <v>0</v>
      </c>
      <c r="P786" s="39">
        <f>+IFERROR(-ABS(IF(EDATE(_xlfn.XLOOKUP(1,$H773:$BE773,$H$4:$BE$4),12*Assumptions!$H$193+12)=P$4,0,IF(O773=1,PMT(Assumptions!$H$191,Assumptions!$H$193,$C775),O786))),0)</f>
        <v>0</v>
      </c>
      <c r="Q786" s="39">
        <f>+IFERROR(-ABS(IF(EDATE(_xlfn.XLOOKUP(1,$H773:$BE773,$H$4:$BE$4),12*Assumptions!$H$193+12)=Q$4,0,IF(P773=1,PMT(Assumptions!$H$191,Assumptions!$H$193,$C775),P786))),0)</f>
        <v>0</v>
      </c>
      <c r="R786" s="39">
        <f>+IFERROR(-ABS(IF(EDATE(_xlfn.XLOOKUP(1,$H773:$BE773,$H$4:$BE$4),12*Assumptions!$H$193+12)=R$4,0,IF(Q773=1,PMT(Assumptions!$H$191,Assumptions!$H$193,$C775),Q786))),0)</f>
        <v>0</v>
      </c>
      <c r="S786" s="39">
        <f>+IFERROR(-ABS(IF(EDATE(_xlfn.XLOOKUP(1,$H773:$BE773,$H$4:$BE$4),12*Assumptions!$H$193+12)=S$4,0,IF(R773=1,PMT(Assumptions!$H$191,Assumptions!$H$193,$C775),R786))),0)</f>
        <v>0</v>
      </c>
      <c r="T786" s="39">
        <f>+IFERROR(-ABS(IF(EDATE(_xlfn.XLOOKUP(1,$H773:$BE773,$H$4:$BE$4),12*Assumptions!$H$193+12)=T$4,0,IF(S773=1,PMT(Assumptions!$H$191,Assumptions!$H$193,$C775),S786))),0)</f>
        <v>0</v>
      </c>
      <c r="U786" s="39">
        <f>+IFERROR(-ABS(IF(EDATE(_xlfn.XLOOKUP(1,$H773:$BE773,$H$4:$BE$4),12*Assumptions!$H$193+12)=U$4,0,IF(T773=1,PMT(Assumptions!$H$191,Assumptions!$H$193,$C775),T786))),0)</f>
        <v>0</v>
      </c>
      <c r="V786" s="39">
        <f>+IFERROR(-ABS(IF(EDATE(_xlfn.XLOOKUP(1,$H773:$BE773,$H$4:$BE$4),12*Assumptions!$H$193+12)=V$4,0,IF(U773=1,PMT(Assumptions!$H$191,Assumptions!$H$193,$C775),U786))),0)</f>
        <v>0</v>
      </c>
      <c r="W786" s="39">
        <f>+IFERROR(-ABS(IF(EDATE(_xlfn.XLOOKUP(1,$H773:$BE773,$H$4:$BE$4),12*Assumptions!$H$193+12)=W$4,0,IF(V773=1,PMT(Assumptions!$H$191,Assumptions!$H$193,$C775),V786))),0)</f>
        <v>0</v>
      </c>
      <c r="X786" s="39">
        <f>+IFERROR(-ABS(IF(EDATE(_xlfn.XLOOKUP(1,$H773:$BE773,$H$4:$BE$4),12*Assumptions!$H$193+12)=X$4,0,IF(W773=1,PMT(Assumptions!$H$191,Assumptions!$H$193,$C775),W786))),0)</f>
        <v>0</v>
      </c>
      <c r="Y786" s="39">
        <f>+IFERROR(-ABS(IF(EDATE(_xlfn.XLOOKUP(1,$H773:$BE773,$H$4:$BE$4),12*Assumptions!$H$193+12)=Y$4,0,IF(X773=1,PMT(Assumptions!$H$191,Assumptions!$H$193,$C775),X786))),0)</f>
        <v>0</v>
      </c>
      <c r="Z786" s="39">
        <f>+IFERROR(-ABS(IF(EDATE(_xlfn.XLOOKUP(1,$H773:$BE773,$H$4:$BE$4),12*Assumptions!$H$193+12)=Z$4,0,IF(Y773=1,PMT(Assumptions!$H$191,Assumptions!$H$193,$C775),Y786))),0)</f>
        <v>0</v>
      </c>
      <c r="AA786" s="39">
        <f>+IFERROR(-ABS(IF(EDATE(_xlfn.XLOOKUP(1,$H773:$BE773,$H$4:$BE$4),12*Assumptions!$H$193+12)=AA$4,0,IF(Z773=1,PMT(Assumptions!$H$191,Assumptions!$H$193,$C775),Z786))),0)</f>
        <v>0</v>
      </c>
      <c r="AB786" s="39">
        <f>+IFERROR(-ABS(IF(EDATE(_xlfn.XLOOKUP(1,$H773:$BE773,$H$4:$BE$4),12*Assumptions!$H$193+12)=AB$4,0,IF(AA773=1,PMT(Assumptions!$H$191,Assumptions!$H$193,$C775),AA786))),0)</f>
        <v>0</v>
      </c>
      <c r="AC786" s="39">
        <f>+IFERROR(-ABS(IF(EDATE(_xlfn.XLOOKUP(1,$H773:$BE773,$H$4:$BE$4),12*Assumptions!$H$193+12)=AC$4,0,IF(AB773=1,PMT(Assumptions!$H$191,Assumptions!$H$193,$C775),AB786))),0)</f>
        <v>0</v>
      </c>
      <c r="AD786" s="39">
        <f>+IFERROR(-ABS(IF(EDATE(_xlfn.XLOOKUP(1,$H773:$BE773,$H$4:$BE$4),12*Assumptions!$H$193+12)=AD$4,0,IF(AC773=1,PMT(Assumptions!$H$191,Assumptions!$H$193,$C775),AC786))),0)</f>
        <v>0</v>
      </c>
      <c r="AE786" s="39">
        <f>+IFERROR(-ABS(IF(EDATE(_xlfn.XLOOKUP(1,$H773:$BE773,$H$4:$BE$4),12*Assumptions!$H$193+12)=AE$4,0,IF(AD773=1,PMT(Assumptions!$H$191,Assumptions!$H$193,$C775),AD786))),0)</f>
        <v>0</v>
      </c>
      <c r="AF786" s="39">
        <f>+IFERROR(-ABS(IF(EDATE(_xlfn.XLOOKUP(1,$H773:$BE773,$H$4:$BE$4),12*Assumptions!$H$193+12)=AF$4,0,IF(AE773=1,PMT(Assumptions!$H$191,Assumptions!$H$193,$C775),AE786))),0)</f>
        <v>0</v>
      </c>
      <c r="AG786" s="39">
        <f>+IFERROR(-ABS(IF(EDATE(_xlfn.XLOOKUP(1,$H773:$BE773,$H$4:$BE$4),12*Assumptions!$H$193+12)=AG$4,0,IF(AF773=1,PMT(Assumptions!$H$191,Assumptions!$H$193,$C775),AF786))),0)</f>
        <v>0</v>
      </c>
      <c r="AH786" s="39">
        <f>+IFERROR(-ABS(IF(EDATE(_xlfn.XLOOKUP(1,$H773:$BE773,$H$4:$BE$4),12*Assumptions!$H$193+12)=AH$4,0,IF(AG773=1,PMT(Assumptions!$H$191,Assumptions!$H$193,$C775),AG786))),0)</f>
        <v>0</v>
      </c>
      <c r="AI786" s="39">
        <f>+IFERROR(-ABS(IF(EDATE(_xlfn.XLOOKUP(1,$H773:$BE773,$H$4:$BE$4),12*Assumptions!$H$193+12)=AI$4,0,IF(AH773=1,PMT(Assumptions!$H$191,Assumptions!$H$193,$C775),AH786))),0)</f>
        <v>0</v>
      </c>
      <c r="AJ786" s="39">
        <f>+IFERROR(-ABS(IF(EDATE(_xlfn.XLOOKUP(1,$H773:$BE773,$H$4:$BE$4),12*Assumptions!$H$193+12)=AJ$4,0,IF(AI773=1,PMT(Assumptions!$H$191,Assumptions!$H$193,$C775),AI786))),0)</f>
        <v>0</v>
      </c>
      <c r="AK786" s="39">
        <f>+IFERROR(-ABS(IF(EDATE(_xlfn.XLOOKUP(1,$H773:$BE773,$H$4:$BE$4),12*Assumptions!$H$193+12)=AK$4,0,IF(AJ773=1,PMT(Assumptions!$H$191,Assumptions!$H$193,$C775),AJ786))),0)</f>
        <v>0</v>
      </c>
      <c r="AL786" s="39">
        <f>+IFERROR(-ABS(IF(EDATE(_xlfn.XLOOKUP(1,$H773:$BE773,$H$4:$BE$4),12*Assumptions!$H$193+12)=AL$4,0,IF(AK773=1,PMT(Assumptions!$H$191,Assumptions!$H$193,$C775),AK786))),0)</f>
        <v>0</v>
      </c>
      <c r="AM786" s="39">
        <f>+IFERROR(-ABS(IF(EDATE(_xlfn.XLOOKUP(1,$H773:$BE773,$H$4:$BE$4),12*Assumptions!$H$193+12)=AM$4,0,IF(AL773=1,PMT(Assumptions!$H$191,Assumptions!$H$193,$C775),AL786))),0)</f>
        <v>0</v>
      </c>
      <c r="AN786" s="39">
        <f>+IFERROR(-ABS(IF(EDATE(_xlfn.XLOOKUP(1,$H773:$BE773,$H$4:$BE$4),12*Assumptions!$H$193+12)=AN$4,0,IF(AM773=1,PMT(Assumptions!$H$191,Assumptions!$H$193,$C775),AM786))),0)</f>
        <v>0</v>
      </c>
      <c r="AO786" s="39">
        <f>+IFERROR(-ABS(IF(EDATE(_xlfn.XLOOKUP(1,$H773:$BE773,$H$4:$BE$4),12*Assumptions!$H$193+12)=AO$4,0,IF(AN773=1,PMT(Assumptions!$H$191,Assumptions!$H$193,$C775),AN786))),0)</f>
        <v>0</v>
      </c>
      <c r="AP786" s="39">
        <f>+IFERROR(-ABS(IF(EDATE(_xlfn.XLOOKUP(1,$H773:$BE773,$H$4:$BE$4),12*Assumptions!$H$193+12)=AP$4,0,IF(AO773=1,PMT(Assumptions!$H$191,Assumptions!$H$193,$C775),AO786))),0)</f>
        <v>0</v>
      </c>
      <c r="AQ786" s="39">
        <f>+IFERROR(-ABS(IF(EDATE(_xlfn.XLOOKUP(1,$H773:$BE773,$H$4:$BE$4),12*Assumptions!$H$193+12)=AQ$4,0,IF(AP773=1,PMT(Assumptions!$H$191,Assumptions!$H$193,$C775),AP786))),0)</f>
        <v>0</v>
      </c>
      <c r="AR786" s="39">
        <f>+IFERROR(-ABS(IF(EDATE(_xlfn.XLOOKUP(1,$H773:$BE773,$H$4:$BE$4),12*Assumptions!$H$193+12)=AR$4,0,IF(AQ773=1,PMT(Assumptions!$H$191,Assumptions!$H$193,$C775),AQ786))),0)</f>
        <v>0</v>
      </c>
      <c r="AS786" s="39">
        <f>+IFERROR(-ABS(IF(EDATE(_xlfn.XLOOKUP(1,$H773:$BE773,$H$4:$BE$4),12*Assumptions!$H$193+12)=AS$4,0,IF(AR773=1,PMT(Assumptions!$H$191,Assumptions!$H$193,$C775),AR786))),0)</f>
        <v>0</v>
      </c>
      <c r="AT786" s="39">
        <f>+IFERROR(-ABS(IF(EDATE(_xlfn.XLOOKUP(1,$H773:$BE773,$H$4:$BE$4),12*Assumptions!$H$193+12)=AT$4,0,IF(AS773=1,PMT(Assumptions!$H$191,Assumptions!$H$193,$C775),AS786))),0)</f>
        <v>0</v>
      </c>
      <c r="AU786" s="39">
        <f>+IFERROR(-ABS(IF(EDATE(_xlfn.XLOOKUP(1,$H773:$BE773,$H$4:$BE$4),12*Assumptions!$H$193+12)=AU$4,0,IF(AT773=1,PMT(Assumptions!$H$191,Assumptions!$H$193,$C775),AT786))),0)</f>
        <v>0</v>
      </c>
      <c r="AV786" s="39">
        <f>+IFERROR(-ABS(IF(EDATE(_xlfn.XLOOKUP(1,$H773:$BE773,$H$4:$BE$4),12*Assumptions!$H$193+12)=AV$4,0,IF(AU773=1,PMT(Assumptions!$H$191,Assumptions!$H$193,$C775),AU786))),0)</f>
        <v>0</v>
      </c>
      <c r="AW786" s="39">
        <f>+IFERROR(-ABS(IF(EDATE(_xlfn.XLOOKUP(1,$H773:$BE773,$H$4:$BE$4),12*Assumptions!$H$193+12)=AW$4,0,IF(AV773=1,PMT(Assumptions!$H$191,Assumptions!$H$193,$C775),AV786))),0)</f>
        <v>0</v>
      </c>
      <c r="AX786" s="39">
        <f>+IFERROR(-ABS(IF(EDATE(_xlfn.XLOOKUP(1,$H773:$BE773,$H$4:$BE$4),12*Assumptions!$H$193+12)=AX$4,0,IF(AW773=1,PMT(Assumptions!$H$191,Assumptions!$H$193,$C775),AW786))),0)</f>
        <v>0</v>
      </c>
      <c r="AY786" s="39">
        <f>+IFERROR(-ABS(IF(EDATE(_xlfn.XLOOKUP(1,$H773:$BE773,$H$4:$BE$4),12*Assumptions!$H$193+12)=AY$4,0,IF(AX773=1,PMT(Assumptions!$H$191,Assumptions!$H$193,$C775),AX786))),0)</f>
        <v>0</v>
      </c>
      <c r="AZ786" s="39">
        <f>+IFERROR(-ABS(IF(EDATE(_xlfn.XLOOKUP(1,$H773:$BE773,$H$4:$BE$4),12*Assumptions!$H$193+12)=AZ$4,0,IF(AY773=1,PMT(Assumptions!$H$191,Assumptions!$H$193,$C775),AY786))),0)</f>
        <v>0</v>
      </c>
      <c r="BA786" s="39">
        <f>+IFERROR(-ABS(IF(EDATE(_xlfn.XLOOKUP(1,$H773:$BE773,$H$4:$BE$4),12*Assumptions!$H$193+12)=BA$4,0,IF(AZ773=1,PMT(Assumptions!$H$191,Assumptions!$H$193,$C775),AZ786))),0)</f>
        <v>0</v>
      </c>
      <c r="BB786" s="39">
        <f>+IFERROR(-ABS(IF(EDATE(_xlfn.XLOOKUP(1,$H773:$BE773,$H$4:$BE$4),12*Assumptions!$H$193+12)=BB$4,0,IF(BA773=1,PMT(Assumptions!$H$191,Assumptions!$H$193,$C775),BA786))),0)</f>
        <v>0</v>
      </c>
      <c r="BC786" s="39">
        <f>+IFERROR(-ABS(IF(EDATE(_xlfn.XLOOKUP(1,$H773:$BE773,$H$4:$BE$4),12*Assumptions!$H$193+12)=BC$4,0,IF(BB773=1,PMT(Assumptions!$H$191,Assumptions!$H$193,$C775),BB786))),0)</f>
        <v>0</v>
      </c>
      <c r="BD786" s="39">
        <f>+IFERROR(-ABS(IF(EDATE(_xlfn.XLOOKUP(1,$H773:$BE773,$H$4:$BE$4),12*Assumptions!$H$193+12)=BD$4,0,IF(BC773=1,PMT(Assumptions!$H$191,Assumptions!$H$193,$C775),BC786))),0)</f>
        <v>0</v>
      </c>
      <c r="BE786" s="39">
        <f>+IFERROR(-ABS(IF(EDATE(_xlfn.XLOOKUP(1,$H773:$BE773,$H$4:$BE$4),12*Assumptions!$H$193+12)=BE$4,0,IF(BD773=1,PMT(Assumptions!$H$191,Assumptions!$H$193,$C775),BD786))),0)</f>
        <v>0</v>
      </c>
      <c r="BF786" s="39">
        <f>+IFERROR(-ABS(IF(EDATE(_xlfn.XLOOKUP(1,$H773:$BE773,$H$4:$BE$4),12*Assumptions!$H$193+12)=BF$4,0,IF(BE773=1,PMT(Assumptions!$H$191,Assumptions!$H$193,$C775),BE786))),0)</f>
        <v>0</v>
      </c>
      <c r="BG786" s="39">
        <f>+IFERROR(-ABS(IF(EDATE(_xlfn.XLOOKUP(1,$H773:$BE773,$H$4:$BE$4),12*Assumptions!$H$193+12)=BG$4,0,IF(BF773=1,PMT(Assumptions!$H$191,Assumptions!$H$193,$C775),BF786))),0)</f>
        <v>0</v>
      </c>
      <c r="BH786" s="39">
        <f>+IFERROR(-ABS(IF(EDATE(_xlfn.XLOOKUP(1,$H773:$BE773,$H$4:$BE$4),12*Assumptions!$H$193+12)=BH$4,0,IF(BG773=1,PMT(Assumptions!$H$191,Assumptions!$H$193,$C775),BG786))),0)</f>
        <v>0</v>
      </c>
      <c r="BI786" s="39">
        <f>+IFERROR(-ABS(IF(EDATE(_xlfn.XLOOKUP(1,$H773:$BE773,$H$4:$BE$4),12*Assumptions!$H$193+12)=BI$4,0,IF(BH773=1,PMT(Assumptions!$H$191,Assumptions!$H$193,$C775),BH786))),0)</f>
        <v>0</v>
      </c>
      <c r="BJ786" s="39">
        <f>+IFERROR(-ABS(IF(EDATE(_xlfn.XLOOKUP(1,$H773:$BE773,$H$4:$BE$4),12*Assumptions!$H$193+12)=BJ$4,0,IF(BI773=1,PMT(Assumptions!$H$191,Assumptions!$H$193,$C775),BI786))),0)</f>
        <v>0</v>
      </c>
      <c r="BK786" s="39">
        <f>+IFERROR(-ABS(IF(EDATE(_xlfn.XLOOKUP(1,$H773:$BE773,$H$4:$BE$4),12*Assumptions!$H$193+12)=BK$4,0,IF(BJ773=1,PMT(Assumptions!$H$191,Assumptions!$H$193,$C775),BJ786))),0)</f>
        <v>0</v>
      </c>
      <c r="BL786" s="39">
        <f>+IFERROR(-ABS(IF(EDATE(_xlfn.XLOOKUP(1,$H773:$BE773,$H$4:$BE$4),12*Assumptions!$H$193+12)=BL$4,0,IF(BK773=1,PMT(Assumptions!$H$191,Assumptions!$H$193,$C775),BK786))),0)</f>
        <v>0</v>
      </c>
      <c r="BM786" s="39">
        <f>+IFERROR(-ABS(IF(EDATE(_xlfn.XLOOKUP(1,$H773:$BE773,$H$4:$BE$4),12*Assumptions!$H$193+12)=BM$4,0,IF(BL773=1,PMT(Assumptions!$H$191,Assumptions!$H$193,$C775),BL786))),0)</f>
        <v>0</v>
      </c>
      <c r="BN786" s="39">
        <f>+IFERROR(-ABS(IF(EDATE(_xlfn.XLOOKUP(1,$H773:$BE773,$H$4:$BE$4),12*Assumptions!$H$193+12)=BN$4,0,IF(BM773=1,PMT(Assumptions!$H$191,Assumptions!$H$193,$C775),BM786))),0)</f>
        <v>0</v>
      </c>
      <c r="BO786" s="39">
        <f>+IFERROR(-ABS(IF(EDATE(_xlfn.XLOOKUP(1,$H773:$BE773,$H$4:$BE$4),12*Assumptions!$H$193+12)=BO$4,0,IF(BN773=1,PMT(Assumptions!$H$191,Assumptions!$H$193,$C775),BN786))),0)</f>
        <v>0</v>
      </c>
      <c r="BP786" s="39">
        <f>+IFERROR(-ABS(IF(EDATE(_xlfn.XLOOKUP(1,$H773:$BE773,$H$4:$BE$4),12*Assumptions!$H$193+12)=BP$4,0,IF(BO773=1,PMT(Assumptions!$H$191,Assumptions!$H$193,$C775),BO786))),0)</f>
        <v>0</v>
      </c>
      <c r="BQ786" s="39">
        <f>+IFERROR(-ABS(IF(EDATE(_xlfn.XLOOKUP(1,$H773:$BE773,$H$4:$BE$4),12*Assumptions!$H$193+12)=BQ$4,0,IF(BP773=1,PMT(Assumptions!$H$191,Assumptions!$H$193,$C775),BP786))),0)</f>
        <v>0</v>
      </c>
      <c r="BR786" s="39">
        <f>+IFERROR(-ABS(IF(EDATE(_xlfn.XLOOKUP(1,$H773:$BE773,$H$4:$BE$4),12*Assumptions!$H$193+12)=BR$4,0,IF(BQ773=1,PMT(Assumptions!$H$191,Assumptions!$H$193,$C775),BQ786))),0)</f>
        <v>0</v>
      </c>
      <c r="BS786" s="39">
        <f>+IFERROR(-ABS(IF(EDATE(_xlfn.XLOOKUP(1,$H773:$BE773,$H$4:$BE$4),12*Assumptions!$H$193+12)=BS$4,0,IF(BR773=1,PMT(Assumptions!$H$191,Assumptions!$H$193,$C775),BR786))),0)</f>
        <v>0</v>
      </c>
      <c r="BT786" s="39">
        <f>+IFERROR(-ABS(IF(EDATE(_xlfn.XLOOKUP(1,$H773:$BE773,$H$4:$BE$4),12*Assumptions!$H$193+12)=BT$4,0,IF(BS773=1,PMT(Assumptions!$H$191,Assumptions!$H$193,$C775),BS786))),0)</f>
        <v>0</v>
      </c>
      <c r="BU786" s="39">
        <f>+IFERROR(-ABS(IF(EDATE(_xlfn.XLOOKUP(1,$H773:$BE773,$H$4:$BE$4),12*Assumptions!$H$193+12)=BU$4,0,IF(BT773=1,PMT(Assumptions!$H$191,Assumptions!$H$193,$C775),BT786))),0)</f>
        <v>0</v>
      </c>
      <c r="BV786" s="39">
        <f>+IFERROR(-ABS(IF(EDATE(_xlfn.XLOOKUP(1,$H773:$BE773,$H$4:$BE$4),12*Assumptions!$H$193+12)=BV$4,0,IF(BU773=1,PMT(Assumptions!$H$191,Assumptions!$H$193,$C775),BU786))),0)</f>
        <v>0</v>
      </c>
      <c r="BW786" s="39">
        <f>+IFERROR(-ABS(IF(EDATE(_xlfn.XLOOKUP(1,$H773:$BE773,$H$4:$BE$4),12*Assumptions!$H$193+12)=BW$4,0,IF(BV773=1,PMT(Assumptions!$H$191,Assumptions!$H$193,$C775),BV786))),0)</f>
        <v>0</v>
      </c>
      <c r="BX786" s="39">
        <f>+IFERROR(-ABS(IF(EDATE(_xlfn.XLOOKUP(1,$H773:$BE773,$H$4:$BE$4),12*Assumptions!$H$193+12)=BX$4,0,IF(BW773=1,PMT(Assumptions!$H$191,Assumptions!$H$193,$C775),BW786))),0)</f>
        <v>0</v>
      </c>
      <c r="BY786" s="39">
        <f>+IFERROR(-ABS(IF(EDATE(_xlfn.XLOOKUP(1,$H773:$BE773,$H$4:$BE$4),12*Assumptions!$H$193+12)=BY$4,0,IF(BX773=1,PMT(Assumptions!$H$191,Assumptions!$H$193,$C775),BX786))),0)</f>
        <v>0</v>
      </c>
    </row>
    <row r="787" spans="3:77" outlineLevel="1">
      <c r="E787" s="24" t="s">
        <v>520</v>
      </c>
      <c r="F787" s="80" t="str">
        <f>+Assumptions!$G$8</f>
        <v>USD</v>
      </c>
      <c r="G787" s="24"/>
      <c r="H787" s="39">
        <f>+IFERROR(-ABS(IF(EDATE(_xlfn.XLOOKUP(1,$H774:$BE774,$H$4:$BE$4),12*Assumptions!$H$193+12)=H$4,0,IF(G774=1,PMT(Assumptions!$H$191,Assumptions!$H$193,$C776),G787))),0)</f>
        <v>0</v>
      </c>
      <c r="I787" s="39">
        <f>+IFERROR(-ABS(IF(EDATE(_xlfn.XLOOKUP(1,$H774:$BE774,$H$4:$BE$4),12*Assumptions!$H$193+12)=I$4,0,IF(H774=1,PMT(Assumptions!$H$191,Assumptions!$H$193,$C776),H787))),0)</f>
        <v>0</v>
      </c>
      <c r="J787" s="39">
        <f>+IFERROR(-ABS(IF(EDATE(_xlfn.XLOOKUP(1,$H774:$BE774,$H$4:$BE$4),12*Assumptions!$H$193+12)=J$4,0,IF(I774=1,PMT(Assumptions!$H$191,Assumptions!$H$193,$C776),I787))),0)</f>
        <v>0</v>
      </c>
      <c r="K787" s="39">
        <f>+IFERROR(-ABS(IF(EDATE(_xlfn.XLOOKUP(1,$H774:$BE774,$H$4:$BE$4),12*Assumptions!$H$193+12)=K$4,0,IF(J774=1,PMT(Assumptions!$H$191,Assumptions!$H$193,$C776),J787))),0)</f>
        <v>0</v>
      </c>
      <c r="L787" s="39">
        <f>+IFERROR(-ABS(IF(EDATE(_xlfn.XLOOKUP(1,$H774:$BE774,$H$4:$BE$4),12*Assumptions!$H$193+12)=L$4,0,IF(K774=1,PMT(Assumptions!$H$191,Assumptions!$H$193,$C776),K787))),0)</f>
        <v>0</v>
      </c>
      <c r="M787" s="39">
        <f>+IFERROR(-ABS(IF(EDATE(_xlfn.XLOOKUP(1,$H774:$BE774,$H$4:$BE$4),12*Assumptions!$H$193+12)=M$4,0,IF(L774=1,PMT(Assumptions!$H$191,Assumptions!$H$193,$C776),L787))),0)</f>
        <v>0</v>
      </c>
      <c r="N787" s="39">
        <f>+IFERROR(-ABS(IF(EDATE(_xlfn.XLOOKUP(1,$H774:$BE774,$H$4:$BE$4),12*Assumptions!$H$193+12)=N$4,0,IF(M774=1,PMT(Assumptions!$H$191,Assumptions!$H$193,$C776),M787))),0)</f>
        <v>0</v>
      </c>
      <c r="O787" s="39">
        <f>+IFERROR(-ABS(IF(EDATE(_xlfn.XLOOKUP(1,$H774:$BE774,$H$4:$BE$4),12*Assumptions!$H$193+12)=O$4,0,IF(N774=1,PMT(Assumptions!$H$191,Assumptions!$H$193,$C776),N787))),0)</f>
        <v>0</v>
      </c>
      <c r="P787" s="39">
        <f>+IFERROR(-ABS(IF(EDATE(_xlfn.XLOOKUP(1,$H774:$BE774,$H$4:$BE$4),12*Assumptions!$H$193+12)=P$4,0,IF(O774=1,PMT(Assumptions!$H$191,Assumptions!$H$193,$C776),O787))),0)</f>
        <v>0</v>
      </c>
      <c r="Q787" s="39">
        <f>+IFERROR(-ABS(IF(EDATE(_xlfn.XLOOKUP(1,$H774:$BE774,$H$4:$BE$4),12*Assumptions!$H$193+12)=Q$4,0,IF(P774=1,PMT(Assumptions!$H$191,Assumptions!$H$193,$C776),P787))),0)</f>
        <v>0</v>
      </c>
      <c r="R787" s="39">
        <f>+IFERROR(-ABS(IF(EDATE(_xlfn.XLOOKUP(1,$H774:$BE774,$H$4:$BE$4),12*Assumptions!$H$193+12)=R$4,0,IF(Q774=1,PMT(Assumptions!$H$191,Assumptions!$H$193,$C776),Q787))),0)</f>
        <v>0</v>
      </c>
      <c r="S787" s="39">
        <f>+IFERROR(-ABS(IF(EDATE(_xlfn.XLOOKUP(1,$H774:$BE774,$H$4:$BE$4),12*Assumptions!$H$193+12)=S$4,0,IF(R774=1,PMT(Assumptions!$H$191,Assumptions!$H$193,$C776),R787))),0)</f>
        <v>0</v>
      </c>
      <c r="T787" s="39">
        <f>+IFERROR(-ABS(IF(EDATE(_xlfn.XLOOKUP(1,$H774:$BE774,$H$4:$BE$4),12*Assumptions!$H$193+12)=T$4,0,IF(S774=1,PMT(Assumptions!$H$191,Assumptions!$H$193,$C776),S787))),0)</f>
        <v>0</v>
      </c>
      <c r="U787" s="39">
        <f>+IFERROR(-ABS(IF(EDATE(_xlfn.XLOOKUP(1,$H774:$BE774,$H$4:$BE$4),12*Assumptions!$H$193+12)=U$4,0,IF(T774=1,PMT(Assumptions!$H$191,Assumptions!$H$193,$C776),T787))),0)</f>
        <v>0</v>
      </c>
      <c r="V787" s="39">
        <f>+IFERROR(-ABS(IF(EDATE(_xlfn.XLOOKUP(1,$H774:$BE774,$H$4:$BE$4),12*Assumptions!$H$193+12)=V$4,0,IF(U774=1,PMT(Assumptions!$H$191,Assumptions!$H$193,$C776),U787))),0)</f>
        <v>0</v>
      </c>
      <c r="W787" s="39">
        <f>+IFERROR(-ABS(IF(EDATE(_xlfn.XLOOKUP(1,$H774:$BE774,$H$4:$BE$4),12*Assumptions!$H$193+12)=W$4,0,IF(V774=1,PMT(Assumptions!$H$191,Assumptions!$H$193,$C776),V787))),0)</f>
        <v>0</v>
      </c>
      <c r="X787" s="39">
        <f>+IFERROR(-ABS(IF(EDATE(_xlfn.XLOOKUP(1,$H774:$BE774,$H$4:$BE$4),12*Assumptions!$H$193+12)=X$4,0,IF(W774=1,PMT(Assumptions!$H$191,Assumptions!$H$193,$C776),W787))),0)</f>
        <v>0</v>
      </c>
      <c r="Y787" s="39">
        <f>+IFERROR(-ABS(IF(EDATE(_xlfn.XLOOKUP(1,$H774:$BE774,$H$4:$BE$4),12*Assumptions!$H$193+12)=Y$4,0,IF(X774=1,PMT(Assumptions!$H$191,Assumptions!$H$193,$C776),X787))),0)</f>
        <v>0</v>
      </c>
      <c r="Z787" s="39">
        <f>+IFERROR(-ABS(IF(EDATE(_xlfn.XLOOKUP(1,$H774:$BE774,$H$4:$BE$4),12*Assumptions!$H$193+12)=Z$4,0,IF(Y774=1,PMT(Assumptions!$H$191,Assumptions!$H$193,$C776),Y787))),0)</f>
        <v>0</v>
      </c>
      <c r="AA787" s="39">
        <f>+IFERROR(-ABS(IF(EDATE(_xlfn.XLOOKUP(1,$H774:$BE774,$H$4:$BE$4),12*Assumptions!$H$193+12)=AA$4,0,IF(Z774=1,PMT(Assumptions!$H$191,Assumptions!$H$193,$C776),Z787))),0)</f>
        <v>0</v>
      </c>
      <c r="AB787" s="39">
        <f>+IFERROR(-ABS(IF(EDATE(_xlfn.XLOOKUP(1,$H774:$BE774,$H$4:$BE$4),12*Assumptions!$H$193+12)=AB$4,0,IF(AA774=1,PMT(Assumptions!$H$191,Assumptions!$H$193,$C776),AA787))),0)</f>
        <v>0</v>
      </c>
      <c r="AC787" s="39">
        <f>+IFERROR(-ABS(IF(EDATE(_xlfn.XLOOKUP(1,$H774:$BE774,$H$4:$BE$4),12*Assumptions!$H$193+12)=AC$4,0,IF(AB774=1,PMT(Assumptions!$H$191,Assumptions!$H$193,$C776),AB787))),0)</f>
        <v>0</v>
      </c>
      <c r="AD787" s="39">
        <f>+IFERROR(-ABS(IF(EDATE(_xlfn.XLOOKUP(1,$H774:$BE774,$H$4:$BE$4),12*Assumptions!$H$193+12)=AD$4,0,IF(AC774=1,PMT(Assumptions!$H$191,Assumptions!$H$193,$C776),AC787))),0)</f>
        <v>0</v>
      </c>
      <c r="AE787" s="39">
        <f>+IFERROR(-ABS(IF(EDATE(_xlfn.XLOOKUP(1,$H774:$BE774,$H$4:$BE$4),12*Assumptions!$H$193+12)=AE$4,0,IF(AD774=1,PMT(Assumptions!$H$191,Assumptions!$H$193,$C776),AD787))),0)</f>
        <v>0</v>
      </c>
      <c r="AF787" s="39">
        <f>+IFERROR(-ABS(IF(EDATE(_xlfn.XLOOKUP(1,$H774:$BE774,$H$4:$BE$4),12*Assumptions!$H$193+12)=AF$4,0,IF(AE774=1,PMT(Assumptions!$H$191,Assumptions!$H$193,$C776),AE787))),0)</f>
        <v>0</v>
      </c>
      <c r="AG787" s="39">
        <f>+IFERROR(-ABS(IF(EDATE(_xlfn.XLOOKUP(1,$H774:$BE774,$H$4:$BE$4),12*Assumptions!$H$193+12)=AG$4,0,IF(AF774=1,PMT(Assumptions!$H$191,Assumptions!$H$193,$C776),AF787))),0)</f>
        <v>0</v>
      </c>
      <c r="AH787" s="39">
        <f>+IFERROR(-ABS(IF(EDATE(_xlfn.XLOOKUP(1,$H774:$BE774,$H$4:$BE$4),12*Assumptions!$H$193+12)=AH$4,0,IF(AG774=1,PMT(Assumptions!$H$191,Assumptions!$H$193,$C776),AG787))),0)</f>
        <v>0</v>
      </c>
      <c r="AI787" s="39">
        <f>+IFERROR(-ABS(IF(EDATE(_xlfn.XLOOKUP(1,$H774:$BE774,$H$4:$BE$4),12*Assumptions!$H$193+12)=AI$4,0,IF(AH774=1,PMT(Assumptions!$H$191,Assumptions!$H$193,$C776),AH787))),0)</f>
        <v>0</v>
      </c>
      <c r="AJ787" s="39">
        <f>+IFERROR(-ABS(IF(EDATE(_xlfn.XLOOKUP(1,$H774:$BE774,$H$4:$BE$4),12*Assumptions!$H$193+12)=AJ$4,0,IF(AI774=1,PMT(Assumptions!$H$191,Assumptions!$H$193,$C776),AI787))),0)</f>
        <v>0</v>
      </c>
      <c r="AK787" s="39">
        <f>+IFERROR(-ABS(IF(EDATE(_xlfn.XLOOKUP(1,$H774:$BE774,$H$4:$BE$4),12*Assumptions!$H$193+12)=AK$4,0,IF(AJ774=1,PMT(Assumptions!$H$191,Assumptions!$H$193,$C776),AJ787))),0)</f>
        <v>0</v>
      </c>
      <c r="AL787" s="39">
        <f>+IFERROR(-ABS(IF(EDATE(_xlfn.XLOOKUP(1,$H774:$BE774,$H$4:$BE$4),12*Assumptions!$H$193+12)=AL$4,0,IF(AK774=1,PMT(Assumptions!$H$191,Assumptions!$H$193,$C776),AK787))),0)</f>
        <v>0</v>
      </c>
      <c r="AM787" s="39">
        <f>+IFERROR(-ABS(IF(EDATE(_xlfn.XLOOKUP(1,$H774:$BE774,$H$4:$BE$4),12*Assumptions!$H$193+12)=AM$4,0,IF(AL774=1,PMT(Assumptions!$H$191,Assumptions!$H$193,$C776),AL787))),0)</f>
        <v>0</v>
      </c>
      <c r="AN787" s="39">
        <f>+IFERROR(-ABS(IF(EDATE(_xlfn.XLOOKUP(1,$H774:$BE774,$H$4:$BE$4),12*Assumptions!$H$193+12)=AN$4,0,IF(AM774=1,PMT(Assumptions!$H$191,Assumptions!$H$193,$C776),AM787))),0)</f>
        <v>0</v>
      </c>
      <c r="AO787" s="39">
        <f>+IFERROR(-ABS(IF(EDATE(_xlfn.XLOOKUP(1,$H774:$BE774,$H$4:$BE$4),12*Assumptions!$H$193+12)=AO$4,0,IF(AN774=1,PMT(Assumptions!$H$191,Assumptions!$H$193,$C776),AN787))),0)</f>
        <v>0</v>
      </c>
      <c r="AP787" s="39">
        <f>+IFERROR(-ABS(IF(EDATE(_xlfn.XLOOKUP(1,$H774:$BE774,$H$4:$BE$4),12*Assumptions!$H$193+12)=AP$4,0,IF(AO774=1,PMT(Assumptions!$H$191,Assumptions!$H$193,$C776),AO787))),0)</f>
        <v>0</v>
      </c>
      <c r="AQ787" s="39">
        <f>+IFERROR(-ABS(IF(EDATE(_xlfn.XLOOKUP(1,$H774:$BE774,$H$4:$BE$4),12*Assumptions!$H$193+12)=AQ$4,0,IF(AP774=1,PMT(Assumptions!$H$191,Assumptions!$H$193,$C776),AP787))),0)</f>
        <v>0</v>
      </c>
      <c r="AR787" s="39">
        <f>+IFERROR(-ABS(IF(EDATE(_xlfn.XLOOKUP(1,$H774:$BE774,$H$4:$BE$4),12*Assumptions!$H$193+12)=AR$4,0,IF(AQ774=1,PMT(Assumptions!$H$191,Assumptions!$H$193,$C776),AQ787))),0)</f>
        <v>0</v>
      </c>
      <c r="AS787" s="39">
        <f>+IFERROR(-ABS(IF(EDATE(_xlfn.XLOOKUP(1,$H774:$BE774,$H$4:$BE$4),12*Assumptions!$H$193+12)=AS$4,0,IF(AR774=1,PMT(Assumptions!$H$191,Assumptions!$H$193,$C776),AR787))),0)</f>
        <v>0</v>
      </c>
      <c r="AT787" s="39">
        <f>+IFERROR(-ABS(IF(EDATE(_xlfn.XLOOKUP(1,$H774:$BE774,$H$4:$BE$4),12*Assumptions!$H$193+12)=AT$4,0,IF(AS774=1,PMT(Assumptions!$H$191,Assumptions!$H$193,$C776),AS787))),0)</f>
        <v>0</v>
      </c>
      <c r="AU787" s="39">
        <f>+IFERROR(-ABS(IF(EDATE(_xlfn.XLOOKUP(1,$H774:$BE774,$H$4:$BE$4),12*Assumptions!$H$193+12)=AU$4,0,IF(AT774=1,PMT(Assumptions!$H$191,Assumptions!$H$193,$C776),AT787))),0)</f>
        <v>0</v>
      </c>
      <c r="AV787" s="39">
        <f>+IFERROR(-ABS(IF(EDATE(_xlfn.XLOOKUP(1,$H774:$BE774,$H$4:$BE$4),12*Assumptions!$H$193+12)=AV$4,0,IF(AU774=1,PMT(Assumptions!$H$191,Assumptions!$H$193,$C776),AU787))),0)</f>
        <v>0</v>
      </c>
      <c r="AW787" s="39">
        <f>+IFERROR(-ABS(IF(EDATE(_xlfn.XLOOKUP(1,$H774:$BE774,$H$4:$BE$4),12*Assumptions!$H$193+12)=AW$4,0,IF(AV774=1,PMT(Assumptions!$H$191,Assumptions!$H$193,$C776),AV787))),0)</f>
        <v>0</v>
      </c>
      <c r="AX787" s="39">
        <f>+IFERROR(-ABS(IF(EDATE(_xlfn.XLOOKUP(1,$H774:$BE774,$H$4:$BE$4),12*Assumptions!$H$193+12)=AX$4,0,IF(AW774=1,PMT(Assumptions!$H$191,Assumptions!$H$193,$C776),AW787))),0)</f>
        <v>0</v>
      </c>
      <c r="AY787" s="39">
        <f>+IFERROR(-ABS(IF(EDATE(_xlfn.XLOOKUP(1,$H774:$BE774,$H$4:$BE$4),12*Assumptions!$H$193+12)=AY$4,0,IF(AX774=1,PMT(Assumptions!$H$191,Assumptions!$H$193,$C776),AX787))),0)</f>
        <v>0</v>
      </c>
      <c r="AZ787" s="39">
        <f>+IFERROR(-ABS(IF(EDATE(_xlfn.XLOOKUP(1,$H774:$BE774,$H$4:$BE$4),12*Assumptions!$H$193+12)=AZ$4,0,IF(AY774=1,PMT(Assumptions!$H$191,Assumptions!$H$193,$C776),AY787))),0)</f>
        <v>0</v>
      </c>
      <c r="BA787" s="39">
        <f>+IFERROR(-ABS(IF(EDATE(_xlfn.XLOOKUP(1,$H774:$BE774,$H$4:$BE$4),12*Assumptions!$H$193+12)=BA$4,0,IF(AZ774=1,PMT(Assumptions!$H$191,Assumptions!$H$193,$C776),AZ787))),0)</f>
        <v>0</v>
      </c>
      <c r="BB787" s="39">
        <f>+IFERROR(-ABS(IF(EDATE(_xlfn.XLOOKUP(1,$H774:$BE774,$H$4:$BE$4),12*Assumptions!$H$193+12)=BB$4,0,IF(BA774=1,PMT(Assumptions!$H$191,Assumptions!$H$193,$C776),BA787))),0)</f>
        <v>0</v>
      </c>
      <c r="BC787" s="39">
        <f>+IFERROR(-ABS(IF(EDATE(_xlfn.XLOOKUP(1,$H774:$BE774,$H$4:$BE$4),12*Assumptions!$H$193+12)=BC$4,0,IF(BB774=1,PMT(Assumptions!$H$191,Assumptions!$H$193,$C776),BB787))),0)</f>
        <v>0</v>
      </c>
      <c r="BD787" s="39">
        <f>+IFERROR(-ABS(IF(EDATE(_xlfn.XLOOKUP(1,$H774:$BE774,$H$4:$BE$4),12*Assumptions!$H$193+12)=BD$4,0,IF(BC774=1,PMT(Assumptions!$H$191,Assumptions!$H$193,$C776),BC787))),0)</f>
        <v>0</v>
      </c>
      <c r="BE787" s="39">
        <f>+IFERROR(-ABS(IF(EDATE(_xlfn.XLOOKUP(1,$H774:$BE774,$H$4:$BE$4),12*Assumptions!$H$193+12)=BE$4,0,IF(BD774=1,PMT(Assumptions!$H$191,Assumptions!$H$193,$C776),BD787))),0)</f>
        <v>0</v>
      </c>
      <c r="BF787" s="39">
        <f>+IFERROR(-ABS(IF(EDATE(_xlfn.XLOOKUP(1,$H774:$BE774,$H$4:$BE$4),12*Assumptions!$H$193+12)=BF$4,0,IF(BE774=1,PMT(Assumptions!$H$191,Assumptions!$H$193,$C776),BE787))),0)</f>
        <v>0</v>
      </c>
      <c r="BG787" s="39">
        <f>+IFERROR(-ABS(IF(EDATE(_xlfn.XLOOKUP(1,$H774:$BE774,$H$4:$BE$4),12*Assumptions!$H$193+12)=BG$4,0,IF(BF774=1,PMT(Assumptions!$H$191,Assumptions!$H$193,$C776),BF787))),0)</f>
        <v>0</v>
      </c>
      <c r="BH787" s="39">
        <f>+IFERROR(-ABS(IF(EDATE(_xlfn.XLOOKUP(1,$H774:$BE774,$H$4:$BE$4),12*Assumptions!$H$193+12)=BH$4,0,IF(BG774=1,PMT(Assumptions!$H$191,Assumptions!$H$193,$C776),BG787))),0)</f>
        <v>0</v>
      </c>
      <c r="BI787" s="39">
        <f>+IFERROR(-ABS(IF(EDATE(_xlfn.XLOOKUP(1,$H774:$BE774,$H$4:$BE$4),12*Assumptions!$H$193+12)=BI$4,0,IF(BH774=1,PMT(Assumptions!$H$191,Assumptions!$H$193,$C776),BH787))),0)</f>
        <v>0</v>
      </c>
      <c r="BJ787" s="39">
        <f>+IFERROR(-ABS(IF(EDATE(_xlfn.XLOOKUP(1,$H774:$BE774,$H$4:$BE$4),12*Assumptions!$H$193+12)=BJ$4,0,IF(BI774=1,PMT(Assumptions!$H$191,Assumptions!$H$193,$C776),BI787))),0)</f>
        <v>0</v>
      </c>
      <c r="BK787" s="39">
        <f>+IFERROR(-ABS(IF(EDATE(_xlfn.XLOOKUP(1,$H774:$BE774,$H$4:$BE$4),12*Assumptions!$H$193+12)=BK$4,0,IF(BJ774=1,PMT(Assumptions!$H$191,Assumptions!$H$193,$C776),BJ787))),0)</f>
        <v>0</v>
      </c>
      <c r="BL787" s="39">
        <f>+IFERROR(-ABS(IF(EDATE(_xlfn.XLOOKUP(1,$H774:$BE774,$H$4:$BE$4),12*Assumptions!$H$193+12)=BL$4,0,IF(BK774=1,PMT(Assumptions!$H$191,Assumptions!$H$193,$C776),BK787))),0)</f>
        <v>0</v>
      </c>
      <c r="BM787" s="39">
        <f>+IFERROR(-ABS(IF(EDATE(_xlfn.XLOOKUP(1,$H774:$BE774,$H$4:$BE$4),12*Assumptions!$H$193+12)=BM$4,0,IF(BL774=1,PMT(Assumptions!$H$191,Assumptions!$H$193,$C776),BL787))),0)</f>
        <v>0</v>
      </c>
      <c r="BN787" s="39">
        <f>+IFERROR(-ABS(IF(EDATE(_xlfn.XLOOKUP(1,$H774:$BE774,$H$4:$BE$4),12*Assumptions!$H$193+12)=BN$4,0,IF(BM774=1,PMT(Assumptions!$H$191,Assumptions!$H$193,$C776),BM787))),0)</f>
        <v>0</v>
      </c>
      <c r="BO787" s="39">
        <f>+IFERROR(-ABS(IF(EDATE(_xlfn.XLOOKUP(1,$H774:$BE774,$H$4:$BE$4),12*Assumptions!$H$193+12)=BO$4,0,IF(BN774=1,PMT(Assumptions!$H$191,Assumptions!$H$193,$C776),BN787))),0)</f>
        <v>0</v>
      </c>
      <c r="BP787" s="39">
        <f>+IFERROR(-ABS(IF(EDATE(_xlfn.XLOOKUP(1,$H774:$BE774,$H$4:$BE$4),12*Assumptions!$H$193+12)=BP$4,0,IF(BO774=1,PMT(Assumptions!$H$191,Assumptions!$H$193,$C776),BO787))),0)</f>
        <v>0</v>
      </c>
      <c r="BQ787" s="39">
        <f>+IFERROR(-ABS(IF(EDATE(_xlfn.XLOOKUP(1,$H774:$BE774,$H$4:$BE$4),12*Assumptions!$H$193+12)=BQ$4,0,IF(BP774=1,PMT(Assumptions!$H$191,Assumptions!$H$193,$C776),BP787))),0)</f>
        <v>0</v>
      </c>
      <c r="BR787" s="39">
        <f>+IFERROR(-ABS(IF(EDATE(_xlfn.XLOOKUP(1,$H774:$BE774,$H$4:$BE$4),12*Assumptions!$H$193+12)=BR$4,0,IF(BQ774=1,PMT(Assumptions!$H$191,Assumptions!$H$193,$C776),BQ787))),0)</f>
        <v>0</v>
      </c>
      <c r="BS787" s="39">
        <f>+IFERROR(-ABS(IF(EDATE(_xlfn.XLOOKUP(1,$H774:$BE774,$H$4:$BE$4),12*Assumptions!$H$193+12)=BS$4,0,IF(BR774=1,PMT(Assumptions!$H$191,Assumptions!$H$193,$C776),BR787))),0)</f>
        <v>0</v>
      </c>
      <c r="BT787" s="39">
        <f>+IFERROR(-ABS(IF(EDATE(_xlfn.XLOOKUP(1,$H774:$BE774,$H$4:$BE$4),12*Assumptions!$H$193+12)=BT$4,0,IF(BS774=1,PMT(Assumptions!$H$191,Assumptions!$H$193,$C776),BS787))),0)</f>
        <v>0</v>
      </c>
      <c r="BU787" s="39">
        <f>+IFERROR(-ABS(IF(EDATE(_xlfn.XLOOKUP(1,$H774:$BE774,$H$4:$BE$4),12*Assumptions!$H$193+12)=BU$4,0,IF(BT774=1,PMT(Assumptions!$H$191,Assumptions!$H$193,$C776),BT787))),0)</f>
        <v>0</v>
      </c>
      <c r="BV787" s="39">
        <f>+IFERROR(-ABS(IF(EDATE(_xlfn.XLOOKUP(1,$H774:$BE774,$H$4:$BE$4),12*Assumptions!$H$193+12)=BV$4,0,IF(BU774=1,PMT(Assumptions!$H$191,Assumptions!$H$193,$C776),BU787))),0)</f>
        <v>0</v>
      </c>
      <c r="BW787" s="39">
        <f>+IFERROR(-ABS(IF(EDATE(_xlfn.XLOOKUP(1,$H774:$BE774,$H$4:$BE$4),12*Assumptions!$H$193+12)=BW$4,0,IF(BV774=1,PMT(Assumptions!$H$191,Assumptions!$H$193,$C776),BV787))),0)</f>
        <v>0</v>
      </c>
      <c r="BX787" s="39">
        <f>+IFERROR(-ABS(IF(EDATE(_xlfn.XLOOKUP(1,$H774:$BE774,$H$4:$BE$4),12*Assumptions!$H$193+12)=BX$4,0,IF(BW774=1,PMT(Assumptions!$H$191,Assumptions!$H$193,$C776),BW787))),0)</f>
        <v>0</v>
      </c>
      <c r="BY787" s="39">
        <f>+IFERROR(-ABS(IF(EDATE(_xlfn.XLOOKUP(1,$H774:$BE774,$H$4:$BE$4),12*Assumptions!$H$193+12)=BY$4,0,IF(BX774=1,PMT(Assumptions!$H$191,Assumptions!$H$193,$C776),BX787))),0)</f>
        <v>0</v>
      </c>
    </row>
    <row r="788" spans="3:77" outlineLevel="1">
      <c r="E788" s="24" t="s">
        <v>521</v>
      </c>
      <c r="F788" s="80" t="str">
        <f>+Assumptions!$G$8</f>
        <v>USD</v>
      </c>
      <c r="G788" s="24"/>
      <c r="H788" s="39">
        <f>+IFERROR(-ABS(IF(EDATE(_xlfn.XLOOKUP(1,$H775:$BE775,$H$4:$BE$4),12*Assumptions!$H$193+12)=H$4,0,IF(G775=1,PMT(Assumptions!$H$191,Assumptions!$H$193,$C777),G788))),0)</f>
        <v>0</v>
      </c>
      <c r="I788" s="39">
        <f>+IFERROR(-ABS(IF(EDATE(_xlfn.XLOOKUP(1,$H775:$BE775,$H$4:$BE$4),12*Assumptions!$H$193+12)=I$4,0,IF(H775=1,PMT(Assumptions!$H$191,Assumptions!$H$193,$C777),H788))),0)</f>
        <v>0</v>
      </c>
      <c r="J788" s="39">
        <f>+IFERROR(-ABS(IF(EDATE(_xlfn.XLOOKUP(1,$H775:$BE775,$H$4:$BE$4),12*Assumptions!$H$193+12)=J$4,0,IF(I775=1,PMT(Assumptions!$H$191,Assumptions!$H$193,$C777),I788))),0)</f>
        <v>0</v>
      </c>
      <c r="K788" s="39">
        <f>+IFERROR(-ABS(IF(EDATE(_xlfn.XLOOKUP(1,$H775:$BE775,$H$4:$BE$4),12*Assumptions!$H$193+12)=K$4,0,IF(J775=1,PMT(Assumptions!$H$191,Assumptions!$H$193,$C777),J788))),0)</f>
        <v>0</v>
      </c>
      <c r="L788" s="39">
        <f>+IFERROR(-ABS(IF(EDATE(_xlfn.XLOOKUP(1,$H775:$BE775,$H$4:$BE$4),12*Assumptions!$H$193+12)=L$4,0,IF(K775=1,PMT(Assumptions!$H$191,Assumptions!$H$193,$C777),K788))),0)</f>
        <v>0</v>
      </c>
      <c r="M788" s="39">
        <f>+IFERROR(-ABS(IF(EDATE(_xlfn.XLOOKUP(1,$H775:$BE775,$H$4:$BE$4),12*Assumptions!$H$193+12)=M$4,0,IF(L775=1,PMT(Assumptions!$H$191,Assumptions!$H$193,$C777),L788))),0)</f>
        <v>0</v>
      </c>
      <c r="N788" s="39">
        <f>+IFERROR(-ABS(IF(EDATE(_xlfn.XLOOKUP(1,$H775:$BE775,$H$4:$BE$4),12*Assumptions!$H$193+12)=N$4,0,IF(M775=1,PMT(Assumptions!$H$191,Assumptions!$H$193,$C777),M788))),0)</f>
        <v>0</v>
      </c>
      <c r="O788" s="39">
        <f>+IFERROR(-ABS(IF(EDATE(_xlfn.XLOOKUP(1,$H775:$BE775,$H$4:$BE$4),12*Assumptions!$H$193+12)=O$4,0,IF(N775=1,PMT(Assumptions!$H$191,Assumptions!$H$193,$C777),N788))),0)</f>
        <v>0</v>
      </c>
      <c r="P788" s="39">
        <f>+IFERROR(-ABS(IF(EDATE(_xlfn.XLOOKUP(1,$H775:$BE775,$H$4:$BE$4),12*Assumptions!$H$193+12)=P$4,0,IF(O775=1,PMT(Assumptions!$H$191,Assumptions!$H$193,$C777),O788))),0)</f>
        <v>0</v>
      </c>
      <c r="Q788" s="39">
        <f>+IFERROR(-ABS(IF(EDATE(_xlfn.XLOOKUP(1,$H775:$BE775,$H$4:$BE$4),12*Assumptions!$H$193+12)=Q$4,0,IF(P775=1,PMT(Assumptions!$H$191,Assumptions!$H$193,$C777),P788))),0)</f>
        <v>0</v>
      </c>
      <c r="R788" s="39">
        <f>+IFERROR(-ABS(IF(EDATE(_xlfn.XLOOKUP(1,$H775:$BE775,$H$4:$BE$4),12*Assumptions!$H$193+12)=R$4,0,IF(Q775=1,PMT(Assumptions!$H$191,Assumptions!$H$193,$C777),Q788))),0)</f>
        <v>0</v>
      </c>
      <c r="S788" s="39">
        <f>+IFERROR(-ABS(IF(EDATE(_xlfn.XLOOKUP(1,$H775:$BE775,$H$4:$BE$4),12*Assumptions!$H$193+12)=S$4,0,IF(R775=1,PMT(Assumptions!$H$191,Assumptions!$H$193,$C777),R788))),0)</f>
        <v>0</v>
      </c>
      <c r="T788" s="39">
        <f>+IFERROR(-ABS(IF(EDATE(_xlfn.XLOOKUP(1,$H775:$BE775,$H$4:$BE$4),12*Assumptions!$H$193+12)=T$4,0,IF(S775=1,PMT(Assumptions!$H$191,Assumptions!$H$193,$C777),S788))),0)</f>
        <v>0</v>
      </c>
      <c r="U788" s="39">
        <f>+IFERROR(-ABS(IF(EDATE(_xlfn.XLOOKUP(1,$H775:$BE775,$H$4:$BE$4),12*Assumptions!$H$193+12)=U$4,0,IF(T775=1,PMT(Assumptions!$H$191,Assumptions!$H$193,$C777),T788))),0)</f>
        <v>0</v>
      </c>
      <c r="V788" s="39">
        <f>+IFERROR(-ABS(IF(EDATE(_xlfn.XLOOKUP(1,$H775:$BE775,$H$4:$BE$4),12*Assumptions!$H$193+12)=V$4,0,IF(U775=1,PMT(Assumptions!$H$191,Assumptions!$H$193,$C777),U788))),0)</f>
        <v>0</v>
      </c>
      <c r="W788" s="39">
        <f>+IFERROR(-ABS(IF(EDATE(_xlfn.XLOOKUP(1,$H775:$BE775,$H$4:$BE$4),12*Assumptions!$H$193+12)=W$4,0,IF(V775=1,PMT(Assumptions!$H$191,Assumptions!$H$193,$C777),V788))),0)</f>
        <v>0</v>
      </c>
      <c r="X788" s="39">
        <f>+IFERROR(-ABS(IF(EDATE(_xlfn.XLOOKUP(1,$H775:$BE775,$H$4:$BE$4),12*Assumptions!$H$193+12)=X$4,0,IF(W775=1,PMT(Assumptions!$H$191,Assumptions!$H$193,$C777),W788))),0)</f>
        <v>0</v>
      </c>
      <c r="Y788" s="39">
        <f>+IFERROR(-ABS(IF(EDATE(_xlfn.XLOOKUP(1,$H775:$BE775,$H$4:$BE$4),12*Assumptions!$H$193+12)=Y$4,0,IF(X775=1,PMT(Assumptions!$H$191,Assumptions!$H$193,$C777),X788))),0)</f>
        <v>0</v>
      </c>
      <c r="Z788" s="39">
        <f>+IFERROR(-ABS(IF(EDATE(_xlfn.XLOOKUP(1,$H775:$BE775,$H$4:$BE$4),12*Assumptions!$H$193+12)=Z$4,0,IF(Y775=1,PMT(Assumptions!$H$191,Assumptions!$H$193,$C777),Y788))),0)</f>
        <v>0</v>
      </c>
      <c r="AA788" s="39">
        <f>+IFERROR(-ABS(IF(EDATE(_xlfn.XLOOKUP(1,$H775:$BE775,$H$4:$BE$4),12*Assumptions!$H$193+12)=AA$4,0,IF(Z775=1,PMT(Assumptions!$H$191,Assumptions!$H$193,$C777),Z788))),0)</f>
        <v>0</v>
      </c>
      <c r="AB788" s="39">
        <f>+IFERROR(-ABS(IF(EDATE(_xlfn.XLOOKUP(1,$H775:$BE775,$H$4:$BE$4),12*Assumptions!$H$193+12)=AB$4,0,IF(AA775=1,PMT(Assumptions!$H$191,Assumptions!$H$193,$C777),AA788))),0)</f>
        <v>0</v>
      </c>
      <c r="AC788" s="39">
        <f>+IFERROR(-ABS(IF(EDATE(_xlfn.XLOOKUP(1,$H775:$BE775,$H$4:$BE$4),12*Assumptions!$H$193+12)=AC$4,0,IF(AB775=1,PMT(Assumptions!$H$191,Assumptions!$H$193,$C777),AB788))),0)</f>
        <v>0</v>
      </c>
      <c r="AD788" s="39">
        <f>+IFERROR(-ABS(IF(EDATE(_xlfn.XLOOKUP(1,$H775:$BE775,$H$4:$BE$4),12*Assumptions!$H$193+12)=AD$4,0,IF(AC775=1,PMT(Assumptions!$H$191,Assumptions!$H$193,$C777),AC788))),0)</f>
        <v>0</v>
      </c>
      <c r="AE788" s="39">
        <f>+IFERROR(-ABS(IF(EDATE(_xlfn.XLOOKUP(1,$H775:$BE775,$H$4:$BE$4),12*Assumptions!$H$193+12)=AE$4,0,IF(AD775=1,PMT(Assumptions!$H$191,Assumptions!$H$193,$C777),AD788))),0)</f>
        <v>0</v>
      </c>
      <c r="AF788" s="39">
        <f>+IFERROR(-ABS(IF(EDATE(_xlfn.XLOOKUP(1,$H775:$BE775,$H$4:$BE$4),12*Assumptions!$H$193+12)=AF$4,0,IF(AE775=1,PMT(Assumptions!$H$191,Assumptions!$H$193,$C777),AE788))),0)</f>
        <v>0</v>
      </c>
      <c r="AG788" s="39">
        <f>+IFERROR(-ABS(IF(EDATE(_xlfn.XLOOKUP(1,$H775:$BE775,$H$4:$BE$4),12*Assumptions!$H$193+12)=AG$4,0,IF(AF775=1,PMT(Assumptions!$H$191,Assumptions!$H$193,$C777),AF788))),0)</f>
        <v>0</v>
      </c>
      <c r="AH788" s="39">
        <f>+IFERROR(-ABS(IF(EDATE(_xlfn.XLOOKUP(1,$H775:$BE775,$H$4:$BE$4),12*Assumptions!$H$193+12)=AH$4,0,IF(AG775=1,PMT(Assumptions!$H$191,Assumptions!$H$193,$C777),AG788))),0)</f>
        <v>0</v>
      </c>
      <c r="AI788" s="39">
        <f>+IFERROR(-ABS(IF(EDATE(_xlfn.XLOOKUP(1,$H775:$BE775,$H$4:$BE$4),12*Assumptions!$H$193+12)=AI$4,0,IF(AH775=1,PMT(Assumptions!$H$191,Assumptions!$H$193,$C777),AH788))),0)</f>
        <v>0</v>
      </c>
      <c r="AJ788" s="39">
        <f>+IFERROR(-ABS(IF(EDATE(_xlfn.XLOOKUP(1,$H775:$BE775,$H$4:$BE$4),12*Assumptions!$H$193+12)=AJ$4,0,IF(AI775=1,PMT(Assumptions!$H$191,Assumptions!$H$193,$C777),AI788))),0)</f>
        <v>0</v>
      </c>
      <c r="AK788" s="39">
        <f>+IFERROR(-ABS(IF(EDATE(_xlfn.XLOOKUP(1,$H775:$BE775,$H$4:$BE$4),12*Assumptions!$H$193+12)=AK$4,0,IF(AJ775=1,PMT(Assumptions!$H$191,Assumptions!$H$193,$C777),AJ788))),0)</f>
        <v>0</v>
      </c>
      <c r="AL788" s="39">
        <f>+IFERROR(-ABS(IF(EDATE(_xlfn.XLOOKUP(1,$H775:$BE775,$H$4:$BE$4),12*Assumptions!$H$193+12)=AL$4,0,IF(AK775=1,PMT(Assumptions!$H$191,Assumptions!$H$193,$C777),AK788))),0)</f>
        <v>0</v>
      </c>
      <c r="AM788" s="39">
        <f>+IFERROR(-ABS(IF(EDATE(_xlfn.XLOOKUP(1,$H775:$BE775,$H$4:$BE$4),12*Assumptions!$H$193+12)=AM$4,0,IF(AL775=1,PMT(Assumptions!$H$191,Assumptions!$H$193,$C777),AL788))),0)</f>
        <v>0</v>
      </c>
      <c r="AN788" s="39">
        <f>+IFERROR(-ABS(IF(EDATE(_xlfn.XLOOKUP(1,$H775:$BE775,$H$4:$BE$4),12*Assumptions!$H$193+12)=AN$4,0,IF(AM775=1,PMT(Assumptions!$H$191,Assumptions!$H$193,$C777),AM788))),0)</f>
        <v>0</v>
      </c>
      <c r="AO788" s="39">
        <f>+IFERROR(-ABS(IF(EDATE(_xlfn.XLOOKUP(1,$H775:$BE775,$H$4:$BE$4),12*Assumptions!$H$193+12)=AO$4,0,IF(AN775=1,PMT(Assumptions!$H$191,Assumptions!$H$193,$C777),AN788))),0)</f>
        <v>0</v>
      </c>
      <c r="AP788" s="39">
        <f>+IFERROR(-ABS(IF(EDATE(_xlfn.XLOOKUP(1,$H775:$BE775,$H$4:$BE$4),12*Assumptions!$H$193+12)=AP$4,0,IF(AO775=1,PMT(Assumptions!$H$191,Assumptions!$H$193,$C777),AO788))),0)</f>
        <v>0</v>
      </c>
      <c r="AQ788" s="39">
        <f>+IFERROR(-ABS(IF(EDATE(_xlfn.XLOOKUP(1,$H775:$BE775,$H$4:$BE$4),12*Assumptions!$H$193+12)=AQ$4,0,IF(AP775=1,PMT(Assumptions!$H$191,Assumptions!$H$193,$C777),AP788))),0)</f>
        <v>0</v>
      </c>
      <c r="AR788" s="39">
        <f>+IFERROR(-ABS(IF(EDATE(_xlfn.XLOOKUP(1,$H775:$BE775,$H$4:$BE$4),12*Assumptions!$H$193+12)=AR$4,0,IF(AQ775=1,PMT(Assumptions!$H$191,Assumptions!$H$193,$C777),AQ788))),0)</f>
        <v>0</v>
      </c>
      <c r="AS788" s="39">
        <f>+IFERROR(-ABS(IF(EDATE(_xlfn.XLOOKUP(1,$H775:$BE775,$H$4:$BE$4),12*Assumptions!$H$193+12)=AS$4,0,IF(AR775=1,PMT(Assumptions!$H$191,Assumptions!$H$193,$C777),AR788))),0)</f>
        <v>0</v>
      </c>
      <c r="AT788" s="39">
        <f>+IFERROR(-ABS(IF(EDATE(_xlfn.XLOOKUP(1,$H775:$BE775,$H$4:$BE$4),12*Assumptions!$H$193+12)=AT$4,0,IF(AS775=1,PMT(Assumptions!$H$191,Assumptions!$H$193,$C777),AS788))),0)</f>
        <v>0</v>
      </c>
      <c r="AU788" s="39">
        <f>+IFERROR(-ABS(IF(EDATE(_xlfn.XLOOKUP(1,$H775:$BE775,$H$4:$BE$4),12*Assumptions!$H$193+12)=AU$4,0,IF(AT775=1,PMT(Assumptions!$H$191,Assumptions!$H$193,$C777),AT788))),0)</f>
        <v>0</v>
      </c>
      <c r="AV788" s="39">
        <f>+IFERROR(-ABS(IF(EDATE(_xlfn.XLOOKUP(1,$H775:$BE775,$H$4:$BE$4),12*Assumptions!$H$193+12)=AV$4,0,IF(AU775=1,PMT(Assumptions!$H$191,Assumptions!$H$193,$C777),AU788))),0)</f>
        <v>0</v>
      </c>
      <c r="AW788" s="39">
        <f>+IFERROR(-ABS(IF(EDATE(_xlfn.XLOOKUP(1,$H775:$BE775,$H$4:$BE$4),12*Assumptions!$H$193+12)=AW$4,0,IF(AV775=1,PMT(Assumptions!$H$191,Assumptions!$H$193,$C777),AV788))),0)</f>
        <v>0</v>
      </c>
      <c r="AX788" s="39">
        <f>+IFERROR(-ABS(IF(EDATE(_xlfn.XLOOKUP(1,$H775:$BE775,$H$4:$BE$4),12*Assumptions!$H$193+12)=AX$4,0,IF(AW775=1,PMT(Assumptions!$H$191,Assumptions!$H$193,$C777),AW788))),0)</f>
        <v>0</v>
      </c>
      <c r="AY788" s="39">
        <f>+IFERROR(-ABS(IF(EDATE(_xlfn.XLOOKUP(1,$H775:$BE775,$H$4:$BE$4),12*Assumptions!$H$193+12)=AY$4,0,IF(AX775=1,PMT(Assumptions!$H$191,Assumptions!$H$193,$C777),AX788))),0)</f>
        <v>0</v>
      </c>
      <c r="AZ788" s="39">
        <f>+IFERROR(-ABS(IF(EDATE(_xlfn.XLOOKUP(1,$H775:$BE775,$H$4:$BE$4),12*Assumptions!$H$193+12)=AZ$4,0,IF(AY775=1,PMT(Assumptions!$H$191,Assumptions!$H$193,$C777),AY788))),0)</f>
        <v>0</v>
      </c>
      <c r="BA788" s="39">
        <f>+IFERROR(-ABS(IF(EDATE(_xlfn.XLOOKUP(1,$H775:$BE775,$H$4:$BE$4),12*Assumptions!$H$193+12)=BA$4,0,IF(AZ775=1,PMT(Assumptions!$H$191,Assumptions!$H$193,$C777),AZ788))),0)</f>
        <v>0</v>
      </c>
      <c r="BB788" s="39">
        <f>+IFERROR(-ABS(IF(EDATE(_xlfn.XLOOKUP(1,$H775:$BE775,$H$4:$BE$4),12*Assumptions!$H$193+12)=BB$4,0,IF(BA775=1,PMT(Assumptions!$H$191,Assumptions!$H$193,$C777),BA788))),0)</f>
        <v>0</v>
      </c>
      <c r="BC788" s="39">
        <f>+IFERROR(-ABS(IF(EDATE(_xlfn.XLOOKUP(1,$H775:$BE775,$H$4:$BE$4),12*Assumptions!$H$193+12)=BC$4,0,IF(BB775=1,PMT(Assumptions!$H$191,Assumptions!$H$193,$C777),BB788))),0)</f>
        <v>0</v>
      </c>
      <c r="BD788" s="39">
        <f>+IFERROR(-ABS(IF(EDATE(_xlfn.XLOOKUP(1,$H775:$BE775,$H$4:$BE$4),12*Assumptions!$H$193+12)=BD$4,0,IF(BC775=1,PMT(Assumptions!$H$191,Assumptions!$H$193,$C777),BC788))),0)</f>
        <v>0</v>
      </c>
      <c r="BE788" s="39">
        <f>+IFERROR(-ABS(IF(EDATE(_xlfn.XLOOKUP(1,$H775:$BE775,$H$4:$BE$4),12*Assumptions!$H$193+12)=BE$4,0,IF(BD775=1,PMT(Assumptions!$H$191,Assumptions!$H$193,$C777),BD788))),0)</f>
        <v>0</v>
      </c>
      <c r="BF788" s="39">
        <f>+IFERROR(-ABS(IF(EDATE(_xlfn.XLOOKUP(1,$H775:$BE775,$H$4:$BE$4),12*Assumptions!$H$193+12)=BF$4,0,IF(BE775=1,PMT(Assumptions!$H$191,Assumptions!$H$193,$C777),BE788))),0)</f>
        <v>0</v>
      </c>
      <c r="BG788" s="39">
        <f>+IFERROR(-ABS(IF(EDATE(_xlfn.XLOOKUP(1,$H775:$BE775,$H$4:$BE$4),12*Assumptions!$H$193+12)=BG$4,0,IF(BF775=1,PMT(Assumptions!$H$191,Assumptions!$H$193,$C777),BF788))),0)</f>
        <v>0</v>
      </c>
      <c r="BH788" s="39">
        <f>+IFERROR(-ABS(IF(EDATE(_xlfn.XLOOKUP(1,$H775:$BE775,$H$4:$BE$4),12*Assumptions!$H$193+12)=BH$4,0,IF(BG775=1,PMT(Assumptions!$H$191,Assumptions!$H$193,$C777),BG788))),0)</f>
        <v>0</v>
      </c>
      <c r="BI788" s="39">
        <f>+IFERROR(-ABS(IF(EDATE(_xlfn.XLOOKUP(1,$H775:$BE775,$H$4:$BE$4),12*Assumptions!$H$193+12)=BI$4,0,IF(BH775=1,PMT(Assumptions!$H$191,Assumptions!$H$193,$C777),BH788))),0)</f>
        <v>0</v>
      </c>
      <c r="BJ788" s="39">
        <f>+IFERROR(-ABS(IF(EDATE(_xlfn.XLOOKUP(1,$H775:$BE775,$H$4:$BE$4),12*Assumptions!$H$193+12)=BJ$4,0,IF(BI775=1,PMT(Assumptions!$H$191,Assumptions!$H$193,$C777),BI788))),0)</f>
        <v>0</v>
      </c>
      <c r="BK788" s="39">
        <f>+IFERROR(-ABS(IF(EDATE(_xlfn.XLOOKUP(1,$H775:$BE775,$H$4:$BE$4),12*Assumptions!$H$193+12)=BK$4,0,IF(BJ775=1,PMT(Assumptions!$H$191,Assumptions!$H$193,$C777),BJ788))),0)</f>
        <v>0</v>
      </c>
      <c r="BL788" s="39">
        <f>+IFERROR(-ABS(IF(EDATE(_xlfn.XLOOKUP(1,$H775:$BE775,$H$4:$BE$4),12*Assumptions!$H$193+12)=BL$4,0,IF(BK775=1,PMT(Assumptions!$H$191,Assumptions!$H$193,$C777),BK788))),0)</f>
        <v>0</v>
      </c>
      <c r="BM788" s="39">
        <f>+IFERROR(-ABS(IF(EDATE(_xlfn.XLOOKUP(1,$H775:$BE775,$H$4:$BE$4),12*Assumptions!$H$193+12)=BM$4,0,IF(BL775=1,PMT(Assumptions!$H$191,Assumptions!$H$193,$C777),BL788))),0)</f>
        <v>0</v>
      </c>
      <c r="BN788" s="39">
        <f>+IFERROR(-ABS(IF(EDATE(_xlfn.XLOOKUP(1,$H775:$BE775,$H$4:$BE$4),12*Assumptions!$H$193+12)=BN$4,0,IF(BM775=1,PMT(Assumptions!$H$191,Assumptions!$H$193,$C777),BM788))),0)</f>
        <v>0</v>
      </c>
      <c r="BO788" s="39">
        <f>+IFERROR(-ABS(IF(EDATE(_xlfn.XLOOKUP(1,$H775:$BE775,$H$4:$BE$4),12*Assumptions!$H$193+12)=BO$4,0,IF(BN775=1,PMT(Assumptions!$H$191,Assumptions!$H$193,$C777),BN788))),0)</f>
        <v>0</v>
      </c>
      <c r="BP788" s="39">
        <f>+IFERROR(-ABS(IF(EDATE(_xlfn.XLOOKUP(1,$H775:$BE775,$H$4:$BE$4),12*Assumptions!$H$193+12)=BP$4,0,IF(BO775=1,PMT(Assumptions!$H$191,Assumptions!$H$193,$C777),BO788))),0)</f>
        <v>0</v>
      </c>
      <c r="BQ788" s="39">
        <f>+IFERROR(-ABS(IF(EDATE(_xlfn.XLOOKUP(1,$H775:$BE775,$H$4:$BE$4),12*Assumptions!$H$193+12)=BQ$4,0,IF(BP775=1,PMT(Assumptions!$H$191,Assumptions!$H$193,$C777),BP788))),0)</f>
        <v>0</v>
      </c>
      <c r="BR788" s="39">
        <f>+IFERROR(-ABS(IF(EDATE(_xlfn.XLOOKUP(1,$H775:$BE775,$H$4:$BE$4),12*Assumptions!$H$193+12)=BR$4,0,IF(BQ775=1,PMT(Assumptions!$H$191,Assumptions!$H$193,$C777),BQ788))),0)</f>
        <v>0</v>
      </c>
      <c r="BS788" s="39">
        <f>+IFERROR(-ABS(IF(EDATE(_xlfn.XLOOKUP(1,$H775:$BE775,$H$4:$BE$4),12*Assumptions!$H$193+12)=BS$4,0,IF(BR775=1,PMT(Assumptions!$H$191,Assumptions!$H$193,$C777),BR788))),0)</f>
        <v>0</v>
      </c>
      <c r="BT788" s="39">
        <f>+IFERROR(-ABS(IF(EDATE(_xlfn.XLOOKUP(1,$H775:$BE775,$H$4:$BE$4),12*Assumptions!$H$193+12)=BT$4,0,IF(BS775=1,PMT(Assumptions!$H$191,Assumptions!$H$193,$C777),BS788))),0)</f>
        <v>0</v>
      </c>
      <c r="BU788" s="39">
        <f>+IFERROR(-ABS(IF(EDATE(_xlfn.XLOOKUP(1,$H775:$BE775,$H$4:$BE$4),12*Assumptions!$H$193+12)=BU$4,0,IF(BT775=1,PMT(Assumptions!$H$191,Assumptions!$H$193,$C777),BT788))),0)</f>
        <v>0</v>
      </c>
      <c r="BV788" s="39">
        <f>+IFERROR(-ABS(IF(EDATE(_xlfn.XLOOKUP(1,$H775:$BE775,$H$4:$BE$4),12*Assumptions!$H$193+12)=BV$4,0,IF(BU775=1,PMT(Assumptions!$H$191,Assumptions!$H$193,$C777),BU788))),0)</f>
        <v>0</v>
      </c>
      <c r="BW788" s="39">
        <f>+IFERROR(-ABS(IF(EDATE(_xlfn.XLOOKUP(1,$H775:$BE775,$H$4:$BE$4),12*Assumptions!$H$193+12)=BW$4,0,IF(BV775=1,PMT(Assumptions!$H$191,Assumptions!$H$193,$C777),BV788))),0)</f>
        <v>0</v>
      </c>
      <c r="BX788" s="39">
        <f>+IFERROR(-ABS(IF(EDATE(_xlfn.XLOOKUP(1,$H775:$BE775,$H$4:$BE$4),12*Assumptions!$H$193+12)=BX$4,0,IF(BW775=1,PMT(Assumptions!$H$191,Assumptions!$H$193,$C777),BW788))),0)</f>
        <v>0</v>
      </c>
      <c r="BY788" s="39">
        <f>+IFERROR(-ABS(IF(EDATE(_xlfn.XLOOKUP(1,$H775:$BE775,$H$4:$BE$4),12*Assumptions!$H$193+12)=BY$4,0,IF(BX775=1,PMT(Assumptions!$H$191,Assumptions!$H$193,$C777),BX788))),0)</f>
        <v>0</v>
      </c>
    </row>
    <row r="789" spans="3:77" outlineLevel="1">
      <c r="E789" s="24" t="s">
        <v>522</v>
      </c>
      <c r="F789" s="80" t="str">
        <f>+Assumptions!$G$8</f>
        <v>USD</v>
      </c>
      <c r="G789" s="24"/>
      <c r="H789" s="39">
        <f>+IFERROR(-ABS(IF(EDATE(_xlfn.XLOOKUP(1,$H776:$BE776,$H$4:$BE$4),12*Assumptions!$H$193+12)=H$4,0,IF(G776=1,PMT(Assumptions!$H$191,Assumptions!$H$193,$C778),G789))),0)</f>
        <v>0</v>
      </c>
      <c r="I789" s="39">
        <f>+IFERROR(-ABS(IF(EDATE(_xlfn.XLOOKUP(1,$H776:$BE776,$H$4:$BE$4),12*Assumptions!$H$193+12)=I$4,0,IF(H776=1,PMT(Assumptions!$H$191,Assumptions!$H$193,$C778),H789))),0)</f>
        <v>0</v>
      </c>
      <c r="J789" s="39">
        <f>+IFERROR(-ABS(IF(EDATE(_xlfn.XLOOKUP(1,$H776:$BE776,$H$4:$BE$4),12*Assumptions!$H$193+12)=J$4,0,IF(I776=1,PMT(Assumptions!$H$191,Assumptions!$H$193,$C778),I789))),0)</f>
        <v>0</v>
      </c>
      <c r="K789" s="39">
        <f>+IFERROR(-ABS(IF(EDATE(_xlfn.XLOOKUP(1,$H776:$BE776,$H$4:$BE$4),12*Assumptions!$H$193+12)=K$4,0,IF(J776=1,PMT(Assumptions!$H$191,Assumptions!$H$193,$C778),J789))),0)</f>
        <v>0</v>
      </c>
      <c r="L789" s="39">
        <f>+IFERROR(-ABS(IF(EDATE(_xlfn.XLOOKUP(1,$H776:$BE776,$H$4:$BE$4),12*Assumptions!$H$193+12)=L$4,0,IF(K776=1,PMT(Assumptions!$H$191,Assumptions!$H$193,$C778),K789))),0)</f>
        <v>0</v>
      </c>
      <c r="M789" s="39">
        <f>+IFERROR(-ABS(IF(EDATE(_xlfn.XLOOKUP(1,$H776:$BE776,$H$4:$BE$4),12*Assumptions!$H$193+12)=M$4,0,IF(L776=1,PMT(Assumptions!$H$191,Assumptions!$H$193,$C778),L789))),0)</f>
        <v>0</v>
      </c>
      <c r="N789" s="39">
        <f>+IFERROR(-ABS(IF(EDATE(_xlfn.XLOOKUP(1,$H776:$BE776,$H$4:$BE$4),12*Assumptions!$H$193+12)=N$4,0,IF(M776=1,PMT(Assumptions!$H$191,Assumptions!$H$193,$C778),M789))),0)</f>
        <v>0</v>
      </c>
      <c r="O789" s="39">
        <f>+IFERROR(-ABS(IF(EDATE(_xlfn.XLOOKUP(1,$H776:$BE776,$H$4:$BE$4),12*Assumptions!$H$193+12)=O$4,0,IF(N776=1,PMT(Assumptions!$H$191,Assumptions!$H$193,$C778),N789))),0)</f>
        <v>0</v>
      </c>
      <c r="P789" s="39">
        <f>+IFERROR(-ABS(IF(EDATE(_xlfn.XLOOKUP(1,$H776:$BE776,$H$4:$BE$4),12*Assumptions!$H$193+12)=P$4,0,IF(O776=1,PMT(Assumptions!$H$191,Assumptions!$H$193,$C778),O789))),0)</f>
        <v>0</v>
      </c>
      <c r="Q789" s="39">
        <f>+IFERROR(-ABS(IF(EDATE(_xlfn.XLOOKUP(1,$H776:$BE776,$H$4:$BE$4),12*Assumptions!$H$193+12)=Q$4,0,IF(P776=1,PMT(Assumptions!$H$191,Assumptions!$H$193,$C778),P789))),0)</f>
        <v>0</v>
      </c>
      <c r="R789" s="39">
        <f>+IFERROR(-ABS(IF(EDATE(_xlfn.XLOOKUP(1,$H776:$BE776,$H$4:$BE$4),12*Assumptions!$H$193+12)=R$4,0,IF(Q776=1,PMT(Assumptions!$H$191,Assumptions!$H$193,$C778),Q789))),0)</f>
        <v>0</v>
      </c>
      <c r="S789" s="39">
        <f>+IFERROR(-ABS(IF(EDATE(_xlfn.XLOOKUP(1,$H776:$BE776,$H$4:$BE$4),12*Assumptions!$H$193+12)=S$4,0,IF(R776=1,PMT(Assumptions!$H$191,Assumptions!$H$193,$C778),R789))),0)</f>
        <v>0</v>
      </c>
      <c r="T789" s="39">
        <f>+IFERROR(-ABS(IF(EDATE(_xlfn.XLOOKUP(1,$H776:$BE776,$H$4:$BE$4),12*Assumptions!$H$193+12)=T$4,0,IF(S776=1,PMT(Assumptions!$H$191,Assumptions!$H$193,$C778),S789))),0)</f>
        <v>0</v>
      </c>
      <c r="U789" s="39">
        <f>+IFERROR(-ABS(IF(EDATE(_xlfn.XLOOKUP(1,$H776:$BE776,$H$4:$BE$4),12*Assumptions!$H$193+12)=U$4,0,IF(T776=1,PMT(Assumptions!$H$191,Assumptions!$H$193,$C778),T789))),0)</f>
        <v>0</v>
      </c>
      <c r="V789" s="39">
        <f>+IFERROR(-ABS(IF(EDATE(_xlfn.XLOOKUP(1,$H776:$BE776,$H$4:$BE$4),12*Assumptions!$H$193+12)=V$4,0,IF(U776=1,PMT(Assumptions!$H$191,Assumptions!$H$193,$C778),U789))),0)</f>
        <v>0</v>
      </c>
      <c r="W789" s="39">
        <f>+IFERROR(-ABS(IF(EDATE(_xlfn.XLOOKUP(1,$H776:$BE776,$H$4:$BE$4),12*Assumptions!$H$193+12)=W$4,0,IF(V776=1,PMT(Assumptions!$H$191,Assumptions!$H$193,$C778),V789))),0)</f>
        <v>0</v>
      </c>
      <c r="X789" s="39">
        <f>+IFERROR(-ABS(IF(EDATE(_xlfn.XLOOKUP(1,$H776:$BE776,$H$4:$BE$4),12*Assumptions!$H$193+12)=X$4,0,IF(W776=1,PMT(Assumptions!$H$191,Assumptions!$H$193,$C778),W789))),0)</f>
        <v>0</v>
      </c>
      <c r="Y789" s="39">
        <f>+IFERROR(-ABS(IF(EDATE(_xlfn.XLOOKUP(1,$H776:$BE776,$H$4:$BE$4),12*Assumptions!$H$193+12)=Y$4,0,IF(X776=1,PMT(Assumptions!$H$191,Assumptions!$H$193,$C778),X789))),0)</f>
        <v>0</v>
      </c>
      <c r="Z789" s="39">
        <f>+IFERROR(-ABS(IF(EDATE(_xlfn.XLOOKUP(1,$H776:$BE776,$H$4:$BE$4),12*Assumptions!$H$193+12)=Z$4,0,IF(Y776=1,PMT(Assumptions!$H$191,Assumptions!$H$193,$C778),Y789))),0)</f>
        <v>0</v>
      </c>
      <c r="AA789" s="39">
        <f>+IFERROR(-ABS(IF(EDATE(_xlfn.XLOOKUP(1,$H776:$BE776,$H$4:$BE$4),12*Assumptions!$H$193+12)=AA$4,0,IF(Z776=1,PMT(Assumptions!$H$191,Assumptions!$H$193,$C778),Z789))),0)</f>
        <v>0</v>
      </c>
      <c r="AB789" s="39">
        <f>+IFERROR(-ABS(IF(EDATE(_xlfn.XLOOKUP(1,$H776:$BE776,$H$4:$BE$4),12*Assumptions!$H$193+12)=AB$4,0,IF(AA776=1,PMT(Assumptions!$H$191,Assumptions!$H$193,$C778),AA789))),0)</f>
        <v>0</v>
      </c>
      <c r="AC789" s="39">
        <f>+IFERROR(-ABS(IF(EDATE(_xlfn.XLOOKUP(1,$H776:$BE776,$H$4:$BE$4),12*Assumptions!$H$193+12)=AC$4,0,IF(AB776=1,PMT(Assumptions!$H$191,Assumptions!$H$193,$C778),AB789))),0)</f>
        <v>0</v>
      </c>
      <c r="AD789" s="39">
        <f>+IFERROR(-ABS(IF(EDATE(_xlfn.XLOOKUP(1,$H776:$BE776,$H$4:$BE$4),12*Assumptions!$H$193+12)=AD$4,0,IF(AC776=1,PMT(Assumptions!$H$191,Assumptions!$H$193,$C778),AC789))),0)</f>
        <v>0</v>
      </c>
      <c r="AE789" s="39">
        <f>+IFERROR(-ABS(IF(EDATE(_xlfn.XLOOKUP(1,$H776:$BE776,$H$4:$BE$4),12*Assumptions!$H$193+12)=AE$4,0,IF(AD776=1,PMT(Assumptions!$H$191,Assumptions!$H$193,$C778),AD789))),0)</f>
        <v>0</v>
      </c>
      <c r="AF789" s="39">
        <f>+IFERROR(-ABS(IF(EDATE(_xlfn.XLOOKUP(1,$H776:$BE776,$H$4:$BE$4),12*Assumptions!$H$193+12)=AF$4,0,IF(AE776=1,PMT(Assumptions!$H$191,Assumptions!$H$193,$C778),AE789))),0)</f>
        <v>0</v>
      </c>
      <c r="AG789" s="39">
        <f>+IFERROR(-ABS(IF(EDATE(_xlfn.XLOOKUP(1,$H776:$BE776,$H$4:$BE$4),12*Assumptions!$H$193+12)=AG$4,0,IF(AF776=1,PMT(Assumptions!$H$191,Assumptions!$H$193,$C778),AF789))),0)</f>
        <v>0</v>
      </c>
      <c r="AH789" s="39">
        <f>+IFERROR(-ABS(IF(EDATE(_xlfn.XLOOKUP(1,$H776:$BE776,$H$4:$BE$4),12*Assumptions!$H$193+12)=AH$4,0,IF(AG776=1,PMT(Assumptions!$H$191,Assumptions!$H$193,$C778),AG789))),0)</f>
        <v>0</v>
      </c>
      <c r="AI789" s="39">
        <f>+IFERROR(-ABS(IF(EDATE(_xlfn.XLOOKUP(1,$H776:$BE776,$H$4:$BE$4),12*Assumptions!$H$193+12)=AI$4,0,IF(AH776=1,PMT(Assumptions!$H$191,Assumptions!$H$193,$C778),AH789))),0)</f>
        <v>0</v>
      </c>
      <c r="AJ789" s="39">
        <f>+IFERROR(-ABS(IF(EDATE(_xlfn.XLOOKUP(1,$H776:$BE776,$H$4:$BE$4),12*Assumptions!$H$193+12)=AJ$4,0,IF(AI776=1,PMT(Assumptions!$H$191,Assumptions!$H$193,$C778),AI789))),0)</f>
        <v>0</v>
      </c>
      <c r="AK789" s="39">
        <f>+IFERROR(-ABS(IF(EDATE(_xlfn.XLOOKUP(1,$H776:$BE776,$H$4:$BE$4),12*Assumptions!$H$193+12)=AK$4,0,IF(AJ776=1,PMT(Assumptions!$H$191,Assumptions!$H$193,$C778),AJ789))),0)</f>
        <v>0</v>
      </c>
      <c r="AL789" s="39">
        <f>+IFERROR(-ABS(IF(EDATE(_xlfn.XLOOKUP(1,$H776:$BE776,$H$4:$BE$4),12*Assumptions!$H$193+12)=AL$4,0,IF(AK776=1,PMT(Assumptions!$H$191,Assumptions!$H$193,$C778),AK789))),0)</f>
        <v>0</v>
      </c>
      <c r="AM789" s="39">
        <f>+IFERROR(-ABS(IF(EDATE(_xlfn.XLOOKUP(1,$H776:$BE776,$H$4:$BE$4),12*Assumptions!$H$193+12)=AM$4,0,IF(AL776=1,PMT(Assumptions!$H$191,Assumptions!$H$193,$C778),AL789))),0)</f>
        <v>0</v>
      </c>
      <c r="AN789" s="39">
        <f>+IFERROR(-ABS(IF(EDATE(_xlfn.XLOOKUP(1,$H776:$BE776,$H$4:$BE$4),12*Assumptions!$H$193+12)=AN$4,0,IF(AM776=1,PMT(Assumptions!$H$191,Assumptions!$H$193,$C778),AM789))),0)</f>
        <v>0</v>
      </c>
      <c r="AO789" s="39">
        <f>+IFERROR(-ABS(IF(EDATE(_xlfn.XLOOKUP(1,$H776:$BE776,$H$4:$BE$4),12*Assumptions!$H$193+12)=AO$4,0,IF(AN776=1,PMT(Assumptions!$H$191,Assumptions!$H$193,$C778),AN789))),0)</f>
        <v>0</v>
      </c>
      <c r="AP789" s="39">
        <f>+IFERROR(-ABS(IF(EDATE(_xlfn.XLOOKUP(1,$H776:$BE776,$H$4:$BE$4),12*Assumptions!$H$193+12)=AP$4,0,IF(AO776=1,PMT(Assumptions!$H$191,Assumptions!$H$193,$C778),AO789))),0)</f>
        <v>0</v>
      </c>
      <c r="AQ789" s="39">
        <f>+IFERROR(-ABS(IF(EDATE(_xlfn.XLOOKUP(1,$H776:$BE776,$H$4:$BE$4),12*Assumptions!$H$193+12)=AQ$4,0,IF(AP776=1,PMT(Assumptions!$H$191,Assumptions!$H$193,$C778),AP789))),0)</f>
        <v>0</v>
      </c>
      <c r="AR789" s="39">
        <f>+IFERROR(-ABS(IF(EDATE(_xlfn.XLOOKUP(1,$H776:$BE776,$H$4:$BE$4),12*Assumptions!$H$193+12)=AR$4,0,IF(AQ776=1,PMT(Assumptions!$H$191,Assumptions!$H$193,$C778),AQ789))),0)</f>
        <v>0</v>
      </c>
      <c r="AS789" s="39">
        <f>+IFERROR(-ABS(IF(EDATE(_xlfn.XLOOKUP(1,$H776:$BE776,$H$4:$BE$4),12*Assumptions!$H$193+12)=AS$4,0,IF(AR776=1,PMT(Assumptions!$H$191,Assumptions!$H$193,$C778),AR789))),0)</f>
        <v>0</v>
      </c>
      <c r="AT789" s="39">
        <f>+IFERROR(-ABS(IF(EDATE(_xlfn.XLOOKUP(1,$H776:$BE776,$H$4:$BE$4),12*Assumptions!$H$193+12)=AT$4,0,IF(AS776=1,PMT(Assumptions!$H$191,Assumptions!$H$193,$C778),AS789))),0)</f>
        <v>0</v>
      </c>
      <c r="AU789" s="39">
        <f>+IFERROR(-ABS(IF(EDATE(_xlfn.XLOOKUP(1,$H776:$BE776,$H$4:$BE$4),12*Assumptions!$H$193+12)=AU$4,0,IF(AT776=1,PMT(Assumptions!$H$191,Assumptions!$H$193,$C778),AT789))),0)</f>
        <v>0</v>
      </c>
      <c r="AV789" s="39">
        <f>+IFERROR(-ABS(IF(EDATE(_xlfn.XLOOKUP(1,$H776:$BE776,$H$4:$BE$4),12*Assumptions!$H$193+12)=AV$4,0,IF(AU776=1,PMT(Assumptions!$H$191,Assumptions!$H$193,$C778),AU789))),0)</f>
        <v>0</v>
      </c>
      <c r="AW789" s="39">
        <f>+IFERROR(-ABS(IF(EDATE(_xlfn.XLOOKUP(1,$H776:$BE776,$H$4:$BE$4),12*Assumptions!$H$193+12)=AW$4,0,IF(AV776=1,PMT(Assumptions!$H$191,Assumptions!$H$193,$C778),AV789))),0)</f>
        <v>0</v>
      </c>
      <c r="AX789" s="39">
        <f>+IFERROR(-ABS(IF(EDATE(_xlfn.XLOOKUP(1,$H776:$BE776,$H$4:$BE$4),12*Assumptions!$H$193+12)=AX$4,0,IF(AW776=1,PMT(Assumptions!$H$191,Assumptions!$H$193,$C778),AW789))),0)</f>
        <v>0</v>
      </c>
      <c r="AY789" s="39">
        <f>+IFERROR(-ABS(IF(EDATE(_xlfn.XLOOKUP(1,$H776:$BE776,$H$4:$BE$4),12*Assumptions!$H$193+12)=AY$4,0,IF(AX776=1,PMT(Assumptions!$H$191,Assumptions!$H$193,$C778),AX789))),0)</f>
        <v>0</v>
      </c>
      <c r="AZ789" s="39">
        <f>+IFERROR(-ABS(IF(EDATE(_xlfn.XLOOKUP(1,$H776:$BE776,$H$4:$BE$4),12*Assumptions!$H$193+12)=AZ$4,0,IF(AY776=1,PMT(Assumptions!$H$191,Assumptions!$H$193,$C778),AY789))),0)</f>
        <v>0</v>
      </c>
      <c r="BA789" s="39">
        <f>+IFERROR(-ABS(IF(EDATE(_xlfn.XLOOKUP(1,$H776:$BE776,$H$4:$BE$4),12*Assumptions!$H$193+12)=BA$4,0,IF(AZ776=1,PMT(Assumptions!$H$191,Assumptions!$H$193,$C778),AZ789))),0)</f>
        <v>0</v>
      </c>
      <c r="BB789" s="39">
        <f>+IFERROR(-ABS(IF(EDATE(_xlfn.XLOOKUP(1,$H776:$BE776,$H$4:$BE$4),12*Assumptions!$H$193+12)=BB$4,0,IF(BA776=1,PMT(Assumptions!$H$191,Assumptions!$H$193,$C778),BA789))),0)</f>
        <v>0</v>
      </c>
      <c r="BC789" s="39">
        <f>+IFERROR(-ABS(IF(EDATE(_xlfn.XLOOKUP(1,$H776:$BE776,$H$4:$BE$4),12*Assumptions!$H$193+12)=BC$4,0,IF(BB776=1,PMT(Assumptions!$H$191,Assumptions!$H$193,$C778),BB789))),0)</f>
        <v>0</v>
      </c>
      <c r="BD789" s="39">
        <f>+IFERROR(-ABS(IF(EDATE(_xlfn.XLOOKUP(1,$H776:$BE776,$H$4:$BE$4),12*Assumptions!$H$193+12)=BD$4,0,IF(BC776=1,PMT(Assumptions!$H$191,Assumptions!$H$193,$C778),BC789))),0)</f>
        <v>0</v>
      </c>
      <c r="BE789" s="39">
        <f>+IFERROR(-ABS(IF(EDATE(_xlfn.XLOOKUP(1,$H776:$BE776,$H$4:$BE$4),12*Assumptions!$H$193+12)=BE$4,0,IF(BD776=1,PMT(Assumptions!$H$191,Assumptions!$H$193,$C778),BD789))),0)</f>
        <v>0</v>
      </c>
      <c r="BF789" s="39">
        <f>+IFERROR(-ABS(IF(EDATE(_xlfn.XLOOKUP(1,$H776:$BE776,$H$4:$BE$4),12*Assumptions!$H$193+12)=BF$4,0,IF(BE776=1,PMT(Assumptions!$H$191,Assumptions!$H$193,$C778),BE789))),0)</f>
        <v>0</v>
      </c>
      <c r="BG789" s="39">
        <f>+IFERROR(-ABS(IF(EDATE(_xlfn.XLOOKUP(1,$H776:$BE776,$H$4:$BE$4),12*Assumptions!$H$193+12)=BG$4,0,IF(BF776=1,PMT(Assumptions!$H$191,Assumptions!$H$193,$C778),BF789))),0)</f>
        <v>0</v>
      </c>
      <c r="BH789" s="39">
        <f>+IFERROR(-ABS(IF(EDATE(_xlfn.XLOOKUP(1,$H776:$BE776,$H$4:$BE$4),12*Assumptions!$H$193+12)=BH$4,0,IF(BG776=1,PMT(Assumptions!$H$191,Assumptions!$H$193,$C778),BG789))),0)</f>
        <v>0</v>
      </c>
      <c r="BI789" s="39">
        <f>+IFERROR(-ABS(IF(EDATE(_xlfn.XLOOKUP(1,$H776:$BE776,$H$4:$BE$4),12*Assumptions!$H$193+12)=BI$4,0,IF(BH776=1,PMT(Assumptions!$H$191,Assumptions!$H$193,$C778),BH789))),0)</f>
        <v>0</v>
      </c>
      <c r="BJ789" s="39">
        <f>+IFERROR(-ABS(IF(EDATE(_xlfn.XLOOKUP(1,$H776:$BE776,$H$4:$BE$4),12*Assumptions!$H$193+12)=BJ$4,0,IF(BI776=1,PMT(Assumptions!$H$191,Assumptions!$H$193,$C778),BI789))),0)</f>
        <v>0</v>
      </c>
      <c r="BK789" s="39">
        <f>+IFERROR(-ABS(IF(EDATE(_xlfn.XLOOKUP(1,$H776:$BE776,$H$4:$BE$4),12*Assumptions!$H$193+12)=BK$4,0,IF(BJ776=1,PMT(Assumptions!$H$191,Assumptions!$H$193,$C778),BJ789))),0)</f>
        <v>0</v>
      </c>
      <c r="BL789" s="39">
        <f>+IFERROR(-ABS(IF(EDATE(_xlfn.XLOOKUP(1,$H776:$BE776,$H$4:$BE$4),12*Assumptions!$H$193+12)=BL$4,0,IF(BK776=1,PMT(Assumptions!$H$191,Assumptions!$H$193,$C778),BK789))),0)</f>
        <v>0</v>
      </c>
      <c r="BM789" s="39">
        <f>+IFERROR(-ABS(IF(EDATE(_xlfn.XLOOKUP(1,$H776:$BE776,$H$4:$BE$4),12*Assumptions!$H$193+12)=BM$4,0,IF(BL776=1,PMT(Assumptions!$H$191,Assumptions!$H$193,$C778),BL789))),0)</f>
        <v>0</v>
      </c>
      <c r="BN789" s="39">
        <f>+IFERROR(-ABS(IF(EDATE(_xlfn.XLOOKUP(1,$H776:$BE776,$H$4:$BE$4),12*Assumptions!$H$193+12)=BN$4,0,IF(BM776=1,PMT(Assumptions!$H$191,Assumptions!$H$193,$C778),BM789))),0)</f>
        <v>0</v>
      </c>
      <c r="BO789" s="39">
        <f>+IFERROR(-ABS(IF(EDATE(_xlfn.XLOOKUP(1,$H776:$BE776,$H$4:$BE$4),12*Assumptions!$H$193+12)=BO$4,0,IF(BN776=1,PMT(Assumptions!$H$191,Assumptions!$H$193,$C778),BN789))),0)</f>
        <v>0</v>
      </c>
      <c r="BP789" s="39">
        <f>+IFERROR(-ABS(IF(EDATE(_xlfn.XLOOKUP(1,$H776:$BE776,$H$4:$BE$4),12*Assumptions!$H$193+12)=BP$4,0,IF(BO776=1,PMT(Assumptions!$H$191,Assumptions!$H$193,$C778),BO789))),0)</f>
        <v>0</v>
      </c>
      <c r="BQ789" s="39">
        <f>+IFERROR(-ABS(IF(EDATE(_xlfn.XLOOKUP(1,$H776:$BE776,$H$4:$BE$4),12*Assumptions!$H$193+12)=BQ$4,0,IF(BP776=1,PMT(Assumptions!$H$191,Assumptions!$H$193,$C778),BP789))),0)</f>
        <v>0</v>
      </c>
      <c r="BR789" s="39">
        <f>+IFERROR(-ABS(IF(EDATE(_xlfn.XLOOKUP(1,$H776:$BE776,$H$4:$BE$4),12*Assumptions!$H$193+12)=BR$4,0,IF(BQ776=1,PMT(Assumptions!$H$191,Assumptions!$H$193,$C778),BQ789))),0)</f>
        <v>0</v>
      </c>
      <c r="BS789" s="39">
        <f>+IFERROR(-ABS(IF(EDATE(_xlfn.XLOOKUP(1,$H776:$BE776,$H$4:$BE$4),12*Assumptions!$H$193+12)=BS$4,0,IF(BR776=1,PMT(Assumptions!$H$191,Assumptions!$H$193,$C778),BR789))),0)</f>
        <v>0</v>
      </c>
      <c r="BT789" s="39">
        <f>+IFERROR(-ABS(IF(EDATE(_xlfn.XLOOKUP(1,$H776:$BE776,$H$4:$BE$4),12*Assumptions!$H$193+12)=BT$4,0,IF(BS776=1,PMT(Assumptions!$H$191,Assumptions!$H$193,$C778),BS789))),0)</f>
        <v>0</v>
      </c>
      <c r="BU789" s="39">
        <f>+IFERROR(-ABS(IF(EDATE(_xlfn.XLOOKUP(1,$H776:$BE776,$H$4:$BE$4),12*Assumptions!$H$193+12)=BU$4,0,IF(BT776=1,PMT(Assumptions!$H$191,Assumptions!$H$193,$C778),BT789))),0)</f>
        <v>0</v>
      </c>
      <c r="BV789" s="39">
        <f>+IFERROR(-ABS(IF(EDATE(_xlfn.XLOOKUP(1,$H776:$BE776,$H$4:$BE$4),12*Assumptions!$H$193+12)=BV$4,0,IF(BU776=1,PMT(Assumptions!$H$191,Assumptions!$H$193,$C778),BU789))),0)</f>
        <v>0</v>
      </c>
      <c r="BW789" s="39">
        <f>+IFERROR(-ABS(IF(EDATE(_xlfn.XLOOKUP(1,$H776:$BE776,$H$4:$BE$4),12*Assumptions!$H$193+12)=BW$4,0,IF(BV776=1,PMT(Assumptions!$H$191,Assumptions!$H$193,$C778),BV789))),0)</f>
        <v>0</v>
      </c>
      <c r="BX789" s="39">
        <f>+IFERROR(-ABS(IF(EDATE(_xlfn.XLOOKUP(1,$H776:$BE776,$H$4:$BE$4),12*Assumptions!$H$193+12)=BX$4,0,IF(BW776=1,PMT(Assumptions!$H$191,Assumptions!$H$193,$C778),BW789))),0)</f>
        <v>0</v>
      </c>
      <c r="BY789" s="39">
        <f>+IFERROR(-ABS(IF(EDATE(_xlfn.XLOOKUP(1,$H776:$BE776,$H$4:$BE$4),12*Assumptions!$H$193+12)=BY$4,0,IF(BX776=1,PMT(Assumptions!$H$191,Assumptions!$H$193,$C778),BX789))),0)</f>
        <v>0</v>
      </c>
    </row>
    <row r="790" spans="3:77" outlineLevel="1">
      <c r="E790" s="24" t="s">
        <v>523</v>
      </c>
      <c r="F790" s="80" t="str">
        <f>+Assumptions!$G$8</f>
        <v>USD</v>
      </c>
      <c r="G790" s="24"/>
      <c r="H790" s="39">
        <f>+IFERROR(-ABS(IF(EDATE(_xlfn.XLOOKUP(1,$H777:$BE777,$H$4:$BE$4),12*Assumptions!$H$193+12)=H$4,0,IF(G777=1,PMT(Assumptions!$H$191,Assumptions!$H$193,$C779),G790))),0)</f>
        <v>0</v>
      </c>
      <c r="I790" s="39">
        <f>+IFERROR(-ABS(IF(EDATE(_xlfn.XLOOKUP(1,$H777:$BE777,$H$4:$BE$4),12*Assumptions!$H$193+12)=I$4,0,IF(H777=1,PMT(Assumptions!$H$191,Assumptions!$H$193,$C779),H790))),0)</f>
        <v>0</v>
      </c>
      <c r="J790" s="39">
        <f>+IFERROR(-ABS(IF(EDATE(_xlfn.XLOOKUP(1,$H777:$BE777,$H$4:$BE$4),12*Assumptions!$H$193+12)=J$4,0,IF(I777=1,PMT(Assumptions!$H$191,Assumptions!$H$193,$C779),I790))),0)</f>
        <v>0</v>
      </c>
      <c r="K790" s="39">
        <f>+IFERROR(-ABS(IF(EDATE(_xlfn.XLOOKUP(1,$H777:$BE777,$H$4:$BE$4),12*Assumptions!$H$193+12)=K$4,0,IF(J777=1,PMT(Assumptions!$H$191,Assumptions!$H$193,$C779),J790))),0)</f>
        <v>0</v>
      </c>
      <c r="L790" s="39">
        <f>+IFERROR(-ABS(IF(EDATE(_xlfn.XLOOKUP(1,$H777:$BE777,$H$4:$BE$4),12*Assumptions!$H$193+12)=L$4,0,IF(K777=1,PMT(Assumptions!$H$191,Assumptions!$H$193,$C779),K790))),0)</f>
        <v>0</v>
      </c>
      <c r="M790" s="39">
        <f>+IFERROR(-ABS(IF(EDATE(_xlfn.XLOOKUP(1,$H777:$BE777,$H$4:$BE$4),12*Assumptions!$H$193+12)=M$4,0,IF(L777=1,PMT(Assumptions!$H$191,Assumptions!$H$193,$C779),L790))),0)</f>
        <v>0</v>
      </c>
      <c r="N790" s="39">
        <f>+IFERROR(-ABS(IF(EDATE(_xlfn.XLOOKUP(1,$H777:$BE777,$H$4:$BE$4),12*Assumptions!$H$193+12)=N$4,0,IF(M777=1,PMT(Assumptions!$H$191,Assumptions!$H$193,$C779),M790))),0)</f>
        <v>0</v>
      </c>
      <c r="O790" s="39">
        <f>+IFERROR(-ABS(IF(EDATE(_xlfn.XLOOKUP(1,$H777:$BE777,$H$4:$BE$4),12*Assumptions!$H$193+12)=O$4,0,IF(N777=1,PMT(Assumptions!$H$191,Assumptions!$H$193,$C779),N790))),0)</f>
        <v>0</v>
      </c>
      <c r="P790" s="39">
        <f>+IFERROR(-ABS(IF(EDATE(_xlfn.XLOOKUP(1,$H777:$BE777,$H$4:$BE$4),12*Assumptions!$H$193+12)=P$4,0,IF(O777=1,PMT(Assumptions!$H$191,Assumptions!$H$193,$C779),O790))),0)</f>
        <v>0</v>
      </c>
      <c r="Q790" s="39">
        <f>+IFERROR(-ABS(IF(EDATE(_xlfn.XLOOKUP(1,$H777:$BE777,$H$4:$BE$4),12*Assumptions!$H$193+12)=Q$4,0,IF(P777=1,PMT(Assumptions!$H$191,Assumptions!$H$193,$C779),P790))),0)</f>
        <v>0</v>
      </c>
      <c r="R790" s="39">
        <f>+IFERROR(-ABS(IF(EDATE(_xlfn.XLOOKUP(1,$H777:$BE777,$H$4:$BE$4),12*Assumptions!$H$193+12)=R$4,0,IF(Q777=1,PMT(Assumptions!$H$191,Assumptions!$H$193,$C779),Q790))),0)</f>
        <v>0</v>
      </c>
      <c r="S790" s="39">
        <f>+IFERROR(-ABS(IF(EDATE(_xlfn.XLOOKUP(1,$H777:$BE777,$H$4:$BE$4),12*Assumptions!$H$193+12)=S$4,0,IF(R777=1,PMT(Assumptions!$H$191,Assumptions!$H$193,$C779),R790))),0)</f>
        <v>0</v>
      </c>
      <c r="T790" s="39">
        <f>+IFERROR(-ABS(IF(EDATE(_xlfn.XLOOKUP(1,$H777:$BE777,$H$4:$BE$4),12*Assumptions!$H$193+12)=T$4,0,IF(S777=1,PMT(Assumptions!$H$191,Assumptions!$H$193,$C779),S790))),0)</f>
        <v>0</v>
      </c>
      <c r="U790" s="39">
        <f>+IFERROR(-ABS(IF(EDATE(_xlfn.XLOOKUP(1,$H777:$BE777,$H$4:$BE$4),12*Assumptions!$H$193+12)=U$4,0,IF(T777=1,PMT(Assumptions!$H$191,Assumptions!$H$193,$C779),T790))),0)</f>
        <v>0</v>
      </c>
      <c r="V790" s="39">
        <f>+IFERROR(-ABS(IF(EDATE(_xlfn.XLOOKUP(1,$H777:$BE777,$H$4:$BE$4),12*Assumptions!$H$193+12)=V$4,0,IF(U777=1,PMT(Assumptions!$H$191,Assumptions!$H$193,$C779),U790))),0)</f>
        <v>0</v>
      </c>
      <c r="W790" s="39">
        <f>+IFERROR(-ABS(IF(EDATE(_xlfn.XLOOKUP(1,$H777:$BE777,$H$4:$BE$4),12*Assumptions!$H$193+12)=W$4,0,IF(V777=1,PMT(Assumptions!$H$191,Assumptions!$H$193,$C779),V790))),0)</f>
        <v>0</v>
      </c>
      <c r="X790" s="39">
        <f>+IFERROR(-ABS(IF(EDATE(_xlfn.XLOOKUP(1,$H777:$BE777,$H$4:$BE$4),12*Assumptions!$H$193+12)=X$4,0,IF(W777=1,PMT(Assumptions!$H$191,Assumptions!$H$193,$C779),W790))),0)</f>
        <v>0</v>
      </c>
      <c r="Y790" s="39">
        <f>+IFERROR(-ABS(IF(EDATE(_xlfn.XLOOKUP(1,$H777:$BE777,$H$4:$BE$4),12*Assumptions!$H$193+12)=Y$4,0,IF(X777=1,PMT(Assumptions!$H$191,Assumptions!$H$193,$C779),X790))),0)</f>
        <v>0</v>
      </c>
      <c r="Z790" s="39">
        <f>+IFERROR(-ABS(IF(EDATE(_xlfn.XLOOKUP(1,$H777:$BE777,$H$4:$BE$4),12*Assumptions!$H$193+12)=Z$4,0,IF(Y777=1,PMT(Assumptions!$H$191,Assumptions!$H$193,$C779),Y790))),0)</f>
        <v>0</v>
      </c>
      <c r="AA790" s="39">
        <f>+IFERROR(-ABS(IF(EDATE(_xlfn.XLOOKUP(1,$H777:$BE777,$H$4:$BE$4),12*Assumptions!$H$193+12)=AA$4,0,IF(Z777=1,PMT(Assumptions!$H$191,Assumptions!$H$193,$C779),Z790))),0)</f>
        <v>0</v>
      </c>
      <c r="AB790" s="39">
        <f>+IFERROR(-ABS(IF(EDATE(_xlfn.XLOOKUP(1,$H777:$BE777,$H$4:$BE$4),12*Assumptions!$H$193+12)=AB$4,0,IF(AA777=1,PMT(Assumptions!$H$191,Assumptions!$H$193,$C779),AA790))),0)</f>
        <v>0</v>
      </c>
      <c r="AC790" s="39">
        <f>+IFERROR(-ABS(IF(EDATE(_xlfn.XLOOKUP(1,$H777:$BE777,$H$4:$BE$4),12*Assumptions!$H$193+12)=AC$4,0,IF(AB777=1,PMT(Assumptions!$H$191,Assumptions!$H$193,$C779),AB790))),0)</f>
        <v>0</v>
      </c>
      <c r="AD790" s="39">
        <f>+IFERROR(-ABS(IF(EDATE(_xlfn.XLOOKUP(1,$H777:$BE777,$H$4:$BE$4),12*Assumptions!$H$193+12)=AD$4,0,IF(AC777=1,PMT(Assumptions!$H$191,Assumptions!$H$193,$C779),AC790))),0)</f>
        <v>0</v>
      </c>
      <c r="AE790" s="39">
        <f>+IFERROR(-ABS(IF(EDATE(_xlfn.XLOOKUP(1,$H777:$BE777,$H$4:$BE$4),12*Assumptions!$H$193+12)=AE$4,0,IF(AD777=1,PMT(Assumptions!$H$191,Assumptions!$H$193,$C779),AD790))),0)</f>
        <v>0</v>
      </c>
      <c r="AF790" s="39">
        <f>+IFERROR(-ABS(IF(EDATE(_xlfn.XLOOKUP(1,$H777:$BE777,$H$4:$BE$4),12*Assumptions!$H$193+12)=AF$4,0,IF(AE777=1,PMT(Assumptions!$H$191,Assumptions!$H$193,$C779),AE790))),0)</f>
        <v>0</v>
      </c>
      <c r="AG790" s="39">
        <f>+IFERROR(-ABS(IF(EDATE(_xlfn.XLOOKUP(1,$H777:$BE777,$H$4:$BE$4),12*Assumptions!$H$193+12)=AG$4,0,IF(AF777=1,PMT(Assumptions!$H$191,Assumptions!$H$193,$C779),AF790))),0)</f>
        <v>0</v>
      </c>
      <c r="AH790" s="39">
        <f>+IFERROR(-ABS(IF(EDATE(_xlfn.XLOOKUP(1,$H777:$BE777,$H$4:$BE$4),12*Assumptions!$H$193+12)=AH$4,0,IF(AG777=1,PMT(Assumptions!$H$191,Assumptions!$H$193,$C779),AG790))),0)</f>
        <v>0</v>
      </c>
      <c r="AI790" s="39">
        <f>+IFERROR(-ABS(IF(EDATE(_xlfn.XLOOKUP(1,$H777:$BE777,$H$4:$BE$4),12*Assumptions!$H$193+12)=AI$4,0,IF(AH777=1,PMT(Assumptions!$H$191,Assumptions!$H$193,$C779),AH790))),0)</f>
        <v>0</v>
      </c>
      <c r="AJ790" s="39">
        <f>+IFERROR(-ABS(IF(EDATE(_xlfn.XLOOKUP(1,$H777:$BE777,$H$4:$BE$4),12*Assumptions!$H$193+12)=AJ$4,0,IF(AI777=1,PMT(Assumptions!$H$191,Assumptions!$H$193,$C779),AI790))),0)</f>
        <v>0</v>
      </c>
      <c r="AK790" s="39">
        <f>+IFERROR(-ABS(IF(EDATE(_xlfn.XLOOKUP(1,$H777:$BE777,$H$4:$BE$4),12*Assumptions!$H$193+12)=AK$4,0,IF(AJ777=1,PMT(Assumptions!$H$191,Assumptions!$H$193,$C779),AJ790))),0)</f>
        <v>0</v>
      </c>
      <c r="AL790" s="39">
        <f>+IFERROR(-ABS(IF(EDATE(_xlfn.XLOOKUP(1,$H777:$BE777,$H$4:$BE$4),12*Assumptions!$H$193+12)=AL$4,0,IF(AK777=1,PMT(Assumptions!$H$191,Assumptions!$H$193,$C779),AK790))),0)</f>
        <v>0</v>
      </c>
      <c r="AM790" s="39">
        <f>+IFERROR(-ABS(IF(EDATE(_xlfn.XLOOKUP(1,$H777:$BE777,$H$4:$BE$4),12*Assumptions!$H$193+12)=AM$4,0,IF(AL777=1,PMT(Assumptions!$H$191,Assumptions!$H$193,$C779),AL790))),0)</f>
        <v>0</v>
      </c>
      <c r="AN790" s="39">
        <f>+IFERROR(-ABS(IF(EDATE(_xlfn.XLOOKUP(1,$H777:$BE777,$H$4:$BE$4),12*Assumptions!$H$193+12)=AN$4,0,IF(AM777=1,PMT(Assumptions!$H$191,Assumptions!$H$193,$C779),AM790))),0)</f>
        <v>0</v>
      </c>
      <c r="AO790" s="39">
        <f>+IFERROR(-ABS(IF(EDATE(_xlfn.XLOOKUP(1,$H777:$BE777,$H$4:$BE$4),12*Assumptions!$H$193+12)=AO$4,0,IF(AN777=1,PMT(Assumptions!$H$191,Assumptions!$H$193,$C779),AN790))),0)</f>
        <v>0</v>
      </c>
      <c r="AP790" s="39">
        <f>+IFERROR(-ABS(IF(EDATE(_xlfn.XLOOKUP(1,$H777:$BE777,$H$4:$BE$4),12*Assumptions!$H$193+12)=AP$4,0,IF(AO777=1,PMT(Assumptions!$H$191,Assumptions!$H$193,$C779),AO790))),0)</f>
        <v>0</v>
      </c>
      <c r="AQ790" s="39">
        <f>+IFERROR(-ABS(IF(EDATE(_xlfn.XLOOKUP(1,$H777:$BE777,$H$4:$BE$4),12*Assumptions!$H$193+12)=AQ$4,0,IF(AP777=1,PMT(Assumptions!$H$191,Assumptions!$H$193,$C779),AP790))),0)</f>
        <v>0</v>
      </c>
      <c r="AR790" s="39">
        <f>+IFERROR(-ABS(IF(EDATE(_xlfn.XLOOKUP(1,$H777:$BE777,$H$4:$BE$4),12*Assumptions!$H$193+12)=AR$4,0,IF(AQ777=1,PMT(Assumptions!$H$191,Assumptions!$H$193,$C779),AQ790))),0)</f>
        <v>0</v>
      </c>
      <c r="AS790" s="39">
        <f>+IFERROR(-ABS(IF(EDATE(_xlfn.XLOOKUP(1,$H777:$BE777,$H$4:$BE$4),12*Assumptions!$H$193+12)=AS$4,0,IF(AR777=1,PMT(Assumptions!$H$191,Assumptions!$H$193,$C779),AR790))),0)</f>
        <v>0</v>
      </c>
      <c r="AT790" s="39">
        <f>+IFERROR(-ABS(IF(EDATE(_xlfn.XLOOKUP(1,$H777:$BE777,$H$4:$BE$4),12*Assumptions!$H$193+12)=AT$4,0,IF(AS777=1,PMT(Assumptions!$H$191,Assumptions!$H$193,$C779),AS790))),0)</f>
        <v>0</v>
      </c>
      <c r="AU790" s="39">
        <f>+IFERROR(-ABS(IF(EDATE(_xlfn.XLOOKUP(1,$H777:$BE777,$H$4:$BE$4),12*Assumptions!$H$193+12)=AU$4,0,IF(AT777=1,PMT(Assumptions!$H$191,Assumptions!$H$193,$C779),AT790))),0)</f>
        <v>0</v>
      </c>
      <c r="AV790" s="39">
        <f>+IFERROR(-ABS(IF(EDATE(_xlfn.XLOOKUP(1,$H777:$BE777,$H$4:$BE$4),12*Assumptions!$H$193+12)=AV$4,0,IF(AU777=1,PMT(Assumptions!$H$191,Assumptions!$H$193,$C779),AU790))),0)</f>
        <v>0</v>
      </c>
      <c r="AW790" s="39">
        <f>+IFERROR(-ABS(IF(EDATE(_xlfn.XLOOKUP(1,$H777:$BE777,$H$4:$BE$4),12*Assumptions!$H$193+12)=AW$4,0,IF(AV777=1,PMT(Assumptions!$H$191,Assumptions!$H$193,$C779),AV790))),0)</f>
        <v>0</v>
      </c>
      <c r="AX790" s="39">
        <f>+IFERROR(-ABS(IF(EDATE(_xlfn.XLOOKUP(1,$H777:$BE777,$H$4:$BE$4),12*Assumptions!$H$193+12)=AX$4,0,IF(AW777=1,PMT(Assumptions!$H$191,Assumptions!$H$193,$C779),AW790))),0)</f>
        <v>0</v>
      </c>
      <c r="AY790" s="39">
        <f>+IFERROR(-ABS(IF(EDATE(_xlfn.XLOOKUP(1,$H777:$BE777,$H$4:$BE$4),12*Assumptions!$H$193+12)=AY$4,0,IF(AX777=1,PMT(Assumptions!$H$191,Assumptions!$H$193,$C779),AX790))),0)</f>
        <v>0</v>
      </c>
      <c r="AZ790" s="39">
        <f>+IFERROR(-ABS(IF(EDATE(_xlfn.XLOOKUP(1,$H777:$BE777,$H$4:$BE$4),12*Assumptions!$H$193+12)=AZ$4,0,IF(AY777=1,PMT(Assumptions!$H$191,Assumptions!$H$193,$C779),AY790))),0)</f>
        <v>0</v>
      </c>
      <c r="BA790" s="39">
        <f>+IFERROR(-ABS(IF(EDATE(_xlfn.XLOOKUP(1,$H777:$BE777,$H$4:$BE$4),12*Assumptions!$H$193+12)=BA$4,0,IF(AZ777=1,PMT(Assumptions!$H$191,Assumptions!$H$193,$C779),AZ790))),0)</f>
        <v>0</v>
      </c>
      <c r="BB790" s="39">
        <f>+IFERROR(-ABS(IF(EDATE(_xlfn.XLOOKUP(1,$H777:$BE777,$H$4:$BE$4),12*Assumptions!$H$193+12)=BB$4,0,IF(BA777=1,PMT(Assumptions!$H$191,Assumptions!$H$193,$C779),BA790))),0)</f>
        <v>0</v>
      </c>
      <c r="BC790" s="39">
        <f>+IFERROR(-ABS(IF(EDATE(_xlfn.XLOOKUP(1,$H777:$BE777,$H$4:$BE$4),12*Assumptions!$H$193+12)=BC$4,0,IF(BB777=1,PMT(Assumptions!$H$191,Assumptions!$H$193,$C779),BB790))),0)</f>
        <v>0</v>
      </c>
      <c r="BD790" s="39">
        <f>+IFERROR(-ABS(IF(EDATE(_xlfn.XLOOKUP(1,$H777:$BE777,$H$4:$BE$4),12*Assumptions!$H$193+12)=BD$4,0,IF(BC777=1,PMT(Assumptions!$H$191,Assumptions!$H$193,$C779),BC790))),0)</f>
        <v>0</v>
      </c>
      <c r="BE790" s="39">
        <f>+IFERROR(-ABS(IF(EDATE(_xlfn.XLOOKUP(1,$H777:$BE777,$H$4:$BE$4),12*Assumptions!$H$193+12)=BE$4,0,IF(BD777=1,PMT(Assumptions!$H$191,Assumptions!$H$193,$C779),BD790))),0)</f>
        <v>0</v>
      </c>
      <c r="BF790" s="39">
        <f>+IFERROR(-ABS(IF(EDATE(_xlfn.XLOOKUP(1,$H777:$BE777,$H$4:$BE$4),12*Assumptions!$H$193+12)=BF$4,0,IF(BE777=1,PMT(Assumptions!$H$191,Assumptions!$H$193,$C779),BE790))),0)</f>
        <v>0</v>
      </c>
      <c r="BG790" s="39">
        <f>+IFERROR(-ABS(IF(EDATE(_xlfn.XLOOKUP(1,$H777:$BE777,$H$4:$BE$4),12*Assumptions!$H$193+12)=BG$4,0,IF(BF777=1,PMT(Assumptions!$H$191,Assumptions!$H$193,$C779),BF790))),0)</f>
        <v>0</v>
      </c>
      <c r="BH790" s="39">
        <f>+IFERROR(-ABS(IF(EDATE(_xlfn.XLOOKUP(1,$H777:$BE777,$H$4:$BE$4),12*Assumptions!$H$193+12)=BH$4,0,IF(BG777=1,PMT(Assumptions!$H$191,Assumptions!$H$193,$C779),BG790))),0)</f>
        <v>0</v>
      </c>
      <c r="BI790" s="39">
        <f>+IFERROR(-ABS(IF(EDATE(_xlfn.XLOOKUP(1,$H777:$BE777,$H$4:$BE$4),12*Assumptions!$H$193+12)=BI$4,0,IF(BH777=1,PMT(Assumptions!$H$191,Assumptions!$H$193,$C779),BH790))),0)</f>
        <v>0</v>
      </c>
      <c r="BJ790" s="39">
        <f>+IFERROR(-ABS(IF(EDATE(_xlfn.XLOOKUP(1,$H777:$BE777,$H$4:$BE$4),12*Assumptions!$H$193+12)=BJ$4,0,IF(BI777=1,PMT(Assumptions!$H$191,Assumptions!$H$193,$C779),BI790))),0)</f>
        <v>0</v>
      </c>
      <c r="BK790" s="39">
        <f>+IFERROR(-ABS(IF(EDATE(_xlfn.XLOOKUP(1,$H777:$BE777,$H$4:$BE$4),12*Assumptions!$H$193+12)=BK$4,0,IF(BJ777=1,PMT(Assumptions!$H$191,Assumptions!$H$193,$C779),BJ790))),0)</f>
        <v>0</v>
      </c>
      <c r="BL790" s="39">
        <f>+IFERROR(-ABS(IF(EDATE(_xlfn.XLOOKUP(1,$H777:$BE777,$H$4:$BE$4),12*Assumptions!$H$193+12)=BL$4,0,IF(BK777=1,PMT(Assumptions!$H$191,Assumptions!$H$193,$C779),BK790))),0)</f>
        <v>0</v>
      </c>
      <c r="BM790" s="39">
        <f>+IFERROR(-ABS(IF(EDATE(_xlfn.XLOOKUP(1,$H777:$BE777,$H$4:$BE$4),12*Assumptions!$H$193+12)=BM$4,0,IF(BL777=1,PMT(Assumptions!$H$191,Assumptions!$H$193,$C779),BL790))),0)</f>
        <v>0</v>
      </c>
      <c r="BN790" s="39">
        <f>+IFERROR(-ABS(IF(EDATE(_xlfn.XLOOKUP(1,$H777:$BE777,$H$4:$BE$4),12*Assumptions!$H$193+12)=BN$4,0,IF(BM777=1,PMT(Assumptions!$H$191,Assumptions!$H$193,$C779),BM790))),0)</f>
        <v>0</v>
      </c>
      <c r="BO790" s="39">
        <f>+IFERROR(-ABS(IF(EDATE(_xlfn.XLOOKUP(1,$H777:$BE777,$H$4:$BE$4),12*Assumptions!$H$193+12)=BO$4,0,IF(BN777=1,PMT(Assumptions!$H$191,Assumptions!$H$193,$C779),BN790))),0)</f>
        <v>0</v>
      </c>
      <c r="BP790" s="39">
        <f>+IFERROR(-ABS(IF(EDATE(_xlfn.XLOOKUP(1,$H777:$BE777,$H$4:$BE$4),12*Assumptions!$H$193+12)=BP$4,0,IF(BO777=1,PMT(Assumptions!$H$191,Assumptions!$H$193,$C779),BO790))),0)</f>
        <v>0</v>
      </c>
      <c r="BQ790" s="39">
        <f>+IFERROR(-ABS(IF(EDATE(_xlfn.XLOOKUP(1,$H777:$BE777,$H$4:$BE$4),12*Assumptions!$H$193+12)=BQ$4,0,IF(BP777=1,PMT(Assumptions!$H$191,Assumptions!$H$193,$C779),BP790))),0)</f>
        <v>0</v>
      </c>
      <c r="BR790" s="39">
        <f>+IFERROR(-ABS(IF(EDATE(_xlfn.XLOOKUP(1,$H777:$BE777,$H$4:$BE$4),12*Assumptions!$H$193+12)=BR$4,0,IF(BQ777=1,PMT(Assumptions!$H$191,Assumptions!$H$193,$C779),BQ790))),0)</f>
        <v>0</v>
      </c>
      <c r="BS790" s="39">
        <f>+IFERROR(-ABS(IF(EDATE(_xlfn.XLOOKUP(1,$H777:$BE777,$H$4:$BE$4),12*Assumptions!$H$193+12)=BS$4,0,IF(BR777=1,PMT(Assumptions!$H$191,Assumptions!$H$193,$C779),BR790))),0)</f>
        <v>0</v>
      </c>
      <c r="BT790" s="39">
        <f>+IFERROR(-ABS(IF(EDATE(_xlfn.XLOOKUP(1,$H777:$BE777,$H$4:$BE$4),12*Assumptions!$H$193+12)=BT$4,0,IF(BS777=1,PMT(Assumptions!$H$191,Assumptions!$H$193,$C779),BS790))),0)</f>
        <v>0</v>
      </c>
      <c r="BU790" s="39">
        <f>+IFERROR(-ABS(IF(EDATE(_xlfn.XLOOKUP(1,$H777:$BE777,$H$4:$BE$4),12*Assumptions!$H$193+12)=BU$4,0,IF(BT777=1,PMT(Assumptions!$H$191,Assumptions!$H$193,$C779),BT790))),0)</f>
        <v>0</v>
      </c>
      <c r="BV790" s="39">
        <f>+IFERROR(-ABS(IF(EDATE(_xlfn.XLOOKUP(1,$H777:$BE777,$H$4:$BE$4),12*Assumptions!$H$193+12)=BV$4,0,IF(BU777=1,PMT(Assumptions!$H$191,Assumptions!$H$193,$C779),BU790))),0)</f>
        <v>0</v>
      </c>
      <c r="BW790" s="39">
        <f>+IFERROR(-ABS(IF(EDATE(_xlfn.XLOOKUP(1,$H777:$BE777,$H$4:$BE$4),12*Assumptions!$H$193+12)=BW$4,0,IF(BV777=1,PMT(Assumptions!$H$191,Assumptions!$H$193,$C779),BV790))),0)</f>
        <v>0</v>
      </c>
      <c r="BX790" s="39">
        <f>+IFERROR(-ABS(IF(EDATE(_xlfn.XLOOKUP(1,$H777:$BE777,$H$4:$BE$4),12*Assumptions!$H$193+12)=BX$4,0,IF(BW777=1,PMT(Assumptions!$H$191,Assumptions!$H$193,$C779),BW790))),0)</f>
        <v>0</v>
      </c>
      <c r="BY790" s="39">
        <f>+IFERROR(-ABS(IF(EDATE(_xlfn.XLOOKUP(1,$H777:$BE777,$H$4:$BE$4),12*Assumptions!$H$193+12)=BY$4,0,IF(BX777=1,PMT(Assumptions!$H$191,Assumptions!$H$193,$C779),BX790))),0)</f>
        <v>0</v>
      </c>
    </row>
    <row r="791" spans="3:77" outlineLevel="1">
      <c r="E791" s="24"/>
      <c r="F791" s="23"/>
      <c r="G791" s="24"/>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39"/>
      <c r="BY791" s="39"/>
    </row>
    <row r="792" spans="3:77" outlineLevel="1">
      <c r="E792" t="s">
        <v>524</v>
      </c>
      <c r="F792" s="80" t="str">
        <f>+Assumptions!$G$8</f>
        <v>USD</v>
      </c>
      <c r="H792" s="32">
        <f>MIN(+H764-H780+H778,0)</f>
        <v>0</v>
      </c>
      <c r="I792" s="32">
        <f t="shared" ref="I792:BT792" si="1615">MIN(+I764-I780+I778,0)</f>
        <v>-168413.59193947204</v>
      </c>
      <c r="J792" s="32">
        <f t="shared" ca="1" si="1615"/>
        <v>-597027.59509537858</v>
      </c>
      <c r="K792" s="32">
        <f t="shared" ca="1" si="1615"/>
        <v>-570116.37670145184</v>
      </c>
      <c r="L792" s="32">
        <f t="shared" ca="1" si="1615"/>
        <v>-541660.72348389763</v>
      </c>
      <c r="M792" s="32">
        <f t="shared" ca="1" si="1615"/>
        <v>-511572.00032818801</v>
      </c>
      <c r="N792" s="32">
        <f t="shared" ca="1" si="1615"/>
        <v>-479756.48535057221</v>
      </c>
      <c r="O792" s="32">
        <f t="shared" ca="1" si="1615"/>
        <v>-446115.07796839107</v>
      </c>
      <c r="P792" s="32">
        <f t="shared" ca="1" si="1615"/>
        <v>-410542.99021654652</v>
      </c>
      <c r="Q792" s="32">
        <f t="shared" ca="1" si="1615"/>
        <v>-372929.42034862359</v>
      </c>
      <c r="R792" s="32">
        <f t="shared" ca="1" si="1615"/>
        <v>-333157.20770598057</v>
      </c>
      <c r="S792" s="32">
        <f t="shared" ca="1" si="1615"/>
        <v>-291102.46777977631</v>
      </c>
      <c r="T792" s="32">
        <f t="shared" ca="1" si="1615"/>
        <v>-246634.20632920717</v>
      </c>
      <c r="U792" s="32">
        <f t="shared" ca="1" si="1615"/>
        <v>-199613.91135398985</v>
      </c>
      <c r="V792" s="32">
        <f t="shared" ca="1" si="1615"/>
        <v>-149895.12165014481</v>
      </c>
      <c r="W792" s="32">
        <f t="shared" ca="1" si="1615"/>
        <v>-97322.970605196111</v>
      </c>
      <c r="X792" s="32">
        <f t="shared" ca="1" si="1615"/>
        <v>-41733.703811777807</v>
      </c>
      <c r="Y792" s="32">
        <f t="shared" ca="1" si="1615"/>
        <v>-7.2759576141834259E-12</v>
      </c>
      <c r="Z792" s="32">
        <f t="shared" ca="1" si="1615"/>
        <v>-7.2759576141834259E-12</v>
      </c>
      <c r="AA792" s="32">
        <f t="shared" ca="1" si="1615"/>
        <v>-7.2759576141834259E-12</v>
      </c>
      <c r="AB792" s="32">
        <f t="shared" ca="1" si="1615"/>
        <v>-7.2759576141834259E-12</v>
      </c>
      <c r="AC792" s="32">
        <f t="shared" ca="1" si="1615"/>
        <v>-7.2759576141834259E-12</v>
      </c>
      <c r="AD792" s="32">
        <f t="shared" ca="1" si="1615"/>
        <v>-7.2759576141834259E-12</v>
      </c>
      <c r="AE792" s="32">
        <f t="shared" ca="1" si="1615"/>
        <v>-7.2759576141834259E-12</v>
      </c>
      <c r="AF792" s="32">
        <f t="shared" ca="1" si="1615"/>
        <v>-7.2759576141834259E-12</v>
      </c>
      <c r="AG792" s="32">
        <f t="shared" ca="1" si="1615"/>
        <v>-7.2759576141834259E-12</v>
      </c>
      <c r="AH792" s="32">
        <f t="shared" ca="1" si="1615"/>
        <v>-7.2759576141834259E-12</v>
      </c>
      <c r="AI792" s="32">
        <f t="shared" ca="1" si="1615"/>
        <v>-7.2759576141834259E-12</v>
      </c>
      <c r="AJ792" s="32">
        <f t="shared" ca="1" si="1615"/>
        <v>-7.2759576141834259E-12</v>
      </c>
      <c r="AK792" s="32">
        <f t="shared" ca="1" si="1615"/>
        <v>-7.2759576141834259E-12</v>
      </c>
      <c r="AL792" s="32">
        <f t="shared" ca="1" si="1615"/>
        <v>-7.2759576141834259E-12</v>
      </c>
      <c r="AM792" s="32">
        <f t="shared" ca="1" si="1615"/>
        <v>-7.2759576141834259E-12</v>
      </c>
      <c r="AN792" s="32">
        <f t="shared" ca="1" si="1615"/>
        <v>-7.2759576141834259E-12</v>
      </c>
      <c r="AO792" s="32">
        <f t="shared" ca="1" si="1615"/>
        <v>-7.2759576141834259E-12</v>
      </c>
      <c r="AP792" s="32">
        <f t="shared" ca="1" si="1615"/>
        <v>-7.2759576141834259E-12</v>
      </c>
      <c r="AQ792" s="32">
        <f t="shared" ca="1" si="1615"/>
        <v>-7.2759576141834259E-12</v>
      </c>
      <c r="AR792" s="32">
        <f t="shared" ca="1" si="1615"/>
        <v>-7.2759576141834259E-12</v>
      </c>
      <c r="AS792" s="32">
        <f t="shared" ca="1" si="1615"/>
        <v>-7.2759576141834259E-12</v>
      </c>
      <c r="AT792" s="32">
        <f t="shared" ca="1" si="1615"/>
        <v>-7.2759576141834259E-12</v>
      </c>
      <c r="AU792" s="32">
        <f t="shared" ca="1" si="1615"/>
        <v>-7.2759576141834259E-12</v>
      </c>
      <c r="AV792" s="32">
        <f t="shared" ca="1" si="1615"/>
        <v>-7.2759576141834259E-12</v>
      </c>
      <c r="AW792" s="32">
        <f t="shared" ca="1" si="1615"/>
        <v>-7.2759576141834259E-12</v>
      </c>
      <c r="AX792" s="32">
        <f t="shared" ca="1" si="1615"/>
        <v>-7.2759576141834259E-12</v>
      </c>
      <c r="AY792" s="32">
        <f t="shared" ca="1" si="1615"/>
        <v>-7.2759576141834259E-12</v>
      </c>
      <c r="AZ792" s="32">
        <f t="shared" ca="1" si="1615"/>
        <v>-7.2759576141834259E-12</v>
      </c>
      <c r="BA792" s="32">
        <f t="shared" ca="1" si="1615"/>
        <v>-7.2759576141834259E-12</v>
      </c>
      <c r="BB792" s="32">
        <f t="shared" ca="1" si="1615"/>
        <v>-7.2759576141834259E-12</v>
      </c>
      <c r="BC792" s="32">
        <f t="shared" ca="1" si="1615"/>
        <v>-7.2759576141834259E-12</v>
      </c>
      <c r="BD792" s="32">
        <f t="shared" ca="1" si="1615"/>
        <v>-7.2759576141834259E-12</v>
      </c>
      <c r="BE792" s="32">
        <f t="shared" ca="1" si="1615"/>
        <v>-7.2759576141834259E-12</v>
      </c>
      <c r="BF792" s="32">
        <f t="shared" ca="1" si="1615"/>
        <v>-7.2759576141834259E-12</v>
      </c>
      <c r="BG792" s="32">
        <f t="shared" ca="1" si="1615"/>
        <v>-7.2759576141834259E-12</v>
      </c>
      <c r="BH792" s="32">
        <f t="shared" ca="1" si="1615"/>
        <v>-7.2759576141834259E-12</v>
      </c>
      <c r="BI792" s="32">
        <f t="shared" ca="1" si="1615"/>
        <v>-7.2759576141834259E-12</v>
      </c>
      <c r="BJ792" s="32">
        <f t="shared" ca="1" si="1615"/>
        <v>-7.2759576141834259E-12</v>
      </c>
      <c r="BK792" s="32">
        <f t="shared" ca="1" si="1615"/>
        <v>-7.2759576141834259E-12</v>
      </c>
      <c r="BL792" s="32">
        <f t="shared" ca="1" si="1615"/>
        <v>-7.2759576141834259E-12</v>
      </c>
      <c r="BM792" s="32">
        <f t="shared" ca="1" si="1615"/>
        <v>-7.2759576141834259E-12</v>
      </c>
      <c r="BN792" s="32">
        <f t="shared" ca="1" si="1615"/>
        <v>-7.2759576141834259E-12</v>
      </c>
      <c r="BO792" s="32">
        <f t="shared" ca="1" si="1615"/>
        <v>-7.2759576141834259E-12</v>
      </c>
      <c r="BP792" s="32">
        <f t="shared" ca="1" si="1615"/>
        <v>-7.2759576141834259E-12</v>
      </c>
      <c r="BQ792" s="32">
        <f t="shared" ca="1" si="1615"/>
        <v>-7.2759576141834259E-12</v>
      </c>
      <c r="BR792" s="32">
        <f t="shared" ca="1" si="1615"/>
        <v>-7.2759576141834259E-12</v>
      </c>
      <c r="BS792" s="32">
        <f t="shared" ca="1" si="1615"/>
        <v>-7.2759576141834259E-12</v>
      </c>
      <c r="BT792" s="32">
        <f t="shared" ca="1" si="1615"/>
        <v>-7.2759576141834259E-12</v>
      </c>
      <c r="BU792" s="32">
        <f t="shared" ref="BU792:BY792" ca="1" si="1616">MIN(+BU764-BU780+BU778,0)</f>
        <v>-7.2759576141834259E-12</v>
      </c>
      <c r="BV792" s="32">
        <f t="shared" ca="1" si="1616"/>
        <v>-7.2759576141834259E-12</v>
      </c>
      <c r="BW792" s="32">
        <f t="shared" ca="1" si="1616"/>
        <v>-7.2759576141834259E-12</v>
      </c>
      <c r="BX792" s="32">
        <f t="shared" ca="1" si="1616"/>
        <v>-7.2759576141834259E-12</v>
      </c>
      <c r="BY792" s="32">
        <f t="shared" ca="1" si="1616"/>
        <v>-7.2759576141834259E-12</v>
      </c>
    </row>
    <row r="793" spans="3:77" outlineLevel="1">
      <c r="F793" s="23"/>
      <c r="BF793" s="33"/>
      <c r="BG793" s="33"/>
      <c r="BH793" s="33"/>
      <c r="BI793" s="33"/>
      <c r="BJ793" s="33"/>
      <c r="BK793" s="33"/>
      <c r="BL793" s="33"/>
      <c r="BM793" s="33"/>
      <c r="BN793" s="33"/>
      <c r="BO793" s="33"/>
      <c r="BP793" s="33"/>
      <c r="BQ793" s="33"/>
      <c r="BR793" s="33"/>
      <c r="BS793" s="33"/>
      <c r="BT793" s="33"/>
      <c r="BU793" s="33"/>
      <c r="BV793" s="33"/>
      <c r="BW793" s="33"/>
      <c r="BX793" s="33"/>
      <c r="BY793" s="33"/>
    </row>
    <row r="794" spans="3:77" ht="15" outlineLevel="1">
      <c r="C794" s="22" t="s">
        <v>525</v>
      </c>
      <c r="D794" s="31"/>
    </row>
    <row r="795" spans="3:77" ht="15" outlineLevel="1">
      <c r="C795" s="68" t="str">
        <f>+Assumptions!$H$205</f>
        <v>Equity-first</v>
      </c>
      <c r="D795" s="28"/>
      <c r="E795" s="22" t="s">
        <v>459</v>
      </c>
      <c r="H795" s="32"/>
      <c r="BF795" s="33"/>
      <c r="BG795" s="33"/>
      <c r="BH795" s="33"/>
      <c r="BI795" s="33"/>
      <c r="BJ795" s="33"/>
      <c r="BK795" s="33"/>
      <c r="BL795" s="33"/>
      <c r="BM795" s="33"/>
      <c r="BN795" s="33"/>
      <c r="BO795" s="33"/>
      <c r="BP795" s="33"/>
      <c r="BQ795" s="33"/>
      <c r="BR795" s="33"/>
      <c r="BS795" s="33"/>
      <c r="BT795" s="33"/>
      <c r="BU795" s="33"/>
      <c r="BV795" s="33"/>
      <c r="BW795" s="33"/>
      <c r="BX795" s="33"/>
      <c r="BY795" s="33"/>
    </row>
    <row r="796" spans="3:77" outlineLevel="1">
      <c r="C796" s="68" t="str">
        <f>+Assumptions!$H$206</f>
        <v>Annuity</v>
      </c>
      <c r="D796" s="28"/>
      <c r="E796" t="s">
        <v>458</v>
      </c>
      <c r="F796" s="80" t="str">
        <f>+Assumptions!$G$8</f>
        <v>USD</v>
      </c>
      <c r="H796" s="32">
        <f>IF(AND(Assumptions!$H$183="Yes",Assumptions!$H$184="Detailed"),-Assumptions_Detailed!H$170,MAX(IFERROR(H737-H759-H764,0),$C$799-SUM($G$796:G796)))</f>
        <v>0</v>
      </c>
      <c r="I796" s="32">
        <f>IF(AND(Assumptions!$H$183="Yes",Assumptions!$H$184="Detailed"),-Assumptions_Detailed!I$170,MAX(IFERROR(I737-I759-I764,0),$C$799-SUM($G$796:H796)))</f>
        <v>0</v>
      </c>
      <c r="J796" s="32">
        <f>IF(AND(Assumptions!$H$183="Yes",Assumptions!$H$184="Detailed"),-Assumptions_Detailed!J$170,MAX(IFERROR(J737-J759-J764,0),$C$799-SUM($G$796:I796)))</f>
        <v>0</v>
      </c>
      <c r="K796" s="32">
        <f>IF(AND(Assumptions!$H$183="Yes",Assumptions!$H$184="Detailed"),-Assumptions_Detailed!K$170,MAX(IFERROR(K737-K759-K764,0),$C$799-SUM($G$796:J796)))</f>
        <v>0</v>
      </c>
      <c r="L796" s="32">
        <f>IF(AND(Assumptions!$H$183="Yes",Assumptions!$H$184="Detailed"),-Assumptions_Detailed!L$170,MAX(IFERROR(L737-L759-L764,0),$C$799-SUM($G$796:K796)))</f>
        <v>0</v>
      </c>
      <c r="M796" s="32">
        <f>IF(AND(Assumptions!$H$183="Yes",Assumptions!$H$184="Detailed"),-Assumptions_Detailed!M$170,MAX(IFERROR(M737-M759-M764,0),$C$799-SUM($G$796:L796)))</f>
        <v>0</v>
      </c>
      <c r="N796" s="32">
        <f>IF(AND(Assumptions!$H$183="Yes",Assumptions!$H$184="Detailed"),-Assumptions_Detailed!N$170,MAX(IFERROR(N737-N759-N764,0),$C$799-SUM($G$796:M796)))</f>
        <v>0</v>
      </c>
      <c r="O796" s="32">
        <f>IF(AND(Assumptions!$H$183="Yes",Assumptions!$H$184="Detailed"),-Assumptions_Detailed!O$170,MAX(IFERROR(O737-O759-O764,0),$C$799-SUM($G$796:N796)))</f>
        <v>0</v>
      </c>
      <c r="P796" s="32">
        <f>IF(AND(Assumptions!$H$183="Yes",Assumptions!$H$184="Detailed"),-Assumptions_Detailed!P$170,MAX(IFERROR(P737-P759-P764,0),$C$799-SUM($G$796:O796)))</f>
        <v>0</v>
      </c>
      <c r="Q796" s="32">
        <f>IF(AND(Assumptions!$H$183="Yes",Assumptions!$H$184="Detailed"),-Assumptions_Detailed!Q$170,MAX(IFERROR(Q737-Q759-Q764,0),$C$799-SUM($G$796:P796)))</f>
        <v>0</v>
      </c>
      <c r="R796" s="32">
        <f>IF(AND(Assumptions!$H$183="Yes",Assumptions!$H$184="Detailed"),-Assumptions_Detailed!R$170,MAX(IFERROR(R737-R759-R764,0),$C$799-SUM($G$796:Q796)))</f>
        <v>0</v>
      </c>
      <c r="S796" s="32">
        <f>IF(AND(Assumptions!$H$183="Yes",Assumptions!$H$184="Detailed"),-Assumptions_Detailed!S$170,MAX(IFERROR(S737-S759-S764,0),$C$799-SUM($G$796:R796)))</f>
        <v>0</v>
      </c>
      <c r="T796" s="32">
        <f>IF(AND(Assumptions!$H$183="Yes",Assumptions!$H$184="Detailed"),-Assumptions_Detailed!T$170,MAX(IFERROR(T737-T759-T764,0),$C$799-SUM($G$796:S796)))</f>
        <v>0</v>
      </c>
      <c r="U796" s="32">
        <f>IF(AND(Assumptions!$H$183="Yes",Assumptions!$H$184="Detailed"),-Assumptions_Detailed!U$170,MAX(IFERROR(U737-U759-U764,0),$C$799-SUM($G$796:T796)))</f>
        <v>0</v>
      </c>
      <c r="V796" s="32">
        <f>IF(AND(Assumptions!$H$183="Yes",Assumptions!$H$184="Detailed"),-Assumptions_Detailed!V$170,MAX(IFERROR(V737-V759-V764,0),$C$799-SUM($G$796:U796)))</f>
        <v>0</v>
      </c>
      <c r="W796" s="32">
        <f>IF(AND(Assumptions!$H$183="Yes",Assumptions!$H$184="Detailed"),-Assumptions_Detailed!W$170,MAX(IFERROR(W737-W759-W764,0),$C$799-SUM($G$796:V796)))</f>
        <v>0</v>
      </c>
      <c r="X796" s="32">
        <f>IF(AND(Assumptions!$H$183="Yes",Assumptions!$H$184="Detailed"),-Assumptions_Detailed!X$170,MAX(IFERROR(X737-X759-X764,0),$C$799-SUM($G$796:W796)))</f>
        <v>0</v>
      </c>
      <c r="Y796" s="32">
        <f>IF(AND(Assumptions!$H$183="Yes",Assumptions!$H$184="Detailed"),-Assumptions_Detailed!Y$170,MAX(IFERROR(Y737-Y759-Y764,0),$C$799-SUM($G$796:X796)))</f>
        <v>0</v>
      </c>
      <c r="Z796" s="32">
        <f>IF(AND(Assumptions!$H$183="Yes",Assumptions!$H$184="Detailed"),-Assumptions_Detailed!Z$170,MAX(IFERROR(Z737-Z759-Z764,0),$C$799-SUM($G$796:Y796)))</f>
        <v>0</v>
      </c>
      <c r="AA796" s="32">
        <f>IF(AND(Assumptions!$H$183="Yes",Assumptions!$H$184="Detailed"),-Assumptions_Detailed!AA$170,MAX(IFERROR(AA737-AA759-AA764,0),$C$799-SUM($G$796:Z796)))</f>
        <v>0</v>
      </c>
      <c r="AB796" s="32">
        <f>IF(AND(Assumptions!$H$183="Yes",Assumptions!$H$184="Detailed"),-Assumptions_Detailed!AB$170,MAX(IFERROR(AB737-AB759-AB764,0),$C$799-SUM($G$796:AA796)))</f>
        <v>0</v>
      </c>
      <c r="AC796" s="32">
        <f>IF(AND(Assumptions!$H$183="Yes",Assumptions!$H$184="Detailed"),-Assumptions_Detailed!AC$170,MAX(IFERROR(AC737-AC759-AC764,0),$C$799-SUM($G$796:AB796)))</f>
        <v>0</v>
      </c>
      <c r="AD796" s="32">
        <f>IF(AND(Assumptions!$H$183="Yes",Assumptions!$H$184="Detailed"),-Assumptions_Detailed!AD$170,MAX(IFERROR(AD737-AD759-AD764,0),$C$799-SUM($G$796:AC796)))</f>
        <v>0</v>
      </c>
      <c r="AE796" s="32">
        <f>IF(AND(Assumptions!$H$183="Yes",Assumptions!$H$184="Detailed"),-Assumptions_Detailed!AE$170,MAX(IFERROR(AE737-AE759-AE764,0),$C$799-SUM($G$796:AD796)))</f>
        <v>0</v>
      </c>
      <c r="AF796" s="32">
        <f>IF(AND(Assumptions!$H$183="Yes",Assumptions!$H$184="Detailed"),-Assumptions_Detailed!AF$170,MAX(IFERROR(AF737-AF759-AF764,0),$C$799-SUM($G$796:AE796)))</f>
        <v>0</v>
      </c>
      <c r="AG796" s="32">
        <f>IF(AND(Assumptions!$H$183="Yes",Assumptions!$H$184="Detailed"),-Assumptions_Detailed!AG$170,MAX(IFERROR(AG737-AG759-AG764,0),$C$799-SUM($G$796:AF796)))</f>
        <v>0</v>
      </c>
      <c r="AH796" s="32">
        <f>IF(AND(Assumptions!$H$183="Yes",Assumptions!$H$184="Detailed"),-Assumptions_Detailed!AH$170,MAX(IFERROR(AH737-AH759-AH764,0),$C$799-SUM($G$796:AG796)))</f>
        <v>0</v>
      </c>
      <c r="AI796" s="32">
        <f>IF(AND(Assumptions!$H$183="Yes",Assumptions!$H$184="Detailed"),-Assumptions_Detailed!AI$170,MAX(IFERROR(AI737-AI759-AI764,0),$C$799-SUM($G$796:AH796)))</f>
        <v>0</v>
      </c>
      <c r="AJ796" s="32">
        <f>IF(AND(Assumptions!$H$183="Yes",Assumptions!$H$184="Detailed"),-Assumptions_Detailed!AJ$170,MAX(IFERROR(AJ737-AJ759-AJ764,0),$C$799-SUM($G$796:AI796)))</f>
        <v>0</v>
      </c>
      <c r="AK796" s="32">
        <f>IF(AND(Assumptions!$H$183="Yes",Assumptions!$H$184="Detailed"),-Assumptions_Detailed!AK$170,MAX(IFERROR(AK737-AK759-AK764,0),$C$799-SUM($G$796:AJ796)))</f>
        <v>0</v>
      </c>
      <c r="AL796" s="32">
        <f>IF(AND(Assumptions!$H$183="Yes",Assumptions!$H$184="Detailed"),-Assumptions_Detailed!AL$170,MAX(IFERROR(AL737-AL759-AL764,0),$C$799-SUM($G$796:AK796)))</f>
        <v>0</v>
      </c>
      <c r="AM796" s="32">
        <f>IF(AND(Assumptions!$H$183="Yes",Assumptions!$H$184="Detailed"),-Assumptions_Detailed!AM$170,MAX(IFERROR(AM737-AM759-AM764,0),$C$799-SUM($G$796:AL796)))</f>
        <v>0</v>
      </c>
      <c r="AN796" s="32">
        <f>IF(AND(Assumptions!$H$183="Yes",Assumptions!$H$184="Detailed"),-Assumptions_Detailed!AN$170,MAX(IFERROR(AN737-AN759-AN764,0),$C$799-SUM($G$796:AM796)))</f>
        <v>0</v>
      </c>
      <c r="AO796" s="32">
        <f>IF(AND(Assumptions!$H$183="Yes",Assumptions!$H$184="Detailed"),-Assumptions_Detailed!AO$170,MAX(IFERROR(AO737-AO759-AO764,0),$C$799-SUM($G$796:AN796)))</f>
        <v>0</v>
      </c>
      <c r="AP796" s="32">
        <f>IF(AND(Assumptions!$H$183="Yes",Assumptions!$H$184="Detailed"),-Assumptions_Detailed!AP$170,MAX(IFERROR(AP737-AP759-AP764,0),$C$799-SUM($G$796:AO796)))</f>
        <v>0</v>
      </c>
      <c r="AQ796" s="32">
        <f>IF(AND(Assumptions!$H$183="Yes",Assumptions!$H$184="Detailed"),-Assumptions_Detailed!AQ$170,MAX(IFERROR(AQ737-AQ759-AQ764,0),$C$799-SUM($G$796:AP796)))</f>
        <v>0</v>
      </c>
      <c r="AR796" s="32">
        <f>IF(AND(Assumptions!$H$183="Yes",Assumptions!$H$184="Detailed"),-Assumptions_Detailed!AR$170,MAX(IFERROR(AR737-AR759-AR764,0),$C$799-SUM($G$796:AQ796)))</f>
        <v>0</v>
      </c>
      <c r="AS796" s="32">
        <f>IF(AND(Assumptions!$H$183="Yes",Assumptions!$H$184="Detailed"),-Assumptions_Detailed!AS$170,MAX(IFERROR(AS737-AS759-AS764,0),$C$799-SUM($G$796:AR796)))</f>
        <v>0</v>
      </c>
      <c r="AT796" s="32">
        <f>IF(AND(Assumptions!$H$183="Yes",Assumptions!$H$184="Detailed"),-Assumptions_Detailed!AT$170,MAX(IFERROR(AT737-AT759-AT764,0),$C$799-SUM($G$796:AS796)))</f>
        <v>0</v>
      </c>
      <c r="AU796" s="32">
        <f>IF(AND(Assumptions!$H$183="Yes",Assumptions!$H$184="Detailed"),-Assumptions_Detailed!AU$170,MAX(IFERROR(AU737-AU759-AU764,0),$C$799-SUM($G$796:AT796)))</f>
        <v>0</v>
      </c>
      <c r="AV796" s="32">
        <f>IF(AND(Assumptions!$H$183="Yes",Assumptions!$H$184="Detailed"),-Assumptions_Detailed!AV$170,MAX(IFERROR(AV737-AV759-AV764,0),$C$799-SUM($G$796:AU796)))</f>
        <v>0</v>
      </c>
      <c r="AW796" s="32">
        <f>IF(AND(Assumptions!$H$183="Yes",Assumptions!$H$184="Detailed"),-Assumptions_Detailed!AW$170,MAX(IFERROR(AW737-AW759-AW764,0),$C$799-SUM($G$796:AV796)))</f>
        <v>0</v>
      </c>
      <c r="AX796" s="32">
        <f>IF(AND(Assumptions!$H$183="Yes",Assumptions!$H$184="Detailed"),-Assumptions_Detailed!AX$170,MAX(IFERROR(AX737-AX759-AX764,0),$C$799-SUM($G$796:AW796)))</f>
        <v>0</v>
      </c>
      <c r="AY796" s="32">
        <f>IF(AND(Assumptions!$H$183="Yes",Assumptions!$H$184="Detailed"),-Assumptions_Detailed!AY$170,MAX(IFERROR(AY737-AY759-AY764,0),$C$799-SUM($G$796:AX796)))</f>
        <v>0</v>
      </c>
      <c r="AZ796" s="32">
        <f>IF(AND(Assumptions!$H$183="Yes",Assumptions!$H$184="Detailed"),-Assumptions_Detailed!AZ$170,MAX(IFERROR(AZ737-AZ759-AZ764,0),$C$799-SUM($G$796:AY796)))</f>
        <v>0</v>
      </c>
      <c r="BA796" s="32">
        <f>IF(AND(Assumptions!$H$183="Yes",Assumptions!$H$184="Detailed"),-Assumptions_Detailed!BA$170,MAX(IFERROR(BA737-BA759-BA764,0),$C$799-SUM($G$796:AZ796)))</f>
        <v>0</v>
      </c>
      <c r="BB796" s="32">
        <f>IF(AND(Assumptions!$H$183="Yes",Assumptions!$H$184="Detailed"),-Assumptions_Detailed!BB$170,MAX(IFERROR(BB737-BB759-BB764,0),$C$799-SUM($G$796:BA796)))</f>
        <v>0</v>
      </c>
      <c r="BC796" s="32">
        <f>IF(AND(Assumptions!$H$183="Yes",Assumptions!$H$184="Detailed"),-Assumptions_Detailed!BC$170,MAX(IFERROR(BC737-BC759-BC764,0),$C$799-SUM($G$796:BB796)))</f>
        <v>0</v>
      </c>
      <c r="BD796" s="32">
        <f>IF(AND(Assumptions!$H$183="Yes",Assumptions!$H$184="Detailed"),-Assumptions_Detailed!BD$170,MAX(IFERROR(BD737-BD759-BD764,0),$C$799-SUM($G$796:BC796)))</f>
        <v>0</v>
      </c>
      <c r="BE796" s="32">
        <f>IF(AND(Assumptions!$H$183="Yes",Assumptions!$H$184="Detailed"),-Assumptions_Detailed!BE$170,MAX(IFERROR(BE737-BE759-BE764,0),$C$799-SUM($G$796:BD796)))</f>
        <v>0</v>
      </c>
      <c r="BF796" s="32">
        <f>IF(AND(Assumptions!$H$183="Yes",Assumptions!$H$184="Detailed"),-Assumptions_Detailed!BF$170,MAX(IFERROR(BF737-BF759-BF764,0),$C$799-SUM($G$796:BE796)))</f>
        <v>0</v>
      </c>
      <c r="BG796" s="32">
        <f>IF(AND(Assumptions!$H$183="Yes",Assumptions!$H$184="Detailed"),-Assumptions_Detailed!BG$170,MAX(IFERROR(BG737-BG759-BG764,0),$C$799-SUM($G$796:BF796)))</f>
        <v>0</v>
      </c>
      <c r="BH796" s="32">
        <f>IF(AND(Assumptions!$H$183="Yes",Assumptions!$H$184="Detailed"),-Assumptions_Detailed!BH$170,MAX(IFERROR(BH737-BH759-BH764,0),$C$799-SUM($G$796:BG796)))</f>
        <v>0</v>
      </c>
      <c r="BI796" s="32">
        <f>IF(AND(Assumptions!$H$183="Yes",Assumptions!$H$184="Detailed"),-Assumptions_Detailed!BI$170,MAX(IFERROR(BI737-BI759-BI764,0),$C$799-SUM($G$796:BH796)))</f>
        <v>0</v>
      </c>
      <c r="BJ796" s="32">
        <f>IF(AND(Assumptions!$H$183="Yes",Assumptions!$H$184="Detailed"),-Assumptions_Detailed!BJ$170,MAX(IFERROR(BJ737-BJ759-BJ764,0),$C$799-SUM($G$796:BI796)))</f>
        <v>0</v>
      </c>
      <c r="BK796" s="32">
        <f>IF(AND(Assumptions!$H$183="Yes",Assumptions!$H$184="Detailed"),-Assumptions_Detailed!BK$170,MAX(IFERROR(BK737-BK759-BK764,0),$C$799-SUM($G$796:BJ796)))</f>
        <v>0</v>
      </c>
      <c r="BL796" s="32">
        <f>IF(AND(Assumptions!$H$183="Yes",Assumptions!$H$184="Detailed"),-Assumptions_Detailed!BL$170,MAX(IFERROR(BL737-BL759-BL764,0),$C$799-SUM($G$796:BK796)))</f>
        <v>0</v>
      </c>
      <c r="BM796" s="32">
        <f>IF(AND(Assumptions!$H$183="Yes",Assumptions!$H$184="Detailed"),-Assumptions_Detailed!BM$170,MAX(IFERROR(BM737-BM759-BM764,0),$C$799-SUM($G$796:BL796)))</f>
        <v>0</v>
      </c>
      <c r="BN796" s="32">
        <f>IF(AND(Assumptions!$H$183="Yes",Assumptions!$H$184="Detailed"),-Assumptions_Detailed!BN$170,MAX(IFERROR(BN737-BN759-BN764,0),$C$799-SUM($G$796:BM796)))</f>
        <v>0</v>
      </c>
      <c r="BO796" s="32">
        <f>IF(AND(Assumptions!$H$183="Yes",Assumptions!$H$184="Detailed"),-Assumptions_Detailed!BO$170,MAX(IFERROR(BO737-BO759-BO764,0),$C$799-SUM($G$796:BN796)))</f>
        <v>0</v>
      </c>
      <c r="BP796" s="32">
        <f>IF(AND(Assumptions!$H$183="Yes",Assumptions!$H$184="Detailed"),-Assumptions_Detailed!BP$170,MAX(IFERROR(BP737-BP759-BP764,0),$C$799-SUM($G$796:BO796)))</f>
        <v>0</v>
      </c>
      <c r="BQ796" s="32">
        <f>IF(AND(Assumptions!$H$183="Yes",Assumptions!$H$184="Detailed"),-Assumptions_Detailed!BQ$170,MAX(IFERROR(BQ737-BQ759-BQ764,0),$C$799-SUM($G$796:BP796)))</f>
        <v>0</v>
      </c>
      <c r="BR796" s="32">
        <f>IF(AND(Assumptions!$H$183="Yes",Assumptions!$H$184="Detailed"),-Assumptions_Detailed!BR$170,MAX(IFERROR(BR737-BR759-BR764,0),$C$799-SUM($G$796:BQ796)))</f>
        <v>0</v>
      </c>
      <c r="BS796" s="32">
        <f>IF(AND(Assumptions!$H$183="Yes",Assumptions!$H$184="Detailed"),-Assumptions_Detailed!BS$170,MAX(IFERROR(BS737-BS759-BS764,0),$C$799-SUM($G$796:BR796)))</f>
        <v>0</v>
      </c>
      <c r="BT796" s="32">
        <f>IF(AND(Assumptions!$H$183="Yes",Assumptions!$H$184="Detailed"),-Assumptions_Detailed!BT$170,MAX(IFERROR(BT737-BT759-BT764,0),$C$799-SUM($G$796:BS796)))</f>
        <v>0</v>
      </c>
      <c r="BU796" s="32">
        <f>IF(AND(Assumptions!$H$183="Yes",Assumptions!$H$184="Detailed"),-Assumptions_Detailed!BU$170,MAX(IFERROR(BU737-BU759-BU764,0),$C$799-SUM($G$796:BT796)))</f>
        <v>0</v>
      </c>
      <c r="BV796" s="32">
        <f>IF(AND(Assumptions!$H$183="Yes",Assumptions!$H$184="Detailed"),-Assumptions_Detailed!BV$170,MAX(IFERROR(BV737-BV759-BV764,0),$C$799-SUM($G$796:BU796)))</f>
        <v>0</v>
      </c>
      <c r="BW796" s="32">
        <f>IF(AND(Assumptions!$H$183="Yes",Assumptions!$H$184="Detailed"),-Assumptions_Detailed!BW$170,MAX(IFERROR(BW737-BW759-BW764,0),$C$799-SUM($G$796:BV796)))</f>
        <v>0</v>
      </c>
      <c r="BX796" s="32">
        <f>IF(AND(Assumptions!$H$183="Yes",Assumptions!$H$184="Detailed"),-Assumptions_Detailed!BX$170,MAX(IFERROR(BX737-BX759-BX764,0),$C$799-SUM($G$796:BW796)))</f>
        <v>0</v>
      </c>
      <c r="BY796" s="32">
        <f>IF(AND(Assumptions!$H$183="Yes",Assumptions!$H$184="Detailed"),-Assumptions_Detailed!BY$170,MAX(IFERROR(BY737-BY759-BY764,0),$C$799-SUM($G$796:BX796)))</f>
        <v>0</v>
      </c>
    </row>
    <row r="797" spans="3:77" outlineLevel="1">
      <c r="D797" s="31"/>
      <c r="BF797" s="33"/>
      <c r="BG797" s="33"/>
      <c r="BH797" s="33"/>
      <c r="BI797" s="33"/>
      <c r="BJ797" s="33"/>
      <c r="BK797" s="33"/>
      <c r="BL797" s="33"/>
      <c r="BM797" s="33"/>
      <c r="BN797" s="33"/>
      <c r="BO797" s="33"/>
      <c r="BP797" s="33"/>
      <c r="BQ797" s="33"/>
      <c r="BR797" s="33"/>
      <c r="BS797" s="33"/>
      <c r="BT797" s="33"/>
      <c r="BU797" s="33"/>
      <c r="BV797" s="33"/>
      <c r="BW797" s="33"/>
      <c r="BX797" s="33"/>
      <c r="BY797" s="33"/>
    </row>
    <row r="798" spans="3:77" ht="15" outlineLevel="1">
      <c r="C798" s="22" t="s">
        <v>498</v>
      </c>
      <c r="D798" s="31"/>
      <c r="BF798" s="33"/>
      <c r="BG798" s="33"/>
      <c r="BH798" s="33"/>
      <c r="BI798" s="33"/>
      <c r="BJ798" s="33"/>
      <c r="BK798" s="33"/>
      <c r="BL798" s="33"/>
      <c r="BM798" s="33"/>
      <c r="BN798" s="33"/>
      <c r="BO798" s="33"/>
      <c r="BP798" s="33"/>
      <c r="BQ798" s="33"/>
      <c r="BR798" s="33"/>
      <c r="BS798" s="33"/>
      <c r="BT798" s="33"/>
      <c r="BU798" s="33"/>
      <c r="BV798" s="33"/>
      <c r="BW798" s="33"/>
      <c r="BX798" s="33"/>
      <c r="BY798" s="33"/>
    </row>
    <row r="799" spans="3:77" outlineLevel="1">
      <c r="C799" s="94">
        <f>Assumptions!$H$199*C735</f>
        <v>0</v>
      </c>
      <c r="D799" s="31"/>
      <c r="BF799" s="33"/>
      <c r="BG799" s="33"/>
      <c r="BH799" s="33"/>
      <c r="BI799" s="33"/>
      <c r="BJ799" s="33"/>
      <c r="BK799" s="33"/>
      <c r="BL799" s="33"/>
      <c r="BM799" s="33"/>
      <c r="BN799" s="33"/>
      <c r="BO799" s="33"/>
      <c r="BP799" s="33"/>
      <c r="BQ799" s="33"/>
      <c r="BR799" s="33"/>
      <c r="BS799" s="33"/>
      <c r="BT799" s="33"/>
      <c r="BU799" s="33"/>
      <c r="BV799" s="33"/>
      <c r="BW799" s="33"/>
      <c r="BX799" s="33"/>
      <c r="BY799" s="33"/>
    </row>
    <row r="800" spans="3:77" outlineLevel="1">
      <c r="D800" s="31"/>
      <c r="E800" t="s">
        <v>499</v>
      </c>
      <c r="F800" s="23" t="s">
        <v>500</v>
      </c>
      <c r="G800" s="33"/>
      <c r="H800" s="33" t="e" vm="1">
        <f>+IF(AND(H$796=$C802,H$796&lt;0),1,0)</f>
        <v>#VALUE!</v>
      </c>
      <c r="I800" s="33" t="e" vm="1">
        <f t="shared" ref="I800:BT800" si="1617">+IF(AND(I$796=$C802,I$796&lt;0),1,0)</f>
        <v>#VALUE!</v>
      </c>
      <c r="J800" s="33" t="e" vm="1">
        <f t="shared" si="1617"/>
        <v>#VALUE!</v>
      </c>
      <c r="K800" s="33" t="e" vm="1">
        <f t="shared" si="1617"/>
        <v>#VALUE!</v>
      </c>
      <c r="L800" s="33" t="e" vm="1">
        <f t="shared" si="1617"/>
        <v>#VALUE!</v>
      </c>
      <c r="M800" s="33" t="e" vm="1">
        <f t="shared" si="1617"/>
        <v>#VALUE!</v>
      </c>
      <c r="N800" s="33" t="e" vm="1">
        <f t="shared" si="1617"/>
        <v>#VALUE!</v>
      </c>
      <c r="O800" s="33" t="e" vm="1">
        <f t="shared" si="1617"/>
        <v>#VALUE!</v>
      </c>
      <c r="P800" s="33" t="e" vm="1">
        <f t="shared" si="1617"/>
        <v>#VALUE!</v>
      </c>
      <c r="Q800" s="33" t="e" vm="1">
        <f t="shared" si="1617"/>
        <v>#VALUE!</v>
      </c>
      <c r="R800" s="33" t="e" vm="1">
        <f t="shared" si="1617"/>
        <v>#VALUE!</v>
      </c>
      <c r="S800" s="33" t="e" vm="1">
        <f t="shared" si="1617"/>
        <v>#VALUE!</v>
      </c>
      <c r="T800" s="33" t="e" vm="1">
        <f t="shared" si="1617"/>
        <v>#VALUE!</v>
      </c>
      <c r="U800" s="33" t="e" vm="1">
        <f t="shared" si="1617"/>
        <v>#VALUE!</v>
      </c>
      <c r="V800" s="33" t="e" vm="1">
        <f t="shared" si="1617"/>
        <v>#VALUE!</v>
      </c>
      <c r="W800" s="33" t="e" vm="1">
        <f t="shared" si="1617"/>
        <v>#VALUE!</v>
      </c>
      <c r="X800" s="33" t="e" vm="1">
        <f t="shared" si="1617"/>
        <v>#VALUE!</v>
      </c>
      <c r="Y800" s="33" t="e" vm="1">
        <f t="shared" si="1617"/>
        <v>#VALUE!</v>
      </c>
      <c r="Z800" s="33" t="e" vm="1">
        <f t="shared" si="1617"/>
        <v>#VALUE!</v>
      </c>
      <c r="AA800" s="33" t="e" vm="1">
        <f t="shared" si="1617"/>
        <v>#VALUE!</v>
      </c>
      <c r="AB800" s="33" t="e" vm="1">
        <f t="shared" si="1617"/>
        <v>#VALUE!</v>
      </c>
      <c r="AC800" s="33" t="e" vm="1">
        <f t="shared" si="1617"/>
        <v>#VALUE!</v>
      </c>
      <c r="AD800" s="33" t="e" vm="1">
        <f t="shared" si="1617"/>
        <v>#VALUE!</v>
      </c>
      <c r="AE800" s="33" t="e" vm="1">
        <f t="shared" si="1617"/>
        <v>#VALUE!</v>
      </c>
      <c r="AF800" s="33" t="e" vm="1">
        <f t="shared" si="1617"/>
        <v>#VALUE!</v>
      </c>
      <c r="AG800" s="33" t="e" vm="1">
        <f t="shared" si="1617"/>
        <v>#VALUE!</v>
      </c>
      <c r="AH800" s="33" t="e" vm="1">
        <f t="shared" si="1617"/>
        <v>#VALUE!</v>
      </c>
      <c r="AI800" s="33" t="e" vm="1">
        <f t="shared" si="1617"/>
        <v>#VALUE!</v>
      </c>
      <c r="AJ800" s="33" t="e" vm="1">
        <f t="shared" si="1617"/>
        <v>#VALUE!</v>
      </c>
      <c r="AK800" s="33" t="e" vm="1">
        <f t="shared" si="1617"/>
        <v>#VALUE!</v>
      </c>
      <c r="AL800" s="33" t="e" vm="1">
        <f t="shared" si="1617"/>
        <v>#VALUE!</v>
      </c>
      <c r="AM800" s="33" t="e" vm="1">
        <f t="shared" si="1617"/>
        <v>#VALUE!</v>
      </c>
      <c r="AN800" s="33" t="e" vm="1">
        <f t="shared" si="1617"/>
        <v>#VALUE!</v>
      </c>
      <c r="AO800" s="33" t="e" vm="1">
        <f t="shared" si="1617"/>
        <v>#VALUE!</v>
      </c>
      <c r="AP800" s="33" t="e" vm="1">
        <f t="shared" si="1617"/>
        <v>#VALUE!</v>
      </c>
      <c r="AQ800" s="33" t="e" vm="1">
        <f t="shared" si="1617"/>
        <v>#VALUE!</v>
      </c>
      <c r="AR800" s="33" t="e" vm="1">
        <f t="shared" si="1617"/>
        <v>#VALUE!</v>
      </c>
      <c r="AS800" s="33" t="e" vm="1">
        <f t="shared" si="1617"/>
        <v>#VALUE!</v>
      </c>
      <c r="AT800" s="33" t="e" vm="1">
        <f t="shared" si="1617"/>
        <v>#VALUE!</v>
      </c>
      <c r="AU800" s="33" t="e" vm="1">
        <f t="shared" si="1617"/>
        <v>#VALUE!</v>
      </c>
      <c r="AV800" s="33" t="e" vm="1">
        <f t="shared" si="1617"/>
        <v>#VALUE!</v>
      </c>
      <c r="AW800" s="33" t="e" vm="1">
        <f t="shared" si="1617"/>
        <v>#VALUE!</v>
      </c>
      <c r="AX800" s="33" t="e" vm="1">
        <f t="shared" si="1617"/>
        <v>#VALUE!</v>
      </c>
      <c r="AY800" s="33" t="e" vm="1">
        <f t="shared" si="1617"/>
        <v>#VALUE!</v>
      </c>
      <c r="AZ800" s="33" t="e" vm="1">
        <f t="shared" si="1617"/>
        <v>#VALUE!</v>
      </c>
      <c r="BA800" s="33" t="e" vm="1">
        <f t="shared" si="1617"/>
        <v>#VALUE!</v>
      </c>
      <c r="BB800" s="33" t="e" vm="1">
        <f t="shared" si="1617"/>
        <v>#VALUE!</v>
      </c>
      <c r="BC800" s="33" t="e" vm="1">
        <f t="shared" si="1617"/>
        <v>#VALUE!</v>
      </c>
      <c r="BD800" s="33" t="e" vm="1">
        <f t="shared" si="1617"/>
        <v>#VALUE!</v>
      </c>
      <c r="BE800" s="33" t="e" vm="1">
        <f t="shared" si="1617"/>
        <v>#VALUE!</v>
      </c>
      <c r="BF800" s="33" t="e" vm="1">
        <f t="shared" si="1617"/>
        <v>#VALUE!</v>
      </c>
      <c r="BG800" s="33" t="e" vm="1">
        <f t="shared" si="1617"/>
        <v>#VALUE!</v>
      </c>
      <c r="BH800" s="33" t="e" vm="1">
        <f t="shared" si="1617"/>
        <v>#VALUE!</v>
      </c>
      <c r="BI800" s="33" t="e" vm="1">
        <f t="shared" si="1617"/>
        <v>#VALUE!</v>
      </c>
      <c r="BJ800" s="33" t="e" vm="1">
        <f t="shared" si="1617"/>
        <v>#VALUE!</v>
      </c>
      <c r="BK800" s="33" t="e" vm="1">
        <f t="shared" si="1617"/>
        <v>#VALUE!</v>
      </c>
      <c r="BL800" s="33" t="e" vm="1">
        <f t="shared" si="1617"/>
        <v>#VALUE!</v>
      </c>
      <c r="BM800" s="33" t="e" vm="1">
        <f t="shared" si="1617"/>
        <v>#VALUE!</v>
      </c>
      <c r="BN800" s="33" t="e" vm="1">
        <f t="shared" si="1617"/>
        <v>#VALUE!</v>
      </c>
      <c r="BO800" s="33" t="e" vm="1">
        <f t="shared" si="1617"/>
        <v>#VALUE!</v>
      </c>
      <c r="BP800" s="33" t="e" vm="1">
        <f t="shared" si="1617"/>
        <v>#VALUE!</v>
      </c>
      <c r="BQ800" s="33" t="e" vm="1">
        <f t="shared" si="1617"/>
        <v>#VALUE!</v>
      </c>
      <c r="BR800" s="33" t="e" vm="1">
        <f t="shared" si="1617"/>
        <v>#VALUE!</v>
      </c>
      <c r="BS800" s="33" t="e" vm="1">
        <f t="shared" si="1617"/>
        <v>#VALUE!</v>
      </c>
      <c r="BT800" s="33" t="e" vm="1">
        <f t="shared" si="1617"/>
        <v>#VALUE!</v>
      </c>
      <c r="BU800" s="33" t="e" vm="1">
        <f t="shared" ref="BU800:BY800" si="1618">+IF(AND(BU$796=$C802,BU$796&lt;0),1,0)</f>
        <v>#VALUE!</v>
      </c>
      <c r="BV800" s="33" t="e" vm="1">
        <f t="shared" si="1618"/>
        <v>#VALUE!</v>
      </c>
      <c r="BW800" s="33" t="e" vm="1">
        <f t="shared" si="1618"/>
        <v>#VALUE!</v>
      </c>
      <c r="BX800" s="33" t="e" vm="1">
        <f t="shared" si="1618"/>
        <v>#VALUE!</v>
      </c>
      <c r="BY800" s="33" t="e" vm="1">
        <f t="shared" si="1618"/>
        <v>#VALUE!</v>
      </c>
    </row>
    <row r="801" spans="3:77" ht="15" outlineLevel="1">
      <c r="C801" s="22" t="s">
        <v>501</v>
      </c>
      <c r="D801" s="31"/>
      <c r="E801" t="s">
        <v>502</v>
      </c>
      <c r="F801" s="23" t="s">
        <v>500</v>
      </c>
      <c r="H801" s="33">
        <f t="shared" ref="H801:BS801" si="1619">+IF(AND(H$796=$C803,H$796&lt;0),1,0)</f>
        <v>0</v>
      </c>
      <c r="I801" s="33">
        <f t="shared" si="1619"/>
        <v>0</v>
      </c>
      <c r="J801" s="33">
        <f t="shared" si="1619"/>
        <v>0</v>
      </c>
      <c r="K801" s="33">
        <f t="shared" si="1619"/>
        <v>0</v>
      </c>
      <c r="L801" s="33">
        <f t="shared" si="1619"/>
        <v>0</v>
      </c>
      <c r="M801" s="33">
        <f t="shared" si="1619"/>
        <v>0</v>
      </c>
      <c r="N801" s="33">
        <f t="shared" si="1619"/>
        <v>0</v>
      </c>
      <c r="O801" s="33">
        <f t="shared" si="1619"/>
        <v>0</v>
      </c>
      <c r="P801" s="33">
        <f t="shared" si="1619"/>
        <v>0</v>
      </c>
      <c r="Q801" s="33">
        <f t="shared" si="1619"/>
        <v>0</v>
      </c>
      <c r="R801" s="33">
        <f t="shared" si="1619"/>
        <v>0</v>
      </c>
      <c r="S801" s="33">
        <f t="shared" si="1619"/>
        <v>0</v>
      </c>
      <c r="T801" s="33">
        <f t="shared" si="1619"/>
        <v>0</v>
      </c>
      <c r="U801" s="33">
        <f t="shared" si="1619"/>
        <v>0</v>
      </c>
      <c r="V801" s="33">
        <f t="shared" si="1619"/>
        <v>0</v>
      </c>
      <c r="W801" s="33">
        <f t="shared" si="1619"/>
        <v>0</v>
      </c>
      <c r="X801" s="33">
        <f t="shared" si="1619"/>
        <v>0</v>
      </c>
      <c r="Y801" s="33">
        <f t="shared" si="1619"/>
        <v>0</v>
      </c>
      <c r="Z801" s="33">
        <f t="shared" si="1619"/>
        <v>0</v>
      </c>
      <c r="AA801" s="33">
        <f t="shared" si="1619"/>
        <v>0</v>
      </c>
      <c r="AB801" s="33">
        <f t="shared" si="1619"/>
        <v>0</v>
      </c>
      <c r="AC801" s="33">
        <f t="shared" si="1619"/>
        <v>0</v>
      </c>
      <c r="AD801" s="33">
        <f t="shared" si="1619"/>
        <v>0</v>
      </c>
      <c r="AE801" s="33">
        <f t="shared" si="1619"/>
        <v>0</v>
      </c>
      <c r="AF801" s="33">
        <f t="shared" si="1619"/>
        <v>0</v>
      </c>
      <c r="AG801" s="33">
        <f t="shared" si="1619"/>
        <v>0</v>
      </c>
      <c r="AH801" s="33">
        <f t="shared" si="1619"/>
        <v>0</v>
      </c>
      <c r="AI801" s="33">
        <f t="shared" si="1619"/>
        <v>0</v>
      </c>
      <c r="AJ801" s="33">
        <f t="shared" si="1619"/>
        <v>0</v>
      </c>
      <c r="AK801" s="33">
        <f t="shared" si="1619"/>
        <v>0</v>
      </c>
      <c r="AL801" s="33">
        <f t="shared" si="1619"/>
        <v>0</v>
      </c>
      <c r="AM801" s="33">
        <f t="shared" si="1619"/>
        <v>0</v>
      </c>
      <c r="AN801" s="33">
        <f t="shared" si="1619"/>
        <v>0</v>
      </c>
      <c r="AO801" s="33">
        <f t="shared" si="1619"/>
        <v>0</v>
      </c>
      <c r="AP801" s="33">
        <f t="shared" si="1619"/>
        <v>0</v>
      </c>
      <c r="AQ801" s="33">
        <f t="shared" si="1619"/>
        <v>0</v>
      </c>
      <c r="AR801" s="33">
        <f t="shared" si="1619"/>
        <v>0</v>
      </c>
      <c r="AS801" s="33">
        <f t="shared" si="1619"/>
        <v>0</v>
      </c>
      <c r="AT801" s="33">
        <f t="shared" si="1619"/>
        <v>0</v>
      </c>
      <c r="AU801" s="33">
        <f t="shared" si="1619"/>
        <v>0</v>
      </c>
      <c r="AV801" s="33">
        <f t="shared" si="1619"/>
        <v>0</v>
      </c>
      <c r="AW801" s="33">
        <f t="shared" si="1619"/>
        <v>0</v>
      </c>
      <c r="AX801" s="33">
        <f t="shared" si="1619"/>
        <v>0</v>
      </c>
      <c r="AY801" s="33">
        <f t="shared" si="1619"/>
        <v>0</v>
      </c>
      <c r="AZ801" s="33">
        <f t="shared" si="1619"/>
        <v>0</v>
      </c>
      <c r="BA801" s="33">
        <f t="shared" si="1619"/>
        <v>0</v>
      </c>
      <c r="BB801" s="33">
        <f t="shared" si="1619"/>
        <v>0</v>
      </c>
      <c r="BC801" s="33">
        <f t="shared" si="1619"/>
        <v>0</v>
      </c>
      <c r="BD801" s="33">
        <f t="shared" si="1619"/>
        <v>0</v>
      </c>
      <c r="BE801" s="33">
        <f t="shared" si="1619"/>
        <v>0</v>
      </c>
      <c r="BF801" s="33">
        <f t="shared" si="1619"/>
        <v>0</v>
      </c>
      <c r="BG801" s="33">
        <f t="shared" si="1619"/>
        <v>0</v>
      </c>
      <c r="BH801" s="33">
        <f t="shared" si="1619"/>
        <v>0</v>
      </c>
      <c r="BI801" s="33">
        <f t="shared" si="1619"/>
        <v>0</v>
      </c>
      <c r="BJ801" s="33">
        <f t="shared" si="1619"/>
        <v>0</v>
      </c>
      <c r="BK801" s="33">
        <f t="shared" si="1619"/>
        <v>0</v>
      </c>
      <c r="BL801" s="33">
        <f t="shared" si="1619"/>
        <v>0</v>
      </c>
      <c r="BM801" s="33">
        <f t="shared" si="1619"/>
        <v>0</v>
      </c>
      <c r="BN801" s="33">
        <f t="shared" si="1619"/>
        <v>0</v>
      </c>
      <c r="BO801" s="33">
        <f t="shared" si="1619"/>
        <v>0</v>
      </c>
      <c r="BP801" s="33">
        <f t="shared" si="1619"/>
        <v>0</v>
      </c>
      <c r="BQ801" s="33">
        <f t="shared" si="1619"/>
        <v>0</v>
      </c>
      <c r="BR801" s="33">
        <f t="shared" si="1619"/>
        <v>0</v>
      </c>
      <c r="BS801" s="33">
        <f t="shared" si="1619"/>
        <v>0</v>
      </c>
      <c r="BT801" s="33">
        <f t="shared" ref="BT801:BY801" si="1620">+IF(AND(BT$796=$C803,BT$796&lt;0),1,0)</f>
        <v>0</v>
      </c>
      <c r="BU801" s="33">
        <f t="shared" si="1620"/>
        <v>0</v>
      </c>
      <c r="BV801" s="33">
        <f t="shared" si="1620"/>
        <v>0</v>
      </c>
      <c r="BW801" s="33">
        <f t="shared" si="1620"/>
        <v>0</v>
      </c>
      <c r="BX801" s="33">
        <f t="shared" si="1620"/>
        <v>0</v>
      </c>
      <c r="BY801" s="33">
        <f t="shared" si="1620"/>
        <v>0</v>
      </c>
    </row>
    <row r="802" spans="3:77" outlineLevel="1">
      <c r="C802" s="32" t="e" cm="1" vm="2">
        <f t="array" ref="C802">+TRANSPOSE(_xlfn._xlws.FILTER(H796:BY796,H796:BY796))</f>
        <v>#VALUE!</v>
      </c>
      <c r="D802" s="31"/>
      <c r="E802" t="s">
        <v>503</v>
      </c>
      <c r="F802" s="23" t="s">
        <v>500</v>
      </c>
      <c r="H802" s="33">
        <f t="shared" ref="H802:BS802" si="1621">+IF(AND(H$796=$C804,H$796&lt;0),1,0)</f>
        <v>0</v>
      </c>
      <c r="I802" s="33">
        <f t="shared" si="1621"/>
        <v>0</v>
      </c>
      <c r="J802" s="33">
        <f t="shared" si="1621"/>
        <v>0</v>
      </c>
      <c r="K802" s="33">
        <f t="shared" si="1621"/>
        <v>0</v>
      </c>
      <c r="L802" s="33">
        <f t="shared" si="1621"/>
        <v>0</v>
      </c>
      <c r="M802" s="33">
        <f t="shared" si="1621"/>
        <v>0</v>
      </c>
      <c r="N802" s="33">
        <f t="shared" si="1621"/>
        <v>0</v>
      </c>
      <c r="O802" s="33">
        <f t="shared" si="1621"/>
        <v>0</v>
      </c>
      <c r="P802" s="33">
        <f t="shared" si="1621"/>
        <v>0</v>
      </c>
      <c r="Q802" s="33">
        <f t="shared" si="1621"/>
        <v>0</v>
      </c>
      <c r="R802" s="33">
        <f t="shared" si="1621"/>
        <v>0</v>
      </c>
      <c r="S802" s="33">
        <f t="shared" si="1621"/>
        <v>0</v>
      </c>
      <c r="T802" s="33">
        <f t="shared" si="1621"/>
        <v>0</v>
      </c>
      <c r="U802" s="33">
        <f t="shared" si="1621"/>
        <v>0</v>
      </c>
      <c r="V802" s="33">
        <f t="shared" si="1621"/>
        <v>0</v>
      </c>
      <c r="W802" s="33">
        <f t="shared" si="1621"/>
        <v>0</v>
      </c>
      <c r="X802" s="33">
        <f t="shared" si="1621"/>
        <v>0</v>
      </c>
      <c r="Y802" s="33">
        <f t="shared" si="1621"/>
        <v>0</v>
      </c>
      <c r="Z802" s="33">
        <f t="shared" si="1621"/>
        <v>0</v>
      </c>
      <c r="AA802" s="33">
        <f t="shared" si="1621"/>
        <v>0</v>
      </c>
      <c r="AB802" s="33">
        <f t="shared" si="1621"/>
        <v>0</v>
      </c>
      <c r="AC802" s="33">
        <f t="shared" si="1621"/>
        <v>0</v>
      </c>
      <c r="AD802" s="33">
        <f t="shared" si="1621"/>
        <v>0</v>
      </c>
      <c r="AE802" s="33">
        <f t="shared" si="1621"/>
        <v>0</v>
      </c>
      <c r="AF802" s="33">
        <f t="shared" si="1621"/>
        <v>0</v>
      </c>
      <c r="AG802" s="33">
        <f t="shared" si="1621"/>
        <v>0</v>
      </c>
      <c r="AH802" s="33">
        <f t="shared" si="1621"/>
        <v>0</v>
      </c>
      <c r="AI802" s="33">
        <f t="shared" si="1621"/>
        <v>0</v>
      </c>
      <c r="AJ802" s="33">
        <f t="shared" si="1621"/>
        <v>0</v>
      </c>
      <c r="AK802" s="33">
        <f t="shared" si="1621"/>
        <v>0</v>
      </c>
      <c r="AL802" s="33">
        <f t="shared" si="1621"/>
        <v>0</v>
      </c>
      <c r="AM802" s="33">
        <f t="shared" si="1621"/>
        <v>0</v>
      </c>
      <c r="AN802" s="33">
        <f t="shared" si="1621"/>
        <v>0</v>
      </c>
      <c r="AO802" s="33">
        <f t="shared" si="1621"/>
        <v>0</v>
      </c>
      <c r="AP802" s="33">
        <f t="shared" si="1621"/>
        <v>0</v>
      </c>
      <c r="AQ802" s="33">
        <f t="shared" si="1621"/>
        <v>0</v>
      </c>
      <c r="AR802" s="33">
        <f t="shared" si="1621"/>
        <v>0</v>
      </c>
      <c r="AS802" s="33">
        <f t="shared" si="1621"/>
        <v>0</v>
      </c>
      <c r="AT802" s="33">
        <f t="shared" si="1621"/>
        <v>0</v>
      </c>
      <c r="AU802" s="33">
        <f t="shared" si="1621"/>
        <v>0</v>
      </c>
      <c r="AV802" s="33">
        <f t="shared" si="1621"/>
        <v>0</v>
      </c>
      <c r="AW802" s="33">
        <f t="shared" si="1621"/>
        <v>0</v>
      </c>
      <c r="AX802" s="33">
        <f t="shared" si="1621"/>
        <v>0</v>
      </c>
      <c r="AY802" s="33">
        <f t="shared" si="1621"/>
        <v>0</v>
      </c>
      <c r="AZ802" s="33">
        <f t="shared" si="1621"/>
        <v>0</v>
      </c>
      <c r="BA802" s="33">
        <f t="shared" si="1621"/>
        <v>0</v>
      </c>
      <c r="BB802" s="33">
        <f t="shared" si="1621"/>
        <v>0</v>
      </c>
      <c r="BC802" s="33">
        <f t="shared" si="1621"/>
        <v>0</v>
      </c>
      <c r="BD802" s="33">
        <f t="shared" si="1621"/>
        <v>0</v>
      </c>
      <c r="BE802" s="33">
        <f t="shared" si="1621"/>
        <v>0</v>
      </c>
      <c r="BF802" s="33">
        <f t="shared" si="1621"/>
        <v>0</v>
      </c>
      <c r="BG802" s="33">
        <f t="shared" si="1621"/>
        <v>0</v>
      </c>
      <c r="BH802" s="33">
        <f t="shared" si="1621"/>
        <v>0</v>
      </c>
      <c r="BI802" s="33">
        <f t="shared" si="1621"/>
        <v>0</v>
      </c>
      <c r="BJ802" s="33">
        <f t="shared" si="1621"/>
        <v>0</v>
      </c>
      <c r="BK802" s="33">
        <f t="shared" si="1621"/>
        <v>0</v>
      </c>
      <c r="BL802" s="33">
        <f t="shared" si="1621"/>
        <v>0</v>
      </c>
      <c r="BM802" s="33">
        <f t="shared" si="1621"/>
        <v>0</v>
      </c>
      <c r="BN802" s="33">
        <f t="shared" si="1621"/>
        <v>0</v>
      </c>
      <c r="BO802" s="33">
        <f t="shared" si="1621"/>
        <v>0</v>
      </c>
      <c r="BP802" s="33">
        <f t="shared" si="1621"/>
        <v>0</v>
      </c>
      <c r="BQ802" s="33">
        <f t="shared" si="1621"/>
        <v>0</v>
      </c>
      <c r="BR802" s="33">
        <f t="shared" si="1621"/>
        <v>0</v>
      </c>
      <c r="BS802" s="33">
        <f t="shared" si="1621"/>
        <v>0</v>
      </c>
      <c r="BT802" s="33">
        <f t="shared" ref="BT802:BY802" si="1622">+IF(AND(BT$796=$C804,BT$796&lt;0),1,0)</f>
        <v>0</v>
      </c>
      <c r="BU802" s="33">
        <f t="shared" si="1622"/>
        <v>0</v>
      </c>
      <c r="BV802" s="33">
        <f t="shared" si="1622"/>
        <v>0</v>
      </c>
      <c r="BW802" s="33">
        <f t="shared" si="1622"/>
        <v>0</v>
      </c>
      <c r="BX802" s="33">
        <f t="shared" si="1622"/>
        <v>0</v>
      </c>
      <c r="BY802" s="33">
        <f t="shared" si="1622"/>
        <v>0</v>
      </c>
    </row>
    <row r="803" spans="3:77" outlineLevel="1">
      <c r="C803" s="32"/>
      <c r="D803" s="31"/>
      <c r="E803" t="s">
        <v>504</v>
      </c>
      <c r="F803" s="23" t="s">
        <v>500</v>
      </c>
      <c r="H803" s="33">
        <f t="shared" ref="H803:BS803" si="1623">+IF(AND(H$796=$C805,H$796&lt;0),1,0)</f>
        <v>0</v>
      </c>
      <c r="I803" s="33">
        <f t="shared" si="1623"/>
        <v>0</v>
      </c>
      <c r="J803" s="33">
        <f t="shared" si="1623"/>
        <v>0</v>
      </c>
      <c r="K803" s="33">
        <f t="shared" si="1623"/>
        <v>0</v>
      </c>
      <c r="L803" s="33">
        <f t="shared" si="1623"/>
        <v>0</v>
      </c>
      <c r="M803" s="33">
        <f t="shared" si="1623"/>
        <v>0</v>
      </c>
      <c r="N803" s="33">
        <f t="shared" si="1623"/>
        <v>0</v>
      </c>
      <c r="O803" s="33">
        <f t="shared" si="1623"/>
        <v>0</v>
      </c>
      <c r="P803" s="33">
        <f t="shared" si="1623"/>
        <v>0</v>
      </c>
      <c r="Q803" s="33">
        <f t="shared" si="1623"/>
        <v>0</v>
      </c>
      <c r="R803" s="33">
        <f t="shared" si="1623"/>
        <v>0</v>
      </c>
      <c r="S803" s="33">
        <f t="shared" si="1623"/>
        <v>0</v>
      </c>
      <c r="T803" s="33">
        <f t="shared" si="1623"/>
        <v>0</v>
      </c>
      <c r="U803" s="33">
        <f t="shared" si="1623"/>
        <v>0</v>
      </c>
      <c r="V803" s="33">
        <f t="shared" si="1623"/>
        <v>0</v>
      </c>
      <c r="W803" s="33">
        <f t="shared" si="1623"/>
        <v>0</v>
      </c>
      <c r="X803" s="33">
        <f t="shared" si="1623"/>
        <v>0</v>
      </c>
      <c r="Y803" s="33">
        <f t="shared" si="1623"/>
        <v>0</v>
      </c>
      <c r="Z803" s="33">
        <f t="shared" si="1623"/>
        <v>0</v>
      </c>
      <c r="AA803" s="33">
        <f t="shared" si="1623"/>
        <v>0</v>
      </c>
      <c r="AB803" s="33">
        <f t="shared" si="1623"/>
        <v>0</v>
      </c>
      <c r="AC803" s="33">
        <f t="shared" si="1623"/>
        <v>0</v>
      </c>
      <c r="AD803" s="33">
        <f t="shared" si="1623"/>
        <v>0</v>
      </c>
      <c r="AE803" s="33">
        <f t="shared" si="1623"/>
        <v>0</v>
      </c>
      <c r="AF803" s="33">
        <f t="shared" si="1623"/>
        <v>0</v>
      </c>
      <c r="AG803" s="33">
        <f t="shared" si="1623"/>
        <v>0</v>
      </c>
      <c r="AH803" s="33">
        <f t="shared" si="1623"/>
        <v>0</v>
      </c>
      <c r="AI803" s="33">
        <f t="shared" si="1623"/>
        <v>0</v>
      </c>
      <c r="AJ803" s="33">
        <f t="shared" si="1623"/>
        <v>0</v>
      </c>
      <c r="AK803" s="33">
        <f t="shared" si="1623"/>
        <v>0</v>
      </c>
      <c r="AL803" s="33">
        <f t="shared" si="1623"/>
        <v>0</v>
      </c>
      <c r="AM803" s="33">
        <f t="shared" si="1623"/>
        <v>0</v>
      </c>
      <c r="AN803" s="33">
        <f t="shared" si="1623"/>
        <v>0</v>
      </c>
      <c r="AO803" s="33">
        <f t="shared" si="1623"/>
        <v>0</v>
      </c>
      <c r="AP803" s="33">
        <f t="shared" si="1623"/>
        <v>0</v>
      </c>
      <c r="AQ803" s="33">
        <f t="shared" si="1623"/>
        <v>0</v>
      </c>
      <c r="AR803" s="33">
        <f t="shared" si="1623"/>
        <v>0</v>
      </c>
      <c r="AS803" s="33">
        <f t="shared" si="1623"/>
        <v>0</v>
      </c>
      <c r="AT803" s="33">
        <f t="shared" si="1623"/>
        <v>0</v>
      </c>
      <c r="AU803" s="33">
        <f t="shared" si="1623"/>
        <v>0</v>
      </c>
      <c r="AV803" s="33">
        <f t="shared" si="1623"/>
        <v>0</v>
      </c>
      <c r="AW803" s="33">
        <f t="shared" si="1623"/>
        <v>0</v>
      </c>
      <c r="AX803" s="33">
        <f t="shared" si="1623"/>
        <v>0</v>
      </c>
      <c r="AY803" s="33">
        <f t="shared" si="1623"/>
        <v>0</v>
      </c>
      <c r="AZ803" s="33">
        <f t="shared" si="1623"/>
        <v>0</v>
      </c>
      <c r="BA803" s="33">
        <f t="shared" si="1623"/>
        <v>0</v>
      </c>
      <c r="BB803" s="33">
        <f t="shared" si="1623"/>
        <v>0</v>
      </c>
      <c r="BC803" s="33">
        <f t="shared" si="1623"/>
        <v>0</v>
      </c>
      <c r="BD803" s="33">
        <f t="shared" si="1623"/>
        <v>0</v>
      </c>
      <c r="BE803" s="33">
        <f t="shared" si="1623"/>
        <v>0</v>
      </c>
      <c r="BF803" s="33">
        <f t="shared" si="1623"/>
        <v>0</v>
      </c>
      <c r="BG803" s="33">
        <f t="shared" si="1623"/>
        <v>0</v>
      </c>
      <c r="BH803" s="33">
        <f t="shared" si="1623"/>
        <v>0</v>
      </c>
      <c r="BI803" s="33">
        <f t="shared" si="1623"/>
        <v>0</v>
      </c>
      <c r="BJ803" s="33">
        <f t="shared" si="1623"/>
        <v>0</v>
      </c>
      <c r="BK803" s="33">
        <f t="shared" si="1623"/>
        <v>0</v>
      </c>
      <c r="BL803" s="33">
        <f t="shared" si="1623"/>
        <v>0</v>
      </c>
      <c r="BM803" s="33">
        <f t="shared" si="1623"/>
        <v>0</v>
      </c>
      <c r="BN803" s="33">
        <f t="shared" si="1623"/>
        <v>0</v>
      </c>
      <c r="BO803" s="33">
        <f t="shared" si="1623"/>
        <v>0</v>
      </c>
      <c r="BP803" s="33">
        <f t="shared" si="1623"/>
        <v>0</v>
      </c>
      <c r="BQ803" s="33">
        <f t="shared" si="1623"/>
        <v>0</v>
      </c>
      <c r="BR803" s="33">
        <f t="shared" si="1623"/>
        <v>0</v>
      </c>
      <c r="BS803" s="33">
        <f t="shared" si="1623"/>
        <v>0</v>
      </c>
      <c r="BT803" s="33">
        <f t="shared" ref="BT803:BY803" si="1624">+IF(AND(BT$796=$C805,BT$796&lt;0),1,0)</f>
        <v>0</v>
      </c>
      <c r="BU803" s="33">
        <f t="shared" si="1624"/>
        <v>0</v>
      </c>
      <c r="BV803" s="33">
        <f t="shared" si="1624"/>
        <v>0</v>
      </c>
      <c r="BW803" s="33">
        <f t="shared" si="1624"/>
        <v>0</v>
      </c>
      <c r="BX803" s="33">
        <f t="shared" si="1624"/>
        <v>0</v>
      </c>
      <c r="BY803" s="33">
        <f t="shared" si="1624"/>
        <v>0</v>
      </c>
    </row>
    <row r="804" spans="3:77" outlineLevel="1">
      <c r="C804" s="32"/>
      <c r="D804" s="31"/>
      <c r="E804" t="s">
        <v>505</v>
      </c>
      <c r="F804" s="23" t="s">
        <v>500</v>
      </c>
      <c r="H804" s="33">
        <f t="shared" ref="H804:BS804" si="1625">+IF(AND(H$796=$C806,H$796&lt;0),1,0)</f>
        <v>0</v>
      </c>
      <c r="I804" s="33">
        <f t="shared" si="1625"/>
        <v>0</v>
      </c>
      <c r="J804" s="33">
        <f t="shared" si="1625"/>
        <v>0</v>
      </c>
      <c r="K804" s="33">
        <f t="shared" si="1625"/>
        <v>0</v>
      </c>
      <c r="L804" s="33">
        <f t="shared" si="1625"/>
        <v>0</v>
      </c>
      <c r="M804" s="33">
        <f t="shared" si="1625"/>
        <v>0</v>
      </c>
      <c r="N804" s="33">
        <f t="shared" si="1625"/>
        <v>0</v>
      </c>
      <c r="O804" s="33">
        <f t="shared" si="1625"/>
        <v>0</v>
      </c>
      <c r="P804" s="33">
        <f t="shared" si="1625"/>
        <v>0</v>
      </c>
      <c r="Q804" s="33">
        <f t="shared" si="1625"/>
        <v>0</v>
      </c>
      <c r="R804" s="33">
        <f t="shared" si="1625"/>
        <v>0</v>
      </c>
      <c r="S804" s="33">
        <f t="shared" si="1625"/>
        <v>0</v>
      </c>
      <c r="T804" s="33">
        <f t="shared" si="1625"/>
        <v>0</v>
      </c>
      <c r="U804" s="33">
        <f t="shared" si="1625"/>
        <v>0</v>
      </c>
      <c r="V804" s="33">
        <f t="shared" si="1625"/>
        <v>0</v>
      </c>
      <c r="W804" s="33">
        <f t="shared" si="1625"/>
        <v>0</v>
      </c>
      <c r="X804" s="33">
        <f t="shared" si="1625"/>
        <v>0</v>
      </c>
      <c r="Y804" s="33">
        <f t="shared" si="1625"/>
        <v>0</v>
      </c>
      <c r="Z804" s="33">
        <f t="shared" si="1625"/>
        <v>0</v>
      </c>
      <c r="AA804" s="33">
        <f t="shared" si="1625"/>
        <v>0</v>
      </c>
      <c r="AB804" s="33">
        <f t="shared" si="1625"/>
        <v>0</v>
      </c>
      <c r="AC804" s="33">
        <f t="shared" si="1625"/>
        <v>0</v>
      </c>
      <c r="AD804" s="33">
        <f t="shared" si="1625"/>
        <v>0</v>
      </c>
      <c r="AE804" s="33">
        <f t="shared" si="1625"/>
        <v>0</v>
      </c>
      <c r="AF804" s="33">
        <f t="shared" si="1625"/>
        <v>0</v>
      </c>
      <c r="AG804" s="33">
        <f t="shared" si="1625"/>
        <v>0</v>
      </c>
      <c r="AH804" s="33">
        <f t="shared" si="1625"/>
        <v>0</v>
      </c>
      <c r="AI804" s="33">
        <f t="shared" si="1625"/>
        <v>0</v>
      </c>
      <c r="AJ804" s="33">
        <f t="shared" si="1625"/>
        <v>0</v>
      </c>
      <c r="AK804" s="33">
        <f t="shared" si="1625"/>
        <v>0</v>
      </c>
      <c r="AL804" s="33">
        <f t="shared" si="1625"/>
        <v>0</v>
      </c>
      <c r="AM804" s="33">
        <f t="shared" si="1625"/>
        <v>0</v>
      </c>
      <c r="AN804" s="33">
        <f t="shared" si="1625"/>
        <v>0</v>
      </c>
      <c r="AO804" s="33">
        <f t="shared" si="1625"/>
        <v>0</v>
      </c>
      <c r="AP804" s="33">
        <f t="shared" si="1625"/>
        <v>0</v>
      </c>
      <c r="AQ804" s="33">
        <f t="shared" si="1625"/>
        <v>0</v>
      </c>
      <c r="AR804" s="33">
        <f t="shared" si="1625"/>
        <v>0</v>
      </c>
      <c r="AS804" s="33">
        <f t="shared" si="1625"/>
        <v>0</v>
      </c>
      <c r="AT804" s="33">
        <f t="shared" si="1625"/>
        <v>0</v>
      </c>
      <c r="AU804" s="33">
        <f t="shared" si="1625"/>
        <v>0</v>
      </c>
      <c r="AV804" s="33">
        <f t="shared" si="1625"/>
        <v>0</v>
      </c>
      <c r="AW804" s="33">
        <f t="shared" si="1625"/>
        <v>0</v>
      </c>
      <c r="AX804" s="33">
        <f t="shared" si="1625"/>
        <v>0</v>
      </c>
      <c r="AY804" s="33">
        <f t="shared" si="1625"/>
        <v>0</v>
      </c>
      <c r="AZ804" s="33">
        <f t="shared" si="1625"/>
        <v>0</v>
      </c>
      <c r="BA804" s="33">
        <f t="shared" si="1625"/>
        <v>0</v>
      </c>
      <c r="BB804" s="33">
        <f t="shared" si="1625"/>
        <v>0</v>
      </c>
      <c r="BC804" s="33">
        <f t="shared" si="1625"/>
        <v>0</v>
      </c>
      <c r="BD804" s="33">
        <f t="shared" si="1625"/>
        <v>0</v>
      </c>
      <c r="BE804" s="33">
        <f t="shared" si="1625"/>
        <v>0</v>
      </c>
      <c r="BF804" s="33">
        <f t="shared" si="1625"/>
        <v>0</v>
      </c>
      <c r="BG804" s="33">
        <f t="shared" si="1625"/>
        <v>0</v>
      </c>
      <c r="BH804" s="33">
        <f t="shared" si="1625"/>
        <v>0</v>
      </c>
      <c r="BI804" s="33">
        <f t="shared" si="1625"/>
        <v>0</v>
      </c>
      <c r="BJ804" s="33">
        <f t="shared" si="1625"/>
        <v>0</v>
      </c>
      <c r="BK804" s="33">
        <f t="shared" si="1625"/>
        <v>0</v>
      </c>
      <c r="BL804" s="33">
        <f t="shared" si="1625"/>
        <v>0</v>
      </c>
      <c r="BM804" s="33">
        <f t="shared" si="1625"/>
        <v>0</v>
      </c>
      <c r="BN804" s="33">
        <f t="shared" si="1625"/>
        <v>0</v>
      </c>
      <c r="BO804" s="33">
        <f t="shared" si="1625"/>
        <v>0</v>
      </c>
      <c r="BP804" s="33">
        <f t="shared" si="1625"/>
        <v>0</v>
      </c>
      <c r="BQ804" s="33">
        <f t="shared" si="1625"/>
        <v>0</v>
      </c>
      <c r="BR804" s="33">
        <f t="shared" si="1625"/>
        <v>0</v>
      </c>
      <c r="BS804" s="33">
        <f t="shared" si="1625"/>
        <v>0</v>
      </c>
      <c r="BT804" s="33">
        <f t="shared" ref="BT804:BY804" si="1626">+IF(AND(BT$796=$C806,BT$796&lt;0),1,0)</f>
        <v>0</v>
      </c>
      <c r="BU804" s="33">
        <f t="shared" si="1626"/>
        <v>0</v>
      </c>
      <c r="BV804" s="33">
        <f t="shared" si="1626"/>
        <v>0</v>
      </c>
      <c r="BW804" s="33">
        <f t="shared" si="1626"/>
        <v>0</v>
      </c>
      <c r="BX804" s="33">
        <f t="shared" si="1626"/>
        <v>0</v>
      </c>
      <c r="BY804" s="33">
        <f t="shared" si="1626"/>
        <v>0</v>
      </c>
    </row>
    <row r="805" spans="3:77" outlineLevel="1">
      <c r="C805" s="32"/>
      <c r="D805" s="31"/>
      <c r="E805" t="s">
        <v>506</v>
      </c>
      <c r="F805" s="23" t="s">
        <v>500</v>
      </c>
      <c r="H805" s="33">
        <f t="shared" ref="H805:BS805" si="1627">+IF(AND(H$796=$C807,H$796&lt;0),1,0)</f>
        <v>0</v>
      </c>
      <c r="I805" s="33">
        <f t="shared" si="1627"/>
        <v>0</v>
      </c>
      <c r="J805" s="33">
        <f t="shared" si="1627"/>
        <v>0</v>
      </c>
      <c r="K805" s="33">
        <f t="shared" si="1627"/>
        <v>0</v>
      </c>
      <c r="L805" s="33">
        <f t="shared" si="1627"/>
        <v>0</v>
      </c>
      <c r="M805" s="33">
        <f t="shared" si="1627"/>
        <v>0</v>
      </c>
      <c r="N805" s="33">
        <f t="shared" si="1627"/>
        <v>0</v>
      </c>
      <c r="O805" s="33">
        <f t="shared" si="1627"/>
        <v>0</v>
      </c>
      <c r="P805" s="33">
        <f t="shared" si="1627"/>
        <v>0</v>
      </c>
      <c r="Q805" s="33">
        <f t="shared" si="1627"/>
        <v>0</v>
      </c>
      <c r="R805" s="33">
        <f t="shared" si="1627"/>
        <v>0</v>
      </c>
      <c r="S805" s="33">
        <f t="shared" si="1627"/>
        <v>0</v>
      </c>
      <c r="T805" s="33">
        <f t="shared" si="1627"/>
        <v>0</v>
      </c>
      <c r="U805" s="33">
        <f t="shared" si="1627"/>
        <v>0</v>
      </c>
      <c r="V805" s="33">
        <f t="shared" si="1627"/>
        <v>0</v>
      </c>
      <c r="W805" s="33">
        <f t="shared" si="1627"/>
        <v>0</v>
      </c>
      <c r="X805" s="33">
        <f t="shared" si="1627"/>
        <v>0</v>
      </c>
      <c r="Y805" s="33">
        <f t="shared" si="1627"/>
        <v>0</v>
      </c>
      <c r="Z805" s="33">
        <f t="shared" si="1627"/>
        <v>0</v>
      </c>
      <c r="AA805" s="33">
        <f t="shared" si="1627"/>
        <v>0</v>
      </c>
      <c r="AB805" s="33">
        <f t="shared" si="1627"/>
        <v>0</v>
      </c>
      <c r="AC805" s="33">
        <f t="shared" si="1627"/>
        <v>0</v>
      </c>
      <c r="AD805" s="33">
        <f t="shared" si="1627"/>
        <v>0</v>
      </c>
      <c r="AE805" s="33">
        <f t="shared" si="1627"/>
        <v>0</v>
      </c>
      <c r="AF805" s="33">
        <f t="shared" si="1627"/>
        <v>0</v>
      </c>
      <c r="AG805" s="33">
        <f t="shared" si="1627"/>
        <v>0</v>
      </c>
      <c r="AH805" s="33">
        <f t="shared" si="1627"/>
        <v>0</v>
      </c>
      <c r="AI805" s="33">
        <f t="shared" si="1627"/>
        <v>0</v>
      </c>
      <c r="AJ805" s="33">
        <f t="shared" si="1627"/>
        <v>0</v>
      </c>
      <c r="AK805" s="33">
        <f t="shared" si="1627"/>
        <v>0</v>
      </c>
      <c r="AL805" s="33">
        <f t="shared" si="1627"/>
        <v>0</v>
      </c>
      <c r="AM805" s="33">
        <f t="shared" si="1627"/>
        <v>0</v>
      </c>
      <c r="AN805" s="33">
        <f t="shared" si="1627"/>
        <v>0</v>
      </c>
      <c r="AO805" s="33">
        <f t="shared" si="1627"/>
        <v>0</v>
      </c>
      <c r="AP805" s="33">
        <f t="shared" si="1627"/>
        <v>0</v>
      </c>
      <c r="AQ805" s="33">
        <f t="shared" si="1627"/>
        <v>0</v>
      </c>
      <c r="AR805" s="33">
        <f t="shared" si="1627"/>
        <v>0</v>
      </c>
      <c r="AS805" s="33">
        <f t="shared" si="1627"/>
        <v>0</v>
      </c>
      <c r="AT805" s="33">
        <f t="shared" si="1627"/>
        <v>0</v>
      </c>
      <c r="AU805" s="33">
        <f t="shared" si="1627"/>
        <v>0</v>
      </c>
      <c r="AV805" s="33">
        <f t="shared" si="1627"/>
        <v>0</v>
      </c>
      <c r="AW805" s="33">
        <f t="shared" si="1627"/>
        <v>0</v>
      </c>
      <c r="AX805" s="33">
        <f t="shared" si="1627"/>
        <v>0</v>
      </c>
      <c r="AY805" s="33">
        <f t="shared" si="1627"/>
        <v>0</v>
      </c>
      <c r="AZ805" s="33">
        <f t="shared" si="1627"/>
        <v>0</v>
      </c>
      <c r="BA805" s="33">
        <f t="shared" si="1627"/>
        <v>0</v>
      </c>
      <c r="BB805" s="33">
        <f t="shared" si="1627"/>
        <v>0</v>
      </c>
      <c r="BC805" s="33">
        <f t="shared" si="1627"/>
        <v>0</v>
      </c>
      <c r="BD805" s="33">
        <f t="shared" si="1627"/>
        <v>0</v>
      </c>
      <c r="BE805" s="33">
        <f t="shared" si="1627"/>
        <v>0</v>
      </c>
      <c r="BF805" s="33">
        <f t="shared" si="1627"/>
        <v>0</v>
      </c>
      <c r="BG805" s="33">
        <f t="shared" si="1627"/>
        <v>0</v>
      </c>
      <c r="BH805" s="33">
        <f t="shared" si="1627"/>
        <v>0</v>
      </c>
      <c r="BI805" s="33">
        <f t="shared" si="1627"/>
        <v>0</v>
      </c>
      <c r="BJ805" s="33">
        <f t="shared" si="1627"/>
        <v>0</v>
      </c>
      <c r="BK805" s="33">
        <f t="shared" si="1627"/>
        <v>0</v>
      </c>
      <c r="BL805" s="33">
        <f t="shared" si="1627"/>
        <v>0</v>
      </c>
      <c r="BM805" s="33">
        <f t="shared" si="1627"/>
        <v>0</v>
      </c>
      <c r="BN805" s="33">
        <f t="shared" si="1627"/>
        <v>0</v>
      </c>
      <c r="BO805" s="33">
        <f t="shared" si="1627"/>
        <v>0</v>
      </c>
      <c r="BP805" s="33">
        <f t="shared" si="1627"/>
        <v>0</v>
      </c>
      <c r="BQ805" s="33">
        <f t="shared" si="1627"/>
        <v>0</v>
      </c>
      <c r="BR805" s="33">
        <f t="shared" si="1627"/>
        <v>0</v>
      </c>
      <c r="BS805" s="33">
        <f t="shared" si="1627"/>
        <v>0</v>
      </c>
      <c r="BT805" s="33">
        <f t="shared" ref="BT805:BY805" si="1628">+IF(AND(BT$796=$C807,BT$796&lt;0),1,0)</f>
        <v>0</v>
      </c>
      <c r="BU805" s="33">
        <f t="shared" si="1628"/>
        <v>0</v>
      </c>
      <c r="BV805" s="33">
        <f t="shared" si="1628"/>
        <v>0</v>
      </c>
      <c r="BW805" s="33">
        <f t="shared" si="1628"/>
        <v>0</v>
      </c>
      <c r="BX805" s="33">
        <f t="shared" si="1628"/>
        <v>0</v>
      </c>
      <c r="BY805" s="33">
        <f t="shared" si="1628"/>
        <v>0</v>
      </c>
    </row>
    <row r="806" spans="3:77" outlineLevel="1">
      <c r="C806" s="32"/>
      <c r="D806" s="31"/>
      <c r="E806" t="s">
        <v>507</v>
      </c>
      <c r="F806" s="23" t="s">
        <v>500</v>
      </c>
      <c r="H806" s="33">
        <f t="shared" ref="H806:BS806" si="1629">+IF(AND(H$796=$C808,H$796&lt;0),1,0)</f>
        <v>0</v>
      </c>
      <c r="I806" s="33">
        <f t="shared" si="1629"/>
        <v>0</v>
      </c>
      <c r="J806" s="33">
        <f t="shared" si="1629"/>
        <v>0</v>
      </c>
      <c r="K806" s="33">
        <f t="shared" si="1629"/>
        <v>0</v>
      </c>
      <c r="L806" s="33">
        <f t="shared" si="1629"/>
        <v>0</v>
      </c>
      <c r="M806" s="33">
        <f t="shared" si="1629"/>
        <v>0</v>
      </c>
      <c r="N806" s="33">
        <f t="shared" si="1629"/>
        <v>0</v>
      </c>
      <c r="O806" s="33">
        <f t="shared" si="1629"/>
        <v>0</v>
      </c>
      <c r="P806" s="33">
        <f t="shared" si="1629"/>
        <v>0</v>
      </c>
      <c r="Q806" s="33">
        <f t="shared" si="1629"/>
        <v>0</v>
      </c>
      <c r="R806" s="33">
        <f t="shared" si="1629"/>
        <v>0</v>
      </c>
      <c r="S806" s="33">
        <f t="shared" si="1629"/>
        <v>0</v>
      </c>
      <c r="T806" s="33">
        <f t="shared" si="1629"/>
        <v>0</v>
      </c>
      <c r="U806" s="33">
        <f t="shared" si="1629"/>
        <v>0</v>
      </c>
      <c r="V806" s="33">
        <f t="shared" si="1629"/>
        <v>0</v>
      </c>
      <c r="W806" s="33">
        <f t="shared" si="1629"/>
        <v>0</v>
      </c>
      <c r="X806" s="33">
        <f t="shared" si="1629"/>
        <v>0</v>
      </c>
      <c r="Y806" s="33">
        <f t="shared" si="1629"/>
        <v>0</v>
      </c>
      <c r="Z806" s="33">
        <f t="shared" si="1629"/>
        <v>0</v>
      </c>
      <c r="AA806" s="33">
        <f t="shared" si="1629"/>
        <v>0</v>
      </c>
      <c r="AB806" s="33">
        <f t="shared" si="1629"/>
        <v>0</v>
      </c>
      <c r="AC806" s="33">
        <f t="shared" si="1629"/>
        <v>0</v>
      </c>
      <c r="AD806" s="33">
        <f t="shared" si="1629"/>
        <v>0</v>
      </c>
      <c r="AE806" s="33">
        <f t="shared" si="1629"/>
        <v>0</v>
      </c>
      <c r="AF806" s="33">
        <f t="shared" si="1629"/>
        <v>0</v>
      </c>
      <c r="AG806" s="33">
        <f t="shared" si="1629"/>
        <v>0</v>
      </c>
      <c r="AH806" s="33">
        <f t="shared" si="1629"/>
        <v>0</v>
      </c>
      <c r="AI806" s="33">
        <f t="shared" si="1629"/>
        <v>0</v>
      </c>
      <c r="AJ806" s="33">
        <f t="shared" si="1629"/>
        <v>0</v>
      </c>
      <c r="AK806" s="33">
        <f t="shared" si="1629"/>
        <v>0</v>
      </c>
      <c r="AL806" s="33">
        <f t="shared" si="1629"/>
        <v>0</v>
      </c>
      <c r="AM806" s="33">
        <f t="shared" si="1629"/>
        <v>0</v>
      </c>
      <c r="AN806" s="33">
        <f t="shared" si="1629"/>
        <v>0</v>
      </c>
      <c r="AO806" s="33">
        <f t="shared" si="1629"/>
        <v>0</v>
      </c>
      <c r="AP806" s="33">
        <f t="shared" si="1629"/>
        <v>0</v>
      </c>
      <c r="AQ806" s="33">
        <f t="shared" si="1629"/>
        <v>0</v>
      </c>
      <c r="AR806" s="33">
        <f t="shared" si="1629"/>
        <v>0</v>
      </c>
      <c r="AS806" s="33">
        <f t="shared" si="1629"/>
        <v>0</v>
      </c>
      <c r="AT806" s="33">
        <f t="shared" si="1629"/>
        <v>0</v>
      </c>
      <c r="AU806" s="33">
        <f t="shared" si="1629"/>
        <v>0</v>
      </c>
      <c r="AV806" s="33">
        <f t="shared" si="1629"/>
        <v>0</v>
      </c>
      <c r="AW806" s="33">
        <f t="shared" si="1629"/>
        <v>0</v>
      </c>
      <c r="AX806" s="33">
        <f t="shared" si="1629"/>
        <v>0</v>
      </c>
      <c r="AY806" s="33">
        <f t="shared" si="1629"/>
        <v>0</v>
      </c>
      <c r="AZ806" s="33">
        <f t="shared" si="1629"/>
        <v>0</v>
      </c>
      <c r="BA806" s="33">
        <f t="shared" si="1629"/>
        <v>0</v>
      </c>
      <c r="BB806" s="33">
        <f t="shared" si="1629"/>
        <v>0</v>
      </c>
      <c r="BC806" s="33">
        <f t="shared" si="1629"/>
        <v>0</v>
      </c>
      <c r="BD806" s="33">
        <f t="shared" si="1629"/>
        <v>0</v>
      </c>
      <c r="BE806" s="33">
        <f t="shared" si="1629"/>
        <v>0</v>
      </c>
      <c r="BF806" s="33">
        <f t="shared" si="1629"/>
        <v>0</v>
      </c>
      <c r="BG806" s="33">
        <f t="shared" si="1629"/>
        <v>0</v>
      </c>
      <c r="BH806" s="33">
        <f t="shared" si="1629"/>
        <v>0</v>
      </c>
      <c r="BI806" s="33">
        <f t="shared" si="1629"/>
        <v>0</v>
      </c>
      <c r="BJ806" s="33">
        <f t="shared" si="1629"/>
        <v>0</v>
      </c>
      <c r="BK806" s="33">
        <f t="shared" si="1629"/>
        <v>0</v>
      </c>
      <c r="BL806" s="33">
        <f t="shared" si="1629"/>
        <v>0</v>
      </c>
      <c r="BM806" s="33">
        <f t="shared" si="1629"/>
        <v>0</v>
      </c>
      <c r="BN806" s="33">
        <f t="shared" si="1629"/>
        <v>0</v>
      </c>
      <c r="BO806" s="33">
        <f t="shared" si="1629"/>
        <v>0</v>
      </c>
      <c r="BP806" s="33">
        <f t="shared" si="1629"/>
        <v>0</v>
      </c>
      <c r="BQ806" s="33">
        <f t="shared" si="1629"/>
        <v>0</v>
      </c>
      <c r="BR806" s="33">
        <f t="shared" si="1629"/>
        <v>0</v>
      </c>
      <c r="BS806" s="33">
        <f t="shared" si="1629"/>
        <v>0</v>
      </c>
      <c r="BT806" s="33">
        <f t="shared" ref="BT806:BY806" si="1630">+IF(AND(BT$796=$C808,BT$796&lt;0),1,0)</f>
        <v>0</v>
      </c>
      <c r="BU806" s="33">
        <f t="shared" si="1630"/>
        <v>0</v>
      </c>
      <c r="BV806" s="33">
        <f t="shared" si="1630"/>
        <v>0</v>
      </c>
      <c r="BW806" s="33">
        <f t="shared" si="1630"/>
        <v>0</v>
      </c>
      <c r="BX806" s="33">
        <f t="shared" si="1630"/>
        <v>0</v>
      </c>
      <c r="BY806" s="33">
        <f t="shared" si="1630"/>
        <v>0</v>
      </c>
    </row>
    <row r="807" spans="3:77" outlineLevel="1">
      <c r="C807" s="32"/>
      <c r="D807" s="31"/>
      <c r="E807" t="s">
        <v>508</v>
      </c>
      <c r="F807" s="23" t="s">
        <v>500</v>
      </c>
      <c r="H807" s="33">
        <f t="shared" ref="H807:BS807" si="1631">+IF(AND(H$796=$C809,H$796&lt;0),1,0)</f>
        <v>0</v>
      </c>
      <c r="I807" s="33">
        <f t="shared" si="1631"/>
        <v>0</v>
      </c>
      <c r="J807" s="33">
        <f t="shared" si="1631"/>
        <v>0</v>
      </c>
      <c r="K807" s="33">
        <f t="shared" si="1631"/>
        <v>0</v>
      </c>
      <c r="L807" s="33">
        <f t="shared" si="1631"/>
        <v>0</v>
      </c>
      <c r="M807" s="33">
        <f t="shared" si="1631"/>
        <v>0</v>
      </c>
      <c r="N807" s="33">
        <f t="shared" si="1631"/>
        <v>0</v>
      </c>
      <c r="O807" s="33">
        <f t="shared" si="1631"/>
        <v>0</v>
      </c>
      <c r="P807" s="33">
        <f t="shared" si="1631"/>
        <v>0</v>
      </c>
      <c r="Q807" s="33">
        <f t="shared" si="1631"/>
        <v>0</v>
      </c>
      <c r="R807" s="33">
        <f t="shared" si="1631"/>
        <v>0</v>
      </c>
      <c r="S807" s="33">
        <f t="shared" si="1631"/>
        <v>0</v>
      </c>
      <c r="T807" s="33">
        <f t="shared" si="1631"/>
        <v>0</v>
      </c>
      <c r="U807" s="33">
        <f t="shared" si="1631"/>
        <v>0</v>
      </c>
      <c r="V807" s="33">
        <f t="shared" si="1631"/>
        <v>0</v>
      </c>
      <c r="W807" s="33">
        <f t="shared" si="1631"/>
        <v>0</v>
      </c>
      <c r="X807" s="33">
        <f t="shared" si="1631"/>
        <v>0</v>
      </c>
      <c r="Y807" s="33">
        <f t="shared" si="1631"/>
        <v>0</v>
      </c>
      <c r="Z807" s="33">
        <f t="shared" si="1631"/>
        <v>0</v>
      </c>
      <c r="AA807" s="33">
        <f t="shared" si="1631"/>
        <v>0</v>
      </c>
      <c r="AB807" s="33">
        <f t="shared" si="1631"/>
        <v>0</v>
      </c>
      <c r="AC807" s="33">
        <f t="shared" si="1631"/>
        <v>0</v>
      </c>
      <c r="AD807" s="33">
        <f t="shared" si="1631"/>
        <v>0</v>
      </c>
      <c r="AE807" s="33">
        <f t="shared" si="1631"/>
        <v>0</v>
      </c>
      <c r="AF807" s="33">
        <f t="shared" si="1631"/>
        <v>0</v>
      </c>
      <c r="AG807" s="33">
        <f t="shared" si="1631"/>
        <v>0</v>
      </c>
      <c r="AH807" s="33">
        <f t="shared" si="1631"/>
        <v>0</v>
      </c>
      <c r="AI807" s="33">
        <f t="shared" si="1631"/>
        <v>0</v>
      </c>
      <c r="AJ807" s="33">
        <f t="shared" si="1631"/>
        <v>0</v>
      </c>
      <c r="AK807" s="33">
        <f t="shared" si="1631"/>
        <v>0</v>
      </c>
      <c r="AL807" s="33">
        <f t="shared" si="1631"/>
        <v>0</v>
      </c>
      <c r="AM807" s="33">
        <f t="shared" si="1631"/>
        <v>0</v>
      </c>
      <c r="AN807" s="33">
        <f t="shared" si="1631"/>
        <v>0</v>
      </c>
      <c r="AO807" s="33">
        <f t="shared" si="1631"/>
        <v>0</v>
      </c>
      <c r="AP807" s="33">
        <f t="shared" si="1631"/>
        <v>0</v>
      </c>
      <c r="AQ807" s="33">
        <f t="shared" si="1631"/>
        <v>0</v>
      </c>
      <c r="AR807" s="33">
        <f t="shared" si="1631"/>
        <v>0</v>
      </c>
      <c r="AS807" s="33">
        <f t="shared" si="1631"/>
        <v>0</v>
      </c>
      <c r="AT807" s="33">
        <f t="shared" si="1631"/>
        <v>0</v>
      </c>
      <c r="AU807" s="33">
        <f t="shared" si="1631"/>
        <v>0</v>
      </c>
      <c r="AV807" s="33">
        <f t="shared" si="1631"/>
        <v>0</v>
      </c>
      <c r="AW807" s="33">
        <f t="shared" si="1631"/>
        <v>0</v>
      </c>
      <c r="AX807" s="33">
        <f t="shared" si="1631"/>
        <v>0</v>
      </c>
      <c r="AY807" s="33">
        <f t="shared" si="1631"/>
        <v>0</v>
      </c>
      <c r="AZ807" s="33">
        <f t="shared" si="1631"/>
        <v>0</v>
      </c>
      <c r="BA807" s="33">
        <f t="shared" si="1631"/>
        <v>0</v>
      </c>
      <c r="BB807" s="33">
        <f t="shared" si="1631"/>
        <v>0</v>
      </c>
      <c r="BC807" s="33">
        <f t="shared" si="1631"/>
        <v>0</v>
      </c>
      <c r="BD807" s="33">
        <f t="shared" si="1631"/>
        <v>0</v>
      </c>
      <c r="BE807" s="33">
        <f t="shared" si="1631"/>
        <v>0</v>
      </c>
      <c r="BF807" s="33">
        <f t="shared" si="1631"/>
        <v>0</v>
      </c>
      <c r="BG807" s="33">
        <f t="shared" si="1631"/>
        <v>0</v>
      </c>
      <c r="BH807" s="33">
        <f t="shared" si="1631"/>
        <v>0</v>
      </c>
      <c r="BI807" s="33">
        <f t="shared" si="1631"/>
        <v>0</v>
      </c>
      <c r="BJ807" s="33">
        <f t="shared" si="1631"/>
        <v>0</v>
      </c>
      <c r="BK807" s="33">
        <f t="shared" si="1631"/>
        <v>0</v>
      </c>
      <c r="BL807" s="33">
        <f t="shared" si="1631"/>
        <v>0</v>
      </c>
      <c r="BM807" s="33">
        <f t="shared" si="1631"/>
        <v>0</v>
      </c>
      <c r="BN807" s="33">
        <f t="shared" si="1631"/>
        <v>0</v>
      </c>
      <c r="BO807" s="33">
        <f t="shared" si="1631"/>
        <v>0</v>
      </c>
      <c r="BP807" s="33">
        <f t="shared" si="1631"/>
        <v>0</v>
      </c>
      <c r="BQ807" s="33">
        <f t="shared" si="1631"/>
        <v>0</v>
      </c>
      <c r="BR807" s="33">
        <f t="shared" si="1631"/>
        <v>0</v>
      </c>
      <c r="BS807" s="33">
        <f t="shared" si="1631"/>
        <v>0</v>
      </c>
      <c r="BT807" s="33">
        <f t="shared" ref="BT807:BY807" si="1632">+IF(AND(BT$796=$C809,BT$796&lt;0),1,0)</f>
        <v>0</v>
      </c>
      <c r="BU807" s="33">
        <f t="shared" si="1632"/>
        <v>0</v>
      </c>
      <c r="BV807" s="33">
        <f t="shared" si="1632"/>
        <v>0</v>
      </c>
      <c r="BW807" s="33">
        <f t="shared" si="1632"/>
        <v>0</v>
      </c>
      <c r="BX807" s="33">
        <f t="shared" si="1632"/>
        <v>0</v>
      </c>
      <c r="BY807" s="33">
        <f t="shared" si="1632"/>
        <v>0</v>
      </c>
    </row>
    <row r="808" spans="3:77" outlineLevel="1">
      <c r="C808" s="32"/>
      <c r="D808" s="31"/>
      <c r="E808" t="s">
        <v>509</v>
      </c>
      <c r="F808" s="23" t="s">
        <v>500</v>
      </c>
      <c r="H808" s="33">
        <f t="shared" ref="H808:BS808" si="1633">+IF(AND(H$796=$C810,H$796&lt;0),1,0)</f>
        <v>0</v>
      </c>
      <c r="I808" s="33">
        <f t="shared" si="1633"/>
        <v>0</v>
      </c>
      <c r="J808" s="33">
        <f t="shared" si="1633"/>
        <v>0</v>
      </c>
      <c r="K808" s="33">
        <f t="shared" si="1633"/>
        <v>0</v>
      </c>
      <c r="L808" s="33">
        <f t="shared" si="1633"/>
        <v>0</v>
      </c>
      <c r="M808" s="33">
        <f t="shared" si="1633"/>
        <v>0</v>
      </c>
      <c r="N808" s="33">
        <f t="shared" si="1633"/>
        <v>0</v>
      </c>
      <c r="O808" s="33">
        <f t="shared" si="1633"/>
        <v>0</v>
      </c>
      <c r="P808" s="33">
        <f t="shared" si="1633"/>
        <v>0</v>
      </c>
      <c r="Q808" s="33">
        <f t="shared" si="1633"/>
        <v>0</v>
      </c>
      <c r="R808" s="33">
        <f t="shared" si="1633"/>
        <v>0</v>
      </c>
      <c r="S808" s="33">
        <f t="shared" si="1633"/>
        <v>0</v>
      </c>
      <c r="T808" s="33">
        <f t="shared" si="1633"/>
        <v>0</v>
      </c>
      <c r="U808" s="33">
        <f t="shared" si="1633"/>
        <v>0</v>
      </c>
      <c r="V808" s="33">
        <f t="shared" si="1633"/>
        <v>0</v>
      </c>
      <c r="W808" s="33">
        <f t="shared" si="1633"/>
        <v>0</v>
      </c>
      <c r="X808" s="33">
        <f t="shared" si="1633"/>
        <v>0</v>
      </c>
      <c r="Y808" s="33">
        <f t="shared" si="1633"/>
        <v>0</v>
      </c>
      <c r="Z808" s="33">
        <f t="shared" si="1633"/>
        <v>0</v>
      </c>
      <c r="AA808" s="33">
        <f t="shared" si="1633"/>
        <v>0</v>
      </c>
      <c r="AB808" s="33">
        <f t="shared" si="1633"/>
        <v>0</v>
      </c>
      <c r="AC808" s="33">
        <f t="shared" si="1633"/>
        <v>0</v>
      </c>
      <c r="AD808" s="33">
        <f t="shared" si="1633"/>
        <v>0</v>
      </c>
      <c r="AE808" s="33">
        <f t="shared" si="1633"/>
        <v>0</v>
      </c>
      <c r="AF808" s="33">
        <f t="shared" si="1633"/>
        <v>0</v>
      </c>
      <c r="AG808" s="33">
        <f t="shared" si="1633"/>
        <v>0</v>
      </c>
      <c r="AH808" s="33">
        <f t="shared" si="1633"/>
        <v>0</v>
      </c>
      <c r="AI808" s="33">
        <f t="shared" si="1633"/>
        <v>0</v>
      </c>
      <c r="AJ808" s="33">
        <f t="shared" si="1633"/>
        <v>0</v>
      </c>
      <c r="AK808" s="33">
        <f t="shared" si="1633"/>
        <v>0</v>
      </c>
      <c r="AL808" s="33">
        <f t="shared" si="1633"/>
        <v>0</v>
      </c>
      <c r="AM808" s="33">
        <f t="shared" si="1633"/>
        <v>0</v>
      </c>
      <c r="AN808" s="33">
        <f t="shared" si="1633"/>
        <v>0</v>
      </c>
      <c r="AO808" s="33">
        <f t="shared" si="1633"/>
        <v>0</v>
      </c>
      <c r="AP808" s="33">
        <f t="shared" si="1633"/>
        <v>0</v>
      </c>
      <c r="AQ808" s="33">
        <f t="shared" si="1633"/>
        <v>0</v>
      </c>
      <c r="AR808" s="33">
        <f t="shared" si="1633"/>
        <v>0</v>
      </c>
      <c r="AS808" s="33">
        <f t="shared" si="1633"/>
        <v>0</v>
      </c>
      <c r="AT808" s="33">
        <f t="shared" si="1633"/>
        <v>0</v>
      </c>
      <c r="AU808" s="33">
        <f t="shared" si="1633"/>
        <v>0</v>
      </c>
      <c r="AV808" s="33">
        <f t="shared" si="1633"/>
        <v>0</v>
      </c>
      <c r="AW808" s="33">
        <f t="shared" si="1633"/>
        <v>0</v>
      </c>
      <c r="AX808" s="33">
        <f t="shared" si="1633"/>
        <v>0</v>
      </c>
      <c r="AY808" s="33">
        <f t="shared" si="1633"/>
        <v>0</v>
      </c>
      <c r="AZ808" s="33">
        <f t="shared" si="1633"/>
        <v>0</v>
      </c>
      <c r="BA808" s="33">
        <f t="shared" si="1633"/>
        <v>0</v>
      </c>
      <c r="BB808" s="33">
        <f t="shared" si="1633"/>
        <v>0</v>
      </c>
      <c r="BC808" s="33">
        <f t="shared" si="1633"/>
        <v>0</v>
      </c>
      <c r="BD808" s="33">
        <f t="shared" si="1633"/>
        <v>0</v>
      </c>
      <c r="BE808" s="33">
        <f t="shared" si="1633"/>
        <v>0</v>
      </c>
      <c r="BF808" s="33">
        <f t="shared" si="1633"/>
        <v>0</v>
      </c>
      <c r="BG808" s="33">
        <f t="shared" si="1633"/>
        <v>0</v>
      </c>
      <c r="BH808" s="33">
        <f t="shared" si="1633"/>
        <v>0</v>
      </c>
      <c r="BI808" s="33">
        <f t="shared" si="1633"/>
        <v>0</v>
      </c>
      <c r="BJ808" s="33">
        <f t="shared" si="1633"/>
        <v>0</v>
      </c>
      <c r="BK808" s="33">
        <f t="shared" si="1633"/>
        <v>0</v>
      </c>
      <c r="BL808" s="33">
        <f t="shared" si="1633"/>
        <v>0</v>
      </c>
      <c r="BM808" s="33">
        <f t="shared" si="1633"/>
        <v>0</v>
      </c>
      <c r="BN808" s="33">
        <f t="shared" si="1633"/>
        <v>0</v>
      </c>
      <c r="BO808" s="33">
        <f t="shared" si="1633"/>
        <v>0</v>
      </c>
      <c r="BP808" s="33">
        <f t="shared" si="1633"/>
        <v>0</v>
      </c>
      <c r="BQ808" s="33">
        <f t="shared" si="1633"/>
        <v>0</v>
      </c>
      <c r="BR808" s="33">
        <f t="shared" si="1633"/>
        <v>0</v>
      </c>
      <c r="BS808" s="33">
        <f t="shared" si="1633"/>
        <v>0</v>
      </c>
      <c r="BT808" s="33">
        <f t="shared" ref="BT808:BY808" si="1634">+IF(AND(BT$796=$C810,BT$796&lt;0),1,0)</f>
        <v>0</v>
      </c>
      <c r="BU808" s="33">
        <f t="shared" si="1634"/>
        <v>0</v>
      </c>
      <c r="BV808" s="33">
        <f t="shared" si="1634"/>
        <v>0</v>
      </c>
      <c r="BW808" s="33">
        <f t="shared" si="1634"/>
        <v>0</v>
      </c>
      <c r="BX808" s="33">
        <f t="shared" si="1634"/>
        <v>0</v>
      </c>
      <c r="BY808" s="33">
        <f t="shared" si="1634"/>
        <v>0</v>
      </c>
    </row>
    <row r="809" spans="3:77" outlineLevel="1">
      <c r="C809" s="32"/>
      <c r="D809" s="31"/>
      <c r="E809" s="25" t="s">
        <v>510</v>
      </c>
      <c r="F809" s="30" t="s">
        <v>500</v>
      </c>
      <c r="G809" s="25"/>
      <c r="H809" s="34">
        <f t="shared" ref="H809:BS809" si="1635">+IF(AND(H$796=$C811,H$796&lt;0),1,0)</f>
        <v>0</v>
      </c>
      <c r="I809" s="34">
        <f t="shared" si="1635"/>
        <v>0</v>
      </c>
      <c r="J809" s="34">
        <f t="shared" si="1635"/>
        <v>0</v>
      </c>
      <c r="K809" s="34">
        <f t="shared" si="1635"/>
        <v>0</v>
      </c>
      <c r="L809" s="34">
        <f t="shared" si="1635"/>
        <v>0</v>
      </c>
      <c r="M809" s="34">
        <f t="shared" si="1635"/>
        <v>0</v>
      </c>
      <c r="N809" s="34">
        <f t="shared" si="1635"/>
        <v>0</v>
      </c>
      <c r="O809" s="34">
        <f t="shared" si="1635"/>
        <v>0</v>
      </c>
      <c r="P809" s="34">
        <f t="shared" si="1635"/>
        <v>0</v>
      </c>
      <c r="Q809" s="34">
        <f t="shared" si="1635"/>
        <v>0</v>
      </c>
      <c r="R809" s="34">
        <f t="shared" si="1635"/>
        <v>0</v>
      </c>
      <c r="S809" s="34">
        <f t="shared" si="1635"/>
        <v>0</v>
      </c>
      <c r="T809" s="34">
        <f t="shared" si="1635"/>
        <v>0</v>
      </c>
      <c r="U809" s="34">
        <f t="shared" si="1635"/>
        <v>0</v>
      </c>
      <c r="V809" s="34">
        <f t="shared" si="1635"/>
        <v>0</v>
      </c>
      <c r="W809" s="34">
        <f t="shared" si="1635"/>
        <v>0</v>
      </c>
      <c r="X809" s="34">
        <f t="shared" si="1635"/>
        <v>0</v>
      </c>
      <c r="Y809" s="34">
        <f t="shared" si="1635"/>
        <v>0</v>
      </c>
      <c r="Z809" s="34">
        <f t="shared" si="1635"/>
        <v>0</v>
      </c>
      <c r="AA809" s="34">
        <f t="shared" si="1635"/>
        <v>0</v>
      </c>
      <c r="AB809" s="34">
        <f t="shared" si="1635"/>
        <v>0</v>
      </c>
      <c r="AC809" s="34">
        <f t="shared" si="1635"/>
        <v>0</v>
      </c>
      <c r="AD809" s="34">
        <f t="shared" si="1635"/>
        <v>0</v>
      </c>
      <c r="AE809" s="34">
        <f t="shared" si="1635"/>
        <v>0</v>
      </c>
      <c r="AF809" s="34">
        <f t="shared" si="1635"/>
        <v>0</v>
      </c>
      <c r="AG809" s="34">
        <f t="shared" si="1635"/>
        <v>0</v>
      </c>
      <c r="AH809" s="34">
        <f t="shared" si="1635"/>
        <v>0</v>
      </c>
      <c r="AI809" s="34">
        <f t="shared" si="1635"/>
        <v>0</v>
      </c>
      <c r="AJ809" s="34">
        <f t="shared" si="1635"/>
        <v>0</v>
      </c>
      <c r="AK809" s="34">
        <f t="shared" si="1635"/>
        <v>0</v>
      </c>
      <c r="AL809" s="34">
        <f t="shared" si="1635"/>
        <v>0</v>
      </c>
      <c r="AM809" s="34">
        <f t="shared" si="1635"/>
        <v>0</v>
      </c>
      <c r="AN809" s="34">
        <f t="shared" si="1635"/>
        <v>0</v>
      </c>
      <c r="AO809" s="34">
        <f t="shared" si="1635"/>
        <v>0</v>
      </c>
      <c r="AP809" s="34">
        <f t="shared" si="1635"/>
        <v>0</v>
      </c>
      <c r="AQ809" s="34">
        <f t="shared" si="1635"/>
        <v>0</v>
      </c>
      <c r="AR809" s="34">
        <f t="shared" si="1635"/>
        <v>0</v>
      </c>
      <c r="AS809" s="34">
        <f t="shared" si="1635"/>
        <v>0</v>
      </c>
      <c r="AT809" s="34">
        <f t="shared" si="1635"/>
        <v>0</v>
      </c>
      <c r="AU809" s="34">
        <f t="shared" si="1635"/>
        <v>0</v>
      </c>
      <c r="AV809" s="34">
        <f t="shared" si="1635"/>
        <v>0</v>
      </c>
      <c r="AW809" s="34">
        <f t="shared" si="1635"/>
        <v>0</v>
      </c>
      <c r="AX809" s="34">
        <f t="shared" si="1635"/>
        <v>0</v>
      </c>
      <c r="AY809" s="34">
        <f t="shared" si="1635"/>
        <v>0</v>
      </c>
      <c r="AZ809" s="34">
        <f t="shared" si="1635"/>
        <v>0</v>
      </c>
      <c r="BA809" s="34">
        <f t="shared" si="1635"/>
        <v>0</v>
      </c>
      <c r="BB809" s="34">
        <f t="shared" si="1635"/>
        <v>0</v>
      </c>
      <c r="BC809" s="34">
        <f t="shared" si="1635"/>
        <v>0</v>
      </c>
      <c r="BD809" s="34">
        <f t="shared" si="1635"/>
        <v>0</v>
      </c>
      <c r="BE809" s="34">
        <f t="shared" si="1635"/>
        <v>0</v>
      </c>
      <c r="BF809" s="34">
        <f t="shared" si="1635"/>
        <v>0</v>
      </c>
      <c r="BG809" s="34">
        <f t="shared" si="1635"/>
        <v>0</v>
      </c>
      <c r="BH809" s="34">
        <f t="shared" si="1635"/>
        <v>0</v>
      </c>
      <c r="BI809" s="34">
        <f t="shared" si="1635"/>
        <v>0</v>
      </c>
      <c r="BJ809" s="34">
        <f t="shared" si="1635"/>
        <v>0</v>
      </c>
      <c r="BK809" s="34">
        <f t="shared" si="1635"/>
        <v>0</v>
      </c>
      <c r="BL809" s="34">
        <f t="shared" si="1635"/>
        <v>0</v>
      </c>
      <c r="BM809" s="34">
        <f t="shared" si="1635"/>
        <v>0</v>
      </c>
      <c r="BN809" s="34">
        <f t="shared" si="1635"/>
        <v>0</v>
      </c>
      <c r="BO809" s="34">
        <f t="shared" si="1635"/>
        <v>0</v>
      </c>
      <c r="BP809" s="34">
        <f t="shared" si="1635"/>
        <v>0</v>
      </c>
      <c r="BQ809" s="34">
        <f t="shared" si="1635"/>
        <v>0</v>
      </c>
      <c r="BR809" s="34">
        <f t="shared" si="1635"/>
        <v>0</v>
      </c>
      <c r="BS809" s="34">
        <f t="shared" si="1635"/>
        <v>0</v>
      </c>
      <c r="BT809" s="34">
        <f t="shared" ref="BT809:BY809" si="1636">+IF(AND(BT$796=$C811,BT$796&lt;0),1,0)</f>
        <v>0</v>
      </c>
      <c r="BU809" s="34">
        <f t="shared" si="1636"/>
        <v>0</v>
      </c>
      <c r="BV809" s="34">
        <f t="shared" si="1636"/>
        <v>0</v>
      </c>
      <c r="BW809" s="34">
        <f t="shared" si="1636"/>
        <v>0</v>
      </c>
      <c r="BX809" s="34">
        <f t="shared" si="1636"/>
        <v>0</v>
      </c>
      <c r="BY809" s="34">
        <f t="shared" si="1636"/>
        <v>0</v>
      </c>
    </row>
    <row r="810" spans="3:77" outlineLevel="1">
      <c r="C810" s="32"/>
      <c r="D810" s="31"/>
      <c r="E810" t="s">
        <v>511</v>
      </c>
      <c r="F810" s="80" t="str">
        <f>+Assumptions!$G$8</f>
        <v>USD</v>
      </c>
      <c r="H810" s="32">
        <f t="shared" ref="H810" si="1637">+G824</f>
        <v>0</v>
      </c>
      <c r="I810" s="32">
        <f t="shared" ref="I810" si="1638">+H824</f>
        <v>0</v>
      </c>
      <c r="J810" s="32">
        <f>+I824</f>
        <v>0</v>
      </c>
      <c r="K810" s="32">
        <f t="shared" ref="K810" si="1639">+J824</f>
        <v>0</v>
      </c>
      <c r="L810" s="32">
        <f t="shared" ref="L810" si="1640">+K824</f>
        <v>0</v>
      </c>
      <c r="M810" s="32">
        <f t="shared" ref="M810" si="1641">+L824</f>
        <v>0</v>
      </c>
      <c r="N810" s="32">
        <f t="shared" ref="N810" si="1642">+M824</f>
        <v>0</v>
      </c>
      <c r="O810" s="32">
        <f t="shared" ref="O810" si="1643">+N824</f>
        <v>0</v>
      </c>
      <c r="P810" s="32">
        <f t="shared" ref="P810" si="1644">+O824</f>
        <v>0</v>
      </c>
      <c r="Q810" s="32">
        <f t="shared" ref="Q810" si="1645">+P824</f>
        <v>0</v>
      </c>
      <c r="R810" s="32">
        <f t="shared" ref="R810" si="1646">+Q824</f>
        <v>0</v>
      </c>
      <c r="S810" s="32">
        <f t="shared" ref="S810" si="1647">+R824</f>
        <v>0</v>
      </c>
      <c r="T810" s="32">
        <f t="shared" ref="T810" si="1648">+S824</f>
        <v>0</v>
      </c>
      <c r="U810" s="32">
        <f t="shared" ref="U810" si="1649">+T824</f>
        <v>0</v>
      </c>
      <c r="V810" s="32">
        <f t="shared" ref="V810" si="1650">+U824</f>
        <v>0</v>
      </c>
      <c r="W810" s="32">
        <f t="shared" ref="W810" si="1651">+V824</f>
        <v>0</v>
      </c>
      <c r="X810" s="32">
        <f t="shared" ref="X810" si="1652">+W824</f>
        <v>0</v>
      </c>
      <c r="Y810" s="32">
        <f t="shared" ref="Y810" si="1653">+X824</f>
        <v>0</v>
      </c>
      <c r="Z810" s="32">
        <f t="shared" ref="Z810" si="1654">+Y824</f>
        <v>0</v>
      </c>
      <c r="AA810" s="32">
        <f t="shared" ref="AA810" si="1655">+Z824</f>
        <v>0</v>
      </c>
      <c r="AB810" s="32">
        <f t="shared" ref="AB810" si="1656">+AA824</f>
        <v>0</v>
      </c>
      <c r="AC810" s="32">
        <f t="shared" ref="AC810" si="1657">+AB824</f>
        <v>0</v>
      </c>
      <c r="AD810" s="32">
        <f t="shared" ref="AD810" si="1658">+AC824</f>
        <v>0</v>
      </c>
      <c r="AE810" s="32">
        <f t="shared" ref="AE810" si="1659">+AD824</f>
        <v>0</v>
      </c>
      <c r="AF810" s="32">
        <f t="shared" ref="AF810" si="1660">+AE824</f>
        <v>0</v>
      </c>
      <c r="AG810" s="32">
        <f t="shared" ref="AG810" si="1661">+AF824</f>
        <v>0</v>
      </c>
      <c r="AH810" s="32">
        <f t="shared" ref="AH810" si="1662">+AG824</f>
        <v>0</v>
      </c>
      <c r="AI810" s="32">
        <f t="shared" ref="AI810" si="1663">+AH824</f>
        <v>0</v>
      </c>
      <c r="AJ810" s="32">
        <f t="shared" ref="AJ810" si="1664">+AI824</f>
        <v>0</v>
      </c>
      <c r="AK810" s="32">
        <f t="shared" ref="AK810" si="1665">+AJ824</f>
        <v>0</v>
      </c>
      <c r="AL810" s="32">
        <f t="shared" ref="AL810" si="1666">+AK824</f>
        <v>0</v>
      </c>
      <c r="AM810" s="32">
        <f t="shared" ref="AM810" si="1667">+AL824</f>
        <v>0</v>
      </c>
      <c r="AN810" s="32">
        <f t="shared" ref="AN810" si="1668">+AM824</f>
        <v>0</v>
      </c>
      <c r="AO810" s="32">
        <f t="shared" ref="AO810" si="1669">+AN824</f>
        <v>0</v>
      </c>
      <c r="AP810" s="32">
        <f t="shared" ref="AP810" si="1670">+AO824</f>
        <v>0</v>
      </c>
      <c r="AQ810" s="32">
        <f t="shared" ref="AQ810" si="1671">+AP824</f>
        <v>0</v>
      </c>
      <c r="AR810" s="32">
        <f t="shared" ref="AR810" si="1672">+AQ824</f>
        <v>0</v>
      </c>
      <c r="AS810" s="32">
        <f t="shared" ref="AS810" si="1673">+AR824</f>
        <v>0</v>
      </c>
      <c r="AT810" s="32">
        <f t="shared" ref="AT810" si="1674">+AS824</f>
        <v>0</v>
      </c>
      <c r="AU810" s="32">
        <f t="shared" ref="AU810" si="1675">+AT824</f>
        <v>0</v>
      </c>
      <c r="AV810" s="32">
        <f t="shared" ref="AV810" si="1676">+AU824</f>
        <v>0</v>
      </c>
      <c r="AW810" s="32">
        <f t="shared" ref="AW810" si="1677">+AV824</f>
        <v>0</v>
      </c>
      <c r="AX810" s="32">
        <f t="shared" ref="AX810" si="1678">+AW824</f>
        <v>0</v>
      </c>
      <c r="AY810" s="32">
        <f t="shared" ref="AY810" si="1679">+AX824</f>
        <v>0</v>
      </c>
      <c r="AZ810" s="32">
        <f t="shared" ref="AZ810" si="1680">+AY824</f>
        <v>0</v>
      </c>
      <c r="BA810" s="32">
        <f t="shared" ref="BA810" si="1681">+AZ824</f>
        <v>0</v>
      </c>
      <c r="BB810" s="32">
        <f t="shared" ref="BB810" si="1682">+BA824</f>
        <v>0</v>
      </c>
      <c r="BC810" s="32">
        <f t="shared" ref="BC810" si="1683">+BB824</f>
        <v>0</v>
      </c>
      <c r="BD810" s="32">
        <f t="shared" ref="BD810" si="1684">+BC824</f>
        <v>0</v>
      </c>
      <c r="BE810" s="32">
        <f t="shared" ref="BE810" si="1685">+BD824</f>
        <v>0</v>
      </c>
      <c r="BF810" s="32">
        <f t="shared" ref="BF810" si="1686">+BE824</f>
        <v>0</v>
      </c>
      <c r="BG810" s="32">
        <f t="shared" ref="BG810" si="1687">+BF824</f>
        <v>0</v>
      </c>
      <c r="BH810" s="32">
        <f t="shared" ref="BH810" si="1688">+BG824</f>
        <v>0</v>
      </c>
      <c r="BI810" s="32">
        <f t="shared" ref="BI810" si="1689">+BH824</f>
        <v>0</v>
      </c>
      <c r="BJ810" s="32">
        <f t="shared" ref="BJ810" si="1690">+BI824</f>
        <v>0</v>
      </c>
      <c r="BK810" s="32">
        <f t="shared" ref="BK810" si="1691">+BJ824</f>
        <v>0</v>
      </c>
      <c r="BL810" s="32">
        <f t="shared" ref="BL810" si="1692">+BK824</f>
        <v>0</v>
      </c>
      <c r="BM810" s="32">
        <f t="shared" ref="BM810" si="1693">+BL824</f>
        <v>0</v>
      </c>
      <c r="BN810" s="32">
        <f t="shared" ref="BN810" si="1694">+BM824</f>
        <v>0</v>
      </c>
      <c r="BO810" s="32">
        <f t="shared" ref="BO810" si="1695">+BN824</f>
        <v>0</v>
      </c>
      <c r="BP810" s="32">
        <f t="shared" ref="BP810" si="1696">+BO824</f>
        <v>0</v>
      </c>
      <c r="BQ810" s="32">
        <f t="shared" ref="BQ810" si="1697">+BP824</f>
        <v>0</v>
      </c>
      <c r="BR810" s="32">
        <f t="shared" ref="BR810" si="1698">+BQ824</f>
        <v>0</v>
      </c>
      <c r="BS810" s="32">
        <f t="shared" ref="BS810" si="1699">+BR824</f>
        <v>0</v>
      </c>
      <c r="BT810" s="32">
        <f t="shared" ref="BT810" si="1700">+BS824</f>
        <v>0</v>
      </c>
      <c r="BU810" s="32">
        <f t="shared" ref="BU810" si="1701">+BT824</f>
        <v>0</v>
      </c>
      <c r="BV810" s="32">
        <f t="shared" ref="BV810" si="1702">+BU824</f>
        <v>0</v>
      </c>
      <c r="BW810" s="32">
        <f t="shared" ref="BW810" si="1703">+BV824</f>
        <v>0</v>
      </c>
      <c r="BX810" s="32">
        <f t="shared" ref="BX810" si="1704">+BW824</f>
        <v>0</v>
      </c>
      <c r="BY810" s="32">
        <f t="shared" ref="BY810" si="1705">+BX824</f>
        <v>0</v>
      </c>
    </row>
    <row r="811" spans="3:77" outlineLevel="1">
      <c r="C811" s="32"/>
      <c r="D811" s="31"/>
      <c r="E811" t="s">
        <v>512</v>
      </c>
      <c r="F811" s="80" t="str">
        <f>+Assumptions!$G$8</f>
        <v>USD</v>
      </c>
      <c r="H811" s="33">
        <f ca="1">+H810*Assumptions!$H$202</f>
        <v>0</v>
      </c>
      <c r="I811" s="33">
        <f ca="1">+I810*Assumptions!$H$202</f>
        <v>0</v>
      </c>
      <c r="J811" s="33">
        <f ca="1">+J810*Assumptions!$H$202</f>
        <v>0</v>
      </c>
      <c r="K811" s="33">
        <f ca="1">+K810*Assumptions!$H$202</f>
        <v>0</v>
      </c>
      <c r="L811" s="33">
        <f ca="1">+L810*Assumptions!$H$202</f>
        <v>0</v>
      </c>
      <c r="M811" s="33">
        <f ca="1">+M810*Assumptions!$H$202</f>
        <v>0</v>
      </c>
      <c r="N811" s="33">
        <f ca="1">+N810*Assumptions!$H$202</f>
        <v>0</v>
      </c>
      <c r="O811" s="33">
        <f ca="1">+O810*Assumptions!$H$202</f>
        <v>0</v>
      </c>
      <c r="P811" s="33">
        <f ca="1">+P810*Assumptions!$H$202</f>
        <v>0</v>
      </c>
      <c r="Q811" s="33">
        <f ca="1">+Q810*Assumptions!$H$202</f>
        <v>0</v>
      </c>
      <c r="R811" s="33">
        <f ca="1">+R810*Assumptions!$H$202</f>
        <v>0</v>
      </c>
      <c r="S811" s="33">
        <f ca="1">+S810*Assumptions!$H$202</f>
        <v>0</v>
      </c>
      <c r="T811" s="33">
        <f ca="1">+T810*Assumptions!$H$202</f>
        <v>0</v>
      </c>
      <c r="U811" s="33">
        <f ca="1">+U810*Assumptions!$H$202</f>
        <v>0</v>
      </c>
      <c r="V811" s="33">
        <f ca="1">+V810*Assumptions!$H$202</f>
        <v>0</v>
      </c>
      <c r="W811" s="33">
        <f ca="1">+W810*Assumptions!$H$202</f>
        <v>0</v>
      </c>
      <c r="X811" s="33">
        <f ca="1">+X810*Assumptions!$H$202</f>
        <v>0</v>
      </c>
      <c r="Y811" s="33">
        <f ca="1">+Y810*Assumptions!$H$202</f>
        <v>0</v>
      </c>
      <c r="Z811" s="33">
        <f ca="1">+Z810*Assumptions!$H$202</f>
        <v>0</v>
      </c>
      <c r="AA811" s="33">
        <f ca="1">+AA810*Assumptions!$H$202</f>
        <v>0</v>
      </c>
      <c r="AB811" s="33">
        <f ca="1">+AB810*Assumptions!$H$202</f>
        <v>0</v>
      </c>
      <c r="AC811" s="33">
        <f ca="1">+AC810*Assumptions!$H$202</f>
        <v>0</v>
      </c>
      <c r="AD811" s="33">
        <f ca="1">+AD810*Assumptions!$H$202</f>
        <v>0</v>
      </c>
      <c r="AE811" s="33">
        <f ca="1">+AE810*Assumptions!$H$202</f>
        <v>0</v>
      </c>
      <c r="AF811" s="33">
        <f ca="1">+AF810*Assumptions!$H$202</f>
        <v>0</v>
      </c>
      <c r="AG811" s="33">
        <f ca="1">+AG810*Assumptions!$H$202</f>
        <v>0</v>
      </c>
      <c r="AH811" s="33">
        <f ca="1">+AH810*Assumptions!$H$202</f>
        <v>0</v>
      </c>
      <c r="AI811" s="33">
        <f ca="1">+AI810*Assumptions!$H$202</f>
        <v>0</v>
      </c>
      <c r="AJ811" s="33">
        <f ca="1">+AJ810*Assumptions!$H$202</f>
        <v>0</v>
      </c>
      <c r="AK811" s="33">
        <f ca="1">+AK810*Assumptions!$H$202</f>
        <v>0</v>
      </c>
      <c r="AL811" s="33">
        <f ca="1">+AL810*Assumptions!$H$202</f>
        <v>0</v>
      </c>
      <c r="AM811" s="33">
        <f ca="1">+AM810*Assumptions!$H$202</f>
        <v>0</v>
      </c>
      <c r="AN811" s="33">
        <f ca="1">+AN810*Assumptions!$H$202</f>
        <v>0</v>
      </c>
      <c r="AO811" s="33">
        <f ca="1">+AO810*Assumptions!$H$202</f>
        <v>0</v>
      </c>
      <c r="AP811" s="33">
        <f ca="1">+AP810*Assumptions!$H$202</f>
        <v>0</v>
      </c>
      <c r="AQ811" s="33">
        <f ca="1">+AQ810*Assumptions!$H$202</f>
        <v>0</v>
      </c>
      <c r="AR811" s="33">
        <f ca="1">+AR810*Assumptions!$H$202</f>
        <v>0</v>
      </c>
      <c r="AS811" s="33">
        <f ca="1">+AS810*Assumptions!$H$202</f>
        <v>0</v>
      </c>
      <c r="AT811" s="33">
        <f ca="1">+AT810*Assumptions!$H$202</f>
        <v>0</v>
      </c>
      <c r="AU811" s="33">
        <f ca="1">+AU810*Assumptions!$H$202</f>
        <v>0</v>
      </c>
      <c r="AV811" s="33">
        <f ca="1">+AV810*Assumptions!$H$202</f>
        <v>0</v>
      </c>
      <c r="AW811" s="33">
        <f ca="1">+AW810*Assumptions!$H$202</f>
        <v>0</v>
      </c>
      <c r="AX811" s="33">
        <f ca="1">+AX810*Assumptions!$H$202</f>
        <v>0</v>
      </c>
      <c r="AY811" s="33">
        <f ca="1">+AY810*Assumptions!$H$202</f>
        <v>0</v>
      </c>
      <c r="AZ811" s="33">
        <f ca="1">+AZ810*Assumptions!$H$202</f>
        <v>0</v>
      </c>
      <c r="BA811" s="33">
        <f ca="1">+BA810*Assumptions!$H$202</f>
        <v>0</v>
      </c>
      <c r="BB811" s="33">
        <f ca="1">+BB810*Assumptions!$H$202</f>
        <v>0</v>
      </c>
      <c r="BC811" s="33">
        <f ca="1">+BC810*Assumptions!$H$202</f>
        <v>0</v>
      </c>
      <c r="BD811" s="33">
        <f ca="1">+BD810*Assumptions!$H$202</f>
        <v>0</v>
      </c>
      <c r="BE811" s="33">
        <f ca="1">+BE810*Assumptions!$H$202</f>
        <v>0</v>
      </c>
      <c r="BF811" s="33">
        <f ca="1">+BF810*Assumptions!$H$202</f>
        <v>0</v>
      </c>
      <c r="BG811" s="33">
        <f ca="1">+BG810*Assumptions!$H$202</f>
        <v>0</v>
      </c>
      <c r="BH811" s="33">
        <f ca="1">+BH810*Assumptions!$H$202</f>
        <v>0</v>
      </c>
      <c r="BI811" s="33">
        <f ca="1">+BI810*Assumptions!$H$202</f>
        <v>0</v>
      </c>
      <c r="BJ811" s="33">
        <f ca="1">+BJ810*Assumptions!$H$202</f>
        <v>0</v>
      </c>
      <c r="BK811" s="33">
        <f ca="1">+BK810*Assumptions!$H$202</f>
        <v>0</v>
      </c>
      <c r="BL811" s="33">
        <f ca="1">+BL810*Assumptions!$H$202</f>
        <v>0</v>
      </c>
      <c r="BM811" s="33">
        <f ca="1">+BM810*Assumptions!$H$202</f>
        <v>0</v>
      </c>
      <c r="BN811" s="33">
        <f ca="1">+BN810*Assumptions!$H$202</f>
        <v>0</v>
      </c>
      <c r="BO811" s="33">
        <f ca="1">+BO810*Assumptions!$H$202</f>
        <v>0</v>
      </c>
      <c r="BP811" s="33">
        <f ca="1">+BP810*Assumptions!$H$202</f>
        <v>0</v>
      </c>
      <c r="BQ811" s="33">
        <f ca="1">+BQ810*Assumptions!$H$202</f>
        <v>0</v>
      </c>
      <c r="BR811" s="33">
        <f ca="1">+BR810*Assumptions!$H$202</f>
        <v>0</v>
      </c>
      <c r="BS811" s="33">
        <f ca="1">+BS810*Assumptions!$H$202</f>
        <v>0</v>
      </c>
      <c r="BT811" s="33">
        <f ca="1">+BT810*Assumptions!$H$202</f>
        <v>0</v>
      </c>
      <c r="BU811" s="33">
        <f ca="1">+BU810*Assumptions!$H$202</f>
        <v>0</v>
      </c>
      <c r="BV811" s="33">
        <f ca="1">+BV810*Assumptions!$H$202</f>
        <v>0</v>
      </c>
      <c r="BW811" s="33">
        <f ca="1">+BW810*Assumptions!$H$202</f>
        <v>0</v>
      </c>
      <c r="BX811" s="33">
        <f ca="1">+BX810*Assumptions!$H$202</f>
        <v>0</v>
      </c>
      <c r="BY811" s="33">
        <f ca="1">+BY810*Assumptions!$H$202</f>
        <v>0</v>
      </c>
    </row>
    <row r="812" spans="3:77" outlineLevel="1">
      <c r="C812" s="31"/>
      <c r="E812" s="25" t="s">
        <v>513</v>
      </c>
      <c r="F812" s="81" t="str">
        <f>+Assumptions!$G$8</f>
        <v>USD</v>
      </c>
      <c r="G812" s="25"/>
      <c r="H812" s="34">
        <f>IF(SUM(H813:H822)=0,0,+SUM(H813:H822)-H811)</f>
        <v>0</v>
      </c>
      <c r="I812" s="34">
        <f t="shared" ref="I812:BT812" si="1706">IF(SUM(I813:I822)=0,0,+SUM(I813:I822)-I811)</f>
        <v>0</v>
      </c>
      <c r="J812" s="34">
        <f t="shared" si="1706"/>
        <v>0</v>
      </c>
      <c r="K812" s="34">
        <f t="shared" si="1706"/>
        <v>0</v>
      </c>
      <c r="L812" s="34">
        <f t="shared" si="1706"/>
        <v>0</v>
      </c>
      <c r="M812" s="34">
        <f t="shared" si="1706"/>
        <v>0</v>
      </c>
      <c r="N812" s="34">
        <f t="shared" si="1706"/>
        <v>0</v>
      </c>
      <c r="O812" s="34">
        <f t="shared" si="1706"/>
        <v>0</v>
      </c>
      <c r="P812" s="34">
        <f t="shared" si="1706"/>
        <v>0</v>
      </c>
      <c r="Q812" s="34">
        <f t="shared" si="1706"/>
        <v>0</v>
      </c>
      <c r="R812" s="34">
        <f t="shared" si="1706"/>
        <v>0</v>
      </c>
      <c r="S812" s="34">
        <f t="shared" si="1706"/>
        <v>0</v>
      </c>
      <c r="T812" s="34">
        <f t="shared" si="1706"/>
        <v>0</v>
      </c>
      <c r="U812" s="34">
        <f t="shared" si="1706"/>
        <v>0</v>
      </c>
      <c r="V812" s="34">
        <f t="shared" si="1706"/>
        <v>0</v>
      </c>
      <c r="W812" s="34">
        <f t="shared" si="1706"/>
        <v>0</v>
      </c>
      <c r="X812" s="34">
        <f t="shared" si="1706"/>
        <v>0</v>
      </c>
      <c r="Y812" s="34">
        <f t="shared" si="1706"/>
        <v>0</v>
      </c>
      <c r="Z812" s="34">
        <f t="shared" si="1706"/>
        <v>0</v>
      </c>
      <c r="AA812" s="34">
        <f t="shared" si="1706"/>
        <v>0</v>
      </c>
      <c r="AB812" s="34">
        <f t="shared" si="1706"/>
        <v>0</v>
      </c>
      <c r="AC812" s="34">
        <f t="shared" si="1706"/>
        <v>0</v>
      </c>
      <c r="AD812" s="34">
        <f t="shared" si="1706"/>
        <v>0</v>
      </c>
      <c r="AE812" s="34">
        <f t="shared" si="1706"/>
        <v>0</v>
      </c>
      <c r="AF812" s="34">
        <f t="shared" si="1706"/>
        <v>0</v>
      </c>
      <c r="AG812" s="34">
        <f t="shared" si="1706"/>
        <v>0</v>
      </c>
      <c r="AH812" s="34">
        <f t="shared" si="1706"/>
        <v>0</v>
      </c>
      <c r="AI812" s="34">
        <f t="shared" si="1706"/>
        <v>0</v>
      </c>
      <c r="AJ812" s="34">
        <f t="shared" si="1706"/>
        <v>0</v>
      </c>
      <c r="AK812" s="34">
        <f t="shared" si="1706"/>
        <v>0</v>
      </c>
      <c r="AL812" s="34">
        <f t="shared" si="1706"/>
        <v>0</v>
      </c>
      <c r="AM812" s="34">
        <f t="shared" si="1706"/>
        <v>0</v>
      </c>
      <c r="AN812" s="34">
        <f t="shared" si="1706"/>
        <v>0</v>
      </c>
      <c r="AO812" s="34">
        <f t="shared" si="1706"/>
        <v>0</v>
      </c>
      <c r="AP812" s="34">
        <f t="shared" si="1706"/>
        <v>0</v>
      </c>
      <c r="AQ812" s="34">
        <f t="shared" si="1706"/>
        <v>0</v>
      </c>
      <c r="AR812" s="34">
        <f t="shared" si="1706"/>
        <v>0</v>
      </c>
      <c r="AS812" s="34">
        <f t="shared" si="1706"/>
        <v>0</v>
      </c>
      <c r="AT812" s="34">
        <f t="shared" si="1706"/>
        <v>0</v>
      </c>
      <c r="AU812" s="34">
        <f t="shared" si="1706"/>
        <v>0</v>
      </c>
      <c r="AV812" s="34">
        <f t="shared" si="1706"/>
        <v>0</v>
      </c>
      <c r="AW812" s="34">
        <f t="shared" si="1706"/>
        <v>0</v>
      </c>
      <c r="AX812" s="34">
        <f t="shared" si="1706"/>
        <v>0</v>
      </c>
      <c r="AY812" s="34">
        <f t="shared" si="1706"/>
        <v>0</v>
      </c>
      <c r="AZ812" s="34">
        <f t="shared" si="1706"/>
        <v>0</v>
      </c>
      <c r="BA812" s="34">
        <f t="shared" si="1706"/>
        <v>0</v>
      </c>
      <c r="BB812" s="34">
        <f t="shared" si="1706"/>
        <v>0</v>
      </c>
      <c r="BC812" s="34">
        <f t="shared" si="1706"/>
        <v>0</v>
      </c>
      <c r="BD812" s="34">
        <f t="shared" si="1706"/>
        <v>0</v>
      </c>
      <c r="BE812" s="34">
        <f t="shared" si="1706"/>
        <v>0</v>
      </c>
      <c r="BF812" s="34">
        <f t="shared" si="1706"/>
        <v>0</v>
      </c>
      <c r="BG812" s="34">
        <f t="shared" si="1706"/>
        <v>0</v>
      </c>
      <c r="BH812" s="34">
        <f t="shared" si="1706"/>
        <v>0</v>
      </c>
      <c r="BI812" s="34">
        <f t="shared" si="1706"/>
        <v>0</v>
      </c>
      <c r="BJ812" s="34">
        <f t="shared" si="1706"/>
        <v>0</v>
      </c>
      <c r="BK812" s="34">
        <f t="shared" si="1706"/>
        <v>0</v>
      </c>
      <c r="BL812" s="34">
        <f t="shared" si="1706"/>
        <v>0</v>
      </c>
      <c r="BM812" s="34">
        <f t="shared" si="1706"/>
        <v>0</v>
      </c>
      <c r="BN812" s="34">
        <f t="shared" si="1706"/>
        <v>0</v>
      </c>
      <c r="BO812" s="34">
        <f t="shared" si="1706"/>
        <v>0</v>
      </c>
      <c r="BP812" s="34">
        <f t="shared" si="1706"/>
        <v>0</v>
      </c>
      <c r="BQ812" s="34">
        <f t="shared" si="1706"/>
        <v>0</v>
      </c>
      <c r="BR812" s="34">
        <f t="shared" si="1706"/>
        <v>0</v>
      </c>
      <c r="BS812" s="34">
        <f t="shared" si="1706"/>
        <v>0</v>
      </c>
      <c r="BT812" s="34">
        <f t="shared" si="1706"/>
        <v>0</v>
      </c>
      <c r="BU812" s="34">
        <f t="shared" ref="BU812:BY812" si="1707">IF(SUM(BU813:BU822)=0,0,+SUM(BU813:BU822)-BU811)</f>
        <v>0</v>
      </c>
      <c r="BV812" s="34">
        <f t="shared" si="1707"/>
        <v>0</v>
      </c>
      <c r="BW812" s="34">
        <f t="shared" si="1707"/>
        <v>0</v>
      </c>
      <c r="BX812" s="34">
        <f t="shared" si="1707"/>
        <v>0</v>
      </c>
      <c r="BY812" s="34">
        <f t="shared" si="1707"/>
        <v>0</v>
      </c>
    </row>
    <row r="813" spans="3:77" outlineLevel="1">
      <c r="C813" s="31"/>
      <c r="E813" s="24" t="s">
        <v>514</v>
      </c>
      <c r="F813" s="80" t="str">
        <f>+Assumptions!$G$8</f>
        <v>USD</v>
      </c>
      <c r="G813" s="24"/>
      <c r="H813" s="39">
        <f>+IFERROR(-ABS(IF(EDATE(_xlfn.XLOOKUP(1,$H800:$BE800,$H$4:$BE$4),12*Assumptions!$H$204+12)=H$4,0,IF(G800=1,PMT(Assumptions!$H$202,Assumptions!$H$204,$C802),G813))),0)</f>
        <v>0</v>
      </c>
      <c r="I813" s="39">
        <f>+IFERROR(-ABS(IF(EDATE(_xlfn.XLOOKUP(1,$H800:$BE800,$H$4:$BE$4),12*Assumptions!$H$204+12)=I$4,0,IF(H800=1,PMT(Assumptions!$H$202,Assumptions!$H$204,$C802),H813))),0)</f>
        <v>0</v>
      </c>
      <c r="J813" s="39">
        <f>+IFERROR(-ABS(IF(EDATE(_xlfn.XLOOKUP(1,$H800:$BE800,$H$4:$BE$4),12*Assumptions!$H$204+12)=J$4,0,IF(I800=1,PMT(Assumptions!$H$202,Assumptions!$H$204,$C802),I813))),0)</f>
        <v>0</v>
      </c>
      <c r="K813" s="39">
        <f>+IFERROR(-ABS(IF(EDATE(_xlfn.XLOOKUP(1,$H800:$BE800,$H$4:$BE$4),12*Assumptions!$H$204+12)=K$4,0,IF(J800=1,PMT(Assumptions!$H$202,Assumptions!$H$204,$C802),J813))),0)</f>
        <v>0</v>
      </c>
      <c r="L813" s="39">
        <f>+IFERROR(-ABS(IF(EDATE(_xlfn.XLOOKUP(1,$H800:$BE800,$H$4:$BE$4),12*Assumptions!$H$204+12)=L$4,0,IF(K800=1,PMT(Assumptions!$H$202,Assumptions!$H$204,$C802),K813))),0)</f>
        <v>0</v>
      </c>
      <c r="M813" s="39">
        <f>+IFERROR(-ABS(IF(EDATE(_xlfn.XLOOKUP(1,$H800:$BE800,$H$4:$BE$4),12*Assumptions!$H$204+12)=M$4,0,IF(L800=1,PMT(Assumptions!$H$202,Assumptions!$H$204,$C802),L813))),0)</f>
        <v>0</v>
      </c>
      <c r="N813" s="39">
        <f>+IFERROR(-ABS(IF(EDATE(_xlfn.XLOOKUP(1,$H800:$BE800,$H$4:$BE$4),12*Assumptions!$H$204+12)=N$4,0,IF(M800=1,PMT(Assumptions!$H$202,Assumptions!$H$204,$C802),M813))),0)</f>
        <v>0</v>
      </c>
      <c r="O813" s="39">
        <f>+IFERROR(-ABS(IF(EDATE(_xlfn.XLOOKUP(1,$H800:$BE800,$H$4:$BE$4),12*Assumptions!$H$204+12)=O$4,0,IF(N800=1,PMT(Assumptions!$H$202,Assumptions!$H$204,$C802),N813))),0)</f>
        <v>0</v>
      </c>
      <c r="P813" s="39">
        <f>+IFERROR(-ABS(IF(EDATE(_xlfn.XLOOKUP(1,$H800:$BE800,$H$4:$BE$4),12*Assumptions!$H$204+12)=P$4,0,IF(O800=1,PMT(Assumptions!$H$202,Assumptions!$H$204,$C802),O813))),0)</f>
        <v>0</v>
      </c>
      <c r="Q813" s="39">
        <f>+IFERROR(-ABS(IF(EDATE(_xlfn.XLOOKUP(1,$H800:$BE800,$H$4:$BE$4),12*Assumptions!$H$204+12)=Q$4,0,IF(P800=1,PMT(Assumptions!$H$202,Assumptions!$H$204,$C802),P813))),0)</f>
        <v>0</v>
      </c>
      <c r="R813" s="39">
        <f>+IFERROR(-ABS(IF(EDATE(_xlfn.XLOOKUP(1,$H800:$BE800,$H$4:$BE$4),12*Assumptions!$H$204+12)=R$4,0,IF(Q800=1,PMT(Assumptions!$H$202,Assumptions!$H$204,$C802),Q813))),0)</f>
        <v>0</v>
      </c>
      <c r="S813" s="39">
        <f>+IFERROR(-ABS(IF(EDATE(_xlfn.XLOOKUP(1,$H800:$BE800,$H$4:$BE$4),12*Assumptions!$H$204+12)=S$4,0,IF(R800=1,PMT(Assumptions!$H$202,Assumptions!$H$204,$C802),R813))),0)</f>
        <v>0</v>
      </c>
      <c r="T813" s="39">
        <f>+IFERROR(-ABS(IF(EDATE(_xlfn.XLOOKUP(1,$H800:$BE800,$H$4:$BE$4),12*Assumptions!$H$204+12)=T$4,0,IF(S800=1,PMT(Assumptions!$H$202,Assumptions!$H$204,$C802),S813))),0)</f>
        <v>0</v>
      </c>
      <c r="U813" s="39">
        <f>+IFERROR(-ABS(IF(EDATE(_xlfn.XLOOKUP(1,$H800:$BE800,$H$4:$BE$4),12*Assumptions!$H$204+12)=U$4,0,IF(T800=1,PMT(Assumptions!$H$202,Assumptions!$H$204,$C802),T813))),0)</f>
        <v>0</v>
      </c>
      <c r="V813" s="39">
        <f>+IFERROR(-ABS(IF(EDATE(_xlfn.XLOOKUP(1,$H800:$BE800,$H$4:$BE$4),12*Assumptions!$H$204+12)=V$4,0,IF(U800=1,PMT(Assumptions!$H$202,Assumptions!$H$204,$C802),U813))),0)</f>
        <v>0</v>
      </c>
      <c r="W813" s="39">
        <f>+IFERROR(-ABS(IF(EDATE(_xlfn.XLOOKUP(1,$H800:$BE800,$H$4:$BE$4),12*Assumptions!$H$204+12)=W$4,0,IF(V800=1,PMT(Assumptions!$H$202,Assumptions!$H$204,$C802),V813))),0)</f>
        <v>0</v>
      </c>
      <c r="X813" s="39">
        <f>+IFERROR(-ABS(IF(EDATE(_xlfn.XLOOKUP(1,$H800:$BE800,$H$4:$BE$4),12*Assumptions!$H$204+12)=X$4,0,IF(W800=1,PMT(Assumptions!$H$202,Assumptions!$H$204,$C802),W813))),0)</f>
        <v>0</v>
      </c>
      <c r="Y813" s="39">
        <f>+IFERROR(-ABS(IF(EDATE(_xlfn.XLOOKUP(1,$H800:$BE800,$H$4:$BE$4),12*Assumptions!$H$204+12)=Y$4,0,IF(X800=1,PMT(Assumptions!$H$202,Assumptions!$H$204,$C802),X813))),0)</f>
        <v>0</v>
      </c>
      <c r="Z813" s="39">
        <f>+IFERROR(-ABS(IF(EDATE(_xlfn.XLOOKUP(1,$H800:$BE800,$H$4:$BE$4),12*Assumptions!$H$204+12)=Z$4,0,IF(Y800=1,PMT(Assumptions!$H$202,Assumptions!$H$204,$C802),Y813))),0)</f>
        <v>0</v>
      </c>
      <c r="AA813" s="39">
        <f>+IFERROR(-ABS(IF(EDATE(_xlfn.XLOOKUP(1,$H800:$BE800,$H$4:$BE$4),12*Assumptions!$H$204+12)=AA$4,0,IF(Z800=1,PMT(Assumptions!$H$202,Assumptions!$H$204,$C802),Z813))),0)</f>
        <v>0</v>
      </c>
      <c r="AB813" s="39">
        <f>+IFERROR(-ABS(IF(EDATE(_xlfn.XLOOKUP(1,$H800:$BE800,$H$4:$BE$4),12*Assumptions!$H$204+12)=AB$4,0,IF(AA800=1,PMT(Assumptions!$H$202,Assumptions!$H$204,$C802),AA813))),0)</f>
        <v>0</v>
      </c>
      <c r="AC813" s="39">
        <f>+IFERROR(-ABS(IF(EDATE(_xlfn.XLOOKUP(1,$H800:$BE800,$H$4:$BE$4),12*Assumptions!$H$204+12)=AC$4,0,IF(AB800=1,PMT(Assumptions!$H$202,Assumptions!$H$204,$C802),AB813))),0)</f>
        <v>0</v>
      </c>
      <c r="AD813" s="39">
        <f>+IFERROR(-ABS(IF(EDATE(_xlfn.XLOOKUP(1,$H800:$BE800,$H$4:$BE$4),12*Assumptions!$H$204+12)=AD$4,0,IF(AC800=1,PMT(Assumptions!$H$202,Assumptions!$H$204,$C802),AC813))),0)</f>
        <v>0</v>
      </c>
      <c r="AE813" s="39">
        <f>+IFERROR(-ABS(IF(EDATE(_xlfn.XLOOKUP(1,$H800:$BE800,$H$4:$BE$4),12*Assumptions!$H$204+12)=AE$4,0,IF(AD800=1,PMT(Assumptions!$H$202,Assumptions!$H$204,$C802),AD813))),0)</f>
        <v>0</v>
      </c>
      <c r="AF813" s="39">
        <f>+IFERROR(-ABS(IF(EDATE(_xlfn.XLOOKUP(1,$H800:$BE800,$H$4:$BE$4),12*Assumptions!$H$204+12)=AF$4,0,IF(AE800=1,PMT(Assumptions!$H$202,Assumptions!$H$204,$C802),AE813))),0)</f>
        <v>0</v>
      </c>
      <c r="AG813" s="39">
        <f>+IFERROR(-ABS(IF(EDATE(_xlfn.XLOOKUP(1,$H800:$BE800,$H$4:$BE$4),12*Assumptions!$H$204+12)=AG$4,0,IF(AF800=1,PMT(Assumptions!$H$202,Assumptions!$H$204,$C802),AF813))),0)</f>
        <v>0</v>
      </c>
      <c r="AH813" s="39">
        <f>+IFERROR(-ABS(IF(EDATE(_xlfn.XLOOKUP(1,$H800:$BE800,$H$4:$BE$4),12*Assumptions!$H$204+12)=AH$4,0,IF(AG800=1,PMT(Assumptions!$H$202,Assumptions!$H$204,$C802),AG813))),0)</f>
        <v>0</v>
      </c>
      <c r="AI813" s="39">
        <f>+IFERROR(-ABS(IF(EDATE(_xlfn.XLOOKUP(1,$H800:$BE800,$H$4:$BE$4),12*Assumptions!$H$204+12)=AI$4,0,IF(AH800=1,PMT(Assumptions!$H$202,Assumptions!$H$204,$C802),AH813))),0)</f>
        <v>0</v>
      </c>
      <c r="AJ813" s="39">
        <f>+IFERROR(-ABS(IF(EDATE(_xlfn.XLOOKUP(1,$H800:$BE800,$H$4:$BE$4),12*Assumptions!$H$204+12)=AJ$4,0,IF(AI800=1,PMT(Assumptions!$H$202,Assumptions!$H$204,$C802),AI813))),0)</f>
        <v>0</v>
      </c>
      <c r="AK813" s="39">
        <f>+IFERROR(-ABS(IF(EDATE(_xlfn.XLOOKUP(1,$H800:$BE800,$H$4:$BE$4),12*Assumptions!$H$204+12)=AK$4,0,IF(AJ800=1,PMT(Assumptions!$H$202,Assumptions!$H$204,$C802),AJ813))),0)</f>
        <v>0</v>
      </c>
      <c r="AL813" s="39">
        <f>+IFERROR(-ABS(IF(EDATE(_xlfn.XLOOKUP(1,$H800:$BE800,$H$4:$BE$4),12*Assumptions!$H$204+12)=AL$4,0,IF(AK800=1,PMT(Assumptions!$H$202,Assumptions!$H$204,$C802),AK813))),0)</f>
        <v>0</v>
      </c>
      <c r="AM813" s="39">
        <f>+IFERROR(-ABS(IF(EDATE(_xlfn.XLOOKUP(1,$H800:$BE800,$H$4:$BE$4),12*Assumptions!$H$204+12)=AM$4,0,IF(AL800=1,PMT(Assumptions!$H$202,Assumptions!$H$204,$C802),AL813))),0)</f>
        <v>0</v>
      </c>
      <c r="AN813" s="39">
        <f>+IFERROR(-ABS(IF(EDATE(_xlfn.XLOOKUP(1,$H800:$BE800,$H$4:$BE$4),12*Assumptions!$H$204+12)=AN$4,0,IF(AM800=1,PMT(Assumptions!$H$202,Assumptions!$H$204,$C802),AM813))),0)</f>
        <v>0</v>
      </c>
      <c r="AO813" s="39">
        <f>+IFERROR(-ABS(IF(EDATE(_xlfn.XLOOKUP(1,$H800:$BE800,$H$4:$BE$4),12*Assumptions!$H$204+12)=AO$4,0,IF(AN800=1,PMT(Assumptions!$H$202,Assumptions!$H$204,$C802),AN813))),0)</f>
        <v>0</v>
      </c>
      <c r="AP813" s="39">
        <f>+IFERROR(-ABS(IF(EDATE(_xlfn.XLOOKUP(1,$H800:$BE800,$H$4:$BE$4),12*Assumptions!$H$204+12)=AP$4,0,IF(AO800=1,PMT(Assumptions!$H$202,Assumptions!$H$204,$C802),AO813))),0)</f>
        <v>0</v>
      </c>
      <c r="AQ813" s="39">
        <f>+IFERROR(-ABS(IF(EDATE(_xlfn.XLOOKUP(1,$H800:$BE800,$H$4:$BE$4),12*Assumptions!$H$204+12)=AQ$4,0,IF(AP800=1,PMT(Assumptions!$H$202,Assumptions!$H$204,$C802),AP813))),0)</f>
        <v>0</v>
      </c>
      <c r="AR813" s="39">
        <f>+IFERROR(-ABS(IF(EDATE(_xlfn.XLOOKUP(1,$H800:$BE800,$H$4:$BE$4),12*Assumptions!$H$204+12)=AR$4,0,IF(AQ800=1,PMT(Assumptions!$H$202,Assumptions!$H$204,$C802),AQ813))),0)</f>
        <v>0</v>
      </c>
      <c r="AS813" s="39">
        <f>+IFERROR(-ABS(IF(EDATE(_xlfn.XLOOKUP(1,$H800:$BE800,$H$4:$BE$4),12*Assumptions!$H$204+12)=AS$4,0,IF(AR800=1,PMT(Assumptions!$H$202,Assumptions!$H$204,$C802),AR813))),0)</f>
        <v>0</v>
      </c>
      <c r="AT813" s="39">
        <f>+IFERROR(-ABS(IF(EDATE(_xlfn.XLOOKUP(1,$H800:$BE800,$H$4:$BE$4),12*Assumptions!$H$204+12)=AT$4,0,IF(AS800=1,PMT(Assumptions!$H$202,Assumptions!$H$204,$C802),AS813))),0)</f>
        <v>0</v>
      </c>
      <c r="AU813" s="39">
        <f>+IFERROR(-ABS(IF(EDATE(_xlfn.XLOOKUP(1,$H800:$BE800,$H$4:$BE$4),12*Assumptions!$H$204+12)=AU$4,0,IF(AT800=1,PMT(Assumptions!$H$202,Assumptions!$H$204,$C802),AT813))),0)</f>
        <v>0</v>
      </c>
      <c r="AV813" s="39">
        <f>+IFERROR(-ABS(IF(EDATE(_xlfn.XLOOKUP(1,$H800:$BE800,$H$4:$BE$4),12*Assumptions!$H$204+12)=AV$4,0,IF(AU800=1,PMT(Assumptions!$H$202,Assumptions!$H$204,$C802),AU813))),0)</f>
        <v>0</v>
      </c>
      <c r="AW813" s="39">
        <f>+IFERROR(-ABS(IF(EDATE(_xlfn.XLOOKUP(1,$H800:$BE800,$H$4:$BE$4),12*Assumptions!$H$204+12)=AW$4,0,IF(AV800=1,PMT(Assumptions!$H$202,Assumptions!$H$204,$C802),AV813))),0)</f>
        <v>0</v>
      </c>
      <c r="AX813" s="39">
        <f>+IFERROR(-ABS(IF(EDATE(_xlfn.XLOOKUP(1,$H800:$BE800,$H$4:$BE$4),12*Assumptions!$H$204+12)=AX$4,0,IF(AW800=1,PMT(Assumptions!$H$202,Assumptions!$H$204,$C802),AW813))),0)</f>
        <v>0</v>
      </c>
      <c r="AY813" s="39">
        <f>+IFERROR(-ABS(IF(EDATE(_xlfn.XLOOKUP(1,$H800:$BE800,$H$4:$BE$4),12*Assumptions!$H$204+12)=AY$4,0,IF(AX800=1,PMT(Assumptions!$H$202,Assumptions!$H$204,$C802),AX813))),0)</f>
        <v>0</v>
      </c>
      <c r="AZ813" s="39">
        <f>+IFERROR(-ABS(IF(EDATE(_xlfn.XLOOKUP(1,$H800:$BE800,$H$4:$BE$4),12*Assumptions!$H$204+12)=AZ$4,0,IF(AY800=1,PMT(Assumptions!$H$202,Assumptions!$H$204,$C802),AY813))),0)</f>
        <v>0</v>
      </c>
      <c r="BA813" s="39">
        <f>+IFERROR(-ABS(IF(EDATE(_xlfn.XLOOKUP(1,$H800:$BE800,$H$4:$BE$4),12*Assumptions!$H$204+12)=BA$4,0,IF(AZ800=1,PMT(Assumptions!$H$202,Assumptions!$H$204,$C802),AZ813))),0)</f>
        <v>0</v>
      </c>
      <c r="BB813" s="39">
        <f>+IFERROR(-ABS(IF(EDATE(_xlfn.XLOOKUP(1,$H800:$BE800,$H$4:$BE$4),12*Assumptions!$H$204+12)=BB$4,0,IF(BA800=1,PMT(Assumptions!$H$202,Assumptions!$H$204,$C802),BA813))),0)</f>
        <v>0</v>
      </c>
      <c r="BC813" s="39">
        <f>+IFERROR(-ABS(IF(EDATE(_xlfn.XLOOKUP(1,$H800:$BE800,$H$4:$BE$4),12*Assumptions!$H$204+12)=BC$4,0,IF(BB800=1,PMT(Assumptions!$H$202,Assumptions!$H$204,$C802),BB813))),0)</f>
        <v>0</v>
      </c>
      <c r="BD813" s="39">
        <f>+IFERROR(-ABS(IF(EDATE(_xlfn.XLOOKUP(1,$H800:$BE800,$H$4:$BE$4),12*Assumptions!$H$204+12)=BD$4,0,IF(BC800=1,PMT(Assumptions!$H$202,Assumptions!$H$204,$C802),BC813))),0)</f>
        <v>0</v>
      </c>
      <c r="BE813" s="39">
        <f>+IFERROR(-ABS(IF(EDATE(_xlfn.XLOOKUP(1,$H800:$BE800,$H$4:$BE$4),12*Assumptions!$H$204+12)=BE$4,0,IF(BD800=1,PMT(Assumptions!$H$202,Assumptions!$H$204,$C802),BD813))),0)</f>
        <v>0</v>
      </c>
      <c r="BF813" s="39">
        <f>+IFERROR(-ABS(IF(EDATE(_xlfn.XLOOKUP(1,$H800:$BE800,$H$4:$BE$4),12*Assumptions!$H$204+12)=BF$4,0,IF(BE800=1,PMT(Assumptions!$H$202,Assumptions!$H$204,$C802),BE813))),0)</f>
        <v>0</v>
      </c>
      <c r="BG813" s="39">
        <f>+IFERROR(-ABS(IF(EDATE(_xlfn.XLOOKUP(1,$H800:$BE800,$H$4:$BE$4),12*Assumptions!$H$204+12)=BG$4,0,IF(BF800=1,PMT(Assumptions!$H$202,Assumptions!$H$204,$C802),BF813))),0)</f>
        <v>0</v>
      </c>
      <c r="BH813" s="39">
        <f>+IFERROR(-ABS(IF(EDATE(_xlfn.XLOOKUP(1,$H800:$BE800,$H$4:$BE$4),12*Assumptions!$H$204+12)=BH$4,0,IF(BG800=1,PMT(Assumptions!$H$202,Assumptions!$H$204,$C802),BG813))),0)</f>
        <v>0</v>
      </c>
      <c r="BI813" s="39">
        <f>+IFERROR(-ABS(IF(EDATE(_xlfn.XLOOKUP(1,$H800:$BE800,$H$4:$BE$4),12*Assumptions!$H$204+12)=BI$4,0,IF(BH800=1,PMT(Assumptions!$H$202,Assumptions!$H$204,$C802),BH813))),0)</f>
        <v>0</v>
      </c>
      <c r="BJ813" s="39">
        <f>+IFERROR(-ABS(IF(EDATE(_xlfn.XLOOKUP(1,$H800:$BE800,$H$4:$BE$4),12*Assumptions!$H$204+12)=BJ$4,0,IF(BI800=1,PMT(Assumptions!$H$202,Assumptions!$H$204,$C802),BI813))),0)</f>
        <v>0</v>
      </c>
      <c r="BK813" s="39">
        <f>+IFERROR(-ABS(IF(EDATE(_xlfn.XLOOKUP(1,$H800:$BE800,$H$4:$BE$4),12*Assumptions!$H$204+12)=BK$4,0,IF(BJ800=1,PMT(Assumptions!$H$202,Assumptions!$H$204,$C802),BJ813))),0)</f>
        <v>0</v>
      </c>
      <c r="BL813" s="39">
        <f>+IFERROR(-ABS(IF(EDATE(_xlfn.XLOOKUP(1,$H800:$BE800,$H$4:$BE$4),12*Assumptions!$H$204+12)=BL$4,0,IF(BK800=1,PMT(Assumptions!$H$202,Assumptions!$H$204,$C802),BK813))),0)</f>
        <v>0</v>
      </c>
      <c r="BM813" s="39">
        <f>+IFERROR(-ABS(IF(EDATE(_xlfn.XLOOKUP(1,$H800:$BE800,$H$4:$BE$4),12*Assumptions!$H$204+12)=BM$4,0,IF(BL800=1,PMT(Assumptions!$H$202,Assumptions!$H$204,$C802),BL813))),0)</f>
        <v>0</v>
      </c>
      <c r="BN813" s="39">
        <f>+IFERROR(-ABS(IF(EDATE(_xlfn.XLOOKUP(1,$H800:$BE800,$H$4:$BE$4),12*Assumptions!$H$204+12)=BN$4,0,IF(BM800=1,PMT(Assumptions!$H$202,Assumptions!$H$204,$C802),BM813))),0)</f>
        <v>0</v>
      </c>
      <c r="BO813" s="39">
        <f>+IFERROR(-ABS(IF(EDATE(_xlfn.XLOOKUP(1,$H800:$BE800,$H$4:$BE$4),12*Assumptions!$H$204+12)=BO$4,0,IF(BN800=1,PMT(Assumptions!$H$202,Assumptions!$H$204,$C802),BN813))),0)</f>
        <v>0</v>
      </c>
      <c r="BP813" s="39">
        <f>+IFERROR(-ABS(IF(EDATE(_xlfn.XLOOKUP(1,$H800:$BE800,$H$4:$BE$4),12*Assumptions!$H$204+12)=BP$4,0,IF(BO800=1,PMT(Assumptions!$H$202,Assumptions!$H$204,$C802),BO813))),0)</f>
        <v>0</v>
      </c>
      <c r="BQ813" s="39">
        <f>+IFERROR(-ABS(IF(EDATE(_xlfn.XLOOKUP(1,$H800:$BE800,$H$4:$BE$4),12*Assumptions!$H$204+12)=BQ$4,0,IF(BP800=1,PMT(Assumptions!$H$202,Assumptions!$H$204,$C802),BP813))),0)</f>
        <v>0</v>
      </c>
      <c r="BR813" s="39">
        <f>+IFERROR(-ABS(IF(EDATE(_xlfn.XLOOKUP(1,$H800:$BE800,$H$4:$BE$4),12*Assumptions!$H$204+12)=BR$4,0,IF(BQ800=1,PMT(Assumptions!$H$202,Assumptions!$H$204,$C802),BQ813))),0)</f>
        <v>0</v>
      </c>
      <c r="BS813" s="39">
        <f>+IFERROR(-ABS(IF(EDATE(_xlfn.XLOOKUP(1,$H800:$BE800,$H$4:$BE$4),12*Assumptions!$H$204+12)=BS$4,0,IF(BR800=1,PMT(Assumptions!$H$202,Assumptions!$H$204,$C802),BR813))),0)</f>
        <v>0</v>
      </c>
      <c r="BT813" s="39">
        <f>+IFERROR(-ABS(IF(EDATE(_xlfn.XLOOKUP(1,$H800:$BE800,$H$4:$BE$4),12*Assumptions!$H$204+12)=BT$4,0,IF(BS800=1,PMT(Assumptions!$H$202,Assumptions!$H$204,$C802),BS813))),0)</f>
        <v>0</v>
      </c>
      <c r="BU813" s="39">
        <f>+IFERROR(-ABS(IF(EDATE(_xlfn.XLOOKUP(1,$H800:$BE800,$H$4:$BE$4),12*Assumptions!$H$204+12)=BU$4,0,IF(BT800=1,PMT(Assumptions!$H$202,Assumptions!$H$204,$C802),BT813))),0)</f>
        <v>0</v>
      </c>
      <c r="BV813" s="39">
        <f>+IFERROR(-ABS(IF(EDATE(_xlfn.XLOOKUP(1,$H800:$BE800,$H$4:$BE$4),12*Assumptions!$H$204+12)=BV$4,0,IF(BU800=1,PMT(Assumptions!$H$202,Assumptions!$H$204,$C802),BU813))),0)</f>
        <v>0</v>
      </c>
      <c r="BW813" s="39">
        <f>+IFERROR(-ABS(IF(EDATE(_xlfn.XLOOKUP(1,$H800:$BE800,$H$4:$BE$4),12*Assumptions!$H$204+12)=BW$4,0,IF(BV800=1,PMT(Assumptions!$H$202,Assumptions!$H$204,$C802),BV813))),0)</f>
        <v>0</v>
      </c>
      <c r="BX813" s="39">
        <f>+IFERROR(-ABS(IF(EDATE(_xlfn.XLOOKUP(1,$H800:$BE800,$H$4:$BE$4),12*Assumptions!$H$204+12)=BX$4,0,IF(BW800=1,PMT(Assumptions!$H$202,Assumptions!$H$204,$C802),BW813))),0)</f>
        <v>0</v>
      </c>
      <c r="BY813" s="39">
        <f>+IFERROR(-ABS(IF(EDATE(_xlfn.XLOOKUP(1,$H800:$BE800,$H$4:$BE$4),12*Assumptions!$H$204+12)=BY$4,0,IF(BX800=1,PMT(Assumptions!$H$202,Assumptions!$H$204,$C802),BX813))),0)</f>
        <v>0</v>
      </c>
    </row>
    <row r="814" spans="3:77" outlineLevel="1">
      <c r="C814" s="31"/>
      <c r="E814" s="24" t="s">
        <v>515</v>
      </c>
      <c r="F814" s="80" t="str">
        <f>+Assumptions!$G$8</f>
        <v>USD</v>
      </c>
      <c r="G814" s="24"/>
      <c r="H814" s="39">
        <f>+IFERROR(-ABS(IF(EDATE(_xlfn.XLOOKUP(1,$H801:$BE801,$H$4:$BE$4),12*Assumptions!$H$204+12)=H$4,0,IF(G801=1,PMT(Assumptions!$H$202,Assumptions!$H$204,$C803),G814))),0)</f>
        <v>0</v>
      </c>
      <c r="I814" s="39">
        <f>+IFERROR(-ABS(IF(EDATE(_xlfn.XLOOKUP(1,$H801:$BE801,$H$4:$BE$4),12*Assumptions!$H$204+12)=I$4,0,IF(H801=1,PMT(Assumptions!$H$202,Assumptions!$H$204,$C803),H814))),0)</f>
        <v>0</v>
      </c>
      <c r="J814" s="39">
        <f>+IFERROR(-ABS(IF(EDATE(_xlfn.XLOOKUP(1,$H801:$BE801,$H$4:$BE$4),12*Assumptions!$H$204+12)=J$4,0,IF(I801=1,PMT(Assumptions!$H$202,Assumptions!$H$204,$C803),I814))),0)</f>
        <v>0</v>
      </c>
      <c r="K814" s="39">
        <f>+IFERROR(-ABS(IF(EDATE(_xlfn.XLOOKUP(1,$H801:$BE801,$H$4:$BE$4),12*Assumptions!$H$204+12)=K$4,0,IF(J801=1,PMT(Assumptions!$H$202,Assumptions!$H$204,$C803),J814))),0)</f>
        <v>0</v>
      </c>
      <c r="L814" s="39">
        <f>+IFERROR(-ABS(IF(EDATE(_xlfn.XLOOKUP(1,$H801:$BE801,$H$4:$BE$4),12*Assumptions!$H$204+12)=L$4,0,IF(K801=1,PMT(Assumptions!$H$202,Assumptions!$H$204,$C803),K814))),0)</f>
        <v>0</v>
      </c>
      <c r="M814" s="39">
        <f>+IFERROR(-ABS(IF(EDATE(_xlfn.XLOOKUP(1,$H801:$BE801,$H$4:$BE$4),12*Assumptions!$H$204+12)=M$4,0,IF(L801=1,PMT(Assumptions!$H$202,Assumptions!$H$204,$C803),L814))),0)</f>
        <v>0</v>
      </c>
      <c r="N814" s="39">
        <f>+IFERROR(-ABS(IF(EDATE(_xlfn.XLOOKUP(1,$H801:$BE801,$H$4:$BE$4),12*Assumptions!$H$204+12)=N$4,0,IF(M801=1,PMT(Assumptions!$H$202,Assumptions!$H$204,$C803),M814))),0)</f>
        <v>0</v>
      </c>
      <c r="O814" s="39">
        <f>+IFERROR(-ABS(IF(EDATE(_xlfn.XLOOKUP(1,$H801:$BE801,$H$4:$BE$4),12*Assumptions!$H$204+12)=O$4,0,IF(N801=1,PMT(Assumptions!$H$202,Assumptions!$H$204,$C803),N814))),0)</f>
        <v>0</v>
      </c>
      <c r="P814" s="39">
        <f>+IFERROR(-ABS(IF(EDATE(_xlfn.XLOOKUP(1,$H801:$BE801,$H$4:$BE$4),12*Assumptions!$H$204+12)=P$4,0,IF(O801=1,PMT(Assumptions!$H$202,Assumptions!$H$204,$C803),O814))),0)</f>
        <v>0</v>
      </c>
      <c r="Q814" s="39">
        <f>+IFERROR(-ABS(IF(EDATE(_xlfn.XLOOKUP(1,$H801:$BE801,$H$4:$BE$4),12*Assumptions!$H$204+12)=Q$4,0,IF(P801=1,PMT(Assumptions!$H$202,Assumptions!$H$204,$C803),P814))),0)</f>
        <v>0</v>
      </c>
      <c r="R814" s="39">
        <f>+IFERROR(-ABS(IF(EDATE(_xlfn.XLOOKUP(1,$H801:$BE801,$H$4:$BE$4),12*Assumptions!$H$204+12)=R$4,0,IF(Q801=1,PMT(Assumptions!$H$202,Assumptions!$H$204,$C803),Q814))),0)</f>
        <v>0</v>
      </c>
      <c r="S814" s="39">
        <f>+IFERROR(-ABS(IF(EDATE(_xlfn.XLOOKUP(1,$H801:$BE801,$H$4:$BE$4),12*Assumptions!$H$204+12)=S$4,0,IF(R801=1,PMT(Assumptions!$H$202,Assumptions!$H$204,$C803),R814))),0)</f>
        <v>0</v>
      </c>
      <c r="T814" s="39">
        <f>+IFERROR(-ABS(IF(EDATE(_xlfn.XLOOKUP(1,$H801:$BE801,$H$4:$BE$4),12*Assumptions!$H$204+12)=T$4,0,IF(S801=1,PMT(Assumptions!$H$202,Assumptions!$H$204,$C803),S814))),0)</f>
        <v>0</v>
      </c>
      <c r="U814" s="39">
        <f>+IFERROR(-ABS(IF(EDATE(_xlfn.XLOOKUP(1,$H801:$BE801,$H$4:$BE$4),12*Assumptions!$H$204+12)=U$4,0,IF(T801=1,PMT(Assumptions!$H$202,Assumptions!$H$204,$C803),T814))),0)</f>
        <v>0</v>
      </c>
      <c r="V814" s="39">
        <f>+IFERROR(-ABS(IF(EDATE(_xlfn.XLOOKUP(1,$H801:$BE801,$H$4:$BE$4),12*Assumptions!$H$204+12)=V$4,0,IF(U801=1,PMT(Assumptions!$H$202,Assumptions!$H$204,$C803),U814))),0)</f>
        <v>0</v>
      </c>
      <c r="W814" s="39">
        <f>+IFERROR(-ABS(IF(EDATE(_xlfn.XLOOKUP(1,$H801:$BE801,$H$4:$BE$4),12*Assumptions!$H$204+12)=W$4,0,IF(V801=1,PMT(Assumptions!$H$202,Assumptions!$H$204,$C803),V814))),0)</f>
        <v>0</v>
      </c>
      <c r="X814" s="39">
        <f>+IFERROR(-ABS(IF(EDATE(_xlfn.XLOOKUP(1,$H801:$BE801,$H$4:$BE$4),12*Assumptions!$H$204+12)=X$4,0,IF(W801=1,PMT(Assumptions!$H$202,Assumptions!$H$204,$C803),W814))),0)</f>
        <v>0</v>
      </c>
      <c r="Y814" s="39">
        <f>+IFERROR(-ABS(IF(EDATE(_xlfn.XLOOKUP(1,$H801:$BE801,$H$4:$BE$4),12*Assumptions!$H$204+12)=Y$4,0,IF(X801=1,PMT(Assumptions!$H$202,Assumptions!$H$204,$C803),X814))),0)</f>
        <v>0</v>
      </c>
      <c r="Z814" s="39">
        <f>+IFERROR(-ABS(IF(EDATE(_xlfn.XLOOKUP(1,$H801:$BE801,$H$4:$BE$4),12*Assumptions!$H$204+12)=Z$4,0,IF(Y801=1,PMT(Assumptions!$H$202,Assumptions!$H$204,$C803),Y814))),0)</f>
        <v>0</v>
      </c>
      <c r="AA814" s="39">
        <f>+IFERROR(-ABS(IF(EDATE(_xlfn.XLOOKUP(1,$H801:$BE801,$H$4:$BE$4),12*Assumptions!$H$204+12)=AA$4,0,IF(Z801=1,PMT(Assumptions!$H$202,Assumptions!$H$204,$C803),Z814))),0)</f>
        <v>0</v>
      </c>
      <c r="AB814" s="39">
        <f>+IFERROR(-ABS(IF(EDATE(_xlfn.XLOOKUP(1,$H801:$BE801,$H$4:$BE$4),12*Assumptions!$H$204+12)=AB$4,0,IF(AA801=1,PMT(Assumptions!$H$202,Assumptions!$H$204,$C803),AA814))),0)</f>
        <v>0</v>
      </c>
      <c r="AC814" s="39">
        <f>+IFERROR(-ABS(IF(EDATE(_xlfn.XLOOKUP(1,$H801:$BE801,$H$4:$BE$4),12*Assumptions!$H$204+12)=AC$4,0,IF(AB801=1,PMT(Assumptions!$H$202,Assumptions!$H$204,$C803),AB814))),0)</f>
        <v>0</v>
      </c>
      <c r="AD814" s="39">
        <f>+IFERROR(-ABS(IF(EDATE(_xlfn.XLOOKUP(1,$H801:$BE801,$H$4:$BE$4),12*Assumptions!$H$204+12)=AD$4,0,IF(AC801=1,PMT(Assumptions!$H$202,Assumptions!$H$204,$C803),AC814))),0)</f>
        <v>0</v>
      </c>
      <c r="AE814" s="39">
        <f>+IFERROR(-ABS(IF(EDATE(_xlfn.XLOOKUP(1,$H801:$BE801,$H$4:$BE$4),12*Assumptions!$H$204+12)=AE$4,0,IF(AD801=1,PMT(Assumptions!$H$202,Assumptions!$H$204,$C803),AD814))),0)</f>
        <v>0</v>
      </c>
      <c r="AF814" s="39">
        <f>+IFERROR(-ABS(IF(EDATE(_xlfn.XLOOKUP(1,$H801:$BE801,$H$4:$BE$4),12*Assumptions!$H$204+12)=AF$4,0,IF(AE801=1,PMT(Assumptions!$H$202,Assumptions!$H$204,$C803),AE814))),0)</f>
        <v>0</v>
      </c>
      <c r="AG814" s="39">
        <f>+IFERROR(-ABS(IF(EDATE(_xlfn.XLOOKUP(1,$H801:$BE801,$H$4:$BE$4),12*Assumptions!$H$204+12)=AG$4,0,IF(AF801=1,PMT(Assumptions!$H$202,Assumptions!$H$204,$C803),AF814))),0)</f>
        <v>0</v>
      </c>
      <c r="AH814" s="39">
        <f>+IFERROR(-ABS(IF(EDATE(_xlfn.XLOOKUP(1,$H801:$BE801,$H$4:$BE$4),12*Assumptions!$H$204+12)=AH$4,0,IF(AG801=1,PMT(Assumptions!$H$202,Assumptions!$H$204,$C803),AG814))),0)</f>
        <v>0</v>
      </c>
      <c r="AI814" s="39">
        <f>+IFERROR(-ABS(IF(EDATE(_xlfn.XLOOKUP(1,$H801:$BE801,$H$4:$BE$4),12*Assumptions!$H$204+12)=AI$4,0,IF(AH801=1,PMT(Assumptions!$H$202,Assumptions!$H$204,$C803),AH814))),0)</f>
        <v>0</v>
      </c>
      <c r="AJ814" s="39">
        <f>+IFERROR(-ABS(IF(EDATE(_xlfn.XLOOKUP(1,$H801:$BE801,$H$4:$BE$4),12*Assumptions!$H$204+12)=AJ$4,0,IF(AI801=1,PMT(Assumptions!$H$202,Assumptions!$H$204,$C803),AI814))),0)</f>
        <v>0</v>
      </c>
      <c r="AK814" s="39">
        <f>+IFERROR(-ABS(IF(EDATE(_xlfn.XLOOKUP(1,$H801:$BE801,$H$4:$BE$4),12*Assumptions!$H$204+12)=AK$4,0,IF(AJ801=1,PMT(Assumptions!$H$202,Assumptions!$H$204,$C803),AJ814))),0)</f>
        <v>0</v>
      </c>
      <c r="AL814" s="39">
        <f>+IFERROR(-ABS(IF(EDATE(_xlfn.XLOOKUP(1,$H801:$BE801,$H$4:$BE$4),12*Assumptions!$H$204+12)=AL$4,0,IF(AK801=1,PMT(Assumptions!$H$202,Assumptions!$H$204,$C803),AK814))),0)</f>
        <v>0</v>
      </c>
      <c r="AM814" s="39">
        <f>+IFERROR(-ABS(IF(EDATE(_xlfn.XLOOKUP(1,$H801:$BE801,$H$4:$BE$4),12*Assumptions!$H$204+12)=AM$4,0,IF(AL801=1,PMT(Assumptions!$H$202,Assumptions!$H$204,$C803),AL814))),0)</f>
        <v>0</v>
      </c>
      <c r="AN814" s="39">
        <f>+IFERROR(-ABS(IF(EDATE(_xlfn.XLOOKUP(1,$H801:$BE801,$H$4:$BE$4),12*Assumptions!$H$204+12)=AN$4,0,IF(AM801=1,PMT(Assumptions!$H$202,Assumptions!$H$204,$C803),AM814))),0)</f>
        <v>0</v>
      </c>
      <c r="AO814" s="39">
        <f>+IFERROR(-ABS(IF(EDATE(_xlfn.XLOOKUP(1,$H801:$BE801,$H$4:$BE$4),12*Assumptions!$H$204+12)=AO$4,0,IF(AN801=1,PMT(Assumptions!$H$202,Assumptions!$H$204,$C803),AN814))),0)</f>
        <v>0</v>
      </c>
      <c r="AP814" s="39">
        <f>+IFERROR(-ABS(IF(EDATE(_xlfn.XLOOKUP(1,$H801:$BE801,$H$4:$BE$4),12*Assumptions!$H$204+12)=AP$4,0,IF(AO801=1,PMT(Assumptions!$H$202,Assumptions!$H$204,$C803),AO814))),0)</f>
        <v>0</v>
      </c>
      <c r="AQ814" s="39">
        <f>+IFERROR(-ABS(IF(EDATE(_xlfn.XLOOKUP(1,$H801:$BE801,$H$4:$BE$4),12*Assumptions!$H$204+12)=AQ$4,0,IF(AP801=1,PMT(Assumptions!$H$202,Assumptions!$H$204,$C803),AP814))),0)</f>
        <v>0</v>
      </c>
      <c r="AR814" s="39">
        <f>+IFERROR(-ABS(IF(EDATE(_xlfn.XLOOKUP(1,$H801:$BE801,$H$4:$BE$4),12*Assumptions!$H$204+12)=AR$4,0,IF(AQ801=1,PMT(Assumptions!$H$202,Assumptions!$H$204,$C803),AQ814))),0)</f>
        <v>0</v>
      </c>
      <c r="AS814" s="39">
        <f>+IFERROR(-ABS(IF(EDATE(_xlfn.XLOOKUP(1,$H801:$BE801,$H$4:$BE$4),12*Assumptions!$H$204+12)=AS$4,0,IF(AR801=1,PMT(Assumptions!$H$202,Assumptions!$H$204,$C803),AR814))),0)</f>
        <v>0</v>
      </c>
      <c r="AT814" s="39">
        <f>+IFERROR(-ABS(IF(EDATE(_xlfn.XLOOKUP(1,$H801:$BE801,$H$4:$BE$4),12*Assumptions!$H$204+12)=AT$4,0,IF(AS801=1,PMT(Assumptions!$H$202,Assumptions!$H$204,$C803),AS814))),0)</f>
        <v>0</v>
      </c>
      <c r="AU814" s="39">
        <f>+IFERROR(-ABS(IF(EDATE(_xlfn.XLOOKUP(1,$H801:$BE801,$H$4:$BE$4),12*Assumptions!$H$204+12)=AU$4,0,IF(AT801=1,PMT(Assumptions!$H$202,Assumptions!$H$204,$C803),AT814))),0)</f>
        <v>0</v>
      </c>
      <c r="AV814" s="39">
        <f>+IFERROR(-ABS(IF(EDATE(_xlfn.XLOOKUP(1,$H801:$BE801,$H$4:$BE$4),12*Assumptions!$H$204+12)=AV$4,0,IF(AU801=1,PMT(Assumptions!$H$202,Assumptions!$H$204,$C803),AU814))),0)</f>
        <v>0</v>
      </c>
      <c r="AW814" s="39">
        <f>+IFERROR(-ABS(IF(EDATE(_xlfn.XLOOKUP(1,$H801:$BE801,$H$4:$BE$4),12*Assumptions!$H$204+12)=AW$4,0,IF(AV801=1,PMT(Assumptions!$H$202,Assumptions!$H$204,$C803),AV814))),0)</f>
        <v>0</v>
      </c>
      <c r="AX814" s="39">
        <f>+IFERROR(-ABS(IF(EDATE(_xlfn.XLOOKUP(1,$H801:$BE801,$H$4:$BE$4),12*Assumptions!$H$204+12)=AX$4,0,IF(AW801=1,PMT(Assumptions!$H$202,Assumptions!$H$204,$C803),AW814))),0)</f>
        <v>0</v>
      </c>
      <c r="AY814" s="39">
        <f>+IFERROR(-ABS(IF(EDATE(_xlfn.XLOOKUP(1,$H801:$BE801,$H$4:$BE$4),12*Assumptions!$H$204+12)=AY$4,0,IF(AX801=1,PMT(Assumptions!$H$202,Assumptions!$H$204,$C803),AX814))),0)</f>
        <v>0</v>
      </c>
      <c r="AZ814" s="39">
        <f>+IFERROR(-ABS(IF(EDATE(_xlfn.XLOOKUP(1,$H801:$BE801,$H$4:$BE$4),12*Assumptions!$H$204+12)=AZ$4,0,IF(AY801=1,PMT(Assumptions!$H$202,Assumptions!$H$204,$C803),AY814))),0)</f>
        <v>0</v>
      </c>
      <c r="BA814" s="39">
        <f>+IFERROR(-ABS(IF(EDATE(_xlfn.XLOOKUP(1,$H801:$BE801,$H$4:$BE$4),12*Assumptions!$H$204+12)=BA$4,0,IF(AZ801=1,PMT(Assumptions!$H$202,Assumptions!$H$204,$C803),AZ814))),0)</f>
        <v>0</v>
      </c>
      <c r="BB814" s="39">
        <f>+IFERROR(-ABS(IF(EDATE(_xlfn.XLOOKUP(1,$H801:$BE801,$H$4:$BE$4),12*Assumptions!$H$204+12)=BB$4,0,IF(BA801=1,PMT(Assumptions!$H$202,Assumptions!$H$204,$C803),BA814))),0)</f>
        <v>0</v>
      </c>
      <c r="BC814" s="39">
        <f>+IFERROR(-ABS(IF(EDATE(_xlfn.XLOOKUP(1,$H801:$BE801,$H$4:$BE$4),12*Assumptions!$H$204+12)=BC$4,0,IF(BB801=1,PMT(Assumptions!$H$202,Assumptions!$H$204,$C803),BB814))),0)</f>
        <v>0</v>
      </c>
      <c r="BD814" s="39">
        <f>+IFERROR(-ABS(IF(EDATE(_xlfn.XLOOKUP(1,$H801:$BE801,$H$4:$BE$4),12*Assumptions!$H$204+12)=BD$4,0,IF(BC801=1,PMT(Assumptions!$H$202,Assumptions!$H$204,$C803),BC814))),0)</f>
        <v>0</v>
      </c>
      <c r="BE814" s="39">
        <f>+IFERROR(-ABS(IF(EDATE(_xlfn.XLOOKUP(1,$H801:$BE801,$H$4:$BE$4),12*Assumptions!$H$204+12)=BE$4,0,IF(BD801=1,PMT(Assumptions!$H$202,Assumptions!$H$204,$C803),BD814))),0)</f>
        <v>0</v>
      </c>
      <c r="BF814" s="39">
        <f>+IFERROR(-ABS(IF(EDATE(_xlfn.XLOOKUP(1,$H801:$BE801,$H$4:$BE$4),12*Assumptions!$H$204+12)=BF$4,0,IF(BE801=1,PMT(Assumptions!$H$202,Assumptions!$H$204,$C803),BE814))),0)</f>
        <v>0</v>
      </c>
      <c r="BG814" s="39">
        <f>+IFERROR(-ABS(IF(EDATE(_xlfn.XLOOKUP(1,$H801:$BE801,$H$4:$BE$4),12*Assumptions!$H$204+12)=BG$4,0,IF(BF801=1,PMT(Assumptions!$H$202,Assumptions!$H$204,$C803),BF814))),0)</f>
        <v>0</v>
      </c>
      <c r="BH814" s="39">
        <f>+IFERROR(-ABS(IF(EDATE(_xlfn.XLOOKUP(1,$H801:$BE801,$H$4:$BE$4),12*Assumptions!$H$204+12)=BH$4,0,IF(BG801=1,PMT(Assumptions!$H$202,Assumptions!$H$204,$C803),BG814))),0)</f>
        <v>0</v>
      </c>
      <c r="BI814" s="39">
        <f>+IFERROR(-ABS(IF(EDATE(_xlfn.XLOOKUP(1,$H801:$BE801,$H$4:$BE$4),12*Assumptions!$H$204+12)=BI$4,0,IF(BH801=1,PMT(Assumptions!$H$202,Assumptions!$H$204,$C803),BH814))),0)</f>
        <v>0</v>
      </c>
      <c r="BJ814" s="39">
        <f>+IFERROR(-ABS(IF(EDATE(_xlfn.XLOOKUP(1,$H801:$BE801,$H$4:$BE$4),12*Assumptions!$H$204+12)=BJ$4,0,IF(BI801=1,PMT(Assumptions!$H$202,Assumptions!$H$204,$C803),BI814))),0)</f>
        <v>0</v>
      </c>
      <c r="BK814" s="39">
        <f>+IFERROR(-ABS(IF(EDATE(_xlfn.XLOOKUP(1,$H801:$BE801,$H$4:$BE$4),12*Assumptions!$H$204+12)=BK$4,0,IF(BJ801=1,PMT(Assumptions!$H$202,Assumptions!$H$204,$C803),BJ814))),0)</f>
        <v>0</v>
      </c>
      <c r="BL814" s="39">
        <f>+IFERROR(-ABS(IF(EDATE(_xlfn.XLOOKUP(1,$H801:$BE801,$H$4:$BE$4),12*Assumptions!$H$204+12)=BL$4,0,IF(BK801=1,PMT(Assumptions!$H$202,Assumptions!$H$204,$C803),BK814))),0)</f>
        <v>0</v>
      </c>
      <c r="BM814" s="39">
        <f>+IFERROR(-ABS(IF(EDATE(_xlfn.XLOOKUP(1,$H801:$BE801,$H$4:$BE$4),12*Assumptions!$H$204+12)=BM$4,0,IF(BL801=1,PMT(Assumptions!$H$202,Assumptions!$H$204,$C803),BL814))),0)</f>
        <v>0</v>
      </c>
      <c r="BN814" s="39">
        <f>+IFERROR(-ABS(IF(EDATE(_xlfn.XLOOKUP(1,$H801:$BE801,$H$4:$BE$4),12*Assumptions!$H$204+12)=BN$4,0,IF(BM801=1,PMT(Assumptions!$H$202,Assumptions!$H$204,$C803),BM814))),0)</f>
        <v>0</v>
      </c>
      <c r="BO814" s="39">
        <f>+IFERROR(-ABS(IF(EDATE(_xlfn.XLOOKUP(1,$H801:$BE801,$H$4:$BE$4),12*Assumptions!$H$204+12)=BO$4,0,IF(BN801=1,PMT(Assumptions!$H$202,Assumptions!$H$204,$C803),BN814))),0)</f>
        <v>0</v>
      </c>
      <c r="BP814" s="39">
        <f>+IFERROR(-ABS(IF(EDATE(_xlfn.XLOOKUP(1,$H801:$BE801,$H$4:$BE$4),12*Assumptions!$H$204+12)=BP$4,0,IF(BO801=1,PMT(Assumptions!$H$202,Assumptions!$H$204,$C803),BO814))),0)</f>
        <v>0</v>
      </c>
      <c r="BQ814" s="39">
        <f>+IFERROR(-ABS(IF(EDATE(_xlfn.XLOOKUP(1,$H801:$BE801,$H$4:$BE$4),12*Assumptions!$H$204+12)=BQ$4,0,IF(BP801=1,PMT(Assumptions!$H$202,Assumptions!$H$204,$C803),BP814))),0)</f>
        <v>0</v>
      </c>
      <c r="BR814" s="39">
        <f>+IFERROR(-ABS(IF(EDATE(_xlfn.XLOOKUP(1,$H801:$BE801,$H$4:$BE$4),12*Assumptions!$H$204+12)=BR$4,0,IF(BQ801=1,PMT(Assumptions!$H$202,Assumptions!$H$204,$C803),BQ814))),0)</f>
        <v>0</v>
      </c>
      <c r="BS814" s="39">
        <f>+IFERROR(-ABS(IF(EDATE(_xlfn.XLOOKUP(1,$H801:$BE801,$H$4:$BE$4),12*Assumptions!$H$204+12)=BS$4,0,IF(BR801=1,PMT(Assumptions!$H$202,Assumptions!$H$204,$C803),BR814))),0)</f>
        <v>0</v>
      </c>
      <c r="BT814" s="39">
        <f>+IFERROR(-ABS(IF(EDATE(_xlfn.XLOOKUP(1,$H801:$BE801,$H$4:$BE$4),12*Assumptions!$H$204+12)=BT$4,0,IF(BS801=1,PMT(Assumptions!$H$202,Assumptions!$H$204,$C803),BS814))),0)</f>
        <v>0</v>
      </c>
      <c r="BU814" s="39">
        <f>+IFERROR(-ABS(IF(EDATE(_xlfn.XLOOKUP(1,$H801:$BE801,$H$4:$BE$4),12*Assumptions!$H$204+12)=BU$4,0,IF(BT801=1,PMT(Assumptions!$H$202,Assumptions!$H$204,$C803),BT814))),0)</f>
        <v>0</v>
      </c>
      <c r="BV814" s="39">
        <f>+IFERROR(-ABS(IF(EDATE(_xlfn.XLOOKUP(1,$H801:$BE801,$H$4:$BE$4),12*Assumptions!$H$204+12)=BV$4,0,IF(BU801=1,PMT(Assumptions!$H$202,Assumptions!$H$204,$C803),BU814))),0)</f>
        <v>0</v>
      </c>
      <c r="BW814" s="39">
        <f>+IFERROR(-ABS(IF(EDATE(_xlfn.XLOOKUP(1,$H801:$BE801,$H$4:$BE$4),12*Assumptions!$H$204+12)=BW$4,0,IF(BV801=1,PMT(Assumptions!$H$202,Assumptions!$H$204,$C803),BV814))),0)</f>
        <v>0</v>
      </c>
      <c r="BX814" s="39">
        <f>+IFERROR(-ABS(IF(EDATE(_xlfn.XLOOKUP(1,$H801:$BE801,$H$4:$BE$4),12*Assumptions!$H$204+12)=BX$4,0,IF(BW801=1,PMT(Assumptions!$H$202,Assumptions!$H$204,$C803),BW814))),0)</f>
        <v>0</v>
      </c>
      <c r="BY814" s="39">
        <f>+IFERROR(-ABS(IF(EDATE(_xlfn.XLOOKUP(1,$H801:$BE801,$H$4:$BE$4),12*Assumptions!$H$204+12)=BY$4,0,IF(BX801=1,PMT(Assumptions!$H$202,Assumptions!$H$204,$C803),BX814))),0)</f>
        <v>0</v>
      </c>
    </row>
    <row r="815" spans="3:77" outlineLevel="1">
      <c r="E815" s="24" t="s">
        <v>516</v>
      </c>
      <c r="F815" s="80" t="str">
        <f>+Assumptions!$G$8</f>
        <v>USD</v>
      </c>
      <c r="G815" s="24"/>
      <c r="H815" s="39">
        <f>+IFERROR(-ABS(IF(EDATE(_xlfn.XLOOKUP(1,$H802:$BE802,$H$4:$BE$4),12*Assumptions!$H$204+12)=H$4,0,IF(G802=1,PMT(Assumptions!$H$202,Assumptions!$H$204,$C804),G815))),0)</f>
        <v>0</v>
      </c>
      <c r="I815" s="39">
        <f>+IFERROR(-ABS(IF(EDATE(_xlfn.XLOOKUP(1,$H802:$BE802,$H$4:$BE$4),12*Assumptions!$H$204+12)=I$4,0,IF(H802=1,PMT(Assumptions!$H$202,Assumptions!$H$204,$C804),H815))),0)</f>
        <v>0</v>
      </c>
      <c r="J815" s="39">
        <f>+IFERROR(-ABS(IF(EDATE(_xlfn.XLOOKUP(1,$H802:$BE802,$H$4:$BE$4),12*Assumptions!$H$204+12)=J$4,0,IF(I802=1,PMT(Assumptions!$H$202,Assumptions!$H$204,$C804),I815))),0)</f>
        <v>0</v>
      </c>
      <c r="K815" s="39">
        <f>+IFERROR(-ABS(IF(EDATE(_xlfn.XLOOKUP(1,$H802:$BE802,$H$4:$BE$4),12*Assumptions!$H$204+12)=K$4,0,IF(J802=1,PMT(Assumptions!$H$202,Assumptions!$H$204,$C804),J815))),0)</f>
        <v>0</v>
      </c>
      <c r="L815" s="39">
        <f>+IFERROR(-ABS(IF(EDATE(_xlfn.XLOOKUP(1,$H802:$BE802,$H$4:$BE$4),12*Assumptions!$H$204+12)=L$4,0,IF(K802=1,PMT(Assumptions!$H$202,Assumptions!$H$204,$C804),K815))),0)</f>
        <v>0</v>
      </c>
      <c r="M815" s="39">
        <f>+IFERROR(-ABS(IF(EDATE(_xlfn.XLOOKUP(1,$H802:$BE802,$H$4:$BE$4),12*Assumptions!$H$204+12)=M$4,0,IF(L802=1,PMT(Assumptions!$H$202,Assumptions!$H$204,$C804),L815))),0)</f>
        <v>0</v>
      </c>
      <c r="N815" s="39">
        <f>+IFERROR(-ABS(IF(EDATE(_xlfn.XLOOKUP(1,$H802:$BE802,$H$4:$BE$4),12*Assumptions!$H$204+12)=N$4,0,IF(M802=1,PMT(Assumptions!$H$202,Assumptions!$H$204,$C804),M815))),0)</f>
        <v>0</v>
      </c>
      <c r="O815" s="39">
        <f>+IFERROR(-ABS(IF(EDATE(_xlfn.XLOOKUP(1,$H802:$BE802,$H$4:$BE$4),12*Assumptions!$H$204+12)=O$4,0,IF(N802=1,PMT(Assumptions!$H$202,Assumptions!$H$204,$C804),N815))),0)</f>
        <v>0</v>
      </c>
      <c r="P815" s="39">
        <f>+IFERROR(-ABS(IF(EDATE(_xlfn.XLOOKUP(1,$H802:$BE802,$H$4:$BE$4),12*Assumptions!$H$204+12)=P$4,0,IF(O802=1,PMT(Assumptions!$H$202,Assumptions!$H$204,$C804),O815))),0)</f>
        <v>0</v>
      </c>
      <c r="Q815" s="39">
        <f>+IFERROR(-ABS(IF(EDATE(_xlfn.XLOOKUP(1,$H802:$BE802,$H$4:$BE$4),12*Assumptions!$H$204+12)=Q$4,0,IF(P802=1,PMT(Assumptions!$H$202,Assumptions!$H$204,$C804),P815))),0)</f>
        <v>0</v>
      </c>
      <c r="R815" s="39">
        <f>+IFERROR(-ABS(IF(EDATE(_xlfn.XLOOKUP(1,$H802:$BE802,$H$4:$BE$4),12*Assumptions!$H$204+12)=R$4,0,IF(Q802=1,PMT(Assumptions!$H$202,Assumptions!$H$204,$C804),Q815))),0)</f>
        <v>0</v>
      </c>
      <c r="S815" s="39">
        <f>+IFERROR(-ABS(IF(EDATE(_xlfn.XLOOKUP(1,$H802:$BE802,$H$4:$BE$4),12*Assumptions!$H$204+12)=S$4,0,IF(R802=1,PMT(Assumptions!$H$202,Assumptions!$H$204,$C804),R815))),0)</f>
        <v>0</v>
      </c>
      <c r="T815" s="39">
        <f>+IFERROR(-ABS(IF(EDATE(_xlfn.XLOOKUP(1,$H802:$BE802,$H$4:$BE$4),12*Assumptions!$H$204+12)=T$4,0,IF(S802=1,PMT(Assumptions!$H$202,Assumptions!$H$204,$C804),S815))),0)</f>
        <v>0</v>
      </c>
      <c r="U815" s="39">
        <f>+IFERROR(-ABS(IF(EDATE(_xlfn.XLOOKUP(1,$H802:$BE802,$H$4:$BE$4),12*Assumptions!$H$204+12)=U$4,0,IF(T802=1,PMT(Assumptions!$H$202,Assumptions!$H$204,$C804),T815))),0)</f>
        <v>0</v>
      </c>
      <c r="V815" s="39">
        <f>+IFERROR(-ABS(IF(EDATE(_xlfn.XLOOKUP(1,$H802:$BE802,$H$4:$BE$4),12*Assumptions!$H$204+12)=V$4,0,IF(U802=1,PMT(Assumptions!$H$202,Assumptions!$H$204,$C804),U815))),0)</f>
        <v>0</v>
      </c>
      <c r="W815" s="39">
        <f>+IFERROR(-ABS(IF(EDATE(_xlfn.XLOOKUP(1,$H802:$BE802,$H$4:$BE$4),12*Assumptions!$H$204+12)=W$4,0,IF(V802=1,PMT(Assumptions!$H$202,Assumptions!$H$204,$C804),V815))),0)</f>
        <v>0</v>
      </c>
      <c r="X815" s="39">
        <f>+IFERROR(-ABS(IF(EDATE(_xlfn.XLOOKUP(1,$H802:$BE802,$H$4:$BE$4),12*Assumptions!$H$204+12)=X$4,0,IF(W802=1,PMT(Assumptions!$H$202,Assumptions!$H$204,$C804),W815))),0)</f>
        <v>0</v>
      </c>
      <c r="Y815" s="39">
        <f>+IFERROR(-ABS(IF(EDATE(_xlfn.XLOOKUP(1,$H802:$BE802,$H$4:$BE$4),12*Assumptions!$H$204+12)=Y$4,0,IF(X802=1,PMT(Assumptions!$H$202,Assumptions!$H$204,$C804),X815))),0)</f>
        <v>0</v>
      </c>
      <c r="Z815" s="39">
        <f>+IFERROR(-ABS(IF(EDATE(_xlfn.XLOOKUP(1,$H802:$BE802,$H$4:$BE$4),12*Assumptions!$H$204+12)=Z$4,0,IF(Y802=1,PMT(Assumptions!$H$202,Assumptions!$H$204,$C804),Y815))),0)</f>
        <v>0</v>
      </c>
      <c r="AA815" s="39">
        <f>+IFERROR(-ABS(IF(EDATE(_xlfn.XLOOKUP(1,$H802:$BE802,$H$4:$BE$4),12*Assumptions!$H$204+12)=AA$4,0,IF(Z802=1,PMT(Assumptions!$H$202,Assumptions!$H$204,$C804),Z815))),0)</f>
        <v>0</v>
      </c>
      <c r="AB815" s="39">
        <f>+IFERROR(-ABS(IF(EDATE(_xlfn.XLOOKUP(1,$H802:$BE802,$H$4:$BE$4),12*Assumptions!$H$204+12)=AB$4,0,IF(AA802=1,PMT(Assumptions!$H$202,Assumptions!$H$204,$C804),AA815))),0)</f>
        <v>0</v>
      </c>
      <c r="AC815" s="39">
        <f>+IFERROR(-ABS(IF(EDATE(_xlfn.XLOOKUP(1,$H802:$BE802,$H$4:$BE$4),12*Assumptions!$H$204+12)=AC$4,0,IF(AB802=1,PMT(Assumptions!$H$202,Assumptions!$H$204,$C804),AB815))),0)</f>
        <v>0</v>
      </c>
      <c r="AD815" s="39">
        <f>+IFERROR(-ABS(IF(EDATE(_xlfn.XLOOKUP(1,$H802:$BE802,$H$4:$BE$4),12*Assumptions!$H$204+12)=AD$4,0,IF(AC802=1,PMT(Assumptions!$H$202,Assumptions!$H$204,$C804),AC815))),0)</f>
        <v>0</v>
      </c>
      <c r="AE815" s="39">
        <f>+IFERROR(-ABS(IF(EDATE(_xlfn.XLOOKUP(1,$H802:$BE802,$H$4:$BE$4),12*Assumptions!$H$204+12)=AE$4,0,IF(AD802=1,PMT(Assumptions!$H$202,Assumptions!$H$204,$C804),AD815))),0)</f>
        <v>0</v>
      </c>
      <c r="AF815" s="39">
        <f>+IFERROR(-ABS(IF(EDATE(_xlfn.XLOOKUP(1,$H802:$BE802,$H$4:$BE$4),12*Assumptions!$H$204+12)=AF$4,0,IF(AE802=1,PMT(Assumptions!$H$202,Assumptions!$H$204,$C804),AE815))),0)</f>
        <v>0</v>
      </c>
      <c r="AG815" s="39">
        <f>+IFERROR(-ABS(IF(EDATE(_xlfn.XLOOKUP(1,$H802:$BE802,$H$4:$BE$4),12*Assumptions!$H$204+12)=AG$4,0,IF(AF802=1,PMT(Assumptions!$H$202,Assumptions!$H$204,$C804),AF815))),0)</f>
        <v>0</v>
      </c>
      <c r="AH815" s="39">
        <f>+IFERROR(-ABS(IF(EDATE(_xlfn.XLOOKUP(1,$H802:$BE802,$H$4:$BE$4),12*Assumptions!$H$204+12)=AH$4,0,IF(AG802=1,PMT(Assumptions!$H$202,Assumptions!$H$204,$C804),AG815))),0)</f>
        <v>0</v>
      </c>
      <c r="AI815" s="39">
        <f>+IFERROR(-ABS(IF(EDATE(_xlfn.XLOOKUP(1,$H802:$BE802,$H$4:$BE$4),12*Assumptions!$H$204+12)=AI$4,0,IF(AH802=1,PMT(Assumptions!$H$202,Assumptions!$H$204,$C804),AH815))),0)</f>
        <v>0</v>
      </c>
      <c r="AJ815" s="39">
        <f>+IFERROR(-ABS(IF(EDATE(_xlfn.XLOOKUP(1,$H802:$BE802,$H$4:$BE$4),12*Assumptions!$H$204+12)=AJ$4,0,IF(AI802=1,PMT(Assumptions!$H$202,Assumptions!$H$204,$C804),AI815))),0)</f>
        <v>0</v>
      </c>
      <c r="AK815" s="39">
        <f>+IFERROR(-ABS(IF(EDATE(_xlfn.XLOOKUP(1,$H802:$BE802,$H$4:$BE$4),12*Assumptions!$H$204+12)=AK$4,0,IF(AJ802=1,PMT(Assumptions!$H$202,Assumptions!$H$204,$C804),AJ815))),0)</f>
        <v>0</v>
      </c>
      <c r="AL815" s="39">
        <f>+IFERROR(-ABS(IF(EDATE(_xlfn.XLOOKUP(1,$H802:$BE802,$H$4:$BE$4),12*Assumptions!$H$204+12)=AL$4,0,IF(AK802=1,PMT(Assumptions!$H$202,Assumptions!$H$204,$C804),AK815))),0)</f>
        <v>0</v>
      </c>
      <c r="AM815" s="39">
        <f>+IFERROR(-ABS(IF(EDATE(_xlfn.XLOOKUP(1,$H802:$BE802,$H$4:$BE$4),12*Assumptions!$H$204+12)=AM$4,0,IF(AL802=1,PMT(Assumptions!$H$202,Assumptions!$H$204,$C804),AL815))),0)</f>
        <v>0</v>
      </c>
      <c r="AN815" s="39">
        <f>+IFERROR(-ABS(IF(EDATE(_xlfn.XLOOKUP(1,$H802:$BE802,$H$4:$BE$4),12*Assumptions!$H$204+12)=AN$4,0,IF(AM802=1,PMT(Assumptions!$H$202,Assumptions!$H$204,$C804),AM815))),0)</f>
        <v>0</v>
      </c>
      <c r="AO815" s="39">
        <f>+IFERROR(-ABS(IF(EDATE(_xlfn.XLOOKUP(1,$H802:$BE802,$H$4:$BE$4),12*Assumptions!$H$204+12)=AO$4,0,IF(AN802=1,PMT(Assumptions!$H$202,Assumptions!$H$204,$C804),AN815))),0)</f>
        <v>0</v>
      </c>
      <c r="AP815" s="39">
        <f>+IFERROR(-ABS(IF(EDATE(_xlfn.XLOOKUP(1,$H802:$BE802,$H$4:$BE$4),12*Assumptions!$H$204+12)=AP$4,0,IF(AO802=1,PMT(Assumptions!$H$202,Assumptions!$H$204,$C804),AO815))),0)</f>
        <v>0</v>
      </c>
      <c r="AQ815" s="39">
        <f>+IFERROR(-ABS(IF(EDATE(_xlfn.XLOOKUP(1,$H802:$BE802,$H$4:$BE$4),12*Assumptions!$H$204+12)=AQ$4,0,IF(AP802=1,PMT(Assumptions!$H$202,Assumptions!$H$204,$C804),AP815))),0)</f>
        <v>0</v>
      </c>
      <c r="AR815" s="39">
        <f>+IFERROR(-ABS(IF(EDATE(_xlfn.XLOOKUP(1,$H802:$BE802,$H$4:$BE$4),12*Assumptions!$H$204+12)=AR$4,0,IF(AQ802=1,PMT(Assumptions!$H$202,Assumptions!$H$204,$C804),AQ815))),0)</f>
        <v>0</v>
      </c>
      <c r="AS815" s="39">
        <f>+IFERROR(-ABS(IF(EDATE(_xlfn.XLOOKUP(1,$H802:$BE802,$H$4:$BE$4),12*Assumptions!$H$204+12)=AS$4,0,IF(AR802=1,PMT(Assumptions!$H$202,Assumptions!$H$204,$C804),AR815))),0)</f>
        <v>0</v>
      </c>
      <c r="AT815" s="39">
        <f>+IFERROR(-ABS(IF(EDATE(_xlfn.XLOOKUP(1,$H802:$BE802,$H$4:$BE$4),12*Assumptions!$H$204+12)=AT$4,0,IF(AS802=1,PMT(Assumptions!$H$202,Assumptions!$H$204,$C804),AS815))),0)</f>
        <v>0</v>
      </c>
      <c r="AU815" s="39">
        <f>+IFERROR(-ABS(IF(EDATE(_xlfn.XLOOKUP(1,$H802:$BE802,$H$4:$BE$4),12*Assumptions!$H$204+12)=AU$4,0,IF(AT802=1,PMT(Assumptions!$H$202,Assumptions!$H$204,$C804),AT815))),0)</f>
        <v>0</v>
      </c>
      <c r="AV815" s="39">
        <f>+IFERROR(-ABS(IF(EDATE(_xlfn.XLOOKUP(1,$H802:$BE802,$H$4:$BE$4),12*Assumptions!$H$204+12)=AV$4,0,IF(AU802=1,PMT(Assumptions!$H$202,Assumptions!$H$204,$C804),AU815))),0)</f>
        <v>0</v>
      </c>
      <c r="AW815" s="39">
        <f>+IFERROR(-ABS(IF(EDATE(_xlfn.XLOOKUP(1,$H802:$BE802,$H$4:$BE$4),12*Assumptions!$H$204+12)=AW$4,0,IF(AV802=1,PMT(Assumptions!$H$202,Assumptions!$H$204,$C804),AV815))),0)</f>
        <v>0</v>
      </c>
      <c r="AX815" s="39">
        <f>+IFERROR(-ABS(IF(EDATE(_xlfn.XLOOKUP(1,$H802:$BE802,$H$4:$BE$4),12*Assumptions!$H$204+12)=AX$4,0,IF(AW802=1,PMT(Assumptions!$H$202,Assumptions!$H$204,$C804),AW815))),0)</f>
        <v>0</v>
      </c>
      <c r="AY815" s="39">
        <f>+IFERROR(-ABS(IF(EDATE(_xlfn.XLOOKUP(1,$H802:$BE802,$H$4:$BE$4),12*Assumptions!$H$204+12)=AY$4,0,IF(AX802=1,PMT(Assumptions!$H$202,Assumptions!$H$204,$C804),AX815))),0)</f>
        <v>0</v>
      </c>
      <c r="AZ815" s="39">
        <f>+IFERROR(-ABS(IF(EDATE(_xlfn.XLOOKUP(1,$H802:$BE802,$H$4:$BE$4),12*Assumptions!$H$204+12)=AZ$4,0,IF(AY802=1,PMT(Assumptions!$H$202,Assumptions!$H$204,$C804),AY815))),0)</f>
        <v>0</v>
      </c>
      <c r="BA815" s="39">
        <f>+IFERROR(-ABS(IF(EDATE(_xlfn.XLOOKUP(1,$H802:$BE802,$H$4:$BE$4),12*Assumptions!$H$204+12)=BA$4,0,IF(AZ802=1,PMT(Assumptions!$H$202,Assumptions!$H$204,$C804),AZ815))),0)</f>
        <v>0</v>
      </c>
      <c r="BB815" s="39">
        <f>+IFERROR(-ABS(IF(EDATE(_xlfn.XLOOKUP(1,$H802:$BE802,$H$4:$BE$4),12*Assumptions!$H$204+12)=BB$4,0,IF(BA802=1,PMT(Assumptions!$H$202,Assumptions!$H$204,$C804),BA815))),0)</f>
        <v>0</v>
      </c>
      <c r="BC815" s="39">
        <f>+IFERROR(-ABS(IF(EDATE(_xlfn.XLOOKUP(1,$H802:$BE802,$H$4:$BE$4),12*Assumptions!$H$204+12)=BC$4,0,IF(BB802=1,PMT(Assumptions!$H$202,Assumptions!$H$204,$C804),BB815))),0)</f>
        <v>0</v>
      </c>
      <c r="BD815" s="39">
        <f>+IFERROR(-ABS(IF(EDATE(_xlfn.XLOOKUP(1,$H802:$BE802,$H$4:$BE$4),12*Assumptions!$H$204+12)=BD$4,0,IF(BC802=1,PMT(Assumptions!$H$202,Assumptions!$H$204,$C804),BC815))),0)</f>
        <v>0</v>
      </c>
      <c r="BE815" s="39">
        <f>+IFERROR(-ABS(IF(EDATE(_xlfn.XLOOKUP(1,$H802:$BE802,$H$4:$BE$4),12*Assumptions!$H$204+12)=BE$4,0,IF(BD802=1,PMT(Assumptions!$H$202,Assumptions!$H$204,$C804),BD815))),0)</f>
        <v>0</v>
      </c>
      <c r="BF815" s="39">
        <f>+IFERROR(-ABS(IF(EDATE(_xlfn.XLOOKUP(1,$H802:$BE802,$H$4:$BE$4),12*Assumptions!$H$204+12)=BF$4,0,IF(BE802=1,PMT(Assumptions!$H$202,Assumptions!$H$204,$C804),BE815))),0)</f>
        <v>0</v>
      </c>
      <c r="BG815" s="39">
        <f>+IFERROR(-ABS(IF(EDATE(_xlfn.XLOOKUP(1,$H802:$BE802,$H$4:$BE$4),12*Assumptions!$H$204+12)=BG$4,0,IF(BF802=1,PMT(Assumptions!$H$202,Assumptions!$H$204,$C804),BF815))),0)</f>
        <v>0</v>
      </c>
      <c r="BH815" s="39">
        <f>+IFERROR(-ABS(IF(EDATE(_xlfn.XLOOKUP(1,$H802:$BE802,$H$4:$BE$4),12*Assumptions!$H$204+12)=BH$4,0,IF(BG802=1,PMT(Assumptions!$H$202,Assumptions!$H$204,$C804),BG815))),0)</f>
        <v>0</v>
      </c>
      <c r="BI815" s="39">
        <f>+IFERROR(-ABS(IF(EDATE(_xlfn.XLOOKUP(1,$H802:$BE802,$H$4:$BE$4),12*Assumptions!$H$204+12)=BI$4,0,IF(BH802=1,PMT(Assumptions!$H$202,Assumptions!$H$204,$C804),BH815))),0)</f>
        <v>0</v>
      </c>
      <c r="BJ815" s="39">
        <f>+IFERROR(-ABS(IF(EDATE(_xlfn.XLOOKUP(1,$H802:$BE802,$H$4:$BE$4),12*Assumptions!$H$204+12)=BJ$4,0,IF(BI802=1,PMT(Assumptions!$H$202,Assumptions!$H$204,$C804),BI815))),0)</f>
        <v>0</v>
      </c>
      <c r="BK815" s="39">
        <f>+IFERROR(-ABS(IF(EDATE(_xlfn.XLOOKUP(1,$H802:$BE802,$H$4:$BE$4),12*Assumptions!$H$204+12)=BK$4,0,IF(BJ802=1,PMT(Assumptions!$H$202,Assumptions!$H$204,$C804),BJ815))),0)</f>
        <v>0</v>
      </c>
      <c r="BL815" s="39">
        <f>+IFERROR(-ABS(IF(EDATE(_xlfn.XLOOKUP(1,$H802:$BE802,$H$4:$BE$4),12*Assumptions!$H$204+12)=BL$4,0,IF(BK802=1,PMT(Assumptions!$H$202,Assumptions!$H$204,$C804),BK815))),0)</f>
        <v>0</v>
      </c>
      <c r="BM815" s="39">
        <f>+IFERROR(-ABS(IF(EDATE(_xlfn.XLOOKUP(1,$H802:$BE802,$H$4:$BE$4),12*Assumptions!$H$204+12)=BM$4,0,IF(BL802=1,PMT(Assumptions!$H$202,Assumptions!$H$204,$C804),BL815))),0)</f>
        <v>0</v>
      </c>
      <c r="BN815" s="39">
        <f>+IFERROR(-ABS(IF(EDATE(_xlfn.XLOOKUP(1,$H802:$BE802,$H$4:$BE$4),12*Assumptions!$H$204+12)=BN$4,0,IF(BM802=1,PMT(Assumptions!$H$202,Assumptions!$H$204,$C804),BM815))),0)</f>
        <v>0</v>
      </c>
      <c r="BO815" s="39">
        <f>+IFERROR(-ABS(IF(EDATE(_xlfn.XLOOKUP(1,$H802:$BE802,$H$4:$BE$4),12*Assumptions!$H$204+12)=BO$4,0,IF(BN802=1,PMT(Assumptions!$H$202,Assumptions!$H$204,$C804),BN815))),0)</f>
        <v>0</v>
      </c>
      <c r="BP815" s="39">
        <f>+IFERROR(-ABS(IF(EDATE(_xlfn.XLOOKUP(1,$H802:$BE802,$H$4:$BE$4),12*Assumptions!$H$204+12)=BP$4,0,IF(BO802=1,PMT(Assumptions!$H$202,Assumptions!$H$204,$C804),BO815))),0)</f>
        <v>0</v>
      </c>
      <c r="BQ815" s="39">
        <f>+IFERROR(-ABS(IF(EDATE(_xlfn.XLOOKUP(1,$H802:$BE802,$H$4:$BE$4),12*Assumptions!$H$204+12)=BQ$4,0,IF(BP802=1,PMT(Assumptions!$H$202,Assumptions!$H$204,$C804),BP815))),0)</f>
        <v>0</v>
      </c>
      <c r="BR815" s="39">
        <f>+IFERROR(-ABS(IF(EDATE(_xlfn.XLOOKUP(1,$H802:$BE802,$H$4:$BE$4),12*Assumptions!$H$204+12)=BR$4,0,IF(BQ802=1,PMT(Assumptions!$H$202,Assumptions!$H$204,$C804),BQ815))),0)</f>
        <v>0</v>
      </c>
      <c r="BS815" s="39">
        <f>+IFERROR(-ABS(IF(EDATE(_xlfn.XLOOKUP(1,$H802:$BE802,$H$4:$BE$4),12*Assumptions!$H$204+12)=BS$4,0,IF(BR802=1,PMT(Assumptions!$H$202,Assumptions!$H$204,$C804),BR815))),0)</f>
        <v>0</v>
      </c>
      <c r="BT815" s="39">
        <f>+IFERROR(-ABS(IF(EDATE(_xlfn.XLOOKUP(1,$H802:$BE802,$H$4:$BE$4),12*Assumptions!$H$204+12)=BT$4,0,IF(BS802=1,PMT(Assumptions!$H$202,Assumptions!$H$204,$C804),BS815))),0)</f>
        <v>0</v>
      </c>
      <c r="BU815" s="39">
        <f>+IFERROR(-ABS(IF(EDATE(_xlfn.XLOOKUP(1,$H802:$BE802,$H$4:$BE$4),12*Assumptions!$H$204+12)=BU$4,0,IF(BT802=1,PMT(Assumptions!$H$202,Assumptions!$H$204,$C804),BT815))),0)</f>
        <v>0</v>
      </c>
      <c r="BV815" s="39">
        <f>+IFERROR(-ABS(IF(EDATE(_xlfn.XLOOKUP(1,$H802:$BE802,$H$4:$BE$4),12*Assumptions!$H$204+12)=BV$4,0,IF(BU802=1,PMT(Assumptions!$H$202,Assumptions!$H$204,$C804),BU815))),0)</f>
        <v>0</v>
      </c>
      <c r="BW815" s="39">
        <f>+IFERROR(-ABS(IF(EDATE(_xlfn.XLOOKUP(1,$H802:$BE802,$H$4:$BE$4),12*Assumptions!$H$204+12)=BW$4,0,IF(BV802=1,PMT(Assumptions!$H$202,Assumptions!$H$204,$C804),BV815))),0)</f>
        <v>0</v>
      </c>
      <c r="BX815" s="39">
        <f>+IFERROR(-ABS(IF(EDATE(_xlfn.XLOOKUP(1,$H802:$BE802,$H$4:$BE$4),12*Assumptions!$H$204+12)=BX$4,0,IF(BW802=1,PMT(Assumptions!$H$202,Assumptions!$H$204,$C804),BW815))),0)</f>
        <v>0</v>
      </c>
      <c r="BY815" s="39">
        <f>+IFERROR(-ABS(IF(EDATE(_xlfn.XLOOKUP(1,$H802:$BE802,$H$4:$BE$4),12*Assumptions!$H$204+12)=BY$4,0,IF(BX802=1,PMT(Assumptions!$H$202,Assumptions!$H$204,$C804),BX815))),0)</f>
        <v>0</v>
      </c>
    </row>
    <row r="816" spans="3:77" outlineLevel="1">
      <c r="E816" s="24" t="s">
        <v>517</v>
      </c>
      <c r="F816" s="80" t="str">
        <f>+Assumptions!$G$8</f>
        <v>USD</v>
      </c>
      <c r="G816" s="24"/>
      <c r="H816" s="39">
        <f>+IFERROR(-ABS(IF(EDATE(_xlfn.XLOOKUP(1,$H803:$BE803,$H$4:$BE$4),12*Assumptions!$H$204+12)=H$4,0,IF(G803=1,PMT(Assumptions!$H$202,Assumptions!$H$204,$C805),G816))),0)</f>
        <v>0</v>
      </c>
      <c r="I816" s="39">
        <f>+IFERROR(-ABS(IF(EDATE(_xlfn.XLOOKUP(1,$H803:$BE803,$H$4:$BE$4),12*Assumptions!$H$204+12)=I$4,0,IF(H803=1,PMT(Assumptions!$H$202,Assumptions!$H$204,$C805),H816))),0)</f>
        <v>0</v>
      </c>
      <c r="J816" s="39">
        <f>+IFERROR(-ABS(IF(EDATE(_xlfn.XLOOKUP(1,$H803:$BE803,$H$4:$BE$4),12*Assumptions!$H$204+12)=J$4,0,IF(I803=1,PMT(Assumptions!$H$202,Assumptions!$H$204,$C805),I816))),0)</f>
        <v>0</v>
      </c>
      <c r="K816" s="39">
        <f>+IFERROR(-ABS(IF(EDATE(_xlfn.XLOOKUP(1,$H803:$BE803,$H$4:$BE$4),12*Assumptions!$H$204+12)=K$4,0,IF(J803=1,PMT(Assumptions!$H$202,Assumptions!$H$204,$C805),J816))),0)</f>
        <v>0</v>
      </c>
      <c r="L816" s="39">
        <f>+IFERROR(-ABS(IF(EDATE(_xlfn.XLOOKUP(1,$H803:$BE803,$H$4:$BE$4),12*Assumptions!$H$204+12)=L$4,0,IF(K803=1,PMT(Assumptions!$H$202,Assumptions!$H$204,$C805),K816))),0)</f>
        <v>0</v>
      </c>
      <c r="M816" s="39">
        <f>+IFERROR(-ABS(IF(EDATE(_xlfn.XLOOKUP(1,$H803:$BE803,$H$4:$BE$4),12*Assumptions!$H$204+12)=M$4,0,IF(L803=1,PMT(Assumptions!$H$202,Assumptions!$H$204,$C805),L816))),0)</f>
        <v>0</v>
      </c>
      <c r="N816" s="39">
        <f>+IFERROR(-ABS(IF(EDATE(_xlfn.XLOOKUP(1,$H803:$BE803,$H$4:$BE$4),12*Assumptions!$H$204+12)=N$4,0,IF(M803=1,PMT(Assumptions!$H$202,Assumptions!$H$204,$C805),M816))),0)</f>
        <v>0</v>
      </c>
      <c r="O816" s="39">
        <f>+IFERROR(-ABS(IF(EDATE(_xlfn.XLOOKUP(1,$H803:$BE803,$H$4:$BE$4),12*Assumptions!$H$204+12)=O$4,0,IF(N803=1,PMT(Assumptions!$H$202,Assumptions!$H$204,$C805),N816))),0)</f>
        <v>0</v>
      </c>
      <c r="P816" s="39">
        <f>+IFERROR(-ABS(IF(EDATE(_xlfn.XLOOKUP(1,$H803:$BE803,$H$4:$BE$4),12*Assumptions!$H$204+12)=P$4,0,IF(O803=1,PMT(Assumptions!$H$202,Assumptions!$H$204,$C805),O816))),0)</f>
        <v>0</v>
      </c>
      <c r="Q816" s="39">
        <f>+IFERROR(-ABS(IF(EDATE(_xlfn.XLOOKUP(1,$H803:$BE803,$H$4:$BE$4),12*Assumptions!$H$204+12)=Q$4,0,IF(P803=1,PMT(Assumptions!$H$202,Assumptions!$H$204,$C805),P816))),0)</f>
        <v>0</v>
      </c>
      <c r="R816" s="39">
        <f>+IFERROR(-ABS(IF(EDATE(_xlfn.XLOOKUP(1,$H803:$BE803,$H$4:$BE$4),12*Assumptions!$H$204+12)=R$4,0,IF(Q803=1,PMT(Assumptions!$H$202,Assumptions!$H$204,$C805),Q816))),0)</f>
        <v>0</v>
      </c>
      <c r="S816" s="39">
        <f>+IFERROR(-ABS(IF(EDATE(_xlfn.XLOOKUP(1,$H803:$BE803,$H$4:$BE$4),12*Assumptions!$H$204+12)=S$4,0,IF(R803=1,PMT(Assumptions!$H$202,Assumptions!$H$204,$C805),R816))),0)</f>
        <v>0</v>
      </c>
      <c r="T816" s="39">
        <f>+IFERROR(-ABS(IF(EDATE(_xlfn.XLOOKUP(1,$H803:$BE803,$H$4:$BE$4),12*Assumptions!$H$204+12)=T$4,0,IF(S803=1,PMT(Assumptions!$H$202,Assumptions!$H$204,$C805),S816))),0)</f>
        <v>0</v>
      </c>
      <c r="U816" s="39">
        <f>+IFERROR(-ABS(IF(EDATE(_xlfn.XLOOKUP(1,$H803:$BE803,$H$4:$BE$4),12*Assumptions!$H$204+12)=U$4,0,IF(T803=1,PMT(Assumptions!$H$202,Assumptions!$H$204,$C805),T816))),0)</f>
        <v>0</v>
      </c>
      <c r="V816" s="39">
        <f>+IFERROR(-ABS(IF(EDATE(_xlfn.XLOOKUP(1,$H803:$BE803,$H$4:$BE$4),12*Assumptions!$H$204+12)=V$4,0,IF(U803=1,PMT(Assumptions!$H$202,Assumptions!$H$204,$C805),U816))),0)</f>
        <v>0</v>
      </c>
      <c r="W816" s="39">
        <f>+IFERROR(-ABS(IF(EDATE(_xlfn.XLOOKUP(1,$H803:$BE803,$H$4:$BE$4),12*Assumptions!$H$204+12)=W$4,0,IF(V803=1,PMT(Assumptions!$H$202,Assumptions!$H$204,$C805),V816))),0)</f>
        <v>0</v>
      </c>
      <c r="X816" s="39">
        <f>+IFERROR(-ABS(IF(EDATE(_xlfn.XLOOKUP(1,$H803:$BE803,$H$4:$BE$4),12*Assumptions!$H$204+12)=X$4,0,IF(W803=1,PMT(Assumptions!$H$202,Assumptions!$H$204,$C805),W816))),0)</f>
        <v>0</v>
      </c>
      <c r="Y816" s="39">
        <f>+IFERROR(-ABS(IF(EDATE(_xlfn.XLOOKUP(1,$H803:$BE803,$H$4:$BE$4),12*Assumptions!$H$204+12)=Y$4,0,IF(X803=1,PMT(Assumptions!$H$202,Assumptions!$H$204,$C805),X816))),0)</f>
        <v>0</v>
      </c>
      <c r="Z816" s="39">
        <f>+IFERROR(-ABS(IF(EDATE(_xlfn.XLOOKUP(1,$H803:$BE803,$H$4:$BE$4),12*Assumptions!$H$204+12)=Z$4,0,IF(Y803=1,PMT(Assumptions!$H$202,Assumptions!$H$204,$C805),Y816))),0)</f>
        <v>0</v>
      </c>
      <c r="AA816" s="39">
        <f>+IFERROR(-ABS(IF(EDATE(_xlfn.XLOOKUP(1,$H803:$BE803,$H$4:$BE$4),12*Assumptions!$H$204+12)=AA$4,0,IF(Z803=1,PMT(Assumptions!$H$202,Assumptions!$H$204,$C805),Z816))),0)</f>
        <v>0</v>
      </c>
      <c r="AB816" s="39">
        <f>+IFERROR(-ABS(IF(EDATE(_xlfn.XLOOKUP(1,$H803:$BE803,$H$4:$BE$4),12*Assumptions!$H$204+12)=AB$4,0,IF(AA803=1,PMT(Assumptions!$H$202,Assumptions!$H$204,$C805),AA816))),0)</f>
        <v>0</v>
      </c>
      <c r="AC816" s="39">
        <f>+IFERROR(-ABS(IF(EDATE(_xlfn.XLOOKUP(1,$H803:$BE803,$H$4:$BE$4),12*Assumptions!$H$204+12)=AC$4,0,IF(AB803=1,PMT(Assumptions!$H$202,Assumptions!$H$204,$C805),AB816))),0)</f>
        <v>0</v>
      </c>
      <c r="AD816" s="39">
        <f>+IFERROR(-ABS(IF(EDATE(_xlfn.XLOOKUP(1,$H803:$BE803,$H$4:$BE$4),12*Assumptions!$H$204+12)=AD$4,0,IF(AC803=1,PMT(Assumptions!$H$202,Assumptions!$H$204,$C805),AC816))),0)</f>
        <v>0</v>
      </c>
      <c r="AE816" s="39">
        <f>+IFERROR(-ABS(IF(EDATE(_xlfn.XLOOKUP(1,$H803:$BE803,$H$4:$BE$4),12*Assumptions!$H$204+12)=AE$4,0,IF(AD803=1,PMT(Assumptions!$H$202,Assumptions!$H$204,$C805),AD816))),0)</f>
        <v>0</v>
      </c>
      <c r="AF816" s="39">
        <f>+IFERROR(-ABS(IF(EDATE(_xlfn.XLOOKUP(1,$H803:$BE803,$H$4:$BE$4),12*Assumptions!$H$204+12)=AF$4,0,IF(AE803=1,PMT(Assumptions!$H$202,Assumptions!$H$204,$C805),AE816))),0)</f>
        <v>0</v>
      </c>
      <c r="AG816" s="39">
        <f>+IFERROR(-ABS(IF(EDATE(_xlfn.XLOOKUP(1,$H803:$BE803,$H$4:$BE$4),12*Assumptions!$H$204+12)=AG$4,0,IF(AF803=1,PMT(Assumptions!$H$202,Assumptions!$H$204,$C805),AF816))),0)</f>
        <v>0</v>
      </c>
      <c r="AH816" s="39">
        <f>+IFERROR(-ABS(IF(EDATE(_xlfn.XLOOKUP(1,$H803:$BE803,$H$4:$BE$4),12*Assumptions!$H$204+12)=AH$4,0,IF(AG803=1,PMT(Assumptions!$H$202,Assumptions!$H$204,$C805),AG816))),0)</f>
        <v>0</v>
      </c>
      <c r="AI816" s="39">
        <f>+IFERROR(-ABS(IF(EDATE(_xlfn.XLOOKUP(1,$H803:$BE803,$H$4:$BE$4),12*Assumptions!$H$204+12)=AI$4,0,IF(AH803=1,PMT(Assumptions!$H$202,Assumptions!$H$204,$C805),AH816))),0)</f>
        <v>0</v>
      </c>
      <c r="AJ816" s="39">
        <f>+IFERROR(-ABS(IF(EDATE(_xlfn.XLOOKUP(1,$H803:$BE803,$H$4:$BE$4),12*Assumptions!$H$204+12)=AJ$4,0,IF(AI803=1,PMT(Assumptions!$H$202,Assumptions!$H$204,$C805),AI816))),0)</f>
        <v>0</v>
      </c>
      <c r="AK816" s="39">
        <f>+IFERROR(-ABS(IF(EDATE(_xlfn.XLOOKUP(1,$H803:$BE803,$H$4:$BE$4),12*Assumptions!$H$204+12)=AK$4,0,IF(AJ803=1,PMT(Assumptions!$H$202,Assumptions!$H$204,$C805),AJ816))),0)</f>
        <v>0</v>
      </c>
      <c r="AL816" s="39">
        <f>+IFERROR(-ABS(IF(EDATE(_xlfn.XLOOKUP(1,$H803:$BE803,$H$4:$BE$4),12*Assumptions!$H$204+12)=AL$4,0,IF(AK803=1,PMT(Assumptions!$H$202,Assumptions!$H$204,$C805),AK816))),0)</f>
        <v>0</v>
      </c>
      <c r="AM816" s="39">
        <f>+IFERROR(-ABS(IF(EDATE(_xlfn.XLOOKUP(1,$H803:$BE803,$H$4:$BE$4),12*Assumptions!$H$204+12)=AM$4,0,IF(AL803=1,PMT(Assumptions!$H$202,Assumptions!$H$204,$C805),AL816))),0)</f>
        <v>0</v>
      </c>
      <c r="AN816" s="39">
        <f>+IFERROR(-ABS(IF(EDATE(_xlfn.XLOOKUP(1,$H803:$BE803,$H$4:$BE$4),12*Assumptions!$H$204+12)=AN$4,0,IF(AM803=1,PMT(Assumptions!$H$202,Assumptions!$H$204,$C805),AM816))),0)</f>
        <v>0</v>
      </c>
      <c r="AO816" s="39">
        <f>+IFERROR(-ABS(IF(EDATE(_xlfn.XLOOKUP(1,$H803:$BE803,$H$4:$BE$4),12*Assumptions!$H$204+12)=AO$4,0,IF(AN803=1,PMT(Assumptions!$H$202,Assumptions!$H$204,$C805),AN816))),0)</f>
        <v>0</v>
      </c>
      <c r="AP816" s="39">
        <f>+IFERROR(-ABS(IF(EDATE(_xlfn.XLOOKUP(1,$H803:$BE803,$H$4:$BE$4),12*Assumptions!$H$204+12)=AP$4,0,IF(AO803=1,PMT(Assumptions!$H$202,Assumptions!$H$204,$C805),AO816))),0)</f>
        <v>0</v>
      </c>
      <c r="AQ816" s="39">
        <f>+IFERROR(-ABS(IF(EDATE(_xlfn.XLOOKUP(1,$H803:$BE803,$H$4:$BE$4),12*Assumptions!$H$204+12)=AQ$4,0,IF(AP803=1,PMT(Assumptions!$H$202,Assumptions!$H$204,$C805),AP816))),0)</f>
        <v>0</v>
      </c>
      <c r="AR816" s="39">
        <f>+IFERROR(-ABS(IF(EDATE(_xlfn.XLOOKUP(1,$H803:$BE803,$H$4:$BE$4),12*Assumptions!$H$204+12)=AR$4,0,IF(AQ803=1,PMT(Assumptions!$H$202,Assumptions!$H$204,$C805),AQ816))),0)</f>
        <v>0</v>
      </c>
      <c r="AS816" s="39">
        <f>+IFERROR(-ABS(IF(EDATE(_xlfn.XLOOKUP(1,$H803:$BE803,$H$4:$BE$4),12*Assumptions!$H$204+12)=AS$4,0,IF(AR803=1,PMT(Assumptions!$H$202,Assumptions!$H$204,$C805),AR816))),0)</f>
        <v>0</v>
      </c>
      <c r="AT816" s="39">
        <f>+IFERROR(-ABS(IF(EDATE(_xlfn.XLOOKUP(1,$H803:$BE803,$H$4:$BE$4),12*Assumptions!$H$204+12)=AT$4,0,IF(AS803=1,PMT(Assumptions!$H$202,Assumptions!$H$204,$C805),AS816))),0)</f>
        <v>0</v>
      </c>
      <c r="AU816" s="39">
        <f>+IFERROR(-ABS(IF(EDATE(_xlfn.XLOOKUP(1,$H803:$BE803,$H$4:$BE$4),12*Assumptions!$H$204+12)=AU$4,0,IF(AT803=1,PMT(Assumptions!$H$202,Assumptions!$H$204,$C805),AT816))),0)</f>
        <v>0</v>
      </c>
      <c r="AV816" s="39">
        <f>+IFERROR(-ABS(IF(EDATE(_xlfn.XLOOKUP(1,$H803:$BE803,$H$4:$BE$4),12*Assumptions!$H$204+12)=AV$4,0,IF(AU803=1,PMT(Assumptions!$H$202,Assumptions!$H$204,$C805),AU816))),0)</f>
        <v>0</v>
      </c>
      <c r="AW816" s="39">
        <f>+IFERROR(-ABS(IF(EDATE(_xlfn.XLOOKUP(1,$H803:$BE803,$H$4:$BE$4),12*Assumptions!$H$204+12)=AW$4,0,IF(AV803=1,PMT(Assumptions!$H$202,Assumptions!$H$204,$C805),AV816))),0)</f>
        <v>0</v>
      </c>
      <c r="AX816" s="39">
        <f>+IFERROR(-ABS(IF(EDATE(_xlfn.XLOOKUP(1,$H803:$BE803,$H$4:$BE$4),12*Assumptions!$H$204+12)=AX$4,0,IF(AW803=1,PMT(Assumptions!$H$202,Assumptions!$H$204,$C805),AW816))),0)</f>
        <v>0</v>
      </c>
      <c r="AY816" s="39">
        <f>+IFERROR(-ABS(IF(EDATE(_xlfn.XLOOKUP(1,$H803:$BE803,$H$4:$BE$4),12*Assumptions!$H$204+12)=AY$4,0,IF(AX803=1,PMT(Assumptions!$H$202,Assumptions!$H$204,$C805),AX816))),0)</f>
        <v>0</v>
      </c>
      <c r="AZ816" s="39">
        <f>+IFERROR(-ABS(IF(EDATE(_xlfn.XLOOKUP(1,$H803:$BE803,$H$4:$BE$4),12*Assumptions!$H$204+12)=AZ$4,0,IF(AY803=1,PMT(Assumptions!$H$202,Assumptions!$H$204,$C805),AY816))),0)</f>
        <v>0</v>
      </c>
      <c r="BA816" s="39">
        <f>+IFERROR(-ABS(IF(EDATE(_xlfn.XLOOKUP(1,$H803:$BE803,$H$4:$BE$4),12*Assumptions!$H$204+12)=BA$4,0,IF(AZ803=1,PMT(Assumptions!$H$202,Assumptions!$H$204,$C805),AZ816))),0)</f>
        <v>0</v>
      </c>
      <c r="BB816" s="39">
        <f>+IFERROR(-ABS(IF(EDATE(_xlfn.XLOOKUP(1,$H803:$BE803,$H$4:$BE$4),12*Assumptions!$H$204+12)=BB$4,0,IF(BA803=1,PMT(Assumptions!$H$202,Assumptions!$H$204,$C805),BA816))),0)</f>
        <v>0</v>
      </c>
      <c r="BC816" s="39">
        <f>+IFERROR(-ABS(IF(EDATE(_xlfn.XLOOKUP(1,$H803:$BE803,$H$4:$BE$4),12*Assumptions!$H$204+12)=BC$4,0,IF(BB803=1,PMT(Assumptions!$H$202,Assumptions!$H$204,$C805),BB816))),0)</f>
        <v>0</v>
      </c>
      <c r="BD816" s="39">
        <f>+IFERROR(-ABS(IF(EDATE(_xlfn.XLOOKUP(1,$H803:$BE803,$H$4:$BE$4),12*Assumptions!$H$204+12)=BD$4,0,IF(BC803=1,PMT(Assumptions!$H$202,Assumptions!$H$204,$C805),BC816))),0)</f>
        <v>0</v>
      </c>
      <c r="BE816" s="39">
        <f>+IFERROR(-ABS(IF(EDATE(_xlfn.XLOOKUP(1,$H803:$BE803,$H$4:$BE$4),12*Assumptions!$H$204+12)=BE$4,0,IF(BD803=1,PMT(Assumptions!$H$202,Assumptions!$H$204,$C805),BD816))),0)</f>
        <v>0</v>
      </c>
      <c r="BF816" s="39">
        <f>+IFERROR(-ABS(IF(EDATE(_xlfn.XLOOKUP(1,$H803:$BE803,$H$4:$BE$4),12*Assumptions!$H$204+12)=BF$4,0,IF(BE803=1,PMT(Assumptions!$H$202,Assumptions!$H$204,$C805),BE816))),0)</f>
        <v>0</v>
      </c>
      <c r="BG816" s="39">
        <f>+IFERROR(-ABS(IF(EDATE(_xlfn.XLOOKUP(1,$H803:$BE803,$H$4:$BE$4),12*Assumptions!$H$204+12)=BG$4,0,IF(BF803=1,PMT(Assumptions!$H$202,Assumptions!$H$204,$C805),BF816))),0)</f>
        <v>0</v>
      </c>
      <c r="BH816" s="39">
        <f>+IFERROR(-ABS(IF(EDATE(_xlfn.XLOOKUP(1,$H803:$BE803,$H$4:$BE$4),12*Assumptions!$H$204+12)=BH$4,0,IF(BG803=1,PMT(Assumptions!$H$202,Assumptions!$H$204,$C805),BG816))),0)</f>
        <v>0</v>
      </c>
      <c r="BI816" s="39">
        <f>+IFERROR(-ABS(IF(EDATE(_xlfn.XLOOKUP(1,$H803:$BE803,$H$4:$BE$4),12*Assumptions!$H$204+12)=BI$4,0,IF(BH803=1,PMT(Assumptions!$H$202,Assumptions!$H$204,$C805),BH816))),0)</f>
        <v>0</v>
      </c>
      <c r="BJ816" s="39">
        <f>+IFERROR(-ABS(IF(EDATE(_xlfn.XLOOKUP(1,$H803:$BE803,$H$4:$BE$4),12*Assumptions!$H$204+12)=BJ$4,0,IF(BI803=1,PMT(Assumptions!$H$202,Assumptions!$H$204,$C805),BI816))),0)</f>
        <v>0</v>
      </c>
      <c r="BK816" s="39">
        <f>+IFERROR(-ABS(IF(EDATE(_xlfn.XLOOKUP(1,$H803:$BE803,$H$4:$BE$4),12*Assumptions!$H$204+12)=BK$4,0,IF(BJ803=1,PMT(Assumptions!$H$202,Assumptions!$H$204,$C805),BJ816))),0)</f>
        <v>0</v>
      </c>
      <c r="BL816" s="39">
        <f>+IFERROR(-ABS(IF(EDATE(_xlfn.XLOOKUP(1,$H803:$BE803,$H$4:$BE$4),12*Assumptions!$H$204+12)=BL$4,0,IF(BK803=1,PMT(Assumptions!$H$202,Assumptions!$H$204,$C805),BK816))),0)</f>
        <v>0</v>
      </c>
      <c r="BM816" s="39">
        <f>+IFERROR(-ABS(IF(EDATE(_xlfn.XLOOKUP(1,$H803:$BE803,$H$4:$BE$4),12*Assumptions!$H$204+12)=BM$4,0,IF(BL803=1,PMT(Assumptions!$H$202,Assumptions!$H$204,$C805),BL816))),0)</f>
        <v>0</v>
      </c>
      <c r="BN816" s="39">
        <f>+IFERROR(-ABS(IF(EDATE(_xlfn.XLOOKUP(1,$H803:$BE803,$H$4:$BE$4),12*Assumptions!$H$204+12)=BN$4,0,IF(BM803=1,PMT(Assumptions!$H$202,Assumptions!$H$204,$C805),BM816))),0)</f>
        <v>0</v>
      </c>
      <c r="BO816" s="39">
        <f>+IFERROR(-ABS(IF(EDATE(_xlfn.XLOOKUP(1,$H803:$BE803,$H$4:$BE$4),12*Assumptions!$H$204+12)=BO$4,0,IF(BN803=1,PMT(Assumptions!$H$202,Assumptions!$H$204,$C805),BN816))),0)</f>
        <v>0</v>
      </c>
      <c r="BP816" s="39">
        <f>+IFERROR(-ABS(IF(EDATE(_xlfn.XLOOKUP(1,$H803:$BE803,$H$4:$BE$4),12*Assumptions!$H$204+12)=BP$4,0,IF(BO803=1,PMT(Assumptions!$H$202,Assumptions!$H$204,$C805),BO816))),0)</f>
        <v>0</v>
      </c>
      <c r="BQ816" s="39">
        <f>+IFERROR(-ABS(IF(EDATE(_xlfn.XLOOKUP(1,$H803:$BE803,$H$4:$BE$4),12*Assumptions!$H$204+12)=BQ$4,0,IF(BP803=1,PMT(Assumptions!$H$202,Assumptions!$H$204,$C805),BP816))),0)</f>
        <v>0</v>
      </c>
      <c r="BR816" s="39">
        <f>+IFERROR(-ABS(IF(EDATE(_xlfn.XLOOKUP(1,$H803:$BE803,$H$4:$BE$4),12*Assumptions!$H$204+12)=BR$4,0,IF(BQ803=1,PMT(Assumptions!$H$202,Assumptions!$H$204,$C805),BQ816))),0)</f>
        <v>0</v>
      </c>
      <c r="BS816" s="39">
        <f>+IFERROR(-ABS(IF(EDATE(_xlfn.XLOOKUP(1,$H803:$BE803,$H$4:$BE$4),12*Assumptions!$H$204+12)=BS$4,0,IF(BR803=1,PMT(Assumptions!$H$202,Assumptions!$H$204,$C805),BR816))),0)</f>
        <v>0</v>
      </c>
      <c r="BT816" s="39">
        <f>+IFERROR(-ABS(IF(EDATE(_xlfn.XLOOKUP(1,$H803:$BE803,$H$4:$BE$4),12*Assumptions!$H$204+12)=BT$4,0,IF(BS803=1,PMT(Assumptions!$H$202,Assumptions!$H$204,$C805),BS816))),0)</f>
        <v>0</v>
      </c>
      <c r="BU816" s="39">
        <f>+IFERROR(-ABS(IF(EDATE(_xlfn.XLOOKUP(1,$H803:$BE803,$H$4:$BE$4),12*Assumptions!$H$204+12)=BU$4,0,IF(BT803=1,PMT(Assumptions!$H$202,Assumptions!$H$204,$C805),BT816))),0)</f>
        <v>0</v>
      </c>
      <c r="BV816" s="39">
        <f>+IFERROR(-ABS(IF(EDATE(_xlfn.XLOOKUP(1,$H803:$BE803,$H$4:$BE$4),12*Assumptions!$H$204+12)=BV$4,0,IF(BU803=1,PMT(Assumptions!$H$202,Assumptions!$H$204,$C805),BU816))),0)</f>
        <v>0</v>
      </c>
      <c r="BW816" s="39">
        <f>+IFERROR(-ABS(IF(EDATE(_xlfn.XLOOKUP(1,$H803:$BE803,$H$4:$BE$4),12*Assumptions!$H$204+12)=BW$4,0,IF(BV803=1,PMT(Assumptions!$H$202,Assumptions!$H$204,$C805),BV816))),0)</f>
        <v>0</v>
      </c>
      <c r="BX816" s="39">
        <f>+IFERROR(-ABS(IF(EDATE(_xlfn.XLOOKUP(1,$H803:$BE803,$H$4:$BE$4),12*Assumptions!$H$204+12)=BX$4,0,IF(BW803=1,PMT(Assumptions!$H$202,Assumptions!$H$204,$C805),BW816))),0)</f>
        <v>0</v>
      </c>
      <c r="BY816" s="39">
        <f>+IFERROR(-ABS(IF(EDATE(_xlfn.XLOOKUP(1,$H803:$BE803,$H$4:$BE$4),12*Assumptions!$H$204+12)=BY$4,0,IF(BX803=1,PMT(Assumptions!$H$202,Assumptions!$H$204,$C805),BX816))),0)</f>
        <v>0</v>
      </c>
    </row>
    <row r="817" spans="2:77" outlineLevel="1">
      <c r="E817" s="24" t="s">
        <v>518</v>
      </c>
      <c r="F817" s="80" t="str">
        <f>+Assumptions!$G$8</f>
        <v>USD</v>
      </c>
      <c r="G817" s="24"/>
      <c r="H817" s="39">
        <f>+IFERROR(-ABS(IF(EDATE(_xlfn.XLOOKUP(1,$H804:$BE804,$H$4:$BE$4),12*Assumptions!$H$204+12)=H$4,0,IF(G804=1,PMT(Assumptions!$H$202,Assumptions!$H$204,$C806),G817))),0)</f>
        <v>0</v>
      </c>
      <c r="I817" s="39">
        <f>+IFERROR(-ABS(IF(EDATE(_xlfn.XLOOKUP(1,$H804:$BE804,$H$4:$BE$4),12*Assumptions!$H$204+12)=I$4,0,IF(H804=1,PMT(Assumptions!$H$202,Assumptions!$H$204,$C806),H817))),0)</f>
        <v>0</v>
      </c>
      <c r="J817" s="39">
        <f>+IFERROR(-ABS(IF(EDATE(_xlfn.XLOOKUP(1,$H804:$BE804,$H$4:$BE$4),12*Assumptions!$H$204+12)=J$4,0,IF(I804=1,PMT(Assumptions!$H$202,Assumptions!$H$204,$C806),I817))),0)</f>
        <v>0</v>
      </c>
      <c r="K817" s="39">
        <f>+IFERROR(-ABS(IF(EDATE(_xlfn.XLOOKUP(1,$H804:$BE804,$H$4:$BE$4),12*Assumptions!$H$204+12)=K$4,0,IF(J804=1,PMT(Assumptions!$H$202,Assumptions!$H$204,$C806),J817))),0)</f>
        <v>0</v>
      </c>
      <c r="L817" s="39">
        <f>+IFERROR(-ABS(IF(EDATE(_xlfn.XLOOKUP(1,$H804:$BE804,$H$4:$BE$4),12*Assumptions!$H$204+12)=L$4,0,IF(K804=1,PMT(Assumptions!$H$202,Assumptions!$H$204,$C806),K817))),0)</f>
        <v>0</v>
      </c>
      <c r="M817" s="39">
        <f>+IFERROR(-ABS(IF(EDATE(_xlfn.XLOOKUP(1,$H804:$BE804,$H$4:$BE$4),12*Assumptions!$H$204+12)=M$4,0,IF(L804=1,PMT(Assumptions!$H$202,Assumptions!$H$204,$C806),L817))),0)</f>
        <v>0</v>
      </c>
      <c r="N817" s="39">
        <f>+IFERROR(-ABS(IF(EDATE(_xlfn.XLOOKUP(1,$H804:$BE804,$H$4:$BE$4),12*Assumptions!$H$204+12)=N$4,0,IF(M804=1,PMT(Assumptions!$H$202,Assumptions!$H$204,$C806),M817))),0)</f>
        <v>0</v>
      </c>
      <c r="O817" s="39">
        <f>+IFERROR(-ABS(IF(EDATE(_xlfn.XLOOKUP(1,$H804:$BE804,$H$4:$BE$4),12*Assumptions!$H$204+12)=O$4,0,IF(N804=1,PMT(Assumptions!$H$202,Assumptions!$H$204,$C806),N817))),0)</f>
        <v>0</v>
      </c>
      <c r="P817" s="39">
        <f>+IFERROR(-ABS(IF(EDATE(_xlfn.XLOOKUP(1,$H804:$BE804,$H$4:$BE$4),12*Assumptions!$H$204+12)=P$4,0,IF(O804=1,PMT(Assumptions!$H$202,Assumptions!$H$204,$C806),O817))),0)</f>
        <v>0</v>
      </c>
      <c r="Q817" s="39">
        <f>+IFERROR(-ABS(IF(EDATE(_xlfn.XLOOKUP(1,$H804:$BE804,$H$4:$BE$4),12*Assumptions!$H$204+12)=Q$4,0,IF(P804=1,PMT(Assumptions!$H$202,Assumptions!$H$204,$C806),P817))),0)</f>
        <v>0</v>
      </c>
      <c r="R817" s="39">
        <f>+IFERROR(-ABS(IF(EDATE(_xlfn.XLOOKUP(1,$H804:$BE804,$H$4:$BE$4),12*Assumptions!$H$204+12)=R$4,0,IF(Q804=1,PMT(Assumptions!$H$202,Assumptions!$H$204,$C806),Q817))),0)</f>
        <v>0</v>
      </c>
      <c r="S817" s="39">
        <f>+IFERROR(-ABS(IF(EDATE(_xlfn.XLOOKUP(1,$H804:$BE804,$H$4:$BE$4),12*Assumptions!$H$204+12)=S$4,0,IF(R804=1,PMT(Assumptions!$H$202,Assumptions!$H$204,$C806),R817))),0)</f>
        <v>0</v>
      </c>
      <c r="T817" s="39">
        <f>+IFERROR(-ABS(IF(EDATE(_xlfn.XLOOKUP(1,$H804:$BE804,$H$4:$BE$4),12*Assumptions!$H$204+12)=T$4,0,IF(S804=1,PMT(Assumptions!$H$202,Assumptions!$H$204,$C806),S817))),0)</f>
        <v>0</v>
      </c>
      <c r="U817" s="39">
        <f>+IFERROR(-ABS(IF(EDATE(_xlfn.XLOOKUP(1,$H804:$BE804,$H$4:$BE$4),12*Assumptions!$H$204+12)=U$4,0,IF(T804=1,PMT(Assumptions!$H$202,Assumptions!$H$204,$C806),T817))),0)</f>
        <v>0</v>
      </c>
      <c r="V817" s="39">
        <f>+IFERROR(-ABS(IF(EDATE(_xlfn.XLOOKUP(1,$H804:$BE804,$H$4:$BE$4),12*Assumptions!$H$204+12)=V$4,0,IF(U804=1,PMT(Assumptions!$H$202,Assumptions!$H$204,$C806),U817))),0)</f>
        <v>0</v>
      </c>
      <c r="W817" s="39">
        <f>+IFERROR(-ABS(IF(EDATE(_xlfn.XLOOKUP(1,$H804:$BE804,$H$4:$BE$4),12*Assumptions!$H$204+12)=W$4,0,IF(V804=1,PMT(Assumptions!$H$202,Assumptions!$H$204,$C806),V817))),0)</f>
        <v>0</v>
      </c>
      <c r="X817" s="39">
        <f>+IFERROR(-ABS(IF(EDATE(_xlfn.XLOOKUP(1,$H804:$BE804,$H$4:$BE$4),12*Assumptions!$H$204+12)=X$4,0,IF(W804=1,PMT(Assumptions!$H$202,Assumptions!$H$204,$C806),W817))),0)</f>
        <v>0</v>
      </c>
      <c r="Y817" s="39">
        <f>+IFERROR(-ABS(IF(EDATE(_xlfn.XLOOKUP(1,$H804:$BE804,$H$4:$BE$4),12*Assumptions!$H$204+12)=Y$4,0,IF(X804=1,PMT(Assumptions!$H$202,Assumptions!$H$204,$C806),X817))),0)</f>
        <v>0</v>
      </c>
      <c r="Z817" s="39">
        <f>+IFERROR(-ABS(IF(EDATE(_xlfn.XLOOKUP(1,$H804:$BE804,$H$4:$BE$4),12*Assumptions!$H$204+12)=Z$4,0,IF(Y804=1,PMT(Assumptions!$H$202,Assumptions!$H$204,$C806),Y817))),0)</f>
        <v>0</v>
      </c>
      <c r="AA817" s="39">
        <f>+IFERROR(-ABS(IF(EDATE(_xlfn.XLOOKUP(1,$H804:$BE804,$H$4:$BE$4),12*Assumptions!$H$204+12)=AA$4,0,IF(Z804=1,PMT(Assumptions!$H$202,Assumptions!$H$204,$C806),Z817))),0)</f>
        <v>0</v>
      </c>
      <c r="AB817" s="39">
        <f>+IFERROR(-ABS(IF(EDATE(_xlfn.XLOOKUP(1,$H804:$BE804,$H$4:$BE$4),12*Assumptions!$H$204+12)=AB$4,0,IF(AA804=1,PMT(Assumptions!$H$202,Assumptions!$H$204,$C806),AA817))),0)</f>
        <v>0</v>
      </c>
      <c r="AC817" s="39">
        <f>+IFERROR(-ABS(IF(EDATE(_xlfn.XLOOKUP(1,$H804:$BE804,$H$4:$BE$4),12*Assumptions!$H$204+12)=AC$4,0,IF(AB804=1,PMT(Assumptions!$H$202,Assumptions!$H$204,$C806),AB817))),0)</f>
        <v>0</v>
      </c>
      <c r="AD817" s="39">
        <f>+IFERROR(-ABS(IF(EDATE(_xlfn.XLOOKUP(1,$H804:$BE804,$H$4:$BE$4),12*Assumptions!$H$204+12)=AD$4,0,IF(AC804=1,PMT(Assumptions!$H$202,Assumptions!$H$204,$C806),AC817))),0)</f>
        <v>0</v>
      </c>
      <c r="AE817" s="39">
        <f>+IFERROR(-ABS(IF(EDATE(_xlfn.XLOOKUP(1,$H804:$BE804,$H$4:$BE$4),12*Assumptions!$H$204+12)=AE$4,0,IF(AD804=1,PMT(Assumptions!$H$202,Assumptions!$H$204,$C806),AD817))),0)</f>
        <v>0</v>
      </c>
      <c r="AF817" s="39">
        <f>+IFERROR(-ABS(IF(EDATE(_xlfn.XLOOKUP(1,$H804:$BE804,$H$4:$BE$4),12*Assumptions!$H$204+12)=AF$4,0,IF(AE804=1,PMT(Assumptions!$H$202,Assumptions!$H$204,$C806),AE817))),0)</f>
        <v>0</v>
      </c>
      <c r="AG817" s="39">
        <f>+IFERROR(-ABS(IF(EDATE(_xlfn.XLOOKUP(1,$H804:$BE804,$H$4:$BE$4),12*Assumptions!$H$204+12)=AG$4,0,IF(AF804=1,PMT(Assumptions!$H$202,Assumptions!$H$204,$C806),AF817))),0)</f>
        <v>0</v>
      </c>
      <c r="AH817" s="39">
        <f>+IFERROR(-ABS(IF(EDATE(_xlfn.XLOOKUP(1,$H804:$BE804,$H$4:$BE$4),12*Assumptions!$H$204+12)=AH$4,0,IF(AG804=1,PMT(Assumptions!$H$202,Assumptions!$H$204,$C806),AG817))),0)</f>
        <v>0</v>
      </c>
      <c r="AI817" s="39">
        <f>+IFERROR(-ABS(IF(EDATE(_xlfn.XLOOKUP(1,$H804:$BE804,$H$4:$BE$4),12*Assumptions!$H$204+12)=AI$4,0,IF(AH804=1,PMT(Assumptions!$H$202,Assumptions!$H$204,$C806),AH817))),0)</f>
        <v>0</v>
      </c>
      <c r="AJ817" s="39">
        <f>+IFERROR(-ABS(IF(EDATE(_xlfn.XLOOKUP(1,$H804:$BE804,$H$4:$BE$4),12*Assumptions!$H$204+12)=AJ$4,0,IF(AI804=1,PMT(Assumptions!$H$202,Assumptions!$H$204,$C806),AI817))),0)</f>
        <v>0</v>
      </c>
      <c r="AK817" s="39">
        <f>+IFERROR(-ABS(IF(EDATE(_xlfn.XLOOKUP(1,$H804:$BE804,$H$4:$BE$4),12*Assumptions!$H$204+12)=AK$4,0,IF(AJ804=1,PMT(Assumptions!$H$202,Assumptions!$H$204,$C806),AJ817))),0)</f>
        <v>0</v>
      </c>
      <c r="AL817" s="39">
        <f>+IFERROR(-ABS(IF(EDATE(_xlfn.XLOOKUP(1,$H804:$BE804,$H$4:$BE$4),12*Assumptions!$H$204+12)=AL$4,0,IF(AK804=1,PMT(Assumptions!$H$202,Assumptions!$H$204,$C806),AK817))),0)</f>
        <v>0</v>
      </c>
      <c r="AM817" s="39">
        <f>+IFERROR(-ABS(IF(EDATE(_xlfn.XLOOKUP(1,$H804:$BE804,$H$4:$BE$4),12*Assumptions!$H$204+12)=AM$4,0,IF(AL804=1,PMT(Assumptions!$H$202,Assumptions!$H$204,$C806),AL817))),0)</f>
        <v>0</v>
      </c>
      <c r="AN817" s="39">
        <f>+IFERROR(-ABS(IF(EDATE(_xlfn.XLOOKUP(1,$H804:$BE804,$H$4:$BE$4),12*Assumptions!$H$204+12)=AN$4,0,IF(AM804=1,PMT(Assumptions!$H$202,Assumptions!$H$204,$C806),AM817))),0)</f>
        <v>0</v>
      </c>
      <c r="AO817" s="39">
        <f>+IFERROR(-ABS(IF(EDATE(_xlfn.XLOOKUP(1,$H804:$BE804,$H$4:$BE$4),12*Assumptions!$H$204+12)=AO$4,0,IF(AN804=1,PMT(Assumptions!$H$202,Assumptions!$H$204,$C806),AN817))),0)</f>
        <v>0</v>
      </c>
      <c r="AP817" s="39">
        <f>+IFERROR(-ABS(IF(EDATE(_xlfn.XLOOKUP(1,$H804:$BE804,$H$4:$BE$4),12*Assumptions!$H$204+12)=AP$4,0,IF(AO804=1,PMT(Assumptions!$H$202,Assumptions!$H$204,$C806),AO817))),0)</f>
        <v>0</v>
      </c>
      <c r="AQ817" s="39">
        <f>+IFERROR(-ABS(IF(EDATE(_xlfn.XLOOKUP(1,$H804:$BE804,$H$4:$BE$4),12*Assumptions!$H$204+12)=AQ$4,0,IF(AP804=1,PMT(Assumptions!$H$202,Assumptions!$H$204,$C806),AP817))),0)</f>
        <v>0</v>
      </c>
      <c r="AR817" s="39">
        <f>+IFERROR(-ABS(IF(EDATE(_xlfn.XLOOKUP(1,$H804:$BE804,$H$4:$BE$4),12*Assumptions!$H$204+12)=AR$4,0,IF(AQ804=1,PMT(Assumptions!$H$202,Assumptions!$H$204,$C806),AQ817))),0)</f>
        <v>0</v>
      </c>
      <c r="AS817" s="39">
        <f>+IFERROR(-ABS(IF(EDATE(_xlfn.XLOOKUP(1,$H804:$BE804,$H$4:$BE$4),12*Assumptions!$H$204+12)=AS$4,0,IF(AR804=1,PMT(Assumptions!$H$202,Assumptions!$H$204,$C806),AR817))),0)</f>
        <v>0</v>
      </c>
      <c r="AT817" s="39">
        <f>+IFERROR(-ABS(IF(EDATE(_xlfn.XLOOKUP(1,$H804:$BE804,$H$4:$BE$4),12*Assumptions!$H$204+12)=AT$4,0,IF(AS804=1,PMT(Assumptions!$H$202,Assumptions!$H$204,$C806),AS817))),0)</f>
        <v>0</v>
      </c>
      <c r="AU817" s="39">
        <f>+IFERROR(-ABS(IF(EDATE(_xlfn.XLOOKUP(1,$H804:$BE804,$H$4:$BE$4),12*Assumptions!$H$204+12)=AU$4,0,IF(AT804=1,PMT(Assumptions!$H$202,Assumptions!$H$204,$C806),AT817))),0)</f>
        <v>0</v>
      </c>
      <c r="AV817" s="39">
        <f>+IFERROR(-ABS(IF(EDATE(_xlfn.XLOOKUP(1,$H804:$BE804,$H$4:$BE$4),12*Assumptions!$H$204+12)=AV$4,0,IF(AU804=1,PMT(Assumptions!$H$202,Assumptions!$H$204,$C806),AU817))),0)</f>
        <v>0</v>
      </c>
      <c r="AW817" s="39">
        <f>+IFERROR(-ABS(IF(EDATE(_xlfn.XLOOKUP(1,$H804:$BE804,$H$4:$BE$4),12*Assumptions!$H$204+12)=AW$4,0,IF(AV804=1,PMT(Assumptions!$H$202,Assumptions!$H$204,$C806),AV817))),0)</f>
        <v>0</v>
      </c>
      <c r="AX817" s="39">
        <f>+IFERROR(-ABS(IF(EDATE(_xlfn.XLOOKUP(1,$H804:$BE804,$H$4:$BE$4),12*Assumptions!$H$204+12)=AX$4,0,IF(AW804=1,PMT(Assumptions!$H$202,Assumptions!$H$204,$C806),AW817))),0)</f>
        <v>0</v>
      </c>
      <c r="AY817" s="39">
        <f>+IFERROR(-ABS(IF(EDATE(_xlfn.XLOOKUP(1,$H804:$BE804,$H$4:$BE$4),12*Assumptions!$H$204+12)=AY$4,0,IF(AX804=1,PMT(Assumptions!$H$202,Assumptions!$H$204,$C806),AX817))),0)</f>
        <v>0</v>
      </c>
      <c r="AZ817" s="39">
        <f>+IFERROR(-ABS(IF(EDATE(_xlfn.XLOOKUP(1,$H804:$BE804,$H$4:$BE$4),12*Assumptions!$H$204+12)=AZ$4,0,IF(AY804=1,PMT(Assumptions!$H$202,Assumptions!$H$204,$C806),AY817))),0)</f>
        <v>0</v>
      </c>
      <c r="BA817" s="39">
        <f>+IFERROR(-ABS(IF(EDATE(_xlfn.XLOOKUP(1,$H804:$BE804,$H$4:$BE$4),12*Assumptions!$H$204+12)=BA$4,0,IF(AZ804=1,PMT(Assumptions!$H$202,Assumptions!$H$204,$C806),AZ817))),0)</f>
        <v>0</v>
      </c>
      <c r="BB817" s="39">
        <f>+IFERROR(-ABS(IF(EDATE(_xlfn.XLOOKUP(1,$H804:$BE804,$H$4:$BE$4),12*Assumptions!$H$204+12)=BB$4,0,IF(BA804=1,PMT(Assumptions!$H$202,Assumptions!$H$204,$C806),BA817))),0)</f>
        <v>0</v>
      </c>
      <c r="BC817" s="39">
        <f>+IFERROR(-ABS(IF(EDATE(_xlfn.XLOOKUP(1,$H804:$BE804,$H$4:$BE$4),12*Assumptions!$H$204+12)=BC$4,0,IF(BB804=1,PMT(Assumptions!$H$202,Assumptions!$H$204,$C806),BB817))),0)</f>
        <v>0</v>
      </c>
      <c r="BD817" s="39">
        <f>+IFERROR(-ABS(IF(EDATE(_xlfn.XLOOKUP(1,$H804:$BE804,$H$4:$BE$4),12*Assumptions!$H$204+12)=BD$4,0,IF(BC804=1,PMT(Assumptions!$H$202,Assumptions!$H$204,$C806),BC817))),0)</f>
        <v>0</v>
      </c>
      <c r="BE817" s="39">
        <f>+IFERROR(-ABS(IF(EDATE(_xlfn.XLOOKUP(1,$H804:$BE804,$H$4:$BE$4),12*Assumptions!$H$204+12)=BE$4,0,IF(BD804=1,PMT(Assumptions!$H$202,Assumptions!$H$204,$C806),BD817))),0)</f>
        <v>0</v>
      </c>
      <c r="BF817" s="39">
        <f>+IFERROR(-ABS(IF(EDATE(_xlfn.XLOOKUP(1,$H804:$BE804,$H$4:$BE$4),12*Assumptions!$H$204+12)=BF$4,0,IF(BE804=1,PMT(Assumptions!$H$202,Assumptions!$H$204,$C806),BE817))),0)</f>
        <v>0</v>
      </c>
      <c r="BG817" s="39">
        <f>+IFERROR(-ABS(IF(EDATE(_xlfn.XLOOKUP(1,$H804:$BE804,$H$4:$BE$4),12*Assumptions!$H$204+12)=BG$4,0,IF(BF804=1,PMT(Assumptions!$H$202,Assumptions!$H$204,$C806),BF817))),0)</f>
        <v>0</v>
      </c>
      <c r="BH817" s="39">
        <f>+IFERROR(-ABS(IF(EDATE(_xlfn.XLOOKUP(1,$H804:$BE804,$H$4:$BE$4),12*Assumptions!$H$204+12)=BH$4,0,IF(BG804=1,PMT(Assumptions!$H$202,Assumptions!$H$204,$C806),BG817))),0)</f>
        <v>0</v>
      </c>
      <c r="BI817" s="39">
        <f>+IFERROR(-ABS(IF(EDATE(_xlfn.XLOOKUP(1,$H804:$BE804,$H$4:$BE$4),12*Assumptions!$H$204+12)=BI$4,0,IF(BH804=1,PMT(Assumptions!$H$202,Assumptions!$H$204,$C806),BH817))),0)</f>
        <v>0</v>
      </c>
      <c r="BJ817" s="39">
        <f>+IFERROR(-ABS(IF(EDATE(_xlfn.XLOOKUP(1,$H804:$BE804,$H$4:$BE$4),12*Assumptions!$H$204+12)=BJ$4,0,IF(BI804=1,PMT(Assumptions!$H$202,Assumptions!$H$204,$C806),BI817))),0)</f>
        <v>0</v>
      </c>
      <c r="BK817" s="39">
        <f>+IFERROR(-ABS(IF(EDATE(_xlfn.XLOOKUP(1,$H804:$BE804,$H$4:$BE$4),12*Assumptions!$H$204+12)=BK$4,0,IF(BJ804=1,PMT(Assumptions!$H$202,Assumptions!$H$204,$C806),BJ817))),0)</f>
        <v>0</v>
      </c>
      <c r="BL817" s="39">
        <f>+IFERROR(-ABS(IF(EDATE(_xlfn.XLOOKUP(1,$H804:$BE804,$H$4:$BE$4),12*Assumptions!$H$204+12)=BL$4,0,IF(BK804=1,PMT(Assumptions!$H$202,Assumptions!$H$204,$C806),BK817))),0)</f>
        <v>0</v>
      </c>
      <c r="BM817" s="39">
        <f>+IFERROR(-ABS(IF(EDATE(_xlfn.XLOOKUP(1,$H804:$BE804,$H$4:$BE$4),12*Assumptions!$H$204+12)=BM$4,0,IF(BL804=1,PMT(Assumptions!$H$202,Assumptions!$H$204,$C806),BL817))),0)</f>
        <v>0</v>
      </c>
      <c r="BN817" s="39">
        <f>+IFERROR(-ABS(IF(EDATE(_xlfn.XLOOKUP(1,$H804:$BE804,$H$4:$BE$4),12*Assumptions!$H$204+12)=BN$4,0,IF(BM804=1,PMT(Assumptions!$H$202,Assumptions!$H$204,$C806),BM817))),0)</f>
        <v>0</v>
      </c>
      <c r="BO817" s="39">
        <f>+IFERROR(-ABS(IF(EDATE(_xlfn.XLOOKUP(1,$H804:$BE804,$H$4:$BE$4),12*Assumptions!$H$204+12)=BO$4,0,IF(BN804=1,PMT(Assumptions!$H$202,Assumptions!$H$204,$C806),BN817))),0)</f>
        <v>0</v>
      </c>
      <c r="BP817" s="39">
        <f>+IFERROR(-ABS(IF(EDATE(_xlfn.XLOOKUP(1,$H804:$BE804,$H$4:$BE$4),12*Assumptions!$H$204+12)=BP$4,0,IF(BO804=1,PMT(Assumptions!$H$202,Assumptions!$H$204,$C806),BO817))),0)</f>
        <v>0</v>
      </c>
      <c r="BQ817" s="39">
        <f>+IFERROR(-ABS(IF(EDATE(_xlfn.XLOOKUP(1,$H804:$BE804,$H$4:$BE$4),12*Assumptions!$H$204+12)=BQ$4,0,IF(BP804=1,PMT(Assumptions!$H$202,Assumptions!$H$204,$C806),BP817))),0)</f>
        <v>0</v>
      </c>
      <c r="BR817" s="39">
        <f>+IFERROR(-ABS(IF(EDATE(_xlfn.XLOOKUP(1,$H804:$BE804,$H$4:$BE$4),12*Assumptions!$H$204+12)=BR$4,0,IF(BQ804=1,PMT(Assumptions!$H$202,Assumptions!$H$204,$C806),BQ817))),0)</f>
        <v>0</v>
      </c>
      <c r="BS817" s="39">
        <f>+IFERROR(-ABS(IF(EDATE(_xlfn.XLOOKUP(1,$H804:$BE804,$H$4:$BE$4),12*Assumptions!$H$204+12)=BS$4,0,IF(BR804=1,PMT(Assumptions!$H$202,Assumptions!$H$204,$C806),BR817))),0)</f>
        <v>0</v>
      </c>
      <c r="BT817" s="39">
        <f>+IFERROR(-ABS(IF(EDATE(_xlfn.XLOOKUP(1,$H804:$BE804,$H$4:$BE$4),12*Assumptions!$H$204+12)=BT$4,0,IF(BS804=1,PMT(Assumptions!$H$202,Assumptions!$H$204,$C806),BS817))),0)</f>
        <v>0</v>
      </c>
      <c r="BU817" s="39">
        <f>+IFERROR(-ABS(IF(EDATE(_xlfn.XLOOKUP(1,$H804:$BE804,$H$4:$BE$4),12*Assumptions!$H$204+12)=BU$4,0,IF(BT804=1,PMT(Assumptions!$H$202,Assumptions!$H$204,$C806),BT817))),0)</f>
        <v>0</v>
      </c>
      <c r="BV817" s="39">
        <f>+IFERROR(-ABS(IF(EDATE(_xlfn.XLOOKUP(1,$H804:$BE804,$H$4:$BE$4),12*Assumptions!$H$204+12)=BV$4,0,IF(BU804=1,PMT(Assumptions!$H$202,Assumptions!$H$204,$C806),BU817))),0)</f>
        <v>0</v>
      </c>
      <c r="BW817" s="39">
        <f>+IFERROR(-ABS(IF(EDATE(_xlfn.XLOOKUP(1,$H804:$BE804,$H$4:$BE$4),12*Assumptions!$H$204+12)=BW$4,0,IF(BV804=1,PMT(Assumptions!$H$202,Assumptions!$H$204,$C806),BV817))),0)</f>
        <v>0</v>
      </c>
      <c r="BX817" s="39">
        <f>+IFERROR(-ABS(IF(EDATE(_xlfn.XLOOKUP(1,$H804:$BE804,$H$4:$BE$4),12*Assumptions!$H$204+12)=BX$4,0,IF(BW804=1,PMT(Assumptions!$H$202,Assumptions!$H$204,$C806),BW817))),0)</f>
        <v>0</v>
      </c>
      <c r="BY817" s="39">
        <f>+IFERROR(-ABS(IF(EDATE(_xlfn.XLOOKUP(1,$H804:$BE804,$H$4:$BE$4),12*Assumptions!$H$204+12)=BY$4,0,IF(BX804=1,PMT(Assumptions!$H$202,Assumptions!$H$204,$C806),BX817))),0)</f>
        <v>0</v>
      </c>
    </row>
    <row r="818" spans="2:77" outlineLevel="1">
      <c r="E818" s="24" t="s">
        <v>519</v>
      </c>
      <c r="F818" s="80" t="str">
        <f>+Assumptions!$G$8</f>
        <v>USD</v>
      </c>
      <c r="G818" s="24"/>
      <c r="H818" s="39">
        <f>+IFERROR(-ABS(IF(EDATE(_xlfn.XLOOKUP(1,$H805:$BE805,$H$4:$BE$4),12*Assumptions!$H$204+12)=H$4,0,IF(G805=1,PMT(Assumptions!$H$202,Assumptions!$H$204,$C807),G818))),0)</f>
        <v>0</v>
      </c>
      <c r="I818" s="39">
        <f>+IFERROR(-ABS(IF(EDATE(_xlfn.XLOOKUP(1,$H805:$BE805,$H$4:$BE$4),12*Assumptions!$H$204+12)=I$4,0,IF(H805=1,PMT(Assumptions!$H$202,Assumptions!$H$204,$C807),H818))),0)</f>
        <v>0</v>
      </c>
      <c r="J818" s="39">
        <f>+IFERROR(-ABS(IF(EDATE(_xlfn.XLOOKUP(1,$H805:$BE805,$H$4:$BE$4),12*Assumptions!$H$204+12)=J$4,0,IF(I805=1,PMT(Assumptions!$H$202,Assumptions!$H$204,$C807),I818))),0)</f>
        <v>0</v>
      </c>
      <c r="K818" s="39">
        <f>+IFERROR(-ABS(IF(EDATE(_xlfn.XLOOKUP(1,$H805:$BE805,$H$4:$BE$4),12*Assumptions!$H$204+12)=K$4,0,IF(J805=1,PMT(Assumptions!$H$202,Assumptions!$H$204,$C807),J818))),0)</f>
        <v>0</v>
      </c>
      <c r="L818" s="39">
        <f>+IFERROR(-ABS(IF(EDATE(_xlfn.XLOOKUP(1,$H805:$BE805,$H$4:$BE$4),12*Assumptions!$H$204+12)=L$4,0,IF(K805=1,PMT(Assumptions!$H$202,Assumptions!$H$204,$C807),K818))),0)</f>
        <v>0</v>
      </c>
      <c r="M818" s="39">
        <f>+IFERROR(-ABS(IF(EDATE(_xlfn.XLOOKUP(1,$H805:$BE805,$H$4:$BE$4),12*Assumptions!$H$204+12)=M$4,0,IF(L805=1,PMT(Assumptions!$H$202,Assumptions!$H$204,$C807),L818))),0)</f>
        <v>0</v>
      </c>
      <c r="N818" s="39">
        <f>+IFERROR(-ABS(IF(EDATE(_xlfn.XLOOKUP(1,$H805:$BE805,$H$4:$BE$4),12*Assumptions!$H$204+12)=N$4,0,IF(M805=1,PMT(Assumptions!$H$202,Assumptions!$H$204,$C807),M818))),0)</f>
        <v>0</v>
      </c>
      <c r="O818" s="39">
        <f>+IFERROR(-ABS(IF(EDATE(_xlfn.XLOOKUP(1,$H805:$BE805,$H$4:$BE$4),12*Assumptions!$H$204+12)=O$4,0,IF(N805=1,PMT(Assumptions!$H$202,Assumptions!$H$204,$C807),N818))),0)</f>
        <v>0</v>
      </c>
      <c r="P818" s="39">
        <f>+IFERROR(-ABS(IF(EDATE(_xlfn.XLOOKUP(1,$H805:$BE805,$H$4:$BE$4),12*Assumptions!$H$204+12)=P$4,0,IF(O805=1,PMT(Assumptions!$H$202,Assumptions!$H$204,$C807),O818))),0)</f>
        <v>0</v>
      </c>
      <c r="Q818" s="39">
        <f>+IFERROR(-ABS(IF(EDATE(_xlfn.XLOOKUP(1,$H805:$BE805,$H$4:$BE$4),12*Assumptions!$H$204+12)=Q$4,0,IF(P805=1,PMT(Assumptions!$H$202,Assumptions!$H$204,$C807),P818))),0)</f>
        <v>0</v>
      </c>
      <c r="R818" s="39">
        <f>+IFERROR(-ABS(IF(EDATE(_xlfn.XLOOKUP(1,$H805:$BE805,$H$4:$BE$4),12*Assumptions!$H$204+12)=R$4,0,IF(Q805=1,PMT(Assumptions!$H$202,Assumptions!$H$204,$C807),Q818))),0)</f>
        <v>0</v>
      </c>
      <c r="S818" s="39">
        <f>+IFERROR(-ABS(IF(EDATE(_xlfn.XLOOKUP(1,$H805:$BE805,$H$4:$BE$4),12*Assumptions!$H$204+12)=S$4,0,IF(R805=1,PMT(Assumptions!$H$202,Assumptions!$H$204,$C807),R818))),0)</f>
        <v>0</v>
      </c>
      <c r="T818" s="39">
        <f>+IFERROR(-ABS(IF(EDATE(_xlfn.XLOOKUP(1,$H805:$BE805,$H$4:$BE$4),12*Assumptions!$H$204+12)=T$4,0,IF(S805=1,PMT(Assumptions!$H$202,Assumptions!$H$204,$C807),S818))),0)</f>
        <v>0</v>
      </c>
      <c r="U818" s="39">
        <f>+IFERROR(-ABS(IF(EDATE(_xlfn.XLOOKUP(1,$H805:$BE805,$H$4:$BE$4),12*Assumptions!$H$204+12)=U$4,0,IF(T805=1,PMT(Assumptions!$H$202,Assumptions!$H$204,$C807),T818))),0)</f>
        <v>0</v>
      </c>
      <c r="V818" s="39">
        <f>+IFERROR(-ABS(IF(EDATE(_xlfn.XLOOKUP(1,$H805:$BE805,$H$4:$BE$4),12*Assumptions!$H$204+12)=V$4,0,IF(U805=1,PMT(Assumptions!$H$202,Assumptions!$H$204,$C807),U818))),0)</f>
        <v>0</v>
      </c>
      <c r="W818" s="39">
        <f>+IFERROR(-ABS(IF(EDATE(_xlfn.XLOOKUP(1,$H805:$BE805,$H$4:$BE$4),12*Assumptions!$H$204+12)=W$4,0,IF(V805=1,PMT(Assumptions!$H$202,Assumptions!$H$204,$C807),V818))),0)</f>
        <v>0</v>
      </c>
      <c r="X818" s="39">
        <f>+IFERROR(-ABS(IF(EDATE(_xlfn.XLOOKUP(1,$H805:$BE805,$H$4:$BE$4),12*Assumptions!$H$204+12)=X$4,0,IF(W805=1,PMT(Assumptions!$H$202,Assumptions!$H$204,$C807),W818))),0)</f>
        <v>0</v>
      </c>
      <c r="Y818" s="39">
        <f>+IFERROR(-ABS(IF(EDATE(_xlfn.XLOOKUP(1,$H805:$BE805,$H$4:$BE$4),12*Assumptions!$H$204+12)=Y$4,0,IF(X805=1,PMT(Assumptions!$H$202,Assumptions!$H$204,$C807),X818))),0)</f>
        <v>0</v>
      </c>
      <c r="Z818" s="39">
        <f>+IFERROR(-ABS(IF(EDATE(_xlfn.XLOOKUP(1,$H805:$BE805,$H$4:$BE$4),12*Assumptions!$H$204+12)=Z$4,0,IF(Y805=1,PMT(Assumptions!$H$202,Assumptions!$H$204,$C807),Y818))),0)</f>
        <v>0</v>
      </c>
      <c r="AA818" s="39">
        <f>+IFERROR(-ABS(IF(EDATE(_xlfn.XLOOKUP(1,$H805:$BE805,$H$4:$BE$4),12*Assumptions!$H$204+12)=AA$4,0,IF(Z805=1,PMT(Assumptions!$H$202,Assumptions!$H$204,$C807),Z818))),0)</f>
        <v>0</v>
      </c>
      <c r="AB818" s="39">
        <f>+IFERROR(-ABS(IF(EDATE(_xlfn.XLOOKUP(1,$H805:$BE805,$H$4:$BE$4),12*Assumptions!$H$204+12)=AB$4,0,IF(AA805=1,PMT(Assumptions!$H$202,Assumptions!$H$204,$C807),AA818))),0)</f>
        <v>0</v>
      </c>
      <c r="AC818" s="39">
        <f>+IFERROR(-ABS(IF(EDATE(_xlfn.XLOOKUP(1,$H805:$BE805,$H$4:$BE$4),12*Assumptions!$H$204+12)=AC$4,0,IF(AB805=1,PMT(Assumptions!$H$202,Assumptions!$H$204,$C807),AB818))),0)</f>
        <v>0</v>
      </c>
      <c r="AD818" s="39">
        <f>+IFERROR(-ABS(IF(EDATE(_xlfn.XLOOKUP(1,$H805:$BE805,$H$4:$BE$4),12*Assumptions!$H$204+12)=AD$4,0,IF(AC805=1,PMT(Assumptions!$H$202,Assumptions!$H$204,$C807),AC818))),0)</f>
        <v>0</v>
      </c>
      <c r="AE818" s="39">
        <f>+IFERROR(-ABS(IF(EDATE(_xlfn.XLOOKUP(1,$H805:$BE805,$H$4:$BE$4),12*Assumptions!$H$204+12)=AE$4,0,IF(AD805=1,PMT(Assumptions!$H$202,Assumptions!$H$204,$C807),AD818))),0)</f>
        <v>0</v>
      </c>
      <c r="AF818" s="39">
        <f>+IFERROR(-ABS(IF(EDATE(_xlfn.XLOOKUP(1,$H805:$BE805,$H$4:$BE$4),12*Assumptions!$H$204+12)=AF$4,0,IF(AE805=1,PMT(Assumptions!$H$202,Assumptions!$H$204,$C807),AE818))),0)</f>
        <v>0</v>
      </c>
      <c r="AG818" s="39">
        <f>+IFERROR(-ABS(IF(EDATE(_xlfn.XLOOKUP(1,$H805:$BE805,$H$4:$BE$4),12*Assumptions!$H$204+12)=AG$4,0,IF(AF805=1,PMT(Assumptions!$H$202,Assumptions!$H$204,$C807),AF818))),0)</f>
        <v>0</v>
      </c>
      <c r="AH818" s="39">
        <f>+IFERROR(-ABS(IF(EDATE(_xlfn.XLOOKUP(1,$H805:$BE805,$H$4:$BE$4),12*Assumptions!$H$204+12)=AH$4,0,IF(AG805=1,PMT(Assumptions!$H$202,Assumptions!$H$204,$C807),AG818))),0)</f>
        <v>0</v>
      </c>
      <c r="AI818" s="39">
        <f>+IFERROR(-ABS(IF(EDATE(_xlfn.XLOOKUP(1,$H805:$BE805,$H$4:$BE$4),12*Assumptions!$H$204+12)=AI$4,0,IF(AH805=1,PMT(Assumptions!$H$202,Assumptions!$H$204,$C807),AH818))),0)</f>
        <v>0</v>
      </c>
      <c r="AJ818" s="39">
        <f>+IFERROR(-ABS(IF(EDATE(_xlfn.XLOOKUP(1,$H805:$BE805,$H$4:$BE$4),12*Assumptions!$H$204+12)=AJ$4,0,IF(AI805=1,PMT(Assumptions!$H$202,Assumptions!$H$204,$C807),AI818))),0)</f>
        <v>0</v>
      </c>
      <c r="AK818" s="39">
        <f>+IFERROR(-ABS(IF(EDATE(_xlfn.XLOOKUP(1,$H805:$BE805,$H$4:$BE$4),12*Assumptions!$H$204+12)=AK$4,0,IF(AJ805=1,PMT(Assumptions!$H$202,Assumptions!$H$204,$C807),AJ818))),0)</f>
        <v>0</v>
      </c>
      <c r="AL818" s="39">
        <f>+IFERROR(-ABS(IF(EDATE(_xlfn.XLOOKUP(1,$H805:$BE805,$H$4:$BE$4),12*Assumptions!$H$204+12)=AL$4,0,IF(AK805=1,PMT(Assumptions!$H$202,Assumptions!$H$204,$C807),AK818))),0)</f>
        <v>0</v>
      </c>
      <c r="AM818" s="39">
        <f>+IFERROR(-ABS(IF(EDATE(_xlfn.XLOOKUP(1,$H805:$BE805,$H$4:$BE$4),12*Assumptions!$H$204+12)=AM$4,0,IF(AL805=1,PMT(Assumptions!$H$202,Assumptions!$H$204,$C807),AL818))),0)</f>
        <v>0</v>
      </c>
      <c r="AN818" s="39">
        <f>+IFERROR(-ABS(IF(EDATE(_xlfn.XLOOKUP(1,$H805:$BE805,$H$4:$BE$4),12*Assumptions!$H$204+12)=AN$4,0,IF(AM805=1,PMT(Assumptions!$H$202,Assumptions!$H$204,$C807),AM818))),0)</f>
        <v>0</v>
      </c>
      <c r="AO818" s="39">
        <f>+IFERROR(-ABS(IF(EDATE(_xlfn.XLOOKUP(1,$H805:$BE805,$H$4:$BE$4),12*Assumptions!$H$204+12)=AO$4,0,IF(AN805=1,PMT(Assumptions!$H$202,Assumptions!$H$204,$C807),AN818))),0)</f>
        <v>0</v>
      </c>
      <c r="AP818" s="39">
        <f>+IFERROR(-ABS(IF(EDATE(_xlfn.XLOOKUP(1,$H805:$BE805,$H$4:$BE$4),12*Assumptions!$H$204+12)=AP$4,0,IF(AO805=1,PMT(Assumptions!$H$202,Assumptions!$H$204,$C807),AO818))),0)</f>
        <v>0</v>
      </c>
      <c r="AQ818" s="39">
        <f>+IFERROR(-ABS(IF(EDATE(_xlfn.XLOOKUP(1,$H805:$BE805,$H$4:$BE$4),12*Assumptions!$H$204+12)=AQ$4,0,IF(AP805=1,PMT(Assumptions!$H$202,Assumptions!$H$204,$C807),AP818))),0)</f>
        <v>0</v>
      </c>
      <c r="AR818" s="39">
        <f>+IFERROR(-ABS(IF(EDATE(_xlfn.XLOOKUP(1,$H805:$BE805,$H$4:$BE$4),12*Assumptions!$H$204+12)=AR$4,0,IF(AQ805=1,PMT(Assumptions!$H$202,Assumptions!$H$204,$C807),AQ818))),0)</f>
        <v>0</v>
      </c>
      <c r="AS818" s="39">
        <f>+IFERROR(-ABS(IF(EDATE(_xlfn.XLOOKUP(1,$H805:$BE805,$H$4:$BE$4),12*Assumptions!$H$204+12)=AS$4,0,IF(AR805=1,PMT(Assumptions!$H$202,Assumptions!$H$204,$C807),AR818))),0)</f>
        <v>0</v>
      </c>
      <c r="AT818" s="39">
        <f>+IFERROR(-ABS(IF(EDATE(_xlfn.XLOOKUP(1,$H805:$BE805,$H$4:$BE$4),12*Assumptions!$H$204+12)=AT$4,0,IF(AS805=1,PMT(Assumptions!$H$202,Assumptions!$H$204,$C807),AS818))),0)</f>
        <v>0</v>
      </c>
      <c r="AU818" s="39">
        <f>+IFERROR(-ABS(IF(EDATE(_xlfn.XLOOKUP(1,$H805:$BE805,$H$4:$BE$4),12*Assumptions!$H$204+12)=AU$4,0,IF(AT805=1,PMT(Assumptions!$H$202,Assumptions!$H$204,$C807),AT818))),0)</f>
        <v>0</v>
      </c>
      <c r="AV818" s="39">
        <f>+IFERROR(-ABS(IF(EDATE(_xlfn.XLOOKUP(1,$H805:$BE805,$H$4:$BE$4),12*Assumptions!$H$204+12)=AV$4,0,IF(AU805=1,PMT(Assumptions!$H$202,Assumptions!$H$204,$C807),AU818))),0)</f>
        <v>0</v>
      </c>
      <c r="AW818" s="39">
        <f>+IFERROR(-ABS(IF(EDATE(_xlfn.XLOOKUP(1,$H805:$BE805,$H$4:$BE$4),12*Assumptions!$H$204+12)=AW$4,0,IF(AV805=1,PMT(Assumptions!$H$202,Assumptions!$H$204,$C807),AV818))),0)</f>
        <v>0</v>
      </c>
      <c r="AX818" s="39">
        <f>+IFERROR(-ABS(IF(EDATE(_xlfn.XLOOKUP(1,$H805:$BE805,$H$4:$BE$4),12*Assumptions!$H$204+12)=AX$4,0,IF(AW805=1,PMT(Assumptions!$H$202,Assumptions!$H$204,$C807),AW818))),0)</f>
        <v>0</v>
      </c>
      <c r="AY818" s="39">
        <f>+IFERROR(-ABS(IF(EDATE(_xlfn.XLOOKUP(1,$H805:$BE805,$H$4:$BE$4),12*Assumptions!$H$204+12)=AY$4,0,IF(AX805=1,PMT(Assumptions!$H$202,Assumptions!$H$204,$C807),AX818))),0)</f>
        <v>0</v>
      </c>
      <c r="AZ818" s="39">
        <f>+IFERROR(-ABS(IF(EDATE(_xlfn.XLOOKUP(1,$H805:$BE805,$H$4:$BE$4),12*Assumptions!$H$204+12)=AZ$4,0,IF(AY805=1,PMT(Assumptions!$H$202,Assumptions!$H$204,$C807),AY818))),0)</f>
        <v>0</v>
      </c>
      <c r="BA818" s="39">
        <f>+IFERROR(-ABS(IF(EDATE(_xlfn.XLOOKUP(1,$H805:$BE805,$H$4:$BE$4),12*Assumptions!$H$204+12)=BA$4,0,IF(AZ805=1,PMT(Assumptions!$H$202,Assumptions!$H$204,$C807),AZ818))),0)</f>
        <v>0</v>
      </c>
      <c r="BB818" s="39">
        <f>+IFERROR(-ABS(IF(EDATE(_xlfn.XLOOKUP(1,$H805:$BE805,$H$4:$BE$4),12*Assumptions!$H$204+12)=BB$4,0,IF(BA805=1,PMT(Assumptions!$H$202,Assumptions!$H$204,$C807),BA818))),0)</f>
        <v>0</v>
      </c>
      <c r="BC818" s="39">
        <f>+IFERROR(-ABS(IF(EDATE(_xlfn.XLOOKUP(1,$H805:$BE805,$H$4:$BE$4),12*Assumptions!$H$204+12)=BC$4,0,IF(BB805=1,PMT(Assumptions!$H$202,Assumptions!$H$204,$C807),BB818))),0)</f>
        <v>0</v>
      </c>
      <c r="BD818" s="39">
        <f>+IFERROR(-ABS(IF(EDATE(_xlfn.XLOOKUP(1,$H805:$BE805,$H$4:$BE$4),12*Assumptions!$H$204+12)=BD$4,0,IF(BC805=1,PMT(Assumptions!$H$202,Assumptions!$H$204,$C807),BC818))),0)</f>
        <v>0</v>
      </c>
      <c r="BE818" s="39">
        <f>+IFERROR(-ABS(IF(EDATE(_xlfn.XLOOKUP(1,$H805:$BE805,$H$4:$BE$4),12*Assumptions!$H$204+12)=BE$4,0,IF(BD805=1,PMT(Assumptions!$H$202,Assumptions!$H$204,$C807),BD818))),0)</f>
        <v>0</v>
      </c>
      <c r="BF818" s="39">
        <f>+IFERROR(-ABS(IF(EDATE(_xlfn.XLOOKUP(1,$H805:$BE805,$H$4:$BE$4),12*Assumptions!$H$204+12)=BF$4,0,IF(BE805=1,PMT(Assumptions!$H$202,Assumptions!$H$204,$C807),BE818))),0)</f>
        <v>0</v>
      </c>
      <c r="BG818" s="39">
        <f>+IFERROR(-ABS(IF(EDATE(_xlfn.XLOOKUP(1,$H805:$BE805,$H$4:$BE$4),12*Assumptions!$H$204+12)=BG$4,0,IF(BF805=1,PMT(Assumptions!$H$202,Assumptions!$H$204,$C807),BF818))),0)</f>
        <v>0</v>
      </c>
      <c r="BH818" s="39">
        <f>+IFERROR(-ABS(IF(EDATE(_xlfn.XLOOKUP(1,$H805:$BE805,$H$4:$BE$4),12*Assumptions!$H$204+12)=BH$4,0,IF(BG805=1,PMT(Assumptions!$H$202,Assumptions!$H$204,$C807),BG818))),0)</f>
        <v>0</v>
      </c>
      <c r="BI818" s="39">
        <f>+IFERROR(-ABS(IF(EDATE(_xlfn.XLOOKUP(1,$H805:$BE805,$H$4:$BE$4),12*Assumptions!$H$204+12)=BI$4,0,IF(BH805=1,PMT(Assumptions!$H$202,Assumptions!$H$204,$C807),BH818))),0)</f>
        <v>0</v>
      </c>
      <c r="BJ818" s="39">
        <f>+IFERROR(-ABS(IF(EDATE(_xlfn.XLOOKUP(1,$H805:$BE805,$H$4:$BE$4),12*Assumptions!$H$204+12)=BJ$4,0,IF(BI805=1,PMT(Assumptions!$H$202,Assumptions!$H$204,$C807),BI818))),0)</f>
        <v>0</v>
      </c>
      <c r="BK818" s="39">
        <f>+IFERROR(-ABS(IF(EDATE(_xlfn.XLOOKUP(1,$H805:$BE805,$H$4:$BE$4),12*Assumptions!$H$204+12)=BK$4,0,IF(BJ805=1,PMT(Assumptions!$H$202,Assumptions!$H$204,$C807),BJ818))),0)</f>
        <v>0</v>
      </c>
      <c r="BL818" s="39">
        <f>+IFERROR(-ABS(IF(EDATE(_xlfn.XLOOKUP(1,$H805:$BE805,$H$4:$BE$4),12*Assumptions!$H$204+12)=BL$4,0,IF(BK805=1,PMT(Assumptions!$H$202,Assumptions!$H$204,$C807),BK818))),0)</f>
        <v>0</v>
      </c>
      <c r="BM818" s="39">
        <f>+IFERROR(-ABS(IF(EDATE(_xlfn.XLOOKUP(1,$H805:$BE805,$H$4:$BE$4),12*Assumptions!$H$204+12)=BM$4,0,IF(BL805=1,PMT(Assumptions!$H$202,Assumptions!$H$204,$C807),BL818))),0)</f>
        <v>0</v>
      </c>
      <c r="BN818" s="39">
        <f>+IFERROR(-ABS(IF(EDATE(_xlfn.XLOOKUP(1,$H805:$BE805,$H$4:$BE$4),12*Assumptions!$H$204+12)=BN$4,0,IF(BM805=1,PMT(Assumptions!$H$202,Assumptions!$H$204,$C807),BM818))),0)</f>
        <v>0</v>
      </c>
      <c r="BO818" s="39">
        <f>+IFERROR(-ABS(IF(EDATE(_xlfn.XLOOKUP(1,$H805:$BE805,$H$4:$BE$4),12*Assumptions!$H$204+12)=BO$4,0,IF(BN805=1,PMT(Assumptions!$H$202,Assumptions!$H$204,$C807),BN818))),0)</f>
        <v>0</v>
      </c>
      <c r="BP818" s="39">
        <f>+IFERROR(-ABS(IF(EDATE(_xlfn.XLOOKUP(1,$H805:$BE805,$H$4:$BE$4),12*Assumptions!$H$204+12)=BP$4,0,IF(BO805=1,PMT(Assumptions!$H$202,Assumptions!$H$204,$C807),BO818))),0)</f>
        <v>0</v>
      </c>
      <c r="BQ818" s="39">
        <f>+IFERROR(-ABS(IF(EDATE(_xlfn.XLOOKUP(1,$H805:$BE805,$H$4:$BE$4),12*Assumptions!$H$204+12)=BQ$4,0,IF(BP805=1,PMT(Assumptions!$H$202,Assumptions!$H$204,$C807),BP818))),0)</f>
        <v>0</v>
      </c>
      <c r="BR818" s="39">
        <f>+IFERROR(-ABS(IF(EDATE(_xlfn.XLOOKUP(1,$H805:$BE805,$H$4:$BE$4),12*Assumptions!$H$204+12)=BR$4,0,IF(BQ805=1,PMT(Assumptions!$H$202,Assumptions!$H$204,$C807),BQ818))),0)</f>
        <v>0</v>
      </c>
      <c r="BS818" s="39">
        <f>+IFERROR(-ABS(IF(EDATE(_xlfn.XLOOKUP(1,$H805:$BE805,$H$4:$BE$4),12*Assumptions!$H$204+12)=BS$4,0,IF(BR805=1,PMT(Assumptions!$H$202,Assumptions!$H$204,$C807),BR818))),0)</f>
        <v>0</v>
      </c>
      <c r="BT818" s="39">
        <f>+IFERROR(-ABS(IF(EDATE(_xlfn.XLOOKUP(1,$H805:$BE805,$H$4:$BE$4),12*Assumptions!$H$204+12)=BT$4,0,IF(BS805=1,PMT(Assumptions!$H$202,Assumptions!$H$204,$C807),BS818))),0)</f>
        <v>0</v>
      </c>
      <c r="BU818" s="39">
        <f>+IFERROR(-ABS(IF(EDATE(_xlfn.XLOOKUP(1,$H805:$BE805,$H$4:$BE$4),12*Assumptions!$H$204+12)=BU$4,0,IF(BT805=1,PMT(Assumptions!$H$202,Assumptions!$H$204,$C807),BT818))),0)</f>
        <v>0</v>
      </c>
      <c r="BV818" s="39">
        <f>+IFERROR(-ABS(IF(EDATE(_xlfn.XLOOKUP(1,$H805:$BE805,$H$4:$BE$4),12*Assumptions!$H$204+12)=BV$4,0,IF(BU805=1,PMT(Assumptions!$H$202,Assumptions!$H$204,$C807),BU818))),0)</f>
        <v>0</v>
      </c>
      <c r="BW818" s="39">
        <f>+IFERROR(-ABS(IF(EDATE(_xlfn.XLOOKUP(1,$H805:$BE805,$H$4:$BE$4),12*Assumptions!$H$204+12)=BW$4,0,IF(BV805=1,PMT(Assumptions!$H$202,Assumptions!$H$204,$C807),BV818))),0)</f>
        <v>0</v>
      </c>
      <c r="BX818" s="39">
        <f>+IFERROR(-ABS(IF(EDATE(_xlfn.XLOOKUP(1,$H805:$BE805,$H$4:$BE$4),12*Assumptions!$H$204+12)=BX$4,0,IF(BW805=1,PMT(Assumptions!$H$202,Assumptions!$H$204,$C807),BW818))),0)</f>
        <v>0</v>
      </c>
      <c r="BY818" s="39">
        <f>+IFERROR(-ABS(IF(EDATE(_xlfn.XLOOKUP(1,$H805:$BE805,$H$4:$BE$4),12*Assumptions!$H$204+12)=BY$4,0,IF(BX805=1,PMT(Assumptions!$H$202,Assumptions!$H$204,$C807),BX818))),0)</f>
        <v>0</v>
      </c>
    </row>
    <row r="819" spans="2:77" outlineLevel="1">
      <c r="E819" s="24" t="s">
        <v>520</v>
      </c>
      <c r="F819" s="80" t="str">
        <f>+Assumptions!$G$8</f>
        <v>USD</v>
      </c>
      <c r="G819" s="24"/>
      <c r="H819" s="39">
        <f>+IFERROR(-ABS(IF(EDATE(_xlfn.XLOOKUP(1,$H806:$BE806,$H$4:$BE$4),12*Assumptions!$H$204+12)=H$4,0,IF(G806=1,PMT(Assumptions!$H$202,Assumptions!$H$204,$C808),G819))),0)</f>
        <v>0</v>
      </c>
      <c r="I819" s="39">
        <f>+IFERROR(-ABS(IF(EDATE(_xlfn.XLOOKUP(1,$H806:$BE806,$H$4:$BE$4),12*Assumptions!$H$204+12)=I$4,0,IF(H806=1,PMT(Assumptions!$H$202,Assumptions!$H$204,$C808),H819))),0)</f>
        <v>0</v>
      </c>
      <c r="J819" s="39">
        <f>+IFERROR(-ABS(IF(EDATE(_xlfn.XLOOKUP(1,$H806:$BE806,$H$4:$BE$4),12*Assumptions!$H$204+12)=J$4,0,IF(I806=1,PMT(Assumptions!$H$202,Assumptions!$H$204,$C808),I819))),0)</f>
        <v>0</v>
      </c>
      <c r="K819" s="39">
        <f>+IFERROR(-ABS(IF(EDATE(_xlfn.XLOOKUP(1,$H806:$BE806,$H$4:$BE$4),12*Assumptions!$H$204+12)=K$4,0,IF(J806=1,PMT(Assumptions!$H$202,Assumptions!$H$204,$C808),J819))),0)</f>
        <v>0</v>
      </c>
      <c r="L819" s="39">
        <f>+IFERROR(-ABS(IF(EDATE(_xlfn.XLOOKUP(1,$H806:$BE806,$H$4:$BE$4),12*Assumptions!$H$204+12)=L$4,0,IF(K806=1,PMT(Assumptions!$H$202,Assumptions!$H$204,$C808),K819))),0)</f>
        <v>0</v>
      </c>
      <c r="M819" s="39">
        <f>+IFERROR(-ABS(IF(EDATE(_xlfn.XLOOKUP(1,$H806:$BE806,$H$4:$BE$4),12*Assumptions!$H$204+12)=M$4,0,IF(L806=1,PMT(Assumptions!$H$202,Assumptions!$H$204,$C808),L819))),0)</f>
        <v>0</v>
      </c>
      <c r="N819" s="39">
        <f>+IFERROR(-ABS(IF(EDATE(_xlfn.XLOOKUP(1,$H806:$BE806,$H$4:$BE$4),12*Assumptions!$H$204+12)=N$4,0,IF(M806=1,PMT(Assumptions!$H$202,Assumptions!$H$204,$C808),M819))),0)</f>
        <v>0</v>
      </c>
      <c r="O819" s="39">
        <f>+IFERROR(-ABS(IF(EDATE(_xlfn.XLOOKUP(1,$H806:$BE806,$H$4:$BE$4),12*Assumptions!$H$204+12)=O$4,0,IF(N806=1,PMT(Assumptions!$H$202,Assumptions!$H$204,$C808),N819))),0)</f>
        <v>0</v>
      </c>
      <c r="P819" s="39">
        <f>+IFERROR(-ABS(IF(EDATE(_xlfn.XLOOKUP(1,$H806:$BE806,$H$4:$BE$4),12*Assumptions!$H$204+12)=P$4,0,IF(O806=1,PMT(Assumptions!$H$202,Assumptions!$H$204,$C808),O819))),0)</f>
        <v>0</v>
      </c>
      <c r="Q819" s="39">
        <f>+IFERROR(-ABS(IF(EDATE(_xlfn.XLOOKUP(1,$H806:$BE806,$H$4:$BE$4),12*Assumptions!$H$204+12)=Q$4,0,IF(P806=1,PMT(Assumptions!$H$202,Assumptions!$H$204,$C808),P819))),0)</f>
        <v>0</v>
      </c>
      <c r="R819" s="39">
        <f>+IFERROR(-ABS(IF(EDATE(_xlfn.XLOOKUP(1,$H806:$BE806,$H$4:$BE$4),12*Assumptions!$H$204+12)=R$4,0,IF(Q806=1,PMT(Assumptions!$H$202,Assumptions!$H$204,$C808),Q819))),0)</f>
        <v>0</v>
      </c>
      <c r="S819" s="39">
        <f>+IFERROR(-ABS(IF(EDATE(_xlfn.XLOOKUP(1,$H806:$BE806,$H$4:$BE$4),12*Assumptions!$H$204+12)=S$4,0,IF(R806=1,PMT(Assumptions!$H$202,Assumptions!$H$204,$C808),R819))),0)</f>
        <v>0</v>
      </c>
      <c r="T819" s="39">
        <f>+IFERROR(-ABS(IF(EDATE(_xlfn.XLOOKUP(1,$H806:$BE806,$H$4:$BE$4),12*Assumptions!$H$204+12)=T$4,0,IF(S806=1,PMT(Assumptions!$H$202,Assumptions!$H$204,$C808),S819))),0)</f>
        <v>0</v>
      </c>
      <c r="U819" s="39">
        <f>+IFERROR(-ABS(IF(EDATE(_xlfn.XLOOKUP(1,$H806:$BE806,$H$4:$BE$4),12*Assumptions!$H$204+12)=U$4,0,IF(T806=1,PMT(Assumptions!$H$202,Assumptions!$H$204,$C808),T819))),0)</f>
        <v>0</v>
      </c>
      <c r="V819" s="39">
        <f>+IFERROR(-ABS(IF(EDATE(_xlfn.XLOOKUP(1,$H806:$BE806,$H$4:$BE$4),12*Assumptions!$H$204+12)=V$4,0,IF(U806=1,PMT(Assumptions!$H$202,Assumptions!$H$204,$C808),U819))),0)</f>
        <v>0</v>
      </c>
      <c r="W819" s="39">
        <f>+IFERROR(-ABS(IF(EDATE(_xlfn.XLOOKUP(1,$H806:$BE806,$H$4:$BE$4),12*Assumptions!$H$204+12)=W$4,0,IF(V806=1,PMT(Assumptions!$H$202,Assumptions!$H$204,$C808),V819))),0)</f>
        <v>0</v>
      </c>
      <c r="X819" s="39">
        <f>+IFERROR(-ABS(IF(EDATE(_xlfn.XLOOKUP(1,$H806:$BE806,$H$4:$BE$4),12*Assumptions!$H$204+12)=X$4,0,IF(W806=1,PMT(Assumptions!$H$202,Assumptions!$H$204,$C808),W819))),0)</f>
        <v>0</v>
      </c>
      <c r="Y819" s="39">
        <f>+IFERROR(-ABS(IF(EDATE(_xlfn.XLOOKUP(1,$H806:$BE806,$H$4:$BE$4),12*Assumptions!$H$204+12)=Y$4,0,IF(X806=1,PMT(Assumptions!$H$202,Assumptions!$H$204,$C808),X819))),0)</f>
        <v>0</v>
      </c>
      <c r="Z819" s="39">
        <f>+IFERROR(-ABS(IF(EDATE(_xlfn.XLOOKUP(1,$H806:$BE806,$H$4:$BE$4),12*Assumptions!$H$204+12)=Z$4,0,IF(Y806=1,PMT(Assumptions!$H$202,Assumptions!$H$204,$C808),Y819))),0)</f>
        <v>0</v>
      </c>
      <c r="AA819" s="39">
        <f>+IFERROR(-ABS(IF(EDATE(_xlfn.XLOOKUP(1,$H806:$BE806,$H$4:$BE$4),12*Assumptions!$H$204+12)=AA$4,0,IF(Z806=1,PMT(Assumptions!$H$202,Assumptions!$H$204,$C808),Z819))),0)</f>
        <v>0</v>
      </c>
      <c r="AB819" s="39">
        <f>+IFERROR(-ABS(IF(EDATE(_xlfn.XLOOKUP(1,$H806:$BE806,$H$4:$BE$4),12*Assumptions!$H$204+12)=AB$4,0,IF(AA806=1,PMT(Assumptions!$H$202,Assumptions!$H$204,$C808),AA819))),0)</f>
        <v>0</v>
      </c>
      <c r="AC819" s="39">
        <f>+IFERROR(-ABS(IF(EDATE(_xlfn.XLOOKUP(1,$H806:$BE806,$H$4:$BE$4),12*Assumptions!$H$204+12)=AC$4,0,IF(AB806=1,PMT(Assumptions!$H$202,Assumptions!$H$204,$C808),AB819))),0)</f>
        <v>0</v>
      </c>
      <c r="AD819" s="39">
        <f>+IFERROR(-ABS(IF(EDATE(_xlfn.XLOOKUP(1,$H806:$BE806,$H$4:$BE$4),12*Assumptions!$H$204+12)=AD$4,0,IF(AC806=1,PMT(Assumptions!$H$202,Assumptions!$H$204,$C808),AC819))),0)</f>
        <v>0</v>
      </c>
      <c r="AE819" s="39">
        <f>+IFERROR(-ABS(IF(EDATE(_xlfn.XLOOKUP(1,$H806:$BE806,$H$4:$BE$4),12*Assumptions!$H$204+12)=AE$4,0,IF(AD806=1,PMT(Assumptions!$H$202,Assumptions!$H$204,$C808),AD819))),0)</f>
        <v>0</v>
      </c>
      <c r="AF819" s="39">
        <f>+IFERROR(-ABS(IF(EDATE(_xlfn.XLOOKUP(1,$H806:$BE806,$H$4:$BE$4),12*Assumptions!$H$204+12)=AF$4,0,IF(AE806=1,PMT(Assumptions!$H$202,Assumptions!$H$204,$C808),AE819))),0)</f>
        <v>0</v>
      </c>
      <c r="AG819" s="39">
        <f>+IFERROR(-ABS(IF(EDATE(_xlfn.XLOOKUP(1,$H806:$BE806,$H$4:$BE$4),12*Assumptions!$H$204+12)=AG$4,0,IF(AF806=1,PMT(Assumptions!$H$202,Assumptions!$H$204,$C808),AF819))),0)</f>
        <v>0</v>
      </c>
      <c r="AH819" s="39">
        <f>+IFERROR(-ABS(IF(EDATE(_xlfn.XLOOKUP(1,$H806:$BE806,$H$4:$BE$4),12*Assumptions!$H$204+12)=AH$4,0,IF(AG806=1,PMT(Assumptions!$H$202,Assumptions!$H$204,$C808),AG819))),0)</f>
        <v>0</v>
      </c>
      <c r="AI819" s="39">
        <f>+IFERROR(-ABS(IF(EDATE(_xlfn.XLOOKUP(1,$H806:$BE806,$H$4:$BE$4),12*Assumptions!$H$204+12)=AI$4,0,IF(AH806=1,PMT(Assumptions!$H$202,Assumptions!$H$204,$C808),AH819))),0)</f>
        <v>0</v>
      </c>
      <c r="AJ819" s="39">
        <f>+IFERROR(-ABS(IF(EDATE(_xlfn.XLOOKUP(1,$H806:$BE806,$H$4:$BE$4),12*Assumptions!$H$204+12)=AJ$4,0,IF(AI806=1,PMT(Assumptions!$H$202,Assumptions!$H$204,$C808),AI819))),0)</f>
        <v>0</v>
      </c>
      <c r="AK819" s="39">
        <f>+IFERROR(-ABS(IF(EDATE(_xlfn.XLOOKUP(1,$H806:$BE806,$H$4:$BE$4),12*Assumptions!$H$204+12)=AK$4,0,IF(AJ806=1,PMT(Assumptions!$H$202,Assumptions!$H$204,$C808),AJ819))),0)</f>
        <v>0</v>
      </c>
      <c r="AL819" s="39">
        <f>+IFERROR(-ABS(IF(EDATE(_xlfn.XLOOKUP(1,$H806:$BE806,$H$4:$BE$4),12*Assumptions!$H$204+12)=AL$4,0,IF(AK806=1,PMT(Assumptions!$H$202,Assumptions!$H$204,$C808),AK819))),0)</f>
        <v>0</v>
      </c>
      <c r="AM819" s="39">
        <f>+IFERROR(-ABS(IF(EDATE(_xlfn.XLOOKUP(1,$H806:$BE806,$H$4:$BE$4),12*Assumptions!$H$204+12)=AM$4,0,IF(AL806=1,PMT(Assumptions!$H$202,Assumptions!$H$204,$C808),AL819))),0)</f>
        <v>0</v>
      </c>
      <c r="AN819" s="39">
        <f>+IFERROR(-ABS(IF(EDATE(_xlfn.XLOOKUP(1,$H806:$BE806,$H$4:$BE$4),12*Assumptions!$H$204+12)=AN$4,0,IF(AM806=1,PMT(Assumptions!$H$202,Assumptions!$H$204,$C808),AM819))),0)</f>
        <v>0</v>
      </c>
      <c r="AO819" s="39">
        <f>+IFERROR(-ABS(IF(EDATE(_xlfn.XLOOKUP(1,$H806:$BE806,$H$4:$BE$4),12*Assumptions!$H$204+12)=AO$4,0,IF(AN806=1,PMT(Assumptions!$H$202,Assumptions!$H$204,$C808),AN819))),0)</f>
        <v>0</v>
      </c>
      <c r="AP819" s="39">
        <f>+IFERROR(-ABS(IF(EDATE(_xlfn.XLOOKUP(1,$H806:$BE806,$H$4:$BE$4),12*Assumptions!$H$204+12)=AP$4,0,IF(AO806=1,PMT(Assumptions!$H$202,Assumptions!$H$204,$C808),AO819))),0)</f>
        <v>0</v>
      </c>
      <c r="AQ819" s="39">
        <f>+IFERROR(-ABS(IF(EDATE(_xlfn.XLOOKUP(1,$H806:$BE806,$H$4:$BE$4),12*Assumptions!$H$204+12)=AQ$4,0,IF(AP806=1,PMT(Assumptions!$H$202,Assumptions!$H$204,$C808),AP819))),0)</f>
        <v>0</v>
      </c>
      <c r="AR819" s="39">
        <f>+IFERROR(-ABS(IF(EDATE(_xlfn.XLOOKUP(1,$H806:$BE806,$H$4:$BE$4),12*Assumptions!$H$204+12)=AR$4,0,IF(AQ806=1,PMT(Assumptions!$H$202,Assumptions!$H$204,$C808),AQ819))),0)</f>
        <v>0</v>
      </c>
      <c r="AS819" s="39">
        <f>+IFERROR(-ABS(IF(EDATE(_xlfn.XLOOKUP(1,$H806:$BE806,$H$4:$BE$4),12*Assumptions!$H$204+12)=AS$4,0,IF(AR806=1,PMT(Assumptions!$H$202,Assumptions!$H$204,$C808),AR819))),0)</f>
        <v>0</v>
      </c>
      <c r="AT819" s="39">
        <f>+IFERROR(-ABS(IF(EDATE(_xlfn.XLOOKUP(1,$H806:$BE806,$H$4:$BE$4),12*Assumptions!$H$204+12)=AT$4,0,IF(AS806=1,PMT(Assumptions!$H$202,Assumptions!$H$204,$C808),AS819))),0)</f>
        <v>0</v>
      </c>
      <c r="AU819" s="39">
        <f>+IFERROR(-ABS(IF(EDATE(_xlfn.XLOOKUP(1,$H806:$BE806,$H$4:$BE$4),12*Assumptions!$H$204+12)=AU$4,0,IF(AT806=1,PMT(Assumptions!$H$202,Assumptions!$H$204,$C808),AT819))),0)</f>
        <v>0</v>
      </c>
      <c r="AV819" s="39">
        <f>+IFERROR(-ABS(IF(EDATE(_xlfn.XLOOKUP(1,$H806:$BE806,$H$4:$BE$4),12*Assumptions!$H$204+12)=AV$4,0,IF(AU806=1,PMT(Assumptions!$H$202,Assumptions!$H$204,$C808),AU819))),0)</f>
        <v>0</v>
      </c>
      <c r="AW819" s="39">
        <f>+IFERROR(-ABS(IF(EDATE(_xlfn.XLOOKUP(1,$H806:$BE806,$H$4:$BE$4),12*Assumptions!$H$204+12)=AW$4,0,IF(AV806=1,PMT(Assumptions!$H$202,Assumptions!$H$204,$C808),AV819))),0)</f>
        <v>0</v>
      </c>
      <c r="AX819" s="39">
        <f>+IFERROR(-ABS(IF(EDATE(_xlfn.XLOOKUP(1,$H806:$BE806,$H$4:$BE$4),12*Assumptions!$H$204+12)=AX$4,0,IF(AW806=1,PMT(Assumptions!$H$202,Assumptions!$H$204,$C808),AW819))),0)</f>
        <v>0</v>
      </c>
      <c r="AY819" s="39">
        <f>+IFERROR(-ABS(IF(EDATE(_xlfn.XLOOKUP(1,$H806:$BE806,$H$4:$BE$4),12*Assumptions!$H$204+12)=AY$4,0,IF(AX806=1,PMT(Assumptions!$H$202,Assumptions!$H$204,$C808),AX819))),0)</f>
        <v>0</v>
      </c>
      <c r="AZ819" s="39">
        <f>+IFERROR(-ABS(IF(EDATE(_xlfn.XLOOKUP(1,$H806:$BE806,$H$4:$BE$4),12*Assumptions!$H$204+12)=AZ$4,0,IF(AY806=1,PMT(Assumptions!$H$202,Assumptions!$H$204,$C808),AY819))),0)</f>
        <v>0</v>
      </c>
      <c r="BA819" s="39">
        <f>+IFERROR(-ABS(IF(EDATE(_xlfn.XLOOKUP(1,$H806:$BE806,$H$4:$BE$4),12*Assumptions!$H$204+12)=BA$4,0,IF(AZ806=1,PMT(Assumptions!$H$202,Assumptions!$H$204,$C808),AZ819))),0)</f>
        <v>0</v>
      </c>
      <c r="BB819" s="39">
        <f>+IFERROR(-ABS(IF(EDATE(_xlfn.XLOOKUP(1,$H806:$BE806,$H$4:$BE$4),12*Assumptions!$H$204+12)=BB$4,0,IF(BA806=1,PMT(Assumptions!$H$202,Assumptions!$H$204,$C808),BA819))),0)</f>
        <v>0</v>
      </c>
      <c r="BC819" s="39">
        <f>+IFERROR(-ABS(IF(EDATE(_xlfn.XLOOKUP(1,$H806:$BE806,$H$4:$BE$4),12*Assumptions!$H$204+12)=BC$4,0,IF(BB806=1,PMT(Assumptions!$H$202,Assumptions!$H$204,$C808),BB819))),0)</f>
        <v>0</v>
      </c>
      <c r="BD819" s="39">
        <f>+IFERROR(-ABS(IF(EDATE(_xlfn.XLOOKUP(1,$H806:$BE806,$H$4:$BE$4),12*Assumptions!$H$204+12)=BD$4,0,IF(BC806=1,PMT(Assumptions!$H$202,Assumptions!$H$204,$C808),BC819))),0)</f>
        <v>0</v>
      </c>
      <c r="BE819" s="39">
        <f>+IFERROR(-ABS(IF(EDATE(_xlfn.XLOOKUP(1,$H806:$BE806,$H$4:$BE$4),12*Assumptions!$H$204+12)=BE$4,0,IF(BD806=1,PMT(Assumptions!$H$202,Assumptions!$H$204,$C808),BD819))),0)</f>
        <v>0</v>
      </c>
      <c r="BF819" s="39">
        <f>+IFERROR(-ABS(IF(EDATE(_xlfn.XLOOKUP(1,$H806:$BE806,$H$4:$BE$4),12*Assumptions!$H$204+12)=BF$4,0,IF(BE806=1,PMT(Assumptions!$H$202,Assumptions!$H$204,$C808),BE819))),0)</f>
        <v>0</v>
      </c>
      <c r="BG819" s="39">
        <f>+IFERROR(-ABS(IF(EDATE(_xlfn.XLOOKUP(1,$H806:$BE806,$H$4:$BE$4),12*Assumptions!$H$204+12)=BG$4,0,IF(BF806=1,PMT(Assumptions!$H$202,Assumptions!$H$204,$C808),BF819))),0)</f>
        <v>0</v>
      </c>
      <c r="BH819" s="39">
        <f>+IFERROR(-ABS(IF(EDATE(_xlfn.XLOOKUP(1,$H806:$BE806,$H$4:$BE$4),12*Assumptions!$H$204+12)=BH$4,0,IF(BG806=1,PMT(Assumptions!$H$202,Assumptions!$H$204,$C808),BG819))),0)</f>
        <v>0</v>
      </c>
      <c r="BI819" s="39">
        <f>+IFERROR(-ABS(IF(EDATE(_xlfn.XLOOKUP(1,$H806:$BE806,$H$4:$BE$4),12*Assumptions!$H$204+12)=BI$4,0,IF(BH806=1,PMT(Assumptions!$H$202,Assumptions!$H$204,$C808),BH819))),0)</f>
        <v>0</v>
      </c>
      <c r="BJ819" s="39">
        <f>+IFERROR(-ABS(IF(EDATE(_xlfn.XLOOKUP(1,$H806:$BE806,$H$4:$BE$4),12*Assumptions!$H$204+12)=BJ$4,0,IF(BI806=1,PMT(Assumptions!$H$202,Assumptions!$H$204,$C808),BI819))),0)</f>
        <v>0</v>
      </c>
      <c r="BK819" s="39">
        <f>+IFERROR(-ABS(IF(EDATE(_xlfn.XLOOKUP(1,$H806:$BE806,$H$4:$BE$4),12*Assumptions!$H$204+12)=BK$4,0,IF(BJ806=1,PMT(Assumptions!$H$202,Assumptions!$H$204,$C808),BJ819))),0)</f>
        <v>0</v>
      </c>
      <c r="BL819" s="39">
        <f>+IFERROR(-ABS(IF(EDATE(_xlfn.XLOOKUP(1,$H806:$BE806,$H$4:$BE$4),12*Assumptions!$H$204+12)=BL$4,0,IF(BK806=1,PMT(Assumptions!$H$202,Assumptions!$H$204,$C808),BK819))),0)</f>
        <v>0</v>
      </c>
      <c r="BM819" s="39">
        <f>+IFERROR(-ABS(IF(EDATE(_xlfn.XLOOKUP(1,$H806:$BE806,$H$4:$BE$4),12*Assumptions!$H$204+12)=BM$4,0,IF(BL806=1,PMT(Assumptions!$H$202,Assumptions!$H$204,$C808),BL819))),0)</f>
        <v>0</v>
      </c>
      <c r="BN819" s="39">
        <f>+IFERROR(-ABS(IF(EDATE(_xlfn.XLOOKUP(1,$H806:$BE806,$H$4:$BE$4),12*Assumptions!$H$204+12)=BN$4,0,IF(BM806=1,PMT(Assumptions!$H$202,Assumptions!$H$204,$C808),BM819))),0)</f>
        <v>0</v>
      </c>
      <c r="BO819" s="39">
        <f>+IFERROR(-ABS(IF(EDATE(_xlfn.XLOOKUP(1,$H806:$BE806,$H$4:$BE$4),12*Assumptions!$H$204+12)=BO$4,0,IF(BN806=1,PMT(Assumptions!$H$202,Assumptions!$H$204,$C808),BN819))),0)</f>
        <v>0</v>
      </c>
      <c r="BP819" s="39">
        <f>+IFERROR(-ABS(IF(EDATE(_xlfn.XLOOKUP(1,$H806:$BE806,$H$4:$BE$4),12*Assumptions!$H$204+12)=BP$4,0,IF(BO806=1,PMT(Assumptions!$H$202,Assumptions!$H$204,$C808),BO819))),0)</f>
        <v>0</v>
      </c>
      <c r="BQ819" s="39">
        <f>+IFERROR(-ABS(IF(EDATE(_xlfn.XLOOKUP(1,$H806:$BE806,$H$4:$BE$4),12*Assumptions!$H$204+12)=BQ$4,0,IF(BP806=1,PMT(Assumptions!$H$202,Assumptions!$H$204,$C808),BP819))),0)</f>
        <v>0</v>
      </c>
      <c r="BR819" s="39">
        <f>+IFERROR(-ABS(IF(EDATE(_xlfn.XLOOKUP(1,$H806:$BE806,$H$4:$BE$4),12*Assumptions!$H$204+12)=BR$4,0,IF(BQ806=1,PMT(Assumptions!$H$202,Assumptions!$H$204,$C808),BQ819))),0)</f>
        <v>0</v>
      </c>
      <c r="BS819" s="39">
        <f>+IFERROR(-ABS(IF(EDATE(_xlfn.XLOOKUP(1,$H806:$BE806,$H$4:$BE$4),12*Assumptions!$H$204+12)=BS$4,0,IF(BR806=1,PMT(Assumptions!$H$202,Assumptions!$H$204,$C808),BR819))),0)</f>
        <v>0</v>
      </c>
      <c r="BT819" s="39">
        <f>+IFERROR(-ABS(IF(EDATE(_xlfn.XLOOKUP(1,$H806:$BE806,$H$4:$BE$4),12*Assumptions!$H$204+12)=BT$4,0,IF(BS806=1,PMT(Assumptions!$H$202,Assumptions!$H$204,$C808),BS819))),0)</f>
        <v>0</v>
      </c>
      <c r="BU819" s="39">
        <f>+IFERROR(-ABS(IF(EDATE(_xlfn.XLOOKUP(1,$H806:$BE806,$H$4:$BE$4),12*Assumptions!$H$204+12)=BU$4,0,IF(BT806=1,PMT(Assumptions!$H$202,Assumptions!$H$204,$C808),BT819))),0)</f>
        <v>0</v>
      </c>
      <c r="BV819" s="39">
        <f>+IFERROR(-ABS(IF(EDATE(_xlfn.XLOOKUP(1,$H806:$BE806,$H$4:$BE$4),12*Assumptions!$H$204+12)=BV$4,0,IF(BU806=1,PMT(Assumptions!$H$202,Assumptions!$H$204,$C808),BU819))),0)</f>
        <v>0</v>
      </c>
      <c r="BW819" s="39">
        <f>+IFERROR(-ABS(IF(EDATE(_xlfn.XLOOKUP(1,$H806:$BE806,$H$4:$BE$4),12*Assumptions!$H$204+12)=BW$4,0,IF(BV806=1,PMT(Assumptions!$H$202,Assumptions!$H$204,$C808),BV819))),0)</f>
        <v>0</v>
      </c>
      <c r="BX819" s="39">
        <f>+IFERROR(-ABS(IF(EDATE(_xlfn.XLOOKUP(1,$H806:$BE806,$H$4:$BE$4),12*Assumptions!$H$204+12)=BX$4,0,IF(BW806=1,PMT(Assumptions!$H$202,Assumptions!$H$204,$C808),BW819))),0)</f>
        <v>0</v>
      </c>
      <c r="BY819" s="39">
        <f>+IFERROR(-ABS(IF(EDATE(_xlfn.XLOOKUP(1,$H806:$BE806,$H$4:$BE$4),12*Assumptions!$H$204+12)=BY$4,0,IF(BX806=1,PMT(Assumptions!$H$202,Assumptions!$H$204,$C808),BX819))),0)</f>
        <v>0</v>
      </c>
    </row>
    <row r="820" spans="2:77" outlineLevel="1">
      <c r="E820" s="24" t="s">
        <v>521</v>
      </c>
      <c r="F820" s="80" t="str">
        <f>+Assumptions!$G$8</f>
        <v>USD</v>
      </c>
      <c r="G820" s="24"/>
      <c r="H820" s="39">
        <f>+IFERROR(-ABS(IF(EDATE(_xlfn.XLOOKUP(1,$H807:$BE807,$H$4:$BE$4),12*Assumptions!$H$204+12)=H$4,0,IF(G807=1,PMT(Assumptions!$H$202,Assumptions!$H$204,$C809),G820))),0)</f>
        <v>0</v>
      </c>
      <c r="I820" s="39">
        <f>+IFERROR(-ABS(IF(EDATE(_xlfn.XLOOKUP(1,$H807:$BE807,$H$4:$BE$4),12*Assumptions!$H$204+12)=I$4,0,IF(H807=1,PMT(Assumptions!$H$202,Assumptions!$H$204,$C809),H820))),0)</f>
        <v>0</v>
      </c>
      <c r="J820" s="39">
        <f>+IFERROR(-ABS(IF(EDATE(_xlfn.XLOOKUP(1,$H807:$BE807,$H$4:$BE$4),12*Assumptions!$H$204+12)=J$4,0,IF(I807=1,PMT(Assumptions!$H$202,Assumptions!$H$204,$C809),I820))),0)</f>
        <v>0</v>
      </c>
      <c r="K820" s="39">
        <f>+IFERROR(-ABS(IF(EDATE(_xlfn.XLOOKUP(1,$H807:$BE807,$H$4:$BE$4),12*Assumptions!$H$204+12)=K$4,0,IF(J807=1,PMT(Assumptions!$H$202,Assumptions!$H$204,$C809),J820))),0)</f>
        <v>0</v>
      </c>
      <c r="L820" s="39">
        <f>+IFERROR(-ABS(IF(EDATE(_xlfn.XLOOKUP(1,$H807:$BE807,$H$4:$BE$4),12*Assumptions!$H$204+12)=L$4,0,IF(K807=1,PMT(Assumptions!$H$202,Assumptions!$H$204,$C809),K820))),0)</f>
        <v>0</v>
      </c>
      <c r="M820" s="39">
        <f>+IFERROR(-ABS(IF(EDATE(_xlfn.XLOOKUP(1,$H807:$BE807,$H$4:$BE$4),12*Assumptions!$H$204+12)=M$4,0,IF(L807=1,PMT(Assumptions!$H$202,Assumptions!$H$204,$C809),L820))),0)</f>
        <v>0</v>
      </c>
      <c r="N820" s="39">
        <f>+IFERROR(-ABS(IF(EDATE(_xlfn.XLOOKUP(1,$H807:$BE807,$H$4:$BE$4),12*Assumptions!$H$204+12)=N$4,0,IF(M807=1,PMT(Assumptions!$H$202,Assumptions!$H$204,$C809),M820))),0)</f>
        <v>0</v>
      </c>
      <c r="O820" s="39">
        <f>+IFERROR(-ABS(IF(EDATE(_xlfn.XLOOKUP(1,$H807:$BE807,$H$4:$BE$4),12*Assumptions!$H$204+12)=O$4,0,IF(N807=1,PMT(Assumptions!$H$202,Assumptions!$H$204,$C809),N820))),0)</f>
        <v>0</v>
      </c>
      <c r="P820" s="39">
        <f>+IFERROR(-ABS(IF(EDATE(_xlfn.XLOOKUP(1,$H807:$BE807,$H$4:$BE$4),12*Assumptions!$H$204+12)=P$4,0,IF(O807=1,PMT(Assumptions!$H$202,Assumptions!$H$204,$C809),O820))),0)</f>
        <v>0</v>
      </c>
      <c r="Q820" s="39">
        <f>+IFERROR(-ABS(IF(EDATE(_xlfn.XLOOKUP(1,$H807:$BE807,$H$4:$BE$4),12*Assumptions!$H$204+12)=Q$4,0,IF(P807=1,PMT(Assumptions!$H$202,Assumptions!$H$204,$C809),P820))),0)</f>
        <v>0</v>
      </c>
      <c r="R820" s="39">
        <f>+IFERROR(-ABS(IF(EDATE(_xlfn.XLOOKUP(1,$H807:$BE807,$H$4:$BE$4),12*Assumptions!$H$204+12)=R$4,0,IF(Q807=1,PMT(Assumptions!$H$202,Assumptions!$H$204,$C809),Q820))),0)</f>
        <v>0</v>
      </c>
      <c r="S820" s="39">
        <f>+IFERROR(-ABS(IF(EDATE(_xlfn.XLOOKUP(1,$H807:$BE807,$H$4:$BE$4),12*Assumptions!$H$204+12)=S$4,0,IF(R807=1,PMT(Assumptions!$H$202,Assumptions!$H$204,$C809),R820))),0)</f>
        <v>0</v>
      </c>
      <c r="T820" s="39">
        <f>+IFERROR(-ABS(IF(EDATE(_xlfn.XLOOKUP(1,$H807:$BE807,$H$4:$BE$4),12*Assumptions!$H$204+12)=T$4,0,IF(S807=1,PMT(Assumptions!$H$202,Assumptions!$H$204,$C809),S820))),0)</f>
        <v>0</v>
      </c>
      <c r="U820" s="39">
        <f>+IFERROR(-ABS(IF(EDATE(_xlfn.XLOOKUP(1,$H807:$BE807,$H$4:$BE$4),12*Assumptions!$H$204+12)=U$4,0,IF(T807=1,PMT(Assumptions!$H$202,Assumptions!$H$204,$C809),T820))),0)</f>
        <v>0</v>
      </c>
      <c r="V820" s="39">
        <f>+IFERROR(-ABS(IF(EDATE(_xlfn.XLOOKUP(1,$H807:$BE807,$H$4:$BE$4),12*Assumptions!$H$204+12)=V$4,0,IF(U807=1,PMT(Assumptions!$H$202,Assumptions!$H$204,$C809),U820))),0)</f>
        <v>0</v>
      </c>
      <c r="W820" s="39">
        <f>+IFERROR(-ABS(IF(EDATE(_xlfn.XLOOKUP(1,$H807:$BE807,$H$4:$BE$4),12*Assumptions!$H$204+12)=W$4,0,IF(V807=1,PMT(Assumptions!$H$202,Assumptions!$H$204,$C809),V820))),0)</f>
        <v>0</v>
      </c>
      <c r="X820" s="39">
        <f>+IFERROR(-ABS(IF(EDATE(_xlfn.XLOOKUP(1,$H807:$BE807,$H$4:$BE$4),12*Assumptions!$H$204+12)=X$4,0,IF(W807=1,PMT(Assumptions!$H$202,Assumptions!$H$204,$C809),W820))),0)</f>
        <v>0</v>
      </c>
      <c r="Y820" s="39">
        <f>+IFERROR(-ABS(IF(EDATE(_xlfn.XLOOKUP(1,$H807:$BE807,$H$4:$BE$4),12*Assumptions!$H$204+12)=Y$4,0,IF(X807=1,PMT(Assumptions!$H$202,Assumptions!$H$204,$C809),X820))),0)</f>
        <v>0</v>
      </c>
      <c r="Z820" s="39">
        <f>+IFERROR(-ABS(IF(EDATE(_xlfn.XLOOKUP(1,$H807:$BE807,$H$4:$BE$4),12*Assumptions!$H$204+12)=Z$4,0,IF(Y807=1,PMT(Assumptions!$H$202,Assumptions!$H$204,$C809),Y820))),0)</f>
        <v>0</v>
      </c>
      <c r="AA820" s="39">
        <f>+IFERROR(-ABS(IF(EDATE(_xlfn.XLOOKUP(1,$H807:$BE807,$H$4:$BE$4),12*Assumptions!$H$204+12)=AA$4,0,IF(Z807=1,PMT(Assumptions!$H$202,Assumptions!$H$204,$C809),Z820))),0)</f>
        <v>0</v>
      </c>
      <c r="AB820" s="39">
        <f>+IFERROR(-ABS(IF(EDATE(_xlfn.XLOOKUP(1,$H807:$BE807,$H$4:$BE$4),12*Assumptions!$H$204+12)=AB$4,0,IF(AA807=1,PMT(Assumptions!$H$202,Assumptions!$H$204,$C809),AA820))),0)</f>
        <v>0</v>
      </c>
      <c r="AC820" s="39">
        <f>+IFERROR(-ABS(IF(EDATE(_xlfn.XLOOKUP(1,$H807:$BE807,$H$4:$BE$4),12*Assumptions!$H$204+12)=AC$4,0,IF(AB807=1,PMT(Assumptions!$H$202,Assumptions!$H$204,$C809),AB820))),0)</f>
        <v>0</v>
      </c>
      <c r="AD820" s="39">
        <f>+IFERROR(-ABS(IF(EDATE(_xlfn.XLOOKUP(1,$H807:$BE807,$H$4:$BE$4),12*Assumptions!$H$204+12)=AD$4,0,IF(AC807=1,PMT(Assumptions!$H$202,Assumptions!$H$204,$C809),AC820))),0)</f>
        <v>0</v>
      </c>
      <c r="AE820" s="39">
        <f>+IFERROR(-ABS(IF(EDATE(_xlfn.XLOOKUP(1,$H807:$BE807,$H$4:$BE$4),12*Assumptions!$H$204+12)=AE$4,0,IF(AD807=1,PMT(Assumptions!$H$202,Assumptions!$H$204,$C809),AD820))),0)</f>
        <v>0</v>
      </c>
      <c r="AF820" s="39">
        <f>+IFERROR(-ABS(IF(EDATE(_xlfn.XLOOKUP(1,$H807:$BE807,$H$4:$BE$4),12*Assumptions!$H$204+12)=AF$4,0,IF(AE807=1,PMT(Assumptions!$H$202,Assumptions!$H$204,$C809),AE820))),0)</f>
        <v>0</v>
      </c>
      <c r="AG820" s="39">
        <f>+IFERROR(-ABS(IF(EDATE(_xlfn.XLOOKUP(1,$H807:$BE807,$H$4:$BE$4),12*Assumptions!$H$204+12)=AG$4,0,IF(AF807=1,PMT(Assumptions!$H$202,Assumptions!$H$204,$C809),AF820))),0)</f>
        <v>0</v>
      </c>
      <c r="AH820" s="39">
        <f>+IFERROR(-ABS(IF(EDATE(_xlfn.XLOOKUP(1,$H807:$BE807,$H$4:$BE$4),12*Assumptions!$H$204+12)=AH$4,0,IF(AG807=1,PMT(Assumptions!$H$202,Assumptions!$H$204,$C809),AG820))),0)</f>
        <v>0</v>
      </c>
      <c r="AI820" s="39">
        <f>+IFERROR(-ABS(IF(EDATE(_xlfn.XLOOKUP(1,$H807:$BE807,$H$4:$BE$4),12*Assumptions!$H$204+12)=AI$4,0,IF(AH807=1,PMT(Assumptions!$H$202,Assumptions!$H$204,$C809),AH820))),0)</f>
        <v>0</v>
      </c>
      <c r="AJ820" s="39">
        <f>+IFERROR(-ABS(IF(EDATE(_xlfn.XLOOKUP(1,$H807:$BE807,$H$4:$BE$4),12*Assumptions!$H$204+12)=AJ$4,0,IF(AI807=1,PMT(Assumptions!$H$202,Assumptions!$H$204,$C809),AI820))),0)</f>
        <v>0</v>
      </c>
      <c r="AK820" s="39">
        <f>+IFERROR(-ABS(IF(EDATE(_xlfn.XLOOKUP(1,$H807:$BE807,$H$4:$BE$4),12*Assumptions!$H$204+12)=AK$4,0,IF(AJ807=1,PMT(Assumptions!$H$202,Assumptions!$H$204,$C809),AJ820))),0)</f>
        <v>0</v>
      </c>
      <c r="AL820" s="39">
        <f>+IFERROR(-ABS(IF(EDATE(_xlfn.XLOOKUP(1,$H807:$BE807,$H$4:$BE$4),12*Assumptions!$H$204+12)=AL$4,0,IF(AK807=1,PMT(Assumptions!$H$202,Assumptions!$H$204,$C809),AK820))),0)</f>
        <v>0</v>
      </c>
      <c r="AM820" s="39">
        <f>+IFERROR(-ABS(IF(EDATE(_xlfn.XLOOKUP(1,$H807:$BE807,$H$4:$BE$4),12*Assumptions!$H$204+12)=AM$4,0,IF(AL807=1,PMT(Assumptions!$H$202,Assumptions!$H$204,$C809),AL820))),0)</f>
        <v>0</v>
      </c>
      <c r="AN820" s="39">
        <f>+IFERROR(-ABS(IF(EDATE(_xlfn.XLOOKUP(1,$H807:$BE807,$H$4:$BE$4),12*Assumptions!$H$204+12)=AN$4,0,IF(AM807=1,PMT(Assumptions!$H$202,Assumptions!$H$204,$C809),AM820))),0)</f>
        <v>0</v>
      </c>
      <c r="AO820" s="39">
        <f>+IFERROR(-ABS(IF(EDATE(_xlfn.XLOOKUP(1,$H807:$BE807,$H$4:$BE$4),12*Assumptions!$H$204+12)=AO$4,0,IF(AN807=1,PMT(Assumptions!$H$202,Assumptions!$H$204,$C809),AN820))),0)</f>
        <v>0</v>
      </c>
      <c r="AP820" s="39">
        <f>+IFERROR(-ABS(IF(EDATE(_xlfn.XLOOKUP(1,$H807:$BE807,$H$4:$BE$4),12*Assumptions!$H$204+12)=AP$4,0,IF(AO807=1,PMT(Assumptions!$H$202,Assumptions!$H$204,$C809),AO820))),0)</f>
        <v>0</v>
      </c>
      <c r="AQ820" s="39">
        <f>+IFERROR(-ABS(IF(EDATE(_xlfn.XLOOKUP(1,$H807:$BE807,$H$4:$BE$4),12*Assumptions!$H$204+12)=AQ$4,0,IF(AP807=1,PMT(Assumptions!$H$202,Assumptions!$H$204,$C809),AP820))),0)</f>
        <v>0</v>
      </c>
      <c r="AR820" s="39">
        <f>+IFERROR(-ABS(IF(EDATE(_xlfn.XLOOKUP(1,$H807:$BE807,$H$4:$BE$4),12*Assumptions!$H$204+12)=AR$4,0,IF(AQ807=1,PMT(Assumptions!$H$202,Assumptions!$H$204,$C809),AQ820))),0)</f>
        <v>0</v>
      </c>
      <c r="AS820" s="39">
        <f>+IFERROR(-ABS(IF(EDATE(_xlfn.XLOOKUP(1,$H807:$BE807,$H$4:$BE$4),12*Assumptions!$H$204+12)=AS$4,0,IF(AR807=1,PMT(Assumptions!$H$202,Assumptions!$H$204,$C809),AR820))),0)</f>
        <v>0</v>
      </c>
      <c r="AT820" s="39">
        <f>+IFERROR(-ABS(IF(EDATE(_xlfn.XLOOKUP(1,$H807:$BE807,$H$4:$BE$4),12*Assumptions!$H$204+12)=AT$4,0,IF(AS807=1,PMT(Assumptions!$H$202,Assumptions!$H$204,$C809),AS820))),0)</f>
        <v>0</v>
      </c>
      <c r="AU820" s="39">
        <f>+IFERROR(-ABS(IF(EDATE(_xlfn.XLOOKUP(1,$H807:$BE807,$H$4:$BE$4),12*Assumptions!$H$204+12)=AU$4,0,IF(AT807=1,PMT(Assumptions!$H$202,Assumptions!$H$204,$C809),AT820))),0)</f>
        <v>0</v>
      </c>
      <c r="AV820" s="39">
        <f>+IFERROR(-ABS(IF(EDATE(_xlfn.XLOOKUP(1,$H807:$BE807,$H$4:$BE$4),12*Assumptions!$H$204+12)=AV$4,0,IF(AU807=1,PMT(Assumptions!$H$202,Assumptions!$H$204,$C809),AU820))),0)</f>
        <v>0</v>
      </c>
      <c r="AW820" s="39">
        <f>+IFERROR(-ABS(IF(EDATE(_xlfn.XLOOKUP(1,$H807:$BE807,$H$4:$BE$4),12*Assumptions!$H$204+12)=AW$4,0,IF(AV807=1,PMT(Assumptions!$H$202,Assumptions!$H$204,$C809),AV820))),0)</f>
        <v>0</v>
      </c>
      <c r="AX820" s="39">
        <f>+IFERROR(-ABS(IF(EDATE(_xlfn.XLOOKUP(1,$H807:$BE807,$H$4:$BE$4),12*Assumptions!$H$204+12)=AX$4,0,IF(AW807=1,PMT(Assumptions!$H$202,Assumptions!$H$204,$C809),AW820))),0)</f>
        <v>0</v>
      </c>
      <c r="AY820" s="39">
        <f>+IFERROR(-ABS(IF(EDATE(_xlfn.XLOOKUP(1,$H807:$BE807,$H$4:$BE$4),12*Assumptions!$H$204+12)=AY$4,0,IF(AX807=1,PMT(Assumptions!$H$202,Assumptions!$H$204,$C809),AX820))),0)</f>
        <v>0</v>
      </c>
      <c r="AZ820" s="39">
        <f>+IFERROR(-ABS(IF(EDATE(_xlfn.XLOOKUP(1,$H807:$BE807,$H$4:$BE$4),12*Assumptions!$H$204+12)=AZ$4,0,IF(AY807=1,PMT(Assumptions!$H$202,Assumptions!$H$204,$C809),AY820))),0)</f>
        <v>0</v>
      </c>
      <c r="BA820" s="39">
        <f>+IFERROR(-ABS(IF(EDATE(_xlfn.XLOOKUP(1,$H807:$BE807,$H$4:$BE$4),12*Assumptions!$H$204+12)=BA$4,0,IF(AZ807=1,PMT(Assumptions!$H$202,Assumptions!$H$204,$C809),AZ820))),0)</f>
        <v>0</v>
      </c>
      <c r="BB820" s="39">
        <f>+IFERROR(-ABS(IF(EDATE(_xlfn.XLOOKUP(1,$H807:$BE807,$H$4:$BE$4),12*Assumptions!$H$204+12)=BB$4,0,IF(BA807=1,PMT(Assumptions!$H$202,Assumptions!$H$204,$C809),BA820))),0)</f>
        <v>0</v>
      </c>
      <c r="BC820" s="39">
        <f>+IFERROR(-ABS(IF(EDATE(_xlfn.XLOOKUP(1,$H807:$BE807,$H$4:$BE$4),12*Assumptions!$H$204+12)=BC$4,0,IF(BB807=1,PMT(Assumptions!$H$202,Assumptions!$H$204,$C809),BB820))),0)</f>
        <v>0</v>
      </c>
      <c r="BD820" s="39">
        <f>+IFERROR(-ABS(IF(EDATE(_xlfn.XLOOKUP(1,$H807:$BE807,$H$4:$BE$4),12*Assumptions!$H$204+12)=BD$4,0,IF(BC807=1,PMT(Assumptions!$H$202,Assumptions!$H$204,$C809),BC820))),0)</f>
        <v>0</v>
      </c>
      <c r="BE820" s="39">
        <f>+IFERROR(-ABS(IF(EDATE(_xlfn.XLOOKUP(1,$H807:$BE807,$H$4:$BE$4),12*Assumptions!$H$204+12)=BE$4,0,IF(BD807=1,PMT(Assumptions!$H$202,Assumptions!$H$204,$C809),BD820))),0)</f>
        <v>0</v>
      </c>
      <c r="BF820" s="39">
        <f>+IFERROR(-ABS(IF(EDATE(_xlfn.XLOOKUP(1,$H807:$BE807,$H$4:$BE$4),12*Assumptions!$H$204+12)=BF$4,0,IF(BE807=1,PMT(Assumptions!$H$202,Assumptions!$H$204,$C809),BE820))),0)</f>
        <v>0</v>
      </c>
      <c r="BG820" s="39">
        <f>+IFERROR(-ABS(IF(EDATE(_xlfn.XLOOKUP(1,$H807:$BE807,$H$4:$BE$4),12*Assumptions!$H$204+12)=BG$4,0,IF(BF807=1,PMT(Assumptions!$H$202,Assumptions!$H$204,$C809),BF820))),0)</f>
        <v>0</v>
      </c>
      <c r="BH820" s="39">
        <f>+IFERROR(-ABS(IF(EDATE(_xlfn.XLOOKUP(1,$H807:$BE807,$H$4:$BE$4),12*Assumptions!$H$204+12)=BH$4,0,IF(BG807=1,PMT(Assumptions!$H$202,Assumptions!$H$204,$C809),BG820))),0)</f>
        <v>0</v>
      </c>
      <c r="BI820" s="39">
        <f>+IFERROR(-ABS(IF(EDATE(_xlfn.XLOOKUP(1,$H807:$BE807,$H$4:$BE$4),12*Assumptions!$H$204+12)=BI$4,0,IF(BH807=1,PMT(Assumptions!$H$202,Assumptions!$H$204,$C809),BH820))),0)</f>
        <v>0</v>
      </c>
      <c r="BJ820" s="39">
        <f>+IFERROR(-ABS(IF(EDATE(_xlfn.XLOOKUP(1,$H807:$BE807,$H$4:$BE$4),12*Assumptions!$H$204+12)=BJ$4,0,IF(BI807=1,PMT(Assumptions!$H$202,Assumptions!$H$204,$C809),BI820))),0)</f>
        <v>0</v>
      </c>
      <c r="BK820" s="39">
        <f>+IFERROR(-ABS(IF(EDATE(_xlfn.XLOOKUP(1,$H807:$BE807,$H$4:$BE$4),12*Assumptions!$H$204+12)=BK$4,0,IF(BJ807=1,PMT(Assumptions!$H$202,Assumptions!$H$204,$C809),BJ820))),0)</f>
        <v>0</v>
      </c>
      <c r="BL820" s="39">
        <f>+IFERROR(-ABS(IF(EDATE(_xlfn.XLOOKUP(1,$H807:$BE807,$H$4:$BE$4),12*Assumptions!$H$204+12)=BL$4,0,IF(BK807=1,PMT(Assumptions!$H$202,Assumptions!$H$204,$C809),BK820))),0)</f>
        <v>0</v>
      </c>
      <c r="BM820" s="39">
        <f>+IFERROR(-ABS(IF(EDATE(_xlfn.XLOOKUP(1,$H807:$BE807,$H$4:$BE$4),12*Assumptions!$H$204+12)=BM$4,0,IF(BL807=1,PMT(Assumptions!$H$202,Assumptions!$H$204,$C809),BL820))),0)</f>
        <v>0</v>
      </c>
      <c r="BN820" s="39">
        <f>+IFERROR(-ABS(IF(EDATE(_xlfn.XLOOKUP(1,$H807:$BE807,$H$4:$BE$4),12*Assumptions!$H$204+12)=BN$4,0,IF(BM807=1,PMT(Assumptions!$H$202,Assumptions!$H$204,$C809),BM820))),0)</f>
        <v>0</v>
      </c>
      <c r="BO820" s="39">
        <f>+IFERROR(-ABS(IF(EDATE(_xlfn.XLOOKUP(1,$H807:$BE807,$H$4:$BE$4),12*Assumptions!$H$204+12)=BO$4,0,IF(BN807=1,PMT(Assumptions!$H$202,Assumptions!$H$204,$C809),BN820))),0)</f>
        <v>0</v>
      </c>
      <c r="BP820" s="39">
        <f>+IFERROR(-ABS(IF(EDATE(_xlfn.XLOOKUP(1,$H807:$BE807,$H$4:$BE$4),12*Assumptions!$H$204+12)=BP$4,0,IF(BO807=1,PMT(Assumptions!$H$202,Assumptions!$H$204,$C809),BO820))),0)</f>
        <v>0</v>
      </c>
      <c r="BQ820" s="39">
        <f>+IFERROR(-ABS(IF(EDATE(_xlfn.XLOOKUP(1,$H807:$BE807,$H$4:$BE$4),12*Assumptions!$H$204+12)=BQ$4,0,IF(BP807=1,PMT(Assumptions!$H$202,Assumptions!$H$204,$C809),BP820))),0)</f>
        <v>0</v>
      </c>
      <c r="BR820" s="39">
        <f>+IFERROR(-ABS(IF(EDATE(_xlfn.XLOOKUP(1,$H807:$BE807,$H$4:$BE$4),12*Assumptions!$H$204+12)=BR$4,0,IF(BQ807=1,PMT(Assumptions!$H$202,Assumptions!$H$204,$C809),BQ820))),0)</f>
        <v>0</v>
      </c>
      <c r="BS820" s="39">
        <f>+IFERROR(-ABS(IF(EDATE(_xlfn.XLOOKUP(1,$H807:$BE807,$H$4:$BE$4),12*Assumptions!$H$204+12)=BS$4,0,IF(BR807=1,PMT(Assumptions!$H$202,Assumptions!$H$204,$C809),BR820))),0)</f>
        <v>0</v>
      </c>
      <c r="BT820" s="39">
        <f>+IFERROR(-ABS(IF(EDATE(_xlfn.XLOOKUP(1,$H807:$BE807,$H$4:$BE$4),12*Assumptions!$H$204+12)=BT$4,0,IF(BS807=1,PMT(Assumptions!$H$202,Assumptions!$H$204,$C809),BS820))),0)</f>
        <v>0</v>
      </c>
      <c r="BU820" s="39">
        <f>+IFERROR(-ABS(IF(EDATE(_xlfn.XLOOKUP(1,$H807:$BE807,$H$4:$BE$4),12*Assumptions!$H$204+12)=BU$4,0,IF(BT807=1,PMT(Assumptions!$H$202,Assumptions!$H$204,$C809),BT820))),0)</f>
        <v>0</v>
      </c>
      <c r="BV820" s="39">
        <f>+IFERROR(-ABS(IF(EDATE(_xlfn.XLOOKUP(1,$H807:$BE807,$H$4:$BE$4),12*Assumptions!$H$204+12)=BV$4,0,IF(BU807=1,PMT(Assumptions!$H$202,Assumptions!$H$204,$C809),BU820))),0)</f>
        <v>0</v>
      </c>
      <c r="BW820" s="39">
        <f>+IFERROR(-ABS(IF(EDATE(_xlfn.XLOOKUP(1,$H807:$BE807,$H$4:$BE$4),12*Assumptions!$H$204+12)=BW$4,0,IF(BV807=1,PMT(Assumptions!$H$202,Assumptions!$H$204,$C809),BV820))),0)</f>
        <v>0</v>
      </c>
      <c r="BX820" s="39">
        <f>+IFERROR(-ABS(IF(EDATE(_xlfn.XLOOKUP(1,$H807:$BE807,$H$4:$BE$4),12*Assumptions!$H$204+12)=BX$4,0,IF(BW807=1,PMT(Assumptions!$H$202,Assumptions!$H$204,$C809),BW820))),0)</f>
        <v>0</v>
      </c>
      <c r="BY820" s="39">
        <f>+IFERROR(-ABS(IF(EDATE(_xlfn.XLOOKUP(1,$H807:$BE807,$H$4:$BE$4),12*Assumptions!$H$204+12)=BY$4,0,IF(BX807=1,PMT(Assumptions!$H$202,Assumptions!$H$204,$C809),BX820))),0)</f>
        <v>0</v>
      </c>
    </row>
    <row r="821" spans="2:77" outlineLevel="1">
      <c r="E821" s="24" t="s">
        <v>522</v>
      </c>
      <c r="F821" s="80" t="str">
        <f>+Assumptions!$G$8</f>
        <v>USD</v>
      </c>
      <c r="G821" s="24"/>
      <c r="H821" s="39">
        <f>+IFERROR(-ABS(IF(EDATE(_xlfn.XLOOKUP(1,$H808:$BE808,$H$4:$BE$4),12*Assumptions!$H$204+12)=H$4,0,IF(G808=1,PMT(Assumptions!$H$202,Assumptions!$H$204,$C810),G821))),0)</f>
        <v>0</v>
      </c>
      <c r="I821" s="39">
        <f>+IFERROR(-ABS(IF(EDATE(_xlfn.XLOOKUP(1,$H808:$BE808,$H$4:$BE$4),12*Assumptions!$H$204+12)=I$4,0,IF(H808=1,PMT(Assumptions!$H$202,Assumptions!$H$204,$C810),H821))),0)</f>
        <v>0</v>
      </c>
      <c r="J821" s="39">
        <f>+IFERROR(-ABS(IF(EDATE(_xlfn.XLOOKUP(1,$H808:$BE808,$H$4:$BE$4),12*Assumptions!$H$204+12)=J$4,0,IF(I808=1,PMT(Assumptions!$H$202,Assumptions!$H$204,$C810),I821))),0)</f>
        <v>0</v>
      </c>
      <c r="K821" s="39">
        <f>+IFERROR(-ABS(IF(EDATE(_xlfn.XLOOKUP(1,$H808:$BE808,$H$4:$BE$4),12*Assumptions!$H$204+12)=K$4,0,IF(J808=1,PMT(Assumptions!$H$202,Assumptions!$H$204,$C810),J821))),0)</f>
        <v>0</v>
      </c>
      <c r="L821" s="39">
        <f>+IFERROR(-ABS(IF(EDATE(_xlfn.XLOOKUP(1,$H808:$BE808,$H$4:$BE$4),12*Assumptions!$H$204+12)=L$4,0,IF(K808=1,PMT(Assumptions!$H$202,Assumptions!$H$204,$C810),K821))),0)</f>
        <v>0</v>
      </c>
      <c r="M821" s="39">
        <f>+IFERROR(-ABS(IF(EDATE(_xlfn.XLOOKUP(1,$H808:$BE808,$H$4:$BE$4),12*Assumptions!$H$204+12)=M$4,0,IF(L808=1,PMT(Assumptions!$H$202,Assumptions!$H$204,$C810),L821))),0)</f>
        <v>0</v>
      </c>
      <c r="N821" s="39">
        <f>+IFERROR(-ABS(IF(EDATE(_xlfn.XLOOKUP(1,$H808:$BE808,$H$4:$BE$4),12*Assumptions!$H$204+12)=N$4,0,IF(M808=1,PMT(Assumptions!$H$202,Assumptions!$H$204,$C810),M821))),0)</f>
        <v>0</v>
      </c>
      <c r="O821" s="39">
        <f>+IFERROR(-ABS(IF(EDATE(_xlfn.XLOOKUP(1,$H808:$BE808,$H$4:$BE$4),12*Assumptions!$H$204+12)=O$4,0,IF(N808=1,PMT(Assumptions!$H$202,Assumptions!$H$204,$C810),N821))),0)</f>
        <v>0</v>
      </c>
      <c r="P821" s="39">
        <f>+IFERROR(-ABS(IF(EDATE(_xlfn.XLOOKUP(1,$H808:$BE808,$H$4:$BE$4),12*Assumptions!$H$204+12)=P$4,0,IF(O808=1,PMT(Assumptions!$H$202,Assumptions!$H$204,$C810),O821))),0)</f>
        <v>0</v>
      </c>
      <c r="Q821" s="39">
        <f>+IFERROR(-ABS(IF(EDATE(_xlfn.XLOOKUP(1,$H808:$BE808,$H$4:$BE$4),12*Assumptions!$H$204+12)=Q$4,0,IF(P808=1,PMT(Assumptions!$H$202,Assumptions!$H$204,$C810),P821))),0)</f>
        <v>0</v>
      </c>
      <c r="R821" s="39">
        <f>+IFERROR(-ABS(IF(EDATE(_xlfn.XLOOKUP(1,$H808:$BE808,$H$4:$BE$4),12*Assumptions!$H$204+12)=R$4,0,IF(Q808=1,PMT(Assumptions!$H$202,Assumptions!$H$204,$C810),Q821))),0)</f>
        <v>0</v>
      </c>
      <c r="S821" s="39">
        <f>+IFERROR(-ABS(IF(EDATE(_xlfn.XLOOKUP(1,$H808:$BE808,$H$4:$BE$4),12*Assumptions!$H$204+12)=S$4,0,IF(R808=1,PMT(Assumptions!$H$202,Assumptions!$H$204,$C810),R821))),0)</f>
        <v>0</v>
      </c>
      <c r="T821" s="39">
        <f>+IFERROR(-ABS(IF(EDATE(_xlfn.XLOOKUP(1,$H808:$BE808,$H$4:$BE$4),12*Assumptions!$H$204+12)=T$4,0,IF(S808=1,PMT(Assumptions!$H$202,Assumptions!$H$204,$C810),S821))),0)</f>
        <v>0</v>
      </c>
      <c r="U821" s="39">
        <f>+IFERROR(-ABS(IF(EDATE(_xlfn.XLOOKUP(1,$H808:$BE808,$H$4:$BE$4),12*Assumptions!$H$204+12)=U$4,0,IF(T808=1,PMT(Assumptions!$H$202,Assumptions!$H$204,$C810),T821))),0)</f>
        <v>0</v>
      </c>
      <c r="V821" s="39">
        <f>+IFERROR(-ABS(IF(EDATE(_xlfn.XLOOKUP(1,$H808:$BE808,$H$4:$BE$4),12*Assumptions!$H$204+12)=V$4,0,IF(U808=1,PMT(Assumptions!$H$202,Assumptions!$H$204,$C810),U821))),0)</f>
        <v>0</v>
      </c>
      <c r="W821" s="39">
        <f>+IFERROR(-ABS(IF(EDATE(_xlfn.XLOOKUP(1,$H808:$BE808,$H$4:$BE$4),12*Assumptions!$H$204+12)=W$4,0,IF(V808=1,PMT(Assumptions!$H$202,Assumptions!$H$204,$C810),V821))),0)</f>
        <v>0</v>
      </c>
      <c r="X821" s="39">
        <f>+IFERROR(-ABS(IF(EDATE(_xlfn.XLOOKUP(1,$H808:$BE808,$H$4:$BE$4),12*Assumptions!$H$204+12)=X$4,0,IF(W808=1,PMT(Assumptions!$H$202,Assumptions!$H$204,$C810),W821))),0)</f>
        <v>0</v>
      </c>
      <c r="Y821" s="39">
        <f>+IFERROR(-ABS(IF(EDATE(_xlfn.XLOOKUP(1,$H808:$BE808,$H$4:$BE$4),12*Assumptions!$H$204+12)=Y$4,0,IF(X808=1,PMT(Assumptions!$H$202,Assumptions!$H$204,$C810),X821))),0)</f>
        <v>0</v>
      </c>
      <c r="Z821" s="39">
        <f>+IFERROR(-ABS(IF(EDATE(_xlfn.XLOOKUP(1,$H808:$BE808,$H$4:$BE$4),12*Assumptions!$H$204+12)=Z$4,0,IF(Y808=1,PMT(Assumptions!$H$202,Assumptions!$H$204,$C810),Y821))),0)</f>
        <v>0</v>
      </c>
      <c r="AA821" s="39">
        <f>+IFERROR(-ABS(IF(EDATE(_xlfn.XLOOKUP(1,$H808:$BE808,$H$4:$BE$4),12*Assumptions!$H$204+12)=AA$4,0,IF(Z808=1,PMT(Assumptions!$H$202,Assumptions!$H$204,$C810),Z821))),0)</f>
        <v>0</v>
      </c>
      <c r="AB821" s="39">
        <f>+IFERROR(-ABS(IF(EDATE(_xlfn.XLOOKUP(1,$H808:$BE808,$H$4:$BE$4),12*Assumptions!$H$204+12)=AB$4,0,IF(AA808=1,PMT(Assumptions!$H$202,Assumptions!$H$204,$C810),AA821))),0)</f>
        <v>0</v>
      </c>
      <c r="AC821" s="39">
        <f>+IFERROR(-ABS(IF(EDATE(_xlfn.XLOOKUP(1,$H808:$BE808,$H$4:$BE$4),12*Assumptions!$H$204+12)=AC$4,0,IF(AB808=1,PMT(Assumptions!$H$202,Assumptions!$H$204,$C810),AB821))),0)</f>
        <v>0</v>
      </c>
      <c r="AD821" s="39">
        <f>+IFERROR(-ABS(IF(EDATE(_xlfn.XLOOKUP(1,$H808:$BE808,$H$4:$BE$4),12*Assumptions!$H$204+12)=AD$4,0,IF(AC808=1,PMT(Assumptions!$H$202,Assumptions!$H$204,$C810),AC821))),0)</f>
        <v>0</v>
      </c>
      <c r="AE821" s="39">
        <f>+IFERROR(-ABS(IF(EDATE(_xlfn.XLOOKUP(1,$H808:$BE808,$H$4:$BE$4),12*Assumptions!$H$204+12)=AE$4,0,IF(AD808=1,PMT(Assumptions!$H$202,Assumptions!$H$204,$C810),AD821))),0)</f>
        <v>0</v>
      </c>
      <c r="AF821" s="39">
        <f>+IFERROR(-ABS(IF(EDATE(_xlfn.XLOOKUP(1,$H808:$BE808,$H$4:$BE$4),12*Assumptions!$H$204+12)=AF$4,0,IF(AE808=1,PMT(Assumptions!$H$202,Assumptions!$H$204,$C810),AE821))),0)</f>
        <v>0</v>
      </c>
      <c r="AG821" s="39">
        <f>+IFERROR(-ABS(IF(EDATE(_xlfn.XLOOKUP(1,$H808:$BE808,$H$4:$BE$4),12*Assumptions!$H$204+12)=AG$4,0,IF(AF808=1,PMT(Assumptions!$H$202,Assumptions!$H$204,$C810),AF821))),0)</f>
        <v>0</v>
      </c>
      <c r="AH821" s="39">
        <f>+IFERROR(-ABS(IF(EDATE(_xlfn.XLOOKUP(1,$H808:$BE808,$H$4:$BE$4),12*Assumptions!$H$204+12)=AH$4,0,IF(AG808=1,PMT(Assumptions!$H$202,Assumptions!$H$204,$C810),AG821))),0)</f>
        <v>0</v>
      </c>
      <c r="AI821" s="39">
        <f>+IFERROR(-ABS(IF(EDATE(_xlfn.XLOOKUP(1,$H808:$BE808,$H$4:$BE$4),12*Assumptions!$H$204+12)=AI$4,0,IF(AH808=1,PMT(Assumptions!$H$202,Assumptions!$H$204,$C810),AH821))),0)</f>
        <v>0</v>
      </c>
      <c r="AJ821" s="39">
        <f>+IFERROR(-ABS(IF(EDATE(_xlfn.XLOOKUP(1,$H808:$BE808,$H$4:$BE$4),12*Assumptions!$H$204+12)=AJ$4,0,IF(AI808=1,PMT(Assumptions!$H$202,Assumptions!$H$204,$C810),AI821))),0)</f>
        <v>0</v>
      </c>
      <c r="AK821" s="39">
        <f>+IFERROR(-ABS(IF(EDATE(_xlfn.XLOOKUP(1,$H808:$BE808,$H$4:$BE$4),12*Assumptions!$H$204+12)=AK$4,0,IF(AJ808=1,PMT(Assumptions!$H$202,Assumptions!$H$204,$C810),AJ821))),0)</f>
        <v>0</v>
      </c>
      <c r="AL821" s="39">
        <f>+IFERROR(-ABS(IF(EDATE(_xlfn.XLOOKUP(1,$H808:$BE808,$H$4:$BE$4),12*Assumptions!$H$204+12)=AL$4,0,IF(AK808=1,PMT(Assumptions!$H$202,Assumptions!$H$204,$C810),AK821))),0)</f>
        <v>0</v>
      </c>
      <c r="AM821" s="39">
        <f>+IFERROR(-ABS(IF(EDATE(_xlfn.XLOOKUP(1,$H808:$BE808,$H$4:$BE$4),12*Assumptions!$H$204+12)=AM$4,0,IF(AL808=1,PMT(Assumptions!$H$202,Assumptions!$H$204,$C810),AL821))),0)</f>
        <v>0</v>
      </c>
      <c r="AN821" s="39">
        <f>+IFERROR(-ABS(IF(EDATE(_xlfn.XLOOKUP(1,$H808:$BE808,$H$4:$BE$4),12*Assumptions!$H$204+12)=AN$4,0,IF(AM808=1,PMT(Assumptions!$H$202,Assumptions!$H$204,$C810),AM821))),0)</f>
        <v>0</v>
      </c>
      <c r="AO821" s="39">
        <f>+IFERROR(-ABS(IF(EDATE(_xlfn.XLOOKUP(1,$H808:$BE808,$H$4:$BE$4),12*Assumptions!$H$204+12)=AO$4,0,IF(AN808=1,PMT(Assumptions!$H$202,Assumptions!$H$204,$C810),AN821))),0)</f>
        <v>0</v>
      </c>
      <c r="AP821" s="39">
        <f>+IFERROR(-ABS(IF(EDATE(_xlfn.XLOOKUP(1,$H808:$BE808,$H$4:$BE$4),12*Assumptions!$H$204+12)=AP$4,0,IF(AO808=1,PMT(Assumptions!$H$202,Assumptions!$H$204,$C810),AO821))),0)</f>
        <v>0</v>
      </c>
      <c r="AQ821" s="39">
        <f>+IFERROR(-ABS(IF(EDATE(_xlfn.XLOOKUP(1,$H808:$BE808,$H$4:$BE$4),12*Assumptions!$H$204+12)=AQ$4,0,IF(AP808=1,PMT(Assumptions!$H$202,Assumptions!$H$204,$C810),AP821))),0)</f>
        <v>0</v>
      </c>
      <c r="AR821" s="39">
        <f>+IFERROR(-ABS(IF(EDATE(_xlfn.XLOOKUP(1,$H808:$BE808,$H$4:$BE$4),12*Assumptions!$H$204+12)=AR$4,0,IF(AQ808=1,PMT(Assumptions!$H$202,Assumptions!$H$204,$C810),AQ821))),0)</f>
        <v>0</v>
      </c>
      <c r="AS821" s="39">
        <f>+IFERROR(-ABS(IF(EDATE(_xlfn.XLOOKUP(1,$H808:$BE808,$H$4:$BE$4),12*Assumptions!$H$204+12)=AS$4,0,IF(AR808=1,PMT(Assumptions!$H$202,Assumptions!$H$204,$C810),AR821))),0)</f>
        <v>0</v>
      </c>
      <c r="AT821" s="39">
        <f>+IFERROR(-ABS(IF(EDATE(_xlfn.XLOOKUP(1,$H808:$BE808,$H$4:$BE$4),12*Assumptions!$H$204+12)=AT$4,0,IF(AS808=1,PMT(Assumptions!$H$202,Assumptions!$H$204,$C810),AS821))),0)</f>
        <v>0</v>
      </c>
      <c r="AU821" s="39">
        <f>+IFERROR(-ABS(IF(EDATE(_xlfn.XLOOKUP(1,$H808:$BE808,$H$4:$BE$4),12*Assumptions!$H$204+12)=AU$4,0,IF(AT808=1,PMT(Assumptions!$H$202,Assumptions!$H$204,$C810),AT821))),0)</f>
        <v>0</v>
      </c>
      <c r="AV821" s="39">
        <f>+IFERROR(-ABS(IF(EDATE(_xlfn.XLOOKUP(1,$H808:$BE808,$H$4:$BE$4),12*Assumptions!$H$204+12)=AV$4,0,IF(AU808=1,PMT(Assumptions!$H$202,Assumptions!$H$204,$C810),AU821))),0)</f>
        <v>0</v>
      </c>
      <c r="AW821" s="39">
        <f>+IFERROR(-ABS(IF(EDATE(_xlfn.XLOOKUP(1,$H808:$BE808,$H$4:$BE$4),12*Assumptions!$H$204+12)=AW$4,0,IF(AV808=1,PMT(Assumptions!$H$202,Assumptions!$H$204,$C810),AV821))),0)</f>
        <v>0</v>
      </c>
      <c r="AX821" s="39">
        <f>+IFERROR(-ABS(IF(EDATE(_xlfn.XLOOKUP(1,$H808:$BE808,$H$4:$BE$4),12*Assumptions!$H$204+12)=AX$4,0,IF(AW808=1,PMT(Assumptions!$H$202,Assumptions!$H$204,$C810),AW821))),0)</f>
        <v>0</v>
      </c>
      <c r="AY821" s="39">
        <f>+IFERROR(-ABS(IF(EDATE(_xlfn.XLOOKUP(1,$H808:$BE808,$H$4:$BE$4),12*Assumptions!$H$204+12)=AY$4,0,IF(AX808=1,PMT(Assumptions!$H$202,Assumptions!$H$204,$C810),AX821))),0)</f>
        <v>0</v>
      </c>
      <c r="AZ821" s="39">
        <f>+IFERROR(-ABS(IF(EDATE(_xlfn.XLOOKUP(1,$H808:$BE808,$H$4:$BE$4),12*Assumptions!$H$204+12)=AZ$4,0,IF(AY808=1,PMT(Assumptions!$H$202,Assumptions!$H$204,$C810),AY821))),0)</f>
        <v>0</v>
      </c>
      <c r="BA821" s="39">
        <f>+IFERROR(-ABS(IF(EDATE(_xlfn.XLOOKUP(1,$H808:$BE808,$H$4:$BE$4),12*Assumptions!$H$204+12)=BA$4,0,IF(AZ808=1,PMT(Assumptions!$H$202,Assumptions!$H$204,$C810),AZ821))),0)</f>
        <v>0</v>
      </c>
      <c r="BB821" s="39">
        <f>+IFERROR(-ABS(IF(EDATE(_xlfn.XLOOKUP(1,$H808:$BE808,$H$4:$BE$4),12*Assumptions!$H$204+12)=BB$4,0,IF(BA808=1,PMT(Assumptions!$H$202,Assumptions!$H$204,$C810),BA821))),0)</f>
        <v>0</v>
      </c>
      <c r="BC821" s="39">
        <f>+IFERROR(-ABS(IF(EDATE(_xlfn.XLOOKUP(1,$H808:$BE808,$H$4:$BE$4),12*Assumptions!$H$204+12)=BC$4,0,IF(BB808=1,PMT(Assumptions!$H$202,Assumptions!$H$204,$C810),BB821))),0)</f>
        <v>0</v>
      </c>
      <c r="BD821" s="39">
        <f>+IFERROR(-ABS(IF(EDATE(_xlfn.XLOOKUP(1,$H808:$BE808,$H$4:$BE$4),12*Assumptions!$H$204+12)=BD$4,0,IF(BC808=1,PMT(Assumptions!$H$202,Assumptions!$H$204,$C810),BC821))),0)</f>
        <v>0</v>
      </c>
      <c r="BE821" s="39">
        <f>+IFERROR(-ABS(IF(EDATE(_xlfn.XLOOKUP(1,$H808:$BE808,$H$4:$BE$4),12*Assumptions!$H$204+12)=BE$4,0,IF(BD808=1,PMT(Assumptions!$H$202,Assumptions!$H$204,$C810),BD821))),0)</f>
        <v>0</v>
      </c>
      <c r="BF821" s="39">
        <f>+IFERROR(-ABS(IF(EDATE(_xlfn.XLOOKUP(1,$H808:$BE808,$H$4:$BE$4),12*Assumptions!$H$204+12)=BF$4,0,IF(BE808=1,PMT(Assumptions!$H$202,Assumptions!$H$204,$C810),BE821))),0)</f>
        <v>0</v>
      </c>
      <c r="BG821" s="39">
        <f>+IFERROR(-ABS(IF(EDATE(_xlfn.XLOOKUP(1,$H808:$BE808,$H$4:$BE$4),12*Assumptions!$H$204+12)=BG$4,0,IF(BF808=1,PMT(Assumptions!$H$202,Assumptions!$H$204,$C810),BF821))),0)</f>
        <v>0</v>
      </c>
      <c r="BH821" s="39">
        <f>+IFERROR(-ABS(IF(EDATE(_xlfn.XLOOKUP(1,$H808:$BE808,$H$4:$BE$4),12*Assumptions!$H$204+12)=BH$4,0,IF(BG808=1,PMT(Assumptions!$H$202,Assumptions!$H$204,$C810),BG821))),0)</f>
        <v>0</v>
      </c>
      <c r="BI821" s="39">
        <f>+IFERROR(-ABS(IF(EDATE(_xlfn.XLOOKUP(1,$H808:$BE808,$H$4:$BE$4),12*Assumptions!$H$204+12)=BI$4,0,IF(BH808=1,PMT(Assumptions!$H$202,Assumptions!$H$204,$C810),BH821))),0)</f>
        <v>0</v>
      </c>
      <c r="BJ821" s="39">
        <f>+IFERROR(-ABS(IF(EDATE(_xlfn.XLOOKUP(1,$H808:$BE808,$H$4:$BE$4),12*Assumptions!$H$204+12)=BJ$4,0,IF(BI808=1,PMT(Assumptions!$H$202,Assumptions!$H$204,$C810),BI821))),0)</f>
        <v>0</v>
      </c>
      <c r="BK821" s="39">
        <f>+IFERROR(-ABS(IF(EDATE(_xlfn.XLOOKUP(1,$H808:$BE808,$H$4:$BE$4),12*Assumptions!$H$204+12)=BK$4,0,IF(BJ808=1,PMT(Assumptions!$H$202,Assumptions!$H$204,$C810),BJ821))),0)</f>
        <v>0</v>
      </c>
      <c r="BL821" s="39">
        <f>+IFERROR(-ABS(IF(EDATE(_xlfn.XLOOKUP(1,$H808:$BE808,$H$4:$BE$4),12*Assumptions!$H$204+12)=BL$4,0,IF(BK808=1,PMT(Assumptions!$H$202,Assumptions!$H$204,$C810),BK821))),0)</f>
        <v>0</v>
      </c>
      <c r="BM821" s="39">
        <f>+IFERROR(-ABS(IF(EDATE(_xlfn.XLOOKUP(1,$H808:$BE808,$H$4:$BE$4),12*Assumptions!$H$204+12)=BM$4,0,IF(BL808=1,PMT(Assumptions!$H$202,Assumptions!$H$204,$C810),BL821))),0)</f>
        <v>0</v>
      </c>
      <c r="BN821" s="39">
        <f>+IFERROR(-ABS(IF(EDATE(_xlfn.XLOOKUP(1,$H808:$BE808,$H$4:$BE$4),12*Assumptions!$H$204+12)=BN$4,0,IF(BM808=1,PMT(Assumptions!$H$202,Assumptions!$H$204,$C810),BM821))),0)</f>
        <v>0</v>
      </c>
      <c r="BO821" s="39">
        <f>+IFERROR(-ABS(IF(EDATE(_xlfn.XLOOKUP(1,$H808:$BE808,$H$4:$BE$4),12*Assumptions!$H$204+12)=BO$4,0,IF(BN808=1,PMT(Assumptions!$H$202,Assumptions!$H$204,$C810),BN821))),0)</f>
        <v>0</v>
      </c>
      <c r="BP821" s="39">
        <f>+IFERROR(-ABS(IF(EDATE(_xlfn.XLOOKUP(1,$H808:$BE808,$H$4:$BE$4),12*Assumptions!$H$204+12)=BP$4,0,IF(BO808=1,PMT(Assumptions!$H$202,Assumptions!$H$204,$C810),BO821))),0)</f>
        <v>0</v>
      </c>
      <c r="BQ821" s="39">
        <f>+IFERROR(-ABS(IF(EDATE(_xlfn.XLOOKUP(1,$H808:$BE808,$H$4:$BE$4),12*Assumptions!$H$204+12)=BQ$4,0,IF(BP808=1,PMT(Assumptions!$H$202,Assumptions!$H$204,$C810),BP821))),0)</f>
        <v>0</v>
      </c>
      <c r="BR821" s="39">
        <f>+IFERROR(-ABS(IF(EDATE(_xlfn.XLOOKUP(1,$H808:$BE808,$H$4:$BE$4),12*Assumptions!$H$204+12)=BR$4,0,IF(BQ808=1,PMT(Assumptions!$H$202,Assumptions!$H$204,$C810),BQ821))),0)</f>
        <v>0</v>
      </c>
      <c r="BS821" s="39">
        <f>+IFERROR(-ABS(IF(EDATE(_xlfn.XLOOKUP(1,$H808:$BE808,$H$4:$BE$4),12*Assumptions!$H$204+12)=BS$4,0,IF(BR808=1,PMT(Assumptions!$H$202,Assumptions!$H$204,$C810),BR821))),0)</f>
        <v>0</v>
      </c>
      <c r="BT821" s="39">
        <f>+IFERROR(-ABS(IF(EDATE(_xlfn.XLOOKUP(1,$H808:$BE808,$H$4:$BE$4),12*Assumptions!$H$204+12)=BT$4,0,IF(BS808=1,PMT(Assumptions!$H$202,Assumptions!$H$204,$C810),BS821))),0)</f>
        <v>0</v>
      </c>
      <c r="BU821" s="39">
        <f>+IFERROR(-ABS(IF(EDATE(_xlfn.XLOOKUP(1,$H808:$BE808,$H$4:$BE$4),12*Assumptions!$H$204+12)=BU$4,0,IF(BT808=1,PMT(Assumptions!$H$202,Assumptions!$H$204,$C810),BT821))),0)</f>
        <v>0</v>
      </c>
      <c r="BV821" s="39">
        <f>+IFERROR(-ABS(IF(EDATE(_xlfn.XLOOKUP(1,$H808:$BE808,$H$4:$BE$4),12*Assumptions!$H$204+12)=BV$4,0,IF(BU808=1,PMT(Assumptions!$H$202,Assumptions!$H$204,$C810),BU821))),0)</f>
        <v>0</v>
      </c>
      <c r="BW821" s="39">
        <f>+IFERROR(-ABS(IF(EDATE(_xlfn.XLOOKUP(1,$H808:$BE808,$H$4:$BE$4),12*Assumptions!$H$204+12)=BW$4,0,IF(BV808=1,PMT(Assumptions!$H$202,Assumptions!$H$204,$C810),BV821))),0)</f>
        <v>0</v>
      </c>
      <c r="BX821" s="39">
        <f>+IFERROR(-ABS(IF(EDATE(_xlfn.XLOOKUP(1,$H808:$BE808,$H$4:$BE$4),12*Assumptions!$H$204+12)=BX$4,0,IF(BW808=1,PMT(Assumptions!$H$202,Assumptions!$H$204,$C810),BW821))),0)</f>
        <v>0</v>
      </c>
      <c r="BY821" s="39">
        <f>+IFERROR(-ABS(IF(EDATE(_xlfn.XLOOKUP(1,$H808:$BE808,$H$4:$BE$4),12*Assumptions!$H$204+12)=BY$4,0,IF(BX808=1,PMT(Assumptions!$H$202,Assumptions!$H$204,$C810),BX821))),0)</f>
        <v>0</v>
      </c>
    </row>
    <row r="822" spans="2:77" outlineLevel="1">
      <c r="E822" s="24" t="s">
        <v>523</v>
      </c>
      <c r="F822" s="80" t="str">
        <f>+Assumptions!$G$8</f>
        <v>USD</v>
      </c>
      <c r="G822" s="24"/>
      <c r="H822" s="39">
        <f>+IFERROR(-ABS(IF(EDATE(_xlfn.XLOOKUP(1,$H809:$BE809,$H$4:$BE$4),12*Assumptions!$H$204+12)=H$4,0,IF(G809=1,PMT(Assumptions!$H$202,Assumptions!$H$204,$C811),G822))),0)</f>
        <v>0</v>
      </c>
      <c r="I822" s="39">
        <f>+IFERROR(-ABS(IF(EDATE(_xlfn.XLOOKUP(1,$H809:$BE809,$H$4:$BE$4),12*Assumptions!$H$204+12)=I$4,0,IF(H809=1,PMT(Assumptions!$H$202,Assumptions!$H$204,$C811),H822))),0)</f>
        <v>0</v>
      </c>
      <c r="J822" s="39">
        <f>+IFERROR(-ABS(IF(EDATE(_xlfn.XLOOKUP(1,$H809:$BE809,$H$4:$BE$4),12*Assumptions!$H$204+12)=J$4,0,IF(I809=1,PMT(Assumptions!$H$202,Assumptions!$H$204,$C811),I822))),0)</f>
        <v>0</v>
      </c>
      <c r="K822" s="39">
        <f>+IFERROR(-ABS(IF(EDATE(_xlfn.XLOOKUP(1,$H809:$BE809,$H$4:$BE$4),12*Assumptions!$H$204+12)=K$4,0,IF(J809=1,PMT(Assumptions!$H$202,Assumptions!$H$204,$C811),J822))),0)</f>
        <v>0</v>
      </c>
      <c r="L822" s="39">
        <f>+IFERROR(-ABS(IF(EDATE(_xlfn.XLOOKUP(1,$H809:$BE809,$H$4:$BE$4),12*Assumptions!$H$204+12)=L$4,0,IF(K809=1,PMT(Assumptions!$H$202,Assumptions!$H$204,$C811),K822))),0)</f>
        <v>0</v>
      </c>
      <c r="M822" s="39">
        <f>+IFERROR(-ABS(IF(EDATE(_xlfn.XLOOKUP(1,$H809:$BE809,$H$4:$BE$4),12*Assumptions!$H$204+12)=M$4,0,IF(L809=1,PMT(Assumptions!$H$202,Assumptions!$H$204,$C811),L822))),0)</f>
        <v>0</v>
      </c>
      <c r="N822" s="39">
        <f>+IFERROR(-ABS(IF(EDATE(_xlfn.XLOOKUP(1,$H809:$BE809,$H$4:$BE$4),12*Assumptions!$H$204+12)=N$4,0,IF(M809=1,PMT(Assumptions!$H$202,Assumptions!$H$204,$C811),M822))),0)</f>
        <v>0</v>
      </c>
      <c r="O822" s="39">
        <f>+IFERROR(-ABS(IF(EDATE(_xlfn.XLOOKUP(1,$H809:$BE809,$H$4:$BE$4),12*Assumptions!$H$204+12)=O$4,0,IF(N809=1,PMT(Assumptions!$H$202,Assumptions!$H$204,$C811),N822))),0)</f>
        <v>0</v>
      </c>
      <c r="P822" s="39">
        <f>+IFERROR(-ABS(IF(EDATE(_xlfn.XLOOKUP(1,$H809:$BE809,$H$4:$BE$4),12*Assumptions!$H$204+12)=P$4,0,IF(O809=1,PMT(Assumptions!$H$202,Assumptions!$H$204,$C811),O822))),0)</f>
        <v>0</v>
      </c>
      <c r="Q822" s="39">
        <f>+IFERROR(-ABS(IF(EDATE(_xlfn.XLOOKUP(1,$H809:$BE809,$H$4:$BE$4),12*Assumptions!$H$204+12)=Q$4,0,IF(P809=1,PMT(Assumptions!$H$202,Assumptions!$H$204,$C811),P822))),0)</f>
        <v>0</v>
      </c>
      <c r="R822" s="39">
        <f>+IFERROR(-ABS(IF(EDATE(_xlfn.XLOOKUP(1,$H809:$BE809,$H$4:$BE$4),12*Assumptions!$H$204+12)=R$4,0,IF(Q809=1,PMT(Assumptions!$H$202,Assumptions!$H$204,$C811),Q822))),0)</f>
        <v>0</v>
      </c>
      <c r="S822" s="39">
        <f>+IFERROR(-ABS(IF(EDATE(_xlfn.XLOOKUP(1,$H809:$BE809,$H$4:$BE$4),12*Assumptions!$H$204+12)=S$4,0,IF(R809=1,PMT(Assumptions!$H$202,Assumptions!$H$204,$C811),R822))),0)</f>
        <v>0</v>
      </c>
      <c r="T822" s="39">
        <f>+IFERROR(-ABS(IF(EDATE(_xlfn.XLOOKUP(1,$H809:$BE809,$H$4:$BE$4),12*Assumptions!$H$204+12)=T$4,0,IF(S809=1,PMT(Assumptions!$H$202,Assumptions!$H$204,$C811),S822))),0)</f>
        <v>0</v>
      </c>
      <c r="U822" s="39">
        <f>+IFERROR(-ABS(IF(EDATE(_xlfn.XLOOKUP(1,$H809:$BE809,$H$4:$BE$4),12*Assumptions!$H$204+12)=U$4,0,IF(T809=1,PMT(Assumptions!$H$202,Assumptions!$H$204,$C811),T822))),0)</f>
        <v>0</v>
      </c>
      <c r="V822" s="39">
        <f>+IFERROR(-ABS(IF(EDATE(_xlfn.XLOOKUP(1,$H809:$BE809,$H$4:$BE$4),12*Assumptions!$H$204+12)=V$4,0,IF(U809=1,PMT(Assumptions!$H$202,Assumptions!$H$204,$C811),U822))),0)</f>
        <v>0</v>
      </c>
      <c r="W822" s="39">
        <f>+IFERROR(-ABS(IF(EDATE(_xlfn.XLOOKUP(1,$H809:$BE809,$H$4:$BE$4),12*Assumptions!$H$204+12)=W$4,0,IF(V809=1,PMT(Assumptions!$H$202,Assumptions!$H$204,$C811),V822))),0)</f>
        <v>0</v>
      </c>
      <c r="X822" s="39">
        <f>+IFERROR(-ABS(IF(EDATE(_xlfn.XLOOKUP(1,$H809:$BE809,$H$4:$BE$4),12*Assumptions!$H$204+12)=X$4,0,IF(W809=1,PMT(Assumptions!$H$202,Assumptions!$H$204,$C811),W822))),0)</f>
        <v>0</v>
      </c>
      <c r="Y822" s="39">
        <f>+IFERROR(-ABS(IF(EDATE(_xlfn.XLOOKUP(1,$H809:$BE809,$H$4:$BE$4),12*Assumptions!$H$204+12)=Y$4,0,IF(X809=1,PMT(Assumptions!$H$202,Assumptions!$H$204,$C811),X822))),0)</f>
        <v>0</v>
      </c>
      <c r="Z822" s="39">
        <f>+IFERROR(-ABS(IF(EDATE(_xlfn.XLOOKUP(1,$H809:$BE809,$H$4:$BE$4),12*Assumptions!$H$204+12)=Z$4,0,IF(Y809=1,PMT(Assumptions!$H$202,Assumptions!$H$204,$C811),Y822))),0)</f>
        <v>0</v>
      </c>
      <c r="AA822" s="39">
        <f>+IFERROR(-ABS(IF(EDATE(_xlfn.XLOOKUP(1,$H809:$BE809,$H$4:$BE$4),12*Assumptions!$H$204+12)=AA$4,0,IF(Z809=1,PMT(Assumptions!$H$202,Assumptions!$H$204,$C811),Z822))),0)</f>
        <v>0</v>
      </c>
      <c r="AB822" s="39">
        <f>+IFERROR(-ABS(IF(EDATE(_xlfn.XLOOKUP(1,$H809:$BE809,$H$4:$BE$4),12*Assumptions!$H$204+12)=AB$4,0,IF(AA809=1,PMT(Assumptions!$H$202,Assumptions!$H$204,$C811),AA822))),0)</f>
        <v>0</v>
      </c>
      <c r="AC822" s="39">
        <f>+IFERROR(-ABS(IF(EDATE(_xlfn.XLOOKUP(1,$H809:$BE809,$H$4:$BE$4),12*Assumptions!$H$204+12)=AC$4,0,IF(AB809=1,PMT(Assumptions!$H$202,Assumptions!$H$204,$C811),AB822))),0)</f>
        <v>0</v>
      </c>
      <c r="AD822" s="39">
        <f>+IFERROR(-ABS(IF(EDATE(_xlfn.XLOOKUP(1,$H809:$BE809,$H$4:$BE$4),12*Assumptions!$H$204+12)=AD$4,0,IF(AC809=1,PMT(Assumptions!$H$202,Assumptions!$H$204,$C811),AC822))),0)</f>
        <v>0</v>
      </c>
      <c r="AE822" s="39">
        <f>+IFERROR(-ABS(IF(EDATE(_xlfn.XLOOKUP(1,$H809:$BE809,$H$4:$BE$4),12*Assumptions!$H$204+12)=AE$4,0,IF(AD809=1,PMT(Assumptions!$H$202,Assumptions!$H$204,$C811),AD822))),0)</f>
        <v>0</v>
      </c>
      <c r="AF822" s="39">
        <f>+IFERROR(-ABS(IF(EDATE(_xlfn.XLOOKUP(1,$H809:$BE809,$H$4:$BE$4),12*Assumptions!$H$204+12)=AF$4,0,IF(AE809=1,PMT(Assumptions!$H$202,Assumptions!$H$204,$C811),AE822))),0)</f>
        <v>0</v>
      </c>
      <c r="AG822" s="39">
        <f>+IFERROR(-ABS(IF(EDATE(_xlfn.XLOOKUP(1,$H809:$BE809,$H$4:$BE$4),12*Assumptions!$H$204+12)=AG$4,0,IF(AF809=1,PMT(Assumptions!$H$202,Assumptions!$H$204,$C811),AF822))),0)</f>
        <v>0</v>
      </c>
      <c r="AH822" s="39">
        <f>+IFERROR(-ABS(IF(EDATE(_xlfn.XLOOKUP(1,$H809:$BE809,$H$4:$BE$4),12*Assumptions!$H$204+12)=AH$4,0,IF(AG809=1,PMT(Assumptions!$H$202,Assumptions!$H$204,$C811),AG822))),0)</f>
        <v>0</v>
      </c>
      <c r="AI822" s="39">
        <f>+IFERROR(-ABS(IF(EDATE(_xlfn.XLOOKUP(1,$H809:$BE809,$H$4:$BE$4),12*Assumptions!$H$204+12)=AI$4,0,IF(AH809=1,PMT(Assumptions!$H$202,Assumptions!$H$204,$C811),AH822))),0)</f>
        <v>0</v>
      </c>
      <c r="AJ822" s="39">
        <f>+IFERROR(-ABS(IF(EDATE(_xlfn.XLOOKUP(1,$H809:$BE809,$H$4:$BE$4),12*Assumptions!$H$204+12)=AJ$4,0,IF(AI809=1,PMT(Assumptions!$H$202,Assumptions!$H$204,$C811),AI822))),0)</f>
        <v>0</v>
      </c>
      <c r="AK822" s="39">
        <f>+IFERROR(-ABS(IF(EDATE(_xlfn.XLOOKUP(1,$H809:$BE809,$H$4:$BE$4),12*Assumptions!$H$204+12)=AK$4,0,IF(AJ809=1,PMT(Assumptions!$H$202,Assumptions!$H$204,$C811),AJ822))),0)</f>
        <v>0</v>
      </c>
      <c r="AL822" s="39">
        <f>+IFERROR(-ABS(IF(EDATE(_xlfn.XLOOKUP(1,$H809:$BE809,$H$4:$BE$4),12*Assumptions!$H$204+12)=AL$4,0,IF(AK809=1,PMT(Assumptions!$H$202,Assumptions!$H$204,$C811),AK822))),0)</f>
        <v>0</v>
      </c>
      <c r="AM822" s="39">
        <f>+IFERROR(-ABS(IF(EDATE(_xlfn.XLOOKUP(1,$H809:$BE809,$H$4:$BE$4),12*Assumptions!$H$204+12)=AM$4,0,IF(AL809=1,PMT(Assumptions!$H$202,Assumptions!$H$204,$C811),AL822))),0)</f>
        <v>0</v>
      </c>
      <c r="AN822" s="39">
        <f>+IFERROR(-ABS(IF(EDATE(_xlfn.XLOOKUP(1,$H809:$BE809,$H$4:$BE$4),12*Assumptions!$H$204+12)=AN$4,0,IF(AM809=1,PMT(Assumptions!$H$202,Assumptions!$H$204,$C811),AM822))),0)</f>
        <v>0</v>
      </c>
      <c r="AO822" s="39">
        <f>+IFERROR(-ABS(IF(EDATE(_xlfn.XLOOKUP(1,$H809:$BE809,$H$4:$BE$4),12*Assumptions!$H$204+12)=AO$4,0,IF(AN809=1,PMT(Assumptions!$H$202,Assumptions!$H$204,$C811),AN822))),0)</f>
        <v>0</v>
      </c>
      <c r="AP822" s="39">
        <f>+IFERROR(-ABS(IF(EDATE(_xlfn.XLOOKUP(1,$H809:$BE809,$H$4:$BE$4),12*Assumptions!$H$204+12)=AP$4,0,IF(AO809=1,PMT(Assumptions!$H$202,Assumptions!$H$204,$C811),AO822))),0)</f>
        <v>0</v>
      </c>
      <c r="AQ822" s="39">
        <f>+IFERROR(-ABS(IF(EDATE(_xlfn.XLOOKUP(1,$H809:$BE809,$H$4:$BE$4),12*Assumptions!$H$204+12)=AQ$4,0,IF(AP809=1,PMT(Assumptions!$H$202,Assumptions!$H$204,$C811),AP822))),0)</f>
        <v>0</v>
      </c>
      <c r="AR822" s="39">
        <f>+IFERROR(-ABS(IF(EDATE(_xlfn.XLOOKUP(1,$H809:$BE809,$H$4:$BE$4),12*Assumptions!$H$204+12)=AR$4,0,IF(AQ809=1,PMT(Assumptions!$H$202,Assumptions!$H$204,$C811),AQ822))),0)</f>
        <v>0</v>
      </c>
      <c r="AS822" s="39">
        <f>+IFERROR(-ABS(IF(EDATE(_xlfn.XLOOKUP(1,$H809:$BE809,$H$4:$BE$4),12*Assumptions!$H$204+12)=AS$4,0,IF(AR809=1,PMT(Assumptions!$H$202,Assumptions!$H$204,$C811),AR822))),0)</f>
        <v>0</v>
      </c>
      <c r="AT822" s="39">
        <f>+IFERROR(-ABS(IF(EDATE(_xlfn.XLOOKUP(1,$H809:$BE809,$H$4:$BE$4),12*Assumptions!$H$204+12)=AT$4,0,IF(AS809=1,PMT(Assumptions!$H$202,Assumptions!$H$204,$C811),AS822))),0)</f>
        <v>0</v>
      </c>
      <c r="AU822" s="39">
        <f>+IFERROR(-ABS(IF(EDATE(_xlfn.XLOOKUP(1,$H809:$BE809,$H$4:$BE$4),12*Assumptions!$H$204+12)=AU$4,0,IF(AT809=1,PMT(Assumptions!$H$202,Assumptions!$H$204,$C811),AT822))),0)</f>
        <v>0</v>
      </c>
      <c r="AV822" s="39">
        <f>+IFERROR(-ABS(IF(EDATE(_xlfn.XLOOKUP(1,$H809:$BE809,$H$4:$BE$4),12*Assumptions!$H$204+12)=AV$4,0,IF(AU809=1,PMT(Assumptions!$H$202,Assumptions!$H$204,$C811),AU822))),0)</f>
        <v>0</v>
      </c>
      <c r="AW822" s="39">
        <f>+IFERROR(-ABS(IF(EDATE(_xlfn.XLOOKUP(1,$H809:$BE809,$H$4:$BE$4),12*Assumptions!$H$204+12)=AW$4,0,IF(AV809=1,PMT(Assumptions!$H$202,Assumptions!$H$204,$C811),AV822))),0)</f>
        <v>0</v>
      </c>
      <c r="AX822" s="39">
        <f>+IFERROR(-ABS(IF(EDATE(_xlfn.XLOOKUP(1,$H809:$BE809,$H$4:$BE$4),12*Assumptions!$H$204+12)=AX$4,0,IF(AW809=1,PMT(Assumptions!$H$202,Assumptions!$H$204,$C811),AW822))),0)</f>
        <v>0</v>
      </c>
      <c r="AY822" s="39">
        <f>+IFERROR(-ABS(IF(EDATE(_xlfn.XLOOKUP(1,$H809:$BE809,$H$4:$BE$4),12*Assumptions!$H$204+12)=AY$4,0,IF(AX809=1,PMT(Assumptions!$H$202,Assumptions!$H$204,$C811),AX822))),0)</f>
        <v>0</v>
      </c>
      <c r="AZ822" s="39">
        <f>+IFERROR(-ABS(IF(EDATE(_xlfn.XLOOKUP(1,$H809:$BE809,$H$4:$BE$4),12*Assumptions!$H$204+12)=AZ$4,0,IF(AY809=1,PMT(Assumptions!$H$202,Assumptions!$H$204,$C811),AY822))),0)</f>
        <v>0</v>
      </c>
      <c r="BA822" s="39">
        <f>+IFERROR(-ABS(IF(EDATE(_xlfn.XLOOKUP(1,$H809:$BE809,$H$4:$BE$4),12*Assumptions!$H$204+12)=BA$4,0,IF(AZ809=1,PMT(Assumptions!$H$202,Assumptions!$H$204,$C811),AZ822))),0)</f>
        <v>0</v>
      </c>
      <c r="BB822" s="39">
        <f>+IFERROR(-ABS(IF(EDATE(_xlfn.XLOOKUP(1,$H809:$BE809,$H$4:$BE$4),12*Assumptions!$H$204+12)=BB$4,0,IF(BA809=1,PMT(Assumptions!$H$202,Assumptions!$H$204,$C811),BA822))),0)</f>
        <v>0</v>
      </c>
      <c r="BC822" s="39">
        <f>+IFERROR(-ABS(IF(EDATE(_xlfn.XLOOKUP(1,$H809:$BE809,$H$4:$BE$4),12*Assumptions!$H$204+12)=BC$4,0,IF(BB809=1,PMT(Assumptions!$H$202,Assumptions!$H$204,$C811),BB822))),0)</f>
        <v>0</v>
      </c>
      <c r="BD822" s="39">
        <f>+IFERROR(-ABS(IF(EDATE(_xlfn.XLOOKUP(1,$H809:$BE809,$H$4:$BE$4),12*Assumptions!$H$204+12)=BD$4,0,IF(BC809=1,PMT(Assumptions!$H$202,Assumptions!$H$204,$C811),BC822))),0)</f>
        <v>0</v>
      </c>
      <c r="BE822" s="39">
        <f>+IFERROR(-ABS(IF(EDATE(_xlfn.XLOOKUP(1,$H809:$BE809,$H$4:$BE$4),12*Assumptions!$H$204+12)=BE$4,0,IF(BD809=1,PMT(Assumptions!$H$202,Assumptions!$H$204,$C811),BD822))),0)</f>
        <v>0</v>
      </c>
      <c r="BF822" s="39">
        <f>+IFERROR(-ABS(IF(EDATE(_xlfn.XLOOKUP(1,$H809:$BE809,$H$4:$BE$4),12*Assumptions!$H$204+12)=BF$4,0,IF(BE809=1,PMT(Assumptions!$H$202,Assumptions!$H$204,$C811),BE822))),0)</f>
        <v>0</v>
      </c>
      <c r="BG822" s="39">
        <f>+IFERROR(-ABS(IF(EDATE(_xlfn.XLOOKUP(1,$H809:$BE809,$H$4:$BE$4),12*Assumptions!$H$204+12)=BG$4,0,IF(BF809=1,PMT(Assumptions!$H$202,Assumptions!$H$204,$C811),BF822))),0)</f>
        <v>0</v>
      </c>
      <c r="BH822" s="39">
        <f>+IFERROR(-ABS(IF(EDATE(_xlfn.XLOOKUP(1,$H809:$BE809,$H$4:$BE$4),12*Assumptions!$H$204+12)=BH$4,0,IF(BG809=1,PMT(Assumptions!$H$202,Assumptions!$H$204,$C811),BG822))),0)</f>
        <v>0</v>
      </c>
      <c r="BI822" s="39">
        <f>+IFERROR(-ABS(IF(EDATE(_xlfn.XLOOKUP(1,$H809:$BE809,$H$4:$BE$4),12*Assumptions!$H$204+12)=BI$4,0,IF(BH809=1,PMT(Assumptions!$H$202,Assumptions!$H$204,$C811),BH822))),0)</f>
        <v>0</v>
      </c>
      <c r="BJ822" s="39">
        <f>+IFERROR(-ABS(IF(EDATE(_xlfn.XLOOKUP(1,$H809:$BE809,$H$4:$BE$4),12*Assumptions!$H$204+12)=BJ$4,0,IF(BI809=1,PMT(Assumptions!$H$202,Assumptions!$H$204,$C811),BI822))),0)</f>
        <v>0</v>
      </c>
      <c r="BK822" s="39">
        <f>+IFERROR(-ABS(IF(EDATE(_xlfn.XLOOKUP(1,$H809:$BE809,$H$4:$BE$4),12*Assumptions!$H$204+12)=BK$4,0,IF(BJ809=1,PMT(Assumptions!$H$202,Assumptions!$H$204,$C811),BJ822))),0)</f>
        <v>0</v>
      </c>
      <c r="BL822" s="39">
        <f>+IFERROR(-ABS(IF(EDATE(_xlfn.XLOOKUP(1,$H809:$BE809,$H$4:$BE$4),12*Assumptions!$H$204+12)=BL$4,0,IF(BK809=1,PMT(Assumptions!$H$202,Assumptions!$H$204,$C811),BK822))),0)</f>
        <v>0</v>
      </c>
      <c r="BM822" s="39">
        <f>+IFERROR(-ABS(IF(EDATE(_xlfn.XLOOKUP(1,$H809:$BE809,$H$4:$BE$4),12*Assumptions!$H$204+12)=BM$4,0,IF(BL809=1,PMT(Assumptions!$H$202,Assumptions!$H$204,$C811),BL822))),0)</f>
        <v>0</v>
      </c>
      <c r="BN822" s="39">
        <f>+IFERROR(-ABS(IF(EDATE(_xlfn.XLOOKUP(1,$H809:$BE809,$H$4:$BE$4),12*Assumptions!$H$204+12)=BN$4,0,IF(BM809=1,PMT(Assumptions!$H$202,Assumptions!$H$204,$C811),BM822))),0)</f>
        <v>0</v>
      </c>
      <c r="BO822" s="39">
        <f>+IFERROR(-ABS(IF(EDATE(_xlfn.XLOOKUP(1,$H809:$BE809,$H$4:$BE$4),12*Assumptions!$H$204+12)=BO$4,0,IF(BN809=1,PMT(Assumptions!$H$202,Assumptions!$H$204,$C811),BN822))),0)</f>
        <v>0</v>
      </c>
      <c r="BP822" s="39">
        <f>+IFERROR(-ABS(IF(EDATE(_xlfn.XLOOKUP(1,$H809:$BE809,$H$4:$BE$4),12*Assumptions!$H$204+12)=BP$4,0,IF(BO809=1,PMT(Assumptions!$H$202,Assumptions!$H$204,$C811),BO822))),0)</f>
        <v>0</v>
      </c>
      <c r="BQ822" s="39">
        <f>+IFERROR(-ABS(IF(EDATE(_xlfn.XLOOKUP(1,$H809:$BE809,$H$4:$BE$4),12*Assumptions!$H$204+12)=BQ$4,0,IF(BP809=1,PMT(Assumptions!$H$202,Assumptions!$H$204,$C811),BP822))),0)</f>
        <v>0</v>
      </c>
      <c r="BR822" s="39">
        <f>+IFERROR(-ABS(IF(EDATE(_xlfn.XLOOKUP(1,$H809:$BE809,$H$4:$BE$4),12*Assumptions!$H$204+12)=BR$4,0,IF(BQ809=1,PMT(Assumptions!$H$202,Assumptions!$H$204,$C811),BQ822))),0)</f>
        <v>0</v>
      </c>
      <c r="BS822" s="39">
        <f>+IFERROR(-ABS(IF(EDATE(_xlfn.XLOOKUP(1,$H809:$BE809,$H$4:$BE$4),12*Assumptions!$H$204+12)=BS$4,0,IF(BR809=1,PMT(Assumptions!$H$202,Assumptions!$H$204,$C811),BR822))),0)</f>
        <v>0</v>
      </c>
      <c r="BT822" s="39">
        <f>+IFERROR(-ABS(IF(EDATE(_xlfn.XLOOKUP(1,$H809:$BE809,$H$4:$BE$4),12*Assumptions!$H$204+12)=BT$4,0,IF(BS809=1,PMT(Assumptions!$H$202,Assumptions!$H$204,$C811),BS822))),0)</f>
        <v>0</v>
      </c>
      <c r="BU822" s="39">
        <f>+IFERROR(-ABS(IF(EDATE(_xlfn.XLOOKUP(1,$H809:$BE809,$H$4:$BE$4),12*Assumptions!$H$204+12)=BU$4,0,IF(BT809=1,PMT(Assumptions!$H$202,Assumptions!$H$204,$C811),BT822))),0)</f>
        <v>0</v>
      </c>
      <c r="BV822" s="39">
        <f>+IFERROR(-ABS(IF(EDATE(_xlfn.XLOOKUP(1,$H809:$BE809,$H$4:$BE$4),12*Assumptions!$H$204+12)=BV$4,0,IF(BU809=1,PMT(Assumptions!$H$202,Assumptions!$H$204,$C811),BU822))),0)</f>
        <v>0</v>
      </c>
      <c r="BW822" s="39">
        <f>+IFERROR(-ABS(IF(EDATE(_xlfn.XLOOKUP(1,$H809:$BE809,$H$4:$BE$4),12*Assumptions!$H$204+12)=BW$4,0,IF(BV809=1,PMT(Assumptions!$H$202,Assumptions!$H$204,$C811),BV822))),0)</f>
        <v>0</v>
      </c>
      <c r="BX822" s="39">
        <f>+IFERROR(-ABS(IF(EDATE(_xlfn.XLOOKUP(1,$H809:$BE809,$H$4:$BE$4),12*Assumptions!$H$204+12)=BX$4,0,IF(BW809=1,PMT(Assumptions!$H$202,Assumptions!$H$204,$C811),BW822))),0)</f>
        <v>0</v>
      </c>
      <c r="BY822" s="39">
        <f>+IFERROR(-ABS(IF(EDATE(_xlfn.XLOOKUP(1,$H809:$BE809,$H$4:$BE$4),12*Assumptions!$H$204+12)=BY$4,0,IF(BX809=1,PMT(Assumptions!$H$202,Assumptions!$H$204,$C811),BX822))),0)</f>
        <v>0</v>
      </c>
    </row>
    <row r="823" spans="2:77" outlineLevel="1">
      <c r="E823" s="24"/>
      <c r="F823" s="23"/>
      <c r="G823" s="24"/>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39"/>
      <c r="BY823" s="39"/>
    </row>
    <row r="824" spans="2:77" outlineLevel="1">
      <c r="E824" t="s">
        <v>524</v>
      </c>
      <c r="F824" s="80" t="str">
        <f>+Assumptions!$G$8</f>
        <v>USD</v>
      </c>
      <c r="H824" s="32">
        <f>MIN(+H796-H812+H810,0)</f>
        <v>0</v>
      </c>
      <c r="I824" s="32">
        <f t="shared" ref="I824:BT824" si="1708">MIN(+I796-I812+I810,0)</f>
        <v>0</v>
      </c>
      <c r="J824" s="32">
        <f t="shared" si="1708"/>
        <v>0</v>
      </c>
      <c r="K824" s="32">
        <f t="shared" si="1708"/>
        <v>0</v>
      </c>
      <c r="L824" s="32">
        <f t="shared" si="1708"/>
        <v>0</v>
      </c>
      <c r="M824" s="32">
        <f t="shared" si="1708"/>
        <v>0</v>
      </c>
      <c r="N824" s="32">
        <f t="shared" si="1708"/>
        <v>0</v>
      </c>
      <c r="O824" s="32">
        <f t="shared" si="1708"/>
        <v>0</v>
      </c>
      <c r="P824" s="32">
        <f t="shared" si="1708"/>
        <v>0</v>
      </c>
      <c r="Q824" s="32">
        <f t="shared" si="1708"/>
        <v>0</v>
      </c>
      <c r="R824" s="32">
        <f t="shared" si="1708"/>
        <v>0</v>
      </c>
      <c r="S824" s="32">
        <f t="shared" si="1708"/>
        <v>0</v>
      </c>
      <c r="T824" s="32">
        <f t="shared" si="1708"/>
        <v>0</v>
      </c>
      <c r="U824" s="32">
        <f t="shared" si="1708"/>
        <v>0</v>
      </c>
      <c r="V824" s="32">
        <f t="shared" si="1708"/>
        <v>0</v>
      </c>
      <c r="W824" s="32">
        <f t="shared" si="1708"/>
        <v>0</v>
      </c>
      <c r="X824" s="32">
        <f t="shared" si="1708"/>
        <v>0</v>
      </c>
      <c r="Y824" s="32">
        <f t="shared" si="1708"/>
        <v>0</v>
      </c>
      <c r="Z824" s="32">
        <f t="shared" si="1708"/>
        <v>0</v>
      </c>
      <c r="AA824" s="32">
        <f t="shared" si="1708"/>
        <v>0</v>
      </c>
      <c r="AB824" s="32">
        <f t="shared" si="1708"/>
        <v>0</v>
      </c>
      <c r="AC824" s="32">
        <f t="shared" si="1708"/>
        <v>0</v>
      </c>
      <c r="AD824" s="32">
        <f t="shared" si="1708"/>
        <v>0</v>
      </c>
      <c r="AE824" s="32">
        <f t="shared" si="1708"/>
        <v>0</v>
      </c>
      <c r="AF824" s="32">
        <f t="shared" si="1708"/>
        <v>0</v>
      </c>
      <c r="AG824" s="32">
        <f t="shared" si="1708"/>
        <v>0</v>
      </c>
      <c r="AH824" s="32">
        <f t="shared" si="1708"/>
        <v>0</v>
      </c>
      <c r="AI824" s="32">
        <f t="shared" si="1708"/>
        <v>0</v>
      </c>
      <c r="AJ824" s="32">
        <f t="shared" si="1708"/>
        <v>0</v>
      </c>
      <c r="AK824" s="32">
        <f t="shared" si="1708"/>
        <v>0</v>
      </c>
      <c r="AL824" s="32">
        <f t="shared" si="1708"/>
        <v>0</v>
      </c>
      <c r="AM824" s="32">
        <f t="shared" si="1708"/>
        <v>0</v>
      </c>
      <c r="AN824" s="32">
        <f t="shared" si="1708"/>
        <v>0</v>
      </c>
      <c r="AO824" s="32">
        <f t="shared" si="1708"/>
        <v>0</v>
      </c>
      <c r="AP824" s="32">
        <f t="shared" si="1708"/>
        <v>0</v>
      </c>
      <c r="AQ824" s="32">
        <f t="shared" si="1708"/>
        <v>0</v>
      </c>
      <c r="AR824" s="32">
        <f t="shared" si="1708"/>
        <v>0</v>
      </c>
      <c r="AS824" s="32">
        <f t="shared" si="1708"/>
        <v>0</v>
      </c>
      <c r="AT824" s="32">
        <f t="shared" si="1708"/>
        <v>0</v>
      </c>
      <c r="AU824" s="32">
        <f t="shared" si="1708"/>
        <v>0</v>
      </c>
      <c r="AV824" s="32">
        <f t="shared" si="1708"/>
        <v>0</v>
      </c>
      <c r="AW824" s="32">
        <f t="shared" si="1708"/>
        <v>0</v>
      </c>
      <c r="AX824" s="32">
        <f t="shared" si="1708"/>
        <v>0</v>
      </c>
      <c r="AY824" s="32">
        <f t="shared" si="1708"/>
        <v>0</v>
      </c>
      <c r="AZ824" s="32">
        <f t="shared" si="1708"/>
        <v>0</v>
      </c>
      <c r="BA824" s="32">
        <f t="shared" si="1708"/>
        <v>0</v>
      </c>
      <c r="BB824" s="32">
        <f t="shared" si="1708"/>
        <v>0</v>
      </c>
      <c r="BC824" s="32">
        <f t="shared" si="1708"/>
        <v>0</v>
      </c>
      <c r="BD824" s="32">
        <f t="shared" si="1708"/>
        <v>0</v>
      </c>
      <c r="BE824" s="32">
        <f t="shared" si="1708"/>
        <v>0</v>
      </c>
      <c r="BF824" s="32">
        <f t="shared" si="1708"/>
        <v>0</v>
      </c>
      <c r="BG824" s="32">
        <f t="shared" si="1708"/>
        <v>0</v>
      </c>
      <c r="BH824" s="32">
        <f t="shared" si="1708"/>
        <v>0</v>
      </c>
      <c r="BI824" s="32">
        <f t="shared" si="1708"/>
        <v>0</v>
      </c>
      <c r="BJ824" s="32">
        <f t="shared" si="1708"/>
        <v>0</v>
      </c>
      <c r="BK824" s="32">
        <f t="shared" si="1708"/>
        <v>0</v>
      </c>
      <c r="BL824" s="32">
        <f t="shared" si="1708"/>
        <v>0</v>
      </c>
      <c r="BM824" s="32">
        <f t="shared" si="1708"/>
        <v>0</v>
      </c>
      <c r="BN824" s="32">
        <f t="shared" si="1708"/>
        <v>0</v>
      </c>
      <c r="BO824" s="32">
        <f t="shared" si="1708"/>
        <v>0</v>
      </c>
      <c r="BP824" s="32">
        <f t="shared" si="1708"/>
        <v>0</v>
      </c>
      <c r="BQ824" s="32">
        <f t="shared" si="1708"/>
        <v>0</v>
      </c>
      <c r="BR824" s="32">
        <f t="shared" si="1708"/>
        <v>0</v>
      </c>
      <c r="BS824" s="32">
        <f t="shared" si="1708"/>
        <v>0</v>
      </c>
      <c r="BT824" s="32">
        <f t="shared" si="1708"/>
        <v>0</v>
      </c>
      <c r="BU824" s="32">
        <f t="shared" ref="BU824:BY824" si="1709">MIN(+BU796-BU812+BU810,0)</f>
        <v>0</v>
      </c>
      <c r="BV824" s="32">
        <f t="shared" si="1709"/>
        <v>0</v>
      </c>
      <c r="BW824" s="32">
        <f t="shared" si="1709"/>
        <v>0</v>
      </c>
      <c r="BX824" s="32">
        <f t="shared" si="1709"/>
        <v>0</v>
      </c>
      <c r="BY824" s="32">
        <f t="shared" si="1709"/>
        <v>0</v>
      </c>
    </row>
    <row r="825" spans="2:77" outlineLevel="1">
      <c r="F825" s="80"/>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c r="BI825" s="32"/>
      <c r="BJ825" s="32"/>
      <c r="BK825" s="32"/>
      <c r="BL825" s="32"/>
      <c r="BM825" s="32"/>
      <c r="BN825" s="32"/>
      <c r="BO825" s="32"/>
      <c r="BP825" s="32"/>
      <c r="BQ825" s="32"/>
      <c r="BR825" s="32"/>
      <c r="BS825" s="32"/>
      <c r="BT825" s="32"/>
      <c r="BU825" s="32"/>
      <c r="BV825" s="32"/>
      <c r="BW825" s="32"/>
      <c r="BX825" s="32"/>
      <c r="BY825" s="32"/>
    </row>
    <row r="826" spans="2:77" outlineLevel="1">
      <c r="F826" s="80"/>
      <c r="BF826" s="33"/>
      <c r="BG826" s="33"/>
      <c r="BH826" s="33"/>
      <c r="BI826" s="33"/>
      <c r="BJ826" s="33"/>
      <c r="BK826" s="33"/>
      <c r="BL826" s="33"/>
      <c r="BM826" s="33"/>
      <c r="BN826" s="33"/>
      <c r="BO826" s="33"/>
      <c r="BP826" s="33"/>
      <c r="BQ826" s="33"/>
      <c r="BR826" s="33"/>
      <c r="BS826" s="33"/>
      <c r="BT826" s="33"/>
      <c r="BU826" s="33"/>
      <c r="BV826" s="33"/>
      <c r="BW826" s="33"/>
      <c r="BX826" s="33"/>
      <c r="BY826" s="33"/>
    </row>
    <row r="827" spans="2:77" outlineLevel="1">
      <c r="F827" s="23"/>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32"/>
      <c r="BN827" s="32"/>
      <c r="BO827" s="32"/>
      <c r="BP827" s="32"/>
      <c r="BQ827" s="32"/>
      <c r="BR827" s="32"/>
      <c r="BS827" s="32"/>
      <c r="BT827" s="32"/>
      <c r="BU827" s="32"/>
      <c r="BV827" s="32"/>
      <c r="BW827" s="32"/>
      <c r="BX827" s="32"/>
      <c r="BY827" s="32"/>
    </row>
    <row r="828" spans="2:77" s="19" customFormat="1" ht="12.75" outlineLevel="1">
      <c r="B828" s="18" t="s">
        <v>266</v>
      </c>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c r="BN828" s="35"/>
      <c r="BO828" s="35"/>
      <c r="BP828" s="35"/>
      <c r="BQ828" s="35"/>
      <c r="BR828" s="35"/>
      <c r="BS828" s="35"/>
      <c r="BT828" s="35"/>
      <c r="BU828" s="35"/>
      <c r="BV828" s="35"/>
      <c r="BW828" s="35"/>
      <c r="BX828" s="35"/>
      <c r="BY828" s="35"/>
    </row>
    <row r="829" spans="2:77" outlineLevel="1">
      <c r="BF829" s="33"/>
      <c r="BG829" s="33"/>
      <c r="BH829" s="33"/>
      <c r="BI829" s="33"/>
      <c r="BJ829" s="33"/>
      <c r="BK829" s="33"/>
      <c r="BL829" s="33"/>
      <c r="BM829" s="33"/>
      <c r="BN829" s="33"/>
      <c r="BO829" s="33"/>
      <c r="BP829" s="33"/>
      <c r="BQ829" s="33"/>
      <c r="BR829" s="33"/>
      <c r="BS829" s="33"/>
      <c r="BT829" s="33"/>
      <c r="BU829" s="33"/>
      <c r="BV829" s="33"/>
      <c r="BW829" s="33"/>
      <c r="BX829" s="33"/>
      <c r="BY829" s="33"/>
    </row>
    <row r="830" spans="2:77" ht="15" outlineLevel="1">
      <c r="C830" s="22" t="s">
        <v>496</v>
      </c>
      <c r="BF830" s="33"/>
      <c r="BG830" s="33"/>
      <c r="BH830" s="33"/>
      <c r="BI830" s="33"/>
      <c r="BJ830" s="33"/>
      <c r="BK830" s="33"/>
      <c r="BL830" s="33"/>
      <c r="BM830" s="33"/>
      <c r="BN830" s="33"/>
      <c r="BO830" s="33"/>
      <c r="BP830" s="33"/>
      <c r="BQ830" s="33"/>
      <c r="BR830" s="33"/>
      <c r="BS830" s="33"/>
      <c r="BT830" s="33"/>
      <c r="BU830" s="33"/>
      <c r="BV830" s="33"/>
      <c r="BW830" s="33"/>
      <c r="BX830" s="33"/>
      <c r="BY830" s="33"/>
    </row>
    <row r="831" spans="2:77" outlineLevel="1">
      <c r="C831" s="75">
        <f>Assumptions!$H$246*C742</f>
        <v>-259032.07288152305</v>
      </c>
      <c r="E831" t="s">
        <v>456</v>
      </c>
      <c r="F831" s="80" t="str">
        <f>+Assumptions!$G$8</f>
        <v>USD</v>
      </c>
      <c r="H831" s="32">
        <f>IF(AND(Assumptions!$H$221="Yes",Assumptions!$H$222="Detailed"),-Assumptions_Detailed!H$175,IF(SUM($H$730:H730)&gt;0,IF(SUM($H$744:H744)&lt;$C$831,MAX($C$831-SUM($G$831:G831),H744),H744),0))</f>
        <v>0</v>
      </c>
      <c r="I831" s="32">
        <f>IF(AND(Assumptions!$H$221="Yes",Assumptions!$H$222="Detailed"),-Assumptions_Detailed!I$175,IF(SUM($H$730:I730)&gt;0,IF(SUM($H$744:I744)&lt;$C$831,MAX($C$831-SUM($G$831:H831),I744),I744),0))</f>
        <v>-259032.07288152305</v>
      </c>
      <c r="J831" s="32">
        <f>IF(AND(Assumptions!$H$221="Yes",Assumptions!$H$222="Detailed"),-Assumptions_Detailed!J$175,IF(SUM($H$730:J730)&gt;0,IF(SUM($H$744:J744)&lt;$C$831,MAX($C$831-SUM($G$831:I831),J744),J744),0))</f>
        <v>0</v>
      </c>
      <c r="K831" s="32">
        <f>IF(AND(Assumptions!$H$221="Yes",Assumptions!$H$222="Detailed"),-Assumptions_Detailed!K$175,IF(SUM($H$730:K730)&gt;0,IF(SUM($H$744:K744)&lt;$C$831,MAX($C$831-SUM($G$831:J831),K744),K744),0))</f>
        <v>0</v>
      </c>
      <c r="L831" s="32">
        <f>IF(AND(Assumptions!$H$221="Yes",Assumptions!$H$222="Detailed"),-Assumptions_Detailed!L$175,IF(SUM($H$730:L730)&gt;0,IF(SUM($H$744:L744)&lt;$C$831,MAX($C$831-SUM($G$831:K831),L744),L744),0))</f>
        <v>0</v>
      </c>
      <c r="M831" s="32">
        <f>IF(AND(Assumptions!$H$221="Yes",Assumptions!$H$222="Detailed"),-Assumptions_Detailed!M$175,IF(SUM($H$730:M730)&gt;0,IF(SUM($H$744:M744)&lt;$C$831,MAX($C$831-SUM($G$831:L831),M744),M744),0))</f>
        <v>0</v>
      </c>
      <c r="N831" s="32">
        <f>IF(AND(Assumptions!$H$221="Yes",Assumptions!$H$222="Detailed"),-Assumptions_Detailed!N$175,IF(SUM($H$730:N730)&gt;0,IF(SUM($H$744:N744)&lt;$C$831,MAX($C$831-SUM($G$831:M831),N744),N744),0))</f>
        <v>0</v>
      </c>
      <c r="O831" s="32">
        <f>IF(AND(Assumptions!$H$221="Yes",Assumptions!$H$222="Detailed"),-Assumptions_Detailed!O$175,IF(SUM($H$730:O730)&gt;0,IF(SUM($H$744:O744)&lt;$C$831,MAX($C$831-SUM($G$831:N831),O744),O744),0))</f>
        <v>0</v>
      </c>
      <c r="P831" s="32">
        <f>IF(AND(Assumptions!$H$221="Yes",Assumptions!$H$222="Detailed"),-Assumptions_Detailed!P$175,IF(SUM($H$730:P730)&gt;0,IF(SUM($H$744:P744)&lt;$C$831,MAX($C$831-SUM($G$831:O831),P744),P744),0))</f>
        <v>0</v>
      </c>
      <c r="Q831" s="32">
        <f>IF(AND(Assumptions!$H$221="Yes",Assumptions!$H$222="Detailed"),-Assumptions_Detailed!Q$175,IF(SUM($H$730:Q730)&gt;0,IF(SUM($H$744:Q744)&lt;$C$831,MAX($C$831-SUM($G$831:P831),Q744),Q744),0))</f>
        <v>0</v>
      </c>
      <c r="R831" s="32">
        <f>IF(AND(Assumptions!$H$221="Yes",Assumptions!$H$222="Detailed"),-Assumptions_Detailed!R$175,IF(SUM($H$730:R730)&gt;0,IF(SUM($H$744:R744)&lt;$C$831,MAX($C$831-SUM($G$831:Q831),R744),R744),0))</f>
        <v>0</v>
      </c>
      <c r="S831" s="32">
        <f>IF(AND(Assumptions!$H$221="Yes",Assumptions!$H$222="Detailed"),-Assumptions_Detailed!S$175,IF(SUM($H$730:S730)&gt;0,IF(SUM($H$744:S744)&lt;$C$831,MAX($C$831-SUM($G$831:R831),S744),S744),0))</f>
        <v>0</v>
      </c>
      <c r="T831" s="32">
        <f>IF(AND(Assumptions!$H$221="Yes",Assumptions!$H$222="Detailed"),-Assumptions_Detailed!T$175,IF(SUM($H$730:T730)&gt;0,IF(SUM($H$744:T744)&lt;$C$831,MAX($C$831-SUM($G$831:S831),T744),T744),0))</f>
        <v>0</v>
      </c>
      <c r="U831" s="32">
        <f>IF(AND(Assumptions!$H$221="Yes",Assumptions!$H$222="Detailed"),-Assumptions_Detailed!U$175,IF(SUM($H$730:U730)&gt;0,IF(SUM($H$744:U744)&lt;$C$831,MAX($C$831-SUM($G$831:T831),U744),U744),0))</f>
        <v>0</v>
      </c>
      <c r="V831" s="32">
        <f>IF(AND(Assumptions!$H$221="Yes",Assumptions!$H$222="Detailed"),-Assumptions_Detailed!V$175,IF(SUM($H$730:V730)&gt;0,IF(SUM($H$744:V744)&lt;$C$831,MAX($C$831-SUM($G$831:U831),V744),V744),0))</f>
        <v>0</v>
      </c>
      <c r="W831" s="32">
        <f>IF(AND(Assumptions!$H$221="Yes",Assumptions!$H$222="Detailed"),-Assumptions_Detailed!W$175,IF(SUM($H$730:W730)&gt;0,IF(SUM($H$744:W744)&lt;$C$831,MAX($C$831-SUM($G$831:V831),W744),W744),0))</f>
        <v>0</v>
      </c>
      <c r="X831" s="32">
        <f>IF(AND(Assumptions!$H$221="Yes",Assumptions!$H$222="Detailed"),-Assumptions_Detailed!X$175,IF(SUM($H$730:X730)&gt;0,IF(SUM($H$744:X744)&lt;$C$831,MAX($C$831-SUM($G$831:W831),X744),X744),0))</f>
        <v>0</v>
      </c>
      <c r="Y831" s="32">
        <f>IF(AND(Assumptions!$H$221="Yes",Assumptions!$H$222="Detailed"),-Assumptions_Detailed!Y$175,IF(SUM($H$730:Y730)&gt;0,IF(SUM($H$744:Y744)&lt;$C$831,MAX($C$831-SUM($G$831:X831),Y744),Y744),0))</f>
        <v>0</v>
      </c>
      <c r="Z831" s="32">
        <f>IF(AND(Assumptions!$H$221="Yes",Assumptions!$H$222="Detailed"),-Assumptions_Detailed!Z$175,IF(SUM($H$730:Z730)&gt;0,IF(SUM($H$744:Z744)&lt;$C$831,MAX($C$831-SUM($G$831:Y831),Z744),Z744),0))</f>
        <v>0</v>
      </c>
      <c r="AA831" s="32">
        <f>IF(AND(Assumptions!$H$221="Yes",Assumptions!$H$222="Detailed"),-Assumptions_Detailed!AA$175,IF(SUM($H$730:AA730)&gt;0,IF(SUM($H$744:AA744)&lt;$C$831,MAX($C$831-SUM($G$831:Z831),AA744),AA744),0))</f>
        <v>0</v>
      </c>
      <c r="AB831" s="32">
        <f>IF(AND(Assumptions!$H$221="Yes",Assumptions!$H$222="Detailed"),-Assumptions_Detailed!AB$175,IF(SUM($H$730:AB730)&gt;0,IF(SUM($H$744:AB744)&lt;$C$831,MAX($C$831-SUM($G$831:AA831),AB744),AB744),0))</f>
        <v>0</v>
      </c>
      <c r="AC831" s="32">
        <f>IF(AND(Assumptions!$H$221="Yes",Assumptions!$H$222="Detailed"),-Assumptions_Detailed!AC$175,IF(SUM($H$730:AC730)&gt;0,IF(SUM($H$744:AC744)&lt;$C$831,MAX($C$831-SUM($G$831:AB831),AC744),AC744),0))</f>
        <v>0</v>
      </c>
      <c r="AD831" s="32">
        <f>IF(AND(Assumptions!$H$221="Yes",Assumptions!$H$222="Detailed"),-Assumptions_Detailed!AD$175,IF(SUM($H$730:AD730)&gt;0,IF(SUM($H$744:AD744)&lt;$C$831,MAX($C$831-SUM($G$831:AC831),AD744),AD744),0))</f>
        <v>0</v>
      </c>
      <c r="AE831" s="32">
        <f>IF(AND(Assumptions!$H$221="Yes",Assumptions!$H$222="Detailed"),-Assumptions_Detailed!AE$175,IF(SUM($H$730:AE730)&gt;0,IF(SUM($H$744:AE744)&lt;$C$831,MAX($C$831-SUM($G$831:AD831),AE744),AE744),0))</f>
        <v>0</v>
      </c>
      <c r="AF831" s="32">
        <f>IF(AND(Assumptions!$H$221="Yes",Assumptions!$H$222="Detailed"),-Assumptions_Detailed!AF$175,IF(SUM($H$730:AF730)&gt;0,IF(SUM($H$744:AF744)&lt;$C$831,MAX($C$831-SUM($G$831:AE831),AF744),AF744),0))</f>
        <v>0</v>
      </c>
      <c r="AG831" s="32">
        <f>IF(AND(Assumptions!$H$221="Yes",Assumptions!$H$222="Detailed"),-Assumptions_Detailed!AG$175,IF(SUM($H$730:AG730)&gt;0,IF(SUM($H$744:AG744)&lt;$C$831,MAX($C$831-SUM($G$831:AF831),AG744),AG744),0))</f>
        <v>0</v>
      </c>
      <c r="AH831" s="32">
        <f>IF(AND(Assumptions!$H$221="Yes",Assumptions!$H$222="Detailed"),-Assumptions_Detailed!AH$175,IF(SUM($H$730:AH730)&gt;0,IF(SUM($H$744:AH744)&lt;$C$831,MAX($C$831-SUM($G$831:AG831),AH744),AH744),0))</f>
        <v>0</v>
      </c>
      <c r="AI831" s="32">
        <f>IF(AND(Assumptions!$H$221="Yes",Assumptions!$H$222="Detailed"),-Assumptions_Detailed!AI$175,IF(SUM($H$730:AI730)&gt;0,IF(SUM($H$744:AI744)&lt;$C$831,MAX($C$831-SUM($G$831:AH831),AI744),AI744),0))</f>
        <v>0</v>
      </c>
      <c r="AJ831" s="32">
        <f>IF(AND(Assumptions!$H$221="Yes",Assumptions!$H$222="Detailed"),-Assumptions_Detailed!AJ$175,IF(SUM($H$730:AJ730)&gt;0,IF(SUM($H$744:AJ744)&lt;$C$831,MAX($C$831-SUM($G$831:AI831),AJ744),AJ744),0))</f>
        <v>0</v>
      </c>
      <c r="AK831" s="32">
        <f>IF(AND(Assumptions!$H$221="Yes",Assumptions!$H$222="Detailed"),-Assumptions_Detailed!AK$175,IF(SUM($H$730:AK730)&gt;0,IF(SUM($H$744:AK744)&lt;$C$831,MAX($C$831-SUM($G$831:AJ831),AK744),AK744),0))</f>
        <v>0</v>
      </c>
      <c r="AL831" s="32">
        <f>IF(AND(Assumptions!$H$221="Yes",Assumptions!$H$222="Detailed"),-Assumptions_Detailed!AL$175,IF(SUM($H$730:AL730)&gt;0,IF(SUM($H$744:AL744)&lt;$C$831,MAX($C$831-SUM($G$831:AK831),AL744),AL744),0))</f>
        <v>0</v>
      </c>
      <c r="AM831" s="32">
        <f>IF(AND(Assumptions!$H$221="Yes",Assumptions!$H$222="Detailed"),-Assumptions_Detailed!AM$175,IF(SUM($H$730:AM730)&gt;0,IF(SUM($H$744:AM744)&lt;$C$831,MAX($C$831-SUM($G$831:AL831),AM744),AM744),0))</f>
        <v>0</v>
      </c>
      <c r="AN831" s="32">
        <f>IF(AND(Assumptions!$H$221="Yes",Assumptions!$H$222="Detailed"),-Assumptions_Detailed!AN$175,IF(SUM($H$730:AN730)&gt;0,IF(SUM($H$744:AN744)&lt;$C$831,MAX($C$831-SUM($G$831:AM831),AN744),AN744),0))</f>
        <v>0</v>
      </c>
      <c r="AO831" s="32">
        <f>IF(AND(Assumptions!$H$221="Yes",Assumptions!$H$222="Detailed"),-Assumptions_Detailed!AO$175,IF(SUM($H$730:AO730)&gt;0,IF(SUM($H$744:AO744)&lt;$C$831,MAX($C$831-SUM($G$831:AN831),AO744),AO744),0))</f>
        <v>0</v>
      </c>
      <c r="AP831" s="32">
        <f>IF(AND(Assumptions!$H$221="Yes",Assumptions!$H$222="Detailed"),-Assumptions_Detailed!AP$175,IF(SUM($H$730:AP730)&gt;0,IF(SUM($H$744:AP744)&lt;$C$831,MAX($C$831-SUM($G$831:AO831),AP744),AP744),0))</f>
        <v>0</v>
      </c>
      <c r="AQ831" s="32">
        <f>IF(AND(Assumptions!$H$221="Yes",Assumptions!$H$222="Detailed"),-Assumptions_Detailed!AQ$175,IF(SUM($H$730:AQ730)&gt;0,IF(SUM($H$744:AQ744)&lt;$C$831,MAX($C$831-SUM($G$831:AP831),AQ744),AQ744),0))</f>
        <v>0</v>
      </c>
      <c r="AR831" s="32">
        <f>IF(AND(Assumptions!$H$221="Yes",Assumptions!$H$222="Detailed"),-Assumptions_Detailed!AR$175,IF(SUM($H$730:AR730)&gt;0,IF(SUM($H$744:AR744)&lt;$C$831,MAX($C$831-SUM($G$831:AQ831),AR744),AR744),0))</f>
        <v>0</v>
      </c>
      <c r="AS831" s="32">
        <f>IF(AND(Assumptions!$H$221="Yes",Assumptions!$H$222="Detailed"),-Assumptions_Detailed!AS$175,IF(SUM($H$730:AS730)&gt;0,IF(SUM($H$744:AS744)&lt;$C$831,MAX($C$831-SUM($G$831:AR831),AS744),AS744),0))</f>
        <v>0</v>
      </c>
      <c r="AT831" s="32">
        <f>IF(AND(Assumptions!$H$221="Yes",Assumptions!$H$222="Detailed"),-Assumptions_Detailed!AT$175,IF(SUM($H$730:AT730)&gt;0,IF(SUM($H$744:AT744)&lt;$C$831,MAX($C$831-SUM($G$831:AS831),AT744),AT744),0))</f>
        <v>0</v>
      </c>
      <c r="AU831" s="32">
        <f>IF(AND(Assumptions!$H$221="Yes",Assumptions!$H$222="Detailed"),-Assumptions_Detailed!AU$175,IF(SUM($H$730:AU730)&gt;0,IF(SUM($H$744:AU744)&lt;$C$831,MAX($C$831-SUM($G$831:AT831),AU744),AU744),0))</f>
        <v>0</v>
      </c>
      <c r="AV831" s="32">
        <f>IF(AND(Assumptions!$H$221="Yes",Assumptions!$H$222="Detailed"),-Assumptions_Detailed!AV$175,IF(SUM($H$730:AV730)&gt;0,IF(SUM($H$744:AV744)&lt;$C$831,MAX($C$831-SUM($G$831:AU831),AV744),AV744),0))</f>
        <v>0</v>
      </c>
      <c r="AW831" s="32">
        <f>IF(AND(Assumptions!$H$221="Yes",Assumptions!$H$222="Detailed"),-Assumptions_Detailed!AW$175,IF(SUM($H$730:AW730)&gt;0,IF(SUM($H$744:AW744)&lt;$C$831,MAX($C$831-SUM($G$831:AV831),AW744),AW744),0))</f>
        <v>0</v>
      </c>
      <c r="AX831" s="32">
        <f>IF(AND(Assumptions!$H$221="Yes",Assumptions!$H$222="Detailed"),-Assumptions_Detailed!AX$175,IF(SUM($H$730:AX730)&gt;0,IF(SUM($H$744:AX744)&lt;$C$831,MAX($C$831-SUM($G$831:AW831),AX744),AX744),0))</f>
        <v>0</v>
      </c>
      <c r="AY831" s="32">
        <f>IF(AND(Assumptions!$H$221="Yes",Assumptions!$H$222="Detailed"),-Assumptions_Detailed!AY$175,IF(SUM($H$730:AY730)&gt;0,IF(SUM($H$744:AY744)&lt;$C$831,MAX($C$831-SUM($G$831:AX831),AY744),AY744),0))</f>
        <v>0</v>
      </c>
      <c r="AZ831" s="32">
        <f>IF(AND(Assumptions!$H$221="Yes",Assumptions!$H$222="Detailed"),-Assumptions_Detailed!AZ$175,IF(SUM($H$730:AZ730)&gt;0,IF(SUM($H$744:AZ744)&lt;$C$831,MAX($C$831-SUM($G$831:AY831),AZ744),AZ744),0))</f>
        <v>0</v>
      </c>
      <c r="BA831" s="32">
        <f>IF(AND(Assumptions!$H$221="Yes",Assumptions!$H$222="Detailed"),-Assumptions_Detailed!BA$175,IF(SUM($H$730:BA730)&gt;0,IF(SUM($H$744:BA744)&lt;$C$831,MAX($C$831-SUM($G$831:AZ831),BA744),BA744),0))</f>
        <v>0</v>
      </c>
      <c r="BB831" s="32">
        <f>IF(AND(Assumptions!$H$221="Yes",Assumptions!$H$222="Detailed"),-Assumptions_Detailed!BB$175,IF(SUM($H$730:BB730)&gt;0,IF(SUM($H$744:BB744)&lt;$C$831,MAX($C$831-SUM($G$831:BA831),BB744),BB744),0))</f>
        <v>0</v>
      </c>
      <c r="BC831" s="32">
        <f>IF(AND(Assumptions!$H$221="Yes",Assumptions!$H$222="Detailed"),-Assumptions_Detailed!BC$175,IF(SUM($H$730:BC730)&gt;0,IF(SUM($H$744:BC744)&lt;$C$831,MAX($C$831-SUM($G$831:BB831),BC744),BC744),0))</f>
        <v>0</v>
      </c>
      <c r="BD831" s="32">
        <f>IF(AND(Assumptions!$H$221="Yes",Assumptions!$H$222="Detailed"),-Assumptions_Detailed!BD$175,IF(SUM($H$730:BD730)&gt;0,IF(SUM($H$744:BD744)&lt;$C$831,MAX($C$831-SUM($G$831:BC831),BD744),BD744),0))</f>
        <v>0</v>
      </c>
      <c r="BE831" s="32">
        <f>IF(AND(Assumptions!$H$221="Yes",Assumptions!$H$222="Detailed"),-Assumptions_Detailed!BE$175,IF(SUM($H$730:BE730)&gt;0,IF(SUM($H$744:BE744)&lt;$C$831,MAX($C$831-SUM($G$831:BD831),BE744),BE744),0))</f>
        <v>0</v>
      </c>
      <c r="BF831" s="32">
        <f>IF(AND(Assumptions!$H$221="Yes",Assumptions!$H$222="Detailed"),-Assumptions_Detailed!BF$175,IF(SUM($H$730:BF730)&gt;0,IF(SUM($H$744:BF744)&lt;$C$831,MAX($C$831-SUM($G$831:BE831),BF744),BF744),0))</f>
        <v>0</v>
      </c>
      <c r="BG831" s="32">
        <f>IF(AND(Assumptions!$H$221="Yes",Assumptions!$H$222="Detailed"),-Assumptions_Detailed!BG$175,IF(SUM($H$730:BG730)&gt;0,IF(SUM($H$744:BG744)&lt;$C$831,MAX($C$831-SUM($G$831:BF831),BG744),BG744),0))</f>
        <v>0</v>
      </c>
      <c r="BH831" s="32">
        <f>IF(AND(Assumptions!$H$221="Yes",Assumptions!$H$222="Detailed"),-Assumptions_Detailed!BH$175,IF(SUM($H$730:BH730)&gt;0,IF(SUM($H$744:BH744)&lt;$C$831,MAX($C$831-SUM($G$831:BG831),BH744),BH744),0))</f>
        <v>0</v>
      </c>
      <c r="BI831" s="32">
        <f>IF(AND(Assumptions!$H$221="Yes",Assumptions!$H$222="Detailed"),-Assumptions_Detailed!BI$175,IF(SUM($H$730:BI730)&gt;0,IF(SUM($H$744:BI744)&lt;$C$831,MAX($C$831-SUM($G$831:BH831),BI744),BI744),0))</f>
        <v>0</v>
      </c>
      <c r="BJ831" s="32">
        <f>IF(AND(Assumptions!$H$221="Yes",Assumptions!$H$222="Detailed"),-Assumptions_Detailed!BJ$175,IF(SUM($H$730:BJ730)&gt;0,IF(SUM($H$744:BJ744)&lt;$C$831,MAX($C$831-SUM($G$831:BI831),BJ744),BJ744),0))</f>
        <v>0</v>
      </c>
      <c r="BK831" s="32">
        <f>IF(AND(Assumptions!$H$221="Yes",Assumptions!$H$222="Detailed"),-Assumptions_Detailed!BK$175,IF(SUM($H$730:BK730)&gt;0,IF(SUM($H$744:BK744)&lt;$C$831,MAX($C$831-SUM($G$831:BJ831),BK744),BK744),0))</f>
        <v>0</v>
      </c>
      <c r="BL831" s="32">
        <f>IF(AND(Assumptions!$H$221="Yes",Assumptions!$H$222="Detailed"),-Assumptions_Detailed!BL$175,IF(SUM($H$730:BL730)&gt;0,IF(SUM($H$744:BL744)&lt;$C$831,MAX($C$831-SUM($G$831:BK831),BL744),BL744),0))</f>
        <v>0</v>
      </c>
      <c r="BM831" s="32">
        <f>IF(AND(Assumptions!$H$221="Yes",Assumptions!$H$222="Detailed"),-Assumptions_Detailed!BM$175,IF(SUM($H$730:BM730)&gt;0,IF(SUM($H$744:BM744)&lt;$C$831,MAX($C$831-SUM($G$831:BL831),BM744),BM744),0))</f>
        <v>0</v>
      </c>
      <c r="BN831" s="32">
        <f>IF(AND(Assumptions!$H$221="Yes",Assumptions!$H$222="Detailed"),-Assumptions_Detailed!BN$175,IF(SUM($H$730:BN730)&gt;0,IF(SUM($H$744:BN744)&lt;$C$831,MAX($C$831-SUM($G$831:BM831),BN744),BN744),0))</f>
        <v>0</v>
      </c>
      <c r="BO831" s="32">
        <f>IF(AND(Assumptions!$H$221="Yes",Assumptions!$H$222="Detailed"),-Assumptions_Detailed!BO$175,IF(SUM($H$730:BO730)&gt;0,IF(SUM($H$744:BO744)&lt;$C$831,MAX($C$831-SUM($G$831:BN831),BO744),BO744),0))</f>
        <v>0</v>
      </c>
      <c r="BP831" s="32">
        <f>IF(AND(Assumptions!$H$221="Yes",Assumptions!$H$222="Detailed"),-Assumptions_Detailed!BP$175,IF(SUM($H$730:BP730)&gt;0,IF(SUM($H$744:BP744)&lt;$C$831,MAX($C$831-SUM($G$831:BO831),BP744),BP744),0))</f>
        <v>0</v>
      </c>
      <c r="BQ831" s="32">
        <f>IF(AND(Assumptions!$H$221="Yes",Assumptions!$H$222="Detailed"),-Assumptions_Detailed!BQ$175,IF(SUM($H$730:BQ730)&gt;0,IF(SUM($H$744:BQ744)&lt;$C$831,MAX($C$831-SUM($G$831:BP831),BQ744),BQ744),0))</f>
        <v>0</v>
      </c>
      <c r="BR831" s="32">
        <f>IF(AND(Assumptions!$H$221="Yes",Assumptions!$H$222="Detailed"),-Assumptions_Detailed!BR$175,IF(SUM($H$730:BR730)&gt;0,IF(SUM($H$744:BR744)&lt;$C$831,MAX($C$831-SUM($G$831:BQ831),BR744),BR744),0))</f>
        <v>0</v>
      </c>
      <c r="BS831" s="32">
        <f>IF(AND(Assumptions!$H$221="Yes",Assumptions!$H$222="Detailed"),-Assumptions_Detailed!BS$175,IF(SUM($H$730:BS730)&gt;0,IF(SUM($H$744:BS744)&lt;$C$831,MAX($C$831-SUM($G$831:BR831),BS744),BS744),0))</f>
        <v>0</v>
      </c>
      <c r="BT831" s="32">
        <f>IF(AND(Assumptions!$H$221="Yes",Assumptions!$H$222="Detailed"),-Assumptions_Detailed!BT$175,IF(SUM($H$730:BT730)&gt;0,IF(SUM($H$744:BT744)&lt;$C$831,MAX($C$831-SUM($G$831:BS831),BT744),BT744),0))</f>
        <v>0</v>
      </c>
      <c r="BU831" s="32">
        <f>IF(AND(Assumptions!$H$221="Yes",Assumptions!$H$222="Detailed"),-Assumptions_Detailed!BU$175,IF(SUM($H$730:BU730)&gt;0,IF(SUM($H$744:BU744)&lt;$C$831,MAX($C$831-SUM($G$831:BT831),BU744),BU744),0))</f>
        <v>0</v>
      </c>
      <c r="BV831" s="32">
        <f>IF(AND(Assumptions!$H$221="Yes",Assumptions!$H$222="Detailed"),-Assumptions_Detailed!BV$175,IF(SUM($H$730:BV730)&gt;0,IF(SUM($H$744:BV744)&lt;$C$831,MAX($C$831-SUM($G$831:BU831),BV744),BV744),0))</f>
        <v>0</v>
      </c>
      <c r="BW831" s="32">
        <f>IF(AND(Assumptions!$H$221="Yes",Assumptions!$H$222="Detailed"),-Assumptions_Detailed!BW$175,IF(SUM($H$730:BW730)&gt;0,IF(SUM($H$744:BW744)&lt;$C$831,MAX($C$831-SUM($G$831:BV831),BW744),BW744),0))</f>
        <v>0</v>
      </c>
      <c r="BX831" s="32">
        <f>IF(AND(Assumptions!$H$221="Yes",Assumptions!$H$222="Detailed"),-Assumptions_Detailed!BX$175,IF(SUM($H$730:BX730)&gt;0,IF(SUM($H$744:BX744)&lt;$C$831,MAX($C$831-SUM($G$831:BW831),BX744),BX744),0))</f>
        <v>0</v>
      </c>
      <c r="BY831" s="32">
        <f>IF(AND(Assumptions!$H$221="Yes",Assumptions!$H$222="Detailed"),-Assumptions_Detailed!BY$175,IF(SUM($H$730:BY730)&gt;0,IF(SUM($H$744:BY744)&lt;$C$831,MAX($C$831-SUM($G$831:BX831),BY744),BY744),0))</f>
        <v>0</v>
      </c>
    </row>
    <row r="832" spans="2:77" outlineLevel="1"/>
    <row r="833" spans="3:77" outlineLevel="1"/>
    <row r="834" spans="3:77" ht="15" outlineLevel="1">
      <c r="C834" s="22" t="s">
        <v>497</v>
      </c>
      <c r="D834" s="31"/>
    </row>
    <row r="835" spans="3:77" ht="15" outlineLevel="1">
      <c r="C835" s="68" t="str">
        <f>+Assumptions!H232</f>
        <v>Equity-first</v>
      </c>
      <c r="D835" s="28"/>
      <c r="E835" s="22" t="s">
        <v>457</v>
      </c>
      <c r="H835" s="32"/>
      <c r="BF835" s="33"/>
      <c r="BG835" s="33"/>
      <c r="BH835" s="33"/>
      <c r="BI835" s="33"/>
      <c r="BJ835" s="33"/>
      <c r="BK835" s="33"/>
      <c r="BL835" s="33"/>
      <c r="BM835" s="33"/>
      <c r="BN835" s="33"/>
      <c r="BO835" s="33"/>
      <c r="BP835" s="33"/>
      <c r="BQ835" s="33"/>
      <c r="BR835" s="33"/>
      <c r="BS835" s="33"/>
      <c r="BT835" s="33"/>
      <c r="BU835" s="33"/>
      <c r="BV835" s="33"/>
      <c r="BW835" s="33"/>
      <c r="BX835" s="33"/>
      <c r="BY835" s="33"/>
    </row>
    <row r="836" spans="3:77" outlineLevel="1">
      <c r="C836" s="68" t="str">
        <f>+Assumptions!H233</f>
        <v>Annuity</v>
      </c>
      <c r="D836" s="28"/>
      <c r="E836" t="s">
        <v>458</v>
      </c>
      <c r="F836" s="80" t="str">
        <f>+Assumptions!$G$8</f>
        <v>USD</v>
      </c>
      <c r="H836" s="32">
        <f>IF(AND(Assumptions!$H$221="Yes",Assumptions!$H$222="Detailed"),-Assumptions_Detailed!H$178,MAX(IFERROR(H744-H831,0),$C$839-SUM($G$836:G836)))</f>
        <v>0</v>
      </c>
      <c r="I836" s="32">
        <f>IF(AND(Assumptions!$H$221="Yes",Assumptions!$H$222="Detailed"),-Assumptions_Detailed!I$178,MAX(IFERROR(I744-I831,0),$C$839-SUM($G$836:H836)))</f>
        <v>-168413.59193947201</v>
      </c>
      <c r="J836" s="32">
        <f>IF(AND(Assumptions!$H$221="Yes",Assumptions!$H$222="Detailed"),-Assumptions_Detailed!J$178,MAX(IFERROR(J744-J831,0),$C$839-SUM($G$836:I836)))</f>
        <v>-435994.57811741496</v>
      </c>
      <c r="K836" s="32">
        <f>IF(AND(Assumptions!$H$221="Yes",Assumptions!$H$222="Detailed"),-Assumptions_Detailed!K$178,MAX(IFERROR(K744-K831,0),$C$839-SUM($G$836:J836)))</f>
        <v>0</v>
      </c>
      <c r="L836" s="32">
        <f>IF(AND(Assumptions!$H$221="Yes",Assumptions!$H$222="Detailed"),-Assumptions_Detailed!L$178,MAX(IFERROR(L744-L831,0),$C$839-SUM($G$836:K836)))</f>
        <v>0</v>
      </c>
      <c r="M836" s="32">
        <f>IF(AND(Assumptions!$H$221="Yes",Assumptions!$H$222="Detailed"),-Assumptions_Detailed!M$178,MAX(IFERROR(M744-M831,0),$C$839-SUM($G$836:L836)))</f>
        <v>0</v>
      </c>
      <c r="N836" s="32">
        <f>IF(AND(Assumptions!$H$221="Yes",Assumptions!$H$222="Detailed"),-Assumptions_Detailed!N$178,MAX(IFERROR(N744-N831,0),$C$839-SUM($G$836:M836)))</f>
        <v>0</v>
      </c>
      <c r="O836" s="32">
        <f>IF(AND(Assumptions!$H$221="Yes",Assumptions!$H$222="Detailed"),-Assumptions_Detailed!O$178,MAX(IFERROR(O744-O831,0),$C$839-SUM($G$836:N836)))</f>
        <v>0</v>
      </c>
      <c r="P836" s="32">
        <f>IF(AND(Assumptions!$H$221="Yes",Assumptions!$H$222="Detailed"),-Assumptions_Detailed!P$178,MAX(IFERROR(P744-P831,0),$C$839-SUM($G$836:O836)))</f>
        <v>0</v>
      </c>
      <c r="Q836" s="32">
        <f>IF(AND(Assumptions!$H$221="Yes",Assumptions!$H$222="Detailed"),-Assumptions_Detailed!Q$178,MAX(IFERROR(Q744-Q831,0),$C$839-SUM($G$836:P836)))</f>
        <v>0</v>
      </c>
      <c r="R836" s="32">
        <f>IF(AND(Assumptions!$H$221="Yes",Assumptions!$H$222="Detailed"),-Assumptions_Detailed!R$178,MAX(IFERROR(R744-R831,0),$C$839-SUM($G$836:Q836)))</f>
        <v>0</v>
      </c>
      <c r="S836" s="32">
        <f>IF(AND(Assumptions!$H$221="Yes",Assumptions!$H$222="Detailed"),-Assumptions_Detailed!S$178,MAX(IFERROR(S744-S831,0),$C$839-SUM($G$836:R836)))</f>
        <v>0</v>
      </c>
      <c r="T836" s="32">
        <f>IF(AND(Assumptions!$H$221="Yes",Assumptions!$H$222="Detailed"),-Assumptions_Detailed!T$178,MAX(IFERROR(T744-T831,0),$C$839-SUM($G$836:S836)))</f>
        <v>0</v>
      </c>
      <c r="U836" s="32">
        <f>IF(AND(Assumptions!$H$221="Yes",Assumptions!$H$222="Detailed"),-Assumptions_Detailed!U$178,MAX(IFERROR(U744-U831,0),$C$839-SUM($G$836:T836)))</f>
        <v>0</v>
      </c>
      <c r="V836" s="32">
        <f>IF(AND(Assumptions!$H$221="Yes",Assumptions!$H$222="Detailed"),-Assumptions_Detailed!V$178,MAX(IFERROR(V744-V831,0),$C$839-SUM($G$836:U836)))</f>
        <v>0</v>
      </c>
      <c r="W836" s="32">
        <f>IF(AND(Assumptions!$H$221="Yes",Assumptions!$H$222="Detailed"),-Assumptions_Detailed!W$178,MAX(IFERROR(W744-W831,0),$C$839-SUM($G$836:V836)))</f>
        <v>0</v>
      </c>
      <c r="X836" s="32">
        <f>IF(AND(Assumptions!$H$221="Yes",Assumptions!$H$222="Detailed"),-Assumptions_Detailed!X$178,MAX(IFERROR(X744-X831,0),$C$839-SUM($G$836:W836)))</f>
        <v>0</v>
      </c>
      <c r="Y836" s="32">
        <f>IF(AND(Assumptions!$H$221="Yes",Assumptions!$H$222="Detailed"),-Assumptions_Detailed!Y$178,MAX(IFERROR(Y744-Y831,0),$C$839-SUM($G$836:X836)))</f>
        <v>0</v>
      </c>
      <c r="Z836" s="32">
        <f>IF(AND(Assumptions!$H$221="Yes",Assumptions!$H$222="Detailed"),-Assumptions_Detailed!Z$178,MAX(IFERROR(Z744-Z831,0),$C$839-SUM($G$836:Y836)))</f>
        <v>0</v>
      </c>
      <c r="AA836" s="32">
        <f>IF(AND(Assumptions!$H$221="Yes",Assumptions!$H$222="Detailed"),-Assumptions_Detailed!AA$178,MAX(IFERROR(AA744-AA831,0),$C$839-SUM($G$836:Z836)))</f>
        <v>0</v>
      </c>
      <c r="AB836" s="32">
        <f>IF(AND(Assumptions!$H$221="Yes",Assumptions!$H$222="Detailed"),-Assumptions_Detailed!AB$178,MAX(IFERROR(AB744-AB831,0),$C$839-SUM($G$836:AA836)))</f>
        <v>0</v>
      </c>
      <c r="AC836" s="32">
        <f>IF(AND(Assumptions!$H$221="Yes",Assumptions!$H$222="Detailed"),-Assumptions_Detailed!AC$178,MAX(IFERROR(AC744-AC831,0),$C$839-SUM($G$836:AB836)))</f>
        <v>0</v>
      </c>
      <c r="AD836" s="32">
        <f>IF(AND(Assumptions!$H$221="Yes",Assumptions!$H$222="Detailed"),-Assumptions_Detailed!AD$178,MAX(IFERROR(AD744-AD831,0),$C$839-SUM($G$836:AC836)))</f>
        <v>0</v>
      </c>
      <c r="AE836" s="32">
        <f>IF(AND(Assumptions!$H$221="Yes",Assumptions!$H$222="Detailed"),-Assumptions_Detailed!AE$178,MAX(IFERROR(AE744-AE831,0),$C$839-SUM($G$836:AD836)))</f>
        <v>0</v>
      </c>
      <c r="AF836" s="32">
        <f>IF(AND(Assumptions!$H$221="Yes",Assumptions!$H$222="Detailed"),-Assumptions_Detailed!AF$178,MAX(IFERROR(AF744-AF831,0),$C$839-SUM($G$836:AE836)))</f>
        <v>0</v>
      </c>
      <c r="AG836" s="32">
        <f>IF(AND(Assumptions!$H$221="Yes",Assumptions!$H$222="Detailed"),-Assumptions_Detailed!AG$178,MAX(IFERROR(AG744-AG831,0),$C$839-SUM($G$836:AF836)))</f>
        <v>0</v>
      </c>
      <c r="AH836" s="32">
        <f>IF(AND(Assumptions!$H$221="Yes",Assumptions!$H$222="Detailed"),-Assumptions_Detailed!AH$178,MAX(IFERROR(AH744-AH831,0),$C$839-SUM($G$836:AG836)))</f>
        <v>0</v>
      </c>
      <c r="AI836" s="32">
        <f>IF(AND(Assumptions!$H$221="Yes",Assumptions!$H$222="Detailed"),-Assumptions_Detailed!AI$178,MAX(IFERROR(AI744-AI831,0),$C$839-SUM($G$836:AH836)))</f>
        <v>0</v>
      </c>
      <c r="AJ836" s="32">
        <f>IF(AND(Assumptions!$H$221="Yes",Assumptions!$H$222="Detailed"),-Assumptions_Detailed!AJ$178,MAX(IFERROR(AJ744-AJ831,0),$C$839-SUM($G$836:AI836)))</f>
        <v>0</v>
      </c>
      <c r="AK836" s="32">
        <f>IF(AND(Assumptions!$H$221="Yes",Assumptions!$H$222="Detailed"),-Assumptions_Detailed!AK$178,MAX(IFERROR(AK744-AK831,0),$C$839-SUM($G$836:AJ836)))</f>
        <v>0</v>
      </c>
      <c r="AL836" s="32">
        <f>IF(AND(Assumptions!$H$221="Yes",Assumptions!$H$222="Detailed"),-Assumptions_Detailed!AL$178,MAX(IFERROR(AL744-AL831,0),$C$839-SUM($G$836:AK836)))</f>
        <v>0</v>
      </c>
      <c r="AM836" s="32">
        <f>IF(AND(Assumptions!$H$221="Yes",Assumptions!$H$222="Detailed"),-Assumptions_Detailed!AM$178,MAX(IFERROR(AM744-AM831,0),$C$839-SUM($G$836:AL836)))</f>
        <v>0</v>
      </c>
      <c r="AN836" s="32">
        <f>IF(AND(Assumptions!$H$221="Yes",Assumptions!$H$222="Detailed"),-Assumptions_Detailed!AN$178,MAX(IFERROR(AN744-AN831,0),$C$839-SUM($G$836:AM836)))</f>
        <v>0</v>
      </c>
      <c r="AO836" s="32">
        <f>IF(AND(Assumptions!$H$221="Yes",Assumptions!$H$222="Detailed"),-Assumptions_Detailed!AO$178,MAX(IFERROR(AO744-AO831,0),$C$839-SUM($G$836:AN836)))</f>
        <v>0</v>
      </c>
      <c r="AP836" s="32">
        <f>IF(AND(Assumptions!$H$221="Yes",Assumptions!$H$222="Detailed"),-Assumptions_Detailed!AP$178,MAX(IFERROR(AP744-AP831,0),$C$839-SUM($G$836:AO836)))</f>
        <v>0</v>
      </c>
      <c r="AQ836" s="32">
        <f>IF(AND(Assumptions!$H$221="Yes",Assumptions!$H$222="Detailed"),-Assumptions_Detailed!AQ$178,MAX(IFERROR(AQ744-AQ831,0),$C$839-SUM($G$836:AP836)))</f>
        <v>0</v>
      </c>
      <c r="AR836" s="32">
        <f>IF(AND(Assumptions!$H$221="Yes",Assumptions!$H$222="Detailed"),-Assumptions_Detailed!AR$178,MAX(IFERROR(AR744-AR831,0),$C$839-SUM($G$836:AQ836)))</f>
        <v>0</v>
      </c>
      <c r="AS836" s="32">
        <f>IF(AND(Assumptions!$H$221="Yes",Assumptions!$H$222="Detailed"),-Assumptions_Detailed!AS$178,MAX(IFERROR(AS744-AS831,0),$C$839-SUM($G$836:AR836)))</f>
        <v>0</v>
      </c>
      <c r="AT836" s="32">
        <f>IF(AND(Assumptions!$H$221="Yes",Assumptions!$H$222="Detailed"),-Assumptions_Detailed!AT$178,MAX(IFERROR(AT744-AT831,0),$C$839-SUM($G$836:AS836)))</f>
        <v>0</v>
      </c>
      <c r="AU836" s="32">
        <f>IF(AND(Assumptions!$H$221="Yes",Assumptions!$H$222="Detailed"),-Assumptions_Detailed!AU$178,MAX(IFERROR(AU744-AU831,0),$C$839-SUM($G$836:AT836)))</f>
        <v>0</v>
      </c>
      <c r="AV836" s="32">
        <f>IF(AND(Assumptions!$H$221="Yes",Assumptions!$H$222="Detailed"),-Assumptions_Detailed!AV$178,MAX(IFERROR(AV744-AV831,0),$C$839-SUM($G$836:AU836)))</f>
        <v>0</v>
      </c>
      <c r="AW836" s="32">
        <f>IF(AND(Assumptions!$H$221="Yes",Assumptions!$H$222="Detailed"),-Assumptions_Detailed!AW$178,MAX(IFERROR(AW744-AW831,0),$C$839-SUM($G$836:AV836)))</f>
        <v>0</v>
      </c>
      <c r="AX836" s="32">
        <f>IF(AND(Assumptions!$H$221="Yes",Assumptions!$H$222="Detailed"),-Assumptions_Detailed!AX$178,MAX(IFERROR(AX744-AX831,0),$C$839-SUM($G$836:AW836)))</f>
        <v>0</v>
      </c>
      <c r="AY836" s="32">
        <f>IF(AND(Assumptions!$H$221="Yes",Assumptions!$H$222="Detailed"),-Assumptions_Detailed!AY$178,MAX(IFERROR(AY744-AY831,0),$C$839-SUM($G$836:AX836)))</f>
        <v>0</v>
      </c>
      <c r="AZ836" s="32">
        <f>IF(AND(Assumptions!$H$221="Yes",Assumptions!$H$222="Detailed"),-Assumptions_Detailed!AZ$178,MAX(IFERROR(AZ744-AZ831,0),$C$839-SUM($G$836:AY836)))</f>
        <v>0</v>
      </c>
      <c r="BA836" s="32">
        <f>IF(AND(Assumptions!$H$221="Yes",Assumptions!$H$222="Detailed"),-Assumptions_Detailed!BA$178,MAX(IFERROR(BA744-BA831,0),$C$839-SUM($G$836:AZ836)))</f>
        <v>0</v>
      </c>
      <c r="BB836" s="32">
        <f>IF(AND(Assumptions!$H$221="Yes",Assumptions!$H$222="Detailed"),-Assumptions_Detailed!BB$178,MAX(IFERROR(BB744-BB831,0),$C$839-SUM($G$836:BA836)))</f>
        <v>0</v>
      </c>
      <c r="BC836" s="32">
        <f>IF(AND(Assumptions!$H$221="Yes",Assumptions!$H$222="Detailed"),-Assumptions_Detailed!BC$178,MAX(IFERROR(BC744-BC831,0),$C$839-SUM($G$836:BB836)))</f>
        <v>0</v>
      </c>
      <c r="BD836" s="32">
        <f>IF(AND(Assumptions!$H$221="Yes",Assumptions!$H$222="Detailed"),-Assumptions_Detailed!BD$178,MAX(IFERROR(BD744-BD831,0),$C$839-SUM($G$836:BC836)))</f>
        <v>0</v>
      </c>
      <c r="BE836" s="32">
        <f>IF(AND(Assumptions!$H$221="Yes",Assumptions!$H$222="Detailed"),-Assumptions_Detailed!BE$178,MAX(IFERROR(BE744-BE831,0),$C$839-SUM($G$836:BD836)))</f>
        <v>0</v>
      </c>
      <c r="BF836" s="32">
        <f>IF(AND(Assumptions!$H$221="Yes",Assumptions!$H$222="Detailed"),-Assumptions_Detailed!BF$178,MAX(IFERROR(BF744-BF831,0),$C$839-SUM($G$836:BE836)))</f>
        <v>0</v>
      </c>
      <c r="BG836" s="32">
        <f>IF(AND(Assumptions!$H$221="Yes",Assumptions!$H$222="Detailed"),-Assumptions_Detailed!BG$178,MAX(IFERROR(BG744-BG831,0),$C$839-SUM($G$836:BF836)))</f>
        <v>0</v>
      </c>
      <c r="BH836" s="32">
        <f>IF(AND(Assumptions!$H$221="Yes",Assumptions!$H$222="Detailed"),-Assumptions_Detailed!BH$178,MAX(IFERROR(BH744-BH831,0),$C$839-SUM($G$836:BG836)))</f>
        <v>0</v>
      </c>
      <c r="BI836" s="32">
        <f>IF(AND(Assumptions!$H$221="Yes",Assumptions!$H$222="Detailed"),-Assumptions_Detailed!BI$178,MAX(IFERROR(BI744-BI831,0),$C$839-SUM($G$836:BH836)))</f>
        <v>0</v>
      </c>
      <c r="BJ836" s="32">
        <f>IF(AND(Assumptions!$H$221="Yes",Assumptions!$H$222="Detailed"),-Assumptions_Detailed!BJ$178,MAX(IFERROR(BJ744-BJ831,0),$C$839-SUM($G$836:BI836)))</f>
        <v>0</v>
      </c>
      <c r="BK836" s="32">
        <f>IF(AND(Assumptions!$H$221="Yes",Assumptions!$H$222="Detailed"),-Assumptions_Detailed!BK$178,MAX(IFERROR(BK744-BK831,0),$C$839-SUM($G$836:BJ836)))</f>
        <v>0</v>
      </c>
      <c r="BL836" s="32">
        <f>IF(AND(Assumptions!$H$221="Yes",Assumptions!$H$222="Detailed"),-Assumptions_Detailed!BL$178,MAX(IFERROR(BL744-BL831,0),$C$839-SUM($G$836:BK836)))</f>
        <v>0</v>
      </c>
      <c r="BM836" s="32">
        <f>IF(AND(Assumptions!$H$221="Yes",Assumptions!$H$222="Detailed"),-Assumptions_Detailed!BM$178,MAX(IFERROR(BM744-BM831,0),$C$839-SUM($G$836:BL836)))</f>
        <v>0</v>
      </c>
      <c r="BN836" s="32">
        <f>IF(AND(Assumptions!$H$221="Yes",Assumptions!$H$222="Detailed"),-Assumptions_Detailed!BN$178,MAX(IFERROR(BN744-BN831,0),$C$839-SUM($G$836:BM836)))</f>
        <v>0</v>
      </c>
      <c r="BO836" s="32">
        <f>IF(AND(Assumptions!$H$221="Yes",Assumptions!$H$222="Detailed"),-Assumptions_Detailed!BO$178,MAX(IFERROR(BO744-BO831,0),$C$839-SUM($G$836:BN836)))</f>
        <v>0</v>
      </c>
      <c r="BP836" s="32">
        <f>IF(AND(Assumptions!$H$221="Yes",Assumptions!$H$222="Detailed"),-Assumptions_Detailed!BP$178,MAX(IFERROR(BP744-BP831,0),$C$839-SUM($G$836:BO836)))</f>
        <v>0</v>
      </c>
      <c r="BQ836" s="32">
        <f>IF(AND(Assumptions!$H$221="Yes",Assumptions!$H$222="Detailed"),-Assumptions_Detailed!BQ$178,MAX(IFERROR(BQ744-BQ831,0),$C$839-SUM($G$836:BP836)))</f>
        <v>0</v>
      </c>
      <c r="BR836" s="32">
        <f>IF(AND(Assumptions!$H$221="Yes",Assumptions!$H$222="Detailed"),-Assumptions_Detailed!BR$178,MAX(IFERROR(BR744-BR831,0),$C$839-SUM($G$836:BQ836)))</f>
        <v>0</v>
      </c>
      <c r="BS836" s="32">
        <f>IF(AND(Assumptions!$H$221="Yes",Assumptions!$H$222="Detailed"),-Assumptions_Detailed!BS$178,MAX(IFERROR(BS744-BS831,0),$C$839-SUM($G$836:BR836)))</f>
        <v>0</v>
      </c>
      <c r="BT836" s="32">
        <f>IF(AND(Assumptions!$H$221="Yes",Assumptions!$H$222="Detailed"),-Assumptions_Detailed!BT$178,MAX(IFERROR(BT744-BT831,0),$C$839-SUM($G$836:BS836)))</f>
        <v>0</v>
      </c>
      <c r="BU836" s="32">
        <f>IF(AND(Assumptions!$H$221="Yes",Assumptions!$H$222="Detailed"),-Assumptions_Detailed!BU$178,MAX(IFERROR(BU744-BU831,0),$C$839-SUM($G$836:BT836)))</f>
        <v>0</v>
      </c>
      <c r="BV836" s="32">
        <f>IF(AND(Assumptions!$H$221="Yes",Assumptions!$H$222="Detailed"),-Assumptions_Detailed!BV$178,MAX(IFERROR(BV744-BV831,0),$C$839-SUM($G$836:BU836)))</f>
        <v>0</v>
      </c>
      <c r="BW836" s="32">
        <f>IF(AND(Assumptions!$H$221="Yes",Assumptions!$H$222="Detailed"),-Assumptions_Detailed!BW$178,MAX(IFERROR(BW744-BW831,0),$C$839-SUM($G$836:BV836)))</f>
        <v>0</v>
      </c>
      <c r="BX836" s="32">
        <f>IF(AND(Assumptions!$H$221="Yes",Assumptions!$H$222="Detailed"),-Assumptions_Detailed!BX$178,MAX(IFERROR(BX744-BX831,0),$C$839-SUM($G$836:BW836)))</f>
        <v>0</v>
      </c>
      <c r="BY836" s="32">
        <f>IF(AND(Assumptions!$H$221="Yes",Assumptions!$H$222="Detailed"),-Assumptions_Detailed!BY$178,MAX(IFERROR(BY744-BY831,0),$C$839-SUM($G$836:BX836)))</f>
        <v>0</v>
      </c>
    </row>
    <row r="837" spans="3:77" outlineLevel="1">
      <c r="D837" s="31"/>
      <c r="BF837" s="33"/>
      <c r="BG837" s="33"/>
      <c r="BH837" s="33"/>
      <c r="BI837" s="33"/>
      <c r="BJ837" s="33"/>
      <c r="BK837" s="33"/>
      <c r="BL837" s="33"/>
      <c r="BM837" s="33"/>
      <c r="BN837" s="33"/>
      <c r="BO837" s="33"/>
      <c r="BP837" s="33"/>
      <c r="BQ837" s="33"/>
      <c r="BR837" s="33"/>
      <c r="BS837" s="33"/>
      <c r="BT837" s="33"/>
      <c r="BU837" s="33"/>
      <c r="BV837" s="33"/>
      <c r="BW837" s="33"/>
      <c r="BX837" s="33"/>
      <c r="BY837" s="33"/>
    </row>
    <row r="838" spans="3:77" ht="15" outlineLevel="1">
      <c r="C838" s="22" t="s">
        <v>498</v>
      </c>
      <c r="D838" s="31"/>
      <c r="BF838" s="33"/>
      <c r="BG838" s="33"/>
      <c r="BH838" s="33"/>
      <c r="BI838" s="33"/>
      <c r="BJ838" s="33"/>
      <c r="BK838" s="33"/>
      <c r="BL838" s="33"/>
      <c r="BM838" s="33"/>
      <c r="BN838" s="33"/>
      <c r="BO838" s="33"/>
      <c r="BP838" s="33"/>
      <c r="BQ838" s="33"/>
      <c r="BR838" s="33"/>
      <c r="BS838" s="33"/>
      <c r="BT838" s="33"/>
      <c r="BU838" s="33"/>
      <c r="BV838" s="33"/>
      <c r="BW838" s="33"/>
      <c r="BX838" s="33"/>
      <c r="BY838" s="33"/>
    </row>
    <row r="839" spans="3:77" outlineLevel="1">
      <c r="C839" s="94">
        <f>Assumptions!$H$226*C742</f>
        <v>-604408.17005688697</v>
      </c>
      <c r="D839" s="31"/>
      <c r="BF839" s="33"/>
      <c r="BG839" s="33"/>
      <c r="BH839" s="33"/>
      <c r="BI839" s="33"/>
      <c r="BJ839" s="33"/>
      <c r="BK839" s="33"/>
      <c r="BL839" s="33"/>
      <c r="BM839" s="33"/>
      <c r="BN839" s="33"/>
      <c r="BO839" s="33"/>
      <c r="BP839" s="33"/>
      <c r="BQ839" s="33"/>
      <c r="BR839" s="33"/>
      <c r="BS839" s="33"/>
      <c r="BT839" s="33"/>
      <c r="BU839" s="33"/>
      <c r="BV839" s="33"/>
      <c r="BW839" s="33"/>
      <c r="BX839" s="33"/>
      <c r="BY839" s="33"/>
    </row>
    <row r="840" spans="3:77" outlineLevel="1">
      <c r="D840" s="31"/>
      <c r="E840" t="s">
        <v>499</v>
      </c>
      <c r="F840" s="23" t="s">
        <v>500</v>
      </c>
      <c r="G840" s="33"/>
      <c r="H840" s="33">
        <f>+IF(AND(H$836=$C842,H$836&lt;0),1,0)</f>
        <v>0</v>
      </c>
      <c r="I840" s="33">
        <f t="shared" ref="I840:BT840" si="1710">+IF(AND(I$836=$C842,I$836&lt;0),1,0)</f>
        <v>1</v>
      </c>
      <c r="J840" s="33">
        <f t="shared" si="1710"/>
        <v>0</v>
      </c>
      <c r="K840" s="33">
        <f t="shared" si="1710"/>
        <v>0</v>
      </c>
      <c r="L840" s="33">
        <f t="shared" si="1710"/>
        <v>0</v>
      </c>
      <c r="M840" s="33">
        <f t="shared" si="1710"/>
        <v>0</v>
      </c>
      <c r="N840" s="33">
        <f t="shared" si="1710"/>
        <v>0</v>
      </c>
      <c r="O840" s="33">
        <f t="shared" si="1710"/>
        <v>0</v>
      </c>
      <c r="P840" s="33">
        <f t="shared" si="1710"/>
        <v>0</v>
      </c>
      <c r="Q840" s="33">
        <f t="shared" si="1710"/>
        <v>0</v>
      </c>
      <c r="R840" s="33">
        <f t="shared" si="1710"/>
        <v>0</v>
      </c>
      <c r="S840" s="33">
        <f t="shared" si="1710"/>
        <v>0</v>
      </c>
      <c r="T840" s="33">
        <f t="shared" si="1710"/>
        <v>0</v>
      </c>
      <c r="U840" s="33">
        <f t="shared" si="1710"/>
        <v>0</v>
      </c>
      <c r="V840" s="33">
        <f t="shared" si="1710"/>
        <v>0</v>
      </c>
      <c r="W840" s="33">
        <f t="shared" si="1710"/>
        <v>0</v>
      </c>
      <c r="X840" s="33">
        <f t="shared" si="1710"/>
        <v>0</v>
      </c>
      <c r="Y840" s="33">
        <f t="shared" si="1710"/>
        <v>0</v>
      </c>
      <c r="Z840" s="33">
        <f t="shared" si="1710"/>
        <v>0</v>
      </c>
      <c r="AA840" s="33">
        <f t="shared" si="1710"/>
        <v>0</v>
      </c>
      <c r="AB840" s="33">
        <f t="shared" si="1710"/>
        <v>0</v>
      </c>
      <c r="AC840" s="33">
        <f t="shared" si="1710"/>
        <v>0</v>
      </c>
      <c r="AD840" s="33">
        <f t="shared" si="1710"/>
        <v>0</v>
      </c>
      <c r="AE840" s="33">
        <f t="shared" si="1710"/>
        <v>0</v>
      </c>
      <c r="AF840" s="33">
        <f t="shared" si="1710"/>
        <v>0</v>
      </c>
      <c r="AG840" s="33">
        <f t="shared" si="1710"/>
        <v>0</v>
      </c>
      <c r="AH840" s="33">
        <f t="shared" si="1710"/>
        <v>0</v>
      </c>
      <c r="AI840" s="33">
        <f t="shared" si="1710"/>
        <v>0</v>
      </c>
      <c r="AJ840" s="33">
        <f t="shared" si="1710"/>
        <v>0</v>
      </c>
      <c r="AK840" s="33">
        <f t="shared" si="1710"/>
        <v>0</v>
      </c>
      <c r="AL840" s="33">
        <f t="shared" si="1710"/>
        <v>0</v>
      </c>
      <c r="AM840" s="33">
        <f t="shared" si="1710"/>
        <v>0</v>
      </c>
      <c r="AN840" s="33">
        <f t="shared" si="1710"/>
        <v>0</v>
      </c>
      <c r="AO840" s="33">
        <f t="shared" si="1710"/>
        <v>0</v>
      </c>
      <c r="AP840" s="33">
        <f t="shared" si="1710"/>
        <v>0</v>
      </c>
      <c r="AQ840" s="33">
        <f t="shared" si="1710"/>
        <v>0</v>
      </c>
      <c r="AR840" s="33">
        <f t="shared" si="1710"/>
        <v>0</v>
      </c>
      <c r="AS840" s="33">
        <f t="shared" si="1710"/>
        <v>0</v>
      </c>
      <c r="AT840" s="33">
        <f t="shared" si="1710"/>
        <v>0</v>
      </c>
      <c r="AU840" s="33">
        <f t="shared" si="1710"/>
        <v>0</v>
      </c>
      <c r="AV840" s="33">
        <f t="shared" si="1710"/>
        <v>0</v>
      </c>
      <c r="AW840" s="33">
        <f t="shared" si="1710"/>
        <v>0</v>
      </c>
      <c r="AX840" s="33">
        <f t="shared" si="1710"/>
        <v>0</v>
      </c>
      <c r="AY840" s="33">
        <f t="shared" si="1710"/>
        <v>0</v>
      </c>
      <c r="AZ840" s="33">
        <f t="shared" si="1710"/>
        <v>0</v>
      </c>
      <c r="BA840" s="33">
        <f t="shared" si="1710"/>
        <v>0</v>
      </c>
      <c r="BB840" s="33">
        <f t="shared" si="1710"/>
        <v>0</v>
      </c>
      <c r="BC840" s="33">
        <f t="shared" si="1710"/>
        <v>0</v>
      </c>
      <c r="BD840" s="33">
        <f t="shared" si="1710"/>
        <v>0</v>
      </c>
      <c r="BE840" s="33">
        <f t="shared" si="1710"/>
        <v>0</v>
      </c>
      <c r="BF840" s="33">
        <f t="shared" si="1710"/>
        <v>0</v>
      </c>
      <c r="BG840" s="33">
        <f t="shared" si="1710"/>
        <v>0</v>
      </c>
      <c r="BH840" s="33">
        <f t="shared" si="1710"/>
        <v>0</v>
      </c>
      <c r="BI840" s="33">
        <f t="shared" si="1710"/>
        <v>0</v>
      </c>
      <c r="BJ840" s="33">
        <f t="shared" si="1710"/>
        <v>0</v>
      </c>
      <c r="BK840" s="33">
        <f t="shared" si="1710"/>
        <v>0</v>
      </c>
      <c r="BL840" s="33">
        <f t="shared" si="1710"/>
        <v>0</v>
      </c>
      <c r="BM840" s="33">
        <f t="shared" si="1710"/>
        <v>0</v>
      </c>
      <c r="BN840" s="33">
        <f t="shared" si="1710"/>
        <v>0</v>
      </c>
      <c r="BO840" s="33">
        <f t="shared" si="1710"/>
        <v>0</v>
      </c>
      <c r="BP840" s="33">
        <f t="shared" si="1710"/>
        <v>0</v>
      </c>
      <c r="BQ840" s="33">
        <f t="shared" si="1710"/>
        <v>0</v>
      </c>
      <c r="BR840" s="33">
        <f t="shared" si="1710"/>
        <v>0</v>
      </c>
      <c r="BS840" s="33">
        <f t="shared" si="1710"/>
        <v>0</v>
      </c>
      <c r="BT840" s="33">
        <f t="shared" si="1710"/>
        <v>0</v>
      </c>
      <c r="BU840" s="33">
        <f t="shared" ref="BU840:BY840" si="1711">+IF(AND(BU$836=$C842,BU$836&lt;0),1,0)</f>
        <v>0</v>
      </c>
      <c r="BV840" s="33">
        <f t="shared" si="1711"/>
        <v>0</v>
      </c>
      <c r="BW840" s="33">
        <f t="shared" si="1711"/>
        <v>0</v>
      </c>
      <c r="BX840" s="33">
        <f t="shared" si="1711"/>
        <v>0</v>
      </c>
      <c r="BY840" s="33">
        <f t="shared" si="1711"/>
        <v>0</v>
      </c>
    </row>
    <row r="841" spans="3:77" ht="15" outlineLevel="1">
      <c r="C841" s="22" t="s">
        <v>501</v>
      </c>
      <c r="D841" s="31"/>
      <c r="E841" t="s">
        <v>502</v>
      </c>
      <c r="F841" s="23" t="s">
        <v>500</v>
      </c>
      <c r="H841" s="33">
        <f t="shared" ref="H841:BS841" si="1712">+IF(AND(H$836=$C843,H$836&lt;0),1,0)</f>
        <v>0</v>
      </c>
      <c r="I841" s="33">
        <f t="shared" si="1712"/>
        <v>0</v>
      </c>
      <c r="J841" s="33">
        <f t="shared" si="1712"/>
        <v>1</v>
      </c>
      <c r="K841" s="33">
        <f t="shared" si="1712"/>
        <v>0</v>
      </c>
      <c r="L841" s="33">
        <f t="shared" si="1712"/>
        <v>0</v>
      </c>
      <c r="M841" s="33">
        <f t="shared" si="1712"/>
        <v>0</v>
      </c>
      <c r="N841" s="33">
        <f t="shared" si="1712"/>
        <v>0</v>
      </c>
      <c r="O841" s="33">
        <f t="shared" si="1712"/>
        <v>0</v>
      </c>
      <c r="P841" s="33">
        <f t="shared" si="1712"/>
        <v>0</v>
      </c>
      <c r="Q841" s="33">
        <f t="shared" si="1712"/>
        <v>0</v>
      </c>
      <c r="R841" s="33">
        <f t="shared" si="1712"/>
        <v>0</v>
      </c>
      <c r="S841" s="33">
        <f t="shared" si="1712"/>
        <v>0</v>
      </c>
      <c r="T841" s="33">
        <f t="shared" si="1712"/>
        <v>0</v>
      </c>
      <c r="U841" s="33">
        <f t="shared" si="1712"/>
        <v>0</v>
      </c>
      <c r="V841" s="33">
        <f t="shared" si="1712"/>
        <v>0</v>
      </c>
      <c r="W841" s="33">
        <f t="shared" si="1712"/>
        <v>0</v>
      </c>
      <c r="X841" s="33">
        <f t="shared" si="1712"/>
        <v>0</v>
      </c>
      <c r="Y841" s="33">
        <f t="shared" si="1712"/>
        <v>0</v>
      </c>
      <c r="Z841" s="33">
        <f t="shared" si="1712"/>
        <v>0</v>
      </c>
      <c r="AA841" s="33">
        <f t="shared" si="1712"/>
        <v>0</v>
      </c>
      <c r="AB841" s="33">
        <f t="shared" si="1712"/>
        <v>0</v>
      </c>
      <c r="AC841" s="33">
        <f t="shared" si="1712"/>
        <v>0</v>
      </c>
      <c r="AD841" s="33">
        <f t="shared" si="1712"/>
        <v>0</v>
      </c>
      <c r="AE841" s="33">
        <f t="shared" si="1712"/>
        <v>0</v>
      </c>
      <c r="AF841" s="33">
        <f t="shared" si="1712"/>
        <v>0</v>
      </c>
      <c r="AG841" s="33">
        <f t="shared" si="1712"/>
        <v>0</v>
      </c>
      <c r="AH841" s="33">
        <f t="shared" si="1712"/>
        <v>0</v>
      </c>
      <c r="AI841" s="33">
        <f t="shared" si="1712"/>
        <v>0</v>
      </c>
      <c r="AJ841" s="33">
        <f t="shared" si="1712"/>
        <v>0</v>
      </c>
      <c r="AK841" s="33">
        <f t="shared" si="1712"/>
        <v>0</v>
      </c>
      <c r="AL841" s="33">
        <f t="shared" si="1712"/>
        <v>0</v>
      </c>
      <c r="AM841" s="33">
        <f t="shared" si="1712"/>
        <v>0</v>
      </c>
      <c r="AN841" s="33">
        <f t="shared" si="1712"/>
        <v>0</v>
      </c>
      <c r="AO841" s="33">
        <f t="shared" si="1712"/>
        <v>0</v>
      </c>
      <c r="AP841" s="33">
        <f t="shared" si="1712"/>
        <v>0</v>
      </c>
      <c r="AQ841" s="33">
        <f t="shared" si="1712"/>
        <v>0</v>
      </c>
      <c r="AR841" s="33">
        <f t="shared" si="1712"/>
        <v>0</v>
      </c>
      <c r="AS841" s="33">
        <f t="shared" si="1712"/>
        <v>0</v>
      </c>
      <c r="AT841" s="33">
        <f t="shared" si="1712"/>
        <v>0</v>
      </c>
      <c r="AU841" s="33">
        <f t="shared" si="1712"/>
        <v>0</v>
      </c>
      <c r="AV841" s="33">
        <f t="shared" si="1712"/>
        <v>0</v>
      </c>
      <c r="AW841" s="33">
        <f t="shared" si="1712"/>
        <v>0</v>
      </c>
      <c r="AX841" s="33">
        <f t="shared" si="1712"/>
        <v>0</v>
      </c>
      <c r="AY841" s="33">
        <f t="shared" si="1712"/>
        <v>0</v>
      </c>
      <c r="AZ841" s="33">
        <f t="shared" si="1712"/>
        <v>0</v>
      </c>
      <c r="BA841" s="33">
        <f t="shared" si="1712"/>
        <v>0</v>
      </c>
      <c r="BB841" s="33">
        <f t="shared" si="1712"/>
        <v>0</v>
      </c>
      <c r="BC841" s="33">
        <f t="shared" si="1712"/>
        <v>0</v>
      </c>
      <c r="BD841" s="33">
        <f t="shared" si="1712"/>
        <v>0</v>
      </c>
      <c r="BE841" s="33">
        <f t="shared" si="1712"/>
        <v>0</v>
      </c>
      <c r="BF841" s="33">
        <f t="shared" si="1712"/>
        <v>0</v>
      </c>
      <c r="BG841" s="33">
        <f t="shared" si="1712"/>
        <v>0</v>
      </c>
      <c r="BH841" s="33">
        <f t="shared" si="1712"/>
        <v>0</v>
      </c>
      <c r="BI841" s="33">
        <f t="shared" si="1712"/>
        <v>0</v>
      </c>
      <c r="BJ841" s="33">
        <f t="shared" si="1712"/>
        <v>0</v>
      </c>
      <c r="BK841" s="33">
        <f t="shared" si="1712"/>
        <v>0</v>
      </c>
      <c r="BL841" s="33">
        <f t="shared" si="1712"/>
        <v>0</v>
      </c>
      <c r="BM841" s="33">
        <f t="shared" si="1712"/>
        <v>0</v>
      </c>
      <c r="BN841" s="33">
        <f t="shared" si="1712"/>
        <v>0</v>
      </c>
      <c r="BO841" s="33">
        <f t="shared" si="1712"/>
        <v>0</v>
      </c>
      <c r="BP841" s="33">
        <f t="shared" si="1712"/>
        <v>0</v>
      </c>
      <c r="BQ841" s="33">
        <f t="shared" si="1712"/>
        <v>0</v>
      </c>
      <c r="BR841" s="33">
        <f t="shared" si="1712"/>
        <v>0</v>
      </c>
      <c r="BS841" s="33">
        <f t="shared" si="1712"/>
        <v>0</v>
      </c>
      <c r="BT841" s="33">
        <f t="shared" ref="BT841:BY841" si="1713">+IF(AND(BT$836=$C843,BT$836&lt;0),1,0)</f>
        <v>0</v>
      </c>
      <c r="BU841" s="33">
        <f t="shared" si="1713"/>
        <v>0</v>
      </c>
      <c r="BV841" s="33">
        <f t="shared" si="1713"/>
        <v>0</v>
      </c>
      <c r="BW841" s="33">
        <f t="shared" si="1713"/>
        <v>0</v>
      </c>
      <c r="BX841" s="33">
        <f t="shared" si="1713"/>
        <v>0</v>
      </c>
      <c r="BY841" s="33">
        <f t="shared" si="1713"/>
        <v>0</v>
      </c>
    </row>
    <row r="842" spans="3:77" outlineLevel="1">
      <c r="C842" s="32" cm="1">
        <f t="array" ref="C842:C843">+TRANSPOSE(_xlfn._xlws.FILTER(H836:BY836,H836:BY836))</f>
        <v>-168413.59193947201</v>
      </c>
      <c r="D842" s="31"/>
      <c r="E842" t="s">
        <v>503</v>
      </c>
      <c r="F842" s="23" t="s">
        <v>500</v>
      </c>
      <c r="H842" s="33">
        <f t="shared" ref="H842:BS842" si="1714">+IF(AND(H$836=$C844,H$836&lt;0),1,0)</f>
        <v>0</v>
      </c>
      <c r="I842" s="33">
        <f t="shared" si="1714"/>
        <v>0</v>
      </c>
      <c r="J842" s="33">
        <f t="shared" si="1714"/>
        <v>0</v>
      </c>
      <c r="K842" s="33">
        <f t="shared" si="1714"/>
        <v>0</v>
      </c>
      <c r="L842" s="33">
        <f t="shared" si="1714"/>
        <v>0</v>
      </c>
      <c r="M842" s="33">
        <f t="shared" si="1714"/>
        <v>0</v>
      </c>
      <c r="N842" s="33">
        <f t="shared" si="1714"/>
        <v>0</v>
      </c>
      <c r="O842" s="33">
        <f t="shared" si="1714"/>
        <v>0</v>
      </c>
      <c r="P842" s="33">
        <f t="shared" si="1714"/>
        <v>0</v>
      </c>
      <c r="Q842" s="33">
        <f t="shared" si="1714"/>
        <v>0</v>
      </c>
      <c r="R842" s="33">
        <f t="shared" si="1714"/>
        <v>0</v>
      </c>
      <c r="S842" s="33">
        <f t="shared" si="1714"/>
        <v>0</v>
      </c>
      <c r="T842" s="33">
        <f t="shared" si="1714"/>
        <v>0</v>
      </c>
      <c r="U842" s="33">
        <f t="shared" si="1714"/>
        <v>0</v>
      </c>
      <c r="V842" s="33">
        <f t="shared" si="1714"/>
        <v>0</v>
      </c>
      <c r="W842" s="33">
        <f t="shared" si="1714"/>
        <v>0</v>
      </c>
      <c r="X842" s="33">
        <f t="shared" si="1714"/>
        <v>0</v>
      </c>
      <c r="Y842" s="33">
        <f t="shared" si="1714"/>
        <v>0</v>
      </c>
      <c r="Z842" s="33">
        <f t="shared" si="1714"/>
        <v>0</v>
      </c>
      <c r="AA842" s="33">
        <f t="shared" si="1714"/>
        <v>0</v>
      </c>
      <c r="AB842" s="33">
        <f t="shared" si="1714"/>
        <v>0</v>
      </c>
      <c r="AC842" s="33">
        <f t="shared" si="1714"/>
        <v>0</v>
      </c>
      <c r="AD842" s="33">
        <f t="shared" si="1714"/>
        <v>0</v>
      </c>
      <c r="AE842" s="33">
        <f t="shared" si="1714"/>
        <v>0</v>
      </c>
      <c r="AF842" s="33">
        <f t="shared" si="1714"/>
        <v>0</v>
      </c>
      <c r="AG842" s="33">
        <f t="shared" si="1714"/>
        <v>0</v>
      </c>
      <c r="AH842" s="33">
        <f t="shared" si="1714"/>
        <v>0</v>
      </c>
      <c r="AI842" s="33">
        <f t="shared" si="1714"/>
        <v>0</v>
      </c>
      <c r="AJ842" s="33">
        <f t="shared" si="1714"/>
        <v>0</v>
      </c>
      <c r="AK842" s="33">
        <f t="shared" si="1714"/>
        <v>0</v>
      </c>
      <c r="AL842" s="33">
        <f t="shared" si="1714"/>
        <v>0</v>
      </c>
      <c r="AM842" s="33">
        <f t="shared" si="1714"/>
        <v>0</v>
      </c>
      <c r="AN842" s="33">
        <f t="shared" si="1714"/>
        <v>0</v>
      </c>
      <c r="AO842" s="33">
        <f t="shared" si="1714"/>
        <v>0</v>
      </c>
      <c r="AP842" s="33">
        <f t="shared" si="1714"/>
        <v>0</v>
      </c>
      <c r="AQ842" s="33">
        <f t="shared" si="1714"/>
        <v>0</v>
      </c>
      <c r="AR842" s="33">
        <f t="shared" si="1714"/>
        <v>0</v>
      </c>
      <c r="AS842" s="33">
        <f t="shared" si="1714"/>
        <v>0</v>
      </c>
      <c r="AT842" s="33">
        <f t="shared" si="1714"/>
        <v>0</v>
      </c>
      <c r="AU842" s="33">
        <f t="shared" si="1714"/>
        <v>0</v>
      </c>
      <c r="AV842" s="33">
        <f t="shared" si="1714"/>
        <v>0</v>
      </c>
      <c r="AW842" s="33">
        <f t="shared" si="1714"/>
        <v>0</v>
      </c>
      <c r="AX842" s="33">
        <f t="shared" si="1714"/>
        <v>0</v>
      </c>
      <c r="AY842" s="33">
        <f t="shared" si="1714"/>
        <v>0</v>
      </c>
      <c r="AZ842" s="33">
        <f t="shared" si="1714"/>
        <v>0</v>
      </c>
      <c r="BA842" s="33">
        <f t="shared" si="1714"/>
        <v>0</v>
      </c>
      <c r="BB842" s="33">
        <f t="shared" si="1714"/>
        <v>0</v>
      </c>
      <c r="BC842" s="33">
        <f t="shared" si="1714"/>
        <v>0</v>
      </c>
      <c r="BD842" s="33">
        <f t="shared" si="1714"/>
        <v>0</v>
      </c>
      <c r="BE842" s="33">
        <f t="shared" si="1714"/>
        <v>0</v>
      </c>
      <c r="BF842" s="33">
        <f t="shared" si="1714"/>
        <v>0</v>
      </c>
      <c r="BG842" s="33">
        <f t="shared" si="1714"/>
        <v>0</v>
      </c>
      <c r="BH842" s="33">
        <f t="shared" si="1714"/>
        <v>0</v>
      </c>
      <c r="BI842" s="33">
        <f t="shared" si="1714"/>
        <v>0</v>
      </c>
      <c r="BJ842" s="33">
        <f t="shared" si="1714"/>
        <v>0</v>
      </c>
      <c r="BK842" s="33">
        <f t="shared" si="1714"/>
        <v>0</v>
      </c>
      <c r="BL842" s="33">
        <f t="shared" si="1714"/>
        <v>0</v>
      </c>
      <c r="BM842" s="33">
        <f t="shared" si="1714"/>
        <v>0</v>
      </c>
      <c r="BN842" s="33">
        <f t="shared" si="1714"/>
        <v>0</v>
      </c>
      <c r="BO842" s="33">
        <f t="shared" si="1714"/>
        <v>0</v>
      </c>
      <c r="BP842" s="33">
        <f t="shared" si="1714"/>
        <v>0</v>
      </c>
      <c r="BQ842" s="33">
        <f t="shared" si="1714"/>
        <v>0</v>
      </c>
      <c r="BR842" s="33">
        <f t="shared" si="1714"/>
        <v>0</v>
      </c>
      <c r="BS842" s="33">
        <f t="shared" si="1714"/>
        <v>0</v>
      </c>
      <c r="BT842" s="33">
        <f t="shared" ref="BT842:BY842" si="1715">+IF(AND(BT$836=$C844,BT$836&lt;0),1,0)</f>
        <v>0</v>
      </c>
      <c r="BU842" s="33">
        <f t="shared" si="1715"/>
        <v>0</v>
      </c>
      <c r="BV842" s="33">
        <f t="shared" si="1715"/>
        <v>0</v>
      </c>
      <c r="BW842" s="33">
        <f t="shared" si="1715"/>
        <v>0</v>
      </c>
      <c r="BX842" s="33">
        <f t="shared" si="1715"/>
        <v>0</v>
      </c>
      <c r="BY842" s="33">
        <f t="shared" si="1715"/>
        <v>0</v>
      </c>
    </row>
    <row r="843" spans="3:77" outlineLevel="1">
      <c r="C843" s="32">
        <v>-435994.57811741496</v>
      </c>
      <c r="D843" s="31"/>
      <c r="E843" t="s">
        <v>504</v>
      </c>
      <c r="F843" s="23" t="s">
        <v>500</v>
      </c>
      <c r="H843" s="33">
        <f t="shared" ref="H843:BS843" si="1716">+IF(AND(H$836=$C845,H$836&lt;0),1,0)</f>
        <v>0</v>
      </c>
      <c r="I843" s="33">
        <f t="shared" si="1716"/>
        <v>0</v>
      </c>
      <c r="J843" s="33">
        <f t="shared" si="1716"/>
        <v>0</v>
      </c>
      <c r="K843" s="33">
        <f t="shared" si="1716"/>
        <v>0</v>
      </c>
      <c r="L843" s="33">
        <f t="shared" si="1716"/>
        <v>0</v>
      </c>
      <c r="M843" s="33">
        <f t="shared" si="1716"/>
        <v>0</v>
      </c>
      <c r="N843" s="33">
        <f t="shared" si="1716"/>
        <v>0</v>
      </c>
      <c r="O843" s="33">
        <f t="shared" si="1716"/>
        <v>0</v>
      </c>
      <c r="P843" s="33">
        <f t="shared" si="1716"/>
        <v>0</v>
      </c>
      <c r="Q843" s="33">
        <f t="shared" si="1716"/>
        <v>0</v>
      </c>
      <c r="R843" s="33">
        <f t="shared" si="1716"/>
        <v>0</v>
      </c>
      <c r="S843" s="33">
        <f t="shared" si="1716"/>
        <v>0</v>
      </c>
      <c r="T843" s="33">
        <f t="shared" si="1716"/>
        <v>0</v>
      </c>
      <c r="U843" s="33">
        <f t="shared" si="1716"/>
        <v>0</v>
      </c>
      <c r="V843" s="33">
        <f t="shared" si="1716"/>
        <v>0</v>
      </c>
      <c r="W843" s="33">
        <f t="shared" si="1716"/>
        <v>0</v>
      </c>
      <c r="X843" s="33">
        <f t="shared" si="1716"/>
        <v>0</v>
      </c>
      <c r="Y843" s="33">
        <f t="shared" si="1716"/>
        <v>0</v>
      </c>
      <c r="Z843" s="33">
        <f t="shared" si="1716"/>
        <v>0</v>
      </c>
      <c r="AA843" s="33">
        <f t="shared" si="1716"/>
        <v>0</v>
      </c>
      <c r="AB843" s="33">
        <f t="shared" si="1716"/>
        <v>0</v>
      </c>
      <c r="AC843" s="33">
        <f t="shared" si="1716"/>
        <v>0</v>
      </c>
      <c r="AD843" s="33">
        <f t="shared" si="1716"/>
        <v>0</v>
      </c>
      <c r="AE843" s="33">
        <f t="shared" si="1716"/>
        <v>0</v>
      </c>
      <c r="AF843" s="33">
        <f t="shared" si="1716"/>
        <v>0</v>
      </c>
      <c r="AG843" s="33">
        <f t="shared" si="1716"/>
        <v>0</v>
      </c>
      <c r="AH843" s="33">
        <f t="shared" si="1716"/>
        <v>0</v>
      </c>
      <c r="AI843" s="33">
        <f t="shared" si="1716"/>
        <v>0</v>
      </c>
      <c r="AJ843" s="33">
        <f t="shared" si="1716"/>
        <v>0</v>
      </c>
      <c r="AK843" s="33">
        <f t="shared" si="1716"/>
        <v>0</v>
      </c>
      <c r="AL843" s="33">
        <f t="shared" si="1716"/>
        <v>0</v>
      </c>
      <c r="AM843" s="33">
        <f t="shared" si="1716"/>
        <v>0</v>
      </c>
      <c r="AN843" s="33">
        <f t="shared" si="1716"/>
        <v>0</v>
      </c>
      <c r="AO843" s="33">
        <f t="shared" si="1716"/>
        <v>0</v>
      </c>
      <c r="AP843" s="33">
        <f t="shared" si="1716"/>
        <v>0</v>
      </c>
      <c r="AQ843" s="33">
        <f t="shared" si="1716"/>
        <v>0</v>
      </c>
      <c r="AR843" s="33">
        <f t="shared" si="1716"/>
        <v>0</v>
      </c>
      <c r="AS843" s="33">
        <f t="shared" si="1716"/>
        <v>0</v>
      </c>
      <c r="AT843" s="33">
        <f t="shared" si="1716"/>
        <v>0</v>
      </c>
      <c r="AU843" s="33">
        <f t="shared" si="1716"/>
        <v>0</v>
      </c>
      <c r="AV843" s="33">
        <f t="shared" si="1716"/>
        <v>0</v>
      </c>
      <c r="AW843" s="33">
        <f t="shared" si="1716"/>
        <v>0</v>
      </c>
      <c r="AX843" s="33">
        <f t="shared" si="1716"/>
        <v>0</v>
      </c>
      <c r="AY843" s="33">
        <f t="shared" si="1716"/>
        <v>0</v>
      </c>
      <c r="AZ843" s="33">
        <f t="shared" si="1716"/>
        <v>0</v>
      </c>
      <c r="BA843" s="33">
        <f t="shared" si="1716"/>
        <v>0</v>
      </c>
      <c r="BB843" s="33">
        <f t="shared" si="1716"/>
        <v>0</v>
      </c>
      <c r="BC843" s="33">
        <f t="shared" si="1716"/>
        <v>0</v>
      </c>
      <c r="BD843" s="33">
        <f t="shared" si="1716"/>
        <v>0</v>
      </c>
      <c r="BE843" s="33">
        <f t="shared" si="1716"/>
        <v>0</v>
      </c>
      <c r="BF843" s="33">
        <f t="shared" si="1716"/>
        <v>0</v>
      </c>
      <c r="BG843" s="33">
        <f t="shared" si="1716"/>
        <v>0</v>
      </c>
      <c r="BH843" s="33">
        <f t="shared" si="1716"/>
        <v>0</v>
      </c>
      <c r="BI843" s="33">
        <f t="shared" si="1716"/>
        <v>0</v>
      </c>
      <c r="BJ843" s="33">
        <f t="shared" si="1716"/>
        <v>0</v>
      </c>
      <c r="BK843" s="33">
        <f t="shared" si="1716"/>
        <v>0</v>
      </c>
      <c r="BL843" s="33">
        <f t="shared" si="1716"/>
        <v>0</v>
      </c>
      <c r="BM843" s="33">
        <f t="shared" si="1716"/>
        <v>0</v>
      </c>
      <c r="BN843" s="33">
        <f t="shared" si="1716"/>
        <v>0</v>
      </c>
      <c r="BO843" s="33">
        <f t="shared" si="1716"/>
        <v>0</v>
      </c>
      <c r="BP843" s="33">
        <f t="shared" si="1716"/>
        <v>0</v>
      </c>
      <c r="BQ843" s="33">
        <f t="shared" si="1716"/>
        <v>0</v>
      </c>
      <c r="BR843" s="33">
        <f t="shared" si="1716"/>
        <v>0</v>
      </c>
      <c r="BS843" s="33">
        <f t="shared" si="1716"/>
        <v>0</v>
      </c>
      <c r="BT843" s="33">
        <f t="shared" ref="BT843:BY843" si="1717">+IF(AND(BT$836=$C845,BT$836&lt;0),1,0)</f>
        <v>0</v>
      </c>
      <c r="BU843" s="33">
        <f t="shared" si="1717"/>
        <v>0</v>
      </c>
      <c r="BV843" s="33">
        <f t="shared" si="1717"/>
        <v>0</v>
      </c>
      <c r="BW843" s="33">
        <f t="shared" si="1717"/>
        <v>0</v>
      </c>
      <c r="BX843" s="33">
        <f t="shared" si="1717"/>
        <v>0</v>
      </c>
      <c r="BY843" s="33">
        <f t="shared" si="1717"/>
        <v>0</v>
      </c>
    </row>
    <row r="844" spans="3:77" outlineLevel="1">
      <c r="C844" s="32"/>
      <c r="D844" s="31"/>
      <c r="E844" t="s">
        <v>505</v>
      </c>
      <c r="F844" s="23" t="s">
        <v>500</v>
      </c>
      <c r="H844" s="33">
        <f t="shared" ref="H844:BS844" si="1718">+IF(AND(H$836=$C846,H$836&lt;0),1,0)</f>
        <v>0</v>
      </c>
      <c r="I844" s="33">
        <f t="shared" si="1718"/>
        <v>0</v>
      </c>
      <c r="J844" s="33">
        <f t="shared" si="1718"/>
        <v>0</v>
      </c>
      <c r="K844" s="33">
        <f t="shared" si="1718"/>
        <v>0</v>
      </c>
      <c r="L844" s="33">
        <f t="shared" si="1718"/>
        <v>0</v>
      </c>
      <c r="M844" s="33">
        <f t="shared" si="1718"/>
        <v>0</v>
      </c>
      <c r="N844" s="33">
        <f t="shared" si="1718"/>
        <v>0</v>
      </c>
      <c r="O844" s="33">
        <f t="shared" si="1718"/>
        <v>0</v>
      </c>
      <c r="P844" s="33">
        <f t="shared" si="1718"/>
        <v>0</v>
      </c>
      <c r="Q844" s="33">
        <f t="shared" si="1718"/>
        <v>0</v>
      </c>
      <c r="R844" s="33">
        <f t="shared" si="1718"/>
        <v>0</v>
      </c>
      <c r="S844" s="33">
        <f t="shared" si="1718"/>
        <v>0</v>
      </c>
      <c r="T844" s="33">
        <f t="shared" si="1718"/>
        <v>0</v>
      </c>
      <c r="U844" s="33">
        <f t="shared" si="1718"/>
        <v>0</v>
      </c>
      <c r="V844" s="33">
        <f t="shared" si="1718"/>
        <v>0</v>
      </c>
      <c r="W844" s="33">
        <f t="shared" si="1718"/>
        <v>0</v>
      </c>
      <c r="X844" s="33">
        <f t="shared" si="1718"/>
        <v>0</v>
      </c>
      <c r="Y844" s="33">
        <f t="shared" si="1718"/>
        <v>0</v>
      </c>
      <c r="Z844" s="33">
        <f t="shared" si="1718"/>
        <v>0</v>
      </c>
      <c r="AA844" s="33">
        <f t="shared" si="1718"/>
        <v>0</v>
      </c>
      <c r="AB844" s="33">
        <f t="shared" si="1718"/>
        <v>0</v>
      </c>
      <c r="AC844" s="33">
        <f t="shared" si="1718"/>
        <v>0</v>
      </c>
      <c r="AD844" s="33">
        <f t="shared" si="1718"/>
        <v>0</v>
      </c>
      <c r="AE844" s="33">
        <f t="shared" si="1718"/>
        <v>0</v>
      </c>
      <c r="AF844" s="33">
        <f t="shared" si="1718"/>
        <v>0</v>
      </c>
      <c r="AG844" s="33">
        <f t="shared" si="1718"/>
        <v>0</v>
      </c>
      <c r="AH844" s="33">
        <f t="shared" si="1718"/>
        <v>0</v>
      </c>
      <c r="AI844" s="33">
        <f t="shared" si="1718"/>
        <v>0</v>
      </c>
      <c r="AJ844" s="33">
        <f t="shared" si="1718"/>
        <v>0</v>
      </c>
      <c r="AK844" s="33">
        <f t="shared" si="1718"/>
        <v>0</v>
      </c>
      <c r="AL844" s="33">
        <f t="shared" si="1718"/>
        <v>0</v>
      </c>
      <c r="AM844" s="33">
        <f t="shared" si="1718"/>
        <v>0</v>
      </c>
      <c r="AN844" s="33">
        <f t="shared" si="1718"/>
        <v>0</v>
      </c>
      <c r="AO844" s="33">
        <f t="shared" si="1718"/>
        <v>0</v>
      </c>
      <c r="AP844" s="33">
        <f t="shared" si="1718"/>
        <v>0</v>
      </c>
      <c r="AQ844" s="33">
        <f t="shared" si="1718"/>
        <v>0</v>
      </c>
      <c r="AR844" s="33">
        <f t="shared" si="1718"/>
        <v>0</v>
      </c>
      <c r="AS844" s="33">
        <f t="shared" si="1718"/>
        <v>0</v>
      </c>
      <c r="AT844" s="33">
        <f t="shared" si="1718"/>
        <v>0</v>
      </c>
      <c r="AU844" s="33">
        <f t="shared" si="1718"/>
        <v>0</v>
      </c>
      <c r="AV844" s="33">
        <f t="shared" si="1718"/>
        <v>0</v>
      </c>
      <c r="AW844" s="33">
        <f t="shared" si="1718"/>
        <v>0</v>
      </c>
      <c r="AX844" s="33">
        <f t="shared" si="1718"/>
        <v>0</v>
      </c>
      <c r="AY844" s="33">
        <f t="shared" si="1718"/>
        <v>0</v>
      </c>
      <c r="AZ844" s="33">
        <f t="shared" si="1718"/>
        <v>0</v>
      </c>
      <c r="BA844" s="33">
        <f t="shared" si="1718"/>
        <v>0</v>
      </c>
      <c r="BB844" s="33">
        <f t="shared" si="1718"/>
        <v>0</v>
      </c>
      <c r="BC844" s="33">
        <f t="shared" si="1718"/>
        <v>0</v>
      </c>
      <c r="BD844" s="33">
        <f t="shared" si="1718"/>
        <v>0</v>
      </c>
      <c r="BE844" s="33">
        <f t="shared" si="1718"/>
        <v>0</v>
      </c>
      <c r="BF844" s="33">
        <f t="shared" si="1718"/>
        <v>0</v>
      </c>
      <c r="BG844" s="33">
        <f t="shared" si="1718"/>
        <v>0</v>
      </c>
      <c r="BH844" s="33">
        <f t="shared" si="1718"/>
        <v>0</v>
      </c>
      <c r="BI844" s="33">
        <f t="shared" si="1718"/>
        <v>0</v>
      </c>
      <c r="BJ844" s="33">
        <f t="shared" si="1718"/>
        <v>0</v>
      </c>
      <c r="BK844" s="33">
        <f t="shared" si="1718"/>
        <v>0</v>
      </c>
      <c r="BL844" s="33">
        <f t="shared" si="1718"/>
        <v>0</v>
      </c>
      <c r="BM844" s="33">
        <f t="shared" si="1718"/>
        <v>0</v>
      </c>
      <c r="BN844" s="33">
        <f t="shared" si="1718"/>
        <v>0</v>
      </c>
      <c r="BO844" s="33">
        <f t="shared" si="1718"/>
        <v>0</v>
      </c>
      <c r="BP844" s="33">
        <f t="shared" si="1718"/>
        <v>0</v>
      </c>
      <c r="BQ844" s="33">
        <f t="shared" si="1718"/>
        <v>0</v>
      </c>
      <c r="BR844" s="33">
        <f t="shared" si="1718"/>
        <v>0</v>
      </c>
      <c r="BS844" s="33">
        <f t="shared" si="1718"/>
        <v>0</v>
      </c>
      <c r="BT844" s="33">
        <f t="shared" ref="BT844:BY844" si="1719">+IF(AND(BT$836=$C846,BT$836&lt;0),1,0)</f>
        <v>0</v>
      </c>
      <c r="BU844" s="33">
        <f t="shared" si="1719"/>
        <v>0</v>
      </c>
      <c r="BV844" s="33">
        <f t="shared" si="1719"/>
        <v>0</v>
      </c>
      <c r="BW844" s="33">
        <f t="shared" si="1719"/>
        <v>0</v>
      </c>
      <c r="BX844" s="33">
        <f t="shared" si="1719"/>
        <v>0</v>
      </c>
      <c r="BY844" s="33">
        <f t="shared" si="1719"/>
        <v>0</v>
      </c>
    </row>
    <row r="845" spans="3:77" outlineLevel="1">
      <c r="C845" s="32"/>
      <c r="D845" s="31"/>
      <c r="E845" t="s">
        <v>506</v>
      </c>
      <c r="F845" s="23" t="s">
        <v>500</v>
      </c>
      <c r="H845" s="33">
        <f t="shared" ref="H845:BS845" si="1720">+IF(AND(H$836=$C847,H$836&lt;0),1,0)</f>
        <v>0</v>
      </c>
      <c r="I845" s="33">
        <f t="shared" si="1720"/>
        <v>0</v>
      </c>
      <c r="J845" s="33">
        <f t="shared" si="1720"/>
        <v>0</v>
      </c>
      <c r="K845" s="33">
        <f t="shared" si="1720"/>
        <v>0</v>
      </c>
      <c r="L845" s="33">
        <f t="shared" si="1720"/>
        <v>0</v>
      </c>
      <c r="M845" s="33">
        <f t="shared" si="1720"/>
        <v>0</v>
      </c>
      <c r="N845" s="33">
        <f t="shared" si="1720"/>
        <v>0</v>
      </c>
      <c r="O845" s="33">
        <f t="shared" si="1720"/>
        <v>0</v>
      </c>
      <c r="P845" s="33">
        <f t="shared" si="1720"/>
        <v>0</v>
      </c>
      <c r="Q845" s="33">
        <f t="shared" si="1720"/>
        <v>0</v>
      </c>
      <c r="R845" s="33">
        <f t="shared" si="1720"/>
        <v>0</v>
      </c>
      <c r="S845" s="33">
        <f t="shared" si="1720"/>
        <v>0</v>
      </c>
      <c r="T845" s="33">
        <f t="shared" si="1720"/>
        <v>0</v>
      </c>
      <c r="U845" s="33">
        <f t="shared" si="1720"/>
        <v>0</v>
      </c>
      <c r="V845" s="33">
        <f t="shared" si="1720"/>
        <v>0</v>
      </c>
      <c r="W845" s="33">
        <f t="shared" si="1720"/>
        <v>0</v>
      </c>
      <c r="X845" s="33">
        <f t="shared" si="1720"/>
        <v>0</v>
      </c>
      <c r="Y845" s="33">
        <f t="shared" si="1720"/>
        <v>0</v>
      </c>
      <c r="Z845" s="33">
        <f t="shared" si="1720"/>
        <v>0</v>
      </c>
      <c r="AA845" s="33">
        <f t="shared" si="1720"/>
        <v>0</v>
      </c>
      <c r="AB845" s="33">
        <f t="shared" si="1720"/>
        <v>0</v>
      </c>
      <c r="AC845" s="33">
        <f t="shared" si="1720"/>
        <v>0</v>
      </c>
      <c r="AD845" s="33">
        <f t="shared" si="1720"/>
        <v>0</v>
      </c>
      <c r="AE845" s="33">
        <f t="shared" si="1720"/>
        <v>0</v>
      </c>
      <c r="AF845" s="33">
        <f t="shared" si="1720"/>
        <v>0</v>
      </c>
      <c r="AG845" s="33">
        <f t="shared" si="1720"/>
        <v>0</v>
      </c>
      <c r="AH845" s="33">
        <f t="shared" si="1720"/>
        <v>0</v>
      </c>
      <c r="AI845" s="33">
        <f t="shared" si="1720"/>
        <v>0</v>
      </c>
      <c r="AJ845" s="33">
        <f t="shared" si="1720"/>
        <v>0</v>
      </c>
      <c r="AK845" s="33">
        <f t="shared" si="1720"/>
        <v>0</v>
      </c>
      <c r="AL845" s="33">
        <f t="shared" si="1720"/>
        <v>0</v>
      </c>
      <c r="AM845" s="33">
        <f t="shared" si="1720"/>
        <v>0</v>
      </c>
      <c r="AN845" s="33">
        <f t="shared" si="1720"/>
        <v>0</v>
      </c>
      <c r="AO845" s="33">
        <f t="shared" si="1720"/>
        <v>0</v>
      </c>
      <c r="AP845" s="33">
        <f t="shared" si="1720"/>
        <v>0</v>
      </c>
      <c r="AQ845" s="33">
        <f t="shared" si="1720"/>
        <v>0</v>
      </c>
      <c r="AR845" s="33">
        <f t="shared" si="1720"/>
        <v>0</v>
      </c>
      <c r="AS845" s="33">
        <f t="shared" si="1720"/>
        <v>0</v>
      </c>
      <c r="AT845" s="33">
        <f t="shared" si="1720"/>
        <v>0</v>
      </c>
      <c r="AU845" s="33">
        <f t="shared" si="1720"/>
        <v>0</v>
      </c>
      <c r="AV845" s="33">
        <f t="shared" si="1720"/>
        <v>0</v>
      </c>
      <c r="AW845" s="33">
        <f t="shared" si="1720"/>
        <v>0</v>
      </c>
      <c r="AX845" s="33">
        <f t="shared" si="1720"/>
        <v>0</v>
      </c>
      <c r="AY845" s="33">
        <f t="shared" si="1720"/>
        <v>0</v>
      </c>
      <c r="AZ845" s="33">
        <f t="shared" si="1720"/>
        <v>0</v>
      </c>
      <c r="BA845" s="33">
        <f t="shared" si="1720"/>
        <v>0</v>
      </c>
      <c r="BB845" s="33">
        <f t="shared" si="1720"/>
        <v>0</v>
      </c>
      <c r="BC845" s="33">
        <f t="shared" si="1720"/>
        <v>0</v>
      </c>
      <c r="BD845" s="33">
        <f t="shared" si="1720"/>
        <v>0</v>
      </c>
      <c r="BE845" s="33">
        <f t="shared" si="1720"/>
        <v>0</v>
      </c>
      <c r="BF845" s="33">
        <f t="shared" si="1720"/>
        <v>0</v>
      </c>
      <c r="BG845" s="33">
        <f t="shared" si="1720"/>
        <v>0</v>
      </c>
      <c r="BH845" s="33">
        <f t="shared" si="1720"/>
        <v>0</v>
      </c>
      <c r="BI845" s="33">
        <f t="shared" si="1720"/>
        <v>0</v>
      </c>
      <c r="BJ845" s="33">
        <f t="shared" si="1720"/>
        <v>0</v>
      </c>
      <c r="BK845" s="33">
        <f t="shared" si="1720"/>
        <v>0</v>
      </c>
      <c r="BL845" s="33">
        <f t="shared" si="1720"/>
        <v>0</v>
      </c>
      <c r="BM845" s="33">
        <f t="shared" si="1720"/>
        <v>0</v>
      </c>
      <c r="BN845" s="33">
        <f t="shared" si="1720"/>
        <v>0</v>
      </c>
      <c r="BO845" s="33">
        <f t="shared" si="1720"/>
        <v>0</v>
      </c>
      <c r="BP845" s="33">
        <f t="shared" si="1720"/>
        <v>0</v>
      </c>
      <c r="BQ845" s="33">
        <f t="shared" si="1720"/>
        <v>0</v>
      </c>
      <c r="BR845" s="33">
        <f t="shared" si="1720"/>
        <v>0</v>
      </c>
      <c r="BS845" s="33">
        <f t="shared" si="1720"/>
        <v>0</v>
      </c>
      <c r="BT845" s="33">
        <f t="shared" ref="BT845:BY845" si="1721">+IF(AND(BT$836=$C847,BT$836&lt;0),1,0)</f>
        <v>0</v>
      </c>
      <c r="BU845" s="33">
        <f t="shared" si="1721"/>
        <v>0</v>
      </c>
      <c r="BV845" s="33">
        <f t="shared" si="1721"/>
        <v>0</v>
      </c>
      <c r="BW845" s="33">
        <f t="shared" si="1721"/>
        <v>0</v>
      </c>
      <c r="BX845" s="33">
        <f t="shared" si="1721"/>
        <v>0</v>
      </c>
      <c r="BY845" s="33">
        <f t="shared" si="1721"/>
        <v>0</v>
      </c>
    </row>
    <row r="846" spans="3:77" outlineLevel="1">
      <c r="C846" s="32"/>
      <c r="D846" s="31"/>
      <c r="E846" t="s">
        <v>507</v>
      </c>
      <c r="F846" s="23" t="s">
        <v>500</v>
      </c>
      <c r="H846" s="33">
        <f t="shared" ref="H846:BS846" si="1722">+IF(AND(H$836=$C848,H$836&lt;0),1,0)</f>
        <v>0</v>
      </c>
      <c r="I846" s="33">
        <f t="shared" si="1722"/>
        <v>0</v>
      </c>
      <c r="J846" s="33">
        <f t="shared" si="1722"/>
        <v>0</v>
      </c>
      <c r="K846" s="33">
        <f t="shared" si="1722"/>
        <v>0</v>
      </c>
      <c r="L846" s="33">
        <f t="shared" si="1722"/>
        <v>0</v>
      </c>
      <c r="M846" s="33">
        <f t="shared" si="1722"/>
        <v>0</v>
      </c>
      <c r="N846" s="33">
        <f t="shared" si="1722"/>
        <v>0</v>
      </c>
      <c r="O846" s="33">
        <f t="shared" si="1722"/>
        <v>0</v>
      </c>
      <c r="P846" s="33">
        <f t="shared" si="1722"/>
        <v>0</v>
      </c>
      <c r="Q846" s="33">
        <f t="shared" si="1722"/>
        <v>0</v>
      </c>
      <c r="R846" s="33">
        <f t="shared" si="1722"/>
        <v>0</v>
      </c>
      <c r="S846" s="33">
        <f t="shared" si="1722"/>
        <v>0</v>
      </c>
      <c r="T846" s="33">
        <f t="shared" si="1722"/>
        <v>0</v>
      </c>
      <c r="U846" s="33">
        <f t="shared" si="1722"/>
        <v>0</v>
      </c>
      <c r="V846" s="33">
        <f t="shared" si="1722"/>
        <v>0</v>
      </c>
      <c r="W846" s="33">
        <f t="shared" si="1722"/>
        <v>0</v>
      </c>
      <c r="X846" s="33">
        <f t="shared" si="1722"/>
        <v>0</v>
      </c>
      <c r="Y846" s="33">
        <f t="shared" si="1722"/>
        <v>0</v>
      </c>
      <c r="Z846" s="33">
        <f t="shared" si="1722"/>
        <v>0</v>
      </c>
      <c r="AA846" s="33">
        <f t="shared" si="1722"/>
        <v>0</v>
      </c>
      <c r="AB846" s="33">
        <f t="shared" si="1722"/>
        <v>0</v>
      </c>
      <c r="AC846" s="33">
        <f t="shared" si="1722"/>
        <v>0</v>
      </c>
      <c r="AD846" s="33">
        <f t="shared" si="1722"/>
        <v>0</v>
      </c>
      <c r="AE846" s="33">
        <f t="shared" si="1722"/>
        <v>0</v>
      </c>
      <c r="AF846" s="33">
        <f t="shared" si="1722"/>
        <v>0</v>
      </c>
      <c r="AG846" s="33">
        <f t="shared" si="1722"/>
        <v>0</v>
      </c>
      <c r="AH846" s="33">
        <f t="shared" si="1722"/>
        <v>0</v>
      </c>
      <c r="AI846" s="33">
        <f t="shared" si="1722"/>
        <v>0</v>
      </c>
      <c r="AJ846" s="33">
        <f t="shared" si="1722"/>
        <v>0</v>
      </c>
      <c r="AK846" s="33">
        <f t="shared" si="1722"/>
        <v>0</v>
      </c>
      <c r="AL846" s="33">
        <f t="shared" si="1722"/>
        <v>0</v>
      </c>
      <c r="AM846" s="33">
        <f t="shared" si="1722"/>
        <v>0</v>
      </c>
      <c r="AN846" s="33">
        <f t="shared" si="1722"/>
        <v>0</v>
      </c>
      <c r="AO846" s="33">
        <f t="shared" si="1722"/>
        <v>0</v>
      </c>
      <c r="AP846" s="33">
        <f t="shared" si="1722"/>
        <v>0</v>
      </c>
      <c r="AQ846" s="33">
        <f t="shared" si="1722"/>
        <v>0</v>
      </c>
      <c r="AR846" s="33">
        <f t="shared" si="1722"/>
        <v>0</v>
      </c>
      <c r="AS846" s="33">
        <f t="shared" si="1722"/>
        <v>0</v>
      </c>
      <c r="AT846" s="33">
        <f t="shared" si="1722"/>
        <v>0</v>
      </c>
      <c r="AU846" s="33">
        <f t="shared" si="1722"/>
        <v>0</v>
      </c>
      <c r="AV846" s="33">
        <f t="shared" si="1722"/>
        <v>0</v>
      </c>
      <c r="AW846" s="33">
        <f t="shared" si="1722"/>
        <v>0</v>
      </c>
      <c r="AX846" s="33">
        <f t="shared" si="1722"/>
        <v>0</v>
      </c>
      <c r="AY846" s="33">
        <f t="shared" si="1722"/>
        <v>0</v>
      </c>
      <c r="AZ846" s="33">
        <f t="shared" si="1722"/>
        <v>0</v>
      </c>
      <c r="BA846" s="33">
        <f t="shared" si="1722"/>
        <v>0</v>
      </c>
      <c r="BB846" s="33">
        <f t="shared" si="1722"/>
        <v>0</v>
      </c>
      <c r="BC846" s="33">
        <f t="shared" si="1722"/>
        <v>0</v>
      </c>
      <c r="BD846" s="33">
        <f t="shared" si="1722"/>
        <v>0</v>
      </c>
      <c r="BE846" s="33">
        <f t="shared" si="1722"/>
        <v>0</v>
      </c>
      <c r="BF846" s="33">
        <f t="shared" si="1722"/>
        <v>0</v>
      </c>
      <c r="BG846" s="33">
        <f t="shared" si="1722"/>
        <v>0</v>
      </c>
      <c r="BH846" s="33">
        <f t="shared" si="1722"/>
        <v>0</v>
      </c>
      <c r="BI846" s="33">
        <f t="shared" si="1722"/>
        <v>0</v>
      </c>
      <c r="BJ846" s="33">
        <f t="shared" si="1722"/>
        <v>0</v>
      </c>
      <c r="BK846" s="33">
        <f t="shared" si="1722"/>
        <v>0</v>
      </c>
      <c r="BL846" s="33">
        <f t="shared" si="1722"/>
        <v>0</v>
      </c>
      <c r="BM846" s="33">
        <f t="shared" si="1722"/>
        <v>0</v>
      </c>
      <c r="BN846" s="33">
        <f t="shared" si="1722"/>
        <v>0</v>
      </c>
      <c r="BO846" s="33">
        <f t="shared" si="1722"/>
        <v>0</v>
      </c>
      <c r="BP846" s="33">
        <f t="shared" si="1722"/>
        <v>0</v>
      </c>
      <c r="BQ846" s="33">
        <f t="shared" si="1722"/>
        <v>0</v>
      </c>
      <c r="BR846" s="33">
        <f t="shared" si="1722"/>
        <v>0</v>
      </c>
      <c r="BS846" s="33">
        <f t="shared" si="1722"/>
        <v>0</v>
      </c>
      <c r="BT846" s="33">
        <f t="shared" ref="BT846:BY846" si="1723">+IF(AND(BT$836=$C848,BT$836&lt;0),1,0)</f>
        <v>0</v>
      </c>
      <c r="BU846" s="33">
        <f t="shared" si="1723"/>
        <v>0</v>
      </c>
      <c r="BV846" s="33">
        <f t="shared" si="1723"/>
        <v>0</v>
      </c>
      <c r="BW846" s="33">
        <f t="shared" si="1723"/>
        <v>0</v>
      </c>
      <c r="BX846" s="33">
        <f t="shared" si="1723"/>
        <v>0</v>
      </c>
      <c r="BY846" s="33">
        <f t="shared" si="1723"/>
        <v>0</v>
      </c>
    </row>
    <row r="847" spans="3:77" outlineLevel="1">
      <c r="C847" s="32"/>
      <c r="D847" s="31"/>
      <c r="E847" t="s">
        <v>508</v>
      </c>
      <c r="F847" s="23" t="s">
        <v>500</v>
      </c>
      <c r="H847" s="33">
        <f t="shared" ref="H847:BS847" si="1724">+IF(AND(H$836=$C849,H$836&lt;0),1,0)</f>
        <v>0</v>
      </c>
      <c r="I847" s="33">
        <f t="shared" si="1724"/>
        <v>0</v>
      </c>
      <c r="J847" s="33">
        <f t="shared" si="1724"/>
        <v>0</v>
      </c>
      <c r="K847" s="33">
        <f t="shared" si="1724"/>
        <v>0</v>
      </c>
      <c r="L847" s="33">
        <f t="shared" si="1724"/>
        <v>0</v>
      </c>
      <c r="M847" s="33">
        <f t="shared" si="1724"/>
        <v>0</v>
      </c>
      <c r="N847" s="33">
        <f t="shared" si="1724"/>
        <v>0</v>
      </c>
      <c r="O847" s="33">
        <f t="shared" si="1724"/>
        <v>0</v>
      </c>
      <c r="P847" s="33">
        <f t="shared" si="1724"/>
        <v>0</v>
      </c>
      <c r="Q847" s="33">
        <f t="shared" si="1724"/>
        <v>0</v>
      </c>
      <c r="R847" s="33">
        <f t="shared" si="1724"/>
        <v>0</v>
      </c>
      <c r="S847" s="33">
        <f t="shared" si="1724"/>
        <v>0</v>
      </c>
      <c r="T847" s="33">
        <f t="shared" si="1724"/>
        <v>0</v>
      </c>
      <c r="U847" s="33">
        <f t="shared" si="1724"/>
        <v>0</v>
      </c>
      <c r="V847" s="33">
        <f t="shared" si="1724"/>
        <v>0</v>
      </c>
      <c r="W847" s="33">
        <f t="shared" si="1724"/>
        <v>0</v>
      </c>
      <c r="X847" s="33">
        <f t="shared" si="1724"/>
        <v>0</v>
      </c>
      <c r="Y847" s="33">
        <f t="shared" si="1724"/>
        <v>0</v>
      </c>
      <c r="Z847" s="33">
        <f t="shared" si="1724"/>
        <v>0</v>
      </c>
      <c r="AA847" s="33">
        <f t="shared" si="1724"/>
        <v>0</v>
      </c>
      <c r="AB847" s="33">
        <f t="shared" si="1724"/>
        <v>0</v>
      </c>
      <c r="AC847" s="33">
        <f t="shared" si="1724"/>
        <v>0</v>
      </c>
      <c r="AD847" s="33">
        <f t="shared" si="1724"/>
        <v>0</v>
      </c>
      <c r="AE847" s="33">
        <f t="shared" si="1724"/>
        <v>0</v>
      </c>
      <c r="AF847" s="33">
        <f t="shared" si="1724"/>
        <v>0</v>
      </c>
      <c r="AG847" s="33">
        <f t="shared" si="1724"/>
        <v>0</v>
      </c>
      <c r="AH847" s="33">
        <f t="shared" si="1724"/>
        <v>0</v>
      </c>
      <c r="AI847" s="33">
        <f t="shared" si="1724"/>
        <v>0</v>
      </c>
      <c r="AJ847" s="33">
        <f t="shared" si="1724"/>
        <v>0</v>
      </c>
      <c r="AK847" s="33">
        <f t="shared" si="1724"/>
        <v>0</v>
      </c>
      <c r="AL847" s="33">
        <f t="shared" si="1724"/>
        <v>0</v>
      </c>
      <c r="AM847" s="33">
        <f t="shared" si="1724"/>
        <v>0</v>
      </c>
      <c r="AN847" s="33">
        <f t="shared" si="1724"/>
        <v>0</v>
      </c>
      <c r="AO847" s="33">
        <f t="shared" si="1724"/>
        <v>0</v>
      </c>
      <c r="AP847" s="33">
        <f t="shared" si="1724"/>
        <v>0</v>
      </c>
      <c r="AQ847" s="33">
        <f t="shared" si="1724"/>
        <v>0</v>
      </c>
      <c r="AR847" s="33">
        <f t="shared" si="1724"/>
        <v>0</v>
      </c>
      <c r="AS847" s="33">
        <f t="shared" si="1724"/>
        <v>0</v>
      </c>
      <c r="AT847" s="33">
        <f t="shared" si="1724"/>
        <v>0</v>
      </c>
      <c r="AU847" s="33">
        <f t="shared" si="1724"/>
        <v>0</v>
      </c>
      <c r="AV847" s="33">
        <f t="shared" si="1724"/>
        <v>0</v>
      </c>
      <c r="AW847" s="33">
        <f t="shared" si="1724"/>
        <v>0</v>
      </c>
      <c r="AX847" s="33">
        <f t="shared" si="1724"/>
        <v>0</v>
      </c>
      <c r="AY847" s="33">
        <f t="shared" si="1724"/>
        <v>0</v>
      </c>
      <c r="AZ847" s="33">
        <f t="shared" si="1724"/>
        <v>0</v>
      </c>
      <c r="BA847" s="33">
        <f t="shared" si="1724"/>
        <v>0</v>
      </c>
      <c r="BB847" s="33">
        <f t="shared" si="1724"/>
        <v>0</v>
      </c>
      <c r="BC847" s="33">
        <f t="shared" si="1724"/>
        <v>0</v>
      </c>
      <c r="BD847" s="33">
        <f t="shared" si="1724"/>
        <v>0</v>
      </c>
      <c r="BE847" s="33">
        <f t="shared" si="1724"/>
        <v>0</v>
      </c>
      <c r="BF847" s="33">
        <f t="shared" si="1724"/>
        <v>0</v>
      </c>
      <c r="BG847" s="33">
        <f t="shared" si="1724"/>
        <v>0</v>
      </c>
      <c r="BH847" s="33">
        <f t="shared" si="1724"/>
        <v>0</v>
      </c>
      <c r="BI847" s="33">
        <f t="shared" si="1724"/>
        <v>0</v>
      </c>
      <c r="BJ847" s="33">
        <f t="shared" si="1724"/>
        <v>0</v>
      </c>
      <c r="BK847" s="33">
        <f t="shared" si="1724"/>
        <v>0</v>
      </c>
      <c r="BL847" s="33">
        <f t="shared" si="1724"/>
        <v>0</v>
      </c>
      <c r="BM847" s="33">
        <f t="shared" si="1724"/>
        <v>0</v>
      </c>
      <c r="BN847" s="33">
        <f t="shared" si="1724"/>
        <v>0</v>
      </c>
      <c r="BO847" s="33">
        <f t="shared" si="1724"/>
        <v>0</v>
      </c>
      <c r="BP847" s="33">
        <f t="shared" si="1724"/>
        <v>0</v>
      </c>
      <c r="BQ847" s="33">
        <f t="shared" si="1724"/>
        <v>0</v>
      </c>
      <c r="BR847" s="33">
        <f t="shared" si="1724"/>
        <v>0</v>
      </c>
      <c r="BS847" s="33">
        <f t="shared" si="1724"/>
        <v>0</v>
      </c>
      <c r="BT847" s="33">
        <f t="shared" ref="BT847:BY847" si="1725">+IF(AND(BT$836=$C849,BT$836&lt;0),1,0)</f>
        <v>0</v>
      </c>
      <c r="BU847" s="33">
        <f t="shared" si="1725"/>
        <v>0</v>
      </c>
      <c r="BV847" s="33">
        <f t="shared" si="1725"/>
        <v>0</v>
      </c>
      <c r="BW847" s="33">
        <f t="shared" si="1725"/>
        <v>0</v>
      </c>
      <c r="BX847" s="33">
        <f t="shared" si="1725"/>
        <v>0</v>
      </c>
      <c r="BY847" s="33">
        <f t="shared" si="1725"/>
        <v>0</v>
      </c>
    </row>
    <row r="848" spans="3:77" outlineLevel="1">
      <c r="C848" s="32"/>
      <c r="D848" s="31"/>
      <c r="E848" t="s">
        <v>509</v>
      </c>
      <c r="F848" s="23" t="s">
        <v>500</v>
      </c>
      <c r="H848" s="33">
        <f t="shared" ref="H848:BS848" si="1726">+IF(AND(H$836=$C850,H$836&lt;0),1,0)</f>
        <v>0</v>
      </c>
      <c r="I848" s="33">
        <f t="shared" si="1726"/>
        <v>0</v>
      </c>
      <c r="J848" s="33">
        <f t="shared" si="1726"/>
        <v>0</v>
      </c>
      <c r="K848" s="33">
        <f t="shared" si="1726"/>
        <v>0</v>
      </c>
      <c r="L848" s="33">
        <f t="shared" si="1726"/>
        <v>0</v>
      </c>
      <c r="M848" s="33">
        <f t="shared" si="1726"/>
        <v>0</v>
      </c>
      <c r="N848" s="33">
        <f t="shared" si="1726"/>
        <v>0</v>
      </c>
      <c r="O848" s="33">
        <f t="shared" si="1726"/>
        <v>0</v>
      </c>
      <c r="P848" s="33">
        <f t="shared" si="1726"/>
        <v>0</v>
      </c>
      <c r="Q848" s="33">
        <f t="shared" si="1726"/>
        <v>0</v>
      </c>
      <c r="R848" s="33">
        <f t="shared" si="1726"/>
        <v>0</v>
      </c>
      <c r="S848" s="33">
        <f t="shared" si="1726"/>
        <v>0</v>
      </c>
      <c r="T848" s="33">
        <f t="shared" si="1726"/>
        <v>0</v>
      </c>
      <c r="U848" s="33">
        <f t="shared" si="1726"/>
        <v>0</v>
      </c>
      <c r="V848" s="33">
        <f t="shared" si="1726"/>
        <v>0</v>
      </c>
      <c r="W848" s="33">
        <f t="shared" si="1726"/>
        <v>0</v>
      </c>
      <c r="X848" s="33">
        <f t="shared" si="1726"/>
        <v>0</v>
      </c>
      <c r="Y848" s="33">
        <f t="shared" si="1726"/>
        <v>0</v>
      </c>
      <c r="Z848" s="33">
        <f t="shared" si="1726"/>
        <v>0</v>
      </c>
      <c r="AA848" s="33">
        <f t="shared" si="1726"/>
        <v>0</v>
      </c>
      <c r="AB848" s="33">
        <f t="shared" si="1726"/>
        <v>0</v>
      </c>
      <c r="AC848" s="33">
        <f t="shared" si="1726"/>
        <v>0</v>
      </c>
      <c r="AD848" s="33">
        <f t="shared" si="1726"/>
        <v>0</v>
      </c>
      <c r="AE848" s="33">
        <f t="shared" si="1726"/>
        <v>0</v>
      </c>
      <c r="AF848" s="33">
        <f t="shared" si="1726"/>
        <v>0</v>
      </c>
      <c r="AG848" s="33">
        <f t="shared" si="1726"/>
        <v>0</v>
      </c>
      <c r="AH848" s="33">
        <f t="shared" si="1726"/>
        <v>0</v>
      </c>
      <c r="AI848" s="33">
        <f t="shared" si="1726"/>
        <v>0</v>
      </c>
      <c r="AJ848" s="33">
        <f t="shared" si="1726"/>
        <v>0</v>
      </c>
      <c r="AK848" s="33">
        <f t="shared" si="1726"/>
        <v>0</v>
      </c>
      <c r="AL848" s="33">
        <f t="shared" si="1726"/>
        <v>0</v>
      </c>
      <c r="AM848" s="33">
        <f t="shared" si="1726"/>
        <v>0</v>
      </c>
      <c r="AN848" s="33">
        <f t="shared" si="1726"/>
        <v>0</v>
      </c>
      <c r="AO848" s="33">
        <f t="shared" si="1726"/>
        <v>0</v>
      </c>
      <c r="AP848" s="33">
        <f t="shared" si="1726"/>
        <v>0</v>
      </c>
      <c r="AQ848" s="33">
        <f t="shared" si="1726"/>
        <v>0</v>
      </c>
      <c r="AR848" s="33">
        <f t="shared" si="1726"/>
        <v>0</v>
      </c>
      <c r="AS848" s="33">
        <f t="shared" si="1726"/>
        <v>0</v>
      </c>
      <c r="AT848" s="33">
        <f t="shared" si="1726"/>
        <v>0</v>
      </c>
      <c r="AU848" s="33">
        <f t="shared" si="1726"/>
        <v>0</v>
      </c>
      <c r="AV848" s="33">
        <f t="shared" si="1726"/>
        <v>0</v>
      </c>
      <c r="AW848" s="33">
        <f t="shared" si="1726"/>
        <v>0</v>
      </c>
      <c r="AX848" s="33">
        <f t="shared" si="1726"/>
        <v>0</v>
      </c>
      <c r="AY848" s="33">
        <f t="shared" si="1726"/>
        <v>0</v>
      </c>
      <c r="AZ848" s="33">
        <f t="shared" si="1726"/>
        <v>0</v>
      </c>
      <c r="BA848" s="33">
        <f t="shared" si="1726"/>
        <v>0</v>
      </c>
      <c r="BB848" s="33">
        <f t="shared" si="1726"/>
        <v>0</v>
      </c>
      <c r="BC848" s="33">
        <f t="shared" si="1726"/>
        <v>0</v>
      </c>
      <c r="BD848" s="33">
        <f t="shared" si="1726"/>
        <v>0</v>
      </c>
      <c r="BE848" s="33">
        <f t="shared" si="1726"/>
        <v>0</v>
      </c>
      <c r="BF848" s="33">
        <f t="shared" si="1726"/>
        <v>0</v>
      </c>
      <c r="BG848" s="33">
        <f t="shared" si="1726"/>
        <v>0</v>
      </c>
      <c r="BH848" s="33">
        <f t="shared" si="1726"/>
        <v>0</v>
      </c>
      <c r="BI848" s="33">
        <f t="shared" si="1726"/>
        <v>0</v>
      </c>
      <c r="BJ848" s="33">
        <f t="shared" si="1726"/>
        <v>0</v>
      </c>
      <c r="BK848" s="33">
        <f t="shared" si="1726"/>
        <v>0</v>
      </c>
      <c r="BL848" s="33">
        <f t="shared" si="1726"/>
        <v>0</v>
      </c>
      <c r="BM848" s="33">
        <f t="shared" si="1726"/>
        <v>0</v>
      </c>
      <c r="BN848" s="33">
        <f t="shared" si="1726"/>
        <v>0</v>
      </c>
      <c r="BO848" s="33">
        <f t="shared" si="1726"/>
        <v>0</v>
      </c>
      <c r="BP848" s="33">
        <f t="shared" si="1726"/>
        <v>0</v>
      </c>
      <c r="BQ848" s="33">
        <f t="shared" si="1726"/>
        <v>0</v>
      </c>
      <c r="BR848" s="33">
        <f t="shared" si="1726"/>
        <v>0</v>
      </c>
      <c r="BS848" s="33">
        <f t="shared" si="1726"/>
        <v>0</v>
      </c>
      <c r="BT848" s="33">
        <f t="shared" ref="BT848:BY848" si="1727">+IF(AND(BT$836=$C850,BT$836&lt;0),1,0)</f>
        <v>0</v>
      </c>
      <c r="BU848" s="33">
        <f t="shared" si="1727"/>
        <v>0</v>
      </c>
      <c r="BV848" s="33">
        <f t="shared" si="1727"/>
        <v>0</v>
      </c>
      <c r="BW848" s="33">
        <f t="shared" si="1727"/>
        <v>0</v>
      </c>
      <c r="BX848" s="33">
        <f t="shared" si="1727"/>
        <v>0</v>
      </c>
      <c r="BY848" s="33">
        <f t="shared" si="1727"/>
        <v>0</v>
      </c>
    </row>
    <row r="849" spans="5:77" outlineLevel="1">
      <c r="E849" s="25" t="s">
        <v>510</v>
      </c>
      <c r="F849" s="30" t="s">
        <v>500</v>
      </c>
      <c r="G849" s="25"/>
      <c r="H849" s="34">
        <f t="shared" ref="H849:BS849" si="1728">+IF(AND(H$836=$C851,H$836&lt;0),1,0)</f>
        <v>0</v>
      </c>
      <c r="I849" s="34">
        <f t="shared" si="1728"/>
        <v>0</v>
      </c>
      <c r="J849" s="34">
        <f t="shared" si="1728"/>
        <v>0</v>
      </c>
      <c r="K849" s="34">
        <f t="shared" si="1728"/>
        <v>0</v>
      </c>
      <c r="L849" s="34">
        <f t="shared" si="1728"/>
        <v>0</v>
      </c>
      <c r="M849" s="34">
        <f t="shared" si="1728"/>
        <v>0</v>
      </c>
      <c r="N849" s="34">
        <f t="shared" si="1728"/>
        <v>0</v>
      </c>
      <c r="O849" s="34">
        <f t="shared" si="1728"/>
        <v>0</v>
      </c>
      <c r="P849" s="34">
        <f t="shared" si="1728"/>
        <v>0</v>
      </c>
      <c r="Q849" s="34">
        <f t="shared" si="1728"/>
        <v>0</v>
      </c>
      <c r="R849" s="34">
        <f t="shared" si="1728"/>
        <v>0</v>
      </c>
      <c r="S849" s="34">
        <f t="shared" si="1728"/>
        <v>0</v>
      </c>
      <c r="T849" s="34">
        <f t="shared" si="1728"/>
        <v>0</v>
      </c>
      <c r="U849" s="34">
        <f t="shared" si="1728"/>
        <v>0</v>
      </c>
      <c r="V849" s="34">
        <f t="shared" si="1728"/>
        <v>0</v>
      </c>
      <c r="W849" s="34">
        <f t="shared" si="1728"/>
        <v>0</v>
      </c>
      <c r="X849" s="34">
        <f t="shared" si="1728"/>
        <v>0</v>
      </c>
      <c r="Y849" s="34">
        <f t="shared" si="1728"/>
        <v>0</v>
      </c>
      <c r="Z849" s="34">
        <f t="shared" si="1728"/>
        <v>0</v>
      </c>
      <c r="AA849" s="34">
        <f t="shared" si="1728"/>
        <v>0</v>
      </c>
      <c r="AB849" s="34">
        <f t="shared" si="1728"/>
        <v>0</v>
      </c>
      <c r="AC849" s="34">
        <f t="shared" si="1728"/>
        <v>0</v>
      </c>
      <c r="AD849" s="34">
        <f t="shared" si="1728"/>
        <v>0</v>
      </c>
      <c r="AE849" s="34">
        <f t="shared" si="1728"/>
        <v>0</v>
      </c>
      <c r="AF849" s="34">
        <f t="shared" si="1728"/>
        <v>0</v>
      </c>
      <c r="AG849" s="34">
        <f t="shared" si="1728"/>
        <v>0</v>
      </c>
      <c r="AH849" s="34">
        <f t="shared" si="1728"/>
        <v>0</v>
      </c>
      <c r="AI849" s="34">
        <f t="shared" si="1728"/>
        <v>0</v>
      </c>
      <c r="AJ849" s="34">
        <f t="shared" si="1728"/>
        <v>0</v>
      </c>
      <c r="AK849" s="34">
        <f t="shared" si="1728"/>
        <v>0</v>
      </c>
      <c r="AL849" s="34">
        <f t="shared" si="1728"/>
        <v>0</v>
      </c>
      <c r="AM849" s="34">
        <f t="shared" si="1728"/>
        <v>0</v>
      </c>
      <c r="AN849" s="34">
        <f t="shared" si="1728"/>
        <v>0</v>
      </c>
      <c r="AO849" s="34">
        <f t="shared" si="1728"/>
        <v>0</v>
      </c>
      <c r="AP849" s="34">
        <f t="shared" si="1728"/>
        <v>0</v>
      </c>
      <c r="AQ849" s="34">
        <f t="shared" si="1728"/>
        <v>0</v>
      </c>
      <c r="AR849" s="34">
        <f t="shared" si="1728"/>
        <v>0</v>
      </c>
      <c r="AS849" s="34">
        <f t="shared" si="1728"/>
        <v>0</v>
      </c>
      <c r="AT849" s="34">
        <f t="shared" si="1728"/>
        <v>0</v>
      </c>
      <c r="AU849" s="34">
        <f t="shared" si="1728"/>
        <v>0</v>
      </c>
      <c r="AV849" s="34">
        <f t="shared" si="1728"/>
        <v>0</v>
      </c>
      <c r="AW849" s="34">
        <f t="shared" si="1728"/>
        <v>0</v>
      </c>
      <c r="AX849" s="34">
        <f t="shared" si="1728"/>
        <v>0</v>
      </c>
      <c r="AY849" s="34">
        <f t="shared" si="1728"/>
        <v>0</v>
      </c>
      <c r="AZ849" s="34">
        <f t="shared" si="1728"/>
        <v>0</v>
      </c>
      <c r="BA849" s="34">
        <f t="shared" si="1728"/>
        <v>0</v>
      </c>
      <c r="BB849" s="34">
        <f t="shared" si="1728"/>
        <v>0</v>
      </c>
      <c r="BC849" s="34">
        <f t="shared" si="1728"/>
        <v>0</v>
      </c>
      <c r="BD849" s="34">
        <f t="shared" si="1728"/>
        <v>0</v>
      </c>
      <c r="BE849" s="34">
        <f t="shared" si="1728"/>
        <v>0</v>
      </c>
      <c r="BF849" s="34">
        <f t="shared" si="1728"/>
        <v>0</v>
      </c>
      <c r="BG849" s="34">
        <f t="shared" si="1728"/>
        <v>0</v>
      </c>
      <c r="BH849" s="34">
        <f t="shared" si="1728"/>
        <v>0</v>
      </c>
      <c r="BI849" s="34">
        <f t="shared" si="1728"/>
        <v>0</v>
      </c>
      <c r="BJ849" s="34">
        <f t="shared" si="1728"/>
        <v>0</v>
      </c>
      <c r="BK849" s="34">
        <f t="shared" si="1728"/>
        <v>0</v>
      </c>
      <c r="BL849" s="34">
        <f t="shared" si="1728"/>
        <v>0</v>
      </c>
      <c r="BM849" s="34">
        <f t="shared" si="1728"/>
        <v>0</v>
      </c>
      <c r="BN849" s="34">
        <f t="shared" si="1728"/>
        <v>0</v>
      </c>
      <c r="BO849" s="34">
        <f t="shared" si="1728"/>
        <v>0</v>
      </c>
      <c r="BP849" s="34">
        <f t="shared" si="1728"/>
        <v>0</v>
      </c>
      <c r="BQ849" s="34">
        <f t="shared" si="1728"/>
        <v>0</v>
      </c>
      <c r="BR849" s="34">
        <f t="shared" si="1728"/>
        <v>0</v>
      </c>
      <c r="BS849" s="34">
        <f t="shared" si="1728"/>
        <v>0</v>
      </c>
      <c r="BT849" s="34">
        <f t="shared" ref="BT849:BY849" si="1729">+IF(AND(BT$836=$C851,BT$836&lt;0),1,0)</f>
        <v>0</v>
      </c>
      <c r="BU849" s="34">
        <f t="shared" si="1729"/>
        <v>0</v>
      </c>
      <c r="BV849" s="34">
        <f t="shared" si="1729"/>
        <v>0</v>
      </c>
      <c r="BW849" s="34">
        <f t="shared" si="1729"/>
        <v>0</v>
      </c>
      <c r="BX849" s="34">
        <f t="shared" si="1729"/>
        <v>0</v>
      </c>
      <c r="BY849" s="34">
        <f t="shared" si="1729"/>
        <v>0</v>
      </c>
    </row>
    <row r="850" spans="5:77" outlineLevel="1">
      <c r="E850" t="s">
        <v>511</v>
      </c>
      <c r="F850" s="80" t="str">
        <f>+Assumptions!$G$8</f>
        <v>USD</v>
      </c>
      <c r="H850" s="32">
        <f t="shared" ref="H850" si="1730">+G864</f>
        <v>0</v>
      </c>
      <c r="I850" s="32">
        <f t="shared" ref="I850" si="1731">+H864</f>
        <v>0</v>
      </c>
      <c r="J850" s="32">
        <f>+I864</f>
        <v>-168413.59193947201</v>
      </c>
      <c r="K850" s="32">
        <f t="shared" ref="K850" ca="1" si="1732">+J864</f>
        <v>-597027.59509537858</v>
      </c>
      <c r="L850" s="32">
        <f t="shared" ref="L850" ca="1" si="1733">+K864</f>
        <v>-570116.37670145184</v>
      </c>
      <c r="M850" s="32">
        <f t="shared" ref="M850" ca="1" si="1734">+L864</f>
        <v>-541660.72348389763</v>
      </c>
      <c r="N850" s="32">
        <f t="shared" ref="N850" ca="1" si="1735">+M864</f>
        <v>-511572.00032818801</v>
      </c>
      <c r="O850" s="32">
        <f t="shared" ref="O850" ca="1" si="1736">+N864</f>
        <v>-479756.48535057221</v>
      </c>
      <c r="P850" s="32">
        <f t="shared" ref="P850" ca="1" si="1737">+O864</f>
        <v>-446115.07796839107</v>
      </c>
      <c r="Q850" s="32">
        <f t="shared" ref="Q850" ca="1" si="1738">+P864</f>
        <v>-410542.99021654652</v>
      </c>
      <c r="R850" s="32">
        <f t="shared" ref="R850" ca="1" si="1739">+Q864</f>
        <v>-372929.42034862365</v>
      </c>
      <c r="S850" s="32">
        <f t="shared" ref="S850" ca="1" si="1740">+R864</f>
        <v>-333157.20770598063</v>
      </c>
      <c r="T850" s="32">
        <f t="shared" ref="T850" ca="1" si="1741">+S864</f>
        <v>-291102.46777977637</v>
      </c>
      <c r="U850" s="32">
        <f t="shared" ref="U850" ca="1" si="1742">+T864</f>
        <v>-246634.20632920723</v>
      </c>
      <c r="V850" s="32">
        <f t="shared" ref="V850" ca="1" si="1743">+U864</f>
        <v>-199613.91135398994</v>
      </c>
      <c r="W850" s="32">
        <f t="shared" ref="W850" ca="1" si="1744">+V864</f>
        <v>-149895.12165014492</v>
      </c>
      <c r="X850" s="32">
        <f t="shared" ref="X850" ca="1" si="1745">+W864</f>
        <v>-97322.970605196242</v>
      </c>
      <c r="Y850" s="32">
        <f t="shared" ref="Y850" ca="1" si="1746">+X864</f>
        <v>-41733.703811777952</v>
      </c>
      <c r="Z850" s="32">
        <f t="shared" ref="Z850" ca="1" si="1747">+Y864</f>
        <v>-1.673470251262188E-10</v>
      </c>
      <c r="AA850" s="32">
        <f t="shared" ref="AA850" ca="1" si="1748">+Z864</f>
        <v>-1.673470251262188E-10</v>
      </c>
      <c r="AB850" s="32">
        <f t="shared" ref="AB850" ca="1" si="1749">+AA864</f>
        <v>-1.673470251262188E-10</v>
      </c>
      <c r="AC850" s="32">
        <f t="shared" ref="AC850" ca="1" si="1750">+AB864</f>
        <v>-1.673470251262188E-10</v>
      </c>
      <c r="AD850" s="32">
        <f t="shared" ref="AD850" ca="1" si="1751">+AC864</f>
        <v>-1.673470251262188E-10</v>
      </c>
      <c r="AE850" s="32">
        <f t="shared" ref="AE850" ca="1" si="1752">+AD864</f>
        <v>-1.673470251262188E-10</v>
      </c>
      <c r="AF850" s="32">
        <f t="shared" ref="AF850" ca="1" si="1753">+AE864</f>
        <v>-1.673470251262188E-10</v>
      </c>
      <c r="AG850" s="32">
        <f t="shared" ref="AG850" ca="1" si="1754">+AF864</f>
        <v>-1.673470251262188E-10</v>
      </c>
      <c r="AH850" s="32">
        <f t="shared" ref="AH850" ca="1" si="1755">+AG864</f>
        <v>-1.673470251262188E-10</v>
      </c>
      <c r="AI850" s="32">
        <f t="shared" ref="AI850" ca="1" si="1756">+AH864</f>
        <v>-1.673470251262188E-10</v>
      </c>
      <c r="AJ850" s="32">
        <f t="shared" ref="AJ850" ca="1" si="1757">+AI864</f>
        <v>-1.673470251262188E-10</v>
      </c>
      <c r="AK850" s="32">
        <f t="shared" ref="AK850" ca="1" si="1758">+AJ864</f>
        <v>-1.673470251262188E-10</v>
      </c>
      <c r="AL850" s="32">
        <f t="shared" ref="AL850" ca="1" si="1759">+AK864</f>
        <v>-1.673470251262188E-10</v>
      </c>
      <c r="AM850" s="32">
        <f t="shared" ref="AM850" ca="1" si="1760">+AL864</f>
        <v>-1.673470251262188E-10</v>
      </c>
      <c r="AN850" s="32">
        <f t="shared" ref="AN850" ca="1" si="1761">+AM864</f>
        <v>-1.673470251262188E-10</v>
      </c>
      <c r="AO850" s="32">
        <f t="shared" ref="AO850" ca="1" si="1762">+AN864</f>
        <v>-1.673470251262188E-10</v>
      </c>
      <c r="AP850" s="32">
        <f t="shared" ref="AP850" ca="1" si="1763">+AO864</f>
        <v>-1.673470251262188E-10</v>
      </c>
      <c r="AQ850" s="32">
        <f t="shared" ref="AQ850" ca="1" si="1764">+AP864</f>
        <v>-1.673470251262188E-10</v>
      </c>
      <c r="AR850" s="32">
        <f t="shared" ref="AR850" ca="1" si="1765">+AQ864</f>
        <v>-1.673470251262188E-10</v>
      </c>
      <c r="AS850" s="32">
        <f t="shared" ref="AS850" ca="1" si="1766">+AR864</f>
        <v>-1.673470251262188E-10</v>
      </c>
      <c r="AT850" s="32">
        <f t="shared" ref="AT850" ca="1" si="1767">+AS864</f>
        <v>-1.673470251262188E-10</v>
      </c>
      <c r="AU850" s="32">
        <f t="shared" ref="AU850" ca="1" si="1768">+AT864</f>
        <v>-1.673470251262188E-10</v>
      </c>
      <c r="AV850" s="32">
        <f t="shared" ref="AV850" ca="1" si="1769">+AU864</f>
        <v>-1.673470251262188E-10</v>
      </c>
      <c r="AW850" s="32">
        <f t="shared" ref="AW850" ca="1" si="1770">+AV864</f>
        <v>-1.673470251262188E-10</v>
      </c>
      <c r="AX850" s="32">
        <f t="shared" ref="AX850" ca="1" si="1771">+AW864</f>
        <v>-1.673470251262188E-10</v>
      </c>
      <c r="AY850" s="32">
        <f t="shared" ref="AY850" ca="1" si="1772">+AX864</f>
        <v>-1.673470251262188E-10</v>
      </c>
      <c r="AZ850" s="32">
        <f t="shared" ref="AZ850" ca="1" si="1773">+AY864</f>
        <v>-1.673470251262188E-10</v>
      </c>
      <c r="BA850" s="32">
        <f t="shared" ref="BA850" ca="1" si="1774">+AZ864</f>
        <v>-1.673470251262188E-10</v>
      </c>
      <c r="BB850" s="32">
        <f t="shared" ref="BB850" ca="1" si="1775">+BA864</f>
        <v>-1.673470251262188E-10</v>
      </c>
      <c r="BC850" s="32">
        <f t="shared" ref="BC850" ca="1" si="1776">+BB864</f>
        <v>-1.673470251262188E-10</v>
      </c>
      <c r="BD850" s="32">
        <f t="shared" ref="BD850" ca="1" si="1777">+BC864</f>
        <v>-1.673470251262188E-10</v>
      </c>
      <c r="BE850" s="32">
        <f t="shared" ref="BE850" ca="1" si="1778">+BD864</f>
        <v>-1.673470251262188E-10</v>
      </c>
      <c r="BF850" s="32">
        <f t="shared" ref="BF850" ca="1" si="1779">+BE864</f>
        <v>-1.673470251262188E-10</v>
      </c>
      <c r="BG850" s="32">
        <f t="shared" ref="BG850" ca="1" si="1780">+BF864</f>
        <v>-1.673470251262188E-10</v>
      </c>
      <c r="BH850" s="32">
        <f t="shared" ref="BH850" ca="1" si="1781">+BG864</f>
        <v>-1.673470251262188E-10</v>
      </c>
      <c r="BI850" s="32">
        <f t="shared" ref="BI850" ca="1" si="1782">+BH864</f>
        <v>-1.673470251262188E-10</v>
      </c>
      <c r="BJ850" s="32">
        <f t="shared" ref="BJ850" ca="1" si="1783">+BI864</f>
        <v>-1.673470251262188E-10</v>
      </c>
      <c r="BK850" s="32">
        <f t="shared" ref="BK850" ca="1" si="1784">+BJ864</f>
        <v>-1.673470251262188E-10</v>
      </c>
      <c r="BL850" s="32">
        <f t="shared" ref="BL850" ca="1" si="1785">+BK864</f>
        <v>-1.673470251262188E-10</v>
      </c>
      <c r="BM850" s="32">
        <f t="shared" ref="BM850" ca="1" si="1786">+BL864</f>
        <v>-1.673470251262188E-10</v>
      </c>
      <c r="BN850" s="32">
        <f t="shared" ref="BN850" ca="1" si="1787">+BM864</f>
        <v>-1.673470251262188E-10</v>
      </c>
      <c r="BO850" s="32">
        <f t="shared" ref="BO850" ca="1" si="1788">+BN864</f>
        <v>-1.673470251262188E-10</v>
      </c>
      <c r="BP850" s="32">
        <f t="shared" ref="BP850" ca="1" si="1789">+BO864</f>
        <v>-1.673470251262188E-10</v>
      </c>
      <c r="BQ850" s="32">
        <f t="shared" ref="BQ850" ca="1" si="1790">+BP864</f>
        <v>-1.673470251262188E-10</v>
      </c>
      <c r="BR850" s="32">
        <f t="shared" ref="BR850" ca="1" si="1791">+BQ864</f>
        <v>-1.673470251262188E-10</v>
      </c>
      <c r="BS850" s="32">
        <f t="shared" ref="BS850" ca="1" si="1792">+BR864</f>
        <v>-1.673470251262188E-10</v>
      </c>
      <c r="BT850" s="32">
        <f t="shared" ref="BT850" ca="1" si="1793">+BS864</f>
        <v>-1.673470251262188E-10</v>
      </c>
      <c r="BU850" s="32">
        <f t="shared" ref="BU850" ca="1" si="1794">+BT864</f>
        <v>-1.673470251262188E-10</v>
      </c>
      <c r="BV850" s="32">
        <f t="shared" ref="BV850" ca="1" si="1795">+BU864</f>
        <v>-1.673470251262188E-10</v>
      </c>
      <c r="BW850" s="32">
        <f t="shared" ref="BW850" ca="1" si="1796">+BV864</f>
        <v>-1.673470251262188E-10</v>
      </c>
      <c r="BX850" s="32">
        <f t="shared" ref="BX850" ca="1" si="1797">+BW864</f>
        <v>-1.673470251262188E-10</v>
      </c>
      <c r="BY850" s="32">
        <f t="shared" ref="BY850" ca="1" si="1798">+BX864</f>
        <v>-1.673470251262188E-10</v>
      </c>
    </row>
    <row r="851" spans="5:77" outlineLevel="1">
      <c r="E851" t="s">
        <v>512</v>
      </c>
      <c r="F851" s="80" t="str">
        <f>+Assumptions!$G$8</f>
        <v>USD</v>
      </c>
      <c r="H851" s="33">
        <f ca="1">+H850*Assumptions!$H$229</f>
        <v>0</v>
      </c>
      <c r="I851" s="33">
        <f ca="1">+I850*Assumptions!$H$229</f>
        <v>0</v>
      </c>
      <c r="J851" s="33">
        <f ca="1">+J850*Assumptions!$H$229</f>
        <v>-9665.2560414062991</v>
      </c>
      <c r="K851" s="33">
        <f ca="1">+K850*Assumptions!$H$229</f>
        <v>-34263.41368252378</v>
      </c>
      <c r="L851" s="33">
        <f ca="1">+L850*Assumptions!$H$229</f>
        <v>-32718.978858896324</v>
      </c>
      <c r="M851" s="33">
        <f ca="1">+M850*Assumptions!$H$229</f>
        <v>-31085.908920740887</v>
      </c>
      <c r="N851" s="33">
        <f ca="1">+N850*Assumptions!$H$229</f>
        <v>-29359.117098834711</v>
      </c>
      <c r="O851" s="33">
        <f ca="1">+O850*Assumptions!$H$229</f>
        <v>-27533.224694269342</v>
      </c>
      <c r="P851" s="33">
        <f ca="1">+P850*Assumptions!$H$229</f>
        <v>-25602.544324605966</v>
      </c>
      <c r="Q851" s="33">
        <f ca="1">+Q850*Assumptions!$H$229</f>
        <v>-23561.062208527605</v>
      </c>
      <c r="R851" s="33">
        <f ca="1">+R850*Assumptions!$H$229</f>
        <v>-21402.419433807514</v>
      </c>
      <c r="S851" s="33">
        <f ca="1">+S850*Assumptions!$H$229</f>
        <v>-19119.892150246229</v>
      </c>
      <c r="T851" s="33">
        <f ca="1">+T850*Assumptions!$H$229</f>
        <v>-16706.370625881365</v>
      </c>
      <c r="U851" s="33">
        <f ca="1">+U850*Assumptions!$H$229</f>
        <v>-14154.337101233205</v>
      </c>
      <c r="V851" s="33">
        <f ca="1">+V850*Assumptions!$H$229</f>
        <v>-11455.842372605483</v>
      </c>
      <c r="W851" s="33">
        <f ca="1">+W850*Assumptions!$H$229</f>
        <v>-8602.4810315018185</v>
      </c>
      <c r="X851" s="33">
        <f ca="1">+X850*Assumptions!$H$229</f>
        <v>-5585.3652830322126</v>
      </c>
      <c r="Y851" s="33">
        <f ca="1">+Y850*Assumptions!$H$229</f>
        <v>-2395.0972617579368</v>
      </c>
      <c r="Z851" s="33">
        <f ca="1">+Z850*Assumptions!$H$229</f>
        <v>-9.6040457719936973E-12</v>
      </c>
      <c r="AA851" s="33">
        <f ca="1">+AA850*Assumptions!$H$229</f>
        <v>-9.6040457719936973E-12</v>
      </c>
      <c r="AB851" s="33">
        <f ca="1">+AB850*Assumptions!$H$229</f>
        <v>-9.6040457719936973E-12</v>
      </c>
      <c r="AC851" s="33">
        <f ca="1">+AC850*Assumptions!$H$229</f>
        <v>-9.6040457719936973E-12</v>
      </c>
      <c r="AD851" s="33">
        <f ca="1">+AD850*Assumptions!$H$229</f>
        <v>-9.6040457719936973E-12</v>
      </c>
      <c r="AE851" s="33">
        <f ca="1">+AE850*Assumptions!$H$229</f>
        <v>-9.6040457719936973E-12</v>
      </c>
      <c r="AF851" s="33">
        <f ca="1">+AF850*Assumptions!$H$229</f>
        <v>-9.6040457719936973E-12</v>
      </c>
      <c r="AG851" s="33">
        <f ca="1">+AG850*Assumptions!$H$229</f>
        <v>-9.6040457719936973E-12</v>
      </c>
      <c r="AH851" s="33">
        <f ca="1">+AH850*Assumptions!$H$229</f>
        <v>-9.6040457719936973E-12</v>
      </c>
      <c r="AI851" s="33">
        <f ca="1">+AI850*Assumptions!$H$229</f>
        <v>-9.6040457719936973E-12</v>
      </c>
      <c r="AJ851" s="33">
        <f ca="1">+AJ850*Assumptions!$H$229</f>
        <v>-9.6040457719936973E-12</v>
      </c>
      <c r="AK851" s="33">
        <f ca="1">+AK850*Assumptions!$H$229</f>
        <v>-9.6040457719936973E-12</v>
      </c>
      <c r="AL851" s="33">
        <f ca="1">+AL850*Assumptions!$H$229</f>
        <v>-9.6040457719936973E-12</v>
      </c>
      <c r="AM851" s="33">
        <f ca="1">+AM850*Assumptions!$H$229</f>
        <v>-9.6040457719936973E-12</v>
      </c>
      <c r="AN851" s="33">
        <f ca="1">+AN850*Assumptions!$H$229</f>
        <v>-9.6040457719936973E-12</v>
      </c>
      <c r="AO851" s="33">
        <f ca="1">+AO850*Assumptions!$H$229</f>
        <v>-9.6040457719936973E-12</v>
      </c>
      <c r="AP851" s="33">
        <f ca="1">+AP850*Assumptions!$H$229</f>
        <v>-9.6040457719936973E-12</v>
      </c>
      <c r="AQ851" s="33">
        <f ca="1">+AQ850*Assumptions!$H$229</f>
        <v>-9.6040457719936973E-12</v>
      </c>
      <c r="AR851" s="33">
        <f ca="1">+AR850*Assumptions!$H$229</f>
        <v>-9.6040457719936973E-12</v>
      </c>
      <c r="AS851" s="33">
        <f ca="1">+AS850*Assumptions!$H$229</f>
        <v>-9.6040457719936973E-12</v>
      </c>
      <c r="AT851" s="33">
        <f ca="1">+AT850*Assumptions!$H$229</f>
        <v>-9.6040457719936973E-12</v>
      </c>
      <c r="AU851" s="33">
        <f ca="1">+AU850*Assumptions!$H$229</f>
        <v>-9.6040457719936973E-12</v>
      </c>
      <c r="AV851" s="33">
        <f ca="1">+AV850*Assumptions!$H$229</f>
        <v>-9.6040457719936973E-12</v>
      </c>
      <c r="AW851" s="33">
        <f ca="1">+AW850*Assumptions!$H$229</f>
        <v>-9.6040457719936973E-12</v>
      </c>
      <c r="AX851" s="33">
        <f ca="1">+AX850*Assumptions!$H$229</f>
        <v>-9.6040457719936973E-12</v>
      </c>
      <c r="AY851" s="33">
        <f ca="1">+AY850*Assumptions!$H$229</f>
        <v>-9.6040457719936973E-12</v>
      </c>
      <c r="AZ851" s="33">
        <f ca="1">+AZ850*Assumptions!$H$229</f>
        <v>-9.6040457719936973E-12</v>
      </c>
      <c r="BA851" s="33">
        <f ca="1">+BA850*Assumptions!$H$229</f>
        <v>-9.6040457719936973E-12</v>
      </c>
      <c r="BB851" s="33">
        <f ca="1">+BB850*Assumptions!$H$229</f>
        <v>-9.6040457719936973E-12</v>
      </c>
      <c r="BC851" s="33">
        <f ca="1">+BC850*Assumptions!$H$229</f>
        <v>-9.6040457719936973E-12</v>
      </c>
      <c r="BD851" s="33">
        <f ca="1">+BD850*Assumptions!$H$229</f>
        <v>-9.6040457719936973E-12</v>
      </c>
      <c r="BE851" s="33">
        <f ca="1">+BE850*Assumptions!$H$229</f>
        <v>-9.6040457719936973E-12</v>
      </c>
      <c r="BF851" s="33">
        <f ca="1">+BF850*Assumptions!$H$229</f>
        <v>-9.6040457719936973E-12</v>
      </c>
      <c r="BG851" s="33">
        <f ca="1">+BG850*Assumptions!$H$229</f>
        <v>-9.6040457719936973E-12</v>
      </c>
      <c r="BH851" s="33">
        <f ca="1">+BH850*Assumptions!$H$229</f>
        <v>-9.6040457719936973E-12</v>
      </c>
      <c r="BI851" s="33">
        <f ca="1">+BI850*Assumptions!$H$229</f>
        <v>-9.6040457719936973E-12</v>
      </c>
      <c r="BJ851" s="33">
        <f ca="1">+BJ850*Assumptions!$H$229</f>
        <v>-9.6040457719936973E-12</v>
      </c>
      <c r="BK851" s="33">
        <f ca="1">+BK850*Assumptions!$H$229</f>
        <v>-9.6040457719936973E-12</v>
      </c>
      <c r="BL851" s="33">
        <f ca="1">+BL850*Assumptions!$H$229</f>
        <v>-9.6040457719936973E-12</v>
      </c>
      <c r="BM851" s="33">
        <f ca="1">+BM850*Assumptions!$H$229</f>
        <v>-9.6040457719936973E-12</v>
      </c>
      <c r="BN851" s="33">
        <f ca="1">+BN850*Assumptions!$H$229</f>
        <v>-9.6040457719936973E-12</v>
      </c>
      <c r="BO851" s="33">
        <f ca="1">+BO850*Assumptions!$H$229</f>
        <v>-9.6040457719936973E-12</v>
      </c>
      <c r="BP851" s="33">
        <f ca="1">+BP850*Assumptions!$H$229</f>
        <v>-9.6040457719936973E-12</v>
      </c>
      <c r="BQ851" s="33">
        <f ca="1">+BQ850*Assumptions!$H$229</f>
        <v>-9.6040457719936973E-12</v>
      </c>
      <c r="BR851" s="33">
        <f ca="1">+BR850*Assumptions!$H$229</f>
        <v>-9.6040457719936973E-12</v>
      </c>
      <c r="BS851" s="33">
        <f ca="1">+BS850*Assumptions!$H$229</f>
        <v>-9.6040457719936973E-12</v>
      </c>
      <c r="BT851" s="33">
        <f ca="1">+BT850*Assumptions!$H$229</f>
        <v>-9.6040457719936973E-12</v>
      </c>
      <c r="BU851" s="33">
        <f ca="1">+BU850*Assumptions!$H$229</f>
        <v>-9.6040457719936973E-12</v>
      </c>
      <c r="BV851" s="33">
        <f ca="1">+BV850*Assumptions!$H$229</f>
        <v>-9.6040457719936973E-12</v>
      </c>
      <c r="BW851" s="33">
        <f ca="1">+BW850*Assumptions!$H$229</f>
        <v>-9.6040457719936973E-12</v>
      </c>
      <c r="BX851" s="33">
        <f ca="1">+BX850*Assumptions!$H$229</f>
        <v>-9.6040457719936973E-12</v>
      </c>
      <c r="BY851" s="33">
        <f ca="1">+BY850*Assumptions!$H$229</f>
        <v>-9.6040457719936973E-12</v>
      </c>
    </row>
    <row r="852" spans="5:77" outlineLevel="1">
      <c r="E852" s="25" t="s">
        <v>513</v>
      </c>
      <c r="F852" s="81" t="str">
        <f>+Assumptions!$G$8</f>
        <v>USD</v>
      </c>
      <c r="G852" s="25"/>
      <c r="H852" s="34">
        <f>IF(SUM(H853:H862)=0,0,+SUM(H853:H862)-H851)</f>
        <v>0</v>
      </c>
      <c r="I852" s="34">
        <f t="shared" ref="I852:BT852" si="1799">IF(SUM(I853:I862)=0,0,+SUM(I853:I862)-I851)</f>
        <v>0</v>
      </c>
      <c r="J852" s="34">
        <f t="shared" ca="1" si="1799"/>
        <v>-7380.5749615084769</v>
      </c>
      <c r="K852" s="34">
        <f t="shared" ca="1" si="1799"/>
        <v>-26911.21839392672</v>
      </c>
      <c r="L852" s="34">
        <f t="shared" ca="1" si="1799"/>
        <v>-28455.653217554176</v>
      </c>
      <c r="M852" s="34">
        <f t="shared" ca="1" si="1799"/>
        <v>-30088.723155709613</v>
      </c>
      <c r="N852" s="34">
        <f t="shared" ca="1" si="1799"/>
        <v>-31815.514977615789</v>
      </c>
      <c r="O852" s="34">
        <f t="shared" ca="1" si="1799"/>
        <v>-33641.407382181162</v>
      </c>
      <c r="P852" s="34">
        <f t="shared" ca="1" si="1799"/>
        <v>-35572.087751844534</v>
      </c>
      <c r="Q852" s="34">
        <f t="shared" ca="1" si="1799"/>
        <v>-37613.569867922895</v>
      </c>
      <c r="R852" s="34">
        <f t="shared" ca="1" si="1799"/>
        <v>-39772.21264264299</v>
      </c>
      <c r="S852" s="34">
        <f t="shared" ca="1" si="1799"/>
        <v>-42054.739926204275</v>
      </c>
      <c r="T852" s="34">
        <f t="shared" ca="1" si="1799"/>
        <v>-44468.261450569131</v>
      </c>
      <c r="U852" s="34">
        <f t="shared" ca="1" si="1799"/>
        <v>-47020.294975217294</v>
      </c>
      <c r="V852" s="34">
        <f t="shared" ca="1" si="1799"/>
        <v>-49718.789703845017</v>
      </c>
      <c r="W852" s="34">
        <f t="shared" ca="1" si="1799"/>
        <v>-52572.151044948681</v>
      </c>
      <c r="X852" s="34">
        <f t="shared" ca="1" si="1799"/>
        <v>-55589.26679341829</v>
      </c>
      <c r="Y852" s="34">
        <f t="shared" ca="1" si="1799"/>
        <v>-41733.703811777785</v>
      </c>
      <c r="Z852" s="34">
        <f t="shared" si="1799"/>
        <v>0</v>
      </c>
      <c r="AA852" s="34">
        <f t="shared" si="1799"/>
        <v>0</v>
      </c>
      <c r="AB852" s="34">
        <f t="shared" si="1799"/>
        <v>0</v>
      </c>
      <c r="AC852" s="34">
        <f t="shared" si="1799"/>
        <v>0</v>
      </c>
      <c r="AD852" s="34">
        <f t="shared" si="1799"/>
        <v>0</v>
      </c>
      <c r="AE852" s="34">
        <f t="shared" si="1799"/>
        <v>0</v>
      </c>
      <c r="AF852" s="34">
        <f t="shared" si="1799"/>
        <v>0</v>
      </c>
      <c r="AG852" s="34">
        <f t="shared" si="1799"/>
        <v>0</v>
      </c>
      <c r="AH852" s="34">
        <f t="shared" si="1799"/>
        <v>0</v>
      </c>
      <c r="AI852" s="34">
        <f t="shared" si="1799"/>
        <v>0</v>
      </c>
      <c r="AJ852" s="34">
        <f t="shared" si="1799"/>
        <v>0</v>
      </c>
      <c r="AK852" s="34">
        <f t="shared" si="1799"/>
        <v>0</v>
      </c>
      <c r="AL852" s="34">
        <f t="shared" si="1799"/>
        <v>0</v>
      </c>
      <c r="AM852" s="34">
        <f t="shared" si="1799"/>
        <v>0</v>
      </c>
      <c r="AN852" s="34">
        <f t="shared" si="1799"/>
        <v>0</v>
      </c>
      <c r="AO852" s="34">
        <f t="shared" si="1799"/>
        <v>0</v>
      </c>
      <c r="AP852" s="34">
        <f t="shared" si="1799"/>
        <v>0</v>
      </c>
      <c r="AQ852" s="34">
        <f t="shared" si="1799"/>
        <v>0</v>
      </c>
      <c r="AR852" s="34">
        <f t="shared" si="1799"/>
        <v>0</v>
      </c>
      <c r="AS852" s="34">
        <f t="shared" si="1799"/>
        <v>0</v>
      </c>
      <c r="AT852" s="34">
        <f t="shared" si="1799"/>
        <v>0</v>
      </c>
      <c r="AU852" s="34">
        <f t="shared" si="1799"/>
        <v>0</v>
      </c>
      <c r="AV852" s="34">
        <f t="shared" si="1799"/>
        <v>0</v>
      </c>
      <c r="AW852" s="34">
        <f t="shared" si="1799"/>
        <v>0</v>
      </c>
      <c r="AX852" s="34">
        <f t="shared" si="1799"/>
        <v>0</v>
      </c>
      <c r="AY852" s="34">
        <f t="shared" si="1799"/>
        <v>0</v>
      </c>
      <c r="AZ852" s="34">
        <f t="shared" si="1799"/>
        <v>0</v>
      </c>
      <c r="BA852" s="34">
        <f t="shared" si="1799"/>
        <v>0</v>
      </c>
      <c r="BB852" s="34">
        <f t="shared" si="1799"/>
        <v>0</v>
      </c>
      <c r="BC852" s="34">
        <f t="shared" si="1799"/>
        <v>0</v>
      </c>
      <c r="BD852" s="34">
        <f t="shared" si="1799"/>
        <v>0</v>
      </c>
      <c r="BE852" s="34">
        <f t="shared" si="1799"/>
        <v>0</v>
      </c>
      <c r="BF852" s="34">
        <f t="shared" si="1799"/>
        <v>0</v>
      </c>
      <c r="BG852" s="34">
        <f t="shared" si="1799"/>
        <v>0</v>
      </c>
      <c r="BH852" s="34">
        <f t="shared" si="1799"/>
        <v>0</v>
      </c>
      <c r="BI852" s="34">
        <f t="shared" si="1799"/>
        <v>0</v>
      </c>
      <c r="BJ852" s="34">
        <f t="shared" si="1799"/>
        <v>0</v>
      </c>
      <c r="BK852" s="34">
        <f t="shared" si="1799"/>
        <v>0</v>
      </c>
      <c r="BL852" s="34">
        <f t="shared" si="1799"/>
        <v>0</v>
      </c>
      <c r="BM852" s="34">
        <f t="shared" si="1799"/>
        <v>0</v>
      </c>
      <c r="BN852" s="34">
        <f t="shared" si="1799"/>
        <v>0</v>
      </c>
      <c r="BO852" s="34">
        <f t="shared" si="1799"/>
        <v>0</v>
      </c>
      <c r="BP852" s="34">
        <f t="shared" si="1799"/>
        <v>0</v>
      </c>
      <c r="BQ852" s="34">
        <f t="shared" si="1799"/>
        <v>0</v>
      </c>
      <c r="BR852" s="34">
        <f t="shared" si="1799"/>
        <v>0</v>
      </c>
      <c r="BS852" s="34">
        <f t="shared" si="1799"/>
        <v>0</v>
      </c>
      <c r="BT852" s="34">
        <f t="shared" si="1799"/>
        <v>0</v>
      </c>
      <c r="BU852" s="34">
        <f t="shared" ref="BU852:BY852" si="1800">IF(SUM(BU853:BU862)=0,0,+SUM(BU853:BU862)-BU851)</f>
        <v>0</v>
      </c>
      <c r="BV852" s="34">
        <f t="shared" si="1800"/>
        <v>0</v>
      </c>
      <c r="BW852" s="34">
        <f t="shared" si="1800"/>
        <v>0</v>
      </c>
      <c r="BX852" s="34">
        <f t="shared" si="1800"/>
        <v>0</v>
      </c>
      <c r="BY852" s="34">
        <f t="shared" si="1800"/>
        <v>0</v>
      </c>
    </row>
    <row r="853" spans="5:77" outlineLevel="1">
      <c r="E853" s="24" t="s">
        <v>514</v>
      </c>
      <c r="F853" s="80" t="str">
        <f>+Assumptions!$G$8</f>
        <v>USD</v>
      </c>
      <c r="G853" s="24"/>
      <c r="H853" s="39">
        <f>+IFERROR(-ABS(IF(EDATE(_xlfn.XLOOKUP(1,$H840:$BE840,$H$4:$BE$4),12*Assumptions!$H$231+12)=H$4,0,IF(G840=1,PMT(Assumptions!$H$229,Assumptions!$H$231,$C842),G853))),0)</f>
        <v>0</v>
      </c>
      <c r="I853" s="39">
        <f>+IFERROR(-ABS(IF(EDATE(_xlfn.XLOOKUP(1,$H840:$BE840,$H$4:$BE$4),12*Assumptions!$H$231+12)=I$4,0,IF(H840=1,PMT(Assumptions!$H$229,Assumptions!$H$231,$C842),H853))),0)</f>
        <v>0</v>
      </c>
      <c r="J853" s="39">
        <f ca="1">+IFERROR(-ABS(IF(EDATE(_xlfn.XLOOKUP(1,$H840:$BE840,$H$4:$BE$4),12*Assumptions!$H$231+12)=J$4,0,IF(I840=1,PMT(Assumptions!$H$229,Assumptions!$H$231,$C842),I853))),0)</f>
        <v>-17045.831002914776</v>
      </c>
      <c r="K853" s="39">
        <f ca="1">+IFERROR(-ABS(IF(EDATE(_xlfn.XLOOKUP(1,$H840:$BE840,$H$4:$BE$4),12*Assumptions!$H$231+12)=K$4,0,IF(J840=1,PMT(Assumptions!$H$229,Assumptions!$H$231,$C842),J853))),0)</f>
        <v>-17045.831002914776</v>
      </c>
      <c r="L853" s="39">
        <f ca="1">+IFERROR(-ABS(IF(EDATE(_xlfn.XLOOKUP(1,$H840:$BE840,$H$4:$BE$4),12*Assumptions!$H$231+12)=L$4,0,IF(K840=1,PMT(Assumptions!$H$229,Assumptions!$H$231,$C842),K853))),0)</f>
        <v>-17045.831002914776</v>
      </c>
      <c r="M853" s="39">
        <f ca="1">+IFERROR(-ABS(IF(EDATE(_xlfn.XLOOKUP(1,$H840:$BE840,$H$4:$BE$4),12*Assumptions!$H$231+12)=M$4,0,IF(L840=1,PMT(Assumptions!$H$229,Assumptions!$H$231,$C842),L853))),0)</f>
        <v>-17045.831002914776</v>
      </c>
      <c r="N853" s="39">
        <f ca="1">+IFERROR(-ABS(IF(EDATE(_xlfn.XLOOKUP(1,$H840:$BE840,$H$4:$BE$4),12*Assumptions!$H$231+12)=N$4,0,IF(M840=1,PMT(Assumptions!$H$229,Assumptions!$H$231,$C842),M853))),0)</f>
        <v>-17045.831002914776</v>
      </c>
      <c r="O853" s="39">
        <f ca="1">+IFERROR(-ABS(IF(EDATE(_xlfn.XLOOKUP(1,$H840:$BE840,$H$4:$BE$4),12*Assumptions!$H$231+12)=O$4,0,IF(N840=1,PMT(Assumptions!$H$229,Assumptions!$H$231,$C842),N853))),0)</f>
        <v>-17045.831002914776</v>
      </c>
      <c r="P853" s="39">
        <f ca="1">+IFERROR(-ABS(IF(EDATE(_xlfn.XLOOKUP(1,$H840:$BE840,$H$4:$BE$4),12*Assumptions!$H$231+12)=P$4,0,IF(O840=1,PMT(Assumptions!$H$229,Assumptions!$H$231,$C842),O853))),0)</f>
        <v>-17045.831002914776</v>
      </c>
      <c r="Q853" s="39">
        <f ca="1">+IFERROR(-ABS(IF(EDATE(_xlfn.XLOOKUP(1,$H840:$BE840,$H$4:$BE$4),12*Assumptions!$H$231+12)=Q$4,0,IF(P840=1,PMT(Assumptions!$H$229,Assumptions!$H$231,$C842),P853))),0)</f>
        <v>-17045.831002914776</v>
      </c>
      <c r="R853" s="39">
        <f ca="1">+IFERROR(-ABS(IF(EDATE(_xlfn.XLOOKUP(1,$H840:$BE840,$H$4:$BE$4),12*Assumptions!$H$231+12)=R$4,0,IF(Q840=1,PMT(Assumptions!$H$229,Assumptions!$H$231,$C842),Q853))),0)</f>
        <v>-17045.831002914776</v>
      </c>
      <c r="S853" s="39">
        <f ca="1">+IFERROR(-ABS(IF(EDATE(_xlfn.XLOOKUP(1,$H840:$BE840,$H$4:$BE$4),12*Assumptions!$H$231+12)=S$4,0,IF(R840=1,PMT(Assumptions!$H$229,Assumptions!$H$231,$C842),R853))),0)</f>
        <v>-17045.831002914776</v>
      </c>
      <c r="T853" s="39">
        <f ca="1">+IFERROR(-ABS(IF(EDATE(_xlfn.XLOOKUP(1,$H840:$BE840,$H$4:$BE$4),12*Assumptions!$H$231+12)=T$4,0,IF(S840=1,PMT(Assumptions!$H$229,Assumptions!$H$231,$C842),S853))),0)</f>
        <v>-17045.831002914776</v>
      </c>
      <c r="U853" s="39">
        <f ca="1">+IFERROR(-ABS(IF(EDATE(_xlfn.XLOOKUP(1,$H840:$BE840,$H$4:$BE$4),12*Assumptions!$H$231+12)=U$4,0,IF(T840=1,PMT(Assumptions!$H$229,Assumptions!$H$231,$C842),T853))),0)</f>
        <v>-17045.831002914776</v>
      </c>
      <c r="V853" s="39">
        <f ca="1">+IFERROR(-ABS(IF(EDATE(_xlfn.XLOOKUP(1,$H840:$BE840,$H$4:$BE$4),12*Assumptions!$H$231+12)=V$4,0,IF(U840=1,PMT(Assumptions!$H$229,Assumptions!$H$231,$C842),U853))),0)</f>
        <v>-17045.831002914776</v>
      </c>
      <c r="W853" s="39">
        <f ca="1">+IFERROR(-ABS(IF(EDATE(_xlfn.XLOOKUP(1,$H840:$BE840,$H$4:$BE$4),12*Assumptions!$H$231+12)=W$4,0,IF(V840=1,PMT(Assumptions!$H$229,Assumptions!$H$231,$C842),V853))),0)</f>
        <v>-17045.831002914776</v>
      </c>
      <c r="X853" s="39">
        <f ca="1">+IFERROR(-ABS(IF(EDATE(_xlfn.XLOOKUP(1,$H840:$BE840,$H$4:$BE$4),12*Assumptions!$H$231+12)=X$4,0,IF(W840=1,PMT(Assumptions!$H$229,Assumptions!$H$231,$C842),W853))),0)</f>
        <v>-17045.831002914776</v>
      </c>
      <c r="Y853" s="39">
        <f>+IFERROR(-ABS(IF(EDATE(_xlfn.XLOOKUP(1,$H840:$BE840,$H$4:$BE$4),12*Assumptions!$H$231+12)=Y$4,0,IF(X840=1,PMT(Assumptions!$H$229,Assumptions!$H$231,$C842),X853))),0)</f>
        <v>0</v>
      </c>
      <c r="Z853" s="39">
        <f>+IFERROR(-ABS(IF(EDATE(_xlfn.XLOOKUP(1,$H840:$BE840,$H$4:$BE$4),12*Assumptions!$H$231+12)=Z$4,0,IF(Y840=1,PMT(Assumptions!$H$229,Assumptions!$H$231,$C842),Y853))),0)</f>
        <v>0</v>
      </c>
      <c r="AA853" s="39">
        <f>+IFERROR(-ABS(IF(EDATE(_xlfn.XLOOKUP(1,$H840:$BE840,$H$4:$BE$4),12*Assumptions!$H$231+12)=AA$4,0,IF(Z840=1,PMT(Assumptions!$H$229,Assumptions!$H$231,$C842),Z853))),0)</f>
        <v>0</v>
      </c>
      <c r="AB853" s="39">
        <f>+IFERROR(-ABS(IF(EDATE(_xlfn.XLOOKUP(1,$H840:$BE840,$H$4:$BE$4),12*Assumptions!$H$231+12)=AB$4,0,IF(AA840=1,PMT(Assumptions!$H$229,Assumptions!$H$231,$C842),AA853))),0)</f>
        <v>0</v>
      </c>
      <c r="AC853" s="39">
        <f>+IFERROR(-ABS(IF(EDATE(_xlfn.XLOOKUP(1,$H840:$BE840,$H$4:$BE$4),12*Assumptions!$H$231+12)=AC$4,0,IF(AB840=1,PMT(Assumptions!$H$229,Assumptions!$H$231,$C842),AB853))),0)</f>
        <v>0</v>
      </c>
      <c r="AD853" s="39">
        <f>+IFERROR(-ABS(IF(EDATE(_xlfn.XLOOKUP(1,$H840:$BE840,$H$4:$BE$4),12*Assumptions!$H$231+12)=AD$4,0,IF(AC840=1,PMT(Assumptions!$H$229,Assumptions!$H$231,$C842),AC853))),0)</f>
        <v>0</v>
      </c>
      <c r="AE853" s="39">
        <f>+IFERROR(-ABS(IF(EDATE(_xlfn.XLOOKUP(1,$H840:$BE840,$H$4:$BE$4),12*Assumptions!$H$231+12)=AE$4,0,IF(AD840=1,PMT(Assumptions!$H$229,Assumptions!$H$231,$C842),AD853))),0)</f>
        <v>0</v>
      </c>
      <c r="AF853" s="39">
        <f>+IFERROR(-ABS(IF(EDATE(_xlfn.XLOOKUP(1,$H840:$BE840,$H$4:$BE$4),12*Assumptions!$H$231+12)=AF$4,0,IF(AE840=1,PMT(Assumptions!$H$229,Assumptions!$H$231,$C842),AE853))),0)</f>
        <v>0</v>
      </c>
      <c r="AG853" s="39">
        <f>+IFERROR(-ABS(IF(EDATE(_xlfn.XLOOKUP(1,$H840:$BE840,$H$4:$BE$4),12*Assumptions!$H$231+12)=AG$4,0,IF(AF840=1,PMT(Assumptions!$H$229,Assumptions!$H$231,$C842),AF853))),0)</f>
        <v>0</v>
      </c>
      <c r="AH853" s="39">
        <f>+IFERROR(-ABS(IF(EDATE(_xlfn.XLOOKUP(1,$H840:$BE840,$H$4:$BE$4),12*Assumptions!$H$231+12)=AH$4,0,IF(AG840=1,PMT(Assumptions!$H$229,Assumptions!$H$231,$C842),AG853))),0)</f>
        <v>0</v>
      </c>
      <c r="AI853" s="39">
        <f>+IFERROR(-ABS(IF(EDATE(_xlfn.XLOOKUP(1,$H840:$BE840,$H$4:$BE$4),12*Assumptions!$H$231+12)=AI$4,0,IF(AH840=1,PMT(Assumptions!$H$229,Assumptions!$H$231,$C842),AH853))),0)</f>
        <v>0</v>
      </c>
      <c r="AJ853" s="39">
        <f>+IFERROR(-ABS(IF(EDATE(_xlfn.XLOOKUP(1,$H840:$BE840,$H$4:$BE$4),12*Assumptions!$H$231+12)=AJ$4,0,IF(AI840=1,PMT(Assumptions!$H$229,Assumptions!$H$231,$C842),AI853))),0)</f>
        <v>0</v>
      </c>
      <c r="AK853" s="39">
        <f>+IFERROR(-ABS(IF(EDATE(_xlfn.XLOOKUP(1,$H840:$BE840,$H$4:$BE$4),12*Assumptions!$H$231+12)=AK$4,0,IF(AJ840=1,PMT(Assumptions!$H$229,Assumptions!$H$231,$C842),AJ853))),0)</f>
        <v>0</v>
      </c>
      <c r="AL853" s="39">
        <f>+IFERROR(-ABS(IF(EDATE(_xlfn.XLOOKUP(1,$H840:$BE840,$H$4:$BE$4),12*Assumptions!$H$231+12)=AL$4,0,IF(AK840=1,PMT(Assumptions!$H$229,Assumptions!$H$231,$C842),AK853))),0)</f>
        <v>0</v>
      </c>
      <c r="AM853" s="39">
        <f>+IFERROR(-ABS(IF(EDATE(_xlfn.XLOOKUP(1,$H840:$BE840,$H$4:$BE$4),12*Assumptions!$H$231+12)=AM$4,0,IF(AL840=1,PMT(Assumptions!$H$229,Assumptions!$H$231,$C842),AL853))),0)</f>
        <v>0</v>
      </c>
      <c r="AN853" s="39">
        <f>+IFERROR(-ABS(IF(EDATE(_xlfn.XLOOKUP(1,$H840:$BE840,$H$4:$BE$4),12*Assumptions!$H$231+12)=AN$4,0,IF(AM840=1,PMT(Assumptions!$H$229,Assumptions!$H$231,$C842),AM853))),0)</f>
        <v>0</v>
      </c>
      <c r="AO853" s="39">
        <f>+IFERROR(-ABS(IF(EDATE(_xlfn.XLOOKUP(1,$H840:$BE840,$H$4:$BE$4),12*Assumptions!$H$231+12)=AO$4,0,IF(AN840=1,PMT(Assumptions!$H$229,Assumptions!$H$231,$C842),AN853))),0)</f>
        <v>0</v>
      </c>
      <c r="AP853" s="39">
        <f>+IFERROR(-ABS(IF(EDATE(_xlfn.XLOOKUP(1,$H840:$BE840,$H$4:$BE$4),12*Assumptions!$H$231+12)=AP$4,0,IF(AO840=1,PMT(Assumptions!$H$229,Assumptions!$H$231,$C842),AO853))),0)</f>
        <v>0</v>
      </c>
      <c r="AQ853" s="39">
        <f>+IFERROR(-ABS(IF(EDATE(_xlfn.XLOOKUP(1,$H840:$BE840,$H$4:$BE$4),12*Assumptions!$H$231+12)=AQ$4,0,IF(AP840=1,PMT(Assumptions!$H$229,Assumptions!$H$231,$C842),AP853))),0)</f>
        <v>0</v>
      </c>
      <c r="AR853" s="39">
        <f>+IFERROR(-ABS(IF(EDATE(_xlfn.XLOOKUP(1,$H840:$BE840,$H$4:$BE$4),12*Assumptions!$H$231+12)=AR$4,0,IF(AQ840=1,PMT(Assumptions!$H$229,Assumptions!$H$231,$C842),AQ853))),0)</f>
        <v>0</v>
      </c>
      <c r="AS853" s="39">
        <f>+IFERROR(-ABS(IF(EDATE(_xlfn.XLOOKUP(1,$H840:$BE840,$H$4:$BE$4),12*Assumptions!$H$231+12)=AS$4,0,IF(AR840=1,PMT(Assumptions!$H$229,Assumptions!$H$231,$C842),AR853))),0)</f>
        <v>0</v>
      </c>
      <c r="AT853" s="39">
        <f>+IFERROR(-ABS(IF(EDATE(_xlfn.XLOOKUP(1,$H840:$BE840,$H$4:$BE$4),12*Assumptions!$H$231+12)=AT$4,0,IF(AS840=1,PMT(Assumptions!$H$229,Assumptions!$H$231,$C842),AS853))),0)</f>
        <v>0</v>
      </c>
      <c r="AU853" s="39">
        <f>+IFERROR(-ABS(IF(EDATE(_xlfn.XLOOKUP(1,$H840:$BE840,$H$4:$BE$4),12*Assumptions!$H$231+12)=AU$4,0,IF(AT840=1,PMT(Assumptions!$H$229,Assumptions!$H$231,$C842),AT853))),0)</f>
        <v>0</v>
      </c>
      <c r="AV853" s="39">
        <f>+IFERROR(-ABS(IF(EDATE(_xlfn.XLOOKUP(1,$H840:$BE840,$H$4:$BE$4),12*Assumptions!$H$231+12)=AV$4,0,IF(AU840=1,PMT(Assumptions!$H$229,Assumptions!$H$231,$C842),AU853))),0)</f>
        <v>0</v>
      </c>
      <c r="AW853" s="39">
        <f>+IFERROR(-ABS(IF(EDATE(_xlfn.XLOOKUP(1,$H840:$BE840,$H$4:$BE$4),12*Assumptions!$H$231+12)=AW$4,0,IF(AV840=1,PMT(Assumptions!$H$229,Assumptions!$H$231,$C842),AV853))),0)</f>
        <v>0</v>
      </c>
      <c r="AX853" s="39">
        <f>+IFERROR(-ABS(IF(EDATE(_xlfn.XLOOKUP(1,$H840:$BE840,$H$4:$BE$4),12*Assumptions!$H$231+12)=AX$4,0,IF(AW840=1,PMT(Assumptions!$H$229,Assumptions!$H$231,$C842),AW853))),0)</f>
        <v>0</v>
      </c>
      <c r="AY853" s="39">
        <f>+IFERROR(-ABS(IF(EDATE(_xlfn.XLOOKUP(1,$H840:$BE840,$H$4:$BE$4),12*Assumptions!$H$231+12)=AY$4,0,IF(AX840=1,PMT(Assumptions!$H$229,Assumptions!$H$231,$C842),AX853))),0)</f>
        <v>0</v>
      </c>
      <c r="AZ853" s="39">
        <f>+IFERROR(-ABS(IF(EDATE(_xlfn.XLOOKUP(1,$H840:$BE840,$H$4:$BE$4),12*Assumptions!$H$231+12)=AZ$4,0,IF(AY840=1,PMT(Assumptions!$H$229,Assumptions!$H$231,$C842),AY853))),0)</f>
        <v>0</v>
      </c>
      <c r="BA853" s="39">
        <f>+IFERROR(-ABS(IF(EDATE(_xlfn.XLOOKUP(1,$H840:$BE840,$H$4:$BE$4),12*Assumptions!$H$231+12)=BA$4,0,IF(AZ840=1,PMT(Assumptions!$H$229,Assumptions!$H$231,$C842),AZ853))),0)</f>
        <v>0</v>
      </c>
      <c r="BB853" s="39">
        <f>+IFERROR(-ABS(IF(EDATE(_xlfn.XLOOKUP(1,$H840:$BE840,$H$4:$BE$4),12*Assumptions!$H$231+12)=BB$4,0,IF(BA840=1,PMT(Assumptions!$H$229,Assumptions!$H$231,$C842),BA853))),0)</f>
        <v>0</v>
      </c>
      <c r="BC853" s="39">
        <f>+IFERROR(-ABS(IF(EDATE(_xlfn.XLOOKUP(1,$H840:$BE840,$H$4:$BE$4),12*Assumptions!$H$231+12)=BC$4,0,IF(BB840=1,PMT(Assumptions!$H$229,Assumptions!$H$231,$C842),BB853))),0)</f>
        <v>0</v>
      </c>
      <c r="BD853" s="39">
        <f>+IFERROR(-ABS(IF(EDATE(_xlfn.XLOOKUP(1,$H840:$BE840,$H$4:$BE$4),12*Assumptions!$H$231+12)=BD$4,0,IF(BC840=1,PMT(Assumptions!$H$229,Assumptions!$H$231,$C842),BC853))),0)</f>
        <v>0</v>
      </c>
      <c r="BE853" s="39">
        <f>+IFERROR(-ABS(IF(EDATE(_xlfn.XLOOKUP(1,$H840:$BE840,$H$4:$BE$4),12*Assumptions!$H$231+12)=BE$4,0,IF(BD840=1,PMT(Assumptions!$H$229,Assumptions!$H$231,$C842),BD853))),0)</f>
        <v>0</v>
      </c>
      <c r="BF853" s="39">
        <f>+IFERROR(-ABS(IF(EDATE(_xlfn.XLOOKUP(1,$H840:$BE840,$H$4:$BE$4),12*Assumptions!$H$231+12)=BF$4,0,IF(BE840=1,PMT(Assumptions!$H$229,Assumptions!$H$231,$C842),BE853))),0)</f>
        <v>0</v>
      </c>
      <c r="BG853" s="39">
        <f>+IFERROR(-ABS(IF(EDATE(_xlfn.XLOOKUP(1,$H840:$BE840,$H$4:$BE$4),12*Assumptions!$H$231+12)=BG$4,0,IF(BF840=1,PMT(Assumptions!$H$229,Assumptions!$H$231,$C842),BF853))),0)</f>
        <v>0</v>
      </c>
      <c r="BH853" s="39">
        <f>+IFERROR(-ABS(IF(EDATE(_xlfn.XLOOKUP(1,$H840:$BE840,$H$4:$BE$4),12*Assumptions!$H$231+12)=BH$4,0,IF(BG840=1,PMT(Assumptions!$H$229,Assumptions!$H$231,$C842),BG853))),0)</f>
        <v>0</v>
      </c>
      <c r="BI853" s="39">
        <f>+IFERROR(-ABS(IF(EDATE(_xlfn.XLOOKUP(1,$H840:$BE840,$H$4:$BE$4),12*Assumptions!$H$231+12)=BI$4,0,IF(BH840=1,PMT(Assumptions!$H$229,Assumptions!$H$231,$C842),BH853))),0)</f>
        <v>0</v>
      </c>
      <c r="BJ853" s="39">
        <f>+IFERROR(-ABS(IF(EDATE(_xlfn.XLOOKUP(1,$H840:$BE840,$H$4:$BE$4),12*Assumptions!$H$231+12)=BJ$4,0,IF(BI840=1,PMT(Assumptions!$H$229,Assumptions!$H$231,$C842),BI853))),0)</f>
        <v>0</v>
      </c>
      <c r="BK853" s="39">
        <f>+IFERROR(-ABS(IF(EDATE(_xlfn.XLOOKUP(1,$H840:$BE840,$H$4:$BE$4),12*Assumptions!$H$231+12)=BK$4,0,IF(BJ840=1,PMT(Assumptions!$H$229,Assumptions!$H$231,$C842),BJ853))),0)</f>
        <v>0</v>
      </c>
      <c r="BL853" s="39">
        <f>+IFERROR(-ABS(IF(EDATE(_xlfn.XLOOKUP(1,$H840:$BE840,$H$4:$BE$4),12*Assumptions!$H$231+12)=BL$4,0,IF(BK840=1,PMT(Assumptions!$H$229,Assumptions!$H$231,$C842),BK853))),0)</f>
        <v>0</v>
      </c>
      <c r="BM853" s="39">
        <f>+IFERROR(-ABS(IF(EDATE(_xlfn.XLOOKUP(1,$H840:$BE840,$H$4:$BE$4),12*Assumptions!$H$231+12)=BM$4,0,IF(BL840=1,PMT(Assumptions!$H$229,Assumptions!$H$231,$C842),BL853))),0)</f>
        <v>0</v>
      </c>
      <c r="BN853" s="39">
        <f>+IFERROR(-ABS(IF(EDATE(_xlfn.XLOOKUP(1,$H840:$BE840,$H$4:$BE$4),12*Assumptions!$H$231+12)=BN$4,0,IF(BM840=1,PMT(Assumptions!$H$229,Assumptions!$H$231,$C842),BM853))),0)</f>
        <v>0</v>
      </c>
      <c r="BO853" s="39">
        <f>+IFERROR(-ABS(IF(EDATE(_xlfn.XLOOKUP(1,$H840:$BE840,$H$4:$BE$4),12*Assumptions!$H$231+12)=BO$4,0,IF(BN840=1,PMT(Assumptions!$H$229,Assumptions!$H$231,$C842),BN853))),0)</f>
        <v>0</v>
      </c>
      <c r="BP853" s="39">
        <f>+IFERROR(-ABS(IF(EDATE(_xlfn.XLOOKUP(1,$H840:$BE840,$H$4:$BE$4),12*Assumptions!$H$231+12)=BP$4,0,IF(BO840=1,PMT(Assumptions!$H$229,Assumptions!$H$231,$C842),BO853))),0)</f>
        <v>0</v>
      </c>
      <c r="BQ853" s="39">
        <f>+IFERROR(-ABS(IF(EDATE(_xlfn.XLOOKUP(1,$H840:$BE840,$H$4:$BE$4),12*Assumptions!$H$231+12)=BQ$4,0,IF(BP840=1,PMT(Assumptions!$H$229,Assumptions!$H$231,$C842),BP853))),0)</f>
        <v>0</v>
      </c>
      <c r="BR853" s="39">
        <f>+IFERROR(-ABS(IF(EDATE(_xlfn.XLOOKUP(1,$H840:$BE840,$H$4:$BE$4),12*Assumptions!$H$231+12)=BR$4,0,IF(BQ840=1,PMT(Assumptions!$H$229,Assumptions!$H$231,$C842),BQ853))),0)</f>
        <v>0</v>
      </c>
      <c r="BS853" s="39">
        <f>+IFERROR(-ABS(IF(EDATE(_xlfn.XLOOKUP(1,$H840:$BE840,$H$4:$BE$4),12*Assumptions!$H$231+12)=BS$4,0,IF(BR840=1,PMT(Assumptions!$H$229,Assumptions!$H$231,$C842),BR853))),0)</f>
        <v>0</v>
      </c>
      <c r="BT853" s="39">
        <f>+IFERROR(-ABS(IF(EDATE(_xlfn.XLOOKUP(1,$H840:$BE840,$H$4:$BE$4),12*Assumptions!$H$231+12)=BT$4,0,IF(BS840=1,PMT(Assumptions!$H$229,Assumptions!$H$231,$C842),BS853))),0)</f>
        <v>0</v>
      </c>
      <c r="BU853" s="39">
        <f>+IFERROR(-ABS(IF(EDATE(_xlfn.XLOOKUP(1,$H840:$BE840,$H$4:$BE$4),12*Assumptions!$H$231+12)=BU$4,0,IF(BT840=1,PMT(Assumptions!$H$229,Assumptions!$H$231,$C842),BT853))),0)</f>
        <v>0</v>
      </c>
      <c r="BV853" s="39">
        <f>+IFERROR(-ABS(IF(EDATE(_xlfn.XLOOKUP(1,$H840:$BE840,$H$4:$BE$4),12*Assumptions!$H$231+12)=BV$4,0,IF(BU840=1,PMT(Assumptions!$H$229,Assumptions!$H$231,$C842),BU853))),0)</f>
        <v>0</v>
      </c>
      <c r="BW853" s="39">
        <f>+IFERROR(-ABS(IF(EDATE(_xlfn.XLOOKUP(1,$H840:$BE840,$H$4:$BE$4),12*Assumptions!$H$231+12)=BW$4,0,IF(BV840=1,PMT(Assumptions!$H$229,Assumptions!$H$231,$C842),BV853))),0)</f>
        <v>0</v>
      </c>
      <c r="BX853" s="39">
        <f>+IFERROR(-ABS(IF(EDATE(_xlfn.XLOOKUP(1,$H840:$BE840,$H$4:$BE$4),12*Assumptions!$H$231+12)=BX$4,0,IF(BW840=1,PMT(Assumptions!$H$229,Assumptions!$H$231,$C842),BW853))),0)</f>
        <v>0</v>
      </c>
      <c r="BY853" s="39">
        <f>+IFERROR(-ABS(IF(EDATE(_xlfn.XLOOKUP(1,$H840:$BE840,$H$4:$BE$4),12*Assumptions!$H$231+12)=BY$4,0,IF(BX840=1,PMT(Assumptions!$H$229,Assumptions!$H$231,$C842),BX853))),0)</f>
        <v>0</v>
      </c>
    </row>
    <row r="854" spans="5:77" outlineLevel="1">
      <c r="E854" s="24" t="s">
        <v>515</v>
      </c>
      <c r="F854" s="80" t="str">
        <f>+Assumptions!$G$8</f>
        <v>USD</v>
      </c>
      <c r="G854" s="24"/>
      <c r="H854" s="39">
        <f>+IFERROR(-ABS(IF(EDATE(_xlfn.XLOOKUP(1,$H841:$BE841,$H$4:$BE$4),12*Assumptions!$H$231+12)=H$4,0,IF(G841=1,PMT(Assumptions!$H$229,Assumptions!$H$231,$C843),G854))),0)</f>
        <v>0</v>
      </c>
      <c r="I854" s="39">
        <f>+IFERROR(-ABS(IF(EDATE(_xlfn.XLOOKUP(1,$H841:$BE841,$H$4:$BE$4),12*Assumptions!$H$231+12)=I$4,0,IF(H841=1,PMT(Assumptions!$H$229,Assumptions!$H$231,$C843),H854))),0)</f>
        <v>0</v>
      </c>
      <c r="J854" s="39">
        <f>+IFERROR(-ABS(IF(EDATE(_xlfn.XLOOKUP(1,$H841:$BE841,$H$4:$BE$4),12*Assumptions!$H$231+12)=J$4,0,IF(I841=1,PMT(Assumptions!$H$229,Assumptions!$H$231,$C843),I854))),0)</f>
        <v>0</v>
      </c>
      <c r="K854" s="39">
        <f ca="1">+IFERROR(-ABS(IF(EDATE(_xlfn.XLOOKUP(1,$H841:$BE841,$H$4:$BE$4),12*Assumptions!$H$231+12)=K$4,0,IF(J841=1,PMT(Assumptions!$H$229,Assumptions!$H$231,$C843),J854))),0)</f>
        <v>-44128.801073535724</v>
      </c>
      <c r="L854" s="39">
        <f ca="1">+IFERROR(-ABS(IF(EDATE(_xlfn.XLOOKUP(1,$H841:$BE841,$H$4:$BE$4),12*Assumptions!$H$231+12)=L$4,0,IF(K841=1,PMT(Assumptions!$H$229,Assumptions!$H$231,$C843),K854))),0)</f>
        <v>-44128.801073535724</v>
      </c>
      <c r="M854" s="39">
        <f ca="1">+IFERROR(-ABS(IF(EDATE(_xlfn.XLOOKUP(1,$H841:$BE841,$H$4:$BE$4),12*Assumptions!$H$231+12)=M$4,0,IF(L841=1,PMT(Assumptions!$H$229,Assumptions!$H$231,$C843),L854))),0)</f>
        <v>-44128.801073535724</v>
      </c>
      <c r="N854" s="39">
        <f ca="1">+IFERROR(-ABS(IF(EDATE(_xlfn.XLOOKUP(1,$H841:$BE841,$H$4:$BE$4),12*Assumptions!$H$231+12)=N$4,0,IF(M841=1,PMT(Assumptions!$H$229,Assumptions!$H$231,$C843),M854))),0)</f>
        <v>-44128.801073535724</v>
      </c>
      <c r="O854" s="39">
        <f ca="1">+IFERROR(-ABS(IF(EDATE(_xlfn.XLOOKUP(1,$H841:$BE841,$H$4:$BE$4),12*Assumptions!$H$231+12)=O$4,0,IF(N841=1,PMT(Assumptions!$H$229,Assumptions!$H$231,$C843),N854))),0)</f>
        <v>-44128.801073535724</v>
      </c>
      <c r="P854" s="39">
        <f ca="1">+IFERROR(-ABS(IF(EDATE(_xlfn.XLOOKUP(1,$H841:$BE841,$H$4:$BE$4),12*Assumptions!$H$231+12)=P$4,0,IF(O841=1,PMT(Assumptions!$H$229,Assumptions!$H$231,$C843),O854))),0)</f>
        <v>-44128.801073535724</v>
      </c>
      <c r="Q854" s="39">
        <f ca="1">+IFERROR(-ABS(IF(EDATE(_xlfn.XLOOKUP(1,$H841:$BE841,$H$4:$BE$4),12*Assumptions!$H$231+12)=Q$4,0,IF(P841=1,PMT(Assumptions!$H$229,Assumptions!$H$231,$C843),P854))),0)</f>
        <v>-44128.801073535724</v>
      </c>
      <c r="R854" s="39">
        <f ca="1">+IFERROR(-ABS(IF(EDATE(_xlfn.XLOOKUP(1,$H841:$BE841,$H$4:$BE$4),12*Assumptions!$H$231+12)=R$4,0,IF(Q841=1,PMT(Assumptions!$H$229,Assumptions!$H$231,$C843),Q854))),0)</f>
        <v>-44128.801073535724</v>
      </c>
      <c r="S854" s="39">
        <f ca="1">+IFERROR(-ABS(IF(EDATE(_xlfn.XLOOKUP(1,$H841:$BE841,$H$4:$BE$4),12*Assumptions!$H$231+12)=S$4,0,IF(R841=1,PMT(Assumptions!$H$229,Assumptions!$H$231,$C843),R854))),0)</f>
        <v>-44128.801073535724</v>
      </c>
      <c r="T854" s="39">
        <f ca="1">+IFERROR(-ABS(IF(EDATE(_xlfn.XLOOKUP(1,$H841:$BE841,$H$4:$BE$4),12*Assumptions!$H$231+12)=T$4,0,IF(S841=1,PMT(Assumptions!$H$229,Assumptions!$H$231,$C843),S854))),0)</f>
        <v>-44128.801073535724</v>
      </c>
      <c r="U854" s="39">
        <f ca="1">+IFERROR(-ABS(IF(EDATE(_xlfn.XLOOKUP(1,$H841:$BE841,$H$4:$BE$4),12*Assumptions!$H$231+12)=U$4,0,IF(T841=1,PMT(Assumptions!$H$229,Assumptions!$H$231,$C843),T854))),0)</f>
        <v>-44128.801073535724</v>
      </c>
      <c r="V854" s="39">
        <f ca="1">+IFERROR(-ABS(IF(EDATE(_xlfn.XLOOKUP(1,$H841:$BE841,$H$4:$BE$4),12*Assumptions!$H$231+12)=V$4,0,IF(U841=1,PMT(Assumptions!$H$229,Assumptions!$H$231,$C843),U854))),0)</f>
        <v>-44128.801073535724</v>
      </c>
      <c r="W854" s="39">
        <f ca="1">+IFERROR(-ABS(IF(EDATE(_xlfn.XLOOKUP(1,$H841:$BE841,$H$4:$BE$4),12*Assumptions!$H$231+12)=W$4,0,IF(V841=1,PMT(Assumptions!$H$229,Assumptions!$H$231,$C843),V854))),0)</f>
        <v>-44128.801073535724</v>
      </c>
      <c r="X854" s="39">
        <f ca="1">+IFERROR(-ABS(IF(EDATE(_xlfn.XLOOKUP(1,$H841:$BE841,$H$4:$BE$4),12*Assumptions!$H$231+12)=X$4,0,IF(W841=1,PMT(Assumptions!$H$229,Assumptions!$H$231,$C843),W854))),0)</f>
        <v>-44128.801073535724</v>
      </c>
      <c r="Y854" s="39">
        <f ca="1">+IFERROR(-ABS(IF(EDATE(_xlfn.XLOOKUP(1,$H841:$BE841,$H$4:$BE$4),12*Assumptions!$H$231+12)=Y$4,0,IF(X841=1,PMT(Assumptions!$H$229,Assumptions!$H$231,$C843),X854))),0)</f>
        <v>-44128.801073535724</v>
      </c>
      <c r="Z854" s="39">
        <f>+IFERROR(-ABS(IF(EDATE(_xlfn.XLOOKUP(1,$H841:$BE841,$H$4:$BE$4),12*Assumptions!$H$231+12)=Z$4,0,IF(Y841=1,PMT(Assumptions!$H$229,Assumptions!$H$231,$C843),Y854))),0)</f>
        <v>0</v>
      </c>
      <c r="AA854" s="39">
        <f>+IFERROR(-ABS(IF(EDATE(_xlfn.XLOOKUP(1,$H841:$BE841,$H$4:$BE$4),12*Assumptions!$H$231+12)=AA$4,0,IF(Z841=1,PMT(Assumptions!$H$229,Assumptions!$H$231,$C843),Z854))),0)</f>
        <v>0</v>
      </c>
      <c r="AB854" s="39">
        <f>+IFERROR(-ABS(IF(EDATE(_xlfn.XLOOKUP(1,$H841:$BE841,$H$4:$BE$4),12*Assumptions!$H$231+12)=AB$4,0,IF(AA841=1,PMT(Assumptions!$H$229,Assumptions!$H$231,$C843),AA854))),0)</f>
        <v>0</v>
      </c>
      <c r="AC854" s="39">
        <f>+IFERROR(-ABS(IF(EDATE(_xlfn.XLOOKUP(1,$H841:$BE841,$H$4:$BE$4),12*Assumptions!$H$231+12)=AC$4,0,IF(AB841=1,PMT(Assumptions!$H$229,Assumptions!$H$231,$C843),AB854))),0)</f>
        <v>0</v>
      </c>
      <c r="AD854" s="39">
        <f>+IFERROR(-ABS(IF(EDATE(_xlfn.XLOOKUP(1,$H841:$BE841,$H$4:$BE$4),12*Assumptions!$H$231+12)=AD$4,0,IF(AC841=1,PMT(Assumptions!$H$229,Assumptions!$H$231,$C843),AC854))),0)</f>
        <v>0</v>
      </c>
      <c r="AE854" s="39">
        <f>+IFERROR(-ABS(IF(EDATE(_xlfn.XLOOKUP(1,$H841:$BE841,$H$4:$BE$4),12*Assumptions!$H$231+12)=AE$4,0,IF(AD841=1,PMT(Assumptions!$H$229,Assumptions!$H$231,$C843),AD854))),0)</f>
        <v>0</v>
      </c>
      <c r="AF854" s="39">
        <f>+IFERROR(-ABS(IF(EDATE(_xlfn.XLOOKUP(1,$H841:$BE841,$H$4:$BE$4),12*Assumptions!$H$231+12)=AF$4,0,IF(AE841=1,PMT(Assumptions!$H$229,Assumptions!$H$231,$C843),AE854))),0)</f>
        <v>0</v>
      </c>
      <c r="AG854" s="39">
        <f>+IFERROR(-ABS(IF(EDATE(_xlfn.XLOOKUP(1,$H841:$BE841,$H$4:$BE$4),12*Assumptions!$H$231+12)=AG$4,0,IF(AF841=1,PMT(Assumptions!$H$229,Assumptions!$H$231,$C843),AF854))),0)</f>
        <v>0</v>
      </c>
      <c r="AH854" s="39">
        <f>+IFERROR(-ABS(IF(EDATE(_xlfn.XLOOKUP(1,$H841:$BE841,$H$4:$BE$4),12*Assumptions!$H$231+12)=AH$4,0,IF(AG841=1,PMT(Assumptions!$H$229,Assumptions!$H$231,$C843),AG854))),0)</f>
        <v>0</v>
      </c>
      <c r="AI854" s="39">
        <f>+IFERROR(-ABS(IF(EDATE(_xlfn.XLOOKUP(1,$H841:$BE841,$H$4:$BE$4),12*Assumptions!$H$231+12)=AI$4,0,IF(AH841=1,PMT(Assumptions!$H$229,Assumptions!$H$231,$C843),AH854))),0)</f>
        <v>0</v>
      </c>
      <c r="AJ854" s="39">
        <f>+IFERROR(-ABS(IF(EDATE(_xlfn.XLOOKUP(1,$H841:$BE841,$H$4:$BE$4),12*Assumptions!$H$231+12)=AJ$4,0,IF(AI841=1,PMT(Assumptions!$H$229,Assumptions!$H$231,$C843),AI854))),0)</f>
        <v>0</v>
      </c>
      <c r="AK854" s="39">
        <f>+IFERROR(-ABS(IF(EDATE(_xlfn.XLOOKUP(1,$H841:$BE841,$H$4:$BE$4),12*Assumptions!$H$231+12)=AK$4,0,IF(AJ841=1,PMT(Assumptions!$H$229,Assumptions!$H$231,$C843),AJ854))),0)</f>
        <v>0</v>
      </c>
      <c r="AL854" s="39">
        <f>+IFERROR(-ABS(IF(EDATE(_xlfn.XLOOKUP(1,$H841:$BE841,$H$4:$BE$4),12*Assumptions!$H$231+12)=AL$4,0,IF(AK841=1,PMT(Assumptions!$H$229,Assumptions!$H$231,$C843),AK854))),0)</f>
        <v>0</v>
      </c>
      <c r="AM854" s="39">
        <f>+IFERROR(-ABS(IF(EDATE(_xlfn.XLOOKUP(1,$H841:$BE841,$H$4:$BE$4),12*Assumptions!$H$231+12)=AM$4,0,IF(AL841=1,PMT(Assumptions!$H$229,Assumptions!$H$231,$C843),AL854))),0)</f>
        <v>0</v>
      </c>
      <c r="AN854" s="39">
        <f>+IFERROR(-ABS(IF(EDATE(_xlfn.XLOOKUP(1,$H841:$BE841,$H$4:$BE$4),12*Assumptions!$H$231+12)=AN$4,0,IF(AM841=1,PMT(Assumptions!$H$229,Assumptions!$H$231,$C843),AM854))),0)</f>
        <v>0</v>
      </c>
      <c r="AO854" s="39">
        <f>+IFERROR(-ABS(IF(EDATE(_xlfn.XLOOKUP(1,$H841:$BE841,$H$4:$BE$4),12*Assumptions!$H$231+12)=AO$4,0,IF(AN841=1,PMT(Assumptions!$H$229,Assumptions!$H$231,$C843),AN854))),0)</f>
        <v>0</v>
      </c>
      <c r="AP854" s="39">
        <f>+IFERROR(-ABS(IF(EDATE(_xlfn.XLOOKUP(1,$H841:$BE841,$H$4:$BE$4),12*Assumptions!$H$231+12)=AP$4,0,IF(AO841=1,PMT(Assumptions!$H$229,Assumptions!$H$231,$C843),AO854))),0)</f>
        <v>0</v>
      </c>
      <c r="AQ854" s="39">
        <f>+IFERROR(-ABS(IF(EDATE(_xlfn.XLOOKUP(1,$H841:$BE841,$H$4:$BE$4),12*Assumptions!$H$231+12)=AQ$4,0,IF(AP841=1,PMT(Assumptions!$H$229,Assumptions!$H$231,$C843),AP854))),0)</f>
        <v>0</v>
      </c>
      <c r="AR854" s="39">
        <f>+IFERROR(-ABS(IF(EDATE(_xlfn.XLOOKUP(1,$H841:$BE841,$H$4:$BE$4),12*Assumptions!$H$231+12)=AR$4,0,IF(AQ841=1,PMT(Assumptions!$H$229,Assumptions!$H$231,$C843),AQ854))),0)</f>
        <v>0</v>
      </c>
      <c r="AS854" s="39">
        <f>+IFERROR(-ABS(IF(EDATE(_xlfn.XLOOKUP(1,$H841:$BE841,$H$4:$BE$4),12*Assumptions!$H$231+12)=AS$4,0,IF(AR841=1,PMT(Assumptions!$H$229,Assumptions!$H$231,$C843),AR854))),0)</f>
        <v>0</v>
      </c>
      <c r="AT854" s="39">
        <f>+IFERROR(-ABS(IF(EDATE(_xlfn.XLOOKUP(1,$H841:$BE841,$H$4:$BE$4),12*Assumptions!$H$231+12)=AT$4,0,IF(AS841=1,PMT(Assumptions!$H$229,Assumptions!$H$231,$C843),AS854))),0)</f>
        <v>0</v>
      </c>
      <c r="AU854" s="39">
        <f>+IFERROR(-ABS(IF(EDATE(_xlfn.XLOOKUP(1,$H841:$BE841,$H$4:$BE$4),12*Assumptions!$H$231+12)=AU$4,0,IF(AT841=1,PMT(Assumptions!$H$229,Assumptions!$H$231,$C843),AT854))),0)</f>
        <v>0</v>
      </c>
      <c r="AV854" s="39">
        <f>+IFERROR(-ABS(IF(EDATE(_xlfn.XLOOKUP(1,$H841:$BE841,$H$4:$BE$4),12*Assumptions!$H$231+12)=AV$4,0,IF(AU841=1,PMT(Assumptions!$H$229,Assumptions!$H$231,$C843),AU854))),0)</f>
        <v>0</v>
      </c>
      <c r="AW854" s="39">
        <f>+IFERROR(-ABS(IF(EDATE(_xlfn.XLOOKUP(1,$H841:$BE841,$H$4:$BE$4),12*Assumptions!$H$231+12)=AW$4,0,IF(AV841=1,PMT(Assumptions!$H$229,Assumptions!$H$231,$C843),AV854))),0)</f>
        <v>0</v>
      </c>
      <c r="AX854" s="39">
        <f>+IFERROR(-ABS(IF(EDATE(_xlfn.XLOOKUP(1,$H841:$BE841,$H$4:$BE$4),12*Assumptions!$H$231+12)=AX$4,0,IF(AW841=1,PMT(Assumptions!$H$229,Assumptions!$H$231,$C843),AW854))),0)</f>
        <v>0</v>
      </c>
      <c r="AY854" s="39">
        <f>+IFERROR(-ABS(IF(EDATE(_xlfn.XLOOKUP(1,$H841:$BE841,$H$4:$BE$4),12*Assumptions!$H$231+12)=AY$4,0,IF(AX841=1,PMT(Assumptions!$H$229,Assumptions!$H$231,$C843),AX854))),0)</f>
        <v>0</v>
      </c>
      <c r="AZ854" s="39">
        <f>+IFERROR(-ABS(IF(EDATE(_xlfn.XLOOKUP(1,$H841:$BE841,$H$4:$BE$4),12*Assumptions!$H$231+12)=AZ$4,0,IF(AY841=1,PMT(Assumptions!$H$229,Assumptions!$H$231,$C843),AY854))),0)</f>
        <v>0</v>
      </c>
      <c r="BA854" s="39">
        <f>+IFERROR(-ABS(IF(EDATE(_xlfn.XLOOKUP(1,$H841:$BE841,$H$4:$BE$4),12*Assumptions!$H$231+12)=BA$4,0,IF(AZ841=1,PMT(Assumptions!$H$229,Assumptions!$H$231,$C843),AZ854))),0)</f>
        <v>0</v>
      </c>
      <c r="BB854" s="39">
        <f>+IFERROR(-ABS(IF(EDATE(_xlfn.XLOOKUP(1,$H841:$BE841,$H$4:$BE$4),12*Assumptions!$H$231+12)=BB$4,0,IF(BA841=1,PMT(Assumptions!$H$229,Assumptions!$H$231,$C843),BA854))),0)</f>
        <v>0</v>
      </c>
      <c r="BC854" s="39">
        <f>+IFERROR(-ABS(IF(EDATE(_xlfn.XLOOKUP(1,$H841:$BE841,$H$4:$BE$4),12*Assumptions!$H$231+12)=BC$4,0,IF(BB841=1,PMT(Assumptions!$H$229,Assumptions!$H$231,$C843),BB854))),0)</f>
        <v>0</v>
      </c>
      <c r="BD854" s="39">
        <f>+IFERROR(-ABS(IF(EDATE(_xlfn.XLOOKUP(1,$H841:$BE841,$H$4:$BE$4),12*Assumptions!$H$231+12)=BD$4,0,IF(BC841=1,PMT(Assumptions!$H$229,Assumptions!$H$231,$C843),BC854))),0)</f>
        <v>0</v>
      </c>
      <c r="BE854" s="39">
        <f>+IFERROR(-ABS(IF(EDATE(_xlfn.XLOOKUP(1,$H841:$BE841,$H$4:$BE$4),12*Assumptions!$H$231+12)=BE$4,0,IF(BD841=1,PMT(Assumptions!$H$229,Assumptions!$H$231,$C843),BD854))),0)</f>
        <v>0</v>
      </c>
      <c r="BF854" s="39">
        <f>+IFERROR(-ABS(IF(EDATE(_xlfn.XLOOKUP(1,$H841:$BE841,$H$4:$BE$4),12*Assumptions!$H$231+12)=BF$4,0,IF(BE841=1,PMT(Assumptions!$H$229,Assumptions!$H$231,$C843),BE854))),0)</f>
        <v>0</v>
      </c>
      <c r="BG854" s="39">
        <f>+IFERROR(-ABS(IF(EDATE(_xlfn.XLOOKUP(1,$H841:$BE841,$H$4:$BE$4),12*Assumptions!$H$231+12)=BG$4,0,IF(BF841=1,PMT(Assumptions!$H$229,Assumptions!$H$231,$C843),BF854))),0)</f>
        <v>0</v>
      </c>
      <c r="BH854" s="39">
        <f>+IFERROR(-ABS(IF(EDATE(_xlfn.XLOOKUP(1,$H841:$BE841,$H$4:$BE$4),12*Assumptions!$H$231+12)=BH$4,0,IF(BG841=1,PMT(Assumptions!$H$229,Assumptions!$H$231,$C843),BG854))),0)</f>
        <v>0</v>
      </c>
      <c r="BI854" s="39">
        <f>+IFERROR(-ABS(IF(EDATE(_xlfn.XLOOKUP(1,$H841:$BE841,$H$4:$BE$4),12*Assumptions!$H$231+12)=BI$4,0,IF(BH841=1,PMT(Assumptions!$H$229,Assumptions!$H$231,$C843),BH854))),0)</f>
        <v>0</v>
      </c>
      <c r="BJ854" s="39">
        <f>+IFERROR(-ABS(IF(EDATE(_xlfn.XLOOKUP(1,$H841:$BE841,$H$4:$BE$4),12*Assumptions!$H$231+12)=BJ$4,0,IF(BI841=1,PMT(Assumptions!$H$229,Assumptions!$H$231,$C843),BI854))),0)</f>
        <v>0</v>
      </c>
      <c r="BK854" s="39">
        <f>+IFERROR(-ABS(IF(EDATE(_xlfn.XLOOKUP(1,$H841:$BE841,$H$4:$BE$4),12*Assumptions!$H$231+12)=BK$4,0,IF(BJ841=1,PMT(Assumptions!$H$229,Assumptions!$H$231,$C843),BJ854))),0)</f>
        <v>0</v>
      </c>
      <c r="BL854" s="39">
        <f>+IFERROR(-ABS(IF(EDATE(_xlfn.XLOOKUP(1,$H841:$BE841,$H$4:$BE$4),12*Assumptions!$H$231+12)=BL$4,0,IF(BK841=1,PMT(Assumptions!$H$229,Assumptions!$H$231,$C843),BK854))),0)</f>
        <v>0</v>
      </c>
      <c r="BM854" s="39">
        <f>+IFERROR(-ABS(IF(EDATE(_xlfn.XLOOKUP(1,$H841:$BE841,$H$4:$BE$4),12*Assumptions!$H$231+12)=BM$4,0,IF(BL841=1,PMT(Assumptions!$H$229,Assumptions!$H$231,$C843),BL854))),0)</f>
        <v>0</v>
      </c>
      <c r="BN854" s="39">
        <f>+IFERROR(-ABS(IF(EDATE(_xlfn.XLOOKUP(1,$H841:$BE841,$H$4:$BE$4),12*Assumptions!$H$231+12)=BN$4,0,IF(BM841=1,PMT(Assumptions!$H$229,Assumptions!$H$231,$C843),BM854))),0)</f>
        <v>0</v>
      </c>
      <c r="BO854" s="39">
        <f>+IFERROR(-ABS(IF(EDATE(_xlfn.XLOOKUP(1,$H841:$BE841,$H$4:$BE$4),12*Assumptions!$H$231+12)=BO$4,0,IF(BN841=1,PMT(Assumptions!$H$229,Assumptions!$H$231,$C843),BN854))),0)</f>
        <v>0</v>
      </c>
      <c r="BP854" s="39">
        <f>+IFERROR(-ABS(IF(EDATE(_xlfn.XLOOKUP(1,$H841:$BE841,$H$4:$BE$4),12*Assumptions!$H$231+12)=BP$4,0,IF(BO841=1,PMT(Assumptions!$H$229,Assumptions!$H$231,$C843),BO854))),0)</f>
        <v>0</v>
      </c>
      <c r="BQ854" s="39">
        <f>+IFERROR(-ABS(IF(EDATE(_xlfn.XLOOKUP(1,$H841:$BE841,$H$4:$BE$4),12*Assumptions!$H$231+12)=BQ$4,0,IF(BP841=1,PMT(Assumptions!$H$229,Assumptions!$H$231,$C843),BP854))),0)</f>
        <v>0</v>
      </c>
      <c r="BR854" s="39">
        <f>+IFERROR(-ABS(IF(EDATE(_xlfn.XLOOKUP(1,$H841:$BE841,$H$4:$BE$4),12*Assumptions!$H$231+12)=BR$4,0,IF(BQ841=1,PMT(Assumptions!$H$229,Assumptions!$H$231,$C843),BQ854))),0)</f>
        <v>0</v>
      </c>
      <c r="BS854" s="39">
        <f>+IFERROR(-ABS(IF(EDATE(_xlfn.XLOOKUP(1,$H841:$BE841,$H$4:$BE$4),12*Assumptions!$H$231+12)=BS$4,0,IF(BR841=1,PMT(Assumptions!$H$229,Assumptions!$H$231,$C843),BR854))),0)</f>
        <v>0</v>
      </c>
      <c r="BT854" s="39">
        <f>+IFERROR(-ABS(IF(EDATE(_xlfn.XLOOKUP(1,$H841:$BE841,$H$4:$BE$4),12*Assumptions!$H$231+12)=BT$4,0,IF(BS841=1,PMT(Assumptions!$H$229,Assumptions!$H$231,$C843),BS854))),0)</f>
        <v>0</v>
      </c>
      <c r="BU854" s="39">
        <f>+IFERROR(-ABS(IF(EDATE(_xlfn.XLOOKUP(1,$H841:$BE841,$H$4:$BE$4),12*Assumptions!$H$231+12)=BU$4,0,IF(BT841=1,PMT(Assumptions!$H$229,Assumptions!$H$231,$C843),BT854))),0)</f>
        <v>0</v>
      </c>
      <c r="BV854" s="39">
        <f>+IFERROR(-ABS(IF(EDATE(_xlfn.XLOOKUP(1,$H841:$BE841,$H$4:$BE$4),12*Assumptions!$H$231+12)=BV$4,0,IF(BU841=1,PMT(Assumptions!$H$229,Assumptions!$H$231,$C843),BU854))),0)</f>
        <v>0</v>
      </c>
      <c r="BW854" s="39">
        <f>+IFERROR(-ABS(IF(EDATE(_xlfn.XLOOKUP(1,$H841:$BE841,$H$4:$BE$4),12*Assumptions!$H$231+12)=BW$4,0,IF(BV841=1,PMT(Assumptions!$H$229,Assumptions!$H$231,$C843),BV854))),0)</f>
        <v>0</v>
      </c>
      <c r="BX854" s="39">
        <f>+IFERROR(-ABS(IF(EDATE(_xlfn.XLOOKUP(1,$H841:$BE841,$H$4:$BE$4),12*Assumptions!$H$231+12)=BX$4,0,IF(BW841=1,PMT(Assumptions!$H$229,Assumptions!$H$231,$C843),BW854))),0)</f>
        <v>0</v>
      </c>
      <c r="BY854" s="39">
        <f>+IFERROR(-ABS(IF(EDATE(_xlfn.XLOOKUP(1,$H841:$BE841,$H$4:$BE$4),12*Assumptions!$H$231+12)=BY$4,0,IF(BX841=1,PMT(Assumptions!$H$229,Assumptions!$H$231,$C843),BX854))),0)</f>
        <v>0</v>
      </c>
    </row>
    <row r="855" spans="5:77" outlineLevel="1">
      <c r="E855" s="24" t="s">
        <v>516</v>
      </c>
      <c r="F855" s="80" t="str">
        <f>+Assumptions!$G$8</f>
        <v>USD</v>
      </c>
      <c r="G855" s="24"/>
      <c r="H855" s="39">
        <f>+IFERROR(-ABS(IF(EDATE(_xlfn.XLOOKUP(1,$H842:$BE842,$H$4:$BE$4),12*Assumptions!$H$231+12)=H$4,0,IF(G842=1,PMT(Assumptions!$H$229,Assumptions!$H$231,$C844),G855))),0)</f>
        <v>0</v>
      </c>
      <c r="I855" s="39">
        <f>+IFERROR(-ABS(IF(EDATE(_xlfn.XLOOKUP(1,$H842:$BE842,$H$4:$BE$4),12*Assumptions!$H$231+12)=I$4,0,IF(H842=1,PMT(Assumptions!$H$229,Assumptions!$H$231,$C844),H855))),0)</f>
        <v>0</v>
      </c>
      <c r="J855" s="39">
        <f>+IFERROR(-ABS(IF(EDATE(_xlfn.XLOOKUP(1,$H842:$BE842,$H$4:$BE$4),12*Assumptions!$H$231+12)=J$4,0,IF(I842=1,PMT(Assumptions!$H$229,Assumptions!$H$231,$C844),I855))),0)</f>
        <v>0</v>
      </c>
      <c r="K855" s="39">
        <f>+IFERROR(-ABS(IF(EDATE(_xlfn.XLOOKUP(1,$H842:$BE842,$H$4:$BE$4),12*Assumptions!$H$231+12)=K$4,0,IF(J842=1,PMT(Assumptions!$H$229,Assumptions!$H$231,$C844),J855))),0)</f>
        <v>0</v>
      </c>
      <c r="L855" s="39">
        <f>+IFERROR(-ABS(IF(EDATE(_xlfn.XLOOKUP(1,$H842:$BE842,$H$4:$BE$4),12*Assumptions!$H$231+12)=L$4,0,IF(K842=1,PMT(Assumptions!$H$229,Assumptions!$H$231,$C844),K855))),0)</f>
        <v>0</v>
      </c>
      <c r="M855" s="39">
        <f>+IFERROR(-ABS(IF(EDATE(_xlfn.XLOOKUP(1,$H842:$BE842,$H$4:$BE$4),12*Assumptions!$H$231+12)=M$4,0,IF(L842=1,PMT(Assumptions!$H$229,Assumptions!$H$231,$C844),L855))),0)</f>
        <v>0</v>
      </c>
      <c r="N855" s="39">
        <f>+IFERROR(-ABS(IF(EDATE(_xlfn.XLOOKUP(1,$H842:$BE842,$H$4:$BE$4),12*Assumptions!$H$231+12)=N$4,0,IF(M842=1,PMT(Assumptions!$H$229,Assumptions!$H$231,$C844),M855))),0)</f>
        <v>0</v>
      </c>
      <c r="O855" s="39">
        <f>+IFERROR(-ABS(IF(EDATE(_xlfn.XLOOKUP(1,$H842:$BE842,$H$4:$BE$4),12*Assumptions!$H$231+12)=O$4,0,IF(N842=1,PMT(Assumptions!$H$229,Assumptions!$H$231,$C844),N855))),0)</f>
        <v>0</v>
      </c>
      <c r="P855" s="39">
        <f>+IFERROR(-ABS(IF(EDATE(_xlfn.XLOOKUP(1,$H842:$BE842,$H$4:$BE$4),12*Assumptions!$H$231+12)=P$4,0,IF(O842=1,PMT(Assumptions!$H$229,Assumptions!$H$231,$C844),O855))),0)</f>
        <v>0</v>
      </c>
      <c r="Q855" s="39">
        <f>+IFERROR(-ABS(IF(EDATE(_xlfn.XLOOKUP(1,$H842:$BE842,$H$4:$BE$4),12*Assumptions!$H$231+12)=Q$4,0,IF(P842=1,PMT(Assumptions!$H$229,Assumptions!$H$231,$C844),P855))),0)</f>
        <v>0</v>
      </c>
      <c r="R855" s="39">
        <f>+IFERROR(-ABS(IF(EDATE(_xlfn.XLOOKUP(1,$H842:$BE842,$H$4:$BE$4),12*Assumptions!$H$231+12)=R$4,0,IF(Q842=1,PMT(Assumptions!$H$229,Assumptions!$H$231,$C844),Q855))),0)</f>
        <v>0</v>
      </c>
      <c r="S855" s="39">
        <f>+IFERROR(-ABS(IF(EDATE(_xlfn.XLOOKUP(1,$H842:$BE842,$H$4:$BE$4),12*Assumptions!$H$231+12)=S$4,0,IF(R842=1,PMT(Assumptions!$H$229,Assumptions!$H$231,$C844),R855))),0)</f>
        <v>0</v>
      </c>
      <c r="T855" s="39">
        <f>+IFERROR(-ABS(IF(EDATE(_xlfn.XLOOKUP(1,$H842:$BE842,$H$4:$BE$4),12*Assumptions!$H$231+12)=T$4,0,IF(S842=1,PMT(Assumptions!$H$229,Assumptions!$H$231,$C844),S855))),0)</f>
        <v>0</v>
      </c>
      <c r="U855" s="39">
        <f>+IFERROR(-ABS(IF(EDATE(_xlfn.XLOOKUP(1,$H842:$BE842,$H$4:$BE$4),12*Assumptions!$H$231+12)=U$4,0,IF(T842=1,PMT(Assumptions!$H$229,Assumptions!$H$231,$C844),T855))),0)</f>
        <v>0</v>
      </c>
      <c r="V855" s="39">
        <f>+IFERROR(-ABS(IF(EDATE(_xlfn.XLOOKUP(1,$H842:$BE842,$H$4:$BE$4),12*Assumptions!$H$231+12)=V$4,0,IF(U842=1,PMT(Assumptions!$H$229,Assumptions!$H$231,$C844),U855))),0)</f>
        <v>0</v>
      </c>
      <c r="W855" s="39">
        <f>+IFERROR(-ABS(IF(EDATE(_xlfn.XLOOKUP(1,$H842:$BE842,$H$4:$BE$4),12*Assumptions!$H$231+12)=W$4,0,IF(V842=1,PMT(Assumptions!$H$229,Assumptions!$H$231,$C844),V855))),0)</f>
        <v>0</v>
      </c>
      <c r="X855" s="39">
        <f>+IFERROR(-ABS(IF(EDATE(_xlfn.XLOOKUP(1,$H842:$BE842,$H$4:$BE$4),12*Assumptions!$H$231+12)=X$4,0,IF(W842=1,PMT(Assumptions!$H$229,Assumptions!$H$231,$C844),W855))),0)</f>
        <v>0</v>
      </c>
      <c r="Y855" s="39">
        <f>+IFERROR(-ABS(IF(EDATE(_xlfn.XLOOKUP(1,$H842:$BE842,$H$4:$BE$4),12*Assumptions!$H$231+12)=Y$4,0,IF(X842=1,PMT(Assumptions!$H$229,Assumptions!$H$231,$C844),X855))),0)</f>
        <v>0</v>
      </c>
      <c r="Z855" s="39">
        <f>+IFERROR(-ABS(IF(EDATE(_xlfn.XLOOKUP(1,$H842:$BE842,$H$4:$BE$4),12*Assumptions!$H$231+12)=Z$4,0,IF(Y842=1,PMT(Assumptions!$H$229,Assumptions!$H$231,$C844),Y855))),0)</f>
        <v>0</v>
      </c>
      <c r="AA855" s="39">
        <f>+IFERROR(-ABS(IF(EDATE(_xlfn.XLOOKUP(1,$H842:$BE842,$H$4:$BE$4),12*Assumptions!$H$231+12)=AA$4,0,IF(Z842=1,PMT(Assumptions!$H$229,Assumptions!$H$231,$C844),Z855))),0)</f>
        <v>0</v>
      </c>
      <c r="AB855" s="39">
        <f>+IFERROR(-ABS(IF(EDATE(_xlfn.XLOOKUP(1,$H842:$BE842,$H$4:$BE$4),12*Assumptions!$H$231+12)=AB$4,0,IF(AA842=1,PMT(Assumptions!$H$229,Assumptions!$H$231,$C844),AA855))),0)</f>
        <v>0</v>
      </c>
      <c r="AC855" s="39">
        <f>+IFERROR(-ABS(IF(EDATE(_xlfn.XLOOKUP(1,$H842:$BE842,$H$4:$BE$4),12*Assumptions!$H$231+12)=AC$4,0,IF(AB842=1,PMT(Assumptions!$H$229,Assumptions!$H$231,$C844),AB855))),0)</f>
        <v>0</v>
      </c>
      <c r="AD855" s="39">
        <f>+IFERROR(-ABS(IF(EDATE(_xlfn.XLOOKUP(1,$H842:$BE842,$H$4:$BE$4),12*Assumptions!$H$231+12)=AD$4,0,IF(AC842=1,PMT(Assumptions!$H$229,Assumptions!$H$231,$C844),AC855))),0)</f>
        <v>0</v>
      </c>
      <c r="AE855" s="39">
        <f>+IFERROR(-ABS(IF(EDATE(_xlfn.XLOOKUP(1,$H842:$BE842,$H$4:$BE$4),12*Assumptions!$H$231+12)=AE$4,0,IF(AD842=1,PMT(Assumptions!$H$229,Assumptions!$H$231,$C844),AD855))),0)</f>
        <v>0</v>
      </c>
      <c r="AF855" s="39">
        <f>+IFERROR(-ABS(IF(EDATE(_xlfn.XLOOKUP(1,$H842:$BE842,$H$4:$BE$4),12*Assumptions!$H$231+12)=AF$4,0,IF(AE842=1,PMT(Assumptions!$H$229,Assumptions!$H$231,$C844),AE855))),0)</f>
        <v>0</v>
      </c>
      <c r="AG855" s="39">
        <f>+IFERROR(-ABS(IF(EDATE(_xlfn.XLOOKUP(1,$H842:$BE842,$H$4:$BE$4),12*Assumptions!$H$231+12)=AG$4,0,IF(AF842=1,PMT(Assumptions!$H$229,Assumptions!$H$231,$C844),AF855))),0)</f>
        <v>0</v>
      </c>
      <c r="AH855" s="39">
        <f>+IFERROR(-ABS(IF(EDATE(_xlfn.XLOOKUP(1,$H842:$BE842,$H$4:$BE$4),12*Assumptions!$H$231+12)=AH$4,0,IF(AG842=1,PMT(Assumptions!$H$229,Assumptions!$H$231,$C844),AG855))),0)</f>
        <v>0</v>
      </c>
      <c r="AI855" s="39">
        <f>+IFERROR(-ABS(IF(EDATE(_xlfn.XLOOKUP(1,$H842:$BE842,$H$4:$BE$4),12*Assumptions!$H$231+12)=AI$4,0,IF(AH842=1,PMT(Assumptions!$H$229,Assumptions!$H$231,$C844),AH855))),0)</f>
        <v>0</v>
      </c>
      <c r="AJ855" s="39">
        <f>+IFERROR(-ABS(IF(EDATE(_xlfn.XLOOKUP(1,$H842:$BE842,$H$4:$BE$4),12*Assumptions!$H$231+12)=AJ$4,0,IF(AI842=1,PMT(Assumptions!$H$229,Assumptions!$H$231,$C844),AI855))),0)</f>
        <v>0</v>
      </c>
      <c r="AK855" s="39">
        <f>+IFERROR(-ABS(IF(EDATE(_xlfn.XLOOKUP(1,$H842:$BE842,$H$4:$BE$4),12*Assumptions!$H$231+12)=AK$4,0,IF(AJ842=1,PMT(Assumptions!$H$229,Assumptions!$H$231,$C844),AJ855))),0)</f>
        <v>0</v>
      </c>
      <c r="AL855" s="39">
        <f>+IFERROR(-ABS(IF(EDATE(_xlfn.XLOOKUP(1,$H842:$BE842,$H$4:$BE$4),12*Assumptions!$H$231+12)=AL$4,0,IF(AK842=1,PMT(Assumptions!$H$229,Assumptions!$H$231,$C844),AK855))),0)</f>
        <v>0</v>
      </c>
      <c r="AM855" s="39">
        <f>+IFERROR(-ABS(IF(EDATE(_xlfn.XLOOKUP(1,$H842:$BE842,$H$4:$BE$4),12*Assumptions!$H$231+12)=AM$4,0,IF(AL842=1,PMT(Assumptions!$H$229,Assumptions!$H$231,$C844),AL855))),0)</f>
        <v>0</v>
      </c>
      <c r="AN855" s="39">
        <f>+IFERROR(-ABS(IF(EDATE(_xlfn.XLOOKUP(1,$H842:$BE842,$H$4:$BE$4),12*Assumptions!$H$231+12)=AN$4,0,IF(AM842=1,PMT(Assumptions!$H$229,Assumptions!$H$231,$C844),AM855))),0)</f>
        <v>0</v>
      </c>
      <c r="AO855" s="39">
        <f>+IFERROR(-ABS(IF(EDATE(_xlfn.XLOOKUP(1,$H842:$BE842,$H$4:$BE$4),12*Assumptions!$H$231+12)=AO$4,0,IF(AN842=1,PMT(Assumptions!$H$229,Assumptions!$H$231,$C844),AN855))),0)</f>
        <v>0</v>
      </c>
      <c r="AP855" s="39">
        <f>+IFERROR(-ABS(IF(EDATE(_xlfn.XLOOKUP(1,$H842:$BE842,$H$4:$BE$4),12*Assumptions!$H$231+12)=AP$4,0,IF(AO842=1,PMT(Assumptions!$H$229,Assumptions!$H$231,$C844),AO855))),0)</f>
        <v>0</v>
      </c>
      <c r="AQ855" s="39">
        <f>+IFERROR(-ABS(IF(EDATE(_xlfn.XLOOKUP(1,$H842:$BE842,$H$4:$BE$4),12*Assumptions!$H$231+12)=AQ$4,0,IF(AP842=1,PMT(Assumptions!$H$229,Assumptions!$H$231,$C844),AP855))),0)</f>
        <v>0</v>
      </c>
      <c r="AR855" s="39">
        <f>+IFERROR(-ABS(IF(EDATE(_xlfn.XLOOKUP(1,$H842:$BE842,$H$4:$BE$4),12*Assumptions!$H$231+12)=AR$4,0,IF(AQ842=1,PMT(Assumptions!$H$229,Assumptions!$H$231,$C844),AQ855))),0)</f>
        <v>0</v>
      </c>
      <c r="AS855" s="39">
        <f>+IFERROR(-ABS(IF(EDATE(_xlfn.XLOOKUP(1,$H842:$BE842,$H$4:$BE$4),12*Assumptions!$H$231+12)=AS$4,0,IF(AR842=1,PMT(Assumptions!$H$229,Assumptions!$H$231,$C844),AR855))),0)</f>
        <v>0</v>
      </c>
      <c r="AT855" s="39">
        <f>+IFERROR(-ABS(IF(EDATE(_xlfn.XLOOKUP(1,$H842:$BE842,$H$4:$BE$4),12*Assumptions!$H$231+12)=AT$4,0,IF(AS842=1,PMT(Assumptions!$H$229,Assumptions!$H$231,$C844),AS855))),0)</f>
        <v>0</v>
      </c>
      <c r="AU855" s="39">
        <f>+IFERROR(-ABS(IF(EDATE(_xlfn.XLOOKUP(1,$H842:$BE842,$H$4:$BE$4),12*Assumptions!$H$231+12)=AU$4,0,IF(AT842=1,PMT(Assumptions!$H$229,Assumptions!$H$231,$C844),AT855))),0)</f>
        <v>0</v>
      </c>
      <c r="AV855" s="39">
        <f>+IFERROR(-ABS(IF(EDATE(_xlfn.XLOOKUP(1,$H842:$BE842,$H$4:$BE$4),12*Assumptions!$H$231+12)=AV$4,0,IF(AU842=1,PMT(Assumptions!$H$229,Assumptions!$H$231,$C844),AU855))),0)</f>
        <v>0</v>
      </c>
      <c r="AW855" s="39">
        <f>+IFERROR(-ABS(IF(EDATE(_xlfn.XLOOKUP(1,$H842:$BE842,$H$4:$BE$4),12*Assumptions!$H$231+12)=AW$4,0,IF(AV842=1,PMT(Assumptions!$H$229,Assumptions!$H$231,$C844),AV855))),0)</f>
        <v>0</v>
      </c>
      <c r="AX855" s="39">
        <f>+IFERROR(-ABS(IF(EDATE(_xlfn.XLOOKUP(1,$H842:$BE842,$H$4:$BE$4),12*Assumptions!$H$231+12)=AX$4,0,IF(AW842=1,PMT(Assumptions!$H$229,Assumptions!$H$231,$C844),AW855))),0)</f>
        <v>0</v>
      </c>
      <c r="AY855" s="39">
        <f>+IFERROR(-ABS(IF(EDATE(_xlfn.XLOOKUP(1,$H842:$BE842,$H$4:$BE$4),12*Assumptions!$H$231+12)=AY$4,0,IF(AX842=1,PMT(Assumptions!$H$229,Assumptions!$H$231,$C844),AX855))),0)</f>
        <v>0</v>
      </c>
      <c r="AZ855" s="39">
        <f>+IFERROR(-ABS(IF(EDATE(_xlfn.XLOOKUP(1,$H842:$BE842,$H$4:$BE$4),12*Assumptions!$H$231+12)=AZ$4,0,IF(AY842=1,PMT(Assumptions!$H$229,Assumptions!$H$231,$C844),AY855))),0)</f>
        <v>0</v>
      </c>
      <c r="BA855" s="39">
        <f>+IFERROR(-ABS(IF(EDATE(_xlfn.XLOOKUP(1,$H842:$BE842,$H$4:$BE$4),12*Assumptions!$H$231+12)=BA$4,0,IF(AZ842=1,PMT(Assumptions!$H$229,Assumptions!$H$231,$C844),AZ855))),0)</f>
        <v>0</v>
      </c>
      <c r="BB855" s="39">
        <f>+IFERROR(-ABS(IF(EDATE(_xlfn.XLOOKUP(1,$H842:$BE842,$H$4:$BE$4),12*Assumptions!$H$231+12)=BB$4,0,IF(BA842=1,PMT(Assumptions!$H$229,Assumptions!$H$231,$C844),BA855))),0)</f>
        <v>0</v>
      </c>
      <c r="BC855" s="39">
        <f>+IFERROR(-ABS(IF(EDATE(_xlfn.XLOOKUP(1,$H842:$BE842,$H$4:$BE$4),12*Assumptions!$H$231+12)=BC$4,0,IF(BB842=1,PMT(Assumptions!$H$229,Assumptions!$H$231,$C844),BB855))),0)</f>
        <v>0</v>
      </c>
      <c r="BD855" s="39">
        <f>+IFERROR(-ABS(IF(EDATE(_xlfn.XLOOKUP(1,$H842:$BE842,$H$4:$BE$4),12*Assumptions!$H$231+12)=BD$4,0,IF(BC842=1,PMT(Assumptions!$H$229,Assumptions!$H$231,$C844),BC855))),0)</f>
        <v>0</v>
      </c>
      <c r="BE855" s="39">
        <f>+IFERROR(-ABS(IF(EDATE(_xlfn.XLOOKUP(1,$H842:$BE842,$H$4:$BE$4),12*Assumptions!$H$231+12)=BE$4,0,IF(BD842=1,PMT(Assumptions!$H$229,Assumptions!$H$231,$C844),BD855))),0)</f>
        <v>0</v>
      </c>
      <c r="BF855" s="39">
        <f>+IFERROR(-ABS(IF(EDATE(_xlfn.XLOOKUP(1,$H842:$BE842,$H$4:$BE$4),12*Assumptions!$H$231+12)=BF$4,0,IF(BE842=1,PMT(Assumptions!$H$229,Assumptions!$H$231,$C844),BE855))),0)</f>
        <v>0</v>
      </c>
      <c r="BG855" s="39">
        <f>+IFERROR(-ABS(IF(EDATE(_xlfn.XLOOKUP(1,$H842:$BE842,$H$4:$BE$4),12*Assumptions!$H$231+12)=BG$4,0,IF(BF842=1,PMT(Assumptions!$H$229,Assumptions!$H$231,$C844),BF855))),0)</f>
        <v>0</v>
      </c>
      <c r="BH855" s="39">
        <f>+IFERROR(-ABS(IF(EDATE(_xlfn.XLOOKUP(1,$H842:$BE842,$H$4:$BE$4),12*Assumptions!$H$231+12)=BH$4,0,IF(BG842=1,PMT(Assumptions!$H$229,Assumptions!$H$231,$C844),BG855))),0)</f>
        <v>0</v>
      </c>
      <c r="BI855" s="39">
        <f>+IFERROR(-ABS(IF(EDATE(_xlfn.XLOOKUP(1,$H842:$BE842,$H$4:$BE$4),12*Assumptions!$H$231+12)=BI$4,0,IF(BH842=1,PMT(Assumptions!$H$229,Assumptions!$H$231,$C844),BH855))),0)</f>
        <v>0</v>
      </c>
      <c r="BJ855" s="39">
        <f>+IFERROR(-ABS(IF(EDATE(_xlfn.XLOOKUP(1,$H842:$BE842,$H$4:$BE$4),12*Assumptions!$H$231+12)=BJ$4,0,IF(BI842=1,PMT(Assumptions!$H$229,Assumptions!$H$231,$C844),BI855))),0)</f>
        <v>0</v>
      </c>
      <c r="BK855" s="39">
        <f>+IFERROR(-ABS(IF(EDATE(_xlfn.XLOOKUP(1,$H842:$BE842,$H$4:$BE$4),12*Assumptions!$H$231+12)=BK$4,0,IF(BJ842=1,PMT(Assumptions!$H$229,Assumptions!$H$231,$C844),BJ855))),0)</f>
        <v>0</v>
      </c>
      <c r="BL855" s="39">
        <f>+IFERROR(-ABS(IF(EDATE(_xlfn.XLOOKUP(1,$H842:$BE842,$H$4:$BE$4),12*Assumptions!$H$231+12)=BL$4,0,IF(BK842=1,PMT(Assumptions!$H$229,Assumptions!$H$231,$C844),BK855))),0)</f>
        <v>0</v>
      </c>
      <c r="BM855" s="39">
        <f>+IFERROR(-ABS(IF(EDATE(_xlfn.XLOOKUP(1,$H842:$BE842,$H$4:$BE$4),12*Assumptions!$H$231+12)=BM$4,0,IF(BL842=1,PMT(Assumptions!$H$229,Assumptions!$H$231,$C844),BL855))),0)</f>
        <v>0</v>
      </c>
      <c r="BN855" s="39">
        <f>+IFERROR(-ABS(IF(EDATE(_xlfn.XLOOKUP(1,$H842:$BE842,$H$4:$BE$4),12*Assumptions!$H$231+12)=BN$4,0,IF(BM842=1,PMT(Assumptions!$H$229,Assumptions!$H$231,$C844),BM855))),0)</f>
        <v>0</v>
      </c>
      <c r="BO855" s="39">
        <f>+IFERROR(-ABS(IF(EDATE(_xlfn.XLOOKUP(1,$H842:$BE842,$H$4:$BE$4),12*Assumptions!$H$231+12)=BO$4,0,IF(BN842=1,PMT(Assumptions!$H$229,Assumptions!$H$231,$C844),BN855))),0)</f>
        <v>0</v>
      </c>
      <c r="BP855" s="39">
        <f>+IFERROR(-ABS(IF(EDATE(_xlfn.XLOOKUP(1,$H842:$BE842,$H$4:$BE$4),12*Assumptions!$H$231+12)=BP$4,0,IF(BO842=1,PMT(Assumptions!$H$229,Assumptions!$H$231,$C844),BO855))),0)</f>
        <v>0</v>
      </c>
      <c r="BQ855" s="39">
        <f>+IFERROR(-ABS(IF(EDATE(_xlfn.XLOOKUP(1,$H842:$BE842,$H$4:$BE$4),12*Assumptions!$H$231+12)=BQ$4,0,IF(BP842=1,PMT(Assumptions!$H$229,Assumptions!$H$231,$C844),BP855))),0)</f>
        <v>0</v>
      </c>
      <c r="BR855" s="39">
        <f>+IFERROR(-ABS(IF(EDATE(_xlfn.XLOOKUP(1,$H842:$BE842,$H$4:$BE$4),12*Assumptions!$H$231+12)=BR$4,0,IF(BQ842=1,PMT(Assumptions!$H$229,Assumptions!$H$231,$C844),BQ855))),0)</f>
        <v>0</v>
      </c>
      <c r="BS855" s="39">
        <f>+IFERROR(-ABS(IF(EDATE(_xlfn.XLOOKUP(1,$H842:$BE842,$H$4:$BE$4),12*Assumptions!$H$231+12)=BS$4,0,IF(BR842=1,PMT(Assumptions!$H$229,Assumptions!$H$231,$C844),BR855))),0)</f>
        <v>0</v>
      </c>
      <c r="BT855" s="39">
        <f>+IFERROR(-ABS(IF(EDATE(_xlfn.XLOOKUP(1,$H842:$BE842,$H$4:$BE$4),12*Assumptions!$H$231+12)=BT$4,0,IF(BS842=1,PMT(Assumptions!$H$229,Assumptions!$H$231,$C844),BS855))),0)</f>
        <v>0</v>
      </c>
      <c r="BU855" s="39">
        <f>+IFERROR(-ABS(IF(EDATE(_xlfn.XLOOKUP(1,$H842:$BE842,$H$4:$BE$4),12*Assumptions!$H$231+12)=BU$4,0,IF(BT842=1,PMT(Assumptions!$H$229,Assumptions!$H$231,$C844),BT855))),0)</f>
        <v>0</v>
      </c>
      <c r="BV855" s="39">
        <f>+IFERROR(-ABS(IF(EDATE(_xlfn.XLOOKUP(1,$H842:$BE842,$H$4:$BE$4),12*Assumptions!$H$231+12)=BV$4,0,IF(BU842=1,PMT(Assumptions!$H$229,Assumptions!$H$231,$C844),BU855))),0)</f>
        <v>0</v>
      </c>
      <c r="BW855" s="39">
        <f>+IFERROR(-ABS(IF(EDATE(_xlfn.XLOOKUP(1,$H842:$BE842,$H$4:$BE$4),12*Assumptions!$H$231+12)=BW$4,0,IF(BV842=1,PMT(Assumptions!$H$229,Assumptions!$H$231,$C844),BV855))),0)</f>
        <v>0</v>
      </c>
      <c r="BX855" s="39">
        <f>+IFERROR(-ABS(IF(EDATE(_xlfn.XLOOKUP(1,$H842:$BE842,$H$4:$BE$4),12*Assumptions!$H$231+12)=BX$4,0,IF(BW842=1,PMT(Assumptions!$H$229,Assumptions!$H$231,$C844),BW855))),0)</f>
        <v>0</v>
      </c>
      <c r="BY855" s="39">
        <f>+IFERROR(-ABS(IF(EDATE(_xlfn.XLOOKUP(1,$H842:$BE842,$H$4:$BE$4),12*Assumptions!$H$231+12)=BY$4,0,IF(BX842=1,PMT(Assumptions!$H$229,Assumptions!$H$231,$C844),BX855))),0)</f>
        <v>0</v>
      </c>
    </row>
    <row r="856" spans="5:77" outlineLevel="1">
      <c r="E856" s="24" t="s">
        <v>517</v>
      </c>
      <c r="F856" s="80" t="str">
        <f>+Assumptions!$G$8</f>
        <v>USD</v>
      </c>
      <c r="G856" s="24"/>
      <c r="H856" s="39">
        <f>+IFERROR(-ABS(IF(EDATE(_xlfn.XLOOKUP(1,$H843:$BE843,$H$4:$BE$4),12*Assumptions!$H$231+12)=H$4,0,IF(G843=1,PMT(Assumptions!$H$229,Assumptions!$H$231,$C845),G856))),0)</f>
        <v>0</v>
      </c>
      <c r="I856" s="39">
        <f>+IFERROR(-ABS(IF(EDATE(_xlfn.XLOOKUP(1,$H843:$BE843,$H$4:$BE$4),12*Assumptions!$H$231+12)=I$4,0,IF(H843=1,PMT(Assumptions!$H$229,Assumptions!$H$231,$C845),H856))),0)</f>
        <v>0</v>
      </c>
      <c r="J856" s="39">
        <f>+IFERROR(-ABS(IF(EDATE(_xlfn.XLOOKUP(1,$H843:$BE843,$H$4:$BE$4),12*Assumptions!$H$231+12)=J$4,0,IF(I843=1,PMT(Assumptions!$H$229,Assumptions!$H$231,$C845),I856))),0)</f>
        <v>0</v>
      </c>
      <c r="K856" s="39">
        <f>+IFERROR(-ABS(IF(EDATE(_xlfn.XLOOKUP(1,$H843:$BE843,$H$4:$BE$4),12*Assumptions!$H$231+12)=K$4,0,IF(J843=1,PMT(Assumptions!$H$229,Assumptions!$H$231,$C845),J856))),0)</f>
        <v>0</v>
      </c>
      <c r="L856" s="39">
        <f>+IFERROR(-ABS(IF(EDATE(_xlfn.XLOOKUP(1,$H843:$BE843,$H$4:$BE$4),12*Assumptions!$H$231+12)=L$4,0,IF(K843=1,PMT(Assumptions!$H$229,Assumptions!$H$231,$C845),K856))),0)</f>
        <v>0</v>
      </c>
      <c r="M856" s="39">
        <f>+IFERROR(-ABS(IF(EDATE(_xlfn.XLOOKUP(1,$H843:$BE843,$H$4:$BE$4),12*Assumptions!$H$231+12)=M$4,0,IF(L843=1,PMT(Assumptions!$H$229,Assumptions!$H$231,$C845),L856))),0)</f>
        <v>0</v>
      </c>
      <c r="N856" s="39">
        <f>+IFERROR(-ABS(IF(EDATE(_xlfn.XLOOKUP(1,$H843:$BE843,$H$4:$BE$4),12*Assumptions!$H$231+12)=N$4,0,IF(M843=1,PMT(Assumptions!$H$229,Assumptions!$H$231,$C845),M856))),0)</f>
        <v>0</v>
      </c>
      <c r="O856" s="39">
        <f>+IFERROR(-ABS(IF(EDATE(_xlfn.XLOOKUP(1,$H843:$BE843,$H$4:$BE$4),12*Assumptions!$H$231+12)=O$4,0,IF(N843=1,PMT(Assumptions!$H$229,Assumptions!$H$231,$C845),N856))),0)</f>
        <v>0</v>
      </c>
      <c r="P856" s="39">
        <f>+IFERROR(-ABS(IF(EDATE(_xlfn.XLOOKUP(1,$H843:$BE843,$H$4:$BE$4),12*Assumptions!$H$231+12)=P$4,0,IF(O843=1,PMT(Assumptions!$H$229,Assumptions!$H$231,$C845),O856))),0)</f>
        <v>0</v>
      </c>
      <c r="Q856" s="39">
        <f>+IFERROR(-ABS(IF(EDATE(_xlfn.XLOOKUP(1,$H843:$BE843,$H$4:$BE$4),12*Assumptions!$H$231+12)=Q$4,0,IF(P843=1,PMT(Assumptions!$H$229,Assumptions!$H$231,$C845),P856))),0)</f>
        <v>0</v>
      </c>
      <c r="R856" s="39">
        <f>+IFERROR(-ABS(IF(EDATE(_xlfn.XLOOKUP(1,$H843:$BE843,$H$4:$BE$4),12*Assumptions!$H$231+12)=R$4,0,IF(Q843=1,PMT(Assumptions!$H$229,Assumptions!$H$231,$C845),Q856))),0)</f>
        <v>0</v>
      </c>
      <c r="S856" s="39">
        <f>+IFERROR(-ABS(IF(EDATE(_xlfn.XLOOKUP(1,$H843:$BE843,$H$4:$BE$4),12*Assumptions!$H$231+12)=S$4,0,IF(R843=1,PMT(Assumptions!$H$229,Assumptions!$H$231,$C845),R856))),0)</f>
        <v>0</v>
      </c>
      <c r="T856" s="39">
        <f>+IFERROR(-ABS(IF(EDATE(_xlfn.XLOOKUP(1,$H843:$BE843,$H$4:$BE$4),12*Assumptions!$H$231+12)=T$4,0,IF(S843=1,PMT(Assumptions!$H$229,Assumptions!$H$231,$C845),S856))),0)</f>
        <v>0</v>
      </c>
      <c r="U856" s="39">
        <f>+IFERROR(-ABS(IF(EDATE(_xlfn.XLOOKUP(1,$H843:$BE843,$H$4:$BE$4),12*Assumptions!$H$231+12)=U$4,0,IF(T843=1,PMT(Assumptions!$H$229,Assumptions!$H$231,$C845),T856))),0)</f>
        <v>0</v>
      </c>
      <c r="V856" s="39">
        <f>+IFERROR(-ABS(IF(EDATE(_xlfn.XLOOKUP(1,$H843:$BE843,$H$4:$BE$4),12*Assumptions!$H$231+12)=V$4,0,IF(U843=1,PMT(Assumptions!$H$229,Assumptions!$H$231,$C845),U856))),0)</f>
        <v>0</v>
      </c>
      <c r="W856" s="39">
        <f>+IFERROR(-ABS(IF(EDATE(_xlfn.XLOOKUP(1,$H843:$BE843,$H$4:$BE$4),12*Assumptions!$H$231+12)=W$4,0,IF(V843=1,PMT(Assumptions!$H$229,Assumptions!$H$231,$C845),V856))),0)</f>
        <v>0</v>
      </c>
      <c r="X856" s="39">
        <f>+IFERROR(-ABS(IF(EDATE(_xlfn.XLOOKUP(1,$H843:$BE843,$H$4:$BE$4),12*Assumptions!$H$231+12)=X$4,0,IF(W843=1,PMT(Assumptions!$H$229,Assumptions!$H$231,$C845),W856))),0)</f>
        <v>0</v>
      </c>
      <c r="Y856" s="39">
        <f>+IFERROR(-ABS(IF(EDATE(_xlfn.XLOOKUP(1,$H843:$BE843,$H$4:$BE$4),12*Assumptions!$H$231+12)=Y$4,0,IF(X843=1,PMT(Assumptions!$H$229,Assumptions!$H$231,$C845),X856))),0)</f>
        <v>0</v>
      </c>
      <c r="Z856" s="39">
        <f>+IFERROR(-ABS(IF(EDATE(_xlfn.XLOOKUP(1,$H843:$BE843,$H$4:$BE$4),12*Assumptions!$H$231+12)=Z$4,0,IF(Y843=1,PMT(Assumptions!$H$229,Assumptions!$H$231,$C845),Y856))),0)</f>
        <v>0</v>
      </c>
      <c r="AA856" s="39">
        <f>+IFERROR(-ABS(IF(EDATE(_xlfn.XLOOKUP(1,$H843:$BE843,$H$4:$BE$4),12*Assumptions!$H$231+12)=AA$4,0,IF(Z843=1,PMT(Assumptions!$H$229,Assumptions!$H$231,$C845),Z856))),0)</f>
        <v>0</v>
      </c>
      <c r="AB856" s="39">
        <f>+IFERROR(-ABS(IF(EDATE(_xlfn.XLOOKUP(1,$H843:$BE843,$H$4:$BE$4),12*Assumptions!$H$231+12)=AB$4,0,IF(AA843=1,PMT(Assumptions!$H$229,Assumptions!$H$231,$C845),AA856))),0)</f>
        <v>0</v>
      </c>
      <c r="AC856" s="39">
        <f>+IFERROR(-ABS(IF(EDATE(_xlfn.XLOOKUP(1,$H843:$BE843,$H$4:$BE$4),12*Assumptions!$H$231+12)=AC$4,0,IF(AB843=1,PMT(Assumptions!$H$229,Assumptions!$H$231,$C845),AB856))),0)</f>
        <v>0</v>
      </c>
      <c r="AD856" s="39">
        <f>+IFERROR(-ABS(IF(EDATE(_xlfn.XLOOKUP(1,$H843:$BE843,$H$4:$BE$4),12*Assumptions!$H$231+12)=AD$4,0,IF(AC843=1,PMT(Assumptions!$H$229,Assumptions!$H$231,$C845),AC856))),0)</f>
        <v>0</v>
      </c>
      <c r="AE856" s="39">
        <f>+IFERROR(-ABS(IF(EDATE(_xlfn.XLOOKUP(1,$H843:$BE843,$H$4:$BE$4),12*Assumptions!$H$231+12)=AE$4,0,IF(AD843=1,PMT(Assumptions!$H$229,Assumptions!$H$231,$C845),AD856))),0)</f>
        <v>0</v>
      </c>
      <c r="AF856" s="39">
        <f>+IFERROR(-ABS(IF(EDATE(_xlfn.XLOOKUP(1,$H843:$BE843,$H$4:$BE$4),12*Assumptions!$H$231+12)=AF$4,0,IF(AE843=1,PMT(Assumptions!$H$229,Assumptions!$H$231,$C845),AE856))),0)</f>
        <v>0</v>
      </c>
      <c r="AG856" s="39">
        <f>+IFERROR(-ABS(IF(EDATE(_xlfn.XLOOKUP(1,$H843:$BE843,$H$4:$BE$4),12*Assumptions!$H$231+12)=AG$4,0,IF(AF843=1,PMT(Assumptions!$H$229,Assumptions!$H$231,$C845),AF856))),0)</f>
        <v>0</v>
      </c>
      <c r="AH856" s="39">
        <f>+IFERROR(-ABS(IF(EDATE(_xlfn.XLOOKUP(1,$H843:$BE843,$H$4:$BE$4),12*Assumptions!$H$231+12)=AH$4,0,IF(AG843=1,PMT(Assumptions!$H$229,Assumptions!$H$231,$C845),AG856))),0)</f>
        <v>0</v>
      </c>
      <c r="AI856" s="39">
        <f>+IFERROR(-ABS(IF(EDATE(_xlfn.XLOOKUP(1,$H843:$BE843,$H$4:$BE$4),12*Assumptions!$H$231+12)=AI$4,0,IF(AH843=1,PMT(Assumptions!$H$229,Assumptions!$H$231,$C845),AH856))),0)</f>
        <v>0</v>
      </c>
      <c r="AJ856" s="39">
        <f>+IFERROR(-ABS(IF(EDATE(_xlfn.XLOOKUP(1,$H843:$BE843,$H$4:$BE$4),12*Assumptions!$H$231+12)=AJ$4,0,IF(AI843=1,PMT(Assumptions!$H$229,Assumptions!$H$231,$C845),AI856))),0)</f>
        <v>0</v>
      </c>
      <c r="AK856" s="39">
        <f>+IFERROR(-ABS(IF(EDATE(_xlfn.XLOOKUP(1,$H843:$BE843,$H$4:$BE$4),12*Assumptions!$H$231+12)=AK$4,0,IF(AJ843=1,PMT(Assumptions!$H$229,Assumptions!$H$231,$C845),AJ856))),0)</f>
        <v>0</v>
      </c>
      <c r="AL856" s="39">
        <f>+IFERROR(-ABS(IF(EDATE(_xlfn.XLOOKUP(1,$H843:$BE843,$H$4:$BE$4),12*Assumptions!$H$231+12)=AL$4,0,IF(AK843=1,PMT(Assumptions!$H$229,Assumptions!$H$231,$C845),AK856))),0)</f>
        <v>0</v>
      </c>
      <c r="AM856" s="39">
        <f>+IFERROR(-ABS(IF(EDATE(_xlfn.XLOOKUP(1,$H843:$BE843,$H$4:$BE$4),12*Assumptions!$H$231+12)=AM$4,0,IF(AL843=1,PMT(Assumptions!$H$229,Assumptions!$H$231,$C845),AL856))),0)</f>
        <v>0</v>
      </c>
      <c r="AN856" s="39">
        <f>+IFERROR(-ABS(IF(EDATE(_xlfn.XLOOKUP(1,$H843:$BE843,$H$4:$BE$4),12*Assumptions!$H$231+12)=AN$4,0,IF(AM843=1,PMT(Assumptions!$H$229,Assumptions!$H$231,$C845),AM856))),0)</f>
        <v>0</v>
      </c>
      <c r="AO856" s="39">
        <f>+IFERROR(-ABS(IF(EDATE(_xlfn.XLOOKUP(1,$H843:$BE843,$H$4:$BE$4),12*Assumptions!$H$231+12)=AO$4,0,IF(AN843=1,PMT(Assumptions!$H$229,Assumptions!$H$231,$C845),AN856))),0)</f>
        <v>0</v>
      </c>
      <c r="AP856" s="39">
        <f>+IFERROR(-ABS(IF(EDATE(_xlfn.XLOOKUP(1,$H843:$BE843,$H$4:$BE$4),12*Assumptions!$H$231+12)=AP$4,0,IF(AO843=1,PMT(Assumptions!$H$229,Assumptions!$H$231,$C845),AO856))),0)</f>
        <v>0</v>
      </c>
      <c r="AQ856" s="39">
        <f>+IFERROR(-ABS(IF(EDATE(_xlfn.XLOOKUP(1,$H843:$BE843,$H$4:$BE$4),12*Assumptions!$H$231+12)=AQ$4,0,IF(AP843=1,PMT(Assumptions!$H$229,Assumptions!$H$231,$C845),AP856))),0)</f>
        <v>0</v>
      </c>
      <c r="AR856" s="39">
        <f>+IFERROR(-ABS(IF(EDATE(_xlfn.XLOOKUP(1,$H843:$BE843,$H$4:$BE$4),12*Assumptions!$H$231+12)=AR$4,0,IF(AQ843=1,PMT(Assumptions!$H$229,Assumptions!$H$231,$C845),AQ856))),0)</f>
        <v>0</v>
      </c>
      <c r="AS856" s="39">
        <f>+IFERROR(-ABS(IF(EDATE(_xlfn.XLOOKUP(1,$H843:$BE843,$H$4:$BE$4),12*Assumptions!$H$231+12)=AS$4,0,IF(AR843=1,PMT(Assumptions!$H$229,Assumptions!$H$231,$C845),AR856))),0)</f>
        <v>0</v>
      </c>
      <c r="AT856" s="39">
        <f>+IFERROR(-ABS(IF(EDATE(_xlfn.XLOOKUP(1,$H843:$BE843,$H$4:$BE$4),12*Assumptions!$H$231+12)=AT$4,0,IF(AS843=1,PMT(Assumptions!$H$229,Assumptions!$H$231,$C845),AS856))),0)</f>
        <v>0</v>
      </c>
      <c r="AU856" s="39">
        <f>+IFERROR(-ABS(IF(EDATE(_xlfn.XLOOKUP(1,$H843:$BE843,$H$4:$BE$4),12*Assumptions!$H$231+12)=AU$4,0,IF(AT843=1,PMT(Assumptions!$H$229,Assumptions!$H$231,$C845),AT856))),0)</f>
        <v>0</v>
      </c>
      <c r="AV856" s="39">
        <f>+IFERROR(-ABS(IF(EDATE(_xlfn.XLOOKUP(1,$H843:$BE843,$H$4:$BE$4),12*Assumptions!$H$231+12)=AV$4,0,IF(AU843=1,PMT(Assumptions!$H$229,Assumptions!$H$231,$C845),AU856))),0)</f>
        <v>0</v>
      </c>
      <c r="AW856" s="39">
        <f>+IFERROR(-ABS(IF(EDATE(_xlfn.XLOOKUP(1,$H843:$BE843,$H$4:$BE$4),12*Assumptions!$H$231+12)=AW$4,0,IF(AV843=1,PMT(Assumptions!$H$229,Assumptions!$H$231,$C845),AV856))),0)</f>
        <v>0</v>
      </c>
      <c r="AX856" s="39">
        <f>+IFERROR(-ABS(IF(EDATE(_xlfn.XLOOKUP(1,$H843:$BE843,$H$4:$BE$4),12*Assumptions!$H$231+12)=AX$4,0,IF(AW843=1,PMT(Assumptions!$H$229,Assumptions!$H$231,$C845),AW856))),0)</f>
        <v>0</v>
      </c>
      <c r="AY856" s="39">
        <f>+IFERROR(-ABS(IF(EDATE(_xlfn.XLOOKUP(1,$H843:$BE843,$H$4:$BE$4),12*Assumptions!$H$231+12)=AY$4,0,IF(AX843=1,PMT(Assumptions!$H$229,Assumptions!$H$231,$C845),AX856))),0)</f>
        <v>0</v>
      </c>
      <c r="AZ856" s="39">
        <f>+IFERROR(-ABS(IF(EDATE(_xlfn.XLOOKUP(1,$H843:$BE843,$H$4:$BE$4),12*Assumptions!$H$231+12)=AZ$4,0,IF(AY843=1,PMT(Assumptions!$H$229,Assumptions!$H$231,$C845),AY856))),0)</f>
        <v>0</v>
      </c>
      <c r="BA856" s="39">
        <f>+IFERROR(-ABS(IF(EDATE(_xlfn.XLOOKUP(1,$H843:$BE843,$H$4:$BE$4),12*Assumptions!$H$231+12)=BA$4,0,IF(AZ843=1,PMT(Assumptions!$H$229,Assumptions!$H$231,$C845),AZ856))),0)</f>
        <v>0</v>
      </c>
      <c r="BB856" s="39">
        <f>+IFERROR(-ABS(IF(EDATE(_xlfn.XLOOKUP(1,$H843:$BE843,$H$4:$BE$4),12*Assumptions!$H$231+12)=BB$4,0,IF(BA843=1,PMT(Assumptions!$H$229,Assumptions!$H$231,$C845),BA856))),0)</f>
        <v>0</v>
      </c>
      <c r="BC856" s="39">
        <f>+IFERROR(-ABS(IF(EDATE(_xlfn.XLOOKUP(1,$H843:$BE843,$H$4:$BE$4),12*Assumptions!$H$231+12)=BC$4,0,IF(BB843=1,PMT(Assumptions!$H$229,Assumptions!$H$231,$C845),BB856))),0)</f>
        <v>0</v>
      </c>
      <c r="BD856" s="39">
        <f>+IFERROR(-ABS(IF(EDATE(_xlfn.XLOOKUP(1,$H843:$BE843,$H$4:$BE$4),12*Assumptions!$H$231+12)=BD$4,0,IF(BC843=1,PMT(Assumptions!$H$229,Assumptions!$H$231,$C845),BC856))),0)</f>
        <v>0</v>
      </c>
      <c r="BE856" s="39">
        <f>+IFERROR(-ABS(IF(EDATE(_xlfn.XLOOKUP(1,$H843:$BE843,$H$4:$BE$4),12*Assumptions!$H$231+12)=BE$4,0,IF(BD843=1,PMT(Assumptions!$H$229,Assumptions!$H$231,$C845),BD856))),0)</f>
        <v>0</v>
      </c>
      <c r="BF856" s="39">
        <f>+IFERROR(-ABS(IF(EDATE(_xlfn.XLOOKUP(1,$H843:$BE843,$H$4:$BE$4),12*Assumptions!$H$231+12)=BF$4,0,IF(BE843=1,PMT(Assumptions!$H$229,Assumptions!$H$231,$C845),BE856))),0)</f>
        <v>0</v>
      </c>
      <c r="BG856" s="39">
        <f>+IFERROR(-ABS(IF(EDATE(_xlfn.XLOOKUP(1,$H843:$BE843,$H$4:$BE$4),12*Assumptions!$H$231+12)=BG$4,0,IF(BF843=1,PMT(Assumptions!$H$229,Assumptions!$H$231,$C845),BF856))),0)</f>
        <v>0</v>
      </c>
      <c r="BH856" s="39">
        <f>+IFERROR(-ABS(IF(EDATE(_xlfn.XLOOKUP(1,$H843:$BE843,$H$4:$BE$4),12*Assumptions!$H$231+12)=BH$4,0,IF(BG843=1,PMT(Assumptions!$H$229,Assumptions!$H$231,$C845),BG856))),0)</f>
        <v>0</v>
      </c>
      <c r="BI856" s="39">
        <f>+IFERROR(-ABS(IF(EDATE(_xlfn.XLOOKUP(1,$H843:$BE843,$H$4:$BE$4),12*Assumptions!$H$231+12)=BI$4,0,IF(BH843=1,PMT(Assumptions!$H$229,Assumptions!$H$231,$C845),BH856))),0)</f>
        <v>0</v>
      </c>
      <c r="BJ856" s="39">
        <f>+IFERROR(-ABS(IF(EDATE(_xlfn.XLOOKUP(1,$H843:$BE843,$H$4:$BE$4),12*Assumptions!$H$231+12)=BJ$4,0,IF(BI843=1,PMT(Assumptions!$H$229,Assumptions!$H$231,$C845),BI856))),0)</f>
        <v>0</v>
      </c>
      <c r="BK856" s="39">
        <f>+IFERROR(-ABS(IF(EDATE(_xlfn.XLOOKUP(1,$H843:$BE843,$H$4:$BE$4),12*Assumptions!$H$231+12)=BK$4,0,IF(BJ843=1,PMT(Assumptions!$H$229,Assumptions!$H$231,$C845),BJ856))),0)</f>
        <v>0</v>
      </c>
      <c r="BL856" s="39">
        <f>+IFERROR(-ABS(IF(EDATE(_xlfn.XLOOKUP(1,$H843:$BE843,$H$4:$BE$4),12*Assumptions!$H$231+12)=BL$4,0,IF(BK843=1,PMT(Assumptions!$H$229,Assumptions!$H$231,$C845),BK856))),0)</f>
        <v>0</v>
      </c>
      <c r="BM856" s="39">
        <f>+IFERROR(-ABS(IF(EDATE(_xlfn.XLOOKUP(1,$H843:$BE843,$H$4:$BE$4),12*Assumptions!$H$231+12)=BM$4,0,IF(BL843=1,PMT(Assumptions!$H$229,Assumptions!$H$231,$C845),BL856))),0)</f>
        <v>0</v>
      </c>
      <c r="BN856" s="39">
        <f>+IFERROR(-ABS(IF(EDATE(_xlfn.XLOOKUP(1,$H843:$BE843,$H$4:$BE$4),12*Assumptions!$H$231+12)=BN$4,0,IF(BM843=1,PMT(Assumptions!$H$229,Assumptions!$H$231,$C845),BM856))),0)</f>
        <v>0</v>
      </c>
      <c r="BO856" s="39">
        <f>+IFERROR(-ABS(IF(EDATE(_xlfn.XLOOKUP(1,$H843:$BE843,$H$4:$BE$4),12*Assumptions!$H$231+12)=BO$4,0,IF(BN843=1,PMT(Assumptions!$H$229,Assumptions!$H$231,$C845),BN856))),0)</f>
        <v>0</v>
      </c>
      <c r="BP856" s="39">
        <f>+IFERROR(-ABS(IF(EDATE(_xlfn.XLOOKUP(1,$H843:$BE843,$H$4:$BE$4),12*Assumptions!$H$231+12)=BP$4,0,IF(BO843=1,PMT(Assumptions!$H$229,Assumptions!$H$231,$C845),BO856))),0)</f>
        <v>0</v>
      </c>
      <c r="BQ856" s="39">
        <f>+IFERROR(-ABS(IF(EDATE(_xlfn.XLOOKUP(1,$H843:$BE843,$H$4:$BE$4),12*Assumptions!$H$231+12)=BQ$4,0,IF(BP843=1,PMT(Assumptions!$H$229,Assumptions!$H$231,$C845),BP856))),0)</f>
        <v>0</v>
      </c>
      <c r="BR856" s="39">
        <f>+IFERROR(-ABS(IF(EDATE(_xlfn.XLOOKUP(1,$H843:$BE843,$H$4:$BE$4),12*Assumptions!$H$231+12)=BR$4,0,IF(BQ843=1,PMT(Assumptions!$H$229,Assumptions!$H$231,$C845),BQ856))),0)</f>
        <v>0</v>
      </c>
      <c r="BS856" s="39">
        <f>+IFERROR(-ABS(IF(EDATE(_xlfn.XLOOKUP(1,$H843:$BE843,$H$4:$BE$4),12*Assumptions!$H$231+12)=BS$4,0,IF(BR843=1,PMT(Assumptions!$H$229,Assumptions!$H$231,$C845),BR856))),0)</f>
        <v>0</v>
      </c>
      <c r="BT856" s="39">
        <f>+IFERROR(-ABS(IF(EDATE(_xlfn.XLOOKUP(1,$H843:$BE843,$H$4:$BE$4),12*Assumptions!$H$231+12)=BT$4,0,IF(BS843=1,PMT(Assumptions!$H$229,Assumptions!$H$231,$C845),BS856))),0)</f>
        <v>0</v>
      </c>
      <c r="BU856" s="39">
        <f>+IFERROR(-ABS(IF(EDATE(_xlfn.XLOOKUP(1,$H843:$BE843,$H$4:$BE$4),12*Assumptions!$H$231+12)=BU$4,0,IF(BT843=1,PMT(Assumptions!$H$229,Assumptions!$H$231,$C845),BT856))),0)</f>
        <v>0</v>
      </c>
      <c r="BV856" s="39">
        <f>+IFERROR(-ABS(IF(EDATE(_xlfn.XLOOKUP(1,$H843:$BE843,$H$4:$BE$4),12*Assumptions!$H$231+12)=BV$4,0,IF(BU843=1,PMT(Assumptions!$H$229,Assumptions!$H$231,$C845),BU856))),0)</f>
        <v>0</v>
      </c>
      <c r="BW856" s="39">
        <f>+IFERROR(-ABS(IF(EDATE(_xlfn.XLOOKUP(1,$H843:$BE843,$H$4:$BE$4),12*Assumptions!$H$231+12)=BW$4,0,IF(BV843=1,PMT(Assumptions!$H$229,Assumptions!$H$231,$C845),BV856))),0)</f>
        <v>0</v>
      </c>
      <c r="BX856" s="39">
        <f>+IFERROR(-ABS(IF(EDATE(_xlfn.XLOOKUP(1,$H843:$BE843,$H$4:$BE$4),12*Assumptions!$H$231+12)=BX$4,0,IF(BW843=1,PMT(Assumptions!$H$229,Assumptions!$H$231,$C845),BW856))),0)</f>
        <v>0</v>
      </c>
      <c r="BY856" s="39">
        <f>+IFERROR(-ABS(IF(EDATE(_xlfn.XLOOKUP(1,$H843:$BE843,$H$4:$BE$4),12*Assumptions!$H$231+12)=BY$4,0,IF(BX843=1,PMT(Assumptions!$H$229,Assumptions!$H$231,$C845),BX856))),0)</f>
        <v>0</v>
      </c>
    </row>
    <row r="857" spans="5:77" outlineLevel="1">
      <c r="E857" s="24" t="s">
        <v>518</v>
      </c>
      <c r="F857" s="80" t="str">
        <f>+Assumptions!$G$8</f>
        <v>USD</v>
      </c>
      <c r="G857" s="24"/>
      <c r="H857" s="39">
        <f>+IFERROR(-ABS(IF(EDATE(_xlfn.XLOOKUP(1,$H844:$BE844,$H$4:$BE$4),12*Assumptions!$H$231+12)=H$4,0,IF(G844=1,PMT(Assumptions!$H$229,Assumptions!$H$231,$C846),G857))),0)</f>
        <v>0</v>
      </c>
      <c r="I857" s="39">
        <f>+IFERROR(-ABS(IF(EDATE(_xlfn.XLOOKUP(1,$H844:$BE844,$H$4:$BE$4),12*Assumptions!$H$231+12)=I$4,0,IF(H844=1,PMT(Assumptions!$H$229,Assumptions!$H$231,$C846),H857))),0)</f>
        <v>0</v>
      </c>
      <c r="J857" s="39">
        <f>+IFERROR(-ABS(IF(EDATE(_xlfn.XLOOKUP(1,$H844:$BE844,$H$4:$BE$4),12*Assumptions!$H$231+12)=J$4,0,IF(I844=1,PMT(Assumptions!$H$229,Assumptions!$H$231,$C846),I857))),0)</f>
        <v>0</v>
      </c>
      <c r="K857" s="39">
        <f>+IFERROR(-ABS(IF(EDATE(_xlfn.XLOOKUP(1,$H844:$BE844,$H$4:$BE$4),12*Assumptions!$H$231+12)=K$4,0,IF(J844=1,PMT(Assumptions!$H$229,Assumptions!$H$231,$C846),J857))),0)</f>
        <v>0</v>
      </c>
      <c r="L857" s="39">
        <f>+IFERROR(-ABS(IF(EDATE(_xlfn.XLOOKUP(1,$H844:$BE844,$H$4:$BE$4),12*Assumptions!$H$231+12)=L$4,0,IF(K844=1,PMT(Assumptions!$H$229,Assumptions!$H$231,$C846),K857))),0)</f>
        <v>0</v>
      </c>
      <c r="M857" s="39">
        <f>+IFERROR(-ABS(IF(EDATE(_xlfn.XLOOKUP(1,$H844:$BE844,$H$4:$BE$4),12*Assumptions!$H$231+12)=M$4,0,IF(L844=1,PMT(Assumptions!$H$229,Assumptions!$H$231,$C846),L857))),0)</f>
        <v>0</v>
      </c>
      <c r="N857" s="39">
        <f>+IFERROR(-ABS(IF(EDATE(_xlfn.XLOOKUP(1,$H844:$BE844,$H$4:$BE$4),12*Assumptions!$H$231+12)=N$4,0,IF(M844=1,PMT(Assumptions!$H$229,Assumptions!$H$231,$C846),M857))),0)</f>
        <v>0</v>
      </c>
      <c r="O857" s="39">
        <f>+IFERROR(-ABS(IF(EDATE(_xlfn.XLOOKUP(1,$H844:$BE844,$H$4:$BE$4),12*Assumptions!$H$231+12)=O$4,0,IF(N844=1,PMT(Assumptions!$H$229,Assumptions!$H$231,$C846),N857))),0)</f>
        <v>0</v>
      </c>
      <c r="P857" s="39">
        <f>+IFERROR(-ABS(IF(EDATE(_xlfn.XLOOKUP(1,$H844:$BE844,$H$4:$BE$4),12*Assumptions!$H$231+12)=P$4,0,IF(O844=1,PMT(Assumptions!$H$229,Assumptions!$H$231,$C846),O857))),0)</f>
        <v>0</v>
      </c>
      <c r="Q857" s="39">
        <f>+IFERROR(-ABS(IF(EDATE(_xlfn.XLOOKUP(1,$H844:$BE844,$H$4:$BE$4),12*Assumptions!$H$231+12)=Q$4,0,IF(P844=1,PMT(Assumptions!$H$229,Assumptions!$H$231,$C846),P857))),0)</f>
        <v>0</v>
      </c>
      <c r="R857" s="39">
        <f>+IFERROR(-ABS(IF(EDATE(_xlfn.XLOOKUP(1,$H844:$BE844,$H$4:$BE$4),12*Assumptions!$H$231+12)=R$4,0,IF(Q844=1,PMT(Assumptions!$H$229,Assumptions!$H$231,$C846),Q857))),0)</f>
        <v>0</v>
      </c>
      <c r="S857" s="39">
        <f>+IFERROR(-ABS(IF(EDATE(_xlfn.XLOOKUP(1,$H844:$BE844,$H$4:$BE$4),12*Assumptions!$H$231+12)=S$4,0,IF(R844=1,PMT(Assumptions!$H$229,Assumptions!$H$231,$C846),R857))),0)</f>
        <v>0</v>
      </c>
      <c r="T857" s="39">
        <f>+IFERROR(-ABS(IF(EDATE(_xlfn.XLOOKUP(1,$H844:$BE844,$H$4:$BE$4),12*Assumptions!$H$231+12)=T$4,0,IF(S844=1,PMT(Assumptions!$H$229,Assumptions!$H$231,$C846),S857))),0)</f>
        <v>0</v>
      </c>
      <c r="U857" s="39">
        <f>+IFERROR(-ABS(IF(EDATE(_xlfn.XLOOKUP(1,$H844:$BE844,$H$4:$BE$4),12*Assumptions!$H$231+12)=U$4,0,IF(T844=1,PMT(Assumptions!$H$229,Assumptions!$H$231,$C846),T857))),0)</f>
        <v>0</v>
      </c>
      <c r="V857" s="39">
        <f>+IFERROR(-ABS(IF(EDATE(_xlfn.XLOOKUP(1,$H844:$BE844,$H$4:$BE$4),12*Assumptions!$H$231+12)=V$4,0,IF(U844=1,PMT(Assumptions!$H$229,Assumptions!$H$231,$C846),U857))),0)</f>
        <v>0</v>
      </c>
      <c r="W857" s="39">
        <f>+IFERROR(-ABS(IF(EDATE(_xlfn.XLOOKUP(1,$H844:$BE844,$H$4:$BE$4),12*Assumptions!$H$231+12)=W$4,0,IF(V844=1,PMT(Assumptions!$H$229,Assumptions!$H$231,$C846),V857))),0)</f>
        <v>0</v>
      </c>
      <c r="X857" s="39">
        <f>+IFERROR(-ABS(IF(EDATE(_xlfn.XLOOKUP(1,$H844:$BE844,$H$4:$BE$4),12*Assumptions!$H$231+12)=X$4,0,IF(W844=1,PMT(Assumptions!$H$229,Assumptions!$H$231,$C846),W857))),0)</f>
        <v>0</v>
      </c>
      <c r="Y857" s="39">
        <f>+IFERROR(-ABS(IF(EDATE(_xlfn.XLOOKUP(1,$H844:$BE844,$H$4:$BE$4),12*Assumptions!$H$231+12)=Y$4,0,IF(X844=1,PMT(Assumptions!$H$229,Assumptions!$H$231,$C846),X857))),0)</f>
        <v>0</v>
      </c>
      <c r="Z857" s="39">
        <f>+IFERROR(-ABS(IF(EDATE(_xlfn.XLOOKUP(1,$H844:$BE844,$H$4:$BE$4),12*Assumptions!$H$231+12)=Z$4,0,IF(Y844=1,PMT(Assumptions!$H$229,Assumptions!$H$231,$C846),Y857))),0)</f>
        <v>0</v>
      </c>
      <c r="AA857" s="39">
        <f>+IFERROR(-ABS(IF(EDATE(_xlfn.XLOOKUP(1,$H844:$BE844,$H$4:$BE$4),12*Assumptions!$H$231+12)=AA$4,0,IF(Z844=1,PMT(Assumptions!$H$229,Assumptions!$H$231,$C846),Z857))),0)</f>
        <v>0</v>
      </c>
      <c r="AB857" s="39">
        <f>+IFERROR(-ABS(IF(EDATE(_xlfn.XLOOKUP(1,$H844:$BE844,$H$4:$BE$4),12*Assumptions!$H$231+12)=AB$4,0,IF(AA844=1,PMT(Assumptions!$H$229,Assumptions!$H$231,$C846),AA857))),0)</f>
        <v>0</v>
      </c>
      <c r="AC857" s="39">
        <f>+IFERROR(-ABS(IF(EDATE(_xlfn.XLOOKUP(1,$H844:$BE844,$H$4:$BE$4),12*Assumptions!$H$231+12)=AC$4,0,IF(AB844=1,PMT(Assumptions!$H$229,Assumptions!$H$231,$C846),AB857))),0)</f>
        <v>0</v>
      </c>
      <c r="AD857" s="39">
        <f>+IFERROR(-ABS(IF(EDATE(_xlfn.XLOOKUP(1,$H844:$BE844,$H$4:$BE$4),12*Assumptions!$H$231+12)=AD$4,0,IF(AC844=1,PMT(Assumptions!$H$229,Assumptions!$H$231,$C846),AC857))),0)</f>
        <v>0</v>
      </c>
      <c r="AE857" s="39">
        <f>+IFERROR(-ABS(IF(EDATE(_xlfn.XLOOKUP(1,$H844:$BE844,$H$4:$BE$4),12*Assumptions!$H$231+12)=AE$4,0,IF(AD844=1,PMT(Assumptions!$H$229,Assumptions!$H$231,$C846),AD857))),0)</f>
        <v>0</v>
      </c>
      <c r="AF857" s="39">
        <f>+IFERROR(-ABS(IF(EDATE(_xlfn.XLOOKUP(1,$H844:$BE844,$H$4:$BE$4),12*Assumptions!$H$231+12)=AF$4,0,IF(AE844=1,PMT(Assumptions!$H$229,Assumptions!$H$231,$C846),AE857))),0)</f>
        <v>0</v>
      </c>
      <c r="AG857" s="39">
        <f>+IFERROR(-ABS(IF(EDATE(_xlfn.XLOOKUP(1,$H844:$BE844,$H$4:$BE$4),12*Assumptions!$H$231+12)=AG$4,0,IF(AF844=1,PMT(Assumptions!$H$229,Assumptions!$H$231,$C846),AF857))),0)</f>
        <v>0</v>
      </c>
      <c r="AH857" s="39">
        <f>+IFERROR(-ABS(IF(EDATE(_xlfn.XLOOKUP(1,$H844:$BE844,$H$4:$BE$4),12*Assumptions!$H$231+12)=AH$4,0,IF(AG844=1,PMT(Assumptions!$H$229,Assumptions!$H$231,$C846),AG857))),0)</f>
        <v>0</v>
      </c>
      <c r="AI857" s="39">
        <f>+IFERROR(-ABS(IF(EDATE(_xlfn.XLOOKUP(1,$H844:$BE844,$H$4:$BE$4),12*Assumptions!$H$231+12)=AI$4,0,IF(AH844=1,PMT(Assumptions!$H$229,Assumptions!$H$231,$C846),AH857))),0)</f>
        <v>0</v>
      </c>
      <c r="AJ857" s="39">
        <f>+IFERROR(-ABS(IF(EDATE(_xlfn.XLOOKUP(1,$H844:$BE844,$H$4:$BE$4),12*Assumptions!$H$231+12)=AJ$4,0,IF(AI844=1,PMT(Assumptions!$H$229,Assumptions!$H$231,$C846),AI857))),0)</f>
        <v>0</v>
      </c>
      <c r="AK857" s="39">
        <f>+IFERROR(-ABS(IF(EDATE(_xlfn.XLOOKUP(1,$H844:$BE844,$H$4:$BE$4),12*Assumptions!$H$231+12)=AK$4,0,IF(AJ844=1,PMT(Assumptions!$H$229,Assumptions!$H$231,$C846),AJ857))),0)</f>
        <v>0</v>
      </c>
      <c r="AL857" s="39">
        <f>+IFERROR(-ABS(IF(EDATE(_xlfn.XLOOKUP(1,$H844:$BE844,$H$4:$BE$4),12*Assumptions!$H$231+12)=AL$4,0,IF(AK844=1,PMT(Assumptions!$H$229,Assumptions!$H$231,$C846),AK857))),0)</f>
        <v>0</v>
      </c>
      <c r="AM857" s="39">
        <f>+IFERROR(-ABS(IF(EDATE(_xlfn.XLOOKUP(1,$H844:$BE844,$H$4:$BE$4),12*Assumptions!$H$231+12)=AM$4,0,IF(AL844=1,PMT(Assumptions!$H$229,Assumptions!$H$231,$C846),AL857))),0)</f>
        <v>0</v>
      </c>
      <c r="AN857" s="39">
        <f>+IFERROR(-ABS(IF(EDATE(_xlfn.XLOOKUP(1,$H844:$BE844,$H$4:$BE$4),12*Assumptions!$H$231+12)=AN$4,0,IF(AM844=1,PMT(Assumptions!$H$229,Assumptions!$H$231,$C846),AM857))),0)</f>
        <v>0</v>
      </c>
      <c r="AO857" s="39">
        <f>+IFERROR(-ABS(IF(EDATE(_xlfn.XLOOKUP(1,$H844:$BE844,$H$4:$BE$4),12*Assumptions!$H$231+12)=AO$4,0,IF(AN844=1,PMT(Assumptions!$H$229,Assumptions!$H$231,$C846),AN857))),0)</f>
        <v>0</v>
      </c>
      <c r="AP857" s="39">
        <f>+IFERROR(-ABS(IF(EDATE(_xlfn.XLOOKUP(1,$H844:$BE844,$H$4:$BE$4),12*Assumptions!$H$231+12)=AP$4,0,IF(AO844=1,PMT(Assumptions!$H$229,Assumptions!$H$231,$C846),AO857))),0)</f>
        <v>0</v>
      </c>
      <c r="AQ857" s="39">
        <f>+IFERROR(-ABS(IF(EDATE(_xlfn.XLOOKUP(1,$H844:$BE844,$H$4:$BE$4),12*Assumptions!$H$231+12)=AQ$4,0,IF(AP844=1,PMT(Assumptions!$H$229,Assumptions!$H$231,$C846),AP857))),0)</f>
        <v>0</v>
      </c>
      <c r="AR857" s="39">
        <f>+IFERROR(-ABS(IF(EDATE(_xlfn.XLOOKUP(1,$H844:$BE844,$H$4:$BE$4),12*Assumptions!$H$231+12)=AR$4,0,IF(AQ844=1,PMT(Assumptions!$H$229,Assumptions!$H$231,$C846),AQ857))),0)</f>
        <v>0</v>
      </c>
      <c r="AS857" s="39">
        <f>+IFERROR(-ABS(IF(EDATE(_xlfn.XLOOKUP(1,$H844:$BE844,$H$4:$BE$4),12*Assumptions!$H$231+12)=AS$4,0,IF(AR844=1,PMT(Assumptions!$H$229,Assumptions!$H$231,$C846),AR857))),0)</f>
        <v>0</v>
      </c>
      <c r="AT857" s="39">
        <f>+IFERROR(-ABS(IF(EDATE(_xlfn.XLOOKUP(1,$H844:$BE844,$H$4:$BE$4),12*Assumptions!$H$231+12)=AT$4,0,IF(AS844=1,PMT(Assumptions!$H$229,Assumptions!$H$231,$C846),AS857))),0)</f>
        <v>0</v>
      </c>
      <c r="AU857" s="39">
        <f>+IFERROR(-ABS(IF(EDATE(_xlfn.XLOOKUP(1,$H844:$BE844,$H$4:$BE$4),12*Assumptions!$H$231+12)=AU$4,0,IF(AT844=1,PMT(Assumptions!$H$229,Assumptions!$H$231,$C846),AT857))),0)</f>
        <v>0</v>
      </c>
      <c r="AV857" s="39">
        <f>+IFERROR(-ABS(IF(EDATE(_xlfn.XLOOKUP(1,$H844:$BE844,$H$4:$BE$4),12*Assumptions!$H$231+12)=AV$4,0,IF(AU844=1,PMT(Assumptions!$H$229,Assumptions!$H$231,$C846),AU857))),0)</f>
        <v>0</v>
      </c>
      <c r="AW857" s="39">
        <f>+IFERROR(-ABS(IF(EDATE(_xlfn.XLOOKUP(1,$H844:$BE844,$H$4:$BE$4),12*Assumptions!$H$231+12)=AW$4,0,IF(AV844=1,PMT(Assumptions!$H$229,Assumptions!$H$231,$C846),AV857))),0)</f>
        <v>0</v>
      </c>
      <c r="AX857" s="39">
        <f>+IFERROR(-ABS(IF(EDATE(_xlfn.XLOOKUP(1,$H844:$BE844,$H$4:$BE$4),12*Assumptions!$H$231+12)=AX$4,0,IF(AW844=1,PMT(Assumptions!$H$229,Assumptions!$H$231,$C846),AW857))),0)</f>
        <v>0</v>
      </c>
      <c r="AY857" s="39">
        <f>+IFERROR(-ABS(IF(EDATE(_xlfn.XLOOKUP(1,$H844:$BE844,$H$4:$BE$4),12*Assumptions!$H$231+12)=AY$4,0,IF(AX844=1,PMT(Assumptions!$H$229,Assumptions!$H$231,$C846),AX857))),0)</f>
        <v>0</v>
      </c>
      <c r="AZ857" s="39">
        <f>+IFERROR(-ABS(IF(EDATE(_xlfn.XLOOKUP(1,$H844:$BE844,$H$4:$BE$4),12*Assumptions!$H$231+12)=AZ$4,0,IF(AY844=1,PMT(Assumptions!$H$229,Assumptions!$H$231,$C846),AY857))),0)</f>
        <v>0</v>
      </c>
      <c r="BA857" s="39">
        <f>+IFERROR(-ABS(IF(EDATE(_xlfn.XLOOKUP(1,$H844:$BE844,$H$4:$BE$4),12*Assumptions!$H$231+12)=BA$4,0,IF(AZ844=1,PMT(Assumptions!$H$229,Assumptions!$H$231,$C846),AZ857))),0)</f>
        <v>0</v>
      </c>
      <c r="BB857" s="39">
        <f>+IFERROR(-ABS(IF(EDATE(_xlfn.XLOOKUP(1,$H844:$BE844,$H$4:$BE$4),12*Assumptions!$H$231+12)=BB$4,0,IF(BA844=1,PMT(Assumptions!$H$229,Assumptions!$H$231,$C846),BA857))),0)</f>
        <v>0</v>
      </c>
      <c r="BC857" s="39">
        <f>+IFERROR(-ABS(IF(EDATE(_xlfn.XLOOKUP(1,$H844:$BE844,$H$4:$BE$4),12*Assumptions!$H$231+12)=BC$4,0,IF(BB844=1,PMT(Assumptions!$H$229,Assumptions!$H$231,$C846),BB857))),0)</f>
        <v>0</v>
      </c>
      <c r="BD857" s="39">
        <f>+IFERROR(-ABS(IF(EDATE(_xlfn.XLOOKUP(1,$H844:$BE844,$H$4:$BE$4),12*Assumptions!$H$231+12)=BD$4,0,IF(BC844=1,PMT(Assumptions!$H$229,Assumptions!$H$231,$C846),BC857))),0)</f>
        <v>0</v>
      </c>
      <c r="BE857" s="39">
        <f>+IFERROR(-ABS(IF(EDATE(_xlfn.XLOOKUP(1,$H844:$BE844,$H$4:$BE$4),12*Assumptions!$H$231+12)=BE$4,0,IF(BD844=1,PMT(Assumptions!$H$229,Assumptions!$H$231,$C846),BD857))),0)</f>
        <v>0</v>
      </c>
      <c r="BF857" s="39">
        <f>+IFERROR(-ABS(IF(EDATE(_xlfn.XLOOKUP(1,$H844:$BE844,$H$4:$BE$4),12*Assumptions!$H$231+12)=BF$4,0,IF(BE844=1,PMT(Assumptions!$H$229,Assumptions!$H$231,$C846),BE857))),0)</f>
        <v>0</v>
      </c>
      <c r="BG857" s="39">
        <f>+IFERROR(-ABS(IF(EDATE(_xlfn.XLOOKUP(1,$H844:$BE844,$H$4:$BE$4),12*Assumptions!$H$231+12)=BG$4,0,IF(BF844=1,PMT(Assumptions!$H$229,Assumptions!$H$231,$C846),BF857))),0)</f>
        <v>0</v>
      </c>
      <c r="BH857" s="39">
        <f>+IFERROR(-ABS(IF(EDATE(_xlfn.XLOOKUP(1,$H844:$BE844,$H$4:$BE$4),12*Assumptions!$H$231+12)=BH$4,0,IF(BG844=1,PMT(Assumptions!$H$229,Assumptions!$H$231,$C846),BG857))),0)</f>
        <v>0</v>
      </c>
      <c r="BI857" s="39">
        <f>+IFERROR(-ABS(IF(EDATE(_xlfn.XLOOKUP(1,$H844:$BE844,$H$4:$BE$4),12*Assumptions!$H$231+12)=BI$4,0,IF(BH844=1,PMT(Assumptions!$H$229,Assumptions!$H$231,$C846),BH857))),0)</f>
        <v>0</v>
      </c>
      <c r="BJ857" s="39">
        <f>+IFERROR(-ABS(IF(EDATE(_xlfn.XLOOKUP(1,$H844:$BE844,$H$4:$BE$4),12*Assumptions!$H$231+12)=BJ$4,0,IF(BI844=1,PMT(Assumptions!$H$229,Assumptions!$H$231,$C846),BI857))),0)</f>
        <v>0</v>
      </c>
      <c r="BK857" s="39">
        <f>+IFERROR(-ABS(IF(EDATE(_xlfn.XLOOKUP(1,$H844:$BE844,$H$4:$BE$4),12*Assumptions!$H$231+12)=BK$4,0,IF(BJ844=1,PMT(Assumptions!$H$229,Assumptions!$H$231,$C846),BJ857))),0)</f>
        <v>0</v>
      </c>
      <c r="BL857" s="39">
        <f>+IFERROR(-ABS(IF(EDATE(_xlfn.XLOOKUP(1,$H844:$BE844,$H$4:$BE$4),12*Assumptions!$H$231+12)=BL$4,0,IF(BK844=1,PMT(Assumptions!$H$229,Assumptions!$H$231,$C846),BK857))),0)</f>
        <v>0</v>
      </c>
      <c r="BM857" s="39">
        <f>+IFERROR(-ABS(IF(EDATE(_xlfn.XLOOKUP(1,$H844:$BE844,$H$4:$BE$4),12*Assumptions!$H$231+12)=BM$4,0,IF(BL844=1,PMT(Assumptions!$H$229,Assumptions!$H$231,$C846),BL857))),0)</f>
        <v>0</v>
      </c>
      <c r="BN857" s="39">
        <f>+IFERROR(-ABS(IF(EDATE(_xlfn.XLOOKUP(1,$H844:$BE844,$H$4:$BE$4),12*Assumptions!$H$231+12)=BN$4,0,IF(BM844=1,PMT(Assumptions!$H$229,Assumptions!$H$231,$C846),BM857))),0)</f>
        <v>0</v>
      </c>
      <c r="BO857" s="39">
        <f>+IFERROR(-ABS(IF(EDATE(_xlfn.XLOOKUP(1,$H844:$BE844,$H$4:$BE$4),12*Assumptions!$H$231+12)=BO$4,0,IF(BN844=1,PMT(Assumptions!$H$229,Assumptions!$H$231,$C846),BN857))),0)</f>
        <v>0</v>
      </c>
      <c r="BP857" s="39">
        <f>+IFERROR(-ABS(IF(EDATE(_xlfn.XLOOKUP(1,$H844:$BE844,$H$4:$BE$4),12*Assumptions!$H$231+12)=BP$4,0,IF(BO844=1,PMT(Assumptions!$H$229,Assumptions!$H$231,$C846),BO857))),0)</f>
        <v>0</v>
      </c>
      <c r="BQ857" s="39">
        <f>+IFERROR(-ABS(IF(EDATE(_xlfn.XLOOKUP(1,$H844:$BE844,$H$4:$BE$4),12*Assumptions!$H$231+12)=BQ$4,0,IF(BP844=1,PMT(Assumptions!$H$229,Assumptions!$H$231,$C846),BP857))),0)</f>
        <v>0</v>
      </c>
      <c r="BR857" s="39">
        <f>+IFERROR(-ABS(IF(EDATE(_xlfn.XLOOKUP(1,$H844:$BE844,$H$4:$BE$4),12*Assumptions!$H$231+12)=BR$4,0,IF(BQ844=1,PMT(Assumptions!$H$229,Assumptions!$H$231,$C846),BQ857))),0)</f>
        <v>0</v>
      </c>
      <c r="BS857" s="39">
        <f>+IFERROR(-ABS(IF(EDATE(_xlfn.XLOOKUP(1,$H844:$BE844,$H$4:$BE$4),12*Assumptions!$H$231+12)=BS$4,0,IF(BR844=1,PMT(Assumptions!$H$229,Assumptions!$H$231,$C846),BR857))),0)</f>
        <v>0</v>
      </c>
      <c r="BT857" s="39">
        <f>+IFERROR(-ABS(IF(EDATE(_xlfn.XLOOKUP(1,$H844:$BE844,$H$4:$BE$4),12*Assumptions!$H$231+12)=BT$4,0,IF(BS844=1,PMT(Assumptions!$H$229,Assumptions!$H$231,$C846),BS857))),0)</f>
        <v>0</v>
      </c>
      <c r="BU857" s="39">
        <f>+IFERROR(-ABS(IF(EDATE(_xlfn.XLOOKUP(1,$H844:$BE844,$H$4:$BE$4),12*Assumptions!$H$231+12)=BU$4,0,IF(BT844=1,PMT(Assumptions!$H$229,Assumptions!$H$231,$C846),BT857))),0)</f>
        <v>0</v>
      </c>
      <c r="BV857" s="39">
        <f>+IFERROR(-ABS(IF(EDATE(_xlfn.XLOOKUP(1,$H844:$BE844,$H$4:$BE$4),12*Assumptions!$H$231+12)=BV$4,0,IF(BU844=1,PMT(Assumptions!$H$229,Assumptions!$H$231,$C846),BU857))),0)</f>
        <v>0</v>
      </c>
      <c r="BW857" s="39">
        <f>+IFERROR(-ABS(IF(EDATE(_xlfn.XLOOKUP(1,$H844:$BE844,$H$4:$BE$4),12*Assumptions!$H$231+12)=BW$4,0,IF(BV844=1,PMT(Assumptions!$H$229,Assumptions!$H$231,$C846),BV857))),0)</f>
        <v>0</v>
      </c>
      <c r="BX857" s="39">
        <f>+IFERROR(-ABS(IF(EDATE(_xlfn.XLOOKUP(1,$H844:$BE844,$H$4:$BE$4),12*Assumptions!$H$231+12)=BX$4,0,IF(BW844=1,PMT(Assumptions!$H$229,Assumptions!$H$231,$C846),BW857))),0)</f>
        <v>0</v>
      </c>
      <c r="BY857" s="39">
        <f>+IFERROR(-ABS(IF(EDATE(_xlfn.XLOOKUP(1,$H844:$BE844,$H$4:$BE$4),12*Assumptions!$H$231+12)=BY$4,0,IF(BX844=1,PMT(Assumptions!$H$229,Assumptions!$H$231,$C846),BX857))),0)</f>
        <v>0</v>
      </c>
    </row>
    <row r="858" spans="5:77" outlineLevel="1">
      <c r="E858" s="24" t="s">
        <v>519</v>
      </c>
      <c r="F858" s="80" t="str">
        <f>+Assumptions!$G$8</f>
        <v>USD</v>
      </c>
      <c r="G858" s="24"/>
      <c r="H858" s="39">
        <f>+IFERROR(-ABS(IF(EDATE(_xlfn.XLOOKUP(1,$H845:$BE845,$H$4:$BE$4),12*Assumptions!$H$231+12)=H$4,0,IF(G845=1,PMT(Assumptions!$H$229,Assumptions!$H$231,$C847),G858))),0)</f>
        <v>0</v>
      </c>
      <c r="I858" s="39">
        <f>+IFERROR(-ABS(IF(EDATE(_xlfn.XLOOKUP(1,$H845:$BE845,$H$4:$BE$4),12*Assumptions!$H$231+12)=I$4,0,IF(H845=1,PMT(Assumptions!$H$229,Assumptions!$H$231,$C847),H858))),0)</f>
        <v>0</v>
      </c>
      <c r="J858" s="39">
        <f>+IFERROR(-ABS(IF(EDATE(_xlfn.XLOOKUP(1,$H845:$BE845,$H$4:$BE$4),12*Assumptions!$H$231+12)=J$4,0,IF(I845=1,PMT(Assumptions!$H$229,Assumptions!$H$231,$C847),I858))),0)</f>
        <v>0</v>
      </c>
      <c r="K858" s="39">
        <f>+IFERROR(-ABS(IF(EDATE(_xlfn.XLOOKUP(1,$H845:$BE845,$H$4:$BE$4),12*Assumptions!$H$231+12)=K$4,0,IF(J845=1,PMT(Assumptions!$H$229,Assumptions!$H$231,$C847),J858))),0)</f>
        <v>0</v>
      </c>
      <c r="L858" s="39">
        <f>+IFERROR(-ABS(IF(EDATE(_xlfn.XLOOKUP(1,$H845:$BE845,$H$4:$BE$4),12*Assumptions!$H$231+12)=L$4,0,IF(K845=1,PMT(Assumptions!$H$229,Assumptions!$H$231,$C847),K858))),0)</f>
        <v>0</v>
      </c>
      <c r="M858" s="39">
        <f>+IFERROR(-ABS(IF(EDATE(_xlfn.XLOOKUP(1,$H845:$BE845,$H$4:$BE$4),12*Assumptions!$H$231+12)=M$4,0,IF(L845=1,PMT(Assumptions!$H$229,Assumptions!$H$231,$C847),L858))),0)</f>
        <v>0</v>
      </c>
      <c r="N858" s="39">
        <f>+IFERROR(-ABS(IF(EDATE(_xlfn.XLOOKUP(1,$H845:$BE845,$H$4:$BE$4),12*Assumptions!$H$231+12)=N$4,0,IF(M845=1,PMT(Assumptions!$H$229,Assumptions!$H$231,$C847),M858))),0)</f>
        <v>0</v>
      </c>
      <c r="O858" s="39">
        <f>+IFERROR(-ABS(IF(EDATE(_xlfn.XLOOKUP(1,$H845:$BE845,$H$4:$BE$4),12*Assumptions!$H$231+12)=O$4,0,IF(N845=1,PMT(Assumptions!$H$229,Assumptions!$H$231,$C847),N858))),0)</f>
        <v>0</v>
      </c>
      <c r="P858" s="39">
        <f>+IFERROR(-ABS(IF(EDATE(_xlfn.XLOOKUP(1,$H845:$BE845,$H$4:$BE$4),12*Assumptions!$H$231+12)=P$4,0,IF(O845=1,PMT(Assumptions!$H$229,Assumptions!$H$231,$C847),O858))),0)</f>
        <v>0</v>
      </c>
      <c r="Q858" s="39">
        <f>+IFERROR(-ABS(IF(EDATE(_xlfn.XLOOKUP(1,$H845:$BE845,$H$4:$BE$4),12*Assumptions!$H$231+12)=Q$4,0,IF(P845=1,PMT(Assumptions!$H$229,Assumptions!$H$231,$C847),P858))),0)</f>
        <v>0</v>
      </c>
      <c r="R858" s="39">
        <f>+IFERROR(-ABS(IF(EDATE(_xlfn.XLOOKUP(1,$H845:$BE845,$H$4:$BE$4),12*Assumptions!$H$231+12)=R$4,0,IF(Q845=1,PMT(Assumptions!$H$229,Assumptions!$H$231,$C847),Q858))),0)</f>
        <v>0</v>
      </c>
      <c r="S858" s="39">
        <f>+IFERROR(-ABS(IF(EDATE(_xlfn.XLOOKUP(1,$H845:$BE845,$H$4:$BE$4),12*Assumptions!$H$231+12)=S$4,0,IF(R845=1,PMT(Assumptions!$H$229,Assumptions!$H$231,$C847),R858))),0)</f>
        <v>0</v>
      </c>
      <c r="T858" s="39">
        <f>+IFERROR(-ABS(IF(EDATE(_xlfn.XLOOKUP(1,$H845:$BE845,$H$4:$BE$4),12*Assumptions!$H$231+12)=T$4,0,IF(S845=1,PMT(Assumptions!$H$229,Assumptions!$H$231,$C847),S858))),0)</f>
        <v>0</v>
      </c>
      <c r="U858" s="39">
        <f>+IFERROR(-ABS(IF(EDATE(_xlfn.XLOOKUP(1,$H845:$BE845,$H$4:$BE$4),12*Assumptions!$H$231+12)=U$4,0,IF(T845=1,PMT(Assumptions!$H$229,Assumptions!$H$231,$C847),T858))),0)</f>
        <v>0</v>
      </c>
      <c r="V858" s="39">
        <f>+IFERROR(-ABS(IF(EDATE(_xlfn.XLOOKUP(1,$H845:$BE845,$H$4:$BE$4),12*Assumptions!$H$231+12)=V$4,0,IF(U845=1,PMT(Assumptions!$H$229,Assumptions!$H$231,$C847),U858))),0)</f>
        <v>0</v>
      </c>
      <c r="W858" s="39">
        <f>+IFERROR(-ABS(IF(EDATE(_xlfn.XLOOKUP(1,$H845:$BE845,$H$4:$BE$4),12*Assumptions!$H$231+12)=W$4,0,IF(V845=1,PMT(Assumptions!$H$229,Assumptions!$H$231,$C847),V858))),0)</f>
        <v>0</v>
      </c>
      <c r="X858" s="39">
        <f>+IFERROR(-ABS(IF(EDATE(_xlfn.XLOOKUP(1,$H845:$BE845,$H$4:$BE$4),12*Assumptions!$H$231+12)=X$4,0,IF(W845=1,PMT(Assumptions!$H$229,Assumptions!$H$231,$C847),W858))),0)</f>
        <v>0</v>
      </c>
      <c r="Y858" s="39">
        <f>+IFERROR(-ABS(IF(EDATE(_xlfn.XLOOKUP(1,$H845:$BE845,$H$4:$BE$4),12*Assumptions!$H$231+12)=Y$4,0,IF(X845=1,PMT(Assumptions!$H$229,Assumptions!$H$231,$C847),X858))),0)</f>
        <v>0</v>
      </c>
      <c r="Z858" s="39">
        <f>+IFERROR(-ABS(IF(EDATE(_xlfn.XLOOKUP(1,$H845:$BE845,$H$4:$BE$4),12*Assumptions!$H$231+12)=Z$4,0,IF(Y845=1,PMT(Assumptions!$H$229,Assumptions!$H$231,$C847),Y858))),0)</f>
        <v>0</v>
      </c>
      <c r="AA858" s="39">
        <f>+IFERROR(-ABS(IF(EDATE(_xlfn.XLOOKUP(1,$H845:$BE845,$H$4:$BE$4),12*Assumptions!$H$231+12)=AA$4,0,IF(Z845=1,PMT(Assumptions!$H$229,Assumptions!$H$231,$C847),Z858))),0)</f>
        <v>0</v>
      </c>
      <c r="AB858" s="39">
        <f>+IFERROR(-ABS(IF(EDATE(_xlfn.XLOOKUP(1,$H845:$BE845,$H$4:$BE$4),12*Assumptions!$H$231+12)=AB$4,0,IF(AA845=1,PMT(Assumptions!$H$229,Assumptions!$H$231,$C847),AA858))),0)</f>
        <v>0</v>
      </c>
      <c r="AC858" s="39">
        <f>+IFERROR(-ABS(IF(EDATE(_xlfn.XLOOKUP(1,$H845:$BE845,$H$4:$BE$4),12*Assumptions!$H$231+12)=AC$4,0,IF(AB845=1,PMT(Assumptions!$H$229,Assumptions!$H$231,$C847),AB858))),0)</f>
        <v>0</v>
      </c>
      <c r="AD858" s="39">
        <f>+IFERROR(-ABS(IF(EDATE(_xlfn.XLOOKUP(1,$H845:$BE845,$H$4:$BE$4),12*Assumptions!$H$231+12)=AD$4,0,IF(AC845=1,PMT(Assumptions!$H$229,Assumptions!$H$231,$C847),AC858))),0)</f>
        <v>0</v>
      </c>
      <c r="AE858" s="39">
        <f>+IFERROR(-ABS(IF(EDATE(_xlfn.XLOOKUP(1,$H845:$BE845,$H$4:$BE$4),12*Assumptions!$H$231+12)=AE$4,0,IF(AD845=1,PMT(Assumptions!$H$229,Assumptions!$H$231,$C847),AD858))),0)</f>
        <v>0</v>
      </c>
      <c r="AF858" s="39">
        <f>+IFERROR(-ABS(IF(EDATE(_xlfn.XLOOKUP(1,$H845:$BE845,$H$4:$BE$4),12*Assumptions!$H$231+12)=AF$4,0,IF(AE845=1,PMT(Assumptions!$H$229,Assumptions!$H$231,$C847),AE858))),0)</f>
        <v>0</v>
      </c>
      <c r="AG858" s="39">
        <f>+IFERROR(-ABS(IF(EDATE(_xlfn.XLOOKUP(1,$H845:$BE845,$H$4:$BE$4),12*Assumptions!$H$231+12)=AG$4,0,IF(AF845=1,PMT(Assumptions!$H$229,Assumptions!$H$231,$C847),AF858))),0)</f>
        <v>0</v>
      </c>
      <c r="AH858" s="39">
        <f>+IFERROR(-ABS(IF(EDATE(_xlfn.XLOOKUP(1,$H845:$BE845,$H$4:$BE$4),12*Assumptions!$H$231+12)=AH$4,0,IF(AG845=1,PMT(Assumptions!$H$229,Assumptions!$H$231,$C847),AG858))),0)</f>
        <v>0</v>
      </c>
      <c r="AI858" s="39">
        <f>+IFERROR(-ABS(IF(EDATE(_xlfn.XLOOKUP(1,$H845:$BE845,$H$4:$BE$4),12*Assumptions!$H$231+12)=AI$4,0,IF(AH845=1,PMT(Assumptions!$H$229,Assumptions!$H$231,$C847),AH858))),0)</f>
        <v>0</v>
      </c>
      <c r="AJ858" s="39">
        <f>+IFERROR(-ABS(IF(EDATE(_xlfn.XLOOKUP(1,$H845:$BE845,$H$4:$BE$4),12*Assumptions!$H$231+12)=AJ$4,0,IF(AI845=1,PMT(Assumptions!$H$229,Assumptions!$H$231,$C847),AI858))),0)</f>
        <v>0</v>
      </c>
      <c r="AK858" s="39">
        <f>+IFERROR(-ABS(IF(EDATE(_xlfn.XLOOKUP(1,$H845:$BE845,$H$4:$BE$4),12*Assumptions!$H$231+12)=AK$4,0,IF(AJ845=1,PMT(Assumptions!$H$229,Assumptions!$H$231,$C847),AJ858))),0)</f>
        <v>0</v>
      </c>
      <c r="AL858" s="39">
        <f>+IFERROR(-ABS(IF(EDATE(_xlfn.XLOOKUP(1,$H845:$BE845,$H$4:$BE$4),12*Assumptions!$H$231+12)=AL$4,0,IF(AK845=1,PMT(Assumptions!$H$229,Assumptions!$H$231,$C847),AK858))),0)</f>
        <v>0</v>
      </c>
      <c r="AM858" s="39">
        <f>+IFERROR(-ABS(IF(EDATE(_xlfn.XLOOKUP(1,$H845:$BE845,$H$4:$BE$4),12*Assumptions!$H$231+12)=AM$4,0,IF(AL845=1,PMT(Assumptions!$H$229,Assumptions!$H$231,$C847),AL858))),0)</f>
        <v>0</v>
      </c>
      <c r="AN858" s="39">
        <f>+IFERROR(-ABS(IF(EDATE(_xlfn.XLOOKUP(1,$H845:$BE845,$H$4:$BE$4),12*Assumptions!$H$231+12)=AN$4,0,IF(AM845=1,PMT(Assumptions!$H$229,Assumptions!$H$231,$C847),AM858))),0)</f>
        <v>0</v>
      </c>
      <c r="AO858" s="39">
        <f>+IFERROR(-ABS(IF(EDATE(_xlfn.XLOOKUP(1,$H845:$BE845,$H$4:$BE$4),12*Assumptions!$H$231+12)=AO$4,0,IF(AN845=1,PMT(Assumptions!$H$229,Assumptions!$H$231,$C847),AN858))),0)</f>
        <v>0</v>
      </c>
      <c r="AP858" s="39">
        <f>+IFERROR(-ABS(IF(EDATE(_xlfn.XLOOKUP(1,$H845:$BE845,$H$4:$BE$4),12*Assumptions!$H$231+12)=AP$4,0,IF(AO845=1,PMT(Assumptions!$H$229,Assumptions!$H$231,$C847),AO858))),0)</f>
        <v>0</v>
      </c>
      <c r="AQ858" s="39">
        <f>+IFERROR(-ABS(IF(EDATE(_xlfn.XLOOKUP(1,$H845:$BE845,$H$4:$BE$4),12*Assumptions!$H$231+12)=AQ$4,0,IF(AP845=1,PMT(Assumptions!$H$229,Assumptions!$H$231,$C847),AP858))),0)</f>
        <v>0</v>
      </c>
      <c r="AR858" s="39">
        <f>+IFERROR(-ABS(IF(EDATE(_xlfn.XLOOKUP(1,$H845:$BE845,$H$4:$BE$4),12*Assumptions!$H$231+12)=AR$4,0,IF(AQ845=1,PMT(Assumptions!$H$229,Assumptions!$H$231,$C847),AQ858))),0)</f>
        <v>0</v>
      </c>
      <c r="AS858" s="39">
        <f>+IFERROR(-ABS(IF(EDATE(_xlfn.XLOOKUP(1,$H845:$BE845,$H$4:$BE$4),12*Assumptions!$H$231+12)=AS$4,0,IF(AR845=1,PMT(Assumptions!$H$229,Assumptions!$H$231,$C847),AR858))),0)</f>
        <v>0</v>
      </c>
      <c r="AT858" s="39">
        <f>+IFERROR(-ABS(IF(EDATE(_xlfn.XLOOKUP(1,$H845:$BE845,$H$4:$BE$4),12*Assumptions!$H$231+12)=AT$4,0,IF(AS845=1,PMT(Assumptions!$H$229,Assumptions!$H$231,$C847),AS858))),0)</f>
        <v>0</v>
      </c>
      <c r="AU858" s="39">
        <f>+IFERROR(-ABS(IF(EDATE(_xlfn.XLOOKUP(1,$H845:$BE845,$H$4:$BE$4),12*Assumptions!$H$231+12)=AU$4,0,IF(AT845=1,PMT(Assumptions!$H$229,Assumptions!$H$231,$C847),AT858))),0)</f>
        <v>0</v>
      </c>
      <c r="AV858" s="39">
        <f>+IFERROR(-ABS(IF(EDATE(_xlfn.XLOOKUP(1,$H845:$BE845,$H$4:$BE$4),12*Assumptions!$H$231+12)=AV$4,0,IF(AU845=1,PMT(Assumptions!$H$229,Assumptions!$H$231,$C847),AU858))),0)</f>
        <v>0</v>
      </c>
      <c r="AW858" s="39">
        <f>+IFERROR(-ABS(IF(EDATE(_xlfn.XLOOKUP(1,$H845:$BE845,$H$4:$BE$4),12*Assumptions!$H$231+12)=AW$4,0,IF(AV845=1,PMT(Assumptions!$H$229,Assumptions!$H$231,$C847),AV858))),0)</f>
        <v>0</v>
      </c>
      <c r="AX858" s="39">
        <f>+IFERROR(-ABS(IF(EDATE(_xlfn.XLOOKUP(1,$H845:$BE845,$H$4:$BE$4),12*Assumptions!$H$231+12)=AX$4,0,IF(AW845=1,PMT(Assumptions!$H$229,Assumptions!$H$231,$C847),AW858))),0)</f>
        <v>0</v>
      </c>
      <c r="AY858" s="39">
        <f>+IFERROR(-ABS(IF(EDATE(_xlfn.XLOOKUP(1,$H845:$BE845,$H$4:$BE$4),12*Assumptions!$H$231+12)=AY$4,0,IF(AX845=1,PMT(Assumptions!$H$229,Assumptions!$H$231,$C847),AX858))),0)</f>
        <v>0</v>
      </c>
      <c r="AZ858" s="39">
        <f>+IFERROR(-ABS(IF(EDATE(_xlfn.XLOOKUP(1,$H845:$BE845,$H$4:$BE$4),12*Assumptions!$H$231+12)=AZ$4,0,IF(AY845=1,PMT(Assumptions!$H$229,Assumptions!$H$231,$C847),AY858))),0)</f>
        <v>0</v>
      </c>
      <c r="BA858" s="39">
        <f>+IFERROR(-ABS(IF(EDATE(_xlfn.XLOOKUP(1,$H845:$BE845,$H$4:$BE$4),12*Assumptions!$H$231+12)=BA$4,0,IF(AZ845=1,PMT(Assumptions!$H$229,Assumptions!$H$231,$C847),AZ858))),0)</f>
        <v>0</v>
      </c>
      <c r="BB858" s="39">
        <f>+IFERROR(-ABS(IF(EDATE(_xlfn.XLOOKUP(1,$H845:$BE845,$H$4:$BE$4),12*Assumptions!$H$231+12)=BB$4,0,IF(BA845=1,PMT(Assumptions!$H$229,Assumptions!$H$231,$C847),BA858))),0)</f>
        <v>0</v>
      </c>
      <c r="BC858" s="39">
        <f>+IFERROR(-ABS(IF(EDATE(_xlfn.XLOOKUP(1,$H845:$BE845,$H$4:$BE$4),12*Assumptions!$H$231+12)=BC$4,0,IF(BB845=1,PMT(Assumptions!$H$229,Assumptions!$H$231,$C847),BB858))),0)</f>
        <v>0</v>
      </c>
      <c r="BD858" s="39">
        <f>+IFERROR(-ABS(IF(EDATE(_xlfn.XLOOKUP(1,$H845:$BE845,$H$4:$BE$4),12*Assumptions!$H$231+12)=BD$4,0,IF(BC845=1,PMT(Assumptions!$H$229,Assumptions!$H$231,$C847),BC858))),0)</f>
        <v>0</v>
      </c>
      <c r="BE858" s="39">
        <f>+IFERROR(-ABS(IF(EDATE(_xlfn.XLOOKUP(1,$H845:$BE845,$H$4:$BE$4),12*Assumptions!$H$231+12)=BE$4,0,IF(BD845=1,PMT(Assumptions!$H$229,Assumptions!$H$231,$C847),BD858))),0)</f>
        <v>0</v>
      </c>
      <c r="BF858" s="39">
        <f>+IFERROR(-ABS(IF(EDATE(_xlfn.XLOOKUP(1,$H845:$BE845,$H$4:$BE$4),12*Assumptions!$H$231+12)=BF$4,0,IF(BE845=1,PMT(Assumptions!$H$229,Assumptions!$H$231,$C847),BE858))),0)</f>
        <v>0</v>
      </c>
      <c r="BG858" s="39">
        <f>+IFERROR(-ABS(IF(EDATE(_xlfn.XLOOKUP(1,$H845:$BE845,$H$4:$BE$4),12*Assumptions!$H$231+12)=BG$4,0,IF(BF845=1,PMT(Assumptions!$H$229,Assumptions!$H$231,$C847),BF858))),0)</f>
        <v>0</v>
      </c>
      <c r="BH858" s="39">
        <f>+IFERROR(-ABS(IF(EDATE(_xlfn.XLOOKUP(1,$H845:$BE845,$H$4:$BE$4),12*Assumptions!$H$231+12)=BH$4,0,IF(BG845=1,PMT(Assumptions!$H$229,Assumptions!$H$231,$C847),BG858))),0)</f>
        <v>0</v>
      </c>
      <c r="BI858" s="39">
        <f>+IFERROR(-ABS(IF(EDATE(_xlfn.XLOOKUP(1,$H845:$BE845,$H$4:$BE$4),12*Assumptions!$H$231+12)=BI$4,0,IF(BH845=1,PMT(Assumptions!$H$229,Assumptions!$H$231,$C847),BH858))),0)</f>
        <v>0</v>
      </c>
      <c r="BJ858" s="39">
        <f>+IFERROR(-ABS(IF(EDATE(_xlfn.XLOOKUP(1,$H845:$BE845,$H$4:$BE$4),12*Assumptions!$H$231+12)=BJ$4,0,IF(BI845=1,PMT(Assumptions!$H$229,Assumptions!$H$231,$C847),BI858))),0)</f>
        <v>0</v>
      </c>
      <c r="BK858" s="39">
        <f>+IFERROR(-ABS(IF(EDATE(_xlfn.XLOOKUP(1,$H845:$BE845,$H$4:$BE$4),12*Assumptions!$H$231+12)=BK$4,0,IF(BJ845=1,PMT(Assumptions!$H$229,Assumptions!$H$231,$C847),BJ858))),0)</f>
        <v>0</v>
      </c>
      <c r="BL858" s="39">
        <f>+IFERROR(-ABS(IF(EDATE(_xlfn.XLOOKUP(1,$H845:$BE845,$H$4:$BE$4),12*Assumptions!$H$231+12)=BL$4,0,IF(BK845=1,PMT(Assumptions!$H$229,Assumptions!$H$231,$C847),BK858))),0)</f>
        <v>0</v>
      </c>
      <c r="BM858" s="39">
        <f>+IFERROR(-ABS(IF(EDATE(_xlfn.XLOOKUP(1,$H845:$BE845,$H$4:$BE$4),12*Assumptions!$H$231+12)=BM$4,0,IF(BL845=1,PMT(Assumptions!$H$229,Assumptions!$H$231,$C847),BL858))),0)</f>
        <v>0</v>
      </c>
      <c r="BN858" s="39">
        <f>+IFERROR(-ABS(IF(EDATE(_xlfn.XLOOKUP(1,$H845:$BE845,$H$4:$BE$4),12*Assumptions!$H$231+12)=BN$4,0,IF(BM845=1,PMT(Assumptions!$H$229,Assumptions!$H$231,$C847),BM858))),0)</f>
        <v>0</v>
      </c>
      <c r="BO858" s="39">
        <f>+IFERROR(-ABS(IF(EDATE(_xlfn.XLOOKUP(1,$H845:$BE845,$H$4:$BE$4),12*Assumptions!$H$231+12)=BO$4,0,IF(BN845=1,PMT(Assumptions!$H$229,Assumptions!$H$231,$C847),BN858))),0)</f>
        <v>0</v>
      </c>
      <c r="BP858" s="39">
        <f>+IFERROR(-ABS(IF(EDATE(_xlfn.XLOOKUP(1,$H845:$BE845,$H$4:$BE$4),12*Assumptions!$H$231+12)=BP$4,0,IF(BO845=1,PMT(Assumptions!$H$229,Assumptions!$H$231,$C847),BO858))),0)</f>
        <v>0</v>
      </c>
      <c r="BQ858" s="39">
        <f>+IFERROR(-ABS(IF(EDATE(_xlfn.XLOOKUP(1,$H845:$BE845,$H$4:$BE$4),12*Assumptions!$H$231+12)=BQ$4,0,IF(BP845=1,PMT(Assumptions!$H$229,Assumptions!$H$231,$C847),BP858))),0)</f>
        <v>0</v>
      </c>
      <c r="BR858" s="39">
        <f>+IFERROR(-ABS(IF(EDATE(_xlfn.XLOOKUP(1,$H845:$BE845,$H$4:$BE$4),12*Assumptions!$H$231+12)=BR$4,0,IF(BQ845=1,PMT(Assumptions!$H$229,Assumptions!$H$231,$C847),BQ858))),0)</f>
        <v>0</v>
      </c>
      <c r="BS858" s="39">
        <f>+IFERROR(-ABS(IF(EDATE(_xlfn.XLOOKUP(1,$H845:$BE845,$H$4:$BE$4),12*Assumptions!$H$231+12)=BS$4,0,IF(BR845=1,PMT(Assumptions!$H$229,Assumptions!$H$231,$C847),BR858))),0)</f>
        <v>0</v>
      </c>
      <c r="BT858" s="39">
        <f>+IFERROR(-ABS(IF(EDATE(_xlfn.XLOOKUP(1,$H845:$BE845,$H$4:$BE$4),12*Assumptions!$H$231+12)=BT$4,0,IF(BS845=1,PMT(Assumptions!$H$229,Assumptions!$H$231,$C847),BS858))),0)</f>
        <v>0</v>
      </c>
      <c r="BU858" s="39">
        <f>+IFERROR(-ABS(IF(EDATE(_xlfn.XLOOKUP(1,$H845:$BE845,$H$4:$BE$4),12*Assumptions!$H$231+12)=BU$4,0,IF(BT845=1,PMT(Assumptions!$H$229,Assumptions!$H$231,$C847),BT858))),0)</f>
        <v>0</v>
      </c>
      <c r="BV858" s="39">
        <f>+IFERROR(-ABS(IF(EDATE(_xlfn.XLOOKUP(1,$H845:$BE845,$H$4:$BE$4),12*Assumptions!$H$231+12)=BV$4,0,IF(BU845=1,PMT(Assumptions!$H$229,Assumptions!$H$231,$C847),BU858))),0)</f>
        <v>0</v>
      </c>
      <c r="BW858" s="39">
        <f>+IFERROR(-ABS(IF(EDATE(_xlfn.XLOOKUP(1,$H845:$BE845,$H$4:$BE$4),12*Assumptions!$H$231+12)=BW$4,0,IF(BV845=1,PMT(Assumptions!$H$229,Assumptions!$H$231,$C847),BV858))),0)</f>
        <v>0</v>
      </c>
      <c r="BX858" s="39">
        <f>+IFERROR(-ABS(IF(EDATE(_xlfn.XLOOKUP(1,$H845:$BE845,$H$4:$BE$4),12*Assumptions!$H$231+12)=BX$4,0,IF(BW845=1,PMT(Assumptions!$H$229,Assumptions!$H$231,$C847),BW858))),0)</f>
        <v>0</v>
      </c>
      <c r="BY858" s="39">
        <f>+IFERROR(-ABS(IF(EDATE(_xlfn.XLOOKUP(1,$H845:$BE845,$H$4:$BE$4),12*Assumptions!$H$231+12)=BY$4,0,IF(BX845=1,PMT(Assumptions!$H$229,Assumptions!$H$231,$C847),BX858))),0)</f>
        <v>0</v>
      </c>
    </row>
    <row r="859" spans="5:77" outlineLevel="1">
      <c r="E859" s="24" t="s">
        <v>520</v>
      </c>
      <c r="F859" s="80" t="str">
        <f>+Assumptions!$G$8</f>
        <v>USD</v>
      </c>
      <c r="G859" s="24"/>
      <c r="H859" s="39">
        <f>+IFERROR(-ABS(IF(EDATE(_xlfn.XLOOKUP(1,$H846:$BE846,$H$4:$BE$4),12*Assumptions!$H$231+12)=H$4,0,IF(G846=1,PMT(Assumptions!$H$229,Assumptions!$H$231,$C848),G859))),0)</f>
        <v>0</v>
      </c>
      <c r="I859" s="39">
        <f>+IFERROR(-ABS(IF(EDATE(_xlfn.XLOOKUP(1,$H846:$BE846,$H$4:$BE$4),12*Assumptions!$H$231+12)=I$4,0,IF(H846=1,PMT(Assumptions!$H$229,Assumptions!$H$231,$C848),H859))),0)</f>
        <v>0</v>
      </c>
      <c r="J859" s="39">
        <f>+IFERROR(-ABS(IF(EDATE(_xlfn.XLOOKUP(1,$H846:$BE846,$H$4:$BE$4),12*Assumptions!$H$231+12)=J$4,0,IF(I846=1,PMT(Assumptions!$H$229,Assumptions!$H$231,$C848),I859))),0)</f>
        <v>0</v>
      </c>
      <c r="K859" s="39">
        <f>+IFERROR(-ABS(IF(EDATE(_xlfn.XLOOKUP(1,$H846:$BE846,$H$4:$BE$4),12*Assumptions!$H$231+12)=K$4,0,IF(J846=1,PMT(Assumptions!$H$229,Assumptions!$H$231,$C848),J859))),0)</f>
        <v>0</v>
      </c>
      <c r="L859" s="39">
        <f>+IFERROR(-ABS(IF(EDATE(_xlfn.XLOOKUP(1,$H846:$BE846,$H$4:$BE$4),12*Assumptions!$H$231+12)=L$4,0,IF(K846=1,PMT(Assumptions!$H$229,Assumptions!$H$231,$C848),K859))),0)</f>
        <v>0</v>
      </c>
      <c r="M859" s="39">
        <f>+IFERROR(-ABS(IF(EDATE(_xlfn.XLOOKUP(1,$H846:$BE846,$H$4:$BE$4),12*Assumptions!$H$231+12)=M$4,0,IF(L846=1,PMT(Assumptions!$H$229,Assumptions!$H$231,$C848),L859))),0)</f>
        <v>0</v>
      </c>
      <c r="N859" s="39">
        <f>+IFERROR(-ABS(IF(EDATE(_xlfn.XLOOKUP(1,$H846:$BE846,$H$4:$BE$4),12*Assumptions!$H$231+12)=N$4,0,IF(M846=1,PMT(Assumptions!$H$229,Assumptions!$H$231,$C848),M859))),0)</f>
        <v>0</v>
      </c>
      <c r="O859" s="39">
        <f>+IFERROR(-ABS(IF(EDATE(_xlfn.XLOOKUP(1,$H846:$BE846,$H$4:$BE$4),12*Assumptions!$H$231+12)=O$4,0,IF(N846=1,PMT(Assumptions!$H$229,Assumptions!$H$231,$C848),N859))),0)</f>
        <v>0</v>
      </c>
      <c r="P859" s="39">
        <f>+IFERROR(-ABS(IF(EDATE(_xlfn.XLOOKUP(1,$H846:$BE846,$H$4:$BE$4),12*Assumptions!$H$231+12)=P$4,0,IF(O846=1,PMT(Assumptions!$H$229,Assumptions!$H$231,$C848),O859))),0)</f>
        <v>0</v>
      </c>
      <c r="Q859" s="39">
        <f>+IFERROR(-ABS(IF(EDATE(_xlfn.XLOOKUP(1,$H846:$BE846,$H$4:$BE$4),12*Assumptions!$H$231+12)=Q$4,0,IF(P846=1,PMT(Assumptions!$H$229,Assumptions!$H$231,$C848),P859))),0)</f>
        <v>0</v>
      </c>
      <c r="R859" s="39">
        <f>+IFERROR(-ABS(IF(EDATE(_xlfn.XLOOKUP(1,$H846:$BE846,$H$4:$BE$4),12*Assumptions!$H$231+12)=R$4,0,IF(Q846=1,PMT(Assumptions!$H$229,Assumptions!$H$231,$C848),Q859))),0)</f>
        <v>0</v>
      </c>
      <c r="S859" s="39">
        <f>+IFERROR(-ABS(IF(EDATE(_xlfn.XLOOKUP(1,$H846:$BE846,$H$4:$BE$4),12*Assumptions!$H$231+12)=S$4,0,IF(R846=1,PMT(Assumptions!$H$229,Assumptions!$H$231,$C848),R859))),0)</f>
        <v>0</v>
      </c>
      <c r="T859" s="39">
        <f>+IFERROR(-ABS(IF(EDATE(_xlfn.XLOOKUP(1,$H846:$BE846,$H$4:$BE$4),12*Assumptions!$H$231+12)=T$4,0,IF(S846=1,PMT(Assumptions!$H$229,Assumptions!$H$231,$C848),S859))),0)</f>
        <v>0</v>
      </c>
      <c r="U859" s="39">
        <f>+IFERROR(-ABS(IF(EDATE(_xlfn.XLOOKUP(1,$H846:$BE846,$H$4:$BE$4),12*Assumptions!$H$231+12)=U$4,0,IF(T846=1,PMT(Assumptions!$H$229,Assumptions!$H$231,$C848),T859))),0)</f>
        <v>0</v>
      </c>
      <c r="V859" s="39">
        <f>+IFERROR(-ABS(IF(EDATE(_xlfn.XLOOKUP(1,$H846:$BE846,$H$4:$BE$4),12*Assumptions!$H$231+12)=V$4,0,IF(U846=1,PMT(Assumptions!$H$229,Assumptions!$H$231,$C848),U859))),0)</f>
        <v>0</v>
      </c>
      <c r="W859" s="39">
        <f>+IFERROR(-ABS(IF(EDATE(_xlfn.XLOOKUP(1,$H846:$BE846,$H$4:$BE$4),12*Assumptions!$H$231+12)=W$4,0,IF(V846=1,PMT(Assumptions!$H$229,Assumptions!$H$231,$C848),V859))),0)</f>
        <v>0</v>
      </c>
      <c r="X859" s="39">
        <f>+IFERROR(-ABS(IF(EDATE(_xlfn.XLOOKUP(1,$H846:$BE846,$H$4:$BE$4),12*Assumptions!$H$231+12)=X$4,0,IF(W846=1,PMT(Assumptions!$H$229,Assumptions!$H$231,$C848),W859))),0)</f>
        <v>0</v>
      </c>
      <c r="Y859" s="39">
        <f>+IFERROR(-ABS(IF(EDATE(_xlfn.XLOOKUP(1,$H846:$BE846,$H$4:$BE$4),12*Assumptions!$H$231+12)=Y$4,0,IF(X846=1,PMT(Assumptions!$H$229,Assumptions!$H$231,$C848),X859))),0)</f>
        <v>0</v>
      </c>
      <c r="Z859" s="39">
        <f>+IFERROR(-ABS(IF(EDATE(_xlfn.XLOOKUP(1,$H846:$BE846,$H$4:$BE$4),12*Assumptions!$H$231+12)=Z$4,0,IF(Y846=1,PMT(Assumptions!$H$229,Assumptions!$H$231,$C848),Y859))),0)</f>
        <v>0</v>
      </c>
      <c r="AA859" s="39">
        <f>+IFERROR(-ABS(IF(EDATE(_xlfn.XLOOKUP(1,$H846:$BE846,$H$4:$BE$4),12*Assumptions!$H$231+12)=AA$4,0,IF(Z846=1,PMT(Assumptions!$H$229,Assumptions!$H$231,$C848),Z859))),0)</f>
        <v>0</v>
      </c>
      <c r="AB859" s="39">
        <f>+IFERROR(-ABS(IF(EDATE(_xlfn.XLOOKUP(1,$H846:$BE846,$H$4:$BE$4),12*Assumptions!$H$231+12)=AB$4,0,IF(AA846=1,PMT(Assumptions!$H$229,Assumptions!$H$231,$C848),AA859))),0)</f>
        <v>0</v>
      </c>
      <c r="AC859" s="39">
        <f>+IFERROR(-ABS(IF(EDATE(_xlfn.XLOOKUP(1,$H846:$BE846,$H$4:$BE$4),12*Assumptions!$H$231+12)=AC$4,0,IF(AB846=1,PMT(Assumptions!$H$229,Assumptions!$H$231,$C848),AB859))),0)</f>
        <v>0</v>
      </c>
      <c r="AD859" s="39">
        <f>+IFERROR(-ABS(IF(EDATE(_xlfn.XLOOKUP(1,$H846:$BE846,$H$4:$BE$4),12*Assumptions!$H$231+12)=AD$4,0,IF(AC846=1,PMT(Assumptions!$H$229,Assumptions!$H$231,$C848),AC859))),0)</f>
        <v>0</v>
      </c>
      <c r="AE859" s="39">
        <f>+IFERROR(-ABS(IF(EDATE(_xlfn.XLOOKUP(1,$H846:$BE846,$H$4:$BE$4),12*Assumptions!$H$231+12)=AE$4,0,IF(AD846=1,PMT(Assumptions!$H$229,Assumptions!$H$231,$C848),AD859))),0)</f>
        <v>0</v>
      </c>
      <c r="AF859" s="39">
        <f>+IFERROR(-ABS(IF(EDATE(_xlfn.XLOOKUP(1,$H846:$BE846,$H$4:$BE$4),12*Assumptions!$H$231+12)=AF$4,0,IF(AE846=1,PMT(Assumptions!$H$229,Assumptions!$H$231,$C848),AE859))),0)</f>
        <v>0</v>
      </c>
      <c r="AG859" s="39">
        <f>+IFERROR(-ABS(IF(EDATE(_xlfn.XLOOKUP(1,$H846:$BE846,$H$4:$BE$4),12*Assumptions!$H$231+12)=AG$4,0,IF(AF846=1,PMT(Assumptions!$H$229,Assumptions!$H$231,$C848),AF859))),0)</f>
        <v>0</v>
      </c>
      <c r="AH859" s="39">
        <f>+IFERROR(-ABS(IF(EDATE(_xlfn.XLOOKUP(1,$H846:$BE846,$H$4:$BE$4),12*Assumptions!$H$231+12)=AH$4,0,IF(AG846=1,PMT(Assumptions!$H$229,Assumptions!$H$231,$C848),AG859))),0)</f>
        <v>0</v>
      </c>
      <c r="AI859" s="39">
        <f>+IFERROR(-ABS(IF(EDATE(_xlfn.XLOOKUP(1,$H846:$BE846,$H$4:$BE$4),12*Assumptions!$H$231+12)=AI$4,0,IF(AH846=1,PMT(Assumptions!$H$229,Assumptions!$H$231,$C848),AH859))),0)</f>
        <v>0</v>
      </c>
      <c r="AJ859" s="39">
        <f>+IFERROR(-ABS(IF(EDATE(_xlfn.XLOOKUP(1,$H846:$BE846,$H$4:$BE$4),12*Assumptions!$H$231+12)=AJ$4,0,IF(AI846=1,PMT(Assumptions!$H$229,Assumptions!$H$231,$C848),AI859))),0)</f>
        <v>0</v>
      </c>
      <c r="AK859" s="39">
        <f>+IFERROR(-ABS(IF(EDATE(_xlfn.XLOOKUP(1,$H846:$BE846,$H$4:$BE$4),12*Assumptions!$H$231+12)=AK$4,0,IF(AJ846=1,PMT(Assumptions!$H$229,Assumptions!$H$231,$C848),AJ859))),0)</f>
        <v>0</v>
      </c>
      <c r="AL859" s="39">
        <f>+IFERROR(-ABS(IF(EDATE(_xlfn.XLOOKUP(1,$H846:$BE846,$H$4:$BE$4),12*Assumptions!$H$231+12)=AL$4,0,IF(AK846=1,PMT(Assumptions!$H$229,Assumptions!$H$231,$C848),AK859))),0)</f>
        <v>0</v>
      </c>
      <c r="AM859" s="39">
        <f>+IFERROR(-ABS(IF(EDATE(_xlfn.XLOOKUP(1,$H846:$BE846,$H$4:$BE$4),12*Assumptions!$H$231+12)=AM$4,0,IF(AL846=1,PMT(Assumptions!$H$229,Assumptions!$H$231,$C848),AL859))),0)</f>
        <v>0</v>
      </c>
      <c r="AN859" s="39">
        <f>+IFERROR(-ABS(IF(EDATE(_xlfn.XLOOKUP(1,$H846:$BE846,$H$4:$BE$4),12*Assumptions!$H$231+12)=AN$4,0,IF(AM846=1,PMT(Assumptions!$H$229,Assumptions!$H$231,$C848),AM859))),0)</f>
        <v>0</v>
      </c>
      <c r="AO859" s="39">
        <f>+IFERROR(-ABS(IF(EDATE(_xlfn.XLOOKUP(1,$H846:$BE846,$H$4:$BE$4),12*Assumptions!$H$231+12)=AO$4,0,IF(AN846=1,PMT(Assumptions!$H$229,Assumptions!$H$231,$C848),AN859))),0)</f>
        <v>0</v>
      </c>
      <c r="AP859" s="39">
        <f>+IFERROR(-ABS(IF(EDATE(_xlfn.XLOOKUP(1,$H846:$BE846,$H$4:$BE$4),12*Assumptions!$H$231+12)=AP$4,0,IF(AO846=1,PMT(Assumptions!$H$229,Assumptions!$H$231,$C848),AO859))),0)</f>
        <v>0</v>
      </c>
      <c r="AQ859" s="39">
        <f>+IFERROR(-ABS(IF(EDATE(_xlfn.XLOOKUP(1,$H846:$BE846,$H$4:$BE$4),12*Assumptions!$H$231+12)=AQ$4,0,IF(AP846=1,PMT(Assumptions!$H$229,Assumptions!$H$231,$C848),AP859))),0)</f>
        <v>0</v>
      </c>
      <c r="AR859" s="39">
        <f>+IFERROR(-ABS(IF(EDATE(_xlfn.XLOOKUP(1,$H846:$BE846,$H$4:$BE$4),12*Assumptions!$H$231+12)=AR$4,0,IF(AQ846=1,PMT(Assumptions!$H$229,Assumptions!$H$231,$C848),AQ859))),0)</f>
        <v>0</v>
      </c>
      <c r="AS859" s="39">
        <f>+IFERROR(-ABS(IF(EDATE(_xlfn.XLOOKUP(1,$H846:$BE846,$H$4:$BE$4),12*Assumptions!$H$231+12)=AS$4,0,IF(AR846=1,PMT(Assumptions!$H$229,Assumptions!$H$231,$C848),AR859))),0)</f>
        <v>0</v>
      </c>
      <c r="AT859" s="39">
        <f>+IFERROR(-ABS(IF(EDATE(_xlfn.XLOOKUP(1,$H846:$BE846,$H$4:$BE$4),12*Assumptions!$H$231+12)=AT$4,0,IF(AS846=1,PMT(Assumptions!$H$229,Assumptions!$H$231,$C848),AS859))),0)</f>
        <v>0</v>
      </c>
      <c r="AU859" s="39">
        <f>+IFERROR(-ABS(IF(EDATE(_xlfn.XLOOKUP(1,$H846:$BE846,$H$4:$BE$4),12*Assumptions!$H$231+12)=AU$4,0,IF(AT846=1,PMT(Assumptions!$H$229,Assumptions!$H$231,$C848),AT859))),0)</f>
        <v>0</v>
      </c>
      <c r="AV859" s="39">
        <f>+IFERROR(-ABS(IF(EDATE(_xlfn.XLOOKUP(1,$H846:$BE846,$H$4:$BE$4),12*Assumptions!$H$231+12)=AV$4,0,IF(AU846=1,PMT(Assumptions!$H$229,Assumptions!$H$231,$C848),AU859))),0)</f>
        <v>0</v>
      </c>
      <c r="AW859" s="39">
        <f>+IFERROR(-ABS(IF(EDATE(_xlfn.XLOOKUP(1,$H846:$BE846,$H$4:$BE$4),12*Assumptions!$H$231+12)=AW$4,0,IF(AV846=1,PMT(Assumptions!$H$229,Assumptions!$H$231,$C848),AV859))),0)</f>
        <v>0</v>
      </c>
      <c r="AX859" s="39">
        <f>+IFERROR(-ABS(IF(EDATE(_xlfn.XLOOKUP(1,$H846:$BE846,$H$4:$BE$4),12*Assumptions!$H$231+12)=AX$4,0,IF(AW846=1,PMT(Assumptions!$H$229,Assumptions!$H$231,$C848),AW859))),0)</f>
        <v>0</v>
      </c>
      <c r="AY859" s="39">
        <f>+IFERROR(-ABS(IF(EDATE(_xlfn.XLOOKUP(1,$H846:$BE846,$H$4:$BE$4),12*Assumptions!$H$231+12)=AY$4,0,IF(AX846=1,PMT(Assumptions!$H$229,Assumptions!$H$231,$C848),AX859))),0)</f>
        <v>0</v>
      </c>
      <c r="AZ859" s="39">
        <f>+IFERROR(-ABS(IF(EDATE(_xlfn.XLOOKUP(1,$H846:$BE846,$H$4:$BE$4),12*Assumptions!$H$231+12)=AZ$4,0,IF(AY846=1,PMT(Assumptions!$H$229,Assumptions!$H$231,$C848),AY859))),0)</f>
        <v>0</v>
      </c>
      <c r="BA859" s="39">
        <f>+IFERROR(-ABS(IF(EDATE(_xlfn.XLOOKUP(1,$H846:$BE846,$H$4:$BE$4),12*Assumptions!$H$231+12)=BA$4,0,IF(AZ846=1,PMT(Assumptions!$H$229,Assumptions!$H$231,$C848),AZ859))),0)</f>
        <v>0</v>
      </c>
      <c r="BB859" s="39">
        <f>+IFERROR(-ABS(IF(EDATE(_xlfn.XLOOKUP(1,$H846:$BE846,$H$4:$BE$4),12*Assumptions!$H$231+12)=BB$4,0,IF(BA846=1,PMT(Assumptions!$H$229,Assumptions!$H$231,$C848),BA859))),0)</f>
        <v>0</v>
      </c>
      <c r="BC859" s="39">
        <f>+IFERROR(-ABS(IF(EDATE(_xlfn.XLOOKUP(1,$H846:$BE846,$H$4:$BE$4),12*Assumptions!$H$231+12)=BC$4,0,IF(BB846=1,PMT(Assumptions!$H$229,Assumptions!$H$231,$C848),BB859))),0)</f>
        <v>0</v>
      </c>
      <c r="BD859" s="39">
        <f>+IFERROR(-ABS(IF(EDATE(_xlfn.XLOOKUP(1,$H846:$BE846,$H$4:$BE$4),12*Assumptions!$H$231+12)=BD$4,0,IF(BC846=1,PMT(Assumptions!$H$229,Assumptions!$H$231,$C848),BC859))),0)</f>
        <v>0</v>
      </c>
      <c r="BE859" s="39">
        <f>+IFERROR(-ABS(IF(EDATE(_xlfn.XLOOKUP(1,$H846:$BE846,$H$4:$BE$4),12*Assumptions!$H$231+12)=BE$4,0,IF(BD846=1,PMT(Assumptions!$H$229,Assumptions!$H$231,$C848),BD859))),0)</f>
        <v>0</v>
      </c>
      <c r="BF859" s="39">
        <f>+IFERROR(-ABS(IF(EDATE(_xlfn.XLOOKUP(1,$H846:$BE846,$H$4:$BE$4),12*Assumptions!$H$231+12)=BF$4,0,IF(BE846=1,PMT(Assumptions!$H$229,Assumptions!$H$231,$C848),BE859))),0)</f>
        <v>0</v>
      </c>
      <c r="BG859" s="39">
        <f>+IFERROR(-ABS(IF(EDATE(_xlfn.XLOOKUP(1,$H846:$BE846,$H$4:$BE$4),12*Assumptions!$H$231+12)=BG$4,0,IF(BF846=1,PMT(Assumptions!$H$229,Assumptions!$H$231,$C848),BF859))),0)</f>
        <v>0</v>
      </c>
      <c r="BH859" s="39">
        <f>+IFERROR(-ABS(IF(EDATE(_xlfn.XLOOKUP(1,$H846:$BE846,$H$4:$BE$4),12*Assumptions!$H$231+12)=BH$4,0,IF(BG846=1,PMT(Assumptions!$H$229,Assumptions!$H$231,$C848),BG859))),0)</f>
        <v>0</v>
      </c>
      <c r="BI859" s="39">
        <f>+IFERROR(-ABS(IF(EDATE(_xlfn.XLOOKUP(1,$H846:$BE846,$H$4:$BE$4),12*Assumptions!$H$231+12)=BI$4,0,IF(BH846=1,PMT(Assumptions!$H$229,Assumptions!$H$231,$C848),BH859))),0)</f>
        <v>0</v>
      </c>
      <c r="BJ859" s="39">
        <f>+IFERROR(-ABS(IF(EDATE(_xlfn.XLOOKUP(1,$H846:$BE846,$H$4:$BE$4),12*Assumptions!$H$231+12)=BJ$4,0,IF(BI846=1,PMT(Assumptions!$H$229,Assumptions!$H$231,$C848),BI859))),0)</f>
        <v>0</v>
      </c>
      <c r="BK859" s="39">
        <f>+IFERROR(-ABS(IF(EDATE(_xlfn.XLOOKUP(1,$H846:$BE846,$H$4:$BE$4),12*Assumptions!$H$231+12)=BK$4,0,IF(BJ846=1,PMT(Assumptions!$H$229,Assumptions!$H$231,$C848),BJ859))),0)</f>
        <v>0</v>
      </c>
      <c r="BL859" s="39">
        <f>+IFERROR(-ABS(IF(EDATE(_xlfn.XLOOKUP(1,$H846:$BE846,$H$4:$BE$4),12*Assumptions!$H$231+12)=BL$4,0,IF(BK846=1,PMT(Assumptions!$H$229,Assumptions!$H$231,$C848),BK859))),0)</f>
        <v>0</v>
      </c>
      <c r="BM859" s="39">
        <f>+IFERROR(-ABS(IF(EDATE(_xlfn.XLOOKUP(1,$H846:$BE846,$H$4:$BE$4),12*Assumptions!$H$231+12)=BM$4,0,IF(BL846=1,PMT(Assumptions!$H$229,Assumptions!$H$231,$C848),BL859))),0)</f>
        <v>0</v>
      </c>
      <c r="BN859" s="39">
        <f>+IFERROR(-ABS(IF(EDATE(_xlfn.XLOOKUP(1,$H846:$BE846,$H$4:$BE$4),12*Assumptions!$H$231+12)=BN$4,0,IF(BM846=1,PMT(Assumptions!$H$229,Assumptions!$H$231,$C848),BM859))),0)</f>
        <v>0</v>
      </c>
      <c r="BO859" s="39">
        <f>+IFERROR(-ABS(IF(EDATE(_xlfn.XLOOKUP(1,$H846:$BE846,$H$4:$BE$4),12*Assumptions!$H$231+12)=BO$4,0,IF(BN846=1,PMT(Assumptions!$H$229,Assumptions!$H$231,$C848),BN859))),0)</f>
        <v>0</v>
      </c>
      <c r="BP859" s="39">
        <f>+IFERROR(-ABS(IF(EDATE(_xlfn.XLOOKUP(1,$H846:$BE846,$H$4:$BE$4),12*Assumptions!$H$231+12)=BP$4,0,IF(BO846=1,PMT(Assumptions!$H$229,Assumptions!$H$231,$C848),BO859))),0)</f>
        <v>0</v>
      </c>
      <c r="BQ859" s="39">
        <f>+IFERROR(-ABS(IF(EDATE(_xlfn.XLOOKUP(1,$H846:$BE846,$H$4:$BE$4),12*Assumptions!$H$231+12)=BQ$4,0,IF(BP846=1,PMT(Assumptions!$H$229,Assumptions!$H$231,$C848),BP859))),0)</f>
        <v>0</v>
      </c>
      <c r="BR859" s="39">
        <f>+IFERROR(-ABS(IF(EDATE(_xlfn.XLOOKUP(1,$H846:$BE846,$H$4:$BE$4),12*Assumptions!$H$231+12)=BR$4,0,IF(BQ846=1,PMT(Assumptions!$H$229,Assumptions!$H$231,$C848),BQ859))),0)</f>
        <v>0</v>
      </c>
      <c r="BS859" s="39">
        <f>+IFERROR(-ABS(IF(EDATE(_xlfn.XLOOKUP(1,$H846:$BE846,$H$4:$BE$4),12*Assumptions!$H$231+12)=BS$4,0,IF(BR846=1,PMT(Assumptions!$H$229,Assumptions!$H$231,$C848),BR859))),0)</f>
        <v>0</v>
      </c>
      <c r="BT859" s="39">
        <f>+IFERROR(-ABS(IF(EDATE(_xlfn.XLOOKUP(1,$H846:$BE846,$H$4:$BE$4),12*Assumptions!$H$231+12)=BT$4,0,IF(BS846=1,PMT(Assumptions!$H$229,Assumptions!$H$231,$C848),BS859))),0)</f>
        <v>0</v>
      </c>
      <c r="BU859" s="39">
        <f>+IFERROR(-ABS(IF(EDATE(_xlfn.XLOOKUP(1,$H846:$BE846,$H$4:$BE$4),12*Assumptions!$H$231+12)=BU$4,0,IF(BT846=1,PMT(Assumptions!$H$229,Assumptions!$H$231,$C848),BT859))),0)</f>
        <v>0</v>
      </c>
      <c r="BV859" s="39">
        <f>+IFERROR(-ABS(IF(EDATE(_xlfn.XLOOKUP(1,$H846:$BE846,$H$4:$BE$4),12*Assumptions!$H$231+12)=BV$4,0,IF(BU846=1,PMT(Assumptions!$H$229,Assumptions!$H$231,$C848),BU859))),0)</f>
        <v>0</v>
      </c>
      <c r="BW859" s="39">
        <f>+IFERROR(-ABS(IF(EDATE(_xlfn.XLOOKUP(1,$H846:$BE846,$H$4:$BE$4),12*Assumptions!$H$231+12)=BW$4,0,IF(BV846=1,PMT(Assumptions!$H$229,Assumptions!$H$231,$C848),BV859))),0)</f>
        <v>0</v>
      </c>
      <c r="BX859" s="39">
        <f>+IFERROR(-ABS(IF(EDATE(_xlfn.XLOOKUP(1,$H846:$BE846,$H$4:$BE$4),12*Assumptions!$H$231+12)=BX$4,0,IF(BW846=1,PMT(Assumptions!$H$229,Assumptions!$H$231,$C848),BW859))),0)</f>
        <v>0</v>
      </c>
      <c r="BY859" s="39">
        <f>+IFERROR(-ABS(IF(EDATE(_xlfn.XLOOKUP(1,$H846:$BE846,$H$4:$BE$4),12*Assumptions!$H$231+12)=BY$4,0,IF(BX846=1,PMT(Assumptions!$H$229,Assumptions!$H$231,$C848),BX859))),0)</f>
        <v>0</v>
      </c>
    </row>
    <row r="860" spans="5:77" outlineLevel="1">
      <c r="E860" s="24" t="s">
        <v>521</v>
      </c>
      <c r="F860" s="80" t="str">
        <f>+Assumptions!$G$8</f>
        <v>USD</v>
      </c>
      <c r="G860" s="24"/>
      <c r="H860" s="39">
        <f>+IFERROR(-ABS(IF(EDATE(_xlfn.XLOOKUP(1,$H847:$BE847,$H$4:$BE$4),12*Assumptions!$H$231+12)=H$4,0,IF(G847=1,PMT(Assumptions!$H$229,Assumptions!$H$231,$C849),G860))),0)</f>
        <v>0</v>
      </c>
      <c r="I860" s="39">
        <f>+IFERROR(-ABS(IF(EDATE(_xlfn.XLOOKUP(1,$H847:$BE847,$H$4:$BE$4),12*Assumptions!$H$231+12)=I$4,0,IF(H847=1,PMT(Assumptions!$H$229,Assumptions!$H$231,$C849),H860))),0)</f>
        <v>0</v>
      </c>
      <c r="J860" s="39">
        <f>+IFERROR(-ABS(IF(EDATE(_xlfn.XLOOKUP(1,$H847:$BE847,$H$4:$BE$4),12*Assumptions!$H$231+12)=J$4,0,IF(I847=1,PMT(Assumptions!$H$229,Assumptions!$H$231,$C849),I860))),0)</f>
        <v>0</v>
      </c>
      <c r="K860" s="39">
        <f>+IFERROR(-ABS(IF(EDATE(_xlfn.XLOOKUP(1,$H847:$BE847,$H$4:$BE$4),12*Assumptions!$H$231+12)=K$4,0,IF(J847=1,PMT(Assumptions!$H$229,Assumptions!$H$231,$C849),J860))),0)</f>
        <v>0</v>
      </c>
      <c r="L860" s="39">
        <f>+IFERROR(-ABS(IF(EDATE(_xlfn.XLOOKUP(1,$H847:$BE847,$H$4:$BE$4),12*Assumptions!$H$231+12)=L$4,0,IF(K847=1,PMT(Assumptions!$H$229,Assumptions!$H$231,$C849),K860))),0)</f>
        <v>0</v>
      </c>
      <c r="M860" s="39">
        <f>+IFERROR(-ABS(IF(EDATE(_xlfn.XLOOKUP(1,$H847:$BE847,$H$4:$BE$4),12*Assumptions!$H$231+12)=M$4,0,IF(L847=1,PMT(Assumptions!$H$229,Assumptions!$H$231,$C849),L860))),0)</f>
        <v>0</v>
      </c>
      <c r="N860" s="39">
        <f>+IFERROR(-ABS(IF(EDATE(_xlfn.XLOOKUP(1,$H847:$BE847,$H$4:$BE$4),12*Assumptions!$H$231+12)=N$4,0,IF(M847=1,PMT(Assumptions!$H$229,Assumptions!$H$231,$C849),M860))),0)</f>
        <v>0</v>
      </c>
      <c r="O860" s="39">
        <f>+IFERROR(-ABS(IF(EDATE(_xlfn.XLOOKUP(1,$H847:$BE847,$H$4:$BE$4),12*Assumptions!$H$231+12)=O$4,0,IF(N847=1,PMT(Assumptions!$H$229,Assumptions!$H$231,$C849),N860))),0)</f>
        <v>0</v>
      </c>
      <c r="P860" s="39">
        <f>+IFERROR(-ABS(IF(EDATE(_xlfn.XLOOKUP(1,$H847:$BE847,$H$4:$BE$4),12*Assumptions!$H$231+12)=P$4,0,IF(O847=1,PMT(Assumptions!$H$229,Assumptions!$H$231,$C849),O860))),0)</f>
        <v>0</v>
      </c>
      <c r="Q860" s="39">
        <f>+IFERROR(-ABS(IF(EDATE(_xlfn.XLOOKUP(1,$H847:$BE847,$H$4:$BE$4),12*Assumptions!$H$231+12)=Q$4,0,IF(P847=1,PMT(Assumptions!$H$229,Assumptions!$H$231,$C849),P860))),0)</f>
        <v>0</v>
      </c>
      <c r="R860" s="39">
        <f>+IFERROR(-ABS(IF(EDATE(_xlfn.XLOOKUP(1,$H847:$BE847,$H$4:$BE$4),12*Assumptions!$H$231+12)=R$4,0,IF(Q847=1,PMT(Assumptions!$H$229,Assumptions!$H$231,$C849),Q860))),0)</f>
        <v>0</v>
      </c>
      <c r="S860" s="39">
        <f>+IFERROR(-ABS(IF(EDATE(_xlfn.XLOOKUP(1,$H847:$BE847,$H$4:$BE$4),12*Assumptions!$H$231+12)=S$4,0,IF(R847=1,PMT(Assumptions!$H$229,Assumptions!$H$231,$C849),R860))),0)</f>
        <v>0</v>
      </c>
      <c r="T860" s="39">
        <f>+IFERROR(-ABS(IF(EDATE(_xlfn.XLOOKUP(1,$H847:$BE847,$H$4:$BE$4),12*Assumptions!$H$231+12)=T$4,0,IF(S847=1,PMT(Assumptions!$H$229,Assumptions!$H$231,$C849),S860))),0)</f>
        <v>0</v>
      </c>
      <c r="U860" s="39">
        <f>+IFERROR(-ABS(IF(EDATE(_xlfn.XLOOKUP(1,$H847:$BE847,$H$4:$BE$4),12*Assumptions!$H$231+12)=U$4,0,IF(T847=1,PMT(Assumptions!$H$229,Assumptions!$H$231,$C849),T860))),0)</f>
        <v>0</v>
      </c>
      <c r="V860" s="39">
        <f>+IFERROR(-ABS(IF(EDATE(_xlfn.XLOOKUP(1,$H847:$BE847,$H$4:$BE$4),12*Assumptions!$H$231+12)=V$4,0,IF(U847=1,PMT(Assumptions!$H$229,Assumptions!$H$231,$C849),U860))),0)</f>
        <v>0</v>
      </c>
      <c r="W860" s="39">
        <f>+IFERROR(-ABS(IF(EDATE(_xlfn.XLOOKUP(1,$H847:$BE847,$H$4:$BE$4),12*Assumptions!$H$231+12)=W$4,0,IF(V847=1,PMT(Assumptions!$H$229,Assumptions!$H$231,$C849),V860))),0)</f>
        <v>0</v>
      </c>
      <c r="X860" s="39">
        <f>+IFERROR(-ABS(IF(EDATE(_xlfn.XLOOKUP(1,$H847:$BE847,$H$4:$BE$4),12*Assumptions!$H$231+12)=X$4,0,IF(W847=1,PMT(Assumptions!$H$229,Assumptions!$H$231,$C849),W860))),0)</f>
        <v>0</v>
      </c>
      <c r="Y860" s="39">
        <f>+IFERROR(-ABS(IF(EDATE(_xlfn.XLOOKUP(1,$H847:$BE847,$H$4:$BE$4),12*Assumptions!$H$231+12)=Y$4,0,IF(X847=1,PMT(Assumptions!$H$229,Assumptions!$H$231,$C849),X860))),0)</f>
        <v>0</v>
      </c>
      <c r="Z860" s="39">
        <f>+IFERROR(-ABS(IF(EDATE(_xlfn.XLOOKUP(1,$H847:$BE847,$H$4:$BE$4),12*Assumptions!$H$231+12)=Z$4,0,IF(Y847=1,PMT(Assumptions!$H$229,Assumptions!$H$231,$C849),Y860))),0)</f>
        <v>0</v>
      </c>
      <c r="AA860" s="39">
        <f>+IFERROR(-ABS(IF(EDATE(_xlfn.XLOOKUP(1,$H847:$BE847,$H$4:$BE$4),12*Assumptions!$H$231+12)=AA$4,0,IF(Z847=1,PMT(Assumptions!$H$229,Assumptions!$H$231,$C849),Z860))),0)</f>
        <v>0</v>
      </c>
      <c r="AB860" s="39">
        <f>+IFERROR(-ABS(IF(EDATE(_xlfn.XLOOKUP(1,$H847:$BE847,$H$4:$BE$4),12*Assumptions!$H$231+12)=AB$4,0,IF(AA847=1,PMT(Assumptions!$H$229,Assumptions!$H$231,$C849),AA860))),0)</f>
        <v>0</v>
      </c>
      <c r="AC860" s="39">
        <f>+IFERROR(-ABS(IF(EDATE(_xlfn.XLOOKUP(1,$H847:$BE847,$H$4:$BE$4),12*Assumptions!$H$231+12)=AC$4,0,IF(AB847=1,PMT(Assumptions!$H$229,Assumptions!$H$231,$C849),AB860))),0)</f>
        <v>0</v>
      </c>
      <c r="AD860" s="39">
        <f>+IFERROR(-ABS(IF(EDATE(_xlfn.XLOOKUP(1,$H847:$BE847,$H$4:$BE$4),12*Assumptions!$H$231+12)=AD$4,0,IF(AC847=1,PMT(Assumptions!$H$229,Assumptions!$H$231,$C849),AC860))),0)</f>
        <v>0</v>
      </c>
      <c r="AE860" s="39">
        <f>+IFERROR(-ABS(IF(EDATE(_xlfn.XLOOKUP(1,$H847:$BE847,$H$4:$BE$4),12*Assumptions!$H$231+12)=AE$4,0,IF(AD847=1,PMT(Assumptions!$H$229,Assumptions!$H$231,$C849),AD860))),0)</f>
        <v>0</v>
      </c>
      <c r="AF860" s="39">
        <f>+IFERROR(-ABS(IF(EDATE(_xlfn.XLOOKUP(1,$H847:$BE847,$H$4:$BE$4),12*Assumptions!$H$231+12)=AF$4,0,IF(AE847=1,PMT(Assumptions!$H$229,Assumptions!$H$231,$C849),AE860))),0)</f>
        <v>0</v>
      </c>
      <c r="AG860" s="39">
        <f>+IFERROR(-ABS(IF(EDATE(_xlfn.XLOOKUP(1,$H847:$BE847,$H$4:$BE$4),12*Assumptions!$H$231+12)=AG$4,0,IF(AF847=1,PMT(Assumptions!$H$229,Assumptions!$H$231,$C849),AF860))),0)</f>
        <v>0</v>
      </c>
      <c r="AH860" s="39">
        <f>+IFERROR(-ABS(IF(EDATE(_xlfn.XLOOKUP(1,$H847:$BE847,$H$4:$BE$4),12*Assumptions!$H$231+12)=AH$4,0,IF(AG847=1,PMT(Assumptions!$H$229,Assumptions!$H$231,$C849),AG860))),0)</f>
        <v>0</v>
      </c>
      <c r="AI860" s="39">
        <f>+IFERROR(-ABS(IF(EDATE(_xlfn.XLOOKUP(1,$H847:$BE847,$H$4:$BE$4),12*Assumptions!$H$231+12)=AI$4,0,IF(AH847=1,PMT(Assumptions!$H$229,Assumptions!$H$231,$C849),AH860))),0)</f>
        <v>0</v>
      </c>
      <c r="AJ860" s="39">
        <f>+IFERROR(-ABS(IF(EDATE(_xlfn.XLOOKUP(1,$H847:$BE847,$H$4:$BE$4),12*Assumptions!$H$231+12)=AJ$4,0,IF(AI847=1,PMT(Assumptions!$H$229,Assumptions!$H$231,$C849),AI860))),0)</f>
        <v>0</v>
      </c>
      <c r="AK860" s="39">
        <f>+IFERROR(-ABS(IF(EDATE(_xlfn.XLOOKUP(1,$H847:$BE847,$H$4:$BE$4),12*Assumptions!$H$231+12)=AK$4,0,IF(AJ847=1,PMT(Assumptions!$H$229,Assumptions!$H$231,$C849),AJ860))),0)</f>
        <v>0</v>
      </c>
      <c r="AL860" s="39">
        <f>+IFERROR(-ABS(IF(EDATE(_xlfn.XLOOKUP(1,$H847:$BE847,$H$4:$BE$4),12*Assumptions!$H$231+12)=AL$4,0,IF(AK847=1,PMT(Assumptions!$H$229,Assumptions!$H$231,$C849),AK860))),0)</f>
        <v>0</v>
      </c>
      <c r="AM860" s="39">
        <f>+IFERROR(-ABS(IF(EDATE(_xlfn.XLOOKUP(1,$H847:$BE847,$H$4:$BE$4),12*Assumptions!$H$231+12)=AM$4,0,IF(AL847=1,PMT(Assumptions!$H$229,Assumptions!$H$231,$C849),AL860))),0)</f>
        <v>0</v>
      </c>
      <c r="AN860" s="39">
        <f>+IFERROR(-ABS(IF(EDATE(_xlfn.XLOOKUP(1,$H847:$BE847,$H$4:$BE$4),12*Assumptions!$H$231+12)=AN$4,0,IF(AM847=1,PMT(Assumptions!$H$229,Assumptions!$H$231,$C849),AM860))),0)</f>
        <v>0</v>
      </c>
      <c r="AO860" s="39">
        <f>+IFERROR(-ABS(IF(EDATE(_xlfn.XLOOKUP(1,$H847:$BE847,$H$4:$BE$4),12*Assumptions!$H$231+12)=AO$4,0,IF(AN847=1,PMT(Assumptions!$H$229,Assumptions!$H$231,$C849),AN860))),0)</f>
        <v>0</v>
      </c>
      <c r="AP860" s="39">
        <f>+IFERROR(-ABS(IF(EDATE(_xlfn.XLOOKUP(1,$H847:$BE847,$H$4:$BE$4),12*Assumptions!$H$231+12)=AP$4,0,IF(AO847=1,PMT(Assumptions!$H$229,Assumptions!$H$231,$C849),AO860))),0)</f>
        <v>0</v>
      </c>
      <c r="AQ860" s="39">
        <f>+IFERROR(-ABS(IF(EDATE(_xlfn.XLOOKUP(1,$H847:$BE847,$H$4:$BE$4),12*Assumptions!$H$231+12)=AQ$4,0,IF(AP847=1,PMT(Assumptions!$H$229,Assumptions!$H$231,$C849),AP860))),0)</f>
        <v>0</v>
      </c>
      <c r="AR860" s="39">
        <f>+IFERROR(-ABS(IF(EDATE(_xlfn.XLOOKUP(1,$H847:$BE847,$H$4:$BE$4),12*Assumptions!$H$231+12)=AR$4,0,IF(AQ847=1,PMT(Assumptions!$H$229,Assumptions!$H$231,$C849),AQ860))),0)</f>
        <v>0</v>
      </c>
      <c r="AS860" s="39">
        <f>+IFERROR(-ABS(IF(EDATE(_xlfn.XLOOKUP(1,$H847:$BE847,$H$4:$BE$4),12*Assumptions!$H$231+12)=AS$4,0,IF(AR847=1,PMT(Assumptions!$H$229,Assumptions!$H$231,$C849),AR860))),0)</f>
        <v>0</v>
      </c>
      <c r="AT860" s="39">
        <f>+IFERROR(-ABS(IF(EDATE(_xlfn.XLOOKUP(1,$H847:$BE847,$H$4:$BE$4),12*Assumptions!$H$231+12)=AT$4,0,IF(AS847=1,PMT(Assumptions!$H$229,Assumptions!$H$231,$C849),AS860))),0)</f>
        <v>0</v>
      </c>
      <c r="AU860" s="39">
        <f>+IFERROR(-ABS(IF(EDATE(_xlfn.XLOOKUP(1,$H847:$BE847,$H$4:$BE$4),12*Assumptions!$H$231+12)=AU$4,0,IF(AT847=1,PMT(Assumptions!$H$229,Assumptions!$H$231,$C849),AT860))),0)</f>
        <v>0</v>
      </c>
      <c r="AV860" s="39">
        <f>+IFERROR(-ABS(IF(EDATE(_xlfn.XLOOKUP(1,$H847:$BE847,$H$4:$BE$4),12*Assumptions!$H$231+12)=AV$4,0,IF(AU847=1,PMT(Assumptions!$H$229,Assumptions!$H$231,$C849),AU860))),0)</f>
        <v>0</v>
      </c>
      <c r="AW860" s="39">
        <f>+IFERROR(-ABS(IF(EDATE(_xlfn.XLOOKUP(1,$H847:$BE847,$H$4:$BE$4),12*Assumptions!$H$231+12)=AW$4,0,IF(AV847=1,PMT(Assumptions!$H$229,Assumptions!$H$231,$C849),AV860))),0)</f>
        <v>0</v>
      </c>
      <c r="AX860" s="39">
        <f>+IFERROR(-ABS(IF(EDATE(_xlfn.XLOOKUP(1,$H847:$BE847,$H$4:$BE$4),12*Assumptions!$H$231+12)=AX$4,0,IF(AW847=1,PMT(Assumptions!$H$229,Assumptions!$H$231,$C849),AW860))),0)</f>
        <v>0</v>
      </c>
      <c r="AY860" s="39">
        <f>+IFERROR(-ABS(IF(EDATE(_xlfn.XLOOKUP(1,$H847:$BE847,$H$4:$BE$4),12*Assumptions!$H$231+12)=AY$4,0,IF(AX847=1,PMT(Assumptions!$H$229,Assumptions!$H$231,$C849),AX860))),0)</f>
        <v>0</v>
      </c>
      <c r="AZ860" s="39">
        <f>+IFERROR(-ABS(IF(EDATE(_xlfn.XLOOKUP(1,$H847:$BE847,$H$4:$BE$4),12*Assumptions!$H$231+12)=AZ$4,0,IF(AY847=1,PMT(Assumptions!$H$229,Assumptions!$H$231,$C849),AY860))),0)</f>
        <v>0</v>
      </c>
      <c r="BA860" s="39">
        <f>+IFERROR(-ABS(IF(EDATE(_xlfn.XLOOKUP(1,$H847:$BE847,$H$4:$BE$4),12*Assumptions!$H$231+12)=BA$4,0,IF(AZ847=1,PMT(Assumptions!$H$229,Assumptions!$H$231,$C849),AZ860))),0)</f>
        <v>0</v>
      </c>
      <c r="BB860" s="39">
        <f>+IFERROR(-ABS(IF(EDATE(_xlfn.XLOOKUP(1,$H847:$BE847,$H$4:$BE$4),12*Assumptions!$H$231+12)=BB$4,0,IF(BA847=1,PMT(Assumptions!$H$229,Assumptions!$H$231,$C849),BA860))),0)</f>
        <v>0</v>
      </c>
      <c r="BC860" s="39">
        <f>+IFERROR(-ABS(IF(EDATE(_xlfn.XLOOKUP(1,$H847:$BE847,$H$4:$BE$4),12*Assumptions!$H$231+12)=BC$4,0,IF(BB847=1,PMT(Assumptions!$H$229,Assumptions!$H$231,$C849),BB860))),0)</f>
        <v>0</v>
      </c>
      <c r="BD860" s="39">
        <f>+IFERROR(-ABS(IF(EDATE(_xlfn.XLOOKUP(1,$H847:$BE847,$H$4:$BE$4),12*Assumptions!$H$231+12)=BD$4,0,IF(BC847=1,PMT(Assumptions!$H$229,Assumptions!$H$231,$C849),BC860))),0)</f>
        <v>0</v>
      </c>
      <c r="BE860" s="39">
        <f>+IFERROR(-ABS(IF(EDATE(_xlfn.XLOOKUP(1,$H847:$BE847,$H$4:$BE$4),12*Assumptions!$H$231+12)=BE$4,0,IF(BD847=1,PMT(Assumptions!$H$229,Assumptions!$H$231,$C849),BD860))),0)</f>
        <v>0</v>
      </c>
      <c r="BF860" s="39">
        <f>+IFERROR(-ABS(IF(EDATE(_xlfn.XLOOKUP(1,$H847:$BE847,$H$4:$BE$4),12*Assumptions!$H$231+12)=BF$4,0,IF(BE847=1,PMT(Assumptions!$H$229,Assumptions!$H$231,$C849),BE860))),0)</f>
        <v>0</v>
      </c>
      <c r="BG860" s="39">
        <f>+IFERROR(-ABS(IF(EDATE(_xlfn.XLOOKUP(1,$H847:$BE847,$H$4:$BE$4),12*Assumptions!$H$231+12)=BG$4,0,IF(BF847=1,PMT(Assumptions!$H$229,Assumptions!$H$231,$C849),BF860))),0)</f>
        <v>0</v>
      </c>
      <c r="BH860" s="39">
        <f>+IFERROR(-ABS(IF(EDATE(_xlfn.XLOOKUP(1,$H847:$BE847,$H$4:$BE$4),12*Assumptions!$H$231+12)=BH$4,0,IF(BG847=1,PMT(Assumptions!$H$229,Assumptions!$H$231,$C849),BG860))),0)</f>
        <v>0</v>
      </c>
      <c r="BI860" s="39">
        <f>+IFERROR(-ABS(IF(EDATE(_xlfn.XLOOKUP(1,$H847:$BE847,$H$4:$BE$4),12*Assumptions!$H$231+12)=BI$4,0,IF(BH847=1,PMT(Assumptions!$H$229,Assumptions!$H$231,$C849),BH860))),0)</f>
        <v>0</v>
      </c>
      <c r="BJ860" s="39">
        <f>+IFERROR(-ABS(IF(EDATE(_xlfn.XLOOKUP(1,$H847:$BE847,$H$4:$BE$4),12*Assumptions!$H$231+12)=BJ$4,0,IF(BI847=1,PMT(Assumptions!$H$229,Assumptions!$H$231,$C849),BI860))),0)</f>
        <v>0</v>
      </c>
      <c r="BK860" s="39">
        <f>+IFERROR(-ABS(IF(EDATE(_xlfn.XLOOKUP(1,$H847:$BE847,$H$4:$BE$4),12*Assumptions!$H$231+12)=BK$4,0,IF(BJ847=1,PMT(Assumptions!$H$229,Assumptions!$H$231,$C849),BJ860))),0)</f>
        <v>0</v>
      </c>
      <c r="BL860" s="39">
        <f>+IFERROR(-ABS(IF(EDATE(_xlfn.XLOOKUP(1,$H847:$BE847,$H$4:$BE$4),12*Assumptions!$H$231+12)=BL$4,0,IF(BK847=1,PMT(Assumptions!$H$229,Assumptions!$H$231,$C849),BK860))),0)</f>
        <v>0</v>
      </c>
      <c r="BM860" s="39">
        <f>+IFERROR(-ABS(IF(EDATE(_xlfn.XLOOKUP(1,$H847:$BE847,$H$4:$BE$4),12*Assumptions!$H$231+12)=BM$4,0,IF(BL847=1,PMT(Assumptions!$H$229,Assumptions!$H$231,$C849),BL860))),0)</f>
        <v>0</v>
      </c>
      <c r="BN860" s="39">
        <f>+IFERROR(-ABS(IF(EDATE(_xlfn.XLOOKUP(1,$H847:$BE847,$H$4:$BE$4),12*Assumptions!$H$231+12)=BN$4,0,IF(BM847=1,PMT(Assumptions!$H$229,Assumptions!$H$231,$C849),BM860))),0)</f>
        <v>0</v>
      </c>
      <c r="BO860" s="39">
        <f>+IFERROR(-ABS(IF(EDATE(_xlfn.XLOOKUP(1,$H847:$BE847,$H$4:$BE$4),12*Assumptions!$H$231+12)=BO$4,0,IF(BN847=1,PMT(Assumptions!$H$229,Assumptions!$H$231,$C849),BN860))),0)</f>
        <v>0</v>
      </c>
      <c r="BP860" s="39">
        <f>+IFERROR(-ABS(IF(EDATE(_xlfn.XLOOKUP(1,$H847:$BE847,$H$4:$BE$4),12*Assumptions!$H$231+12)=BP$4,0,IF(BO847=1,PMT(Assumptions!$H$229,Assumptions!$H$231,$C849),BO860))),0)</f>
        <v>0</v>
      </c>
      <c r="BQ860" s="39">
        <f>+IFERROR(-ABS(IF(EDATE(_xlfn.XLOOKUP(1,$H847:$BE847,$H$4:$BE$4),12*Assumptions!$H$231+12)=BQ$4,0,IF(BP847=1,PMT(Assumptions!$H$229,Assumptions!$H$231,$C849),BP860))),0)</f>
        <v>0</v>
      </c>
      <c r="BR860" s="39">
        <f>+IFERROR(-ABS(IF(EDATE(_xlfn.XLOOKUP(1,$H847:$BE847,$H$4:$BE$4),12*Assumptions!$H$231+12)=BR$4,0,IF(BQ847=1,PMT(Assumptions!$H$229,Assumptions!$H$231,$C849),BQ860))),0)</f>
        <v>0</v>
      </c>
      <c r="BS860" s="39">
        <f>+IFERROR(-ABS(IF(EDATE(_xlfn.XLOOKUP(1,$H847:$BE847,$H$4:$BE$4),12*Assumptions!$H$231+12)=BS$4,0,IF(BR847=1,PMT(Assumptions!$H$229,Assumptions!$H$231,$C849),BR860))),0)</f>
        <v>0</v>
      </c>
      <c r="BT860" s="39">
        <f>+IFERROR(-ABS(IF(EDATE(_xlfn.XLOOKUP(1,$H847:$BE847,$H$4:$BE$4),12*Assumptions!$H$231+12)=BT$4,0,IF(BS847=1,PMT(Assumptions!$H$229,Assumptions!$H$231,$C849),BS860))),0)</f>
        <v>0</v>
      </c>
      <c r="BU860" s="39">
        <f>+IFERROR(-ABS(IF(EDATE(_xlfn.XLOOKUP(1,$H847:$BE847,$H$4:$BE$4),12*Assumptions!$H$231+12)=BU$4,0,IF(BT847=1,PMT(Assumptions!$H$229,Assumptions!$H$231,$C849),BT860))),0)</f>
        <v>0</v>
      </c>
      <c r="BV860" s="39">
        <f>+IFERROR(-ABS(IF(EDATE(_xlfn.XLOOKUP(1,$H847:$BE847,$H$4:$BE$4),12*Assumptions!$H$231+12)=BV$4,0,IF(BU847=1,PMT(Assumptions!$H$229,Assumptions!$H$231,$C849),BU860))),0)</f>
        <v>0</v>
      </c>
      <c r="BW860" s="39">
        <f>+IFERROR(-ABS(IF(EDATE(_xlfn.XLOOKUP(1,$H847:$BE847,$H$4:$BE$4),12*Assumptions!$H$231+12)=BW$4,0,IF(BV847=1,PMT(Assumptions!$H$229,Assumptions!$H$231,$C849),BV860))),0)</f>
        <v>0</v>
      </c>
      <c r="BX860" s="39">
        <f>+IFERROR(-ABS(IF(EDATE(_xlfn.XLOOKUP(1,$H847:$BE847,$H$4:$BE$4),12*Assumptions!$H$231+12)=BX$4,0,IF(BW847=1,PMT(Assumptions!$H$229,Assumptions!$H$231,$C849),BW860))),0)</f>
        <v>0</v>
      </c>
      <c r="BY860" s="39">
        <f>+IFERROR(-ABS(IF(EDATE(_xlfn.XLOOKUP(1,$H847:$BE847,$H$4:$BE$4),12*Assumptions!$H$231+12)=BY$4,0,IF(BX847=1,PMT(Assumptions!$H$229,Assumptions!$H$231,$C849),BX860))),0)</f>
        <v>0</v>
      </c>
    </row>
    <row r="861" spans="5:77" outlineLevel="1">
      <c r="E861" s="24" t="s">
        <v>522</v>
      </c>
      <c r="F861" s="80" t="str">
        <f>+Assumptions!$G$8</f>
        <v>USD</v>
      </c>
      <c r="G861" s="24"/>
      <c r="H861" s="39">
        <f>+IFERROR(-ABS(IF(EDATE(_xlfn.XLOOKUP(1,$H848:$BE848,$H$4:$BE$4),12*Assumptions!$H$231+12)=H$4,0,IF(G848=1,PMT(Assumptions!$H$229,Assumptions!$H$231,$C850),G861))),0)</f>
        <v>0</v>
      </c>
      <c r="I861" s="39">
        <f>+IFERROR(-ABS(IF(EDATE(_xlfn.XLOOKUP(1,$H848:$BE848,$H$4:$BE$4),12*Assumptions!$H$231+12)=I$4,0,IF(H848=1,PMT(Assumptions!$H$229,Assumptions!$H$231,$C850),H861))),0)</f>
        <v>0</v>
      </c>
      <c r="J861" s="39">
        <f>+IFERROR(-ABS(IF(EDATE(_xlfn.XLOOKUP(1,$H848:$BE848,$H$4:$BE$4),12*Assumptions!$H$231+12)=J$4,0,IF(I848=1,PMT(Assumptions!$H$229,Assumptions!$H$231,$C850),I861))),0)</f>
        <v>0</v>
      </c>
      <c r="K861" s="39">
        <f>+IFERROR(-ABS(IF(EDATE(_xlfn.XLOOKUP(1,$H848:$BE848,$H$4:$BE$4),12*Assumptions!$H$231+12)=K$4,0,IF(J848=1,PMT(Assumptions!$H$229,Assumptions!$H$231,$C850),J861))),0)</f>
        <v>0</v>
      </c>
      <c r="L861" s="39">
        <f>+IFERROR(-ABS(IF(EDATE(_xlfn.XLOOKUP(1,$H848:$BE848,$H$4:$BE$4),12*Assumptions!$H$231+12)=L$4,0,IF(K848=1,PMT(Assumptions!$H$229,Assumptions!$H$231,$C850),K861))),0)</f>
        <v>0</v>
      </c>
      <c r="M861" s="39">
        <f>+IFERROR(-ABS(IF(EDATE(_xlfn.XLOOKUP(1,$H848:$BE848,$H$4:$BE$4),12*Assumptions!$H$231+12)=M$4,0,IF(L848=1,PMT(Assumptions!$H$229,Assumptions!$H$231,$C850),L861))),0)</f>
        <v>0</v>
      </c>
      <c r="N861" s="39">
        <f>+IFERROR(-ABS(IF(EDATE(_xlfn.XLOOKUP(1,$H848:$BE848,$H$4:$BE$4),12*Assumptions!$H$231+12)=N$4,0,IF(M848=1,PMT(Assumptions!$H$229,Assumptions!$H$231,$C850),M861))),0)</f>
        <v>0</v>
      </c>
      <c r="O861" s="39">
        <f>+IFERROR(-ABS(IF(EDATE(_xlfn.XLOOKUP(1,$H848:$BE848,$H$4:$BE$4),12*Assumptions!$H$231+12)=O$4,0,IF(N848=1,PMT(Assumptions!$H$229,Assumptions!$H$231,$C850),N861))),0)</f>
        <v>0</v>
      </c>
      <c r="P861" s="39">
        <f>+IFERROR(-ABS(IF(EDATE(_xlfn.XLOOKUP(1,$H848:$BE848,$H$4:$BE$4),12*Assumptions!$H$231+12)=P$4,0,IF(O848=1,PMT(Assumptions!$H$229,Assumptions!$H$231,$C850),O861))),0)</f>
        <v>0</v>
      </c>
      <c r="Q861" s="39">
        <f>+IFERROR(-ABS(IF(EDATE(_xlfn.XLOOKUP(1,$H848:$BE848,$H$4:$BE$4),12*Assumptions!$H$231+12)=Q$4,0,IF(P848=1,PMT(Assumptions!$H$229,Assumptions!$H$231,$C850),P861))),0)</f>
        <v>0</v>
      </c>
      <c r="R861" s="39">
        <f>+IFERROR(-ABS(IF(EDATE(_xlfn.XLOOKUP(1,$H848:$BE848,$H$4:$BE$4),12*Assumptions!$H$231+12)=R$4,0,IF(Q848=1,PMT(Assumptions!$H$229,Assumptions!$H$231,$C850),Q861))),0)</f>
        <v>0</v>
      </c>
      <c r="S861" s="39">
        <f>+IFERROR(-ABS(IF(EDATE(_xlfn.XLOOKUP(1,$H848:$BE848,$H$4:$BE$4),12*Assumptions!$H$231+12)=S$4,0,IF(R848=1,PMT(Assumptions!$H$229,Assumptions!$H$231,$C850),R861))),0)</f>
        <v>0</v>
      </c>
      <c r="T861" s="39">
        <f>+IFERROR(-ABS(IF(EDATE(_xlfn.XLOOKUP(1,$H848:$BE848,$H$4:$BE$4),12*Assumptions!$H$231+12)=T$4,0,IF(S848=1,PMT(Assumptions!$H$229,Assumptions!$H$231,$C850),S861))),0)</f>
        <v>0</v>
      </c>
      <c r="U861" s="39">
        <f>+IFERROR(-ABS(IF(EDATE(_xlfn.XLOOKUP(1,$H848:$BE848,$H$4:$BE$4),12*Assumptions!$H$231+12)=U$4,0,IF(T848=1,PMT(Assumptions!$H$229,Assumptions!$H$231,$C850),T861))),0)</f>
        <v>0</v>
      </c>
      <c r="V861" s="39">
        <f>+IFERROR(-ABS(IF(EDATE(_xlfn.XLOOKUP(1,$H848:$BE848,$H$4:$BE$4),12*Assumptions!$H$231+12)=V$4,0,IF(U848=1,PMT(Assumptions!$H$229,Assumptions!$H$231,$C850),U861))),0)</f>
        <v>0</v>
      </c>
      <c r="W861" s="39">
        <f>+IFERROR(-ABS(IF(EDATE(_xlfn.XLOOKUP(1,$H848:$BE848,$H$4:$BE$4),12*Assumptions!$H$231+12)=W$4,0,IF(V848=1,PMT(Assumptions!$H$229,Assumptions!$H$231,$C850),V861))),0)</f>
        <v>0</v>
      </c>
      <c r="X861" s="39">
        <f>+IFERROR(-ABS(IF(EDATE(_xlfn.XLOOKUP(1,$H848:$BE848,$H$4:$BE$4),12*Assumptions!$H$231+12)=X$4,0,IF(W848=1,PMT(Assumptions!$H$229,Assumptions!$H$231,$C850),W861))),0)</f>
        <v>0</v>
      </c>
      <c r="Y861" s="39">
        <f>+IFERROR(-ABS(IF(EDATE(_xlfn.XLOOKUP(1,$H848:$BE848,$H$4:$BE$4),12*Assumptions!$H$231+12)=Y$4,0,IF(X848=1,PMT(Assumptions!$H$229,Assumptions!$H$231,$C850),X861))),0)</f>
        <v>0</v>
      </c>
      <c r="Z861" s="39">
        <f>+IFERROR(-ABS(IF(EDATE(_xlfn.XLOOKUP(1,$H848:$BE848,$H$4:$BE$4),12*Assumptions!$H$231+12)=Z$4,0,IF(Y848=1,PMT(Assumptions!$H$229,Assumptions!$H$231,$C850),Y861))),0)</f>
        <v>0</v>
      </c>
      <c r="AA861" s="39">
        <f>+IFERROR(-ABS(IF(EDATE(_xlfn.XLOOKUP(1,$H848:$BE848,$H$4:$BE$4),12*Assumptions!$H$231+12)=AA$4,0,IF(Z848=1,PMT(Assumptions!$H$229,Assumptions!$H$231,$C850),Z861))),0)</f>
        <v>0</v>
      </c>
      <c r="AB861" s="39">
        <f>+IFERROR(-ABS(IF(EDATE(_xlfn.XLOOKUP(1,$H848:$BE848,$H$4:$BE$4),12*Assumptions!$H$231+12)=AB$4,0,IF(AA848=1,PMT(Assumptions!$H$229,Assumptions!$H$231,$C850),AA861))),0)</f>
        <v>0</v>
      </c>
      <c r="AC861" s="39">
        <f>+IFERROR(-ABS(IF(EDATE(_xlfn.XLOOKUP(1,$H848:$BE848,$H$4:$BE$4),12*Assumptions!$H$231+12)=AC$4,0,IF(AB848=1,PMT(Assumptions!$H$229,Assumptions!$H$231,$C850),AB861))),0)</f>
        <v>0</v>
      </c>
      <c r="AD861" s="39">
        <f>+IFERROR(-ABS(IF(EDATE(_xlfn.XLOOKUP(1,$H848:$BE848,$H$4:$BE$4),12*Assumptions!$H$231+12)=AD$4,0,IF(AC848=1,PMT(Assumptions!$H$229,Assumptions!$H$231,$C850),AC861))),0)</f>
        <v>0</v>
      </c>
      <c r="AE861" s="39">
        <f>+IFERROR(-ABS(IF(EDATE(_xlfn.XLOOKUP(1,$H848:$BE848,$H$4:$BE$4),12*Assumptions!$H$231+12)=AE$4,0,IF(AD848=1,PMT(Assumptions!$H$229,Assumptions!$H$231,$C850),AD861))),0)</f>
        <v>0</v>
      </c>
      <c r="AF861" s="39">
        <f>+IFERROR(-ABS(IF(EDATE(_xlfn.XLOOKUP(1,$H848:$BE848,$H$4:$BE$4),12*Assumptions!$H$231+12)=AF$4,0,IF(AE848=1,PMT(Assumptions!$H$229,Assumptions!$H$231,$C850),AE861))),0)</f>
        <v>0</v>
      </c>
      <c r="AG861" s="39">
        <f>+IFERROR(-ABS(IF(EDATE(_xlfn.XLOOKUP(1,$H848:$BE848,$H$4:$BE$4),12*Assumptions!$H$231+12)=AG$4,0,IF(AF848=1,PMT(Assumptions!$H$229,Assumptions!$H$231,$C850),AF861))),0)</f>
        <v>0</v>
      </c>
      <c r="AH861" s="39">
        <f>+IFERROR(-ABS(IF(EDATE(_xlfn.XLOOKUP(1,$H848:$BE848,$H$4:$BE$4),12*Assumptions!$H$231+12)=AH$4,0,IF(AG848=1,PMT(Assumptions!$H$229,Assumptions!$H$231,$C850),AG861))),0)</f>
        <v>0</v>
      </c>
      <c r="AI861" s="39">
        <f>+IFERROR(-ABS(IF(EDATE(_xlfn.XLOOKUP(1,$H848:$BE848,$H$4:$BE$4),12*Assumptions!$H$231+12)=AI$4,0,IF(AH848=1,PMT(Assumptions!$H$229,Assumptions!$H$231,$C850),AH861))),0)</f>
        <v>0</v>
      </c>
      <c r="AJ861" s="39">
        <f>+IFERROR(-ABS(IF(EDATE(_xlfn.XLOOKUP(1,$H848:$BE848,$H$4:$BE$4),12*Assumptions!$H$231+12)=AJ$4,0,IF(AI848=1,PMT(Assumptions!$H$229,Assumptions!$H$231,$C850),AI861))),0)</f>
        <v>0</v>
      </c>
      <c r="AK861" s="39">
        <f>+IFERROR(-ABS(IF(EDATE(_xlfn.XLOOKUP(1,$H848:$BE848,$H$4:$BE$4),12*Assumptions!$H$231+12)=AK$4,0,IF(AJ848=1,PMT(Assumptions!$H$229,Assumptions!$H$231,$C850),AJ861))),0)</f>
        <v>0</v>
      </c>
      <c r="AL861" s="39">
        <f>+IFERROR(-ABS(IF(EDATE(_xlfn.XLOOKUP(1,$H848:$BE848,$H$4:$BE$4),12*Assumptions!$H$231+12)=AL$4,0,IF(AK848=1,PMT(Assumptions!$H$229,Assumptions!$H$231,$C850),AK861))),0)</f>
        <v>0</v>
      </c>
      <c r="AM861" s="39">
        <f>+IFERROR(-ABS(IF(EDATE(_xlfn.XLOOKUP(1,$H848:$BE848,$H$4:$BE$4),12*Assumptions!$H$231+12)=AM$4,0,IF(AL848=1,PMT(Assumptions!$H$229,Assumptions!$H$231,$C850),AL861))),0)</f>
        <v>0</v>
      </c>
      <c r="AN861" s="39">
        <f>+IFERROR(-ABS(IF(EDATE(_xlfn.XLOOKUP(1,$H848:$BE848,$H$4:$BE$4),12*Assumptions!$H$231+12)=AN$4,0,IF(AM848=1,PMT(Assumptions!$H$229,Assumptions!$H$231,$C850),AM861))),0)</f>
        <v>0</v>
      </c>
      <c r="AO861" s="39">
        <f>+IFERROR(-ABS(IF(EDATE(_xlfn.XLOOKUP(1,$H848:$BE848,$H$4:$BE$4),12*Assumptions!$H$231+12)=AO$4,0,IF(AN848=1,PMT(Assumptions!$H$229,Assumptions!$H$231,$C850),AN861))),0)</f>
        <v>0</v>
      </c>
      <c r="AP861" s="39">
        <f>+IFERROR(-ABS(IF(EDATE(_xlfn.XLOOKUP(1,$H848:$BE848,$H$4:$BE$4),12*Assumptions!$H$231+12)=AP$4,0,IF(AO848=1,PMT(Assumptions!$H$229,Assumptions!$H$231,$C850),AO861))),0)</f>
        <v>0</v>
      </c>
      <c r="AQ861" s="39">
        <f>+IFERROR(-ABS(IF(EDATE(_xlfn.XLOOKUP(1,$H848:$BE848,$H$4:$BE$4),12*Assumptions!$H$231+12)=AQ$4,0,IF(AP848=1,PMT(Assumptions!$H$229,Assumptions!$H$231,$C850),AP861))),0)</f>
        <v>0</v>
      </c>
      <c r="AR861" s="39">
        <f>+IFERROR(-ABS(IF(EDATE(_xlfn.XLOOKUP(1,$H848:$BE848,$H$4:$BE$4),12*Assumptions!$H$231+12)=AR$4,0,IF(AQ848=1,PMT(Assumptions!$H$229,Assumptions!$H$231,$C850),AQ861))),0)</f>
        <v>0</v>
      </c>
      <c r="AS861" s="39">
        <f>+IFERROR(-ABS(IF(EDATE(_xlfn.XLOOKUP(1,$H848:$BE848,$H$4:$BE$4),12*Assumptions!$H$231+12)=AS$4,0,IF(AR848=1,PMT(Assumptions!$H$229,Assumptions!$H$231,$C850),AR861))),0)</f>
        <v>0</v>
      </c>
      <c r="AT861" s="39">
        <f>+IFERROR(-ABS(IF(EDATE(_xlfn.XLOOKUP(1,$H848:$BE848,$H$4:$BE$4),12*Assumptions!$H$231+12)=AT$4,0,IF(AS848=1,PMT(Assumptions!$H$229,Assumptions!$H$231,$C850),AS861))),0)</f>
        <v>0</v>
      </c>
      <c r="AU861" s="39">
        <f>+IFERROR(-ABS(IF(EDATE(_xlfn.XLOOKUP(1,$H848:$BE848,$H$4:$BE$4),12*Assumptions!$H$231+12)=AU$4,0,IF(AT848=1,PMT(Assumptions!$H$229,Assumptions!$H$231,$C850),AT861))),0)</f>
        <v>0</v>
      </c>
      <c r="AV861" s="39">
        <f>+IFERROR(-ABS(IF(EDATE(_xlfn.XLOOKUP(1,$H848:$BE848,$H$4:$BE$4),12*Assumptions!$H$231+12)=AV$4,0,IF(AU848=1,PMT(Assumptions!$H$229,Assumptions!$H$231,$C850),AU861))),0)</f>
        <v>0</v>
      </c>
      <c r="AW861" s="39">
        <f>+IFERROR(-ABS(IF(EDATE(_xlfn.XLOOKUP(1,$H848:$BE848,$H$4:$BE$4),12*Assumptions!$H$231+12)=AW$4,0,IF(AV848=1,PMT(Assumptions!$H$229,Assumptions!$H$231,$C850),AV861))),0)</f>
        <v>0</v>
      </c>
      <c r="AX861" s="39">
        <f>+IFERROR(-ABS(IF(EDATE(_xlfn.XLOOKUP(1,$H848:$BE848,$H$4:$BE$4),12*Assumptions!$H$231+12)=AX$4,0,IF(AW848=1,PMT(Assumptions!$H$229,Assumptions!$H$231,$C850),AW861))),0)</f>
        <v>0</v>
      </c>
      <c r="AY861" s="39">
        <f>+IFERROR(-ABS(IF(EDATE(_xlfn.XLOOKUP(1,$H848:$BE848,$H$4:$BE$4),12*Assumptions!$H$231+12)=AY$4,0,IF(AX848=1,PMT(Assumptions!$H$229,Assumptions!$H$231,$C850),AX861))),0)</f>
        <v>0</v>
      </c>
      <c r="AZ861" s="39">
        <f>+IFERROR(-ABS(IF(EDATE(_xlfn.XLOOKUP(1,$H848:$BE848,$H$4:$BE$4),12*Assumptions!$H$231+12)=AZ$4,0,IF(AY848=1,PMT(Assumptions!$H$229,Assumptions!$H$231,$C850),AY861))),0)</f>
        <v>0</v>
      </c>
      <c r="BA861" s="39">
        <f>+IFERROR(-ABS(IF(EDATE(_xlfn.XLOOKUP(1,$H848:$BE848,$H$4:$BE$4),12*Assumptions!$H$231+12)=BA$4,0,IF(AZ848=1,PMT(Assumptions!$H$229,Assumptions!$H$231,$C850),AZ861))),0)</f>
        <v>0</v>
      </c>
      <c r="BB861" s="39">
        <f>+IFERROR(-ABS(IF(EDATE(_xlfn.XLOOKUP(1,$H848:$BE848,$H$4:$BE$4),12*Assumptions!$H$231+12)=BB$4,0,IF(BA848=1,PMT(Assumptions!$H$229,Assumptions!$H$231,$C850),BA861))),0)</f>
        <v>0</v>
      </c>
      <c r="BC861" s="39">
        <f>+IFERROR(-ABS(IF(EDATE(_xlfn.XLOOKUP(1,$H848:$BE848,$H$4:$BE$4),12*Assumptions!$H$231+12)=BC$4,0,IF(BB848=1,PMT(Assumptions!$H$229,Assumptions!$H$231,$C850),BB861))),0)</f>
        <v>0</v>
      </c>
      <c r="BD861" s="39">
        <f>+IFERROR(-ABS(IF(EDATE(_xlfn.XLOOKUP(1,$H848:$BE848,$H$4:$BE$4),12*Assumptions!$H$231+12)=BD$4,0,IF(BC848=1,PMT(Assumptions!$H$229,Assumptions!$H$231,$C850),BC861))),0)</f>
        <v>0</v>
      </c>
      <c r="BE861" s="39">
        <f>+IFERROR(-ABS(IF(EDATE(_xlfn.XLOOKUP(1,$H848:$BE848,$H$4:$BE$4),12*Assumptions!$H$231+12)=BE$4,0,IF(BD848=1,PMT(Assumptions!$H$229,Assumptions!$H$231,$C850),BD861))),0)</f>
        <v>0</v>
      </c>
      <c r="BF861" s="39">
        <f>+IFERROR(-ABS(IF(EDATE(_xlfn.XLOOKUP(1,$H848:$BE848,$H$4:$BE$4),12*Assumptions!$H$231+12)=BF$4,0,IF(BE848=1,PMT(Assumptions!$H$229,Assumptions!$H$231,$C850),BE861))),0)</f>
        <v>0</v>
      </c>
      <c r="BG861" s="39">
        <f>+IFERROR(-ABS(IF(EDATE(_xlfn.XLOOKUP(1,$H848:$BE848,$H$4:$BE$4),12*Assumptions!$H$231+12)=BG$4,0,IF(BF848=1,PMT(Assumptions!$H$229,Assumptions!$H$231,$C850),BF861))),0)</f>
        <v>0</v>
      </c>
      <c r="BH861" s="39">
        <f>+IFERROR(-ABS(IF(EDATE(_xlfn.XLOOKUP(1,$H848:$BE848,$H$4:$BE$4),12*Assumptions!$H$231+12)=BH$4,0,IF(BG848=1,PMT(Assumptions!$H$229,Assumptions!$H$231,$C850),BG861))),0)</f>
        <v>0</v>
      </c>
      <c r="BI861" s="39">
        <f>+IFERROR(-ABS(IF(EDATE(_xlfn.XLOOKUP(1,$H848:$BE848,$H$4:$BE$4),12*Assumptions!$H$231+12)=BI$4,0,IF(BH848=1,PMT(Assumptions!$H$229,Assumptions!$H$231,$C850),BH861))),0)</f>
        <v>0</v>
      </c>
      <c r="BJ861" s="39">
        <f>+IFERROR(-ABS(IF(EDATE(_xlfn.XLOOKUP(1,$H848:$BE848,$H$4:$BE$4),12*Assumptions!$H$231+12)=BJ$4,0,IF(BI848=1,PMT(Assumptions!$H$229,Assumptions!$H$231,$C850),BI861))),0)</f>
        <v>0</v>
      </c>
      <c r="BK861" s="39">
        <f>+IFERROR(-ABS(IF(EDATE(_xlfn.XLOOKUP(1,$H848:$BE848,$H$4:$BE$4),12*Assumptions!$H$231+12)=BK$4,0,IF(BJ848=1,PMT(Assumptions!$H$229,Assumptions!$H$231,$C850),BJ861))),0)</f>
        <v>0</v>
      </c>
      <c r="BL861" s="39">
        <f>+IFERROR(-ABS(IF(EDATE(_xlfn.XLOOKUP(1,$H848:$BE848,$H$4:$BE$4),12*Assumptions!$H$231+12)=BL$4,0,IF(BK848=1,PMT(Assumptions!$H$229,Assumptions!$H$231,$C850),BK861))),0)</f>
        <v>0</v>
      </c>
      <c r="BM861" s="39">
        <f>+IFERROR(-ABS(IF(EDATE(_xlfn.XLOOKUP(1,$H848:$BE848,$H$4:$BE$4),12*Assumptions!$H$231+12)=BM$4,0,IF(BL848=1,PMT(Assumptions!$H$229,Assumptions!$H$231,$C850),BL861))),0)</f>
        <v>0</v>
      </c>
      <c r="BN861" s="39">
        <f>+IFERROR(-ABS(IF(EDATE(_xlfn.XLOOKUP(1,$H848:$BE848,$H$4:$BE$4),12*Assumptions!$H$231+12)=BN$4,0,IF(BM848=1,PMT(Assumptions!$H$229,Assumptions!$H$231,$C850),BM861))),0)</f>
        <v>0</v>
      </c>
      <c r="BO861" s="39">
        <f>+IFERROR(-ABS(IF(EDATE(_xlfn.XLOOKUP(1,$H848:$BE848,$H$4:$BE$4),12*Assumptions!$H$231+12)=BO$4,0,IF(BN848=1,PMT(Assumptions!$H$229,Assumptions!$H$231,$C850),BN861))),0)</f>
        <v>0</v>
      </c>
      <c r="BP861" s="39">
        <f>+IFERROR(-ABS(IF(EDATE(_xlfn.XLOOKUP(1,$H848:$BE848,$H$4:$BE$4),12*Assumptions!$H$231+12)=BP$4,0,IF(BO848=1,PMT(Assumptions!$H$229,Assumptions!$H$231,$C850),BO861))),0)</f>
        <v>0</v>
      </c>
      <c r="BQ861" s="39">
        <f>+IFERROR(-ABS(IF(EDATE(_xlfn.XLOOKUP(1,$H848:$BE848,$H$4:$BE$4),12*Assumptions!$H$231+12)=BQ$4,0,IF(BP848=1,PMT(Assumptions!$H$229,Assumptions!$H$231,$C850),BP861))),0)</f>
        <v>0</v>
      </c>
      <c r="BR861" s="39">
        <f>+IFERROR(-ABS(IF(EDATE(_xlfn.XLOOKUP(1,$H848:$BE848,$H$4:$BE$4),12*Assumptions!$H$231+12)=BR$4,0,IF(BQ848=1,PMT(Assumptions!$H$229,Assumptions!$H$231,$C850),BQ861))),0)</f>
        <v>0</v>
      </c>
      <c r="BS861" s="39">
        <f>+IFERROR(-ABS(IF(EDATE(_xlfn.XLOOKUP(1,$H848:$BE848,$H$4:$BE$4),12*Assumptions!$H$231+12)=BS$4,0,IF(BR848=1,PMT(Assumptions!$H$229,Assumptions!$H$231,$C850),BR861))),0)</f>
        <v>0</v>
      </c>
      <c r="BT861" s="39">
        <f>+IFERROR(-ABS(IF(EDATE(_xlfn.XLOOKUP(1,$H848:$BE848,$H$4:$BE$4),12*Assumptions!$H$231+12)=BT$4,0,IF(BS848=1,PMT(Assumptions!$H$229,Assumptions!$H$231,$C850),BS861))),0)</f>
        <v>0</v>
      </c>
      <c r="BU861" s="39">
        <f>+IFERROR(-ABS(IF(EDATE(_xlfn.XLOOKUP(1,$H848:$BE848,$H$4:$BE$4),12*Assumptions!$H$231+12)=BU$4,0,IF(BT848=1,PMT(Assumptions!$H$229,Assumptions!$H$231,$C850),BT861))),0)</f>
        <v>0</v>
      </c>
      <c r="BV861" s="39">
        <f>+IFERROR(-ABS(IF(EDATE(_xlfn.XLOOKUP(1,$H848:$BE848,$H$4:$BE$4),12*Assumptions!$H$231+12)=BV$4,0,IF(BU848=1,PMT(Assumptions!$H$229,Assumptions!$H$231,$C850),BU861))),0)</f>
        <v>0</v>
      </c>
      <c r="BW861" s="39">
        <f>+IFERROR(-ABS(IF(EDATE(_xlfn.XLOOKUP(1,$H848:$BE848,$H$4:$BE$4),12*Assumptions!$H$231+12)=BW$4,0,IF(BV848=1,PMT(Assumptions!$H$229,Assumptions!$H$231,$C850),BV861))),0)</f>
        <v>0</v>
      </c>
      <c r="BX861" s="39">
        <f>+IFERROR(-ABS(IF(EDATE(_xlfn.XLOOKUP(1,$H848:$BE848,$H$4:$BE$4),12*Assumptions!$H$231+12)=BX$4,0,IF(BW848=1,PMT(Assumptions!$H$229,Assumptions!$H$231,$C850),BW861))),0)</f>
        <v>0</v>
      </c>
      <c r="BY861" s="39">
        <f>+IFERROR(-ABS(IF(EDATE(_xlfn.XLOOKUP(1,$H848:$BE848,$H$4:$BE$4),12*Assumptions!$H$231+12)=BY$4,0,IF(BX848=1,PMT(Assumptions!$H$229,Assumptions!$H$231,$C850),BX861))),0)</f>
        <v>0</v>
      </c>
    </row>
    <row r="862" spans="5:77" outlineLevel="1">
      <c r="E862" s="24" t="s">
        <v>523</v>
      </c>
      <c r="F862" s="80" t="str">
        <f>+Assumptions!$G$8</f>
        <v>USD</v>
      </c>
      <c r="G862" s="24"/>
      <c r="H862" s="39">
        <f>+IFERROR(-ABS(IF(EDATE(_xlfn.XLOOKUP(1,$H849:$BE849,$H$4:$BE$4),12*Assumptions!$H$231+12)=H$4,0,IF(G849=1,PMT(Assumptions!$H$229,Assumptions!$H$231,$C851),G862))),0)</f>
        <v>0</v>
      </c>
      <c r="I862" s="39">
        <f>+IFERROR(-ABS(IF(EDATE(_xlfn.XLOOKUP(1,$H849:$BE849,$H$4:$BE$4),12*Assumptions!$H$231+12)=I$4,0,IF(H849=1,PMT(Assumptions!$H$229,Assumptions!$H$231,$C851),H862))),0)</f>
        <v>0</v>
      </c>
      <c r="J862" s="39">
        <f>+IFERROR(-ABS(IF(EDATE(_xlfn.XLOOKUP(1,$H849:$BE849,$H$4:$BE$4),12*Assumptions!$H$231+12)=J$4,0,IF(I849=1,PMT(Assumptions!$H$229,Assumptions!$H$231,$C851),I862))),0)</f>
        <v>0</v>
      </c>
      <c r="K862" s="39">
        <f>+IFERROR(-ABS(IF(EDATE(_xlfn.XLOOKUP(1,$H849:$BE849,$H$4:$BE$4),12*Assumptions!$H$231+12)=K$4,0,IF(J849=1,PMT(Assumptions!$H$229,Assumptions!$H$231,$C851),J862))),0)</f>
        <v>0</v>
      </c>
      <c r="L862" s="39">
        <f>+IFERROR(-ABS(IF(EDATE(_xlfn.XLOOKUP(1,$H849:$BE849,$H$4:$BE$4),12*Assumptions!$H$231+12)=L$4,0,IF(K849=1,PMT(Assumptions!$H$229,Assumptions!$H$231,$C851),K862))),0)</f>
        <v>0</v>
      </c>
      <c r="M862" s="39">
        <f>+IFERROR(-ABS(IF(EDATE(_xlfn.XLOOKUP(1,$H849:$BE849,$H$4:$BE$4),12*Assumptions!$H$231+12)=M$4,0,IF(L849=1,PMT(Assumptions!$H$229,Assumptions!$H$231,$C851),L862))),0)</f>
        <v>0</v>
      </c>
      <c r="N862" s="39">
        <f>+IFERROR(-ABS(IF(EDATE(_xlfn.XLOOKUP(1,$H849:$BE849,$H$4:$BE$4),12*Assumptions!$H$231+12)=N$4,0,IF(M849=1,PMT(Assumptions!$H$229,Assumptions!$H$231,$C851),M862))),0)</f>
        <v>0</v>
      </c>
      <c r="O862" s="39">
        <f>+IFERROR(-ABS(IF(EDATE(_xlfn.XLOOKUP(1,$H849:$BE849,$H$4:$BE$4),12*Assumptions!$H$231+12)=O$4,0,IF(N849=1,PMT(Assumptions!$H$229,Assumptions!$H$231,$C851),N862))),0)</f>
        <v>0</v>
      </c>
      <c r="P862" s="39">
        <f>+IFERROR(-ABS(IF(EDATE(_xlfn.XLOOKUP(1,$H849:$BE849,$H$4:$BE$4),12*Assumptions!$H$231+12)=P$4,0,IF(O849=1,PMT(Assumptions!$H$229,Assumptions!$H$231,$C851),O862))),0)</f>
        <v>0</v>
      </c>
      <c r="Q862" s="39">
        <f>+IFERROR(-ABS(IF(EDATE(_xlfn.XLOOKUP(1,$H849:$BE849,$H$4:$BE$4),12*Assumptions!$H$231+12)=Q$4,0,IF(P849=1,PMT(Assumptions!$H$229,Assumptions!$H$231,$C851),P862))),0)</f>
        <v>0</v>
      </c>
      <c r="R862" s="39">
        <f>+IFERROR(-ABS(IF(EDATE(_xlfn.XLOOKUP(1,$H849:$BE849,$H$4:$BE$4),12*Assumptions!$H$231+12)=R$4,0,IF(Q849=1,PMT(Assumptions!$H$229,Assumptions!$H$231,$C851),Q862))),0)</f>
        <v>0</v>
      </c>
      <c r="S862" s="39">
        <f>+IFERROR(-ABS(IF(EDATE(_xlfn.XLOOKUP(1,$H849:$BE849,$H$4:$BE$4),12*Assumptions!$H$231+12)=S$4,0,IF(R849=1,PMT(Assumptions!$H$229,Assumptions!$H$231,$C851),R862))),0)</f>
        <v>0</v>
      </c>
      <c r="T862" s="39">
        <f>+IFERROR(-ABS(IF(EDATE(_xlfn.XLOOKUP(1,$H849:$BE849,$H$4:$BE$4),12*Assumptions!$H$231+12)=T$4,0,IF(S849=1,PMT(Assumptions!$H$229,Assumptions!$H$231,$C851),S862))),0)</f>
        <v>0</v>
      </c>
      <c r="U862" s="39">
        <f>+IFERROR(-ABS(IF(EDATE(_xlfn.XLOOKUP(1,$H849:$BE849,$H$4:$BE$4),12*Assumptions!$H$231+12)=U$4,0,IF(T849=1,PMT(Assumptions!$H$229,Assumptions!$H$231,$C851),T862))),0)</f>
        <v>0</v>
      </c>
      <c r="V862" s="39">
        <f>+IFERROR(-ABS(IF(EDATE(_xlfn.XLOOKUP(1,$H849:$BE849,$H$4:$BE$4),12*Assumptions!$H$231+12)=V$4,0,IF(U849=1,PMT(Assumptions!$H$229,Assumptions!$H$231,$C851),U862))),0)</f>
        <v>0</v>
      </c>
      <c r="W862" s="39">
        <f>+IFERROR(-ABS(IF(EDATE(_xlfn.XLOOKUP(1,$H849:$BE849,$H$4:$BE$4),12*Assumptions!$H$231+12)=W$4,0,IF(V849=1,PMT(Assumptions!$H$229,Assumptions!$H$231,$C851),V862))),0)</f>
        <v>0</v>
      </c>
      <c r="X862" s="39">
        <f>+IFERROR(-ABS(IF(EDATE(_xlfn.XLOOKUP(1,$H849:$BE849,$H$4:$BE$4),12*Assumptions!$H$231+12)=X$4,0,IF(W849=1,PMT(Assumptions!$H$229,Assumptions!$H$231,$C851),W862))),0)</f>
        <v>0</v>
      </c>
      <c r="Y862" s="39">
        <f>+IFERROR(-ABS(IF(EDATE(_xlfn.XLOOKUP(1,$H849:$BE849,$H$4:$BE$4),12*Assumptions!$H$231+12)=Y$4,0,IF(X849=1,PMT(Assumptions!$H$229,Assumptions!$H$231,$C851),X862))),0)</f>
        <v>0</v>
      </c>
      <c r="Z862" s="39">
        <f>+IFERROR(-ABS(IF(EDATE(_xlfn.XLOOKUP(1,$H849:$BE849,$H$4:$BE$4),12*Assumptions!$H$231+12)=Z$4,0,IF(Y849=1,PMT(Assumptions!$H$229,Assumptions!$H$231,$C851),Y862))),0)</f>
        <v>0</v>
      </c>
      <c r="AA862" s="39">
        <f>+IFERROR(-ABS(IF(EDATE(_xlfn.XLOOKUP(1,$H849:$BE849,$H$4:$BE$4),12*Assumptions!$H$231+12)=AA$4,0,IF(Z849=1,PMT(Assumptions!$H$229,Assumptions!$H$231,$C851),Z862))),0)</f>
        <v>0</v>
      </c>
      <c r="AB862" s="39">
        <f>+IFERROR(-ABS(IF(EDATE(_xlfn.XLOOKUP(1,$H849:$BE849,$H$4:$BE$4),12*Assumptions!$H$231+12)=AB$4,0,IF(AA849=1,PMT(Assumptions!$H$229,Assumptions!$H$231,$C851),AA862))),0)</f>
        <v>0</v>
      </c>
      <c r="AC862" s="39">
        <f>+IFERROR(-ABS(IF(EDATE(_xlfn.XLOOKUP(1,$H849:$BE849,$H$4:$BE$4),12*Assumptions!$H$231+12)=AC$4,0,IF(AB849=1,PMT(Assumptions!$H$229,Assumptions!$H$231,$C851),AB862))),0)</f>
        <v>0</v>
      </c>
      <c r="AD862" s="39">
        <f>+IFERROR(-ABS(IF(EDATE(_xlfn.XLOOKUP(1,$H849:$BE849,$H$4:$BE$4),12*Assumptions!$H$231+12)=AD$4,0,IF(AC849=1,PMT(Assumptions!$H$229,Assumptions!$H$231,$C851),AC862))),0)</f>
        <v>0</v>
      </c>
      <c r="AE862" s="39">
        <f>+IFERROR(-ABS(IF(EDATE(_xlfn.XLOOKUP(1,$H849:$BE849,$H$4:$BE$4),12*Assumptions!$H$231+12)=AE$4,0,IF(AD849=1,PMT(Assumptions!$H$229,Assumptions!$H$231,$C851),AD862))),0)</f>
        <v>0</v>
      </c>
      <c r="AF862" s="39">
        <f>+IFERROR(-ABS(IF(EDATE(_xlfn.XLOOKUP(1,$H849:$BE849,$H$4:$BE$4),12*Assumptions!$H$231+12)=AF$4,0,IF(AE849=1,PMT(Assumptions!$H$229,Assumptions!$H$231,$C851),AE862))),0)</f>
        <v>0</v>
      </c>
      <c r="AG862" s="39">
        <f>+IFERROR(-ABS(IF(EDATE(_xlfn.XLOOKUP(1,$H849:$BE849,$H$4:$BE$4),12*Assumptions!$H$231+12)=AG$4,0,IF(AF849=1,PMT(Assumptions!$H$229,Assumptions!$H$231,$C851),AF862))),0)</f>
        <v>0</v>
      </c>
      <c r="AH862" s="39">
        <f>+IFERROR(-ABS(IF(EDATE(_xlfn.XLOOKUP(1,$H849:$BE849,$H$4:$BE$4),12*Assumptions!$H$231+12)=AH$4,0,IF(AG849=1,PMT(Assumptions!$H$229,Assumptions!$H$231,$C851),AG862))),0)</f>
        <v>0</v>
      </c>
      <c r="AI862" s="39">
        <f>+IFERROR(-ABS(IF(EDATE(_xlfn.XLOOKUP(1,$H849:$BE849,$H$4:$BE$4),12*Assumptions!$H$231+12)=AI$4,0,IF(AH849=1,PMT(Assumptions!$H$229,Assumptions!$H$231,$C851),AH862))),0)</f>
        <v>0</v>
      </c>
      <c r="AJ862" s="39">
        <f>+IFERROR(-ABS(IF(EDATE(_xlfn.XLOOKUP(1,$H849:$BE849,$H$4:$BE$4),12*Assumptions!$H$231+12)=AJ$4,0,IF(AI849=1,PMT(Assumptions!$H$229,Assumptions!$H$231,$C851),AI862))),0)</f>
        <v>0</v>
      </c>
      <c r="AK862" s="39">
        <f>+IFERROR(-ABS(IF(EDATE(_xlfn.XLOOKUP(1,$H849:$BE849,$H$4:$BE$4),12*Assumptions!$H$231+12)=AK$4,0,IF(AJ849=1,PMT(Assumptions!$H$229,Assumptions!$H$231,$C851),AJ862))),0)</f>
        <v>0</v>
      </c>
      <c r="AL862" s="39">
        <f>+IFERROR(-ABS(IF(EDATE(_xlfn.XLOOKUP(1,$H849:$BE849,$H$4:$BE$4),12*Assumptions!$H$231+12)=AL$4,0,IF(AK849=1,PMT(Assumptions!$H$229,Assumptions!$H$231,$C851),AK862))),0)</f>
        <v>0</v>
      </c>
      <c r="AM862" s="39">
        <f>+IFERROR(-ABS(IF(EDATE(_xlfn.XLOOKUP(1,$H849:$BE849,$H$4:$BE$4),12*Assumptions!$H$231+12)=AM$4,0,IF(AL849=1,PMT(Assumptions!$H$229,Assumptions!$H$231,$C851),AL862))),0)</f>
        <v>0</v>
      </c>
      <c r="AN862" s="39">
        <f>+IFERROR(-ABS(IF(EDATE(_xlfn.XLOOKUP(1,$H849:$BE849,$H$4:$BE$4),12*Assumptions!$H$231+12)=AN$4,0,IF(AM849=1,PMT(Assumptions!$H$229,Assumptions!$H$231,$C851),AM862))),0)</f>
        <v>0</v>
      </c>
      <c r="AO862" s="39">
        <f>+IFERROR(-ABS(IF(EDATE(_xlfn.XLOOKUP(1,$H849:$BE849,$H$4:$BE$4),12*Assumptions!$H$231+12)=AO$4,0,IF(AN849=1,PMT(Assumptions!$H$229,Assumptions!$H$231,$C851),AN862))),0)</f>
        <v>0</v>
      </c>
      <c r="AP862" s="39">
        <f>+IFERROR(-ABS(IF(EDATE(_xlfn.XLOOKUP(1,$H849:$BE849,$H$4:$BE$4),12*Assumptions!$H$231+12)=AP$4,0,IF(AO849=1,PMT(Assumptions!$H$229,Assumptions!$H$231,$C851),AO862))),0)</f>
        <v>0</v>
      </c>
      <c r="AQ862" s="39">
        <f>+IFERROR(-ABS(IF(EDATE(_xlfn.XLOOKUP(1,$H849:$BE849,$H$4:$BE$4),12*Assumptions!$H$231+12)=AQ$4,0,IF(AP849=1,PMT(Assumptions!$H$229,Assumptions!$H$231,$C851),AP862))),0)</f>
        <v>0</v>
      </c>
      <c r="AR862" s="39">
        <f>+IFERROR(-ABS(IF(EDATE(_xlfn.XLOOKUP(1,$H849:$BE849,$H$4:$BE$4),12*Assumptions!$H$231+12)=AR$4,0,IF(AQ849=1,PMT(Assumptions!$H$229,Assumptions!$H$231,$C851),AQ862))),0)</f>
        <v>0</v>
      </c>
      <c r="AS862" s="39">
        <f>+IFERROR(-ABS(IF(EDATE(_xlfn.XLOOKUP(1,$H849:$BE849,$H$4:$BE$4),12*Assumptions!$H$231+12)=AS$4,0,IF(AR849=1,PMT(Assumptions!$H$229,Assumptions!$H$231,$C851),AR862))),0)</f>
        <v>0</v>
      </c>
      <c r="AT862" s="39">
        <f>+IFERROR(-ABS(IF(EDATE(_xlfn.XLOOKUP(1,$H849:$BE849,$H$4:$BE$4),12*Assumptions!$H$231+12)=AT$4,0,IF(AS849=1,PMT(Assumptions!$H$229,Assumptions!$H$231,$C851),AS862))),0)</f>
        <v>0</v>
      </c>
      <c r="AU862" s="39">
        <f>+IFERROR(-ABS(IF(EDATE(_xlfn.XLOOKUP(1,$H849:$BE849,$H$4:$BE$4),12*Assumptions!$H$231+12)=AU$4,0,IF(AT849=1,PMT(Assumptions!$H$229,Assumptions!$H$231,$C851),AT862))),0)</f>
        <v>0</v>
      </c>
      <c r="AV862" s="39">
        <f>+IFERROR(-ABS(IF(EDATE(_xlfn.XLOOKUP(1,$H849:$BE849,$H$4:$BE$4),12*Assumptions!$H$231+12)=AV$4,0,IF(AU849=1,PMT(Assumptions!$H$229,Assumptions!$H$231,$C851),AU862))),0)</f>
        <v>0</v>
      </c>
      <c r="AW862" s="39">
        <f>+IFERROR(-ABS(IF(EDATE(_xlfn.XLOOKUP(1,$H849:$BE849,$H$4:$BE$4),12*Assumptions!$H$231+12)=AW$4,0,IF(AV849=1,PMT(Assumptions!$H$229,Assumptions!$H$231,$C851),AV862))),0)</f>
        <v>0</v>
      </c>
      <c r="AX862" s="39">
        <f>+IFERROR(-ABS(IF(EDATE(_xlfn.XLOOKUP(1,$H849:$BE849,$H$4:$BE$4),12*Assumptions!$H$231+12)=AX$4,0,IF(AW849=1,PMT(Assumptions!$H$229,Assumptions!$H$231,$C851),AW862))),0)</f>
        <v>0</v>
      </c>
      <c r="AY862" s="39">
        <f>+IFERROR(-ABS(IF(EDATE(_xlfn.XLOOKUP(1,$H849:$BE849,$H$4:$BE$4),12*Assumptions!$H$231+12)=AY$4,0,IF(AX849=1,PMT(Assumptions!$H$229,Assumptions!$H$231,$C851),AX862))),0)</f>
        <v>0</v>
      </c>
      <c r="AZ862" s="39">
        <f>+IFERROR(-ABS(IF(EDATE(_xlfn.XLOOKUP(1,$H849:$BE849,$H$4:$BE$4),12*Assumptions!$H$231+12)=AZ$4,0,IF(AY849=1,PMT(Assumptions!$H$229,Assumptions!$H$231,$C851),AY862))),0)</f>
        <v>0</v>
      </c>
      <c r="BA862" s="39">
        <f>+IFERROR(-ABS(IF(EDATE(_xlfn.XLOOKUP(1,$H849:$BE849,$H$4:$BE$4),12*Assumptions!$H$231+12)=BA$4,0,IF(AZ849=1,PMT(Assumptions!$H$229,Assumptions!$H$231,$C851),AZ862))),0)</f>
        <v>0</v>
      </c>
      <c r="BB862" s="39">
        <f>+IFERROR(-ABS(IF(EDATE(_xlfn.XLOOKUP(1,$H849:$BE849,$H$4:$BE$4),12*Assumptions!$H$231+12)=BB$4,0,IF(BA849=1,PMT(Assumptions!$H$229,Assumptions!$H$231,$C851),BA862))),0)</f>
        <v>0</v>
      </c>
      <c r="BC862" s="39">
        <f>+IFERROR(-ABS(IF(EDATE(_xlfn.XLOOKUP(1,$H849:$BE849,$H$4:$BE$4),12*Assumptions!$H$231+12)=BC$4,0,IF(BB849=1,PMT(Assumptions!$H$229,Assumptions!$H$231,$C851),BB862))),0)</f>
        <v>0</v>
      </c>
      <c r="BD862" s="39">
        <f>+IFERROR(-ABS(IF(EDATE(_xlfn.XLOOKUP(1,$H849:$BE849,$H$4:$BE$4),12*Assumptions!$H$231+12)=BD$4,0,IF(BC849=1,PMT(Assumptions!$H$229,Assumptions!$H$231,$C851),BC862))),0)</f>
        <v>0</v>
      </c>
      <c r="BE862" s="39">
        <f>+IFERROR(-ABS(IF(EDATE(_xlfn.XLOOKUP(1,$H849:$BE849,$H$4:$BE$4),12*Assumptions!$H$231+12)=BE$4,0,IF(BD849=1,PMT(Assumptions!$H$229,Assumptions!$H$231,$C851),BD862))),0)</f>
        <v>0</v>
      </c>
      <c r="BF862" s="39">
        <f>+IFERROR(-ABS(IF(EDATE(_xlfn.XLOOKUP(1,$H849:$BE849,$H$4:$BE$4),12*Assumptions!$H$231+12)=BF$4,0,IF(BE849=1,PMT(Assumptions!$H$229,Assumptions!$H$231,$C851),BE862))),0)</f>
        <v>0</v>
      </c>
      <c r="BG862" s="39">
        <f>+IFERROR(-ABS(IF(EDATE(_xlfn.XLOOKUP(1,$H849:$BE849,$H$4:$BE$4),12*Assumptions!$H$231+12)=BG$4,0,IF(BF849=1,PMT(Assumptions!$H$229,Assumptions!$H$231,$C851),BF862))),0)</f>
        <v>0</v>
      </c>
      <c r="BH862" s="39">
        <f>+IFERROR(-ABS(IF(EDATE(_xlfn.XLOOKUP(1,$H849:$BE849,$H$4:$BE$4),12*Assumptions!$H$231+12)=BH$4,0,IF(BG849=1,PMT(Assumptions!$H$229,Assumptions!$H$231,$C851),BG862))),0)</f>
        <v>0</v>
      </c>
      <c r="BI862" s="39">
        <f>+IFERROR(-ABS(IF(EDATE(_xlfn.XLOOKUP(1,$H849:$BE849,$H$4:$BE$4),12*Assumptions!$H$231+12)=BI$4,0,IF(BH849=1,PMT(Assumptions!$H$229,Assumptions!$H$231,$C851),BH862))),0)</f>
        <v>0</v>
      </c>
      <c r="BJ862" s="39">
        <f>+IFERROR(-ABS(IF(EDATE(_xlfn.XLOOKUP(1,$H849:$BE849,$H$4:$BE$4),12*Assumptions!$H$231+12)=BJ$4,0,IF(BI849=1,PMT(Assumptions!$H$229,Assumptions!$H$231,$C851),BI862))),0)</f>
        <v>0</v>
      </c>
      <c r="BK862" s="39">
        <f>+IFERROR(-ABS(IF(EDATE(_xlfn.XLOOKUP(1,$H849:$BE849,$H$4:$BE$4),12*Assumptions!$H$231+12)=BK$4,0,IF(BJ849=1,PMT(Assumptions!$H$229,Assumptions!$H$231,$C851),BJ862))),0)</f>
        <v>0</v>
      </c>
      <c r="BL862" s="39">
        <f>+IFERROR(-ABS(IF(EDATE(_xlfn.XLOOKUP(1,$H849:$BE849,$H$4:$BE$4),12*Assumptions!$H$231+12)=BL$4,0,IF(BK849=1,PMT(Assumptions!$H$229,Assumptions!$H$231,$C851),BK862))),0)</f>
        <v>0</v>
      </c>
      <c r="BM862" s="39">
        <f>+IFERROR(-ABS(IF(EDATE(_xlfn.XLOOKUP(1,$H849:$BE849,$H$4:$BE$4),12*Assumptions!$H$231+12)=BM$4,0,IF(BL849=1,PMT(Assumptions!$H$229,Assumptions!$H$231,$C851),BL862))),0)</f>
        <v>0</v>
      </c>
      <c r="BN862" s="39">
        <f>+IFERROR(-ABS(IF(EDATE(_xlfn.XLOOKUP(1,$H849:$BE849,$H$4:$BE$4),12*Assumptions!$H$231+12)=BN$4,0,IF(BM849=1,PMT(Assumptions!$H$229,Assumptions!$H$231,$C851),BM862))),0)</f>
        <v>0</v>
      </c>
      <c r="BO862" s="39">
        <f>+IFERROR(-ABS(IF(EDATE(_xlfn.XLOOKUP(1,$H849:$BE849,$H$4:$BE$4),12*Assumptions!$H$231+12)=BO$4,0,IF(BN849=1,PMT(Assumptions!$H$229,Assumptions!$H$231,$C851),BN862))),0)</f>
        <v>0</v>
      </c>
      <c r="BP862" s="39">
        <f>+IFERROR(-ABS(IF(EDATE(_xlfn.XLOOKUP(1,$H849:$BE849,$H$4:$BE$4),12*Assumptions!$H$231+12)=BP$4,0,IF(BO849=1,PMT(Assumptions!$H$229,Assumptions!$H$231,$C851),BO862))),0)</f>
        <v>0</v>
      </c>
      <c r="BQ862" s="39">
        <f>+IFERROR(-ABS(IF(EDATE(_xlfn.XLOOKUP(1,$H849:$BE849,$H$4:$BE$4),12*Assumptions!$H$231+12)=BQ$4,0,IF(BP849=1,PMT(Assumptions!$H$229,Assumptions!$H$231,$C851),BP862))),0)</f>
        <v>0</v>
      </c>
      <c r="BR862" s="39">
        <f>+IFERROR(-ABS(IF(EDATE(_xlfn.XLOOKUP(1,$H849:$BE849,$H$4:$BE$4),12*Assumptions!$H$231+12)=BR$4,0,IF(BQ849=1,PMT(Assumptions!$H$229,Assumptions!$H$231,$C851),BQ862))),0)</f>
        <v>0</v>
      </c>
      <c r="BS862" s="39">
        <f>+IFERROR(-ABS(IF(EDATE(_xlfn.XLOOKUP(1,$H849:$BE849,$H$4:$BE$4),12*Assumptions!$H$231+12)=BS$4,0,IF(BR849=1,PMT(Assumptions!$H$229,Assumptions!$H$231,$C851),BR862))),0)</f>
        <v>0</v>
      </c>
      <c r="BT862" s="39">
        <f>+IFERROR(-ABS(IF(EDATE(_xlfn.XLOOKUP(1,$H849:$BE849,$H$4:$BE$4),12*Assumptions!$H$231+12)=BT$4,0,IF(BS849=1,PMT(Assumptions!$H$229,Assumptions!$H$231,$C851),BS862))),0)</f>
        <v>0</v>
      </c>
      <c r="BU862" s="39">
        <f>+IFERROR(-ABS(IF(EDATE(_xlfn.XLOOKUP(1,$H849:$BE849,$H$4:$BE$4),12*Assumptions!$H$231+12)=BU$4,0,IF(BT849=1,PMT(Assumptions!$H$229,Assumptions!$H$231,$C851),BT862))),0)</f>
        <v>0</v>
      </c>
      <c r="BV862" s="39">
        <f>+IFERROR(-ABS(IF(EDATE(_xlfn.XLOOKUP(1,$H849:$BE849,$H$4:$BE$4),12*Assumptions!$H$231+12)=BV$4,0,IF(BU849=1,PMT(Assumptions!$H$229,Assumptions!$H$231,$C851),BU862))),0)</f>
        <v>0</v>
      </c>
      <c r="BW862" s="39">
        <f>+IFERROR(-ABS(IF(EDATE(_xlfn.XLOOKUP(1,$H849:$BE849,$H$4:$BE$4),12*Assumptions!$H$231+12)=BW$4,0,IF(BV849=1,PMT(Assumptions!$H$229,Assumptions!$H$231,$C851),BV862))),0)</f>
        <v>0</v>
      </c>
      <c r="BX862" s="39">
        <f>+IFERROR(-ABS(IF(EDATE(_xlfn.XLOOKUP(1,$H849:$BE849,$H$4:$BE$4),12*Assumptions!$H$231+12)=BX$4,0,IF(BW849=1,PMT(Assumptions!$H$229,Assumptions!$H$231,$C851),BW862))),0)</f>
        <v>0</v>
      </c>
      <c r="BY862" s="39">
        <f>+IFERROR(-ABS(IF(EDATE(_xlfn.XLOOKUP(1,$H849:$BE849,$H$4:$BE$4),12*Assumptions!$H$231+12)=BY$4,0,IF(BX849=1,PMT(Assumptions!$H$229,Assumptions!$H$231,$C851),BX862))),0)</f>
        <v>0</v>
      </c>
    </row>
    <row r="863" spans="5:77" outlineLevel="1">
      <c r="E863" s="24"/>
      <c r="F863" s="23"/>
      <c r="G863" s="24"/>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c r="AS863" s="39"/>
      <c r="AT863" s="39"/>
      <c r="AU863" s="39"/>
      <c r="AV863" s="39"/>
      <c r="AW863" s="39"/>
      <c r="AX863" s="39"/>
      <c r="AY863" s="39"/>
      <c r="AZ863" s="39"/>
      <c r="BA863" s="39"/>
      <c r="BB863" s="39"/>
      <c r="BC863" s="39"/>
      <c r="BD863" s="39"/>
      <c r="BE863" s="39"/>
      <c r="BF863" s="39"/>
      <c r="BG863" s="39"/>
      <c r="BH863" s="39"/>
      <c r="BI863" s="39"/>
      <c r="BJ863" s="39"/>
      <c r="BK863" s="39"/>
      <c r="BL863" s="39"/>
      <c r="BM863" s="39"/>
      <c r="BN863" s="39"/>
      <c r="BO863" s="39"/>
      <c r="BP863" s="39"/>
      <c r="BQ863" s="39"/>
      <c r="BR863" s="39"/>
      <c r="BS863" s="39"/>
      <c r="BT863" s="39"/>
      <c r="BU863" s="39"/>
      <c r="BV863" s="39"/>
      <c r="BW863" s="39"/>
      <c r="BX863" s="39"/>
      <c r="BY863" s="39"/>
    </row>
    <row r="864" spans="5:77" outlineLevel="1">
      <c r="E864" t="s">
        <v>524</v>
      </c>
      <c r="F864" s="80" t="str">
        <f>+Assumptions!$G$8</f>
        <v>USD</v>
      </c>
      <c r="H864" s="32">
        <f>MIN(+H836-H852+H850,0)</f>
        <v>0</v>
      </c>
      <c r="I864" s="32">
        <f t="shared" ref="I864:BT864" si="1801">MIN(+I836-I852+I850,0)</f>
        <v>-168413.59193947201</v>
      </c>
      <c r="J864" s="32">
        <f t="shared" ca="1" si="1801"/>
        <v>-597027.59509537858</v>
      </c>
      <c r="K864" s="32">
        <f t="shared" ca="1" si="1801"/>
        <v>-570116.37670145184</v>
      </c>
      <c r="L864" s="32">
        <f t="shared" ca="1" si="1801"/>
        <v>-541660.72348389763</v>
      </c>
      <c r="M864" s="32">
        <f t="shared" ca="1" si="1801"/>
        <v>-511572.00032818801</v>
      </c>
      <c r="N864" s="32">
        <f t="shared" ca="1" si="1801"/>
        <v>-479756.48535057221</v>
      </c>
      <c r="O864" s="32">
        <f t="shared" ca="1" si="1801"/>
        <v>-446115.07796839107</v>
      </c>
      <c r="P864" s="32">
        <f t="shared" ca="1" si="1801"/>
        <v>-410542.99021654652</v>
      </c>
      <c r="Q864" s="32">
        <f t="shared" ca="1" si="1801"/>
        <v>-372929.42034862365</v>
      </c>
      <c r="R864" s="32">
        <f t="shared" ca="1" si="1801"/>
        <v>-333157.20770598063</v>
      </c>
      <c r="S864" s="32">
        <f t="shared" ca="1" si="1801"/>
        <v>-291102.46777977637</v>
      </c>
      <c r="T864" s="32">
        <f t="shared" ca="1" si="1801"/>
        <v>-246634.20632920723</v>
      </c>
      <c r="U864" s="32">
        <f t="shared" ca="1" si="1801"/>
        <v>-199613.91135398994</v>
      </c>
      <c r="V864" s="32">
        <f t="shared" ca="1" si="1801"/>
        <v>-149895.12165014492</v>
      </c>
      <c r="W864" s="32">
        <f t="shared" ca="1" si="1801"/>
        <v>-97322.970605196242</v>
      </c>
      <c r="X864" s="32">
        <f t="shared" ca="1" si="1801"/>
        <v>-41733.703811777952</v>
      </c>
      <c r="Y864" s="32">
        <f t="shared" ca="1" si="1801"/>
        <v>-1.673470251262188E-10</v>
      </c>
      <c r="Z864" s="32">
        <f t="shared" ca="1" si="1801"/>
        <v>-1.673470251262188E-10</v>
      </c>
      <c r="AA864" s="32">
        <f t="shared" ca="1" si="1801"/>
        <v>-1.673470251262188E-10</v>
      </c>
      <c r="AB864" s="32">
        <f t="shared" ca="1" si="1801"/>
        <v>-1.673470251262188E-10</v>
      </c>
      <c r="AC864" s="32">
        <f t="shared" ca="1" si="1801"/>
        <v>-1.673470251262188E-10</v>
      </c>
      <c r="AD864" s="32">
        <f t="shared" ca="1" si="1801"/>
        <v>-1.673470251262188E-10</v>
      </c>
      <c r="AE864" s="32">
        <f t="shared" ca="1" si="1801"/>
        <v>-1.673470251262188E-10</v>
      </c>
      <c r="AF864" s="32">
        <f t="shared" ca="1" si="1801"/>
        <v>-1.673470251262188E-10</v>
      </c>
      <c r="AG864" s="32">
        <f t="shared" ca="1" si="1801"/>
        <v>-1.673470251262188E-10</v>
      </c>
      <c r="AH864" s="32">
        <f t="shared" ca="1" si="1801"/>
        <v>-1.673470251262188E-10</v>
      </c>
      <c r="AI864" s="32">
        <f t="shared" ca="1" si="1801"/>
        <v>-1.673470251262188E-10</v>
      </c>
      <c r="AJ864" s="32">
        <f t="shared" ca="1" si="1801"/>
        <v>-1.673470251262188E-10</v>
      </c>
      <c r="AK864" s="32">
        <f t="shared" ca="1" si="1801"/>
        <v>-1.673470251262188E-10</v>
      </c>
      <c r="AL864" s="32">
        <f t="shared" ca="1" si="1801"/>
        <v>-1.673470251262188E-10</v>
      </c>
      <c r="AM864" s="32">
        <f t="shared" ca="1" si="1801"/>
        <v>-1.673470251262188E-10</v>
      </c>
      <c r="AN864" s="32">
        <f t="shared" ca="1" si="1801"/>
        <v>-1.673470251262188E-10</v>
      </c>
      <c r="AO864" s="32">
        <f t="shared" ca="1" si="1801"/>
        <v>-1.673470251262188E-10</v>
      </c>
      <c r="AP864" s="32">
        <f t="shared" ca="1" si="1801"/>
        <v>-1.673470251262188E-10</v>
      </c>
      <c r="AQ864" s="32">
        <f t="shared" ca="1" si="1801"/>
        <v>-1.673470251262188E-10</v>
      </c>
      <c r="AR864" s="32">
        <f t="shared" ca="1" si="1801"/>
        <v>-1.673470251262188E-10</v>
      </c>
      <c r="AS864" s="32">
        <f t="shared" ca="1" si="1801"/>
        <v>-1.673470251262188E-10</v>
      </c>
      <c r="AT864" s="32">
        <f t="shared" ca="1" si="1801"/>
        <v>-1.673470251262188E-10</v>
      </c>
      <c r="AU864" s="32">
        <f t="shared" ca="1" si="1801"/>
        <v>-1.673470251262188E-10</v>
      </c>
      <c r="AV864" s="32">
        <f t="shared" ca="1" si="1801"/>
        <v>-1.673470251262188E-10</v>
      </c>
      <c r="AW864" s="32">
        <f t="shared" ca="1" si="1801"/>
        <v>-1.673470251262188E-10</v>
      </c>
      <c r="AX864" s="32">
        <f t="shared" ca="1" si="1801"/>
        <v>-1.673470251262188E-10</v>
      </c>
      <c r="AY864" s="32">
        <f t="shared" ca="1" si="1801"/>
        <v>-1.673470251262188E-10</v>
      </c>
      <c r="AZ864" s="32">
        <f t="shared" ca="1" si="1801"/>
        <v>-1.673470251262188E-10</v>
      </c>
      <c r="BA864" s="32">
        <f t="shared" ca="1" si="1801"/>
        <v>-1.673470251262188E-10</v>
      </c>
      <c r="BB864" s="32">
        <f t="shared" ca="1" si="1801"/>
        <v>-1.673470251262188E-10</v>
      </c>
      <c r="BC864" s="32">
        <f t="shared" ca="1" si="1801"/>
        <v>-1.673470251262188E-10</v>
      </c>
      <c r="BD864" s="32">
        <f t="shared" ca="1" si="1801"/>
        <v>-1.673470251262188E-10</v>
      </c>
      <c r="BE864" s="32">
        <f t="shared" ca="1" si="1801"/>
        <v>-1.673470251262188E-10</v>
      </c>
      <c r="BF864" s="32">
        <f t="shared" ca="1" si="1801"/>
        <v>-1.673470251262188E-10</v>
      </c>
      <c r="BG864" s="32">
        <f t="shared" ca="1" si="1801"/>
        <v>-1.673470251262188E-10</v>
      </c>
      <c r="BH864" s="32">
        <f t="shared" ca="1" si="1801"/>
        <v>-1.673470251262188E-10</v>
      </c>
      <c r="BI864" s="32">
        <f t="shared" ca="1" si="1801"/>
        <v>-1.673470251262188E-10</v>
      </c>
      <c r="BJ864" s="32">
        <f t="shared" ca="1" si="1801"/>
        <v>-1.673470251262188E-10</v>
      </c>
      <c r="BK864" s="32">
        <f t="shared" ca="1" si="1801"/>
        <v>-1.673470251262188E-10</v>
      </c>
      <c r="BL864" s="32">
        <f t="shared" ca="1" si="1801"/>
        <v>-1.673470251262188E-10</v>
      </c>
      <c r="BM864" s="32">
        <f t="shared" ca="1" si="1801"/>
        <v>-1.673470251262188E-10</v>
      </c>
      <c r="BN864" s="32">
        <f t="shared" ca="1" si="1801"/>
        <v>-1.673470251262188E-10</v>
      </c>
      <c r="BO864" s="32">
        <f t="shared" ca="1" si="1801"/>
        <v>-1.673470251262188E-10</v>
      </c>
      <c r="BP864" s="32">
        <f t="shared" ca="1" si="1801"/>
        <v>-1.673470251262188E-10</v>
      </c>
      <c r="BQ864" s="32">
        <f t="shared" ca="1" si="1801"/>
        <v>-1.673470251262188E-10</v>
      </c>
      <c r="BR864" s="32">
        <f t="shared" ca="1" si="1801"/>
        <v>-1.673470251262188E-10</v>
      </c>
      <c r="BS864" s="32">
        <f t="shared" ca="1" si="1801"/>
        <v>-1.673470251262188E-10</v>
      </c>
      <c r="BT864" s="32">
        <f t="shared" ca="1" si="1801"/>
        <v>-1.673470251262188E-10</v>
      </c>
      <c r="BU864" s="32">
        <f t="shared" ref="BU864:BY864" ca="1" si="1802">MIN(+BU836-BU852+BU850,0)</f>
        <v>-1.673470251262188E-10</v>
      </c>
      <c r="BV864" s="32">
        <f t="shared" ca="1" si="1802"/>
        <v>-1.673470251262188E-10</v>
      </c>
      <c r="BW864" s="32">
        <f t="shared" ca="1" si="1802"/>
        <v>-1.673470251262188E-10</v>
      </c>
      <c r="BX864" s="32">
        <f t="shared" ca="1" si="1802"/>
        <v>-1.673470251262188E-10</v>
      </c>
      <c r="BY864" s="32">
        <f t="shared" ca="1" si="1802"/>
        <v>-1.673470251262188E-10</v>
      </c>
    </row>
    <row r="865" spans="3:77" outlineLevel="1"/>
    <row r="866" spans="3:77" ht="15" outlineLevel="1">
      <c r="C866" s="22" t="s">
        <v>525</v>
      </c>
      <c r="D866" s="31"/>
    </row>
    <row r="867" spans="3:77" ht="15" outlineLevel="1">
      <c r="C867" s="68" t="str">
        <f>+Assumptions!H243</f>
        <v>Equity-first</v>
      </c>
      <c r="D867" s="28"/>
      <c r="E867" s="22" t="s">
        <v>459</v>
      </c>
      <c r="H867" s="32"/>
      <c r="BF867" s="33"/>
      <c r="BG867" s="33"/>
      <c r="BH867" s="33"/>
      <c r="BI867" s="33"/>
      <c r="BJ867" s="33"/>
      <c r="BK867" s="33"/>
      <c r="BL867" s="33"/>
      <c r="BM867" s="33"/>
      <c r="BN867" s="33"/>
      <c r="BO867" s="33"/>
      <c r="BP867" s="33"/>
      <c r="BQ867" s="33"/>
      <c r="BR867" s="33"/>
      <c r="BS867" s="33"/>
      <c r="BT867" s="33"/>
      <c r="BU867" s="33"/>
      <c r="BV867" s="33"/>
      <c r="BW867" s="33"/>
      <c r="BX867" s="33"/>
      <c r="BY867" s="33"/>
    </row>
    <row r="868" spans="3:77" outlineLevel="1">
      <c r="C868" s="68" t="str">
        <f>+Assumptions!H244</f>
        <v>Annuity</v>
      </c>
      <c r="D868" s="28"/>
      <c r="E868" t="s">
        <v>458</v>
      </c>
      <c r="F868" s="80" t="str">
        <f>+Assumptions!$G$8</f>
        <v>USD</v>
      </c>
      <c r="H868" s="32">
        <f>IF(AND(Assumptions!$H$221="Yes",Assumptions!$H$222="Detailed"),-Assumptions_Detailed!H$181,MAX(IFERROR(H744-H831-H836,0),$C$871-SUM($G$868:G868)))</f>
        <v>0</v>
      </c>
      <c r="I868" s="32">
        <f>IF(AND(Assumptions!$H$221="Yes",Assumptions!$H$222="Detailed"),-Assumptions_Detailed!I$181,MAX(IFERROR(I744-I831-I836,0),$C$871-SUM($G$868:H868)))</f>
        <v>0</v>
      </c>
      <c r="J868" s="32">
        <f>IF(AND(Assumptions!$H$221="Yes",Assumptions!$H$222="Detailed"),-Assumptions_Detailed!J$181,MAX(IFERROR(J744-J831-J836,0),$C$871-SUM($G$868:I868)))</f>
        <v>0</v>
      </c>
      <c r="K868" s="32">
        <f>IF(AND(Assumptions!$H$221="Yes",Assumptions!$H$222="Detailed"),-Assumptions_Detailed!K$181,MAX(IFERROR(K744-K831-K836,0),$C$871-SUM($G$868:J868)))</f>
        <v>0</v>
      </c>
      <c r="L868" s="32">
        <f>IF(AND(Assumptions!$H$221="Yes",Assumptions!$H$222="Detailed"),-Assumptions_Detailed!L$181,MAX(IFERROR(L744-L831-L836,0),$C$871-SUM($G$868:K868)))</f>
        <v>0</v>
      </c>
      <c r="M868" s="32">
        <f>IF(AND(Assumptions!$H$221="Yes",Assumptions!$H$222="Detailed"),-Assumptions_Detailed!M$181,MAX(IFERROR(M744-M831-M836,0),$C$871-SUM($G$868:L868)))</f>
        <v>0</v>
      </c>
      <c r="N868" s="32">
        <f>IF(AND(Assumptions!$H$221="Yes",Assumptions!$H$222="Detailed"),-Assumptions_Detailed!N$181,MAX(IFERROR(N744-N831-N836,0),$C$871-SUM($G$868:M868)))</f>
        <v>0</v>
      </c>
      <c r="O868" s="32">
        <f>IF(AND(Assumptions!$H$221="Yes",Assumptions!$H$222="Detailed"),-Assumptions_Detailed!O$181,MAX(IFERROR(O744-O831-O836,0),$C$871-SUM($G$868:N868)))</f>
        <v>0</v>
      </c>
      <c r="P868" s="32">
        <f>IF(AND(Assumptions!$H$221="Yes",Assumptions!$H$222="Detailed"),-Assumptions_Detailed!P$181,MAX(IFERROR(P744-P831-P836,0),$C$871-SUM($G$868:O868)))</f>
        <v>0</v>
      </c>
      <c r="Q868" s="32">
        <f>IF(AND(Assumptions!$H$221="Yes",Assumptions!$H$222="Detailed"),-Assumptions_Detailed!Q$181,MAX(IFERROR(Q744-Q831-Q836,0),$C$871-SUM($G$868:P868)))</f>
        <v>0</v>
      </c>
      <c r="R868" s="32">
        <f>IF(AND(Assumptions!$H$221="Yes",Assumptions!$H$222="Detailed"),-Assumptions_Detailed!R$181,MAX(IFERROR(R744-R831-R836,0),$C$871-SUM($G$868:Q868)))</f>
        <v>0</v>
      </c>
      <c r="S868" s="32">
        <f>IF(AND(Assumptions!$H$221="Yes",Assumptions!$H$222="Detailed"),-Assumptions_Detailed!S$181,MAX(IFERROR(S744-S831-S836,0),$C$871-SUM($G$868:R868)))</f>
        <v>0</v>
      </c>
      <c r="T868" s="32">
        <f>IF(AND(Assumptions!$H$221="Yes",Assumptions!$H$222="Detailed"),-Assumptions_Detailed!T$181,MAX(IFERROR(T744-T831-T836,0),$C$871-SUM($G$868:S868)))</f>
        <v>0</v>
      </c>
      <c r="U868" s="32">
        <f>IF(AND(Assumptions!$H$221="Yes",Assumptions!$H$222="Detailed"),-Assumptions_Detailed!U$181,MAX(IFERROR(U744-U831-U836,0),$C$871-SUM($G$868:T868)))</f>
        <v>0</v>
      </c>
      <c r="V868" s="32">
        <f>IF(AND(Assumptions!$H$221="Yes",Assumptions!$H$222="Detailed"),-Assumptions_Detailed!V$181,MAX(IFERROR(V744-V831-V836,0),$C$871-SUM($G$868:U868)))</f>
        <v>0</v>
      </c>
      <c r="W868" s="32">
        <f>IF(AND(Assumptions!$H$221="Yes",Assumptions!$H$222="Detailed"),-Assumptions_Detailed!W$181,MAX(IFERROR(W744-W831-W836,0),$C$871-SUM($G$868:V868)))</f>
        <v>0</v>
      </c>
      <c r="X868" s="32">
        <f>IF(AND(Assumptions!$H$221="Yes",Assumptions!$H$222="Detailed"),-Assumptions_Detailed!X$181,MAX(IFERROR(X744-X831-X836,0),$C$871-SUM($G$868:W868)))</f>
        <v>0</v>
      </c>
      <c r="Y868" s="32">
        <f>IF(AND(Assumptions!$H$221="Yes",Assumptions!$H$222="Detailed"),-Assumptions_Detailed!Y$181,MAX(IFERROR(Y744-Y831-Y836,0),$C$871-SUM($G$868:X868)))</f>
        <v>0</v>
      </c>
      <c r="Z868" s="32">
        <f>IF(AND(Assumptions!$H$221="Yes",Assumptions!$H$222="Detailed"),-Assumptions_Detailed!Z$181,MAX(IFERROR(Z744-Z831-Z836,0),$C$871-SUM($G$868:Y868)))</f>
        <v>0</v>
      </c>
      <c r="AA868" s="32">
        <f>IF(AND(Assumptions!$H$221="Yes",Assumptions!$H$222="Detailed"),-Assumptions_Detailed!AA$181,MAX(IFERROR(AA744-AA831-AA836,0),$C$871-SUM($G$868:Z868)))</f>
        <v>0</v>
      </c>
      <c r="AB868" s="32">
        <f>IF(AND(Assumptions!$H$221="Yes",Assumptions!$H$222="Detailed"),-Assumptions_Detailed!AB$181,MAX(IFERROR(AB744-AB831-AB836,0),$C$871-SUM($G$868:AA868)))</f>
        <v>0</v>
      </c>
      <c r="AC868" s="32">
        <f>IF(AND(Assumptions!$H$221="Yes",Assumptions!$H$222="Detailed"),-Assumptions_Detailed!AC$181,MAX(IFERROR(AC744-AC831-AC836,0),$C$871-SUM($G$868:AB868)))</f>
        <v>0</v>
      </c>
      <c r="AD868" s="32">
        <f>IF(AND(Assumptions!$H$221="Yes",Assumptions!$H$222="Detailed"),-Assumptions_Detailed!AD$181,MAX(IFERROR(AD744-AD831-AD836,0),$C$871-SUM($G$868:AC868)))</f>
        <v>0</v>
      </c>
      <c r="AE868" s="32">
        <f>IF(AND(Assumptions!$H$221="Yes",Assumptions!$H$222="Detailed"),-Assumptions_Detailed!AE$181,MAX(IFERROR(AE744-AE831-AE836,0),$C$871-SUM($G$868:AD868)))</f>
        <v>0</v>
      </c>
      <c r="AF868" s="32">
        <f>IF(AND(Assumptions!$H$221="Yes",Assumptions!$H$222="Detailed"),-Assumptions_Detailed!AF$181,MAX(IFERROR(AF744-AF831-AF836,0),$C$871-SUM($G$868:AE868)))</f>
        <v>0</v>
      </c>
      <c r="AG868" s="32">
        <f>IF(AND(Assumptions!$H$221="Yes",Assumptions!$H$222="Detailed"),-Assumptions_Detailed!AG$181,MAX(IFERROR(AG744-AG831-AG836,0),$C$871-SUM($G$868:AF868)))</f>
        <v>0</v>
      </c>
      <c r="AH868" s="32">
        <f>IF(AND(Assumptions!$H$221="Yes",Assumptions!$H$222="Detailed"),-Assumptions_Detailed!AH$181,MAX(IFERROR(AH744-AH831-AH836,0),$C$871-SUM($G$868:AG868)))</f>
        <v>0</v>
      </c>
      <c r="AI868" s="32">
        <f>IF(AND(Assumptions!$H$221="Yes",Assumptions!$H$222="Detailed"),-Assumptions_Detailed!AI$181,MAX(IFERROR(AI744-AI831-AI836,0),$C$871-SUM($G$868:AH868)))</f>
        <v>0</v>
      </c>
      <c r="AJ868" s="32">
        <f>IF(AND(Assumptions!$H$221="Yes",Assumptions!$H$222="Detailed"),-Assumptions_Detailed!AJ$181,MAX(IFERROR(AJ744-AJ831-AJ836,0),$C$871-SUM($G$868:AI868)))</f>
        <v>0</v>
      </c>
      <c r="AK868" s="32">
        <f>IF(AND(Assumptions!$H$221="Yes",Assumptions!$H$222="Detailed"),-Assumptions_Detailed!AK$181,MAX(IFERROR(AK744-AK831-AK836,0),$C$871-SUM($G$868:AJ868)))</f>
        <v>0</v>
      </c>
      <c r="AL868" s="32">
        <f>IF(AND(Assumptions!$H$221="Yes",Assumptions!$H$222="Detailed"),-Assumptions_Detailed!AL$181,MAX(IFERROR(AL744-AL831-AL836,0),$C$871-SUM($G$868:AK868)))</f>
        <v>0</v>
      </c>
      <c r="AM868" s="32">
        <f>IF(AND(Assumptions!$H$221="Yes",Assumptions!$H$222="Detailed"),-Assumptions_Detailed!AM$181,MAX(IFERROR(AM744-AM831-AM836,0),$C$871-SUM($G$868:AL868)))</f>
        <v>0</v>
      </c>
      <c r="AN868" s="32">
        <f>IF(AND(Assumptions!$H$221="Yes",Assumptions!$H$222="Detailed"),-Assumptions_Detailed!AN$181,MAX(IFERROR(AN744-AN831-AN836,0),$C$871-SUM($G$868:AM868)))</f>
        <v>0</v>
      </c>
      <c r="AO868" s="32">
        <f>IF(AND(Assumptions!$H$221="Yes",Assumptions!$H$222="Detailed"),-Assumptions_Detailed!AO$181,MAX(IFERROR(AO744-AO831-AO836,0),$C$871-SUM($G$868:AN868)))</f>
        <v>0</v>
      </c>
      <c r="AP868" s="32">
        <f>IF(AND(Assumptions!$H$221="Yes",Assumptions!$H$222="Detailed"),-Assumptions_Detailed!AP$181,MAX(IFERROR(AP744-AP831-AP836,0),$C$871-SUM($G$868:AO868)))</f>
        <v>0</v>
      </c>
      <c r="AQ868" s="32">
        <f>IF(AND(Assumptions!$H$221="Yes",Assumptions!$H$222="Detailed"),-Assumptions_Detailed!AQ$181,MAX(IFERROR(AQ744-AQ831-AQ836,0),$C$871-SUM($G$868:AP868)))</f>
        <v>0</v>
      </c>
      <c r="AR868" s="32">
        <f>IF(AND(Assumptions!$H$221="Yes",Assumptions!$H$222="Detailed"),-Assumptions_Detailed!AR$181,MAX(IFERROR(AR744-AR831-AR836,0),$C$871-SUM($G$868:AQ868)))</f>
        <v>0</v>
      </c>
      <c r="AS868" s="32">
        <f>IF(AND(Assumptions!$H$221="Yes",Assumptions!$H$222="Detailed"),-Assumptions_Detailed!AS$181,MAX(IFERROR(AS744-AS831-AS836,0),$C$871-SUM($G$868:AR868)))</f>
        <v>0</v>
      </c>
      <c r="AT868" s="32">
        <f>IF(AND(Assumptions!$H$221="Yes",Assumptions!$H$222="Detailed"),-Assumptions_Detailed!AT$181,MAX(IFERROR(AT744-AT831-AT836,0),$C$871-SUM($G$868:AS868)))</f>
        <v>0</v>
      </c>
      <c r="AU868" s="32">
        <f>IF(AND(Assumptions!$H$221="Yes",Assumptions!$H$222="Detailed"),-Assumptions_Detailed!AU$181,MAX(IFERROR(AU744-AU831-AU836,0),$C$871-SUM($G$868:AT868)))</f>
        <v>0</v>
      </c>
      <c r="AV868" s="32">
        <f>IF(AND(Assumptions!$H$221="Yes",Assumptions!$H$222="Detailed"),-Assumptions_Detailed!AV$181,MAX(IFERROR(AV744-AV831-AV836,0),$C$871-SUM($G$868:AU868)))</f>
        <v>0</v>
      </c>
      <c r="AW868" s="32">
        <f>IF(AND(Assumptions!$H$221="Yes",Assumptions!$H$222="Detailed"),-Assumptions_Detailed!AW$181,MAX(IFERROR(AW744-AW831-AW836,0),$C$871-SUM($G$868:AV868)))</f>
        <v>0</v>
      </c>
      <c r="AX868" s="32">
        <f>IF(AND(Assumptions!$H$221="Yes",Assumptions!$H$222="Detailed"),-Assumptions_Detailed!AX$181,MAX(IFERROR(AX744-AX831-AX836,0),$C$871-SUM($G$868:AW868)))</f>
        <v>0</v>
      </c>
      <c r="AY868" s="32">
        <f>IF(AND(Assumptions!$H$221="Yes",Assumptions!$H$222="Detailed"),-Assumptions_Detailed!AY$181,MAX(IFERROR(AY744-AY831-AY836,0),$C$871-SUM($G$868:AX868)))</f>
        <v>0</v>
      </c>
      <c r="AZ868" s="32">
        <f>IF(AND(Assumptions!$H$221="Yes",Assumptions!$H$222="Detailed"),-Assumptions_Detailed!AZ$181,MAX(IFERROR(AZ744-AZ831-AZ836,0),$C$871-SUM($G$868:AY868)))</f>
        <v>0</v>
      </c>
      <c r="BA868" s="32">
        <f>IF(AND(Assumptions!$H$221="Yes",Assumptions!$H$222="Detailed"),-Assumptions_Detailed!BA$181,MAX(IFERROR(BA744-BA831-BA836,0),$C$871-SUM($G$868:AZ868)))</f>
        <v>0</v>
      </c>
      <c r="BB868" s="32">
        <f>IF(AND(Assumptions!$H$221="Yes",Assumptions!$H$222="Detailed"),-Assumptions_Detailed!BB$181,MAX(IFERROR(BB744-BB831-BB836,0),$C$871-SUM($G$868:BA868)))</f>
        <v>0</v>
      </c>
      <c r="BC868" s="32">
        <f>IF(AND(Assumptions!$H$221="Yes",Assumptions!$H$222="Detailed"),-Assumptions_Detailed!BC$181,MAX(IFERROR(BC744-BC831-BC836,0),$C$871-SUM($G$868:BB868)))</f>
        <v>0</v>
      </c>
      <c r="BD868" s="32">
        <f>IF(AND(Assumptions!$H$221="Yes",Assumptions!$H$222="Detailed"),-Assumptions_Detailed!BD$181,MAX(IFERROR(BD744-BD831-BD836,0),$C$871-SUM($G$868:BC868)))</f>
        <v>0</v>
      </c>
      <c r="BE868" s="32">
        <f>IF(AND(Assumptions!$H$221="Yes",Assumptions!$H$222="Detailed"),-Assumptions_Detailed!BE$181,MAX(IFERROR(BE744-BE831-BE836,0),$C$871-SUM($G$868:BD868)))</f>
        <v>0</v>
      </c>
      <c r="BF868" s="32">
        <f>IF(AND(Assumptions!$H$221="Yes",Assumptions!$H$222="Detailed"),-Assumptions_Detailed!BF$181,MAX(IFERROR(BF744-BF831-BF836,0),$C$871-SUM($G$868:BE868)))</f>
        <v>0</v>
      </c>
      <c r="BG868" s="32">
        <f>IF(AND(Assumptions!$H$221="Yes",Assumptions!$H$222="Detailed"),-Assumptions_Detailed!BG$181,MAX(IFERROR(BG744-BG831-BG836,0),$C$871-SUM($G$868:BF868)))</f>
        <v>0</v>
      </c>
      <c r="BH868" s="32">
        <f>IF(AND(Assumptions!$H$221="Yes",Assumptions!$H$222="Detailed"),-Assumptions_Detailed!BH$181,MAX(IFERROR(BH744-BH831-BH836,0),$C$871-SUM($G$868:BG868)))</f>
        <v>0</v>
      </c>
      <c r="BI868" s="32">
        <f>IF(AND(Assumptions!$H$221="Yes",Assumptions!$H$222="Detailed"),-Assumptions_Detailed!BI$181,MAX(IFERROR(BI744-BI831-BI836,0),$C$871-SUM($G$868:BH868)))</f>
        <v>0</v>
      </c>
      <c r="BJ868" s="32">
        <f>IF(AND(Assumptions!$H$221="Yes",Assumptions!$H$222="Detailed"),-Assumptions_Detailed!BJ$181,MAX(IFERROR(BJ744-BJ831-BJ836,0),$C$871-SUM($G$868:BI868)))</f>
        <v>0</v>
      </c>
      <c r="BK868" s="32">
        <f>IF(AND(Assumptions!$H$221="Yes",Assumptions!$H$222="Detailed"),-Assumptions_Detailed!BK$181,MAX(IFERROR(BK744-BK831-BK836,0),$C$871-SUM($G$868:BJ868)))</f>
        <v>0</v>
      </c>
      <c r="BL868" s="32">
        <f>IF(AND(Assumptions!$H$221="Yes",Assumptions!$H$222="Detailed"),-Assumptions_Detailed!BL$181,MAX(IFERROR(BL744-BL831-BL836,0),$C$871-SUM($G$868:BK868)))</f>
        <v>0</v>
      </c>
      <c r="BM868" s="32">
        <f>IF(AND(Assumptions!$H$221="Yes",Assumptions!$H$222="Detailed"),-Assumptions_Detailed!BM$181,MAX(IFERROR(BM744-BM831-BM836,0),$C$871-SUM($G$868:BL868)))</f>
        <v>0</v>
      </c>
      <c r="BN868" s="32">
        <f>IF(AND(Assumptions!$H$221="Yes",Assumptions!$H$222="Detailed"),-Assumptions_Detailed!BN$181,MAX(IFERROR(BN744-BN831-BN836,0),$C$871-SUM($G$868:BM868)))</f>
        <v>0</v>
      </c>
      <c r="BO868" s="32">
        <f>IF(AND(Assumptions!$H$221="Yes",Assumptions!$H$222="Detailed"),-Assumptions_Detailed!BO$181,MAX(IFERROR(BO744-BO831-BO836,0),$C$871-SUM($G$868:BN868)))</f>
        <v>0</v>
      </c>
      <c r="BP868" s="32">
        <f>IF(AND(Assumptions!$H$221="Yes",Assumptions!$H$222="Detailed"),-Assumptions_Detailed!BP$181,MAX(IFERROR(BP744-BP831-BP836,0),$C$871-SUM($G$868:BO868)))</f>
        <v>0</v>
      </c>
      <c r="BQ868" s="32">
        <f>IF(AND(Assumptions!$H$221="Yes",Assumptions!$H$222="Detailed"),-Assumptions_Detailed!BQ$181,MAX(IFERROR(BQ744-BQ831-BQ836,0),$C$871-SUM($G$868:BP868)))</f>
        <v>0</v>
      </c>
      <c r="BR868" s="32">
        <f>IF(AND(Assumptions!$H$221="Yes",Assumptions!$H$222="Detailed"),-Assumptions_Detailed!BR$181,MAX(IFERROR(BR744-BR831-BR836,0),$C$871-SUM($G$868:BQ868)))</f>
        <v>0</v>
      </c>
      <c r="BS868" s="32">
        <f>IF(AND(Assumptions!$H$221="Yes",Assumptions!$H$222="Detailed"),-Assumptions_Detailed!BS$181,MAX(IFERROR(BS744-BS831-BS836,0),$C$871-SUM($G$868:BR868)))</f>
        <v>0</v>
      </c>
      <c r="BT868" s="32">
        <f>IF(AND(Assumptions!$H$221="Yes",Assumptions!$H$222="Detailed"),-Assumptions_Detailed!BT$181,MAX(IFERROR(BT744-BT831-BT836,0),$C$871-SUM($G$868:BS868)))</f>
        <v>0</v>
      </c>
      <c r="BU868" s="32">
        <f>IF(AND(Assumptions!$H$221="Yes",Assumptions!$H$222="Detailed"),-Assumptions_Detailed!BU$181,MAX(IFERROR(BU744-BU831-BU836,0),$C$871-SUM($G$868:BT868)))</f>
        <v>0</v>
      </c>
      <c r="BV868" s="32">
        <f>IF(AND(Assumptions!$H$221="Yes",Assumptions!$H$222="Detailed"),-Assumptions_Detailed!BV$181,MAX(IFERROR(BV744-BV831-BV836,0),$C$871-SUM($G$868:BU868)))</f>
        <v>0</v>
      </c>
      <c r="BW868" s="32">
        <f>IF(AND(Assumptions!$H$221="Yes",Assumptions!$H$222="Detailed"),-Assumptions_Detailed!BW$181,MAX(IFERROR(BW744-BW831-BW836,0),$C$871-SUM($G$868:BV868)))</f>
        <v>0</v>
      </c>
      <c r="BX868" s="32">
        <f>IF(AND(Assumptions!$H$221="Yes",Assumptions!$H$222="Detailed"),-Assumptions_Detailed!BX$181,MAX(IFERROR(BX744-BX831-BX836,0),$C$871-SUM($G$868:BW868)))</f>
        <v>0</v>
      </c>
      <c r="BY868" s="32">
        <f>IF(AND(Assumptions!$H$221="Yes",Assumptions!$H$222="Detailed"),-Assumptions_Detailed!BY$181,MAX(IFERROR(BY744-BY831-BY836,0),$C$871-SUM($G$868:BX868)))</f>
        <v>0</v>
      </c>
    </row>
    <row r="869" spans="3:77" outlineLevel="1">
      <c r="D869" s="31"/>
      <c r="BF869" s="33"/>
      <c r="BG869" s="33"/>
      <c r="BH869" s="33"/>
      <c r="BI869" s="33"/>
      <c r="BJ869" s="33"/>
      <c r="BK869" s="33"/>
      <c r="BL869" s="33"/>
      <c r="BM869" s="33"/>
      <c r="BN869" s="33"/>
      <c r="BO869" s="33"/>
      <c r="BP869" s="33"/>
      <c r="BQ869" s="33"/>
      <c r="BR869" s="33"/>
      <c r="BS869" s="33"/>
      <c r="BT869" s="33"/>
      <c r="BU869" s="33"/>
      <c r="BV869" s="33"/>
      <c r="BW869" s="33"/>
      <c r="BX869" s="33"/>
      <c r="BY869" s="33"/>
    </row>
    <row r="870" spans="3:77" ht="15" outlineLevel="1">
      <c r="C870" s="22" t="s">
        <v>498</v>
      </c>
      <c r="D870" s="31"/>
      <c r="BF870" s="33"/>
      <c r="BG870" s="33"/>
      <c r="BH870" s="33"/>
      <c r="BI870" s="33"/>
      <c r="BJ870" s="33"/>
      <c r="BK870" s="33"/>
      <c r="BL870" s="33"/>
      <c r="BM870" s="33"/>
      <c r="BN870" s="33"/>
      <c r="BO870" s="33"/>
      <c r="BP870" s="33"/>
      <c r="BQ870" s="33"/>
      <c r="BR870" s="33"/>
      <c r="BS870" s="33"/>
      <c r="BT870" s="33"/>
      <c r="BU870" s="33"/>
      <c r="BV870" s="33"/>
      <c r="BW870" s="33"/>
      <c r="BX870" s="33"/>
      <c r="BY870" s="33"/>
    </row>
    <row r="871" spans="3:77" outlineLevel="1">
      <c r="C871" s="94">
        <f>Assumptions!$H$237*C742</f>
        <v>0</v>
      </c>
      <c r="D871" s="31"/>
      <c r="BF871" s="33"/>
      <c r="BG871" s="33"/>
      <c r="BH871" s="33"/>
      <c r="BI871" s="33"/>
      <c r="BJ871" s="33"/>
      <c r="BK871" s="33"/>
      <c r="BL871" s="33"/>
      <c r="BM871" s="33"/>
      <c r="BN871" s="33"/>
      <c r="BO871" s="33"/>
      <c r="BP871" s="33"/>
      <c r="BQ871" s="33"/>
      <c r="BR871" s="33"/>
      <c r="BS871" s="33"/>
      <c r="BT871" s="33"/>
      <c r="BU871" s="33"/>
      <c r="BV871" s="33"/>
      <c r="BW871" s="33"/>
      <c r="BX871" s="33"/>
      <c r="BY871" s="33"/>
    </row>
    <row r="872" spans="3:77" outlineLevel="1">
      <c r="D872" s="31"/>
      <c r="E872" t="s">
        <v>499</v>
      </c>
      <c r="F872" s="23" t="s">
        <v>500</v>
      </c>
      <c r="G872" s="33"/>
      <c r="H872" s="33" t="e" vm="1">
        <f>+IF(AND(H$868=$C874,H$868&lt;0),1,0)</f>
        <v>#VALUE!</v>
      </c>
      <c r="I872" s="33" t="e" vm="1">
        <f t="shared" ref="I872:BT872" si="1803">+IF(AND(I$868=$C874,I$868&lt;0),1,0)</f>
        <v>#VALUE!</v>
      </c>
      <c r="J872" s="33" t="e" vm="1">
        <f t="shared" si="1803"/>
        <v>#VALUE!</v>
      </c>
      <c r="K872" s="33" t="e" vm="1">
        <f t="shared" si="1803"/>
        <v>#VALUE!</v>
      </c>
      <c r="L872" s="33" t="e" vm="1">
        <f t="shared" si="1803"/>
        <v>#VALUE!</v>
      </c>
      <c r="M872" s="33" t="e" vm="1">
        <f t="shared" si="1803"/>
        <v>#VALUE!</v>
      </c>
      <c r="N872" s="33" t="e" vm="1">
        <f t="shared" si="1803"/>
        <v>#VALUE!</v>
      </c>
      <c r="O872" s="33" t="e" vm="1">
        <f t="shared" si="1803"/>
        <v>#VALUE!</v>
      </c>
      <c r="P872" s="33" t="e" vm="1">
        <f t="shared" si="1803"/>
        <v>#VALUE!</v>
      </c>
      <c r="Q872" s="33" t="e" vm="1">
        <f t="shared" si="1803"/>
        <v>#VALUE!</v>
      </c>
      <c r="R872" s="33" t="e" vm="1">
        <f t="shared" si="1803"/>
        <v>#VALUE!</v>
      </c>
      <c r="S872" s="33" t="e" vm="1">
        <f t="shared" si="1803"/>
        <v>#VALUE!</v>
      </c>
      <c r="T872" s="33" t="e" vm="1">
        <f t="shared" si="1803"/>
        <v>#VALUE!</v>
      </c>
      <c r="U872" s="33" t="e" vm="1">
        <f t="shared" si="1803"/>
        <v>#VALUE!</v>
      </c>
      <c r="V872" s="33" t="e" vm="1">
        <f t="shared" si="1803"/>
        <v>#VALUE!</v>
      </c>
      <c r="W872" s="33" t="e" vm="1">
        <f t="shared" si="1803"/>
        <v>#VALUE!</v>
      </c>
      <c r="X872" s="33" t="e" vm="1">
        <f t="shared" si="1803"/>
        <v>#VALUE!</v>
      </c>
      <c r="Y872" s="33" t="e" vm="1">
        <f t="shared" si="1803"/>
        <v>#VALUE!</v>
      </c>
      <c r="Z872" s="33" t="e" vm="1">
        <f t="shared" si="1803"/>
        <v>#VALUE!</v>
      </c>
      <c r="AA872" s="33" t="e" vm="1">
        <f t="shared" si="1803"/>
        <v>#VALUE!</v>
      </c>
      <c r="AB872" s="33" t="e" vm="1">
        <f t="shared" si="1803"/>
        <v>#VALUE!</v>
      </c>
      <c r="AC872" s="33" t="e" vm="1">
        <f t="shared" si="1803"/>
        <v>#VALUE!</v>
      </c>
      <c r="AD872" s="33" t="e" vm="1">
        <f t="shared" si="1803"/>
        <v>#VALUE!</v>
      </c>
      <c r="AE872" s="33" t="e" vm="1">
        <f t="shared" si="1803"/>
        <v>#VALUE!</v>
      </c>
      <c r="AF872" s="33" t="e" vm="1">
        <f t="shared" si="1803"/>
        <v>#VALUE!</v>
      </c>
      <c r="AG872" s="33" t="e" vm="1">
        <f t="shared" si="1803"/>
        <v>#VALUE!</v>
      </c>
      <c r="AH872" s="33" t="e" vm="1">
        <f t="shared" si="1803"/>
        <v>#VALUE!</v>
      </c>
      <c r="AI872" s="33" t="e" vm="1">
        <f t="shared" si="1803"/>
        <v>#VALUE!</v>
      </c>
      <c r="AJ872" s="33" t="e" vm="1">
        <f t="shared" si="1803"/>
        <v>#VALUE!</v>
      </c>
      <c r="AK872" s="33" t="e" vm="1">
        <f t="shared" si="1803"/>
        <v>#VALUE!</v>
      </c>
      <c r="AL872" s="33" t="e" vm="1">
        <f t="shared" si="1803"/>
        <v>#VALUE!</v>
      </c>
      <c r="AM872" s="33" t="e" vm="1">
        <f t="shared" si="1803"/>
        <v>#VALUE!</v>
      </c>
      <c r="AN872" s="33" t="e" vm="1">
        <f t="shared" si="1803"/>
        <v>#VALUE!</v>
      </c>
      <c r="AO872" s="33" t="e" vm="1">
        <f t="shared" si="1803"/>
        <v>#VALUE!</v>
      </c>
      <c r="AP872" s="33" t="e" vm="1">
        <f t="shared" si="1803"/>
        <v>#VALUE!</v>
      </c>
      <c r="AQ872" s="33" t="e" vm="1">
        <f t="shared" si="1803"/>
        <v>#VALUE!</v>
      </c>
      <c r="AR872" s="33" t="e" vm="1">
        <f t="shared" si="1803"/>
        <v>#VALUE!</v>
      </c>
      <c r="AS872" s="33" t="e" vm="1">
        <f t="shared" si="1803"/>
        <v>#VALUE!</v>
      </c>
      <c r="AT872" s="33" t="e" vm="1">
        <f t="shared" si="1803"/>
        <v>#VALUE!</v>
      </c>
      <c r="AU872" s="33" t="e" vm="1">
        <f t="shared" si="1803"/>
        <v>#VALUE!</v>
      </c>
      <c r="AV872" s="33" t="e" vm="1">
        <f t="shared" si="1803"/>
        <v>#VALUE!</v>
      </c>
      <c r="AW872" s="33" t="e" vm="1">
        <f t="shared" si="1803"/>
        <v>#VALUE!</v>
      </c>
      <c r="AX872" s="33" t="e" vm="1">
        <f t="shared" si="1803"/>
        <v>#VALUE!</v>
      </c>
      <c r="AY872" s="33" t="e" vm="1">
        <f t="shared" si="1803"/>
        <v>#VALUE!</v>
      </c>
      <c r="AZ872" s="33" t="e" vm="1">
        <f t="shared" si="1803"/>
        <v>#VALUE!</v>
      </c>
      <c r="BA872" s="33" t="e" vm="1">
        <f t="shared" si="1803"/>
        <v>#VALUE!</v>
      </c>
      <c r="BB872" s="33" t="e" vm="1">
        <f t="shared" si="1803"/>
        <v>#VALUE!</v>
      </c>
      <c r="BC872" s="33" t="e" vm="1">
        <f t="shared" si="1803"/>
        <v>#VALUE!</v>
      </c>
      <c r="BD872" s="33" t="e" vm="1">
        <f t="shared" si="1803"/>
        <v>#VALUE!</v>
      </c>
      <c r="BE872" s="33" t="e" vm="1">
        <f t="shared" si="1803"/>
        <v>#VALUE!</v>
      </c>
      <c r="BF872" s="33" t="e" vm="1">
        <f t="shared" si="1803"/>
        <v>#VALUE!</v>
      </c>
      <c r="BG872" s="33" t="e" vm="1">
        <f t="shared" si="1803"/>
        <v>#VALUE!</v>
      </c>
      <c r="BH872" s="33" t="e" vm="1">
        <f t="shared" si="1803"/>
        <v>#VALUE!</v>
      </c>
      <c r="BI872" s="33" t="e" vm="1">
        <f t="shared" si="1803"/>
        <v>#VALUE!</v>
      </c>
      <c r="BJ872" s="33" t="e" vm="1">
        <f t="shared" si="1803"/>
        <v>#VALUE!</v>
      </c>
      <c r="BK872" s="33" t="e" vm="1">
        <f t="shared" si="1803"/>
        <v>#VALUE!</v>
      </c>
      <c r="BL872" s="33" t="e" vm="1">
        <f t="shared" si="1803"/>
        <v>#VALUE!</v>
      </c>
      <c r="BM872" s="33" t="e" vm="1">
        <f t="shared" si="1803"/>
        <v>#VALUE!</v>
      </c>
      <c r="BN872" s="33" t="e" vm="1">
        <f t="shared" si="1803"/>
        <v>#VALUE!</v>
      </c>
      <c r="BO872" s="33" t="e" vm="1">
        <f t="shared" si="1803"/>
        <v>#VALUE!</v>
      </c>
      <c r="BP872" s="33" t="e" vm="1">
        <f t="shared" si="1803"/>
        <v>#VALUE!</v>
      </c>
      <c r="BQ872" s="33" t="e" vm="1">
        <f t="shared" si="1803"/>
        <v>#VALUE!</v>
      </c>
      <c r="BR872" s="33" t="e" vm="1">
        <f t="shared" si="1803"/>
        <v>#VALUE!</v>
      </c>
      <c r="BS872" s="33" t="e" vm="1">
        <f t="shared" si="1803"/>
        <v>#VALUE!</v>
      </c>
      <c r="BT872" s="33" t="e" vm="1">
        <f t="shared" si="1803"/>
        <v>#VALUE!</v>
      </c>
      <c r="BU872" s="33" t="e" vm="1">
        <f t="shared" ref="BU872:BY872" si="1804">+IF(AND(BU$868=$C874,BU$868&lt;0),1,0)</f>
        <v>#VALUE!</v>
      </c>
      <c r="BV872" s="33" t="e" vm="1">
        <f t="shared" si="1804"/>
        <v>#VALUE!</v>
      </c>
      <c r="BW872" s="33" t="e" vm="1">
        <f t="shared" si="1804"/>
        <v>#VALUE!</v>
      </c>
      <c r="BX872" s="33" t="e" vm="1">
        <f t="shared" si="1804"/>
        <v>#VALUE!</v>
      </c>
      <c r="BY872" s="33" t="e" vm="1">
        <f t="shared" si="1804"/>
        <v>#VALUE!</v>
      </c>
    </row>
    <row r="873" spans="3:77" ht="15" outlineLevel="1">
      <c r="C873" s="22" t="s">
        <v>501</v>
      </c>
      <c r="D873" s="31"/>
      <c r="E873" t="s">
        <v>502</v>
      </c>
      <c r="F873" s="23" t="s">
        <v>500</v>
      </c>
      <c r="H873" s="33">
        <f t="shared" ref="H873:BS873" si="1805">+IF(AND(H$868=$C875,H$868&lt;0),1,0)</f>
        <v>0</v>
      </c>
      <c r="I873" s="33">
        <f t="shared" si="1805"/>
        <v>0</v>
      </c>
      <c r="J873" s="33">
        <f t="shared" si="1805"/>
        <v>0</v>
      </c>
      <c r="K873" s="33">
        <f t="shared" si="1805"/>
        <v>0</v>
      </c>
      <c r="L873" s="33">
        <f t="shared" si="1805"/>
        <v>0</v>
      </c>
      <c r="M873" s="33">
        <f t="shared" si="1805"/>
        <v>0</v>
      </c>
      <c r="N873" s="33">
        <f t="shared" si="1805"/>
        <v>0</v>
      </c>
      <c r="O873" s="33">
        <f t="shared" si="1805"/>
        <v>0</v>
      </c>
      <c r="P873" s="33">
        <f t="shared" si="1805"/>
        <v>0</v>
      </c>
      <c r="Q873" s="33">
        <f t="shared" si="1805"/>
        <v>0</v>
      </c>
      <c r="R873" s="33">
        <f t="shared" si="1805"/>
        <v>0</v>
      </c>
      <c r="S873" s="33">
        <f t="shared" si="1805"/>
        <v>0</v>
      </c>
      <c r="T873" s="33">
        <f t="shared" si="1805"/>
        <v>0</v>
      </c>
      <c r="U873" s="33">
        <f t="shared" si="1805"/>
        <v>0</v>
      </c>
      <c r="V873" s="33">
        <f t="shared" si="1805"/>
        <v>0</v>
      </c>
      <c r="W873" s="33">
        <f t="shared" si="1805"/>
        <v>0</v>
      </c>
      <c r="X873" s="33">
        <f t="shared" si="1805"/>
        <v>0</v>
      </c>
      <c r="Y873" s="33">
        <f t="shared" si="1805"/>
        <v>0</v>
      </c>
      <c r="Z873" s="33">
        <f t="shared" si="1805"/>
        <v>0</v>
      </c>
      <c r="AA873" s="33">
        <f t="shared" si="1805"/>
        <v>0</v>
      </c>
      <c r="AB873" s="33">
        <f t="shared" si="1805"/>
        <v>0</v>
      </c>
      <c r="AC873" s="33">
        <f t="shared" si="1805"/>
        <v>0</v>
      </c>
      <c r="AD873" s="33">
        <f t="shared" si="1805"/>
        <v>0</v>
      </c>
      <c r="AE873" s="33">
        <f t="shared" si="1805"/>
        <v>0</v>
      </c>
      <c r="AF873" s="33">
        <f t="shared" si="1805"/>
        <v>0</v>
      </c>
      <c r="AG873" s="33">
        <f t="shared" si="1805"/>
        <v>0</v>
      </c>
      <c r="AH873" s="33">
        <f t="shared" si="1805"/>
        <v>0</v>
      </c>
      <c r="AI873" s="33">
        <f t="shared" si="1805"/>
        <v>0</v>
      </c>
      <c r="AJ873" s="33">
        <f t="shared" si="1805"/>
        <v>0</v>
      </c>
      <c r="AK873" s="33">
        <f t="shared" si="1805"/>
        <v>0</v>
      </c>
      <c r="AL873" s="33">
        <f t="shared" si="1805"/>
        <v>0</v>
      </c>
      <c r="AM873" s="33">
        <f t="shared" si="1805"/>
        <v>0</v>
      </c>
      <c r="AN873" s="33">
        <f t="shared" si="1805"/>
        <v>0</v>
      </c>
      <c r="AO873" s="33">
        <f t="shared" si="1805"/>
        <v>0</v>
      </c>
      <c r="AP873" s="33">
        <f t="shared" si="1805"/>
        <v>0</v>
      </c>
      <c r="AQ873" s="33">
        <f t="shared" si="1805"/>
        <v>0</v>
      </c>
      <c r="AR873" s="33">
        <f t="shared" si="1805"/>
        <v>0</v>
      </c>
      <c r="AS873" s="33">
        <f t="shared" si="1805"/>
        <v>0</v>
      </c>
      <c r="AT873" s="33">
        <f t="shared" si="1805"/>
        <v>0</v>
      </c>
      <c r="AU873" s="33">
        <f t="shared" si="1805"/>
        <v>0</v>
      </c>
      <c r="AV873" s="33">
        <f t="shared" si="1805"/>
        <v>0</v>
      </c>
      <c r="AW873" s="33">
        <f t="shared" si="1805"/>
        <v>0</v>
      </c>
      <c r="AX873" s="33">
        <f t="shared" si="1805"/>
        <v>0</v>
      </c>
      <c r="AY873" s="33">
        <f t="shared" si="1805"/>
        <v>0</v>
      </c>
      <c r="AZ873" s="33">
        <f t="shared" si="1805"/>
        <v>0</v>
      </c>
      <c r="BA873" s="33">
        <f t="shared" si="1805"/>
        <v>0</v>
      </c>
      <c r="BB873" s="33">
        <f t="shared" si="1805"/>
        <v>0</v>
      </c>
      <c r="BC873" s="33">
        <f t="shared" si="1805"/>
        <v>0</v>
      </c>
      <c r="BD873" s="33">
        <f t="shared" si="1805"/>
        <v>0</v>
      </c>
      <c r="BE873" s="33">
        <f t="shared" si="1805"/>
        <v>0</v>
      </c>
      <c r="BF873" s="33">
        <f t="shared" si="1805"/>
        <v>0</v>
      </c>
      <c r="BG873" s="33">
        <f t="shared" si="1805"/>
        <v>0</v>
      </c>
      <c r="BH873" s="33">
        <f t="shared" si="1805"/>
        <v>0</v>
      </c>
      <c r="BI873" s="33">
        <f t="shared" si="1805"/>
        <v>0</v>
      </c>
      <c r="BJ873" s="33">
        <f t="shared" si="1805"/>
        <v>0</v>
      </c>
      <c r="BK873" s="33">
        <f t="shared" si="1805"/>
        <v>0</v>
      </c>
      <c r="BL873" s="33">
        <f t="shared" si="1805"/>
        <v>0</v>
      </c>
      <c r="BM873" s="33">
        <f t="shared" si="1805"/>
        <v>0</v>
      </c>
      <c r="BN873" s="33">
        <f t="shared" si="1805"/>
        <v>0</v>
      </c>
      <c r="BO873" s="33">
        <f t="shared" si="1805"/>
        <v>0</v>
      </c>
      <c r="BP873" s="33">
        <f t="shared" si="1805"/>
        <v>0</v>
      </c>
      <c r="BQ873" s="33">
        <f t="shared" si="1805"/>
        <v>0</v>
      </c>
      <c r="BR873" s="33">
        <f t="shared" si="1805"/>
        <v>0</v>
      </c>
      <c r="BS873" s="33">
        <f t="shared" si="1805"/>
        <v>0</v>
      </c>
      <c r="BT873" s="33">
        <f t="shared" ref="BT873:BY873" si="1806">+IF(AND(BT$868=$C875,BT$868&lt;0),1,0)</f>
        <v>0</v>
      </c>
      <c r="BU873" s="33">
        <f t="shared" si="1806"/>
        <v>0</v>
      </c>
      <c r="BV873" s="33">
        <f t="shared" si="1806"/>
        <v>0</v>
      </c>
      <c r="BW873" s="33">
        <f t="shared" si="1806"/>
        <v>0</v>
      </c>
      <c r="BX873" s="33">
        <f t="shared" si="1806"/>
        <v>0</v>
      </c>
      <c r="BY873" s="33">
        <f t="shared" si="1806"/>
        <v>0</v>
      </c>
    </row>
    <row r="874" spans="3:77" outlineLevel="1">
      <c r="C874" s="32" t="e" cm="1" vm="2">
        <f t="array" ref="C874">+TRANSPOSE(_xlfn._xlws.FILTER(H868:BY868,H868:BY868))</f>
        <v>#VALUE!</v>
      </c>
      <c r="D874" s="31"/>
      <c r="E874" t="s">
        <v>503</v>
      </c>
      <c r="F874" s="23" t="s">
        <v>500</v>
      </c>
      <c r="H874" s="33">
        <f t="shared" ref="H874:BS874" si="1807">+IF(AND(H$868=$C876,H$868&lt;0),1,0)</f>
        <v>0</v>
      </c>
      <c r="I874" s="33">
        <f t="shared" si="1807"/>
        <v>0</v>
      </c>
      <c r="J874" s="33">
        <f t="shared" si="1807"/>
        <v>0</v>
      </c>
      <c r="K874" s="33">
        <f t="shared" si="1807"/>
        <v>0</v>
      </c>
      <c r="L874" s="33">
        <f t="shared" si="1807"/>
        <v>0</v>
      </c>
      <c r="M874" s="33">
        <f t="shared" si="1807"/>
        <v>0</v>
      </c>
      <c r="N874" s="33">
        <f t="shared" si="1807"/>
        <v>0</v>
      </c>
      <c r="O874" s="33">
        <f t="shared" si="1807"/>
        <v>0</v>
      </c>
      <c r="P874" s="33">
        <f t="shared" si="1807"/>
        <v>0</v>
      </c>
      <c r="Q874" s="33">
        <f t="shared" si="1807"/>
        <v>0</v>
      </c>
      <c r="R874" s="33">
        <f t="shared" si="1807"/>
        <v>0</v>
      </c>
      <c r="S874" s="33">
        <f t="shared" si="1807"/>
        <v>0</v>
      </c>
      <c r="T874" s="33">
        <f t="shared" si="1807"/>
        <v>0</v>
      </c>
      <c r="U874" s="33">
        <f t="shared" si="1807"/>
        <v>0</v>
      </c>
      <c r="V874" s="33">
        <f t="shared" si="1807"/>
        <v>0</v>
      </c>
      <c r="W874" s="33">
        <f t="shared" si="1807"/>
        <v>0</v>
      </c>
      <c r="X874" s="33">
        <f t="shared" si="1807"/>
        <v>0</v>
      </c>
      <c r="Y874" s="33">
        <f t="shared" si="1807"/>
        <v>0</v>
      </c>
      <c r="Z874" s="33">
        <f t="shared" si="1807"/>
        <v>0</v>
      </c>
      <c r="AA874" s="33">
        <f t="shared" si="1807"/>
        <v>0</v>
      </c>
      <c r="AB874" s="33">
        <f t="shared" si="1807"/>
        <v>0</v>
      </c>
      <c r="AC874" s="33">
        <f t="shared" si="1807"/>
        <v>0</v>
      </c>
      <c r="AD874" s="33">
        <f t="shared" si="1807"/>
        <v>0</v>
      </c>
      <c r="AE874" s="33">
        <f t="shared" si="1807"/>
        <v>0</v>
      </c>
      <c r="AF874" s="33">
        <f t="shared" si="1807"/>
        <v>0</v>
      </c>
      <c r="AG874" s="33">
        <f t="shared" si="1807"/>
        <v>0</v>
      </c>
      <c r="AH874" s="33">
        <f t="shared" si="1807"/>
        <v>0</v>
      </c>
      <c r="AI874" s="33">
        <f t="shared" si="1807"/>
        <v>0</v>
      </c>
      <c r="AJ874" s="33">
        <f t="shared" si="1807"/>
        <v>0</v>
      </c>
      <c r="AK874" s="33">
        <f t="shared" si="1807"/>
        <v>0</v>
      </c>
      <c r="AL874" s="33">
        <f t="shared" si="1807"/>
        <v>0</v>
      </c>
      <c r="AM874" s="33">
        <f t="shared" si="1807"/>
        <v>0</v>
      </c>
      <c r="AN874" s="33">
        <f t="shared" si="1807"/>
        <v>0</v>
      </c>
      <c r="AO874" s="33">
        <f t="shared" si="1807"/>
        <v>0</v>
      </c>
      <c r="AP874" s="33">
        <f t="shared" si="1807"/>
        <v>0</v>
      </c>
      <c r="AQ874" s="33">
        <f t="shared" si="1807"/>
        <v>0</v>
      </c>
      <c r="AR874" s="33">
        <f t="shared" si="1807"/>
        <v>0</v>
      </c>
      <c r="AS874" s="33">
        <f t="shared" si="1807"/>
        <v>0</v>
      </c>
      <c r="AT874" s="33">
        <f t="shared" si="1807"/>
        <v>0</v>
      </c>
      <c r="AU874" s="33">
        <f t="shared" si="1807"/>
        <v>0</v>
      </c>
      <c r="AV874" s="33">
        <f t="shared" si="1807"/>
        <v>0</v>
      </c>
      <c r="AW874" s="33">
        <f t="shared" si="1807"/>
        <v>0</v>
      </c>
      <c r="AX874" s="33">
        <f t="shared" si="1807"/>
        <v>0</v>
      </c>
      <c r="AY874" s="33">
        <f t="shared" si="1807"/>
        <v>0</v>
      </c>
      <c r="AZ874" s="33">
        <f t="shared" si="1807"/>
        <v>0</v>
      </c>
      <c r="BA874" s="33">
        <f t="shared" si="1807"/>
        <v>0</v>
      </c>
      <c r="BB874" s="33">
        <f t="shared" si="1807"/>
        <v>0</v>
      </c>
      <c r="BC874" s="33">
        <f t="shared" si="1807"/>
        <v>0</v>
      </c>
      <c r="BD874" s="33">
        <f t="shared" si="1807"/>
        <v>0</v>
      </c>
      <c r="BE874" s="33">
        <f t="shared" si="1807"/>
        <v>0</v>
      </c>
      <c r="BF874" s="33">
        <f t="shared" si="1807"/>
        <v>0</v>
      </c>
      <c r="BG874" s="33">
        <f t="shared" si="1807"/>
        <v>0</v>
      </c>
      <c r="BH874" s="33">
        <f t="shared" si="1807"/>
        <v>0</v>
      </c>
      <c r="BI874" s="33">
        <f t="shared" si="1807"/>
        <v>0</v>
      </c>
      <c r="BJ874" s="33">
        <f t="shared" si="1807"/>
        <v>0</v>
      </c>
      <c r="BK874" s="33">
        <f t="shared" si="1807"/>
        <v>0</v>
      </c>
      <c r="BL874" s="33">
        <f t="shared" si="1807"/>
        <v>0</v>
      </c>
      <c r="BM874" s="33">
        <f t="shared" si="1807"/>
        <v>0</v>
      </c>
      <c r="BN874" s="33">
        <f t="shared" si="1807"/>
        <v>0</v>
      </c>
      <c r="BO874" s="33">
        <f t="shared" si="1807"/>
        <v>0</v>
      </c>
      <c r="BP874" s="33">
        <f t="shared" si="1807"/>
        <v>0</v>
      </c>
      <c r="BQ874" s="33">
        <f t="shared" si="1807"/>
        <v>0</v>
      </c>
      <c r="BR874" s="33">
        <f t="shared" si="1807"/>
        <v>0</v>
      </c>
      <c r="BS874" s="33">
        <f t="shared" si="1807"/>
        <v>0</v>
      </c>
      <c r="BT874" s="33">
        <f t="shared" ref="BT874:BY874" si="1808">+IF(AND(BT$868=$C876,BT$868&lt;0),1,0)</f>
        <v>0</v>
      </c>
      <c r="BU874" s="33">
        <f t="shared" si="1808"/>
        <v>0</v>
      </c>
      <c r="BV874" s="33">
        <f t="shared" si="1808"/>
        <v>0</v>
      </c>
      <c r="BW874" s="33">
        <f t="shared" si="1808"/>
        <v>0</v>
      </c>
      <c r="BX874" s="33">
        <f t="shared" si="1808"/>
        <v>0</v>
      </c>
      <c r="BY874" s="33">
        <f t="shared" si="1808"/>
        <v>0</v>
      </c>
    </row>
    <row r="875" spans="3:77" outlineLevel="1">
      <c r="C875" s="32"/>
      <c r="D875" s="31"/>
      <c r="E875" t="s">
        <v>504</v>
      </c>
      <c r="F875" s="23" t="s">
        <v>500</v>
      </c>
      <c r="H875" s="33">
        <f t="shared" ref="H875:BS875" si="1809">+IF(AND(H$868=$C877,H$868&lt;0),1,0)</f>
        <v>0</v>
      </c>
      <c r="I875" s="33">
        <f t="shared" si="1809"/>
        <v>0</v>
      </c>
      <c r="J875" s="33">
        <f t="shared" si="1809"/>
        <v>0</v>
      </c>
      <c r="K875" s="33">
        <f t="shared" si="1809"/>
        <v>0</v>
      </c>
      <c r="L875" s="33">
        <f t="shared" si="1809"/>
        <v>0</v>
      </c>
      <c r="M875" s="33">
        <f t="shared" si="1809"/>
        <v>0</v>
      </c>
      <c r="N875" s="33">
        <f t="shared" si="1809"/>
        <v>0</v>
      </c>
      <c r="O875" s="33">
        <f t="shared" si="1809"/>
        <v>0</v>
      </c>
      <c r="P875" s="33">
        <f t="shared" si="1809"/>
        <v>0</v>
      </c>
      <c r="Q875" s="33">
        <f t="shared" si="1809"/>
        <v>0</v>
      </c>
      <c r="R875" s="33">
        <f t="shared" si="1809"/>
        <v>0</v>
      </c>
      <c r="S875" s="33">
        <f t="shared" si="1809"/>
        <v>0</v>
      </c>
      <c r="T875" s="33">
        <f t="shared" si="1809"/>
        <v>0</v>
      </c>
      <c r="U875" s="33">
        <f t="shared" si="1809"/>
        <v>0</v>
      </c>
      <c r="V875" s="33">
        <f t="shared" si="1809"/>
        <v>0</v>
      </c>
      <c r="W875" s="33">
        <f t="shared" si="1809"/>
        <v>0</v>
      </c>
      <c r="X875" s="33">
        <f t="shared" si="1809"/>
        <v>0</v>
      </c>
      <c r="Y875" s="33">
        <f t="shared" si="1809"/>
        <v>0</v>
      </c>
      <c r="Z875" s="33">
        <f t="shared" si="1809"/>
        <v>0</v>
      </c>
      <c r="AA875" s="33">
        <f t="shared" si="1809"/>
        <v>0</v>
      </c>
      <c r="AB875" s="33">
        <f t="shared" si="1809"/>
        <v>0</v>
      </c>
      <c r="AC875" s="33">
        <f t="shared" si="1809"/>
        <v>0</v>
      </c>
      <c r="AD875" s="33">
        <f t="shared" si="1809"/>
        <v>0</v>
      </c>
      <c r="AE875" s="33">
        <f t="shared" si="1809"/>
        <v>0</v>
      </c>
      <c r="AF875" s="33">
        <f t="shared" si="1809"/>
        <v>0</v>
      </c>
      <c r="AG875" s="33">
        <f t="shared" si="1809"/>
        <v>0</v>
      </c>
      <c r="AH875" s="33">
        <f t="shared" si="1809"/>
        <v>0</v>
      </c>
      <c r="AI875" s="33">
        <f t="shared" si="1809"/>
        <v>0</v>
      </c>
      <c r="AJ875" s="33">
        <f t="shared" si="1809"/>
        <v>0</v>
      </c>
      <c r="AK875" s="33">
        <f t="shared" si="1809"/>
        <v>0</v>
      </c>
      <c r="AL875" s="33">
        <f t="shared" si="1809"/>
        <v>0</v>
      </c>
      <c r="AM875" s="33">
        <f t="shared" si="1809"/>
        <v>0</v>
      </c>
      <c r="AN875" s="33">
        <f t="shared" si="1809"/>
        <v>0</v>
      </c>
      <c r="AO875" s="33">
        <f t="shared" si="1809"/>
        <v>0</v>
      </c>
      <c r="AP875" s="33">
        <f t="shared" si="1809"/>
        <v>0</v>
      </c>
      <c r="AQ875" s="33">
        <f t="shared" si="1809"/>
        <v>0</v>
      </c>
      <c r="AR875" s="33">
        <f t="shared" si="1809"/>
        <v>0</v>
      </c>
      <c r="AS875" s="33">
        <f t="shared" si="1809"/>
        <v>0</v>
      </c>
      <c r="AT875" s="33">
        <f t="shared" si="1809"/>
        <v>0</v>
      </c>
      <c r="AU875" s="33">
        <f t="shared" si="1809"/>
        <v>0</v>
      </c>
      <c r="AV875" s="33">
        <f t="shared" si="1809"/>
        <v>0</v>
      </c>
      <c r="AW875" s="33">
        <f t="shared" si="1809"/>
        <v>0</v>
      </c>
      <c r="AX875" s="33">
        <f t="shared" si="1809"/>
        <v>0</v>
      </c>
      <c r="AY875" s="33">
        <f t="shared" si="1809"/>
        <v>0</v>
      </c>
      <c r="AZ875" s="33">
        <f t="shared" si="1809"/>
        <v>0</v>
      </c>
      <c r="BA875" s="33">
        <f t="shared" si="1809"/>
        <v>0</v>
      </c>
      <c r="BB875" s="33">
        <f t="shared" si="1809"/>
        <v>0</v>
      </c>
      <c r="BC875" s="33">
        <f t="shared" si="1809"/>
        <v>0</v>
      </c>
      <c r="BD875" s="33">
        <f t="shared" si="1809"/>
        <v>0</v>
      </c>
      <c r="BE875" s="33">
        <f t="shared" si="1809"/>
        <v>0</v>
      </c>
      <c r="BF875" s="33">
        <f t="shared" si="1809"/>
        <v>0</v>
      </c>
      <c r="BG875" s="33">
        <f t="shared" si="1809"/>
        <v>0</v>
      </c>
      <c r="BH875" s="33">
        <f t="shared" si="1809"/>
        <v>0</v>
      </c>
      <c r="BI875" s="33">
        <f t="shared" si="1809"/>
        <v>0</v>
      </c>
      <c r="BJ875" s="33">
        <f t="shared" si="1809"/>
        <v>0</v>
      </c>
      <c r="BK875" s="33">
        <f t="shared" si="1809"/>
        <v>0</v>
      </c>
      <c r="BL875" s="33">
        <f t="shared" si="1809"/>
        <v>0</v>
      </c>
      <c r="BM875" s="33">
        <f t="shared" si="1809"/>
        <v>0</v>
      </c>
      <c r="BN875" s="33">
        <f t="shared" si="1809"/>
        <v>0</v>
      </c>
      <c r="BO875" s="33">
        <f t="shared" si="1809"/>
        <v>0</v>
      </c>
      <c r="BP875" s="33">
        <f t="shared" si="1809"/>
        <v>0</v>
      </c>
      <c r="BQ875" s="33">
        <f t="shared" si="1809"/>
        <v>0</v>
      </c>
      <c r="BR875" s="33">
        <f t="shared" si="1809"/>
        <v>0</v>
      </c>
      <c r="BS875" s="33">
        <f t="shared" si="1809"/>
        <v>0</v>
      </c>
      <c r="BT875" s="33">
        <f t="shared" ref="BT875:BY875" si="1810">+IF(AND(BT$868=$C877,BT$868&lt;0),1,0)</f>
        <v>0</v>
      </c>
      <c r="BU875" s="33">
        <f t="shared" si="1810"/>
        <v>0</v>
      </c>
      <c r="BV875" s="33">
        <f t="shared" si="1810"/>
        <v>0</v>
      </c>
      <c r="BW875" s="33">
        <f t="shared" si="1810"/>
        <v>0</v>
      </c>
      <c r="BX875" s="33">
        <f t="shared" si="1810"/>
        <v>0</v>
      </c>
      <c r="BY875" s="33">
        <f t="shared" si="1810"/>
        <v>0</v>
      </c>
    </row>
    <row r="876" spans="3:77" outlineLevel="1">
      <c r="C876" s="32"/>
      <c r="D876" s="31"/>
      <c r="E876" t="s">
        <v>505</v>
      </c>
      <c r="F876" s="23" t="s">
        <v>500</v>
      </c>
      <c r="H876" s="33">
        <f t="shared" ref="H876:BS876" si="1811">+IF(AND(H$868=$C878,H$868&lt;0),1,0)</f>
        <v>0</v>
      </c>
      <c r="I876" s="33">
        <f t="shared" si="1811"/>
        <v>0</v>
      </c>
      <c r="J876" s="33">
        <f t="shared" si="1811"/>
        <v>0</v>
      </c>
      <c r="K876" s="33">
        <f t="shared" si="1811"/>
        <v>0</v>
      </c>
      <c r="L876" s="33">
        <f t="shared" si="1811"/>
        <v>0</v>
      </c>
      <c r="M876" s="33">
        <f t="shared" si="1811"/>
        <v>0</v>
      </c>
      <c r="N876" s="33">
        <f t="shared" si="1811"/>
        <v>0</v>
      </c>
      <c r="O876" s="33">
        <f t="shared" si="1811"/>
        <v>0</v>
      </c>
      <c r="P876" s="33">
        <f t="shared" si="1811"/>
        <v>0</v>
      </c>
      <c r="Q876" s="33">
        <f t="shared" si="1811"/>
        <v>0</v>
      </c>
      <c r="R876" s="33">
        <f t="shared" si="1811"/>
        <v>0</v>
      </c>
      <c r="S876" s="33">
        <f t="shared" si="1811"/>
        <v>0</v>
      </c>
      <c r="T876" s="33">
        <f t="shared" si="1811"/>
        <v>0</v>
      </c>
      <c r="U876" s="33">
        <f t="shared" si="1811"/>
        <v>0</v>
      </c>
      <c r="V876" s="33">
        <f t="shared" si="1811"/>
        <v>0</v>
      </c>
      <c r="W876" s="33">
        <f t="shared" si="1811"/>
        <v>0</v>
      </c>
      <c r="X876" s="33">
        <f t="shared" si="1811"/>
        <v>0</v>
      </c>
      <c r="Y876" s="33">
        <f t="shared" si="1811"/>
        <v>0</v>
      </c>
      <c r="Z876" s="33">
        <f t="shared" si="1811"/>
        <v>0</v>
      </c>
      <c r="AA876" s="33">
        <f t="shared" si="1811"/>
        <v>0</v>
      </c>
      <c r="AB876" s="33">
        <f t="shared" si="1811"/>
        <v>0</v>
      </c>
      <c r="AC876" s="33">
        <f t="shared" si="1811"/>
        <v>0</v>
      </c>
      <c r="AD876" s="33">
        <f t="shared" si="1811"/>
        <v>0</v>
      </c>
      <c r="AE876" s="33">
        <f t="shared" si="1811"/>
        <v>0</v>
      </c>
      <c r="AF876" s="33">
        <f t="shared" si="1811"/>
        <v>0</v>
      </c>
      <c r="AG876" s="33">
        <f t="shared" si="1811"/>
        <v>0</v>
      </c>
      <c r="AH876" s="33">
        <f t="shared" si="1811"/>
        <v>0</v>
      </c>
      <c r="AI876" s="33">
        <f t="shared" si="1811"/>
        <v>0</v>
      </c>
      <c r="AJ876" s="33">
        <f t="shared" si="1811"/>
        <v>0</v>
      </c>
      <c r="AK876" s="33">
        <f t="shared" si="1811"/>
        <v>0</v>
      </c>
      <c r="AL876" s="33">
        <f t="shared" si="1811"/>
        <v>0</v>
      </c>
      <c r="AM876" s="33">
        <f t="shared" si="1811"/>
        <v>0</v>
      </c>
      <c r="AN876" s="33">
        <f t="shared" si="1811"/>
        <v>0</v>
      </c>
      <c r="AO876" s="33">
        <f t="shared" si="1811"/>
        <v>0</v>
      </c>
      <c r="AP876" s="33">
        <f t="shared" si="1811"/>
        <v>0</v>
      </c>
      <c r="AQ876" s="33">
        <f t="shared" si="1811"/>
        <v>0</v>
      </c>
      <c r="AR876" s="33">
        <f t="shared" si="1811"/>
        <v>0</v>
      </c>
      <c r="AS876" s="33">
        <f t="shared" si="1811"/>
        <v>0</v>
      </c>
      <c r="AT876" s="33">
        <f t="shared" si="1811"/>
        <v>0</v>
      </c>
      <c r="AU876" s="33">
        <f t="shared" si="1811"/>
        <v>0</v>
      </c>
      <c r="AV876" s="33">
        <f t="shared" si="1811"/>
        <v>0</v>
      </c>
      <c r="AW876" s="33">
        <f t="shared" si="1811"/>
        <v>0</v>
      </c>
      <c r="AX876" s="33">
        <f t="shared" si="1811"/>
        <v>0</v>
      </c>
      <c r="AY876" s="33">
        <f t="shared" si="1811"/>
        <v>0</v>
      </c>
      <c r="AZ876" s="33">
        <f t="shared" si="1811"/>
        <v>0</v>
      </c>
      <c r="BA876" s="33">
        <f t="shared" si="1811"/>
        <v>0</v>
      </c>
      <c r="BB876" s="33">
        <f t="shared" si="1811"/>
        <v>0</v>
      </c>
      <c r="BC876" s="33">
        <f t="shared" si="1811"/>
        <v>0</v>
      </c>
      <c r="BD876" s="33">
        <f t="shared" si="1811"/>
        <v>0</v>
      </c>
      <c r="BE876" s="33">
        <f t="shared" si="1811"/>
        <v>0</v>
      </c>
      <c r="BF876" s="33">
        <f t="shared" si="1811"/>
        <v>0</v>
      </c>
      <c r="BG876" s="33">
        <f t="shared" si="1811"/>
        <v>0</v>
      </c>
      <c r="BH876" s="33">
        <f t="shared" si="1811"/>
        <v>0</v>
      </c>
      <c r="BI876" s="33">
        <f t="shared" si="1811"/>
        <v>0</v>
      </c>
      <c r="BJ876" s="33">
        <f t="shared" si="1811"/>
        <v>0</v>
      </c>
      <c r="BK876" s="33">
        <f t="shared" si="1811"/>
        <v>0</v>
      </c>
      <c r="BL876" s="33">
        <f t="shared" si="1811"/>
        <v>0</v>
      </c>
      <c r="BM876" s="33">
        <f t="shared" si="1811"/>
        <v>0</v>
      </c>
      <c r="BN876" s="33">
        <f t="shared" si="1811"/>
        <v>0</v>
      </c>
      <c r="BO876" s="33">
        <f t="shared" si="1811"/>
        <v>0</v>
      </c>
      <c r="BP876" s="33">
        <f t="shared" si="1811"/>
        <v>0</v>
      </c>
      <c r="BQ876" s="33">
        <f t="shared" si="1811"/>
        <v>0</v>
      </c>
      <c r="BR876" s="33">
        <f t="shared" si="1811"/>
        <v>0</v>
      </c>
      <c r="BS876" s="33">
        <f t="shared" si="1811"/>
        <v>0</v>
      </c>
      <c r="BT876" s="33">
        <f t="shared" ref="BT876:BY876" si="1812">+IF(AND(BT$868=$C878,BT$868&lt;0),1,0)</f>
        <v>0</v>
      </c>
      <c r="BU876" s="33">
        <f t="shared" si="1812"/>
        <v>0</v>
      </c>
      <c r="BV876" s="33">
        <f t="shared" si="1812"/>
        <v>0</v>
      </c>
      <c r="BW876" s="33">
        <f t="shared" si="1812"/>
        <v>0</v>
      </c>
      <c r="BX876" s="33">
        <f t="shared" si="1812"/>
        <v>0</v>
      </c>
      <c r="BY876" s="33">
        <f t="shared" si="1812"/>
        <v>0</v>
      </c>
    </row>
    <row r="877" spans="3:77" outlineLevel="1">
      <c r="C877" s="32"/>
      <c r="D877" s="31"/>
      <c r="E877" t="s">
        <v>506</v>
      </c>
      <c r="F877" s="23" t="s">
        <v>500</v>
      </c>
      <c r="H877" s="33">
        <f t="shared" ref="H877:BS877" si="1813">+IF(AND(H$868=$C879,H$868&lt;0),1,0)</f>
        <v>0</v>
      </c>
      <c r="I877" s="33">
        <f t="shared" si="1813"/>
        <v>0</v>
      </c>
      <c r="J877" s="33">
        <f t="shared" si="1813"/>
        <v>0</v>
      </c>
      <c r="K877" s="33">
        <f t="shared" si="1813"/>
        <v>0</v>
      </c>
      <c r="L877" s="33">
        <f t="shared" si="1813"/>
        <v>0</v>
      </c>
      <c r="M877" s="33">
        <f t="shared" si="1813"/>
        <v>0</v>
      </c>
      <c r="N877" s="33">
        <f t="shared" si="1813"/>
        <v>0</v>
      </c>
      <c r="O877" s="33">
        <f t="shared" si="1813"/>
        <v>0</v>
      </c>
      <c r="P877" s="33">
        <f t="shared" si="1813"/>
        <v>0</v>
      </c>
      <c r="Q877" s="33">
        <f t="shared" si="1813"/>
        <v>0</v>
      </c>
      <c r="R877" s="33">
        <f t="shared" si="1813"/>
        <v>0</v>
      </c>
      <c r="S877" s="33">
        <f t="shared" si="1813"/>
        <v>0</v>
      </c>
      <c r="T877" s="33">
        <f t="shared" si="1813"/>
        <v>0</v>
      </c>
      <c r="U877" s="33">
        <f t="shared" si="1813"/>
        <v>0</v>
      </c>
      <c r="V877" s="33">
        <f t="shared" si="1813"/>
        <v>0</v>
      </c>
      <c r="W877" s="33">
        <f t="shared" si="1813"/>
        <v>0</v>
      </c>
      <c r="X877" s="33">
        <f t="shared" si="1813"/>
        <v>0</v>
      </c>
      <c r="Y877" s="33">
        <f t="shared" si="1813"/>
        <v>0</v>
      </c>
      <c r="Z877" s="33">
        <f t="shared" si="1813"/>
        <v>0</v>
      </c>
      <c r="AA877" s="33">
        <f t="shared" si="1813"/>
        <v>0</v>
      </c>
      <c r="AB877" s="33">
        <f t="shared" si="1813"/>
        <v>0</v>
      </c>
      <c r="AC877" s="33">
        <f t="shared" si="1813"/>
        <v>0</v>
      </c>
      <c r="AD877" s="33">
        <f t="shared" si="1813"/>
        <v>0</v>
      </c>
      <c r="AE877" s="33">
        <f t="shared" si="1813"/>
        <v>0</v>
      </c>
      <c r="AF877" s="33">
        <f t="shared" si="1813"/>
        <v>0</v>
      </c>
      <c r="AG877" s="33">
        <f t="shared" si="1813"/>
        <v>0</v>
      </c>
      <c r="AH877" s="33">
        <f t="shared" si="1813"/>
        <v>0</v>
      </c>
      <c r="AI877" s="33">
        <f t="shared" si="1813"/>
        <v>0</v>
      </c>
      <c r="AJ877" s="33">
        <f t="shared" si="1813"/>
        <v>0</v>
      </c>
      <c r="AK877" s="33">
        <f t="shared" si="1813"/>
        <v>0</v>
      </c>
      <c r="AL877" s="33">
        <f t="shared" si="1813"/>
        <v>0</v>
      </c>
      <c r="AM877" s="33">
        <f t="shared" si="1813"/>
        <v>0</v>
      </c>
      <c r="AN877" s="33">
        <f t="shared" si="1813"/>
        <v>0</v>
      </c>
      <c r="AO877" s="33">
        <f t="shared" si="1813"/>
        <v>0</v>
      </c>
      <c r="AP877" s="33">
        <f t="shared" si="1813"/>
        <v>0</v>
      </c>
      <c r="AQ877" s="33">
        <f t="shared" si="1813"/>
        <v>0</v>
      </c>
      <c r="AR877" s="33">
        <f t="shared" si="1813"/>
        <v>0</v>
      </c>
      <c r="AS877" s="33">
        <f t="shared" si="1813"/>
        <v>0</v>
      </c>
      <c r="AT877" s="33">
        <f t="shared" si="1813"/>
        <v>0</v>
      </c>
      <c r="AU877" s="33">
        <f t="shared" si="1813"/>
        <v>0</v>
      </c>
      <c r="AV877" s="33">
        <f t="shared" si="1813"/>
        <v>0</v>
      </c>
      <c r="AW877" s="33">
        <f t="shared" si="1813"/>
        <v>0</v>
      </c>
      <c r="AX877" s="33">
        <f t="shared" si="1813"/>
        <v>0</v>
      </c>
      <c r="AY877" s="33">
        <f t="shared" si="1813"/>
        <v>0</v>
      </c>
      <c r="AZ877" s="33">
        <f t="shared" si="1813"/>
        <v>0</v>
      </c>
      <c r="BA877" s="33">
        <f t="shared" si="1813"/>
        <v>0</v>
      </c>
      <c r="BB877" s="33">
        <f t="shared" si="1813"/>
        <v>0</v>
      </c>
      <c r="BC877" s="33">
        <f t="shared" si="1813"/>
        <v>0</v>
      </c>
      <c r="BD877" s="33">
        <f t="shared" si="1813"/>
        <v>0</v>
      </c>
      <c r="BE877" s="33">
        <f t="shared" si="1813"/>
        <v>0</v>
      </c>
      <c r="BF877" s="33">
        <f t="shared" si="1813"/>
        <v>0</v>
      </c>
      <c r="BG877" s="33">
        <f t="shared" si="1813"/>
        <v>0</v>
      </c>
      <c r="BH877" s="33">
        <f t="shared" si="1813"/>
        <v>0</v>
      </c>
      <c r="BI877" s="33">
        <f t="shared" si="1813"/>
        <v>0</v>
      </c>
      <c r="BJ877" s="33">
        <f t="shared" si="1813"/>
        <v>0</v>
      </c>
      <c r="BK877" s="33">
        <f t="shared" si="1813"/>
        <v>0</v>
      </c>
      <c r="BL877" s="33">
        <f t="shared" si="1813"/>
        <v>0</v>
      </c>
      <c r="BM877" s="33">
        <f t="shared" si="1813"/>
        <v>0</v>
      </c>
      <c r="BN877" s="33">
        <f t="shared" si="1813"/>
        <v>0</v>
      </c>
      <c r="BO877" s="33">
        <f t="shared" si="1813"/>
        <v>0</v>
      </c>
      <c r="BP877" s="33">
        <f t="shared" si="1813"/>
        <v>0</v>
      </c>
      <c r="BQ877" s="33">
        <f t="shared" si="1813"/>
        <v>0</v>
      </c>
      <c r="BR877" s="33">
        <f t="shared" si="1813"/>
        <v>0</v>
      </c>
      <c r="BS877" s="33">
        <f t="shared" si="1813"/>
        <v>0</v>
      </c>
      <c r="BT877" s="33">
        <f t="shared" ref="BT877:BY877" si="1814">+IF(AND(BT$868=$C879,BT$868&lt;0),1,0)</f>
        <v>0</v>
      </c>
      <c r="BU877" s="33">
        <f t="shared" si="1814"/>
        <v>0</v>
      </c>
      <c r="BV877" s="33">
        <f t="shared" si="1814"/>
        <v>0</v>
      </c>
      <c r="BW877" s="33">
        <f t="shared" si="1814"/>
        <v>0</v>
      </c>
      <c r="BX877" s="33">
        <f t="shared" si="1814"/>
        <v>0</v>
      </c>
      <c r="BY877" s="33">
        <f t="shared" si="1814"/>
        <v>0</v>
      </c>
    </row>
    <row r="878" spans="3:77" outlineLevel="1">
      <c r="C878" s="32"/>
      <c r="D878" s="31"/>
      <c r="E878" t="s">
        <v>507</v>
      </c>
      <c r="F878" s="23" t="s">
        <v>500</v>
      </c>
      <c r="H878" s="33">
        <f t="shared" ref="H878:BS878" si="1815">+IF(AND(H$868=$C880,H$868&lt;0),1,0)</f>
        <v>0</v>
      </c>
      <c r="I878" s="33">
        <f t="shared" si="1815"/>
        <v>0</v>
      </c>
      <c r="J878" s="33">
        <f t="shared" si="1815"/>
        <v>0</v>
      </c>
      <c r="K878" s="33">
        <f t="shared" si="1815"/>
        <v>0</v>
      </c>
      <c r="L878" s="33">
        <f t="shared" si="1815"/>
        <v>0</v>
      </c>
      <c r="M878" s="33">
        <f t="shared" si="1815"/>
        <v>0</v>
      </c>
      <c r="N878" s="33">
        <f t="shared" si="1815"/>
        <v>0</v>
      </c>
      <c r="O878" s="33">
        <f t="shared" si="1815"/>
        <v>0</v>
      </c>
      <c r="P878" s="33">
        <f t="shared" si="1815"/>
        <v>0</v>
      </c>
      <c r="Q878" s="33">
        <f t="shared" si="1815"/>
        <v>0</v>
      </c>
      <c r="R878" s="33">
        <f t="shared" si="1815"/>
        <v>0</v>
      </c>
      <c r="S878" s="33">
        <f t="shared" si="1815"/>
        <v>0</v>
      </c>
      <c r="T878" s="33">
        <f t="shared" si="1815"/>
        <v>0</v>
      </c>
      <c r="U878" s="33">
        <f t="shared" si="1815"/>
        <v>0</v>
      </c>
      <c r="V878" s="33">
        <f t="shared" si="1815"/>
        <v>0</v>
      </c>
      <c r="W878" s="33">
        <f t="shared" si="1815"/>
        <v>0</v>
      </c>
      <c r="X878" s="33">
        <f t="shared" si="1815"/>
        <v>0</v>
      </c>
      <c r="Y878" s="33">
        <f t="shared" si="1815"/>
        <v>0</v>
      </c>
      <c r="Z878" s="33">
        <f t="shared" si="1815"/>
        <v>0</v>
      </c>
      <c r="AA878" s="33">
        <f t="shared" si="1815"/>
        <v>0</v>
      </c>
      <c r="AB878" s="33">
        <f t="shared" si="1815"/>
        <v>0</v>
      </c>
      <c r="AC878" s="33">
        <f t="shared" si="1815"/>
        <v>0</v>
      </c>
      <c r="AD878" s="33">
        <f t="shared" si="1815"/>
        <v>0</v>
      </c>
      <c r="AE878" s="33">
        <f t="shared" si="1815"/>
        <v>0</v>
      </c>
      <c r="AF878" s="33">
        <f t="shared" si="1815"/>
        <v>0</v>
      </c>
      <c r="AG878" s="33">
        <f t="shared" si="1815"/>
        <v>0</v>
      </c>
      <c r="AH878" s="33">
        <f t="shared" si="1815"/>
        <v>0</v>
      </c>
      <c r="AI878" s="33">
        <f t="shared" si="1815"/>
        <v>0</v>
      </c>
      <c r="AJ878" s="33">
        <f t="shared" si="1815"/>
        <v>0</v>
      </c>
      <c r="AK878" s="33">
        <f t="shared" si="1815"/>
        <v>0</v>
      </c>
      <c r="AL878" s="33">
        <f t="shared" si="1815"/>
        <v>0</v>
      </c>
      <c r="AM878" s="33">
        <f t="shared" si="1815"/>
        <v>0</v>
      </c>
      <c r="AN878" s="33">
        <f t="shared" si="1815"/>
        <v>0</v>
      </c>
      <c r="AO878" s="33">
        <f t="shared" si="1815"/>
        <v>0</v>
      </c>
      <c r="AP878" s="33">
        <f t="shared" si="1815"/>
        <v>0</v>
      </c>
      <c r="AQ878" s="33">
        <f t="shared" si="1815"/>
        <v>0</v>
      </c>
      <c r="AR878" s="33">
        <f t="shared" si="1815"/>
        <v>0</v>
      </c>
      <c r="AS878" s="33">
        <f t="shared" si="1815"/>
        <v>0</v>
      </c>
      <c r="AT878" s="33">
        <f t="shared" si="1815"/>
        <v>0</v>
      </c>
      <c r="AU878" s="33">
        <f t="shared" si="1815"/>
        <v>0</v>
      </c>
      <c r="AV878" s="33">
        <f t="shared" si="1815"/>
        <v>0</v>
      </c>
      <c r="AW878" s="33">
        <f t="shared" si="1815"/>
        <v>0</v>
      </c>
      <c r="AX878" s="33">
        <f t="shared" si="1815"/>
        <v>0</v>
      </c>
      <c r="AY878" s="33">
        <f t="shared" si="1815"/>
        <v>0</v>
      </c>
      <c r="AZ878" s="33">
        <f t="shared" si="1815"/>
        <v>0</v>
      </c>
      <c r="BA878" s="33">
        <f t="shared" si="1815"/>
        <v>0</v>
      </c>
      <c r="BB878" s="33">
        <f t="shared" si="1815"/>
        <v>0</v>
      </c>
      <c r="BC878" s="33">
        <f t="shared" si="1815"/>
        <v>0</v>
      </c>
      <c r="BD878" s="33">
        <f t="shared" si="1815"/>
        <v>0</v>
      </c>
      <c r="BE878" s="33">
        <f t="shared" si="1815"/>
        <v>0</v>
      </c>
      <c r="BF878" s="33">
        <f t="shared" si="1815"/>
        <v>0</v>
      </c>
      <c r="BG878" s="33">
        <f t="shared" si="1815"/>
        <v>0</v>
      </c>
      <c r="BH878" s="33">
        <f t="shared" si="1815"/>
        <v>0</v>
      </c>
      <c r="BI878" s="33">
        <f t="shared" si="1815"/>
        <v>0</v>
      </c>
      <c r="BJ878" s="33">
        <f t="shared" si="1815"/>
        <v>0</v>
      </c>
      <c r="BK878" s="33">
        <f t="shared" si="1815"/>
        <v>0</v>
      </c>
      <c r="BL878" s="33">
        <f t="shared" si="1815"/>
        <v>0</v>
      </c>
      <c r="BM878" s="33">
        <f t="shared" si="1815"/>
        <v>0</v>
      </c>
      <c r="BN878" s="33">
        <f t="shared" si="1815"/>
        <v>0</v>
      </c>
      <c r="BO878" s="33">
        <f t="shared" si="1815"/>
        <v>0</v>
      </c>
      <c r="BP878" s="33">
        <f t="shared" si="1815"/>
        <v>0</v>
      </c>
      <c r="BQ878" s="33">
        <f t="shared" si="1815"/>
        <v>0</v>
      </c>
      <c r="BR878" s="33">
        <f t="shared" si="1815"/>
        <v>0</v>
      </c>
      <c r="BS878" s="33">
        <f t="shared" si="1815"/>
        <v>0</v>
      </c>
      <c r="BT878" s="33">
        <f t="shared" ref="BT878:BY878" si="1816">+IF(AND(BT$868=$C880,BT$868&lt;0),1,0)</f>
        <v>0</v>
      </c>
      <c r="BU878" s="33">
        <f t="shared" si="1816"/>
        <v>0</v>
      </c>
      <c r="BV878" s="33">
        <f t="shared" si="1816"/>
        <v>0</v>
      </c>
      <c r="BW878" s="33">
        <f t="shared" si="1816"/>
        <v>0</v>
      </c>
      <c r="BX878" s="33">
        <f t="shared" si="1816"/>
        <v>0</v>
      </c>
      <c r="BY878" s="33">
        <f t="shared" si="1816"/>
        <v>0</v>
      </c>
    </row>
    <row r="879" spans="3:77" outlineLevel="1">
      <c r="C879" s="32"/>
      <c r="D879" s="31"/>
      <c r="E879" t="s">
        <v>508</v>
      </c>
      <c r="F879" s="23" t="s">
        <v>500</v>
      </c>
      <c r="H879" s="33">
        <f t="shared" ref="H879:BS879" si="1817">+IF(AND(H$868=$C881,H$868&lt;0),1,0)</f>
        <v>0</v>
      </c>
      <c r="I879" s="33">
        <f t="shared" si="1817"/>
        <v>0</v>
      </c>
      <c r="J879" s="33">
        <f t="shared" si="1817"/>
        <v>0</v>
      </c>
      <c r="K879" s="33">
        <f t="shared" si="1817"/>
        <v>0</v>
      </c>
      <c r="L879" s="33">
        <f t="shared" si="1817"/>
        <v>0</v>
      </c>
      <c r="M879" s="33">
        <f t="shared" si="1817"/>
        <v>0</v>
      </c>
      <c r="N879" s="33">
        <f t="shared" si="1817"/>
        <v>0</v>
      </c>
      <c r="O879" s="33">
        <f t="shared" si="1817"/>
        <v>0</v>
      </c>
      <c r="P879" s="33">
        <f t="shared" si="1817"/>
        <v>0</v>
      </c>
      <c r="Q879" s="33">
        <f t="shared" si="1817"/>
        <v>0</v>
      </c>
      <c r="R879" s="33">
        <f t="shared" si="1817"/>
        <v>0</v>
      </c>
      <c r="S879" s="33">
        <f t="shared" si="1817"/>
        <v>0</v>
      </c>
      <c r="T879" s="33">
        <f t="shared" si="1817"/>
        <v>0</v>
      </c>
      <c r="U879" s="33">
        <f t="shared" si="1817"/>
        <v>0</v>
      </c>
      <c r="V879" s="33">
        <f t="shared" si="1817"/>
        <v>0</v>
      </c>
      <c r="W879" s="33">
        <f t="shared" si="1817"/>
        <v>0</v>
      </c>
      <c r="X879" s="33">
        <f t="shared" si="1817"/>
        <v>0</v>
      </c>
      <c r="Y879" s="33">
        <f t="shared" si="1817"/>
        <v>0</v>
      </c>
      <c r="Z879" s="33">
        <f t="shared" si="1817"/>
        <v>0</v>
      </c>
      <c r="AA879" s="33">
        <f t="shared" si="1817"/>
        <v>0</v>
      </c>
      <c r="AB879" s="33">
        <f t="shared" si="1817"/>
        <v>0</v>
      </c>
      <c r="AC879" s="33">
        <f t="shared" si="1817"/>
        <v>0</v>
      </c>
      <c r="AD879" s="33">
        <f t="shared" si="1817"/>
        <v>0</v>
      </c>
      <c r="AE879" s="33">
        <f t="shared" si="1817"/>
        <v>0</v>
      </c>
      <c r="AF879" s="33">
        <f t="shared" si="1817"/>
        <v>0</v>
      </c>
      <c r="AG879" s="33">
        <f t="shared" si="1817"/>
        <v>0</v>
      </c>
      <c r="AH879" s="33">
        <f t="shared" si="1817"/>
        <v>0</v>
      </c>
      <c r="AI879" s="33">
        <f t="shared" si="1817"/>
        <v>0</v>
      </c>
      <c r="AJ879" s="33">
        <f t="shared" si="1817"/>
        <v>0</v>
      </c>
      <c r="AK879" s="33">
        <f t="shared" si="1817"/>
        <v>0</v>
      </c>
      <c r="AL879" s="33">
        <f t="shared" si="1817"/>
        <v>0</v>
      </c>
      <c r="AM879" s="33">
        <f t="shared" si="1817"/>
        <v>0</v>
      </c>
      <c r="AN879" s="33">
        <f t="shared" si="1817"/>
        <v>0</v>
      </c>
      <c r="AO879" s="33">
        <f t="shared" si="1817"/>
        <v>0</v>
      </c>
      <c r="AP879" s="33">
        <f t="shared" si="1817"/>
        <v>0</v>
      </c>
      <c r="AQ879" s="33">
        <f t="shared" si="1817"/>
        <v>0</v>
      </c>
      <c r="AR879" s="33">
        <f t="shared" si="1817"/>
        <v>0</v>
      </c>
      <c r="AS879" s="33">
        <f t="shared" si="1817"/>
        <v>0</v>
      </c>
      <c r="AT879" s="33">
        <f t="shared" si="1817"/>
        <v>0</v>
      </c>
      <c r="AU879" s="33">
        <f t="shared" si="1817"/>
        <v>0</v>
      </c>
      <c r="AV879" s="33">
        <f t="shared" si="1817"/>
        <v>0</v>
      </c>
      <c r="AW879" s="33">
        <f t="shared" si="1817"/>
        <v>0</v>
      </c>
      <c r="AX879" s="33">
        <f t="shared" si="1817"/>
        <v>0</v>
      </c>
      <c r="AY879" s="33">
        <f t="shared" si="1817"/>
        <v>0</v>
      </c>
      <c r="AZ879" s="33">
        <f t="shared" si="1817"/>
        <v>0</v>
      </c>
      <c r="BA879" s="33">
        <f t="shared" si="1817"/>
        <v>0</v>
      </c>
      <c r="BB879" s="33">
        <f t="shared" si="1817"/>
        <v>0</v>
      </c>
      <c r="BC879" s="33">
        <f t="shared" si="1817"/>
        <v>0</v>
      </c>
      <c r="BD879" s="33">
        <f t="shared" si="1817"/>
        <v>0</v>
      </c>
      <c r="BE879" s="33">
        <f t="shared" si="1817"/>
        <v>0</v>
      </c>
      <c r="BF879" s="33">
        <f t="shared" si="1817"/>
        <v>0</v>
      </c>
      <c r="BG879" s="33">
        <f t="shared" si="1817"/>
        <v>0</v>
      </c>
      <c r="BH879" s="33">
        <f t="shared" si="1817"/>
        <v>0</v>
      </c>
      <c r="BI879" s="33">
        <f t="shared" si="1817"/>
        <v>0</v>
      </c>
      <c r="BJ879" s="33">
        <f t="shared" si="1817"/>
        <v>0</v>
      </c>
      <c r="BK879" s="33">
        <f t="shared" si="1817"/>
        <v>0</v>
      </c>
      <c r="BL879" s="33">
        <f t="shared" si="1817"/>
        <v>0</v>
      </c>
      <c r="BM879" s="33">
        <f t="shared" si="1817"/>
        <v>0</v>
      </c>
      <c r="BN879" s="33">
        <f t="shared" si="1817"/>
        <v>0</v>
      </c>
      <c r="BO879" s="33">
        <f t="shared" si="1817"/>
        <v>0</v>
      </c>
      <c r="BP879" s="33">
        <f t="shared" si="1817"/>
        <v>0</v>
      </c>
      <c r="BQ879" s="33">
        <f t="shared" si="1817"/>
        <v>0</v>
      </c>
      <c r="BR879" s="33">
        <f t="shared" si="1817"/>
        <v>0</v>
      </c>
      <c r="BS879" s="33">
        <f t="shared" si="1817"/>
        <v>0</v>
      </c>
      <c r="BT879" s="33">
        <f t="shared" ref="BT879:BY879" si="1818">+IF(AND(BT$868=$C881,BT$868&lt;0),1,0)</f>
        <v>0</v>
      </c>
      <c r="BU879" s="33">
        <f t="shared" si="1818"/>
        <v>0</v>
      </c>
      <c r="BV879" s="33">
        <f t="shared" si="1818"/>
        <v>0</v>
      </c>
      <c r="BW879" s="33">
        <f t="shared" si="1818"/>
        <v>0</v>
      </c>
      <c r="BX879" s="33">
        <f t="shared" si="1818"/>
        <v>0</v>
      </c>
      <c r="BY879" s="33">
        <f t="shared" si="1818"/>
        <v>0</v>
      </c>
    </row>
    <row r="880" spans="3:77" outlineLevel="1">
      <c r="C880" s="32"/>
      <c r="D880" s="31"/>
      <c r="E880" t="s">
        <v>509</v>
      </c>
      <c r="F880" s="23" t="s">
        <v>500</v>
      </c>
      <c r="H880" s="33">
        <f t="shared" ref="H880:BS880" si="1819">+IF(AND(H$868=$C882,H$868&lt;0),1,0)</f>
        <v>0</v>
      </c>
      <c r="I880" s="33">
        <f t="shared" si="1819"/>
        <v>0</v>
      </c>
      <c r="J880" s="33">
        <f t="shared" si="1819"/>
        <v>0</v>
      </c>
      <c r="K880" s="33">
        <f t="shared" si="1819"/>
        <v>0</v>
      </c>
      <c r="L880" s="33">
        <f t="shared" si="1819"/>
        <v>0</v>
      </c>
      <c r="M880" s="33">
        <f t="shared" si="1819"/>
        <v>0</v>
      </c>
      <c r="N880" s="33">
        <f t="shared" si="1819"/>
        <v>0</v>
      </c>
      <c r="O880" s="33">
        <f t="shared" si="1819"/>
        <v>0</v>
      </c>
      <c r="P880" s="33">
        <f t="shared" si="1819"/>
        <v>0</v>
      </c>
      <c r="Q880" s="33">
        <f t="shared" si="1819"/>
        <v>0</v>
      </c>
      <c r="R880" s="33">
        <f t="shared" si="1819"/>
        <v>0</v>
      </c>
      <c r="S880" s="33">
        <f t="shared" si="1819"/>
        <v>0</v>
      </c>
      <c r="T880" s="33">
        <f t="shared" si="1819"/>
        <v>0</v>
      </c>
      <c r="U880" s="33">
        <f t="shared" si="1819"/>
        <v>0</v>
      </c>
      <c r="V880" s="33">
        <f t="shared" si="1819"/>
        <v>0</v>
      </c>
      <c r="W880" s="33">
        <f t="shared" si="1819"/>
        <v>0</v>
      </c>
      <c r="X880" s="33">
        <f t="shared" si="1819"/>
        <v>0</v>
      </c>
      <c r="Y880" s="33">
        <f t="shared" si="1819"/>
        <v>0</v>
      </c>
      <c r="Z880" s="33">
        <f t="shared" si="1819"/>
        <v>0</v>
      </c>
      <c r="AA880" s="33">
        <f t="shared" si="1819"/>
        <v>0</v>
      </c>
      <c r="AB880" s="33">
        <f t="shared" si="1819"/>
        <v>0</v>
      </c>
      <c r="AC880" s="33">
        <f t="shared" si="1819"/>
        <v>0</v>
      </c>
      <c r="AD880" s="33">
        <f t="shared" si="1819"/>
        <v>0</v>
      </c>
      <c r="AE880" s="33">
        <f t="shared" si="1819"/>
        <v>0</v>
      </c>
      <c r="AF880" s="33">
        <f t="shared" si="1819"/>
        <v>0</v>
      </c>
      <c r="AG880" s="33">
        <f t="shared" si="1819"/>
        <v>0</v>
      </c>
      <c r="AH880" s="33">
        <f t="shared" si="1819"/>
        <v>0</v>
      </c>
      <c r="AI880" s="33">
        <f t="shared" si="1819"/>
        <v>0</v>
      </c>
      <c r="AJ880" s="33">
        <f t="shared" si="1819"/>
        <v>0</v>
      </c>
      <c r="AK880" s="33">
        <f t="shared" si="1819"/>
        <v>0</v>
      </c>
      <c r="AL880" s="33">
        <f t="shared" si="1819"/>
        <v>0</v>
      </c>
      <c r="AM880" s="33">
        <f t="shared" si="1819"/>
        <v>0</v>
      </c>
      <c r="AN880" s="33">
        <f t="shared" si="1819"/>
        <v>0</v>
      </c>
      <c r="AO880" s="33">
        <f t="shared" si="1819"/>
        <v>0</v>
      </c>
      <c r="AP880" s="33">
        <f t="shared" si="1819"/>
        <v>0</v>
      </c>
      <c r="AQ880" s="33">
        <f t="shared" si="1819"/>
        <v>0</v>
      </c>
      <c r="AR880" s="33">
        <f t="shared" si="1819"/>
        <v>0</v>
      </c>
      <c r="AS880" s="33">
        <f t="shared" si="1819"/>
        <v>0</v>
      </c>
      <c r="AT880" s="33">
        <f t="shared" si="1819"/>
        <v>0</v>
      </c>
      <c r="AU880" s="33">
        <f t="shared" si="1819"/>
        <v>0</v>
      </c>
      <c r="AV880" s="33">
        <f t="shared" si="1819"/>
        <v>0</v>
      </c>
      <c r="AW880" s="33">
        <f t="shared" si="1819"/>
        <v>0</v>
      </c>
      <c r="AX880" s="33">
        <f t="shared" si="1819"/>
        <v>0</v>
      </c>
      <c r="AY880" s="33">
        <f t="shared" si="1819"/>
        <v>0</v>
      </c>
      <c r="AZ880" s="33">
        <f t="shared" si="1819"/>
        <v>0</v>
      </c>
      <c r="BA880" s="33">
        <f t="shared" si="1819"/>
        <v>0</v>
      </c>
      <c r="BB880" s="33">
        <f t="shared" si="1819"/>
        <v>0</v>
      </c>
      <c r="BC880" s="33">
        <f t="shared" si="1819"/>
        <v>0</v>
      </c>
      <c r="BD880" s="33">
        <f t="shared" si="1819"/>
        <v>0</v>
      </c>
      <c r="BE880" s="33">
        <f t="shared" si="1819"/>
        <v>0</v>
      </c>
      <c r="BF880" s="33">
        <f t="shared" si="1819"/>
        <v>0</v>
      </c>
      <c r="BG880" s="33">
        <f t="shared" si="1819"/>
        <v>0</v>
      </c>
      <c r="BH880" s="33">
        <f t="shared" si="1819"/>
        <v>0</v>
      </c>
      <c r="BI880" s="33">
        <f t="shared" si="1819"/>
        <v>0</v>
      </c>
      <c r="BJ880" s="33">
        <f t="shared" si="1819"/>
        <v>0</v>
      </c>
      <c r="BK880" s="33">
        <f t="shared" si="1819"/>
        <v>0</v>
      </c>
      <c r="BL880" s="33">
        <f t="shared" si="1819"/>
        <v>0</v>
      </c>
      <c r="BM880" s="33">
        <f t="shared" si="1819"/>
        <v>0</v>
      </c>
      <c r="BN880" s="33">
        <f t="shared" si="1819"/>
        <v>0</v>
      </c>
      <c r="BO880" s="33">
        <f t="shared" si="1819"/>
        <v>0</v>
      </c>
      <c r="BP880" s="33">
        <f t="shared" si="1819"/>
        <v>0</v>
      </c>
      <c r="BQ880" s="33">
        <f t="shared" si="1819"/>
        <v>0</v>
      </c>
      <c r="BR880" s="33">
        <f t="shared" si="1819"/>
        <v>0</v>
      </c>
      <c r="BS880" s="33">
        <f t="shared" si="1819"/>
        <v>0</v>
      </c>
      <c r="BT880" s="33">
        <f t="shared" ref="BT880:BY880" si="1820">+IF(AND(BT$868=$C882,BT$868&lt;0),1,0)</f>
        <v>0</v>
      </c>
      <c r="BU880" s="33">
        <f t="shared" si="1820"/>
        <v>0</v>
      </c>
      <c r="BV880" s="33">
        <f t="shared" si="1820"/>
        <v>0</v>
      </c>
      <c r="BW880" s="33">
        <f t="shared" si="1820"/>
        <v>0</v>
      </c>
      <c r="BX880" s="33">
        <f t="shared" si="1820"/>
        <v>0</v>
      </c>
      <c r="BY880" s="33">
        <f t="shared" si="1820"/>
        <v>0</v>
      </c>
    </row>
    <row r="881" spans="5:77" outlineLevel="1">
      <c r="E881" s="25" t="s">
        <v>510</v>
      </c>
      <c r="F881" s="30" t="s">
        <v>500</v>
      </c>
      <c r="G881" s="25"/>
      <c r="H881" s="34">
        <f t="shared" ref="H881:BS881" si="1821">+IF(AND(H$868=$C883,H$868&lt;0),1,0)</f>
        <v>0</v>
      </c>
      <c r="I881" s="34">
        <f t="shared" si="1821"/>
        <v>0</v>
      </c>
      <c r="J881" s="34">
        <f t="shared" si="1821"/>
        <v>0</v>
      </c>
      <c r="K881" s="34">
        <f t="shared" si="1821"/>
        <v>0</v>
      </c>
      <c r="L881" s="34">
        <f t="shared" si="1821"/>
        <v>0</v>
      </c>
      <c r="M881" s="34">
        <f t="shared" si="1821"/>
        <v>0</v>
      </c>
      <c r="N881" s="34">
        <f t="shared" si="1821"/>
        <v>0</v>
      </c>
      <c r="O881" s="34">
        <f t="shared" si="1821"/>
        <v>0</v>
      </c>
      <c r="P881" s="34">
        <f t="shared" si="1821"/>
        <v>0</v>
      </c>
      <c r="Q881" s="34">
        <f t="shared" si="1821"/>
        <v>0</v>
      </c>
      <c r="R881" s="34">
        <f t="shared" si="1821"/>
        <v>0</v>
      </c>
      <c r="S881" s="34">
        <f t="shared" si="1821"/>
        <v>0</v>
      </c>
      <c r="T881" s="34">
        <f t="shared" si="1821"/>
        <v>0</v>
      </c>
      <c r="U881" s="34">
        <f t="shared" si="1821"/>
        <v>0</v>
      </c>
      <c r="V881" s="34">
        <f t="shared" si="1821"/>
        <v>0</v>
      </c>
      <c r="W881" s="34">
        <f t="shared" si="1821"/>
        <v>0</v>
      </c>
      <c r="X881" s="34">
        <f t="shared" si="1821"/>
        <v>0</v>
      </c>
      <c r="Y881" s="34">
        <f t="shared" si="1821"/>
        <v>0</v>
      </c>
      <c r="Z881" s="34">
        <f t="shared" si="1821"/>
        <v>0</v>
      </c>
      <c r="AA881" s="34">
        <f t="shared" si="1821"/>
        <v>0</v>
      </c>
      <c r="AB881" s="34">
        <f t="shared" si="1821"/>
        <v>0</v>
      </c>
      <c r="AC881" s="34">
        <f t="shared" si="1821"/>
        <v>0</v>
      </c>
      <c r="AD881" s="34">
        <f t="shared" si="1821"/>
        <v>0</v>
      </c>
      <c r="AE881" s="34">
        <f t="shared" si="1821"/>
        <v>0</v>
      </c>
      <c r="AF881" s="34">
        <f t="shared" si="1821"/>
        <v>0</v>
      </c>
      <c r="AG881" s="34">
        <f t="shared" si="1821"/>
        <v>0</v>
      </c>
      <c r="AH881" s="34">
        <f t="shared" si="1821"/>
        <v>0</v>
      </c>
      <c r="AI881" s="34">
        <f t="shared" si="1821"/>
        <v>0</v>
      </c>
      <c r="AJ881" s="34">
        <f t="shared" si="1821"/>
        <v>0</v>
      </c>
      <c r="AK881" s="34">
        <f t="shared" si="1821"/>
        <v>0</v>
      </c>
      <c r="AL881" s="34">
        <f t="shared" si="1821"/>
        <v>0</v>
      </c>
      <c r="AM881" s="34">
        <f t="shared" si="1821"/>
        <v>0</v>
      </c>
      <c r="AN881" s="34">
        <f t="shared" si="1821"/>
        <v>0</v>
      </c>
      <c r="AO881" s="34">
        <f t="shared" si="1821"/>
        <v>0</v>
      </c>
      <c r="AP881" s="34">
        <f t="shared" si="1821"/>
        <v>0</v>
      </c>
      <c r="AQ881" s="34">
        <f t="shared" si="1821"/>
        <v>0</v>
      </c>
      <c r="AR881" s="34">
        <f t="shared" si="1821"/>
        <v>0</v>
      </c>
      <c r="AS881" s="34">
        <f t="shared" si="1821"/>
        <v>0</v>
      </c>
      <c r="AT881" s="34">
        <f t="shared" si="1821"/>
        <v>0</v>
      </c>
      <c r="AU881" s="34">
        <f t="shared" si="1821"/>
        <v>0</v>
      </c>
      <c r="AV881" s="34">
        <f t="shared" si="1821"/>
        <v>0</v>
      </c>
      <c r="AW881" s="34">
        <f t="shared" si="1821"/>
        <v>0</v>
      </c>
      <c r="AX881" s="34">
        <f t="shared" si="1821"/>
        <v>0</v>
      </c>
      <c r="AY881" s="34">
        <f t="shared" si="1821"/>
        <v>0</v>
      </c>
      <c r="AZ881" s="34">
        <f t="shared" si="1821"/>
        <v>0</v>
      </c>
      <c r="BA881" s="34">
        <f t="shared" si="1821"/>
        <v>0</v>
      </c>
      <c r="BB881" s="34">
        <f t="shared" si="1821"/>
        <v>0</v>
      </c>
      <c r="BC881" s="34">
        <f t="shared" si="1821"/>
        <v>0</v>
      </c>
      <c r="BD881" s="34">
        <f t="shared" si="1821"/>
        <v>0</v>
      </c>
      <c r="BE881" s="34">
        <f t="shared" si="1821"/>
        <v>0</v>
      </c>
      <c r="BF881" s="34">
        <f t="shared" si="1821"/>
        <v>0</v>
      </c>
      <c r="BG881" s="34">
        <f t="shared" si="1821"/>
        <v>0</v>
      </c>
      <c r="BH881" s="34">
        <f t="shared" si="1821"/>
        <v>0</v>
      </c>
      <c r="BI881" s="34">
        <f t="shared" si="1821"/>
        <v>0</v>
      </c>
      <c r="BJ881" s="34">
        <f t="shared" si="1821"/>
        <v>0</v>
      </c>
      <c r="BK881" s="34">
        <f t="shared" si="1821"/>
        <v>0</v>
      </c>
      <c r="BL881" s="34">
        <f t="shared" si="1821"/>
        <v>0</v>
      </c>
      <c r="BM881" s="34">
        <f t="shared" si="1821"/>
        <v>0</v>
      </c>
      <c r="BN881" s="34">
        <f t="shared" si="1821"/>
        <v>0</v>
      </c>
      <c r="BO881" s="34">
        <f t="shared" si="1821"/>
        <v>0</v>
      </c>
      <c r="BP881" s="34">
        <f t="shared" si="1821"/>
        <v>0</v>
      </c>
      <c r="BQ881" s="34">
        <f t="shared" si="1821"/>
        <v>0</v>
      </c>
      <c r="BR881" s="34">
        <f t="shared" si="1821"/>
        <v>0</v>
      </c>
      <c r="BS881" s="34">
        <f t="shared" si="1821"/>
        <v>0</v>
      </c>
      <c r="BT881" s="34">
        <f t="shared" ref="BT881:BY881" si="1822">+IF(AND(BT$868=$C883,BT$868&lt;0),1,0)</f>
        <v>0</v>
      </c>
      <c r="BU881" s="34">
        <f t="shared" si="1822"/>
        <v>0</v>
      </c>
      <c r="BV881" s="34">
        <f t="shared" si="1822"/>
        <v>0</v>
      </c>
      <c r="BW881" s="34">
        <f t="shared" si="1822"/>
        <v>0</v>
      </c>
      <c r="BX881" s="34">
        <f t="shared" si="1822"/>
        <v>0</v>
      </c>
      <c r="BY881" s="34">
        <f t="shared" si="1822"/>
        <v>0</v>
      </c>
    </row>
    <row r="882" spans="5:77" outlineLevel="1">
      <c r="E882" t="s">
        <v>511</v>
      </c>
      <c r="F882" s="80" t="str">
        <f>+Assumptions!$G$8</f>
        <v>USD</v>
      </c>
      <c r="H882" s="32">
        <f t="shared" ref="H882" si="1823">+G896</f>
        <v>0</v>
      </c>
      <c r="I882" s="32">
        <f t="shared" ref="I882" si="1824">+H896</f>
        <v>0</v>
      </c>
      <c r="J882" s="32">
        <f>+I896</f>
        <v>0</v>
      </c>
      <c r="K882" s="32">
        <f t="shared" ref="K882" si="1825">+J896</f>
        <v>0</v>
      </c>
      <c r="L882" s="32">
        <f t="shared" ref="L882" si="1826">+K896</f>
        <v>0</v>
      </c>
      <c r="M882" s="32">
        <f t="shared" ref="M882" si="1827">+L896</f>
        <v>0</v>
      </c>
      <c r="N882" s="32">
        <f t="shared" ref="N882" si="1828">+M896</f>
        <v>0</v>
      </c>
      <c r="O882" s="32">
        <f t="shared" ref="O882" si="1829">+N896</f>
        <v>0</v>
      </c>
      <c r="P882" s="32">
        <f t="shared" ref="P882" si="1830">+O896</f>
        <v>0</v>
      </c>
      <c r="Q882" s="32">
        <f t="shared" ref="Q882" si="1831">+P896</f>
        <v>0</v>
      </c>
      <c r="R882" s="32">
        <f t="shared" ref="R882" si="1832">+Q896</f>
        <v>0</v>
      </c>
      <c r="S882" s="32">
        <f t="shared" ref="S882" si="1833">+R896</f>
        <v>0</v>
      </c>
      <c r="T882" s="32">
        <f t="shared" ref="T882" si="1834">+S896</f>
        <v>0</v>
      </c>
      <c r="U882" s="32">
        <f t="shared" ref="U882" si="1835">+T896</f>
        <v>0</v>
      </c>
      <c r="V882" s="32">
        <f t="shared" ref="V882" si="1836">+U896</f>
        <v>0</v>
      </c>
      <c r="W882" s="32">
        <f t="shared" ref="W882" si="1837">+V896</f>
        <v>0</v>
      </c>
      <c r="X882" s="32">
        <f t="shared" ref="X882" si="1838">+W896</f>
        <v>0</v>
      </c>
      <c r="Y882" s="32">
        <f t="shared" ref="Y882" si="1839">+X896</f>
        <v>0</v>
      </c>
      <c r="Z882" s="32">
        <f t="shared" ref="Z882" si="1840">+Y896</f>
        <v>0</v>
      </c>
      <c r="AA882" s="32">
        <f t="shared" ref="AA882" si="1841">+Z896</f>
        <v>0</v>
      </c>
      <c r="AB882" s="32">
        <f t="shared" ref="AB882" si="1842">+AA896</f>
        <v>0</v>
      </c>
      <c r="AC882" s="32">
        <f t="shared" ref="AC882" si="1843">+AB896</f>
        <v>0</v>
      </c>
      <c r="AD882" s="32">
        <f t="shared" ref="AD882" si="1844">+AC896</f>
        <v>0</v>
      </c>
      <c r="AE882" s="32">
        <f t="shared" ref="AE882" si="1845">+AD896</f>
        <v>0</v>
      </c>
      <c r="AF882" s="32">
        <f t="shared" ref="AF882" si="1846">+AE896</f>
        <v>0</v>
      </c>
      <c r="AG882" s="32">
        <f t="shared" ref="AG882" si="1847">+AF896</f>
        <v>0</v>
      </c>
      <c r="AH882" s="32">
        <f t="shared" ref="AH882" si="1848">+AG896</f>
        <v>0</v>
      </c>
      <c r="AI882" s="32">
        <f t="shared" ref="AI882" si="1849">+AH896</f>
        <v>0</v>
      </c>
      <c r="AJ882" s="32">
        <f t="shared" ref="AJ882" si="1850">+AI896</f>
        <v>0</v>
      </c>
      <c r="AK882" s="32">
        <f t="shared" ref="AK882" si="1851">+AJ896</f>
        <v>0</v>
      </c>
      <c r="AL882" s="32">
        <f t="shared" ref="AL882" si="1852">+AK896</f>
        <v>0</v>
      </c>
      <c r="AM882" s="32">
        <f t="shared" ref="AM882" si="1853">+AL896</f>
        <v>0</v>
      </c>
      <c r="AN882" s="32">
        <f t="shared" ref="AN882" si="1854">+AM896</f>
        <v>0</v>
      </c>
      <c r="AO882" s="32">
        <f t="shared" ref="AO882" si="1855">+AN896</f>
        <v>0</v>
      </c>
      <c r="AP882" s="32">
        <f t="shared" ref="AP882" si="1856">+AO896</f>
        <v>0</v>
      </c>
      <c r="AQ882" s="32">
        <f t="shared" ref="AQ882" si="1857">+AP896</f>
        <v>0</v>
      </c>
      <c r="AR882" s="32">
        <f t="shared" ref="AR882" si="1858">+AQ896</f>
        <v>0</v>
      </c>
      <c r="AS882" s="32">
        <f t="shared" ref="AS882" si="1859">+AR896</f>
        <v>0</v>
      </c>
      <c r="AT882" s="32">
        <f t="shared" ref="AT882" si="1860">+AS896</f>
        <v>0</v>
      </c>
      <c r="AU882" s="32">
        <f t="shared" ref="AU882" si="1861">+AT896</f>
        <v>0</v>
      </c>
      <c r="AV882" s="32">
        <f t="shared" ref="AV882" si="1862">+AU896</f>
        <v>0</v>
      </c>
      <c r="AW882" s="32">
        <f t="shared" ref="AW882" si="1863">+AV896</f>
        <v>0</v>
      </c>
      <c r="AX882" s="32">
        <f t="shared" ref="AX882" si="1864">+AW896</f>
        <v>0</v>
      </c>
      <c r="AY882" s="32">
        <f t="shared" ref="AY882" si="1865">+AX896</f>
        <v>0</v>
      </c>
      <c r="AZ882" s="32">
        <f t="shared" ref="AZ882" si="1866">+AY896</f>
        <v>0</v>
      </c>
      <c r="BA882" s="32">
        <f t="shared" ref="BA882" si="1867">+AZ896</f>
        <v>0</v>
      </c>
      <c r="BB882" s="32">
        <f t="shared" ref="BB882" si="1868">+BA896</f>
        <v>0</v>
      </c>
      <c r="BC882" s="32">
        <f t="shared" ref="BC882" si="1869">+BB896</f>
        <v>0</v>
      </c>
      <c r="BD882" s="32">
        <f t="shared" ref="BD882" si="1870">+BC896</f>
        <v>0</v>
      </c>
      <c r="BE882" s="32">
        <f t="shared" ref="BE882" si="1871">+BD896</f>
        <v>0</v>
      </c>
      <c r="BF882" s="32">
        <f t="shared" ref="BF882" si="1872">+BE896</f>
        <v>0</v>
      </c>
      <c r="BG882" s="32">
        <f t="shared" ref="BG882" si="1873">+BF896</f>
        <v>0</v>
      </c>
      <c r="BH882" s="32">
        <f t="shared" ref="BH882" si="1874">+BG896</f>
        <v>0</v>
      </c>
      <c r="BI882" s="32">
        <f t="shared" ref="BI882" si="1875">+BH896</f>
        <v>0</v>
      </c>
      <c r="BJ882" s="32">
        <f t="shared" ref="BJ882" si="1876">+BI896</f>
        <v>0</v>
      </c>
      <c r="BK882" s="32">
        <f t="shared" ref="BK882" si="1877">+BJ896</f>
        <v>0</v>
      </c>
      <c r="BL882" s="32">
        <f t="shared" ref="BL882" si="1878">+BK896</f>
        <v>0</v>
      </c>
      <c r="BM882" s="32">
        <f t="shared" ref="BM882" si="1879">+BL896</f>
        <v>0</v>
      </c>
      <c r="BN882" s="32">
        <f t="shared" ref="BN882" si="1880">+BM896</f>
        <v>0</v>
      </c>
      <c r="BO882" s="32">
        <f t="shared" ref="BO882" si="1881">+BN896</f>
        <v>0</v>
      </c>
      <c r="BP882" s="32">
        <f t="shared" ref="BP882" si="1882">+BO896</f>
        <v>0</v>
      </c>
      <c r="BQ882" s="32">
        <f t="shared" ref="BQ882" si="1883">+BP896</f>
        <v>0</v>
      </c>
      <c r="BR882" s="32">
        <f t="shared" ref="BR882" si="1884">+BQ896</f>
        <v>0</v>
      </c>
      <c r="BS882" s="32">
        <f t="shared" ref="BS882" si="1885">+BR896</f>
        <v>0</v>
      </c>
      <c r="BT882" s="32">
        <f t="shared" ref="BT882" si="1886">+BS896</f>
        <v>0</v>
      </c>
      <c r="BU882" s="32">
        <f t="shared" ref="BU882" si="1887">+BT896</f>
        <v>0</v>
      </c>
      <c r="BV882" s="32">
        <f t="shared" ref="BV882" si="1888">+BU896</f>
        <v>0</v>
      </c>
      <c r="BW882" s="32">
        <f t="shared" ref="BW882" si="1889">+BV896</f>
        <v>0</v>
      </c>
      <c r="BX882" s="32">
        <f t="shared" ref="BX882" si="1890">+BW896</f>
        <v>0</v>
      </c>
      <c r="BY882" s="32">
        <f t="shared" ref="BY882" si="1891">+BX896</f>
        <v>0</v>
      </c>
    </row>
    <row r="883" spans="5:77" outlineLevel="1">
      <c r="E883" t="s">
        <v>512</v>
      </c>
      <c r="F883" s="80" t="str">
        <f>+Assumptions!$G$8</f>
        <v>USD</v>
      </c>
      <c r="H883" s="33">
        <f ca="1">+H882*Assumptions!$H$240</f>
        <v>0</v>
      </c>
      <c r="I883" s="33">
        <f ca="1">+I882*Assumptions!$G$240</f>
        <v>0</v>
      </c>
      <c r="J883" s="33">
        <f ca="1">+J882*Assumptions!$G$240</f>
        <v>0</v>
      </c>
      <c r="K883" s="33">
        <f ca="1">+K882*Assumptions!$G$240</f>
        <v>0</v>
      </c>
      <c r="L883" s="33">
        <f ca="1">+L882*Assumptions!$G$240</f>
        <v>0</v>
      </c>
      <c r="M883" s="33">
        <f ca="1">+M882*Assumptions!$G$240</f>
        <v>0</v>
      </c>
      <c r="N883" s="33">
        <f ca="1">+N882*Assumptions!$G$240</f>
        <v>0</v>
      </c>
      <c r="O883" s="33">
        <f ca="1">+O882*Assumptions!$G$240</f>
        <v>0</v>
      </c>
      <c r="P883" s="33">
        <f ca="1">+P882*Assumptions!$G$240</f>
        <v>0</v>
      </c>
      <c r="Q883" s="33">
        <f ca="1">+Q882*Assumptions!$G$240</f>
        <v>0</v>
      </c>
      <c r="R883" s="33">
        <f ca="1">+R882*Assumptions!$G$240</f>
        <v>0</v>
      </c>
      <c r="S883" s="33">
        <f ca="1">+S882*Assumptions!$G$240</f>
        <v>0</v>
      </c>
      <c r="T883" s="33">
        <f ca="1">+T882*Assumptions!$G$240</f>
        <v>0</v>
      </c>
      <c r="U883" s="33">
        <f ca="1">+U882*Assumptions!$G$240</f>
        <v>0</v>
      </c>
      <c r="V883" s="33">
        <f ca="1">+V882*Assumptions!$G$240</f>
        <v>0</v>
      </c>
      <c r="W883" s="33">
        <f ca="1">+W882*Assumptions!$G$240</f>
        <v>0</v>
      </c>
      <c r="X883" s="33">
        <f ca="1">+X882*Assumptions!$G$240</f>
        <v>0</v>
      </c>
      <c r="Y883" s="33">
        <f ca="1">+Y882*Assumptions!$G$240</f>
        <v>0</v>
      </c>
      <c r="Z883" s="33">
        <f ca="1">+Z882*Assumptions!$G$240</f>
        <v>0</v>
      </c>
      <c r="AA883" s="33">
        <f ca="1">+AA882*Assumptions!$G$240</f>
        <v>0</v>
      </c>
      <c r="AB883" s="33">
        <f ca="1">+AB882*Assumptions!$G$240</f>
        <v>0</v>
      </c>
      <c r="AC883" s="33">
        <f ca="1">+AC882*Assumptions!$G$240</f>
        <v>0</v>
      </c>
      <c r="AD883" s="33">
        <f ca="1">+AD882*Assumptions!$G$240</f>
        <v>0</v>
      </c>
      <c r="AE883" s="33">
        <f ca="1">+AE882*Assumptions!$G$240</f>
        <v>0</v>
      </c>
      <c r="AF883" s="33">
        <f ca="1">+AF882*Assumptions!$G$240</f>
        <v>0</v>
      </c>
      <c r="AG883" s="33">
        <f ca="1">+AG882*Assumptions!$G$240</f>
        <v>0</v>
      </c>
      <c r="AH883" s="33">
        <f ca="1">+AH882*Assumptions!$G$240</f>
        <v>0</v>
      </c>
      <c r="AI883" s="33">
        <f ca="1">+AI882*Assumptions!$G$240</f>
        <v>0</v>
      </c>
      <c r="AJ883" s="33">
        <f ca="1">+AJ882*Assumptions!$G$240</f>
        <v>0</v>
      </c>
      <c r="AK883" s="33">
        <f ca="1">+AK882*Assumptions!$G$240</f>
        <v>0</v>
      </c>
      <c r="AL883" s="33">
        <f ca="1">+AL882*Assumptions!$G$240</f>
        <v>0</v>
      </c>
      <c r="AM883" s="33">
        <f ca="1">+AM882*Assumptions!$G$240</f>
        <v>0</v>
      </c>
      <c r="AN883" s="33">
        <f ca="1">+AN882*Assumptions!$G$240</f>
        <v>0</v>
      </c>
      <c r="AO883" s="33">
        <f ca="1">+AO882*Assumptions!$G$240</f>
        <v>0</v>
      </c>
      <c r="AP883" s="33">
        <f ca="1">+AP882*Assumptions!$G$240</f>
        <v>0</v>
      </c>
      <c r="AQ883" s="33">
        <f ca="1">+AQ882*Assumptions!$G$240</f>
        <v>0</v>
      </c>
      <c r="AR883" s="33">
        <f ca="1">+AR882*Assumptions!$G$240</f>
        <v>0</v>
      </c>
      <c r="AS883" s="33">
        <f ca="1">+AS882*Assumptions!$G$240</f>
        <v>0</v>
      </c>
      <c r="AT883" s="33">
        <f ca="1">+AT882*Assumptions!$G$240</f>
        <v>0</v>
      </c>
      <c r="AU883" s="33">
        <f ca="1">+AU882*Assumptions!$G$240</f>
        <v>0</v>
      </c>
      <c r="AV883" s="33">
        <f ca="1">+AV882*Assumptions!$G$240</f>
        <v>0</v>
      </c>
      <c r="AW883" s="33">
        <f ca="1">+AW882*Assumptions!$G$240</f>
        <v>0</v>
      </c>
      <c r="AX883" s="33">
        <f ca="1">+AX882*Assumptions!$G$240</f>
        <v>0</v>
      </c>
      <c r="AY883" s="33">
        <f ca="1">+AY882*Assumptions!$G$240</f>
        <v>0</v>
      </c>
      <c r="AZ883" s="33">
        <f ca="1">+AZ882*Assumptions!$G$240</f>
        <v>0</v>
      </c>
      <c r="BA883" s="33">
        <f ca="1">+BA882*Assumptions!$G$240</f>
        <v>0</v>
      </c>
      <c r="BB883" s="33">
        <f ca="1">+BB882*Assumptions!$G$240</f>
        <v>0</v>
      </c>
      <c r="BC883" s="33">
        <f ca="1">+BC882*Assumptions!$G$240</f>
        <v>0</v>
      </c>
      <c r="BD883" s="33">
        <f ca="1">+BD882*Assumptions!$G$240</f>
        <v>0</v>
      </c>
      <c r="BE883" s="33">
        <f ca="1">+BE882*Assumptions!$G$240</f>
        <v>0</v>
      </c>
      <c r="BF883" s="33">
        <f ca="1">+BF882*Assumptions!$G$240</f>
        <v>0</v>
      </c>
      <c r="BG883" s="33">
        <f ca="1">+BG882*Assumptions!$G$240</f>
        <v>0</v>
      </c>
      <c r="BH883" s="33">
        <f ca="1">+BH882*Assumptions!$G$240</f>
        <v>0</v>
      </c>
      <c r="BI883" s="33">
        <f ca="1">+BI882*Assumptions!$G$240</f>
        <v>0</v>
      </c>
      <c r="BJ883" s="33">
        <f ca="1">+BJ882*Assumptions!$G$240</f>
        <v>0</v>
      </c>
      <c r="BK883" s="33">
        <f ca="1">+BK882*Assumptions!$G$240</f>
        <v>0</v>
      </c>
      <c r="BL883" s="33">
        <f ca="1">+BL882*Assumptions!$G$240</f>
        <v>0</v>
      </c>
      <c r="BM883" s="33">
        <f ca="1">+BM882*Assumptions!$G$240</f>
        <v>0</v>
      </c>
      <c r="BN883" s="33">
        <f ca="1">+BN882*Assumptions!$G$240</f>
        <v>0</v>
      </c>
      <c r="BO883" s="33">
        <f ca="1">+BO882*Assumptions!$G$240</f>
        <v>0</v>
      </c>
      <c r="BP883" s="33">
        <f ca="1">+BP882*Assumptions!$G$240</f>
        <v>0</v>
      </c>
      <c r="BQ883" s="33">
        <f ca="1">+BQ882*Assumptions!$G$240</f>
        <v>0</v>
      </c>
      <c r="BR883" s="33">
        <f ca="1">+BR882*Assumptions!$G$240</f>
        <v>0</v>
      </c>
      <c r="BS883" s="33">
        <f ca="1">+BS882*Assumptions!$G$240</f>
        <v>0</v>
      </c>
      <c r="BT883" s="33">
        <f ca="1">+BT882*Assumptions!$G$240</f>
        <v>0</v>
      </c>
      <c r="BU883" s="33">
        <f ca="1">+BU882*Assumptions!$G$240</f>
        <v>0</v>
      </c>
      <c r="BV883" s="33">
        <f ca="1">+BV882*Assumptions!$G$240</f>
        <v>0</v>
      </c>
      <c r="BW883" s="33">
        <f ca="1">+BW882*Assumptions!$G$240</f>
        <v>0</v>
      </c>
      <c r="BX883" s="33">
        <f ca="1">+BX882*Assumptions!$G$240</f>
        <v>0</v>
      </c>
      <c r="BY883" s="33">
        <f ca="1">+BY882*Assumptions!$G$240</f>
        <v>0</v>
      </c>
    </row>
    <row r="884" spans="5:77" outlineLevel="1">
      <c r="E884" s="25" t="s">
        <v>513</v>
      </c>
      <c r="F884" s="81" t="str">
        <f>+Assumptions!$G$8</f>
        <v>USD</v>
      </c>
      <c r="G884" s="25"/>
      <c r="H884" s="34">
        <f>IF(SUM(H885:H894)=0,0,+SUM(H885:H894)-H883)</f>
        <v>0</v>
      </c>
      <c r="I884" s="34">
        <f t="shared" ref="I884:BT884" si="1892">IF(SUM(I885:I894)=0,0,+SUM(I885:I894)-I883)</f>
        <v>0</v>
      </c>
      <c r="J884" s="34">
        <f t="shared" si="1892"/>
        <v>0</v>
      </c>
      <c r="K884" s="34">
        <f t="shared" si="1892"/>
        <v>0</v>
      </c>
      <c r="L884" s="34">
        <f t="shared" si="1892"/>
        <v>0</v>
      </c>
      <c r="M884" s="34">
        <f t="shared" si="1892"/>
        <v>0</v>
      </c>
      <c r="N884" s="34">
        <f t="shared" si="1892"/>
        <v>0</v>
      </c>
      <c r="O884" s="34">
        <f t="shared" si="1892"/>
        <v>0</v>
      </c>
      <c r="P884" s="34">
        <f t="shared" si="1892"/>
        <v>0</v>
      </c>
      <c r="Q884" s="34">
        <f t="shared" si="1892"/>
        <v>0</v>
      </c>
      <c r="R884" s="34">
        <f t="shared" si="1892"/>
        <v>0</v>
      </c>
      <c r="S884" s="34">
        <f t="shared" si="1892"/>
        <v>0</v>
      </c>
      <c r="T884" s="34">
        <f t="shared" si="1892"/>
        <v>0</v>
      </c>
      <c r="U884" s="34">
        <f t="shared" si="1892"/>
        <v>0</v>
      </c>
      <c r="V884" s="34">
        <f t="shared" si="1892"/>
        <v>0</v>
      </c>
      <c r="W884" s="34">
        <f t="shared" si="1892"/>
        <v>0</v>
      </c>
      <c r="X884" s="34">
        <f t="shared" si="1892"/>
        <v>0</v>
      </c>
      <c r="Y884" s="34">
        <f t="shared" si="1892"/>
        <v>0</v>
      </c>
      <c r="Z884" s="34">
        <f t="shared" si="1892"/>
        <v>0</v>
      </c>
      <c r="AA884" s="34">
        <f t="shared" si="1892"/>
        <v>0</v>
      </c>
      <c r="AB884" s="34">
        <f t="shared" si="1892"/>
        <v>0</v>
      </c>
      <c r="AC884" s="34">
        <f t="shared" si="1892"/>
        <v>0</v>
      </c>
      <c r="AD884" s="34">
        <f t="shared" si="1892"/>
        <v>0</v>
      </c>
      <c r="AE884" s="34">
        <f t="shared" si="1892"/>
        <v>0</v>
      </c>
      <c r="AF884" s="34">
        <f t="shared" si="1892"/>
        <v>0</v>
      </c>
      <c r="AG884" s="34">
        <f t="shared" si="1892"/>
        <v>0</v>
      </c>
      <c r="AH884" s="34">
        <f t="shared" si="1892"/>
        <v>0</v>
      </c>
      <c r="AI884" s="34">
        <f t="shared" si="1892"/>
        <v>0</v>
      </c>
      <c r="AJ884" s="34">
        <f t="shared" si="1892"/>
        <v>0</v>
      </c>
      <c r="AK884" s="34">
        <f t="shared" si="1892"/>
        <v>0</v>
      </c>
      <c r="AL884" s="34">
        <f t="shared" si="1892"/>
        <v>0</v>
      </c>
      <c r="AM884" s="34">
        <f t="shared" si="1892"/>
        <v>0</v>
      </c>
      <c r="AN884" s="34">
        <f t="shared" si="1892"/>
        <v>0</v>
      </c>
      <c r="AO884" s="34">
        <f t="shared" si="1892"/>
        <v>0</v>
      </c>
      <c r="AP884" s="34">
        <f t="shared" si="1892"/>
        <v>0</v>
      </c>
      <c r="AQ884" s="34">
        <f t="shared" si="1892"/>
        <v>0</v>
      </c>
      <c r="AR884" s="34">
        <f t="shared" si="1892"/>
        <v>0</v>
      </c>
      <c r="AS884" s="34">
        <f t="shared" si="1892"/>
        <v>0</v>
      </c>
      <c r="AT884" s="34">
        <f t="shared" si="1892"/>
        <v>0</v>
      </c>
      <c r="AU884" s="34">
        <f t="shared" si="1892"/>
        <v>0</v>
      </c>
      <c r="AV884" s="34">
        <f t="shared" si="1892"/>
        <v>0</v>
      </c>
      <c r="AW884" s="34">
        <f t="shared" si="1892"/>
        <v>0</v>
      </c>
      <c r="AX884" s="34">
        <f t="shared" si="1892"/>
        <v>0</v>
      </c>
      <c r="AY884" s="34">
        <f t="shared" si="1892"/>
        <v>0</v>
      </c>
      <c r="AZ884" s="34">
        <f t="shared" si="1892"/>
        <v>0</v>
      </c>
      <c r="BA884" s="34">
        <f t="shared" si="1892"/>
        <v>0</v>
      </c>
      <c r="BB884" s="34">
        <f t="shared" si="1892"/>
        <v>0</v>
      </c>
      <c r="BC884" s="34">
        <f t="shared" si="1892"/>
        <v>0</v>
      </c>
      <c r="BD884" s="34">
        <f t="shared" si="1892"/>
        <v>0</v>
      </c>
      <c r="BE884" s="34">
        <f t="shared" si="1892"/>
        <v>0</v>
      </c>
      <c r="BF884" s="34">
        <f t="shared" si="1892"/>
        <v>0</v>
      </c>
      <c r="BG884" s="34">
        <f t="shared" si="1892"/>
        <v>0</v>
      </c>
      <c r="BH884" s="34">
        <f t="shared" si="1892"/>
        <v>0</v>
      </c>
      <c r="BI884" s="34">
        <f t="shared" si="1892"/>
        <v>0</v>
      </c>
      <c r="BJ884" s="34">
        <f t="shared" si="1892"/>
        <v>0</v>
      </c>
      <c r="BK884" s="34">
        <f t="shared" si="1892"/>
        <v>0</v>
      </c>
      <c r="BL884" s="34">
        <f t="shared" si="1892"/>
        <v>0</v>
      </c>
      <c r="BM884" s="34">
        <f t="shared" si="1892"/>
        <v>0</v>
      </c>
      <c r="BN884" s="34">
        <f t="shared" si="1892"/>
        <v>0</v>
      </c>
      <c r="BO884" s="34">
        <f t="shared" si="1892"/>
        <v>0</v>
      </c>
      <c r="BP884" s="34">
        <f t="shared" si="1892"/>
        <v>0</v>
      </c>
      <c r="BQ884" s="34">
        <f t="shared" si="1892"/>
        <v>0</v>
      </c>
      <c r="BR884" s="34">
        <f t="shared" si="1892"/>
        <v>0</v>
      </c>
      <c r="BS884" s="34">
        <f t="shared" si="1892"/>
        <v>0</v>
      </c>
      <c r="BT884" s="34">
        <f t="shared" si="1892"/>
        <v>0</v>
      </c>
      <c r="BU884" s="34">
        <f t="shared" ref="BU884:BY884" si="1893">IF(SUM(BU885:BU894)=0,0,+SUM(BU885:BU894)-BU883)</f>
        <v>0</v>
      </c>
      <c r="BV884" s="34">
        <f t="shared" si="1893"/>
        <v>0</v>
      </c>
      <c r="BW884" s="34">
        <f t="shared" si="1893"/>
        <v>0</v>
      </c>
      <c r="BX884" s="34">
        <f t="shared" si="1893"/>
        <v>0</v>
      </c>
      <c r="BY884" s="34">
        <f t="shared" si="1893"/>
        <v>0</v>
      </c>
    </row>
    <row r="885" spans="5:77" outlineLevel="1">
      <c r="E885" s="24" t="s">
        <v>514</v>
      </c>
      <c r="F885" s="80" t="str">
        <f>+Assumptions!$G$8</f>
        <v>USD</v>
      </c>
      <c r="G885" s="24"/>
      <c r="H885" s="39">
        <f>+IFERROR(-ABS(IF(EDATE(_xlfn.XLOOKUP(1,$H872:$BE872,$H$4:$BE$4),12*Assumptions!$H$242+12)=H$4,0,IF(G872=1,PMT(Assumptions!$H$240,Assumptions!$H$242,$C874),G885))),0)</f>
        <v>0</v>
      </c>
      <c r="I885" s="39">
        <f>+IFERROR(-ABS(IF(EDATE(_xlfn.XLOOKUP(1,$H872:$BE872,$H$4:$BE$4),12*Assumptions!$H$242+12)=I$4,0,IF(H872=1,PMT(Assumptions!$H$240,Assumptions!$H$242,$C874),H885))),0)</f>
        <v>0</v>
      </c>
      <c r="J885" s="39">
        <f>+IFERROR(-ABS(IF(EDATE(_xlfn.XLOOKUP(1,$H872:$BE872,$H$4:$BE$4),12*Assumptions!$H$242+12)=J$4,0,IF(I872=1,PMT(Assumptions!$H$240,Assumptions!$H$242,$C874),I885))),0)</f>
        <v>0</v>
      </c>
      <c r="K885" s="39">
        <f>+IFERROR(-ABS(IF(EDATE(_xlfn.XLOOKUP(1,$H872:$BE872,$H$4:$BE$4),12*Assumptions!$H$242+12)=K$4,0,IF(J872=1,PMT(Assumptions!$H$240,Assumptions!$H$242,$C874),J885))),0)</f>
        <v>0</v>
      </c>
      <c r="L885" s="39">
        <f>+IFERROR(-ABS(IF(EDATE(_xlfn.XLOOKUP(1,$H872:$BE872,$H$4:$BE$4),12*Assumptions!$H$242+12)=L$4,0,IF(K872=1,PMT(Assumptions!$H$240,Assumptions!$H$242,$C874),K885))),0)</f>
        <v>0</v>
      </c>
      <c r="M885" s="39">
        <f>+IFERROR(-ABS(IF(EDATE(_xlfn.XLOOKUP(1,$H872:$BE872,$H$4:$BE$4),12*Assumptions!$H$242+12)=M$4,0,IF(L872=1,PMT(Assumptions!$H$240,Assumptions!$H$242,$C874),L885))),0)</f>
        <v>0</v>
      </c>
      <c r="N885" s="39">
        <f>+IFERROR(-ABS(IF(EDATE(_xlfn.XLOOKUP(1,$H872:$BE872,$H$4:$BE$4),12*Assumptions!$H$242+12)=N$4,0,IF(M872=1,PMT(Assumptions!$H$240,Assumptions!$H$242,$C874),M885))),0)</f>
        <v>0</v>
      </c>
      <c r="O885" s="39">
        <f>+IFERROR(-ABS(IF(EDATE(_xlfn.XLOOKUP(1,$H872:$BE872,$H$4:$BE$4),12*Assumptions!$H$242+12)=O$4,0,IF(N872=1,PMT(Assumptions!$H$240,Assumptions!$H$242,$C874),N885))),0)</f>
        <v>0</v>
      </c>
      <c r="P885" s="39">
        <f>+IFERROR(-ABS(IF(EDATE(_xlfn.XLOOKUP(1,$H872:$BE872,$H$4:$BE$4),12*Assumptions!$H$242+12)=P$4,0,IF(O872=1,PMT(Assumptions!$H$240,Assumptions!$H$242,$C874),O885))),0)</f>
        <v>0</v>
      </c>
      <c r="Q885" s="39">
        <f>+IFERROR(-ABS(IF(EDATE(_xlfn.XLOOKUP(1,$H872:$BE872,$H$4:$BE$4),12*Assumptions!$H$242+12)=Q$4,0,IF(P872=1,PMT(Assumptions!$H$240,Assumptions!$H$242,$C874),P885))),0)</f>
        <v>0</v>
      </c>
      <c r="R885" s="39">
        <f>+IFERROR(-ABS(IF(EDATE(_xlfn.XLOOKUP(1,$H872:$BE872,$H$4:$BE$4),12*Assumptions!$H$242+12)=R$4,0,IF(Q872=1,PMT(Assumptions!$H$240,Assumptions!$H$242,$C874),Q885))),0)</f>
        <v>0</v>
      </c>
      <c r="S885" s="39">
        <f>+IFERROR(-ABS(IF(EDATE(_xlfn.XLOOKUP(1,$H872:$BE872,$H$4:$BE$4),12*Assumptions!$H$242+12)=S$4,0,IF(R872=1,PMT(Assumptions!$H$240,Assumptions!$H$242,$C874),R885))),0)</f>
        <v>0</v>
      </c>
      <c r="T885" s="39">
        <f>+IFERROR(-ABS(IF(EDATE(_xlfn.XLOOKUP(1,$H872:$BE872,$H$4:$BE$4),12*Assumptions!$H$242+12)=T$4,0,IF(S872=1,PMT(Assumptions!$H$240,Assumptions!$H$242,$C874),S885))),0)</f>
        <v>0</v>
      </c>
      <c r="U885" s="39">
        <f>+IFERROR(-ABS(IF(EDATE(_xlfn.XLOOKUP(1,$H872:$BE872,$H$4:$BE$4),12*Assumptions!$H$242+12)=U$4,0,IF(T872=1,PMT(Assumptions!$H$240,Assumptions!$H$242,$C874),T885))),0)</f>
        <v>0</v>
      </c>
      <c r="V885" s="39">
        <f>+IFERROR(-ABS(IF(EDATE(_xlfn.XLOOKUP(1,$H872:$BE872,$H$4:$BE$4),12*Assumptions!$H$242+12)=V$4,0,IF(U872=1,PMT(Assumptions!$H$240,Assumptions!$H$242,$C874),U885))),0)</f>
        <v>0</v>
      </c>
      <c r="W885" s="39">
        <f>+IFERROR(-ABS(IF(EDATE(_xlfn.XLOOKUP(1,$H872:$BE872,$H$4:$BE$4),12*Assumptions!$H$242+12)=W$4,0,IF(V872=1,PMT(Assumptions!$H$240,Assumptions!$H$242,$C874),V885))),0)</f>
        <v>0</v>
      </c>
      <c r="X885" s="39">
        <f>+IFERROR(-ABS(IF(EDATE(_xlfn.XLOOKUP(1,$H872:$BE872,$H$4:$BE$4),12*Assumptions!$H$242+12)=X$4,0,IF(W872=1,PMT(Assumptions!$H$240,Assumptions!$H$242,$C874),W885))),0)</f>
        <v>0</v>
      </c>
      <c r="Y885" s="39">
        <f>+IFERROR(-ABS(IF(EDATE(_xlfn.XLOOKUP(1,$H872:$BE872,$H$4:$BE$4),12*Assumptions!$H$242+12)=Y$4,0,IF(X872=1,PMT(Assumptions!$H$240,Assumptions!$H$242,$C874),X885))),0)</f>
        <v>0</v>
      </c>
      <c r="Z885" s="39">
        <f>+IFERROR(-ABS(IF(EDATE(_xlfn.XLOOKUP(1,$H872:$BE872,$H$4:$BE$4),12*Assumptions!$H$242+12)=Z$4,0,IF(Y872=1,PMT(Assumptions!$H$240,Assumptions!$H$242,$C874),Y885))),0)</f>
        <v>0</v>
      </c>
      <c r="AA885" s="39">
        <f>+IFERROR(-ABS(IF(EDATE(_xlfn.XLOOKUP(1,$H872:$BE872,$H$4:$BE$4),12*Assumptions!$H$242+12)=AA$4,0,IF(Z872=1,PMT(Assumptions!$H$240,Assumptions!$H$242,$C874),Z885))),0)</f>
        <v>0</v>
      </c>
      <c r="AB885" s="39">
        <f>+IFERROR(-ABS(IF(EDATE(_xlfn.XLOOKUP(1,$H872:$BE872,$H$4:$BE$4),12*Assumptions!$H$242+12)=AB$4,0,IF(AA872=1,PMT(Assumptions!$H$240,Assumptions!$H$242,$C874),AA885))),0)</f>
        <v>0</v>
      </c>
      <c r="AC885" s="39">
        <f>+IFERROR(-ABS(IF(EDATE(_xlfn.XLOOKUP(1,$H872:$BE872,$H$4:$BE$4),12*Assumptions!$H$242+12)=AC$4,0,IF(AB872=1,PMT(Assumptions!$H$240,Assumptions!$H$242,$C874),AB885))),0)</f>
        <v>0</v>
      </c>
      <c r="AD885" s="39">
        <f>+IFERROR(-ABS(IF(EDATE(_xlfn.XLOOKUP(1,$H872:$BE872,$H$4:$BE$4),12*Assumptions!$H$242+12)=AD$4,0,IF(AC872=1,PMT(Assumptions!$H$240,Assumptions!$H$242,$C874),AC885))),0)</f>
        <v>0</v>
      </c>
      <c r="AE885" s="39">
        <f>+IFERROR(-ABS(IF(EDATE(_xlfn.XLOOKUP(1,$H872:$BE872,$H$4:$BE$4),12*Assumptions!$H$242+12)=AE$4,0,IF(AD872=1,PMT(Assumptions!$H$240,Assumptions!$H$242,$C874),AD885))),0)</f>
        <v>0</v>
      </c>
      <c r="AF885" s="39">
        <f>+IFERROR(-ABS(IF(EDATE(_xlfn.XLOOKUP(1,$H872:$BE872,$H$4:$BE$4),12*Assumptions!$H$242+12)=AF$4,0,IF(AE872=1,PMT(Assumptions!$H$240,Assumptions!$H$242,$C874),AE885))),0)</f>
        <v>0</v>
      </c>
      <c r="AG885" s="39">
        <f>+IFERROR(-ABS(IF(EDATE(_xlfn.XLOOKUP(1,$H872:$BE872,$H$4:$BE$4),12*Assumptions!$H$242+12)=AG$4,0,IF(AF872=1,PMT(Assumptions!$H$240,Assumptions!$H$242,$C874),AF885))),0)</f>
        <v>0</v>
      </c>
      <c r="AH885" s="39">
        <f>+IFERROR(-ABS(IF(EDATE(_xlfn.XLOOKUP(1,$H872:$BE872,$H$4:$BE$4),12*Assumptions!$H$242+12)=AH$4,0,IF(AG872=1,PMT(Assumptions!$H$240,Assumptions!$H$242,$C874),AG885))),0)</f>
        <v>0</v>
      </c>
      <c r="AI885" s="39">
        <f>+IFERROR(-ABS(IF(EDATE(_xlfn.XLOOKUP(1,$H872:$BE872,$H$4:$BE$4),12*Assumptions!$H$242+12)=AI$4,0,IF(AH872=1,PMT(Assumptions!$H$240,Assumptions!$H$242,$C874),AH885))),0)</f>
        <v>0</v>
      </c>
      <c r="AJ885" s="39">
        <f>+IFERROR(-ABS(IF(EDATE(_xlfn.XLOOKUP(1,$H872:$BE872,$H$4:$BE$4),12*Assumptions!$H$242+12)=AJ$4,0,IF(AI872=1,PMT(Assumptions!$H$240,Assumptions!$H$242,$C874),AI885))),0)</f>
        <v>0</v>
      </c>
      <c r="AK885" s="39">
        <f>+IFERROR(-ABS(IF(EDATE(_xlfn.XLOOKUP(1,$H872:$BE872,$H$4:$BE$4),12*Assumptions!$H$242+12)=AK$4,0,IF(AJ872=1,PMT(Assumptions!$H$240,Assumptions!$H$242,$C874),AJ885))),0)</f>
        <v>0</v>
      </c>
      <c r="AL885" s="39">
        <f>+IFERROR(-ABS(IF(EDATE(_xlfn.XLOOKUP(1,$H872:$BE872,$H$4:$BE$4),12*Assumptions!$H$242+12)=AL$4,0,IF(AK872=1,PMT(Assumptions!$H$240,Assumptions!$H$242,$C874),AK885))),0)</f>
        <v>0</v>
      </c>
      <c r="AM885" s="39">
        <f>+IFERROR(-ABS(IF(EDATE(_xlfn.XLOOKUP(1,$H872:$BE872,$H$4:$BE$4),12*Assumptions!$H$242+12)=AM$4,0,IF(AL872=1,PMT(Assumptions!$H$240,Assumptions!$H$242,$C874),AL885))),0)</f>
        <v>0</v>
      </c>
      <c r="AN885" s="39">
        <f>+IFERROR(-ABS(IF(EDATE(_xlfn.XLOOKUP(1,$H872:$BE872,$H$4:$BE$4),12*Assumptions!$H$242+12)=AN$4,0,IF(AM872=1,PMT(Assumptions!$H$240,Assumptions!$H$242,$C874),AM885))),0)</f>
        <v>0</v>
      </c>
      <c r="AO885" s="39">
        <f>+IFERROR(-ABS(IF(EDATE(_xlfn.XLOOKUP(1,$H872:$BE872,$H$4:$BE$4),12*Assumptions!$H$242+12)=AO$4,0,IF(AN872=1,PMT(Assumptions!$H$240,Assumptions!$H$242,$C874),AN885))),0)</f>
        <v>0</v>
      </c>
      <c r="AP885" s="39">
        <f>+IFERROR(-ABS(IF(EDATE(_xlfn.XLOOKUP(1,$H872:$BE872,$H$4:$BE$4),12*Assumptions!$H$242+12)=AP$4,0,IF(AO872=1,PMT(Assumptions!$H$240,Assumptions!$H$242,$C874),AO885))),0)</f>
        <v>0</v>
      </c>
      <c r="AQ885" s="39">
        <f>+IFERROR(-ABS(IF(EDATE(_xlfn.XLOOKUP(1,$H872:$BE872,$H$4:$BE$4),12*Assumptions!$H$242+12)=AQ$4,0,IF(AP872=1,PMT(Assumptions!$H$240,Assumptions!$H$242,$C874),AP885))),0)</f>
        <v>0</v>
      </c>
      <c r="AR885" s="39">
        <f>+IFERROR(-ABS(IF(EDATE(_xlfn.XLOOKUP(1,$H872:$BE872,$H$4:$BE$4),12*Assumptions!$H$242+12)=AR$4,0,IF(AQ872=1,PMT(Assumptions!$H$240,Assumptions!$H$242,$C874),AQ885))),0)</f>
        <v>0</v>
      </c>
      <c r="AS885" s="39">
        <f>+IFERROR(-ABS(IF(EDATE(_xlfn.XLOOKUP(1,$H872:$BE872,$H$4:$BE$4),12*Assumptions!$H$242+12)=AS$4,0,IF(AR872=1,PMT(Assumptions!$H$240,Assumptions!$H$242,$C874),AR885))),0)</f>
        <v>0</v>
      </c>
      <c r="AT885" s="39">
        <f>+IFERROR(-ABS(IF(EDATE(_xlfn.XLOOKUP(1,$H872:$BE872,$H$4:$BE$4),12*Assumptions!$H$242+12)=AT$4,0,IF(AS872=1,PMT(Assumptions!$H$240,Assumptions!$H$242,$C874),AS885))),0)</f>
        <v>0</v>
      </c>
      <c r="AU885" s="39">
        <f>+IFERROR(-ABS(IF(EDATE(_xlfn.XLOOKUP(1,$H872:$BE872,$H$4:$BE$4),12*Assumptions!$H$242+12)=AU$4,0,IF(AT872=1,PMT(Assumptions!$H$240,Assumptions!$H$242,$C874),AT885))),0)</f>
        <v>0</v>
      </c>
      <c r="AV885" s="39">
        <f>+IFERROR(-ABS(IF(EDATE(_xlfn.XLOOKUP(1,$H872:$BE872,$H$4:$BE$4),12*Assumptions!$H$242+12)=AV$4,0,IF(AU872=1,PMT(Assumptions!$H$240,Assumptions!$H$242,$C874),AU885))),0)</f>
        <v>0</v>
      </c>
      <c r="AW885" s="39">
        <f>+IFERROR(-ABS(IF(EDATE(_xlfn.XLOOKUP(1,$H872:$BE872,$H$4:$BE$4),12*Assumptions!$H$242+12)=AW$4,0,IF(AV872=1,PMT(Assumptions!$H$240,Assumptions!$H$242,$C874),AV885))),0)</f>
        <v>0</v>
      </c>
      <c r="AX885" s="39">
        <f>+IFERROR(-ABS(IF(EDATE(_xlfn.XLOOKUP(1,$H872:$BE872,$H$4:$BE$4),12*Assumptions!$H$242+12)=AX$4,0,IF(AW872=1,PMT(Assumptions!$H$240,Assumptions!$H$242,$C874),AW885))),0)</f>
        <v>0</v>
      </c>
      <c r="AY885" s="39">
        <f>+IFERROR(-ABS(IF(EDATE(_xlfn.XLOOKUP(1,$H872:$BE872,$H$4:$BE$4),12*Assumptions!$H$242+12)=AY$4,0,IF(AX872=1,PMT(Assumptions!$H$240,Assumptions!$H$242,$C874),AX885))),0)</f>
        <v>0</v>
      </c>
      <c r="AZ885" s="39">
        <f>+IFERROR(-ABS(IF(EDATE(_xlfn.XLOOKUP(1,$H872:$BE872,$H$4:$BE$4),12*Assumptions!$H$242+12)=AZ$4,0,IF(AY872=1,PMT(Assumptions!$H$240,Assumptions!$H$242,$C874),AY885))),0)</f>
        <v>0</v>
      </c>
      <c r="BA885" s="39">
        <f>+IFERROR(-ABS(IF(EDATE(_xlfn.XLOOKUP(1,$H872:$BE872,$H$4:$BE$4),12*Assumptions!$H$242+12)=BA$4,0,IF(AZ872=1,PMT(Assumptions!$H$240,Assumptions!$H$242,$C874),AZ885))),0)</f>
        <v>0</v>
      </c>
      <c r="BB885" s="39">
        <f>+IFERROR(-ABS(IF(EDATE(_xlfn.XLOOKUP(1,$H872:$BE872,$H$4:$BE$4),12*Assumptions!$H$242+12)=BB$4,0,IF(BA872=1,PMT(Assumptions!$H$240,Assumptions!$H$242,$C874),BA885))),0)</f>
        <v>0</v>
      </c>
      <c r="BC885" s="39">
        <f>+IFERROR(-ABS(IF(EDATE(_xlfn.XLOOKUP(1,$H872:$BE872,$H$4:$BE$4),12*Assumptions!$H$242+12)=BC$4,0,IF(BB872=1,PMT(Assumptions!$H$240,Assumptions!$H$242,$C874),BB885))),0)</f>
        <v>0</v>
      </c>
      <c r="BD885" s="39">
        <f>+IFERROR(-ABS(IF(EDATE(_xlfn.XLOOKUP(1,$H872:$BE872,$H$4:$BE$4),12*Assumptions!$H$242+12)=BD$4,0,IF(BC872=1,PMT(Assumptions!$H$240,Assumptions!$H$242,$C874),BC885))),0)</f>
        <v>0</v>
      </c>
      <c r="BE885" s="39">
        <f>+IFERROR(-ABS(IF(EDATE(_xlfn.XLOOKUP(1,$H872:$BE872,$H$4:$BE$4),12*Assumptions!$H$242+12)=BE$4,0,IF(BD872=1,PMT(Assumptions!$H$240,Assumptions!$H$242,$C874),BD885))),0)</f>
        <v>0</v>
      </c>
      <c r="BF885" s="39">
        <f>+IFERROR(-ABS(IF(EDATE(_xlfn.XLOOKUP(1,$H872:$BE872,$H$4:$BE$4),12*Assumptions!$H$242+12)=BF$4,0,IF(BE872=1,PMT(Assumptions!$H$240,Assumptions!$H$242,$C874),BE885))),0)</f>
        <v>0</v>
      </c>
      <c r="BG885" s="39">
        <f>+IFERROR(-ABS(IF(EDATE(_xlfn.XLOOKUP(1,$H872:$BE872,$H$4:$BE$4),12*Assumptions!$H$242+12)=BG$4,0,IF(BF872=1,PMT(Assumptions!$H$240,Assumptions!$H$242,$C874),BF885))),0)</f>
        <v>0</v>
      </c>
      <c r="BH885" s="39">
        <f>+IFERROR(-ABS(IF(EDATE(_xlfn.XLOOKUP(1,$H872:$BE872,$H$4:$BE$4),12*Assumptions!$H$242+12)=BH$4,0,IF(BG872=1,PMT(Assumptions!$H$240,Assumptions!$H$242,$C874),BG885))),0)</f>
        <v>0</v>
      </c>
      <c r="BI885" s="39">
        <f>+IFERROR(-ABS(IF(EDATE(_xlfn.XLOOKUP(1,$H872:$BE872,$H$4:$BE$4),12*Assumptions!$H$242+12)=BI$4,0,IF(BH872=1,PMT(Assumptions!$H$240,Assumptions!$H$242,$C874),BH885))),0)</f>
        <v>0</v>
      </c>
      <c r="BJ885" s="39">
        <f>+IFERROR(-ABS(IF(EDATE(_xlfn.XLOOKUP(1,$H872:$BE872,$H$4:$BE$4),12*Assumptions!$H$242+12)=BJ$4,0,IF(BI872=1,PMT(Assumptions!$H$240,Assumptions!$H$242,$C874),BI885))),0)</f>
        <v>0</v>
      </c>
      <c r="BK885" s="39">
        <f>+IFERROR(-ABS(IF(EDATE(_xlfn.XLOOKUP(1,$H872:$BE872,$H$4:$BE$4),12*Assumptions!$H$242+12)=BK$4,0,IF(BJ872=1,PMT(Assumptions!$H$240,Assumptions!$H$242,$C874),BJ885))),0)</f>
        <v>0</v>
      </c>
      <c r="BL885" s="39">
        <f>+IFERROR(-ABS(IF(EDATE(_xlfn.XLOOKUP(1,$H872:$BE872,$H$4:$BE$4),12*Assumptions!$H$242+12)=BL$4,0,IF(BK872=1,PMT(Assumptions!$H$240,Assumptions!$H$242,$C874),BK885))),0)</f>
        <v>0</v>
      </c>
      <c r="BM885" s="39">
        <f>+IFERROR(-ABS(IF(EDATE(_xlfn.XLOOKUP(1,$H872:$BE872,$H$4:$BE$4),12*Assumptions!$H$242+12)=BM$4,0,IF(BL872=1,PMT(Assumptions!$H$240,Assumptions!$H$242,$C874),BL885))),0)</f>
        <v>0</v>
      </c>
      <c r="BN885" s="39">
        <f>+IFERROR(-ABS(IF(EDATE(_xlfn.XLOOKUP(1,$H872:$BE872,$H$4:$BE$4),12*Assumptions!$H$242+12)=BN$4,0,IF(BM872=1,PMT(Assumptions!$H$240,Assumptions!$H$242,$C874),BM885))),0)</f>
        <v>0</v>
      </c>
      <c r="BO885" s="39">
        <f>+IFERROR(-ABS(IF(EDATE(_xlfn.XLOOKUP(1,$H872:$BE872,$H$4:$BE$4),12*Assumptions!$H$242+12)=BO$4,0,IF(BN872=1,PMT(Assumptions!$H$240,Assumptions!$H$242,$C874),BN885))),0)</f>
        <v>0</v>
      </c>
      <c r="BP885" s="39">
        <f>+IFERROR(-ABS(IF(EDATE(_xlfn.XLOOKUP(1,$H872:$BE872,$H$4:$BE$4),12*Assumptions!$H$242+12)=BP$4,0,IF(BO872=1,PMT(Assumptions!$H$240,Assumptions!$H$242,$C874),BO885))),0)</f>
        <v>0</v>
      </c>
      <c r="BQ885" s="39">
        <f>+IFERROR(-ABS(IF(EDATE(_xlfn.XLOOKUP(1,$H872:$BE872,$H$4:$BE$4),12*Assumptions!$H$242+12)=BQ$4,0,IF(BP872=1,PMT(Assumptions!$H$240,Assumptions!$H$242,$C874),BP885))),0)</f>
        <v>0</v>
      </c>
      <c r="BR885" s="39">
        <f>+IFERROR(-ABS(IF(EDATE(_xlfn.XLOOKUP(1,$H872:$BE872,$H$4:$BE$4),12*Assumptions!$H$242+12)=BR$4,0,IF(BQ872=1,PMT(Assumptions!$H$240,Assumptions!$H$242,$C874),BQ885))),0)</f>
        <v>0</v>
      </c>
      <c r="BS885" s="39">
        <f>+IFERROR(-ABS(IF(EDATE(_xlfn.XLOOKUP(1,$H872:$BE872,$H$4:$BE$4),12*Assumptions!$H$242+12)=BS$4,0,IF(BR872=1,PMT(Assumptions!$H$240,Assumptions!$H$242,$C874),BR885))),0)</f>
        <v>0</v>
      </c>
      <c r="BT885" s="39">
        <f>+IFERROR(-ABS(IF(EDATE(_xlfn.XLOOKUP(1,$H872:$BE872,$H$4:$BE$4),12*Assumptions!$H$242+12)=BT$4,0,IF(BS872=1,PMT(Assumptions!$H$240,Assumptions!$H$242,$C874),BS885))),0)</f>
        <v>0</v>
      </c>
      <c r="BU885" s="39">
        <f>+IFERROR(-ABS(IF(EDATE(_xlfn.XLOOKUP(1,$H872:$BE872,$H$4:$BE$4),12*Assumptions!$H$242+12)=BU$4,0,IF(BT872=1,PMT(Assumptions!$H$240,Assumptions!$H$242,$C874),BT885))),0)</f>
        <v>0</v>
      </c>
      <c r="BV885" s="39">
        <f>+IFERROR(-ABS(IF(EDATE(_xlfn.XLOOKUP(1,$H872:$BE872,$H$4:$BE$4),12*Assumptions!$H$242+12)=BV$4,0,IF(BU872=1,PMT(Assumptions!$H$240,Assumptions!$H$242,$C874),BU885))),0)</f>
        <v>0</v>
      </c>
      <c r="BW885" s="39">
        <f>+IFERROR(-ABS(IF(EDATE(_xlfn.XLOOKUP(1,$H872:$BE872,$H$4:$BE$4),12*Assumptions!$H$242+12)=BW$4,0,IF(BV872=1,PMT(Assumptions!$H$240,Assumptions!$H$242,$C874),BV885))),0)</f>
        <v>0</v>
      </c>
      <c r="BX885" s="39">
        <f>+IFERROR(-ABS(IF(EDATE(_xlfn.XLOOKUP(1,$H872:$BE872,$H$4:$BE$4),12*Assumptions!$H$242+12)=BX$4,0,IF(BW872=1,PMT(Assumptions!$H$240,Assumptions!$H$242,$C874),BW885))),0)</f>
        <v>0</v>
      </c>
      <c r="BY885" s="39">
        <f>+IFERROR(-ABS(IF(EDATE(_xlfn.XLOOKUP(1,$H872:$BE872,$H$4:$BE$4),12*Assumptions!$H$242+12)=BY$4,0,IF(BX872=1,PMT(Assumptions!$H$240,Assumptions!$H$242,$C874),BX885))),0)</f>
        <v>0</v>
      </c>
    </row>
    <row r="886" spans="5:77" outlineLevel="1">
      <c r="E886" s="24" t="s">
        <v>515</v>
      </c>
      <c r="F886" s="80" t="str">
        <f>+Assumptions!$G$8</f>
        <v>USD</v>
      </c>
      <c r="G886" s="24"/>
      <c r="H886" s="39">
        <f>+IFERROR(-ABS(IF(EDATE(_xlfn.XLOOKUP(1,$H873:$BE873,$H$4:$BE$4),12*Assumptions!$H$242+12)=H$4,0,IF(G873=1,PMT(Assumptions!$H$240,Assumptions!$H$242,$C875),G886))),0)</f>
        <v>0</v>
      </c>
      <c r="I886" s="39">
        <f>+IFERROR(-ABS(IF(EDATE(_xlfn.XLOOKUP(1,$H873:$BE873,$H$4:$BE$4),12*Assumptions!$H$242+12)=I$4,0,IF(H873=1,PMT(Assumptions!$H$240,Assumptions!$H$242,$C875),H886))),0)</f>
        <v>0</v>
      </c>
      <c r="J886" s="39">
        <f>+IFERROR(-ABS(IF(EDATE(_xlfn.XLOOKUP(1,$H873:$BE873,$H$4:$BE$4),12*Assumptions!$H$242+12)=J$4,0,IF(I873=1,PMT(Assumptions!$H$240,Assumptions!$H$242,$C875),I886))),0)</f>
        <v>0</v>
      </c>
      <c r="K886" s="39">
        <f>+IFERROR(-ABS(IF(EDATE(_xlfn.XLOOKUP(1,$H873:$BE873,$H$4:$BE$4),12*Assumptions!$H$242+12)=K$4,0,IF(J873=1,PMT(Assumptions!$H$240,Assumptions!$H$242,$C875),J886))),0)</f>
        <v>0</v>
      </c>
      <c r="L886" s="39">
        <f>+IFERROR(-ABS(IF(EDATE(_xlfn.XLOOKUP(1,$H873:$BE873,$H$4:$BE$4),12*Assumptions!$H$242+12)=L$4,0,IF(K873=1,PMT(Assumptions!$H$240,Assumptions!$H$242,$C875),K886))),0)</f>
        <v>0</v>
      </c>
      <c r="M886" s="39">
        <f>+IFERROR(-ABS(IF(EDATE(_xlfn.XLOOKUP(1,$H873:$BE873,$H$4:$BE$4),12*Assumptions!$H$242+12)=M$4,0,IF(L873=1,PMT(Assumptions!$H$240,Assumptions!$H$242,$C875),L886))),0)</f>
        <v>0</v>
      </c>
      <c r="N886" s="39">
        <f>+IFERROR(-ABS(IF(EDATE(_xlfn.XLOOKUP(1,$H873:$BE873,$H$4:$BE$4),12*Assumptions!$H$242+12)=N$4,0,IF(M873=1,PMT(Assumptions!$H$240,Assumptions!$H$242,$C875),M886))),0)</f>
        <v>0</v>
      </c>
      <c r="O886" s="39">
        <f>+IFERROR(-ABS(IF(EDATE(_xlfn.XLOOKUP(1,$H873:$BE873,$H$4:$BE$4),12*Assumptions!$H$242+12)=O$4,0,IF(N873=1,PMT(Assumptions!$H$240,Assumptions!$H$242,$C875),N886))),0)</f>
        <v>0</v>
      </c>
      <c r="P886" s="39">
        <f>+IFERROR(-ABS(IF(EDATE(_xlfn.XLOOKUP(1,$H873:$BE873,$H$4:$BE$4),12*Assumptions!$H$242+12)=P$4,0,IF(O873=1,PMT(Assumptions!$H$240,Assumptions!$H$242,$C875),O886))),0)</f>
        <v>0</v>
      </c>
      <c r="Q886" s="39">
        <f>+IFERROR(-ABS(IF(EDATE(_xlfn.XLOOKUP(1,$H873:$BE873,$H$4:$BE$4),12*Assumptions!$H$242+12)=Q$4,0,IF(P873=1,PMT(Assumptions!$H$240,Assumptions!$H$242,$C875),P886))),0)</f>
        <v>0</v>
      </c>
      <c r="R886" s="39">
        <f>+IFERROR(-ABS(IF(EDATE(_xlfn.XLOOKUP(1,$H873:$BE873,$H$4:$BE$4),12*Assumptions!$H$242+12)=R$4,0,IF(Q873=1,PMT(Assumptions!$H$240,Assumptions!$H$242,$C875),Q886))),0)</f>
        <v>0</v>
      </c>
      <c r="S886" s="39">
        <f>+IFERROR(-ABS(IF(EDATE(_xlfn.XLOOKUP(1,$H873:$BE873,$H$4:$BE$4),12*Assumptions!$H$242+12)=S$4,0,IF(R873=1,PMT(Assumptions!$H$240,Assumptions!$H$242,$C875),R886))),0)</f>
        <v>0</v>
      </c>
      <c r="T886" s="39">
        <f>+IFERROR(-ABS(IF(EDATE(_xlfn.XLOOKUP(1,$H873:$BE873,$H$4:$BE$4),12*Assumptions!$H$242+12)=T$4,0,IF(S873=1,PMT(Assumptions!$H$240,Assumptions!$H$242,$C875),S886))),0)</f>
        <v>0</v>
      </c>
      <c r="U886" s="39">
        <f>+IFERROR(-ABS(IF(EDATE(_xlfn.XLOOKUP(1,$H873:$BE873,$H$4:$BE$4),12*Assumptions!$H$242+12)=U$4,0,IF(T873=1,PMT(Assumptions!$H$240,Assumptions!$H$242,$C875),T886))),0)</f>
        <v>0</v>
      </c>
      <c r="V886" s="39">
        <f>+IFERROR(-ABS(IF(EDATE(_xlfn.XLOOKUP(1,$H873:$BE873,$H$4:$BE$4),12*Assumptions!$H$242+12)=V$4,0,IF(U873=1,PMT(Assumptions!$H$240,Assumptions!$H$242,$C875),U886))),0)</f>
        <v>0</v>
      </c>
      <c r="W886" s="39">
        <f>+IFERROR(-ABS(IF(EDATE(_xlfn.XLOOKUP(1,$H873:$BE873,$H$4:$BE$4),12*Assumptions!$H$242+12)=W$4,0,IF(V873=1,PMT(Assumptions!$H$240,Assumptions!$H$242,$C875),V886))),0)</f>
        <v>0</v>
      </c>
      <c r="X886" s="39">
        <f>+IFERROR(-ABS(IF(EDATE(_xlfn.XLOOKUP(1,$H873:$BE873,$H$4:$BE$4),12*Assumptions!$H$242+12)=X$4,0,IF(W873=1,PMT(Assumptions!$H$240,Assumptions!$H$242,$C875),W886))),0)</f>
        <v>0</v>
      </c>
      <c r="Y886" s="39">
        <f>+IFERROR(-ABS(IF(EDATE(_xlfn.XLOOKUP(1,$H873:$BE873,$H$4:$BE$4),12*Assumptions!$H$242+12)=Y$4,0,IF(X873=1,PMT(Assumptions!$H$240,Assumptions!$H$242,$C875),X886))),0)</f>
        <v>0</v>
      </c>
      <c r="Z886" s="39">
        <f>+IFERROR(-ABS(IF(EDATE(_xlfn.XLOOKUP(1,$H873:$BE873,$H$4:$BE$4),12*Assumptions!$H$242+12)=Z$4,0,IF(Y873=1,PMT(Assumptions!$H$240,Assumptions!$H$242,$C875),Y886))),0)</f>
        <v>0</v>
      </c>
      <c r="AA886" s="39">
        <f>+IFERROR(-ABS(IF(EDATE(_xlfn.XLOOKUP(1,$H873:$BE873,$H$4:$BE$4),12*Assumptions!$H$242+12)=AA$4,0,IF(Z873=1,PMT(Assumptions!$H$240,Assumptions!$H$242,$C875),Z886))),0)</f>
        <v>0</v>
      </c>
      <c r="AB886" s="39">
        <f>+IFERROR(-ABS(IF(EDATE(_xlfn.XLOOKUP(1,$H873:$BE873,$H$4:$BE$4),12*Assumptions!$H$242+12)=AB$4,0,IF(AA873=1,PMT(Assumptions!$H$240,Assumptions!$H$242,$C875),AA886))),0)</f>
        <v>0</v>
      </c>
      <c r="AC886" s="39">
        <f>+IFERROR(-ABS(IF(EDATE(_xlfn.XLOOKUP(1,$H873:$BE873,$H$4:$BE$4),12*Assumptions!$H$242+12)=AC$4,0,IF(AB873=1,PMT(Assumptions!$H$240,Assumptions!$H$242,$C875),AB886))),0)</f>
        <v>0</v>
      </c>
      <c r="AD886" s="39">
        <f>+IFERROR(-ABS(IF(EDATE(_xlfn.XLOOKUP(1,$H873:$BE873,$H$4:$BE$4),12*Assumptions!$H$242+12)=AD$4,0,IF(AC873=1,PMT(Assumptions!$H$240,Assumptions!$H$242,$C875),AC886))),0)</f>
        <v>0</v>
      </c>
      <c r="AE886" s="39">
        <f>+IFERROR(-ABS(IF(EDATE(_xlfn.XLOOKUP(1,$H873:$BE873,$H$4:$BE$4),12*Assumptions!$H$242+12)=AE$4,0,IF(AD873=1,PMT(Assumptions!$H$240,Assumptions!$H$242,$C875),AD886))),0)</f>
        <v>0</v>
      </c>
      <c r="AF886" s="39">
        <f>+IFERROR(-ABS(IF(EDATE(_xlfn.XLOOKUP(1,$H873:$BE873,$H$4:$BE$4),12*Assumptions!$H$242+12)=AF$4,0,IF(AE873=1,PMT(Assumptions!$H$240,Assumptions!$H$242,$C875),AE886))),0)</f>
        <v>0</v>
      </c>
      <c r="AG886" s="39">
        <f>+IFERROR(-ABS(IF(EDATE(_xlfn.XLOOKUP(1,$H873:$BE873,$H$4:$BE$4),12*Assumptions!$H$242+12)=AG$4,0,IF(AF873=1,PMT(Assumptions!$H$240,Assumptions!$H$242,$C875),AF886))),0)</f>
        <v>0</v>
      </c>
      <c r="AH886" s="39">
        <f>+IFERROR(-ABS(IF(EDATE(_xlfn.XLOOKUP(1,$H873:$BE873,$H$4:$BE$4),12*Assumptions!$H$242+12)=AH$4,0,IF(AG873=1,PMT(Assumptions!$H$240,Assumptions!$H$242,$C875),AG886))),0)</f>
        <v>0</v>
      </c>
      <c r="AI886" s="39">
        <f>+IFERROR(-ABS(IF(EDATE(_xlfn.XLOOKUP(1,$H873:$BE873,$H$4:$BE$4),12*Assumptions!$H$242+12)=AI$4,0,IF(AH873=1,PMT(Assumptions!$H$240,Assumptions!$H$242,$C875),AH886))),0)</f>
        <v>0</v>
      </c>
      <c r="AJ886" s="39">
        <f>+IFERROR(-ABS(IF(EDATE(_xlfn.XLOOKUP(1,$H873:$BE873,$H$4:$BE$4),12*Assumptions!$H$242+12)=AJ$4,0,IF(AI873=1,PMT(Assumptions!$H$240,Assumptions!$H$242,$C875),AI886))),0)</f>
        <v>0</v>
      </c>
      <c r="AK886" s="39">
        <f>+IFERROR(-ABS(IF(EDATE(_xlfn.XLOOKUP(1,$H873:$BE873,$H$4:$BE$4),12*Assumptions!$H$242+12)=AK$4,0,IF(AJ873=1,PMT(Assumptions!$H$240,Assumptions!$H$242,$C875),AJ886))),0)</f>
        <v>0</v>
      </c>
      <c r="AL886" s="39">
        <f>+IFERROR(-ABS(IF(EDATE(_xlfn.XLOOKUP(1,$H873:$BE873,$H$4:$BE$4),12*Assumptions!$H$242+12)=AL$4,0,IF(AK873=1,PMT(Assumptions!$H$240,Assumptions!$H$242,$C875),AK886))),0)</f>
        <v>0</v>
      </c>
      <c r="AM886" s="39">
        <f>+IFERROR(-ABS(IF(EDATE(_xlfn.XLOOKUP(1,$H873:$BE873,$H$4:$BE$4),12*Assumptions!$H$242+12)=AM$4,0,IF(AL873=1,PMT(Assumptions!$H$240,Assumptions!$H$242,$C875),AL886))),0)</f>
        <v>0</v>
      </c>
      <c r="AN886" s="39">
        <f>+IFERROR(-ABS(IF(EDATE(_xlfn.XLOOKUP(1,$H873:$BE873,$H$4:$BE$4),12*Assumptions!$H$242+12)=AN$4,0,IF(AM873=1,PMT(Assumptions!$H$240,Assumptions!$H$242,$C875),AM886))),0)</f>
        <v>0</v>
      </c>
      <c r="AO886" s="39">
        <f>+IFERROR(-ABS(IF(EDATE(_xlfn.XLOOKUP(1,$H873:$BE873,$H$4:$BE$4),12*Assumptions!$H$242+12)=AO$4,0,IF(AN873=1,PMT(Assumptions!$H$240,Assumptions!$H$242,$C875),AN886))),0)</f>
        <v>0</v>
      </c>
      <c r="AP886" s="39">
        <f>+IFERROR(-ABS(IF(EDATE(_xlfn.XLOOKUP(1,$H873:$BE873,$H$4:$BE$4),12*Assumptions!$H$242+12)=AP$4,0,IF(AO873=1,PMT(Assumptions!$H$240,Assumptions!$H$242,$C875),AO886))),0)</f>
        <v>0</v>
      </c>
      <c r="AQ886" s="39">
        <f>+IFERROR(-ABS(IF(EDATE(_xlfn.XLOOKUP(1,$H873:$BE873,$H$4:$BE$4),12*Assumptions!$H$242+12)=AQ$4,0,IF(AP873=1,PMT(Assumptions!$H$240,Assumptions!$H$242,$C875),AP886))),0)</f>
        <v>0</v>
      </c>
      <c r="AR886" s="39">
        <f>+IFERROR(-ABS(IF(EDATE(_xlfn.XLOOKUP(1,$H873:$BE873,$H$4:$BE$4),12*Assumptions!$H$242+12)=AR$4,0,IF(AQ873=1,PMT(Assumptions!$H$240,Assumptions!$H$242,$C875),AQ886))),0)</f>
        <v>0</v>
      </c>
      <c r="AS886" s="39">
        <f>+IFERROR(-ABS(IF(EDATE(_xlfn.XLOOKUP(1,$H873:$BE873,$H$4:$BE$4),12*Assumptions!$H$242+12)=AS$4,0,IF(AR873=1,PMT(Assumptions!$H$240,Assumptions!$H$242,$C875),AR886))),0)</f>
        <v>0</v>
      </c>
      <c r="AT886" s="39">
        <f>+IFERROR(-ABS(IF(EDATE(_xlfn.XLOOKUP(1,$H873:$BE873,$H$4:$BE$4),12*Assumptions!$H$242+12)=AT$4,0,IF(AS873=1,PMT(Assumptions!$H$240,Assumptions!$H$242,$C875),AS886))),0)</f>
        <v>0</v>
      </c>
      <c r="AU886" s="39">
        <f>+IFERROR(-ABS(IF(EDATE(_xlfn.XLOOKUP(1,$H873:$BE873,$H$4:$BE$4),12*Assumptions!$H$242+12)=AU$4,0,IF(AT873=1,PMT(Assumptions!$H$240,Assumptions!$H$242,$C875),AT886))),0)</f>
        <v>0</v>
      </c>
      <c r="AV886" s="39">
        <f>+IFERROR(-ABS(IF(EDATE(_xlfn.XLOOKUP(1,$H873:$BE873,$H$4:$BE$4),12*Assumptions!$H$242+12)=AV$4,0,IF(AU873=1,PMT(Assumptions!$H$240,Assumptions!$H$242,$C875),AU886))),0)</f>
        <v>0</v>
      </c>
      <c r="AW886" s="39">
        <f>+IFERROR(-ABS(IF(EDATE(_xlfn.XLOOKUP(1,$H873:$BE873,$H$4:$BE$4),12*Assumptions!$H$242+12)=AW$4,0,IF(AV873=1,PMT(Assumptions!$H$240,Assumptions!$H$242,$C875),AV886))),0)</f>
        <v>0</v>
      </c>
      <c r="AX886" s="39">
        <f>+IFERROR(-ABS(IF(EDATE(_xlfn.XLOOKUP(1,$H873:$BE873,$H$4:$BE$4),12*Assumptions!$H$242+12)=AX$4,0,IF(AW873=1,PMT(Assumptions!$H$240,Assumptions!$H$242,$C875),AW886))),0)</f>
        <v>0</v>
      </c>
      <c r="AY886" s="39">
        <f>+IFERROR(-ABS(IF(EDATE(_xlfn.XLOOKUP(1,$H873:$BE873,$H$4:$BE$4),12*Assumptions!$H$242+12)=AY$4,0,IF(AX873=1,PMT(Assumptions!$H$240,Assumptions!$H$242,$C875),AX886))),0)</f>
        <v>0</v>
      </c>
      <c r="AZ886" s="39">
        <f>+IFERROR(-ABS(IF(EDATE(_xlfn.XLOOKUP(1,$H873:$BE873,$H$4:$BE$4),12*Assumptions!$H$242+12)=AZ$4,0,IF(AY873=1,PMT(Assumptions!$H$240,Assumptions!$H$242,$C875),AY886))),0)</f>
        <v>0</v>
      </c>
      <c r="BA886" s="39">
        <f>+IFERROR(-ABS(IF(EDATE(_xlfn.XLOOKUP(1,$H873:$BE873,$H$4:$BE$4),12*Assumptions!$H$242+12)=BA$4,0,IF(AZ873=1,PMT(Assumptions!$H$240,Assumptions!$H$242,$C875),AZ886))),0)</f>
        <v>0</v>
      </c>
      <c r="BB886" s="39">
        <f>+IFERROR(-ABS(IF(EDATE(_xlfn.XLOOKUP(1,$H873:$BE873,$H$4:$BE$4),12*Assumptions!$H$242+12)=BB$4,0,IF(BA873=1,PMT(Assumptions!$H$240,Assumptions!$H$242,$C875),BA886))),0)</f>
        <v>0</v>
      </c>
      <c r="BC886" s="39">
        <f>+IFERROR(-ABS(IF(EDATE(_xlfn.XLOOKUP(1,$H873:$BE873,$H$4:$BE$4),12*Assumptions!$H$242+12)=BC$4,0,IF(BB873=1,PMT(Assumptions!$H$240,Assumptions!$H$242,$C875),BB886))),0)</f>
        <v>0</v>
      </c>
      <c r="BD886" s="39">
        <f>+IFERROR(-ABS(IF(EDATE(_xlfn.XLOOKUP(1,$H873:$BE873,$H$4:$BE$4),12*Assumptions!$H$242+12)=BD$4,0,IF(BC873=1,PMT(Assumptions!$H$240,Assumptions!$H$242,$C875),BC886))),0)</f>
        <v>0</v>
      </c>
      <c r="BE886" s="39">
        <f>+IFERROR(-ABS(IF(EDATE(_xlfn.XLOOKUP(1,$H873:$BE873,$H$4:$BE$4),12*Assumptions!$H$242+12)=BE$4,0,IF(BD873=1,PMT(Assumptions!$H$240,Assumptions!$H$242,$C875),BD886))),0)</f>
        <v>0</v>
      </c>
      <c r="BF886" s="39">
        <f>+IFERROR(-ABS(IF(EDATE(_xlfn.XLOOKUP(1,$H873:$BE873,$H$4:$BE$4),12*Assumptions!$H$242+12)=BF$4,0,IF(BE873=1,PMT(Assumptions!$H$240,Assumptions!$H$242,$C875),BE886))),0)</f>
        <v>0</v>
      </c>
      <c r="BG886" s="39">
        <f>+IFERROR(-ABS(IF(EDATE(_xlfn.XLOOKUP(1,$H873:$BE873,$H$4:$BE$4),12*Assumptions!$H$242+12)=BG$4,0,IF(BF873=1,PMT(Assumptions!$H$240,Assumptions!$H$242,$C875),BF886))),0)</f>
        <v>0</v>
      </c>
      <c r="BH886" s="39">
        <f>+IFERROR(-ABS(IF(EDATE(_xlfn.XLOOKUP(1,$H873:$BE873,$H$4:$BE$4),12*Assumptions!$H$242+12)=BH$4,0,IF(BG873=1,PMT(Assumptions!$H$240,Assumptions!$H$242,$C875),BG886))),0)</f>
        <v>0</v>
      </c>
      <c r="BI886" s="39">
        <f>+IFERROR(-ABS(IF(EDATE(_xlfn.XLOOKUP(1,$H873:$BE873,$H$4:$BE$4),12*Assumptions!$H$242+12)=BI$4,0,IF(BH873=1,PMT(Assumptions!$H$240,Assumptions!$H$242,$C875),BH886))),0)</f>
        <v>0</v>
      </c>
      <c r="BJ886" s="39">
        <f>+IFERROR(-ABS(IF(EDATE(_xlfn.XLOOKUP(1,$H873:$BE873,$H$4:$BE$4),12*Assumptions!$H$242+12)=BJ$4,0,IF(BI873=1,PMT(Assumptions!$H$240,Assumptions!$H$242,$C875),BI886))),0)</f>
        <v>0</v>
      </c>
      <c r="BK886" s="39">
        <f>+IFERROR(-ABS(IF(EDATE(_xlfn.XLOOKUP(1,$H873:$BE873,$H$4:$BE$4),12*Assumptions!$H$242+12)=BK$4,0,IF(BJ873=1,PMT(Assumptions!$H$240,Assumptions!$H$242,$C875),BJ886))),0)</f>
        <v>0</v>
      </c>
      <c r="BL886" s="39">
        <f>+IFERROR(-ABS(IF(EDATE(_xlfn.XLOOKUP(1,$H873:$BE873,$H$4:$BE$4),12*Assumptions!$H$242+12)=BL$4,0,IF(BK873=1,PMT(Assumptions!$H$240,Assumptions!$H$242,$C875),BK886))),0)</f>
        <v>0</v>
      </c>
      <c r="BM886" s="39">
        <f>+IFERROR(-ABS(IF(EDATE(_xlfn.XLOOKUP(1,$H873:$BE873,$H$4:$BE$4),12*Assumptions!$H$242+12)=BM$4,0,IF(BL873=1,PMT(Assumptions!$H$240,Assumptions!$H$242,$C875),BL886))),0)</f>
        <v>0</v>
      </c>
      <c r="BN886" s="39">
        <f>+IFERROR(-ABS(IF(EDATE(_xlfn.XLOOKUP(1,$H873:$BE873,$H$4:$BE$4),12*Assumptions!$H$242+12)=BN$4,0,IF(BM873=1,PMT(Assumptions!$H$240,Assumptions!$H$242,$C875),BM886))),0)</f>
        <v>0</v>
      </c>
      <c r="BO886" s="39">
        <f>+IFERROR(-ABS(IF(EDATE(_xlfn.XLOOKUP(1,$H873:$BE873,$H$4:$BE$4),12*Assumptions!$H$242+12)=BO$4,0,IF(BN873=1,PMT(Assumptions!$H$240,Assumptions!$H$242,$C875),BN886))),0)</f>
        <v>0</v>
      </c>
      <c r="BP886" s="39">
        <f>+IFERROR(-ABS(IF(EDATE(_xlfn.XLOOKUP(1,$H873:$BE873,$H$4:$BE$4),12*Assumptions!$H$242+12)=BP$4,0,IF(BO873=1,PMT(Assumptions!$H$240,Assumptions!$H$242,$C875),BO886))),0)</f>
        <v>0</v>
      </c>
      <c r="BQ886" s="39">
        <f>+IFERROR(-ABS(IF(EDATE(_xlfn.XLOOKUP(1,$H873:$BE873,$H$4:$BE$4),12*Assumptions!$H$242+12)=BQ$4,0,IF(BP873=1,PMT(Assumptions!$H$240,Assumptions!$H$242,$C875),BP886))),0)</f>
        <v>0</v>
      </c>
      <c r="BR886" s="39">
        <f>+IFERROR(-ABS(IF(EDATE(_xlfn.XLOOKUP(1,$H873:$BE873,$H$4:$BE$4),12*Assumptions!$H$242+12)=BR$4,0,IF(BQ873=1,PMT(Assumptions!$H$240,Assumptions!$H$242,$C875),BQ886))),0)</f>
        <v>0</v>
      </c>
      <c r="BS886" s="39">
        <f>+IFERROR(-ABS(IF(EDATE(_xlfn.XLOOKUP(1,$H873:$BE873,$H$4:$BE$4),12*Assumptions!$H$242+12)=BS$4,0,IF(BR873=1,PMT(Assumptions!$H$240,Assumptions!$H$242,$C875),BR886))),0)</f>
        <v>0</v>
      </c>
      <c r="BT886" s="39">
        <f>+IFERROR(-ABS(IF(EDATE(_xlfn.XLOOKUP(1,$H873:$BE873,$H$4:$BE$4),12*Assumptions!$H$242+12)=BT$4,0,IF(BS873=1,PMT(Assumptions!$H$240,Assumptions!$H$242,$C875),BS886))),0)</f>
        <v>0</v>
      </c>
      <c r="BU886" s="39">
        <f>+IFERROR(-ABS(IF(EDATE(_xlfn.XLOOKUP(1,$H873:$BE873,$H$4:$BE$4),12*Assumptions!$H$242+12)=BU$4,0,IF(BT873=1,PMT(Assumptions!$H$240,Assumptions!$H$242,$C875),BT886))),0)</f>
        <v>0</v>
      </c>
      <c r="BV886" s="39">
        <f>+IFERROR(-ABS(IF(EDATE(_xlfn.XLOOKUP(1,$H873:$BE873,$H$4:$BE$4),12*Assumptions!$H$242+12)=BV$4,0,IF(BU873=1,PMT(Assumptions!$H$240,Assumptions!$H$242,$C875),BU886))),0)</f>
        <v>0</v>
      </c>
      <c r="BW886" s="39">
        <f>+IFERROR(-ABS(IF(EDATE(_xlfn.XLOOKUP(1,$H873:$BE873,$H$4:$BE$4),12*Assumptions!$H$242+12)=BW$4,0,IF(BV873=1,PMT(Assumptions!$H$240,Assumptions!$H$242,$C875),BV886))),0)</f>
        <v>0</v>
      </c>
      <c r="BX886" s="39">
        <f>+IFERROR(-ABS(IF(EDATE(_xlfn.XLOOKUP(1,$H873:$BE873,$H$4:$BE$4),12*Assumptions!$H$242+12)=BX$4,0,IF(BW873=1,PMT(Assumptions!$H$240,Assumptions!$H$242,$C875),BW886))),0)</f>
        <v>0</v>
      </c>
      <c r="BY886" s="39">
        <f>+IFERROR(-ABS(IF(EDATE(_xlfn.XLOOKUP(1,$H873:$BE873,$H$4:$BE$4),12*Assumptions!$H$242+12)=BY$4,0,IF(BX873=1,PMT(Assumptions!$H$240,Assumptions!$H$242,$C875),BX886))),0)</f>
        <v>0</v>
      </c>
    </row>
    <row r="887" spans="5:77" outlineLevel="1">
      <c r="E887" s="24" t="s">
        <v>516</v>
      </c>
      <c r="F887" s="80" t="str">
        <f>+Assumptions!$G$8</f>
        <v>USD</v>
      </c>
      <c r="G887" s="24"/>
      <c r="H887" s="39">
        <f>+IFERROR(-ABS(IF(EDATE(_xlfn.XLOOKUP(1,$H874:$BE874,$H$4:$BE$4),12*Assumptions!$H$242+12)=H$4,0,IF(G874=1,PMT(Assumptions!$H$240,Assumptions!$H$242,$C876),G887))),0)</f>
        <v>0</v>
      </c>
      <c r="I887" s="39">
        <f>+IFERROR(-ABS(IF(EDATE(_xlfn.XLOOKUP(1,$H874:$BE874,$H$4:$BE$4),12*Assumptions!$H$242+12)=I$4,0,IF(H874=1,PMT(Assumptions!$H$240,Assumptions!$H$242,$C876),H887))),0)</f>
        <v>0</v>
      </c>
      <c r="J887" s="39">
        <f>+IFERROR(-ABS(IF(EDATE(_xlfn.XLOOKUP(1,$H874:$BE874,$H$4:$BE$4),12*Assumptions!$H$242+12)=J$4,0,IF(I874=1,PMT(Assumptions!$H$240,Assumptions!$H$242,$C876),I887))),0)</f>
        <v>0</v>
      </c>
      <c r="K887" s="39">
        <f>+IFERROR(-ABS(IF(EDATE(_xlfn.XLOOKUP(1,$H874:$BE874,$H$4:$BE$4),12*Assumptions!$H$242+12)=K$4,0,IF(J874=1,PMT(Assumptions!$H$240,Assumptions!$H$242,$C876),J887))),0)</f>
        <v>0</v>
      </c>
      <c r="L887" s="39">
        <f>+IFERROR(-ABS(IF(EDATE(_xlfn.XLOOKUP(1,$H874:$BE874,$H$4:$BE$4),12*Assumptions!$H$242+12)=L$4,0,IF(K874=1,PMT(Assumptions!$H$240,Assumptions!$H$242,$C876),K887))),0)</f>
        <v>0</v>
      </c>
      <c r="M887" s="39">
        <f>+IFERROR(-ABS(IF(EDATE(_xlfn.XLOOKUP(1,$H874:$BE874,$H$4:$BE$4),12*Assumptions!$H$242+12)=M$4,0,IF(L874=1,PMT(Assumptions!$H$240,Assumptions!$H$242,$C876),L887))),0)</f>
        <v>0</v>
      </c>
      <c r="N887" s="39">
        <f>+IFERROR(-ABS(IF(EDATE(_xlfn.XLOOKUP(1,$H874:$BE874,$H$4:$BE$4),12*Assumptions!$H$242+12)=N$4,0,IF(M874=1,PMT(Assumptions!$H$240,Assumptions!$H$242,$C876),M887))),0)</f>
        <v>0</v>
      </c>
      <c r="O887" s="39">
        <f>+IFERROR(-ABS(IF(EDATE(_xlfn.XLOOKUP(1,$H874:$BE874,$H$4:$BE$4),12*Assumptions!$H$242+12)=O$4,0,IF(N874=1,PMT(Assumptions!$H$240,Assumptions!$H$242,$C876),N887))),0)</f>
        <v>0</v>
      </c>
      <c r="P887" s="39">
        <f>+IFERROR(-ABS(IF(EDATE(_xlfn.XLOOKUP(1,$H874:$BE874,$H$4:$BE$4),12*Assumptions!$H$242+12)=P$4,0,IF(O874=1,PMT(Assumptions!$H$240,Assumptions!$H$242,$C876),O887))),0)</f>
        <v>0</v>
      </c>
      <c r="Q887" s="39">
        <f>+IFERROR(-ABS(IF(EDATE(_xlfn.XLOOKUP(1,$H874:$BE874,$H$4:$BE$4),12*Assumptions!$H$242+12)=Q$4,0,IF(P874=1,PMT(Assumptions!$H$240,Assumptions!$H$242,$C876),P887))),0)</f>
        <v>0</v>
      </c>
      <c r="R887" s="39">
        <f>+IFERROR(-ABS(IF(EDATE(_xlfn.XLOOKUP(1,$H874:$BE874,$H$4:$BE$4),12*Assumptions!$H$242+12)=R$4,0,IF(Q874=1,PMT(Assumptions!$H$240,Assumptions!$H$242,$C876),Q887))),0)</f>
        <v>0</v>
      </c>
      <c r="S887" s="39">
        <f>+IFERROR(-ABS(IF(EDATE(_xlfn.XLOOKUP(1,$H874:$BE874,$H$4:$BE$4),12*Assumptions!$H$242+12)=S$4,0,IF(R874=1,PMT(Assumptions!$H$240,Assumptions!$H$242,$C876),R887))),0)</f>
        <v>0</v>
      </c>
      <c r="T887" s="39">
        <f>+IFERROR(-ABS(IF(EDATE(_xlfn.XLOOKUP(1,$H874:$BE874,$H$4:$BE$4),12*Assumptions!$H$242+12)=T$4,0,IF(S874=1,PMT(Assumptions!$H$240,Assumptions!$H$242,$C876),S887))),0)</f>
        <v>0</v>
      </c>
      <c r="U887" s="39">
        <f>+IFERROR(-ABS(IF(EDATE(_xlfn.XLOOKUP(1,$H874:$BE874,$H$4:$BE$4),12*Assumptions!$H$242+12)=U$4,0,IF(T874=1,PMT(Assumptions!$H$240,Assumptions!$H$242,$C876),T887))),0)</f>
        <v>0</v>
      </c>
      <c r="V887" s="39">
        <f>+IFERROR(-ABS(IF(EDATE(_xlfn.XLOOKUP(1,$H874:$BE874,$H$4:$BE$4),12*Assumptions!$H$242+12)=V$4,0,IF(U874=1,PMT(Assumptions!$H$240,Assumptions!$H$242,$C876),U887))),0)</f>
        <v>0</v>
      </c>
      <c r="W887" s="39">
        <f>+IFERROR(-ABS(IF(EDATE(_xlfn.XLOOKUP(1,$H874:$BE874,$H$4:$BE$4),12*Assumptions!$H$242+12)=W$4,0,IF(V874=1,PMT(Assumptions!$H$240,Assumptions!$H$242,$C876),V887))),0)</f>
        <v>0</v>
      </c>
      <c r="X887" s="39">
        <f>+IFERROR(-ABS(IF(EDATE(_xlfn.XLOOKUP(1,$H874:$BE874,$H$4:$BE$4),12*Assumptions!$H$242+12)=X$4,0,IF(W874=1,PMT(Assumptions!$H$240,Assumptions!$H$242,$C876),W887))),0)</f>
        <v>0</v>
      </c>
      <c r="Y887" s="39">
        <f>+IFERROR(-ABS(IF(EDATE(_xlfn.XLOOKUP(1,$H874:$BE874,$H$4:$BE$4),12*Assumptions!$H$242+12)=Y$4,0,IF(X874=1,PMT(Assumptions!$H$240,Assumptions!$H$242,$C876),X887))),0)</f>
        <v>0</v>
      </c>
      <c r="Z887" s="39">
        <f>+IFERROR(-ABS(IF(EDATE(_xlfn.XLOOKUP(1,$H874:$BE874,$H$4:$BE$4),12*Assumptions!$H$242+12)=Z$4,0,IF(Y874=1,PMT(Assumptions!$H$240,Assumptions!$H$242,$C876),Y887))),0)</f>
        <v>0</v>
      </c>
      <c r="AA887" s="39">
        <f>+IFERROR(-ABS(IF(EDATE(_xlfn.XLOOKUP(1,$H874:$BE874,$H$4:$BE$4),12*Assumptions!$H$242+12)=AA$4,0,IF(Z874=1,PMT(Assumptions!$H$240,Assumptions!$H$242,$C876),Z887))),0)</f>
        <v>0</v>
      </c>
      <c r="AB887" s="39">
        <f>+IFERROR(-ABS(IF(EDATE(_xlfn.XLOOKUP(1,$H874:$BE874,$H$4:$BE$4),12*Assumptions!$H$242+12)=AB$4,0,IF(AA874=1,PMT(Assumptions!$H$240,Assumptions!$H$242,$C876),AA887))),0)</f>
        <v>0</v>
      </c>
      <c r="AC887" s="39">
        <f>+IFERROR(-ABS(IF(EDATE(_xlfn.XLOOKUP(1,$H874:$BE874,$H$4:$BE$4),12*Assumptions!$H$242+12)=AC$4,0,IF(AB874=1,PMT(Assumptions!$H$240,Assumptions!$H$242,$C876),AB887))),0)</f>
        <v>0</v>
      </c>
      <c r="AD887" s="39">
        <f>+IFERROR(-ABS(IF(EDATE(_xlfn.XLOOKUP(1,$H874:$BE874,$H$4:$BE$4),12*Assumptions!$H$242+12)=AD$4,0,IF(AC874=1,PMT(Assumptions!$H$240,Assumptions!$H$242,$C876),AC887))),0)</f>
        <v>0</v>
      </c>
      <c r="AE887" s="39">
        <f>+IFERROR(-ABS(IF(EDATE(_xlfn.XLOOKUP(1,$H874:$BE874,$H$4:$BE$4),12*Assumptions!$H$242+12)=AE$4,0,IF(AD874=1,PMT(Assumptions!$H$240,Assumptions!$H$242,$C876),AD887))),0)</f>
        <v>0</v>
      </c>
      <c r="AF887" s="39">
        <f>+IFERROR(-ABS(IF(EDATE(_xlfn.XLOOKUP(1,$H874:$BE874,$H$4:$BE$4),12*Assumptions!$H$242+12)=AF$4,0,IF(AE874=1,PMT(Assumptions!$H$240,Assumptions!$H$242,$C876),AE887))),0)</f>
        <v>0</v>
      </c>
      <c r="AG887" s="39">
        <f>+IFERROR(-ABS(IF(EDATE(_xlfn.XLOOKUP(1,$H874:$BE874,$H$4:$BE$4),12*Assumptions!$H$242+12)=AG$4,0,IF(AF874=1,PMT(Assumptions!$H$240,Assumptions!$H$242,$C876),AF887))),0)</f>
        <v>0</v>
      </c>
      <c r="AH887" s="39">
        <f>+IFERROR(-ABS(IF(EDATE(_xlfn.XLOOKUP(1,$H874:$BE874,$H$4:$BE$4),12*Assumptions!$H$242+12)=AH$4,0,IF(AG874=1,PMT(Assumptions!$H$240,Assumptions!$H$242,$C876),AG887))),0)</f>
        <v>0</v>
      </c>
      <c r="AI887" s="39">
        <f>+IFERROR(-ABS(IF(EDATE(_xlfn.XLOOKUP(1,$H874:$BE874,$H$4:$BE$4),12*Assumptions!$H$242+12)=AI$4,0,IF(AH874=1,PMT(Assumptions!$H$240,Assumptions!$H$242,$C876),AH887))),0)</f>
        <v>0</v>
      </c>
      <c r="AJ887" s="39">
        <f>+IFERROR(-ABS(IF(EDATE(_xlfn.XLOOKUP(1,$H874:$BE874,$H$4:$BE$4),12*Assumptions!$H$242+12)=AJ$4,0,IF(AI874=1,PMT(Assumptions!$H$240,Assumptions!$H$242,$C876),AI887))),0)</f>
        <v>0</v>
      </c>
      <c r="AK887" s="39">
        <f>+IFERROR(-ABS(IF(EDATE(_xlfn.XLOOKUP(1,$H874:$BE874,$H$4:$BE$4),12*Assumptions!$H$242+12)=AK$4,0,IF(AJ874=1,PMT(Assumptions!$H$240,Assumptions!$H$242,$C876),AJ887))),0)</f>
        <v>0</v>
      </c>
      <c r="AL887" s="39">
        <f>+IFERROR(-ABS(IF(EDATE(_xlfn.XLOOKUP(1,$H874:$BE874,$H$4:$BE$4),12*Assumptions!$H$242+12)=AL$4,0,IF(AK874=1,PMT(Assumptions!$H$240,Assumptions!$H$242,$C876),AK887))),0)</f>
        <v>0</v>
      </c>
      <c r="AM887" s="39">
        <f>+IFERROR(-ABS(IF(EDATE(_xlfn.XLOOKUP(1,$H874:$BE874,$H$4:$BE$4),12*Assumptions!$H$242+12)=AM$4,0,IF(AL874=1,PMT(Assumptions!$H$240,Assumptions!$H$242,$C876),AL887))),0)</f>
        <v>0</v>
      </c>
      <c r="AN887" s="39">
        <f>+IFERROR(-ABS(IF(EDATE(_xlfn.XLOOKUP(1,$H874:$BE874,$H$4:$BE$4),12*Assumptions!$H$242+12)=AN$4,0,IF(AM874=1,PMT(Assumptions!$H$240,Assumptions!$H$242,$C876),AM887))),0)</f>
        <v>0</v>
      </c>
      <c r="AO887" s="39">
        <f>+IFERROR(-ABS(IF(EDATE(_xlfn.XLOOKUP(1,$H874:$BE874,$H$4:$BE$4),12*Assumptions!$H$242+12)=AO$4,0,IF(AN874=1,PMT(Assumptions!$H$240,Assumptions!$H$242,$C876),AN887))),0)</f>
        <v>0</v>
      </c>
      <c r="AP887" s="39">
        <f>+IFERROR(-ABS(IF(EDATE(_xlfn.XLOOKUP(1,$H874:$BE874,$H$4:$BE$4),12*Assumptions!$H$242+12)=AP$4,0,IF(AO874=1,PMT(Assumptions!$H$240,Assumptions!$H$242,$C876),AO887))),0)</f>
        <v>0</v>
      </c>
      <c r="AQ887" s="39">
        <f>+IFERROR(-ABS(IF(EDATE(_xlfn.XLOOKUP(1,$H874:$BE874,$H$4:$BE$4),12*Assumptions!$H$242+12)=AQ$4,0,IF(AP874=1,PMT(Assumptions!$H$240,Assumptions!$H$242,$C876),AP887))),0)</f>
        <v>0</v>
      </c>
      <c r="AR887" s="39">
        <f>+IFERROR(-ABS(IF(EDATE(_xlfn.XLOOKUP(1,$H874:$BE874,$H$4:$BE$4),12*Assumptions!$H$242+12)=AR$4,0,IF(AQ874=1,PMT(Assumptions!$H$240,Assumptions!$H$242,$C876),AQ887))),0)</f>
        <v>0</v>
      </c>
      <c r="AS887" s="39">
        <f>+IFERROR(-ABS(IF(EDATE(_xlfn.XLOOKUP(1,$H874:$BE874,$H$4:$BE$4),12*Assumptions!$H$242+12)=AS$4,0,IF(AR874=1,PMT(Assumptions!$H$240,Assumptions!$H$242,$C876),AR887))),0)</f>
        <v>0</v>
      </c>
      <c r="AT887" s="39">
        <f>+IFERROR(-ABS(IF(EDATE(_xlfn.XLOOKUP(1,$H874:$BE874,$H$4:$BE$4),12*Assumptions!$H$242+12)=AT$4,0,IF(AS874=1,PMT(Assumptions!$H$240,Assumptions!$H$242,$C876),AS887))),0)</f>
        <v>0</v>
      </c>
      <c r="AU887" s="39">
        <f>+IFERROR(-ABS(IF(EDATE(_xlfn.XLOOKUP(1,$H874:$BE874,$H$4:$BE$4),12*Assumptions!$H$242+12)=AU$4,0,IF(AT874=1,PMT(Assumptions!$H$240,Assumptions!$H$242,$C876),AT887))),0)</f>
        <v>0</v>
      </c>
      <c r="AV887" s="39">
        <f>+IFERROR(-ABS(IF(EDATE(_xlfn.XLOOKUP(1,$H874:$BE874,$H$4:$BE$4),12*Assumptions!$H$242+12)=AV$4,0,IF(AU874=1,PMT(Assumptions!$H$240,Assumptions!$H$242,$C876),AU887))),0)</f>
        <v>0</v>
      </c>
      <c r="AW887" s="39">
        <f>+IFERROR(-ABS(IF(EDATE(_xlfn.XLOOKUP(1,$H874:$BE874,$H$4:$BE$4),12*Assumptions!$H$242+12)=AW$4,0,IF(AV874=1,PMT(Assumptions!$H$240,Assumptions!$H$242,$C876),AV887))),0)</f>
        <v>0</v>
      </c>
      <c r="AX887" s="39">
        <f>+IFERROR(-ABS(IF(EDATE(_xlfn.XLOOKUP(1,$H874:$BE874,$H$4:$BE$4),12*Assumptions!$H$242+12)=AX$4,0,IF(AW874=1,PMT(Assumptions!$H$240,Assumptions!$H$242,$C876),AW887))),0)</f>
        <v>0</v>
      </c>
      <c r="AY887" s="39">
        <f>+IFERROR(-ABS(IF(EDATE(_xlfn.XLOOKUP(1,$H874:$BE874,$H$4:$BE$4),12*Assumptions!$H$242+12)=AY$4,0,IF(AX874=1,PMT(Assumptions!$H$240,Assumptions!$H$242,$C876),AX887))),0)</f>
        <v>0</v>
      </c>
      <c r="AZ887" s="39">
        <f>+IFERROR(-ABS(IF(EDATE(_xlfn.XLOOKUP(1,$H874:$BE874,$H$4:$BE$4),12*Assumptions!$H$242+12)=AZ$4,0,IF(AY874=1,PMT(Assumptions!$H$240,Assumptions!$H$242,$C876),AY887))),0)</f>
        <v>0</v>
      </c>
      <c r="BA887" s="39">
        <f>+IFERROR(-ABS(IF(EDATE(_xlfn.XLOOKUP(1,$H874:$BE874,$H$4:$BE$4),12*Assumptions!$H$242+12)=BA$4,0,IF(AZ874=1,PMT(Assumptions!$H$240,Assumptions!$H$242,$C876),AZ887))),0)</f>
        <v>0</v>
      </c>
      <c r="BB887" s="39">
        <f>+IFERROR(-ABS(IF(EDATE(_xlfn.XLOOKUP(1,$H874:$BE874,$H$4:$BE$4),12*Assumptions!$H$242+12)=BB$4,0,IF(BA874=1,PMT(Assumptions!$H$240,Assumptions!$H$242,$C876),BA887))),0)</f>
        <v>0</v>
      </c>
      <c r="BC887" s="39">
        <f>+IFERROR(-ABS(IF(EDATE(_xlfn.XLOOKUP(1,$H874:$BE874,$H$4:$BE$4),12*Assumptions!$H$242+12)=BC$4,0,IF(BB874=1,PMT(Assumptions!$H$240,Assumptions!$H$242,$C876),BB887))),0)</f>
        <v>0</v>
      </c>
      <c r="BD887" s="39">
        <f>+IFERROR(-ABS(IF(EDATE(_xlfn.XLOOKUP(1,$H874:$BE874,$H$4:$BE$4),12*Assumptions!$H$242+12)=BD$4,0,IF(BC874=1,PMT(Assumptions!$H$240,Assumptions!$H$242,$C876),BC887))),0)</f>
        <v>0</v>
      </c>
      <c r="BE887" s="39">
        <f>+IFERROR(-ABS(IF(EDATE(_xlfn.XLOOKUP(1,$H874:$BE874,$H$4:$BE$4),12*Assumptions!$H$242+12)=BE$4,0,IF(BD874=1,PMT(Assumptions!$H$240,Assumptions!$H$242,$C876),BD887))),0)</f>
        <v>0</v>
      </c>
      <c r="BF887" s="39">
        <f>+IFERROR(-ABS(IF(EDATE(_xlfn.XLOOKUP(1,$H874:$BE874,$H$4:$BE$4),12*Assumptions!$H$242+12)=BF$4,0,IF(BE874=1,PMT(Assumptions!$H$240,Assumptions!$H$242,$C876),BE887))),0)</f>
        <v>0</v>
      </c>
      <c r="BG887" s="39">
        <f>+IFERROR(-ABS(IF(EDATE(_xlfn.XLOOKUP(1,$H874:$BE874,$H$4:$BE$4),12*Assumptions!$H$242+12)=BG$4,0,IF(BF874=1,PMT(Assumptions!$H$240,Assumptions!$H$242,$C876),BF887))),0)</f>
        <v>0</v>
      </c>
      <c r="BH887" s="39">
        <f>+IFERROR(-ABS(IF(EDATE(_xlfn.XLOOKUP(1,$H874:$BE874,$H$4:$BE$4),12*Assumptions!$H$242+12)=BH$4,0,IF(BG874=1,PMT(Assumptions!$H$240,Assumptions!$H$242,$C876),BG887))),0)</f>
        <v>0</v>
      </c>
      <c r="BI887" s="39">
        <f>+IFERROR(-ABS(IF(EDATE(_xlfn.XLOOKUP(1,$H874:$BE874,$H$4:$BE$4),12*Assumptions!$H$242+12)=BI$4,0,IF(BH874=1,PMT(Assumptions!$H$240,Assumptions!$H$242,$C876),BH887))),0)</f>
        <v>0</v>
      </c>
      <c r="BJ887" s="39">
        <f>+IFERROR(-ABS(IF(EDATE(_xlfn.XLOOKUP(1,$H874:$BE874,$H$4:$BE$4),12*Assumptions!$H$242+12)=BJ$4,0,IF(BI874=1,PMT(Assumptions!$H$240,Assumptions!$H$242,$C876),BI887))),0)</f>
        <v>0</v>
      </c>
      <c r="BK887" s="39">
        <f>+IFERROR(-ABS(IF(EDATE(_xlfn.XLOOKUP(1,$H874:$BE874,$H$4:$BE$4),12*Assumptions!$H$242+12)=BK$4,0,IF(BJ874=1,PMT(Assumptions!$H$240,Assumptions!$H$242,$C876),BJ887))),0)</f>
        <v>0</v>
      </c>
      <c r="BL887" s="39">
        <f>+IFERROR(-ABS(IF(EDATE(_xlfn.XLOOKUP(1,$H874:$BE874,$H$4:$BE$4),12*Assumptions!$H$242+12)=BL$4,0,IF(BK874=1,PMT(Assumptions!$H$240,Assumptions!$H$242,$C876),BK887))),0)</f>
        <v>0</v>
      </c>
      <c r="BM887" s="39">
        <f>+IFERROR(-ABS(IF(EDATE(_xlfn.XLOOKUP(1,$H874:$BE874,$H$4:$BE$4),12*Assumptions!$H$242+12)=BM$4,0,IF(BL874=1,PMT(Assumptions!$H$240,Assumptions!$H$242,$C876),BL887))),0)</f>
        <v>0</v>
      </c>
      <c r="BN887" s="39">
        <f>+IFERROR(-ABS(IF(EDATE(_xlfn.XLOOKUP(1,$H874:$BE874,$H$4:$BE$4),12*Assumptions!$H$242+12)=BN$4,0,IF(BM874=1,PMT(Assumptions!$H$240,Assumptions!$H$242,$C876),BM887))),0)</f>
        <v>0</v>
      </c>
      <c r="BO887" s="39">
        <f>+IFERROR(-ABS(IF(EDATE(_xlfn.XLOOKUP(1,$H874:$BE874,$H$4:$BE$4),12*Assumptions!$H$242+12)=BO$4,0,IF(BN874=1,PMT(Assumptions!$H$240,Assumptions!$H$242,$C876),BN887))),0)</f>
        <v>0</v>
      </c>
      <c r="BP887" s="39">
        <f>+IFERROR(-ABS(IF(EDATE(_xlfn.XLOOKUP(1,$H874:$BE874,$H$4:$BE$4),12*Assumptions!$H$242+12)=BP$4,0,IF(BO874=1,PMT(Assumptions!$H$240,Assumptions!$H$242,$C876),BO887))),0)</f>
        <v>0</v>
      </c>
      <c r="BQ887" s="39">
        <f>+IFERROR(-ABS(IF(EDATE(_xlfn.XLOOKUP(1,$H874:$BE874,$H$4:$BE$4),12*Assumptions!$H$242+12)=BQ$4,0,IF(BP874=1,PMT(Assumptions!$H$240,Assumptions!$H$242,$C876),BP887))),0)</f>
        <v>0</v>
      </c>
      <c r="BR887" s="39">
        <f>+IFERROR(-ABS(IF(EDATE(_xlfn.XLOOKUP(1,$H874:$BE874,$H$4:$BE$4),12*Assumptions!$H$242+12)=BR$4,0,IF(BQ874=1,PMT(Assumptions!$H$240,Assumptions!$H$242,$C876),BQ887))),0)</f>
        <v>0</v>
      </c>
      <c r="BS887" s="39">
        <f>+IFERROR(-ABS(IF(EDATE(_xlfn.XLOOKUP(1,$H874:$BE874,$H$4:$BE$4),12*Assumptions!$H$242+12)=BS$4,0,IF(BR874=1,PMT(Assumptions!$H$240,Assumptions!$H$242,$C876),BR887))),0)</f>
        <v>0</v>
      </c>
      <c r="BT887" s="39">
        <f>+IFERROR(-ABS(IF(EDATE(_xlfn.XLOOKUP(1,$H874:$BE874,$H$4:$BE$4),12*Assumptions!$H$242+12)=BT$4,0,IF(BS874=1,PMT(Assumptions!$H$240,Assumptions!$H$242,$C876),BS887))),0)</f>
        <v>0</v>
      </c>
      <c r="BU887" s="39">
        <f>+IFERROR(-ABS(IF(EDATE(_xlfn.XLOOKUP(1,$H874:$BE874,$H$4:$BE$4),12*Assumptions!$H$242+12)=BU$4,0,IF(BT874=1,PMT(Assumptions!$H$240,Assumptions!$H$242,$C876),BT887))),0)</f>
        <v>0</v>
      </c>
      <c r="BV887" s="39">
        <f>+IFERROR(-ABS(IF(EDATE(_xlfn.XLOOKUP(1,$H874:$BE874,$H$4:$BE$4),12*Assumptions!$H$242+12)=BV$4,0,IF(BU874=1,PMT(Assumptions!$H$240,Assumptions!$H$242,$C876),BU887))),0)</f>
        <v>0</v>
      </c>
      <c r="BW887" s="39">
        <f>+IFERROR(-ABS(IF(EDATE(_xlfn.XLOOKUP(1,$H874:$BE874,$H$4:$BE$4),12*Assumptions!$H$242+12)=BW$4,0,IF(BV874=1,PMT(Assumptions!$H$240,Assumptions!$H$242,$C876),BV887))),0)</f>
        <v>0</v>
      </c>
      <c r="BX887" s="39">
        <f>+IFERROR(-ABS(IF(EDATE(_xlfn.XLOOKUP(1,$H874:$BE874,$H$4:$BE$4),12*Assumptions!$H$242+12)=BX$4,0,IF(BW874=1,PMT(Assumptions!$H$240,Assumptions!$H$242,$C876),BW887))),0)</f>
        <v>0</v>
      </c>
      <c r="BY887" s="39">
        <f>+IFERROR(-ABS(IF(EDATE(_xlfn.XLOOKUP(1,$H874:$BE874,$H$4:$BE$4),12*Assumptions!$H$242+12)=BY$4,0,IF(BX874=1,PMT(Assumptions!$H$240,Assumptions!$H$242,$C876),BX887))),0)</f>
        <v>0</v>
      </c>
    </row>
    <row r="888" spans="5:77" outlineLevel="1">
      <c r="E888" s="24" t="s">
        <v>517</v>
      </c>
      <c r="F888" s="80" t="str">
        <f>+Assumptions!$G$8</f>
        <v>USD</v>
      </c>
      <c r="G888" s="24"/>
      <c r="H888" s="39">
        <f>+IFERROR(-ABS(IF(EDATE(_xlfn.XLOOKUP(1,$H875:$BE875,$H$4:$BE$4),12*Assumptions!$H$242+12)=H$4,0,IF(G875=1,PMT(Assumptions!$H$240,Assumptions!$H$242,$C877),G888))),0)</f>
        <v>0</v>
      </c>
      <c r="I888" s="39">
        <f>+IFERROR(-ABS(IF(EDATE(_xlfn.XLOOKUP(1,$H875:$BE875,$H$4:$BE$4),12*Assumptions!$H$242+12)=I$4,0,IF(H875=1,PMT(Assumptions!$H$240,Assumptions!$H$242,$C877),H888))),0)</f>
        <v>0</v>
      </c>
      <c r="J888" s="39">
        <f>+IFERROR(-ABS(IF(EDATE(_xlfn.XLOOKUP(1,$H875:$BE875,$H$4:$BE$4),12*Assumptions!$H$242+12)=J$4,0,IF(I875=1,PMT(Assumptions!$H$240,Assumptions!$H$242,$C877),I888))),0)</f>
        <v>0</v>
      </c>
      <c r="K888" s="39">
        <f>+IFERROR(-ABS(IF(EDATE(_xlfn.XLOOKUP(1,$H875:$BE875,$H$4:$BE$4),12*Assumptions!$H$242+12)=K$4,0,IF(J875=1,PMT(Assumptions!$H$240,Assumptions!$H$242,$C877),J888))),0)</f>
        <v>0</v>
      </c>
      <c r="L888" s="39">
        <f>+IFERROR(-ABS(IF(EDATE(_xlfn.XLOOKUP(1,$H875:$BE875,$H$4:$BE$4),12*Assumptions!$H$242+12)=L$4,0,IF(K875=1,PMT(Assumptions!$H$240,Assumptions!$H$242,$C877),K888))),0)</f>
        <v>0</v>
      </c>
      <c r="M888" s="39">
        <f>+IFERROR(-ABS(IF(EDATE(_xlfn.XLOOKUP(1,$H875:$BE875,$H$4:$BE$4),12*Assumptions!$H$242+12)=M$4,0,IF(L875=1,PMT(Assumptions!$H$240,Assumptions!$H$242,$C877),L888))),0)</f>
        <v>0</v>
      </c>
      <c r="N888" s="39">
        <f>+IFERROR(-ABS(IF(EDATE(_xlfn.XLOOKUP(1,$H875:$BE875,$H$4:$BE$4),12*Assumptions!$H$242+12)=N$4,0,IF(M875=1,PMT(Assumptions!$H$240,Assumptions!$H$242,$C877),M888))),0)</f>
        <v>0</v>
      </c>
      <c r="O888" s="39">
        <f>+IFERROR(-ABS(IF(EDATE(_xlfn.XLOOKUP(1,$H875:$BE875,$H$4:$BE$4),12*Assumptions!$H$242+12)=O$4,0,IF(N875=1,PMT(Assumptions!$H$240,Assumptions!$H$242,$C877),N888))),0)</f>
        <v>0</v>
      </c>
      <c r="P888" s="39">
        <f>+IFERROR(-ABS(IF(EDATE(_xlfn.XLOOKUP(1,$H875:$BE875,$H$4:$BE$4),12*Assumptions!$H$242+12)=P$4,0,IF(O875=1,PMT(Assumptions!$H$240,Assumptions!$H$242,$C877),O888))),0)</f>
        <v>0</v>
      </c>
      <c r="Q888" s="39">
        <f>+IFERROR(-ABS(IF(EDATE(_xlfn.XLOOKUP(1,$H875:$BE875,$H$4:$BE$4),12*Assumptions!$H$242+12)=Q$4,0,IF(P875=1,PMT(Assumptions!$H$240,Assumptions!$H$242,$C877),P888))),0)</f>
        <v>0</v>
      </c>
      <c r="R888" s="39">
        <f>+IFERROR(-ABS(IF(EDATE(_xlfn.XLOOKUP(1,$H875:$BE875,$H$4:$BE$4),12*Assumptions!$H$242+12)=R$4,0,IF(Q875=1,PMT(Assumptions!$H$240,Assumptions!$H$242,$C877),Q888))),0)</f>
        <v>0</v>
      </c>
      <c r="S888" s="39">
        <f>+IFERROR(-ABS(IF(EDATE(_xlfn.XLOOKUP(1,$H875:$BE875,$H$4:$BE$4),12*Assumptions!$H$242+12)=S$4,0,IF(R875=1,PMT(Assumptions!$H$240,Assumptions!$H$242,$C877),R888))),0)</f>
        <v>0</v>
      </c>
      <c r="T888" s="39">
        <f>+IFERROR(-ABS(IF(EDATE(_xlfn.XLOOKUP(1,$H875:$BE875,$H$4:$BE$4),12*Assumptions!$H$242+12)=T$4,0,IF(S875=1,PMT(Assumptions!$H$240,Assumptions!$H$242,$C877),S888))),0)</f>
        <v>0</v>
      </c>
      <c r="U888" s="39">
        <f>+IFERROR(-ABS(IF(EDATE(_xlfn.XLOOKUP(1,$H875:$BE875,$H$4:$BE$4),12*Assumptions!$H$242+12)=U$4,0,IF(T875=1,PMT(Assumptions!$H$240,Assumptions!$H$242,$C877),T888))),0)</f>
        <v>0</v>
      </c>
      <c r="V888" s="39">
        <f>+IFERROR(-ABS(IF(EDATE(_xlfn.XLOOKUP(1,$H875:$BE875,$H$4:$BE$4),12*Assumptions!$H$242+12)=V$4,0,IF(U875=1,PMT(Assumptions!$H$240,Assumptions!$H$242,$C877),U888))),0)</f>
        <v>0</v>
      </c>
      <c r="W888" s="39">
        <f>+IFERROR(-ABS(IF(EDATE(_xlfn.XLOOKUP(1,$H875:$BE875,$H$4:$BE$4),12*Assumptions!$H$242+12)=W$4,0,IF(V875=1,PMT(Assumptions!$H$240,Assumptions!$H$242,$C877),V888))),0)</f>
        <v>0</v>
      </c>
      <c r="X888" s="39">
        <f>+IFERROR(-ABS(IF(EDATE(_xlfn.XLOOKUP(1,$H875:$BE875,$H$4:$BE$4),12*Assumptions!$H$242+12)=X$4,0,IF(W875=1,PMT(Assumptions!$H$240,Assumptions!$H$242,$C877),W888))),0)</f>
        <v>0</v>
      </c>
      <c r="Y888" s="39">
        <f>+IFERROR(-ABS(IF(EDATE(_xlfn.XLOOKUP(1,$H875:$BE875,$H$4:$BE$4),12*Assumptions!$H$242+12)=Y$4,0,IF(X875=1,PMT(Assumptions!$H$240,Assumptions!$H$242,$C877),X888))),0)</f>
        <v>0</v>
      </c>
      <c r="Z888" s="39">
        <f>+IFERROR(-ABS(IF(EDATE(_xlfn.XLOOKUP(1,$H875:$BE875,$H$4:$BE$4),12*Assumptions!$H$242+12)=Z$4,0,IF(Y875=1,PMT(Assumptions!$H$240,Assumptions!$H$242,$C877),Y888))),0)</f>
        <v>0</v>
      </c>
      <c r="AA888" s="39">
        <f>+IFERROR(-ABS(IF(EDATE(_xlfn.XLOOKUP(1,$H875:$BE875,$H$4:$BE$4),12*Assumptions!$H$242+12)=AA$4,0,IF(Z875=1,PMT(Assumptions!$H$240,Assumptions!$H$242,$C877),Z888))),0)</f>
        <v>0</v>
      </c>
      <c r="AB888" s="39">
        <f>+IFERROR(-ABS(IF(EDATE(_xlfn.XLOOKUP(1,$H875:$BE875,$H$4:$BE$4),12*Assumptions!$H$242+12)=AB$4,0,IF(AA875=1,PMT(Assumptions!$H$240,Assumptions!$H$242,$C877),AA888))),0)</f>
        <v>0</v>
      </c>
      <c r="AC888" s="39">
        <f>+IFERROR(-ABS(IF(EDATE(_xlfn.XLOOKUP(1,$H875:$BE875,$H$4:$BE$4),12*Assumptions!$H$242+12)=AC$4,0,IF(AB875=1,PMT(Assumptions!$H$240,Assumptions!$H$242,$C877),AB888))),0)</f>
        <v>0</v>
      </c>
      <c r="AD888" s="39">
        <f>+IFERROR(-ABS(IF(EDATE(_xlfn.XLOOKUP(1,$H875:$BE875,$H$4:$BE$4),12*Assumptions!$H$242+12)=AD$4,0,IF(AC875=1,PMT(Assumptions!$H$240,Assumptions!$H$242,$C877),AC888))),0)</f>
        <v>0</v>
      </c>
      <c r="AE888" s="39">
        <f>+IFERROR(-ABS(IF(EDATE(_xlfn.XLOOKUP(1,$H875:$BE875,$H$4:$BE$4),12*Assumptions!$H$242+12)=AE$4,0,IF(AD875=1,PMT(Assumptions!$H$240,Assumptions!$H$242,$C877),AD888))),0)</f>
        <v>0</v>
      </c>
      <c r="AF888" s="39">
        <f>+IFERROR(-ABS(IF(EDATE(_xlfn.XLOOKUP(1,$H875:$BE875,$H$4:$BE$4),12*Assumptions!$H$242+12)=AF$4,0,IF(AE875=1,PMT(Assumptions!$H$240,Assumptions!$H$242,$C877),AE888))),0)</f>
        <v>0</v>
      </c>
      <c r="AG888" s="39">
        <f>+IFERROR(-ABS(IF(EDATE(_xlfn.XLOOKUP(1,$H875:$BE875,$H$4:$BE$4),12*Assumptions!$H$242+12)=AG$4,0,IF(AF875=1,PMT(Assumptions!$H$240,Assumptions!$H$242,$C877),AF888))),0)</f>
        <v>0</v>
      </c>
      <c r="AH888" s="39">
        <f>+IFERROR(-ABS(IF(EDATE(_xlfn.XLOOKUP(1,$H875:$BE875,$H$4:$BE$4),12*Assumptions!$H$242+12)=AH$4,0,IF(AG875=1,PMT(Assumptions!$H$240,Assumptions!$H$242,$C877),AG888))),0)</f>
        <v>0</v>
      </c>
      <c r="AI888" s="39">
        <f>+IFERROR(-ABS(IF(EDATE(_xlfn.XLOOKUP(1,$H875:$BE875,$H$4:$BE$4),12*Assumptions!$H$242+12)=AI$4,0,IF(AH875=1,PMT(Assumptions!$H$240,Assumptions!$H$242,$C877),AH888))),0)</f>
        <v>0</v>
      </c>
      <c r="AJ888" s="39">
        <f>+IFERROR(-ABS(IF(EDATE(_xlfn.XLOOKUP(1,$H875:$BE875,$H$4:$BE$4),12*Assumptions!$H$242+12)=AJ$4,0,IF(AI875=1,PMT(Assumptions!$H$240,Assumptions!$H$242,$C877),AI888))),0)</f>
        <v>0</v>
      </c>
      <c r="AK888" s="39">
        <f>+IFERROR(-ABS(IF(EDATE(_xlfn.XLOOKUP(1,$H875:$BE875,$H$4:$BE$4),12*Assumptions!$H$242+12)=AK$4,0,IF(AJ875=1,PMT(Assumptions!$H$240,Assumptions!$H$242,$C877),AJ888))),0)</f>
        <v>0</v>
      </c>
      <c r="AL888" s="39">
        <f>+IFERROR(-ABS(IF(EDATE(_xlfn.XLOOKUP(1,$H875:$BE875,$H$4:$BE$4),12*Assumptions!$H$242+12)=AL$4,0,IF(AK875=1,PMT(Assumptions!$H$240,Assumptions!$H$242,$C877),AK888))),0)</f>
        <v>0</v>
      </c>
      <c r="AM888" s="39">
        <f>+IFERROR(-ABS(IF(EDATE(_xlfn.XLOOKUP(1,$H875:$BE875,$H$4:$BE$4),12*Assumptions!$H$242+12)=AM$4,0,IF(AL875=1,PMT(Assumptions!$H$240,Assumptions!$H$242,$C877),AL888))),0)</f>
        <v>0</v>
      </c>
      <c r="AN888" s="39">
        <f>+IFERROR(-ABS(IF(EDATE(_xlfn.XLOOKUP(1,$H875:$BE875,$H$4:$BE$4),12*Assumptions!$H$242+12)=AN$4,0,IF(AM875=1,PMT(Assumptions!$H$240,Assumptions!$H$242,$C877),AM888))),0)</f>
        <v>0</v>
      </c>
      <c r="AO888" s="39">
        <f>+IFERROR(-ABS(IF(EDATE(_xlfn.XLOOKUP(1,$H875:$BE875,$H$4:$BE$4),12*Assumptions!$H$242+12)=AO$4,0,IF(AN875=1,PMT(Assumptions!$H$240,Assumptions!$H$242,$C877),AN888))),0)</f>
        <v>0</v>
      </c>
      <c r="AP888" s="39">
        <f>+IFERROR(-ABS(IF(EDATE(_xlfn.XLOOKUP(1,$H875:$BE875,$H$4:$BE$4),12*Assumptions!$H$242+12)=AP$4,0,IF(AO875=1,PMT(Assumptions!$H$240,Assumptions!$H$242,$C877),AO888))),0)</f>
        <v>0</v>
      </c>
      <c r="AQ888" s="39">
        <f>+IFERROR(-ABS(IF(EDATE(_xlfn.XLOOKUP(1,$H875:$BE875,$H$4:$BE$4),12*Assumptions!$H$242+12)=AQ$4,0,IF(AP875=1,PMT(Assumptions!$H$240,Assumptions!$H$242,$C877),AP888))),0)</f>
        <v>0</v>
      </c>
      <c r="AR888" s="39">
        <f>+IFERROR(-ABS(IF(EDATE(_xlfn.XLOOKUP(1,$H875:$BE875,$H$4:$BE$4),12*Assumptions!$H$242+12)=AR$4,0,IF(AQ875=1,PMT(Assumptions!$H$240,Assumptions!$H$242,$C877),AQ888))),0)</f>
        <v>0</v>
      </c>
      <c r="AS888" s="39">
        <f>+IFERROR(-ABS(IF(EDATE(_xlfn.XLOOKUP(1,$H875:$BE875,$H$4:$BE$4),12*Assumptions!$H$242+12)=AS$4,0,IF(AR875=1,PMT(Assumptions!$H$240,Assumptions!$H$242,$C877),AR888))),0)</f>
        <v>0</v>
      </c>
      <c r="AT888" s="39">
        <f>+IFERROR(-ABS(IF(EDATE(_xlfn.XLOOKUP(1,$H875:$BE875,$H$4:$BE$4),12*Assumptions!$H$242+12)=AT$4,0,IF(AS875=1,PMT(Assumptions!$H$240,Assumptions!$H$242,$C877),AS888))),0)</f>
        <v>0</v>
      </c>
      <c r="AU888" s="39">
        <f>+IFERROR(-ABS(IF(EDATE(_xlfn.XLOOKUP(1,$H875:$BE875,$H$4:$BE$4),12*Assumptions!$H$242+12)=AU$4,0,IF(AT875=1,PMT(Assumptions!$H$240,Assumptions!$H$242,$C877),AT888))),0)</f>
        <v>0</v>
      </c>
      <c r="AV888" s="39">
        <f>+IFERROR(-ABS(IF(EDATE(_xlfn.XLOOKUP(1,$H875:$BE875,$H$4:$BE$4),12*Assumptions!$H$242+12)=AV$4,0,IF(AU875=1,PMT(Assumptions!$H$240,Assumptions!$H$242,$C877),AU888))),0)</f>
        <v>0</v>
      </c>
      <c r="AW888" s="39">
        <f>+IFERROR(-ABS(IF(EDATE(_xlfn.XLOOKUP(1,$H875:$BE875,$H$4:$BE$4),12*Assumptions!$H$242+12)=AW$4,0,IF(AV875=1,PMT(Assumptions!$H$240,Assumptions!$H$242,$C877),AV888))),0)</f>
        <v>0</v>
      </c>
      <c r="AX888" s="39">
        <f>+IFERROR(-ABS(IF(EDATE(_xlfn.XLOOKUP(1,$H875:$BE875,$H$4:$BE$4),12*Assumptions!$H$242+12)=AX$4,0,IF(AW875=1,PMT(Assumptions!$H$240,Assumptions!$H$242,$C877),AW888))),0)</f>
        <v>0</v>
      </c>
      <c r="AY888" s="39">
        <f>+IFERROR(-ABS(IF(EDATE(_xlfn.XLOOKUP(1,$H875:$BE875,$H$4:$BE$4),12*Assumptions!$H$242+12)=AY$4,0,IF(AX875=1,PMT(Assumptions!$H$240,Assumptions!$H$242,$C877),AX888))),0)</f>
        <v>0</v>
      </c>
      <c r="AZ888" s="39">
        <f>+IFERROR(-ABS(IF(EDATE(_xlfn.XLOOKUP(1,$H875:$BE875,$H$4:$BE$4),12*Assumptions!$H$242+12)=AZ$4,0,IF(AY875=1,PMT(Assumptions!$H$240,Assumptions!$H$242,$C877),AY888))),0)</f>
        <v>0</v>
      </c>
      <c r="BA888" s="39">
        <f>+IFERROR(-ABS(IF(EDATE(_xlfn.XLOOKUP(1,$H875:$BE875,$H$4:$BE$4),12*Assumptions!$H$242+12)=BA$4,0,IF(AZ875=1,PMT(Assumptions!$H$240,Assumptions!$H$242,$C877),AZ888))),0)</f>
        <v>0</v>
      </c>
      <c r="BB888" s="39">
        <f>+IFERROR(-ABS(IF(EDATE(_xlfn.XLOOKUP(1,$H875:$BE875,$H$4:$BE$4),12*Assumptions!$H$242+12)=BB$4,0,IF(BA875=1,PMT(Assumptions!$H$240,Assumptions!$H$242,$C877),BA888))),0)</f>
        <v>0</v>
      </c>
      <c r="BC888" s="39">
        <f>+IFERROR(-ABS(IF(EDATE(_xlfn.XLOOKUP(1,$H875:$BE875,$H$4:$BE$4),12*Assumptions!$H$242+12)=BC$4,0,IF(BB875=1,PMT(Assumptions!$H$240,Assumptions!$H$242,$C877),BB888))),0)</f>
        <v>0</v>
      </c>
      <c r="BD888" s="39">
        <f>+IFERROR(-ABS(IF(EDATE(_xlfn.XLOOKUP(1,$H875:$BE875,$H$4:$BE$4),12*Assumptions!$H$242+12)=BD$4,0,IF(BC875=1,PMT(Assumptions!$H$240,Assumptions!$H$242,$C877),BC888))),0)</f>
        <v>0</v>
      </c>
      <c r="BE888" s="39">
        <f>+IFERROR(-ABS(IF(EDATE(_xlfn.XLOOKUP(1,$H875:$BE875,$H$4:$BE$4),12*Assumptions!$H$242+12)=BE$4,0,IF(BD875=1,PMT(Assumptions!$H$240,Assumptions!$H$242,$C877),BD888))),0)</f>
        <v>0</v>
      </c>
      <c r="BF888" s="39">
        <f>+IFERROR(-ABS(IF(EDATE(_xlfn.XLOOKUP(1,$H875:$BE875,$H$4:$BE$4),12*Assumptions!$H$242+12)=BF$4,0,IF(BE875=1,PMT(Assumptions!$H$240,Assumptions!$H$242,$C877),BE888))),0)</f>
        <v>0</v>
      </c>
      <c r="BG888" s="39">
        <f>+IFERROR(-ABS(IF(EDATE(_xlfn.XLOOKUP(1,$H875:$BE875,$H$4:$BE$4),12*Assumptions!$H$242+12)=BG$4,0,IF(BF875=1,PMT(Assumptions!$H$240,Assumptions!$H$242,$C877),BF888))),0)</f>
        <v>0</v>
      </c>
      <c r="BH888" s="39">
        <f>+IFERROR(-ABS(IF(EDATE(_xlfn.XLOOKUP(1,$H875:$BE875,$H$4:$BE$4),12*Assumptions!$H$242+12)=BH$4,0,IF(BG875=1,PMT(Assumptions!$H$240,Assumptions!$H$242,$C877),BG888))),0)</f>
        <v>0</v>
      </c>
      <c r="BI888" s="39">
        <f>+IFERROR(-ABS(IF(EDATE(_xlfn.XLOOKUP(1,$H875:$BE875,$H$4:$BE$4),12*Assumptions!$H$242+12)=BI$4,0,IF(BH875=1,PMT(Assumptions!$H$240,Assumptions!$H$242,$C877),BH888))),0)</f>
        <v>0</v>
      </c>
      <c r="BJ888" s="39">
        <f>+IFERROR(-ABS(IF(EDATE(_xlfn.XLOOKUP(1,$H875:$BE875,$H$4:$BE$4),12*Assumptions!$H$242+12)=BJ$4,0,IF(BI875=1,PMT(Assumptions!$H$240,Assumptions!$H$242,$C877),BI888))),0)</f>
        <v>0</v>
      </c>
      <c r="BK888" s="39">
        <f>+IFERROR(-ABS(IF(EDATE(_xlfn.XLOOKUP(1,$H875:$BE875,$H$4:$BE$4),12*Assumptions!$H$242+12)=BK$4,0,IF(BJ875=1,PMT(Assumptions!$H$240,Assumptions!$H$242,$C877),BJ888))),0)</f>
        <v>0</v>
      </c>
      <c r="BL888" s="39">
        <f>+IFERROR(-ABS(IF(EDATE(_xlfn.XLOOKUP(1,$H875:$BE875,$H$4:$BE$4),12*Assumptions!$H$242+12)=BL$4,0,IF(BK875=1,PMT(Assumptions!$H$240,Assumptions!$H$242,$C877),BK888))),0)</f>
        <v>0</v>
      </c>
      <c r="BM888" s="39">
        <f>+IFERROR(-ABS(IF(EDATE(_xlfn.XLOOKUP(1,$H875:$BE875,$H$4:$BE$4),12*Assumptions!$H$242+12)=BM$4,0,IF(BL875=1,PMT(Assumptions!$H$240,Assumptions!$H$242,$C877),BL888))),0)</f>
        <v>0</v>
      </c>
      <c r="BN888" s="39">
        <f>+IFERROR(-ABS(IF(EDATE(_xlfn.XLOOKUP(1,$H875:$BE875,$H$4:$BE$4),12*Assumptions!$H$242+12)=BN$4,0,IF(BM875=1,PMT(Assumptions!$H$240,Assumptions!$H$242,$C877),BM888))),0)</f>
        <v>0</v>
      </c>
      <c r="BO888" s="39">
        <f>+IFERROR(-ABS(IF(EDATE(_xlfn.XLOOKUP(1,$H875:$BE875,$H$4:$BE$4),12*Assumptions!$H$242+12)=BO$4,0,IF(BN875=1,PMT(Assumptions!$H$240,Assumptions!$H$242,$C877),BN888))),0)</f>
        <v>0</v>
      </c>
      <c r="BP888" s="39">
        <f>+IFERROR(-ABS(IF(EDATE(_xlfn.XLOOKUP(1,$H875:$BE875,$H$4:$BE$4),12*Assumptions!$H$242+12)=BP$4,0,IF(BO875=1,PMT(Assumptions!$H$240,Assumptions!$H$242,$C877),BO888))),0)</f>
        <v>0</v>
      </c>
      <c r="BQ888" s="39">
        <f>+IFERROR(-ABS(IF(EDATE(_xlfn.XLOOKUP(1,$H875:$BE875,$H$4:$BE$4),12*Assumptions!$H$242+12)=BQ$4,0,IF(BP875=1,PMT(Assumptions!$H$240,Assumptions!$H$242,$C877),BP888))),0)</f>
        <v>0</v>
      </c>
      <c r="BR888" s="39">
        <f>+IFERROR(-ABS(IF(EDATE(_xlfn.XLOOKUP(1,$H875:$BE875,$H$4:$BE$4),12*Assumptions!$H$242+12)=BR$4,0,IF(BQ875=1,PMT(Assumptions!$H$240,Assumptions!$H$242,$C877),BQ888))),0)</f>
        <v>0</v>
      </c>
      <c r="BS888" s="39">
        <f>+IFERROR(-ABS(IF(EDATE(_xlfn.XLOOKUP(1,$H875:$BE875,$H$4:$BE$4),12*Assumptions!$H$242+12)=BS$4,0,IF(BR875=1,PMT(Assumptions!$H$240,Assumptions!$H$242,$C877),BR888))),0)</f>
        <v>0</v>
      </c>
      <c r="BT888" s="39">
        <f>+IFERROR(-ABS(IF(EDATE(_xlfn.XLOOKUP(1,$H875:$BE875,$H$4:$BE$4),12*Assumptions!$H$242+12)=BT$4,0,IF(BS875=1,PMT(Assumptions!$H$240,Assumptions!$H$242,$C877),BS888))),0)</f>
        <v>0</v>
      </c>
      <c r="BU888" s="39">
        <f>+IFERROR(-ABS(IF(EDATE(_xlfn.XLOOKUP(1,$H875:$BE875,$H$4:$BE$4),12*Assumptions!$H$242+12)=BU$4,0,IF(BT875=1,PMT(Assumptions!$H$240,Assumptions!$H$242,$C877),BT888))),0)</f>
        <v>0</v>
      </c>
      <c r="BV888" s="39">
        <f>+IFERROR(-ABS(IF(EDATE(_xlfn.XLOOKUP(1,$H875:$BE875,$H$4:$BE$4),12*Assumptions!$H$242+12)=BV$4,0,IF(BU875=1,PMT(Assumptions!$H$240,Assumptions!$H$242,$C877),BU888))),0)</f>
        <v>0</v>
      </c>
      <c r="BW888" s="39">
        <f>+IFERROR(-ABS(IF(EDATE(_xlfn.XLOOKUP(1,$H875:$BE875,$H$4:$BE$4),12*Assumptions!$H$242+12)=BW$4,0,IF(BV875=1,PMT(Assumptions!$H$240,Assumptions!$H$242,$C877),BV888))),0)</f>
        <v>0</v>
      </c>
      <c r="BX888" s="39">
        <f>+IFERROR(-ABS(IF(EDATE(_xlfn.XLOOKUP(1,$H875:$BE875,$H$4:$BE$4),12*Assumptions!$H$242+12)=BX$4,0,IF(BW875=1,PMT(Assumptions!$H$240,Assumptions!$H$242,$C877),BW888))),0)</f>
        <v>0</v>
      </c>
      <c r="BY888" s="39">
        <f>+IFERROR(-ABS(IF(EDATE(_xlfn.XLOOKUP(1,$H875:$BE875,$H$4:$BE$4),12*Assumptions!$H$242+12)=BY$4,0,IF(BX875=1,PMT(Assumptions!$H$240,Assumptions!$H$242,$C877),BX888))),0)</f>
        <v>0</v>
      </c>
    </row>
    <row r="889" spans="5:77" outlineLevel="1">
      <c r="E889" s="24" t="s">
        <v>518</v>
      </c>
      <c r="F889" s="80" t="str">
        <f>+Assumptions!$G$8</f>
        <v>USD</v>
      </c>
      <c r="G889" s="24"/>
      <c r="H889" s="39">
        <f>+IFERROR(-ABS(IF(EDATE(_xlfn.XLOOKUP(1,$H876:$BE876,$H$4:$BE$4),12*Assumptions!$H$242+12)=H$4,0,IF(G876=1,PMT(Assumptions!$H$240,Assumptions!$H$242,$C878),G889))),0)</f>
        <v>0</v>
      </c>
      <c r="I889" s="39">
        <f>+IFERROR(-ABS(IF(EDATE(_xlfn.XLOOKUP(1,$H876:$BE876,$H$4:$BE$4),12*Assumptions!$H$242+12)=I$4,0,IF(H876=1,PMT(Assumptions!$H$240,Assumptions!$H$242,$C878),H889))),0)</f>
        <v>0</v>
      </c>
      <c r="J889" s="39">
        <f>+IFERROR(-ABS(IF(EDATE(_xlfn.XLOOKUP(1,$H876:$BE876,$H$4:$BE$4),12*Assumptions!$H$242+12)=J$4,0,IF(I876=1,PMT(Assumptions!$H$240,Assumptions!$H$242,$C878),I889))),0)</f>
        <v>0</v>
      </c>
      <c r="K889" s="39">
        <f>+IFERROR(-ABS(IF(EDATE(_xlfn.XLOOKUP(1,$H876:$BE876,$H$4:$BE$4),12*Assumptions!$H$242+12)=K$4,0,IF(J876=1,PMT(Assumptions!$H$240,Assumptions!$H$242,$C878),J889))),0)</f>
        <v>0</v>
      </c>
      <c r="L889" s="39">
        <f>+IFERROR(-ABS(IF(EDATE(_xlfn.XLOOKUP(1,$H876:$BE876,$H$4:$BE$4),12*Assumptions!$H$242+12)=L$4,0,IF(K876=1,PMT(Assumptions!$H$240,Assumptions!$H$242,$C878),K889))),0)</f>
        <v>0</v>
      </c>
      <c r="M889" s="39">
        <f>+IFERROR(-ABS(IF(EDATE(_xlfn.XLOOKUP(1,$H876:$BE876,$H$4:$BE$4),12*Assumptions!$H$242+12)=M$4,0,IF(L876=1,PMT(Assumptions!$H$240,Assumptions!$H$242,$C878),L889))),0)</f>
        <v>0</v>
      </c>
      <c r="N889" s="39">
        <f>+IFERROR(-ABS(IF(EDATE(_xlfn.XLOOKUP(1,$H876:$BE876,$H$4:$BE$4),12*Assumptions!$H$242+12)=N$4,0,IF(M876=1,PMT(Assumptions!$H$240,Assumptions!$H$242,$C878),M889))),0)</f>
        <v>0</v>
      </c>
      <c r="O889" s="39">
        <f>+IFERROR(-ABS(IF(EDATE(_xlfn.XLOOKUP(1,$H876:$BE876,$H$4:$BE$4),12*Assumptions!$H$242+12)=O$4,0,IF(N876=1,PMT(Assumptions!$H$240,Assumptions!$H$242,$C878),N889))),0)</f>
        <v>0</v>
      </c>
      <c r="P889" s="39">
        <f>+IFERROR(-ABS(IF(EDATE(_xlfn.XLOOKUP(1,$H876:$BE876,$H$4:$BE$4),12*Assumptions!$H$242+12)=P$4,0,IF(O876=1,PMT(Assumptions!$H$240,Assumptions!$H$242,$C878),O889))),0)</f>
        <v>0</v>
      </c>
      <c r="Q889" s="39">
        <f>+IFERROR(-ABS(IF(EDATE(_xlfn.XLOOKUP(1,$H876:$BE876,$H$4:$BE$4),12*Assumptions!$H$242+12)=Q$4,0,IF(P876=1,PMT(Assumptions!$H$240,Assumptions!$H$242,$C878),P889))),0)</f>
        <v>0</v>
      </c>
      <c r="R889" s="39">
        <f>+IFERROR(-ABS(IF(EDATE(_xlfn.XLOOKUP(1,$H876:$BE876,$H$4:$BE$4),12*Assumptions!$H$242+12)=R$4,0,IF(Q876=1,PMT(Assumptions!$H$240,Assumptions!$H$242,$C878),Q889))),0)</f>
        <v>0</v>
      </c>
      <c r="S889" s="39">
        <f>+IFERROR(-ABS(IF(EDATE(_xlfn.XLOOKUP(1,$H876:$BE876,$H$4:$BE$4),12*Assumptions!$H$242+12)=S$4,0,IF(R876=1,PMT(Assumptions!$H$240,Assumptions!$H$242,$C878),R889))),0)</f>
        <v>0</v>
      </c>
      <c r="T889" s="39">
        <f>+IFERROR(-ABS(IF(EDATE(_xlfn.XLOOKUP(1,$H876:$BE876,$H$4:$BE$4),12*Assumptions!$H$242+12)=T$4,0,IF(S876=1,PMT(Assumptions!$H$240,Assumptions!$H$242,$C878),S889))),0)</f>
        <v>0</v>
      </c>
      <c r="U889" s="39">
        <f>+IFERROR(-ABS(IF(EDATE(_xlfn.XLOOKUP(1,$H876:$BE876,$H$4:$BE$4),12*Assumptions!$H$242+12)=U$4,0,IF(T876=1,PMT(Assumptions!$H$240,Assumptions!$H$242,$C878),T889))),0)</f>
        <v>0</v>
      </c>
      <c r="V889" s="39">
        <f>+IFERROR(-ABS(IF(EDATE(_xlfn.XLOOKUP(1,$H876:$BE876,$H$4:$BE$4),12*Assumptions!$H$242+12)=V$4,0,IF(U876=1,PMT(Assumptions!$H$240,Assumptions!$H$242,$C878),U889))),0)</f>
        <v>0</v>
      </c>
      <c r="W889" s="39">
        <f>+IFERROR(-ABS(IF(EDATE(_xlfn.XLOOKUP(1,$H876:$BE876,$H$4:$BE$4),12*Assumptions!$H$242+12)=W$4,0,IF(V876=1,PMT(Assumptions!$H$240,Assumptions!$H$242,$C878),V889))),0)</f>
        <v>0</v>
      </c>
      <c r="X889" s="39">
        <f>+IFERROR(-ABS(IF(EDATE(_xlfn.XLOOKUP(1,$H876:$BE876,$H$4:$BE$4),12*Assumptions!$H$242+12)=X$4,0,IF(W876=1,PMT(Assumptions!$H$240,Assumptions!$H$242,$C878),W889))),0)</f>
        <v>0</v>
      </c>
      <c r="Y889" s="39">
        <f>+IFERROR(-ABS(IF(EDATE(_xlfn.XLOOKUP(1,$H876:$BE876,$H$4:$BE$4),12*Assumptions!$H$242+12)=Y$4,0,IF(X876=1,PMT(Assumptions!$H$240,Assumptions!$H$242,$C878),X889))),0)</f>
        <v>0</v>
      </c>
      <c r="Z889" s="39">
        <f>+IFERROR(-ABS(IF(EDATE(_xlfn.XLOOKUP(1,$H876:$BE876,$H$4:$BE$4),12*Assumptions!$H$242+12)=Z$4,0,IF(Y876=1,PMT(Assumptions!$H$240,Assumptions!$H$242,$C878),Y889))),0)</f>
        <v>0</v>
      </c>
      <c r="AA889" s="39">
        <f>+IFERROR(-ABS(IF(EDATE(_xlfn.XLOOKUP(1,$H876:$BE876,$H$4:$BE$4),12*Assumptions!$H$242+12)=AA$4,0,IF(Z876=1,PMT(Assumptions!$H$240,Assumptions!$H$242,$C878),Z889))),0)</f>
        <v>0</v>
      </c>
      <c r="AB889" s="39">
        <f>+IFERROR(-ABS(IF(EDATE(_xlfn.XLOOKUP(1,$H876:$BE876,$H$4:$BE$4),12*Assumptions!$H$242+12)=AB$4,0,IF(AA876=1,PMT(Assumptions!$H$240,Assumptions!$H$242,$C878),AA889))),0)</f>
        <v>0</v>
      </c>
      <c r="AC889" s="39">
        <f>+IFERROR(-ABS(IF(EDATE(_xlfn.XLOOKUP(1,$H876:$BE876,$H$4:$BE$4),12*Assumptions!$H$242+12)=AC$4,0,IF(AB876=1,PMT(Assumptions!$H$240,Assumptions!$H$242,$C878),AB889))),0)</f>
        <v>0</v>
      </c>
      <c r="AD889" s="39">
        <f>+IFERROR(-ABS(IF(EDATE(_xlfn.XLOOKUP(1,$H876:$BE876,$H$4:$BE$4),12*Assumptions!$H$242+12)=AD$4,0,IF(AC876=1,PMT(Assumptions!$H$240,Assumptions!$H$242,$C878),AC889))),0)</f>
        <v>0</v>
      </c>
      <c r="AE889" s="39">
        <f>+IFERROR(-ABS(IF(EDATE(_xlfn.XLOOKUP(1,$H876:$BE876,$H$4:$BE$4),12*Assumptions!$H$242+12)=AE$4,0,IF(AD876=1,PMT(Assumptions!$H$240,Assumptions!$H$242,$C878),AD889))),0)</f>
        <v>0</v>
      </c>
      <c r="AF889" s="39">
        <f>+IFERROR(-ABS(IF(EDATE(_xlfn.XLOOKUP(1,$H876:$BE876,$H$4:$BE$4),12*Assumptions!$H$242+12)=AF$4,0,IF(AE876=1,PMT(Assumptions!$H$240,Assumptions!$H$242,$C878),AE889))),0)</f>
        <v>0</v>
      </c>
      <c r="AG889" s="39">
        <f>+IFERROR(-ABS(IF(EDATE(_xlfn.XLOOKUP(1,$H876:$BE876,$H$4:$BE$4),12*Assumptions!$H$242+12)=AG$4,0,IF(AF876=1,PMT(Assumptions!$H$240,Assumptions!$H$242,$C878),AF889))),0)</f>
        <v>0</v>
      </c>
      <c r="AH889" s="39">
        <f>+IFERROR(-ABS(IF(EDATE(_xlfn.XLOOKUP(1,$H876:$BE876,$H$4:$BE$4),12*Assumptions!$H$242+12)=AH$4,0,IF(AG876=1,PMT(Assumptions!$H$240,Assumptions!$H$242,$C878),AG889))),0)</f>
        <v>0</v>
      </c>
      <c r="AI889" s="39">
        <f>+IFERROR(-ABS(IF(EDATE(_xlfn.XLOOKUP(1,$H876:$BE876,$H$4:$BE$4),12*Assumptions!$H$242+12)=AI$4,0,IF(AH876=1,PMT(Assumptions!$H$240,Assumptions!$H$242,$C878),AH889))),0)</f>
        <v>0</v>
      </c>
      <c r="AJ889" s="39">
        <f>+IFERROR(-ABS(IF(EDATE(_xlfn.XLOOKUP(1,$H876:$BE876,$H$4:$BE$4),12*Assumptions!$H$242+12)=AJ$4,0,IF(AI876=1,PMT(Assumptions!$H$240,Assumptions!$H$242,$C878),AI889))),0)</f>
        <v>0</v>
      </c>
      <c r="AK889" s="39">
        <f>+IFERROR(-ABS(IF(EDATE(_xlfn.XLOOKUP(1,$H876:$BE876,$H$4:$BE$4),12*Assumptions!$H$242+12)=AK$4,0,IF(AJ876=1,PMT(Assumptions!$H$240,Assumptions!$H$242,$C878),AJ889))),0)</f>
        <v>0</v>
      </c>
      <c r="AL889" s="39">
        <f>+IFERROR(-ABS(IF(EDATE(_xlfn.XLOOKUP(1,$H876:$BE876,$H$4:$BE$4),12*Assumptions!$H$242+12)=AL$4,0,IF(AK876=1,PMT(Assumptions!$H$240,Assumptions!$H$242,$C878),AK889))),0)</f>
        <v>0</v>
      </c>
      <c r="AM889" s="39">
        <f>+IFERROR(-ABS(IF(EDATE(_xlfn.XLOOKUP(1,$H876:$BE876,$H$4:$BE$4),12*Assumptions!$H$242+12)=AM$4,0,IF(AL876=1,PMT(Assumptions!$H$240,Assumptions!$H$242,$C878),AL889))),0)</f>
        <v>0</v>
      </c>
      <c r="AN889" s="39">
        <f>+IFERROR(-ABS(IF(EDATE(_xlfn.XLOOKUP(1,$H876:$BE876,$H$4:$BE$4),12*Assumptions!$H$242+12)=AN$4,0,IF(AM876=1,PMT(Assumptions!$H$240,Assumptions!$H$242,$C878),AM889))),0)</f>
        <v>0</v>
      </c>
      <c r="AO889" s="39">
        <f>+IFERROR(-ABS(IF(EDATE(_xlfn.XLOOKUP(1,$H876:$BE876,$H$4:$BE$4),12*Assumptions!$H$242+12)=AO$4,0,IF(AN876=1,PMT(Assumptions!$H$240,Assumptions!$H$242,$C878),AN889))),0)</f>
        <v>0</v>
      </c>
      <c r="AP889" s="39">
        <f>+IFERROR(-ABS(IF(EDATE(_xlfn.XLOOKUP(1,$H876:$BE876,$H$4:$BE$4),12*Assumptions!$H$242+12)=AP$4,0,IF(AO876=1,PMT(Assumptions!$H$240,Assumptions!$H$242,$C878),AO889))),0)</f>
        <v>0</v>
      </c>
      <c r="AQ889" s="39">
        <f>+IFERROR(-ABS(IF(EDATE(_xlfn.XLOOKUP(1,$H876:$BE876,$H$4:$BE$4),12*Assumptions!$H$242+12)=AQ$4,0,IF(AP876=1,PMT(Assumptions!$H$240,Assumptions!$H$242,$C878),AP889))),0)</f>
        <v>0</v>
      </c>
      <c r="AR889" s="39">
        <f>+IFERROR(-ABS(IF(EDATE(_xlfn.XLOOKUP(1,$H876:$BE876,$H$4:$BE$4),12*Assumptions!$H$242+12)=AR$4,0,IF(AQ876=1,PMT(Assumptions!$H$240,Assumptions!$H$242,$C878),AQ889))),0)</f>
        <v>0</v>
      </c>
      <c r="AS889" s="39">
        <f>+IFERROR(-ABS(IF(EDATE(_xlfn.XLOOKUP(1,$H876:$BE876,$H$4:$BE$4),12*Assumptions!$H$242+12)=AS$4,0,IF(AR876=1,PMT(Assumptions!$H$240,Assumptions!$H$242,$C878),AR889))),0)</f>
        <v>0</v>
      </c>
      <c r="AT889" s="39">
        <f>+IFERROR(-ABS(IF(EDATE(_xlfn.XLOOKUP(1,$H876:$BE876,$H$4:$BE$4),12*Assumptions!$H$242+12)=AT$4,0,IF(AS876=1,PMT(Assumptions!$H$240,Assumptions!$H$242,$C878),AS889))),0)</f>
        <v>0</v>
      </c>
      <c r="AU889" s="39">
        <f>+IFERROR(-ABS(IF(EDATE(_xlfn.XLOOKUP(1,$H876:$BE876,$H$4:$BE$4),12*Assumptions!$H$242+12)=AU$4,0,IF(AT876=1,PMT(Assumptions!$H$240,Assumptions!$H$242,$C878),AT889))),0)</f>
        <v>0</v>
      </c>
      <c r="AV889" s="39">
        <f>+IFERROR(-ABS(IF(EDATE(_xlfn.XLOOKUP(1,$H876:$BE876,$H$4:$BE$4),12*Assumptions!$H$242+12)=AV$4,0,IF(AU876=1,PMT(Assumptions!$H$240,Assumptions!$H$242,$C878),AU889))),0)</f>
        <v>0</v>
      </c>
      <c r="AW889" s="39">
        <f>+IFERROR(-ABS(IF(EDATE(_xlfn.XLOOKUP(1,$H876:$BE876,$H$4:$BE$4),12*Assumptions!$H$242+12)=AW$4,0,IF(AV876=1,PMT(Assumptions!$H$240,Assumptions!$H$242,$C878),AV889))),0)</f>
        <v>0</v>
      </c>
      <c r="AX889" s="39">
        <f>+IFERROR(-ABS(IF(EDATE(_xlfn.XLOOKUP(1,$H876:$BE876,$H$4:$BE$4),12*Assumptions!$H$242+12)=AX$4,0,IF(AW876=1,PMT(Assumptions!$H$240,Assumptions!$H$242,$C878),AW889))),0)</f>
        <v>0</v>
      </c>
      <c r="AY889" s="39">
        <f>+IFERROR(-ABS(IF(EDATE(_xlfn.XLOOKUP(1,$H876:$BE876,$H$4:$BE$4),12*Assumptions!$H$242+12)=AY$4,0,IF(AX876=1,PMT(Assumptions!$H$240,Assumptions!$H$242,$C878),AX889))),0)</f>
        <v>0</v>
      </c>
      <c r="AZ889" s="39">
        <f>+IFERROR(-ABS(IF(EDATE(_xlfn.XLOOKUP(1,$H876:$BE876,$H$4:$BE$4),12*Assumptions!$H$242+12)=AZ$4,0,IF(AY876=1,PMT(Assumptions!$H$240,Assumptions!$H$242,$C878),AY889))),0)</f>
        <v>0</v>
      </c>
      <c r="BA889" s="39">
        <f>+IFERROR(-ABS(IF(EDATE(_xlfn.XLOOKUP(1,$H876:$BE876,$H$4:$BE$4),12*Assumptions!$H$242+12)=BA$4,0,IF(AZ876=1,PMT(Assumptions!$H$240,Assumptions!$H$242,$C878),AZ889))),0)</f>
        <v>0</v>
      </c>
      <c r="BB889" s="39">
        <f>+IFERROR(-ABS(IF(EDATE(_xlfn.XLOOKUP(1,$H876:$BE876,$H$4:$BE$4),12*Assumptions!$H$242+12)=BB$4,0,IF(BA876=1,PMT(Assumptions!$H$240,Assumptions!$H$242,$C878),BA889))),0)</f>
        <v>0</v>
      </c>
      <c r="BC889" s="39">
        <f>+IFERROR(-ABS(IF(EDATE(_xlfn.XLOOKUP(1,$H876:$BE876,$H$4:$BE$4),12*Assumptions!$H$242+12)=BC$4,0,IF(BB876=1,PMT(Assumptions!$H$240,Assumptions!$H$242,$C878),BB889))),0)</f>
        <v>0</v>
      </c>
      <c r="BD889" s="39">
        <f>+IFERROR(-ABS(IF(EDATE(_xlfn.XLOOKUP(1,$H876:$BE876,$H$4:$BE$4),12*Assumptions!$H$242+12)=BD$4,0,IF(BC876=1,PMT(Assumptions!$H$240,Assumptions!$H$242,$C878),BC889))),0)</f>
        <v>0</v>
      </c>
      <c r="BE889" s="39">
        <f>+IFERROR(-ABS(IF(EDATE(_xlfn.XLOOKUP(1,$H876:$BE876,$H$4:$BE$4),12*Assumptions!$H$242+12)=BE$4,0,IF(BD876=1,PMT(Assumptions!$H$240,Assumptions!$H$242,$C878),BD889))),0)</f>
        <v>0</v>
      </c>
      <c r="BF889" s="39">
        <f>+IFERROR(-ABS(IF(EDATE(_xlfn.XLOOKUP(1,$H876:$BE876,$H$4:$BE$4),12*Assumptions!$H$242+12)=BF$4,0,IF(BE876=1,PMT(Assumptions!$H$240,Assumptions!$H$242,$C878),BE889))),0)</f>
        <v>0</v>
      </c>
      <c r="BG889" s="39">
        <f>+IFERROR(-ABS(IF(EDATE(_xlfn.XLOOKUP(1,$H876:$BE876,$H$4:$BE$4),12*Assumptions!$H$242+12)=BG$4,0,IF(BF876=1,PMT(Assumptions!$H$240,Assumptions!$H$242,$C878),BF889))),0)</f>
        <v>0</v>
      </c>
      <c r="BH889" s="39">
        <f>+IFERROR(-ABS(IF(EDATE(_xlfn.XLOOKUP(1,$H876:$BE876,$H$4:$BE$4),12*Assumptions!$H$242+12)=BH$4,0,IF(BG876=1,PMT(Assumptions!$H$240,Assumptions!$H$242,$C878),BG889))),0)</f>
        <v>0</v>
      </c>
      <c r="BI889" s="39">
        <f>+IFERROR(-ABS(IF(EDATE(_xlfn.XLOOKUP(1,$H876:$BE876,$H$4:$BE$4),12*Assumptions!$H$242+12)=BI$4,0,IF(BH876=1,PMT(Assumptions!$H$240,Assumptions!$H$242,$C878),BH889))),0)</f>
        <v>0</v>
      </c>
      <c r="BJ889" s="39">
        <f>+IFERROR(-ABS(IF(EDATE(_xlfn.XLOOKUP(1,$H876:$BE876,$H$4:$BE$4),12*Assumptions!$H$242+12)=BJ$4,0,IF(BI876=1,PMT(Assumptions!$H$240,Assumptions!$H$242,$C878),BI889))),0)</f>
        <v>0</v>
      </c>
      <c r="BK889" s="39">
        <f>+IFERROR(-ABS(IF(EDATE(_xlfn.XLOOKUP(1,$H876:$BE876,$H$4:$BE$4),12*Assumptions!$H$242+12)=BK$4,0,IF(BJ876=1,PMT(Assumptions!$H$240,Assumptions!$H$242,$C878),BJ889))),0)</f>
        <v>0</v>
      </c>
      <c r="BL889" s="39">
        <f>+IFERROR(-ABS(IF(EDATE(_xlfn.XLOOKUP(1,$H876:$BE876,$H$4:$BE$4),12*Assumptions!$H$242+12)=BL$4,0,IF(BK876=1,PMT(Assumptions!$H$240,Assumptions!$H$242,$C878),BK889))),0)</f>
        <v>0</v>
      </c>
      <c r="BM889" s="39">
        <f>+IFERROR(-ABS(IF(EDATE(_xlfn.XLOOKUP(1,$H876:$BE876,$H$4:$BE$4),12*Assumptions!$H$242+12)=BM$4,0,IF(BL876=1,PMT(Assumptions!$H$240,Assumptions!$H$242,$C878),BL889))),0)</f>
        <v>0</v>
      </c>
      <c r="BN889" s="39">
        <f>+IFERROR(-ABS(IF(EDATE(_xlfn.XLOOKUP(1,$H876:$BE876,$H$4:$BE$4),12*Assumptions!$H$242+12)=BN$4,0,IF(BM876=1,PMT(Assumptions!$H$240,Assumptions!$H$242,$C878),BM889))),0)</f>
        <v>0</v>
      </c>
      <c r="BO889" s="39">
        <f>+IFERROR(-ABS(IF(EDATE(_xlfn.XLOOKUP(1,$H876:$BE876,$H$4:$BE$4),12*Assumptions!$H$242+12)=BO$4,0,IF(BN876=1,PMT(Assumptions!$H$240,Assumptions!$H$242,$C878),BN889))),0)</f>
        <v>0</v>
      </c>
      <c r="BP889" s="39">
        <f>+IFERROR(-ABS(IF(EDATE(_xlfn.XLOOKUP(1,$H876:$BE876,$H$4:$BE$4),12*Assumptions!$H$242+12)=BP$4,0,IF(BO876=1,PMT(Assumptions!$H$240,Assumptions!$H$242,$C878),BO889))),0)</f>
        <v>0</v>
      </c>
      <c r="BQ889" s="39">
        <f>+IFERROR(-ABS(IF(EDATE(_xlfn.XLOOKUP(1,$H876:$BE876,$H$4:$BE$4),12*Assumptions!$H$242+12)=BQ$4,0,IF(BP876=1,PMT(Assumptions!$H$240,Assumptions!$H$242,$C878),BP889))),0)</f>
        <v>0</v>
      </c>
      <c r="BR889" s="39">
        <f>+IFERROR(-ABS(IF(EDATE(_xlfn.XLOOKUP(1,$H876:$BE876,$H$4:$BE$4),12*Assumptions!$H$242+12)=BR$4,0,IF(BQ876=1,PMT(Assumptions!$H$240,Assumptions!$H$242,$C878),BQ889))),0)</f>
        <v>0</v>
      </c>
      <c r="BS889" s="39">
        <f>+IFERROR(-ABS(IF(EDATE(_xlfn.XLOOKUP(1,$H876:$BE876,$H$4:$BE$4),12*Assumptions!$H$242+12)=BS$4,0,IF(BR876=1,PMT(Assumptions!$H$240,Assumptions!$H$242,$C878),BR889))),0)</f>
        <v>0</v>
      </c>
      <c r="BT889" s="39">
        <f>+IFERROR(-ABS(IF(EDATE(_xlfn.XLOOKUP(1,$H876:$BE876,$H$4:$BE$4),12*Assumptions!$H$242+12)=BT$4,0,IF(BS876=1,PMT(Assumptions!$H$240,Assumptions!$H$242,$C878),BS889))),0)</f>
        <v>0</v>
      </c>
      <c r="BU889" s="39">
        <f>+IFERROR(-ABS(IF(EDATE(_xlfn.XLOOKUP(1,$H876:$BE876,$H$4:$BE$4),12*Assumptions!$H$242+12)=BU$4,0,IF(BT876=1,PMT(Assumptions!$H$240,Assumptions!$H$242,$C878),BT889))),0)</f>
        <v>0</v>
      </c>
      <c r="BV889" s="39">
        <f>+IFERROR(-ABS(IF(EDATE(_xlfn.XLOOKUP(1,$H876:$BE876,$H$4:$BE$4),12*Assumptions!$H$242+12)=BV$4,0,IF(BU876=1,PMT(Assumptions!$H$240,Assumptions!$H$242,$C878),BU889))),0)</f>
        <v>0</v>
      </c>
      <c r="BW889" s="39">
        <f>+IFERROR(-ABS(IF(EDATE(_xlfn.XLOOKUP(1,$H876:$BE876,$H$4:$BE$4),12*Assumptions!$H$242+12)=BW$4,0,IF(BV876=1,PMT(Assumptions!$H$240,Assumptions!$H$242,$C878),BV889))),0)</f>
        <v>0</v>
      </c>
      <c r="BX889" s="39">
        <f>+IFERROR(-ABS(IF(EDATE(_xlfn.XLOOKUP(1,$H876:$BE876,$H$4:$BE$4),12*Assumptions!$H$242+12)=BX$4,0,IF(BW876=1,PMT(Assumptions!$H$240,Assumptions!$H$242,$C878),BW889))),0)</f>
        <v>0</v>
      </c>
      <c r="BY889" s="39">
        <f>+IFERROR(-ABS(IF(EDATE(_xlfn.XLOOKUP(1,$H876:$BE876,$H$4:$BE$4),12*Assumptions!$H$242+12)=BY$4,0,IF(BX876=1,PMT(Assumptions!$H$240,Assumptions!$H$242,$C878),BX889))),0)</f>
        <v>0</v>
      </c>
    </row>
    <row r="890" spans="5:77" outlineLevel="1">
      <c r="E890" s="24" t="s">
        <v>519</v>
      </c>
      <c r="F890" s="80" t="str">
        <f>+Assumptions!$G$8</f>
        <v>USD</v>
      </c>
      <c r="G890" s="24"/>
      <c r="H890" s="39">
        <f>+IFERROR(-ABS(IF(EDATE(_xlfn.XLOOKUP(1,$H877:$BE877,$H$4:$BE$4),12*Assumptions!$H$242+12)=H$4,0,IF(G877=1,PMT(Assumptions!$H$240,Assumptions!$H$242,$C879),G890))),0)</f>
        <v>0</v>
      </c>
      <c r="I890" s="39">
        <f>+IFERROR(-ABS(IF(EDATE(_xlfn.XLOOKUP(1,$H877:$BE877,$H$4:$BE$4),12*Assumptions!$H$242+12)=I$4,0,IF(H877=1,PMT(Assumptions!$H$240,Assumptions!$H$242,$C879),H890))),0)</f>
        <v>0</v>
      </c>
      <c r="J890" s="39">
        <f>+IFERROR(-ABS(IF(EDATE(_xlfn.XLOOKUP(1,$H877:$BE877,$H$4:$BE$4),12*Assumptions!$H$242+12)=J$4,0,IF(I877=1,PMT(Assumptions!$H$240,Assumptions!$H$242,$C879),I890))),0)</f>
        <v>0</v>
      </c>
      <c r="K890" s="39">
        <f>+IFERROR(-ABS(IF(EDATE(_xlfn.XLOOKUP(1,$H877:$BE877,$H$4:$BE$4),12*Assumptions!$H$242+12)=K$4,0,IF(J877=1,PMT(Assumptions!$H$240,Assumptions!$H$242,$C879),J890))),0)</f>
        <v>0</v>
      </c>
      <c r="L890" s="39">
        <f>+IFERROR(-ABS(IF(EDATE(_xlfn.XLOOKUP(1,$H877:$BE877,$H$4:$BE$4),12*Assumptions!$H$242+12)=L$4,0,IF(K877=1,PMT(Assumptions!$H$240,Assumptions!$H$242,$C879),K890))),0)</f>
        <v>0</v>
      </c>
      <c r="M890" s="39">
        <f>+IFERROR(-ABS(IF(EDATE(_xlfn.XLOOKUP(1,$H877:$BE877,$H$4:$BE$4),12*Assumptions!$H$242+12)=M$4,0,IF(L877=1,PMT(Assumptions!$H$240,Assumptions!$H$242,$C879),L890))),0)</f>
        <v>0</v>
      </c>
      <c r="N890" s="39">
        <f>+IFERROR(-ABS(IF(EDATE(_xlfn.XLOOKUP(1,$H877:$BE877,$H$4:$BE$4),12*Assumptions!$H$242+12)=N$4,0,IF(M877=1,PMT(Assumptions!$H$240,Assumptions!$H$242,$C879),M890))),0)</f>
        <v>0</v>
      </c>
      <c r="O890" s="39">
        <f>+IFERROR(-ABS(IF(EDATE(_xlfn.XLOOKUP(1,$H877:$BE877,$H$4:$BE$4),12*Assumptions!$H$242+12)=O$4,0,IF(N877=1,PMT(Assumptions!$H$240,Assumptions!$H$242,$C879),N890))),0)</f>
        <v>0</v>
      </c>
      <c r="P890" s="39">
        <f>+IFERROR(-ABS(IF(EDATE(_xlfn.XLOOKUP(1,$H877:$BE877,$H$4:$BE$4),12*Assumptions!$H$242+12)=P$4,0,IF(O877=1,PMT(Assumptions!$H$240,Assumptions!$H$242,$C879),O890))),0)</f>
        <v>0</v>
      </c>
      <c r="Q890" s="39">
        <f>+IFERROR(-ABS(IF(EDATE(_xlfn.XLOOKUP(1,$H877:$BE877,$H$4:$BE$4),12*Assumptions!$H$242+12)=Q$4,0,IF(P877=1,PMT(Assumptions!$H$240,Assumptions!$H$242,$C879),P890))),0)</f>
        <v>0</v>
      </c>
      <c r="R890" s="39">
        <f>+IFERROR(-ABS(IF(EDATE(_xlfn.XLOOKUP(1,$H877:$BE877,$H$4:$BE$4),12*Assumptions!$H$242+12)=R$4,0,IF(Q877=1,PMT(Assumptions!$H$240,Assumptions!$H$242,$C879),Q890))),0)</f>
        <v>0</v>
      </c>
      <c r="S890" s="39">
        <f>+IFERROR(-ABS(IF(EDATE(_xlfn.XLOOKUP(1,$H877:$BE877,$H$4:$BE$4),12*Assumptions!$H$242+12)=S$4,0,IF(R877=1,PMT(Assumptions!$H$240,Assumptions!$H$242,$C879),R890))),0)</f>
        <v>0</v>
      </c>
      <c r="T890" s="39">
        <f>+IFERROR(-ABS(IF(EDATE(_xlfn.XLOOKUP(1,$H877:$BE877,$H$4:$BE$4),12*Assumptions!$H$242+12)=T$4,0,IF(S877=1,PMT(Assumptions!$H$240,Assumptions!$H$242,$C879),S890))),0)</f>
        <v>0</v>
      </c>
      <c r="U890" s="39">
        <f>+IFERROR(-ABS(IF(EDATE(_xlfn.XLOOKUP(1,$H877:$BE877,$H$4:$BE$4),12*Assumptions!$H$242+12)=U$4,0,IF(T877=1,PMT(Assumptions!$H$240,Assumptions!$H$242,$C879),T890))),0)</f>
        <v>0</v>
      </c>
      <c r="V890" s="39">
        <f>+IFERROR(-ABS(IF(EDATE(_xlfn.XLOOKUP(1,$H877:$BE877,$H$4:$BE$4),12*Assumptions!$H$242+12)=V$4,0,IF(U877=1,PMT(Assumptions!$H$240,Assumptions!$H$242,$C879),U890))),0)</f>
        <v>0</v>
      </c>
      <c r="W890" s="39">
        <f>+IFERROR(-ABS(IF(EDATE(_xlfn.XLOOKUP(1,$H877:$BE877,$H$4:$BE$4),12*Assumptions!$H$242+12)=W$4,0,IF(V877=1,PMT(Assumptions!$H$240,Assumptions!$H$242,$C879),V890))),0)</f>
        <v>0</v>
      </c>
      <c r="X890" s="39">
        <f>+IFERROR(-ABS(IF(EDATE(_xlfn.XLOOKUP(1,$H877:$BE877,$H$4:$BE$4),12*Assumptions!$H$242+12)=X$4,0,IF(W877=1,PMT(Assumptions!$H$240,Assumptions!$H$242,$C879),W890))),0)</f>
        <v>0</v>
      </c>
      <c r="Y890" s="39">
        <f>+IFERROR(-ABS(IF(EDATE(_xlfn.XLOOKUP(1,$H877:$BE877,$H$4:$BE$4),12*Assumptions!$H$242+12)=Y$4,0,IF(X877=1,PMT(Assumptions!$H$240,Assumptions!$H$242,$C879),X890))),0)</f>
        <v>0</v>
      </c>
      <c r="Z890" s="39">
        <f>+IFERROR(-ABS(IF(EDATE(_xlfn.XLOOKUP(1,$H877:$BE877,$H$4:$BE$4),12*Assumptions!$H$242+12)=Z$4,0,IF(Y877=1,PMT(Assumptions!$H$240,Assumptions!$H$242,$C879),Y890))),0)</f>
        <v>0</v>
      </c>
      <c r="AA890" s="39">
        <f>+IFERROR(-ABS(IF(EDATE(_xlfn.XLOOKUP(1,$H877:$BE877,$H$4:$BE$4),12*Assumptions!$H$242+12)=AA$4,0,IF(Z877=1,PMT(Assumptions!$H$240,Assumptions!$H$242,$C879),Z890))),0)</f>
        <v>0</v>
      </c>
      <c r="AB890" s="39">
        <f>+IFERROR(-ABS(IF(EDATE(_xlfn.XLOOKUP(1,$H877:$BE877,$H$4:$BE$4),12*Assumptions!$H$242+12)=AB$4,0,IF(AA877=1,PMT(Assumptions!$H$240,Assumptions!$H$242,$C879),AA890))),0)</f>
        <v>0</v>
      </c>
      <c r="AC890" s="39">
        <f>+IFERROR(-ABS(IF(EDATE(_xlfn.XLOOKUP(1,$H877:$BE877,$H$4:$BE$4),12*Assumptions!$H$242+12)=AC$4,0,IF(AB877=1,PMT(Assumptions!$H$240,Assumptions!$H$242,$C879),AB890))),0)</f>
        <v>0</v>
      </c>
      <c r="AD890" s="39">
        <f>+IFERROR(-ABS(IF(EDATE(_xlfn.XLOOKUP(1,$H877:$BE877,$H$4:$BE$4),12*Assumptions!$H$242+12)=AD$4,0,IF(AC877=1,PMT(Assumptions!$H$240,Assumptions!$H$242,$C879),AC890))),0)</f>
        <v>0</v>
      </c>
      <c r="AE890" s="39">
        <f>+IFERROR(-ABS(IF(EDATE(_xlfn.XLOOKUP(1,$H877:$BE877,$H$4:$BE$4),12*Assumptions!$H$242+12)=AE$4,0,IF(AD877=1,PMT(Assumptions!$H$240,Assumptions!$H$242,$C879),AD890))),0)</f>
        <v>0</v>
      </c>
      <c r="AF890" s="39">
        <f>+IFERROR(-ABS(IF(EDATE(_xlfn.XLOOKUP(1,$H877:$BE877,$H$4:$BE$4),12*Assumptions!$H$242+12)=AF$4,0,IF(AE877=1,PMT(Assumptions!$H$240,Assumptions!$H$242,$C879),AE890))),0)</f>
        <v>0</v>
      </c>
      <c r="AG890" s="39">
        <f>+IFERROR(-ABS(IF(EDATE(_xlfn.XLOOKUP(1,$H877:$BE877,$H$4:$BE$4),12*Assumptions!$H$242+12)=AG$4,0,IF(AF877=1,PMT(Assumptions!$H$240,Assumptions!$H$242,$C879),AF890))),0)</f>
        <v>0</v>
      </c>
      <c r="AH890" s="39">
        <f>+IFERROR(-ABS(IF(EDATE(_xlfn.XLOOKUP(1,$H877:$BE877,$H$4:$BE$4),12*Assumptions!$H$242+12)=AH$4,0,IF(AG877=1,PMT(Assumptions!$H$240,Assumptions!$H$242,$C879),AG890))),0)</f>
        <v>0</v>
      </c>
      <c r="AI890" s="39">
        <f>+IFERROR(-ABS(IF(EDATE(_xlfn.XLOOKUP(1,$H877:$BE877,$H$4:$BE$4),12*Assumptions!$H$242+12)=AI$4,0,IF(AH877=1,PMT(Assumptions!$H$240,Assumptions!$H$242,$C879),AH890))),0)</f>
        <v>0</v>
      </c>
      <c r="AJ890" s="39">
        <f>+IFERROR(-ABS(IF(EDATE(_xlfn.XLOOKUP(1,$H877:$BE877,$H$4:$BE$4),12*Assumptions!$H$242+12)=AJ$4,0,IF(AI877=1,PMT(Assumptions!$H$240,Assumptions!$H$242,$C879),AI890))),0)</f>
        <v>0</v>
      </c>
      <c r="AK890" s="39">
        <f>+IFERROR(-ABS(IF(EDATE(_xlfn.XLOOKUP(1,$H877:$BE877,$H$4:$BE$4),12*Assumptions!$H$242+12)=AK$4,0,IF(AJ877=1,PMT(Assumptions!$H$240,Assumptions!$H$242,$C879),AJ890))),0)</f>
        <v>0</v>
      </c>
      <c r="AL890" s="39">
        <f>+IFERROR(-ABS(IF(EDATE(_xlfn.XLOOKUP(1,$H877:$BE877,$H$4:$BE$4),12*Assumptions!$H$242+12)=AL$4,0,IF(AK877=1,PMT(Assumptions!$H$240,Assumptions!$H$242,$C879),AK890))),0)</f>
        <v>0</v>
      </c>
      <c r="AM890" s="39">
        <f>+IFERROR(-ABS(IF(EDATE(_xlfn.XLOOKUP(1,$H877:$BE877,$H$4:$BE$4),12*Assumptions!$H$242+12)=AM$4,0,IF(AL877=1,PMT(Assumptions!$H$240,Assumptions!$H$242,$C879),AL890))),0)</f>
        <v>0</v>
      </c>
      <c r="AN890" s="39">
        <f>+IFERROR(-ABS(IF(EDATE(_xlfn.XLOOKUP(1,$H877:$BE877,$H$4:$BE$4),12*Assumptions!$H$242+12)=AN$4,0,IF(AM877=1,PMT(Assumptions!$H$240,Assumptions!$H$242,$C879),AM890))),0)</f>
        <v>0</v>
      </c>
      <c r="AO890" s="39">
        <f>+IFERROR(-ABS(IF(EDATE(_xlfn.XLOOKUP(1,$H877:$BE877,$H$4:$BE$4),12*Assumptions!$H$242+12)=AO$4,0,IF(AN877=1,PMT(Assumptions!$H$240,Assumptions!$H$242,$C879),AN890))),0)</f>
        <v>0</v>
      </c>
      <c r="AP890" s="39">
        <f>+IFERROR(-ABS(IF(EDATE(_xlfn.XLOOKUP(1,$H877:$BE877,$H$4:$BE$4),12*Assumptions!$H$242+12)=AP$4,0,IF(AO877=1,PMT(Assumptions!$H$240,Assumptions!$H$242,$C879),AO890))),0)</f>
        <v>0</v>
      </c>
      <c r="AQ890" s="39">
        <f>+IFERROR(-ABS(IF(EDATE(_xlfn.XLOOKUP(1,$H877:$BE877,$H$4:$BE$4),12*Assumptions!$H$242+12)=AQ$4,0,IF(AP877=1,PMT(Assumptions!$H$240,Assumptions!$H$242,$C879),AP890))),0)</f>
        <v>0</v>
      </c>
      <c r="AR890" s="39">
        <f>+IFERROR(-ABS(IF(EDATE(_xlfn.XLOOKUP(1,$H877:$BE877,$H$4:$BE$4),12*Assumptions!$H$242+12)=AR$4,0,IF(AQ877=1,PMT(Assumptions!$H$240,Assumptions!$H$242,$C879),AQ890))),0)</f>
        <v>0</v>
      </c>
      <c r="AS890" s="39">
        <f>+IFERROR(-ABS(IF(EDATE(_xlfn.XLOOKUP(1,$H877:$BE877,$H$4:$BE$4),12*Assumptions!$H$242+12)=AS$4,0,IF(AR877=1,PMT(Assumptions!$H$240,Assumptions!$H$242,$C879),AR890))),0)</f>
        <v>0</v>
      </c>
      <c r="AT890" s="39">
        <f>+IFERROR(-ABS(IF(EDATE(_xlfn.XLOOKUP(1,$H877:$BE877,$H$4:$BE$4),12*Assumptions!$H$242+12)=AT$4,0,IF(AS877=1,PMT(Assumptions!$H$240,Assumptions!$H$242,$C879),AS890))),0)</f>
        <v>0</v>
      </c>
      <c r="AU890" s="39">
        <f>+IFERROR(-ABS(IF(EDATE(_xlfn.XLOOKUP(1,$H877:$BE877,$H$4:$BE$4),12*Assumptions!$H$242+12)=AU$4,0,IF(AT877=1,PMT(Assumptions!$H$240,Assumptions!$H$242,$C879),AT890))),0)</f>
        <v>0</v>
      </c>
      <c r="AV890" s="39">
        <f>+IFERROR(-ABS(IF(EDATE(_xlfn.XLOOKUP(1,$H877:$BE877,$H$4:$BE$4),12*Assumptions!$H$242+12)=AV$4,0,IF(AU877=1,PMT(Assumptions!$H$240,Assumptions!$H$242,$C879),AU890))),0)</f>
        <v>0</v>
      </c>
      <c r="AW890" s="39">
        <f>+IFERROR(-ABS(IF(EDATE(_xlfn.XLOOKUP(1,$H877:$BE877,$H$4:$BE$4),12*Assumptions!$H$242+12)=AW$4,0,IF(AV877=1,PMT(Assumptions!$H$240,Assumptions!$H$242,$C879),AV890))),0)</f>
        <v>0</v>
      </c>
      <c r="AX890" s="39">
        <f>+IFERROR(-ABS(IF(EDATE(_xlfn.XLOOKUP(1,$H877:$BE877,$H$4:$BE$4),12*Assumptions!$H$242+12)=AX$4,0,IF(AW877=1,PMT(Assumptions!$H$240,Assumptions!$H$242,$C879),AW890))),0)</f>
        <v>0</v>
      </c>
      <c r="AY890" s="39">
        <f>+IFERROR(-ABS(IF(EDATE(_xlfn.XLOOKUP(1,$H877:$BE877,$H$4:$BE$4),12*Assumptions!$H$242+12)=AY$4,0,IF(AX877=1,PMT(Assumptions!$H$240,Assumptions!$H$242,$C879),AX890))),0)</f>
        <v>0</v>
      </c>
      <c r="AZ890" s="39">
        <f>+IFERROR(-ABS(IF(EDATE(_xlfn.XLOOKUP(1,$H877:$BE877,$H$4:$BE$4),12*Assumptions!$H$242+12)=AZ$4,0,IF(AY877=1,PMT(Assumptions!$H$240,Assumptions!$H$242,$C879),AY890))),0)</f>
        <v>0</v>
      </c>
      <c r="BA890" s="39">
        <f>+IFERROR(-ABS(IF(EDATE(_xlfn.XLOOKUP(1,$H877:$BE877,$H$4:$BE$4),12*Assumptions!$H$242+12)=BA$4,0,IF(AZ877=1,PMT(Assumptions!$H$240,Assumptions!$H$242,$C879),AZ890))),0)</f>
        <v>0</v>
      </c>
      <c r="BB890" s="39">
        <f>+IFERROR(-ABS(IF(EDATE(_xlfn.XLOOKUP(1,$H877:$BE877,$H$4:$BE$4),12*Assumptions!$H$242+12)=BB$4,0,IF(BA877=1,PMT(Assumptions!$H$240,Assumptions!$H$242,$C879),BA890))),0)</f>
        <v>0</v>
      </c>
      <c r="BC890" s="39">
        <f>+IFERROR(-ABS(IF(EDATE(_xlfn.XLOOKUP(1,$H877:$BE877,$H$4:$BE$4),12*Assumptions!$H$242+12)=BC$4,0,IF(BB877=1,PMT(Assumptions!$H$240,Assumptions!$H$242,$C879),BB890))),0)</f>
        <v>0</v>
      </c>
      <c r="BD890" s="39">
        <f>+IFERROR(-ABS(IF(EDATE(_xlfn.XLOOKUP(1,$H877:$BE877,$H$4:$BE$4),12*Assumptions!$H$242+12)=BD$4,0,IF(BC877=1,PMT(Assumptions!$H$240,Assumptions!$H$242,$C879),BC890))),0)</f>
        <v>0</v>
      </c>
      <c r="BE890" s="39">
        <f>+IFERROR(-ABS(IF(EDATE(_xlfn.XLOOKUP(1,$H877:$BE877,$H$4:$BE$4),12*Assumptions!$H$242+12)=BE$4,0,IF(BD877=1,PMT(Assumptions!$H$240,Assumptions!$H$242,$C879),BD890))),0)</f>
        <v>0</v>
      </c>
      <c r="BF890" s="39">
        <f>+IFERROR(-ABS(IF(EDATE(_xlfn.XLOOKUP(1,$H877:$BE877,$H$4:$BE$4),12*Assumptions!$H$242+12)=BF$4,0,IF(BE877=1,PMT(Assumptions!$H$240,Assumptions!$H$242,$C879),BE890))),0)</f>
        <v>0</v>
      </c>
      <c r="BG890" s="39">
        <f>+IFERROR(-ABS(IF(EDATE(_xlfn.XLOOKUP(1,$H877:$BE877,$H$4:$BE$4),12*Assumptions!$H$242+12)=BG$4,0,IF(BF877=1,PMT(Assumptions!$H$240,Assumptions!$H$242,$C879),BF890))),0)</f>
        <v>0</v>
      </c>
      <c r="BH890" s="39">
        <f>+IFERROR(-ABS(IF(EDATE(_xlfn.XLOOKUP(1,$H877:$BE877,$H$4:$BE$4),12*Assumptions!$H$242+12)=BH$4,0,IF(BG877=1,PMT(Assumptions!$H$240,Assumptions!$H$242,$C879),BG890))),0)</f>
        <v>0</v>
      </c>
      <c r="BI890" s="39">
        <f>+IFERROR(-ABS(IF(EDATE(_xlfn.XLOOKUP(1,$H877:$BE877,$H$4:$BE$4),12*Assumptions!$H$242+12)=BI$4,0,IF(BH877=1,PMT(Assumptions!$H$240,Assumptions!$H$242,$C879),BH890))),0)</f>
        <v>0</v>
      </c>
      <c r="BJ890" s="39">
        <f>+IFERROR(-ABS(IF(EDATE(_xlfn.XLOOKUP(1,$H877:$BE877,$H$4:$BE$4),12*Assumptions!$H$242+12)=BJ$4,0,IF(BI877=1,PMT(Assumptions!$H$240,Assumptions!$H$242,$C879),BI890))),0)</f>
        <v>0</v>
      </c>
      <c r="BK890" s="39">
        <f>+IFERROR(-ABS(IF(EDATE(_xlfn.XLOOKUP(1,$H877:$BE877,$H$4:$BE$4),12*Assumptions!$H$242+12)=BK$4,0,IF(BJ877=1,PMT(Assumptions!$H$240,Assumptions!$H$242,$C879),BJ890))),0)</f>
        <v>0</v>
      </c>
      <c r="BL890" s="39">
        <f>+IFERROR(-ABS(IF(EDATE(_xlfn.XLOOKUP(1,$H877:$BE877,$H$4:$BE$4),12*Assumptions!$H$242+12)=BL$4,0,IF(BK877=1,PMT(Assumptions!$H$240,Assumptions!$H$242,$C879),BK890))),0)</f>
        <v>0</v>
      </c>
      <c r="BM890" s="39">
        <f>+IFERROR(-ABS(IF(EDATE(_xlfn.XLOOKUP(1,$H877:$BE877,$H$4:$BE$4),12*Assumptions!$H$242+12)=BM$4,0,IF(BL877=1,PMT(Assumptions!$H$240,Assumptions!$H$242,$C879),BL890))),0)</f>
        <v>0</v>
      </c>
      <c r="BN890" s="39">
        <f>+IFERROR(-ABS(IF(EDATE(_xlfn.XLOOKUP(1,$H877:$BE877,$H$4:$BE$4),12*Assumptions!$H$242+12)=BN$4,0,IF(BM877=1,PMT(Assumptions!$H$240,Assumptions!$H$242,$C879),BM890))),0)</f>
        <v>0</v>
      </c>
      <c r="BO890" s="39">
        <f>+IFERROR(-ABS(IF(EDATE(_xlfn.XLOOKUP(1,$H877:$BE877,$H$4:$BE$4),12*Assumptions!$H$242+12)=BO$4,0,IF(BN877=1,PMT(Assumptions!$H$240,Assumptions!$H$242,$C879),BN890))),0)</f>
        <v>0</v>
      </c>
      <c r="BP890" s="39">
        <f>+IFERROR(-ABS(IF(EDATE(_xlfn.XLOOKUP(1,$H877:$BE877,$H$4:$BE$4),12*Assumptions!$H$242+12)=BP$4,0,IF(BO877=1,PMT(Assumptions!$H$240,Assumptions!$H$242,$C879),BO890))),0)</f>
        <v>0</v>
      </c>
      <c r="BQ890" s="39">
        <f>+IFERROR(-ABS(IF(EDATE(_xlfn.XLOOKUP(1,$H877:$BE877,$H$4:$BE$4),12*Assumptions!$H$242+12)=BQ$4,0,IF(BP877=1,PMT(Assumptions!$H$240,Assumptions!$H$242,$C879),BP890))),0)</f>
        <v>0</v>
      </c>
      <c r="BR890" s="39">
        <f>+IFERROR(-ABS(IF(EDATE(_xlfn.XLOOKUP(1,$H877:$BE877,$H$4:$BE$4),12*Assumptions!$H$242+12)=BR$4,0,IF(BQ877=1,PMT(Assumptions!$H$240,Assumptions!$H$242,$C879),BQ890))),0)</f>
        <v>0</v>
      </c>
      <c r="BS890" s="39">
        <f>+IFERROR(-ABS(IF(EDATE(_xlfn.XLOOKUP(1,$H877:$BE877,$H$4:$BE$4),12*Assumptions!$H$242+12)=BS$4,0,IF(BR877=1,PMT(Assumptions!$H$240,Assumptions!$H$242,$C879),BR890))),0)</f>
        <v>0</v>
      </c>
      <c r="BT890" s="39">
        <f>+IFERROR(-ABS(IF(EDATE(_xlfn.XLOOKUP(1,$H877:$BE877,$H$4:$BE$4),12*Assumptions!$H$242+12)=BT$4,0,IF(BS877=1,PMT(Assumptions!$H$240,Assumptions!$H$242,$C879),BS890))),0)</f>
        <v>0</v>
      </c>
      <c r="BU890" s="39">
        <f>+IFERROR(-ABS(IF(EDATE(_xlfn.XLOOKUP(1,$H877:$BE877,$H$4:$BE$4),12*Assumptions!$H$242+12)=BU$4,0,IF(BT877=1,PMT(Assumptions!$H$240,Assumptions!$H$242,$C879),BT890))),0)</f>
        <v>0</v>
      </c>
      <c r="BV890" s="39">
        <f>+IFERROR(-ABS(IF(EDATE(_xlfn.XLOOKUP(1,$H877:$BE877,$H$4:$BE$4),12*Assumptions!$H$242+12)=BV$4,0,IF(BU877=1,PMT(Assumptions!$H$240,Assumptions!$H$242,$C879),BU890))),0)</f>
        <v>0</v>
      </c>
      <c r="BW890" s="39">
        <f>+IFERROR(-ABS(IF(EDATE(_xlfn.XLOOKUP(1,$H877:$BE877,$H$4:$BE$4),12*Assumptions!$H$242+12)=BW$4,0,IF(BV877=1,PMT(Assumptions!$H$240,Assumptions!$H$242,$C879),BV890))),0)</f>
        <v>0</v>
      </c>
      <c r="BX890" s="39">
        <f>+IFERROR(-ABS(IF(EDATE(_xlfn.XLOOKUP(1,$H877:$BE877,$H$4:$BE$4),12*Assumptions!$H$242+12)=BX$4,0,IF(BW877=1,PMT(Assumptions!$H$240,Assumptions!$H$242,$C879),BW890))),0)</f>
        <v>0</v>
      </c>
      <c r="BY890" s="39">
        <f>+IFERROR(-ABS(IF(EDATE(_xlfn.XLOOKUP(1,$H877:$BE877,$H$4:$BE$4),12*Assumptions!$H$242+12)=BY$4,0,IF(BX877=1,PMT(Assumptions!$H$240,Assumptions!$H$242,$C879),BX890))),0)</f>
        <v>0</v>
      </c>
    </row>
    <row r="891" spans="5:77" outlineLevel="1">
      <c r="E891" s="24" t="s">
        <v>520</v>
      </c>
      <c r="F891" s="80" t="str">
        <f>+Assumptions!$G$8</f>
        <v>USD</v>
      </c>
      <c r="G891" s="24"/>
      <c r="H891" s="39">
        <f>+IFERROR(-ABS(IF(EDATE(_xlfn.XLOOKUP(1,$H878:$BE878,$H$4:$BE$4),12*Assumptions!$H$242+12)=H$4,0,IF(G878=1,PMT(Assumptions!$H$240,Assumptions!$H$242,$C880),G891))),0)</f>
        <v>0</v>
      </c>
      <c r="I891" s="39">
        <f>+IFERROR(-ABS(IF(EDATE(_xlfn.XLOOKUP(1,$H878:$BE878,$H$4:$BE$4),12*Assumptions!$H$242+12)=I$4,0,IF(H878=1,PMT(Assumptions!$H$240,Assumptions!$H$242,$C880),H891))),0)</f>
        <v>0</v>
      </c>
      <c r="J891" s="39">
        <f>+IFERROR(-ABS(IF(EDATE(_xlfn.XLOOKUP(1,$H878:$BE878,$H$4:$BE$4),12*Assumptions!$H$242+12)=J$4,0,IF(I878=1,PMT(Assumptions!$H$240,Assumptions!$H$242,$C880),I891))),0)</f>
        <v>0</v>
      </c>
      <c r="K891" s="39">
        <f>+IFERROR(-ABS(IF(EDATE(_xlfn.XLOOKUP(1,$H878:$BE878,$H$4:$BE$4),12*Assumptions!$H$242+12)=K$4,0,IF(J878=1,PMT(Assumptions!$H$240,Assumptions!$H$242,$C880),J891))),0)</f>
        <v>0</v>
      </c>
      <c r="L891" s="39">
        <f>+IFERROR(-ABS(IF(EDATE(_xlfn.XLOOKUP(1,$H878:$BE878,$H$4:$BE$4),12*Assumptions!$H$242+12)=L$4,0,IF(K878=1,PMT(Assumptions!$H$240,Assumptions!$H$242,$C880),K891))),0)</f>
        <v>0</v>
      </c>
      <c r="M891" s="39">
        <f>+IFERROR(-ABS(IF(EDATE(_xlfn.XLOOKUP(1,$H878:$BE878,$H$4:$BE$4),12*Assumptions!$H$242+12)=M$4,0,IF(L878=1,PMT(Assumptions!$H$240,Assumptions!$H$242,$C880),L891))),0)</f>
        <v>0</v>
      </c>
      <c r="N891" s="39">
        <f>+IFERROR(-ABS(IF(EDATE(_xlfn.XLOOKUP(1,$H878:$BE878,$H$4:$BE$4),12*Assumptions!$H$242+12)=N$4,0,IF(M878=1,PMT(Assumptions!$H$240,Assumptions!$H$242,$C880),M891))),0)</f>
        <v>0</v>
      </c>
      <c r="O891" s="39">
        <f>+IFERROR(-ABS(IF(EDATE(_xlfn.XLOOKUP(1,$H878:$BE878,$H$4:$BE$4),12*Assumptions!$H$242+12)=O$4,0,IF(N878=1,PMT(Assumptions!$H$240,Assumptions!$H$242,$C880),N891))),0)</f>
        <v>0</v>
      </c>
      <c r="P891" s="39">
        <f>+IFERROR(-ABS(IF(EDATE(_xlfn.XLOOKUP(1,$H878:$BE878,$H$4:$BE$4),12*Assumptions!$H$242+12)=P$4,0,IF(O878=1,PMT(Assumptions!$H$240,Assumptions!$H$242,$C880),O891))),0)</f>
        <v>0</v>
      </c>
      <c r="Q891" s="39">
        <f>+IFERROR(-ABS(IF(EDATE(_xlfn.XLOOKUP(1,$H878:$BE878,$H$4:$BE$4),12*Assumptions!$H$242+12)=Q$4,0,IF(P878=1,PMT(Assumptions!$H$240,Assumptions!$H$242,$C880),P891))),0)</f>
        <v>0</v>
      </c>
      <c r="R891" s="39">
        <f>+IFERROR(-ABS(IF(EDATE(_xlfn.XLOOKUP(1,$H878:$BE878,$H$4:$BE$4),12*Assumptions!$H$242+12)=R$4,0,IF(Q878=1,PMT(Assumptions!$H$240,Assumptions!$H$242,$C880),Q891))),0)</f>
        <v>0</v>
      </c>
      <c r="S891" s="39">
        <f>+IFERROR(-ABS(IF(EDATE(_xlfn.XLOOKUP(1,$H878:$BE878,$H$4:$BE$4),12*Assumptions!$H$242+12)=S$4,0,IF(R878=1,PMT(Assumptions!$H$240,Assumptions!$H$242,$C880),R891))),0)</f>
        <v>0</v>
      </c>
      <c r="T891" s="39">
        <f>+IFERROR(-ABS(IF(EDATE(_xlfn.XLOOKUP(1,$H878:$BE878,$H$4:$BE$4),12*Assumptions!$H$242+12)=T$4,0,IF(S878=1,PMT(Assumptions!$H$240,Assumptions!$H$242,$C880),S891))),0)</f>
        <v>0</v>
      </c>
      <c r="U891" s="39">
        <f>+IFERROR(-ABS(IF(EDATE(_xlfn.XLOOKUP(1,$H878:$BE878,$H$4:$BE$4),12*Assumptions!$H$242+12)=U$4,0,IF(T878=1,PMT(Assumptions!$H$240,Assumptions!$H$242,$C880),T891))),0)</f>
        <v>0</v>
      </c>
      <c r="V891" s="39">
        <f>+IFERROR(-ABS(IF(EDATE(_xlfn.XLOOKUP(1,$H878:$BE878,$H$4:$BE$4),12*Assumptions!$H$242+12)=V$4,0,IF(U878=1,PMT(Assumptions!$H$240,Assumptions!$H$242,$C880),U891))),0)</f>
        <v>0</v>
      </c>
      <c r="W891" s="39">
        <f>+IFERROR(-ABS(IF(EDATE(_xlfn.XLOOKUP(1,$H878:$BE878,$H$4:$BE$4),12*Assumptions!$H$242+12)=W$4,0,IF(V878=1,PMT(Assumptions!$H$240,Assumptions!$H$242,$C880),V891))),0)</f>
        <v>0</v>
      </c>
      <c r="X891" s="39">
        <f>+IFERROR(-ABS(IF(EDATE(_xlfn.XLOOKUP(1,$H878:$BE878,$H$4:$BE$4),12*Assumptions!$H$242+12)=X$4,0,IF(W878=1,PMT(Assumptions!$H$240,Assumptions!$H$242,$C880),W891))),0)</f>
        <v>0</v>
      </c>
      <c r="Y891" s="39">
        <f>+IFERROR(-ABS(IF(EDATE(_xlfn.XLOOKUP(1,$H878:$BE878,$H$4:$BE$4),12*Assumptions!$H$242+12)=Y$4,0,IF(X878=1,PMT(Assumptions!$H$240,Assumptions!$H$242,$C880),X891))),0)</f>
        <v>0</v>
      </c>
      <c r="Z891" s="39">
        <f>+IFERROR(-ABS(IF(EDATE(_xlfn.XLOOKUP(1,$H878:$BE878,$H$4:$BE$4),12*Assumptions!$H$242+12)=Z$4,0,IF(Y878=1,PMT(Assumptions!$H$240,Assumptions!$H$242,$C880),Y891))),0)</f>
        <v>0</v>
      </c>
      <c r="AA891" s="39">
        <f>+IFERROR(-ABS(IF(EDATE(_xlfn.XLOOKUP(1,$H878:$BE878,$H$4:$BE$4),12*Assumptions!$H$242+12)=AA$4,0,IF(Z878=1,PMT(Assumptions!$H$240,Assumptions!$H$242,$C880),Z891))),0)</f>
        <v>0</v>
      </c>
      <c r="AB891" s="39">
        <f>+IFERROR(-ABS(IF(EDATE(_xlfn.XLOOKUP(1,$H878:$BE878,$H$4:$BE$4),12*Assumptions!$H$242+12)=AB$4,0,IF(AA878=1,PMT(Assumptions!$H$240,Assumptions!$H$242,$C880),AA891))),0)</f>
        <v>0</v>
      </c>
      <c r="AC891" s="39">
        <f>+IFERROR(-ABS(IF(EDATE(_xlfn.XLOOKUP(1,$H878:$BE878,$H$4:$BE$4),12*Assumptions!$H$242+12)=AC$4,0,IF(AB878=1,PMT(Assumptions!$H$240,Assumptions!$H$242,$C880),AB891))),0)</f>
        <v>0</v>
      </c>
      <c r="AD891" s="39">
        <f>+IFERROR(-ABS(IF(EDATE(_xlfn.XLOOKUP(1,$H878:$BE878,$H$4:$BE$4),12*Assumptions!$H$242+12)=AD$4,0,IF(AC878=1,PMT(Assumptions!$H$240,Assumptions!$H$242,$C880),AC891))),0)</f>
        <v>0</v>
      </c>
      <c r="AE891" s="39">
        <f>+IFERROR(-ABS(IF(EDATE(_xlfn.XLOOKUP(1,$H878:$BE878,$H$4:$BE$4),12*Assumptions!$H$242+12)=AE$4,0,IF(AD878=1,PMT(Assumptions!$H$240,Assumptions!$H$242,$C880),AD891))),0)</f>
        <v>0</v>
      </c>
      <c r="AF891" s="39">
        <f>+IFERROR(-ABS(IF(EDATE(_xlfn.XLOOKUP(1,$H878:$BE878,$H$4:$BE$4),12*Assumptions!$H$242+12)=AF$4,0,IF(AE878=1,PMT(Assumptions!$H$240,Assumptions!$H$242,$C880),AE891))),0)</f>
        <v>0</v>
      </c>
      <c r="AG891" s="39">
        <f>+IFERROR(-ABS(IF(EDATE(_xlfn.XLOOKUP(1,$H878:$BE878,$H$4:$BE$4),12*Assumptions!$H$242+12)=AG$4,0,IF(AF878=1,PMT(Assumptions!$H$240,Assumptions!$H$242,$C880),AF891))),0)</f>
        <v>0</v>
      </c>
      <c r="AH891" s="39">
        <f>+IFERROR(-ABS(IF(EDATE(_xlfn.XLOOKUP(1,$H878:$BE878,$H$4:$BE$4),12*Assumptions!$H$242+12)=AH$4,0,IF(AG878=1,PMT(Assumptions!$H$240,Assumptions!$H$242,$C880),AG891))),0)</f>
        <v>0</v>
      </c>
      <c r="AI891" s="39">
        <f>+IFERROR(-ABS(IF(EDATE(_xlfn.XLOOKUP(1,$H878:$BE878,$H$4:$BE$4),12*Assumptions!$H$242+12)=AI$4,0,IF(AH878=1,PMT(Assumptions!$H$240,Assumptions!$H$242,$C880),AH891))),0)</f>
        <v>0</v>
      </c>
      <c r="AJ891" s="39">
        <f>+IFERROR(-ABS(IF(EDATE(_xlfn.XLOOKUP(1,$H878:$BE878,$H$4:$BE$4),12*Assumptions!$H$242+12)=AJ$4,0,IF(AI878=1,PMT(Assumptions!$H$240,Assumptions!$H$242,$C880),AI891))),0)</f>
        <v>0</v>
      </c>
      <c r="AK891" s="39">
        <f>+IFERROR(-ABS(IF(EDATE(_xlfn.XLOOKUP(1,$H878:$BE878,$H$4:$BE$4),12*Assumptions!$H$242+12)=AK$4,0,IF(AJ878=1,PMT(Assumptions!$H$240,Assumptions!$H$242,$C880),AJ891))),0)</f>
        <v>0</v>
      </c>
      <c r="AL891" s="39">
        <f>+IFERROR(-ABS(IF(EDATE(_xlfn.XLOOKUP(1,$H878:$BE878,$H$4:$BE$4),12*Assumptions!$H$242+12)=AL$4,0,IF(AK878=1,PMT(Assumptions!$H$240,Assumptions!$H$242,$C880),AK891))),0)</f>
        <v>0</v>
      </c>
      <c r="AM891" s="39">
        <f>+IFERROR(-ABS(IF(EDATE(_xlfn.XLOOKUP(1,$H878:$BE878,$H$4:$BE$4),12*Assumptions!$H$242+12)=AM$4,0,IF(AL878=1,PMT(Assumptions!$H$240,Assumptions!$H$242,$C880),AL891))),0)</f>
        <v>0</v>
      </c>
      <c r="AN891" s="39">
        <f>+IFERROR(-ABS(IF(EDATE(_xlfn.XLOOKUP(1,$H878:$BE878,$H$4:$BE$4),12*Assumptions!$H$242+12)=AN$4,0,IF(AM878=1,PMT(Assumptions!$H$240,Assumptions!$H$242,$C880),AM891))),0)</f>
        <v>0</v>
      </c>
      <c r="AO891" s="39">
        <f>+IFERROR(-ABS(IF(EDATE(_xlfn.XLOOKUP(1,$H878:$BE878,$H$4:$BE$4),12*Assumptions!$H$242+12)=AO$4,0,IF(AN878=1,PMT(Assumptions!$H$240,Assumptions!$H$242,$C880),AN891))),0)</f>
        <v>0</v>
      </c>
      <c r="AP891" s="39">
        <f>+IFERROR(-ABS(IF(EDATE(_xlfn.XLOOKUP(1,$H878:$BE878,$H$4:$BE$4),12*Assumptions!$H$242+12)=AP$4,0,IF(AO878=1,PMT(Assumptions!$H$240,Assumptions!$H$242,$C880),AO891))),0)</f>
        <v>0</v>
      </c>
      <c r="AQ891" s="39">
        <f>+IFERROR(-ABS(IF(EDATE(_xlfn.XLOOKUP(1,$H878:$BE878,$H$4:$BE$4),12*Assumptions!$H$242+12)=AQ$4,0,IF(AP878=1,PMT(Assumptions!$H$240,Assumptions!$H$242,$C880),AP891))),0)</f>
        <v>0</v>
      </c>
      <c r="AR891" s="39">
        <f>+IFERROR(-ABS(IF(EDATE(_xlfn.XLOOKUP(1,$H878:$BE878,$H$4:$BE$4),12*Assumptions!$H$242+12)=AR$4,0,IF(AQ878=1,PMT(Assumptions!$H$240,Assumptions!$H$242,$C880),AQ891))),0)</f>
        <v>0</v>
      </c>
      <c r="AS891" s="39">
        <f>+IFERROR(-ABS(IF(EDATE(_xlfn.XLOOKUP(1,$H878:$BE878,$H$4:$BE$4),12*Assumptions!$H$242+12)=AS$4,0,IF(AR878=1,PMT(Assumptions!$H$240,Assumptions!$H$242,$C880),AR891))),0)</f>
        <v>0</v>
      </c>
      <c r="AT891" s="39">
        <f>+IFERROR(-ABS(IF(EDATE(_xlfn.XLOOKUP(1,$H878:$BE878,$H$4:$BE$4),12*Assumptions!$H$242+12)=AT$4,0,IF(AS878=1,PMT(Assumptions!$H$240,Assumptions!$H$242,$C880),AS891))),0)</f>
        <v>0</v>
      </c>
      <c r="AU891" s="39">
        <f>+IFERROR(-ABS(IF(EDATE(_xlfn.XLOOKUP(1,$H878:$BE878,$H$4:$BE$4),12*Assumptions!$H$242+12)=AU$4,0,IF(AT878=1,PMT(Assumptions!$H$240,Assumptions!$H$242,$C880),AT891))),0)</f>
        <v>0</v>
      </c>
      <c r="AV891" s="39">
        <f>+IFERROR(-ABS(IF(EDATE(_xlfn.XLOOKUP(1,$H878:$BE878,$H$4:$BE$4),12*Assumptions!$H$242+12)=AV$4,0,IF(AU878=1,PMT(Assumptions!$H$240,Assumptions!$H$242,$C880),AU891))),0)</f>
        <v>0</v>
      </c>
      <c r="AW891" s="39">
        <f>+IFERROR(-ABS(IF(EDATE(_xlfn.XLOOKUP(1,$H878:$BE878,$H$4:$BE$4),12*Assumptions!$H$242+12)=AW$4,0,IF(AV878=1,PMT(Assumptions!$H$240,Assumptions!$H$242,$C880),AV891))),0)</f>
        <v>0</v>
      </c>
      <c r="AX891" s="39">
        <f>+IFERROR(-ABS(IF(EDATE(_xlfn.XLOOKUP(1,$H878:$BE878,$H$4:$BE$4),12*Assumptions!$H$242+12)=AX$4,0,IF(AW878=1,PMT(Assumptions!$H$240,Assumptions!$H$242,$C880),AW891))),0)</f>
        <v>0</v>
      </c>
      <c r="AY891" s="39">
        <f>+IFERROR(-ABS(IF(EDATE(_xlfn.XLOOKUP(1,$H878:$BE878,$H$4:$BE$4),12*Assumptions!$H$242+12)=AY$4,0,IF(AX878=1,PMT(Assumptions!$H$240,Assumptions!$H$242,$C880),AX891))),0)</f>
        <v>0</v>
      </c>
      <c r="AZ891" s="39">
        <f>+IFERROR(-ABS(IF(EDATE(_xlfn.XLOOKUP(1,$H878:$BE878,$H$4:$BE$4),12*Assumptions!$H$242+12)=AZ$4,0,IF(AY878=1,PMT(Assumptions!$H$240,Assumptions!$H$242,$C880),AY891))),0)</f>
        <v>0</v>
      </c>
      <c r="BA891" s="39">
        <f>+IFERROR(-ABS(IF(EDATE(_xlfn.XLOOKUP(1,$H878:$BE878,$H$4:$BE$4),12*Assumptions!$H$242+12)=BA$4,0,IF(AZ878=1,PMT(Assumptions!$H$240,Assumptions!$H$242,$C880),AZ891))),0)</f>
        <v>0</v>
      </c>
      <c r="BB891" s="39">
        <f>+IFERROR(-ABS(IF(EDATE(_xlfn.XLOOKUP(1,$H878:$BE878,$H$4:$BE$4),12*Assumptions!$H$242+12)=BB$4,0,IF(BA878=1,PMT(Assumptions!$H$240,Assumptions!$H$242,$C880),BA891))),0)</f>
        <v>0</v>
      </c>
      <c r="BC891" s="39">
        <f>+IFERROR(-ABS(IF(EDATE(_xlfn.XLOOKUP(1,$H878:$BE878,$H$4:$BE$4),12*Assumptions!$H$242+12)=BC$4,0,IF(BB878=1,PMT(Assumptions!$H$240,Assumptions!$H$242,$C880),BB891))),0)</f>
        <v>0</v>
      </c>
      <c r="BD891" s="39">
        <f>+IFERROR(-ABS(IF(EDATE(_xlfn.XLOOKUP(1,$H878:$BE878,$H$4:$BE$4),12*Assumptions!$H$242+12)=BD$4,0,IF(BC878=1,PMT(Assumptions!$H$240,Assumptions!$H$242,$C880),BC891))),0)</f>
        <v>0</v>
      </c>
      <c r="BE891" s="39">
        <f>+IFERROR(-ABS(IF(EDATE(_xlfn.XLOOKUP(1,$H878:$BE878,$H$4:$BE$4),12*Assumptions!$H$242+12)=BE$4,0,IF(BD878=1,PMT(Assumptions!$H$240,Assumptions!$H$242,$C880),BD891))),0)</f>
        <v>0</v>
      </c>
      <c r="BF891" s="39">
        <f>+IFERROR(-ABS(IF(EDATE(_xlfn.XLOOKUP(1,$H878:$BE878,$H$4:$BE$4),12*Assumptions!$H$242+12)=BF$4,0,IF(BE878=1,PMT(Assumptions!$H$240,Assumptions!$H$242,$C880),BE891))),0)</f>
        <v>0</v>
      </c>
      <c r="BG891" s="39">
        <f>+IFERROR(-ABS(IF(EDATE(_xlfn.XLOOKUP(1,$H878:$BE878,$H$4:$BE$4),12*Assumptions!$H$242+12)=BG$4,0,IF(BF878=1,PMT(Assumptions!$H$240,Assumptions!$H$242,$C880),BF891))),0)</f>
        <v>0</v>
      </c>
      <c r="BH891" s="39">
        <f>+IFERROR(-ABS(IF(EDATE(_xlfn.XLOOKUP(1,$H878:$BE878,$H$4:$BE$4),12*Assumptions!$H$242+12)=BH$4,0,IF(BG878=1,PMT(Assumptions!$H$240,Assumptions!$H$242,$C880),BG891))),0)</f>
        <v>0</v>
      </c>
      <c r="BI891" s="39">
        <f>+IFERROR(-ABS(IF(EDATE(_xlfn.XLOOKUP(1,$H878:$BE878,$H$4:$BE$4),12*Assumptions!$H$242+12)=BI$4,0,IF(BH878=1,PMT(Assumptions!$H$240,Assumptions!$H$242,$C880),BH891))),0)</f>
        <v>0</v>
      </c>
      <c r="BJ891" s="39">
        <f>+IFERROR(-ABS(IF(EDATE(_xlfn.XLOOKUP(1,$H878:$BE878,$H$4:$BE$4),12*Assumptions!$H$242+12)=BJ$4,0,IF(BI878=1,PMT(Assumptions!$H$240,Assumptions!$H$242,$C880),BI891))),0)</f>
        <v>0</v>
      </c>
      <c r="BK891" s="39">
        <f>+IFERROR(-ABS(IF(EDATE(_xlfn.XLOOKUP(1,$H878:$BE878,$H$4:$BE$4),12*Assumptions!$H$242+12)=BK$4,0,IF(BJ878=1,PMT(Assumptions!$H$240,Assumptions!$H$242,$C880),BJ891))),0)</f>
        <v>0</v>
      </c>
      <c r="BL891" s="39">
        <f>+IFERROR(-ABS(IF(EDATE(_xlfn.XLOOKUP(1,$H878:$BE878,$H$4:$BE$4),12*Assumptions!$H$242+12)=BL$4,0,IF(BK878=1,PMT(Assumptions!$H$240,Assumptions!$H$242,$C880),BK891))),0)</f>
        <v>0</v>
      </c>
      <c r="BM891" s="39">
        <f>+IFERROR(-ABS(IF(EDATE(_xlfn.XLOOKUP(1,$H878:$BE878,$H$4:$BE$4),12*Assumptions!$H$242+12)=BM$4,0,IF(BL878=1,PMT(Assumptions!$H$240,Assumptions!$H$242,$C880),BL891))),0)</f>
        <v>0</v>
      </c>
      <c r="BN891" s="39">
        <f>+IFERROR(-ABS(IF(EDATE(_xlfn.XLOOKUP(1,$H878:$BE878,$H$4:$BE$4),12*Assumptions!$H$242+12)=BN$4,0,IF(BM878=1,PMT(Assumptions!$H$240,Assumptions!$H$242,$C880),BM891))),0)</f>
        <v>0</v>
      </c>
      <c r="BO891" s="39">
        <f>+IFERROR(-ABS(IF(EDATE(_xlfn.XLOOKUP(1,$H878:$BE878,$H$4:$BE$4),12*Assumptions!$H$242+12)=BO$4,0,IF(BN878=1,PMT(Assumptions!$H$240,Assumptions!$H$242,$C880),BN891))),0)</f>
        <v>0</v>
      </c>
      <c r="BP891" s="39">
        <f>+IFERROR(-ABS(IF(EDATE(_xlfn.XLOOKUP(1,$H878:$BE878,$H$4:$BE$4),12*Assumptions!$H$242+12)=BP$4,0,IF(BO878=1,PMT(Assumptions!$H$240,Assumptions!$H$242,$C880),BO891))),0)</f>
        <v>0</v>
      </c>
      <c r="BQ891" s="39">
        <f>+IFERROR(-ABS(IF(EDATE(_xlfn.XLOOKUP(1,$H878:$BE878,$H$4:$BE$4),12*Assumptions!$H$242+12)=BQ$4,0,IF(BP878=1,PMT(Assumptions!$H$240,Assumptions!$H$242,$C880),BP891))),0)</f>
        <v>0</v>
      </c>
      <c r="BR891" s="39">
        <f>+IFERROR(-ABS(IF(EDATE(_xlfn.XLOOKUP(1,$H878:$BE878,$H$4:$BE$4),12*Assumptions!$H$242+12)=BR$4,0,IF(BQ878=1,PMT(Assumptions!$H$240,Assumptions!$H$242,$C880),BQ891))),0)</f>
        <v>0</v>
      </c>
      <c r="BS891" s="39">
        <f>+IFERROR(-ABS(IF(EDATE(_xlfn.XLOOKUP(1,$H878:$BE878,$H$4:$BE$4),12*Assumptions!$H$242+12)=BS$4,0,IF(BR878=1,PMT(Assumptions!$H$240,Assumptions!$H$242,$C880),BR891))),0)</f>
        <v>0</v>
      </c>
      <c r="BT891" s="39">
        <f>+IFERROR(-ABS(IF(EDATE(_xlfn.XLOOKUP(1,$H878:$BE878,$H$4:$BE$4),12*Assumptions!$H$242+12)=BT$4,0,IF(BS878=1,PMT(Assumptions!$H$240,Assumptions!$H$242,$C880),BS891))),0)</f>
        <v>0</v>
      </c>
      <c r="BU891" s="39">
        <f>+IFERROR(-ABS(IF(EDATE(_xlfn.XLOOKUP(1,$H878:$BE878,$H$4:$BE$4),12*Assumptions!$H$242+12)=BU$4,0,IF(BT878=1,PMT(Assumptions!$H$240,Assumptions!$H$242,$C880),BT891))),0)</f>
        <v>0</v>
      </c>
      <c r="BV891" s="39">
        <f>+IFERROR(-ABS(IF(EDATE(_xlfn.XLOOKUP(1,$H878:$BE878,$H$4:$BE$4),12*Assumptions!$H$242+12)=BV$4,0,IF(BU878=1,PMT(Assumptions!$H$240,Assumptions!$H$242,$C880),BU891))),0)</f>
        <v>0</v>
      </c>
      <c r="BW891" s="39">
        <f>+IFERROR(-ABS(IF(EDATE(_xlfn.XLOOKUP(1,$H878:$BE878,$H$4:$BE$4),12*Assumptions!$H$242+12)=BW$4,0,IF(BV878=1,PMT(Assumptions!$H$240,Assumptions!$H$242,$C880),BV891))),0)</f>
        <v>0</v>
      </c>
      <c r="BX891" s="39">
        <f>+IFERROR(-ABS(IF(EDATE(_xlfn.XLOOKUP(1,$H878:$BE878,$H$4:$BE$4),12*Assumptions!$H$242+12)=BX$4,0,IF(BW878=1,PMT(Assumptions!$H$240,Assumptions!$H$242,$C880),BW891))),0)</f>
        <v>0</v>
      </c>
      <c r="BY891" s="39">
        <f>+IFERROR(-ABS(IF(EDATE(_xlfn.XLOOKUP(1,$H878:$BE878,$H$4:$BE$4),12*Assumptions!$H$242+12)=BY$4,0,IF(BX878=1,PMT(Assumptions!$H$240,Assumptions!$H$242,$C880),BX891))),0)</f>
        <v>0</v>
      </c>
    </row>
    <row r="892" spans="5:77" outlineLevel="1">
      <c r="E892" s="24" t="s">
        <v>521</v>
      </c>
      <c r="F892" s="80" t="str">
        <f>+Assumptions!$G$8</f>
        <v>USD</v>
      </c>
      <c r="G892" s="24"/>
      <c r="H892" s="39">
        <f>+IFERROR(-ABS(IF(EDATE(_xlfn.XLOOKUP(1,$H879:$BE879,$H$4:$BE$4),12*Assumptions!$H$242+12)=H$4,0,IF(G879=1,PMT(Assumptions!$H$240,Assumptions!$H$242,$C881),G892))),0)</f>
        <v>0</v>
      </c>
      <c r="I892" s="39">
        <f>+IFERROR(-ABS(IF(EDATE(_xlfn.XLOOKUP(1,$H879:$BE879,$H$4:$BE$4),12*Assumptions!$H$242+12)=I$4,0,IF(H879=1,PMT(Assumptions!$H$240,Assumptions!$H$242,$C881),H892))),0)</f>
        <v>0</v>
      </c>
      <c r="J892" s="39">
        <f>+IFERROR(-ABS(IF(EDATE(_xlfn.XLOOKUP(1,$H879:$BE879,$H$4:$BE$4),12*Assumptions!$H$242+12)=J$4,0,IF(I879=1,PMT(Assumptions!$H$240,Assumptions!$H$242,$C881),I892))),0)</f>
        <v>0</v>
      </c>
      <c r="K892" s="39">
        <f>+IFERROR(-ABS(IF(EDATE(_xlfn.XLOOKUP(1,$H879:$BE879,$H$4:$BE$4),12*Assumptions!$H$242+12)=K$4,0,IF(J879=1,PMT(Assumptions!$H$240,Assumptions!$H$242,$C881),J892))),0)</f>
        <v>0</v>
      </c>
      <c r="L892" s="39">
        <f>+IFERROR(-ABS(IF(EDATE(_xlfn.XLOOKUP(1,$H879:$BE879,$H$4:$BE$4),12*Assumptions!$H$242+12)=L$4,0,IF(K879=1,PMT(Assumptions!$H$240,Assumptions!$H$242,$C881),K892))),0)</f>
        <v>0</v>
      </c>
      <c r="M892" s="39">
        <f>+IFERROR(-ABS(IF(EDATE(_xlfn.XLOOKUP(1,$H879:$BE879,$H$4:$BE$4),12*Assumptions!$H$242+12)=M$4,0,IF(L879=1,PMT(Assumptions!$H$240,Assumptions!$H$242,$C881),L892))),0)</f>
        <v>0</v>
      </c>
      <c r="N892" s="39">
        <f>+IFERROR(-ABS(IF(EDATE(_xlfn.XLOOKUP(1,$H879:$BE879,$H$4:$BE$4),12*Assumptions!$H$242+12)=N$4,0,IF(M879=1,PMT(Assumptions!$H$240,Assumptions!$H$242,$C881),M892))),0)</f>
        <v>0</v>
      </c>
      <c r="O892" s="39">
        <f>+IFERROR(-ABS(IF(EDATE(_xlfn.XLOOKUP(1,$H879:$BE879,$H$4:$BE$4),12*Assumptions!$H$242+12)=O$4,0,IF(N879=1,PMT(Assumptions!$H$240,Assumptions!$H$242,$C881),N892))),0)</f>
        <v>0</v>
      </c>
      <c r="P892" s="39">
        <f>+IFERROR(-ABS(IF(EDATE(_xlfn.XLOOKUP(1,$H879:$BE879,$H$4:$BE$4),12*Assumptions!$H$242+12)=P$4,0,IF(O879=1,PMT(Assumptions!$H$240,Assumptions!$H$242,$C881),O892))),0)</f>
        <v>0</v>
      </c>
      <c r="Q892" s="39">
        <f>+IFERROR(-ABS(IF(EDATE(_xlfn.XLOOKUP(1,$H879:$BE879,$H$4:$BE$4),12*Assumptions!$H$242+12)=Q$4,0,IF(P879=1,PMT(Assumptions!$H$240,Assumptions!$H$242,$C881),P892))),0)</f>
        <v>0</v>
      </c>
      <c r="R892" s="39">
        <f>+IFERROR(-ABS(IF(EDATE(_xlfn.XLOOKUP(1,$H879:$BE879,$H$4:$BE$4),12*Assumptions!$H$242+12)=R$4,0,IF(Q879=1,PMT(Assumptions!$H$240,Assumptions!$H$242,$C881),Q892))),0)</f>
        <v>0</v>
      </c>
      <c r="S892" s="39">
        <f>+IFERROR(-ABS(IF(EDATE(_xlfn.XLOOKUP(1,$H879:$BE879,$H$4:$BE$4),12*Assumptions!$H$242+12)=S$4,0,IF(R879=1,PMT(Assumptions!$H$240,Assumptions!$H$242,$C881),R892))),0)</f>
        <v>0</v>
      </c>
      <c r="T892" s="39">
        <f>+IFERROR(-ABS(IF(EDATE(_xlfn.XLOOKUP(1,$H879:$BE879,$H$4:$BE$4),12*Assumptions!$H$242+12)=T$4,0,IF(S879=1,PMT(Assumptions!$H$240,Assumptions!$H$242,$C881),S892))),0)</f>
        <v>0</v>
      </c>
      <c r="U892" s="39">
        <f>+IFERROR(-ABS(IF(EDATE(_xlfn.XLOOKUP(1,$H879:$BE879,$H$4:$BE$4),12*Assumptions!$H$242+12)=U$4,0,IF(T879=1,PMT(Assumptions!$H$240,Assumptions!$H$242,$C881),T892))),0)</f>
        <v>0</v>
      </c>
      <c r="V892" s="39">
        <f>+IFERROR(-ABS(IF(EDATE(_xlfn.XLOOKUP(1,$H879:$BE879,$H$4:$BE$4),12*Assumptions!$H$242+12)=V$4,0,IF(U879=1,PMT(Assumptions!$H$240,Assumptions!$H$242,$C881),U892))),0)</f>
        <v>0</v>
      </c>
      <c r="W892" s="39">
        <f>+IFERROR(-ABS(IF(EDATE(_xlfn.XLOOKUP(1,$H879:$BE879,$H$4:$BE$4),12*Assumptions!$H$242+12)=W$4,0,IF(V879=1,PMT(Assumptions!$H$240,Assumptions!$H$242,$C881),V892))),0)</f>
        <v>0</v>
      </c>
      <c r="X892" s="39">
        <f>+IFERROR(-ABS(IF(EDATE(_xlfn.XLOOKUP(1,$H879:$BE879,$H$4:$BE$4),12*Assumptions!$H$242+12)=X$4,0,IF(W879=1,PMT(Assumptions!$H$240,Assumptions!$H$242,$C881),W892))),0)</f>
        <v>0</v>
      </c>
      <c r="Y892" s="39">
        <f>+IFERROR(-ABS(IF(EDATE(_xlfn.XLOOKUP(1,$H879:$BE879,$H$4:$BE$4),12*Assumptions!$H$242+12)=Y$4,0,IF(X879=1,PMT(Assumptions!$H$240,Assumptions!$H$242,$C881),X892))),0)</f>
        <v>0</v>
      </c>
      <c r="Z892" s="39">
        <f>+IFERROR(-ABS(IF(EDATE(_xlfn.XLOOKUP(1,$H879:$BE879,$H$4:$BE$4),12*Assumptions!$H$242+12)=Z$4,0,IF(Y879=1,PMT(Assumptions!$H$240,Assumptions!$H$242,$C881),Y892))),0)</f>
        <v>0</v>
      </c>
      <c r="AA892" s="39">
        <f>+IFERROR(-ABS(IF(EDATE(_xlfn.XLOOKUP(1,$H879:$BE879,$H$4:$BE$4),12*Assumptions!$H$242+12)=AA$4,0,IF(Z879=1,PMT(Assumptions!$H$240,Assumptions!$H$242,$C881),Z892))),0)</f>
        <v>0</v>
      </c>
      <c r="AB892" s="39">
        <f>+IFERROR(-ABS(IF(EDATE(_xlfn.XLOOKUP(1,$H879:$BE879,$H$4:$BE$4),12*Assumptions!$H$242+12)=AB$4,0,IF(AA879=1,PMT(Assumptions!$H$240,Assumptions!$H$242,$C881),AA892))),0)</f>
        <v>0</v>
      </c>
      <c r="AC892" s="39">
        <f>+IFERROR(-ABS(IF(EDATE(_xlfn.XLOOKUP(1,$H879:$BE879,$H$4:$BE$4),12*Assumptions!$H$242+12)=AC$4,0,IF(AB879=1,PMT(Assumptions!$H$240,Assumptions!$H$242,$C881),AB892))),0)</f>
        <v>0</v>
      </c>
      <c r="AD892" s="39">
        <f>+IFERROR(-ABS(IF(EDATE(_xlfn.XLOOKUP(1,$H879:$BE879,$H$4:$BE$4),12*Assumptions!$H$242+12)=AD$4,0,IF(AC879=1,PMT(Assumptions!$H$240,Assumptions!$H$242,$C881),AC892))),0)</f>
        <v>0</v>
      </c>
      <c r="AE892" s="39">
        <f>+IFERROR(-ABS(IF(EDATE(_xlfn.XLOOKUP(1,$H879:$BE879,$H$4:$BE$4),12*Assumptions!$H$242+12)=AE$4,0,IF(AD879=1,PMT(Assumptions!$H$240,Assumptions!$H$242,$C881),AD892))),0)</f>
        <v>0</v>
      </c>
      <c r="AF892" s="39">
        <f>+IFERROR(-ABS(IF(EDATE(_xlfn.XLOOKUP(1,$H879:$BE879,$H$4:$BE$4),12*Assumptions!$H$242+12)=AF$4,0,IF(AE879=1,PMT(Assumptions!$H$240,Assumptions!$H$242,$C881),AE892))),0)</f>
        <v>0</v>
      </c>
      <c r="AG892" s="39">
        <f>+IFERROR(-ABS(IF(EDATE(_xlfn.XLOOKUP(1,$H879:$BE879,$H$4:$BE$4),12*Assumptions!$H$242+12)=AG$4,0,IF(AF879=1,PMT(Assumptions!$H$240,Assumptions!$H$242,$C881),AF892))),0)</f>
        <v>0</v>
      </c>
      <c r="AH892" s="39">
        <f>+IFERROR(-ABS(IF(EDATE(_xlfn.XLOOKUP(1,$H879:$BE879,$H$4:$BE$4),12*Assumptions!$H$242+12)=AH$4,0,IF(AG879=1,PMT(Assumptions!$H$240,Assumptions!$H$242,$C881),AG892))),0)</f>
        <v>0</v>
      </c>
      <c r="AI892" s="39">
        <f>+IFERROR(-ABS(IF(EDATE(_xlfn.XLOOKUP(1,$H879:$BE879,$H$4:$BE$4),12*Assumptions!$H$242+12)=AI$4,0,IF(AH879=1,PMT(Assumptions!$H$240,Assumptions!$H$242,$C881),AH892))),0)</f>
        <v>0</v>
      </c>
      <c r="AJ892" s="39">
        <f>+IFERROR(-ABS(IF(EDATE(_xlfn.XLOOKUP(1,$H879:$BE879,$H$4:$BE$4),12*Assumptions!$H$242+12)=AJ$4,0,IF(AI879=1,PMT(Assumptions!$H$240,Assumptions!$H$242,$C881),AI892))),0)</f>
        <v>0</v>
      </c>
      <c r="AK892" s="39">
        <f>+IFERROR(-ABS(IF(EDATE(_xlfn.XLOOKUP(1,$H879:$BE879,$H$4:$BE$4),12*Assumptions!$H$242+12)=AK$4,0,IF(AJ879=1,PMT(Assumptions!$H$240,Assumptions!$H$242,$C881),AJ892))),0)</f>
        <v>0</v>
      </c>
      <c r="AL892" s="39">
        <f>+IFERROR(-ABS(IF(EDATE(_xlfn.XLOOKUP(1,$H879:$BE879,$H$4:$BE$4),12*Assumptions!$H$242+12)=AL$4,0,IF(AK879=1,PMT(Assumptions!$H$240,Assumptions!$H$242,$C881),AK892))),0)</f>
        <v>0</v>
      </c>
      <c r="AM892" s="39">
        <f>+IFERROR(-ABS(IF(EDATE(_xlfn.XLOOKUP(1,$H879:$BE879,$H$4:$BE$4),12*Assumptions!$H$242+12)=AM$4,0,IF(AL879=1,PMT(Assumptions!$H$240,Assumptions!$H$242,$C881),AL892))),0)</f>
        <v>0</v>
      </c>
      <c r="AN892" s="39">
        <f>+IFERROR(-ABS(IF(EDATE(_xlfn.XLOOKUP(1,$H879:$BE879,$H$4:$BE$4),12*Assumptions!$H$242+12)=AN$4,0,IF(AM879=1,PMT(Assumptions!$H$240,Assumptions!$H$242,$C881),AM892))),0)</f>
        <v>0</v>
      </c>
      <c r="AO892" s="39">
        <f>+IFERROR(-ABS(IF(EDATE(_xlfn.XLOOKUP(1,$H879:$BE879,$H$4:$BE$4),12*Assumptions!$H$242+12)=AO$4,0,IF(AN879=1,PMT(Assumptions!$H$240,Assumptions!$H$242,$C881),AN892))),0)</f>
        <v>0</v>
      </c>
      <c r="AP892" s="39">
        <f>+IFERROR(-ABS(IF(EDATE(_xlfn.XLOOKUP(1,$H879:$BE879,$H$4:$BE$4),12*Assumptions!$H$242+12)=AP$4,0,IF(AO879=1,PMT(Assumptions!$H$240,Assumptions!$H$242,$C881),AO892))),0)</f>
        <v>0</v>
      </c>
      <c r="AQ892" s="39">
        <f>+IFERROR(-ABS(IF(EDATE(_xlfn.XLOOKUP(1,$H879:$BE879,$H$4:$BE$4),12*Assumptions!$H$242+12)=AQ$4,0,IF(AP879=1,PMT(Assumptions!$H$240,Assumptions!$H$242,$C881),AP892))),0)</f>
        <v>0</v>
      </c>
      <c r="AR892" s="39">
        <f>+IFERROR(-ABS(IF(EDATE(_xlfn.XLOOKUP(1,$H879:$BE879,$H$4:$BE$4),12*Assumptions!$H$242+12)=AR$4,0,IF(AQ879=1,PMT(Assumptions!$H$240,Assumptions!$H$242,$C881),AQ892))),0)</f>
        <v>0</v>
      </c>
      <c r="AS892" s="39">
        <f>+IFERROR(-ABS(IF(EDATE(_xlfn.XLOOKUP(1,$H879:$BE879,$H$4:$BE$4),12*Assumptions!$H$242+12)=AS$4,0,IF(AR879=1,PMT(Assumptions!$H$240,Assumptions!$H$242,$C881),AR892))),0)</f>
        <v>0</v>
      </c>
      <c r="AT892" s="39">
        <f>+IFERROR(-ABS(IF(EDATE(_xlfn.XLOOKUP(1,$H879:$BE879,$H$4:$BE$4),12*Assumptions!$H$242+12)=AT$4,0,IF(AS879=1,PMT(Assumptions!$H$240,Assumptions!$H$242,$C881),AS892))),0)</f>
        <v>0</v>
      </c>
      <c r="AU892" s="39">
        <f>+IFERROR(-ABS(IF(EDATE(_xlfn.XLOOKUP(1,$H879:$BE879,$H$4:$BE$4),12*Assumptions!$H$242+12)=AU$4,0,IF(AT879=1,PMT(Assumptions!$H$240,Assumptions!$H$242,$C881),AT892))),0)</f>
        <v>0</v>
      </c>
      <c r="AV892" s="39">
        <f>+IFERROR(-ABS(IF(EDATE(_xlfn.XLOOKUP(1,$H879:$BE879,$H$4:$BE$4),12*Assumptions!$H$242+12)=AV$4,0,IF(AU879=1,PMT(Assumptions!$H$240,Assumptions!$H$242,$C881),AU892))),0)</f>
        <v>0</v>
      </c>
      <c r="AW892" s="39">
        <f>+IFERROR(-ABS(IF(EDATE(_xlfn.XLOOKUP(1,$H879:$BE879,$H$4:$BE$4),12*Assumptions!$H$242+12)=AW$4,0,IF(AV879=1,PMT(Assumptions!$H$240,Assumptions!$H$242,$C881),AV892))),0)</f>
        <v>0</v>
      </c>
      <c r="AX892" s="39">
        <f>+IFERROR(-ABS(IF(EDATE(_xlfn.XLOOKUP(1,$H879:$BE879,$H$4:$BE$4),12*Assumptions!$H$242+12)=AX$4,0,IF(AW879=1,PMT(Assumptions!$H$240,Assumptions!$H$242,$C881),AW892))),0)</f>
        <v>0</v>
      </c>
      <c r="AY892" s="39">
        <f>+IFERROR(-ABS(IF(EDATE(_xlfn.XLOOKUP(1,$H879:$BE879,$H$4:$BE$4),12*Assumptions!$H$242+12)=AY$4,0,IF(AX879=1,PMT(Assumptions!$H$240,Assumptions!$H$242,$C881),AX892))),0)</f>
        <v>0</v>
      </c>
      <c r="AZ892" s="39">
        <f>+IFERROR(-ABS(IF(EDATE(_xlfn.XLOOKUP(1,$H879:$BE879,$H$4:$BE$4),12*Assumptions!$H$242+12)=AZ$4,0,IF(AY879=1,PMT(Assumptions!$H$240,Assumptions!$H$242,$C881),AY892))),0)</f>
        <v>0</v>
      </c>
      <c r="BA892" s="39">
        <f>+IFERROR(-ABS(IF(EDATE(_xlfn.XLOOKUP(1,$H879:$BE879,$H$4:$BE$4),12*Assumptions!$H$242+12)=BA$4,0,IF(AZ879=1,PMT(Assumptions!$H$240,Assumptions!$H$242,$C881),AZ892))),0)</f>
        <v>0</v>
      </c>
      <c r="BB892" s="39">
        <f>+IFERROR(-ABS(IF(EDATE(_xlfn.XLOOKUP(1,$H879:$BE879,$H$4:$BE$4),12*Assumptions!$H$242+12)=BB$4,0,IF(BA879=1,PMT(Assumptions!$H$240,Assumptions!$H$242,$C881),BA892))),0)</f>
        <v>0</v>
      </c>
      <c r="BC892" s="39">
        <f>+IFERROR(-ABS(IF(EDATE(_xlfn.XLOOKUP(1,$H879:$BE879,$H$4:$BE$4),12*Assumptions!$H$242+12)=BC$4,0,IF(BB879=1,PMT(Assumptions!$H$240,Assumptions!$H$242,$C881),BB892))),0)</f>
        <v>0</v>
      </c>
      <c r="BD892" s="39">
        <f>+IFERROR(-ABS(IF(EDATE(_xlfn.XLOOKUP(1,$H879:$BE879,$H$4:$BE$4),12*Assumptions!$H$242+12)=BD$4,0,IF(BC879=1,PMT(Assumptions!$H$240,Assumptions!$H$242,$C881),BC892))),0)</f>
        <v>0</v>
      </c>
      <c r="BE892" s="39">
        <f>+IFERROR(-ABS(IF(EDATE(_xlfn.XLOOKUP(1,$H879:$BE879,$H$4:$BE$4),12*Assumptions!$H$242+12)=BE$4,0,IF(BD879=1,PMT(Assumptions!$H$240,Assumptions!$H$242,$C881),BD892))),0)</f>
        <v>0</v>
      </c>
      <c r="BF892" s="39">
        <f>+IFERROR(-ABS(IF(EDATE(_xlfn.XLOOKUP(1,$H879:$BE879,$H$4:$BE$4),12*Assumptions!$H$242+12)=BF$4,0,IF(BE879=1,PMT(Assumptions!$H$240,Assumptions!$H$242,$C881),BE892))),0)</f>
        <v>0</v>
      </c>
      <c r="BG892" s="39">
        <f>+IFERROR(-ABS(IF(EDATE(_xlfn.XLOOKUP(1,$H879:$BE879,$H$4:$BE$4),12*Assumptions!$H$242+12)=BG$4,0,IF(BF879=1,PMT(Assumptions!$H$240,Assumptions!$H$242,$C881),BF892))),0)</f>
        <v>0</v>
      </c>
      <c r="BH892" s="39">
        <f>+IFERROR(-ABS(IF(EDATE(_xlfn.XLOOKUP(1,$H879:$BE879,$H$4:$BE$4),12*Assumptions!$H$242+12)=BH$4,0,IF(BG879=1,PMT(Assumptions!$H$240,Assumptions!$H$242,$C881),BG892))),0)</f>
        <v>0</v>
      </c>
      <c r="BI892" s="39">
        <f>+IFERROR(-ABS(IF(EDATE(_xlfn.XLOOKUP(1,$H879:$BE879,$H$4:$BE$4),12*Assumptions!$H$242+12)=BI$4,0,IF(BH879=1,PMT(Assumptions!$H$240,Assumptions!$H$242,$C881),BH892))),0)</f>
        <v>0</v>
      </c>
      <c r="BJ892" s="39">
        <f>+IFERROR(-ABS(IF(EDATE(_xlfn.XLOOKUP(1,$H879:$BE879,$H$4:$BE$4),12*Assumptions!$H$242+12)=BJ$4,0,IF(BI879=1,PMT(Assumptions!$H$240,Assumptions!$H$242,$C881),BI892))),0)</f>
        <v>0</v>
      </c>
      <c r="BK892" s="39">
        <f>+IFERROR(-ABS(IF(EDATE(_xlfn.XLOOKUP(1,$H879:$BE879,$H$4:$BE$4),12*Assumptions!$H$242+12)=BK$4,0,IF(BJ879=1,PMT(Assumptions!$H$240,Assumptions!$H$242,$C881),BJ892))),0)</f>
        <v>0</v>
      </c>
      <c r="BL892" s="39">
        <f>+IFERROR(-ABS(IF(EDATE(_xlfn.XLOOKUP(1,$H879:$BE879,$H$4:$BE$4),12*Assumptions!$H$242+12)=BL$4,0,IF(BK879=1,PMT(Assumptions!$H$240,Assumptions!$H$242,$C881),BK892))),0)</f>
        <v>0</v>
      </c>
      <c r="BM892" s="39">
        <f>+IFERROR(-ABS(IF(EDATE(_xlfn.XLOOKUP(1,$H879:$BE879,$H$4:$BE$4),12*Assumptions!$H$242+12)=BM$4,0,IF(BL879=1,PMT(Assumptions!$H$240,Assumptions!$H$242,$C881),BL892))),0)</f>
        <v>0</v>
      </c>
      <c r="BN892" s="39">
        <f>+IFERROR(-ABS(IF(EDATE(_xlfn.XLOOKUP(1,$H879:$BE879,$H$4:$BE$4),12*Assumptions!$H$242+12)=BN$4,0,IF(BM879=1,PMT(Assumptions!$H$240,Assumptions!$H$242,$C881),BM892))),0)</f>
        <v>0</v>
      </c>
      <c r="BO892" s="39">
        <f>+IFERROR(-ABS(IF(EDATE(_xlfn.XLOOKUP(1,$H879:$BE879,$H$4:$BE$4),12*Assumptions!$H$242+12)=BO$4,0,IF(BN879=1,PMT(Assumptions!$H$240,Assumptions!$H$242,$C881),BN892))),0)</f>
        <v>0</v>
      </c>
      <c r="BP892" s="39">
        <f>+IFERROR(-ABS(IF(EDATE(_xlfn.XLOOKUP(1,$H879:$BE879,$H$4:$BE$4),12*Assumptions!$H$242+12)=BP$4,0,IF(BO879=1,PMT(Assumptions!$H$240,Assumptions!$H$242,$C881),BO892))),0)</f>
        <v>0</v>
      </c>
      <c r="BQ892" s="39">
        <f>+IFERROR(-ABS(IF(EDATE(_xlfn.XLOOKUP(1,$H879:$BE879,$H$4:$BE$4),12*Assumptions!$H$242+12)=BQ$4,0,IF(BP879=1,PMT(Assumptions!$H$240,Assumptions!$H$242,$C881),BP892))),0)</f>
        <v>0</v>
      </c>
      <c r="BR892" s="39">
        <f>+IFERROR(-ABS(IF(EDATE(_xlfn.XLOOKUP(1,$H879:$BE879,$H$4:$BE$4),12*Assumptions!$H$242+12)=BR$4,0,IF(BQ879=1,PMT(Assumptions!$H$240,Assumptions!$H$242,$C881),BQ892))),0)</f>
        <v>0</v>
      </c>
      <c r="BS892" s="39">
        <f>+IFERROR(-ABS(IF(EDATE(_xlfn.XLOOKUP(1,$H879:$BE879,$H$4:$BE$4),12*Assumptions!$H$242+12)=BS$4,0,IF(BR879=1,PMT(Assumptions!$H$240,Assumptions!$H$242,$C881),BR892))),0)</f>
        <v>0</v>
      </c>
      <c r="BT892" s="39">
        <f>+IFERROR(-ABS(IF(EDATE(_xlfn.XLOOKUP(1,$H879:$BE879,$H$4:$BE$4),12*Assumptions!$H$242+12)=BT$4,0,IF(BS879=1,PMT(Assumptions!$H$240,Assumptions!$H$242,$C881),BS892))),0)</f>
        <v>0</v>
      </c>
      <c r="BU892" s="39">
        <f>+IFERROR(-ABS(IF(EDATE(_xlfn.XLOOKUP(1,$H879:$BE879,$H$4:$BE$4),12*Assumptions!$H$242+12)=BU$4,0,IF(BT879=1,PMT(Assumptions!$H$240,Assumptions!$H$242,$C881),BT892))),0)</f>
        <v>0</v>
      </c>
      <c r="BV892" s="39">
        <f>+IFERROR(-ABS(IF(EDATE(_xlfn.XLOOKUP(1,$H879:$BE879,$H$4:$BE$4),12*Assumptions!$H$242+12)=BV$4,0,IF(BU879=1,PMT(Assumptions!$H$240,Assumptions!$H$242,$C881),BU892))),0)</f>
        <v>0</v>
      </c>
      <c r="BW892" s="39">
        <f>+IFERROR(-ABS(IF(EDATE(_xlfn.XLOOKUP(1,$H879:$BE879,$H$4:$BE$4),12*Assumptions!$H$242+12)=BW$4,0,IF(BV879=1,PMT(Assumptions!$H$240,Assumptions!$H$242,$C881),BV892))),0)</f>
        <v>0</v>
      </c>
      <c r="BX892" s="39">
        <f>+IFERROR(-ABS(IF(EDATE(_xlfn.XLOOKUP(1,$H879:$BE879,$H$4:$BE$4),12*Assumptions!$H$242+12)=BX$4,0,IF(BW879=1,PMT(Assumptions!$H$240,Assumptions!$H$242,$C881),BW892))),0)</f>
        <v>0</v>
      </c>
      <c r="BY892" s="39">
        <f>+IFERROR(-ABS(IF(EDATE(_xlfn.XLOOKUP(1,$H879:$BE879,$H$4:$BE$4),12*Assumptions!$H$242+12)=BY$4,0,IF(BX879=1,PMT(Assumptions!$H$240,Assumptions!$H$242,$C881),BX892))),0)</f>
        <v>0</v>
      </c>
    </row>
    <row r="893" spans="5:77" outlineLevel="1">
      <c r="E893" s="24" t="s">
        <v>522</v>
      </c>
      <c r="F893" s="80" t="str">
        <f>+Assumptions!$G$8</f>
        <v>USD</v>
      </c>
      <c r="G893" s="24"/>
      <c r="H893" s="39">
        <f>+IFERROR(-ABS(IF(EDATE(_xlfn.XLOOKUP(1,$H880:$BE880,$H$4:$BE$4),12*Assumptions!$H$242+12)=H$4,0,IF(G880=1,PMT(Assumptions!$H$240,Assumptions!$H$242,$C882),G893))),0)</f>
        <v>0</v>
      </c>
      <c r="I893" s="39">
        <f>+IFERROR(-ABS(IF(EDATE(_xlfn.XLOOKUP(1,$H880:$BE880,$H$4:$BE$4),12*Assumptions!$H$242+12)=I$4,0,IF(H880=1,PMT(Assumptions!$H$240,Assumptions!$H$242,$C882),H893))),0)</f>
        <v>0</v>
      </c>
      <c r="J893" s="39">
        <f>+IFERROR(-ABS(IF(EDATE(_xlfn.XLOOKUP(1,$H880:$BE880,$H$4:$BE$4),12*Assumptions!$H$242+12)=J$4,0,IF(I880=1,PMT(Assumptions!$H$240,Assumptions!$H$242,$C882),I893))),0)</f>
        <v>0</v>
      </c>
      <c r="K893" s="39">
        <f>+IFERROR(-ABS(IF(EDATE(_xlfn.XLOOKUP(1,$H880:$BE880,$H$4:$BE$4),12*Assumptions!$H$242+12)=K$4,0,IF(J880=1,PMT(Assumptions!$H$240,Assumptions!$H$242,$C882),J893))),0)</f>
        <v>0</v>
      </c>
      <c r="L893" s="39">
        <f>+IFERROR(-ABS(IF(EDATE(_xlfn.XLOOKUP(1,$H880:$BE880,$H$4:$BE$4),12*Assumptions!$H$242+12)=L$4,0,IF(K880=1,PMT(Assumptions!$H$240,Assumptions!$H$242,$C882),K893))),0)</f>
        <v>0</v>
      </c>
      <c r="M893" s="39">
        <f>+IFERROR(-ABS(IF(EDATE(_xlfn.XLOOKUP(1,$H880:$BE880,$H$4:$BE$4),12*Assumptions!$H$242+12)=M$4,0,IF(L880=1,PMT(Assumptions!$H$240,Assumptions!$H$242,$C882),L893))),0)</f>
        <v>0</v>
      </c>
      <c r="N893" s="39">
        <f>+IFERROR(-ABS(IF(EDATE(_xlfn.XLOOKUP(1,$H880:$BE880,$H$4:$BE$4),12*Assumptions!$H$242+12)=N$4,0,IF(M880=1,PMT(Assumptions!$H$240,Assumptions!$H$242,$C882),M893))),0)</f>
        <v>0</v>
      </c>
      <c r="O893" s="39">
        <f>+IFERROR(-ABS(IF(EDATE(_xlfn.XLOOKUP(1,$H880:$BE880,$H$4:$BE$4),12*Assumptions!$H$242+12)=O$4,0,IF(N880=1,PMT(Assumptions!$H$240,Assumptions!$H$242,$C882),N893))),0)</f>
        <v>0</v>
      </c>
      <c r="P893" s="39">
        <f>+IFERROR(-ABS(IF(EDATE(_xlfn.XLOOKUP(1,$H880:$BE880,$H$4:$BE$4),12*Assumptions!$H$242+12)=P$4,0,IF(O880=1,PMT(Assumptions!$H$240,Assumptions!$H$242,$C882),O893))),0)</f>
        <v>0</v>
      </c>
      <c r="Q893" s="39">
        <f>+IFERROR(-ABS(IF(EDATE(_xlfn.XLOOKUP(1,$H880:$BE880,$H$4:$BE$4),12*Assumptions!$H$242+12)=Q$4,0,IF(P880=1,PMT(Assumptions!$H$240,Assumptions!$H$242,$C882),P893))),0)</f>
        <v>0</v>
      </c>
      <c r="R893" s="39">
        <f>+IFERROR(-ABS(IF(EDATE(_xlfn.XLOOKUP(1,$H880:$BE880,$H$4:$BE$4),12*Assumptions!$H$242+12)=R$4,0,IF(Q880=1,PMT(Assumptions!$H$240,Assumptions!$H$242,$C882),Q893))),0)</f>
        <v>0</v>
      </c>
      <c r="S893" s="39">
        <f>+IFERROR(-ABS(IF(EDATE(_xlfn.XLOOKUP(1,$H880:$BE880,$H$4:$BE$4),12*Assumptions!$H$242+12)=S$4,0,IF(R880=1,PMT(Assumptions!$H$240,Assumptions!$H$242,$C882),R893))),0)</f>
        <v>0</v>
      </c>
      <c r="T893" s="39">
        <f>+IFERROR(-ABS(IF(EDATE(_xlfn.XLOOKUP(1,$H880:$BE880,$H$4:$BE$4),12*Assumptions!$H$242+12)=T$4,0,IF(S880=1,PMT(Assumptions!$H$240,Assumptions!$H$242,$C882),S893))),0)</f>
        <v>0</v>
      </c>
      <c r="U893" s="39">
        <f>+IFERROR(-ABS(IF(EDATE(_xlfn.XLOOKUP(1,$H880:$BE880,$H$4:$BE$4),12*Assumptions!$H$242+12)=U$4,0,IF(T880=1,PMT(Assumptions!$H$240,Assumptions!$H$242,$C882),T893))),0)</f>
        <v>0</v>
      </c>
      <c r="V893" s="39">
        <f>+IFERROR(-ABS(IF(EDATE(_xlfn.XLOOKUP(1,$H880:$BE880,$H$4:$BE$4),12*Assumptions!$H$242+12)=V$4,0,IF(U880=1,PMT(Assumptions!$H$240,Assumptions!$H$242,$C882),U893))),0)</f>
        <v>0</v>
      </c>
      <c r="W893" s="39">
        <f>+IFERROR(-ABS(IF(EDATE(_xlfn.XLOOKUP(1,$H880:$BE880,$H$4:$BE$4),12*Assumptions!$H$242+12)=W$4,0,IF(V880=1,PMT(Assumptions!$H$240,Assumptions!$H$242,$C882),V893))),0)</f>
        <v>0</v>
      </c>
      <c r="X893" s="39">
        <f>+IFERROR(-ABS(IF(EDATE(_xlfn.XLOOKUP(1,$H880:$BE880,$H$4:$BE$4),12*Assumptions!$H$242+12)=X$4,0,IF(W880=1,PMT(Assumptions!$H$240,Assumptions!$H$242,$C882),W893))),0)</f>
        <v>0</v>
      </c>
      <c r="Y893" s="39">
        <f>+IFERROR(-ABS(IF(EDATE(_xlfn.XLOOKUP(1,$H880:$BE880,$H$4:$BE$4),12*Assumptions!$H$242+12)=Y$4,0,IF(X880=1,PMT(Assumptions!$H$240,Assumptions!$H$242,$C882),X893))),0)</f>
        <v>0</v>
      </c>
      <c r="Z893" s="39">
        <f>+IFERROR(-ABS(IF(EDATE(_xlfn.XLOOKUP(1,$H880:$BE880,$H$4:$BE$4),12*Assumptions!$H$242+12)=Z$4,0,IF(Y880=1,PMT(Assumptions!$H$240,Assumptions!$H$242,$C882),Y893))),0)</f>
        <v>0</v>
      </c>
      <c r="AA893" s="39">
        <f>+IFERROR(-ABS(IF(EDATE(_xlfn.XLOOKUP(1,$H880:$BE880,$H$4:$BE$4),12*Assumptions!$H$242+12)=AA$4,0,IF(Z880=1,PMT(Assumptions!$H$240,Assumptions!$H$242,$C882),Z893))),0)</f>
        <v>0</v>
      </c>
      <c r="AB893" s="39">
        <f>+IFERROR(-ABS(IF(EDATE(_xlfn.XLOOKUP(1,$H880:$BE880,$H$4:$BE$4),12*Assumptions!$H$242+12)=AB$4,0,IF(AA880=1,PMT(Assumptions!$H$240,Assumptions!$H$242,$C882),AA893))),0)</f>
        <v>0</v>
      </c>
      <c r="AC893" s="39">
        <f>+IFERROR(-ABS(IF(EDATE(_xlfn.XLOOKUP(1,$H880:$BE880,$H$4:$BE$4),12*Assumptions!$H$242+12)=AC$4,0,IF(AB880=1,PMT(Assumptions!$H$240,Assumptions!$H$242,$C882),AB893))),0)</f>
        <v>0</v>
      </c>
      <c r="AD893" s="39">
        <f>+IFERROR(-ABS(IF(EDATE(_xlfn.XLOOKUP(1,$H880:$BE880,$H$4:$BE$4),12*Assumptions!$H$242+12)=AD$4,0,IF(AC880=1,PMT(Assumptions!$H$240,Assumptions!$H$242,$C882),AC893))),0)</f>
        <v>0</v>
      </c>
      <c r="AE893" s="39">
        <f>+IFERROR(-ABS(IF(EDATE(_xlfn.XLOOKUP(1,$H880:$BE880,$H$4:$BE$4),12*Assumptions!$H$242+12)=AE$4,0,IF(AD880=1,PMT(Assumptions!$H$240,Assumptions!$H$242,$C882),AD893))),0)</f>
        <v>0</v>
      </c>
      <c r="AF893" s="39">
        <f>+IFERROR(-ABS(IF(EDATE(_xlfn.XLOOKUP(1,$H880:$BE880,$H$4:$BE$4),12*Assumptions!$H$242+12)=AF$4,0,IF(AE880=1,PMT(Assumptions!$H$240,Assumptions!$H$242,$C882),AE893))),0)</f>
        <v>0</v>
      </c>
      <c r="AG893" s="39">
        <f>+IFERROR(-ABS(IF(EDATE(_xlfn.XLOOKUP(1,$H880:$BE880,$H$4:$BE$4),12*Assumptions!$H$242+12)=AG$4,0,IF(AF880=1,PMT(Assumptions!$H$240,Assumptions!$H$242,$C882),AF893))),0)</f>
        <v>0</v>
      </c>
      <c r="AH893" s="39">
        <f>+IFERROR(-ABS(IF(EDATE(_xlfn.XLOOKUP(1,$H880:$BE880,$H$4:$BE$4),12*Assumptions!$H$242+12)=AH$4,0,IF(AG880=1,PMT(Assumptions!$H$240,Assumptions!$H$242,$C882),AG893))),0)</f>
        <v>0</v>
      </c>
      <c r="AI893" s="39">
        <f>+IFERROR(-ABS(IF(EDATE(_xlfn.XLOOKUP(1,$H880:$BE880,$H$4:$BE$4),12*Assumptions!$H$242+12)=AI$4,0,IF(AH880=1,PMT(Assumptions!$H$240,Assumptions!$H$242,$C882),AH893))),0)</f>
        <v>0</v>
      </c>
      <c r="AJ893" s="39">
        <f>+IFERROR(-ABS(IF(EDATE(_xlfn.XLOOKUP(1,$H880:$BE880,$H$4:$BE$4),12*Assumptions!$H$242+12)=AJ$4,0,IF(AI880=1,PMT(Assumptions!$H$240,Assumptions!$H$242,$C882),AI893))),0)</f>
        <v>0</v>
      </c>
      <c r="AK893" s="39">
        <f>+IFERROR(-ABS(IF(EDATE(_xlfn.XLOOKUP(1,$H880:$BE880,$H$4:$BE$4),12*Assumptions!$H$242+12)=AK$4,0,IF(AJ880=1,PMT(Assumptions!$H$240,Assumptions!$H$242,$C882),AJ893))),0)</f>
        <v>0</v>
      </c>
      <c r="AL893" s="39">
        <f>+IFERROR(-ABS(IF(EDATE(_xlfn.XLOOKUP(1,$H880:$BE880,$H$4:$BE$4),12*Assumptions!$H$242+12)=AL$4,0,IF(AK880=1,PMT(Assumptions!$H$240,Assumptions!$H$242,$C882),AK893))),0)</f>
        <v>0</v>
      </c>
      <c r="AM893" s="39">
        <f>+IFERROR(-ABS(IF(EDATE(_xlfn.XLOOKUP(1,$H880:$BE880,$H$4:$BE$4),12*Assumptions!$H$242+12)=AM$4,0,IF(AL880=1,PMT(Assumptions!$H$240,Assumptions!$H$242,$C882),AL893))),0)</f>
        <v>0</v>
      </c>
      <c r="AN893" s="39">
        <f>+IFERROR(-ABS(IF(EDATE(_xlfn.XLOOKUP(1,$H880:$BE880,$H$4:$BE$4),12*Assumptions!$H$242+12)=AN$4,0,IF(AM880=1,PMT(Assumptions!$H$240,Assumptions!$H$242,$C882),AM893))),0)</f>
        <v>0</v>
      </c>
      <c r="AO893" s="39">
        <f>+IFERROR(-ABS(IF(EDATE(_xlfn.XLOOKUP(1,$H880:$BE880,$H$4:$BE$4),12*Assumptions!$H$242+12)=AO$4,0,IF(AN880=1,PMT(Assumptions!$H$240,Assumptions!$H$242,$C882),AN893))),0)</f>
        <v>0</v>
      </c>
      <c r="AP893" s="39">
        <f>+IFERROR(-ABS(IF(EDATE(_xlfn.XLOOKUP(1,$H880:$BE880,$H$4:$BE$4),12*Assumptions!$H$242+12)=AP$4,0,IF(AO880=1,PMT(Assumptions!$H$240,Assumptions!$H$242,$C882),AO893))),0)</f>
        <v>0</v>
      </c>
      <c r="AQ893" s="39">
        <f>+IFERROR(-ABS(IF(EDATE(_xlfn.XLOOKUP(1,$H880:$BE880,$H$4:$BE$4),12*Assumptions!$H$242+12)=AQ$4,0,IF(AP880=1,PMT(Assumptions!$H$240,Assumptions!$H$242,$C882),AP893))),0)</f>
        <v>0</v>
      </c>
      <c r="AR893" s="39">
        <f>+IFERROR(-ABS(IF(EDATE(_xlfn.XLOOKUP(1,$H880:$BE880,$H$4:$BE$4),12*Assumptions!$H$242+12)=AR$4,0,IF(AQ880=1,PMT(Assumptions!$H$240,Assumptions!$H$242,$C882),AQ893))),0)</f>
        <v>0</v>
      </c>
      <c r="AS893" s="39">
        <f>+IFERROR(-ABS(IF(EDATE(_xlfn.XLOOKUP(1,$H880:$BE880,$H$4:$BE$4),12*Assumptions!$H$242+12)=AS$4,0,IF(AR880=1,PMT(Assumptions!$H$240,Assumptions!$H$242,$C882),AR893))),0)</f>
        <v>0</v>
      </c>
      <c r="AT893" s="39">
        <f>+IFERROR(-ABS(IF(EDATE(_xlfn.XLOOKUP(1,$H880:$BE880,$H$4:$BE$4),12*Assumptions!$H$242+12)=AT$4,0,IF(AS880=1,PMT(Assumptions!$H$240,Assumptions!$H$242,$C882),AS893))),0)</f>
        <v>0</v>
      </c>
      <c r="AU893" s="39">
        <f>+IFERROR(-ABS(IF(EDATE(_xlfn.XLOOKUP(1,$H880:$BE880,$H$4:$BE$4),12*Assumptions!$H$242+12)=AU$4,0,IF(AT880=1,PMT(Assumptions!$H$240,Assumptions!$H$242,$C882),AT893))),0)</f>
        <v>0</v>
      </c>
      <c r="AV893" s="39">
        <f>+IFERROR(-ABS(IF(EDATE(_xlfn.XLOOKUP(1,$H880:$BE880,$H$4:$BE$4),12*Assumptions!$H$242+12)=AV$4,0,IF(AU880=1,PMT(Assumptions!$H$240,Assumptions!$H$242,$C882),AU893))),0)</f>
        <v>0</v>
      </c>
      <c r="AW893" s="39">
        <f>+IFERROR(-ABS(IF(EDATE(_xlfn.XLOOKUP(1,$H880:$BE880,$H$4:$BE$4),12*Assumptions!$H$242+12)=AW$4,0,IF(AV880=1,PMT(Assumptions!$H$240,Assumptions!$H$242,$C882),AV893))),0)</f>
        <v>0</v>
      </c>
      <c r="AX893" s="39">
        <f>+IFERROR(-ABS(IF(EDATE(_xlfn.XLOOKUP(1,$H880:$BE880,$H$4:$BE$4),12*Assumptions!$H$242+12)=AX$4,0,IF(AW880=1,PMT(Assumptions!$H$240,Assumptions!$H$242,$C882),AW893))),0)</f>
        <v>0</v>
      </c>
      <c r="AY893" s="39">
        <f>+IFERROR(-ABS(IF(EDATE(_xlfn.XLOOKUP(1,$H880:$BE880,$H$4:$BE$4),12*Assumptions!$H$242+12)=AY$4,0,IF(AX880=1,PMT(Assumptions!$H$240,Assumptions!$H$242,$C882),AX893))),0)</f>
        <v>0</v>
      </c>
      <c r="AZ893" s="39">
        <f>+IFERROR(-ABS(IF(EDATE(_xlfn.XLOOKUP(1,$H880:$BE880,$H$4:$BE$4),12*Assumptions!$H$242+12)=AZ$4,0,IF(AY880=1,PMT(Assumptions!$H$240,Assumptions!$H$242,$C882),AY893))),0)</f>
        <v>0</v>
      </c>
      <c r="BA893" s="39">
        <f>+IFERROR(-ABS(IF(EDATE(_xlfn.XLOOKUP(1,$H880:$BE880,$H$4:$BE$4),12*Assumptions!$H$242+12)=BA$4,0,IF(AZ880=1,PMT(Assumptions!$H$240,Assumptions!$H$242,$C882),AZ893))),0)</f>
        <v>0</v>
      </c>
      <c r="BB893" s="39">
        <f>+IFERROR(-ABS(IF(EDATE(_xlfn.XLOOKUP(1,$H880:$BE880,$H$4:$BE$4),12*Assumptions!$H$242+12)=BB$4,0,IF(BA880=1,PMT(Assumptions!$H$240,Assumptions!$H$242,$C882),BA893))),0)</f>
        <v>0</v>
      </c>
      <c r="BC893" s="39">
        <f>+IFERROR(-ABS(IF(EDATE(_xlfn.XLOOKUP(1,$H880:$BE880,$H$4:$BE$4),12*Assumptions!$H$242+12)=BC$4,0,IF(BB880=1,PMT(Assumptions!$H$240,Assumptions!$H$242,$C882),BB893))),0)</f>
        <v>0</v>
      </c>
      <c r="BD893" s="39">
        <f>+IFERROR(-ABS(IF(EDATE(_xlfn.XLOOKUP(1,$H880:$BE880,$H$4:$BE$4),12*Assumptions!$H$242+12)=BD$4,0,IF(BC880=1,PMT(Assumptions!$H$240,Assumptions!$H$242,$C882),BC893))),0)</f>
        <v>0</v>
      </c>
      <c r="BE893" s="39">
        <f>+IFERROR(-ABS(IF(EDATE(_xlfn.XLOOKUP(1,$H880:$BE880,$H$4:$BE$4),12*Assumptions!$H$242+12)=BE$4,0,IF(BD880=1,PMT(Assumptions!$H$240,Assumptions!$H$242,$C882),BD893))),0)</f>
        <v>0</v>
      </c>
      <c r="BF893" s="39">
        <f>+IFERROR(-ABS(IF(EDATE(_xlfn.XLOOKUP(1,$H880:$BE880,$H$4:$BE$4),12*Assumptions!$H$242+12)=BF$4,0,IF(BE880=1,PMT(Assumptions!$H$240,Assumptions!$H$242,$C882),BE893))),0)</f>
        <v>0</v>
      </c>
      <c r="BG893" s="39">
        <f>+IFERROR(-ABS(IF(EDATE(_xlfn.XLOOKUP(1,$H880:$BE880,$H$4:$BE$4),12*Assumptions!$H$242+12)=BG$4,0,IF(BF880=1,PMT(Assumptions!$H$240,Assumptions!$H$242,$C882),BF893))),0)</f>
        <v>0</v>
      </c>
      <c r="BH893" s="39">
        <f>+IFERROR(-ABS(IF(EDATE(_xlfn.XLOOKUP(1,$H880:$BE880,$H$4:$BE$4),12*Assumptions!$H$242+12)=BH$4,0,IF(BG880=1,PMT(Assumptions!$H$240,Assumptions!$H$242,$C882),BG893))),0)</f>
        <v>0</v>
      </c>
      <c r="BI893" s="39">
        <f>+IFERROR(-ABS(IF(EDATE(_xlfn.XLOOKUP(1,$H880:$BE880,$H$4:$BE$4),12*Assumptions!$H$242+12)=BI$4,0,IF(BH880=1,PMT(Assumptions!$H$240,Assumptions!$H$242,$C882),BH893))),0)</f>
        <v>0</v>
      </c>
      <c r="BJ893" s="39">
        <f>+IFERROR(-ABS(IF(EDATE(_xlfn.XLOOKUP(1,$H880:$BE880,$H$4:$BE$4),12*Assumptions!$H$242+12)=BJ$4,0,IF(BI880=1,PMT(Assumptions!$H$240,Assumptions!$H$242,$C882),BI893))),0)</f>
        <v>0</v>
      </c>
      <c r="BK893" s="39">
        <f>+IFERROR(-ABS(IF(EDATE(_xlfn.XLOOKUP(1,$H880:$BE880,$H$4:$BE$4),12*Assumptions!$H$242+12)=BK$4,0,IF(BJ880=1,PMT(Assumptions!$H$240,Assumptions!$H$242,$C882),BJ893))),0)</f>
        <v>0</v>
      </c>
      <c r="BL893" s="39">
        <f>+IFERROR(-ABS(IF(EDATE(_xlfn.XLOOKUP(1,$H880:$BE880,$H$4:$BE$4),12*Assumptions!$H$242+12)=BL$4,0,IF(BK880=1,PMT(Assumptions!$H$240,Assumptions!$H$242,$C882),BK893))),0)</f>
        <v>0</v>
      </c>
      <c r="BM893" s="39">
        <f>+IFERROR(-ABS(IF(EDATE(_xlfn.XLOOKUP(1,$H880:$BE880,$H$4:$BE$4),12*Assumptions!$H$242+12)=BM$4,0,IF(BL880=1,PMT(Assumptions!$H$240,Assumptions!$H$242,$C882),BL893))),0)</f>
        <v>0</v>
      </c>
      <c r="BN893" s="39">
        <f>+IFERROR(-ABS(IF(EDATE(_xlfn.XLOOKUP(1,$H880:$BE880,$H$4:$BE$4),12*Assumptions!$H$242+12)=BN$4,0,IF(BM880=1,PMT(Assumptions!$H$240,Assumptions!$H$242,$C882),BM893))),0)</f>
        <v>0</v>
      </c>
      <c r="BO893" s="39">
        <f>+IFERROR(-ABS(IF(EDATE(_xlfn.XLOOKUP(1,$H880:$BE880,$H$4:$BE$4),12*Assumptions!$H$242+12)=BO$4,0,IF(BN880=1,PMT(Assumptions!$H$240,Assumptions!$H$242,$C882),BN893))),0)</f>
        <v>0</v>
      </c>
      <c r="BP893" s="39">
        <f>+IFERROR(-ABS(IF(EDATE(_xlfn.XLOOKUP(1,$H880:$BE880,$H$4:$BE$4),12*Assumptions!$H$242+12)=BP$4,0,IF(BO880=1,PMT(Assumptions!$H$240,Assumptions!$H$242,$C882),BO893))),0)</f>
        <v>0</v>
      </c>
      <c r="BQ893" s="39">
        <f>+IFERROR(-ABS(IF(EDATE(_xlfn.XLOOKUP(1,$H880:$BE880,$H$4:$BE$4),12*Assumptions!$H$242+12)=BQ$4,0,IF(BP880=1,PMT(Assumptions!$H$240,Assumptions!$H$242,$C882),BP893))),0)</f>
        <v>0</v>
      </c>
      <c r="BR893" s="39">
        <f>+IFERROR(-ABS(IF(EDATE(_xlfn.XLOOKUP(1,$H880:$BE880,$H$4:$BE$4),12*Assumptions!$H$242+12)=BR$4,0,IF(BQ880=1,PMT(Assumptions!$H$240,Assumptions!$H$242,$C882),BQ893))),0)</f>
        <v>0</v>
      </c>
      <c r="BS893" s="39">
        <f>+IFERROR(-ABS(IF(EDATE(_xlfn.XLOOKUP(1,$H880:$BE880,$H$4:$BE$4),12*Assumptions!$H$242+12)=BS$4,0,IF(BR880=1,PMT(Assumptions!$H$240,Assumptions!$H$242,$C882),BR893))),0)</f>
        <v>0</v>
      </c>
      <c r="BT893" s="39">
        <f>+IFERROR(-ABS(IF(EDATE(_xlfn.XLOOKUP(1,$H880:$BE880,$H$4:$BE$4),12*Assumptions!$H$242+12)=BT$4,0,IF(BS880=1,PMT(Assumptions!$H$240,Assumptions!$H$242,$C882),BS893))),0)</f>
        <v>0</v>
      </c>
      <c r="BU893" s="39">
        <f>+IFERROR(-ABS(IF(EDATE(_xlfn.XLOOKUP(1,$H880:$BE880,$H$4:$BE$4),12*Assumptions!$H$242+12)=BU$4,0,IF(BT880=1,PMT(Assumptions!$H$240,Assumptions!$H$242,$C882),BT893))),0)</f>
        <v>0</v>
      </c>
      <c r="BV893" s="39">
        <f>+IFERROR(-ABS(IF(EDATE(_xlfn.XLOOKUP(1,$H880:$BE880,$H$4:$BE$4),12*Assumptions!$H$242+12)=BV$4,0,IF(BU880=1,PMT(Assumptions!$H$240,Assumptions!$H$242,$C882),BU893))),0)</f>
        <v>0</v>
      </c>
      <c r="BW893" s="39">
        <f>+IFERROR(-ABS(IF(EDATE(_xlfn.XLOOKUP(1,$H880:$BE880,$H$4:$BE$4),12*Assumptions!$H$242+12)=BW$4,0,IF(BV880=1,PMT(Assumptions!$H$240,Assumptions!$H$242,$C882),BV893))),0)</f>
        <v>0</v>
      </c>
      <c r="BX893" s="39">
        <f>+IFERROR(-ABS(IF(EDATE(_xlfn.XLOOKUP(1,$H880:$BE880,$H$4:$BE$4),12*Assumptions!$H$242+12)=BX$4,0,IF(BW880=1,PMT(Assumptions!$H$240,Assumptions!$H$242,$C882),BW893))),0)</f>
        <v>0</v>
      </c>
      <c r="BY893" s="39">
        <f>+IFERROR(-ABS(IF(EDATE(_xlfn.XLOOKUP(1,$H880:$BE880,$H$4:$BE$4),12*Assumptions!$H$242+12)=BY$4,0,IF(BX880=1,PMT(Assumptions!$H$240,Assumptions!$H$242,$C882),BX893))),0)</f>
        <v>0</v>
      </c>
    </row>
    <row r="894" spans="5:77" outlineLevel="1">
      <c r="E894" s="24" t="s">
        <v>523</v>
      </c>
      <c r="F894" s="80" t="str">
        <f>+Assumptions!$G$8</f>
        <v>USD</v>
      </c>
      <c r="G894" s="24"/>
      <c r="H894" s="39">
        <f>+IFERROR(-ABS(IF(EDATE(_xlfn.XLOOKUP(1,$H881:$BE881,$H$4:$BE$4),12*Assumptions!$H$242+12)=H$4,0,IF(G881=1,PMT(Assumptions!$H$240,Assumptions!$H$242,$C883),G894))),0)</f>
        <v>0</v>
      </c>
      <c r="I894" s="39">
        <f>+IFERROR(-ABS(IF(EDATE(_xlfn.XLOOKUP(1,$H881:$BE881,$H$4:$BE$4),12*Assumptions!$H$242+12)=I$4,0,IF(H881=1,PMT(Assumptions!$H$240,Assumptions!$H$242,$C883),H894))),0)</f>
        <v>0</v>
      </c>
      <c r="J894" s="39">
        <f>+IFERROR(-ABS(IF(EDATE(_xlfn.XLOOKUP(1,$H881:$BE881,$H$4:$BE$4),12*Assumptions!$H$242+12)=J$4,0,IF(I881=1,PMT(Assumptions!$H$240,Assumptions!$H$242,$C883),I894))),0)</f>
        <v>0</v>
      </c>
      <c r="K894" s="39">
        <f>+IFERROR(-ABS(IF(EDATE(_xlfn.XLOOKUP(1,$H881:$BE881,$H$4:$BE$4),12*Assumptions!$H$242+12)=K$4,0,IF(J881=1,PMT(Assumptions!$H$240,Assumptions!$H$242,$C883),J894))),0)</f>
        <v>0</v>
      </c>
      <c r="L894" s="39">
        <f>+IFERROR(-ABS(IF(EDATE(_xlfn.XLOOKUP(1,$H881:$BE881,$H$4:$BE$4),12*Assumptions!$H$242+12)=L$4,0,IF(K881=1,PMT(Assumptions!$H$240,Assumptions!$H$242,$C883),K894))),0)</f>
        <v>0</v>
      </c>
      <c r="M894" s="39">
        <f>+IFERROR(-ABS(IF(EDATE(_xlfn.XLOOKUP(1,$H881:$BE881,$H$4:$BE$4),12*Assumptions!$H$242+12)=M$4,0,IF(L881=1,PMT(Assumptions!$H$240,Assumptions!$H$242,$C883),L894))),0)</f>
        <v>0</v>
      </c>
      <c r="N894" s="39">
        <f>+IFERROR(-ABS(IF(EDATE(_xlfn.XLOOKUP(1,$H881:$BE881,$H$4:$BE$4),12*Assumptions!$H$242+12)=N$4,0,IF(M881=1,PMT(Assumptions!$H$240,Assumptions!$H$242,$C883),M894))),0)</f>
        <v>0</v>
      </c>
      <c r="O894" s="39">
        <f>+IFERROR(-ABS(IF(EDATE(_xlfn.XLOOKUP(1,$H881:$BE881,$H$4:$BE$4),12*Assumptions!$H$242+12)=O$4,0,IF(N881=1,PMT(Assumptions!$H$240,Assumptions!$H$242,$C883),N894))),0)</f>
        <v>0</v>
      </c>
      <c r="P894" s="39">
        <f>+IFERROR(-ABS(IF(EDATE(_xlfn.XLOOKUP(1,$H881:$BE881,$H$4:$BE$4),12*Assumptions!$H$242+12)=P$4,0,IF(O881=1,PMT(Assumptions!$H$240,Assumptions!$H$242,$C883),O894))),0)</f>
        <v>0</v>
      </c>
      <c r="Q894" s="39">
        <f>+IFERROR(-ABS(IF(EDATE(_xlfn.XLOOKUP(1,$H881:$BE881,$H$4:$BE$4),12*Assumptions!$H$242+12)=Q$4,0,IF(P881=1,PMT(Assumptions!$H$240,Assumptions!$H$242,$C883),P894))),0)</f>
        <v>0</v>
      </c>
      <c r="R894" s="39">
        <f>+IFERROR(-ABS(IF(EDATE(_xlfn.XLOOKUP(1,$H881:$BE881,$H$4:$BE$4),12*Assumptions!$H$242+12)=R$4,0,IF(Q881=1,PMT(Assumptions!$H$240,Assumptions!$H$242,$C883),Q894))),0)</f>
        <v>0</v>
      </c>
      <c r="S894" s="39">
        <f>+IFERROR(-ABS(IF(EDATE(_xlfn.XLOOKUP(1,$H881:$BE881,$H$4:$BE$4),12*Assumptions!$H$242+12)=S$4,0,IF(R881=1,PMT(Assumptions!$H$240,Assumptions!$H$242,$C883),R894))),0)</f>
        <v>0</v>
      </c>
      <c r="T894" s="39">
        <f>+IFERROR(-ABS(IF(EDATE(_xlfn.XLOOKUP(1,$H881:$BE881,$H$4:$BE$4),12*Assumptions!$H$242+12)=T$4,0,IF(S881=1,PMT(Assumptions!$H$240,Assumptions!$H$242,$C883),S894))),0)</f>
        <v>0</v>
      </c>
      <c r="U894" s="39">
        <f>+IFERROR(-ABS(IF(EDATE(_xlfn.XLOOKUP(1,$H881:$BE881,$H$4:$BE$4),12*Assumptions!$H$242+12)=U$4,0,IF(T881=1,PMT(Assumptions!$H$240,Assumptions!$H$242,$C883),T894))),0)</f>
        <v>0</v>
      </c>
      <c r="V894" s="39">
        <f>+IFERROR(-ABS(IF(EDATE(_xlfn.XLOOKUP(1,$H881:$BE881,$H$4:$BE$4),12*Assumptions!$H$242+12)=V$4,0,IF(U881=1,PMT(Assumptions!$H$240,Assumptions!$H$242,$C883),U894))),0)</f>
        <v>0</v>
      </c>
      <c r="W894" s="39">
        <f>+IFERROR(-ABS(IF(EDATE(_xlfn.XLOOKUP(1,$H881:$BE881,$H$4:$BE$4),12*Assumptions!$H$242+12)=W$4,0,IF(V881=1,PMT(Assumptions!$H$240,Assumptions!$H$242,$C883),V894))),0)</f>
        <v>0</v>
      </c>
      <c r="X894" s="39">
        <f>+IFERROR(-ABS(IF(EDATE(_xlfn.XLOOKUP(1,$H881:$BE881,$H$4:$BE$4),12*Assumptions!$H$242+12)=X$4,0,IF(W881=1,PMT(Assumptions!$H$240,Assumptions!$H$242,$C883),W894))),0)</f>
        <v>0</v>
      </c>
      <c r="Y894" s="39">
        <f>+IFERROR(-ABS(IF(EDATE(_xlfn.XLOOKUP(1,$H881:$BE881,$H$4:$BE$4),12*Assumptions!$H$242+12)=Y$4,0,IF(X881=1,PMT(Assumptions!$H$240,Assumptions!$H$242,$C883),X894))),0)</f>
        <v>0</v>
      </c>
      <c r="Z894" s="39">
        <f>+IFERROR(-ABS(IF(EDATE(_xlfn.XLOOKUP(1,$H881:$BE881,$H$4:$BE$4),12*Assumptions!$H$242+12)=Z$4,0,IF(Y881=1,PMT(Assumptions!$H$240,Assumptions!$H$242,$C883),Y894))),0)</f>
        <v>0</v>
      </c>
      <c r="AA894" s="39">
        <f>+IFERROR(-ABS(IF(EDATE(_xlfn.XLOOKUP(1,$H881:$BE881,$H$4:$BE$4),12*Assumptions!$H$242+12)=AA$4,0,IF(Z881=1,PMT(Assumptions!$H$240,Assumptions!$H$242,$C883),Z894))),0)</f>
        <v>0</v>
      </c>
      <c r="AB894" s="39">
        <f>+IFERROR(-ABS(IF(EDATE(_xlfn.XLOOKUP(1,$H881:$BE881,$H$4:$BE$4),12*Assumptions!$H$242+12)=AB$4,0,IF(AA881=1,PMT(Assumptions!$H$240,Assumptions!$H$242,$C883),AA894))),0)</f>
        <v>0</v>
      </c>
      <c r="AC894" s="39">
        <f>+IFERROR(-ABS(IF(EDATE(_xlfn.XLOOKUP(1,$H881:$BE881,$H$4:$BE$4),12*Assumptions!$H$242+12)=AC$4,0,IF(AB881=1,PMT(Assumptions!$H$240,Assumptions!$H$242,$C883),AB894))),0)</f>
        <v>0</v>
      </c>
      <c r="AD894" s="39">
        <f>+IFERROR(-ABS(IF(EDATE(_xlfn.XLOOKUP(1,$H881:$BE881,$H$4:$BE$4),12*Assumptions!$H$242+12)=AD$4,0,IF(AC881=1,PMT(Assumptions!$H$240,Assumptions!$H$242,$C883),AC894))),0)</f>
        <v>0</v>
      </c>
      <c r="AE894" s="39">
        <f>+IFERROR(-ABS(IF(EDATE(_xlfn.XLOOKUP(1,$H881:$BE881,$H$4:$BE$4),12*Assumptions!$H$242+12)=AE$4,0,IF(AD881=1,PMT(Assumptions!$H$240,Assumptions!$H$242,$C883),AD894))),0)</f>
        <v>0</v>
      </c>
      <c r="AF894" s="39">
        <f>+IFERROR(-ABS(IF(EDATE(_xlfn.XLOOKUP(1,$H881:$BE881,$H$4:$BE$4),12*Assumptions!$H$242+12)=AF$4,0,IF(AE881=1,PMT(Assumptions!$H$240,Assumptions!$H$242,$C883),AE894))),0)</f>
        <v>0</v>
      </c>
      <c r="AG894" s="39">
        <f>+IFERROR(-ABS(IF(EDATE(_xlfn.XLOOKUP(1,$H881:$BE881,$H$4:$BE$4),12*Assumptions!$H$242+12)=AG$4,0,IF(AF881=1,PMT(Assumptions!$H$240,Assumptions!$H$242,$C883),AF894))),0)</f>
        <v>0</v>
      </c>
      <c r="AH894" s="39">
        <f>+IFERROR(-ABS(IF(EDATE(_xlfn.XLOOKUP(1,$H881:$BE881,$H$4:$BE$4),12*Assumptions!$H$242+12)=AH$4,0,IF(AG881=1,PMT(Assumptions!$H$240,Assumptions!$H$242,$C883),AG894))),0)</f>
        <v>0</v>
      </c>
      <c r="AI894" s="39">
        <f>+IFERROR(-ABS(IF(EDATE(_xlfn.XLOOKUP(1,$H881:$BE881,$H$4:$BE$4),12*Assumptions!$H$242+12)=AI$4,0,IF(AH881=1,PMT(Assumptions!$H$240,Assumptions!$H$242,$C883),AH894))),0)</f>
        <v>0</v>
      </c>
      <c r="AJ894" s="39">
        <f>+IFERROR(-ABS(IF(EDATE(_xlfn.XLOOKUP(1,$H881:$BE881,$H$4:$BE$4),12*Assumptions!$H$242+12)=AJ$4,0,IF(AI881=1,PMT(Assumptions!$H$240,Assumptions!$H$242,$C883),AI894))),0)</f>
        <v>0</v>
      </c>
      <c r="AK894" s="39">
        <f>+IFERROR(-ABS(IF(EDATE(_xlfn.XLOOKUP(1,$H881:$BE881,$H$4:$BE$4),12*Assumptions!$H$242+12)=AK$4,0,IF(AJ881=1,PMT(Assumptions!$H$240,Assumptions!$H$242,$C883),AJ894))),0)</f>
        <v>0</v>
      </c>
      <c r="AL894" s="39">
        <f>+IFERROR(-ABS(IF(EDATE(_xlfn.XLOOKUP(1,$H881:$BE881,$H$4:$BE$4),12*Assumptions!$H$242+12)=AL$4,0,IF(AK881=1,PMT(Assumptions!$H$240,Assumptions!$H$242,$C883),AK894))),0)</f>
        <v>0</v>
      </c>
      <c r="AM894" s="39">
        <f>+IFERROR(-ABS(IF(EDATE(_xlfn.XLOOKUP(1,$H881:$BE881,$H$4:$BE$4),12*Assumptions!$H$242+12)=AM$4,0,IF(AL881=1,PMT(Assumptions!$H$240,Assumptions!$H$242,$C883),AL894))),0)</f>
        <v>0</v>
      </c>
      <c r="AN894" s="39">
        <f>+IFERROR(-ABS(IF(EDATE(_xlfn.XLOOKUP(1,$H881:$BE881,$H$4:$BE$4),12*Assumptions!$H$242+12)=AN$4,0,IF(AM881=1,PMT(Assumptions!$H$240,Assumptions!$H$242,$C883),AM894))),0)</f>
        <v>0</v>
      </c>
      <c r="AO894" s="39">
        <f>+IFERROR(-ABS(IF(EDATE(_xlfn.XLOOKUP(1,$H881:$BE881,$H$4:$BE$4),12*Assumptions!$H$242+12)=AO$4,0,IF(AN881=1,PMT(Assumptions!$H$240,Assumptions!$H$242,$C883),AN894))),0)</f>
        <v>0</v>
      </c>
      <c r="AP894" s="39">
        <f>+IFERROR(-ABS(IF(EDATE(_xlfn.XLOOKUP(1,$H881:$BE881,$H$4:$BE$4),12*Assumptions!$H$242+12)=AP$4,0,IF(AO881=1,PMT(Assumptions!$H$240,Assumptions!$H$242,$C883),AO894))),0)</f>
        <v>0</v>
      </c>
      <c r="AQ894" s="39">
        <f>+IFERROR(-ABS(IF(EDATE(_xlfn.XLOOKUP(1,$H881:$BE881,$H$4:$BE$4),12*Assumptions!$H$242+12)=AQ$4,0,IF(AP881=1,PMT(Assumptions!$H$240,Assumptions!$H$242,$C883),AP894))),0)</f>
        <v>0</v>
      </c>
      <c r="AR894" s="39">
        <f>+IFERROR(-ABS(IF(EDATE(_xlfn.XLOOKUP(1,$H881:$BE881,$H$4:$BE$4),12*Assumptions!$H$242+12)=AR$4,0,IF(AQ881=1,PMT(Assumptions!$H$240,Assumptions!$H$242,$C883),AQ894))),0)</f>
        <v>0</v>
      </c>
      <c r="AS894" s="39">
        <f>+IFERROR(-ABS(IF(EDATE(_xlfn.XLOOKUP(1,$H881:$BE881,$H$4:$BE$4),12*Assumptions!$H$242+12)=AS$4,0,IF(AR881=1,PMT(Assumptions!$H$240,Assumptions!$H$242,$C883),AR894))),0)</f>
        <v>0</v>
      </c>
      <c r="AT894" s="39">
        <f>+IFERROR(-ABS(IF(EDATE(_xlfn.XLOOKUP(1,$H881:$BE881,$H$4:$BE$4),12*Assumptions!$H$242+12)=AT$4,0,IF(AS881=1,PMT(Assumptions!$H$240,Assumptions!$H$242,$C883),AS894))),0)</f>
        <v>0</v>
      </c>
      <c r="AU894" s="39">
        <f>+IFERROR(-ABS(IF(EDATE(_xlfn.XLOOKUP(1,$H881:$BE881,$H$4:$BE$4),12*Assumptions!$H$242+12)=AU$4,0,IF(AT881=1,PMT(Assumptions!$H$240,Assumptions!$H$242,$C883),AT894))),0)</f>
        <v>0</v>
      </c>
      <c r="AV894" s="39">
        <f>+IFERROR(-ABS(IF(EDATE(_xlfn.XLOOKUP(1,$H881:$BE881,$H$4:$BE$4),12*Assumptions!$H$242+12)=AV$4,0,IF(AU881=1,PMT(Assumptions!$H$240,Assumptions!$H$242,$C883),AU894))),0)</f>
        <v>0</v>
      </c>
      <c r="AW894" s="39">
        <f>+IFERROR(-ABS(IF(EDATE(_xlfn.XLOOKUP(1,$H881:$BE881,$H$4:$BE$4),12*Assumptions!$H$242+12)=AW$4,0,IF(AV881=1,PMT(Assumptions!$H$240,Assumptions!$H$242,$C883),AV894))),0)</f>
        <v>0</v>
      </c>
      <c r="AX894" s="39">
        <f>+IFERROR(-ABS(IF(EDATE(_xlfn.XLOOKUP(1,$H881:$BE881,$H$4:$BE$4),12*Assumptions!$H$242+12)=AX$4,0,IF(AW881=1,PMT(Assumptions!$H$240,Assumptions!$H$242,$C883),AW894))),0)</f>
        <v>0</v>
      </c>
      <c r="AY894" s="39">
        <f>+IFERROR(-ABS(IF(EDATE(_xlfn.XLOOKUP(1,$H881:$BE881,$H$4:$BE$4),12*Assumptions!$H$242+12)=AY$4,0,IF(AX881=1,PMT(Assumptions!$H$240,Assumptions!$H$242,$C883),AX894))),0)</f>
        <v>0</v>
      </c>
      <c r="AZ894" s="39">
        <f>+IFERROR(-ABS(IF(EDATE(_xlfn.XLOOKUP(1,$H881:$BE881,$H$4:$BE$4),12*Assumptions!$H$242+12)=AZ$4,0,IF(AY881=1,PMT(Assumptions!$H$240,Assumptions!$H$242,$C883),AY894))),0)</f>
        <v>0</v>
      </c>
      <c r="BA894" s="39">
        <f>+IFERROR(-ABS(IF(EDATE(_xlfn.XLOOKUP(1,$H881:$BE881,$H$4:$BE$4),12*Assumptions!$H$242+12)=BA$4,0,IF(AZ881=1,PMT(Assumptions!$H$240,Assumptions!$H$242,$C883),AZ894))),0)</f>
        <v>0</v>
      </c>
      <c r="BB894" s="39">
        <f>+IFERROR(-ABS(IF(EDATE(_xlfn.XLOOKUP(1,$H881:$BE881,$H$4:$BE$4),12*Assumptions!$H$242+12)=BB$4,0,IF(BA881=1,PMT(Assumptions!$H$240,Assumptions!$H$242,$C883),BA894))),0)</f>
        <v>0</v>
      </c>
      <c r="BC894" s="39">
        <f>+IFERROR(-ABS(IF(EDATE(_xlfn.XLOOKUP(1,$H881:$BE881,$H$4:$BE$4),12*Assumptions!$H$242+12)=BC$4,0,IF(BB881=1,PMT(Assumptions!$H$240,Assumptions!$H$242,$C883),BB894))),0)</f>
        <v>0</v>
      </c>
      <c r="BD894" s="39">
        <f>+IFERROR(-ABS(IF(EDATE(_xlfn.XLOOKUP(1,$H881:$BE881,$H$4:$BE$4),12*Assumptions!$H$242+12)=BD$4,0,IF(BC881=1,PMT(Assumptions!$H$240,Assumptions!$H$242,$C883),BC894))),0)</f>
        <v>0</v>
      </c>
      <c r="BE894" s="39">
        <f>+IFERROR(-ABS(IF(EDATE(_xlfn.XLOOKUP(1,$H881:$BE881,$H$4:$BE$4),12*Assumptions!$H$242+12)=BE$4,0,IF(BD881=1,PMT(Assumptions!$H$240,Assumptions!$H$242,$C883),BD894))),0)</f>
        <v>0</v>
      </c>
      <c r="BF894" s="39">
        <f>+IFERROR(-ABS(IF(EDATE(_xlfn.XLOOKUP(1,$H881:$BE881,$H$4:$BE$4),12*Assumptions!$H$242+12)=BF$4,0,IF(BE881=1,PMT(Assumptions!$H$240,Assumptions!$H$242,$C883),BE894))),0)</f>
        <v>0</v>
      </c>
      <c r="BG894" s="39">
        <f>+IFERROR(-ABS(IF(EDATE(_xlfn.XLOOKUP(1,$H881:$BE881,$H$4:$BE$4),12*Assumptions!$H$242+12)=BG$4,0,IF(BF881=1,PMT(Assumptions!$H$240,Assumptions!$H$242,$C883),BF894))),0)</f>
        <v>0</v>
      </c>
      <c r="BH894" s="39">
        <f>+IFERROR(-ABS(IF(EDATE(_xlfn.XLOOKUP(1,$H881:$BE881,$H$4:$BE$4),12*Assumptions!$H$242+12)=BH$4,0,IF(BG881=1,PMT(Assumptions!$H$240,Assumptions!$H$242,$C883),BG894))),0)</f>
        <v>0</v>
      </c>
      <c r="BI894" s="39">
        <f>+IFERROR(-ABS(IF(EDATE(_xlfn.XLOOKUP(1,$H881:$BE881,$H$4:$BE$4),12*Assumptions!$H$242+12)=BI$4,0,IF(BH881=1,PMT(Assumptions!$H$240,Assumptions!$H$242,$C883),BH894))),0)</f>
        <v>0</v>
      </c>
      <c r="BJ894" s="39">
        <f>+IFERROR(-ABS(IF(EDATE(_xlfn.XLOOKUP(1,$H881:$BE881,$H$4:$BE$4),12*Assumptions!$H$242+12)=BJ$4,0,IF(BI881=1,PMT(Assumptions!$H$240,Assumptions!$H$242,$C883),BI894))),0)</f>
        <v>0</v>
      </c>
      <c r="BK894" s="39">
        <f>+IFERROR(-ABS(IF(EDATE(_xlfn.XLOOKUP(1,$H881:$BE881,$H$4:$BE$4),12*Assumptions!$H$242+12)=BK$4,0,IF(BJ881=1,PMT(Assumptions!$H$240,Assumptions!$H$242,$C883),BJ894))),0)</f>
        <v>0</v>
      </c>
      <c r="BL894" s="39">
        <f>+IFERROR(-ABS(IF(EDATE(_xlfn.XLOOKUP(1,$H881:$BE881,$H$4:$BE$4),12*Assumptions!$H$242+12)=BL$4,0,IF(BK881=1,PMT(Assumptions!$H$240,Assumptions!$H$242,$C883),BK894))),0)</f>
        <v>0</v>
      </c>
      <c r="BM894" s="39">
        <f>+IFERROR(-ABS(IF(EDATE(_xlfn.XLOOKUP(1,$H881:$BE881,$H$4:$BE$4),12*Assumptions!$H$242+12)=BM$4,0,IF(BL881=1,PMT(Assumptions!$H$240,Assumptions!$H$242,$C883),BL894))),0)</f>
        <v>0</v>
      </c>
      <c r="BN894" s="39">
        <f>+IFERROR(-ABS(IF(EDATE(_xlfn.XLOOKUP(1,$H881:$BE881,$H$4:$BE$4),12*Assumptions!$H$242+12)=BN$4,0,IF(BM881=1,PMT(Assumptions!$H$240,Assumptions!$H$242,$C883),BM894))),0)</f>
        <v>0</v>
      </c>
      <c r="BO894" s="39">
        <f>+IFERROR(-ABS(IF(EDATE(_xlfn.XLOOKUP(1,$H881:$BE881,$H$4:$BE$4),12*Assumptions!$H$242+12)=BO$4,0,IF(BN881=1,PMT(Assumptions!$H$240,Assumptions!$H$242,$C883),BN894))),0)</f>
        <v>0</v>
      </c>
      <c r="BP894" s="39">
        <f>+IFERROR(-ABS(IF(EDATE(_xlfn.XLOOKUP(1,$H881:$BE881,$H$4:$BE$4),12*Assumptions!$H$242+12)=BP$4,0,IF(BO881=1,PMT(Assumptions!$H$240,Assumptions!$H$242,$C883),BO894))),0)</f>
        <v>0</v>
      </c>
      <c r="BQ894" s="39">
        <f>+IFERROR(-ABS(IF(EDATE(_xlfn.XLOOKUP(1,$H881:$BE881,$H$4:$BE$4),12*Assumptions!$H$242+12)=BQ$4,0,IF(BP881=1,PMT(Assumptions!$H$240,Assumptions!$H$242,$C883),BP894))),0)</f>
        <v>0</v>
      </c>
      <c r="BR894" s="39">
        <f>+IFERROR(-ABS(IF(EDATE(_xlfn.XLOOKUP(1,$H881:$BE881,$H$4:$BE$4),12*Assumptions!$H$242+12)=BR$4,0,IF(BQ881=1,PMT(Assumptions!$H$240,Assumptions!$H$242,$C883),BQ894))),0)</f>
        <v>0</v>
      </c>
      <c r="BS894" s="39">
        <f>+IFERROR(-ABS(IF(EDATE(_xlfn.XLOOKUP(1,$H881:$BE881,$H$4:$BE$4),12*Assumptions!$H$242+12)=BS$4,0,IF(BR881=1,PMT(Assumptions!$H$240,Assumptions!$H$242,$C883),BR894))),0)</f>
        <v>0</v>
      </c>
      <c r="BT894" s="39">
        <f>+IFERROR(-ABS(IF(EDATE(_xlfn.XLOOKUP(1,$H881:$BE881,$H$4:$BE$4),12*Assumptions!$H$242+12)=BT$4,0,IF(BS881=1,PMT(Assumptions!$H$240,Assumptions!$H$242,$C883),BS894))),0)</f>
        <v>0</v>
      </c>
      <c r="BU894" s="39">
        <f>+IFERROR(-ABS(IF(EDATE(_xlfn.XLOOKUP(1,$H881:$BE881,$H$4:$BE$4),12*Assumptions!$H$242+12)=BU$4,0,IF(BT881=1,PMT(Assumptions!$H$240,Assumptions!$H$242,$C883),BT894))),0)</f>
        <v>0</v>
      </c>
      <c r="BV894" s="39">
        <f>+IFERROR(-ABS(IF(EDATE(_xlfn.XLOOKUP(1,$H881:$BE881,$H$4:$BE$4),12*Assumptions!$H$242+12)=BV$4,0,IF(BU881=1,PMT(Assumptions!$H$240,Assumptions!$H$242,$C883),BU894))),0)</f>
        <v>0</v>
      </c>
      <c r="BW894" s="39">
        <f>+IFERROR(-ABS(IF(EDATE(_xlfn.XLOOKUP(1,$H881:$BE881,$H$4:$BE$4),12*Assumptions!$H$242+12)=BW$4,0,IF(BV881=1,PMT(Assumptions!$H$240,Assumptions!$H$242,$C883),BV894))),0)</f>
        <v>0</v>
      </c>
      <c r="BX894" s="39">
        <f>+IFERROR(-ABS(IF(EDATE(_xlfn.XLOOKUP(1,$H881:$BE881,$H$4:$BE$4),12*Assumptions!$H$242+12)=BX$4,0,IF(BW881=1,PMT(Assumptions!$H$240,Assumptions!$H$242,$C883),BW894))),0)</f>
        <v>0</v>
      </c>
      <c r="BY894" s="39">
        <f>+IFERROR(-ABS(IF(EDATE(_xlfn.XLOOKUP(1,$H881:$BE881,$H$4:$BE$4),12*Assumptions!$H$242+12)=BY$4,0,IF(BX881=1,PMT(Assumptions!$H$240,Assumptions!$H$242,$C883),BX894))),0)</f>
        <v>0</v>
      </c>
    </row>
    <row r="895" spans="5:77" outlineLevel="1">
      <c r="E895" s="24"/>
      <c r="F895" s="23"/>
      <c r="G895" s="24"/>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c r="AS895" s="39"/>
      <c r="AT895" s="39"/>
      <c r="AU895" s="39"/>
      <c r="AV895" s="39"/>
      <c r="AW895" s="39"/>
      <c r="AX895" s="39"/>
      <c r="AY895" s="39"/>
      <c r="AZ895" s="39"/>
      <c r="BA895" s="39"/>
      <c r="BB895" s="39"/>
      <c r="BC895" s="39"/>
      <c r="BD895" s="39"/>
      <c r="BE895" s="39"/>
      <c r="BF895" s="39"/>
      <c r="BG895" s="39"/>
      <c r="BH895" s="39"/>
      <c r="BI895" s="39"/>
      <c r="BJ895" s="39"/>
      <c r="BK895" s="39"/>
      <c r="BL895" s="39"/>
      <c r="BM895" s="39"/>
      <c r="BN895" s="39"/>
      <c r="BO895" s="39"/>
      <c r="BP895" s="39"/>
      <c r="BQ895" s="39"/>
      <c r="BR895" s="39"/>
      <c r="BS895" s="39"/>
      <c r="BT895" s="39"/>
      <c r="BU895" s="39"/>
      <c r="BV895" s="39"/>
      <c r="BW895" s="39"/>
      <c r="BX895" s="39"/>
      <c r="BY895" s="39"/>
    </row>
    <row r="896" spans="5:77" outlineLevel="1">
      <c r="E896" t="s">
        <v>524</v>
      </c>
      <c r="F896" s="80" t="str">
        <f>+Assumptions!$G$8</f>
        <v>USD</v>
      </c>
      <c r="H896" s="32">
        <f>MIN(+H868-H884+H882,0)</f>
        <v>0</v>
      </c>
      <c r="I896" s="32">
        <f t="shared" ref="I896:BT896" si="1894">MIN(+I868-I884+I882,0)</f>
        <v>0</v>
      </c>
      <c r="J896" s="32">
        <f t="shared" si="1894"/>
        <v>0</v>
      </c>
      <c r="K896" s="32">
        <f t="shared" si="1894"/>
        <v>0</v>
      </c>
      <c r="L896" s="32">
        <f t="shared" si="1894"/>
        <v>0</v>
      </c>
      <c r="M896" s="32">
        <f t="shared" si="1894"/>
        <v>0</v>
      </c>
      <c r="N896" s="32">
        <f t="shared" si="1894"/>
        <v>0</v>
      </c>
      <c r="O896" s="32">
        <f t="shared" si="1894"/>
        <v>0</v>
      </c>
      <c r="P896" s="32">
        <f t="shared" si="1894"/>
        <v>0</v>
      </c>
      <c r="Q896" s="32">
        <f t="shared" si="1894"/>
        <v>0</v>
      </c>
      <c r="R896" s="32">
        <f t="shared" si="1894"/>
        <v>0</v>
      </c>
      <c r="S896" s="32">
        <f t="shared" si="1894"/>
        <v>0</v>
      </c>
      <c r="T896" s="32">
        <f t="shared" si="1894"/>
        <v>0</v>
      </c>
      <c r="U896" s="32">
        <f t="shared" si="1894"/>
        <v>0</v>
      </c>
      <c r="V896" s="32">
        <f t="shared" si="1894"/>
        <v>0</v>
      </c>
      <c r="W896" s="32">
        <f t="shared" si="1894"/>
        <v>0</v>
      </c>
      <c r="X896" s="32">
        <f t="shared" si="1894"/>
        <v>0</v>
      </c>
      <c r="Y896" s="32">
        <f t="shared" si="1894"/>
        <v>0</v>
      </c>
      <c r="Z896" s="32">
        <f t="shared" si="1894"/>
        <v>0</v>
      </c>
      <c r="AA896" s="32">
        <f t="shared" si="1894"/>
        <v>0</v>
      </c>
      <c r="AB896" s="32">
        <f t="shared" si="1894"/>
        <v>0</v>
      </c>
      <c r="AC896" s="32">
        <f t="shared" si="1894"/>
        <v>0</v>
      </c>
      <c r="AD896" s="32">
        <f t="shared" si="1894"/>
        <v>0</v>
      </c>
      <c r="AE896" s="32">
        <f t="shared" si="1894"/>
        <v>0</v>
      </c>
      <c r="AF896" s="32">
        <f t="shared" si="1894"/>
        <v>0</v>
      </c>
      <c r="AG896" s="32">
        <f t="shared" si="1894"/>
        <v>0</v>
      </c>
      <c r="AH896" s="32">
        <f t="shared" si="1894"/>
        <v>0</v>
      </c>
      <c r="AI896" s="32">
        <f t="shared" si="1894"/>
        <v>0</v>
      </c>
      <c r="AJ896" s="32">
        <f t="shared" si="1894"/>
        <v>0</v>
      </c>
      <c r="AK896" s="32">
        <f t="shared" si="1894"/>
        <v>0</v>
      </c>
      <c r="AL896" s="32">
        <f t="shared" si="1894"/>
        <v>0</v>
      </c>
      <c r="AM896" s="32">
        <f t="shared" si="1894"/>
        <v>0</v>
      </c>
      <c r="AN896" s="32">
        <f t="shared" si="1894"/>
        <v>0</v>
      </c>
      <c r="AO896" s="32">
        <f t="shared" si="1894"/>
        <v>0</v>
      </c>
      <c r="AP896" s="32">
        <f t="shared" si="1894"/>
        <v>0</v>
      </c>
      <c r="AQ896" s="32">
        <f t="shared" si="1894"/>
        <v>0</v>
      </c>
      <c r="AR896" s="32">
        <f t="shared" si="1894"/>
        <v>0</v>
      </c>
      <c r="AS896" s="32">
        <f t="shared" si="1894"/>
        <v>0</v>
      </c>
      <c r="AT896" s="32">
        <f t="shared" si="1894"/>
        <v>0</v>
      </c>
      <c r="AU896" s="32">
        <f t="shared" si="1894"/>
        <v>0</v>
      </c>
      <c r="AV896" s="32">
        <f t="shared" si="1894"/>
        <v>0</v>
      </c>
      <c r="AW896" s="32">
        <f t="shared" si="1894"/>
        <v>0</v>
      </c>
      <c r="AX896" s="32">
        <f t="shared" si="1894"/>
        <v>0</v>
      </c>
      <c r="AY896" s="32">
        <f t="shared" si="1894"/>
        <v>0</v>
      </c>
      <c r="AZ896" s="32">
        <f t="shared" si="1894"/>
        <v>0</v>
      </c>
      <c r="BA896" s="32">
        <f t="shared" si="1894"/>
        <v>0</v>
      </c>
      <c r="BB896" s="32">
        <f t="shared" si="1894"/>
        <v>0</v>
      </c>
      <c r="BC896" s="32">
        <f t="shared" si="1894"/>
        <v>0</v>
      </c>
      <c r="BD896" s="32">
        <f t="shared" si="1894"/>
        <v>0</v>
      </c>
      <c r="BE896" s="32">
        <f t="shared" si="1894"/>
        <v>0</v>
      </c>
      <c r="BF896" s="32">
        <f t="shared" si="1894"/>
        <v>0</v>
      </c>
      <c r="BG896" s="32">
        <f t="shared" si="1894"/>
        <v>0</v>
      </c>
      <c r="BH896" s="32">
        <f t="shared" si="1894"/>
        <v>0</v>
      </c>
      <c r="BI896" s="32">
        <f t="shared" si="1894"/>
        <v>0</v>
      </c>
      <c r="BJ896" s="32">
        <f t="shared" si="1894"/>
        <v>0</v>
      </c>
      <c r="BK896" s="32">
        <f t="shared" si="1894"/>
        <v>0</v>
      </c>
      <c r="BL896" s="32">
        <f t="shared" si="1894"/>
        <v>0</v>
      </c>
      <c r="BM896" s="32">
        <f t="shared" si="1894"/>
        <v>0</v>
      </c>
      <c r="BN896" s="32">
        <f t="shared" si="1894"/>
        <v>0</v>
      </c>
      <c r="BO896" s="32">
        <f t="shared" si="1894"/>
        <v>0</v>
      </c>
      <c r="BP896" s="32">
        <f t="shared" si="1894"/>
        <v>0</v>
      </c>
      <c r="BQ896" s="32">
        <f t="shared" si="1894"/>
        <v>0</v>
      </c>
      <c r="BR896" s="32">
        <f t="shared" si="1894"/>
        <v>0</v>
      </c>
      <c r="BS896" s="32">
        <f t="shared" si="1894"/>
        <v>0</v>
      </c>
      <c r="BT896" s="32">
        <f t="shared" si="1894"/>
        <v>0</v>
      </c>
      <c r="BU896" s="32">
        <f t="shared" ref="BU896:BY896" si="1895">MIN(+BU868-BU884+BU882,0)</f>
        <v>0</v>
      </c>
      <c r="BV896" s="32">
        <f t="shared" si="1895"/>
        <v>0</v>
      </c>
      <c r="BW896" s="32">
        <f t="shared" si="1895"/>
        <v>0</v>
      </c>
      <c r="BX896" s="32">
        <f t="shared" si="1895"/>
        <v>0</v>
      </c>
      <c r="BY896" s="32">
        <f t="shared" si="1895"/>
        <v>0</v>
      </c>
    </row>
    <row r="897" spans="2:77" outlineLevel="1"/>
    <row r="898" spans="2:77" s="19" customFormat="1" ht="12.75" outlineLevel="1">
      <c r="B898" s="18" t="s">
        <v>526</v>
      </c>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c r="BN898" s="35"/>
      <c r="BO898" s="35"/>
      <c r="BP898" s="35"/>
      <c r="BQ898" s="35"/>
      <c r="BR898" s="35"/>
      <c r="BS898" s="35"/>
      <c r="BT898" s="35"/>
      <c r="BU898" s="35"/>
      <c r="BV898" s="35"/>
      <c r="BW898" s="35"/>
      <c r="BX898" s="35"/>
      <c r="BY898" s="35"/>
    </row>
    <row r="899" spans="2:77" outlineLevel="1">
      <c r="BF899" s="33"/>
      <c r="BG899" s="33"/>
      <c r="BH899" s="33"/>
      <c r="BI899" s="33"/>
      <c r="BJ899" s="33"/>
      <c r="BK899" s="33"/>
      <c r="BL899" s="33"/>
      <c r="BM899" s="33"/>
      <c r="BN899" s="33"/>
      <c r="BO899" s="33"/>
      <c r="BP899" s="33"/>
      <c r="BQ899" s="33"/>
      <c r="BR899" s="33"/>
      <c r="BS899" s="33"/>
      <c r="BT899" s="33"/>
      <c r="BU899" s="33"/>
      <c r="BV899" s="33"/>
      <c r="BW899" s="33"/>
      <c r="BX899" s="33"/>
      <c r="BY899" s="33"/>
    </row>
    <row r="900" spans="2:77" ht="15" outlineLevel="1">
      <c r="C900" s="77"/>
      <c r="E900" s="77" t="s">
        <v>365</v>
      </c>
      <c r="BF900" s="33"/>
      <c r="BG900" s="33"/>
      <c r="BH900" s="33"/>
      <c r="BI900" s="33"/>
      <c r="BJ900" s="33"/>
      <c r="BK900" s="33"/>
      <c r="BL900" s="33"/>
      <c r="BM900" s="33"/>
      <c r="BN900" s="33"/>
      <c r="BO900" s="33"/>
      <c r="BP900" s="33"/>
      <c r="BQ900" s="33"/>
      <c r="BR900" s="33"/>
      <c r="BS900" s="33"/>
      <c r="BT900" s="33"/>
      <c r="BU900" s="33"/>
      <c r="BV900" s="33"/>
      <c r="BW900" s="33"/>
      <c r="BX900" s="33"/>
      <c r="BY900" s="33"/>
    </row>
    <row r="901" spans="2:77" s="33" customFormat="1" outlineLevel="1">
      <c r="B901"/>
      <c r="C901"/>
      <c r="D901"/>
      <c r="E901" t="s">
        <v>450</v>
      </c>
      <c r="F901" s="23" t="s">
        <v>466</v>
      </c>
      <c r="G901"/>
      <c r="H901" s="33">
        <f t="shared" ref="H901:AM901" si="1896">+SUM(H750:H750)</f>
        <v>0</v>
      </c>
      <c r="I901" s="33">
        <f t="shared" si="1896"/>
        <v>0</v>
      </c>
      <c r="J901" s="33">
        <f t="shared" si="1896"/>
        <v>0</v>
      </c>
      <c r="K901" s="33">
        <f t="shared" si="1896"/>
        <v>-1778.8578787190531</v>
      </c>
      <c r="L901" s="33">
        <f t="shared" si="1896"/>
        <v>-1814.4350362934342</v>
      </c>
      <c r="M901" s="33">
        <f t="shared" si="1896"/>
        <v>-1850.7237370193029</v>
      </c>
      <c r="N901" s="33">
        <f t="shared" si="1896"/>
        <v>-1887.7382117596885</v>
      </c>
      <c r="O901" s="33">
        <f t="shared" si="1896"/>
        <v>-1925.4929759948825</v>
      </c>
      <c r="P901" s="33">
        <f t="shared" si="1896"/>
        <v>-1964.0028355147801</v>
      </c>
      <c r="Q901" s="33">
        <f t="shared" si="1896"/>
        <v>-2003.2828922250758</v>
      </c>
      <c r="R901" s="33">
        <f t="shared" si="1896"/>
        <v>-2043.348550069577</v>
      </c>
      <c r="S901" s="33">
        <f t="shared" si="1896"/>
        <v>-2084.2155210709689</v>
      </c>
      <c r="T901" s="33">
        <f t="shared" si="1896"/>
        <v>-2125.8998314923883</v>
      </c>
      <c r="U901" s="33">
        <f t="shared" si="1896"/>
        <v>-2168.4178281222362</v>
      </c>
      <c r="V901" s="33">
        <f t="shared" si="1896"/>
        <v>-2211.7861846846804</v>
      </c>
      <c r="W901" s="33">
        <f t="shared" si="1896"/>
        <v>-2256.0219083783741</v>
      </c>
      <c r="X901" s="33">
        <f t="shared" si="1896"/>
        <v>-2301.142346545942</v>
      </c>
      <c r="Y901" s="33">
        <f t="shared" si="1896"/>
        <v>-2347.1651934768606</v>
      </c>
      <c r="Z901" s="33">
        <f t="shared" si="1896"/>
        <v>0</v>
      </c>
      <c r="AA901" s="33">
        <f t="shared" si="1896"/>
        <v>0</v>
      </c>
      <c r="AB901" s="33">
        <f t="shared" si="1896"/>
        <v>0</v>
      </c>
      <c r="AC901" s="33">
        <f t="shared" si="1896"/>
        <v>0</v>
      </c>
      <c r="AD901" s="33">
        <f t="shared" si="1896"/>
        <v>0</v>
      </c>
      <c r="AE901" s="33">
        <f t="shared" si="1896"/>
        <v>0</v>
      </c>
      <c r="AF901" s="33">
        <f t="shared" si="1896"/>
        <v>0</v>
      </c>
      <c r="AG901" s="33">
        <f t="shared" si="1896"/>
        <v>0</v>
      </c>
      <c r="AH901" s="33">
        <f t="shared" si="1896"/>
        <v>0</v>
      </c>
      <c r="AI901" s="33">
        <f t="shared" si="1896"/>
        <v>0</v>
      </c>
      <c r="AJ901" s="33">
        <f t="shared" si="1896"/>
        <v>0</v>
      </c>
      <c r="AK901" s="33">
        <f t="shared" si="1896"/>
        <v>0</v>
      </c>
      <c r="AL901" s="33">
        <f t="shared" si="1896"/>
        <v>0</v>
      </c>
      <c r="AM901" s="33">
        <f t="shared" si="1896"/>
        <v>0</v>
      </c>
      <c r="AN901" s="33">
        <f t="shared" ref="AN901:BS901" si="1897">+SUM(AN750:AN750)</f>
        <v>0</v>
      </c>
      <c r="AO901" s="33">
        <f t="shared" si="1897"/>
        <v>0</v>
      </c>
      <c r="AP901" s="33">
        <f t="shared" si="1897"/>
        <v>0</v>
      </c>
      <c r="AQ901" s="33">
        <f t="shared" si="1897"/>
        <v>0</v>
      </c>
      <c r="AR901" s="33">
        <f t="shared" si="1897"/>
        <v>0</v>
      </c>
      <c r="AS901" s="33">
        <f t="shared" si="1897"/>
        <v>0</v>
      </c>
      <c r="AT901" s="33">
        <f t="shared" si="1897"/>
        <v>0</v>
      </c>
      <c r="AU901" s="33">
        <f t="shared" si="1897"/>
        <v>0</v>
      </c>
      <c r="AV901" s="33">
        <f t="shared" si="1897"/>
        <v>0</v>
      </c>
      <c r="AW901" s="33">
        <f t="shared" si="1897"/>
        <v>0</v>
      </c>
      <c r="AX901" s="33">
        <f t="shared" si="1897"/>
        <v>0</v>
      </c>
      <c r="AY901" s="33">
        <f t="shared" si="1897"/>
        <v>0</v>
      </c>
      <c r="AZ901" s="33">
        <f t="shared" si="1897"/>
        <v>0</v>
      </c>
      <c r="BA901" s="33">
        <f t="shared" si="1897"/>
        <v>0</v>
      </c>
      <c r="BB901" s="33">
        <f t="shared" si="1897"/>
        <v>0</v>
      </c>
      <c r="BC901" s="33">
        <f t="shared" si="1897"/>
        <v>0</v>
      </c>
      <c r="BD901" s="33">
        <f t="shared" si="1897"/>
        <v>0</v>
      </c>
      <c r="BE901" s="33">
        <f t="shared" si="1897"/>
        <v>0</v>
      </c>
      <c r="BF901" s="33">
        <f t="shared" si="1897"/>
        <v>0</v>
      </c>
      <c r="BG901" s="33">
        <f t="shared" si="1897"/>
        <v>0</v>
      </c>
      <c r="BH901" s="33">
        <f t="shared" si="1897"/>
        <v>0</v>
      </c>
      <c r="BI901" s="33">
        <f t="shared" si="1897"/>
        <v>0</v>
      </c>
      <c r="BJ901" s="33">
        <f t="shared" si="1897"/>
        <v>0</v>
      </c>
      <c r="BK901" s="33">
        <f t="shared" si="1897"/>
        <v>0</v>
      </c>
      <c r="BL901" s="33">
        <f t="shared" si="1897"/>
        <v>0</v>
      </c>
      <c r="BM901" s="33">
        <f t="shared" si="1897"/>
        <v>0</v>
      </c>
      <c r="BN901" s="33">
        <f t="shared" si="1897"/>
        <v>0</v>
      </c>
      <c r="BO901" s="33">
        <f t="shared" si="1897"/>
        <v>0</v>
      </c>
      <c r="BP901" s="33">
        <f t="shared" si="1897"/>
        <v>0</v>
      </c>
      <c r="BQ901" s="33">
        <f t="shared" si="1897"/>
        <v>0</v>
      </c>
      <c r="BR901" s="33">
        <f t="shared" si="1897"/>
        <v>0</v>
      </c>
      <c r="BS901" s="33">
        <f t="shared" si="1897"/>
        <v>0</v>
      </c>
      <c r="BT901" s="33">
        <f t="shared" ref="BT901:BY901" si="1898">+SUM(BT750:BT750)</f>
        <v>0</v>
      </c>
      <c r="BU901" s="33">
        <f t="shared" si="1898"/>
        <v>0</v>
      </c>
      <c r="BV901" s="33">
        <f t="shared" si="1898"/>
        <v>0</v>
      </c>
      <c r="BW901" s="33">
        <f t="shared" si="1898"/>
        <v>0</v>
      </c>
      <c r="BX901" s="33">
        <f t="shared" si="1898"/>
        <v>0</v>
      </c>
      <c r="BY901" s="33">
        <f t="shared" si="1898"/>
        <v>0</v>
      </c>
    </row>
    <row r="902" spans="2:77" s="33" customFormat="1" ht="15" outlineLevel="1">
      <c r="B902" s="22"/>
      <c r="C902"/>
      <c r="D902"/>
      <c r="E902" t="s">
        <v>467</v>
      </c>
      <c r="F902" s="23" t="s">
        <v>466</v>
      </c>
      <c r="G902"/>
      <c r="H902" s="33">
        <f>+IFERROR($C$735/Assumptions!$H$144*H$725,0)</f>
        <v>0</v>
      </c>
      <c r="I902" s="33">
        <f>+IFERROR($C$735/Assumptions!$H$144*I$725,0)</f>
        <v>0</v>
      </c>
      <c r="J902" s="33">
        <f>+IFERROR($C$735/Assumptions!$H$144*J$725,0)</f>
        <v>0</v>
      </c>
      <c r="K902" s="33">
        <f>+IFERROR($C$735/Assumptions!$H$144*K$725,0)</f>
        <v>-57562.682862560679</v>
      </c>
      <c r="L902" s="33">
        <f>+IFERROR($C$735/Assumptions!$H$144*L$725,0)</f>
        <v>-57562.682862560679</v>
      </c>
      <c r="M902" s="33">
        <f>+IFERROR($C$735/Assumptions!$H$144*M$725,0)</f>
        <v>-57562.682862560679</v>
      </c>
      <c r="N902" s="33">
        <f>+IFERROR($C$735/Assumptions!$H$144*N$725,0)</f>
        <v>-57562.682862560679</v>
      </c>
      <c r="O902" s="33">
        <f>+IFERROR($C$735/Assumptions!$H$144*O$725,0)</f>
        <v>-57562.682862560679</v>
      </c>
      <c r="P902" s="33">
        <f>+IFERROR($C$735/Assumptions!$H$144*P$725,0)</f>
        <v>-57562.682862560679</v>
      </c>
      <c r="Q902" s="33">
        <f>+IFERROR($C$735/Assumptions!$H$144*Q$725,0)</f>
        <v>-57562.682862560679</v>
      </c>
      <c r="R902" s="33">
        <f>+IFERROR($C$735/Assumptions!$H$144*R$725,0)</f>
        <v>-57562.682862560679</v>
      </c>
      <c r="S902" s="33">
        <f>+IFERROR($C$735/Assumptions!$H$144*S$725,0)</f>
        <v>-57562.682862560679</v>
      </c>
      <c r="T902" s="33">
        <f>+IFERROR($C$735/Assumptions!$H$144*T$725,0)</f>
        <v>-57562.682862560679</v>
      </c>
      <c r="U902" s="33">
        <f>+IFERROR($C$735/Assumptions!$H$144*U$725,0)</f>
        <v>-57562.682862560679</v>
      </c>
      <c r="V902" s="33">
        <f>+IFERROR($C$735/Assumptions!$H$144*V$725,0)</f>
        <v>-57562.682862560679</v>
      </c>
      <c r="W902" s="33">
        <f>+IFERROR($C$735/Assumptions!$H$144*W$725,0)</f>
        <v>-57562.682862560679</v>
      </c>
      <c r="X902" s="33">
        <f>+IFERROR($C$735/Assumptions!$H$144*X$725,0)</f>
        <v>-57562.682862560679</v>
      </c>
      <c r="Y902" s="33">
        <f>+IFERROR($C$735/Assumptions!$H$144*Y$725,0)</f>
        <v>-57562.682862560679</v>
      </c>
      <c r="Z902" s="33">
        <f>+IFERROR($C$735/Assumptions!$H$144*Z$725,0)</f>
        <v>0</v>
      </c>
      <c r="AA902" s="33">
        <f>+IFERROR($C$735/Assumptions!$H$144*AA$725,0)</f>
        <v>0</v>
      </c>
      <c r="AB902" s="33">
        <f>+IFERROR($C$735/Assumptions!$H$144*AB$725,0)</f>
        <v>0</v>
      </c>
      <c r="AC902" s="33">
        <f>+IFERROR($C$735/Assumptions!$H$144*AC$725,0)</f>
        <v>0</v>
      </c>
      <c r="AD902" s="33">
        <f>+IFERROR($C$735/Assumptions!$H$144*AD$725,0)</f>
        <v>0</v>
      </c>
      <c r="AE902" s="33">
        <f>+IFERROR($C$735/Assumptions!$H$144*AE$725,0)</f>
        <v>0</v>
      </c>
      <c r="AF902" s="33">
        <f>+IFERROR($C$735/Assumptions!$H$144*AF$725,0)</f>
        <v>0</v>
      </c>
      <c r="AG902" s="33">
        <f>+IFERROR($C$735/Assumptions!$H$144*AG$725,0)</f>
        <v>0</v>
      </c>
      <c r="AH902" s="33">
        <f>+IFERROR($C$735/Assumptions!$H$144*AH$725,0)</f>
        <v>0</v>
      </c>
      <c r="AI902" s="33">
        <f>+IFERROR($C$735/Assumptions!$H$144*AI$725,0)</f>
        <v>0</v>
      </c>
      <c r="AJ902" s="33">
        <f>+IFERROR($C$735/Assumptions!$H$144*AJ$725,0)</f>
        <v>0</v>
      </c>
      <c r="AK902" s="33">
        <f>+IFERROR($C$735/Assumptions!$H$144*AK$725,0)</f>
        <v>0</v>
      </c>
      <c r="AL902" s="33">
        <f>+IFERROR($C$735/Assumptions!$H$144*AL$725,0)</f>
        <v>0</v>
      </c>
      <c r="AM902" s="33">
        <f>+IFERROR($C$735/Assumptions!$H$144*AM$725,0)</f>
        <v>0</v>
      </c>
      <c r="AN902" s="33">
        <f>+IFERROR($C$735/Assumptions!$H$144*AN$725,0)</f>
        <v>0</v>
      </c>
      <c r="AO902" s="33">
        <f>+IFERROR($C$735/Assumptions!$H$144*AO$725,0)</f>
        <v>0</v>
      </c>
      <c r="AP902" s="33">
        <f>+IFERROR($C$735/Assumptions!$H$144*AP$725,0)</f>
        <v>0</v>
      </c>
      <c r="AQ902" s="33">
        <f>+IFERROR($C$735/Assumptions!$H$144*AQ$725,0)</f>
        <v>0</v>
      </c>
      <c r="AR902" s="33">
        <f>+IFERROR($C$735/Assumptions!$H$144*AR$725,0)</f>
        <v>0</v>
      </c>
      <c r="AS902" s="33">
        <f>+IFERROR($C$735/Assumptions!$H$144*AS$725,0)</f>
        <v>0</v>
      </c>
      <c r="AT902" s="33">
        <f>+IFERROR($C$735/Assumptions!$H$144*AT$725,0)</f>
        <v>0</v>
      </c>
      <c r="AU902" s="33">
        <f>+IFERROR($C$735/Assumptions!$H$144*AU$725,0)</f>
        <v>0</v>
      </c>
      <c r="AV902" s="33">
        <f>+IFERROR($C$735/Assumptions!$H$144*AV$725,0)</f>
        <v>0</v>
      </c>
      <c r="AW902" s="33">
        <f>+IFERROR($C$735/Assumptions!$H$144*AW$725,0)</f>
        <v>0</v>
      </c>
      <c r="AX902" s="33">
        <f>+IFERROR($C$735/Assumptions!$H$144*AX$725,0)</f>
        <v>0</v>
      </c>
      <c r="AY902" s="33">
        <f>+IFERROR($C$735/Assumptions!$H$144*AY$725,0)</f>
        <v>0</v>
      </c>
      <c r="AZ902" s="33">
        <f>+IFERROR($C$735/Assumptions!$H$144*AZ$725,0)</f>
        <v>0</v>
      </c>
      <c r="BA902" s="33">
        <f>+IFERROR($C$735/Assumptions!$H$144*BA$725,0)</f>
        <v>0</v>
      </c>
      <c r="BB902" s="33">
        <f>+IFERROR($C$735/Assumptions!$H$144*BB$725,0)</f>
        <v>0</v>
      </c>
      <c r="BC902" s="33">
        <f>+IFERROR($C$735/Assumptions!$H$144*BC$725,0)</f>
        <v>0</v>
      </c>
      <c r="BD902" s="33">
        <f>+IFERROR($C$735/Assumptions!$H$144*BD$725,0)</f>
        <v>0</v>
      </c>
      <c r="BE902" s="33">
        <f>+IFERROR($C$735/Assumptions!$H$144*BE$725,0)</f>
        <v>0</v>
      </c>
      <c r="BF902" s="33">
        <f>+IFERROR($C$735/Assumptions!$H$144*BF$725,0)</f>
        <v>0</v>
      </c>
      <c r="BG902" s="33">
        <f>+IFERROR($C$735/Assumptions!$H$144*BG$725,0)</f>
        <v>0</v>
      </c>
      <c r="BH902" s="33">
        <f>+IFERROR($C$735/Assumptions!$H$144*BH$725,0)</f>
        <v>0</v>
      </c>
      <c r="BI902" s="33">
        <f>+IFERROR($C$735/Assumptions!$H$144*BI$725,0)</f>
        <v>0</v>
      </c>
      <c r="BJ902" s="33">
        <f>+IFERROR($C$735/Assumptions!$H$144*BJ$725,0)</f>
        <v>0</v>
      </c>
      <c r="BK902" s="33">
        <f>+IFERROR($C$735/Assumptions!$H$144*BK$725,0)</f>
        <v>0</v>
      </c>
      <c r="BL902" s="33">
        <f>+IFERROR($C$735/Assumptions!$H$144*BL$725,0)</f>
        <v>0</v>
      </c>
      <c r="BM902" s="33">
        <f>+IFERROR($C$735/Assumptions!$H$144*BM$725,0)</f>
        <v>0</v>
      </c>
      <c r="BN902" s="33">
        <f>+IFERROR($C$735/Assumptions!$H$144*BN$725,0)</f>
        <v>0</v>
      </c>
      <c r="BO902" s="33">
        <f>+IFERROR($C$735/Assumptions!$H$144*BO$725,0)</f>
        <v>0</v>
      </c>
      <c r="BP902" s="33">
        <f>+IFERROR($C$735/Assumptions!$H$144*BP$725,0)</f>
        <v>0</v>
      </c>
      <c r="BQ902" s="33">
        <f>+IFERROR($C$735/Assumptions!$H$144*BQ$725,0)</f>
        <v>0</v>
      </c>
      <c r="BR902" s="33">
        <f>+IFERROR($C$735/Assumptions!$H$144*BR$725,0)</f>
        <v>0</v>
      </c>
      <c r="BS902" s="33">
        <f>+IFERROR($C$735/Assumptions!$H$144*BS$725,0)</f>
        <v>0</v>
      </c>
      <c r="BT902" s="33">
        <f>+IFERROR($C$735/Assumptions!$H$144*BT$725,0)</f>
        <v>0</v>
      </c>
      <c r="BU902" s="33">
        <f>+IFERROR($C$735/Assumptions!$H$144*BU$725,0)</f>
        <v>0</v>
      </c>
      <c r="BV902" s="33">
        <f>+IFERROR($C$735/Assumptions!$H$144*BV$725,0)</f>
        <v>0</v>
      </c>
      <c r="BW902" s="33">
        <f>+IFERROR($C$735/Assumptions!$H$144*BW$725,0)</f>
        <v>0</v>
      </c>
      <c r="BX902" s="33">
        <f>+IFERROR($C$735/Assumptions!$H$144*BX$725,0)</f>
        <v>0</v>
      </c>
      <c r="BY902" s="33">
        <f>+IFERROR($C$735/Assumptions!$H$144*BY$725,0)</f>
        <v>0</v>
      </c>
    </row>
    <row r="903" spans="2:77" s="33" customFormat="1" ht="15" outlineLevel="1">
      <c r="B903" s="22"/>
      <c r="C903" s="22"/>
      <c r="D903"/>
      <c r="E903" t="s">
        <v>468</v>
      </c>
      <c r="F903" s="23" t="s">
        <v>466</v>
      </c>
      <c r="G903"/>
      <c r="H903" s="33">
        <f t="shared" ref="H903:AM903" ca="1" si="1899">+H779+H811</f>
        <v>0</v>
      </c>
      <c r="I903" s="33">
        <f t="shared" ca="1" si="1899"/>
        <v>0</v>
      </c>
      <c r="J903" s="33">
        <f t="shared" ca="1" si="1899"/>
        <v>-9665.2560414063009</v>
      </c>
      <c r="K903" s="33">
        <f t="shared" ca="1" si="1899"/>
        <v>-34263.41368252378</v>
      </c>
      <c r="L903" s="33">
        <f t="shared" ca="1" si="1899"/>
        <v>-32718.978858896324</v>
      </c>
      <c r="M903" s="33">
        <f t="shared" ca="1" si="1899"/>
        <v>-31085.908920740887</v>
      </c>
      <c r="N903" s="33">
        <f t="shared" ca="1" si="1899"/>
        <v>-29359.117098834711</v>
      </c>
      <c r="O903" s="33">
        <f t="shared" ca="1" si="1899"/>
        <v>-27533.224694269342</v>
      </c>
      <c r="P903" s="33">
        <f t="shared" ca="1" si="1899"/>
        <v>-25602.544324605966</v>
      </c>
      <c r="Q903" s="33">
        <f t="shared" ca="1" si="1899"/>
        <v>-23561.062208527605</v>
      </c>
      <c r="R903" s="33">
        <f t="shared" ca="1" si="1899"/>
        <v>-21402.41943380751</v>
      </c>
      <c r="S903" s="33">
        <f t="shared" ca="1" si="1899"/>
        <v>-19119.892150246225</v>
      </c>
      <c r="T903" s="33">
        <f t="shared" ca="1" si="1899"/>
        <v>-16706.370625881365</v>
      </c>
      <c r="U903" s="33">
        <f t="shared" ca="1" si="1899"/>
        <v>-14154.337101233201</v>
      </c>
      <c r="V903" s="33">
        <f t="shared" ca="1" si="1899"/>
        <v>-11455.842372605479</v>
      </c>
      <c r="W903" s="33">
        <f t="shared" ca="1" si="1899"/>
        <v>-8602.4810315018112</v>
      </c>
      <c r="X903" s="33">
        <f t="shared" ca="1" si="1899"/>
        <v>-5585.3652830322053</v>
      </c>
      <c r="Y903" s="33">
        <f t="shared" ca="1" si="1899"/>
        <v>-2395.0972617579287</v>
      </c>
      <c r="Z903" s="33">
        <f t="shared" ca="1" si="1899"/>
        <v>-4.1756720747798684E-13</v>
      </c>
      <c r="AA903" s="33">
        <f t="shared" ca="1" si="1899"/>
        <v>-4.1756720747798684E-13</v>
      </c>
      <c r="AB903" s="33">
        <f t="shared" ca="1" si="1899"/>
        <v>-4.1756720747798684E-13</v>
      </c>
      <c r="AC903" s="33">
        <f t="shared" ca="1" si="1899"/>
        <v>-4.1756720747798684E-13</v>
      </c>
      <c r="AD903" s="33">
        <f t="shared" ca="1" si="1899"/>
        <v>-4.1756720747798684E-13</v>
      </c>
      <c r="AE903" s="33">
        <f t="shared" ca="1" si="1899"/>
        <v>-4.1756720747798684E-13</v>
      </c>
      <c r="AF903" s="33">
        <f t="shared" ca="1" si="1899"/>
        <v>-4.1756720747798684E-13</v>
      </c>
      <c r="AG903" s="33">
        <f t="shared" ca="1" si="1899"/>
        <v>-4.1756720747798684E-13</v>
      </c>
      <c r="AH903" s="33">
        <f t="shared" ca="1" si="1899"/>
        <v>-4.1756720747798684E-13</v>
      </c>
      <c r="AI903" s="33">
        <f t="shared" ca="1" si="1899"/>
        <v>-4.1756720747798684E-13</v>
      </c>
      <c r="AJ903" s="33">
        <f t="shared" ca="1" si="1899"/>
        <v>-4.1756720747798684E-13</v>
      </c>
      <c r="AK903" s="33">
        <f t="shared" ca="1" si="1899"/>
        <v>-4.1756720747798684E-13</v>
      </c>
      <c r="AL903" s="33">
        <f t="shared" ca="1" si="1899"/>
        <v>-4.1756720747798684E-13</v>
      </c>
      <c r="AM903" s="33">
        <f t="shared" ca="1" si="1899"/>
        <v>-4.1756720747798684E-13</v>
      </c>
      <c r="AN903" s="33">
        <f t="shared" ref="AN903:BS903" ca="1" si="1900">+AN779+AN811</f>
        <v>-4.1756720747798684E-13</v>
      </c>
      <c r="AO903" s="33">
        <f t="shared" ca="1" si="1900"/>
        <v>-4.1756720747798684E-13</v>
      </c>
      <c r="AP903" s="33">
        <f t="shared" ca="1" si="1900"/>
        <v>-4.1756720747798684E-13</v>
      </c>
      <c r="AQ903" s="33">
        <f t="shared" ca="1" si="1900"/>
        <v>-4.1756720747798684E-13</v>
      </c>
      <c r="AR903" s="33">
        <f t="shared" ca="1" si="1900"/>
        <v>-4.1756720747798684E-13</v>
      </c>
      <c r="AS903" s="33">
        <f t="shared" ca="1" si="1900"/>
        <v>-4.1756720747798684E-13</v>
      </c>
      <c r="AT903" s="33">
        <f t="shared" ca="1" si="1900"/>
        <v>-4.1756720747798684E-13</v>
      </c>
      <c r="AU903" s="33">
        <f t="shared" ca="1" si="1900"/>
        <v>-4.1756720747798684E-13</v>
      </c>
      <c r="AV903" s="33">
        <f t="shared" ca="1" si="1900"/>
        <v>-4.1756720747798684E-13</v>
      </c>
      <c r="AW903" s="33">
        <f t="shared" ca="1" si="1900"/>
        <v>-4.1756720747798684E-13</v>
      </c>
      <c r="AX903" s="33">
        <f t="shared" ca="1" si="1900"/>
        <v>-4.1756720747798684E-13</v>
      </c>
      <c r="AY903" s="33">
        <f t="shared" ca="1" si="1900"/>
        <v>-4.1756720747798684E-13</v>
      </c>
      <c r="AZ903" s="33">
        <f t="shared" ca="1" si="1900"/>
        <v>-4.1756720747798684E-13</v>
      </c>
      <c r="BA903" s="33">
        <f t="shared" ca="1" si="1900"/>
        <v>-4.1756720747798684E-13</v>
      </c>
      <c r="BB903" s="33">
        <f t="shared" ca="1" si="1900"/>
        <v>-4.1756720747798684E-13</v>
      </c>
      <c r="BC903" s="33">
        <f t="shared" ca="1" si="1900"/>
        <v>-4.1756720747798684E-13</v>
      </c>
      <c r="BD903" s="33">
        <f t="shared" ca="1" si="1900"/>
        <v>-4.1756720747798684E-13</v>
      </c>
      <c r="BE903" s="33">
        <f t="shared" ca="1" si="1900"/>
        <v>-4.1756720747798684E-13</v>
      </c>
      <c r="BF903" s="33">
        <f t="shared" ca="1" si="1900"/>
        <v>-4.1756720747798684E-13</v>
      </c>
      <c r="BG903" s="33">
        <f t="shared" ca="1" si="1900"/>
        <v>-4.1756720747798684E-13</v>
      </c>
      <c r="BH903" s="33">
        <f t="shared" ca="1" si="1900"/>
        <v>-4.1756720747798684E-13</v>
      </c>
      <c r="BI903" s="33">
        <f t="shared" ca="1" si="1900"/>
        <v>-4.1756720747798684E-13</v>
      </c>
      <c r="BJ903" s="33">
        <f t="shared" ca="1" si="1900"/>
        <v>-4.1756720747798684E-13</v>
      </c>
      <c r="BK903" s="33">
        <f t="shared" ca="1" si="1900"/>
        <v>-4.1756720747798684E-13</v>
      </c>
      <c r="BL903" s="33">
        <f t="shared" ca="1" si="1900"/>
        <v>-4.1756720747798684E-13</v>
      </c>
      <c r="BM903" s="33">
        <f t="shared" ca="1" si="1900"/>
        <v>-4.1756720747798684E-13</v>
      </c>
      <c r="BN903" s="33">
        <f t="shared" ca="1" si="1900"/>
        <v>-4.1756720747798684E-13</v>
      </c>
      <c r="BO903" s="33">
        <f t="shared" ca="1" si="1900"/>
        <v>-4.1756720747798684E-13</v>
      </c>
      <c r="BP903" s="33">
        <f t="shared" ca="1" si="1900"/>
        <v>-4.1756720747798684E-13</v>
      </c>
      <c r="BQ903" s="33">
        <f t="shared" ca="1" si="1900"/>
        <v>-4.1756720747798684E-13</v>
      </c>
      <c r="BR903" s="33">
        <f t="shared" ca="1" si="1900"/>
        <v>-4.1756720747798684E-13</v>
      </c>
      <c r="BS903" s="33">
        <f t="shared" ca="1" si="1900"/>
        <v>-4.1756720747798684E-13</v>
      </c>
      <c r="BT903" s="33">
        <f t="shared" ref="BT903:BY903" ca="1" si="1901">+BT779+BT811</f>
        <v>-4.1756720747798684E-13</v>
      </c>
      <c r="BU903" s="33">
        <f t="shared" ca="1" si="1901"/>
        <v>-4.1756720747798684E-13</v>
      </c>
      <c r="BV903" s="33">
        <f t="shared" ca="1" si="1901"/>
        <v>-4.1756720747798684E-13</v>
      </c>
      <c r="BW903" s="33">
        <f t="shared" ca="1" si="1901"/>
        <v>-4.1756720747798684E-13</v>
      </c>
      <c r="BX903" s="33">
        <f t="shared" ca="1" si="1901"/>
        <v>-4.1756720747798684E-13</v>
      </c>
      <c r="BY903" s="33">
        <f t="shared" ca="1" si="1901"/>
        <v>-4.1756720747798684E-13</v>
      </c>
    </row>
    <row r="904" spans="2:77" s="37" customFormat="1" ht="15" outlineLevel="1">
      <c r="B904"/>
      <c r="C904"/>
      <c r="D904" s="22"/>
      <c r="E904" s="22" t="s">
        <v>469</v>
      </c>
      <c r="F904" s="36" t="s">
        <v>470</v>
      </c>
      <c r="G904" s="22"/>
      <c r="H904" s="37">
        <f ca="1">+SUM(H901:H903)</f>
        <v>0</v>
      </c>
      <c r="I904" s="37">
        <f t="shared" ref="I904:BT904" ca="1" si="1902">+SUM(I901:I903)</f>
        <v>0</v>
      </c>
      <c r="J904" s="37">
        <f t="shared" ca="1" si="1902"/>
        <v>-9665.2560414063009</v>
      </c>
      <c r="K904" s="37">
        <f t="shared" ca="1" si="1902"/>
        <v>-93604.954423803516</v>
      </c>
      <c r="L904" s="37">
        <f t="shared" ca="1" si="1902"/>
        <v>-92096.096757750434</v>
      </c>
      <c r="M904" s="37">
        <f t="shared" ca="1" si="1902"/>
        <v>-90499.315520320873</v>
      </c>
      <c r="N904" s="37">
        <f t="shared" ca="1" si="1902"/>
        <v>-88809.538173155073</v>
      </c>
      <c r="O904" s="37">
        <f t="shared" ca="1" si="1902"/>
        <v>-87021.400532824904</v>
      </c>
      <c r="P904" s="37">
        <f t="shared" ca="1" si="1902"/>
        <v>-85129.230022681426</v>
      </c>
      <c r="Q904" s="37">
        <f t="shared" ca="1" si="1902"/>
        <v>-83127.027963313361</v>
      </c>
      <c r="R904" s="37">
        <f t="shared" ca="1" si="1902"/>
        <v>-81008.450846437772</v>
      </c>
      <c r="S904" s="37">
        <f t="shared" ca="1" si="1902"/>
        <v>-78766.79053387788</v>
      </c>
      <c r="T904" s="37">
        <f t="shared" ca="1" si="1902"/>
        <v>-76394.95331993443</v>
      </c>
      <c r="U904" s="37">
        <f t="shared" ca="1" si="1902"/>
        <v>-73885.43779191612</v>
      </c>
      <c r="V904" s="37">
        <f t="shared" ca="1" si="1902"/>
        <v>-71230.311419850841</v>
      </c>
      <c r="W904" s="37">
        <f t="shared" ca="1" si="1902"/>
        <v>-68421.185802440858</v>
      </c>
      <c r="X904" s="37">
        <f t="shared" ca="1" si="1902"/>
        <v>-65449.190492138827</v>
      </c>
      <c r="Y904" s="37">
        <f t="shared" ca="1" si="1902"/>
        <v>-62304.945317795471</v>
      </c>
      <c r="Z904" s="37">
        <f t="shared" ca="1" si="1902"/>
        <v>-4.1756720747798684E-13</v>
      </c>
      <c r="AA904" s="37">
        <f t="shared" ca="1" si="1902"/>
        <v>-4.1756720747798684E-13</v>
      </c>
      <c r="AB904" s="37">
        <f t="shared" ca="1" si="1902"/>
        <v>-4.1756720747798684E-13</v>
      </c>
      <c r="AC904" s="37">
        <f t="shared" ca="1" si="1902"/>
        <v>-4.1756720747798684E-13</v>
      </c>
      <c r="AD904" s="37">
        <f t="shared" ca="1" si="1902"/>
        <v>-4.1756720747798684E-13</v>
      </c>
      <c r="AE904" s="37">
        <f t="shared" ca="1" si="1902"/>
        <v>-4.1756720747798684E-13</v>
      </c>
      <c r="AF904" s="37">
        <f t="shared" ca="1" si="1902"/>
        <v>-4.1756720747798684E-13</v>
      </c>
      <c r="AG904" s="37">
        <f t="shared" ca="1" si="1902"/>
        <v>-4.1756720747798684E-13</v>
      </c>
      <c r="AH904" s="37">
        <f t="shared" ca="1" si="1902"/>
        <v>-4.1756720747798684E-13</v>
      </c>
      <c r="AI904" s="37">
        <f t="shared" ca="1" si="1902"/>
        <v>-4.1756720747798684E-13</v>
      </c>
      <c r="AJ904" s="37">
        <f t="shared" ca="1" si="1902"/>
        <v>-4.1756720747798684E-13</v>
      </c>
      <c r="AK904" s="37">
        <f t="shared" ca="1" si="1902"/>
        <v>-4.1756720747798684E-13</v>
      </c>
      <c r="AL904" s="37">
        <f t="shared" ca="1" si="1902"/>
        <v>-4.1756720747798684E-13</v>
      </c>
      <c r="AM904" s="37">
        <f t="shared" ca="1" si="1902"/>
        <v>-4.1756720747798684E-13</v>
      </c>
      <c r="AN904" s="37">
        <f t="shared" ca="1" si="1902"/>
        <v>-4.1756720747798684E-13</v>
      </c>
      <c r="AO904" s="37">
        <f t="shared" ca="1" si="1902"/>
        <v>-4.1756720747798684E-13</v>
      </c>
      <c r="AP904" s="37">
        <f t="shared" ca="1" si="1902"/>
        <v>-4.1756720747798684E-13</v>
      </c>
      <c r="AQ904" s="37">
        <f t="shared" ca="1" si="1902"/>
        <v>-4.1756720747798684E-13</v>
      </c>
      <c r="AR904" s="37">
        <f t="shared" ca="1" si="1902"/>
        <v>-4.1756720747798684E-13</v>
      </c>
      <c r="AS904" s="37">
        <f t="shared" ca="1" si="1902"/>
        <v>-4.1756720747798684E-13</v>
      </c>
      <c r="AT904" s="37">
        <f t="shared" ca="1" si="1902"/>
        <v>-4.1756720747798684E-13</v>
      </c>
      <c r="AU904" s="37">
        <f t="shared" ca="1" si="1902"/>
        <v>-4.1756720747798684E-13</v>
      </c>
      <c r="AV904" s="37">
        <f t="shared" ca="1" si="1902"/>
        <v>-4.1756720747798684E-13</v>
      </c>
      <c r="AW904" s="37">
        <f t="shared" ca="1" si="1902"/>
        <v>-4.1756720747798684E-13</v>
      </c>
      <c r="AX904" s="37">
        <f t="shared" ca="1" si="1902"/>
        <v>-4.1756720747798684E-13</v>
      </c>
      <c r="AY904" s="37">
        <f t="shared" ca="1" si="1902"/>
        <v>-4.1756720747798684E-13</v>
      </c>
      <c r="AZ904" s="37">
        <f t="shared" ca="1" si="1902"/>
        <v>-4.1756720747798684E-13</v>
      </c>
      <c r="BA904" s="37">
        <f t="shared" ca="1" si="1902"/>
        <v>-4.1756720747798684E-13</v>
      </c>
      <c r="BB904" s="37">
        <f t="shared" ca="1" si="1902"/>
        <v>-4.1756720747798684E-13</v>
      </c>
      <c r="BC904" s="37">
        <f t="shared" ca="1" si="1902"/>
        <v>-4.1756720747798684E-13</v>
      </c>
      <c r="BD904" s="37">
        <f t="shared" ca="1" si="1902"/>
        <v>-4.1756720747798684E-13</v>
      </c>
      <c r="BE904" s="37">
        <f t="shared" ca="1" si="1902"/>
        <v>-4.1756720747798684E-13</v>
      </c>
      <c r="BF904" s="37">
        <f t="shared" ca="1" si="1902"/>
        <v>-4.1756720747798684E-13</v>
      </c>
      <c r="BG904" s="37">
        <f t="shared" ca="1" si="1902"/>
        <v>-4.1756720747798684E-13</v>
      </c>
      <c r="BH904" s="37">
        <f t="shared" ca="1" si="1902"/>
        <v>-4.1756720747798684E-13</v>
      </c>
      <c r="BI904" s="37">
        <f t="shared" ca="1" si="1902"/>
        <v>-4.1756720747798684E-13</v>
      </c>
      <c r="BJ904" s="37">
        <f t="shared" ca="1" si="1902"/>
        <v>-4.1756720747798684E-13</v>
      </c>
      <c r="BK904" s="37">
        <f t="shared" ca="1" si="1902"/>
        <v>-4.1756720747798684E-13</v>
      </c>
      <c r="BL904" s="37">
        <f t="shared" ca="1" si="1902"/>
        <v>-4.1756720747798684E-13</v>
      </c>
      <c r="BM904" s="37">
        <f t="shared" ca="1" si="1902"/>
        <v>-4.1756720747798684E-13</v>
      </c>
      <c r="BN904" s="37">
        <f t="shared" ca="1" si="1902"/>
        <v>-4.1756720747798684E-13</v>
      </c>
      <c r="BO904" s="37">
        <f t="shared" ca="1" si="1902"/>
        <v>-4.1756720747798684E-13</v>
      </c>
      <c r="BP904" s="37">
        <f t="shared" ca="1" si="1902"/>
        <v>-4.1756720747798684E-13</v>
      </c>
      <c r="BQ904" s="37">
        <f t="shared" ca="1" si="1902"/>
        <v>-4.1756720747798684E-13</v>
      </c>
      <c r="BR904" s="37">
        <f t="shared" ca="1" si="1902"/>
        <v>-4.1756720747798684E-13</v>
      </c>
      <c r="BS904" s="37">
        <f t="shared" ca="1" si="1902"/>
        <v>-4.1756720747798684E-13</v>
      </c>
      <c r="BT904" s="37">
        <f t="shared" ca="1" si="1902"/>
        <v>-4.1756720747798684E-13</v>
      </c>
      <c r="BU904" s="37">
        <f t="shared" ref="BU904:BY904" ca="1" si="1903">+SUM(BU901:BU903)</f>
        <v>-4.1756720747798684E-13</v>
      </c>
      <c r="BV904" s="37">
        <f t="shared" ca="1" si="1903"/>
        <v>-4.1756720747798684E-13</v>
      </c>
      <c r="BW904" s="37">
        <f t="shared" ca="1" si="1903"/>
        <v>-4.1756720747798684E-13</v>
      </c>
      <c r="BX904" s="37">
        <f t="shared" ca="1" si="1903"/>
        <v>-4.1756720747798684E-13</v>
      </c>
      <c r="BY904" s="37">
        <f t="shared" ca="1" si="1903"/>
        <v>-4.1756720747798684E-13</v>
      </c>
    </row>
    <row r="905" spans="2:77" s="33" customFormat="1" ht="15" outlineLevel="1">
      <c r="B905" s="22"/>
      <c r="C905" s="22"/>
      <c r="D905"/>
      <c r="E905" s="25" t="s">
        <v>471</v>
      </c>
      <c r="F905" s="30" t="s">
        <v>466</v>
      </c>
      <c r="G905" s="25"/>
      <c r="H905" s="34">
        <f ca="1">+H904*-Assumptions!$H$117</f>
        <v>0</v>
      </c>
      <c r="I905" s="34">
        <f ca="1">+I904*-Assumptions!$H$117</f>
        <v>0</v>
      </c>
      <c r="J905" s="34">
        <f ca="1">+J904*-Assumptions!$H$117</f>
        <v>0</v>
      </c>
      <c r="K905" s="34">
        <f ca="1">+K904*-Assumptions!$H$117</f>
        <v>0</v>
      </c>
      <c r="L905" s="34">
        <f ca="1">+L904*-Assumptions!$H$117</f>
        <v>0</v>
      </c>
      <c r="M905" s="34">
        <f ca="1">+M904*-Assumptions!$H$117</f>
        <v>0</v>
      </c>
      <c r="N905" s="34">
        <f ca="1">+N904*-Assumptions!$H$117</f>
        <v>0</v>
      </c>
      <c r="O905" s="34">
        <f ca="1">+O904*-Assumptions!$H$117</f>
        <v>0</v>
      </c>
      <c r="P905" s="34">
        <f ca="1">+P904*-Assumptions!$H$117</f>
        <v>0</v>
      </c>
      <c r="Q905" s="34">
        <f ca="1">+Q904*-Assumptions!$H$117</f>
        <v>0</v>
      </c>
      <c r="R905" s="34">
        <f ca="1">+R904*-Assumptions!$H$117</f>
        <v>0</v>
      </c>
      <c r="S905" s="34">
        <f ca="1">+S904*-Assumptions!$H$117</f>
        <v>0</v>
      </c>
      <c r="T905" s="34">
        <f ca="1">+T904*-Assumptions!$H$117</f>
        <v>0</v>
      </c>
      <c r="U905" s="34">
        <f ca="1">+U904*-Assumptions!$H$117</f>
        <v>0</v>
      </c>
      <c r="V905" s="34">
        <f ca="1">+V904*-Assumptions!$H$117</f>
        <v>0</v>
      </c>
      <c r="W905" s="34">
        <f ca="1">+W904*-Assumptions!$H$117</f>
        <v>0</v>
      </c>
      <c r="X905" s="34">
        <f ca="1">+X904*-Assumptions!$H$117</f>
        <v>0</v>
      </c>
      <c r="Y905" s="34">
        <f ca="1">+Y904*-Assumptions!$H$117</f>
        <v>0</v>
      </c>
      <c r="Z905" s="34">
        <f ca="1">+Z904*-Assumptions!$H$117</f>
        <v>0</v>
      </c>
      <c r="AA905" s="34">
        <f ca="1">+AA904*-Assumptions!$H$117</f>
        <v>0</v>
      </c>
      <c r="AB905" s="34">
        <f ca="1">+AB904*-Assumptions!$H$117</f>
        <v>0</v>
      </c>
      <c r="AC905" s="34">
        <f ca="1">+AC904*-Assumptions!$H$117</f>
        <v>0</v>
      </c>
      <c r="AD905" s="34">
        <f ca="1">+AD904*-Assumptions!$H$117</f>
        <v>0</v>
      </c>
      <c r="AE905" s="34">
        <f ca="1">+AE904*-Assumptions!$H$117</f>
        <v>0</v>
      </c>
      <c r="AF905" s="34">
        <f ca="1">+AF904*-Assumptions!$H$117</f>
        <v>0</v>
      </c>
      <c r="AG905" s="34">
        <f ca="1">+AG904*-Assumptions!$H$117</f>
        <v>0</v>
      </c>
      <c r="AH905" s="34">
        <f ca="1">+AH904*-Assumptions!$H$117</f>
        <v>0</v>
      </c>
      <c r="AI905" s="34">
        <f ca="1">+AI904*-Assumptions!$H$117</f>
        <v>0</v>
      </c>
      <c r="AJ905" s="34">
        <f ca="1">+AJ904*-Assumptions!$H$117</f>
        <v>0</v>
      </c>
      <c r="AK905" s="34">
        <f ca="1">+AK904*-Assumptions!$H$117</f>
        <v>0</v>
      </c>
      <c r="AL905" s="34">
        <f ca="1">+AL904*-Assumptions!$H$117</f>
        <v>0</v>
      </c>
      <c r="AM905" s="34">
        <f ca="1">+AM904*-Assumptions!$H$117</f>
        <v>0</v>
      </c>
      <c r="AN905" s="34">
        <f ca="1">+AN904*-Assumptions!$H$117</f>
        <v>0</v>
      </c>
      <c r="AO905" s="34">
        <f ca="1">+AO904*-Assumptions!$H$117</f>
        <v>0</v>
      </c>
      <c r="AP905" s="34">
        <f ca="1">+AP904*-Assumptions!$H$117</f>
        <v>0</v>
      </c>
      <c r="AQ905" s="34">
        <f ca="1">+AQ904*-Assumptions!$H$117</f>
        <v>0</v>
      </c>
      <c r="AR905" s="34">
        <f ca="1">+AR904*-Assumptions!$H$117</f>
        <v>0</v>
      </c>
      <c r="AS905" s="34">
        <f ca="1">+AS904*-Assumptions!$H$117</f>
        <v>0</v>
      </c>
      <c r="AT905" s="34">
        <f ca="1">+AT904*-Assumptions!$H$117</f>
        <v>0</v>
      </c>
      <c r="AU905" s="34">
        <f ca="1">+AU904*-Assumptions!$H$117</f>
        <v>0</v>
      </c>
      <c r="AV905" s="34">
        <f ca="1">+AV904*-Assumptions!$H$117</f>
        <v>0</v>
      </c>
      <c r="AW905" s="34">
        <f ca="1">+AW904*-Assumptions!$H$117</f>
        <v>0</v>
      </c>
      <c r="AX905" s="34">
        <f ca="1">+AX904*-Assumptions!$H$117</f>
        <v>0</v>
      </c>
      <c r="AY905" s="34">
        <f ca="1">+AY904*-Assumptions!$H$117</f>
        <v>0</v>
      </c>
      <c r="AZ905" s="34">
        <f ca="1">+AZ904*-Assumptions!$H$117</f>
        <v>0</v>
      </c>
      <c r="BA905" s="34">
        <f ca="1">+BA904*-Assumptions!$H$117</f>
        <v>0</v>
      </c>
      <c r="BB905" s="34">
        <f ca="1">+BB904*-Assumptions!$H$117</f>
        <v>0</v>
      </c>
      <c r="BC905" s="34">
        <f ca="1">+BC904*-Assumptions!$H$117</f>
        <v>0</v>
      </c>
      <c r="BD905" s="34">
        <f ca="1">+BD904*-Assumptions!$H$117</f>
        <v>0</v>
      </c>
      <c r="BE905" s="34">
        <f ca="1">+BE904*-Assumptions!$H$117</f>
        <v>0</v>
      </c>
      <c r="BF905" s="34">
        <f ca="1">+BF904*-Assumptions!$H$117</f>
        <v>0</v>
      </c>
      <c r="BG905" s="34">
        <f ca="1">+BG904*-Assumptions!$H$117</f>
        <v>0</v>
      </c>
      <c r="BH905" s="34">
        <f ca="1">+BH904*-Assumptions!$H$117</f>
        <v>0</v>
      </c>
      <c r="BI905" s="34">
        <f ca="1">+BI904*-Assumptions!$H$117</f>
        <v>0</v>
      </c>
      <c r="BJ905" s="34">
        <f ca="1">+BJ904*-Assumptions!$H$117</f>
        <v>0</v>
      </c>
      <c r="BK905" s="34">
        <f ca="1">+BK904*-Assumptions!$H$117</f>
        <v>0</v>
      </c>
      <c r="BL905" s="34">
        <f ca="1">+BL904*-Assumptions!$H$117</f>
        <v>0</v>
      </c>
      <c r="BM905" s="34">
        <f ca="1">+BM904*-Assumptions!$H$117</f>
        <v>0</v>
      </c>
      <c r="BN905" s="34">
        <f ca="1">+BN904*-Assumptions!$H$117</f>
        <v>0</v>
      </c>
      <c r="BO905" s="34">
        <f ca="1">+BO904*-Assumptions!$H$117</f>
        <v>0</v>
      </c>
      <c r="BP905" s="34">
        <f ca="1">+BP904*-Assumptions!$H$117</f>
        <v>0</v>
      </c>
      <c r="BQ905" s="34">
        <f ca="1">+BQ904*-Assumptions!$H$117</f>
        <v>0</v>
      </c>
      <c r="BR905" s="34">
        <f ca="1">+BR904*-Assumptions!$H$117</f>
        <v>0</v>
      </c>
      <c r="BS905" s="34">
        <f ca="1">+BS904*-Assumptions!$H$117</f>
        <v>0</v>
      </c>
      <c r="BT905" s="34">
        <f ca="1">+BT904*-Assumptions!$H$117</f>
        <v>0</v>
      </c>
      <c r="BU905" s="34">
        <f ca="1">+BU904*-Assumptions!$H$117</f>
        <v>0</v>
      </c>
      <c r="BV905" s="34">
        <f ca="1">+BV904*-Assumptions!$H$117</f>
        <v>0</v>
      </c>
      <c r="BW905" s="34">
        <f ca="1">+BW904*-Assumptions!$H$117</f>
        <v>0</v>
      </c>
      <c r="BX905" s="34">
        <f ca="1">+BX904*-Assumptions!$H$117</f>
        <v>0</v>
      </c>
      <c r="BY905" s="34">
        <f ca="1">+BY904*-Assumptions!$H$117</f>
        <v>0</v>
      </c>
    </row>
    <row r="906" spans="2:77" s="37" customFormat="1" ht="15" outlineLevel="1">
      <c r="B906" s="22"/>
      <c r="C906" s="22"/>
      <c r="D906" s="22"/>
      <c r="E906" s="22" t="s">
        <v>527</v>
      </c>
      <c r="F906" s="36" t="s">
        <v>470</v>
      </c>
      <c r="G906" s="22"/>
      <c r="H906" s="37">
        <f t="shared" ref="H906" ca="1" si="1904">+SUM(H904:H905)</f>
        <v>0</v>
      </c>
      <c r="I906" s="37">
        <f t="shared" ref="I906:BT906" ca="1" si="1905">+SUM(I904:I905)</f>
        <v>0</v>
      </c>
      <c r="J906" s="37">
        <f t="shared" ca="1" si="1905"/>
        <v>-9665.2560414063009</v>
      </c>
      <c r="K906" s="37">
        <f t="shared" ca="1" si="1905"/>
        <v>-93604.954423803516</v>
      </c>
      <c r="L906" s="37">
        <f t="shared" ca="1" si="1905"/>
        <v>-92096.096757750434</v>
      </c>
      <c r="M906" s="37">
        <f t="shared" ca="1" si="1905"/>
        <v>-90499.315520320873</v>
      </c>
      <c r="N906" s="37">
        <f t="shared" ca="1" si="1905"/>
        <v>-88809.538173155073</v>
      </c>
      <c r="O906" s="37">
        <f t="shared" ca="1" si="1905"/>
        <v>-87021.400532824904</v>
      </c>
      <c r="P906" s="37">
        <f t="shared" ca="1" si="1905"/>
        <v>-85129.230022681426</v>
      </c>
      <c r="Q906" s="37">
        <f t="shared" ca="1" si="1905"/>
        <v>-83127.027963313361</v>
      </c>
      <c r="R906" s="37">
        <f t="shared" ca="1" si="1905"/>
        <v>-81008.450846437772</v>
      </c>
      <c r="S906" s="37">
        <f t="shared" ca="1" si="1905"/>
        <v>-78766.79053387788</v>
      </c>
      <c r="T906" s="37">
        <f t="shared" ca="1" si="1905"/>
        <v>-76394.95331993443</v>
      </c>
      <c r="U906" s="37">
        <f t="shared" ca="1" si="1905"/>
        <v>-73885.43779191612</v>
      </c>
      <c r="V906" s="37">
        <f t="shared" ca="1" si="1905"/>
        <v>-71230.311419850841</v>
      </c>
      <c r="W906" s="37">
        <f t="shared" ca="1" si="1905"/>
        <v>-68421.185802440858</v>
      </c>
      <c r="X906" s="37">
        <f t="shared" ca="1" si="1905"/>
        <v>-65449.190492138827</v>
      </c>
      <c r="Y906" s="37">
        <f t="shared" ca="1" si="1905"/>
        <v>-62304.945317795471</v>
      </c>
      <c r="Z906" s="37">
        <f t="shared" ca="1" si="1905"/>
        <v>-4.1756720747798684E-13</v>
      </c>
      <c r="AA906" s="37">
        <f t="shared" ca="1" si="1905"/>
        <v>-4.1756720747798684E-13</v>
      </c>
      <c r="AB906" s="37">
        <f t="shared" ca="1" si="1905"/>
        <v>-4.1756720747798684E-13</v>
      </c>
      <c r="AC906" s="37">
        <f t="shared" ca="1" si="1905"/>
        <v>-4.1756720747798684E-13</v>
      </c>
      <c r="AD906" s="37">
        <f t="shared" ca="1" si="1905"/>
        <v>-4.1756720747798684E-13</v>
      </c>
      <c r="AE906" s="37">
        <f t="shared" ca="1" si="1905"/>
        <v>-4.1756720747798684E-13</v>
      </c>
      <c r="AF906" s="37">
        <f t="shared" ca="1" si="1905"/>
        <v>-4.1756720747798684E-13</v>
      </c>
      <c r="AG906" s="37">
        <f t="shared" ca="1" si="1905"/>
        <v>-4.1756720747798684E-13</v>
      </c>
      <c r="AH906" s="37">
        <f t="shared" ca="1" si="1905"/>
        <v>-4.1756720747798684E-13</v>
      </c>
      <c r="AI906" s="37">
        <f t="shared" ca="1" si="1905"/>
        <v>-4.1756720747798684E-13</v>
      </c>
      <c r="AJ906" s="37">
        <f t="shared" ca="1" si="1905"/>
        <v>-4.1756720747798684E-13</v>
      </c>
      <c r="AK906" s="37">
        <f t="shared" ca="1" si="1905"/>
        <v>-4.1756720747798684E-13</v>
      </c>
      <c r="AL906" s="37">
        <f t="shared" ca="1" si="1905"/>
        <v>-4.1756720747798684E-13</v>
      </c>
      <c r="AM906" s="37">
        <f t="shared" ca="1" si="1905"/>
        <v>-4.1756720747798684E-13</v>
      </c>
      <c r="AN906" s="37">
        <f t="shared" ca="1" si="1905"/>
        <v>-4.1756720747798684E-13</v>
      </c>
      <c r="AO906" s="37">
        <f t="shared" ca="1" si="1905"/>
        <v>-4.1756720747798684E-13</v>
      </c>
      <c r="AP906" s="37">
        <f t="shared" ca="1" si="1905"/>
        <v>-4.1756720747798684E-13</v>
      </c>
      <c r="AQ906" s="37">
        <f t="shared" ca="1" si="1905"/>
        <v>-4.1756720747798684E-13</v>
      </c>
      <c r="AR906" s="37">
        <f t="shared" ca="1" si="1905"/>
        <v>-4.1756720747798684E-13</v>
      </c>
      <c r="AS906" s="37">
        <f t="shared" ca="1" si="1905"/>
        <v>-4.1756720747798684E-13</v>
      </c>
      <c r="AT906" s="37">
        <f t="shared" ca="1" si="1905"/>
        <v>-4.1756720747798684E-13</v>
      </c>
      <c r="AU906" s="37">
        <f t="shared" ca="1" si="1905"/>
        <v>-4.1756720747798684E-13</v>
      </c>
      <c r="AV906" s="37">
        <f t="shared" ca="1" si="1905"/>
        <v>-4.1756720747798684E-13</v>
      </c>
      <c r="AW906" s="37">
        <f t="shared" ca="1" si="1905"/>
        <v>-4.1756720747798684E-13</v>
      </c>
      <c r="AX906" s="37">
        <f t="shared" ca="1" si="1905"/>
        <v>-4.1756720747798684E-13</v>
      </c>
      <c r="AY906" s="37">
        <f t="shared" ca="1" si="1905"/>
        <v>-4.1756720747798684E-13</v>
      </c>
      <c r="AZ906" s="37">
        <f t="shared" ca="1" si="1905"/>
        <v>-4.1756720747798684E-13</v>
      </c>
      <c r="BA906" s="37">
        <f t="shared" ca="1" si="1905"/>
        <v>-4.1756720747798684E-13</v>
      </c>
      <c r="BB906" s="37">
        <f t="shared" ca="1" si="1905"/>
        <v>-4.1756720747798684E-13</v>
      </c>
      <c r="BC906" s="37">
        <f t="shared" ca="1" si="1905"/>
        <v>-4.1756720747798684E-13</v>
      </c>
      <c r="BD906" s="37">
        <f t="shared" ca="1" si="1905"/>
        <v>-4.1756720747798684E-13</v>
      </c>
      <c r="BE906" s="37">
        <f t="shared" ca="1" si="1905"/>
        <v>-4.1756720747798684E-13</v>
      </c>
      <c r="BF906" s="37">
        <f t="shared" ca="1" si="1905"/>
        <v>-4.1756720747798684E-13</v>
      </c>
      <c r="BG906" s="37">
        <f t="shared" ca="1" si="1905"/>
        <v>-4.1756720747798684E-13</v>
      </c>
      <c r="BH906" s="37">
        <f t="shared" ca="1" si="1905"/>
        <v>-4.1756720747798684E-13</v>
      </c>
      <c r="BI906" s="37">
        <f t="shared" ca="1" si="1905"/>
        <v>-4.1756720747798684E-13</v>
      </c>
      <c r="BJ906" s="37">
        <f t="shared" ca="1" si="1905"/>
        <v>-4.1756720747798684E-13</v>
      </c>
      <c r="BK906" s="37">
        <f t="shared" ca="1" si="1905"/>
        <v>-4.1756720747798684E-13</v>
      </c>
      <c r="BL906" s="37">
        <f t="shared" ca="1" si="1905"/>
        <v>-4.1756720747798684E-13</v>
      </c>
      <c r="BM906" s="37">
        <f t="shared" ca="1" si="1905"/>
        <v>-4.1756720747798684E-13</v>
      </c>
      <c r="BN906" s="37">
        <f t="shared" ca="1" si="1905"/>
        <v>-4.1756720747798684E-13</v>
      </c>
      <c r="BO906" s="37">
        <f t="shared" ca="1" si="1905"/>
        <v>-4.1756720747798684E-13</v>
      </c>
      <c r="BP906" s="37">
        <f t="shared" ca="1" si="1905"/>
        <v>-4.1756720747798684E-13</v>
      </c>
      <c r="BQ906" s="37">
        <f t="shared" ca="1" si="1905"/>
        <v>-4.1756720747798684E-13</v>
      </c>
      <c r="BR906" s="37">
        <f t="shared" ca="1" si="1905"/>
        <v>-4.1756720747798684E-13</v>
      </c>
      <c r="BS906" s="37">
        <f t="shared" ca="1" si="1905"/>
        <v>-4.1756720747798684E-13</v>
      </c>
      <c r="BT906" s="37">
        <f t="shared" ca="1" si="1905"/>
        <v>-4.1756720747798684E-13</v>
      </c>
      <c r="BU906" s="37">
        <f t="shared" ref="BU906:BY906" ca="1" si="1906">+SUM(BU904:BU905)</f>
        <v>-4.1756720747798684E-13</v>
      </c>
      <c r="BV906" s="37">
        <f t="shared" ca="1" si="1906"/>
        <v>-4.1756720747798684E-13</v>
      </c>
      <c r="BW906" s="37">
        <f t="shared" ca="1" si="1906"/>
        <v>-4.1756720747798684E-13</v>
      </c>
      <c r="BX906" s="37">
        <f t="shared" ca="1" si="1906"/>
        <v>-4.1756720747798684E-13</v>
      </c>
      <c r="BY906" s="37">
        <f t="shared" ca="1" si="1906"/>
        <v>-4.1756720747798684E-13</v>
      </c>
    </row>
    <row r="907" spans="2:77" s="37" customFormat="1" ht="15" outlineLevel="1">
      <c r="B907" s="22"/>
      <c r="C907" s="22"/>
      <c r="D907" s="22"/>
      <c r="E907" s="22"/>
      <c r="F907" s="36"/>
      <c r="G907" s="22"/>
    </row>
    <row r="908" spans="2:77" s="37" customFormat="1" ht="15" outlineLevel="1">
      <c r="B908" s="22"/>
      <c r="C908" s="22"/>
      <c r="D908" s="22"/>
      <c r="F908" s="36"/>
      <c r="G908" s="22"/>
    </row>
    <row r="909" spans="2:77" s="37" customFormat="1" ht="15" outlineLevel="1">
      <c r="B909" s="22"/>
      <c r="C909" s="22"/>
      <c r="D909" s="22"/>
      <c r="E909" s="77" t="s">
        <v>366</v>
      </c>
      <c r="F909" s="23"/>
      <c r="G909"/>
      <c r="H909" s="33"/>
      <c r="I909" s="33"/>
      <c r="J909" s="33"/>
      <c r="K909" s="33"/>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c r="AS909" s="33"/>
      <c r="AT909" s="33"/>
      <c r="AU909" s="33"/>
      <c r="AV909" s="33"/>
      <c r="AW909" s="33"/>
      <c r="AX909" s="33"/>
      <c r="AY909" s="33"/>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c r="BY909" s="33"/>
    </row>
    <row r="910" spans="2:77" s="37" customFormat="1" ht="15" outlineLevel="1">
      <c r="B910" s="22"/>
      <c r="C910" s="22"/>
      <c r="D910" s="22"/>
      <c r="E910" t="s">
        <v>450</v>
      </c>
      <c r="F910" s="23" t="s">
        <v>466</v>
      </c>
      <c r="G910"/>
      <c r="H910" s="33">
        <f t="shared" ref="H910:AM910" si="1907">+SUM(H751:H751)</f>
        <v>0</v>
      </c>
      <c r="I910" s="33">
        <f t="shared" si="1907"/>
        <v>0</v>
      </c>
      <c r="J910" s="33">
        <f t="shared" si="1907"/>
        <v>0</v>
      </c>
      <c r="K910" s="33">
        <f t="shared" si="1907"/>
        <v>-5929.5262623968447</v>
      </c>
      <c r="L910" s="33">
        <f t="shared" si="1907"/>
        <v>-6048.1167876447817</v>
      </c>
      <c r="M910" s="33">
        <f t="shared" si="1907"/>
        <v>-6169.0791233976779</v>
      </c>
      <c r="N910" s="33">
        <f t="shared" si="1907"/>
        <v>-6292.4607058656293</v>
      </c>
      <c r="O910" s="33">
        <f t="shared" si="1907"/>
        <v>-6418.309919982943</v>
      </c>
      <c r="P910" s="33">
        <f t="shared" si="1907"/>
        <v>-6546.676118382602</v>
      </c>
      <c r="Q910" s="33">
        <f t="shared" si="1907"/>
        <v>-6677.6096407502537</v>
      </c>
      <c r="R910" s="33">
        <f t="shared" si="1907"/>
        <v>-6811.1618335652574</v>
      </c>
      <c r="S910" s="33">
        <f t="shared" si="1907"/>
        <v>-6947.3850702365644</v>
      </c>
      <c r="T910" s="33">
        <f t="shared" si="1907"/>
        <v>-7086.332771641295</v>
      </c>
      <c r="U910" s="33">
        <f t="shared" si="1907"/>
        <v>-7228.0594270741212</v>
      </c>
      <c r="V910" s="33">
        <f t="shared" si="1907"/>
        <v>-7372.6206156156022</v>
      </c>
      <c r="W910" s="33">
        <f t="shared" si="1907"/>
        <v>-7520.0730279279151</v>
      </c>
      <c r="X910" s="33">
        <f t="shared" si="1907"/>
        <v>-7670.474488486474</v>
      </c>
      <c r="Y910" s="33">
        <f t="shared" si="1907"/>
        <v>-7823.8839782562027</v>
      </c>
      <c r="Z910" s="33">
        <f t="shared" si="1907"/>
        <v>0</v>
      </c>
      <c r="AA910" s="33">
        <f t="shared" si="1907"/>
        <v>0</v>
      </c>
      <c r="AB910" s="33">
        <f t="shared" si="1907"/>
        <v>0</v>
      </c>
      <c r="AC910" s="33">
        <f t="shared" si="1907"/>
        <v>0</v>
      </c>
      <c r="AD910" s="33">
        <f t="shared" si="1907"/>
        <v>0</v>
      </c>
      <c r="AE910" s="33">
        <f t="shared" si="1907"/>
        <v>0</v>
      </c>
      <c r="AF910" s="33">
        <f t="shared" si="1907"/>
        <v>0</v>
      </c>
      <c r="AG910" s="33">
        <f t="shared" si="1907"/>
        <v>0</v>
      </c>
      <c r="AH910" s="33">
        <f t="shared" si="1907"/>
        <v>0</v>
      </c>
      <c r="AI910" s="33">
        <f t="shared" si="1907"/>
        <v>0</v>
      </c>
      <c r="AJ910" s="33">
        <f t="shared" si="1907"/>
        <v>0</v>
      </c>
      <c r="AK910" s="33">
        <f t="shared" si="1907"/>
        <v>0</v>
      </c>
      <c r="AL910" s="33">
        <f t="shared" si="1907"/>
        <v>0</v>
      </c>
      <c r="AM910" s="33">
        <f t="shared" si="1907"/>
        <v>0</v>
      </c>
      <c r="AN910" s="33">
        <f t="shared" ref="AN910:BS910" si="1908">+SUM(AN751:AN751)</f>
        <v>0</v>
      </c>
      <c r="AO910" s="33">
        <f t="shared" si="1908"/>
        <v>0</v>
      </c>
      <c r="AP910" s="33">
        <f t="shared" si="1908"/>
        <v>0</v>
      </c>
      <c r="AQ910" s="33">
        <f t="shared" si="1908"/>
        <v>0</v>
      </c>
      <c r="AR910" s="33">
        <f t="shared" si="1908"/>
        <v>0</v>
      </c>
      <c r="AS910" s="33">
        <f t="shared" si="1908"/>
        <v>0</v>
      </c>
      <c r="AT910" s="33">
        <f t="shared" si="1908"/>
        <v>0</v>
      </c>
      <c r="AU910" s="33">
        <f t="shared" si="1908"/>
        <v>0</v>
      </c>
      <c r="AV910" s="33">
        <f t="shared" si="1908"/>
        <v>0</v>
      </c>
      <c r="AW910" s="33">
        <f t="shared" si="1908"/>
        <v>0</v>
      </c>
      <c r="AX910" s="33">
        <f t="shared" si="1908"/>
        <v>0</v>
      </c>
      <c r="AY910" s="33">
        <f t="shared" si="1908"/>
        <v>0</v>
      </c>
      <c r="AZ910" s="33">
        <f t="shared" si="1908"/>
        <v>0</v>
      </c>
      <c r="BA910" s="33">
        <f t="shared" si="1908"/>
        <v>0</v>
      </c>
      <c r="BB910" s="33">
        <f t="shared" si="1908"/>
        <v>0</v>
      </c>
      <c r="BC910" s="33">
        <f t="shared" si="1908"/>
        <v>0</v>
      </c>
      <c r="BD910" s="33">
        <f t="shared" si="1908"/>
        <v>0</v>
      </c>
      <c r="BE910" s="33">
        <f t="shared" si="1908"/>
        <v>0</v>
      </c>
      <c r="BF910" s="33">
        <f t="shared" si="1908"/>
        <v>0</v>
      </c>
      <c r="BG910" s="33">
        <f t="shared" si="1908"/>
        <v>0</v>
      </c>
      <c r="BH910" s="33">
        <f t="shared" si="1908"/>
        <v>0</v>
      </c>
      <c r="BI910" s="33">
        <f t="shared" si="1908"/>
        <v>0</v>
      </c>
      <c r="BJ910" s="33">
        <f t="shared" si="1908"/>
        <v>0</v>
      </c>
      <c r="BK910" s="33">
        <f t="shared" si="1908"/>
        <v>0</v>
      </c>
      <c r="BL910" s="33">
        <f t="shared" si="1908"/>
        <v>0</v>
      </c>
      <c r="BM910" s="33">
        <f t="shared" si="1908"/>
        <v>0</v>
      </c>
      <c r="BN910" s="33">
        <f t="shared" si="1908"/>
        <v>0</v>
      </c>
      <c r="BO910" s="33">
        <f t="shared" si="1908"/>
        <v>0</v>
      </c>
      <c r="BP910" s="33">
        <f t="shared" si="1908"/>
        <v>0</v>
      </c>
      <c r="BQ910" s="33">
        <f t="shared" si="1908"/>
        <v>0</v>
      </c>
      <c r="BR910" s="33">
        <f t="shared" si="1908"/>
        <v>0</v>
      </c>
      <c r="BS910" s="33">
        <f t="shared" si="1908"/>
        <v>0</v>
      </c>
      <c r="BT910" s="33">
        <f t="shared" ref="BT910:BY910" si="1909">+SUM(BT751:BT751)</f>
        <v>0</v>
      </c>
      <c r="BU910" s="33">
        <f t="shared" si="1909"/>
        <v>0</v>
      </c>
      <c r="BV910" s="33">
        <f t="shared" si="1909"/>
        <v>0</v>
      </c>
      <c r="BW910" s="33">
        <f t="shared" si="1909"/>
        <v>0</v>
      </c>
      <c r="BX910" s="33">
        <f t="shared" si="1909"/>
        <v>0</v>
      </c>
      <c r="BY910" s="33">
        <f t="shared" si="1909"/>
        <v>0</v>
      </c>
    </row>
    <row r="911" spans="2:77" s="37" customFormat="1" ht="15" outlineLevel="1">
      <c r="B911" s="22"/>
      <c r="C911" s="22"/>
      <c r="D911" s="22"/>
      <c r="E911" t="s">
        <v>467</v>
      </c>
      <c r="F911" s="23" t="s">
        <v>466</v>
      </c>
      <c r="G911"/>
      <c r="H911" s="33">
        <f>+IFERROR($C$742/Assumptions!$H$170*H$731,0)</f>
        <v>0</v>
      </c>
      <c r="I911" s="33">
        <f>+IFERROR($C$742/Assumptions!$H$170*I$731,0)</f>
        <v>0</v>
      </c>
      <c r="J911" s="33">
        <f>+IFERROR($C$742/Assumptions!$H$170*J$731,0)</f>
        <v>0</v>
      </c>
      <c r="K911" s="33">
        <f>+IFERROR($C$742/Assumptions!$H$170*K$731,0)</f>
        <v>-34537.609717536398</v>
      </c>
      <c r="L911" s="33">
        <f>+IFERROR($C$742/Assumptions!$H$170*L$731,0)</f>
        <v>-34537.609717536398</v>
      </c>
      <c r="M911" s="33">
        <f>+IFERROR($C$742/Assumptions!$H$170*M$731,0)</f>
        <v>-34537.609717536398</v>
      </c>
      <c r="N911" s="33">
        <f>+IFERROR($C$742/Assumptions!$H$170*N$731,0)</f>
        <v>-34537.609717536398</v>
      </c>
      <c r="O911" s="33">
        <f>+IFERROR($C$742/Assumptions!$H$170*O$731,0)</f>
        <v>-34537.609717536398</v>
      </c>
      <c r="P911" s="33">
        <f>+IFERROR($C$742/Assumptions!$H$170*P$731,0)</f>
        <v>-34537.609717536398</v>
      </c>
      <c r="Q911" s="33">
        <f>+IFERROR($C$742/Assumptions!$H$170*Q$731,0)</f>
        <v>-34537.609717536398</v>
      </c>
      <c r="R911" s="33">
        <f>+IFERROR($C$742/Assumptions!$H$170*R$731,0)</f>
        <v>-34537.609717536398</v>
      </c>
      <c r="S911" s="33">
        <f>+IFERROR($C$742/Assumptions!$H$170*S$731,0)</f>
        <v>-34537.609717536398</v>
      </c>
      <c r="T911" s="33">
        <f>+IFERROR($C$742/Assumptions!$H$170*T$731,0)</f>
        <v>-34537.609717536398</v>
      </c>
      <c r="U911" s="33">
        <f>+IFERROR($C$742/Assumptions!$H$170*U$731,0)</f>
        <v>-34537.609717536398</v>
      </c>
      <c r="V911" s="33">
        <f>+IFERROR($C$742/Assumptions!$H$170*V$731,0)</f>
        <v>-34537.609717536398</v>
      </c>
      <c r="W911" s="33">
        <f>+IFERROR($C$742/Assumptions!$H$170*W$731,0)</f>
        <v>-34537.609717536398</v>
      </c>
      <c r="X911" s="33">
        <f>+IFERROR($C$742/Assumptions!$H$170*X$731,0)</f>
        <v>-34537.609717536398</v>
      </c>
      <c r="Y911" s="33">
        <f>+IFERROR($C$742/Assumptions!$H$170*Y$731,0)</f>
        <v>-34537.609717536398</v>
      </c>
      <c r="Z911" s="33">
        <f>+IFERROR($C$742/Assumptions!$H$170*Z$731,0)</f>
        <v>-34537.609717536398</v>
      </c>
      <c r="AA911" s="33">
        <f>+IFERROR($C$742/Assumptions!$H$170*AA$731,0)</f>
        <v>0</v>
      </c>
      <c r="AB911" s="33">
        <f>+IFERROR($C$742/Assumptions!$H$170*AB$731,0)</f>
        <v>0</v>
      </c>
      <c r="AC911" s="33">
        <f>+IFERROR($C$742/Assumptions!$H$170*AC$731,0)</f>
        <v>0</v>
      </c>
      <c r="AD911" s="33">
        <f>+IFERROR($C$742/Assumptions!$H$170*AD$731,0)</f>
        <v>0</v>
      </c>
      <c r="AE911" s="33">
        <f>+IFERROR($C$742/Assumptions!$H$170*AE$731,0)</f>
        <v>0</v>
      </c>
      <c r="AF911" s="33">
        <f>+IFERROR($C$742/Assumptions!$H$170*AF$731,0)</f>
        <v>0</v>
      </c>
      <c r="AG911" s="33">
        <f>+IFERROR($C$742/Assumptions!$H$170*AG$731,0)</f>
        <v>0</v>
      </c>
      <c r="AH911" s="33">
        <f>+IFERROR($C$742/Assumptions!$H$170*AH$731,0)</f>
        <v>0</v>
      </c>
      <c r="AI911" s="33">
        <f>+IFERROR($C$742/Assumptions!$H$170*AI$731,0)</f>
        <v>0</v>
      </c>
      <c r="AJ911" s="33">
        <f>+IFERROR($C$742/Assumptions!$H$170*AJ$731,0)</f>
        <v>0</v>
      </c>
      <c r="AK911" s="33">
        <f>+IFERROR($C$742/Assumptions!$H$170*AK$731,0)</f>
        <v>0</v>
      </c>
      <c r="AL911" s="33">
        <f>+IFERROR($C$742/Assumptions!$H$170*AL$731,0)</f>
        <v>0</v>
      </c>
      <c r="AM911" s="33">
        <f>+IFERROR($C$742/Assumptions!$H$170*AM$731,0)</f>
        <v>0</v>
      </c>
      <c r="AN911" s="33">
        <f>+IFERROR($C$742/Assumptions!$H$170*AN$731,0)</f>
        <v>0</v>
      </c>
      <c r="AO911" s="33">
        <f>+IFERROR($C$742/Assumptions!$H$170*AO$731,0)</f>
        <v>0</v>
      </c>
      <c r="AP911" s="33">
        <f>+IFERROR($C$742/Assumptions!$H$170*AP$731,0)</f>
        <v>0</v>
      </c>
      <c r="AQ911" s="33">
        <f>+IFERROR($C$742/Assumptions!$H$170*AQ$731,0)</f>
        <v>0</v>
      </c>
      <c r="AR911" s="33">
        <f>+IFERROR($C$742/Assumptions!$H$170*AR$731,0)</f>
        <v>0</v>
      </c>
      <c r="AS911" s="33">
        <f>+IFERROR($C$742/Assumptions!$H$170*AS$731,0)</f>
        <v>0</v>
      </c>
      <c r="AT911" s="33">
        <f>+IFERROR($C$742/Assumptions!$H$170*AT$731,0)</f>
        <v>0</v>
      </c>
      <c r="AU911" s="33">
        <f>+IFERROR($C$742/Assumptions!$H$170*AU$731,0)</f>
        <v>0</v>
      </c>
      <c r="AV911" s="33">
        <f>+IFERROR($C$742/Assumptions!$H$170*AV$731,0)</f>
        <v>0</v>
      </c>
      <c r="AW911" s="33">
        <f>+IFERROR($C$742/Assumptions!$H$170*AW$731,0)</f>
        <v>0</v>
      </c>
      <c r="AX911" s="33">
        <f>+IFERROR($C$742/Assumptions!$H$170*AX$731,0)</f>
        <v>0</v>
      </c>
      <c r="AY911" s="33">
        <f>+IFERROR($C$742/Assumptions!$H$170*AY$731,0)</f>
        <v>0</v>
      </c>
      <c r="AZ911" s="33">
        <f>+IFERROR($C$742/Assumptions!$H$170*AZ$731,0)</f>
        <v>0</v>
      </c>
      <c r="BA911" s="33">
        <f>+IFERROR($C$742/Assumptions!$H$170*BA$731,0)</f>
        <v>0</v>
      </c>
      <c r="BB911" s="33">
        <f>+IFERROR($C$742/Assumptions!$H$170*BB$731,0)</f>
        <v>0</v>
      </c>
      <c r="BC911" s="33">
        <f>+IFERROR($C$742/Assumptions!$H$170*BC$731,0)</f>
        <v>0</v>
      </c>
      <c r="BD911" s="33">
        <f>+IFERROR($C$742/Assumptions!$H$170*BD$731,0)</f>
        <v>0</v>
      </c>
      <c r="BE911" s="33">
        <f>+IFERROR($C$742/Assumptions!$H$170*BE$731,0)</f>
        <v>0</v>
      </c>
      <c r="BF911" s="33">
        <f>+IFERROR($C$742/Assumptions!$H$170*BF$731,0)</f>
        <v>0</v>
      </c>
      <c r="BG911" s="33">
        <f>+IFERROR($C$742/Assumptions!$H$170*BG$731,0)</f>
        <v>0</v>
      </c>
      <c r="BH911" s="33">
        <f>+IFERROR($C$742/Assumptions!$H$170*BH$731,0)</f>
        <v>0</v>
      </c>
      <c r="BI911" s="33">
        <f>+IFERROR($C$742/Assumptions!$H$170*BI$731,0)</f>
        <v>0</v>
      </c>
      <c r="BJ911" s="33">
        <f>+IFERROR($C$742/Assumptions!$H$170*BJ$731,0)</f>
        <v>0</v>
      </c>
      <c r="BK911" s="33">
        <f>+IFERROR($C$742/Assumptions!$H$170*BK$731,0)</f>
        <v>0</v>
      </c>
      <c r="BL911" s="33">
        <f>+IFERROR($C$742/Assumptions!$H$170*BL$731,0)</f>
        <v>0</v>
      </c>
      <c r="BM911" s="33">
        <f>+IFERROR($C$742/Assumptions!$H$170*BM$731,0)</f>
        <v>0</v>
      </c>
      <c r="BN911" s="33">
        <f>+IFERROR($C$742/Assumptions!$H$170*BN$731,0)</f>
        <v>0</v>
      </c>
      <c r="BO911" s="33">
        <f>+IFERROR($C$742/Assumptions!$H$170*BO$731,0)</f>
        <v>0</v>
      </c>
      <c r="BP911" s="33">
        <f>+IFERROR($C$742/Assumptions!$H$170*BP$731,0)</f>
        <v>0</v>
      </c>
      <c r="BQ911" s="33">
        <f>+IFERROR($C$742/Assumptions!$H$170*BQ$731,0)</f>
        <v>0</v>
      </c>
      <c r="BR911" s="33">
        <f>+IFERROR($C$742/Assumptions!$H$170*BR$731,0)</f>
        <v>0</v>
      </c>
      <c r="BS911" s="33">
        <f>+IFERROR($C$742/Assumptions!$H$170*BS$731,0)</f>
        <v>0</v>
      </c>
      <c r="BT911" s="33">
        <f>+IFERROR($C$742/Assumptions!$H$170*BT$731,0)</f>
        <v>0</v>
      </c>
      <c r="BU911" s="33">
        <f>+IFERROR($C$742/Assumptions!$H$170*BU$731,0)</f>
        <v>0</v>
      </c>
      <c r="BV911" s="33">
        <f>+IFERROR($C$742/Assumptions!$H$170*BV$731,0)</f>
        <v>0</v>
      </c>
      <c r="BW911" s="33">
        <f>+IFERROR($C$742/Assumptions!$H$170*BW$731,0)</f>
        <v>0</v>
      </c>
      <c r="BX911" s="33">
        <f>+IFERROR($C$742/Assumptions!$H$170*BX$731,0)</f>
        <v>0</v>
      </c>
      <c r="BY911" s="33">
        <f>+IFERROR($C$742/Assumptions!$H$170*BY$731,0)</f>
        <v>0</v>
      </c>
    </row>
    <row r="912" spans="2:77" s="37" customFormat="1" ht="15" outlineLevel="1">
      <c r="B912" s="22"/>
      <c r="C912" s="22"/>
      <c r="D912" s="22"/>
      <c r="E912" t="s">
        <v>468</v>
      </c>
      <c r="F912" s="23" t="s">
        <v>466</v>
      </c>
      <c r="G912"/>
      <c r="H912" s="33">
        <f t="shared" ref="H912:AM912" ca="1" si="1910">+H851+H883</f>
        <v>0</v>
      </c>
      <c r="I912" s="33">
        <f t="shared" ca="1" si="1910"/>
        <v>0</v>
      </c>
      <c r="J912" s="33">
        <f t="shared" ca="1" si="1910"/>
        <v>-9665.2560414062991</v>
      </c>
      <c r="K912" s="33">
        <f t="shared" ca="1" si="1910"/>
        <v>-34263.41368252378</v>
      </c>
      <c r="L912" s="33">
        <f t="shared" ca="1" si="1910"/>
        <v>-32718.978858896324</v>
      </c>
      <c r="M912" s="33">
        <f t="shared" ca="1" si="1910"/>
        <v>-31085.908920740887</v>
      </c>
      <c r="N912" s="33">
        <f t="shared" ca="1" si="1910"/>
        <v>-29359.117098834711</v>
      </c>
      <c r="O912" s="33">
        <f t="shared" ca="1" si="1910"/>
        <v>-27533.224694269342</v>
      </c>
      <c r="P912" s="33">
        <f t="shared" ca="1" si="1910"/>
        <v>-25602.544324605966</v>
      </c>
      <c r="Q912" s="33">
        <f t="shared" ca="1" si="1910"/>
        <v>-23561.062208527605</v>
      </c>
      <c r="R912" s="33">
        <f t="shared" ca="1" si="1910"/>
        <v>-21402.419433807514</v>
      </c>
      <c r="S912" s="33">
        <f t="shared" ca="1" si="1910"/>
        <v>-19119.892150246229</v>
      </c>
      <c r="T912" s="33">
        <f t="shared" ca="1" si="1910"/>
        <v>-16706.370625881365</v>
      </c>
      <c r="U912" s="33">
        <f t="shared" ca="1" si="1910"/>
        <v>-14154.337101233205</v>
      </c>
      <c r="V912" s="33">
        <f t="shared" ca="1" si="1910"/>
        <v>-11455.842372605483</v>
      </c>
      <c r="W912" s="33">
        <f t="shared" ca="1" si="1910"/>
        <v>-8602.4810315018185</v>
      </c>
      <c r="X912" s="33">
        <f t="shared" ca="1" si="1910"/>
        <v>-5585.3652830322126</v>
      </c>
      <c r="Y912" s="33">
        <f t="shared" ca="1" si="1910"/>
        <v>-2395.0972617579368</v>
      </c>
      <c r="Z912" s="33">
        <f t="shared" ca="1" si="1910"/>
        <v>-9.6040457719936973E-12</v>
      </c>
      <c r="AA912" s="33">
        <f t="shared" ca="1" si="1910"/>
        <v>-9.6040457719936973E-12</v>
      </c>
      <c r="AB912" s="33">
        <f t="shared" ca="1" si="1910"/>
        <v>-9.6040457719936973E-12</v>
      </c>
      <c r="AC912" s="33">
        <f t="shared" ca="1" si="1910"/>
        <v>-9.6040457719936973E-12</v>
      </c>
      <c r="AD912" s="33">
        <f t="shared" ca="1" si="1910"/>
        <v>-9.6040457719936973E-12</v>
      </c>
      <c r="AE912" s="33">
        <f t="shared" ca="1" si="1910"/>
        <v>-9.6040457719936973E-12</v>
      </c>
      <c r="AF912" s="33">
        <f t="shared" ca="1" si="1910"/>
        <v>-9.6040457719936973E-12</v>
      </c>
      <c r="AG912" s="33">
        <f t="shared" ca="1" si="1910"/>
        <v>-9.6040457719936973E-12</v>
      </c>
      <c r="AH912" s="33">
        <f t="shared" ca="1" si="1910"/>
        <v>-9.6040457719936973E-12</v>
      </c>
      <c r="AI912" s="33">
        <f t="shared" ca="1" si="1910"/>
        <v>-9.6040457719936973E-12</v>
      </c>
      <c r="AJ912" s="33">
        <f t="shared" ca="1" si="1910"/>
        <v>-9.6040457719936973E-12</v>
      </c>
      <c r="AK912" s="33">
        <f t="shared" ca="1" si="1910"/>
        <v>-9.6040457719936973E-12</v>
      </c>
      <c r="AL912" s="33">
        <f t="shared" ca="1" si="1910"/>
        <v>-9.6040457719936973E-12</v>
      </c>
      <c r="AM912" s="33">
        <f t="shared" ca="1" si="1910"/>
        <v>-9.6040457719936973E-12</v>
      </c>
      <c r="AN912" s="33">
        <f t="shared" ref="AN912:BS912" ca="1" si="1911">+AN851+AN883</f>
        <v>-9.6040457719936973E-12</v>
      </c>
      <c r="AO912" s="33">
        <f t="shared" ca="1" si="1911"/>
        <v>-9.6040457719936973E-12</v>
      </c>
      <c r="AP912" s="33">
        <f t="shared" ca="1" si="1911"/>
        <v>-9.6040457719936973E-12</v>
      </c>
      <c r="AQ912" s="33">
        <f t="shared" ca="1" si="1911"/>
        <v>-9.6040457719936973E-12</v>
      </c>
      <c r="AR912" s="33">
        <f t="shared" ca="1" si="1911"/>
        <v>-9.6040457719936973E-12</v>
      </c>
      <c r="AS912" s="33">
        <f t="shared" ca="1" si="1911"/>
        <v>-9.6040457719936973E-12</v>
      </c>
      <c r="AT912" s="33">
        <f t="shared" ca="1" si="1911"/>
        <v>-9.6040457719936973E-12</v>
      </c>
      <c r="AU912" s="33">
        <f t="shared" ca="1" si="1911"/>
        <v>-9.6040457719936973E-12</v>
      </c>
      <c r="AV912" s="33">
        <f t="shared" ca="1" si="1911"/>
        <v>-9.6040457719936973E-12</v>
      </c>
      <c r="AW912" s="33">
        <f t="shared" ca="1" si="1911"/>
        <v>-9.6040457719936973E-12</v>
      </c>
      <c r="AX912" s="33">
        <f t="shared" ca="1" si="1911"/>
        <v>-9.6040457719936973E-12</v>
      </c>
      <c r="AY912" s="33">
        <f t="shared" ca="1" si="1911"/>
        <v>-9.6040457719936973E-12</v>
      </c>
      <c r="AZ912" s="33">
        <f t="shared" ca="1" si="1911"/>
        <v>-9.6040457719936973E-12</v>
      </c>
      <c r="BA912" s="33">
        <f t="shared" ca="1" si="1911"/>
        <v>-9.6040457719936973E-12</v>
      </c>
      <c r="BB912" s="33">
        <f t="shared" ca="1" si="1911"/>
        <v>-9.6040457719936973E-12</v>
      </c>
      <c r="BC912" s="33">
        <f t="shared" ca="1" si="1911"/>
        <v>-9.6040457719936973E-12</v>
      </c>
      <c r="BD912" s="33">
        <f t="shared" ca="1" si="1911"/>
        <v>-9.6040457719936973E-12</v>
      </c>
      <c r="BE912" s="33">
        <f t="shared" ca="1" si="1911"/>
        <v>-9.6040457719936973E-12</v>
      </c>
      <c r="BF912" s="33">
        <f t="shared" ca="1" si="1911"/>
        <v>-9.6040457719936973E-12</v>
      </c>
      <c r="BG912" s="33">
        <f t="shared" ca="1" si="1911"/>
        <v>-9.6040457719936973E-12</v>
      </c>
      <c r="BH912" s="33">
        <f t="shared" ca="1" si="1911"/>
        <v>-9.6040457719936973E-12</v>
      </c>
      <c r="BI912" s="33">
        <f t="shared" ca="1" si="1911"/>
        <v>-9.6040457719936973E-12</v>
      </c>
      <c r="BJ912" s="33">
        <f t="shared" ca="1" si="1911"/>
        <v>-9.6040457719936973E-12</v>
      </c>
      <c r="BK912" s="33">
        <f t="shared" ca="1" si="1911"/>
        <v>-9.6040457719936973E-12</v>
      </c>
      <c r="BL912" s="33">
        <f t="shared" ca="1" si="1911"/>
        <v>-9.6040457719936973E-12</v>
      </c>
      <c r="BM912" s="33">
        <f t="shared" ca="1" si="1911"/>
        <v>-9.6040457719936973E-12</v>
      </c>
      <c r="BN912" s="33">
        <f t="shared" ca="1" si="1911"/>
        <v>-9.6040457719936973E-12</v>
      </c>
      <c r="BO912" s="33">
        <f t="shared" ca="1" si="1911"/>
        <v>-9.6040457719936973E-12</v>
      </c>
      <c r="BP912" s="33">
        <f t="shared" ca="1" si="1911"/>
        <v>-9.6040457719936973E-12</v>
      </c>
      <c r="BQ912" s="33">
        <f t="shared" ca="1" si="1911"/>
        <v>-9.6040457719936973E-12</v>
      </c>
      <c r="BR912" s="33">
        <f t="shared" ca="1" si="1911"/>
        <v>-9.6040457719936973E-12</v>
      </c>
      <c r="BS912" s="33">
        <f t="shared" ca="1" si="1911"/>
        <v>-9.6040457719936973E-12</v>
      </c>
      <c r="BT912" s="33">
        <f t="shared" ref="BT912:BY912" ca="1" si="1912">+BT851+BT883</f>
        <v>-9.6040457719936973E-12</v>
      </c>
      <c r="BU912" s="33">
        <f t="shared" ca="1" si="1912"/>
        <v>-9.6040457719936973E-12</v>
      </c>
      <c r="BV912" s="33">
        <f t="shared" ca="1" si="1912"/>
        <v>-9.6040457719936973E-12</v>
      </c>
      <c r="BW912" s="33">
        <f t="shared" ca="1" si="1912"/>
        <v>-9.6040457719936973E-12</v>
      </c>
      <c r="BX912" s="33">
        <f t="shared" ca="1" si="1912"/>
        <v>-9.6040457719936973E-12</v>
      </c>
      <c r="BY912" s="33">
        <f t="shared" ca="1" si="1912"/>
        <v>-9.6040457719936973E-12</v>
      </c>
    </row>
    <row r="913" spans="2:77" s="37" customFormat="1" ht="15" outlineLevel="1">
      <c r="B913" s="22"/>
      <c r="C913" s="22"/>
      <c r="D913" s="22"/>
      <c r="E913" s="22" t="s">
        <v>469</v>
      </c>
      <c r="F913" s="36" t="s">
        <v>470</v>
      </c>
      <c r="G913" s="22"/>
      <c r="H913" s="37">
        <f ca="1">+SUM(H910:H912)</f>
        <v>0</v>
      </c>
      <c r="I913" s="37">
        <f t="shared" ref="I913:BT913" ca="1" si="1913">+SUM(I910:I912)</f>
        <v>0</v>
      </c>
      <c r="J913" s="37">
        <f t="shared" ca="1" si="1913"/>
        <v>-9665.2560414062991</v>
      </c>
      <c r="K913" s="37">
        <f t="shared" ca="1" si="1913"/>
        <v>-74730.549662457022</v>
      </c>
      <c r="L913" s="37">
        <f t="shared" ca="1" si="1913"/>
        <v>-73304.705364077498</v>
      </c>
      <c r="M913" s="37">
        <f t="shared" ca="1" si="1913"/>
        <v>-71792.597761674959</v>
      </c>
      <c r="N913" s="37">
        <f t="shared" ca="1" si="1913"/>
        <v>-70189.187522236738</v>
      </c>
      <c r="O913" s="37">
        <f t="shared" ca="1" si="1913"/>
        <v>-68489.144331788688</v>
      </c>
      <c r="P913" s="37">
        <f t="shared" ca="1" si="1913"/>
        <v>-66686.830160524958</v>
      </c>
      <c r="Q913" s="37">
        <f t="shared" ca="1" si="1913"/>
        <v>-64776.281566814258</v>
      </c>
      <c r="R913" s="37">
        <f t="shared" ca="1" si="1913"/>
        <v>-62751.190984909175</v>
      </c>
      <c r="S913" s="37">
        <f t="shared" ca="1" si="1913"/>
        <v>-60604.88693801919</v>
      </c>
      <c r="T913" s="37">
        <f t="shared" ca="1" si="1913"/>
        <v>-58330.313115059063</v>
      </c>
      <c r="U913" s="37">
        <f t="shared" ca="1" si="1913"/>
        <v>-55920.006245843724</v>
      </c>
      <c r="V913" s="37">
        <f t="shared" ca="1" si="1913"/>
        <v>-53366.072705757484</v>
      </c>
      <c r="W913" s="37">
        <f t="shared" ca="1" si="1913"/>
        <v>-50660.163776966132</v>
      </c>
      <c r="X913" s="37">
        <f t="shared" ca="1" si="1913"/>
        <v>-47793.449489055085</v>
      </c>
      <c r="Y913" s="37">
        <f t="shared" ca="1" si="1913"/>
        <v>-44756.590957550536</v>
      </c>
      <c r="Z913" s="37">
        <f t="shared" ca="1" si="1913"/>
        <v>-34537.609717536405</v>
      </c>
      <c r="AA913" s="37">
        <f t="shared" ca="1" si="1913"/>
        <v>-9.6040457719936973E-12</v>
      </c>
      <c r="AB913" s="37">
        <f t="shared" ca="1" si="1913"/>
        <v>-9.6040457719936973E-12</v>
      </c>
      <c r="AC913" s="37">
        <f t="shared" ca="1" si="1913"/>
        <v>-9.6040457719936973E-12</v>
      </c>
      <c r="AD913" s="37">
        <f t="shared" ca="1" si="1913"/>
        <v>-9.6040457719936973E-12</v>
      </c>
      <c r="AE913" s="37">
        <f t="shared" ca="1" si="1913"/>
        <v>-9.6040457719936973E-12</v>
      </c>
      <c r="AF913" s="37">
        <f t="shared" ca="1" si="1913"/>
        <v>-9.6040457719936973E-12</v>
      </c>
      <c r="AG913" s="37">
        <f t="shared" ca="1" si="1913"/>
        <v>-9.6040457719936973E-12</v>
      </c>
      <c r="AH913" s="37">
        <f t="shared" ca="1" si="1913"/>
        <v>-9.6040457719936973E-12</v>
      </c>
      <c r="AI913" s="37">
        <f t="shared" ca="1" si="1913"/>
        <v>-9.6040457719936973E-12</v>
      </c>
      <c r="AJ913" s="37">
        <f t="shared" ca="1" si="1913"/>
        <v>-9.6040457719936973E-12</v>
      </c>
      <c r="AK913" s="37">
        <f t="shared" ca="1" si="1913"/>
        <v>-9.6040457719936973E-12</v>
      </c>
      <c r="AL913" s="37">
        <f t="shared" ca="1" si="1913"/>
        <v>-9.6040457719936973E-12</v>
      </c>
      <c r="AM913" s="37">
        <f t="shared" ca="1" si="1913"/>
        <v>-9.6040457719936973E-12</v>
      </c>
      <c r="AN913" s="37">
        <f t="shared" ca="1" si="1913"/>
        <v>-9.6040457719936973E-12</v>
      </c>
      <c r="AO913" s="37">
        <f t="shared" ca="1" si="1913"/>
        <v>-9.6040457719936973E-12</v>
      </c>
      <c r="AP913" s="37">
        <f t="shared" ca="1" si="1913"/>
        <v>-9.6040457719936973E-12</v>
      </c>
      <c r="AQ913" s="37">
        <f t="shared" ca="1" si="1913"/>
        <v>-9.6040457719936973E-12</v>
      </c>
      <c r="AR913" s="37">
        <f t="shared" ca="1" si="1913"/>
        <v>-9.6040457719936973E-12</v>
      </c>
      <c r="AS913" s="37">
        <f t="shared" ca="1" si="1913"/>
        <v>-9.6040457719936973E-12</v>
      </c>
      <c r="AT913" s="37">
        <f t="shared" ca="1" si="1913"/>
        <v>-9.6040457719936973E-12</v>
      </c>
      <c r="AU913" s="37">
        <f t="shared" ca="1" si="1913"/>
        <v>-9.6040457719936973E-12</v>
      </c>
      <c r="AV913" s="37">
        <f t="shared" ca="1" si="1913"/>
        <v>-9.6040457719936973E-12</v>
      </c>
      <c r="AW913" s="37">
        <f t="shared" ca="1" si="1913"/>
        <v>-9.6040457719936973E-12</v>
      </c>
      <c r="AX913" s="37">
        <f t="shared" ca="1" si="1913"/>
        <v>-9.6040457719936973E-12</v>
      </c>
      <c r="AY913" s="37">
        <f t="shared" ca="1" si="1913"/>
        <v>-9.6040457719936973E-12</v>
      </c>
      <c r="AZ913" s="37">
        <f t="shared" ca="1" si="1913"/>
        <v>-9.6040457719936973E-12</v>
      </c>
      <c r="BA913" s="37">
        <f t="shared" ca="1" si="1913"/>
        <v>-9.6040457719936973E-12</v>
      </c>
      <c r="BB913" s="37">
        <f t="shared" ca="1" si="1913"/>
        <v>-9.6040457719936973E-12</v>
      </c>
      <c r="BC913" s="37">
        <f t="shared" ca="1" si="1913"/>
        <v>-9.6040457719936973E-12</v>
      </c>
      <c r="BD913" s="37">
        <f t="shared" ca="1" si="1913"/>
        <v>-9.6040457719936973E-12</v>
      </c>
      <c r="BE913" s="37">
        <f t="shared" ca="1" si="1913"/>
        <v>-9.6040457719936973E-12</v>
      </c>
      <c r="BF913" s="37">
        <f t="shared" ca="1" si="1913"/>
        <v>-9.6040457719936973E-12</v>
      </c>
      <c r="BG913" s="37">
        <f t="shared" ca="1" si="1913"/>
        <v>-9.6040457719936973E-12</v>
      </c>
      <c r="BH913" s="37">
        <f t="shared" ca="1" si="1913"/>
        <v>-9.6040457719936973E-12</v>
      </c>
      <c r="BI913" s="37">
        <f t="shared" ca="1" si="1913"/>
        <v>-9.6040457719936973E-12</v>
      </c>
      <c r="BJ913" s="37">
        <f t="shared" ca="1" si="1913"/>
        <v>-9.6040457719936973E-12</v>
      </c>
      <c r="BK913" s="37">
        <f t="shared" ca="1" si="1913"/>
        <v>-9.6040457719936973E-12</v>
      </c>
      <c r="BL913" s="37">
        <f t="shared" ca="1" si="1913"/>
        <v>-9.6040457719936973E-12</v>
      </c>
      <c r="BM913" s="37">
        <f t="shared" ca="1" si="1913"/>
        <v>-9.6040457719936973E-12</v>
      </c>
      <c r="BN913" s="37">
        <f t="shared" ca="1" si="1913"/>
        <v>-9.6040457719936973E-12</v>
      </c>
      <c r="BO913" s="37">
        <f t="shared" ca="1" si="1913"/>
        <v>-9.6040457719936973E-12</v>
      </c>
      <c r="BP913" s="37">
        <f t="shared" ca="1" si="1913"/>
        <v>-9.6040457719936973E-12</v>
      </c>
      <c r="BQ913" s="37">
        <f t="shared" ca="1" si="1913"/>
        <v>-9.6040457719936973E-12</v>
      </c>
      <c r="BR913" s="37">
        <f t="shared" ca="1" si="1913"/>
        <v>-9.6040457719936973E-12</v>
      </c>
      <c r="BS913" s="37">
        <f t="shared" ca="1" si="1913"/>
        <v>-9.6040457719936973E-12</v>
      </c>
      <c r="BT913" s="37">
        <f t="shared" ca="1" si="1913"/>
        <v>-9.6040457719936973E-12</v>
      </c>
      <c r="BU913" s="37">
        <f t="shared" ref="BU913:BY913" ca="1" si="1914">+SUM(BU910:BU912)</f>
        <v>-9.6040457719936973E-12</v>
      </c>
      <c r="BV913" s="37">
        <f t="shared" ca="1" si="1914"/>
        <v>-9.6040457719936973E-12</v>
      </c>
      <c r="BW913" s="37">
        <f t="shared" ca="1" si="1914"/>
        <v>-9.6040457719936973E-12</v>
      </c>
      <c r="BX913" s="37">
        <f t="shared" ca="1" si="1914"/>
        <v>-9.6040457719936973E-12</v>
      </c>
      <c r="BY913" s="37">
        <f t="shared" ca="1" si="1914"/>
        <v>-9.6040457719936973E-12</v>
      </c>
    </row>
    <row r="914" spans="2:77" s="37" customFormat="1" ht="15" outlineLevel="1">
      <c r="B914" s="22"/>
      <c r="C914" s="22"/>
      <c r="D914" s="22"/>
      <c r="E914" s="25" t="s">
        <v>471</v>
      </c>
      <c r="F914" s="30" t="s">
        <v>466</v>
      </c>
      <c r="G914" s="25"/>
      <c r="H914" s="34">
        <f ca="1">+H913*-Assumptions!$H$117</f>
        <v>0</v>
      </c>
      <c r="I914" s="34">
        <f ca="1">+I913*-Assumptions!$H$117</f>
        <v>0</v>
      </c>
      <c r="J914" s="34">
        <f ca="1">+J913*-Assumptions!$H$117</f>
        <v>0</v>
      </c>
      <c r="K914" s="34">
        <f ca="1">+K913*-Assumptions!$H$117</f>
        <v>0</v>
      </c>
      <c r="L914" s="34">
        <f ca="1">+L913*-Assumptions!$H$117</f>
        <v>0</v>
      </c>
      <c r="M914" s="34">
        <f ca="1">+M913*-Assumptions!$H$117</f>
        <v>0</v>
      </c>
      <c r="N914" s="34">
        <f ca="1">+N913*-Assumptions!$H$117</f>
        <v>0</v>
      </c>
      <c r="O914" s="34">
        <f ca="1">+O913*-Assumptions!$H$117</f>
        <v>0</v>
      </c>
      <c r="P914" s="34">
        <f ca="1">+P913*-Assumptions!$H$117</f>
        <v>0</v>
      </c>
      <c r="Q914" s="34">
        <f ca="1">+Q913*-Assumptions!$H$117</f>
        <v>0</v>
      </c>
      <c r="R914" s="34">
        <f ca="1">+R913*-Assumptions!$H$117</f>
        <v>0</v>
      </c>
      <c r="S914" s="34">
        <f ca="1">+S913*-Assumptions!$H$117</f>
        <v>0</v>
      </c>
      <c r="T914" s="34">
        <f ca="1">+T913*-Assumptions!$H$117</f>
        <v>0</v>
      </c>
      <c r="U914" s="34">
        <f ca="1">+U913*-Assumptions!$H$117</f>
        <v>0</v>
      </c>
      <c r="V914" s="34">
        <f ca="1">+V913*-Assumptions!$H$117</f>
        <v>0</v>
      </c>
      <c r="W914" s="34">
        <f ca="1">+W913*-Assumptions!$H$117</f>
        <v>0</v>
      </c>
      <c r="X914" s="34">
        <f ca="1">+X913*-Assumptions!$H$117</f>
        <v>0</v>
      </c>
      <c r="Y914" s="34">
        <f ca="1">+Y913*-Assumptions!$H$117</f>
        <v>0</v>
      </c>
      <c r="Z914" s="34">
        <f ca="1">+Z913*-Assumptions!$H$117</f>
        <v>0</v>
      </c>
      <c r="AA914" s="34">
        <f ca="1">+AA913*-Assumptions!$H$117</f>
        <v>0</v>
      </c>
      <c r="AB914" s="34">
        <f ca="1">+AB913*-Assumptions!$H$117</f>
        <v>0</v>
      </c>
      <c r="AC914" s="34">
        <f ca="1">+AC913*-Assumptions!$H$117</f>
        <v>0</v>
      </c>
      <c r="AD914" s="34">
        <f ca="1">+AD913*-Assumptions!$H$117</f>
        <v>0</v>
      </c>
      <c r="AE914" s="34">
        <f ca="1">+AE913*-Assumptions!$H$117</f>
        <v>0</v>
      </c>
      <c r="AF914" s="34">
        <f ca="1">+AF913*-Assumptions!$H$117</f>
        <v>0</v>
      </c>
      <c r="AG914" s="34">
        <f ca="1">+AG913*-Assumptions!$H$117</f>
        <v>0</v>
      </c>
      <c r="AH914" s="34">
        <f ca="1">+AH913*-Assumptions!$H$117</f>
        <v>0</v>
      </c>
      <c r="AI914" s="34">
        <f ca="1">+AI913*-Assumptions!$H$117</f>
        <v>0</v>
      </c>
      <c r="AJ914" s="34">
        <f ca="1">+AJ913*-Assumptions!$H$117</f>
        <v>0</v>
      </c>
      <c r="AK914" s="34">
        <f ca="1">+AK913*-Assumptions!$H$117</f>
        <v>0</v>
      </c>
      <c r="AL914" s="34">
        <f ca="1">+AL913*-Assumptions!$H$117</f>
        <v>0</v>
      </c>
      <c r="AM914" s="34">
        <f ca="1">+AM913*-Assumptions!$H$117</f>
        <v>0</v>
      </c>
      <c r="AN914" s="34">
        <f ca="1">+AN913*-Assumptions!$H$117</f>
        <v>0</v>
      </c>
      <c r="AO914" s="34">
        <f ca="1">+AO913*-Assumptions!$H$117</f>
        <v>0</v>
      </c>
      <c r="AP914" s="34">
        <f ca="1">+AP913*-Assumptions!$H$117</f>
        <v>0</v>
      </c>
      <c r="AQ914" s="34">
        <f ca="1">+AQ913*-Assumptions!$H$117</f>
        <v>0</v>
      </c>
      <c r="AR914" s="34">
        <f ca="1">+AR913*-Assumptions!$H$117</f>
        <v>0</v>
      </c>
      <c r="AS914" s="34">
        <f ca="1">+AS913*-Assumptions!$H$117</f>
        <v>0</v>
      </c>
      <c r="AT914" s="34">
        <f ca="1">+AT913*-Assumptions!$H$117</f>
        <v>0</v>
      </c>
      <c r="AU914" s="34">
        <f ca="1">+AU913*-Assumptions!$H$117</f>
        <v>0</v>
      </c>
      <c r="AV914" s="34">
        <f ca="1">+AV913*-Assumptions!$H$117</f>
        <v>0</v>
      </c>
      <c r="AW914" s="34">
        <f ca="1">+AW913*-Assumptions!$H$117</f>
        <v>0</v>
      </c>
      <c r="AX914" s="34">
        <f ca="1">+AX913*-Assumptions!$H$117</f>
        <v>0</v>
      </c>
      <c r="AY914" s="34">
        <f ca="1">+AY913*-Assumptions!$H$117</f>
        <v>0</v>
      </c>
      <c r="AZ914" s="34">
        <f ca="1">+AZ913*-Assumptions!$H$117</f>
        <v>0</v>
      </c>
      <c r="BA914" s="34">
        <f ca="1">+BA913*-Assumptions!$H$117</f>
        <v>0</v>
      </c>
      <c r="BB914" s="34">
        <f ca="1">+BB913*-Assumptions!$H$117</f>
        <v>0</v>
      </c>
      <c r="BC914" s="34">
        <f ca="1">+BC913*-Assumptions!$H$117</f>
        <v>0</v>
      </c>
      <c r="BD914" s="34">
        <f ca="1">+BD913*-Assumptions!$H$117</f>
        <v>0</v>
      </c>
      <c r="BE914" s="34">
        <f ca="1">+BE913*-Assumptions!$H$117</f>
        <v>0</v>
      </c>
      <c r="BF914" s="34">
        <f ca="1">+BF913*-Assumptions!$H$117</f>
        <v>0</v>
      </c>
      <c r="BG914" s="34">
        <f ca="1">+BG913*-Assumptions!$H$117</f>
        <v>0</v>
      </c>
      <c r="BH914" s="34">
        <f ca="1">+BH913*-Assumptions!$H$117</f>
        <v>0</v>
      </c>
      <c r="BI914" s="34">
        <f ca="1">+BI913*-Assumptions!$H$117</f>
        <v>0</v>
      </c>
      <c r="BJ914" s="34">
        <f ca="1">+BJ913*-Assumptions!$H$117</f>
        <v>0</v>
      </c>
      <c r="BK914" s="34">
        <f ca="1">+BK913*-Assumptions!$H$117</f>
        <v>0</v>
      </c>
      <c r="BL914" s="34">
        <f ca="1">+BL913*-Assumptions!$H$117</f>
        <v>0</v>
      </c>
      <c r="BM914" s="34">
        <f ca="1">+BM913*-Assumptions!$H$117</f>
        <v>0</v>
      </c>
      <c r="BN914" s="34">
        <f ca="1">+BN913*-Assumptions!$H$117</f>
        <v>0</v>
      </c>
      <c r="BO914" s="34">
        <f ca="1">+BO913*-Assumptions!$H$117</f>
        <v>0</v>
      </c>
      <c r="BP914" s="34">
        <f ca="1">+BP913*-Assumptions!$H$117</f>
        <v>0</v>
      </c>
      <c r="BQ914" s="34">
        <f ca="1">+BQ913*-Assumptions!$H$117</f>
        <v>0</v>
      </c>
      <c r="BR914" s="34">
        <f ca="1">+BR913*-Assumptions!$H$117</f>
        <v>0</v>
      </c>
      <c r="BS914" s="34">
        <f ca="1">+BS913*-Assumptions!$H$117</f>
        <v>0</v>
      </c>
      <c r="BT914" s="34">
        <f ca="1">+BT913*-Assumptions!$H$117</f>
        <v>0</v>
      </c>
      <c r="BU914" s="34">
        <f ca="1">+BU913*-Assumptions!$H$117</f>
        <v>0</v>
      </c>
      <c r="BV914" s="34">
        <f ca="1">+BV913*-Assumptions!$H$117</f>
        <v>0</v>
      </c>
      <c r="BW914" s="34">
        <f ca="1">+BW913*-Assumptions!$H$117</f>
        <v>0</v>
      </c>
      <c r="BX914" s="34">
        <f ca="1">+BX913*-Assumptions!$H$117</f>
        <v>0</v>
      </c>
      <c r="BY914" s="34">
        <f ca="1">+BY913*-Assumptions!$H$117</f>
        <v>0</v>
      </c>
    </row>
    <row r="915" spans="2:77" s="22" customFormat="1" ht="15" outlineLevel="1">
      <c r="E915" s="22" t="s">
        <v>527</v>
      </c>
      <c r="F915" s="36" t="s">
        <v>470</v>
      </c>
      <c r="H915" s="37">
        <f t="shared" ref="H915" ca="1" si="1915">+SUM(H913:H914)</f>
        <v>0</v>
      </c>
      <c r="I915" s="37">
        <f t="shared" ref="I915:BT915" ca="1" si="1916">+SUM(I913:I914)</f>
        <v>0</v>
      </c>
      <c r="J915" s="37">
        <f t="shared" ca="1" si="1916"/>
        <v>-9665.2560414062991</v>
      </c>
      <c r="K915" s="37">
        <f t="shared" ca="1" si="1916"/>
        <v>-74730.549662457022</v>
      </c>
      <c r="L915" s="37">
        <f t="shared" ca="1" si="1916"/>
        <v>-73304.705364077498</v>
      </c>
      <c r="M915" s="37">
        <f t="shared" ca="1" si="1916"/>
        <v>-71792.597761674959</v>
      </c>
      <c r="N915" s="37">
        <f t="shared" ca="1" si="1916"/>
        <v>-70189.187522236738</v>
      </c>
      <c r="O915" s="37">
        <f t="shared" ca="1" si="1916"/>
        <v>-68489.144331788688</v>
      </c>
      <c r="P915" s="37">
        <f t="shared" ca="1" si="1916"/>
        <v>-66686.830160524958</v>
      </c>
      <c r="Q915" s="37">
        <f t="shared" ca="1" si="1916"/>
        <v>-64776.281566814258</v>
      </c>
      <c r="R915" s="37">
        <f t="shared" ca="1" si="1916"/>
        <v>-62751.190984909175</v>
      </c>
      <c r="S915" s="37">
        <f t="shared" ca="1" si="1916"/>
        <v>-60604.88693801919</v>
      </c>
      <c r="T915" s="37">
        <f t="shared" ca="1" si="1916"/>
        <v>-58330.313115059063</v>
      </c>
      <c r="U915" s="37">
        <f t="shared" ca="1" si="1916"/>
        <v>-55920.006245843724</v>
      </c>
      <c r="V915" s="37">
        <f t="shared" ca="1" si="1916"/>
        <v>-53366.072705757484</v>
      </c>
      <c r="W915" s="37">
        <f t="shared" ca="1" si="1916"/>
        <v>-50660.163776966132</v>
      </c>
      <c r="X915" s="37">
        <f t="shared" ca="1" si="1916"/>
        <v>-47793.449489055085</v>
      </c>
      <c r="Y915" s="37">
        <f t="shared" ca="1" si="1916"/>
        <v>-44756.590957550536</v>
      </c>
      <c r="Z915" s="37">
        <f t="shared" ca="1" si="1916"/>
        <v>-34537.609717536405</v>
      </c>
      <c r="AA915" s="37">
        <f t="shared" ca="1" si="1916"/>
        <v>-9.6040457719936973E-12</v>
      </c>
      <c r="AB915" s="37">
        <f t="shared" ca="1" si="1916"/>
        <v>-9.6040457719936973E-12</v>
      </c>
      <c r="AC915" s="37">
        <f t="shared" ca="1" si="1916"/>
        <v>-9.6040457719936973E-12</v>
      </c>
      <c r="AD915" s="37">
        <f t="shared" ca="1" si="1916"/>
        <v>-9.6040457719936973E-12</v>
      </c>
      <c r="AE915" s="37">
        <f t="shared" ca="1" si="1916"/>
        <v>-9.6040457719936973E-12</v>
      </c>
      <c r="AF915" s="37">
        <f t="shared" ca="1" si="1916"/>
        <v>-9.6040457719936973E-12</v>
      </c>
      <c r="AG915" s="37">
        <f t="shared" ca="1" si="1916"/>
        <v>-9.6040457719936973E-12</v>
      </c>
      <c r="AH915" s="37">
        <f t="shared" ca="1" si="1916"/>
        <v>-9.6040457719936973E-12</v>
      </c>
      <c r="AI915" s="37">
        <f t="shared" ca="1" si="1916"/>
        <v>-9.6040457719936973E-12</v>
      </c>
      <c r="AJ915" s="37">
        <f t="shared" ca="1" si="1916"/>
        <v>-9.6040457719936973E-12</v>
      </c>
      <c r="AK915" s="37">
        <f t="shared" ca="1" si="1916"/>
        <v>-9.6040457719936973E-12</v>
      </c>
      <c r="AL915" s="37">
        <f t="shared" ca="1" si="1916"/>
        <v>-9.6040457719936973E-12</v>
      </c>
      <c r="AM915" s="37">
        <f t="shared" ca="1" si="1916"/>
        <v>-9.6040457719936973E-12</v>
      </c>
      <c r="AN915" s="37">
        <f t="shared" ca="1" si="1916"/>
        <v>-9.6040457719936973E-12</v>
      </c>
      <c r="AO915" s="37">
        <f t="shared" ca="1" si="1916"/>
        <v>-9.6040457719936973E-12</v>
      </c>
      <c r="AP915" s="37">
        <f t="shared" ca="1" si="1916"/>
        <v>-9.6040457719936973E-12</v>
      </c>
      <c r="AQ915" s="37">
        <f t="shared" ca="1" si="1916"/>
        <v>-9.6040457719936973E-12</v>
      </c>
      <c r="AR915" s="37">
        <f t="shared" ca="1" si="1916"/>
        <v>-9.6040457719936973E-12</v>
      </c>
      <c r="AS915" s="37">
        <f t="shared" ca="1" si="1916"/>
        <v>-9.6040457719936973E-12</v>
      </c>
      <c r="AT915" s="37">
        <f t="shared" ca="1" si="1916"/>
        <v>-9.6040457719936973E-12</v>
      </c>
      <c r="AU915" s="37">
        <f t="shared" ca="1" si="1916"/>
        <v>-9.6040457719936973E-12</v>
      </c>
      <c r="AV915" s="37">
        <f t="shared" ca="1" si="1916"/>
        <v>-9.6040457719936973E-12</v>
      </c>
      <c r="AW915" s="37">
        <f t="shared" ca="1" si="1916"/>
        <v>-9.6040457719936973E-12</v>
      </c>
      <c r="AX915" s="37">
        <f t="shared" ca="1" si="1916"/>
        <v>-9.6040457719936973E-12</v>
      </c>
      <c r="AY915" s="37">
        <f t="shared" ca="1" si="1916"/>
        <v>-9.6040457719936973E-12</v>
      </c>
      <c r="AZ915" s="37">
        <f t="shared" ca="1" si="1916"/>
        <v>-9.6040457719936973E-12</v>
      </c>
      <c r="BA915" s="37">
        <f t="shared" ca="1" si="1916"/>
        <v>-9.6040457719936973E-12</v>
      </c>
      <c r="BB915" s="37">
        <f t="shared" ca="1" si="1916"/>
        <v>-9.6040457719936973E-12</v>
      </c>
      <c r="BC915" s="37">
        <f t="shared" ca="1" si="1916"/>
        <v>-9.6040457719936973E-12</v>
      </c>
      <c r="BD915" s="37">
        <f t="shared" ca="1" si="1916"/>
        <v>-9.6040457719936973E-12</v>
      </c>
      <c r="BE915" s="37">
        <f t="shared" ca="1" si="1916"/>
        <v>-9.6040457719936973E-12</v>
      </c>
      <c r="BF915" s="37">
        <f t="shared" ca="1" si="1916"/>
        <v>-9.6040457719936973E-12</v>
      </c>
      <c r="BG915" s="37">
        <f t="shared" ca="1" si="1916"/>
        <v>-9.6040457719936973E-12</v>
      </c>
      <c r="BH915" s="37">
        <f t="shared" ca="1" si="1916"/>
        <v>-9.6040457719936973E-12</v>
      </c>
      <c r="BI915" s="37">
        <f t="shared" ca="1" si="1916"/>
        <v>-9.6040457719936973E-12</v>
      </c>
      <c r="BJ915" s="37">
        <f t="shared" ca="1" si="1916"/>
        <v>-9.6040457719936973E-12</v>
      </c>
      <c r="BK915" s="37">
        <f t="shared" ca="1" si="1916"/>
        <v>-9.6040457719936973E-12</v>
      </c>
      <c r="BL915" s="37">
        <f t="shared" ca="1" si="1916"/>
        <v>-9.6040457719936973E-12</v>
      </c>
      <c r="BM915" s="37">
        <f t="shared" ca="1" si="1916"/>
        <v>-9.6040457719936973E-12</v>
      </c>
      <c r="BN915" s="37">
        <f t="shared" ca="1" si="1916"/>
        <v>-9.6040457719936973E-12</v>
      </c>
      <c r="BO915" s="37">
        <f t="shared" ca="1" si="1916"/>
        <v>-9.6040457719936973E-12</v>
      </c>
      <c r="BP915" s="37">
        <f t="shared" ca="1" si="1916"/>
        <v>-9.6040457719936973E-12</v>
      </c>
      <c r="BQ915" s="37">
        <f t="shared" ca="1" si="1916"/>
        <v>-9.6040457719936973E-12</v>
      </c>
      <c r="BR915" s="37">
        <f t="shared" ca="1" si="1916"/>
        <v>-9.6040457719936973E-12</v>
      </c>
      <c r="BS915" s="37">
        <f t="shared" ca="1" si="1916"/>
        <v>-9.6040457719936973E-12</v>
      </c>
      <c r="BT915" s="37">
        <f t="shared" ca="1" si="1916"/>
        <v>-9.6040457719936973E-12</v>
      </c>
      <c r="BU915" s="37">
        <f t="shared" ref="BU915:BY915" ca="1" si="1917">+SUM(BU913:BU914)</f>
        <v>-9.6040457719936973E-12</v>
      </c>
      <c r="BV915" s="37">
        <f t="shared" ca="1" si="1917"/>
        <v>-9.6040457719936973E-12</v>
      </c>
      <c r="BW915" s="37">
        <f t="shared" ca="1" si="1917"/>
        <v>-9.6040457719936973E-12</v>
      </c>
      <c r="BX915" s="37">
        <f t="shared" ca="1" si="1917"/>
        <v>-9.6040457719936973E-12</v>
      </c>
      <c r="BY915" s="37">
        <f t="shared" ca="1" si="1917"/>
        <v>-9.6040457719936973E-12</v>
      </c>
    </row>
    <row r="916" spans="2:77" s="22" customFormat="1" ht="15" outlineLevel="1">
      <c r="F916" s="36"/>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row>
    <row r="917" spans="2:77" s="19" customFormat="1" ht="12.75" outlineLevel="1">
      <c r="B917" s="18" t="s">
        <v>528</v>
      </c>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c r="BO917" s="35"/>
      <c r="BP917" s="35"/>
      <c r="BQ917" s="35"/>
      <c r="BR917" s="35"/>
      <c r="BS917" s="35"/>
      <c r="BT917" s="35"/>
      <c r="BU917" s="35"/>
      <c r="BV917" s="35"/>
      <c r="BW917" s="35"/>
      <c r="BX917" s="35"/>
      <c r="BY917" s="35"/>
    </row>
    <row r="918" spans="2:77" outlineLevel="1">
      <c r="BF918" s="33"/>
      <c r="BG918" s="33"/>
      <c r="BH918" s="33"/>
      <c r="BI918" s="33"/>
      <c r="BJ918" s="33"/>
      <c r="BK918" s="33"/>
      <c r="BL918" s="33"/>
      <c r="BM918" s="33"/>
      <c r="BN918" s="33"/>
      <c r="BO918" s="33"/>
      <c r="BP918" s="33"/>
      <c r="BQ918" s="33"/>
      <c r="BR918" s="33"/>
      <c r="BS918" s="33"/>
      <c r="BT918" s="33"/>
      <c r="BU918" s="33"/>
      <c r="BV918" s="33"/>
      <c r="BW918" s="33"/>
      <c r="BX918" s="33"/>
      <c r="BY918" s="33"/>
    </row>
    <row r="919" spans="2:77" ht="15" outlineLevel="1">
      <c r="E919" s="77" t="s">
        <v>365</v>
      </c>
      <c r="BF919" s="33"/>
      <c r="BG919" s="33"/>
      <c r="BH919" s="33"/>
      <c r="BI919" s="33"/>
      <c r="BJ919" s="33"/>
      <c r="BK919" s="33"/>
      <c r="BL919" s="33"/>
      <c r="BM919" s="33"/>
      <c r="BN919" s="33"/>
      <c r="BO919" s="33"/>
      <c r="BP919" s="33"/>
      <c r="BQ919" s="33"/>
      <c r="BR919" s="33"/>
      <c r="BS919" s="33"/>
      <c r="BT919" s="33"/>
      <c r="BU919" s="33"/>
      <c r="BV919" s="33"/>
      <c r="BW919" s="33"/>
      <c r="BX919" s="33"/>
      <c r="BY919" s="33"/>
    </row>
    <row r="920" spans="2:77" s="22" customFormat="1" ht="15" outlineLevel="1">
      <c r="D920"/>
      <c r="E920" t="s">
        <v>474</v>
      </c>
      <c r="F920" s="23" t="s">
        <v>475</v>
      </c>
      <c r="G920"/>
      <c r="H920" s="33">
        <f>+H901+H902</f>
        <v>0</v>
      </c>
      <c r="I920" s="33">
        <f t="shared" ref="I920:BT920" si="1918">+I901+I902</f>
        <v>0</v>
      </c>
      <c r="J920" s="33">
        <f t="shared" si="1918"/>
        <v>0</v>
      </c>
      <c r="K920" s="33">
        <f t="shared" si="1918"/>
        <v>-59341.540741279736</v>
      </c>
      <c r="L920" s="33">
        <f t="shared" si="1918"/>
        <v>-59377.117898854114</v>
      </c>
      <c r="M920" s="33">
        <f t="shared" si="1918"/>
        <v>-59413.406599579983</v>
      </c>
      <c r="N920" s="33">
        <f t="shared" si="1918"/>
        <v>-59450.421074320366</v>
      </c>
      <c r="O920" s="33">
        <f t="shared" si="1918"/>
        <v>-59488.175838555559</v>
      </c>
      <c r="P920" s="33">
        <f t="shared" si="1918"/>
        <v>-59526.68569807546</v>
      </c>
      <c r="Q920" s="33">
        <f t="shared" si="1918"/>
        <v>-59565.965754785757</v>
      </c>
      <c r="R920" s="33">
        <f t="shared" si="1918"/>
        <v>-59606.031412630255</v>
      </c>
      <c r="S920" s="33">
        <f t="shared" si="1918"/>
        <v>-59646.898383631647</v>
      </c>
      <c r="T920" s="33">
        <f t="shared" si="1918"/>
        <v>-59688.582694053068</v>
      </c>
      <c r="U920" s="33">
        <f t="shared" si="1918"/>
        <v>-59731.100690682913</v>
      </c>
      <c r="V920" s="33">
        <f t="shared" si="1918"/>
        <v>-59774.469047245359</v>
      </c>
      <c r="W920" s="33">
        <f t="shared" si="1918"/>
        <v>-59818.704770939054</v>
      </c>
      <c r="X920" s="33">
        <f t="shared" si="1918"/>
        <v>-59863.825209106624</v>
      </c>
      <c r="Y920" s="33">
        <f t="shared" si="1918"/>
        <v>-59909.848056037539</v>
      </c>
      <c r="Z920" s="33">
        <f t="shared" si="1918"/>
        <v>0</v>
      </c>
      <c r="AA920" s="33">
        <f t="shared" si="1918"/>
        <v>0</v>
      </c>
      <c r="AB920" s="33">
        <f t="shared" si="1918"/>
        <v>0</v>
      </c>
      <c r="AC920" s="33">
        <f t="shared" si="1918"/>
        <v>0</v>
      </c>
      <c r="AD920" s="33">
        <f t="shared" si="1918"/>
        <v>0</v>
      </c>
      <c r="AE920" s="33">
        <f t="shared" si="1918"/>
        <v>0</v>
      </c>
      <c r="AF920" s="33">
        <f t="shared" si="1918"/>
        <v>0</v>
      </c>
      <c r="AG920" s="33">
        <f t="shared" si="1918"/>
        <v>0</v>
      </c>
      <c r="AH920" s="33">
        <f t="shared" si="1918"/>
        <v>0</v>
      </c>
      <c r="AI920" s="33">
        <f t="shared" si="1918"/>
        <v>0</v>
      </c>
      <c r="AJ920" s="33">
        <f t="shared" si="1918"/>
        <v>0</v>
      </c>
      <c r="AK920" s="33">
        <f t="shared" si="1918"/>
        <v>0</v>
      </c>
      <c r="AL920" s="33">
        <f t="shared" si="1918"/>
        <v>0</v>
      </c>
      <c r="AM920" s="33">
        <f t="shared" si="1918"/>
        <v>0</v>
      </c>
      <c r="AN920" s="33">
        <f t="shared" si="1918"/>
        <v>0</v>
      </c>
      <c r="AO920" s="33">
        <f t="shared" si="1918"/>
        <v>0</v>
      </c>
      <c r="AP920" s="33">
        <f t="shared" si="1918"/>
        <v>0</v>
      </c>
      <c r="AQ920" s="33">
        <f t="shared" si="1918"/>
        <v>0</v>
      </c>
      <c r="AR920" s="33">
        <f t="shared" si="1918"/>
        <v>0</v>
      </c>
      <c r="AS920" s="33">
        <f t="shared" si="1918"/>
        <v>0</v>
      </c>
      <c r="AT920" s="33">
        <f t="shared" si="1918"/>
        <v>0</v>
      </c>
      <c r="AU920" s="33">
        <f t="shared" si="1918"/>
        <v>0</v>
      </c>
      <c r="AV920" s="33">
        <f t="shared" si="1918"/>
        <v>0</v>
      </c>
      <c r="AW920" s="33">
        <f t="shared" si="1918"/>
        <v>0</v>
      </c>
      <c r="AX920" s="33">
        <f t="shared" si="1918"/>
        <v>0</v>
      </c>
      <c r="AY920" s="33">
        <f t="shared" si="1918"/>
        <v>0</v>
      </c>
      <c r="AZ920" s="33">
        <f t="shared" si="1918"/>
        <v>0</v>
      </c>
      <c r="BA920" s="33">
        <f t="shared" si="1918"/>
        <v>0</v>
      </c>
      <c r="BB920" s="33">
        <f t="shared" si="1918"/>
        <v>0</v>
      </c>
      <c r="BC920" s="33">
        <f t="shared" si="1918"/>
        <v>0</v>
      </c>
      <c r="BD920" s="33">
        <f t="shared" si="1918"/>
        <v>0</v>
      </c>
      <c r="BE920" s="33">
        <f t="shared" si="1918"/>
        <v>0</v>
      </c>
      <c r="BF920" s="33">
        <f t="shared" si="1918"/>
        <v>0</v>
      </c>
      <c r="BG920" s="33">
        <f t="shared" si="1918"/>
        <v>0</v>
      </c>
      <c r="BH920" s="33">
        <f t="shared" si="1918"/>
        <v>0</v>
      </c>
      <c r="BI920" s="33">
        <f t="shared" si="1918"/>
        <v>0</v>
      </c>
      <c r="BJ920" s="33">
        <f t="shared" si="1918"/>
        <v>0</v>
      </c>
      <c r="BK920" s="33">
        <f t="shared" si="1918"/>
        <v>0</v>
      </c>
      <c r="BL920" s="33">
        <f t="shared" si="1918"/>
        <v>0</v>
      </c>
      <c r="BM920" s="33">
        <f t="shared" si="1918"/>
        <v>0</v>
      </c>
      <c r="BN920" s="33">
        <f t="shared" si="1918"/>
        <v>0</v>
      </c>
      <c r="BO920" s="33">
        <f t="shared" si="1918"/>
        <v>0</v>
      </c>
      <c r="BP920" s="33">
        <f t="shared" si="1918"/>
        <v>0</v>
      </c>
      <c r="BQ920" s="33">
        <f t="shared" si="1918"/>
        <v>0</v>
      </c>
      <c r="BR920" s="33">
        <f t="shared" si="1918"/>
        <v>0</v>
      </c>
      <c r="BS920" s="33">
        <f t="shared" si="1918"/>
        <v>0</v>
      </c>
      <c r="BT920" s="33">
        <f t="shared" si="1918"/>
        <v>0</v>
      </c>
      <c r="BU920" s="33">
        <f t="shared" ref="BU920:BY920" si="1919">+BU901+BU902</f>
        <v>0</v>
      </c>
      <c r="BV920" s="33">
        <f t="shared" si="1919"/>
        <v>0</v>
      </c>
      <c r="BW920" s="33">
        <f t="shared" si="1919"/>
        <v>0</v>
      </c>
      <c r="BX920" s="33">
        <f t="shared" si="1919"/>
        <v>0</v>
      </c>
      <c r="BY920" s="33">
        <f t="shared" si="1919"/>
        <v>0</v>
      </c>
    </row>
    <row r="921" spans="2:77" s="22" customFormat="1" ht="15" outlineLevel="1">
      <c r="D921"/>
      <c r="E921" t="s">
        <v>476</v>
      </c>
      <c r="F921" s="23" t="s">
        <v>475</v>
      </c>
      <c r="G921"/>
      <c r="H921" s="33">
        <f>-H902</f>
        <v>0</v>
      </c>
      <c r="I921" s="33">
        <f t="shared" ref="I921:BT921" si="1920">-I902</f>
        <v>0</v>
      </c>
      <c r="J921" s="33">
        <f t="shared" si="1920"/>
        <v>0</v>
      </c>
      <c r="K921" s="33">
        <f t="shared" si="1920"/>
        <v>57562.682862560679</v>
      </c>
      <c r="L921" s="33">
        <f t="shared" si="1920"/>
        <v>57562.682862560679</v>
      </c>
      <c r="M921" s="33">
        <f t="shared" si="1920"/>
        <v>57562.682862560679</v>
      </c>
      <c r="N921" s="33">
        <f t="shared" si="1920"/>
        <v>57562.682862560679</v>
      </c>
      <c r="O921" s="33">
        <f t="shared" si="1920"/>
        <v>57562.682862560679</v>
      </c>
      <c r="P921" s="33">
        <f t="shared" si="1920"/>
        <v>57562.682862560679</v>
      </c>
      <c r="Q921" s="33">
        <f t="shared" si="1920"/>
        <v>57562.682862560679</v>
      </c>
      <c r="R921" s="33">
        <f t="shared" si="1920"/>
        <v>57562.682862560679</v>
      </c>
      <c r="S921" s="33">
        <f t="shared" si="1920"/>
        <v>57562.682862560679</v>
      </c>
      <c r="T921" s="33">
        <f t="shared" si="1920"/>
        <v>57562.682862560679</v>
      </c>
      <c r="U921" s="33">
        <f t="shared" si="1920"/>
        <v>57562.682862560679</v>
      </c>
      <c r="V921" s="33">
        <f t="shared" si="1920"/>
        <v>57562.682862560679</v>
      </c>
      <c r="W921" s="33">
        <f t="shared" si="1920"/>
        <v>57562.682862560679</v>
      </c>
      <c r="X921" s="33">
        <f t="shared" si="1920"/>
        <v>57562.682862560679</v>
      </c>
      <c r="Y921" s="33">
        <f t="shared" si="1920"/>
        <v>57562.682862560679</v>
      </c>
      <c r="Z921" s="33">
        <f t="shared" si="1920"/>
        <v>0</v>
      </c>
      <c r="AA921" s="33">
        <f t="shared" si="1920"/>
        <v>0</v>
      </c>
      <c r="AB921" s="33">
        <f t="shared" si="1920"/>
        <v>0</v>
      </c>
      <c r="AC921" s="33">
        <f t="shared" si="1920"/>
        <v>0</v>
      </c>
      <c r="AD921" s="33">
        <f t="shared" si="1920"/>
        <v>0</v>
      </c>
      <c r="AE921" s="33">
        <f t="shared" si="1920"/>
        <v>0</v>
      </c>
      <c r="AF921" s="33">
        <f t="shared" si="1920"/>
        <v>0</v>
      </c>
      <c r="AG921" s="33">
        <f t="shared" si="1920"/>
        <v>0</v>
      </c>
      <c r="AH921" s="33">
        <f t="shared" si="1920"/>
        <v>0</v>
      </c>
      <c r="AI921" s="33">
        <f t="shared" si="1920"/>
        <v>0</v>
      </c>
      <c r="AJ921" s="33">
        <f t="shared" si="1920"/>
        <v>0</v>
      </c>
      <c r="AK921" s="33">
        <f t="shared" si="1920"/>
        <v>0</v>
      </c>
      <c r="AL921" s="33">
        <f t="shared" si="1920"/>
        <v>0</v>
      </c>
      <c r="AM921" s="33">
        <f t="shared" si="1920"/>
        <v>0</v>
      </c>
      <c r="AN921" s="33">
        <f t="shared" si="1920"/>
        <v>0</v>
      </c>
      <c r="AO921" s="33">
        <f t="shared" si="1920"/>
        <v>0</v>
      </c>
      <c r="AP921" s="33">
        <f t="shared" si="1920"/>
        <v>0</v>
      </c>
      <c r="AQ921" s="33">
        <f t="shared" si="1920"/>
        <v>0</v>
      </c>
      <c r="AR921" s="33">
        <f t="shared" si="1920"/>
        <v>0</v>
      </c>
      <c r="AS921" s="33">
        <f t="shared" si="1920"/>
        <v>0</v>
      </c>
      <c r="AT921" s="33">
        <f t="shared" si="1920"/>
        <v>0</v>
      </c>
      <c r="AU921" s="33">
        <f t="shared" si="1920"/>
        <v>0</v>
      </c>
      <c r="AV921" s="33">
        <f t="shared" si="1920"/>
        <v>0</v>
      </c>
      <c r="AW921" s="33">
        <f t="shared" si="1920"/>
        <v>0</v>
      </c>
      <c r="AX921" s="33">
        <f t="shared" si="1920"/>
        <v>0</v>
      </c>
      <c r="AY921" s="33">
        <f t="shared" si="1920"/>
        <v>0</v>
      </c>
      <c r="AZ921" s="33">
        <f t="shared" si="1920"/>
        <v>0</v>
      </c>
      <c r="BA921" s="33">
        <f t="shared" si="1920"/>
        <v>0</v>
      </c>
      <c r="BB921" s="33">
        <f t="shared" si="1920"/>
        <v>0</v>
      </c>
      <c r="BC921" s="33">
        <f t="shared" si="1920"/>
        <v>0</v>
      </c>
      <c r="BD921" s="33">
        <f t="shared" si="1920"/>
        <v>0</v>
      </c>
      <c r="BE921" s="33">
        <f t="shared" si="1920"/>
        <v>0</v>
      </c>
      <c r="BF921" s="33">
        <f t="shared" si="1920"/>
        <v>0</v>
      </c>
      <c r="BG921" s="33">
        <f t="shared" si="1920"/>
        <v>0</v>
      </c>
      <c r="BH921" s="33">
        <f t="shared" si="1920"/>
        <v>0</v>
      </c>
      <c r="BI921" s="33">
        <f t="shared" si="1920"/>
        <v>0</v>
      </c>
      <c r="BJ921" s="33">
        <f t="shared" si="1920"/>
        <v>0</v>
      </c>
      <c r="BK921" s="33">
        <f t="shared" si="1920"/>
        <v>0</v>
      </c>
      <c r="BL921" s="33">
        <f t="shared" si="1920"/>
        <v>0</v>
      </c>
      <c r="BM921" s="33">
        <f t="shared" si="1920"/>
        <v>0</v>
      </c>
      <c r="BN921" s="33">
        <f t="shared" si="1920"/>
        <v>0</v>
      </c>
      <c r="BO921" s="33">
        <f t="shared" si="1920"/>
        <v>0</v>
      </c>
      <c r="BP921" s="33">
        <f t="shared" si="1920"/>
        <v>0</v>
      </c>
      <c r="BQ921" s="33">
        <f t="shared" si="1920"/>
        <v>0</v>
      </c>
      <c r="BR921" s="33">
        <f t="shared" si="1920"/>
        <v>0</v>
      </c>
      <c r="BS921" s="33">
        <f t="shared" si="1920"/>
        <v>0</v>
      </c>
      <c r="BT921" s="33">
        <f t="shared" si="1920"/>
        <v>0</v>
      </c>
      <c r="BU921" s="33">
        <f t="shared" ref="BU921:BY921" si="1921">-BU902</f>
        <v>0</v>
      </c>
      <c r="BV921" s="33">
        <f t="shared" si="1921"/>
        <v>0</v>
      </c>
      <c r="BW921" s="33">
        <f t="shared" si="1921"/>
        <v>0</v>
      </c>
      <c r="BX921" s="33">
        <f t="shared" si="1921"/>
        <v>0</v>
      </c>
      <c r="BY921" s="33">
        <f t="shared" si="1921"/>
        <v>0</v>
      </c>
    </row>
    <row r="922" spans="2:77" s="22" customFormat="1" ht="15" outlineLevel="1">
      <c r="D922"/>
      <c r="E922" t="s">
        <v>477</v>
      </c>
      <c r="F922" s="23" t="s">
        <v>466</v>
      </c>
      <c r="G922"/>
      <c r="H922" s="33">
        <v>0</v>
      </c>
      <c r="I922" s="33">
        <v>0</v>
      </c>
      <c r="J922" s="33">
        <v>0</v>
      </c>
      <c r="K922" s="33">
        <v>0</v>
      </c>
      <c r="L922" s="33">
        <v>0</v>
      </c>
      <c r="M922" s="33">
        <v>0</v>
      </c>
      <c r="N922" s="33">
        <v>0</v>
      </c>
      <c r="O922" s="33">
        <v>0</v>
      </c>
      <c r="P922" s="33">
        <v>0</v>
      </c>
      <c r="Q922" s="33">
        <v>0</v>
      </c>
      <c r="R922" s="33">
        <v>0</v>
      </c>
      <c r="S922" s="33">
        <v>0</v>
      </c>
      <c r="T922" s="33">
        <v>0</v>
      </c>
      <c r="U922" s="33">
        <v>0</v>
      </c>
      <c r="V922" s="33">
        <v>0</v>
      </c>
      <c r="W922" s="33">
        <v>0</v>
      </c>
      <c r="X922" s="33">
        <v>0</v>
      </c>
      <c r="Y922" s="33">
        <v>0</v>
      </c>
      <c r="Z922" s="33">
        <v>0</v>
      </c>
      <c r="AA922" s="33">
        <v>0</v>
      </c>
      <c r="AB922" s="33">
        <v>0</v>
      </c>
      <c r="AC922" s="33">
        <v>0</v>
      </c>
      <c r="AD922" s="33">
        <v>0</v>
      </c>
      <c r="AE922" s="33">
        <v>0</v>
      </c>
      <c r="AF922" s="33">
        <v>0</v>
      </c>
      <c r="AG922" s="33">
        <v>0</v>
      </c>
      <c r="AH922" s="33">
        <v>0</v>
      </c>
      <c r="AI922" s="33">
        <v>0</v>
      </c>
      <c r="AJ922" s="33">
        <v>0</v>
      </c>
      <c r="AK922" s="33">
        <v>0</v>
      </c>
      <c r="AL922" s="33">
        <v>0</v>
      </c>
      <c r="AM922" s="33">
        <v>0</v>
      </c>
      <c r="AN922" s="33">
        <v>0</v>
      </c>
      <c r="AO922" s="33">
        <v>0</v>
      </c>
      <c r="AP922" s="33">
        <v>0</v>
      </c>
      <c r="AQ922" s="33">
        <v>0</v>
      </c>
      <c r="AR922" s="33">
        <v>0</v>
      </c>
      <c r="AS922" s="33">
        <v>0</v>
      </c>
      <c r="AT922" s="33">
        <v>0</v>
      </c>
      <c r="AU922" s="33">
        <v>0</v>
      </c>
      <c r="AV922" s="33">
        <v>0</v>
      </c>
      <c r="AW922" s="33">
        <v>0</v>
      </c>
      <c r="AX922" s="33">
        <v>0</v>
      </c>
      <c r="AY922" s="33">
        <v>0</v>
      </c>
      <c r="AZ922" s="33">
        <v>0</v>
      </c>
      <c r="BA922" s="33">
        <v>0</v>
      </c>
      <c r="BB922" s="33">
        <v>0</v>
      </c>
      <c r="BC922" s="33">
        <v>0</v>
      </c>
      <c r="BD922" s="33">
        <v>0</v>
      </c>
      <c r="BE922" s="33">
        <v>0</v>
      </c>
      <c r="BF922" s="33">
        <v>0</v>
      </c>
      <c r="BG922" s="33">
        <v>0</v>
      </c>
      <c r="BH922" s="33">
        <v>0</v>
      </c>
      <c r="BI922" s="33">
        <v>0</v>
      </c>
      <c r="BJ922" s="33">
        <v>0</v>
      </c>
      <c r="BK922" s="33">
        <v>0</v>
      </c>
      <c r="BL922" s="33">
        <v>0</v>
      </c>
      <c r="BM922" s="33">
        <v>0</v>
      </c>
      <c r="BN922" s="33">
        <v>0</v>
      </c>
      <c r="BO922" s="33">
        <v>0</v>
      </c>
      <c r="BP922" s="33">
        <v>0</v>
      </c>
      <c r="BQ922" s="33">
        <v>0</v>
      </c>
      <c r="BR922" s="33">
        <v>0</v>
      </c>
      <c r="BS922" s="33">
        <v>0</v>
      </c>
      <c r="BT922" s="33">
        <v>0</v>
      </c>
      <c r="BU922" s="33">
        <v>0</v>
      </c>
      <c r="BV922" s="33">
        <v>0</v>
      </c>
      <c r="BW922" s="33">
        <v>0</v>
      </c>
      <c r="BX922" s="33">
        <v>0</v>
      </c>
      <c r="BY922" s="33">
        <v>0</v>
      </c>
    </row>
    <row r="923" spans="2:77" s="22" customFormat="1" ht="15" outlineLevel="1">
      <c r="D923"/>
      <c r="E923" t="s">
        <v>471</v>
      </c>
      <c r="F923" s="23" t="s">
        <v>466</v>
      </c>
      <c r="G923"/>
      <c r="H923" s="33">
        <f ca="1">+H905</f>
        <v>0</v>
      </c>
      <c r="I923" s="33">
        <f t="shared" ref="I923:BT923" ca="1" si="1922">+I905</f>
        <v>0</v>
      </c>
      <c r="J923" s="33">
        <f t="shared" ca="1" si="1922"/>
        <v>0</v>
      </c>
      <c r="K923" s="33">
        <f t="shared" ca="1" si="1922"/>
        <v>0</v>
      </c>
      <c r="L923" s="33">
        <f t="shared" ca="1" si="1922"/>
        <v>0</v>
      </c>
      <c r="M923" s="33">
        <f t="shared" ca="1" si="1922"/>
        <v>0</v>
      </c>
      <c r="N923" s="33">
        <f t="shared" ca="1" si="1922"/>
        <v>0</v>
      </c>
      <c r="O923" s="33">
        <f t="shared" ca="1" si="1922"/>
        <v>0</v>
      </c>
      <c r="P923" s="33">
        <f t="shared" ca="1" si="1922"/>
        <v>0</v>
      </c>
      <c r="Q923" s="33">
        <f t="shared" ca="1" si="1922"/>
        <v>0</v>
      </c>
      <c r="R923" s="33">
        <f t="shared" ca="1" si="1922"/>
        <v>0</v>
      </c>
      <c r="S923" s="33">
        <f t="shared" ca="1" si="1922"/>
        <v>0</v>
      </c>
      <c r="T923" s="33">
        <f t="shared" ca="1" si="1922"/>
        <v>0</v>
      </c>
      <c r="U923" s="33">
        <f t="shared" ca="1" si="1922"/>
        <v>0</v>
      </c>
      <c r="V923" s="33">
        <f t="shared" ca="1" si="1922"/>
        <v>0</v>
      </c>
      <c r="W923" s="33">
        <f t="shared" ca="1" si="1922"/>
        <v>0</v>
      </c>
      <c r="X923" s="33">
        <f t="shared" ca="1" si="1922"/>
        <v>0</v>
      </c>
      <c r="Y923" s="33">
        <f t="shared" ca="1" si="1922"/>
        <v>0</v>
      </c>
      <c r="Z923" s="33">
        <f t="shared" ca="1" si="1922"/>
        <v>0</v>
      </c>
      <c r="AA923" s="33">
        <f t="shared" ca="1" si="1922"/>
        <v>0</v>
      </c>
      <c r="AB923" s="33">
        <f t="shared" ca="1" si="1922"/>
        <v>0</v>
      </c>
      <c r="AC923" s="33">
        <f t="shared" ca="1" si="1922"/>
        <v>0</v>
      </c>
      <c r="AD923" s="33">
        <f t="shared" ca="1" si="1922"/>
        <v>0</v>
      </c>
      <c r="AE923" s="33">
        <f t="shared" ca="1" si="1922"/>
        <v>0</v>
      </c>
      <c r="AF923" s="33">
        <f t="shared" ca="1" si="1922"/>
        <v>0</v>
      </c>
      <c r="AG923" s="33">
        <f t="shared" ca="1" si="1922"/>
        <v>0</v>
      </c>
      <c r="AH923" s="33">
        <f t="shared" ca="1" si="1922"/>
        <v>0</v>
      </c>
      <c r="AI923" s="33">
        <f t="shared" ca="1" si="1922"/>
        <v>0</v>
      </c>
      <c r="AJ923" s="33">
        <f t="shared" ca="1" si="1922"/>
        <v>0</v>
      </c>
      <c r="AK923" s="33">
        <f t="shared" ca="1" si="1922"/>
        <v>0</v>
      </c>
      <c r="AL923" s="33">
        <f t="shared" ca="1" si="1922"/>
        <v>0</v>
      </c>
      <c r="AM923" s="33">
        <f t="shared" ca="1" si="1922"/>
        <v>0</v>
      </c>
      <c r="AN923" s="33">
        <f t="shared" ca="1" si="1922"/>
        <v>0</v>
      </c>
      <c r="AO923" s="33">
        <f t="shared" ca="1" si="1922"/>
        <v>0</v>
      </c>
      <c r="AP923" s="33">
        <f t="shared" ca="1" si="1922"/>
        <v>0</v>
      </c>
      <c r="AQ923" s="33">
        <f t="shared" ca="1" si="1922"/>
        <v>0</v>
      </c>
      <c r="AR923" s="33">
        <f t="shared" ca="1" si="1922"/>
        <v>0</v>
      </c>
      <c r="AS923" s="33">
        <f t="shared" ca="1" si="1922"/>
        <v>0</v>
      </c>
      <c r="AT923" s="33">
        <f t="shared" ca="1" si="1922"/>
        <v>0</v>
      </c>
      <c r="AU923" s="33">
        <f t="shared" ca="1" si="1922"/>
        <v>0</v>
      </c>
      <c r="AV923" s="33">
        <f t="shared" ca="1" si="1922"/>
        <v>0</v>
      </c>
      <c r="AW923" s="33">
        <f t="shared" ca="1" si="1922"/>
        <v>0</v>
      </c>
      <c r="AX923" s="33">
        <f t="shared" ca="1" si="1922"/>
        <v>0</v>
      </c>
      <c r="AY923" s="33">
        <f t="shared" ca="1" si="1922"/>
        <v>0</v>
      </c>
      <c r="AZ923" s="33">
        <f t="shared" ca="1" si="1922"/>
        <v>0</v>
      </c>
      <c r="BA923" s="33">
        <f t="shared" ca="1" si="1922"/>
        <v>0</v>
      </c>
      <c r="BB923" s="33">
        <f t="shared" ca="1" si="1922"/>
        <v>0</v>
      </c>
      <c r="BC923" s="33">
        <f t="shared" ca="1" si="1922"/>
        <v>0</v>
      </c>
      <c r="BD923" s="33">
        <f t="shared" ca="1" si="1922"/>
        <v>0</v>
      </c>
      <c r="BE923" s="33">
        <f t="shared" ca="1" si="1922"/>
        <v>0</v>
      </c>
      <c r="BF923" s="33">
        <f t="shared" ca="1" si="1922"/>
        <v>0</v>
      </c>
      <c r="BG923" s="33">
        <f t="shared" ca="1" si="1922"/>
        <v>0</v>
      </c>
      <c r="BH923" s="33">
        <f t="shared" ca="1" si="1922"/>
        <v>0</v>
      </c>
      <c r="BI923" s="33">
        <f t="shared" ca="1" si="1922"/>
        <v>0</v>
      </c>
      <c r="BJ923" s="33">
        <f t="shared" ca="1" si="1922"/>
        <v>0</v>
      </c>
      <c r="BK923" s="33">
        <f t="shared" ca="1" si="1922"/>
        <v>0</v>
      </c>
      <c r="BL923" s="33">
        <f t="shared" ca="1" si="1922"/>
        <v>0</v>
      </c>
      <c r="BM923" s="33">
        <f t="shared" ca="1" si="1922"/>
        <v>0</v>
      </c>
      <c r="BN923" s="33">
        <f t="shared" ca="1" si="1922"/>
        <v>0</v>
      </c>
      <c r="BO923" s="33">
        <f t="shared" ca="1" si="1922"/>
        <v>0</v>
      </c>
      <c r="BP923" s="33">
        <f t="shared" ca="1" si="1922"/>
        <v>0</v>
      </c>
      <c r="BQ923" s="33">
        <f t="shared" ca="1" si="1922"/>
        <v>0</v>
      </c>
      <c r="BR923" s="33">
        <f t="shared" ca="1" si="1922"/>
        <v>0</v>
      </c>
      <c r="BS923" s="33">
        <f t="shared" ca="1" si="1922"/>
        <v>0</v>
      </c>
      <c r="BT923" s="33">
        <f t="shared" ca="1" si="1922"/>
        <v>0</v>
      </c>
      <c r="BU923" s="33">
        <f t="shared" ref="BU923:BY923" ca="1" si="1923">+BU905</f>
        <v>0</v>
      </c>
      <c r="BV923" s="33">
        <f t="shared" ca="1" si="1923"/>
        <v>0</v>
      </c>
      <c r="BW923" s="33">
        <f t="shared" ca="1" si="1923"/>
        <v>0</v>
      </c>
      <c r="BX923" s="33">
        <f t="shared" ca="1" si="1923"/>
        <v>0</v>
      </c>
      <c r="BY923" s="33">
        <f t="shared" ca="1" si="1923"/>
        <v>0</v>
      </c>
    </row>
    <row r="924" spans="2:77" s="22" customFormat="1" ht="15" outlineLevel="1">
      <c r="D924" s="38"/>
      <c r="E924" s="22" t="s">
        <v>478</v>
      </c>
      <c r="F924" s="36" t="s">
        <v>470</v>
      </c>
      <c r="H924" s="37">
        <f ca="1">+SUM(H920:H923)</f>
        <v>0</v>
      </c>
      <c r="I924" s="37">
        <f t="shared" ref="I924:BT924" ca="1" si="1924">+SUM(I920:I923)</f>
        <v>0</v>
      </c>
      <c r="J924" s="37">
        <f t="shared" ca="1" si="1924"/>
        <v>0</v>
      </c>
      <c r="K924" s="37">
        <f t="shared" ca="1" si="1924"/>
        <v>-1778.8578787190563</v>
      </c>
      <c r="L924" s="37">
        <f t="shared" ca="1" si="1924"/>
        <v>-1814.4350362934347</v>
      </c>
      <c r="M924" s="37">
        <f t="shared" ca="1" si="1924"/>
        <v>-1850.7237370193034</v>
      </c>
      <c r="N924" s="37">
        <f t="shared" ca="1" si="1924"/>
        <v>-1887.7382117596862</v>
      </c>
      <c r="O924" s="37">
        <f t="shared" ca="1" si="1924"/>
        <v>-1925.4929759948791</v>
      </c>
      <c r="P924" s="37">
        <f t="shared" ca="1" si="1924"/>
        <v>-1964.0028355147806</v>
      </c>
      <c r="Q924" s="37">
        <f t="shared" ca="1" si="1924"/>
        <v>-2003.2828922250774</v>
      </c>
      <c r="R924" s="37">
        <f t="shared" ca="1" si="1924"/>
        <v>-2043.3485500695751</v>
      </c>
      <c r="S924" s="37">
        <f t="shared" ca="1" si="1924"/>
        <v>-2084.215521070968</v>
      </c>
      <c r="T924" s="37">
        <f t="shared" ca="1" si="1924"/>
        <v>-2125.8998314923883</v>
      </c>
      <c r="U924" s="37">
        <f t="shared" ca="1" si="1924"/>
        <v>-2168.4178281222339</v>
      </c>
      <c r="V924" s="37">
        <f t="shared" ca="1" si="1924"/>
        <v>-2211.786184684679</v>
      </c>
      <c r="W924" s="37">
        <f t="shared" ca="1" si="1924"/>
        <v>-2256.0219083783741</v>
      </c>
      <c r="X924" s="37">
        <f t="shared" ca="1" si="1924"/>
        <v>-2301.1423465459447</v>
      </c>
      <c r="Y924" s="37">
        <f t="shared" ca="1" si="1924"/>
        <v>-2347.1651934768597</v>
      </c>
      <c r="Z924" s="37">
        <f t="shared" ca="1" si="1924"/>
        <v>0</v>
      </c>
      <c r="AA924" s="37">
        <f t="shared" ca="1" si="1924"/>
        <v>0</v>
      </c>
      <c r="AB924" s="37">
        <f t="shared" ca="1" si="1924"/>
        <v>0</v>
      </c>
      <c r="AC924" s="37">
        <f t="shared" ca="1" si="1924"/>
        <v>0</v>
      </c>
      <c r="AD924" s="37">
        <f t="shared" ca="1" si="1924"/>
        <v>0</v>
      </c>
      <c r="AE924" s="37">
        <f t="shared" ca="1" si="1924"/>
        <v>0</v>
      </c>
      <c r="AF924" s="37">
        <f t="shared" ca="1" si="1924"/>
        <v>0</v>
      </c>
      <c r="AG924" s="37">
        <f t="shared" ca="1" si="1924"/>
        <v>0</v>
      </c>
      <c r="AH924" s="37">
        <f t="shared" ca="1" si="1924"/>
        <v>0</v>
      </c>
      <c r="AI924" s="37">
        <f t="shared" ca="1" si="1924"/>
        <v>0</v>
      </c>
      <c r="AJ924" s="37">
        <f t="shared" ca="1" si="1924"/>
        <v>0</v>
      </c>
      <c r="AK924" s="37">
        <f t="shared" ca="1" si="1924"/>
        <v>0</v>
      </c>
      <c r="AL924" s="37">
        <f t="shared" ca="1" si="1924"/>
        <v>0</v>
      </c>
      <c r="AM924" s="37">
        <f t="shared" ca="1" si="1924"/>
        <v>0</v>
      </c>
      <c r="AN924" s="37">
        <f t="shared" ca="1" si="1924"/>
        <v>0</v>
      </c>
      <c r="AO924" s="37">
        <f t="shared" ca="1" si="1924"/>
        <v>0</v>
      </c>
      <c r="AP924" s="37">
        <f t="shared" ca="1" si="1924"/>
        <v>0</v>
      </c>
      <c r="AQ924" s="37">
        <f t="shared" ca="1" si="1924"/>
        <v>0</v>
      </c>
      <c r="AR924" s="37">
        <f t="shared" ca="1" si="1924"/>
        <v>0</v>
      </c>
      <c r="AS924" s="37">
        <f t="shared" ca="1" si="1924"/>
        <v>0</v>
      </c>
      <c r="AT924" s="37">
        <f t="shared" ca="1" si="1924"/>
        <v>0</v>
      </c>
      <c r="AU924" s="37">
        <f t="shared" ca="1" si="1924"/>
        <v>0</v>
      </c>
      <c r="AV924" s="37">
        <f t="shared" ca="1" si="1924"/>
        <v>0</v>
      </c>
      <c r="AW924" s="37">
        <f t="shared" ca="1" si="1924"/>
        <v>0</v>
      </c>
      <c r="AX924" s="37">
        <f t="shared" ca="1" si="1924"/>
        <v>0</v>
      </c>
      <c r="AY924" s="37">
        <f t="shared" ca="1" si="1924"/>
        <v>0</v>
      </c>
      <c r="AZ924" s="37">
        <f t="shared" ca="1" si="1924"/>
        <v>0</v>
      </c>
      <c r="BA924" s="37">
        <f t="shared" ca="1" si="1924"/>
        <v>0</v>
      </c>
      <c r="BB924" s="37">
        <f t="shared" ca="1" si="1924"/>
        <v>0</v>
      </c>
      <c r="BC924" s="37">
        <f t="shared" ca="1" si="1924"/>
        <v>0</v>
      </c>
      <c r="BD924" s="37">
        <f t="shared" ca="1" si="1924"/>
        <v>0</v>
      </c>
      <c r="BE924" s="37">
        <f t="shared" ca="1" si="1924"/>
        <v>0</v>
      </c>
      <c r="BF924" s="37">
        <f t="shared" ca="1" si="1924"/>
        <v>0</v>
      </c>
      <c r="BG924" s="37">
        <f t="shared" ca="1" si="1924"/>
        <v>0</v>
      </c>
      <c r="BH924" s="37">
        <f t="shared" ca="1" si="1924"/>
        <v>0</v>
      </c>
      <c r="BI924" s="37">
        <f t="shared" ca="1" si="1924"/>
        <v>0</v>
      </c>
      <c r="BJ924" s="37">
        <f t="shared" ca="1" si="1924"/>
        <v>0</v>
      </c>
      <c r="BK924" s="37">
        <f t="shared" ca="1" si="1924"/>
        <v>0</v>
      </c>
      <c r="BL924" s="37">
        <f t="shared" ca="1" si="1924"/>
        <v>0</v>
      </c>
      <c r="BM924" s="37">
        <f t="shared" ca="1" si="1924"/>
        <v>0</v>
      </c>
      <c r="BN924" s="37">
        <f t="shared" ca="1" si="1924"/>
        <v>0</v>
      </c>
      <c r="BO924" s="37">
        <f t="shared" ca="1" si="1924"/>
        <v>0</v>
      </c>
      <c r="BP924" s="37">
        <f t="shared" ca="1" si="1924"/>
        <v>0</v>
      </c>
      <c r="BQ924" s="37">
        <f t="shared" ca="1" si="1924"/>
        <v>0</v>
      </c>
      <c r="BR924" s="37">
        <f t="shared" ca="1" si="1924"/>
        <v>0</v>
      </c>
      <c r="BS924" s="37">
        <f t="shared" ca="1" si="1924"/>
        <v>0</v>
      </c>
      <c r="BT924" s="37">
        <f t="shared" ca="1" si="1924"/>
        <v>0</v>
      </c>
      <c r="BU924" s="37">
        <f t="shared" ref="BU924:BY924" ca="1" si="1925">+SUM(BU920:BU923)</f>
        <v>0</v>
      </c>
      <c r="BV924" s="37">
        <f t="shared" ca="1" si="1925"/>
        <v>0</v>
      </c>
      <c r="BW924" s="37">
        <f t="shared" ca="1" si="1925"/>
        <v>0</v>
      </c>
      <c r="BX924" s="37">
        <f t="shared" ca="1" si="1925"/>
        <v>0</v>
      </c>
      <c r="BY924" s="37">
        <f t="shared" ca="1" si="1925"/>
        <v>0</v>
      </c>
    </row>
    <row r="925" spans="2:77" s="22" customFormat="1" ht="15" outlineLevel="1">
      <c r="D925" s="46"/>
      <c r="E925" t="s">
        <v>446</v>
      </c>
      <c r="F925" s="23" t="s">
        <v>466</v>
      </c>
      <c r="G925"/>
      <c r="H925" s="33">
        <f t="shared" ref="H925:AM925" si="1926">+H738</f>
        <v>0</v>
      </c>
      <c r="I925" s="33">
        <f t="shared" si="1926"/>
        <v>-427445.66482099512</v>
      </c>
      <c r="J925" s="33">
        <f t="shared" si="1926"/>
        <v>-435994.57811741502</v>
      </c>
      <c r="K925" s="33">
        <f t="shared" si="1926"/>
        <v>0</v>
      </c>
      <c r="L925" s="33">
        <f t="shared" si="1926"/>
        <v>0</v>
      </c>
      <c r="M925" s="33">
        <f t="shared" si="1926"/>
        <v>0</v>
      </c>
      <c r="N925" s="33">
        <f t="shared" si="1926"/>
        <v>0</v>
      </c>
      <c r="O925" s="33">
        <f t="shared" si="1926"/>
        <v>0</v>
      </c>
      <c r="P925" s="33">
        <f t="shared" si="1926"/>
        <v>0</v>
      </c>
      <c r="Q925" s="33">
        <f t="shared" si="1926"/>
        <v>0</v>
      </c>
      <c r="R925" s="33">
        <f t="shared" si="1926"/>
        <v>0</v>
      </c>
      <c r="S925" s="33">
        <f t="shared" si="1926"/>
        <v>0</v>
      </c>
      <c r="T925" s="33">
        <f t="shared" si="1926"/>
        <v>0</v>
      </c>
      <c r="U925" s="33">
        <f t="shared" si="1926"/>
        <v>0</v>
      </c>
      <c r="V925" s="33">
        <f t="shared" si="1926"/>
        <v>0</v>
      </c>
      <c r="W925" s="33">
        <f t="shared" si="1926"/>
        <v>0</v>
      </c>
      <c r="X925" s="33">
        <f t="shared" si="1926"/>
        <v>0</v>
      </c>
      <c r="Y925" s="33">
        <f t="shared" si="1926"/>
        <v>0</v>
      </c>
      <c r="Z925" s="33">
        <f t="shared" si="1926"/>
        <v>0</v>
      </c>
      <c r="AA925" s="33">
        <f t="shared" si="1926"/>
        <v>0</v>
      </c>
      <c r="AB925" s="33">
        <f t="shared" si="1926"/>
        <v>0</v>
      </c>
      <c r="AC925" s="33">
        <f t="shared" si="1926"/>
        <v>0</v>
      </c>
      <c r="AD925" s="33">
        <f t="shared" si="1926"/>
        <v>0</v>
      </c>
      <c r="AE925" s="33">
        <f t="shared" si="1926"/>
        <v>0</v>
      </c>
      <c r="AF925" s="33">
        <f t="shared" si="1926"/>
        <v>0</v>
      </c>
      <c r="AG925" s="33">
        <f t="shared" si="1926"/>
        <v>0</v>
      </c>
      <c r="AH925" s="33">
        <f t="shared" si="1926"/>
        <v>0</v>
      </c>
      <c r="AI925" s="33">
        <f t="shared" si="1926"/>
        <v>0</v>
      </c>
      <c r="AJ925" s="33">
        <f t="shared" si="1926"/>
        <v>0</v>
      </c>
      <c r="AK925" s="33">
        <f t="shared" si="1926"/>
        <v>0</v>
      </c>
      <c r="AL925" s="33">
        <f t="shared" si="1926"/>
        <v>0</v>
      </c>
      <c r="AM925" s="33">
        <f t="shared" si="1926"/>
        <v>0</v>
      </c>
      <c r="AN925" s="33">
        <f t="shared" ref="AN925:BS925" si="1927">+AN738</f>
        <v>0</v>
      </c>
      <c r="AO925" s="33">
        <f t="shared" si="1927"/>
        <v>0</v>
      </c>
      <c r="AP925" s="33">
        <f t="shared" si="1927"/>
        <v>0</v>
      </c>
      <c r="AQ925" s="33">
        <f t="shared" si="1927"/>
        <v>0</v>
      </c>
      <c r="AR925" s="33">
        <f t="shared" si="1927"/>
        <v>0</v>
      </c>
      <c r="AS925" s="33">
        <f t="shared" si="1927"/>
        <v>0</v>
      </c>
      <c r="AT925" s="33">
        <f t="shared" si="1927"/>
        <v>0</v>
      </c>
      <c r="AU925" s="33">
        <f t="shared" si="1927"/>
        <v>0</v>
      </c>
      <c r="AV925" s="33">
        <f t="shared" si="1927"/>
        <v>0</v>
      </c>
      <c r="AW925" s="33">
        <f t="shared" si="1927"/>
        <v>0</v>
      </c>
      <c r="AX925" s="33">
        <f t="shared" si="1927"/>
        <v>0</v>
      </c>
      <c r="AY925" s="33">
        <f t="shared" si="1927"/>
        <v>0</v>
      </c>
      <c r="AZ925" s="33">
        <f t="shared" si="1927"/>
        <v>0</v>
      </c>
      <c r="BA925" s="33">
        <f t="shared" si="1927"/>
        <v>0</v>
      </c>
      <c r="BB925" s="33">
        <f t="shared" si="1927"/>
        <v>0</v>
      </c>
      <c r="BC925" s="33">
        <f t="shared" si="1927"/>
        <v>0</v>
      </c>
      <c r="BD925" s="33">
        <f t="shared" si="1927"/>
        <v>0</v>
      </c>
      <c r="BE925" s="33">
        <f t="shared" si="1927"/>
        <v>0</v>
      </c>
      <c r="BF925" s="33">
        <f t="shared" si="1927"/>
        <v>0</v>
      </c>
      <c r="BG925" s="33">
        <f t="shared" si="1927"/>
        <v>0</v>
      </c>
      <c r="BH925" s="33">
        <f t="shared" si="1927"/>
        <v>0</v>
      </c>
      <c r="BI925" s="33">
        <f t="shared" si="1927"/>
        <v>0</v>
      </c>
      <c r="BJ925" s="33">
        <f t="shared" si="1927"/>
        <v>0</v>
      </c>
      <c r="BK925" s="33">
        <f t="shared" si="1927"/>
        <v>0</v>
      </c>
      <c r="BL925" s="33">
        <f t="shared" si="1927"/>
        <v>0</v>
      </c>
      <c r="BM925" s="33">
        <f t="shared" si="1927"/>
        <v>0</v>
      </c>
      <c r="BN925" s="33">
        <f t="shared" si="1927"/>
        <v>0</v>
      </c>
      <c r="BO925" s="33">
        <f t="shared" si="1927"/>
        <v>0</v>
      </c>
      <c r="BP925" s="33">
        <f t="shared" si="1927"/>
        <v>0</v>
      </c>
      <c r="BQ925" s="33">
        <f t="shared" si="1927"/>
        <v>0</v>
      </c>
      <c r="BR925" s="33">
        <f t="shared" si="1927"/>
        <v>0</v>
      </c>
      <c r="BS925" s="33">
        <f t="shared" si="1927"/>
        <v>0</v>
      </c>
      <c r="BT925" s="33">
        <f t="shared" ref="BT925:BY925" si="1928">+BT738</f>
        <v>0</v>
      </c>
      <c r="BU925" s="33">
        <f t="shared" si="1928"/>
        <v>0</v>
      </c>
      <c r="BV925" s="33">
        <f t="shared" si="1928"/>
        <v>0</v>
      </c>
      <c r="BW925" s="33">
        <f t="shared" si="1928"/>
        <v>0</v>
      </c>
      <c r="BX925" s="33">
        <f t="shared" si="1928"/>
        <v>0</v>
      </c>
      <c r="BY925" s="33">
        <f t="shared" si="1928"/>
        <v>0</v>
      </c>
    </row>
    <row r="926" spans="2:77" s="22" customFormat="1" ht="15" outlineLevel="1">
      <c r="D926" s="45"/>
      <c r="E926" s="22" t="s">
        <v>479</v>
      </c>
      <c r="F926" s="36" t="s">
        <v>470</v>
      </c>
      <c r="H926" s="37">
        <f ca="1">+SUM(H924:H925)</f>
        <v>0</v>
      </c>
      <c r="I926" s="37">
        <f t="shared" ref="I926:BT926" ca="1" si="1929">+SUM(I924:I925)</f>
        <v>-427445.66482099512</v>
      </c>
      <c r="J926" s="37">
        <f t="shared" ca="1" si="1929"/>
        <v>-435994.57811741502</v>
      </c>
      <c r="K926" s="37">
        <f t="shared" ca="1" si="1929"/>
        <v>-1778.8578787190563</v>
      </c>
      <c r="L926" s="37">
        <f t="shared" ca="1" si="1929"/>
        <v>-1814.4350362934347</v>
      </c>
      <c r="M926" s="37">
        <f t="shared" ca="1" si="1929"/>
        <v>-1850.7237370193034</v>
      </c>
      <c r="N926" s="37">
        <f t="shared" ca="1" si="1929"/>
        <v>-1887.7382117596862</v>
      </c>
      <c r="O926" s="37">
        <f t="shared" ca="1" si="1929"/>
        <v>-1925.4929759948791</v>
      </c>
      <c r="P926" s="37">
        <f t="shared" ca="1" si="1929"/>
        <v>-1964.0028355147806</v>
      </c>
      <c r="Q926" s="37">
        <f t="shared" ca="1" si="1929"/>
        <v>-2003.2828922250774</v>
      </c>
      <c r="R926" s="37">
        <f t="shared" ca="1" si="1929"/>
        <v>-2043.3485500695751</v>
      </c>
      <c r="S926" s="37">
        <f t="shared" ca="1" si="1929"/>
        <v>-2084.215521070968</v>
      </c>
      <c r="T926" s="37">
        <f t="shared" ca="1" si="1929"/>
        <v>-2125.8998314923883</v>
      </c>
      <c r="U926" s="37">
        <f t="shared" ca="1" si="1929"/>
        <v>-2168.4178281222339</v>
      </c>
      <c r="V926" s="37">
        <f t="shared" ca="1" si="1929"/>
        <v>-2211.786184684679</v>
      </c>
      <c r="W926" s="37">
        <f t="shared" ca="1" si="1929"/>
        <v>-2256.0219083783741</v>
      </c>
      <c r="X926" s="37">
        <f t="shared" ca="1" si="1929"/>
        <v>-2301.1423465459447</v>
      </c>
      <c r="Y926" s="37">
        <f t="shared" ca="1" si="1929"/>
        <v>-2347.1651934768597</v>
      </c>
      <c r="Z926" s="37">
        <f t="shared" ca="1" si="1929"/>
        <v>0</v>
      </c>
      <c r="AA926" s="37">
        <f t="shared" ca="1" si="1929"/>
        <v>0</v>
      </c>
      <c r="AB926" s="37">
        <f t="shared" ca="1" si="1929"/>
        <v>0</v>
      </c>
      <c r="AC926" s="37">
        <f t="shared" ca="1" si="1929"/>
        <v>0</v>
      </c>
      <c r="AD926" s="37">
        <f t="shared" ca="1" si="1929"/>
        <v>0</v>
      </c>
      <c r="AE926" s="37">
        <f t="shared" ca="1" si="1929"/>
        <v>0</v>
      </c>
      <c r="AF926" s="37">
        <f t="shared" ca="1" si="1929"/>
        <v>0</v>
      </c>
      <c r="AG926" s="37">
        <f t="shared" ca="1" si="1929"/>
        <v>0</v>
      </c>
      <c r="AH926" s="37">
        <f t="shared" ca="1" si="1929"/>
        <v>0</v>
      </c>
      <c r="AI926" s="37">
        <f t="shared" ca="1" si="1929"/>
        <v>0</v>
      </c>
      <c r="AJ926" s="37">
        <f t="shared" ca="1" si="1929"/>
        <v>0</v>
      </c>
      <c r="AK926" s="37">
        <f t="shared" ca="1" si="1929"/>
        <v>0</v>
      </c>
      <c r="AL926" s="37">
        <f t="shared" ca="1" si="1929"/>
        <v>0</v>
      </c>
      <c r="AM926" s="37">
        <f t="shared" ca="1" si="1929"/>
        <v>0</v>
      </c>
      <c r="AN926" s="37">
        <f t="shared" ca="1" si="1929"/>
        <v>0</v>
      </c>
      <c r="AO926" s="37">
        <f t="shared" ca="1" si="1929"/>
        <v>0</v>
      </c>
      <c r="AP926" s="37">
        <f t="shared" ca="1" si="1929"/>
        <v>0</v>
      </c>
      <c r="AQ926" s="37">
        <f t="shared" ca="1" si="1929"/>
        <v>0</v>
      </c>
      <c r="AR926" s="37">
        <f t="shared" ca="1" si="1929"/>
        <v>0</v>
      </c>
      <c r="AS926" s="37">
        <f t="shared" ca="1" si="1929"/>
        <v>0</v>
      </c>
      <c r="AT926" s="37">
        <f t="shared" ca="1" si="1929"/>
        <v>0</v>
      </c>
      <c r="AU926" s="37">
        <f t="shared" ca="1" si="1929"/>
        <v>0</v>
      </c>
      <c r="AV926" s="37">
        <f t="shared" ca="1" si="1929"/>
        <v>0</v>
      </c>
      <c r="AW926" s="37">
        <f t="shared" ca="1" si="1929"/>
        <v>0</v>
      </c>
      <c r="AX926" s="37">
        <f t="shared" ca="1" si="1929"/>
        <v>0</v>
      </c>
      <c r="AY926" s="37">
        <f t="shared" ca="1" si="1929"/>
        <v>0</v>
      </c>
      <c r="AZ926" s="37">
        <f t="shared" ca="1" si="1929"/>
        <v>0</v>
      </c>
      <c r="BA926" s="37">
        <f t="shared" ca="1" si="1929"/>
        <v>0</v>
      </c>
      <c r="BB926" s="37">
        <f t="shared" ca="1" si="1929"/>
        <v>0</v>
      </c>
      <c r="BC926" s="37">
        <f t="shared" ca="1" si="1929"/>
        <v>0</v>
      </c>
      <c r="BD926" s="37">
        <f t="shared" ca="1" si="1929"/>
        <v>0</v>
      </c>
      <c r="BE926" s="37">
        <f t="shared" ca="1" si="1929"/>
        <v>0</v>
      </c>
      <c r="BF926" s="37">
        <f t="shared" ca="1" si="1929"/>
        <v>0</v>
      </c>
      <c r="BG926" s="37">
        <f t="shared" ca="1" si="1929"/>
        <v>0</v>
      </c>
      <c r="BH926" s="37">
        <f t="shared" ca="1" si="1929"/>
        <v>0</v>
      </c>
      <c r="BI926" s="37">
        <f t="shared" ca="1" si="1929"/>
        <v>0</v>
      </c>
      <c r="BJ926" s="37">
        <f t="shared" ca="1" si="1929"/>
        <v>0</v>
      </c>
      <c r="BK926" s="37">
        <f t="shared" ca="1" si="1929"/>
        <v>0</v>
      </c>
      <c r="BL926" s="37">
        <f t="shared" ca="1" si="1929"/>
        <v>0</v>
      </c>
      <c r="BM926" s="37">
        <f t="shared" ca="1" si="1929"/>
        <v>0</v>
      </c>
      <c r="BN926" s="37">
        <f t="shared" ca="1" si="1929"/>
        <v>0</v>
      </c>
      <c r="BO926" s="37">
        <f t="shared" ca="1" si="1929"/>
        <v>0</v>
      </c>
      <c r="BP926" s="37">
        <f t="shared" ca="1" si="1929"/>
        <v>0</v>
      </c>
      <c r="BQ926" s="37">
        <f t="shared" ca="1" si="1929"/>
        <v>0</v>
      </c>
      <c r="BR926" s="37">
        <f t="shared" ca="1" si="1929"/>
        <v>0</v>
      </c>
      <c r="BS926" s="37">
        <f t="shared" ca="1" si="1929"/>
        <v>0</v>
      </c>
      <c r="BT926" s="37">
        <f t="shared" ca="1" si="1929"/>
        <v>0</v>
      </c>
      <c r="BU926" s="37">
        <f t="shared" ref="BU926:BY926" ca="1" si="1930">+SUM(BU924:BU925)</f>
        <v>0</v>
      </c>
      <c r="BV926" s="37">
        <f t="shared" ca="1" si="1930"/>
        <v>0</v>
      </c>
      <c r="BW926" s="37">
        <f t="shared" ca="1" si="1930"/>
        <v>0</v>
      </c>
      <c r="BX926" s="37">
        <f t="shared" ca="1" si="1930"/>
        <v>0</v>
      </c>
      <c r="BY926" s="37">
        <f t="shared" ca="1" si="1930"/>
        <v>0</v>
      </c>
    </row>
    <row r="927" spans="2:77" s="22" customFormat="1" ht="15" outlineLevel="1">
      <c r="D927" s="46"/>
      <c r="E927" t="s">
        <v>480</v>
      </c>
      <c r="F927" s="40" t="s">
        <v>475</v>
      </c>
      <c r="G927"/>
      <c r="H927" s="33">
        <f>-H764+H780-H796+H812</f>
        <v>0</v>
      </c>
      <c r="I927" s="33">
        <f t="shared" ref="I927:BT927" si="1931">-I764+I780-I796+I812</f>
        <v>168413.59193947204</v>
      </c>
      <c r="J927" s="33">
        <f t="shared" ca="1" si="1931"/>
        <v>428614.00315590657</v>
      </c>
      <c r="K927" s="33">
        <f t="shared" ca="1" si="1931"/>
        <v>-26911.218393926727</v>
      </c>
      <c r="L927" s="33">
        <f t="shared" ca="1" si="1931"/>
        <v>-28455.653217554183</v>
      </c>
      <c r="M927" s="33">
        <f t="shared" ca="1" si="1931"/>
        <v>-30088.72315570962</v>
      </c>
      <c r="N927" s="33">
        <f t="shared" ca="1" si="1931"/>
        <v>-31815.514977615796</v>
      </c>
      <c r="O927" s="33">
        <f t="shared" ca="1" si="1931"/>
        <v>-33641.407382181162</v>
      </c>
      <c r="P927" s="33">
        <f t="shared" ca="1" si="1931"/>
        <v>-35572.087751844541</v>
      </c>
      <c r="Q927" s="33">
        <f t="shared" ca="1" si="1931"/>
        <v>-37613.569867922903</v>
      </c>
      <c r="R927" s="33">
        <f t="shared" ca="1" si="1931"/>
        <v>-39772.212642642997</v>
      </c>
      <c r="S927" s="33">
        <f t="shared" ca="1" si="1931"/>
        <v>-42054.739926204282</v>
      </c>
      <c r="T927" s="33">
        <f t="shared" ca="1" si="1931"/>
        <v>-44468.261450569145</v>
      </c>
      <c r="U927" s="33">
        <f t="shared" ca="1" si="1931"/>
        <v>-47020.294975217308</v>
      </c>
      <c r="V927" s="33">
        <f t="shared" ca="1" si="1931"/>
        <v>-49718.789703845032</v>
      </c>
      <c r="W927" s="33">
        <f t="shared" ca="1" si="1931"/>
        <v>-52572.151044948696</v>
      </c>
      <c r="X927" s="33">
        <f t="shared" ca="1" si="1931"/>
        <v>-55589.266793418305</v>
      </c>
      <c r="Y927" s="33">
        <f t="shared" ca="1" si="1931"/>
        <v>-41733.703811777799</v>
      </c>
      <c r="Z927" s="33">
        <f t="shared" si="1931"/>
        <v>0</v>
      </c>
      <c r="AA927" s="33">
        <f t="shared" si="1931"/>
        <v>0</v>
      </c>
      <c r="AB927" s="33">
        <f t="shared" si="1931"/>
        <v>0</v>
      </c>
      <c r="AC927" s="33">
        <f t="shared" si="1931"/>
        <v>0</v>
      </c>
      <c r="AD927" s="33">
        <f t="shared" si="1931"/>
        <v>0</v>
      </c>
      <c r="AE927" s="33">
        <f t="shared" si="1931"/>
        <v>0</v>
      </c>
      <c r="AF927" s="33">
        <f t="shared" si="1931"/>
        <v>0</v>
      </c>
      <c r="AG927" s="33">
        <f t="shared" si="1931"/>
        <v>0</v>
      </c>
      <c r="AH927" s="33">
        <f t="shared" si="1931"/>
        <v>0</v>
      </c>
      <c r="AI927" s="33">
        <f t="shared" si="1931"/>
        <v>0</v>
      </c>
      <c r="AJ927" s="33">
        <f t="shared" si="1931"/>
        <v>0</v>
      </c>
      <c r="AK927" s="33">
        <f t="shared" si="1931"/>
        <v>0</v>
      </c>
      <c r="AL927" s="33">
        <f t="shared" si="1931"/>
        <v>0</v>
      </c>
      <c r="AM927" s="33">
        <f t="shared" si="1931"/>
        <v>0</v>
      </c>
      <c r="AN927" s="33">
        <f t="shared" si="1931"/>
        <v>0</v>
      </c>
      <c r="AO927" s="33">
        <f t="shared" si="1931"/>
        <v>0</v>
      </c>
      <c r="AP927" s="33">
        <f t="shared" si="1931"/>
        <v>0</v>
      </c>
      <c r="AQ927" s="33">
        <f t="shared" si="1931"/>
        <v>0</v>
      </c>
      <c r="AR927" s="33">
        <f t="shared" si="1931"/>
        <v>0</v>
      </c>
      <c r="AS927" s="33">
        <f t="shared" si="1931"/>
        <v>0</v>
      </c>
      <c r="AT927" s="33">
        <f t="shared" si="1931"/>
        <v>0</v>
      </c>
      <c r="AU927" s="33">
        <f t="shared" si="1931"/>
        <v>0</v>
      </c>
      <c r="AV927" s="33">
        <f t="shared" si="1931"/>
        <v>0</v>
      </c>
      <c r="AW927" s="33">
        <f t="shared" si="1931"/>
        <v>0</v>
      </c>
      <c r="AX927" s="33">
        <f t="shared" si="1931"/>
        <v>0</v>
      </c>
      <c r="AY927" s="33">
        <f t="shared" si="1931"/>
        <v>0</v>
      </c>
      <c r="AZ927" s="33">
        <f t="shared" si="1931"/>
        <v>0</v>
      </c>
      <c r="BA927" s="33">
        <f t="shared" si="1931"/>
        <v>0</v>
      </c>
      <c r="BB927" s="33">
        <f t="shared" si="1931"/>
        <v>0</v>
      </c>
      <c r="BC927" s="33">
        <f t="shared" si="1931"/>
        <v>0</v>
      </c>
      <c r="BD927" s="33">
        <f t="shared" si="1931"/>
        <v>0</v>
      </c>
      <c r="BE927" s="33">
        <f t="shared" si="1931"/>
        <v>0</v>
      </c>
      <c r="BF927" s="33">
        <f t="shared" si="1931"/>
        <v>0</v>
      </c>
      <c r="BG927" s="33">
        <f t="shared" si="1931"/>
        <v>0</v>
      </c>
      <c r="BH927" s="33">
        <f t="shared" si="1931"/>
        <v>0</v>
      </c>
      <c r="BI927" s="33">
        <f t="shared" si="1931"/>
        <v>0</v>
      </c>
      <c r="BJ927" s="33">
        <f t="shared" si="1931"/>
        <v>0</v>
      </c>
      <c r="BK927" s="33">
        <f t="shared" si="1931"/>
        <v>0</v>
      </c>
      <c r="BL927" s="33">
        <f t="shared" si="1931"/>
        <v>0</v>
      </c>
      <c r="BM927" s="33">
        <f t="shared" si="1931"/>
        <v>0</v>
      </c>
      <c r="BN927" s="33">
        <f t="shared" si="1931"/>
        <v>0</v>
      </c>
      <c r="BO927" s="33">
        <f t="shared" si="1931"/>
        <v>0</v>
      </c>
      <c r="BP927" s="33">
        <f t="shared" si="1931"/>
        <v>0</v>
      </c>
      <c r="BQ927" s="33">
        <f t="shared" si="1931"/>
        <v>0</v>
      </c>
      <c r="BR927" s="33">
        <f t="shared" si="1931"/>
        <v>0</v>
      </c>
      <c r="BS927" s="33">
        <f t="shared" si="1931"/>
        <v>0</v>
      </c>
      <c r="BT927" s="33">
        <f t="shared" si="1931"/>
        <v>0</v>
      </c>
      <c r="BU927" s="33">
        <f t="shared" ref="BU927:BY927" si="1932">-BU764+BU780-BU796+BU812</f>
        <v>0</v>
      </c>
      <c r="BV927" s="33">
        <f t="shared" si="1932"/>
        <v>0</v>
      </c>
      <c r="BW927" s="33">
        <f t="shared" si="1932"/>
        <v>0</v>
      </c>
      <c r="BX927" s="33">
        <f t="shared" si="1932"/>
        <v>0</v>
      </c>
      <c r="BY927" s="33">
        <f t="shared" si="1932"/>
        <v>0</v>
      </c>
    </row>
    <row r="928" spans="2:77" s="22" customFormat="1" ht="15" outlineLevel="1">
      <c r="D928" s="46"/>
      <c r="E928" s="25" t="s">
        <v>468</v>
      </c>
      <c r="F928" s="30" t="s">
        <v>466</v>
      </c>
      <c r="G928" s="25"/>
      <c r="H928" s="34">
        <f ca="1">+H903</f>
        <v>0</v>
      </c>
      <c r="I928" s="34">
        <f t="shared" ref="I928:BT928" ca="1" si="1933">+I903</f>
        <v>0</v>
      </c>
      <c r="J928" s="34">
        <f t="shared" ca="1" si="1933"/>
        <v>-9665.2560414063009</v>
      </c>
      <c r="K928" s="34">
        <f t="shared" ca="1" si="1933"/>
        <v>-34263.41368252378</v>
      </c>
      <c r="L928" s="34">
        <f t="shared" ca="1" si="1933"/>
        <v>-32718.978858896324</v>
      </c>
      <c r="M928" s="34">
        <f t="shared" ca="1" si="1933"/>
        <v>-31085.908920740887</v>
      </c>
      <c r="N928" s="34">
        <f t="shared" ca="1" si="1933"/>
        <v>-29359.117098834711</v>
      </c>
      <c r="O928" s="34">
        <f t="shared" ca="1" si="1933"/>
        <v>-27533.224694269342</v>
      </c>
      <c r="P928" s="34">
        <f t="shared" ca="1" si="1933"/>
        <v>-25602.544324605966</v>
      </c>
      <c r="Q928" s="34">
        <f t="shared" ca="1" si="1933"/>
        <v>-23561.062208527605</v>
      </c>
      <c r="R928" s="34">
        <f t="shared" ca="1" si="1933"/>
        <v>-21402.41943380751</v>
      </c>
      <c r="S928" s="34">
        <f t="shared" ca="1" si="1933"/>
        <v>-19119.892150246225</v>
      </c>
      <c r="T928" s="34">
        <f t="shared" ca="1" si="1933"/>
        <v>-16706.370625881365</v>
      </c>
      <c r="U928" s="34">
        <f t="shared" ca="1" si="1933"/>
        <v>-14154.337101233201</v>
      </c>
      <c r="V928" s="34">
        <f t="shared" ca="1" si="1933"/>
        <v>-11455.842372605479</v>
      </c>
      <c r="W928" s="34">
        <f t="shared" ca="1" si="1933"/>
        <v>-8602.4810315018112</v>
      </c>
      <c r="X928" s="34">
        <f t="shared" ca="1" si="1933"/>
        <v>-5585.3652830322053</v>
      </c>
      <c r="Y928" s="34">
        <f t="shared" ca="1" si="1933"/>
        <v>-2395.0972617579287</v>
      </c>
      <c r="Z928" s="34">
        <f t="shared" ca="1" si="1933"/>
        <v>-4.1756720747798684E-13</v>
      </c>
      <c r="AA928" s="34">
        <f t="shared" ca="1" si="1933"/>
        <v>-4.1756720747798684E-13</v>
      </c>
      <c r="AB928" s="34">
        <f t="shared" ca="1" si="1933"/>
        <v>-4.1756720747798684E-13</v>
      </c>
      <c r="AC928" s="34">
        <f t="shared" ca="1" si="1933"/>
        <v>-4.1756720747798684E-13</v>
      </c>
      <c r="AD928" s="34">
        <f t="shared" ca="1" si="1933"/>
        <v>-4.1756720747798684E-13</v>
      </c>
      <c r="AE928" s="34">
        <f t="shared" ca="1" si="1933"/>
        <v>-4.1756720747798684E-13</v>
      </c>
      <c r="AF928" s="34">
        <f t="shared" ca="1" si="1933"/>
        <v>-4.1756720747798684E-13</v>
      </c>
      <c r="AG928" s="34">
        <f t="shared" ca="1" si="1933"/>
        <v>-4.1756720747798684E-13</v>
      </c>
      <c r="AH928" s="34">
        <f t="shared" ca="1" si="1933"/>
        <v>-4.1756720747798684E-13</v>
      </c>
      <c r="AI928" s="34">
        <f t="shared" ca="1" si="1933"/>
        <v>-4.1756720747798684E-13</v>
      </c>
      <c r="AJ928" s="34">
        <f t="shared" ca="1" si="1933"/>
        <v>-4.1756720747798684E-13</v>
      </c>
      <c r="AK928" s="34">
        <f t="shared" ca="1" si="1933"/>
        <v>-4.1756720747798684E-13</v>
      </c>
      <c r="AL928" s="34">
        <f t="shared" ca="1" si="1933"/>
        <v>-4.1756720747798684E-13</v>
      </c>
      <c r="AM928" s="34">
        <f t="shared" ca="1" si="1933"/>
        <v>-4.1756720747798684E-13</v>
      </c>
      <c r="AN928" s="34">
        <f t="shared" ca="1" si="1933"/>
        <v>-4.1756720747798684E-13</v>
      </c>
      <c r="AO928" s="34">
        <f t="shared" ca="1" si="1933"/>
        <v>-4.1756720747798684E-13</v>
      </c>
      <c r="AP928" s="34">
        <f t="shared" ca="1" si="1933"/>
        <v>-4.1756720747798684E-13</v>
      </c>
      <c r="AQ928" s="34">
        <f t="shared" ca="1" si="1933"/>
        <v>-4.1756720747798684E-13</v>
      </c>
      <c r="AR928" s="34">
        <f t="shared" ca="1" si="1933"/>
        <v>-4.1756720747798684E-13</v>
      </c>
      <c r="AS928" s="34">
        <f t="shared" ca="1" si="1933"/>
        <v>-4.1756720747798684E-13</v>
      </c>
      <c r="AT928" s="34">
        <f t="shared" ca="1" si="1933"/>
        <v>-4.1756720747798684E-13</v>
      </c>
      <c r="AU928" s="34">
        <f t="shared" ca="1" si="1933"/>
        <v>-4.1756720747798684E-13</v>
      </c>
      <c r="AV928" s="34">
        <f t="shared" ca="1" si="1933"/>
        <v>-4.1756720747798684E-13</v>
      </c>
      <c r="AW928" s="34">
        <f t="shared" ca="1" si="1933"/>
        <v>-4.1756720747798684E-13</v>
      </c>
      <c r="AX928" s="34">
        <f t="shared" ca="1" si="1933"/>
        <v>-4.1756720747798684E-13</v>
      </c>
      <c r="AY928" s="34">
        <f t="shared" ca="1" si="1933"/>
        <v>-4.1756720747798684E-13</v>
      </c>
      <c r="AZ928" s="34">
        <f t="shared" ca="1" si="1933"/>
        <v>-4.1756720747798684E-13</v>
      </c>
      <c r="BA928" s="34">
        <f t="shared" ca="1" si="1933"/>
        <v>-4.1756720747798684E-13</v>
      </c>
      <c r="BB928" s="34">
        <f t="shared" ca="1" si="1933"/>
        <v>-4.1756720747798684E-13</v>
      </c>
      <c r="BC928" s="34">
        <f t="shared" ca="1" si="1933"/>
        <v>-4.1756720747798684E-13</v>
      </c>
      <c r="BD928" s="34">
        <f t="shared" ca="1" si="1933"/>
        <v>-4.1756720747798684E-13</v>
      </c>
      <c r="BE928" s="34">
        <f t="shared" ca="1" si="1933"/>
        <v>-4.1756720747798684E-13</v>
      </c>
      <c r="BF928" s="34">
        <f t="shared" ca="1" si="1933"/>
        <v>-4.1756720747798684E-13</v>
      </c>
      <c r="BG928" s="34">
        <f t="shared" ca="1" si="1933"/>
        <v>-4.1756720747798684E-13</v>
      </c>
      <c r="BH928" s="34">
        <f t="shared" ca="1" si="1933"/>
        <v>-4.1756720747798684E-13</v>
      </c>
      <c r="BI928" s="34">
        <f t="shared" ca="1" si="1933"/>
        <v>-4.1756720747798684E-13</v>
      </c>
      <c r="BJ928" s="34">
        <f t="shared" ca="1" si="1933"/>
        <v>-4.1756720747798684E-13</v>
      </c>
      <c r="BK928" s="34">
        <f t="shared" ca="1" si="1933"/>
        <v>-4.1756720747798684E-13</v>
      </c>
      <c r="BL928" s="34">
        <f t="shared" ca="1" si="1933"/>
        <v>-4.1756720747798684E-13</v>
      </c>
      <c r="BM928" s="34">
        <f t="shared" ca="1" si="1933"/>
        <v>-4.1756720747798684E-13</v>
      </c>
      <c r="BN928" s="34">
        <f t="shared" ca="1" si="1933"/>
        <v>-4.1756720747798684E-13</v>
      </c>
      <c r="BO928" s="34">
        <f t="shared" ca="1" si="1933"/>
        <v>-4.1756720747798684E-13</v>
      </c>
      <c r="BP928" s="34">
        <f t="shared" ca="1" si="1933"/>
        <v>-4.1756720747798684E-13</v>
      </c>
      <c r="BQ928" s="34">
        <f t="shared" ca="1" si="1933"/>
        <v>-4.1756720747798684E-13</v>
      </c>
      <c r="BR928" s="34">
        <f t="shared" ca="1" si="1933"/>
        <v>-4.1756720747798684E-13</v>
      </c>
      <c r="BS928" s="34">
        <f t="shared" ca="1" si="1933"/>
        <v>-4.1756720747798684E-13</v>
      </c>
      <c r="BT928" s="34">
        <f t="shared" ca="1" si="1933"/>
        <v>-4.1756720747798684E-13</v>
      </c>
      <c r="BU928" s="34">
        <f t="shared" ref="BU928:BY928" ca="1" si="1934">+BU903</f>
        <v>-4.1756720747798684E-13</v>
      </c>
      <c r="BV928" s="34">
        <f t="shared" ca="1" si="1934"/>
        <v>-4.1756720747798684E-13</v>
      </c>
      <c r="BW928" s="34">
        <f t="shared" ca="1" si="1934"/>
        <v>-4.1756720747798684E-13</v>
      </c>
      <c r="BX928" s="34">
        <f t="shared" ca="1" si="1934"/>
        <v>-4.1756720747798684E-13</v>
      </c>
      <c r="BY928" s="34">
        <f t="shared" ca="1" si="1934"/>
        <v>-4.1756720747798684E-13</v>
      </c>
    </row>
    <row r="929" spans="5:77" s="22" customFormat="1" ht="15" outlineLevel="1">
      <c r="E929" s="22" t="s">
        <v>481</v>
      </c>
      <c r="F929" s="36" t="s">
        <v>470</v>
      </c>
      <c r="G929" s="45"/>
      <c r="H929" s="47">
        <f ca="1">+SUM(H926:H928)</f>
        <v>0</v>
      </c>
      <c r="I929" s="47">
        <f t="shared" ref="I929:BT929" ca="1" si="1935">+SUM(I926:I928)</f>
        <v>-259032.07288152308</v>
      </c>
      <c r="J929" s="47">
        <f t="shared" ca="1" si="1935"/>
        <v>-17045.831002914751</v>
      </c>
      <c r="K929" s="47">
        <f t="shared" ca="1" si="1935"/>
        <v>-62953.489955169563</v>
      </c>
      <c r="L929" s="47">
        <f t="shared" ca="1" si="1935"/>
        <v>-62989.067112743942</v>
      </c>
      <c r="M929" s="47">
        <f t="shared" ca="1" si="1935"/>
        <v>-63025.355813469811</v>
      </c>
      <c r="N929" s="47">
        <f t="shared" ca="1" si="1935"/>
        <v>-63062.370288210193</v>
      </c>
      <c r="O929" s="47">
        <f t="shared" ca="1" si="1935"/>
        <v>-63100.125052445379</v>
      </c>
      <c r="P929" s="47">
        <f t="shared" ca="1" si="1935"/>
        <v>-63138.634911965288</v>
      </c>
      <c r="Q929" s="47">
        <f t="shared" ca="1" si="1935"/>
        <v>-63177.914968675585</v>
      </c>
      <c r="R929" s="47">
        <f t="shared" ca="1" si="1935"/>
        <v>-63217.980626520082</v>
      </c>
      <c r="S929" s="47">
        <f t="shared" ca="1" si="1935"/>
        <v>-63258.847597521475</v>
      </c>
      <c r="T929" s="47">
        <f t="shared" ca="1" si="1935"/>
        <v>-63300.531907942903</v>
      </c>
      <c r="U929" s="47">
        <f t="shared" ca="1" si="1935"/>
        <v>-63343.049904572741</v>
      </c>
      <c r="V929" s="47">
        <f t="shared" ca="1" si="1935"/>
        <v>-63386.418261135186</v>
      </c>
      <c r="W929" s="47">
        <f t="shared" ca="1" si="1935"/>
        <v>-63430.653984828881</v>
      </c>
      <c r="X929" s="47">
        <f t="shared" ca="1" si="1935"/>
        <v>-63475.774422996452</v>
      </c>
      <c r="Y929" s="47">
        <f t="shared" ca="1" si="1935"/>
        <v>-46475.966267012591</v>
      </c>
      <c r="Z929" s="47">
        <f t="shared" ca="1" si="1935"/>
        <v>-4.1756720747798684E-13</v>
      </c>
      <c r="AA929" s="47">
        <f t="shared" ca="1" si="1935"/>
        <v>-4.1756720747798684E-13</v>
      </c>
      <c r="AB929" s="47">
        <f t="shared" ca="1" si="1935"/>
        <v>-4.1756720747798684E-13</v>
      </c>
      <c r="AC929" s="47">
        <f t="shared" ca="1" si="1935"/>
        <v>-4.1756720747798684E-13</v>
      </c>
      <c r="AD929" s="47">
        <f t="shared" ca="1" si="1935"/>
        <v>-4.1756720747798684E-13</v>
      </c>
      <c r="AE929" s="47">
        <f t="shared" ca="1" si="1935"/>
        <v>-4.1756720747798684E-13</v>
      </c>
      <c r="AF929" s="47">
        <f t="shared" ca="1" si="1935"/>
        <v>-4.1756720747798684E-13</v>
      </c>
      <c r="AG929" s="47">
        <f t="shared" ca="1" si="1935"/>
        <v>-4.1756720747798684E-13</v>
      </c>
      <c r="AH929" s="47">
        <f t="shared" ca="1" si="1935"/>
        <v>-4.1756720747798684E-13</v>
      </c>
      <c r="AI929" s="47">
        <f t="shared" ca="1" si="1935"/>
        <v>-4.1756720747798684E-13</v>
      </c>
      <c r="AJ929" s="47">
        <f t="shared" ca="1" si="1935"/>
        <v>-4.1756720747798684E-13</v>
      </c>
      <c r="AK929" s="47">
        <f t="shared" ca="1" si="1935"/>
        <v>-4.1756720747798684E-13</v>
      </c>
      <c r="AL929" s="47">
        <f t="shared" ca="1" si="1935"/>
        <v>-4.1756720747798684E-13</v>
      </c>
      <c r="AM929" s="47">
        <f t="shared" ca="1" si="1935"/>
        <v>-4.1756720747798684E-13</v>
      </c>
      <c r="AN929" s="47">
        <f t="shared" ca="1" si="1935"/>
        <v>-4.1756720747798684E-13</v>
      </c>
      <c r="AO929" s="47">
        <f t="shared" ca="1" si="1935"/>
        <v>-4.1756720747798684E-13</v>
      </c>
      <c r="AP929" s="47">
        <f t="shared" ca="1" si="1935"/>
        <v>-4.1756720747798684E-13</v>
      </c>
      <c r="AQ929" s="47">
        <f t="shared" ca="1" si="1935"/>
        <v>-4.1756720747798684E-13</v>
      </c>
      <c r="AR929" s="47">
        <f t="shared" ca="1" si="1935"/>
        <v>-4.1756720747798684E-13</v>
      </c>
      <c r="AS929" s="47">
        <f t="shared" ca="1" si="1935"/>
        <v>-4.1756720747798684E-13</v>
      </c>
      <c r="AT929" s="47">
        <f t="shared" ca="1" si="1935"/>
        <v>-4.1756720747798684E-13</v>
      </c>
      <c r="AU929" s="47">
        <f t="shared" ca="1" si="1935"/>
        <v>-4.1756720747798684E-13</v>
      </c>
      <c r="AV929" s="47">
        <f t="shared" ca="1" si="1935"/>
        <v>-4.1756720747798684E-13</v>
      </c>
      <c r="AW929" s="47">
        <f t="shared" ca="1" si="1935"/>
        <v>-4.1756720747798684E-13</v>
      </c>
      <c r="AX929" s="47">
        <f t="shared" ca="1" si="1935"/>
        <v>-4.1756720747798684E-13</v>
      </c>
      <c r="AY929" s="47">
        <f t="shared" ca="1" si="1935"/>
        <v>-4.1756720747798684E-13</v>
      </c>
      <c r="AZ929" s="47">
        <f t="shared" ca="1" si="1935"/>
        <v>-4.1756720747798684E-13</v>
      </c>
      <c r="BA929" s="47">
        <f t="shared" ca="1" si="1935"/>
        <v>-4.1756720747798684E-13</v>
      </c>
      <c r="BB929" s="47">
        <f t="shared" ca="1" si="1935"/>
        <v>-4.1756720747798684E-13</v>
      </c>
      <c r="BC929" s="47">
        <f t="shared" ca="1" si="1935"/>
        <v>-4.1756720747798684E-13</v>
      </c>
      <c r="BD929" s="47">
        <f t="shared" ca="1" si="1935"/>
        <v>-4.1756720747798684E-13</v>
      </c>
      <c r="BE929" s="47">
        <f t="shared" ca="1" si="1935"/>
        <v>-4.1756720747798684E-13</v>
      </c>
      <c r="BF929" s="47">
        <f t="shared" ca="1" si="1935"/>
        <v>-4.1756720747798684E-13</v>
      </c>
      <c r="BG929" s="47">
        <f t="shared" ca="1" si="1935"/>
        <v>-4.1756720747798684E-13</v>
      </c>
      <c r="BH929" s="47">
        <f t="shared" ca="1" si="1935"/>
        <v>-4.1756720747798684E-13</v>
      </c>
      <c r="BI929" s="47">
        <f t="shared" ca="1" si="1935"/>
        <v>-4.1756720747798684E-13</v>
      </c>
      <c r="BJ929" s="47">
        <f t="shared" ca="1" si="1935"/>
        <v>-4.1756720747798684E-13</v>
      </c>
      <c r="BK929" s="47">
        <f t="shared" ca="1" si="1935"/>
        <v>-4.1756720747798684E-13</v>
      </c>
      <c r="BL929" s="47">
        <f t="shared" ca="1" si="1935"/>
        <v>-4.1756720747798684E-13</v>
      </c>
      <c r="BM929" s="47">
        <f t="shared" ca="1" si="1935"/>
        <v>-4.1756720747798684E-13</v>
      </c>
      <c r="BN929" s="47">
        <f t="shared" ca="1" si="1935"/>
        <v>-4.1756720747798684E-13</v>
      </c>
      <c r="BO929" s="47">
        <f t="shared" ca="1" si="1935"/>
        <v>-4.1756720747798684E-13</v>
      </c>
      <c r="BP929" s="47">
        <f t="shared" ca="1" si="1935"/>
        <v>-4.1756720747798684E-13</v>
      </c>
      <c r="BQ929" s="47">
        <f t="shared" ca="1" si="1935"/>
        <v>-4.1756720747798684E-13</v>
      </c>
      <c r="BR929" s="47">
        <f t="shared" ca="1" si="1935"/>
        <v>-4.1756720747798684E-13</v>
      </c>
      <c r="BS929" s="47">
        <f t="shared" ca="1" si="1935"/>
        <v>-4.1756720747798684E-13</v>
      </c>
      <c r="BT929" s="47">
        <f t="shared" ca="1" si="1935"/>
        <v>-4.1756720747798684E-13</v>
      </c>
      <c r="BU929" s="47">
        <f t="shared" ref="BU929:BY929" ca="1" si="1936">+SUM(BU926:BU928)</f>
        <v>-4.1756720747798684E-13</v>
      </c>
      <c r="BV929" s="47">
        <f t="shared" ca="1" si="1936"/>
        <v>-4.1756720747798684E-13</v>
      </c>
      <c r="BW929" s="47">
        <f t="shared" ca="1" si="1936"/>
        <v>-4.1756720747798684E-13</v>
      </c>
      <c r="BX929" s="47">
        <f t="shared" ca="1" si="1936"/>
        <v>-4.1756720747798684E-13</v>
      </c>
      <c r="BY929" s="47">
        <f t="shared" ca="1" si="1936"/>
        <v>-4.1756720747798684E-13</v>
      </c>
    </row>
    <row r="930" spans="5:77" outlineLevel="1">
      <c r="BF930" s="33"/>
      <c r="BG930" s="33"/>
      <c r="BH930" s="33"/>
      <c r="BI930" s="33"/>
      <c r="BJ930" s="33"/>
      <c r="BK930" s="33"/>
      <c r="BL930" s="33"/>
      <c r="BM930" s="33"/>
      <c r="BN930" s="33"/>
      <c r="BO930" s="33"/>
      <c r="BP930" s="33"/>
      <c r="BQ930" s="33"/>
      <c r="BR930" s="33"/>
      <c r="BS930" s="33"/>
      <c r="BT930" s="33"/>
      <c r="BU930" s="33"/>
      <c r="BV930" s="33"/>
      <c r="BW930" s="33"/>
      <c r="BX930" s="33"/>
      <c r="BY930" s="33"/>
    </row>
    <row r="931" spans="5:77" outlineLevel="1">
      <c r="BF931" s="33"/>
      <c r="BG931" s="33"/>
      <c r="BH931" s="33"/>
      <c r="BI931" s="33"/>
      <c r="BJ931" s="33"/>
      <c r="BK931" s="33"/>
      <c r="BL931" s="33"/>
      <c r="BM931" s="33"/>
      <c r="BN931" s="33"/>
      <c r="BO931" s="33"/>
      <c r="BP931" s="33"/>
      <c r="BQ931" s="33"/>
      <c r="BR931" s="33"/>
      <c r="BS931" s="33"/>
      <c r="BT931" s="33"/>
      <c r="BU931" s="33"/>
      <c r="BV931" s="33"/>
      <c r="BW931" s="33"/>
      <c r="BX931" s="33"/>
      <c r="BY931" s="33"/>
    </row>
    <row r="932" spans="5:77" ht="15" outlineLevel="1">
      <c r="E932" s="77" t="s">
        <v>366</v>
      </c>
      <c r="BF932" s="33"/>
      <c r="BG932" s="33"/>
      <c r="BH932" s="33"/>
      <c r="BI932" s="33"/>
      <c r="BJ932" s="33"/>
      <c r="BK932" s="33"/>
      <c r="BL932" s="33"/>
      <c r="BM932" s="33"/>
      <c r="BN932" s="33"/>
      <c r="BO932" s="33"/>
      <c r="BP932" s="33"/>
      <c r="BQ932" s="33"/>
      <c r="BR932" s="33"/>
      <c r="BS932" s="33"/>
      <c r="BT932" s="33"/>
      <c r="BU932" s="33"/>
      <c r="BV932" s="33"/>
      <c r="BW932" s="33"/>
      <c r="BX932" s="33"/>
      <c r="BY932" s="33"/>
    </row>
    <row r="933" spans="5:77" s="22" customFormat="1" ht="15" outlineLevel="1">
      <c r="E933" t="s">
        <v>474</v>
      </c>
      <c r="F933" s="23" t="s">
        <v>475</v>
      </c>
      <c r="G933"/>
      <c r="H933" s="33">
        <f>+H910+H911</f>
        <v>0</v>
      </c>
      <c r="I933" s="33">
        <f t="shared" ref="I933:BT933" si="1937">+I910+I911</f>
        <v>0</v>
      </c>
      <c r="J933" s="33">
        <f t="shared" si="1937"/>
        <v>0</v>
      </c>
      <c r="K933" s="33">
        <f t="shared" si="1937"/>
        <v>-40467.135979933242</v>
      </c>
      <c r="L933" s="33">
        <f t="shared" si="1937"/>
        <v>-40585.726505181177</v>
      </c>
      <c r="M933" s="33">
        <f t="shared" si="1937"/>
        <v>-40706.688840934075</v>
      </c>
      <c r="N933" s="33">
        <f t="shared" si="1937"/>
        <v>-40830.070423402023</v>
      </c>
      <c r="O933" s="33">
        <f t="shared" si="1937"/>
        <v>-40955.919637519342</v>
      </c>
      <c r="P933" s="33">
        <f t="shared" si="1937"/>
        <v>-41084.285835919</v>
      </c>
      <c r="Q933" s="33">
        <f t="shared" si="1937"/>
        <v>-41215.219358286653</v>
      </c>
      <c r="R933" s="33">
        <f t="shared" si="1937"/>
        <v>-41348.771551101658</v>
      </c>
      <c r="S933" s="33">
        <f t="shared" si="1937"/>
        <v>-41484.994787772965</v>
      </c>
      <c r="T933" s="33">
        <f t="shared" si="1937"/>
        <v>-41623.942489177694</v>
      </c>
      <c r="U933" s="33">
        <f t="shared" si="1937"/>
        <v>-41765.669144610518</v>
      </c>
      <c r="V933" s="33">
        <f t="shared" si="1937"/>
        <v>-41910.230333152002</v>
      </c>
      <c r="W933" s="33">
        <f t="shared" si="1937"/>
        <v>-42057.682745464313</v>
      </c>
      <c r="X933" s="33">
        <f t="shared" si="1937"/>
        <v>-42208.084206022875</v>
      </c>
      <c r="Y933" s="33">
        <f t="shared" si="1937"/>
        <v>-42361.493695792597</v>
      </c>
      <c r="Z933" s="33">
        <f t="shared" si="1937"/>
        <v>-34537.609717536398</v>
      </c>
      <c r="AA933" s="33">
        <f t="shared" si="1937"/>
        <v>0</v>
      </c>
      <c r="AB933" s="33">
        <f t="shared" si="1937"/>
        <v>0</v>
      </c>
      <c r="AC933" s="33">
        <f t="shared" si="1937"/>
        <v>0</v>
      </c>
      <c r="AD933" s="33">
        <f t="shared" si="1937"/>
        <v>0</v>
      </c>
      <c r="AE933" s="33">
        <f t="shared" si="1937"/>
        <v>0</v>
      </c>
      <c r="AF933" s="33">
        <f t="shared" si="1937"/>
        <v>0</v>
      </c>
      <c r="AG933" s="33">
        <f t="shared" si="1937"/>
        <v>0</v>
      </c>
      <c r="AH933" s="33">
        <f t="shared" si="1937"/>
        <v>0</v>
      </c>
      <c r="AI933" s="33">
        <f t="shared" si="1937"/>
        <v>0</v>
      </c>
      <c r="AJ933" s="33">
        <f t="shared" si="1937"/>
        <v>0</v>
      </c>
      <c r="AK933" s="33">
        <f t="shared" si="1937"/>
        <v>0</v>
      </c>
      <c r="AL933" s="33">
        <f t="shared" si="1937"/>
        <v>0</v>
      </c>
      <c r="AM933" s="33">
        <f t="shared" si="1937"/>
        <v>0</v>
      </c>
      <c r="AN933" s="33">
        <f t="shared" si="1937"/>
        <v>0</v>
      </c>
      <c r="AO933" s="33">
        <f t="shared" si="1937"/>
        <v>0</v>
      </c>
      <c r="AP933" s="33">
        <f t="shared" si="1937"/>
        <v>0</v>
      </c>
      <c r="AQ933" s="33">
        <f t="shared" si="1937"/>
        <v>0</v>
      </c>
      <c r="AR933" s="33">
        <f t="shared" si="1937"/>
        <v>0</v>
      </c>
      <c r="AS933" s="33">
        <f t="shared" si="1937"/>
        <v>0</v>
      </c>
      <c r="AT933" s="33">
        <f t="shared" si="1937"/>
        <v>0</v>
      </c>
      <c r="AU933" s="33">
        <f t="shared" si="1937"/>
        <v>0</v>
      </c>
      <c r="AV933" s="33">
        <f t="shared" si="1937"/>
        <v>0</v>
      </c>
      <c r="AW933" s="33">
        <f t="shared" si="1937"/>
        <v>0</v>
      </c>
      <c r="AX933" s="33">
        <f t="shared" si="1937"/>
        <v>0</v>
      </c>
      <c r="AY933" s="33">
        <f t="shared" si="1937"/>
        <v>0</v>
      </c>
      <c r="AZ933" s="33">
        <f t="shared" si="1937"/>
        <v>0</v>
      </c>
      <c r="BA933" s="33">
        <f t="shared" si="1937"/>
        <v>0</v>
      </c>
      <c r="BB933" s="33">
        <f t="shared" si="1937"/>
        <v>0</v>
      </c>
      <c r="BC933" s="33">
        <f t="shared" si="1937"/>
        <v>0</v>
      </c>
      <c r="BD933" s="33">
        <f t="shared" si="1937"/>
        <v>0</v>
      </c>
      <c r="BE933" s="33">
        <f t="shared" si="1937"/>
        <v>0</v>
      </c>
      <c r="BF933" s="33">
        <f t="shared" si="1937"/>
        <v>0</v>
      </c>
      <c r="BG933" s="33">
        <f t="shared" si="1937"/>
        <v>0</v>
      </c>
      <c r="BH933" s="33">
        <f t="shared" si="1937"/>
        <v>0</v>
      </c>
      <c r="BI933" s="33">
        <f t="shared" si="1937"/>
        <v>0</v>
      </c>
      <c r="BJ933" s="33">
        <f t="shared" si="1937"/>
        <v>0</v>
      </c>
      <c r="BK933" s="33">
        <f t="shared" si="1937"/>
        <v>0</v>
      </c>
      <c r="BL933" s="33">
        <f t="shared" si="1937"/>
        <v>0</v>
      </c>
      <c r="BM933" s="33">
        <f t="shared" si="1937"/>
        <v>0</v>
      </c>
      <c r="BN933" s="33">
        <f t="shared" si="1937"/>
        <v>0</v>
      </c>
      <c r="BO933" s="33">
        <f t="shared" si="1937"/>
        <v>0</v>
      </c>
      <c r="BP933" s="33">
        <f t="shared" si="1937"/>
        <v>0</v>
      </c>
      <c r="BQ933" s="33">
        <f t="shared" si="1937"/>
        <v>0</v>
      </c>
      <c r="BR933" s="33">
        <f t="shared" si="1937"/>
        <v>0</v>
      </c>
      <c r="BS933" s="33">
        <f t="shared" si="1937"/>
        <v>0</v>
      </c>
      <c r="BT933" s="33">
        <f t="shared" si="1937"/>
        <v>0</v>
      </c>
      <c r="BU933" s="33">
        <f t="shared" ref="BU933:BY933" si="1938">+BU910+BU911</f>
        <v>0</v>
      </c>
      <c r="BV933" s="33">
        <f t="shared" si="1938"/>
        <v>0</v>
      </c>
      <c r="BW933" s="33">
        <f t="shared" si="1938"/>
        <v>0</v>
      </c>
      <c r="BX933" s="33">
        <f t="shared" si="1938"/>
        <v>0</v>
      </c>
      <c r="BY933" s="33">
        <f t="shared" si="1938"/>
        <v>0</v>
      </c>
    </row>
    <row r="934" spans="5:77" s="22" customFormat="1" ht="15" outlineLevel="1">
      <c r="E934" t="s">
        <v>476</v>
      </c>
      <c r="F934" s="23" t="s">
        <v>475</v>
      </c>
      <c r="G934"/>
      <c r="H934" s="33">
        <f>-H911</f>
        <v>0</v>
      </c>
      <c r="I934" s="33">
        <f t="shared" ref="I934:BT934" si="1939">-I911</f>
        <v>0</v>
      </c>
      <c r="J934" s="33">
        <f t="shared" si="1939"/>
        <v>0</v>
      </c>
      <c r="K934" s="33">
        <f t="shared" si="1939"/>
        <v>34537.609717536398</v>
      </c>
      <c r="L934" s="33">
        <f t="shared" si="1939"/>
        <v>34537.609717536398</v>
      </c>
      <c r="M934" s="33">
        <f t="shared" si="1939"/>
        <v>34537.609717536398</v>
      </c>
      <c r="N934" s="33">
        <f t="shared" si="1939"/>
        <v>34537.609717536398</v>
      </c>
      <c r="O934" s="33">
        <f t="shared" si="1939"/>
        <v>34537.609717536398</v>
      </c>
      <c r="P934" s="33">
        <f t="shared" si="1939"/>
        <v>34537.609717536398</v>
      </c>
      <c r="Q934" s="33">
        <f t="shared" si="1939"/>
        <v>34537.609717536398</v>
      </c>
      <c r="R934" s="33">
        <f t="shared" si="1939"/>
        <v>34537.609717536398</v>
      </c>
      <c r="S934" s="33">
        <f t="shared" si="1939"/>
        <v>34537.609717536398</v>
      </c>
      <c r="T934" s="33">
        <f t="shared" si="1939"/>
        <v>34537.609717536398</v>
      </c>
      <c r="U934" s="33">
        <f t="shared" si="1939"/>
        <v>34537.609717536398</v>
      </c>
      <c r="V934" s="33">
        <f t="shared" si="1939"/>
        <v>34537.609717536398</v>
      </c>
      <c r="W934" s="33">
        <f t="shared" si="1939"/>
        <v>34537.609717536398</v>
      </c>
      <c r="X934" s="33">
        <f t="shared" si="1939"/>
        <v>34537.609717536398</v>
      </c>
      <c r="Y934" s="33">
        <f t="shared" si="1939"/>
        <v>34537.609717536398</v>
      </c>
      <c r="Z934" s="33">
        <f t="shared" si="1939"/>
        <v>34537.609717536398</v>
      </c>
      <c r="AA934" s="33">
        <f t="shared" si="1939"/>
        <v>0</v>
      </c>
      <c r="AB934" s="33">
        <f t="shared" si="1939"/>
        <v>0</v>
      </c>
      <c r="AC934" s="33">
        <f t="shared" si="1939"/>
        <v>0</v>
      </c>
      <c r="AD934" s="33">
        <f t="shared" si="1939"/>
        <v>0</v>
      </c>
      <c r="AE934" s="33">
        <f t="shared" si="1939"/>
        <v>0</v>
      </c>
      <c r="AF934" s="33">
        <f t="shared" si="1939"/>
        <v>0</v>
      </c>
      <c r="AG934" s="33">
        <f t="shared" si="1939"/>
        <v>0</v>
      </c>
      <c r="AH934" s="33">
        <f t="shared" si="1939"/>
        <v>0</v>
      </c>
      <c r="AI934" s="33">
        <f t="shared" si="1939"/>
        <v>0</v>
      </c>
      <c r="AJ934" s="33">
        <f t="shared" si="1939"/>
        <v>0</v>
      </c>
      <c r="AK934" s="33">
        <f t="shared" si="1939"/>
        <v>0</v>
      </c>
      <c r="AL934" s="33">
        <f t="shared" si="1939"/>
        <v>0</v>
      </c>
      <c r="AM934" s="33">
        <f t="shared" si="1939"/>
        <v>0</v>
      </c>
      <c r="AN934" s="33">
        <f t="shared" si="1939"/>
        <v>0</v>
      </c>
      <c r="AO934" s="33">
        <f t="shared" si="1939"/>
        <v>0</v>
      </c>
      <c r="AP934" s="33">
        <f t="shared" si="1939"/>
        <v>0</v>
      </c>
      <c r="AQ934" s="33">
        <f t="shared" si="1939"/>
        <v>0</v>
      </c>
      <c r="AR934" s="33">
        <f t="shared" si="1939"/>
        <v>0</v>
      </c>
      <c r="AS934" s="33">
        <f t="shared" si="1939"/>
        <v>0</v>
      </c>
      <c r="AT934" s="33">
        <f t="shared" si="1939"/>
        <v>0</v>
      </c>
      <c r="AU934" s="33">
        <f t="shared" si="1939"/>
        <v>0</v>
      </c>
      <c r="AV934" s="33">
        <f t="shared" si="1939"/>
        <v>0</v>
      </c>
      <c r="AW934" s="33">
        <f t="shared" si="1939"/>
        <v>0</v>
      </c>
      <c r="AX934" s="33">
        <f t="shared" si="1939"/>
        <v>0</v>
      </c>
      <c r="AY934" s="33">
        <f t="shared" si="1939"/>
        <v>0</v>
      </c>
      <c r="AZ934" s="33">
        <f t="shared" si="1939"/>
        <v>0</v>
      </c>
      <c r="BA934" s="33">
        <f t="shared" si="1939"/>
        <v>0</v>
      </c>
      <c r="BB934" s="33">
        <f t="shared" si="1939"/>
        <v>0</v>
      </c>
      <c r="BC934" s="33">
        <f t="shared" si="1939"/>
        <v>0</v>
      </c>
      <c r="BD934" s="33">
        <f t="shared" si="1939"/>
        <v>0</v>
      </c>
      <c r="BE934" s="33">
        <f t="shared" si="1939"/>
        <v>0</v>
      </c>
      <c r="BF934" s="33">
        <f t="shared" si="1939"/>
        <v>0</v>
      </c>
      <c r="BG934" s="33">
        <f t="shared" si="1939"/>
        <v>0</v>
      </c>
      <c r="BH934" s="33">
        <f t="shared" si="1939"/>
        <v>0</v>
      </c>
      <c r="BI934" s="33">
        <f t="shared" si="1939"/>
        <v>0</v>
      </c>
      <c r="BJ934" s="33">
        <f t="shared" si="1939"/>
        <v>0</v>
      </c>
      <c r="BK934" s="33">
        <f t="shared" si="1939"/>
        <v>0</v>
      </c>
      <c r="BL934" s="33">
        <f t="shared" si="1939"/>
        <v>0</v>
      </c>
      <c r="BM934" s="33">
        <f t="shared" si="1939"/>
        <v>0</v>
      </c>
      <c r="BN934" s="33">
        <f t="shared" si="1939"/>
        <v>0</v>
      </c>
      <c r="BO934" s="33">
        <f t="shared" si="1939"/>
        <v>0</v>
      </c>
      <c r="BP934" s="33">
        <f t="shared" si="1939"/>
        <v>0</v>
      </c>
      <c r="BQ934" s="33">
        <f t="shared" si="1939"/>
        <v>0</v>
      </c>
      <c r="BR934" s="33">
        <f t="shared" si="1939"/>
        <v>0</v>
      </c>
      <c r="BS934" s="33">
        <f t="shared" si="1939"/>
        <v>0</v>
      </c>
      <c r="BT934" s="33">
        <f t="shared" si="1939"/>
        <v>0</v>
      </c>
      <c r="BU934" s="33">
        <f t="shared" ref="BU934:BY934" si="1940">-BU911</f>
        <v>0</v>
      </c>
      <c r="BV934" s="33">
        <f t="shared" si="1940"/>
        <v>0</v>
      </c>
      <c r="BW934" s="33">
        <f t="shared" si="1940"/>
        <v>0</v>
      </c>
      <c r="BX934" s="33">
        <f t="shared" si="1940"/>
        <v>0</v>
      </c>
      <c r="BY934" s="33">
        <f t="shared" si="1940"/>
        <v>0</v>
      </c>
    </row>
    <row r="935" spans="5:77" s="22" customFormat="1" ht="15" outlineLevel="1">
      <c r="E935" t="s">
        <v>477</v>
      </c>
      <c r="F935" s="23" t="s">
        <v>466</v>
      </c>
      <c r="G935"/>
      <c r="H935" s="33">
        <v>0</v>
      </c>
      <c r="I935" s="33">
        <v>0</v>
      </c>
      <c r="J935" s="33">
        <v>0</v>
      </c>
      <c r="K935" s="33">
        <v>0</v>
      </c>
      <c r="L935" s="33">
        <v>0</v>
      </c>
      <c r="M935" s="33">
        <v>0</v>
      </c>
      <c r="N935" s="33">
        <v>0</v>
      </c>
      <c r="O935" s="33">
        <v>0</v>
      </c>
      <c r="P935" s="33">
        <v>0</v>
      </c>
      <c r="Q935" s="33">
        <v>0</v>
      </c>
      <c r="R935" s="33">
        <v>0</v>
      </c>
      <c r="S935" s="33">
        <v>0</v>
      </c>
      <c r="T935" s="33">
        <v>0</v>
      </c>
      <c r="U935" s="33">
        <v>0</v>
      </c>
      <c r="V935" s="33">
        <v>0</v>
      </c>
      <c r="W935" s="33">
        <v>0</v>
      </c>
      <c r="X935" s="33">
        <v>0</v>
      </c>
      <c r="Y935" s="33">
        <v>0</v>
      </c>
      <c r="Z935" s="33">
        <v>0</v>
      </c>
      <c r="AA935" s="33">
        <v>0</v>
      </c>
      <c r="AB935" s="33">
        <v>0</v>
      </c>
      <c r="AC935" s="33">
        <v>0</v>
      </c>
      <c r="AD935" s="33">
        <v>0</v>
      </c>
      <c r="AE935" s="33">
        <v>0</v>
      </c>
      <c r="AF935" s="33">
        <v>0</v>
      </c>
      <c r="AG935" s="33">
        <v>0</v>
      </c>
      <c r="AH935" s="33">
        <v>0</v>
      </c>
      <c r="AI935" s="33">
        <v>0</v>
      </c>
      <c r="AJ935" s="33">
        <v>0</v>
      </c>
      <c r="AK935" s="33">
        <v>0</v>
      </c>
      <c r="AL935" s="33">
        <v>0</v>
      </c>
      <c r="AM935" s="33">
        <v>0</v>
      </c>
      <c r="AN935" s="33">
        <v>0</v>
      </c>
      <c r="AO935" s="33">
        <v>0</v>
      </c>
      <c r="AP935" s="33">
        <v>0</v>
      </c>
      <c r="AQ935" s="33">
        <v>0</v>
      </c>
      <c r="AR935" s="33">
        <v>0</v>
      </c>
      <c r="AS935" s="33">
        <v>0</v>
      </c>
      <c r="AT935" s="33">
        <v>0</v>
      </c>
      <c r="AU935" s="33">
        <v>0</v>
      </c>
      <c r="AV935" s="33">
        <v>0</v>
      </c>
      <c r="AW935" s="33">
        <v>0</v>
      </c>
      <c r="AX935" s="33">
        <v>0</v>
      </c>
      <c r="AY935" s="33">
        <v>0</v>
      </c>
      <c r="AZ935" s="33">
        <v>0</v>
      </c>
      <c r="BA935" s="33">
        <v>0</v>
      </c>
      <c r="BB935" s="33">
        <v>0</v>
      </c>
      <c r="BC935" s="33">
        <v>0</v>
      </c>
      <c r="BD935" s="33">
        <v>0</v>
      </c>
      <c r="BE935" s="33">
        <v>0</v>
      </c>
      <c r="BF935" s="33">
        <v>0</v>
      </c>
      <c r="BG935" s="33">
        <v>0</v>
      </c>
      <c r="BH935" s="33">
        <v>0</v>
      </c>
      <c r="BI935" s="33">
        <v>0</v>
      </c>
      <c r="BJ935" s="33">
        <v>0</v>
      </c>
      <c r="BK935" s="33">
        <v>0</v>
      </c>
      <c r="BL935" s="33">
        <v>0</v>
      </c>
      <c r="BM935" s="33">
        <v>0</v>
      </c>
      <c r="BN935" s="33">
        <v>0</v>
      </c>
      <c r="BO935" s="33">
        <v>0</v>
      </c>
      <c r="BP935" s="33">
        <v>0</v>
      </c>
      <c r="BQ935" s="33">
        <v>0</v>
      </c>
      <c r="BR935" s="33">
        <v>0</v>
      </c>
      <c r="BS935" s="33">
        <v>0</v>
      </c>
      <c r="BT935" s="33">
        <v>0</v>
      </c>
      <c r="BU935" s="33">
        <v>0</v>
      </c>
      <c r="BV935" s="33">
        <v>0</v>
      </c>
      <c r="BW935" s="33">
        <v>0</v>
      </c>
      <c r="BX935" s="33">
        <v>0</v>
      </c>
      <c r="BY935" s="33">
        <v>0</v>
      </c>
    </row>
    <row r="936" spans="5:77" s="22" customFormat="1" ht="15" outlineLevel="1">
      <c r="E936" t="s">
        <v>471</v>
      </c>
      <c r="F936" s="23" t="s">
        <v>466</v>
      </c>
      <c r="G936"/>
      <c r="H936" s="33">
        <f ca="1">+H914</f>
        <v>0</v>
      </c>
      <c r="I936" s="33">
        <f t="shared" ref="I936:BT936" ca="1" si="1941">+I914</f>
        <v>0</v>
      </c>
      <c r="J936" s="33">
        <f t="shared" ca="1" si="1941"/>
        <v>0</v>
      </c>
      <c r="K936" s="33">
        <f t="shared" ca="1" si="1941"/>
        <v>0</v>
      </c>
      <c r="L936" s="33">
        <f t="shared" ca="1" si="1941"/>
        <v>0</v>
      </c>
      <c r="M936" s="33">
        <f t="shared" ca="1" si="1941"/>
        <v>0</v>
      </c>
      <c r="N936" s="33">
        <f t="shared" ca="1" si="1941"/>
        <v>0</v>
      </c>
      <c r="O936" s="33">
        <f t="shared" ca="1" si="1941"/>
        <v>0</v>
      </c>
      <c r="P936" s="33">
        <f t="shared" ca="1" si="1941"/>
        <v>0</v>
      </c>
      <c r="Q936" s="33">
        <f t="shared" ca="1" si="1941"/>
        <v>0</v>
      </c>
      <c r="R936" s="33">
        <f t="shared" ca="1" si="1941"/>
        <v>0</v>
      </c>
      <c r="S936" s="33">
        <f t="shared" ca="1" si="1941"/>
        <v>0</v>
      </c>
      <c r="T936" s="33">
        <f t="shared" ca="1" si="1941"/>
        <v>0</v>
      </c>
      <c r="U936" s="33">
        <f t="shared" ca="1" si="1941"/>
        <v>0</v>
      </c>
      <c r="V936" s="33">
        <f t="shared" ca="1" si="1941"/>
        <v>0</v>
      </c>
      <c r="W936" s="33">
        <f t="shared" ca="1" si="1941"/>
        <v>0</v>
      </c>
      <c r="X936" s="33">
        <f t="shared" ca="1" si="1941"/>
        <v>0</v>
      </c>
      <c r="Y936" s="33">
        <f t="shared" ca="1" si="1941"/>
        <v>0</v>
      </c>
      <c r="Z936" s="33">
        <f t="shared" ca="1" si="1941"/>
        <v>0</v>
      </c>
      <c r="AA936" s="33">
        <f t="shared" ca="1" si="1941"/>
        <v>0</v>
      </c>
      <c r="AB936" s="33">
        <f t="shared" ca="1" si="1941"/>
        <v>0</v>
      </c>
      <c r="AC936" s="33">
        <f t="shared" ca="1" si="1941"/>
        <v>0</v>
      </c>
      <c r="AD936" s="33">
        <f t="shared" ca="1" si="1941"/>
        <v>0</v>
      </c>
      <c r="AE936" s="33">
        <f t="shared" ca="1" si="1941"/>
        <v>0</v>
      </c>
      <c r="AF936" s="33">
        <f t="shared" ca="1" si="1941"/>
        <v>0</v>
      </c>
      <c r="AG936" s="33">
        <f t="shared" ca="1" si="1941"/>
        <v>0</v>
      </c>
      <c r="AH936" s="33">
        <f t="shared" ca="1" si="1941"/>
        <v>0</v>
      </c>
      <c r="AI936" s="33">
        <f t="shared" ca="1" si="1941"/>
        <v>0</v>
      </c>
      <c r="AJ936" s="33">
        <f t="shared" ca="1" si="1941"/>
        <v>0</v>
      </c>
      <c r="AK936" s="33">
        <f t="shared" ca="1" si="1941"/>
        <v>0</v>
      </c>
      <c r="AL936" s="33">
        <f t="shared" ca="1" si="1941"/>
        <v>0</v>
      </c>
      <c r="AM936" s="33">
        <f t="shared" ca="1" si="1941"/>
        <v>0</v>
      </c>
      <c r="AN936" s="33">
        <f t="shared" ca="1" si="1941"/>
        <v>0</v>
      </c>
      <c r="AO936" s="33">
        <f t="shared" ca="1" si="1941"/>
        <v>0</v>
      </c>
      <c r="AP936" s="33">
        <f t="shared" ca="1" si="1941"/>
        <v>0</v>
      </c>
      <c r="AQ936" s="33">
        <f t="shared" ca="1" si="1941"/>
        <v>0</v>
      </c>
      <c r="AR936" s="33">
        <f t="shared" ca="1" si="1941"/>
        <v>0</v>
      </c>
      <c r="AS936" s="33">
        <f t="shared" ca="1" si="1941"/>
        <v>0</v>
      </c>
      <c r="AT936" s="33">
        <f t="shared" ca="1" si="1941"/>
        <v>0</v>
      </c>
      <c r="AU936" s="33">
        <f t="shared" ca="1" si="1941"/>
        <v>0</v>
      </c>
      <c r="AV936" s="33">
        <f t="shared" ca="1" si="1941"/>
        <v>0</v>
      </c>
      <c r="AW936" s="33">
        <f t="shared" ca="1" si="1941"/>
        <v>0</v>
      </c>
      <c r="AX936" s="33">
        <f t="shared" ca="1" si="1941"/>
        <v>0</v>
      </c>
      <c r="AY936" s="33">
        <f t="shared" ca="1" si="1941"/>
        <v>0</v>
      </c>
      <c r="AZ936" s="33">
        <f t="shared" ca="1" si="1941"/>
        <v>0</v>
      </c>
      <c r="BA936" s="33">
        <f t="shared" ca="1" si="1941"/>
        <v>0</v>
      </c>
      <c r="BB936" s="33">
        <f t="shared" ca="1" si="1941"/>
        <v>0</v>
      </c>
      <c r="BC936" s="33">
        <f t="shared" ca="1" si="1941"/>
        <v>0</v>
      </c>
      <c r="BD936" s="33">
        <f t="shared" ca="1" si="1941"/>
        <v>0</v>
      </c>
      <c r="BE936" s="33">
        <f t="shared" ca="1" si="1941"/>
        <v>0</v>
      </c>
      <c r="BF936" s="33">
        <f t="shared" ca="1" si="1941"/>
        <v>0</v>
      </c>
      <c r="BG936" s="33">
        <f t="shared" ca="1" si="1941"/>
        <v>0</v>
      </c>
      <c r="BH936" s="33">
        <f t="shared" ca="1" si="1941"/>
        <v>0</v>
      </c>
      <c r="BI936" s="33">
        <f t="shared" ca="1" si="1941"/>
        <v>0</v>
      </c>
      <c r="BJ936" s="33">
        <f t="shared" ca="1" si="1941"/>
        <v>0</v>
      </c>
      <c r="BK936" s="33">
        <f t="shared" ca="1" si="1941"/>
        <v>0</v>
      </c>
      <c r="BL936" s="33">
        <f t="shared" ca="1" si="1941"/>
        <v>0</v>
      </c>
      <c r="BM936" s="33">
        <f t="shared" ca="1" si="1941"/>
        <v>0</v>
      </c>
      <c r="BN936" s="33">
        <f t="shared" ca="1" si="1941"/>
        <v>0</v>
      </c>
      <c r="BO936" s="33">
        <f t="shared" ca="1" si="1941"/>
        <v>0</v>
      </c>
      <c r="BP936" s="33">
        <f t="shared" ca="1" si="1941"/>
        <v>0</v>
      </c>
      <c r="BQ936" s="33">
        <f t="shared" ca="1" si="1941"/>
        <v>0</v>
      </c>
      <c r="BR936" s="33">
        <f t="shared" ca="1" si="1941"/>
        <v>0</v>
      </c>
      <c r="BS936" s="33">
        <f t="shared" ca="1" si="1941"/>
        <v>0</v>
      </c>
      <c r="BT936" s="33">
        <f t="shared" ca="1" si="1941"/>
        <v>0</v>
      </c>
      <c r="BU936" s="33">
        <f t="shared" ref="BU936:BY936" ca="1" si="1942">+BU914</f>
        <v>0</v>
      </c>
      <c r="BV936" s="33">
        <f t="shared" ca="1" si="1942"/>
        <v>0</v>
      </c>
      <c r="BW936" s="33">
        <f t="shared" ca="1" si="1942"/>
        <v>0</v>
      </c>
      <c r="BX936" s="33">
        <f t="shared" ca="1" si="1942"/>
        <v>0</v>
      </c>
      <c r="BY936" s="33">
        <f t="shared" ca="1" si="1942"/>
        <v>0</v>
      </c>
    </row>
    <row r="937" spans="5:77" s="22" customFormat="1" ht="15" outlineLevel="1">
      <c r="E937" s="22" t="s">
        <v>478</v>
      </c>
      <c r="F937" s="36" t="s">
        <v>470</v>
      </c>
      <c r="H937" s="37">
        <f ca="1">+SUM(H933:H936)</f>
        <v>0</v>
      </c>
      <c r="I937" s="37">
        <f t="shared" ref="I937:BT937" ca="1" si="1943">+SUM(I933:I936)</f>
        <v>0</v>
      </c>
      <c r="J937" s="37">
        <f t="shared" ca="1" si="1943"/>
        <v>0</v>
      </c>
      <c r="K937" s="37">
        <f t="shared" ca="1" si="1943"/>
        <v>-5929.5262623968447</v>
      </c>
      <c r="L937" s="37">
        <f t="shared" ca="1" si="1943"/>
        <v>-6048.1167876447798</v>
      </c>
      <c r="M937" s="37">
        <f t="shared" ca="1" si="1943"/>
        <v>-6169.0791233976779</v>
      </c>
      <c r="N937" s="37">
        <f t="shared" ca="1" si="1943"/>
        <v>-6292.4607058656256</v>
      </c>
      <c r="O937" s="37">
        <f t="shared" ca="1" si="1943"/>
        <v>-6418.3099199829448</v>
      </c>
      <c r="P937" s="37">
        <f t="shared" ca="1" si="1943"/>
        <v>-6546.676118382602</v>
      </c>
      <c r="Q937" s="37">
        <f t="shared" ca="1" si="1943"/>
        <v>-6677.6096407502555</v>
      </c>
      <c r="R937" s="37">
        <f t="shared" ca="1" si="1943"/>
        <v>-6811.1618335652602</v>
      </c>
      <c r="S937" s="37">
        <f t="shared" ca="1" si="1943"/>
        <v>-6947.3850702365671</v>
      </c>
      <c r="T937" s="37">
        <f t="shared" ca="1" si="1943"/>
        <v>-7086.3327716412969</v>
      </c>
      <c r="U937" s="37">
        <f t="shared" ca="1" si="1943"/>
        <v>-7228.0594270741203</v>
      </c>
      <c r="V937" s="37">
        <f t="shared" ca="1" si="1943"/>
        <v>-7372.620615615604</v>
      </c>
      <c r="W937" s="37">
        <f t="shared" ca="1" si="1943"/>
        <v>-7520.073027927916</v>
      </c>
      <c r="X937" s="37">
        <f t="shared" ca="1" si="1943"/>
        <v>-7670.4744884864776</v>
      </c>
      <c r="Y937" s="37">
        <f t="shared" ca="1" si="1943"/>
        <v>-7823.883978256199</v>
      </c>
      <c r="Z937" s="37">
        <f t="shared" ca="1" si="1943"/>
        <v>0</v>
      </c>
      <c r="AA937" s="37">
        <f t="shared" ca="1" si="1943"/>
        <v>0</v>
      </c>
      <c r="AB937" s="37">
        <f t="shared" ca="1" si="1943"/>
        <v>0</v>
      </c>
      <c r="AC937" s="37">
        <f t="shared" ca="1" si="1943"/>
        <v>0</v>
      </c>
      <c r="AD937" s="37">
        <f t="shared" ca="1" si="1943"/>
        <v>0</v>
      </c>
      <c r="AE937" s="37">
        <f t="shared" ca="1" si="1943"/>
        <v>0</v>
      </c>
      <c r="AF937" s="37">
        <f t="shared" ca="1" si="1943"/>
        <v>0</v>
      </c>
      <c r="AG937" s="37">
        <f t="shared" ca="1" si="1943"/>
        <v>0</v>
      </c>
      <c r="AH937" s="37">
        <f t="shared" ca="1" si="1943"/>
        <v>0</v>
      </c>
      <c r="AI937" s="37">
        <f t="shared" ca="1" si="1943"/>
        <v>0</v>
      </c>
      <c r="AJ937" s="37">
        <f t="shared" ca="1" si="1943"/>
        <v>0</v>
      </c>
      <c r="AK937" s="37">
        <f t="shared" ca="1" si="1943"/>
        <v>0</v>
      </c>
      <c r="AL937" s="37">
        <f t="shared" ca="1" si="1943"/>
        <v>0</v>
      </c>
      <c r="AM937" s="37">
        <f t="shared" ca="1" si="1943"/>
        <v>0</v>
      </c>
      <c r="AN937" s="37">
        <f t="shared" ca="1" si="1943"/>
        <v>0</v>
      </c>
      <c r="AO937" s="37">
        <f t="shared" ca="1" si="1943"/>
        <v>0</v>
      </c>
      <c r="AP937" s="37">
        <f t="shared" ca="1" si="1943"/>
        <v>0</v>
      </c>
      <c r="AQ937" s="37">
        <f t="shared" ca="1" si="1943"/>
        <v>0</v>
      </c>
      <c r="AR937" s="37">
        <f t="shared" ca="1" si="1943"/>
        <v>0</v>
      </c>
      <c r="AS937" s="37">
        <f t="shared" ca="1" si="1943"/>
        <v>0</v>
      </c>
      <c r="AT937" s="37">
        <f t="shared" ca="1" si="1943"/>
        <v>0</v>
      </c>
      <c r="AU937" s="37">
        <f t="shared" ca="1" si="1943"/>
        <v>0</v>
      </c>
      <c r="AV937" s="37">
        <f t="shared" ca="1" si="1943"/>
        <v>0</v>
      </c>
      <c r="AW937" s="37">
        <f t="shared" ca="1" si="1943"/>
        <v>0</v>
      </c>
      <c r="AX937" s="37">
        <f t="shared" ca="1" si="1943"/>
        <v>0</v>
      </c>
      <c r="AY937" s="37">
        <f t="shared" ca="1" si="1943"/>
        <v>0</v>
      </c>
      <c r="AZ937" s="37">
        <f t="shared" ca="1" si="1943"/>
        <v>0</v>
      </c>
      <c r="BA937" s="37">
        <f t="shared" ca="1" si="1943"/>
        <v>0</v>
      </c>
      <c r="BB937" s="37">
        <f t="shared" ca="1" si="1943"/>
        <v>0</v>
      </c>
      <c r="BC937" s="37">
        <f t="shared" ca="1" si="1943"/>
        <v>0</v>
      </c>
      <c r="BD937" s="37">
        <f t="shared" ca="1" si="1943"/>
        <v>0</v>
      </c>
      <c r="BE937" s="37">
        <f t="shared" ca="1" si="1943"/>
        <v>0</v>
      </c>
      <c r="BF937" s="37">
        <f t="shared" ca="1" si="1943"/>
        <v>0</v>
      </c>
      <c r="BG937" s="37">
        <f t="shared" ca="1" si="1943"/>
        <v>0</v>
      </c>
      <c r="BH937" s="37">
        <f t="shared" ca="1" si="1943"/>
        <v>0</v>
      </c>
      <c r="BI937" s="37">
        <f t="shared" ca="1" si="1943"/>
        <v>0</v>
      </c>
      <c r="BJ937" s="37">
        <f t="shared" ca="1" si="1943"/>
        <v>0</v>
      </c>
      <c r="BK937" s="37">
        <f t="shared" ca="1" si="1943"/>
        <v>0</v>
      </c>
      <c r="BL937" s="37">
        <f t="shared" ca="1" si="1943"/>
        <v>0</v>
      </c>
      <c r="BM937" s="37">
        <f t="shared" ca="1" si="1943"/>
        <v>0</v>
      </c>
      <c r="BN937" s="37">
        <f t="shared" ca="1" si="1943"/>
        <v>0</v>
      </c>
      <c r="BO937" s="37">
        <f t="shared" ca="1" si="1943"/>
        <v>0</v>
      </c>
      <c r="BP937" s="37">
        <f t="shared" ca="1" si="1943"/>
        <v>0</v>
      </c>
      <c r="BQ937" s="37">
        <f t="shared" ca="1" si="1943"/>
        <v>0</v>
      </c>
      <c r="BR937" s="37">
        <f t="shared" ca="1" si="1943"/>
        <v>0</v>
      </c>
      <c r="BS937" s="37">
        <f t="shared" ca="1" si="1943"/>
        <v>0</v>
      </c>
      <c r="BT937" s="37">
        <f t="shared" ca="1" si="1943"/>
        <v>0</v>
      </c>
      <c r="BU937" s="37">
        <f t="shared" ref="BU937:BY937" ca="1" si="1944">+SUM(BU933:BU936)</f>
        <v>0</v>
      </c>
      <c r="BV937" s="37">
        <f t="shared" ca="1" si="1944"/>
        <v>0</v>
      </c>
      <c r="BW937" s="37">
        <f t="shared" ca="1" si="1944"/>
        <v>0</v>
      </c>
      <c r="BX937" s="37">
        <f t="shared" ca="1" si="1944"/>
        <v>0</v>
      </c>
      <c r="BY937" s="37">
        <f t="shared" ca="1" si="1944"/>
        <v>0</v>
      </c>
    </row>
    <row r="938" spans="5:77" s="22" customFormat="1" ht="15" outlineLevel="1">
      <c r="E938" t="s">
        <v>446</v>
      </c>
      <c r="F938" s="23" t="s">
        <v>466</v>
      </c>
      <c r="G938"/>
      <c r="H938" s="33">
        <f t="shared" ref="H938:AM938" si="1945">+H745</f>
        <v>0</v>
      </c>
      <c r="I938" s="33">
        <f t="shared" si="1945"/>
        <v>-427445.66482099507</v>
      </c>
      <c r="J938" s="33">
        <f t="shared" si="1945"/>
        <v>-435994.57811741496</v>
      </c>
      <c r="K938" s="33">
        <f t="shared" si="1945"/>
        <v>0</v>
      </c>
      <c r="L938" s="33">
        <f t="shared" si="1945"/>
        <v>0</v>
      </c>
      <c r="M938" s="33">
        <f t="shared" si="1945"/>
        <v>0</v>
      </c>
      <c r="N938" s="33">
        <f t="shared" si="1945"/>
        <v>0</v>
      </c>
      <c r="O938" s="33">
        <f t="shared" si="1945"/>
        <v>0</v>
      </c>
      <c r="P938" s="33">
        <f t="shared" si="1945"/>
        <v>0</v>
      </c>
      <c r="Q938" s="33">
        <f t="shared" si="1945"/>
        <v>0</v>
      </c>
      <c r="R938" s="33">
        <f t="shared" si="1945"/>
        <v>0</v>
      </c>
      <c r="S938" s="33">
        <f t="shared" si="1945"/>
        <v>0</v>
      </c>
      <c r="T938" s="33">
        <f t="shared" si="1945"/>
        <v>0</v>
      </c>
      <c r="U938" s="33">
        <f t="shared" si="1945"/>
        <v>0</v>
      </c>
      <c r="V938" s="33">
        <f t="shared" si="1945"/>
        <v>0</v>
      </c>
      <c r="W938" s="33">
        <f t="shared" si="1945"/>
        <v>0</v>
      </c>
      <c r="X938" s="33">
        <f t="shared" si="1945"/>
        <v>0</v>
      </c>
      <c r="Y938" s="33">
        <f t="shared" si="1945"/>
        <v>0</v>
      </c>
      <c r="Z938" s="33">
        <f t="shared" si="1945"/>
        <v>0</v>
      </c>
      <c r="AA938" s="33">
        <f t="shared" si="1945"/>
        <v>0</v>
      </c>
      <c r="AB938" s="33">
        <f t="shared" si="1945"/>
        <v>0</v>
      </c>
      <c r="AC938" s="33">
        <f t="shared" si="1945"/>
        <v>0</v>
      </c>
      <c r="AD938" s="33">
        <f t="shared" si="1945"/>
        <v>0</v>
      </c>
      <c r="AE938" s="33">
        <f t="shared" si="1945"/>
        <v>0</v>
      </c>
      <c r="AF938" s="33">
        <f t="shared" si="1945"/>
        <v>0</v>
      </c>
      <c r="AG938" s="33">
        <f t="shared" si="1945"/>
        <v>0</v>
      </c>
      <c r="AH938" s="33">
        <f t="shared" si="1945"/>
        <v>0</v>
      </c>
      <c r="AI938" s="33">
        <f t="shared" si="1945"/>
        <v>0</v>
      </c>
      <c r="AJ938" s="33">
        <f t="shared" si="1945"/>
        <v>0</v>
      </c>
      <c r="AK938" s="33">
        <f t="shared" si="1945"/>
        <v>0</v>
      </c>
      <c r="AL938" s="33">
        <f t="shared" si="1945"/>
        <v>0</v>
      </c>
      <c r="AM938" s="33">
        <f t="shared" si="1945"/>
        <v>0</v>
      </c>
      <c r="AN938" s="33">
        <f t="shared" ref="AN938:BS938" si="1946">+AN745</f>
        <v>0</v>
      </c>
      <c r="AO938" s="33">
        <f t="shared" si="1946"/>
        <v>0</v>
      </c>
      <c r="AP938" s="33">
        <f t="shared" si="1946"/>
        <v>0</v>
      </c>
      <c r="AQ938" s="33">
        <f t="shared" si="1946"/>
        <v>0</v>
      </c>
      <c r="AR938" s="33">
        <f t="shared" si="1946"/>
        <v>0</v>
      </c>
      <c r="AS938" s="33">
        <f t="shared" si="1946"/>
        <v>0</v>
      </c>
      <c r="AT938" s="33">
        <f t="shared" si="1946"/>
        <v>0</v>
      </c>
      <c r="AU938" s="33">
        <f t="shared" si="1946"/>
        <v>0</v>
      </c>
      <c r="AV938" s="33">
        <f t="shared" si="1946"/>
        <v>0</v>
      </c>
      <c r="AW938" s="33">
        <f t="shared" si="1946"/>
        <v>0</v>
      </c>
      <c r="AX938" s="33">
        <f t="shared" si="1946"/>
        <v>0</v>
      </c>
      <c r="AY938" s="33">
        <f t="shared" si="1946"/>
        <v>0</v>
      </c>
      <c r="AZ938" s="33">
        <f t="shared" si="1946"/>
        <v>0</v>
      </c>
      <c r="BA938" s="33">
        <f t="shared" si="1946"/>
        <v>0</v>
      </c>
      <c r="BB938" s="33">
        <f t="shared" si="1946"/>
        <v>0</v>
      </c>
      <c r="BC938" s="33">
        <f t="shared" si="1946"/>
        <v>0</v>
      </c>
      <c r="BD938" s="33">
        <f t="shared" si="1946"/>
        <v>0</v>
      </c>
      <c r="BE938" s="33">
        <f t="shared" si="1946"/>
        <v>0</v>
      </c>
      <c r="BF938" s="33">
        <f t="shared" si="1946"/>
        <v>0</v>
      </c>
      <c r="BG938" s="33">
        <f t="shared" si="1946"/>
        <v>0</v>
      </c>
      <c r="BH938" s="33">
        <f t="shared" si="1946"/>
        <v>0</v>
      </c>
      <c r="BI938" s="33">
        <f t="shared" si="1946"/>
        <v>0</v>
      </c>
      <c r="BJ938" s="33">
        <f t="shared" si="1946"/>
        <v>0</v>
      </c>
      <c r="BK938" s="33">
        <f t="shared" si="1946"/>
        <v>0</v>
      </c>
      <c r="BL938" s="33">
        <f t="shared" si="1946"/>
        <v>0</v>
      </c>
      <c r="BM938" s="33">
        <f t="shared" si="1946"/>
        <v>0</v>
      </c>
      <c r="BN938" s="33">
        <f t="shared" si="1946"/>
        <v>0</v>
      </c>
      <c r="BO938" s="33">
        <f t="shared" si="1946"/>
        <v>0</v>
      </c>
      <c r="BP938" s="33">
        <f t="shared" si="1946"/>
        <v>0</v>
      </c>
      <c r="BQ938" s="33">
        <f t="shared" si="1946"/>
        <v>0</v>
      </c>
      <c r="BR938" s="33">
        <f t="shared" si="1946"/>
        <v>0</v>
      </c>
      <c r="BS938" s="33">
        <f t="shared" si="1946"/>
        <v>0</v>
      </c>
      <c r="BT938" s="33">
        <f t="shared" ref="BT938:BY938" si="1947">+BT745</f>
        <v>0</v>
      </c>
      <c r="BU938" s="33">
        <f t="shared" si="1947"/>
        <v>0</v>
      </c>
      <c r="BV938" s="33">
        <f t="shared" si="1947"/>
        <v>0</v>
      </c>
      <c r="BW938" s="33">
        <f t="shared" si="1947"/>
        <v>0</v>
      </c>
      <c r="BX938" s="33">
        <f t="shared" si="1947"/>
        <v>0</v>
      </c>
      <c r="BY938" s="33">
        <f t="shared" si="1947"/>
        <v>0</v>
      </c>
    </row>
    <row r="939" spans="5:77" s="22" customFormat="1" ht="15" outlineLevel="1">
      <c r="E939" s="22" t="s">
        <v>479</v>
      </c>
      <c r="F939" s="36" t="s">
        <v>470</v>
      </c>
      <c r="H939" s="37">
        <f ca="1">+SUM(H937:H938)</f>
        <v>0</v>
      </c>
      <c r="I939" s="37">
        <f t="shared" ref="I939:BT939" ca="1" si="1948">+SUM(I937:I938)</f>
        <v>-427445.66482099507</v>
      </c>
      <c r="J939" s="37">
        <f t="shared" ca="1" si="1948"/>
        <v>-435994.57811741496</v>
      </c>
      <c r="K939" s="37">
        <f t="shared" ca="1" si="1948"/>
        <v>-5929.5262623968447</v>
      </c>
      <c r="L939" s="37">
        <f t="shared" ca="1" si="1948"/>
        <v>-6048.1167876447798</v>
      </c>
      <c r="M939" s="37">
        <f t="shared" ca="1" si="1948"/>
        <v>-6169.0791233976779</v>
      </c>
      <c r="N939" s="37">
        <f t="shared" ca="1" si="1948"/>
        <v>-6292.4607058656256</v>
      </c>
      <c r="O939" s="37">
        <f t="shared" ca="1" si="1948"/>
        <v>-6418.3099199829448</v>
      </c>
      <c r="P939" s="37">
        <f t="shared" ca="1" si="1948"/>
        <v>-6546.676118382602</v>
      </c>
      <c r="Q939" s="37">
        <f t="shared" ca="1" si="1948"/>
        <v>-6677.6096407502555</v>
      </c>
      <c r="R939" s="37">
        <f t="shared" ca="1" si="1948"/>
        <v>-6811.1618335652602</v>
      </c>
      <c r="S939" s="37">
        <f t="shared" ca="1" si="1948"/>
        <v>-6947.3850702365671</v>
      </c>
      <c r="T939" s="37">
        <f t="shared" ca="1" si="1948"/>
        <v>-7086.3327716412969</v>
      </c>
      <c r="U939" s="37">
        <f t="shared" ca="1" si="1948"/>
        <v>-7228.0594270741203</v>
      </c>
      <c r="V939" s="37">
        <f t="shared" ca="1" si="1948"/>
        <v>-7372.620615615604</v>
      </c>
      <c r="W939" s="37">
        <f t="shared" ca="1" si="1948"/>
        <v>-7520.073027927916</v>
      </c>
      <c r="X939" s="37">
        <f t="shared" ca="1" si="1948"/>
        <v>-7670.4744884864776</v>
      </c>
      <c r="Y939" s="37">
        <f t="shared" ca="1" si="1948"/>
        <v>-7823.883978256199</v>
      </c>
      <c r="Z939" s="37">
        <f t="shared" ca="1" si="1948"/>
        <v>0</v>
      </c>
      <c r="AA939" s="37">
        <f t="shared" ca="1" si="1948"/>
        <v>0</v>
      </c>
      <c r="AB939" s="37">
        <f t="shared" ca="1" si="1948"/>
        <v>0</v>
      </c>
      <c r="AC939" s="37">
        <f t="shared" ca="1" si="1948"/>
        <v>0</v>
      </c>
      <c r="AD939" s="37">
        <f t="shared" ca="1" si="1948"/>
        <v>0</v>
      </c>
      <c r="AE939" s="37">
        <f t="shared" ca="1" si="1948"/>
        <v>0</v>
      </c>
      <c r="AF939" s="37">
        <f t="shared" ca="1" si="1948"/>
        <v>0</v>
      </c>
      <c r="AG939" s="37">
        <f t="shared" ca="1" si="1948"/>
        <v>0</v>
      </c>
      <c r="AH939" s="37">
        <f t="shared" ca="1" si="1948"/>
        <v>0</v>
      </c>
      <c r="AI939" s="37">
        <f t="shared" ca="1" si="1948"/>
        <v>0</v>
      </c>
      <c r="AJ939" s="37">
        <f t="shared" ca="1" si="1948"/>
        <v>0</v>
      </c>
      <c r="AK939" s="37">
        <f t="shared" ca="1" si="1948"/>
        <v>0</v>
      </c>
      <c r="AL939" s="37">
        <f t="shared" ca="1" si="1948"/>
        <v>0</v>
      </c>
      <c r="AM939" s="37">
        <f t="shared" ca="1" si="1948"/>
        <v>0</v>
      </c>
      <c r="AN939" s="37">
        <f t="shared" ca="1" si="1948"/>
        <v>0</v>
      </c>
      <c r="AO939" s="37">
        <f t="shared" ca="1" si="1948"/>
        <v>0</v>
      </c>
      <c r="AP939" s="37">
        <f t="shared" ca="1" si="1948"/>
        <v>0</v>
      </c>
      <c r="AQ939" s="37">
        <f t="shared" ca="1" si="1948"/>
        <v>0</v>
      </c>
      <c r="AR939" s="37">
        <f t="shared" ca="1" si="1948"/>
        <v>0</v>
      </c>
      <c r="AS939" s="37">
        <f t="shared" ca="1" si="1948"/>
        <v>0</v>
      </c>
      <c r="AT939" s="37">
        <f t="shared" ca="1" si="1948"/>
        <v>0</v>
      </c>
      <c r="AU939" s="37">
        <f t="shared" ca="1" si="1948"/>
        <v>0</v>
      </c>
      <c r="AV939" s="37">
        <f t="shared" ca="1" si="1948"/>
        <v>0</v>
      </c>
      <c r="AW939" s="37">
        <f t="shared" ca="1" si="1948"/>
        <v>0</v>
      </c>
      <c r="AX939" s="37">
        <f t="shared" ca="1" si="1948"/>
        <v>0</v>
      </c>
      <c r="AY939" s="37">
        <f t="shared" ca="1" si="1948"/>
        <v>0</v>
      </c>
      <c r="AZ939" s="37">
        <f t="shared" ca="1" si="1948"/>
        <v>0</v>
      </c>
      <c r="BA939" s="37">
        <f t="shared" ca="1" si="1948"/>
        <v>0</v>
      </c>
      <c r="BB939" s="37">
        <f t="shared" ca="1" si="1948"/>
        <v>0</v>
      </c>
      <c r="BC939" s="37">
        <f t="shared" ca="1" si="1948"/>
        <v>0</v>
      </c>
      <c r="BD939" s="37">
        <f t="shared" ca="1" si="1948"/>
        <v>0</v>
      </c>
      <c r="BE939" s="37">
        <f t="shared" ca="1" si="1948"/>
        <v>0</v>
      </c>
      <c r="BF939" s="37">
        <f t="shared" ca="1" si="1948"/>
        <v>0</v>
      </c>
      <c r="BG939" s="37">
        <f t="shared" ca="1" si="1948"/>
        <v>0</v>
      </c>
      <c r="BH939" s="37">
        <f t="shared" ca="1" si="1948"/>
        <v>0</v>
      </c>
      <c r="BI939" s="37">
        <f t="shared" ca="1" si="1948"/>
        <v>0</v>
      </c>
      <c r="BJ939" s="37">
        <f t="shared" ca="1" si="1948"/>
        <v>0</v>
      </c>
      <c r="BK939" s="37">
        <f t="shared" ca="1" si="1948"/>
        <v>0</v>
      </c>
      <c r="BL939" s="37">
        <f t="shared" ca="1" si="1948"/>
        <v>0</v>
      </c>
      <c r="BM939" s="37">
        <f t="shared" ca="1" si="1948"/>
        <v>0</v>
      </c>
      <c r="BN939" s="37">
        <f t="shared" ca="1" si="1948"/>
        <v>0</v>
      </c>
      <c r="BO939" s="37">
        <f t="shared" ca="1" si="1948"/>
        <v>0</v>
      </c>
      <c r="BP939" s="37">
        <f t="shared" ca="1" si="1948"/>
        <v>0</v>
      </c>
      <c r="BQ939" s="37">
        <f t="shared" ca="1" si="1948"/>
        <v>0</v>
      </c>
      <c r="BR939" s="37">
        <f t="shared" ca="1" si="1948"/>
        <v>0</v>
      </c>
      <c r="BS939" s="37">
        <f t="shared" ca="1" si="1948"/>
        <v>0</v>
      </c>
      <c r="BT939" s="37">
        <f t="shared" ca="1" si="1948"/>
        <v>0</v>
      </c>
      <c r="BU939" s="37">
        <f t="shared" ref="BU939:BY939" ca="1" si="1949">+SUM(BU937:BU938)</f>
        <v>0</v>
      </c>
      <c r="BV939" s="37">
        <f t="shared" ca="1" si="1949"/>
        <v>0</v>
      </c>
      <c r="BW939" s="37">
        <f t="shared" ca="1" si="1949"/>
        <v>0</v>
      </c>
      <c r="BX939" s="37">
        <f t="shared" ca="1" si="1949"/>
        <v>0</v>
      </c>
      <c r="BY939" s="37">
        <f t="shared" ca="1" si="1949"/>
        <v>0</v>
      </c>
    </row>
    <row r="940" spans="5:77" s="22" customFormat="1" ht="15" outlineLevel="1">
      <c r="E940" t="s">
        <v>480</v>
      </c>
      <c r="F940" s="40" t="s">
        <v>475</v>
      </c>
      <c r="G940"/>
      <c r="H940" s="33">
        <f>-H836+H852-H868+H884</f>
        <v>0</v>
      </c>
      <c r="I940" s="33">
        <f t="shared" ref="I940:BT940" si="1950">-I836+I852-I868+I884</f>
        <v>168413.59193947201</v>
      </c>
      <c r="J940" s="33">
        <f t="shared" ca="1" si="1950"/>
        <v>428614.00315590651</v>
      </c>
      <c r="K940" s="33">
        <f t="shared" ca="1" si="1950"/>
        <v>-26911.21839392672</v>
      </c>
      <c r="L940" s="33">
        <f t="shared" ca="1" si="1950"/>
        <v>-28455.653217554176</v>
      </c>
      <c r="M940" s="33">
        <f t="shared" ca="1" si="1950"/>
        <v>-30088.723155709613</v>
      </c>
      <c r="N940" s="33">
        <f t="shared" ca="1" si="1950"/>
        <v>-31815.514977615789</v>
      </c>
      <c r="O940" s="33">
        <f t="shared" ca="1" si="1950"/>
        <v>-33641.407382181162</v>
      </c>
      <c r="P940" s="33">
        <f t="shared" ca="1" si="1950"/>
        <v>-35572.087751844534</v>
      </c>
      <c r="Q940" s="33">
        <f t="shared" ca="1" si="1950"/>
        <v>-37613.569867922895</v>
      </c>
      <c r="R940" s="33">
        <f t="shared" ca="1" si="1950"/>
        <v>-39772.21264264299</v>
      </c>
      <c r="S940" s="33">
        <f t="shared" ca="1" si="1950"/>
        <v>-42054.739926204275</v>
      </c>
      <c r="T940" s="33">
        <f t="shared" ca="1" si="1950"/>
        <v>-44468.261450569131</v>
      </c>
      <c r="U940" s="33">
        <f t="shared" ca="1" si="1950"/>
        <v>-47020.294975217294</v>
      </c>
      <c r="V940" s="33">
        <f t="shared" ca="1" si="1950"/>
        <v>-49718.789703845017</v>
      </c>
      <c r="W940" s="33">
        <f t="shared" ca="1" si="1950"/>
        <v>-52572.151044948681</v>
      </c>
      <c r="X940" s="33">
        <f t="shared" ca="1" si="1950"/>
        <v>-55589.26679341829</v>
      </c>
      <c r="Y940" s="33">
        <f t="shared" ca="1" si="1950"/>
        <v>-41733.703811777785</v>
      </c>
      <c r="Z940" s="33">
        <f t="shared" si="1950"/>
        <v>0</v>
      </c>
      <c r="AA940" s="33">
        <f t="shared" si="1950"/>
        <v>0</v>
      </c>
      <c r="AB940" s="33">
        <f t="shared" si="1950"/>
        <v>0</v>
      </c>
      <c r="AC940" s="33">
        <f t="shared" si="1950"/>
        <v>0</v>
      </c>
      <c r="AD940" s="33">
        <f t="shared" si="1950"/>
        <v>0</v>
      </c>
      <c r="AE940" s="33">
        <f t="shared" si="1950"/>
        <v>0</v>
      </c>
      <c r="AF940" s="33">
        <f t="shared" si="1950"/>
        <v>0</v>
      </c>
      <c r="AG940" s="33">
        <f t="shared" si="1950"/>
        <v>0</v>
      </c>
      <c r="AH940" s="33">
        <f t="shared" si="1950"/>
        <v>0</v>
      </c>
      <c r="AI940" s="33">
        <f t="shared" si="1950"/>
        <v>0</v>
      </c>
      <c r="AJ940" s="33">
        <f t="shared" si="1950"/>
        <v>0</v>
      </c>
      <c r="AK940" s="33">
        <f t="shared" si="1950"/>
        <v>0</v>
      </c>
      <c r="AL940" s="33">
        <f t="shared" si="1950"/>
        <v>0</v>
      </c>
      <c r="AM940" s="33">
        <f t="shared" si="1950"/>
        <v>0</v>
      </c>
      <c r="AN940" s="33">
        <f t="shared" si="1950"/>
        <v>0</v>
      </c>
      <c r="AO940" s="33">
        <f t="shared" si="1950"/>
        <v>0</v>
      </c>
      <c r="AP940" s="33">
        <f t="shared" si="1950"/>
        <v>0</v>
      </c>
      <c r="AQ940" s="33">
        <f t="shared" si="1950"/>
        <v>0</v>
      </c>
      <c r="AR940" s="33">
        <f t="shared" si="1950"/>
        <v>0</v>
      </c>
      <c r="AS940" s="33">
        <f t="shared" si="1950"/>
        <v>0</v>
      </c>
      <c r="AT940" s="33">
        <f t="shared" si="1950"/>
        <v>0</v>
      </c>
      <c r="AU940" s="33">
        <f t="shared" si="1950"/>
        <v>0</v>
      </c>
      <c r="AV940" s="33">
        <f t="shared" si="1950"/>
        <v>0</v>
      </c>
      <c r="AW940" s="33">
        <f t="shared" si="1950"/>
        <v>0</v>
      </c>
      <c r="AX940" s="33">
        <f t="shared" si="1950"/>
        <v>0</v>
      </c>
      <c r="AY940" s="33">
        <f t="shared" si="1950"/>
        <v>0</v>
      </c>
      <c r="AZ940" s="33">
        <f t="shared" si="1950"/>
        <v>0</v>
      </c>
      <c r="BA940" s="33">
        <f t="shared" si="1950"/>
        <v>0</v>
      </c>
      <c r="BB940" s="33">
        <f t="shared" si="1950"/>
        <v>0</v>
      </c>
      <c r="BC940" s="33">
        <f t="shared" si="1950"/>
        <v>0</v>
      </c>
      <c r="BD940" s="33">
        <f t="shared" si="1950"/>
        <v>0</v>
      </c>
      <c r="BE940" s="33">
        <f t="shared" si="1950"/>
        <v>0</v>
      </c>
      <c r="BF940" s="33">
        <f t="shared" si="1950"/>
        <v>0</v>
      </c>
      <c r="BG940" s="33">
        <f t="shared" si="1950"/>
        <v>0</v>
      </c>
      <c r="BH940" s="33">
        <f t="shared" si="1950"/>
        <v>0</v>
      </c>
      <c r="BI940" s="33">
        <f t="shared" si="1950"/>
        <v>0</v>
      </c>
      <c r="BJ940" s="33">
        <f t="shared" si="1950"/>
        <v>0</v>
      </c>
      <c r="BK940" s="33">
        <f t="shared" si="1950"/>
        <v>0</v>
      </c>
      <c r="BL940" s="33">
        <f t="shared" si="1950"/>
        <v>0</v>
      </c>
      <c r="BM940" s="33">
        <f t="shared" si="1950"/>
        <v>0</v>
      </c>
      <c r="BN940" s="33">
        <f t="shared" si="1950"/>
        <v>0</v>
      </c>
      <c r="BO940" s="33">
        <f t="shared" si="1950"/>
        <v>0</v>
      </c>
      <c r="BP940" s="33">
        <f t="shared" si="1950"/>
        <v>0</v>
      </c>
      <c r="BQ940" s="33">
        <f t="shared" si="1950"/>
        <v>0</v>
      </c>
      <c r="BR940" s="33">
        <f t="shared" si="1950"/>
        <v>0</v>
      </c>
      <c r="BS940" s="33">
        <f t="shared" si="1950"/>
        <v>0</v>
      </c>
      <c r="BT940" s="33">
        <f t="shared" si="1950"/>
        <v>0</v>
      </c>
      <c r="BU940" s="33">
        <f t="shared" ref="BU940:BY940" si="1951">-BU836+BU852-BU868+BU884</f>
        <v>0</v>
      </c>
      <c r="BV940" s="33">
        <f t="shared" si="1951"/>
        <v>0</v>
      </c>
      <c r="BW940" s="33">
        <f t="shared" si="1951"/>
        <v>0</v>
      </c>
      <c r="BX940" s="33">
        <f t="shared" si="1951"/>
        <v>0</v>
      </c>
      <c r="BY940" s="33">
        <f t="shared" si="1951"/>
        <v>0</v>
      </c>
    </row>
    <row r="941" spans="5:77" s="22" customFormat="1" ht="15" outlineLevel="1">
      <c r="E941" s="25" t="s">
        <v>468</v>
      </c>
      <c r="F941" s="30" t="s">
        <v>466</v>
      </c>
      <c r="G941" s="25"/>
      <c r="H941" s="34">
        <f ca="1">+H912</f>
        <v>0</v>
      </c>
      <c r="I941" s="34">
        <f t="shared" ref="I941:BT941" ca="1" si="1952">+I912</f>
        <v>0</v>
      </c>
      <c r="J941" s="34">
        <f t="shared" ca="1" si="1952"/>
        <v>-9665.2560414062991</v>
      </c>
      <c r="K941" s="34">
        <f t="shared" ca="1" si="1952"/>
        <v>-34263.41368252378</v>
      </c>
      <c r="L941" s="34">
        <f t="shared" ca="1" si="1952"/>
        <v>-32718.978858896324</v>
      </c>
      <c r="M941" s="34">
        <f t="shared" ca="1" si="1952"/>
        <v>-31085.908920740887</v>
      </c>
      <c r="N941" s="34">
        <f t="shared" ca="1" si="1952"/>
        <v>-29359.117098834711</v>
      </c>
      <c r="O941" s="34">
        <f t="shared" ca="1" si="1952"/>
        <v>-27533.224694269342</v>
      </c>
      <c r="P941" s="34">
        <f t="shared" ca="1" si="1952"/>
        <v>-25602.544324605966</v>
      </c>
      <c r="Q941" s="34">
        <f t="shared" ca="1" si="1952"/>
        <v>-23561.062208527605</v>
      </c>
      <c r="R941" s="34">
        <f t="shared" ca="1" si="1952"/>
        <v>-21402.419433807514</v>
      </c>
      <c r="S941" s="34">
        <f t="shared" ca="1" si="1952"/>
        <v>-19119.892150246229</v>
      </c>
      <c r="T941" s="34">
        <f t="shared" ca="1" si="1952"/>
        <v>-16706.370625881365</v>
      </c>
      <c r="U941" s="34">
        <f t="shared" ca="1" si="1952"/>
        <v>-14154.337101233205</v>
      </c>
      <c r="V941" s="34">
        <f t="shared" ca="1" si="1952"/>
        <v>-11455.842372605483</v>
      </c>
      <c r="W941" s="34">
        <f t="shared" ca="1" si="1952"/>
        <v>-8602.4810315018185</v>
      </c>
      <c r="X941" s="34">
        <f t="shared" ca="1" si="1952"/>
        <v>-5585.3652830322126</v>
      </c>
      <c r="Y941" s="34">
        <f t="shared" ca="1" si="1952"/>
        <v>-2395.0972617579368</v>
      </c>
      <c r="Z941" s="34">
        <f t="shared" ca="1" si="1952"/>
        <v>-9.6040457719936973E-12</v>
      </c>
      <c r="AA941" s="34">
        <f t="shared" ca="1" si="1952"/>
        <v>-9.6040457719936973E-12</v>
      </c>
      <c r="AB941" s="34">
        <f t="shared" ca="1" si="1952"/>
        <v>-9.6040457719936973E-12</v>
      </c>
      <c r="AC941" s="34">
        <f t="shared" ca="1" si="1952"/>
        <v>-9.6040457719936973E-12</v>
      </c>
      <c r="AD941" s="34">
        <f t="shared" ca="1" si="1952"/>
        <v>-9.6040457719936973E-12</v>
      </c>
      <c r="AE941" s="34">
        <f t="shared" ca="1" si="1952"/>
        <v>-9.6040457719936973E-12</v>
      </c>
      <c r="AF941" s="34">
        <f t="shared" ca="1" si="1952"/>
        <v>-9.6040457719936973E-12</v>
      </c>
      <c r="AG941" s="34">
        <f t="shared" ca="1" si="1952"/>
        <v>-9.6040457719936973E-12</v>
      </c>
      <c r="AH941" s="34">
        <f t="shared" ca="1" si="1952"/>
        <v>-9.6040457719936973E-12</v>
      </c>
      <c r="AI941" s="34">
        <f t="shared" ca="1" si="1952"/>
        <v>-9.6040457719936973E-12</v>
      </c>
      <c r="AJ941" s="34">
        <f t="shared" ca="1" si="1952"/>
        <v>-9.6040457719936973E-12</v>
      </c>
      <c r="AK941" s="34">
        <f t="shared" ca="1" si="1952"/>
        <v>-9.6040457719936973E-12</v>
      </c>
      <c r="AL941" s="34">
        <f t="shared" ca="1" si="1952"/>
        <v>-9.6040457719936973E-12</v>
      </c>
      <c r="AM941" s="34">
        <f t="shared" ca="1" si="1952"/>
        <v>-9.6040457719936973E-12</v>
      </c>
      <c r="AN941" s="34">
        <f t="shared" ca="1" si="1952"/>
        <v>-9.6040457719936973E-12</v>
      </c>
      <c r="AO941" s="34">
        <f t="shared" ca="1" si="1952"/>
        <v>-9.6040457719936973E-12</v>
      </c>
      <c r="AP941" s="34">
        <f t="shared" ca="1" si="1952"/>
        <v>-9.6040457719936973E-12</v>
      </c>
      <c r="AQ941" s="34">
        <f t="shared" ca="1" si="1952"/>
        <v>-9.6040457719936973E-12</v>
      </c>
      <c r="AR941" s="34">
        <f t="shared" ca="1" si="1952"/>
        <v>-9.6040457719936973E-12</v>
      </c>
      <c r="AS941" s="34">
        <f t="shared" ca="1" si="1952"/>
        <v>-9.6040457719936973E-12</v>
      </c>
      <c r="AT941" s="34">
        <f t="shared" ca="1" si="1952"/>
        <v>-9.6040457719936973E-12</v>
      </c>
      <c r="AU941" s="34">
        <f t="shared" ca="1" si="1952"/>
        <v>-9.6040457719936973E-12</v>
      </c>
      <c r="AV941" s="34">
        <f t="shared" ca="1" si="1952"/>
        <v>-9.6040457719936973E-12</v>
      </c>
      <c r="AW941" s="34">
        <f t="shared" ca="1" si="1952"/>
        <v>-9.6040457719936973E-12</v>
      </c>
      <c r="AX941" s="34">
        <f t="shared" ca="1" si="1952"/>
        <v>-9.6040457719936973E-12</v>
      </c>
      <c r="AY941" s="34">
        <f t="shared" ca="1" si="1952"/>
        <v>-9.6040457719936973E-12</v>
      </c>
      <c r="AZ941" s="34">
        <f t="shared" ca="1" si="1952"/>
        <v>-9.6040457719936973E-12</v>
      </c>
      <c r="BA941" s="34">
        <f t="shared" ca="1" si="1952"/>
        <v>-9.6040457719936973E-12</v>
      </c>
      <c r="BB941" s="34">
        <f t="shared" ca="1" si="1952"/>
        <v>-9.6040457719936973E-12</v>
      </c>
      <c r="BC941" s="34">
        <f t="shared" ca="1" si="1952"/>
        <v>-9.6040457719936973E-12</v>
      </c>
      <c r="BD941" s="34">
        <f t="shared" ca="1" si="1952"/>
        <v>-9.6040457719936973E-12</v>
      </c>
      <c r="BE941" s="34">
        <f t="shared" ca="1" si="1952"/>
        <v>-9.6040457719936973E-12</v>
      </c>
      <c r="BF941" s="34">
        <f t="shared" ca="1" si="1952"/>
        <v>-9.6040457719936973E-12</v>
      </c>
      <c r="BG941" s="34">
        <f t="shared" ca="1" si="1952"/>
        <v>-9.6040457719936973E-12</v>
      </c>
      <c r="BH941" s="34">
        <f t="shared" ca="1" si="1952"/>
        <v>-9.6040457719936973E-12</v>
      </c>
      <c r="BI941" s="34">
        <f t="shared" ca="1" si="1952"/>
        <v>-9.6040457719936973E-12</v>
      </c>
      <c r="BJ941" s="34">
        <f t="shared" ca="1" si="1952"/>
        <v>-9.6040457719936973E-12</v>
      </c>
      <c r="BK941" s="34">
        <f t="shared" ca="1" si="1952"/>
        <v>-9.6040457719936973E-12</v>
      </c>
      <c r="BL941" s="34">
        <f t="shared" ca="1" si="1952"/>
        <v>-9.6040457719936973E-12</v>
      </c>
      <c r="BM941" s="34">
        <f t="shared" ca="1" si="1952"/>
        <v>-9.6040457719936973E-12</v>
      </c>
      <c r="BN941" s="34">
        <f t="shared" ca="1" si="1952"/>
        <v>-9.6040457719936973E-12</v>
      </c>
      <c r="BO941" s="34">
        <f t="shared" ca="1" si="1952"/>
        <v>-9.6040457719936973E-12</v>
      </c>
      <c r="BP941" s="34">
        <f t="shared" ca="1" si="1952"/>
        <v>-9.6040457719936973E-12</v>
      </c>
      <c r="BQ941" s="34">
        <f t="shared" ca="1" si="1952"/>
        <v>-9.6040457719936973E-12</v>
      </c>
      <c r="BR941" s="34">
        <f t="shared" ca="1" si="1952"/>
        <v>-9.6040457719936973E-12</v>
      </c>
      <c r="BS941" s="34">
        <f t="shared" ca="1" si="1952"/>
        <v>-9.6040457719936973E-12</v>
      </c>
      <c r="BT941" s="34">
        <f t="shared" ca="1" si="1952"/>
        <v>-9.6040457719936973E-12</v>
      </c>
      <c r="BU941" s="34">
        <f t="shared" ref="BU941:BY941" ca="1" si="1953">+BU912</f>
        <v>-9.6040457719936973E-12</v>
      </c>
      <c r="BV941" s="34">
        <f t="shared" ca="1" si="1953"/>
        <v>-9.6040457719936973E-12</v>
      </c>
      <c r="BW941" s="34">
        <f t="shared" ca="1" si="1953"/>
        <v>-9.6040457719936973E-12</v>
      </c>
      <c r="BX941" s="34">
        <f t="shared" ca="1" si="1953"/>
        <v>-9.6040457719936973E-12</v>
      </c>
      <c r="BY941" s="34">
        <f t="shared" ca="1" si="1953"/>
        <v>-9.6040457719936973E-12</v>
      </c>
    </row>
    <row r="942" spans="5:77" s="22" customFormat="1" ht="15" outlineLevel="1">
      <c r="E942" s="22" t="s">
        <v>481</v>
      </c>
      <c r="F942" s="36" t="s">
        <v>470</v>
      </c>
      <c r="G942" s="45"/>
      <c r="H942" s="47">
        <f ca="1">+SUM(H939:H941)</f>
        <v>0</v>
      </c>
      <c r="I942" s="47">
        <f t="shared" ref="I942:BT942" ca="1" si="1954">+SUM(I939:I941)</f>
        <v>-259032.07288152305</v>
      </c>
      <c r="J942" s="47">
        <f t="shared" ca="1" si="1954"/>
        <v>-17045.831002914747</v>
      </c>
      <c r="K942" s="47">
        <f t="shared" ca="1" si="1954"/>
        <v>-67104.158338847337</v>
      </c>
      <c r="L942" s="47">
        <f t="shared" ca="1" si="1954"/>
        <v>-67222.74886409528</v>
      </c>
      <c r="M942" s="47">
        <f t="shared" ca="1" si="1954"/>
        <v>-67343.711199848171</v>
      </c>
      <c r="N942" s="47">
        <f t="shared" ca="1" si="1954"/>
        <v>-67467.092782316133</v>
      </c>
      <c r="O942" s="47">
        <f t="shared" ca="1" si="1954"/>
        <v>-67592.941996433452</v>
      </c>
      <c r="P942" s="47">
        <f t="shared" ca="1" si="1954"/>
        <v>-67721.308194833109</v>
      </c>
      <c r="Q942" s="47">
        <f t="shared" ca="1" si="1954"/>
        <v>-67852.241717200755</v>
      </c>
      <c r="R942" s="47">
        <f t="shared" ca="1" si="1954"/>
        <v>-67985.793910015767</v>
      </c>
      <c r="S942" s="47">
        <f t="shared" ca="1" si="1954"/>
        <v>-68122.017146687067</v>
      </c>
      <c r="T942" s="47">
        <f t="shared" ca="1" si="1954"/>
        <v>-68260.964848091797</v>
      </c>
      <c r="U942" s="47">
        <f t="shared" ca="1" si="1954"/>
        <v>-68402.69150352462</v>
      </c>
      <c r="V942" s="47">
        <f t="shared" ca="1" si="1954"/>
        <v>-68547.252692066104</v>
      </c>
      <c r="W942" s="47">
        <f t="shared" ca="1" si="1954"/>
        <v>-68694.705104378416</v>
      </c>
      <c r="X942" s="47">
        <f t="shared" ca="1" si="1954"/>
        <v>-68845.106564936985</v>
      </c>
      <c r="Y942" s="47">
        <f t="shared" ca="1" si="1954"/>
        <v>-51952.685051791923</v>
      </c>
      <c r="Z942" s="47">
        <f t="shared" ca="1" si="1954"/>
        <v>-9.6040457719936973E-12</v>
      </c>
      <c r="AA942" s="47">
        <f t="shared" ca="1" si="1954"/>
        <v>-9.6040457719936973E-12</v>
      </c>
      <c r="AB942" s="47">
        <f t="shared" ca="1" si="1954"/>
        <v>-9.6040457719936973E-12</v>
      </c>
      <c r="AC942" s="47">
        <f t="shared" ca="1" si="1954"/>
        <v>-9.6040457719936973E-12</v>
      </c>
      <c r="AD942" s="47">
        <f t="shared" ca="1" si="1954"/>
        <v>-9.6040457719936973E-12</v>
      </c>
      <c r="AE942" s="47">
        <f t="shared" ca="1" si="1954"/>
        <v>-9.6040457719936973E-12</v>
      </c>
      <c r="AF942" s="47">
        <f t="shared" ca="1" si="1954"/>
        <v>-9.6040457719936973E-12</v>
      </c>
      <c r="AG942" s="47">
        <f t="shared" ca="1" si="1954"/>
        <v>-9.6040457719936973E-12</v>
      </c>
      <c r="AH942" s="47">
        <f t="shared" ca="1" si="1954"/>
        <v>-9.6040457719936973E-12</v>
      </c>
      <c r="AI942" s="47">
        <f t="shared" ca="1" si="1954"/>
        <v>-9.6040457719936973E-12</v>
      </c>
      <c r="AJ942" s="47">
        <f t="shared" ca="1" si="1954"/>
        <v>-9.6040457719936973E-12</v>
      </c>
      <c r="AK942" s="47">
        <f t="shared" ca="1" si="1954"/>
        <v>-9.6040457719936973E-12</v>
      </c>
      <c r="AL942" s="47">
        <f t="shared" ca="1" si="1954"/>
        <v>-9.6040457719936973E-12</v>
      </c>
      <c r="AM942" s="47">
        <f t="shared" ca="1" si="1954"/>
        <v>-9.6040457719936973E-12</v>
      </c>
      <c r="AN942" s="47">
        <f t="shared" ca="1" si="1954"/>
        <v>-9.6040457719936973E-12</v>
      </c>
      <c r="AO942" s="47">
        <f t="shared" ca="1" si="1954"/>
        <v>-9.6040457719936973E-12</v>
      </c>
      <c r="AP942" s="47">
        <f t="shared" ca="1" si="1954"/>
        <v>-9.6040457719936973E-12</v>
      </c>
      <c r="AQ942" s="47">
        <f t="shared" ca="1" si="1954"/>
        <v>-9.6040457719936973E-12</v>
      </c>
      <c r="AR942" s="47">
        <f t="shared" ca="1" si="1954"/>
        <v>-9.6040457719936973E-12</v>
      </c>
      <c r="AS942" s="47">
        <f t="shared" ca="1" si="1954"/>
        <v>-9.6040457719936973E-12</v>
      </c>
      <c r="AT942" s="47">
        <f t="shared" ca="1" si="1954"/>
        <v>-9.6040457719936973E-12</v>
      </c>
      <c r="AU942" s="47">
        <f t="shared" ca="1" si="1954"/>
        <v>-9.6040457719936973E-12</v>
      </c>
      <c r="AV942" s="47">
        <f t="shared" ca="1" si="1954"/>
        <v>-9.6040457719936973E-12</v>
      </c>
      <c r="AW942" s="47">
        <f t="shared" ca="1" si="1954"/>
        <v>-9.6040457719936973E-12</v>
      </c>
      <c r="AX942" s="47">
        <f t="shared" ca="1" si="1954"/>
        <v>-9.6040457719936973E-12</v>
      </c>
      <c r="AY942" s="47">
        <f t="shared" ca="1" si="1954"/>
        <v>-9.6040457719936973E-12</v>
      </c>
      <c r="AZ942" s="47">
        <f t="shared" ca="1" si="1954"/>
        <v>-9.6040457719936973E-12</v>
      </c>
      <c r="BA942" s="47">
        <f t="shared" ca="1" si="1954"/>
        <v>-9.6040457719936973E-12</v>
      </c>
      <c r="BB942" s="47">
        <f t="shared" ca="1" si="1954"/>
        <v>-9.6040457719936973E-12</v>
      </c>
      <c r="BC942" s="47">
        <f t="shared" ca="1" si="1954"/>
        <v>-9.6040457719936973E-12</v>
      </c>
      <c r="BD942" s="47">
        <f t="shared" ca="1" si="1954"/>
        <v>-9.6040457719936973E-12</v>
      </c>
      <c r="BE942" s="47">
        <f t="shared" ca="1" si="1954"/>
        <v>-9.6040457719936973E-12</v>
      </c>
      <c r="BF942" s="47">
        <f t="shared" ca="1" si="1954"/>
        <v>-9.6040457719936973E-12</v>
      </c>
      <c r="BG942" s="47">
        <f t="shared" ca="1" si="1954"/>
        <v>-9.6040457719936973E-12</v>
      </c>
      <c r="BH942" s="47">
        <f t="shared" ca="1" si="1954"/>
        <v>-9.6040457719936973E-12</v>
      </c>
      <c r="BI942" s="47">
        <f t="shared" ca="1" si="1954"/>
        <v>-9.6040457719936973E-12</v>
      </c>
      <c r="BJ942" s="47">
        <f t="shared" ca="1" si="1954"/>
        <v>-9.6040457719936973E-12</v>
      </c>
      <c r="BK942" s="47">
        <f t="shared" ca="1" si="1954"/>
        <v>-9.6040457719936973E-12</v>
      </c>
      <c r="BL942" s="47">
        <f t="shared" ca="1" si="1954"/>
        <v>-9.6040457719936973E-12</v>
      </c>
      <c r="BM942" s="47">
        <f t="shared" ca="1" si="1954"/>
        <v>-9.6040457719936973E-12</v>
      </c>
      <c r="BN942" s="47">
        <f t="shared" ca="1" si="1954"/>
        <v>-9.6040457719936973E-12</v>
      </c>
      <c r="BO942" s="47">
        <f t="shared" ca="1" si="1954"/>
        <v>-9.6040457719936973E-12</v>
      </c>
      <c r="BP942" s="47">
        <f t="shared" ca="1" si="1954"/>
        <v>-9.6040457719936973E-12</v>
      </c>
      <c r="BQ942" s="47">
        <f t="shared" ca="1" si="1954"/>
        <v>-9.6040457719936973E-12</v>
      </c>
      <c r="BR942" s="47">
        <f t="shared" ca="1" si="1954"/>
        <v>-9.6040457719936973E-12</v>
      </c>
      <c r="BS942" s="47">
        <f t="shared" ca="1" si="1954"/>
        <v>-9.6040457719936973E-12</v>
      </c>
      <c r="BT942" s="47">
        <f t="shared" ca="1" si="1954"/>
        <v>-9.6040457719936973E-12</v>
      </c>
      <c r="BU942" s="47">
        <f t="shared" ref="BU942:BY942" ca="1" si="1955">+SUM(BU939:BU941)</f>
        <v>-9.6040457719936973E-12</v>
      </c>
      <c r="BV942" s="47">
        <f t="shared" ca="1" si="1955"/>
        <v>-9.6040457719936973E-12</v>
      </c>
      <c r="BW942" s="47">
        <f t="shared" ca="1" si="1955"/>
        <v>-9.6040457719936973E-12</v>
      </c>
      <c r="BX942" s="47">
        <f t="shared" ca="1" si="1955"/>
        <v>-9.6040457719936973E-12</v>
      </c>
      <c r="BY942" s="47">
        <f t="shared" ca="1" si="1955"/>
        <v>-9.6040457719936973E-12</v>
      </c>
    </row>
    <row r="945" spans="1:77" s="66" customFormat="1" ht="15">
      <c r="A945" s="66" t="str">
        <f>+A426</f>
        <v>3.0 Vessel</v>
      </c>
    </row>
    <row r="946" spans="1:77" s="19" customFormat="1" outlineLevel="1">
      <c r="A946"/>
      <c r="B946" s="18" t="s">
        <v>542</v>
      </c>
    </row>
    <row r="947" spans="1:77" outlineLevel="1">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row>
    <row r="948" spans="1:77" outlineLevel="1">
      <c r="E948" t="s">
        <v>487</v>
      </c>
      <c r="F948" s="23" t="s">
        <v>423</v>
      </c>
      <c r="H948" s="31">
        <f>IFERROR(+(1+Assumptions!$H$10)^(YEARFRAC(Assumptions!$H$11,H$4)),"")</f>
        <v>1.02</v>
      </c>
      <c r="I948" s="31">
        <f>IFERROR(+(1+Assumptions!$G$10)^(YEARFRAC(Assumptions!$G$11,I$4)),"")</f>
        <v>1.0404</v>
      </c>
      <c r="J948" s="31">
        <f>IFERROR(+(1+Assumptions!$G$10)^(YEARFRAC(Assumptions!$G$11,J$4)),"")</f>
        <v>1.0612079999999999</v>
      </c>
      <c r="K948" s="31">
        <f>IFERROR(+(1+Assumptions!$G$10)^(YEARFRAC(Assumptions!$G$11,K$4)),"")</f>
        <v>1.08243216</v>
      </c>
      <c r="L948" s="31">
        <f>IFERROR(+(1+Assumptions!$G$10)^(YEARFRAC(Assumptions!$G$11,L$4)),"")</f>
        <v>1.1040808032</v>
      </c>
      <c r="M948" s="31">
        <f>IFERROR(+(1+Assumptions!$G$10)^(YEARFRAC(Assumptions!$G$11,M$4)),"")</f>
        <v>1.1261624192640001</v>
      </c>
      <c r="N948" s="31">
        <f>IFERROR(+(1+Assumptions!$G$10)^(YEARFRAC(Assumptions!$G$11,N$4)),"")</f>
        <v>1.1486856676492798</v>
      </c>
      <c r="O948" s="31">
        <f>IFERROR(+(1+Assumptions!$G$10)^(YEARFRAC(Assumptions!$G$11,O$4)),"")</f>
        <v>1.1716593810022655</v>
      </c>
      <c r="P948" s="31">
        <f>IFERROR(+(1+Assumptions!$G$10)^(YEARFRAC(Assumptions!$G$11,P$4)),"")</f>
        <v>1.1950925686223108</v>
      </c>
      <c r="Q948" s="31">
        <f>IFERROR(+(1+Assumptions!$G$10)^(YEARFRAC(Assumptions!$G$11,Q$4)),"")</f>
        <v>1.2189944199947571</v>
      </c>
      <c r="R948" s="31">
        <f>IFERROR(+(1+Assumptions!$G$10)^(YEARFRAC(Assumptions!$G$11,R$4)),"")</f>
        <v>1.243374308394652</v>
      </c>
      <c r="S948" s="31">
        <f>IFERROR(+(1+Assumptions!$G$10)^(YEARFRAC(Assumptions!$G$11,S$4)),"")</f>
        <v>1.2682417945625453</v>
      </c>
      <c r="T948" s="31">
        <f>IFERROR(+(1+Assumptions!$G$10)^(YEARFRAC(Assumptions!$G$11,T$4)),"")</f>
        <v>1.2936066304537961</v>
      </c>
      <c r="U948" s="31">
        <f>IFERROR(+(1+Assumptions!$G$10)^(YEARFRAC(Assumptions!$G$11,U$4)),"")</f>
        <v>1.3194787630628722</v>
      </c>
      <c r="V948" s="31">
        <f>IFERROR(+(1+Assumptions!$G$10)^(YEARFRAC(Assumptions!$G$11,V$4)),"")</f>
        <v>1.3458683383241292</v>
      </c>
      <c r="W948" s="31">
        <f>IFERROR(+(1+Assumptions!$G$10)^(YEARFRAC(Assumptions!$G$11,W$4)),"")</f>
        <v>1.372785705090612</v>
      </c>
      <c r="X948" s="31">
        <f>IFERROR(+(1+Assumptions!$G$10)^(YEARFRAC(Assumptions!$G$11,X$4)),"")</f>
        <v>1.4002414191924244</v>
      </c>
      <c r="Y948" s="31">
        <f>IFERROR(+(1+Assumptions!$G$10)^(YEARFRAC(Assumptions!$G$11,Y$4)),"")</f>
        <v>1.4282462475762727</v>
      </c>
      <c r="Z948" s="31">
        <f>IFERROR(+(1+Assumptions!$G$10)^(YEARFRAC(Assumptions!$G$11,Z$4)),"")</f>
        <v>1.4568111725277981</v>
      </c>
      <c r="AA948" s="31" t="str">
        <f>IFERROR(+(1+Assumptions!$G$10)^(YEARFRAC(Assumptions!$G$11,AA$4)),"")</f>
        <v/>
      </c>
      <c r="AB948" s="31" t="str">
        <f>IFERROR(+(1+Assumptions!$G$10)^(YEARFRAC(Assumptions!$G$11,AB$4)),"")</f>
        <v/>
      </c>
      <c r="AC948" s="31" t="str">
        <f>IFERROR(+(1+Assumptions!$G$10)^(YEARFRAC(Assumptions!$G$11,AC$4)),"")</f>
        <v/>
      </c>
      <c r="AD948" s="31" t="str">
        <f>IFERROR(+(1+Assumptions!$G$10)^(YEARFRAC(Assumptions!$G$11,AD$4)),"")</f>
        <v/>
      </c>
      <c r="AE948" s="31" t="str">
        <f>IFERROR(+(1+Assumptions!$G$10)^(YEARFRAC(Assumptions!$G$11,AE$4)),"")</f>
        <v/>
      </c>
      <c r="AF948" s="31" t="str">
        <f>IFERROR(+(1+Assumptions!$G$10)^(YEARFRAC(Assumptions!$G$11,AF$4)),"")</f>
        <v/>
      </c>
      <c r="AG948" s="31" t="str">
        <f>IFERROR(+(1+Assumptions!$G$10)^(YEARFRAC(Assumptions!$G$11,AG$4)),"")</f>
        <v/>
      </c>
      <c r="AH948" s="31" t="str">
        <f>IFERROR(+(1+Assumptions!$G$10)^(YEARFRAC(Assumptions!$G$11,AH$4)),"")</f>
        <v/>
      </c>
      <c r="AI948" s="31" t="str">
        <f>IFERROR(+(1+Assumptions!$G$10)^(YEARFRAC(Assumptions!$G$11,AI$4)),"")</f>
        <v/>
      </c>
      <c r="AJ948" s="31" t="str">
        <f>IFERROR(+(1+Assumptions!$G$10)^(YEARFRAC(Assumptions!$G$11,AJ$4)),"")</f>
        <v/>
      </c>
      <c r="AK948" s="31" t="str">
        <f>IFERROR(+(1+Assumptions!$G$10)^(YEARFRAC(Assumptions!$G$11,AK$4)),"")</f>
        <v/>
      </c>
      <c r="AL948" s="31" t="str">
        <f>IFERROR(+(1+Assumptions!$G$10)^(YEARFRAC(Assumptions!$G$11,AL$4)),"")</f>
        <v/>
      </c>
      <c r="AM948" s="31" t="str">
        <f>IFERROR(+(1+Assumptions!$G$10)^(YEARFRAC(Assumptions!$G$11,AM$4)),"")</f>
        <v/>
      </c>
      <c r="AN948" s="31" t="str">
        <f>IFERROR(+(1+Assumptions!$G$10)^(YEARFRAC(Assumptions!$G$11,AN$4)),"")</f>
        <v/>
      </c>
      <c r="AO948" s="31" t="str">
        <f>IFERROR(+(1+Assumptions!$G$10)^(YEARFRAC(Assumptions!$G$11,AO$4)),"")</f>
        <v/>
      </c>
      <c r="AP948" s="31" t="str">
        <f>IFERROR(+(1+Assumptions!$G$10)^(YEARFRAC(Assumptions!$G$11,AP$4)),"")</f>
        <v/>
      </c>
      <c r="AQ948" s="31" t="str">
        <f>IFERROR(+(1+Assumptions!$G$10)^(YEARFRAC(Assumptions!$G$11,AQ$4)),"")</f>
        <v/>
      </c>
      <c r="AR948" s="31" t="str">
        <f>IFERROR(+(1+Assumptions!$G$10)^(YEARFRAC(Assumptions!$G$11,AR$4)),"")</f>
        <v/>
      </c>
      <c r="AS948" s="31" t="str">
        <f>IFERROR(+(1+Assumptions!$G$10)^(YEARFRAC(Assumptions!$G$11,AS$4)),"")</f>
        <v/>
      </c>
      <c r="AT948" s="31" t="str">
        <f>IFERROR(+(1+Assumptions!$G$10)^(YEARFRAC(Assumptions!$G$11,AT$4)),"")</f>
        <v/>
      </c>
      <c r="AU948" s="31" t="str">
        <f>IFERROR(+(1+Assumptions!$G$10)^(YEARFRAC(Assumptions!$G$11,AU$4)),"")</f>
        <v/>
      </c>
      <c r="AV948" s="31" t="str">
        <f>IFERROR(+(1+Assumptions!$G$10)^(YEARFRAC(Assumptions!$G$11,AV$4)),"")</f>
        <v/>
      </c>
      <c r="AW948" s="31" t="str">
        <f>IFERROR(+(1+Assumptions!$G$10)^(YEARFRAC(Assumptions!$G$11,AW$4)),"")</f>
        <v/>
      </c>
      <c r="AX948" s="31" t="str">
        <f>IFERROR(+(1+Assumptions!$G$10)^(YEARFRAC(Assumptions!$G$11,AX$4)),"")</f>
        <v/>
      </c>
      <c r="AY948" s="31" t="str">
        <f>IFERROR(+(1+Assumptions!$G$10)^(YEARFRAC(Assumptions!$G$11,AY$4)),"")</f>
        <v/>
      </c>
      <c r="AZ948" s="31" t="str">
        <f>IFERROR(+(1+Assumptions!$G$10)^(YEARFRAC(Assumptions!$G$11,AZ$4)),"")</f>
        <v/>
      </c>
      <c r="BA948" s="31" t="str">
        <f>IFERROR(+(1+Assumptions!$G$10)^(YEARFRAC(Assumptions!$G$11,BA$4)),"")</f>
        <v/>
      </c>
      <c r="BB948" s="31" t="str">
        <f>IFERROR(+(1+Assumptions!$G$10)^(YEARFRAC(Assumptions!$G$11,BB$4)),"")</f>
        <v/>
      </c>
      <c r="BC948" s="31" t="str">
        <f>IFERROR(+(1+Assumptions!$G$10)^(YEARFRAC(Assumptions!$G$11,BC$4)),"")</f>
        <v/>
      </c>
      <c r="BD948" s="31" t="str">
        <f>IFERROR(+(1+Assumptions!$G$10)^(YEARFRAC(Assumptions!$G$11,BD$4)),"")</f>
        <v/>
      </c>
      <c r="BE948" s="31" t="str">
        <f>IFERROR(+(1+Assumptions!$G$10)^(YEARFRAC(Assumptions!$G$11,BE$4)),"")</f>
        <v/>
      </c>
      <c r="BF948" s="31" t="str">
        <f>IFERROR(+(1+Assumptions!$G$10)^(YEARFRAC(Assumptions!$G$11,BF$4)),"")</f>
        <v/>
      </c>
      <c r="BG948" s="31" t="str">
        <f>IFERROR(+(1+Assumptions!$G$10)^(YEARFRAC(Assumptions!$G$11,BG$4)),"")</f>
        <v/>
      </c>
      <c r="BH948" s="31" t="str">
        <f>IFERROR(+(1+Assumptions!$G$10)^(YEARFRAC(Assumptions!$G$11,BH$4)),"")</f>
        <v/>
      </c>
      <c r="BI948" s="31" t="str">
        <f>IFERROR(+(1+Assumptions!$G$10)^(YEARFRAC(Assumptions!$G$11,BI$4)),"")</f>
        <v/>
      </c>
      <c r="BJ948" s="31" t="str">
        <f>IFERROR(+(1+Assumptions!$G$10)^(YEARFRAC(Assumptions!$G$11,BJ$4)),"")</f>
        <v/>
      </c>
      <c r="BK948" s="31" t="str">
        <f>IFERROR(+(1+Assumptions!$G$10)^(YEARFRAC(Assumptions!$G$11,BK$4)),"")</f>
        <v/>
      </c>
      <c r="BL948" s="31" t="str">
        <f>IFERROR(+(1+Assumptions!$G$10)^(YEARFRAC(Assumptions!$G$11,BL$4)),"")</f>
        <v/>
      </c>
      <c r="BM948" s="31" t="str">
        <f>IFERROR(+(1+Assumptions!$G$10)^(YEARFRAC(Assumptions!$G$11,BM$4)),"")</f>
        <v/>
      </c>
      <c r="BN948" s="31" t="str">
        <f>IFERROR(+(1+Assumptions!$G$10)^(YEARFRAC(Assumptions!$G$11,BN$4)),"")</f>
        <v/>
      </c>
      <c r="BO948" s="31" t="str">
        <f>IFERROR(+(1+Assumptions!$G$10)^(YEARFRAC(Assumptions!$G$11,BO$4)),"")</f>
        <v/>
      </c>
      <c r="BP948" s="31" t="str">
        <f>IFERROR(+(1+Assumptions!$G$10)^(YEARFRAC(Assumptions!$G$11,BP$4)),"")</f>
        <v/>
      </c>
      <c r="BQ948" s="31" t="str">
        <f>IFERROR(+(1+Assumptions!$G$10)^(YEARFRAC(Assumptions!$G$11,BQ$4)),"")</f>
        <v/>
      </c>
      <c r="BR948" s="31" t="str">
        <f>IFERROR(+(1+Assumptions!$G$10)^(YEARFRAC(Assumptions!$G$11,BR$4)),"")</f>
        <v/>
      </c>
      <c r="BS948" s="31" t="str">
        <f>IFERROR(+(1+Assumptions!$G$10)^(YEARFRAC(Assumptions!$G$11,BS$4)),"")</f>
        <v/>
      </c>
      <c r="BT948" s="31" t="str">
        <f>IFERROR(+(1+Assumptions!$G$10)^(YEARFRAC(Assumptions!$G$11,BT$4)),"")</f>
        <v/>
      </c>
      <c r="BU948" s="31" t="str">
        <f>IFERROR(+(1+Assumptions!$G$10)^(YEARFRAC(Assumptions!$G$11,BU$4)),"")</f>
        <v/>
      </c>
      <c r="BV948" s="31" t="str">
        <f>IFERROR(+(1+Assumptions!$G$10)^(YEARFRAC(Assumptions!$G$11,BV$4)),"")</f>
        <v/>
      </c>
      <c r="BW948" s="31" t="str">
        <f>IFERROR(+(1+Assumptions!$G$10)^(YEARFRAC(Assumptions!$G$11,BW$4)),"")</f>
        <v/>
      </c>
      <c r="BX948" s="31" t="str">
        <f>IFERROR(+(1+Assumptions!$G$10)^(YEARFRAC(Assumptions!$G$11,BX$4)),"")</f>
        <v/>
      </c>
      <c r="BY948" s="31" t="str">
        <f>IFERROR(+(1+Assumptions!$G$10)^(YEARFRAC(Assumptions!$G$11,BY$4)),"")</f>
        <v/>
      </c>
    </row>
    <row r="949" spans="1:77" outlineLevel="1">
      <c r="H949" s="41"/>
      <c r="I949" s="41"/>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row>
    <row r="950" spans="1:77" outlineLevel="1">
      <c r="E950" t="s">
        <v>195</v>
      </c>
      <c r="F950" s="23" t="s">
        <v>488</v>
      </c>
      <c r="H950">
        <f>+IF(AND(Assumptions!$H$294&gt;=H$3,Assumptions!$H$294&lt;H$4),1,0)</f>
        <v>1</v>
      </c>
      <c r="I950">
        <f>+IF(AND(Assumptions!$H$294&gt;=I$3,Assumptions!$H$294&lt;I$4),1,0)</f>
        <v>0</v>
      </c>
      <c r="J950">
        <f>+IF(AND(Assumptions!$H$294&gt;=J$3,Assumptions!$H$294&lt;J$4),1,0)</f>
        <v>0</v>
      </c>
      <c r="K950">
        <f>+IF(AND(Assumptions!$H$294&gt;=K$3,Assumptions!$H$294&lt;K$4),1,0)</f>
        <v>0</v>
      </c>
      <c r="L950">
        <f>+IF(AND(Assumptions!$H$294&gt;=L$3,Assumptions!$H$294&lt;L$4),1,0)</f>
        <v>0</v>
      </c>
      <c r="M950">
        <f>+IF(AND(Assumptions!$H$294&gt;=M$3,Assumptions!$H$294&lt;M$4),1,0)</f>
        <v>0</v>
      </c>
      <c r="N950">
        <f>+IF(AND(Assumptions!$H$294&gt;=N$3,Assumptions!$H$294&lt;N$4),1,0)</f>
        <v>0</v>
      </c>
      <c r="O950">
        <f>+IF(AND(Assumptions!$H$294&gt;=O$3,Assumptions!$H$294&lt;O$4),1,0)</f>
        <v>0</v>
      </c>
      <c r="P950">
        <f>+IF(AND(Assumptions!$H$294&gt;=P$3,Assumptions!$H$294&lt;P$4),1,0)</f>
        <v>0</v>
      </c>
      <c r="Q950">
        <f>+IF(AND(Assumptions!$H$294&gt;=Q$3,Assumptions!$H$294&lt;Q$4),1,0)</f>
        <v>0</v>
      </c>
      <c r="R950">
        <f>+IF(AND(Assumptions!$H$294&gt;=R$3,Assumptions!$H$294&lt;R$4),1,0)</f>
        <v>0</v>
      </c>
      <c r="S950">
        <f>+IF(AND(Assumptions!$H$294&gt;=S$3,Assumptions!$H$294&lt;S$4),1,0)</f>
        <v>0</v>
      </c>
      <c r="T950">
        <f>+IF(AND(Assumptions!$H$294&gt;=T$3,Assumptions!$H$294&lt;T$4),1,0)</f>
        <v>0</v>
      </c>
      <c r="U950">
        <f>+IF(AND(Assumptions!$H$294&gt;=U$3,Assumptions!$H$294&lt;U$4),1,0)</f>
        <v>0</v>
      </c>
      <c r="V950">
        <f>+IF(AND(Assumptions!$H$294&gt;=V$3,Assumptions!$H$294&lt;V$4),1,0)</f>
        <v>0</v>
      </c>
      <c r="W950">
        <f>+IF(AND(Assumptions!$H$294&gt;=W$3,Assumptions!$H$294&lt;W$4),1,0)</f>
        <v>0</v>
      </c>
      <c r="X950">
        <f>+IF(AND(Assumptions!$H$294&gt;=X$3,Assumptions!$H$294&lt;X$4),1,0)</f>
        <v>0</v>
      </c>
      <c r="Y950">
        <f>+IF(AND(Assumptions!$H$294&gt;=Y$3,Assumptions!$H$294&lt;Y$4),1,0)</f>
        <v>0</v>
      </c>
      <c r="Z950">
        <f>+IF(AND(Assumptions!$H$294&gt;=Z$3,Assumptions!$H$294&lt;Z$4),1,0)</f>
        <v>0</v>
      </c>
      <c r="AA950">
        <f>+IF(AND(Assumptions!$H$294&gt;=AA$3,Assumptions!$H$294&lt;AA$4),1,0)</f>
        <v>0</v>
      </c>
      <c r="AB950">
        <f>+IF(AND(Assumptions!$H$294&gt;=AB$3,Assumptions!$H$294&lt;AB$4),1,0)</f>
        <v>0</v>
      </c>
      <c r="AC950">
        <f>+IF(AND(Assumptions!$H$294&gt;=AC$3,Assumptions!$H$294&lt;AC$4),1,0)</f>
        <v>0</v>
      </c>
      <c r="AD950">
        <f>+IF(AND(Assumptions!$H$294&gt;=AD$3,Assumptions!$H$294&lt;AD$4),1,0)</f>
        <v>0</v>
      </c>
      <c r="AE950">
        <f>+IF(AND(Assumptions!$H$294&gt;=AE$3,Assumptions!$H$294&lt;AE$4),1,0)</f>
        <v>0</v>
      </c>
      <c r="AF950">
        <f>+IF(AND(Assumptions!$H$294&gt;=AF$3,Assumptions!$H$294&lt;AF$4),1,0)</f>
        <v>0</v>
      </c>
      <c r="AG950">
        <f>+IF(AND(Assumptions!$H$294&gt;=AG$3,Assumptions!$H$294&lt;AG$4),1,0)</f>
        <v>0</v>
      </c>
      <c r="AH950">
        <f>+IF(AND(Assumptions!$H$294&gt;=AH$3,Assumptions!$H$294&lt;AH$4),1,0)</f>
        <v>0</v>
      </c>
      <c r="AI950">
        <f>+IF(AND(Assumptions!$H$294&gt;=AI$3,Assumptions!$H$294&lt;AI$4),1,0)</f>
        <v>0</v>
      </c>
      <c r="AJ950">
        <f>+IF(AND(Assumptions!$H$294&gt;=AJ$3,Assumptions!$H$294&lt;AJ$4),1,0)</f>
        <v>0</v>
      </c>
      <c r="AK950">
        <f>+IF(AND(Assumptions!$H$294&gt;=AK$3,Assumptions!$H$294&lt;AK$4),1,0)</f>
        <v>0</v>
      </c>
      <c r="AL950">
        <f>+IF(AND(Assumptions!$H$294&gt;=AL$3,Assumptions!$H$294&lt;AL$4),1,0)</f>
        <v>0</v>
      </c>
      <c r="AM950">
        <f>+IF(AND(Assumptions!$H$294&gt;=AM$3,Assumptions!$H$294&lt;AM$4),1,0)</f>
        <v>0</v>
      </c>
      <c r="AN950">
        <f>+IF(AND(Assumptions!$H$294&gt;=AN$3,Assumptions!$H$294&lt;AN$4),1,0)</f>
        <v>0</v>
      </c>
      <c r="AO950">
        <f>+IF(AND(Assumptions!$H$294&gt;=AO$3,Assumptions!$H$294&lt;AO$4),1,0)</f>
        <v>0</v>
      </c>
      <c r="AP950">
        <f>+IF(AND(Assumptions!$H$294&gt;=AP$3,Assumptions!$H$294&lt;AP$4),1,0)</f>
        <v>0</v>
      </c>
      <c r="AQ950">
        <f>+IF(AND(Assumptions!$H$294&gt;=AQ$3,Assumptions!$H$294&lt;AQ$4),1,0)</f>
        <v>0</v>
      </c>
      <c r="AR950">
        <f>+IF(AND(Assumptions!$H$294&gt;=AR$3,Assumptions!$H$294&lt;AR$4),1,0)</f>
        <v>0</v>
      </c>
      <c r="AS950">
        <f>+IF(AND(Assumptions!$H$294&gt;=AS$3,Assumptions!$H$294&lt;AS$4),1,0)</f>
        <v>0</v>
      </c>
      <c r="AT950">
        <f>+IF(AND(Assumptions!$H$294&gt;=AT$3,Assumptions!$H$294&lt;AT$4),1,0)</f>
        <v>0</v>
      </c>
      <c r="AU950">
        <f>+IF(AND(Assumptions!$H$294&gt;=AU$3,Assumptions!$H$294&lt;AU$4),1,0)</f>
        <v>0</v>
      </c>
      <c r="AV950">
        <f>+IF(AND(Assumptions!$H$294&gt;=AV$3,Assumptions!$H$294&lt;AV$4),1,0)</f>
        <v>0</v>
      </c>
      <c r="AW950">
        <f>+IF(AND(Assumptions!$H$294&gt;=AW$3,Assumptions!$H$294&lt;AW$4),1,0)</f>
        <v>0</v>
      </c>
      <c r="AX950">
        <f>+IF(AND(Assumptions!$H$294&gt;=AX$3,Assumptions!$H$294&lt;AX$4),1,0)</f>
        <v>0</v>
      </c>
      <c r="AY950">
        <f>+IF(AND(Assumptions!$H$294&gt;=AY$3,Assumptions!$H$294&lt;AY$4),1,0)</f>
        <v>0</v>
      </c>
      <c r="AZ950">
        <f>+IF(AND(Assumptions!$H$294&gt;=AZ$3,Assumptions!$H$294&lt;AZ$4),1,0)</f>
        <v>0</v>
      </c>
      <c r="BA950">
        <f>+IF(AND(Assumptions!$H$294&gt;=BA$3,Assumptions!$H$294&lt;BA$4),1,0)</f>
        <v>0</v>
      </c>
      <c r="BB950">
        <f>+IF(AND(Assumptions!$H$294&gt;=BB$3,Assumptions!$H$294&lt;BB$4),1,0)</f>
        <v>0</v>
      </c>
      <c r="BC950">
        <f>+IF(AND(Assumptions!$H$294&gt;=BC$3,Assumptions!$H$294&lt;BC$4),1,0)</f>
        <v>0</v>
      </c>
      <c r="BD950">
        <f>+IF(AND(Assumptions!$H$294&gt;=BD$3,Assumptions!$H$294&lt;BD$4),1,0)</f>
        <v>0</v>
      </c>
      <c r="BE950">
        <f>+IF(AND(Assumptions!$H$294&gt;=BE$3,Assumptions!$H$294&lt;BE$4),1,0)</f>
        <v>0</v>
      </c>
      <c r="BF950">
        <f>+IF(AND(Assumptions!$H$294&gt;=BF$3,Assumptions!$H$294&lt;BF$4),1,0)</f>
        <v>0</v>
      </c>
      <c r="BG950">
        <f>+IF(AND(Assumptions!$H$294&gt;=BG$3,Assumptions!$H$294&lt;BG$4),1,0)</f>
        <v>0</v>
      </c>
      <c r="BH950">
        <f>+IF(AND(Assumptions!$H$294&gt;=BH$3,Assumptions!$H$294&lt;BH$4),1,0)</f>
        <v>0</v>
      </c>
      <c r="BI950">
        <f>+IF(AND(Assumptions!$H$294&gt;=BI$3,Assumptions!$H$294&lt;BI$4),1,0)</f>
        <v>0</v>
      </c>
      <c r="BJ950">
        <f>+IF(AND(Assumptions!$H$294&gt;=BJ$3,Assumptions!$H$294&lt;BJ$4),1,0)</f>
        <v>0</v>
      </c>
      <c r="BK950">
        <f>+IF(AND(Assumptions!$H$294&gt;=BK$3,Assumptions!$H$294&lt;BK$4),1,0)</f>
        <v>0</v>
      </c>
      <c r="BL950">
        <f>+IF(AND(Assumptions!$H$294&gt;=BL$3,Assumptions!$H$294&lt;BL$4),1,0)</f>
        <v>0</v>
      </c>
      <c r="BM950">
        <f>+IF(AND(Assumptions!$H$294&gt;=BM$3,Assumptions!$H$294&lt;BM$4),1,0)</f>
        <v>0</v>
      </c>
      <c r="BN950">
        <f>+IF(AND(Assumptions!$H$294&gt;=BN$3,Assumptions!$H$294&lt;BN$4),1,0)</f>
        <v>0</v>
      </c>
      <c r="BO950">
        <f>+IF(AND(Assumptions!$H$294&gt;=BO$3,Assumptions!$H$294&lt;BO$4),1,0)</f>
        <v>0</v>
      </c>
      <c r="BP950">
        <f>+IF(AND(Assumptions!$H$294&gt;=BP$3,Assumptions!$H$294&lt;BP$4),1,0)</f>
        <v>0</v>
      </c>
      <c r="BQ950">
        <f>+IF(AND(Assumptions!$H$294&gt;=BQ$3,Assumptions!$H$294&lt;BQ$4),1,0)</f>
        <v>0</v>
      </c>
      <c r="BR950">
        <f>+IF(AND(Assumptions!$H$294&gt;=BR$3,Assumptions!$H$294&lt;BR$4),1,0)</f>
        <v>0</v>
      </c>
      <c r="BS950">
        <f>+IF(AND(Assumptions!$H$294&gt;=BS$3,Assumptions!$H$294&lt;BS$4),1,0)</f>
        <v>0</v>
      </c>
      <c r="BT950">
        <f>+IF(AND(Assumptions!$H$294&gt;=BT$3,Assumptions!$H$294&lt;BT$4),1,0)</f>
        <v>0</v>
      </c>
      <c r="BU950">
        <f>+IF(AND(Assumptions!$H$294&gt;=BU$3,Assumptions!$H$294&lt;BU$4),1,0)</f>
        <v>0</v>
      </c>
      <c r="BV950">
        <f>+IF(AND(Assumptions!$H$294&gt;=BV$3,Assumptions!$H$294&lt;BV$4),1,0)</f>
        <v>0</v>
      </c>
      <c r="BW950">
        <f>+IF(AND(Assumptions!$H$294&gt;=BW$3,Assumptions!$H$294&lt;BW$4),1,0)</f>
        <v>0</v>
      </c>
      <c r="BX950">
        <f>+IF(AND(Assumptions!$H$294&gt;=BX$3,Assumptions!$H$294&lt;BX$4),1,0)</f>
        <v>0</v>
      </c>
      <c r="BY950">
        <f>+IF(AND(Assumptions!$H$294&gt;=BY$3,Assumptions!$H$294&lt;BY$4),1,0)</f>
        <v>0</v>
      </c>
    </row>
    <row r="951" spans="1:77" outlineLevel="1">
      <c r="E951" t="s">
        <v>197</v>
      </c>
      <c r="F951" s="23" t="s">
        <v>488</v>
      </c>
      <c r="H951" s="67">
        <f>+IF(AND(H$3&gt;=Assumptions!$H$294,H$3&lt;Assumptions!$H$296),1,0)</f>
        <v>1</v>
      </c>
      <c r="I951" s="67">
        <f>+IF(AND(I$3&gt;=Assumptions!$H$294,I$3&lt;Assumptions!$H$296),1,0)</f>
        <v>0</v>
      </c>
      <c r="J951" s="67">
        <f>+IF(AND(J$3&gt;=Assumptions!$H$294,J$3&lt;Assumptions!$H$296),1,0)</f>
        <v>0</v>
      </c>
      <c r="K951" s="67">
        <f>+IF(AND(K$3&gt;=Assumptions!$H$294,K$3&lt;Assumptions!$H$296),1,0)</f>
        <v>0</v>
      </c>
      <c r="L951" s="67">
        <f>+IF(AND(L$3&gt;=Assumptions!$H$294,L$3&lt;Assumptions!$H$296),1,0)</f>
        <v>0</v>
      </c>
      <c r="M951" s="67">
        <f>+IF(AND(M$3&gt;=Assumptions!$H$294,M$3&lt;Assumptions!$H$296),1,0)</f>
        <v>0</v>
      </c>
      <c r="N951" s="67">
        <f>+IF(AND(N$3&gt;=Assumptions!$H$294,N$3&lt;Assumptions!$H$296),1,0)</f>
        <v>0</v>
      </c>
      <c r="O951" s="67">
        <f>+IF(AND(O$3&gt;=Assumptions!$H$294,O$3&lt;Assumptions!$H$296),1,0)</f>
        <v>0</v>
      </c>
      <c r="P951" s="67">
        <f>+IF(AND(P$3&gt;=Assumptions!$H$294,P$3&lt;Assumptions!$H$296),1,0)</f>
        <v>0</v>
      </c>
      <c r="Q951" s="67">
        <f>+IF(AND(Q$3&gt;=Assumptions!$H$294,Q$3&lt;Assumptions!$H$296),1,0)</f>
        <v>0</v>
      </c>
      <c r="R951" s="67">
        <f>+IF(AND(R$3&gt;=Assumptions!$H$294,R$3&lt;Assumptions!$H$296),1,0)</f>
        <v>0</v>
      </c>
      <c r="S951" s="67">
        <f>+IF(AND(S$3&gt;=Assumptions!$H$294,S$3&lt;Assumptions!$H$296),1,0)</f>
        <v>0</v>
      </c>
      <c r="T951" s="67">
        <f>+IF(AND(T$3&gt;=Assumptions!$H$294,T$3&lt;Assumptions!$H$296),1,0)</f>
        <v>0</v>
      </c>
      <c r="U951" s="67">
        <f>+IF(AND(U$3&gt;=Assumptions!$H$294,U$3&lt;Assumptions!$H$296),1,0)</f>
        <v>0</v>
      </c>
      <c r="V951" s="67">
        <f>+IF(AND(V$3&gt;=Assumptions!$H$294,V$3&lt;Assumptions!$H$296),1,0)</f>
        <v>0</v>
      </c>
      <c r="W951" s="67">
        <f>+IF(AND(W$3&gt;=Assumptions!$H$294,W$3&lt;Assumptions!$H$296),1,0)</f>
        <v>0</v>
      </c>
      <c r="X951" s="67">
        <f>+IF(AND(X$3&gt;=Assumptions!$H$294,X$3&lt;Assumptions!$H$296),1,0)</f>
        <v>0</v>
      </c>
      <c r="Y951" s="67">
        <f>+IF(AND(Y$3&gt;=Assumptions!$H$294,Y$3&lt;Assumptions!$H$296),1,0)</f>
        <v>0</v>
      </c>
      <c r="Z951" s="67">
        <f>+IF(AND(Z$3&gt;=Assumptions!$H$294,Z$3&lt;Assumptions!$H$296),1,0)</f>
        <v>0</v>
      </c>
      <c r="AA951" s="67">
        <f>+IF(AND(AA$3&gt;=Assumptions!$H$294,AA$3&lt;Assumptions!$H$296),1,0)</f>
        <v>0</v>
      </c>
      <c r="AB951" s="67">
        <f>+IF(AND(AB$3&gt;=Assumptions!$H$294,AB$3&lt;Assumptions!$H$296),1,0)</f>
        <v>0</v>
      </c>
      <c r="AC951" s="67">
        <f>+IF(AND(AC$3&gt;=Assumptions!$H$294,AC$3&lt;Assumptions!$H$296),1,0)</f>
        <v>0</v>
      </c>
      <c r="AD951" s="67">
        <f>+IF(AND(AD$3&gt;=Assumptions!$H$294,AD$3&lt;Assumptions!$H$296),1,0)</f>
        <v>0</v>
      </c>
      <c r="AE951" s="67">
        <f>+IF(AND(AE$3&gt;=Assumptions!$H$294,AE$3&lt;Assumptions!$H$296),1,0)</f>
        <v>0</v>
      </c>
      <c r="AF951" s="67">
        <f>+IF(AND(AF$3&gt;=Assumptions!$H$294,AF$3&lt;Assumptions!$H$296),1,0)</f>
        <v>0</v>
      </c>
      <c r="AG951" s="67">
        <f>+IF(AND(AG$3&gt;=Assumptions!$H$294,AG$3&lt;Assumptions!$H$296),1,0)</f>
        <v>0</v>
      </c>
      <c r="AH951" s="67">
        <f>+IF(AND(AH$3&gt;=Assumptions!$H$294,AH$3&lt;Assumptions!$H$296),1,0)</f>
        <v>0</v>
      </c>
      <c r="AI951" s="67">
        <f>+IF(AND(AI$3&gt;=Assumptions!$H$294,AI$3&lt;Assumptions!$H$296),1,0)</f>
        <v>0</v>
      </c>
      <c r="AJ951" s="67">
        <f>+IF(AND(AJ$3&gt;=Assumptions!$H$294,AJ$3&lt;Assumptions!$H$296),1,0)</f>
        <v>0</v>
      </c>
      <c r="AK951" s="67">
        <f>+IF(AND(AK$3&gt;=Assumptions!$H$294,AK$3&lt;Assumptions!$H$296),1,0)</f>
        <v>0</v>
      </c>
      <c r="AL951" s="67">
        <f>+IF(AND(AL$3&gt;=Assumptions!$H$294,AL$3&lt;Assumptions!$H$296),1,0)</f>
        <v>0</v>
      </c>
      <c r="AM951" s="67">
        <f>+IF(AND(AM$3&gt;=Assumptions!$H$294,AM$3&lt;Assumptions!$H$296),1,0)</f>
        <v>0</v>
      </c>
      <c r="AN951" s="67">
        <f>+IF(AND(AN$3&gt;=Assumptions!$H$294,AN$3&lt;Assumptions!$H$296),1,0)</f>
        <v>0</v>
      </c>
      <c r="AO951" s="67">
        <f>+IF(AND(AO$3&gt;=Assumptions!$H$294,AO$3&lt;Assumptions!$H$296),1,0)</f>
        <v>0</v>
      </c>
      <c r="AP951" s="67">
        <f>+IF(AND(AP$3&gt;=Assumptions!$H$294,AP$3&lt;Assumptions!$H$296),1,0)</f>
        <v>0</v>
      </c>
      <c r="AQ951" s="67">
        <f>+IF(AND(AQ$3&gt;=Assumptions!$H$294,AQ$3&lt;Assumptions!$H$296),1,0)</f>
        <v>0</v>
      </c>
      <c r="AR951" s="67">
        <f>+IF(AND(AR$3&gt;=Assumptions!$H$294,AR$3&lt;Assumptions!$H$296),1,0)</f>
        <v>0</v>
      </c>
      <c r="AS951" s="67">
        <f>+IF(AND(AS$3&gt;=Assumptions!$H$294,AS$3&lt;Assumptions!$H$296),1,0)</f>
        <v>0</v>
      </c>
      <c r="AT951" s="67">
        <f>+IF(AND(AT$3&gt;=Assumptions!$H$294,AT$3&lt;Assumptions!$H$296),1,0)</f>
        <v>0</v>
      </c>
      <c r="AU951" s="67">
        <f>+IF(AND(AU$3&gt;=Assumptions!$H$294,AU$3&lt;Assumptions!$H$296),1,0)</f>
        <v>0</v>
      </c>
      <c r="AV951" s="67">
        <f>+IF(AND(AV$3&gt;=Assumptions!$H$294,AV$3&lt;Assumptions!$H$296),1,0)</f>
        <v>0</v>
      </c>
      <c r="AW951" s="67">
        <f>+IF(AND(AW$3&gt;=Assumptions!$H$294,AW$3&lt;Assumptions!$H$296),1,0)</f>
        <v>0</v>
      </c>
      <c r="AX951" s="67">
        <f>+IF(AND(AX$3&gt;=Assumptions!$H$294,AX$3&lt;Assumptions!$H$296),1,0)</f>
        <v>0</v>
      </c>
      <c r="AY951" s="67">
        <f>+IF(AND(AY$3&gt;=Assumptions!$H$294,AY$3&lt;Assumptions!$H$296),1,0)</f>
        <v>0</v>
      </c>
      <c r="AZ951" s="67">
        <f>+IF(AND(AZ$3&gt;=Assumptions!$H$294,AZ$3&lt;Assumptions!$H$296),1,0)</f>
        <v>0</v>
      </c>
      <c r="BA951" s="67">
        <f>+IF(AND(BA$3&gt;=Assumptions!$H$294,BA$3&lt;Assumptions!$H$296),1,0)</f>
        <v>0</v>
      </c>
      <c r="BB951" s="67">
        <f>+IF(AND(BB$3&gt;=Assumptions!$H$294,BB$3&lt;Assumptions!$H$296),1,0)</f>
        <v>0</v>
      </c>
      <c r="BC951" s="67">
        <f>+IF(AND(BC$3&gt;=Assumptions!$H$294,BC$3&lt;Assumptions!$H$296),1,0)</f>
        <v>0</v>
      </c>
      <c r="BD951" s="67">
        <f>+IF(AND(BD$3&gt;=Assumptions!$H$294,BD$3&lt;Assumptions!$H$296),1,0)</f>
        <v>0</v>
      </c>
      <c r="BE951" s="67">
        <f>+IF(AND(BE$3&gt;=Assumptions!$H$294,BE$3&lt;Assumptions!$H$296),1,0)</f>
        <v>0</v>
      </c>
      <c r="BF951" s="67">
        <f>+IF(AND(BF$3&gt;=Assumptions!$H$294,BF$3&lt;Assumptions!$H$296),1,0)</f>
        <v>0</v>
      </c>
      <c r="BG951" s="67">
        <f>+IF(AND(BG$3&gt;=Assumptions!$H$294,BG$3&lt;Assumptions!$H$296),1,0)</f>
        <v>0</v>
      </c>
      <c r="BH951" s="67">
        <f>+IF(AND(BH$3&gt;=Assumptions!$H$294,BH$3&lt;Assumptions!$H$296),1,0)</f>
        <v>0</v>
      </c>
      <c r="BI951" s="67">
        <f>+IF(AND(BI$3&gt;=Assumptions!$H$294,BI$3&lt;Assumptions!$H$296),1,0)</f>
        <v>0</v>
      </c>
      <c r="BJ951" s="67">
        <f>+IF(AND(BJ$3&gt;=Assumptions!$H$294,BJ$3&lt;Assumptions!$H$296),1,0)</f>
        <v>0</v>
      </c>
      <c r="BK951" s="67">
        <f>+IF(AND(BK$3&gt;=Assumptions!$H$294,BK$3&lt;Assumptions!$H$296),1,0)</f>
        <v>0</v>
      </c>
      <c r="BL951" s="67">
        <f>+IF(AND(BL$3&gt;=Assumptions!$H$294,BL$3&lt;Assumptions!$H$296),1,0)</f>
        <v>0</v>
      </c>
      <c r="BM951" s="67">
        <f>+IF(AND(BM$3&gt;=Assumptions!$H$294,BM$3&lt;Assumptions!$H$296),1,0)</f>
        <v>0</v>
      </c>
      <c r="BN951" s="67">
        <f>+IF(AND(BN$3&gt;=Assumptions!$H$294,BN$3&lt;Assumptions!$H$296),1,0)</f>
        <v>0</v>
      </c>
      <c r="BO951" s="67">
        <f>+IF(AND(BO$3&gt;=Assumptions!$H$294,BO$3&lt;Assumptions!$H$296),1,0)</f>
        <v>0</v>
      </c>
      <c r="BP951" s="67">
        <f>+IF(AND(BP$3&gt;=Assumptions!$H$294,BP$3&lt;Assumptions!$H$296),1,0)</f>
        <v>0</v>
      </c>
      <c r="BQ951" s="67">
        <f>+IF(AND(BQ$3&gt;=Assumptions!$H$294,BQ$3&lt;Assumptions!$H$296),1,0)</f>
        <v>0</v>
      </c>
      <c r="BR951" s="67">
        <f>+IF(AND(BR$3&gt;=Assumptions!$H$294,BR$3&lt;Assumptions!$H$296),1,0)</f>
        <v>0</v>
      </c>
      <c r="BS951" s="67">
        <f>+IF(AND(BS$3&gt;=Assumptions!$H$294,BS$3&lt;Assumptions!$H$296),1,0)</f>
        <v>0</v>
      </c>
      <c r="BT951" s="67">
        <f>+IF(AND(BT$3&gt;=Assumptions!$H$294,BT$3&lt;Assumptions!$H$296),1,0)</f>
        <v>0</v>
      </c>
      <c r="BU951" s="67">
        <f>+IF(AND(BU$3&gt;=Assumptions!$H$294,BU$3&lt;Assumptions!$H$296),1,0)</f>
        <v>0</v>
      </c>
      <c r="BV951" s="67">
        <f>+IF(AND(BV$3&gt;=Assumptions!$H$294,BV$3&lt;Assumptions!$H$296),1,0)</f>
        <v>0</v>
      </c>
      <c r="BW951" s="67">
        <f>+IF(AND(BW$3&gt;=Assumptions!$H$294,BW$3&lt;Assumptions!$H$296),1,0)</f>
        <v>0</v>
      </c>
      <c r="BX951" s="67">
        <f>+IF(AND(BX$3&gt;=Assumptions!$H$294,BX$3&lt;Assumptions!$H$296),1,0)</f>
        <v>0</v>
      </c>
      <c r="BY951" s="67">
        <f>+IF(AND(BY$3&gt;=Assumptions!$H$294,BY$3&lt;Assumptions!$H$296),1,0)</f>
        <v>0</v>
      </c>
    </row>
    <row r="952" spans="1:77" outlineLevel="1">
      <c r="E952" t="s">
        <v>200</v>
      </c>
      <c r="F952" s="23" t="s">
        <v>488</v>
      </c>
      <c r="H952" s="67">
        <f>+IF(AND(H$3&gt;=Assumptions!$H$296,H$3&lt;Assumptions!$H$298),1,0)</f>
        <v>0</v>
      </c>
      <c r="I952" s="67">
        <f>+IF(AND(I$3&gt;=Assumptions!$H$296,I$3&lt;Assumptions!$H$298),1,0)</f>
        <v>1</v>
      </c>
      <c r="J952" s="67">
        <f>+IF(AND(J$3&gt;=Assumptions!$H$296,J$3&lt;Assumptions!$H$298),1,0)</f>
        <v>1</v>
      </c>
      <c r="K952" s="67">
        <f>+IF(AND(K$3&gt;=Assumptions!$H$296,K$3&lt;Assumptions!$H$298),1,0)</f>
        <v>0</v>
      </c>
      <c r="L952" s="67">
        <f>+IF(AND(L$3&gt;=Assumptions!$H$296,L$3&lt;Assumptions!$H$298),1,0)</f>
        <v>0</v>
      </c>
      <c r="M952" s="67">
        <f>+IF(AND(M$3&gt;=Assumptions!$H$296,M$3&lt;Assumptions!$H$298),1,0)</f>
        <v>0</v>
      </c>
      <c r="N952" s="67">
        <f>+IF(AND(N$3&gt;=Assumptions!$H$296,N$3&lt;Assumptions!$H$298),1,0)</f>
        <v>0</v>
      </c>
      <c r="O952" s="67">
        <f>+IF(AND(O$3&gt;=Assumptions!$H$296,O$3&lt;Assumptions!$H$298),1,0)</f>
        <v>0</v>
      </c>
      <c r="P952" s="67">
        <f>+IF(AND(P$3&gt;=Assumptions!$H$296,P$3&lt;Assumptions!$H$298),1,0)</f>
        <v>0</v>
      </c>
      <c r="Q952" s="67">
        <f>+IF(AND(Q$3&gt;=Assumptions!$H$296,Q$3&lt;Assumptions!$H$298),1,0)</f>
        <v>0</v>
      </c>
      <c r="R952" s="67">
        <f>+IF(AND(R$3&gt;=Assumptions!$H$296,R$3&lt;Assumptions!$H$298),1,0)</f>
        <v>0</v>
      </c>
      <c r="S952" s="67">
        <f>+IF(AND(S$3&gt;=Assumptions!$H$296,S$3&lt;Assumptions!$H$298),1,0)</f>
        <v>0</v>
      </c>
      <c r="T952" s="67">
        <f>+IF(AND(T$3&gt;=Assumptions!$H$296,T$3&lt;Assumptions!$H$298),1,0)</f>
        <v>0</v>
      </c>
      <c r="U952" s="67">
        <f>+IF(AND(U$3&gt;=Assumptions!$H$296,U$3&lt;Assumptions!$H$298),1,0)</f>
        <v>0</v>
      </c>
      <c r="V952" s="67">
        <f>+IF(AND(V$3&gt;=Assumptions!$H$296,V$3&lt;Assumptions!$H$298),1,0)</f>
        <v>0</v>
      </c>
      <c r="W952" s="67">
        <f>+IF(AND(W$3&gt;=Assumptions!$H$296,W$3&lt;Assumptions!$H$298),1,0)</f>
        <v>0</v>
      </c>
      <c r="X952" s="67">
        <f>+IF(AND(X$3&gt;=Assumptions!$H$296,X$3&lt;Assumptions!$H$298),1,0)</f>
        <v>0</v>
      </c>
      <c r="Y952" s="67">
        <f>+IF(AND(Y$3&gt;=Assumptions!$H$296,Y$3&lt;Assumptions!$H$298),1,0)</f>
        <v>0</v>
      </c>
      <c r="Z952" s="67">
        <f>+IF(AND(Z$3&gt;=Assumptions!$H$296,Z$3&lt;Assumptions!$H$298),1,0)</f>
        <v>0</v>
      </c>
      <c r="AA952" s="67">
        <f>+IF(AND(AA$3&gt;=Assumptions!$H$296,AA$3&lt;Assumptions!$H$298),1,0)</f>
        <v>0</v>
      </c>
      <c r="AB952" s="67">
        <f>+IF(AND(AB$3&gt;=Assumptions!$H$296,AB$3&lt;Assumptions!$H$298),1,0)</f>
        <v>0</v>
      </c>
      <c r="AC952" s="67">
        <f>+IF(AND(AC$3&gt;=Assumptions!$H$296,AC$3&lt;Assumptions!$H$298),1,0)</f>
        <v>0</v>
      </c>
      <c r="AD952" s="67">
        <f>+IF(AND(AD$3&gt;=Assumptions!$H$296,AD$3&lt;Assumptions!$H$298),1,0)</f>
        <v>0</v>
      </c>
      <c r="AE952" s="67">
        <f>+IF(AND(AE$3&gt;=Assumptions!$H$296,AE$3&lt;Assumptions!$H$298),1,0)</f>
        <v>0</v>
      </c>
      <c r="AF952" s="67">
        <f>+IF(AND(AF$3&gt;=Assumptions!$H$296,AF$3&lt;Assumptions!$H$298),1,0)</f>
        <v>0</v>
      </c>
      <c r="AG952" s="67">
        <f>+IF(AND(AG$3&gt;=Assumptions!$H$296,AG$3&lt;Assumptions!$H$298),1,0)</f>
        <v>0</v>
      </c>
      <c r="AH952" s="67">
        <f>+IF(AND(AH$3&gt;=Assumptions!$H$296,AH$3&lt;Assumptions!$H$298),1,0)</f>
        <v>0</v>
      </c>
      <c r="AI952" s="67">
        <f>+IF(AND(AI$3&gt;=Assumptions!$H$296,AI$3&lt;Assumptions!$H$298),1,0)</f>
        <v>0</v>
      </c>
      <c r="AJ952" s="67">
        <f>+IF(AND(AJ$3&gt;=Assumptions!$H$296,AJ$3&lt;Assumptions!$H$298),1,0)</f>
        <v>0</v>
      </c>
      <c r="AK952" s="67">
        <f>+IF(AND(AK$3&gt;=Assumptions!$H$296,AK$3&lt;Assumptions!$H$298),1,0)</f>
        <v>0</v>
      </c>
      <c r="AL952" s="67">
        <f>+IF(AND(AL$3&gt;=Assumptions!$H$296,AL$3&lt;Assumptions!$H$298),1,0)</f>
        <v>0</v>
      </c>
      <c r="AM952" s="67">
        <f>+IF(AND(AM$3&gt;=Assumptions!$H$296,AM$3&lt;Assumptions!$H$298),1,0)</f>
        <v>0</v>
      </c>
      <c r="AN952" s="67">
        <f>+IF(AND(AN$3&gt;=Assumptions!$H$296,AN$3&lt;Assumptions!$H$298),1,0)</f>
        <v>0</v>
      </c>
      <c r="AO952" s="67">
        <f>+IF(AND(AO$3&gt;=Assumptions!$H$296,AO$3&lt;Assumptions!$H$298),1,0)</f>
        <v>0</v>
      </c>
      <c r="AP952" s="67">
        <f>+IF(AND(AP$3&gt;=Assumptions!$H$296,AP$3&lt;Assumptions!$H$298),1,0)</f>
        <v>0</v>
      </c>
      <c r="AQ952" s="67">
        <f>+IF(AND(AQ$3&gt;=Assumptions!$H$296,AQ$3&lt;Assumptions!$H$298),1,0)</f>
        <v>0</v>
      </c>
      <c r="AR952" s="67">
        <f>+IF(AND(AR$3&gt;=Assumptions!$H$296,AR$3&lt;Assumptions!$H$298),1,0)</f>
        <v>0</v>
      </c>
      <c r="AS952" s="67">
        <f>+IF(AND(AS$3&gt;=Assumptions!$H$296,AS$3&lt;Assumptions!$H$298),1,0)</f>
        <v>0</v>
      </c>
      <c r="AT952" s="67">
        <f>+IF(AND(AT$3&gt;=Assumptions!$H$296,AT$3&lt;Assumptions!$H$298),1,0)</f>
        <v>0</v>
      </c>
      <c r="AU952" s="67">
        <f>+IF(AND(AU$3&gt;=Assumptions!$H$296,AU$3&lt;Assumptions!$H$298),1,0)</f>
        <v>0</v>
      </c>
      <c r="AV952" s="67">
        <f>+IF(AND(AV$3&gt;=Assumptions!$H$296,AV$3&lt;Assumptions!$H$298),1,0)</f>
        <v>0</v>
      </c>
      <c r="AW952" s="67">
        <f>+IF(AND(AW$3&gt;=Assumptions!$H$296,AW$3&lt;Assumptions!$H$298),1,0)</f>
        <v>0</v>
      </c>
      <c r="AX952" s="67">
        <f>+IF(AND(AX$3&gt;=Assumptions!$H$296,AX$3&lt;Assumptions!$H$298),1,0)</f>
        <v>0</v>
      </c>
      <c r="AY952" s="67">
        <f>+IF(AND(AY$3&gt;=Assumptions!$H$296,AY$3&lt;Assumptions!$H$298),1,0)</f>
        <v>0</v>
      </c>
      <c r="AZ952" s="67">
        <f>+IF(AND(AZ$3&gt;=Assumptions!$H$296,AZ$3&lt;Assumptions!$H$298),1,0)</f>
        <v>0</v>
      </c>
      <c r="BA952" s="67">
        <f>+IF(AND(BA$3&gt;=Assumptions!$H$296,BA$3&lt;Assumptions!$H$298),1,0)</f>
        <v>0</v>
      </c>
      <c r="BB952" s="67">
        <f>+IF(AND(BB$3&gt;=Assumptions!$H$296,BB$3&lt;Assumptions!$H$298),1,0)</f>
        <v>0</v>
      </c>
      <c r="BC952" s="67">
        <f>+IF(AND(BC$3&gt;=Assumptions!$H$296,BC$3&lt;Assumptions!$H$298),1,0)</f>
        <v>0</v>
      </c>
      <c r="BD952" s="67">
        <f>+IF(AND(BD$3&gt;=Assumptions!$H$296,BD$3&lt;Assumptions!$H$298),1,0)</f>
        <v>0</v>
      </c>
      <c r="BE952" s="67">
        <f>+IF(AND(BE$3&gt;=Assumptions!$H$296,BE$3&lt;Assumptions!$H$298),1,0)</f>
        <v>0</v>
      </c>
      <c r="BF952" s="67">
        <f>+IF(AND(BF$3&gt;=Assumptions!$H$296,BF$3&lt;Assumptions!$H$298),1,0)</f>
        <v>0</v>
      </c>
      <c r="BG952" s="67">
        <f>+IF(AND(BG$3&gt;=Assumptions!$H$296,BG$3&lt;Assumptions!$H$298),1,0)</f>
        <v>0</v>
      </c>
      <c r="BH952" s="67">
        <f>+IF(AND(BH$3&gt;=Assumptions!$H$296,BH$3&lt;Assumptions!$H$298),1,0)</f>
        <v>0</v>
      </c>
      <c r="BI952" s="67">
        <f>+IF(AND(BI$3&gt;=Assumptions!$H$296,BI$3&lt;Assumptions!$H$298),1,0)</f>
        <v>0</v>
      </c>
      <c r="BJ952" s="67">
        <f>+IF(AND(BJ$3&gt;=Assumptions!$H$296,BJ$3&lt;Assumptions!$H$298),1,0)</f>
        <v>0</v>
      </c>
      <c r="BK952" s="67">
        <f>+IF(AND(BK$3&gt;=Assumptions!$H$296,BK$3&lt;Assumptions!$H$298),1,0)</f>
        <v>0</v>
      </c>
      <c r="BL952" s="67">
        <f>+IF(AND(BL$3&gt;=Assumptions!$H$296,BL$3&lt;Assumptions!$H$298),1,0)</f>
        <v>0</v>
      </c>
      <c r="BM952" s="67">
        <f>+IF(AND(BM$3&gt;=Assumptions!$H$296,BM$3&lt;Assumptions!$H$298),1,0)</f>
        <v>0</v>
      </c>
      <c r="BN952" s="67">
        <f>+IF(AND(BN$3&gt;=Assumptions!$H$296,BN$3&lt;Assumptions!$H$298),1,0)</f>
        <v>0</v>
      </c>
      <c r="BO952" s="67">
        <f>+IF(AND(BO$3&gt;=Assumptions!$H$296,BO$3&lt;Assumptions!$H$298),1,0)</f>
        <v>0</v>
      </c>
      <c r="BP952" s="67">
        <f>+IF(AND(BP$3&gt;=Assumptions!$H$296,BP$3&lt;Assumptions!$H$298),1,0)</f>
        <v>0</v>
      </c>
      <c r="BQ952" s="67">
        <f>+IF(AND(BQ$3&gt;=Assumptions!$H$296,BQ$3&lt;Assumptions!$H$298),1,0)</f>
        <v>0</v>
      </c>
      <c r="BR952" s="67">
        <f>+IF(AND(BR$3&gt;=Assumptions!$H$296,BR$3&lt;Assumptions!$H$298),1,0)</f>
        <v>0</v>
      </c>
      <c r="BS952" s="67">
        <f>+IF(AND(BS$3&gt;=Assumptions!$H$296,BS$3&lt;Assumptions!$H$298),1,0)</f>
        <v>0</v>
      </c>
      <c r="BT952" s="67">
        <f>+IF(AND(BT$3&gt;=Assumptions!$H$296,BT$3&lt;Assumptions!$H$298),1,0)</f>
        <v>0</v>
      </c>
      <c r="BU952" s="67">
        <f>+IF(AND(BU$3&gt;=Assumptions!$H$296,BU$3&lt;Assumptions!$H$298),1,0)</f>
        <v>0</v>
      </c>
      <c r="BV952" s="67">
        <f>+IF(AND(BV$3&gt;=Assumptions!$H$296,BV$3&lt;Assumptions!$H$298),1,0)</f>
        <v>0</v>
      </c>
      <c r="BW952" s="67">
        <f>+IF(AND(BW$3&gt;=Assumptions!$H$296,BW$3&lt;Assumptions!$H$298),1,0)</f>
        <v>0</v>
      </c>
      <c r="BX952" s="67">
        <f>+IF(AND(BX$3&gt;=Assumptions!$H$296,BX$3&lt;Assumptions!$H$298),1,0)</f>
        <v>0</v>
      </c>
      <c r="BY952" s="67">
        <f>+IF(AND(BY$3&gt;=Assumptions!$H$296,BY$3&lt;Assumptions!$H$298),1,0)</f>
        <v>0</v>
      </c>
    </row>
    <row r="953" spans="1:77" outlineLevel="1">
      <c r="E953" t="s">
        <v>202</v>
      </c>
      <c r="F953" s="23" t="s">
        <v>488</v>
      </c>
      <c r="H953">
        <f>+IF(AND(SUM(H952:$BY952)=0,EDATE(Assumptions!$H$294,SUM(Assumptions!$H$295,Assumptions!$H$297,Assumptions!$H$300)*12)&gt;H$3),1,0)</f>
        <v>0</v>
      </c>
      <c r="I953">
        <f>+IF(AND(SUM(I952:$BY952)=0,EDATE(Assumptions!$H$294,SUM(Assumptions!$H$295,Assumptions!$H$297,Assumptions!$H$300)*12)&gt;I$3),1,0)</f>
        <v>0</v>
      </c>
      <c r="J953">
        <f>+IF(AND(SUM(J952:$BY952)=0,EDATE(Assumptions!$H$294,SUM(Assumptions!$H$295,Assumptions!$H$297,Assumptions!$H$300)*12)&gt;J$3),1,0)</f>
        <v>0</v>
      </c>
      <c r="K953">
        <f>+IF(AND(SUM(K952:$BY952)=0,EDATE(Assumptions!$H$294,SUM(Assumptions!$H$295,Assumptions!$H$297,Assumptions!$H$300)*12)&gt;K$3),1,0)</f>
        <v>1</v>
      </c>
      <c r="L953">
        <f>+IF(AND(SUM(L952:$BY952)=0,EDATE(Assumptions!$H$294,SUM(Assumptions!$H$295,Assumptions!$H$297,Assumptions!$H$300)*12)&gt;L$3),1,0)</f>
        <v>1</v>
      </c>
      <c r="M953">
        <f>+IF(AND(SUM(M952:$BY952)=0,EDATE(Assumptions!$H$294,SUM(Assumptions!$H$295,Assumptions!$H$297,Assumptions!$H$300)*12)&gt;M$3),1,0)</f>
        <v>1</v>
      </c>
      <c r="N953">
        <f>+IF(AND(SUM(N952:$BY952)=0,EDATE(Assumptions!$H$294,SUM(Assumptions!$H$295,Assumptions!$H$297,Assumptions!$H$300)*12)&gt;N$3),1,0)</f>
        <v>1</v>
      </c>
      <c r="O953">
        <f>+IF(AND(SUM(O952:$BY952)=0,EDATE(Assumptions!$H$294,SUM(Assumptions!$H$295,Assumptions!$H$297,Assumptions!$H$300)*12)&gt;O$3),1,0)</f>
        <v>1</v>
      </c>
      <c r="P953">
        <f>+IF(AND(SUM(P952:$BY952)=0,EDATE(Assumptions!$H$294,SUM(Assumptions!$H$295,Assumptions!$H$297,Assumptions!$H$300)*12)&gt;P$3),1,0)</f>
        <v>1</v>
      </c>
      <c r="Q953">
        <f>+IF(AND(SUM(Q952:$BY952)=0,EDATE(Assumptions!$H$294,SUM(Assumptions!$H$295,Assumptions!$H$297,Assumptions!$H$300)*12)&gt;Q$3),1,0)</f>
        <v>1</v>
      </c>
      <c r="R953">
        <f>+IF(AND(SUM(R952:$BY952)=0,EDATE(Assumptions!$H$294,SUM(Assumptions!$H$295,Assumptions!$H$297,Assumptions!$H$300)*12)&gt;R$3),1,0)</f>
        <v>1</v>
      </c>
      <c r="S953">
        <f>+IF(AND(SUM(S952:$BY952)=0,EDATE(Assumptions!$H$294,SUM(Assumptions!$H$295,Assumptions!$H$297,Assumptions!$H$300)*12)&gt;S$3),1,0)</f>
        <v>1</v>
      </c>
      <c r="T953">
        <f>+IF(AND(SUM(T952:$BY952)=0,EDATE(Assumptions!$H$294,SUM(Assumptions!$H$295,Assumptions!$H$297,Assumptions!$H$300)*12)&gt;T$3),1,0)</f>
        <v>1</v>
      </c>
      <c r="U953">
        <f>+IF(AND(SUM(U952:$BY952)=0,EDATE(Assumptions!$H$294,SUM(Assumptions!$H$295,Assumptions!$H$297,Assumptions!$H$300)*12)&gt;U$3),1,0)</f>
        <v>1</v>
      </c>
      <c r="V953">
        <f>+IF(AND(SUM(V952:$BY952)=0,EDATE(Assumptions!$H$294,SUM(Assumptions!$H$295,Assumptions!$H$297,Assumptions!$H$300)*12)&gt;V$3),1,0)</f>
        <v>1</v>
      </c>
      <c r="W953">
        <f>+IF(AND(SUM(W952:$BY952)=0,EDATE(Assumptions!$H$294,SUM(Assumptions!$H$295,Assumptions!$H$297,Assumptions!$H$300)*12)&gt;W$3),1,0)</f>
        <v>1</v>
      </c>
      <c r="X953">
        <f>+IF(AND(SUM(X952:$BY952)=0,EDATE(Assumptions!$H$294,SUM(Assumptions!$H$295,Assumptions!$H$297,Assumptions!$H$300)*12)&gt;X$3),1,0)</f>
        <v>1</v>
      </c>
      <c r="Y953">
        <f>+IF(AND(SUM(Y952:$BY952)=0,EDATE(Assumptions!$H$294,SUM(Assumptions!$H$295,Assumptions!$H$297,Assumptions!$H$300)*12)&gt;Y$3),1,0)</f>
        <v>1</v>
      </c>
      <c r="Z953">
        <f>+IF(AND(SUM(Z952:$BY952)=0,EDATE(Assumptions!$H$294,SUM(Assumptions!$H$295,Assumptions!$H$297,Assumptions!$H$300)*12)&gt;Z$3),1,0)</f>
        <v>0</v>
      </c>
      <c r="AA953">
        <f>+IF(AND(SUM(AA952:$BY952)=0,EDATE(Assumptions!$H$294,SUM(Assumptions!$H$295,Assumptions!$H$297,Assumptions!$H$300)*12)&gt;AA$3),1,0)</f>
        <v>0</v>
      </c>
      <c r="AB953">
        <f>+IF(AND(SUM(AB952:$BY952)=0,EDATE(Assumptions!$H$294,SUM(Assumptions!$H$295,Assumptions!$H$297,Assumptions!$H$300)*12)&gt;AB$3),1,0)</f>
        <v>0</v>
      </c>
      <c r="AC953">
        <f>+IF(AND(SUM(AC952:$BY952)=0,EDATE(Assumptions!$H$294,SUM(Assumptions!$H$295,Assumptions!$H$297,Assumptions!$H$300)*12)&gt;AC$3),1,0)</f>
        <v>0</v>
      </c>
      <c r="AD953">
        <f>+IF(AND(SUM(AD952:$BY952)=0,EDATE(Assumptions!$H$294,SUM(Assumptions!$H$295,Assumptions!$H$297,Assumptions!$H$300)*12)&gt;AD$3),1,0)</f>
        <v>0</v>
      </c>
      <c r="AE953">
        <f>+IF(AND(SUM(AE952:$BY952)=0,EDATE(Assumptions!$H$294,SUM(Assumptions!$H$295,Assumptions!$H$297,Assumptions!$H$300)*12)&gt;AE$3),1,0)</f>
        <v>0</v>
      </c>
      <c r="AF953">
        <f>+IF(AND(SUM(AF952:$BY952)=0,EDATE(Assumptions!$H$294,SUM(Assumptions!$H$295,Assumptions!$H$297,Assumptions!$H$300)*12)&gt;AF$3),1,0)</f>
        <v>0</v>
      </c>
      <c r="AG953">
        <f>+IF(AND(SUM(AG952:$BY952)=0,EDATE(Assumptions!$H$294,SUM(Assumptions!$H$295,Assumptions!$H$297,Assumptions!$H$300)*12)&gt;AG$3),1,0)</f>
        <v>0</v>
      </c>
      <c r="AH953">
        <f>+IF(AND(SUM(AH952:$BY952)=0,EDATE(Assumptions!$H$294,SUM(Assumptions!$H$295,Assumptions!$H$297,Assumptions!$H$300)*12)&gt;AH$3),1,0)</f>
        <v>0</v>
      </c>
      <c r="AI953">
        <f>+IF(AND(SUM(AI952:$BY952)=0,EDATE(Assumptions!$H$294,SUM(Assumptions!$H$295,Assumptions!$H$297,Assumptions!$H$300)*12)&gt;AI$3),1,0)</f>
        <v>0</v>
      </c>
      <c r="AJ953">
        <f>+IF(AND(SUM(AJ952:$BY952)=0,EDATE(Assumptions!$H$294,SUM(Assumptions!$H$295,Assumptions!$H$297,Assumptions!$H$300)*12)&gt;AJ$3),1,0)</f>
        <v>0</v>
      </c>
      <c r="AK953">
        <f>+IF(AND(SUM(AK952:$BY952)=0,EDATE(Assumptions!$H$294,SUM(Assumptions!$H$295,Assumptions!$H$297,Assumptions!$H$300)*12)&gt;AK$3),1,0)</f>
        <v>0</v>
      </c>
      <c r="AL953">
        <f>+IF(AND(SUM(AL952:$BY952)=0,EDATE(Assumptions!$H$294,SUM(Assumptions!$H$295,Assumptions!$H$297,Assumptions!$H$300)*12)&gt;AL$3),1,0)</f>
        <v>0</v>
      </c>
      <c r="AM953">
        <f>+IF(AND(SUM(AM952:$BY952)=0,EDATE(Assumptions!$H$294,SUM(Assumptions!$H$295,Assumptions!$H$297,Assumptions!$H$300)*12)&gt;AM$3),1,0)</f>
        <v>0</v>
      </c>
      <c r="AN953">
        <f>+IF(AND(SUM(AN952:$BY952)=0,EDATE(Assumptions!$H$294,SUM(Assumptions!$H$295,Assumptions!$H$297,Assumptions!$H$300)*12)&gt;AN$3),1,0)</f>
        <v>0</v>
      </c>
      <c r="AO953">
        <f>+IF(AND(SUM(AO952:$BY952)=0,EDATE(Assumptions!$H$294,SUM(Assumptions!$H$295,Assumptions!$H$297,Assumptions!$H$300)*12)&gt;AO$3),1,0)</f>
        <v>0</v>
      </c>
      <c r="AP953">
        <f>+IF(AND(SUM(AP952:$BY952)=0,EDATE(Assumptions!$H$294,SUM(Assumptions!$H$295,Assumptions!$H$297,Assumptions!$H$300)*12)&gt;AP$3),1,0)</f>
        <v>0</v>
      </c>
      <c r="AQ953">
        <f>+IF(AND(SUM(AQ952:$BY952)=0,EDATE(Assumptions!$H$294,SUM(Assumptions!$H$295,Assumptions!$H$297,Assumptions!$H$300)*12)&gt;AQ$3),1,0)</f>
        <v>0</v>
      </c>
      <c r="AR953">
        <f>+IF(AND(SUM(AR952:$BY952)=0,EDATE(Assumptions!$H$294,SUM(Assumptions!$H$295,Assumptions!$H$297,Assumptions!$H$300)*12)&gt;AR$3),1,0)</f>
        <v>0</v>
      </c>
      <c r="AS953">
        <f>+IF(AND(SUM(AS952:$BY952)=0,EDATE(Assumptions!$H$294,SUM(Assumptions!$H$295,Assumptions!$H$297,Assumptions!$H$300)*12)&gt;AS$3),1,0)</f>
        <v>0</v>
      </c>
      <c r="AT953">
        <f>+IF(AND(SUM(AT952:$BY952)=0,EDATE(Assumptions!$H$294,SUM(Assumptions!$H$295,Assumptions!$H$297,Assumptions!$H$300)*12)&gt;AT$3),1,0)</f>
        <v>0</v>
      </c>
      <c r="AU953">
        <f>+IF(AND(SUM(AU952:$BY952)=0,EDATE(Assumptions!$H$294,SUM(Assumptions!$H$295,Assumptions!$H$297,Assumptions!$H$300)*12)&gt;AU$3),1,0)</f>
        <v>0</v>
      </c>
      <c r="AV953">
        <f>+IF(AND(SUM(AV952:$BY952)=0,EDATE(Assumptions!$H$294,SUM(Assumptions!$H$295,Assumptions!$H$297,Assumptions!$H$300)*12)&gt;AV$3),1,0)</f>
        <v>0</v>
      </c>
      <c r="AW953">
        <f>+IF(AND(SUM(AW952:$BY952)=0,EDATE(Assumptions!$H$294,SUM(Assumptions!$H$295,Assumptions!$H$297,Assumptions!$H$300)*12)&gt;AW$3),1,0)</f>
        <v>0</v>
      </c>
      <c r="AX953">
        <f>+IF(AND(SUM(AX952:$BY952)=0,EDATE(Assumptions!$H$294,SUM(Assumptions!$H$295,Assumptions!$H$297,Assumptions!$H$300)*12)&gt;AX$3),1,0)</f>
        <v>0</v>
      </c>
      <c r="AY953">
        <f>+IF(AND(SUM(AY952:$BY952)=0,EDATE(Assumptions!$H$294,SUM(Assumptions!$H$295,Assumptions!$H$297,Assumptions!$H$300)*12)&gt;AY$3),1,0)</f>
        <v>0</v>
      </c>
      <c r="AZ953">
        <f>+IF(AND(SUM(AZ952:$BY952)=0,EDATE(Assumptions!$H$294,SUM(Assumptions!$H$295,Assumptions!$H$297,Assumptions!$H$300)*12)&gt;AZ$3),1,0)</f>
        <v>0</v>
      </c>
      <c r="BA953">
        <f>+IF(AND(SUM(BA952:$BY952)=0,EDATE(Assumptions!$H$294,SUM(Assumptions!$H$295,Assumptions!$H$297,Assumptions!$H$300)*12)&gt;BA$3),1,0)</f>
        <v>0</v>
      </c>
      <c r="BB953">
        <f>+IF(AND(SUM(BB952:$BY952)=0,EDATE(Assumptions!$H$294,SUM(Assumptions!$H$295,Assumptions!$H$297,Assumptions!$H$300)*12)&gt;BB$3),1,0)</f>
        <v>0</v>
      </c>
      <c r="BC953">
        <f>+IF(AND(SUM(BC952:$BY952)=0,EDATE(Assumptions!$H$294,SUM(Assumptions!$H$295,Assumptions!$H$297,Assumptions!$H$300)*12)&gt;BC$3),1,0)</f>
        <v>0</v>
      </c>
      <c r="BD953">
        <f>+IF(AND(SUM(BD952:$BY952)=0,EDATE(Assumptions!$H$294,SUM(Assumptions!$H$295,Assumptions!$H$297,Assumptions!$H$300)*12)&gt;BD$3),1,0)</f>
        <v>0</v>
      </c>
      <c r="BE953">
        <f>+IF(AND(SUM(BE952:$BY952)=0,EDATE(Assumptions!$H$294,SUM(Assumptions!$H$295,Assumptions!$H$297,Assumptions!$H$300)*12)&gt;BE$3),1,0)</f>
        <v>0</v>
      </c>
      <c r="BF953">
        <f>+IF(AND(SUM(BF952:$BY952)=0,EDATE(Assumptions!$H$294,SUM(Assumptions!$H$295,Assumptions!$H$297,Assumptions!$H$300)*12)&gt;BF$3),1,0)</f>
        <v>0</v>
      </c>
      <c r="BG953">
        <f>+IF(AND(SUM(BG952:$BY952)=0,EDATE(Assumptions!$H$294,SUM(Assumptions!$H$295,Assumptions!$H$297,Assumptions!$H$300)*12)&gt;BG$3),1,0)</f>
        <v>0</v>
      </c>
      <c r="BH953">
        <f>+IF(AND(SUM(BH952:$BY952)=0,EDATE(Assumptions!$H$294,SUM(Assumptions!$H$295,Assumptions!$H$297,Assumptions!$H$300)*12)&gt;BH$3),1,0)</f>
        <v>0</v>
      </c>
      <c r="BI953">
        <f>+IF(AND(SUM(BI952:$BY952)=0,EDATE(Assumptions!$H$294,SUM(Assumptions!$H$295,Assumptions!$H$297,Assumptions!$H$300)*12)&gt;BI$3),1,0)</f>
        <v>0</v>
      </c>
      <c r="BJ953">
        <f>+IF(AND(SUM(BJ952:$BY952)=0,EDATE(Assumptions!$H$294,SUM(Assumptions!$H$295,Assumptions!$H$297,Assumptions!$H$300)*12)&gt;BJ$3),1,0)</f>
        <v>0</v>
      </c>
      <c r="BK953">
        <f>+IF(AND(SUM(BK952:$BY952)=0,EDATE(Assumptions!$H$294,SUM(Assumptions!$H$295,Assumptions!$H$297,Assumptions!$H$300)*12)&gt;BK$3),1,0)</f>
        <v>0</v>
      </c>
      <c r="BL953">
        <f>+IF(AND(SUM(BL952:$BY952)=0,EDATE(Assumptions!$H$294,SUM(Assumptions!$H$295,Assumptions!$H$297,Assumptions!$H$300)*12)&gt;BL$3),1,0)</f>
        <v>0</v>
      </c>
      <c r="BM953">
        <f>+IF(AND(SUM(BM952:$BY952)=0,EDATE(Assumptions!$H$294,SUM(Assumptions!$H$295,Assumptions!$H$297,Assumptions!$H$300)*12)&gt;BM$3),1,0)</f>
        <v>0</v>
      </c>
      <c r="BN953">
        <f>+IF(AND(SUM(BN952:$BY952)=0,EDATE(Assumptions!$H$294,SUM(Assumptions!$H$295,Assumptions!$H$297,Assumptions!$H$300)*12)&gt;BN$3),1,0)</f>
        <v>0</v>
      </c>
      <c r="BO953">
        <f>+IF(AND(SUM(BO952:$BY952)=0,EDATE(Assumptions!$H$294,SUM(Assumptions!$H$295,Assumptions!$H$297,Assumptions!$H$300)*12)&gt;BO$3),1,0)</f>
        <v>0</v>
      </c>
      <c r="BP953">
        <f>+IF(AND(SUM(BP952:$BY952)=0,EDATE(Assumptions!$H$294,SUM(Assumptions!$H$295,Assumptions!$H$297,Assumptions!$H$300)*12)&gt;BP$3),1,0)</f>
        <v>0</v>
      </c>
      <c r="BQ953">
        <f>+IF(AND(SUM(BQ952:$BY952)=0,EDATE(Assumptions!$H$294,SUM(Assumptions!$H$295,Assumptions!$H$297,Assumptions!$H$300)*12)&gt;BQ$3),1,0)</f>
        <v>0</v>
      </c>
      <c r="BR953">
        <f>+IF(AND(SUM(BR952:$BY952)=0,EDATE(Assumptions!$H$294,SUM(Assumptions!$H$295,Assumptions!$H$297,Assumptions!$H$300)*12)&gt;BR$3),1,0)</f>
        <v>0</v>
      </c>
      <c r="BS953">
        <f>+IF(AND(SUM(BS952:$BY952)=0,EDATE(Assumptions!$H$294,SUM(Assumptions!$H$295,Assumptions!$H$297,Assumptions!$H$300)*12)&gt;BS$3),1,0)</f>
        <v>0</v>
      </c>
      <c r="BT953">
        <f>+IF(AND(SUM(BT952:$BY952)=0,EDATE(Assumptions!$H$294,SUM(Assumptions!$H$295,Assumptions!$H$297,Assumptions!$H$300)*12)&gt;BT$3),1,0)</f>
        <v>0</v>
      </c>
      <c r="BU953">
        <f>+IF(AND(SUM(BU952:$BY952)=0,EDATE(Assumptions!$H$294,SUM(Assumptions!$H$295,Assumptions!$H$297,Assumptions!$H$300)*12)&gt;BU$3),1,0)</f>
        <v>0</v>
      </c>
      <c r="BV953">
        <f>+IF(AND(SUM(BV952:$BY952)=0,EDATE(Assumptions!$H$294,SUM(Assumptions!$H$295,Assumptions!$H$297,Assumptions!$H$300)*12)&gt;BV$3),1,0)</f>
        <v>0</v>
      </c>
      <c r="BW953">
        <f>+IF(AND(SUM(BW952:$BY952)=0,EDATE(Assumptions!$H$294,SUM(Assumptions!$H$295,Assumptions!$H$297,Assumptions!$H$300)*12)&gt;BW$3),1,0)</f>
        <v>0</v>
      </c>
      <c r="BX953">
        <f>+IF(AND(SUM(BX952:$BY952)=0,EDATE(Assumptions!$H$294,SUM(Assumptions!$H$295,Assumptions!$H$297,Assumptions!$H$300)*12)&gt;BX$3),1,0)</f>
        <v>0</v>
      </c>
      <c r="BY953">
        <f>+IF(AND(SUM(BY952:$BY952)=0,EDATE(Assumptions!$H$294,SUM(Assumptions!$H$295,Assumptions!$H$297,Assumptions!$H$300)*12)&gt;BY$3),1,0)</f>
        <v>0</v>
      </c>
    </row>
    <row r="954" spans="1:77" outlineLevel="1">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row>
    <row r="955" spans="1:77" s="19" customFormat="1" outlineLevel="1">
      <c r="A955"/>
      <c r="B955" s="18" t="s">
        <v>309</v>
      </c>
    </row>
    <row r="956" spans="1:77" outlineLevel="1">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row>
    <row r="957" spans="1:77" ht="15" outlineLevel="1">
      <c r="C957" s="74" t="s">
        <v>489</v>
      </c>
      <c r="E957" s="22" t="s">
        <v>446</v>
      </c>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row>
    <row r="958" spans="1:77" ht="15" outlineLevel="1">
      <c r="C958" s="74"/>
      <c r="E958" t="s">
        <v>197</v>
      </c>
      <c r="F958" s="80" t="str">
        <f>+Assumptions!$G$8</f>
        <v>USD</v>
      </c>
      <c r="H958">
        <f>IFERROR((1+Sensitivity_tables!$N$23)*IF(AND(H951=1,Assumptions!$H$304="Detailed",Assumptions!$H$303="yes"),-Assumptions_Detailed!H$187,IF(H951=1,-Assumptions!$H$306/SUM($H$951:$BY$951)*H948,0)),0)</f>
        <v>0</v>
      </c>
      <c r="I958">
        <f>IFERROR((1+Sensitivity_tables!$N$23)*IF(AND(I951=1,Assumptions!$H$304="Detailed",Assumptions!$H$303="yes"),-Assumptions_Detailed!I$187,IF(I951=1,-Assumptions!$H$306/SUM($H$951:$BY$951)*I948,0)),0)</f>
        <v>0</v>
      </c>
      <c r="J958">
        <f>IFERROR((1+Sensitivity_tables!$N$23)*IF(AND(J951=1,Assumptions!$H$304="Detailed",Assumptions!$H$303="yes"),-Assumptions_Detailed!J$187,IF(J951=1,-Assumptions!$H$306/SUM($H$951:$BY$951)*J948,0)),0)</f>
        <v>0</v>
      </c>
      <c r="K958">
        <f>IFERROR((1+Sensitivity_tables!$N$23)*IF(AND(K951=1,Assumptions!$H$304="Detailed",Assumptions!$H$303="yes"),-Assumptions_Detailed!K$187,IF(K951=1,-Assumptions!$H$306/SUM($H$951:$BY$951)*K948,0)),0)</f>
        <v>0</v>
      </c>
      <c r="L958">
        <f>IFERROR((1+Sensitivity_tables!$N$23)*IF(AND(L951=1,Assumptions!$H$304="Detailed",Assumptions!$H$303="yes"),-Assumptions_Detailed!L$187,IF(L951=1,-Assumptions!$H$306/SUM($H$951:$BY$951)*L948,0)),0)</f>
        <v>0</v>
      </c>
      <c r="M958">
        <f>IFERROR((1+Sensitivity_tables!$N$23)*IF(AND(M951=1,Assumptions!$H$304="Detailed",Assumptions!$H$303="yes"),-Assumptions_Detailed!M$187,IF(M951=1,-Assumptions!$H$306/SUM($H$951:$BY$951)*M948,0)),0)</f>
        <v>0</v>
      </c>
      <c r="N958">
        <f>IFERROR((1+Sensitivity_tables!$N$23)*IF(AND(N951=1,Assumptions!$H$304="Detailed",Assumptions!$H$303="yes"),-Assumptions_Detailed!N$187,IF(N951=1,-Assumptions!$H$306/SUM($H$951:$BY$951)*N948,0)),0)</f>
        <v>0</v>
      </c>
      <c r="O958">
        <f>IFERROR((1+Sensitivity_tables!$N$23)*IF(AND(O951=1,Assumptions!$H$304="Detailed",Assumptions!$H$303="yes"),-Assumptions_Detailed!O$187,IF(O951=1,-Assumptions!$H$306/SUM($H$951:$BY$951)*O948,0)),0)</f>
        <v>0</v>
      </c>
      <c r="P958">
        <f>IFERROR((1+Sensitivity_tables!$N$23)*IF(AND(P951=1,Assumptions!$H$304="Detailed",Assumptions!$H$303="yes"),-Assumptions_Detailed!P$187,IF(P951=1,-Assumptions!$H$306/SUM($H$951:$BY$951)*P948,0)),0)</f>
        <v>0</v>
      </c>
      <c r="Q958">
        <f>IFERROR((1+Sensitivity_tables!$N$23)*IF(AND(Q951=1,Assumptions!$H$304="Detailed",Assumptions!$H$303="yes"),-Assumptions_Detailed!Q$187,IF(Q951=1,-Assumptions!$H$306/SUM($H$951:$BY$951)*Q948,0)),0)</f>
        <v>0</v>
      </c>
      <c r="R958">
        <f>IFERROR((1+Sensitivity_tables!$N$23)*IF(AND(R951=1,Assumptions!$H$304="Detailed",Assumptions!$H$303="yes"),-Assumptions_Detailed!R$187,IF(R951=1,-Assumptions!$H$306/SUM($H$951:$BY$951)*R948,0)),0)</f>
        <v>0</v>
      </c>
      <c r="S958">
        <f>IFERROR((1+Sensitivity_tables!$N$23)*IF(AND(S951=1,Assumptions!$H$304="Detailed",Assumptions!$H$303="yes"),-Assumptions_Detailed!S$187,IF(S951=1,-Assumptions!$H$306/SUM($H$951:$BY$951)*S948,0)),0)</f>
        <v>0</v>
      </c>
      <c r="T958">
        <f>IFERROR((1+Sensitivity_tables!$N$23)*IF(AND(T951=1,Assumptions!$H$304="Detailed",Assumptions!$H$303="yes"),-Assumptions_Detailed!T$187,IF(T951=1,-Assumptions!$H$306/SUM($H$951:$BY$951)*T948,0)),0)</f>
        <v>0</v>
      </c>
      <c r="U958">
        <f>IFERROR((1+Sensitivity_tables!$N$23)*IF(AND(U951=1,Assumptions!$H$304="Detailed",Assumptions!$H$303="yes"),-Assumptions_Detailed!U$187,IF(U951=1,-Assumptions!$H$306/SUM($H$951:$BY$951)*U948,0)),0)</f>
        <v>0</v>
      </c>
      <c r="V958">
        <f>IFERROR((1+Sensitivity_tables!$N$23)*IF(AND(V951=1,Assumptions!$H$304="Detailed",Assumptions!$H$303="yes"),-Assumptions_Detailed!V$187,IF(V951=1,-Assumptions!$H$306/SUM($H$951:$BY$951)*V948,0)),0)</f>
        <v>0</v>
      </c>
      <c r="W958">
        <f>IFERROR((1+Sensitivity_tables!$N$23)*IF(AND(W951=1,Assumptions!$H$304="Detailed",Assumptions!$H$303="yes"),-Assumptions_Detailed!W$187,IF(W951=1,-Assumptions!$H$306/SUM($H$951:$BY$951)*W948,0)),0)</f>
        <v>0</v>
      </c>
      <c r="X958">
        <f>IFERROR((1+Sensitivity_tables!$N$23)*IF(AND(X951=1,Assumptions!$H$304="Detailed",Assumptions!$H$303="yes"),-Assumptions_Detailed!X$187,IF(X951=1,-Assumptions!$H$306/SUM($H$951:$BY$951)*X948,0)),0)</f>
        <v>0</v>
      </c>
      <c r="Y958">
        <f>IFERROR((1+Sensitivity_tables!$N$23)*IF(AND(Y951=1,Assumptions!$H$304="Detailed",Assumptions!$H$303="yes"),-Assumptions_Detailed!Y$187,IF(Y951=1,-Assumptions!$H$306/SUM($H$951:$BY$951)*Y948,0)),0)</f>
        <v>0</v>
      </c>
      <c r="Z958">
        <f>IFERROR((1+Sensitivity_tables!$N$23)*IF(AND(Z951=1,Assumptions!$H$304="Detailed",Assumptions!$H$303="yes"),-Assumptions_Detailed!Z$187,IF(Z951=1,-Assumptions!$H$306/SUM($H$951:$BY$951)*Z948,0)),0)</f>
        <v>0</v>
      </c>
      <c r="AA958">
        <f>IFERROR((1+Sensitivity_tables!$N$23)*IF(AND(AA951=1,Assumptions!$H$304="Detailed",Assumptions!$H$303="yes"),-Assumptions_Detailed!AA$187,IF(AA951=1,-Assumptions!$H$306/SUM($H$951:$BY$951)*AA948,0)),0)</f>
        <v>0</v>
      </c>
      <c r="AB958">
        <f>IFERROR((1+Sensitivity_tables!$N$23)*IF(AND(AB951=1,Assumptions!$H$304="Detailed",Assumptions!$H$303="yes"),-Assumptions_Detailed!AB$187,IF(AB951=1,-Assumptions!$H$306/SUM($H$951:$BY$951)*AB948,0)),0)</f>
        <v>0</v>
      </c>
      <c r="AC958">
        <f>IFERROR((1+Sensitivity_tables!$N$23)*IF(AND(AC951=1,Assumptions!$H$304="Detailed",Assumptions!$H$303="yes"),-Assumptions_Detailed!AC$187,IF(AC951=1,-Assumptions!$H$306/SUM($H$951:$BY$951)*AC948,0)),0)</f>
        <v>0</v>
      </c>
      <c r="AD958">
        <f>IFERROR((1+Sensitivity_tables!$N$23)*IF(AND(AD951=1,Assumptions!$H$304="Detailed",Assumptions!$H$303="yes"),-Assumptions_Detailed!AD$187,IF(AD951=1,-Assumptions!$H$306/SUM($H$951:$BY$951)*AD948,0)),0)</f>
        <v>0</v>
      </c>
      <c r="AE958">
        <f>IFERROR((1+Sensitivity_tables!$N$23)*IF(AND(AE951=1,Assumptions!$H$304="Detailed",Assumptions!$H$303="yes"),-Assumptions_Detailed!AE$187,IF(AE951=1,-Assumptions!$H$306/SUM($H$951:$BY$951)*AE948,0)),0)</f>
        <v>0</v>
      </c>
      <c r="AF958">
        <f>IFERROR((1+Sensitivity_tables!$N$23)*IF(AND(AF951=1,Assumptions!$H$304="Detailed",Assumptions!$H$303="yes"),-Assumptions_Detailed!AF$187,IF(AF951=1,-Assumptions!$H$306/SUM($H$951:$BY$951)*AF948,0)),0)</f>
        <v>0</v>
      </c>
      <c r="AG958">
        <f>IFERROR((1+Sensitivity_tables!$N$23)*IF(AND(AG951=1,Assumptions!$H$304="Detailed",Assumptions!$H$303="yes"),-Assumptions_Detailed!AG$187,IF(AG951=1,-Assumptions!$H$306/SUM($H$951:$BY$951)*AG948,0)),0)</f>
        <v>0</v>
      </c>
      <c r="AH958">
        <f>IFERROR((1+Sensitivity_tables!$N$23)*IF(AND(AH951=1,Assumptions!$H$304="Detailed",Assumptions!$H$303="yes"),-Assumptions_Detailed!AH$187,IF(AH951=1,-Assumptions!$H$306/SUM($H$951:$BY$951)*AH948,0)),0)</f>
        <v>0</v>
      </c>
      <c r="AI958">
        <f>IFERROR((1+Sensitivity_tables!$N$23)*IF(AND(AI951=1,Assumptions!$H$304="Detailed",Assumptions!$H$303="yes"),-Assumptions_Detailed!AI$187,IF(AI951=1,-Assumptions!$H$306/SUM($H$951:$BY$951)*AI948,0)),0)</f>
        <v>0</v>
      </c>
      <c r="AJ958">
        <f>IFERROR((1+Sensitivity_tables!$N$23)*IF(AND(AJ951=1,Assumptions!$H$304="Detailed",Assumptions!$H$303="yes"),-Assumptions_Detailed!AJ$187,IF(AJ951=1,-Assumptions!$H$306/SUM($H$951:$BY$951)*AJ948,0)),0)</f>
        <v>0</v>
      </c>
      <c r="AK958">
        <f>IFERROR((1+Sensitivity_tables!$N$23)*IF(AND(AK951=1,Assumptions!$H$304="Detailed",Assumptions!$H$303="yes"),-Assumptions_Detailed!AK$187,IF(AK951=1,-Assumptions!$H$306/SUM($H$951:$BY$951)*AK948,0)),0)</f>
        <v>0</v>
      </c>
      <c r="AL958">
        <f>IFERROR((1+Sensitivity_tables!$N$23)*IF(AND(AL951=1,Assumptions!$H$304="Detailed",Assumptions!$H$303="yes"),-Assumptions_Detailed!AL$187,IF(AL951=1,-Assumptions!$H$306/SUM($H$951:$BY$951)*AL948,0)),0)</f>
        <v>0</v>
      </c>
      <c r="AM958">
        <f>IFERROR((1+Sensitivity_tables!$N$23)*IF(AND(AM951=1,Assumptions!$H$304="Detailed",Assumptions!$H$303="yes"),-Assumptions_Detailed!AM$187,IF(AM951=1,-Assumptions!$H$306/SUM($H$951:$BY$951)*AM948,0)),0)</f>
        <v>0</v>
      </c>
      <c r="AN958">
        <f>IFERROR((1+Sensitivity_tables!$N$23)*IF(AND(AN951=1,Assumptions!$H$304="Detailed",Assumptions!$H$303="yes"),-Assumptions_Detailed!AN$187,IF(AN951=1,-Assumptions!$H$306/SUM($H$951:$BY$951)*AN948,0)),0)</f>
        <v>0</v>
      </c>
      <c r="AO958">
        <f>IFERROR((1+Sensitivity_tables!$N$23)*IF(AND(AO951=1,Assumptions!$H$304="Detailed",Assumptions!$H$303="yes"),-Assumptions_Detailed!AO$187,IF(AO951=1,-Assumptions!$H$306/SUM($H$951:$BY$951)*AO948,0)),0)</f>
        <v>0</v>
      </c>
      <c r="AP958">
        <f>IFERROR((1+Sensitivity_tables!$N$23)*IF(AND(AP951=1,Assumptions!$H$304="Detailed",Assumptions!$H$303="yes"),-Assumptions_Detailed!AP$187,IF(AP951=1,-Assumptions!$H$306/SUM($H$951:$BY$951)*AP948,0)),0)</f>
        <v>0</v>
      </c>
      <c r="AQ958">
        <f>IFERROR((1+Sensitivity_tables!$N$23)*IF(AND(AQ951=1,Assumptions!$H$304="Detailed",Assumptions!$H$303="yes"),-Assumptions_Detailed!AQ$187,IF(AQ951=1,-Assumptions!$H$306/SUM($H$951:$BY$951)*AQ948,0)),0)</f>
        <v>0</v>
      </c>
      <c r="AR958">
        <f>IFERROR((1+Sensitivity_tables!$N$23)*IF(AND(AR951=1,Assumptions!$H$304="Detailed",Assumptions!$H$303="yes"),-Assumptions_Detailed!AR$187,IF(AR951=1,-Assumptions!$H$306/SUM($H$951:$BY$951)*AR948,0)),0)</f>
        <v>0</v>
      </c>
      <c r="AS958">
        <f>IFERROR((1+Sensitivity_tables!$N$23)*IF(AND(AS951=1,Assumptions!$H$304="Detailed",Assumptions!$H$303="yes"),-Assumptions_Detailed!AS$187,IF(AS951=1,-Assumptions!$H$306/SUM($H$951:$BY$951)*AS948,0)),0)</f>
        <v>0</v>
      </c>
      <c r="AT958">
        <f>IFERROR((1+Sensitivity_tables!$N$23)*IF(AND(AT951=1,Assumptions!$H$304="Detailed",Assumptions!$H$303="yes"),-Assumptions_Detailed!AT$187,IF(AT951=1,-Assumptions!$H$306/SUM($H$951:$BY$951)*AT948,0)),0)</f>
        <v>0</v>
      </c>
      <c r="AU958">
        <f>IFERROR((1+Sensitivity_tables!$N$23)*IF(AND(AU951=1,Assumptions!$H$304="Detailed",Assumptions!$H$303="yes"),-Assumptions_Detailed!AU$187,IF(AU951=1,-Assumptions!$H$306/SUM($H$951:$BY$951)*AU948,0)),0)</f>
        <v>0</v>
      </c>
      <c r="AV958">
        <f>IFERROR((1+Sensitivity_tables!$N$23)*IF(AND(AV951=1,Assumptions!$H$304="Detailed",Assumptions!$H$303="yes"),-Assumptions_Detailed!AV$187,IF(AV951=1,-Assumptions!$H$306/SUM($H$951:$BY$951)*AV948,0)),0)</f>
        <v>0</v>
      </c>
      <c r="AW958">
        <f>IFERROR((1+Sensitivity_tables!$N$23)*IF(AND(AW951=1,Assumptions!$H$304="Detailed",Assumptions!$H$303="yes"),-Assumptions_Detailed!AW$187,IF(AW951=1,-Assumptions!$H$306/SUM($H$951:$BY$951)*AW948,0)),0)</f>
        <v>0</v>
      </c>
      <c r="AX958">
        <f>IFERROR((1+Sensitivity_tables!$N$23)*IF(AND(AX951=1,Assumptions!$H$304="Detailed",Assumptions!$H$303="yes"),-Assumptions_Detailed!AX$187,IF(AX951=1,-Assumptions!$H$306/SUM($H$951:$BY$951)*AX948,0)),0)</f>
        <v>0</v>
      </c>
      <c r="AY958">
        <f>IFERROR((1+Sensitivity_tables!$N$23)*IF(AND(AY951=1,Assumptions!$H$304="Detailed",Assumptions!$H$303="yes"),-Assumptions_Detailed!AY$187,IF(AY951=1,-Assumptions!$H$306/SUM($H$951:$BY$951)*AY948,0)),0)</f>
        <v>0</v>
      </c>
      <c r="AZ958">
        <f>IFERROR((1+Sensitivity_tables!$N$23)*IF(AND(AZ951=1,Assumptions!$H$304="Detailed",Assumptions!$H$303="yes"),-Assumptions_Detailed!AZ$187,IF(AZ951=1,-Assumptions!$H$306/SUM($H$951:$BY$951)*AZ948,0)),0)</f>
        <v>0</v>
      </c>
      <c r="BA958">
        <f>IFERROR((1+Sensitivity_tables!$N$23)*IF(AND(BA951=1,Assumptions!$H$304="Detailed",Assumptions!$H$303="yes"),-Assumptions_Detailed!BA$187,IF(BA951=1,-Assumptions!$H$306/SUM($H$951:$BY$951)*BA948,0)),0)</f>
        <v>0</v>
      </c>
      <c r="BB958">
        <f>IFERROR((1+Sensitivity_tables!$N$23)*IF(AND(BB951=1,Assumptions!$H$304="Detailed",Assumptions!$H$303="yes"),-Assumptions_Detailed!BB$187,IF(BB951=1,-Assumptions!$H$306/SUM($H$951:$BY$951)*BB948,0)),0)</f>
        <v>0</v>
      </c>
      <c r="BC958">
        <f>IFERROR((1+Sensitivity_tables!$N$23)*IF(AND(BC951=1,Assumptions!$H$304="Detailed",Assumptions!$H$303="yes"),-Assumptions_Detailed!BC$187,IF(BC951=1,-Assumptions!$H$306/SUM($H$951:$BY$951)*BC948,0)),0)</f>
        <v>0</v>
      </c>
      <c r="BD958">
        <f>IFERROR((1+Sensitivity_tables!$N$23)*IF(AND(BD951=1,Assumptions!$H$304="Detailed",Assumptions!$H$303="yes"),-Assumptions_Detailed!BD$187,IF(BD951=1,-Assumptions!$H$306/SUM($H$951:$BY$951)*BD948,0)),0)</f>
        <v>0</v>
      </c>
      <c r="BE958">
        <f>IFERROR((1+Sensitivity_tables!$N$23)*IF(AND(BE951=1,Assumptions!$H$304="Detailed",Assumptions!$H$303="yes"),-Assumptions_Detailed!BE$187,IF(BE951=1,-Assumptions!$H$306/SUM($H$951:$BY$951)*BE948,0)),0)</f>
        <v>0</v>
      </c>
      <c r="BF958">
        <f>IFERROR((1+Sensitivity_tables!$N$23)*IF(AND(BF951=1,Assumptions!$H$304="Detailed",Assumptions!$H$303="yes"),-Assumptions_Detailed!BF$187,IF(BF951=1,-Assumptions!$H$306/SUM($H$951:$BY$951)*BF948,0)),0)</f>
        <v>0</v>
      </c>
      <c r="BG958">
        <f>IFERROR((1+Sensitivity_tables!$N$23)*IF(AND(BG951=1,Assumptions!$H$304="Detailed",Assumptions!$H$303="yes"),-Assumptions_Detailed!BG$187,IF(BG951=1,-Assumptions!$H$306/SUM($H$951:$BY$951)*BG948,0)),0)</f>
        <v>0</v>
      </c>
      <c r="BH958">
        <f>IFERROR((1+Sensitivity_tables!$N$23)*IF(AND(BH951=1,Assumptions!$H$304="Detailed",Assumptions!$H$303="yes"),-Assumptions_Detailed!BH$187,IF(BH951=1,-Assumptions!$H$306/SUM($H$951:$BY$951)*BH948,0)),0)</f>
        <v>0</v>
      </c>
      <c r="BI958">
        <f>IFERROR((1+Sensitivity_tables!$N$23)*IF(AND(BI951=1,Assumptions!$H$304="Detailed",Assumptions!$H$303="yes"),-Assumptions_Detailed!BI$187,IF(BI951=1,-Assumptions!$H$306/SUM($H$951:$BY$951)*BI948,0)),0)</f>
        <v>0</v>
      </c>
      <c r="BJ958">
        <f>IFERROR((1+Sensitivity_tables!$N$23)*IF(AND(BJ951=1,Assumptions!$H$304="Detailed",Assumptions!$H$303="yes"),-Assumptions_Detailed!BJ$187,IF(BJ951=1,-Assumptions!$H$306/SUM($H$951:$BY$951)*BJ948,0)),0)</f>
        <v>0</v>
      </c>
      <c r="BK958">
        <f>IFERROR((1+Sensitivity_tables!$N$23)*IF(AND(BK951=1,Assumptions!$H$304="Detailed",Assumptions!$H$303="yes"),-Assumptions_Detailed!BK$187,IF(BK951=1,-Assumptions!$H$306/SUM($H$951:$BY$951)*BK948,0)),0)</f>
        <v>0</v>
      </c>
      <c r="BL958">
        <f>IFERROR((1+Sensitivity_tables!$N$23)*IF(AND(BL951=1,Assumptions!$H$304="Detailed",Assumptions!$H$303="yes"),-Assumptions_Detailed!BL$187,IF(BL951=1,-Assumptions!$H$306/SUM($H$951:$BY$951)*BL948,0)),0)</f>
        <v>0</v>
      </c>
      <c r="BM958">
        <f>IFERROR((1+Sensitivity_tables!$N$23)*IF(AND(BM951=1,Assumptions!$H$304="Detailed",Assumptions!$H$303="yes"),-Assumptions_Detailed!BM$187,IF(BM951=1,-Assumptions!$H$306/SUM($H$951:$BY$951)*BM948,0)),0)</f>
        <v>0</v>
      </c>
      <c r="BN958">
        <f>IFERROR((1+Sensitivity_tables!$N$23)*IF(AND(BN951=1,Assumptions!$H$304="Detailed",Assumptions!$H$303="yes"),-Assumptions_Detailed!BN$187,IF(BN951=1,-Assumptions!$H$306/SUM($H$951:$BY$951)*BN948,0)),0)</f>
        <v>0</v>
      </c>
      <c r="BO958">
        <f>IFERROR((1+Sensitivity_tables!$N$23)*IF(AND(BO951=1,Assumptions!$H$304="Detailed",Assumptions!$H$303="yes"),-Assumptions_Detailed!BO$187,IF(BO951=1,-Assumptions!$H$306/SUM($H$951:$BY$951)*BO948,0)),0)</f>
        <v>0</v>
      </c>
      <c r="BP958">
        <f>IFERROR((1+Sensitivity_tables!$N$23)*IF(AND(BP951=1,Assumptions!$H$304="Detailed",Assumptions!$H$303="yes"),-Assumptions_Detailed!BP$187,IF(BP951=1,-Assumptions!$H$306/SUM($H$951:$BY$951)*BP948,0)),0)</f>
        <v>0</v>
      </c>
      <c r="BQ958">
        <f>IFERROR((1+Sensitivity_tables!$N$23)*IF(AND(BQ951=1,Assumptions!$H$304="Detailed",Assumptions!$H$303="yes"),-Assumptions_Detailed!BQ$187,IF(BQ951=1,-Assumptions!$H$306/SUM($H$951:$BY$951)*BQ948,0)),0)</f>
        <v>0</v>
      </c>
      <c r="BR958">
        <f>IFERROR((1+Sensitivity_tables!$N$23)*IF(AND(BR951=1,Assumptions!$H$304="Detailed",Assumptions!$H$303="yes"),-Assumptions_Detailed!BR$187,IF(BR951=1,-Assumptions!$H$306/SUM($H$951:$BY$951)*BR948,0)),0)</f>
        <v>0</v>
      </c>
      <c r="BS958">
        <f>IFERROR((1+Sensitivity_tables!$N$23)*IF(AND(BS951=1,Assumptions!$H$304="Detailed",Assumptions!$H$303="yes"),-Assumptions_Detailed!BS$187,IF(BS951=1,-Assumptions!$H$306/SUM($H$951:$BY$951)*BS948,0)),0)</f>
        <v>0</v>
      </c>
      <c r="BT958">
        <f>IFERROR((1+Sensitivity_tables!$N$23)*IF(AND(BT951=1,Assumptions!$H$304="Detailed",Assumptions!$H$303="yes"),-Assumptions_Detailed!BT$187,IF(BT951=1,-Assumptions!$H$306/SUM($H$951:$BY$951)*BT948,0)),0)</f>
        <v>0</v>
      </c>
      <c r="BU958">
        <f>IFERROR((1+Sensitivity_tables!$N$23)*IF(AND(BU951=1,Assumptions!$H$304="Detailed",Assumptions!$H$303="yes"),-Assumptions_Detailed!BU$187,IF(BU951=1,-Assumptions!$H$306/SUM($H$951:$BY$951)*BU948,0)),0)</f>
        <v>0</v>
      </c>
      <c r="BV958">
        <f>IFERROR((1+Sensitivity_tables!$N$23)*IF(AND(BV951=1,Assumptions!$H$304="Detailed",Assumptions!$H$303="yes"),-Assumptions_Detailed!BV$187,IF(BV951=1,-Assumptions!$H$306/SUM($H$951:$BY$951)*BV948,0)),0)</f>
        <v>0</v>
      </c>
      <c r="BW958">
        <f>IFERROR((1+Sensitivity_tables!$N$23)*IF(AND(BW951=1,Assumptions!$H$304="Detailed",Assumptions!$H$303="yes"),-Assumptions_Detailed!BW$187,IF(BW951=1,-Assumptions!$H$306/SUM($H$951:$BY$951)*BW948,0)),0)</f>
        <v>0</v>
      </c>
      <c r="BX958">
        <f>IFERROR((1+Sensitivity_tables!$N$23)*IF(AND(BX951=1,Assumptions!$H$304="Detailed",Assumptions!$H$303="yes"),-Assumptions_Detailed!BX$187,IF(BX951=1,-Assumptions!$H$306/SUM($H$951:$BY$951)*BX948,0)),0)</f>
        <v>0</v>
      </c>
      <c r="BY958">
        <f>IFERROR((1+Sensitivity_tables!$N$23)*IF(AND(BY951=1,Assumptions!$H$304="Detailed",Assumptions!$H$303="yes"),-Assumptions_Detailed!BY$187,IF(BY951=1,-Assumptions!$H$306/SUM($H$951:$BY$951)*BY948,0)),0)</f>
        <v>0</v>
      </c>
    </row>
    <row r="959" spans="1:77" outlineLevel="1">
      <c r="C959" s="76">
        <f>+SUM(H959:BY959)</f>
        <v>-353259288.72000003</v>
      </c>
      <c r="E959" s="25" t="s">
        <v>200</v>
      </c>
      <c r="F959" s="81" t="str">
        <f>+Assumptions!$G$8</f>
        <v>USD</v>
      </c>
      <c r="G959" s="30"/>
      <c r="H959" s="73">
        <f>IFERROR((1+Sensitivity_tables!$N$23)*IF(AND(H952=1,Assumptions!$H$311="Detailed",Assumptions!$H$310="yes"),-Assumptions_Detailed!H$188,IF(H952=1,-SUM(Assumptions!$H$313)/SUM($H952:$BY952)*H$429,0)),0)</f>
        <v>0</v>
      </c>
      <c r="I959" s="73">
        <f>IFERROR((1+Sensitivity_tables!$N$23)*IF(AND(I952=1,Assumptions!$H$311="Detailed",Assumptions!$H$310="yes"),-Assumptions_Detailed!I$188,IF(I952=1,-SUM(Assumptions!$H$313)/SUM($H952:$BY952)*I$429,0)),0)</f>
        <v>-174880836</v>
      </c>
      <c r="J959" s="73">
        <f>IFERROR((1+Sensitivity_tables!$N$23)*IF(AND(J952=1,Assumptions!$H$311="Detailed",Assumptions!$H$310="yes"),-Assumptions_Detailed!J$188,IF(J952=1,-SUM(Assumptions!$H$313)/SUM($H952:$BY952)*J$429,0)),0)</f>
        <v>-178378452.72</v>
      </c>
      <c r="K959" s="73">
        <f>IFERROR((1+Sensitivity_tables!$N$23)*IF(AND(K952=1,Assumptions!$H$311="Detailed",Assumptions!$H$310="yes"),-Assumptions_Detailed!K$188,IF(K952=1,-SUM(Assumptions!$H$313)/SUM($H952:$BY952)*K$429,0)),0)</f>
        <v>0</v>
      </c>
      <c r="L959" s="73">
        <f>IFERROR((1+Sensitivity_tables!$N$23)*IF(AND(L952=1,Assumptions!$H$311="Detailed",Assumptions!$H$310="yes"),-Assumptions_Detailed!L$188,IF(L952=1,-SUM(Assumptions!$H$313)/SUM($H952:$BY952)*L$429,0)),0)</f>
        <v>0</v>
      </c>
      <c r="M959" s="73">
        <f>IFERROR((1+Sensitivity_tables!$N$23)*IF(AND(M952=1,Assumptions!$H$311="Detailed",Assumptions!$H$310="yes"),-Assumptions_Detailed!M$188,IF(M952=1,-SUM(Assumptions!$H$313)/SUM($H952:$BY952)*M$429,0)),0)</f>
        <v>0</v>
      </c>
      <c r="N959" s="73">
        <f>IFERROR((1+Sensitivity_tables!$N$23)*IF(AND(N952=1,Assumptions!$H$311="Detailed",Assumptions!$H$310="yes"),-Assumptions_Detailed!N$188,IF(N952=1,-SUM(Assumptions!$H$313)/SUM($H952:$BY952)*N$429,0)),0)</f>
        <v>0</v>
      </c>
      <c r="O959" s="73">
        <f>IFERROR((1+Sensitivity_tables!$N$23)*IF(AND(O952=1,Assumptions!$H$311="Detailed",Assumptions!$H$310="yes"),-Assumptions_Detailed!O$188,IF(O952=1,-SUM(Assumptions!$H$313)/SUM($H952:$BY952)*O$429,0)),0)</f>
        <v>0</v>
      </c>
      <c r="P959" s="73">
        <f>IFERROR((1+Sensitivity_tables!$N$23)*IF(AND(P952=1,Assumptions!$H$311="Detailed",Assumptions!$H$310="yes"),-Assumptions_Detailed!P$188,IF(P952=1,-SUM(Assumptions!$H$313)/SUM($H952:$BY952)*P$429,0)),0)</f>
        <v>0</v>
      </c>
      <c r="Q959" s="73">
        <f>IFERROR((1+Sensitivity_tables!$N$23)*IF(AND(Q952=1,Assumptions!$H$311="Detailed",Assumptions!$H$310="yes"),-Assumptions_Detailed!Q$188,IF(Q952=1,-SUM(Assumptions!$H$313)/SUM($H952:$BY952)*Q$429,0)),0)</f>
        <v>0</v>
      </c>
      <c r="R959" s="73">
        <f>IFERROR((1+Sensitivity_tables!$N$23)*IF(AND(R952=1,Assumptions!$H$311="Detailed",Assumptions!$H$310="yes"),-Assumptions_Detailed!R$188,IF(R952=1,-SUM(Assumptions!$H$313)/SUM($H952:$BY952)*R$429,0)),0)</f>
        <v>0</v>
      </c>
      <c r="S959" s="73">
        <f>IFERROR((1+Sensitivity_tables!$N$23)*IF(AND(S952=1,Assumptions!$H$311="Detailed",Assumptions!$H$310="yes"),-Assumptions_Detailed!S$188,IF(S952=1,-SUM(Assumptions!$H$313)/SUM($H952:$BY952)*S$429,0)),0)</f>
        <v>0</v>
      </c>
      <c r="T959" s="73">
        <f>IFERROR((1+Sensitivity_tables!$N$23)*IF(AND(T952=1,Assumptions!$H$311="Detailed",Assumptions!$H$310="yes"),-Assumptions_Detailed!T$188,IF(T952=1,-SUM(Assumptions!$H$313)/SUM($H952:$BY952)*T$429,0)),0)</f>
        <v>0</v>
      </c>
      <c r="U959" s="73">
        <f>IFERROR((1+Sensitivity_tables!$N$23)*IF(AND(U952=1,Assumptions!$H$311="Detailed",Assumptions!$H$310="yes"),-Assumptions_Detailed!U$188,IF(U952=1,-SUM(Assumptions!$H$313)/SUM($H952:$BY952)*U$429,0)),0)</f>
        <v>0</v>
      </c>
      <c r="V959" s="73">
        <f>IFERROR((1+Sensitivity_tables!$N$23)*IF(AND(V952=1,Assumptions!$H$311="Detailed",Assumptions!$H$310="yes"),-Assumptions_Detailed!V$188,IF(V952=1,-SUM(Assumptions!$H$313)/SUM($H952:$BY952)*V$429,0)),0)</f>
        <v>0</v>
      </c>
      <c r="W959" s="73">
        <f>IFERROR((1+Sensitivity_tables!$N$23)*IF(AND(W952=1,Assumptions!$H$311="Detailed",Assumptions!$H$310="yes"),-Assumptions_Detailed!W$188,IF(W952=1,-SUM(Assumptions!$H$313)/SUM($H952:$BY952)*W$429,0)),0)</f>
        <v>0</v>
      </c>
      <c r="X959" s="73">
        <f>IFERROR((1+Sensitivity_tables!$N$23)*IF(AND(X952=1,Assumptions!$H$311="Detailed",Assumptions!$H$310="yes"),-Assumptions_Detailed!X$188,IF(X952=1,-SUM(Assumptions!$H$313)/SUM($H952:$BY952)*X$429,0)),0)</f>
        <v>0</v>
      </c>
      <c r="Y959" s="73">
        <f>IFERROR((1+Sensitivity_tables!$N$23)*IF(AND(Y952=1,Assumptions!$H$311="Detailed",Assumptions!$H$310="yes"),-Assumptions_Detailed!Y$188,IF(Y952=1,-SUM(Assumptions!$H$313)/SUM($H952:$BY952)*Y$429,0)),0)</f>
        <v>0</v>
      </c>
      <c r="Z959" s="73">
        <f>IFERROR((1+Sensitivity_tables!$N$23)*IF(AND(Z952=1,Assumptions!$H$311="Detailed",Assumptions!$H$310="yes"),-Assumptions_Detailed!Z$188,IF(Z952=1,-SUM(Assumptions!$H$313)/SUM($H952:$BY952)*Z$429,0)),0)</f>
        <v>0</v>
      </c>
      <c r="AA959" s="73">
        <f>IFERROR((1+Sensitivity_tables!$N$23)*IF(AND(AA952=1,Assumptions!$H$311="Detailed",Assumptions!$H$310="yes"),-Assumptions_Detailed!AA$188,IF(AA952=1,-SUM(Assumptions!$H$313)/SUM($H952:$BY952)*AA$429,0)),0)</f>
        <v>0</v>
      </c>
      <c r="AB959" s="73">
        <f>IFERROR((1+Sensitivity_tables!$N$23)*IF(AND(AB952=1,Assumptions!$H$311="Detailed",Assumptions!$H$310="yes"),-Assumptions_Detailed!AB$188,IF(AB952=1,-SUM(Assumptions!$H$313)/SUM($H952:$BY952)*AB$429,0)),0)</f>
        <v>0</v>
      </c>
      <c r="AC959" s="73">
        <f>IFERROR((1+Sensitivity_tables!$N$23)*IF(AND(AC952=1,Assumptions!$H$311="Detailed",Assumptions!$H$310="yes"),-Assumptions_Detailed!AC$188,IF(AC952=1,-SUM(Assumptions!$H$313)/SUM($H952:$BY952)*AC$429,0)),0)</f>
        <v>0</v>
      </c>
      <c r="AD959" s="73">
        <f>IFERROR((1+Sensitivity_tables!$N$23)*IF(AND(AD952=1,Assumptions!$H$311="Detailed",Assumptions!$H$310="yes"),-Assumptions_Detailed!AD$188,IF(AD952=1,-SUM(Assumptions!$H$313)/SUM($H952:$BY952)*AD$429,0)),0)</f>
        <v>0</v>
      </c>
      <c r="AE959" s="73">
        <f>IFERROR((1+Sensitivity_tables!$N$23)*IF(AND(AE952=1,Assumptions!$H$311="Detailed",Assumptions!$H$310="yes"),-Assumptions_Detailed!AE$188,IF(AE952=1,-SUM(Assumptions!$H$313)/SUM($H952:$BY952)*AE$429,0)),0)</f>
        <v>0</v>
      </c>
      <c r="AF959" s="73">
        <f>IFERROR((1+Sensitivity_tables!$N$23)*IF(AND(AF952=1,Assumptions!$H$311="Detailed",Assumptions!$H$310="yes"),-Assumptions_Detailed!AF$188,IF(AF952=1,-SUM(Assumptions!$H$313)/SUM($H952:$BY952)*AF$429,0)),0)</f>
        <v>0</v>
      </c>
      <c r="AG959" s="73">
        <f>IFERROR((1+Sensitivity_tables!$N$23)*IF(AND(AG952=1,Assumptions!$H$311="Detailed",Assumptions!$H$310="yes"),-Assumptions_Detailed!AG$188,IF(AG952=1,-SUM(Assumptions!$H$313)/SUM($H952:$BY952)*AG$429,0)),0)</f>
        <v>0</v>
      </c>
      <c r="AH959" s="73">
        <f>IFERROR((1+Sensitivity_tables!$N$23)*IF(AND(AH952=1,Assumptions!$H$311="Detailed",Assumptions!$H$310="yes"),-Assumptions_Detailed!AH$188,IF(AH952=1,-SUM(Assumptions!$H$313)/SUM($H952:$BY952)*AH$429,0)),0)</f>
        <v>0</v>
      </c>
      <c r="AI959" s="73">
        <f>IFERROR((1+Sensitivity_tables!$N$23)*IF(AND(AI952=1,Assumptions!$H$311="Detailed",Assumptions!$H$310="yes"),-Assumptions_Detailed!AI$188,IF(AI952=1,-SUM(Assumptions!$H$313)/SUM($H952:$BY952)*AI$429,0)),0)</f>
        <v>0</v>
      </c>
      <c r="AJ959" s="73">
        <f>IFERROR((1+Sensitivity_tables!$N$23)*IF(AND(AJ952=1,Assumptions!$H$311="Detailed",Assumptions!$H$310="yes"),-Assumptions_Detailed!AJ$188,IF(AJ952=1,-SUM(Assumptions!$H$313)/SUM($H952:$BY952)*AJ$429,0)),0)</f>
        <v>0</v>
      </c>
      <c r="AK959" s="73">
        <f>IFERROR((1+Sensitivity_tables!$N$23)*IF(AND(AK952=1,Assumptions!$H$311="Detailed",Assumptions!$H$310="yes"),-Assumptions_Detailed!AK$188,IF(AK952=1,-SUM(Assumptions!$H$313)/SUM($H952:$BY952)*AK$429,0)),0)</f>
        <v>0</v>
      </c>
      <c r="AL959" s="73">
        <f>IFERROR((1+Sensitivity_tables!$N$23)*IF(AND(AL952=1,Assumptions!$H$311="Detailed",Assumptions!$H$310="yes"),-Assumptions_Detailed!AL$188,IF(AL952=1,-SUM(Assumptions!$H$313)/SUM($H952:$BY952)*AL$429,0)),0)</f>
        <v>0</v>
      </c>
      <c r="AM959" s="73">
        <f>IFERROR((1+Sensitivity_tables!$N$23)*IF(AND(AM952=1,Assumptions!$H$311="Detailed",Assumptions!$H$310="yes"),-Assumptions_Detailed!AM$188,IF(AM952=1,-SUM(Assumptions!$H$313)/SUM($H952:$BY952)*AM$429,0)),0)</f>
        <v>0</v>
      </c>
      <c r="AN959" s="73">
        <f>IFERROR((1+Sensitivity_tables!$N$23)*IF(AND(AN952=1,Assumptions!$H$311="Detailed",Assumptions!$H$310="yes"),-Assumptions_Detailed!AN$188,IF(AN952=1,-SUM(Assumptions!$H$313)/SUM($H952:$BY952)*AN$429,0)),0)</f>
        <v>0</v>
      </c>
      <c r="AO959" s="73">
        <f>IFERROR((1+Sensitivity_tables!$N$23)*IF(AND(AO952=1,Assumptions!$H$311="Detailed",Assumptions!$H$310="yes"),-Assumptions_Detailed!AO$188,IF(AO952=1,-SUM(Assumptions!$H$313)/SUM($H952:$BY952)*AO$429,0)),0)</f>
        <v>0</v>
      </c>
      <c r="AP959" s="73">
        <f>IFERROR((1+Sensitivity_tables!$N$23)*IF(AND(AP952=1,Assumptions!$H$311="Detailed",Assumptions!$H$310="yes"),-Assumptions_Detailed!AP$188,IF(AP952=1,-SUM(Assumptions!$H$313)/SUM($H952:$BY952)*AP$429,0)),0)</f>
        <v>0</v>
      </c>
      <c r="AQ959" s="73">
        <f>IFERROR((1+Sensitivity_tables!$N$23)*IF(AND(AQ952=1,Assumptions!$H$311="Detailed",Assumptions!$H$310="yes"),-Assumptions_Detailed!AQ$188,IF(AQ952=1,-SUM(Assumptions!$H$313)/SUM($H952:$BY952)*AQ$429,0)),0)</f>
        <v>0</v>
      </c>
      <c r="AR959" s="73">
        <f>IFERROR((1+Sensitivity_tables!$N$23)*IF(AND(AR952=1,Assumptions!$H$311="Detailed",Assumptions!$H$310="yes"),-Assumptions_Detailed!AR$188,IF(AR952=1,-SUM(Assumptions!$H$313)/SUM($H952:$BY952)*AR$429,0)),0)</f>
        <v>0</v>
      </c>
      <c r="AS959" s="73">
        <f>IFERROR((1+Sensitivity_tables!$N$23)*IF(AND(AS952=1,Assumptions!$H$311="Detailed",Assumptions!$H$310="yes"),-Assumptions_Detailed!AS$188,IF(AS952=1,-SUM(Assumptions!$H$313)/SUM($H952:$BY952)*AS$429,0)),0)</f>
        <v>0</v>
      </c>
      <c r="AT959" s="73">
        <f>IFERROR((1+Sensitivity_tables!$N$23)*IF(AND(AT952=1,Assumptions!$H$311="Detailed",Assumptions!$H$310="yes"),-Assumptions_Detailed!AT$188,IF(AT952=1,-SUM(Assumptions!$H$313)/SUM($H952:$BY952)*AT$429,0)),0)</f>
        <v>0</v>
      </c>
      <c r="AU959" s="73">
        <f>IFERROR((1+Sensitivity_tables!$N$23)*IF(AND(AU952=1,Assumptions!$H$311="Detailed",Assumptions!$H$310="yes"),-Assumptions_Detailed!AU$188,IF(AU952=1,-SUM(Assumptions!$H$313)/SUM($H952:$BY952)*AU$429,0)),0)</f>
        <v>0</v>
      </c>
      <c r="AV959" s="73">
        <f>IFERROR((1+Sensitivity_tables!$N$23)*IF(AND(AV952=1,Assumptions!$H$311="Detailed",Assumptions!$H$310="yes"),-Assumptions_Detailed!AV$188,IF(AV952=1,-SUM(Assumptions!$H$313)/SUM($H952:$BY952)*AV$429,0)),0)</f>
        <v>0</v>
      </c>
      <c r="AW959" s="73">
        <f>IFERROR((1+Sensitivity_tables!$N$23)*IF(AND(AW952=1,Assumptions!$H$311="Detailed",Assumptions!$H$310="yes"),-Assumptions_Detailed!AW$188,IF(AW952=1,-SUM(Assumptions!$H$313)/SUM($H952:$BY952)*AW$429,0)),0)</f>
        <v>0</v>
      </c>
      <c r="AX959" s="73">
        <f>IFERROR((1+Sensitivity_tables!$N$23)*IF(AND(AX952=1,Assumptions!$H$311="Detailed",Assumptions!$H$310="yes"),-Assumptions_Detailed!AX$188,IF(AX952=1,-SUM(Assumptions!$H$313)/SUM($H952:$BY952)*AX$429,0)),0)</f>
        <v>0</v>
      </c>
      <c r="AY959" s="73">
        <f>IFERROR((1+Sensitivity_tables!$N$23)*IF(AND(AY952=1,Assumptions!$H$311="Detailed",Assumptions!$H$310="yes"),-Assumptions_Detailed!AY$188,IF(AY952=1,-SUM(Assumptions!$H$313)/SUM($H952:$BY952)*AY$429,0)),0)</f>
        <v>0</v>
      </c>
      <c r="AZ959" s="73">
        <f>IFERROR((1+Sensitivity_tables!$N$23)*IF(AND(AZ952=1,Assumptions!$H$311="Detailed",Assumptions!$H$310="yes"),-Assumptions_Detailed!AZ$188,IF(AZ952=1,-SUM(Assumptions!$H$313)/SUM($H952:$BY952)*AZ$429,0)),0)</f>
        <v>0</v>
      </c>
      <c r="BA959" s="73">
        <f>IFERROR((1+Sensitivity_tables!$N$23)*IF(AND(BA952=1,Assumptions!$H$311="Detailed",Assumptions!$H$310="yes"),-Assumptions_Detailed!BA$188,IF(BA952=1,-SUM(Assumptions!$H$313)/SUM($H952:$BY952)*BA$429,0)),0)</f>
        <v>0</v>
      </c>
      <c r="BB959" s="73">
        <f>IFERROR((1+Sensitivity_tables!$N$23)*IF(AND(BB952=1,Assumptions!$H$311="Detailed",Assumptions!$H$310="yes"),-Assumptions_Detailed!BB$188,IF(BB952=1,-SUM(Assumptions!$H$313)/SUM($H952:$BY952)*BB$429,0)),0)</f>
        <v>0</v>
      </c>
      <c r="BC959" s="73">
        <f>IFERROR((1+Sensitivity_tables!$N$23)*IF(AND(BC952=1,Assumptions!$H$311="Detailed",Assumptions!$H$310="yes"),-Assumptions_Detailed!BC$188,IF(BC952=1,-SUM(Assumptions!$H$313)/SUM($H952:$BY952)*BC$429,0)),0)</f>
        <v>0</v>
      </c>
      <c r="BD959" s="73">
        <f>IFERROR((1+Sensitivity_tables!$N$23)*IF(AND(BD952=1,Assumptions!$H$311="Detailed",Assumptions!$H$310="yes"),-Assumptions_Detailed!BD$188,IF(BD952=1,-SUM(Assumptions!$H$313)/SUM($H952:$BY952)*BD$429,0)),0)</f>
        <v>0</v>
      </c>
      <c r="BE959" s="73">
        <f>IFERROR((1+Sensitivity_tables!$N$23)*IF(AND(BE952=1,Assumptions!$H$311="Detailed",Assumptions!$H$310="yes"),-Assumptions_Detailed!BE$188,IF(BE952=1,-SUM(Assumptions!$H$313)/SUM($H952:$BY952)*BE$429,0)),0)</f>
        <v>0</v>
      </c>
      <c r="BF959" s="73">
        <f>IFERROR((1+Sensitivity_tables!$N$23)*IF(AND(BF952=1,Assumptions!$H$311="Detailed",Assumptions!$H$310="yes"),-Assumptions_Detailed!BF$188,IF(BF952=1,-SUM(Assumptions!$H$313)/SUM($H952:$BY952)*BF$429,0)),0)</f>
        <v>0</v>
      </c>
      <c r="BG959" s="73">
        <f>IFERROR((1+Sensitivity_tables!$N$23)*IF(AND(BG952=1,Assumptions!$H$311="Detailed",Assumptions!$H$310="yes"),-Assumptions_Detailed!BG$188,IF(BG952=1,-SUM(Assumptions!$H$313)/SUM($H952:$BY952)*BG$429,0)),0)</f>
        <v>0</v>
      </c>
      <c r="BH959" s="73">
        <f>IFERROR((1+Sensitivity_tables!$N$23)*IF(AND(BH952=1,Assumptions!$H$311="Detailed",Assumptions!$H$310="yes"),-Assumptions_Detailed!BH$188,IF(BH952=1,-SUM(Assumptions!$H$313)/SUM($H952:$BY952)*BH$429,0)),0)</f>
        <v>0</v>
      </c>
      <c r="BI959" s="73">
        <f>IFERROR((1+Sensitivity_tables!$N$23)*IF(AND(BI952=1,Assumptions!$H$311="Detailed",Assumptions!$H$310="yes"),-Assumptions_Detailed!BI$188,IF(BI952=1,-SUM(Assumptions!$H$313)/SUM($H952:$BY952)*BI$429,0)),0)</f>
        <v>0</v>
      </c>
      <c r="BJ959" s="73">
        <f>IFERROR((1+Sensitivity_tables!$N$23)*IF(AND(BJ952=1,Assumptions!$H$311="Detailed",Assumptions!$H$310="yes"),-Assumptions_Detailed!BJ$188,IF(BJ952=1,-SUM(Assumptions!$H$313)/SUM($H952:$BY952)*BJ$429,0)),0)</f>
        <v>0</v>
      </c>
      <c r="BK959" s="73">
        <f>IFERROR((1+Sensitivity_tables!$N$23)*IF(AND(BK952=1,Assumptions!$H$311="Detailed",Assumptions!$H$310="yes"),-Assumptions_Detailed!BK$188,IF(BK952=1,-SUM(Assumptions!$H$313)/SUM($H952:$BY952)*BK$429,0)),0)</f>
        <v>0</v>
      </c>
      <c r="BL959" s="73">
        <f>IFERROR((1+Sensitivity_tables!$N$23)*IF(AND(BL952=1,Assumptions!$H$311="Detailed",Assumptions!$H$310="yes"),-Assumptions_Detailed!BL$188,IF(BL952=1,-SUM(Assumptions!$H$313)/SUM($H952:$BY952)*BL$429,0)),0)</f>
        <v>0</v>
      </c>
      <c r="BM959" s="73">
        <f>IFERROR((1+Sensitivity_tables!$N$23)*IF(AND(BM952=1,Assumptions!$H$311="Detailed",Assumptions!$H$310="yes"),-Assumptions_Detailed!BM$188,IF(BM952=1,-SUM(Assumptions!$H$313)/SUM($H952:$BY952)*BM$429,0)),0)</f>
        <v>0</v>
      </c>
      <c r="BN959" s="73">
        <f>IFERROR((1+Sensitivity_tables!$N$23)*IF(AND(BN952=1,Assumptions!$H$311="Detailed",Assumptions!$H$310="yes"),-Assumptions_Detailed!BN$188,IF(BN952=1,-SUM(Assumptions!$H$313)/SUM($H952:$BY952)*BN$429,0)),0)</f>
        <v>0</v>
      </c>
      <c r="BO959" s="73">
        <f>IFERROR((1+Sensitivity_tables!$N$23)*IF(AND(BO952=1,Assumptions!$H$311="Detailed",Assumptions!$H$310="yes"),-Assumptions_Detailed!BO$188,IF(BO952=1,-SUM(Assumptions!$H$313)/SUM($H952:$BY952)*BO$429,0)),0)</f>
        <v>0</v>
      </c>
      <c r="BP959" s="73">
        <f>IFERROR((1+Sensitivity_tables!$N$23)*IF(AND(BP952=1,Assumptions!$H$311="Detailed",Assumptions!$H$310="yes"),-Assumptions_Detailed!BP$188,IF(BP952=1,-SUM(Assumptions!$H$313)/SUM($H952:$BY952)*BP$429,0)),0)</f>
        <v>0</v>
      </c>
      <c r="BQ959" s="73">
        <f>IFERROR((1+Sensitivity_tables!$N$23)*IF(AND(BQ952=1,Assumptions!$H$311="Detailed",Assumptions!$H$310="yes"),-Assumptions_Detailed!BQ$188,IF(BQ952=1,-SUM(Assumptions!$H$313)/SUM($H952:$BY952)*BQ$429,0)),0)</f>
        <v>0</v>
      </c>
      <c r="BR959" s="73">
        <f>IFERROR((1+Sensitivity_tables!$N$23)*IF(AND(BR952=1,Assumptions!$H$311="Detailed",Assumptions!$H$310="yes"),-Assumptions_Detailed!BR$188,IF(BR952=1,-SUM(Assumptions!$H$313)/SUM($H952:$BY952)*BR$429,0)),0)</f>
        <v>0</v>
      </c>
      <c r="BS959" s="73">
        <f>IFERROR((1+Sensitivity_tables!$N$23)*IF(AND(BS952=1,Assumptions!$H$311="Detailed",Assumptions!$H$310="yes"),-Assumptions_Detailed!BS$188,IF(BS952=1,-SUM(Assumptions!$H$313)/SUM($H952:$BY952)*BS$429,0)),0)</f>
        <v>0</v>
      </c>
      <c r="BT959" s="73">
        <f>IFERROR((1+Sensitivity_tables!$N$23)*IF(AND(BT952=1,Assumptions!$H$311="Detailed",Assumptions!$H$310="yes"),-Assumptions_Detailed!BT$188,IF(BT952=1,-SUM(Assumptions!$H$313)/SUM($H952:$BY952)*BT$429,0)),0)</f>
        <v>0</v>
      </c>
      <c r="BU959" s="73">
        <f>IFERROR((1+Sensitivity_tables!$N$23)*IF(AND(BU952=1,Assumptions!$H$311="Detailed",Assumptions!$H$310="yes"),-Assumptions_Detailed!BU$188,IF(BU952=1,-SUM(Assumptions!$H$313)/SUM($H952:$BY952)*BU$429,0)),0)</f>
        <v>0</v>
      </c>
      <c r="BV959" s="73">
        <f>IFERROR((1+Sensitivity_tables!$N$23)*IF(AND(BV952=1,Assumptions!$H$311="Detailed",Assumptions!$H$310="yes"),-Assumptions_Detailed!BV$188,IF(BV952=1,-SUM(Assumptions!$H$313)/SUM($H952:$BY952)*BV$429,0)),0)</f>
        <v>0</v>
      </c>
      <c r="BW959" s="73">
        <f>IFERROR((1+Sensitivity_tables!$N$23)*IF(AND(BW952=1,Assumptions!$H$311="Detailed",Assumptions!$H$310="yes"),-Assumptions_Detailed!BW$188,IF(BW952=1,-SUM(Assumptions!$H$313)/SUM($H952:$BY952)*BW$429,0)),0)</f>
        <v>0</v>
      </c>
      <c r="BX959" s="73">
        <f>IFERROR((1+Sensitivity_tables!$N$23)*IF(AND(BX952=1,Assumptions!$H$311="Detailed",Assumptions!$H$310="yes"),-Assumptions_Detailed!BX$188,IF(BX952=1,-SUM(Assumptions!$H$313)/SUM($H952:$BY952)*BX$429,0)),0)</f>
        <v>0</v>
      </c>
      <c r="BY959" s="73">
        <f>IFERROR((1+Sensitivity_tables!$N$23)*IF(AND(BY952=1,Assumptions!$H$311="Detailed",Assumptions!$H$310="yes"),-Assumptions_Detailed!BY$188,IF(BY952=1,-SUM(Assumptions!$H$313)/SUM($H952:$BY952)*BY$429,0)),0)</f>
        <v>0</v>
      </c>
    </row>
    <row r="960" spans="1:77" outlineLevel="1">
      <c r="E960" t="s">
        <v>207</v>
      </c>
      <c r="F960" s="80" t="str">
        <f>+Assumptions!$G$8</f>
        <v>USD</v>
      </c>
      <c r="G960" s="23"/>
      <c r="H960" s="33">
        <f>+SUM(H958:H959)</f>
        <v>0</v>
      </c>
      <c r="I960" s="33">
        <f t="shared" ref="I960:BT960" si="1956">+SUM(I958:I959)</f>
        <v>-174880836</v>
      </c>
      <c r="J960" s="33">
        <f t="shared" si="1956"/>
        <v>-178378452.72</v>
      </c>
      <c r="K960" s="33">
        <f t="shared" si="1956"/>
        <v>0</v>
      </c>
      <c r="L960" s="33">
        <f t="shared" si="1956"/>
        <v>0</v>
      </c>
      <c r="M960" s="33">
        <f t="shared" si="1956"/>
        <v>0</v>
      </c>
      <c r="N960" s="33">
        <f t="shared" si="1956"/>
        <v>0</v>
      </c>
      <c r="O960" s="33">
        <f t="shared" si="1956"/>
        <v>0</v>
      </c>
      <c r="P960" s="33">
        <f t="shared" si="1956"/>
        <v>0</v>
      </c>
      <c r="Q960" s="33">
        <f t="shared" si="1956"/>
        <v>0</v>
      </c>
      <c r="R960" s="33">
        <f t="shared" si="1956"/>
        <v>0</v>
      </c>
      <c r="S960" s="33">
        <f t="shared" si="1956"/>
        <v>0</v>
      </c>
      <c r="T960" s="33">
        <f t="shared" si="1956"/>
        <v>0</v>
      </c>
      <c r="U960" s="33">
        <f t="shared" si="1956"/>
        <v>0</v>
      </c>
      <c r="V960" s="33">
        <f t="shared" si="1956"/>
        <v>0</v>
      </c>
      <c r="W960" s="33">
        <f t="shared" si="1956"/>
        <v>0</v>
      </c>
      <c r="X960" s="33">
        <f t="shared" si="1956"/>
        <v>0</v>
      </c>
      <c r="Y960" s="33">
        <f t="shared" si="1956"/>
        <v>0</v>
      </c>
      <c r="Z960" s="33">
        <f t="shared" si="1956"/>
        <v>0</v>
      </c>
      <c r="AA960" s="33">
        <f t="shared" si="1956"/>
        <v>0</v>
      </c>
      <c r="AB960" s="33">
        <f t="shared" si="1956"/>
        <v>0</v>
      </c>
      <c r="AC960" s="33">
        <f t="shared" si="1956"/>
        <v>0</v>
      </c>
      <c r="AD960" s="33">
        <f t="shared" si="1956"/>
        <v>0</v>
      </c>
      <c r="AE960" s="33">
        <f t="shared" si="1956"/>
        <v>0</v>
      </c>
      <c r="AF960" s="33">
        <f t="shared" si="1956"/>
        <v>0</v>
      </c>
      <c r="AG960" s="33">
        <f t="shared" si="1956"/>
        <v>0</v>
      </c>
      <c r="AH960" s="33">
        <f t="shared" si="1956"/>
        <v>0</v>
      </c>
      <c r="AI960" s="33">
        <f t="shared" si="1956"/>
        <v>0</v>
      </c>
      <c r="AJ960" s="33">
        <f t="shared" si="1956"/>
        <v>0</v>
      </c>
      <c r="AK960" s="33">
        <f t="shared" si="1956"/>
        <v>0</v>
      </c>
      <c r="AL960" s="33">
        <f t="shared" si="1956"/>
        <v>0</v>
      </c>
      <c r="AM960" s="33">
        <f t="shared" si="1956"/>
        <v>0</v>
      </c>
      <c r="AN960" s="33">
        <f t="shared" si="1956"/>
        <v>0</v>
      </c>
      <c r="AO960" s="33">
        <f t="shared" si="1956"/>
        <v>0</v>
      </c>
      <c r="AP960" s="33">
        <f t="shared" si="1956"/>
        <v>0</v>
      </c>
      <c r="AQ960" s="33">
        <f t="shared" si="1956"/>
        <v>0</v>
      </c>
      <c r="AR960" s="33">
        <f t="shared" si="1956"/>
        <v>0</v>
      </c>
      <c r="AS960" s="33">
        <f t="shared" si="1956"/>
        <v>0</v>
      </c>
      <c r="AT960" s="33">
        <f t="shared" si="1956"/>
        <v>0</v>
      </c>
      <c r="AU960" s="33">
        <f t="shared" si="1956"/>
        <v>0</v>
      </c>
      <c r="AV960" s="33">
        <f t="shared" si="1956"/>
        <v>0</v>
      </c>
      <c r="AW960" s="33">
        <f t="shared" si="1956"/>
        <v>0</v>
      </c>
      <c r="AX960" s="33">
        <f t="shared" si="1956"/>
        <v>0</v>
      </c>
      <c r="AY960" s="33">
        <f t="shared" si="1956"/>
        <v>0</v>
      </c>
      <c r="AZ960" s="33">
        <f t="shared" si="1956"/>
        <v>0</v>
      </c>
      <c r="BA960" s="33">
        <f t="shared" si="1956"/>
        <v>0</v>
      </c>
      <c r="BB960" s="33">
        <f t="shared" si="1956"/>
        <v>0</v>
      </c>
      <c r="BC960" s="33">
        <f t="shared" si="1956"/>
        <v>0</v>
      </c>
      <c r="BD960" s="33">
        <f t="shared" si="1956"/>
        <v>0</v>
      </c>
      <c r="BE960" s="33">
        <f t="shared" si="1956"/>
        <v>0</v>
      </c>
      <c r="BF960" s="33">
        <f t="shared" si="1956"/>
        <v>0</v>
      </c>
      <c r="BG960" s="33">
        <f t="shared" si="1956"/>
        <v>0</v>
      </c>
      <c r="BH960" s="33">
        <f t="shared" si="1956"/>
        <v>0</v>
      </c>
      <c r="BI960" s="33">
        <f t="shared" si="1956"/>
        <v>0</v>
      </c>
      <c r="BJ960" s="33">
        <f t="shared" si="1956"/>
        <v>0</v>
      </c>
      <c r="BK960" s="33">
        <f t="shared" si="1956"/>
        <v>0</v>
      </c>
      <c r="BL960" s="33">
        <f t="shared" si="1956"/>
        <v>0</v>
      </c>
      <c r="BM960" s="33">
        <f t="shared" si="1956"/>
        <v>0</v>
      </c>
      <c r="BN960" s="33">
        <f t="shared" si="1956"/>
        <v>0</v>
      </c>
      <c r="BO960" s="33">
        <f t="shared" si="1956"/>
        <v>0</v>
      </c>
      <c r="BP960" s="33">
        <f t="shared" si="1956"/>
        <v>0</v>
      </c>
      <c r="BQ960" s="33">
        <f t="shared" si="1956"/>
        <v>0</v>
      </c>
      <c r="BR960" s="33">
        <f t="shared" si="1956"/>
        <v>0</v>
      </c>
      <c r="BS960" s="33">
        <f t="shared" si="1956"/>
        <v>0</v>
      </c>
      <c r="BT960" s="33">
        <f t="shared" si="1956"/>
        <v>0</v>
      </c>
      <c r="BU960" s="33">
        <f t="shared" ref="BU960:BY960" si="1957">+SUM(BU958:BU959)</f>
        <v>0</v>
      </c>
      <c r="BV960" s="33">
        <f t="shared" si="1957"/>
        <v>0</v>
      </c>
      <c r="BW960" s="33">
        <f t="shared" si="1957"/>
        <v>0</v>
      </c>
      <c r="BX960" s="33">
        <f t="shared" si="1957"/>
        <v>0</v>
      </c>
      <c r="BY960" s="33">
        <f t="shared" si="1957"/>
        <v>0</v>
      </c>
    </row>
    <row r="961" spans="2:77" outlineLevel="1"/>
    <row r="962" spans="2:77" outlineLevel="1"/>
    <row r="963" spans="2:77" s="19" customFormat="1" ht="12.75" outlineLevel="1">
      <c r="B963" s="18" t="s">
        <v>314</v>
      </c>
    </row>
    <row r="964" spans="2:77" outlineLevel="1">
      <c r="C964" s="21"/>
      <c r="BF964" s="33"/>
      <c r="BG964" s="33"/>
      <c r="BH964" s="33"/>
      <c r="BI964" s="33"/>
      <c r="BJ964" s="33"/>
      <c r="BK964" s="33"/>
      <c r="BL964" s="33"/>
      <c r="BM964" s="33"/>
      <c r="BN964" s="33"/>
      <c r="BO964" s="33"/>
      <c r="BP964" s="33"/>
      <c r="BQ964" s="33"/>
      <c r="BR964" s="33"/>
      <c r="BS964" s="33"/>
      <c r="BT964" s="33"/>
      <c r="BU964" s="33"/>
      <c r="BV964" s="33"/>
      <c r="BW964" s="33"/>
      <c r="BX964" s="33"/>
      <c r="BY964" s="33"/>
    </row>
    <row r="965" spans="2:77" ht="15" outlineLevel="1">
      <c r="E965" s="22" t="s">
        <v>450</v>
      </c>
      <c r="BF965" s="33"/>
      <c r="BG965" s="33"/>
      <c r="BH965" s="33"/>
      <c r="BI965" s="33"/>
      <c r="BJ965" s="33"/>
      <c r="BK965" s="33"/>
      <c r="BL965" s="33"/>
      <c r="BM965" s="33"/>
      <c r="BN965" s="33"/>
      <c r="BO965" s="33"/>
      <c r="BP965" s="33"/>
      <c r="BQ965" s="33"/>
      <c r="BR965" s="33"/>
      <c r="BS965" s="33"/>
      <c r="BT965" s="33"/>
      <c r="BU965" s="33"/>
      <c r="BV965" s="33"/>
      <c r="BW965" s="33"/>
      <c r="BX965" s="33"/>
      <c r="BY965" s="33"/>
    </row>
    <row r="966" spans="2:77" outlineLevel="1">
      <c r="E966" s="25" t="s">
        <v>450</v>
      </c>
      <c r="F966" s="81" t="str">
        <f>+Assumptions!$G$8</f>
        <v>USD</v>
      </c>
      <c r="G966" s="30"/>
      <c r="H966" s="34">
        <f>IFERROR((1+Sensitivity_tables!$N$28)*IF(AND(H953=1,Assumptions!$H$321="Detailed",Assumptions!$H$320="yes"),-Assumptions_Detailed!H$192,IF(H$953=1,-Assumptions!$H$324*Assumptions!$H$268*H$948,0)),0)</f>
        <v>0</v>
      </c>
      <c r="I966" s="34">
        <f>IFERROR((1+Sensitivity_tables!$N$28)*IF(AND(I953=1,Assumptions!$H$321="Detailed",Assumptions!$H$320="yes"),-Assumptions_Detailed!I$192,IF(I$953=1,-Assumptions!$H$324*Assumptions!$H$268*I$948,0)),0)</f>
        <v>0</v>
      </c>
      <c r="J966" s="34">
        <f>IFERROR((1+Sensitivity_tables!$N$28)*IF(AND(J953=1,Assumptions!$H$321="Detailed",Assumptions!$H$320="yes"),-Assumptions_Detailed!J$192,IF(J$953=1,-Assumptions!$H$324*Assumptions!$H$268*J$948,0)),0)</f>
        <v>0</v>
      </c>
      <c r="K966" s="34">
        <f>IFERROR((1+Sensitivity_tables!$N$28)*IF(AND(K953=1,Assumptions!$H$321="Detailed",Assumptions!$H$320="yes"),-Assumptions_Detailed!K$192,IF(K$953=1,-Assumptions!$H$324*Assumptions!$H$268*K$948,0)),0)</f>
        <v>-21558195.168710399</v>
      </c>
      <c r="L966" s="34">
        <f>IFERROR((1+Sensitivity_tables!$N$28)*IF(AND(L953=1,Assumptions!$H$321="Detailed",Assumptions!$H$320="yes"),-Assumptions_Detailed!L$192,IF(L$953=1,-Assumptions!$H$324*Assumptions!$H$268*L$948,0)),0)</f>
        <v>-21989359.072084609</v>
      </c>
      <c r="M966" s="34">
        <f>IFERROR((1+Sensitivity_tables!$N$28)*IF(AND(M953=1,Assumptions!$H$321="Detailed",Assumptions!$H$320="yes"),-Assumptions_Detailed!M$192,IF(M$953=1,-Assumptions!$H$324*Assumptions!$H$268*M$948,0)),0)</f>
        <v>-22429146.2535263</v>
      </c>
      <c r="N966" s="34">
        <f>IFERROR((1+Sensitivity_tables!$N$28)*IF(AND(N953=1,Assumptions!$H$321="Detailed",Assumptions!$H$320="yes"),-Assumptions_Detailed!N$192,IF(N$953=1,-Assumptions!$H$324*Assumptions!$H$268*N$948,0)),0)</f>
        <v>-22877729.178596821</v>
      </c>
      <c r="O966" s="34">
        <f>IFERROR((1+Sensitivity_tables!$N$28)*IF(AND(O953=1,Assumptions!$H$321="Detailed",Assumptions!$H$320="yes"),-Assumptions_Detailed!O$192,IF(O$953=1,-Assumptions!$H$324*Assumptions!$H$268*O$948,0)),0)</f>
        <v>-23335283.762168761</v>
      </c>
      <c r="P966" s="34">
        <f>IFERROR((1+Sensitivity_tables!$N$28)*IF(AND(P953=1,Assumptions!$H$321="Detailed",Assumptions!$H$320="yes"),-Assumptions_Detailed!P$192,IF(P$953=1,-Assumptions!$H$324*Assumptions!$H$268*P$948,0)),0)</f>
        <v>-23801989.437412135</v>
      </c>
      <c r="Q966" s="34">
        <f>IFERROR((1+Sensitivity_tables!$N$28)*IF(AND(Q953=1,Assumptions!$H$321="Detailed",Assumptions!$H$320="yes"),-Assumptions_Detailed!Q$192,IF(Q$953=1,-Assumptions!$H$324*Assumptions!$H$268*Q$948,0)),0)</f>
        <v>-24278029.226160381</v>
      </c>
      <c r="R966" s="34">
        <f>IFERROR((1+Sensitivity_tables!$N$28)*IF(AND(R953=1,Assumptions!$H$321="Detailed",Assumptions!$H$320="yes"),-Assumptions_Detailed!R$192,IF(R$953=1,-Assumptions!$H$324*Assumptions!$H$268*R$948,0)),0)</f>
        <v>-24763589.810683582</v>
      </c>
      <c r="S966" s="34">
        <f>IFERROR((1+Sensitivity_tables!$N$28)*IF(AND(S953=1,Assumptions!$H$321="Detailed",Assumptions!$H$320="yes"),-Assumptions_Detailed!S$192,IF(S$953=1,-Assumptions!$H$324*Assumptions!$H$268*S$948,0)),0)</f>
        <v>-25258861.606897257</v>
      </c>
      <c r="T966" s="34">
        <f>IFERROR((1+Sensitivity_tables!$N$28)*IF(AND(T953=1,Assumptions!$H$321="Detailed",Assumptions!$H$320="yes"),-Assumptions_Detailed!T$192,IF(T$953=1,-Assumptions!$H$324*Assumptions!$H$268*T$948,0)),0)</f>
        <v>-25764038.839035202</v>
      </c>
      <c r="U966" s="34">
        <f>IFERROR((1+Sensitivity_tables!$N$28)*IF(AND(U953=1,Assumptions!$H$321="Detailed",Assumptions!$H$320="yes"),-Assumptions_Detailed!U$192,IF(U$953=1,-Assumptions!$H$324*Assumptions!$H$268*U$948,0)),0)</f>
        <v>-26279319.615815908</v>
      </c>
      <c r="V966" s="34">
        <f>IFERROR((1+Sensitivity_tables!$N$28)*IF(AND(V953=1,Assumptions!$H$321="Detailed",Assumptions!$H$320="yes"),-Assumptions_Detailed!V$192,IF(V$953=1,-Assumptions!$H$324*Assumptions!$H$268*V$948,0)),0)</f>
        <v>-26804906.008132219</v>
      </c>
      <c r="W966" s="34">
        <f>IFERROR((1+Sensitivity_tables!$N$28)*IF(AND(W953=1,Assumptions!$H$321="Detailed",Assumptions!$H$320="yes"),-Assumptions_Detailed!W$192,IF(W$953=1,-Assumptions!$H$324*Assumptions!$H$268*W$948,0)),0)</f>
        <v>-27341004.12829487</v>
      </c>
      <c r="X966" s="34">
        <f>IFERROR((1+Sensitivity_tables!$N$28)*IF(AND(X953=1,Assumptions!$H$321="Detailed",Assumptions!$H$320="yes"),-Assumptions_Detailed!X$192,IF(X$953=1,-Assumptions!$H$324*Assumptions!$H$268*X$948,0)),0)</f>
        <v>-27887824.21086077</v>
      </c>
      <c r="Y966" s="34">
        <f>IFERROR((1+Sensitivity_tables!$N$28)*IF(AND(Y953=1,Assumptions!$H$321="Detailed",Assumptions!$H$320="yes"),-Assumptions_Detailed!Y$192,IF(Y$953=1,-Assumptions!$H$324*Assumptions!$H$268*Y$948,0)),0)</f>
        <v>-28445580.695077982</v>
      </c>
      <c r="Z966" s="34">
        <f>IFERROR((1+Sensitivity_tables!$N$28)*IF(AND(Z953=1,Assumptions!$H$321="Detailed",Assumptions!$H$320="yes"),-Assumptions_Detailed!Z$192,IF(Z$953=1,-Assumptions!$H$324*Assumptions!$H$268*Z$948,0)),0)</f>
        <v>0</v>
      </c>
      <c r="AA966" s="34">
        <f>IFERROR((1+Sensitivity_tables!$N$28)*IF(AND(AA953=1,Assumptions!$H$321="Detailed",Assumptions!$H$320="yes"),-Assumptions_Detailed!AA$192,IF(AA$953=1,-Assumptions!$H$324*Assumptions!$H$268*AA$948,0)),0)</f>
        <v>0</v>
      </c>
      <c r="AB966" s="34">
        <f>IFERROR((1+Sensitivity_tables!$N$28)*IF(AND(AB953=1,Assumptions!$H$321="Detailed",Assumptions!$H$320="yes"),-Assumptions_Detailed!AB$192,IF(AB$953=1,-Assumptions!$H$324*Assumptions!$H$268*AB$948,0)),0)</f>
        <v>0</v>
      </c>
      <c r="AC966" s="34">
        <f>IFERROR((1+Sensitivity_tables!$N$28)*IF(AND(AC953=1,Assumptions!$H$321="Detailed",Assumptions!$H$320="yes"),-Assumptions_Detailed!AC$192,IF(AC$953=1,-Assumptions!$H$324*Assumptions!$H$268*AC$948,0)),0)</f>
        <v>0</v>
      </c>
      <c r="AD966" s="34">
        <f>IFERROR((1+Sensitivity_tables!$N$28)*IF(AND(AD953=1,Assumptions!$H$321="Detailed",Assumptions!$H$320="yes"),-Assumptions_Detailed!AD$192,IF(AD$953=1,-Assumptions!$H$324*Assumptions!$H$268*AD$948,0)),0)</f>
        <v>0</v>
      </c>
      <c r="AE966" s="34">
        <f>IFERROR((1+Sensitivity_tables!$N$28)*IF(AND(AE953=1,Assumptions!$H$321="Detailed",Assumptions!$H$320="yes"),-Assumptions_Detailed!AE$192,IF(AE$953=1,-Assumptions!$H$324*Assumptions!$H$268*AE$948,0)),0)</f>
        <v>0</v>
      </c>
      <c r="AF966" s="34">
        <f>IFERROR((1+Sensitivity_tables!$N$28)*IF(AND(AF953=1,Assumptions!$H$321="Detailed",Assumptions!$H$320="yes"),-Assumptions_Detailed!AF$192,IF(AF$953=1,-Assumptions!$H$324*Assumptions!$H$268*AF$948,0)),0)</f>
        <v>0</v>
      </c>
      <c r="AG966" s="34">
        <f>IFERROR((1+Sensitivity_tables!$N$28)*IF(AND(AG953=1,Assumptions!$H$321="Detailed",Assumptions!$H$320="yes"),-Assumptions_Detailed!AG$192,IF(AG$953=1,-Assumptions!$H$324*Assumptions!$H$268*AG$948,0)),0)</f>
        <v>0</v>
      </c>
      <c r="AH966" s="34">
        <f>IFERROR((1+Sensitivity_tables!$N$28)*IF(AND(AH953=1,Assumptions!$H$321="Detailed",Assumptions!$H$320="yes"),-Assumptions_Detailed!AH$192,IF(AH$953=1,-Assumptions!$H$324*Assumptions!$H$268*AH$948,0)),0)</f>
        <v>0</v>
      </c>
      <c r="AI966" s="34">
        <f>IFERROR((1+Sensitivity_tables!$N$28)*IF(AND(AI953=1,Assumptions!$H$321="Detailed",Assumptions!$H$320="yes"),-Assumptions_Detailed!AI$192,IF(AI$953=1,-Assumptions!$H$324*Assumptions!$H$268*AI$948,0)),0)</f>
        <v>0</v>
      </c>
      <c r="AJ966" s="34">
        <f>IFERROR((1+Sensitivity_tables!$N$28)*IF(AND(AJ953=1,Assumptions!$H$321="Detailed",Assumptions!$H$320="yes"),-Assumptions_Detailed!AJ$192,IF(AJ$953=1,-Assumptions!$H$324*Assumptions!$H$268*AJ$948,0)),0)</f>
        <v>0</v>
      </c>
      <c r="AK966" s="34">
        <f>IFERROR((1+Sensitivity_tables!$N$28)*IF(AND(AK953=1,Assumptions!$H$321="Detailed",Assumptions!$H$320="yes"),-Assumptions_Detailed!AK$192,IF(AK$953=1,-Assumptions!$H$324*Assumptions!$H$268*AK$948,0)),0)</f>
        <v>0</v>
      </c>
      <c r="AL966" s="34">
        <f>IFERROR((1+Sensitivity_tables!$N$28)*IF(AND(AL953=1,Assumptions!$H$321="Detailed",Assumptions!$H$320="yes"),-Assumptions_Detailed!AL$192,IF(AL$953=1,-Assumptions!$H$324*Assumptions!$H$268*AL$948,0)),0)</f>
        <v>0</v>
      </c>
      <c r="AM966" s="34">
        <f>IFERROR((1+Sensitivity_tables!$N$28)*IF(AND(AM953=1,Assumptions!$H$321="Detailed",Assumptions!$H$320="yes"),-Assumptions_Detailed!AM$192,IF(AM$953=1,-Assumptions!$H$324*Assumptions!$H$268*AM$948,0)),0)</f>
        <v>0</v>
      </c>
      <c r="AN966" s="34">
        <f>IFERROR((1+Sensitivity_tables!$N$28)*IF(AND(AN953=1,Assumptions!$H$321="Detailed",Assumptions!$H$320="yes"),-Assumptions_Detailed!AN$192,IF(AN$953=1,-Assumptions!$H$324*Assumptions!$H$268*AN$948,0)),0)</f>
        <v>0</v>
      </c>
      <c r="AO966" s="34">
        <f>IFERROR((1+Sensitivity_tables!$N$28)*IF(AND(AO953=1,Assumptions!$H$321="Detailed",Assumptions!$H$320="yes"),-Assumptions_Detailed!AO$192,IF(AO$953=1,-Assumptions!$H$324*Assumptions!$H$268*AO$948,0)),0)</f>
        <v>0</v>
      </c>
      <c r="AP966" s="34">
        <f>IFERROR((1+Sensitivity_tables!$N$28)*IF(AND(AP953=1,Assumptions!$H$321="Detailed",Assumptions!$H$320="yes"),-Assumptions_Detailed!AP$192,IF(AP$953=1,-Assumptions!$H$324*Assumptions!$H$268*AP$948,0)),0)</f>
        <v>0</v>
      </c>
      <c r="AQ966" s="34">
        <f>IFERROR((1+Sensitivity_tables!$N$28)*IF(AND(AQ953=1,Assumptions!$H$321="Detailed",Assumptions!$H$320="yes"),-Assumptions_Detailed!AQ$192,IF(AQ$953=1,-Assumptions!$H$324*Assumptions!$H$268*AQ$948,0)),0)</f>
        <v>0</v>
      </c>
      <c r="AR966" s="34">
        <f>IFERROR((1+Sensitivity_tables!$N$28)*IF(AND(AR953=1,Assumptions!$H$321="Detailed",Assumptions!$H$320="yes"),-Assumptions_Detailed!AR$192,IF(AR$953=1,-Assumptions!$H$324*Assumptions!$H$268*AR$948,0)),0)</f>
        <v>0</v>
      </c>
      <c r="AS966" s="34">
        <f>IFERROR((1+Sensitivity_tables!$N$28)*IF(AND(AS953=1,Assumptions!$H$321="Detailed",Assumptions!$H$320="yes"),-Assumptions_Detailed!AS$192,IF(AS$953=1,-Assumptions!$H$324*Assumptions!$H$268*AS$948,0)),0)</f>
        <v>0</v>
      </c>
      <c r="AT966" s="34">
        <f>IFERROR((1+Sensitivity_tables!$N$28)*IF(AND(AT953=1,Assumptions!$H$321="Detailed",Assumptions!$H$320="yes"),-Assumptions_Detailed!AT$192,IF(AT$953=1,-Assumptions!$H$324*Assumptions!$H$268*AT$948,0)),0)</f>
        <v>0</v>
      </c>
      <c r="AU966" s="34">
        <f>IFERROR((1+Sensitivity_tables!$N$28)*IF(AND(AU953=1,Assumptions!$H$321="Detailed",Assumptions!$H$320="yes"),-Assumptions_Detailed!AU$192,IF(AU$953=1,-Assumptions!$H$324*Assumptions!$H$268*AU$948,0)),0)</f>
        <v>0</v>
      </c>
      <c r="AV966" s="34">
        <f>IFERROR((1+Sensitivity_tables!$N$28)*IF(AND(AV953=1,Assumptions!$H$321="Detailed",Assumptions!$H$320="yes"),-Assumptions_Detailed!AV$192,IF(AV$953=1,-Assumptions!$H$324*Assumptions!$H$268*AV$948,0)),0)</f>
        <v>0</v>
      </c>
      <c r="AW966" s="34">
        <f>IFERROR((1+Sensitivity_tables!$N$28)*IF(AND(AW953=1,Assumptions!$H$321="Detailed",Assumptions!$H$320="yes"),-Assumptions_Detailed!AW$192,IF(AW$953=1,-Assumptions!$H$324*Assumptions!$H$268*AW$948,0)),0)</f>
        <v>0</v>
      </c>
      <c r="AX966" s="34">
        <f>IFERROR((1+Sensitivity_tables!$N$28)*IF(AND(AX953=1,Assumptions!$H$321="Detailed",Assumptions!$H$320="yes"),-Assumptions_Detailed!AX$192,IF(AX$953=1,-Assumptions!$H$324*Assumptions!$H$268*AX$948,0)),0)</f>
        <v>0</v>
      </c>
      <c r="AY966" s="34">
        <f>IFERROR((1+Sensitivity_tables!$N$28)*IF(AND(AY953=1,Assumptions!$H$321="Detailed",Assumptions!$H$320="yes"),-Assumptions_Detailed!AY$192,IF(AY$953=1,-Assumptions!$H$324*Assumptions!$H$268*AY$948,0)),0)</f>
        <v>0</v>
      </c>
      <c r="AZ966" s="34">
        <f>IFERROR((1+Sensitivity_tables!$N$28)*IF(AND(AZ953=1,Assumptions!$H$321="Detailed",Assumptions!$H$320="yes"),-Assumptions_Detailed!AZ$192,IF(AZ$953=1,-Assumptions!$H$324*Assumptions!$H$268*AZ$948,0)),0)</f>
        <v>0</v>
      </c>
      <c r="BA966" s="34">
        <f>IFERROR((1+Sensitivity_tables!$N$28)*IF(AND(BA953=1,Assumptions!$H$321="Detailed",Assumptions!$H$320="yes"),-Assumptions_Detailed!BA$192,IF(BA$953=1,-Assumptions!$H$324*Assumptions!$H$268*BA$948,0)),0)</f>
        <v>0</v>
      </c>
      <c r="BB966" s="34">
        <f>IFERROR((1+Sensitivity_tables!$N$28)*IF(AND(BB953=1,Assumptions!$H$321="Detailed",Assumptions!$H$320="yes"),-Assumptions_Detailed!BB$192,IF(BB$953=1,-Assumptions!$H$324*Assumptions!$H$268*BB$948,0)),0)</f>
        <v>0</v>
      </c>
      <c r="BC966" s="34">
        <f>IFERROR((1+Sensitivity_tables!$N$28)*IF(AND(BC953=1,Assumptions!$H$321="Detailed",Assumptions!$H$320="yes"),-Assumptions_Detailed!BC$192,IF(BC$953=1,-Assumptions!$H$324*Assumptions!$H$268*BC$948,0)),0)</f>
        <v>0</v>
      </c>
      <c r="BD966" s="34">
        <f>IFERROR((1+Sensitivity_tables!$N$28)*IF(AND(BD953=1,Assumptions!$H$321="Detailed",Assumptions!$H$320="yes"),-Assumptions_Detailed!BD$192,IF(BD$953=1,-Assumptions!$H$324*Assumptions!$H$268*BD$948,0)),0)</f>
        <v>0</v>
      </c>
      <c r="BE966" s="34">
        <f>IFERROR((1+Sensitivity_tables!$N$28)*IF(AND(BE953=1,Assumptions!$H$321="Detailed",Assumptions!$H$320="yes"),-Assumptions_Detailed!BE$192,IF(BE$953=1,-Assumptions!$H$324*Assumptions!$H$268*BE$948,0)),0)</f>
        <v>0</v>
      </c>
      <c r="BF966" s="34">
        <f>IFERROR((1+Sensitivity_tables!$N$28)*IF(AND(BF953=1,Assumptions!$H$321="Detailed",Assumptions!$H$320="yes"),-Assumptions_Detailed!BF$192,IF(BF$953=1,-Assumptions!$H$324*Assumptions!$H$268*BF$948,0)),0)</f>
        <v>0</v>
      </c>
      <c r="BG966" s="34">
        <f>IFERROR((1+Sensitivity_tables!$N$28)*IF(AND(BG953=1,Assumptions!$H$321="Detailed",Assumptions!$H$320="yes"),-Assumptions_Detailed!BG$192,IF(BG$953=1,-Assumptions!$H$324*Assumptions!$H$268*BG$948,0)),0)</f>
        <v>0</v>
      </c>
      <c r="BH966" s="34">
        <f>IFERROR((1+Sensitivity_tables!$N$28)*IF(AND(BH953=1,Assumptions!$H$321="Detailed",Assumptions!$H$320="yes"),-Assumptions_Detailed!BH$192,IF(BH$953=1,-Assumptions!$H$324*Assumptions!$H$268*BH$948,0)),0)</f>
        <v>0</v>
      </c>
      <c r="BI966" s="34">
        <f>IFERROR((1+Sensitivity_tables!$N$28)*IF(AND(BI953=1,Assumptions!$H$321="Detailed",Assumptions!$H$320="yes"),-Assumptions_Detailed!BI$192,IF(BI$953=1,-Assumptions!$H$324*Assumptions!$H$268*BI$948,0)),0)</f>
        <v>0</v>
      </c>
      <c r="BJ966" s="34">
        <f>IFERROR((1+Sensitivity_tables!$N$28)*IF(AND(BJ953=1,Assumptions!$H$321="Detailed",Assumptions!$H$320="yes"),-Assumptions_Detailed!BJ$192,IF(BJ$953=1,-Assumptions!$H$324*Assumptions!$H$268*BJ$948,0)),0)</f>
        <v>0</v>
      </c>
      <c r="BK966" s="34">
        <f>IFERROR((1+Sensitivity_tables!$N$28)*IF(AND(BK953=1,Assumptions!$H$321="Detailed",Assumptions!$H$320="yes"),-Assumptions_Detailed!BK$192,IF(BK$953=1,-Assumptions!$H$324*Assumptions!$H$268*BK$948,0)),0)</f>
        <v>0</v>
      </c>
      <c r="BL966" s="34">
        <f>IFERROR((1+Sensitivity_tables!$N$28)*IF(AND(BL953=1,Assumptions!$H$321="Detailed",Assumptions!$H$320="yes"),-Assumptions_Detailed!BL$192,IF(BL$953=1,-Assumptions!$H$324*Assumptions!$H$268*BL$948,0)),0)</f>
        <v>0</v>
      </c>
      <c r="BM966" s="34">
        <f>IFERROR((1+Sensitivity_tables!$N$28)*IF(AND(BM953=1,Assumptions!$H$321="Detailed",Assumptions!$H$320="yes"),-Assumptions_Detailed!BM$192,IF(BM$953=1,-Assumptions!$H$324*Assumptions!$H$268*BM$948,0)),0)</f>
        <v>0</v>
      </c>
      <c r="BN966" s="34">
        <f>IFERROR((1+Sensitivity_tables!$N$28)*IF(AND(BN953=1,Assumptions!$H$321="Detailed",Assumptions!$H$320="yes"),-Assumptions_Detailed!BN$192,IF(BN$953=1,-Assumptions!$H$324*Assumptions!$H$268*BN$948,0)),0)</f>
        <v>0</v>
      </c>
      <c r="BO966" s="34">
        <f>IFERROR((1+Sensitivity_tables!$N$28)*IF(AND(BO953=1,Assumptions!$H$321="Detailed",Assumptions!$H$320="yes"),-Assumptions_Detailed!BO$192,IF(BO$953=1,-Assumptions!$H$324*Assumptions!$H$268*BO$948,0)),0)</f>
        <v>0</v>
      </c>
      <c r="BP966" s="34">
        <f>IFERROR((1+Sensitivity_tables!$N$28)*IF(AND(BP953=1,Assumptions!$H$321="Detailed",Assumptions!$H$320="yes"),-Assumptions_Detailed!BP$192,IF(BP$953=1,-Assumptions!$H$324*Assumptions!$H$268*BP$948,0)),0)</f>
        <v>0</v>
      </c>
      <c r="BQ966" s="34">
        <f>IFERROR((1+Sensitivity_tables!$N$28)*IF(AND(BQ953=1,Assumptions!$H$321="Detailed",Assumptions!$H$320="yes"),-Assumptions_Detailed!BQ$192,IF(BQ$953=1,-Assumptions!$H$324*Assumptions!$H$268*BQ$948,0)),0)</f>
        <v>0</v>
      </c>
      <c r="BR966" s="34">
        <f>IFERROR((1+Sensitivity_tables!$N$28)*IF(AND(BR953=1,Assumptions!$H$321="Detailed",Assumptions!$H$320="yes"),-Assumptions_Detailed!BR$192,IF(BR$953=1,-Assumptions!$H$324*Assumptions!$H$268*BR$948,0)),0)</f>
        <v>0</v>
      </c>
      <c r="BS966" s="34">
        <f>IFERROR((1+Sensitivity_tables!$N$28)*IF(AND(BS953=1,Assumptions!$H$321="Detailed",Assumptions!$H$320="yes"),-Assumptions_Detailed!BS$192,IF(BS$953=1,-Assumptions!$H$324*Assumptions!$H$268*BS$948,0)),0)</f>
        <v>0</v>
      </c>
      <c r="BT966" s="34">
        <f>IFERROR((1+Sensitivity_tables!$N$28)*IF(AND(BT953=1,Assumptions!$H$321="Detailed",Assumptions!$H$320="yes"),-Assumptions_Detailed!BT$192,IF(BT$953=1,-Assumptions!$H$324*Assumptions!$H$268*BT$948,0)),0)</f>
        <v>0</v>
      </c>
      <c r="BU966" s="34">
        <f>IFERROR((1+Sensitivity_tables!$N$28)*IF(AND(BU953=1,Assumptions!$H$321="Detailed",Assumptions!$H$320="yes"),-Assumptions_Detailed!BU$192,IF(BU$953=1,-Assumptions!$H$324*Assumptions!$H$268*BU$948,0)),0)</f>
        <v>0</v>
      </c>
      <c r="BV966" s="34">
        <f>IFERROR((1+Sensitivity_tables!$N$28)*IF(AND(BV953=1,Assumptions!$H$321="Detailed",Assumptions!$H$320="yes"),-Assumptions_Detailed!BV$192,IF(BV$953=1,-Assumptions!$H$324*Assumptions!$H$268*BV$948,0)),0)</f>
        <v>0</v>
      </c>
      <c r="BW966" s="34">
        <f>IFERROR((1+Sensitivity_tables!$N$28)*IF(AND(BW953=1,Assumptions!$H$321="Detailed",Assumptions!$H$320="yes"),-Assumptions_Detailed!BW$192,IF(BW$953=1,-Assumptions!$H$324*Assumptions!$H$268*BW$948,0)),0)</f>
        <v>0</v>
      </c>
      <c r="BX966" s="34">
        <f>IFERROR((1+Sensitivity_tables!$N$28)*IF(AND(BX953=1,Assumptions!$H$321="Detailed",Assumptions!$H$320="yes"),-Assumptions_Detailed!BX$192,IF(BX$953=1,-Assumptions!$H$324*Assumptions!$H$268*BX$948,0)),0)</f>
        <v>0</v>
      </c>
      <c r="BY966" s="34">
        <f>IFERROR((1+Sensitivity_tables!$N$28)*IF(AND(BY953=1,Assumptions!$H$321="Detailed",Assumptions!$H$320="yes"),-Assumptions_Detailed!BY$192,IF(BY$953=1,-Assumptions!$H$324*Assumptions!$H$268*BY$948,0)),0)</f>
        <v>0</v>
      </c>
    </row>
    <row r="967" spans="2:77" outlineLevel="1">
      <c r="E967" t="s">
        <v>494</v>
      </c>
      <c r="F967" s="80" t="str">
        <f>+Assumptions!$G$8</f>
        <v>USD</v>
      </c>
      <c r="G967" s="23"/>
      <c r="H967" s="33">
        <f>+IFERROR(H966,0)</f>
        <v>0</v>
      </c>
      <c r="I967" s="33">
        <f t="shared" ref="I967:BT967" si="1958">+IFERROR(+I966,0)</f>
        <v>0</v>
      </c>
      <c r="J967" s="33">
        <f t="shared" si="1958"/>
        <v>0</v>
      </c>
      <c r="K967" s="33">
        <f t="shared" si="1958"/>
        <v>-21558195.168710399</v>
      </c>
      <c r="L967" s="33">
        <f t="shared" si="1958"/>
        <v>-21989359.072084609</v>
      </c>
      <c r="M967" s="33">
        <f t="shared" si="1958"/>
        <v>-22429146.2535263</v>
      </c>
      <c r="N967" s="33">
        <f t="shared" si="1958"/>
        <v>-22877729.178596821</v>
      </c>
      <c r="O967" s="33">
        <f t="shared" si="1958"/>
        <v>-23335283.762168761</v>
      </c>
      <c r="P967" s="33">
        <f t="shared" si="1958"/>
        <v>-23801989.437412135</v>
      </c>
      <c r="Q967" s="33">
        <f t="shared" si="1958"/>
        <v>-24278029.226160381</v>
      </c>
      <c r="R967" s="33">
        <f t="shared" si="1958"/>
        <v>-24763589.810683582</v>
      </c>
      <c r="S967" s="33">
        <f t="shared" si="1958"/>
        <v>-25258861.606897257</v>
      </c>
      <c r="T967" s="33">
        <f t="shared" si="1958"/>
        <v>-25764038.839035202</v>
      </c>
      <c r="U967" s="33">
        <f t="shared" si="1958"/>
        <v>-26279319.615815908</v>
      </c>
      <c r="V967" s="33">
        <f t="shared" si="1958"/>
        <v>-26804906.008132219</v>
      </c>
      <c r="W967" s="33">
        <f t="shared" si="1958"/>
        <v>-27341004.12829487</v>
      </c>
      <c r="X967" s="33">
        <f t="shared" si="1958"/>
        <v>-27887824.21086077</v>
      </c>
      <c r="Y967" s="33">
        <f t="shared" si="1958"/>
        <v>-28445580.695077982</v>
      </c>
      <c r="Z967" s="33">
        <f t="shared" si="1958"/>
        <v>0</v>
      </c>
      <c r="AA967" s="33">
        <f t="shared" si="1958"/>
        <v>0</v>
      </c>
      <c r="AB967" s="33">
        <f t="shared" si="1958"/>
        <v>0</v>
      </c>
      <c r="AC967" s="33">
        <f t="shared" si="1958"/>
        <v>0</v>
      </c>
      <c r="AD967" s="33">
        <f t="shared" si="1958"/>
        <v>0</v>
      </c>
      <c r="AE967" s="33">
        <f t="shared" si="1958"/>
        <v>0</v>
      </c>
      <c r="AF967" s="33">
        <f t="shared" si="1958"/>
        <v>0</v>
      </c>
      <c r="AG967" s="33">
        <f t="shared" si="1958"/>
        <v>0</v>
      </c>
      <c r="AH967" s="33">
        <f t="shared" si="1958"/>
        <v>0</v>
      </c>
      <c r="AI967" s="33">
        <f t="shared" si="1958"/>
        <v>0</v>
      </c>
      <c r="AJ967" s="33">
        <f t="shared" si="1958"/>
        <v>0</v>
      </c>
      <c r="AK967" s="33">
        <f t="shared" si="1958"/>
        <v>0</v>
      </c>
      <c r="AL967" s="33">
        <f t="shared" si="1958"/>
        <v>0</v>
      </c>
      <c r="AM967" s="33">
        <f t="shared" si="1958"/>
        <v>0</v>
      </c>
      <c r="AN967" s="33">
        <f t="shared" si="1958"/>
        <v>0</v>
      </c>
      <c r="AO967" s="33">
        <f t="shared" si="1958"/>
        <v>0</v>
      </c>
      <c r="AP967" s="33">
        <f t="shared" si="1958"/>
        <v>0</v>
      </c>
      <c r="AQ967" s="33">
        <f t="shared" si="1958"/>
        <v>0</v>
      </c>
      <c r="AR967" s="33">
        <f t="shared" si="1958"/>
        <v>0</v>
      </c>
      <c r="AS967" s="33">
        <f t="shared" si="1958"/>
        <v>0</v>
      </c>
      <c r="AT967" s="33">
        <f t="shared" si="1958"/>
        <v>0</v>
      </c>
      <c r="AU967" s="33">
        <f t="shared" si="1958"/>
        <v>0</v>
      </c>
      <c r="AV967" s="33">
        <f t="shared" si="1958"/>
        <v>0</v>
      </c>
      <c r="AW967" s="33">
        <f t="shared" si="1958"/>
        <v>0</v>
      </c>
      <c r="AX967" s="33">
        <f t="shared" si="1958"/>
        <v>0</v>
      </c>
      <c r="AY967" s="33">
        <f t="shared" si="1958"/>
        <v>0</v>
      </c>
      <c r="AZ967" s="33">
        <f t="shared" si="1958"/>
        <v>0</v>
      </c>
      <c r="BA967" s="33">
        <f t="shared" si="1958"/>
        <v>0</v>
      </c>
      <c r="BB967" s="33">
        <f t="shared" si="1958"/>
        <v>0</v>
      </c>
      <c r="BC967" s="33">
        <f t="shared" si="1958"/>
        <v>0</v>
      </c>
      <c r="BD967" s="33">
        <f t="shared" si="1958"/>
        <v>0</v>
      </c>
      <c r="BE967" s="33">
        <f t="shared" si="1958"/>
        <v>0</v>
      </c>
      <c r="BF967" s="33">
        <f t="shared" si="1958"/>
        <v>0</v>
      </c>
      <c r="BG967" s="33">
        <f t="shared" si="1958"/>
        <v>0</v>
      </c>
      <c r="BH967" s="33">
        <f t="shared" si="1958"/>
        <v>0</v>
      </c>
      <c r="BI967" s="33">
        <f t="shared" si="1958"/>
        <v>0</v>
      </c>
      <c r="BJ967" s="33">
        <f t="shared" si="1958"/>
        <v>0</v>
      </c>
      <c r="BK967" s="33">
        <f t="shared" si="1958"/>
        <v>0</v>
      </c>
      <c r="BL967" s="33">
        <f t="shared" si="1958"/>
        <v>0</v>
      </c>
      <c r="BM967" s="33">
        <f t="shared" si="1958"/>
        <v>0</v>
      </c>
      <c r="BN967" s="33">
        <f t="shared" si="1958"/>
        <v>0</v>
      </c>
      <c r="BO967" s="33">
        <f t="shared" si="1958"/>
        <v>0</v>
      </c>
      <c r="BP967" s="33">
        <f t="shared" si="1958"/>
        <v>0</v>
      </c>
      <c r="BQ967" s="33">
        <f t="shared" si="1958"/>
        <v>0</v>
      </c>
      <c r="BR967" s="33">
        <f t="shared" si="1958"/>
        <v>0</v>
      </c>
      <c r="BS967" s="33">
        <f t="shared" si="1958"/>
        <v>0</v>
      </c>
      <c r="BT967" s="33">
        <f t="shared" si="1958"/>
        <v>0</v>
      </c>
      <c r="BU967" s="33">
        <f t="shared" ref="BU967:BY967" si="1959">+IFERROR(+BU966,0)</f>
        <v>0</v>
      </c>
      <c r="BV967" s="33">
        <f t="shared" si="1959"/>
        <v>0</v>
      </c>
      <c r="BW967" s="33">
        <f t="shared" si="1959"/>
        <v>0</v>
      </c>
      <c r="BX967" s="33">
        <f t="shared" si="1959"/>
        <v>0</v>
      </c>
      <c r="BY967" s="33">
        <f t="shared" si="1959"/>
        <v>0</v>
      </c>
    </row>
    <row r="968" spans="2:77" outlineLevel="1">
      <c r="F968" s="23"/>
      <c r="G968" s="23"/>
      <c r="BF968" s="33"/>
      <c r="BG968" s="33"/>
      <c r="BH968" s="33"/>
      <c r="BI968" s="33"/>
      <c r="BJ968" s="33"/>
      <c r="BK968" s="33"/>
      <c r="BL968" s="33"/>
      <c r="BM968" s="33"/>
      <c r="BN968" s="33"/>
      <c r="BO968" s="33"/>
      <c r="BP968" s="33"/>
      <c r="BQ968" s="33"/>
      <c r="BR968" s="33"/>
      <c r="BS968" s="33"/>
      <c r="BT968" s="33"/>
      <c r="BU968" s="33"/>
      <c r="BV968" s="33"/>
      <c r="BW968" s="33"/>
      <c r="BX968" s="33"/>
      <c r="BY968" s="33"/>
    </row>
    <row r="969" spans="2:77" outlineLevel="1">
      <c r="F969" s="23"/>
      <c r="G969" s="23"/>
      <c r="BF969" s="33"/>
      <c r="BG969" s="33"/>
      <c r="BH969" s="33"/>
      <c r="BI969" s="33"/>
      <c r="BJ969" s="33"/>
      <c r="BK969" s="33"/>
      <c r="BL969" s="33"/>
      <c r="BM969" s="33"/>
      <c r="BN969" s="33"/>
      <c r="BO969" s="33"/>
      <c r="BP969" s="33"/>
      <c r="BQ969" s="33"/>
      <c r="BR969" s="33"/>
      <c r="BS969" s="33"/>
      <c r="BT969" s="33"/>
      <c r="BU969" s="33"/>
      <c r="BV969" s="33"/>
      <c r="BW969" s="33"/>
      <c r="BX969" s="33"/>
      <c r="BY969" s="33"/>
    </row>
    <row r="970" spans="2:77" outlineLevel="1">
      <c r="BF970" s="33"/>
      <c r="BG970" s="33"/>
      <c r="BH970" s="33"/>
      <c r="BI970" s="33"/>
      <c r="BJ970" s="33"/>
      <c r="BK970" s="33"/>
      <c r="BL970" s="33"/>
      <c r="BM970" s="33"/>
      <c r="BN970" s="33"/>
      <c r="BO970" s="33"/>
      <c r="BP970" s="33"/>
      <c r="BQ970" s="33"/>
      <c r="BR970" s="33"/>
      <c r="BS970" s="33"/>
      <c r="BT970" s="33"/>
      <c r="BU970" s="33"/>
      <c r="BV970" s="33"/>
      <c r="BW970" s="33"/>
      <c r="BX970" s="33"/>
      <c r="BY970" s="33"/>
    </row>
    <row r="971" spans="2:77" s="19" customFormat="1" ht="12.75" outlineLevel="1">
      <c r="B971" s="18" t="s">
        <v>317</v>
      </c>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c r="BO971" s="35"/>
      <c r="BP971" s="35"/>
      <c r="BQ971" s="35"/>
      <c r="BR971" s="35"/>
      <c r="BS971" s="35"/>
      <c r="BT971" s="35"/>
      <c r="BU971" s="35"/>
      <c r="BV971" s="35"/>
      <c r="BW971" s="35"/>
      <c r="BX971" s="35"/>
      <c r="BY971" s="35"/>
    </row>
    <row r="972" spans="2:77" outlineLevel="1">
      <c r="BF972" s="33"/>
      <c r="BG972" s="33"/>
      <c r="BH972" s="33"/>
      <c r="BI972" s="33"/>
      <c r="BJ972" s="33"/>
      <c r="BK972" s="33"/>
      <c r="BL972" s="33"/>
      <c r="BM972" s="33"/>
      <c r="BN972" s="33"/>
      <c r="BO972" s="33"/>
      <c r="BP972" s="33"/>
      <c r="BQ972" s="33"/>
      <c r="BR972" s="33"/>
      <c r="BS972" s="33"/>
      <c r="BT972" s="33"/>
      <c r="BU972" s="33"/>
      <c r="BV972" s="33"/>
      <c r="BW972" s="33"/>
      <c r="BX972" s="33"/>
      <c r="BY972" s="33"/>
    </row>
    <row r="973" spans="2:77" ht="15" outlineLevel="1">
      <c r="C973" s="22" t="s">
        <v>496</v>
      </c>
      <c r="BF973" s="33"/>
      <c r="BG973" s="33"/>
      <c r="BH973" s="33"/>
      <c r="BI973" s="33"/>
      <c r="BJ973" s="33"/>
      <c r="BK973" s="33"/>
      <c r="BL973" s="33"/>
      <c r="BM973" s="33"/>
      <c r="BN973" s="33"/>
      <c r="BO973" s="33"/>
      <c r="BP973" s="33"/>
      <c r="BQ973" s="33"/>
      <c r="BR973" s="33"/>
      <c r="BS973" s="33"/>
      <c r="BT973" s="33"/>
      <c r="BU973" s="33"/>
      <c r="BV973" s="33"/>
      <c r="BW973" s="33"/>
      <c r="BX973" s="33"/>
      <c r="BY973" s="33"/>
    </row>
    <row r="974" spans="2:77" outlineLevel="1">
      <c r="C974" s="75">
        <f>Assumptions!$H$352*C959</f>
        <v>-141303715.48800001</v>
      </c>
      <c r="E974" t="s">
        <v>456</v>
      </c>
      <c r="F974" s="80" t="str">
        <f>+Assumptions!$G$8</f>
        <v>USD</v>
      </c>
      <c r="H974" s="32">
        <f>IF(AND(H952=1,Assumptions!$H$328="Detailed",Assumptions!$H$327="yes"),-Assumptions_Detailed!H$198,IF(SUM($H$952:H952)&gt;0,IF(SUM($H$959:H959)&lt;$C$974,MAX($C$974-SUM($G$974:G974),H959),H959),0))</f>
        <v>0</v>
      </c>
      <c r="I974" s="32">
        <f>IF(AND(I952=1,Assumptions!$H$328="Detailed",Assumptions!$H$327="yes"),-Assumptions_Detailed!I$198,IF(SUM($H$952:I952)&gt;0,IF(SUM($H$959:I959)&lt;$C$974,MAX($C$974-SUM($G$974:H974),I959),I959),0))</f>
        <v>-141303715.48800001</v>
      </c>
      <c r="J974" s="32">
        <f>IF(AND(J952=1,Assumptions!$H$328="Detailed",Assumptions!$H$327="yes"),-Assumptions_Detailed!J$198,IF(SUM($H$952:J952)&gt;0,IF(SUM($H$959:J959)&lt;$C$974,MAX($C$974-SUM($G$974:I974),J959),J959),0))</f>
        <v>0</v>
      </c>
      <c r="K974" s="32">
        <f>IF(AND(K952=1,Assumptions!$H$328="Detailed",Assumptions!$H$327="yes"),-Assumptions_Detailed!K$198,IF(SUM($H$952:K952)&gt;0,IF(SUM($H$959:K959)&lt;$C$974,MAX($C$974-SUM($G$974:J974),K959),K959),0))</f>
        <v>0</v>
      </c>
      <c r="L974" s="32">
        <f>IF(AND(L952=1,Assumptions!$H$328="Detailed",Assumptions!$H$327="yes"),-Assumptions_Detailed!L$198,IF(SUM($H$952:L952)&gt;0,IF(SUM($H$959:L959)&lt;$C$974,MAX($C$974-SUM($G$974:K974),L959),L959),0))</f>
        <v>0</v>
      </c>
      <c r="M974" s="32">
        <f>IF(AND(M952=1,Assumptions!$H$328="Detailed",Assumptions!$H$327="yes"),-Assumptions_Detailed!M$198,IF(SUM($H$952:M952)&gt;0,IF(SUM($H$959:M959)&lt;$C$974,MAX($C$974-SUM($G$974:L974),M959),M959),0))</f>
        <v>0</v>
      </c>
      <c r="N974" s="32">
        <f>IF(AND(N952=1,Assumptions!$H$328="Detailed",Assumptions!$H$327="yes"),-Assumptions_Detailed!N$198,IF(SUM($H$952:N952)&gt;0,IF(SUM($H$959:N959)&lt;$C$974,MAX($C$974-SUM($G$974:M974),N959),N959),0))</f>
        <v>0</v>
      </c>
      <c r="O974" s="32">
        <f>IF(AND(O952=1,Assumptions!$H$328="Detailed",Assumptions!$H$327="yes"),-Assumptions_Detailed!O$198,IF(SUM($H$952:O952)&gt;0,IF(SUM($H$959:O959)&lt;$C$974,MAX($C$974-SUM($G$974:N974),O959),O959),0))</f>
        <v>0</v>
      </c>
      <c r="P974" s="32">
        <f>IF(AND(P952=1,Assumptions!$H$328="Detailed",Assumptions!$H$327="yes"),-Assumptions_Detailed!P$198,IF(SUM($H$952:P952)&gt;0,IF(SUM($H$959:P959)&lt;$C$974,MAX($C$974-SUM($G$974:O974),P959),P959),0))</f>
        <v>0</v>
      </c>
      <c r="Q974" s="32">
        <f>IF(AND(Q952=1,Assumptions!$H$328="Detailed",Assumptions!$H$327="yes"),-Assumptions_Detailed!Q$198,IF(SUM($H$952:Q952)&gt;0,IF(SUM($H$959:Q959)&lt;$C$974,MAX($C$974-SUM($G$974:P974),Q959),Q959),0))</f>
        <v>0</v>
      </c>
      <c r="R974" s="32">
        <f>IF(AND(R952=1,Assumptions!$H$328="Detailed",Assumptions!$H$327="yes"),-Assumptions_Detailed!R$198,IF(SUM($H$952:R952)&gt;0,IF(SUM($H$959:R959)&lt;$C$974,MAX($C$974-SUM($G$974:Q974),R959),R959),0))</f>
        <v>0</v>
      </c>
      <c r="S974" s="32">
        <f>IF(AND(S952=1,Assumptions!$H$328="Detailed",Assumptions!$H$327="yes"),-Assumptions_Detailed!S$198,IF(SUM($H$952:S952)&gt;0,IF(SUM($H$959:S959)&lt;$C$974,MAX($C$974-SUM($G$974:R974),S959),S959),0))</f>
        <v>0</v>
      </c>
      <c r="T974" s="32">
        <f>IF(AND(T952=1,Assumptions!$H$328="Detailed",Assumptions!$H$327="yes"),-Assumptions_Detailed!T$198,IF(SUM($H$952:T952)&gt;0,IF(SUM($H$959:T959)&lt;$C$974,MAX($C$974-SUM($G$974:S974),T959),T959),0))</f>
        <v>0</v>
      </c>
      <c r="U974" s="32">
        <f>IF(AND(U952=1,Assumptions!$H$328="Detailed",Assumptions!$H$327="yes"),-Assumptions_Detailed!U$198,IF(SUM($H$952:U952)&gt;0,IF(SUM($H$959:U959)&lt;$C$974,MAX($C$974-SUM($G$974:T974),U959),U959),0))</f>
        <v>0</v>
      </c>
      <c r="V974" s="32">
        <f>IF(AND(V952=1,Assumptions!$H$328="Detailed",Assumptions!$H$327="yes"),-Assumptions_Detailed!V$198,IF(SUM($H$952:V952)&gt;0,IF(SUM($H$959:V959)&lt;$C$974,MAX($C$974-SUM($G$974:U974),V959),V959),0))</f>
        <v>0</v>
      </c>
      <c r="W974" s="32">
        <f>IF(AND(W952=1,Assumptions!$H$328="Detailed",Assumptions!$H$327="yes"),-Assumptions_Detailed!W$198,IF(SUM($H$952:W952)&gt;0,IF(SUM($H$959:W959)&lt;$C$974,MAX($C$974-SUM($G$974:V974),W959),W959),0))</f>
        <v>0</v>
      </c>
      <c r="X974" s="32">
        <f>IF(AND(X952=1,Assumptions!$H$328="Detailed",Assumptions!$H$327="yes"),-Assumptions_Detailed!X$198,IF(SUM($H$952:X952)&gt;0,IF(SUM($H$959:X959)&lt;$C$974,MAX($C$974-SUM($G$974:W974),X959),X959),0))</f>
        <v>0</v>
      </c>
      <c r="Y974" s="32">
        <f>IF(AND(Y952=1,Assumptions!$H$328="Detailed",Assumptions!$H$327="yes"),-Assumptions_Detailed!Y$198,IF(SUM($H$952:Y952)&gt;0,IF(SUM($H$959:Y959)&lt;$C$974,MAX($C$974-SUM($G$974:X974),Y959),Y959),0))</f>
        <v>0</v>
      </c>
      <c r="Z974" s="32">
        <f>IF(AND(Z952=1,Assumptions!$H$328="Detailed",Assumptions!$H$327="yes"),-Assumptions_Detailed!Z$198,IF(SUM($H$952:Z952)&gt;0,IF(SUM($H$959:Z959)&lt;$C$974,MAX($C$974-SUM($G$974:Y974),Z959),Z959),0))</f>
        <v>0</v>
      </c>
      <c r="AA974" s="32">
        <f>IF(AND(AA952=1,Assumptions!$H$328="Detailed",Assumptions!$H$327="yes"),-Assumptions_Detailed!AA$198,IF(SUM($H$952:AA952)&gt;0,IF(SUM($H$959:AA959)&lt;$C$974,MAX($C$974-SUM($G$974:Z974),AA959),AA959),0))</f>
        <v>0</v>
      </c>
      <c r="AB974" s="32">
        <f>IF(AND(AB952=1,Assumptions!$H$328="Detailed",Assumptions!$H$327="yes"),-Assumptions_Detailed!AB$198,IF(SUM($H$952:AB952)&gt;0,IF(SUM($H$959:AB959)&lt;$C$974,MAX($C$974-SUM($G$974:AA974),AB959),AB959),0))</f>
        <v>0</v>
      </c>
      <c r="AC974" s="32">
        <f>IF(AND(AC952=1,Assumptions!$H$328="Detailed",Assumptions!$H$327="yes"),-Assumptions_Detailed!AC$198,IF(SUM($H$952:AC952)&gt;0,IF(SUM($H$959:AC959)&lt;$C$974,MAX($C$974-SUM($G$974:AB974),AC959),AC959),0))</f>
        <v>0</v>
      </c>
      <c r="AD974" s="32">
        <f>IF(AND(AD952=1,Assumptions!$H$328="Detailed",Assumptions!$H$327="yes"),-Assumptions_Detailed!AD$198,IF(SUM($H$952:AD952)&gt;0,IF(SUM($H$959:AD959)&lt;$C$974,MAX($C$974-SUM($G$974:AC974),AD959),AD959),0))</f>
        <v>0</v>
      </c>
      <c r="AE974" s="32">
        <f>IF(AND(AE952=1,Assumptions!$H$328="Detailed",Assumptions!$H$327="yes"),-Assumptions_Detailed!AE$198,IF(SUM($H$952:AE952)&gt;0,IF(SUM($H$959:AE959)&lt;$C$974,MAX($C$974-SUM($G$974:AD974),AE959),AE959),0))</f>
        <v>0</v>
      </c>
      <c r="AF974" s="32">
        <f>IF(AND(AF952=1,Assumptions!$H$328="Detailed",Assumptions!$H$327="yes"),-Assumptions_Detailed!AF$198,IF(SUM($H$952:AF952)&gt;0,IF(SUM($H$959:AF959)&lt;$C$974,MAX($C$974-SUM($G$974:AE974),AF959),AF959),0))</f>
        <v>0</v>
      </c>
      <c r="AG974" s="32">
        <f>IF(AND(AG952=1,Assumptions!$H$328="Detailed",Assumptions!$H$327="yes"),-Assumptions_Detailed!AG$198,IF(SUM($H$952:AG952)&gt;0,IF(SUM($H$959:AG959)&lt;$C$974,MAX($C$974-SUM($G$974:AF974),AG959),AG959),0))</f>
        <v>0</v>
      </c>
      <c r="AH974" s="32">
        <f>IF(AND(AH952=1,Assumptions!$H$328="Detailed",Assumptions!$H$327="yes"),-Assumptions_Detailed!AH$198,IF(SUM($H$952:AH952)&gt;0,IF(SUM($H$959:AH959)&lt;$C$974,MAX($C$974-SUM($G$974:AG974),AH959),AH959),0))</f>
        <v>0</v>
      </c>
      <c r="AI974" s="32">
        <f>IF(AND(AI952=1,Assumptions!$H$328="Detailed",Assumptions!$H$327="yes"),-Assumptions_Detailed!AI$198,IF(SUM($H$952:AI952)&gt;0,IF(SUM($H$959:AI959)&lt;$C$974,MAX($C$974-SUM($G$974:AH974),AI959),AI959),0))</f>
        <v>0</v>
      </c>
      <c r="AJ974" s="32">
        <f>IF(AND(AJ952=1,Assumptions!$H$328="Detailed",Assumptions!$H$327="yes"),-Assumptions_Detailed!AJ$198,IF(SUM($H$952:AJ952)&gt;0,IF(SUM($H$959:AJ959)&lt;$C$974,MAX($C$974-SUM($G$974:AI974),AJ959),AJ959),0))</f>
        <v>0</v>
      </c>
      <c r="AK974" s="32">
        <f>IF(AND(AK952=1,Assumptions!$H$328="Detailed",Assumptions!$H$327="yes"),-Assumptions_Detailed!AK$198,IF(SUM($H$952:AK952)&gt;0,IF(SUM($H$959:AK959)&lt;$C$974,MAX($C$974-SUM($G$974:AJ974),AK959),AK959),0))</f>
        <v>0</v>
      </c>
      <c r="AL974" s="32">
        <f>IF(AND(AL952=1,Assumptions!$H$328="Detailed",Assumptions!$H$327="yes"),-Assumptions_Detailed!AL$198,IF(SUM($H$952:AL952)&gt;0,IF(SUM($H$959:AL959)&lt;$C$974,MAX($C$974-SUM($G$974:AK974),AL959),AL959),0))</f>
        <v>0</v>
      </c>
      <c r="AM974" s="32">
        <f>IF(AND(AM952=1,Assumptions!$H$328="Detailed",Assumptions!$H$327="yes"),-Assumptions_Detailed!AM$198,IF(SUM($H$952:AM952)&gt;0,IF(SUM($H$959:AM959)&lt;$C$974,MAX($C$974-SUM($G$974:AL974),AM959),AM959),0))</f>
        <v>0</v>
      </c>
      <c r="AN974" s="32">
        <f>IF(AND(AN952=1,Assumptions!$H$328="Detailed",Assumptions!$H$327="yes"),-Assumptions_Detailed!AN$198,IF(SUM($H$952:AN952)&gt;0,IF(SUM($H$959:AN959)&lt;$C$974,MAX($C$974-SUM($G$974:AM974),AN959),AN959),0))</f>
        <v>0</v>
      </c>
      <c r="AO974" s="32">
        <f>IF(AND(AO952=1,Assumptions!$H$328="Detailed",Assumptions!$H$327="yes"),-Assumptions_Detailed!AO$198,IF(SUM($H$952:AO952)&gt;0,IF(SUM($H$959:AO959)&lt;$C$974,MAX($C$974-SUM($G$974:AN974),AO959),AO959),0))</f>
        <v>0</v>
      </c>
      <c r="AP974" s="32">
        <f>IF(AND(AP952=1,Assumptions!$H$328="Detailed",Assumptions!$H$327="yes"),-Assumptions_Detailed!AP$198,IF(SUM($H$952:AP952)&gt;0,IF(SUM($H$959:AP959)&lt;$C$974,MAX($C$974-SUM($G$974:AO974),AP959),AP959),0))</f>
        <v>0</v>
      </c>
      <c r="AQ974" s="32">
        <f>IF(AND(AQ952=1,Assumptions!$H$328="Detailed",Assumptions!$H$327="yes"),-Assumptions_Detailed!AQ$198,IF(SUM($H$952:AQ952)&gt;0,IF(SUM($H$959:AQ959)&lt;$C$974,MAX($C$974-SUM($G$974:AP974),AQ959),AQ959),0))</f>
        <v>0</v>
      </c>
      <c r="AR974" s="32">
        <f>IF(AND(AR952=1,Assumptions!$H$328="Detailed",Assumptions!$H$327="yes"),-Assumptions_Detailed!AR$198,IF(SUM($H$952:AR952)&gt;0,IF(SUM($H$959:AR959)&lt;$C$974,MAX($C$974-SUM($G$974:AQ974),AR959),AR959),0))</f>
        <v>0</v>
      </c>
      <c r="AS974" s="32">
        <f>IF(AND(AS952=1,Assumptions!$H$328="Detailed",Assumptions!$H$327="yes"),-Assumptions_Detailed!AS$198,IF(SUM($H$952:AS952)&gt;0,IF(SUM($H$959:AS959)&lt;$C$974,MAX($C$974-SUM($G$974:AR974),AS959),AS959),0))</f>
        <v>0</v>
      </c>
      <c r="AT974" s="32">
        <f>IF(AND(AT952=1,Assumptions!$H$328="Detailed",Assumptions!$H$327="yes"),-Assumptions_Detailed!AT$198,IF(SUM($H$952:AT952)&gt;0,IF(SUM($H$959:AT959)&lt;$C$974,MAX($C$974-SUM($G$974:AS974),AT959),AT959),0))</f>
        <v>0</v>
      </c>
      <c r="AU974" s="32">
        <f>IF(AND(AU952=1,Assumptions!$H$328="Detailed",Assumptions!$H$327="yes"),-Assumptions_Detailed!AU$198,IF(SUM($H$952:AU952)&gt;0,IF(SUM($H$959:AU959)&lt;$C$974,MAX($C$974-SUM($G$974:AT974),AU959),AU959),0))</f>
        <v>0</v>
      </c>
      <c r="AV974" s="32">
        <f>IF(AND(AV952=1,Assumptions!$H$328="Detailed",Assumptions!$H$327="yes"),-Assumptions_Detailed!AV$198,IF(SUM($H$952:AV952)&gt;0,IF(SUM($H$959:AV959)&lt;$C$974,MAX($C$974-SUM($G$974:AU974),AV959),AV959),0))</f>
        <v>0</v>
      </c>
      <c r="AW974" s="32">
        <f>IF(AND(AW952=1,Assumptions!$H$328="Detailed",Assumptions!$H$327="yes"),-Assumptions_Detailed!AW$198,IF(SUM($H$952:AW952)&gt;0,IF(SUM($H$959:AW959)&lt;$C$974,MAX($C$974-SUM($G$974:AV974),AW959),AW959),0))</f>
        <v>0</v>
      </c>
      <c r="AX974" s="32">
        <f>IF(AND(AX952=1,Assumptions!$H$328="Detailed",Assumptions!$H$327="yes"),-Assumptions_Detailed!AX$198,IF(SUM($H$952:AX952)&gt;0,IF(SUM($H$959:AX959)&lt;$C$974,MAX($C$974-SUM($G$974:AW974),AX959),AX959),0))</f>
        <v>0</v>
      </c>
      <c r="AY974" s="32">
        <f>IF(AND(AY952=1,Assumptions!$H$328="Detailed",Assumptions!$H$327="yes"),-Assumptions_Detailed!AY$198,IF(SUM($H$952:AY952)&gt;0,IF(SUM($H$959:AY959)&lt;$C$974,MAX($C$974-SUM($G$974:AX974),AY959),AY959),0))</f>
        <v>0</v>
      </c>
      <c r="AZ974" s="32">
        <f>IF(AND(AZ952=1,Assumptions!$H$328="Detailed",Assumptions!$H$327="yes"),-Assumptions_Detailed!AZ$198,IF(SUM($H$952:AZ952)&gt;0,IF(SUM($H$959:AZ959)&lt;$C$974,MAX($C$974-SUM($G$974:AY974),AZ959),AZ959),0))</f>
        <v>0</v>
      </c>
      <c r="BA974" s="32">
        <f>IF(AND(BA952=1,Assumptions!$H$328="Detailed",Assumptions!$H$327="yes"),-Assumptions_Detailed!BA$198,IF(SUM($H$952:BA952)&gt;0,IF(SUM($H$959:BA959)&lt;$C$974,MAX($C$974-SUM($G$974:AZ974),BA959),BA959),0))</f>
        <v>0</v>
      </c>
      <c r="BB974" s="32">
        <f>IF(AND(BB952=1,Assumptions!$H$328="Detailed",Assumptions!$H$327="yes"),-Assumptions_Detailed!BB$198,IF(SUM($H$952:BB952)&gt;0,IF(SUM($H$959:BB959)&lt;$C$974,MAX($C$974-SUM($G$974:BA974),BB959),BB959),0))</f>
        <v>0</v>
      </c>
      <c r="BC974" s="32">
        <f>IF(AND(BC952=1,Assumptions!$H$328="Detailed",Assumptions!$H$327="yes"),-Assumptions_Detailed!BC$198,IF(SUM($H$952:BC952)&gt;0,IF(SUM($H$959:BC959)&lt;$C$974,MAX($C$974-SUM($G$974:BB974),BC959),BC959),0))</f>
        <v>0</v>
      </c>
      <c r="BD974" s="32">
        <f>IF(AND(BD952=1,Assumptions!$H$328="Detailed",Assumptions!$H$327="yes"),-Assumptions_Detailed!BD$198,IF(SUM($H$952:BD952)&gt;0,IF(SUM($H$959:BD959)&lt;$C$974,MAX($C$974-SUM($G$974:BC974),BD959),BD959),0))</f>
        <v>0</v>
      </c>
      <c r="BE974" s="32">
        <f>IF(AND(BE952=1,Assumptions!$H$328="Detailed",Assumptions!$H$327="yes"),-Assumptions_Detailed!BE$198,IF(SUM($H$952:BE952)&gt;0,IF(SUM($H$959:BE959)&lt;$C$974,MAX($C$974-SUM($G$974:BD974),BE959),BE959),0))</f>
        <v>0</v>
      </c>
      <c r="BF974" s="32">
        <f>IF(AND(BF952=1,Assumptions!$H$328="Detailed",Assumptions!$H$327="yes"),-Assumptions_Detailed!BF$198,IF(SUM($H$952:BF952)&gt;0,IF(SUM($H$959:BF959)&lt;$C$974,MAX($C$974-SUM($G$974:BE974),BF959),BF959),0))</f>
        <v>0</v>
      </c>
      <c r="BG974" s="32">
        <f>IF(AND(BG952=1,Assumptions!$H$328="Detailed",Assumptions!$H$327="yes"),-Assumptions_Detailed!BG$198,IF(SUM($H$952:BG952)&gt;0,IF(SUM($H$959:BG959)&lt;$C$974,MAX($C$974-SUM($G$974:BF974),BG959),BG959),0))</f>
        <v>0</v>
      </c>
      <c r="BH974" s="32">
        <f>IF(AND(BH952=1,Assumptions!$H$328="Detailed",Assumptions!$H$327="yes"),-Assumptions_Detailed!BH$198,IF(SUM($H$952:BH952)&gt;0,IF(SUM($H$959:BH959)&lt;$C$974,MAX($C$974-SUM($G$974:BG974),BH959),BH959),0))</f>
        <v>0</v>
      </c>
      <c r="BI974" s="32">
        <f>IF(AND(BI952=1,Assumptions!$H$328="Detailed",Assumptions!$H$327="yes"),-Assumptions_Detailed!BI$198,IF(SUM($H$952:BI952)&gt;0,IF(SUM($H$959:BI959)&lt;$C$974,MAX($C$974-SUM($G$974:BH974),BI959),BI959),0))</f>
        <v>0</v>
      </c>
      <c r="BJ974" s="32">
        <f>IF(AND(BJ952=1,Assumptions!$H$328="Detailed",Assumptions!$H$327="yes"),-Assumptions_Detailed!BJ$198,IF(SUM($H$952:BJ952)&gt;0,IF(SUM($H$959:BJ959)&lt;$C$974,MAX($C$974-SUM($G$974:BI974),BJ959),BJ959),0))</f>
        <v>0</v>
      </c>
      <c r="BK974" s="32">
        <f>IF(AND(BK952=1,Assumptions!$H$328="Detailed",Assumptions!$H$327="yes"),-Assumptions_Detailed!BK$198,IF(SUM($H$952:BK952)&gt;0,IF(SUM($H$959:BK959)&lt;$C$974,MAX($C$974-SUM($G$974:BJ974),BK959),BK959),0))</f>
        <v>0</v>
      </c>
      <c r="BL974" s="32">
        <f>IF(AND(BL952=1,Assumptions!$H$328="Detailed",Assumptions!$H$327="yes"),-Assumptions_Detailed!BL$198,IF(SUM($H$952:BL952)&gt;0,IF(SUM($H$959:BL959)&lt;$C$974,MAX($C$974-SUM($G$974:BK974),BL959),BL959),0))</f>
        <v>0</v>
      </c>
      <c r="BM974" s="32">
        <f>IF(AND(BM952=1,Assumptions!$H$328="Detailed",Assumptions!$H$327="yes"),-Assumptions_Detailed!BM$198,IF(SUM($H$952:BM952)&gt;0,IF(SUM($H$959:BM959)&lt;$C$974,MAX($C$974-SUM($G$974:BL974),BM959),BM959),0))</f>
        <v>0</v>
      </c>
      <c r="BN974" s="32">
        <f>IF(AND(BN952=1,Assumptions!$H$328="Detailed",Assumptions!$H$327="yes"),-Assumptions_Detailed!BN$198,IF(SUM($H$952:BN952)&gt;0,IF(SUM($H$959:BN959)&lt;$C$974,MAX($C$974-SUM($G$974:BM974),BN959),BN959),0))</f>
        <v>0</v>
      </c>
      <c r="BO974" s="32">
        <f>IF(AND(BO952=1,Assumptions!$H$328="Detailed",Assumptions!$H$327="yes"),-Assumptions_Detailed!BO$198,IF(SUM($H$952:BO952)&gt;0,IF(SUM($H$959:BO959)&lt;$C$974,MAX($C$974-SUM($G$974:BN974),BO959),BO959),0))</f>
        <v>0</v>
      </c>
      <c r="BP974" s="32">
        <f>IF(AND(BP952=1,Assumptions!$H$328="Detailed",Assumptions!$H$327="yes"),-Assumptions_Detailed!BP$198,IF(SUM($H$952:BP952)&gt;0,IF(SUM($H$959:BP959)&lt;$C$974,MAX($C$974-SUM($G$974:BO974),BP959),BP959),0))</f>
        <v>0</v>
      </c>
      <c r="BQ974" s="32">
        <f>IF(AND(BQ952=1,Assumptions!$H$328="Detailed",Assumptions!$H$327="yes"),-Assumptions_Detailed!BQ$198,IF(SUM($H$952:BQ952)&gt;0,IF(SUM($H$959:BQ959)&lt;$C$974,MAX($C$974-SUM($G$974:BP974),BQ959),BQ959),0))</f>
        <v>0</v>
      </c>
      <c r="BR974" s="32">
        <f>IF(AND(BR952=1,Assumptions!$H$328="Detailed",Assumptions!$H$327="yes"),-Assumptions_Detailed!BR$198,IF(SUM($H$952:BR952)&gt;0,IF(SUM($H$959:BR959)&lt;$C$974,MAX($C$974-SUM($G$974:BQ974),BR959),BR959),0))</f>
        <v>0</v>
      </c>
      <c r="BS974" s="32">
        <f>IF(AND(BS952=1,Assumptions!$H$328="Detailed",Assumptions!$H$327="yes"),-Assumptions_Detailed!BS$198,IF(SUM($H$952:BS952)&gt;0,IF(SUM($H$959:BS959)&lt;$C$974,MAX($C$974-SUM($G$974:BR974),BS959),BS959),0))</f>
        <v>0</v>
      </c>
      <c r="BT974" s="32">
        <f>IF(AND(BT952=1,Assumptions!$H$328="Detailed",Assumptions!$H$327="yes"),-Assumptions_Detailed!BT$198,IF(SUM($H$952:BT952)&gt;0,IF(SUM($H$959:BT959)&lt;$C$974,MAX($C$974-SUM($G$974:BS974),BT959),BT959),0))</f>
        <v>0</v>
      </c>
      <c r="BU974" s="32">
        <f>IF(AND(BU952=1,Assumptions!$H$328="Detailed",Assumptions!$H$327="yes"),-Assumptions_Detailed!BU$198,IF(SUM($H$952:BU952)&gt;0,IF(SUM($H$959:BU959)&lt;$C$974,MAX($C$974-SUM($G$974:BT974),BU959),BU959),0))</f>
        <v>0</v>
      </c>
      <c r="BV974" s="32">
        <f>IF(AND(BV952=1,Assumptions!$H$328="Detailed",Assumptions!$H$327="yes"),-Assumptions_Detailed!BV$198,IF(SUM($H$952:BV952)&gt;0,IF(SUM($H$959:BV959)&lt;$C$974,MAX($C$974-SUM($G$974:BU974),BV959),BV959),0))</f>
        <v>0</v>
      </c>
      <c r="BW974" s="32">
        <f>IF(AND(BW952=1,Assumptions!$H$328="Detailed",Assumptions!$H$327="yes"),-Assumptions_Detailed!BW$198,IF(SUM($H$952:BW952)&gt;0,IF(SUM($H$959:BW959)&lt;$C$974,MAX($C$974-SUM($G$974:BV974),BW959),BW959),0))</f>
        <v>0</v>
      </c>
      <c r="BX974" s="32">
        <f>IF(AND(BX952=1,Assumptions!$H$328="Detailed",Assumptions!$H$327="yes"),-Assumptions_Detailed!BX$198,IF(SUM($H$952:BX952)&gt;0,IF(SUM($H$959:BX959)&lt;$C$974,MAX($C$974-SUM($G$974:BW974),BX959),BX959),0))</f>
        <v>0</v>
      </c>
      <c r="BY974" s="32">
        <f>IF(AND(BY952=1,Assumptions!$H$328="Detailed",Assumptions!$H$327="yes"),-Assumptions_Detailed!BY$198,IF(SUM($H$952:BY952)&gt;0,IF(SUM($H$959:BY959)&lt;$C$974,MAX($C$974-SUM($G$974:BX974),BY959),BY959),0))</f>
        <v>0</v>
      </c>
    </row>
    <row r="975" spans="2:77" outlineLevel="1"/>
    <row r="976" spans="2:77" outlineLevel="1"/>
    <row r="977" spans="3:77" ht="15" outlineLevel="1">
      <c r="C977" s="22" t="s">
        <v>497</v>
      </c>
      <c r="D977" s="31"/>
    </row>
    <row r="978" spans="3:77" ht="15" outlineLevel="1">
      <c r="C978" s="68" t="str">
        <f>+Assumptions!H338</f>
        <v>Equity-first</v>
      </c>
      <c r="D978" s="28"/>
      <c r="E978" s="22" t="s">
        <v>457</v>
      </c>
      <c r="H978" s="32"/>
      <c r="BF978" s="33"/>
      <c r="BG978" s="33"/>
      <c r="BH978" s="33"/>
      <c r="BI978" s="33"/>
      <c r="BJ978" s="33"/>
      <c r="BK978" s="33"/>
      <c r="BL978" s="33"/>
      <c r="BM978" s="33"/>
      <c r="BN978" s="33"/>
      <c r="BO978" s="33"/>
      <c r="BP978" s="33"/>
      <c r="BQ978" s="33"/>
      <c r="BR978" s="33"/>
      <c r="BS978" s="33"/>
      <c r="BT978" s="33"/>
      <c r="BU978" s="33"/>
      <c r="BV978" s="33"/>
      <c r="BW978" s="33"/>
      <c r="BX978" s="33"/>
      <c r="BY978" s="33"/>
    </row>
    <row r="979" spans="3:77" outlineLevel="1">
      <c r="C979" s="68" t="str">
        <f>+Assumptions!H339</f>
        <v>Annuity</v>
      </c>
      <c r="D979" s="28"/>
      <c r="E979" t="s">
        <v>458</v>
      </c>
      <c r="F979" s="80" t="str">
        <f>+Assumptions!$G$8</f>
        <v>USD</v>
      </c>
      <c r="H979" s="32">
        <f>IF(AND(H952=1,Assumptions!$H$328="Detailed",Assumptions!$H$327="yes"),-Assumptions_Detailed!H$201,MAX(IFERROR(H959-H974,0),$C$982-SUM($G$979:G979)))</f>
        <v>0</v>
      </c>
      <c r="I979" s="32">
        <f>IF(AND(I952=1,Assumptions!$H$328="Detailed",Assumptions!$H$327="yes"),-Assumptions_Detailed!I$201,MAX(IFERROR(I959-I974,0),$C$982-SUM($G$979:H979)))</f>
        <v>-33577120.511999995</v>
      </c>
      <c r="J979" s="32">
        <f>IF(AND(J952=1,Assumptions!$H$328="Detailed",Assumptions!$H$327="yes"),-Assumptions_Detailed!J$201,MAX(IFERROR(J959-J974,0),$C$982-SUM($G$979:I979)))</f>
        <v>-178378452.72</v>
      </c>
      <c r="K979" s="32">
        <f>IF(AND(K952=1,Assumptions!$H$328="Detailed",Assumptions!$H$327="yes"),-Assumptions_Detailed!K$201,MAX(IFERROR(K959-K974,0),$C$982-SUM($G$979:J979)))</f>
        <v>0</v>
      </c>
      <c r="L979" s="32">
        <f>IF(AND(L952=1,Assumptions!$H$328="Detailed",Assumptions!$H$327="yes"),-Assumptions_Detailed!L$201,MAX(IFERROR(L959-L974,0),$C$982-SUM($G$979:K979)))</f>
        <v>0</v>
      </c>
      <c r="M979" s="32">
        <f>IF(AND(M952=1,Assumptions!$H$328="Detailed",Assumptions!$H$327="yes"),-Assumptions_Detailed!M$201,MAX(IFERROR(M959-M974,0),$C$982-SUM($G$979:L979)))</f>
        <v>0</v>
      </c>
      <c r="N979" s="32">
        <f>IF(AND(N952=1,Assumptions!$H$328="Detailed",Assumptions!$H$327="yes"),-Assumptions_Detailed!N$201,MAX(IFERROR(N959-N974,0),$C$982-SUM($G$979:M979)))</f>
        <v>0</v>
      </c>
      <c r="O979" s="32">
        <f>IF(AND(O952=1,Assumptions!$H$328="Detailed",Assumptions!$H$327="yes"),-Assumptions_Detailed!O$201,MAX(IFERROR(O959-O974,0),$C$982-SUM($G$979:N979)))</f>
        <v>0</v>
      </c>
      <c r="P979" s="32">
        <f>IF(AND(P952=1,Assumptions!$H$328="Detailed",Assumptions!$H$327="yes"),-Assumptions_Detailed!P$201,MAX(IFERROR(P959-P974,0),$C$982-SUM($G$979:O979)))</f>
        <v>0</v>
      </c>
      <c r="Q979" s="32">
        <f>IF(AND(Q952=1,Assumptions!$H$328="Detailed",Assumptions!$H$327="yes"),-Assumptions_Detailed!Q$201,MAX(IFERROR(Q959-Q974,0),$C$982-SUM($G$979:P979)))</f>
        <v>0</v>
      </c>
      <c r="R979" s="32">
        <f>IF(AND(R952=1,Assumptions!$H$328="Detailed",Assumptions!$H$327="yes"),-Assumptions_Detailed!R$201,MAX(IFERROR(R959-R974,0),$C$982-SUM($G$979:Q979)))</f>
        <v>0</v>
      </c>
      <c r="S979" s="32">
        <f>IF(AND(S952=1,Assumptions!$H$328="Detailed",Assumptions!$H$327="yes"),-Assumptions_Detailed!S$201,MAX(IFERROR(S959-S974,0),$C$982-SUM($G$979:R979)))</f>
        <v>0</v>
      </c>
      <c r="T979" s="32">
        <f>IF(AND(T952=1,Assumptions!$H$328="Detailed",Assumptions!$H$327="yes"),-Assumptions_Detailed!T$201,MAX(IFERROR(T959-T974,0),$C$982-SUM($G$979:S979)))</f>
        <v>0</v>
      </c>
      <c r="U979" s="32">
        <f>IF(AND(U952=1,Assumptions!$H$328="Detailed",Assumptions!$H$327="yes"),-Assumptions_Detailed!U$201,MAX(IFERROR(U959-U974,0),$C$982-SUM($G$979:T979)))</f>
        <v>0</v>
      </c>
      <c r="V979" s="32">
        <f>IF(AND(V952=1,Assumptions!$H$328="Detailed",Assumptions!$H$327="yes"),-Assumptions_Detailed!V$201,MAX(IFERROR(V959-V974,0),$C$982-SUM($G$979:U979)))</f>
        <v>0</v>
      </c>
      <c r="W979" s="32">
        <f>IF(AND(W952=1,Assumptions!$H$328="Detailed",Assumptions!$H$327="yes"),-Assumptions_Detailed!W$201,MAX(IFERROR(W959-W974,0),$C$982-SUM($G$979:V979)))</f>
        <v>0</v>
      </c>
      <c r="X979" s="32">
        <f>IF(AND(X952=1,Assumptions!$H$328="Detailed",Assumptions!$H$327="yes"),-Assumptions_Detailed!X$201,MAX(IFERROR(X959-X974,0),$C$982-SUM($G$979:W979)))</f>
        <v>0</v>
      </c>
      <c r="Y979" s="32">
        <f>IF(AND(Y952=1,Assumptions!$H$328="Detailed",Assumptions!$H$327="yes"),-Assumptions_Detailed!Y$201,MAX(IFERROR(Y959-Y974,0),$C$982-SUM($G$979:X979)))</f>
        <v>0</v>
      </c>
      <c r="Z979" s="32">
        <f>IF(AND(Z952=1,Assumptions!$H$328="Detailed",Assumptions!$H$327="yes"),-Assumptions_Detailed!Z$201,MAX(IFERROR(Z959-Z974,0),$C$982-SUM($G$979:Y979)))</f>
        <v>0</v>
      </c>
      <c r="AA979" s="32">
        <f>IF(AND(AA952=1,Assumptions!$H$328="Detailed",Assumptions!$H$327="yes"),-Assumptions_Detailed!AA$201,MAX(IFERROR(AA959-AA974,0),$C$982-SUM($G$979:Z979)))</f>
        <v>0</v>
      </c>
      <c r="AB979" s="32">
        <f>IF(AND(AB952=1,Assumptions!$H$328="Detailed",Assumptions!$H$327="yes"),-Assumptions_Detailed!AB$201,MAX(IFERROR(AB959-AB974,0),$C$982-SUM($G$979:AA979)))</f>
        <v>0</v>
      </c>
      <c r="AC979" s="32">
        <f>IF(AND(AC952=1,Assumptions!$H$328="Detailed",Assumptions!$H$327="yes"),-Assumptions_Detailed!AC$201,MAX(IFERROR(AC959-AC974,0),$C$982-SUM($G$979:AB979)))</f>
        <v>0</v>
      </c>
      <c r="AD979" s="32">
        <f>IF(AND(AD952=1,Assumptions!$H$328="Detailed",Assumptions!$H$327="yes"),-Assumptions_Detailed!AD$201,MAX(IFERROR(AD959-AD974,0),$C$982-SUM($G$979:AC979)))</f>
        <v>0</v>
      </c>
      <c r="AE979" s="32">
        <f>IF(AND(AE952=1,Assumptions!$H$328="Detailed",Assumptions!$H$327="yes"),-Assumptions_Detailed!AE$201,MAX(IFERROR(AE959-AE974,0),$C$982-SUM($G$979:AD979)))</f>
        <v>0</v>
      </c>
      <c r="AF979" s="32">
        <f>IF(AND(AF952=1,Assumptions!$H$328="Detailed",Assumptions!$H$327="yes"),-Assumptions_Detailed!AF$201,MAX(IFERROR(AF959-AF974,0),$C$982-SUM($G$979:AE979)))</f>
        <v>0</v>
      </c>
      <c r="AG979" s="32">
        <f>IF(AND(AG952=1,Assumptions!$H$328="Detailed",Assumptions!$H$327="yes"),-Assumptions_Detailed!AG$201,MAX(IFERROR(AG959-AG974,0),$C$982-SUM($G$979:AF979)))</f>
        <v>0</v>
      </c>
      <c r="AH979" s="32">
        <f>IF(AND(AH952=1,Assumptions!$H$328="Detailed",Assumptions!$H$327="yes"),-Assumptions_Detailed!AH$201,MAX(IFERROR(AH959-AH974,0),$C$982-SUM($G$979:AG979)))</f>
        <v>0</v>
      </c>
      <c r="AI979" s="32">
        <f>IF(AND(AI952=1,Assumptions!$H$328="Detailed",Assumptions!$H$327="yes"),-Assumptions_Detailed!AI$201,MAX(IFERROR(AI959-AI974,0),$C$982-SUM($G$979:AH979)))</f>
        <v>0</v>
      </c>
      <c r="AJ979" s="32">
        <f>IF(AND(AJ952=1,Assumptions!$H$328="Detailed",Assumptions!$H$327="yes"),-Assumptions_Detailed!AJ$201,MAX(IFERROR(AJ959-AJ974,0),$C$982-SUM($G$979:AI979)))</f>
        <v>0</v>
      </c>
      <c r="AK979" s="32">
        <f>IF(AND(AK952=1,Assumptions!$H$328="Detailed",Assumptions!$H$327="yes"),-Assumptions_Detailed!AK$201,MAX(IFERROR(AK959-AK974,0),$C$982-SUM($G$979:AJ979)))</f>
        <v>0</v>
      </c>
      <c r="AL979" s="32">
        <f>IF(AND(AL952=1,Assumptions!$H$328="Detailed",Assumptions!$H$327="yes"),-Assumptions_Detailed!AL$201,MAX(IFERROR(AL959-AL974,0),$C$982-SUM($G$979:AK979)))</f>
        <v>0</v>
      </c>
      <c r="AM979" s="32">
        <f>IF(AND(AM952=1,Assumptions!$H$328="Detailed",Assumptions!$H$327="yes"),-Assumptions_Detailed!AM$201,MAX(IFERROR(AM959-AM974,0),$C$982-SUM($G$979:AL979)))</f>
        <v>0</v>
      </c>
      <c r="AN979" s="32">
        <f>IF(AND(AN952=1,Assumptions!$H$328="Detailed",Assumptions!$H$327="yes"),-Assumptions_Detailed!AN$201,MAX(IFERROR(AN959-AN974,0),$C$982-SUM($G$979:AM979)))</f>
        <v>0</v>
      </c>
      <c r="AO979" s="32">
        <f>IF(AND(AO952=1,Assumptions!$H$328="Detailed",Assumptions!$H$327="yes"),-Assumptions_Detailed!AO$201,MAX(IFERROR(AO959-AO974,0),$C$982-SUM($G$979:AN979)))</f>
        <v>0</v>
      </c>
      <c r="AP979" s="32">
        <f>IF(AND(AP952=1,Assumptions!$H$328="Detailed",Assumptions!$H$327="yes"),-Assumptions_Detailed!AP$201,MAX(IFERROR(AP959-AP974,0),$C$982-SUM($G$979:AO979)))</f>
        <v>0</v>
      </c>
      <c r="AQ979" s="32">
        <f>IF(AND(AQ952=1,Assumptions!$H$328="Detailed",Assumptions!$H$327="yes"),-Assumptions_Detailed!AQ$201,MAX(IFERROR(AQ959-AQ974,0),$C$982-SUM($G$979:AP979)))</f>
        <v>0</v>
      </c>
      <c r="AR979" s="32">
        <f>IF(AND(AR952=1,Assumptions!$H$328="Detailed",Assumptions!$H$327="yes"),-Assumptions_Detailed!AR$201,MAX(IFERROR(AR959-AR974,0),$C$982-SUM($G$979:AQ979)))</f>
        <v>0</v>
      </c>
      <c r="AS979" s="32">
        <f>IF(AND(AS952=1,Assumptions!$H$328="Detailed",Assumptions!$H$327="yes"),-Assumptions_Detailed!AS$201,MAX(IFERROR(AS959-AS974,0),$C$982-SUM($G$979:AR979)))</f>
        <v>0</v>
      </c>
      <c r="AT979" s="32">
        <f>IF(AND(AT952=1,Assumptions!$H$328="Detailed",Assumptions!$H$327="yes"),-Assumptions_Detailed!AT$201,MAX(IFERROR(AT959-AT974,0),$C$982-SUM($G$979:AS979)))</f>
        <v>0</v>
      </c>
      <c r="AU979" s="32">
        <f>IF(AND(AU952=1,Assumptions!$H$328="Detailed",Assumptions!$H$327="yes"),-Assumptions_Detailed!AU$201,MAX(IFERROR(AU959-AU974,0),$C$982-SUM($G$979:AT979)))</f>
        <v>0</v>
      </c>
      <c r="AV979" s="32">
        <f>IF(AND(AV952=1,Assumptions!$H$328="Detailed",Assumptions!$H$327="yes"),-Assumptions_Detailed!AV$201,MAX(IFERROR(AV959-AV974,0),$C$982-SUM($G$979:AU979)))</f>
        <v>0</v>
      </c>
      <c r="AW979" s="32">
        <f>IF(AND(AW952=1,Assumptions!$H$328="Detailed",Assumptions!$H$327="yes"),-Assumptions_Detailed!AW$201,MAX(IFERROR(AW959-AW974,0),$C$982-SUM($G$979:AV979)))</f>
        <v>0</v>
      </c>
      <c r="AX979" s="32">
        <f>IF(AND(AX952=1,Assumptions!$H$328="Detailed",Assumptions!$H$327="yes"),-Assumptions_Detailed!AX$201,MAX(IFERROR(AX959-AX974,0),$C$982-SUM($G$979:AW979)))</f>
        <v>0</v>
      </c>
      <c r="AY979" s="32">
        <f>IF(AND(AY952=1,Assumptions!$H$328="Detailed",Assumptions!$H$327="yes"),-Assumptions_Detailed!AY$201,MAX(IFERROR(AY959-AY974,0),$C$982-SUM($G$979:AX979)))</f>
        <v>0</v>
      </c>
      <c r="AZ979" s="32">
        <f>IF(AND(AZ952=1,Assumptions!$H$328="Detailed",Assumptions!$H$327="yes"),-Assumptions_Detailed!AZ$201,MAX(IFERROR(AZ959-AZ974,0),$C$982-SUM($G$979:AY979)))</f>
        <v>0</v>
      </c>
      <c r="BA979" s="32">
        <f>IF(AND(BA952=1,Assumptions!$H$328="Detailed",Assumptions!$H$327="yes"),-Assumptions_Detailed!BA$201,MAX(IFERROR(BA959-BA974,0),$C$982-SUM($G$979:AZ979)))</f>
        <v>0</v>
      </c>
      <c r="BB979" s="32">
        <f>IF(AND(BB952=1,Assumptions!$H$328="Detailed",Assumptions!$H$327="yes"),-Assumptions_Detailed!BB$201,MAX(IFERROR(BB959-BB974,0),$C$982-SUM($G$979:BA979)))</f>
        <v>0</v>
      </c>
      <c r="BC979" s="32">
        <f>IF(AND(BC952=1,Assumptions!$H$328="Detailed",Assumptions!$H$327="yes"),-Assumptions_Detailed!BC$201,MAX(IFERROR(BC959-BC974,0),$C$982-SUM($G$979:BB979)))</f>
        <v>0</v>
      </c>
      <c r="BD979" s="32">
        <f>IF(AND(BD952=1,Assumptions!$H$328="Detailed",Assumptions!$H$327="yes"),-Assumptions_Detailed!BD$201,MAX(IFERROR(BD959-BD974,0),$C$982-SUM($G$979:BC979)))</f>
        <v>0</v>
      </c>
      <c r="BE979" s="32">
        <f>IF(AND(BE952=1,Assumptions!$H$328="Detailed",Assumptions!$H$327="yes"),-Assumptions_Detailed!BE$201,MAX(IFERROR(BE959-BE974,0),$C$982-SUM($G$979:BD979)))</f>
        <v>0</v>
      </c>
      <c r="BF979" s="32">
        <f>IF(AND(BF952=1,Assumptions!$H$328="Detailed",Assumptions!$H$327="yes"),-Assumptions_Detailed!BF$201,MAX(IFERROR(BF959-BF974,0),$C$982-SUM($G$979:BE979)))</f>
        <v>0</v>
      </c>
      <c r="BG979" s="32">
        <f>IF(AND(BG952=1,Assumptions!$H$328="Detailed",Assumptions!$H$327="yes"),-Assumptions_Detailed!BG$201,MAX(IFERROR(BG959-BG974,0),$C$982-SUM($G$979:BF979)))</f>
        <v>0</v>
      </c>
      <c r="BH979" s="32">
        <f>IF(AND(BH952=1,Assumptions!$H$328="Detailed",Assumptions!$H$327="yes"),-Assumptions_Detailed!BH$201,MAX(IFERROR(BH959-BH974,0),$C$982-SUM($G$979:BG979)))</f>
        <v>0</v>
      </c>
      <c r="BI979" s="32">
        <f>IF(AND(BI952=1,Assumptions!$H$328="Detailed",Assumptions!$H$327="yes"),-Assumptions_Detailed!BI$201,MAX(IFERROR(BI959-BI974,0),$C$982-SUM($G$979:BH979)))</f>
        <v>0</v>
      </c>
      <c r="BJ979" s="32">
        <f>IF(AND(BJ952=1,Assumptions!$H$328="Detailed",Assumptions!$H$327="yes"),-Assumptions_Detailed!BJ$201,MAX(IFERROR(BJ959-BJ974,0),$C$982-SUM($G$979:BI979)))</f>
        <v>0</v>
      </c>
      <c r="BK979" s="32">
        <f>IF(AND(BK952=1,Assumptions!$H$328="Detailed",Assumptions!$H$327="yes"),-Assumptions_Detailed!BK$201,MAX(IFERROR(BK959-BK974,0),$C$982-SUM($G$979:BJ979)))</f>
        <v>0</v>
      </c>
      <c r="BL979" s="32">
        <f>IF(AND(BL952=1,Assumptions!$H$328="Detailed",Assumptions!$H$327="yes"),-Assumptions_Detailed!BL$201,MAX(IFERROR(BL959-BL974,0),$C$982-SUM($G$979:BK979)))</f>
        <v>0</v>
      </c>
      <c r="BM979" s="32">
        <f>IF(AND(BM952=1,Assumptions!$H$328="Detailed",Assumptions!$H$327="yes"),-Assumptions_Detailed!BM$201,MAX(IFERROR(BM959-BM974,0),$C$982-SUM($G$979:BL979)))</f>
        <v>0</v>
      </c>
      <c r="BN979" s="32">
        <f>IF(AND(BN952=1,Assumptions!$H$328="Detailed",Assumptions!$H$327="yes"),-Assumptions_Detailed!BN$201,MAX(IFERROR(BN959-BN974,0),$C$982-SUM($G$979:BM979)))</f>
        <v>0</v>
      </c>
      <c r="BO979" s="32">
        <f>IF(AND(BO952=1,Assumptions!$H$328="Detailed",Assumptions!$H$327="yes"),-Assumptions_Detailed!BO$201,MAX(IFERROR(BO959-BO974,0),$C$982-SUM($G$979:BN979)))</f>
        <v>0</v>
      </c>
      <c r="BP979" s="32">
        <f>IF(AND(BP952=1,Assumptions!$H$328="Detailed",Assumptions!$H$327="yes"),-Assumptions_Detailed!BP$201,MAX(IFERROR(BP959-BP974,0),$C$982-SUM($G$979:BO979)))</f>
        <v>0</v>
      </c>
      <c r="BQ979" s="32">
        <f>IF(AND(BQ952=1,Assumptions!$H$328="Detailed",Assumptions!$H$327="yes"),-Assumptions_Detailed!BQ$201,MAX(IFERROR(BQ959-BQ974,0),$C$982-SUM($G$979:BP979)))</f>
        <v>0</v>
      </c>
      <c r="BR979" s="32">
        <f>IF(AND(BR952=1,Assumptions!$H$328="Detailed",Assumptions!$H$327="yes"),-Assumptions_Detailed!BR$201,MAX(IFERROR(BR959-BR974,0),$C$982-SUM($G$979:BQ979)))</f>
        <v>0</v>
      </c>
      <c r="BS979" s="32">
        <f>IF(AND(BS952=1,Assumptions!$H$328="Detailed",Assumptions!$H$327="yes"),-Assumptions_Detailed!BS$201,MAX(IFERROR(BS959-BS974,0),$C$982-SUM($G$979:BR979)))</f>
        <v>0</v>
      </c>
      <c r="BT979" s="32">
        <f>IF(AND(BT952=1,Assumptions!$H$328="Detailed",Assumptions!$H$327="yes"),-Assumptions_Detailed!BT$201,MAX(IFERROR(BT959-BT974,0),$C$982-SUM($G$979:BS979)))</f>
        <v>0</v>
      </c>
      <c r="BU979" s="32">
        <f>IF(AND(BU952=1,Assumptions!$H$328="Detailed",Assumptions!$H$327="yes"),-Assumptions_Detailed!BU$201,MAX(IFERROR(BU959-BU974,0),$C$982-SUM($G$979:BT979)))</f>
        <v>0</v>
      </c>
      <c r="BV979" s="32">
        <f>IF(AND(BV952=1,Assumptions!$H$328="Detailed",Assumptions!$H$327="yes"),-Assumptions_Detailed!BV$201,MAX(IFERROR(BV959-BV974,0),$C$982-SUM($G$979:BU979)))</f>
        <v>0</v>
      </c>
      <c r="BW979" s="32">
        <f>IF(AND(BW952=1,Assumptions!$H$328="Detailed",Assumptions!$H$327="yes"),-Assumptions_Detailed!BW$201,MAX(IFERROR(BW959-BW974,0),$C$982-SUM($G$979:BV979)))</f>
        <v>0</v>
      </c>
      <c r="BX979" s="32">
        <f>IF(AND(BX952=1,Assumptions!$H$328="Detailed",Assumptions!$H$327="yes"),-Assumptions_Detailed!BX$201,MAX(IFERROR(BX959-BX974,0),$C$982-SUM($G$979:BW979)))</f>
        <v>0</v>
      </c>
      <c r="BY979" s="32">
        <f>IF(AND(BY952=1,Assumptions!$H$328="Detailed",Assumptions!$H$327="yes"),-Assumptions_Detailed!BY$201,MAX(IFERROR(BY959-BY974,0),$C$982-SUM($G$979:BX979)))</f>
        <v>0</v>
      </c>
    </row>
    <row r="980" spans="3:77" outlineLevel="1">
      <c r="D980" s="31"/>
      <c r="BF980" s="33"/>
      <c r="BG980" s="33"/>
      <c r="BH980" s="33"/>
      <c r="BI980" s="33"/>
      <c r="BJ980" s="33"/>
      <c r="BK980" s="33"/>
      <c r="BL980" s="33"/>
      <c r="BM980" s="33"/>
      <c r="BN980" s="33"/>
      <c r="BO980" s="33"/>
      <c r="BP980" s="33"/>
      <c r="BQ980" s="33"/>
      <c r="BR980" s="33"/>
      <c r="BS980" s="33"/>
      <c r="BT980" s="33"/>
      <c r="BU980" s="33"/>
      <c r="BV980" s="33"/>
      <c r="BW980" s="33"/>
      <c r="BX980" s="33"/>
      <c r="BY980" s="33"/>
    </row>
    <row r="981" spans="3:77" ht="15" outlineLevel="1">
      <c r="C981" s="22" t="s">
        <v>498</v>
      </c>
      <c r="D981" s="31"/>
      <c r="BF981" s="33"/>
      <c r="BG981" s="33"/>
      <c r="BH981" s="33"/>
      <c r="BI981" s="33"/>
      <c r="BJ981" s="33"/>
      <c r="BK981" s="33"/>
      <c r="BL981" s="33"/>
      <c r="BM981" s="33"/>
      <c r="BN981" s="33"/>
      <c r="BO981" s="33"/>
      <c r="BP981" s="33"/>
      <c r="BQ981" s="33"/>
      <c r="BR981" s="33"/>
      <c r="BS981" s="33"/>
      <c r="BT981" s="33"/>
      <c r="BU981" s="33"/>
      <c r="BV981" s="33"/>
      <c r="BW981" s="33"/>
      <c r="BX981" s="33"/>
      <c r="BY981" s="33"/>
    </row>
    <row r="982" spans="3:77" outlineLevel="1">
      <c r="C982" s="94">
        <f>Assumptions!$H$332*C959</f>
        <v>-211955573.23200002</v>
      </c>
      <c r="D982" s="31"/>
      <c r="BF982" s="33"/>
      <c r="BG982" s="33"/>
      <c r="BH982" s="33"/>
      <c r="BI982" s="33"/>
      <c r="BJ982" s="33"/>
      <c r="BK982" s="33"/>
      <c r="BL982" s="33"/>
      <c r="BM982" s="33"/>
      <c r="BN982" s="33"/>
      <c r="BO982" s="33"/>
      <c r="BP982" s="33"/>
      <c r="BQ982" s="33"/>
      <c r="BR982" s="33"/>
      <c r="BS982" s="33"/>
      <c r="BT982" s="33"/>
      <c r="BU982" s="33"/>
      <c r="BV982" s="33"/>
      <c r="BW982" s="33"/>
      <c r="BX982" s="33"/>
      <c r="BY982" s="33"/>
    </row>
    <row r="983" spans="3:77" outlineLevel="1">
      <c r="D983" s="31"/>
      <c r="E983" t="s">
        <v>499</v>
      </c>
      <c r="F983" s="23" t="s">
        <v>500</v>
      </c>
      <c r="G983" s="33"/>
      <c r="H983" s="33">
        <f>+IF(AND(H$979=$C985,H$979&lt;0),1,0)</f>
        <v>0</v>
      </c>
      <c r="I983" s="33">
        <f t="shared" ref="I983:BT983" si="1960">+IF(AND(I$979=$C985,I$979&lt;0),1,0)</f>
        <v>1</v>
      </c>
      <c r="J983" s="33">
        <f t="shared" si="1960"/>
        <v>0</v>
      </c>
      <c r="K983" s="33">
        <f t="shared" si="1960"/>
        <v>0</v>
      </c>
      <c r="L983" s="33">
        <f t="shared" si="1960"/>
        <v>0</v>
      </c>
      <c r="M983" s="33">
        <f t="shared" si="1960"/>
        <v>0</v>
      </c>
      <c r="N983" s="33">
        <f t="shared" si="1960"/>
        <v>0</v>
      </c>
      <c r="O983" s="33">
        <f t="shared" si="1960"/>
        <v>0</v>
      </c>
      <c r="P983" s="33">
        <f t="shared" si="1960"/>
        <v>0</v>
      </c>
      <c r="Q983" s="33">
        <f t="shared" si="1960"/>
        <v>0</v>
      </c>
      <c r="R983" s="33">
        <f t="shared" si="1960"/>
        <v>0</v>
      </c>
      <c r="S983" s="33">
        <f t="shared" si="1960"/>
        <v>0</v>
      </c>
      <c r="T983" s="33">
        <f t="shared" si="1960"/>
        <v>0</v>
      </c>
      <c r="U983" s="33">
        <f t="shared" si="1960"/>
        <v>0</v>
      </c>
      <c r="V983" s="33">
        <f t="shared" si="1960"/>
        <v>0</v>
      </c>
      <c r="W983" s="33">
        <f t="shared" si="1960"/>
        <v>0</v>
      </c>
      <c r="X983" s="33">
        <f t="shared" si="1960"/>
        <v>0</v>
      </c>
      <c r="Y983" s="33">
        <f t="shared" si="1960"/>
        <v>0</v>
      </c>
      <c r="Z983" s="33">
        <f t="shared" si="1960"/>
        <v>0</v>
      </c>
      <c r="AA983" s="33">
        <f t="shared" si="1960"/>
        <v>0</v>
      </c>
      <c r="AB983" s="33">
        <f t="shared" si="1960"/>
        <v>0</v>
      </c>
      <c r="AC983" s="33">
        <f t="shared" si="1960"/>
        <v>0</v>
      </c>
      <c r="AD983" s="33">
        <f t="shared" si="1960"/>
        <v>0</v>
      </c>
      <c r="AE983" s="33">
        <f t="shared" si="1960"/>
        <v>0</v>
      </c>
      <c r="AF983" s="33">
        <f t="shared" si="1960"/>
        <v>0</v>
      </c>
      <c r="AG983" s="33">
        <f t="shared" si="1960"/>
        <v>0</v>
      </c>
      <c r="AH983" s="33">
        <f t="shared" si="1960"/>
        <v>0</v>
      </c>
      <c r="AI983" s="33">
        <f t="shared" si="1960"/>
        <v>0</v>
      </c>
      <c r="AJ983" s="33">
        <f t="shared" si="1960"/>
        <v>0</v>
      </c>
      <c r="AK983" s="33">
        <f t="shared" si="1960"/>
        <v>0</v>
      </c>
      <c r="AL983" s="33">
        <f t="shared" si="1960"/>
        <v>0</v>
      </c>
      <c r="AM983" s="33">
        <f t="shared" si="1960"/>
        <v>0</v>
      </c>
      <c r="AN983" s="33">
        <f t="shared" si="1960"/>
        <v>0</v>
      </c>
      <c r="AO983" s="33">
        <f t="shared" si="1960"/>
        <v>0</v>
      </c>
      <c r="AP983" s="33">
        <f t="shared" si="1960"/>
        <v>0</v>
      </c>
      <c r="AQ983" s="33">
        <f t="shared" si="1960"/>
        <v>0</v>
      </c>
      <c r="AR983" s="33">
        <f t="shared" si="1960"/>
        <v>0</v>
      </c>
      <c r="AS983" s="33">
        <f t="shared" si="1960"/>
        <v>0</v>
      </c>
      <c r="AT983" s="33">
        <f t="shared" si="1960"/>
        <v>0</v>
      </c>
      <c r="AU983" s="33">
        <f t="shared" si="1960"/>
        <v>0</v>
      </c>
      <c r="AV983" s="33">
        <f t="shared" si="1960"/>
        <v>0</v>
      </c>
      <c r="AW983" s="33">
        <f t="shared" si="1960"/>
        <v>0</v>
      </c>
      <c r="AX983" s="33">
        <f t="shared" si="1960"/>
        <v>0</v>
      </c>
      <c r="AY983" s="33">
        <f t="shared" si="1960"/>
        <v>0</v>
      </c>
      <c r="AZ983" s="33">
        <f t="shared" si="1960"/>
        <v>0</v>
      </c>
      <c r="BA983" s="33">
        <f t="shared" si="1960"/>
        <v>0</v>
      </c>
      <c r="BB983" s="33">
        <f t="shared" si="1960"/>
        <v>0</v>
      </c>
      <c r="BC983" s="33">
        <f t="shared" si="1960"/>
        <v>0</v>
      </c>
      <c r="BD983" s="33">
        <f t="shared" si="1960"/>
        <v>0</v>
      </c>
      <c r="BE983" s="33">
        <f t="shared" si="1960"/>
        <v>0</v>
      </c>
      <c r="BF983" s="33">
        <f t="shared" si="1960"/>
        <v>0</v>
      </c>
      <c r="BG983" s="33">
        <f t="shared" si="1960"/>
        <v>0</v>
      </c>
      <c r="BH983" s="33">
        <f t="shared" si="1960"/>
        <v>0</v>
      </c>
      <c r="BI983" s="33">
        <f t="shared" si="1960"/>
        <v>0</v>
      </c>
      <c r="BJ983" s="33">
        <f t="shared" si="1960"/>
        <v>0</v>
      </c>
      <c r="BK983" s="33">
        <f t="shared" si="1960"/>
        <v>0</v>
      </c>
      <c r="BL983" s="33">
        <f t="shared" si="1960"/>
        <v>0</v>
      </c>
      <c r="BM983" s="33">
        <f t="shared" si="1960"/>
        <v>0</v>
      </c>
      <c r="BN983" s="33">
        <f t="shared" si="1960"/>
        <v>0</v>
      </c>
      <c r="BO983" s="33">
        <f t="shared" si="1960"/>
        <v>0</v>
      </c>
      <c r="BP983" s="33">
        <f t="shared" si="1960"/>
        <v>0</v>
      </c>
      <c r="BQ983" s="33">
        <f t="shared" si="1960"/>
        <v>0</v>
      </c>
      <c r="BR983" s="33">
        <f t="shared" si="1960"/>
        <v>0</v>
      </c>
      <c r="BS983" s="33">
        <f t="shared" si="1960"/>
        <v>0</v>
      </c>
      <c r="BT983" s="33">
        <f t="shared" si="1960"/>
        <v>0</v>
      </c>
      <c r="BU983" s="33">
        <f t="shared" ref="BU983:BY983" si="1961">+IF(AND(BU$979=$C985,BU$979&lt;0),1,0)</f>
        <v>0</v>
      </c>
      <c r="BV983" s="33">
        <f t="shared" si="1961"/>
        <v>0</v>
      </c>
      <c r="BW983" s="33">
        <f t="shared" si="1961"/>
        <v>0</v>
      </c>
      <c r="BX983" s="33">
        <f t="shared" si="1961"/>
        <v>0</v>
      </c>
      <c r="BY983" s="33">
        <f t="shared" si="1961"/>
        <v>0</v>
      </c>
    </row>
    <row r="984" spans="3:77" ht="15" outlineLevel="1">
      <c r="C984" s="22" t="s">
        <v>501</v>
      </c>
      <c r="D984" s="31"/>
      <c r="E984" t="s">
        <v>502</v>
      </c>
      <c r="F984" s="23" t="s">
        <v>500</v>
      </c>
      <c r="H984" s="33">
        <f t="shared" ref="H984:BS984" si="1962">+IF(AND(H$979=$C986,H$979&lt;0),1,0)</f>
        <v>0</v>
      </c>
      <c r="I984" s="33">
        <f t="shared" si="1962"/>
        <v>0</v>
      </c>
      <c r="J984" s="33">
        <f t="shared" si="1962"/>
        <v>1</v>
      </c>
      <c r="K984" s="33">
        <f t="shared" si="1962"/>
        <v>0</v>
      </c>
      <c r="L984" s="33">
        <f t="shared" si="1962"/>
        <v>0</v>
      </c>
      <c r="M984" s="33">
        <f t="shared" si="1962"/>
        <v>0</v>
      </c>
      <c r="N984" s="33">
        <f t="shared" si="1962"/>
        <v>0</v>
      </c>
      <c r="O984" s="33">
        <f t="shared" si="1962"/>
        <v>0</v>
      </c>
      <c r="P984" s="33">
        <f t="shared" si="1962"/>
        <v>0</v>
      </c>
      <c r="Q984" s="33">
        <f t="shared" si="1962"/>
        <v>0</v>
      </c>
      <c r="R984" s="33">
        <f t="shared" si="1962"/>
        <v>0</v>
      </c>
      <c r="S984" s="33">
        <f t="shared" si="1962"/>
        <v>0</v>
      </c>
      <c r="T984" s="33">
        <f t="shared" si="1962"/>
        <v>0</v>
      </c>
      <c r="U984" s="33">
        <f t="shared" si="1962"/>
        <v>0</v>
      </c>
      <c r="V984" s="33">
        <f t="shared" si="1962"/>
        <v>0</v>
      </c>
      <c r="W984" s="33">
        <f t="shared" si="1962"/>
        <v>0</v>
      </c>
      <c r="X984" s="33">
        <f t="shared" si="1962"/>
        <v>0</v>
      </c>
      <c r="Y984" s="33">
        <f t="shared" si="1962"/>
        <v>0</v>
      </c>
      <c r="Z984" s="33">
        <f t="shared" si="1962"/>
        <v>0</v>
      </c>
      <c r="AA984" s="33">
        <f t="shared" si="1962"/>
        <v>0</v>
      </c>
      <c r="AB984" s="33">
        <f t="shared" si="1962"/>
        <v>0</v>
      </c>
      <c r="AC984" s="33">
        <f t="shared" si="1962"/>
        <v>0</v>
      </c>
      <c r="AD984" s="33">
        <f t="shared" si="1962"/>
        <v>0</v>
      </c>
      <c r="AE984" s="33">
        <f t="shared" si="1962"/>
        <v>0</v>
      </c>
      <c r="AF984" s="33">
        <f t="shared" si="1962"/>
        <v>0</v>
      </c>
      <c r="AG984" s="33">
        <f t="shared" si="1962"/>
        <v>0</v>
      </c>
      <c r="AH984" s="33">
        <f t="shared" si="1962"/>
        <v>0</v>
      </c>
      <c r="AI984" s="33">
        <f t="shared" si="1962"/>
        <v>0</v>
      </c>
      <c r="AJ984" s="33">
        <f t="shared" si="1962"/>
        <v>0</v>
      </c>
      <c r="AK984" s="33">
        <f t="shared" si="1962"/>
        <v>0</v>
      </c>
      <c r="AL984" s="33">
        <f t="shared" si="1962"/>
        <v>0</v>
      </c>
      <c r="AM984" s="33">
        <f t="shared" si="1962"/>
        <v>0</v>
      </c>
      <c r="AN984" s="33">
        <f t="shared" si="1962"/>
        <v>0</v>
      </c>
      <c r="AO984" s="33">
        <f t="shared" si="1962"/>
        <v>0</v>
      </c>
      <c r="AP984" s="33">
        <f t="shared" si="1962"/>
        <v>0</v>
      </c>
      <c r="AQ984" s="33">
        <f t="shared" si="1962"/>
        <v>0</v>
      </c>
      <c r="AR984" s="33">
        <f t="shared" si="1962"/>
        <v>0</v>
      </c>
      <c r="AS984" s="33">
        <f t="shared" si="1962"/>
        <v>0</v>
      </c>
      <c r="AT984" s="33">
        <f t="shared" si="1962"/>
        <v>0</v>
      </c>
      <c r="AU984" s="33">
        <f t="shared" si="1962"/>
        <v>0</v>
      </c>
      <c r="AV984" s="33">
        <f t="shared" si="1962"/>
        <v>0</v>
      </c>
      <c r="AW984" s="33">
        <f t="shared" si="1962"/>
        <v>0</v>
      </c>
      <c r="AX984" s="33">
        <f t="shared" si="1962"/>
        <v>0</v>
      </c>
      <c r="AY984" s="33">
        <f t="shared" si="1962"/>
        <v>0</v>
      </c>
      <c r="AZ984" s="33">
        <f t="shared" si="1962"/>
        <v>0</v>
      </c>
      <c r="BA984" s="33">
        <f t="shared" si="1962"/>
        <v>0</v>
      </c>
      <c r="BB984" s="33">
        <f t="shared" si="1962"/>
        <v>0</v>
      </c>
      <c r="BC984" s="33">
        <f t="shared" si="1962"/>
        <v>0</v>
      </c>
      <c r="BD984" s="33">
        <f t="shared" si="1962"/>
        <v>0</v>
      </c>
      <c r="BE984" s="33">
        <f t="shared" si="1962"/>
        <v>0</v>
      </c>
      <c r="BF984" s="33">
        <f t="shared" si="1962"/>
        <v>0</v>
      </c>
      <c r="BG984" s="33">
        <f t="shared" si="1962"/>
        <v>0</v>
      </c>
      <c r="BH984" s="33">
        <f t="shared" si="1962"/>
        <v>0</v>
      </c>
      <c r="BI984" s="33">
        <f t="shared" si="1962"/>
        <v>0</v>
      </c>
      <c r="BJ984" s="33">
        <f t="shared" si="1962"/>
        <v>0</v>
      </c>
      <c r="BK984" s="33">
        <f t="shared" si="1962"/>
        <v>0</v>
      </c>
      <c r="BL984" s="33">
        <f t="shared" si="1962"/>
        <v>0</v>
      </c>
      <c r="BM984" s="33">
        <f t="shared" si="1962"/>
        <v>0</v>
      </c>
      <c r="BN984" s="33">
        <f t="shared" si="1962"/>
        <v>0</v>
      </c>
      <c r="BO984" s="33">
        <f t="shared" si="1962"/>
        <v>0</v>
      </c>
      <c r="BP984" s="33">
        <f t="shared" si="1962"/>
        <v>0</v>
      </c>
      <c r="BQ984" s="33">
        <f t="shared" si="1962"/>
        <v>0</v>
      </c>
      <c r="BR984" s="33">
        <f t="shared" si="1962"/>
        <v>0</v>
      </c>
      <c r="BS984" s="33">
        <f t="shared" si="1962"/>
        <v>0</v>
      </c>
      <c r="BT984" s="33">
        <f t="shared" ref="BT984:BY984" si="1963">+IF(AND(BT$979=$C986,BT$979&lt;0),1,0)</f>
        <v>0</v>
      </c>
      <c r="BU984" s="33">
        <f t="shared" si="1963"/>
        <v>0</v>
      </c>
      <c r="BV984" s="33">
        <f t="shared" si="1963"/>
        <v>0</v>
      </c>
      <c r="BW984" s="33">
        <f t="shared" si="1963"/>
        <v>0</v>
      </c>
      <c r="BX984" s="33">
        <f t="shared" si="1963"/>
        <v>0</v>
      </c>
      <c r="BY984" s="33">
        <f t="shared" si="1963"/>
        <v>0</v>
      </c>
    </row>
    <row r="985" spans="3:77" outlineLevel="1">
      <c r="C985" s="32" cm="1">
        <f t="array" ref="C985:C986">+TRANSPOSE(_xlfn._xlws.FILTER(H979:BY979,H979:BY979))</f>
        <v>-33577120.511999995</v>
      </c>
      <c r="D985" s="31"/>
      <c r="E985" t="s">
        <v>503</v>
      </c>
      <c r="F985" s="23" t="s">
        <v>500</v>
      </c>
      <c r="H985" s="33">
        <f t="shared" ref="H985:BS985" si="1964">+IF(AND(H$979=$C987,H$979&lt;0),1,0)</f>
        <v>0</v>
      </c>
      <c r="I985" s="33">
        <f t="shared" si="1964"/>
        <v>0</v>
      </c>
      <c r="J985" s="33">
        <f t="shared" si="1964"/>
        <v>0</v>
      </c>
      <c r="K985" s="33">
        <f t="shared" si="1964"/>
        <v>0</v>
      </c>
      <c r="L985" s="33">
        <f t="shared" si="1964"/>
        <v>0</v>
      </c>
      <c r="M985" s="33">
        <f t="shared" si="1964"/>
        <v>0</v>
      </c>
      <c r="N985" s="33">
        <f t="shared" si="1964"/>
        <v>0</v>
      </c>
      <c r="O985" s="33">
        <f t="shared" si="1964"/>
        <v>0</v>
      </c>
      <c r="P985" s="33">
        <f t="shared" si="1964"/>
        <v>0</v>
      </c>
      <c r="Q985" s="33">
        <f t="shared" si="1964"/>
        <v>0</v>
      </c>
      <c r="R985" s="33">
        <f t="shared" si="1964"/>
        <v>0</v>
      </c>
      <c r="S985" s="33">
        <f t="shared" si="1964"/>
        <v>0</v>
      </c>
      <c r="T985" s="33">
        <f t="shared" si="1964"/>
        <v>0</v>
      </c>
      <c r="U985" s="33">
        <f t="shared" si="1964"/>
        <v>0</v>
      </c>
      <c r="V985" s="33">
        <f t="shared" si="1964"/>
        <v>0</v>
      </c>
      <c r="W985" s="33">
        <f t="shared" si="1964"/>
        <v>0</v>
      </c>
      <c r="X985" s="33">
        <f t="shared" si="1964"/>
        <v>0</v>
      </c>
      <c r="Y985" s="33">
        <f t="shared" si="1964"/>
        <v>0</v>
      </c>
      <c r="Z985" s="33">
        <f t="shared" si="1964"/>
        <v>0</v>
      </c>
      <c r="AA985" s="33">
        <f t="shared" si="1964"/>
        <v>0</v>
      </c>
      <c r="AB985" s="33">
        <f t="shared" si="1964"/>
        <v>0</v>
      </c>
      <c r="AC985" s="33">
        <f t="shared" si="1964"/>
        <v>0</v>
      </c>
      <c r="AD985" s="33">
        <f t="shared" si="1964"/>
        <v>0</v>
      </c>
      <c r="AE985" s="33">
        <f t="shared" si="1964"/>
        <v>0</v>
      </c>
      <c r="AF985" s="33">
        <f t="shared" si="1964"/>
        <v>0</v>
      </c>
      <c r="AG985" s="33">
        <f t="shared" si="1964"/>
        <v>0</v>
      </c>
      <c r="AH985" s="33">
        <f t="shared" si="1964"/>
        <v>0</v>
      </c>
      <c r="AI985" s="33">
        <f t="shared" si="1964"/>
        <v>0</v>
      </c>
      <c r="AJ985" s="33">
        <f t="shared" si="1964"/>
        <v>0</v>
      </c>
      <c r="AK985" s="33">
        <f t="shared" si="1964"/>
        <v>0</v>
      </c>
      <c r="AL985" s="33">
        <f t="shared" si="1964"/>
        <v>0</v>
      </c>
      <c r="AM985" s="33">
        <f t="shared" si="1964"/>
        <v>0</v>
      </c>
      <c r="AN985" s="33">
        <f t="shared" si="1964"/>
        <v>0</v>
      </c>
      <c r="AO985" s="33">
        <f t="shared" si="1964"/>
        <v>0</v>
      </c>
      <c r="AP985" s="33">
        <f t="shared" si="1964"/>
        <v>0</v>
      </c>
      <c r="AQ985" s="33">
        <f t="shared" si="1964"/>
        <v>0</v>
      </c>
      <c r="AR985" s="33">
        <f t="shared" si="1964"/>
        <v>0</v>
      </c>
      <c r="AS985" s="33">
        <f t="shared" si="1964"/>
        <v>0</v>
      </c>
      <c r="AT985" s="33">
        <f t="shared" si="1964"/>
        <v>0</v>
      </c>
      <c r="AU985" s="33">
        <f t="shared" si="1964"/>
        <v>0</v>
      </c>
      <c r="AV985" s="33">
        <f t="shared" si="1964"/>
        <v>0</v>
      </c>
      <c r="AW985" s="33">
        <f t="shared" si="1964"/>
        <v>0</v>
      </c>
      <c r="AX985" s="33">
        <f t="shared" si="1964"/>
        <v>0</v>
      </c>
      <c r="AY985" s="33">
        <f t="shared" si="1964"/>
        <v>0</v>
      </c>
      <c r="AZ985" s="33">
        <f t="shared" si="1964"/>
        <v>0</v>
      </c>
      <c r="BA985" s="33">
        <f t="shared" si="1964"/>
        <v>0</v>
      </c>
      <c r="BB985" s="33">
        <f t="shared" si="1964"/>
        <v>0</v>
      </c>
      <c r="BC985" s="33">
        <f t="shared" si="1964"/>
        <v>0</v>
      </c>
      <c r="BD985" s="33">
        <f t="shared" si="1964"/>
        <v>0</v>
      </c>
      <c r="BE985" s="33">
        <f t="shared" si="1964"/>
        <v>0</v>
      </c>
      <c r="BF985" s="33">
        <f t="shared" si="1964"/>
        <v>0</v>
      </c>
      <c r="BG985" s="33">
        <f t="shared" si="1964"/>
        <v>0</v>
      </c>
      <c r="BH985" s="33">
        <f t="shared" si="1964"/>
        <v>0</v>
      </c>
      <c r="BI985" s="33">
        <f t="shared" si="1964"/>
        <v>0</v>
      </c>
      <c r="BJ985" s="33">
        <f t="shared" si="1964"/>
        <v>0</v>
      </c>
      <c r="BK985" s="33">
        <f t="shared" si="1964"/>
        <v>0</v>
      </c>
      <c r="BL985" s="33">
        <f t="shared" si="1964"/>
        <v>0</v>
      </c>
      <c r="BM985" s="33">
        <f t="shared" si="1964"/>
        <v>0</v>
      </c>
      <c r="BN985" s="33">
        <f t="shared" si="1964"/>
        <v>0</v>
      </c>
      <c r="BO985" s="33">
        <f t="shared" si="1964"/>
        <v>0</v>
      </c>
      <c r="BP985" s="33">
        <f t="shared" si="1964"/>
        <v>0</v>
      </c>
      <c r="BQ985" s="33">
        <f t="shared" si="1964"/>
        <v>0</v>
      </c>
      <c r="BR985" s="33">
        <f t="shared" si="1964"/>
        <v>0</v>
      </c>
      <c r="BS985" s="33">
        <f t="shared" si="1964"/>
        <v>0</v>
      </c>
      <c r="BT985" s="33">
        <f t="shared" ref="BT985:BY985" si="1965">+IF(AND(BT$979=$C987,BT$979&lt;0),1,0)</f>
        <v>0</v>
      </c>
      <c r="BU985" s="33">
        <f t="shared" si="1965"/>
        <v>0</v>
      </c>
      <c r="BV985" s="33">
        <f t="shared" si="1965"/>
        <v>0</v>
      </c>
      <c r="BW985" s="33">
        <f t="shared" si="1965"/>
        <v>0</v>
      </c>
      <c r="BX985" s="33">
        <f t="shared" si="1965"/>
        <v>0</v>
      </c>
      <c r="BY985" s="33">
        <f t="shared" si="1965"/>
        <v>0</v>
      </c>
    </row>
    <row r="986" spans="3:77" outlineLevel="1">
      <c r="C986" s="32">
        <v>-178378452.72</v>
      </c>
      <c r="D986" s="31"/>
      <c r="E986" t="s">
        <v>504</v>
      </c>
      <c r="F986" s="23" t="s">
        <v>500</v>
      </c>
      <c r="H986" s="33">
        <f t="shared" ref="H986:BS986" si="1966">+IF(AND(H$979=$C988,H$979&lt;0),1,0)</f>
        <v>0</v>
      </c>
      <c r="I986" s="33">
        <f t="shared" si="1966"/>
        <v>0</v>
      </c>
      <c r="J986" s="33">
        <f t="shared" si="1966"/>
        <v>0</v>
      </c>
      <c r="K986" s="33">
        <f t="shared" si="1966"/>
        <v>0</v>
      </c>
      <c r="L986" s="33">
        <f t="shared" si="1966"/>
        <v>0</v>
      </c>
      <c r="M986" s="33">
        <f t="shared" si="1966"/>
        <v>0</v>
      </c>
      <c r="N986" s="33">
        <f t="shared" si="1966"/>
        <v>0</v>
      </c>
      <c r="O986" s="33">
        <f t="shared" si="1966"/>
        <v>0</v>
      </c>
      <c r="P986" s="33">
        <f t="shared" si="1966"/>
        <v>0</v>
      </c>
      <c r="Q986" s="33">
        <f t="shared" si="1966"/>
        <v>0</v>
      </c>
      <c r="R986" s="33">
        <f t="shared" si="1966"/>
        <v>0</v>
      </c>
      <c r="S986" s="33">
        <f t="shared" si="1966"/>
        <v>0</v>
      </c>
      <c r="T986" s="33">
        <f t="shared" si="1966"/>
        <v>0</v>
      </c>
      <c r="U986" s="33">
        <f t="shared" si="1966"/>
        <v>0</v>
      </c>
      <c r="V986" s="33">
        <f t="shared" si="1966"/>
        <v>0</v>
      </c>
      <c r="W986" s="33">
        <f t="shared" si="1966"/>
        <v>0</v>
      </c>
      <c r="X986" s="33">
        <f t="shared" si="1966"/>
        <v>0</v>
      </c>
      <c r="Y986" s="33">
        <f t="shared" si="1966"/>
        <v>0</v>
      </c>
      <c r="Z986" s="33">
        <f t="shared" si="1966"/>
        <v>0</v>
      </c>
      <c r="AA986" s="33">
        <f t="shared" si="1966"/>
        <v>0</v>
      </c>
      <c r="AB986" s="33">
        <f t="shared" si="1966"/>
        <v>0</v>
      </c>
      <c r="AC986" s="33">
        <f t="shared" si="1966"/>
        <v>0</v>
      </c>
      <c r="AD986" s="33">
        <f t="shared" si="1966"/>
        <v>0</v>
      </c>
      <c r="AE986" s="33">
        <f t="shared" si="1966"/>
        <v>0</v>
      </c>
      <c r="AF986" s="33">
        <f t="shared" si="1966"/>
        <v>0</v>
      </c>
      <c r="AG986" s="33">
        <f t="shared" si="1966"/>
        <v>0</v>
      </c>
      <c r="AH986" s="33">
        <f t="shared" si="1966"/>
        <v>0</v>
      </c>
      <c r="AI986" s="33">
        <f t="shared" si="1966"/>
        <v>0</v>
      </c>
      <c r="AJ986" s="33">
        <f t="shared" si="1966"/>
        <v>0</v>
      </c>
      <c r="AK986" s="33">
        <f t="shared" si="1966"/>
        <v>0</v>
      </c>
      <c r="AL986" s="33">
        <f t="shared" si="1966"/>
        <v>0</v>
      </c>
      <c r="AM986" s="33">
        <f t="shared" si="1966"/>
        <v>0</v>
      </c>
      <c r="AN986" s="33">
        <f t="shared" si="1966"/>
        <v>0</v>
      </c>
      <c r="AO986" s="33">
        <f t="shared" si="1966"/>
        <v>0</v>
      </c>
      <c r="AP986" s="33">
        <f t="shared" si="1966"/>
        <v>0</v>
      </c>
      <c r="AQ986" s="33">
        <f t="shared" si="1966"/>
        <v>0</v>
      </c>
      <c r="AR986" s="33">
        <f t="shared" si="1966"/>
        <v>0</v>
      </c>
      <c r="AS986" s="33">
        <f t="shared" si="1966"/>
        <v>0</v>
      </c>
      <c r="AT986" s="33">
        <f t="shared" si="1966"/>
        <v>0</v>
      </c>
      <c r="AU986" s="33">
        <f t="shared" si="1966"/>
        <v>0</v>
      </c>
      <c r="AV986" s="33">
        <f t="shared" si="1966"/>
        <v>0</v>
      </c>
      <c r="AW986" s="33">
        <f t="shared" si="1966"/>
        <v>0</v>
      </c>
      <c r="AX986" s="33">
        <f t="shared" si="1966"/>
        <v>0</v>
      </c>
      <c r="AY986" s="33">
        <f t="shared" si="1966"/>
        <v>0</v>
      </c>
      <c r="AZ986" s="33">
        <f t="shared" si="1966"/>
        <v>0</v>
      </c>
      <c r="BA986" s="33">
        <f t="shared" si="1966"/>
        <v>0</v>
      </c>
      <c r="BB986" s="33">
        <f t="shared" si="1966"/>
        <v>0</v>
      </c>
      <c r="BC986" s="33">
        <f t="shared" si="1966"/>
        <v>0</v>
      </c>
      <c r="BD986" s="33">
        <f t="shared" si="1966"/>
        <v>0</v>
      </c>
      <c r="BE986" s="33">
        <f t="shared" si="1966"/>
        <v>0</v>
      </c>
      <c r="BF986" s="33">
        <f t="shared" si="1966"/>
        <v>0</v>
      </c>
      <c r="BG986" s="33">
        <f t="shared" si="1966"/>
        <v>0</v>
      </c>
      <c r="BH986" s="33">
        <f t="shared" si="1966"/>
        <v>0</v>
      </c>
      <c r="BI986" s="33">
        <f t="shared" si="1966"/>
        <v>0</v>
      </c>
      <c r="BJ986" s="33">
        <f t="shared" si="1966"/>
        <v>0</v>
      </c>
      <c r="BK986" s="33">
        <f t="shared" si="1966"/>
        <v>0</v>
      </c>
      <c r="BL986" s="33">
        <f t="shared" si="1966"/>
        <v>0</v>
      </c>
      <c r="BM986" s="33">
        <f t="shared" si="1966"/>
        <v>0</v>
      </c>
      <c r="BN986" s="33">
        <f t="shared" si="1966"/>
        <v>0</v>
      </c>
      <c r="BO986" s="33">
        <f t="shared" si="1966"/>
        <v>0</v>
      </c>
      <c r="BP986" s="33">
        <f t="shared" si="1966"/>
        <v>0</v>
      </c>
      <c r="BQ986" s="33">
        <f t="shared" si="1966"/>
        <v>0</v>
      </c>
      <c r="BR986" s="33">
        <f t="shared" si="1966"/>
        <v>0</v>
      </c>
      <c r="BS986" s="33">
        <f t="shared" si="1966"/>
        <v>0</v>
      </c>
      <c r="BT986" s="33">
        <f t="shared" ref="BT986:BY986" si="1967">+IF(AND(BT$979=$C988,BT$979&lt;0),1,0)</f>
        <v>0</v>
      </c>
      <c r="BU986" s="33">
        <f t="shared" si="1967"/>
        <v>0</v>
      </c>
      <c r="BV986" s="33">
        <f t="shared" si="1967"/>
        <v>0</v>
      </c>
      <c r="BW986" s="33">
        <f t="shared" si="1967"/>
        <v>0</v>
      </c>
      <c r="BX986" s="33">
        <f t="shared" si="1967"/>
        <v>0</v>
      </c>
      <c r="BY986" s="33">
        <f t="shared" si="1967"/>
        <v>0</v>
      </c>
    </row>
    <row r="987" spans="3:77" outlineLevel="1">
      <c r="C987" s="32"/>
      <c r="D987" s="31"/>
      <c r="E987" t="s">
        <v>505</v>
      </c>
      <c r="F987" s="23" t="s">
        <v>500</v>
      </c>
      <c r="H987" s="33">
        <f t="shared" ref="H987:BS987" si="1968">+IF(AND(H$979=$C989,H$979&lt;0),1,0)</f>
        <v>0</v>
      </c>
      <c r="I987" s="33">
        <f t="shared" si="1968"/>
        <v>0</v>
      </c>
      <c r="J987" s="33">
        <f t="shared" si="1968"/>
        <v>0</v>
      </c>
      <c r="K987" s="33">
        <f t="shared" si="1968"/>
        <v>0</v>
      </c>
      <c r="L987" s="33">
        <f t="shared" si="1968"/>
        <v>0</v>
      </c>
      <c r="M987" s="33">
        <f t="shared" si="1968"/>
        <v>0</v>
      </c>
      <c r="N987" s="33">
        <f t="shared" si="1968"/>
        <v>0</v>
      </c>
      <c r="O987" s="33">
        <f t="shared" si="1968"/>
        <v>0</v>
      </c>
      <c r="P987" s="33">
        <f t="shared" si="1968"/>
        <v>0</v>
      </c>
      <c r="Q987" s="33">
        <f t="shared" si="1968"/>
        <v>0</v>
      </c>
      <c r="R987" s="33">
        <f t="shared" si="1968"/>
        <v>0</v>
      </c>
      <c r="S987" s="33">
        <f t="shared" si="1968"/>
        <v>0</v>
      </c>
      <c r="T987" s="33">
        <f t="shared" si="1968"/>
        <v>0</v>
      </c>
      <c r="U987" s="33">
        <f t="shared" si="1968"/>
        <v>0</v>
      </c>
      <c r="V987" s="33">
        <f t="shared" si="1968"/>
        <v>0</v>
      </c>
      <c r="W987" s="33">
        <f t="shared" si="1968"/>
        <v>0</v>
      </c>
      <c r="X987" s="33">
        <f t="shared" si="1968"/>
        <v>0</v>
      </c>
      <c r="Y987" s="33">
        <f t="shared" si="1968"/>
        <v>0</v>
      </c>
      <c r="Z987" s="33">
        <f t="shared" si="1968"/>
        <v>0</v>
      </c>
      <c r="AA987" s="33">
        <f t="shared" si="1968"/>
        <v>0</v>
      </c>
      <c r="AB987" s="33">
        <f t="shared" si="1968"/>
        <v>0</v>
      </c>
      <c r="AC987" s="33">
        <f t="shared" si="1968"/>
        <v>0</v>
      </c>
      <c r="AD987" s="33">
        <f t="shared" si="1968"/>
        <v>0</v>
      </c>
      <c r="AE987" s="33">
        <f t="shared" si="1968"/>
        <v>0</v>
      </c>
      <c r="AF987" s="33">
        <f t="shared" si="1968"/>
        <v>0</v>
      </c>
      <c r="AG987" s="33">
        <f t="shared" si="1968"/>
        <v>0</v>
      </c>
      <c r="AH987" s="33">
        <f t="shared" si="1968"/>
        <v>0</v>
      </c>
      <c r="AI987" s="33">
        <f t="shared" si="1968"/>
        <v>0</v>
      </c>
      <c r="AJ987" s="33">
        <f t="shared" si="1968"/>
        <v>0</v>
      </c>
      <c r="AK987" s="33">
        <f t="shared" si="1968"/>
        <v>0</v>
      </c>
      <c r="AL987" s="33">
        <f t="shared" si="1968"/>
        <v>0</v>
      </c>
      <c r="AM987" s="33">
        <f t="shared" si="1968"/>
        <v>0</v>
      </c>
      <c r="AN987" s="33">
        <f t="shared" si="1968"/>
        <v>0</v>
      </c>
      <c r="AO987" s="33">
        <f t="shared" si="1968"/>
        <v>0</v>
      </c>
      <c r="AP987" s="33">
        <f t="shared" si="1968"/>
        <v>0</v>
      </c>
      <c r="AQ987" s="33">
        <f t="shared" si="1968"/>
        <v>0</v>
      </c>
      <c r="AR987" s="33">
        <f t="shared" si="1968"/>
        <v>0</v>
      </c>
      <c r="AS987" s="33">
        <f t="shared" si="1968"/>
        <v>0</v>
      </c>
      <c r="AT987" s="33">
        <f t="shared" si="1968"/>
        <v>0</v>
      </c>
      <c r="AU987" s="33">
        <f t="shared" si="1968"/>
        <v>0</v>
      </c>
      <c r="AV987" s="33">
        <f t="shared" si="1968"/>
        <v>0</v>
      </c>
      <c r="AW987" s="33">
        <f t="shared" si="1968"/>
        <v>0</v>
      </c>
      <c r="AX987" s="33">
        <f t="shared" si="1968"/>
        <v>0</v>
      </c>
      <c r="AY987" s="33">
        <f t="shared" si="1968"/>
        <v>0</v>
      </c>
      <c r="AZ987" s="33">
        <f t="shared" si="1968"/>
        <v>0</v>
      </c>
      <c r="BA987" s="33">
        <f t="shared" si="1968"/>
        <v>0</v>
      </c>
      <c r="BB987" s="33">
        <f t="shared" si="1968"/>
        <v>0</v>
      </c>
      <c r="BC987" s="33">
        <f t="shared" si="1968"/>
        <v>0</v>
      </c>
      <c r="BD987" s="33">
        <f t="shared" si="1968"/>
        <v>0</v>
      </c>
      <c r="BE987" s="33">
        <f t="shared" si="1968"/>
        <v>0</v>
      </c>
      <c r="BF987" s="33">
        <f t="shared" si="1968"/>
        <v>0</v>
      </c>
      <c r="BG987" s="33">
        <f t="shared" si="1968"/>
        <v>0</v>
      </c>
      <c r="BH987" s="33">
        <f t="shared" si="1968"/>
        <v>0</v>
      </c>
      <c r="BI987" s="33">
        <f t="shared" si="1968"/>
        <v>0</v>
      </c>
      <c r="BJ987" s="33">
        <f t="shared" si="1968"/>
        <v>0</v>
      </c>
      <c r="BK987" s="33">
        <f t="shared" si="1968"/>
        <v>0</v>
      </c>
      <c r="BL987" s="33">
        <f t="shared" si="1968"/>
        <v>0</v>
      </c>
      <c r="BM987" s="33">
        <f t="shared" si="1968"/>
        <v>0</v>
      </c>
      <c r="BN987" s="33">
        <f t="shared" si="1968"/>
        <v>0</v>
      </c>
      <c r="BO987" s="33">
        <f t="shared" si="1968"/>
        <v>0</v>
      </c>
      <c r="BP987" s="33">
        <f t="shared" si="1968"/>
        <v>0</v>
      </c>
      <c r="BQ987" s="33">
        <f t="shared" si="1968"/>
        <v>0</v>
      </c>
      <c r="BR987" s="33">
        <f t="shared" si="1968"/>
        <v>0</v>
      </c>
      <c r="BS987" s="33">
        <f t="shared" si="1968"/>
        <v>0</v>
      </c>
      <c r="BT987" s="33">
        <f t="shared" ref="BT987:BY987" si="1969">+IF(AND(BT$979=$C989,BT$979&lt;0),1,0)</f>
        <v>0</v>
      </c>
      <c r="BU987" s="33">
        <f t="shared" si="1969"/>
        <v>0</v>
      </c>
      <c r="BV987" s="33">
        <f t="shared" si="1969"/>
        <v>0</v>
      </c>
      <c r="BW987" s="33">
        <f t="shared" si="1969"/>
        <v>0</v>
      </c>
      <c r="BX987" s="33">
        <f t="shared" si="1969"/>
        <v>0</v>
      </c>
      <c r="BY987" s="33">
        <f t="shared" si="1969"/>
        <v>0</v>
      </c>
    </row>
    <row r="988" spans="3:77" outlineLevel="1">
      <c r="C988" s="32"/>
      <c r="D988" s="31"/>
      <c r="E988" t="s">
        <v>506</v>
      </c>
      <c r="F988" s="23" t="s">
        <v>500</v>
      </c>
      <c r="H988" s="33">
        <f t="shared" ref="H988:BS988" si="1970">+IF(AND(H$979=$C990,H$979&lt;0),1,0)</f>
        <v>0</v>
      </c>
      <c r="I988" s="33">
        <f t="shared" si="1970"/>
        <v>0</v>
      </c>
      <c r="J988" s="33">
        <f t="shared" si="1970"/>
        <v>0</v>
      </c>
      <c r="K988" s="33">
        <f t="shared" si="1970"/>
        <v>0</v>
      </c>
      <c r="L988" s="33">
        <f t="shared" si="1970"/>
        <v>0</v>
      </c>
      <c r="M988" s="33">
        <f t="shared" si="1970"/>
        <v>0</v>
      </c>
      <c r="N988" s="33">
        <f t="shared" si="1970"/>
        <v>0</v>
      </c>
      <c r="O988" s="33">
        <f t="shared" si="1970"/>
        <v>0</v>
      </c>
      <c r="P988" s="33">
        <f t="shared" si="1970"/>
        <v>0</v>
      </c>
      <c r="Q988" s="33">
        <f t="shared" si="1970"/>
        <v>0</v>
      </c>
      <c r="R988" s="33">
        <f t="shared" si="1970"/>
        <v>0</v>
      </c>
      <c r="S988" s="33">
        <f t="shared" si="1970"/>
        <v>0</v>
      </c>
      <c r="T988" s="33">
        <f t="shared" si="1970"/>
        <v>0</v>
      </c>
      <c r="U988" s="33">
        <f t="shared" si="1970"/>
        <v>0</v>
      </c>
      <c r="V988" s="33">
        <f t="shared" si="1970"/>
        <v>0</v>
      </c>
      <c r="W988" s="33">
        <f t="shared" si="1970"/>
        <v>0</v>
      </c>
      <c r="X988" s="33">
        <f t="shared" si="1970"/>
        <v>0</v>
      </c>
      <c r="Y988" s="33">
        <f t="shared" si="1970"/>
        <v>0</v>
      </c>
      <c r="Z988" s="33">
        <f t="shared" si="1970"/>
        <v>0</v>
      </c>
      <c r="AA988" s="33">
        <f t="shared" si="1970"/>
        <v>0</v>
      </c>
      <c r="AB988" s="33">
        <f t="shared" si="1970"/>
        <v>0</v>
      </c>
      <c r="AC988" s="33">
        <f t="shared" si="1970"/>
        <v>0</v>
      </c>
      <c r="AD988" s="33">
        <f t="shared" si="1970"/>
        <v>0</v>
      </c>
      <c r="AE988" s="33">
        <f t="shared" si="1970"/>
        <v>0</v>
      </c>
      <c r="AF988" s="33">
        <f t="shared" si="1970"/>
        <v>0</v>
      </c>
      <c r="AG988" s="33">
        <f t="shared" si="1970"/>
        <v>0</v>
      </c>
      <c r="AH988" s="33">
        <f t="shared" si="1970"/>
        <v>0</v>
      </c>
      <c r="AI988" s="33">
        <f t="shared" si="1970"/>
        <v>0</v>
      </c>
      <c r="AJ988" s="33">
        <f t="shared" si="1970"/>
        <v>0</v>
      </c>
      <c r="AK988" s="33">
        <f t="shared" si="1970"/>
        <v>0</v>
      </c>
      <c r="AL988" s="33">
        <f t="shared" si="1970"/>
        <v>0</v>
      </c>
      <c r="AM988" s="33">
        <f t="shared" si="1970"/>
        <v>0</v>
      </c>
      <c r="AN988" s="33">
        <f t="shared" si="1970"/>
        <v>0</v>
      </c>
      <c r="AO988" s="33">
        <f t="shared" si="1970"/>
        <v>0</v>
      </c>
      <c r="AP988" s="33">
        <f t="shared" si="1970"/>
        <v>0</v>
      </c>
      <c r="AQ988" s="33">
        <f t="shared" si="1970"/>
        <v>0</v>
      </c>
      <c r="AR988" s="33">
        <f t="shared" si="1970"/>
        <v>0</v>
      </c>
      <c r="AS988" s="33">
        <f t="shared" si="1970"/>
        <v>0</v>
      </c>
      <c r="AT988" s="33">
        <f t="shared" si="1970"/>
        <v>0</v>
      </c>
      <c r="AU988" s="33">
        <f t="shared" si="1970"/>
        <v>0</v>
      </c>
      <c r="AV988" s="33">
        <f t="shared" si="1970"/>
        <v>0</v>
      </c>
      <c r="AW988" s="33">
        <f t="shared" si="1970"/>
        <v>0</v>
      </c>
      <c r="AX988" s="33">
        <f t="shared" si="1970"/>
        <v>0</v>
      </c>
      <c r="AY988" s="33">
        <f t="shared" si="1970"/>
        <v>0</v>
      </c>
      <c r="AZ988" s="33">
        <f t="shared" si="1970"/>
        <v>0</v>
      </c>
      <c r="BA988" s="33">
        <f t="shared" si="1970"/>
        <v>0</v>
      </c>
      <c r="BB988" s="33">
        <f t="shared" si="1970"/>
        <v>0</v>
      </c>
      <c r="BC988" s="33">
        <f t="shared" si="1970"/>
        <v>0</v>
      </c>
      <c r="BD988" s="33">
        <f t="shared" si="1970"/>
        <v>0</v>
      </c>
      <c r="BE988" s="33">
        <f t="shared" si="1970"/>
        <v>0</v>
      </c>
      <c r="BF988" s="33">
        <f t="shared" si="1970"/>
        <v>0</v>
      </c>
      <c r="BG988" s="33">
        <f t="shared" si="1970"/>
        <v>0</v>
      </c>
      <c r="BH988" s="33">
        <f t="shared" si="1970"/>
        <v>0</v>
      </c>
      <c r="BI988" s="33">
        <f t="shared" si="1970"/>
        <v>0</v>
      </c>
      <c r="BJ988" s="33">
        <f t="shared" si="1970"/>
        <v>0</v>
      </c>
      <c r="BK988" s="33">
        <f t="shared" si="1970"/>
        <v>0</v>
      </c>
      <c r="BL988" s="33">
        <f t="shared" si="1970"/>
        <v>0</v>
      </c>
      <c r="BM988" s="33">
        <f t="shared" si="1970"/>
        <v>0</v>
      </c>
      <c r="BN988" s="33">
        <f t="shared" si="1970"/>
        <v>0</v>
      </c>
      <c r="BO988" s="33">
        <f t="shared" si="1970"/>
        <v>0</v>
      </c>
      <c r="BP988" s="33">
        <f t="shared" si="1970"/>
        <v>0</v>
      </c>
      <c r="BQ988" s="33">
        <f t="shared" si="1970"/>
        <v>0</v>
      </c>
      <c r="BR988" s="33">
        <f t="shared" si="1970"/>
        <v>0</v>
      </c>
      <c r="BS988" s="33">
        <f t="shared" si="1970"/>
        <v>0</v>
      </c>
      <c r="BT988" s="33">
        <f t="shared" ref="BT988:BY988" si="1971">+IF(AND(BT$979=$C990,BT$979&lt;0),1,0)</f>
        <v>0</v>
      </c>
      <c r="BU988" s="33">
        <f t="shared" si="1971"/>
        <v>0</v>
      </c>
      <c r="BV988" s="33">
        <f t="shared" si="1971"/>
        <v>0</v>
      </c>
      <c r="BW988" s="33">
        <f t="shared" si="1971"/>
        <v>0</v>
      </c>
      <c r="BX988" s="33">
        <f t="shared" si="1971"/>
        <v>0</v>
      </c>
      <c r="BY988" s="33">
        <f t="shared" si="1971"/>
        <v>0</v>
      </c>
    </row>
    <row r="989" spans="3:77" outlineLevel="1">
      <c r="C989" s="32"/>
      <c r="D989" s="31"/>
      <c r="E989" t="s">
        <v>507</v>
      </c>
      <c r="F989" s="23" t="s">
        <v>500</v>
      </c>
      <c r="H989" s="33">
        <f t="shared" ref="H989:BS989" si="1972">+IF(AND(H$979=$C991,H$979&lt;0),1,0)</f>
        <v>0</v>
      </c>
      <c r="I989" s="33">
        <f t="shared" si="1972"/>
        <v>0</v>
      </c>
      <c r="J989" s="33">
        <f t="shared" si="1972"/>
        <v>0</v>
      </c>
      <c r="K989" s="33">
        <f t="shared" si="1972"/>
        <v>0</v>
      </c>
      <c r="L989" s="33">
        <f t="shared" si="1972"/>
        <v>0</v>
      </c>
      <c r="M989" s="33">
        <f t="shared" si="1972"/>
        <v>0</v>
      </c>
      <c r="N989" s="33">
        <f t="shared" si="1972"/>
        <v>0</v>
      </c>
      <c r="O989" s="33">
        <f t="shared" si="1972"/>
        <v>0</v>
      </c>
      <c r="P989" s="33">
        <f t="shared" si="1972"/>
        <v>0</v>
      </c>
      <c r="Q989" s="33">
        <f t="shared" si="1972"/>
        <v>0</v>
      </c>
      <c r="R989" s="33">
        <f t="shared" si="1972"/>
        <v>0</v>
      </c>
      <c r="S989" s="33">
        <f t="shared" si="1972"/>
        <v>0</v>
      </c>
      <c r="T989" s="33">
        <f t="shared" si="1972"/>
        <v>0</v>
      </c>
      <c r="U989" s="33">
        <f t="shared" si="1972"/>
        <v>0</v>
      </c>
      <c r="V989" s="33">
        <f t="shared" si="1972"/>
        <v>0</v>
      </c>
      <c r="W989" s="33">
        <f t="shared" si="1972"/>
        <v>0</v>
      </c>
      <c r="X989" s="33">
        <f t="shared" si="1972"/>
        <v>0</v>
      </c>
      <c r="Y989" s="33">
        <f t="shared" si="1972"/>
        <v>0</v>
      </c>
      <c r="Z989" s="33">
        <f t="shared" si="1972"/>
        <v>0</v>
      </c>
      <c r="AA989" s="33">
        <f t="shared" si="1972"/>
        <v>0</v>
      </c>
      <c r="AB989" s="33">
        <f t="shared" si="1972"/>
        <v>0</v>
      </c>
      <c r="AC989" s="33">
        <f t="shared" si="1972"/>
        <v>0</v>
      </c>
      <c r="AD989" s="33">
        <f t="shared" si="1972"/>
        <v>0</v>
      </c>
      <c r="AE989" s="33">
        <f t="shared" si="1972"/>
        <v>0</v>
      </c>
      <c r="AF989" s="33">
        <f t="shared" si="1972"/>
        <v>0</v>
      </c>
      <c r="AG989" s="33">
        <f t="shared" si="1972"/>
        <v>0</v>
      </c>
      <c r="AH989" s="33">
        <f t="shared" si="1972"/>
        <v>0</v>
      </c>
      <c r="AI989" s="33">
        <f t="shared" si="1972"/>
        <v>0</v>
      </c>
      <c r="AJ989" s="33">
        <f t="shared" si="1972"/>
        <v>0</v>
      </c>
      <c r="AK989" s="33">
        <f t="shared" si="1972"/>
        <v>0</v>
      </c>
      <c r="AL989" s="33">
        <f t="shared" si="1972"/>
        <v>0</v>
      </c>
      <c r="AM989" s="33">
        <f t="shared" si="1972"/>
        <v>0</v>
      </c>
      <c r="AN989" s="33">
        <f t="shared" si="1972"/>
        <v>0</v>
      </c>
      <c r="AO989" s="33">
        <f t="shared" si="1972"/>
        <v>0</v>
      </c>
      <c r="AP989" s="33">
        <f t="shared" si="1972"/>
        <v>0</v>
      </c>
      <c r="AQ989" s="33">
        <f t="shared" si="1972"/>
        <v>0</v>
      </c>
      <c r="AR989" s="33">
        <f t="shared" si="1972"/>
        <v>0</v>
      </c>
      <c r="AS989" s="33">
        <f t="shared" si="1972"/>
        <v>0</v>
      </c>
      <c r="AT989" s="33">
        <f t="shared" si="1972"/>
        <v>0</v>
      </c>
      <c r="AU989" s="33">
        <f t="shared" si="1972"/>
        <v>0</v>
      </c>
      <c r="AV989" s="33">
        <f t="shared" si="1972"/>
        <v>0</v>
      </c>
      <c r="AW989" s="33">
        <f t="shared" si="1972"/>
        <v>0</v>
      </c>
      <c r="AX989" s="33">
        <f t="shared" si="1972"/>
        <v>0</v>
      </c>
      <c r="AY989" s="33">
        <f t="shared" si="1972"/>
        <v>0</v>
      </c>
      <c r="AZ989" s="33">
        <f t="shared" si="1972"/>
        <v>0</v>
      </c>
      <c r="BA989" s="33">
        <f t="shared" si="1972"/>
        <v>0</v>
      </c>
      <c r="BB989" s="33">
        <f t="shared" si="1972"/>
        <v>0</v>
      </c>
      <c r="BC989" s="33">
        <f t="shared" si="1972"/>
        <v>0</v>
      </c>
      <c r="BD989" s="33">
        <f t="shared" si="1972"/>
        <v>0</v>
      </c>
      <c r="BE989" s="33">
        <f t="shared" si="1972"/>
        <v>0</v>
      </c>
      <c r="BF989" s="33">
        <f t="shared" si="1972"/>
        <v>0</v>
      </c>
      <c r="BG989" s="33">
        <f t="shared" si="1972"/>
        <v>0</v>
      </c>
      <c r="BH989" s="33">
        <f t="shared" si="1972"/>
        <v>0</v>
      </c>
      <c r="BI989" s="33">
        <f t="shared" si="1972"/>
        <v>0</v>
      </c>
      <c r="BJ989" s="33">
        <f t="shared" si="1972"/>
        <v>0</v>
      </c>
      <c r="BK989" s="33">
        <f t="shared" si="1972"/>
        <v>0</v>
      </c>
      <c r="BL989" s="33">
        <f t="shared" si="1972"/>
        <v>0</v>
      </c>
      <c r="BM989" s="33">
        <f t="shared" si="1972"/>
        <v>0</v>
      </c>
      <c r="BN989" s="33">
        <f t="shared" si="1972"/>
        <v>0</v>
      </c>
      <c r="BO989" s="33">
        <f t="shared" si="1972"/>
        <v>0</v>
      </c>
      <c r="BP989" s="33">
        <f t="shared" si="1972"/>
        <v>0</v>
      </c>
      <c r="BQ989" s="33">
        <f t="shared" si="1972"/>
        <v>0</v>
      </c>
      <c r="BR989" s="33">
        <f t="shared" si="1972"/>
        <v>0</v>
      </c>
      <c r="BS989" s="33">
        <f t="shared" si="1972"/>
        <v>0</v>
      </c>
      <c r="BT989" s="33">
        <f t="shared" ref="BT989:BY989" si="1973">+IF(AND(BT$979=$C991,BT$979&lt;0),1,0)</f>
        <v>0</v>
      </c>
      <c r="BU989" s="33">
        <f t="shared" si="1973"/>
        <v>0</v>
      </c>
      <c r="BV989" s="33">
        <f t="shared" si="1973"/>
        <v>0</v>
      </c>
      <c r="BW989" s="33">
        <f t="shared" si="1973"/>
        <v>0</v>
      </c>
      <c r="BX989" s="33">
        <f t="shared" si="1973"/>
        <v>0</v>
      </c>
      <c r="BY989" s="33">
        <f t="shared" si="1973"/>
        <v>0</v>
      </c>
    </row>
    <row r="990" spans="3:77" outlineLevel="1">
      <c r="C990" s="32"/>
      <c r="D990" s="31"/>
      <c r="E990" t="s">
        <v>508</v>
      </c>
      <c r="F990" s="23" t="s">
        <v>500</v>
      </c>
      <c r="H990" s="33">
        <f t="shared" ref="H990:BS990" si="1974">+IF(AND(H$979=$C992,H$979&lt;0),1,0)</f>
        <v>0</v>
      </c>
      <c r="I990" s="33">
        <f t="shared" si="1974"/>
        <v>0</v>
      </c>
      <c r="J990" s="33">
        <f t="shared" si="1974"/>
        <v>0</v>
      </c>
      <c r="K990" s="33">
        <f t="shared" si="1974"/>
        <v>0</v>
      </c>
      <c r="L990" s="33">
        <f t="shared" si="1974"/>
        <v>0</v>
      </c>
      <c r="M990" s="33">
        <f t="shared" si="1974"/>
        <v>0</v>
      </c>
      <c r="N990" s="33">
        <f t="shared" si="1974"/>
        <v>0</v>
      </c>
      <c r="O990" s="33">
        <f t="shared" si="1974"/>
        <v>0</v>
      </c>
      <c r="P990" s="33">
        <f t="shared" si="1974"/>
        <v>0</v>
      </c>
      <c r="Q990" s="33">
        <f t="shared" si="1974"/>
        <v>0</v>
      </c>
      <c r="R990" s="33">
        <f t="shared" si="1974"/>
        <v>0</v>
      </c>
      <c r="S990" s="33">
        <f t="shared" si="1974"/>
        <v>0</v>
      </c>
      <c r="T990" s="33">
        <f t="shared" si="1974"/>
        <v>0</v>
      </c>
      <c r="U990" s="33">
        <f t="shared" si="1974"/>
        <v>0</v>
      </c>
      <c r="V990" s="33">
        <f t="shared" si="1974"/>
        <v>0</v>
      </c>
      <c r="W990" s="33">
        <f t="shared" si="1974"/>
        <v>0</v>
      </c>
      <c r="X990" s="33">
        <f t="shared" si="1974"/>
        <v>0</v>
      </c>
      <c r="Y990" s="33">
        <f t="shared" si="1974"/>
        <v>0</v>
      </c>
      <c r="Z990" s="33">
        <f t="shared" si="1974"/>
        <v>0</v>
      </c>
      <c r="AA990" s="33">
        <f t="shared" si="1974"/>
        <v>0</v>
      </c>
      <c r="AB990" s="33">
        <f t="shared" si="1974"/>
        <v>0</v>
      </c>
      <c r="AC990" s="33">
        <f t="shared" si="1974"/>
        <v>0</v>
      </c>
      <c r="AD990" s="33">
        <f t="shared" si="1974"/>
        <v>0</v>
      </c>
      <c r="AE990" s="33">
        <f t="shared" si="1974"/>
        <v>0</v>
      </c>
      <c r="AF990" s="33">
        <f t="shared" si="1974"/>
        <v>0</v>
      </c>
      <c r="AG990" s="33">
        <f t="shared" si="1974"/>
        <v>0</v>
      </c>
      <c r="AH990" s="33">
        <f t="shared" si="1974"/>
        <v>0</v>
      </c>
      <c r="AI990" s="33">
        <f t="shared" si="1974"/>
        <v>0</v>
      </c>
      <c r="AJ990" s="33">
        <f t="shared" si="1974"/>
        <v>0</v>
      </c>
      <c r="AK990" s="33">
        <f t="shared" si="1974"/>
        <v>0</v>
      </c>
      <c r="AL990" s="33">
        <f t="shared" si="1974"/>
        <v>0</v>
      </c>
      <c r="AM990" s="33">
        <f t="shared" si="1974"/>
        <v>0</v>
      </c>
      <c r="AN990" s="33">
        <f t="shared" si="1974"/>
        <v>0</v>
      </c>
      <c r="AO990" s="33">
        <f t="shared" si="1974"/>
        <v>0</v>
      </c>
      <c r="AP990" s="33">
        <f t="shared" si="1974"/>
        <v>0</v>
      </c>
      <c r="AQ990" s="33">
        <f t="shared" si="1974"/>
        <v>0</v>
      </c>
      <c r="AR990" s="33">
        <f t="shared" si="1974"/>
        <v>0</v>
      </c>
      <c r="AS990" s="33">
        <f t="shared" si="1974"/>
        <v>0</v>
      </c>
      <c r="AT990" s="33">
        <f t="shared" si="1974"/>
        <v>0</v>
      </c>
      <c r="AU990" s="33">
        <f t="shared" si="1974"/>
        <v>0</v>
      </c>
      <c r="AV990" s="33">
        <f t="shared" si="1974"/>
        <v>0</v>
      </c>
      <c r="AW990" s="33">
        <f t="shared" si="1974"/>
        <v>0</v>
      </c>
      <c r="AX990" s="33">
        <f t="shared" si="1974"/>
        <v>0</v>
      </c>
      <c r="AY990" s="33">
        <f t="shared" si="1974"/>
        <v>0</v>
      </c>
      <c r="AZ990" s="33">
        <f t="shared" si="1974"/>
        <v>0</v>
      </c>
      <c r="BA990" s="33">
        <f t="shared" si="1974"/>
        <v>0</v>
      </c>
      <c r="BB990" s="33">
        <f t="shared" si="1974"/>
        <v>0</v>
      </c>
      <c r="BC990" s="33">
        <f t="shared" si="1974"/>
        <v>0</v>
      </c>
      <c r="BD990" s="33">
        <f t="shared" si="1974"/>
        <v>0</v>
      </c>
      <c r="BE990" s="33">
        <f t="shared" si="1974"/>
        <v>0</v>
      </c>
      <c r="BF990" s="33">
        <f t="shared" si="1974"/>
        <v>0</v>
      </c>
      <c r="BG990" s="33">
        <f t="shared" si="1974"/>
        <v>0</v>
      </c>
      <c r="BH990" s="33">
        <f t="shared" si="1974"/>
        <v>0</v>
      </c>
      <c r="BI990" s="33">
        <f t="shared" si="1974"/>
        <v>0</v>
      </c>
      <c r="BJ990" s="33">
        <f t="shared" si="1974"/>
        <v>0</v>
      </c>
      <c r="BK990" s="33">
        <f t="shared" si="1974"/>
        <v>0</v>
      </c>
      <c r="BL990" s="33">
        <f t="shared" si="1974"/>
        <v>0</v>
      </c>
      <c r="BM990" s="33">
        <f t="shared" si="1974"/>
        <v>0</v>
      </c>
      <c r="BN990" s="33">
        <f t="shared" si="1974"/>
        <v>0</v>
      </c>
      <c r="BO990" s="33">
        <f t="shared" si="1974"/>
        <v>0</v>
      </c>
      <c r="BP990" s="33">
        <f t="shared" si="1974"/>
        <v>0</v>
      </c>
      <c r="BQ990" s="33">
        <f t="shared" si="1974"/>
        <v>0</v>
      </c>
      <c r="BR990" s="33">
        <f t="shared" si="1974"/>
        <v>0</v>
      </c>
      <c r="BS990" s="33">
        <f t="shared" si="1974"/>
        <v>0</v>
      </c>
      <c r="BT990" s="33">
        <f t="shared" ref="BT990:BY990" si="1975">+IF(AND(BT$979=$C992,BT$979&lt;0),1,0)</f>
        <v>0</v>
      </c>
      <c r="BU990" s="33">
        <f t="shared" si="1975"/>
        <v>0</v>
      </c>
      <c r="BV990" s="33">
        <f t="shared" si="1975"/>
        <v>0</v>
      </c>
      <c r="BW990" s="33">
        <f t="shared" si="1975"/>
        <v>0</v>
      </c>
      <c r="BX990" s="33">
        <f t="shared" si="1975"/>
        <v>0</v>
      </c>
      <c r="BY990" s="33">
        <f t="shared" si="1975"/>
        <v>0</v>
      </c>
    </row>
    <row r="991" spans="3:77" outlineLevel="1">
      <c r="C991" s="32"/>
      <c r="D991" s="31"/>
      <c r="E991" t="s">
        <v>509</v>
      </c>
      <c r="F991" s="23" t="s">
        <v>500</v>
      </c>
      <c r="H991" s="33">
        <f t="shared" ref="H991:BS991" si="1976">+IF(AND(H$979=$C993,H$979&lt;0),1,0)</f>
        <v>0</v>
      </c>
      <c r="I991" s="33">
        <f t="shared" si="1976"/>
        <v>0</v>
      </c>
      <c r="J991" s="33">
        <f t="shared" si="1976"/>
        <v>0</v>
      </c>
      <c r="K991" s="33">
        <f t="shared" si="1976"/>
        <v>0</v>
      </c>
      <c r="L991" s="33">
        <f t="shared" si="1976"/>
        <v>0</v>
      </c>
      <c r="M991" s="33">
        <f t="shared" si="1976"/>
        <v>0</v>
      </c>
      <c r="N991" s="33">
        <f t="shared" si="1976"/>
        <v>0</v>
      </c>
      <c r="O991" s="33">
        <f t="shared" si="1976"/>
        <v>0</v>
      </c>
      <c r="P991" s="33">
        <f t="shared" si="1976"/>
        <v>0</v>
      </c>
      <c r="Q991" s="33">
        <f t="shared" si="1976"/>
        <v>0</v>
      </c>
      <c r="R991" s="33">
        <f t="shared" si="1976"/>
        <v>0</v>
      </c>
      <c r="S991" s="33">
        <f t="shared" si="1976"/>
        <v>0</v>
      </c>
      <c r="T991" s="33">
        <f t="shared" si="1976"/>
        <v>0</v>
      </c>
      <c r="U991" s="33">
        <f t="shared" si="1976"/>
        <v>0</v>
      </c>
      <c r="V991" s="33">
        <f t="shared" si="1976"/>
        <v>0</v>
      </c>
      <c r="W991" s="33">
        <f t="shared" si="1976"/>
        <v>0</v>
      </c>
      <c r="X991" s="33">
        <f t="shared" si="1976"/>
        <v>0</v>
      </c>
      <c r="Y991" s="33">
        <f t="shared" si="1976"/>
        <v>0</v>
      </c>
      <c r="Z991" s="33">
        <f t="shared" si="1976"/>
        <v>0</v>
      </c>
      <c r="AA991" s="33">
        <f t="shared" si="1976"/>
        <v>0</v>
      </c>
      <c r="AB991" s="33">
        <f t="shared" si="1976"/>
        <v>0</v>
      </c>
      <c r="AC991" s="33">
        <f t="shared" si="1976"/>
        <v>0</v>
      </c>
      <c r="AD991" s="33">
        <f t="shared" si="1976"/>
        <v>0</v>
      </c>
      <c r="AE991" s="33">
        <f t="shared" si="1976"/>
        <v>0</v>
      </c>
      <c r="AF991" s="33">
        <f t="shared" si="1976"/>
        <v>0</v>
      </c>
      <c r="AG991" s="33">
        <f t="shared" si="1976"/>
        <v>0</v>
      </c>
      <c r="AH991" s="33">
        <f t="shared" si="1976"/>
        <v>0</v>
      </c>
      <c r="AI991" s="33">
        <f t="shared" si="1976"/>
        <v>0</v>
      </c>
      <c r="AJ991" s="33">
        <f t="shared" si="1976"/>
        <v>0</v>
      </c>
      <c r="AK991" s="33">
        <f t="shared" si="1976"/>
        <v>0</v>
      </c>
      <c r="AL991" s="33">
        <f t="shared" si="1976"/>
        <v>0</v>
      </c>
      <c r="AM991" s="33">
        <f t="shared" si="1976"/>
        <v>0</v>
      </c>
      <c r="AN991" s="33">
        <f t="shared" si="1976"/>
        <v>0</v>
      </c>
      <c r="AO991" s="33">
        <f t="shared" si="1976"/>
        <v>0</v>
      </c>
      <c r="AP991" s="33">
        <f t="shared" si="1976"/>
        <v>0</v>
      </c>
      <c r="AQ991" s="33">
        <f t="shared" si="1976"/>
        <v>0</v>
      </c>
      <c r="AR991" s="33">
        <f t="shared" si="1976"/>
        <v>0</v>
      </c>
      <c r="AS991" s="33">
        <f t="shared" si="1976"/>
        <v>0</v>
      </c>
      <c r="AT991" s="33">
        <f t="shared" si="1976"/>
        <v>0</v>
      </c>
      <c r="AU991" s="33">
        <f t="shared" si="1976"/>
        <v>0</v>
      </c>
      <c r="AV991" s="33">
        <f t="shared" si="1976"/>
        <v>0</v>
      </c>
      <c r="AW991" s="33">
        <f t="shared" si="1976"/>
        <v>0</v>
      </c>
      <c r="AX991" s="33">
        <f t="shared" si="1976"/>
        <v>0</v>
      </c>
      <c r="AY991" s="33">
        <f t="shared" si="1976"/>
        <v>0</v>
      </c>
      <c r="AZ991" s="33">
        <f t="shared" si="1976"/>
        <v>0</v>
      </c>
      <c r="BA991" s="33">
        <f t="shared" si="1976"/>
        <v>0</v>
      </c>
      <c r="BB991" s="33">
        <f t="shared" si="1976"/>
        <v>0</v>
      </c>
      <c r="BC991" s="33">
        <f t="shared" si="1976"/>
        <v>0</v>
      </c>
      <c r="BD991" s="33">
        <f t="shared" si="1976"/>
        <v>0</v>
      </c>
      <c r="BE991" s="33">
        <f t="shared" si="1976"/>
        <v>0</v>
      </c>
      <c r="BF991" s="33">
        <f t="shared" si="1976"/>
        <v>0</v>
      </c>
      <c r="BG991" s="33">
        <f t="shared" si="1976"/>
        <v>0</v>
      </c>
      <c r="BH991" s="33">
        <f t="shared" si="1976"/>
        <v>0</v>
      </c>
      <c r="BI991" s="33">
        <f t="shared" si="1976"/>
        <v>0</v>
      </c>
      <c r="BJ991" s="33">
        <f t="shared" si="1976"/>
        <v>0</v>
      </c>
      <c r="BK991" s="33">
        <f t="shared" si="1976"/>
        <v>0</v>
      </c>
      <c r="BL991" s="33">
        <f t="shared" si="1976"/>
        <v>0</v>
      </c>
      <c r="BM991" s="33">
        <f t="shared" si="1976"/>
        <v>0</v>
      </c>
      <c r="BN991" s="33">
        <f t="shared" si="1976"/>
        <v>0</v>
      </c>
      <c r="BO991" s="33">
        <f t="shared" si="1976"/>
        <v>0</v>
      </c>
      <c r="BP991" s="33">
        <f t="shared" si="1976"/>
        <v>0</v>
      </c>
      <c r="BQ991" s="33">
        <f t="shared" si="1976"/>
        <v>0</v>
      </c>
      <c r="BR991" s="33">
        <f t="shared" si="1976"/>
        <v>0</v>
      </c>
      <c r="BS991" s="33">
        <f t="shared" si="1976"/>
        <v>0</v>
      </c>
      <c r="BT991" s="33">
        <f t="shared" ref="BT991:BY991" si="1977">+IF(AND(BT$979=$C993,BT$979&lt;0),1,0)</f>
        <v>0</v>
      </c>
      <c r="BU991" s="33">
        <f t="shared" si="1977"/>
        <v>0</v>
      </c>
      <c r="BV991" s="33">
        <f t="shared" si="1977"/>
        <v>0</v>
      </c>
      <c r="BW991" s="33">
        <f t="shared" si="1977"/>
        <v>0</v>
      </c>
      <c r="BX991" s="33">
        <f t="shared" si="1977"/>
        <v>0</v>
      </c>
      <c r="BY991" s="33">
        <f t="shared" si="1977"/>
        <v>0</v>
      </c>
    </row>
    <row r="992" spans="3:77" outlineLevel="1">
      <c r="C992" s="32"/>
      <c r="D992" s="31"/>
      <c r="E992" s="25" t="s">
        <v>510</v>
      </c>
      <c r="F992" s="30" t="s">
        <v>500</v>
      </c>
      <c r="G992" s="25"/>
      <c r="H992" s="34">
        <f t="shared" ref="H992:BS992" si="1978">+IF(AND(H$979=$C994,H$979&lt;0),1,0)</f>
        <v>0</v>
      </c>
      <c r="I992" s="34">
        <f t="shared" si="1978"/>
        <v>0</v>
      </c>
      <c r="J992" s="34">
        <f t="shared" si="1978"/>
        <v>0</v>
      </c>
      <c r="K992" s="34">
        <f t="shared" si="1978"/>
        <v>0</v>
      </c>
      <c r="L992" s="34">
        <f t="shared" si="1978"/>
        <v>0</v>
      </c>
      <c r="M992" s="34">
        <f t="shared" si="1978"/>
        <v>0</v>
      </c>
      <c r="N992" s="34">
        <f t="shared" si="1978"/>
        <v>0</v>
      </c>
      <c r="O992" s="34">
        <f t="shared" si="1978"/>
        <v>0</v>
      </c>
      <c r="P992" s="34">
        <f t="shared" si="1978"/>
        <v>0</v>
      </c>
      <c r="Q992" s="34">
        <f t="shared" si="1978"/>
        <v>0</v>
      </c>
      <c r="R992" s="34">
        <f t="shared" si="1978"/>
        <v>0</v>
      </c>
      <c r="S992" s="34">
        <f t="shared" si="1978"/>
        <v>0</v>
      </c>
      <c r="T992" s="34">
        <f t="shared" si="1978"/>
        <v>0</v>
      </c>
      <c r="U992" s="34">
        <f t="shared" si="1978"/>
        <v>0</v>
      </c>
      <c r="V992" s="34">
        <f t="shared" si="1978"/>
        <v>0</v>
      </c>
      <c r="W992" s="34">
        <f t="shared" si="1978"/>
        <v>0</v>
      </c>
      <c r="X992" s="34">
        <f t="shared" si="1978"/>
        <v>0</v>
      </c>
      <c r="Y992" s="34">
        <f t="shared" si="1978"/>
        <v>0</v>
      </c>
      <c r="Z992" s="34">
        <f t="shared" si="1978"/>
        <v>0</v>
      </c>
      <c r="AA992" s="34">
        <f t="shared" si="1978"/>
        <v>0</v>
      </c>
      <c r="AB992" s="34">
        <f t="shared" si="1978"/>
        <v>0</v>
      </c>
      <c r="AC992" s="34">
        <f t="shared" si="1978"/>
        <v>0</v>
      </c>
      <c r="AD992" s="34">
        <f t="shared" si="1978"/>
        <v>0</v>
      </c>
      <c r="AE992" s="34">
        <f t="shared" si="1978"/>
        <v>0</v>
      </c>
      <c r="AF992" s="34">
        <f t="shared" si="1978"/>
        <v>0</v>
      </c>
      <c r="AG992" s="34">
        <f t="shared" si="1978"/>
        <v>0</v>
      </c>
      <c r="AH992" s="34">
        <f t="shared" si="1978"/>
        <v>0</v>
      </c>
      <c r="AI992" s="34">
        <f t="shared" si="1978"/>
        <v>0</v>
      </c>
      <c r="AJ992" s="34">
        <f t="shared" si="1978"/>
        <v>0</v>
      </c>
      <c r="AK992" s="34">
        <f t="shared" si="1978"/>
        <v>0</v>
      </c>
      <c r="AL992" s="34">
        <f t="shared" si="1978"/>
        <v>0</v>
      </c>
      <c r="AM992" s="34">
        <f t="shared" si="1978"/>
        <v>0</v>
      </c>
      <c r="AN992" s="34">
        <f t="shared" si="1978"/>
        <v>0</v>
      </c>
      <c r="AO992" s="34">
        <f t="shared" si="1978"/>
        <v>0</v>
      </c>
      <c r="AP992" s="34">
        <f t="shared" si="1978"/>
        <v>0</v>
      </c>
      <c r="AQ992" s="34">
        <f t="shared" si="1978"/>
        <v>0</v>
      </c>
      <c r="AR992" s="34">
        <f t="shared" si="1978"/>
        <v>0</v>
      </c>
      <c r="AS992" s="34">
        <f t="shared" si="1978"/>
        <v>0</v>
      </c>
      <c r="AT992" s="34">
        <f t="shared" si="1978"/>
        <v>0</v>
      </c>
      <c r="AU992" s="34">
        <f t="shared" si="1978"/>
        <v>0</v>
      </c>
      <c r="AV992" s="34">
        <f t="shared" si="1978"/>
        <v>0</v>
      </c>
      <c r="AW992" s="34">
        <f t="shared" si="1978"/>
        <v>0</v>
      </c>
      <c r="AX992" s="34">
        <f t="shared" si="1978"/>
        <v>0</v>
      </c>
      <c r="AY992" s="34">
        <f t="shared" si="1978"/>
        <v>0</v>
      </c>
      <c r="AZ992" s="34">
        <f t="shared" si="1978"/>
        <v>0</v>
      </c>
      <c r="BA992" s="34">
        <f t="shared" si="1978"/>
        <v>0</v>
      </c>
      <c r="BB992" s="34">
        <f t="shared" si="1978"/>
        <v>0</v>
      </c>
      <c r="BC992" s="34">
        <f t="shared" si="1978"/>
        <v>0</v>
      </c>
      <c r="BD992" s="34">
        <f t="shared" si="1978"/>
        <v>0</v>
      </c>
      <c r="BE992" s="34">
        <f t="shared" si="1978"/>
        <v>0</v>
      </c>
      <c r="BF992" s="34">
        <f t="shared" si="1978"/>
        <v>0</v>
      </c>
      <c r="BG992" s="34">
        <f t="shared" si="1978"/>
        <v>0</v>
      </c>
      <c r="BH992" s="34">
        <f t="shared" si="1978"/>
        <v>0</v>
      </c>
      <c r="BI992" s="34">
        <f t="shared" si="1978"/>
        <v>0</v>
      </c>
      <c r="BJ992" s="34">
        <f t="shared" si="1978"/>
        <v>0</v>
      </c>
      <c r="BK992" s="34">
        <f t="shared" si="1978"/>
        <v>0</v>
      </c>
      <c r="BL992" s="34">
        <f t="shared" si="1978"/>
        <v>0</v>
      </c>
      <c r="BM992" s="34">
        <f t="shared" si="1978"/>
        <v>0</v>
      </c>
      <c r="BN992" s="34">
        <f t="shared" si="1978"/>
        <v>0</v>
      </c>
      <c r="BO992" s="34">
        <f t="shared" si="1978"/>
        <v>0</v>
      </c>
      <c r="BP992" s="34">
        <f t="shared" si="1978"/>
        <v>0</v>
      </c>
      <c r="BQ992" s="34">
        <f t="shared" si="1978"/>
        <v>0</v>
      </c>
      <c r="BR992" s="34">
        <f t="shared" si="1978"/>
        <v>0</v>
      </c>
      <c r="BS992" s="34">
        <f t="shared" si="1978"/>
        <v>0</v>
      </c>
      <c r="BT992" s="34">
        <f t="shared" ref="BT992:BY992" si="1979">+IF(AND(BT$979=$C994,BT$979&lt;0),1,0)</f>
        <v>0</v>
      </c>
      <c r="BU992" s="34">
        <f t="shared" si="1979"/>
        <v>0</v>
      </c>
      <c r="BV992" s="34">
        <f t="shared" si="1979"/>
        <v>0</v>
      </c>
      <c r="BW992" s="34">
        <f t="shared" si="1979"/>
        <v>0</v>
      </c>
      <c r="BX992" s="34">
        <f t="shared" si="1979"/>
        <v>0</v>
      </c>
      <c r="BY992" s="34">
        <f t="shared" si="1979"/>
        <v>0</v>
      </c>
    </row>
    <row r="993" spans="5:77" outlineLevel="1">
      <c r="E993" t="s">
        <v>511</v>
      </c>
      <c r="F993" s="80" t="str">
        <f>+Assumptions!$G$8</f>
        <v>USD</v>
      </c>
      <c r="H993" s="32">
        <f t="shared" ref="H993" si="1980">+G1007</f>
        <v>0</v>
      </c>
      <c r="I993" s="32">
        <f t="shared" ref="I993" si="1981">+H1007</f>
        <v>0</v>
      </c>
      <c r="J993" s="32">
        <f>+I1007</f>
        <v>-33577120.511999995</v>
      </c>
      <c r="K993" s="32">
        <f t="shared" ref="K993" ca="1" si="1982">+J1007</f>
        <v>-210484085.97211489</v>
      </c>
      <c r="L993" s="32">
        <f t="shared" ref="L993" ca="1" si="1983">+K1007</f>
        <v>-201110873.99024543</v>
      </c>
      <c r="M993" s="32">
        <f t="shared" ref="M993" ca="1" si="1984">+L1007</f>
        <v>-191199733.37273648</v>
      </c>
      <c r="N993" s="32">
        <f t="shared" ref="N993" ca="1" si="1985">+M1007</f>
        <v>-180719792.39518869</v>
      </c>
      <c r="O993" s="32">
        <f t="shared" ref="O993" ca="1" si="1986">+N1007</f>
        <v>-169638407.60493943</v>
      </c>
      <c r="P993" s="32">
        <f t="shared" ref="P993" ca="1" si="1987">+O1007</f>
        <v>-157921062.14157778</v>
      </c>
      <c r="Q993" s="32">
        <f t="shared" ref="Q993" ca="1" si="1988">+P1007</f>
        <v>-145531258.22207379</v>
      </c>
      <c r="R993" s="32">
        <f t="shared" ref="R993" ca="1" si="1989">+Q1007</f>
        <v>-132430403.45562948</v>
      </c>
      <c r="S993" s="32">
        <f t="shared" ref="S993" ca="1" si="1990">+R1007</f>
        <v>-118577690.63413893</v>
      </c>
      <c r="T993" s="32">
        <f t="shared" ref="T993" ca="1" si="1991">+S1007</f>
        <v>-103929970.62382303</v>
      </c>
      <c r="U993" s="32">
        <f t="shared" ref="U993" ca="1" si="1992">+T1007</f>
        <v>-88441617.962115109</v>
      </c>
      <c r="V993" s="32">
        <f t="shared" ref="V993" ca="1" si="1993">+U1007</f>
        <v>-72064388.741151765</v>
      </c>
      <c r="W993" s="32">
        <f t="shared" ref="W993" ca="1" si="1994">+V1007</f>
        <v>-54747270.335197337</v>
      </c>
      <c r="X993" s="32">
        <f t="shared" ref="X993" ca="1" si="1995">+W1007</f>
        <v>-36436322.503925182</v>
      </c>
      <c r="Y993" s="32">
        <f t="shared" ref="Y993" ca="1" si="1996">+X1007</f>
        <v>-17074509.376616318</v>
      </c>
      <c r="Z993" s="32">
        <f t="shared" ref="Z993" ca="1" si="1997">+Y1007</f>
        <v>0</v>
      </c>
      <c r="AA993" s="32">
        <f t="shared" ref="AA993" ca="1" si="1998">+Z1007</f>
        <v>0</v>
      </c>
      <c r="AB993" s="32">
        <f t="shared" ref="AB993" ca="1" si="1999">+AA1007</f>
        <v>0</v>
      </c>
      <c r="AC993" s="32">
        <f t="shared" ref="AC993" ca="1" si="2000">+AB1007</f>
        <v>0</v>
      </c>
      <c r="AD993" s="32">
        <f t="shared" ref="AD993" ca="1" si="2001">+AC1007</f>
        <v>0</v>
      </c>
      <c r="AE993" s="32">
        <f t="shared" ref="AE993" ca="1" si="2002">+AD1007</f>
        <v>0</v>
      </c>
      <c r="AF993" s="32">
        <f t="shared" ref="AF993" ca="1" si="2003">+AE1007</f>
        <v>0</v>
      </c>
      <c r="AG993" s="32">
        <f t="shared" ref="AG993" ca="1" si="2004">+AF1007</f>
        <v>0</v>
      </c>
      <c r="AH993" s="32">
        <f t="shared" ref="AH993" ca="1" si="2005">+AG1007</f>
        <v>0</v>
      </c>
      <c r="AI993" s="32">
        <f t="shared" ref="AI993" ca="1" si="2006">+AH1007</f>
        <v>0</v>
      </c>
      <c r="AJ993" s="32">
        <f t="shared" ref="AJ993" ca="1" si="2007">+AI1007</f>
        <v>0</v>
      </c>
      <c r="AK993" s="32">
        <f t="shared" ref="AK993" ca="1" si="2008">+AJ1007</f>
        <v>0</v>
      </c>
      <c r="AL993" s="32">
        <f t="shared" ref="AL993" ca="1" si="2009">+AK1007</f>
        <v>0</v>
      </c>
      <c r="AM993" s="32">
        <f t="shared" ref="AM993" ca="1" si="2010">+AL1007</f>
        <v>0</v>
      </c>
      <c r="AN993" s="32">
        <f t="shared" ref="AN993" ca="1" si="2011">+AM1007</f>
        <v>0</v>
      </c>
      <c r="AO993" s="32">
        <f t="shared" ref="AO993" ca="1" si="2012">+AN1007</f>
        <v>0</v>
      </c>
      <c r="AP993" s="32">
        <f t="shared" ref="AP993" ca="1" si="2013">+AO1007</f>
        <v>0</v>
      </c>
      <c r="AQ993" s="32">
        <f t="shared" ref="AQ993" ca="1" si="2014">+AP1007</f>
        <v>0</v>
      </c>
      <c r="AR993" s="32">
        <f t="shared" ref="AR993" ca="1" si="2015">+AQ1007</f>
        <v>0</v>
      </c>
      <c r="AS993" s="32">
        <f t="shared" ref="AS993" ca="1" si="2016">+AR1007</f>
        <v>0</v>
      </c>
      <c r="AT993" s="32">
        <f t="shared" ref="AT993" ca="1" si="2017">+AS1007</f>
        <v>0</v>
      </c>
      <c r="AU993" s="32">
        <f t="shared" ref="AU993" ca="1" si="2018">+AT1007</f>
        <v>0</v>
      </c>
      <c r="AV993" s="32">
        <f t="shared" ref="AV993" ca="1" si="2019">+AU1007</f>
        <v>0</v>
      </c>
      <c r="AW993" s="32">
        <f t="shared" ref="AW993" ca="1" si="2020">+AV1007</f>
        <v>0</v>
      </c>
      <c r="AX993" s="32">
        <f t="shared" ref="AX993" ca="1" si="2021">+AW1007</f>
        <v>0</v>
      </c>
      <c r="AY993" s="32">
        <f t="shared" ref="AY993" ca="1" si="2022">+AX1007</f>
        <v>0</v>
      </c>
      <c r="AZ993" s="32">
        <f t="shared" ref="AZ993" ca="1" si="2023">+AY1007</f>
        <v>0</v>
      </c>
      <c r="BA993" s="32">
        <f t="shared" ref="BA993" ca="1" si="2024">+AZ1007</f>
        <v>0</v>
      </c>
      <c r="BB993" s="32">
        <f t="shared" ref="BB993" ca="1" si="2025">+BA1007</f>
        <v>0</v>
      </c>
      <c r="BC993" s="32">
        <f t="shared" ref="BC993" ca="1" si="2026">+BB1007</f>
        <v>0</v>
      </c>
      <c r="BD993" s="32">
        <f t="shared" ref="BD993" ca="1" si="2027">+BC1007</f>
        <v>0</v>
      </c>
      <c r="BE993" s="32">
        <f t="shared" ref="BE993" ca="1" si="2028">+BD1007</f>
        <v>0</v>
      </c>
      <c r="BF993" s="32">
        <f t="shared" ref="BF993" ca="1" si="2029">+BE1007</f>
        <v>0</v>
      </c>
      <c r="BG993" s="32">
        <f t="shared" ref="BG993" ca="1" si="2030">+BF1007</f>
        <v>0</v>
      </c>
      <c r="BH993" s="32">
        <f t="shared" ref="BH993" ca="1" si="2031">+BG1007</f>
        <v>0</v>
      </c>
      <c r="BI993" s="32">
        <f t="shared" ref="BI993" ca="1" si="2032">+BH1007</f>
        <v>0</v>
      </c>
      <c r="BJ993" s="32">
        <f t="shared" ref="BJ993" ca="1" si="2033">+BI1007</f>
        <v>0</v>
      </c>
      <c r="BK993" s="32">
        <f t="shared" ref="BK993" ca="1" si="2034">+BJ1007</f>
        <v>0</v>
      </c>
      <c r="BL993" s="32">
        <f t="shared" ref="BL993" ca="1" si="2035">+BK1007</f>
        <v>0</v>
      </c>
      <c r="BM993" s="32">
        <f t="shared" ref="BM993" ca="1" si="2036">+BL1007</f>
        <v>0</v>
      </c>
      <c r="BN993" s="32">
        <f t="shared" ref="BN993" ca="1" si="2037">+BM1007</f>
        <v>0</v>
      </c>
      <c r="BO993" s="32">
        <f t="shared" ref="BO993" ca="1" si="2038">+BN1007</f>
        <v>0</v>
      </c>
      <c r="BP993" s="32">
        <f t="shared" ref="BP993" ca="1" si="2039">+BO1007</f>
        <v>0</v>
      </c>
      <c r="BQ993" s="32">
        <f t="shared" ref="BQ993" ca="1" si="2040">+BP1007</f>
        <v>0</v>
      </c>
      <c r="BR993" s="32">
        <f t="shared" ref="BR993" ca="1" si="2041">+BQ1007</f>
        <v>0</v>
      </c>
      <c r="BS993" s="32">
        <f t="shared" ref="BS993" ca="1" si="2042">+BR1007</f>
        <v>0</v>
      </c>
      <c r="BT993" s="32">
        <f t="shared" ref="BT993" ca="1" si="2043">+BS1007</f>
        <v>0</v>
      </c>
      <c r="BU993" s="32">
        <f t="shared" ref="BU993" ca="1" si="2044">+BT1007</f>
        <v>0</v>
      </c>
      <c r="BV993" s="32">
        <f t="shared" ref="BV993" ca="1" si="2045">+BU1007</f>
        <v>0</v>
      </c>
      <c r="BW993" s="32">
        <f t="shared" ref="BW993" ca="1" si="2046">+BV1007</f>
        <v>0</v>
      </c>
      <c r="BX993" s="32">
        <f t="shared" ref="BX993" ca="1" si="2047">+BW1007</f>
        <v>0</v>
      </c>
      <c r="BY993" s="32">
        <f t="shared" ref="BY993" ca="1" si="2048">+BX1007</f>
        <v>0</v>
      </c>
    </row>
    <row r="994" spans="5:77" outlineLevel="1">
      <c r="E994" t="s">
        <v>512</v>
      </c>
      <c r="F994" s="80" t="str">
        <f>+Assumptions!$G$8</f>
        <v>USD</v>
      </c>
      <c r="H994" s="33">
        <f ca="1">+H993*Assumptions!$H$335</f>
        <v>0</v>
      </c>
      <c r="I994" s="33">
        <f ca="1">+I993*Assumptions!$H$335</f>
        <v>0</v>
      </c>
      <c r="J994" s="33">
        <f ca="1">+J993*Assumptions!$H$335</f>
        <v>-1926990.9461836799</v>
      </c>
      <c r="K994" s="33">
        <f ca="1">+K993*Assumptions!$H$335</f>
        <v>-12079681.693939675</v>
      </c>
      <c r="L994" s="33">
        <f ca="1">+L993*Assumptions!$H$335</f>
        <v>-11541753.058300186</v>
      </c>
      <c r="M994" s="33">
        <f ca="1">+M993*Assumptions!$H$335</f>
        <v>-10972952.698261347</v>
      </c>
      <c r="N994" s="33">
        <f ca="1">+N993*Assumptions!$H$335</f>
        <v>-10371508.885559879</v>
      </c>
      <c r="O994" s="33">
        <f ca="1">+O993*Assumptions!$H$335</f>
        <v>-9735548.2124474738</v>
      </c>
      <c r="P994" s="33">
        <f ca="1">+P993*Assumptions!$H$335</f>
        <v>-9063089.7563051488</v>
      </c>
      <c r="Q994" s="33">
        <f ca="1">+Q993*Assumptions!$H$335</f>
        <v>-8352038.9093648158</v>
      </c>
      <c r="R994" s="33">
        <f ca="1">+R993*Assumptions!$H$335</f>
        <v>-7600180.8543185769</v>
      </c>
      <c r="S994" s="33">
        <f ca="1">+S993*Assumptions!$H$335</f>
        <v>-6805173.6654932331</v>
      </c>
      <c r="T994" s="33">
        <f ca="1">+T993*Assumptions!$H$335</f>
        <v>-5964541.0141012045</v>
      </c>
      <c r="U994" s="33">
        <f ca="1">+U993*Assumptions!$H$335</f>
        <v>-5075664.4548457861</v>
      </c>
      <c r="V994" s="33">
        <f ca="1">+V993*Assumptions!$H$335</f>
        <v>-4135775.2698547002</v>
      </c>
      <c r="W994" s="33">
        <f ca="1">+W993*Assumptions!$H$335</f>
        <v>-3141945.8445369755</v>
      </c>
      <c r="X994" s="33">
        <f ca="1">+X993*Assumptions!$H$335</f>
        <v>-2091080.5485002664</v>
      </c>
      <c r="Y994" s="33">
        <f ca="1">+Y993*Assumptions!$H$335</f>
        <v>-979906.09312401048</v>
      </c>
      <c r="Z994" s="33">
        <f ca="1">+Z993*Assumptions!$H$335</f>
        <v>0</v>
      </c>
      <c r="AA994" s="33">
        <f ca="1">+AA993*Assumptions!$H$335</f>
        <v>0</v>
      </c>
      <c r="AB994" s="33">
        <f ca="1">+AB993*Assumptions!$H$335</f>
        <v>0</v>
      </c>
      <c r="AC994" s="33">
        <f ca="1">+AC993*Assumptions!$H$335</f>
        <v>0</v>
      </c>
      <c r="AD994" s="33">
        <f ca="1">+AD993*Assumptions!$H$335</f>
        <v>0</v>
      </c>
      <c r="AE994" s="33">
        <f ca="1">+AE993*Assumptions!$H$335</f>
        <v>0</v>
      </c>
      <c r="AF994" s="33">
        <f ca="1">+AF993*Assumptions!$H$335</f>
        <v>0</v>
      </c>
      <c r="AG994" s="33">
        <f ca="1">+AG993*Assumptions!$H$335</f>
        <v>0</v>
      </c>
      <c r="AH994" s="33">
        <f ca="1">+AH993*Assumptions!$H$335</f>
        <v>0</v>
      </c>
      <c r="AI994" s="33">
        <f ca="1">+AI993*Assumptions!$H$335</f>
        <v>0</v>
      </c>
      <c r="AJ994" s="33">
        <f ca="1">+AJ993*Assumptions!$H$335</f>
        <v>0</v>
      </c>
      <c r="AK994" s="33">
        <f ca="1">+AK993*Assumptions!$H$335</f>
        <v>0</v>
      </c>
      <c r="AL994" s="33">
        <f ca="1">+AL993*Assumptions!$H$335</f>
        <v>0</v>
      </c>
      <c r="AM994" s="33">
        <f ca="1">+AM993*Assumptions!$H$335</f>
        <v>0</v>
      </c>
      <c r="AN994" s="33">
        <f ca="1">+AN993*Assumptions!$H$335</f>
        <v>0</v>
      </c>
      <c r="AO994" s="33">
        <f ca="1">+AO993*Assumptions!$H$335</f>
        <v>0</v>
      </c>
      <c r="AP994" s="33">
        <f ca="1">+AP993*Assumptions!$H$335</f>
        <v>0</v>
      </c>
      <c r="AQ994" s="33">
        <f ca="1">+AQ993*Assumptions!$H$335</f>
        <v>0</v>
      </c>
      <c r="AR994" s="33">
        <f ca="1">+AR993*Assumptions!$H$335</f>
        <v>0</v>
      </c>
      <c r="AS994" s="33">
        <f ca="1">+AS993*Assumptions!$H$335</f>
        <v>0</v>
      </c>
      <c r="AT994" s="33">
        <f ca="1">+AT993*Assumptions!$H$335</f>
        <v>0</v>
      </c>
      <c r="AU994" s="33">
        <f ca="1">+AU993*Assumptions!$H$335</f>
        <v>0</v>
      </c>
      <c r="AV994" s="33">
        <f ca="1">+AV993*Assumptions!$H$335</f>
        <v>0</v>
      </c>
      <c r="AW994" s="33">
        <f ca="1">+AW993*Assumptions!$H$335</f>
        <v>0</v>
      </c>
      <c r="AX994" s="33">
        <f ca="1">+AX993*Assumptions!$H$335</f>
        <v>0</v>
      </c>
      <c r="AY994" s="33">
        <f ca="1">+AY993*Assumptions!$H$335</f>
        <v>0</v>
      </c>
      <c r="AZ994" s="33">
        <f ca="1">+AZ993*Assumptions!$H$335</f>
        <v>0</v>
      </c>
      <c r="BA994" s="33">
        <f ca="1">+BA993*Assumptions!$H$335</f>
        <v>0</v>
      </c>
      <c r="BB994" s="33">
        <f ca="1">+BB993*Assumptions!$H$335</f>
        <v>0</v>
      </c>
      <c r="BC994" s="33">
        <f ca="1">+BC993*Assumptions!$H$335</f>
        <v>0</v>
      </c>
      <c r="BD994" s="33">
        <f ca="1">+BD993*Assumptions!$H$335</f>
        <v>0</v>
      </c>
      <c r="BE994" s="33">
        <f ca="1">+BE993*Assumptions!$H$335</f>
        <v>0</v>
      </c>
      <c r="BF994" s="33">
        <f ca="1">+BF993*Assumptions!$H$335</f>
        <v>0</v>
      </c>
      <c r="BG994" s="33">
        <f ca="1">+BG993*Assumptions!$H$335</f>
        <v>0</v>
      </c>
      <c r="BH994" s="33">
        <f ca="1">+BH993*Assumptions!$H$335</f>
        <v>0</v>
      </c>
      <c r="BI994" s="33">
        <f ca="1">+BI993*Assumptions!$H$335</f>
        <v>0</v>
      </c>
      <c r="BJ994" s="33">
        <f ca="1">+BJ993*Assumptions!$H$335</f>
        <v>0</v>
      </c>
      <c r="BK994" s="33">
        <f ca="1">+BK993*Assumptions!$H$335</f>
        <v>0</v>
      </c>
      <c r="BL994" s="33">
        <f ca="1">+BL993*Assumptions!$H$335</f>
        <v>0</v>
      </c>
      <c r="BM994" s="33">
        <f ca="1">+BM993*Assumptions!$H$335</f>
        <v>0</v>
      </c>
      <c r="BN994" s="33">
        <f ca="1">+BN993*Assumptions!$H$335</f>
        <v>0</v>
      </c>
      <c r="BO994" s="33">
        <f ca="1">+BO993*Assumptions!$H$335</f>
        <v>0</v>
      </c>
      <c r="BP994" s="33">
        <f ca="1">+BP993*Assumptions!$H$335</f>
        <v>0</v>
      </c>
      <c r="BQ994" s="33">
        <f ca="1">+BQ993*Assumptions!$H$335</f>
        <v>0</v>
      </c>
      <c r="BR994" s="33">
        <f ca="1">+BR993*Assumptions!$H$335</f>
        <v>0</v>
      </c>
      <c r="BS994" s="33">
        <f ca="1">+BS993*Assumptions!$H$335</f>
        <v>0</v>
      </c>
      <c r="BT994" s="33">
        <f ca="1">+BT993*Assumptions!$H$335</f>
        <v>0</v>
      </c>
      <c r="BU994" s="33">
        <f ca="1">+BU993*Assumptions!$H$335</f>
        <v>0</v>
      </c>
      <c r="BV994" s="33">
        <f ca="1">+BV993*Assumptions!$H$335</f>
        <v>0</v>
      </c>
      <c r="BW994" s="33">
        <f ca="1">+BW993*Assumptions!$H$335</f>
        <v>0</v>
      </c>
      <c r="BX994" s="33">
        <f ca="1">+BX993*Assumptions!$H$335</f>
        <v>0</v>
      </c>
      <c r="BY994" s="33">
        <f ca="1">+BY993*Assumptions!$H$335</f>
        <v>0</v>
      </c>
    </row>
    <row r="995" spans="5:77" outlineLevel="1">
      <c r="E995" s="25" t="s">
        <v>513</v>
      </c>
      <c r="F995" s="81" t="str">
        <f>+Assumptions!$G$8</f>
        <v>USD</v>
      </c>
      <c r="G995" s="25"/>
      <c r="H995" s="34">
        <f>IF(SUM(H996:H1005)=0,0,+SUM(H996:H1005)-H994)</f>
        <v>0</v>
      </c>
      <c r="I995" s="34">
        <f t="shared" ref="I995:BT995" si="2049">IF(SUM(I996:I1005)=0,0,+SUM(I996:I1005)-I994)</f>
        <v>0</v>
      </c>
      <c r="J995" s="34">
        <f t="shared" ca="1" si="2049"/>
        <v>-1471487.259885093</v>
      </c>
      <c r="K995" s="34">
        <f t="shared" ca="1" si="2049"/>
        <v>-9373211.9818694554</v>
      </c>
      <c r="L995" s="34">
        <f t="shared" ca="1" si="2049"/>
        <v>-9911140.6175089441</v>
      </c>
      <c r="M995" s="34">
        <f t="shared" ca="1" si="2049"/>
        <v>-10479940.977547783</v>
      </c>
      <c r="N995" s="34">
        <f t="shared" ca="1" si="2049"/>
        <v>-11081384.790249251</v>
      </c>
      <c r="O995" s="34">
        <f t="shared" ca="1" si="2049"/>
        <v>-11717345.463361656</v>
      </c>
      <c r="P995" s="34">
        <f t="shared" ca="1" si="2049"/>
        <v>-12389803.919503981</v>
      </c>
      <c r="Q995" s="34">
        <f t="shared" ca="1" si="2049"/>
        <v>-13100854.766444314</v>
      </c>
      <c r="R995" s="34">
        <f t="shared" ca="1" si="2049"/>
        <v>-13852712.821490552</v>
      </c>
      <c r="S995" s="34">
        <f t="shared" ca="1" si="2049"/>
        <v>-14647720.010315897</v>
      </c>
      <c r="T995" s="34">
        <f t="shared" ca="1" si="2049"/>
        <v>-15488352.661707927</v>
      </c>
      <c r="U995" s="34">
        <f t="shared" ca="1" si="2049"/>
        <v>-16377229.220963344</v>
      </c>
      <c r="V995" s="34">
        <f t="shared" ca="1" si="2049"/>
        <v>-17317118.405954428</v>
      </c>
      <c r="W995" s="34">
        <f t="shared" ca="1" si="2049"/>
        <v>-18310947.831272155</v>
      </c>
      <c r="X995" s="34">
        <f t="shared" ca="1" si="2049"/>
        <v>-19361813.127308864</v>
      </c>
      <c r="Y995" s="34">
        <f t="shared" ca="1" si="2049"/>
        <v>-17074509.376616348</v>
      </c>
      <c r="Z995" s="34">
        <f t="shared" si="2049"/>
        <v>0</v>
      </c>
      <c r="AA995" s="34">
        <f t="shared" si="2049"/>
        <v>0</v>
      </c>
      <c r="AB995" s="34">
        <f t="shared" si="2049"/>
        <v>0</v>
      </c>
      <c r="AC995" s="34">
        <f t="shared" si="2049"/>
        <v>0</v>
      </c>
      <c r="AD995" s="34">
        <f t="shared" si="2049"/>
        <v>0</v>
      </c>
      <c r="AE995" s="34">
        <f t="shared" si="2049"/>
        <v>0</v>
      </c>
      <c r="AF995" s="34">
        <f t="shared" si="2049"/>
        <v>0</v>
      </c>
      <c r="AG995" s="34">
        <f t="shared" si="2049"/>
        <v>0</v>
      </c>
      <c r="AH995" s="34">
        <f t="shared" si="2049"/>
        <v>0</v>
      </c>
      <c r="AI995" s="34">
        <f t="shared" si="2049"/>
        <v>0</v>
      </c>
      <c r="AJ995" s="34">
        <f t="shared" si="2049"/>
        <v>0</v>
      </c>
      <c r="AK995" s="34">
        <f t="shared" si="2049"/>
        <v>0</v>
      </c>
      <c r="AL995" s="34">
        <f t="shared" si="2049"/>
        <v>0</v>
      </c>
      <c r="AM995" s="34">
        <f t="shared" si="2049"/>
        <v>0</v>
      </c>
      <c r="AN995" s="34">
        <f t="shared" si="2049"/>
        <v>0</v>
      </c>
      <c r="AO995" s="34">
        <f t="shared" si="2049"/>
        <v>0</v>
      </c>
      <c r="AP995" s="34">
        <f t="shared" si="2049"/>
        <v>0</v>
      </c>
      <c r="AQ995" s="34">
        <f t="shared" si="2049"/>
        <v>0</v>
      </c>
      <c r="AR995" s="34">
        <f t="shared" si="2049"/>
        <v>0</v>
      </c>
      <c r="AS995" s="34">
        <f t="shared" si="2049"/>
        <v>0</v>
      </c>
      <c r="AT995" s="34">
        <f t="shared" si="2049"/>
        <v>0</v>
      </c>
      <c r="AU995" s="34">
        <f t="shared" si="2049"/>
        <v>0</v>
      </c>
      <c r="AV995" s="34">
        <f t="shared" si="2049"/>
        <v>0</v>
      </c>
      <c r="AW995" s="34">
        <f t="shared" si="2049"/>
        <v>0</v>
      </c>
      <c r="AX995" s="34">
        <f t="shared" si="2049"/>
        <v>0</v>
      </c>
      <c r="AY995" s="34">
        <f t="shared" si="2049"/>
        <v>0</v>
      </c>
      <c r="AZ995" s="34">
        <f t="shared" si="2049"/>
        <v>0</v>
      </c>
      <c r="BA995" s="34">
        <f t="shared" si="2049"/>
        <v>0</v>
      </c>
      <c r="BB995" s="34">
        <f t="shared" si="2049"/>
        <v>0</v>
      </c>
      <c r="BC995" s="34">
        <f t="shared" si="2049"/>
        <v>0</v>
      </c>
      <c r="BD995" s="34">
        <f t="shared" si="2049"/>
        <v>0</v>
      </c>
      <c r="BE995" s="34">
        <f t="shared" si="2049"/>
        <v>0</v>
      </c>
      <c r="BF995" s="34">
        <f t="shared" si="2049"/>
        <v>0</v>
      </c>
      <c r="BG995" s="34">
        <f t="shared" si="2049"/>
        <v>0</v>
      </c>
      <c r="BH995" s="34">
        <f t="shared" si="2049"/>
        <v>0</v>
      </c>
      <c r="BI995" s="34">
        <f t="shared" si="2049"/>
        <v>0</v>
      </c>
      <c r="BJ995" s="34">
        <f t="shared" si="2049"/>
        <v>0</v>
      </c>
      <c r="BK995" s="34">
        <f t="shared" si="2049"/>
        <v>0</v>
      </c>
      <c r="BL995" s="34">
        <f t="shared" si="2049"/>
        <v>0</v>
      </c>
      <c r="BM995" s="34">
        <f t="shared" si="2049"/>
        <v>0</v>
      </c>
      <c r="BN995" s="34">
        <f t="shared" si="2049"/>
        <v>0</v>
      </c>
      <c r="BO995" s="34">
        <f t="shared" si="2049"/>
        <v>0</v>
      </c>
      <c r="BP995" s="34">
        <f t="shared" si="2049"/>
        <v>0</v>
      </c>
      <c r="BQ995" s="34">
        <f t="shared" si="2049"/>
        <v>0</v>
      </c>
      <c r="BR995" s="34">
        <f t="shared" si="2049"/>
        <v>0</v>
      </c>
      <c r="BS995" s="34">
        <f t="shared" si="2049"/>
        <v>0</v>
      </c>
      <c r="BT995" s="34">
        <f t="shared" si="2049"/>
        <v>0</v>
      </c>
      <c r="BU995" s="34">
        <f t="shared" ref="BU995:BY995" si="2050">IF(SUM(BU996:BU1005)=0,0,+SUM(BU996:BU1005)-BU994)</f>
        <v>0</v>
      </c>
      <c r="BV995" s="34">
        <f t="shared" si="2050"/>
        <v>0</v>
      </c>
      <c r="BW995" s="34">
        <f t="shared" si="2050"/>
        <v>0</v>
      </c>
      <c r="BX995" s="34">
        <f t="shared" si="2050"/>
        <v>0</v>
      </c>
      <c r="BY995" s="34">
        <f t="shared" si="2050"/>
        <v>0</v>
      </c>
    </row>
    <row r="996" spans="5:77" outlineLevel="1">
      <c r="E996" s="24" t="s">
        <v>514</v>
      </c>
      <c r="F996" s="80" t="str">
        <f>+Assumptions!$G$8</f>
        <v>USD</v>
      </c>
      <c r="G996" s="24"/>
      <c r="H996" s="39">
        <f>+IFERROR(-ABS(IF(EDATE(_xlfn.XLOOKUP(1,$H983:$BE983,$H$4:$BE$4),12*Assumptions!$H$337+12)=H$4,0,IF(G983=1,PMT(Assumptions!$H$335,Assumptions!$H$337,$C985),G996))),0)</f>
        <v>0</v>
      </c>
      <c r="I996" s="39">
        <f>+IFERROR(-ABS(IF(EDATE(_xlfn.XLOOKUP(1,$H983:$BE983,$H$4:$BE$4),12*Assumptions!$H$337+12)=I$4,0,IF(H983=1,PMT(Assumptions!$H$335,Assumptions!$H$337,$C985),H996))),0)</f>
        <v>0</v>
      </c>
      <c r="J996" s="39">
        <f ca="1">+IFERROR(-ABS(IF(EDATE(_xlfn.XLOOKUP(1,$H983:$BE983,$H$4:$BE$4),12*Assumptions!$H$337+12)=J$4,0,IF(I983=1,PMT(Assumptions!$H$335,Assumptions!$H$337,$C985),I996))),0)</f>
        <v>-3398478.2060687728</v>
      </c>
      <c r="K996" s="39">
        <f ca="1">+IFERROR(-ABS(IF(EDATE(_xlfn.XLOOKUP(1,$H983:$BE983,$H$4:$BE$4),12*Assumptions!$H$337+12)=K$4,0,IF(J983=1,PMT(Assumptions!$H$335,Assumptions!$H$337,$C985),J996))),0)</f>
        <v>-3398478.2060687728</v>
      </c>
      <c r="L996" s="39">
        <f ca="1">+IFERROR(-ABS(IF(EDATE(_xlfn.XLOOKUP(1,$H983:$BE983,$H$4:$BE$4),12*Assumptions!$H$337+12)=L$4,0,IF(K983=1,PMT(Assumptions!$H$335,Assumptions!$H$337,$C985),K996))),0)</f>
        <v>-3398478.2060687728</v>
      </c>
      <c r="M996" s="39">
        <f ca="1">+IFERROR(-ABS(IF(EDATE(_xlfn.XLOOKUP(1,$H983:$BE983,$H$4:$BE$4),12*Assumptions!$H$337+12)=M$4,0,IF(L983=1,PMT(Assumptions!$H$335,Assumptions!$H$337,$C985),L996))),0)</f>
        <v>-3398478.2060687728</v>
      </c>
      <c r="N996" s="39">
        <f ca="1">+IFERROR(-ABS(IF(EDATE(_xlfn.XLOOKUP(1,$H983:$BE983,$H$4:$BE$4),12*Assumptions!$H$337+12)=N$4,0,IF(M983=1,PMT(Assumptions!$H$335,Assumptions!$H$337,$C985),M996))),0)</f>
        <v>-3398478.2060687728</v>
      </c>
      <c r="O996" s="39">
        <f ca="1">+IFERROR(-ABS(IF(EDATE(_xlfn.XLOOKUP(1,$H983:$BE983,$H$4:$BE$4),12*Assumptions!$H$337+12)=O$4,0,IF(N983=1,PMT(Assumptions!$H$335,Assumptions!$H$337,$C985),N996))),0)</f>
        <v>-3398478.2060687728</v>
      </c>
      <c r="P996" s="39">
        <f ca="1">+IFERROR(-ABS(IF(EDATE(_xlfn.XLOOKUP(1,$H983:$BE983,$H$4:$BE$4),12*Assumptions!$H$337+12)=P$4,0,IF(O983=1,PMT(Assumptions!$H$335,Assumptions!$H$337,$C985),O996))),0)</f>
        <v>-3398478.2060687728</v>
      </c>
      <c r="Q996" s="39">
        <f ca="1">+IFERROR(-ABS(IF(EDATE(_xlfn.XLOOKUP(1,$H983:$BE983,$H$4:$BE$4),12*Assumptions!$H$337+12)=Q$4,0,IF(P983=1,PMT(Assumptions!$H$335,Assumptions!$H$337,$C985),P996))),0)</f>
        <v>-3398478.2060687728</v>
      </c>
      <c r="R996" s="39">
        <f ca="1">+IFERROR(-ABS(IF(EDATE(_xlfn.XLOOKUP(1,$H983:$BE983,$H$4:$BE$4),12*Assumptions!$H$337+12)=R$4,0,IF(Q983=1,PMT(Assumptions!$H$335,Assumptions!$H$337,$C985),Q996))),0)</f>
        <v>-3398478.2060687728</v>
      </c>
      <c r="S996" s="39">
        <f ca="1">+IFERROR(-ABS(IF(EDATE(_xlfn.XLOOKUP(1,$H983:$BE983,$H$4:$BE$4),12*Assumptions!$H$337+12)=S$4,0,IF(R983=1,PMT(Assumptions!$H$335,Assumptions!$H$337,$C985),R996))),0)</f>
        <v>-3398478.2060687728</v>
      </c>
      <c r="T996" s="39">
        <f ca="1">+IFERROR(-ABS(IF(EDATE(_xlfn.XLOOKUP(1,$H983:$BE983,$H$4:$BE$4),12*Assumptions!$H$337+12)=T$4,0,IF(S983=1,PMT(Assumptions!$H$335,Assumptions!$H$337,$C985),S996))),0)</f>
        <v>-3398478.2060687728</v>
      </c>
      <c r="U996" s="39">
        <f ca="1">+IFERROR(-ABS(IF(EDATE(_xlfn.XLOOKUP(1,$H983:$BE983,$H$4:$BE$4),12*Assumptions!$H$337+12)=U$4,0,IF(T983=1,PMT(Assumptions!$H$335,Assumptions!$H$337,$C985),T996))),0)</f>
        <v>-3398478.2060687728</v>
      </c>
      <c r="V996" s="39">
        <f ca="1">+IFERROR(-ABS(IF(EDATE(_xlfn.XLOOKUP(1,$H983:$BE983,$H$4:$BE$4),12*Assumptions!$H$337+12)=V$4,0,IF(U983=1,PMT(Assumptions!$H$335,Assumptions!$H$337,$C985),U996))),0)</f>
        <v>-3398478.2060687728</v>
      </c>
      <c r="W996" s="39">
        <f ca="1">+IFERROR(-ABS(IF(EDATE(_xlfn.XLOOKUP(1,$H983:$BE983,$H$4:$BE$4),12*Assumptions!$H$337+12)=W$4,0,IF(V983=1,PMT(Assumptions!$H$335,Assumptions!$H$337,$C985),V996))),0)</f>
        <v>-3398478.2060687728</v>
      </c>
      <c r="X996" s="39">
        <f ca="1">+IFERROR(-ABS(IF(EDATE(_xlfn.XLOOKUP(1,$H983:$BE983,$H$4:$BE$4),12*Assumptions!$H$337+12)=X$4,0,IF(W983=1,PMT(Assumptions!$H$335,Assumptions!$H$337,$C985),W996))),0)</f>
        <v>-3398478.2060687728</v>
      </c>
      <c r="Y996" s="39">
        <f>+IFERROR(-ABS(IF(EDATE(_xlfn.XLOOKUP(1,$H983:$BE983,$H$4:$BE$4),12*Assumptions!$H$337+12)=Y$4,0,IF(X983=1,PMT(Assumptions!$H$335,Assumptions!$H$337,$C985),X996))),0)</f>
        <v>0</v>
      </c>
      <c r="Z996" s="39">
        <f>+IFERROR(-ABS(IF(EDATE(_xlfn.XLOOKUP(1,$H983:$BE983,$H$4:$BE$4),12*Assumptions!$H$337+12)=Z$4,0,IF(Y983=1,PMT(Assumptions!$H$335,Assumptions!$H$337,$C985),Y996))),0)</f>
        <v>0</v>
      </c>
      <c r="AA996" s="39">
        <f>+IFERROR(-ABS(IF(EDATE(_xlfn.XLOOKUP(1,$H983:$BE983,$H$4:$BE$4),12*Assumptions!$H$337+12)=AA$4,0,IF(Z983=1,PMT(Assumptions!$H$335,Assumptions!$H$337,$C985),Z996))),0)</f>
        <v>0</v>
      </c>
      <c r="AB996" s="39">
        <f>+IFERROR(-ABS(IF(EDATE(_xlfn.XLOOKUP(1,$H983:$BE983,$H$4:$BE$4),12*Assumptions!$H$337+12)=AB$4,0,IF(AA983=1,PMT(Assumptions!$H$335,Assumptions!$H$337,$C985),AA996))),0)</f>
        <v>0</v>
      </c>
      <c r="AC996" s="39">
        <f>+IFERROR(-ABS(IF(EDATE(_xlfn.XLOOKUP(1,$H983:$BE983,$H$4:$BE$4),12*Assumptions!$H$337+12)=AC$4,0,IF(AB983=1,PMT(Assumptions!$H$335,Assumptions!$H$337,$C985),AB996))),0)</f>
        <v>0</v>
      </c>
      <c r="AD996" s="39">
        <f>+IFERROR(-ABS(IF(EDATE(_xlfn.XLOOKUP(1,$H983:$BE983,$H$4:$BE$4),12*Assumptions!$H$337+12)=AD$4,0,IF(AC983=1,PMT(Assumptions!$H$335,Assumptions!$H$337,$C985),AC996))),0)</f>
        <v>0</v>
      </c>
      <c r="AE996" s="39">
        <f>+IFERROR(-ABS(IF(EDATE(_xlfn.XLOOKUP(1,$H983:$BE983,$H$4:$BE$4),12*Assumptions!$H$337+12)=AE$4,0,IF(AD983=1,PMT(Assumptions!$H$335,Assumptions!$H$337,$C985),AD996))),0)</f>
        <v>0</v>
      </c>
      <c r="AF996" s="39">
        <f>+IFERROR(-ABS(IF(EDATE(_xlfn.XLOOKUP(1,$H983:$BE983,$H$4:$BE$4),12*Assumptions!$H$337+12)=AF$4,0,IF(AE983=1,PMT(Assumptions!$H$335,Assumptions!$H$337,$C985),AE996))),0)</f>
        <v>0</v>
      </c>
      <c r="AG996" s="39">
        <f>+IFERROR(-ABS(IF(EDATE(_xlfn.XLOOKUP(1,$H983:$BE983,$H$4:$BE$4),12*Assumptions!$H$337+12)=AG$4,0,IF(AF983=1,PMT(Assumptions!$H$335,Assumptions!$H$337,$C985),AF996))),0)</f>
        <v>0</v>
      </c>
      <c r="AH996" s="39">
        <f>+IFERROR(-ABS(IF(EDATE(_xlfn.XLOOKUP(1,$H983:$BE983,$H$4:$BE$4),12*Assumptions!$H$337+12)=AH$4,0,IF(AG983=1,PMT(Assumptions!$H$335,Assumptions!$H$337,$C985),AG996))),0)</f>
        <v>0</v>
      </c>
      <c r="AI996" s="39">
        <f>+IFERROR(-ABS(IF(EDATE(_xlfn.XLOOKUP(1,$H983:$BE983,$H$4:$BE$4),12*Assumptions!$H$337+12)=AI$4,0,IF(AH983=1,PMT(Assumptions!$H$335,Assumptions!$H$337,$C985),AH996))),0)</f>
        <v>0</v>
      </c>
      <c r="AJ996" s="39">
        <f>+IFERROR(-ABS(IF(EDATE(_xlfn.XLOOKUP(1,$H983:$BE983,$H$4:$BE$4),12*Assumptions!$H$337+12)=AJ$4,0,IF(AI983=1,PMT(Assumptions!$H$335,Assumptions!$H$337,$C985),AI996))),0)</f>
        <v>0</v>
      </c>
      <c r="AK996" s="39">
        <f>+IFERROR(-ABS(IF(EDATE(_xlfn.XLOOKUP(1,$H983:$BE983,$H$4:$BE$4),12*Assumptions!$H$337+12)=AK$4,0,IF(AJ983=1,PMT(Assumptions!$H$335,Assumptions!$H$337,$C985),AJ996))),0)</f>
        <v>0</v>
      </c>
      <c r="AL996" s="39">
        <f>+IFERROR(-ABS(IF(EDATE(_xlfn.XLOOKUP(1,$H983:$BE983,$H$4:$BE$4),12*Assumptions!$H$337+12)=AL$4,0,IF(AK983=1,PMT(Assumptions!$H$335,Assumptions!$H$337,$C985),AK996))),0)</f>
        <v>0</v>
      </c>
      <c r="AM996" s="39">
        <f>+IFERROR(-ABS(IF(EDATE(_xlfn.XLOOKUP(1,$H983:$BE983,$H$4:$BE$4),12*Assumptions!$H$337+12)=AM$4,0,IF(AL983=1,PMT(Assumptions!$H$335,Assumptions!$H$337,$C985),AL996))),0)</f>
        <v>0</v>
      </c>
      <c r="AN996" s="39">
        <f>+IFERROR(-ABS(IF(EDATE(_xlfn.XLOOKUP(1,$H983:$BE983,$H$4:$BE$4),12*Assumptions!$H$337+12)=AN$4,0,IF(AM983=1,PMT(Assumptions!$H$335,Assumptions!$H$337,$C985),AM996))),0)</f>
        <v>0</v>
      </c>
      <c r="AO996" s="39">
        <f>+IFERROR(-ABS(IF(EDATE(_xlfn.XLOOKUP(1,$H983:$BE983,$H$4:$BE$4),12*Assumptions!$H$337+12)=AO$4,0,IF(AN983=1,PMT(Assumptions!$H$335,Assumptions!$H$337,$C985),AN996))),0)</f>
        <v>0</v>
      </c>
      <c r="AP996" s="39">
        <f>+IFERROR(-ABS(IF(EDATE(_xlfn.XLOOKUP(1,$H983:$BE983,$H$4:$BE$4),12*Assumptions!$H$337+12)=AP$4,0,IF(AO983=1,PMT(Assumptions!$H$335,Assumptions!$H$337,$C985),AO996))),0)</f>
        <v>0</v>
      </c>
      <c r="AQ996" s="39">
        <f>+IFERROR(-ABS(IF(EDATE(_xlfn.XLOOKUP(1,$H983:$BE983,$H$4:$BE$4),12*Assumptions!$H$337+12)=AQ$4,0,IF(AP983=1,PMT(Assumptions!$H$335,Assumptions!$H$337,$C985),AP996))),0)</f>
        <v>0</v>
      </c>
      <c r="AR996" s="39">
        <f>+IFERROR(-ABS(IF(EDATE(_xlfn.XLOOKUP(1,$H983:$BE983,$H$4:$BE$4),12*Assumptions!$H$337+12)=AR$4,0,IF(AQ983=1,PMT(Assumptions!$H$335,Assumptions!$H$337,$C985),AQ996))),0)</f>
        <v>0</v>
      </c>
      <c r="AS996" s="39">
        <f>+IFERROR(-ABS(IF(EDATE(_xlfn.XLOOKUP(1,$H983:$BE983,$H$4:$BE$4),12*Assumptions!$H$337+12)=AS$4,0,IF(AR983=1,PMT(Assumptions!$H$335,Assumptions!$H$337,$C985),AR996))),0)</f>
        <v>0</v>
      </c>
      <c r="AT996" s="39">
        <f>+IFERROR(-ABS(IF(EDATE(_xlfn.XLOOKUP(1,$H983:$BE983,$H$4:$BE$4),12*Assumptions!$H$337+12)=AT$4,0,IF(AS983=1,PMT(Assumptions!$H$335,Assumptions!$H$337,$C985),AS996))),0)</f>
        <v>0</v>
      </c>
      <c r="AU996" s="39">
        <f>+IFERROR(-ABS(IF(EDATE(_xlfn.XLOOKUP(1,$H983:$BE983,$H$4:$BE$4),12*Assumptions!$H$337+12)=AU$4,0,IF(AT983=1,PMT(Assumptions!$H$335,Assumptions!$H$337,$C985),AT996))),0)</f>
        <v>0</v>
      </c>
      <c r="AV996" s="39">
        <f>+IFERROR(-ABS(IF(EDATE(_xlfn.XLOOKUP(1,$H983:$BE983,$H$4:$BE$4),12*Assumptions!$H$337+12)=AV$4,0,IF(AU983=1,PMT(Assumptions!$H$335,Assumptions!$H$337,$C985),AU996))),0)</f>
        <v>0</v>
      </c>
      <c r="AW996" s="39">
        <f>+IFERROR(-ABS(IF(EDATE(_xlfn.XLOOKUP(1,$H983:$BE983,$H$4:$BE$4),12*Assumptions!$H$337+12)=AW$4,0,IF(AV983=1,PMT(Assumptions!$H$335,Assumptions!$H$337,$C985),AV996))),0)</f>
        <v>0</v>
      </c>
      <c r="AX996" s="39">
        <f>+IFERROR(-ABS(IF(EDATE(_xlfn.XLOOKUP(1,$H983:$BE983,$H$4:$BE$4),12*Assumptions!$H$337+12)=AX$4,0,IF(AW983=1,PMT(Assumptions!$H$335,Assumptions!$H$337,$C985),AW996))),0)</f>
        <v>0</v>
      </c>
      <c r="AY996" s="39">
        <f>+IFERROR(-ABS(IF(EDATE(_xlfn.XLOOKUP(1,$H983:$BE983,$H$4:$BE$4),12*Assumptions!$H$337+12)=AY$4,0,IF(AX983=1,PMT(Assumptions!$H$335,Assumptions!$H$337,$C985),AX996))),0)</f>
        <v>0</v>
      </c>
      <c r="AZ996" s="39">
        <f>+IFERROR(-ABS(IF(EDATE(_xlfn.XLOOKUP(1,$H983:$BE983,$H$4:$BE$4),12*Assumptions!$H$337+12)=AZ$4,0,IF(AY983=1,PMT(Assumptions!$H$335,Assumptions!$H$337,$C985),AY996))),0)</f>
        <v>0</v>
      </c>
      <c r="BA996" s="39">
        <f>+IFERROR(-ABS(IF(EDATE(_xlfn.XLOOKUP(1,$H983:$BE983,$H$4:$BE$4),12*Assumptions!$H$337+12)=BA$4,0,IF(AZ983=1,PMT(Assumptions!$H$335,Assumptions!$H$337,$C985),AZ996))),0)</f>
        <v>0</v>
      </c>
      <c r="BB996" s="39">
        <f>+IFERROR(-ABS(IF(EDATE(_xlfn.XLOOKUP(1,$H983:$BE983,$H$4:$BE$4),12*Assumptions!$H$337+12)=BB$4,0,IF(BA983=1,PMT(Assumptions!$H$335,Assumptions!$H$337,$C985),BA996))),0)</f>
        <v>0</v>
      </c>
      <c r="BC996" s="39">
        <f>+IFERROR(-ABS(IF(EDATE(_xlfn.XLOOKUP(1,$H983:$BE983,$H$4:$BE$4),12*Assumptions!$H$337+12)=BC$4,0,IF(BB983=1,PMT(Assumptions!$H$335,Assumptions!$H$337,$C985),BB996))),0)</f>
        <v>0</v>
      </c>
      <c r="BD996" s="39">
        <f>+IFERROR(-ABS(IF(EDATE(_xlfn.XLOOKUP(1,$H983:$BE983,$H$4:$BE$4),12*Assumptions!$H$337+12)=BD$4,0,IF(BC983=1,PMT(Assumptions!$H$335,Assumptions!$H$337,$C985),BC996))),0)</f>
        <v>0</v>
      </c>
      <c r="BE996" s="39">
        <f>+IFERROR(-ABS(IF(EDATE(_xlfn.XLOOKUP(1,$H983:$BE983,$H$4:$BE$4),12*Assumptions!$H$337+12)=BE$4,0,IF(BD983=1,PMT(Assumptions!$H$335,Assumptions!$H$337,$C985),BD996))),0)</f>
        <v>0</v>
      </c>
      <c r="BF996" s="39">
        <f>+IFERROR(-ABS(IF(EDATE(_xlfn.XLOOKUP(1,$H983:$BE983,$H$4:$BE$4),12*Assumptions!$H$337+12)=BF$4,0,IF(BE983=1,PMT(Assumptions!$H$335,Assumptions!$H$337,$C985),BE996))),0)</f>
        <v>0</v>
      </c>
      <c r="BG996" s="39">
        <f>+IFERROR(-ABS(IF(EDATE(_xlfn.XLOOKUP(1,$H983:$BE983,$H$4:$BE$4),12*Assumptions!$H$337+12)=BG$4,0,IF(BF983=1,PMT(Assumptions!$H$335,Assumptions!$H$337,$C985),BF996))),0)</f>
        <v>0</v>
      </c>
      <c r="BH996" s="39">
        <f>+IFERROR(-ABS(IF(EDATE(_xlfn.XLOOKUP(1,$H983:$BE983,$H$4:$BE$4),12*Assumptions!$H$337+12)=BH$4,0,IF(BG983=1,PMT(Assumptions!$H$335,Assumptions!$H$337,$C985),BG996))),0)</f>
        <v>0</v>
      </c>
      <c r="BI996" s="39">
        <f>+IFERROR(-ABS(IF(EDATE(_xlfn.XLOOKUP(1,$H983:$BE983,$H$4:$BE$4),12*Assumptions!$H$337+12)=BI$4,0,IF(BH983=1,PMT(Assumptions!$H$335,Assumptions!$H$337,$C985),BH996))),0)</f>
        <v>0</v>
      </c>
      <c r="BJ996" s="39">
        <f>+IFERROR(-ABS(IF(EDATE(_xlfn.XLOOKUP(1,$H983:$BE983,$H$4:$BE$4),12*Assumptions!$H$337+12)=BJ$4,0,IF(BI983=1,PMT(Assumptions!$H$335,Assumptions!$H$337,$C985),BI996))),0)</f>
        <v>0</v>
      </c>
      <c r="BK996" s="39">
        <f>+IFERROR(-ABS(IF(EDATE(_xlfn.XLOOKUP(1,$H983:$BE983,$H$4:$BE$4),12*Assumptions!$H$337+12)=BK$4,0,IF(BJ983=1,PMT(Assumptions!$H$335,Assumptions!$H$337,$C985),BJ996))),0)</f>
        <v>0</v>
      </c>
      <c r="BL996" s="39">
        <f>+IFERROR(-ABS(IF(EDATE(_xlfn.XLOOKUP(1,$H983:$BE983,$H$4:$BE$4),12*Assumptions!$H$337+12)=BL$4,0,IF(BK983=1,PMT(Assumptions!$H$335,Assumptions!$H$337,$C985),BK996))),0)</f>
        <v>0</v>
      </c>
      <c r="BM996" s="39">
        <f>+IFERROR(-ABS(IF(EDATE(_xlfn.XLOOKUP(1,$H983:$BE983,$H$4:$BE$4),12*Assumptions!$H$337+12)=BM$4,0,IF(BL983=1,PMT(Assumptions!$H$335,Assumptions!$H$337,$C985),BL996))),0)</f>
        <v>0</v>
      </c>
      <c r="BN996" s="39">
        <f>+IFERROR(-ABS(IF(EDATE(_xlfn.XLOOKUP(1,$H983:$BE983,$H$4:$BE$4),12*Assumptions!$H$337+12)=BN$4,0,IF(BM983=1,PMT(Assumptions!$H$335,Assumptions!$H$337,$C985),BM996))),0)</f>
        <v>0</v>
      </c>
      <c r="BO996" s="39">
        <f>+IFERROR(-ABS(IF(EDATE(_xlfn.XLOOKUP(1,$H983:$BE983,$H$4:$BE$4),12*Assumptions!$H$337+12)=BO$4,0,IF(BN983=1,PMT(Assumptions!$H$335,Assumptions!$H$337,$C985),BN996))),0)</f>
        <v>0</v>
      </c>
      <c r="BP996" s="39">
        <f>+IFERROR(-ABS(IF(EDATE(_xlfn.XLOOKUP(1,$H983:$BE983,$H$4:$BE$4),12*Assumptions!$H$337+12)=BP$4,0,IF(BO983=1,PMT(Assumptions!$H$335,Assumptions!$H$337,$C985),BO996))),0)</f>
        <v>0</v>
      </c>
      <c r="BQ996" s="39">
        <f>+IFERROR(-ABS(IF(EDATE(_xlfn.XLOOKUP(1,$H983:$BE983,$H$4:$BE$4),12*Assumptions!$H$337+12)=BQ$4,0,IF(BP983=1,PMT(Assumptions!$H$335,Assumptions!$H$337,$C985),BP996))),0)</f>
        <v>0</v>
      </c>
      <c r="BR996" s="39">
        <f>+IFERROR(-ABS(IF(EDATE(_xlfn.XLOOKUP(1,$H983:$BE983,$H$4:$BE$4),12*Assumptions!$H$337+12)=BR$4,0,IF(BQ983=1,PMT(Assumptions!$H$335,Assumptions!$H$337,$C985),BQ996))),0)</f>
        <v>0</v>
      </c>
      <c r="BS996" s="39">
        <f>+IFERROR(-ABS(IF(EDATE(_xlfn.XLOOKUP(1,$H983:$BE983,$H$4:$BE$4),12*Assumptions!$H$337+12)=BS$4,0,IF(BR983=1,PMT(Assumptions!$H$335,Assumptions!$H$337,$C985),BR996))),0)</f>
        <v>0</v>
      </c>
      <c r="BT996" s="39">
        <f>+IFERROR(-ABS(IF(EDATE(_xlfn.XLOOKUP(1,$H983:$BE983,$H$4:$BE$4),12*Assumptions!$H$337+12)=BT$4,0,IF(BS983=1,PMT(Assumptions!$H$335,Assumptions!$H$337,$C985),BS996))),0)</f>
        <v>0</v>
      </c>
      <c r="BU996" s="39">
        <f>+IFERROR(-ABS(IF(EDATE(_xlfn.XLOOKUP(1,$H983:$BE983,$H$4:$BE$4),12*Assumptions!$H$337+12)=BU$4,0,IF(BT983=1,PMT(Assumptions!$H$335,Assumptions!$H$337,$C985),BT996))),0)</f>
        <v>0</v>
      </c>
      <c r="BV996" s="39">
        <f>+IFERROR(-ABS(IF(EDATE(_xlfn.XLOOKUP(1,$H983:$BE983,$H$4:$BE$4),12*Assumptions!$H$337+12)=BV$4,0,IF(BU983=1,PMT(Assumptions!$H$335,Assumptions!$H$337,$C985),BU996))),0)</f>
        <v>0</v>
      </c>
      <c r="BW996" s="39">
        <f>+IFERROR(-ABS(IF(EDATE(_xlfn.XLOOKUP(1,$H983:$BE983,$H$4:$BE$4),12*Assumptions!$H$337+12)=BW$4,0,IF(BV983=1,PMT(Assumptions!$H$335,Assumptions!$H$337,$C985),BV996))),0)</f>
        <v>0</v>
      </c>
      <c r="BX996" s="39">
        <f>+IFERROR(-ABS(IF(EDATE(_xlfn.XLOOKUP(1,$H983:$BE983,$H$4:$BE$4),12*Assumptions!$H$337+12)=BX$4,0,IF(BW983=1,PMT(Assumptions!$H$335,Assumptions!$H$337,$C985),BW996))),0)</f>
        <v>0</v>
      </c>
      <c r="BY996" s="39">
        <f>+IFERROR(-ABS(IF(EDATE(_xlfn.XLOOKUP(1,$H983:$BE983,$H$4:$BE$4),12*Assumptions!$H$337+12)=BY$4,0,IF(BX983=1,PMT(Assumptions!$H$335,Assumptions!$H$337,$C985),BX996))),0)</f>
        <v>0</v>
      </c>
    </row>
    <row r="997" spans="5:77" outlineLevel="1">
      <c r="E997" s="24" t="s">
        <v>515</v>
      </c>
      <c r="F997" s="80" t="str">
        <f>+Assumptions!$G$8</f>
        <v>USD</v>
      </c>
      <c r="G997" s="24"/>
      <c r="H997" s="39">
        <f>+IFERROR(-ABS(IF(EDATE(_xlfn.XLOOKUP(1,$H984:$BE984,$H$4:$BE$4),12*Assumptions!$H$337+12)=H$4,0,IF(G984=1,PMT(Assumptions!$H$335,Assumptions!$H$337,$C986),G997))),0)</f>
        <v>0</v>
      </c>
      <c r="I997" s="39">
        <f>+IFERROR(-ABS(IF(EDATE(_xlfn.XLOOKUP(1,$H984:$BE984,$H$4:$BE$4),12*Assumptions!$H$337+12)=I$4,0,IF(H984=1,PMT(Assumptions!$H$335,Assumptions!$H$337,$C986),H997))),0)</f>
        <v>0</v>
      </c>
      <c r="J997" s="39">
        <f>+IFERROR(-ABS(IF(EDATE(_xlfn.XLOOKUP(1,$H984:$BE984,$H$4:$BE$4),12*Assumptions!$H$337+12)=J$4,0,IF(I984=1,PMT(Assumptions!$H$335,Assumptions!$H$337,$C986),I997))),0)</f>
        <v>0</v>
      </c>
      <c r="K997" s="39">
        <f ca="1">+IFERROR(-ABS(IF(EDATE(_xlfn.XLOOKUP(1,$H984:$BE984,$H$4:$BE$4),12*Assumptions!$H$337+12)=K$4,0,IF(J984=1,PMT(Assumptions!$H$335,Assumptions!$H$337,$C986),J997))),0)</f>
        <v>-18054415.469740357</v>
      </c>
      <c r="L997" s="39">
        <f ca="1">+IFERROR(-ABS(IF(EDATE(_xlfn.XLOOKUP(1,$H984:$BE984,$H$4:$BE$4),12*Assumptions!$H$337+12)=L$4,0,IF(K984=1,PMT(Assumptions!$H$335,Assumptions!$H$337,$C986),K997))),0)</f>
        <v>-18054415.469740357</v>
      </c>
      <c r="M997" s="39">
        <f ca="1">+IFERROR(-ABS(IF(EDATE(_xlfn.XLOOKUP(1,$H984:$BE984,$H$4:$BE$4),12*Assumptions!$H$337+12)=M$4,0,IF(L984=1,PMT(Assumptions!$H$335,Assumptions!$H$337,$C986),L997))),0)</f>
        <v>-18054415.469740357</v>
      </c>
      <c r="N997" s="39">
        <f ca="1">+IFERROR(-ABS(IF(EDATE(_xlfn.XLOOKUP(1,$H984:$BE984,$H$4:$BE$4),12*Assumptions!$H$337+12)=N$4,0,IF(M984=1,PMT(Assumptions!$H$335,Assumptions!$H$337,$C986),M997))),0)</f>
        <v>-18054415.469740357</v>
      </c>
      <c r="O997" s="39">
        <f ca="1">+IFERROR(-ABS(IF(EDATE(_xlfn.XLOOKUP(1,$H984:$BE984,$H$4:$BE$4),12*Assumptions!$H$337+12)=O$4,0,IF(N984=1,PMT(Assumptions!$H$335,Assumptions!$H$337,$C986),N997))),0)</f>
        <v>-18054415.469740357</v>
      </c>
      <c r="P997" s="39">
        <f ca="1">+IFERROR(-ABS(IF(EDATE(_xlfn.XLOOKUP(1,$H984:$BE984,$H$4:$BE$4),12*Assumptions!$H$337+12)=P$4,0,IF(O984=1,PMT(Assumptions!$H$335,Assumptions!$H$337,$C986),O997))),0)</f>
        <v>-18054415.469740357</v>
      </c>
      <c r="Q997" s="39">
        <f ca="1">+IFERROR(-ABS(IF(EDATE(_xlfn.XLOOKUP(1,$H984:$BE984,$H$4:$BE$4),12*Assumptions!$H$337+12)=Q$4,0,IF(P984=1,PMT(Assumptions!$H$335,Assumptions!$H$337,$C986),P997))),0)</f>
        <v>-18054415.469740357</v>
      </c>
      <c r="R997" s="39">
        <f ca="1">+IFERROR(-ABS(IF(EDATE(_xlfn.XLOOKUP(1,$H984:$BE984,$H$4:$BE$4),12*Assumptions!$H$337+12)=R$4,0,IF(Q984=1,PMT(Assumptions!$H$335,Assumptions!$H$337,$C986),Q997))),0)</f>
        <v>-18054415.469740357</v>
      </c>
      <c r="S997" s="39">
        <f ca="1">+IFERROR(-ABS(IF(EDATE(_xlfn.XLOOKUP(1,$H984:$BE984,$H$4:$BE$4),12*Assumptions!$H$337+12)=S$4,0,IF(R984=1,PMT(Assumptions!$H$335,Assumptions!$H$337,$C986),R997))),0)</f>
        <v>-18054415.469740357</v>
      </c>
      <c r="T997" s="39">
        <f ca="1">+IFERROR(-ABS(IF(EDATE(_xlfn.XLOOKUP(1,$H984:$BE984,$H$4:$BE$4),12*Assumptions!$H$337+12)=T$4,0,IF(S984=1,PMT(Assumptions!$H$335,Assumptions!$H$337,$C986),S997))),0)</f>
        <v>-18054415.469740357</v>
      </c>
      <c r="U997" s="39">
        <f ca="1">+IFERROR(-ABS(IF(EDATE(_xlfn.XLOOKUP(1,$H984:$BE984,$H$4:$BE$4),12*Assumptions!$H$337+12)=U$4,0,IF(T984=1,PMT(Assumptions!$H$335,Assumptions!$H$337,$C986),T997))),0)</f>
        <v>-18054415.469740357</v>
      </c>
      <c r="V997" s="39">
        <f ca="1">+IFERROR(-ABS(IF(EDATE(_xlfn.XLOOKUP(1,$H984:$BE984,$H$4:$BE$4),12*Assumptions!$H$337+12)=V$4,0,IF(U984=1,PMT(Assumptions!$H$335,Assumptions!$H$337,$C986),U997))),0)</f>
        <v>-18054415.469740357</v>
      </c>
      <c r="W997" s="39">
        <f ca="1">+IFERROR(-ABS(IF(EDATE(_xlfn.XLOOKUP(1,$H984:$BE984,$H$4:$BE$4),12*Assumptions!$H$337+12)=W$4,0,IF(V984=1,PMT(Assumptions!$H$335,Assumptions!$H$337,$C986),V997))),0)</f>
        <v>-18054415.469740357</v>
      </c>
      <c r="X997" s="39">
        <f ca="1">+IFERROR(-ABS(IF(EDATE(_xlfn.XLOOKUP(1,$H984:$BE984,$H$4:$BE$4),12*Assumptions!$H$337+12)=X$4,0,IF(W984=1,PMT(Assumptions!$H$335,Assumptions!$H$337,$C986),W997))),0)</f>
        <v>-18054415.469740357</v>
      </c>
      <c r="Y997" s="39">
        <f ca="1">+IFERROR(-ABS(IF(EDATE(_xlfn.XLOOKUP(1,$H984:$BE984,$H$4:$BE$4),12*Assumptions!$H$337+12)=Y$4,0,IF(X984=1,PMT(Assumptions!$H$335,Assumptions!$H$337,$C986),X997))),0)</f>
        <v>-18054415.469740357</v>
      </c>
      <c r="Z997" s="39">
        <f>+IFERROR(-ABS(IF(EDATE(_xlfn.XLOOKUP(1,$H984:$BE984,$H$4:$BE$4),12*Assumptions!$H$337+12)=Z$4,0,IF(Y984=1,PMT(Assumptions!$H$335,Assumptions!$H$337,$C986),Y997))),0)</f>
        <v>0</v>
      </c>
      <c r="AA997" s="39">
        <f>+IFERROR(-ABS(IF(EDATE(_xlfn.XLOOKUP(1,$H984:$BE984,$H$4:$BE$4),12*Assumptions!$H$337+12)=AA$4,0,IF(Z984=1,PMT(Assumptions!$H$335,Assumptions!$H$337,$C986),Z997))),0)</f>
        <v>0</v>
      </c>
      <c r="AB997" s="39">
        <f>+IFERROR(-ABS(IF(EDATE(_xlfn.XLOOKUP(1,$H984:$BE984,$H$4:$BE$4),12*Assumptions!$H$337+12)=AB$4,0,IF(AA984=1,PMT(Assumptions!$H$335,Assumptions!$H$337,$C986),AA997))),0)</f>
        <v>0</v>
      </c>
      <c r="AC997" s="39">
        <f>+IFERROR(-ABS(IF(EDATE(_xlfn.XLOOKUP(1,$H984:$BE984,$H$4:$BE$4),12*Assumptions!$H$337+12)=AC$4,0,IF(AB984=1,PMT(Assumptions!$H$335,Assumptions!$H$337,$C986),AB997))),0)</f>
        <v>0</v>
      </c>
      <c r="AD997" s="39">
        <f>+IFERROR(-ABS(IF(EDATE(_xlfn.XLOOKUP(1,$H984:$BE984,$H$4:$BE$4),12*Assumptions!$H$337+12)=AD$4,0,IF(AC984=1,PMT(Assumptions!$H$335,Assumptions!$H$337,$C986),AC997))),0)</f>
        <v>0</v>
      </c>
      <c r="AE997" s="39">
        <f>+IFERROR(-ABS(IF(EDATE(_xlfn.XLOOKUP(1,$H984:$BE984,$H$4:$BE$4),12*Assumptions!$H$337+12)=AE$4,0,IF(AD984=1,PMT(Assumptions!$H$335,Assumptions!$H$337,$C986),AD997))),0)</f>
        <v>0</v>
      </c>
      <c r="AF997" s="39">
        <f>+IFERROR(-ABS(IF(EDATE(_xlfn.XLOOKUP(1,$H984:$BE984,$H$4:$BE$4),12*Assumptions!$H$337+12)=AF$4,0,IF(AE984=1,PMT(Assumptions!$H$335,Assumptions!$H$337,$C986),AE997))),0)</f>
        <v>0</v>
      </c>
      <c r="AG997" s="39">
        <f>+IFERROR(-ABS(IF(EDATE(_xlfn.XLOOKUP(1,$H984:$BE984,$H$4:$BE$4),12*Assumptions!$H$337+12)=AG$4,0,IF(AF984=1,PMT(Assumptions!$H$335,Assumptions!$H$337,$C986),AF997))),0)</f>
        <v>0</v>
      </c>
      <c r="AH997" s="39">
        <f>+IFERROR(-ABS(IF(EDATE(_xlfn.XLOOKUP(1,$H984:$BE984,$H$4:$BE$4),12*Assumptions!$H$337+12)=AH$4,0,IF(AG984=1,PMT(Assumptions!$H$335,Assumptions!$H$337,$C986),AG997))),0)</f>
        <v>0</v>
      </c>
      <c r="AI997" s="39">
        <f>+IFERROR(-ABS(IF(EDATE(_xlfn.XLOOKUP(1,$H984:$BE984,$H$4:$BE$4),12*Assumptions!$H$337+12)=AI$4,0,IF(AH984=1,PMT(Assumptions!$H$335,Assumptions!$H$337,$C986),AH997))),0)</f>
        <v>0</v>
      </c>
      <c r="AJ997" s="39">
        <f>+IFERROR(-ABS(IF(EDATE(_xlfn.XLOOKUP(1,$H984:$BE984,$H$4:$BE$4),12*Assumptions!$H$337+12)=AJ$4,0,IF(AI984=1,PMT(Assumptions!$H$335,Assumptions!$H$337,$C986),AI997))),0)</f>
        <v>0</v>
      </c>
      <c r="AK997" s="39">
        <f>+IFERROR(-ABS(IF(EDATE(_xlfn.XLOOKUP(1,$H984:$BE984,$H$4:$BE$4),12*Assumptions!$H$337+12)=AK$4,0,IF(AJ984=1,PMT(Assumptions!$H$335,Assumptions!$H$337,$C986),AJ997))),0)</f>
        <v>0</v>
      </c>
      <c r="AL997" s="39">
        <f>+IFERROR(-ABS(IF(EDATE(_xlfn.XLOOKUP(1,$H984:$BE984,$H$4:$BE$4),12*Assumptions!$H$337+12)=AL$4,0,IF(AK984=1,PMT(Assumptions!$H$335,Assumptions!$H$337,$C986),AK997))),0)</f>
        <v>0</v>
      </c>
      <c r="AM997" s="39">
        <f>+IFERROR(-ABS(IF(EDATE(_xlfn.XLOOKUP(1,$H984:$BE984,$H$4:$BE$4),12*Assumptions!$H$337+12)=AM$4,0,IF(AL984=1,PMT(Assumptions!$H$335,Assumptions!$H$337,$C986),AL997))),0)</f>
        <v>0</v>
      </c>
      <c r="AN997" s="39">
        <f>+IFERROR(-ABS(IF(EDATE(_xlfn.XLOOKUP(1,$H984:$BE984,$H$4:$BE$4),12*Assumptions!$H$337+12)=AN$4,0,IF(AM984=1,PMT(Assumptions!$H$335,Assumptions!$H$337,$C986),AM997))),0)</f>
        <v>0</v>
      </c>
      <c r="AO997" s="39">
        <f>+IFERROR(-ABS(IF(EDATE(_xlfn.XLOOKUP(1,$H984:$BE984,$H$4:$BE$4),12*Assumptions!$H$337+12)=AO$4,0,IF(AN984=1,PMT(Assumptions!$H$335,Assumptions!$H$337,$C986),AN997))),0)</f>
        <v>0</v>
      </c>
      <c r="AP997" s="39">
        <f>+IFERROR(-ABS(IF(EDATE(_xlfn.XLOOKUP(1,$H984:$BE984,$H$4:$BE$4),12*Assumptions!$H$337+12)=AP$4,0,IF(AO984=1,PMT(Assumptions!$H$335,Assumptions!$H$337,$C986),AO997))),0)</f>
        <v>0</v>
      </c>
      <c r="AQ997" s="39">
        <f>+IFERROR(-ABS(IF(EDATE(_xlfn.XLOOKUP(1,$H984:$BE984,$H$4:$BE$4),12*Assumptions!$H$337+12)=AQ$4,0,IF(AP984=1,PMT(Assumptions!$H$335,Assumptions!$H$337,$C986),AP997))),0)</f>
        <v>0</v>
      </c>
      <c r="AR997" s="39">
        <f>+IFERROR(-ABS(IF(EDATE(_xlfn.XLOOKUP(1,$H984:$BE984,$H$4:$BE$4),12*Assumptions!$H$337+12)=AR$4,0,IF(AQ984=1,PMT(Assumptions!$H$335,Assumptions!$H$337,$C986),AQ997))),0)</f>
        <v>0</v>
      </c>
      <c r="AS997" s="39">
        <f>+IFERROR(-ABS(IF(EDATE(_xlfn.XLOOKUP(1,$H984:$BE984,$H$4:$BE$4),12*Assumptions!$H$337+12)=AS$4,0,IF(AR984=1,PMT(Assumptions!$H$335,Assumptions!$H$337,$C986),AR997))),0)</f>
        <v>0</v>
      </c>
      <c r="AT997" s="39">
        <f>+IFERROR(-ABS(IF(EDATE(_xlfn.XLOOKUP(1,$H984:$BE984,$H$4:$BE$4),12*Assumptions!$H$337+12)=AT$4,0,IF(AS984=1,PMT(Assumptions!$H$335,Assumptions!$H$337,$C986),AS997))),0)</f>
        <v>0</v>
      </c>
      <c r="AU997" s="39">
        <f>+IFERROR(-ABS(IF(EDATE(_xlfn.XLOOKUP(1,$H984:$BE984,$H$4:$BE$4),12*Assumptions!$H$337+12)=AU$4,0,IF(AT984=1,PMT(Assumptions!$H$335,Assumptions!$H$337,$C986),AT997))),0)</f>
        <v>0</v>
      </c>
      <c r="AV997" s="39">
        <f>+IFERROR(-ABS(IF(EDATE(_xlfn.XLOOKUP(1,$H984:$BE984,$H$4:$BE$4),12*Assumptions!$H$337+12)=AV$4,0,IF(AU984=1,PMT(Assumptions!$H$335,Assumptions!$H$337,$C986),AU997))),0)</f>
        <v>0</v>
      </c>
      <c r="AW997" s="39">
        <f>+IFERROR(-ABS(IF(EDATE(_xlfn.XLOOKUP(1,$H984:$BE984,$H$4:$BE$4),12*Assumptions!$H$337+12)=AW$4,0,IF(AV984=1,PMT(Assumptions!$H$335,Assumptions!$H$337,$C986),AV997))),0)</f>
        <v>0</v>
      </c>
      <c r="AX997" s="39">
        <f>+IFERROR(-ABS(IF(EDATE(_xlfn.XLOOKUP(1,$H984:$BE984,$H$4:$BE$4),12*Assumptions!$H$337+12)=AX$4,0,IF(AW984=1,PMT(Assumptions!$H$335,Assumptions!$H$337,$C986),AW997))),0)</f>
        <v>0</v>
      </c>
      <c r="AY997" s="39">
        <f>+IFERROR(-ABS(IF(EDATE(_xlfn.XLOOKUP(1,$H984:$BE984,$H$4:$BE$4),12*Assumptions!$H$337+12)=AY$4,0,IF(AX984=1,PMT(Assumptions!$H$335,Assumptions!$H$337,$C986),AX997))),0)</f>
        <v>0</v>
      </c>
      <c r="AZ997" s="39">
        <f>+IFERROR(-ABS(IF(EDATE(_xlfn.XLOOKUP(1,$H984:$BE984,$H$4:$BE$4),12*Assumptions!$H$337+12)=AZ$4,0,IF(AY984=1,PMT(Assumptions!$H$335,Assumptions!$H$337,$C986),AY997))),0)</f>
        <v>0</v>
      </c>
      <c r="BA997" s="39">
        <f>+IFERROR(-ABS(IF(EDATE(_xlfn.XLOOKUP(1,$H984:$BE984,$H$4:$BE$4),12*Assumptions!$H$337+12)=BA$4,0,IF(AZ984=1,PMT(Assumptions!$H$335,Assumptions!$H$337,$C986),AZ997))),0)</f>
        <v>0</v>
      </c>
      <c r="BB997" s="39">
        <f>+IFERROR(-ABS(IF(EDATE(_xlfn.XLOOKUP(1,$H984:$BE984,$H$4:$BE$4),12*Assumptions!$H$337+12)=BB$4,0,IF(BA984=1,PMT(Assumptions!$H$335,Assumptions!$H$337,$C986),BA997))),0)</f>
        <v>0</v>
      </c>
      <c r="BC997" s="39">
        <f>+IFERROR(-ABS(IF(EDATE(_xlfn.XLOOKUP(1,$H984:$BE984,$H$4:$BE$4),12*Assumptions!$H$337+12)=BC$4,0,IF(BB984=1,PMT(Assumptions!$H$335,Assumptions!$H$337,$C986),BB997))),0)</f>
        <v>0</v>
      </c>
      <c r="BD997" s="39">
        <f>+IFERROR(-ABS(IF(EDATE(_xlfn.XLOOKUP(1,$H984:$BE984,$H$4:$BE$4),12*Assumptions!$H$337+12)=BD$4,0,IF(BC984=1,PMT(Assumptions!$H$335,Assumptions!$H$337,$C986),BC997))),0)</f>
        <v>0</v>
      </c>
      <c r="BE997" s="39">
        <f>+IFERROR(-ABS(IF(EDATE(_xlfn.XLOOKUP(1,$H984:$BE984,$H$4:$BE$4),12*Assumptions!$H$337+12)=BE$4,0,IF(BD984=1,PMT(Assumptions!$H$335,Assumptions!$H$337,$C986),BD997))),0)</f>
        <v>0</v>
      </c>
      <c r="BF997" s="39">
        <f>+IFERROR(-ABS(IF(EDATE(_xlfn.XLOOKUP(1,$H984:$BE984,$H$4:$BE$4),12*Assumptions!$H$337+12)=BF$4,0,IF(BE984=1,PMT(Assumptions!$H$335,Assumptions!$H$337,$C986),BE997))),0)</f>
        <v>0</v>
      </c>
      <c r="BG997" s="39">
        <f>+IFERROR(-ABS(IF(EDATE(_xlfn.XLOOKUP(1,$H984:$BE984,$H$4:$BE$4),12*Assumptions!$H$337+12)=BG$4,0,IF(BF984=1,PMT(Assumptions!$H$335,Assumptions!$H$337,$C986),BF997))),0)</f>
        <v>0</v>
      </c>
      <c r="BH997" s="39">
        <f>+IFERROR(-ABS(IF(EDATE(_xlfn.XLOOKUP(1,$H984:$BE984,$H$4:$BE$4),12*Assumptions!$H$337+12)=BH$4,0,IF(BG984=1,PMT(Assumptions!$H$335,Assumptions!$H$337,$C986),BG997))),0)</f>
        <v>0</v>
      </c>
      <c r="BI997" s="39">
        <f>+IFERROR(-ABS(IF(EDATE(_xlfn.XLOOKUP(1,$H984:$BE984,$H$4:$BE$4),12*Assumptions!$H$337+12)=BI$4,0,IF(BH984=1,PMT(Assumptions!$H$335,Assumptions!$H$337,$C986),BH997))),0)</f>
        <v>0</v>
      </c>
      <c r="BJ997" s="39">
        <f>+IFERROR(-ABS(IF(EDATE(_xlfn.XLOOKUP(1,$H984:$BE984,$H$4:$BE$4),12*Assumptions!$H$337+12)=BJ$4,0,IF(BI984=1,PMT(Assumptions!$H$335,Assumptions!$H$337,$C986),BI997))),0)</f>
        <v>0</v>
      </c>
      <c r="BK997" s="39">
        <f>+IFERROR(-ABS(IF(EDATE(_xlfn.XLOOKUP(1,$H984:$BE984,$H$4:$BE$4),12*Assumptions!$H$337+12)=BK$4,0,IF(BJ984=1,PMT(Assumptions!$H$335,Assumptions!$H$337,$C986),BJ997))),0)</f>
        <v>0</v>
      </c>
      <c r="BL997" s="39">
        <f>+IFERROR(-ABS(IF(EDATE(_xlfn.XLOOKUP(1,$H984:$BE984,$H$4:$BE$4),12*Assumptions!$H$337+12)=BL$4,0,IF(BK984=1,PMT(Assumptions!$H$335,Assumptions!$H$337,$C986),BK997))),0)</f>
        <v>0</v>
      </c>
      <c r="BM997" s="39">
        <f>+IFERROR(-ABS(IF(EDATE(_xlfn.XLOOKUP(1,$H984:$BE984,$H$4:$BE$4),12*Assumptions!$H$337+12)=BM$4,0,IF(BL984=1,PMT(Assumptions!$H$335,Assumptions!$H$337,$C986),BL997))),0)</f>
        <v>0</v>
      </c>
      <c r="BN997" s="39">
        <f>+IFERROR(-ABS(IF(EDATE(_xlfn.XLOOKUP(1,$H984:$BE984,$H$4:$BE$4),12*Assumptions!$H$337+12)=BN$4,0,IF(BM984=1,PMT(Assumptions!$H$335,Assumptions!$H$337,$C986),BM997))),0)</f>
        <v>0</v>
      </c>
      <c r="BO997" s="39">
        <f>+IFERROR(-ABS(IF(EDATE(_xlfn.XLOOKUP(1,$H984:$BE984,$H$4:$BE$4),12*Assumptions!$H$337+12)=BO$4,0,IF(BN984=1,PMT(Assumptions!$H$335,Assumptions!$H$337,$C986),BN997))),0)</f>
        <v>0</v>
      </c>
      <c r="BP997" s="39">
        <f>+IFERROR(-ABS(IF(EDATE(_xlfn.XLOOKUP(1,$H984:$BE984,$H$4:$BE$4),12*Assumptions!$H$337+12)=BP$4,0,IF(BO984=1,PMT(Assumptions!$H$335,Assumptions!$H$337,$C986),BO997))),0)</f>
        <v>0</v>
      </c>
      <c r="BQ997" s="39">
        <f>+IFERROR(-ABS(IF(EDATE(_xlfn.XLOOKUP(1,$H984:$BE984,$H$4:$BE$4),12*Assumptions!$H$337+12)=BQ$4,0,IF(BP984=1,PMT(Assumptions!$H$335,Assumptions!$H$337,$C986),BP997))),0)</f>
        <v>0</v>
      </c>
      <c r="BR997" s="39">
        <f>+IFERROR(-ABS(IF(EDATE(_xlfn.XLOOKUP(1,$H984:$BE984,$H$4:$BE$4),12*Assumptions!$H$337+12)=BR$4,0,IF(BQ984=1,PMT(Assumptions!$H$335,Assumptions!$H$337,$C986),BQ997))),0)</f>
        <v>0</v>
      </c>
      <c r="BS997" s="39">
        <f>+IFERROR(-ABS(IF(EDATE(_xlfn.XLOOKUP(1,$H984:$BE984,$H$4:$BE$4),12*Assumptions!$H$337+12)=BS$4,0,IF(BR984=1,PMT(Assumptions!$H$335,Assumptions!$H$337,$C986),BR997))),0)</f>
        <v>0</v>
      </c>
      <c r="BT997" s="39">
        <f>+IFERROR(-ABS(IF(EDATE(_xlfn.XLOOKUP(1,$H984:$BE984,$H$4:$BE$4),12*Assumptions!$H$337+12)=BT$4,0,IF(BS984=1,PMT(Assumptions!$H$335,Assumptions!$H$337,$C986),BS997))),0)</f>
        <v>0</v>
      </c>
      <c r="BU997" s="39">
        <f>+IFERROR(-ABS(IF(EDATE(_xlfn.XLOOKUP(1,$H984:$BE984,$H$4:$BE$4),12*Assumptions!$H$337+12)=BU$4,0,IF(BT984=1,PMT(Assumptions!$H$335,Assumptions!$H$337,$C986),BT997))),0)</f>
        <v>0</v>
      </c>
      <c r="BV997" s="39">
        <f>+IFERROR(-ABS(IF(EDATE(_xlfn.XLOOKUP(1,$H984:$BE984,$H$4:$BE$4),12*Assumptions!$H$337+12)=BV$4,0,IF(BU984=1,PMT(Assumptions!$H$335,Assumptions!$H$337,$C986),BU997))),0)</f>
        <v>0</v>
      </c>
      <c r="BW997" s="39">
        <f>+IFERROR(-ABS(IF(EDATE(_xlfn.XLOOKUP(1,$H984:$BE984,$H$4:$BE$4),12*Assumptions!$H$337+12)=BW$4,0,IF(BV984=1,PMT(Assumptions!$H$335,Assumptions!$H$337,$C986),BV997))),0)</f>
        <v>0</v>
      </c>
      <c r="BX997" s="39">
        <f>+IFERROR(-ABS(IF(EDATE(_xlfn.XLOOKUP(1,$H984:$BE984,$H$4:$BE$4),12*Assumptions!$H$337+12)=BX$4,0,IF(BW984=1,PMT(Assumptions!$H$335,Assumptions!$H$337,$C986),BW997))),0)</f>
        <v>0</v>
      </c>
      <c r="BY997" s="39">
        <f>+IFERROR(-ABS(IF(EDATE(_xlfn.XLOOKUP(1,$H984:$BE984,$H$4:$BE$4),12*Assumptions!$H$337+12)=BY$4,0,IF(BX984=1,PMT(Assumptions!$H$335,Assumptions!$H$337,$C986),BX997))),0)</f>
        <v>0</v>
      </c>
    </row>
    <row r="998" spans="5:77" outlineLevel="1">
      <c r="E998" s="24" t="s">
        <v>516</v>
      </c>
      <c r="F998" s="80" t="str">
        <f>+Assumptions!$G$8</f>
        <v>USD</v>
      </c>
      <c r="G998" s="24"/>
      <c r="H998" s="39">
        <f>+IFERROR(-ABS(IF(EDATE(_xlfn.XLOOKUP(1,$H985:$BE985,$H$4:$BE$4),12*Assumptions!$H$337+12)=H$4,0,IF(G985=1,PMT(Assumptions!$H$335,Assumptions!$H$337,$C987),G998))),0)</f>
        <v>0</v>
      </c>
      <c r="I998" s="39">
        <f>+IFERROR(-ABS(IF(EDATE(_xlfn.XLOOKUP(1,$H985:$BE985,$H$4:$BE$4),12*Assumptions!$H$337+12)=I$4,0,IF(H985=1,PMT(Assumptions!$H$335,Assumptions!$H$337,$C987),H998))),0)</f>
        <v>0</v>
      </c>
      <c r="J998" s="39">
        <f>+IFERROR(-ABS(IF(EDATE(_xlfn.XLOOKUP(1,$H985:$BE985,$H$4:$BE$4),12*Assumptions!$H$337+12)=J$4,0,IF(I985=1,PMT(Assumptions!$H$335,Assumptions!$H$337,$C987),I998))),0)</f>
        <v>0</v>
      </c>
      <c r="K998" s="39">
        <f>+IFERROR(-ABS(IF(EDATE(_xlfn.XLOOKUP(1,$H985:$BE985,$H$4:$BE$4),12*Assumptions!$H$337+12)=K$4,0,IF(J985=1,PMT(Assumptions!$H$335,Assumptions!$H$337,$C987),J998))),0)</f>
        <v>0</v>
      </c>
      <c r="L998" s="39">
        <f>+IFERROR(-ABS(IF(EDATE(_xlfn.XLOOKUP(1,$H985:$BE985,$H$4:$BE$4),12*Assumptions!$H$337+12)=L$4,0,IF(K985=1,PMT(Assumptions!$H$335,Assumptions!$H$337,$C987),K998))),0)</f>
        <v>0</v>
      </c>
      <c r="M998" s="39">
        <f>+IFERROR(-ABS(IF(EDATE(_xlfn.XLOOKUP(1,$H985:$BE985,$H$4:$BE$4),12*Assumptions!$H$337+12)=M$4,0,IF(L985=1,PMT(Assumptions!$H$335,Assumptions!$H$337,$C987),L998))),0)</f>
        <v>0</v>
      </c>
      <c r="N998" s="39">
        <f>+IFERROR(-ABS(IF(EDATE(_xlfn.XLOOKUP(1,$H985:$BE985,$H$4:$BE$4),12*Assumptions!$H$337+12)=N$4,0,IF(M985=1,PMT(Assumptions!$H$335,Assumptions!$H$337,$C987),M998))),0)</f>
        <v>0</v>
      </c>
      <c r="O998" s="39">
        <f>+IFERROR(-ABS(IF(EDATE(_xlfn.XLOOKUP(1,$H985:$BE985,$H$4:$BE$4),12*Assumptions!$H$337+12)=O$4,0,IF(N985=1,PMT(Assumptions!$H$335,Assumptions!$H$337,$C987),N998))),0)</f>
        <v>0</v>
      </c>
      <c r="P998" s="39">
        <f>+IFERROR(-ABS(IF(EDATE(_xlfn.XLOOKUP(1,$H985:$BE985,$H$4:$BE$4),12*Assumptions!$H$337+12)=P$4,0,IF(O985=1,PMT(Assumptions!$H$335,Assumptions!$H$337,$C987),O998))),0)</f>
        <v>0</v>
      </c>
      <c r="Q998" s="39">
        <f>+IFERROR(-ABS(IF(EDATE(_xlfn.XLOOKUP(1,$H985:$BE985,$H$4:$BE$4),12*Assumptions!$H$337+12)=Q$4,0,IF(P985=1,PMT(Assumptions!$H$335,Assumptions!$H$337,$C987),P998))),0)</f>
        <v>0</v>
      </c>
      <c r="R998" s="39">
        <f>+IFERROR(-ABS(IF(EDATE(_xlfn.XLOOKUP(1,$H985:$BE985,$H$4:$BE$4),12*Assumptions!$H$337+12)=R$4,0,IF(Q985=1,PMT(Assumptions!$H$335,Assumptions!$H$337,$C987),Q998))),0)</f>
        <v>0</v>
      </c>
      <c r="S998" s="39">
        <f>+IFERROR(-ABS(IF(EDATE(_xlfn.XLOOKUP(1,$H985:$BE985,$H$4:$BE$4),12*Assumptions!$H$337+12)=S$4,0,IF(R985=1,PMT(Assumptions!$H$335,Assumptions!$H$337,$C987),R998))),0)</f>
        <v>0</v>
      </c>
      <c r="T998" s="39">
        <f>+IFERROR(-ABS(IF(EDATE(_xlfn.XLOOKUP(1,$H985:$BE985,$H$4:$BE$4),12*Assumptions!$H$337+12)=T$4,0,IF(S985=1,PMT(Assumptions!$H$335,Assumptions!$H$337,$C987),S998))),0)</f>
        <v>0</v>
      </c>
      <c r="U998" s="39">
        <f>+IFERROR(-ABS(IF(EDATE(_xlfn.XLOOKUP(1,$H985:$BE985,$H$4:$BE$4),12*Assumptions!$H$337+12)=U$4,0,IF(T985=1,PMT(Assumptions!$H$335,Assumptions!$H$337,$C987),T998))),0)</f>
        <v>0</v>
      </c>
      <c r="V998" s="39">
        <f>+IFERROR(-ABS(IF(EDATE(_xlfn.XLOOKUP(1,$H985:$BE985,$H$4:$BE$4),12*Assumptions!$H$337+12)=V$4,0,IF(U985=1,PMT(Assumptions!$H$335,Assumptions!$H$337,$C987),U998))),0)</f>
        <v>0</v>
      </c>
      <c r="W998" s="39">
        <f>+IFERROR(-ABS(IF(EDATE(_xlfn.XLOOKUP(1,$H985:$BE985,$H$4:$BE$4),12*Assumptions!$H$337+12)=W$4,0,IF(V985=1,PMT(Assumptions!$H$335,Assumptions!$H$337,$C987),V998))),0)</f>
        <v>0</v>
      </c>
      <c r="X998" s="39">
        <f>+IFERROR(-ABS(IF(EDATE(_xlfn.XLOOKUP(1,$H985:$BE985,$H$4:$BE$4),12*Assumptions!$H$337+12)=X$4,0,IF(W985=1,PMT(Assumptions!$H$335,Assumptions!$H$337,$C987),W998))),0)</f>
        <v>0</v>
      </c>
      <c r="Y998" s="39">
        <f>+IFERROR(-ABS(IF(EDATE(_xlfn.XLOOKUP(1,$H985:$BE985,$H$4:$BE$4),12*Assumptions!$H$337+12)=Y$4,0,IF(X985=1,PMT(Assumptions!$H$335,Assumptions!$H$337,$C987),X998))),0)</f>
        <v>0</v>
      </c>
      <c r="Z998" s="39">
        <f>+IFERROR(-ABS(IF(EDATE(_xlfn.XLOOKUP(1,$H985:$BE985,$H$4:$BE$4),12*Assumptions!$H$337+12)=Z$4,0,IF(Y985=1,PMT(Assumptions!$H$335,Assumptions!$H$337,$C987),Y998))),0)</f>
        <v>0</v>
      </c>
      <c r="AA998" s="39">
        <f>+IFERROR(-ABS(IF(EDATE(_xlfn.XLOOKUP(1,$H985:$BE985,$H$4:$BE$4),12*Assumptions!$H$337+12)=AA$4,0,IF(Z985=1,PMT(Assumptions!$H$335,Assumptions!$H$337,$C987),Z998))),0)</f>
        <v>0</v>
      </c>
      <c r="AB998" s="39">
        <f>+IFERROR(-ABS(IF(EDATE(_xlfn.XLOOKUP(1,$H985:$BE985,$H$4:$BE$4),12*Assumptions!$H$337+12)=AB$4,0,IF(AA985=1,PMT(Assumptions!$H$335,Assumptions!$H$337,$C987),AA998))),0)</f>
        <v>0</v>
      </c>
      <c r="AC998" s="39">
        <f>+IFERROR(-ABS(IF(EDATE(_xlfn.XLOOKUP(1,$H985:$BE985,$H$4:$BE$4),12*Assumptions!$H$337+12)=AC$4,0,IF(AB985=1,PMT(Assumptions!$H$335,Assumptions!$H$337,$C987),AB998))),0)</f>
        <v>0</v>
      </c>
      <c r="AD998" s="39">
        <f>+IFERROR(-ABS(IF(EDATE(_xlfn.XLOOKUP(1,$H985:$BE985,$H$4:$BE$4),12*Assumptions!$H$337+12)=AD$4,0,IF(AC985=1,PMT(Assumptions!$H$335,Assumptions!$H$337,$C987),AC998))),0)</f>
        <v>0</v>
      </c>
      <c r="AE998" s="39">
        <f>+IFERROR(-ABS(IF(EDATE(_xlfn.XLOOKUP(1,$H985:$BE985,$H$4:$BE$4),12*Assumptions!$H$337+12)=AE$4,0,IF(AD985=1,PMT(Assumptions!$H$335,Assumptions!$H$337,$C987),AD998))),0)</f>
        <v>0</v>
      </c>
      <c r="AF998" s="39">
        <f>+IFERROR(-ABS(IF(EDATE(_xlfn.XLOOKUP(1,$H985:$BE985,$H$4:$BE$4),12*Assumptions!$H$337+12)=AF$4,0,IF(AE985=1,PMT(Assumptions!$H$335,Assumptions!$H$337,$C987),AE998))),0)</f>
        <v>0</v>
      </c>
      <c r="AG998" s="39">
        <f>+IFERROR(-ABS(IF(EDATE(_xlfn.XLOOKUP(1,$H985:$BE985,$H$4:$BE$4),12*Assumptions!$H$337+12)=AG$4,0,IF(AF985=1,PMT(Assumptions!$H$335,Assumptions!$H$337,$C987),AF998))),0)</f>
        <v>0</v>
      </c>
      <c r="AH998" s="39">
        <f>+IFERROR(-ABS(IF(EDATE(_xlfn.XLOOKUP(1,$H985:$BE985,$H$4:$BE$4),12*Assumptions!$H$337+12)=AH$4,0,IF(AG985=1,PMT(Assumptions!$H$335,Assumptions!$H$337,$C987),AG998))),0)</f>
        <v>0</v>
      </c>
      <c r="AI998" s="39">
        <f>+IFERROR(-ABS(IF(EDATE(_xlfn.XLOOKUP(1,$H985:$BE985,$H$4:$BE$4),12*Assumptions!$H$337+12)=AI$4,0,IF(AH985=1,PMT(Assumptions!$H$335,Assumptions!$H$337,$C987),AH998))),0)</f>
        <v>0</v>
      </c>
      <c r="AJ998" s="39">
        <f>+IFERROR(-ABS(IF(EDATE(_xlfn.XLOOKUP(1,$H985:$BE985,$H$4:$BE$4),12*Assumptions!$H$337+12)=AJ$4,0,IF(AI985=1,PMT(Assumptions!$H$335,Assumptions!$H$337,$C987),AI998))),0)</f>
        <v>0</v>
      </c>
      <c r="AK998" s="39">
        <f>+IFERROR(-ABS(IF(EDATE(_xlfn.XLOOKUP(1,$H985:$BE985,$H$4:$BE$4),12*Assumptions!$H$337+12)=AK$4,0,IF(AJ985=1,PMT(Assumptions!$H$335,Assumptions!$H$337,$C987),AJ998))),0)</f>
        <v>0</v>
      </c>
      <c r="AL998" s="39">
        <f>+IFERROR(-ABS(IF(EDATE(_xlfn.XLOOKUP(1,$H985:$BE985,$H$4:$BE$4),12*Assumptions!$H$337+12)=AL$4,0,IF(AK985=1,PMT(Assumptions!$H$335,Assumptions!$H$337,$C987),AK998))),0)</f>
        <v>0</v>
      </c>
      <c r="AM998" s="39">
        <f>+IFERROR(-ABS(IF(EDATE(_xlfn.XLOOKUP(1,$H985:$BE985,$H$4:$BE$4),12*Assumptions!$H$337+12)=AM$4,0,IF(AL985=1,PMT(Assumptions!$H$335,Assumptions!$H$337,$C987),AL998))),0)</f>
        <v>0</v>
      </c>
      <c r="AN998" s="39">
        <f>+IFERROR(-ABS(IF(EDATE(_xlfn.XLOOKUP(1,$H985:$BE985,$H$4:$BE$4),12*Assumptions!$H$337+12)=AN$4,0,IF(AM985=1,PMT(Assumptions!$H$335,Assumptions!$H$337,$C987),AM998))),0)</f>
        <v>0</v>
      </c>
      <c r="AO998" s="39">
        <f>+IFERROR(-ABS(IF(EDATE(_xlfn.XLOOKUP(1,$H985:$BE985,$H$4:$BE$4),12*Assumptions!$H$337+12)=AO$4,0,IF(AN985=1,PMT(Assumptions!$H$335,Assumptions!$H$337,$C987),AN998))),0)</f>
        <v>0</v>
      </c>
      <c r="AP998" s="39">
        <f>+IFERROR(-ABS(IF(EDATE(_xlfn.XLOOKUP(1,$H985:$BE985,$H$4:$BE$4),12*Assumptions!$H$337+12)=AP$4,0,IF(AO985=1,PMT(Assumptions!$H$335,Assumptions!$H$337,$C987),AO998))),0)</f>
        <v>0</v>
      </c>
      <c r="AQ998" s="39">
        <f>+IFERROR(-ABS(IF(EDATE(_xlfn.XLOOKUP(1,$H985:$BE985,$H$4:$BE$4),12*Assumptions!$H$337+12)=AQ$4,0,IF(AP985=1,PMT(Assumptions!$H$335,Assumptions!$H$337,$C987),AP998))),0)</f>
        <v>0</v>
      </c>
      <c r="AR998" s="39">
        <f>+IFERROR(-ABS(IF(EDATE(_xlfn.XLOOKUP(1,$H985:$BE985,$H$4:$BE$4),12*Assumptions!$H$337+12)=AR$4,0,IF(AQ985=1,PMT(Assumptions!$H$335,Assumptions!$H$337,$C987),AQ998))),0)</f>
        <v>0</v>
      </c>
      <c r="AS998" s="39">
        <f>+IFERROR(-ABS(IF(EDATE(_xlfn.XLOOKUP(1,$H985:$BE985,$H$4:$BE$4),12*Assumptions!$H$337+12)=AS$4,0,IF(AR985=1,PMT(Assumptions!$H$335,Assumptions!$H$337,$C987),AR998))),0)</f>
        <v>0</v>
      </c>
      <c r="AT998" s="39">
        <f>+IFERROR(-ABS(IF(EDATE(_xlfn.XLOOKUP(1,$H985:$BE985,$H$4:$BE$4),12*Assumptions!$H$337+12)=AT$4,0,IF(AS985=1,PMT(Assumptions!$H$335,Assumptions!$H$337,$C987),AS998))),0)</f>
        <v>0</v>
      </c>
      <c r="AU998" s="39">
        <f>+IFERROR(-ABS(IF(EDATE(_xlfn.XLOOKUP(1,$H985:$BE985,$H$4:$BE$4),12*Assumptions!$H$337+12)=AU$4,0,IF(AT985=1,PMT(Assumptions!$H$335,Assumptions!$H$337,$C987),AT998))),0)</f>
        <v>0</v>
      </c>
      <c r="AV998" s="39">
        <f>+IFERROR(-ABS(IF(EDATE(_xlfn.XLOOKUP(1,$H985:$BE985,$H$4:$BE$4),12*Assumptions!$H$337+12)=AV$4,0,IF(AU985=1,PMT(Assumptions!$H$335,Assumptions!$H$337,$C987),AU998))),0)</f>
        <v>0</v>
      </c>
      <c r="AW998" s="39">
        <f>+IFERROR(-ABS(IF(EDATE(_xlfn.XLOOKUP(1,$H985:$BE985,$H$4:$BE$4),12*Assumptions!$H$337+12)=AW$4,0,IF(AV985=1,PMT(Assumptions!$H$335,Assumptions!$H$337,$C987),AV998))),0)</f>
        <v>0</v>
      </c>
      <c r="AX998" s="39">
        <f>+IFERROR(-ABS(IF(EDATE(_xlfn.XLOOKUP(1,$H985:$BE985,$H$4:$BE$4),12*Assumptions!$H$337+12)=AX$4,0,IF(AW985=1,PMT(Assumptions!$H$335,Assumptions!$H$337,$C987),AW998))),0)</f>
        <v>0</v>
      </c>
      <c r="AY998" s="39">
        <f>+IFERROR(-ABS(IF(EDATE(_xlfn.XLOOKUP(1,$H985:$BE985,$H$4:$BE$4),12*Assumptions!$H$337+12)=AY$4,0,IF(AX985=1,PMT(Assumptions!$H$335,Assumptions!$H$337,$C987),AX998))),0)</f>
        <v>0</v>
      </c>
      <c r="AZ998" s="39">
        <f>+IFERROR(-ABS(IF(EDATE(_xlfn.XLOOKUP(1,$H985:$BE985,$H$4:$BE$4),12*Assumptions!$H$337+12)=AZ$4,0,IF(AY985=1,PMT(Assumptions!$H$335,Assumptions!$H$337,$C987),AY998))),0)</f>
        <v>0</v>
      </c>
      <c r="BA998" s="39">
        <f>+IFERROR(-ABS(IF(EDATE(_xlfn.XLOOKUP(1,$H985:$BE985,$H$4:$BE$4),12*Assumptions!$H$337+12)=BA$4,0,IF(AZ985=1,PMT(Assumptions!$H$335,Assumptions!$H$337,$C987),AZ998))),0)</f>
        <v>0</v>
      </c>
      <c r="BB998" s="39">
        <f>+IFERROR(-ABS(IF(EDATE(_xlfn.XLOOKUP(1,$H985:$BE985,$H$4:$BE$4),12*Assumptions!$H$337+12)=BB$4,0,IF(BA985=1,PMT(Assumptions!$H$335,Assumptions!$H$337,$C987),BA998))),0)</f>
        <v>0</v>
      </c>
      <c r="BC998" s="39">
        <f>+IFERROR(-ABS(IF(EDATE(_xlfn.XLOOKUP(1,$H985:$BE985,$H$4:$BE$4),12*Assumptions!$H$337+12)=BC$4,0,IF(BB985=1,PMT(Assumptions!$H$335,Assumptions!$H$337,$C987),BB998))),0)</f>
        <v>0</v>
      </c>
      <c r="BD998" s="39">
        <f>+IFERROR(-ABS(IF(EDATE(_xlfn.XLOOKUP(1,$H985:$BE985,$H$4:$BE$4),12*Assumptions!$H$337+12)=BD$4,0,IF(BC985=1,PMT(Assumptions!$H$335,Assumptions!$H$337,$C987),BC998))),0)</f>
        <v>0</v>
      </c>
      <c r="BE998" s="39">
        <f>+IFERROR(-ABS(IF(EDATE(_xlfn.XLOOKUP(1,$H985:$BE985,$H$4:$BE$4),12*Assumptions!$H$337+12)=BE$4,0,IF(BD985=1,PMT(Assumptions!$H$335,Assumptions!$H$337,$C987),BD998))),0)</f>
        <v>0</v>
      </c>
      <c r="BF998" s="39">
        <f>+IFERROR(-ABS(IF(EDATE(_xlfn.XLOOKUP(1,$H985:$BE985,$H$4:$BE$4),12*Assumptions!$H$337+12)=BF$4,0,IF(BE985=1,PMT(Assumptions!$H$335,Assumptions!$H$337,$C987),BE998))),0)</f>
        <v>0</v>
      </c>
      <c r="BG998" s="39">
        <f>+IFERROR(-ABS(IF(EDATE(_xlfn.XLOOKUP(1,$H985:$BE985,$H$4:$BE$4),12*Assumptions!$H$337+12)=BG$4,0,IF(BF985=1,PMT(Assumptions!$H$335,Assumptions!$H$337,$C987),BF998))),0)</f>
        <v>0</v>
      </c>
      <c r="BH998" s="39">
        <f>+IFERROR(-ABS(IF(EDATE(_xlfn.XLOOKUP(1,$H985:$BE985,$H$4:$BE$4),12*Assumptions!$H$337+12)=BH$4,0,IF(BG985=1,PMT(Assumptions!$H$335,Assumptions!$H$337,$C987),BG998))),0)</f>
        <v>0</v>
      </c>
      <c r="BI998" s="39">
        <f>+IFERROR(-ABS(IF(EDATE(_xlfn.XLOOKUP(1,$H985:$BE985,$H$4:$BE$4),12*Assumptions!$H$337+12)=BI$4,0,IF(BH985=1,PMT(Assumptions!$H$335,Assumptions!$H$337,$C987),BH998))),0)</f>
        <v>0</v>
      </c>
      <c r="BJ998" s="39">
        <f>+IFERROR(-ABS(IF(EDATE(_xlfn.XLOOKUP(1,$H985:$BE985,$H$4:$BE$4),12*Assumptions!$H$337+12)=BJ$4,0,IF(BI985=1,PMT(Assumptions!$H$335,Assumptions!$H$337,$C987),BI998))),0)</f>
        <v>0</v>
      </c>
      <c r="BK998" s="39">
        <f>+IFERROR(-ABS(IF(EDATE(_xlfn.XLOOKUP(1,$H985:$BE985,$H$4:$BE$4),12*Assumptions!$H$337+12)=BK$4,0,IF(BJ985=1,PMT(Assumptions!$H$335,Assumptions!$H$337,$C987),BJ998))),0)</f>
        <v>0</v>
      </c>
      <c r="BL998" s="39">
        <f>+IFERROR(-ABS(IF(EDATE(_xlfn.XLOOKUP(1,$H985:$BE985,$H$4:$BE$4),12*Assumptions!$H$337+12)=BL$4,0,IF(BK985=1,PMT(Assumptions!$H$335,Assumptions!$H$337,$C987),BK998))),0)</f>
        <v>0</v>
      </c>
      <c r="BM998" s="39">
        <f>+IFERROR(-ABS(IF(EDATE(_xlfn.XLOOKUP(1,$H985:$BE985,$H$4:$BE$4),12*Assumptions!$H$337+12)=BM$4,0,IF(BL985=1,PMT(Assumptions!$H$335,Assumptions!$H$337,$C987),BL998))),0)</f>
        <v>0</v>
      </c>
      <c r="BN998" s="39">
        <f>+IFERROR(-ABS(IF(EDATE(_xlfn.XLOOKUP(1,$H985:$BE985,$H$4:$BE$4),12*Assumptions!$H$337+12)=BN$4,0,IF(BM985=1,PMT(Assumptions!$H$335,Assumptions!$H$337,$C987),BM998))),0)</f>
        <v>0</v>
      </c>
      <c r="BO998" s="39">
        <f>+IFERROR(-ABS(IF(EDATE(_xlfn.XLOOKUP(1,$H985:$BE985,$H$4:$BE$4),12*Assumptions!$H$337+12)=BO$4,0,IF(BN985=1,PMT(Assumptions!$H$335,Assumptions!$H$337,$C987),BN998))),0)</f>
        <v>0</v>
      </c>
      <c r="BP998" s="39">
        <f>+IFERROR(-ABS(IF(EDATE(_xlfn.XLOOKUP(1,$H985:$BE985,$H$4:$BE$4),12*Assumptions!$H$337+12)=BP$4,0,IF(BO985=1,PMT(Assumptions!$H$335,Assumptions!$H$337,$C987),BO998))),0)</f>
        <v>0</v>
      </c>
      <c r="BQ998" s="39">
        <f>+IFERROR(-ABS(IF(EDATE(_xlfn.XLOOKUP(1,$H985:$BE985,$H$4:$BE$4),12*Assumptions!$H$337+12)=BQ$4,0,IF(BP985=1,PMT(Assumptions!$H$335,Assumptions!$H$337,$C987),BP998))),0)</f>
        <v>0</v>
      </c>
      <c r="BR998" s="39">
        <f>+IFERROR(-ABS(IF(EDATE(_xlfn.XLOOKUP(1,$H985:$BE985,$H$4:$BE$4),12*Assumptions!$H$337+12)=BR$4,0,IF(BQ985=1,PMT(Assumptions!$H$335,Assumptions!$H$337,$C987),BQ998))),0)</f>
        <v>0</v>
      </c>
      <c r="BS998" s="39">
        <f>+IFERROR(-ABS(IF(EDATE(_xlfn.XLOOKUP(1,$H985:$BE985,$H$4:$BE$4),12*Assumptions!$H$337+12)=BS$4,0,IF(BR985=1,PMT(Assumptions!$H$335,Assumptions!$H$337,$C987),BR998))),0)</f>
        <v>0</v>
      </c>
      <c r="BT998" s="39">
        <f>+IFERROR(-ABS(IF(EDATE(_xlfn.XLOOKUP(1,$H985:$BE985,$H$4:$BE$4),12*Assumptions!$H$337+12)=BT$4,0,IF(BS985=1,PMT(Assumptions!$H$335,Assumptions!$H$337,$C987),BS998))),0)</f>
        <v>0</v>
      </c>
      <c r="BU998" s="39">
        <f>+IFERROR(-ABS(IF(EDATE(_xlfn.XLOOKUP(1,$H985:$BE985,$H$4:$BE$4),12*Assumptions!$H$337+12)=BU$4,0,IF(BT985=1,PMT(Assumptions!$H$335,Assumptions!$H$337,$C987),BT998))),0)</f>
        <v>0</v>
      </c>
      <c r="BV998" s="39">
        <f>+IFERROR(-ABS(IF(EDATE(_xlfn.XLOOKUP(1,$H985:$BE985,$H$4:$BE$4),12*Assumptions!$H$337+12)=BV$4,0,IF(BU985=1,PMT(Assumptions!$H$335,Assumptions!$H$337,$C987),BU998))),0)</f>
        <v>0</v>
      </c>
      <c r="BW998" s="39">
        <f>+IFERROR(-ABS(IF(EDATE(_xlfn.XLOOKUP(1,$H985:$BE985,$H$4:$BE$4),12*Assumptions!$H$337+12)=BW$4,0,IF(BV985=1,PMT(Assumptions!$H$335,Assumptions!$H$337,$C987),BV998))),0)</f>
        <v>0</v>
      </c>
      <c r="BX998" s="39">
        <f>+IFERROR(-ABS(IF(EDATE(_xlfn.XLOOKUP(1,$H985:$BE985,$H$4:$BE$4),12*Assumptions!$H$337+12)=BX$4,0,IF(BW985=1,PMT(Assumptions!$H$335,Assumptions!$H$337,$C987),BW998))),0)</f>
        <v>0</v>
      </c>
      <c r="BY998" s="39">
        <f>+IFERROR(-ABS(IF(EDATE(_xlfn.XLOOKUP(1,$H985:$BE985,$H$4:$BE$4),12*Assumptions!$H$337+12)=BY$4,0,IF(BX985=1,PMT(Assumptions!$H$335,Assumptions!$H$337,$C987),BX998))),0)</f>
        <v>0</v>
      </c>
    </row>
    <row r="999" spans="5:77" outlineLevel="1">
      <c r="E999" s="24" t="s">
        <v>517</v>
      </c>
      <c r="F999" s="80" t="str">
        <f>+Assumptions!$G$8</f>
        <v>USD</v>
      </c>
      <c r="G999" s="24"/>
      <c r="H999" s="39">
        <f>+IFERROR(-ABS(IF(EDATE(_xlfn.XLOOKUP(1,$H986:$BE986,$H$4:$BE$4),12*Assumptions!$H$337+12)=H$4,0,IF(G986=1,PMT(Assumptions!$H$335,Assumptions!$H$337,$C988),G999))),0)</f>
        <v>0</v>
      </c>
      <c r="I999" s="39">
        <f>+IFERROR(-ABS(IF(EDATE(_xlfn.XLOOKUP(1,$H986:$BE986,$H$4:$BE$4),12*Assumptions!$H$337+12)=I$4,0,IF(H986=1,PMT(Assumptions!$H$335,Assumptions!$H$337,$C988),H999))),0)</f>
        <v>0</v>
      </c>
      <c r="J999" s="39">
        <f>+IFERROR(-ABS(IF(EDATE(_xlfn.XLOOKUP(1,$H986:$BE986,$H$4:$BE$4),12*Assumptions!$H$337+12)=J$4,0,IF(I986=1,PMT(Assumptions!$H$335,Assumptions!$H$337,$C988),I999))),0)</f>
        <v>0</v>
      </c>
      <c r="K999" s="39">
        <f>+IFERROR(-ABS(IF(EDATE(_xlfn.XLOOKUP(1,$H986:$BE986,$H$4:$BE$4),12*Assumptions!$H$337+12)=K$4,0,IF(J986=1,PMT(Assumptions!$H$335,Assumptions!$H$337,$C988),J999))),0)</f>
        <v>0</v>
      </c>
      <c r="L999" s="39">
        <f>+IFERROR(-ABS(IF(EDATE(_xlfn.XLOOKUP(1,$H986:$BE986,$H$4:$BE$4),12*Assumptions!$H$337+12)=L$4,0,IF(K986=1,PMT(Assumptions!$H$335,Assumptions!$H$337,$C988),K999))),0)</f>
        <v>0</v>
      </c>
      <c r="M999" s="39">
        <f>+IFERROR(-ABS(IF(EDATE(_xlfn.XLOOKUP(1,$H986:$BE986,$H$4:$BE$4),12*Assumptions!$H$337+12)=M$4,0,IF(L986=1,PMT(Assumptions!$H$335,Assumptions!$H$337,$C988),L999))),0)</f>
        <v>0</v>
      </c>
      <c r="N999" s="39">
        <f>+IFERROR(-ABS(IF(EDATE(_xlfn.XLOOKUP(1,$H986:$BE986,$H$4:$BE$4),12*Assumptions!$H$337+12)=N$4,0,IF(M986=1,PMT(Assumptions!$H$335,Assumptions!$H$337,$C988),M999))),0)</f>
        <v>0</v>
      </c>
      <c r="O999" s="39">
        <f>+IFERROR(-ABS(IF(EDATE(_xlfn.XLOOKUP(1,$H986:$BE986,$H$4:$BE$4),12*Assumptions!$H$337+12)=O$4,0,IF(N986=1,PMT(Assumptions!$H$335,Assumptions!$H$337,$C988),N999))),0)</f>
        <v>0</v>
      </c>
      <c r="P999" s="39">
        <f>+IFERROR(-ABS(IF(EDATE(_xlfn.XLOOKUP(1,$H986:$BE986,$H$4:$BE$4),12*Assumptions!$H$337+12)=P$4,0,IF(O986=1,PMT(Assumptions!$H$335,Assumptions!$H$337,$C988),O999))),0)</f>
        <v>0</v>
      </c>
      <c r="Q999" s="39">
        <f>+IFERROR(-ABS(IF(EDATE(_xlfn.XLOOKUP(1,$H986:$BE986,$H$4:$BE$4),12*Assumptions!$H$337+12)=Q$4,0,IF(P986=1,PMT(Assumptions!$H$335,Assumptions!$H$337,$C988),P999))),0)</f>
        <v>0</v>
      </c>
      <c r="R999" s="39">
        <f>+IFERROR(-ABS(IF(EDATE(_xlfn.XLOOKUP(1,$H986:$BE986,$H$4:$BE$4),12*Assumptions!$H$337+12)=R$4,0,IF(Q986=1,PMT(Assumptions!$H$335,Assumptions!$H$337,$C988),Q999))),0)</f>
        <v>0</v>
      </c>
      <c r="S999" s="39">
        <f>+IFERROR(-ABS(IF(EDATE(_xlfn.XLOOKUP(1,$H986:$BE986,$H$4:$BE$4),12*Assumptions!$H$337+12)=S$4,0,IF(R986=1,PMT(Assumptions!$H$335,Assumptions!$H$337,$C988),R999))),0)</f>
        <v>0</v>
      </c>
      <c r="T999" s="39">
        <f>+IFERROR(-ABS(IF(EDATE(_xlfn.XLOOKUP(1,$H986:$BE986,$H$4:$BE$4),12*Assumptions!$H$337+12)=T$4,0,IF(S986=1,PMT(Assumptions!$H$335,Assumptions!$H$337,$C988),S999))),0)</f>
        <v>0</v>
      </c>
      <c r="U999" s="39">
        <f>+IFERROR(-ABS(IF(EDATE(_xlfn.XLOOKUP(1,$H986:$BE986,$H$4:$BE$4),12*Assumptions!$H$337+12)=U$4,0,IF(T986=1,PMT(Assumptions!$H$335,Assumptions!$H$337,$C988),T999))),0)</f>
        <v>0</v>
      </c>
      <c r="V999" s="39">
        <f>+IFERROR(-ABS(IF(EDATE(_xlfn.XLOOKUP(1,$H986:$BE986,$H$4:$BE$4),12*Assumptions!$H$337+12)=V$4,0,IF(U986=1,PMT(Assumptions!$H$335,Assumptions!$H$337,$C988),U999))),0)</f>
        <v>0</v>
      </c>
      <c r="W999" s="39">
        <f>+IFERROR(-ABS(IF(EDATE(_xlfn.XLOOKUP(1,$H986:$BE986,$H$4:$BE$4),12*Assumptions!$H$337+12)=W$4,0,IF(V986=1,PMT(Assumptions!$H$335,Assumptions!$H$337,$C988),V999))),0)</f>
        <v>0</v>
      </c>
      <c r="X999" s="39">
        <f>+IFERROR(-ABS(IF(EDATE(_xlfn.XLOOKUP(1,$H986:$BE986,$H$4:$BE$4),12*Assumptions!$H$337+12)=X$4,0,IF(W986=1,PMT(Assumptions!$H$335,Assumptions!$H$337,$C988),W999))),0)</f>
        <v>0</v>
      </c>
      <c r="Y999" s="39">
        <f>+IFERROR(-ABS(IF(EDATE(_xlfn.XLOOKUP(1,$H986:$BE986,$H$4:$BE$4),12*Assumptions!$H$337+12)=Y$4,0,IF(X986=1,PMT(Assumptions!$H$335,Assumptions!$H$337,$C988),X999))),0)</f>
        <v>0</v>
      </c>
      <c r="Z999" s="39">
        <f>+IFERROR(-ABS(IF(EDATE(_xlfn.XLOOKUP(1,$H986:$BE986,$H$4:$BE$4),12*Assumptions!$H$337+12)=Z$4,0,IF(Y986=1,PMT(Assumptions!$H$335,Assumptions!$H$337,$C988),Y999))),0)</f>
        <v>0</v>
      </c>
      <c r="AA999" s="39">
        <f>+IFERROR(-ABS(IF(EDATE(_xlfn.XLOOKUP(1,$H986:$BE986,$H$4:$BE$4),12*Assumptions!$H$337+12)=AA$4,0,IF(Z986=1,PMT(Assumptions!$H$335,Assumptions!$H$337,$C988),Z999))),0)</f>
        <v>0</v>
      </c>
      <c r="AB999" s="39">
        <f>+IFERROR(-ABS(IF(EDATE(_xlfn.XLOOKUP(1,$H986:$BE986,$H$4:$BE$4),12*Assumptions!$H$337+12)=AB$4,0,IF(AA986=1,PMT(Assumptions!$H$335,Assumptions!$H$337,$C988),AA999))),0)</f>
        <v>0</v>
      </c>
      <c r="AC999" s="39">
        <f>+IFERROR(-ABS(IF(EDATE(_xlfn.XLOOKUP(1,$H986:$BE986,$H$4:$BE$4),12*Assumptions!$H$337+12)=AC$4,0,IF(AB986=1,PMT(Assumptions!$H$335,Assumptions!$H$337,$C988),AB999))),0)</f>
        <v>0</v>
      </c>
      <c r="AD999" s="39">
        <f>+IFERROR(-ABS(IF(EDATE(_xlfn.XLOOKUP(1,$H986:$BE986,$H$4:$BE$4),12*Assumptions!$H$337+12)=AD$4,0,IF(AC986=1,PMT(Assumptions!$H$335,Assumptions!$H$337,$C988),AC999))),0)</f>
        <v>0</v>
      </c>
      <c r="AE999" s="39">
        <f>+IFERROR(-ABS(IF(EDATE(_xlfn.XLOOKUP(1,$H986:$BE986,$H$4:$BE$4),12*Assumptions!$H$337+12)=AE$4,0,IF(AD986=1,PMT(Assumptions!$H$335,Assumptions!$H$337,$C988),AD999))),0)</f>
        <v>0</v>
      </c>
      <c r="AF999" s="39">
        <f>+IFERROR(-ABS(IF(EDATE(_xlfn.XLOOKUP(1,$H986:$BE986,$H$4:$BE$4),12*Assumptions!$H$337+12)=AF$4,0,IF(AE986=1,PMT(Assumptions!$H$335,Assumptions!$H$337,$C988),AE999))),0)</f>
        <v>0</v>
      </c>
      <c r="AG999" s="39">
        <f>+IFERROR(-ABS(IF(EDATE(_xlfn.XLOOKUP(1,$H986:$BE986,$H$4:$BE$4),12*Assumptions!$H$337+12)=AG$4,0,IF(AF986=1,PMT(Assumptions!$H$335,Assumptions!$H$337,$C988),AF999))),0)</f>
        <v>0</v>
      </c>
      <c r="AH999" s="39">
        <f>+IFERROR(-ABS(IF(EDATE(_xlfn.XLOOKUP(1,$H986:$BE986,$H$4:$BE$4),12*Assumptions!$H$337+12)=AH$4,0,IF(AG986=1,PMT(Assumptions!$H$335,Assumptions!$H$337,$C988),AG999))),0)</f>
        <v>0</v>
      </c>
      <c r="AI999" s="39">
        <f>+IFERROR(-ABS(IF(EDATE(_xlfn.XLOOKUP(1,$H986:$BE986,$H$4:$BE$4),12*Assumptions!$H$337+12)=AI$4,0,IF(AH986=1,PMT(Assumptions!$H$335,Assumptions!$H$337,$C988),AH999))),0)</f>
        <v>0</v>
      </c>
      <c r="AJ999" s="39">
        <f>+IFERROR(-ABS(IF(EDATE(_xlfn.XLOOKUP(1,$H986:$BE986,$H$4:$BE$4),12*Assumptions!$H$337+12)=AJ$4,0,IF(AI986=1,PMT(Assumptions!$H$335,Assumptions!$H$337,$C988),AI999))),0)</f>
        <v>0</v>
      </c>
      <c r="AK999" s="39">
        <f>+IFERROR(-ABS(IF(EDATE(_xlfn.XLOOKUP(1,$H986:$BE986,$H$4:$BE$4),12*Assumptions!$H$337+12)=AK$4,0,IF(AJ986=1,PMT(Assumptions!$H$335,Assumptions!$H$337,$C988),AJ999))),0)</f>
        <v>0</v>
      </c>
      <c r="AL999" s="39">
        <f>+IFERROR(-ABS(IF(EDATE(_xlfn.XLOOKUP(1,$H986:$BE986,$H$4:$BE$4),12*Assumptions!$H$337+12)=AL$4,0,IF(AK986=1,PMT(Assumptions!$H$335,Assumptions!$H$337,$C988),AK999))),0)</f>
        <v>0</v>
      </c>
      <c r="AM999" s="39">
        <f>+IFERROR(-ABS(IF(EDATE(_xlfn.XLOOKUP(1,$H986:$BE986,$H$4:$BE$4),12*Assumptions!$H$337+12)=AM$4,0,IF(AL986=1,PMT(Assumptions!$H$335,Assumptions!$H$337,$C988),AL999))),0)</f>
        <v>0</v>
      </c>
      <c r="AN999" s="39">
        <f>+IFERROR(-ABS(IF(EDATE(_xlfn.XLOOKUP(1,$H986:$BE986,$H$4:$BE$4),12*Assumptions!$H$337+12)=AN$4,0,IF(AM986=1,PMT(Assumptions!$H$335,Assumptions!$H$337,$C988),AM999))),0)</f>
        <v>0</v>
      </c>
      <c r="AO999" s="39">
        <f>+IFERROR(-ABS(IF(EDATE(_xlfn.XLOOKUP(1,$H986:$BE986,$H$4:$BE$4),12*Assumptions!$H$337+12)=AO$4,0,IF(AN986=1,PMT(Assumptions!$H$335,Assumptions!$H$337,$C988),AN999))),0)</f>
        <v>0</v>
      </c>
      <c r="AP999" s="39">
        <f>+IFERROR(-ABS(IF(EDATE(_xlfn.XLOOKUP(1,$H986:$BE986,$H$4:$BE$4),12*Assumptions!$H$337+12)=AP$4,0,IF(AO986=1,PMT(Assumptions!$H$335,Assumptions!$H$337,$C988),AO999))),0)</f>
        <v>0</v>
      </c>
      <c r="AQ999" s="39">
        <f>+IFERROR(-ABS(IF(EDATE(_xlfn.XLOOKUP(1,$H986:$BE986,$H$4:$BE$4),12*Assumptions!$H$337+12)=AQ$4,0,IF(AP986=1,PMT(Assumptions!$H$335,Assumptions!$H$337,$C988),AP999))),0)</f>
        <v>0</v>
      </c>
      <c r="AR999" s="39">
        <f>+IFERROR(-ABS(IF(EDATE(_xlfn.XLOOKUP(1,$H986:$BE986,$H$4:$BE$4),12*Assumptions!$H$337+12)=AR$4,0,IF(AQ986=1,PMT(Assumptions!$H$335,Assumptions!$H$337,$C988),AQ999))),0)</f>
        <v>0</v>
      </c>
      <c r="AS999" s="39">
        <f>+IFERROR(-ABS(IF(EDATE(_xlfn.XLOOKUP(1,$H986:$BE986,$H$4:$BE$4),12*Assumptions!$H$337+12)=AS$4,0,IF(AR986=1,PMT(Assumptions!$H$335,Assumptions!$H$337,$C988),AR999))),0)</f>
        <v>0</v>
      </c>
      <c r="AT999" s="39">
        <f>+IFERROR(-ABS(IF(EDATE(_xlfn.XLOOKUP(1,$H986:$BE986,$H$4:$BE$4),12*Assumptions!$H$337+12)=AT$4,0,IF(AS986=1,PMT(Assumptions!$H$335,Assumptions!$H$337,$C988),AS999))),0)</f>
        <v>0</v>
      </c>
      <c r="AU999" s="39">
        <f>+IFERROR(-ABS(IF(EDATE(_xlfn.XLOOKUP(1,$H986:$BE986,$H$4:$BE$4),12*Assumptions!$H$337+12)=AU$4,0,IF(AT986=1,PMT(Assumptions!$H$335,Assumptions!$H$337,$C988),AT999))),0)</f>
        <v>0</v>
      </c>
      <c r="AV999" s="39">
        <f>+IFERROR(-ABS(IF(EDATE(_xlfn.XLOOKUP(1,$H986:$BE986,$H$4:$BE$4),12*Assumptions!$H$337+12)=AV$4,0,IF(AU986=1,PMT(Assumptions!$H$335,Assumptions!$H$337,$C988),AU999))),0)</f>
        <v>0</v>
      </c>
      <c r="AW999" s="39">
        <f>+IFERROR(-ABS(IF(EDATE(_xlfn.XLOOKUP(1,$H986:$BE986,$H$4:$BE$4),12*Assumptions!$H$337+12)=AW$4,0,IF(AV986=1,PMT(Assumptions!$H$335,Assumptions!$H$337,$C988),AV999))),0)</f>
        <v>0</v>
      </c>
      <c r="AX999" s="39">
        <f>+IFERROR(-ABS(IF(EDATE(_xlfn.XLOOKUP(1,$H986:$BE986,$H$4:$BE$4),12*Assumptions!$H$337+12)=AX$4,0,IF(AW986=1,PMT(Assumptions!$H$335,Assumptions!$H$337,$C988),AW999))),0)</f>
        <v>0</v>
      </c>
      <c r="AY999" s="39">
        <f>+IFERROR(-ABS(IF(EDATE(_xlfn.XLOOKUP(1,$H986:$BE986,$H$4:$BE$4),12*Assumptions!$H$337+12)=AY$4,0,IF(AX986=1,PMT(Assumptions!$H$335,Assumptions!$H$337,$C988),AX999))),0)</f>
        <v>0</v>
      </c>
      <c r="AZ999" s="39">
        <f>+IFERROR(-ABS(IF(EDATE(_xlfn.XLOOKUP(1,$H986:$BE986,$H$4:$BE$4),12*Assumptions!$H$337+12)=AZ$4,0,IF(AY986=1,PMT(Assumptions!$H$335,Assumptions!$H$337,$C988),AY999))),0)</f>
        <v>0</v>
      </c>
      <c r="BA999" s="39">
        <f>+IFERROR(-ABS(IF(EDATE(_xlfn.XLOOKUP(1,$H986:$BE986,$H$4:$BE$4),12*Assumptions!$H$337+12)=BA$4,0,IF(AZ986=1,PMT(Assumptions!$H$335,Assumptions!$H$337,$C988),AZ999))),0)</f>
        <v>0</v>
      </c>
      <c r="BB999" s="39">
        <f>+IFERROR(-ABS(IF(EDATE(_xlfn.XLOOKUP(1,$H986:$BE986,$H$4:$BE$4),12*Assumptions!$H$337+12)=BB$4,0,IF(BA986=1,PMT(Assumptions!$H$335,Assumptions!$H$337,$C988),BA999))),0)</f>
        <v>0</v>
      </c>
      <c r="BC999" s="39">
        <f>+IFERROR(-ABS(IF(EDATE(_xlfn.XLOOKUP(1,$H986:$BE986,$H$4:$BE$4),12*Assumptions!$H$337+12)=BC$4,0,IF(BB986=1,PMT(Assumptions!$H$335,Assumptions!$H$337,$C988),BB999))),0)</f>
        <v>0</v>
      </c>
      <c r="BD999" s="39">
        <f>+IFERROR(-ABS(IF(EDATE(_xlfn.XLOOKUP(1,$H986:$BE986,$H$4:$BE$4),12*Assumptions!$H$337+12)=BD$4,0,IF(BC986=1,PMT(Assumptions!$H$335,Assumptions!$H$337,$C988),BC999))),0)</f>
        <v>0</v>
      </c>
      <c r="BE999" s="39">
        <f>+IFERROR(-ABS(IF(EDATE(_xlfn.XLOOKUP(1,$H986:$BE986,$H$4:$BE$4),12*Assumptions!$H$337+12)=BE$4,0,IF(BD986=1,PMT(Assumptions!$H$335,Assumptions!$H$337,$C988),BD999))),0)</f>
        <v>0</v>
      </c>
      <c r="BF999" s="39">
        <f>+IFERROR(-ABS(IF(EDATE(_xlfn.XLOOKUP(1,$H986:$BE986,$H$4:$BE$4),12*Assumptions!$H$337+12)=BF$4,0,IF(BE986=1,PMT(Assumptions!$H$335,Assumptions!$H$337,$C988),BE999))),0)</f>
        <v>0</v>
      </c>
      <c r="BG999" s="39">
        <f>+IFERROR(-ABS(IF(EDATE(_xlfn.XLOOKUP(1,$H986:$BE986,$H$4:$BE$4),12*Assumptions!$H$337+12)=BG$4,0,IF(BF986=1,PMT(Assumptions!$H$335,Assumptions!$H$337,$C988),BF999))),0)</f>
        <v>0</v>
      </c>
      <c r="BH999" s="39">
        <f>+IFERROR(-ABS(IF(EDATE(_xlfn.XLOOKUP(1,$H986:$BE986,$H$4:$BE$4),12*Assumptions!$H$337+12)=BH$4,0,IF(BG986=1,PMT(Assumptions!$H$335,Assumptions!$H$337,$C988),BG999))),0)</f>
        <v>0</v>
      </c>
      <c r="BI999" s="39">
        <f>+IFERROR(-ABS(IF(EDATE(_xlfn.XLOOKUP(1,$H986:$BE986,$H$4:$BE$4),12*Assumptions!$H$337+12)=BI$4,0,IF(BH986=1,PMT(Assumptions!$H$335,Assumptions!$H$337,$C988),BH999))),0)</f>
        <v>0</v>
      </c>
      <c r="BJ999" s="39">
        <f>+IFERROR(-ABS(IF(EDATE(_xlfn.XLOOKUP(1,$H986:$BE986,$H$4:$BE$4),12*Assumptions!$H$337+12)=BJ$4,0,IF(BI986=1,PMT(Assumptions!$H$335,Assumptions!$H$337,$C988),BI999))),0)</f>
        <v>0</v>
      </c>
      <c r="BK999" s="39">
        <f>+IFERROR(-ABS(IF(EDATE(_xlfn.XLOOKUP(1,$H986:$BE986,$H$4:$BE$4),12*Assumptions!$H$337+12)=BK$4,0,IF(BJ986=1,PMT(Assumptions!$H$335,Assumptions!$H$337,$C988),BJ999))),0)</f>
        <v>0</v>
      </c>
      <c r="BL999" s="39">
        <f>+IFERROR(-ABS(IF(EDATE(_xlfn.XLOOKUP(1,$H986:$BE986,$H$4:$BE$4),12*Assumptions!$H$337+12)=BL$4,0,IF(BK986=1,PMT(Assumptions!$H$335,Assumptions!$H$337,$C988),BK999))),0)</f>
        <v>0</v>
      </c>
      <c r="BM999" s="39">
        <f>+IFERROR(-ABS(IF(EDATE(_xlfn.XLOOKUP(1,$H986:$BE986,$H$4:$BE$4),12*Assumptions!$H$337+12)=BM$4,0,IF(BL986=1,PMT(Assumptions!$H$335,Assumptions!$H$337,$C988),BL999))),0)</f>
        <v>0</v>
      </c>
      <c r="BN999" s="39">
        <f>+IFERROR(-ABS(IF(EDATE(_xlfn.XLOOKUP(1,$H986:$BE986,$H$4:$BE$4),12*Assumptions!$H$337+12)=BN$4,0,IF(BM986=1,PMT(Assumptions!$H$335,Assumptions!$H$337,$C988),BM999))),0)</f>
        <v>0</v>
      </c>
      <c r="BO999" s="39">
        <f>+IFERROR(-ABS(IF(EDATE(_xlfn.XLOOKUP(1,$H986:$BE986,$H$4:$BE$4),12*Assumptions!$H$337+12)=BO$4,0,IF(BN986=1,PMT(Assumptions!$H$335,Assumptions!$H$337,$C988),BN999))),0)</f>
        <v>0</v>
      </c>
      <c r="BP999" s="39">
        <f>+IFERROR(-ABS(IF(EDATE(_xlfn.XLOOKUP(1,$H986:$BE986,$H$4:$BE$4),12*Assumptions!$H$337+12)=BP$4,0,IF(BO986=1,PMT(Assumptions!$H$335,Assumptions!$H$337,$C988),BO999))),0)</f>
        <v>0</v>
      </c>
      <c r="BQ999" s="39">
        <f>+IFERROR(-ABS(IF(EDATE(_xlfn.XLOOKUP(1,$H986:$BE986,$H$4:$BE$4),12*Assumptions!$H$337+12)=BQ$4,0,IF(BP986=1,PMT(Assumptions!$H$335,Assumptions!$H$337,$C988),BP999))),0)</f>
        <v>0</v>
      </c>
      <c r="BR999" s="39">
        <f>+IFERROR(-ABS(IF(EDATE(_xlfn.XLOOKUP(1,$H986:$BE986,$H$4:$BE$4),12*Assumptions!$H$337+12)=BR$4,0,IF(BQ986=1,PMT(Assumptions!$H$335,Assumptions!$H$337,$C988),BQ999))),0)</f>
        <v>0</v>
      </c>
      <c r="BS999" s="39">
        <f>+IFERROR(-ABS(IF(EDATE(_xlfn.XLOOKUP(1,$H986:$BE986,$H$4:$BE$4),12*Assumptions!$H$337+12)=BS$4,0,IF(BR986=1,PMT(Assumptions!$H$335,Assumptions!$H$337,$C988),BR999))),0)</f>
        <v>0</v>
      </c>
      <c r="BT999" s="39">
        <f>+IFERROR(-ABS(IF(EDATE(_xlfn.XLOOKUP(1,$H986:$BE986,$H$4:$BE$4),12*Assumptions!$H$337+12)=BT$4,0,IF(BS986=1,PMT(Assumptions!$H$335,Assumptions!$H$337,$C988),BS999))),0)</f>
        <v>0</v>
      </c>
      <c r="BU999" s="39">
        <f>+IFERROR(-ABS(IF(EDATE(_xlfn.XLOOKUP(1,$H986:$BE986,$H$4:$BE$4),12*Assumptions!$H$337+12)=BU$4,0,IF(BT986=1,PMT(Assumptions!$H$335,Assumptions!$H$337,$C988),BT999))),0)</f>
        <v>0</v>
      </c>
      <c r="BV999" s="39">
        <f>+IFERROR(-ABS(IF(EDATE(_xlfn.XLOOKUP(1,$H986:$BE986,$H$4:$BE$4),12*Assumptions!$H$337+12)=BV$4,0,IF(BU986=1,PMT(Assumptions!$H$335,Assumptions!$H$337,$C988),BU999))),0)</f>
        <v>0</v>
      </c>
      <c r="BW999" s="39">
        <f>+IFERROR(-ABS(IF(EDATE(_xlfn.XLOOKUP(1,$H986:$BE986,$H$4:$BE$4),12*Assumptions!$H$337+12)=BW$4,0,IF(BV986=1,PMT(Assumptions!$H$335,Assumptions!$H$337,$C988),BV999))),0)</f>
        <v>0</v>
      </c>
      <c r="BX999" s="39">
        <f>+IFERROR(-ABS(IF(EDATE(_xlfn.XLOOKUP(1,$H986:$BE986,$H$4:$BE$4),12*Assumptions!$H$337+12)=BX$4,0,IF(BW986=1,PMT(Assumptions!$H$335,Assumptions!$H$337,$C988),BW999))),0)</f>
        <v>0</v>
      </c>
      <c r="BY999" s="39">
        <f>+IFERROR(-ABS(IF(EDATE(_xlfn.XLOOKUP(1,$H986:$BE986,$H$4:$BE$4),12*Assumptions!$H$337+12)=BY$4,0,IF(BX986=1,PMT(Assumptions!$H$335,Assumptions!$H$337,$C988),BX999))),0)</f>
        <v>0</v>
      </c>
    </row>
    <row r="1000" spans="5:77" outlineLevel="1">
      <c r="E1000" s="24" t="s">
        <v>518</v>
      </c>
      <c r="F1000" s="80" t="str">
        <f>+Assumptions!$G$8</f>
        <v>USD</v>
      </c>
      <c r="G1000" s="24"/>
      <c r="H1000" s="39">
        <f>+IFERROR(-ABS(IF(EDATE(_xlfn.XLOOKUP(1,$H987:$BE987,$H$4:$BE$4),12*Assumptions!$H$337+12)=H$4,0,IF(G987=1,PMT(Assumptions!$H$335,Assumptions!$H$337,$C989),G1000))),0)</f>
        <v>0</v>
      </c>
      <c r="I1000" s="39">
        <f>+IFERROR(-ABS(IF(EDATE(_xlfn.XLOOKUP(1,$H987:$BE987,$H$4:$BE$4),12*Assumptions!$H$337+12)=I$4,0,IF(H987=1,PMT(Assumptions!$H$335,Assumptions!$H$337,$C989),H1000))),0)</f>
        <v>0</v>
      </c>
      <c r="J1000" s="39">
        <f>+IFERROR(-ABS(IF(EDATE(_xlfn.XLOOKUP(1,$H987:$BE987,$H$4:$BE$4),12*Assumptions!$H$337+12)=J$4,0,IF(I987=1,PMT(Assumptions!$H$335,Assumptions!$H$337,$C989),I1000))),0)</f>
        <v>0</v>
      </c>
      <c r="K1000" s="39">
        <f>+IFERROR(-ABS(IF(EDATE(_xlfn.XLOOKUP(1,$H987:$BE987,$H$4:$BE$4),12*Assumptions!$H$337+12)=K$4,0,IF(J987=1,PMT(Assumptions!$H$335,Assumptions!$H$337,$C989),J1000))),0)</f>
        <v>0</v>
      </c>
      <c r="L1000" s="39">
        <f>+IFERROR(-ABS(IF(EDATE(_xlfn.XLOOKUP(1,$H987:$BE987,$H$4:$BE$4),12*Assumptions!$H$337+12)=L$4,0,IF(K987=1,PMT(Assumptions!$H$335,Assumptions!$H$337,$C989),K1000))),0)</f>
        <v>0</v>
      </c>
      <c r="M1000" s="39">
        <f>+IFERROR(-ABS(IF(EDATE(_xlfn.XLOOKUP(1,$H987:$BE987,$H$4:$BE$4),12*Assumptions!$H$337+12)=M$4,0,IF(L987=1,PMT(Assumptions!$H$335,Assumptions!$H$337,$C989),L1000))),0)</f>
        <v>0</v>
      </c>
      <c r="N1000" s="39">
        <f>+IFERROR(-ABS(IF(EDATE(_xlfn.XLOOKUP(1,$H987:$BE987,$H$4:$BE$4),12*Assumptions!$H$337+12)=N$4,0,IF(M987=1,PMT(Assumptions!$H$335,Assumptions!$H$337,$C989),M1000))),0)</f>
        <v>0</v>
      </c>
      <c r="O1000" s="39">
        <f>+IFERROR(-ABS(IF(EDATE(_xlfn.XLOOKUP(1,$H987:$BE987,$H$4:$BE$4),12*Assumptions!$H$337+12)=O$4,0,IF(N987=1,PMT(Assumptions!$H$335,Assumptions!$H$337,$C989),N1000))),0)</f>
        <v>0</v>
      </c>
      <c r="P1000" s="39">
        <f>+IFERROR(-ABS(IF(EDATE(_xlfn.XLOOKUP(1,$H987:$BE987,$H$4:$BE$4),12*Assumptions!$H$337+12)=P$4,0,IF(O987=1,PMT(Assumptions!$H$335,Assumptions!$H$337,$C989),O1000))),0)</f>
        <v>0</v>
      </c>
      <c r="Q1000" s="39">
        <f>+IFERROR(-ABS(IF(EDATE(_xlfn.XLOOKUP(1,$H987:$BE987,$H$4:$BE$4),12*Assumptions!$H$337+12)=Q$4,0,IF(P987=1,PMT(Assumptions!$H$335,Assumptions!$H$337,$C989),P1000))),0)</f>
        <v>0</v>
      </c>
      <c r="R1000" s="39">
        <f>+IFERROR(-ABS(IF(EDATE(_xlfn.XLOOKUP(1,$H987:$BE987,$H$4:$BE$4),12*Assumptions!$H$337+12)=R$4,0,IF(Q987=1,PMT(Assumptions!$H$335,Assumptions!$H$337,$C989),Q1000))),0)</f>
        <v>0</v>
      </c>
      <c r="S1000" s="39">
        <f>+IFERROR(-ABS(IF(EDATE(_xlfn.XLOOKUP(1,$H987:$BE987,$H$4:$BE$4),12*Assumptions!$H$337+12)=S$4,0,IF(R987=1,PMT(Assumptions!$H$335,Assumptions!$H$337,$C989),R1000))),0)</f>
        <v>0</v>
      </c>
      <c r="T1000" s="39">
        <f>+IFERROR(-ABS(IF(EDATE(_xlfn.XLOOKUP(1,$H987:$BE987,$H$4:$BE$4),12*Assumptions!$H$337+12)=T$4,0,IF(S987=1,PMT(Assumptions!$H$335,Assumptions!$H$337,$C989),S1000))),0)</f>
        <v>0</v>
      </c>
      <c r="U1000" s="39">
        <f>+IFERROR(-ABS(IF(EDATE(_xlfn.XLOOKUP(1,$H987:$BE987,$H$4:$BE$4),12*Assumptions!$H$337+12)=U$4,0,IF(T987=1,PMT(Assumptions!$H$335,Assumptions!$H$337,$C989),T1000))),0)</f>
        <v>0</v>
      </c>
      <c r="V1000" s="39">
        <f>+IFERROR(-ABS(IF(EDATE(_xlfn.XLOOKUP(1,$H987:$BE987,$H$4:$BE$4),12*Assumptions!$H$337+12)=V$4,0,IF(U987=1,PMT(Assumptions!$H$335,Assumptions!$H$337,$C989),U1000))),0)</f>
        <v>0</v>
      </c>
      <c r="W1000" s="39">
        <f>+IFERROR(-ABS(IF(EDATE(_xlfn.XLOOKUP(1,$H987:$BE987,$H$4:$BE$4),12*Assumptions!$H$337+12)=W$4,0,IF(V987=1,PMT(Assumptions!$H$335,Assumptions!$H$337,$C989),V1000))),0)</f>
        <v>0</v>
      </c>
      <c r="X1000" s="39">
        <f>+IFERROR(-ABS(IF(EDATE(_xlfn.XLOOKUP(1,$H987:$BE987,$H$4:$BE$4),12*Assumptions!$H$337+12)=X$4,0,IF(W987=1,PMT(Assumptions!$H$335,Assumptions!$H$337,$C989),W1000))),0)</f>
        <v>0</v>
      </c>
      <c r="Y1000" s="39">
        <f>+IFERROR(-ABS(IF(EDATE(_xlfn.XLOOKUP(1,$H987:$BE987,$H$4:$BE$4),12*Assumptions!$H$337+12)=Y$4,0,IF(X987=1,PMT(Assumptions!$H$335,Assumptions!$H$337,$C989),X1000))),0)</f>
        <v>0</v>
      </c>
      <c r="Z1000" s="39">
        <f>+IFERROR(-ABS(IF(EDATE(_xlfn.XLOOKUP(1,$H987:$BE987,$H$4:$BE$4),12*Assumptions!$H$337+12)=Z$4,0,IF(Y987=1,PMT(Assumptions!$H$335,Assumptions!$H$337,$C989),Y1000))),0)</f>
        <v>0</v>
      </c>
      <c r="AA1000" s="39">
        <f>+IFERROR(-ABS(IF(EDATE(_xlfn.XLOOKUP(1,$H987:$BE987,$H$4:$BE$4),12*Assumptions!$H$337+12)=AA$4,0,IF(Z987=1,PMT(Assumptions!$H$335,Assumptions!$H$337,$C989),Z1000))),0)</f>
        <v>0</v>
      </c>
      <c r="AB1000" s="39">
        <f>+IFERROR(-ABS(IF(EDATE(_xlfn.XLOOKUP(1,$H987:$BE987,$H$4:$BE$4),12*Assumptions!$H$337+12)=AB$4,0,IF(AA987=1,PMT(Assumptions!$H$335,Assumptions!$H$337,$C989),AA1000))),0)</f>
        <v>0</v>
      </c>
      <c r="AC1000" s="39">
        <f>+IFERROR(-ABS(IF(EDATE(_xlfn.XLOOKUP(1,$H987:$BE987,$H$4:$BE$4),12*Assumptions!$H$337+12)=AC$4,0,IF(AB987=1,PMT(Assumptions!$H$335,Assumptions!$H$337,$C989),AB1000))),0)</f>
        <v>0</v>
      </c>
      <c r="AD1000" s="39">
        <f>+IFERROR(-ABS(IF(EDATE(_xlfn.XLOOKUP(1,$H987:$BE987,$H$4:$BE$4),12*Assumptions!$H$337+12)=AD$4,0,IF(AC987=1,PMT(Assumptions!$H$335,Assumptions!$H$337,$C989),AC1000))),0)</f>
        <v>0</v>
      </c>
      <c r="AE1000" s="39">
        <f>+IFERROR(-ABS(IF(EDATE(_xlfn.XLOOKUP(1,$H987:$BE987,$H$4:$BE$4),12*Assumptions!$H$337+12)=AE$4,0,IF(AD987=1,PMT(Assumptions!$H$335,Assumptions!$H$337,$C989),AD1000))),0)</f>
        <v>0</v>
      </c>
      <c r="AF1000" s="39">
        <f>+IFERROR(-ABS(IF(EDATE(_xlfn.XLOOKUP(1,$H987:$BE987,$H$4:$BE$4),12*Assumptions!$H$337+12)=AF$4,0,IF(AE987=1,PMT(Assumptions!$H$335,Assumptions!$H$337,$C989),AE1000))),0)</f>
        <v>0</v>
      </c>
      <c r="AG1000" s="39">
        <f>+IFERROR(-ABS(IF(EDATE(_xlfn.XLOOKUP(1,$H987:$BE987,$H$4:$BE$4),12*Assumptions!$H$337+12)=AG$4,0,IF(AF987=1,PMT(Assumptions!$H$335,Assumptions!$H$337,$C989),AF1000))),0)</f>
        <v>0</v>
      </c>
      <c r="AH1000" s="39">
        <f>+IFERROR(-ABS(IF(EDATE(_xlfn.XLOOKUP(1,$H987:$BE987,$H$4:$BE$4),12*Assumptions!$H$337+12)=AH$4,0,IF(AG987=1,PMT(Assumptions!$H$335,Assumptions!$H$337,$C989),AG1000))),0)</f>
        <v>0</v>
      </c>
      <c r="AI1000" s="39">
        <f>+IFERROR(-ABS(IF(EDATE(_xlfn.XLOOKUP(1,$H987:$BE987,$H$4:$BE$4),12*Assumptions!$H$337+12)=AI$4,0,IF(AH987=1,PMT(Assumptions!$H$335,Assumptions!$H$337,$C989),AH1000))),0)</f>
        <v>0</v>
      </c>
      <c r="AJ1000" s="39">
        <f>+IFERROR(-ABS(IF(EDATE(_xlfn.XLOOKUP(1,$H987:$BE987,$H$4:$BE$4),12*Assumptions!$H$337+12)=AJ$4,0,IF(AI987=1,PMT(Assumptions!$H$335,Assumptions!$H$337,$C989),AI1000))),0)</f>
        <v>0</v>
      </c>
      <c r="AK1000" s="39">
        <f>+IFERROR(-ABS(IF(EDATE(_xlfn.XLOOKUP(1,$H987:$BE987,$H$4:$BE$4),12*Assumptions!$H$337+12)=AK$4,0,IF(AJ987=1,PMT(Assumptions!$H$335,Assumptions!$H$337,$C989),AJ1000))),0)</f>
        <v>0</v>
      </c>
      <c r="AL1000" s="39">
        <f>+IFERROR(-ABS(IF(EDATE(_xlfn.XLOOKUP(1,$H987:$BE987,$H$4:$BE$4),12*Assumptions!$H$337+12)=AL$4,0,IF(AK987=1,PMT(Assumptions!$H$335,Assumptions!$H$337,$C989),AK1000))),0)</f>
        <v>0</v>
      </c>
      <c r="AM1000" s="39">
        <f>+IFERROR(-ABS(IF(EDATE(_xlfn.XLOOKUP(1,$H987:$BE987,$H$4:$BE$4),12*Assumptions!$H$337+12)=AM$4,0,IF(AL987=1,PMT(Assumptions!$H$335,Assumptions!$H$337,$C989),AL1000))),0)</f>
        <v>0</v>
      </c>
      <c r="AN1000" s="39">
        <f>+IFERROR(-ABS(IF(EDATE(_xlfn.XLOOKUP(1,$H987:$BE987,$H$4:$BE$4),12*Assumptions!$H$337+12)=AN$4,0,IF(AM987=1,PMT(Assumptions!$H$335,Assumptions!$H$337,$C989),AM1000))),0)</f>
        <v>0</v>
      </c>
      <c r="AO1000" s="39">
        <f>+IFERROR(-ABS(IF(EDATE(_xlfn.XLOOKUP(1,$H987:$BE987,$H$4:$BE$4),12*Assumptions!$H$337+12)=AO$4,0,IF(AN987=1,PMT(Assumptions!$H$335,Assumptions!$H$337,$C989),AN1000))),0)</f>
        <v>0</v>
      </c>
      <c r="AP1000" s="39">
        <f>+IFERROR(-ABS(IF(EDATE(_xlfn.XLOOKUP(1,$H987:$BE987,$H$4:$BE$4),12*Assumptions!$H$337+12)=AP$4,0,IF(AO987=1,PMT(Assumptions!$H$335,Assumptions!$H$337,$C989),AO1000))),0)</f>
        <v>0</v>
      </c>
      <c r="AQ1000" s="39">
        <f>+IFERROR(-ABS(IF(EDATE(_xlfn.XLOOKUP(1,$H987:$BE987,$H$4:$BE$4),12*Assumptions!$H$337+12)=AQ$4,0,IF(AP987=1,PMT(Assumptions!$H$335,Assumptions!$H$337,$C989),AP1000))),0)</f>
        <v>0</v>
      </c>
      <c r="AR1000" s="39">
        <f>+IFERROR(-ABS(IF(EDATE(_xlfn.XLOOKUP(1,$H987:$BE987,$H$4:$BE$4),12*Assumptions!$H$337+12)=AR$4,0,IF(AQ987=1,PMT(Assumptions!$H$335,Assumptions!$H$337,$C989),AQ1000))),0)</f>
        <v>0</v>
      </c>
      <c r="AS1000" s="39">
        <f>+IFERROR(-ABS(IF(EDATE(_xlfn.XLOOKUP(1,$H987:$BE987,$H$4:$BE$4),12*Assumptions!$H$337+12)=AS$4,0,IF(AR987=1,PMT(Assumptions!$H$335,Assumptions!$H$337,$C989),AR1000))),0)</f>
        <v>0</v>
      </c>
      <c r="AT1000" s="39">
        <f>+IFERROR(-ABS(IF(EDATE(_xlfn.XLOOKUP(1,$H987:$BE987,$H$4:$BE$4),12*Assumptions!$H$337+12)=AT$4,0,IF(AS987=1,PMT(Assumptions!$H$335,Assumptions!$H$337,$C989),AS1000))),0)</f>
        <v>0</v>
      </c>
      <c r="AU1000" s="39">
        <f>+IFERROR(-ABS(IF(EDATE(_xlfn.XLOOKUP(1,$H987:$BE987,$H$4:$BE$4),12*Assumptions!$H$337+12)=AU$4,0,IF(AT987=1,PMT(Assumptions!$H$335,Assumptions!$H$337,$C989),AT1000))),0)</f>
        <v>0</v>
      </c>
      <c r="AV1000" s="39">
        <f>+IFERROR(-ABS(IF(EDATE(_xlfn.XLOOKUP(1,$H987:$BE987,$H$4:$BE$4),12*Assumptions!$H$337+12)=AV$4,0,IF(AU987=1,PMT(Assumptions!$H$335,Assumptions!$H$337,$C989),AU1000))),0)</f>
        <v>0</v>
      </c>
      <c r="AW1000" s="39">
        <f>+IFERROR(-ABS(IF(EDATE(_xlfn.XLOOKUP(1,$H987:$BE987,$H$4:$BE$4),12*Assumptions!$H$337+12)=AW$4,0,IF(AV987=1,PMT(Assumptions!$H$335,Assumptions!$H$337,$C989),AV1000))),0)</f>
        <v>0</v>
      </c>
      <c r="AX1000" s="39">
        <f>+IFERROR(-ABS(IF(EDATE(_xlfn.XLOOKUP(1,$H987:$BE987,$H$4:$BE$4),12*Assumptions!$H$337+12)=AX$4,0,IF(AW987=1,PMT(Assumptions!$H$335,Assumptions!$H$337,$C989),AW1000))),0)</f>
        <v>0</v>
      </c>
      <c r="AY1000" s="39">
        <f>+IFERROR(-ABS(IF(EDATE(_xlfn.XLOOKUP(1,$H987:$BE987,$H$4:$BE$4),12*Assumptions!$H$337+12)=AY$4,0,IF(AX987=1,PMT(Assumptions!$H$335,Assumptions!$H$337,$C989),AX1000))),0)</f>
        <v>0</v>
      </c>
      <c r="AZ1000" s="39">
        <f>+IFERROR(-ABS(IF(EDATE(_xlfn.XLOOKUP(1,$H987:$BE987,$H$4:$BE$4),12*Assumptions!$H$337+12)=AZ$4,0,IF(AY987=1,PMT(Assumptions!$H$335,Assumptions!$H$337,$C989),AY1000))),0)</f>
        <v>0</v>
      </c>
      <c r="BA1000" s="39">
        <f>+IFERROR(-ABS(IF(EDATE(_xlfn.XLOOKUP(1,$H987:$BE987,$H$4:$BE$4),12*Assumptions!$H$337+12)=BA$4,0,IF(AZ987=1,PMT(Assumptions!$H$335,Assumptions!$H$337,$C989),AZ1000))),0)</f>
        <v>0</v>
      </c>
      <c r="BB1000" s="39">
        <f>+IFERROR(-ABS(IF(EDATE(_xlfn.XLOOKUP(1,$H987:$BE987,$H$4:$BE$4),12*Assumptions!$H$337+12)=BB$4,0,IF(BA987=1,PMT(Assumptions!$H$335,Assumptions!$H$337,$C989),BA1000))),0)</f>
        <v>0</v>
      </c>
      <c r="BC1000" s="39">
        <f>+IFERROR(-ABS(IF(EDATE(_xlfn.XLOOKUP(1,$H987:$BE987,$H$4:$BE$4),12*Assumptions!$H$337+12)=BC$4,0,IF(BB987=1,PMT(Assumptions!$H$335,Assumptions!$H$337,$C989),BB1000))),0)</f>
        <v>0</v>
      </c>
      <c r="BD1000" s="39">
        <f>+IFERROR(-ABS(IF(EDATE(_xlfn.XLOOKUP(1,$H987:$BE987,$H$4:$BE$4),12*Assumptions!$H$337+12)=BD$4,0,IF(BC987=1,PMT(Assumptions!$H$335,Assumptions!$H$337,$C989),BC1000))),0)</f>
        <v>0</v>
      </c>
      <c r="BE1000" s="39">
        <f>+IFERROR(-ABS(IF(EDATE(_xlfn.XLOOKUP(1,$H987:$BE987,$H$4:$BE$4),12*Assumptions!$H$337+12)=BE$4,0,IF(BD987=1,PMT(Assumptions!$H$335,Assumptions!$H$337,$C989),BD1000))),0)</f>
        <v>0</v>
      </c>
      <c r="BF1000" s="39">
        <f>+IFERROR(-ABS(IF(EDATE(_xlfn.XLOOKUP(1,$H987:$BE987,$H$4:$BE$4),12*Assumptions!$H$337+12)=BF$4,0,IF(BE987=1,PMT(Assumptions!$H$335,Assumptions!$H$337,$C989),BE1000))),0)</f>
        <v>0</v>
      </c>
      <c r="BG1000" s="39">
        <f>+IFERROR(-ABS(IF(EDATE(_xlfn.XLOOKUP(1,$H987:$BE987,$H$4:$BE$4),12*Assumptions!$H$337+12)=BG$4,0,IF(BF987=1,PMT(Assumptions!$H$335,Assumptions!$H$337,$C989),BF1000))),0)</f>
        <v>0</v>
      </c>
      <c r="BH1000" s="39">
        <f>+IFERROR(-ABS(IF(EDATE(_xlfn.XLOOKUP(1,$H987:$BE987,$H$4:$BE$4),12*Assumptions!$H$337+12)=BH$4,0,IF(BG987=1,PMT(Assumptions!$H$335,Assumptions!$H$337,$C989),BG1000))),0)</f>
        <v>0</v>
      </c>
      <c r="BI1000" s="39">
        <f>+IFERROR(-ABS(IF(EDATE(_xlfn.XLOOKUP(1,$H987:$BE987,$H$4:$BE$4),12*Assumptions!$H$337+12)=BI$4,0,IF(BH987=1,PMT(Assumptions!$H$335,Assumptions!$H$337,$C989),BH1000))),0)</f>
        <v>0</v>
      </c>
      <c r="BJ1000" s="39">
        <f>+IFERROR(-ABS(IF(EDATE(_xlfn.XLOOKUP(1,$H987:$BE987,$H$4:$BE$4),12*Assumptions!$H$337+12)=BJ$4,0,IF(BI987=1,PMT(Assumptions!$H$335,Assumptions!$H$337,$C989),BI1000))),0)</f>
        <v>0</v>
      </c>
      <c r="BK1000" s="39">
        <f>+IFERROR(-ABS(IF(EDATE(_xlfn.XLOOKUP(1,$H987:$BE987,$H$4:$BE$4),12*Assumptions!$H$337+12)=BK$4,0,IF(BJ987=1,PMT(Assumptions!$H$335,Assumptions!$H$337,$C989),BJ1000))),0)</f>
        <v>0</v>
      </c>
      <c r="BL1000" s="39">
        <f>+IFERROR(-ABS(IF(EDATE(_xlfn.XLOOKUP(1,$H987:$BE987,$H$4:$BE$4),12*Assumptions!$H$337+12)=BL$4,0,IF(BK987=1,PMT(Assumptions!$H$335,Assumptions!$H$337,$C989),BK1000))),0)</f>
        <v>0</v>
      </c>
      <c r="BM1000" s="39">
        <f>+IFERROR(-ABS(IF(EDATE(_xlfn.XLOOKUP(1,$H987:$BE987,$H$4:$BE$4),12*Assumptions!$H$337+12)=BM$4,0,IF(BL987=1,PMT(Assumptions!$H$335,Assumptions!$H$337,$C989),BL1000))),0)</f>
        <v>0</v>
      </c>
      <c r="BN1000" s="39">
        <f>+IFERROR(-ABS(IF(EDATE(_xlfn.XLOOKUP(1,$H987:$BE987,$H$4:$BE$4),12*Assumptions!$H$337+12)=BN$4,0,IF(BM987=1,PMT(Assumptions!$H$335,Assumptions!$H$337,$C989),BM1000))),0)</f>
        <v>0</v>
      </c>
      <c r="BO1000" s="39">
        <f>+IFERROR(-ABS(IF(EDATE(_xlfn.XLOOKUP(1,$H987:$BE987,$H$4:$BE$4),12*Assumptions!$H$337+12)=BO$4,0,IF(BN987=1,PMT(Assumptions!$H$335,Assumptions!$H$337,$C989),BN1000))),0)</f>
        <v>0</v>
      </c>
      <c r="BP1000" s="39">
        <f>+IFERROR(-ABS(IF(EDATE(_xlfn.XLOOKUP(1,$H987:$BE987,$H$4:$BE$4),12*Assumptions!$H$337+12)=BP$4,0,IF(BO987=1,PMT(Assumptions!$H$335,Assumptions!$H$337,$C989),BO1000))),0)</f>
        <v>0</v>
      </c>
      <c r="BQ1000" s="39">
        <f>+IFERROR(-ABS(IF(EDATE(_xlfn.XLOOKUP(1,$H987:$BE987,$H$4:$BE$4),12*Assumptions!$H$337+12)=BQ$4,0,IF(BP987=1,PMT(Assumptions!$H$335,Assumptions!$H$337,$C989),BP1000))),0)</f>
        <v>0</v>
      </c>
      <c r="BR1000" s="39">
        <f>+IFERROR(-ABS(IF(EDATE(_xlfn.XLOOKUP(1,$H987:$BE987,$H$4:$BE$4),12*Assumptions!$H$337+12)=BR$4,0,IF(BQ987=1,PMT(Assumptions!$H$335,Assumptions!$H$337,$C989),BQ1000))),0)</f>
        <v>0</v>
      </c>
      <c r="BS1000" s="39">
        <f>+IFERROR(-ABS(IF(EDATE(_xlfn.XLOOKUP(1,$H987:$BE987,$H$4:$BE$4),12*Assumptions!$H$337+12)=BS$4,0,IF(BR987=1,PMT(Assumptions!$H$335,Assumptions!$H$337,$C989),BR1000))),0)</f>
        <v>0</v>
      </c>
      <c r="BT1000" s="39">
        <f>+IFERROR(-ABS(IF(EDATE(_xlfn.XLOOKUP(1,$H987:$BE987,$H$4:$BE$4),12*Assumptions!$H$337+12)=BT$4,0,IF(BS987=1,PMT(Assumptions!$H$335,Assumptions!$H$337,$C989),BS1000))),0)</f>
        <v>0</v>
      </c>
      <c r="BU1000" s="39">
        <f>+IFERROR(-ABS(IF(EDATE(_xlfn.XLOOKUP(1,$H987:$BE987,$H$4:$BE$4),12*Assumptions!$H$337+12)=BU$4,0,IF(BT987=1,PMT(Assumptions!$H$335,Assumptions!$H$337,$C989),BT1000))),0)</f>
        <v>0</v>
      </c>
      <c r="BV1000" s="39">
        <f>+IFERROR(-ABS(IF(EDATE(_xlfn.XLOOKUP(1,$H987:$BE987,$H$4:$BE$4),12*Assumptions!$H$337+12)=BV$4,0,IF(BU987=1,PMT(Assumptions!$H$335,Assumptions!$H$337,$C989),BU1000))),0)</f>
        <v>0</v>
      </c>
      <c r="BW1000" s="39">
        <f>+IFERROR(-ABS(IF(EDATE(_xlfn.XLOOKUP(1,$H987:$BE987,$H$4:$BE$4),12*Assumptions!$H$337+12)=BW$4,0,IF(BV987=1,PMT(Assumptions!$H$335,Assumptions!$H$337,$C989),BV1000))),0)</f>
        <v>0</v>
      </c>
      <c r="BX1000" s="39">
        <f>+IFERROR(-ABS(IF(EDATE(_xlfn.XLOOKUP(1,$H987:$BE987,$H$4:$BE$4),12*Assumptions!$H$337+12)=BX$4,0,IF(BW987=1,PMT(Assumptions!$H$335,Assumptions!$H$337,$C989),BW1000))),0)</f>
        <v>0</v>
      </c>
      <c r="BY1000" s="39">
        <f>+IFERROR(-ABS(IF(EDATE(_xlfn.XLOOKUP(1,$H987:$BE987,$H$4:$BE$4),12*Assumptions!$H$337+12)=BY$4,0,IF(BX987=1,PMT(Assumptions!$H$335,Assumptions!$H$337,$C989),BX1000))),0)</f>
        <v>0</v>
      </c>
    </row>
    <row r="1001" spans="5:77" outlineLevel="1">
      <c r="E1001" s="24" t="s">
        <v>519</v>
      </c>
      <c r="F1001" s="80" t="str">
        <f>+Assumptions!$G$8</f>
        <v>USD</v>
      </c>
      <c r="G1001" s="24"/>
      <c r="H1001" s="39">
        <f>+IFERROR(-ABS(IF(EDATE(_xlfn.XLOOKUP(1,$H988:$BE988,$H$4:$BE$4),12*Assumptions!$H$337+12)=H$4,0,IF(G988=1,PMT(Assumptions!$H$335,Assumptions!$H$337,$C990),G1001))),0)</f>
        <v>0</v>
      </c>
      <c r="I1001" s="39">
        <f>+IFERROR(-ABS(IF(EDATE(_xlfn.XLOOKUP(1,$H988:$BE988,$H$4:$BE$4),12*Assumptions!$H$337+12)=I$4,0,IF(H988=1,PMT(Assumptions!$H$335,Assumptions!$H$337,$C990),H1001))),0)</f>
        <v>0</v>
      </c>
      <c r="J1001" s="39">
        <f>+IFERROR(-ABS(IF(EDATE(_xlfn.XLOOKUP(1,$H988:$BE988,$H$4:$BE$4),12*Assumptions!$H$337+12)=J$4,0,IF(I988=1,PMT(Assumptions!$H$335,Assumptions!$H$337,$C990),I1001))),0)</f>
        <v>0</v>
      </c>
      <c r="K1001" s="39">
        <f>+IFERROR(-ABS(IF(EDATE(_xlfn.XLOOKUP(1,$H988:$BE988,$H$4:$BE$4),12*Assumptions!$H$337+12)=K$4,0,IF(J988=1,PMT(Assumptions!$H$335,Assumptions!$H$337,$C990),J1001))),0)</f>
        <v>0</v>
      </c>
      <c r="L1001" s="39">
        <f>+IFERROR(-ABS(IF(EDATE(_xlfn.XLOOKUP(1,$H988:$BE988,$H$4:$BE$4),12*Assumptions!$H$337+12)=L$4,0,IF(K988=1,PMT(Assumptions!$H$335,Assumptions!$H$337,$C990),K1001))),0)</f>
        <v>0</v>
      </c>
      <c r="M1001" s="39">
        <f>+IFERROR(-ABS(IF(EDATE(_xlfn.XLOOKUP(1,$H988:$BE988,$H$4:$BE$4),12*Assumptions!$H$337+12)=M$4,0,IF(L988=1,PMT(Assumptions!$H$335,Assumptions!$H$337,$C990),L1001))),0)</f>
        <v>0</v>
      </c>
      <c r="N1001" s="39">
        <f>+IFERROR(-ABS(IF(EDATE(_xlfn.XLOOKUP(1,$H988:$BE988,$H$4:$BE$4),12*Assumptions!$H$337+12)=N$4,0,IF(M988=1,PMT(Assumptions!$H$335,Assumptions!$H$337,$C990),M1001))),0)</f>
        <v>0</v>
      </c>
      <c r="O1001" s="39">
        <f>+IFERROR(-ABS(IF(EDATE(_xlfn.XLOOKUP(1,$H988:$BE988,$H$4:$BE$4),12*Assumptions!$H$337+12)=O$4,0,IF(N988=1,PMT(Assumptions!$H$335,Assumptions!$H$337,$C990),N1001))),0)</f>
        <v>0</v>
      </c>
      <c r="P1001" s="39">
        <f>+IFERROR(-ABS(IF(EDATE(_xlfn.XLOOKUP(1,$H988:$BE988,$H$4:$BE$4),12*Assumptions!$H$337+12)=P$4,0,IF(O988=1,PMT(Assumptions!$H$335,Assumptions!$H$337,$C990),O1001))),0)</f>
        <v>0</v>
      </c>
      <c r="Q1001" s="39">
        <f>+IFERROR(-ABS(IF(EDATE(_xlfn.XLOOKUP(1,$H988:$BE988,$H$4:$BE$4),12*Assumptions!$H$337+12)=Q$4,0,IF(P988=1,PMT(Assumptions!$H$335,Assumptions!$H$337,$C990),P1001))),0)</f>
        <v>0</v>
      </c>
      <c r="R1001" s="39">
        <f>+IFERROR(-ABS(IF(EDATE(_xlfn.XLOOKUP(1,$H988:$BE988,$H$4:$BE$4),12*Assumptions!$H$337+12)=R$4,0,IF(Q988=1,PMT(Assumptions!$H$335,Assumptions!$H$337,$C990),Q1001))),0)</f>
        <v>0</v>
      </c>
      <c r="S1001" s="39">
        <f>+IFERROR(-ABS(IF(EDATE(_xlfn.XLOOKUP(1,$H988:$BE988,$H$4:$BE$4),12*Assumptions!$H$337+12)=S$4,0,IF(R988=1,PMT(Assumptions!$H$335,Assumptions!$H$337,$C990),R1001))),0)</f>
        <v>0</v>
      </c>
      <c r="T1001" s="39">
        <f>+IFERROR(-ABS(IF(EDATE(_xlfn.XLOOKUP(1,$H988:$BE988,$H$4:$BE$4),12*Assumptions!$H$337+12)=T$4,0,IF(S988=1,PMT(Assumptions!$H$335,Assumptions!$H$337,$C990),S1001))),0)</f>
        <v>0</v>
      </c>
      <c r="U1001" s="39">
        <f>+IFERROR(-ABS(IF(EDATE(_xlfn.XLOOKUP(1,$H988:$BE988,$H$4:$BE$4),12*Assumptions!$H$337+12)=U$4,0,IF(T988=1,PMT(Assumptions!$H$335,Assumptions!$H$337,$C990),T1001))),0)</f>
        <v>0</v>
      </c>
      <c r="V1001" s="39">
        <f>+IFERROR(-ABS(IF(EDATE(_xlfn.XLOOKUP(1,$H988:$BE988,$H$4:$BE$4),12*Assumptions!$H$337+12)=V$4,0,IF(U988=1,PMT(Assumptions!$H$335,Assumptions!$H$337,$C990),U1001))),0)</f>
        <v>0</v>
      </c>
      <c r="W1001" s="39">
        <f>+IFERROR(-ABS(IF(EDATE(_xlfn.XLOOKUP(1,$H988:$BE988,$H$4:$BE$4),12*Assumptions!$H$337+12)=W$4,0,IF(V988=1,PMT(Assumptions!$H$335,Assumptions!$H$337,$C990),V1001))),0)</f>
        <v>0</v>
      </c>
      <c r="X1001" s="39">
        <f>+IFERROR(-ABS(IF(EDATE(_xlfn.XLOOKUP(1,$H988:$BE988,$H$4:$BE$4),12*Assumptions!$H$337+12)=X$4,0,IF(W988=1,PMT(Assumptions!$H$335,Assumptions!$H$337,$C990),W1001))),0)</f>
        <v>0</v>
      </c>
      <c r="Y1001" s="39">
        <f>+IFERROR(-ABS(IF(EDATE(_xlfn.XLOOKUP(1,$H988:$BE988,$H$4:$BE$4),12*Assumptions!$H$337+12)=Y$4,0,IF(X988=1,PMT(Assumptions!$H$335,Assumptions!$H$337,$C990),X1001))),0)</f>
        <v>0</v>
      </c>
      <c r="Z1001" s="39">
        <f>+IFERROR(-ABS(IF(EDATE(_xlfn.XLOOKUP(1,$H988:$BE988,$H$4:$BE$4),12*Assumptions!$H$337+12)=Z$4,0,IF(Y988=1,PMT(Assumptions!$H$335,Assumptions!$H$337,$C990),Y1001))),0)</f>
        <v>0</v>
      </c>
      <c r="AA1001" s="39">
        <f>+IFERROR(-ABS(IF(EDATE(_xlfn.XLOOKUP(1,$H988:$BE988,$H$4:$BE$4),12*Assumptions!$H$337+12)=AA$4,0,IF(Z988=1,PMT(Assumptions!$H$335,Assumptions!$H$337,$C990),Z1001))),0)</f>
        <v>0</v>
      </c>
      <c r="AB1001" s="39">
        <f>+IFERROR(-ABS(IF(EDATE(_xlfn.XLOOKUP(1,$H988:$BE988,$H$4:$BE$4),12*Assumptions!$H$337+12)=AB$4,0,IF(AA988=1,PMT(Assumptions!$H$335,Assumptions!$H$337,$C990),AA1001))),0)</f>
        <v>0</v>
      </c>
      <c r="AC1001" s="39">
        <f>+IFERROR(-ABS(IF(EDATE(_xlfn.XLOOKUP(1,$H988:$BE988,$H$4:$BE$4),12*Assumptions!$H$337+12)=AC$4,0,IF(AB988=1,PMT(Assumptions!$H$335,Assumptions!$H$337,$C990),AB1001))),0)</f>
        <v>0</v>
      </c>
      <c r="AD1001" s="39">
        <f>+IFERROR(-ABS(IF(EDATE(_xlfn.XLOOKUP(1,$H988:$BE988,$H$4:$BE$4),12*Assumptions!$H$337+12)=AD$4,0,IF(AC988=1,PMT(Assumptions!$H$335,Assumptions!$H$337,$C990),AC1001))),0)</f>
        <v>0</v>
      </c>
      <c r="AE1001" s="39">
        <f>+IFERROR(-ABS(IF(EDATE(_xlfn.XLOOKUP(1,$H988:$BE988,$H$4:$BE$4),12*Assumptions!$H$337+12)=AE$4,0,IF(AD988=1,PMT(Assumptions!$H$335,Assumptions!$H$337,$C990),AD1001))),0)</f>
        <v>0</v>
      </c>
      <c r="AF1001" s="39">
        <f>+IFERROR(-ABS(IF(EDATE(_xlfn.XLOOKUP(1,$H988:$BE988,$H$4:$BE$4),12*Assumptions!$H$337+12)=AF$4,0,IF(AE988=1,PMT(Assumptions!$H$335,Assumptions!$H$337,$C990),AE1001))),0)</f>
        <v>0</v>
      </c>
      <c r="AG1001" s="39">
        <f>+IFERROR(-ABS(IF(EDATE(_xlfn.XLOOKUP(1,$H988:$BE988,$H$4:$BE$4),12*Assumptions!$H$337+12)=AG$4,0,IF(AF988=1,PMT(Assumptions!$H$335,Assumptions!$H$337,$C990),AF1001))),0)</f>
        <v>0</v>
      </c>
      <c r="AH1001" s="39">
        <f>+IFERROR(-ABS(IF(EDATE(_xlfn.XLOOKUP(1,$H988:$BE988,$H$4:$BE$4),12*Assumptions!$H$337+12)=AH$4,0,IF(AG988=1,PMT(Assumptions!$H$335,Assumptions!$H$337,$C990),AG1001))),0)</f>
        <v>0</v>
      </c>
      <c r="AI1001" s="39">
        <f>+IFERROR(-ABS(IF(EDATE(_xlfn.XLOOKUP(1,$H988:$BE988,$H$4:$BE$4),12*Assumptions!$H$337+12)=AI$4,0,IF(AH988=1,PMT(Assumptions!$H$335,Assumptions!$H$337,$C990),AH1001))),0)</f>
        <v>0</v>
      </c>
      <c r="AJ1001" s="39">
        <f>+IFERROR(-ABS(IF(EDATE(_xlfn.XLOOKUP(1,$H988:$BE988,$H$4:$BE$4),12*Assumptions!$H$337+12)=AJ$4,0,IF(AI988=1,PMT(Assumptions!$H$335,Assumptions!$H$337,$C990),AI1001))),0)</f>
        <v>0</v>
      </c>
      <c r="AK1001" s="39">
        <f>+IFERROR(-ABS(IF(EDATE(_xlfn.XLOOKUP(1,$H988:$BE988,$H$4:$BE$4),12*Assumptions!$H$337+12)=AK$4,0,IF(AJ988=1,PMT(Assumptions!$H$335,Assumptions!$H$337,$C990),AJ1001))),0)</f>
        <v>0</v>
      </c>
      <c r="AL1001" s="39">
        <f>+IFERROR(-ABS(IF(EDATE(_xlfn.XLOOKUP(1,$H988:$BE988,$H$4:$BE$4),12*Assumptions!$H$337+12)=AL$4,0,IF(AK988=1,PMT(Assumptions!$H$335,Assumptions!$H$337,$C990),AK1001))),0)</f>
        <v>0</v>
      </c>
      <c r="AM1001" s="39">
        <f>+IFERROR(-ABS(IF(EDATE(_xlfn.XLOOKUP(1,$H988:$BE988,$H$4:$BE$4),12*Assumptions!$H$337+12)=AM$4,0,IF(AL988=1,PMT(Assumptions!$H$335,Assumptions!$H$337,$C990),AL1001))),0)</f>
        <v>0</v>
      </c>
      <c r="AN1001" s="39">
        <f>+IFERROR(-ABS(IF(EDATE(_xlfn.XLOOKUP(1,$H988:$BE988,$H$4:$BE$4),12*Assumptions!$H$337+12)=AN$4,0,IF(AM988=1,PMT(Assumptions!$H$335,Assumptions!$H$337,$C990),AM1001))),0)</f>
        <v>0</v>
      </c>
      <c r="AO1001" s="39">
        <f>+IFERROR(-ABS(IF(EDATE(_xlfn.XLOOKUP(1,$H988:$BE988,$H$4:$BE$4),12*Assumptions!$H$337+12)=AO$4,0,IF(AN988=1,PMT(Assumptions!$H$335,Assumptions!$H$337,$C990),AN1001))),0)</f>
        <v>0</v>
      </c>
      <c r="AP1001" s="39">
        <f>+IFERROR(-ABS(IF(EDATE(_xlfn.XLOOKUP(1,$H988:$BE988,$H$4:$BE$4),12*Assumptions!$H$337+12)=AP$4,0,IF(AO988=1,PMT(Assumptions!$H$335,Assumptions!$H$337,$C990),AO1001))),0)</f>
        <v>0</v>
      </c>
      <c r="AQ1001" s="39">
        <f>+IFERROR(-ABS(IF(EDATE(_xlfn.XLOOKUP(1,$H988:$BE988,$H$4:$BE$4),12*Assumptions!$H$337+12)=AQ$4,0,IF(AP988=1,PMT(Assumptions!$H$335,Assumptions!$H$337,$C990),AP1001))),0)</f>
        <v>0</v>
      </c>
      <c r="AR1001" s="39">
        <f>+IFERROR(-ABS(IF(EDATE(_xlfn.XLOOKUP(1,$H988:$BE988,$H$4:$BE$4),12*Assumptions!$H$337+12)=AR$4,0,IF(AQ988=1,PMT(Assumptions!$H$335,Assumptions!$H$337,$C990),AQ1001))),0)</f>
        <v>0</v>
      </c>
      <c r="AS1001" s="39">
        <f>+IFERROR(-ABS(IF(EDATE(_xlfn.XLOOKUP(1,$H988:$BE988,$H$4:$BE$4),12*Assumptions!$H$337+12)=AS$4,0,IF(AR988=1,PMT(Assumptions!$H$335,Assumptions!$H$337,$C990),AR1001))),0)</f>
        <v>0</v>
      </c>
      <c r="AT1001" s="39">
        <f>+IFERROR(-ABS(IF(EDATE(_xlfn.XLOOKUP(1,$H988:$BE988,$H$4:$BE$4),12*Assumptions!$H$337+12)=AT$4,0,IF(AS988=1,PMT(Assumptions!$H$335,Assumptions!$H$337,$C990),AS1001))),0)</f>
        <v>0</v>
      </c>
      <c r="AU1001" s="39">
        <f>+IFERROR(-ABS(IF(EDATE(_xlfn.XLOOKUP(1,$H988:$BE988,$H$4:$BE$4),12*Assumptions!$H$337+12)=AU$4,0,IF(AT988=1,PMT(Assumptions!$H$335,Assumptions!$H$337,$C990),AT1001))),0)</f>
        <v>0</v>
      </c>
      <c r="AV1001" s="39">
        <f>+IFERROR(-ABS(IF(EDATE(_xlfn.XLOOKUP(1,$H988:$BE988,$H$4:$BE$4),12*Assumptions!$H$337+12)=AV$4,0,IF(AU988=1,PMT(Assumptions!$H$335,Assumptions!$H$337,$C990),AU1001))),0)</f>
        <v>0</v>
      </c>
      <c r="AW1001" s="39">
        <f>+IFERROR(-ABS(IF(EDATE(_xlfn.XLOOKUP(1,$H988:$BE988,$H$4:$BE$4),12*Assumptions!$H$337+12)=AW$4,0,IF(AV988=1,PMT(Assumptions!$H$335,Assumptions!$H$337,$C990),AV1001))),0)</f>
        <v>0</v>
      </c>
      <c r="AX1001" s="39">
        <f>+IFERROR(-ABS(IF(EDATE(_xlfn.XLOOKUP(1,$H988:$BE988,$H$4:$BE$4),12*Assumptions!$H$337+12)=AX$4,0,IF(AW988=1,PMT(Assumptions!$H$335,Assumptions!$H$337,$C990),AW1001))),0)</f>
        <v>0</v>
      </c>
      <c r="AY1001" s="39">
        <f>+IFERROR(-ABS(IF(EDATE(_xlfn.XLOOKUP(1,$H988:$BE988,$H$4:$BE$4),12*Assumptions!$H$337+12)=AY$4,0,IF(AX988=1,PMT(Assumptions!$H$335,Assumptions!$H$337,$C990),AX1001))),0)</f>
        <v>0</v>
      </c>
      <c r="AZ1001" s="39">
        <f>+IFERROR(-ABS(IF(EDATE(_xlfn.XLOOKUP(1,$H988:$BE988,$H$4:$BE$4),12*Assumptions!$H$337+12)=AZ$4,0,IF(AY988=1,PMT(Assumptions!$H$335,Assumptions!$H$337,$C990),AY1001))),0)</f>
        <v>0</v>
      </c>
      <c r="BA1001" s="39">
        <f>+IFERROR(-ABS(IF(EDATE(_xlfn.XLOOKUP(1,$H988:$BE988,$H$4:$BE$4),12*Assumptions!$H$337+12)=BA$4,0,IF(AZ988=1,PMT(Assumptions!$H$335,Assumptions!$H$337,$C990),AZ1001))),0)</f>
        <v>0</v>
      </c>
      <c r="BB1001" s="39">
        <f>+IFERROR(-ABS(IF(EDATE(_xlfn.XLOOKUP(1,$H988:$BE988,$H$4:$BE$4),12*Assumptions!$H$337+12)=BB$4,0,IF(BA988=1,PMT(Assumptions!$H$335,Assumptions!$H$337,$C990),BA1001))),0)</f>
        <v>0</v>
      </c>
      <c r="BC1001" s="39">
        <f>+IFERROR(-ABS(IF(EDATE(_xlfn.XLOOKUP(1,$H988:$BE988,$H$4:$BE$4),12*Assumptions!$H$337+12)=BC$4,0,IF(BB988=1,PMT(Assumptions!$H$335,Assumptions!$H$337,$C990),BB1001))),0)</f>
        <v>0</v>
      </c>
      <c r="BD1001" s="39">
        <f>+IFERROR(-ABS(IF(EDATE(_xlfn.XLOOKUP(1,$H988:$BE988,$H$4:$BE$4),12*Assumptions!$H$337+12)=BD$4,0,IF(BC988=1,PMT(Assumptions!$H$335,Assumptions!$H$337,$C990),BC1001))),0)</f>
        <v>0</v>
      </c>
      <c r="BE1001" s="39">
        <f>+IFERROR(-ABS(IF(EDATE(_xlfn.XLOOKUP(1,$H988:$BE988,$H$4:$BE$4),12*Assumptions!$H$337+12)=BE$4,0,IF(BD988=1,PMT(Assumptions!$H$335,Assumptions!$H$337,$C990),BD1001))),0)</f>
        <v>0</v>
      </c>
      <c r="BF1001" s="39">
        <f>+IFERROR(-ABS(IF(EDATE(_xlfn.XLOOKUP(1,$H988:$BE988,$H$4:$BE$4),12*Assumptions!$H$337+12)=BF$4,0,IF(BE988=1,PMT(Assumptions!$H$335,Assumptions!$H$337,$C990),BE1001))),0)</f>
        <v>0</v>
      </c>
      <c r="BG1001" s="39">
        <f>+IFERROR(-ABS(IF(EDATE(_xlfn.XLOOKUP(1,$H988:$BE988,$H$4:$BE$4),12*Assumptions!$H$337+12)=BG$4,0,IF(BF988=1,PMT(Assumptions!$H$335,Assumptions!$H$337,$C990),BF1001))),0)</f>
        <v>0</v>
      </c>
      <c r="BH1001" s="39">
        <f>+IFERROR(-ABS(IF(EDATE(_xlfn.XLOOKUP(1,$H988:$BE988,$H$4:$BE$4),12*Assumptions!$H$337+12)=BH$4,0,IF(BG988=1,PMT(Assumptions!$H$335,Assumptions!$H$337,$C990),BG1001))),0)</f>
        <v>0</v>
      </c>
      <c r="BI1001" s="39">
        <f>+IFERROR(-ABS(IF(EDATE(_xlfn.XLOOKUP(1,$H988:$BE988,$H$4:$BE$4),12*Assumptions!$H$337+12)=BI$4,0,IF(BH988=1,PMT(Assumptions!$H$335,Assumptions!$H$337,$C990),BH1001))),0)</f>
        <v>0</v>
      </c>
      <c r="BJ1001" s="39">
        <f>+IFERROR(-ABS(IF(EDATE(_xlfn.XLOOKUP(1,$H988:$BE988,$H$4:$BE$4),12*Assumptions!$H$337+12)=BJ$4,0,IF(BI988=1,PMT(Assumptions!$H$335,Assumptions!$H$337,$C990),BI1001))),0)</f>
        <v>0</v>
      </c>
      <c r="BK1001" s="39">
        <f>+IFERROR(-ABS(IF(EDATE(_xlfn.XLOOKUP(1,$H988:$BE988,$H$4:$BE$4),12*Assumptions!$H$337+12)=BK$4,0,IF(BJ988=1,PMT(Assumptions!$H$335,Assumptions!$H$337,$C990),BJ1001))),0)</f>
        <v>0</v>
      </c>
      <c r="BL1001" s="39">
        <f>+IFERROR(-ABS(IF(EDATE(_xlfn.XLOOKUP(1,$H988:$BE988,$H$4:$BE$4),12*Assumptions!$H$337+12)=BL$4,0,IF(BK988=1,PMT(Assumptions!$H$335,Assumptions!$H$337,$C990),BK1001))),0)</f>
        <v>0</v>
      </c>
      <c r="BM1001" s="39">
        <f>+IFERROR(-ABS(IF(EDATE(_xlfn.XLOOKUP(1,$H988:$BE988,$H$4:$BE$4),12*Assumptions!$H$337+12)=BM$4,0,IF(BL988=1,PMT(Assumptions!$H$335,Assumptions!$H$337,$C990),BL1001))),0)</f>
        <v>0</v>
      </c>
      <c r="BN1001" s="39">
        <f>+IFERROR(-ABS(IF(EDATE(_xlfn.XLOOKUP(1,$H988:$BE988,$H$4:$BE$4),12*Assumptions!$H$337+12)=BN$4,0,IF(BM988=1,PMT(Assumptions!$H$335,Assumptions!$H$337,$C990),BM1001))),0)</f>
        <v>0</v>
      </c>
      <c r="BO1001" s="39">
        <f>+IFERROR(-ABS(IF(EDATE(_xlfn.XLOOKUP(1,$H988:$BE988,$H$4:$BE$4),12*Assumptions!$H$337+12)=BO$4,0,IF(BN988=1,PMT(Assumptions!$H$335,Assumptions!$H$337,$C990),BN1001))),0)</f>
        <v>0</v>
      </c>
      <c r="BP1001" s="39">
        <f>+IFERROR(-ABS(IF(EDATE(_xlfn.XLOOKUP(1,$H988:$BE988,$H$4:$BE$4),12*Assumptions!$H$337+12)=BP$4,0,IF(BO988=1,PMT(Assumptions!$H$335,Assumptions!$H$337,$C990),BO1001))),0)</f>
        <v>0</v>
      </c>
      <c r="BQ1001" s="39">
        <f>+IFERROR(-ABS(IF(EDATE(_xlfn.XLOOKUP(1,$H988:$BE988,$H$4:$BE$4),12*Assumptions!$H$337+12)=BQ$4,0,IF(BP988=1,PMT(Assumptions!$H$335,Assumptions!$H$337,$C990),BP1001))),0)</f>
        <v>0</v>
      </c>
      <c r="BR1001" s="39">
        <f>+IFERROR(-ABS(IF(EDATE(_xlfn.XLOOKUP(1,$H988:$BE988,$H$4:$BE$4),12*Assumptions!$H$337+12)=BR$4,0,IF(BQ988=1,PMT(Assumptions!$H$335,Assumptions!$H$337,$C990),BQ1001))),0)</f>
        <v>0</v>
      </c>
      <c r="BS1001" s="39">
        <f>+IFERROR(-ABS(IF(EDATE(_xlfn.XLOOKUP(1,$H988:$BE988,$H$4:$BE$4),12*Assumptions!$H$337+12)=BS$4,0,IF(BR988=1,PMT(Assumptions!$H$335,Assumptions!$H$337,$C990),BR1001))),0)</f>
        <v>0</v>
      </c>
      <c r="BT1001" s="39">
        <f>+IFERROR(-ABS(IF(EDATE(_xlfn.XLOOKUP(1,$H988:$BE988,$H$4:$BE$4),12*Assumptions!$H$337+12)=BT$4,0,IF(BS988=1,PMT(Assumptions!$H$335,Assumptions!$H$337,$C990),BS1001))),0)</f>
        <v>0</v>
      </c>
      <c r="BU1001" s="39">
        <f>+IFERROR(-ABS(IF(EDATE(_xlfn.XLOOKUP(1,$H988:$BE988,$H$4:$BE$4),12*Assumptions!$H$337+12)=BU$4,0,IF(BT988=1,PMT(Assumptions!$H$335,Assumptions!$H$337,$C990),BT1001))),0)</f>
        <v>0</v>
      </c>
      <c r="BV1001" s="39">
        <f>+IFERROR(-ABS(IF(EDATE(_xlfn.XLOOKUP(1,$H988:$BE988,$H$4:$BE$4),12*Assumptions!$H$337+12)=BV$4,0,IF(BU988=1,PMT(Assumptions!$H$335,Assumptions!$H$337,$C990),BU1001))),0)</f>
        <v>0</v>
      </c>
      <c r="BW1001" s="39">
        <f>+IFERROR(-ABS(IF(EDATE(_xlfn.XLOOKUP(1,$H988:$BE988,$H$4:$BE$4),12*Assumptions!$H$337+12)=BW$4,0,IF(BV988=1,PMT(Assumptions!$H$335,Assumptions!$H$337,$C990),BV1001))),0)</f>
        <v>0</v>
      </c>
      <c r="BX1001" s="39">
        <f>+IFERROR(-ABS(IF(EDATE(_xlfn.XLOOKUP(1,$H988:$BE988,$H$4:$BE$4),12*Assumptions!$H$337+12)=BX$4,0,IF(BW988=1,PMT(Assumptions!$H$335,Assumptions!$H$337,$C990),BW1001))),0)</f>
        <v>0</v>
      </c>
      <c r="BY1001" s="39">
        <f>+IFERROR(-ABS(IF(EDATE(_xlfn.XLOOKUP(1,$H988:$BE988,$H$4:$BE$4),12*Assumptions!$H$337+12)=BY$4,0,IF(BX988=1,PMT(Assumptions!$H$335,Assumptions!$H$337,$C990),BX1001))),0)</f>
        <v>0</v>
      </c>
    </row>
    <row r="1002" spans="5:77" outlineLevel="1">
      <c r="E1002" s="24" t="s">
        <v>520</v>
      </c>
      <c r="F1002" s="80" t="str">
        <f>+Assumptions!$G$8</f>
        <v>USD</v>
      </c>
      <c r="G1002" s="24"/>
      <c r="H1002" s="39">
        <f>+IFERROR(-ABS(IF(EDATE(_xlfn.XLOOKUP(1,$H989:$BE989,$H$4:$BE$4),12*Assumptions!$H$337+12)=H$4,0,IF(G989=1,PMT(Assumptions!$H$335,Assumptions!$H$337,$C991),G1002))),0)</f>
        <v>0</v>
      </c>
      <c r="I1002" s="39">
        <f>+IFERROR(-ABS(IF(EDATE(_xlfn.XLOOKUP(1,$H989:$BE989,$H$4:$BE$4),12*Assumptions!$H$337+12)=I$4,0,IF(H989=1,PMT(Assumptions!$H$335,Assumptions!$H$337,$C991),H1002))),0)</f>
        <v>0</v>
      </c>
      <c r="J1002" s="39">
        <f>+IFERROR(-ABS(IF(EDATE(_xlfn.XLOOKUP(1,$H989:$BE989,$H$4:$BE$4),12*Assumptions!$H$337+12)=J$4,0,IF(I989=1,PMT(Assumptions!$H$335,Assumptions!$H$337,$C991),I1002))),0)</f>
        <v>0</v>
      </c>
      <c r="K1002" s="39">
        <f>+IFERROR(-ABS(IF(EDATE(_xlfn.XLOOKUP(1,$H989:$BE989,$H$4:$BE$4),12*Assumptions!$H$337+12)=K$4,0,IF(J989=1,PMT(Assumptions!$H$335,Assumptions!$H$337,$C991),J1002))),0)</f>
        <v>0</v>
      </c>
      <c r="L1002" s="39">
        <f>+IFERROR(-ABS(IF(EDATE(_xlfn.XLOOKUP(1,$H989:$BE989,$H$4:$BE$4),12*Assumptions!$H$337+12)=L$4,0,IF(K989=1,PMT(Assumptions!$H$335,Assumptions!$H$337,$C991),K1002))),0)</f>
        <v>0</v>
      </c>
      <c r="M1002" s="39">
        <f>+IFERROR(-ABS(IF(EDATE(_xlfn.XLOOKUP(1,$H989:$BE989,$H$4:$BE$4),12*Assumptions!$H$337+12)=M$4,0,IF(L989=1,PMT(Assumptions!$H$335,Assumptions!$H$337,$C991),L1002))),0)</f>
        <v>0</v>
      </c>
      <c r="N1002" s="39">
        <f>+IFERROR(-ABS(IF(EDATE(_xlfn.XLOOKUP(1,$H989:$BE989,$H$4:$BE$4),12*Assumptions!$H$337+12)=N$4,0,IF(M989=1,PMT(Assumptions!$H$335,Assumptions!$H$337,$C991),M1002))),0)</f>
        <v>0</v>
      </c>
      <c r="O1002" s="39">
        <f>+IFERROR(-ABS(IF(EDATE(_xlfn.XLOOKUP(1,$H989:$BE989,$H$4:$BE$4),12*Assumptions!$H$337+12)=O$4,0,IF(N989=1,PMT(Assumptions!$H$335,Assumptions!$H$337,$C991),N1002))),0)</f>
        <v>0</v>
      </c>
      <c r="P1002" s="39">
        <f>+IFERROR(-ABS(IF(EDATE(_xlfn.XLOOKUP(1,$H989:$BE989,$H$4:$BE$4),12*Assumptions!$H$337+12)=P$4,0,IF(O989=1,PMT(Assumptions!$H$335,Assumptions!$H$337,$C991),O1002))),0)</f>
        <v>0</v>
      </c>
      <c r="Q1002" s="39">
        <f>+IFERROR(-ABS(IF(EDATE(_xlfn.XLOOKUP(1,$H989:$BE989,$H$4:$BE$4),12*Assumptions!$H$337+12)=Q$4,0,IF(P989=1,PMT(Assumptions!$H$335,Assumptions!$H$337,$C991),P1002))),0)</f>
        <v>0</v>
      </c>
      <c r="R1002" s="39">
        <f>+IFERROR(-ABS(IF(EDATE(_xlfn.XLOOKUP(1,$H989:$BE989,$H$4:$BE$4),12*Assumptions!$H$337+12)=R$4,0,IF(Q989=1,PMT(Assumptions!$H$335,Assumptions!$H$337,$C991),Q1002))),0)</f>
        <v>0</v>
      </c>
      <c r="S1002" s="39">
        <f>+IFERROR(-ABS(IF(EDATE(_xlfn.XLOOKUP(1,$H989:$BE989,$H$4:$BE$4),12*Assumptions!$H$337+12)=S$4,0,IF(R989=1,PMT(Assumptions!$H$335,Assumptions!$H$337,$C991),R1002))),0)</f>
        <v>0</v>
      </c>
      <c r="T1002" s="39">
        <f>+IFERROR(-ABS(IF(EDATE(_xlfn.XLOOKUP(1,$H989:$BE989,$H$4:$BE$4),12*Assumptions!$H$337+12)=T$4,0,IF(S989=1,PMT(Assumptions!$H$335,Assumptions!$H$337,$C991),S1002))),0)</f>
        <v>0</v>
      </c>
      <c r="U1002" s="39">
        <f>+IFERROR(-ABS(IF(EDATE(_xlfn.XLOOKUP(1,$H989:$BE989,$H$4:$BE$4),12*Assumptions!$H$337+12)=U$4,0,IF(T989=1,PMT(Assumptions!$H$335,Assumptions!$H$337,$C991),T1002))),0)</f>
        <v>0</v>
      </c>
      <c r="V1002" s="39">
        <f>+IFERROR(-ABS(IF(EDATE(_xlfn.XLOOKUP(1,$H989:$BE989,$H$4:$BE$4),12*Assumptions!$H$337+12)=V$4,0,IF(U989=1,PMT(Assumptions!$H$335,Assumptions!$H$337,$C991),U1002))),0)</f>
        <v>0</v>
      </c>
      <c r="W1002" s="39">
        <f>+IFERROR(-ABS(IF(EDATE(_xlfn.XLOOKUP(1,$H989:$BE989,$H$4:$BE$4),12*Assumptions!$H$337+12)=W$4,0,IF(V989=1,PMT(Assumptions!$H$335,Assumptions!$H$337,$C991),V1002))),0)</f>
        <v>0</v>
      </c>
      <c r="X1002" s="39">
        <f>+IFERROR(-ABS(IF(EDATE(_xlfn.XLOOKUP(1,$H989:$BE989,$H$4:$BE$4),12*Assumptions!$H$337+12)=X$4,0,IF(W989=1,PMT(Assumptions!$H$335,Assumptions!$H$337,$C991),W1002))),0)</f>
        <v>0</v>
      </c>
      <c r="Y1002" s="39">
        <f>+IFERROR(-ABS(IF(EDATE(_xlfn.XLOOKUP(1,$H989:$BE989,$H$4:$BE$4),12*Assumptions!$H$337+12)=Y$4,0,IF(X989=1,PMT(Assumptions!$H$335,Assumptions!$H$337,$C991),X1002))),0)</f>
        <v>0</v>
      </c>
      <c r="Z1002" s="39">
        <f>+IFERROR(-ABS(IF(EDATE(_xlfn.XLOOKUP(1,$H989:$BE989,$H$4:$BE$4),12*Assumptions!$H$337+12)=Z$4,0,IF(Y989=1,PMT(Assumptions!$H$335,Assumptions!$H$337,$C991),Y1002))),0)</f>
        <v>0</v>
      </c>
      <c r="AA1002" s="39">
        <f>+IFERROR(-ABS(IF(EDATE(_xlfn.XLOOKUP(1,$H989:$BE989,$H$4:$BE$4),12*Assumptions!$H$337+12)=AA$4,0,IF(Z989=1,PMT(Assumptions!$H$335,Assumptions!$H$337,$C991),Z1002))),0)</f>
        <v>0</v>
      </c>
      <c r="AB1002" s="39">
        <f>+IFERROR(-ABS(IF(EDATE(_xlfn.XLOOKUP(1,$H989:$BE989,$H$4:$BE$4),12*Assumptions!$H$337+12)=AB$4,0,IF(AA989=1,PMT(Assumptions!$H$335,Assumptions!$H$337,$C991),AA1002))),0)</f>
        <v>0</v>
      </c>
      <c r="AC1002" s="39">
        <f>+IFERROR(-ABS(IF(EDATE(_xlfn.XLOOKUP(1,$H989:$BE989,$H$4:$BE$4),12*Assumptions!$H$337+12)=AC$4,0,IF(AB989=1,PMT(Assumptions!$H$335,Assumptions!$H$337,$C991),AB1002))),0)</f>
        <v>0</v>
      </c>
      <c r="AD1002" s="39">
        <f>+IFERROR(-ABS(IF(EDATE(_xlfn.XLOOKUP(1,$H989:$BE989,$H$4:$BE$4),12*Assumptions!$H$337+12)=AD$4,0,IF(AC989=1,PMT(Assumptions!$H$335,Assumptions!$H$337,$C991),AC1002))),0)</f>
        <v>0</v>
      </c>
      <c r="AE1002" s="39">
        <f>+IFERROR(-ABS(IF(EDATE(_xlfn.XLOOKUP(1,$H989:$BE989,$H$4:$BE$4),12*Assumptions!$H$337+12)=AE$4,0,IF(AD989=1,PMT(Assumptions!$H$335,Assumptions!$H$337,$C991),AD1002))),0)</f>
        <v>0</v>
      </c>
      <c r="AF1002" s="39">
        <f>+IFERROR(-ABS(IF(EDATE(_xlfn.XLOOKUP(1,$H989:$BE989,$H$4:$BE$4),12*Assumptions!$H$337+12)=AF$4,0,IF(AE989=1,PMT(Assumptions!$H$335,Assumptions!$H$337,$C991),AE1002))),0)</f>
        <v>0</v>
      </c>
      <c r="AG1002" s="39">
        <f>+IFERROR(-ABS(IF(EDATE(_xlfn.XLOOKUP(1,$H989:$BE989,$H$4:$BE$4),12*Assumptions!$H$337+12)=AG$4,0,IF(AF989=1,PMT(Assumptions!$H$335,Assumptions!$H$337,$C991),AF1002))),0)</f>
        <v>0</v>
      </c>
      <c r="AH1002" s="39">
        <f>+IFERROR(-ABS(IF(EDATE(_xlfn.XLOOKUP(1,$H989:$BE989,$H$4:$BE$4),12*Assumptions!$H$337+12)=AH$4,0,IF(AG989=1,PMT(Assumptions!$H$335,Assumptions!$H$337,$C991),AG1002))),0)</f>
        <v>0</v>
      </c>
      <c r="AI1002" s="39">
        <f>+IFERROR(-ABS(IF(EDATE(_xlfn.XLOOKUP(1,$H989:$BE989,$H$4:$BE$4),12*Assumptions!$H$337+12)=AI$4,0,IF(AH989=1,PMT(Assumptions!$H$335,Assumptions!$H$337,$C991),AH1002))),0)</f>
        <v>0</v>
      </c>
      <c r="AJ1002" s="39">
        <f>+IFERROR(-ABS(IF(EDATE(_xlfn.XLOOKUP(1,$H989:$BE989,$H$4:$BE$4),12*Assumptions!$H$337+12)=AJ$4,0,IF(AI989=1,PMT(Assumptions!$H$335,Assumptions!$H$337,$C991),AI1002))),0)</f>
        <v>0</v>
      </c>
      <c r="AK1002" s="39">
        <f>+IFERROR(-ABS(IF(EDATE(_xlfn.XLOOKUP(1,$H989:$BE989,$H$4:$BE$4),12*Assumptions!$H$337+12)=AK$4,0,IF(AJ989=1,PMT(Assumptions!$H$335,Assumptions!$H$337,$C991),AJ1002))),0)</f>
        <v>0</v>
      </c>
      <c r="AL1002" s="39">
        <f>+IFERROR(-ABS(IF(EDATE(_xlfn.XLOOKUP(1,$H989:$BE989,$H$4:$BE$4),12*Assumptions!$H$337+12)=AL$4,0,IF(AK989=1,PMT(Assumptions!$H$335,Assumptions!$H$337,$C991),AK1002))),0)</f>
        <v>0</v>
      </c>
      <c r="AM1002" s="39">
        <f>+IFERROR(-ABS(IF(EDATE(_xlfn.XLOOKUP(1,$H989:$BE989,$H$4:$BE$4),12*Assumptions!$H$337+12)=AM$4,0,IF(AL989=1,PMT(Assumptions!$H$335,Assumptions!$H$337,$C991),AL1002))),0)</f>
        <v>0</v>
      </c>
      <c r="AN1002" s="39">
        <f>+IFERROR(-ABS(IF(EDATE(_xlfn.XLOOKUP(1,$H989:$BE989,$H$4:$BE$4),12*Assumptions!$H$337+12)=AN$4,0,IF(AM989=1,PMT(Assumptions!$H$335,Assumptions!$H$337,$C991),AM1002))),0)</f>
        <v>0</v>
      </c>
      <c r="AO1002" s="39">
        <f>+IFERROR(-ABS(IF(EDATE(_xlfn.XLOOKUP(1,$H989:$BE989,$H$4:$BE$4),12*Assumptions!$H$337+12)=AO$4,0,IF(AN989=1,PMT(Assumptions!$H$335,Assumptions!$H$337,$C991),AN1002))),0)</f>
        <v>0</v>
      </c>
      <c r="AP1002" s="39">
        <f>+IFERROR(-ABS(IF(EDATE(_xlfn.XLOOKUP(1,$H989:$BE989,$H$4:$BE$4),12*Assumptions!$H$337+12)=AP$4,0,IF(AO989=1,PMT(Assumptions!$H$335,Assumptions!$H$337,$C991),AO1002))),0)</f>
        <v>0</v>
      </c>
      <c r="AQ1002" s="39">
        <f>+IFERROR(-ABS(IF(EDATE(_xlfn.XLOOKUP(1,$H989:$BE989,$H$4:$BE$4),12*Assumptions!$H$337+12)=AQ$4,0,IF(AP989=1,PMT(Assumptions!$H$335,Assumptions!$H$337,$C991),AP1002))),0)</f>
        <v>0</v>
      </c>
      <c r="AR1002" s="39">
        <f>+IFERROR(-ABS(IF(EDATE(_xlfn.XLOOKUP(1,$H989:$BE989,$H$4:$BE$4),12*Assumptions!$H$337+12)=AR$4,0,IF(AQ989=1,PMT(Assumptions!$H$335,Assumptions!$H$337,$C991),AQ1002))),0)</f>
        <v>0</v>
      </c>
      <c r="AS1002" s="39">
        <f>+IFERROR(-ABS(IF(EDATE(_xlfn.XLOOKUP(1,$H989:$BE989,$H$4:$BE$4),12*Assumptions!$H$337+12)=AS$4,0,IF(AR989=1,PMT(Assumptions!$H$335,Assumptions!$H$337,$C991),AR1002))),0)</f>
        <v>0</v>
      </c>
      <c r="AT1002" s="39">
        <f>+IFERROR(-ABS(IF(EDATE(_xlfn.XLOOKUP(1,$H989:$BE989,$H$4:$BE$4),12*Assumptions!$H$337+12)=AT$4,0,IF(AS989=1,PMT(Assumptions!$H$335,Assumptions!$H$337,$C991),AS1002))),0)</f>
        <v>0</v>
      </c>
      <c r="AU1002" s="39">
        <f>+IFERROR(-ABS(IF(EDATE(_xlfn.XLOOKUP(1,$H989:$BE989,$H$4:$BE$4),12*Assumptions!$H$337+12)=AU$4,0,IF(AT989=1,PMT(Assumptions!$H$335,Assumptions!$H$337,$C991),AT1002))),0)</f>
        <v>0</v>
      </c>
      <c r="AV1002" s="39">
        <f>+IFERROR(-ABS(IF(EDATE(_xlfn.XLOOKUP(1,$H989:$BE989,$H$4:$BE$4),12*Assumptions!$H$337+12)=AV$4,0,IF(AU989=1,PMT(Assumptions!$H$335,Assumptions!$H$337,$C991),AU1002))),0)</f>
        <v>0</v>
      </c>
      <c r="AW1002" s="39">
        <f>+IFERROR(-ABS(IF(EDATE(_xlfn.XLOOKUP(1,$H989:$BE989,$H$4:$BE$4),12*Assumptions!$H$337+12)=AW$4,0,IF(AV989=1,PMT(Assumptions!$H$335,Assumptions!$H$337,$C991),AV1002))),0)</f>
        <v>0</v>
      </c>
      <c r="AX1002" s="39">
        <f>+IFERROR(-ABS(IF(EDATE(_xlfn.XLOOKUP(1,$H989:$BE989,$H$4:$BE$4),12*Assumptions!$H$337+12)=AX$4,0,IF(AW989=1,PMT(Assumptions!$H$335,Assumptions!$H$337,$C991),AW1002))),0)</f>
        <v>0</v>
      </c>
      <c r="AY1002" s="39">
        <f>+IFERROR(-ABS(IF(EDATE(_xlfn.XLOOKUP(1,$H989:$BE989,$H$4:$BE$4),12*Assumptions!$H$337+12)=AY$4,0,IF(AX989=1,PMT(Assumptions!$H$335,Assumptions!$H$337,$C991),AX1002))),0)</f>
        <v>0</v>
      </c>
      <c r="AZ1002" s="39">
        <f>+IFERROR(-ABS(IF(EDATE(_xlfn.XLOOKUP(1,$H989:$BE989,$H$4:$BE$4),12*Assumptions!$H$337+12)=AZ$4,0,IF(AY989=1,PMT(Assumptions!$H$335,Assumptions!$H$337,$C991),AY1002))),0)</f>
        <v>0</v>
      </c>
      <c r="BA1002" s="39">
        <f>+IFERROR(-ABS(IF(EDATE(_xlfn.XLOOKUP(1,$H989:$BE989,$H$4:$BE$4),12*Assumptions!$H$337+12)=BA$4,0,IF(AZ989=1,PMT(Assumptions!$H$335,Assumptions!$H$337,$C991),AZ1002))),0)</f>
        <v>0</v>
      </c>
      <c r="BB1002" s="39">
        <f>+IFERROR(-ABS(IF(EDATE(_xlfn.XLOOKUP(1,$H989:$BE989,$H$4:$BE$4),12*Assumptions!$H$337+12)=BB$4,0,IF(BA989=1,PMT(Assumptions!$H$335,Assumptions!$H$337,$C991),BA1002))),0)</f>
        <v>0</v>
      </c>
      <c r="BC1002" s="39">
        <f>+IFERROR(-ABS(IF(EDATE(_xlfn.XLOOKUP(1,$H989:$BE989,$H$4:$BE$4),12*Assumptions!$H$337+12)=BC$4,0,IF(BB989=1,PMT(Assumptions!$H$335,Assumptions!$H$337,$C991),BB1002))),0)</f>
        <v>0</v>
      </c>
      <c r="BD1002" s="39">
        <f>+IFERROR(-ABS(IF(EDATE(_xlfn.XLOOKUP(1,$H989:$BE989,$H$4:$BE$4),12*Assumptions!$H$337+12)=BD$4,0,IF(BC989=1,PMT(Assumptions!$H$335,Assumptions!$H$337,$C991),BC1002))),0)</f>
        <v>0</v>
      </c>
      <c r="BE1002" s="39">
        <f>+IFERROR(-ABS(IF(EDATE(_xlfn.XLOOKUP(1,$H989:$BE989,$H$4:$BE$4),12*Assumptions!$H$337+12)=BE$4,0,IF(BD989=1,PMT(Assumptions!$H$335,Assumptions!$H$337,$C991),BD1002))),0)</f>
        <v>0</v>
      </c>
      <c r="BF1002" s="39">
        <f>+IFERROR(-ABS(IF(EDATE(_xlfn.XLOOKUP(1,$H989:$BE989,$H$4:$BE$4),12*Assumptions!$H$337+12)=BF$4,0,IF(BE989=1,PMT(Assumptions!$H$335,Assumptions!$H$337,$C991),BE1002))),0)</f>
        <v>0</v>
      </c>
      <c r="BG1002" s="39">
        <f>+IFERROR(-ABS(IF(EDATE(_xlfn.XLOOKUP(1,$H989:$BE989,$H$4:$BE$4),12*Assumptions!$H$337+12)=BG$4,0,IF(BF989=1,PMT(Assumptions!$H$335,Assumptions!$H$337,$C991),BF1002))),0)</f>
        <v>0</v>
      </c>
      <c r="BH1002" s="39">
        <f>+IFERROR(-ABS(IF(EDATE(_xlfn.XLOOKUP(1,$H989:$BE989,$H$4:$BE$4),12*Assumptions!$H$337+12)=BH$4,0,IF(BG989=1,PMT(Assumptions!$H$335,Assumptions!$H$337,$C991),BG1002))),0)</f>
        <v>0</v>
      </c>
      <c r="BI1002" s="39">
        <f>+IFERROR(-ABS(IF(EDATE(_xlfn.XLOOKUP(1,$H989:$BE989,$H$4:$BE$4),12*Assumptions!$H$337+12)=BI$4,0,IF(BH989=1,PMT(Assumptions!$H$335,Assumptions!$H$337,$C991),BH1002))),0)</f>
        <v>0</v>
      </c>
      <c r="BJ1002" s="39">
        <f>+IFERROR(-ABS(IF(EDATE(_xlfn.XLOOKUP(1,$H989:$BE989,$H$4:$BE$4),12*Assumptions!$H$337+12)=BJ$4,0,IF(BI989=1,PMT(Assumptions!$H$335,Assumptions!$H$337,$C991),BI1002))),0)</f>
        <v>0</v>
      </c>
      <c r="BK1002" s="39">
        <f>+IFERROR(-ABS(IF(EDATE(_xlfn.XLOOKUP(1,$H989:$BE989,$H$4:$BE$4),12*Assumptions!$H$337+12)=BK$4,0,IF(BJ989=1,PMT(Assumptions!$H$335,Assumptions!$H$337,$C991),BJ1002))),0)</f>
        <v>0</v>
      </c>
      <c r="BL1002" s="39">
        <f>+IFERROR(-ABS(IF(EDATE(_xlfn.XLOOKUP(1,$H989:$BE989,$H$4:$BE$4),12*Assumptions!$H$337+12)=BL$4,0,IF(BK989=1,PMT(Assumptions!$H$335,Assumptions!$H$337,$C991),BK1002))),0)</f>
        <v>0</v>
      </c>
      <c r="BM1002" s="39">
        <f>+IFERROR(-ABS(IF(EDATE(_xlfn.XLOOKUP(1,$H989:$BE989,$H$4:$BE$4),12*Assumptions!$H$337+12)=BM$4,0,IF(BL989=1,PMT(Assumptions!$H$335,Assumptions!$H$337,$C991),BL1002))),0)</f>
        <v>0</v>
      </c>
      <c r="BN1002" s="39">
        <f>+IFERROR(-ABS(IF(EDATE(_xlfn.XLOOKUP(1,$H989:$BE989,$H$4:$BE$4),12*Assumptions!$H$337+12)=BN$4,0,IF(BM989=1,PMT(Assumptions!$H$335,Assumptions!$H$337,$C991),BM1002))),0)</f>
        <v>0</v>
      </c>
      <c r="BO1002" s="39">
        <f>+IFERROR(-ABS(IF(EDATE(_xlfn.XLOOKUP(1,$H989:$BE989,$H$4:$BE$4),12*Assumptions!$H$337+12)=BO$4,0,IF(BN989=1,PMT(Assumptions!$H$335,Assumptions!$H$337,$C991),BN1002))),0)</f>
        <v>0</v>
      </c>
      <c r="BP1002" s="39">
        <f>+IFERROR(-ABS(IF(EDATE(_xlfn.XLOOKUP(1,$H989:$BE989,$H$4:$BE$4),12*Assumptions!$H$337+12)=BP$4,0,IF(BO989=1,PMT(Assumptions!$H$335,Assumptions!$H$337,$C991),BO1002))),0)</f>
        <v>0</v>
      </c>
      <c r="BQ1002" s="39">
        <f>+IFERROR(-ABS(IF(EDATE(_xlfn.XLOOKUP(1,$H989:$BE989,$H$4:$BE$4),12*Assumptions!$H$337+12)=BQ$4,0,IF(BP989=1,PMT(Assumptions!$H$335,Assumptions!$H$337,$C991),BP1002))),0)</f>
        <v>0</v>
      </c>
      <c r="BR1002" s="39">
        <f>+IFERROR(-ABS(IF(EDATE(_xlfn.XLOOKUP(1,$H989:$BE989,$H$4:$BE$4),12*Assumptions!$H$337+12)=BR$4,0,IF(BQ989=1,PMT(Assumptions!$H$335,Assumptions!$H$337,$C991),BQ1002))),0)</f>
        <v>0</v>
      </c>
      <c r="BS1002" s="39">
        <f>+IFERROR(-ABS(IF(EDATE(_xlfn.XLOOKUP(1,$H989:$BE989,$H$4:$BE$4),12*Assumptions!$H$337+12)=BS$4,0,IF(BR989=1,PMT(Assumptions!$H$335,Assumptions!$H$337,$C991),BR1002))),0)</f>
        <v>0</v>
      </c>
      <c r="BT1002" s="39">
        <f>+IFERROR(-ABS(IF(EDATE(_xlfn.XLOOKUP(1,$H989:$BE989,$H$4:$BE$4),12*Assumptions!$H$337+12)=BT$4,0,IF(BS989=1,PMT(Assumptions!$H$335,Assumptions!$H$337,$C991),BS1002))),0)</f>
        <v>0</v>
      </c>
      <c r="BU1002" s="39">
        <f>+IFERROR(-ABS(IF(EDATE(_xlfn.XLOOKUP(1,$H989:$BE989,$H$4:$BE$4),12*Assumptions!$H$337+12)=BU$4,0,IF(BT989=1,PMT(Assumptions!$H$335,Assumptions!$H$337,$C991),BT1002))),0)</f>
        <v>0</v>
      </c>
      <c r="BV1002" s="39">
        <f>+IFERROR(-ABS(IF(EDATE(_xlfn.XLOOKUP(1,$H989:$BE989,$H$4:$BE$4),12*Assumptions!$H$337+12)=BV$4,0,IF(BU989=1,PMT(Assumptions!$H$335,Assumptions!$H$337,$C991),BU1002))),0)</f>
        <v>0</v>
      </c>
      <c r="BW1002" s="39">
        <f>+IFERROR(-ABS(IF(EDATE(_xlfn.XLOOKUP(1,$H989:$BE989,$H$4:$BE$4),12*Assumptions!$H$337+12)=BW$4,0,IF(BV989=1,PMT(Assumptions!$H$335,Assumptions!$H$337,$C991),BV1002))),0)</f>
        <v>0</v>
      </c>
      <c r="BX1002" s="39">
        <f>+IFERROR(-ABS(IF(EDATE(_xlfn.XLOOKUP(1,$H989:$BE989,$H$4:$BE$4),12*Assumptions!$H$337+12)=BX$4,0,IF(BW989=1,PMT(Assumptions!$H$335,Assumptions!$H$337,$C991),BW1002))),0)</f>
        <v>0</v>
      </c>
      <c r="BY1002" s="39">
        <f>+IFERROR(-ABS(IF(EDATE(_xlfn.XLOOKUP(1,$H989:$BE989,$H$4:$BE$4),12*Assumptions!$H$337+12)=BY$4,0,IF(BX989=1,PMT(Assumptions!$H$335,Assumptions!$H$337,$C991),BX1002))),0)</f>
        <v>0</v>
      </c>
    </row>
    <row r="1003" spans="5:77" outlineLevel="1">
      <c r="E1003" s="24" t="s">
        <v>521</v>
      </c>
      <c r="F1003" s="80" t="str">
        <f>+Assumptions!$G$8</f>
        <v>USD</v>
      </c>
      <c r="G1003" s="24"/>
      <c r="H1003" s="39">
        <f>+IFERROR(-ABS(IF(EDATE(_xlfn.XLOOKUP(1,$H990:$BE990,$H$4:$BE$4),12*Assumptions!$H$337+12)=H$4,0,IF(G990=1,PMT(Assumptions!$H$335,Assumptions!$H$337,$C992),G1003))),0)</f>
        <v>0</v>
      </c>
      <c r="I1003" s="39">
        <f>+IFERROR(-ABS(IF(EDATE(_xlfn.XLOOKUP(1,$H990:$BE990,$H$4:$BE$4),12*Assumptions!$H$337+12)=I$4,0,IF(H990=1,PMT(Assumptions!$H$335,Assumptions!$H$337,$C992),H1003))),0)</f>
        <v>0</v>
      </c>
      <c r="J1003" s="39">
        <f>+IFERROR(-ABS(IF(EDATE(_xlfn.XLOOKUP(1,$H990:$BE990,$H$4:$BE$4),12*Assumptions!$H$337+12)=J$4,0,IF(I990=1,PMT(Assumptions!$H$335,Assumptions!$H$337,$C992),I1003))),0)</f>
        <v>0</v>
      </c>
      <c r="K1003" s="39">
        <f>+IFERROR(-ABS(IF(EDATE(_xlfn.XLOOKUP(1,$H990:$BE990,$H$4:$BE$4),12*Assumptions!$H$337+12)=K$4,0,IF(J990=1,PMT(Assumptions!$H$335,Assumptions!$H$337,$C992),J1003))),0)</f>
        <v>0</v>
      </c>
      <c r="L1003" s="39">
        <f>+IFERROR(-ABS(IF(EDATE(_xlfn.XLOOKUP(1,$H990:$BE990,$H$4:$BE$4),12*Assumptions!$H$337+12)=L$4,0,IF(K990=1,PMT(Assumptions!$H$335,Assumptions!$H$337,$C992),K1003))),0)</f>
        <v>0</v>
      </c>
      <c r="M1003" s="39">
        <f>+IFERROR(-ABS(IF(EDATE(_xlfn.XLOOKUP(1,$H990:$BE990,$H$4:$BE$4),12*Assumptions!$H$337+12)=M$4,0,IF(L990=1,PMT(Assumptions!$H$335,Assumptions!$H$337,$C992),L1003))),0)</f>
        <v>0</v>
      </c>
      <c r="N1003" s="39">
        <f>+IFERROR(-ABS(IF(EDATE(_xlfn.XLOOKUP(1,$H990:$BE990,$H$4:$BE$4),12*Assumptions!$H$337+12)=N$4,0,IF(M990=1,PMT(Assumptions!$H$335,Assumptions!$H$337,$C992),M1003))),0)</f>
        <v>0</v>
      </c>
      <c r="O1003" s="39">
        <f>+IFERROR(-ABS(IF(EDATE(_xlfn.XLOOKUP(1,$H990:$BE990,$H$4:$BE$4),12*Assumptions!$H$337+12)=O$4,0,IF(N990=1,PMT(Assumptions!$H$335,Assumptions!$H$337,$C992),N1003))),0)</f>
        <v>0</v>
      </c>
      <c r="P1003" s="39">
        <f>+IFERROR(-ABS(IF(EDATE(_xlfn.XLOOKUP(1,$H990:$BE990,$H$4:$BE$4),12*Assumptions!$H$337+12)=P$4,0,IF(O990=1,PMT(Assumptions!$H$335,Assumptions!$H$337,$C992),O1003))),0)</f>
        <v>0</v>
      </c>
      <c r="Q1003" s="39">
        <f>+IFERROR(-ABS(IF(EDATE(_xlfn.XLOOKUP(1,$H990:$BE990,$H$4:$BE$4),12*Assumptions!$H$337+12)=Q$4,0,IF(P990=1,PMT(Assumptions!$H$335,Assumptions!$H$337,$C992),P1003))),0)</f>
        <v>0</v>
      </c>
      <c r="R1003" s="39">
        <f>+IFERROR(-ABS(IF(EDATE(_xlfn.XLOOKUP(1,$H990:$BE990,$H$4:$BE$4),12*Assumptions!$H$337+12)=R$4,0,IF(Q990=1,PMT(Assumptions!$H$335,Assumptions!$H$337,$C992),Q1003))),0)</f>
        <v>0</v>
      </c>
      <c r="S1003" s="39">
        <f>+IFERROR(-ABS(IF(EDATE(_xlfn.XLOOKUP(1,$H990:$BE990,$H$4:$BE$4),12*Assumptions!$H$337+12)=S$4,0,IF(R990=1,PMT(Assumptions!$H$335,Assumptions!$H$337,$C992),R1003))),0)</f>
        <v>0</v>
      </c>
      <c r="T1003" s="39">
        <f>+IFERROR(-ABS(IF(EDATE(_xlfn.XLOOKUP(1,$H990:$BE990,$H$4:$BE$4),12*Assumptions!$H$337+12)=T$4,0,IF(S990=1,PMT(Assumptions!$H$335,Assumptions!$H$337,$C992),S1003))),0)</f>
        <v>0</v>
      </c>
      <c r="U1003" s="39">
        <f>+IFERROR(-ABS(IF(EDATE(_xlfn.XLOOKUP(1,$H990:$BE990,$H$4:$BE$4),12*Assumptions!$H$337+12)=U$4,0,IF(T990=1,PMT(Assumptions!$H$335,Assumptions!$H$337,$C992),T1003))),0)</f>
        <v>0</v>
      </c>
      <c r="V1003" s="39">
        <f>+IFERROR(-ABS(IF(EDATE(_xlfn.XLOOKUP(1,$H990:$BE990,$H$4:$BE$4),12*Assumptions!$H$337+12)=V$4,0,IF(U990=1,PMT(Assumptions!$H$335,Assumptions!$H$337,$C992),U1003))),0)</f>
        <v>0</v>
      </c>
      <c r="W1003" s="39">
        <f>+IFERROR(-ABS(IF(EDATE(_xlfn.XLOOKUP(1,$H990:$BE990,$H$4:$BE$4),12*Assumptions!$H$337+12)=W$4,0,IF(V990=1,PMT(Assumptions!$H$335,Assumptions!$H$337,$C992),V1003))),0)</f>
        <v>0</v>
      </c>
      <c r="X1003" s="39">
        <f>+IFERROR(-ABS(IF(EDATE(_xlfn.XLOOKUP(1,$H990:$BE990,$H$4:$BE$4),12*Assumptions!$H$337+12)=X$4,0,IF(W990=1,PMT(Assumptions!$H$335,Assumptions!$H$337,$C992),W1003))),0)</f>
        <v>0</v>
      </c>
      <c r="Y1003" s="39">
        <f>+IFERROR(-ABS(IF(EDATE(_xlfn.XLOOKUP(1,$H990:$BE990,$H$4:$BE$4),12*Assumptions!$H$337+12)=Y$4,0,IF(X990=1,PMT(Assumptions!$H$335,Assumptions!$H$337,$C992),X1003))),0)</f>
        <v>0</v>
      </c>
      <c r="Z1003" s="39">
        <f>+IFERROR(-ABS(IF(EDATE(_xlfn.XLOOKUP(1,$H990:$BE990,$H$4:$BE$4),12*Assumptions!$H$337+12)=Z$4,0,IF(Y990=1,PMT(Assumptions!$H$335,Assumptions!$H$337,$C992),Y1003))),0)</f>
        <v>0</v>
      </c>
      <c r="AA1003" s="39">
        <f>+IFERROR(-ABS(IF(EDATE(_xlfn.XLOOKUP(1,$H990:$BE990,$H$4:$BE$4),12*Assumptions!$H$337+12)=AA$4,0,IF(Z990=1,PMT(Assumptions!$H$335,Assumptions!$H$337,$C992),Z1003))),0)</f>
        <v>0</v>
      </c>
      <c r="AB1003" s="39">
        <f>+IFERROR(-ABS(IF(EDATE(_xlfn.XLOOKUP(1,$H990:$BE990,$H$4:$BE$4),12*Assumptions!$H$337+12)=AB$4,0,IF(AA990=1,PMT(Assumptions!$H$335,Assumptions!$H$337,$C992),AA1003))),0)</f>
        <v>0</v>
      </c>
      <c r="AC1003" s="39">
        <f>+IFERROR(-ABS(IF(EDATE(_xlfn.XLOOKUP(1,$H990:$BE990,$H$4:$BE$4),12*Assumptions!$H$337+12)=AC$4,0,IF(AB990=1,PMT(Assumptions!$H$335,Assumptions!$H$337,$C992),AB1003))),0)</f>
        <v>0</v>
      </c>
      <c r="AD1003" s="39">
        <f>+IFERROR(-ABS(IF(EDATE(_xlfn.XLOOKUP(1,$H990:$BE990,$H$4:$BE$4),12*Assumptions!$H$337+12)=AD$4,0,IF(AC990=1,PMT(Assumptions!$H$335,Assumptions!$H$337,$C992),AC1003))),0)</f>
        <v>0</v>
      </c>
      <c r="AE1003" s="39">
        <f>+IFERROR(-ABS(IF(EDATE(_xlfn.XLOOKUP(1,$H990:$BE990,$H$4:$BE$4),12*Assumptions!$H$337+12)=AE$4,0,IF(AD990=1,PMT(Assumptions!$H$335,Assumptions!$H$337,$C992),AD1003))),0)</f>
        <v>0</v>
      </c>
      <c r="AF1003" s="39">
        <f>+IFERROR(-ABS(IF(EDATE(_xlfn.XLOOKUP(1,$H990:$BE990,$H$4:$BE$4),12*Assumptions!$H$337+12)=AF$4,0,IF(AE990=1,PMT(Assumptions!$H$335,Assumptions!$H$337,$C992),AE1003))),0)</f>
        <v>0</v>
      </c>
      <c r="AG1003" s="39">
        <f>+IFERROR(-ABS(IF(EDATE(_xlfn.XLOOKUP(1,$H990:$BE990,$H$4:$BE$4),12*Assumptions!$H$337+12)=AG$4,0,IF(AF990=1,PMT(Assumptions!$H$335,Assumptions!$H$337,$C992),AF1003))),0)</f>
        <v>0</v>
      </c>
      <c r="AH1003" s="39">
        <f>+IFERROR(-ABS(IF(EDATE(_xlfn.XLOOKUP(1,$H990:$BE990,$H$4:$BE$4),12*Assumptions!$H$337+12)=AH$4,0,IF(AG990=1,PMT(Assumptions!$H$335,Assumptions!$H$337,$C992),AG1003))),0)</f>
        <v>0</v>
      </c>
      <c r="AI1003" s="39">
        <f>+IFERROR(-ABS(IF(EDATE(_xlfn.XLOOKUP(1,$H990:$BE990,$H$4:$BE$4),12*Assumptions!$H$337+12)=AI$4,0,IF(AH990=1,PMT(Assumptions!$H$335,Assumptions!$H$337,$C992),AH1003))),0)</f>
        <v>0</v>
      </c>
      <c r="AJ1003" s="39">
        <f>+IFERROR(-ABS(IF(EDATE(_xlfn.XLOOKUP(1,$H990:$BE990,$H$4:$BE$4),12*Assumptions!$H$337+12)=AJ$4,0,IF(AI990=1,PMT(Assumptions!$H$335,Assumptions!$H$337,$C992),AI1003))),0)</f>
        <v>0</v>
      </c>
      <c r="AK1003" s="39">
        <f>+IFERROR(-ABS(IF(EDATE(_xlfn.XLOOKUP(1,$H990:$BE990,$H$4:$BE$4),12*Assumptions!$H$337+12)=AK$4,0,IF(AJ990=1,PMT(Assumptions!$H$335,Assumptions!$H$337,$C992),AJ1003))),0)</f>
        <v>0</v>
      </c>
      <c r="AL1003" s="39">
        <f>+IFERROR(-ABS(IF(EDATE(_xlfn.XLOOKUP(1,$H990:$BE990,$H$4:$BE$4),12*Assumptions!$H$337+12)=AL$4,0,IF(AK990=1,PMT(Assumptions!$H$335,Assumptions!$H$337,$C992),AK1003))),0)</f>
        <v>0</v>
      </c>
      <c r="AM1003" s="39">
        <f>+IFERROR(-ABS(IF(EDATE(_xlfn.XLOOKUP(1,$H990:$BE990,$H$4:$BE$4),12*Assumptions!$H$337+12)=AM$4,0,IF(AL990=1,PMT(Assumptions!$H$335,Assumptions!$H$337,$C992),AL1003))),0)</f>
        <v>0</v>
      </c>
      <c r="AN1003" s="39">
        <f>+IFERROR(-ABS(IF(EDATE(_xlfn.XLOOKUP(1,$H990:$BE990,$H$4:$BE$4),12*Assumptions!$H$337+12)=AN$4,0,IF(AM990=1,PMT(Assumptions!$H$335,Assumptions!$H$337,$C992),AM1003))),0)</f>
        <v>0</v>
      </c>
      <c r="AO1003" s="39">
        <f>+IFERROR(-ABS(IF(EDATE(_xlfn.XLOOKUP(1,$H990:$BE990,$H$4:$BE$4),12*Assumptions!$H$337+12)=AO$4,0,IF(AN990=1,PMT(Assumptions!$H$335,Assumptions!$H$337,$C992),AN1003))),0)</f>
        <v>0</v>
      </c>
      <c r="AP1003" s="39">
        <f>+IFERROR(-ABS(IF(EDATE(_xlfn.XLOOKUP(1,$H990:$BE990,$H$4:$BE$4),12*Assumptions!$H$337+12)=AP$4,0,IF(AO990=1,PMT(Assumptions!$H$335,Assumptions!$H$337,$C992),AO1003))),0)</f>
        <v>0</v>
      </c>
      <c r="AQ1003" s="39">
        <f>+IFERROR(-ABS(IF(EDATE(_xlfn.XLOOKUP(1,$H990:$BE990,$H$4:$BE$4),12*Assumptions!$H$337+12)=AQ$4,0,IF(AP990=1,PMT(Assumptions!$H$335,Assumptions!$H$337,$C992),AP1003))),0)</f>
        <v>0</v>
      </c>
      <c r="AR1003" s="39">
        <f>+IFERROR(-ABS(IF(EDATE(_xlfn.XLOOKUP(1,$H990:$BE990,$H$4:$BE$4),12*Assumptions!$H$337+12)=AR$4,0,IF(AQ990=1,PMT(Assumptions!$H$335,Assumptions!$H$337,$C992),AQ1003))),0)</f>
        <v>0</v>
      </c>
      <c r="AS1003" s="39">
        <f>+IFERROR(-ABS(IF(EDATE(_xlfn.XLOOKUP(1,$H990:$BE990,$H$4:$BE$4),12*Assumptions!$H$337+12)=AS$4,0,IF(AR990=1,PMT(Assumptions!$H$335,Assumptions!$H$337,$C992),AR1003))),0)</f>
        <v>0</v>
      </c>
      <c r="AT1003" s="39">
        <f>+IFERROR(-ABS(IF(EDATE(_xlfn.XLOOKUP(1,$H990:$BE990,$H$4:$BE$4),12*Assumptions!$H$337+12)=AT$4,0,IF(AS990=1,PMT(Assumptions!$H$335,Assumptions!$H$337,$C992),AS1003))),0)</f>
        <v>0</v>
      </c>
      <c r="AU1003" s="39">
        <f>+IFERROR(-ABS(IF(EDATE(_xlfn.XLOOKUP(1,$H990:$BE990,$H$4:$BE$4),12*Assumptions!$H$337+12)=AU$4,0,IF(AT990=1,PMT(Assumptions!$H$335,Assumptions!$H$337,$C992),AT1003))),0)</f>
        <v>0</v>
      </c>
      <c r="AV1003" s="39">
        <f>+IFERROR(-ABS(IF(EDATE(_xlfn.XLOOKUP(1,$H990:$BE990,$H$4:$BE$4),12*Assumptions!$H$337+12)=AV$4,0,IF(AU990=1,PMT(Assumptions!$H$335,Assumptions!$H$337,$C992),AU1003))),0)</f>
        <v>0</v>
      </c>
      <c r="AW1003" s="39">
        <f>+IFERROR(-ABS(IF(EDATE(_xlfn.XLOOKUP(1,$H990:$BE990,$H$4:$BE$4),12*Assumptions!$H$337+12)=AW$4,0,IF(AV990=1,PMT(Assumptions!$H$335,Assumptions!$H$337,$C992),AV1003))),0)</f>
        <v>0</v>
      </c>
      <c r="AX1003" s="39">
        <f>+IFERROR(-ABS(IF(EDATE(_xlfn.XLOOKUP(1,$H990:$BE990,$H$4:$BE$4),12*Assumptions!$H$337+12)=AX$4,0,IF(AW990=1,PMT(Assumptions!$H$335,Assumptions!$H$337,$C992),AW1003))),0)</f>
        <v>0</v>
      </c>
      <c r="AY1003" s="39">
        <f>+IFERROR(-ABS(IF(EDATE(_xlfn.XLOOKUP(1,$H990:$BE990,$H$4:$BE$4),12*Assumptions!$H$337+12)=AY$4,0,IF(AX990=1,PMT(Assumptions!$H$335,Assumptions!$H$337,$C992),AX1003))),0)</f>
        <v>0</v>
      </c>
      <c r="AZ1003" s="39">
        <f>+IFERROR(-ABS(IF(EDATE(_xlfn.XLOOKUP(1,$H990:$BE990,$H$4:$BE$4),12*Assumptions!$H$337+12)=AZ$4,0,IF(AY990=1,PMT(Assumptions!$H$335,Assumptions!$H$337,$C992),AY1003))),0)</f>
        <v>0</v>
      </c>
      <c r="BA1003" s="39">
        <f>+IFERROR(-ABS(IF(EDATE(_xlfn.XLOOKUP(1,$H990:$BE990,$H$4:$BE$4),12*Assumptions!$H$337+12)=BA$4,0,IF(AZ990=1,PMT(Assumptions!$H$335,Assumptions!$H$337,$C992),AZ1003))),0)</f>
        <v>0</v>
      </c>
      <c r="BB1003" s="39">
        <f>+IFERROR(-ABS(IF(EDATE(_xlfn.XLOOKUP(1,$H990:$BE990,$H$4:$BE$4),12*Assumptions!$H$337+12)=BB$4,0,IF(BA990=1,PMT(Assumptions!$H$335,Assumptions!$H$337,$C992),BA1003))),0)</f>
        <v>0</v>
      </c>
      <c r="BC1003" s="39">
        <f>+IFERROR(-ABS(IF(EDATE(_xlfn.XLOOKUP(1,$H990:$BE990,$H$4:$BE$4),12*Assumptions!$H$337+12)=BC$4,0,IF(BB990=1,PMT(Assumptions!$H$335,Assumptions!$H$337,$C992),BB1003))),0)</f>
        <v>0</v>
      </c>
      <c r="BD1003" s="39">
        <f>+IFERROR(-ABS(IF(EDATE(_xlfn.XLOOKUP(1,$H990:$BE990,$H$4:$BE$4),12*Assumptions!$H$337+12)=BD$4,0,IF(BC990=1,PMT(Assumptions!$H$335,Assumptions!$H$337,$C992),BC1003))),0)</f>
        <v>0</v>
      </c>
      <c r="BE1003" s="39">
        <f>+IFERROR(-ABS(IF(EDATE(_xlfn.XLOOKUP(1,$H990:$BE990,$H$4:$BE$4),12*Assumptions!$H$337+12)=BE$4,0,IF(BD990=1,PMT(Assumptions!$H$335,Assumptions!$H$337,$C992),BD1003))),0)</f>
        <v>0</v>
      </c>
      <c r="BF1003" s="39">
        <f>+IFERROR(-ABS(IF(EDATE(_xlfn.XLOOKUP(1,$H990:$BE990,$H$4:$BE$4),12*Assumptions!$H$337+12)=BF$4,0,IF(BE990=1,PMT(Assumptions!$H$335,Assumptions!$H$337,$C992),BE1003))),0)</f>
        <v>0</v>
      </c>
      <c r="BG1003" s="39">
        <f>+IFERROR(-ABS(IF(EDATE(_xlfn.XLOOKUP(1,$H990:$BE990,$H$4:$BE$4),12*Assumptions!$H$337+12)=BG$4,0,IF(BF990=1,PMT(Assumptions!$H$335,Assumptions!$H$337,$C992),BF1003))),0)</f>
        <v>0</v>
      </c>
      <c r="BH1003" s="39">
        <f>+IFERROR(-ABS(IF(EDATE(_xlfn.XLOOKUP(1,$H990:$BE990,$H$4:$BE$4),12*Assumptions!$H$337+12)=BH$4,0,IF(BG990=1,PMT(Assumptions!$H$335,Assumptions!$H$337,$C992),BG1003))),0)</f>
        <v>0</v>
      </c>
      <c r="BI1003" s="39">
        <f>+IFERROR(-ABS(IF(EDATE(_xlfn.XLOOKUP(1,$H990:$BE990,$H$4:$BE$4),12*Assumptions!$H$337+12)=BI$4,0,IF(BH990=1,PMT(Assumptions!$H$335,Assumptions!$H$337,$C992),BH1003))),0)</f>
        <v>0</v>
      </c>
      <c r="BJ1003" s="39">
        <f>+IFERROR(-ABS(IF(EDATE(_xlfn.XLOOKUP(1,$H990:$BE990,$H$4:$BE$4),12*Assumptions!$H$337+12)=BJ$4,0,IF(BI990=1,PMT(Assumptions!$H$335,Assumptions!$H$337,$C992),BI1003))),0)</f>
        <v>0</v>
      </c>
      <c r="BK1003" s="39">
        <f>+IFERROR(-ABS(IF(EDATE(_xlfn.XLOOKUP(1,$H990:$BE990,$H$4:$BE$4),12*Assumptions!$H$337+12)=BK$4,0,IF(BJ990=1,PMT(Assumptions!$H$335,Assumptions!$H$337,$C992),BJ1003))),0)</f>
        <v>0</v>
      </c>
      <c r="BL1003" s="39">
        <f>+IFERROR(-ABS(IF(EDATE(_xlfn.XLOOKUP(1,$H990:$BE990,$H$4:$BE$4),12*Assumptions!$H$337+12)=BL$4,0,IF(BK990=1,PMT(Assumptions!$H$335,Assumptions!$H$337,$C992),BK1003))),0)</f>
        <v>0</v>
      </c>
      <c r="BM1003" s="39">
        <f>+IFERROR(-ABS(IF(EDATE(_xlfn.XLOOKUP(1,$H990:$BE990,$H$4:$BE$4),12*Assumptions!$H$337+12)=BM$4,0,IF(BL990=1,PMT(Assumptions!$H$335,Assumptions!$H$337,$C992),BL1003))),0)</f>
        <v>0</v>
      </c>
      <c r="BN1003" s="39">
        <f>+IFERROR(-ABS(IF(EDATE(_xlfn.XLOOKUP(1,$H990:$BE990,$H$4:$BE$4),12*Assumptions!$H$337+12)=BN$4,0,IF(BM990=1,PMT(Assumptions!$H$335,Assumptions!$H$337,$C992),BM1003))),0)</f>
        <v>0</v>
      </c>
      <c r="BO1003" s="39">
        <f>+IFERROR(-ABS(IF(EDATE(_xlfn.XLOOKUP(1,$H990:$BE990,$H$4:$BE$4),12*Assumptions!$H$337+12)=BO$4,0,IF(BN990=1,PMT(Assumptions!$H$335,Assumptions!$H$337,$C992),BN1003))),0)</f>
        <v>0</v>
      </c>
      <c r="BP1003" s="39">
        <f>+IFERROR(-ABS(IF(EDATE(_xlfn.XLOOKUP(1,$H990:$BE990,$H$4:$BE$4),12*Assumptions!$H$337+12)=BP$4,0,IF(BO990=1,PMT(Assumptions!$H$335,Assumptions!$H$337,$C992),BO1003))),0)</f>
        <v>0</v>
      </c>
      <c r="BQ1003" s="39">
        <f>+IFERROR(-ABS(IF(EDATE(_xlfn.XLOOKUP(1,$H990:$BE990,$H$4:$BE$4),12*Assumptions!$H$337+12)=BQ$4,0,IF(BP990=1,PMT(Assumptions!$H$335,Assumptions!$H$337,$C992),BP1003))),0)</f>
        <v>0</v>
      </c>
      <c r="BR1003" s="39">
        <f>+IFERROR(-ABS(IF(EDATE(_xlfn.XLOOKUP(1,$H990:$BE990,$H$4:$BE$4),12*Assumptions!$H$337+12)=BR$4,0,IF(BQ990=1,PMT(Assumptions!$H$335,Assumptions!$H$337,$C992),BQ1003))),0)</f>
        <v>0</v>
      </c>
      <c r="BS1003" s="39">
        <f>+IFERROR(-ABS(IF(EDATE(_xlfn.XLOOKUP(1,$H990:$BE990,$H$4:$BE$4),12*Assumptions!$H$337+12)=BS$4,0,IF(BR990=1,PMT(Assumptions!$H$335,Assumptions!$H$337,$C992),BR1003))),0)</f>
        <v>0</v>
      </c>
      <c r="BT1003" s="39">
        <f>+IFERROR(-ABS(IF(EDATE(_xlfn.XLOOKUP(1,$H990:$BE990,$H$4:$BE$4),12*Assumptions!$H$337+12)=BT$4,0,IF(BS990=1,PMT(Assumptions!$H$335,Assumptions!$H$337,$C992),BS1003))),0)</f>
        <v>0</v>
      </c>
      <c r="BU1003" s="39">
        <f>+IFERROR(-ABS(IF(EDATE(_xlfn.XLOOKUP(1,$H990:$BE990,$H$4:$BE$4),12*Assumptions!$H$337+12)=BU$4,0,IF(BT990=1,PMT(Assumptions!$H$335,Assumptions!$H$337,$C992),BT1003))),0)</f>
        <v>0</v>
      </c>
      <c r="BV1003" s="39">
        <f>+IFERROR(-ABS(IF(EDATE(_xlfn.XLOOKUP(1,$H990:$BE990,$H$4:$BE$4),12*Assumptions!$H$337+12)=BV$4,0,IF(BU990=1,PMT(Assumptions!$H$335,Assumptions!$H$337,$C992),BU1003))),0)</f>
        <v>0</v>
      </c>
      <c r="BW1003" s="39">
        <f>+IFERROR(-ABS(IF(EDATE(_xlfn.XLOOKUP(1,$H990:$BE990,$H$4:$BE$4),12*Assumptions!$H$337+12)=BW$4,0,IF(BV990=1,PMT(Assumptions!$H$335,Assumptions!$H$337,$C992),BV1003))),0)</f>
        <v>0</v>
      </c>
      <c r="BX1003" s="39">
        <f>+IFERROR(-ABS(IF(EDATE(_xlfn.XLOOKUP(1,$H990:$BE990,$H$4:$BE$4),12*Assumptions!$H$337+12)=BX$4,0,IF(BW990=1,PMT(Assumptions!$H$335,Assumptions!$H$337,$C992),BW1003))),0)</f>
        <v>0</v>
      </c>
      <c r="BY1003" s="39">
        <f>+IFERROR(-ABS(IF(EDATE(_xlfn.XLOOKUP(1,$H990:$BE990,$H$4:$BE$4),12*Assumptions!$H$337+12)=BY$4,0,IF(BX990=1,PMT(Assumptions!$H$335,Assumptions!$H$337,$C992),BX1003))),0)</f>
        <v>0</v>
      </c>
    </row>
    <row r="1004" spans="5:77" outlineLevel="1">
      <c r="E1004" s="24" t="s">
        <v>522</v>
      </c>
      <c r="F1004" s="80" t="str">
        <f>+Assumptions!$G$8</f>
        <v>USD</v>
      </c>
      <c r="G1004" s="24"/>
      <c r="H1004" s="39">
        <f>+IFERROR(-ABS(IF(EDATE(_xlfn.XLOOKUP(1,$H991:$BE991,$H$4:$BE$4),12*Assumptions!$H$337+12)=H$4,0,IF(G991=1,PMT(Assumptions!$H$335,Assumptions!$H$337,$C993),G1004))),0)</f>
        <v>0</v>
      </c>
      <c r="I1004" s="39">
        <f>+IFERROR(-ABS(IF(EDATE(_xlfn.XLOOKUP(1,$H991:$BE991,$H$4:$BE$4),12*Assumptions!$H$337+12)=I$4,0,IF(H991=1,PMT(Assumptions!$H$335,Assumptions!$H$337,$C993),H1004))),0)</f>
        <v>0</v>
      </c>
      <c r="J1004" s="39">
        <f>+IFERROR(-ABS(IF(EDATE(_xlfn.XLOOKUP(1,$H991:$BE991,$H$4:$BE$4),12*Assumptions!$H$337+12)=J$4,0,IF(I991=1,PMT(Assumptions!$H$335,Assumptions!$H$337,$C993),I1004))),0)</f>
        <v>0</v>
      </c>
      <c r="K1004" s="39">
        <f>+IFERROR(-ABS(IF(EDATE(_xlfn.XLOOKUP(1,$H991:$BE991,$H$4:$BE$4),12*Assumptions!$H$337+12)=K$4,0,IF(J991=1,PMT(Assumptions!$H$335,Assumptions!$H$337,$C993),J1004))),0)</f>
        <v>0</v>
      </c>
      <c r="L1004" s="39">
        <f>+IFERROR(-ABS(IF(EDATE(_xlfn.XLOOKUP(1,$H991:$BE991,$H$4:$BE$4),12*Assumptions!$H$337+12)=L$4,0,IF(K991=1,PMT(Assumptions!$H$335,Assumptions!$H$337,$C993),K1004))),0)</f>
        <v>0</v>
      </c>
      <c r="M1004" s="39">
        <f>+IFERROR(-ABS(IF(EDATE(_xlfn.XLOOKUP(1,$H991:$BE991,$H$4:$BE$4),12*Assumptions!$H$337+12)=M$4,0,IF(L991=1,PMT(Assumptions!$H$335,Assumptions!$H$337,$C993),L1004))),0)</f>
        <v>0</v>
      </c>
      <c r="N1004" s="39">
        <f>+IFERROR(-ABS(IF(EDATE(_xlfn.XLOOKUP(1,$H991:$BE991,$H$4:$BE$4),12*Assumptions!$H$337+12)=N$4,0,IF(M991=1,PMT(Assumptions!$H$335,Assumptions!$H$337,$C993),M1004))),0)</f>
        <v>0</v>
      </c>
      <c r="O1004" s="39">
        <f>+IFERROR(-ABS(IF(EDATE(_xlfn.XLOOKUP(1,$H991:$BE991,$H$4:$BE$4),12*Assumptions!$H$337+12)=O$4,0,IF(N991=1,PMT(Assumptions!$H$335,Assumptions!$H$337,$C993),N1004))),0)</f>
        <v>0</v>
      </c>
      <c r="P1004" s="39">
        <f>+IFERROR(-ABS(IF(EDATE(_xlfn.XLOOKUP(1,$H991:$BE991,$H$4:$BE$4),12*Assumptions!$H$337+12)=P$4,0,IF(O991=1,PMT(Assumptions!$H$335,Assumptions!$H$337,$C993),O1004))),0)</f>
        <v>0</v>
      </c>
      <c r="Q1004" s="39">
        <f>+IFERROR(-ABS(IF(EDATE(_xlfn.XLOOKUP(1,$H991:$BE991,$H$4:$BE$4),12*Assumptions!$H$337+12)=Q$4,0,IF(P991=1,PMT(Assumptions!$H$335,Assumptions!$H$337,$C993),P1004))),0)</f>
        <v>0</v>
      </c>
      <c r="R1004" s="39">
        <f>+IFERROR(-ABS(IF(EDATE(_xlfn.XLOOKUP(1,$H991:$BE991,$H$4:$BE$4),12*Assumptions!$H$337+12)=R$4,0,IF(Q991=1,PMT(Assumptions!$H$335,Assumptions!$H$337,$C993),Q1004))),0)</f>
        <v>0</v>
      </c>
      <c r="S1004" s="39">
        <f>+IFERROR(-ABS(IF(EDATE(_xlfn.XLOOKUP(1,$H991:$BE991,$H$4:$BE$4),12*Assumptions!$H$337+12)=S$4,0,IF(R991=1,PMT(Assumptions!$H$335,Assumptions!$H$337,$C993),R1004))),0)</f>
        <v>0</v>
      </c>
      <c r="T1004" s="39">
        <f>+IFERROR(-ABS(IF(EDATE(_xlfn.XLOOKUP(1,$H991:$BE991,$H$4:$BE$4),12*Assumptions!$H$337+12)=T$4,0,IF(S991=1,PMT(Assumptions!$H$335,Assumptions!$H$337,$C993),S1004))),0)</f>
        <v>0</v>
      </c>
      <c r="U1004" s="39">
        <f>+IFERROR(-ABS(IF(EDATE(_xlfn.XLOOKUP(1,$H991:$BE991,$H$4:$BE$4),12*Assumptions!$H$337+12)=U$4,0,IF(T991=1,PMT(Assumptions!$H$335,Assumptions!$H$337,$C993),T1004))),0)</f>
        <v>0</v>
      </c>
      <c r="V1004" s="39">
        <f>+IFERROR(-ABS(IF(EDATE(_xlfn.XLOOKUP(1,$H991:$BE991,$H$4:$BE$4),12*Assumptions!$H$337+12)=V$4,0,IF(U991=1,PMT(Assumptions!$H$335,Assumptions!$H$337,$C993),U1004))),0)</f>
        <v>0</v>
      </c>
      <c r="W1004" s="39">
        <f>+IFERROR(-ABS(IF(EDATE(_xlfn.XLOOKUP(1,$H991:$BE991,$H$4:$BE$4),12*Assumptions!$H$337+12)=W$4,0,IF(V991=1,PMT(Assumptions!$H$335,Assumptions!$H$337,$C993),V1004))),0)</f>
        <v>0</v>
      </c>
      <c r="X1004" s="39">
        <f>+IFERROR(-ABS(IF(EDATE(_xlfn.XLOOKUP(1,$H991:$BE991,$H$4:$BE$4),12*Assumptions!$H$337+12)=X$4,0,IF(W991=1,PMT(Assumptions!$H$335,Assumptions!$H$337,$C993),W1004))),0)</f>
        <v>0</v>
      </c>
      <c r="Y1004" s="39">
        <f>+IFERROR(-ABS(IF(EDATE(_xlfn.XLOOKUP(1,$H991:$BE991,$H$4:$BE$4),12*Assumptions!$H$337+12)=Y$4,0,IF(X991=1,PMT(Assumptions!$H$335,Assumptions!$H$337,$C993),X1004))),0)</f>
        <v>0</v>
      </c>
      <c r="Z1004" s="39">
        <f>+IFERROR(-ABS(IF(EDATE(_xlfn.XLOOKUP(1,$H991:$BE991,$H$4:$BE$4),12*Assumptions!$H$337+12)=Z$4,0,IF(Y991=1,PMT(Assumptions!$H$335,Assumptions!$H$337,$C993),Y1004))),0)</f>
        <v>0</v>
      </c>
      <c r="AA1004" s="39">
        <f>+IFERROR(-ABS(IF(EDATE(_xlfn.XLOOKUP(1,$H991:$BE991,$H$4:$BE$4),12*Assumptions!$H$337+12)=AA$4,0,IF(Z991=1,PMT(Assumptions!$H$335,Assumptions!$H$337,$C993),Z1004))),0)</f>
        <v>0</v>
      </c>
      <c r="AB1004" s="39">
        <f>+IFERROR(-ABS(IF(EDATE(_xlfn.XLOOKUP(1,$H991:$BE991,$H$4:$BE$4),12*Assumptions!$H$337+12)=AB$4,0,IF(AA991=1,PMT(Assumptions!$H$335,Assumptions!$H$337,$C993),AA1004))),0)</f>
        <v>0</v>
      </c>
      <c r="AC1004" s="39">
        <f>+IFERROR(-ABS(IF(EDATE(_xlfn.XLOOKUP(1,$H991:$BE991,$H$4:$BE$4),12*Assumptions!$H$337+12)=AC$4,0,IF(AB991=1,PMT(Assumptions!$H$335,Assumptions!$H$337,$C993),AB1004))),0)</f>
        <v>0</v>
      </c>
      <c r="AD1004" s="39">
        <f>+IFERROR(-ABS(IF(EDATE(_xlfn.XLOOKUP(1,$H991:$BE991,$H$4:$BE$4),12*Assumptions!$H$337+12)=AD$4,0,IF(AC991=1,PMT(Assumptions!$H$335,Assumptions!$H$337,$C993),AC1004))),0)</f>
        <v>0</v>
      </c>
      <c r="AE1004" s="39">
        <f>+IFERROR(-ABS(IF(EDATE(_xlfn.XLOOKUP(1,$H991:$BE991,$H$4:$BE$4),12*Assumptions!$H$337+12)=AE$4,0,IF(AD991=1,PMT(Assumptions!$H$335,Assumptions!$H$337,$C993),AD1004))),0)</f>
        <v>0</v>
      </c>
      <c r="AF1004" s="39">
        <f>+IFERROR(-ABS(IF(EDATE(_xlfn.XLOOKUP(1,$H991:$BE991,$H$4:$BE$4),12*Assumptions!$H$337+12)=AF$4,0,IF(AE991=1,PMT(Assumptions!$H$335,Assumptions!$H$337,$C993),AE1004))),0)</f>
        <v>0</v>
      </c>
      <c r="AG1004" s="39">
        <f>+IFERROR(-ABS(IF(EDATE(_xlfn.XLOOKUP(1,$H991:$BE991,$H$4:$BE$4),12*Assumptions!$H$337+12)=AG$4,0,IF(AF991=1,PMT(Assumptions!$H$335,Assumptions!$H$337,$C993),AF1004))),0)</f>
        <v>0</v>
      </c>
      <c r="AH1004" s="39">
        <f>+IFERROR(-ABS(IF(EDATE(_xlfn.XLOOKUP(1,$H991:$BE991,$H$4:$BE$4),12*Assumptions!$H$337+12)=AH$4,0,IF(AG991=1,PMT(Assumptions!$H$335,Assumptions!$H$337,$C993),AG1004))),0)</f>
        <v>0</v>
      </c>
      <c r="AI1004" s="39">
        <f>+IFERROR(-ABS(IF(EDATE(_xlfn.XLOOKUP(1,$H991:$BE991,$H$4:$BE$4),12*Assumptions!$H$337+12)=AI$4,0,IF(AH991=1,PMT(Assumptions!$H$335,Assumptions!$H$337,$C993),AH1004))),0)</f>
        <v>0</v>
      </c>
      <c r="AJ1004" s="39">
        <f>+IFERROR(-ABS(IF(EDATE(_xlfn.XLOOKUP(1,$H991:$BE991,$H$4:$BE$4),12*Assumptions!$H$337+12)=AJ$4,0,IF(AI991=1,PMT(Assumptions!$H$335,Assumptions!$H$337,$C993),AI1004))),0)</f>
        <v>0</v>
      </c>
      <c r="AK1004" s="39">
        <f>+IFERROR(-ABS(IF(EDATE(_xlfn.XLOOKUP(1,$H991:$BE991,$H$4:$BE$4),12*Assumptions!$H$337+12)=AK$4,0,IF(AJ991=1,PMT(Assumptions!$H$335,Assumptions!$H$337,$C993),AJ1004))),0)</f>
        <v>0</v>
      </c>
      <c r="AL1004" s="39">
        <f>+IFERROR(-ABS(IF(EDATE(_xlfn.XLOOKUP(1,$H991:$BE991,$H$4:$BE$4),12*Assumptions!$H$337+12)=AL$4,0,IF(AK991=1,PMT(Assumptions!$H$335,Assumptions!$H$337,$C993),AK1004))),0)</f>
        <v>0</v>
      </c>
      <c r="AM1004" s="39">
        <f>+IFERROR(-ABS(IF(EDATE(_xlfn.XLOOKUP(1,$H991:$BE991,$H$4:$BE$4),12*Assumptions!$H$337+12)=AM$4,0,IF(AL991=1,PMT(Assumptions!$H$335,Assumptions!$H$337,$C993),AL1004))),0)</f>
        <v>0</v>
      </c>
      <c r="AN1004" s="39">
        <f>+IFERROR(-ABS(IF(EDATE(_xlfn.XLOOKUP(1,$H991:$BE991,$H$4:$BE$4),12*Assumptions!$H$337+12)=AN$4,0,IF(AM991=1,PMT(Assumptions!$H$335,Assumptions!$H$337,$C993),AM1004))),0)</f>
        <v>0</v>
      </c>
      <c r="AO1004" s="39">
        <f>+IFERROR(-ABS(IF(EDATE(_xlfn.XLOOKUP(1,$H991:$BE991,$H$4:$BE$4),12*Assumptions!$H$337+12)=AO$4,0,IF(AN991=1,PMT(Assumptions!$H$335,Assumptions!$H$337,$C993),AN1004))),0)</f>
        <v>0</v>
      </c>
      <c r="AP1004" s="39">
        <f>+IFERROR(-ABS(IF(EDATE(_xlfn.XLOOKUP(1,$H991:$BE991,$H$4:$BE$4),12*Assumptions!$H$337+12)=AP$4,0,IF(AO991=1,PMT(Assumptions!$H$335,Assumptions!$H$337,$C993),AO1004))),0)</f>
        <v>0</v>
      </c>
      <c r="AQ1004" s="39">
        <f>+IFERROR(-ABS(IF(EDATE(_xlfn.XLOOKUP(1,$H991:$BE991,$H$4:$BE$4),12*Assumptions!$H$337+12)=AQ$4,0,IF(AP991=1,PMT(Assumptions!$H$335,Assumptions!$H$337,$C993),AP1004))),0)</f>
        <v>0</v>
      </c>
      <c r="AR1004" s="39">
        <f>+IFERROR(-ABS(IF(EDATE(_xlfn.XLOOKUP(1,$H991:$BE991,$H$4:$BE$4),12*Assumptions!$H$337+12)=AR$4,0,IF(AQ991=1,PMT(Assumptions!$H$335,Assumptions!$H$337,$C993),AQ1004))),0)</f>
        <v>0</v>
      </c>
      <c r="AS1004" s="39">
        <f>+IFERROR(-ABS(IF(EDATE(_xlfn.XLOOKUP(1,$H991:$BE991,$H$4:$BE$4),12*Assumptions!$H$337+12)=AS$4,0,IF(AR991=1,PMT(Assumptions!$H$335,Assumptions!$H$337,$C993),AR1004))),0)</f>
        <v>0</v>
      </c>
      <c r="AT1004" s="39">
        <f>+IFERROR(-ABS(IF(EDATE(_xlfn.XLOOKUP(1,$H991:$BE991,$H$4:$BE$4),12*Assumptions!$H$337+12)=AT$4,0,IF(AS991=1,PMT(Assumptions!$H$335,Assumptions!$H$337,$C993),AS1004))),0)</f>
        <v>0</v>
      </c>
      <c r="AU1004" s="39">
        <f>+IFERROR(-ABS(IF(EDATE(_xlfn.XLOOKUP(1,$H991:$BE991,$H$4:$BE$4),12*Assumptions!$H$337+12)=AU$4,0,IF(AT991=1,PMT(Assumptions!$H$335,Assumptions!$H$337,$C993),AT1004))),0)</f>
        <v>0</v>
      </c>
      <c r="AV1004" s="39">
        <f>+IFERROR(-ABS(IF(EDATE(_xlfn.XLOOKUP(1,$H991:$BE991,$H$4:$BE$4),12*Assumptions!$H$337+12)=AV$4,0,IF(AU991=1,PMT(Assumptions!$H$335,Assumptions!$H$337,$C993),AU1004))),0)</f>
        <v>0</v>
      </c>
      <c r="AW1004" s="39">
        <f>+IFERROR(-ABS(IF(EDATE(_xlfn.XLOOKUP(1,$H991:$BE991,$H$4:$BE$4),12*Assumptions!$H$337+12)=AW$4,0,IF(AV991=1,PMT(Assumptions!$H$335,Assumptions!$H$337,$C993),AV1004))),0)</f>
        <v>0</v>
      </c>
      <c r="AX1004" s="39">
        <f>+IFERROR(-ABS(IF(EDATE(_xlfn.XLOOKUP(1,$H991:$BE991,$H$4:$BE$4),12*Assumptions!$H$337+12)=AX$4,0,IF(AW991=1,PMT(Assumptions!$H$335,Assumptions!$H$337,$C993),AW1004))),0)</f>
        <v>0</v>
      </c>
      <c r="AY1004" s="39">
        <f>+IFERROR(-ABS(IF(EDATE(_xlfn.XLOOKUP(1,$H991:$BE991,$H$4:$BE$4),12*Assumptions!$H$337+12)=AY$4,0,IF(AX991=1,PMT(Assumptions!$H$335,Assumptions!$H$337,$C993),AX1004))),0)</f>
        <v>0</v>
      </c>
      <c r="AZ1004" s="39">
        <f>+IFERROR(-ABS(IF(EDATE(_xlfn.XLOOKUP(1,$H991:$BE991,$H$4:$BE$4),12*Assumptions!$H$337+12)=AZ$4,0,IF(AY991=1,PMT(Assumptions!$H$335,Assumptions!$H$337,$C993),AY1004))),0)</f>
        <v>0</v>
      </c>
      <c r="BA1004" s="39">
        <f>+IFERROR(-ABS(IF(EDATE(_xlfn.XLOOKUP(1,$H991:$BE991,$H$4:$BE$4),12*Assumptions!$H$337+12)=BA$4,0,IF(AZ991=1,PMT(Assumptions!$H$335,Assumptions!$H$337,$C993),AZ1004))),0)</f>
        <v>0</v>
      </c>
      <c r="BB1004" s="39">
        <f>+IFERROR(-ABS(IF(EDATE(_xlfn.XLOOKUP(1,$H991:$BE991,$H$4:$BE$4),12*Assumptions!$H$337+12)=BB$4,0,IF(BA991=1,PMT(Assumptions!$H$335,Assumptions!$H$337,$C993),BA1004))),0)</f>
        <v>0</v>
      </c>
      <c r="BC1004" s="39">
        <f>+IFERROR(-ABS(IF(EDATE(_xlfn.XLOOKUP(1,$H991:$BE991,$H$4:$BE$4),12*Assumptions!$H$337+12)=BC$4,0,IF(BB991=1,PMT(Assumptions!$H$335,Assumptions!$H$337,$C993),BB1004))),0)</f>
        <v>0</v>
      </c>
      <c r="BD1004" s="39">
        <f>+IFERROR(-ABS(IF(EDATE(_xlfn.XLOOKUP(1,$H991:$BE991,$H$4:$BE$4),12*Assumptions!$H$337+12)=BD$4,0,IF(BC991=1,PMT(Assumptions!$H$335,Assumptions!$H$337,$C993),BC1004))),0)</f>
        <v>0</v>
      </c>
      <c r="BE1004" s="39">
        <f>+IFERROR(-ABS(IF(EDATE(_xlfn.XLOOKUP(1,$H991:$BE991,$H$4:$BE$4),12*Assumptions!$H$337+12)=BE$4,0,IF(BD991=1,PMT(Assumptions!$H$335,Assumptions!$H$337,$C993),BD1004))),0)</f>
        <v>0</v>
      </c>
      <c r="BF1004" s="39">
        <f>+IFERROR(-ABS(IF(EDATE(_xlfn.XLOOKUP(1,$H991:$BE991,$H$4:$BE$4),12*Assumptions!$H$337+12)=BF$4,0,IF(BE991=1,PMT(Assumptions!$H$335,Assumptions!$H$337,$C993),BE1004))),0)</f>
        <v>0</v>
      </c>
      <c r="BG1004" s="39">
        <f>+IFERROR(-ABS(IF(EDATE(_xlfn.XLOOKUP(1,$H991:$BE991,$H$4:$BE$4),12*Assumptions!$H$337+12)=BG$4,0,IF(BF991=1,PMT(Assumptions!$H$335,Assumptions!$H$337,$C993),BF1004))),0)</f>
        <v>0</v>
      </c>
      <c r="BH1004" s="39">
        <f>+IFERROR(-ABS(IF(EDATE(_xlfn.XLOOKUP(1,$H991:$BE991,$H$4:$BE$4),12*Assumptions!$H$337+12)=BH$4,0,IF(BG991=1,PMT(Assumptions!$H$335,Assumptions!$H$337,$C993),BG1004))),0)</f>
        <v>0</v>
      </c>
      <c r="BI1004" s="39">
        <f>+IFERROR(-ABS(IF(EDATE(_xlfn.XLOOKUP(1,$H991:$BE991,$H$4:$BE$4),12*Assumptions!$H$337+12)=BI$4,0,IF(BH991=1,PMT(Assumptions!$H$335,Assumptions!$H$337,$C993),BH1004))),0)</f>
        <v>0</v>
      </c>
      <c r="BJ1004" s="39">
        <f>+IFERROR(-ABS(IF(EDATE(_xlfn.XLOOKUP(1,$H991:$BE991,$H$4:$BE$4),12*Assumptions!$H$337+12)=BJ$4,0,IF(BI991=1,PMT(Assumptions!$H$335,Assumptions!$H$337,$C993),BI1004))),0)</f>
        <v>0</v>
      </c>
      <c r="BK1004" s="39">
        <f>+IFERROR(-ABS(IF(EDATE(_xlfn.XLOOKUP(1,$H991:$BE991,$H$4:$BE$4),12*Assumptions!$H$337+12)=BK$4,0,IF(BJ991=1,PMT(Assumptions!$H$335,Assumptions!$H$337,$C993),BJ1004))),0)</f>
        <v>0</v>
      </c>
      <c r="BL1004" s="39">
        <f>+IFERROR(-ABS(IF(EDATE(_xlfn.XLOOKUP(1,$H991:$BE991,$H$4:$BE$4),12*Assumptions!$H$337+12)=BL$4,0,IF(BK991=1,PMT(Assumptions!$H$335,Assumptions!$H$337,$C993),BK1004))),0)</f>
        <v>0</v>
      </c>
      <c r="BM1004" s="39">
        <f>+IFERROR(-ABS(IF(EDATE(_xlfn.XLOOKUP(1,$H991:$BE991,$H$4:$BE$4),12*Assumptions!$H$337+12)=BM$4,0,IF(BL991=1,PMT(Assumptions!$H$335,Assumptions!$H$337,$C993),BL1004))),0)</f>
        <v>0</v>
      </c>
      <c r="BN1004" s="39">
        <f>+IFERROR(-ABS(IF(EDATE(_xlfn.XLOOKUP(1,$H991:$BE991,$H$4:$BE$4),12*Assumptions!$H$337+12)=BN$4,0,IF(BM991=1,PMT(Assumptions!$H$335,Assumptions!$H$337,$C993),BM1004))),0)</f>
        <v>0</v>
      </c>
      <c r="BO1004" s="39">
        <f>+IFERROR(-ABS(IF(EDATE(_xlfn.XLOOKUP(1,$H991:$BE991,$H$4:$BE$4),12*Assumptions!$H$337+12)=BO$4,0,IF(BN991=1,PMT(Assumptions!$H$335,Assumptions!$H$337,$C993),BN1004))),0)</f>
        <v>0</v>
      </c>
      <c r="BP1004" s="39">
        <f>+IFERROR(-ABS(IF(EDATE(_xlfn.XLOOKUP(1,$H991:$BE991,$H$4:$BE$4),12*Assumptions!$H$337+12)=BP$4,0,IF(BO991=1,PMT(Assumptions!$H$335,Assumptions!$H$337,$C993),BO1004))),0)</f>
        <v>0</v>
      </c>
      <c r="BQ1004" s="39">
        <f>+IFERROR(-ABS(IF(EDATE(_xlfn.XLOOKUP(1,$H991:$BE991,$H$4:$BE$4),12*Assumptions!$H$337+12)=BQ$4,0,IF(BP991=1,PMT(Assumptions!$H$335,Assumptions!$H$337,$C993),BP1004))),0)</f>
        <v>0</v>
      </c>
      <c r="BR1004" s="39">
        <f>+IFERROR(-ABS(IF(EDATE(_xlfn.XLOOKUP(1,$H991:$BE991,$H$4:$BE$4),12*Assumptions!$H$337+12)=BR$4,0,IF(BQ991=1,PMT(Assumptions!$H$335,Assumptions!$H$337,$C993),BQ1004))),0)</f>
        <v>0</v>
      </c>
      <c r="BS1004" s="39">
        <f>+IFERROR(-ABS(IF(EDATE(_xlfn.XLOOKUP(1,$H991:$BE991,$H$4:$BE$4),12*Assumptions!$H$337+12)=BS$4,0,IF(BR991=1,PMT(Assumptions!$H$335,Assumptions!$H$337,$C993),BR1004))),0)</f>
        <v>0</v>
      </c>
      <c r="BT1004" s="39">
        <f>+IFERROR(-ABS(IF(EDATE(_xlfn.XLOOKUP(1,$H991:$BE991,$H$4:$BE$4),12*Assumptions!$H$337+12)=BT$4,0,IF(BS991=1,PMT(Assumptions!$H$335,Assumptions!$H$337,$C993),BS1004))),0)</f>
        <v>0</v>
      </c>
      <c r="BU1004" s="39">
        <f>+IFERROR(-ABS(IF(EDATE(_xlfn.XLOOKUP(1,$H991:$BE991,$H$4:$BE$4),12*Assumptions!$H$337+12)=BU$4,0,IF(BT991=1,PMT(Assumptions!$H$335,Assumptions!$H$337,$C993),BT1004))),0)</f>
        <v>0</v>
      </c>
      <c r="BV1004" s="39">
        <f>+IFERROR(-ABS(IF(EDATE(_xlfn.XLOOKUP(1,$H991:$BE991,$H$4:$BE$4),12*Assumptions!$H$337+12)=BV$4,0,IF(BU991=1,PMT(Assumptions!$H$335,Assumptions!$H$337,$C993),BU1004))),0)</f>
        <v>0</v>
      </c>
      <c r="BW1004" s="39">
        <f>+IFERROR(-ABS(IF(EDATE(_xlfn.XLOOKUP(1,$H991:$BE991,$H$4:$BE$4),12*Assumptions!$H$337+12)=BW$4,0,IF(BV991=1,PMT(Assumptions!$H$335,Assumptions!$H$337,$C993),BV1004))),0)</f>
        <v>0</v>
      </c>
      <c r="BX1004" s="39">
        <f>+IFERROR(-ABS(IF(EDATE(_xlfn.XLOOKUP(1,$H991:$BE991,$H$4:$BE$4),12*Assumptions!$H$337+12)=BX$4,0,IF(BW991=1,PMT(Assumptions!$H$335,Assumptions!$H$337,$C993),BW1004))),0)</f>
        <v>0</v>
      </c>
      <c r="BY1004" s="39">
        <f>+IFERROR(-ABS(IF(EDATE(_xlfn.XLOOKUP(1,$H991:$BE991,$H$4:$BE$4),12*Assumptions!$H$337+12)=BY$4,0,IF(BX991=1,PMT(Assumptions!$H$335,Assumptions!$H$337,$C993),BX1004))),0)</f>
        <v>0</v>
      </c>
    </row>
    <row r="1005" spans="5:77" outlineLevel="1">
      <c r="E1005" s="24" t="s">
        <v>523</v>
      </c>
      <c r="F1005" s="80" t="str">
        <f>+Assumptions!$G$8</f>
        <v>USD</v>
      </c>
      <c r="G1005" s="24"/>
      <c r="H1005" s="39">
        <f>+IFERROR(-ABS(IF(EDATE(_xlfn.XLOOKUP(1,$H992:$BE992,$H$4:$BE$4),12*Assumptions!$H$337+12)=H$4,0,IF(G992=1,PMT(Assumptions!$H$335,Assumptions!$H$337,$C994),G1005))),0)</f>
        <v>0</v>
      </c>
      <c r="I1005" s="39">
        <f>+IFERROR(-ABS(IF(EDATE(_xlfn.XLOOKUP(1,$H992:$BE992,$H$4:$BE$4),12*Assumptions!$H$337+12)=I$4,0,IF(H992=1,PMT(Assumptions!$H$335,Assumptions!$H$337,$C994),H1005))),0)</f>
        <v>0</v>
      </c>
      <c r="J1005" s="39">
        <f>+IFERROR(-ABS(IF(EDATE(_xlfn.XLOOKUP(1,$H992:$BE992,$H$4:$BE$4),12*Assumptions!$H$337+12)=J$4,0,IF(I992=1,PMT(Assumptions!$H$335,Assumptions!$H$337,$C994),I1005))),0)</f>
        <v>0</v>
      </c>
      <c r="K1005" s="39">
        <f>+IFERROR(-ABS(IF(EDATE(_xlfn.XLOOKUP(1,$H992:$BE992,$H$4:$BE$4),12*Assumptions!$H$337+12)=K$4,0,IF(J992=1,PMT(Assumptions!$H$335,Assumptions!$H$337,$C994),J1005))),0)</f>
        <v>0</v>
      </c>
      <c r="L1005" s="39">
        <f>+IFERROR(-ABS(IF(EDATE(_xlfn.XLOOKUP(1,$H992:$BE992,$H$4:$BE$4),12*Assumptions!$H$337+12)=L$4,0,IF(K992=1,PMT(Assumptions!$H$335,Assumptions!$H$337,$C994),K1005))),0)</f>
        <v>0</v>
      </c>
      <c r="M1005" s="39">
        <f>+IFERROR(-ABS(IF(EDATE(_xlfn.XLOOKUP(1,$H992:$BE992,$H$4:$BE$4),12*Assumptions!$H$337+12)=M$4,0,IF(L992=1,PMT(Assumptions!$H$335,Assumptions!$H$337,$C994),L1005))),0)</f>
        <v>0</v>
      </c>
      <c r="N1005" s="39">
        <f>+IFERROR(-ABS(IF(EDATE(_xlfn.XLOOKUP(1,$H992:$BE992,$H$4:$BE$4),12*Assumptions!$H$337+12)=N$4,0,IF(M992=1,PMT(Assumptions!$H$335,Assumptions!$H$337,$C994),M1005))),0)</f>
        <v>0</v>
      </c>
      <c r="O1005" s="39">
        <f>+IFERROR(-ABS(IF(EDATE(_xlfn.XLOOKUP(1,$H992:$BE992,$H$4:$BE$4),12*Assumptions!$H$337+12)=O$4,0,IF(N992=1,PMT(Assumptions!$H$335,Assumptions!$H$337,$C994),N1005))),0)</f>
        <v>0</v>
      </c>
      <c r="P1005" s="39">
        <f>+IFERROR(-ABS(IF(EDATE(_xlfn.XLOOKUP(1,$H992:$BE992,$H$4:$BE$4),12*Assumptions!$H$337+12)=P$4,0,IF(O992=1,PMT(Assumptions!$H$335,Assumptions!$H$337,$C994),O1005))),0)</f>
        <v>0</v>
      </c>
      <c r="Q1005" s="39">
        <f>+IFERROR(-ABS(IF(EDATE(_xlfn.XLOOKUP(1,$H992:$BE992,$H$4:$BE$4),12*Assumptions!$H$337+12)=Q$4,0,IF(P992=1,PMT(Assumptions!$H$335,Assumptions!$H$337,$C994),P1005))),0)</f>
        <v>0</v>
      </c>
      <c r="R1005" s="39">
        <f>+IFERROR(-ABS(IF(EDATE(_xlfn.XLOOKUP(1,$H992:$BE992,$H$4:$BE$4),12*Assumptions!$H$337+12)=R$4,0,IF(Q992=1,PMT(Assumptions!$H$335,Assumptions!$H$337,$C994),Q1005))),0)</f>
        <v>0</v>
      </c>
      <c r="S1005" s="39">
        <f>+IFERROR(-ABS(IF(EDATE(_xlfn.XLOOKUP(1,$H992:$BE992,$H$4:$BE$4),12*Assumptions!$H$337+12)=S$4,0,IF(R992=1,PMT(Assumptions!$H$335,Assumptions!$H$337,$C994),R1005))),0)</f>
        <v>0</v>
      </c>
      <c r="T1005" s="39">
        <f>+IFERROR(-ABS(IF(EDATE(_xlfn.XLOOKUP(1,$H992:$BE992,$H$4:$BE$4),12*Assumptions!$H$337+12)=T$4,0,IF(S992=1,PMT(Assumptions!$H$335,Assumptions!$H$337,$C994),S1005))),0)</f>
        <v>0</v>
      </c>
      <c r="U1005" s="39">
        <f>+IFERROR(-ABS(IF(EDATE(_xlfn.XLOOKUP(1,$H992:$BE992,$H$4:$BE$4),12*Assumptions!$H$337+12)=U$4,0,IF(T992=1,PMT(Assumptions!$H$335,Assumptions!$H$337,$C994),T1005))),0)</f>
        <v>0</v>
      </c>
      <c r="V1005" s="39">
        <f>+IFERROR(-ABS(IF(EDATE(_xlfn.XLOOKUP(1,$H992:$BE992,$H$4:$BE$4),12*Assumptions!$H$337+12)=V$4,0,IF(U992=1,PMT(Assumptions!$H$335,Assumptions!$H$337,$C994),U1005))),0)</f>
        <v>0</v>
      </c>
      <c r="W1005" s="39">
        <f>+IFERROR(-ABS(IF(EDATE(_xlfn.XLOOKUP(1,$H992:$BE992,$H$4:$BE$4),12*Assumptions!$H$337+12)=W$4,0,IF(V992=1,PMT(Assumptions!$H$335,Assumptions!$H$337,$C994),V1005))),0)</f>
        <v>0</v>
      </c>
      <c r="X1005" s="39">
        <f>+IFERROR(-ABS(IF(EDATE(_xlfn.XLOOKUP(1,$H992:$BE992,$H$4:$BE$4),12*Assumptions!$H$337+12)=X$4,0,IF(W992=1,PMT(Assumptions!$H$335,Assumptions!$H$337,$C994),W1005))),0)</f>
        <v>0</v>
      </c>
      <c r="Y1005" s="39">
        <f>+IFERROR(-ABS(IF(EDATE(_xlfn.XLOOKUP(1,$H992:$BE992,$H$4:$BE$4),12*Assumptions!$H$337+12)=Y$4,0,IF(X992=1,PMT(Assumptions!$H$335,Assumptions!$H$337,$C994),X1005))),0)</f>
        <v>0</v>
      </c>
      <c r="Z1005" s="39">
        <f>+IFERROR(-ABS(IF(EDATE(_xlfn.XLOOKUP(1,$H992:$BE992,$H$4:$BE$4),12*Assumptions!$H$337+12)=Z$4,0,IF(Y992=1,PMT(Assumptions!$H$335,Assumptions!$H$337,$C994),Y1005))),0)</f>
        <v>0</v>
      </c>
      <c r="AA1005" s="39">
        <f>+IFERROR(-ABS(IF(EDATE(_xlfn.XLOOKUP(1,$H992:$BE992,$H$4:$BE$4),12*Assumptions!$H$337+12)=AA$4,0,IF(Z992=1,PMT(Assumptions!$H$335,Assumptions!$H$337,$C994),Z1005))),0)</f>
        <v>0</v>
      </c>
      <c r="AB1005" s="39">
        <f>+IFERROR(-ABS(IF(EDATE(_xlfn.XLOOKUP(1,$H992:$BE992,$H$4:$BE$4),12*Assumptions!$H$337+12)=AB$4,0,IF(AA992=1,PMT(Assumptions!$H$335,Assumptions!$H$337,$C994),AA1005))),0)</f>
        <v>0</v>
      </c>
      <c r="AC1005" s="39">
        <f>+IFERROR(-ABS(IF(EDATE(_xlfn.XLOOKUP(1,$H992:$BE992,$H$4:$BE$4),12*Assumptions!$H$337+12)=AC$4,0,IF(AB992=1,PMT(Assumptions!$H$335,Assumptions!$H$337,$C994),AB1005))),0)</f>
        <v>0</v>
      </c>
      <c r="AD1005" s="39">
        <f>+IFERROR(-ABS(IF(EDATE(_xlfn.XLOOKUP(1,$H992:$BE992,$H$4:$BE$4),12*Assumptions!$H$337+12)=AD$4,0,IF(AC992=1,PMT(Assumptions!$H$335,Assumptions!$H$337,$C994),AC1005))),0)</f>
        <v>0</v>
      </c>
      <c r="AE1005" s="39">
        <f>+IFERROR(-ABS(IF(EDATE(_xlfn.XLOOKUP(1,$H992:$BE992,$H$4:$BE$4),12*Assumptions!$H$337+12)=AE$4,0,IF(AD992=1,PMT(Assumptions!$H$335,Assumptions!$H$337,$C994),AD1005))),0)</f>
        <v>0</v>
      </c>
      <c r="AF1005" s="39">
        <f>+IFERROR(-ABS(IF(EDATE(_xlfn.XLOOKUP(1,$H992:$BE992,$H$4:$BE$4),12*Assumptions!$H$337+12)=AF$4,0,IF(AE992=1,PMT(Assumptions!$H$335,Assumptions!$H$337,$C994),AE1005))),0)</f>
        <v>0</v>
      </c>
      <c r="AG1005" s="39">
        <f>+IFERROR(-ABS(IF(EDATE(_xlfn.XLOOKUP(1,$H992:$BE992,$H$4:$BE$4),12*Assumptions!$H$337+12)=AG$4,0,IF(AF992=1,PMT(Assumptions!$H$335,Assumptions!$H$337,$C994),AF1005))),0)</f>
        <v>0</v>
      </c>
      <c r="AH1005" s="39">
        <f>+IFERROR(-ABS(IF(EDATE(_xlfn.XLOOKUP(1,$H992:$BE992,$H$4:$BE$4),12*Assumptions!$H$337+12)=AH$4,0,IF(AG992=1,PMT(Assumptions!$H$335,Assumptions!$H$337,$C994),AG1005))),0)</f>
        <v>0</v>
      </c>
      <c r="AI1005" s="39">
        <f>+IFERROR(-ABS(IF(EDATE(_xlfn.XLOOKUP(1,$H992:$BE992,$H$4:$BE$4),12*Assumptions!$H$337+12)=AI$4,0,IF(AH992=1,PMT(Assumptions!$H$335,Assumptions!$H$337,$C994),AH1005))),0)</f>
        <v>0</v>
      </c>
      <c r="AJ1005" s="39">
        <f>+IFERROR(-ABS(IF(EDATE(_xlfn.XLOOKUP(1,$H992:$BE992,$H$4:$BE$4),12*Assumptions!$H$337+12)=AJ$4,0,IF(AI992=1,PMT(Assumptions!$H$335,Assumptions!$H$337,$C994),AI1005))),0)</f>
        <v>0</v>
      </c>
      <c r="AK1005" s="39">
        <f>+IFERROR(-ABS(IF(EDATE(_xlfn.XLOOKUP(1,$H992:$BE992,$H$4:$BE$4),12*Assumptions!$H$337+12)=AK$4,0,IF(AJ992=1,PMT(Assumptions!$H$335,Assumptions!$H$337,$C994),AJ1005))),0)</f>
        <v>0</v>
      </c>
      <c r="AL1005" s="39">
        <f>+IFERROR(-ABS(IF(EDATE(_xlfn.XLOOKUP(1,$H992:$BE992,$H$4:$BE$4),12*Assumptions!$H$337+12)=AL$4,0,IF(AK992=1,PMT(Assumptions!$H$335,Assumptions!$H$337,$C994),AK1005))),0)</f>
        <v>0</v>
      </c>
      <c r="AM1005" s="39">
        <f>+IFERROR(-ABS(IF(EDATE(_xlfn.XLOOKUP(1,$H992:$BE992,$H$4:$BE$4),12*Assumptions!$H$337+12)=AM$4,0,IF(AL992=1,PMT(Assumptions!$H$335,Assumptions!$H$337,$C994),AL1005))),0)</f>
        <v>0</v>
      </c>
      <c r="AN1005" s="39">
        <f>+IFERROR(-ABS(IF(EDATE(_xlfn.XLOOKUP(1,$H992:$BE992,$H$4:$BE$4),12*Assumptions!$H$337+12)=AN$4,0,IF(AM992=1,PMT(Assumptions!$H$335,Assumptions!$H$337,$C994),AM1005))),0)</f>
        <v>0</v>
      </c>
      <c r="AO1005" s="39">
        <f>+IFERROR(-ABS(IF(EDATE(_xlfn.XLOOKUP(1,$H992:$BE992,$H$4:$BE$4),12*Assumptions!$H$337+12)=AO$4,0,IF(AN992=1,PMT(Assumptions!$H$335,Assumptions!$H$337,$C994),AN1005))),0)</f>
        <v>0</v>
      </c>
      <c r="AP1005" s="39">
        <f>+IFERROR(-ABS(IF(EDATE(_xlfn.XLOOKUP(1,$H992:$BE992,$H$4:$BE$4),12*Assumptions!$H$337+12)=AP$4,0,IF(AO992=1,PMT(Assumptions!$H$335,Assumptions!$H$337,$C994),AO1005))),0)</f>
        <v>0</v>
      </c>
      <c r="AQ1005" s="39">
        <f>+IFERROR(-ABS(IF(EDATE(_xlfn.XLOOKUP(1,$H992:$BE992,$H$4:$BE$4),12*Assumptions!$H$337+12)=AQ$4,0,IF(AP992=1,PMT(Assumptions!$H$335,Assumptions!$H$337,$C994),AP1005))),0)</f>
        <v>0</v>
      </c>
      <c r="AR1005" s="39">
        <f>+IFERROR(-ABS(IF(EDATE(_xlfn.XLOOKUP(1,$H992:$BE992,$H$4:$BE$4),12*Assumptions!$H$337+12)=AR$4,0,IF(AQ992=1,PMT(Assumptions!$H$335,Assumptions!$H$337,$C994),AQ1005))),0)</f>
        <v>0</v>
      </c>
      <c r="AS1005" s="39">
        <f>+IFERROR(-ABS(IF(EDATE(_xlfn.XLOOKUP(1,$H992:$BE992,$H$4:$BE$4),12*Assumptions!$H$337+12)=AS$4,0,IF(AR992=1,PMT(Assumptions!$H$335,Assumptions!$H$337,$C994),AR1005))),0)</f>
        <v>0</v>
      </c>
      <c r="AT1005" s="39">
        <f>+IFERROR(-ABS(IF(EDATE(_xlfn.XLOOKUP(1,$H992:$BE992,$H$4:$BE$4),12*Assumptions!$H$337+12)=AT$4,0,IF(AS992=1,PMT(Assumptions!$H$335,Assumptions!$H$337,$C994),AS1005))),0)</f>
        <v>0</v>
      </c>
      <c r="AU1005" s="39">
        <f>+IFERROR(-ABS(IF(EDATE(_xlfn.XLOOKUP(1,$H992:$BE992,$H$4:$BE$4),12*Assumptions!$H$337+12)=AU$4,0,IF(AT992=1,PMT(Assumptions!$H$335,Assumptions!$H$337,$C994),AT1005))),0)</f>
        <v>0</v>
      </c>
      <c r="AV1005" s="39">
        <f>+IFERROR(-ABS(IF(EDATE(_xlfn.XLOOKUP(1,$H992:$BE992,$H$4:$BE$4),12*Assumptions!$H$337+12)=AV$4,0,IF(AU992=1,PMT(Assumptions!$H$335,Assumptions!$H$337,$C994),AU1005))),0)</f>
        <v>0</v>
      </c>
      <c r="AW1005" s="39">
        <f>+IFERROR(-ABS(IF(EDATE(_xlfn.XLOOKUP(1,$H992:$BE992,$H$4:$BE$4),12*Assumptions!$H$337+12)=AW$4,0,IF(AV992=1,PMT(Assumptions!$H$335,Assumptions!$H$337,$C994),AV1005))),0)</f>
        <v>0</v>
      </c>
      <c r="AX1005" s="39">
        <f>+IFERROR(-ABS(IF(EDATE(_xlfn.XLOOKUP(1,$H992:$BE992,$H$4:$BE$4),12*Assumptions!$H$337+12)=AX$4,0,IF(AW992=1,PMT(Assumptions!$H$335,Assumptions!$H$337,$C994),AW1005))),0)</f>
        <v>0</v>
      </c>
      <c r="AY1005" s="39">
        <f>+IFERROR(-ABS(IF(EDATE(_xlfn.XLOOKUP(1,$H992:$BE992,$H$4:$BE$4),12*Assumptions!$H$337+12)=AY$4,0,IF(AX992=1,PMT(Assumptions!$H$335,Assumptions!$H$337,$C994),AX1005))),0)</f>
        <v>0</v>
      </c>
      <c r="AZ1005" s="39">
        <f>+IFERROR(-ABS(IF(EDATE(_xlfn.XLOOKUP(1,$H992:$BE992,$H$4:$BE$4),12*Assumptions!$H$337+12)=AZ$4,0,IF(AY992=1,PMT(Assumptions!$H$335,Assumptions!$H$337,$C994),AY1005))),0)</f>
        <v>0</v>
      </c>
      <c r="BA1005" s="39">
        <f>+IFERROR(-ABS(IF(EDATE(_xlfn.XLOOKUP(1,$H992:$BE992,$H$4:$BE$4),12*Assumptions!$H$337+12)=BA$4,0,IF(AZ992=1,PMT(Assumptions!$H$335,Assumptions!$H$337,$C994),AZ1005))),0)</f>
        <v>0</v>
      </c>
      <c r="BB1005" s="39">
        <f>+IFERROR(-ABS(IF(EDATE(_xlfn.XLOOKUP(1,$H992:$BE992,$H$4:$BE$4),12*Assumptions!$H$337+12)=BB$4,0,IF(BA992=1,PMT(Assumptions!$H$335,Assumptions!$H$337,$C994),BA1005))),0)</f>
        <v>0</v>
      </c>
      <c r="BC1005" s="39">
        <f>+IFERROR(-ABS(IF(EDATE(_xlfn.XLOOKUP(1,$H992:$BE992,$H$4:$BE$4),12*Assumptions!$H$337+12)=BC$4,0,IF(BB992=1,PMT(Assumptions!$H$335,Assumptions!$H$337,$C994),BB1005))),0)</f>
        <v>0</v>
      </c>
      <c r="BD1005" s="39">
        <f>+IFERROR(-ABS(IF(EDATE(_xlfn.XLOOKUP(1,$H992:$BE992,$H$4:$BE$4),12*Assumptions!$H$337+12)=BD$4,0,IF(BC992=1,PMT(Assumptions!$H$335,Assumptions!$H$337,$C994),BC1005))),0)</f>
        <v>0</v>
      </c>
      <c r="BE1005" s="39">
        <f>+IFERROR(-ABS(IF(EDATE(_xlfn.XLOOKUP(1,$H992:$BE992,$H$4:$BE$4),12*Assumptions!$H$337+12)=BE$4,0,IF(BD992=1,PMT(Assumptions!$H$335,Assumptions!$H$337,$C994),BD1005))),0)</f>
        <v>0</v>
      </c>
      <c r="BF1005" s="39">
        <f>+IFERROR(-ABS(IF(EDATE(_xlfn.XLOOKUP(1,$H992:$BE992,$H$4:$BE$4),12*Assumptions!$H$337+12)=BF$4,0,IF(BE992=1,PMT(Assumptions!$H$335,Assumptions!$H$337,$C994),BE1005))),0)</f>
        <v>0</v>
      </c>
      <c r="BG1005" s="39">
        <f>+IFERROR(-ABS(IF(EDATE(_xlfn.XLOOKUP(1,$H992:$BE992,$H$4:$BE$4),12*Assumptions!$H$337+12)=BG$4,0,IF(BF992=1,PMT(Assumptions!$H$335,Assumptions!$H$337,$C994),BF1005))),0)</f>
        <v>0</v>
      </c>
      <c r="BH1005" s="39">
        <f>+IFERROR(-ABS(IF(EDATE(_xlfn.XLOOKUP(1,$H992:$BE992,$H$4:$BE$4),12*Assumptions!$H$337+12)=BH$4,0,IF(BG992=1,PMT(Assumptions!$H$335,Assumptions!$H$337,$C994),BG1005))),0)</f>
        <v>0</v>
      </c>
      <c r="BI1005" s="39">
        <f>+IFERROR(-ABS(IF(EDATE(_xlfn.XLOOKUP(1,$H992:$BE992,$H$4:$BE$4),12*Assumptions!$H$337+12)=BI$4,0,IF(BH992=1,PMT(Assumptions!$H$335,Assumptions!$H$337,$C994),BH1005))),0)</f>
        <v>0</v>
      </c>
      <c r="BJ1005" s="39">
        <f>+IFERROR(-ABS(IF(EDATE(_xlfn.XLOOKUP(1,$H992:$BE992,$H$4:$BE$4),12*Assumptions!$H$337+12)=BJ$4,0,IF(BI992=1,PMT(Assumptions!$H$335,Assumptions!$H$337,$C994),BI1005))),0)</f>
        <v>0</v>
      </c>
      <c r="BK1005" s="39">
        <f>+IFERROR(-ABS(IF(EDATE(_xlfn.XLOOKUP(1,$H992:$BE992,$H$4:$BE$4),12*Assumptions!$H$337+12)=BK$4,0,IF(BJ992=1,PMT(Assumptions!$H$335,Assumptions!$H$337,$C994),BJ1005))),0)</f>
        <v>0</v>
      </c>
      <c r="BL1005" s="39">
        <f>+IFERROR(-ABS(IF(EDATE(_xlfn.XLOOKUP(1,$H992:$BE992,$H$4:$BE$4),12*Assumptions!$H$337+12)=BL$4,0,IF(BK992=1,PMT(Assumptions!$H$335,Assumptions!$H$337,$C994),BK1005))),0)</f>
        <v>0</v>
      </c>
      <c r="BM1005" s="39">
        <f>+IFERROR(-ABS(IF(EDATE(_xlfn.XLOOKUP(1,$H992:$BE992,$H$4:$BE$4),12*Assumptions!$H$337+12)=BM$4,0,IF(BL992=1,PMT(Assumptions!$H$335,Assumptions!$H$337,$C994),BL1005))),0)</f>
        <v>0</v>
      </c>
      <c r="BN1005" s="39">
        <f>+IFERROR(-ABS(IF(EDATE(_xlfn.XLOOKUP(1,$H992:$BE992,$H$4:$BE$4),12*Assumptions!$H$337+12)=BN$4,0,IF(BM992=1,PMT(Assumptions!$H$335,Assumptions!$H$337,$C994),BM1005))),0)</f>
        <v>0</v>
      </c>
      <c r="BO1005" s="39">
        <f>+IFERROR(-ABS(IF(EDATE(_xlfn.XLOOKUP(1,$H992:$BE992,$H$4:$BE$4),12*Assumptions!$H$337+12)=BO$4,0,IF(BN992=1,PMT(Assumptions!$H$335,Assumptions!$H$337,$C994),BN1005))),0)</f>
        <v>0</v>
      </c>
      <c r="BP1005" s="39">
        <f>+IFERROR(-ABS(IF(EDATE(_xlfn.XLOOKUP(1,$H992:$BE992,$H$4:$BE$4),12*Assumptions!$H$337+12)=BP$4,0,IF(BO992=1,PMT(Assumptions!$H$335,Assumptions!$H$337,$C994),BO1005))),0)</f>
        <v>0</v>
      </c>
      <c r="BQ1005" s="39">
        <f>+IFERROR(-ABS(IF(EDATE(_xlfn.XLOOKUP(1,$H992:$BE992,$H$4:$BE$4),12*Assumptions!$H$337+12)=BQ$4,0,IF(BP992=1,PMT(Assumptions!$H$335,Assumptions!$H$337,$C994),BP1005))),0)</f>
        <v>0</v>
      </c>
      <c r="BR1005" s="39">
        <f>+IFERROR(-ABS(IF(EDATE(_xlfn.XLOOKUP(1,$H992:$BE992,$H$4:$BE$4),12*Assumptions!$H$337+12)=BR$4,0,IF(BQ992=1,PMT(Assumptions!$H$335,Assumptions!$H$337,$C994),BQ1005))),0)</f>
        <v>0</v>
      </c>
      <c r="BS1005" s="39">
        <f>+IFERROR(-ABS(IF(EDATE(_xlfn.XLOOKUP(1,$H992:$BE992,$H$4:$BE$4),12*Assumptions!$H$337+12)=BS$4,0,IF(BR992=1,PMT(Assumptions!$H$335,Assumptions!$H$337,$C994),BR1005))),0)</f>
        <v>0</v>
      </c>
      <c r="BT1005" s="39">
        <f>+IFERROR(-ABS(IF(EDATE(_xlfn.XLOOKUP(1,$H992:$BE992,$H$4:$BE$4),12*Assumptions!$H$337+12)=BT$4,0,IF(BS992=1,PMT(Assumptions!$H$335,Assumptions!$H$337,$C994),BS1005))),0)</f>
        <v>0</v>
      </c>
      <c r="BU1005" s="39">
        <f>+IFERROR(-ABS(IF(EDATE(_xlfn.XLOOKUP(1,$H992:$BE992,$H$4:$BE$4),12*Assumptions!$H$337+12)=BU$4,0,IF(BT992=1,PMT(Assumptions!$H$335,Assumptions!$H$337,$C994),BT1005))),0)</f>
        <v>0</v>
      </c>
      <c r="BV1005" s="39">
        <f>+IFERROR(-ABS(IF(EDATE(_xlfn.XLOOKUP(1,$H992:$BE992,$H$4:$BE$4),12*Assumptions!$H$337+12)=BV$4,0,IF(BU992=1,PMT(Assumptions!$H$335,Assumptions!$H$337,$C994),BU1005))),0)</f>
        <v>0</v>
      </c>
      <c r="BW1005" s="39">
        <f>+IFERROR(-ABS(IF(EDATE(_xlfn.XLOOKUP(1,$H992:$BE992,$H$4:$BE$4),12*Assumptions!$H$337+12)=BW$4,0,IF(BV992=1,PMT(Assumptions!$H$335,Assumptions!$H$337,$C994),BV1005))),0)</f>
        <v>0</v>
      </c>
      <c r="BX1005" s="39">
        <f>+IFERROR(-ABS(IF(EDATE(_xlfn.XLOOKUP(1,$H992:$BE992,$H$4:$BE$4),12*Assumptions!$H$337+12)=BX$4,0,IF(BW992=1,PMT(Assumptions!$H$335,Assumptions!$H$337,$C994),BW1005))),0)</f>
        <v>0</v>
      </c>
      <c r="BY1005" s="39">
        <f>+IFERROR(-ABS(IF(EDATE(_xlfn.XLOOKUP(1,$H992:$BE992,$H$4:$BE$4),12*Assumptions!$H$337+12)=BY$4,0,IF(BX992=1,PMT(Assumptions!$H$335,Assumptions!$H$337,$C994),BX1005))),0)</f>
        <v>0</v>
      </c>
    </row>
    <row r="1006" spans="5:77" outlineLevel="1">
      <c r="E1006" s="24"/>
      <c r="F1006" s="23"/>
      <c r="G1006" s="24"/>
      <c r="H1006" s="39"/>
      <c r="I1006" s="39"/>
      <c r="J1006" s="39"/>
      <c r="K1006" s="39"/>
      <c r="L1006" s="39"/>
      <c r="M1006" s="39"/>
      <c r="N1006" s="39"/>
      <c r="O1006" s="39"/>
      <c r="P1006" s="39"/>
      <c r="Q1006" s="39"/>
      <c r="R1006" s="39"/>
      <c r="S1006" s="39"/>
      <c r="T1006" s="39"/>
      <c r="U1006" s="39"/>
      <c r="V1006" s="39"/>
      <c r="W1006" s="39"/>
      <c r="X1006" s="39"/>
      <c r="Y1006" s="39"/>
      <c r="Z1006" s="39"/>
      <c r="AA1006" s="39"/>
      <c r="AB1006" s="39"/>
      <c r="AC1006" s="39"/>
      <c r="AD1006" s="39"/>
      <c r="AE1006" s="39"/>
      <c r="AF1006" s="39"/>
      <c r="AG1006" s="39"/>
      <c r="AH1006" s="39"/>
      <c r="AI1006" s="39"/>
      <c r="AJ1006" s="39"/>
      <c r="AK1006" s="39"/>
      <c r="AL1006" s="39"/>
      <c r="AM1006" s="39"/>
      <c r="AN1006" s="39"/>
      <c r="AO1006" s="39"/>
      <c r="AP1006" s="39"/>
      <c r="AQ1006" s="39"/>
      <c r="AR1006" s="39"/>
      <c r="AS1006" s="39"/>
      <c r="AT1006" s="39"/>
      <c r="AU1006" s="39"/>
      <c r="AV1006" s="39"/>
      <c r="AW1006" s="39"/>
      <c r="AX1006" s="39"/>
      <c r="AY1006" s="39"/>
      <c r="AZ1006" s="39"/>
      <c r="BA1006" s="39"/>
      <c r="BB1006" s="39"/>
      <c r="BC1006" s="39"/>
      <c r="BD1006" s="39"/>
      <c r="BE1006" s="39"/>
      <c r="BF1006" s="39"/>
      <c r="BG1006" s="39"/>
      <c r="BH1006" s="39"/>
      <c r="BI1006" s="39"/>
      <c r="BJ1006" s="39"/>
      <c r="BK1006" s="39"/>
      <c r="BL1006" s="39"/>
      <c r="BM1006" s="39"/>
      <c r="BN1006" s="39"/>
      <c r="BO1006" s="39"/>
      <c r="BP1006" s="39"/>
      <c r="BQ1006" s="39"/>
      <c r="BR1006" s="39"/>
      <c r="BS1006" s="39"/>
      <c r="BT1006" s="39"/>
      <c r="BU1006" s="39"/>
      <c r="BV1006" s="39"/>
      <c r="BW1006" s="39"/>
      <c r="BX1006" s="39"/>
      <c r="BY1006" s="39"/>
    </row>
    <row r="1007" spans="5:77" outlineLevel="1">
      <c r="E1007" t="s">
        <v>524</v>
      </c>
      <c r="F1007" s="80" t="str">
        <f>+Assumptions!$G$8</f>
        <v>USD</v>
      </c>
      <c r="H1007" s="32">
        <f>MIN(+H979-H995+H993,0)</f>
        <v>0</v>
      </c>
      <c r="I1007" s="32">
        <f t="shared" ref="I1007:BT1007" si="2051">MIN(+I979-I995+I993,0)</f>
        <v>-33577120.511999995</v>
      </c>
      <c r="J1007" s="32">
        <f t="shared" ca="1" si="2051"/>
        <v>-210484085.97211489</v>
      </c>
      <c r="K1007" s="32">
        <f t="shared" ca="1" si="2051"/>
        <v>-201110873.99024543</v>
      </c>
      <c r="L1007" s="32">
        <f t="shared" ca="1" si="2051"/>
        <v>-191199733.37273648</v>
      </c>
      <c r="M1007" s="32">
        <f t="shared" ca="1" si="2051"/>
        <v>-180719792.39518869</v>
      </c>
      <c r="N1007" s="32">
        <f t="shared" ca="1" si="2051"/>
        <v>-169638407.60493943</v>
      </c>
      <c r="O1007" s="32">
        <f t="shared" ca="1" si="2051"/>
        <v>-157921062.14157778</v>
      </c>
      <c r="P1007" s="32">
        <f t="shared" ca="1" si="2051"/>
        <v>-145531258.22207379</v>
      </c>
      <c r="Q1007" s="32">
        <f t="shared" ca="1" si="2051"/>
        <v>-132430403.45562948</v>
      </c>
      <c r="R1007" s="32">
        <f t="shared" ca="1" si="2051"/>
        <v>-118577690.63413893</v>
      </c>
      <c r="S1007" s="32">
        <f t="shared" ca="1" si="2051"/>
        <v>-103929970.62382303</v>
      </c>
      <c r="T1007" s="32">
        <f t="shared" ca="1" si="2051"/>
        <v>-88441617.962115109</v>
      </c>
      <c r="U1007" s="32">
        <f t="shared" ca="1" si="2051"/>
        <v>-72064388.741151765</v>
      </c>
      <c r="V1007" s="32">
        <f t="shared" ca="1" si="2051"/>
        <v>-54747270.335197337</v>
      </c>
      <c r="W1007" s="32">
        <f t="shared" ca="1" si="2051"/>
        <v>-36436322.503925182</v>
      </c>
      <c r="X1007" s="32">
        <f t="shared" ca="1" si="2051"/>
        <v>-17074509.376616318</v>
      </c>
      <c r="Y1007" s="32">
        <f t="shared" ca="1" si="2051"/>
        <v>0</v>
      </c>
      <c r="Z1007" s="32">
        <f t="shared" ca="1" si="2051"/>
        <v>0</v>
      </c>
      <c r="AA1007" s="32">
        <f t="shared" ca="1" si="2051"/>
        <v>0</v>
      </c>
      <c r="AB1007" s="32">
        <f t="shared" ca="1" si="2051"/>
        <v>0</v>
      </c>
      <c r="AC1007" s="32">
        <f t="shared" ca="1" si="2051"/>
        <v>0</v>
      </c>
      <c r="AD1007" s="32">
        <f t="shared" ca="1" si="2051"/>
        <v>0</v>
      </c>
      <c r="AE1007" s="32">
        <f t="shared" ca="1" si="2051"/>
        <v>0</v>
      </c>
      <c r="AF1007" s="32">
        <f t="shared" ca="1" si="2051"/>
        <v>0</v>
      </c>
      <c r="AG1007" s="32">
        <f t="shared" ca="1" si="2051"/>
        <v>0</v>
      </c>
      <c r="AH1007" s="32">
        <f t="shared" ca="1" si="2051"/>
        <v>0</v>
      </c>
      <c r="AI1007" s="32">
        <f t="shared" ca="1" si="2051"/>
        <v>0</v>
      </c>
      <c r="AJ1007" s="32">
        <f t="shared" ca="1" si="2051"/>
        <v>0</v>
      </c>
      <c r="AK1007" s="32">
        <f t="shared" ca="1" si="2051"/>
        <v>0</v>
      </c>
      <c r="AL1007" s="32">
        <f t="shared" ca="1" si="2051"/>
        <v>0</v>
      </c>
      <c r="AM1007" s="32">
        <f t="shared" ca="1" si="2051"/>
        <v>0</v>
      </c>
      <c r="AN1007" s="32">
        <f t="shared" ca="1" si="2051"/>
        <v>0</v>
      </c>
      <c r="AO1007" s="32">
        <f t="shared" ca="1" si="2051"/>
        <v>0</v>
      </c>
      <c r="AP1007" s="32">
        <f t="shared" ca="1" si="2051"/>
        <v>0</v>
      </c>
      <c r="AQ1007" s="32">
        <f t="shared" ca="1" si="2051"/>
        <v>0</v>
      </c>
      <c r="AR1007" s="32">
        <f t="shared" ca="1" si="2051"/>
        <v>0</v>
      </c>
      <c r="AS1007" s="32">
        <f t="shared" ca="1" si="2051"/>
        <v>0</v>
      </c>
      <c r="AT1007" s="32">
        <f t="shared" ca="1" si="2051"/>
        <v>0</v>
      </c>
      <c r="AU1007" s="32">
        <f t="shared" ca="1" si="2051"/>
        <v>0</v>
      </c>
      <c r="AV1007" s="32">
        <f t="shared" ca="1" si="2051"/>
        <v>0</v>
      </c>
      <c r="AW1007" s="32">
        <f t="shared" ca="1" si="2051"/>
        <v>0</v>
      </c>
      <c r="AX1007" s="32">
        <f t="shared" ca="1" si="2051"/>
        <v>0</v>
      </c>
      <c r="AY1007" s="32">
        <f t="shared" ca="1" si="2051"/>
        <v>0</v>
      </c>
      <c r="AZ1007" s="32">
        <f t="shared" ca="1" si="2051"/>
        <v>0</v>
      </c>
      <c r="BA1007" s="32">
        <f t="shared" ca="1" si="2051"/>
        <v>0</v>
      </c>
      <c r="BB1007" s="32">
        <f t="shared" ca="1" si="2051"/>
        <v>0</v>
      </c>
      <c r="BC1007" s="32">
        <f t="shared" ca="1" si="2051"/>
        <v>0</v>
      </c>
      <c r="BD1007" s="32">
        <f t="shared" ca="1" si="2051"/>
        <v>0</v>
      </c>
      <c r="BE1007" s="32">
        <f t="shared" ca="1" si="2051"/>
        <v>0</v>
      </c>
      <c r="BF1007" s="32">
        <f t="shared" ca="1" si="2051"/>
        <v>0</v>
      </c>
      <c r="BG1007" s="32">
        <f t="shared" ca="1" si="2051"/>
        <v>0</v>
      </c>
      <c r="BH1007" s="32">
        <f t="shared" ca="1" si="2051"/>
        <v>0</v>
      </c>
      <c r="BI1007" s="32">
        <f t="shared" ca="1" si="2051"/>
        <v>0</v>
      </c>
      <c r="BJ1007" s="32">
        <f t="shared" ca="1" si="2051"/>
        <v>0</v>
      </c>
      <c r="BK1007" s="32">
        <f t="shared" ca="1" si="2051"/>
        <v>0</v>
      </c>
      <c r="BL1007" s="32">
        <f t="shared" ca="1" si="2051"/>
        <v>0</v>
      </c>
      <c r="BM1007" s="32">
        <f t="shared" ca="1" si="2051"/>
        <v>0</v>
      </c>
      <c r="BN1007" s="32">
        <f t="shared" ca="1" si="2051"/>
        <v>0</v>
      </c>
      <c r="BO1007" s="32">
        <f t="shared" ca="1" si="2051"/>
        <v>0</v>
      </c>
      <c r="BP1007" s="32">
        <f t="shared" ca="1" si="2051"/>
        <v>0</v>
      </c>
      <c r="BQ1007" s="32">
        <f t="shared" ca="1" si="2051"/>
        <v>0</v>
      </c>
      <c r="BR1007" s="32">
        <f t="shared" ca="1" si="2051"/>
        <v>0</v>
      </c>
      <c r="BS1007" s="32">
        <f t="shared" ca="1" si="2051"/>
        <v>0</v>
      </c>
      <c r="BT1007" s="32">
        <f t="shared" ca="1" si="2051"/>
        <v>0</v>
      </c>
      <c r="BU1007" s="32">
        <f t="shared" ref="BU1007:BY1007" ca="1" si="2052">MIN(+BU979-BU995+BU993,0)</f>
        <v>0</v>
      </c>
      <c r="BV1007" s="32">
        <f t="shared" ca="1" si="2052"/>
        <v>0</v>
      </c>
      <c r="BW1007" s="32">
        <f t="shared" ca="1" si="2052"/>
        <v>0</v>
      </c>
      <c r="BX1007" s="32">
        <f t="shared" ca="1" si="2052"/>
        <v>0</v>
      </c>
      <c r="BY1007" s="32">
        <f t="shared" ca="1" si="2052"/>
        <v>0</v>
      </c>
    </row>
    <row r="1008" spans="5:77" outlineLevel="1"/>
    <row r="1009" spans="3:77" ht="15" outlineLevel="1">
      <c r="C1009" s="22" t="s">
        <v>525</v>
      </c>
      <c r="D1009" s="31"/>
    </row>
    <row r="1010" spans="3:77" ht="15" outlineLevel="1">
      <c r="C1010" s="68" t="str">
        <f>+Assumptions!H349</f>
        <v>Equity-first</v>
      </c>
      <c r="D1010" s="28"/>
      <c r="E1010" s="22" t="s">
        <v>459</v>
      </c>
      <c r="H1010" s="32"/>
      <c r="BF1010" s="33"/>
      <c r="BG1010" s="33"/>
      <c r="BH1010" s="33"/>
      <c r="BI1010" s="33"/>
      <c r="BJ1010" s="33"/>
      <c r="BK1010" s="33"/>
      <c r="BL1010" s="33"/>
      <c r="BM1010" s="33"/>
      <c r="BN1010" s="33"/>
      <c r="BO1010" s="33"/>
      <c r="BP1010" s="33"/>
      <c r="BQ1010" s="33"/>
      <c r="BR1010" s="33"/>
      <c r="BS1010" s="33"/>
      <c r="BT1010" s="33"/>
      <c r="BU1010" s="33"/>
      <c r="BV1010" s="33"/>
      <c r="BW1010" s="33"/>
      <c r="BX1010" s="33"/>
      <c r="BY1010" s="33"/>
    </row>
    <row r="1011" spans="3:77" outlineLevel="1">
      <c r="C1011" s="68" t="str">
        <f>+Assumptions!H350</f>
        <v>Annuity</v>
      </c>
      <c r="D1011" s="28"/>
      <c r="E1011" t="s">
        <v>458</v>
      </c>
      <c r="F1011" s="80" t="str">
        <f>+Assumptions!$G$8</f>
        <v>USD</v>
      </c>
      <c r="H1011" s="32">
        <f>IF(AND(H952=1,Assumptions!$H$328="Detailed",Assumptions!$H$327="yes"),-Assumptions_Detailed!H$204,MAX(IFERROR(H959-H974-H979,0),$C$1014-SUM($G$1011:G1011)))</f>
        <v>0</v>
      </c>
      <c r="I1011" s="32">
        <f>IF(AND(I952=1,Assumptions!$H$328="Detailed",Assumptions!$H$327="yes"),-Assumptions_Detailed!I$204,MAX(IFERROR(I959-I974-I979,0),$C$1014-SUM($G$1011:H1011)))</f>
        <v>0</v>
      </c>
      <c r="J1011" s="32">
        <f>IF(AND(J952=1,Assumptions!$H$328="Detailed",Assumptions!$H$327="yes"),-Assumptions_Detailed!J$204,MAX(IFERROR(J959-J974-J979,0),$C$1014-SUM($G$1011:I1011)))</f>
        <v>0</v>
      </c>
      <c r="K1011" s="32">
        <f>IF(AND(K952=1,Assumptions!$H$328="Detailed",Assumptions!$H$327="yes"),-Assumptions_Detailed!K$204,MAX(IFERROR(K959-K974-K979,0),$C$1014-SUM($G$1011:J1011)))</f>
        <v>0</v>
      </c>
      <c r="L1011" s="32">
        <f>IF(AND(L952=1,Assumptions!$H$328="Detailed",Assumptions!$H$327="yes"),-Assumptions_Detailed!L$204,MAX(IFERROR(L959-L974-L979,0),$C$1014-SUM($G$1011:K1011)))</f>
        <v>0</v>
      </c>
      <c r="M1011" s="32">
        <f>IF(AND(M952=1,Assumptions!$H$328="Detailed",Assumptions!$H$327="yes"),-Assumptions_Detailed!M$204,MAX(IFERROR(M959-M974-M979,0),$C$1014-SUM($G$1011:L1011)))</f>
        <v>0</v>
      </c>
      <c r="N1011" s="32">
        <f>IF(AND(N952=1,Assumptions!$H$328="Detailed",Assumptions!$H$327="yes"),-Assumptions_Detailed!N$204,MAX(IFERROR(N959-N974-N979,0),$C$1014-SUM($G$1011:M1011)))</f>
        <v>0</v>
      </c>
      <c r="O1011" s="32">
        <f>IF(AND(O952=1,Assumptions!$H$328="Detailed",Assumptions!$H$327="yes"),-Assumptions_Detailed!O$204,MAX(IFERROR(O959-O974-O979,0),$C$1014-SUM($G$1011:N1011)))</f>
        <v>0</v>
      </c>
      <c r="P1011" s="32">
        <f>IF(AND(P952=1,Assumptions!$H$328="Detailed",Assumptions!$H$327="yes"),-Assumptions_Detailed!P$204,MAX(IFERROR(P959-P974-P979,0),$C$1014-SUM($G$1011:O1011)))</f>
        <v>0</v>
      </c>
      <c r="Q1011" s="32">
        <f>IF(AND(Q952=1,Assumptions!$H$328="Detailed",Assumptions!$H$327="yes"),-Assumptions_Detailed!Q$204,MAX(IFERROR(Q959-Q974-Q979,0),$C$1014-SUM($G$1011:P1011)))</f>
        <v>0</v>
      </c>
      <c r="R1011" s="32">
        <f>IF(AND(R952=1,Assumptions!$H$328="Detailed",Assumptions!$H$327="yes"),-Assumptions_Detailed!R$204,MAX(IFERROR(R959-R974-R979,0),$C$1014-SUM($G$1011:Q1011)))</f>
        <v>0</v>
      </c>
      <c r="S1011" s="32">
        <f>IF(AND(S952=1,Assumptions!$H$328="Detailed",Assumptions!$H$327="yes"),-Assumptions_Detailed!S$204,MAX(IFERROR(S959-S974-S979,0),$C$1014-SUM($G$1011:R1011)))</f>
        <v>0</v>
      </c>
      <c r="T1011" s="32">
        <f>IF(AND(T952=1,Assumptions!$H$328="Detailed",Assumptions!$H$327="yes"),-Assumptions_Detailed!T$204,MAX(IFERROR(T959-T974-T979,0),$C$1014-SUM($G$1011:S1011)))</f>
        <v>0</v>
      </c>
      <c r="U1011" s="32">
        <f>IF(AND(U952=1,Assumptions!$H$328="Detailed",Assumptions!$H$327="yes"),-Assumptions_Detailed!U$204,MAX(IFERROR(U959-U974-U979,0),$C$1014-SUM($G$1011:T1011)))</f>
        <v>0</v>
      </c>
      <c r="V1011" s="32">
        <f>IF(AND(V952=1,Assumptions!$H$328="Detailed",Assumptions!$H$327="yes"),-Assumptions_Detailed!V$204,MAX(IFERROR(V959-V974-V979,0),$C$1014-SUM($G$1011:U1011)))</f>
        <v>0</v>
      </c>
      <c r="W1011" s="32">
        <f>IF(AND(W952=1,Assumptions!$H$328="Detailed",Assumptions!$H$327="yes"),-Assumptions_Detailed!W$204,MAX(IFERROR(W959-W974-W979,0),$C$1014-SUM($G$1011:V1011)))</f>
        <v>0</v>
      </c>
      <c r="X1011" s="32">
        <f>IF(AND(X952=1,Assumptions!$H$328="Detailed",Assumptions!$H$327="yes"),-Assumptions_Detailed!X$204,MAX(IFERROR(X959-X974-X979,0),$C$1014-SUM($G$1011:W1011)))</f>
        <v>0</v>
      </c>
      <c r="Y1011" s="32">
        <f>IF(AND(Y952=1,Assumptions!$H$328="Detailed",Assumptions!$H$327="yes"),-Assumptions_Detailed!Y$204,MAX(IFERROR(Y959-Y974-Y979,0),$C$1014-SUM($G$1011:X1011)))</f>
        <v>0</v>
      </c>
      <c r="Z1011" s="32">
        <f>IF(AND(Z952=1,Assumptions!$H$328="Detailed",Assumptions!$H$327="yes"),-Assumptions_Detailed!Z$204,MAX(IFERROR(Z959-Z974-Z979,0),$C$1014-SUM($G$1011:Y1011)))</f>
        <v>0</v>
      </c>
      <c r="AA1011" s="32">
        <f>IF(AND(AA952=1,Assumptions!$H$328="Detailed",Assumptions!$H$327="yes"),-Assumptions_Detailed!AA$204,MAX(IFERROR(AA959-AA974-AA979,0),$C$1014-SUM($G$1011:Z1011)))</f>
        <v>0</v>
      </c>
      <c r="AB1011" s="32">
        <f>IF(AND(AB952=1,Assumptions!$H$328="Detailed",Assumptions!$H$327="yes"),-Assumptions_Detailed!AB$204,MAX(IFERROR(AB959-AB974-AB979,0),$C$1014-SUM($G$1011:AA1011)))</f>
        <v>0</v>
      </c>
      <c r="AC1011" s="32">
        <f>IF(AND(AC952=1,Assumptions!$H$328="Detailed",Assumptions!$H$327="yes"),-Assumptions_Detailed!AC$204,MAX(IFERROR(AC959-AC974-AC979,0),$C$1014-SUM($G$1011:AB1011)))</f>
        <v>0</v>
      </c>
      <c r="AD1011" s="32">
        <f>IF(AND(AD952=1,Assumptions!$H$328="Detailed",Assumptions!$H$327="yes"),-Assumptions_Detailed!AD$204,MAX(IFERROR(AD959-AD974-AD979,0),$C$1014-SUM($G$1011:AC1011)))</f>
        <v>0</v>
      </c>
      <c r="AE1011" s="32">
        <f>IF(AND(AE952=1,Assumptions!$H$328="Detailed",Assumptions!$H$327="yes"),-Assumptions_Detailed!AE$204,MAX(IFERROR(AE959-AE974-AE979,0),$C$1014-SUM($G$1011:AD1011)))</f>
        <v>0</v>
      </c>
      <c r="AF1011" s="32">
        <f>IF(AND(AF952=1,Assumptions!$H$328="Detailed",Assumptions!$H$327="yes"),-Assumptions_Detailed!AF$204,MAX(IFERROR(AF959-AF974-AF979,0),$C$1014-SUM($G$1011:AE1011)))</f>
        <v>0</v>
      </c>
      <c r="AG1011" s="32">
        <f>IF(AND(AG952=1,Assumptions!$H$328="Detailed",Assumptions!$H$327="yes"),-Assumptions_Detailed!AG$204,MAX(IFERROR(AG959-AG974-AG979,0),$C$1014-SUM($G$1011:AF1011)))</f>
        <v>0</v>
      </c>
      <c r="AH1011" s="32">
        <f>IF(AND(AH952=1,Assumptions!$H$328="Detailed",Assumptions!$H$327="yes"),-Assumptions_Detailed!AH$204,MAX(IFERROR(AH959-AH974-AH979,0),$C$1014-SUM($G$1011:AG1011)))</f>
        <v>0</v>
      </c>
      <c r="AI1011" s="32">
        <f>IF(AND(AI952=1,Assumptions!$H$328="Detailed",Assumptions!$H$327="yes"),-Assumptions_Detailed!AI$204,MAX(IFERROR(AI959-AI974-AI979,0),$C$1014-SUM($G$1011:AH1011)))</f>
        <v>0</v>
      </c>
      <c r="AJ1011" s="32">
        <f>IF(AND(AJ952=1,Assumptions!$H$328="Detailed",Assumptions!$H$327="yes"),-Assumptions_Detailed!AJ$204,MAX(IFERROR(AJ959-AJ974-AJ979,0),$C$1014-SUM($G$1011:AI1011)))</f>
        <v>0</v>
      </c>
      <c r="AK1011" s="32">
        <f>IF(AND(AK952=1,Assumptions!$H$328="Detailed",Assumptions!$H$327="yes"),-Assumptions_Detailed!AK$204,MAX(IFERROR(AK959-AK974-AK979,0),$C$1014-SUM($G$1011:AJ1011)))</f>
        <v>0</v>
      </c>
      <c r="AL1011" s="32">
        <f>IF(AND(AL952=1,Assumptions!$H$328="Detailed",Assumptions!$H$327="yes"),-Assumptions_Detailed!AL$204,MAX(IFERROR(AL959-AL974-AL979,0),$C$1014-SUM($G$1011:AK1011)))</f>
        <v>0</v>
      </c>
      <c r="AM1011" s="32">
        <f>IF(AND(AM952=1,Assumptions!$H$328="Detailed",Assumptions!$H$327="yes"),-Assumptions_Detailed!AM$204,MAX(IFERROR(AM959-AM974-AM979,0),$C$1014-SUM($G$1011:AL1011)))</f>
        <v>0</v>
      </c>
      <c r="AN1011" s="32">
        <f>IF(AND(AN952=1,Assumptions!$H$328="Detailed",Assumptions!$H$327="yes"),-Assumptions_Detailed!AN$204,MAX(IFERROR(AN959-AN974-AN979,0),$C$1014-SUM($G$1011:AM1011)))</f>
        <v>0</v>
      </c>
      <c r="AO1011" s="32">
        <f>IF(AND(AO952=1,Assumptions!$H$328="Detailed",Assumptions!$H$327="yes"),-Assumptions_Detailed!AO$204,MAX(IFERROR(AO959-AO974-AO979,0),$C$1014-SUM($G$1011:AN1011)))</f>
        <v>0</v>
      </c>
      <c r="AP1011" s="32">
        <f>IF(AND(AP952=1,Assumptions!$H$328="Detailed",Assumptions!$H$327="yes"),-Assumptions_Detailed!AP$204,MAX(IFERROR(AP959-AP974-AP979,0),$C$1014-SUM($G$1011:AO1011)))</f>
        <v>0</v>
      </c>
      <c r="AQ1011" s="32">
        <f>IF(AND(AQ952=1,Assumptions!$H$328="Detailed",Assumptions!$H$327="yes"),-Assumptions_Detailed!AQ$204,MAX(IFERROR(AQ959-AQ974-AQ979,0),$C$1014-SUM($G$1011:AP1011)))</f>
        <v>0</v>
      </c>
      <c r="AR1011" s="32">
        <f>IF(AND(AR952=1,Assumptions!$H$328="Detailed",Assumptions!$H$327="yes"),-Assumptions_Detailed!AR$204,MAX(IFERROR(AR959-AR974-AR979,0),$C$1014-SUM($G$1011:AQ1011)))</f>
        <v>0</v>
      </c>
      <c r="AS1011" s="32">
        <f>IF(AND(AS952=1,Assumptions!$H$328="Detailed",Assumptions!$H$327="yes"),-Assumptions_Detailed!AS$204,MAX(IFERROR(AS959-AS974-AS979,0),$C$1014-SUM($G$1011:AR1011)))</f>
        <v>0</v>
      </c>
      <c r="AT1011" s="32">
        <f>IF(AND(AT952=1,Assumptions!$H$328="Detailed",Assumptions!$H$327="yes"),-Assumptions_Detailed!AT$204,MAX(IFERROR(AT959-AT974-AT979,0),$C$1014-SUM($G$1011:AS1011)))</f>
        <v>0</v>
      </c>
      <c r="AU1011" s="32">
        <f>IF(AND(AU952=1,Assumptions!$H$328="Detailed",Assumptions!$H$327="yes"),-Assumptions_Detailed!AU$204,MAX(IFERROR(AU959-AU974-AU979,0),$C$1014-SUM($G$1011:AT1011)))</f>
        <v>0</v>
      </c>
      <c r="AV1011" s="32">
        <f>IF(AND(AV952=1,Assumptions!$H$328="Detailed",Assumptions!$H$327="yes"),-Assumptions_Detailed!AV$204,MAX(IFERROR(AV959-AV974-AV979,0),$C$1014-SUM($G$1011:AU1011)))</f>
        <v>0</v>
      </c>
      <c r="AW1011" s="32">
        <f>IF(AND(AW952=1,Assumptions!$H$328="Detailed",Assumptions!$H$327="yes"),-Assumptions_Detailed!AW$204,MAX(IFERROR(AW959-AW974-AW979,0),$C$1014-SUM($G$1011:AV1011)))</f>
        <v>0</v>
      </c>
      <c r="AX1011" s="32">
        <f>IF(AND(AX952=1,Assumptions!$H$328="Detailed",Assumptions!$H$327="yes"),-Assumptions_Detailed!AX$204,MAX(IFERROR(AX959-AX974-AX979,0),$C$1014-SUM($G$1011:AW1011)))</f>
        <v>0</v>
      </c>
      <c r="AY1011" s="32">
        <f>IF(AND(AY952=1,Assumptions!$H$328="Detailed",Assumptions!$H$327="yes"),-Assumptions_Detailed!AY$204,MAX(IFERROR(AY959-AY974-AY979,0),$C$1014-SUM($G$1011:AX1011)))</f>
        <v>0</v>
      </c>
      <c r="AZ1011" s="32">
        <f>IF(AND(AZ952=1,Assumptions!$H$328="Detailed",Assumptions!$H$327="yes"),-Assumptions_Detailed!AZ$204,MAX(IFERROR(AZ959-AZ974-AZ979,0),$C$1014-SUM($G$1011:AY1011)))</f>
        <v>0</v>
      </c>
      <c r="BA1011" s="32">
        <f>IF(AND(BA952=1,Assumptions!$H$328="Detailed",Assumptions!$H$327="yes"),-Assumptions_Detailed!BA$204,MAX(IFERROR(BA959-BA974-BA979,0),$C$1014-SUM($G$1011:AZ1011)))</f>
        <v>0</v>
      </c>
      <c r="BB1011" s="32">
        <f>IF(AND(BB952=1,Assumptions!$H$328="Detailed",Assumptions!$H$327="yes"),-Assumptions_Detailed!BB$204,MAX(IFERROR(BB959-BB974-BB979,0),$C$1014-SUM($G$1011:BA1011)))</f>
        <v>0</v>
      </c>
      <c r="BC1011" s="32">
        <f>IF(AND(BC952=1,Assumptions!$H$328="Detailed",Assumptions!$H$327="yes"),-Assumptions_Detailed!BC$204,MAX(IFERROR(BC959-BC974-BC979,0),$C$1014-SUM($G$1011:BB1011)))</f>
        <v>0</v>
      </c>
      <c r="BD1011" s="32">
        <f>IF(AND(BD952=1,Assumptions!$H$328="Detailed",Assumptions!$H$327="yes"),-Assumptions_Detailed!BD$204,MAX(IFERROR(BD959-BD974-BD979,0),$C$1014-SUM($G$1011:BC1011)))</f>
        <v>0</v>
      </c>
      <c r="BE1011" s="32">
        <f>IF(AND(BE952=1,Assumptions!$H$328="Detailed",Assumptions!$H$327="yes"),-Assumptions_Detailed!BE$204,MAX(IFERROR(BE959-BE974-BE979,0),$C$1014-SUM($G$1011:BD1011)))</f>
        <v>0</v>
      </c>
      <c r="BF1011" s="32">
        <f>IF(AND(BF952=1,Assumptions!$H$328="Detailed",Assumptions!$H$327="yes"),-Assumptions_Detailed!BF$204,MAX(IFERROR(BF959-BF974-BF979,0),$C$1014-SUM($G$1011:BE1011)))</f>
        <v>0</v>
      </c>
      <c r="BG1011" s="32">
        <f>IF(AND(BG952=1,Assumptions!$H$328="Detailed",Assumptions!$H$327="yes"),-Assumptions_Detailed!BG$204,MAX(IFERROR(BG959-BG974-BG979,0),$C$1014-SUM($G$1011:BF1011)))</f>
        <v>0</v>
      </c>
      <c r="BH1011" s="32">
        <f>IF(AND(BH952=1,Assumptions!$H$328="Detailed",Assumptions!$H$327="yes"),-Assumptions_Detailed!BH$204,MAX(IFERROR(BH959-BH974-BH979,0),$C$1014-SUM($G$1011:BG1011)))</f>
        <v>0</v>
      </c>
      <c r="BI1011" s="32">
        <f>IF(AND(BI952=1,Assumptions!$H$328="Detailed",Assumptions!$H$327="yes"),-Assumptions_Detailed!BI$204,MAX(IFERROR(BI959-BI974-BI979,0),$C$1014-SUM($G$1011:BH1011)))</f>
        <v>0</v>
      </c>
      <c r="BJ1011" s="32">
        <f>IF(AND(BJ952=1,Assumptions!$H$328="Detailed",Assumptions!$H$327="yes"),-Assumptions_Detailed!BJ$204,MAX(IFERROR(BJ959-BJ974-BJ979,0),$C$1014-SUM($G$1011:BI1011)))</f>
        <v>0</v>
      </c>
      <c r="BK1011" s="32">
        <f>IF(AND(BK952=1,Assumptions!$H$328="Detailed",Assumptions!$H$327="yes"),-Assumptions_Detailed!BK$204,MAX(IFERROR(BK959-BK974-BK979,0),$C$1014-SUM($G$1011:BJ1011)))</f>
        <v>0</v>
      </c>
      <c r="BL1011" s="32">
        <f>IF(AND(BL952=1,Assumptions!$H$328="Detailed",Assumptions!$H$327="yes"),-Assumptions_Detailed!BL$204,MAX(IFERROR(BL959-BL974-BL979,0),$C$1014-SUM($G$1011:BK1011)))</f>
        <v>0</v>
      </c>
      <c r="BM1011" s="32">
        <f>IF(AND(BM952=1,Assumptions!$H$328="Detailed",Assumptions!$H$327="yes"),-Assumptions_Detailed!BM$204,MAX(IFERROR(BM959-BM974-BM979,0),$C$1014-SUM($G$1011:BL1011)))</f>
        <v>0</v>
      </c>
      <c r="BN1011" s="32">
        <f>IF(AND(BN952=1,Assumptions!$H$328="Detailed",Assumptions!$H$327="yes"),-Assumptions_Detailed!BN$204,MAX(IFERROR(BN959-BN974-BN979,0),$C$1014-SUM($G$1011:BM1011)))</f>
        <v>0</v>
      </c>
      <c r="BO1011" s="32">
        <f>IF(AND(BO952=1,Assumptions!$H$328="Detailed",Assumptions!$H$327="yes"),-Assumptions_Detailed!BO$204,MAX(IFERROR(BO959-BO974-BO979,0),$C$1014-SUM($G$1011:BN1011)))</f>
        <v>0</v>
      </c>
      <c r="BP1011" s="32">
        <f>IF(AND(BP952=1,Assumptions!$H$328="Detailed",Assumptions!$H$327="yes"),-Assumptions_Detailed!BP$204,MAX(IFERROR(BP959-BP974-BP979,0),$C$1014-SUM($G$1011:BO1011)))</f>
        <v>0</v>
      </c>
      <c r="BQ1011" s="32">
        <f>IF(AND(BQ952=1,Assumptions!$H$328="Detailed",Assumptions!$H$327="yes"),-Assumptions_Detailed!BQ$204,MAX(IFERROR(BQ959-BQ974-BQ979,0),$C$1014-SUM($G$1011:BP1011)))</f>
        <v>0</v>
      </c>
      <c r="BR1011" s="32">
        <f>IF(AND(BR952=1,Assumptions!$H$328="Detailed",Assumptions!$H$327="yes"),-Assumptions_Detailed!BR$204,MAX(IFERROR(BR959-BR974-BR979,0),$C$1014-SUM($G$1011:BQ1011)))</f>
        <v>0</v>
      </c>
      <c r="BS1011" s="32">
        <f>IF(AND(BS952=1,Assumptions!$H$328="Detailed",Assumptions!$H$327="yes"),-Assumptions_Detailed!BS$204,MAX(IFERROR(BS959-BS974-BS979,0),$C$1014-SUM($G$1011:BR1011)))</f>
        <v>0</v>
      </c>
      <c r="BT1011" s="32">
        <f>IF(AND(BT952=1,Assumptions!$H$328="Detailed",Assumptions!$H$327="yes"),-Assumptions_Detailed!BT$204,MAX(IFERROR(BT959-BT974-BT979,0),$C$1014-SUM($G$1011:BS1011)))</f>
        <v>0</v>
      </c>
      <c r="BU1011" s="32">
        <f>IF(AND(BU952=1,Assumptions!$H$328="Detailed",Assumptions!$H$327="yes"),-Assumptions_Detailed!BU$204,MAX(IFERROR(BU959-BU974-BU979,0),$C$1014-SUM($G$1011:BT1011)))</f>
        <v>0</v>
      </c>
      <c r="BV1011" s="32">
        <f>IF(AND(BV952=1,Assumptions!$H$328="Detailed",Assumptions!$H$327="yes"),-Assumptions_Detailed!BV$204,MAX(IFERROR(BV959-BV974-BV979,0),$C$1014-SUM($G$1011:BU1011)))</f>
        <v>0</v>
      </c>
      <c r="BW1011" s="32">
        <f>IF(AND(BW952=1,Assumptions!$H$328="Detailed",Assumptions!$H$327="yes"),-Assumptions_Detailed!BW$204,MAX(IFERROR(BW959-BW974-BW979,0),$C$1014-SUM($G$1011:BV1011)))</f>
        <v>0</v>
      </c>
      <c r="BX1011" s="32">
        <f>IF(AND(BX952=1,Assumptions!$H$328="Detailed",Assumptions!$H$327="yes"),-Assumptions_Detailed!BX$204,MAX(IFERROR(BX959-BX974-BX979,0),$C$1014-SUM($G$1011:BW1011)))</f>
        <v>0</v>
      </c>
      <c r="BY1011" s="32">
        <f>IF(AND(BY952=1,Assumptions!$H$328="Detailed",Assumptions!$H$327="yes"),-Assumptions_Detailed!BY$204,MAX(IFERROR(BY959-BY974-BY979,0),$C$1014-SUM($G$1011:BX1011)))</f>
        <v>0</v>
      </c>
    </row>
    <row r="1012" spans="3:77" outlineLevel="1">
      <c r="D1012" s="31"/>
      <c r="BF1012" s="33"/>
      <c r="BG1012" s="33"/>
      <c r="BH1012" s="33"/>
      <c r="BI1012" s="33"/>
      <c r="BJ1012" s="33"/>
      <c r="BK1012" s="33"/>
      <c r="BL1012" s="33"/>
      <c r="BM1012" s="33"/>
      <c r="BN1012" s="33"/>
      <c r="BO1012" s="33"/>
      <c r="BP1012" s="33"/>
      <c r="BQ1012" s="33"/>
      <c r="BR1012" s="33"/>
      <c r="BS1012" s="33"/>
      <c r="BT1012" s="33"/>
      <c r="BU1012" s="33"/>
      <c r="BV1012" s="33"/>
      <c r="BW1012" s="33"/>
      <c r="BX1012" s="33"/>
      <c r="BY1012" s="33"/>
    </row>
    <row r="1013" spans="3:77" ht="15" outlineLevel="1">
      <c r="C1013" s="22" t="s">
        <v>498</v>
      </c>
      <c r="D1013" s="31"/>
      <c r="BF1013" s="33"/>
      <c r="BG1013" s="33"/>
      <c r="BH1013" s="33"/>
      <c r="BI1013" s="33"/>
      <c r="BJ1013" s="33"/>
      <c r="BK1013" s="33"/>
      <c r="BL1013" s="33"/>
      <c r="BM1013" s="33"/>
      <c r="BN1013" s="33"/>
      <c r="BO1013" s="33"/>
      <c r="BP1013" s="33"/>
      <c r="BQ1013" s="33"/>
      <c r="BR1013" s="33"/>
      <c r="BS1013" s="33"/>
      <c r="BT1013" s="33"/>
      <c r="BU1013" s="33"/>
      <c r="BV1013" s="33"/>
      <c r="BW1013" s="33"/>
      <c r="BX1013" s="33"/>
      <c r="BY1013" s="33"/>
    </row>
    <row r="1014" spans="3:77" outlineLevel="1">
      <c r="C1014" s="94">
        <f>+Assumptions!$H$343*C959</f>
        <v>0</v>
      </c>
      <c r="D1014" s="31"/>
      <c r="BF1014" s="33"/>
      <c r="BG1014" s="33"/>
      <c r="BH1014" s="33"/>
      <c r="BI1014" s="33"/>
      <c r="BJ1014" s="33"/>
      <c r="BK1014" s="33"/>
      <c r="BL1014" s="33"/>
      <c r="BM1014" s="33"/>
      <c r="BN1014" s="33"/>
      <c r="BO1014" s="33"/>
      <c r="BP1014" s="33"/>
      <c r="BQ1014" s="33"/>
      <c r="BR1014" s="33"/>
      <c r="BS1014" s="33"/>
      <c r="BT1014" s="33"/>
      <c r="BU1014" s="33"/>
      <c r="BV1014" s="33"/>
      <c r="BW1014" s="33"/>
      <c r="BX1014" s="33"/>
      <c r="BY1014" s="33"/>
    </row>
    <row r="1015" spans="3:77" outlineLevel="1">
      <c r="D1015" s="31"/>
      <c r="E1015" t="s">
        <v>499</v>
      </c>
      <c r="F1015" s="23" t="s">
        <v>500</v>
      </c>
      <c r="G1015" s="33"/>
      <c r="H1015" s="33" t="e" vm="1">
        <f>+IF(AND(H$1011=$C1017,H$1011&lt;0),1,0)</f>
        <v>#VALUE!</v>
      </c>
      <c r="I1015" s="33" t="e" vm="1">
        <f t="shared" ref="I1015:BT1015" si="2053">+IF(AND(I$1011=$C1017,I$1011&lt;0),1,0)</f>
        <v>#VALUE!</v>
      </c>
      <c r="J1015" s="33" t="e" vm="1">
        <f t="shared" si="2053"/>
        <v>#VALUE!</v>
      </c>
      <c r="K1015" s="33" t="e" vm="1">
        <f t="shared" si="2053"/>
        <v>#VALUE!</v>
      </c>
      <c r="L1015" s="33" t="e" vm="1">
        <f t="shared" si="2053"/>
        <v>#VALUE!</v>
      </c>
      <c r="M1015" s="33" t="e" vm="1">
        <f t="shared" si="2053"/>
        <v>#VALUE!</v>
      </c>
      <c r="N1015" s="33" t="e" vm="1">
        <f t="shared" si="2053"/>
        <v>#VALUE!</v>
      </c>
      <c r="O1015" s="33" t="e" vm="1">
        <f t="shared" si="2053"/>
        <v>#VALUE!</v>
      </c>
      <c r="P1015" s="33" t="e" vm="1">
        <f t="shared" si="2053"/>
        <v>#VALUE!</v>
      </c>
      <c r="Q1015" s="33" t="e" vm="1">
        <f t="shared" si="2053"/>
        <v>#VALUE!</v>
      </c>
      <c r="R1015" s="33" t="e" vm="1">
        <f t="shared" si="2053"/>
        <v>#VALUE!</v>
      </c>
      <c r="S1015" s="33" t="e" vm="1">
        <f t="shared" si="2053"/>
        <v>#VALUE!</v>
      </c>
      <c r="T1015" s="33" t="e" vm="1">
        <f t="shared" si="2053"/>
        <v>#VALUE!</v>
      </c>
      <c r="U1015" s="33" t="e" vm="1">
        <f t="shared" si="2053"/>
        <v>#VALUE!</v>
      </c>
      <c r="V1015" s="33" t="e" vm="1">
        <f t="shared" si="2053"/>
        <v>#VALUE!</v>
      </c>
      <c r="W1015" s="33" t="e" vm="1">
        <f t="shared" si="2053"/>
        <v>#VALUE!</v>
      </c>
      <c r="X1015" s="33" t="e" vm="1">
        <f t="shared" si="2053"/>
        <v>#VALUE!</v>
      </c>
      <c r="Y1015" s="33" t="e" vm="1">
        <f t="shared" si="2053"/>
        <v>#VALUE!</v>
      </c>
      <c r="Z1015" s="33" t="e" vm="1">
        <f t="shared" si="2053"/>
        <v>#VALUE!</v>
      </c>
      <c r="AA1015" s="33" t="e" vm="1">
        <f t="shared" si="2053"/>
        <v>#VALUE!</v>
      </c>
      <c r="AB1015" s="33" t="e" vm="1">
        <f t="shared" si="2053"/>
        <v>#VALUE!</v>
      </c>
      <c r="AC1015" s="33" t="e" vm="1">
        <f t="shared" si="2053"/>
        <v>#VALUE!</v>
      </c>
      <c r="AD1015" s="33" t="e" vm="1">
        <f t="shared" si="2053"/>
        <v>#VALUE!</v>
      </c>
      <c r="AE1015" s="33" t="e" vm="1">
        <f t="shared" si="2053"/>
        <v>#VALUE!</v>
      </c>
      <c r="AF1015" s="33" t="e" vm="1">
        <f t="shared" si="2053"/>
        <v>#VALUE!</v>
      </c>
      <c r="AG1015" s="33" t="e" vm="1">
        <f t="shared" si="2053"/>
        <v>#VALUE!</v>
      </c>
      <c r="AH1015" s="33" t="e" vm="1">
        <f t="shared" si="2053"/>
        <v>#VALUE!</v>
      </c>
      <c r="AI1015" s="33" t="e" vm="1">
        <f t="shared" si="2053"/>
        <v>#VALUE!</v>
      </c>
      <c r="AJ1015" s="33" t="e" vm="1">
        <f t="shared" si="2053"/>
        <v>#VALUE!</v>
      </c>
      <c r="AK1015" s="33" t="e" vm="1">
        <f t="shared" si="2053"/>
        <v>#VALUE!</v>
      </c>
      <c r="AL1015" s="33" t="e" vm="1">
        <f t="shared" si="2053"/>
        <v>#VALUE!</v>
      </c>
      <c r="AM1015" s="33" t="e" vm="1">
        <f t="shared" si="2053"/>
        <v>#VALUE!</v>
      </c>
      <c r="AN1015" s="33" t="e" vm="1">
        <f t="shared" si="2053"/>
        <v>#VALUE!</v>
      </c>
      <c r="AO1015" s="33" t="e" vm="1">
        <f t="shared" si="2053"/>
        <v>#VALUE!</v>
      </c>
      <c r="AP1015" s="33" t="e" vm="1">
        <f t="shared" si="2053"/>
        <v>#VALUE!</v>
      </c>
      <c r="AQ1015" s="33" t="e" vm="1">
        <f t="shared" si="2053"/>
        <v>#VALUE!</v>
      </c>
      <c r="AR1015" s="33" t="e" vm="1">
        <f t="shared" si="2053"/>
        <v>#VALUE!</v>
      </c>
      <c r="AS1015" s="33" t="e" vm="1">
        <f t="shared" si="2053"/>
        <v>#VALUE!</v>
      </c>
      <c r="AT1015" s="33" t="e" vm="1">
        <f t="shared" si="2053"/>
        <v>#VALUE!</v>
      </c>
      <c r="AU1015" s="33" t="e" vm="1">
        <f t="shared" si="2053"/>
        <v>#VALUE!</v>
      </c>
      <c r="AV1015" s="33" t="e" vm="1">
        <f t="shared" si="2053"/>
        <v>#VALUE!</v>
      </c>
      <c r="AW1015" s="33" t="e" vm="1">
        <f t="shared" si="2053"/>
        <v>#VALUE!</v>
      </c>
      <c r="AX1015" s="33" t="e" vm="1">
        <f t="shared" si="2053"/>
        <v>#VALUE!</v>
      </c>
      <c r="AY1015" s="33" t="e" vm="1">
        <f t="shared" si="2053"/>
        <v>#VALUE!</v>
      </c>
      <c r="AZ1015" s="33" t="e" vm="1">
        <f t="shared" si="2053"/>
        <v>#VALUE!</v>
      </c>
      <c r="BA1015" s="33" t="e" vm="1">
        <f t="shared" si="2053"/>
        <v>#VALUE!</v>
      </c>
      <c r="BB1015" s="33" t="e" vm="1">
        <f t="shared" si="2053"/>
        <v>#VALUE!</v>
      </c>
      <c r="BC1015" s="33" t="e" vm="1">
        <f t="shared" si="2053"/>
        <v>#VALUE!</v>
      </c>
      <c r="BD1015" s="33" t="e" vm="1">
        <f t="shared" si="2053"/>
        <v>#VALUE!</v>
      </c>
      <c r="BE1015" s="33" t="e" vm="1">
        <f t="shared" si="2053"/>
        <v>#VALUE!</v>
      </c>
      <c r="BF1015" s="33" t="e" vm="1">
        <f t="shared" si="2053"/>
        <v>#VALUE!</v>
      </c>
      <c r="BG1015" s="33" t="e" vm="1">
        <f t="shared" si="2053"/>
        <v>#VALUE!</v>
      </c>
      <c r="BH1015" s="33" t="e" vm="1">
        <f t="shared" si="2053"/>
        <v>#VALUE!</v>
      </c>
      <c r="BI1015" s="33" t="e" vm="1">
        <f t="shared" si="2053"/>
        <v>#VALUE!</v>
      </c>
      <c r="BJ1015" s="33" t="e" vm="1">
        <f t="shared" si="2053"/>
        <v>#VALUE!</v>
      </c>
      <c r="BK1015" s="33" t="e" vm="1">
        <f t="shared" si="2053"/>
        <v>#VALUE!</v>
      </c>
      <c r="BL1015" s="33" t="e" vm="1">
        <f t="shared" si="2053"/>
        <v>#VALUE!</v>
      </c>
      <c r="BM1015" s="33" t="e" vm="1">
        <f t="shared" si="2053"/>
        <v>#VALUE!</v>
      </c>
      <c r="BN1015" s="33" t="e" vm="1">
        <f t="shared" si="2053"/>
        <v>#VALUE!</v>
      </c>
      <c r="BO1015" s="33" t="e" vm="1">
        <f t="shared" si="2053"/>
        <v>#VALUE!</v>
      </c>
      <c r="BP1015" s="33" t="e" vm="1">
        <f t="shared" si="2053"/>
        <v>#VALUE!</v>
      </c>
      <c r="BQ1015" s="33" t="e" vm="1">
        <f t="shared" si="2053"/>
        <v>#VALUE!</v>
      </c>
      <c r="BR1015" s="33" t="e" vm="1">
        <f t="shared" si="2053"/>
        <v>#VALUE!</v>
      </c>
      <c r="BS1015" s="33" t="e" vm="1">
        <f t="shared" si="2053"/>
        <v>#VALUE!</v>
      </c>
      <c r="BT1015" s="33" t="e" vm="1">
        <f t="shared" si="2053"/>
        <v>#VALUE!</v>
      </c>
      <c r="BU1015" s="33" t="e" vm="1">
        <f t="shared" ref="BU1015:BY1015" si="2054">+IF(AND(BU$1011=$C1017,BU$1011&lt;0),1,0)</f>
        <v>#VALUE!</v>
      </c>
      <c r="BV1015" s="33" t="e" vm="1">
        <f t="shared" si="2054"/>
        <v>#VALUE!</v>
      </c>
      <c r="BW1015" s="33" t="e" vm="1">
        <f t="shared" si="2054"/>
        <v>#VALUE!</v>
      </c>
      <c r="BX1015" s="33" t="e" vm="1">
        <f t="shared" si="2054"/>
        <v>#VALUE!</v>
      </c>
      <c r="BY1015" s="33" t="e" vm="1">
        <f t="shared" si="2054"/>
        <v>#VALUE!</v>
      </c>
    </row>
    <row r="1016" spans="3:77" ht="15" outlineLevel="1">
      <c r="C1016" s="22" t="s">
        <v>501</v>
      </c>
      <c r="D1016" s="31"/>
      <c r="E1016" t="s">
        <v>502</v>
      </c>
      <c r="F1016" s="23" t="s">
        <v>500</v>
      </c>
      <c r="H1016" s="33">
        <f t="shared" ref="H1016:BS1016" si="2055">+IF(AND(H$1011=$C1018,H$1011&lt;0),1,0)</f>
        <v>0</v>
      </c>
      <c r="I1016" s="33">
        <f t="shared" si="2055"/>
        <v>0</v>
      </c>
      <c r="J1016" s="33">
        <f t="shared" si="2055"/>
        <v>0</v>
      </c>
      <c r="K1016" s="33">
        <f t="shared" si="2055"/>
        <v>0</v>
      </c>
      <c r="L1016" s="33">
        <f t="shared" si="2055"/>
        <v>0</v>
      </c>
      <c r="M1016" s="33">
        <f t="shared" si="2055"/>
        <v>0</v>
      </c>
      <c r="N1016" s="33">
        <f t="shared" si="2055"/>
        <v>0</v>
      </c>
      <c r="O1016" s="33">
        <f t="shared" si="2055"/>
        <v>0</v>
      </c>
      <c r="P1016" s="33">
        <f t="shared" si="2055"/>
        <v>0</v>
      </c>
      <c r="Q1016" s="33">
        <f t="shared" si="2055"/>
        <v>0</v>
      </c>
      <c r="R1016" s="33">
        <f t="shared" si="2055"/>
        <v>0</v>
      </c>
      <c r="S1016" s="33">
        <f t="shared" si="2055"/>
        <v>0</v>
      </c>
      <c r="T1016" s="33">
        <f t="shared" si="2055"/>
        <v>0</v>
      </c>
      <c r="U1016" s="33">
        <f t="shared" si="2055"/>
        <v>0</v>
      </c>
      <c r="V1016" s="33">
        <f t="shared" si="2055"/>
        <v>0</v>
      </c>
      <c r="W1016" s="33">
        <f t="shared" si="2055"/>
        <v>0</v>
      </c>
      <c r="X1016" s="33">
        <f t="shared" si="2055"/>
        <v>0</v>
      </c>
      <c r="Y1016" s="33">
        <f t="shared" si="2055"/>
        <v>0</v>
      </c>
      <c r="Z1016" s="33">
        <f t="shared" si="2055"/>
        <v>0</v>
      </c>
      <c r="AA1016" s="33">
        <f t="shared" si="2055"/>
        <v>0</v>
      </c>
      <c r="AB1016" s="33">
        <f t="shared" si="2055"/>
        <v>0</v>
      </c>
      <c r="AC1016" s="33">
        <f t="shared" si="2055"/>
        <v>0</v>
      </c>
      <c r="AD1016" s="33">
        <f t="shared" si="2055"/>
        <v>0</v>
      </c>
      <c r="AE1016" s="33">
        <f t="shared" si="2055"/>
        <v>0</v>
      </c>
      <c r="AF1016" s="33">
        <f t="shared" si="2055"/>
        <v>0</v>
      </c>
      <c r="AG1016" s="33">
        <f t="shared" si="2055"/>
        <v>0</v>
      </c>
      <c r="AH1016" s="33">
        <f t="shared" si="2055"/>
        <v>0</v>
      </c>
      <c r="AI1016" s="33">
        <f t="shared" si="2055"/>
        <v>0</v>
      </c>
      <c r="AJ1016" s="33">
        <f t="shared" si="2055"/>
        <v>0</v>
      </c>
      <c r="AK1016" s="33">
        <f t="shared" si="2055"/>
        <v>0</v>
      </c>
      <c r="AL1016" s="33">
        <f t="shared" si="2055"/>
        <v>0</v>
      </c>
      <c r="AM1016" s="33">
        <f t="shared" si="2055"/>
        <v>0</v>
      </c>
      <c r="AN1016" s="33">
        <f t="shared" si="2055"/>
        <v>0</v>
      </c>
      <c r="AO1016" s="33">
        <f t="shared" si="2055"/>
        <v>0</v>
      </c>
      <c r="AP1016" s="33">
        <f t="shared" si="2055"/>
        <v>0</v>
      </c>
      <c r="AQ1016" s="33">
        <f t="shared" si="2055"/>
        <v>0</v>
      </c>
      <c r="AR1016" s="33">
        <f t="shared" si="2055"/>
        <v>0</v>
      </c>
      <c r="AS1016" s="33">
        <f t="shared" si="2055"/>
        <v>0</v>
      </c>
      <c r="AT1016" s="33">
        <f t="shared" si="2055"/>
        <v>0</v>
      </c>
      <c r="AU1016" s="33">
        <f t="shared" si="2055"/>
        <v>0</v>
      </c>
      <c r="AV1016" s="33">
        <f t="shared" si="2055"/>
        <v>0</v>
      </c>
      <c r="AW1016" s="33">
        <f t="shared" si="2055"/>
        <v>0</v>
      </c>
      <c r="AX1016" s="33">
        <f t="shared" si="2055"/>
        <v>0</v>
      </c>
      <c r="AY1016" s="33">
        <f t="shared" si="2055"/>
        <v>0</v>
      </c>
      <c r="AZ1016" s="33">
        <f t="shared" si="2055"/>
        <v>0</v>
      </c>
      <c r="BA1016" s="33">
        <f t="shared" si="2055"/>
        <v>0</v>
      </c>
      <c r="BB1016" s="33">
        <f t="shared" si="2055"/>
        <v>0</v>
      </c>
      <c r="BC1016" s="33">
        <f t="shared" si="2055"/>
        <v>0</v>
      </c>
      <c r="BD1016" s="33">
        <f t="shared" si="2055"/>
        <v>0</v>
      </c>
      <c r="BE1016" s="33">
        <f t="shared" si="2055"/>
        <v>0</v>
      </c>
      <c r="BF1016" s="33">
        <f t="shared" si="2055"/>
        <v>0</v>
      </c>
      <c r="BG1016" s="33">
        <f t="shared" si="2055"/>
        <v>0</v>
      </c>
      <c r="BH1016" s="33">
        <f t="shared" si="2055"/>
        <v>0</v>
      </c>
      <c r="BI1016" s="33">
        <f t="shared" si="2055"/>
        <v>0</v>
      </c>
      <c r="BJ1016" s="33">
        <f t="shared" si="2055"/>
        <v>0</v>
      </c>
      <c r="BK1016" s="33">
        <f t="shared" si="2055"/>
        <v>0</v>
      </c>
      <c r="BL1016" s="33">
        <f t="shared" si="2055"/>
        <v>0</v>
      </c>
      <c r="BM1016" s="33">
        <f t="shared" si="2055"/>
        <v>0</v>
      </c>
      <c r="BN1016" s="33">
        <f t="shared" si="2055"/>
        <v>0</v>
      </c>
      <c r="BO1016" s="33">
        <f t="shared" si="2055"/>
        <v>0</v>
      </c>
      <c r="BP1016" s="33">
        <f t="shared" si="2055"/>
        <v>0</v>
      </c>
      <c r="BQ1016" s="33">
        <f t="shared" si="2055"/>
        <v>0</v>
      </c>
      <c r="BR1016" s="33">
        <f t="shared" si="2055"/>
        <v>0</v>
      </c>
      <c r="BS1016" s="33">
        <f t="shared" si="2055"/>
        <v>0</v>
      </c>
      <c r="BT1016" s="33">
        <f t="shared" ref="BT1016:BY1016" si="2056">+IF(AND(BT$1011=$C1018,BT$1011&lt;0),1,0)</f>
        <v>0</v>
      </c>
      <c r="BU1016" s="33">
        <f t="shared" si="2056"/>
        <v>0</v>
      </c>
      <c r="BV1016" s="33">
        <f t="shared" si="2056"/>
        <v>0</v>
      </c>
      <c r="BW1016" s="33">
        <f t="shared" si="2056"/>
        <v>0</v>
      </c>
      <c r="BX1016" s="33">
        <f t="shared" si="2056"/>
        <v>0</v>
      </c>
      <c r="BY1016" s="33">
        <f t="shared" si="2056"/>
        <v>0</v>
      </c>
    </row>
    <row r="1017" spans="3:77" outlineLevel="1">
      <c r="C1017" s="32" t="e" cm="1" vm="2">
        <f t="array" ref="C1017">+TRANSPOSE(_xlfn._xlws.FILTER(H1011:BY1011,H1011:BY1011))</f>
        <v>#VALUE!</v>
      </c>
      <c r="D1017" s="31"/>
      <c r="E1017" t="s">
        <v>503</v>
      </c>
      <c r="F1017" s="23" t="s">
        <v>500</v>
      </c>
      <c r="H1017" s="33">
        <f t="shared" ref="H1017:BS1017" si="2057">+IF(AND(H$1011=$C1019,H$1011&lt;0),1,0)</f>
        <v>0</v>
      </c>
      <c r="I1017" s="33">
        <f t="shared" si="2057"/>
        <v>0</v>
      </c>
      <c r="J1017" s="33">
        <f t="shared" si="2057"/>
        <v>0</v>
      </c>
      <c r="K1017" s="33">
        <f t="shared" si="2057"/>
        <v>0</v>
      </c>
      <c r="L1017" s="33">
        <f t="shared" si="2057"/>
        <v>0</v>
      </c>
      <c r="M1017" s="33">
        <f t="shared" si="2057"/>
        <v>0</v>
      </c>
      <c r="N1017" s="33">
        <f t="shared" si="2057"/>
        <v>0</v>
      </c>
      <c r="O1017" s="33">
        <f t="shared" si="2057"/>
        <v>0</v>
      </c>
      <c r="P1017" s="33">
        <f t="shared" si="2057"/>
        <v>0</v>
      </c>
      <c r="Q1017" s="33">
        <f t="shared" si="2057"/>
        <v>0</v>
      </c>
      <c r="R1017" s="33">
        <f t="shared" si="2057"/>
        <v>0</v>
      </c>
      <c r="S1017" s="33">
        <f t="shared" si="2057"/>
        <v>0</v>
      </c>
      <c r="T1017" s="33">
        <f t="shared" si="2057"/>
        <v>0</v>
      </c>
      <c r="U1017" s="33">
        <f t="shared" si="2057"/>
        <v>0</v>
      </c>
      <c r="V1017" s="33">
        <f t="shared" si="2057"/>
        <v>0</v>
      </c>
      <c r="W1017" s="33">
        <f t="shared" si="2057"/>
        <v>0</v>
      </c>
      <c r="X1017" s="33">
        <f t="shared" si="2057"/>
        <v>0</v>
      </c>
      <c r="Y1017" s="33">
        <f t="shared" si="2057"/>
        <v>0</v>
      </c>
      <c r="Z1017" s="33">
        <f t="shared" si="2057"/>
        <v>0</v>
      </c>
      <c r="AA1017" s="33">
        <f t="shared" si="2057"/>
        <v>0</v>
      </c>
      <c r="AB1017" s="33">
        <f t="shared" si="2057"/>
        <v>0</v>
      </c>
      <c r="AC1017" s="33">
        <f t="shared" si="2057"/>
        <v>0</v>
      </c>
      <c r="AD1017" s="33">
        <f t="shared" si="2057"/>
        <v>0</v>
      </c>
      <c r="AE1017" s="33">
        <f t="shared" si="2057"/>
        <v>0</v>
      </c>
      <c r="AF1017" s="33">
        <f t="shared" si="2057"/>
        <v>0</v>
      </c>
      <c r="AG1017" s="33">
        <f t="shared" si="2057"/>
        <v>0</v>
      </c>
      <c r="AH1017" s="33">
        <f t="shared" si="2057"/>
        <v>0</v>
      </c>
      <c r="AI1017" s="33">
        <f t="shared" si="2057"/>
        <v>0</v>
      </c>
      <c r="AJ1017" s="33">
        <f t="shared" si="2057"/>
        <v>0</v>
      </c>
      <c r="AK1017" s="33">
        <f t="shared" si="2057"/>
        <v>0</v>
      </c>
      <c r="AL1017" s="33">
        <f t="shared" si="2057"/>
        <v>0</v>
      </c>
      <c r="AM1017" s="33">
        <f t="shared" si="2057"/>
        <v>0</v>
      </c>
      <c r="AN1017" s="33">
        <f t="shared" si="2057"/>
        <v>0</v>
      </c>
      <c r="AO1017" s="33">
        <f t="shared" si="2057"/>
        <v>0</v>
      </c>
      <c r="AP1017" s="33">
        <f t="shared" si="2057"/>
        <v>0</v>
      </c>
      <c r="AQ1017" s="33">
        <f t="shared" si="2057"/>
        <v>0</v>
      </c>
      <c r="AR1017" s="33">
        <f t="shared" si="2057"/>
        <v>0</v>
      </c>
      <c r="AS1017" s="33">
        <f t="shared" si="2057"/>
        <v>0</v>
      </c>
      <c r="AT1017" s="33">
        <f t="shared" si="2057"/>
        <v>0</v>
      </c>
      <c r="AU1017" s="33">
        <f t="shared" si="2057"/>
        <v>0</v>
      </c>
      <c r="AV1017" s="33">
        <f t="shared" si="2057"/>
        <v>0</v>
      </c>
      <c r="AW1017" s="33">
        <f t="shared" si="2057"/>
        <v>0</v>
      </c>
      <c r="AX1017" s="33">
        <f t="shared" si="2057"/>
        <v>0</v>
      </c>
      <c r="AY1017" s="33">
        <f t="shared" si="2057"/>
        <v>0</v>
      </c>
      <c r="AZ1017" s="33">
        <f t="shared" si="2057"/>
        <v>0</v>
      </c>
      <c r="BA1017" s="33">
        <f t="shared" si="2057"/>
        <v>0</v>
      </c>
      <c r="BB1017" s="33">
        <f t="shared" si="2057"/>
        <v>0</v>
      </c>
      <c r="BC1017" s="33">
        <f t="shared" si="2057"/>
        <v>0</v>
      </c>
      <c r="BD1017" s="33">
        <f t="shared" si="2057"/>
        <v>0</v>
      </c>
      <c r="BE1017" s="33">
        <f t="shared" si="2057"/>
        <v>0</v>
      </c>
      <c r="BF1017" s="33">
        <f t="shared" si="2057"/>
        <v>0</v>
      </c>
      <c r="BG1017" s="33">
        <f t="shared" si="2057"/>
        <v>0</v>
      </c>
      <c r="BH1017" s="33">
        <f t="shared" si="2057"/>
        <v>0</v>
      </c>
      <c r="BI1017" s="33">
        <f t="shared" si="2057"/>
        <v>0</v>
      </c>
      <c r="BJ1017" s="33">
        <f t="shared" si="2057"/>
        <v>0</v>
      </c>
      <c r="BK1017" s="33">
        <f t="shared" si="2057"/>
        <v>0</v>
      </c>
      <c r="BL1017" s="33">
        <f t="shared" si="2057"/>
        <v>0</v>
      </c>
      <c r="BM1017" s="33">
        <f t="shared" si="2057"/>
        <v>0</v>
      </c>
      <c r="BN1017" s="33">
        <f t="shared" si="2057"/>
        <v>0</v>
      </c>
      <c r="BO1017" s="33">
        <f t="shared" si="2057"/>
        <v>0</v>
      </c>
      <c r="BP1017" s="33">
        <f t="shared" si="2057"/>
        <v>0</v>
      </c>
      <c r="BQ1017" s="33">
        <f t="shared" si="2057"/>
        <v>0</v>
      </c>
      <c r="BR1017" s="33">
        <f t="shared" si="2057"/>
        <v>0</v>
      </c>
      <c r="BS1017" s="33">
        <f t="shared" si="2057"/>
        <v>0</v>
      </c>
      <c r="BT1017" s="33">
        <f t="shared" ref="BT1017:BY1017" si="2058">+IF(AND(BT$1011=$C1019,BT$1011&lt;0),1,0)</f>
        <v>0</v>
      </c>
      <c r="BU1017" s="33">
        <f t="shared" si="2058"/>
        <v>0</v>
      </c>
      <c r="BV1017" s="33">
        <f t="shared" si="2058"/>
        <v>0</v>
      </c>
      <c r="BW1017" s="33">
        <f t="shared" si="2058"/>
        <v>0</v>
      </c>
      <c r="BX1017" s="33">
        <f t="shared" si="2058"/>
        <v>0</v>
      </c>
      <c r="BY1017" s="33">
        <f t="shared" si="2058"/>
        <v>0</v>
      </c>
    </row>
    <row r="1018" spans="3:77" outlineLevel="1">
      <c r="C1018" s="32"/>
      <c r="D1018" s="31"/>
      <c r="E1018" t="s">
        <v>504</v>
      </c>
      <c r="F1018" s="23" t="s">
        <v>500</v>
      </c>
      <c r="H1018" s="33">
        <f t="shared" ref="H1018:BS1018" si="2059">+IF(AND(H$1011=$C1020,H$1011&lt;0),1,0)</f>
        <v>0</v>
      </c>
      <c r="I1018" s="33">
        <f t="shared" si="2059"/>
        <v>0</v>
      </c>
      <c r="J1018" s="33">
        <f t="shared" si="2059"/>
        <v>0</v>
      </c>
      <c r="K1018" s="33">
        <f t="shared" si="2059"/>
        <v>0</v>
      </c>
      <c r="L1018" s="33">
        <f t="shared" si="2059"/>
        <v>0</v>
      </c>
      <c r="M1018" s="33">
        <f t="shared" si="2059"/>
        <v>0</v>
      </c>
      <c r="N1018" s="33">
        <f t="shared" si="2059"/>
        <v>0</v>
      </c>
      <c r="O1018" s="33">
        <f t="shared" si="2059"/>
        <v>0</v>
      </c>
      <c r="P1018" s="33">
        <f t="shared" si="2059"/>
        <v>0</v>
      </c>
      <c r="Q1018" s="33">
        <f t="shared" si="2059"/>
        <v>0</v>
      </c>
      <c r="R1018" s="33">
        <f t="shared" si="2059"/>
        <v>0</v>
      </c>
      <c r="S1018" s="33">
        <f t="shared" si="2059"/>
        <v>0</v>
      </c>
      <c r="T1018" s="33">
        <f t="shared" si="2059"/>
        <v>0</v>
      </c>
      <c r="U1018" s="33">
        <f t="shared" si="2059"/>
        <v>0</v>
      </c>
      <c r="V1018" s="33">
        <f t="shared" si="2059"/>
        <v>0</v>
      </c>
      <c r="W1018" s="33">
        <f t="shared" si="2059"/>
        <v>0</v>
      </c>
      <c r="X1018" s="33">
        <f t="shared" si="2059"/>
        <v>0</v>
      </c>
      <c r="Y1018" s="33">
        <f t="shared" si="2059"/>
        <v>0</v>
      </c>
      <c r="Z1018" s="33">
        <f t="shared" si="2059"/>
        <v>0</v>
      </c>
      <c r="AA1018" s="33">
        <f t="shared" si="2059"/>
        <v>0</v>
      </c>
      <c r="AB1018" s="33">
        <f t="shared" si="2059"/>
        <v>0</v>
      </c>
      <c r="AC1018" s="33">
        <f t="shared" si="2059"/>
        <v>0</v>
      </c>
      <c r="AD1018" s="33">
        <f t="shared" si="2059"/>
        <v>0</v>
      </c>
      <c r="AE1018" s="33">
        <f t="shared" si="2059"/>
        <v>0</v>
      </c>
      <c r="AF1018" s="33">
        <f t="shared" si="2059"/>
        <v>0</v>
      </c>
      <c r="AG1018" s="33">
        <f t="shared" si="2059"/>
        <v>0</v>
      </c>
      <c r="AH1018" s="33">
        <f t="shared" si="2059"/>
        <v>0</v>
      </c>
      <c r="AI1018" s="33">
        <f t="shared" si="2059"/>
        <v>0</v>
      </c>
      <c r="AJ1018" s="33">
        <f t="shared" si="2059"/>
        <v>0</v>
      </c>
      <c r="AK1018" s="33">
        <f t="shared" si="2059"/>
        <v>0</v>
      </c>
      <c r="AL1018" s="33">
        <f t="shared" si="2059"/>
        <v>0</v>
      </c>
      <c r="AM1018" s="33">
        <f t="shared" si="2059"/>
        <v>0</v>
      </c>
      <c r="AN1018" s="33">
        <f t="shared" si="2059"/>
        <v>0</v>
      </c>
      <c r="AO1018" s="33">
        <f t="shared" si="2059"/>
        <v>0</v>
      </c>
      <c r="AP1018" s="33">
        <f t="shared" si="2059"/>
        <v>0</v>
      </c>
      <c r="AQ1018" s="33">
        <f t="shared" si="2059"/>
        <v>0</v>
      </c>
      <c r="AR1018" s="33">
        <f t="shared" si="2059"/>
        <v>0</v>
      </c>
      <c r="AS1018" s="33">
        <f t="shared" si="2059"/>
        <v>0</v>
      </c>
      <c r="AT1018" s="33">
        <f t="shared" si="2059"/>
        <v>0</v>
      </c>
      <c r="AU1018" s="33">
        <f t="shared" si="2059"/>
        <v>0</v>
      </c>
      <c r="AV1018" s="33">
        <f t="shared" si="2059"/>
        <v>0</v>
      </c>
      <c r="AW1018" s="33">
        <f t="shared" si="2059"/>
        <v>0</v>
      </c>
      <c r="AX1018" s="33">
        <f t="shared" si="2059"/>
        <v>0</v>
      </c>
      <c r="AY1018" s="33">
        <f t="shared" si="2059"/>
        <v>0</v>
      </c>
      <c r="AZ1018" s="33">
        <f t="shared" si="2059"/>
        <v>0</v>
      </c>
      <c r="BA1018" s="33">
        <f t="shared" si="2059"/>
        <v>0</v>
      </c>
      <c r="BB1018" s="33">
        <f t="shared" si="2059"/>
        <v>0</v>
      </c>
      <c r="BC1018" s="33">
        <f t="shared" si="2059"/>
        <v>0</v>
      </c>
      <c r="BD1018" s="33">
        <f t="shared" si="2059"/>
        <v>0</v>
      </c>
      <c r="BE1018" s="33">
        <f t="shared" si="2059"/>
        <v>0</v>
      </c>
      <c r="BF1018" s="33">
        <f t="shared" si="2059"/>
        <v>0</v>
      </c>
      <c r="BG1018" s="33">
        <f t="shared" si="2059"/>
        <v>0</v>
      </c>
      <c r="BH1018" s="33">
        <f t="shared" si="2059"/>
        <v>0</v>
      </c>
      <c r="BI1018" s="33">
        <f t="shared" si="2059"/>
        <v>0</v>
      </c>
      <c r="BJ1018" s="33">
        <f t="shared" si="2059"/>
        <v>0</v>
      </c>
      <c r="BK1018" s="33">
        <f t="shared" si="2059"/>
        <v>0</v>
      </c>
      <c r="BL1018" s="33">
        <f t="shared" si="2059"/>
        <v>0</v>
      </c>
      <c r="BM1018" s="33">
        <f t="shared" si="2059"/>
        <v>0</v>
      </c>
      <c r="BN1018" s="33">
        <f t="shared" si="2059"/>
        <v>0</v>
      </c>
      <c r="BO1018" s="33">
        <f t="shared" si="2059"/>
        <v>0</v>
      </c>
      <c r="BP1018" s="33">
        <f t="shared" si="2059"/>
        <v>0</v>
      </c>
      <c r="BQ1018" s="33">
        <f t="shared" si="2059"/>
        <v>0</v>
      </c>
      <c r="BR1018" s="33">
        <f t="shared" si="2059"/>
        <v>0</v>
      </c>
      <c r="BS1018" s="33">
        <f t="shared" si="2059"/>
        <v>0</v>
      </c>
      <c r="BT1018" s="33">
        <f t="shared" ref="BT1018:BY1018" si="2060">+IF(AND(BT$1011=$C1020,BT$1011&lt;0),1,0)</f>
        <v>0</v>
      </c>
      <c r="BU1018" s="33">
        <f t="shared" si="2060"/>
        <v>0</v>
      </c>
      <c r="BV1018" s="33">
        <f t="shared" si="2060"/>
        <v>0</v>
      </c>
      <c r="BW1018" s="33">
        <f t="shared" si="2060"/>
        <v>0</v>
      </c>
      <c r="BX1018" s="33">
        <f t="shared" si="2060"/>
        <v>0</v>
      </c>
      <c r="BY1018" s="33">
        <f t="shared" si="2060"/>
        <v>0</v>
      </c>
    </row>
    <row r="1019" spans="3:77" outlineLevel="1">
      <c r="C1019" s="32"/>
      <c r="D1019" s="31"/>
      <c r="E1019" t="s">
        <v>505</v>
      </c>
      <c r="F1019" s="23" t="s">
        <v>500</v>
      </c>
      <c r="H1019" s="33">
        <f t="shared" ref="H1019:BS1019" si="2061">+IF(AND(H$1011=$C1021,H$1011&lt;0),1,0)</f>
        <v>0</v>
      </c>
      <c r="I1019" s="33">
        <f t="shared" si="2061"/>
        <v>0</v>
      </c>
      <c r="J1019" s="33">
        <f t="shared" si="2061"/>
        <v>0</v>
      </c>
      <c r="K1019" s="33">
        <f t="shared" si="2061"/>
        <v>0</v>
      </c>
      <c r="L1019" s="33">
        <f t="shared" si="2061"/>
        <v>0</v>
      </c>
      <c r="M1019" s="33">
        <f t="shared" si="2061"/>
        <v>0</v>
      </c>
      <c r="N1019" s="33">
        <f t="shared" si="2061"/>
        <v>0</v>
      </c>
      <c r="O1019" s="33">
        <f t="shared" si="2061"/>
        <v>0</v>
      </c>
      <c r="P1019" s="33">
        <f t="shared" si="2061"/>
        <v>0</v>
      </c>
      <c r="Q1019" s="33">
        <f t="shared" si="2061"/>
        <v>0</v>
      </c>
      <c r="R1019" s="33">
        <f t="shared" si="2061"/>
        <v>0</v>
      </c>
      <c r="S1019" s="33">
        <f t="shared" si="2061"/>
        <v>0</v>
      </c>
      <c r="T1019" s="33">
        <f t="shared" si="2061"/>
        <v>0</v>
      </c>
      <c r="U1019" s="33">
        <f t="shared" si="2061"/>
        <v>0</v>
      </c>
      <c r="V1019" s="33">
        <f t="shared" si="2061"/>
        <v>0</v>
      </c>
      <c r="W1019" s="33">
        <f t="shared" si="2061"/>
        <v>0</v>
      </c>
      <c r="X1019" s="33">
        <f t="shared" si="2061"/>
        <v>0</v>
      </c>
      <c r="Y1019" s="33">
        <f t="shared" si="2061"/>
        <v>0</v>
      </c>
      <c r="Z1019" s="33">
        <f t="shared" si="2061"/>
        <v>0</v>
      </c>
      <c r="AA1019" s="33">
        <f t="shared" si="2061"/>
        <v>0</v>
      </c>
      <c r="AB1019" s="33">
        <f t="shared" si="2061"/>
        <v>0</v>
      </c>
      <c r="AC1019" s="33">
        <f t="shared" si="2061"/>
        <v>0</v>
      </c>
      <c r="AD1019" s="33">
        <f t="shared" si="2061"/>
        <v>0</v>
      </c>
      <c r="AE1019" s="33">
        <f t="shared" si="2061"/>
        <v>0</v>
      </c>
      <c r="AF1019" s="33">
        <f t="shared" si="2061"/>
        <v>0</v>
      </c>
      <c r="AG1019" s="33">
        <f t="shared" si="2061"/>
        <v>0</v>
      </c>
      <c r="AH1019" s="33">
        <f t="shared" si="2061"/>
        <v>0</v>
      </c>
      <c r="AI1019" s="33">
        <f t="shared" si="2061"/>
        <v>0</v>
      </c>
      <c r="AJ1019" s="33">
        <f t="shared" si="2061"/>
        <v>0</v>
      </c>
      <c r="AK1019" s="33">
        <f t="shared" si="2061"/>
        <v>0</v>
      </c>
      <c r="AL1019" s="33">
        <f t="shared" si="2061"/>
        <v>0</v>
      </c>
      <c r="AM1019" s="33">
        <f t="shared" si="2061"/>
        <v>0</v>
      </c>
      <c r="AN1019" s="33">
        <f t="shared" si="2061"/>
        <v>0</v>
      </c>
      <c r="AO1019" s="33">
        <f t="shared" si="2061"/>
        <v>0</v>
      </c>
      <c r="AP1019" s="33">
        <f t="shared" si="2061"/>
        <v>0</v>
      </c>
      <c r="AQ1019" s="33">
        <f t="shared" si="2061"/>
        <v>0</v>
      </c>
      <c r="AR1019" s="33">
        <f t="shared" si="2061"/>
        <v>0</v>
      </c>
      <c r="AS1019" s="33">
        <f t="shared" si="2061"/>
        <v>0</v>
      </c>
      <c r="AT1019" s="33">
        <f t="shared" si="2061"/>
        <v>0</v>
      </c>
      <c r="AU1019" s="33">
        <f t="shared" si="2061"/>
        <v>0</v>
      </c>
      <c r="AV1019" s="33">
        <f t="shared" si="2061"/>
        <v>0</v>
      </c>
      <c r="AW1019" s="33">
        <f t="shared" si="2061"/>
        <v>0</v>
      </c>
      <c r="AX1019" s="33">
        <f t="shared" si="2061"/>
        <v>0</v>
      </c>
      <c r="AY1019" s="33">
        <f t="shared" si="2061"/>
        <v>0</v>
      </c>
      <c r="AZ1019" s="33">
        <f t="shared" si="2061"/>
        <v>0</v>
      </c>
      <c r="BA1019" s="33">
        <f t="shared" si="2061"/>
        <v>0</v>
      </c>
      <c r="BB1019" s="33">
        <f t="shared" si="2061"/>
        <v>0</v>
      </c>
      <c r="BC1019" s="33">
        <f t="shared" si="2061"/>
        <v>0</v>
      </c>
      <c r="BD1019" s="33">
        <f t="shared" si="2061"/>
        <v>0</v>
      </c>
      <c r="BE1019" s="33">
        <f t="shared" si="2061"/>
        <v>0</v>
      </c>
      <c r="BF1019" s="33">
        <f t="shared" si="2061"/>
        <v>0</v>
      </c>
      <c r="BG1019" s="33">
        <f t="shared" si="2061"/>
        <v>0</v>
      </c>
      <c r="BH1019" s="33">
        <f t="shared" si="2061"/>
        <v>0</v>
      </c>
      <c r="BI1019" s="33">
        <f t="shared" si="2061"/>
        <v>0</v>
      </c>
      <c r="BJ1019" s="33">
        <f t="shared" si="2061"/>
        <v>0</v>
      </c>
      <c r="BK1019" s="33">
        <f t="shared" si="2061"/>
        <v>0</v>
      </c>
      <c r="BL1019" s="33">
        <f t="shared" si="2061"/>
        <v>0</v>
      </c>
      <c r="BM1019" s="33">
        <f t="shared" si="2061"/>
        <v>0</v>
      </c>
      <c r="BN1019" s="33">
        <f t="shared" si="2061"/>
        <v>0</v>
      </c>
      <c r="BO1019" s="33">
        <f t="shared" si="2061"/>
        <v>0</v>
      </c>
      <c r="BP1019" s="33">
        <f t="shared" si="2061"/>
        <v>0</v>
      </c>
      <c r="BQ1019" s="33">
        <f t="shared" si="2061"/>
        <v>0</v>
      </c>
      <c r="BR1019" s="33">
        <f t="shared" si="2061"/>
        <v>0</v>
      </c>
      <c r="BS1019" s="33">
        <f t="shared" si="2061"/>
        <v>0</v>
      </c>
      <c r="BT1019" s="33">
        <f t="shared" ref="BT1019:BY1019" si="2062">+IF(AND(BT$1011=$C1021,BT$1011&lt;0),1,0)</f>
        <v>0</v>
      </c>
      <c r="BU1019" s="33">
        <f t="shared" si="2062"/>
        <v>0</v>
      </c>
      <c r="BV1019" s="33">
        <f t="shared" si="2062"/>
        <v>0</v>
      </c>
      <c r="BW1019" s="33">
        <f t="shared" si="2062"/>
        <v>0</v>
      </c>
      <c r="BX1019" s="33">
        <f t="shared" si="2062"/>
        <v>0</v>
      </c>
      <c r="BY1019" s="33">
        <f t="shared" si="2062"/>
        <v>0</v>
      </c>
    </row>
    <row r="1020" spans="3:77" outlineLevel="1">
      <c r="C1020" s="32"/>
      <c r="D1020" s="31"/>
      <c r="E1020" t="s">
        <v>506</v>
      </c>
      <c r="F1020" s="23" t="s">
        <v>500</v>
      </c>
      <c r="H1020" s="33">
        <f t="shared" ref="H1020:BS1020" si="2063">+IF(AND(H$1011=$C1022,H$1011&lt;0),1,0)</f>
        <v>0</v>
      </c>
      <c r="I1020" s="33">
        <f t="shared" si="2063"/>
        <v>0</v>
      </c>
      <c r="J1020" s="33">
        <f t="shared" si="2063"/>
        <v>0</v>
      </c>
      <c r="K1020" s="33">
        <f t="shared" si="2063"/>
        <v>0</v>
      </c>
      <c r="L1020" s="33">
        <f t="shared" si="2063"/>
        <v>0</v>
      </c>
      <c r="M1020" s="33">
        <f t="shared" si="2063"/>
        <v>0</v>
      </c>
      <c r="N1020" s="33">
        <f t="shared" si="2063"/>
        <v>0</v>
      </c>
      <c r="O1020" s="33">
        <f t="shared" si="2063"/>
        <v>0</v>
      </c>
      <c r="P1020" s="33">
        <f t="shared" si="2063"/>
        <v>0</v>
      </c>
      <c r="Q1020" s="33">
        <f t="shared" si="2063"/>
        <v>0</v>
      </c>
      <c r="R1020" s="33">
        <f t="shared" si="2063"/>
        <v>0</v>
      </c>
      <c r="S1020" s="33">
        <f t="shared" si="2063"/>
        <v>0</v>
      </c>
      <c r="T1020" s="33">
        <f t="shared" si="2063"/>
        <v>0</v>
      </c>
      <c r="U1020" s="33">
        <f t="shared" si="2063"/>
        <v>0</v>
      </c>
      <c r="V1020" s="33">
        <f t="shared" si="2063"/>
        <v>0</v>
      </c>
      <c r="W1020" s="33">
        <f t="shared" si="2063"/>
        <v>0</v>
      </c>
      <c r="X1020" s="33">
        <f t="shared" si="2063"/>
        <v>0</v>
      </c>
      <c r="Y1020" s="33">
        <f t="shared" si="2063"/>
        <v>0</v>
      </c>
      <c r="Z1020" s="33">
        <f t="shared" si="2063"/>
        <v>0</v>
      </c>
      <c r="AA1020" s="33">
        <f t="shared" si="2063"/>
        <v>0</v>
      </c>
      <c r="AB1020" s="33">
        <f t="shared" si="2063"/>
        <v>0</v>
      </c>
      <c r="AC1020" s="33">
        <f t="shared" si="2063"/>
        <v>0</v>
      </c>
      <c r="AD1020" s="33">
        <f t="shared" si="2063"/>
        <v>0</v>
      </c>
      <c r="AE1020" s="33">
        <f t="shared" si="2063"/>
        <v>0</v>
      </c>
      <c r="AF1020" s="33">
        <f t="shared" si="2063"/>
        <v>0</v>
      </c>
      <c r="AG1020" s="33">
        <f t="shared" si="2063"/>
        <v>0</v>
      </c>
      <c r="AH1020" s="33">
        <f t="shared" si="2063"/>
        <v>0</v>
      </c>
      <c r="AI1020" s="33">
        <f t="shared" si="2063"/>
        <v>0</v>
      </c>
      <c r="AJ1020" s="33">
        <f t="shared" si="2063"/>
        <v>0</v>
      </c>
      <c r="AK1020" s="33">
        <f t="shared" si="2063"/>
        <v>0</v>
      </c>
      <c r="AL1020" s="33">
        <f t="shared" si="2063"/>
        <v>0</v>
      </c>
      <c r="AM1020" s="33">
        <f t="shared" si="2063"/>
        <v>0</v>
      </c>
      <c r="AN1020" s="33">
        <f t="shared" si="2063"/>
        <v>0</v>
      </c>
      <c r="AO1020" s="33">
        <f t="shared" si="2063"/>
        <v>0</v>
      </c>
      <c r="AP1020" s="33">
        <f t="shared" si="2063"/>
        <v>0</v>
      </c>
      <c r="AQ1020" s="33">
        <f t="shared" si="2063"/>
        <v>0</v>
      </c>
      <c r="AR1020" s="33">
        <f t="shared" si="2063"/>
        <v>0</v>
      </c>
      <c r="AS1020" s="33">
        <f t="shared" si="2063"/>
        <v>0</v>
      </c>
      <c r="AT1020" s="33">
        <f t="shared" si="2063"/>
        <v>0</v>
      </c>
      <c r="AU1020" s="33">
        <f t="shared" si="2063"/>
        <v>0</v>
      </c>
      <c r="AV1020" s="33">
        <f t="shared" si="2063"/>
        <v>0</v>
      </c>
      <c r="AW1020" s="33">
        <f t="shared" si="2063"/>
        <v>0</v>
      </c>
      <c r="AX1020" s="33">
        <f t="shared" si="2063"/>
        <v>0</v>
      </c>
      <c r="AY1020" s="33">
        <f t="shared" si="2063"/>
        <v>0</v>
      </c>
      <c r="AZ1020" s="33">
        <f t="shared" si="2063"/>
        <v>0</v>
      </c>
      <c r="BA1020" s="33">
        <f t="shared" si="2063"/>
        <v>0</v>
      </c>
      <c r="BB1020" s="33">
        <f t="shared" si="2063"/>
        <v>0</v>
      </c>
      <c r="BC1020" s="33">
        <f t="shared" si="2063"/>
        <v>0</v>
      </c>
      <c r="BD1020" s="33">
        <f t="shared" si="2063"/>
        <v>0</v>
      </c>
      <c r="BE1020" s="33">
        <f t="shared" si="2063"/>
        <v>0</v>
      </c>
      <c r="BF1020" s="33">
        <f t="shared" si="2063"/>
        <v>0</v>
      </c>
      <c r="BG1020" s="33">
        <f t="shared" si="2063"/>
        <v>0</v>
      </c>
      <c r="BH1020" s="33">
        <f t="shared" si="2063"/>
        <v>0</v>
      </c>
      <c r="BI1020" s="33">
        <f t="shared" si="2063"/>
        <v>0</v>
      </c>
      <c r="BJ1020" s="33">
        <f t="shared" si="2063"/>
        <v>0</v>
      </c>
      <c r="BK1020" s="33">
        <f t="shared" si="2063"/>
        <v>0</v>
      </c>
      <c r="BL1020" s="33">
        <f t="shared" si="2063"/>
        <v>0</v>
      </c>
      <c r="BM1020" s="33">
        <f t="shared" si="2063"/>
        <v>0</v>
      </c>
      <c r="BN1020" s="33">
        <f t="shared" si="2063"/>
        <v>0</v>
      </c>
      <c r="BO1020" s="33">
        <f t="shared" si="2063"/>
        <v>0</v>
      </c>
      <c r="BP1020" s="33">
        <f t="shared" si="2063"/>
        <v>0</v>
      </c>
      <c r="BQ1020" s="33">
        <f t="shared" si="2063"/>
        <v>0</v>
      </c>
      <c r="BR1020" s="33">
        <f t="shared" si="2063"/>
        <v>0</v>
      </c>
      <c r="BS1020" s="33">
        <f t="shared" si="2063"/>
        <v>0</v>
      </c>
      <c r="BT1020" s="33">
        <f t="shared" ref="BT1020:BY1020" si="2064">+IF(AND(BT$1011=$C1022,BT$1011&lt;0),1,0)</f>
        <v>0</v>
      </c>
      <c r="BU1020" s="33">
        <f t="shared" si="2064"/>
        <v>0</v>
      </c>
      <c r="BV1020" s="33">
        <f t="shared" si="2064"/>
        <v>0</v>
      </c>
      <c r="BW1020" s="33">
        <f t="shared" si="2064"/>
        <v>0</v>
      </c>
      <c r="BX1020" s="33">
        <f t="shared" si="2064"/>
        <v>0</v>
      </c>
      <c r="BY1020" s="33">
        <f t="shared" si="2064"/>
        <v>0</v>
      </c>
    </row>
    <row r="1021" spans="3:77" outlineLevel="1">
      <c r="C1021" s="32"/>
      <c r="D1021" s="31"/>
      <c r="E1021" t="s">
        <v>507</v>
      </c>
      <c r="F1021" s="23" t="s">
        <v>500</v>
      </c>
      <c r="H1021" s="33">
        <f t="shared" ref="H1021:BS1021" si="2065">+IF(AND(H$1011=$C1023,H$1011&lt;0),1,0)</f>
        <v>0</v>
      </c>
      <c r="I1021" s="33">
        <f t="shared" si="2065"/>
        <v>0</v>
      </c>
      <c r="J1021" s="33">
        <f t="shared" si="2065"/>
        <v>0</v>
      </c>
      <c r="K1021" s="33">
        <f t="shared" si="2065"/>
        <v>0</v>
      </c>
      <c r="L1021" s="33">
        <f t="shared" si="2065"/>
        <v>0</v>
      </c>
      <c r="M1021" s="33">
        <f t="shared" si="2065"/>
        <v>0</v>
      </c>
      <c r="N1021" s="33">
        <f t="shared" si="2065"/>
        <v>0</v>
      </c>
      <c r="O1021" s="33">
        <f t="shared" si="2065"/>
        <v>0</v>
      </c>
      <c r="P1021" s="33">
        <f t="shared" si="2065"/>
        <v>0</v>
      </c>
      <c r="Q1021" s="33">
        <f t="shared" si="2065"/>
        <v>0</v>
      </c>
      <c r="R1021" s="33">
        <f t="shared" si="2065"/>
        <v>0</v>
      </c>
      <c r="S1021" s="33">
        <f t="shared" si="2065"/>
        <v>0</v>
      </c>
      <c r="T1021" s="33">
        <f t="shared" si="2065"/>
        <v>0</v>
      </c>
      <c r="U1021" s="33">
        <f t="shared" si="2065"/>
        <v>0</v>
      </c>
      <c r="V1021" s="33">
        <f t="shared" si="2065"/>
        <v>0</v>
      </c>
      <c r="W1021" s="33">
        <f t="shared" si="2065"/>
        <v>0</v>
      </c>
      <c r="X1021" s="33">
        <f t="shared" si="2065"/>
        <v>0</v>
      </c>
      <c r="Y1021" s="33">
        <f t="shared" si="2065"/>
        <v>0</v>
      </c>
      <c r="Z1021" s="33">
        <f t="shared" si="2065"/>
        <v>0</v>
      </c>
      <c r="AA1021" s="33">
        <f t="shared" si="2065"/>
        <v>0</v>
      </c>
      <c r="AB1021" s="33">
        <f t="shared" si="2065"/>
        <v>0</v>
      </c>
      <c r="AC1021" s="33">
        <f t="shared" si="2065"/>
        <v>0</v>
      </c>
      <c r="AD1021" s="33">
        <f t="shared" si="2065"/>
        <v>0</v>
      </c>
      <c r="AE1021" s="33">
        <f t="shared" si="2065"/>
        <v>0</v>
      </c>
      <c r="AF1021" s="33">
        <f t="shared" si="2065"/>
        <v>0</v>
      </c>
      <c r="AG1021" s="33">
        <f t="shared" si="2065"/>
        <v>0</v>
      </c>
      <c r="AH1021" s="33">
        <f t="shared" si="2065"/>
        <v>0</v>
      </c>
      <c r="AI1021" s="33">
        <f t="shared" si="2065"/>
        <v>0</v>
      </c>
      <c r="AJ1021" s="33">
        <f t="shared" si="2065"/>
        <v>0</v>
      </c>
      <c r="AK1021" s="33">
        <f t="shared" si="2065"/>
        <v>0</v>
      </c>
      <c r="AL1021" s="33">
        <f t="shared" si="2065"/>
        <v>0</v>
      </c>
      <c r="AM1021" s="33">
        <f t="shared" si="2065"/>
        <v>0</v>
      </c>
      <c r="AN1021" s="33">
        <f t="shared" si="2065"/>
        <v>0</v>
      </c>
      <c r="AO1021" s="33">
        <f t="shared" si="2065"/>
        <v>0</v>
      </c>
      <c r="AP1021" s="33">
        <f t="shared" si="2065"/>
        <v>0</v>
      </c>
      <c r="AQ1021" s="33">
        <f t="shared" si="2065"/>
        <v>0</v>
      </c>
      <c r="AR1021" s="33">
        <f t="shared" si="2065"/>
        <v>0</v>
      </c>
      <c r="AS1021" s="33">
        <f t="shared" si="2065"/>
        <v>0</v>
      </c>
      <c r="AT1021" s="33">
        <f t="shared" si="2065"/>
        <v>0</v>
      </c>
      <c r="AU1021" s="33">
        <f t="shared" si="2065"/>
        <v>0</v>
      </c>
      <c r="AV1021" s="33">
        <f t="shared" si="2065"/>
        <v>0</v>
      </c>
      <c r="AW1021" s="33">
        <f t="shared" si="2065"/>
        <v>0</v>
      </c>
      <c r="AX1021" s="33">
        <f t="shared" si="2065"/>
        <v>0</v>
      </c>
      <c r="AY1021" s="33">
        <f t="shared" si="2065"/>
        <v>0</v>
      </c>
      <c r="AZ1021" s="33">
        <f t="shared" si="2065"/>
        <v>0</v>
      </c>
      <c r="BA1021" s="33">
        <f t="shared" si="2065"/>
        <v>0</v>
      </c>
      <c r="BB1021" s="33">
        <f t="shared" si="2065"/>
        <v>0</v>
      </c>
      <c r="BC1021" s="33">
        <f t="shared" si="2065"/>
        <v>0</v>
      </c>
      <c r="BD1021" s="33">
        <f t="shared" si="2065"/>
        <v>0</v>
      </c>
      <c r="BE1021" s="33">
        <f t="shared" si="2065"/>
        <v>0</v>
      </c>
      <c r="BF1021" s="33">
        <f t="shared" si="2065"/>
        <v>0</v>
      </c>
      <c r="BG1021" s="33">
        <f t="shared" si="2065"/>
        <v>0</v>
      </c>
      <c r="BH1021" s="33">
        <f t="shared" si="2065"/>
        <v>0</v>
      </c>
      <c r="BI1021" s="33">
        <f t="shared" si="2065"/>
        <v>0</v>
      </c>
      <c r="BJ1021" s="33">
        <f t="shared" si="2065"/>
        <v>0</v>
      </c>
      <c r="BK1021" s="33">
        <f t="shared" si="2065"/>
        <v>0</v>
      </c>
      <c r="BL1021" s="33">
        <f t="shared" si="2065"/>
        <v>0</v>
      </c>
      <c r="BM1021" s="33">
        <f t="shared" si="2065"/>
        <v>0</v>
      </c>
      <c r="BN1021" s="33">
        <f t="shared" si="2065"/>
        <v>0</v>
      </c>
      <c r="BO1021" s="33">
        <f t="shared" si="2065"/>
        <v>0</v>
      </c>
      <c r="BP1021" s="33">
        <f t="shared" si="2065"/>
        <v>0</v>
      </c>
      <c r="BQ1021" s="33">
        <f t="shared" si="2065"/>
        <v>0</v>
      </c>
      <c r="BR1021" s="33">
        <f t="shared" si="2065"/>
        <v>0</v>
      </c>
      <c r="BS1021" s="33">
        <f t="shared" si="2065"/>
        <v>0</v>
      </c>
      <c r="BT1021" s="33">
        <f t="shared" ref="BT1021:BY1021" si="2066">+IF(AND(BT$1011=$C1023,BT$1011&lt;0),1,0)</f>
        <v>0</v>
      </c>
      <c r="BU1021" s="33">
        <f t="shared" si="2066"/>
        <v>0</v>
      </c>
      <c r="BV1021" s="33">
        <f t="shared" si="2066"/>
        <v>0</v>
      </c>
      <c r="BW1021" s="33">
        <f t="shared" si="2066"/>
        <v>0</v>
      </c>
      <c r="BX1021" s="33">
        <f t="shared" si="2066"/>
        <v>0</v>
      </c>
      <c r="BY1021" s="33">
        <f t="shared" si="2066"/>
        <v>0</v>
      </c>
    </row>
    <row r="1022" spans="3:77" outlineLevel="1">
      <c r="C1022" s="32"/>
      <c r="D1022" s="31"/>
      <c r="E1022" t="s">
        <v>508</v>
      </c>
      <c r="F1022" s="23" t="s">
        <v>500</v>
      </c>
      <c r="H1022" s="33">
        <f t="shared" ref="H1022:BS1022" si="2067">+IF(AND(H$1011=$C1024,H$1011&lt;0),1,0)</f>
        <v>0</v>
      </c>
      <c r="I1022" s="33">
        <f t="shared" si="2067"/>
        <v>0</v>
      </c>
      <c r="J1022" s="33">
        <f t="shared" si="2067"/>
        <v>0</v>
      </c>
      <c r="K1022" s="33">
        <f t="shared" si="2067"/>
        <v>0</v>
      </c>
      <c r="L1022" s="33">
        <f t="shared" si="2067"/>
        <v>0</v>
      </c>
      <c r="M1022" s="33">
        <f t="shared" si="2067"/>
        <v>0</v>
      </c>
      <c r="N1022" s="33">
        <f t="shared" si="2067"/>
        <v>0</v>
      </c>
      <c r="O1022" s="33">
        <f t="shared" si="2067"/>
        <v>0</v>
      </c>
      <c r="P1022" s="33">
        <f t="shared" si="2067"/>
        <v>0</v>
      </c>
      <c r="Q1022" s="33">
        <f t="shared" si="2067"/>
        <v>0</v>
      </c>
      <c r="R1022" s="33">
        <f t="shared" si="2067"/>
        <v>0</v>
      </c>
      <c r="S1022" s="33">
        <f t="shared" si="2067"/>
        <v>0</v>
      </c>
      <c r="T1022" s="33">
        <f t="shared" si="2067"/>
        <v>0</v>
      </c>
      <c r="U1022" s="33">
        <f t="shared" si="2067"/>
        <v>0</v>
      </c>
      <c r="V1022" s="33">
        <f t="shared" si="2067"/>
        <v>0</v>
      </c>
      <c r="W1022" s="33">
        <f t="shared" si="2067"/>
        <v>0</v>
      </c>
      <c r="X1022" s="33">
        <f t="shared" si="2067"/>
        <v>0</v>
      </c>
      <c r="Y1022" s="33">
        <f t="shared" si="2067"/>
        <v>0</v>
      </c>
      <c r="Z1022" s="33">
        <f t="shared" si="2067"/>
        <v>0</v>
      </c>
      <c r="AA1022" s="33">
        <f t="shared" si="2067"/>
        <v>0</v>
      </c>
      <c r="AB1022" s="33">
        <f t="shared" si="2067"/>
        <v>0</v>
      </c>
      <c r="AC1022" s="33">
        <f t="shared" si="2067"/>
        <v>0</v>
      </c>
      <c r="AD1022" s="33">
        <f t="shared" si="2067"/>
        <v>0</v>
      </c>
      <c r="AE1022" s="33">
        <f t="shared" si="2067"/>
        <v>0</v>
      </c>
      <c r="AF1022" s="33">
        <f t="shared" si="2067"/>
        <v>0</v>
      </c>
      <c r="AG1022" s="33">
        <f t="shared" si="2067"/>
        <v>0</v>
      </c>
      <c r="AH1022" s="33">
        <f t="shared" si="2067"/>
        <v>0</v>
      </c>
      <c r="AI1022" s="33">
        <f t="shared" si="2067"/>
        <v>0</v>
      </c>
      <c r="AJ1022" s="33">
        <f t="shared" si="2067"/>
        <v>0</v>
      </c>
      <c r="AK1022" s="33">
        <f t="shared" si="2067"/>
        <v>0</v>
      </c>
      <c r="AL1022" s="33">
        <f t="shared" si="2067"/>
        <v>0</v>
      </c>
      <c r="AM1022" s="33">
        <f t="shared" si="2067"/>
        <v>0</v>
      </c>
      <c r="AN1022" s="33">
        <f t="shared" si="2067"/>
        <v>0</v>
      </c>
      <c r="AO1022" s="33">
        <f t="shared" si="2067"/>
        <v>0</v>
      </c>
      <c r="AP1022" s="33">
        <f t="shared" si="2067"/>
        <v>0</v>
      </c>
      <c r="AQ1022" s="33">
        <f t="shared" si="2067"/>
        <v>0</v>
      </c>
      <c r="AR1022" s="33">
        <f t="shared" si="2067"/>
        <v>0</v>
      </c>
      <c r="AS1022" s="33">
        <f t="shared" si="2067"/>
        <v>0</v>
      </c>
      <c r="AT1022" s="33">
        <f t="shared" si="2067"/>
        <v>0</v>
      </c>
      <c r="AU1022" s="33">
        <f t="shared" si="2067"/>
        <v>0</v>
      </c>
      <c r="AV1022" s="33">
        <f t="shared" si="2067"/>
        <v>0</v>
      </c>
      <c r="AW1022" s="33">
        <f t="shared" si="2067"/>
        <v>0</v>
      </c>
      <c r="AX1022" s="33">
        <f t="shared" si="2067"/>
        <v>0</v>
      </c>
      <c r="AY1022" s="33">
        <f t="shared" si="2067"/>
        <v>0</v>
      </c>
      <c r="AZ1022" s="33">
        <f t="shared" si="2067"/>
        <v>0</v>
      </c>
      <c r="BA1022" s="33">
        <f t="shared" si="2067"/>
        <v>0</v>
      </c>
      <c r="BB1022" s="33">
        <f t="shared" si="2067"/>
        <v>0</v>
      </c>
      <c r="BC1022" s="33">
        <f t="shared" si="2067"/>
        <v>0</v>
      </c>
      <c r="BD1022" s="33">
        <f t="shared" si="2067"/>
        <v>0</v>
      </c>
      <c r="BE1022" s="33">
        <f t="shared" si="2067"/>
        <v>0</v>
      </c>
      <c r="BF1022" s="33">
        <f t="shared" si="2067"/>
        <v>0</v>
      </c>
      <c r="BG1022" s="33">
        <f t="shared" si="2067"/>
        <v>0</v>
      </c>
      <c r="BH1022" s="33">
        <f t="shared" si="2067"/>
        <v>0</v>
      </c>
      <c r="BI1022" s="33">
        <f t="shared" si="2067"/>
        <v>0</v>
      </c>
      <c r="BJ1022" s="33">
        <f t="shared" si="2067"/>
        <v>0</v>
      </c>
      <c r="BK1022" s="33">
        <f t="shared" si="2067"/>
        <v>0</v>
      </c>
      <c r="BL1022" s="33">
        <f t="shared" si="2067"/>
        <v>0</v>
      </c>
      <c r="BM1022" s="33">
        <f t="shared" si="2067"/>
        <v>0</v>
      </c>
      <c r="BN1022" s="33">
        <f t="shared" si="2067"/>
        <v>0</v>
      </c>
      <c r="BO1022" s="33">
        <f t="shared" si="2067"/>
        <v>0</v>
      </c>
      <c r="BP1022" s="33">
        <f t="shared" si="2067"/>
        <v>0</v>
      </c>
      <c r="BQ1022" s="33">
        <f t="shared" si="2067"/>
        <v>0</v>
      </c>
      <c r="BR1022" s="33">
        <f t="shared" si="2067"/>
        <v>0</v>
      </c>
      <c r="BS1022" s="33">
        <f t="shared" si="2067"/>
        <v>0</v>
      </c>
      <c r="BT1022" s="33">
        <f t="shared" ref="BT1022:BY1022" si="2068">+IF(AND(BT$1011=$C1024,BT$1011&lt;0),1,0)</f>
        <v>0</v>
      </c>
      <c r="BU1022" s="33">
        <f t="shared" si="2068"/>
        <v>0</v>
      </c>
      <c r="BV1022" s="33">
        <f t="shared" si="2068"/>
        <v>0</v>
      </c>
      <c r="BW1022" s="33">
        <f t="shared" si="2068"/>
        <v>0</v>
      </c>
      <c r="BX1022" s="33">
        <f t="shared" si="2068"/>
        <v>0</v>
      </c>
      <c r="BY1022" s="33">
        <f t="shared" si="2068"/>
        <v>0</v>
      </c>
    </row>
    <row r="1023" spans="3:77" outlineLevel="1">
      <c r="C1023" s="32"/>
      <c r="D1023" s="31"/>
      <c r="E1023" t="s">
        <v>509</v>
      </c>
      <c r="F1023" s="23" t="s">
        <v>500</v>
      </c>
      <c r="H1023" s="33">
        <f t="shared" ref="H1023:BS1023" si="2069">+IF(AND(H$1011=$C1025,H$1011&lt;0),1,0)</f>
        <v>0</v>
      </c>
      <c r="I1023" s="33">
        <f t="shared" si="2069"/>
        <v>0</v>
      </c>
      <c r="J1023" s="33">
        <f t="shared" si="2069"/>
        <v>0</v>
      </c>
      <c r="K1023" s="33">
        <f t="shared" si="2069"/>
        <v>0</v>
      </c>
      <c r="L1023" s="33">
        <f t="shared" si="2069"/>
        <v>0</v>
      </c>
      <c r="M1023" s="33">
        <f t="shared" si="2069"/>
        <v>0</v>
      </c>
      <c r="N1023" s="33">
        <f t="shared" si="2069"/>
        <v>0</v>
      </c>
      <c r="O1023" s="33">
        <f t="shared" si="2069"/>
        <v>0</v>
      </c>
      <c r="P1023" s="33">
        <f t="shared" si="2069"/>
        <v>0</v>
      </c>
      <c r="Q1023" s="33">
        <f t="shared" si="2069"/>
        <v>0</v>
      </c>
      <c r="R1023" s="33">
        <f t="shared" si="2069"/>
        <v>0</v>
      </c>
      <c r="S1023" s="33">
        <f t="shared" si="2069"/>
        <v>0</v>
      </c>
      <c r="T1023" s="33">
        <f t="shared" si="2069"/>
        <v>0</v>
      </c>
      <c r="U1023" s="33">
        <f t="shared" si="2069"/>
        <v>0</v>
      </c>
      <c r="V1023" s="33">
        <f t="shared" si="2069"/>
        <v>0</v>
      </c>
      <c r="W1023" s="33">
        <f t="shared" si="2069"/>
        <v>0</v>
      </c>
      <c r="X1023" s="33">
        <f t="shared" si="2069"/>
        <v>0</v>
      </c>
      <c r="Y1023" s="33">
        <f t="shared" si="2069"/>
        <v>0</v>
      </c>
      <c r="Z1023" s="33">
        <f t="shared" si="2069"/>
        <v>0</v>
      </c>
      <c r="AA1023" s="33">
        <f t="shared" si="2069"/>
        <v>0</v>
      </c>
      <c r="AB1023" s="33">
        <f t="shared" si="2069"/>
        <v>0</v>
      </c>
      <c r="AC1023" s="33">
        <f t="shared" si="2069"/>
        <v>0</v>
      </c>
      <c r="AD1023" s="33">
        <f t="shared" si="2069"/>
        <v>0</v>
      </c>
      <c r="AE1023" s="33">
        <f t="shared" si="2069"/>
        <v>0</v>
      </c>
      <c r="AF1023" s="33">
        <f t="shared" si="2069"/>
        <v>0</v>
      </c>
      <c r="AG1023" s="33">
        <f t="shared" si="2069"/>
        <v>0</v>
      </c>
      <c r="AH1023" s="33">
        <f t="shared" si="2069"/>
        <v>0</v>
      </c>
      <c r="AI1023" s="33">
        <f t="shared" si="2069"/>
        <v>0</v>
      </c>
      <c r="AJ1023" s="33">
        <f t="shared" si="2069"/>
        <v>0</v>
      </c>
      <c r="AK1023" s="33">
        <f t="shared" si="2069"/>
        <v>0</v>
      </c>
      <c r="AL1023" s="33">
        <f t="shared" si="2069"/>
        <v>0</v>
      </c>
      <c r="AM1023" s="33">
        <f t="shared" si="2069"/>
        <v>0</v>
      </c>
      <c r="AN1023" s="33">
        <f t="shared" si="2069"/>
        <v>0</v>
      </c>
      <c r="AO1023" s="33">
        <f t="shared" si="2069"/>
        <v>0</v>
      </c>
      <c r="AP1023" s="33">
        <f t="shared" si="2069"/>
        <v>0</v>
      </c>
      <c r="AQ1023" s="33">
        <f t="shared" si="2069"/>
        <v>0</v>
      </c>
      <c r="AR1023" s="33">
        <f t="shared" si="2069"/>
        <v>0</v>
      </c>
      <c r="AS1023" s="33">
        <f t="shared" si="2069"/>
        <v>0</v>
      </c>
      <c r="AT1023" s="33">
        <f t="shared" si="2069"/>
        <v>0</v>
      </c>
      <c r="AU1023" s="33">
        <f t="shared" si="2069"/>
        <v>0</v>
      </c>
      <c r="AV1023" s="33">
        <f t="shared" si="2069"/>
        <v>0</v>
      </c>
      <c r="AW1023" s="33">
        <f t="shared" si="2069"/>
        <v>0</v>
      </c>
      <c r="AX1023" s="33">
        <f t="shared" si="2069"/>
        <v>0</v>
      </c>
      <c r="AY1023" s="33">
        <f t="shared" si="2069"/>
        <v>0</v>
      </c>
      <c r="AZ1023" s="33">
        <f t="shared" si="2069"/>
        <v>0</v>
      </c>
      <c r="BA1023" s="33">
        <f t="shared" si="2069"/>
        <v>0</v>
      </c>
      <c r="BB1023" s="33">
        <f t="shared" si="2069"/>
        <v>0</v>
      </c>
      <c r="BC1023" s="33">
        <f t="shared" si="2069"/>
        <v>0</v>
      </c>
      <c r="BD1023" s="33">
        <f t="shared" si="2069"/>
        <v>0</v>
      </c>
      <c r="BE1023" s="33">
        <f t="shared" si="2069"/>
        <v>0</v>
      </c>
      <c r="BF1023" s="33">
        <f t="shared" si="2069"/>
        <v>0</v>
      </c>
      <c r="BG1023" s="33">
        <f t="shared" si="2069"/>
        <v>0</v>
      </c>
      <c r="BH1023" s="33">
        <f t="shared" si="2069"/>
        <v>0</v>
      </c>
      <c r="BI1023" s="33">
        <f t="shared" si="2069"/>
        <v>0</v>
      </c>
      <c r="BJ1023" s="33">
        <f t="shared" si="2069"/>
        <v>0</v>
      </c>
      <c r="BK1023" s="33">
        <f t="shared" si="2069"/>
        <v>0</v>
      </c>
      <c r="BL1023" s="33">
        <f t="shared" si="2069"/>
        <v>0</v>
      </c>
      <c r="BM1023" s="33">
        <f t="shared" si="2069"/>
        <v>0</v>
      </c>
      <c r="BN1023" s="33">
        <f t="shared" si="2069"/>
        <v>0</v>
      </c>
      <c r="BO1023" s="33">
        <f t="shared" si="2069"/>
        <v>0</v>
      </c>
      <c r="BP1023" s="33">
        <f t="shared" si="2069"/>
        <v>0</v>
      </c>
      <c r="BQ1023" s="33">
        <f t="shared" si="2069"/>
        <v>0</v>
      </c>
      <c r="BR1023" s="33">
        <f t="shared" si="2069"/>
        <v>0</v>
      </c>
      <c r="BS1023" s="33">
        <f t="shared" si="2069"/>
        <v>0</v>
      </c>
      <c r="BT1023" s="33">
        <f t="shared" ref="BT1023:BY1023" si="2070">+IF(AND(BT$1011=$C1025,BT$1011&lt;0),1,0)</f>
        <v>0</v>
      </c>
      <c r="BU1023" s="33">
        <f t="shared" si="2070"/>
        <v>0</v>
      </c>
      <c r="BV1023" s="33">
        <f t="shared" si="2070"/>
        <v>0</v>
      </c>
      <c r="BW1023" s="33">
        <f t="shared" si="2070"/>
        <v>0</v>
      </c>
      <c r="BX1023" s="33">
        <f t="shared" si="2070"/>
        <v>0</v>
      </c>
      <c r="BY1023" s="33">
        <f t="shared" si="2070"/>
        <v>0</v>
      </c>
    </row>
    <row r="1024" spans="3:77" outlineLevel="1">
      <c r="C1024" s="32"/>
      <c r="D1024" s="31"/>
      <c r="E1024" s="25" t="s">
        <v>510</v>
      </c>
      <c r="F1024" s="30" t="s">
        <v>500</v>
      </c>
      <c r="G1024" s="25"/>
      <c r="H1024" s="34">
        <f t="shared" ref="H1024:BS1024" si="2071">+IF(AND(H$1011=$C1026,H$1011&lt;0),1,0)</f>
        <v>0</v>
      </c>
      <c r="I1024" s="34">
        <f t="shared" si="2071"/>
        <v>0</v>
      </c>
      <c r="J1024" s="34">
        <f t="shared" si="2071"/>
        <v>0</v>
      </c>
      <c r="K1024" s="34">
        <f t="shared" si="2071"/>
        <v>0</v>
      </c>
      <c r="L1024" s="34">
        <f t="shared" si="2071"/>
        <v>0</v>
      </c>
      <c r="M1024" s="34">
        <f t="shared" si="2071"/>
        <v>0</v>
      </c>
      <c r="N1024" s="34">
        <f t="shared" si="2071"/>
        <v>0</v>
      </c>
      <c r="O1024" s="34">
        <f t="shared" si="2071"/>
        <v>0</v>
      </c>
      <c r="P1024" s="34">
        <f t="shared" si="2071"/>
        <v>0</v>
      </c>
      <c r="Q1024" s="34">
        <f t="shared" si="2071"/>
        <v>0</v>
      </c>
      <c r="R1024" s="34">
        <f t="shared" si="2071"/>
        <v>0</v>
      </c>
      <c r="S1024" s="34">
        <f t="shared" si="2071"/>
        <v>0</v>
      </c>
      <c r="T1024" s="34">
        <f t="shared" si="2071"/>
        <v>0</v>
      </c>
      <c r="U1024" s="34">
        <f t="shared" si="2071"/>
        <v>0</v>
      </c>
      <c r="V1024" s="34">
        <f t="shared" si="2071"/>
        <v>0</v>
      </c>
      <c r="W1024" s="34">
        <f t="shared" si="2071"/>
        <v>0</v>
      </c>
      <c r="X1024" s="34">
        <f t="shared" si="2071"/>
        <v>0</v>
      </c>
      <c r="Y1024" s="34">
        <f t="shared" si="2071"/>
        <v>0</v>
      </c>
      <c r="Z1024" s="34">
        <f t="shared" si="2071"/>
        <v>0</v>
      </c>
      <c r="AA1024" s="34">
        <f t="shared" si="2071"/>
        <v>0</v>
      </c>
      <c r="AB1024" s="34">
        <f t="shared" si="2071"/>
        <v>0</v>
      </c>
      <c r="AC1024" s="34">
        <f t="shared" si="2071"/>
        <v>0</v>
      </c>
      <c r="AD1024" s="34">
        <f t="shared" si="2071"/>
        <v>0</v>
      </c>
      <c r="AE1024" s="34">
        <f t="shared" si="2071"/>
        <v>0</v>
      </c>
      <c r="AF1024" s="34">
        <f t="shared" si="2071"/>
        <v>0</v>
      </c>
      <c r="AG1024" s="34">
        <f t="shared" si="2071"/>
        <v>0</v>
      </c>
      <c r="AH1024" s="34">
        <f t="shared" si="2071"/>
        <v>0</v>
      </c>
      <c r="AI1024" s="34">
        <f t="shared" si="2071"/>
        <v>0</v>
      </c>
      <c r="AJ1024" s="34">
        <f t="shared" si="2071"/>
        <v>0</v>
      </c>
      <c r="AK1024" s="34">
        <f t="shared" si="2071"/>
        <v>0</v>
      </c>
      <c r="AL1024" s="34">
        <f t="shared" si="2071"/>
        <v>0</v>
      </c>
      <c r="AM1024" s="34">
        <f t="shared" si="2071"/>
        <v>0</v>
      </c>
      <c r="AN1024" s="34">
        <f t="shared" si="2071"/>
        <v>0</v>
      </c>
      <c r="AO1024" s="34">
        <f t="shared" si="2071"/>
        <v>0</v>
      </c>
      <c r="AP1024" s="34">
        <f t="shared" si="2071"/>
        <v>0</v>
      </c>
      <c r="AQ1024" s="34">
        <f t="shared" si="2071"/>
        <v>0</v>
      </c>
      <c r="AR1024" s="34">
        <f t="shared" si="2071"/>
        <v>0</v>
      </c>
      <c r="AS1024" s="34">
        <f t="shared" si="2071"/>
        <v>0</v>
      </c>
      <c r="AT1024" s="34">
        <f t="shared" si="2071"/>
        <v>0</v>
      </c>
      <c r="AU1024" s="34">
        <f t="shared" si="2071"/>
        <v>0</v>
      </c>
      <c r="AV1024" s="34">
        <f t="shared" si="2071"/>
        <v>0</v>
      </c>
      <c r="AW1024" s="34">
        <f t="shared" si="2071"/>
        <v>0</v>
      </c>
      <c r="AX1024" s="34">
        <f t="shared" si="2071"/>
        <v>0</v>
      </c>
      <c r="AY1024" s="34">
        <f t="shared" si="2071"/>
        <v>0</v>
      </c>
      <c r="AZ1024" s="34">
        <f t="shared" si="2071"/>
        <v>0</v>
      </c>
      <c r="BA1024" s="34">
        <f t="shared" si="2071"/>
        <v>0</v>
      </c>
      <c r="BB1024" s="34">
        <f t="shared" si="2071"/>
        <v>0</v>
      </c>
      <c r="BC1024" s="34">
        <f t="shared" si="2071"/>
        <v>0</v>
      </c>
      <c r="BD1024" s="34">
        <f t="shared" si="2071"/>
        <v>0</v>
      </c>
      <c r="BE1024" s="34">
        <f t="shared" si="2071"/>
        <v>0</v>
      </c>
      <c r="BF1024" s="34">
        <f t="shared" si="2071"/>
        <v>0</v>
      </c>
      <c r="BG1024" s="34">
        <f t="shared" si="2071"/>
        <v>0</v>
      </c>
      <c r="BH1024" s="34">
        <f t="shared" si="2071"/>
        <v>0</v>
      </c>
      <c r="BI1024" s="34">
        <f t="shared" si="2071"/>
        <v>0</v>
      </c>
      <c r="BJ1024" s="34">
        <f t="shared" si="2071"/>
        <v>0</v>
      </c>
      <c r="BK1024" s="34">
        <f t="shared" si="2071"/>
        <v>0</v>
      </c>
      <c r="BL1024" s="34">
        <f t="shared" si="2071"/>
        <v>0</v>
      </c>
      <c r="BM1024" s="34">
        <f t="shared" si="2071"/>
        <v>0</v>
      </c>
      <c r="BN1024" s="34">
        <f t="shared" si="2071"/>
        <v>0</v>
      </c>
      <c r="BO1024" s="34">
        <f t="shared" si="2071"/>
        <v>0</v>
      </c>
      <c r="BP1024" s="34">
        <f t="shared" si="2071"/>
        <v>0</v>
      </c>
      <c r="BQ1024" s="34">
        <f t="shared" si="2071"/>
        <v>0</v>
      </c>
      <c r="BR1024" s="34">
        <f t="shared" si="2071"/>
        <v>0</v>
      </c>
      <c r="BS1024" s="34">
        <f t="shared" si="2071"/>
        <v>0</v>
      </c>
      <c r="BT1024" s="34">
        <f t="shared" ref="BT1024:BY1024" si="2072">+IF(AND(BT$1011=$C1026,BT$1011&lt;0),1,0)</f>
        <v>0</v>
      </c>
      <c r="BU1024" s="34">
        <f t="shared" si="2072"/>
        <v>0</v>
      </c>
      <c r="BV1024" s="34">
        <f t="shared" si="2072"/>
        <v>0</v>
      </c>
      <c r="BW1024" s="34">
        <f t="shared" si="2072"/>
        <v>0</v>
      </c>
      <c r="BX1024" s="34">
        <f t="shared" si="2072"/>
        <v>0</v>
      </c>
      <c r="BY1024" s="34">
        <f t="shared" si="2072"/>
        <v>0</v>
      </c>
    </row>
    <row r="1025" spans="5:77" outlineLevel="1">
      <c r="E1025" t="s">
        <v>511</v>
      </c>
      <c r="F1025" s="80" t="str">
        <f>+Assumptions!$G$8</f>
        <v>USD</v>
      </c>
      <c r="H1025" s="32">
        <f t="shared" ref="H1025" si="2073">+G1039</f>
        <v>0</v>
      </c>
      <c r="I1025" s="32">
        <f t="shared" ref="I1025" si="2074">+H1039</f>
        <v>0</v>
      </c>
      <c r="J1025" s="32">
        <f>+I1039</f>
        <v>0</v>
      </c>
      <c r="K1025" s="32">
        <f t="shared" ref="K1025" si="2075">+J1039</f>
        <v>0</v>
      </c>
      <c r="L1025" s="32">
        <f t="shared" ref="L1025" si="2076">+K1039</f>
        <v>0</v>
      </c>
      <c r="M1025" s="32">
        <f t="shared" ref="M1025" si="2077">+L1039</f>
        <v>0</v>
      </c>
      <c r="N1025" s="32">
        <f t="shared" ref="N1025" si="2078">+M1039</f>
        <v>0</v>
      </c>
      <c r="O1025" s="32">
        <f t="shared" ref="O1025" si="2079">+N1039</f>
        <v>0</v>
      </c>
      <c r="P1025" s="32">
        <f t="shared" ref="P1025" si="2080">+O1039</f>
        <v>0</v>
      </c>
      <c r="Q1025" s="32">
        <f t="shared" ref="Q1025" si="2081">+P1039</f>
        <v>0</v>
      </c>
      <c r="R1025" s="32">
        <f t="shared" ref="R1025" si="2082">+Q1039</f>
        <v>0</v>
      </c>
      <c r="S1025" s="32">
        <f t="shared" ref="S1025" si="2083">+R1039</f>
        <v>0</v>
      </c>
      <c r="T1025" s="32">
        <f t="shared" ref="T1025" si="2084">+S1039</f>
        <v>0</v>
      </c>
      <c r="U1025" s="32">
        <f t="shared" ref="U1025" si="2085">+T1039</f>
        <v>0</v>
      </c>
      <c r="V1025" s="32">
        <f t="shared" ref="V1025" si="2086">+U1039</f>
        <v>0</v>
      </c>
      <c r="W1025" s="32">
        <f t="shared" ref="W1025" si="2087">+V1039</f>
        <v>0</v>
      </c>
      <c r="X1025" s="32">
        <f t="shared" ref="X1025" si="2088">+W1039</f>
        <v>0</v>
      </c>
      <c r="Y1025" s="32">
        <f t="shared" ref="Y1025" si="2089">+X1039</f>
        <v>0</v>
      </c>
      <c r="Z1025" s="32">
        <f t="shared" ref="Z1025" si="2090">+Y1039</f>
        <v>0</v>
      </c>
      <c r="AA1025" s="32">
        <f t="shared" ref="AA1025" si="2091">+Z1039</f>
        <v>0</v>
      </c>
      <c r="AB1025" s="32">
        <f t="shared" ref="AB1025" si="2092">+AA1039</f>
        <v>0</v>
      </c>
      <c r="AC1025" s="32">
        <f t="shared" ref="AC1025" si="2093">+AB1039</f>
        <v>0</v>
      </c>
      <c r="AD1025" s="32">
        <f t="shared" ref="AD1025" si="2094">+AC1039</f>
        <v>0</v>
      </c>
      <c r="AE1025" s="32">
        <f t="shared" ref="AE1025" si="2095">+AD1039</f>
        <v>0</v>
      </c>
      <c r="AF1025" s="32">
        <f t="shared" ref="AF1025" si="2096">+AE1039</f>
        <v>0</v>
      </c>
      <c r="AG1025" s="32">
        <f t="shared" ref="AG1025" si="2097">+AF1039</f>
        <v>0</v>
      </c>
      <c r="AH1025" s="32">
        <f t="shared" ref="AH1025" si="2098">+AG1039</f>
        <v>0</v>
      </c>
      <c r="AI1025" s="32">
        <f t="shared" ref="AI1025" si="2099">+AH1039</f>
        <v>0</v>
      </c>
      <c r="AJ1025" s="32">
        <f t="shared" ref="AJ1025" si="2100">+AI1039</f>
        <v>0</v>
      </c>
      <c r="AK1025" s="32">
        <f t="shared" ref="AK1025" si="2101">+AJ1039</f>
        <v>0</v>
      </c>
      <c r="AL1025" s="32">
        <f t="shared" ref="AL1025" si="2102">+AK1039</f>
        <v>0</v>
      </c>
      <c r="AM1025" s="32">
        <f t="shared" ref="AM1025" si="2103">+AL1039</f>
        <v>0</v>
      </c>
      <c r="AN1025" s="32">
        <f t="shared" ref="AN1025" si="2104">+AM1039</f>
        <v>0</v>
      </c>
      <c r="AO1025" s="32">
        <f t="shared" ref="AO1025" si="2105">+AN1039</f>
        <v>0</v>
      </c>
      <c r="AP1025" s="32">
        <f t="shared" ref="AP1025" si="2106">+AO1039</f>
        <v>0</v>
      </c>
      <c r="AQ1025" s="32">
        <f t="shared" ref="AQ1025" si="2107">+AP1039</f>
        <v>0</v>
      </c>
      <c r="AR1025" s="32">
        <f t="shared" ref="AR1025" si="2108">+AQ1039</f>
        <v>0</v>
      </c>
      <c r="AS1025" s="32">
        <f t="shared" ref="AS1025" si="2109">+AR1039</f>
        <v>0</v>
      </c>
      <c r="AT1025" s="32">
        <f t="shared" ref="AT1025" si="2110">+AS1039</f>
        <v>0</v>
      </c>
      <c r="AU1025" s="32">
        <f t="shared" ref="AU1025" si="2111">+AT1039</f>
        <v>0</v>
      </c>
      <c r="AV1025" s="32">
        <f t="shared" ref="AV1025" si="2112">+AU1039</f>
        <v>0</v>
      </c>
      <c r="AW1025" s="32">
        <f t="shared" ref="AW1025" si="2113">+AV1039</f>
        <v>0</v>
      </c>
      <c r="AX1025" s="32">
        <f t="shared" ref="AX1025" si="2114">+AW1039</f>
        <v>0</v>
      </c>
      <c r="AY1025" s="32">
        <f t="shared" ref="AY1025" si="2115">+AX1039</f>
        <v>0</v>
      </c>
      <c r="AZ1025" s="32">
        <f t="shared" ref="AZ1025" si="2116">+AY1039</f>
        <v>0</v>
      </c>
      <c r="BA1025" s="32">
        <f t="shared" ref="BA1025" si="2117">+AZ1039</f>
        <v>0</v>
      </c>
      <c r="BB1025" s="32">
        <f t="shared" ref="BB1025" si="2118">+BA1039</f>
        <v>0</v>
      </c>
      <c r="BC1025" s="32">
        <f t="shared" ref="BC1025" si="2119">+BB1039</f>
        <v>0</v>
      </c>
      <c r="BD1025" s="32">
        <f t="shared" ref="BD1025" si="2120">+BC1039</f>
        <v>0</v>
      </c>
      <c r="BE1025" s="32">
        <f t="shared" ref="BE1025" si="2121">+BD1039</f>
        <v>0</v>
      </c>
      <c r="BF1025" s="32">
        <f t="shared" ref="BF1025" si="2122">+BE1039</f>
        <v>0</v>
      </c>
      <c r="BG1025" s="32">
        <f t="shared" ref="BG1025" si="2123">+BF1039</f>
        <v>0</v>
      </c>
      <c r="BH1025" s="32">
        <f t="shared" ref="BH1025" si="2124">+BG1039</f>
        <v>0</v>
      </c>
      <c r="BI1025" s="32">
        <f t="shared" ref="BI1025" si="2125">+BH1039</f>
        <v>0</v>
      </c>
      <c r="BJ1025" s="32">
        <f t="shared" ref="BJ1025" si="2126">+BI1039</f>
        <v>0</v>
      </c>
      <c r="BK1025" s="32">
        <f t="shared" ref="BK1025" si="2127">+BJ1039</f>
        <v>0</v>
      </c>
      <c r="BL1025" s="32">
        <f t="shared" ref="BL1025" si="2128">+BK1039</f>
        <v>0</v>
      </c>
      <c r="BM1025" s="32">
        <f t="shared" ref="BM1025" si="2129">+BL1039</f>
        <v>0</v>
      </c>
      <c r="BN1025" s="32">
        <f t="shared" ref="BN1025" si="2130">+BM1039</f>
        <v>0</v>
      </c>
      <c r="BO1025" s="32">
        <f t="shared" ref="BO1025" si="2131">+BN1039</f>
        <v>0</v>
      </c>
      <c r="BP1025" s="32">
        <f t="shared" ref="BP1025" si="2132">+BO1039</f>
        <v>0</v>
      </c>
      <c r="BQ1025" s="32">
        <f t="shared" ref="BQ1025" si="2133">+BP1039</f>
        <v>0</v>
      </c>
      <c r="BR1025" s="32">
        <f t="shared" ref="BR1025" si="2134">+BQ1039</f>
        <v>0</v>
      </c>
      <c r="BS1025" s="32">
        <f t="shared" ref="BS1025" si="2135">+BR1039</f>
        <v>0</v>
      </c>
      <c r="BT1025" s="32">
        <f t="shared" ref="BT1025" si="2136">+BS1039</f>
        <v>0</v>
      </c>
      <c r="BU1025" s="32">
        <f t="shared" ref="BU1025" si="2137">+BT1039</f>
        <v>0</v>
      </c>
      <c r="BV1025" s="32">
        <f t="shared" ref="BV1025" si="2138">+BU1039</f>
        <v>0</v>
      </c>
      <c r="BW1025" s="32">
        <f t="shared" ref="BW1025" si="2139">+BV1039</f>
        <v>0</v>
      </c>
      <c r="BX1025" s="32">
        <f t="shared" ref="BX1025" si="2140">+BW1039</f>
        <v>0</v>
      </c>
      <c r="BY1025" s="32">
        <f t="shared" ref="BY1025" si="2141">+BX1039</f>
        <v>0</v>
      </c>
    </row>
    <row r="1026" spans="5:77" outlineLevel="1">
      <c r="E1026" t="s">
        <v>512</v>
      </c>
      <c r="F1026" s="80" t="str">
        <f>+Assumptions!$G$8</f>
        <v>USD</v>
      </c>
      <c r="H1026" s="33">
        <f ca="1">+H1025*Assumptions!$H$346</f>
        <v>0</v>
      </c>
      <c r="I1026" s="33">
        <f ca="1">+I1025*Assumptions!$H$346</f>
        <v>0</v>
      </c>
      <c r="J1026" s="33">
        <f ca="1">+J1025*Assumptions!$H$346</f>
        <v>0</v>
      </c>
      <c r="K1026" s="33">
        <f ca="1">+K1025*Assumptions!$H$346</f>
        <v>0</v>
      </c>
      <c r="L1026" s="33">
        <f ca="1">+L1025*Assumptions!$H$346</f>
        <v>0</v>
      </c>
      <c r="M1026" s="33">
        <f ca="1">+M1025*Assumptions!$H$346</f>
        <v>0</v>
      </c>
      <c r="N1026" s="33">
        <f ca="1">+N1025*Assumptions!$H$346</f>
        <v>0</v>
      </c>
      <c r="O1026" s="33">
        <f ca="1">+O1025*Assumptions!$H$346</f>
        <v>0</v>
      </c>
      <c r="P1026" s="33">
        <f ca="1">+P1025*Assumptions!$H$346</f>
        <v>0</v>
      </c>
      <c r="Q1026" s="33">
        <f ca="1">+Q1025*Assumptions!$H$346</f>
        <v>0</v>
      </c>
      <c r="R1026" s="33">
        <f ca="1">+R1025*Assumptions!$H$346</f>
        <v>0</v>
      </c>
      <c r="S1026" s="33">
        <f ca="1">+S1025*Assumptions!$H$346</f>
        <v>0</v>
      </c>
      <c r="T1026" s="33">
        <f ca="1">+T1025*Assumptions!$H$346</f>
        <v>0</v>
      </c>
      <c r="U1026" s="33">
        <f ca="1">+U1025*Assumptions!$H$346</f>
        <v>0</v>
      </c>
      <c r="V1026" s="33">
        <f ca="1">+V1025*Assumptions!$H$346</f>
        <v>0</v>
      </c>
      <c r="W1026" s="33">
        <f ca="1">+W1025*Assumptions!$H$346</f>
        <v>0</v>
      </c>
      <c r="X1026" s="33">
        <f ca="1">+X1025*Assumptions!$H$346</f>
        <v>0</v>
      </c>
      <c r="Y1026" s="33">
        <f ca="1">+Y1025*Assumptions!$H$346</f>
        <v>0</v>
      </c>
      <c r="Z1026" s="33">
        <f ca="1">+Z1025*Assumptions!$H$346</f>
        <v>0</v>
      </c>
      <c r="AA1026" s="33">
        <f ca="1">+AA1025*Assumptions!$H$346</f>
        <v>0</v>
      </c>
      <c r="AB1026" s="33">
        <f ca="1">+AB1025*Assumptions!$H$346</f>
        <v>0</v>
      </c>
      <c r="AC1026" s="33">
        <f ca="1">+AC1025*Assumptions!$H$346</f>
        <v>0</v>
      </c>
      <c r="AD1026" s="33">
        <f ca="1">+AD1025*Assumptions!$H$346</f>
        <v>0</v>
      </c>
      <c r="AE1026" s="33">
        <f ca="1">+AE1025*Assumptions!$H$346</f>
        <v>0</v>
      </c>
      <c r="AF1026" s="33">
        <f ca="1">+AF1025*Assumptions!$H$346</f>
        <v>0</v>
      </c>
      <c r="AG1026" s="33">
        <f ca="1">+AG1025*Assumptions!$H$346</f>
        <v>0</v>
      </c>
      <c r="AH1026" s="33">
        <f ca="1">+AH1025*Assumptions!$H$346</f>
        <v>0</v>
      </c>
      <c r="AI1026" s="33">
        <f ca="1">+AI1025*Assumptions!$H$346</f>
        <v>0</v>
      </c>
      <c r="AJ1026" s="33">
        <f ca="1">+AJ1025*Assumptions!$H$346</f>
        <v>0</v>
      </c>
      <c r="AK1026" s="33">
        <f ca="1">+AK1025*Assumptions!$H$346</f>
        <v>0</v>
      </c>
      <c r="AL1026" s="33">
        <f ca="1">+AL1025*Assumptions!$H$346</f>
        <v>0</v>
      </c>
      <c r="AM1026" s="33">
        <f ca="1">+AM1025*Assumptions!$H$346</f>
        <v>0</v>
      </c>
      <c r="AN1026" s="33">
        <f ca="1">+AN1025*Assumptions!$H$346</f>
        <v>0</v>
      </c>
      <c r="AO1026" s="33">
        <f ca="1">+AO1025*Assumptions!$H$346</f>
        <v>0</v>
      </c>
      <c r="AP1026" s="33">
        <f ca="1">+AP1025*Assumptions!$H$346</f>
        <v>0</v>
      </c>
      <c r="AQ1026" s="33">
        <f ca="1">+AQ1025*Assumptions!$H$346</f>
        <v>0</v>
      </c>
      <c r="AR1026" s="33">
        <f ca="1">+AR1025*Assumptions!$H$346</f>
        <v>0</v>
      </c>
      <c r="AS1026" s="33">
        <f ca="1">+AS1025*Assumptions!$H$346</f>
        <v>0</v>
      </c>
      <c r="AT1026" s="33">
        <f ca="1">+AT1025*Assumptions!$H$346</f>
        <v>0</v>
      </c>
      <c r="AU1026" s="33">
        <f ca="1">+AU1025*Assumptions!$H$346</f>
        <v>0</v>
      </c>
      <c r="AV1026" s="33">
        <f ca="1">+AV1025*Assumptions!$H$346</f>
        <v>0</v>
      </c>
      <c r="AW1026" s="33">
        <f ca="1">+AW1025*Assumptions!$H$346</f>
        <v>0</v>
      </c>
      <c r="AX1026" s="33">
        <f ca="1">+AX1025*Assumptions!$H$346</f>
        <v>0</v>
      </c>
      <c r="AY1026" s="33">
        <f ca="1">+AY1025*Assumptions!$H$346</f>
        <v>0</v>
      </c>
      <c r="AZ1026" s="33">
        <f ca="1">+AZ1025*Assumptions!$H$346</f>
        <v>0</v>
      </c>
      <c r="BA1026" s="33">
        <f ca="1">+BA1025*Assumptions!$H$346</f>
        <v>0</v>
      </c>
      <c r="BB1026" s="33">
        <f ca="1">+BB1025*Assumptions!$H$346</f>
        <v>0</v>
      </c>
      <c r="BC1026" s="33">
        <f ca="1">+BC1025*Assumptions!$H$346</f>
        <v>0</v>
      </c>
      <c r="BD1026" s="33">
        <f ca="1">+BD1025*Assumptions!$H$346</f>
        <v>0</v>
      </c>
      <c r="BE1026" s="33">
        <f ca="1">+BE1025*Assumptions!$H$346</f>
        <v>0</v>
      </c>
      <c r="BF1026" s="33">
        <f ca="1">+BF1025*Assumptions!$H$346</f>
        <v>0</v>
      </c>
      <c r="BG1026" s="33">
        <f ca="1">+BG1025*Assumptions!$H$346</f>
        <v>0</v>
      </c>
      <c r="BH1026" s="33">
        <f ca="1">+BH1025*Assumptions!$H$346</f>
        <v>0</v>
      </c>
      <c r="BI1026" s="33">
        <f ca="1">+BI1025*Assumptions!$H$346</f>
        <v>0</v>
      </c>
      <c r="BJ1026" s="33">
        <f ca="1">+BJ1025*Assumptions!$H$346</f>
        <v>0</v>
      </c>
      <c r="BK1026" s="33">
        <f ca="1">+BK1025*Assumptions!$H$346</f>
        <v>0</v>
      </c>
      <c r="BL1026" s="33">
        <f ca="1">+BL1025*Assumptions!$H$346</f>
        <v>0</v>
      </c>
      <c r="BM1026" s="33">
        <f ca="1">+BM1025*Assumptions!$H$346</f>
        <v>0</v>
      </c>
      <c r="BN1026" s="33">
        <f ca="1">+BN1025*Assumptions!$H$346</f>
        <v>0</v>
      </c>
      <c r="BO1026" s="33">
        <f ca="1">+BO1025*Assumptions!$H$346</f>
        <v>0</v>
      </c>
      <c r="BP1026" s="33">
        <f ca="1">+BP1025*Assumptions!$H$346</f>
        <v>0</v>
      </c>
      <c r="BQ1026" s="33">
        <f ca="1">+BQ1025*Assumptions!$H$346</f>
        <v>0</v>
      </c>
      <c r="BR1026" s="33">
        <f ca="1">+BR1025*Assumptions!$H$346</f>
        <v>0</v>
      </c>
      <c r="BS1026" s="33">
        <f ca="1">+BS1025*Assumptions!$H$346</f>
        <v>0</v>
      </c>
      <c r="BT1026" s="33">
        <f ca="1">+BT1025*Assumptions!$H$346</f>
        <v>0</v>
      </c>
      <c r="BU1026" s="33">
        <f ca="1">+BU1025*Assumptions!$H$346</f>
        <v>0</v>
      </c>
      <c r="BV1026" s="33">
        <f ca="1">+BV1025*Assumptions!$H$346</f>
        <v>0</v>
      </c>
      <c r="BW1026" s="33">
        <f ca="1">+BW1025*Assumptions!$H$346</f>
        <v>0</v>
      </c>
      <c r="BX1026" s="33">
        <f ca="1">+BX1025*Assumptions!$H$346</f>
        <v>0</v>
      </c>
      <c r="BY1026" s="33">
        <f ca="1">+BY1025*Assumptions!$H$346</f>
        <v>0</v>
      </c>
    </row>
    <row r="1027" spans="5:77" outlineLevel="1">
      <c r="E1027" s="25" t="s">
        <v>513</v>
      </c>
      <c r="F1027" s="81" t="str">
        <f>+Assumptions!$G$8</f>
        <v>USD</v>
      </c>
      <c r="G1027" s="25"/>
      <c r="H1027" s="34">
        <f>IF(SUM(H1028:H1037)=0,0,+SUM(H1028:H1037)-H1026)</f>
        <v>0</v>
      </c>
      <c r="I1027" s="34">
        <f t="shared" ref="I1027:BT1027" si="2142">IF(SUM(I1028:I1037)=0,0,+SUM(I1028:I1037)-I1026)</f>
        <v>0</v>
      </c>
      <c r="J1027" s="34">
        <f t="shared" si="2142"/>
        <v>0</v>
      </c>
      <c r="K1027" s="34">
        <f t="shared" si="2142"/>
        <v>0</v>
      </c>
      <c r="L1027" s="34">
        <f t="shared" si="2142"/>
        <v>0</v>
      </c>
      <c r="M1027" s="34">
        <f t="shared" si="2142"/>
        <v>0</v>
      </c>
      <c r="N1027" s="34">
        <f t="shared" si="2142"/>
        <v>0</v>
      </c>
      <c r="O1027" s="34">
        <f t="shared" si="2142"/>
        <v>0</v>
      </c>
      <c r="P1027" s="34">
        <f t="shared" si="2142"/>
        <v>0</v>
      </c>
      <c r="Q1027" s="34">
        <f t="shared" si="2142"/>
        <v>0</v>
      </c>
      <c r="R1027" s="34">
        <f t="shared" si="2142"/>
        <v>0</v>
      </c>
      <c r="S1027" s="34">
        <f t="shared" si="2142"/>
        <v>0</v>
      </c>
      <c r="T1027" s="34">
        <f t="shared" si="2142"/>
        <v>0</v>
      </c>
      <c r="U1027" s="34">
        <f t="shared" si="2142"/>
        <v>0</v>
      </c>
      <c r="V1027" s="34">
        <f t="shared" si="2142"/>
        <v>0</v>
      </c>
      <c r="W1027" s="34">
        <f t="shared" si="2142"/>
        <v>0</v>
      </c>
      <c r="X1027" s="34">
        <f t="shared" si="2142"/>
        <v>0</v>
      </c>
      <c r="Y1027" s="34">
        <f t="shared" si="2142"/>
        <v>0</v>
      </c>
      <c r="Z1027" s="34">
        <f t="shared" si="2142"/>
        <v>0</v>
      </c>
      <c r="AA1027" s="34">
        <f t="shared" si="2142"/>
        <v>0</v>
      </c>
      <c r="AB1027" s="34">
        <f t="shared" si="2142"/>
        <v>0</v>
      </c>
      <c r="AC1027" s="34">
        <f t="shared" si="2142"/>
        <v>0</v>
      </c>
      <c r="AD1027" s="34">
        <f t="shared" si="2142"/>
        <v>0</v>
      </c>
      <c r="AE1027" s="34">
        <f t="shared" si="2142"/>
        <v>0</v>
      </c>
      <c r="AF1027" s="34">
        <f t="shared" si="2142"/>
        <v>0</v>
      </c>
      <c r="AG1027" s="34">
        <f t="shared" si="2142"/>
        <v>0</v>
      </c>
      <c r="AH1027" s="34">
        <f t="shared" si="2142"/>
        <v>0</v>
      </c>
      <c r="AI1027" s="34">
        <f t="shared" si="2142"/>
        <v>0</v>
      </c>
      <c r="AJ1027" s="34">
        <f t="shared" si="2142"/>
        <v>0</v>
      </c>
      <c r="AK1027" s="34">
        <f t="shared" si="2142"/>
        <v>0</v>
      </c>
      <c r="AL1027" s="34">
        <f t="shared" si="2142"/>
        <v>0</v>
      </c>
      <c r="AM1027" s="34">
        <f t="shared" si="2142"/>
        <v>0</v>
      </c>
      <c r="AN1027" s="34">
        <f t="shared" si="2142"/>
        <v>0</v>
      </c>
      <c r="AO1027" s="34">
        <f t="shared" si="2142"/>
        <v>0</v>
      </c>
      <c r="AP1027" s="34">
        <f t="shared" si="2142"/>
        <v>0</v>
      </c>
      <c r="AQ1027" s="34">
        <f t="shared" si="2142"/>
        <v>0</v>
      </c>
      <c r="AR1027" s="34">
        <f t="shared" si="2142"/>
        <v>0</v>
      </c>
      <c r="AS1027" s="34">
        <f t="shared" si="2142"/>
        <v>0</v>
      </c>
      <c r="AT1027" s="34">
        <f t="shared" si="2142"/>
        <v>0</v>
      </c>
      <c r="AU1027" s="34">
        <f t="shared" si="2142"/>
        <v>0</v>
      </c>
      <c r="AV1027" s="34">
        <f t="shared" si="2142"/>
        <v>0</v>
      </c>
      <c r="AW1027" s="34">
        <f t="shared" si="2142"/>
        <v>0</v>
      </c>
      <c r="AX1027" s="34">
        <f t="shared" si="2142"/>
        <v>0</v>
      </c>
      <c r="AY1027" s="34">
        <f t="shared" si="2142"/>
        <v>0</v>
      </c>
      <c r="AZ1027" s="34">
        <f t="shared" si="2142"/>
        <v>0</v>
      </c>
      <c r="BA1027" s="34">
        <f t="shared" si="2142"/>
        <v>0</v>
      </c>
      <c r="BB1027" s="34">
        <f t="shared" si="2142"/>
        <v>0</v>
      </c>
      <c r="BC1027" s="34">
        <f t="shared" si="2142"/>
        <v>0</v>
      </c>
      <c r="BD1027" s="34">
        <f t="shared" si="2142"/>
        <v>0</v>
      </c>
      <c r="BE1027" s="34">
        <f t="shared" si="2142"/>
        <v>0</v>
      </c>
      <c r="BF1027" s="34">
        <f t="shared" si="2142"/>
        <v>0</v>
      </c>
      <c r="BG1027" s="34">
        <f t="shared" si="2142"/>
        <v>0</v>
      </c>
      <c r="BH1027" s="34">
        <f t="shared" si="2142"/>
        <v>0</v>
      </c>
      <c r="BI1027" s="34">
        <f t="shared" si="2142"/>
        <v>0</v>
      </c>
      <c r="BJ1027" s="34">
        <f t="shared" si="2142"/>
        <v>0</v>
      </c>
      <c r="BK1027" s="34">
        <f t="shared" si="2142"/>
        <v>0</v>
      </c>
      <c r="BL1027" s="34">
        <f t="shared" si="2142"/>
        <v>0</v>
      </c>
      <c r="BM1027" s="34">
        <f t="shared" si="2142"/>
        <v>0</v>
      </c>
      <c r="BN1027" s="34">
        <f t="shared" si="2142"/>
        <v>0</v>
      </c>
      <c r="BO1027" s="34">
        <f t="shared" si="2142"/>
        <v>0</v>
      </c>
      <c r="BP1027" s="34">
        <f t="shared" si="2142"/>
        <v>0</v>
      </c>
      <c r="BQ1027" s="34">
        <f t="shared" si="2142"/>
        <v>0</v>
      </c>
      <c r="BR1027" s="34">
        <f t="shared" si="2142"/>
        <v>0</v>
      </c>
      <c r="BS1027" s="34">
        <f t="shared" si="2142"/>
        <v>0</v>
      </c>
      <c r="BT1027" s="34">
        <f t="shared" si="2142"/>
        <v>0</v>
      </c>
      <c r="BU1027" s="34">
        <f t="shared" ref="BU1027:BY1027" si="2143">IF(SUM(BU1028:BU1037)=0,0,+SUM(BU1028:BU1037)-BU1026)</f>
        <v>0</v>
      </c>
      <c r="BV1027" s="34">
        <f t="shared" si="2143"/>
        <v>0</v>
      </c>
      <c r="BW1027" s="34">
        <f t="shared" si="2143"/>
        <v>0</v>
      </c>
      <c r="BX1027" s="34">
        <f t="shared" si="2143"/>
        <v>0</v>
      </c>
      <c r="BY1027" s="34">
        <f t="shared" si="2143"/>
        <v>0</v>
      </c>
    </row>
    <row r="1028" spans="5:77" outlineLevel="1">
      <c r="E1028" s="24" t="s">
        <v>514</v>
      </c>
      <c r="F1028" s="80" t="str">
        <f>+Assumptions!$G$8</f>
        <v>USD</v>
      </c>
      <c r="G1028" s="24"/>
      <c r="H1028" s="39">
        <f>+IFERROR(-ABS(IF(EDATE(_xlfn.XLOOKUP(1,$H1015:$BE1015,$H$4:$BE$4),12*Assumptions!$H$348+12)=H$4,0,IF(G1015=1,PMT(Assumptions!$H$346,Assumptions!$H$348,$C1017),G1028))),0)</f>
        <v>0</v>
      </c>
      <c r="I1028" s="39">
        <f>+IFERROR(-ABS(IF(EDATE(_xlfn.XLOOKUP(1,$H1015:$BE1015,$H$4:$BE$4),12*Assumptions!$H$348+12)=I$4,0,IF(H1015=1,PMT(Assumptions!$H$346,Assumptions!$H$348,$C1017),H1028))),0)</f>
        <v>0</v>
      </c>
      <c r="J1028" s="39">
        <f>+IFERROR(-ABS(IF(EDATE(_xlfn.XLOOKUP(1,$H1015:$BE1015,$H$4:$BE$4),12*Assumptions!$H$348+12)=J$4,0,IF(I1015=1,PMT(Assumptions!$H$346,Assumptions!$H$348,$C1017),I1028))),0)</f>
        <v>0</v>
      </c>
      <c r="K1028" s="39">
        <f>+IFERROR(-ABS(IF(EDATE(_xlfn.XLOOKUP(1,$H1015:$BE1015,$H$4:$BE$4),12*Assumptions!$H$348+12)=K$4,0,IF(J1015=1,PMT(Assumptions!$H$346,Assumptions!$H$348,$C1017),J1028))),0)</f>
        <v>0</v>
      </c>
      <c r="L1028" s="39">
        <f>+IFERROR(-ABS(IF(EDATE(_xlfn.XLOOKUP(1,$H1015:$BE1015,$H$4:$BE$4),12*Assumptions!$H$348+12)=L$4,0,IF(K1015=1,PMT(Assumptions!$H$346,Assumptions!$H$348,$C1017),K1028))),0)</f>
        <v>0</v>
      </c>
      <c r="M1028" s="39">
        <f>+IFERROR(-ABS(IF(EDATE(_xlfn.XLOOKUP(1,$H1015:$BE1015,$H$4:$BE$4),12*Assumptions!$H$348+12)=M$4,0,IF(L1015=1,PMT(Assumptions!$H$346,Assumptions!$H$348,$C1017),L1028))),0)</f>
        <v>0</v>
      </c>
      <c r="N1028" s="39">
        <f>+IFERROR(-ABS(IF(EDATE(_xlfn.XLOOKUP(1,$H1015:$BE1015,$H$4:$BE$4),12*Assumptions!$H$348+12)=N$4,0,IF(M1015=1,PMT(Assumptions!$H$346,Assumptions!$H$348,$C1017),M1028))),0)</f>
        <v>0</v>
      </c>
      <c r="O1028" s="39">
        <f>+IFERROR(-ABS(IF(EDATE(_xlfn.XLOOKUP(1,$H1015:$BE1015,$H$4:$BE$4),12*Assumptions!$H$348+12)=O$4,0,IF(N1015=1,PMT(Assumptions!$H$346,Assumptions!$H$348,$C1017),N1028))),0)</f>
        <v>0</v>
      </c>
      <c r="P1028" s="39">
        <f>+IFERROR(-ABS(IF(EDATE(_xlfn.XLOOKUP(1,$H1015:$BE1015,$H$4:$BE$4),12*Assumptions!$H$348+12)=P$4,0,IF(O1015=1,PMT(Assumptions!$H$346,Assumptions!$H$348,$C1017),O1028))),0)</f>
        <v>0</v>
      </c>
      <c r="Q1028" s="39">
        <f>+IFERROR(-ABS(IF(EDATE(_xlfn.XLOOKUP(1,$H1015:$BE1015,$H$4:$BE$4),12*Assumptions!$H$348+12)=Q$4,0,IF(P1015=1,PMT(Assumptions!$H$346,Assumptions!$H$348,$C1017),P1028))),0)</f>
        <v>0</v>
      </c>
      <c r="R1028" s="39">
        <f>+IFERROR(-ABS(IF(EDATE(_xlfn.XLOOKUP(1,$H1015:$BE1015,$H$4:$BE$4),12*Assumptions!$H$348+12)=R$4,0,IF(Q1015=1,PMT(Assumptions!$H$346,Assumptions!$H$348,$C1017),Q1028))),0)</f>
        <v>0</v>
      </c>
      <c r="S1028" s="39">
        <f>+IFERROR(-ABS(IF(EDATE(_xlfn.XLOOKUP(1,$H1015:$BE1015,$H$4:$BE$4),12*Assumptions!$H$348+12)=S$4,0,IF(R1015=1,PMT(Assumptions!$H$346,Assumptions!$H$348,$C1017),R1028))),0)</f>
        <v>0</v>
      </c>
      <c r="T1028" s="39">
        <f>+IFERROR(-ABS(IF(EDATE(_xlfn.XLOOKUP(1,$H1015:$BE1015,$H$4:$BE$4),12*Assumptions!$H$348+12)=T$4,0,IF(S1015=1,PMT(Assumptions!$H$346,Assumptions!$H$348,$C1017),S1028))),0)</f>
        <v>0</v>
      </c>
      <c r="U1028" s="39">
        <f>+IFERROR(-ABS(IF(EDATE(_xlfn.XLOOKUP(1,$H1015:$BE1015,$H$4:$BE$4),12*Assumptions!$H$348+12)=U$4,0,IF(T1015=1,PMT(Assumptions!$H$346,Assumptions!$H$348,$C1017),T1028))),0)</f>
        <v>0</v>
      </c>
      <c r="V1028" s="39">
        <f>+IFERROR(-ABS(IF(EDATE(_xlfn.XLOOKUP(1,$H1015:$BE1015,$H$4:$BE$4),12*Assumptions!$H$348+12)=V$4,0,IF(U1015=1,PMT(Assumptions!$H$346,Assumptions!$H$348,$C1017),U1028))),0)</f>
        <v>0</v>
      </c>
      <c r="W1028" s="39">
        <f>+IFERROR(-ABS(IF(EDATE(_xlfn.XLOOKUP(1,$H1015:$BE1015,$H$4:$BE$4),12*Assumptions!$H$348+12)=W$4,0,IF(V1015=1,PMT(Assumptions!$H$346,Assumptions!$H$348,$C1017),V1028))),0)</f>
        <v>0</v>
      </c>
      <c r="X1028" s="39">
        <f>+IFERROR(-ABS(IF(EDATE(_xlfn.XLOOKUP(1,$H1015:$BE1015,$H$4:$BE$4),12*Assumptions!$H$348+12)=X$4,0,IF(W1015=1,PMT(Assumptions!$H$346,Assumptions!$H$348,$C1017),W1028))),0)</f>
        <v>0</v>
      </c>
      <c r="Y1028" s="39">
        <f>+IFERROR(-ABS(IF(EDATE(_xlfn.XLOOKUP(1,$H1015:$BE1015,$H$4:$BE$4),12*Assumptions!$H$348+12)=Y$4,0,IF(X1015=1,PMT(Assumptions!$H$346,Assumptions!$H$348,$C1017),X1028))),0)</f>
        <v>0</v>
      </c>
      <c r="Z1028" s="39">
        <f>+IFERROR(-ABS(IF(EDATE(_xlfn.XLOOKUP(1,$H1015:$BE1015,$H$4:$BE$4),12*Assumptions!$H$348+12)=Z$4,0,IF(Y1015=1,PMT(Assumptions!$H$346,Assumptions!$H$348,$C1017),Y1028))),0)</f>
        <v>0</v>
      </c>
      <c r="AA1028" s="39">
        <f>+IFERROR(-ABS(IF(EDATE(_xlfn.XLOOKUP(1,$H1015:$BE1015,$H$4:$BE$4),12*Assumptions!$H$348+12)=AA$4,0,IF(Z1015=1,PMT(Assumptions!$H$346,Assumptions!$H$348,$C1017),Z1028))),0)</f>
        <v>0</v>
      </c>
      <c r="AB1028" s="39">
        <f>+IFERROR(-ABS(IF(EDATE(_xlfn.XLOOKUP(1,$H1015:$BE1015,$H$4:$BE$4),12*Assumptions!$H$348+12)=AB$4,0,IF(AA1015=1,PMT(Assumptions!$H$346,Assumptions!$H$348,$C1017),AA1028))),0)</f>
        <v>0</v>
      </c>
      <c r="AC1028" s="39">
        <f>+IFERROR(-ABS(IF(EDATE(_xlfn.XLOOKUP(1,$H1015:$BE1015,$H$4:$BE$4),12*Assumptions!$H$348+12)=AC$4,0,IF(AB1015=1,PMT(Assumptions!$H$346,Assumptions!$H$348,$C1017),AB1028))),0)</f>
        <v>0</v>
      </c>
      <c r="AD1028" s="39">
        <f>+IFERROR(-ABS(IF(EDATE(_xlfn.XLOOKUP(1,$H1015:$BE1015,$H$4:$BE$4),12*Assumptions!$H$348+12)=AD$4,0,IF(AC1015=1,PMT(Assumptions!$H$346,Assumptions!$H$348,$C1017),AC1028))),0)</f>
        <v>0</v>
      </c>
      <c r="AE1028" s="39">
        <f>+IFERROR(-ABS(IF(EDATE(_xlfn.XLOOKUP(1,$H1015:$BE1015,$H$4:$BE$4),12*Assumptions!$H$348+12)=AE$4,0,IF(AD1015=1,PMT(Assumptions!$H$346,Assumptions!$H$348,$C1017),AD1028))),0)</f>
        <v>0</v>
      </c>
      <c r="AF1028" s="39">
        <f>+IFERROR(-ABS(IF(EDATE(_xlfn.XLOOKUP(1,$H1015:$BE1015,$H$4:$BE$4),12*Assumptions!$H$348+12)=AF$4,0,IF(AE1015=1,PMT(Assumptions!$H$346,Assumptions!$H$348,$C1017),AE1028))),0)</f>
        <v>0</v>
      </c>
      <c r="AG1028" s="39">
        <f>+IFERROR(-ABS(IF(EDATE(_xlfn.XLOOKUP(1,$H1015:$BE1015,$H$4:$BE$4),12*Assumptions!$H$348+12)=AG$4,0,IF(AF1015=1,PMT(Assumptions!$H$346,Assumptions!$H$348,$C1017),AF1028))),0)</f>
        <v>0</v>
      </c>
      <c r="AH1028" s="39">
        <f>+IFERROR(-ABS(IF(EDATE(_xlfn.XLOOKUP(1,$H1015:$BE1015,$H$4:$BE$4),12*Assumptions!$H$348+12)=AH$4,0,IF(AG1015=1,PMT(Assumptions!$H$346,Assumptions!$H$348,$C1017),AG1028))),0)</f>
        <v>0</v>
      </c>
      <c r="AI1028" s="39">
        <f>+IFERROR(-ABS(IF(EDATE(_xlfn.XLOOKUP(1,$H1015:$BE1015,$H$4:$BE$4),12*Assumptions!$H$348+12)=AI$4,0,IF(AH1015=1,PMT(Assumptions!$H$346,Assumptions!$H$348,$C1017),AH1028))),0)</f>
        <v>0</v>
      </c>
      <c r="AJ1028" s="39">
        <f>+IFERROR(-ABS(IF(EDATE(_xlfn.XLOOKUP(1,$H1015:$BE1015,$H$4:$BE$4),12*Assumptions!$H$348+12)=AJ$4,0,IF(AI1015=1,PMT(Assumptions!$H$346,Assumptions!$H$348,$C1017),AI1028))),0)</f>
        <v>0</v>
      </c>
      <c r="AK1028" s="39">
        <f>+IFERROR(-ABS(IF(EDATE(_xlfn.XLOOKUP(1,$H1015:$BE1015,$H$4:$BE$4),12*Assumptions!$H$348+12)=AK$4,0,IF(AJ1015=1,PMT(Assumptions!$H$346,Assumptions!$H$348,$C1017),AJ1028))),0)</f>
        <v>0</v>
      </c>
      <c r="AL1028" s="39">
        <f>+IFERROR(-ABS(IF(EDATE(_xlfn.XLOOKUP(1,$H1015:$BE1015,$H$4:$BE$4),12*Assumptions!$H$348+12)=AL$4,0,IF(AK1015=1,PMT(Assumptions!$H$346,Assumptions!$H$348,$C1017),AK1028))),0)</f>
        <v>0</v>
      </c>
      <c r="AM1028" s="39">
        <f>+IFERROR(-ABS(IF(EDATE(_xlfn.XLOOKUP(1,$H1015:$BE1015,$H$4:$BE$4),12*Assumptions!$H$348+12)=AM$4,0,IF(AL1015=1,PMT(Assumptions!$H$346,Assumptions!$H$348,$C1017),AL1028))),0)</f>
        <v>0</v>
      </c>
      <c r="AN1028" s="39">
        <f>+IFERROR(-ABS(IF(EDATE(_xlfn.XLOOKUP(1,$H1015:$BE1015,$H$4:$BE$4),12*Assumptions!$H$348+12)=AN$4,0,IF(AM1015=1,PMT(Assumptions!$H$346,Assumptions!$H$348,$C1017),AM1028))),0)</f>
        <v>0</v>
      </c>
      <c r="AO1028" s="39">
        <f>+IFERROR(-ABS(IF(EDATE(_xlfn.XLOOKUP(1,$H1015:$BE1015,$H$4:$BE$4),12*Assumptions!$H$348+12)=AO$4,0,IF(AN1015=1,PMT(Assumptions!$H$346,Assumptions!$H$348,$C1017),AN1028))),0)</f>
        <v>0</v>
      </c>
      <c r="AP1028" s="39">
        <f>+IFERROR(-ABS(IF(EDATE(_xlfn.XLOOKUP(1,$H1015:$BE1015,$H$4:$BE$4),12*Assumptions!$H$348+12)=AP$4,0,IF(AO1015=1,PMT(Assumptions!$H$346,Assumptions!$H$348,$C1017),AO1028))),0)</f>
        <v>0</v>
      </c>
      <c r="AQ1028" s="39">
        <f>+IFERROR(-ABS(IF(EDATE(_xlfn.XLOOKUP(1,$H1015:$BE1015,$H$4:$BE$4),12*Assumptions!$H$348+12)=AQ$4,0,IF(AP1015=1,PMT(Assumptions!$H$346,Assumptions!$H$348,$C1017),AP1028))),0)</f>
        <v>0</v>
      </c>
      <c r="AR1028" s="39">
        <f>+IFERROR(-ABS(IF(EDATE(_xlfn.XLOOKUP(1,$H1015:$BE1015,$H$4:$BE$4),12*Assumptions!$H$348+12)=AR$4,0,IF(AQ1015=1,PMT(Assumptions!$H$346,Assumptions!$H$348,$C1017),AQ1028))),0)</f>
        <v>0</v>
      </c>
      <c r="AS1028" s="39">
        <f>+IFERROR(-ABS(IF(EDATE(_xlfn.XLOOKUP(1,$H1015:$BE1015,$H$4:$BE$4),12*Assumptions!$H$348+12)=AS$4,0,IF(AR1015=1,PMT(Assumptions!$H$346,Assumptions!$H$348,$C1017),AR1028))),0)</f>
        <v>0</v>
      </c>
      <c r="AT1028" s="39">
        <f>+IFERROR(-ABS(IF(EDATE(_xlfn.XLOOKUP(1,$H1015:$BE1015,$H$4:$BE$4),12*Assumptions!$H$348+12)=AT$4,0,IF(AS1015=1,PMT(Assumptions!$H$346,Assumptions!$H$348,$C1017),AS1028))),0)</f>
        <v>0</v>
      </c>
      <c r="AU1028" s="39">
        <f>+IFERROR(-ABS(IF(EDATE(_xlfn.XLOOKUP(1,$H1015:$BE1015,$H$4:$BE$4),12*Assumptions!$H$348+12)=AU$4,0,IF(AT1015=1,PMT(Assumptions!$H$346,Assumptions!$H$348,$C1017),AT1028))),0)</f>
        <v>0</v>
      </c>
      <c r="AV1028" s="39">
        <f>+IFERROR(-ABS(IF(EDATE(_xlfn.XLOOKUP(1,$H1015:$BE1015,$H$4:$BE$4),12*Assumptions!$H$348+12)=AV$4,0,IF(AU1015=1,PMT(Assumptions!$H$346,Assumptions!$H$348,$C1017),AU1028))),0)</f>
        <v>0</v>
      </c>
      <c r="AW1028" s="39">
        <f>+IFERROR(-ABS(IF(EDATE(_xlfn.XLOOKUP(1,$H1015:$BE1015,$H$4:$BE$4),12*Assumptions!$H$348+12)=AW$4,0,IF(AV1015=1,PMT(Assumptions!$H$346,Assumptions!$H$348,$C1017),AV1028))),0)</f>
        <v>0</v>
      </c>
      <c r="AX1028" s="39">
        <f>+IFERROR(-ABS(IF(EDATE(_xlfn.XLOOKUP(1,$H1015:$BE1015,$H$4:$BE$4),12*Assumptions!$H$348+12)=AX$4,0,IF(AW1015=1,PMT(Assumptions!$H$346,Assumptions!$H$348,$C1017),AW1028))),0)</f>
        <v>0</v>
      </c>
      <c r="AY1028" s="39">
        <f>+IFERROR(-ABS(IF(EDATE(_xlfn.XLOOKUP(1,$H1015:$BE1015,$H$4:$BE$4),12*Assumptions!$H$348+12)=AY$4,0,IF(AX1015=1,PMT(Assumptions!$H$346,Assumptions!$H$348,$C1017),AX1028))),0)</f>
        <v>0</v>
      </c>
      <c r="AZ1028" s="39">
        <f>+IFERROR(-ABS(IF(EDATE(_xlfn.XLOOKUP(1,$H1015:$BE1015,$H$4:$BE$4),12*Assumptions!$H$348+12)=AZ$4,0,IF(AY1015=1,PMT(Assumptions!$H$346,Assumptions!$H$348,$C1017),AY1028))),0)</f>
        <v>0</v>
      </c>
      <c r="BA1028" s="39">
        <f>+IFERROR(-ABS(IF(EDATE(_xlfn.XLOOKUP(1,$H1015:$BE1015,$H$4:$BE$4),12*Assumptions!$H$348+12)=BA$4,0,IF(AZ1015=1,PMT(Assumptions!$H$346,Assumptions!$H$348,$C1017),AZ1028))),0)</f>
        <v>0</v>
      </c>
      <c r="BB1028" s="39">
        <f>+IFERROR(-ABS(IF(EDATE(_xlfn.XLOOKUP(1,$H1015:$BE1015,$H$4:$BE$4),12*Assumptions!$H$348+12)=BB$4,0,IF(BA1015=1,PMT(Assumptions!$H$346,Assumptions!$H$348,$C1017),BA1028))),0)</f>
        <v>0</v>
      </c>
      <c r="BC1028" s="39">
        <f>+IFERROR(-ABS(IF(EDATE(_xlfn.XLOOKUP(1,$H1015:$BE1015,$H$4:$BE$4),12*Assumptions!$H$348+12)=BC$4,0,IF(BB1015=1,PMT(Assumptions!$H$346,Assumptions!$H$348,$C1017),BB1028))),0)</f>
        <v>0</v>
      </c>
      <c r="BD1028" s="39">
        <f>+IFERROR(-ABS(IF(EDATE(_xlfn.XLOOKUP(1,$H1015:$BE1015,$H$4:$BE$4),12*Assumptions!$H$348+12)=BD$4,0,IF(BC1015=1,PMT(Assumptions!$H$346,Assumptions!$H$348,$C1017),BC1028))),0)</f>
        <v>0</v>
      </c>
      <c r="BE1028" s="39">
        <f>+IFERROR(-ABS(IF(EDATE(_xlfn.XLOOKUP(1,$H1015:$BE1015,$H$4:$BE$4),12*Assumptions!$H$348+12)=BE$4,0,IF(BD1015=1,PMT(Assumptions!$H$346,Assumptions!$H$348,$C1017),BD1028))),0)</f>
        <v>0</v>
      </c>
      <c r="BF1028" s="39">
        <f>+IFERROR(-ABS(IF(EDATE(_xlfn.XLOOKUP(1,$H1015:$BE1015,$H$4:$BE$4),12*Assumptions!$H$348+12)=BF$4,0,IF(BE1015=1,PMT(Assumptions!$H$346,Assumptions!$H$348,$C1017),BE1028))),0)</f>
        <v>0</v>
      </c>
      <c r="BG1028" s="39">
        <f>+IFERROR(-ABS(IF(EDATE(_xlfn.XLOOKUP(1,$H1015:$BE1015,$H$4:$BE$4),12*Assumptions!$H$348+12)=BG$4,0,IF(BF1015=1,PMT(Assumptions!$H$346,Assumptions!$H$348,$C1017),BF1028))),0)</f>
        <v>0</v>
      </c>
      <c r="BH1028" s="39">
        <f>+IFERROR(-ABS(IF(EDATE(_xlfn.XLOOKUP(1,$H1015:$BE1015,$H$4:$BE$4),12*Assumptions!$H$348+12)=BH$4,0,IF(BG1015=1,PMT(Assumptions!$H$346,Assumptions!$H$348,$C1017),BG1028))),0)</f>
        <v>0</v>
      </c>
      <c r="BI1028" s="39">
        <f>+IFERROR(-ABS(IF(EDATE(_xlfn.XLOOKUP(1,$H1015:$BE1015,$H$4:$BE$4),12*Assumptions!$H$348+12)=BI$4,0,IF(BH1015=1,PMT(Assumptions!$H$346,Assumptions!$H$348,$C1017),BH1028))),0)</f>
        <v>0</v>
      </c>
      <c r="BJ1028" s="39">
        <f>+IFERROR(-ABS(IF(EDATE(_xlfn.XLOOKUP(1,$H1015:$BE1015,$H$4:$BE$4),12*Assumptions!$H$348+12)=BJ$4,0,IF(BI1015=1,PMT(Assumptions!$H$346,Assumptions!$H$348,$C1017),BI1028))),0)</f>
        <v>0</v>
      </c>
      <c r="BK1028" s="39">
        <f>+IFERROR(-ABS(IF(EDATE(_xlfn.XLOOKUP(1,$H1015:$BE1015,$H$4:$BE$4),12*Assumptions!$H$348+12)=BK$4,0,IF(BJ1015=1,PMT(Assumptions!$H$346,Assumptions!$H$348,$C1017),BJ1028))),0)</f>
        <v>0</v>
      </c>
      <c r="BL1028" s="39">
        <f>+IFERROR(-ABS(IF(EDATE(_xlfn.XLOOKUP(1,$H1015:$BE1015,$H$4:$BE$4),12*Assumptions!$H$348+12)=BL$4,0,IF(BK1015=1,PMT(Assumptions!$H$346,Assumptions!$H$348,$C1017),BK1028))),0)</f>
        <v>0</v>
      </c>
      <c r="BM1028" s="39">
        <f>+IFERROR(-ABS(IF(EDATE(_xlfn.XLOOKUP(1,$H1015:$BE1015,$H$4:$BE$4),12*Assumptions!$H$348+12)=BM$4,0,IF(BL1015=1,PMT(Assumptions!$H$346,Assumptions!$H$348,$C1017),BL1028))),0)</f>
        <v>0</v>
      </c>
      <c r="BN1028" s="39">
        <f>+IFERROR(-ABS(IF(EDATE(_xlfn.XLOOKUP(1,$H1015:$BE1015,$H$4:$BE$4),12*Assumptions!$H$348+12)=BN$4,0,IF(BM1015=1,PMT(Assumptions!$H$346,Assumptions!$H$348,$C1017),BM1028))),0)</f>
        <v>0</v>
      </c>
      <c r="BO1028" s="39">
        <f>+IFERROR(-ABS(IF(EDATE(_xlfn.XLOOKUP(1,$H1015:$BE1015,$H$4:$BE$4),12*Assumptions!$H$348+12)=BO$4,0,IF(BN1015=1,PMT(Assumptions!$H$346,Assumptions!$H$348,$C1017),BN1028))),0)</f>
        <v>0</v>
      </c>
      <c r="BP1028" s="39">
        <f>+IFERROR(-ABS(IF(EDATE(_xlfn.XLOOKUP(1,$H1015:$BE1015,$H$4:$BE$4),12*Assumptions!$H$348+12)=BP$4,0,IF(BO1015=1,PMT(Assumptions!$H$346,Assumptions!$H$348,$C1017),BO1028))),0)</f>
        <v>0</v>
      </c>
      <c r="BQ1028" s="39">
        <f>+IFERROR(-ABS(IF(EDATE(_xlfn.XLOOKUP(1,$H1015:$BE1015,$H$4:$BE$4),12*Assumptions!$H$348+12)=BQ$4,0,IF(BP1015=1,PMT(Assumptions!$H$346,Assumptions!$H$348,$C1017),BP1028))),0)</f>
        <v>0</v>
      </c>
      <c r="BR1028" s="39">
        <f>+IFERROR(-ABS(IF(EDATE(_xlfn.XLOOKUP(1,$H1015:$BE1015,$H$4:$BE$4),12*Assumptions!$H$348+12)=BR$4,0,IF(BQ1015=1,PMT(Assumptions!$H$346,Assumptions!$H$348,$C1017),BQ1028))),0)</f>
        <v>0</v>
      </c>
      <c r="BS1028" s="39">
        <f>+IFERROR(-ABS(IF(EDATE(_xlfn.XLOOKUP(1,$H1015:$BE1015,$H$4:$BE$4),12*Assumptions!$H$348+12)=BS$4,0,IF(BR1015=1,PMT(Assumptions!$H$346,Assumptions!$H$348,$C1017),BR1028))),0)</f>
        <v>0</v>
      </c>
      <c r="BT1028" s="39">
        <f>+IFERROR(-ABS(IF(EDATE(_xlfn.XLOOKUP(1,$H1015:$BE1015,$H$4:$BE$4),12*Assumptions!$H$348+12)=BT$4,0,IF(BS1015=1,PMT(Assumptions!$H$346,Assumptions!$H$348,$C1017),BS1028))),0)</f>
        <v>0</v>
      </c>
      <c r="BU1028" s="39">
        <f>+IFERROR(-ABS(IF(EDATE(_xlfn.XLOOKUP(1,$H1015:$BE1015,$H$4:$BE$4),12*Assumptions!$H$348+12)=BU$4,0,IF(BT1015=1,PMT(Assumptions!$H$346,Assumptions!$H$348,$C1017),BT1028))),0)</f>
        <v>0</v>
      </c>
      <c r="BV1028" s="39">
        <f>+IFERROR(-ABS(IF(EDATE(_xlfn.XLOOKUP(1,$H1015:$BE1015,$H$4:$BE$4),12*Assumptions!$H$348+12)=BV$4,0,IF(BU1015=1,PMT(Assumptions!$H$346,Assumptions!$H$348,$C1017),BU1028))),0)</f>
        <v>0</v>
      </c>
      <c r="BW1028" s="39">
        <f>+IFERROR(-ABS(IF(EDATE(_xlfn.XLOOKUP(1,$H1015:$BE1015,$H$4:$BE$4),12*Assumptions!$H$348+12)=BW$4,0,IF(BV1015=1,PMT(Assumptions!$H$346,Assumptions!$H$348,$C1017),BV1028))),0)</f>
        <v>0</v>
      </c>
      <c r="BX1028" s="39">
        <f>+IFERROR(-ABS(IF(EDATE(_xlfn.XLOOKUP(1,$H1015:$BE1015,$H$4:$BE$4),12*Assumptions!$H$348+12)=BX$4,0,IF(BW1015=1,PMT(Assumptions!$H$346,Assumptions!$H$348,$C1017),BW1028))),0)</f>
        <v>0</v>
      </c>
      <c r="BY1028" s="39">
        <f>+IFERROR(-ABS(IF(EDATE(_xlfn.XLOOKUP(1,$H1015:$BE1015,$H$4:$BE$4),12*Assumptions!$H$348+12)=BY$4,0,IF(BX1015=1,PMT(Assumptions!$H$346,Assumptions!$H$348,$C1017),BX1028))),0)</f>
        <v>0</v>
      </c>
    </row>
    <row r="1029" spans="5:77" outlineLevel="1">
      <c r="E1029" s="24" t="s">
        <v>515</v>
      </c>
      <c r="F1029" s="80" t="str">
        <f>+Assumptions!$G$8</f>
        <v>USD</v>
      </c>
      <c r="G1029" s="24"/>
      <c r="H1029" s="39">
        <f>+IFERROR(-ABS(IF(EDATE(_xlfn.XLOOKUP(1,$H1016:$BE1016,$H$4:$BE$4),12*Assumptions!$H$348+12)=H$4,0,IF(G1016=1,PMT(Assumptions!$H$346,Assumptions!$H$348,$C1018),G1029))),0)</f>
        <v>0</v>
      </c>
      <c r="I1029" s="39">
        <f>+IFERROR(-ABS(IF(EDATE(_xlfn.XLOOKUP(1,$H1016:$BE1016,$H$4:$BE$4),12*Assumptions!$H$348+12)=I$4,0,IF(H1016=1,PMT(Assumptions!$H$346,Assumptions!$H$348,$C1018),H1029))),0)</f>
        <v>0</v>
      </c>
      <c r="J1029" s="39">
        <f>+IFERROR(-ABS(IF(EDATE(_xlfn.XLOOKUP(1,$H1016:$BE1016,$H$4:$BE$4),12*Assumptions!$H$348+12)=J$4,0,IF(I1016=1,PMT(Assumptions!$H$346,Assumptions!$H$348,$C1018),I1029))),0)</f>
        <v>0</v>
      </c>
      <c r="K1029" s="39">
        <f>+IFERROR(-ABS(IF(EDATE(_xlfn.XLOOKUP(1,$H1016:$BE1016,$H$4:$BE$4),12*Assumptions!$H$348+12)=K$4,0,IF(J1016=1,PMT(Assumptions!$H$346,Assumptions!$H$348,$C1018),J1029))),0)</f>
        <v>0</v>
      </c>
      <c r="L1029" s="39">
        <f>+IFERROR(-ABS(IF(EDATE(_xlfn.XLOOKUP(1,$H1016:$BE1016,$H$4:$BE$4),12*Assumptions!$H$348+12)=L$4,0,IF(K1016=1,PMT(Assumptions!$H$346,Assumptions!$H$348,$C1018),K1029))),0)</f>
        <v>0</v>
      </c>
      <c r="M1029" s="39">
        <f>+IFERROR(-ABS(IF(EDATE(_xlfn.XLOOKUP(1,$H1016:$BE1016,$H$4:$BE$4),12*Assumptions!$H$348+12)=M$4,0,IF(L1016=1,PMT(Assumptions!$H$346,Assumptions!$H$348,$C1018),L1029))),0)</f>
        <v>0</v>
      </c>
      <c r="N1029" s="39">
        <f>+IFERROR(-ABS(IF(EDATE(_xlfn.XLOOKUP(1,$H1016:$BE1016,$H$4:$BE$4),12*Assumptions!$H$348+12)=N$4,0,IF(M1016=1,PMT(Assumptions!$H$346,Assumptions!$H$348,$C1018),M1029))),0)</f>
        <v>0</v>
      </c>
      <c r="O1029" s="39">
        <f>+IFERROR(-ABS(IF(EDATE(_xlfn.XLOOKUP(1,$H1016:$BE1016,$H$4:$BE$4),12*Assumptions!$H$348+12)=O$4,0,IF(N1016=1,PMT(Assumptions!$H$346,Assumptions!$H$348,$C1018),N1029))),0)</f>
        <v>0</v>
      </c>
      <c r="P1029" s="39">
        <f>+IFERROR(-ABS(IF(EDATE(_xlfn.XLOOKUP(1,$H1016:$BE1016,$H$4:$BE$4),12*Assumptions!$H$348+12)=P$4,0,IF(O1016=1,PMT(Assumptions!$H$346,Assumptions!$H$348,$C1018),O1029))),0)</f>
        <v>0</v>
      </c>
      <c r="Q1029" s="39">
        <f>+IFERROR(-ABS(IF(EDATE(_xlfn.XLOOKUP(1,$H1016:$BE1016,$H$4:$BE$4),12*Assumptions!$H$348+12)=Q$4,0,IF(P1016=1,PMT(Assumptions!$H$346,Assumptions!$H$348,$C1018),P1029))),0)</f>
        <v>0</v>
      </c>
      <c r="R1029" s="39">
        <f>+IFERROR(-ABS(IF(EDATE(_xlfn.XLOOKUP(1,$H1016:$BE1016,$H$4:$BE$4),12*Assumptions!$H$348+12)=R$4,0,IF(Q1016=1,PMT(Assumptions!$H$346,Assumptions!$H$348,$C1018),Q1029))),0)</f>
        <v>0</v>
      </c>
      <c r="S1029" s="39">
        <f>+IFERROR(-ABS(IF(EDATE(_xlfn.XLOOKUP(1,$H1016:$BE1016,$H$4:$BE$4),12*Assumptions!$H$348+12)=S$4,0,IF(R1016=1,PMT(Assumptions!$H$346,Assumptions!$H$348,$C1018),R1029))),0)</f>
        <v>0</v>
      </c>
      <c r="T1029" s="39">
        <f>+IFERROR(-ABS(IF(EDATE(_xlfn.XLOOKUP(1,$H1016:$BE1016,$H$4:$BE$4),12*Assumptions!$H$348+12)=T$4,0,IF(S1016=1,PMT(Assumptions!$H$346,Assumptions!$H$348,$C1018),S1029))),0)</f>
        <v>0</v>
      </c>
      <c r="U1029" s="39">
        <f>+IFERROR(-ABS(IF(EDATE(_xlfn.XLOOKUP(1,$H1016:$BE1016,$H$4:$BE$4),12*Assumptions!$H$348+12)=U$4,0,IF(T1016=1,PMT(Assumptions!$H$346,Assumptions!$H$348,$C1018),T1029))),0)</f>
        <v>0</v>
      </c>
      <c r="V1029" s="39">
        <f>+IFERROR(-ABS(IF(EDATE(_xlfn.XLOOKUP(1,$H1016:$BE1016,$H$4:$BE$4),12*Assumptions!$H$348+12)=V$4,0,IF(U1016=1,PMT(Assumptions!$H$346,Assumptions!$H$348,$C1018),U1029))),0)</f>
        <v>0</v>
      </c>
      <c r="W1029" s="39">
        <f>+IFERROR(-ABS(IF(EDATE(_xlfn.XLOOKUP(1,$H1016:$BE1016,$H$4:$BE$4),12*Assumptions!$H$348+12)=W$4,0,IF(V1016=1,PMT(Assumptions!$H$346,Assumptions!$H$348,$C1018),V1029))),0)</f>
        <v>0</v>
      </c>
      <c r="X1029" s="39">
        <f>+IFERROR(-ABS(IF(EDATE(_xlfn.XLOOKUP(1,$H1016:$BE1016,$H$4:$BE$4),12*Assumptions!$H$348+12)=X$4,0,IF(W1016=1,PMT(Assumptions!$H$346,Assumptions!$H$348,$C1018),W1029))),0)</f>
        <v>0</v>
      </c>
      <c r="Y1029" s="39">
        <f>+IFERROR(-ABS(IF(EDATE(_xlfn.XLOOKUP(1,$H1016:$BE1016,$H$4:$BE$4),12*Assumptions!$H$348+12)=Y$4,0,IF(X1016=1,PMT(Assumptions!$H$346,Assumptions!$H$348,$C1018),X1029))),0)</f>
        <v>0</v>
      </c>
      <c r="Z1029" s="39">
        <f>+IFERROR(-ABS(IF(EDATE(_xlfn.XLOOKUP(1,$H1016:$BE1016,$H$4:$BE$4),12*Assumptions!$H$348+12)=Z$4,0,IF(Y1016=1,PMT(Assumptions!$H$346,Assumptions!$H$348,$C1018),Y1029))),0)</f>
        <v>0</v>
      </c>
      <c r="AA1029" s="39">
        <f>+IFERROR(-ABS(IF(EDATE(_xlfn.XLOOKUP(1,$H1016:$BE1016,$H$4:$BE$4),12*Assumptions!$H$348+12)=AA$4,0,IF(Z1016=1,PMT(Assumptions!$H$346,Assumptions!$H$348,$C1018),Z1029))),0)</f>
        <v>0</v>
      </c>
      <c r="AB1029" s="39">
        <f>+IFERROR(-ABS(IF(EDATE(_xlfn.XLOOKUP(1,$H1016:$BE1016,$H$4:$BE$4),12*Assumptions!$H$348+12)=AB$4,0,IF(AA1016=1,PMT(Assumptions!$H$346,Assumptions!$H$348,$C1018),AA1029))),0)</f>
        <v>0</v>
      </c>
      <c r="AC1029" s="39">
        <f>+IFERROR(-ABS(IF(EDATE(_xlfn.XLOOKUP(1,$H1016:$BE1016,$H$4:$BE$4),12*Assumptions!$H$348+12)=AC$4,0,IF(AB1016=1,PMT(Assumptions!$H$346,Assumptions!$H$348,$C1018),AB1029))),0)</f>
        <v>0</v>
      </c>
      <c r="AD1029" s="39">
        <f>+IFERROR(-ABS(IF(EDATE(_xlfn.XLOOKUP(1,$H1016:$BE1016,$H$4:$BE$4),12*Assumptions!$H$348+12)=AD$4,0,IF(AC1016=1,PMT(Assumptions!$H$346,Assumptions!$H$348,$C1018),AC1029))),0)</f>
        <v>0</v>
      </c>
      <c r="AE1029" s="39">
        <f>+IFERROR(-ABS(IF(EDATE(_xlfn.XLOOKUP(1,$H1016:$BE1016,$H$4:$BE$4),12*Assumptions!$H$348+12)=AE$4,0,IF(AD1016=1,PMT(Assumptions!$H$346,Assumptions!$H$348,$C1018),AD1029))),0)</f>
        <v>0</v>
      </c>
      <c r="AF1029" s="39">
        <f>+IFERROR(-ABS(IF(EDATE(_xlfn.XLOOKUP(1,$H1016:$BE1016,$H$4:$BE$4),12*Assumptions!$H$348+12)=AF$4,0,IF(AE1016=1,PMT(Assumptions!$H$346,Assumptions!$H$348,$C1018),AE1029))),0)</f>
        <v>0</v>
      </c>
      <c r="AG1029" s="39">
        <f>+IFERROR(-ABS(IF(EDATE(_xlfn.XLOOKUP(1,$H1016:$BE1016,$H$4:$BE$4),12*Assumptions!$H$348+12)=AG$4,0,IF(AF1016=1,PMT(Assumptions!$H$346,Assumptions!$H$348,$C1018),AF1029))),0)</f>
        <v>0</v>
      </c>
      <c r="AH1029" s="39">
        <f>+IFERROR(-ABS(IF(EDATE(_xlfn.XLOOKUP(1,$H1016:$BE1016,$H$4:$BE$4),12*Assumptions!$H$348+12)=AH$4,0,IF(AG1016=1,PMT(Assumptions!$H$346,Assumptions!$H$348,$C1018),AG1029))),0)</f>
        <v>0</v>
      </c>
      <c r="AI1029" s="39">
        <f>+IFERROR(-ABS(IF(EDATE(_xlfn.XLOOKUP(1,$H1016:$BE1016,$H$4:$BE$4),12*Assumptions!$H$348+12)=AI$4,0,IF(AH1016=1,PMT(Assumptions!$H$346,Assumptions!$H$348,$C1018),AH1029))),0)</f>
        <v>0</v>
      </c>
      <c r="AJ1029" s="39">
        <f>+IFERROR(-ABS(IF(EDATE(_xlfn.XLOOKUP(1,$H1016:$BE1016,$H$4:$BE$4),12*Assumptions!$H$348+12)=AJ$4,0,IF(AI1016=1,PMT(Assumptions!$H$346,Assumptions!$H$348,$C1018),AI1029))),0)</f>
        <v>0</v>
      </c>
      <c r="AK1029" s="39">
        <f>+IFERROR(-ABS(IF(EDATE(_xlfn.XLOOKUP(1,$H1016:$BE1016,$H$4:$BE$4),12*Assumptions!$H$348+12)=AK$4,0,IF(AJ1016=1,PMT(Assumptions!$H$346,Assumptions!$H$348,$C1018),AJ1029))),0)</f>
        <v>0</v>
      </c>
      <c r="AL1029" s="39">
        <f>+IFERROR(-ABS(IF(EDATE(_xlfn.XLOOKUP(1,$H1016:$BE1016,$H$4:$BE$4),12*Assumptions!$H$348+12)=AL$4,0,IF(AK1016=1,PMT(Assumptions!$H$346,Assumptions!$H$348,$C1018),AK1029))),0)</f>
        <v>0</v>
      </c>
      <c r="AM1029" s="39">
        <f>+IFERROR(-ABS(IF(EDATE(_xlfn.XLOOKUP(1,$H1016:$BE1016,$H$4:$BE$4),12*Assumptions!$H$348+12)=AM$4,0,IF(AL1016=1,PMT(Assumptions!$H$346,Assumptions!$H$348,$C1018),AL1029))),0)</f>
        <v>0</v>
      </c>
      <c r="AN1029" s="39">
        <f>+IFERROR(-ABS(IF(EDATE(_xlfn.XLOOKUP(1,$H1016:$BE1016,$H$4:$BE$4),12*Assumptions!$H$348+12)=AN$4,0,IF(AM1016=1,PMT(Assumptions!$H$346,Assumptions!$H$348,$C1018),AM1029))),0)</f>
        <v>0</v>
      </c>
      <c r="AO1029" s="39">
        <f>+IFERROR(-ABS(IF(EDATE(_xlfn.XLOOKUP(1,$H1016:$BE1016,$H$4:$BE$4),12*Assumptions!$H$348+12)=AO$4,0,IF(AN1016=1,PMT(Assumptions!$H$346,Assumptions!$H$348,$C1018),AN1029))),0)</f>
        <v>0</v>
      </c>
      <c r="AP1029" s="39">
        <f>+IFERROR(-ABS(IF(EDATE(_xlfn.XLOOKUP(1,$H1016:$BE1016,$H$4:$BE$4),12*Assumptions!$H$348+12)=AP$4,0,IF(AO1016=1,PMT(Assumptions!$H$346,Assumptions!$H$348,$C1018),AO1029))),0)</f>
        <v>0</v>
      </c>
      <c r="AQ1029" s="39">
        <f>+IFERROR(-ABS(IF(EDATE(_xlfn.XLOOKUP(1,$H1016:$BE1016,$H$4:$BE$4),12*Assumptions!$H$348+12)=AQ$4,0,IF(AP1016=1,PMT(Assumptions!$H$346,Assumptions!$H$348,$C1018),AP1029))),0)</f>
        <v>0</v>
      </c>
      <c r="AR1029" s="39">
        <f>+IFERROR(-ABS(IF(EDATE(_xlfn.XLOOKUP(1,$H1016:$BE1016,$H$4:$BE$4),12*Assumptions!$H$348+12)=AR$4,0,IF(AQ1016=1,PMT(Assumptions!$H$346,Assumptions!$H$348,$C1018),AQ1029))),0)</f>
        <v>0</v>
      </c>
      <c r="AS1029" s="39">
        <f>+IFERROR(-ABS(IF(EDATE(_xlfn.XLOOKUP(1,$H1016:$BE1016,$H$4:$BE$4),12*Assumptions!$H$348+12)=AS$4,0,IF(AR1016=1,PMT(Assumptions!$H$346,Assumptions!$H$348,$C1018),AR1029))),0)</f>
        <v>0</v>
      </c>
      <c r="AT1029" s="39">
        <f>+IFERROR(-ABS(IF(EDATE(_xlfn.XLOOKUP(1,$H1016:$BE1016,$H$4:$BE$4),12*Assumptions!$H$348+12)=AT$4,0,IF(AS1016=1,PMT(Assumptions!$H$346,Assumptions!$H$348,$C1018),AS1029))),0)</f>
        <v>0</v>
      </c>
      <c r="AU1029" s="39">
        <f>+IFERROR(-ABS(IF(EDATE(_xlfn.XLOOKUP(1,$H1016:$BE1016,$H$4:$BE$4),12*Assumptions!$H$348+12)=AU$4,0,IF(AT1016=1,PMT(Assumptions!$H$346,Assumptions!$H$348,$C1018),AT1029))),0)</f>
        <v>0</v>
      </c>
      <c r="AV1029" s="39">
        <f>+IFERROR(-ABS(IF(EDATE(_xlfn.XLOOKUP(1,$H1016:$BE1016,$H$4:$BE$4),12*Assumptions!$H$348+12)=AV$4,0,IF(AU1016=1,PMT(Assumptions!$H$346,Assumptions!$H$348,$C1018),AU1029))),0)</f>
        <v>0</v>
      </c>
      <c r="AW1029" s="39">
        <f>+IFERROR(-ABS(IF(EDATE(_xlfn.XLOOKUP(1,$H1016:$BE1016,$H$4:$BE$4),12*Assumptions!$H$348+12)=AW$4,0,IF(AV1016=1,PMT(Assumptions!$H$346,Assumptions!$H$348,$C1018),AV1029))),0)</f>
        <v>0</v>
      </c>
      <c r="AX1029" s="39">
        <f>+IFERROR(-ABS(IF(EDATE(_xlfn.XLOOKUP(1,$H1016:$BE1016,$H$4:$BE$4),12*Assumptions!$H$348+12)=AX$4,0,IF(AW1016=1,PMT(Assumptions!$H$346,Assumptions!$H$348,$C1018),AW1029))),0)</f>
        <v>0</v>
      </c>
      <c r="AY1029" s="39">
        <f>+IFERROR(-ABS(IF(EDATE(_xlfn.XLOOKUP(1,$H1016:$BE1016,$H$4:$BE$4),12*Assumptions!$H$348+12)=AY$4,0,IF(AX1016=1,PMT(Assumptions!$H$346,Assumptions!$H$348,$C1018),AX1029))),0)</f>
        <v>0</v>
      </c>
      <c r="AZ1029" s="39">
        <f>+IFERROR(-ABS(IF(EDATE(_xlfn.XLOOKUP(1,$H1016:$BE1016,$H$4:$BE$4),12*Assumptions!$H$348+12)=AZ$4,0,IF(AY1016=1,PMT(Assumptions!$H$346,Assumptions!$H$348,$C1018),AY1029))),0)</f>
        <v>0</v>
      </c>
      <c r="BA1029" s="39">
        <f>+IFERROR(-ABS(IF(EDATE(_xlfn.XLOOKUP(1,$H1016:$BE1016,$H$4:$BE$4),12*Assumptions!$H$348+12)=BA$4,0,IF(AZ1016=1,PMT(Assumptions!$H$346,Assumptions!$H$348,$C1018),AZ1029))),0)</f>
        <v>0</v>
      </c>
      <c r="BB1029" s="39">
        <f>+IFERROR(-ABS(IF(EDATE(_xlfn.XLOOKUP(1,$H1016:$BE1016,$H$4:$BE$4),12*Assumptions!$H$348+12)=BB$4,0,IF(BA1016=1,PMT(Assumptions!$H$346,Assumptions!$H$348,$C1018),BA1029))),0)</f>
        <v>0</v>
      </c>
      <c r="BC1029" s="39">
        <f>+IFERROR(-ABS(IF(EDATE(_xlfn.XLOOKUP(1,$H1016:$BE1016,$H$4:$BE$4),12*Assumptions!$H$348+12)=BC$4,0,IF(BB1016=1,PMT(Assumptions!$H$346,Assumptions!$H$348,$C1018),BB1029))),0)</f>
        <v>0</v>
      </c>
      <c r="BD1029" s="39">
        <f>+IFERROR(-ABS(IF(EDATE(_xlfn.XLOOKUP(1,$H1016:$BE1016,$H$4:$BE$4),12*Assumptions!$H$348+12)=BD$4,0,IF(BC1016=1,PMT(Assumptions!$H$346,Assumptions!$H$348,$C1018),BC1029))),0)</f>
        <v>0</v>
      </c>
      <c r="BE1029" s="39">
        <f>+IFERROR(-ABS(IF(EDATE(_xlfn.XLOOKUP(1,$H1016:$BE1016,$H$4:$BE$4),12*Assumptions!$H$348+12)=BE$4,0,IF(BD1016=1,PMT(Assumptions!$H$346,Assumptions!$H$348,$C1018),BD1029))),0)</f>
        <v>0</v>
      </c>
      <c r="BF1029" s="39">
        <f>+IFERROR(-ABS(IF(EDATE(_xlfn.XLOOKUP(1,$H1016:$BE1016,$H$4:$BE$4),12*Assumptions!$H$348+12)=BF$4,0,IF(BE1016=1,PMT(Assumptions!$H$346,Assumptions!$H$348,$C1018),BE1029))),0)</f>
        <v>0</v>
      </c>
      <c r="BG1029" s="39">
        <f>+IFERROR(-ABS(IF(EDATE(_xlfn.XLOOKUP(1,$H1016:$BE1016,$H$4:$BE$4),12*Assumptions!$H$348+12)=BG$4,0,IF(BF1016=1,PMT(Assumptions!$H$346,Assumptions!$H$348,$C1018),BF1029))),0)</f>
        <v>0</v>
      </c>
      <c r="BH1029" s="39">
        <f>+IFERROR(-ABS(IF(EDATE(_xlfn.XLOOKUP(1,$H1016:$BE1016,$H$4:$BE$4),12*Assumptions!$H$348+12)=BH$4,0,IF(BG1016=1,PMT(Assumptions!$H$346,Assumptions!$H$348,$C1018),BG1029))),0)</f>
        <v>0</v>
      </c>
      <c r="BI1029" s="39">
        <f>+IFERROR(-ABS(IF(EDATE(_xlfn.XLOOKUP(1,$H1016:$BE1016,$H$4:$BE$4),12*Assumptions!$H$348+12)=BI$4,0,IF(BH1016=1,PMT(Assumptions!$H$346,Assumptions!$H$348,$C1018),BH1029))),0)</f>
        <v>0</v>
      </c>
      <c r="BJ1029" s="39">
        <f>+IFERROR(-ABS(IF(EDATE(_xlfn.XLOOKUP(1,$H1016:$BE1016,$H$4:$BE$4),12*Assumptions!$H$348+12)=BJ$4,0,IF(BI1016=1,PMT(Assumptions!$H$346,Assumptions!$H$348,$C1018),BI1029))),0)</f>
        <v>0</v>
      </c>
      <c r="BK1029" s="39">
        <f>+IFERROR(-ABS(IF(EDATE(_xlfn.XLOOKUP(1,$H1016:$BE1016,$H$4:$BE$4),12*Assumptions!$H$348+12)=BK$4,0,IF(BJ1016=1,PMT(Assumptions!$H$346,Assumptions!$H$348,$C1018),BJ1029))),0)</f>
        <v>0</v>
      </c>
      <c r="BL1029" s="39">
        <f>+IFERROR(-ABS(IF(EDATE(_xlfn.XLOOKUP(1,$H1016:$BE1016,$H$4:$BE$4),12*Assumptions!$H$348+12)=BL$4,0,IF(BK1016=1,PMT(Assumptions!$H$346,Assumptions!$H$348,$C1018),BK1029))),0)</f>
        <v>0</v>
      </c>
      <c r="BM1029" s="39">
        <f>+IFERROR(-ABS(IF(EDATE(_xlfn.XLOOKUP(1,$H1016:$BE1016,$H$4:$BE$4),12*Assumptions!$H$348+12)=BM$4,0,IF(BL1016=1,PMT(Assumptions!$H$346,Assumptions!$H$348,$C1018),BL1029))),0)</f>
        <v>0</v>
      </c>
      <c r="BN1029" s="39">
        <f>+IFERROR(-ABS(IF(EDATE(_xlfn.XLOOKUP(1,$H1016:$BE1016,$H$4:$BE$4),12*Assumptions!$H$348+12)=BN$4,0,IF(BM1016=1,PMT(Assumptions!$H$346,Assumptions!$H$348,$C1018),BM1029))),0)</f>
        <v>0</v>
      </c>
      <c r="BO1029" s="39">
        <f>+IFERROR(-ABS(IF(EDATE(_xlfn.XLOOKUP(1,$H1016:$BE1016,$H$4:$BE$4),12*Assumptions!$H$348+12)=BO$4,0,IF(BN1016=1,PMT(Assumptions!$H$346,Assumptions!$H$348,$C1018),BN1029))),0)</f>
        <v>0</v>
      </c>
      <c r="BP1029" s="39">
        <f>+IFERROR(-ABS(IF(EDATE(_xlfn.XLOOKUP(1,$H1016:$BE1016,$H$4:$BE$4),12*Assumptions!$H$348+12)=BP$4,0,IF(BO1016=1,PMT(Assumptions!$H$346,Assumptions!$H$348,$C1018),BO1029))),0)</f>
        <v>0</v>
      </c>
      <c r="BQ1029" s="39">
        <f>+IFERROR(-ABS(IF(EDATE(_xlfn.XLOOKUP(1,$H1016:$BE1016,$H$4:$BE$4),12*Assumptions!$H$348+12)=BQ$4,0,IF(BP1016=1,PMT(Assumptions!$H$346,Assumptions!$H$348,$C1018),BP1029))),0)</f>
        <v>0</v>
      </c>
      <c r="BR1029" s="39">
        <f>+IFERROR(-ABS(IF(EDATE(_xlfn.XLOOKUP(1,$H1016:$BE1016,$H$4:$BE$4),12*Assumptions!$H$348+12)=BR$4,0,IF(BQ1016=1,PMT(Assumptions!$H$346,Assumptions!$H$348,$C1018),BQ1029))),0)</f>
        <v>0</v>
      </c>
      <c r="BS1029" s="39">
        <f>+IFERROR(-ABS(IF(EDATE(_xlfn.XLOOKUP(1,$H1016:$BE1016,$H$4:$BE$4),12*Assumptions!$H$348+12)=BS$4,0,IF(BR1016=1,PMT(Assumptions!$H$346,Assumptions!$H$348,$C1018),BR1029))),0)</f>
        <v>0</v>
      </c>
      <c r="BT1029" s="39">
        <f>+IFERROR(-ABS(IF(EDATE(_xlfn.XLOOKUP(1,$H1016:$BE1016,$H$4:$BE$4),12*Assumptions!$H$348+12)=BT$4,0,IF(BS1016=1,PMT(Assumptions!$H$346,Assumptions!$H$348,$C1018),BS1029))),0)</f>
        <v>0</v>
      </c>
      <c r="BU1029" s="39">
        <f>+IFERROR(-ABS(IF(EDATE(_xlfn.XLOOKUP(1,$H1016:$BE1016,$H$4:$BE$4),12*Assumptions!$H$348+12)=BU$4,0,IF(BT1016=1,PMT(Assumptions!$H$346,Assumptions!$H$348,$C1018),BT1029))),0)</f>
        <v>0</v>
      </c>
      <c r="BV1029" s="39">
        <f>+IFERROR(-ABS(IF(EDATE(_xlfn.XLOOKUP(1,$H1016:$BE1016,$H$4:$BE$4),12*Assumptions!$H$348+12)=BV$4,0,IF(BU1016=1,PMT(Assumptions!$H$346,Assumptions!$H$348,$C1018),BU1029))),0)</f>
        <v>0</v>
      </c>
      <c r="BW1029" s="39">
        <f>+IFERROR(-ABS(IF(EDATE(_xlfn.XLOOKUP(1,$H1016:$BE1016,$H$4:$BE$4),12*Assumptions!$H$348+12)=BW$4,0,IF(BV1016=1,PMT(Assumptions!$H$346,Assumptions!$H$348,$C1018),BV1029))),0)</f>
        <v>0</v>
      </c>
      <c r="BX1029" s="39">
        <f>+IFERROR(-ABS(IF(EDATE(_xlfn.XLOOKUP(1,$H1016:$BE1016,$H$4:$BE$4),12*Assumptions!$H$348+12)=BX$4,0,IF(BW1016=1,PMT(Assumptions!$H$346,Assumptions!$H$348,$C1018),BW1029))),0)</f>
        <v>0</v>
      </c>
      <c r="BY1029" s="39">
        <f>+IFERROR(-ABS(IF(EDATE(_xlfn.XLOOKUP(1,$H1016:$BE1016,$H$4:$BE$4),12*Assumptions!$H$348+12)=BY$4,0,IF(BX1016=1,PMT(Assumptions!$H$346,Assumptions!$H$348,$C1018),BX1029))),0)</f>
        <v>0</v>
      </c>
    </row>
    <row r="1030" spans="5:77" outlineLevel="1">
      <c r="E1030" s="24" t="s">
        <v>516</v>
      </c>
      <c r="F1030" s="80" t="str">
        <f>+Assumptions!$G$8</f>
        <v>USD</v>
      </c>
      <c r="G1030" s="24"/>
      <c r="H1030" s="39">
        <f>+IFERROR(-ABS(IF(EDATE(_xlfn.XLOOKUP(1,$H1017:$BE1017,$H$4:$BE$4),12*Assumptions!$H$348+12)=H$4,0,IF(G1017=1,PMT(Assumptions!$H$346,Assumptions!$H$348,$C1019),G1030))),0)</f>
        <v>0</v>
      </c>
      <c r="I1030" s="39">
        <f>+IFERROR(-ABS(IF(EDATE(_xlfn.XLOOKUP(1,$H1017:$BE1017,$H$4:$BE$4),12*Assumptions!$H$348+12)=I$4,0,IF(H1017=1,PMT(Assumptions!$H$346,Assumptions!$H$348,$C1019),H1030))),0)</f>
        <v>0</v>
      </c>
      <c r="J1030" s="39">
        <f>+IFERROR(-ABS(IF(EDATE(_xlfn.XLOOKUP(1,$H1017:$BE1017,$H$4:$BE$4),12*Assumptions!$H$348+12)=J$4,0,IF(I1017=1,PMT(Assumptions!$H$346,Assumptions!$H$348,$C1019),I1030))),0)</f>
        <v>0</v>
      </c>
      <c r="K1030" s="39">
        <f>+IFERROR(-ABS(IF(EDATE(_xlfn.XLOOKUP(1,$H1017:$BE1017,$H$4:$BE$4),12*Assumptions!$H$348+12)=K$4,0,IF(J1017=1,PMT(Assumptions!$H$346,Assumptions!$H$348,$C1019),J1030))),0)</f>
        <v>0</v>
      </c>
      <c r="L1030" s="39">
        <f>+IFERROR(-ABS(IF(EDATE(_xlfn.XLOOKUP(1,$H1017:$BE1017,$H$4:$BE$4),12*Assumptions!$H$348+12)=L$4,0,IF(K1017=1,PMT(Assumptions!$H$346,Assumptions!$H$348,$C1019),K1030))),0)</f>
        <v>0</v>
      </c>
      <c r="M1030" s="39">
        <f>+IFERROR(-ABS(IF(EDATE(_xlfn.XLOOKUP(1,$H1017:$BE1017,$H$4:$BE$4),12*Assumptions!$H$348+12)=M$4,0,IF(L1017=1,PMT(Assumptions!$H$346,Assumptions!$H$348,$C1019),L1030))),0)</f>
        <v>0</v>
      </c>
      <c r="N1030" s="39">
        <f>+IFERROR(-ABS(IF(EDATE(_xlfn.XLOOKUP(1,$H1017:$BE1017,$H$4:$BE$4),12*Assumptions!$H$348+12)=N$4,0,IF(M1017=1,PMT(Assumptions!$H$346,Assumptions!$H$348,$C1019),M1030))),0)</f>
        <v>0</v>
      </c>
      <c r="O1030" s="39">
        <f>+IFERROR(-ABS(IF(EDATE(_xlfn.XLOOKUP(1,$H1017:$BE1017,$H$4:$BE$4),12*Assumptions!$H$348+12)=O$4,0,IF(N1017=1,PMT(Assumptions!$H$346,Assumptions!$H$348,$C1019),N1030))),0)</f>
        <v>0</v>
      </c>
      <c r="P1030" s="39">
        <f>+IFERROR(-ABS(IF(EDATE(_xlfn.XLOOKUP(1,$H1017:$BE1017,$H$4:$BE$4),12*Assumptions!$H$348+12)=P$4,0,IF(O1017=1,PMT(Assumptions!$H$346,Assumptions!$H$348,$C1019),O1030))),0)</f>
        <v>0</v>
      </c>
      <c r="Q1030" s="39">
        <f>+IFERROR(-ABS(IF(EDATE(_xlfn.XLOOKUP(1,$H1017:$BE1017,$H$4:$BE$4),12*Assumptions!$H$348+12)=Q$4,0,IF(P1017=1,PMT(Assumptions!$H$346,Assumptions!$H$348,$C1019),P1030))),0)</f>
        <v>0</v>
      </c>
      <c r="R1030" s="39">
        <f>+IFERROR(-ABS(IF(EDATE(_xlfn.XLOOKUP(1,$H1017:$BE1017,$H$4:$BE$4),12*Assumptions!$H$348+12)=R$4,0,IF(Q1017=1,PMT(Assumptions!$H$346,Assumptions!$H$348,$C1019),Q1030))),0)</f>
        <v>0</v>
      </c>
      <c r="S1030" s="39">
        <f>+IFERROR(-ABS(IF(EDATE(_xlfn.XLOOKUP(1,$H1017:$BE1017,$H$4:$BE$4),12*Assumptions!$H$348+12)=S$4,0,IF(R1017=1,PMT(Assumptions!$H$346,Assumptions!$H$348,$C1019),R1030))),0)</f>
        <v>0</v>
      </c>
      <c r="T1030" s="39">
        <f>+IFERROR(-ABS(IF(EDATE(_xlfn.XLOOKUP(1,$H1017:$BE1017,$H$4:$BE$4),12*Assumptions!$H$348+12)=T$4,0,IF(S1017=1,PMT(Assumptions!$H$346,Assumptions!$H$348,$C1019),S1030))),0)</f>
        <v>0</v>
      </c>
      <c r="U1030" s="39">
        <f>+IFERROR(-ABS(IF(EDATE(_xlfn.XLOOKUP(1,$H1017:$BE1017,$H$4:$BE$4),12*Assumptions!$H$348+12)=U$4,0,IF(T1017=1,PMT(Assumptions!$H$346,Assumptions!$H$348,$C1019),T1030))),0)</f>
        <v>0</v>
      </c>
      <c r="V1030" s="39">
        <f>+IFERROR(-ABS(IF(EDATE(_xlfn.XLOOKUP(1,$H1017:$BE1017,$H$4:$BE$4),12*Assumptions!$H$348+12)=V$4,0,IF(U1017=1,PMT(Assumptions!$H$346,Assumptions!$H$348,$C1019),U1030))),0)</f>
        <v>0</v>
      </c>
      <c r="W1030" s="39">
        <f>+IFERROR(-ABS(IF(EDATE(_xlfn.XLOOKUP(1,$H1017:$BE1017,$H$4:$BE$4),12*Assumptions!$H$348+12)=W$4,0,IF(V1017=1,PMT(Assumptions!$H$346,Assumptions!$H$348,$C1019),V1030))),0)</f>
        <v>0</v>
      </c>
      <c r="X1030" s="39">
        <f>+IFERROR(-ABS(IF(EDATE(_xlfn.XLOOKUP(1,$H1017:$BE1017,$H$4:$BE$4),12*Assumptions!$H$348+12)=X$4,0,IF(W1017=1,PMT(Assumptions!$H$346,Assumptions!$H$348,$C1019),W1030))),0)</f>
        <v>0</v>
      </c>
      <c r="Y1030" s="39">
        <f>+IFERROR(-ABS(IF(EDATE(_xlfn.XLOOKUP(1,$H1017:$BE1017,$H$4:$BE$4),12*Assumptions!$H$348+12)=Y$4,0,IF(X1017=1,PMT(Assumptions!$H$346,Assumptions!$H$348,$C1019),X1030))),0)</f>
        <v>0</v>
      </c>
      <c r="Z1030" s="39">
        <f>+IFERROR(-ABS(IF(EDATE(_xlfn.XLOOKUP(1,$H1017:$BE1017,$H$4:$BE$4),12*Assumptions!$H$348+12)=Z$4,0,IF(Y1017=1,PMT(Assumptions!$H$346,Assumptions!$H$348,$C1019),Y1030))),0)</f>
        <v>0</v>
      </c>
      <c r="AA1030" s="39">
        <f>+IFERROR(-ABS(IF(EDATE(_xlfn.XLOOKUP(1,$H1017:$BE1017,$H$4:$BE$4),12*Assumptions!$H$348+12)=AA$4,0,IF(Z1017=1,PMT(Assumptions!$H$346,Assumptions!$H$348,$C1019),Z1030))),0)</f>
        <v>0</v>
      </c>
      <c r="AB1030" s="39">
        <f>+IFERROR(-ABS(IF(EDATE(_xlfn.XLOOKUP(1,$H1017:$BE1017,$H$4:$BE$4),12*Assumptions!$H$348+12)=AB$4,0,IF(AA1017=1,PMT(Assumptions!$H$346,Assumptions!$H$348,$C1019),AA1030))),0)</f>
        <v>0</v>
      </c>
      <c r="AC1030" s="39">
        <f>+IFERROR(-ABS(IF(EDATE(_xlfn.XLOOKUP(1,$H1017:$BE1017,$H$4:$BE$4),12*Assumptions!$H$348+12)=AC$4,0,IF(AB1017=1,PMT(Assumptions!$H$346,Assumptions!$H$348,$C1019),AB1030))),0)</f>
        <v>0</v>
      </c>
      <c r="AD1030" s="39">
        <f>+IFERROR(-ABS(IF(EDATE(_xlfn.XLOOKUP(1,$H1017:$BE1017,$H$4:$BE$4),12*Assumptions!$H$348+12)=AD$4,0,IF(AC1017=1,PMT(Assumptions!$H$346,Assumptions!$H$348,$C1019),AC1030))),0)</f>
        <v>0</v>
      </c>
      <c r="AE1030" s="39">
        <f>+IFERROR(-ABS(IF(EDATE(_xlfn.XLOOKUP(1,$H1017:$BE1017,$H$4:$BE$4),12*Assumptions!$H$348+12)=AE$4,0,IF(AD1017=1,PMT(Assumptions!$H$346,Assumptions!$H$348,$C1019),AD1030))),0)</f>
        <v>0</v>
      </c>
      <c r="AF1030" s="39">
        <f>+IFERROR(-ABS(IF(EDATE(_xlfn.XLOOKUP(1,$H1017:$BE1017,$H$4:$BE$4),12*Assumptions!$H$348+12)=AF$4,0,IF(AE1017=1,PMT(Assumptions!$H$346,Assumptions!$H$348,$C1019),AE1030))),0)</f>
        <v>0</v>
      </c>
      <c r="AG1030" s="39">
        <f>+IFERROR(-ABS(IF(EDATE(_xlfn.XLOOKUP(1,$H1017:$BE1017,$H$4:$BE$4),12*Assumptions!$H$348+12)=AG$4,0,IF(AF1017=1,PMT(Assumptions!$H$346,Assumptions!$H$348,$C1019),AF1030))),0)</f>
        <v>0</v>
      </c>
      <c r="AH1030" s="39">
        <f>+IFERROR(-ABS(IF(EDATE(_xlfn.XLOOKUP(1,$H1017:$BE1017,$H$4:$BE$4),12*Assumptions!$H$348+12)=AH$4,0,IF(AG1017=1,PMT(Assumptions!$H$346,Assumptions!$H$348,$C1019),AG1030))),0)</f>
        <v>0</v>
      </c>
      <c r="AI1030" s="39">
        <f>+IFERROR(-ABS(IF(EDATE(_xlfn.XLOOKUP(1,$H1017:$BE1017,$H$4:$BE$4),12*Assumptions!$H$348+12)=AI$4,0,IF(AH1017=1,PMT(Assumptions!$H$346,Assumptions!$H$348,$C1019),AH1030))),0)</f>
        <v>0</v>
      </c>
      <c r="AJ1030" s="39">
        <f>+IFERROR(-ABS(IF(EDATE(_xlfn.XLOOKUP(1,$H1017:$BE1017,$H$4:$BE$4),12*Assumptions!$H$348+12)=AJ$4,0,IF(AI1017=1,PMT(Assumptions!$H$346,Assumptions!$H$348,$C1019),AI1030))),0)</f>
        <v>0</v>
      </c>
      <c r="AK1030" s="39">
        <f>+IFERROR(-ABS(IF(EDATE(_xlfn.XLOOKUP(1,$H1017:$BE1017,$H$4:$BE$4),12*Assumptions!$H$348+12)=AK$4,0,IF(AJ1017=1,PMT(Assumptions!$H$346,Assumptions!$H$348,$C1019),AJ1030))),0)</f>
        <v>0</v>
      </c>
      <c r="AL1030" s="39">
        <f>+IFERROR(-ABS(IF(EDATE(_xlfn.XLOOKUP(1,$H1017:$BE1017,$H$4:$BE$4),12*Assumptions!$H$348+12)=AL$4,0,IF(AK1017=1,PMT(Assumptions!$H$346,Assumptions!$H$348,$C1019),AK1030))),0)</f>
        <v>0</v>
      </c>
      <c r="AM1030" s="39">
        <f>+IFERROR(-ABS(IF(EDATE(_xlfn.XLOOKUP(1,$H1017:$BE1017,$H$4:$BE$4),12*Assumptions!$H$348+12)=AM$4,0,IF(AL1017=1,PMT(Assumptions!$H$346,Assumptions!$H$348,$C1019),AL1030))),0)</f>
        <v>0</v>
      </c>
      <c r="AN1030" s="39">
        <f>+IFERROR(-ABS(IF(EDATE(_xlfn.XLOOKUP(1,$H1017:$BE1017,$H$4:$BE$4),12*Assumptions!$H$348+12)=AN$4,0,IF(AM1017=1,PMT(Assumptions!$H$346,Assumptions!$H$348,$C1019),AM1030))),0)</f>
        <v>0</v>
      </c>
      <c r="AO1030" s="39">
        <f>+IFERROR(-ABS(IF(EDATE(_xlfn.XLOOKUP(1,$H1017:$BE1017,$H$4:$BE$4),12*Assumptions!$H$348+12)=AO$4,0,IF(AN1017=1,PMT(Assumptions!$H$346,Assumptions!$H$348,$C1019),AN1030))),0)</f>
        <v>0</v>
      </c>
      <c r="AP1030" s="39">
        <f>+IFERROR(-ABS(IF(EDATE(_xlfn.XLOOKUP(1,$H1017:$BE1017,$H$4:$BE$4),12*Assumptions!$H$348+12)=AP$4,0,IF(AO1017=1,PMT(Assumptions!$H$346,Assumptions!$H$348,$C1019),AO1030))),0)</f>
        <v>0</v>
      </c>
      <c r="AQ1030" s="39">
        <f>+IFERROR(-ABS(IF(EDATE(_xlfn.XLOOKUP(1,$H1017:$BE1017,$H$4:$BE$4),12*Assumptions!$H$348+12)=AQ$4,0,IF(AP1017=1,PMT(Assumptions!$H$346,Assumptions!$H$348,$C1019),AP1030))),0)</f>
        <v>0</v>
      </c>
      <c r="AR1030" s="39">
        <f>+IFERROR(-ABS(IF(EDATE(_xlfn.XLOOKUP(1,$H1017:$BE1017,$H$4:$BE$4),12*Assumptions!$H$348+12)=AR$4,0,IF(AQ1017=1,PMT(Assumptions!$H$346,Assumptions!$H$348,$C1019),AQ1030))),0)</f>
        <v>0</v>
      </c>
      <c r="AS1030" s="39">
        <f>+IFERROR(-ABS(IF(EDATE(_xlfn.XLOOKUP(1,$H1017:$BE1017,$H$4:$BE$4),12*Assumptions!$H$348+12)=AS$4,0,IF(AR1017=1,PMT(Assumptions!$H$346,Assumptions!$H$348,$C1019),AR1030))),0)</f>
        <v>0</v>
      </c>
      <c r="AT1030" s="39">
        <f>+IFERROR(-ABS(IF(EDATE(_xlfn.XLOOKUP(1,$H1017:$BE1017,$H$4:$BE$4),12*Assumptions!$H$348+12)=AT$4,0,IF(AS1017=1,PMT(Assumptions!$H$346,Assumptions!$H$348,$C1019),AS1030))),0)</f>
        <v>0</v>
      </c>
      <c r="AU1030" s="39">
        <f>+IFERROR(-ABS(IF(EDATE(_xlfn.XLOOKUP(1,$H1017:$BE1017,$H$4:$BE$4),12*Assumptions!$H$348+12)=AU$4,0,IF(AT1017=1,PMT(Assumptions!$H$346,Assumptions!$H$348,$C1019),AT1030))),0)</f>
        <v>0</v>
      </c>
      <c r="AV1030" s="39">
        <f>+IFERROR(-ABS(IF(EDATE(_xlfn.XLOOKUP(1,$H1017:$BE1017,$H$4:$BE$4),12*Assumptions!$H$348+12)=AV$4,0,IF(AU1017=1,PMT(Assumptions!$H$346,Assumptions!$H$348,$C1019),AU1030))),0)</f>
        <v>0</v>
      </c>
      <c r="AW1030" s="39">
        <f>+IFERROR(-ABS(IF(EDATE(_xlfn.XLOOKUP(1,$H1017:$BE1017,$H$4:$BE$4),12*Assumptions!$H$348+12)=AW$4,0,IF(AV1017=1,PMT(Assumptions!$H$346,Assumptions!$H$348,$C1019),AV1030))),0)</f>
        <v>0</v>
      </c>
      <c r="AX1030" s="39">
        <f>+IFERROR(-ABS(IF(EDATE(_xlfn.XLOOKUP(1,$H1017:$BE1017,$H$4:$BE$4),12*Assumptions!$H$348+12)=AX$4,0,IF(AW1017=1,PMT(Assumptions!$H$346,Assumptions!$H$348,$C1019),AW1030))),0)</f>
        <v>0</v>
      </c>
      <c r="AY1030" s="39">
        <f>+IFERROR(-ABS(IF(EDATE(_xlfn.XLOOKUP(1,$H1017:$BE1017,$H$4:$BE$4),12*Assumptions!$H$348+12)=AY$4,0,IF(AX1017=1,PMT(Assumptions!$H$346,Assumptions!$H$348,$C1019),AX1030))),0)</f>
        <v>0</v>
      </c>
      <c r="AZ1030" s="39">
        <f>+IFERROR(-ABS(IF(EDATE(_xlfn.XLOOKUP(1,$H1017:$BE1017,$H$4:$BE$4),12*Assumptions!$H$348+12)=AZ$4,0,IF(AY1017=1,PMT(Assumptions!$H$346,Assumptions!$H$348,$C1019),AY1030))),0)</f>
        <v>0</v>
      </c>
      <c r="BA1030" s="39">
        <f>+IFERROR(-ABS(IF(EDATE(_xlfn.XLOOKUP(1,$H1017:$BE1017,$H$4:$BE$4),12*Assumptions!$H$348+12)=BA$4,0,IF(AZ1017=1,PMT(Assumptions!$H$346,Assumptions!$H$348,$C1019),AZ1030))),0)</f>
        <v>0</v>
      </c>
      <c r="BB1030" s="39">
        <f>+IFERROR(-ABS(IF(EDATE(_xlfn.XLOOKUP(1,$H1017:$BE1017,$H$4:$BE$4),12*Assumptions!$H$348+12)=BB$4,0,IF(BA1017=1,PMT(Assumptions!$H$346,Assumptions!$H$348,$C1019),BA1030))),0)</f>
        <v>0</v>
      </c>
      <c r="BC1030" s="39">
        <f>+IFERROR(-ABS(IF(EDATE(_xlfn.XLOOKUP(1,$H1017:$BE1017,$H$4:$BE$4),12*Assumptions!$H$348+12)=BC$4,0,IF(BB1017=1,PMT(Assumptions!$H$346,Assumptions!$H$348,$C1019),BB1030))),0)</f>
        <v>0</v>
      </c>
      <c r="BD1030" s="39">
        <f>+IFERROR(-ABS(IF(EDATE(_xlfn.XLOOKUP(1,$H1017:$BE1017,$H$4:$BE$4),12*Assumptions!$H$348+12)=BD$4,0,IF(BC1017=1,PMT(Assumptions!$H$346,Assumptions!$H$348,$C1019),BC1030))),0)</f>
        <v>0</v>
      </c>
      <c r="BE1030" s="39">
        <f>+IFERROR(-ABS(IF(EDATE(_xlfn.XLOOKUP(1,$H1017:$BE1017,$H$4:$BE$4),12*Assumptions!$H$348+12)=BE$4,0,IF(BD1017=1,PMT(Assumptions!$H$346,Assumptions!$H$348,$C1019),BD1030))),0)</f>
        <v>0</v>
      </c>
      <c r="BF1030" s="39">
        <f>+IFERROR(-ABS(IF(EDATE(_xlfn.XLOOKUP(1,$H1017:$BE1017,$H$4:$BE$4),12*Assumptions!$H$348+12)=BF$4,0,IF(BE1017=1,PMT(Assumptions!$H$346,Assumptions!$H$348,$C1019),BE1030))),0)</f>
        <v>0</v>
      </c>
      <c r="BG1030" s="39">
        <f>+IFERROR(-ABS(IF(EDATE(_xlfn.XLOOKUP(1,$H1017:$BE1017,$H$4:$BE$4),12*Assumptions!$H$348+12)=BG$4,0,IF(BF1017=1,PMT(Assumptions!$H$346,Assumptions!$H$348,$C1019),BF1030))),0)</f>
        <v>0</v>
      </c>
      <c r="BH1030" s="39">
        <f>+IFERROR(-ABS(IF(EDATE(_xlfn.XLOOKUP(1,$H1017:$BE1017,$H$4:$BE$4),12*Assumptions!$H$348+12)=BH$4,0,IF(BG1017=1,PMT(Assumptions!$H$346,Assumptions!$H$348,$C1019),BG1030))),0)</f>
        <v>0</v>
      </c>
      <c r="BI1030" s="39">
        <f>+IFERROR(-ABS(IF(EDATE(_xlfn.XLOOKUP(1,$H1017:$BE1017,$H$4:$BE$4),12*Assumptions!$H$348+12)=BI$4,0,IF(BH1017=1,PMT(Assumptions!$H$346,Assumptions!$H$348,$C1019),BH1030))),0)</f>
        <v>0</v>
      </c>
      <c r="BJ1030" s="39">
        <f>+IFERROR(-ABS(IF(EDATE(_xlfn.XLOOKUP(1,$H1017:$BE1017,$H$4:$BE$4),12*Assumptions!$H$348+12)=BJ$4,0,IF(BI1017=1,PMT(Assumptions!$H$346,Assumptions!$H$348,$C1019),BI1030))),0)</f>
        <v>0</v>
      </c>
      <c r="BK1030" s="39">
        <f>+IFERROR(-ABS(IF(EDATE(_xlfn.XLOOKUP(1,$H1017:$BE1017,$H$4:$BE$4),12*Assumptions!$H$348+12)=BK$4,0,IF(BJ1017=1,PMT(Assumptions!$H$346,Assumptions!$H$348,$C1019),BJ1030))),0)</f>
        <v>0</v>
      </c>
      <c r="BL1030" s="39">
        <f>+IFERROR(-ABS(IF(EDATE(_xlfn.XLOOKUP(1,$H1017:$BE1017,$H$4:$BE$4),12*Assumptions!$H$348+12)=BL$4,0,IF(BK1017=1,PMT(Assumptions!$H$346,Assumptions!$H$348,$C1019),BK1030))),0)</f>
        <v>0</v>
      </c>
      <c r="BM1030" s="39">
        <f>+IFERROR(-ABS(IF(EDATE(_xlfn.XLOOKUP(1,$H1017:$BE1017,$H$4:$BE$4),12*Assumptions!$H$348+12)=BM$4,0,IF(BL1017=1,PMT(Assumptions!$H$346,Assumptions!$H$348,$C1019),BL1030))),0)</f>
        <v>0</v>
      </c>
      <c r="BN1030" s="39">
        <f>+IFERROR(-ABS(IF(EDATE(_xlfn.XLOOKUP(1,$H1017:$BE1017,$H$4:$BE$4),12*Assumptions!$H$348+12)=BN$4,0,IF(BM1017=1,PMT(Assumptions!$H$346,Assumptions!$H$348,$C1019),BM1030))),0)</f>
        <v>0</v>
      </c>
      <c r="BO1030" s="39">
        <f>+IFERROR(-ABS(IF(EDATE(_xlfn.XLOOKUP(1,$H1017:$BE1017,$H$4:$BE$4),12*Assumptions!$H$348+12)=BO$4,0,IF(BN1017=1,PMT(Assumptions!$H$346,Assumptions!$H$348,$C1019),BN1030))),0)</f>
        <v>0</v>
      </c>
      <c r="BP1030" s="39">
        <f>+IFERROR(-ABS(IF(EDATE(_xlfn.XLOOKUP(1,$H1017:$BE1017,$H$4:$BE$4),12*Assumptions!$H$348+12)=BP$4,0,IF(BO1017=1,PMT(Assumptions!$H$346,Assumptions!$H$348,$C1019),BO1030))),0)</f>
        <v>0</v>
      </c>
      <c r="BQ1030" s="39">
        <f>+IFERROR(-ABS(IF(EDATE(_xlfn.XLOOKUP(1,$H1017:$BE1017,$H$4:$BE$4),12*Assumptions!$H$348+12)=BQ$4,0,IF(BP1017=1,PMT(Assumptions!$H$346,Assumptions!$H$348,$C1019),BP1030))),0)</f>
        <v>0</v>
      </c>
      <c r="BR1030" s="39">
        <f>+IFERROR(-ABS(IF(EDATE(_xlfn.XLOOKUP(1,$H1017:$BE1017,$H$4:$BE$4),12*Assumptions!$H$348+12)=BR$4,0,IF(BQ1017=1,PMT(Assumptions!$H$346,Assumptions!$H$348,$C1019),BQ1030))),0)</f>
        <v>0</v>
      </c>
      <c r="BS1030" s="39">
        <f>+IFERROR(-ABS(IF(EDATE(_xlfn.XLOOKUP(1,$H1017:$BE1017,$H$4:$BE$4),12*Assumptions!$H$348+12)=BS$4,0,IF(BR1017=1,PMT(Assumptions!$H$346,Assumptions!$H$348,$C1019),BR1030))),0)</f>
        <v>0</v>
      </c>
      <c r="BT1030" s="39">
        <f>+IFERROR(-ABS(IF(EDATE(_xlfn.XLOOKUP(1,$H1017:$BE1017,$H$4:$BE$4),12*Assumptions!$H$348+12)=BT$4,0,IF(BS1017=1,PMT(Assumptions!$H$346,Assumptions!$H$348,$C1019),BS1030))),0)</f>
        <v>0</v>
      </c>
      <c r="BU1030" s="39">
        <f>+IFERROR(-ABS(IF(EDATE(_xlfn.XLOOKUP(1,$H1017:$BE1017,$H$4:$BE$4),12*Assumptions!$H$348+12)=BU$4,0,IF(BT1017=1,PMT(Assumptions!$H$346,Assumptions!$H$348,$C1019),BT1030))),0)</f>
        <v>0</v>
      </c>
      <c r="BV1030" s="39">
        <f>+IFERROR(-ABS(IF(EDATE(_xlfn.XLOOKUP(1,$H1017:$BE1017,$H$4:$BE$4),12*Assumptions!$H$348+12)=BV$4,0,IF(BU1017=1,PMT(Assumptions!$H$346,Assumptions!$H$348,$C1019),BU1030))),0)</f>
        <v>0</v>
      </c>
      <c r="BW1030" s="39">
        <f>+IFERROR(-ABS(IF(EDATE(_xlfn.XLOOKUP(1,$H1017:$BE1017,$H$4:$BE$4),12*Assumptions!$H$348+12)=BW$4,0,IF(BV1017=1,PMT(Assumptions!$H$346,Assumptions!$H$348,$C1019),BV1030))),0)</f>
        <v>0</v>
      </c>
      <c r="BX1030" s="39">
        <f>+IFERROR(-ABS(IF(EDATE(_xlfn.XLOOKUP(1,$H1017:$BE1017,$H$4:$BE$4),12*Assumptions!$H$348+12)=BX$4,0,IF(BW1017=1,PMT(Assumptions!$H$346,Assumptions!$H$348,$C1019),BW1030))),0)</f>
        <v>0</v>
      </c>
      <c r="BY1030" s="39">
        <f>+IFERROR(-ABS(IF(EDATE(_xlfn.XLOOKUP(1,$H1017:$BE1017,$H$4:$BE$4),12*Assumptions!$H$348+12)=BY$4,0,IF(BX1017=1,PMT(Assumptions!$H$346,Assumptions!$H$348,$C1019),BX1030))),0)</f>
        <v>0</v>
      </c>
    </row>
    <row r="1031" spans="5:77" outlineLevel="1">
      <c r="E1031" s="24" t="s">
        <v>517</v>
      </c>
      <c r="F1031" s="80" t="str">
        <f>+Assumptions!$G$8</f>
        <v>USD</v>
      </c>
      <c r="G1031" s="24"/>
      <c r="H1031" s="39">
        <f>+IFERROR(-ABS(IF(EDATE(_xlfn.XLOOKUP(1,$H1018:$BE1018,$H$4:$BE$4),12*Assumptions!$H$348+12)=H$4,0,IF(G1018=1,PMT(Assumptions!$H$346,Assumptions!$H$348,$C1020),G1031))),0)</f>
        <v>0</v>
      </c>
      <c r="I1031" s="39">
        <f>+IFERROR(-ABS(IF(EDATE(_xlfn.XLOOKUP(1,$H1018:$BE1018,$H$4:$BE$4),12*Assumptions!$H$348+12)=I$4,0,IF(H1018=1,PMT(Assumptions!$H$346,Assumptions!$H$348,$C1020),H1031))),0)</f>
        <v>0</v>
      </c>
      <c r="J1031" s="39">
        <f>+IFERROR(-ABS(IF(EDATE(_xlfn.XLOOKUP(1,$H1018:$BE1018,$H$4:$BE$4),12*Assumptions!$H$348+12)=J$4,0,IF(I1018=1,PMT(Assumptions!$H$346,Assumptions!$H$348,$C1020),I1031))),0)</f>
        <v>0</v>
      </c>
      <c r="K1031" s="39">
        <f>+IFERROR(-ABS(IF(EDATE(_xlfn.XLOOKUP(1,$H1018:$BE1018,$H$4:$BE$4),12*Assumptions!$H$348+12)=K$4,0,IF(J1018=1,PMT(Assumptions!$H$346,Assumptions!$H$348,$C1020),J1031))),0)</f>
        <v>0</v>
      </c>
      <c r="L1031" s="39">
        <f>+IFERROR(-ABS(IF(EDATE(_xlfn.XLOOKUP(1,$H1018:$BE1018,$H$4:$BE$4),12*Assumptions!$H$348+12)=L$4,0,IF(K1018=1,PMT(Assumptions!$H$346,Assumptions!$H$348,$C1020),K1031))),0)</f>
        <v>0</v>
      </c>
      <c r="M1031" s="39">
        <f>+IFERROR(-ABS(IF(EDATE(_xlfn.XLOOKUP(1,$H1018:$BE1018,$H$4:$BE$4),12*Assumptions!$H$348+12)=M$4,0,IF(L1018=1,PMT(Assumptions!$H$346,Assumptions!$H$348,$C1020),L1031))),0)</f>
        <v>0</v>
      </c>
      <c r="N1031" s="39">
        <f>+IFERROR(-ABS(IF(EDATE(_xlfn.XLOOKUP(1,$H1018:$BE1018,$H$4:$BE$4),12*Assumptions!$H$348+12)=N$4,0,IF(M1018=1,PMT(Assumptions!$H$346,Assumptions!$H$348,$C1020),M1031))),0)</f>
        <v>0</v>
      </c>
      <c r="O1031" s="39">
        <f>+IFERROR(-ABS(IF(EDATE(_xlfn.XLOOKUP(1,$H1018:$BE1018,$H$4:$BE$4),12*Assumptions!$H$348+12)=O$4,0,IF(N1018=1,PMT(Assumptions!$H$346,Assumptions!$H$348,$C1020),N1031))),0)</f>
        <v>0</v>
      </c>
      <c r="P1031" s="39">
        <f>+IFERROR(-ABS(IF(EDATE(_xlfn.XLOOKUP(1,$H1018:$BE1018,$H$4:$BE$4),12*Assumptions!$H$348+12)=P$4,0,IF(O1018=1,PMT(Assumptions!$H$346,Assumptions!$H$348,$C1020),O1031))),0)</f>
        <v>0</v>
      </c>
      <c r="Q1031" s="39">
        <f>+IFERROR(-ABS(IF(EDATE(_xlfn.XLOOKUP(1,$H1018:$BE1018,$H$4:$BE$4),12*Assumptions!$H$348+12)=Q$4,0,IF(P1018=1,PMT(Assumptions!$H$346,Assumptions!$H$348,$C1020),P1031))),0)</f>
        <v>0</v>
      </c>
      <c r="R1031" s="39">
        <f>+IFERROR(-ABS(IF(EDATE(_xlfn.XLOOKUP(1,$H1018:$BE1018,$H$4:$BE$4),12*Assumptions!$H$348+12)=R$4,0,IF(Q1018=1,PMT(Assumptions!$H$346,Assumptions!$H$348,$C1020),Q1031))),0)</f>
        <v>0</v>
      </c>
      <c r="S1031" s="39">
        <f>+IFERROR(-ABS(IF(EDATE(_xlfn.XLOOKUP(1,$H1018:$BE1018,$H$4:$BE$4),12*Assumptions!$H$348+12)=S$4,0,IF(R1018=1,PMT(Assumptions!$H$346,Assumptions!$H$348,$C1020),R1031))),0)</f>
        <v>0</v>
      </c>
      <c r="T1031" s="39">
        <f>+IFERROR(-ABS(IF(EDATE(_xlfn.XLOOKUP(1,$H1018:$BE1018,$H$4:$BE$4),12*Assumptions!$H$348+12)=T$4,0,IF(S1018=1,PMT(Assumptions!$H$346,Assumptions!$H$348,$C1020),S1031))),0)</f>
        <v>0</v>
      </c>
      <c r="U1031" s="39">
        <f>+IFERROR(-ABS(IF(EDATE(_xlfn.XLOOKUP(1,$H1018:$BE1018,$H$4:$BE$4),12*Assumptions!$H$348+12)=U$4,0,IF(T1018=1,PMT(Assumptions!$H$346,Assumptions!$H$348,$C1020),T1031))),0)</f>
        <v>0</v>
      </c>
      <c r="V1031" s="39">
        <f>+IFERROR(-ABS(IF(EDATE(_xlfn.XLOOKUP(1,$H1018:$BE1018,$H$4:$BE$4),12*Assumptions!$H$348+12)=V$4,0,IF(U1018=1,PMT(Assumptions!$H$346,Assumptions!$H$348,$C1020),U1031))),0)</f>
        <v>0</v>
      </c>
      <c r="W1031" s="39">
        <f>+IFERROR(-ABS(IF(EDATE(_xlfn.XLOOKUP(1,$H1018:$BE1018,$H$4:$BE$4),12*Assumptions!$H$348+12)=W$4,0,IF(V1018=1,PMT(Assumptions!$H$346,Assumptions!$H$348,$C1020),V1031))),0)</f>
        <v>0</v>
      </c>
      <c r="X1031" s="39">
        <f>+IFERROR(-ABS(IF(EDATE(_xlfn.XLOOKUP(1,$H1018:$BE1018,$H$4:$BE$4),12*Assumptions!$H$348+12)=X$4,0,IF(W1018=1,PMT(Assumptions!$H$346,Assumptions!$H$348,$C1020),W1031))),0)</f>
        <v>0</v>
      </c>
      <c r="Y1031" s="39">
        <f>+IFERROR(-ABS(IF(EDATE(_xlfn.XLOOKUP(1,$H1018:$BE1018,$H$4:$BE$4),12*Assumptions!$H$348+12)=Y$4,0,IF(X1018=1,PMT(Assumptions!$H$346,Assumptions!$H$348,$C1020),X1031))),0)</f>
        <v>0</v>
      </c>
      <c r="Z1031" s="39">
        <f>+IFERROR(-ABS(IF(EDATE(_xlfn.XLOOKUP(1,$H1018:$BE1018,$H$4:$BE$4),12*Assumptions!$H$348+12)=Z$4,0,IF(Y1018=1,PMT(Assumptions!$H$346,Assumptions!$H$348,$C1020),Y1031))),0)</f>
        <v>0</v>
      </c>
      <c r="AA1031" s="39">
        <f>+IFERROR(-ABS(IF(EDATE(_xlfn.XLOOKUP(1,$H1018:$BE1018,$H$4:$BE$4),12*Assumptions!$H$348+12)=AA$4,0,IF(Z1018=1,PMT(Assumptions!$H$346,Assumptions!$H$348,$C1020),Z1031))),0)</f>
        <v>0</v>
      </c>
      <c r="AB1031" s="39">
        <f>+IFERROR(-ABS(IF(EDATE(_xlfn.XLOOKUP(1,$H1018:$BE1018,$H$4:$BE$4),12*Assumptions!$H$348+12)=AB$4,0,IF(AA1018=1,PMT(Assumptions!$H$346,Assumptions!$H$348,$C1020),AA1031))),0)</f>
        <v>0</v>
      </c>
      <c r="AC1031" s="39">
        <f>+IFERROR(-ABS(IF(EDATE(_xlfn.XLOOKUP(1,$H1018:$BE1018,$H$4:$BE$4),12*Assumptions!$H$348+12)=AC$4,0,IF(AB1018=1,PMT(Assumptions!$H$346,Assumptions!$H$348,$C1020),AB1031))),0)</f>
        <v>0</v>
      </c>
      <c r="AD1031" s="39">
        <f>+IFERROR(-ABS(IF(EDATE(_xlfn.XLOOKUP(1,$H1018:$BE1018,$H$4:$BE$4),12*Assumptions!$H$348+12)=AD$4,0,IF(AC1018=1,PMT(Assumptions!$H$346,Assumptions!$H$348,$C1020),AC1031))),0)</f>
        <v>0</v>
      </c>
      <c r="AE1031" s="39">
        <f>+IFERROR(-ABS(IF(EDATE(_xlfn.XLOOKUP(1,$H1018:$BE1018,$H$4:$BE$4),12*Assumptions!$H$348+12)=AE$4,0,IF(AD1018=1,PMT(Assumptions!$H$346,Assumptions!$H$348,$C1020),AD1031))),0)</f>
        <v>0</v>
      </c>
      <c r="AF1031" s="39">
        <f>+IFERROR(-ABS(IF(EDATE(_xlfn.XLOOKUP(1,$H1018:$BE1018,$H$4:$BE$4),12*Assumptions!$H$348+12)=AF$4,0,IF(AE1018=1,PMT(Assumptions!$H$346,Assumptions!$H$348,$C1020),AE1031))),0)</f>
        <v>0</v>
      </c>
      <c r="AG1031" s="39">
        <f>+IFERROR(-ABS(IF(EDATE(_xlfn.XLOOKUP(1,$H1018:$BE1018,$H$4:$BE$4),12*Assumptions!$H$348+12)=AG$4,0,IF(AF1018=1,PMT(Assumptions!$H$346,Assumptions!$H$348,$C1020),AF1031))),0)</f>
        <v>0</v>
      </c>
      <c r="AH1031" s="39">
        <f>+IFERROR(-ABS(IF(EDATE(_xlfn.XLOOKUP(1,$H1018:$BE1018,$H$4:$BE$4),12*Assumptions!$H$348+12)=AH$4,0,IF(AG1018=1,PMT(Assumptions!$H$346,Assumptions!$H$348,$C1020),AG1031))),0)</f>
        <v>0</v>
      </c>
      <c r="AI1031" s="39">
        <f>+IFERROR(-ABS(IF(EDATE(_xlfn.XLOOKUP(1,$H1018:$BE1018,$H$4:$BE$4),12*Assumptions!$H$348+12)=AI$4,0,IF(AH1018=1,PMT(Assumptions!$H$346,Assumptions!$H$348,$C1020),AH1031))),0)</f>
        <v>0</v>
      </c>
      <c r="AJ1031" s="39">
        <f>+IFERROR(-ABS(IF(EDATE(_xlfn.XLOOKUP(1,$H1018:$BE1018,$H$4:$BE$4),12*Assumptions!$H$348+12)=AJ$4,0,IF(AI1018=1,PMT(Assumptions!$H$346,Assumptions!$H$348,$C1020),AI1031))),0)</f>
        <v>0</v>
      </c>
      <c r="AK1031" s="39">
        <f>+IFERROR(-ABS(IF(EDATE(_xlfn.XLOOKUP(1,$H1018:$BE1018,$H$4:$BE$4),12*Assumptions!$H$348+12)=AK$4,0,IF(AJ1018=1,PMT(Assumptions!$H$346,Assumptions!$H$348,$C1020),AJ1031))),0)</f>
        <v>0</v>
      </c>
      <c r="AL1031" s="39">
        <f>+IFERROR(-ABS(IF(EDATE(_xlfn.XLOOKUP(1,$H1018:$BE1018,$H$4:$BE$4),12*Assumptions!$H$348+12)=AL$4,0,IF(AK1018=1,PMT(Assumptions!$H$346,Assumptions!$H$348,$C1020),AK1031))),0)</f>
        <v>0</v>
      </c>
      <c r="AM1031" s="39">
        <f>+IFERROR(-ABS(IF(EDATE(_xlfn.XLOOKUP(1,$H1018:$BE1018,$H$4:$BE$4),12*Assumptions!$H$348+12)=AM$4,0,IF(AL1018=1,PMT(Assumptions!$H$346,Assumptions!$H$348,$C1020),AL1031))),0)</f>
        <v>0</v>
      </c>
      <c r="AN1031" s="39">
        <f>+IFERROR(-ABS(IF(EDATE(_xlfn.XLOOKUP(1,$H1018:$BE1018,$H$4:$BE$4),12*Assumptions!$H$348+12)=AN$4,0,IF(AM1018=1,PMT(Assumptions!$H$346,Assumptions!$H$348,$C1020),AM1031))),0)</f>
        <v>0</v>
      </c>
      <c r="AO1031" s="39">
        <f>+IFERROR(-ABS(IF(EDATE(_xlfn.XLOOKUP(1,$H1018:$BE1018,$H$4:$BE$4),12*Assumptions!$H$348+12)=AO$4,0,IF(AN1018=1,PMT(Assumptions!$H$346,Assumptions!$H$348,$C1020),AN1031))),0)</f>
        <v>0</v>
      </c>
      <c r="AP1031" s="39">
        <f>+IFERROR(-ABS(IF(EDATE(_xlfn.XLOOKUP(1,$H1018:$BE1018,$H$4:$BE$4),12*Assumptions!$H$348+12)=AP$4,0,IF(AO1018=1,PMT(Assumptions!$H$346,Assumptions!$H$348,$C1020),AO1031))),0)</f>
        <v>0</v>
      </c>
      <c r="AQ1031" s="39">
        <f>+IFERROR(-ABS(IF(EDATE(_xlfn.XLOOKUP(1,$H1018:$BE1018,$H$4:$BE$4),12*Assumptions!$H$348+12)=AQ$4,0,IF(AP1018=1,PMT(Assumptions!$H$346,Assumptions!$H$348,$C1020),AP1031))),0)</f>
        <v>0</v>
      </c>
      <c r="AR1031" s="39">
        <f>+IFERROR(-ABS(IF(EDATE(_xlfn.XLOOKUP(1,$H1018:$BE1018,$H$4:$BE$4),12*Assumptions!$H$348+12)=AR$4,0,IF(AQ1018=1,PMT(Assumptions!$H$346,Assumptions!$H$348,$C1020),AQ1031))),0)</f>
        <v>0</v>
      </c>
      <c r="AS1031" s="39">
        <f>+IFERROR(-ABS(IF(EDATE(_xlfn.XLOOKUP(1,$H1018:$BE1018,$H$4:$BE$4),12*Assumptions!$H$348+12)=AS$4,0,IF(AR1018=1,PMT(Assumptions!$H$346,Assumptions!$H$348,$C1020),AR1031))),0)</f>
        <v>0</v>
      </c>
      <c r="AT1031" s="39">
        <f>+IFERROR(-ABS(IF(EDATE(_xlfn.XLOOKUP(1,$H1018:$BE1018,$H$4:$BE$4),12*Assumptions!$H$348+12)=AT$4,0,IF(AS1018=1,PMT(Assumptions!$H$346,Assumptions!$H$348,$C1020),AS1031))),0)</f>
        <v>0</v>
      </c>
      <c r="AU1031" s="39">
        <f>+IFERROR(-ABS(IF(EDATE(_xlfn.XLOOKUP(1,$H1018:$BE1018,$H$4:$BE$4),12*Assumptions!$H$348+12)=AU$4,0,IF(AT1018=1,PMT(Assumptions!$H$346,Assumptions!$H$348,$C1020),AT1031))),0)</f>
        <v>0</v>
      </c>
      <c r="AV1031" s="39">
        <f>+IFERROR(-ABS(IF(EDATE(_xlfn.XLOOKUP(1,$H1018:$BE1018,$H$4:$BE$4),12*Assumptions!$H$348+12)=AV$4,0,IF(AU1018=1,PMT(Assumptions!$H$346,Assumptions!$H$348,$C1020),AU1031))),0)</f>
        <v>0</v>
      </c>
      <c r="AW1031" s="39">
        <f>+IFERROR(-ABS(IF(EDATE(_xlfn.XLOOKUP(1,$H1018:$BE1018,$H$4:$BE$4),12*Assumptions!$H$348+12)=AW$4,0,IF(AV1018=1,PMT(Assumptions!$H$346,Assumptions!$H$348,$C1020),AV1031))),0)</f>
        <v>0</v>
      </c>
      <c r="AX1031" s="39">
        <f>+IFERROR(-ABS(IF(EDATE(_xlfn.XLOOKUP(1,$H1018:$BE1018,$H$4:$BE$4),12*Assumptions!$H$348+12)=AX$4,0,IF(AW1018=1,PMT(Assumptions!$H$346,Assumptions!$H$348,$C1020),AW1031))),0)</f>
        <v>0</v>
      </c>
      <c r="AY1031" s="39">
        <f>+IFERROR(-ABS(IF(EDATE(_xlfn.XLOOKUP(1,$H1018:$BE1018,$H$4:$BE$4),12*Assumptions!$H$348+12)=AY$4,0,IF(AX1018=1,PMT(Assumptions!$H$346,Assumptions!$H$348,$C1020),AX1031))),0)</f>
        <v>0</v>
      </c>
      <c r="AZ1031" s="39">
        <f>+IFERROR(-ABS(IF(EDATE(_xlfn.XLOOKUP(1,$H1018:$BE1018,$H$4:$BE$4),12*Assumptions!$H$348+12)=AZ$4,0,IF(AY1018=1,PMT(Assumptions!$H$346,Assumptions!$H$348,$C1020),AY1031))),0)</f>
        <v>0</v>
      </c>
      <c r="BA1031" s="39">
        <f>+IFERROR(-ABS(IF(EDATE(_xlfn.XLOOKUP(1,$H1018:$BE1018,$H$4:$BE$4),12*Assumptions!$H$348+12)=BA$4,0,IF(AZ1018=1,PMT(Assumptions!$H$346,Assumptions!$H$348,$C1020),AZ1031))),0)</f>
        <v>0</v>
      </c>
      <c r="BB1031" s="39">
        <f>+IFERROR(-ABS(IF(EDATE(_xlfn.XLOOKUP(1,$H1018:$BE1018,$H$4:$BE$4),12*Assumptions!$H$348+12)=BB$4,0,IF(BA1018=1,PMT(Assumptions!$H$346,Assumptions!$H$348,$C1020),BA1031))),0)</f>
        <v>0</v>
      </c>
      <c r="BC1031" s="39">
        <f>+IFERROR(-ABS(IF(EDATE(_xlfn.XLOOKUP(1,$H1018:$BE1018,$H$4:$BE$4),12*Assumptions!$H$348+12)=BC$4,0,IF(BB1018=1,PMT(Assumptions!$H$346,Assumptions!$H$348,$C1020),BB1031))),0)</f>
        <v>0</v>
      </c>
      <c r="BD1031" s="39">
        <f>+IFERROR(-ABS(IF(EDATE(_xlfn.XLOOKUP(1,$H1018:$BE1018,$H$4:$BE$4),12*Assumptions!$H$348+12)=BD$4,0,IF(BC1018=1,PMT(Assumptions!$H$346,Assumptions!$H$348,$C1020),BC1031))),0)</f>
        <v>0</v>
      </c>
      <c r="BE1031" s="39">
        <f>+IFERROR(-ABS(IF(EDATE(_xlfn.XLOOKUP(1,$H1018:$BE1018,$H$4:$BE$4),12*Assumptions!$H$348+12)=BE$4,0,IF(BD1018=1,PMT(Assumptions!$H$346,Assumptions!$H$348,$C1020),BD1031))),0)</f>
        <v>0</v>
      </c>
      <c r="BF1031" s="39">
        <f>+IFERROR(-ABS(IF(EDATE(_xlfn.XLOOKUP(1,$H1018:$BE1018,$H$4:$BE$4),12*Assumptions!$H$348+12)=BF$4,0,IF(BE1018=1,PMT(Assumptions!$H$346,Assumptions!$H$348,$C1020),BE1031))),0)</f>
        <v>0</v>
      </c>
      <c r="BG1031" s="39">
        <f>+IFERROR(-ABS(IF(EDATE(_xlfn.XLOOKUP(1,$H1018:$BE1018,$H$4:$BE$4),12*Assumptions!$H$348+12)=BG$4,0,IF(BF1018=1,PMT(Assumptions!$H$346,Assumptions!$H$348,$C1020),BF1031))),0)</f>
        <v>0</v>
      </c>
      <c r="BH1031" s="39">
        <f>+IFERROR(-ABS(IF(EDATE(_xlfn.XLOOKUP(1,$H1018:$BE1018,$H$4:$BE$4),12*Assumptions!$H$348+12)=BH$4,0,IF(BG1018=1,PMT(Assumptions!$H$346,Assumptions!$H$348,$C1020),BG1031))),0)</f>
        <v>0</v>
      </c>
      <c r="BI1031" s="39">
        <f>+IFERROR(-ABS(IF(EDATE(_xlfn.XLOOKUP(1,$H1018:$BE1018,$H$4:$BE$4),12*Assumptions!$H$348+12)=BI$4,0,IF(BH1018=1,PMT(Assumptions!$H$346,Assumptions!$H$348,$C1020),BH1031))),0)</f>
        <v>0</v>
      </c>
      <c r="BJ1031" s="39">
        <f>+IFERROR(-ABS(IF(EDATE(_xlfn.XLOOKUP(1,$H1018:$BE1018,$H$4:$BE$4),12*Assumptions!$H$348+12)=BJ$4,0,IF(BI1018=1,PMT(Assumptions!$H$346,Assumptions!$H$348,$C1020),BI1031))),0)</f>
        <v>0</v>
      </c>
      <c r="BK1031" s="39">
        <f>+IFERROR(-ABS(IF(EDATE(_xlfn.XLOOKUP(1,$H1018:$BE1018,$H$4:$BE$4),12*Assumptions!$H$348+12)=BK$4,0,IF(BJ1018=1,PMT(Assumptions!$H$346,Assumptions!$H$348,$C1020),BJ1031))),0)</f>
        <v>0</v>
      </c>
      <c r="BL1031" s="39">
        <f>+IFERROR(-ABS(IF(EDATE(_xlfn.XLOOKUP(1,$H1018:$BE1018,$H$4:$BE$4),12*Assumptions!$H$348+12)=BL$4,0,IF(BK1018=1,PMT(Assumptions!$H$346,Assumptions!$H$348,$C1020),BK1031))),0)</f>
        <v>0</v>
      </c>
      <c r="BM1031" s="39">
        <f>+IFERROR(-ABS(IF(EDATE(_xlfn.XLOOKUP(1,$H1018:$BE1018,$H$4:$BE$4),12*Assumptions!$H$348+12)=BM$4,0,IF(BL1018=1,PMT(Assumptions!$H$346,Assumptions!$H$348,$C1020),BL1031))),0)</f>
        <v>0</v>
      </c>
      <c r="BN1031" s="39">
        <f>+IFERROR(-ABS(IF(EDATE(_xlfn.XLOOKUP(1,$H1018:$BE1018,$H$4:$BE$4),12*Assumptions!$H$348+12)=BN$4,0,IF(BM1018=1,PMT(Assumptions!$H$346,Assumptions!$H$348,$C1020),BM1031))),0)</f>
        <v>0</v>
      </c>
      <c r="BO1031" s="39">
        <f>+IFERROR(-ABS(IF(EDATE(_xlfn.XLOOKUP(1,$H1018:$BE1018,$H$4:$BE$4),12*Assumptions!$H$348+12)=BO$4,0,IF(BN1018=1,PMT(Assumptions!$H$346,Assumptions!$H$348,$C1020),BN1031))),0)</f>
        <v>0</v>
      </c>
      <c r="BP1031" s="39">
        <f>+IFERROR(-ABS(IF(EDATE(_xlfn.XLOOKUP(1,$H1018:$BE1018,$H$4:$BE$4),12*Assumptions!$H$348+12)=BP$4,0,IF(BO1018=1,PMT(Assumptions!$H$346,Assumptions!$H$348,$C1020),BO1031))),0)</f>
        <v>0</v>
      </c>
      <c r="BQ1031" s="39">
        <f>+IFERROR(-ABS(IF(EDATE(_xlfn.XLOOKUP(1,$H1018:$BE1018,$H$4:$BE$4),12*Assumptions!$H$348+12)=BQ$4,0,IF(BP1018=1,PMT(Assumptions!$H$346,Assumptions!$H$348,$C1020),BP1031))),0)</f>
        <v>0</v>
      </c>
      <c r="BR1031" s="39">
        <f>+IFERROR(-ABS(IF(EDATE(_xlfn.XLOOKUP(1,$H1018:$BE1018,$H$4:$BE$4),12*Assumptions!$H$348+12)=BR$4,0,IF(BQ1018=1,PMT(Assumptions!$H$346,Assumptions!$H$348,$C1020),BQ1031))),0)</f>
        <v>0</v>
      </c>
      <c r="BS1031" s="39">
        <f>+IFERROR(-ABS(IF(EDATE(_xlfn.XLOOKUP(1,$H1018:$BE1018,$H$4:$BE$4),12*Assumptions!$H$348+12)=BS$4,0,IF(BR1018=1,PMT(Assumptions!$H$346,Assumptions!$H$348,$C1020),BR1031))),0)</f>
        <v>0</v>
      </c>
      <c r="BT1031" s="39">
        <f>+IFERROR(-ABS(IF(EDATE(_xlfn.XLOOKUP(1,$H1018:$BE1018,$H$4:$BE$4),12*Assumptions!$H$348+12)=BT$4,0,IF(BS1018=1,PMT(Assumptions!$H$346,Assumptions!$H$348,$C1020),BS1031))),0)</f>
        <v>0</v>
      </c>
      <c r="BU1031" s="39">
        <f>+IFERROR(-ABS(IF(EDATE(_xlfn.XLOOKUP(1,$H1018:$BE1018,$H$4:$BE$4),12*Assumptions!$H$348+12)=BU$4,0,IF(BT1018=1,PMT(Assumptions!$H$346,Assumptions!$H$348,$C1020),BT1031))),0)</f>
        <v>0</v>
      </c>
      <c r="BV1031" s="39">
        <f>+IFERROR(-ABS(IF(EDATE(_xlfn.XLOOKUP(1,$H1018:$BE1018,$H$4:$BE$4),12*Assumptions!$H$348+12)=BV$4,0,IF(BU1018=1,PMT(Assumptions!$H$346,Assumptions!$H$348,$C1020),BU1031))),0)</f>
        <v>0</v>
      </c>
      <c r="BW1031" s="39">
        <f>+IFERROR(-ABS(IF(EDATE(_xlfn.XLOOKUP(1,$H1018:$BE1018,$H$4:$BE$4),12*Assumptions!$H$348+12)=BW$4,0,IF(BV1018=1,PMT(Assumptions!$H$346,Assumptions!$H$348,$C1020),BV1031))),0)</f>
        <v>0</v>
      </c>
      <c r="BX1031" s="39">
        <f>+IFERROR(-ABS(IF(EDATE(_xlfn.XLOOKUP(1,$H1018:$BE1018,$H$4:$BE$4),12*Assumptions!$H$348+12)=BX$4,0,IF(BW1018=1,PMT(Assumptions!$H$346,Assumptions!$H$348,$C1020),BW1031))),0)</f>
        <v>0</v>
      </c>
      <c r="BY1031" s="39">
        <f>+IFERROR(-ABS(IF(EDATE(_xlfn.XLOOKUP(1,$H1018:$BE1018,$H$4:$BE$4),12*Assumptions!$H$348+12)=BY$4,0,IF(BX1018=1,PMT(Assumptions!$H$346,Assumptions!$H$348,$C1020),BX1031))),0)</f>
        <v>0</v>
      </c>
    </row>
    <row r="1032" spans="5:77" outlineLevel="1">
      <c r="E1032" s="24" t="s">
        <v>518</v>
      </c>
      <c r="F1032" s="80" t="str">
        <f>+Assumptions!$G$8</f>
        <v>USD</v>
      </c>
      <c r="G1032" s="24"/>
      <c r="H1032" s="39">
        <f>+IFERROR(-ABS(IF(EDATE(_xlfn.XLOOKUP(1,$H1019:$BE1019,$H$4:$BE$4),12*Assumptions!$H$348+12)=H$4,0,IF(G1019=1,PMT(Assumptions!$H$346,Assumptions!$H$348,$C1021),G1032))),0)</f>
        <v>0</v>
      </c>
      <c r="I1032" s="39">
        <f>+IFERROR(-ABS(IF(EDATE(_xlfn.XLOOKUP(1,$H1019:$BE1019,$H$4:$BE$4),12*Assumptions!$H$348+12)=I$4,0,IF(H1019=1,PMT(Assumptions!$H$346,Assumptions!$H$348,$C1021),H1032))),0)</f>
        <v>0</v>
      </c>
      <c r="J1032" s="39">
        <f>+IFERROR(-ABS(IF(EDATE(_xlfn.XLOOKUP(1,$H1019:$BE1019,$H$4:$BE$4),12*Assumptions!$H$348+12)=J$4,0,IF(I1019=1,PMT(Assumptions!$H$346,Assumptions!$H$348,$C1021),I1032))),0)</f>
        <v>0</v>
      </c>
      <c r="K1032" s="39">
        <f>+IFERROR(-ABS(IF(EDATE(_xlfn.XLOOKUP(1,$H1019:$BE1019,$H$4:$BE$4),12*Assumptions!$H$348+12)=K$4,0,IF(J1019=1,PMT(Assumptions!$H$346,Assumptions!$H$348,$C1021),J1032))),0)</f>
        <v>0</v>
      </c>
      <c r="L1032" s="39">
        <f>+IFERROR(-ABS(IF(EDATE(_xlfn.XLOOKUP(1,$H1019:$BE1019,$H$4:$BE$4),12*Assumptions!$H$348+12)=L$4,0,IF(K1019=1,PMT(Assumptions!$H$346,Assumptions!$H$348,$C1021),K1032))),0)</f>
        <v>0</v>
      </c>
      <c r="M1032" s="39">
        <f>+IFERROR(-ABS(IF(EDATE(_xlfn.XLOOKUP(1,$H1019:$BE1019,$H$4:$BE$4),12*Assumptions!$H$348+12)=M$4,0,IF(L1019=1,PMT(Assumptions!$H$346,Assumptions!$H$348,$C1021),L1032))),0)</f>
        <v>0</v>
      </c>
      <c r="N1032" s="39">
        <f>+IFERROR(-ABS(IF(EDATE(_xlfn.XLOOKUP(1,$H1019:$BE1019,$H$4:$BE$4),12*Assumptions!$H$348+12)=N$4,0,IF(M1019=1,PMT(Assumptions!$H$346,Assumptions!$H$348,$C1021),M1032))),0)</f>
        <v>0</v>
      </c>
      <c r="O1032" s="39">
        <f>+IFERROR(-ABS(IF(EDATE(_xlfn.XLOOKUP(1,$H1019:$BE1019,$H$4:$BE$4),12*Assumptions!$H$348+12)=O$4,0,IF(N1019=1,PMT(Assumptions!$H$346,Assumptions!$H$348,$C1021),N1032))),0)</f>
        <v>0</v>
      </c>
      <c r="P1032" s="39">
        <f>+IFERROR(-ABS(IF(EDATE(_xlfn.XLOOKUP(1,$H1019:$BE1019,$H$4:$BE$4),12*Assumptions!$H$348+12)=P$4,0,IF(O1019=1,PMT(Assumptions!$H$346,Assumptions!$H$348,$C1021),O1032))),0)</f>
        <v>0</v>
      </c>
      <c r="Q1032" s="39">
        <f>+IFERROR(-ABS(IF(EDATE(_xlfn.XLOOKUP(1,$H1019:$BE1019,$H$4:$BE$4),12*Assumptions!$H$348+12)=Q$4,0,IF(P1019=1,PMT(Assumptions!$H$346,Assumptions!$H$348,$C1021),P1032))),0)</f>
        <v>0</v>
      </c>
      <c r="R1032" s="39">
        <f>+IFERROR(-ABS(IF(EDATE(_xlfn.XLOOKUP(1,$H1019:$BE1019,$H$4:$BE$4),12*Assumptions!$H$348+12)=R$4,0,IF(Q1019=1,PMT(Assumptions!$H$346,Assumptions!$H$348,$C1021),Q1032))),0)</f>
        <v>0</v>
      </c>
      <c r="S1032" s="39">
        <f>+IFERROR(-ABS(IF(EDATE(_xlfn.XLOOKUP(1,$H1019:$BE1019,$H$4:$BE$4),12*Assumptions!$H$348+12)=S$4,0,IF(R1019=1,PMT(Assumptions!$H$346,Assumptions!$H$348,$C1021),R1032))),0)</f>
        <v>0</v>
      </c>
      <c r="T1032" s="39">
        <f>+IFERROR(-ABS(IF(EDATE(_xlfn.XLOOKUP(1,$H1019:$BE1019,$H$4:$BE$4),12*Assumptions!$H$348+12)=T$4,0,IF(S1019=1,PMT(Assumptions!$H$346,Assumptions!$H$348,$C1021),S1032))),0)</f>
        <v>0</v>
      </c>
      <c r="U1032" s="39">
        <f>+IFERROR(-ABS(IF(EDATE(_xlfn.XLOOKUP(1,$H1019:$BE1019,$H$4:$BE$4),12*Assumptions!$H$348+12)=U$4,0,IF(T1019=1,PMT(Assumptions!$H$346,Assumptions!$H$348,$C1021),T1032))),0)</f>
        <v>0</v>
      </c>
      <c r="V1032" s="39">
        <f>+IFERROR(-ABS(IF(EDATE(_xlfn.XLOOKUP(1,$H1019:$BE1019,$H$4:$BE$4),12*Assumptions!$H$348+12)=V$4,0,IF(U1019=1,PMT(Assumptions!$H$346,Assumptions!$H$348,$C1021),U1032))),0)</f>
        <v>0</v>
      </c>
      <c r="W1032" s="39">
        <f>+IFERROR(-ABS(IF(EDATE(_xlfn.XLOOKUP(1,$H1019:$BE1019,$H$4:$BE$4),12*Assumptions!$H$348+12)=W$4,0,IF(V1019=1,PMT(Assumptions!$H$346,Assumptions!$H$348,$C1021),V1032))),0)</f>
        <v>0</v>
      </c>
      <c r="X1032" s="39">
        <f>+IFERROR(-ABS(IF(EDATE(_xlfn.XLOOKUP(1,$H1019:$BE1019,$H$4:$BE$4),12*Assumptions!$H$348+12)=X$4,0,IF(W1019=1,PMT(Assumptions!$H$346,Assumptions!$H$348,$C1021),W1032))),0)</f>
        <v>0</v>
      </c>
      <c r="Y1032" s="39">
        <f>+IFERROR(-ABS(IF(EDATE(_xlfn.XLOOKUP(1,$H1019:$BE1019,$H$4:$BE$4),12*Assumptions!$H$348+12)=Y$4,0,IF(X1019=1,PMT(Assumptions!$H$346,Assumptions!$H$348,$C1021),X1032))),0)</f>
        <v>0</v>
      </c>
      <c r="Z1032" s="39">
        <f>+IFERROR(-ABS(IF(EDATE(_xlfn.XLOOKUP(1,$H1019:$BE1019,$H$4:$BE$4),12*Assumptions!$H$348+12)=Z$4,0,IF(Y1019=1,PMT(Assumptions!$H$346,Assumptions!$H$348,$C1021),Y1032))),0)</f>
        <v>0</v>
      </c>
      <c r="AA1032" s="39">
        <f>+IFERROR(-ABS(IF(EDATE(_xlfn.XLOOKUP(1,$H1019:$BE1019,$H$4:$BE$4),12*Assumptions!$H$348+12)=AA$4,0,IF(Z1019=1,PMT(Assumptions!$H$346,Assumptions!$H$348,$C1021),Z1032))),0)</f>
        <v>0</v>
      </c>
      <c r="AB1032" s="39">
        <f>+IFERROR(-ABS(IF(EDATE(_xlfn.XLOOKUP(1,$H1019:$BE1019,$H$4:$BE$4),12*Assumptions!$H$348+12)=AB$4,0,IF(AA1019=1,PMT(Assumptions!$H$346,Assumptions!$H$348,$C1021),AA1032))),0)</f>
        <v>0</v>
      </c>
      <c r="AC1032" s="39">
        <f>+IFERROR(-ABS(IF(EDATE(_xlfn.XLOOKUP(1,$H1019:$BE1019,$H$4:$BE$4),12*Assumptions!$H$348+12)=AC$4,0,IF(AB1019=1,PMT(Assumptions!$H$346,Assumptions!$H$348,$C1021),AB1032))),0)</f>
        <v>0</v>
      </c>
      <c r="AD1032" s="39">
        <f>+IFERROR(-ABS(IF(EDATE(_xlfn.XLOOKUP(1,$H1019:$BE1019,$H$4:$BE$4),12*Assumptions!$H$348+12)=AD$4,0,IF(AC1019=1,PMT(Assumptions!$H$346,Assumptions!$H$348,$C1021),AC1032))),0)</f>
        <v>0</v>
      </c>
      <c r="AE1032" s="39">
        <f>+IFERROR(-ABS(IF(EDATE(_xlfn.XLOOKUP(1,$H1019:$BE1019,$H$4:$BE$4),12*Assumptions!$H$348+12)=AE$4,0,IF(AD1019=1,PMT(Assumptions!$H$346,Assumptions!$H$348,$C1021),AD1032))),0)</f>
        <v>0</v>
      </c>
      <c r="AF1032" s="39">
        <f>+IFERROR(-ABS(IF(EDATE(_xlfn.XLOOKUP(1,$H1019:$BE1019,$H$4:$BE$4),12*Assumptions!$H$348+12)=AF$4,0,IF(AE1019=1,PMT(Assumptions!$H$346,Assumptions!$H$348,$C1021),AE1032))),0)</f>
        <v>0</v>
      </c>
      <c r="AG1032" s="39">
        <f>+IFERROR(-ABS(IF(EDATE(_xlfn.XLOOKUP(1,$H1019:$BE1019,$H$4:$BE$4),12*Assumptions!$H$348+12)=AG$4,0,IF(AF1019=1,PMT(Assumptions!$H$346,Assumptions!$H$348,$C1021),AF1032))),0)</f>
        <v>0</v>
      </c>
      <c r="AH1032" s="39">
        <f>+IFERROR(-ABS(IF(EDATE(_xlfn.XLOOKUP(1,$H1019:$BE1019,$H$4:$BE$4),12*Assumptions!$H$348+12)=AH$4,0,IF(AG1019=1,PMT(Assumptions!$H$346,Assumptions!$H$348,$C1021),AG1032))),0)</f>
        <v>0</v>
      </c>
      <c r="AI1032" s="39">
        <f>+IFERROR(-ABS(IF(EDATE(_xlfn.XLOOKUP(1,$H1019:$BE1019,$H$4:$BE$4),12*Assumptions!$H$348+12)=AI$4,0,IF(AH1019=1,PMT(Assumptions!$H$346,Assumptions!$H$348,$C1021),AH1032))),0)</f>
        <v>0</v>
      </c>
      <c r="AJ1032" s="39">
        <f>+IFERROR(-ABS(IF(EDATE(_xlfn.XLOOKUP(1,$H1019:$BE1019,$H$4:$BE$4),12*Assumptions!$H$348+12)=AJ$4,0,IF(AI1019=1,PMT(Assumptions!$H$346,Assumptions!$H$348,$C1021),AI1032))),0)</f>
        <v>0</v>
      </c>
      <c r="AK1032" s="39">
        <f>+IFERROR(-ABS(IF(EDATE(_xlfn.XLOOKUP(1,$H1019:$BE1019,$H$4:$BE$4),12*Assumptions!$H$348+12)=AK$4,0,IF(AJ1019=1,PMT(Assumptions!$H$346,Assumptions!$H$348,$C1021),AJ1032))),0)</f>
        <v>0</v>
      </c>
      <c r="AL1032" s="39">
        <f>+IFERROR(-ABS(IF(EDATE(_xlfn.XLOOKUP(1,$H1019:$BE1019,$H$4:$BE$4),12*Assumptions!$H$348+12)=AL$4,0,IF(AK1019=1,PMT(Assumptions!$H$346,Assumptions!$H$348,$C1021),AK1032))),0)</f>
        <v>0</v>
      </c>
      <c r="AM1032" s="39">
        <f>+IFERROR(-ABS(IF(EDATE(_xlfn.XLOOKUP(1,$H1019:$BE1019,$H$4:$BE$4),12*Assumptions!$H$348+12)=AM$4,0,IF(AL1019=1,PMT(Assumptions!$H$346,Assumptions!$H$348,$C1021),AL1032))),0)</f>
        <v>0</v>
      </c>
      <c r="AN1032" s="39">
        <f>+IFERROR(-ABS(IF(EDATE(_xlfn.XLOOKUP(1,$H1019:$BE1019,$H$4:$BE$4),12*Assumptions!$H$348+12)=AN$4,0,IF(AM1019=1,PMT(Assumptions!$H$346,Assumptions!$H$348,$C1021),AM1032))),0)</f>
        <v>0</v>
      </c>
      <c r="AO1032" s="39">
        <f>+IFERROR(-ABS(IF(EDATE(_xlfn.XLOOKUP(1,$H1019:$BE1019,$H$4:$BE$4),12*Assumptions!$H$348+12)=AO$4,0,IF(AN1019=1,PMT(Assumptions!$H$346,Assumptions!$H$348,$C1021),AN1032))),0)</f>
        <v>0</v>
      </c>
      <c r="AP1032" s="39">
        <f>+IFERROR(-ABS(IF(EDATE(_xlfn.XLOOKUP(1,$H1019:$BE1019,$H$4:$BE$4),12*Assumptions!$H$348+12)=AP$4,0,IF(AO1019=1,PMT(Assumptions!$H$346,Assumptions!$H$348,$C1021),AO1032))),0)</f>
        <v>0</v>
      </c>
      <c r="AQ1032" s="39">
        <f>+IFERROR(-ABS(IF(EDATE(_xlfn.XLOOKUP(1,$H1019:$BE1019,$H$4:$BE$4),12*Assumptions!$H$348+12)=AQ$4,0,IF(AP1019=1,PMT(Assumptions!$H$346,Assumptions!$H$348,$C1021),AP1032))),0)</f>
        <v>0</v>
      </c>
      <c r="AR1032" s="39">
        <f>+IFERROR(-ABS(IF(EDATE(_xlfn.XLOOKUP(1,$H1019:$BE1019,$H$4:$BE$4),12*Assumptions!$H$348+12)=AR$4,0,IF(AQ1019=1,PMT(Assumptions!$H$346,Assumptions!$H$348,$C1021),AQ1032))),0)</f>
        <v>0</v>
      </c>
      <c r="AS1032" s="39">
        <f>+IFERROR(-ABS(IF(EDATE(_xlfn.XLOOKUP(1,$H1019:$BE1019,$H$4:$BE$4),12*Assumptions!$H$348+12)=AS$4,0,IF(AR1019=1,PMT(Assumptions!$H$346,Assumptions!$H$348,$C1021),AR1032))),0)</f>
        <v>0</v>
      </c>
      <c r="AT1032" s="39">
        <f>+IFERROR(-ABS(IF(EDATE(_xlfn.XLOOKUP(1,$H1019:$BE1019,$H$4:$BE$4),12*Assumptions!$H$348+12)=AT$4,0,IF(AS1019=1,PMT(Assumptions!$H$346,Assumptions!$H$348,$C1021),AS1032))),0)</f>
        <v>0</v>
      </c>
      <c r="AU1032" s="39">
        <f>+IFERROR(-ABS(IF(EDATE(_xlfn.XLOOKUP(1,$H1019:$BE1019,$H$4:$BE$4),12*Assumptions!$H$348+12)=AU$4,0,IF(AT1019=1,PMT(Assumptions!$H$346,Assumptions!$H$348,$C1021),AT1032))),0)</f>
        <v>0</v>
      </c>
      <c r="AV1032" s="39">
        <f>+IFERROR(-ABS(IF(EDATE(_xlfn.XLOOKUP(1,$H1019:$BE1019,$H$4:$BE$4),12*Assumptions!$H$348+12)=AV$4,0,IF(AU1019=1,PMT(Assumptions!$H$346,Assumptions!$H$348,$C1021),AU1032))),0)</f>
        <v>0</v>
      </c>
      <c r="AW1032" s="39">
        <f>+IFERROR(-ABS(IF(EDATE(_xlfn.XLOOKUP(1,$H1019:$BE1019,$H$4:$BE$4),12*Assumptions!$H$348+12)=AW$4,0,IF(AV1019=1,PMT(Assumptions!$H$346,Assumptions!$H$348,$C1021),AV1032))),0)</f>
        <v>0</v>
      </c>
      <c r="AX1032" s="39">
        <f>+IFERROR(-ABS(IF(EDATE(_xlfn.XLOOKUP(1,$H1019:$BE1019,$H$4:$BE$4),12*Assumptions!$H$348+12)=AX$4,0,IF(AW1019=1,PMT(Assumptions!$H$346,Assumptions!$H$348,$C1021),AW1032))),0)</f>
        <v>0</v>
      </c>
      <c r="AY1032" s="39">
        <f>+IFERROR(-ABS(IF(EDATE(_xlfn.XLOOKUP(1,$H1019:$BE1019,$H$4:$BE$4),12*Assumptions!$H$348+12)=AY$4,0,IF(AX1019=1,PMT(Assumptions!$H$346,Assumptions!$H$348,$C1021),AX1032))),0)</f>
        <v>0</v>
      </c>
      <c r="AZ1032" s="39">
        <f>+IFERROR(-ABS(IF(EDATE(_xlfn.XLOOKUP(1,$H1019:$BE1019,$H$4:$BE$4),12*Assumptions!$H$348+12)=AZ$4,0,IF(AY1019=1,PMT(Assumptions!$H$346,Assumptions!$H$348,$C1021),AY1032))),0)</f>
        <v>0</v>
      </c>
      <c r="BA1032" s="39">
        <f>+IFERROR(-ABS(IF(EDATE(_xlfn.XLOOKUP(1,$H1019:$BE1019,$H$4:$BE$4),12*Assumptions!$H$348+12)=BA$4,0,IF(AZ1019=1,PMT(Assumptions!$H$346,Assumptions!$H$348,$C1021),AZ1032))),0)</f>
        <v>0</v>
      </c>
      <c r="BB1032" s="39">
        <f>+IFERROR(-ABS(IF(EDATE(_xlfn.XLOOKUP(1,$H1019:$BE1019,$H$4:$BE$4),12*Assumptions!$H$348+12)=BB$4,0,IF(BA1019=1,PMT(Assumptions!$H$346,Assumptions!$H$348,$C1021),BA1032))),0)</f>
        <v>0</v>
      </c>
      <c r="BC1032" s="39">
        <f>+IFERROR(-ABS(IF(EDATE(_xlfn.XLOOKUP(1,$H1019:$BE1019,$H$4:$BE$4),12*Assumptions!$H$348+12)=BC$4,0,IF(BB1019=1,PMT(Assumptions!$H$346,Assumptions!$H$348,$C1021),BB1032))),0)</f>
        <v>0</v>
      </c>
      <c r="BD1032" s="39">
        <f>+IFERROR(-ABS(IF(EDATE(_xlfn.XLOOKUP(1,$H1019:$BE1019,$H$4:$BE$4),12*Assumptions!$H$348+12)=BD$4,0,IF(BC1019=1,PMT(Assumptions!$H$346,Assumptions!$H$348,$C1021),BC1032))),0)</f>
        <v>0</v>
      </c>
      <c r="BE1032" s="39">
        <f>+IFERROR(-ABS(IF(EDATE(_xlfn.XLOOKUP(1,$H1019:$BE1019,$H$4:$BE$4),12*Assumptions!$H$348+12)=BE$4,0,IF(BD1019=1,PMT(Assumptions!$H$346,Assumptions!$H$348,$C1021),BD1032))),0)</f>
        <v>0</v>
      </c>
      <c r="BF1032" s="39">
        <f>+IFERROR(-ABS(IF(EDATE(_xlfn.XLOOKUP(1,$H1019:$BE1019,$H$4:$BE$4),12*Assumptions!$H$348+12)=BF$4,0,IF(BE1019=1,PMT(Assumptions!$H$346,Assumptions!$H$348,$C1021),BE1032))),0)</f>
        <v>0</v>
      </c>
      <c r="BG1032" s="39">
        <f>+IFERROR(-ABS(IF(EDATE(_xlfn.XLOOKUP(1,$H1019:$BE1019,$H$4:$BE$4),12*Assumptions!$H$348+12)=BG$4,0,IF(BF1019=1,PMT(Assumptions!$H$346,Assumptions!$H$348,$C1021),BF1032))),0)</f>
        <v>0</v>
      </c>
      <c r="BH1032" s="39">
        <f>+IFERROR(-ABS(IF(EDATE(_xlfn.XLOOKUP(1,$H1019:$BE1019,$H$4:$BE$4),12*Assumptions!$H$348+12)=BH$4,0,IF(BG1019=1,PMT(Assumptions!$H$346,Assumptions!$H$348,$C1021),BG1032))),0)</f>
        <v>0</v>
      </c>
      <c r="BI1032" s="39">
        <f>+IFERROR(-ABS(IF(EDATE(_xlfn.XLOOKUP(1,$H1019:$BE1019,$H$4:$BE$4),12*Assumptions!$H$348+12)=BI$4,0,IF(BH1019=1,PMT(Assumptions!$H$346,Assumptions!$H$348,$C1021),BH1032))),0)</f>
        <v>0</v>
      </c>
      <c r="BJ1032" s="39">
        <f>+IFERROR(-ABS(IF(EDATE(_xlfn.XLOOKUP(1,$H1019:$BE1019,$H$4:$BE$4),12*Assumptions!$H$348+12)=BJ$4,0,IF(BI1019=1,PMT(Assumptions!$H$346,Assumptions!$H$348,$C1021),BI1032))),0)</f>
        <v>0</v>
      </c>
      <c r="BK1032" s="39">
        <f>+IFERROR(-ABS(IF(EDATE(_xlfn.XLOOKUP(1,$H1019:$BE1019,$H$4:$BE$4),12*Assumptions!$H$348+12)=BK$4,0,IF(BJ1019=1,PMT(Assumptions!$H$346,Assumptions!$H$348,$C1021),BJ1032))),0)</f>
        <v>0</v>
      </c>
      <c r="BL1032" s="39">
        <f>+IFERROR(-ABS(IF(EDATE(_xlfn.XLOOKUP(1,$H1019:$BE1019,$H$4:$BE$4),12*Assumptions!$H$348+12)=BL$4,0,IF(BK1019=1,PMT(Assumptions!$H$346,Assumptions!$H$348,$C1021),BK1032))),0)</f>
        <v>0</v>
      </c>
      <c r="BM1032" s="39">
        <f>+IFERROR(-ABS(IF(EDATE(_xlfn.XLOOKUP(1,$H1019:$BE1019,$H$4:$BE$4),12*Assumptions!$H$348+12)=BM$4,0,IF(BL1019=1,PMT(Assumptions!$H$346,Assumptions!$H$348,$C1021),BL1032))),0)</f>
        <v>0</v>
      </c>
      <c r="BN1032" s="39">
        <f>+IFERROR(-ABS(IF(EDATE(_xlfn.XLOOKUP(1,$H1019:$BE1019,$H$4:$BE$4),12*Assumptions!$H$348+12)=BN$4,0,IF(BM1019=1,PMT(Assumptions!$H$346,Assumptions!$H$348,$C1021),BM1032))),0)</f>
        <v>0</v>
      </c>
      <c r="BO1032" s="39">
        <f>+IFERROR(-ABS(IF(EDATE(_xlfn.XLOOKUP(1,$H1019:$BE1019,$H$4:$BE$4),12*Assumptions!$H$348+12)=BO$4,0,IF(BN1019=1,PMT(Assumptions!$H$346,Assumptions!$H$348,$C1021),BN1032))),0)</f>
        <v>0</v>
      </c>
      <c r="BP1032" s="39">
        <f>+IFERROR(-ABS(IF(EDATE(_xlfn.XLOOKUP(1,$H1019:$BE1019,$H$4:$BE$4),12*Assumptions!$H$348+12)=BP$4,0,IF(BO1019=1,PMT(Assumptions!$H$346,Assumptions!$H$348,$C1021),BO1032))),0)</f>
        <v>0</v>
      </c>
      <c r="BQ1032" s="39">
        <f>+IFERROR(-ABS(IF(EDATE(_xlfn.XLOOKUP(1,$H1019:$BE1019,$H$4:$BE$4),12*Assumptions!$H$348+12)=BQ$4,0,IF(BP1019=1,PMT(Assumptions!$H$346,Assumptions!$H$348,$C1021),BP1032))),0)</f>
        <v>0</v>
      </c>
      <c r="BR1032" s="39">
        <f>+IFERROR(-ABS(IF(EDATE(_xlfn.XLOOKUP(1,$H1019:$BE1019,$H$4:$BE$4),12*Assumptions!$H$348+12)=BR$4,0,IF(BQ1019=1,PMT(Assumptions!$H$346,Assumptions!$H$348,$C1021),BQ1032))),0)</f>
        <v>0</v>
      </c>
      <c r="BS1032" s="39">
        <f>+IFERROR(-ABS(IF(EDATE(_xlfn.XLOOKUP(1,$H1019:$BE1019,$H$4:$BE$4),12*Assumptions!$H$348+12)=BS$4,0,IF(BR1019=1,PMT(Assumptions!$H$346,Assumptions!$H$348,$C1021),BR1032))),0)</f>
        <v>0</v>
      </c>
      <c r="BT1032" s="39">
        <f>+IFERROR(-ABS(IF(EDATE(_xlfn.XLOOKUP(1,$H1019:$BE1019,$H$4:$BE$4),12*Assumptions!$H$348+12)=BT$4,0,IF(BS1019=1,PMT(Assumptions!$H$346,Assumptions!$H$348,$C1021),BS1032))),0)</f>
        <v>0</v>
      </c>
      <c r="BU1032" s="39">
        <f>+IFERROR(-ABS(IF(EDATE(_xlfn.XLOOKUP(1,$H1019:$BE1019,$H$4:$BE$4),12*Assumptions!$H$348+12)=BU$4,0,IF(BT1019=1,PMT(Assumptions!$H$346,Assumptions!$H$348,$C1021),BT1032))),0)</f>
        <v>0</v>
      </c>
      <c r="BV1032" s="39">
        <f>+IFERROR(-ABS(IF(EDATE(_xlfn.XLOOKUP(1,$H1019:$BE1019,$H$4:$BE$4),12*Assumptions!$H$348+12)=BV$4,0,IF(BU1019=1,PMT(Assumptions!$H$346,Assumptions!$H$348,$C1021),BU1032))),0)</f>
        <v>0</v>
      </c>
      <c r="BW1032" s="39">
        <f>+IFERROR(-ABS(IF(EDATE(_xlfn.XLOOKUP(1,$H1019:$BE1019,$H$4:$BE$4),12*Assumptions!$H$348+12)=BW$4,0,IF(BV1019=1,PMT(Assumptions!$H$346,Assumptions!$H$348,$C1021),BV1032))),0)</f>
        <v>0</v>
      </c>
      <c r="BX1032" s="39">
        <f>+IFERROR(-ABS(IF(EDATE(_xlfn.XLOOKUP(1,$H1019:$BE1019,$H$4:$BE$4),12*Assumptions!$H$348+12)=BX$4,0,IF(BW1019=1,PMT(Assumptions!$H$346,Assumptions!$H$348,$C1021),BW1032))),0)</f>
        <v>0</v>
      </c>
      <c r="BY1032" s="39">
        <f>+IFERROR(-ABS(IF(EDATE(_xlfn.XLOOKUP(1,$H1019:$BE1019,$H$4:$BE$4),12*Assumptions!$H$348+12)=BY$4,0,IF(BX1019=1,PMT(Assumptions!$H$346,Assumptions!$H$348,$C1021),BX1032))),0)</f>
        <v>0</v>
      </c>
    </row>
    <row r="1033" spans="5:77" outlineLevel="1">
      <c r="E1033" s="24" t="s">
        <v>519</v>
      </c>
      <c r="F1033" s="80" t="str">
        <f>+Assumptions!$G$8</f>
        <v>USD</v>
      </c>
      <c r="G1033" s="24"/>
      <c r="H1033" s="39">
        <f>+IFERROR(-ABS(IF(EDATE(_xlfn.XLOOKUP(1,$H1020:$BE1020,$H$4:$BE$4),12*Assumptions!$H$348+12)=H$4,0,IF(G1020=1,PMT(Assumptions!$H$346,Assumptions!$H$348,$C1022),G1033))),0)</f>
        <v>0</v>
      </c>
      <c r="I1033" s="39">
        <f>+IFERROR(-ABS(IF(EDATE(_xlfn.XLOOKUP(1,$H1020:$BE1020,$H$4:$BE$4),12*Assumptions!$H$348+12)=I$4,0,IF(H1020=1,PMT(Assumptions!$H$346,Assumptions!$H$348,$C1022),H1033))),0)</f>
        <v>0</v>
      </c>
      <c r="J1033" s="39">
        <f>+IFERROR(-ABS(IF(EDATE(_xlfn.XLOOKUP(1,$H1020:$BE1020,$H$4:$BE$4),12*Assumptions!$H$348+12)=J$4,0,IF(I1020=1,PMT(Assumptions!$H$346,Assumptions!$H$348,$C1022),I1033))),0)</f>
        <v>0</v>
      </c>
      <c r="K1033" s="39">
        <f>+IFERROR(-ABS(IF(EDATE(_xlfn.XLOOKUP(1,$H1020:$BE1020,$H$4:$BE$4),12*Assumptions!$H$348+12)=K$4,0,IF(J1020=1,PMT(Assumptions!$H$346,Assumptions!$H$348,$C1022),J1033))),0)</f>
        <v>0</v>
      </c>
      <c r="L1033" s="39">
        <f>+IFERROR(-ABS(IF(EDATE(_xlfn.XLOOKUP(1,$H1020:$BE1020,$H$4:$BE$4),12*Assumptions!$H$348+12)=L$4,0,IF(K1020=1,PMT(Assumptions!$H$346,Assumptions!$H$348,$C1022),K1033))),0)</f>
        <v>0</v>
      </c>
      <c r="M1033" s="39">
        <f>+IFERROR(-ABS(IF(EDATE(_xlfn.XLOOKUP(1,$H1020:$BE1020,$H$4:$BE$4),12*Assumptions!$H$348+12)=M$4,0,IF(L1020=1,PMT(Assumptions!$H$346,Assumptions!$H$348,$C1022),L1033))),0)</f>
        <v>0</v>
      </c>
      <c r="N1033" s="39">
        <f>+IFERROR(-ABS(IF(EDATE(_xlfn.XLOOKUP(1,$H1020:$BE1020,$H$4:$BE$4),12*Assumptions!$H$348+12)=N$4,0,IF(M1020=1,PMT(Assumptions!$H$346,Assumptions!$H$348,$C1022),M1033))),0)</f>
        <v>0</v>
      </c>
      <c r="O1033" s="39">
        <f>+IFERROR(-ABS(IF(EDATE(_xlfn.XLOOKUP(1,$H1020:$BE1020,$H$4:$BE$4),12*Assumptions!$H$348+12)=O$4,0,IF(N1020=1,PMT(Assumptions!$H$346,Assumptions!$H$348,$C1022),N1033))),0)</f>
        <v>0</v>
      </c>
      <c r="P1033" s="39">
        <f>+IFERROR(-ABS(IF(EDATE(_xlfn.XLOOKUP(1,$H1020:$BE1020,$H$4:$BE$4),12*Assumptions!$H$348+12)=P$4,0,IF(O1020=1,PMT(Assumptions!$H$346,Assumptions!$H$348,$C1022),O1033))),0)</f>
        <v>0</v>
      </c>
      <c r="Q1033" s="39">
        <f>+IFERROR(-ABS(IF(EDATE(_xlfn.XLOOKUP(1,$H1020:$BE1020,$H$4:$BE$4),12*Assumptions!$H$348+12)=Q$4,0,IF(P1020=1,PMT(Assumptions!$H$346,Assumptions!$H$348,$C1022),P1033))),0)</f>
        <v>0</v>
      </c>
      <c r="R1033" s="39">
        <f>+IFERROR(-ABS(IF(EDATE(_xlfn.XLOOKUP(1,$H1020:$BE1020,$H$4:$BE$4),12*Assumptions!$H$348+12)=R$4,0,IF(Q1020=1,PMT(Assumptions!$H$346,Assumptions!$H$348,$C1022),Q1033))),0)</f>
        <v>0</v>
      </c>
      <c r="S1033" s="39">
        <f>+IFERROR(-ABS(IF(EDATE(_xlfn.XLOOKUP(1,$H1020:$BE1020,$H$4:$BE$4),12*Assumptions!$H$348+12)=S$4,0,IF(R1020=1,PMT(Assumptions!$H$346,Assumptions!$H$348,$C1022),R1033))),0)</f>
        <v>0</v>
      </c>
      <c r="T1033" s="39">
        <f>+IFERROR(-ABS(IF(EDATE(_xlfn.XLOOKUP(1,$H1020:$BE1020,$H$4:$BE$4),12*Assumptions!$H$348+12)=T$4,0,IF(S1020=1,PMT(Assumptions!$H$346,Assumptions!$H$348,$C1022),S1033))),0)</f>
        <v>0</v>
      </c>
      <c r="U1033" s="39">
        <f>+IFERROR(-ABS(IF(EDATE(_xlfn.XLOOKUP(1,$H1020:$BE1020,$H$4:$BE$4),12*Assumptions!$H$348+12)=U$4,0,IF(T1020=1,PMT(Assumptions!$H$346,Assumptions!$H$348,$C1022),T1033))),0)</f>
        <v>0</v>
      </c>
      <c r="V1033" s="39">
        <f>+IFERROR(-ABS(IF(EDATE(_xlfn.XLOOKUP(1,$H1020:$BE1020,$H$4:$BE$4),12*Assumptions!$H$348+12)=V$4,0,IF(U1020=1,PMT(Assumptions!$H$346,Assumptions!$H$348,$C1022),U1033))),0)</f>
        <v>0</v>
      </c>
      <c r="W1033" s="39">
        <f>+IFERROR(-ABS(IF(EDATE(_xlfn.XLOOKUP(1,$H1020:$BE1020,$H$4:$BE$4),12*Assumptions!$H$348+12)=W$4,0,IF(V1020=1,PMT(Assumptions!$H$346,Assumptions!$H$348,$C1022),V1033))),0)</f>
        <v>0</v>
      </c>
      <c r="X1033" s="39">
        <f>+IFERROR(-ABS(IF(EDATE(_xlfn.XLOOKUP(1,$H1020:$BE1020,$H$4:$BE$4),12*Assumptions!$H$348+12)=X$4,0,IF(W1020=1,PMT(Assumptions!$H$346,Assumptions!$H$348,$C1022),W1033))),0)</f>
        <v>0</v>
      </c>
      <c r="Y1033" s="39">
        <f>+IFERROR(-ABS(IF(EDATE(_xlfn.XLOOKUP(1,$H1020:$BE1020,$H$4:$BE$4),12*Assumptions!$H$348+12)=Y$4,0,IF(X1020=1,PMT(Assumptions!$H$346,Assumptions!$H$348,$C1022),X1033))),0)</f>
        <v>0</v>
      </c>
      <c r="Z1033" s="39">
        <f>+IFERROR(-ABS(IF(EDATE(_xlfn.XLOOKUP(1,$H1020:$BE1020,$H$4:$BE$4),12*Assumptions!$H$348+12)=Z$4,0,IF(Y1020=1,PMT(Assumptions!$H$346,Assumptions!$H$348,$C1022),Y1033))),0)</f>
        <v>0</v>
      </c>
      <c r="AA1033" s="39">
        <f>+IFERROR(-ABS(IF(EDATE(_xlfn.XLOOKUP(1,$H1020:$BE1020,$H$4:$BE$4),12*Assumptions!$H$348+12)=AA$4,0,IF(Z1020=1,PMT(Assumptions!$H$346,Assumptions!$H$348,$C1022),Z1033))),0)</f>
        <v>0</v>
      </c>
      <c r="AB1033" s="39">
        <f>+IFERROR(-ABS(IF(EDATE(_xlfn.XLOOKUP(1,$H1020:$BE1020,$H$4:$BE$4),12*Assumptions!$H$348+12)=AB$4,0,IF(AA1020=1,PMT(Assumptions!$H$346,Assumptions!$H$348,$C1022),AA1033))),0)</f>
        <v>0</v>
      </c>
      <c r="AC1033" s="39">
        <f>+IFERROR(-ABS(IF(EDATE(_xlfn.XLOOKUP(1,$H1020:$BE1020,$H$4:$BE$4),12*Assumptions!$H$348+12)=AC$4,0,IF(AB1020=1,PMT(Assumptions!$H$346,Assumptions!$H$348,$C1022),AB1033))),0)</f>
        <v>0</v>
      </c>
      <c r="AD1033" s="39">
        <f>+IFERROR(-ABS(IF(EDATE(_xlfn.XLOOKUP(1,$H1020:$BE1020,$H$4:$BE$4),12*Assumptions!$H$348+12)=AD$4,0,IF(AC1020=1,PMT(Assumptions!$H$346,Assumptions!$H$348,$C1022),AC1033))),0)</f>
        <v>0</v>
      </c>
      <c r="AE1033" s="39">
        <f>+IFERROR(-ABS(IF(EDATE(_xlfn.XLOOKUP(1,$H1020:$BE1020,$H$4:$BE$4),12*Assumptions!$H$348+12)=AE$4,0,IF(AD1020=1,PMT(Assumptions!$H$346,Assumptions!$H$348,$C1022),AD1033))),0)</f>
        <v>0</v>
      </c>
      <c r="AF1033" s="39">
        <f>+IFERROR(-ABS(IF(EDATE(_xlfn.XLOOKUP(1,$H1020:$BE1020,$H$4:$BE$4),12*Assumptions!$H$348+12)=AF$4,0,IF(AE1020=1,PMT(Assumptions!$H$346,Assumptions!$H$348,$C1022),AE1033))),0)</f>
        <v>0</v>
      </c>
      <c r="AG1033" s="39">
        <f>+IFERROR(-ABS(IF(EDATE(_xlfn.XLOOKUP(1,$H1020:$BE1020,$H$4:$BE$4),12*Assumptions!$H$348+12)=AG$4,0,IF(AF1020=1,PMT(Assumptions!$H$346,Assumptions!$H$348,$C1022),AF1033))),0)</f>
        <v>0</v>
      </c>
      <c r="AH1033" s="39">
        <f>+IFERROR(-ABS(IF(EDATE(_xlfn.XLOOKUP(1,$H1020:$BE1020,$H$4:$BE$4),12*Assumptions!$H$348+12)=AH$4,0,IF(AG1020=1,PMT(Assumptions!$H$346,Assumptions!$H$348,$C1022),AG1033))),0)</f>
        <v>0</v>
      </c>
      <c r="AI1033" s="39">
        <f>+IFERROR(-ABS(IF(EDATE(_xlfn.XLOOKUP(1,$H1020:$BE1020,$H$4:$BE$4),12*Assumptions!$H$348+12)=AI$4,0,IF(AH1020=1,PMT(Assumptions!$H$346,Assumptions!$H$348,$C1022),AH1033))),0)</f>
        <v>0</v>
      </c>
      <c r="AJ1033" s="39">
        <f>+IFERROR(-ABS(IF(EDATE(_xlfn.XLOOKUP(1,$H1020:$BE1020,$H$4:$BE$4),12*Assumptions!$H$348+12)=AJ$4,0,IF(AI1020=1,PMT(Assumptions!$H$346,Assumptions!$H$348,$C1022),AI1033))),0)</f>
        <v>0</v>
      </c>
      <c r="AK1033" s="39">
        <f>+IFERROR(-ABS(IF(EDATE(_xlfn.XLOOKUP(1,$H1020:$BE1020,$H$4:$BE$4),12*Assumptions!$H$348+12)=AK$4,0,IF(AJ1020=1,PMT(Assumptions!$H$346,Assumptions!$H$348,$C1022),AJ1033))),0)</f>
        <v>0</v>
      </c>
      <c r="AL1033" s="39">
        <f>+IFERROR(-ABS(IF(EDATE(_xlfn.XLOOKUP(1,$H1020:$BE1020,$H$4:$BE$4),12*Assumptions!$H$348+12)=AL$4,0,IF(AK1020=1,PMT(Assumptions!$H$346,Assumptions!$H$348,$C1022),AK1033))),0)</f>
        <v>0</v>
      </c>
      <c r="AM1033" s="39">
        <f>+IFERROR(-ABS(IF(EDATE(_xlfn.XLOOKUP(1,$H1020:$BE1020,$H$4:$BE$4),12*Assumptions!$H$348+12)=AM$4,0,IF(AL1020=1,PMT(Assumptions!$H$346,Assumptions!$H$348,$C1022),AL1033))),0)</f>
        <v>0</v>
      </c>
      <c r="AN1033" s="39">
        <f>+IFERROR(-ABS(IF(EDATE(_xlfn.XLOOKUP(1,$H1020:$BE1020,$H$4:$BE$4),12*Assumptions!$H$348+12)=AN$4,0,IF(AM1020=1,PMT(Assumptions!$H$346,Assumptions!$H$348,$C1022),AM1033))),0)</f>
        <v>0</v>
      </c>
      <c r="AO1033" s="39">
        <f>+IFERROR(-ABS(IF(EDATE(_xlfn.XLOOKUP(1,$H1020:$BE1020,$H$4:$BE$4),12*Assumptions!$H$348+12)=AO$4,0,IF(AN1020=1,PMT(Assumptions!$H$346,Assumptions!$H$348,$C1022),AN1033))),0)</f>
        <v>0</v>
      </c>
      <c r="AP1033" s="39">
        <f>+IFERROR(-ABS(IF(EDATE(_xlfn.XLOOKUP(1,$H1020:$BE1020,$H$4:$BE$4),12*Assumptions!$H$348+12)=AP$4,0,IF(AO1020=1,PMT(Assumptions!$H$346,Assumptions!$H$348,$C1022),AO1033))),0)</f>
        <v>0</v>
      </c>
      <c r="AQ1033" s="39">
        <f>+IFERROR(-ABS(IF(EDATE(_xlfn.XLOOKUP(1,$H1020:$BE1020,$H$4:$BE$4),12*Assumptions!$H$348+12)=AQ$4,0,IF(AP1020=1,PMT(Assumptions!$H$346,Assumptions!$H$348,$C1022),AP1033))),0)</f>
        <v>0</v>
      </c>
      <c r="AR1033" s="39">
        <f>+IFERROR(-ABS(IF(EDATE(_xlfn.XLOOKUP(1,$H1020:$BE1020,$H$4:$BE$4),12*Assumptions!$H$348+12)=AR$4,0,IF(AQ1020=1,PMT(Assumptions!$H$346,Assumptions!$H$348,$C1022),AQ1033))),0)</f>
        <v>0</v>
      </c>
      <c r="AS1033" s="39">
        <f>+IFERROR(-ABS(IF(EDATE(_xlfn.XLOOKUP(1,$H1020:$BE1020,$H$4:$BE$4),12*Assumptions!$H$348+12)=AS$4,0,IF(AR1020=1,PMT(Assumptions!$H$346,Assumptions!$H$348,$C1022),AR1033))),0)</f>
        <v>0</v>
      </c>
      <c r="AT1033" s="39">
        <f>+IFERROR(-ABS(IF(EDATE(_xlfn.XLOOKUP(1,$H1020:$BE1020,$H$4:$BE$4),12*Assumptions!$H$348+12)=AT$4,0,IF(AS1020=1,PMT(Assumptions!$H$346,Assumptions!$H$348,$C1022),AS1033))),0)</f>
        <v>0</v>
      </c>
      <c r="AU1033" s="39">
        <f>+IFERROR(-ABS(IF(EDATE(_xlfn.XLOOKUP(1,$H1020:$BE1020,$H$4:$BE$4),12*Assumptions!$H$348+12)=AU$4,0,IF(AT1020=1,PMT(Assumptions!$H$346,Assumptions!$H$348,$C1022),AT1033))),0)</f>
        <v>0</v>
      </c>
      <c r="AV1033" s="39">
        <f>+IFERROR(-ABS(IF(EDATE(_xlfn.XLOOKUP(1,$H1020:$BE1020,$H$4:$BE$4),12*Assumptions!$H$348+12)=AV$4,0,IF(AU1020=1,PMT(Assumptions!$H$346,Assumptions!$H$348,$C1022),AU1033))),0)</f>
        <v>0</v>
      </c>
      <c r="AW1033" s="39">
        <f>+IFERROR(-ABS(IF(EDATE(_xlfn.XLOOKUP(1,$H1020:$BE1020,$H$4:$BE$4),12*Assumptions!$H$348+12)=AW$4,0,IF(AV1020=1,PMT(Assumptions!$H$346,Assumptions!$H$348,$C1022),AV1033))),0)</f>
        <v>0</v>
      </c>
      <c r="AX1033" s="39">
        <f>+IFERROR(-ABS(IF(EDATE(_xlfn.XLOOKUP(1,$H1020:$BE1020,$H$4:$BE$4),12*Assumptions!$H$348+12)=AX$4,0,IF(AW1020=1,PMT(Assumptions!$H$346,Assumptions!$H$348,$C1022),AW1033))),0)</f>
        <v>0</v>
      </c>
      <c r="AY1033" s="39">
        <f>+IFERROR(-ABS(IF(EDATE(_xlfn.XLOOKUP(1,$H1020:$BE1020,$H$4:$BE$4),12*Assumptions!$H$348+12)=AY$4,0,IF(AX1020=1,PMT(Assumptions!$H$346,Assumptions!$H$348,$C1022),AX1033))),0)</f>
        <v>0</v>
      </c>
      <c r="AZ1033" s="39">
        <f>+IFERROR(-ABS(IF(EDATE(_xlfn.XLOOKUP(1,$H1020:$BE1020,$H$4:$BE$4),12*Assumptions!$H$348+12)=AZ$4,0,IF(AY1020=1,PMT(Assumptions!$H$346,Assumptions!$H$348,$C1022),AY1033))),0)</f>
        <v>0</v>
      </c>
      <c r="BA1033" s="39">
        <f>+IFERROR(-ABS(IF(EDATE(_xlfn.XLOOKUP(1,$H1020:$BE1020,$H$4:$BE$4),12*Assumptions!$H$348+12)=BA$4,0,IF(AZ1020=1,PMT(Assumptions!$H$346,Assumptions!$H$348,$C1022),AZ1033))),0)</f>
        <v>0</v>
      </c>
      <c r="BB1033" s="39">
        <f>+IFERROR(-ABS(IF(EDATE(_xlfn.XLOOKUP(1,$H1020:$BE1020,$H$4:$BE$4),12*Assumptions!$H$348+12)=BB$4,0,IF(BA1020=1,PMT(Assumptions!$H$346,Assumptions!$H$348,$C1022),BA1033))),0)</f>
        <v>0</v>
      </c>
      <c r="BC1033" s="39">
        <f>+IFERROR(-ABS(IF(EDATE(_xlfn.XLOOKUP(1,$H1020:$BE1020,$H$4:$BE$4),12*Assumptions!$H$348+12)=BC$4,0,IF(BB1020=1,PMT(Assumptions!$H$346,Assumptions!$H$348,$C1022),BB1033))),0)</f>
        <v>0</v>
      </c>
      <c r="BD1033" s="39">
        <f>+IFERROR(-ABS(IF(EDATE(_xlfn.XLOOKUP(1,$H1020:$BE1020,$H$4:$BE$4),12*Assumptions!$H$348+12)=BD$4,0,IF(BC1020=1,PMT(Assumptions!$H$346,Assumptions!$H$348,$C1022),BC1033))),0)</f>
        <v>0</v>
      </c>
      <c r="BE1033" s="39">
        <f>+IFERROR(-ABS(IF(EDATE(_xlfn.XLOOKUP(1,$H1020:$BE1020,$H$4:$BE$4),12*Assumptions!$H$348+12)=BE$4,0,IF(BD1020=1,PMT(Assumptions!$H$346,Assumptions!$H$348,$C1022),BD1033))),0)</f>
        <v>0</v>
      </c>
      <c r="BF1033" s="39">
        <f>+IFERROR(-ABS(IF(EDATE(_xlfn.XLOOKUP(1,$H1020:$BE1020,$H$4:$BE$4),12*Assumptions!$H$348+12)=BF$4,0,IF(BE1020=1,PMT(Assumptions!$H$346,Assumptions!$H$348,$C1022),BE1033))),0)</f>
        <v>0</v>
      </c>
      <c r="BG1033" s="39">
        <f>+IFERROR(-ABS(IF(EDATE(_xlfn.XLOOKUP(1,$H1020:$BE1020,$H$4:$BE$4),12*Assumptions!$H$348+12)=BG$4,0,IF(BF1020=1,PMT(Assumptions!$H$346,Assumptions!$H$348,$C1022),BF1033))),0)</f>
        <v>0</v>
      </c>
      <c r="BH1033" s="39">
        <f>+IFERROR(-ABS(IF(EDATE(_xlfn.XLOOKUP(1,$H1020:$BE1020,$H$4:$BE$4),12*Assumptions!$H$348+12)=BH$4,0,IF(BG1020=1,PMT(Assumptions!$H$346,Assumptions!$H$348,$C1022),BG1033))),0)</f>
        <v>0</v>
      </c>
      <c r="BI1033" s="39">
        <f>+IFERROR(-ABS(IF(EDATE(_xlfn.XLOOKUP(1,$H1020:$BE1020,$H$4:$BE$4),12*Assumptions!$H$348+12)=BI$4,0,IF(BH1020=1,PMT(Assumptions!$H$346,Assumptions!$H$348,$C1022),BH1033))),0)</f>
        <v>0</v>
      </c>
      <c r="BJ1033" s="39">
        <f>+IFERROR(-ABS(IF(EDATE(_xlfn.XLOOKUP(1,$H1020:$BE1020,$H$4:$BE$4),12*Assumptions!$H$348+12)=BJ$4,0,IF(BI1020=1,PMT(Assumptions!$H$346,Assumptions!$H$348,$C1022),BI1033))),0)</f>
        <v>0</v>
      </c>
      <c r="BK1033" s="39">
        <f>+IFERROR(-ABS(IF(EDATE(_xlfn.XLOOKUP(1,$H1020:$BE1020,$H$4:$BE$4),12*Assumptions!$H$348+12)=BK$4,0,IF(BJ1020=1,PMT(Assumptions!$H$346,Assumptions!$H$348,$C1022),BJ1033))),0)</f>
        <v>0</v>
      </c>
      <c r="BL1033" s="39">
        <f>+IFERROR(-ABS(IF(EDATE(_xlfn.XLOOKUP(1,$H1020:$BE1020,$H$4:$BE$4),12*Assumptions!$H$348+12)=BL$4,0,IF(BK1020=1,PMT(Assumptions!$H$346,Assumptions!$H$348,$C1022),BK1033))),0)</f>
        <v>0</v>
      </c>
      <c r="BM1033" s="39">
        <f>+IFERROR(-ABS(IF(EDATE(_xlfn.XLOOKUP(1,$H1020:$BE1020,$H$4:$BE$4),12*Assumptions!$H$348+12)=BM$4,0,IF(BL1020=1,PMT(Assumptions!$H$346,Assumptions!$H$348,$C1022),BL1033))),0)</f>
        <v>0</v>
      </c>
      <c r="BN1033" s="39">
        <f>+IFERROR(-ABS(IF(EDATE(_xlfn.XLOOKUP(1,$H1020:$BE1020,$H$4:$BE$4),12*Assumptions!$H$348+12)=BN$4,0,IF(BM1020=1,PMT(Assumptions!$H$346,Assumptions!$H$348,$C1022),BM1033))),0)</f>
        <v>0</v>
      </c>
      <c r="BO1033" s="39">
        <f>+IFERROR(-ABS(IF(EDATE(_xlfn.XLOOKUP(1,$H1020:$BE1020,$H$4:$BE$4),12*Assumptions!$H$348+12)=BO$4,0,IF(BN1020=1,PMT(Assumptions!$H$346,Assumptions!$H$348,$C1022),BN1033))),0)</f>
        <v>0</v>
      </c>
      <c r="BP1033" s="39">
        <f>+IFERROR(-ABS(IF(EDATE(_xlfn.XLOOKUP(1,$H1020:$BE1020,$H$4:$BE$4),12*Assumptions!$H$348+12)=BP$4,0,IF(BO1020=1,PMT(Assumptions!$H$346,Assumptions!$H$348,$C1022),BO1033))),0)</f>
        <v>0</v>
      </c>
      <c r="BQ1033" s="39">
        <f>+IFERROR(-ABS(IF(EDATE(_xlfn.XLOOKUP(1,$H1020:$BE1020,$H$4:$BE$4),12*Assumptions!$H$348+12)=BQ$4,0,IF(BP1020=1,PMT(Assumptions!$H$346,Assumptions!$H$348,$C1022),BP1033))),0)</f>
        <v>0</v>
      </c>
      <c r="BR1033" s="39">
        <f>+IFERROR(-ABS(IF(EDATE(_xlfn.XLOOKUP(1,$H1020:$BE1020,$H$4:$BE$4),12*Assumptions!$H$348+12)=BR$4,0,IF(BQ1020=1,PMT(Assumptions!$H$346,Assumptions!$H$348,$C1022),BQ1033))),0)</f>
        <v>0</v>
      </c>
      <c r="BS1033" s="39">
        <f>+IFERROR(-ABS(IF(EDATE(_xlfn.XLOOKUP(1,$H1020:$BE1020,$H$4:$BE$4),12*Assumptions!$H$348+12)=BS$4,0,IF(BR1020=1,PMT(Assumptions!$H$346,Assumptions!$H$348,$C1022),BR1033))),0)</f>
        <v>0</v>
      </c>
      <c r="BT1033" s="39">
        <f>+IFERROR(-ABS(IF(EDATE(_xlfn.XLOOKUP(1,$H1020:$BE1020,$H$4:$BE$4),12*Assumptions!$H$348+12)=BT$4,0,IF(BS1020=1,PMT(Assumptions!$H$346,Assumptions!$H$348,$C1022),BS1033))),0)</f>
        <v>0</v>
      </c>
      <c r="BU1033" s="39">
        <f>+IFERROR(-ABS(IF(EDATE(_xlfn.XLOOKUP(1,$H1020:$BE1020,$H$4:$BE$4),12*Assumptions!$H$348+12)=BU$4,0,IF(BT1020=1,PMT(Assumptions!$H$346,Assumptions!$H$348,$C1022),BT1033))),0)</f>
        <v>0</v>
      </c>
      <c r="BV1033" s="39">
        <f>+IFERROR(-ABS(IF(EDATE(_xlfn.XLOOKUP(1,$H1020:$BE1020,$H$4:$BE$4),12*Assumptions!$H$348+12)=BV$4,0,IF(BU1020=1,PMT(Assumptions!$H$346,Assumptions!$H$348,$C1022),BU1033))),0)</f>
        <v>0</v>
      </c>
      <c r="BW1033" s="39">
        <f>+IFERROR(-ABS(IF(EDATE(_xlfn.XLOOKUP(1,$H1020:$BE1020,$H$4:$BE$4),12*Assumptions!$H$348+12)=BW$4,0,IF(BV1020=1,PMT(Assumptions!$H$346,Assumptions!$H$348,$C1022),BV1033))),0)</f>
        <v>0</v>
      </c>
      <c r="BX1033" s="39">
        <f>+IFERROR(-ABS(IF(EDATE(_xlfn.XLOOKUP(1,$H1020:$BE1020,$H$4:$BE$4),12*Assumptions!$H$348+12)=BX$4,0,IF(BW1020=1,PMT(Assumptions!$H$346,Assumptions!$H$348,$C1022),BW1033))),0)</f>
        <v>0</v>
      </c>
      <c r="BY1033" s="39">
        <f>+IFERROR(-ABS(IF(EDATE(_xlfn.XLOOKUP(1,$H1020:$BE1020,$H$4:$BE$4),12*Assumptions!$H$348+12)=BY$4,0,IF(BX1020=1,PMT(Assumptions!$H$346,Assumptions!$H$348,$C1022),BX1033))),0)</f>
        <v>0</v>
      </c>
    </row>
    <row r="1034" spans="5:77" outlineLevel="1">
      <c r="E1034" s="24" t="s">
        <v>520</v>
      </c>
      <c r="F1034" s="80" t="str">
        <f>+Assumptions!$G$8</f>
        <v>USD</v>
      </c>
      <c r="G1034" s="24"/>
      <c r="H1034" s="39">
        <f>+IFERROR(-ABS(IF(EDATE(_xlfn.XLOOKUP(1,$H1021:$BE1021,$H$4:$BE$4),12*Assumptions!$H$348+12)=H$4,0,IF(G1021=1,PMT(Assumptions!$H$346,Assumptions!$H$348,$C1023),G1034))),0)</f>
        <v>0</v>
      </c>
      <c r="I1034" s="39">
        <f>+IFERROR(-ABS(IF(EDATE(_xlfn.XLOOKUP(1,$H1021:$BE1021,$H$4:$BE$4),12*Assumptions!$H$348+12)=I$4,0,IF(H1021=1,PMT(Assumptions!$H$346,Assumptions!$H$348,$C1023),H1034))),0)</f>
        <v>0</v>
      </c>
      <c r="J1034" s="39">
        <f>+IFERROR(-ABS(IF(EDATE(_xlfn.XLOOKUP(1,$H1021:$BE1021,$H$4:$BE$4),12*Assumptions!$H$348+12)=J$4,0,IF(I1021=1,PMT(Assumptions!$H$346,Assumptions!$H$348,$C1023),I1034))),0)</f>
        <v>0</v>
      </c>
      <c r="K1034" s="39">
        <f>+IFERROR(-ABS(IF(EDATE(_xlfn.XLOOKUP(1,$H1021:$BE1021,$H$4:$BE$4),12*Assumptions!$H$348+12)=K$4,0,IF(J1021=1,PMT(Assumptions!$H$346,Assumptions!$H$348,$C1023),J1034))),0)</f>
        <v>0</v>
      </c>
      <c r="L1034" s="39">
        <f>+IFERROR(-ABS(IF(EDATE(_xlfn.XLOOKUP(1,$H1021:$BE1021,$H$4:$BE$4),12*Assumptions!$H$348+12)=L$4,0,IF(K1021=1,PMT(Assumptions!$H$346,Assumptions!$H$348,$C1023),K1034))),0)</f>
        <v>0</v>
      </c>
      <c r="M1034" s="39">
        <f>+IFERROR(-ABS(IF(EDATE(_xlfn.XLOOKUP(1,$H1021:$BE1021,$H$4:$BE$4),12*Assumptions!$H$348+12)=M$4,0,IF(L1021=1,PMT(Assumptions!$H$346,Assumptions!$H$348,$C1023),L1034))),0)</f>
        <v>0</v>
      </c>
      <c r="N1034" s="39">
        <f>+IFERROR(-ABS(IF(EDATE(_xlfn.XLOOKUP(1,$H1021:$BE1021,$H$4:$BE$4),12*Assumptions!$H$348+12)=N$4,0,IF(M1021=1,PMT(Assumptions!$H$346,Assumptions!$H$348,$C1023),M1034))),0)</f>
        <v>0</v>
      </c>
      <c r="O1034" s="39">
        <f>+IFERROR(-ABS(IF(EDATE(_xlfn.XLOOKUP(1,$H1021:$BE1021,$H$4:$BE$4),12*Assumptions!$H$348+12)=O$4,0,IF(N1021=1,PMT(Assumptions!$H$346,Assumptions!$H$348,$C1023),N1034))),0)</f>
        <v>0</v>
      </c>
      <c r="P1034" s="39">
        <f>+IFERROR(-ABS(IF(EDATE(_xlfn.XLOOKUP(1,$H1021:$BE1021,$H$4:$BE$4),12*Assumptions!$H$348+12)=P$4,0,IF(O1021=1,PMT(Assumptions!$H$346,Assumptions!$H$348,$C1023),O1034))),0)</f>
        <v>0</v>
      </c>
      <c r="Q1034" s="39">
        <f>+IFERROR(-ABS(IF(EDATE(_xlfn.XLOOKUP(1,$H1021:$BE1021,$H$4:$BE$4),12*Assumptions!$H$348+12)=Q$4,0,IF(P1021=1,PMT(Assumptions!$H$346,Assumptions!$H$348,$C1023),P1034))),0)</f>
        <v>0</v>
      </c>
      <c r="R1034" s="39">
        <f>+IFERROR(-ABS(IF(EDATE(_xlfn.XLOOKUP(1,$H1021:$BE1021,$H$4:$BE$4),12*Assumptions!$H$348+12)=R$4,0,IF(Q1021=1,PMT(Assumptions!$H$346,Assumptions!$H$348,$C1023),Q1034))),0)</f>
        <v>0</v>
      </c>
      <c r="S1034" s="39">
        <f>+IFERROR(-ABS(IF(EDATE(_xlfn.XLOOKUP(1,$H1021:$BE1021,$H$4:$BE$4),12*Assumptions!$H$348+12)=S$4,0,IF(R1021=1,PMT(Assumptions!$H$346,Assumptions!$H$348,$C1023),R1034))),0)</f>
        <v>0</v>
      </c>
      <c r="T1034" s="39">
        <f>+IFERROR(-ABS(IF(EDATE(_xlfn.XLOOKUP(1,$H1021:$BE1021,$H$4:$BE$4),12*Assumptions!$H$348+12)=T$4,0,IF(S1021=1,PMT(Assumptions!$H$346,Assumptions!$H$348,$C1023),S1034))),0)</f>
        <v>0</v>
      </c>
      <c r="U1034" s="39">
        <f>+IFERROR(-ABS(IF(EDATE(_xlfn.XLOOKUP(1,$H1021:$BE1021,$H$4:$BE$4),12*Assumptions!$H$348+12)=U$4,0,IF(T1021=1,PMT(Assumptions!$H$346,Assumptions!$H$348,$C1023),T1034))),0)</f>
        <v>0</v>
      </c>
      <c r="V1034" s="39">
        <f>+IFERROR(-ABS(IF(EDATE(_xlfn.XLOOKUP(1,$H1021:$BE1021,$H$4:$BE$4),12*Assumptions!$H$348+12)=V$4,0,IF(U1021=1,PMT(Assumptions!$H$346,Assumptions!$H$348,$C1023),U1034))),0)</f>
        <v>0</v>
      </c>
      <c r="W1034" s="39">
        <f>+IFERROR(-ABS(IF(EDATE(_xlfn.XLOOKUP(1,$H1021:$BE1021,$H$4:$BE$4),12*Assumptions!$H$348+12)=W$4,0,IF(V1021=1,PMT(Assumptions!$H$346,Assumptions!$H$348,$C1023),V1034))),0)</f>
        <v>0</v>
      </c>
      <c r="X1034" s="39">
        <f>+IFERROR(-ABS(IF(EDATE(_xlfn.XLOOKUP(1,$H1021:$BE1021,$H$4:$BE$4),12*Assumptions!$H$348+12)=X$4,0,IF(W1021=1,PMT(Assumptions!$H$346,Assumptions!$H$348,$C1023),W1034))),0)</f>
        <v>0</v>
      </c>
      <c r="Y1034" s="39">
        <f>+IFERROR(-ABS(IF(EDATE(_xlfn.XLOOKUP(1,$H1021:$BE1021,$H$4:$BE$4),12*Assumptions!$H$348+12)=Y$4,0,IF(X1021=1,PMT(Assumptions!$H$346,Assumptions!$H$348,$C1023),X1034))),0)</f>
        <v>0</v>
      </c>
      <c r="Z1034" s="39">
        <f>+IFERROR(-ABS(IF(EDATE(_xlfn.XLOOKUP(1,$H1021:$BE1021,$H$4:$BE$4),12*Assumptions!$H$348+12)=Z$4,0,IF(Y1021=1,PMT(Assumptions!$H$346,Assumptions!$H$348,$C1023),Y1034))),0)</f>
        <v>0</v>
      </c>
      <c r="AA1034" s="39">
        <f>+IFERROR(-ABS(IF(EDATE(_xlfn.XLOOKUP(1,$H1021:$BE1021,$H$4:$BE$4),12*Assumptions!$H$348+12)=AA$4,0,IF(Z1021=1,PMT(Assumptions!$H$346,Assumptions!$H$348,$C1023),Z1034))),0)</f>
        <v>0</v>
      </c>
      <c r="AB1034" s="39">
        <f>+IFERROR(-ABS(IF(EDATE(_xlfn.XLOOKUP(1,$H1021:$BE1021,$H$4:$BE$4),12*Assumptions!$H$348+12)=AB$4,0,IF(AA1021=1,PMT(Assumptions!$H$346,Assumptions!$H$348,$C1023),AA1034))),0)</f>
        <v>0</v>
      </c>
      <c r="AC1034" s="39">
        <f>+IFERROR(-ABS(IF(EDATE(_xlfn.XLOOKUP(1,$H1021:$BE1021,$H$4:$BE$4),12*Assumptions!$H$348+12)=AC$4,0,IF(AB1021=1,PMT(Assumptions!$H$346,Assumptions!$H$348,$C1023),AB1034))),0)</f>
        <v>0</v>
      </c>
      <c r="AD1034" s="39">
        <f>+IFERROR(-ABS(IF(EDATE(_xlfn.XLOOKUP(1,$H1021:$BE1021,$H$4:$BE$4),12*Assumptions!$H$348+12)=AD$4,0,IF(AC1021=1,PMT(Assumptions!$H$346,Assumptions!$H$348,$C1023),AC1034))),0)</f>
        <v>0</v>
      </c>
      <c r="AE1034" s="39">
        <f>+IFERROR(-ABS(IF(EDATE(_xlfn.XLOOKUP(1,$H1021:$BE1021,$H$4:$BE$4),12*Assumptions!$H$348+12)=AE$4,0,IF(AD1021=1,PMT(Assumptions!$H$346,Assumptions!$H$348,$C1023),AD1034))),0)</f>
        <v>0</v>
      </c>
      <c r="AF1034" s="39">
        <f>+IFERROR(-ABS(IF(EDATE(_xlfn.XLOOKUP(1,$H1021:$BE1021,$H$4:$BE$4),12*Assumptions!$H$348+12)=AF$4,0,IF(AE1021=1,PMT(Assumptions!$H$346,Assumptions!$H$348,$C1023),AE1034))),0)</f>
        <v>0</v>
      </c>
      <c r="AG1034" s="39">
        <f>+IFERROR(-ABS(IF(EDATE(_xlfn.XLOOKUP(1,$H1021:$BE1021,$H$4:$BE$4),12*Assumptions!$H$348+12)=AG$4,0,IF(AF1021=1,PMT(Assumptions!$H$346,Assumptions!$H$348,$C1023),AF1034))),0)</f>
        <v>0</v>
      </c>
      <c r="AH1034" s="39">
        <f>+IFERROR(-ABS(IF(EDATE(_xlfn.XLOOKUP(1,$H1021:$BE1021,$H$4:$BE$4),12*Assumptions!$H$348+12)=AH$4,0,IF(AG1021=1,PMT(Assumptions!$H$346,Assumptions!$H$348,$C1023),AG1034))),0)</f>
        <v>0</v>
      </c>
      <c r="AI1034" s="39">
        <f>+IFERROR(-ABS(IF(EDATE(_xlfn.XLOOKUP(1,$H1021:$BE1021,$H$4:$BE$4),12*Assumptions!$H$348+12)=AI$4,0,IF(AH1021=1,PMT(Assumptions!$H$346,Assumptions!$H$348,$C1023),AH1034))),0)</f>
        <v>0</v>
      </c>
      <c r="AJ1034" s="39">
        <f>+IFERROR(-ABS(IF(EDATE(_xlfn.XLOOKUP(1,$H1021:$BE1021,$H$4:$BE$4),12*Assumptions!$H$348+12)=AJ$4,0,IF(AI1021=1,PMT(Assumptions!$H$346,Assumptions!$H$348,$C1023),AI1034))),0)</f>
        <v>0</v>
      </c>
      <c r="AK1034" s="39">
        <f>+IFERROR(-ABS(IF(EDATE(_xlfn.XLOOKUP(1,$H1021:$BE1021,$H$4:$BE$4),12*Assumptions!$H$348+12)=AK$4,0,IF(AJ1021=1,PMT(Assumptions!$H$346,Assumptions!$H$348,$C1023),AJ1034))),0)</f>
        <v>0</v>
      </c>
      <c r="AL1034" s="39">
        <f>+IFERROR(-ABS(IF(EDATE(_xlfn.XLOOKUP(1,$H1021:$BE1021,$H$4:$BE$4),12*Assumptions!$H$348+12)=AL$4,0,IF(AK1021=1,PMT(Assumptions!$H$346,Assumptions!$H$348,$C1023),AK1034))),0)</f>
        <v>0</v>
      </c>
      <c r="AM1034" s="39">
        <f>+IFERROR(-ABS(IF(EDATE(_xlfn.XLOOKUP(1,$H1021:$BE1021,$H$4:$BE$4),12*Assumptions!$H$348+12)=AM$4,0,IF(AL1021=1,PMT(Assumptions!$H$346,Assumptions!$H$348,$C1023),AL1034))),0)</f>
        <v>0</v>
      </c>
      <c r="AN1034" s="39">
        <f>+IFERROR(-ABS(IF(EDATE(_xlfn.XLOOKUP(1,$H1021:$BE1021,$H$4:$BE$4),12*Assumptions!$H$348+12)=AN$4,0,IF(AM1021=1,PMT(Assumptions!$H$346,Assumptions!$H$348,$C1023),AM1034))),0)</f>
        <v>0</v>
      </c>
      <c r="AO1034" s="39">
        <f>+IFERROR(-ABS(IF(EDATE(_xlfn.XLOOKUP(1,$H1021:$BE1021,$H$4:$BE$4),12*Assumptions!$H$348+12)=AO$4,0,IF(AN1021=1,PMT(Assumptions!$H$346,Assumptions!$H$348,$C1023),AN1034))),0)</f>
        <v>0</v>
      </c>
      <c r="AP1034" s="39">
        <f>+IFERROR(-ABS(IF(EDATE(_xlfn.XLOOKUP(1,$H1021:$BE1021,$H$4:$BE$4),12*Assumptions!$H$348+12)=AP$4,0,IF(AO1021=1,PMT(Assumptions!$H$346,Assumptions!$H$348,$C1023),AO1034))),0)</f>
        <v>0</v>
      </c>
      <c r="AQ1034" s="39">
        <f>+IFERROR(-ABS(IF(EDATE(_xlfn.XLOOKUP(1,$H1021:$BE1021,$H$4:$BE$4),12*Assumptions!$H$348+12)=AQ$4,0,IF(AP1021=1,PMT(Assumptions!$H$346,Assumptions!$H$348,$C1023),AP1034))),0)</f>
        <v>0</v>
      </c>
      <c r="AR1034" s="39">
        <f>+IFERROR(-ABS(IF(EDATE(_xlfn.XLOOKUP(1,$H1021:$BE1021,$H$4:$BE$4),12*Assumptions!$H$348+12)=AR$4,0,IF(AQ1021=1,PMT(Assumptions!$H$346,Assumptions!$H$348,$C1023),AQ1034))),0)</f>
        <v>0</v>
      </c>
      <c r="AS1034" s="39">
        <f>+IFERROR(-ABS(IF(EDATE(_xlfn.XLOOKUP(1,$H1021:$BE1021,$H$4:$BE$4),12*Assumptions!$H$348+12)=AS$4,0,IF(AR1021=1,PMT(Assumptions!$H$346,Assumptions!$H$348,$C1023),AR1034))),0)</f>
        <v>0</v>
      </c>
      <c r="AT1034" s="39">
        <f>+IFERROR(-ABS(IF(EDATE(_xlfn.XLOOKUP(1,$H1021:$BE1021,$H$4:$BE$4),12*Assumptions!$H$348+12)=AT$4,0,IF(AS1021=1,PMT(Assumptions!$H$346,Assumptions!$H$348,$C1023),AS1034))),0)</f>
        <v>0</v>
      </c>
      <c r="AU1034" s="39">
        <f>+IFERROR(-ABS(IF(EDATE(_xlfn.XLOOKUP(1,$H1021:$BE1021,$H$4:$BE$4),12*Assumptions!$H$348+12)=AU$4,0,IF(AT1021=1,PMT(Assumptions!$H$346,Assumptions!$H$348,$C1023),AT1034))),0)</f>
        <v>0</v>
      </c>
      <c r="AV1034" s="39">
        <f>+IFERROR(-ABS(IF(EDATE(_xlfn.XLOOKUP(1,$H1021:$BE1021,$H$4:$BE$4),12*Assumptions!$H$348+12)=AV$4,0,IF(AU1021=1,PMT(Assumptions!$H$346,Assumptions!$H$348,$C1023),AU1034))),0)</f>
        <v>0</v>
      </c>
      <c r="AW1034" s="39">
        <f>+IFERROR(-ABS(IF(EDATE(_xlfn.XLOOKUP(1,$H1021:$BE1021,$H$4:$BE$4),12*Assumptions!$H$348+12)=AW$4,0,IF(AV1021=1,PMT(Assumptions!$H$346,Assumptions!$H$348,$C1023),AV1034))),0)</f>
        <v>0</v>
      </c>
      <c r="AX1034" s="39">
        <f>+IFERROR(-ABS(IF(EDATE(_xlfn.XLOOKUP(1,$H1021:$BE1021,$H$4:$BE$4),12*Assumptions!$H$348+12)=AX$4,0,IF(AW1021=1,PMT(Assumptions!$H$346,Assumptions!$H$348,$C1023),AW1034))),0)</f>
        <v>0</v>
      </c>
      <c r="AY1034" s="39">
        <f>+IFERROR(-ABS(IF(EDATE(_xlfn.XLOOKUP(1,$H1021:$BE1021,$H$4:$BE$4),12*Assumptions!$H$348+12)=AY$4,0,IF(AX1021=1,PMT(Assumptions!$H$346,Assumptions!$H$348,$C1023),AX1034))),0)</f>
        <v>0</v>
      </c>
      <c r="AZ1034" s="39">
        <f>+IFERROR(-ABS(IF(EDATE(_xlfn.XLOOKUP(1,$H1021:$BE1021,$H$4:$BE$4),12*Assumptions!$H$348+12)=AZ$4,0,IF(AY1021=1,PMT(Assumptions!$H$346,Assumptions!$H$348,$C1023),AY1034))),0)</f>
        <v>0</v>
      </c>
      <c r="BA1034" s="39">
        <f>+IFERROR(-ABS(IF(EDATE(_xlfn.XLOOKUP(1,$H1021:$BE1021,$H$4:$BE$4),12*Assumptions!$H$348+12)=BA$4,0,IF(AZ1021=1,PMT(Assumptions!$H$346,Assumptions!$H$348,$C1023),AZ1034))),0)</f>
        <v>0</v>
      </c>
      <c r="BB1034" s="39">
        <f>+IFERROR(-ABS(IF(EDATE(_xlfn.XLOOKUP(1,$H1021:$BE1021,$H$4:$BE$4),12*Assumptions!$H$348+12)=BB$4,0,IF(BA1021=1,PMT(Assumptions!$H$346,Assumptions!$H$348,$C1023),BA1034))),0)</f>
        <v>0</v>
      </c>
      <c r="BC1034" s="39">
        <f>+IFERROR(-ABS(IF(EDATE(_xlfn.XLOOKUP(1,$H1021:$BE1021,$H$4:$BE$4),12*Assumptions!$H$348+12)=BC$4,0,IF(BB1021=1,PMT(Assumptions!$H$346,Assumptions!$H$348,$C1023),BB1034))),0)</f>
        <v>0</v>
      </c>
      <c r="BD1034" s="39">
        <f>+IFERROR(-ABS(IF(EDATE(_xlfn.XLOOKUP(1,$H1021:$BE1021,$H$4:$BE$4),12*Assumptions!$H$348+12)=BD$4,0,IF(BC1021=1,PMT(Assumptions!$H$346,Assumptions!$H$348,$C1023),BC1034))),0)</f>
        <v>0</v>
      </c>
      <c r="BE1034" s="39">
        <f>+IFERROR(-ABS(IF(EDATE(_xlfn.XLOOKUP(1,$H1021:$BE1021,$H$4:$BE$4),12*Assumptions!$H$348+12)=BE$4,0,IF(BD1021=1,PMT(Assumptions!$H$346,Assumptions!$H$348,$C1023),BD1034))),0)</f>
        <v>0</v>
      </c>
      <c r="BF1034" s="39">
        <f>+IFERROR(-ABS(IF(EDATE(_xlfn.XLOOKUP(1,$H1021:$BE1021,$H$4:$BE$4),12*Assumptions!$H$348+12)=BF$4,0,IF(BE1021=1,PMT(Assumptions!$H$346,Assumptions!$H$348,$C1023),BE1034))),0)</f>
        <v>0</v>
      </c>
      <c r="BG1034" s="39">
        <f>+IFERROR(-ABS(IF(EDATE(_xlfn.XLOOKUP(1,$H1021:$BE1021,$H$4:$BE$4),12*Assumptions!$H$348+12)=BG$4,0,IF(BF1021=1,PMT(Assumptions!$H$346,Assumptions!$H$348,$C1023),BF1034))),0)</f>
        <v>0</v>
      </c>
      <c r="BH1034" s="39">
        <f>+IFERROR(-ABS(IF(EDATE(_xlfn.XLOOKUP(1,$H1021:$BE1021,$H$4:$BE$4),12*Assumptions!$H$348+12)=BH$4,0,IF(BG1021=1,PMT(Assumptions!$H$346,Assumptions!$H$348,$C1023),BG1034))),0)</f>
        <v>0</v>
      </c>
      <c r="BI1034" s="39">
        <f>+IFERROR(-ABS(IF(EDATE(_xlfn.XLOOKUP(1,$H1021:$BE1021,$H$4:$BE$4),12*Assumptions!$H$348+12)=BI$4,0,IF(BH1021=1,PMT(Assumptions!$H$346,Assumptions!$H$348,$C1023),BH1034))),0)</f>
        <v>0</v>
      </c>
      <c r="BJ1034" s="39">
        <f>+IFERROR(-ABS(IF(EDATE(_xlfn.XLOOKUP(1,$H1021:$BE1021,$H$4:$BE$4),12*Assumptions!$H$348+12)=BJ$4,0,IF(BI1021=1,PMT(Assumptions!$H$346,Assumptions!$H$348,$C1023),BI1034))),0)</f>
        <v>0</v>
      </c>
      <c r="BK1034" s="39">
        <f>+IFERROR(-ABS(IF(EDATE(_xlfn.XLOOKUP(1,$H1021:$BE1021,$H$4:$BE$4),12*Assumptions!$H$348+12)=BK$4,0,IF(BJ1021=1,PMT(Assumptions!$H$346,Assumptions!$H$348,$C1023),BJ1034))),0)</f>
        <v>0</v>
      </c>
      <c r="BL1034" s="39">
        <f>+IFERROR(-ABS(IF(EDATE(_xlfn.XLOOKUP(1,$H1021:$BE1021,$H$4:$BE$4),12*Assumptions!$H$348+12)=BL$4,0,IF(BK1021=1,PMT(Assumptions!$H$346,Assumptions!$H$348,$C1023),BK1034))),0)</f>
        <v>0</v>
      </c>
      <c r="BM1034" s="39">
        <f>+IFERROR(-ABS(IF(EDATE(_xlfn.XLOOKUP(1,$H1021:$BE1021,$H$4:$BE$4),12*Assumptions!$H$348+12)=BM$4,0,IF(BL1021=1,PMT(Assumptions!$H$346,Assumptions!$H$348,$C1023),BL1034))),0)</f>
        <v>0</v>
      </c>
      <c r="BN1034" s="39">
        <f>+IFERROR(-ABS(IF(EDATE(_xlfn.XLOOKUP(1,$H1021:$BE1021,$H$4:$BE$4),12*Assumptions!$H$348+12)=BN$4,0,IF(BM1021=1,PMT(Assumptions!$H$346,Assumptions!$H$348,$C1023),BM1034))),0)</f>
        <v>0</v>
      </c>
      <c r="BO1034" s="39">
        <f>+IFERROR(-ABS(IF(EDATE(_xlfn.XLOOKUP(1,$H1021:$BE1021,$H$4:$BE$4),12*Assumptions!$H$348+12)=BO$4,0,IF(BN1021=1,PMT(Assumptions!$H$346,Assumptions!$H$348,$C1023),BN1034))),0)</f>
        <v>0</v>
      </c>
      <c r="BP1034" s="39">
        <f>+IFERROR(-ABS(IF(EDATE(_xlfn.XLOOKUP(1,$H1021:$BE1021,$H$4:$BE$4),12*Assumptions!$H$348+12)=BP$4,0,IF(BO1021=1,PMT(Assumptions!$H$346,Assumptions!$H$348,$C1023),BO1034))),0)</f>
        <v>0</v>
      </c>
      <c r="BQ1034" s="39">
        <f>+IFERROR(-ABS(IF(EDATE(_xlfn.XLOOKUP(1,$H1021:$BE1021,$H$4:$BE$4),12*Assumptions!$H$348+12)=BQ$4,0,IF(BP1021=1,PMT(Assumptions!$H$346,Assumptions!$H$348,$C1023),BP1034))),0)</f>
        <v>0</v>
      </c>
      <c r="BR1034" s="39">
        <f>+IFERROR(-ABS(IF(EDATE(_xlfn.XLOOKUP(1,$H1021:$BE1021,$H$4:$BE$4),12*Assumptions!$H$348+12)=BR$4,0,IF(BQ1021=1,PMT(Assumptions!$H$346,Assumptions!$H$348,$C1023),BQ1034))),0)</f>
        <v>0</v>
      </c>
      <c r="BS1034" s="39">
        <f>+IFERROR(-ABS(IF(EDATE(_xlfn.XLOOKUP(1,$H1021:$BE1021,$H$4:$BE$4),12*Assumptions!$H$348+12)=BS$4,0,IF(BR1021=1,PMT(Assumptions!$H$346,Assumptions!$H$348,$C1023),BR1034))),0)</f>
        <v>0</v>
      </c>
      <c r="BT1034" s="39">
        <f>+IFERROR(-ABS(IF(EDATE(_xlfn.XLOOKUP(1,$H1021:$BE1021,$H$4:$BE$4),12*Assumptions!$H$348+12)=BT$4,0,IF(BS1021=1,PMT(Assumptions!$H$346,Assumptions!$H$348,$C1023),BS1034))),0)</f>
        <v>0</v>
      </c>
      <c r="BU1034" s="39">
        <f>+IFERROR(-ABS(IF(EDATE(_xlfn.XLOOKUP(1,$H1021:$BE1021,$H$4:$BE$4),12*Assumptions!$H$348+12)=BU$4,0,IF(BT1021=1,PMT(Assumptions!$H$346,Assumptions!$H$348,$C1023),BT1034))),0)</f>
        <v>0</v>
      </c>
      <c r="BV1034" s="39">
        <f>+IFERROR(-ABS(IF(EDATE(_xlfn.XLOOKUP(1,$H1021:$BE1021,$H$4:$BE$4),12*Assumptions!$H$348+12)=BV$4,0,IF(BU1021=1,PMT(Assumptions!$H$346,Assumptions!$H$348,$C1023),BU1034))),0)</f>
        <v>0</v>
      </c>
      <c r="BW1034" s="39">
        <f>+IFERROR(-ABS(IF(EDATE(_xlfn.XLOOKUP(1,$H1021:$BE1021,$H$4:$BE$4),12*Assumptions!$H$348+12)=BW$4,0,IF(BV1021=1,PMT(Assumptions!$H$346,Assumptions!$H$348,$C1023),BV1034))),0)</f>
        <v>0</v>
      </c>
      <c r="BX1034" s="39">
        <f>+IFERROR(-ABS(IF(EDATE(_xlfn.XLOOKUP(1,$H1021:$BE1021,$H$4:$BE$4),12*Assumptions!$H$348+12)=BX$4,0,IF(BW1021=1,PMT(Assumptions!$H$346,Assumptions!$H$348,$C1023),BW1034))),0)</f>
        <v>0</v>
      </c>
      <c r="BY1034" s="39">
        <f>+IFERROR(-ABS(IF(EDATE(_xlfn.XLOOKUP(1,$H1021:$BE1021,$H$4:$BE$4),12*Assumptions!$H$348+12)=BY$4,0,IF(BX1021=1,PMT(Assumptions!$H$346,Assumptions!$H$348,$C1023),BX1034))),0)</f>
        <v>0</v>
      </c>
    </row>
    <row r="1035" spans="5:77" outlineLevel="1">
      <c r="E1035" s="24" t="s">
        <v>521</v>
      </c>
      <c r="F1035" s="80" t="str">
        <f>+Assumptions!$G$8</f>
        <v>USD</v>
      </c>
      <c r="G1035" s="24"/>
      <c r="H1035" s="39">
        <f>+IFERROR(-ABS(IF(EDATE(_xlfn.XLOOKUP(1,$H1022:$BE1022,$H$4:$BE$4),12*Assumptions!$H$348+12)=H$4,0,IF(G1022=1,PMT(Assumptions!$H$346,Assumptions!$H$348,$C1024),G1035))),0)</f>
        <v>0</v>
      </c>
      <c r="I1035" s="39">
        <f>+IFERROR(-ABS(IF(EDATE(_xlfn.XLOOKUP(1,$H1022:$BE1022,$H$4:$BE$4),12*Assumptions!$H$348+12)=I$4,0,IF(H1022=1,PMT(Assumptions!$H$346,Assumptions!$H$348,$C1024),H1035))),0)</f>
        <v>0</v>
      </c>
      <c r="J1035" s="39">
        <f>+IFERROR(-ABS(IF(EDATE(_xlfn.XLOOKUP(1,$H1022:$BE1022,$H$4:$BE$4),12*Assumptions!$H$348+12)=J$4,0,IF(I1022=1,PMT(Assumptions!$H$346,Assumptions!$H$348,$C1024),I1035))),0)</f>
        <v>0</v>
      </c>
      <c r="K1035" s="39">
        <f>+IFERROR(-ABS(IF(EDATE(_xlfn.XLOOKUP(1,$H1022:$BE1022,$H$4:$BE$4),12*Assumptions!$H$348+12)=K$4,0,IF(J1022=1,PMT(Assumptions!$H$346,Assumptions!$H$348,$C1024),J1035))),0)</f>
        <v>0</v>
      </c>
      <c r="L1035" s="39">
        <f>+IFERROR(-ABS(IF(EDATE(_xlfn.XLOOKUP(1,$H1022:$BE1022,$H$4:$BE$4),12*Assumptions!$H$348+12)=L$4,0,IF(K1022=1,PMT(Assumptions!$H$346,Assumptions!$H$348,$C1024),K1035))),0)</f>
        <v>0</v>
      </c>
      <c r="M1035" s="39">
        <f>+IFERROR(-ABS(IF(EDATE(_xlfn.XLOOKUP(1,$H1022:$BE1022,$H$4:$BE$4),12*Assumptions!$H$348+12)=M$4,0,IF(L1022=1,PMT(Assumptions!$H$346,Assumptions!$H$348,$C1024),L1035))),0)</f>
        <v>0</v>
      </c>
      <c r="N1035" s="39">
        <f>+IFERROR(-ABS(IF(EDATE(_xlfn.XLOOKUP(1,$H1022:$BE1022,$H$4:$BE$4),12*Assumptions!$H$348+12)=N$4,0,IF(M1022=1,PMT(Assumptions!$H$346,Assumptions!$H$348,$C1024),M1035))),0)</f>
        <v>0</v>
      </c>
      <c r="O1035" s="39">
        <f>+IFERROR(-ABS(IF(EDATE(_xlfn.XLOOKUP(1,$H1022:$BE1022,$H$4:$BE$4),12*Assumptions!$H$348+12)=O$4,0,IF(N1022=1,PMT(Assumptions!$H$346,Assumptions!$H$348,$C1024),N1035))),0)</f>
        <v>0</v>
      </c>
      <c r="P1035" s="39">
        <f>+IFERROR(-ABS(IF(EDATE(_xlfn.XLOOKUP(1,$H1022:$BE1022,$H$4:$BE$4),12*Assumptions!$H$348+12)=P$4,0,IF(O1022=1,PMT(Assumptions!$H$346,Assumptions!$H$348,$C1024),O1035))),0)</f>
        <v>0</v>
      </c>
      <c r="Q1035" s="39">
        <f>+IFERROR(-ABS(IF(EDATE(_xlfn.XLOOKUP(1,$H1022:$BE1022,$H$4:$BE$4),12*Assumptions!$H$348+12)=Q$4,0,IF(P1022=1,PMT(Assumptions!$H$346,Assumptions!$H$348,$C1024),P1035))),0)</f>
        <v>0</v>
      </c>
      <c r="R1035" s="39">
        <f>+IFERROR(-ABS(IF(EDATE(_xlfn.XLOOKUP(1,$H1022:$BE1022,$H$4:$BE$4),12*Assumptions!$H$348+12)=R$4,0,IF(Q1022=1,PMT(Assumptions!$H$346,Assumptions!$H$348,$C1024),Q1035))),0)</f>
        <v>0</v>
      </c>
      <c r="S1035" s="39">
        <f>+IFERROR(-ABS(IF(EDATE(_xlfn.XLOOKUP(1,$H1022:$BE1022,$H$4:$BE$4),12*Assumptions!$H$348+12)=S$4,0,IF(R1022=1,PMT(Assumptions!$H$346,Assumptions!$H$348,$C1024),R1035))),0)</f>
        <v>0</v>
      </c>
      <c r="T1035" s="39">
        <f>+IFERROR(-ABS(IF(EDATE(_xlfn.XLOOKUP(1,$H1022:$BE1022,$H$4:$BE$4),12*Assumptions!$H$348+12)=T$4,0,IF(S1022=1,PMT(Assumptions!$H$346,Assumptions!$H$348,$C1024),S1035))),0)</f>
        <v>0</v>
      </c>
      <c r="U1035" s="39">
        <f>+IFERROR(-ABS(IF(EDATE(_xlfn.XLOOKUP(1,$H1022:$BE1022,$H$4:$BE$4),12*Assumptions!$H$348+12)=U$4,0,IF(T1022=1,PMT(Assumptions!$H$346,Assumptions!$H$348,$C1024),T1035))),0)</f>
        <v>0</v>
      </c>
      <c r="V1035" s="39">
        <f>+IFERROR(-ABS(IF(EDATE(_xlfn.XLOOKUP(1,$H1022:$BE1022,$H$4:$BE$4),12*Assumptions!$H$348+12)=V$4,0,IF(U1022=1,PMT(Assumptions!$H$346,Assumptions!$H$348,$C1024),U1035))),0)</f>
        <v>0</v>
      </c>
      <c r="W1035" s="39">
        <f>+IFERROR(-ABS(IF(EDATE(_xlfn.XLOOKUP(1,$H1022:$BE1022,$H$4:$BE$4),12*Assumptions!$H$348+12)=W$4,0,IF(V1022=1,PMT(Assumptions!$H$346,Assumptions!$H$348,$C1024),V1035))),0)</f>
        <v>0</v>
      </c>
      <c r="X1035" s="39">
        <f>+IFERROR(-ABS(IF(EDATE(_xlfn.XLOOKUP(1,$H1022:$BE1022,$H$4:$BE$4),12*Assumptions!$H$348+12)=X$4,0,IF(W1022=1,PMT(Assumptions!$H$346,Assumptions!$H$348,$C1024),W1035))),0)</f>
        <v>0</v>
      </c>
      <c r="Y1035" s="39">
        <f>+IFERROR(-ABS(IF(EDATE(_xlfn.XLOOKUP(1,$H1022:$BE1022,$H$4:$BE$4),12*Assumptions!$H$348+12)=Y$4,0,IF(X1022=1,PMT(Assumptions!$H$346,Assumptions!$H$348,$C1024),X1035))),0)</f>
        <v>0</v>
      </c>
      <c r="Z1035" s="39">
        <f>+IFERROR(-ABS(IF(EDATE(_xlfn.XLOOKUP(1,$H1022:$BE1022,$H$4:$BE$4),12*Assumptions!$H$348+12)=Z$4,0,IF(Y1022=1,PMT(Assumptions!$H$346,Assumptions!$H$348,$C1024),Y1035))),0)</f>
        <v>0</v>
      </c>
      <c r="AA1035" s="39">
        <f>+IFERROR(-ABS(IF(EDATE(_xlfn.XLOOKUP(1,$H1022:$BE1022,$H$4:$BE$4),12*Assumptions!$H$348+12)=AA$4,0,IF(Z1022=1,PMT(Assumptions!$H$346,Assumptions!$H$348,$C1024),Z1035))),0)</f>
        <v>0</v>
      </c>
      <c r="AB1035" s="39">
        <f>+IFERROR(-ABS(IF(EDATE(_xlfn.XLOOKUP(1,$H1022:$BE1022,$H$4:$BE$4),12*Assumptions!$H$348+12)=AB$4,0,IF(AA1022=1,PMT(Assumptions!$H$346,Assumptions!$H$348,$C1024),AA1035))),0)</f>
        <v>0</v>
      </c>
      <c r="AC1035" s="39">
        <f>+IFERROR(-ABS(IF(EDATE(_xlfn.XLOOKUP(1,$H1022:$BE1022,$H$4:$BE$4),12*Assumptions!$H$348+12)=AC$4,0,IF(AB1022=1,PMT(Assumptions!$H$346,Assumptions!$H$348,$C1024),AB1035))),0)</f>
        <v>0</v>
      </c>
      <c r="AD1035" s="39">
        <f>+IFERROR(-ABS(IF(EDATE(_xlfn.XLOOKUP(1,$H1022:$BE1022,$H$4:$BE$4),12*Assumptions!$H$348+12)=AD$4,0,IF(AC1022=1,PMT(Assumptions!$H$346,Assumptions!$H$348,$C1024),AC1035))),0)</f>
        <v>0</v>
      </c>
      <c r="AE1035" s="39">
        <f>+IFERROR(-ABS(IF(EDATE(_xlfn.XLOOKUP(1,$H1022:$BE1022,$H$4:$BE$4),12*Assumptions!$H$348+12)=AE$4,0,IF(AD1022=1,PMT(Assumptions!$H$346,Assumptions!$H$348,$C1024),AD1035))),0)</f>
        <v>0</v>
      </c>
      <c r="AF1035" s="39">
        <f>+IFERROR(-ABS(IF(EDATE(_xlfn.XLOOKUP(1,$H1022:$BE1022,$H$4:$BE$4),12*Assumptions!$H$348+12)=AF$4,0,IF(AE1022=1,PMT(Assumptions!$H$346,Assumptions!$H$348,$C1024),AE1035))),0)</f>
        <v>0</v>
      </c>
      <c r="AG1035" s="39">
        <f>+IFERROR(-ABS(IF(EDATE(_xlfn.XLOOKUP(1,$H1022:$BE1022,$H$4:$BE$4),12*Assumptions!$H$348+12)=AG$4,0,IF(AF1022=1,PMT(Assumptions!$H$346,Assumptions!$H$348,$C1024),AF1035))),0)</f>
        <v>0</v>
      </c>
      <c r="AH1035" s="39">
        <f>+IFERROR(-ABS(IF(EDATE(_xlfn.XLOOKUP(1,$H1022:$BE1022,$H$4:$BE$4),12*Assumptions!$H$348+12)=AH$4,0,IF(AG1022=1,PMT(Assumptions!$H$346,Assumptions!$H$348,$C1024),AG1035))),0)</f>
        <v>0</v>
      </c>
      <c r="AI1035" s="39">
        <f>+IFERROR(-ABS(IF(EDATE(_xlfn.XLOOKUP(1,$H1022:$BE1022,$H$4:$BE$4),12*Assumptions!$H$348+12)=AI$4,0,IF(AH1022=1,PMT(Assumptions!$H$346,Assumptions!$H$348,$C1024),AH1035))),0)</f>
        <v>0</v>
      </c>
      <c r="AJ1035" s="39">
        <f>+IFERROR(-ABS(IF(EDATE(_xlfn.XLOOKUP(1,$H1022:$BE1022,$H$4:$BE$4),12*Assumptions!$H$348+12)=AJ$4,0,IF(AI1022=1,PMT(Assumptions!$H$346,Assumptions!$H$348,$C1024),AI1035))),0)</f>
        <v>0</v>
      </c>
      <c r="AK1035" s="39">
        <f>+IFERROR(-ABS(IF(EDATE(_xlfn.XLOOKUP(1,$H1022:$BE1022,$H$4:$BE$4),12*Assumptions!$H$348+12)=AK$4,0,IF(AJ1022=1,PMT(Assumptions!$H$346,Assumptions!$H$348,$C1024),AJ1035))),0)</f>
        <v>0</v>
      </c>
      <c r="AL1035" s="39">
        <f>+IFERROR(-ABS(IF(EDATE(_xlfn.XLOOKUP(1,$H1022:$BE1022,$H$4:$BE$4),12*Assumptions!$H$348+12)=AL$4,0,IF(AK1022=1,PMT(Assumptions!$H$346,Assumptions!$H$348,$C1024),AK1035))),0)</f>
        <v>0</v>
      </c>
      <c r="AM1035" s="39">
        <f>+IFERROR(-ABS(IF(EDATE(_xlfn.XLOOKUP(1,$H1022:$BE1022,$H$4:$BE$4),12*Assumptions!$H$348+12)=AM$4,0,IF(AL1022=1,PMT(Assumptions!$H$346,Assumptions!$H$348,$C1024),AL1035))),0)</f>
        <v>0</v>
      </c>
      <c r="AN1035" s="39">
        <f>+IFERROR(-ABS(IF(EDATE(_xlfn.XLOOKUP(1,$H1022:$BE1022,$H$4:$BE$4),12*Assumptions!$H$348+12)=AN$4,0,IF(AM1022=1,PMT(Assumptions!$H$346,Assumptions!$H$348,$C1024),AM1035))),0)</f>
        <v>0</v>
      </c>
      <c r="AO1035" s="39">
        <f>+IFERROR(-ABS(IF(EDATE(_xlfn.XLOOKUP(1,$H1022:$BE1022,$H$4:$BE$4),12*Assumptions!$H$348+12)=AO$4,0,IF(AN1022=1,PMT(Assumptions!$H$346,Assumptions!$H$348,$C1024),AN1035))),0)</f>
        <v>0</v>
      </c>
      <c r="AP1035" s="39">
        <f>+IFERROR(-ABS(IF(EDATE(_xlfn.XLOOKUP(1,$H1022:$BE1022,$H$4:$BE$4),12*Assumptions!$H$348+12)=AP$4,0,IF(AO1022=1,PMT(Assumptions!$H$346,Assumptions!$H$348,$C1024),AO1035))),0)</f>
        <v>0</v>
      </c>
      <c r="AQ1035" s="39">
        <f>+IFERROR(-ABS(IF(EDATE(_xlfn.XLOOKUP(1,$H1022:$BE1022,$H$4:$BE$4),12*Assumptions!$H$348+12)=AQ$4,0,IF(AP1022=1,PMT(Assumptions!$H$346,Assumptions!$H$348,$C1024),AP1035))),0)</f>
        <v>0</v>
      </c>
      <c r="AR1035" s="39">
        <f>+IFERROR(-ABS(IF(EDATE(_xlfn.XLOOKUP(1,$H1022:$BE1022,$H$4:$BE$4),12*Assumptions!$H$348+12)=AR$4,0,IF(AQ1022=1,PMT(Assumptions!$H$346,Assumptions!$H$348,$C1024),AQ1035))),0)</f>
        <v>0</v>
      </c>
      <c r="AS1035" s="39">
        <f>+IFERROR(-ABS(IF(EDATE(_xlfn.XLOOKUP(1,$H1022:$BE1022,$H$4:$BE$4),12*Assumptions!$H$348+12)=AS$4,0,IF(AR1022=1,PMT(Assumptions!$H$346,Assumptions!$H$348,$C1024),AR1035))),0)</f>
        <v>0</v>
      </c>
      <c r="AT1035" s="39">
        <f>+IFERROR(-ABS(IF(EDATE(_xlfn.XLOOKUP(1,$H1022:$BE1022,$H$4:$BE$4),12*Assumptions!$H$348+12)=AT$4,0,IF(AS1022=1,PMT(Assumptions!$H$346,Assumptions!$H$348,$C1024),AS1035))),0)</f>
        <v>0</v>
      </c>
      <c r="AU1035" s="39">
        <f>+IFERROR(-ABS(IF(EDATE(_xlfn.XLOOKUP(1,$H1022:$BE1022,$H$4:$BE$4),12*Assumptions!$H$348+12)=AU$4,0,IF(AT1022=1,PMT(Assumptions!$H$346,Assumptions!$H$348,$C1024),AT1035))),0)</f>
        <v>0</v>
      </c>
      <c r="AV1035" s="39">
        <f>+IFERROR(-ABS(IF(EDATE(_xlfn.XLOOKUP(1,$H1022:$BE1022,$H$4:$BE$4),12*Assumptions!$H$348+12)=AV$4,0,IF(AU1022=1,PMT(Assumptions!$H$346,Assumptions!$H$348,$C1024),AU1035))),0)</f>
        <v>0</v>
      </c>
      <c r="AW1035" s="39">
        <f>+IFERROR(-ABS(IF(EDATE(_xlfn.XLOOKUP(1,$H1022:$BE1022,$H$4:$BE$4),12*Assumptions!$H$348+12)=AW$4,0,IF(AV1022=1,PMT(Assumptions!$H$346,Assumptions!$H$348,$C1024),AV1035))),0)</f>
        <v>0</v>
      </c>
      <c r="AX1035" s="39">
        <f>+IFERROR(-ABS(IF(EDATE(_xlfn.XLOOKUP(1,$H1022:$BE1022,$H$4:$BE$4),12*Assumptions!$H$348+12)=AX$4,0,IF(AW1022=1,PMT(Assumptions!$H$346,Assumptions!$H$348,$C1024),AW1035))),0)</f>
        <v>0</v>
      </c>
      <c r="AY1035" s="39">
        <f>+IFERROR(-ABS(IF(EDATE(_xlfn.XLOOKUP(1,$H1022:$BE1022,$H$4:$BE$4),12*Assumptions!$H$348+12)=AY$4,0,IF(AX1022=1,PMT(Assumptions!$H$346,Assumptions!$H$348,$C1024),AX1035))),0)</f>
        <v>0</v>
      </c>
      <c r="AZ1035" s="39">
        <f>+IFERROR(-ABS(IF(EDATE(_xlfn.XLOOKUP(1,$H1022:$BE1022,$H$4:$BE$4),12*Assumptions!$H$348+12)=AZ$4,0,IF(AY1022=1,PMT(Assumptions!$H$346,Assumptions!$H$348,$C1024),AY1035))),0)</f>
        <v>0</v>
      </c>
      <c r="BA1035" s="39">
        <f>+IFERROR(-ABS(IF(EDATE(_xlfn.XLOOKUP(1,$H1022:$BE1022,$H$4:$BE$4),12*Assumptions!$H$348+12)=BA$4,0,IF(AZ1022=1,PMT(Assumptions!$H$346,Assumptions!$H$348,$C1024),AZ1035))),0)</f>
        <v>0</v>
      </c>
      <c r="BB1035" s="39">
        <f>+IFERROR(-ABS(IF(EDATE(_xlfn.XLOOKUP(1,$H1022:$BE1022,$H$4:$BE$4),12*Assumptions!$H$348+12)=BB$4,0,IF(BA1022=1,PMT(Assumptions!$H$346,Assumptions!$H$348,$C1024),BA1035))),0)</f>
        <v>0</v>
      </c>
      <c r="BC1035" s="39">
        <f>+IFERROR(-ABS(IF(EDATE(_xlfn.XLOOKUP(1,$H1022:$BE1022,$H$4:$BE$4),12*Assumptions!$H$348+12)=BC$4,0,IF(BB1022=1,PMT(Assumptions!$H$346,Assumptions!$H$348,$C1024),BB1035))),0)</f>
        <v>0</v>
      </c>
      <c r="BD1035" s="39">
        <f>+IFERROR(-ABS(IF(EDATE(_xlfn.XLOOKUP(1,$H1022:$BE1022,$H$4:$BE$4),12*Assumptions!$H$348+12)=BD$4,0,IF(BC1022=1,PMT(Assumptions!$H$346,Assumptions!$H$348,$C1024),BC1035))),0)</f>
        <v>0</v>
      </c>
      <c r="BE1035" s="39">
        <f>+IFERROR(-ABS(IF(EDATE(_xlfn.XLOOKUP(1,$H1022:$BE1022,$H$4:$BE$4),12*Assumptions!$H$348+12)=BE$4,0,IF(BD1022=1,PMT(Assumptions!$H$346,Assumptions!$H$348,$C1024),BD1035))),0)</f>
        <v>0</v>
      </c>
      <c r="BF1035" s="39">
        <f>+IFERROR(-ABS(IF(EDATE(_xlfn.XLOOKUP(1,$H1022:$BE1022,$H$4:$BE$4),12*Assumptions!$H$348+12)=BF$4,0,IF(BE1022=1,PMT(Assumptions!$H$346,Assumptions!$H$348,$C1024),BE1035))),0)</f>
        <v>0</v>
      </c>
      <c r="BG1035" s="39">
        <f>+IFERROR(-ABS(IF(EDATE(_xlfn.XLOOKUP(1,$H1022:$BE1022,$H$4:$BE$4),12*Assumptions!$H$348+12)=BG$4,0,IF(BF1022=1,PMT(Assumptions!$H$346,Assumptions!$H$348,$C1024),BF1035))),0)</f>
        <v>0</v>
      </c>
      <c r="BH1035" s="39">
        <f>+IFERROR(-ABS(IF(EDATE(_xlfn.XLOOKUP(1,$H1022:$BE1022,$H$4:$BE$4),12*Assumptions!$H$348+12)=BH$4,0,IF(BG1022=1,PMT(Assumptions!$H$346,Assumptions!$H$348,$C1024),BG1035))),0)</f>
        <v>0</v>
      </c>
      <c r="BI1035" s="39">
        <f>+IFERROR(-ABS(IF(EDATE(_xlfn.XLOOKUP(1,$H1022:$BE1022,$H$4:$BE$4),12*Assumptions!$H$348+12)=BI$4,0,IF(BH1022=1,PMT(Assumptions!$H$346,Assumptions!$H$348,$C1024),BH1035))),0)</f>
        <v>0</v>
      </c>
      <c r="BJ1035" s="39">
        <f>+IFERROR(-ABS(IF(EDATE(_xlfn.XLOOKUP(1,$H1022:$BE1022,$H$4:$BE$4),12*Assumptions!$H$348+12)=BJ$4,0,IF(BI1022=1,PMT(Assumptions!$H$346,Assumptions!$H$348,$C1024),BI1035))),0)</f>
        <v>0</v>
      </c>
      <c r="BK1035" s="39">
        <f>+IFERROR(-ABS(IF(EDATE(_xlfn.XLOOKUP(1,$H1022:$BE1022,$H$4:$BE$4),12*Assumptions!$H$348+12)=BK$4,0,IF(BJ1022=1,PMT(Assumptions!$H$346,Assumptions!$H$348,$C1024),BJ1035))),0)</f>
        <v>0</v>
      </c>
      <c r="BL1035" s="39">
        <f>+IFERROR(-ABS(IF(EDATE(_xlfn.XLOOKUP(1,$H1022:$BE1022,$H$4:$BE$4),12*Assumptions!$H$348+12)=BL$4,0,IF(BK1022=1,PMT(Assumptions!$H$346,Assumptions!$H$348,$C1024),BK1035))),0)</f>
        <v>0</v>
      </c>
      <c r="BM1035" s="39">
        <f>+IFERROR(-ABS(IF(EDATE(_xlfn.XLOOKUP(1,$H1022:$BE1022,$H$4:$BE$4),12*Assumptions!$H$348+12)=BM$4,0,IF(BL1022=1,PMT(Assumptions!$H$346,Assumptions!$H$348,$C1024),BL1035))),0)</f>
        <v>0</v>
      </c>
      <c r="BN1035" s="39">
        <f>+IFERROR(-ABS(IF(EDATE(_xlfn.XLOOKUP(1,$H1022:$BE1022,$H$4:$BE$4),12*Assumptions!$H$348+12)=BN$4,0,IF(BM1022=1,PMT(Assumptions!$H$346,Assumptions!$H$348,$C1024),BM1035))),0)</f>
        <v>0</v>
      </c>
      <c r="BO1035" s="39">
        <f>+IFERROR(-ABS(IF(EDATE(_xlfn.XLOOKUP(1,$H1022:$BE1022,$H$4:$BE$4),12*Assumptions!$H$348+12)=BO$4,0,IF(BN1022=1,PMT(Assumptions!$H$346,Assumptions!$H$348,$C1024),BN1035))),0)</f>
        <v>0</v>
      </c>
      <c r="BP1035" s="39">
        <f>+IFERROR(-ABS(IF(EDATE(_xlfn.XLOOKUP(1,$H1022:$BE1022,$H$4:$BE$4),12*Assumptions!$H$348+12)=BP$4,0,IF(BO1022=1,PMT(Assumptions!$H$346,Assumptions!$H$348,$C1024),BO1035))),0)</f>
        <v>0</v>
      </c>
      <c r="BQ1035" s="39">
        <f>+IFERROR(-ABS(IF(EDATE(_xlfn.XLOOKUP(1,$H1022:$BE1022,$H$4:$BE$4),12*Assumptions!$H$348+12)=BQ$4,0,IF(BP1022=1,PMT(Assumptions!$H$346,Assumptions!$H$348,$C1024),BP1035))),0)</f>
        <v>0</v>
      </c>
      <c r="BR1035" s="39">
        <f>+IFERROR(-ABS(IF(EDATE(_xlfn.XLOOKUP(1,$H1022:$BE1022,$H$4:$BE$4),12*Assumptions!$H$348+12)=BR$4,0,IF(BQ1022=1,PMT(Assumptions!$H$346,Assumptions!$H$348,$C1024),BQ1035))),0)</f>
        <v>0</v>
      </c>
      <c r="BS1035" s="39">
        <f>+IFERROR(-ABS(IF(EDATE(_xlfn.XLOOKUP(1,$H1022:$BE1022,$H$4:$BE$4),12*Assumptions!$H$348+12)=BS$4,0,IF(BR1022=1,PMT(Assumptions!$H$346,Assumptions!$H$348,$C1024),BR1035))),0)</f>
        <v>0</v>
      </c>
      <c r="BT1035" s="39">
        <f>+IFERROR(-ABS(IF(EDATE(_xlfn.XLOOKUP(1,$H1022:$BE1022,$H$4:$BE$4),12*Assumptions!$H$348+12)=BT$4,0,IF(BS1022=1,PMT(Assumptions!$H$346,Assumptions!$H$348,$C1024),BS1035))),0)</f>
        <v>0</v>
      </c>
      <c r="BU1035" s="39">
        <f>+IFERROR(-ABS(IF(EDATE(_xlfn.XLOOKUP(1,$H1022:$BE1022,$H$4:$BE$4),12*Assumptions!$H$348+12)=BU$4,0,IF(BT1022=1,PMT(Assumptions!$H$346,Assumptions!$H$348,$C1024),BT1035))),0)</f>
        <v>0</v>
      </c>
      <c r="BV1035" s="39">
        <f>+IFERROR(-ABS(IF(EDATE(_xlfn.XLOOKUP(1,$H1022:$BE1022,$H$4:$BE$4),12*Assumptions!$H$348+12)=BV$4,0,IF(BU1022=1,PMT(Assumptions!$H$346,Assumptions!$H$348,$C1024),BU1035))),0)</f>
        <v>0</v>
      </c>
      <c r="BW1035" s="39">
        <f>+IFERROR(-ABS(IF(EDATE(_xlfn.XLOOKUP(1,$H1022:$BE1022,$H$4:$BE$4),12*Assumptions!$H$348+12)=BW$4,0,IF(BV1022=1,PMT(Assumptions!$H$346,Assumptions!$H$348,$C1024),BV1035))),0)</f>
        <v>0</v>
      </c>
      <c r="BX1035" s="39">
        <f>+IFERROR(-ABS(IF(EDATE(_xlfn.XLOOKUP(1,$H1022:$BE1022,$H$4:$BE$4),12*Assumptions!$H$348+12)=BX$4,0,IF(BW1022=1,PMT(Assumptions!$H$346,Assumptions!$H$348,$C1024),BW1035))),0)</f>
        <v>0</v>
      </c>
      <c r="BY1035" s="39">
        <f>+IFERROR(-ABS(IF(EDATE(_xlfn.XLOOKUP(1,$H1022:$BE1022,$H$4:$BE$4),12*Assumptions!$H$348+12)=BY$4,0,IF(BX1022=1,PMT(Assumptions!$H$346,Assumptions!$H$348,$C1024),BX1035))),0)</f>
        <v>0</v>
      </c>
    </row>
    <row r="1036" spans="5:77" outlineLevel="1">
      <c r="E1036" s="24" t="s">
        <v>522</v>
      </c>
      <c r="F1036" s="80" t="str">
        <f>+Assumptions!$G$8</f>
        <v>USD</v>
      </c>
      <c r="G1036" s="24"/>
      <c r="H1036" s="39">
        <f>+IFERROR(-ABS(IF(EDATE(_xlfn.XLOOKUP(1,$H1023:$BE1023,$H$4:$BE$4),12*Assumptions!$H$348+12)=H$4,0,IF(G1023=1,PMT(Assumptions!$H$346,Assumptions!$H$348,$C1025),G1036))),0)</f>
        <v>0</v>
      </c>
      <c r="I1036" s="39">
        <f>+IFERROR(-ABS(IF(EDATE(_xlfn.XLOOKUP(1,$H1023:$BE1023,$H$4:$BE$4),12*Assumptions!$H$348+12)=I$4,0,IF(H1023=1,PMT(Assumptions!$H$346,Assumptions!$H$348,$C1025),H1036))),0)</f>
        <v>0</v>
      </c>
      <c r="J1036" s="39">
        <f>+IFERROR(-ABS(IF(EDATE(_xlfn.XLOOKUP(1,$H1023:$BE1023,$H$4:$BE$4),12*Assumptions!$H$348+12)=J$4,0,IF(I1023=1,PMT(Assumptions!$H$346,Assumptions!$H$348,$C1025),I1036))),0)</f>
        <v>0</v>
      </c>
      <c r="K1036" s="39">
        <f>+IFERROR(-ABS(IF(EDATE(_xlfn.XLOOKUP(1,$H1023:$BE1023,$H$4:$BE$4),12*Assumptions!$H$348+12)=K$4,0,IF(J1023=1,PMT(Assumptions!$H$346,Assumptions!$H$348,$C1025),J1036))),0)</f>
        <v>0</v>
      </c>
      <c r="L1036" s="39">
        <f>+IFERROR(-ABS(IF(EDATE(_xlfn.XLOOKUP(1,$H1023:$BE1023,$H$4:$BE$4),12*Assumptions!$H$348+12)=L$4,0,IF(K1023=1,PMT(Assumptions!$H$346,Assumptions!$H$348,$C1025),K1036))),0)</f>
        <v>0</v>
      </c>
      <c r="M1036" s="39">
        <f>+IFERROR(-ABS(IF(EDATE(_xlfn.XLOOKUP(1,$H1023:$BE1023,$H$4:$BE$4),12*Assumptions!$H$348+12)=M$4,0,IF(L1023=1,PMT(Assumptions!$H$346,Assumptions!$H$348,$C1025),L1036))),0)</f>
        <v>0</v>
      </c>
      <c r="N1036" s="39">
        <f>+IFERROR(-ABS(IF(EDATE(_xlfn.XLOOKUP(1,$H1023:$BE1023,$H$4:$BE$4),12*Assumptions!$H$348+12)=N$4,0,IF(M1023=1,PMT(Assumptions!$H$346,Assumptions!$H$348,$C1025),M1036))),0)</f>
        <v>0</v>
      </c>
      <c r="O1036" s="39">
        <f>+IFERROR(-ABS(IF(EDATE(_xlfn.XLOOKUP(1,$H1023:$BE1023,$H$4:$BE$4),12*Assumptions!$H$348+12)=O$4,0,IF(N1023=1,PMT(Assumptions!$H$346,Assumptions!$H$348,$C1025),N1036))),0)</f>
        <v>0</v>
      </c>
      <c r="P1036" s="39">
        <f>+IFERROR(-ABS(IF(EDATE(_xlfn.XLOOKUP(1,$H1023:$BE1023,$H$4:$BE$4),12*Assumptions!$H$348+12)=P$4,0,IF(O1023=1,PMT(Assumptions!$H$346,Assumptions!$H$348,$C1025),O1036))),0)</f>
        <v>0</v>
      </c>
      <c r="Q1036" s="39">
        <f>+IFERROR(-ABS(IF(EDATE(_xlfn.XLOOKUP(1,$H1023:$BE1023,$H$4:$BE$4),12*Assumptions!$H$348+12)=Q$4,0,IF(P1023=1,PMT(Assumptions!$H$346,Assumptions!$H$348,$C1025),P1036))),0)</f>
        <v>0</v>
      </c>
      <c r="R1036" s="39">
        <f>+IFERROR(-ABS(IF(EDATE(_xlfn.XLOOKUP(1,$H1023:$BE1023,$H$4:$BE$4),12*Assumptions!$H$348+12)=R$4,0,IF(Q1023=1,PMT(Assumptions!$H$346,Assumptions!$H$348,$C1025),Q1036))),0)</f>
        <v>0</v>
      </c>
      <c r="S1036" s="39">
        <f>+IFERROR(-ABS(IF(EDATE(_xlfn.XLOOKUP(1,$H1023:$BE1023,$H$4:$BE$4),12*Assumptions!$H$348+12)=S$4,0,IF(R1023=1,PMT(Assumptions!$H$346,Assumptions!$H$348,$C1025),R1036))),0)</f>
        <v>0</v>
      </c>
      <c r="T1036" s="39">
        <f>+IFERROR(-ABS(IF(EDATE(_xlfn.XLOOKUP(1,$H1023:$BE1023,$H$4:$BE$4),12*Assumptions!$H$348+12)=T$4,0,IF(S1023=1,PMT(Assumptions!$H$346,Assumptions!$H$348,$C1025),S1036))),0)</f>
        <v>0</v>
      </c>
      <c r="U1036" s="39">
        <f>+IFERROR(-ABS(IF(EDATE(_xlfn.XLOOKUP(1,$H1023:$BE1023,$H$4:$BE$4),12*Assumptions!$H$348+12)=U$4,0,IF(T1023=1,PMT(Assumptions!$H$346,Assumptions!$H$348,$C1025),T1036))),0)</f>
        <v>0</v>
      </c>
      <c r="V1036" s="39">
        <f>+IFERROR(-ABS(IF(EDATE(_xlfn.XLOOKUP(1,$H1023:$BE1023,$H$4:$BE$4),12*Assumptions!$H$348+12)=V$4,0,IF(U1023=1,PMT(Assumptions!$H$346,Assumptions!$H$348,$C1025),U1036))),0)</f>
        <v>0</v>
      </c>
      <c r="W1036" s="39">
        <f>+IFERROR(-ABS(IF(EDATE(_xlfn.XLOOKUP(1,$H1023:$BE1023,$H$4:$BE$4),12*Assumptions!$H$348+12)=W$4,0,IF(V1023=1,PMT(Assumptions!$H$346,Assumptions!$H$348,$C1025),V1036))),0)</f>
        <v>0</v>
      </c>
      <c r="X1036" s="39">
        <f>+IFERROR(-ABS(IF(EDATE(_xlfn.XLOOKUP(1,$H1023:$BE1023,$H$4:$BE$4),12*Assumptions!$H$348+12)=X$4,0,IF(W1023=1,PMT(Assumptions!$H$346,Assumptions!$H$348,$C1025),W1036))),0)</f>
        <v>0</v>
      </c>
      <c r="Y1036" s="39">
        <f>+IFERROR(-ABS(IF(EDATE(_xlfn.XLOOKUP(1,$H1023:$BE1023,$H$4:$BE$4),12*Assumptions!$H$348+12)=Y$4,0,IF(X1023=1,PMT(Assumptions!$H$346,Assumptions!$H$348,$C1025),X1036))),0)</f>
        <v>0</v>
      </c>
      <c r="Z1036" s="39">
        <f>+IFERROR(-ABS(IF(EDATE(_xlfn.XLOOKUP(1,$H1023:$BE1023,$H$4:$BE$4),12*Assumptions!$H$348+12)=Z$4,0,IF(Y1023=1,PMT(Assumptions!$H$346,Assumptions!$H$348,$C1025),Y1036))),0)</f>
        <v>0</v>
      </c>
      <c r="AA1036" s="39">
        <f>+IFERROR(-ABS(IF(EDATE(_xlfn.XLOOKUP(1,$H1023:$BE1023,$H$4:$BE$4),12*Assumptions!$H$348+12)=AA$4,0,IF(Z1023=1,PMT(Assumptions!$H$346,Assumptions!$H$348,$C1025),Z1036))),0)</f>
        <v>0</v>
      </c>
      <c r="AB1036" s="39">
        <f>+IFERROR(-ABS(IF(EDATE(_xlfn.XLOOKUP(1,$H1023:$BE1023,$H$4:$BE$4),12*Assumptions!$H$348+12)=AB$4,0,IF(AA1023=1,PMT(Assumptions!$H$346,Assumptions!$H$348,$C1025),AA1036))),0)</f>
        <v>0</v>
      </c>
      <c r="AC1036" s="39">
        <f>+IFERROR(-ABS(IF(EDATE(_xlfn.XLOOKUP(1,$H1023:$BE1023,$H$4:$BE$4),12*Assumptions!$H$348+12)=AC$4,0,IF(AB1023=1,PMT(Assumptions!$H$346,Assumptions!$H$348,$C1025),AB1036))),0)</f>
        <v>0</v>
      </c>
      <c r="AD1036" s="39">
        <f>+IFERROR(-ABS(IF(EDATE(_xlfn.XLOOKUP(1,$H1023:$BE1023,$H$4:$BE$4),12*Assumptions!$H$348+12)=AD$4,0,IF(AC1023=1,PMT(Assumptions!$H$346,Assumptions!$H$348,$C1025),AC1036))),0)</f>
        <v>0</v>
      </c>
      <c r="AE1036" s="39">
        <f>+IFERROR(-ABS(IF(EDATE(_xlfn.XLOOKUP(1,$H1023:$BE1023,$H$4:$BE$4),12*Assumptions!$H$348+12)=AE$4,0,IF(AD1023=1,PMT(Assumptions!$H$346,Assumptions!$H$348,$C1025),AD1036))),0)</f>
        <v>0</v>
      </c>
      <c r="AF1036" s="39">
        <f>+IFERROR(-ABS(IF(EDATE(_xlfn.XLOOKUP(1,$H1023:$BE1023,$H$4:$BE$4),12*Assumptions!$H$348+12)=AF$4,0,IF(AE1023=1,PMT(Assumptions!$H$346,Assumptions!$H$348,$C1025),AE1036))),0)</f>
        <v>0</v>
      </c>
      <c r="AG1036" s="39">
        <f>+IFERROR(-ABS(IF(EDATE(_xlfn.XLOOKUP(1,$H1023:$BE1023,$H$4:$BE$4),12*Assumptions!$H$348+12)=AG$4,0,IF(AF1023=1,PMT(Assumptions!$H$346,Assumptions!$H$348,$C1025),AF1036))),0)</f>
        <v>0</v>
      </c>
      <c r="AH1036" s="39">
        <f>+IFERROR(-ABS(IF(EDATE(_xlfn.XLOOKUP(1,$H1023:$BE1023,$H$4:$BE$4),12*Assumptions!$H$348+12)=AH$4,0,IF(AG1023=1,PMT(Assumptions!$H$346,Assumptions!$H$348,$C1025),AG1036))),0)</f>
        <v>0</v>
      </c>
      <c r="AI1036" s="39">
        <f>+IFERROR(-ABS(IF(EDATE(_xlfn.XLOOKUP(1,$H1023:$BE1023,$H$4:$BE$4),12*Assumptions!$H$348+12)=AI$4,0,IF(AH1023=1,PMT(Assumptions!$H$346,Assumptions!$H$348,$C1025),AH1036))),0)</f>
        <v>0</v>
      </c>
      <c r="AJ1036" s="39">
        <f>+IFERROR(-ABS(IF(EDATE(_xlfn.XLOOKUP(1,$H1023:$BE1023,$H$4:$BE$4),12*Assumptions!$H$348+12)=AJ$4,0,IF(AI1023=1,PMT(Assumptions!$H$346,Assumptions!$H$348,$C1025),AI1036))),0)</f>
        <v>0</v>
      </c>
      <c r="AK1036" s="39">
        <f>+IFERROR(-ABS(IF(EDATE(_xlfn.XLOOKUP(1,$H1023:$BE1023,$H$4:$BE$4),12*Assumptions!$H$348+12)=AK$4,0,IF(AJ1023=1,PMT(Assumptions!$H$346,Assumptions!$H$348,$C1025),AJ1036))),0)</f>
        <v>0</v>
      </c>
      <c r="AL1036" s="39">
        <f>+IFERROR(-ABS(IF(EDATE(_xlfn.XLOOKUP(1,$H1023:$BE1023,$H$4:$BE$4),12*Assumptions!$H$348+12)=AL$4,0,IF(AK1023=1,PMT(Assumptions!$H$346,Assumptions!$H$348,$C1025),AK1036))),0)</f>
        <v>0</v>
      </c>
      <c r="AM1036" s="39">
        <f>+IFERROR(-ABS(IF(EDATE(_xlfn.XLOOKUP(1,$H1023:$BE1023,$H$4:$BE$4),12*Assumptions!$H$348+12)=AM$4,0,IF(AL1023=1,PMT(Assumptions!$H$346,Assumptions!$H$348,$C1025),AL1036))),0)</f>
        <v>0</v>
      </c>
      <c r="AN1036" s="39">
        <f>+IFERROR(-ABS(IF(EDATE(_xlfn.XLOOKUP(1,$H1023:$BE1023,$H$4:$BE$4),12*Assumptions!$H$348+12)=AN$4,0,IF(AM1023=1,PMT(Assumptions!$H$346,Assumptions!$H$348,$C1025),AM1036))),0)</f>
        <v>0</v>
      </c>
      <c r="AO1036" s="39">
        <f>+IFERROR(-ABS(IF(EDATE(_xlfn.XLOOKUP(1,$H1023:$BE1023,$H$4:$BE$4),12*Assumptions!$H$348+12)=AO$4,0,IF(AN1023=1,PMT(Assumptions!$H$346,Assumptions!$H$348,$C1025),AN1036))),0)</f>
        <v>0</v>
      </c>
      <c r="AP1036" s="39">
        <f>+IFERROR(-ABS(IF(EDATE(_xlfn.XLOOKUP(1,$H1023:$BE1023,$H$4:$BE$4),12*Assumptions!$H$348+12)=AP$4,0,IF(AO1023=1,PMT(Assumptions!$H$346,Assumptions!$H$348,$C1025),AO1036))),0)</f>
        <v>0</v>
      </c>
      <c r="AQ1036" s="39">
        <f>+IFERROR(-ABS(IF(EDATE(_xlfn.XLOOKUP(1,$H1023:$BE1023,$H$4:$BE$4),12*Assumptions!$H$348+12)=AQ$4,0,IF(AP1023=1,PMT(Assumptions!$H$346,Assumptions!$H$348,$C1025),AP1036))),0)</f>
        <v>0</v>
      </c>
      <c r="AR1036" s="39">
        <f>+IFERROR(-ABS(IF(EDATE(_xlfn.XLOOKUP(1,$H1023:$BE1023,$H$4:$BE$4),12*Assumptions!$H$348+12)=AR$4,0,IF(AQ1023=1,PMT(Assumptions!$H$346,Assumptions!$H$348,$C1025),AQ1036))),0)</f>
        <v>0</v>
      </c>
      <c r="AS1036" s="39">
        <f>+IFERROR(-ABS(IF(EDATE(_xlfn.XLOOKUP(1,$H1023:$BE1023,$H$4:$BE$4),12*Assumptions!$H$348+12)=AS$4,0,IF(AR1023=1,PMT(Assumptions!$H$346,Assumptions!$H$348,$C1025),AR1036))),0)</f>
        <v>0</v>
      </c>
      <c r="AT1036" s="39">
        <f>+IFERROR(-ABS(IF(EDATE(_xlfn.XLOOKUP(1,$H1023:$BE1023,$H$4:$BE$4),12*Assumptions!$H$348+12)=AT$4,0,IF(AS1023=1,PMT(Assumptions!$H$346,Assumptions!$H$348,$C1025),AS1036))),0)</f>
        <v>0</v>
      </c>
      <c r="AU1036" s="39">
        <f>+IFERROR(-ABS(IF(EDATE(_xlfn.XLOOKUP(1,$H1023:$BE1023,$H$4:$BE$4),12*Assumptions!$H$348+12)=AU$4,0,IF(AT1023=1,PMT(Assumptions!$H$346,Assumptions!$H$348,$C1025),AT1036))),0)</f>
        <v>0</v>
      </c>
      <c r="AV1036" s="39">
        <f>+IFERROR(-ABS(IF(EDATE(_xlfn.XLOOKUP(1,$H1023:$BE1023,$H$4:$BE$4),12*Assumptions!$H$348+12)=AV$4,0,IF(AU1023=1,PMT(Assumptions!$H$346,Assumptions!$H$348,$C1025),AU1036))),0)</f>
        <v>0</v>
      </c>
      <c r="AW1036" s="39">
        <f>+IFERROR(-ABS(IF(EDATE(_xlfn.XLOOKUP(1,$H1023:$BE1023,$H$4:$BE$4),12*Assumptions!$H$348+12)=AW$4,0,IF(AV1023=1,PMT(Assumptions!$H$346,Assumptions!$H$348,$C1025),AV1036))),0)</f>
        <v>0</v>
      </c>
      <c r="AX1036" s="39">
        <f>+IFERROR(-ABS(IF(EDATE(_xlfn.XLOOKUP(1,$H1023:$BE1023,$H$4:$BE$4),12*Assumptions!$H$348+12)=AX$4,0,IF(AW1023=1,PMT(Assumptions!$H$346,Assumptions!$H$348,$C1025),AW1036))),0)</f>
        <v>0</v>
      </c>
      <c r="AY1036" s="39">
        <f>+IFERROR(-ABS(IF(EDATE(_xlfn.XLOOKUP(1,$H1023:$BE1023,$H$4:$BE$4),12*Assumptions!$H$348+12)=AY$4,0,IF(AX1023=1,PMT(Assumptions!$H$346,Assumptions!$H$348,$C1025),AX1036))),0)</f>
        <v>0</v>
      </c>
      <c r="AZ1036" s="39">
        <f>+IFERROR(-ABS(IF(EDATE(_xlfn.XLOOKUP(1,$H1023:$BE1023,$H$4:$BE$4),12*Assumptions!$H$348+12)=AZ$4,0,IF(AY1023=1,PMT(Assumptions!$H$346,Assumptions!$H$348,$C1025),AY1036))),0)</f>
        <v>0</v>
      </c>
      <c r="BA1036" s="39">
        <f>+IFERROR(-ABS(IF(EDATE(_xlfn.XLOOKUP(1,$H1023:$BE1023,$H$4:$BE$4),12*Assumptions!$H$348+12)=BA$4,0,IF(AZ1023=1,PMT(Assumptions!$H$346,Assumptions!$H$348,$C1025),AZ1036))),0)</f>
        <v>0</v>
      </c>
      <c r="BB1036" s="39">
        <f>+IFERROR(-ABS(IF(EDATE(_xlfn.XLOOKUP(1,$H1023:$BE1023,$H$4:$BE$4),12*Assumptions!$H$348+12)=BB$4,0,IF(BA1023=1,PMT(Assumptions!$H$346,Assumptions!$H$348,$C1025),BA1036))),0)</f>
        <v>0</v>
      </c>
      <c r="BC1036" s="39">
        <f>+IFERROR(-ABS(IF(EDATE(_xlfn.XLOOKUP(1,$H1023:$BE1023,$H$4:$BE$4),12*Assumptions!$H$348+12)=BC$4,0,IF(BB1023=1,PMT(Assumptions!$H$346,Assumptions!$H$348,$C1025),BB1036))),0)</f>
        <v>0</v>
      </c>
      <c r="BD1036" s="39">
        <f>+IFERROR(-ABS(IF(EDATE(_xlfn.XLOOKUP(1,$H1023:$BE1023,$H$4:$BE$4),12*Assumptions!$H$348+12)=BD$4,0,IF(BC1023=1,PMT(Assumptions!$H$346,Assumptions!$H$348,$C1025),BC1036))),0)</f>
        <v>0</v>
      </c>
      <c r="BE1036" s="39">
        <f>+IFERROR(-ABS(IF(EDATE(_xlfn.XLOOKUP(1,$H1023:$BE1023,$H$4:$BE$4),12*Assumptions!$H$348+12)=BE$4,0,IF(BD1023=1,PMT(Assumptions!$H$346,Assumptions!$H$348,$C1025),BD1036))),0)</f>
        <v>0</v>
      </c>
      <c r="BF1036" s="39">
        <f>+IFERROR(-ABS(IF(EDATE(_xlfn.XLOOKUP(1,$H1023:$BE1023,$H$4:$BE$4),12*Assumptions!$H$348+12)=BF$4,0,IF(BE1023=1,PMT(Assumptions!$H$346,Assumptions!$H$348,$C1025),BE1036))),0)</f>
        <v>0</v>
      </c>
      <c r="BG1036" s="39">
        <f>+IFERROR(-ABS(IF(EDATE(_xlfn.XLOOKUP(1,$H1023:$BE1023,$H$4:$BE$4),12*Assumptions!$H$348+12)=BG$4,0,IF(BF1023=1,PMT(Assumptions!$H$346,Assumptions!$H$348,$C1025),BF1036))),0)</f>
        <v>0</v>
      </c>
      <c r="BH1036" s="39">
        <f>+IFERROR(-ABS(IF(EDATE(_xlfn.XLOOKUP(1,$H1023:$BE1023,$H$4:$BE$4),12*Assumptions!$H$348+12)=BH$4,0,IF(BG1023=1,PMT(Assumptions!$H$346,Assumptions!$H$348,$C1025),BG1036))),0)</f>
        <v>0</v>
      </c>
      <c r="BI1036" s="39">
        <f>+IFERROR(-ABS(IF(EDATE(_xlfn.XLOOKUP(1,$H1023:$BE1023,$H$4:$BE$4),12*Assumptions!$H$348+12)=BI$4,0,IF(BH1023=1,PMT(Assumptions!$H$346,Assumptions!$H$348,$C1025),BH1036))),0)</f>
        <v>0</v>
      </c>
      <c r="BJ1036" s="39">
        <f>+IFERROR(-ABS(IF(EDATE(_xlfn.XLOOKUP(1,$H1023:$BE1023,$H$4:$BE$4),12*Assumptions!$H$348+12)=BJ$4,0,IF(BI1023=1,PMT(Assumptions!$H$346,Assumptions!$H$348,$C1025),BI1036))),0)</f>
        <v>0</v>
      </c>
      <c r="BK1036" s="39">
        <f>+IFERROR(-ABS(IF(EDATE(_xlfn.XLOOKUP(1,$H1023:$BE1023,$H$4:$BE$4),12*Assumptions!$H$348+12)=BK$4,0,IF(BJ1023=1,PMT(Assumptions!$H$346,Assumptions!$H$348,$C1025),BJ1036))),0)</f>
        <v>0</v>
      </c>
      <c r="BL1036" s="39">
        <f>+IFERROR(-ABS(IF(EDATE(_xlfn.XLOOKUP(1,$H1023:$BE1023,$H$4:$BE$4),12*Assumptions!$H$348+12)=BL$4,0,IF(BK1023=1,PMT(Assumptions!$H$346,Assumptions!$H$348,$C1025),BK1036))),0)</f>
        <v>0</v>
      </c>
      <c r="BM1036" s="39">
        <f>+IFERROR(-ABS(IF(EDATE(_xlfn.XLOOKUP(1,$H1023:$BE1023,$H$4:$BE$4),12*Assumptions!$H$348+12)=BM$4,0,IF(BL1023=1,PMT(Assumptions!$H$346,Assumptions!$H$348,$C1025),BL1036))),0)</f>
        <v>0</v>
      </c>
      <c r="BN1036" s="39">
        <f>+IFERROR(-ABS(IF(EDATE(_xlfn.XLOOKUP(1,$H1023:$BE1023,$H$4:$BE$4),12*Assumptions!$H$348+12)=BN$4,0,IF(BM1023=1,PMT(Assumptions!$H$346,Assumptions!$H$348,$C1025),BM1036))),0)</f>
        <v>0</v>
      </c>
      <c r="BO1036" s="39">
        <f>+IFERROR(-ABS(IF(EDATE(_xlfn.XLOOKUP(1,$H1023:$BE1023,$H$4:$BE$4),12*Assumptions!$H$348+12)=BO$4,0,IF(BN1023=1,PMT(Assumptions!$H$346,Assumptions!$H$348,$C1025),BN1036))),0)</f>
        <v>0</v>
      </c>
      <c r="BP1036" s="39">
        <f>+IFERROR(-ABS(IF(EDATE(_xlfn.XLOOKUP(1,$H1023:$BE1023,$H$4:$BE$4),12*Assumptions!$H$348+12)=BP$4,0,IF(BO1023=1,PMT(Assumptions!$H$346,Assumptions!$H$348,$C1025),BO1036))),0)</f>
        <v>0</v>
      </c>
      <c r="BQ1036" s="39">
        <f>+IFERROR(-ABS(IF(EDATE(_xlfn.XLOOKUP(1,$H1023:$BE1023,$H$4:$BE$4),12*Assumptions!$H$348+12)=BQ$4,0,IF(BP1023=1,PMT(Assumptions!$H$346,Assumptions!$H$348,$C1025),BP1036))),0)</f>
        <v>0</v>
      </c>
      <c r="BR1036" s="39">
        <f>+IFERROR(-ABS(IF(EDATE(_xlfn.XLOOKUP(1,$H1023:$BE1023,$H$4:$BE$4),12*Assumptions!$H$348+12)=BR$4,0,IF(BQ1023=1,PMT(Assumptions!$H$346,Assumptions!$H$348,$C1025),BQ1036))),0)</f>
        <v>0</v>
      </c>
      <c r="BS1036" s="39">
        <f>+IFERROR(-ABS(IF(EDATE(_xlfn.XLOOKUP(1,$H1023:$BE1023,$H$4:$BE$4),12*Assumptions!$H$348+12)=BS$4,0,IF(BR1023=1,PMT(Assumptions!$H$346,Assumptions!$H$348,$C1025),BR1036))),0)</f>
        <v>0</v>
      </c>
      <c r="BT1036" s="39">
        <f>+IFERROR(-ABS(IF(EDATE(_xlfn.XLOOKUP(1,$H1023:$BE1023,$H$4:$BE$4),12*Assumptions!$H$348+12)=BT$4,0,IF(BS1023=1,PMT(Assumptions!$H$346,Assumptions!$H$348,$C1025),BS1036))),0)</f>
        <v>0</v>
      </c>
      <c r="BU1036" s="39">
        <f>+IFERROR(-ABS(IF(EDATE(_xlfn.XLOOKUP(1,$H1023:$BE1023,$H$4:$BE$4),12*Assumptions!$H$348+12)=BU$4,0,IF(BT1023=1,PMT(Assumptions!$H$346,Assumptions!$H$348,$C1025),BT1036))),0)</f>
        <v>0</v>
      </c>
      <c r="BV1036" s="39">
        <f>+IFERROR(-ABS(IF(EDATE(_xlfn.XLOOKUP(1,$H1023:$BE1023,$H$4:$BE$4),12*Assumptions!$H$348+12)=BV$4,0,IF(BU1023=1,PMT(Assumptions!$H$346,Assumptions!$H$348,$C1025),BU1036))),0)</f>
        <v>0</v>
      </c>
      <c r="BW1036" s="39">
        <f>+IFERROR(-ABS(IF(EDATE(_xlfn.XLOOKUP(1,$H1023:$BE1023,$H$4:$BE$4),12*Assumptions!$H$348+12)=BW$4,0,IF(BV1023=1,PMT(Assumptions!$H$346,Assumptions!$H$348,$C1025),BV1036))),0)</f>
        <v>0</v>
      </c>
      <c r="BX1036" s="39">
        <f>+IFERROR(-ABS(IF(EDATE(_xlfn.XLOOKUP(1,$H1023:$BE1023,$H$4:$BE$4),12*Assumptions!$H$348+12)=BX$4,0,IF(BW1023=1,PMT(Assumptions!$H$346,Assumptions!$H$348,$C1025),BW1036))),0)</f>
        <v>0</v>
      </c>
      <c r="BY1036" s="39">
        <f>+IFERROR(-ABS(IF(EDATE(_xlfn.XLOOKUP(1,$H1023:$BE1023,$H$4:$BE$4),12*Assumptions!$H$348+12)=BY$4,0,IF(BX1023=1,PMT(Assumptions!$H$346,Assumptions!$H$348,$C1025),BX1036))),0)</f>
        <v>0</v>
      </c>
    </row>
    <row r="1037" spans="5:77" outlineLevel="1">
      <c r="E1037" s="24" t="s">
        <v>523</v>
      </c>
      <c r="F1037" s="80" t="str">
        <f>+Assumptions!$G$8</f>
        <v>USD</v>
      </c>
      <c r="G1037" s="24"/>
      <c r="H1037" s="39">
        <f>+IFERROR(-ABS(IF(EDATE(_xlfn.XLOOKUP(1,$H1024:$BE1024,$H$4:$BE$4),12*Assumptions!$H$348+12)=H$4,0,IF(G1024=1,PMT(Assumptions!$H$346,Assumptions!$H$348,$C1026),G1037))),0)</f>
        <v>0</v>
      </c>
      <c r="I1037" s="39">
        <f>+IFERROR(-ABS(IF(EDATE(_xlfn.XLOOKUP(1,$H1024:$BE1024,$H$4:$BE$4),12*Assumptions!$H$348+12)=I$4,0,IF(H1024=1,PMT(Assumptions!$H$346,Assumptions!$H$348,$C1026),H1037))),0)</f>
        <v>0</v>
      </c>
      <c r="J1037" s="39">
        <f>+IFERROR(-ABS(IF(EDATE(_xlfn.XLOOKUP(1,$H1024:$BE1024,$H$4:$BE$4),12*Assumptions!$H$348+12)=J$4,0,IF(I1024=1,PMT(Assumptions!$H$346,Assumptions!$H$348,$C1026),I1037))),0)</f>
        <v>0</v>
      </c>
      <c r="K1037" s="39">
        <f>+IFERROR(-ABS(IF(EDATE(_xlfn.XLOOKUP(1,$H1024:$BE1024,$H$4:$BE$4),12*Assumptions!$H$348+12)=K$4,0,IF(J1024=1,PMT(Assumptions!$H$346,Assumptions!$H$348,$C1026),J1037))),0)</f>
        <v>0</v>
      </c>
      <c r="L1037" s="39">
        <f>+IFERROR(-ABS(IF(EDATE(_xlfn.XLOOKUP(1,$H1024:$BE1024,$H$4:$BE$4),12*Assumptions!$H$348+12)=L$4,0,IF(K1024=1,PMT(Assumptions!$H$346,Assumptions!$H$348,$C1026),K1037))),0)</f>
        <v>0</v>
      </c>
      <c r="M1037" s="39">
        <f>+IFERROR(-ABS(IF(EDATE(_xlfn.XLOOKUP(1,$H1024:$BE1024,$H$4:$BE$4),12*Assumptions!$H$348+12)=M$4,0,IF(L1024=1,PMT(Assumptions!$H$346,Assumptions!$H$348,$C1026),L1037))),0)</f>
        <v>0</v>
      </c>
      <c r="N1037" s="39">
        <f>+IFERROR(-ABS(IF(EDATE(_xlfn.XLOOKUP(1,$H1024:$BE1024,$H$4:$BE$4),12*Assumptions!$H$348+12)=N$4,0,IF(M1024=1,PMT(Assumptions!$H$346,Assumptions!$H$348,$C1026),M1037))),0)</f>
        <v>0</v>
      </c>
      <c r="O1037" s="39">
        <f>+IFERROR(-ABS(IF(EDATE(_xlfn.XLOOKUP(1,$H1024:$BE1024,$H$4:$BE$4),12*Assumptions!$H$348+12)=O$4,0,IF(N1024=1,PMT(Assumptions!$H$346,Assumptions!$H$348,$C1026),N1037))),0)</f>
        <v>0</v>
      </c>
      <c r="P1037" s="39">
        <f>+IFERROR(-ABS(IF(EDATE(_xlfn.XLOOKUP(1,$H1024:$BE1024,$H$4:$BE$4),12*Assumptions!$H$348+12)=P$4,0,IF(O1024=1,PMT(Assumptions!$H$346,Assumptions!$H$348,$C1026),O1037))),0)</f>
        <v>0</v>
      </c>
      <c r="Q1037" s="39">
        <f>+IFERROR(-ABS(IF(EDATE(_xlfn.XLOOKUP(1,$H1024:$BE1024,$H$4:$BE$4),12*Assumptions!$H$348+12)=Q$4,0,IF(P1024=1,PMT(Assumptions!$H$346,Assumptions!$H$348,$C1026),P1037))),0)</f>
        <v>0</v>
      </c>
      <c r="R1037" s="39">
        <f>+IFERROR(-ABS(IF(EDATE(_xlfn.XLOOKUP(1,$H1024:$BE1024,$H$4:$BE$4),12*Assumptions!$H$348+12)=R$4,0,IF(Q1024=1,PMT(Assumptions!$H$346,Assumptions!$H$348,$C1026),Q1037))),0)</f>
        <v>0</v>
      </c>
      <c r="S1037" s="39">
        <f>+IFERROR(-ABS(IF(EDATE(_xlfn.XLOOKUP(1,$H1024:$BE1024,$H$4:$BE$4),12*Assumptions!$H$348+12)=S$4,0,IF(R1024=1,PMT(Assumptions!$H$346,Assumptions!$H$348,$C1026),R1037))),0)</f>
        <v>0</v>
      </c>
      <c r="T1037" s="39">
        <f>+IFERROR(-ABS(IF(EDATE(_xlfn.XLOOKUP(1,$H1024:$BE1024,$H$4:$BE$4),12*Assumptions!$H$348+12)=T$4,0,IF(S1024=1,PMT(Assumptions!$H$346,Assumptions!$H$348,$C1026),S1037))),0)</f>
        <v>0</v>
      </c>
      <c r="U1037" s="39">
        <f>+IFERROR(-ABS(IF(EDATE(_xlfn.XLOOKUP(1,$H1024:$BE1024,$H$4:$BE$4),12*Assumptions!$H$348+12)=U$4,0,IF(T1024=1,PMT(Assumptions!$H$346,Assumptions!$H$348,$C1026),T1037))),0)</f>
        <v>0</v>
      </c>
      <c r="V1037" s="39">
        <f>+IFERROR(-ABS(IF(EDATE(_xlfn.XLOOKUP(1,$H1024:$BE1024,$H$4:$BE$4),12*Assumptions!$H$348+12)=V$4,0,IF(U1024=1,PMT(Assumptions!$H$346,Assumptions!$H$348,$C1026),U1037))),0)</f>
        <v>0</v>
      </c>
      <c r="W1037" s="39">
        <f>+IFERROR(-ABS(IF(EDATE(_xlfn.XLOOKUP(1,$H1024:$BE1024,$H$4:$BE$4),12*Assumptions!$H$348+12)=W$4,0,IF(V1024=1,PMT(Assumptions!$H$346,Assumptions!$H$348,$C1026),V1037))),0)</f>
        <v>0</v>
      </c>
      <c r="X1037" s="39">
        <f>+IFERROR(-ABS(IF(EDATE(_xlfn.XLOOKUP(1,$H1024:$BE1024,$H$4:$BE$4),12*Assumptions!$H$348+12)=X$4,0,IF(W1024=1,PMT(Assumptions!$H$346,Assumptions!$H$348,$C1026),W1037))),0)</f>
        <v>0</v>
      </c>
      <c r="Y1037" s="39">
        <f>+IFERROR(-ABS(IF(EDATE(_xlfn.XLOOKUP(1,$H1024:$BE1024,$H$4:$BE$4),12*Assumptions!$H$348+12)=Y$4,0,IF(X1024=1,PMT(Assumptions!$H$346,Assumptions!$H$348,$C1026),X1037))),0)</f>
        <v>0</v>
      </c>
      <c r="Z1037" s="39">
        <f>+IFERROR(-ABS(IF(EDATE(_xlfn.XLOOKUP(1,$H1024:$BE1024,$H$4:$BE$4),12*Assumptions!$H$348+12)=Z$4,0,IF(Y1024=1,PMT(Assumptions!$H$346,Assumptions!$H$348,$C1026),Y1037))),0)</f>
        <v>0</v>
      </c>
      <c r="AA1037" s="39">
        <f>+IFERROR(-ABS(IF(EDATE(_xlfn.XLOOKUP(1,$H1024:$BE1024,$H$4:$BE$4),12*Assumptions!$H$348+12)=AA$4,0,IF(Z1024=1,PMT(Assumptions!$H$346,Assumptions!$H$348,$C1026),Z1037))),0)</f>
        <v>0</v>
      </c>
      <c r="AB1037" s="39">
        <f>+IFERROR(-ABS(IF(EDATE(_xlfn.XLOOKUP(1,$H1024:$BE1024,$H$4:$BE$4),12*Assumptions!$H$348+12)=AB$4,0,IF(AA1024=1,PMT(Assumptions!$H$346,Assumptions!$H$348,$C1026),AA1037))),0)</f>
        <v>0</v>
      </c>
      <c r="AC1037" s="39">
        <f>+IFERROR(-ABS(IF(EDATE(_xlfn.XLOOKUP(1,$H1024:$BE1024,$H$4:$BE$4),12*Assumptions!$H$348+12)=AC$4,0,IF(AB1024=1,PMT(Assumptions!$H$346,Assumptions!$H$348,$C1026),AB1037))),0)</f>
        <v>0</v>
      </c>
      <c r="AD1037" s="39">
        <f>+IFERROR(-ABS(IF(EDATE(_xlfn.XLOOKUP(1,$H1024:$BE1024,$H$4:$BE$4),12*Assumptions!$H$348+12)=AD$4,0,IF(AC1024=1,PMT(Assumptions!$H$346,Assumptions!$H$348,$C1026),AC1037))),0)</f>
        <v>0</v>
      </c>
      <c r="AE1037" s="39">
        <f>+IFERROR(-ABS(IF(EDATE(_xlfn.XLOOKUP(1,$H1024:$BE1024,$H$4:$BE$4),12*Assumptions!$H$348+12)=AE$4,0,IF(AD1024=1,PMT(Assumptions!$H$346,Assumptions!$H$348,$C1026),AD1037))),0)</f>
        <v>0</v>
      </c>
      <c r="AF1037" s="39">
        <f>+IFERROR(-ABS(IF(EDATE(_xlfn.XLOOKUP(1,$H1024:$BE1024,$H$4:$BE$4),12*Assumptions!$H$348+12)=AF$4,0,IF(AE1024=1,PMT(Assumptions!$H$346,Assumptions!$H$348,$C1026),AE1037))),0)</f>
        <v>0</v>
      </c>
      <c r="AG1037" s="39">
        <f>+IFERROR(-ABS(IF(EDATE(_xlfn.XLOOKUP(1,$H1024:$BE1024,$H$4:$BE$4),12*Assumptions!$H$348+12)=AG$4,0,IF(AF1024=1,PMT(Assumptions!$H$346,Assumptions!$H$348,$C1026),AF1037))),0)</f>
        <v>0</v>
      </c>
      <c r="AH1037" s="39">
        <f>+IFERROR(-ABS(IF(EDATE(_xlfn.XLOOKUP(1,$H1024:$BE1024,$H$4:$BE$4),12*Assumptions!$H$348+12)=AH$4,0,IF(AG1024=1,PMT(Assumptions!$H$346,Assumptions!$H$348,$C1026),AG1037))),0)</f>
        <v>0</v>
      </c>
      <c r="AI1037" s="39">
        <f>+IFERROR(-ABS(IF(EDATE(_xlfn.XLOOKUP(1,$H1024:$BE1024,$H$4:$BE$4),12*Assumptions!$H$348+12)=AI$4,0,IF(AH1024=1,PMT(Assumptions!$H$346,Assumptions!$H$348,$C1026),AH1037))),0)</f>
        <v>0</v>
      </c>
      <c r="AJ1037" s="39">
        <f>+IFERROR(-ABS(IF(EDATE(_xlfn.XLOOKUP(1,$H1024:$BE1024,$H$4:$BE$4),12*Assumptions!$H$348+12)=AJ$4,0,IF(AI1024=1,PMT(Assumptions!$H$346,Assumptions!$H$348,$C1026),AI1037))),0)</f>
        <v>0</v>
      </c>
      <c r="AK1037" s="39">
        <f>+IFERROR(-ABS(IF(EDATE(_xlfn.XLOOKUP(1,$H1024:$BE1024,$H$4:$BE$4),12*Assumptions!$H$348+12)=AK$4,0,IF(AJ1024=1,PMT(Assumptions!$H$346,Assumptions!$H$348,$C1026),AJ1037))),0)</f>
        <v>0</v>
      </c>
      <c r="AL1037" s="39">
        <f>+IFERROR(-ABS(IF(EDATE(_xlfn.XLOOKUP(1,$H1024:$BE1024,$H$4:$BE$4),12*Assumptions!$H$348+12)=AL$4,0,IF(AK1024=1,PMT(Assumptions!$H$346,Assumptions!$H$348,$C1026),AK1037))),0)</f>
        <v>0</v>
      </c>
      <c r="AM1037" s="39">
        <f>+IFERROR(-ABS(IF(EDATE(_xlfn.XLOOKUP(1,$H1024:$BE1024,$H$4:$BE$4),12*Assumptions!$H$348+12)=AM$4,0,IF(AL1024=1,PMT(Assumptions!$H$346,Assumptions!$H$348,$C1026),AL1037))),0)</f>
        <v>0</v>
      </c>
      <c r="AN1037" s="39">
        <f>+IFERROR(-ABS(IF(EDATE(_xlfn.XLOOKUP(1,$H1024:$BE1024,$H$4:$BE$4),12*Assumptions!$H$348+12)=AN$4,0,IF(AM1024=1,PMT(Assumptions!$H$346,Assumptions!$H$348,$C1026),AM1037))),0)</f>
        <v>0</v>
      </c>
      <c r="AO1037" s="39">
        <f>+IFERROR(-ABS(IF(EDATE(_xlfn.XLOOKUP(1,$H1024:$BE1024,$H$4:$BE$4),12*Assumptions!$H$348+12)=AO$4,0,IF(AN1024=1,PMT(Assumptions!$H$346,Assumptions!$H$348,$C1026),AN1037))),0)</f>
        <v>0</v>
      </c>
      <c r="AP1037" s="39">
        <f>+IFERROR(-ABS(IF(EDATE(_xlfn.XLOOKUP(1,$H1024:$BE1024,$H$4:$BE$4),12*Assumptions!$H$348+12)=AP$4,0,IF(AO1024=1,PMT(Assumptions!$H$346,Assumptions!$H$348,$C1026),AO1037))),0)</f>
        <v>0</v>
      </c>
      <c r="AQ1037" s="39">
        <f>+IFERROR(-ABS(IF(EDATE(_xlfn.XLOOKUP(1,$H1024:$BE1024,$H$4:$BE$4),12*Assumptions!$H$348+12)=AQ$4,0,IF(AP1024=1,PMT(Assumptions!$H$346,Assumptions!$H$348,$C1026),AP1037))),0)</f>
        <v>0</v>
      </c>
      <c r="AR1037" s="39">
        <f>+IFERROR(-ABS(IF(EDATE(_xlfn.XLOOKUP(1,$H1024:$BE1024,$H$4:$BE$4),12*Assumptions!$H$348+12)=AR$4,0,IF(AQ1024=1,PMT(Assumptions!$H$346,Assumptions!$H$348,$C1026),AQ1037))),0)</f>
        <v>0</v>
      </c>
      <c r="AS1037" s="39">
        <f>+IFERROR(-ABS(IF(EDATE(_xlfn.XLOOKUP(1,$H1024:$BE1024,$H$4:$BE$4),12*Assumptions!$H$348+12)=AS$4,0,IF(AR1024=1,PMT(Assumptions!$H$346,Assumptions!$H$348,$C1026),AR1037))),0)</f>
        <v>0</v>
      </c>
      <c r="AT1037" s="39">
        <f>+IFERROR(-ABS(IF(EDATE(_xlfn.XLOOKUP(1,$H1024:$BE1024,$H$4:$BE$4),12*Assumptions!$H$348+12)=AT$4,0,IF(AS1024=1,PMT(Assumptions!$H$346,Assumptions!$H$348,$C1026),AS1037))),0)</f>
        <v>0</v>
      </c>
      <c r="AU1037" s="39">
        <f>+IFERROR(-ABS(IF(EDATE(_xlfn.XLOOKUP(1,$H1024:$BE1024,$H$4:$BE$4),12*Assumptions!$H$348+12)=AU$4,0,IF(AT1024=1,PMT(Assumptions!$H$346,Assumptions!$H$348,$C1026),AT1037))),0)</f>
        <v>0</v>
      </c>
      <c r="AV1037" s="39">
        <f>+IFERROR(-ABS(IF(EDATE(_xlfn.XLOOKUP(1,$H1024:$BE1024,$H$4:$BE$4),12*Assumptions!$H$348+12)=AV$4,0,IF(AU1024=1,PMT(Assumptions!$H$346,Assumptions!$H$348,$C1026),AU1037))),0)</f>
        <v>0</v>
      </c>
      <c r="AW1037" s="39">
        <f>+IFERROR(-ABS(IF(EDATE(_xlfn.XLOOKUP(1,$H1024:$BE1024,$H$4:$BE$4),12*Assumptions!$H$348+12)=AW$4,0,IF(AV1024=1,PMT(Assumptions!$H$346,Assumptions!$H$348,$C1026),AV1037))),0)</f>
        <v>0</v>
      </c>
      <c r="AX1037" s="39">
        <f>+IFERROR(-ABS(IF(EDATE(_xlfn.XLOOKUP(1,$H1024:$BE1024,$H$4:$BE$4),12*Assumptions!$H$348+12)=AX$4,0,IF(AW1024=1,PMT(Assumptions!$H$346,Assumptions!$H$348,$C1026),AW1037))),0)</f>
        <v>0</v>
      </c>
      <c r="AY1037" s="39">
        <f>+IFERROR(-ABS(IF(EDATE(_xlfn.XLOOKUP(1,$H1024:$BE1024,$H$4:$BE$4),12*Assumptions!$H$348+12)=AY$4,0,IF(AX1024=1,PMT(Assumptions!$H$346,Assumptions!$H$348,$C1026),AX1037))),0)</f>
        <v>0</v>
      </c>
      <c r="AZ1037" s="39">
        <f>+IFERROR(-ABS(IF(EDATE(_xlfn.XLOOKUP(1,$H1024:$BE1024,$H$4:$BE$4),12*Assumptions!$H$348+12)=AZ$4,0,IF(AY1024=1,PMT(Assumptions!$H$346,Assumptions!$H$348,$C1026),AY1037))),0)</f>
        <v>0</v>
      </c>
      <c r="BA1037" s="39">
        <f>+IFERROR(-ABS(IF(EDATE(_xlfn.XLOOKUP(1,$H1024:$BE1024,$H$4:$BE$4),12*Assumptions!$H$348+12)=BA$4,0,IF(AZ1024=1,PMT(Assumptions!$H$346,Assumptions!$H$348,$C1026),AZ1037))),0)</f>
        <v>0</v>
      </c>
      <c r="BB1037" s="39">
        <f>+IFERROR(-ABS(IF(EDATE(_xlfn.XLOOKUP(1,$H1024:$BE1024,$H$4:$BE$4),12*Assumptions!$H$348+12)=BB$4,0,IF(BA1024=1,PMT(Assumptions!$H$346,Assumptions!$H$348,$C1026),BA1037))),0)</f>
        <v>0</v>
      </c>
      <c r="BC1037" s="39">
        <f>+IFERROR(-ABS(IF(EDATE(_xlfn.XLOOKUP(1,$H1024:$BE1024,$H$4:$BE$4),12*Assumptions!$H$348+12)=BC$4,0,IF(BB1024=1,PMT(Assumptions!$H$346,Assumptions!$H$348,$C1026),BB1037))),0)</f>
        <v>0</v>
      </c>
      <c r="BD1037" s="39">
        <f>+IFERROR(-ABS(IF(EDATE(_xlfn.XLOOKUP(1,$H1024:$BE1024,$H$4:$BE$4),12*Assumptions!$H$348+12)=BD$4,0,IF(BC1024=1,PMT(Assumptions!$H$346,Assumptions!$H$348,$C1026),BC1037))),0)</f>
        <v>0</v>
      </c>
      <c r="BE1037" s="39">
        <f>+IFERROR(-ABS(IF(EDATE(_xlfn.XLOOKUP(1,$H1024:$BE1024,$H$4:$BE$4),12*Assumptions!$H$348+12)=BE$4,0,IF(BD1024=1,PMT(Assumptions!$H$346,Assumptions!$H$348,$C1026),BD1037))),0)</f>
        <v>0</v>
      </c>
      <c r="BF1037" s="39">
        <f>+IFERROR(-ABS(IF(EDATE(_xlfn.XLOOKUP(1,$H1024:$BE1024,$H$4:$BE$4),12*Assumptions!$H$348+12)=BF$4,0,IF(BE1024=1,PMT(Assumptions!$H$346,Assumptions!$H$348,$C1026),BE1037))),0)</f>
        <v>0</v>
      </c>
      <c r="BG1037" s="39">
        <f>+IFERROR(-ABS(IF(EDATE(_xlfn.XLOOKUP(1,$H1024:$BE1024,$H$4:$BE$4),12*Assumptions!$H$348+12)=BG$4,0,IF(BF1024=1,PMT(Assumptions!$H$346,Assumptions!$H$348,$C1026),BF1037))),0)</f>
        <v>0</v>
      </c>
      <c r="BH1037" s="39">
        <f>+IFERROR(-ABS(IF(EDATE(_xlfn.XLOOKUP(1,$H1024:$BE1024,$H$4:$BE$4),12*Assumptions!$H$348+12)=BH$4,0,IF(BG1024=1,PMT(Assumptions!$H$346,Assumptions!$H$348,$C1026),BG1037))),0)</f>
        <v>0</v>
      </c>
      <c r="BI1037" s="39">
        <f>+IFERROR(-ABS(IF(EDATE(_xlfn.XLOOKUP(1,$H1024:$BE1024,$H$4:$BE$4),12*Assumptions!$H$348+12)=BI$4,0,IF(BH1024=1,PMT(Assumptions!$H$346,Assumptions!$H$348,$C1026),BH1037))),0)</f>
        <v>0</v>
      </c>
      <c r="BJ1037" s="39">
        <f>+IFERROR(-ABS(IF(EDATE(_xlfn.XLOOKUP(1,$H1024:$BE1024,$H$4:$BE$4),12*Assumptions!$H$348+12)=BJ$4,0,IF(BI1024=1,PMT(Assumptions!$H$346,Assumptions!$H$348,$C1026),BI1037))),0)</f>
        <v>0</v>
      </c>
      <c r="BK1037" s="39">
        <f>+IFERROR(-ABS(IF(EDATE(_xlfn.XLOOKUP(1,$H1024:$BE1024,$H$4:$BE$4),12*Assumptions!$H$348+12)=BK$4,0,IF(BJ1024=1,PMT(Assumptions!$H$346,Assumptions!$H$348,$C1026),BJ1037))),0)</f>
        <v>0</v>
      </c>
      <c r="BL1037" s="39">
        <f>+IFERROR(-ABS(IF(EDATE(_xlfn.XLOOKUP(1,$H1024:$BE1024,$H$4:$BE$4),12*Assumptions!$H$348+12)=BL$4,0,IF(BK1024=1,PMT(Assumptions!$H$346,Assumptions!$H$348,$C1026),BK1037))),0)</f>
        <v>0</v>
      </c>
      <c r="BM1037" s="39">
        <f>+IFERROR(-ABS(IF(EDATE(_xlfn.XLOOKUP(1,$H1024:$BE1024,$H$4:$BE$4),12*Assumptions!$H$348+12)=BM$4,0,IF(BL1024=1,PMT(Assumptions!$H$346,Assumptions!$H$348,$C1026),BL1037))),0)</f>
        <v>0</v>
      </c>
      <c r="BN1037" s="39">
        <f>+IFERROR(-ABS(IF(EDATE(_xlfn.XLOOKUP(1,$H1024:$BE1024,$H$4:$BE$4),12*Assumptions!$H$348+12)=BN$4,0,IF(BM1024=1,PMT(Assumptions!$H$346,Assumptions!$H$348,$C1026),BM1037))),0)</f>
        <v>0</v>
      </c>
      <c r="BO1037" s="39">
        <f>+IFERROR(-ABS(IF(EDATE(_xlfn.XLOOKUP(1,$H1024:$BE1024,$H$4:$BE$4),12*Assumptions!$H$348+12)=BO$4,0,IF(BN1024=1,PMT(Assumptions!$H$346,Assumptions!$H$348,$C1026),BN1037))),0)</f>
        <v>0</v>
      </c>
      <c r="BP1037" s="39">
        <f>+IFERROR(-ABS(IF(EDATE(_xlfn.XLOOKUP(1,$H1024:$BE1024,$H$4:$BE$4),12*Assumptions!$H$348+12)=BP$4,0,IF(BO1024=1,PMT(Assumptions!$H$346,Assumptions!$H$348,$C1026),BO1037))),0)</f>
        <v>0</v>
      </c>
      <c r="BQ1037" s="39">
        <f>+IFERROR(-ABS(IF(EDATE(_xlfn.XLOOKUP(1,$H1024:$BE1024,$H$4:$BE$4),12*Assumptions!$H$348+12)=BQ$4,0,IF(BP1024=1,PMT(Assumptions!$H$346,Assumptions!$H$348,$C1026),BP1037))),0)</f>
        <v>0</v>
      </c>
      <c r="BR1037" s="39">
        <f>+IFERROR(-ABS(IF(EDATE(_xlfn.XLOOKUP(1,$H1024:$BE1024,$H$4:$BE$4),12*Assumptions!$H$348+12)=BR$4,0,IF(BQ1024=1,PMT(Assumptions!$H$346,Assumptions!$H$348,$C1026),BQ1037))),0)</f>
        <v>0</v>
      </c>
      <c r="BS1037" s="39">
        <f>+IFERROR(-ABS(IF(EDATE(_xlfn.XLOOKUP(1,$H1024:$BE1024,$H$4:$BE$4),12*Assumptions!$H$348+12)=BS$4,0,IF(BR1024=1,PMT(Assumptions!$H$346,Assumptions!$H$348,$C1026),BR1037))),0)</f>
        <v>0</v>
      </c>
      <c r="BT1037" s="39">
        <f>+IFERROR(-ABS(IF(EDATE(_xlfn.XLOOKUP(1,$H1024:$BE1024,$H$4:$BE$4),12*Assumptions!$H$348+12)=BT$4,0,IF(BS1024=1,PMT(Assumptions!$H$346,Assumptions!$H$348,$C1026),BS1037))),0)</f>
        <v>0</v>
      </c>
      <c r="BU1037" s="39">
        <f>+IFERROR(-ABS(IF(EDATE(_xlfn.XLOOKUP(1,$H1024:$BE1024,$H$4:$BE$4),12*Assumptions!$H$348+12)=BU$4,0,IF(BT1024=1,PMT(Assumptions!$H$346,Assumptions!$H$348,$C1026),BT1037))),0)</f>
        <v>0</v>
      </c>
      <c r="BV1037" s="39">
        <f>+IFERROR(-ABS(IF(EDATE(_xlfn.XLOOKUP(1,$H1024:$BE1024,$H$4:$BE$4),12*Assumptions!$H$348+12)=BV$4,0,IF(BU1024=1,PMT(Assumptions!$H$346,Assumptions!$H$348,$C1026),BU1037))),0)</f>
        <v>0</v>
      </c>
      <c r="BW1037" s="39">
        <f>+IFERROR(-ABS(IF(EDATE(_xlfn.XLOOKUP(1,$H1024:$BE1024,$H$4:$BE$4),12*Assumptions!$H$348+12)=BW$4,0,IF(BV1024=1,PMT(Assumptions!$H$346,Assumptions!$H$348,$C1026),BV1037))),0)</f>
        <v>0</v>
      </c>
      <c r="BX1037" s="39">
        <f>+IFERROR(-ABS(IF(EDATE(_xlfn.XLOOKUP(1,$H1024:$BE1024,$H$4:$BE$4),12*Assumptions!$H$348+12)=BX$4,0,IF(BW1024=1,PMT(Assumptions!$H$346,Assumptions!$H$348,$C1026),BW1037))),0)</f>
        <v>0</v>
      </c>
      <c r="BY1037" s="39">
        <f>+IFERROR(-ABS(IF(EDATE(_xlfn.XLOOKUP(1,$H1024:$BE1024,$H$4:$BE$4),12*Assumptions!$H$348+12)=BY$4,0,IF(BX1024=1,PMT(Assumptions!$H$346,Assumptions!$H$348,$C1026),BX1037))),0)</f>
        <v>0</v>
      </c>
    </row>
    <row r="1038" spans="5:77" outlineLevel="1">
      <c r="E1038" s="24"/>
      <c r="F1038" s="23"/>
      <c r="G1038" s="24"/>
      <c r="H1038" s="39"/>
      <c r="I1038" s="39"/>
      <c r="J1038" s="39"/>
      <c r="K1038" s="39"/>
      <c r="L1038" s="39"/>
      <c r="M1038" s="39"/>
      <c r="N1038" s="39"/>
      <c r="O1038" s="39"/>
      <c r="P1038" s="39"/>
      <c r="Q1038" s="39"/>
      <c r="R1038" s="39"/>
      <c r="S1038" s="39"/>
      <c r="T1038" s="39"/>
      <c r="U1038" s="39"/>
      <c r="V1038" s="39"/>
      <c r="W1038" s="39"/>
      <c r="X1038" s="39"/>
      <c r="Y1038" s="39"/>
      <c r="Z1038" s="39"/>
      <c r="AA1038" s="39"/>
      <c r="AB1038" s="39"/>
      <c r="AC1038" s="39"/>
      <c r="AD1038" s="39"/>
      <c r="AE1038" s="39"/>
      <c r="AF1038" s="39"/>
      <c r="AG1038" s="39"/>
      <c r="AH1038" s="39"/>
      <c r="AI1038" s="39"/>
      <c r="AJ1038" s="39"/>
      <c r="AK1038" s="39"/>
      <c r="AL1038" s="39"/>
      <c r="AM1038" s="39"/>
      <c r="AN1038" s="39"/>
      <c r="AO1038" s="39"/>
      <c r="AP1038" s="39"/>
      <c r="AQ1038" s="39"/>
      <c r="AR1038" s="39"/>
      <c r="AS1038" s="39"/>
      <c r="AT1038" s="39"/>
      <c r="AU1038" s="39"/>
      <c r="AV1038" s="39"/>
      <c r="AW1038" s="39"/>
      <c r="AX1038" s="39"/>
      <c r="AY1038" s="39"/>
      <c r="AZ1038" s="39"/>
      <c r="BA1038" s="39"/>
      <c r="BB1038" s="39"/>
      <c r="BC1038" s="39"/>
      <c r="BD1038" s="39"/>
      <c r="BE1038" s="39"/>
      <c r="BF1038" s="39"/>
      <c r="BG1038" s="39"/>
      <c r="BH1038" s="39"/>
      <c r="BI1038" s="39"/>
      <c r="BJ1038" s="39"/>
      <c r="BK1038" s="39"/>
      <c r="BL1038" s="39"/>
      <c r="BM1038" s="39"/>
      <c r="BN1038" s="39"/>
      <c r="BO1038" s="39"/>
      <c r="BP1038" s="39"/>
      <c r="BQ1038" s="39"/>
      <c r="BR1038" s="39"/>
      <c r="BS1038" s="39"/>
      <c r="BT1038" s="39"/>
      <c r="BU1038" s="39"/>
      <c r="BV1038" s="39"/>
      <c r="BW1038" s="39"/>
      <c r="BX1038" s="39"/>
      <c r="BY1038" s="39"/>
    </row>
    <row r="1039" spans="5:77" outlineLevel="1">
      <c r="E1039" t="s">
        <v>524</v>
      </c>
      <c r="F1039" s="80" t="str">
        <f>+Assumptions!$G$8</f>
        <v>USD</v>
      </c>
      <c r="H1039" s="32">
        <f>MIN(+H1011-H1027+H1025,0)</f>
        <v>0</v>
      </c>
      <c r="I1039" s="32">
        <f t="shared" ref="I1039:BT1039" si="2144">MIN(+I1011-I1027+I1025,0)</f>
        <v>0</v>
      </c>
      <c r="J1039" s="32">
        <f t="shared" si="2144"/>
        <v>0</v>
      </c>
      <c r="K1039" s="32">
        <f t="shared" si="2144"/>
        <v>0</v>
      </c>
      <c r="L1039" s="32">
        <f t="shared" si="2144"/>
        <v>0</v>
      </c>
      <c r="M1039" s="32">
        <f t="shared" si="2144"/>
        <v>0</v>
      </c>
      <c r="N1039" s="32">
        <f t="shared" si="2144"/>
        <v>0</v>
      </c>
      <c r="O1039" s="32">
        <f t="shared" si="2144"/>
        <v>0</v>
      </c>
      <c r="P1039" s="32">
        <f t="shared" si="2144"/>
        <v>0</v>
      </c>
      <c r="Q1039" s="32">
        <f t="shared" si="2144"/>
        <v>0</v>
      </c>
      <c r="R1039" s="32">
        <f t="shared" si="2144"/>
        <v>0</v>
      </c>
      <c r="S1039" s="32">
        <f t="shared" si="2144"/>
        <v>0</v>
      </c>
      <c r="T1039" s="32">
        <f t="shared" si="2144"/>
        <v>0</v>
      </c>
      <c r="U1039" s="32">
        <f t="shared" si="2144"/>
        <v>0</v>
      </c>
      <c r="V1039" s="32">
        <f t="shared" si="2144"/>
        <v>0</v>
      </c>
      <c r="W1039" s="32">
        <f t="shared" si="2144"/>
        <v>0</v>
      </c>
      <c r="X1039" s="32">
        <f t="shared" si="2144"/>
        <v>0</v>
      </c>
      <c r="Y1039" s="32">
        <f t="shared" si="2144"/>
        <v>0</v>
      </c>
      <c r="Z1039" s="32">
        <f t="shared" si="2144"/>
        <v>0</v>
      </c>
      <c r="AA1039" s="32">
        <f t="shared" si="2144"/>
        <v>0</v>
      </c>
      <c r="AB1039" s="32">
        <f t="shared" si="2144"/>
        <v>0</v>
      </c>
      <c r="AC1039" s="32">
        <f t="shared" si="2144"/>
        <v>0</v>
      </c>
      <c r="AD1039" s="32">
        <f t="shared" si="2144"/>
        <v>0</v>
      </c>
      <c r="AE1039" s="32">
        <f t="shared" si="2144"/>
        <v>0</v>
      </c>
      <c r="AF1039" s="32">
        <f t="shared" si="2144"/>
        <v>0</v>
      </c>
      <c r="AG1039" s="32">
        <f t="shared" si="2144"/>
        <v>0</v>
      </c>
      <c r="AH1039" s="32">
        <f t="shared" si="2144"/>
        <v>0</v>
      </c>
      <c r="AI1039" s="32">
        <f t="shared" si="2144"/>
        <v>0</v>
      </c>
      <c r="AJ1039" s="32">
        <f t="shared" si="2144"/>
        <v>0</v>
      </c>
      <c r="AK1039" s="32">
        <f t="shared" si="2144"/>
        <v>0</v>
      </c>
      <c r="AL1039" s="32">
        <f t="shared" si="2144"/>
        <v>0</v>
      </c>
      <c r="AM1039" s="32">
        <f t="shared" si="2144"/>
        <v>0</v>
      </c>
      <c r="AN1039" s="32">
        <f t="shared" si="2144"/>
        <v>0</v>
      </c>
      <c r="AO1039" s="32">
        <f t="shared" si="2144"/>
        <v>0</v>
      </c>
      <c r="AP1039" s="32">
        <f t="shared" si="2144"/>
        <v>0</v>
      </c>
      <c r="AQ1039" s="32">
        <f t="shared" si="2144"/>
        <v>0</v>
      </c>
      <c r="AR1039" s="32">
        <f t="shared" si="2144"/>
        <v>0</v>
      </c>
      <c r="AS1039" s="32">
        <f t="shared" si="2144"/>
        <v>0</v>
      </c>
      <c r="AT1039" s="32">
        <f t="shared" si="2144"/>
        <v>0</v>
      </c>
      <c r="AU1039" s="32">
        <f t="shared" si="2144"/>
        <v>0</v>
      </c>
      <c r="AV1039" s="32">
        <f t="shared" si="2144"/>
        <v>0</v>
      </c>
      <c r="AW1039" s="32">
        <f t="shared" si="2144"/>
        <v>0</v>
      </c>
      <c r="AX1039" s="32">
        <f t="shared" si="2144"/>
        <v>0</v>
      </c>
      <c r="AY1039" s="32">
        <f t="shared" si="2144"/>
        <v>0</v>
      </c>
      <c r="AZ1039" s="32">
        <f t="shared" si="2144"/>
        <v>0</v>
      </c>
      <c r="BA1039" s="32">
        <f t="shared" si="2144"/>
        <v>0</v>
      </c>
      <c r="BB1039" s="32">
        <f t="shared" si="2144"/>
        <v>0</v>
      </c>
      <c r="BC1039" s="32">
        <f t="shared" si="2144"/>
        <v>0</v>
      </c>
      <c r="BD1039" s="32">
        <f t="shared" si="2144"/>
        <v>0</v>
      </c>
      <c r="BE1039" s="32">
        <f t="shared" si="2144"/>
        <v>0</v>
      </c>
      <c r="BF1039" s="32">
        <f t="shared" si="2144"/>
        <v>0</v>
      </c>
      <c r="BG1039" s="32">
        <f t="shared" si="2144"/>
        <v>0</v>
      </c>
      <c r="BH1039" s="32">
        <f t="shared" si="2144"/>
        <v>0</v>
      </c>
      <c r="BI1039" s="32">
        <f t="shared" si="2144"/>
        <v>0</v>
      </c>
      <c r="BJ1039" s="32">
        <f t="shared" si="2144"/>
        <v>0</v>
      </c>
      <c r="BK1039" s="32">
        <f t="shared" si="2144"/>
        <v>0</v>
      </c>
      <c r="BL1039" s="32">
        <f t="shared" si="2144"/>
        <v>0</v>
      </c>
      <c r="BM1039" s="32">
        <f t="shared" si="2144"/>
        <v>0</v>
      </c>
      <c r="BN1039" s="32">
        <f t="shared" si="2144"/>
        <v>0</v>
      </c>
      <c r="BO1039" s="32">
        <f t="shared" si="2144"/>
        <v>0</v>
      </c>
      <c r="BP1039" s="32">
        <f t="shared" si="2144"/>
        <v>0</v>
      </c>
      <c r="BQ1039" s="32">
        <f t="shared" si="2144"/>
        <v>0</v>
      </c>
      <c r="BR1039" s="32">
        <f t="shared" si="2144"/>
        <v>0</v>
      </c>
      <c r="BS1039" s="32">
        <f t="shared" si="2144"/>
        <v>0</v>
      </c>
      <c r="BT1039" s="32">
        <f t="shared" si="2144"/>
        <v>0</v>
      </c>
      <c r="BU1039" s="32">
        <f t="shared" ref="BU1039:BY1039" si="2145">MIN(+BU1011-BU1027+BU1025,0)</f>
        <v>0</v>
      </c>
      <c r="BV1039" s="32">
        <f t="shared" si="2145"/>
        <v>0</v>
      </c>
      <c r="BW1039" s="32">
        <f t="shared" si="2145"/>
        <v>0</v>
      </c>
      <c r="BX1039" s="32">
        <f t="shared" si="2145"/>
        <v>0</v>
      </c>
      <c r="BY1039" s="32">
        <f t="shared" si="2145"/>
        <v>0</v>
      </c>
    </row>
    <row r="1040" spans="5:77" outlineLevel="1"/>
    <row r="1041" spans="2:77" outlineLevel="1"/>
    <row r="1042" spans="2:77" s="19" customFormat="1" ht="12.75" outlineLevel="1">
      <c r="B1042" s="18" t="s">
        <v>526</v>
      </c>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5"/>
      <c r="AE1042" s="35"/>
      <c r="AF1042" s="35"/>
      <c r="AG1042" s="35"/>
      <c r="AH1042" s="35"/>
      <c r="AI1042" s="35"/>
      <c r="AJ1042" s="35"/>
      <c r="AK1042" s="35"/>
      <c r="AL1042" s="35"/>
      <c r="AM1042" s="35"/>
      <c r="AN1042" s="35"/>
      <c r="AO1042" s="35"/>
      <c r="AP1042" s="35"/>
      <c r="AQ1042" s="35"/>
      <c r="AR1042" s="35"/>
      <c r="AS1042" s="35"/>
      <c r="AT1042" s="35"/>
      <c r="AU1042" s="35"/>
      <c r="AV1042" s="35"/>
      <c r="AW1042" s="35"/>
      <c r="AX1042" s="35"/>
      <c r="AY1042" s="35"/>
      <c r="AZ1042" s="35"/>
      <c r="BA1042" s="35"/>
      <c r="BB1042" s="35"/>
      <c r="BC1042" s="35"/>
      <c r="BD1042" s="35"/>
      <c r="BE1042" s="35"/>
      <c r="BF1042" s="35"/>
      <c r="BG1042" s="35"/>
      <c r="BH1042" s="35"/>
      <c r="BI1042" s="35"/>
      <c r="BJ1042" s="35"/>
      <c r="BK1042" s="35"/>
      <c r="BL1042" s="35"/>
      <c r="BM1042" s="35"/>
      <c r="BN1042" s="35"/>
      <c r="BO1042" s="35"/>
      <c r="BP1042" s="35"/>
      <c r="BQ1042" s="35"/>
      <c r="BR1042" s="35"/>
      <c r="BS1042" s="35"/>
      <c r="BT1042" s="35"/>
      <c r="BU1042" s="35"/>
      <c r="BV1042" s="35"/>
      <c r="BW1042" s="35"/>
      <c r="BX1042" s="35"/>
      <c r="BY1042" s="35"/>
    </row>
    <row r="1043" spans="2:77" outlineLevel="1">
      <c r="BF1043" s="33"/>
      <c r="BG1043" s="33"/>
      <c r="BH1043" s="33"/>
      <c r="BI1043" s="33"/>
      <c r="BJ1043" s="33"/>
      <c r="BK1043" s="33"/>
      <c r="BL1043" s="33"/>
      <c r="BM1043" s="33"/>
      <c r="BN1043" s="33"/>
      <c r="BO1043" s="33"/>
      <c r="BP1043" s="33"/>
      <c r="BQ1043" s="33"/>
      <c r="BR1043" s="33"/>
      <c r="BS1043" s="33"/>
      <c r="BT1043" s="33"/>
      <c r="BU1043" s="33"/>
      <c r="BV1043" s="33"/>
      <c r="BW1043" s="33"/>
      <c r="BX1043" s="33"/>
      <c r="BY1043" s="33"/>
    </row>
    <row r="1044" spans="2:77" s="33" customFormat="1" outlineLevel="1">
      <c r="B1044"/>
      <c r="C1044"/>
      <c r="D1044"/>
      <c r="E1044" t="s">
        <v>450</v>
      </c>
      <c r="F1044" s="23" t="s">
        <v>466</v>
      </c>
      <c r="G1044"/>
      <c r="H1044" s="33">
        <f t="shared" ref="H1044:AM1044" si="2146">+H967</f>
        <v>0</v>
      </c>
      <c r="I1044" s="33">
        <f t="shared" si="2146"/>
        <v>0</v>
      </c>
      <c r="J1044" s="33">
        <f t="shared" si="2146"/>
        <v>0</v>
      </c>
      <c r="K1044" s="33">
        <f t="shared" si="2146"/>
        <v>-21558195.168710399</v>
      </c>
      <c r="L1044" s="33">
        <f t="shared" si="2146"/>
        <v>-21989359.072084609</v>
      </c>
      <c r="M1044" s="33">
        <f t="shared" si="2146"/>
        <v>-22429146.2535263</v>
      </c>
      <c r="N1044" s="33">
        <f t="shared" si="2146"/>
        <v>-22877729.178596821</v>
      </c>
      <c r="O1044" s="33">
        <f t="shared" si="2146"/>
        <v>-23335283.762168761</v>
      </c>
      <c r="P1044" s="33">
        <f t="shared" si="2146"/>
        <v>-23801989.437412135</v>
      </c>
      <c r="Q1044" s="33">
        <f t="shared" si="2146"/>
        <v>-24278029.226160381</v>
      </c>
      <c r="R1044" s="33">
        <f t="shared" si="2146"/>
        <v>-24763589.810683582</v>
      </c>
      <c r="S1044" s="33">
        <f t="shared" si="2146"/>
        <v>-25258861.606897257</v>
      </c>
      <c r="T1044" s="33">
        <f t="shared" si="2146"/>
        <v>-25764038.839035202</v>
      </c>
      <c r="U1044" s="33">
        <f t="shared" si="2146"/>
        <v>-26279319.615815908</v>
      </c>
      <c r="V1044" s="33">
        <f t="shared" si="2146"/>
        <v>-26804906.008132219</v>
      </c>
      <c r="W1044" s="33">
        <f t="shared" si="2146"/>
        <v>-27341004.12829487</v>
      </c>
      <c r="X1044" s="33">
        <f t="shared" si="2146"/>
        <v>-27887824.21086077</v>
      </c>
      <c r="Y1044" s="33">
        <f t="shared" si="2146"/>
        <v>-28445580.695077982</v>
      </c>
      <c r="Z1044" s="33">
        <f t="shared" si="2146"/>
        <v>0</v>
      </c>
      <c r="AA1044" s="33">
        <f t="shared" si="2146"/>
        <v>0</v>
      </c>
      <c r="AB1044" s="33">
        <f t="shared" si="2146"/>
        <v>0</v>
      </c>
      <c r="AC1044" s="33">
        <f t="shared" si="2146"/>
        <v>0</v>
      </c>
      <c r="AD1044" s="33">
        <f t="shared" si="2146"/>
        <v>0</v>
      </c>
      <c r="AE1044" s="33">
        <f t="shared" si="2146"/>
        <v>0</v>
      </c>
      <c r="AF1044" s="33">
        <f t="shared" si="2146"/>
        <v>0</v>
      </c>
      <c r="AG1044" s="33">
        <f t="shared" si="2146"/>
        <v>0</v>
      </c>
      <c r="AH1044" s="33">
        <f t="shared" si="2146"/>
        <v>0</v>
      </c>
      <c r="AI1044" s="33">
        <f t="shared" si="2146"/>
        <v>0</v>
      </c>
      <c r="AJ1044" s="33">
        <f t="shared" si="2146"/>
        <v>0</v>
      </c>
      <c r="AK1044" s="33">
        <f t="shared" si="2146"/>
        <v>0</v>
      </c>
      <c r="AL1044" s="33">
        <f t="shared" si="2146"/>
        <v>0</v>
      </c>
      <c r="AM1044" s="33">
        <f t="shared" si="2146"/>
        <v>0</v>
      </c>
      <c r="AN1044" s="33">
        <f t="shared" ref="AN1044:BS1044" si="2147">+AN967</f>
        <v>0</v>
      </c>
      <c r="AO1044" s="33">
        <f t="shared" si="2147"/>
        <v>0</v>
      </c>
      <c r="AP1044" s="33">
        <f t="shared" si="2147"/>
        <v>0</v>
      </c>
      <c r="AQ1044" s="33">
        <f t="shared" si="2147"/>
        <v>0</v>
      </c>
      <c r="AR1044" s="33">
        <f t="shared" si="2147"/>
        <v>0</v>
      </c>
      <c r="AS1044" s="33">
        <f t="shared" si="2147"/>
        <v>0</v>
      </c>
      <c r="AT1044" s="33">
        <f t="shared" si="2147"/>
        <v>0</v>
      </c>
      <c r="AU1044" s="33">
        <f t="shared" si="2147"/>
        <v>0</v>
      </c>
      <c r="AV1044" s="33">
        <f t="shared" si="2147"/>
        <v>0</v>
      </c>
      <c r="AW1044" s="33">
        <f t="shared" si="2147"/>
        <v>0</v>
      </c>
      <c r="AX1044" s="33">
        <f t="shared" si="2147"/>
        <v>0</v>
      </c>
      <c r="AY1044" s="33">
        <f t="shared" si="2147"/>
        <v>0</v>
      </c>
      <c r="AZ1044" s="33">
        <f t="shared" si="2147"/>
        <v>0</v>
      </c>
      <c r="BA1044" s="33">
        <f t="shared" si="2147"/>
        <v>0</v>
      </c>
      <c r="BB1044" s="33">
        <f t="shared" si="2147"/>
        <v>0</v>
      </c>
      <c r="BC1044" s="33">
        <f t="shared" si="2147"/>
        <v>0</v>
      </c>
      <c r="BD1044" s="33">
        <f t="shared" si="2147"/>
        <v>0</v>
      </c>
      <c r="BE1044" s="33">
        <f t="shared" si="2147"/>
        <v>0</v>
      </c>
      <c r="BF1044" s="33">
        <f t="shared" si="2147"/>
        <v>0</v>
      </c>
      <c r="BG1044" s="33">
        <f t="shared" si="2147"/>
        <v>0</v>
      </c>
      <c r="BH1044" s="33">
        <f t="shared" si="2147"/>
        <v>0</v>
      </c>
      <c r="BI1044" s="33">
        <f t="shared" si="2147"/>
        <v>0</v>
      </c>
      <c r="BJ1044" s="33">
        <f t="shared" si="2147"/>
        <v>0</v>
      </c>
      <c r="BK1044" s="33">
        <f t="shared" si="2147"/>
        <v>0</v>
      </c>
      <c r="BL1044" s="33">
        <f t="shared" si="2147"/>
        <v>0</v>
      </c>
      <c r="BM1044" s="33">
        <f t="shared" si="2147"/>
        <v>0</v>
      </c>
      <c r="BN1044" s="33">
        <f t="shared" si="2147"/>
        <v>0</v>
      </c>
      <c r="BO1044" s="33">
        <f t="shared" si="2147"/>
        <v>0</v>
      </c>
      <c r="BP1044" s="33">
        <f t="shared" si="2147"/>
        <v>0</v>
      </c>
      <c r="BQ1044" s="33">
        <f t="shared" si="2147"/>
        <v>0</v>
      </c>
      <c r="BR1044" s="33">
        <f t="shared" si="2147"/>
        <v>0</v>
      </c>
      <c r="BS1044" s="33">
        <f t="shared" si="2147"/>
        <v>0</v>
      </c>
      <c r="BT1044" s="33">
        <f t="shared" ref="BT1044:BY1044" si="2148">+BT967</f>
        <v>0</v>
      </c>
      <c r="BU1044" s="33">
        <f t="shared" si="2148"/>
        <v>0</v>
      </c>
      <c r="BV1044" s="33">
        <f t="shared" si="2148"/>
        <v>0</v>
      </c>
      <c r="BW1044" s="33">
        <f t="shared" si="2148"/>
        <v>0</v>
      </c>
      <c r="BX1044" s="33">
        <f t="shared" si="2148"/>
        <v>0</v>
      </c>
      <c r="BY1044" s="33">
        <f t="shared" si="2148"/>
        <v>0</v>
      </c>
    </row>
    <row r="1045" spans="2:77" s="33" customFormat="1" ht="15" outlineLevel="1">
      <c r="B1045" s="22"/>
      <c r="C1045"/>
      <c r="D1045"/>
      <c r="E1045" t="s">
        <v>467</v>
      </c>
      <c r="F1045" s="23" t="s">
        <v>466</v>
      </c>
      <c r="G1045"/>
      <c r="H1045" s="33">
        <f>+$C959/Assumptions!$H$316*H$953</f>
        <v>0</v>
      </c>
      <c r="I1045" s="33">
        <f>+$C959/Assumptions!$H$316*I$953</f>
        <v>0</v>
      </c>
      <c r="J1045" s="33">
        <f>+$C959/Assumptions!$H$316*J$953</f>
        <v>0</v>
      </c>
      <c r="K1045" s="33">
        <f>+$C959/Assumptions!$H$316*K$953</f>
        <v>-23550619.248000003</v>
      </c>
      <c r="L1045" s="33">
        <f>+$C959/Assumptions!$H$316*L$953</f>
        <v>-23550619.248000003</v>
      </c>
      <c r="M1045" s="33">
        <f>+$C959/Assumptions!$H$316*M$953</f>
        <v>-23550619.248000003</v>
      </c>
      <c r="N1045" s="33">
        <f>+$C959/Assumptions!$H$316*N$953</f>
        <v>-23550619.248000003</v>
      </c>
      <c r="O1045" s="33">
        <f>+$C959/Assumptions!$H$316*O$953</f>
        <v>-23550619.248000003</v>
      </c>
      <c r="P1045" s="33">
        <f>+$C959/Assumptions!$H$316*P$953</f>
        <v>-23550619.248000003</v>
      </c>
      <c r="Q1045" s="33">
        <f>+$C959/Assumptions!$H$316*Q$953</f>
        <v>-23550619.248000003</v>
      </c>
      <c r="R1045" s="33">
        <f>+$C959/Assumptions!$H$316*R$953</f>
        <v>-23550619.248000003</v>
      </c>
      <c r="S1045" s="33">
        <f>+$C959/Assumptions!$H$316*S$953</f>
        <v>-23550619.248000003</v>
      </c>
      <c r="T1045" s="33">
        <f>+$C959/Assumptions!$H$316*T$953</f>
        <v>-23550619.248000003</v>
      </c>
      <c r="U1045" s="33">
        <f>+$C959/Assumptions!$H$316*U$953</f>
        <v>-23550619.248000003</v>
      </c>
      <c r="V1045" s="33">
        <f>+$C959/Assumptions!$H$316*V$953</f>
        <v>-23550619.248000003</v>
      </c>
      <c r="W1045" s="33">
        <f>+$C959/Assumptions!$H$316*W$953</f>
        <v>-23550619.248000003</v>
      </c>
      <c r="X1045" s="33">
        <f>+$C959/Assumptions!$H$316*X$953</f>
        <v>-23550619.248000003</v>
      </c>
      <c r="Y1045" s="33">
        <f>+$C959/Assumptions!$H$316*Y$953</f>
        <v>-23550619.248000003</v>
      </c>
      <c r="Z1045" s="33">
        <f>+$C959/Assumptions!$H$316*Z$953</f>
        <v>0</v>
      </c>
      <c r="AA1045" s="33">
        <f>+$C959/Assumptions!$H$316*AA$953</f>
        <v>0</v>
      </c>
      <c r="AB1045" s="33">
        <f>+$C959/Assumptions!$H$316*AB$953</f>
        <v>0</v>
      </c>
      <c r="AC1045" s="33">
        <f>+$C959/Assumptions!$H$316*AC$953</f>
        <v>0</v>
      </c>
      <c r="AD1045" s="33">
        <f>+$C959/Assumptions!$H$316*AD$953</f>
        <v>0</v>
      </c>
      <c r="AE1045" s="33">
        <f>+$C959/Assumptions!$H$316*AE$953</f>
        <v>0</v>
      </c>
      <c r="AF1045" s="33">
        <f>+$C959/Assumptions!$H$316*AF$953</f>
        <v>0</v>
      </c>
      <c r="AG1045" s="33">
        <f>+$C959/Assumptions!$H$316*AG$953</f>
        <v>0</v>
      </c>
      <c r="AH1045" s="33">
        <f>+$C959/Assumptions!$H$316*AH$953</f>
        <v>0</v>
      </c>
      <c r="AI1045" s="33">
        <f>+$C959/Assumptions!$H$316*AI$953</f>
        <v>0</v>
      </c>
      <c r="AJ1045" s="33">
        <f>+$C959/Assumptions!$H$316*AJ$953</f>
        <v>0</v>
      </c>
      <c r="AK1045" s="33">
        <f>+$C959/Assumptions!$H$316*AK$953</f>
        <v>0</v>
      </c>
      <c r="AL1045" s="33">
        <f>+$C959/Assumptions!$H$316*AL$953</f>
        <v>0</v>
      </c>
      <c r="AM1045" s="33">
        <f>+$C959/Assumptions!$H$316*AM$953</f>
        <v>0</v>
      </c>
      <c r="AN1045" s="33">
        <f>+$C959/Assumptions!$H$316*AN$953</f>
        <v>0</v>
      </c>
      <c r="AO1045" s="33">
        <f>+$C959/Assumptions!$H$316*AO$953</f>
        <v>0</v>
      </c>
      <c r="AP1045" s="33">
        <f>+$C959/Assumptions!$H$316*AP$953</f>
        <v>0</v>
      </c>
      <c r="AQ1045" s="33">
        <f>+$C959/Assumptions!$H$316*AQ$953</f>
        <v>0</v>
      </c>
      <c r="AR1045" s="33">
        <f>+$C959/Assumptions!$H$316*AR$953</f>
        <v>0</v>
      </c>
      <c r="AS1045" s="33">
        <f>+$C959/Assumptions!$H$316*AS$953</f>
        <v>0</v>
      </c>
      <c r="AT1045" s="33">
        <f>+$C959/Assumptions!$H$316*AT$953</f>
        <v>0</v>
      </c>
      <c r="AU1045" s="33">
        <f>+$C959/Assumptions!$H$316*AU$953</f>
        <v>0</v>
      </c>
      <c r="AV1045" s="33">
        <f>+$C959/Assumptions!$H$316*AV$953</f>
        <v>0</v>
      </c>
      <c r="AW1045" s="33">
        <f>+$C959/Assumptions!$H$316*AW$953</f>
        <v>0</v>
      </c>
      <c r="AX1045" s="33">
        <f>+$C959/Assumptions!$H$316*AX$953</f>
        <v>0</v>
      </c>
      <c r="AY1045" s="33">
        <f>+$C959/Assumptions!$H$316*AY$953</f>
        <v>0</v>
      </c>
      <c r="AZ1045" s="33">
        <f>+$C959/Assumptions!$H$316*AZ$953</f>
        <v>0</v>
      </c>
      <c r="BA1045" s="33">
        <f>+$C959/Assumptions!$H$316*BA$953</f>
        <v>0</v>
      </c>
      <c r="BB1045" s="33">
        <f>+$C959/Assumptions!$H$316*BB$953</f>
        <v>0</v>
      </c>
      <c r="BC1045" s="33">
        <f>+$C959/Assumptions!$H$316*BC$953</f>
        <v>0</v>
      </c>
      <c r="BD1045" s="33">
        <f>+$C959/Assumptions!$H$316*BD$953</f>
        <v>0</v>
      </c>
      <c r="BE1045" s="33">
        <f>+$C959/Assumptions!$H$316*BE$953</f>
        <v>0</v>
      </c>
      <c r="BF1045" s="33">
        <f>+$C959/Assumptions!$H$316*BF$953</f>
        <v>0</v>
      </c>
      <c r="BG1045" s="33">
        <f>+$C959/Assumptions!$H$316*BG$953</f>
        <v>0</v>
      </c>
      <c r="BH1045" s="33">
        <f>+$C959/Assumptions!$H$316*BH$953</f>
        <v>0</v>
      </c>
      <c r="BI1045" s="33">
        <f>+$C959/Assumptions!$H$316*BI$953</f>
        <v>0</v>
      </c>
      <c r="BJ1045" s="33">
        <f>+$C959/Assumptions!$H$316*BJ$953</f>
        <v>0</v>
      </c>
      <c r="BK1045" s="33">
        <f>+$C959/Assumptions!$H$316*BK$953</f>
        <v>0</v>
      </c>
      <c r="BL1045" s="33">
        <f>+$C959/Assumptions!$H$316*BL$953</f>
        <v>0</v>
      </c>
      <c r="BM1045" s="33">
        <f>+$C959/Assumptions!$H$316*BM$953</f>
        <v>0</v>
      </c>
      <c r="BN1045" s="33">
        <f>+$C959/Assumptions!$H$316*BN$953</f>
        <v>0</v>
      </c>
      <c r="BO1045" s="33">
        <f>+$C959/Assumptions!$H$316*BO$953</f>
        <v>0</v>
      </c>
      <c r="BP1045" s="33">
        <f>+$C959/Assumptions!$H$316*BP$953</f>
        <v>0</v>
      </c>
      <c r="BQ1045" s="33">
        <f>+$C959/Assumptions!$H$316*BQ$953</f>
        <v>0</v>
      </c>
      <c r="BR1045" s="33">
        <f>+$C959/Assumptions!$H$316*BR$953</f>
        <v>0</v>
      </c>
      <c r="BS1045" s="33">
        <f>+$C959/Assumptions!$H$316*BS$953</f>
        <v>0</v>
      </c>
      <c r="BT1045" s="33">
        <f>+$C959/Assumptions!$H$316*BT$953</f>
        <v>0</v>
      </c>
      <c r="BU1045" s="33">
        <f>+$C959/Assumptions!$H$316*BU$953</f>
        <v>0</v>
      </c>
      <c r="BV1045" s="33">
        <f>+$C959/Assumptions!$H$316*BV$953</f>
        <v>0</v>
      </c>
      <c r="BW1045" s="33">
        <f>+$C959/Assumptions!$H$316*BW$953</f>
        <v>0</v>
      </c>
      <c r="BX1045" s="33">
        <f>+$C959/Assumptions!$H$316*BX$953</f>
        <v>0</v>
      </c>
      <c r="BY1045" s="33">
        <f>+$C959/Assumptions!$H$316*BY$953</f>
        <v>0</v>
      </c>
    </row>
    <row r="1046" spans="2:77" s="33" customFormat="1" ht="15" outlineLevel="1">
      <c r="B1046" s="22"/>
      <c r="C1046"/>
      <c r="D1046"/>
      <c r="E1046" t="s">
        <v>468</v>
      </c>
      <c r="F1046" s="23" t="s">
        <v>466</v>
      </c>
      <c r="G1046"/>
      <c r="H1046" s="33">
        <f t="shared" ref="H1046:AM1046" ca="1" si="2149">+H994+H1026</f>
        <v>0</v>
      </c>
      <c r="I1046" s="33">
        <f t="shared" ca="1" si="2149"/>
        <v>0</v>
      </c>
      <c r="J1046" s="33">
        <f t="shared" ca="1" si="2149"/>
        <v>-1926990.9461836799</v>
      </c>
      <c r="K1046" s="33">
        <f t="shared" ca="1" si="2149"/>
        <v>-12079681.693939675</v>
      </c>
      <c r="L1046" s="33">
        <f t="shared" ca="1" si="2149"/>
        <v>-11541753.058300186</v>
      </c>
      <c r="M1046" s="33">
        <f t="shared" ca="1" si="2149"/>
        <v>-10972952.698261347</v>
      </c>
      <c r="N1046" s="33">
        <f t="shared" ca="1" si="2149"/>
        <v>-10371508.885559879</v>
      </c>
      <c r="O1046" s="33">
        <f t="shared" ca="1" si="2149"/>
        <v>-9735548.2124474738</v>
      </c>
      <c r="P1046" s="33">
        <f t="shared" ca="1" si="2149"/>
        <v>-9063089.7563051488</v>
      </c>
      <c r="Q1046" s="33">
        <f t="shared" ca="1" si="2149"/>
        <v>-8352038.9093648158</v>
      </c>
      <c r="R1046" s="33">
        <f t="shared" ca="1" si="2149"/>
        <v>-7600180.8543185769</v>
      </c>
      <c r="S1046" s="33">
        <f t="shared" ca="1" si="2149"/>
        <v>-6805173.6654932331</v>
      </c>
      <c r="T1046" s="33">
        <f t="shared" ca="1" si="2149"/>
        <v>-5964541.0141012045</v>
      </c>
      <c r="U1046" s="33">
        <f t="shared" ca="1" si="2149"/>
        <v>-5075664.4548457861</v>
      </c>
      <c r="V1046" s="33">
        <f t="shared" ca="1" si="2149"/>
        <v>-4135775.2698547002</v>
      </c>
      <c r="W1046" s="33">
        <f t="shared" ca="1" si="2149"/>
        <v>-3141945.8445369755</v>
      </c>
      <c r="X1046" s="33">
        <f t="shared" ca="1" si="2149"/>
        <v>-2091080.5485002664</v>
      </c>
      <c r="Y1046" s="33">
        <f t="shared" ca="1" si="2149"/>
        <v>-979906.09312401048</v>
      </c>
      <c r="Z1046" s="33">
        <f t="shared" ca="1" si="2149"/>
        <v>0</v>
      </c>
      <c r="AA1046" s="33">
        <f t="shared" ca="1" si="2149"/>
        <v>0</v>
      </c>
      <c r="AB1046" s="33">
        <f t="shared" ca="1" si="2149"/>
        <v>0</v>
      </c>
      <c r="AC1046" s="33">
        <f t="shared" ca="1" si="2149"/>
        <v>0</v>
      </c>
      <c r="AD1046" s="33">
        <f t="shared" ca="1" si="2149"/>
        <v>0</v>
      </c>
      <c r="AE1046" s="33">
        <f t="shared" ca="1" si="2149"/>
        <v>0</v>
      </c>
      <c r="AF1046" s="33">
        <f t="shared" ca="1" si="2149"/>
        <v>0</v>
      </c>
      <c r="AG1046" s="33">
        <f t="shared" ca="1" si="2149"/>
        <v>0</v>
      </c>
      <c r="AH1046" s="33">
        <f t="shared" ca="1" si="2149"/>
        <v>0</v>
      </c>
      <c r="AI1046" s="33">
        <f t="shared" ca="1" si="2149"/>
        <v>0</v>
      </c>
      <c r="AJ1046" s="33">
        <f t="shared" ca="1" si="2149"/>
        <v>0</v>
      </c>
      <c r="AK1046" s="33">
        <f t="shared" ca="1" si="2149"/>
        <v>0</v>
      </c>
      <c r="AL1046" s="33">
        <f t="shared" ca="1" si="2149"/>
        <v>0</v>
      </c>
      <c r="AM1046" s="33">
        <f t="shared" ca="1" si="2149"/>
        <v>0</v>
      </c>
      <c r="AN1046" s="33">
        <f t="shared" ref="AN1046:BS1046" ca="1" si="2150">+AN994+AN1026</f>
        <v>0</v>
      </c>
      <c r="AO1046" s="33">
        <f t="shared" ca="1" si="2150"/>
        <v>0</v>
      </c>
      <c r="AP1046" s="33">
        <f t="shared" ca="1" si="2150"/>
        <v>0</v>
      </c>
      <c r="AQ1046" s="33">
        <f t="shared" ca="1" si="2150"/>
        <v>0</v>
      </c>
      <c r="AR1046" s="33">
        <f t="shared" ca="1" si="2150"/>
        <v>0</v>
      </c>
      <c r="AS1046" s="33">
        <f t="shared" ca="1" si="2150"/>
        <v>0</v>
      </c>
      <c r="AT1046" s="33">
        <f t="shared" ca="1" si="2150"/>
        <v>0</v>
      </c>
      <c r="AU1046" s="33">
        <f t="shared" ca="1" si="2150"/>
        <v>0</v>
      </c>
      <c r="AV1046" s="33">
        <f t="shared" ca="1" si="2150"/>
        <v>0</v>
      </c>
      <c r="AW1046" s="33">
        <f t="shared" ca="1" si="2150"/>
        <v>0</v>
      </c>
      <c r="AX1046" s="33">
        <f t="shared" ca="1" si="2150"/>
        <v>0</v>
      </c>
      <c r="AY1046" s="33">
        <f t="shared" ca="1" si="2150"/>
        <v>0</v>
      </c>
      <c r="AZ1046" s="33">
        <f t="shared" ca="1" si="2150"/>
        <v>0</v>
      </c>
      <c r="BA1046" s="33">
        <f t="shared" ca="1" si="2150"/>
        <v>0</v>
      </c>
      <c r="BB1046" s="33">
        <f t="shared" ca="1" si="2150"/>
        <v>0</v>
      </c>
      <c r="BC1046" s="33">
        <f t="shared" ca="1" si="2150"/>
        <v>0</v>
      </c>
      <c r="BD1046" s="33">
        <f t="shared" ca="1" si="2150"/>
        <v>0</v>
      </c>
      <c r="BE1046" s="33">
        <f t="shared" ca="1" si="2150"/>
        <v>0</v>
      </c>
      <c r="BF1046" s="33">
        <f t="shared" ca="1" si="2150"/>
        <v>0</v>
      </c>
      <c r="BG1046" s="33">
        <f t="shared" ca="1" si="2150"/>
        <v>0</v>
      </c>
      <c r="BH1046" s="33">
        <f t="shared" ca="1" si="2150"/>
        <v>0</v>
      </c>
      <c r="BI1046" s="33">
        <f t="shared" ca="1" si="2150"/>
        <v>0</v>
      </c>
      <c r="BJ1046" s="33">
        <f t="shared" ca="1" si="2150"/>
        <v>0</v>
      </c>
      <c r="BK1046" s="33">
        <f t="shared" ca="1" si="2150"/>
        <v>0</v>
      </c>
      <c r="BL1046" s="33">
        <f t="shared" ca="1" si="2150"/>
        <v>0</v>
      </c>
      <c r="BM1046" s="33">
        <f t="shared" ca="1" si="2150"/>
        <v>0</v>
      </c>
      <c r="BN1046" s="33">
        <f t="shared" ca="1" si="2150"/>
        <v>0</v>
      </c>
      <c r="BO1046" s="33">
        <f t="shared" ca="1" si="2150"/>
        <v>0</v>
      </c>
      <c r="BP1046" s="33">
        <f t="shared" ca="1" si="2150"/>
        <v>0</v>
      </c>
      <c r="BQ1046" s="33">
        <f t="shared" ca="1" si="2150"/>
        <v>0</v>
      </c>
      <c r="BR1046" s="33">
        <f t="shared" ca="1" si="2150"/>
        <v>0</v>
      </c>
      <c r="BS1046" s="33">
        <f t="shared" ca="1" si="2150"/>
        <v>0</v>
      </c>
      <c r="BT1046" s="33">
        <f t="shared" ref="BT1046:BY1046" ca="1" si="2151">+BT994+BT1026</f>
        <v>0</v>
      </c>
      <c r="BU1046" s="33">
        <f t="shared" ca="1" si="2151"/>
        <v>0</v>
      </c>
      <c r="BV1046" s="33">
        <f t="shared" ca="1" si="2151"/>
        <v>0</v>
      </c>
      <c r="BW1046" s="33">
        <f t="shared" ca="1" si="2151"/>
        <v>0</v>
      </c>
      <c r="BX1046" s="33">
        <f t="shared" ca="1" si="2151"/>
        <v>0</v>
      </c>
      <c r="BY1046" s="33">
        <f t="shared" ca="1" si="2151"/>
        <v>0</v>
      </c>
    </row>
    <row r="1047" spans="2:77" s="37" customFormat="1" ht="15" outlineLevel="1">
      <c r="B1047"/>
      <c r="C1047"/>
      <c r="D1047" s="22"/>
      <c r="E1047" s="22" t="s">
        <v>469</v>
      </c>
      <c r="F1047" s="36" t="s">
        <v>470</v>
      </c>
      <c r="G1047" s="22"/>
      <c r="H1047" s="37">
        <f ca="1">+SUM(H1044:H1046)</f>
        <v>0</v>
      </c>
      <c r="I1047" s="37">
        <f t="shared" ref="I1047:BT1047" ca="1" si="2152">+SUM(I1044:I1046)</f>
        <v>0</v>
      </c>
      <c r="J1047" s="37">
        <f t="shared" ca="1" si="2152"/>
        <v>-1926990.9461836799</v>
      </c>
      <c r="K1047" s="37">
        <f t="shared" ca="1" si="2152"/>
        <v>-57188496.110650077</v>
      </c>
      <c r="L1047" s="37">
        <f t="shared" ca="1" si="2152"/>
        <v>-57081731.378384799</v>
      </c>
      <c r="M1047" s="37">
        <f t="shared" ca="1" si="2152"/>
        <v>-56952718.199787647</v>
      </c>
      <c r="N1047" s="37">
        <f t="shared" ca="1" si="2152"/>
        <v>-56799857.3121567</v>
      </c>
      <c r="O1047" s="37">
        <f t="shared" ca="1" si="2152"/>
        <v>-56621451.222616233</v>
      </c>
      <c r="P1047" s="37">
        <f t="shared" ca="1" si="2152"/>
        <v>-56415698.441717289</v>
      </c>
      <c r="Q1047" s="37">
        <f t="shared" ca="1" si="2152"/>
        <v>-56180687.383525208</v>
      </c>
      <c r="R1047" s="37">
        <f t="shared" ca="1" si="2152"/>
        <v>-55914389.913002163</v>
      </c>
      <c r="S1047" s="37">
        <f t="shared" ca="1" si="2152"/>
        <v>-55614654.520390496</v>
      </c>
      <c r="T1047" s="37">
        <f t="shared" ca="1" si="2152"/>
        <v>-55279199.101136416</v>
      </c>
      <c r="U1047" s="37">
        <f t="shared" ca="1" si="2152"/>
        <v>-54905603.318661697</v>
      </c>
      <c r="V1047" s="37">
        <f t="shared" ca="1" si="2152"/>
        <v>-54491300.525986925</v>
      </c>
      <c r="W1047" s="37">
        <f t="shared" ca="1" si="2152"/>
        <v>-54033569.220831849</v>
      </c>
      <c r="X1047" s="37">
        <f t="shared" ca="1" si="2152"/>
        <v>-53529524.00736104</v>
      </c>
      <c r="Y1047" s="37">
        <f t="shared" ca="1" si="2152"/>
        <v>-52976106.036201991</v>
      </c>
      <c r="Z1047" s="37">
        <f t="shared" ca="1" si="2152"/>
        <v>0</v>
      </c>
      <c r="AA1047" s="37">
        <f t="shared" ca="1" si="2152"/>
        <v>0</v>
      </c>
      <c r="AB1047" s="37">
        <f t="shared" ca="1" si="2152"/>
        <v>0</v>
      </c>
      <c r="AC1047" s="37">
        <f t="shared" ca="1" si="2152"/>
        <v>0</v>
      </c>
      <c r="AD1047" s="37">
        <f t="shared" ca="1" si="2152"/>
        <v>0</v>
      </c>
      <c r="AE1047" s="37">
        <f t="shared" ca="1" si="2152"/>
        <v>0</v>
      </c>
      <c r="AF1047" s="37">
        <f t="shared" ca="1" si="2152"/>
        <v>0</v>
      </c>
      <c r="AG1047" s="37">
        <f t="shared" ca="1" si="2152"/>
        <v>0</v>
      </c>
      <c r="AH1047" s="37">
        <f t="shared" ca="1" si="2152"/>
        <v>0</v>
      </c>
      <c r="AI1047" s="37">
        <f t="shared" ca="1" si="2152"/>
        <v>0</v>
      </c>
      <c r="AJ1047" s="37">
        <f t="shared" ca="1" si="2152"/>
        <v>0</v>
      </c>
      <c r="AK1047" s="37">
        <f t="shared" ca="1" si="2152"/>
        <v>0</v>
      </c>
      <c r="AL1047" s="37">
        <f t="shared" ca="1" si="2152"/>
        <v>0</v>
      </c>
      <c r="AM1047" s="37">
        <f t="shared" ca="1" si="2152"/>
        <v>0</v>
      </c>
      <c r="AN1047" s="37">
        <f t="shared" ca="1" si="2152"/>
        <v>0</v>
      </c>
      <c r="AO1047" s="37">
        <f t="shared" ca="1" si="2152"/>
        <v>0</v>
      </c>
      <c r="AP1047" s="37">
        <f t="shared" ca="1" si="2152"/>
        <v>0</v>
      </c>
      <c r="AQ1047" s="37">
        <f t="shared" ca="1" si="2152"/>
        <v>0</v>
      </c>
      <c r="AR1047" s="37">
        <f t="shared" ca="1" si="2152"/>
        <v>0</v>
      </c>
      <c r="AS1047" s="37">
        <f t="shared" ca="1" si="2152"/>
        <v>0</v>
      </c>
      <c r="AT1047" s="37">
        <f t="shared" ca="1" si="2152"/>
        <v>0</v>
      </c>
      <c r="AU1047" s="37">
        <f t="shared" ca="1" si="2152"/>
        <v>0</v>
      </c>
      <c r="AV1047" s="37">
        <f t="shared" ca="1" si="2152"/>
        <v>0</v>
      </c>
      <c r="AW1047" s="37">
        <f t="shared" ca="1" si="2152"/>
        <v>0</v>
      </c>
      <c r="AX1047" s="37">
        <f t="shared" ca="1" si="2152"/>
        <v>0</v>
      </c>
      <c r="AY1047" s="37">
        <f t="shared" ca="1" si="2152"/>
        <v>0</v>
      </c>
      <c r="AZ1047" s="37">
        <f t="shared" ca="1" si="2152"/>
        <v>0</v>
      </c>
      <c r="BA1047" s="37">
        <f t="shared" ca="1" si="2152"/>
        <v>0</v>
      </c>
      <c r="BB1047" s="37">
        <f t="shared" ca="1" si="2152"/>
        <v>0</v>
      </c>
      <c r="BC1047" s="37">
        <f t="shared" ca="1" si="2152"/>
        <v>0</v>
      </c>
      <c r="BD1047" s="37">
        <f t="shared" ca="1" si="2152"/>
        <v>0</v>
      </c>
      <c r="BE1047" s="37">
        <f t="shared" ca="1" si="2152"/>
        <v>0</v>
      </c>
      <c r="BF1047" s="37">
        <f t="shared" ca="1" si="2152"/>
        <v>0</v>
      </c>
      <c r="BG1047" s="37">
        <f t="shared" ca="1" si="2152"/>
        <v>0</v>
      </c>
      <c r="BH1047" s="37">
        <f t="shared" ca="1" si="2152"/>
        <v>0</v>
      </c>
      <c r="BI1047" s="37">
        <f t="shared" ca="1" si="2152"/>
        <v>0</v>
      </c>
      <c r="BJ1047" s="37">
        <f t="shared" ca="1" si="2152"/>
        <v>0</v>
      </c>
      <c r="BK1047" s="37">
        <f t="shared" ca="1" si="2152"/>
        <v>0</v>
      </c>
      <c r="BL1047" s="37">
        <f t="shared" ca="1" si="2152"/>
        <v>0</v>
      </c>
      <c r="BM1047" s="37">
        <f t="shared" ca="1" si="2152"/>
        <v>0</v>
      </c>
      <c r="BN1047" s="37">
        <f t="shared" ca="1" si="2152"/>
        <v>0</v>
      </c>
      <c r="BO1047" s="37">
        <f t="shared" ca="1" si="2152"/>
        <v>0</v>
      </c>
      <c r="BP1047" s="37">
        <f t="shared" ca="1" si="2152"/>
        <v>0</v>
      </c>
      <c r="BQ1047" s="37">
        <f t="shared" ca="1" si="2152"/>
        <v>0</v>
      </c>
      <c r="BR1047" s="37">
        <f t="shared" ca="1" si="2152"/>
        <v>0</v>
      </c>
      <c r="BS1047" s="37">
        <f t="shared" ca="1" si="2152"/>
        <v>0</v>
      </c>
      <c r="BT1047" s="37">
        <f t="shared" ca="1" si="2152"/>
        <v>0</v>
      </c>
      <c r="BU1047" s="37">
        <f t="shared" ref="BU1047:BY1047" ca="1" si="2153">+SUM(BU1044:BU1046)</f>
        <v>0</v>
      </c>
      <c r="BV1047" s="37">
        <f t="shared" ca="1" si="2153"/>
        <v>0</v>
      </c>
      <c r="BW1047" s="37">
        <f t="shared" ca="1" si="2153"/>
        <v>0</v>
      </c>
      <c r="BX1047" s="37">
        <f t="shared" ca="1" si="2153"/>
        <v>0</v>
      </c>
      <c r="BY1047" s="37">
        <f t="shared" ca="1" si="2153"/>
        <v>0</v>
      </c>
    </row>
    <row r="1048" spans="2:77" s="33" customFormat="1" ht="15" outlineLevel="1">
      <c r="B1048" s="22"/>
      <c r="C1048" s="22"/>
      <c r="D1048"/>
      <c r="E1048" s="25" t="s">
        <v>471</v>
      </c>
      <c r="F1048" s="30" t="s">
        <v>466</v>
      </c>
      <c r="G1048" s="25"/>
      <c r="H1048" s="34">
        <f ca="1">+H1047*-Assumptions!$H$261</f>
        <v>0</v>
      </c>
      <c r="I1048" s="34">
        <f ca="1">+I1047*-Assumptions!$H$261</f>
        <v>0</v>
      </c>
      <c r="J1048" s="34">
        <f ca="1">+J1047*-Assumptions!$H$261</f>
        <v>0</v>
      </c>
      <c r="K1048" s="34">
        <f ca="1">+K1047*-Assumptions!$H$261</f>
        <v>0</v>
      </c>
      <c r="L1048" s="34">
        <f ca="1">+L1047*-Assumptions!$H$261</f>
        <v>0</v>
      </c>
      <c r="M1048" s="34">
        <f ca="1">+M1047*-Assumptions!$H$261</f>
        <v>0</v>
      </c>
      <c r="N1048" s="34">
        <f ca="1">+N1047*-Assumptions!$H$261</f>
        <v>0</v>
      </c>
      <c r="O1048" s="34">
        <f ca="1">+O1047*-Assumptions!$H$261</f>
        <v>0</v>
      </c>
      <c r="P1048" s="34">
        <f ca="1">+P1047*-Assumptions!$H$261</f>
        <v>0</v>
      </c>
      <c r="Q1048" s="34">
        <f ca="1">+Q1047*-Assumptions!$H$261</f>
        <v>0</v>
      </c>
      <c r="R1048" s="34">
        <f ca="1">+R1047*-Assumptions!$H$261</f>
        <v>0</v>
      </c>
      <c r="S1048" s="34">
        <f ca="1">+S1047*-Assumptions!$H$261</f>
        <v>0</v>
      </c>
      <c r="T1048" s="34">
        <f ca="1">+T1047*-Assumptions!$H$261</f>
        <v>0</v>
      </c>
      <c r="U1048" s="34">
        <f ca="1">+U1047*-Assumptions!$H$261</f>
        <v>0</v>
      </c>
      <c r="V1048" s="34">
        <f ca="1">+V1047*-Assumptions!$H$261</f>
        <v>0</v>
      </c>
      <c r="W1048" s="34">
        <f ca="1">+W1047*-Assumptions!$H$261</f>
        <v>0</v>
      </c>
      <c r="X1048" s="34">
        <f ca="1">+X1047*-Assumptions!$H$261</f>
        <v>0</v>
      </c>
      <c r="Y1048" s="34">
        <f ca="1">+Y1047*-Assumptions!$H$261</f>
        <v>0</v>
      </c>
      <c r="Z1048" s="34">
        <f ca="1">+Z1047*-Assumptions!$H$261</f>
        <v>0</v>
      </c>
      <c r="AA1048" s="34">
        <f ca="1">+AA1047*-Assumptions!$H$261</f>
        <v>0</v>
      </c>
      <c r="AB1048" s="34">
        <f ca="1">+AB1047*-Assumptions!$H$261</f>
        <v>0</v>
      </c>
      <c r="AC1048" s="34">
        <f ca="1">+AC1047*-Assumptions!$H$261</f>
        <v>0</v>
      </c>
      <c r="AD1048" s="34">
        <f ca="1">+AD1047*-Assumptions!$H$261</f>
        <v>0</v>
      </c>
      <c r="AE1048" s="34">
        <f ca="1">+AE1047*-Assumptions!$H$261</f>
        <v>0</v>
      </c>
      <c r="AF1048" s="34">
        <f ca="1">+AF1047*-Assumptions!$H$261</f>
        <v>0</v>
      </c>
      <c r="AG1048" s="34">
        <f ca="1">+AG1047*-Assumptions!$H$261</f>
        <v>0</v>
      </c>
      <c r="AH1048" s="34">
        <f ca="1">+AH1047*-Assumptions!$H$261</f>
        <v>0</v>
      </c>
      <c r="AI1048" s="34">
        <f ca="1">+AI1047*-Assumptions!$H$261</f>
        <v>0</v>
      </c>
      <c r="AJ1048" s="34">
        <f ca="1">+AJ1047*-Assumptions!$H$261</f>
        <v>0</v>
      </c>
      <c r="AK1048" s="34">
        <f ca="1">+AK1047*-Assumptions!$H$261</f>
        <v>0</v>
      </c>
      <c r="AL1048" s="34">
        <f ca="1">+AL1047*-Assumptions!$H$261</f>
        <v>0</v>
      </c>
      <c r="AM1048" s="34">
        <f ca="1">+AM1047*-Assumptions!$H$261</f>
        <v>0</v>
      </c>
      <c r="AN1048" s="34">
        <f ca="1">+AN1047*-Assumptions!$H$261</f>
        <v>0</v>
      </c>
      <c r="AO1048" s="34">
        <f ca="1">+AO1047*-Assumptions!$H$261</f>
        <v>0</v>
      </c>
      <c r="AP1048" s="34">
        <f ca="1">+AP1047*-Assumptions!$H$261</f>
        <v>0</v>
      </c>
      <c r="AQ1048" s="34">
        <f ca="1">+AQ1047*-Assumptions!$H$261</f>
        <v>0</v>
      </c>
      <c r="AR1048" s="34">
        <f ca="1">+AR1047*-Assumptions!$H$261</f>
        <v>0</v>
      </c>
      <c r="AS1048" s="34">
        <f ca="1">+AS1047*-Assumptions!$H$261</f>
        <v>0</v>
      </c>
      <c r="AT1048" s="34">
        <f ca="1">+AT1047*-Assumptions!$H$261</f>
        <v>0</v>
      </c>
      <c r="AU1048" s="34">
        <f ca="1">+AU1047*-Assumptions!$H$261</f>
        <v>0</v>
      </c>
      <c r="AV1048" s="34">
        <f ca="1">+AV1047*-Assumptions!$H$261</f>
        <v>0</v>
      </c>
      <c r="AW1048" s="34">
        <f ca="1">+AW1047*-Assumptions!$H$261</f>
        <v>0</v>
      </c>
      <c r="AX1048" s="34">
        <f ca="1">+AX1047*-Assumptions!$H$261</f>
        <v>0</v>
      </c>
      <c r="AY1048" s="34">
        <f ca="1">+AY1047*-Assumptions!$H$261</f>
        <v>0</v>
      </c>
      <c r="AZ1048" s="34">
        <f ca="1">+AZ1047*-Assumptions!$H$261</f>
        <v>0</v>
      </c>
      <c r="BA1048" s="34">
        <f ca="1">+BA1047*-Assumptions!$H$261</f>
        <v>0</v>
      </c>
      <c r="BB1048" s="34">
        <f ca="1">+BB1047*-Assumptions!$H$261</f>
        <v>0</v>
      </c>
      <c r="BC1048" s="34">
        <f ca="1">+BC1047*-Assumptions!$H$261</f>
        <v>0</v>
      </c>
      <c r="BD1048" s="34">
        <f ca="1">+BD1047*-Assumptions!$H$261</f>
        <v>0</v>
      </c>
      <c r="BE1048" s="34">
        <f ca="1">+BE1047*-Assumptions!$H$261</f>
        <v>0</v>
      </c>
      <c r="BF1048" s="34">
        <f ca="1">+BF1047*-Assumptions!$H$261</f>
        <v>0</v>
      </c>
      <c r="BG1048" s="34">
        <f ca="1">+BG1047*-Assumptions!$H$261</f>
        <v>0</v>
      </c>
      <c r="BH1048" s="34">
        <f ca="1">+BH1047*-Assumptions!$H$261</f>
        <v>0</v>
      </c>
      <c r="BI1048" s="34">
        <f ca="1">+BI1047*-Assumptions!$H$261</f>
        <v>0</v>
      </c>
      <c r="BJ1048" s="34">
        <f ca="1">+BJ1047*-Assumptions!$H$261</f>
        <v>0</v>
      </c>
      <c r="BK1048" s="34">
        <f ca="1">+BK1047*-Assumptions!$H$261</f>
        <v>0</v>
      </c>
      <c r="BL1048" s="34">
        <f ca="1">+BL1047*-Assumptions!$H$261</f>
        <v>0</v>
      </c>
      <c r="BM1048" s="34">
        <f ca="1">+BM1047*-Assumptions!$H$261</f>
        <v>0</v>
      </c>
      <c r="BN1048" s="34">
        <f ca="1">+BN1047*-Assumptions!$H$261</f>
        <v>0</v>
      </c>
      <c r="BO1048" s="34">
        <f ca="1">+BO1047*-Assumptions!$H$261</f>
        <v>0</v>
      </c>
      <c r="BP1048" s="34">
        <f ca="1">+BP1047*-Assumptions!$H$261</f>
        <v>0</v>
      </c>
      <c r="BQ1048" s="34">
        <f ca="1">+BQ1047*-Assumptions!$H$261</f>
        <v>0</v>
      </c>
      <c r="BR1048" s="34">
        <f ca="1">+BR1047*-Assumptions!$H$261</f>
        <v>0</v>
      </c>
      <c r="BS1048" s="34">
        <f ca="1">+BS1047*-Assumptions!$H$261</f>
        <v>0</v>
      </c>
      <c r="BT1048" s="34">
        <f ca="1">+BT1047*-Assumptions!$H$261</f>
        <v>0</v>
      </c>
      <c r="BU1048" s="34">
        <f ca="1">+BU1047*-Assumptions!$H$261</f>
        <v>0</v>
      </c>
      <c r="BV1048" s="34">
        <f ca="1">+BV1047*-Assumptions!$H$261</f>
        <v>0</v>
      </c>
      <c r="BW1048" s="34">
        <f ca="1">+BW1047*-Assumptions!$H$261</f>
        <v>0</v>
      </c>
      <c r="BX1048" s="34">
        <f ca="1">+BX1047*-Assumptions!$H$261</f>
        <v>0</v>
      </c>
      <c r="BY1048" s="34">
        <f ca="1">+BY1047*-Assumptions!$H$261</f>
        <v>0</v>
      </c>
    </row>
    <row r="1049" spans="2:77" s="37" customFormat="1" ht="15" outlineLevel="1">
      <c r="B1049" s="22"/>
      <c r="C1049" s="22"/>
      <c r="D1049" s="22"/>
      <c r="E1049" s="22" t="s">
        <v>527</v>
      </c>
      <c r="F1049" s="36" t="s">
        <v>470</v>
      </c>
      <c r="G1049" s="22"/>
      <c r="H1049" s="37">
        <f ca="1">+SUM(H1047:H1048)</f>
        <v>0</v>
      </c>
      <c r="I1049" s="37">
        <f t="shared" ref="I1049:BT1049" ca="1" si="2154">+SUM(I1047:I1048)</f>
        <v>0</v>
      </c>
      <c r="J1049" s="37">
        <f t="shared" ca="1" si="2154"/>
        <v>-1926990.9461836799</v>
      </c>
      <c r="K1049" s="37">
        <f t="shared" ca="1" si="2154"/>
        <v>-57188496.110650077</v>
      </c>
      <c r="L1049" s="37">
        <f t="shared" ca="1" si="2154"/>
        <v>-57081731.378384799</v>
      </c>
      <c r="M1049" s="37">
        <f t="shared" ca="1" si="2154"/>
        <v>-56952718.199787647</v>
      </c>
      <c r="N1049" s="37">
        <f t="shared" ca="1" si="2154"/>
        <v>-56799857.3121567</v>
      </c>
      <c r="O1049" s="37">
        <f t="shared" ca="1" si="2154"/>
        <v>-56621451.222616233</v>
      </c>
      <c r="P1049" s="37">
        <f t="shared" ca="1" si="2154"/>
        <v>-56415698.441717289</v>
      </c>
      <c r="Q1049" s="37">
        <f t="shared" ca="1" si="2154"/>
        <v>-56180687.383525208</v>
      </c>
      <c r="R1049" s="37">
        <f t="shared" ca="1" si="2154"/>
        <v>-55914389.913002163</v>
      </c>
      <c r="S1049" s="37">
        <f t="shared" ca="1" si="2154"/>
        <v>-55614654.520390496</v>
      </c>
      <c r="T1049" s="37">
        <f t="shared" ca="1" si="2154"/>
        <v>-55279199.101136416</v>
      </c>
      <c r="U1049" s="37">
        <f t="shared" ca="1" si="2154"/>
        <v>-54905603.318661697</v>
      </c>
      <c r="V1049" s="37">
        <f t="shared" ca="1" si="2154"/>
        <v>-54491300.525986925</v>
      </c>
      <c r="W1049" s="37">
        <f t="shared" ca="1" si="2154"/>
        <v>-54033569.220831849</v>
      </c>
      <c r="X1049" s="37">
        <f t="shared" ca="1" si="2154"/>
        <v>-53529524.00736104</v>
      </c>
      <c r="Y1049" s="37">
        <f t="shared" ca="1" si="2154"/>
        <v>-52976106.036201991</v>
      </c>
      <c r="Z1049" s="37">
        <f t="shared" ca="1" si="2154"/>
        <v>0</v>
      </c>
      <c r="AA1049" s="37">
        <f t="shared" ca="1" si="2154"/>
        <v>0</v>
      </c>
      <c r="AB1049" s="37">
        <f t="shared" ca="1" si="2154"/>
        <v>0</v>
      </c>
      <c r="AC1049" s="37">
        <f t="shared" ca="1" si="2154"/>
        <v>0</v>
      </c>
      <c r="AD1049" s="37">
        <f t="shared" ca="1" si="2154"/>
        <v>0</v>
      </c>
      <c r="AE1049" s="37">
        <f t="shared" ca="1" si="2154"/>
        <v>0</v>
      </c>
      <c r="AF1049" s="37">
        <f t="shared" ca="1" si="2154"/>
        <v>0</v>
      </c>
      <c r="AG1049" s="37">
        <f t="shared" ca="1" si="2154"/>
        <v>0</v>
      </c>
      <c r="AH1049" s="37">
        <f t="shared" ca="1" si="2154"/>
        <v>0</v>
      </c>
      <c r="AI1049" s="37">
        <f t="shared" ca="1" si="2154"/>
        <v>0</v>
      </c>
      <c r="AJ1049" s="37">
        <f t="shared" ca="1" si="2154"/>
        <v>0</v>
      </c>
      <c r="AK1049" s="37">
        <f t="shared" ca="1" si="2154"/>
        <v>0</v>
      </c>
      <c r="AL1049" s="37">
        <f t="shared" ca="1" si="2154"/>
        <v>0</v>
      </c>
      <c r="AM1049" s="37">
        <f t="shared" ca="1" si="2154"/>
        <v>0</v>
      </c>
      <c r="AN1049" s="37">
        <f t="shared" ca="1" si="2154"/>
        <v>0</v>
      </c>
      <c r="AO1049" s="37">
        <f t="shared" ca="1" si="2154"/>
        <v>0</v>
      </c>
      <c r="AP1049" s="37">
        <f t="shared" ca="1" si="2154"/>
        <v>0</v>
      </c>
      <c r="AQ1049" s="37">
        <f t="shared" ca="1" si="2154"/>
        <v>0</v>
      </c>
      <c r="AR1049" s="37">
        <f t="shared" ca="1" si="2154"/>
        <v>0</v>
      </c>
      <c r="AS1049" s="37">
        <f t="shared" ca="1" si="2154"/>
        <v>0</v>
      </c>
      <c r="AT1049" s="37">
        <f t="shared" ca="1" si="2154"/>
        <v>0</v>
      </c>
      <c r="AU1049" s="37">
        <f t="shared" ca="1" si="2154"/>
        <v>0</v>
      </c>
      <c r="AV1049" s="37">
        <f t="shared" ca="1" si="2154"/>
        <v>0</v>
      </c>
      <c r="AW1049" s="37">
        <f t="shared" ca="1" si="2154"/>
        <v>0</v>
      </c>
      <c r="AX1049" s="37">
        <f t="shared" ca="1" si="2154"/>
        <v>0</v>
      </c>
      <c r="AY1049" s="37">
        <f t="shared" ca="1" si="2154"/>
        <v>0</v>
      </c>
      <c r="AZ1049" s="37">
        <f t="shared" ca="1" si="2154"/>
        <v>0</v>
      </c>
      <c r="BA1049" s="37">
        <f t="shared" ca="1" si="2154"/>
        <v>0</v>
      </c>
      <c r="BB1049" s="37">
        <f t="shared" ca="1" si="2154"/>
        <v>0</v>
      </c>
      <c r="BC1049" s="37">
        <f t="shared" ca="1" si="2154"/>
        <v>0</v>
      </c>
      <c r="BD1049" s="37">
        <f t="shared" ca="1" si="2154"/>
        <v>0</v>
      </c>
      <c r="BE1049" s="37">
        <f t="shared" ca="1" si="2154"/>
        <v>0</v>
      </c>
      <c r="BF1049" s="37">
        <f t="shared" ca="1" si="2154"/>
        <v>0</v>
      </c>
      <c r="BG1049" s="37">
        <f t="shared" ca="1" si="2154"/>
        <v>0</v>
      </c>
      <c r="BH1049" s="37">
        <f t="shared" ca="1" si="2154"/>
        <v>0</v>
      </c>
      <c r="BI1049" s="37">
        <f t="shared" ca="1" si="2154"/>
        <v>0</v>
      </c>
      <c r="BJ1049" s="37">
        <f t="shared" ca="1" si="2154"/>
        <v>0</v>
      </c>
      <c r="BK1049" s="37">
        <f t="shared" ca="1" si="2154"/>
        <v>0</v>
      </c>
      <c r="BL1049" s="37">
        <f t="shared" ca="1" si="2154"/>
        <v>0</v>
      </c>
      <c r="BM1049" s="37">
        <f t="shared" ca="1" si="2154"/>
        <v>0</v>
      </c>
      <c r="BN1049" s="37">
        <f t="shared" ca="1" si="2154"/>
        <v>0</v>
      </c>
      <c r="BO1049" s="37">
        <f t="shared" ca="1" si="2154"/>
        <v>0</v>
      </c>
      <c r="BP1049" s="37">
        <f t="shared" ca="1" si="2154"/>
        <v>0</v>
      </c>
      <c r="BQ1049" s="37">
        <f t="shared" ca="1" si="2154"/>
        <v>0</v>
      </c>
      <c r="BR1049" s="37">
        <f t="shared" ca="1" si="2154"/>
        <v>0</v>
      </c>
      <c r="BS1049" s="37">
        <f t="shared" ca="1" si="2154"/>
        <v>0</v>
      </c>
      <c r="BT1049" s="37">
        <f t="shared" ca="1" si="2154"/>
        <v>0</v>
      </c>
      <c r="BU1049" s="37">
        <f t="shared" ref="BU1049:BY1049" ca="1" si="2155">+SUM(BU1047:BU1048)</f>
        <v>0</v>
      </c>
      <c r="BV1049" s="37">
        <f t="shared" ca="1" si="2155"/>
        <v>0</v>
      </c>
      <c r="BW1049" s="37">
        <f t="shared" ca="1" si="2155"/>
        <v>0</v>
      </c>
      <c r="BX1049" s="37">
        <f t="shared" ca="1" si="2155"/>
        <v>0</v>
      </c>
      <c r="BY1049" s="37">
        <f t="shared" ca="1" si="2155"/>
        <v>0</v>
      </c>
    </row>
    <row r="1050" spans="2:77" s="22" customFormat="1" ht="15" outlineLevel="1">
      <c r="F1050" s="36"/>
      <c r="H1050" s="37"/>
      <c r="I1050" s="37"/>
      <c r="J1050" s="37"/>
      <c r="K1050" s="37"/>
      <c r="L1050" s="37"/>
      <c r="M1050" s="37"/>
      <c r="N1050" s="37"/>
      <c r="O1050" s="37"/>
      <c r="P1050" s="37"/>
      <c r="Q1050" s="37"/>
      <c r="R1050" s="37"/>
      <c r="S1050" s="37"/>
      <c r="T1050" s="37"/>
      <c r="U1050" s="37"/>
      <c r="V1050" s="37"/>
      <c r="W1050" s="37"/>
      <c r="X1050" s="37"/>
      <c r="Y1050" s="37"/>
      <c r="Z1050" s="37"/>
      <c r="AA1050" s="37"/>
      <c r="AB1050" s="37"/>
      <c r="AC1050" s="37"/>
      <c r="AD1050" s="37"/>
      <c r="AE1050" s="37"/>
      <c r="AF1050" s="37"/>
      <c r="AG1050" s="37"/>
      <c r="AH1050" s="37"/>
      <c r="AI1050" s="37"/>
      <c r="AJ1050" s="37"/>
      <c r="AK1050" s="37"/>
      <c r="AL1050" s="37"/>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row>
    <row r="1051" spans="2:77" s="19" customFormat="1" ht="12.75" outlineLevel="1">
      <c r="B1051" s="18" t="s">
        <v>528</v>
      </c>
      <c r="H1051" s="35"/>
      <c r="I1051" s="35"/>
      <c r="J1051" s="35"/>
      <c r="K1051" s="35"/>
      <c r="L1051" s="35"/>
      <c r="M1051" s="35"/>
      <c r="N1051" s="35"/>
      <c r="O1051" s="35"/>
      <c r="P1051" s="35"/>
      <c r="Q1051" s="35"/>
      <c r="R1051" s="35"/>
      <c r="S1051" s="35"/>
      <c r="T1051" s="35"/>
      <c r="U1051" s="35"/>
      <c r="V1051" s="35"/>
      <c r="W1051" s="35"/>
      <c r="X1051" s="35"/>
      <c r="Y1051" s="35"/>
      <c r="Z1051" s="35"/>
      <c r="AA1051" s="35"/>
      <c r="AB1051" s="35"/>
      <c r="AC1051" s="35"/>
      <c r="AD1051" s="35"/>
      <c r="AE1051" s="35"/>
      <c r="AF1051" s="35"/>
      <c r="AG1051" s="35"/>
      <c r="AH1051" s="35"/>
      <c r="AI1051" s="35"/>
      <c r="AJ1051" s="35"/>
      <c r="AK1051" s="35"/>
      <c r="AL1051" s="35"/>
      <c r="AM1051" s="35"/>
      <c r="AN1051" s="35"/>
      <c r="AO1051" s="35"/>
      <c r="AP1051" s="35"/>
      <c r="AQ1051" s="35"/>
      <c r="AR1051" s="35"/>
      <c r="AS1051" s="35"/>
      <c r="AT1051" s="35"/>
      <c r="AU1051" s="35"/>
      <c r="AV1051" s="35"/>
      <c r="AW1051" s="35"/>
      <c r="AX1051" s="35"/>
      <c r="AY1051" s="35"/>
      <c r="AZ1051" s="35"/>
      <c r="BA1051" s="35"/>
      <c r="BB1051" s="35"/>
      <c r="BC1051" s="35"/>
      <c r="BD1051" s="35"/>
      <c r="BE1051" s="35"/>
      <c r="BF1051" s="35"/>
      <c r="BG1051" s="35"/>
      <c r="BH1051" s="35"/>
      <c r="BI1051" s="35"/>
      <c r="BJ1051" s="35"/>
      <c r="BK1051" s="35"/>
      <c r="BL1051" s="35"/>
      <c r="BM1051" s="35"/>
      <c r="BN1051" s="35"/>
      <c r="BO1051" s="35"/>
      <c r="BP1051" s="35"/>
      <c r="BQ1051" s="35"/>
      <c r="BR1051" s="35"/>
      <c r="BS1051" s="35"/>
      <c r="BT1051" s="35"/>
      <c r="BU1051" s="35"/>
      <c r="BV1051" s="35"/>
      <c r="BW1051" s="35"/>
      <c r="BX1051" s="35"/>
      <c r="BY1051" s="35"/>
    </row>
    <row r="1052" spans="2:77" outlineLevel="1">
      <c r="BF1052" s="33"/>
      <c r="BG1052" s="33"/>
      <c r="BH1052" s="33"/>
      <c r="BI1052" s="33"/>
      <c r="BJ1052" s="33"/>
      <c r="BK1052" s="33"/>
      <c r="BL1052" s="33"/>
      <c r="BM1052" s="33"/>
      <c r="BN1052" s="33"/>
      <c r="BO1052" s="33"/>
      <c r="BP1052" s="33"/>
      <c r="BQ1052" s="33"/>
      <c r="BR1052" s="33"/>
      <c r="BS1052" s="33"/>
      <c r="BT1052" s="33"/>
      <c r="BU1052" s="33"/>
      <c r="BV1052" s="33"/>
      <c r="BW1052" s="33"/>
      <c r="BX1052" s="33"/>
      <c r="BY1052" s="33"/>
    </row>
    <row r="1053" spans="2:77" s="22" customFormat="1" ht="15" outlineLevel="1">
      <c r="D1053"/>
      <c r="E1053" t="s">
        <v>474</v>
      </c>
      <c r="F1053" s="23" t="s">
        <v>475</v>
      </c>
      <c r="G1053"/>
      <c r="H1053" s="33">
        <f>+H1044+H1045</f>
        <v>0</v>
      </c>
      <c r="I1053" s="33">
        <f t="shared" ref="I1053:BT1053" si="2156">+I1044+I1045</f>
        <v>0</v>
      </c>
      <c r="J1053" s="33">
        <f t="shared" si="2156"/>
        <v>0</v>
      </c>
      <c r="K1053" s="33">
        <f t="shared" si="2156"/>
        <v>-45108814.416710407</v>
      </c>
      <c r="L1053" s="33">
        <f t="shared" si="2156"/>
        <v>-45539978.320084617</v>
      </c>
      <c r="M1053" s="33">
        <f t="shared" si="2156"/>
        <v>-45979765.501526304</v>
      </c>
      <c r="N1053" s="33">
        <f t="shared" si="2156"/>
        <v>-46428348.42659682</v>
      </c>
      <c r="O1053" s="33">
        <f t="shared" si="2156"/>
        <v>-46885903.010168761</v>
      </c>
      <c r="P1053" s="33">
        <f t="shared" si="2156"/>
        <v>-47352608.685412139</v>
      </c>
      <c r="Q1053" s="33">
        <f t="shared" si="2156"/>
        <v>-47828648.474160388</v>
      </c>
      <c r="R1053" s="33">
        <f t="shared" si="2156"/>
        <v>-48314209.058683589</v>
      </c>
      <c r="S1053" s="33">
        <f t="shared" si="2156"/>
        <v>-48809480.854897261</v>
      </c>
      <c r="T1053" s="33">
        <f t="shared" si="2156"/>
        <v>-49314658.087035209</v>
      </c>
      <c r="U1053" s="33">
        <f t="shared" si="2156"/>
        <v>-49829938.863815911</v>
      </c>
      <c r="V1053" s="33">
        <f t="shared" si="2156"/>
        <v>-50355525.256132223</v>
      </c>
      <c r="W1053" s="33">
        <f t="shared" si="2156"/>
        <v>-50891623.376294874</v>
      </c>
      <c r="X1053" s="33">
        <f t="shared" si="2156"/>
        <v>-51438443.45886077</v>
      </c>
      <c r="Y1053" s="33">
        <f t="shared" si="2156"/>
        <v>-51996199.943077981</v>
      </c>
      <c r="Z1053" s="33">
        <f t="shared" si="2156"/>
        <v>0</v>
      </c>
      <c r="AA1053" s="33">
        <f t="shared" si="2156"/>
        <v>0</v>
      </c>
      <c r="AB1053" s="33">
        <f t="shared" si="2156"/>
        <v>0</v>
      </c>
      <c r="AC1053" s="33">
        <f t="shared" si="2156"/>
        <v>0</v>
      </c>
      <c r="AD1053" s="33">
        <f t="shared" si="2156"/>
        <v>0</v>
      </c>
      <c r="AE1053" s="33">
        <f t="shared" si="2156"/>
        <v>0</v>
      </c>
      <c r="AF1053" s="33">
        <f t="shared" si="2156"/>
        <v>0</v>
      </c>
      <c r="AG1053" s="33">
        <f t="shared" si="2156"/>
        <v>0</v>
      </c>
      <c r="AH1053" s="33">
        <f t="shared" si="2156"/>
        <v>0</v>
      </c>
      <c r="AI1053" s="33">
        <f t="shared" si="2156"/>
        <v>0</v>
      </c>
      <c r="AJ1053" s="33">
        <f t="shared" si="2156"/>
        <v>0</v>
      </c>
      <c r="AK1053" s="33">
        <f t="shared" si="2156"/>
        <v>0</v>
      </c>
      <c r="AL1053" s="33">
        <f t="shared" si="2156"/>
        <v>0</v>
      </c>
      <c r="AM1053" s="33">
        <f t="shared" si="2156"/>
        <v>0</v>
      </c>
      <c r="AN1053" s="33">
        <f t="shared" si="2156"/>
        <v>0</v>
      </c>
      <c r="AO1053" s="33">
        <f t="shared" si="2156"/>
        <v>0</v>
      </c>
      <c r="AP1053" s="33">
        <f t="shared" si="2156"/>
        <v>0</v>
      </c>
      <c r="AQ1053" s="33">
        <f t="shared" si="2156"/>
        <v>0</v>
      </c>
      <c r="AR1053" s="33">
        <f t="shared" si="2156"/>
        <v>0</v>
      </c>
      <c r="AS1053" s="33">
        <f t="shared" si="2156"/>
        <v>0</v>
      </c>
      <c r="AT1053" s="33">
        <f t="shared" si="2156"/>
        <v>0</v>
      </c>
      <c r="AU1053" s="33">
        <f t="shared" si="2156"/>
        <v>0</v>
      </c>
      <c r="AV1053" s="33">
        <f t="shared" si="2156"/>
        <v>0</v>
      </c>
      <c r="AW1053" s="33">
        <f t="shared" si="2156"/>
        <v>0</v>
      </c>
      <c r="AX1053" s="33">
        <f t="shared" si="2156"/>
        <v>0</v>
      </c>
      <c r="AY1053" s="33">
        <f t="shared" si="2156"/>
        <v>0</v>
      </c>
      <c r="AZ1053" s="33">
        <f t="shared" si="2156"/>
        <v>0</v>
      </c>
      <c r="BA1053" s="33">
        <f t="shared" si="2156"/>
        <v>0</v>
      </c>
      <c r="BB1053" s="33">
        <f t="shared" si="2156"/>
        <v>0</v>
      </c>
      <c r="BC1053" s="33">
        <f t="shared" si="2156"/>
        <v>0</v>
      </c>
      <c r="BD1053" s="33">
        <f t="shared" si="2156"/>
        <v>0</v>
      </c>
      <c r="BE1053" s="33">
        <f t="shared" si="2156"/>
        <v>0</v>
      </c>
      <c r="BF1053" s="33">
        <f t="shared" si="2156"/>
        <v>0</v>
      </c>
      <c r="BG1053" s="33">
        <f t="shared" si="2156"/>
        <v>0</v>
      </c>
      <c r="BH1053" s="33">
        <f t="shared" si="2156"/>
        <v>0</v>
      </c>
      <c r="BI1053" s="33">
        <f t="shared" si="2156"/>
        <v>0</v>
      </c>
      <c r="BJ1053" s="33">
        <f t="shared" si="2156"/>
        <v>0</v>
      </c>
      <c r="BK1053" s="33">
        <f t="shared" si="2156"/>
        <v>0</v>
      </c>
      <c r="BL1053" s="33">
        <f t="shared" si="2156"/>
        <v>0</v>
      </c>
      <c r="BM1053" s="33">
        <f t="shared" si="2156"/>
        <v>0</v>
      </c>
      <c r="BN1053" s="33">
        <f t="shared" si="2156"/>
        <v>0</v>
      </c>
      <c r="BO1053" s="33">
        <f t="shared" si="2156"/>
        <v>0</v>
      </c>
      <c r="BP1053" s="33">
        <f t="shared" si="2156"/>
        <v>0</v>
      </c>
      <c r="BQ1053" s="33">
        <f t="shared" si="2156"/>
        <v>0</v>
      </c>
      <c r="BR1053" s="33">
        <f t="shared" si="2156"/>
        <v>0</v>
      </c>
      <c r="BS1053" s="33">
        <f t="shared" si="2156"/>
        <v>0</v>
      </c>
      <c r="BT1053" s="33">
        <f t="shared" si="2156"/>
        <v>0</v>
      </c>
      <c r="BU1053" s="33">
        <f t="shared" ref="BU1053:BY1053" si="2157">+BU1044+BU1045</f>
        <v>0</v>
      </c>
      <c r="BV1053" s="33">
        <f t="shared" si="2157"/>
        <v>0</v>
      </c>
      <c r="BW1053" s="33">
        <f t="shared" si="2157"/>
        <v>0</v>
      </c>
      <c r="BX1053" s="33">
        <f t="shared" si="2157"/>
        <v>0</v>
      </c>
      <c r="BY1053" s="33">
        <f t="shared" si="2157"/>
        <v>0</v>
      </c>
    </row>
    <row r="1054" spans="2:77" s="22" customFormat="1" ht="15" outlineLevel="1">
      <c r="D1054"/>
      <c r="E1054" t="s">
        <v>476</v>
      </c>
      <c r="F1054" s="23" t="s">
        <v>475</v>
      </c>
      <c r="G1054"/>
      <c r="H1054" s="33">
        <f>-H1045</f>
        <v>0</v>
      </c>
      <c r="I1054" s="33">
        <f t="shared" ref="I1054:BT1054" si="2158">-I1045</f>
        <v>0</v>
      </c>
      <c r="J1054" s="33">
        <f t="shared" si="2158"/>
        <v>0</v>
      </c>
      <c r="K1054" s="33">
        <f t="shared" si="2158"/>
        <v>23550619.248000003</v>
      </c>
      <c r="L1054" s="33">
        <f t="shared" si="2158"/>
        <v>23550619.248000003</v>
      </c>
      <c r="M1054" s="33">
        <f t="shared" si="2158"/>
        <v>23550619.248000003</v>
      </c>
      <c r="N1054" s="33">
        <f t="shared" si="2158"/>
        <v>23550619.248000003</v>
      </c>
      <c r="O1054" s="33">
        <f t="shared" si="2158"/>
        <v>23550619.248000003</v>
      </c>
      <c r="P1054" s="33">
        <f t="shared" si="2158"/>
        <v>23550619.248000003</v>
      </c>
      <c r="Q1054" s="33">
        <f t="shared" si="2158"/>
        <v>23550619.248000003</v>
      </c>
      <c r="R1054" s="33">
        <f t="shared" si="2158"/>
        <v>23550619.248000003</v>
      </c>
      <c r="S1054" s="33">
        <f t="shared" si="2158"/>
        <v>23550619.248000003</v>
      </c>
      <c r="T1054" s="33">
        <f t="shared" si="2158"/>
        <v>23550619.248000003</v>
      </c>
      <c r="U1054" s="33">
        <f t="shared" si="2158"/>
        <v>23550619.248000003</v>
      </c>
      <c r="V1054" s="33">
        <f t="shared" si="2158"/>
        <v>23550619.248000003</v>
      </c>
      <c r="W1054" s="33">
        <f t="shared" si="2158"/>
        <v>23550619.248000003</v>
      </c>
      <c r="X1054" s="33">
        <f t="shared" si="2158"/>
        <v>23550619.248000003</v>
      </c>
      <c r="Y1054" s="33">
        <f t="shared" si="2158"/>
        <v>23550619.248000003</v>
      </c>
      <c r="Z1054" s="33">
        <f t="shared" si="2158"/>
        <v>0</v>
      </c>
      <c r="AA1054" s="33">
        <f t="shared" si="2158"/>
        <v>0</v>
      </c>
      <c r="AB1054" s="33">
        <f t="shared" si="2158"/>
        <v>0</v>
      </c>
      <c r="AC1054" s="33">
        <f t="shared" si="2158"/>
        <v>0</v>
      </c>
      <c r="AD1054" s="33">
        <f t="shared" si="2158"/>
        <v>0</v>
      </c>
      <c r="AE1054" s="33">
        <f t="shared" si="2158"/>
        <v>0</v>
      </c>
      <c r="AF1054" s="33">
        <f t="shared" si="2158"/>
        <v>0</v>
      </c>
      <c r="AG1054" s="33">
        <f t="shared" si="2158"/>
        <v>0</v>
      </c>
      <c r="AH1054" s="33">
        <f t="shared" si="2158"/>
        <v>0</v>
      </c>
      <c r="AI1054" s="33">
        <f t="shared" si="2158"/>
        <v>0</v>
      </c>
      <c r="AJ1054" s="33">
        <f t="shared" si="2158"/>
        <v>0</v>
      </c>
      <c r="AK1054" s="33">
        <f t="shared" si="2158"/>
        <v>0</v>
      </c>
      <c r="AL1054" s="33">
        <f t="shared" si="2158"/>
        <v>0</v>
      </c>
      <c r="AM1054" s="33">
        <f t="shared" si="2158"/>
        <v>0</v>
      </c>
      <c r="AN1054" s="33">
        <f t="shared" si="2158"/>
        <v>0</v>
      </c>
      <c r="AO1054" s="33">
        <f t="shared" si="2158"/>
        <v>0</v>
      </c>
      <c r="AP1054" s="33">
        <f t="shared" si="2158"/>
        <v>0</v>
      </c>
      <c r="AQ1054" s="33">
        <f t="shared" si="2158"/>
        <v>0</v>
      </c>
      <c r="AR1054" s="33">
        <f t="shared" si="2158"/>
        <v>0</v>
      </c>
      <c r="AS1054" s="33">
        <f t="shared" si="2158"/>
        <v>0</v>
      </c>
      <c r="AT1054" s="33">
        <f t="shared" si="2158"/>
        <v>0</v>
      </c>
      <c r="AU1054" s="33">
        <f t="shared" si="2158"/>
        <v>0</v>
      </c>
      <c r="AV1054" s="33">
        <f t="shared" si="2158"/>
        <v>0</v>
      </c>
      <c r="AW1054" s="33">
        <f t="shared" si="2158"/>
        <v>0</v>
      </c>
      <c r="AX1054" s="33">
        <f t="shared" si="2158"/>
        <v>0</v>
      </c>
      <c r="AY1054" s="33">
        <f t="shared" si="2158"/>
        <v>0</v>
      </c>
      <c r="AZ1054" s="33">
        <f t="shared" si="2158"/>
        <v>0</v>
      </c>
      <c r="BA1054" s="33">
        <f t="shared" si="2158"/>
        <v>0</v>
      </c>
      <c r="BB1054" s="33">
        <f t="shared" si="2158"/>
        <v>0</v>
      </c>
      <c r="BC1054" s="33">
        <f t="shared" si="2158"/>
        <v>0</v>
      </c>
      <c r="BD1054" s="33">
        <f t="shared" si="2158"/>
        <v>0</v>
      </c>
      <c r="BE1054" s="33">
        <f t="shared" si="2158"/>
        <v>0</v>
      </c>
      <c r="BF1054" s="33">
        <f t="shared" si="2158"/>
        <v>0</v>
      </c>
      <c r="BG1054" s="33">
        <f t="shared" si="2158"/>
        <v>0</v>
      </c>
      <c r="BH1054" s="33">
        <f t="shared" si="2158"/>
        <v>0</v>
      </c>
      <c r="BI1054" s="33">
        <f t="shared" si="2158"/>
        <v>0</v>
      </c>
      <c r="BJ1054" s="33">
        <f t="shared" si="2158"/>
        <v>0</v>
      </c>
      <c r="BK1054" s="33">
        <f t="shared" si="2158"/>
        <v>0</v>
      </c>
      <c r="BL1054" s="33">
        <f t="shared" si="2158"/>
        <v>0</v>
      </c>
      <c r="BM1054" s="33">
        <f t="shared" si="2158"/>
        <v>0</v>
      </c>
      <c r="BN1054" s="33">
        <f t="shared" si="2158"/>
        <v>0</v>
      </c>
      <c r="BO1054" s="33">
        <f t="shared" si="2158"/>
        <v>0</v>
      </c>
      <c r="BP1054" s="33">
        <f t="shared" si="2158"/>
        <v>0</v>
      </c>
      <c r="BQ1054" s="33">
        <f t="shared" si="2158"/>
        <v>0</v>
      </c>
      <c r="BR1054" s="33">
        <f t="shared" si="2158"/>
        <v>0</v>
      </c>
      <c r="BS1054" s="33">
        <f t="shared" si="2158"/>
        <v>0</v>
      </c>
      <c r="BT1054" s="33">
        <f t="shared" si="2158"/>
        <v>0</v>
      </c>
      <c r="BU1054" s="33">
        <f t="shared" ref="BU1054:BY1054" si="2159">-BU1045</f>
        <v>0</v>
      </c>
      <c r="BV1054" s="33">
        <f t="shared" si="2159"/>
        <v>0</v>
      </c>
      <c r="BW1054" s="33">
        <f t="shared" si="2159"/>
        <v>0</v>
      </c>
      <c r="BX1054" s="33">
        <f t="shared" si="2159"/>
        <v>0</v>
      </c>
      <c r="BY1054" s="33">
        <f t="shared" si="2159"/>
        <v>0</v>
      </c>
    </row>
    <row r="1055" spans="2:77" s="22" customFormat="1" ht="15" outlineLevel="1">
      <c r="D1055"/>
      <c r="E1055" t="s">
        <v>477</v>
      </c>
      <c r="F1055" s="23" t="s">
        <v>466</v>
      </c>
      <c r="G1055"/>
      <c r="H1055" s="33">
        <v>0</v>
      </c>
      <c r="I1055" s="33">
        <v>0</v>
      </c>
      <c r="J1055" s="33">
        <v>0</v>
      </c>
      <c r="K1055" s="33">
        <v>0</v>
      </c>
      <c r="L1055" s="33">
        <v>0</v>
      </c>
      <c r="M1055" s="33">
        <v>0</v>
      </c>
      <c r="N1055" s="33">
        <v>0</v>
      </c>
      <c r="O1055" s="33">
        <v>0</v>
      </c>
      <c r="P1055" s="33">
        <v>0</v>
      </c>
      <c r="Q1055" s="33">
        <v>0</v>
      </c>
      <c r="R1055" s="33">
        <v>0</v>
      </c>
      <c r="S1055" s="33">
        <v>0</v>
      </c>
      <c r="T1055" s="33">
        <v>0</v>
      </c>
      <c r="U1055" s="33">
        <v>0</v>
      </c>
      <c r="V1055" s="33">
        <v>0</v>
      </c>
      <c r="W1055" s="33">
        <v>0</v>
      </c>
      <c r="X1055" s="33">
        <v>0</v>
      </c>
      <c r="Y1055" s="33">
        <v>0</v>
      </c>
      <c r="Z1055" s="33">
        <v>0</v>
      </c>
      <c r="AA1055" s="33">
        <v>0</v>
      </c>
      <c r="AB1055" s="33">
        <v>0</v>
      </c>
      <c r="AC1055" s="33">
        <v>0</v>
      </c>
      <c r="AD1055" s="33">
        <v>0</v>
      </c>
      <c r="AE1055" s="33">
        <v>0</v>
      </c>
      <c r="AF1055" s="33">
        <v>0</v>
      </c>
      <c r="AG1055" s="33">
        <v>0</v>
      </c>
      <c r="AH1055" s="33">
        <v>0</v>
      </c>
      <c r="AI1055" s="33">
        <v>0</v>
      </c>
      <c r="AJ1055" s="33">
        <v>0</v>
      </c>
      <c r="AK1055" s="33">
        <v>0</v>
      </c>
      <c r="AL1055" s="33">
        <v>0</v>
      </c>
      <c r="AM1055" s="33">
        <v>0</v>
      </c>
      <c r="AN1055" s="33">
        <v>0</v>
      </c>
      <c r="AO1055" s="33">
        <v>0</v>
      </c>
      <c r="AP1055" s="33">
        <v>0</v>
      </c>
      <c r="AQ1055" s="33">
        <v>0</v>
      </c>
      <c r="AR1055" s="33">
        <v>0</v>
      </c>
      <c r="AS1055" s="33">
        <v>0</v>
      </c>
      <c r="AT1055" s="33">
        <v>0</v>
      </c>
      <c r="AU1055" s="33">
        <v>0</v>
      </c>
      <c r="AV1055" s="33">
        <v>0</v>
      </c>
      <c r="AW1055" s="33">
        <v>0</v>
      </c>
      <c r="AX1055" s="33">
        <v>0</v>
      </c>
      <c r="AY1055" s="33">
        <v>0</v>
      </c>
      <c r="AZ1055" s="33">
        <v>0</v>
      </c>
      <c r="BA1055" s="33">
        <v>0</v>
      </c>
      <c r="BB1055" s="33">
        <v>0</v>
      </c>
      <c r="BC1055" s="33">
        <v>0</v>
      </c>
      <c r="BD1055" s="33">
        <v>0</v>
      </c>
      <c r="BE1055" s="33">
        <v>0</v>
      </c>
      <c r="BF1055" s="33">
        <v>0</v>
      </c>
      <c r="BG1055" s="33">
        <v>0</v>
      </c>
      <c r="BH1055" s="33">
        <v>0</v>
      </c>
      <c r="BI1055" s="33">
        <v>0</v>
      </c>
      <c r="BJ1055" s="33">
        <v>0</v>
      </c>
      <c r="BK1055" s="33">
        <v>0</v>
      </c>
      <c r="BL1055" s="33">
        <v>0</v>
      </c>
      <c r="BM1055" s="33">
        <v>0</v>
      </c>
      <c r="BN1055" s="33">
        <v>0</v>
      </c>
      <c r="BO1055" s="33">
        <v>0</v>
      </c>
      <c r="BP1055" s="33">
        <v>0</v>
      </c>
      <c r="BQ1055" s="33">
        <v>0</v>
      </c>
      <c r="BR1055" s="33">
        <v>0</v>
      </c>
      <c r="BS1055" s="33">
        <v>0</v>
      </c>
      <c r="BT1055" s="33">
        <v>0</v>
      </c>
      <c r="BU1055" s="33">
        <v>0</v>
      </c>
      <c r="BV1055" s="33">
        <v>0</v>
      </c>
      <c r="BW1055" s="33">
        <v>0</v>
      </c>
      <c r="BX1055" s="33">
        <v>0</v>
      </c>
      <c r="BY1055" s="33">
        <v>0</v>
      </c>
    </row>
    <row r="1056" spans="2:77" s="22" customFormat="1" ht="15" outlineLevel="1">
      <c r="D1056"/>
      <c r="E1056" t="s">
        <v>471</v>
      </c>
      <c r="F1056" s="23" t="s">
        <v>466</v>
      </c>
      <c r="G1056"/>
      <c r="H1056" s="33">
        <f ca="1">+H1048</f>
        <v>0</v>
      </c>
      <c r="I1056" s="33">
        <f t="shared" ref="I1056:BT1056" ca="1" si="2160">+I1048</f>
        <v>0</v>
      </c>
      <c r="J1056" s="33">
        <f t="shared" ca="1" si="2160"/>
        <v>0</v>
      </c>
      <c r="K1056" s="33">
        <f t="shared" ca="1" si="2160"/>
        <v>0</v>
      </c>
      <c r="L1056" s="33">
        <f t="shared" ca="1" si="2160"/>
        <v>0</v>
      </c>
      <c r="M1056" s="33">
        <f t="shared" ca="1" si="2160"/>
        <v>0</v>
      </c>
      <c r="N1056" s="33">
        <f t="shared" ca="1" si="2160"/>
        <v>0</v>
      </c>
      <c r="O1056" s="33">
        <f t="shared" ca="1" si="2160"/>
        <v>0</v>
      </c>
      <c r="P1056" s="33">
        <f t="shared" ca="1" si="2160"/>
        <v>0</v>
      </c>
      <c r="Q1056" s="33">
        <f t="shared" ca="1" si="2160"/>
        <v>0</v>
      </c>
      <c r="R1056" s="33">
        <f t="shared" ca="1" si="2160"/>
        <v>0</v>
      </c>
      <c r="S1056" s="33">
        <f t="shared" ca="1" si="2160"/>
        <v>0</v>
      </c>
      <c r="T1056" s="33">
        <f t="shared" ca="1" si="2160"/>
        <v>0</v>
      </c>
      <c r="U1056" s="33">
        <f t="shared" ca="1" si="2160"/>
        <v>0</v>
      </c>
      <c r="V1056" s="33">
        <f t="shared" ca="1" si="2160"/>
        <v>0</v>
      </c>
      <c r="W1056" s="33">
        <f t="shared" ca="1" si="2160"/>
        <v>0</v>
      </c>
      <c r="X1056" s="33">
        <f t="shared" ca="1" si="2160"/>
        <v>0</v>
      </c>
      <c r="Y1056" s="33">
        <f t="shared" ca="1" si="2160"/>
        <v>0</v>
      </c>
      <c r="Z1056" s="33">
        <f t="shared" ca="1" si="2160"/>
        <v>0</v>
      </c>
      <c r="AA1056" s="33">
        <f t="shared" ca="1" si="2160"/>
        <v>0</v>
      </c>
      <c r="AB1056" s="33">
        <f t="shared" ca="1" si="2160"/>
        <v>0</v>
      </c>
      <c r="AC1056" s="33">
        <f t="shared" ca="1" si="2160"/>
        <v>0</v>
      </c>
      <c r="AD1056" s="33">
        <f t="shared" ca="1" si="2160"/>
        <v>0</v>
      </c>
      <c r="AE1056" s="33">
        <f t="shared" ca="1" si="2160"/>
        <v>0</v>
      </c>
      <c r="AF1056" s="33">
        <f t="shared" ca="1" si="2160"/>
        <v>0</v>
      </c>
      <c r="AG1056" s="33">
        <f t="shared" ca="1" si="2160"/>
        <v>0</v>
      </c>
      <c r="AH1056" s="33">
        <f t="shared" ca="1" si="2160"/>
        <v>0</v>
      </c>
      <c r="AI1056" s="33">
        <f t="shared" ca="1" si="2160"/>
        <v>0</v>
      </c>
      <c r="AJ1056" s="33">
        <f t="shared" ca="1" si="2160"/>
        <v>0</v>
      </c>
      <c r="AK1056" s="33">
        <f t="shared" ca="1" si="2160"/>
        <v>0</v>
      </c>
      <c r="AL1056" s="33">
        <f t="shared" ca="1" si="2160"/>
        <v>0</v>
      </c>
      <c r="AM1056" s="33">
        <f t="shared" ca="1" si="2160"/>
        <v>0</v>
      </c>
      <c r="AN1056" s="33">
        <f t="shared" ca="1" si="2160"/>
        <v>0</v>
      </c>
      <c r="AO1056" s="33">
        <f t="shared" ca="1" si="2160"/>
        <v>0</v>
      </c>
      <c r="AP1056" s="33">
        <f t="shared" ca="1" si="2160"/>
        <v>0</v>
      </c>
      <c r="AQ1056" s="33">
        <f t="shared" ca="1" si="2160"/>
        <v>0</v>
      </c>
      <c r="AR1056" s="33">
        <f t="shared" ca="1" si="2160"/>
        <v>0</v>
      </c>
      <c r="AS1056" s="33">
        <f t="shared" ca="1" si="2160"/>
        <v>0</v>
      </c>
      <c r="AT1056" s="33">
        <f t="shared" ca="1" si="2160"/>
        <v>0</v>
      </c>
      <c r="AU1056" s="33">
        <f t="shared" ca="1" si="2160"/>
        <v>0</v>
      </c>
      <c r="AV1056" s="33">
        <f t="shared" ca="1" si="2160"/>
        <v>0</v>
      </c>
      <c r="AW1056" s="33">
        <f t="shared" ca="1" si="2160"/>
        <v>0</v>
      </c>
      <c r="AX1056" s="33">
        <f t="shared" ca="1" si="2160"/>
        <v>0</v>
      </c>
      <c r="AY1056" s="33">
        <f t="shared" ca="1" si="2160"/>
        <v>0</v>
      </c>
      <c r="AZ1056" s="33">
        <f t="shared" ca="1" si="2160"/>
        <v>0</v>
      </c>
      <c r="BA1056" s="33">
        <f t="shared" ca="1" si="2160"/>
        <v>0</v>
      </c>
      <c r="BB1056" s="33">
        <f t="shared" ca="1" si="2160"/>
        <v>0</v>
      </c>
      <c r="BC1056" s="33">
        <f t="shared" ca="1" si="2160"/>
        <v>0</v>
      </c>
      <c r="BD1056" s="33">
        <f t="shared" ca="1" si="2160"/>
        <v>0</v>
      </c>
      <c r="BE1056" s="33">
        <f t="shared" ca="1" si="2160"/>
        <v>0</v>
      </c>
      <c r="BF1056" s="33">
        <f t="shared" ca="1" si="2160"/>
        <v>0</v>
      </c>
      <c r="BG1056" s="33">
        <f t="shared" ca="1" si="2160"/>
        <v>0</v>
      </c>
      <c r="BH1056" s="33">
        <f t="shared" ca="1" si="2160"/>
        <v>0</v>
      </c>
      <c r="BI1056" s="33">
        <f t="shared" ca="1" si="2160"/>
        <v>0</v>
      </c>
      <c r="BJ1056" s="33">
        <f t="shared" ca="1" si="2160"/>
        <v>0</v>
      </c>
      <c r="BK1056" s="33">
        <f t="shared" ca="1" si="2160"/>
        <v>0</v>
      </c>
      <c r="BL1056" s="33">
        <f t="shared" ca="1" si="2160"/>
        <v>0</v>
      </c>
      <c r="BM1056" s="33">
        <f t="shared" ca="1" si="2160"/>
        <v>0</v>
      </c>
      <c r="BN1056" s="33">
        <f t="shared" ca="1" si="2160"/>
        <v>0</v>
      </c>
      <c r="BO1056" s="33">
        <f t="shared" ca="1" si="2160"/>
        <v>0</v>
      </c>
      <c r="BP1056" s="33">
        <f t="shared" ca="1" si="2160"/>
        <v>0</v>
      </c>
      <c r="BQ1056" s="33">
        <f t="shared" ca="1" si="2160"/>
        <v>0</v>
      </c>
      <c r="BR1056" s="33">
        <f t="shared" ca="1" si="2160"/>
        <v>0</v>
      </c>
      <c r="BS1056" s="33">
        <f t="shared" ca="1" si="2160"/>
        <v>0</v>
      </c>
      <c r="BT1056" s="33">
        <f t="shared" ca="1" si="2160"/>
        <v>0</v>
      </c>
      <c r="BU1056" s="33">
        <f t="shared" ref="BU1056:BY1056" ca="1" si="2161">+BU1048</f>
        <v>0</v>
      </c>
      <c r="BV1056" s="33">
        <f t="shared" ca="1" si="2161"/>
        <v>0</v>
      </c>
      <c r="BW1056" s="33">
        <f t="shared" ca="1" si="2161"/>
        <v>0</v>
      </c>
      <c r="BX1056" s="33">
        <f t="shared" ca="1" si="2161"/>
        <v>0</v>
      </c>
      <c r="BY1056" s="33">
        <f t="shared" ca="1" si="2161"/>
        <v>0</v>
      </c>
    </row>
    <row r="1057" spans="1:77" s="22" customFormat="1" ht="15" outlineLevel="1">
      <c r="A1057"/>
      <c r="D1057" s="38"/>
      <c r="E1057" s="22" t="s">
        <v>478</v>
      </c>
      <c r="F1057" s="36" t="s">
        <v>470</v>
      </c>
      <c r="H1057" s="37">
        <f ca="1">+SUM(H1053:H1056)</f>
        <v>0</v>
      </c>
      <c r="I1057" s="37">
        <f t="shared" ref="I1057:BT1057" ca="1" si="2162">+SUM(I1053:I1056)</f>
        <v>0</v>
      </c>
      <c r="J1057" s="37">
        <f t="shared" ca="1" si="2162"/>
        <v>0</v>
      </c>
      <c r="K1057" s="37">
        <f t="shared" ca="1" si="2162"/>
        <v>-21558195.168710403</v>
      </c>
      <c r="L1057" s="37">
        <f t="shared" ca="1" si="2162"/>
        <v>-21989359.072084613</v>
      </c>
      <c r="M1057" s="37">
        <f t="shared" ca="1" si="2162"/>
        <v>-22429146.2535263</v>
      </c>
      <c r="N1057" s="37">
        <f t="shared" ca="1" si="2162"/>
        <v>-22877729.178596817</v>
      </c>
      <c r="O1057" s="37">
        <f t="shared" ca="1" si="2162"/>
        <v>-23335283.762168758</v>
      </c>
      <c r="P1057" s="37">
        <f t="shared" ca="1" si="2162"/>
        <v>-23801989.437412135</v>
      </c>
      <c r="Q1057" s="37">
        <f t="shared" ca="1" si="2162"/>
        <v>-24278029.226160385</v>
      </c>
      <c r="R1057" s="37">
        <f t="shared" ca="1" si="2162"/>
        <v>-24763589.810683586</v>
      </c>
      <c r="S1057" s="37">
        <f t="shared" ca="1" si="2162"/>
        <v>-25258861.606897257</v>
      </c>
      <c r="T1057" s="37">
        <f t="shared" ca="1" si="2162"/>
        <v>-25764038.839035206</v>
      </c>
      <c r="U1057" s="37">
        <f t="shared" ca="1" si="2162"/>
        <v>-26279319.615815908</v>
      </c>
      <c r="V1057" s="37">
        <f t="shared" ca="1" si="2162"/>
        <v>-26804906.008132219</v>
      </c>
      <c r="W1057" s="37">
        <f t="shared" ca="1" si="2162"/>
        <v>-27341004.12829487</v>
      </c>
      <c r="X1057" s="37">
        <f t="shared" ca="1" si="2162"/>
        <v>-27887824.210860766</v>
      </c>
      <c r="Y1057" s="37">
        <f t="shared" ca="1" si="2162"/>
        <v>-28445580.695077978</v>
      </c>
      <c r="Z1057" s="37">
        <f t="shared" ca="1" si="2162"/>
        <v>0</v>
      </c>
      <c r="AA1057" s="37">
        <f t="shared" ca="1" si="2162"/>
        <v>0</v>
      </c>
      <c r="AB1057" s="37">
        <f t="shared" ca="1" si="2162"/>
        <v>0</v>
      </c>
      <c r="AC1057" s="37">
        <f t="shared" ca="1" si="2162"/>
        <v>0</v>
      </c>
      <c r="AD1057" s="37">
        <f t="shared" ca="1" si="2162"/>
        <v>0</v>
      </c>
      <c r="AE1057" s="37">
        <f t="shared" ca="1" si="2162"/>
        <v>0</v>
      </c>
      <c r="AF1057" s="37">
        <f t="shared" ca="1" si="2162"/>
        <v>0</v>
      </c>
      <c r="AG1057" s="37">
        <f t="shared" ca="1" si="2162"/>
        <v>0</v>
      </c>
      <c r="AH1057" s="37">
        <f t="shared" ca="1" si="2162"/>
        <v>0</v>
      </c>
      <c r="AI1057" s="37">
        <f t="shared" ca="1" si="2162"/>
        <v>0</v>
      </c>
      <c r="AJ1057" s="37">
        <f t="shared" ca="1" si="2162"/>
        <v>0</v>
      </c>
      <c r="AK1057" s="37">
        <f t="shared" ca="1" si="2162"/>
        <v>0</v>
      </c>
      <c r="AL1057" s="37">
        <f t="shared" ca="1" si="2162"/>
        <v>0</v>
      </c>
      <c r="AM1057" s="37">
        <f t="shared" ca="1" si="2162"/>
        <v>0</v>
      </c>
      <c r="AN1057" s="37">
        <f t="shared" ca="1" si="2162"/>
        <v>0</v>
      </c>
      <c r="AO1057" s="37">
        <f t="shared" ca="1" si="2162"/>
        <v>0</v>
      </c>
      <c r="AP1057" s="37">
        <f t="shared" ca="1" si="2162"/>
        <v>0</v>
      </c>
      <c r="AQ1057" s="37">
        <f t="shared" ca="1" si="2162"/>
        <v>0</v>
      </c>
      <c r="AR1057" s="37">
        <f t="shared" ca="1" si="2162"/>
        <v>0</v>
      </c>
      <c r="AS1057" s="37">
        <f t="shared" ca="1" si="2162"/>
        <v>0</v>
      </c>
      <c r="AT1057" s="37">
        <f t="shared" ca="1" si="2162"/>
        <v>0</v>
      </c>
      <c r="AU1057" s="37">
        <f t="shared" ca="1" si="2162"/>
        <v>0</v>
      </c>
      <c r="AV1057" s="37">
        <f t="shared" ca="1" si="2162"/>
        <v>0</v>
      </c>
      <c r="AW1057" s="37">
        <f t="shared" ca="1" si="2162"/>
        <v>0</v>
      </c>
      <c r="AX1057" s="37">
        <f t="shared" ca="1" si="2162"/>
        <v>0</v>
      </c>
      <c r="AY1057" s="37">
        <f t="shared" ca="1" si="2162"/>
        <v>0</v>
      </c>
      <c r="AZ1057" s="37">
        <f t="shared" ca="1" si="2162"/>
        <v>0</v>
      </c>
      <c r="BA1057" s="37">
        <f t="shared" ca="1" si="2162"/>
        <v>0</v>
      </c>
      <c r="BB1057" s="37">
        <f t="shared" ca="1" si="2162"/>
        <v>0</v>
      </c>
      <c r="BC1057" s="37">
        <f t="shared" ca="1" si="2162"/>
        <v>0</v>
      </c>
      <c r="BD1057" s="37">
        <f t="shared" ca="1" si="2162"/>
        <v>0</v>
      </c>
      <c r="BE1057" s="37">
        <f t="shared" ca="1" si="2162"/>
        <v>0</v>
      </c>
      <c r="BF1057" s="37">
        <f t="shared" ca="1" si="2162"/>
        <v>0</v>
      </c>
      <c r="BG1057" s="37">
        <f t="shared" ca="1" si="2162"/>
        <v>0</v>
      </c>
      <c r="BH1057" s="37">
        <f t="shared" ca="1" si="2162"/>
        <v>0</v>
      </c>
      <c r="BI1057" s="37">
        <f t="shared" ca="1" si="2162"/>
        <v>0</v>
      </c>
      <c r="BJ1057" s="37">
        <f t="shared" ca="1" si="2162"/>
        <v>0</v>
      </c>
      <c r="BK1057" s="37">
        <f t="shared" ca="1" si="2162"/>
        <v>0</v>
      </c>
      <c r="BL1057" s="37">
        <f t="shared" ca="1" si="2162"/>
        <v>0</v>
      </c>
      <c r="BM1057" s="37">
        <f t="shared" ca="1" si="2162"/>
        <v>0</v>
      </c>
      <c r="BN1057" s="37">
        <f t="shared" ca="1" si="2162"/>
        <v>0</v>
      </c>
      <c r="BO1057" s="37">
        <f t="shared" ca="1" si="2162"/>
        <v>0</v>
      </c>
      <c r="BP1057" s="37">
        <f t="shared" ca="1" si="2162"/>
        <v>0</v>
      </c>
      <c r="BQ1057" s="37">
        <f t="shared" ca="1" si="2162"/>
        <v>0</v>
      </c>
      <c r="BR1057" s="37">
        <f t="shared" ca="1" si="2162"/>
        <v>0</v>
      </c>
      <c r="BS1057" s="37">
        <f t="shared" ca="1" si="2162"/>
        <v>0</v>
      </c>
      <c r="BT1057" s="37">
        <f t="shared" ca="1" si="2162"/>
        <v>0</v>
      </c>
      <c r="BU1057" s="37">
        <f t="shared" ref="BU1057:BY1057" ca="1" si="2163">+SUM(BU1053:BU1056)</f>
        <v>0</v>
      </c>
      <c r="BV1057" s="37">
        <f t="shared" ca="1" si="2163"/>
        <v>0</v>
      </c>
      <c r="BW1057" s="37">
        <f t="shared" ca="1" si="2163"/>
        <v>0</v>
      </c>
      <c r="BX1057" s="37">
        <f t="shared" ca="1" si="2163"/>
        <v>0</v>
      </c>
      <c r="BY1057" s="37">
        <f t="shared" ca="1" si="2163"/>
        <v>0</v>
      </c>
    </row>
    <row r="1058" spans="1:77" s="22" customFormat="1" ht="15" outlineLevel="1">
      <c r="A1058"/>
      <c r="D1058" s="46"/>
      <c r="E1058" t="s">
        <v>446</v>
      </c>
      <c r="F1058" s="23" t="s">
        <v>466</v>
      </c>
      <c r="G1058"/>
      <c r="H1058" s="33">
        <f t="shared" ref="H1058:AM1058" si="2164">+H960</f>
        <v>0</v>
      </c>
      <c r="I1058" s="33">
        <f t="shared" si="2164"/>
        <v>-174880836</v>
      </c>
      <c r="J1058" s="33">
        <f t="shared" si="2164"/>
        <v>-178378452.72</v>
      </c>
      <c r="K1058" s="33">
        <f t="shared" si="2164"/>
        <v>0</v>
      </c>
      <c r="L1058" s="33">
        <f t="shared" si="2164"/>
        <v>0</v>
      </c>
      <c r="M1058" s="33">
        <f t="shared" si="2164"/>
        <v>0</v>
      </c>
      <c r="N1058" s="33">
        <f t="shared" si="2164"/>
        <v>0</v>
      </c>
      <c r="O1058" s="33">
        <f t="shared" si="2164"/>
        <v>0</v>
      </c>
      <c r="P1058" s="33">
        <f t="shared" si="2164"/>
        <v>0</v>
      </c>
      <c r="Q1058" s="33">
        <f t="shared" si="2164"/>
        <v>0</v>
      </c>
      <c r="R1058" s="33">
        <f t="shared" si="2164"/>
        <v>0</v>
      </c>
      <c r="S1058" s="33">
        <f t="shared" si="2164"/>
        <v>0</v>
      </c>
      <c r="T1058" s="33">
        <f t="shared" si="2164"/>
        <v>0</v>
      </c>
      <c r="U1058" s="33">
        <f t="shared" si="2164"/>
        <v>0</v>
      </c>
      <c r="V1058" s="33">
        <f t="shared" si="2164"/>
        <v>0</v>
      </c>
      <c r="W1058" s="33">
        <f t="shared" si="2164"/>
        <v>0</v>
      </c>
      <c r="X1058" s="33">
        <f t="shared" si="2164"/>
        <v>0</v>
      </c>
      <c r="Y1058" s="33">
        <f t="shared" si="2164"/>
        <v>0</v>
      </c>
      <c r="Z1058" s="33">
        <f t="shared" si="2164"/>
        <v>0</v>
      </c>
      <c r="AA1058" s="33">
        <f t="shared" si="2164"/>
        <v>0</v>
      </c>
      <c r="AB1058" s="33">
        <f t="shared" si="2164"/>
        <v>0</v>
      </c>
      <c r="AC1058" s="33">
        <f t="shared" si="2164"/>
        <v>0</v>
      </c>
      <c r="AD1058" s="33">
        <f t="shared" si="2164"/>
        <v>0</v>
      </c>
      <c r="AE1058" s="33">
        <f t="shared" si="2164"/>
        <v>0</v>
      </c>
      <c r="AF1058" s="33">
        <f t="shared" si="2164"/>
        <v>0</v>
      </c>
      <c r="AG1058" s="33">
        <f t="shared" si="2164"/>
        <v>0</v>
      </c>
      <c r="AH1058" s="33">
        <f t="shared" si="2164"/>
        <v>0</v>
      </c>
      <c r="AI1058" s="33">
        <f t="shared" si="2164"/>
        <v>0</v>
      </c>
      <c r="AJ1058" s="33">
        <f t="shared" si="2164"/>
        <v>0</v>
      </c>
      <c r="AK1058" s="33">
        <f t="shared" si="2164"/>
        <v>0</v>
      </c>
      <c r="AL1058" s="33">
        <f t="shared" si="2164"/>
        <v>0</v>
      </c>
      <c r="AM1058" s="33">
        <f t="shared" si="2164"/>
        <v>0</v>
      </c>
      <c r="AN1058" s="33">
        <f t="shared" ref="AN1058:BS1058" si="2165">+AN960</f>
        <v>0</v>
      </c>
      <c r="AO1058" s="33">
        <f t="shared" si="2165"/>
        <v>0</v>
      </c>
      <c r="AP1058" s="33">
        <f t="shared" si="2165"/>
        <v>0</v>
      </c>
      <c r="AQ1058" s="33">
        <f t="shared" si="2165"/>
        <v>0</v>
      </c>
      <c r="AR1058" s="33">
        <f t="shared" si="2165"/>
        <v>0</v>
      </c>
      <c r="AS1058" s="33">
        <f t="shared" si="2165"/>
        <v>0</v>
      </c>
      <c r="AT1058" s="33">
        <f t="shared" si="2165"/>
        <v>0</v>
      </c>
      <c r="AU1058" s="33">
        <f t="shared" si="2165"/>
        <v>0</v>
      </c>
      <c r="AV1058" s="33">
        <f t="shared" si="2165"/>
        <v>0</v>
      </c>
      <c r="AW1058" s="33">
        <f t="shared" si="2165"/>
        <v>0</v>
      </c>
      <c r="AX1058" s="33">
        <f t="shared" si="2165"/>
        <v>0</v>
      </c>
      <c r="AY1058" s="33">
        <f t="shared" si="2165"/>
        <v>0</v>
      </c>
      <c r="AZ1058" s="33">
        <f t="shared" si="2165"/>
        <v>0</v>
      </c>
      <c r="BA1058" s="33">
        <f t="shared" si="2165"/>
        <v>0</v>
      </c>
      <c r="BB1058" s="33">
        <f t="shared" si="2165"/>
        <v>0</v>
      </c>
      <c r="BC1058" s="33">
        <f t="shared" si="2165"/>
        <v>0</v>
      </c>
      <c r="BD1058" s="33">
        <f t="shared" si="2165"/>
        <v>0</v>
      </c>
      <c r="BE1058" s="33">
        <f t="shared" si="2165"/>
        <v>0</v>
      </c>
      <c r="BF1058" s="33">
        <f t="shared" si="2165"/>
        <v>0</v>
      </c>
      <c r="BG1058" s="33">
        <f t="shared" si="2165"/>
        <v>0</v>
      </c>
      <c r="BH1058" s="33">
        <f t="shared" si="2165"/>
        <v>0</v>
      </c>
      <c r="BI1058" s="33">
        <f t="shared" si="2165"/>
        <v>0</v>
      </c>
      <c r="BJ1058" s="33">
        <f t="shared" si="2165"/>
        <v>0</v>
      </c>
      <c r="BK1058" s="33">
        <f t="shared" si="2165"/>
        <v>0</v>
      </c>
      <c r="BL1058" s="33">
        <f t="shared" si="2165"/>
        <v>0</v>
      </c>
      <c r="BM1058" s="33">
        <f t="shared" si="2165"/>
        <v>0</v>
      </c>
      <c r="BN1058" s="33">
        <f t="shared" si="2165"/>
        <v>0</v>
      </c>
      <c r="BO1058" s="33">
        <f t="shared" si="2165"/>
        <v>0</v>
      </c>
      <c r="BP1058" s="33">
        <f t="shared" si="2165"/>
        <v>0</v>
      </c>
      <c r="BQ1058" s="33">
        <f t="shared" si="2165"/>
        <v>0</v>
      </c>
      <c r="BR1058" s="33">
        <f t="shared" si="2165"/>
        <v>0</v>
      </c>
      <c r="BS1058" s="33">
        <f t="shared" si="2165"/>
        <v>0</v>
      </c>
      <c r="BT1058" s="33">
        <f t="shared" ref="BT1058:BY1058" si="2166">+BT960</f>
        <v>0</v>
      </c>
      <c r="BU1058" s="33">
        <f t="shared" si="2166"/>
        <v>0</v>
      </c>
      <c r="BV1058" s="33">
        <f t="shared" si="2166"/>
        <v>0</v>
      </c>
      <c r="BW1058" s="33">
        <f t="shared" si="2166"/>
        <v>0</v>
      </c>
      <c r="BX1058" s="33">
        <f t="shared" si="2166"/>
        <v>0</v>
      </c>
      <c r="BY1058" s="33">
        <f t="shared" si="2166"/>
        <v>0</v>
      </c>
    </row>
    <row r="1059" spans="1:77" s="22" customFormat="1" ht="15" outlineLevel="1">
      <c r="A1059"/>
      <c r="D1059" s="45"/>
      <c r="E1059" s="22" t="s">
        <v>479</v>
      </c>
      <c r="F1059" s="36" t="s">
        <v>470</v>
      </c>
      <c r="H1059" s="37">
        <f ca="1">+SUM(H1057:H1058)</f>
        <v>0</v>
      </c>
      <c r="I1059" s="37">
        <f t="shared" ref="I1059:BT1059" ca="1" si="2167">+SUM(I1057:I1058)</f>
        <v>-174880836</v>
      </c>
      <c r="J1059" s="37">
        <f t="shared" ca="1" si="2167"/>
        <v>-178378452.72</v>
      </c>
      <c r="K1059" s="37">
        <f t="shared" ca="1" si="2167"/>
        <v>-21558195.168710403</v>
      </c>
      <c r="L1059" s="37">
        <f t="shared" ca="1" si="2167"/>
        <v>-21989359.072084613</v>
      </c>
      <c r="M1059" s="37">
        <f t="shared" ca="1" si="2167"/>
        <v>-22429146.2535263</v>
      </c>
      <c r="N1059" s="37">
        <f t="shared" ca="1" si="2167"/>
        <v>-22877729.178596817</v>
      </c>
      <c r="O1059" s="37">
        <f t="shared" ca="1" si="2167"/>
        <v>-23335283.762168758</v>
      </c>
      <c r="P1059" s="37">
        <f t="shared" ca="1" si="2167"/>
        <v>-23801989.437412135</v>
      </c>
      <c r="Q1059" s="37">
        <f t="shared" ca="1" si="2167"/>
        <v>-24278029.226160385</v>
      </c>
      <c r="R1059" s="37">
        <f t="shared" ca="1" si="2167"/>
        <v>-24763589.810683586</v>
      </c>
      <c r="S1059" s="37">
        <f t="shared" ca="1" si="2167"/>
        <v>-25258861.606897257</v>
      </c>
      <c r="T1059" s="37">
        <f t="shared" ca="1" si="2167"/>
        <v>-25764038.839035206</v>
      </c>
      <c r="U1059" s="37">
        <f t="shared" ca="1" si="2167"/>
        <v>-26279319.615815908</v>
      </c>
      <c r="V1059" s="37">
        <f t="shared" ca="1" si="2167"/>
        <v>-26804906.008132219</v>
      </c>
      <c r="W1059" s="37">
        <f t="shared" ca="1" si="2167"/>
        <v>-27341004.12829487</v>
      </c>
      <c r="X1059" s="37">
        <f t="shared" ca="1" si="2167"/>
        <v>-27887824.210860766</v>
      </c>
      <c r="Y1059" s="37">
        <f t="shared" ca="1" si="2167"/>
        <v>-28445580.695077978</v>
      </c>
      <c r="Z1059" s="37">
        <f t="shared" ca="1" si="2167"/>
        <v>0</v>
      </c>
      <c r="AA1059" s="37">
        <f t="shared" ca="1" si="2167"/>
        <v>0</v>
      </c>
      <c r="AB1059" s="37">
        <f t="shared" ca="1" si="2167"/>
        <v>0</v>
      </c>
      <c r="AC1059" s="37">
        <f t="shared" ca="1" si="2167"/>
        <v>0</v>
      </c>
      <c r="AD1059" s="37">
        <f t="shared" ca="1" si="2167"/>
        <v>0</v>
      </c>
      <c r="AE1059" s="37">
        <f t="shared" ca="1" si="2167"/>
        <v>0</v>
      </c>
      <c r="AF1059" s="37">
        <f t="shared" ca="1" si="2167"/>
        <v>0</v>
      </c>
      <c r="AG1059" s="37">
        <f t="shared" ca="1" si="2167"/>
        <v>0</v>
      </c>
      <c r="AH1059" s="37">
        <f t="shared" ca="1" si="2167"/>
        <v>0</v>
      </c>
      <c r="AI1059" s="37">
        <f t="shared" ca="1" si="2167"/>
        <v>0</v>
      </c>
      <c r="AJ1059" s="37">
        <f t="shared" ca="1" si="2167"/>
        <v>0</v>
      </c>
      <c r="AK1059" s="37">
        <f t="shared" ca="1" si="2167"/>
        <v>0</v>
      </c>
      <c r="AL1059" s="37">
        <f t="shared" ca="1" si="2167"/>
        <v>0</v>
      </c>
      <c r="AM1059" s="37">
        <f t="shared" ca="1" si="2167"/>
        <v>0</v>
      </c>
      <c r="AN1059" s="37">
        <f t="shared" ca="1" si="2167"/>
        <v>0</v>
      </c>
      <c r="AO1059" s="37">
        <f t="shared" ca="1" si="2167"/>
        <v>0</v>
      </c>
      <c r="AP1059" s="37">
        <f t="shared" ca="1" si="2167"/>
        <v>0</v>
      </c>
      <c r="AQ1059" s="37">
        <f t="shared" ca="1" si="2167"/>
        <v>0</v>
      </c>
      <c r="AR1059" s="37">
        <f t="shared" ca="1" si="2167"/>
        <v>0</v>
      </c>
      <c r="AS1059" s="37">
        <f t="shared" ca="1" si="2167"/>
        <v>0</v>
      </c>
      <c r="AT1059" s="37">
        <f t="shared" ca="1" si="2167"/>
        <v>0</v>
      </c>
      <c r="AU1059" s="37">
        <f t="shared" ca="1" si="2167"/>
        <v>0</v>
      </c>
      <c r="AV1059" s="37">
        <f t="shared" ca="1" si="2167"/>
        <v>0</v>
      </c>
      <c r="AW1059" s="37">
        <f t="shared" ca="1" si="2167"/>
        <v>0</v>
      </c>
      <c r="AX1059" s="37">
        <f t="shared" ca="1" si="2167"/>
        <v>0</v>
      </c>
      <c r="AY1059" s="37">
        <f t="shared" ca="1" si="2167"/>
        <v>0</v>
      </c>
      <c r="AZ1059" s="37">
        <f t="shared" ca="1" si="2167"/>
        <v>0</v>
      </c>
      <c r="BA1059" s="37">
        <f t="shared" ca="1" si="2167"/>
        <v>0</v>
      </c>
      <c r="BB1059" s="37">
        <f t="shared" ca="1" si="2167"/>
        <v>0</v>
      </c>
      <c r="BC1059" s="37">
        <f t="shared" ca="1" si="2167"/>
        <v>0</v>
      </c>
      <c r="BD1059" s="37">
        <f t="shared" ca="1" si="2167"/>
        <v>0</v>
      </c>
      <c r="BE1059" s="37">
        <f t="shared" ca="1" si="2167"/>
        <v>0</v>
      </c>
      <c r="BF1059" s="37">
        <f t="shared" ca="1" si="2167"/>
        <v>0</v>
      </c>
      <c r="BG1059" s="37">
        <f t="shared" ca="1" si="2167"/>
        <v>0</v>
      </c>
      <c r="BH1059" s="37">
        <f t="shared" ca="1" si="2167"/>
        <v>0</v>
      </c>
      <c r="BI1059" s="37">
        <f t="shared" ca="1" si="2167"/>
        <v>0</v>
      </c>
      <c r="BJ1059" s="37">
        <f t="shared" ca="1" si="2167"/>
        <v>0</v>
      </c>
      <c r="BK1059" s="37">
        <f t="shared" ca="1" si="2167"/>
        <v>0</v>
      </c>
      <c r="BL1059" s="37">
        <f t="shared" ca="1" si="2167"/>
        <v>0</v>
      </c>
      <c r="BM1059" s="37">
        <f t="shared" ca="1" si="2167"/>
        <v>0</v>
      </c>
      <c r="BN1059" s="37">
        <f t="shared" ca="1" si="2167"/>
        <v>0</v>
      </c>
      <c r="BO1059" s="37">
        <f t="shared" ca="1" si="2167"/>
        <v>0</v>
      </c>
      <c r="BP1059" s="37">
        <f t="shared" ca="1" si="2167"/>
        <v>0</v>
      </c>
      <c r="BQ1059" s="37">
        <f t="shared" ca="1" si="2167"/>
        <v>0</v>
      </c>
      <c r="BR1059" s="37">
        <f t="shared" ca="1" si="2167"/>
        <v>0</v>
      </c>
      <c r="BS1059" s="37">
        <f t="shared" ca="1" si="2167"/>
        <v>0</v>
      </c>
      <c r="BT1059" s="37">
        <f t="shared" ca="1" si="2167"/>
        <v>0</v>
      </c>
      <c r="BU1059" s="37">
        <f t="shared" ref="BU1059:BY1059" ca="1" si="2168">+SUM(BU1057:BU1058)</f>
        <v>0</v>
      </c>
      <c r="BV1059" s="37">
        <f t="shared" ca="1" si="2168"/>
        <v>0</v>
      </c>
      <c r="BW1059" s="37">
        <f t="shared" ca="1" si="2168"/>
        <v>0</v>
      </c>
      <c r="BX1059" s="37">
        <f t="shared" ca="1" si="2168"/>
        <v>0</v>
      </c>
      <c r="BY1059" s="37">
        <f t="shared" ca="1" si="2168"/>
        <v>0</v>
      </c>
    </row>
    <row r="1060" spans="1:77" s="22" customFormat="1" ht="15" outlineLevel="1">
      <c r="A1060"/>
      <c r="D1060" s="46"/>
      <c r="E1060" t="s">
        <v>480</v>
      </c>
      <c r="F1060" s="40" t="s">
        <v>475</v>
      </c>
      <c r="G1060"/>
      <c r="H1060" s="33">
        <f>-H979+H995-H1011+H1027</f>
        <v>0</v>
      </c>
      <c r="I1060" s="33">
        <f t="shared" ref="I1060:BT1060" si="2169">-I979+I995-I1011+I1027</f>
        <v>33577120.511999995</v>
      </c>
      <c r="J1060" s="33">
        <f t="shared" ca="1" si="2169"/>
        <v>176906965.4601149</v>
      </c>
      <c r="K1060" s="33">
        <f t="shared" ca="1" si="2169"/>
        <v>-9373211.9818694554</v>
      </c>
      <c r="L1060" s="33">
        <f t="shared" ca="1" si="2169"/>
        <v>-9911140.6175089441</v>
      </c>
      <c r="M1060" s="33">
        <f t="shared" ca="1" si="2169"/>
        <v>-10479940.977547783</v>
      </c>
      <c r="N1060" s="33">
        <f t="shared" ca="1" si="2169"/>
        <v>-11081384.790249251</v>
      </c>
      <c r="O1060" s="33">
        <f t="shared" ca="1" si="2169"/>
        <v>-11717345.463361656</v>
      </c>
      <c r="P1060" s="33">
        <f t="shared" ca="1" si="2169"/>
        <v>-12389803.919503981</v>
      </c>
      <c r="Q1060" s="33">
        <f t="shared" ca="1" si="2169"/>
        <v>-13100854.766444314</v>
      </c>
      <c r="R1060" s="33">
        <f t="shared" ca="1" si="2169"/>
        <v>-13852712.821490552</v>
      </c>
      <c r="S1060" s="33">
        <f t="shared" ca="1" si="2169"/>
        <v>-14647720.010315897</v>
      </c>
      <c r="T1060" s="33">
        <f t="shared" ca="1" si="2169"/>
        <v>-15488352.661707927</v>
      </c>
      <c r="U1060" s="33">
        <f t="shared" ca="1" si="2169"/>
        <v>-16377229.220963344</v>
      </c>
      <c r="V1060" s="33">
        <f t="shared" ca="1" si="2169"/>
        <v>-17317118.405954428</v>
      </c>
      <c r="W1060" s="33">
        <f t="shared" ca="1" si="2169"/>
        <v>-18310947.831272155</v>
      </c>
      <c r="X1060" s="33">
        <f t="shared" ca="1" si="2169"/>
        <v>-19361813.127308864</v>
      </c>
      <c r="Y1060" s="33">
        <f t="shared" ca="1" si="2169"/>
        <v>-17074509.376616348</v>
      </c>
      <c r="Z1060" s="33">
        <f t="shared" si="2169"/>
        <v>0</v>
      </c>
      <c r="AA1060" s="33">
        <f t="shared" si="2169"/>
        <v>0</v>
      </c>
      <c r="AB1060" s="33">
        <f t="shared" si="2169"/>
        <v>0</v>
      </c>
      <c r="AC1060" s="33">
        <f t="shared" si="2169"/>
        <v>0</v>
      </c>
      <c r="AD1060" s="33">
        <f t="shared" si="2169"/>
        <v>0</v>
      </c>
      <c r="AE1060" s="33">
        <f t="shared" si="2169"/>
        <v>0</v>
      </c>
      <c r="AF1060" s="33">
        <f t="shared" si="2169"/>
        <v>0</v>
      </c>
      <c r="AG1060" s="33">
        <f t="shared" si="2169"/>
        <v>0</v>
      </c>
      <c r="AH1060" s="33">
        <f t="shared" si="2169"/>
        <v>0</v>
      </c>
      <c r="AI1060" s="33">
        <f t="shared" si="2169"/>
        <v>0</v>
      </c>
      <c r="AJ1060" s="33">
        <f t="shared" si="2169"/>
        <v>0</v>
      </c>
      <c r="AK1060" s="33">
        <f t="shared" si="2169"/>
        <v>0</v>
      </c>
      <c r="AL1060" s="33">
        <f t="shared" si="2169"/>
        <v>0</v>
      </c>
      <c r="AM1060" s="33">
        <f t="shared" si="2169"/>
        <v>0</v>
      </c>
      <c r="AN1060" s="33">
        <f t="shared" si="2169"/>
        <v>0</v>
      </c>
      <c r="AO1060" s="33">
        <f t="shared" si="2169"/>
        <v>0</v>
      </c>
      <c r="AP1060" s="33">
        <f t="shared" si="2169"/>
        <v>0</v>
      </c>
      <c r="AQ1060" s="33">
        <f t="shared" si="2169"/>
        <v>0</v>
      </c>
      <c r="AR1060" s="33">
        <f t="shared" si="2169"/>
        <v>0</v>
      </c>
      <c r="AS1060" s="33">
        <f t="shared" si="2169"/>
        <v>0</v>
      </c>
      <c r="AT1060" s="33">
        <f t="shared" si="2169"/>
        <v>0</v>
      </c>
      <c r="AU1060" s="33">
        <f t="shared" si="2169"/>
        <v>0</v>
      </c>
      <c r="AV1060" s="33">
        <f t="shared" si="2169"/>
        <v>0</v>
      </c>
      <c r="AW1060" s="33">
        <f t="shared" si="2169"/>
        <v>0</v>
      </c>
      <c r="AX1060" s="33">
        <f t="shared" si="2169"/>
        <v>0</v>
      </c>
      <c r="AY1060" s="33">
        <f t="shared" si="2169"/>
        <v>0</v>
      </c>
      <c r="AZ1060" s="33">
        <f t="shared" si="2169"/>
        <v>0</v>
      </c>
      <c r="BA1060" s="33">
        <f t="shared" si="2169"/>
        <v>0</v>
      </c>
      <c r="BB1060" s="33">
        <f t="shared" si="2169"/>
        <v>0</v>
      </c>
      <c r="BC1060" s="33">
        <f t="shared" si="2169"/>
        <v>0</v>
      </c>
      <c r="BD1060" s="33">
        <f t="shared" si="2169"/>
        <v>0</v>
      </c>
      <c r="BE1060" s="33">
        <f t="shared" si="2169"/>
        <v>0</v>
      </c>
      <c r="BF1060" s="33">
        <f t="shared" si="2169"/>
        <v>0</v>
      </c>
      <c r="BG1060" s="33">
        <f t="shared" si="2169"/>
        <v>0</v>
      </c>
      <c r="BH1060" s="33">
        <f t="shared" si="2169"/>
        <v>0</v>
      </c>
      <c r="BI1060" s="33">
        <f t="shared" si="2169"/>
        <v>0</v>
      </c>
      <c r="BJ1060" s="33">
        <f t="shared" si="2169"/>
        <v>0</v>
      </c>
      <c r="BK1060" s="33">
        <f t="shared" si="2169"/>
        <v>0</v>
      </c>
      <c r="BL1060" s="33">
        <f t="shared" si="2169"/>
        <v>0</v>
      </c>
      <c r="BM1060" s="33">
        <f t="shared" si="2169"/>
        <v>0</v>
      </c>
      <c r="BN1060" s="33">
        <f t="shared" si="2169"/>
        <v>0</v>
      </c>
      <c r="BO1060" s="33">
        <f t="shared" si="2169"/>
        <v>0</v>
      </c>
      <c r="BP1060" s="33">
        <f t="shared" si="2169"/>
        <v>0</v>
      </c>
      <c r="BQ1060" s="33">
        <f t="shared" si="2169"/>
        <v>0</v>
      </c>
      <c r="BR1060" s="33">
        <f t="shared" si="2169"/>
        <v>0</v>
      </c>
      <c r="BS1060" s="33">
        <f t="shared" si="2169"/>
        <v>0</v>
      </c>
      <c r="BT1060" s="33">
        <f t="shared" si="2169"/>
        <v>0</v>
      </c>
      <c r="BU1060" s="33">
        <f t="shared" ref="BU1060:BY1060" si="2170">-BU979+BU995-BU1011+BU1027</f>
        <v>0</v>
      </c>
      <c r="BV1060" s="33">
        <f t="shared" si="2170"/>
        <v>0</v>
      </c>
      <c r="BW1060" s="33">
        <f t="shared" si="2170"/>
        <v>0</v>
      </c>
      <c r="BX1060" s="33">
        <f t="shared" si="2170"/>
        <v>0</v>
      </c>
      <c r="BY1060" s="33">
        <f t="shared" si="2170"/>
        <v>0</v>
      </c>
    </row>
    <row r="1061" spans="1:77" s="22" customFormat="1" ht="15" outlineLevel="1">
      <c r="A1061"/>
      <c r="D1061" s="46"/>
      <c r="E1061" s="25" t="s">
        <v>468</v>
      </c>
      <c r="F1061" s="30" t="s">
        <v>466</v>
      </c>
      <c r="G1061" s="25"/>
      <c r="H1061" s="34">
        <f ca="1">+H1046</f>
        <v>0</v>
      </c>
      <c r="I1061" s="34">
        <f t="shared" ref="I1061:BT1061" ca="1" si="2171">+I1046</f>
        <v>0</v>
      </c>
      <c r="J1061" s="34">
        <f t="shared" ca="1" si="2171"/>
        <v>-1926990.9461836799</v>
      </c>
      <c r="K1061" s="34">
        <f t="shared" ca="1" si="2171"/>
        <v>-12079681.693939675</v>
      </c>
      <c r="L1061" s="34">
        <f t="shared" ca="1" si="2171"/>
        <v>-11541753.058300186</v>
      </c>
      <c r="M1061" s="34">
        <f t="shared" ca="1" si="2171"/>
        <v>-10972952.698261347</v>
      </c>
      <c r="N1061" s="34">
        <f t="shared" ca="1" si="2171"/>
        <v>-10371508.885559879</v>
      </c>
      <c r="O1061" s="34">
        <f t="shared" ca="1" si="2171"/>
        <v>-9735548.2124474738</v>
      </c>
      <c r="P1061" s="34">
        <f t="shared" ca="1" si="2171"/>
        <v>-9063089.7563051488</v>
      </c>
      <c r="Q1061" s="34">
        <f t="shared" ca="1" si="2171"/>
        <v>-8352038.9093648158</v>
      </c>
      <c r="R1061" s="34">
        <f t="shared" ca="1" si="2171"/>
        <v>-7600180.8543185769</v>
      </c>
      <c r="S1061" s="34">
        <f t="shared" ca="1" si="2171"/>
        <v>-6805173.6654932331</v>
      </c>
      <c r="T1061" s="34">
        <f t="shared" ca="1" si="2171"/>
        <v>-5964541.0141012045</v>
      </c>
      <c r="U1061" s="34">
        <f t="shared" ca="1" si="2171"/>
        <v>-5075664.4548457861</v>
      </c>
      <c r="V1061" s="34">
        <f t="shared" ca="1" si="2171"/>
        <v>-4135775.2698547002</v>
      </c>
      <c r="W1061" s="34">
        <f t="shared" ca="1" si="2171"/>
        <v>-3141945.8445369755</v>
      </c>
      <c r="X1061" s="34">
        <f t="shared" ca="1" si="2171"/>
        <v>-2091080.5485002664</v>
      </c>
      <c r="Y1061" s="34">
        <f t="shared" ca="1" si="2171"/>
        <v>-979906.09312401048</v>
      </c>
      <c r="Z1061" s="34">
        <f t="shared" ca="1" si="2171"/>
        <v>0</v>
      </c>
      <c r="AA1061" s="34">
        <f t="shared" ca="1" si="2171"/>
        <v>0</v>
      </c>
      <c r="AB1061" s="34">
        <f t="shared" ca="1" si="2171"/>
        <v>0</v>
      </c>
      <c r="AC1061" s="34">
        <f t="shared" ca="1" si="2171"/>
        <v>0</v>
      </c>
      <c r="AD1061" s="34">
        <f t="shared" ca="1" si="2171"/>
        <v>0</v>
      </c>
      <c r="AE1061" s="34">
        <f t="shared" ca="1" si="2171"/>
        <v>0</v>
      </c>
      <c r="AF1061" s="34">
        <f t="shared" ca="1" si="2171"/>
        <v>0</v>
      </c>
      <c r="AG1061" s="34">
        <f t="shared" ca="1" si="2171"/>
        <v>0</v>
      </c>
      <c r="AH1061" s="34">
        <f t="shared" ca="1" si="2171"/>
        <v>0</v>
      </c>
      <c r="AI1061" s="34">
        <f t="shared" ca="1" si="2171"/>
        <v>0</v>
      </c>
      <c r="AJ1061" s="34">
        <f t="shared" ca="1" si="2171"/>
        <v>0</v>
      </c>
      <c r="AK1061" s="34">
        <f t="shared" ca="1" si="2171"/>
        <v>0</v>
      </c>
      <c r="AL1061" s="34">
        <f t="shared" ca="1" si="2171"/>
        <v>0</v>
      </c>
      <c r="AM1061" s="34">
        <f t="shared" ca="1" si="2171"/>
        <v>0</v>
      </c>
      <c r="AN1061" s="34">
        <f t="shared" ca="1" si="2171"/>
        <v>0</v>
      </c>
      <c r="AO1061" s="34">
        <f t="shared" ca="1" si="2171"/>
        <v>0</v>
      </c>
      <c r="AP1061" s="34">
        <f t="shared" ca="1" si="2171"/>
        <v>0</v>
      </c>
      <c r="AQ1061" s="34">
        <f t="shared" ca="1" si="2171"/>
        <v>0</v>
      </c>
      <c r="AR1061" s="34">
        <f t="shared" ca="1" si="2171"/>
        <v>0</v>
      </c>
      <c r="AS1061" s="34">
        <f t="shared" ca="1" si="2171"/>
        <v>0</v>
      </c>
      <c r="AT1061" s="34">
        <f t="shared" ca="1" si="2171"/>
        <v>0</v>
      </c>
      <c r="AU1061" s="34">
        <f t="shared" ca="1" si="2171"/>
        <v>0</v>
      </c>
      <c r="AV1061" s="34">
        <f t="shared" ca="1" si="2171"/>
        <v>0</v>
      </c>
      <c r="AW1061" s="34">
        <f t="shared" ca="1" si="2171"/>
        <v>0</v>
      </c>
      <c r="AX1061" s="34">
        <f t="shared" ca="1" si="2171"/>
        <v>0</v>
      </c>
      <c r="AY1061" s="34">
        <f t="shared" ca="1" si="2171"/>
        <v>0</v>
      </c>
      <c r="AZ1061" s="34">
        <f t="shared" ca="1" si="2171"/>
        <v>0</v>
      </c>
      <c r="BA1061" s="34">
        <f t="shared" ca="1" si="2171"/>
        <v>0</v>
      </c>
      <c r="BB1061" s="34">
        <f t="shared" ca="1" si="2171"/>
        <v>0</v>
      </c>
      <c r="BC1061" s="34">
        <f t="shared" ca="1" si="2171"/>
        <v>0</v>
      </c>
      <c r="BD1061" s="34">
        <f t="shared" ca="1" si="2171"/>
        <v>0</v>
      </c>
      <c r="BE1061" s="34">
        <f t="shared" ca="1" si="2171"/>
        <v>0</v>
      </c>
      <c r="BF1061" s="34">
        <f t="shared" ca="1" si="2171"/>
        <v>0</v>
      </c>
      <c r="BG1061" s="34">
        <f t="shared" ca="1" si="2171"/>
        <v>0</v>
      </c>
      <c r="BH1061" s="34">
        <f t="shared" ca="1" si="2171"/>
        <v>0</v>
      </c>
      <c r="BI1061" s="34">
        <f t="shared" ca="1" si="2171"/>
        <v>0</v>
      </c>
      <c r="BJ1061" s="34">
        <f t="shared" ca="1" si="2171"/>
        <v>0</v>
      </c>
      <c r="BK1061" s="34">
        <f t="shared" ca="1" si="2171"/>
        <v>0</v>
      </c>
      <c r="BL1061" s="34">
        <f t="shared" ca="1" si="2171"/>
        <v>0</v>
      </c>
      <c r="BM1061" s="34">
        <f t="shared" ca="1" si="2171"/>
        <v>0</v>
      </c>
      <c r="BN1061" s="34">
        <f t="shared" ca="1" si="2171"/>
        <v>0</v>
      </c>
      <c r="BO1061" s="34">
        <f t="shared" ca="1" si="2171"/>
        <v>0</v>
      </c>
      <c r="BP1061" s="34">
        <f t="shared" ca="1" si="2171"/>
        <v>0</v>
      </c>
      <c r="BQ1061" s="34">
        <f t="shared" ca="1" si="2171"/>
        <v>0</v>
      </c>
      <c r="BR1061" s="34">
        <f t="shared" ca="1" si="2171"/>
        <v>0</v>
      </c>
      <c r="BS1061" s="34">
        <f t="shared" ca="1" si="2171"/>
        <v>0</v>
      </c>
      <c r="BT1061" s="34">
        <f t="shared" ca="1" si="2171"/>
        <v>0</v>
      </c>
      <c r="BU1061" s="34">
        <f t="shared" ref="BU1061:BY1061" ca="1" si="2172">+BU1046</f>
        <v>0</v>
      </c>
      <c r="BV1061" s="34">
        <f t="shared" ca="1" si="2172"/>
        <v>0</v>
      </c>
      <c r="BW1061" s="34">
        <f t="shared" ca="1" si="2172"/>
        <v>0</v>
      </c>
      <c r="BX1061" s="34">
        <f t="shared" ca="1" si="2172"/>
        <v>0</v>
      </c>
      <c r="BY1061" s="34">
        <f t="shared" ca="1" si="2172"/>
        <v>0</v>
      </c>
    </row>
    <row r="1062" spans="1:77" s="22" customFormat="1" ht="15" outlineLevel="1">
      <c r="A1062"/>
      <c r="D1062" s="48"/>
      <c r="E1062" s="22" t="s">
        <v>481</v>
      </c>
      <c r="F1062" s="36" t="s">
        <v>470</v>
      </c>
      <c r="G1062" s="45"/>
      <c r="H1062" s="47">
        <f ca="1">+SUM(H1059:H1061)</f>
        <v>0</v>
      </c>
      <c r="I1062" s="47">
        <f t="shared" ref="I1062:BT1062" ca="1" si="2173">+SUM(I1059:I1061)</f>
        <v>-141303715.48800001</v>
      </c>
      <c r="J1062" s="47">
        <f t="shared" ca="1" si="2173"/>
        <v>-3398478.2060687821</v>
      </c>
      <c r="K1062" s="47">
        <f t="shared" ca="1" si="2173"/>
        <v>-43011088.844519533</v>
      </c>
      <c r="L1062" s="47">
        <f t="shared" ca="1" si="2173"/>
        <v>-43442252.747893743</v>
      </c>
      <c r="M1062" s="47">
        <f t="shared" ca="1" si="2173"/>
        <v>-43882039.92933543</v>
      </c>
      <c r="N1062" s="47">
        <f t="shared" ca="1" si="2173"/>
        <v>-44330622.854405947</v>
      </c>
      <c r="O1062" s="47">
        <f t="shared" ca="1" si="2173"/>
        <v>-44788177.437977888</v>
      </c>
      <c r="P1062" s="47">
        <f t="shared" ca="1" si="2173"/>
        <v>-45254883.113221265</v>
      </c>
      <c r="Q1062" s="47">
        <f t="shared" ca="1" si="2173"/>
        <v>-45730922.901969522</v>
      </c>
      <c r="R1062" s="47">
        <f t="shared" ca="1" si="2173"/>
        <v>-46216483.486492708</v>
      </c>
      <c r="S1062" s="47">
        <f t="shared" ca="1" si="2173"/>
        <v>-46711755.282706387</v>
      </c>
      <c r="T1062" s="47">
        <f t="shared" ca="1" si="2173"/>
        <v>-47216932.514844343</v>
      </c>
      <c r="U1062" s="47">
        <f t="shared" ca="1" si="2173"/>
        <v>-47732213.291625038</v>
      </c>
      <c r="V1062" s="47">
        <f t="shared" ca="1" si="2173"/>
        <v>-48257799.683941349</v>
      </c>
      <c r="W1062" s="47">
        <f t="shared" ca="1" si="2173"/>
        <v>-48793897.804104</v>
      </c>
      <c r="X1062" s="47">
        <f t="shared" ca="1" si="2173"/>
        <v>-49340717.886669904</v>
      </c>
      <c r="Y1062" s="47">
        <f t="shared" ca="1" si="2173"/>
        <v>-46499996.164818339</v>
      </c>
      <c r="Z1062" s="47">
        <f t="shared" ca="1" si="2173"/>
        <v>0</v>
      </c>
      <c r="AA1062" s="47">
        <f t="shared" ca="1" si="2173"/>
        <v>0</v>
      </c>
      <c r="AB1062" s="47">
        <f t="shared" ca="1" si="2173"/>
        <v>0</v>
      </c>
      <c r="AC1062" s="47">
        <f t="shared" ca="1" si="2173"/>
        <v>0</v>
      </c>
      <c r="AD1062" s="47">
        <f t="shared" ca="1" si="2173"/>
        <v>0</v>
      </c>
      <c r="AE1062" s="47">
        <f t="shared" ca="1" si="2173"/>
        <v>0</v>
      </c>
      <c r="AF1062" s="47">
        <f t="shared" ca="1" si="2173"/>
        <v>0</v>
      </c>
      <c r="AG1062" s="47">
        <f t="shared" ca="1" si="2173"/>
        <v>0</v>
      </c>
      <c r="AH1062" s="47">
        <f t="shared" ca="1" si="2173"/>
        <v>0</v>
      </c>
      <c r="AI1062" s="47">
        <f t="shared" ca="1" si="2173"/>
        <v>0</v>
      </c>
      <c r="AJ1062" s="47">
        <f t="shared" ca="1" si="2173"/>
        <v>0</v>
      </c>
      <c r="AK1062" s="47">
        <f t="shared" ca="1" si="2173"/>
        <v>0</v>
      </c>
      <c r="AL1062" s="47">
        <f t="shared" ca="1" si="2173"/>
        <v>0</v>
      </c>
      <c r="AM1062" s="47">
        <f t="shared" ca="1" si="2173"/>
        <v>0</v>
      </c>
      <c r="AN1062" s="47">
        <f t="shared" ca="1" si="2173"/>
        <v>0</v>
      </c>
      <c r="AO1062" s="47">
        <f t="shared" ca="1" si="2173"/>
        <v>0</v>
      </c>
      <c r="AP1062" s="47">
        <f t="shared" ca="1" si="2173"/>
        <v>0</v>
      </c>
      <c r="AQ1062" s="47">
        <f t="shared" ca="1" si="2173"/>
        <v>0</v>
      </c>
      <c r="AR1062" s="47">
        <f t="shared" ca="1" si="2173"/>
        <v>0</v>
      </c>
      <c r="AS1062" s="47">
        <f t="shared" ca="1" si="2173"/>
        <v>0</v>
      </c>
      <c r="AT1062" s="47">
        <f t="shared" ca="1" si="2173"/>
        <v>0</v>
      </c>
      <c r="AU1062" s="47">
        <f t="shared" ca="1" si="2173"/>
        <v>0</v>
      </c>
      <c r="AV1062" s="47">
        <f t="shared" ca="1" si="2173"/>
        <v>0</v>
      </c>
      <c r="AW1062" s="47">
        <f t="shared" ca="1" si="2173"/>
        <v>0</v>
      </c>
      <c r="AX1062" s="47">
        <f t="shared" ca="1" si="2173"/>
        <v>0</v>
      </c>
      <c r="AY1062" s="47">
        <f t="shared" ca="1" si="2173"/>
        <v>0</v>
      </c>
      <c r="AZ1062" s="47">
        <f t="shared" ca="1" si="2173"/>
        <v>0</v>
      </c>
      <c r="BA1062" s="47">
        <f t="shared" ca="1" si="2173"/>
        <v>0</v>
      </c>
      <c r="BB1062" s="47">
        <f t="shared" ca="1" si="2173"/>
        <v>0</v>
      </c>
      <c r="BC1062" s="47">
        <f t="shared" ca="1" si="2173"/>
        <v>0</v>
      </c>
      <c r="BD1062" s="47">
        <f t="shared" ca="1" si="2173"/>
        <v>0</v>
      </c>
      <c r="BE1062" s="47">
        <f t="shared" ca="1" si="2173"/>
        <v>0</v>
      </c>
      <c r="BF1062" s="47">
        <f t="shared" ca="1" si="2173"/>
        <v>0</v>
      </c>
      <c r="BG1062" s="47">
        <f t="shared" ca="1" si="2173"/>
        <v>0</v>
      </c>
      <c r="BH1062" s="47">
        <f t="shared" ca="1" si="2173"/>
        <v>0</v>
      </c>
      <c r="BI1062" s="47">
        <f t="shared" ca="1" si="2173"/>
        <v>0</v>
      </c>
      <c r="BJ1062" s="47">
        <f t="shared" ca="1" si="2173"/>
        <v>0</v>
      </c>
      <c r="BK1062" s="47">
        <f t="shared" ca="1" si="2173"/>
        <v>0</v>
      </c>
      <c r="BL1062" s="47">
        <f t="shared" ca="1" si="2173"/>
        <v>0</v>
      </c>
      <c r="BM1062" s="47">
        <f t="shared" ca="1" si="2173"/>
        <v>0</v>
      </c>
      <c r="BN1062" s="47">
        <f t="shared" ca="1" si="2173"/>
        <v>0</v>
      </c>
      <c r="BO1062" s="47">
        <f t="shared" ca="1" si="2173"/>
        <v>0</v>
      </c>
      <c r="BP1062" s="47">
        <f t="shared" ca="1" si="2173"/>
        <v>0</v>
      </c>
      <c r="BQ1062" s="47">
        <f t="shared" ca="1" si="2173"/>
        <v>0</v>
      </c>
      <c r="BR1062" s="47">
        <f t="shared" ca="1" si="2173"/>
        <v>0</v>
      </c>
      <c r="BS1062" s="47">
        <f t="shared" ca="1" si="2173"/>
        <v>0</v>
      </c>
      <c r="BT1062" s="47">
        <f t="shared" ca="1" si="2173"/>
        <v>0</v>
      </c>
      <c r="BU1062" s="47">
        <f t="shared" ref="BU1062:BY1062" ca="1" si="2174">+SUM(BU1059:BU1061)</f>
        <v>0</v>
      </c>
      <c r="BV1062" s="47">
        <f t="shared" ca="1" si="2174"/>
        <v>0</v>
      </c>
      <c r="BW1062" s="47">
        <f t="shared" ca="1" si="2174"/>
        <v>0</v>
      </c>
      <c r="BX1062" s="47">
        <f t="shared" ca="1" si="2174"/>
        <v>0</v>
      </c>
      <c r="BY1062" s="47">
        <f t="shared" ca="1" si="2174"/>
        <v>0</v>
      </c>
    </row>
    <row r="1063" spans="1:77" ht="15">
      <c r="C1063" s="22"/>
      <c r="BF1063" s="33"/>
      <c r="BG1063" s="33"/>
      <c r="BH1063" s="33"/>
      <c r="BI1063" s="33"/>
      <c r="BJ1063" s="33"/>
      <c r="BK1063" s="33"/>
      <c r="BL1063" s="33"/>
      <c r="BM1063" s="33"/>
      <c r="BN1063" s="33"/>
      <c r="BO1063" s="33"/>
      <c r="BP1063" s="33"/>
      <c r="BQ1063" s="33"/>
      <c r="BR1063" s="33"/>
      <c r="BS1063" s="33"/>
      <c r="BT1063" s="33"/>
      <c r="BU1063" s="33"/>
      <c r="BV1063" s="33"/>
      <c r="BW1063" s="33"/>
      <c r="BX1063" s="33"/>
      <c r="BY1063" s="33"/>
    </row>
    <row r="1064" spans="1:77" ht="15">
      <c r="C1064" s="22"/>
    </row>
    <row r="1065" spans="1:77" s="17" customFormat="1" ht="15">
      <c r="A1065" s="17" t="str">
        <f>+Assumptions!A365</f>
        <v xml:space="preserve">Regulatory Configurator </v>
      </c>
    </row>
    <row r="1068" spans="1:77" s="66" customFormat="1" ht="15">
      <c r="A1068" s="66" t="str">
        <f>+Assumptions!$B$368</f>
        <v>4.0 Regulation</v>
      </c>
    </row>
    <row r="1069" spans="1:77" s="19" customFormat="1" outlineLevel="1">
      <c r="A1069"/>
      <c r="B1069" s="18" t="str">
        <f>+Assumptions!C374</f>
        <v>4.2 Mid-term measures</v>
      </c>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5"/>
      <c r="AE1069" s="35"/>
      <c r="AF1069" s="35"/>
      <c r="AG1069" s="35"/>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c r="BD1069" s="35"/>
      <c r="BE1069" s="35"/>
      <c r="BF1069" s="35"/>
      <c r="BG1069" s="35"/>
      <c r="BH1069" s="35"/>
      <c r="BI1069" s="35"/>
      <c r="BJ1069" s="35"/>
      <c r="BK1069" s="35"/>
      <c r="BL1069" s="35"/>
      <c r="BM1069" s="35"/>
      <c r="BN1069" s="35"/>
      <c r="BO1069" s="35"/>
      <c r="BP1069" s="35"/>
      <c r="BQ1069" s="35"/>
      <c r="BR1069" s="35"/>
      <c r="BS1069" s="35"/>
      <c r="BT1069" s="35"/>
      <c r="BU1069" s="35"/>
      <c r="BV1069" s="35"/>
      <c r="BW1069" s="35"/>
      <c r="BX1069" s="35"/>
      <c r="BY1069" s="35"/>
    </row>
    <row r="1070" spans="1:77" outlineLevel="1"/>
    <row r="1071" spans="1:77" ht="15" outlineLevel="1">
      <c r="E1071" s="22" t="s">
        <v>543</v>
      </c>
      <c r="BF1071" s="33"/>
      <c r="BG1071" s="33"/>
      <c r="BH1071" s="33"/>
      <c r="BI1071" s="33"/>
      <c r="BJ1071" s="33"/>
      <c r="BK1071" s="33"/>
      <c r="BL1071" s="33"/>
      <c r="BM1071" s="33"/>
      <c r="BN1071" s="33"/>
      <c r="BO1071" s="33"/>
      <c r="BP1071" s="33"/>
      <c r="BQ1071" s="33"/>
      <c r="BR1071" s="33"/>
      <c r="BS1071" s="33"/>
      <c r="BT1071" s="33"/>
      <c r="BU1071" s="33"/>
      <c r="BV1071" s="33"/>
      <c r="BW1071" s="33"/>
      <c r="BX1071" s="33"/>
      <c r="BY1071" s="33"/>
    </row>
    <row r="1072" spans="1:77" outlineLevel="1">
      <c r="E1072" t="s">
        <v>544</v>
      </c>
      <c r="F1072" s="23" t="s">
        <v>545</v>
      </c>
      <c r="H1072" s="114">
        <f>+IFERROR(_xlfn.XLOOKUP(YEAR(H3),'Calculations (main)'!$AL$133:$BH$133,'Calculations (main)'!$AL$134:$BH$134),0)</f>
        <v>0</v>
      </c>
      <c r="I1072" s="114">
        <f ca="1">+IFERROR(_xlfn.XLOOKUP(YEAR(I3),'Calculations (main)'!$AL$133:$BH$133,'Calculations (main)'!$AL$134:$BH$134),0)</f>
        <v>1140.1853639999999</v>
      </c>
      <c r="J1072" s="114">
        <f ca="1">+IFERROR(_xlfn.XLOOKUP(YEAR(J3),'Calculations (main)'!$AL$133:$BH$133,'Calculations (main)'!$AL$134:$BH$134),0)</f>
        <v>1111.6803479999999</v>
      </c>
      <c r="K1072" s="114">
        <f ca="1">+IFERROR(_xlfn.XLOOKUP(YEAR(K3),'Calculations (main)'!$AL$133:$BH$133,'Calculations (main)'!$AL$134:$BH$134),0)</f>
        <v>1083.1753320000003</v>
      </c>
      <c r="L1072" s="114">
        <f ca="1">+IFERROR(_xlfn.XLOOKUP(YEAR(L3),'Calculations (main)'!$AL$133:$BH$133,'Calculations (main)'!$AL$134:$BH$134),0)</f>
        <v>1020.4642968000001</v>
      </c>
      <c r="M1072" s="114">
        <f ca="1">+IFERROR(_xlfn.XLOOKUP(YEAR(M3),'Calculations (main)'!$AL$133:$BH$133,'Calculations (main)'!$AL$134:$BH$134),0)</f>
        <v>957.75326160000009</v>
      </c>
      <c r="N1072" s="114">
        <f ca="1">+IFERROR(_xlfn.XLOOKUP(YEAR(N3),'Calculations (main)'!$AL$133:$BH$133,'Calculations (main)'!$AL$134:$BH$134),0)</f>
        <v>895.04222640000012</v>
      </c>
      <c r="O1072" s="114">
        <f ca="1">+IFERROR(_xlfn.XLOOKUP(YEAR(O3),'Calculations (main)'!$AL$133:$BH$133,'Calculations (main)'!$AL$134:$BH$134),0)</f>
        <v>832.33119119999981</v>
      </c>
      <c r="P1072" s="114">
        <f ca="1">+IFERROR(_xlfn.XLOOKUP(YEAR(P3),'Calculations (main)'!$AL$133:$BH$133,'Calculations (main)'!$AL$134:$BH$134),0)</f>
        <v>769.62015599998392</v>
      </c>
      <c r="Q1072" s="114">
        <f ca="1">+IFERROR(_xlfn.XLOOKUP(YEAR(Q3),'Calculations (main)'!$AL$133:$BH$133,'Calculations (main)'!$AL$134:$BH$134),0)</f>
        <v>669.85259999999346</v>
      </c>
      <c r="R1072" s="114">
        <f ca="1">+IFERROR(_xlfn.XLOOKUP(YEAR(R3),'Calculations (main)'!$AL$133:$BH$133,'Calculations (main)'!$AL$134:$BH$134),0)</f>
        <v>570.08504400000334</v>
      </c>
      <c r="S1072" s="114">
        <f ca="1">+IFERROR(_xlfn.XLOOKUP(YEAR(S3),'Calculations (main)'!$AL$133:$BH$133,'Calculations (main)'!$AL$134:$BH$134),0)</f>
        <v>470.3174879999724</v>
      </c>
      <c r="T1072" s="114">
        <f ca="1">+IFERROR(_xlfn.XLOOKUP(YEAR(T3),'Calculations (main)'!$AL$133:$BH$133,'Calculations (main)'!$AL$134:$BH$134),0)</f>
        <v>370.54993199998216</v>
      </c>
      <c r="U1072" s="114">
        <f ca="1">+IFERROR(_xlfn.XLOOKUP(YEAR(U3),'Calculations (main)'!$AL$133:$BH$133,'Calculations (main)'!$AL$134:$BH$134),0)</f>
        <v>270.78237599999181</v>
      </c>
      <c r="V1072" s="114">
        <f ca="1">+IFERROR(_xlfn.XLOOKUP(YEAR(V3),'Calculations (main)'!$AL$133:$BH$133,'Calculations (main)'!$AL$134:$BH$134),0)</f>
        <v>228.02485200000038</v>
      </c>
      <c r="W1072" s="114">
        <f ca="1">+IFERROR(_xlfn.XLOOKUP(YEAR(W3),'Calculations (main)'!$AL$133:$BH$133,'Calculations (main)'!$AL$134:$BH$134),0)</f>
        <v>185.26732799999874</v>
      </c>
      <c r="X1072" s="114">
        <f ca="1">+IFERROR(_xlfn.XLOOKUP(YEAR(X3),'Calculations (main)'!$AL$133:$BH$133,'Calculations (main)'!$AL$134:$BH$134),0)</f>
        <v>142.50980399999713</v>
      </c>
      <c r="Y1072" s="114">
        <f ca="1">+IFERROR(_xlfn.XLOOKUP(YEAR(Y3),'Calculations (main)'!$AL$133:$BH$133,'Calculations (main)'!$AL$134:$BH$134),0)</f>
        <v>99.752279999995537</v>
      </c>
      <c r="Z1072" s="114">
        <f ca="1">+IFERROR(_xlfn.XLOOKUP(YEAR(Z3),'Calculations (main)'!$AL$133:$BH$133,'Calculations (main)'!$AL$134:$BH$134),0)</f>
        <v>56.994756000004045</v>
      </c>
      <c r="AA1072" s="114">
        <f>+IFERROR(_xlfn.XLOOKUP(YEAR(AA3),'Calculations (main)'!$AL$133:$BH$133,'Calculations (main)'!$AL$134:$BH$134),0)</f>
        <v>0</v>
      </c>
      <c r="AB1072" s="114">
        <f>+IFERROR(_xlfn.XLOOKUP(YEAR(AB3),'Calculations (main)'!$AL$133:$BH$133,'Calculations (main)'!$AL$134:$BH$134),0)</f>
        <v>0</v>
      </c>
      <c r="AC1072" s="114">
        <f>+IFERROR(_xlfn.XLOOKUP(YEAR(AC3),'Calculations (main)'!$AL$133:$BH$133,'Calculations (main)'!$AL$134:$BH$134),0)</f>
        <v>0</v>
      </c>
      <c r="AD1072" s="114">
        <f>+IFERROR(_xlfn.XLOOKUP(YEAR(AD3),'Calculations (main)'!$AL$133:$BH$133,'Calculations (main)'!$AL$134:$BH$134),0)</f>
        <v>0</v>
      </c>
      <c r="AE1072" s="114">
        <f>+IFERROR(_xlfn.XLOOKUP(YEAR(AE3),'Calculations (main)'!$AL$133:$BH$133,'Calculations (main)'!$AL$134:$BH$134),0)</f>
        <v>0</v>
      </c>
      <c r="AF1072" s="114">
        <f>+IFERROR(_xlfn.XLOOKUP(YEAR(AF3),'Calculations (main)'!$AL$133:$BH$133,'Calculations (main)'!$AL$134:$BH$134),0)</f>
        <v>0</v>
      </c>
      <c r="AG1072" s="114">
        <f>+IFERROR(_xlfn.XLOOKUP(YEAR(AG3),'Calculations (main)'!$AL$133:$BH$133,'Calculations (main)'!$AL$134:$BH$134),0)</f>
        <v>0</v>
      </c>
      <c r="AH1072" s="114">
        <f>+IFERROR(_xlfn.XLOOKUP(YEAR(AH3),'Calculations (main)'!$AL$133:$BH$133,'Calculations (main)'!$AL$134:$BH$134),0)</f>
        <v>0</v>
      </c>
      <c r="AI1072" s="114">
        <f>+IFERROR(_xlfn.XLOOKUP(YEAR(AI3),'Calculations (main)'!$AL$133:$BH$133,'Calculations (main)'!$AL$134:$BH$134),0)</f>
        <v>0</v>
      </c>
      <c r="AJ1072" s="114">
        <f>+IFERROR(_xlfn.XLOOKUP(YEAR(AJ3),'Calculations (main)'!$AL$133:$BH$133,'Calculations (main)'!$AL$134:$BH$134),0)</f>
        <v>0</v>
      </c>
      <c r="AK1072" s="114">
        <f>+IFERROR(_xlfn.XLOOKUP(YEAR(AK3),'Calculations (main)'!$AL$133:$BH$133,'Calculations (main)'!$AL$134:$BH$134),0)</f>
        <v>0</v>
      </c>
      <c r="AL1072" s="114">
        <f>+IFERROR(_xlfn.XLOOKUP(YEAR(AL3),'Calculations (main)'!$AL$133:$BH$133,'Calculations (main)'!$AL$134:$BH$134),0)</f>
        <v>0</v>
      </c>
      <c r="AM1072" s="114">
        <f>+IFERROR(_xlfn.XLOOKUP(YEAR(AM3),'Calculations (main)'!$AL$133:$BH$133,'Calculations (main)'!$AL$134:$BH$134),0)</f>
        <v>0</v>
      </c>
      <c r="AN1072" s="114">
        <f>+IFERROR(_xlfn.XLOOKUP(YEAR(AN3),'Calculations (main)'!$AL$133:$BH$133,'Calculations (main)'!$AL$134:$BH$134),0)</f>
        <v>0</v>
      </c>
      <c r="AO1072" s="114">
        <f>+IFERROR(_xlfn.XLOOKUP(YEAR(AO3),'Calculations (main)'!$AL$133:$BH$133,'Calculations (main)'!$AL$134:$BH$134),0)</f>
        <v>0</v>
      </c>
      <c r="AP1072" s="114">
        <f>+IFERROR(_xlfn.XLOOKUP(YEAR(AP3),'Calculations (main)'!$AL$133:$BH$133,'Calculations (main)'!$AL$134:$BH$134),0)</f>
        <v>0</v>
      </c>
      <c r="AQ1072" s="114">
        <f>+IFERROR(_xlfn.XLOOKUP(YEAR(AQ3),'Calculations (main)'!$AL$133:$BH$133,'Calculations (main)'!$AL$134:$BH$134),0)</f>
        <v>0</v>
      </c>
      <c r="AR1072" s="114">
        <f>+IFERROR(_xlfn.XLOOKUP(YEAR(AR3),'Calculations (main)'!$AL$133:$BH$133,'Calculations (main)'!$AL$134:$BH$134),0)</f>
        <v>0</v>
      </c>
      <c r="AS1072" s="114">
        <f>+IFERROR(_xlfn.XLOOKUP(YEAR(AS3),'Calculations (main)'!$AL$133:$BH$133,'Calculations (main)'!$AL$134:$BH$134),0)</f>
        <v>0</v>
      </c>
      <c r="AT1072" s="114">
        <f>+IFERROR(_xlfn.XLOOKUP(YEAR(AT3),'Calculations (main)'!$AL$133:$BH$133,'Calculations (main)'!$AL$134:$BH$134),0)</f>
        <v>0</v>
      </c>
      <c r="AU1072" s="114">
        <f>+IFERROR(_xlfn.XLOOKUP(YEAR(AU3),'Calculations (main)'!$AL$133:$BH$133,'Calculations (main)'!$AL$134:$BH$134),0)</f>
        <v>0</v>
      </c>
      <c r="AV1072" s="114">
        <f>+IFERROR(_xlfn.XLOOKUP(YEAR(AV3),'Calculations (main)'!$AL$133:$BH$133,'Calculations (main)'!$AL$134:$BH$134),0)</f>
        <v>0</v>
      </c>
      <c r="AW1072" s="114">
        <f>+IFERROR(_xlfn.XLOOKUP(YEAR(AW3),'Calculations (main)'!$AL$133:$BH$133,'Calculations (main)'!$AL$134:$BH$134),0)</f>
        <v>0</v>
      </c>
      <c r="AX1072" s="114">
        <f>+IFERROR(_xlfn.XLOOKUP(YEAR(AX3),'Calculations (main)'!$AL$133:$BH$133,'Calculations (main)'!$AL$134:$BH$134),0)</f>
        <v>0</v>
      </c>
      <c r="AY1072" s="114">
        <f>+IFERROR(_xlfn.XLOOKUP(YEAR(AY3),'Calculations (main)'!$AL$133:$BH$133,'Calculations (main)'!$AL$134:$BH$134),0)</f>
        <v>0</v>
      </c>
      <c r="AZ1072" s="114">
        <f>+IFERROR(_xlfn.XLOOKUP(YEAR(AZ3),'Calculations (main)'!$AL$133:$BH$133,'Calculations (main)'!$AL$134:$BH$134),0)</f>
        <v>0</v>
      </c>
      <c r="BA1072" s="114">
        <f>+IFERROR(_xlfn.XLOOKUP(YEAR(BA3),'Calculations (main)'!$AL$133:$BH$133,'Calculations (main)'!$AL$134:$BH$134),0)</f>
        <v>0</v>
      </c>
      <c r="BB1072" s="114">
        <f>+IFERROR(_xlfn.XLOOKUP(YEAR(BB3),'Calculations (main)'!$AL$133:$BH$133,'Calculations (main)'!$AL$134:$BH$134),0)</f>
        <v>0</v>
      </c>
      <c r="BC1072" s="114">
        <f>+IFERROR(_xlfn.XLOOKUP(YEAR(BC3),'Calculations (main)'!$AL$133:$BH$133,'Calculations (main)'!$AL$134:$BH$134),0)</f>
        <v>0</v>
      </c>
      <c r="BD1072" s="114">
        <f>+IFERROR(_xlfn.XLOOKUP(YEAR(BD3),'Calculations (main)'!$AL$133:$BH$133,'Calculations (main)'!$AL$134:$BH$134),0)</f>
        <v>0</v>
      </c>
      <c r="BE1072" s="114">
        <f>+IFERROR(_xlfn.XLOOKUP(YEAR(BE3),'Calculations (main)'!$AL$133:$BH$133,'Calculations (main)'!$AL$134:$BH$134),0)</f>
        <v>0</v>
      </c>
      <c r="BF1072" s="114">
        <f>+IFERROR(_xlfn.XLOOKUP(YEAR(BF3),'Calculations (main)'!$AL$133:$BH$133,'Calculations (main)'!$AL$134:$BH$134),0)</f>
        <v>0</v>
      </c>
      <c r="BG1072" s="114">
        <f>+IFERROR(_xlfn.XLOOKUP(YEAR(BG3),'Calculations (main)'!$AL$133:$BH$133,'Calculations (main)'!$AL$134:$BH$134),0)</f>
        <v>0</v>
      </c>
      <c r="BH1072" s="114">
        <f>+IFERROR(_xlfn.XLOOKUP(YEAR(BH3),'Calculations (main)'!$AL$133:$BH$133,'Calculations (main)'!$AL$134:$BH$134),0)</f>
        <v>0</v>
      </c>
      <c r="BI1072" s="114">
        <f>+IFERROR(_xlfn.XLOOKUP(YEAR(BI3),'Calculations (main)'!$AL$133:$BH$133,'Calculations (main)'!$AL$134:$BH$134),0)</f>
        <v>0</v>
      </c>
      <c r="BJ1072" s="114">
        <f>+IFERROR(_xlfn.XLOOKUP(YEAR(BJ3),'Calculations (main)'!$AL$133:$BH$133,'Calculations (main)'!$AL$134:$BH$134),0)</f>
        <v>0</v>
      </c>
      <c r="BK1072" s="114">
        <f>+IFERROR(_xlfn.XLOOKUP(YEAR(BK3),'Calculations (main)'!$AL$133:$BH$133,'Calculations (main)'!$AL$134:$BH$134),0)</f>
        <v>0</v>
      </c>
      <c r="BL1072" s="114">
        <f>+IFERROR(_xlfn.XLOOKUP(YEAR(BL3),'Calculations (main)'!$AL$133:$BH$133,'Calculations (main)'!$AL$134:$BH$134),0)</f>
        <v>0</v>
      </c>
      <c r="BM1072" s="114">
        <f>+IFERROR(_xlfn.XLOOKUP(YEAR(BM3),'Calculations (main)'!$AL$133:$BH$133,'Calculations (main)'!$AL$134:$BH$134),0)</f>
        <v>0</v>
      </c>
      <c r="BN1072" s="114">
        <f>+IFERROR(_xlfn.XLOOKUP(YEAR(BN3),'Calculations (main)'!$AL$133:$BH$133,'Calculations (main)'!$AL$134:$BH$134),0)</f>
        <v>0</v>
      </c>
      <c r="BO1072" s="114">
        <f>+IFERROR(_xlfn.XLOOKUP(YEAR(BO3),'Calculations (main)'!$AL$133:$BH$133,'Calculations (main)'!$AL$134:$BH$134),0)</f>
        <v>0</v>
      </c>
      <c r="BP1072" s="114">
        <f>+IFERROR(_xlfn.XLOOKUP(YEAR(BP3),'Calculations (main)'!$AL$133:$BH$133,'Calculations (main)'!$AL$134:$BH$134),0)</f>
        <v>0</v>
      </c>
      <c r="BQ1072" s="114">
        <f>+IFERROR(_xlfn.XLOOKUP(YEAR(BQ3),'Calculations (main)'!$AL$133:$BH$133,'Calculations (main)'!$AL$134:$BH$134),0)</f>
        <v>0</v>
      </c>
      <c r="BR1072" s="114">
        <f>+IFERROR(_xlfn.XLOOKUP(YEAR(BR3),'Calculations (main)'!$AL$133:$BH$133,'Calculations (main)'!$AL$134:$BH$134),0)</f>
        <v>0</v>
      </c>
      <c r="BS1072" s="114">
        <f>+IFERROR(_xlfn.XLOOKUP(YEAR(BS3),'Calculations (main)'!$AL$133:$BH$133,'Calculations (main)'!$AL$134:$BH$134),0)</f>
        <v>0</v>
      </c>
      <c r="BT1072" s="114">
        <f>+IFERROR(_xlfn.XLOOKUP(YEAR(BT3),'Calculations (main)'!$AL$133:$BH$133,'Calculations (main)'!$AL$134:$BH$134),0)</f>
        <v>0</v>
      </c>
      <c r="BU1072" s="114">
        <f>+IFERROR(_xlfn.XLOOKUP(YEAR(BU3),'Calculations (main)'!$AL$133:$BH$133,'Calculations (main)'!$AL$134:$BH$134),0)</f>
        <v>0</v>
      </c>
      <c r="BV1072" s="114">
        <f>+IFERROR(_xlfn.XLOOKUP(YEAR(BV3),'Calculations (main)'!$AL$133:$BH$133,'Calculations (main)'!$AL$134:$BH$134),0)</f>
        <v>0</v>
      </c>
      <c r="BW1072" s="114">
        <f>+IFERROR(_xlfn.XLOOKUP(YEAR(BW3),'Calculations (main)'!$AL$133:$BH$133,'Calculations (main)'!$AL$134:$BH$134),0)</f>
        <v>0</v>
      </c>
      <c r="BX1072" s="114">
        <f>+IFERROR(_xlfn.XLOOKUP(YEAR(BX3),'Calculations (main)'!$AL$133:$BH$133,'Calculations (main)'!$AL$134:$BH$134),0)</f>
        <v>0</v>
      </c>
      <c r="BY1072" s="114">
        <f>+IFERROR(_xlfn.XLOOKUP(YEAR(BY3),'Calculations (main)'!$AL$133:$BH$133,'Calculations (main)'!$AL$134:$BH$134),0)</f>
        <v>0</v>
      </c>
    </row>
    <row r="1073" spans="5:77" outlineLevel="1">
      <c r="E1073" t="s">
        <v>546</v>
      </c>
      <c r="F1073" s="23" t="s">
        <v>136</v>
      </c>
      <c r="H1073" s="33">
        <f>+Assumptions!$G$370*H434/_xlfn.XLOOKUP("LSFO",Data_tables!$K:$K,Data_tables!$M:$M)*Assumptions!$G$268</f>
        <v>0</v>
      </c>
      <c r="I1073" s="33">
        <f>+Assumptions!$G$370*I434/_xlfn.XLOOKUP("LSFO",Data_tables!$K:$K,Data_tables!$M:$M)*Assumptions!$G$268</f>
        <v>0</v>
      </c>
      <c r="J1073" s="33">
        <f>+Assumptions!$G$370*J434/_xlfn.XLOOKUP("LSFO",Data_tables!$K:$K,Data_tables!$M:$M)*Assumptions!$G$268</f>
        <v>0</v>
      </c>
      <c r="K1073" s="33">
        <f>+Assumptions!$G$370*K434/_xlfn.XLOOKUP("LSFO",Data_tables!$K:$K,Data_tables!$M:$M)*Assumptions!$G$268</f>
        <v>4213.8197815533968</v>
      </c>
      <c r="L1073" s="33">
        <f>+Assumptions!$G$370*L434/_xlfn.XLOOKUP("LSFO",Data_tables!$K:$K,Data_tables!$M:$M)*Assumptions!$G$268</f>
        <v>4213.8197815533968</v>
      </c>
      <c r="M1073" s="33">
        <f>+Assumptions!$G$370*M434/_xlfn.XLOOKUP("LSFO",Data_tables!$K:$K,Data_tables!$M:$M)*Assumptions!$G$268</f>
        <v>4213.8197815533968</v>
      </c>
      <c r="N1073" s="33">
        <f>+Assumptions!$G$370*N434/_xlfn.XLOOKUP("LSFO",Data_tables!$K:$K,Data_tables!$M:$M)*Assumptions!$G$268</f>
        <v>4213.8197815533968</v>
      </c>
      <c r="O1073" s="33">
        <f>+Assumptions!$G$370*O434/_xlfn.XLOOKUP("LSFO",Data_tables!$K:$K,Data_tables!$M:$M)*Assumptions!$G$268</f>
        <v>4213.8197815533968</v>
      </c>
      <c r="P1073" s="33">
        <f>+Assumptions!$G$370*P434/_xlfn.XLOOKUP("LSFO",Data_tables!$K:$K,Data_tables!$M:$M)*Assumptions!$G$268</f>
        <v>4213.8197815533968</v>
      </c>
      <c r="Q1073" s="33">
        <f>+Assumptions!$G$370*Q434/_xlfn.XLOOKUP("LSFO",Data_tables!$K:$K,Data_tables!$M:$M)*Assumptions!$G$268</f>
        <v>4213.8197815533968</v>
      </c>
      <c r="R1073" s="33">
        <f>+Assumptions!$G$370*R434/_xlfn.XLOOKUP("LSFO",Data_tables!$K:$K,Data_tables!$M:$M)*Assumptions!$G$268</f>
        <v>4213.8197815533968</v>
      </c>
      <c r="S1073" s="33">
        <f>+Assumptions!$G$370*S434/_xlfn.XLOOKUP("LSFO",Data_tables!$K:$K,Data_tables!$M:$M)*Assumptions!$G$268</f>
        <v>4213.8197815533968</v>
      </c>
      <c r="T1073" s="33">
        <f>+Assumptions!$G$370*T434/_xlfn.XLOOKUP("LSFO",Data_tables!$K:$K,Data_tables!$M:$M)*Assumptions!$G$268</f>
        <v>4213.8197815533968</v>
      </c>
      <c r="U1073" s="33">
        <f>+Assumptions!$G$370*U434/_xlfn.XLOOKUP("LSFO",Data_tables!$K:$K,Data_tables!$M:$M)*Assumptions!$G$268</f>
        <v>4213.8197815533968</v>
      </c>
      <c r="V1073" s="33">
        <f>+Assumptions!$G$370*V434/_xlfn.XLOOKUP("LSFO",Data_tables!$K:$K,Data_tables!$M:$M)*Assumptions!$G$268</f>
        <v>4213.8197815533968</v>
      </c>
      <c r="W1073" s="33">
        <f>+Assumptions!$G$370*W434/_xlfn.XLOOKUP("LSFO",Data_tables!$K:$K,Data_tables!$M:$M)*Assumptions!$G$268</f>
        <v>4213.8197815533968</v>
      </c>
      <c r="X1073" s="33">
        <f>+Assumptions!$G$370*X434/_xlfn.XLOOKUP("LSFO",Data_tables!$K:$K,Data_tables!$M:$M)*Assumptions!$G$268</f>
        <v>4213.8197815533968</v>
      </c>
      <c r="Y1073" s="33">
        <f>+Assumptions!$G$370*Y434/_xlfn.XLOOKUP("LSFO",Data_tables!$K:$K,Data_tables!$M:$M)*Assumptions!$G$268</f>
        <v>4213.8197815533968</v>
      </c>
      <c r="Z1073" s="33">
        <f>+Assumptions!$G$370*Z434/_xlfn.XLOOKUP("LSFO",Data_tables!$K:$K,Data_tables!$M:$M)*Assumptions!$G$268</f>
        <v>0</v>
      </c>
      <c r="AA1073" s="33">
        <f>+Assumptions!$G$370*AA434/_xlfn.XLOOKUP("LSFO",Data_tables!$K:$K,Data_tables!$M:$M)*Assumptions!$G$268</f>
        <v>0</v>
      </c>
      <c r="AB1073" s="33">
        <f>+Assumptions!$G$370*AB434/_xlfn.XLOOKUP("LSFO",Data_tables!$K:$K,Data_tables!$M:$M)*Assumptions!$G$268</f>
        <v>0</v>
      </c>
      <c r="AC1073" s="33">
        <f>+Assumptions!$G$370*AC434/_xlfn.XLOOKUP("LSFO",Data_tables!$K:$K,Data_tables!$M:$M)*Assumptions!$G$268</f>
        <v>0</v>
      </c>
      <c r="AD1073" s="33">
        <f>+Assumptions!$G$370*AD434/_xlfn.XLOOKUP("LSFO",Data_tables!$K:$K,Data_tables!$M:$M)*Assumptions!$G$268</f>
        <v>0</v>
      </c>
      <c r="AE1073" s="33">
        <f>+Assumptions!$G$370*AE434/_xlfn.XLOOKUP("LSFO",Data_tables!$K:$K,Data_tables!$M:$M)*Assumptions!$G$268</f>
        <v>0</v>
      </c>
      <c r="AF1073" s="33">
        <f>+Assumptions!$G$370*AF434/_xlfn.XLOOKUP("LSFO",Data_tables!$K:$K,Data_tables!$M:$M)*Assumptions!$G$268</f>
        <v>0</v>
      </c>
      <c r="AG1073" s="33">
        <f>+Assumptions!$G$370*AG434/_xlfn.XLOOKUP("LSFO",Data_tables!$K:$K,Data_tables!$M:$M)*Assumptions!$G$268</f>
        <v>0</v>
      </c>
      <c r="AH1073" s="33">
        <f>+Assumptions!$G$370*AH434/_xlfn.XLOOKUP("LSFO",Data_tables!$K:$K,Data_tables!$M:$M)*Assumptions!$G$268</f>
        <v>0</v>
      </c>
      <c r="AI1073" s="33">
        <f>+Assumptions!$G$370*AI434/_xlfn.XLOOKUP("LSFO",Data_tables!$K:$K,Data_tables!$M:$M)*Assumptions!$G$268</f>
        <v>0</v>
      </c>
      <c r="AJ1073" s="33">
        <f>+Assumptions!$G$370*AJ434/_xlfn.XLOOKUP("LSFO",Data_tables!$K:$K,Data_tables!$M:$M)*Assumptions!$G$268</f>
        <v>0</v>
      </c>
      <c r="AK1073" s="33">
        <f>+Assumptions!$G$370*AK434/_xlfn.XLOOKUP("LSFO",Data_tables!$K:$K,Data_tables!$M:$M)*Assumptions!$G$268</f>
        <v>0</v>
      </c>
      <c r="AL1073" s="33">
        <f>+Assumptions!$G$370*AL434/_xlfn.XLOOKUP("LSFO",Data_tables!$K:$K,Data_tables!$M:$M)*Assumptions!$G$268</f>
        <v>0</v>
      </c>
      <c r="AM1073" s="33">
        <f>+Assumptions!$G$370*AM434/_xlfn.XLOOKUP("LSFO",Data_tables!$K:$K,Data_tables!$M:$M)*Assumptions!$G$268</f>
        <v>0</v>
      </c>
      <c r="AN1073" s="33">
        <f>+Assumptions!$G$370*AN434/_xlfn.XLOOKUP("LSFO",Data_tables!$K:$K,Data_tables!$M:$M)*Assumptions!$G$268</f>
        <v>0</v>
      </c>
      <c r="AO1073" s="33">
        <f>+Assumptions!$G$370*AO434/_xlfn.XLOOKUP("LSFO",Data_tables!$K:$K,Data_tables!$M:$M)*Assumptions!$G$268</f>
        <v>0</v>
      </c>
      <c r="AP1073" s="33">
        <f>+Assumptions!$G$370*AP434/_xlfn.XLOOKUP("LSFO",Data_tables!$K:$K,Data_tables!$M:$M)*Assumptions!$G$268</f>
        <v>0</v>
      </c>
      <c r="AQ1073" s="33">
        <f>+Assumptions!$G$370*AQ434/_xlfn.XLOOKUP("LSFO",Data_tables!$K:$K,Data_tables!$M:$M)*Assumptions!$G$268</f>
        <v>0</v>
      </c>
      <c r="AR1073" s="33">
        <f>+Assumptions!$G$370*AR434/_xlfn.XLOOKUP("LSFO",Data_tables!$K:$K,Data_tables!$M:$M)*Assumptions!$G$268</f>
        <v>0</v>
      </c>
      <c r="AS1073" s="33">
        <f>+Assumptions!$G$370*AS434/_xlfn.XLOOKUP("LSFO",Data_tables!$K:$K,Data_tables!$M:$M)*Assumptions!$G$268</f>
        <v>0</v>
      </c>
      <c r="AT1073" s="33">
        <f>+Assumptions!$G$370*AT434/_xlfn.XLOOKUP("LSFO",Data_tables!$K:$K,Data_tables!$M:$M)*Assumptions!$G$268</f>
        <v>0</v>
      </c>
      <c r="AU1073" s="33">
        <f>+Assumptions!$G$370*AU434/_xlfn.XLOOKUP("LSFO",Data_tables!$K:$K,Data_tables!$M:$M)*Assumptions!$G$268</f>
        <v>0</v>
      </c>
      <c r="AV1073" s="33">
        <f>+Assumptions!$G$370*AV434/_xlfn.XLOOKUP("LSFO",Data_tables!$K:$K,Data_tables!$M:$M)*Assumptions!$G$268</f>
        <v>0</v>
      </c>
      <c r="AW1073" s="33">
        <f>+Assumptions!$G$370*AW434/_xlfn.XLOOKUP("LSFO",Data_tables!$K:$K,Data_tables!$M:$M)*Assumptions!$G$268</f>
        <v>0</v>
      </c>
      <c r="AX1073" s="33">
        <f>+Assumptions!$G$370*AX434/_xlfn.XLOOKUP("LSFO",Data_tables!$K:$K,Data_tables!$M:$M)*Assumptions!$G$268</f>
        <v>0</v>
      </c>
      <c r="AY1073" s="33">
        <f>+Assumptions!$G$370*AY434/_xlfn.XLOOKUP("LSFO",Data_tables!$K:$K,Data_tables!$M:$M)*Assumptions!$G$268</f>
        <v>0</v>
      </c>
      <c r="AZ1073" s="33">
        <f>+Assumptions!$G$370*AZ434/_xlfn.XLOOKUP("LSFO",Data_tables!$K:$K,Data_tables!$M:$M)*Assumptions!$G$268</f>
        <v>0</v>
      </c>
      <c r="BA1073" s="33">
        <f>+Assumptions!$G$370*BA434/_xlfn.XLOOKUP("LSFO",Data_tables!$K:$K,Data_tables!$M:$M)*Assumptions!$G$268</f>
        <v>0</v>
      </c>
      <c r="BB1073" s="33">
        <f>+Assumptions!$G$370*BB434/_xlfn.XLOOKUP("LSFO",Data_tables!$K:$K,Data_tables!$M:$M)*Assumptions!$G$268</f>
        <v>0</v>
      </c>
      <c r="BC1073" s="33">
        <f>+Assumptions!$G$370*BC434/_xlfn.XLOOKUP("LSFO",Data_tables!$K:$K,Data_tables!$M:$M)*Assumptions!$G$268</f>
        <v>0</v>
      </c>
      <c r="BD1073" s="33">
        <f>+Assumptions!$G$370*BD434/_xlfn.XLOOKUP("LSFO",Data_tables!$K:$K,Data_tables!$M:$M)*Assumptions!$G$268</f>
        <v>0</v>
      </c>
      <c r="BE1073" s="33">
        <f>+Assumptions!$G$370*BE434/_xlfn.XLOOKUP("LSFO",Data_tables!$K:$K,Data_tables!$M:$M)*Assumptions!$G$268</f>
        <v>0</v>
      </c>
      <c r="BF1073" s="33">
        <f>+Assumptions!$G$370*BF434/_xlfn.XLOOKUP("LSFO",Data_tables!$K:$K,Data_tables!$M:$M)*Assumptions!$G$268</f>
        <v>0</v>
      </c>
      <c r="BG1073" s="33">
        <f>+Assumptions!$G$370*BG434/_xlfn.XLOOKUP("LSFO",Data_tables!$K:$K,Data_tables!$M:$M)*Assumptions!$G$268</f>
        <v>0</v>
      </c>
      <c r="BH1073" s="33">
        <f>+Assumptions!$G$370*BH434/_xlfn.XLOOKUP("LSFO",Data_tables!$K:$K,Data_tables!$M:$M)*Assumptions!$G$268</f>
        <v>0</v>
      </c>
      <c r="BI1073" s="33">
        <f>+Assumptions!$G$370*BI434/_xlfn.XLOOKUP("LSFO",Data_tables!$K:$K,Data_tables!$M:$M)*Assumptions!$G$268</f>
        <v>0</v>
      </c>
      <c r="BJ1073" s="33">
        <f>+Assumptions!$G$370*BJ434/_xlfn.XLOOKUP("LSFO",Data_tables!$K:$K,Data_tables!$M:$M)*Assumptions!$G$268</f>
        <v>0</v>
      </c>
      <c r="BK1073" s="33">
        <f>+Assumptions!$G$370*BK434/_xlfn.XLOOKUP("LSFO",Data_tables!$K:$K,Data_tables!$M:$M)*Assumptions!$G$268</f>
        <v>0</v>
      </c>
      <c r="BL1073" s="33">
        <f>+Assumptions!$G$370*BL434/_xlfn.XLOOKUP("LSFO",Data_tables!$K:$K,Data_tables!$M:$M)*Assumptions!$G$268</f>
        <v>0</v>
      </c>
      <c r="BM1073" s="33">
        <f>+Assumptions!$G$370*BM434/_xlfn.XLOOKUP("LSFO",Data_tables!$K:$K,Data_tables!$M:$M)*Assumptions!$G$268</f>
        <v>0</v>
      </c>
      <c r="BN1073" s="33">
        <f>+Assumptions!$G$370*BN434/_xlfn.XLOOKUP("LSFO",Data_tables!$K:$K,Data_tables!$M:$M)*Assumptions!$G$268</f>
        <v>0</v>
      </c>
      <c r="BO1073" s="33">
        <f>+Assumptions!$G$370*BO434/_xlfn.XLOOKUP("LSFO",Data_tables!$K:$K,Data_tables!$M:$M)*Assumptions!$G$268</f>
        <v>0</v>
      </c>
      <c r="BP1073" s="33">
        <f>+Assumptions!$G$370*BP434/_xlfn.XLOOKUP("LSFO",Data_tables!$K:$K,Data_tables!$M:$M)*Assumptions!$G$268</f>
        <v>0</v>
      </c>
      <c r="BQ1073" s="33">
        <f>+Assumptions!$G$370*BQ434/_xlfn.XLOOKUP("LSFO",Data_tables!$K:$K,Data_tables!$M:$M)*Assumptions!$G$268</f>
        <v>0</v>
      </c>
      <c r="BR1073" s="33">
        <f>+Assumptions!$G$370*BR434/_xlfn.XLOOKUP("LSFO",Data_tables!$K:$K,Data_tables!$M:$M)*Assumptions!$G$268</f>
        <v>0</v>
      </c>
      <c r="BS1073" s="33">
        <f>+Assumptions!$G$370*BS434/_xlfn.XLOOKUP("LSFO",Data_tables!$K:$K,Data_tables!$M:$M)*Assumptions!$G$268</f>
        <v>0</v>
      </c>
      <c r="BT1073" s="33">
        <f>+Assumptions!$G$370*BT434/_xlfn.XLOOKUP("LSFO",Data_tables!$K:$K,Data_tables!$M:$M)*Assumptions!$G$268</f>
        <v>0</v>
      </c>
      <c r="BU1073" s="33">
        <f>+Assumptions!$G$370*BU434/_xlfn.XLOOKUP("LSFO",Data_tables!$K:$K,Data_tables!$M:$M)*Assumptions!$G$268</f>
        <v>0</v>
      </c>
      <c r="BV1073" s="33">
        <f>+Assumptions!$G$370*BV434/_xlfn.XLOOKUP("LSFO",Data_tables!$K:$K,Data_tables!$M:$M)*Assumptions!$G$268</f>
        <v>0</v>
      </c>
      <c r="BW1073" s="33">
        <f>+Assumptions!$G$370*BW434/_xlfn.XLOOKUP("LSFO",Data_tables!$K:$K,Data_tables!$M:$M)*Assumptions!$G$268</f>
        <v>0</v>
      </c>
      <c r="BX1073" s="33">
        <f>+Assumptions!$G$370*BX434/_xlfn.XLOOKUP("LSFO",Data_tables!$K:$K,Data_tables!$M:$M)*Assumptions!$G$268</f>
        <v>0</v>
      </c>
      <c r="BY1073" s="33">
        <f>+Assumptions!$G$370*BY434/_xlfn.XLOOKUP("LSFO",Data_tables!$K:$K,Data_tables!$M:$M)*Assumptions!$G$268</f>
        <v>0</v>
      </c>
    </row>
    <row r="1074" spans="5:77" outlineLevel="1">
      <c r="E1074" t="s">
        <v>547</v>
      </c>
      <c r="F1074" s="23" t="s">
        <v>159</v>
      </c>
      <c r="H1074" s="103">
        <f>+H1072*H1073</f>
        <v>0</v>
      </c>
      <c r="I1074" s="103">
        <f t="shared" ref="I1074:BT1074" ca="1" si="2175">+I1072*I1073</f>
        <v>0</v>
      </c>
      <c r="J1074" s="103">
        <f t="shared" ca="1" si="2175"/>
        <v>0</v>
      </c>
      <c r="K1074" s="103">
        <f t="shared" ca="1" si="2175"/>
        <v>4564305.6408722689</v>
      </c>
      <c r="L1074" s="103">
        <f t="shared" ca="1" si="2175"/>
        <v>4300052.6402248172</v>
      </c>
      <c r="M1074" s="103">
        <f t="shared" ca="1" si="2175"/>
        <v>4035799.6395773655</v>
      </c>
      <c r="N1074" s="103">
        <f t="shared" ca="1" si="2175"/>
        <v>3771546.6389299142</v>
      </c>
      <c r="O1074" s="103">
        <f t="shared" ca="1" si="2175"/>
        <v>3507293.6382824616</v>
      </c>
      <c r="P1074" s="103">
        <f t="shared" ca="1" si="2175"/>
        <v>3243040.6376349432</v>
      </c>
      <c r="Q1074" s="103">
        <f t="shared" ca="1" si="2175"/>
        <v>2822638.1366049475</v>
      </c>
      <c r="R1074" s="103">
        <f t="shared" ca="1" si="2175"/>
        <v>2402235.6355749527</v>
      </c>
      <c r="S1074" s="103">
        <f t="shared" ca="1" si="2175"/>
        <v>1981833.1345447861</v>
      </c>
      <c r="T1074" s="103">
        <f t="shared" ca="1" si="2175"/>
        <v>1561430.6335147908</v>
      </c>
      <c r="U1074" s="103">
        <f t="shared" ca="1" si="2175"/>
        <v>1141028.1324847953</v>
      </c>
      <c r="V1074" s="103">
        <f t="shared" ca="1" si="2175"/>
        <v>960855.63204338728</v>
      </c>
      <c r="W1074" s="103">
        <f t="shared" ca="1" si="2175"/>
        <v>780683.13160193618</v>
      </c>
      <c r="X1074" s="103">
        <f t="shared" ca="1" si="2175"/>
        <v>600510.63116048533</v>
      </c>
      <c r="Y1074" s="103">
        <f t="shared" ca="1" si="2175"/>
        <v>420338.13071903447</v>
      </c>
      <c r="Z1074" s="103">
        <f t="shared" ca="1" si="2175"/>
        <v>0</v>
      </c>
      <c r="AA1074" s="103">
        <f t="shared" si="2175"/>
        <v>0</v>
      </c>
      <c r="AB1074" s="103">
        <f t="shared" si="2175"/>
        <v>0</v>
      </c>
      <c r="AC1074" s="103">
        <f t="shared" si="2175"/>
        <v>0</v>
      </c>
      <c r="AD1074" s="103">
        <f t="shared" si="2175"/>
        <v>0</v>
      </c>
      <c r="AE1074" s="103">
        <f t="shared" si="2175"/>
        <v>0</v>
      </c>
      <c r="AF1074" s="103">
        <f t="shared" si="2175"/>
        <v>0</v>
      </c>
      <c r="AG1074" s="103">
        <f t="shared" si="2175"/>
        <v>0</v>
      </c>
      <c r="AH1074" s="103">
        <f t="shared" si="2175"/>
        <v>0</v>
      </c>
      <c r="AI1074" s="103">
        <f t="shared" si="2175"/>
        <v>0</v>
      </c>
      <c r="AJ1074" s="103">
        <f t="shared" si="2175"/>
        <v>0</v>
      </c>
      <c r="AK1074" s="103">
        <f t="shared" si="2175"/>
        <v>0</v>
      </c>
      <c r="AL1074" s="103">
        <f t="shared" si="2175"/>
        <v>0</v>
      </c>
      <c r="AM1074" s="103">
        <f t="shared" si="2175"/>
        <v>0</v>
      </c>
      <c r="AN1074" s="103">
        <f t="shared" si="2175"/>
        <v>0</v>
      </c>
      <c r="AO1074" s="103">
        <f t="shared" si="2175"/>
        <v>0</v>
      </c>
      <c r="AP1074" s="103">
        <f t="shared" si="2175"/>
        <v>0</v>
      </c>
      <c r="AQ1074" s="103">
        <f t="shared" si="2175"/>
        <v>0</v>
      </c>
      <c r="AR1074" s="103">
        <f t="shared" si="2175"/>
        <v>0</v>
      </c>
      <c r="AS1074" s="103">
        <f t="shared" si="2175"/>
        <v>0</v>
      </c>
      <c r="AT1074" s="103">
        <f t="shared" si="2175"/>
        <v>0</v>
      </c>
      <c r="AU1074" s="103">
        <f t="shared" si="2175"/>
        <v>0</v>
      </c>
      <c r="AV1074" s="103">
        <f t="shared" si="2175"/>
        <v>0</v>
      </c>
      <c r="AW1074" s="103">
        <f t="shared" si="2175"/>
        <v>0</v>
      </c>
      <c r="AX1074" s="103">
        <f t="shared" si="2175"/>
        <v>0</v>
      </c>
      <c r="AY1074" s="103">
        <f t="shared" si="2175"/>
        <v>0</v>
      </c>
      <c r="AZ1074" s="103">
        <f t="shared" si="2175"/>
        <v>0</v>
      </c>
      <c r="BA1074" s="103">
        <f t="shared" si="2175"/>
        <v>0</v>
      </c>
      <c r="BB1074" s="103">
        <f t="shared" si="2175"/>
        <v>0</v>
      </c>
      <c r="BC1074" s="103">
        <f t="shared" si="2175"/>
        <v>0</v>
      </c>
      <c r="BD1074" s="103">
        <f t="shared" si="2175"/>
        <v>0</v>
      </c>
      <c r="BE1074" s="103">
        <f t="shared" si="2175"/>
        <v>0</v>
      </c>
      <c r="BF1074" s="103">
        <f t="shared" si="2175"/>
        <v>0</v>
      </c>
      <c r="BG1074" s="103">
        <f t="shared" si="2175"/>
        <v>0</v>
      </c>
      <c r="BH1074" s="103">
        <f t="shared" si="2175"/>
        <v>0</v>
      </c>
      <c r="BI1074" s="103">
        <f t="shared" si="2175"/>
        <v>0</v>
      </c>
      <c r="BJ1074" s="103">
        <f t="shared" si="2175"/>
        <v>0</v>
      </c>
      <c r="BK1074" s="103">
        <f t="shared" si="2175"/>
        <v>0</v>
      </c>
      <c r="BL1074" s="103">
        <f t="shared" si="2175"/>
        <v>0</v>
      </c>
      <c r="BM1074" s="103">
        <f t="shared" si="2175"/>
        <v>0</v>
      </c>
      <c r="BN1074" s="103">
        <f t="shared" si="2175"/>
        <v>0</v>
      </c>
      <c r="BO1074" s="103">
        <f t="shared" si="2175"/>
        <v>0</v>
      </c>
      <c r="BP1074" s="103">
        <f t="shared" si="2175"/>
        <v>0</v>
      </c>
      <c r="BQ1074" s="103">
        <f t="shared" si="2175"/>
        <v>0</v>
      </c>
      <c r="BR1074" s="103">
        <f t="shared" si="2175"/>
        <v>0</v>
      </c>
      <c r="BS1074" s="103">
        <f t="shared" si="2175"/>
        <v>0</v>
      </c>
      <c r="BT1074" s="103">
        <f t="shared" si="2175"/>
        <v>0</v>
      </c>
      <c r="BU1074" s="103">
        <f t="shared" ref="BU1074:BY1074" si="2176">+BU1072*BU1073</f>
        <v>0</v>
      </c>
      <c r="BV1074" s="103">
        <f t="shared" si="2176"/>
        <v>0</v>
      </c>
      <c r="BW1074" s="103">
        <f t="shared" si="2176"/>
        <v>0</v>
      </c>
      <c r="BX1074" s="103">
        <f t="shared" si="2176"/>
        <v>0</v>
      </c>
      <c r="BY1074" s="103">
        <f t="shared" si="2176"/>
        <v>0</v>
      </c>
    </row>
    <row r="1075" spans="5:77" outlineLevel="1">
      <c r="E1075" s="25" t="s">
        <v>243</v>
      </c>
      <c r="F1075" s="81" t="s">
        <v>423</v>
      </c>
      <c r="G1075" s="25"/>
      <c r="H1075" s="105">
        <f ca="1">1/(1+Assumptions!$G$356)*IF(G1075=0,1,G1075)</f>
        <v>0.95979422011920645</v>
      </c>
      <c r="I1075" s="105">
        <f ca="1">1/(1+Assumptions!$G$356)*IF(H1075=0,1,H1075)</f>
        <v>0.92120494497423577</v>
      </c>
      <c r="J1075" s="105">
        <f ca="1">1/(1+Assumptions!$G$356)*IF(I1075=0,1,I1075)</f>
        <v>0.8841671817315031</v>
      </c>
      <c r="K1075" s="105">
        <f ca="1">1/(1+Assumptions!$G$356)*IF(J1075=0,1,J1075)</f>
        <v>0.8486185506449847</v>
      </c>
      <c r="L1075" s="105">
        <f ca="1">1/(1+Assumptions!$G$356)*IF(K1075=0,1,K1075)</f>
        <v>0.81449917999499444</v>
      </c>
      <c r="M1075" s="105">
        <f ca="1">1/(1+Assumptions!$G$356)*IF(L1075=0,1,L1075)</f>
        <v>0.78175160525102882</v>
      </c>
      <c r="N1075" s="105">
        <f ca="1">1/(1+Assumptions!$G$356)*IF(M1075=0,1,M1075)</f>
        <v>0.75032067228884891</v>
      </c>
      <c r="O1075" s="105">
        <f ca="1">1/(1+Assumptions!$G$356)*IF(N1075=0,1,N1075)</f>
        <v>0.72015344449879437</v>
      </c>
      <c r="P1075" s="105">
        <f ca="1">1/(1+Assumptions!$G$356)*IF(O1075=0,1,O1075)</f>
        <v>0.69119911362888053</v>
      </c>
      <c r="Q1075" s="105">
        <f ca="1">1/(1+Assumptions!$G$356)*IF(P1075=0,1,P1075)</f>
        <v>0.66340891421251813</v>
      </c>
      <c r="R1075" s="105">
        <f ca="1">1/(1+Assumptions!$G$356)*IF(Q1075=0,1,Q1075)</f>
        <v>0.63673604143673335</v>
      </c>
      <c r="S1075" s="105">
        <f ca="1">1/(1+Assumptions!$G$356)*IF(R1075=0,1,R1075)</f>
        <v>0.61113557231256022</v>
      </c>
      <c r="T1075" s="105">
        <f ca="1">1/(1+Assumptions!$G$356)*IF(S1075=0,1,S1075)</f>
        <v>0.58656439001483862</v>
      </c>
      <c r="U1075" s="105">
        <f ca="1">1/(1+Assumptions!$G$356)*IF(T1075=0,1,T1075)</f>
        <v>0.56298111126399009</v>
      </c>
      <c r="V1075" s="105">
        <f ca="1">1/(1+Assumptions!$G$356)*IF(U1075=0,1,U1075)</f>
        <v>0.54034601662746551</v>
      </c>
      <c r="W1075" s="105">
        <f ca="1">1/(1+Assumptions!$G$356)*IF(V1075=0,1,V1075)</f>
        <v>0.51862098362347797</v>
      </c>
      <c r="X1075" s="105">
        <f ca="1">1/(1+Assumptions!$G$356)*IF(W1075=0,1,W1075)</f>
        <v>0.4977694225143518</v>
      </c>
      <c r="Y1075" s="105">
        <f ca="1">1/(1+Assumptions!$G$356)*IF(X1075=0,1,X1075)</f>
        <v>0.47775621468135004</v>
      </c>
      <c r="Z1075" s="105">
        <f ca="1">1/(1+Assumptions!$G$356)*IF(Y1075=0,1,Y1075)</f>
        <v>0.45854765347719056</v>
      </c>
      <c r="AA1075" s="105">
        <f ca="1">1/(1+Assumptions!$G$356)*IF(Z1075=0,1,Z1075)</f>
        <v>0.44011138745663225</v>
      </c>
      <c r="AB1075" s="105">
        <f ca="1">1/(1+Assumptions!$G$356)*IF(AA1075=0,1,AA1075)</f>
        <v>0.42241636588952025</v>
      </c>
      <c r="AC1075" s="105">
        <f ca="1">1/(1+Assumptions!$G$356)*IF(AB1075=0,1,AB1075)</f>
        <v>0.40543278646452147</v>
      </c>
      <c r="AD1075" s="105">
        <f ca="1">1/(1+Assumptions!$G$356)*IF(AC1075=0,1,AC1075)</f>
        <v>0.38913204509547217</v>
      </c>
      <c r="AE1075" s="105">
        <f ca="1">1/(1+Assumptions!$G$356)*IF(AD1075=0,1,AD1075)</f>
        <v>0.37348668774580057</v>
      </c>
      <c r="AF1075" s="105">
        <f ca="1">1/(1+Assumptions!$G$356)*IF(AE1075=0,1,AE1075)</f>
        <v>0.35847036418988626</v>
      </c>
      <c r="AG1075" s="105">
        <f ca="1">1/(1+Assumptions!$G$356)*IF(AF1075=0,1,AF1075)</f>
        <v>0.34405778363347977</v>
      </c>
      <c r="AH1075" s="105">
        <f ca="1">1/(1+Assumptions!$G$356)*IF(AG1075=0,1,AG1075)</f>
        <v>0.33022467211843837</v>
      </c>
      <c r="AI1075" s="105">
        <f ca="1">1/(1+Assumptions!$G$356)*IF(AH1075=0,1,AH1075)</f>
        <v>0.3169477316400372</v>
      </c>
      <c r="AJ1075" s="105">
        <f ca="1">1/(1+Assumptions!$G$356)*IF(AI1075=0,1,AI1075)</f>
        <v>0.30420460090800105</v>
      </c>
      <c r="AK1075" s="105">
        <f ca="1">1/(1+Assumptions!$G$356)*IF(AJ1075=0,1,AJ1075)</f>
        <v>0.29197381768516933</v>
      </c>
      <c r="AL1075" s="105">
        <f ca="1">1/(1+Assumptions!$G$356)*IF(AK1075=0,1,AK1075)</f>
        <v>0.28023478264036444</v>
      </c>
      <c r="AM1075" s="105">
        <f ca="1">1/(1+Assumptions!$G$356)*IF(AL1075=0,1,AL1075)</f>
        <v>0.26896772465458391</v>
      </c>
      <c r="AN1075" s="105">
        <f ca="1">1/(1+Assumptions!$G$356)*IF(AM1075=0,1,AM1075)</f>
        <v>0.2581536675220838</v>
      </c>
      <c r="AO1075" s="105">
        <f ca="1">1/(1+Assumptions!$G$356)*IF(AN1075=0,1,AN1075)</f>
        <v>0.24777439799027134</v>
      </c>
      <c r="AP1075" s="105">
        <f ca="1">1/(1+Assumptions!$G$356)*IF(AO1075=0,1,AO1075)</f>
        <v>0.23781243508457836</v>
      </c>
      <c r="AQ1075" s="105">
        <f ca="1">1/(1+Assumptions!$G$356)*IF(AP1075=0,1,AP1075)</f>
        <v>0.2282510006666523</v>
      </c>
      <c r="AR1075" s="105">
        <f ca="1">1/(1+Assumptions!$G$356)*IF(AQ1075=0,1,AQ1075)</f>
        <v>0.21907399117627802</v>
      </c>
      <c r="AS1075" s="105">
        <f ca="1">1/(1+Assumptions!$G$356)*IF(AR1075=0,1,AR1075)</f>
        <v>0.21026595050943767</v>
      </c>
      <c r="AT1075" s="105">
        <f ca="1">1/(1+Assumptions!$G$356)*IF(AS1075=0,1,AS1075)</f>
        <v>0.20181204398682939</v>
      </c>
      <c r="AU1075" s="105">
        <f ca="1">1/(1+Assumptions!$G$356)*IF(AT1075=0,1,AT1075)</f>
        <v>0.1936980333690019</v>
      </c>
      <c r="AV1075" s="105">
        <f ca="1">1/(1+Assumptions!$G$356)*IF(AU1075=0,1,AU1075)</f>
        <v>0.18591025287602522</v>
      </c>
      <c r="AW1075" s="105">
        <f ca="1">1/(1+Assumptions!$G$356)*IF(AV1075=0,1,AV1075)</f>
        <v>0.17843558617130909</v>
      </c>
      <c r="AX1075" s="105">
        <f ca="1">1/(1+Assumptions!$G$356)*IF(AW1075=0,1,AW1075)</f>
        <v>0.17126144427080506</v>
      </c>
      <c r="AY1075" s="105">
        <f ca="1">1/(1+Assumptions!$G$356)*IF(AX1075=0,1,AX1075)</f>
        <v>0.16437574434038627</v>
      </c>
      <c r="AZ1075" s="105">
        <f ca="1">1/(1+Assumptions!$G$356)*IF(AY1075=0,1,AY1075)</f>
        <v>0.1577668893456951</v>
      </c>
      <c r="BA1075" s="105">
        <f ca="1">1/(1+Assumptions!$G$356)*IF(AZ1075=0,1,AZ1075)</f>
        <v>0.15142374852018459</v>
      </c>
      <c r="BB1075" s="105">
        <f ca="1">1/(1+Assumptions!$G$356)*IF(BA1075=0,1,BA1075)</f>
        <v>0.14533563861845741</v>
      </c>
      <c r="BC1075" s="105">
        <f ca="1">1/(1+Assumptions!$G$356)*IF(BB1075=0,1,BB1075)</f>
        <v>0.13949230592332915</v>
      </c>
      <c r="BD1075" s="105">
        <f ca="1">1/(1+Assumptions!$G$356)*IF(BC1075=0,1,BC1075)</f>
        <v>0.13388390897631147</v>
      </c>
      <c r="BE1075" s="105">
        <f ca="1">1/(1+Assumptions!$G$356)*IF(BD1075=0,1,BD1075)</f>
        <v>0.1285010020024297</v>
      </c>
      <c r="BF1075" s="105">
        <f ca="1">1/(1+Assumptions!$G$356)*IF(BE1075=0,1,BE1075)</f>
        <v>0.1233345190014586</v>
      </c>
      <c r="BG1075" s="105">
        <f ca="1">1/(1+Assumptions!$G$356)*IF(BF1075=0,1,BF1075)</f>
        <v>0.11837575847878241</v>
      </c>
      <c r="BH1075" s="105">
        <f ca="1">1/(1+Assumptions!$G$356)*IF(BG1075=0,1,BG1075)</f>
        <v>0.11361636879016251</v>
      </c>
      <c r="BI1075" s="105">
        <f ca="1">1/(1+Assumptions!$G$356)*IF(BH1075=0,1,BH1075)</f>
        <v>0.10904833407573018</v>
      </c>
      <c r="BJ1075" s="105">
        <f ca="1">1/(1+Assumptions!$G$356)*IF(BI1075=0,1,BI1075)</f>
        <v>0.10466396075951413</v>
      </c>
      <c r="BK1075" s="105">
        <f ca="1">1/(1+Assumptions!$G$356)*IF(BJ1075=0,1,BJ1075)</f>
        <v>0.10045586459176509</v>
      </c>
      <c r="BL1075" s="105">
        <f ca="1">1/(1+Assumptions!$G$356)*IF(BK1075=0,1,BK1075)</f>
        <v>9.6416958212253781E-2</v>
      </c>
      <c r="BM1075" s="105">
        <f ca="1">1/(1+Assumptions!$G$356)*IF(BL1075=0,1,BL1075)</f>
        <v>9.254043921359624E-2</v>
      </c>
      <c r="BN1075" s="105">
        <f ca="1">1/(1+Assumptions!$G$356)*IF(BM1075=0,1,BM1075)</f>
        <v>8.8819778684502429E-2</v>
      </c>
      <c r="BO1075" s="105">
        <f ca="1">1/(1+Assumptions!$G$356)*IF(BN1075=0,1,BN1075)</f>
        <v>8.5248710213652532E-2</v>
      </c>
      <c r="BP1075" s="105">
        <f ca="1">1/(1+Assumptions!$G$356)*IF(BO1075=0,1,BO1075)</f>
        <v>8.1821219335680859E-2</v>
      </c>
      <c r="BQ1075" s="105">
        <f ca="1">1/(1+Assumptions!$G$356)*IF(BP1075=0,1,BP1075)</f>
        <v>7.853153340149234E-2</v>
      </c>
      <c r="BR1075" s="105">
        <f ca="1">1/(1+Assumptions!$G$356)*IF(BQ1075=0,1,BQ1075)</f>
        <v>7.5374111855850759E-2</v>
      </c>
      <c r="BS1075" s="105">
        <f ca="1">1/(1+Assumptions!$G$356)*IF(BR1075=0,1,BR1075)</f>
        <v>7.2343636905864109E-2</v>
      </c>
      <c r="BT1075" s="105">
        <f ca="1">1/(1+Assumptions!$G$356)*IF(BS1075=0,1,BS1075)</f>
        <v>6.943500456465089E-2</v>
      </c>
      <c r="BU1075" s="105">
        <f ca="1">1/(1+Assumptions!$G$356)*IF(BT1075=0,1,BT1075)</f>
        <v>6.6643316055102639E-2</v>
      </c>
      <c r="BV1075" s="105">
        <f ca="1">1/(1+Assumptions!$G$356)*IF(BU1075=0,1,BU1075)</f>
        <v>6.396386955926503E-2</v>
      </c>
      <c r="BW1075" s="105">
        <f ca="1">1/(1+Assumptions!$G$356)*IF(BV1075=0,1,BV1075)</f>
        <v>6.1392152299441428E-2</v>
      </c>
      <c r="BX1075" s="105">
        <f ca="1">1/(1+Assumptions!$G$356)*IF(BW1075=0,1,BW1075)</f>
        <v>5.8923832937681934E-2</v>
      </c>
      <c r="BY1075" s="105">
        <f ca="1">1/(1+Assumptions!$G$356)*IF(BX1075=0,1,BX1075)</f>
        <v>5.6554754280856843E-2</v>
      </c>
    </row>
    <row r="1076" spans="5:77" outlineLevel="1">
      <c r="E1076" t="s">
        <v>548</v>
      </c>
      <c r="F1076" s="80" t="s">
        <v>549</v>
      </c>
      <c r="H1076" s="33">
        <f ca="1">+IF(Assumptions!$G$376="Yes",H1075*H1074,0)</f>
        <v>0</v>
      </c>
      <c r="I1076" s="33">
        <f ca="1">+IF(Assumptions!$G$376="Yes",I1075*I1074,0)</f>
        <v>0</v>
      </c>
      <c r="J1076" s="33">
        <f ca="1">+IF(Assumptions!$G$376="Yes",J1075*J1074,0)</f>
        <v>0</v>
      </c>
      <c r="K1076" s="33">
        <f ca="1">+IF(Assumptions!$G$376="Yes",K1075*K1074,0)</f>
        <v>3873354.437657753</v>
      </c>
      <c r="L1076" s="33">
        <f ca="1">+IF(Assumptions!$G$376="Yes",L1075*L1074,0)</f>
        <v>3502389.3493984244</v>
      </c>
      <c r="M1076" s="33">
        <f ca="1">+IF(Assumptions!$G$376="Yes",M1075*M1074,0)</f>
        <v>3154992.846711129</v>
      </c>
      <c r="N1076" s="33">
        <f ca="1">+IF(Assumptions!$G$376="Yes",N1075*N1074,0)</f>
        <v>2829869.4096906418</v>
      </c>
      <c r="O1076" s="33">
        <f ca="1">+IF(Assumptions!$G$376="Yes",O1075*O1074,0)</f>
        <v>2525789.5944778235</v>
      </c>
      <c r="P1076" s="33">
        <f ca="1">+IF(Assumptions!$G$376="Yes",P1075*P1074,0)</f>
        <v>2241586.8141957121</v>
      </c>
      <c r="Q1076" s="33">
        <f ca="1">+IF(Assumptions!$G$376="Yes",Q1075*Q1074,0)</f>
        <v>1872563.3014199336</v>
      </c>
      <c r="R1076" s="33">
        <f ca="1">+IF(Assumptions!$G$376="Yes",R1075*R1074,0)</f>
        <v>1529590.0091942505</v>
      </c>
      <c r="S1076" s="33">
        <f ca="1">+IF(Assumptions!$G$376="Yes",S1075*S1074,0)</f>
        <v>1211168.726908023</v>
      </c>
      <c r="T1076" s="33">
        <f ca="1">+IF(Assumptions!$G$376="Yes",T1075*T1074,0)</f>
        <v>915879.60709808627</v>
      </c>
      <c r="U1076" s="33">
        <f ca="1">+IF(Assumptions!$G$376="Yes",U1075*U1074,0)</f>
        <v>642377.28600976535</v>
      </c>
      <c r="V1076" s="33">
        <f ca="1">+IF(Assumptions!$G$376="Yes",V1075*V1074,0)</f>
        <v>519194.51332871005</v>
      </c>
      <c r="W1076" s="33">
        <f ca="1">+IF(Assumptions!$G$376="Yes",W1075*W1074,0)</f>
        <v>404878.65360965324</v>
      </c>
      <c r="X1076" s="33">
        <f ca="1">+IF(Assumptions!$G$376="Yes",X1075*X1074,0)</f>
        <v>298915.83008648368</v>
      </c>
      <c r="Y1076" s="33">
        <f ca="1">+IF(Assumptions!$G$376="Yes",Y1075*Y1074,0)</f>
        <v>200819.1542185604</v>
      </c>
      <c r="Z1076" s="33">
        <f ca="1">+IF(Assumptions!$G$376="Yes",Z1075*Z1074,0)</f>
        <v>0</v>
      </c>
      <c r="AA1076" s="33">
        <f ca="1">+IF(Assumptions!$G$376="Yes",AA1075*AA1074,0)</f>
        <v>0</v>
      </c>
      <c r="AB1076" s="33">
        <f ca="1">+IF(Assumptions!$G$376="Yes",AB1075*AB1074,0)</f>
        <v>0</v>
      </c>
      <c r="AC1076" s="33">
        <f ca="1">+IF(Assumptions!$G$376="Yes",AC1075*AC1074,0)</f>
        <v>0</v>
      </c>
      <c r="AD1076" s="33">
        <f ca="1">+IF(Assumptions!$G$376="Yes",AD1075*AD1074,0)</f>
        <v>0</v>
      </c>
      <c r="AE1076" s="33">
        <f ca="1">+IF(Assumptions!$G$376="Yes",AE1075*AE1074,0)</f>
        <v>0</v>
      </c>
      <c r="AF1076" s="33">
        <f ca="1">+IF(Assumptions!$G$376="Yes",AF1075*AF1074,0)</f>
        <v>0</v>
      </c>
      <c r="AG1076" s="33">
        <f ca="1">+IF(Assumptions!$G$376="Yes",AG1075*AG1074,0)</f>
        <v>0</v>
      </c>
      <c r="AH1076" s="33">
        <f ca="1">+IF(Assumptions!$G$376="Yes",AH1075*AH1074,0)</f>
        <v>0</v>
      </c>
      <c r="AI1076" s="33">
        <f ca="1">+IF(Assumptions!$G$376="Yes",AI1075*AI1074,0)</f>
        <v>0</v>
      </c>
      <c r="AJ1076" s="33">
        <f ca="1">+IF(Assumptions!$G$376="Yes",AJ1075*AJ1074,0)</f>
        <v>0</v>
      </c>
      <c r="AK1076" s="33">
        <f ca="1">+IF(Assumptions!$G$376="Yes",AK1075*AK1074,0)</f>
        <v>0</v>
      </c>
      <c r="AL1076" s="33">
        <f ca="1">+IF(Assumptions!$G$376="Yes",AL1075*AL1074,0)</f>
        <v>0</v>
      </c>
      <c r="AM1076" s="33">
        <f ca="1">+IF(Assumptions!$G$376="Yes",AM1075*AM1074,0)</f>
        <v>0</v>
      </c>
      <c r="AN1076" s="33">
        <f ca="1">+IF(Assumptions!$G$376="Yes",AN1075*AN1074,0)</f>
        <v>0</v>
      </c>
      <c r="AO1076" s="33">
        <f ca="1">+IF(Assumptions!$G$376="Yes",AO1075*AO1074,0)</f>
        <v>0</v>
      </c>
      <c r="AP1076" s="33">
        <f ca="1">+IF(Assumptions!$G$376="Yes",AP1075*AP1074,0)</f>
        <v>0</v>
      </c>
      <c r="AQ1076" s="33">
        <f ca="1">+IF(Assumptions!$G$376="Yes",AQ1075*AQ1074,0)</f>
        <v>0</v>
      </c>
      <c r="AR1076" s="33">
        <f ca="1">+IF(Assumptions!$G$376="Yes",AR1075*AR1074,0)</f>
        <v>0</v>
      </c>
      <c r="AS1076" s="33">
        <f ca="1">+IF(Assumptions!$G$376="Yes",AS1075*AS1074,0)</f>
        <v>0</v>
      </c>
      <c r="AT1076" s="33">
        <f ca="1">+IF(Assumptions!$G$376="Yes",AT1075*AT1074,0)</f>
        <v>0</v>
      </c>
      <c r="AU1076" s="33">
        <f ca="1">+IF(Assumptions!$G$376="Yes",AU1075*AU1074,0)</f>
        <v>0</v>
      </c>
      <c r="AV1076" s="33">
        <f ca="1">+IF(Assumptions!$G$376="Yes",AV1075*AV1074,0)</f>
        <v>0</v>
      </c>
      <c r="AW1076" s="33">
        <f ca="1">+IF(Assumptions!$G$376="Yes",AW1075*AW1074,0)</f>
        <v>0</v>
      </c>
      <c r="AX1076" s="33">
        <f ca="1">+IF(Assumptions!$G$376="Yes",AX1075*AX1074,0)</f>
        <v>0</v>
      </c>
      <c r="AY1076" s="33">
        <f ca="1">+IF(Assumptions!$G$376="Yes",AY1075*AY1074,0)</f>
        <v>0</v>
      </c>
      <c r="AZ1076" s="33">
        <f ca="1">+IF(Assumptions!$G$376="Yes",AZ1075*AZ1074,0)</f>
        <v>0</v>
      </c>
      <c r="BA1076" s="33">
        <f ca="1">+IF(Assumptions!$G$376="Yes",BA1075*BA1074,0)</f>
        <v>0</v>
      </c>
      <c r="BB1076" s="33">
        <f ca="1">+IF(Assumptions!$G$376="Yes",BB1075*BB1074,0)</f>
        <v>0</v>
      </c>
      <c r="BC1076" s="33">
        <f ca="1">+IF(Assumptions!$G$376="Yes",BC1075*BC1074,0)</f>
        <v>0</v>
      </c>
      <c r="BD1076" s="33">
        <f ca="1">+IF(Assumptions!$G$376="Yes",BD1075*BD1074,0)</f>
        <v>0</v>
      </c>
      <c r="BE1076" s="33">
        <f ca="1">+IF(Assumptions!$G$376="Yes",BE1075*BE1074,0)</f>
        <v>0</v>
      </c>
      <c r="BF1076" s="33">
        <f ca="1">+IF(Assumptions!$G$376="Yes",BF1075*BF1074,0)</f>
        <v>0</v>
      </c>
      <c r="BG1076" s="33">
        <f ca="1">+IF(Assumptions!$G$376="Yes",BG1075*BG1074,0)</f>
        <v>0</v>
      </c>
      <c r="BH1076" s="33">
        <f ca="1">+IF(Assumptions!$G$376="Yes",BH1075*BH1074,0)</f>
        <v>0</v>
      </c>
      <c r="BI1076" s="33">
        <f ca="1">+IF(Assumptions!$G$376="Yes",BI1075*BI1074,0)</f>
        <v>0</v>
      </c>
      <c r="BJ1076" s="33">
        <f ca="1">+IF(Assumptions!$G$376="Yes",BJ1075*BJ1074,0)</f>
        <v>0</v>
      </c>
      <c r="BK1076" s="33">
        <f ca="1">+IF(Assumptions!$G$376="Yes",BK1075*BK1074,0)</f>
        <v>0</v>
      </c>
      <c r="BL1076" s="33">
        <f ca="1">+IF(Assumptions!$G$376="Yes",BL1075*BL1074,0)</f>
        <v>0</v>
      </c>
      <c r="BM1076" s="33">
        <f ca="1">+IF(Assumptions!$G$376="Yes",BM1075*BM1074,0)</f>
        <v>0</v>
      </c>
      <c r="BN1076" s="33">
        <f ca="1">+IF(Assumptions!$G$376="Yes",BN1075*BN1074,0)</f>
        <v>0</v>
      </c>
      <c r="BO1076" s="33">
        <f ca="1">+IF(Assumptions!$G$376="Yes",BO1075*BO1074,0)</f>
        <v>0</v>
      </c>
      <c r="BP1076" s="33">
        <f ca="1">+IF(Assumptions!$G$376="Yes",BP1075*BP1074,0)</f>
        <v>0</v>
      </c>
      <c r="BQ1076" s="33">
        <f ca="1">+IF(Assumptions!$G$376="Yes",BQ1075*BQ1074,0)</f>
        <v>0</v>
      </c>
      <c r="BR1076" s="33">
        <f ca="1">+IF(Assumptions!$G$376="Yes",BR1075*BR1074,0)</f>
        <v>0</v>
      </c>
      <c r="BS1076" s="33">
        <f ca="1">+IF(Assumptions!$G$376="Yes",BS1075*BS1074,0)</f>
        <v>0</v>
      </c>
      <c r="BT1076" s="33">
        <f ca="1">+IF(Assumptions!$G$376="Yes",BT1075*BT1074,0)</f>
        <v>0</v>
      </c>
      <c r="BU1076" s="33">
        <f ca="1">+IF(Assumptions!$G$376="Yes",BU1075*BU1074,0)</f>
        <v>0</v>
      </c>
      <c r="BV1076" s="33">
        <f ca="1">+IF(Assumptions!$G$376="Yes",BV1075*BV1074,0)</f>
        <v>0</v>
      </c>
      <c r="BW1076" s="33">
        <f ca="1">+IF(Assumptions!$G$376="Yes",BW1075*BW1074,0)</f>
        <v>0</v>
      </c>
      <c r="BX1076" s="33">
        <f ca="1">+IF(Assumptions!$G$376="Yes",BX1075*BX1074,0)</f>
        <v>0</v>
      </c>
      <c r="BY1076" s="33">
        <f ca="1">+IF(Assumptions!$G$376="Yes",BY1075*BY1074,0)</f>
        <v>0</v>
      </c>
    </row>
    <row r="1077" spans="5:77" outlineLevel="1">
      <c r="BF1077" s="33"/>
      <c r="BG1077" s="33"/>
      <c r="BH1077" s="33"/>
      <c r="BI1077" s="33"/>
      <c r="BJ1077" s="33"/>
      <c r="BK1077" s="33"/>
      <c r="BL1077" s="33"/>
      <c r="BM1077" s="33"/>
      <c r="BN1077" s="33"/>
      <c r="BO1077" s="33"/>
      <c r="BP1077" s="33"/>
      <c r="BQ1077" s="33"/>
      <c r="BR1077" s="33"/>
      <c r="BS1077" s="33"/>
      <c r="BT1077" s="33"/>
      <c r="BU1077" s="33"/>
      <c r="BV1077" s="33"/>
      <c r="BW1077" s="33"/>
      <c r="BX1077" s="33"/>
      <c r="BY1077" s="33"/>
    </row>
    <row r="1078" spans="5:77" outlineLevel="1">
      <c r="BF1078" s="33"/>
      <c r="BG1078" s="33"/>
      <c r="BH1078" s="33"/>
      <c r="BI1078" s="33"/>
      <c r="BJ1078" s="33"/>
      <c r="BK1078" s="33"/>
      <c r="BL1078" s="33"/>
      <c r="BM1078" s="33"/>
      <c r="BN1078" s="33"/>
      <c r="BO1078" s="33"/>
      <c r="BP1078" s="33"/>
      <c r="BQ1078" s="33"/>
      <c r="BR1078" s="33"/>
      <c r="BS1078" s="33"/>
      <c r="BT1078" s="33"/>
      <c r="BU1078" s="33"/>
      <c r="BV1078" s="33"/>
      <c r="BW1078" s="33"/>
      <c r="BX1078" s="33"/>
      <c r="BY1078" s="33"/>
    </row>
    <row r="1079" spans="5:77" ht="15" outlineLevel="1">
      <c r="E1079" s="22" t="s">
        <v>550</v>
      </c>
      <c r="BF1079" s="33"/>
      <c r="BG1079" s="33"/>
      <c r="BH1079" s="33"/>
      <c r="BI1079" s="33"/>
      <c r="BJ1079" s="33"/>
      <c r="BK1079" s="33"/>
      <c r="BL1079" s="33"/>
      <c r="BM1079" s="33"/>
      <c r="BN1079" s="33"/>
      <c r="BO1079" s="33"/>
      <c r="BP1079" s="33"/>
      <c r="BQ1079" s="33"/>
      <c r="BR1079" s="33"/>
      <c r="BS1079" s="33"/>
      <c r="BT1079" s="33"/>
      <c r="BU1079" s="33"/>
      <c r="BV1079" s="33"/>
      <c r="BW1079" s="33"/>
      <c r="BX1079" s="33"/>
      <c r="BY1079" s="33"/>
    </row>
    <row r="1080" spans="5:77" outlineLevel="1">
      <c r="E1080" t="s">
        <v>551</v>
      </c>
      <c r="F1080" s="23" t="s">
        <v>545</v>
      </c>
      <c r="H1080" s="33">
        <f>+IFERROR(_xlfn.XLOOKUP(YEAR(H3),'Calculations (main)'!$H$133:$AD$133,'Calculations (main)'!$H$134:$AD$134),0)</f>
        <v>0</v>
      </c>
      <c r="I1080" s="33">
        <f ca="1">+IFERROR(_xlfn.XLOOKUP(YEAR(I3),'Calculations (main)'!$H$133:$AD$133,'Calculations (main)'!$H$134:$AD$134),0)</f>
        <v>-141.33282036000014</v>
      </c>
      <c r="J1080" s="33">
        <f ca="1">+IFERROR(_xlfn.XLOOKUP(YEAR(J3),'Calculations (main)'!$H$133:$AD$133,'Calculations (main)'!$H$134:$AD$134),0)</f>
        <v>-169.83783636000015</v>
      </c>
      <c r="K1080" s="33">
        <f ca="1">+IFERROR(_xlfn.XLOOKUP(YEAR(K3),'Calculations (main)'!$H$133:$AD$133,'Calculations (main)'!$H$134:$AD$134),0)</f>
        <v>-198.34285236000008</v>
      </c>
      <c r="L1080" s="33">
        <f ca="1">+IFERROR(_xlfn.XLOOKUP(YEAR(L3),'Calculations (main)'!$H$133:$AD$133,'Calculations (main)'!$H$134:$AD$134),0)</f>
        <v>-261.05388756000008</v>
      </c>
      <c r="M1080" s="33">
        <f ca="1">+IFERROR(_xlfn.XLOOKUP(YEAR(M3),'Calculations (main)'!$H$133:$AD$133,'Calculations (main)'!$H$134:$AD$134),0)</f>
        <v>-323.76492276000016</v>
      </c>
      <c r="N1080" s="33">
        <f ca="1">+IFERROR(_xlfn.XLOOKUP(YEAR(N3),'Calculations (main)'!$H$133:$AD$133,'Calculations (main)'!$H$134:$AD$134),0)</f>
        <v>-386.47595796000013</v>
      </c>
      <c r="O1080" s="33">
        <f ca="1">+IFERROR(_xlfn.XLOOKUP(YEAR(O3),'Calculations (main)'!$H$133:$AD$133,'Calculations (main)'!$H$134:$AD$134),0)</f>
        <v>-449.18699316000016</v>
      </c>
      <c r="P1080" s="33">
        <f ca="1">+IFERROR(_xlfn.XLOOKUP(YEAR(P3),'Calculations (main)'!$H$133:$AD$133,'Calculations (main)'!$H$134:$AD$134),0)</f>
        <v>-511.89802836001638</v>
      </c>
      <c r="Q1080" s="33">
        <f ca="1">+IFERROR(_xlfn.XLOOKUP(YEAR(Q3),'Calculations (main)'!$H$133:$AD$133,'Calculations (main)'!$H$134:$AD$134),0)</f>
        <v>-611.66558436000662</v>
      </c>
      <c r="R1080" s="33">
        <f ca="1">+IFERROR(_xlfn.XLOOKUP(YEAR(R3),'Calculations (main)'!$H$133:$AD$133,'Calculations (main)'!$H$134:$AD$134),0)</f>
        <v>-711.43314035999674</v>
      </c>
      <c r="S1080" s="33">
        <f ca="1">+IFERROR(_xlfn.XLOOKUP(YEAR(S3),'Calculations (main)'!$H$133:$AD$133,'Calculations (main)'!$H$134:$AD$134),0)</f>
        <v>-811.20069636002768</v>
      </c>
      <c r="T1080" s="33">
        <f ca="1">+IFERROR(_xlfn.XLOOKUP(YEAR(T3),'Calculations (main)'!$H$133:$AD$133,'Calculations (main)'!$H$134:$AD$134),0)</f>
        <v>-910.96825236001791</v>
      </c>
      <c r="U1080" s="33">
        <f ca="1">+IFERROR(_xlfn.XLOOKUP(YEAR(U3),'Calculations (main)'!$H$133:$AD$133,'Calculations (main)'!$H$134:$AD$134),0)</f>
        <v>-1010.7358083600083</v>
      </c>
      <c r="V1080" s="33">
        <f ca="1">+IFERROR(_xlfn.XLOOKUP(YEAR(V3),'Calculations (main)'!$H$133:$AD$133,'Calculations (main)'!$H$134:$AD$134),0)</f>
        <v>-1053.4933323599996</v>
      </c>
      <c r="W1080" s="33">
        <f ca="1">+IFERROR(_xlfn.XLOOKUP(YEAR(W3),'Calculations (main)'!$H$133:$AD$133,'Calculations (main)'!$H$134:$AD$134),0)</f>
        <v>-1096.2508563600013</v>
      </c>
      <c r="X1080" s="33">
        <f ca="1">+IFERROR(_xlfn.XLOOKUP(YEAR(X3),'Calculations (main)'!$H$133:$AD$133,'Calculations (main)'!$H$134:$AD$134),0)</f>
        <v>-1139.008380360003</v>
      </c>
      <c r="Y1080" s="33">
        <f ca="1">+IFERROR(_xlfn.XLOOKUP(YEAR(Y3),'Calculations (main)'!$H$133:$AD$133,'Calculations (main)'!$H$134:$AD$134),0)</f>
        <v>-1181.7659043600045</v>
      </c>
      <c r="Z1080" s="33">
        <f ca="1">+IFERROR(_xlfn.XLOOKUP(YEAR(Z3),'Calculations (main)'!$H$133:$AD$133,'Calculations (main)'!$H$134:$AD$134),0)</f>
        <v>-1224.5234283599959</v>
      </c>
      <c r="AA1080" s="33">
        <f>+IFERROR(_xlfn.XLOOKUP(YEAR(AA3),'Calculations (main)'!$H$133:$AD$133,'Calculations (main)'!$H$134:$AD$134),0)</f>
        <v>0</v>
      </c>
      <c r="AB1080" s="33">
        <f>+IFERROR(_xlfn.XLOOKUP(YEAR(AB3),'Calculations (main)'!$H$133:$AD$133,'Calculations (main)'!$H$134:$AD$134),0)</f>
        <v>0</v>
      </c>
      <c r="AC1080" s="33">
        <f>+IFERROR(_xlfn.XLOOKUP(YEAR(AC3),'Calculations (main)'!$H$133:$AD$133,'Calculations (main)'!$H$134:$AD$134),0)</f>
        <v>0</v>
      </c>
      <c r="AD1080" s="33">
        <f>+IFERROR(_xlfn.XLOOKUP(YEAR(AD3),'Calculations (main)'!$H$133:$AD$133,'Calculations (main)'!$H$134:$AD$134),0)</f>
        <v>0</v>
      </c>
      <c r="AE1080" s="33">
        <f>+IFERROR(_xlfn.XLOOKUP(YEAR(AE3),'Calculations (main)'!$H$133:$AD$133,'Calculations (main)'!$H$134:$AD$134),0)</f>
        <v>0</v>
      </c>
      <c r="AF1080" s="33">
        <f>+IFERROR(_xlfn.XLOOKUP(YEAR(AF3),'Calculations (main)'!$H$133:$AD$133,'Calculations (main)'!$H$134:$AD$134),0)</f>
        <v>0</v>
      </c>
      <c r="AG1080" s="33">
        <f>+IFERROR(_xlfn.XLOOKUP(YEAR(AG3),'Calculations (main)'!$H$133:$AD$133,'Calculations (main)'!$H$134:$AD$134),0)</f>
        <v>0</v>
      </c>
      <c r="AH1080" s="33">
        <f>+IFERROR(_xlfn.XLOOKUP(YEAR(AH3),'Calculations (main)'!$H$133:$AD$133,'Calculations (main)'!$H$134:$AD$134),0)</f>
        <v>0</v>
      </c>
      <c r="AI1080" s="33">
        <f>+IFERROR(_xlfn.XLOOKUP(YEAR(AI3),'Calculations (main)'!$H$133:$AD$133,'Calculations (main)'!$H$134:$AD$134),0)</f>
        <v>0</v>
      </c>
      <c r="AJ1080" s="33">
        <f>+IFERROR(_xlfn.XLOOKUP(YEAR(AJ3),'Calculations (main)'!$H$133:$AD$133,'Calculations (main)'!$H$134:$AD$134),0)</f>
        <v>0</v>
      </c>
      <c r="AK1080" s="33">
        <f>+IFERROR(_xlfn.XLOOKUP(YEAR(AK3),'Calculations (main)'!$H$133:$AD$133,'Calculations (main)'!$H$134:$AD$134),0)</f>
        <v>0</v>
      </c>
      <c r="AL1080" s="33">
        <f>+IFERROR(_xlfn.XLOOKUP(YEAR(AL3),'Calculations (main)'!$H$133:$AD$133,'Calculations (main)'!$H$134:$AD$134),0)</f>
        <v>0</v>
      </c>
      <c r="AM1080" s="33">
        <f>+IFERROR(_xlfn.XLOOKUP(YEAR(AM3),'Calculations (main)'!$H$133:$AD$133,'Calculations (main)'!$H$134:$AD$134),0)</f>
        <v>0</v>
      </c>
      <c r="AN1080" s="33">
        <f>+IFERROR(_xlfn.XLOOKUP(YEAR(AN3),'Calculations (main)'!$H$133:$AD$133,'Calculations (main)'!$H$134:$AD$134),0)</f>
        <v>0</v>
      </c>
      <c r="AO1080" s="33">
        <f>+IFERROR(_xlfn.XLOOKUP(YEAR(AO3),'Calculations (main)'!$H$133:$AD$133,'Calculations (main)'!$H$134:$AD$134),0)</f>
        <v>0</v>
      </c>
      <c r="AP1080" s="33">
        <f>+IFERROR(_xlfn.XLOOKUP(YEAR(AP3),'Calculations (main)'!$H$133:$AD$133,'Calculations (main)'!$H$134:$AD$134),0)</f>
        <v>0</v>
      </c>
      <c r="AQ1080" s="33">
        <f>+IFERROR(_xlfn.XLOOKUP(YEAR(AQ3),'Calculations (main)'!$H$133:$AD$133,'Calculations (main)'!$H$134:$AD$134),0)</f>
        <v>0</v>
      </c>
      <c r="AR1080" s="33">
        <f>+IFERROR(_xlfn.XLOOKUP(YEAR(AR3),'Calculations (main)'!$H$133:$AD$133,'Calculations (main)'!$H$134:$AD$134),0)</f>
        <v>0</v>
      </c>
      <c r="AS1080" s="33">
        <f>+IFERROR(_xlfn.XLOOKUP(YEAR(AS3),'Calculations (main)'!$H$133:$AD$133,'Calculations (main)'!$H$134:$AD$134),0)</f>
        <v>0</v>
      </c>
      <c r="AT1080" s="33">
        <f>+IFERROR(_xlfn.XLOOKUP(YEAR(AT3),'Calculations (main)'!$H$133:$AD$133,'Calculations (main)'!$H$134:$AD$134),0)</f>
        <v>0</v>
      </c>
      <c r="AU1080" s="33">
        <f>+IFERROR(_xlfn.XLOOKUP(YEAR(AU3),'Calculations (main)'!$H$133:$AD$133,'Calculations (main)'!$H$134:$AD$134),0)</f>
        <v>0</v>
      </c>
      <c r="AV1080" s="33">
        <f>+IFERROR(_xlfn.XLOOKUP(YEAR(AV3),'Calculations (main)'!$H$133:$AD$133,'Calculations (main)'!$H$134:$AD$134),0)</f>
        <v>0</v>
      </c>
      <c r="AW1080" s="33">
        <f>+IFERROR(_xlfn.XLOOKUP(YEAR(AW3),'Calculations (main)'!$H$133:$AD$133,'Calculations (main)'!$H$134:$AD$134),0)</f>
        <v>0</v>
      </c>
      <c r="AX1080" s="33">
        <f>+IFERROR(_xlfn.XLOOKUP(YEAR(AX3),'Calculations (main)'!$H$133:$AD$133,'Calculations (main)'!$H$134:$AD$134),0)</f>
        <v>0</v>
      </c>
      <c r="AY1080" s="33">
        <f>+IFERROR(_xlfn.XLOOKUP(YEAR(AY3),'Calculations (main)'!$H$133:$AD$133,'Calculations (main)'!$H$134:$AD$134),0)</f>
        <v>0</v>
      </c>
      <c r="AZ1080" s="33">
        <f>+IFERROR(_xlfn.XLOOKUP(YEAR(AZ3),'Calculations (main)'!$H$133:$AD$133,'Calculations (main)'!$H$134:$AD$134),0)</f>
        <v>0</v>
      </c>
      <c r="BA1080" s="33">
        <f>+IFERROR(_xlfn.XLOOKUP(YEAR(BA3),'Calculations (main)'!$H$133:$AD$133,'Calculations (main)'!$H$134:$AD$134),0)</f>
        <v>0</v>
      </c>
      <c r="BB1080" s="33">
        <f>+IFERROR(_xlfn.XLOOKUP(YEAR(BB3),'Calculations (main)'!$H$133:$AD$133,'Calculations (main)'!$H$134:$AD$134),0)</f>
        <v>0</v>
      </c>
      <c r="BC1080" s="33">
        <f>+IFERROR(_xlfn.XLOOKUP(YEAR(BC3),'Calculations (main)'!$H$133:$AD$133,'Calculations (main)'!$H$134:$AD$134),0)</f>
        <v>0</v>
      </c>
      <c r="BD1080" s="33">
        <f>+IFERROR(_xlfn.XLOOKUP(YEAR(BD3),'Calculations (main)'!$H$133:$AD$133,'Calculations (main)'!$H$134:$AD$134),0)</f>
        <v>0</v>
      </c>
      <c r="BE1080" s="33">
        <f>+IFERROR(_xlfn.XLOOKUP(YEAR(BE3),'Calculations (main)'!$H$133:$AD$133,'Calculations (main)'!$H$134:$AD$134),0)</f>
        <v>0</v>
      </c>
      <c r="BF1080" s="33">
        <f>+IFERROR(_xlfn.XLOOKUP(YEAR(BF3),'Calculations (main)'!$H$133:$AD$133,'Calculations (main)'!$H$134:$AD$134),0)</f>
        <v>0</v>
      </c>
      <c r="BG1080" s="33">
        <f>+IFERROR(_xlfn.XLOOKUP(YEAR(BG3),'Calculations (main)'!$H$133:$AD$133,'Calculations (main)'!$H$134:$AD$134),0)</f>
        <v>0</v>
      </c>
      <c r="BH1080" s="33">
        <f>+IFERROR(_xlfn.XLOOKUP(YEAR(BH3),'Calculations (main)'!$H$133:$AD$133,'Calculations (main)'!$H$134:$AD$134),0)</f>
        <v>0</v>
      </c>
      <c r="BI1080" s="33">
        <f>+IFERROR(_xlfn.XLOOKUP(YEAR(BI3),'Calculations (main)'!$H$133:$AD$133,'Calculations (main)'!$H$134:$AD$134),0)</f>
        <v>0</v>
      </c>
      <c r="BJ1080" s="33">
        <f>+IFERROR(_xlfn.XLOOKUP(YEAR(BJ3),'Calculations (main)'!$H$133:$AD$133,'Calculations (main)'!$H$134:$AD$134),0)</f>
        <v>0</v>
      </c>
      <c r="BK1080" s="33">
        <f>+IFERROR(_xlfn.XLOOKUP(YEAR(BK3),'Calculations (main)'!$H$133:$AD$133,'Calculations (main)'!$H$134:$AD$134),0)</f>
        <v>0</v>
      </c>
      <c r="BL1080" s="33">
        <f>+IFERROR(_xlfn.XLOOKUP(YEAR(BL3),'Calculations (main)'!$H$133:$AD$133,'Calculations (main)'!$H$134:$AD$134),0)</f>
        <v>0</v>
      </c>
      <c r="BM1080" s="33">
        <f>+IFERROR(_xlfn.XLOOKUP(YEAR(BM3),'Calculations (main)'!$H$133:$AD$133,'Calculations (main)'!$H$134:$AD$134),0)</f>
        <v>0</v>
      </c>
      <c r="BN1080" s="33">
        <f>+IFERROR(_xlfn.XLOOKUP(YEAR(BN3),'Calculations (main)'!$H$133:$AD$133,'Calculations (main)'!$H$134:$AD$134),0)</f>
        <v>0</v>
      </c>
      <c r="BO1080" s="33">
        <f>+IFERROR(_xlfn.XLOOKUP(YEAR(BO3),'Calculations (main)'!$H$133:$AD$133,'Calculations (main)'!$H$134:$AD$134),0)</f>
        <v>0</v>
      </c>
      <c r="BP1080" s="33">
        <f>+IFERROR(_xlfn.XLOOKUP(YEAR(BP3),'Calculations (main)'!$H$133:$AD$133,'Calculations (main)'!$H$134:$AD$134),0)</f>
        <v>0</v>
      </c>
      <c r="BQ1080" s="33">
        <f>+IFERROR(_xlfn.XLOOKUP(YEAR(BQ3),'Calculations (main)'!$H$133:$AD$133,'Calculations (main)'!$H$134:$AD$134),0)</f>
        <v>0</v>
      </c>
      <c r="BR1080" s="33">
        <f>+IFERROR(_xlfn.XLOOKUP(YEAR(BR3),'Calculations (main)'!$H$133:$AD$133,'Calculations (main)'!$H$134:$AD$134),0)</f>
        <v>0</v>
      </c>
      <c r="BS1080" s="33">
        <f>+IFERROR(_xlfn.XLOOKUP(YEAR(BS3),'Calculations (main)'!$H$133:$AD$133,'Calculations (main)'!$H$134:$AD$134),0)</f>
        <v>0</v>
      </c>
      <c r="BT1080" s="33">
        <f>+IFERROR(_xlfn.XLOOKUP(YEAR(BT3),'Calculations (main)'!$H$133:$AD$133,'Calculations (main)'!$H$134:$AD$134),0)</f>
        <v>0</v>
      </c>
      <c r="BU1080" s="33">
        <f>+IFERROR(_xlfn.XLOOKUP(YEAR(BU3),'Calculations (main)'!$H$133:$AD$133,'Calculations (main)'!$H$134:$AD$134),0)</f>
        <v>0</v>
      </c>
      <c r="BV1080" s="33">
        <f>+IFERROR(_xlfn.XLOOKUP(YEAR(BV3),'Calculations (main)'!$H$133:$AD$133,'Calculations (main)'!$H$134:$AD$134),0)</f>
        <v>0</v>
      </c>
      <c r="BW1080" s="33">
        <f>+IFERROR(_xlfn.XLOOKUP(YEAR(BW3),'Calculations (main)'!$H$133:$AD$133,'Calculations (main)'!$H$134:$AD$134),0)</f>
        <v>0</v>
      </c>
      <c r="BX1080" s="33">
        <f>+IFERROR(_xlfn.XLOOKUP(YEAR(BX3),'Calculations (main)'!$H$133:$AD$133,'Calculations (main)'!$H$134:$AD$134),0)</f>
        <v>0</v>
      </c>
      <c r="BY1080" s="33">
        <f>+IFERROR(_xlfn.XLOOKUP(YEAR(BY3),'Calculations (main)'!$H$133:$AD$133,'Calculations (main)'!$H$134:$AD$134),0)</f>
        <v>0</v>
      </c>
    </row>
    <row r="1081" spans="5:77" outlineLevel="1">
      <c r="E1081" t="s">
        <v>546</v>
      </c>
      <c r="F1081" s="23" t="s">
        <v>136</v>
      </c>
      <c r="H1081" s="33">
        <f>+Assumptions!$H$370*H953/_xlfn.XLOOKUP("LSFO",Data_tables!$K:$K,Data_tables!$M:$M)*Assumptions!$H$268</f>
        <v>0</v>
      </c>
      <c r="I1081" s="33">
        <f>+Assumptions!$H$370*I953/_xlfn.XLOOKUP("LSFO",Data_tables!$K:$K,Data_tables!$M:$M)*Assumptions!$H$268</f>
        <v>0</v>
      </c>
      <c r="J1081" s="33">
        <f>+Assumptions!$H$370*J953/_xlfn.XLOOKUP("LSFO",Data_tables!$K:$K,Data_tables!$M:$M)*Assumptions!$H$268</f>
        <v>0</v>
      </c>
      <c r="K1081" s="33">
        <f>+Assumptions!$H$370*K953/_xlfn.XLOOKUP("LSFO",Data_tables!$K:$K,Data_tables!$M:$M)*Assumptions!$H$268</f>
        <v>4213.8197815533977</v>
      </c>
      <c r="L1081" s="33">
        <f>+Assumptions!$H$370*L953/_xlfn.XLOOKUP("LSFO",Data_tables!$K:$K,Data_tables!$M:$M)*Assumptions!$H$268</f>
        <v>4213.8197815533977</v>
      </c>
      <c r="M1081" s="33">
        <f>+Assumptions!$H$370*M953/_xlfn.XLOOKUP("LSFO",Data_tables!$K:$K,Data_tables!$M:$M)*Assumptions!$H$268</f>
        <v>4213.8197815533977</v>
      </c>
      <c r="N1081" s="33">
        <f>+Assumptions!$H$370*N953/_xlfn.XLOOKUP("LSFO",Data_tables!$K:$K,Data_tables!$M:$M)*Assumptions!$H$268</f>
        <v>4213.8197815533977</v>
      </c>
      <c r="O1081" s="33">
        <f>+Assumptions!$H$370*O953/_xlfn.XLOOKUP("LSFO",Data_tables!$K:$K,Data_tables!$M:$M)*Assumptions!$H$268</f>
        <v>4213.8197815533977</v>
      </c>
      <c r="P1081" s="33">
        <f>+Assumptions!$H$370*P953/_xlfn.XLOOKUP("LSFO",Data_tables!$K:$K,Data_tables!$M:$M)*Assumptions!$H$268</f>
        <v>4213.8197815533977</v>
      </c>
      <c r="Q1081" s="33">
        <f>+Assumptions!$H$370*Q953/_xlfn.XLOOKUP("LSFO",Data_tables!$K:$K,Data_tables!$M:$M)*Assumptions!$H$268</f>
        <v>4213.8197815533977</v>
      </c>
      <c r="R1081" s="33">
        <f>+Assumptions!$H$370*R953/_xlfn.XLOOKUP("LSFO",Data_tables!$K:$K,Data_tables!$M:$M)*Assumptions!$H$268</f>
        <v>4213.8197815533977</v>
      </c>
      <c r="S1081" s="33">
        <f>+Assumptions!$H$370*S953/_xlfn.XLOOKUP("LSFO",Data_tables!$K:$K,Data_tables!$M:$M)*Assumptions!$H$268</f>
        <v>4213.8197815533977</v>
      </c>
      <c r="T1081" s="33">
        <f>+Assumptions!$H$370*T953/_xlfn.XLOOKUP("LSFO",Data_tables!$K:$K,Data_tables!$M:$M)*Assumptions!$H$268</f>
        <v>4213.8197815533977</v>
      </c>
      <c r="U1081" s="33">
        <f>+Assumptions!$H$370*U953/_xlfn.XLOOKUP("LSFO",Data_tables!$K:$K,Data_tables!$M:$M)*Assumptions!$H$268</f>
        <v>4213.8197815533977</v>
      </c>
      <c r="V1081" s="33">
        <f>+Assumptions!$H$370*V953/_xlfn.XLOOKUP("LSFO",Data_tables!$K:$K,Data_tables!$M:$M)*Assumptions!$H$268</f>
        <v>4213.8197815533977</v>
      </c>
      <c r="W1081" s="33">
        <f>+Assumptions!$H$370*W953/_xlfn.XLOOKUP("LSFO",Data_tables!$K:$K,Data_tables!$M:$M)*Assumptions!$H$268</f>
        <v>4213.8197815533977</v>
      </c>
      <c r="X1081" s="33">
        <f>+Assumptions!$H$370*X953/_xlfn.XLOOKUP("LSFO",Data_tables!$K:$K,Data_tables!$M:$M)*Assumptions!$H$268</f>
        <v>4213.8197815533977</v>
      </c>
      <c r="Y1081" s="33">
        <f>+Assumptions!$H$370*Y953/_xlfn.XLOOKUP("LSFO",Data_tables!$K:$K,Data_tables!$M:$M)*Assumptions!$H$268</f>
        <v>4213.8197815533977</v>
      </c>
      <c r="Z1081" s="33">
        <f>+Assumptions!$H$370*Z953/_xlfn.XLOOKUP("LSFO",Data_tables!$K:$K,Data_tables!$M:$M)*Assumptions!$H$268</f>
        <v>0</v>
      </c>
      <c r="AA1081" s="33">
        <f>+Assumptions!$H$370*AA953/_xlfn.XLOOKUP("LSFO",Data_tables!$K:$K,Data_tables!$M:$M)*Assumptions!$H$268</f>
        <v>0</v>
      </c>
      <c r="AB1081" s="33">
        <f>+Assumptions!$H$370*AB953/_xlfn.XLOOKUP("LSFO",Data_tables!$K:$K,Data_tables!$M:$M)*Assumptions!$H$268</f>
        <v>0</v>
      </c>
      <c r="AC1081" s="33">
        <f>+Assumptions!$H$370*AC953/_xlfn.XLOOKUP("LSFO",Data_tables!$K:$K,Data_tables!$M:$M)*Assumptions!$H$268</f>
        <v>0</v>
      </c>
      <c r="AD1081" s="33">
        <f>+Assumptions!$H$370*AD953/_xlfn.XLOOKUP("LSFO",Data_tables!$K:$K,Data_tables!$M:$M)*Assumptions!$H$268</f>
        <v>0</v>
      </c>
      <c r="AE1081" s="33">
        <f>+Assumptions!$H$370*AE953/_xlfn.XLOOKUP("LSFO",Data_tables!$K:$K,Data_tables!$M:$M)*Assumptions!$H$268</f>
        <v>0</v>
      </c>
      <c r="AF1081" s="33">
        <f>+Assumptions!$H$370*AF953/_xlfn.XLOOKUP("LSFO",Data_tables!$K:$K,Data_tables!$M:$M)*Assumptions!$H$268</f>
        <v>0</v>
      </c>
      <c r="AG1081" s="33">
        <f>+Assumptions!$H$370*AG953/_xlfn.XLOOKUP("LSFO",Data_tables!$K:$K,Data_tables!$M:$M)*Assumptions!$H$268</f>
        <v>0</v>
      </c>
      <c r="AH1081" s="33">
        <f>+Assumptions!$H$370*AH953/_xlfn.XLOOKUP("LSFO",Data_tables!$K:$K,Data_tables!$M:$M)*Assumptions!$H$268</f>
        <v>0</v>
      </c>
      <c r="AI1081" s="33">
        <f>+Assumptions!$H$370*AI953/_xlfn.XLOOKUP("LSFO",Data_tables!$K:$K,Data_tables!$M:$M)*Assumptions!$H$268</f>
        <v>0</v>
      </c>
      <c r="AJ1081" s="33">
        <f>+Assumptions!$H$370*AJ953/_xlfn.XLOOKUP("LSFO",Data_tables!$K:$K,Data_tables!$M:$M)*Assumptions!$H$268</f>
        <v>0</v>
      </c>
      <c r="AK1081" s="33">
        <f>+Assumptions!$H$370*AK953/_xlfn.XLOOKUP("LSFO",Data_tables!$K:$K,Data_tables!$M:$M)*Assumptions!$H$268</f>
        <v>0</v>
      </c>
      <c r="AL1081" s="33">
        <f>+Assumptions!$H$370*AL953/_xlfn.XLOOKUP("LSFO",Data_tables!$K:$K,Data_tables!$M:$M)*Assumptions!$H$268</f>
        <v>0</v>
      </c>
      <c r="AM1081" s="33">
        <f>+Assumptions!$H$370*AM953/_xlfn.XLOOKUP("LSFO",Data_tables!$K:$K,Data_tables!$M:$M)*Assumptions!$H$268</f>
        <v>0</v>
      </c>
      <c r="AN1081" s="33">
        <f>+Assumptions!$H$370*AN953/_xlfn.XLOOKUP("LSFO",Data_tables!$K:$K,Data_tables!$M:$M)*Assumptions!$H$268</f>
        <v>0</v>
      </c>
      <c r="AO1081" s="33">
        <f>+Assumptions!$H$370*AO953/_xlfn.XLOOKUP("LSFO",Data_tables!$K:$K,Data_tables!$M:$M)*Assumptions!$H$268</f>
        <v>0</v>
      </c>
      <c r="AP1081" s="33">
        <f>+Assumptions!$H$370*AP953/_xlfn.XLOOKUP("LSFO",Data_tables!$K:$K,Data_tables!$M:$M)*Assumptions!$H$268</f>
        <v>0</v>
      </c>
      <c r="AQ1081" s="33">
        <f>+Assumptions!$H$370*AQ953/_xlfn.XLOOKUP("LSFO",Data_tables!$K:$K,Data_tables!$M:$M)*Assumptions!$H$268</f>
        <v>0</v>
      </c>
      <c r="AR1081" s="33">
        <f>+Assumptions!$H$370*AR953/_xlfn.XLOOKUP("LSFO",Data_tables!$K:$K,Data_tables!$M:$M)*Assumptions!$H$268</f>
        <v>0</v>
      </c>
      <c r="AS1081" s="33">
        <f>+Assumptions!$H$370*AS953/_xlfn.XLOOKUP("LSFO",Data_tables!$K:$K,Data_tables!$M:$M)*Assumptions!$H$268</f>
        <v>0</v>
      </c>
      <c r="AT1081" s="33">
        <f>+Assumptions!$H$370*AT953/_xlfn.XLOOKUP("LSFO",Data_tables!$K:$K,Data_tables!$M:$M)*Assumptions!$H$268</f>
        <v>0</v>
      </c>
      <c r="AU1081" s="33">
        <f>+Assumptions!$H$370*AU953/_xlfn.XLOOKUP("LSFO",Data_tables!$K:$K,Data_tables!$M:$M)*Assumptions!$H$268</f>
        <v>0</v>
      </c>
      <c r="AV1081" s="33">
        <f>+Assumptions!$H$370*AV953/_xlfn.XLOOKUP("LSFO",Data_tables!$K:$K,Data_tables!$M:$M)*Assumptions!$H$268</f>
        <v>0</v>
      </c>
      <c r="AW1081" s="33">
        <f>+Assumptions!$H$370*AW953/_xlfn.XLOOKUP("LSFO",Data_tables!$K:$K,Data_tables!$M:$M)*Assumptions!$H$268</f>
        <v>0</v>
      </c>
      <c r="AX1081" s="33">
        <f>+Assumptions!$H$370*AX953/_xlfn.XLOOKUP("LSFO",Data_tables!$K:$K,Data_tables!$M:$M)*Assumptions!$H$268</f>
        <v>0</v>
      </c>
      <c r="AY1081" s="33">
        <f>+Assumptions!$H$370*AY953/_xlfn.XLOOKUP("LSFO",Data_tables!$K:$K,Data_tables!$M:$M)*Assumptions!$H$268</f>
        <v>0</v>
      </c>
      <c r="AZ1081" s="33">
        <f>+Assumptions!$H$370*AZ953/_xlfn.XLOOKUP("LSFO",Data_tables!$K:$K,Data_tables!$M:$M)*Assumptions!$H$268</f>
        <v>0</v>
      </c>
      <c r="BA1081" s="33">
        <f>+Assumptions!$H$370*BA953/_xlfn.XLOOKUP("LSFO",Data_tables!$K:$K,Data_tables!$M:$M)*Assumptions!$H$268</f>
        <v>0</v>
      </c>
      <c r="BB1081" s="33">
        <f>+Assumptions!$H$370*BB953/_xlfn.XLOOKUP("LSFO",Data_tables!$K:$K,Data_tables!$M:$M)*Assumptions!$H$268</f>
        <v>0</v>
      </c>
      <c r="BC1081" s="33">
        <f>+Assumptions!$H$370*BC953/_xlfn.XLOOKUP("LSFO",Data_tables!$K:$K,Data_tables!$M:$M)*Assumptions!$H$268</f>
        <v>0</v>
      </c>
      <c r="BD1081" s="33">
        <f>+Assumptions!$H$370*BD953/_xlfn.XLOOKUP("LSFO",Data_tables!$K:$K,Data_tables!$M:$M)*Assumptions!$H$268</f>
        <v>0</v>
      </c>
      <c r="BE1081" s="33">
        <f>+Assumptions!$H$370*BE953/_xlfn.XLOOKUP("LSFO",Data_tables!$K:$K,Data_tables!$M:$M)*Assumptions!$H$268</f>
        <v>0</v>
      </c>
      <c r="BF1081" s="33">
        <f>+Assumptions!$H$370*BF953/_xlfn.XLOOKUP("LSFO",Data_tables!$K:$K,Data_tables!$M:$M)*Assumptions!$H$268</f>
        <v>0</v>
      </c>
      <c r="BG1081" s="33">
        <f>+Assumptions!$H$370*BG953/_xlfn.XLOOKUP("LSFO",Data_tables!$K:$K,Data_tables!$M:$M)*Assumptions!$H$268</f>
        <v>0</v>
      </c>
      <c r="BH1081" s="33">
        <f>+Assumptions!$H$370*BH953/_xlfn.XLOOKUP("LSFO",Data_tables!$K:$K,Data_tables!$M:$M)*Assumptions!$H$268</f>
        <v>0</v>
      </c>
      <c r="BI1081" s="33">
        <f>+Assumptions!$H$370*BI953/_xlfn.XLOOKUP("LSFO",Data_tables!$K:$K,Data_tables!$M:$M)*Assumptions!$H$268</f>
        <v>0</v>
      </c>
      <c r="BJ1081" s="33">
        <f>+Assumptions!$H$370*BJ953/_xlfn.XLOOKUP("LSFO",Data_tables!$K:$K,Data_tables!$M:$M)*Assumptions!$H$268</f>
        <v>0</v>
      </c>
      <c r="BK1081" s="33">
        <f>+Assumptions!$H$370*BK953/_xlfn.XLOOKUP("LSFO",Data_tables!$K:$K,Data_tables!$M:$M)*Assumptions!$H$268</f>
        <v>0</v>
      </c>
      <c r="BL1081" s="33">
        <f>+Assumptions!$H$370*BL953/_xlfn.XLOOKUP("LSFO",Data_tables!$K:$K,Data_tables!$M:$M)*Assumptions!$H$268</f>
        <v>0</v>
      </c>
      <c r="BM1081" s="33">
        <f>+Assumptions!$H$370*BM953/_xlfn.XLOOKUP("LSFO",Data_tables!$K:$K,Data_tables!$M:$M)*Assumptions!$H$268</f>
        <v>0</v>
      </c>
      <c r="BN1081" s="33">
        <f>+Assumptions!$H$370*BN953/_xlfn.XLOOKUP("LSFO",Data_tables!$K:$K,Data_tables!$M:$M)*Assumptions!$H$268</f>
        <v>0</v>
      </c>
      <c r="BO1081" s="33">
        <f>+Assumptions!$H$370*BO953/_xlfn.XLOOKUP("LSFO",Data_tables!$K:$K,Data_tables!$M:$M)*Assumptions!$H$268</f>
        <v>0</v>
      </c>
      <c r="BP1081" s="33">
        <f>+Assumptions!$H$370*BP953/_xlfn.XLOOKUP("LSFO",Data_tables!$K:$K,Data_tables!$M:$M)*Assumptions!$H$268</f>
        <v>0</v>
      </c>
      <c r="BQ1081" s="33">
        <f>+Assumptions!$H$370*BQ953/_xlfn.XLOOKUP("LSFO",Data_tables!$K:$K,Data_tables!$M:$M)*Assumptions!$H$268</f>
        <v>0</v>
      </c>
      <c r="BR1081" s="33">
        <f>+Assumptions!$H$370*BR953/_xlfn.XLOOKUP("LSFO",Data_tables!$K:$K,Data_tables!$M:$M)*Assumptions!$H$268</f>
        <v>0</v>
      </c>
      <c r="BS1081" s="33">
        <f>+Assumptions!$H$370*BS953/_xlfn.XLOOKUP("LSFO",Data_tables!$K:$K,Data_tables!$M:$M)*Assumptions!$H$268</f>
        <v>0</v>
      </c>
      <c r="BT1081" s="33">
        <f>+Assumptions!$H$370*BT953/_xlfn.XLOOKUP("LSFO",Data_tables!$K:$K,Data_tables!$M:$M)*Assumptions!$H$268</f>
        <v>0</v>
      </c>
      <c r="BU1081" s="33">
        <f>+Assumptions!$H$370*BU953/_xlfn.XLOOKUP("LSFO",Data_tables!$K:$K,Data_tables!$M:$M)*Assumptions!$H$268</f>
        <v>0</v>
      </c>
      <c r="BV1081" s="33">
        <f>+Assumptions!$H$370*BV953/_xlfn.XLOOKUP("LSFO",Data_tables!$K:$K,Data_tables!$M:$M)*Assumptions!$H$268</f>
        <v>0</v>
      </c>
      <c r="BW1081" s="33">
        <f>+Assumptions!$H$370*BW953/_xlfn.XLOOKUP("LSFO",Data_tables!$K:$K,Data_tables!$M:$M)*Assumptions!$H$268</f>
        <v>0</v>
      </c>
      <c r="BX1081" s="33">
        <f>+Assumptions!$H$370*BX953/_xlfn.XLOOKUP("LSFO",Data_tables!$K:$K,Data_tables!$M:$M)*Assumptions!$H$268</f>
        <v>0</v>
      </c>
      <c r="BY1081" s="33">
        <f>+Assumptions!$H$370*BY953/_xlfn.XLOOKUP("LSFO",Data_tables!$K:$K,Data_tables!$M:$M)*Assumptions!$H$268</f>
        <v>0</v>
      </c>
    </row>
    <row r="1082" spans="5:77" outlineLevel="1">
      <c r="E1082" t="s">
        <v>547</v>
      </c>
      <c r="F1082" s="23" t="s">
        <v>159</v>
      </c>
      <c r="H1082" s="103">
        <f>+H1080*H1081</f>
        <v>0</v>
      </c>
      <c r="I1082" s="103">
        <f t="shared" ref="I1082:BT1082" ca="1" si="2177">+I1080*I1081</f>
        <v>0</v>
      </c>
      <c r="J1082" s="103">
        <f t="shared" ca="1" si="2177"/>
        <v>0</v>
      </c>
      <c r="K1082" s="103">
        <f ca="1">+K1080*K1081</f>
        <v>-835781.0348042933</v>
      </c>
      <c r="L1082" s="103">
        <f t="shared" ca="1" si="2177"/>
        <v>-1100034.0354517447</v>
      </c>
      <c r="M1082" s="103">
        <f t="shared" ca="1" si="2177"/>
        <v>-1364287.0360991966</v>
      </c>
      <c r="N1082" s="103">
        <f t="shared" ca="1" si="2177"/>
        <v>-1628540.0367466479</v>
      </c>
      <c r="O1082" s="103">
        <f t="shared" ca="1" si="2177"/>
        <v>-1892793.0373940994</v>
      </c>
      <c r="P1082" s="103">
        <f t="shared" ca="1" si="2177"/>
        <v>-2157046.0380416191</v>
      </c>
      <c r="Q1082" s="103">
        <f t="shared" ca="1" si="2177"/>
        <v>-2577448.5390716144</v>
      </c>
      <c r="R1082" s="103">
        <f t="shared" ca="1" si="2177"/>
        <v>-2997851.0401016092</v>
      </c>
      <c r="S1082" s="103">
        <f t="shared" ca="1" si="2177"/>
        <v>-3418253.5411317758</v>
      </c>
      <c r="T1082" s="103">
        <f t="shared" ca="1" si="2177"/>
        <v>-3838656.0421617711</v>
      </c>
      <c r="U1082" s="103">
        <f t="shared" ca="1" si="2177"/>
        <v>-4259058.5431917664</v>
      </c>
      <c r="V1082" s="103">
        <f t="shared" ca="1" si="2177"/>
        <v>-4439231.0436331742</v>
      </c>
      <c r="W1082" s="103">
        <f t="shared" ca="1" si="2177"/>
        <v>-4619403.5440746257</v>
      </c>
      <c r="X1082" s="103">
        <f t="shared" ca="1" si="2177"/>
        <v>-4799576.0445160773</v>
      </c>
      <c r="Y1082" s="103">
        <f t="shared" ca="1" si="2177"/>
        <v>-4979748.5449575279</v>
      </c>
      <c r="Z1082" s="103">
        <f t="shared" ca="1" si="2177"/>
        <v>0</v>
      </c>
      <c r="AA1082" s="103">
        <f t="shared" si="2177"/>
        <v>0</v>
      </c>
      <c r="AB1082" s="103">
        <f t="shared" si="2177"/>
        <v>0</v>
      </c>
      <c r="AC1082" s="103">
        <f t="shared" si="2177"/>
        <v>0</v>
      </c>
      <c r="AD1082" s="103">
        <f t="shared" si="2177"/>
        <v>0</v>
      </c>
      <c r="AE1082" s="103">
        <f t="shared" si="2177"/>
        <v>0</v>
      </c>
      <c r="AF1082" s="103">
        <f t="shared" si="2177"/>
        <v>0</v>
      </c>
      <c r="AG1082" s="103">
        <f t="shared" si="2177"/>
        <v>0</v>
      </c>
      <c r="AH1082" s="103">
        <f t="shared" si="2177"/>
        <v>0</v>
      </c>
      <c r="AI1082" s="103">
        <f t="shared" si="2177"/>
        <v>0</v>
      </c>
      <c r="AJ1082" s="103">
        <f t="shared" si="2177"/>
        <v>0</v>
      </c>
      <c r="AK1082" s="103">
        <f t="shared" si="2177"/>
        <v>0</v>
      </c>
      <c r="AL1082" s="103">
        <f t="shared" si="2177"/>
        <v>0</v>
      </c>
      <c r="AM1082" s="103">
        <f t="shared" si="2177"/>
        <v>0</v>
      </c>
      <c r="AN1082" s="103">
        <f t="shared" si="2177"/>
        <v>0</v>
      </c>
      <c r="AO1082" s="103">
        <f t="shared" si="2177"/>
        <v>0</v>
      </c>
      <c r="AP1082" s="103">
        <f t="shared" si="2177"/>
        <v>0</v>
      </c>
      <c r="AQ1082" s="103">
        <f t="shared" si="2177"/>
        <v>0</v>
      </c>
      <c r="AR1082" s="103">
        <f t="shared" si="2177"/>
        <v>0</v>
      </c>
      <c r="AS1082" s="103">
        <f t="shared" si="2177"/>
        <v>0</v>
      </c>
      <c r="AT1082" s="103">
        <f t="shared" si="2177"/>
        <v>0</v>
      </c>
      <c r="AU1082" s="103">
        <f t="shared" si="2177"/>
        <v>0</v>
      </c>
      <c r="AV1082" s="103">
        <f t="shared" si="2177"/>
        <v>0</v>
      </c>
      <c r="AW1082" s="103">
        <f t="shared" si="2177"/>
        <v>0</v>
      </c>
      <c r="AX1082" s="103">
        <f t="shared" si="2177"/>
        <v>0</v>
      </c>
      <c r="AY1082" s="103">
        <f t="shared" si="2177"/>
        <v>0</v>
      </c>
      <c r="AZ1082" s="103">
        <f t="shared" si="2177"/>
        <v>0</v>
      </c>
      <c r="BA1082" s="103">
        <f t="shared" si="2177"/>
        <v>0</v>
      </c>
      <c r="BB1082" s="103">
        <f t="shared" si="2177"/>
        <v>0</v>
      </c>
      <c r="BC1082" s="103">
        <f t="shared" si="2177"/>
        <v>0</v>
      </c>
      <c r="BD1082" s="103">
        <f t="shared" si="2177"/>
        <v>0</v>
      </c>
      <c r="BE1082" s="103">
        <f t="shared" si="2177"/>
        <v>0</v>
      </c>
      <c r="BF1082" s="103">
        <f t="shared" si="2177"/>
        <v>0</v>
      </c>
      <c r="BG1082" s="103">
        <f t="shared" si="2177"/>
        <v>0</v>
      </c>
      <c r="BH1082" s="103">
        <f t="shared" si="2177"/>
        <v>0</v>
      </c>
      <c r="BI1082" s="103">
        <f t="shared" si="2177"/>
        <v>0</v>
      </c>
      <c r="BJ1082" s="103">
        <f t="shared" si="2177"/>
        <v>0</v>
      </c>
      <c r="BK1082" s="103">
        <f t="shared" si="2177"/>
        <v>0</v>
      </c>
      <c r="BL1082" s="103">
        <f t="shared" si="2177"/>
        <v>0</v>
      </c>
      <c r="BM1082" s="103">
        <f t="shared" si="2177"/>
        <v>0</v>
      </c>
      <c r="BN1082" s="103">
        <f t="shared" si="2177"/>
        <v>0</v>
      </c>
      <c r="BO1082" s="103">
        <f t="shared" si="2177"/>
        <v>0</v>
      </c>
      <c r="BP1082" s="103">
        <f t="shared" si="2177"/>
        <v>0</v>
      </c>
      <c r="BQ1082" s="103">
        <f t="shared" si="2177"/>
        <v>0</v>
      </c>
      <c r="BR1082" s="103">
        <f t="shared" si="2177"/>
        <v>0</v>
      </c>
      <c r="BS1082" s="103">
        <f t="shared" si="2177"/>
        <v>0</v>
      </c>
      <c r="BT1082" s="103">
        <f t="shared" si="2177"/>
        <v>0</v>
      </c>
      <c r="BU1082" s="103">
        <f t="shared" ref="BU1082:BY1082" si="2178">+BU1080*BU1081</f>
        <v>0</v>
      </c>
      <c r="BV1082" s="103">
        <f t="shared" si="2178"/>
        <v>0</v>
      </c>
      <c r="BW1082" s="103">
        <f t="shared" si="2178"/>
        <v>0</v>
      </c>
      <c r="BX1082" s="103">
        <f t="shared" si="2178"/>
        <v>0</v>
      </c>
      <c r="BY1082" s="103">
        <f t="shared" si="2178"/>
        <v>0</v>
      </c>
    </row>
    <row r="1083" spans="5:77" outlineLevel="1">
      <c r="E1083" s="25" t="s">
        <v>243</v>
      </c>
      <c r="F1083" s="81" t="s">
        <v>423</v>
      </c>
      <c r="G1083" s="25"/>
      <c r="H1083" s="100">
        <f ca="1">1/(1+Assumptions!$H$356)*IF(G1083=0,1,G1083)</f>
        <v>0.95979422011920645</v>
      </c>
      <c r="I1083" s="100">
        <f ca="1">1/(1+Assumptions!$H$356)*IF(H1083=0,1,H1083)</f>
        <v>0.92120494497423577</v>
      </c>
      <c r="J1083" s="100">
        <f ca="1">1/(1+Assumptions!$H$356)*IF(I1083=0,1,I1083)</f>
        <v>0.8841671817315031</v>
      </c>
      <c r="K1083" s="100">
        <f ca="1">1/(1+Assumptions!$H$356)*IF(J1083=0,1,J1083)</f>
        <v>0.8486185506449847</v>
      </c>
      <c r="L1083" s="100">
        <f ca="1">1/(1+Assumptions!$H$356)*IF(K1083=0,1,K1083)</f>
        <v>0.81449917999499444</v>
      </c>
      <c r="M1083" s="100">
        <f ca="1">1/(1+Assumptions!$H$356)*IF(L1083=0,1,L1083)</f>
        <v>0.78175160525102882</v>
      </c>
      <c r="N1083" s="100">
        <f ca="1">1/(1+Assumptions!$H$356)*IF(M1083=0,1,M1083)</f>
        <v>0.75032067228884891</v>
      </c>
      <c r="O1083" s="100">
        <f ca="1">1/(1+Assumptions!$H$356)*IF(N1083=0,1,N1083)</f>
        <v>0.72015344449879437</v>
      </c>
      <c r="P1083" s="100">
        <f ca="1">1/(1+Assumptions!$H$356)*IF(O1083=0,1,O1083)</f>
        <v>0.69119911362888053</v>
      </c>
      <c r="Q1083" s="100">
        <f ca="1">1/(1+Assumptions!$H$356)*IF(P1083=0,1,P1083)</f>
        <v>0.66340891421251813</v>
      </c>
      <c r="R1083" s="100">
        <f ca="1">1/(1+Assumptions!$H$356)*IF(Q1083=0,1,Q1083)</f>
        <v>0.63673604143673335</v>
      </c>
      <c r="S1083" s="100">
        <f ca="1">1/(1+Assumptions!$H$356)*IF(R1083=0,1,R1083)</f>
        <v>0.61113557231256022</v>
      </c>
      <c r="T1083" s="100">
        <f ca="1">1/(1+Assumptions!$H$356)*IF(S1083=0,1,S1083)</f>
        <v>0.58656439001483862</v>
      </c>
      <c r="U1083" s="100">
        <f ca="1">1/(1+Assumptions!$H$356)*IF(T1083=0,1,T1083)</f>
        <v>0.56298111126399009</v>
      </c>
      <c r="V1083" s="100">
        <f ca="1">1/(1+Assumptions!$H$356)*IF(U1083=0,1,U1083)</f>
        <v>0.54034601662746551</v>
      </c>
      <c r="W1083" s="100">
        <f ca="1">1/(1+Assumptions!$H$356)*IF(V1083=0,1,V1083)</f>
        <v>0.51862098362347797</v>
      </c>
      <c r="X1083" s="100">
        <f ca="1">1/(1+Assumptions!$H$356)*IF(W1083=0,1,W1083)</f>
        <v>0.4977694225143518</v>
      </c>
      <c r="Y1083" s="100">
        <f ca="1">1/(1+Assumptions!$H$356)*IF(X1083=0,1,X1083)</f>
        <v>0.47775621468135004</v>
      </c>
      <c r="Z1083" s="100">
        <f ca="1">1/(1+Assumptions!$H$356)*IF(Y1083=0,1,Y1083)</f>
        <v>0.45854765347719056</v>
      </c>
      <c r="AA1083" s="100">
        <f ca="1">1/(1+Assumptions!$H$356)*IF(Z1083=0,1,Z1083)</f>
        <v>0.44011138745663225</v>
      </c>
      <c r="AB1083" s="100">
        <f ca="1">1/(1+Assumptions!$H$356)*IF(AA1083=0,1,AA1083)</f>
        <v>0.42241636588952025</v>
      </c>
      <c r="AC1083" s="100">
        <f ca="1">1/(1+Assumptions!$H$356)*IF(AB1083=0,1,AB1083)</f>
        <v>0.40543278646452147</v>
      </c>
      <c r="AD1083" s="100">
        <f ca="1">1/(1+Assumptions!$H$356)*IF(AC1083=0,1,AC1083)</f>
        <v>0.38913204509547217</v>
      </c>
      <c r="AE1083" s="100">
        <f ca="1">1/(1+Assumptions!$H$356)*IF(AD1083=0,1,AD1083)</f>
        <v>0.37348668774580057</v>
      </c>
      <c r="AF1083" s="100">
        <f ca="1">1/(1+Assumptions!$H$356)*IF(AE1083=0,1,AE1083)</f>
        <v>0.35847036418988626</v>
      </c>
      <c r="AG1083" s="100">
        <f ca="1">1/(1+Assumptions!$H$356)*IF(AF1083=0,1,AF1083)</f>
        <v>0.34405778363347977</v>
      </c>
      <c r="AH1083" s="100">
        <f ca="1">1/(1+Assumptions!$H$356)*IF(AG1083=0,1,AG1083)</f>
        <v>0.33022467211843837</v>
      </c>
      <c r="AI1083" s="100">
        <f ca="1">1/(1+Assumptions!$H$356)*IF(AH1083=0,1,AH1083)</f>
        <v>0.3169477316400372</v>
      </c>
      <c r="AJ1083" s="100">
        <f ca="1">1/(1+Assumptions!$H$356)*IF(AI1083=0,1,AI1083)</f>
        <v>0.30420460090800105</v>
      </c>
      <c r="AK1083" s="100">
        <f ca="1">1/(1+Assumptions!$H$356)*IF(AJ1083=0,1,AJ1083)</f>
        <v>0.29197381768516933</v>
      </c>
      <c r="AL1083" s="100">
        <f ca="1">1/(1+Assumptions!$H$356)*IF(AK1083=0,1,AK1083)</f>
        <v>0.28023478264036444</v>
      </c>
      <c r="AM1083" s="100">
        <f ca="1">1/(1+Assumptions!$H$356)*IF(AL1083=0,1,AL1083)</f>
        <v>0.26896772465458391</v>
      </c>
      <c r="AN1083" s="100">
        <f ca="1">1/(1+Assumptions!$H$356)*IF(AM1083=0,1,AM1083)</f>
        <v>0.2581536675220838</v>
      </c>
      <c r="AO1083" s="100">
        <f ca="1">1/(1+Assumptions!$H$356)*IF(AN1083=0,1,AN1083)</f>
        <v>0.24777439799027134</v>
      </c>
      <c r="AP1083" s="100">
        <f ca="1">1/(1+Assumptions!$H$356)*IF(AO1083=0,1,AO1083)</f>
        <v>0.23781243508457836</v>
      </c>
      <c r="AQ1083" s="100">
        <f ca="1">1/(1+Assumptions!$H$356)*IF(AP1083=0,1,AP1083)</f>
        <v>0.2282510006666523</v>
      </c>
      <c r="AR1083" s="100">
        <f ca="1">1/(1+Assumptions!$H$356)*IF(AQ1083=0,1,AQ1083)</f>
        <v>0.21907399117627802</v>
      </c>
      <c r="AS1083" s="100">
        <f ca="1">1/(1+Assumptions!$H$356)*IF(AR1083=0,1,AR1083)</f>
        <v>0.21026595050943767</v>
      </c>
      <c r="AT1083" s="100">
        <f ca="1">1/(1+Assumptions!$H$356)*IF(AS1083=0,1,AS1083)</f>
        <v>0.20181204398682939</v>
      </c>
      <c r="AU1083" s="100">
        <f ca="1">1/(1+Assumptions!$H$356)*IF(AT1083=0,1,AT1083)</f>
        <v>0.1936980333690019</v>
      </c>
      <c r="AV1083" s="100">
        <f ca="1">1/(1+Assumptions!$H$356)*IF(AU1083=0,1,AU1083)</f>
        <v>0.18591025287602522</v>
      </c>
      <c r="AW1083" s="100">
        <f ca="1">1/(1+Assumptions!$H$356)*IF(AV1083=0,1,AV1083)</f>
        <v>0.17843558617130909</v>
      </c>
      <c r="AX1083" s="100">
        <f ca="1">1/(1+Assumptions!$H$356)*IF(AW1083=0,1,AW1083)</f>
        <v>0.17126144427080506</v>
      </c>
      <c r="AY1083" s="100">
        <f ca="1">1/(1+Assumptions!$H$356)*IF(AX1083=0,1,AX1083)</f>
        <v>0.16437574434038627</v>
      </c>
      <c r="AZ1083" s="100">
        <f ca="1">1/(1+Assumptions!$H$356)*IF(AY1083=0,1,AY1083)</f>
        <v>0.1577668893456951</v>
      </c>
      <c r="BA1083" s="100">
        <f ca="1">1/(1+Assumptions!$H$356)*IF(AZ1083=0,1,AZ1083)</f>
        <v>0.15142374852018459</v>
      </c>
      <c r="BB1083" s="100">
        <f ca="1">1/(1+Assumptions!$H$356)*IF(BA1083=0,1,BA1083)</f>
        <v>0.14533563861845741</v>
      </c>
      <c r="BC1083" s="100">
        <f ca="1">1/(1+Assumptions!$H$356)*IF(BB1083=0,1,BB1083)</f>
        <v>0.13949230592332915</v>
      </c>
      <c r="BD1083" s="100">
        <f ca="1">1/(1+Assumptions!$H$356)*IF(BC1083=0,1,BC1083)</f>
        <v>0.13388390897631147</v>
      </c>
      <c r="BE1083" s="100">
        <f ca="1">1/(1+Assumptions!$H$356)*IF(BD1083=0,1,BD1083)</f>
        <v>0.1285010020024297</v>
      </c>
      <c r="BF1083" s="100">
        <f ca="1">1/(1+Assumptions!$H$356)*IF(BE1083=0,1,BE1083)</f>
        <v>0.1233345190014586</v>
      </c>
      <c r="BG1083" s="100">
        <f ca="1">1/(1+Assumptions!$H$356)*IF(BF1083=0,1,BF1083)</f>
        <v>0.11837575847878241</v>
      </c>
      <c r="BH1083" s="100">
        <f ca="1">1/(1+Assumptions!$H$356)*IF(BG1083=0,1,BG1083)</f>
        <v>0.11361636879016251</v>
      </c>
      <c r="BI1083" s="100">
        <f ca="1">1/(1+Assumptions!$H$356)*IF(BH1083=0,1,BH1083)</f>
        <v>0.10904833407573018</v>
      </c>
      <c r="BJ1083" s="100">
        <f ca="1">1/(1+Assumptions!$H$356)*IF(BI1083=0,1,BI1083)</f>
        <v>0.10466396075951413</v>
      </c>
      <c r="BK1083" s="100">
        <f ca="1">1/(1+Assumptions!$H$356)*IF(BJ1083=0,1,BJ1083)</f>
        <v>0.10045586459176509</v>
      </c>
      <c r="BL1083" s="100">
        <f ca="1">1/(1+Assumptions!$H$356)*IF(BK1083=0,1,BK1083)</f>
        <v>9.6416958212253781E-2</v>
      </c>
      <c r="BM1083" s="100">
        <f ca="1">1/(1+Assumptions!$H$356)*IF(BL1083=0,1,BL1083)</f>
        <v>9.254043921359624E-2</v>
      </c>
      <c r="BN1083" s="100">
        <f ca="1">1/(1+Assumptions!$H$356)*IF(BM1083=0,1,BM1083)</f>
        <v>8.8819778684502429E-2</v>
      </c>
      <c r="BO1083" s="100">
        <f ca="1">1/(1+Assumptions!$H$356)*IF(BN1083=0,1,BN1083)</f>
        <v>8.5248710213652532E-2</v>
      </c>
      <c r="BP1083" s="100">
        <f ca="1">1/(1+Assumptions!$H$356)*IF(BO1083=0,1,BO1083)</f>
        <v>8.1821219335680859E-2</v>
      </c>
      <c r="BQ1083" s="100">
        <f ca="1">1/(1+Assumptions!$H$356)*IF(BP1083=0,1,BP1083)</f>
        <v>7.853153340149234E-2</v>
      </c>
      <c r="BR1083" s="100">
        <f ca="1">1/(1+Assumptions!$H$356)*IF(BQ1083=0,1,BQ1083)</f>
        <v>7.5374111855850759E-2</v>
      </c>
      <c r="BS1083" s="100">
        <f ca="1">1/(1+Assumptions!$H$356)*IF(BR1083=0,1,BR1083)</f>
        <v>7.2343636905864109E-2</v>
      </c>
      <c r="BT1083" s="100">
        <f ca="1">1/(1+Assumptions!$H$356)*IF(BS1083=0,1,BS1083)</f>
        <v>6.943500456465089E-2</v>
      </c>
      <c r="BU1083" s="100">
        <f ca="1">1/(1+Assumptions!$H$356)*IF(BT1083=0,1,BT1083)</f>
        <v>6.6643316055102639E-2</v>
      </c>
      <c r="BV1083" s="100">
        <f ca="1">1/(1+Assumptions!$H$356)*IF(BU1083=0,1,BU1083)</f>
        <v>6.396386955926503E-2</v>
      </c>
      <c r="BW1083" s="100">
        <f ca="1">1/(1+Assumptions!$H$356)*IF(BV1083=0,1,BV1083)</f>
        <v>6.1392152299441428E-2</v>
      </c>
      <c r="BX1083" s="100">
        <f ca="1">1/(1+Assumptions!$H$356)*IF(BW1083=0,1,BW1083)</f>
        <v>5.8923832937681934E-2</v>
      </c>
      <c r="BY1083" s="100">
        <f ca="1">1/(1+Assumptions!$H$356)*IF(BX1083=0,1,BX1083)</f>
        <v>5.6554754280856843E-2</v>
      </c>
    </row>
    <row r="1084" spans="5:77" outlineLevel="1">
      <c r="E1084" t="s">
        <v>548</v>
      </c>
      <c r="F1084" s="80" t="s">
        <v>549</v>
      </c>
      <c r="H1084" s="33">
        <f ca="1">+IF(Assumptions!$H$376="Yes",H1083*H1082,0)</f>
        <v>0</v>
      </c>
      <c r="I1084" s="33">
        <f ca="1">+IF(Assumptions!$H$376="Yes",I1083*I1082,0)</f>
        <v>0</v>
      </c>
      <c r="J1084" s="33">
        <f ca="1">+IF(Assumptions!$H$376="Yes",J1083*J1082,0)</f>
        <v>0</v>
      </c>
      <c r="K1084" s="33">
        <f ca="1">+IF(Assumptions!$H$376="Yes",K1083*K1082,0)</f>
        <v>-709259.2904121849</v>
      </c>
      <c r="L1084" s="33">
        <f ca="1">+IF(Assumptions!$H$376="Yes",L1083*L1082,0)</f>
        <v>-895976.81984203064</v>
      </c>
      <c r="M1084" s="33">
        <f ca="1">+IF(Assumptions!$H$376="Yes",M1083*M1082,0)</f>
        <v>-1066533.5804937154</v>
      </c>
      <c r="N1084" s="33">
        <f ca="1">+IF(Assumptions!$H$376="Yes",N1083*N1082,0)</f>
        <v>-1221927.2552210516</v>
      </c>
      <c r="O1084" s="33">
        <f ca="1">+IF(Assumptions!$H$376="Yes",O1083*O1082,0)</f>
        <v>-1363101.4256026959</v>
      </c>
      <c r="P1084" s="33">
        <f ca="1">+IF(Assumptions!$H$376="Yes",P1083*P1082,0)</f>
        <v>-1490948.3095510555</v>
      </c>
      <c r="Q1084" s="33">
        <f ca="1">+IF(Assumptions!$H$376="Yes",Q1083*Q1082,0)</f>
        <v>-1709902.3367441408</v>
      </c>
      <c r="R1084" s="33">
        <f ca="1">+IF(Assumptions!$H$376="Yes",R1083*R1082,0)</f>
        <v>-1908839.8040912924</v>
      </c>
      <c r="S1084" s="33">
        <f ca="1">+IF(Assumptions!$H$376="Yes",S1083*S1082,0)</f>
        <v>-2089016.3341690034</v>
      </c>
      <c r="T1084" s="33">
        <f ca="1">+IF(Assumptions!$H$376="Yes",T1083*T1082,0)</f>
        <v>-2251618.9398473939</v>
      </c>
      <c r="U1084" s="33">
        <f ca="1">+IF(Assumptions!$H$376="Yes",U1083*U1082,0)</f>
        <v>-2397769.5115844915</v>
      </c>
      <c r="V1084" s="33">
        <f ca="1">+IF(Assumptions!$H$376="Yes",V1083*V1082,0)</f>
        <v>-2398720.8113161721</v>
      </c>
      <c r="W1084" s="33">
        <f ca="1">+IF(Assumptions!$H$376="Yes",W1083*W1082,0)</f>
        <v>-2395719.6097817626</v>
      </c>
      <c r="X1084" s="33">
        <f ca="1">+IF(Assumptions!$H$376="Yes",X1083*X1082,0)</f>
        <v>-2389082.1959924847</v>
      </c>
      <c r="Y1084" s="33">
        <f ca="1">+IF(Assumptions!$H$376="Yes",Y1083*Y1082,0)</f>
        <v>-2379105.8149038693</v>
      </c>
      <c r="Z1084" s="33">
        <f ca="1">+IF(Assumptions!$H$376="Yes",Z1083*Z1082,0)</f>
        <v>0</v>
      </c>
      <c r="AA1084" s="33">
        <f ca="1">+IF(Assumptions!$H$376="Yes",AA1083*AA1082,0)</f>
        <v>0</v>
      </c>
      <c r="AB1084" s="33">
        <f ca="1">+IF(Assumptions!$H$376="Yes",AB1083*AB1082,0)</f>
        <v>0</v>
      </c>
      <c r="AC1084" s="33">
        <f ca="1">+IF(Assumptions!$H$376="Yes",AC1083*AC1082,0)</f>
        <v>0</v>
      </c>
      <c r="AD1084" s="33">
        <f ca="1">+IF(Assumptions!$H$376="Yes",AD1083*AD1082,0)</f>
        <v>0</v>
      </c>
      <c r="AE1084" s="33">
        <f ca="1">+IF(Assumptions!$H$376="Yes",AE1083*AE1082,0)</f>
        <v>0</v>
      </c>
      <c r="AF1084" s="33">
        <f ca="1">+IF(Assumptions!$H$376="Yes",AF1083*AF1082,0)</f>
        <v>0</v>
      </c>
      <c r="AG1084" s="33">
        <f ca="1">+IF(Assumptions!$H$376="Yes",AG1083*AG1082,0)</f>
        <v>0</v>
      </c>
      <c r="AH1084" s="33">
        <f ca="1">+IF(Assumptions!$H$376="Yes",AH1083*AH1082,0)</f>
        <v>0</v>
      </c>
      <c r="AI1084" s="33">
        <f ca="1">+IF(Assumptions!$H$376="Yes",AI1083*AI1082,0)</f>
        <v>0</v>
      </c>
      <c r="AJ1084" s="33">
        <f ca="1">+IF(Assumptions!$H$376="Yes",AJ1083*AJ1082,0)</f>
        <v>0</v>
      </c>
      <c r="AK1084" s="33">
        <f ca="1">+IF(Assumptions!$H$376="Yes",AK1083*AK1082,0)</f>
        <v>0</v>
      </c>
      <c r="AL1084" s="33">
        <f ca="1">+IF(Assumptions!$H$376="Yes",AL1083*AL1082,0)</f>
        <v>0</v>
      </c>
      <c r="AM1084" s="33">
        <f ca="1">+IF(Assumptions!$H$376="Yes",AM1083*AM1082,0)</f>
        <v>0</v>
      </c>
      <c r="AN1084" s="33">
        <f ca="1">+IF(Assumptions!$H$376="Yes",AN1083*AN1082,0)</f>
        <v>0</v>
      </c>
      <c r="AO1084" s="33">
        <f ca="1">+IF(Assumptions!$H$376="Yes",AO1083*AO1082,0)</f>
        <v>0</v>
      </c>
      <c r="AP1084" s="33">
        <f ca="1">+IF(Assumptions!$H$376="Yes",AP1083*AP1082,0)</f>
        <v>0</v>
      </c>
      <c r="AQ1084" s="33">
        <f ca="1">+IF(Assumptions!$H$376="Yes",AQ1083*AQ1082,0)</f>
        <v>0</v>
      </c>
      <c r="AR1084" s="33">
        <f ca="1">+IF(Assumptions!$H$376="Yes",AR1083*AR1082,0)</f>
        <v>0</v>
      </c>
      <c r="AS1084" s="33">
        <f ca="1">+IF(Assumptions!$H$376="Yes",AS1083*AS1082,0)</f>
        <v>0</v>
      </c>
      <c r="AT1084" s="33">
        <f ca="1">+IF(Assumptions!$H$376="Yes",AT1083*AT1082,0)</f>
        <v>0</v>
      </c>
      <c r="AU1084" s="33">
        <f ca="1">+IF(Assumptions!$H$376="Yes",AU1083*AU1082,0)</f>
        <v>0</v>
      </c>
      <c r="AV1084" s="33">
        <f ca="1">+IF(Assumptions!$H$376="Yes",AV1083*AV1082,0)</f>
        <v>0</v>
      </c>
      <c r="AW1084" s="33">
        <f ca="1">+IF(Assumptions!$H$376="Yes",AW1083*AW1082,0)</f>
        <v>0</v>
      </c>
      <c r="AX1084" s="33">
        <f ca="1">+IF(Assumptions!$H$376="Yes",AX1083*AX1082,0)</f>
        <v>0</v>
      </c>
      <c r="AY1084" s="33">
        <f ca="1">+IF(Assumptions!$H$376="Yes",AY1083*AY1082,0)</f>
        <v>0</v>
      </c>
      <c r="AZ1084" s="33">
        <f ca="1">+IF(Assumptions!$H$376="Yes",AZ1083*AZ1082,0)</f>
        <v>0</v>
      </c>
      <c r="BA1084" s="33">
        <f ca="1">+IF(Assumptions!$H$376="Yes",BA1083*BA1082,0)</f>
        <v>0</v>
      </c>
      <c r="BB1084" s="33">
        <f ca="1">+IF(Assumptions!$H$376="Yes",BB1083*BB1082,0)</f>
        <v>0</v>
      </c>
      <c r="BC1084" s="33">
        <f ca="1">+IF(Assumptions!$H$376="Yes",BC1083*BC1082,0)</f>
        <v>0</v>
      </c>
      <c r="BD1084" s="33">
        <f ca="1">+IF(Assumptions!$H$376="Yes",BD1083*BD1082,0)</f>
        <v>0</v>
      </c>
      <c r="BE1084" s="33">
        <f ca="1">+IF(Assumptions!$H$376="Yes",BE1083*BE1082,0)</f>
        <v>0</v>
      </c>
      <c r="BF1084" s="33">
        <f ca="1">+IF(Assumptions!$H$376="Yes",BF1083*BF1082,0)</f>
        <v>0</v>
      </c>
      <c r="BG1084" s="33">
        <f ca="1">+IF(Assumptions!$H$376="Yes",BG1083*BG1082,0)</f>
        <v>0</v>
      </c>
      <c r="BH1084" s="33">
        <f ca="1">+IF(Assumptions!$H$376="Yes",BH1083*BH1082,0)</f>
        <v>0</v>
      </c>
      <c r="BI1084" s="33">
        <f ca="1">+IF(Assumptions!$H$376="Yes",BI1083*BI1082,0)</f>
        <v>0</v>
      </c>
      <c r="BJ1084" s="33">
        <f ca="1">+IF(Assumptions!$H$376="Yes",BJ1083*BJ1082,0)</f>
        <v>0</v>
      </c>
      <c r="BK1084" s="33">
        <f ca="1">+IF(Assumptions!$H$376="Yes",BK1083*BK1082,0)</f>
        <v>0</v>
      </c>
      <c r="BL1084" s="33">
        <f ca="1">+IF(Assumptions!$H$376="Yes",BL1083*BL1082,0)</f>
        <v>0</v>
      </c>
      <c r="BM1084" s="33">
        <f ca="1">+IF(Assumptions!$H$376="Yes",BM1083*BM1082,0)</f>
        <v>0</v>
      </c>
      <c r="BN1084" s="33">
        <f ca="1">+IF(Assumptions!$H$376="Yes",BN1083*BN1082,0)</f>
        <v>0</v>
      </c>
      <c r="BO1084" s="33">
        <f ca="1">+IF(Assumptions!$H$376="Yes",BO1083*BO1082,0)</f>
        <v>0</v>
      </c>
      <c r="BP1084" s="33">
        <f ca="1">+IF(Assumptions!$H$376="Yes",BP1083*BP1082,0)</f>
        <v>0</v>
      </c>
      <c r="BQ1084" s="33">
        <f ca="1">+IF(Assumptions!$H$376="Yes",BQ1083*BQ1082,0)</f>
        <v>0</v>
      </c>
      <c r="BR1084" s="33">
        <f ca="1">+IF(Assumptions!$H$376="Yes",BR1083*BR1082,0)</f>
        <v>0</v>
      </c>
      <c r="BS1084" s="33">
        <f ca="1">+IF(Assumptions!$H$376="Yes",BS1083*BS1082,0)</f>
        <v>0</v>
      </c>
      <c r="BT1084" s="33">
        <f ca="1">+IF(Assumptions!$H$376="Yes",BT1083*BT1082,0)</f>
        <v>0</v>
      </c>
      <c r="BU1084" s="33">
        <f ca="1">+IF(Assumptions!$H$376="Yes",BU1083*BU1082,0)</f>
        <v>0</v>
      </c>
      <c r="BV1084" s="33">
        <f ca="1">+IF(Assumptions!$H$376="Yes",BV1083*BV1082,0)</f>
        <v>0</v>
      </c>
      <c r="BW1084" s="33">
        <f ca="1">+IF(Assumptions!$H$376="Yes",BW1083*BW1082,0)</f>
        <v>0</v>
      </c>
      <c r="BX1084" s="33">
        <f ca="1">+IF(Assumptions!$H$376="Yes",BX1083*BX1082,0)</f>
        <v>0</v>
      </c>
      <c r="BY1084" s="33">
        <f ca="1">+IF(Assumptions!$H$376="Yes",BY1083*BY1082,0)</f>
        <v>0</v>
      </c>
    </row>
    <row r="1085" spans="5:77" outlineLevel="1">
      <c r="F1085" s="80"/>
      <c r="BF1085" s="33"/>
      <c r="BG1085" s="33"/>
      <c r="BH1085" s="33"/>
      <c r="BI1085" s="33"/>
      <c r="BJ1085" s="33"/>
      <c r="BK1085" s="33"/>
      <c r="BL1085" s="33"/>
      <c r="BM1085" s="33"/>
      <c r="BN1085" s="33"/>
      <c r="BO1085" s="33"/>
      <c r="BP1085" s="33"/>
      <c r="BQ1085" s="33"/>
      <c r="BR1085" s="33"/>
      <c r="BS1085" s="33"/>
      <c r="BT1085" s="33"/>
      <c r="BU1085" s="33"/>
      <c r="BV1085" s="33"/>
      <c r="BW1085" s="33"/>
      <c r="BX1085" s="33"/>
      <c r="BY1085" s="33"/>
    </row>
    <row r="1086" spans="5:77" outlineLevel="1">
      <c r="F1086" s="80"/>
      <c r="BF1086" s="33"/>
      <c r="BG1086" s="33"/>
      <c r="BH1086" s="33"/>
      <c r="BI1086" s="33"/>
      <c r="BJ1086" s="33"/>
      <c r="BK1086" s="33"/>
      <c r="BL1086" s="33"/>
      <c r="BM1086" s="33"/>
      <c r="BN1086" s="33"/>
      <c r="BO1086" s="33"/>
      <c r="BP1086" s="33"/>
      <c r="BQ1086" s="33"/>
      <c r="BR1086" s="33"/>
      <c r="BS1086" s="33"/>
      <c r="BT1086" s="33"/>
      <c r="BU1086" s="33"/>
      <c r="BV1086" s="33"/>
      <c r="BW1086" s="33"/>
      <c r="BX1086" s="33"/>
      <c r="BY1086" s="33"/>
    </row>
    <row r="1087" spans="5:77" ht="15" outlineLevel="1">
      <c r="E1087" s="22" t="s">
        <v>552</v>
      </c>
      <c r="F1087" s="80"/>
      <c r="BF1087" s="33"/>
      <c r="BG1087" s="33"/>
      <c r="BH1087" s="33"/>
      <c r="BI1087" s="33"/>
      <c r="BJ1087" s="33"/>
      <c r="BK1087" s="33"/>
      <c r="BL1087" s="33"/>
      <c r="BM1087" s="33"/>
      <c r="BN1087" s="33"/>
      <c r="BO1087" s="33"/>
      <c r="BP1087" s="33"/>
      <c r="BQ1087" s="33"/>
      <c r="BR1087" s="33"/>
      <c r="BS1087" s="33"/>
      <c r="BT1087" s="33"/>
      <c r="BU1087" s="33"/>
      <c r="BV1087" s="33"/>
      <c r="BW1087" s="33"/>
      <c r="BX1087" s="33"/>
      <c r="BY1087" s="33"/>
    </row>
    <row r="1088" spans="5:77" outlineLevel="1">
      <c r="E1088" t="s">
        <v>551</v>
      </c>
      <c r="F1088" s="23" t="s">
        <v>545</v>
      </c>
      <c r="H1088" s="33">
        <f>+IFERROR(_xlfn.XLOOKUP(YEAR(H3),'Calculations (main)'!$AL$137:$BH$137,'Calculations (main)'!$AL$138:$BH$138),0)</f>
        <v>0</v>
      </c>
      <c r="I1088" s="33">
        <f ca="1">+IFERROR(_xlfn.XLOOKUP(YEAR(I3),'Calculations (main)'!$AL$137:$BH$137,'Calculations (main)'!$AL$138:$BH$138),0)</f>
        <v>-141.33282036000014</v>
      </c>
      <c r="J1088" s="33">
        <f ca="1">+IFERROR(_xlfn.XLOOKUP(YEAR(J3),'Calculations (main)'!$AL$137:$BH$137,'Calculations (main)'!$AL$138:$BH$138),0)</f>
        <v>-169.83783636000015</v>
      </c>
      <c r="K1088" s="33">
        <f ca="1">+IFERROR(_xlfn.XLOOKUP(YEAR(K3),'Calculations (main)'!$AL$137:$BH$137,'Calculations (main)'!$AL$138:$BH$138),0)</f>
        <v>-198.34285236000008</v>
      </c>
      <c r="L1088" s="33">
        <f ca="1">+IFERROR(_xlfn.XLOOKUP(YEAR(L3),'Calculations (main)'!$AL$137:$BH$137,'Calculations (main)'!$AL$138:$BH$138),0)</f>
        <v>-261.05388756000008</v>
      </c>
      <c r="M1088" s="33">
        <f ca="1">+IFERROR(_xlfn.XLOOKUP(YEAR(M3),'Calculations (main)'!$AL$137:$BH$137,'Calculations (main)'!$AL$138:$BH$138),0)</f>
        <v>-323.76492276000016</v>
      </c>
      <c r="N1088" s="33">
        <f ca="1">+IFERROR(_xlfn.XLOOKUP(YEAR(N3),'Calculations (main)'!$AL$137:$BH$137,'Calculations (main)'!$AL$138:$BH$138),0)</f>
        <v>-386.47595796000013</v>
      </c>
      <c r="O1088" s="33">
        <f ca="1">+IFERROR(_xlfn.XLOOKUP(YEAR(O3),'Calculations (main)'!$AL$137:$BH$137,'Calculations (main)'!$AL$138:$BH$138),0)</f>
        <v>-449.18699316000016</v>
      </c>
      <c r="P1088" s="33">
        <f ca="1">+IFERROR(_xlfn.XLOOKUP(YEAR(P3),'Calculations (main)'!$AL$137:$BH$137,'Calculations (main)'!$AL$138:$BH$138),0)</f>
        <v>-511.89802836001638</v>
      </c>
      <c r="Q1088" s="33">
        <f ca="1">+IFERROR(_xlfn.XLOOKUP(YEAR(Q3),'Calculations (main)'!$AL$137:$BH$137,'Calculations (main)'!$AL$138:$BH$138),0)</f>
        <v>-611.66558436000662</v>
      </c>
      <c r="R1088" s="33">
        <f ca="1">+IFERROR(_xlfn.XLOOKUP(YEAR(R3),'Calculations (main)'!$AL$137:$BH$137,'Calculations (main)'!$AL$138:$BH$138),0)</f>
        <v>-711.43314035999674</v>
      </c>
      <c r="S1088" s="33">
        <f ca="1">+IFERROR(_xlfn.XLOOKUP(YEAR(S3),'Calculations (main)'!$AL$137:$BH$137,'Calculations (main)'!$AL$138:$BH$138),0)</f>
        <v>-811.20069636002768</v>
      </c>
      <c r="T1088" s="33">
        <f ca="1">+IFERROR(_xlfn.XLOOKUP(YEAR(T3),'Calculations (main)'!$AL$137:$BH$137,'Calculations (main)'!$AL$138:$BH$138),0)</f>
        <v>-910.96825236001791</v>
      </c>
      <c r="U1088" s="33">
        <f ca="1">+IFERROR(_xlfn.XLOOKUP(YEAR(U3),'Calculations (main)'!$AL$137:$BH$137,'Calculations (main)'!$AL$138:$BH$138),0)</f>
        <v>-1010.7358083600083</v>
      </c>
      <c r="V1088" s="33">
        <f ca="1">+IFERROR(_xlfn.XLOOKUP(YEAR(V3),'Calculations (main)'!$AL$137:$BH$137,'Calculations (main)'!$AL$138:$BH$138),0)</f>
        <v>-1053.4933323599996</v>
      </c>
      <c r="W1088" s="33">
        <f ca="1">+IFERROR(_xlfn.XLOOKUP(YEAR(W3),'Calculations (main)'!$AL$137:$BH$137,'Calculations (main)'!$AL$138:$BH$138),0)</f>
        <v>-1096.2508563600013</v>
      </c>
      <c r="X1088" s="33">
        <f ca="1">+IFERROR(_xlfn.XLOOKUP(YEAR(X3),'Calculations (main)'!$AL$137:$BH$137,'Calculations (main)'!$AL$138:$BH$138),0)</f>
        <v>-1139.008380360003</v>
      </c>
      <c r="Y1088" s="33">
        <f ca="1">+IFERROR(_xlfn.XLOOKUP(YEAR(Y3),'Calculations (main)'!$AL$137:$BH$137,'Calculations (main)'!$AL$138:$BH$138),0)</f>
        <v>-1181.7659043600045</v>
      </c>
      <c r="Z1088" s="33">
        <f ca="1">+IFERROR(_xlfn.XLOOKUP(YEAR(Z3),'Calculations (main)'!$AL$137:$BH$137,'Calculations (main)'!$AL$138:$BH$138),0)</f>
        <v>-1224.5234283599959</v>
      </c>
      <c r="AA1088" s="33">
        <f>+IFERROR(_xlfn.XLOOKUP(YEAR(AA3),'Calculations (main)'!$AL$137:$BH$137,'Calculations (main)'!$AL$138:$BH$138),0)</f>
        <v>0</v>
      </c>
      <c r="AB1088" s="33">
        <f>+IFERROR(_xlfn.XLOOKUP(YEAR(AB3),'Calculations (main)'!$AL$137:$BH$137,'Calculations (main)'!$AL$138:$BH$138),0)</f>
        <v>0</v>
      </c>
      <c r="AC1088" s="33">
        <f>+IFERROR(_xlfn.XLOOKUP(YEAR(AC3),'Calculations (main)'!$AL$137:$BH$137,'Calculations (main)'!$AL$138:$BH$138),0)</f>
        <v>0</v>
      </c>
      <c r="AD1088" s="33">
        <f>+IFERROR(_xlfn.XLOOKUP(YEAR(AD3),'Calculations (main)'!$AL$137:$BH$137,'Calculations (main)'!$AL$138:$BH$138),0)</f>
        <v>0</v>
      </c>
      <c r="AE1088" s="33">
        <f>+IFERROR(_xlfn.XLOOKUP(YEAR(AE3),'Calculations (main)'!$AL$137:$BH$137,'Calculations (main)'!$AL$138:$BH$138),0)</f>
        <v>0</v>
      </c>
      <c r="AF1088" s="33">
        <f>+IFERROR(_xlfn.XLOOKUP(YEAR(AF3),'Calculations (main)'!$AL$137:$BH$137,'Calculations (main)'!$AL$138:$BH$138),0)</f>
        <v>0</v>
      </c>
      <c r="AG1088" s="33">
        <f>+IFERROR(_xlfn.XLOOKUP(YEAR(AG3),'Calculations (main)'!$AL$137:$BH$137,'Calculations (main)'!$AL$138:$BH$138),0)</f>
        <v>0</v>
      </c>
      <c r="AH1088" s="33">
        <f>+IFERROR(_xlfn.XLOOKUP(YEAR(AH3),'Calculations (main)'!$AL$137:$BH$137,'Calculations (main)'!$AL$138:$BH$138),0)</f>
        <v>0</v>
      </c>
      <c r="AI1088" s="33">
        <f>+IFERROR(_xlfn.XLOOKUP(YEAR(AI3),'Calculations (main)'!$AL$137:$BH$137,'Calculations (main)'!$AL$138:$BH$138),0)</f>
        <v>0</v>
      </c>
      <c r="AJ1088" s="33">
        <f>+IFERROR(_xlfn.XLOOKUP(YEAR(AJ3),'Calculations (main)'!$AL$137:$BH$137,'Calculations (main)'!$AL$138:$BH$138),0)</f>
        <v>0</v>
      </c>
      <c r="AK1088" s="33">
        <f>+IFERROR(_xlfn.XLOOKUP(YEAR(AK3),'Calculations (main)'!$AL$137:$BH$137,'Calculations (main)'!$AL$138:$BH$138),0)</f>
        <v>0</v>
      </c>
      <c r="AL1088" s="33">
        <f>+IFERROR(_xlfn.XLOOKUP(YEAR(AL3),'Calculations (main)'!$AL$137:$BH$137,'Calculations (main)'!$AL$138:$BH$138),0)</f>
        <v>0</v>
      </c>
      <c r="AM1088" s="33">
        <f>+IFERROR(_xlfn.XLOOKUP(YEAR(AM3),'Calculations (main)'!$AL$137:$BH$137,'Calculations (main)'!$AL$138:$BH$138),0)</f>
        <v>0</v>
      </c>
      <c r="AN1088" s="33">
        <f>+IFERROR(_xlfn.XLOOKUP(YEAR(AN3),'Calculations (main)'!$AL$137:$BH$137,'Calculations (main)'!$AL$138:$BH$138),0)</f>
        <v>0</v>
      </c>
      <c r="AO1088" s="33">
        <f>+IFERROR(_xlfn.XLOOKUP(YEAR(AO3),'Calculations (main)'!$AL$137:$BH$137,'Calculations (main)'!$AL$138:$BH$138),0)</f>
        <v>0</v>
      </c>
      <c r="AP1088" s="33">
        <f>+IFERROR(_xlfn.XLOOKUP(YEAR(AP3),'Calculations (main)'!$AL$137:$BH$137,'Calculations (main)'!$AL$138:$BH$138),0)</f>
        <v>0</v>
      </c>
      <c r="AQ1088" s="33">
        <f>+IFERROR(_xlfn.XLOOKUP(YEAR(AQ3),'Calculations (main)'!$AL$137:$BH$137,'Calculations (main)'!$AL$138:$BH$138),0)</f>
        <v>0</v>
      </c>
      <c r="AR1088" s="33">
        <f>+IFERROR(_xlfn.XLOOKUP(YEAR(AR3),'Calculations (main)'!$AL$137:$BH$137,'Calculations (main)'!$AL$138:$BH$138),0)</f>
        <v>0</v>
      </c>
      <c r="AS1088" s="33">
        <f>+IFERROR(_xlfn.XLOOKUP(YEAR(AS3),'Calculations (main)'!$AL$137:$BH$137,'Calculations (main)'!$AL$138:$BH$138),0)</f>
        <v>0</v>
      </c>
      <c r="AT1088" s="33">
        <f>+IFERROR(_xlfn.XLOOKUP(YEAR(AT3),'Calculations (main)'!$AL$137:$BH$137,'Calculations (main)'!$AL$138:$BH$138),0)</f>
        <v>0</v>
      </c>
      <c r="AU1088" s="33">
        <f>+IFERROR(_xlfn.XLOOKUP(YEAR(AU3),'Calculations (main)'!$AL$137:$BH$137,'Calculations (main)'!$AL$138:$BH$138),0)</f>
        <v>0</v>
      </c>
      <c r="AV1088" s="33">
        <f>+IFERROR(_xlfn.XLOOKUP(YEAR(AV3),'Calculations (main)'!$AL$137:$BH$137,'Calculations (main)'!$AL$138:$BH$138),0)</f>
        <v>0</v>
      </c>
      <c r="AW1088" s="33">
        <f>+IFERROR(_xlfn.XLOOKUP(YEAR(AW3),'Calculations (main)'!$AL$137:$BH$137,'Calculations (main)'!$AL$138:$BH$138),0)</f>
        <v>0</v>
      </c>
      <c r="AX1088" s="33">
        <f>+IFERROR(_xlfn.XLOOKUP(YEAR(AX3),'Calculations (main)'!$AL$137:$BH$137,'Calculations (main)'!$AL$138:$BH$138),0)</f>
        <v>0</v>
      </c>
      <c r="AY1088" s="33">
        <f>+IFERROR(_xlfn.XLOOKUP(YEAR(AY3),'Calculations (main)'!$AL$137:$BH$137,'Calculations (main)'!$AL$138:$BH$138),0)</f>
        <v>0</v>
      </c>
      <c r="AZ1088" s="33">
        <f>+IFERROR(_xlfn.XLOOKUP(YEAR(AZ3),'Calculations (main)'!$AL$137:$BH$137,'Calculations (main)'!$AL$138:$BH$138),0)</f>
        <v>0</v>
      </c>
      <c r="BA1088" s="33">
        <f>+IFERROR(_xlfn.XLOOKUP(YEAR(BA3),'Calculations (main)'!$AL$137:$BH$137,'Calculations (main)'!$AL$138:$BH$138),0)</f>
        <v>0</v>
      </c>
      <c r="BB1088" s="33">
        <f>+IFERROR(_xlfn.XLOOKUP(YEAR(BB3),'Calculations (main)'!$AL$137:$BH$137,'Calculations (main)'!$AL$138:$BH$138),0)</f>
        <v>0</v>
      </c>
      <c r="BC1088" s="33">
        <f>+IFERROR(_xlfn.XLOOKUP(YEAR(BC3),'Calculations (main)'!$AL$137:$BH$137,'Calculations (main)'!$AL$138:$BH$138),0)</f>
        <v>0</v>
      </c>
      <c r="BD1088" s="33">
        <f>+IFERROR(_xlfn.XLOOKUP(YEAR(BD3),'Calculations (main)'!$AL$137:$BH$137,'Calculations (main)'!$AL$138:$BH$138),0)</f>
        <v>0</v>
      </c>
      <c r="BE1088" s="33">
        <f>+IFERROR(_xlfn.XLOOKUP(YEAR(BE3),'Calculations (main)'!$AL$137:$BH$137,'Calculations (main)'!$AL$138:$BH$138),0)</f>
        <v>0</v>
      </c>
      <c r="BF1088" s="33">
        <f>+IFERROR(_xlfn.XLOOKUP(YEAR(BF3),'Calculations (main)'!$AL$137:$BH$137,'Calculations (main)'!$AL$138:$BH$138),0)</f>
        <v>0</v>
      </c>
      <c r="BG1088" s="33">
        <f>+IFERROR(_xlfn.XLOOKUP(YEAR(BG3),'Calculations (main)'!$AL$137:$BH$137,'Calculations (main)'!$AL$138:$BH$138),0)</f>
        <v>0</v>
      </c>
      <c r="BH1088" s="33">
        <f>+IFERROR(_xlfn.XLOOKUP(YEAR(BH3),'Calculations (main)'!$AL$137:$BH$137,'Calculations (main)'!$AL$138:$BH$138),0)</f>
        <v>0</v>
      </c>
      <c r="BI1088" s="33">
        <f>+IFERROR(_xlfn.XLOOKUP(YEAR(BI3),'Calculations (main)'!$AL$137:$BH$137,'Calculations (main)'!$AL$138:$BH$138),0)</f>
        <v>0</v>
      </c>
      <c r="BJ1088" s="33">
        <f>+IFERROR(_xlfn.XLOOKUP(YEAR(BJ3),'Calculations (main)'!$AL$137:$BH$137,'Calculations (main)'!$AL$138:$BH$138),0)</f>
        <v>0</v>
      </c>
      <c r="BK1088" s="33">
        <f>+IFERROR(_xlfn.XLOOKUP(YEAR(BK3),'Calculations (main)'!$AL$137:$BH$137,'Calculations (main)'!$AL$138:$BH$138),0)</f>
        <v>0</v>
      </c>
      <c r="BL1088" s="33">
        <f>+IFERROR(_xlfn.XLOOKUP(YEAR(BL3),'Calculations (main)'!$AL$137:$BH$137,'Calculations (main)'!$AL$138:$BH$138),0)</f>
        <v>0</v>
      </c>
      <c r="BM1088" s="33">
        <f>+IFERROR(_xlfn.XLOOKUP(YEAR(BM3),'Calculations (main)'!$AL$137:$BH$137,'Calculations (main)'!$AL$138:$BH$138),0)</f>
        <v>0</v>
      </c>
      <c r="BN1088" s="33">
        <f>+IFERROR(_xlfn.XLOOKUP(YEAR(BN3),'Calculations (main)'!$AL$137:$BH$137,'Calculations (main)'!$AL$138:$BH$138),0)</f>
        <v>0</v>
      </c>
      <c r="BO1088" s="33">
        <f>+IFERROR(_xlfn.XLOOKUP(YEAR(BO3),'Calculations (main)'!$AL$137:$BH$137,'Calculations (main)'!$AL$138:$BH$138),0)</f>
        <v>0</v>
      </c>
      <c r="BP1088" s="33">
        <f>+IFERROR(_xlfn.XLOOKUP(YEAR(BP3),'Calculations (main)'!$AL$137:$BH$137,'Calculations (main)'!$AL$138:$BH$138),0)</f>
        <v>0</v>
      </c>
      <c r="BQ1088" s="33">
        <f>+IFERROR(_xlfn.XLOOKUP(YEAR(BQ3),'Calculations (main)'!$AL$137:$BH$137,'Calculations (main)'!$AL$138:$BH$138),0)</f>
        <v>0</v>
      </c>
      <c r="BR1088" s="33">
        <f>+IFERROR(_xlfn.XLOOKUP(YEAR(BR3),'Calculations (main)'!$AL$137:$BH$137,'Calculations (main)'!$AL$138:$BH$138),0)</f>
        <v>0</v>
      </c>
      <c r="BS1088" s="33">
        <f>+IFERROR(_xlfn.XLOOKUP(YEAR(BS3),'Calculations (main)'!$AL$137:$BH$137,'Calculations (main)'!$AL$138:$BH$138),0)</f>
        <v>0</v>
      </c>
      <c r="BT1088" s="33">
        <f>+IFERROR(_xlfn.XLOOKUP(YEAR(BT3),'Calculations (main)'!$AL$137:$BH$137,'Calculations (main)'!$AL$138:$BH$138),0)</f>
        <v>0</v>
      </c>
      <c r="BU1088" s="33">
        <f>+IFERROR(_xlfn.XLOOKUP(YEAR(BU3),'Calculations (main)'!$AL$137:$BH$137,'Calculations (main)'!$AL$138:$BH$138),0)</f>
        <v>0</v>
      </c>
      <c r="BV1088" s="33">
        <f>+IFERROR(_xlfn.XLOOKUP(YEAR(BV3),'Calculations (main)'!$AL$137:$BH$137,'Calculations (main)'!$AL$138:$BH$138),0)</f>
        <v>0</v>
      </c>
      <c r="BW1088" s="33">
        <f>+IFERROR(_xlfn.XLOOKUP(YEAR(BW3),'Calculations (main)'!$AL$137:$BH$137,'Calculations (main)'!$AL$138:$BH$138),0)</f>
        <v>0</v>
      </c>
      <c r="BX1088" s="33">
        <f>+IFERROR(_xlfn.XLOOKUP(YEAR(BX3),'Calculations (main)'!$AL$137:$BH$137,'Calculations (main)'!$AL$138:$BH$138),0)</f>
        <v>0</v>
      </c>
      <c r="BY1088" s="33">
        <f>+IFERROR(_xlfn.XLOOKUP(YEAR(BY3),'Calculations (main)'!$AL$137:$BH$137,'Calculations (main)'!$AL$138:$BH$138),0)</f>
        <v>0</v>
      </c>
    </row>
    <row r="1089" spans="2:77" outlineLevel="1">
      <c r="E1089" t="s">
        <v>546</v>
      </c>
      <c r="F1089" s="23" t="s">
        <v>136</v>
      </c>
      <c r="H1089" s="33">
        <f>+Assumptions!$H$370*H953/_xlfn.XLOOKUP("LSFO",Data_tables!$K:$K,Data_tables!$M:$M)*Assumptions!$H$268</f>
        <v>0</v>
      </c>
      <c r="I1089" s="33">
        <f>+Assumptions!$H$370*I953/_xlfn.XLOOKUP("LSFO",Data_tables!$K:$K,Data_tables!$M:$M)*Assumptions!$H$268</f>
        <v>0</v>
      </c>
      <c r="J1089" s="33">
        <f>+Assumptions!$H$370*J953/_xlfn.XLOOKUP("LSFO",Data_tables!$K:$K,Data_tables!$M:$M)*Assumptions!$H$268</f>
        <v>0</v>
      </c>
      <c r="K1089" s="33">
        <f>+Assumptions!$H$370*K953/_xlfn.XLOOKUP("LSFO",Data_tables!$K:$K,Data_tables!$M:$M)*Assumptions!$H$268</f>
        <v>4213.8197815533977</v>
      </c>
      <c r="L1089" s="33">
        <f>+Assumptions!$H$370*L953/_xlfn.XLOOKUP("LSFO",Data_tables!$K:$K,Data_tables!$M:$M)*Assumptions!$H$268</f>
        <v>4213.8197815533977</v>
      </c>
      <c r="M1089" s="33">
        <f>+Assumptions!$H$370*M953/_xlfn.XLOOKUP("LSFO",Data_tables!$K:$K,Data_tables!$M:$M)*Assumptions!$H$268</f>
        <v>4213.8197815533977</v>
      </c>
      <c r="N1089" s="33">
        <f>+Assumptions!$H$370*N953/_xlfn.XLOOKUP("LSFO",Data_tables!$K:$K,Data_tables!$M:$M)*Assumptions!$H$268</f>
        <v>4213.8197815533977</v>
      </c>
      <c r="O1089" s="33">
        <f>+Assumptions!$H$370*O953/_xlfn.XLOOKUP("LSFO",Data_tables!$K:$K,Data_tables!$M:$M)*Assumptions!$H$268</f>
        <v>4213.8197815533977</v>
      </c>
      <c r="P1089" s="33">
        <f>+Assumptions!$H$370*P953/_xlfn.XLOOKUP("LSFO",Data_tables!$K:$K,Data_tables!$M:$M)*Assumptions!$H$268</f>
        <v>4213.8197815533977</v>
      </c>
      <c r="Q1089" s="33">
        <f>+Assumptions!$H$370*Q953/_xlfn.XLOOKUP("LSFO",Data_tables!$K:$K,Data_tables!$M:$M)*Assumptions!$H$268</f>
        <v>4213.8197815533977</v>
      </c>
      <c r="R1089" s="33">
        <f>+Assumptions!$H$370*R953/_xlfn.XLOOKUP("LSFO",Data_tables!$K:$K,Data_tables!$M:$M)*Assumptions!$H$268</f>
        <v>4213.8197815533977</v>
      </c>
      <c r="S1089" s="33">
        <f>+Assumptions!$H$370*S953/_xlfn.XLOOKUP("LSFO",Data_tables!$K:$K,Data_tables!$M:$M)*Assumptions!$H$268</f>
        <v>4213.8197815533977</v>
      </c>
      <c r="T1089" s="33">
        <f>+Assumptions!$H$370*T953/_xlfn.XLOOKUP("LSFO",Data_tables!$K:$K,Data_tables!$M:$M)*Assumptions!$H$268</f>
        <v>4213.8197815533977</v>
      </c>
      <c r="U1089" s="33">
        <f>+Assumptions!$H$370*U953/_xlfn.XLOOKUP("LSFO",Data_tables!$K:$K,Data_tables!$M:$M)*Assumptions!$H$268</f>
        <v>4213.8197815533977</v>
      </c>
      <c r="V1089" s="33">
        <f>+Assumptions!$H$370*V953/_xlfn.XLOOKUP("LSFO",Data_tables!$K:$K,Data_tables!$M:$M)*Assumptions!$H$268</f>
        <v>4213.8197815533977</v>
      </c>
      <c r="W1089" s="33">
        <f>+Assumptions!$H$370*W953/_xlfn.XLOOKUP("LSFO",Data_tables!$K:$K,Data_tables!$M:$M)*Assumptions!$H$268</f>
        <v>4213.8197815533977</v>
      </c>
      <c r="X1089" s="33">
        <f>+Assumptions!$H$370*X953/_xlfn.XLOOKUP("LSFO",Data_tables!$K:$K,Data_tables!$M:$M)*Assumptions!$H$268</f>
        <v>4213.8197815533977</v>
      </c>
      <c r="Y1089" s="33">
        <f>+Assumptions!$H$370*Y953/_xlfn.XLOOKUP("LSFO",Data_tables!$K:$K,Data_tables!$M:$M)*Assumptions!$H$268</f>
        <v>4213.8197815533977</v>
      </c>
      <c r="Z1089" s="33">
        <f>+Assumptions!$H$370*Z953/_xlfn.XLOOKUP("LSFO",Data_tables!$K:$K,Data_tables!$M:$M)*Assumptions!$H$268</f>
        <v>0</v>
      </c>
      <c r="AA1089" s="33">
        <f>+Assumptions!$H$370*AA953/_xlfn.XLOOKUP("LSFO",Data_tables!$K:$K,Data_tables!$M:$M)*Assumptions!$H$268</f>
        <v>0</v>
      </c>
      <c r="AB1089" s="33">
        <f>+Assumptions!$H$370*AB953/_xlfn.XLOOKUP("LSFO",Data_tables!$K:$K,Data_tables!$M:$M)*Assumptions!$H$268</f>
        <v>0</v>
      </c>
      <c r="AC1089" s="33">
        <f>+Assumptions!$H$370*AC953/_xlfn.XLOOKUP("LSFO",Data_tables!$K:$K,Data_tables!$M:$M)*Assumptions!$H$268</f>
        <v>0</v>
      </c>
      <c r="AD1089" s="33">
        <f>+Assumptions!$H$370*AD953/_xlfn.XLOOKUP("LSFO",Data_tables!$K:$K,Data_tables!$M:$M)*Assumptions!$H$268</f>
        <v>0</v>
      </c>
      <c r="AE1089" s="33">
        <f>+Assumptions!$H$370*AE953/_xlfn.XLOOKUP("LSFO",Data_tables!$K:$K,Data_tables!$M:$M)*Assumptions!$H$268</f>
        <v>0</v>
      </c>
      <c r="AF1089" s="33">
        <f>+Assumptions!$H$370*AF953/_xlfn.XLOOKUP("LSFO",Data_tables!$K:$K,Data_tables!$M:$M)*Assumptions!$H$268</f>
        <v>0</v>
      </c>
      <c r="AG1089" s="33">
        <f>+Assumptions!$H$370*AG953/_xlfn.XLOOKUP("LSFO",Data_tables!$K:$K,Data_tables!$M:$M)*Assumptions!$H$268</f>
        <v>0</v>
      </c>
      <c r="AH1089" s="33">
        <f>+Assumptions!$H$370*AH953/_xlfn.XLOOKUP("LSFO",Data_tables!$K:$K,Data_tables!$M:$M)*Assumptions!$H$268</f>
        <v>0</v>
      </c>
      <c r="AI1089" s="33">
        <f>+Assumptions!$H$370*AI953/_xlfn.XLOOKUP("LSFO",Data_tables!$K:$K,Data_tables!$M:$M)*Assumptions!$H$268</f>
        <v>0</v>
      </c>
      <c r="AJ1089" s="33">
        <f>+Assumptions!$H$370*AJ953/_xlfn.XLOOKUP("LSFO",Data_tables!$K:$K,Data_tables!$M:$M)*Assumptions!$H$268</f>
        <v>0</v>
      </c>
      <c r="AK1089" s="33">
        <f>+Assumptions!$H$370*AK953/_xlfn.XLOOKUP("LSFO",Data_tables!$K:$K,Data_tables!$M:$M)*Assumptions!$H$268</f>
        <v>0</v>
      </c>
      <c r="AL1089" s="33">
        <f>+Assumptions!$H$370*AL953/_xlfn.XLOOKUP("LSFO",Data_tables!$K:$K,Data_tables!$M:$M)*Assumptions!$H$268</f>
        <v>0</v>
      </c>
      <c r="AM1089" s="33">
        <f>+Assumptions!$H$370*AM953/_xlfn.XLOOKUP("LSFO",Data_tables!$K:$K,Data_tables!$M:$M)*Assumptions!$H$268</f>
        <v>0</v>
      </c>
      <c r="AN1089" s="33">
        <f>+Assumptions!$H$370*AN953/_xlfn.XLOOKUP("LSFO",Data_tables!$K:$K,Data_tables!$M:$M)*Assumptions!$H$268</f>
        <v>0</v>
      </c>
      <c r="AO1089" s="33">
        <f>+Assumptions!$H$370*AO953/_xlfn.XLOOKUP("LSFO",Data_tables!$K:$K,Data_tables!$M:$M)*Assumptions!$H$268</f>
        <v>0</v>
      </c>
      <c r="AP1089" s="33">
        <f>+Assumptions!$H$370*AP953/_xlfn.XLOOKUP("LSFO",Data_tables!$K:$K,Data_tables!$M:$M)*Assumptions!$H$268</f>
        <v>0</v>
      </c>
      <c r="AQ1089" s="33">
        <f>+Assumptions!$H$370*AQ953/_xlfn.XLOOKUP("LSFO",Data_tables!$K:$K,Data_tables!$M:$M)*Assumptions!$H$268</f>
        <v>0</v>
      </c>
      <c r="AR1089" s="33">
        <f>+Assumptions!$H$370*AR953/_xlfn.XLOOKUP("LSFO",Data_tables!$K:$K,Data_tables!$M:$M)*Assumptions!$H$268</f>
        <v>0</v>
      </c>
      <c r="AS1089" s="33">
        <f>+Assumptions!$H$370*AS953/_xlfn.XLOOKUP("LSFO",Data_tables!$K:$K,Data_tables!$M:$M)*Assumptions!$H$268</f>
        <v>0</v>
      </c>
      <c r="AT1089" s="33">
        <f>+Assumptions!$H$370*AT953/_xlfn.XLOOKUP("LSFO",Data_tables!$K:$K,Data_tables!$M:$M)*Assumptions!$H$268</f>
        <v>0</v>
      </c>
      <c r="AU1089" s="33">
        <f>+Assumptions!$H$370*AU953/_xlfn.XLOOKUP("LSFO",Data_tables!$K:$K,Data_tables!$M:$M)*Assumptions!$H$268</f>
        <v>0</v>
      </c>
      <c r="AV1089" s="33">
        <f>+Assumptions!$H$370*AV953/_xlfn.XLOOKUP("LSFO",Data_tables!$K:$K,Data_tables!$M:$M)*Assumptions!$H$268</f>
        <v>0</v>
      </c>
      <c r="AW1089" s="33">
        <f>+Assumptions!$H$370*AW953/_xlfn.XLOOKUP("LSFO",Data_tables!$K:$K,Data_tables!$M:$M)*Assumptions!$H$268</f>
        <v>0</v>
      </c>
      <c r="AX1089" s="33">
        <f>+Assumptions!$H$370*AX953/_xlfn.XLOOKUP("LSFO",Data_tables!$K:$K,Data_tables!$M:$M)*Assumptions!$H$268</f>
        <v>0</v>
      </c>
      <c r="AY1089" s="33">
        <f>+Assumptions!$H$370*AY953/_xlfn.XLOOKUP("LSFO",Data_tables!$K:$K,Data_tables!$M:$M)*Assumptions!$H$268</f>
        <v>0</v>
      </c>
      <c r="AZ1089" s="33">
        <f>+Assumptions!$H$370*AZ953/_xlfn.XLOOKUP("LSFO",Data_tables!$K:$K,Data_tables!$M:$M)*Assumptions!$H$268</f>
        <v>0</v>
      </c>
      <c r="BA1089" s="33">
        <f>+Assumptions!$H$370*BA953/_xlfn.XLOOKUP("LSFO",Data_tables!$K:$K,Data_tables!$M:$M)*Assumptions!$H$268</f>
        <v>0</v>
      </c>
      <c r="BB1089" s="33">
        <f>+Assumptions!$H$370*BB953/_xlfn.XLOOKUP("LSFO",Data_tables!$K:$K,Data_tables!$M:$M)*Assumptions!$H$268</f>
        <v>0</v>
      </c>
      <c r="BC1089" s="33">
        <f>+Assumptions!$H$370*BC953/_xlfn.XLOOKUP("LSFO",Data_tables!$K:$K,Data_tables!$M:$M)*Assumptions!$H$268</f>
        <v>0</v>
      </c>
      <c r="BD1089" s="33">
        <f>+Assumptions!$H$370*BD953/_xlfn.XLOOKUP("LSFO",Data_tables!$K:$K,Data_tables!$M:$M)*Assumptions!$H$268</f>
        <v>0</v>
      </c>
      <c r="BE1089" s="33">
        <f>+Assumptions!$H$370*BE953/_xlfn.XLOOKUP("LSFO",Data_tables!$K:$K,Data_tables!$M:$M)*Assumptions!$H$268</f>
        <v>0</v>
      </c>
      <c r="BF1089" s="33">
        <f>+Assumptions!$H$370*BF953/_xlfn.XLOOKUP("LSFO",Data_tables!$K:$K,Data_tables!$M:$M)*Assumptions!$H$268</f>
        <v>0</v>
      </c>
      <c r="BG1089" s="33">
        <f>+Assumptions!$H$370*BG953/_xlfn.XLOOKUP("LSFO",Data_tables!$K:$K,Data_tables!$M:$M)*Assumptions!$H$268</f>
        <v>0</v>
      </c>
      <c r="BH1089" s="33">
        <f>+Assumptions!$H$370*BH953/_xlfn.XLOOKUP("LSFO",Data_tables!$K:$K,Data_tables!$M:$M)*Assumptions!$H$268</f>
        <v>0</v>
      </c>
      <c r="BI1089" s="33">
        <f>+Assumptions!$H$370*BI953/_xlfn.XLOOKUP("LSFO",Data_tables!$K:$K,Data_tables!$M:$M)*Assumptions!$H$268</f>
        <v>0</v>
      </c>
      <c r="BJ1089" s="33">
        <f>+Assumptions!$H$370*BJ953/_xlfn.XLOOKUP("LSFO",Data_tables!$K:$K,Data_tables!$M:$M)*Assumptions!$H$268</f>
        <v>0</v>
      </c>
      <c r="BK1089" s="33">
        <f>+Assumptions!$H$370*BK953/_xlfn.XLOOKUP("LSFO",Data_tables!$K:$K,Data_tables!$M:$M)*Assumptions!$H$268</f>
        <v>0</v>
      </c>
      <c r="BL1089" s="33">
        <f>+Assumptions!$H$370*BL953/_xlfn.XLOOKUP("LSFO",Data_tables!$K:$K,Data_tables!$M:$M)*Assumptions!$H$268</f>
        <v>0</v>
      </c>
      <c r="BM1089" s="33">
        <f>+Assumptions!$H$370*BM953/_xlfn.XLOOKUP("LSFO",Data_tables!$K:$K,Data_tables!$M:$M)*Assumptions!$H$268</f>
        <v>0</v>
      </c>
      <c r="BN1089" s="33">
        <f>+Assumptions!$H$370*BN953/_xlfn.XLOOKUP("LSFO",Data_tables!$K:$K,Data_tables!$M:$M)*Assumptions!$H$268</f>
        <v>0</v>
      </c>
      <c r="BO1089" s="33">
        <f>+Assumptions!$H$370*BO953/_xlfn.XLOOKUP("LSFO",Data_tables!$K:$K,Data_tables!$M:$M)*Assumptions!$H$268</f>
        <v>0</v>
      </c>
      <c r="BP1089" s="33">
        <f>+Assumptions!$H$370*BP953/_xlfn.XLOOKUP("LSFO",Data_tables!$K:$K,Data_tables!$M:$M)*Assumptions!$H$268</f>
        <v>0</v>
      </c>
      <c r="BQ1089" s="33">
        <f>+Assumptions!$H$370*BQ953/_xlfn.XLOOKUP("LSFO",Data_tables!$K:$K,Data_tables!$M:$M)*Assumptions!$H$268</f>
        <v>0</v>
      </c>
      <c r="BR1089" s="33">
        <f>+Assumptions!$H$370*BR953/_xlfn.XLOOKUP("LSFO",Data_tables!$K:$K,Data_tables!$M:$M)*Assumptions!$H$268</f>
        <v>0</v>
      </c>
      <c r="BS1089" s="33">
        <f>+Assumptions!$H$370*BS953/_xlfn.XLOOKUP("LSFO",Data_tables!$K:$K,Data_tables!$M:$M)*Assumptions!$H$268</f>
        <v>0</v>
      </c>
      <c r="BT1089" s="33">
        <f>+Assumptions!$H$370*BT953/_xlfn.XLOOKUP("LSFO",Data_tables!$K:$K,Data_tables!$M:$M)*Assumptions!$H$268</f>
        <v>0</v>
      </c>
      <c r="BU1089" s="33">
        <f>+Assumptions!$H$370*BU953/_xlfn.XLOOKUP("LSFO",Data_tables!$K:$K,Data_tables!$M:$M)*Assumptions!$H$268</f>
        <v>0</v>
      </c>
      <c r="BV1089" s="33">
        <f>+Assumptions!$H$370*BV953/_xlfn.XLOOKUP("LSFO",Data_tables!$K:$K,Data_tables!$M:$M)*Assumptions!$H$268</f>
        <v>0</v>
      </c>
      <c r="BW1089" s="33">
        <f>+Assumptions!$H$370*BW953/_xlfn.XLOOKUP("LSFO",Data_tables!$K:$K,Data_tables!$M:$M)*Assumptions!$H$268</f>
        <v>0</v>
      </c>
      <c r="BX1089" s="33">
        <f>+Assumptions!$H$370*BX953/_xlfn.XLOOKUP("LSFO",Data_tables!$K:$K,Data_tables!$M:$M)*Assumptions!$H$268</f>
        <v>0</v>
      </c>
      <c r="BY1089" s="33">
        <f>+Assumptions!$H$370*BY953/_xlfn.XLOOKUP("LSFO",Data_tables!$K:$K,Data_tables!$M:$M)*Assumptions!$H$268</f>
        <v>0</v>
      </c>
    </row>
    <row r="1090" spans="2:77" outlineLevel="1">
      <c r="E1090" t="s">
        <v>547</v>
      </c>
      <c r="F1090" s="23" t="s">
        <v>159</v>
      </c>
      <c r="H1090" s="103">
        <f>+H1088*H1089</f>
        <v>0</v>
      </c>
      <c r="I1090" s="103">
        <f t="shared" ref="I1090:BT1090" ca="1" si="2179">+I1088*I1089</f>
        <v>0</v>
      </c>
      <c r="J1090" s="103">
        <f t="shared" ca="1" si="2179"/>
        <v>0</v>
      </c>
      <c r="K1090" s="103">
        <f t="shared" ca="1" si="2179"/>
        <v>-835781.0348042933</v>
      </c>
      <c r="L1090" s="103">
        <f t="shared" ca="1" si="2179"/>
        <v>-1100034.0354517447</v>
      </c>
      <c r="M1090" s="103">
        <f t="shared" ca="1" si="2179"/>
        <v>-1364287.0360991966</v>
      </c>
      <c r="N1090" s="103">
        <f t="shared" ca="1" si="2179"/>
        <v>-1628540.0367466479</v>
      </c>
      <c r="O1090" s="103">
        <f t="shared" ca="1" si="2179"/>
        <v>-1892793.0373940994</v>
      </c>
      <c r="P1090" s="103">
        <f t="shared" ca="1" si="2179"/>
        <v>-2157046.0380416191</v>
      </c>
      <c r="Q1090" s="103">
        <f t="shared" ca="1" si="2179"/>
        <v>-2577448.5390716144</v>
      </c>
      <c r="R1090" s="103">
        <f t="shared" ca="1" si="2179"/>
        <v>-2997851.0401016092</v>
      </c>
      <c r="S1090" s="103">
        <f t="shared" ca="1" si="2179"/>
        <v>-3418253.5411317758</v>
      </c>
      <c r="T1090" s="103">
        <f t="shared" ca="1" si="2179"/>
        <v>-3838656.0421617711</v>
      </c>
      <c r="U1090" s="103">
        <f t="shared" ca="1" si="2179"/>
        <v>-4259058.5431917664</v>
      </c>
      <c r="V1090" s="103">
        <f t="shared" ca="1" si="2179"/>
        <v>-4439231.0436331742</v>
      </c>
      <c r="W1090" s="103">
        <f t="shared" ca="1" si="2179"/>
        <v>-4619403.5440746257</v>
      </c>
      <c r="X1090" s="103">
        <f t="shared" ca="1" si="2179"/>
        <v>-4799576.0445160773</v>
      </c>
      <c r="Y1090" s="103">
        <f t="shared" ca="1" si="2179"/>
        <v>-4979748.5449575279</v>
      </c>
      <c r="Z1090" s="103">
        <f t="shared" ca="1" si="2179"/>
        <v>0</v>
      </c>
      <c r="AA1090" s="103">
        <f t="shared" si="2179"/>
        <v>0</v>
      </c>
      <c r="AB1090" s="103">
        <f t="shared" si="2179"/>
        <v>0</v>
      </c>
      <c r="AC1090" s="103">
        <f t="shared" si="2179"/>
        <v>0</v>
      </c>
      <c r="AD1090" s="103">
        <f t="shared" si="2179"/>
        <v>0</v>
      </c>
      <c r="AE1090" s="103">
        <f t="shared" si="2179"/>
        <v>0</v>
      </c>
      <c r="AF1090" s="103">
        <f t="shared" si="2179"/>
        <v>0</v>
      </c>
      <c r="AG1090" s="103">
        <f t="shared" si="2179"/>
        <v>0</v>
      </c>
      <c r="AH1090" s="103">
        <f t="shared" si="2179"/>
        <v>0</v>
      </c>
      <c r="AI1090" s="103">
        <f t="shared" si="2179"/>
        <v>0</v>
      </c>
      <c r="AJ1090" s="103">
        <f t="shared" si="2179"/>
        <v>0</v>
      </c>
      <c r="AK1090" s="103">
        <f t="shared" si="2179"/>
        <v>0</v>
      </c>
      <c r="AL1090" s="103">
        <f t="shared" si="2179"/>
        <v>0</v>
      </c>
      <c r="AM1090" s="103">
        <f t="shared" si="2179"/>
        <v>0</v>
      </c>
      <c r="AN1090" s="103">
        <f t="shared" si="2179"/>
        <v>0</v>
      </c>
      <c r="AO1090" s="103">
        <f t="shared" si="2179"/>
        <v>0</v>
      </c>
      <c r="AP1090" s="103">
        <f t="shared" si="2179"/>
        <v>0</v>
      </c>
      <c r="AQ1090" s="103">
        <f t="shared" si="2179"/>
        <v>0</v>
      </c>
      <c r="AR1090" s="103">
        <f t="shared" si="2179"/>
        <v>0</v>
      </c>
      <c r="AS1090" s="103">
        <f t="shared" si="2179"/>
        <v>0</v>
      </c>
      <c r="AT1090" s="103">
        <f t="shared" si="2179"/>
        <v>0</v>
      </c>
      <c r="AU1090" s="103">
        <f t="shared" si="2179"/>
        <v>0</v>
      </c>
      <c r="AV1090" s="103">
        <f t="shared" si="2179"/>
        <v>0</v>
      </c>
      <c r="AW1090" s="103">
        <f t="shared" si="2179"/>
        <v>0</v>
      </c>
      <c r="AX1090" s="103">
        <f t="shared" si="2179"/>
        <v>0</v>
      </c>
      <c r="AY1090" s="103">
        <f t="shared" si="2179"/>
        <v>0</v>
      </c>
      <c r="AZ1090" s="103">
        <f t="shared" si="2179"/>
        <v>0</v>
      </c>
      <c r="BA1090" s="103">
        <f t="shared" si="2179"/>
        <v>0</v>
      </c>
      <c r="BB1090" s="103">
        <f t="shared" si="2179"/>
        <v>0</v>
      </c>
      <c r="BC1090" s="103">
        <f t="shared" si="2179"/>
        <v>0</v>
      </c>
      <c r="BD1090" s="103">
        <f t="shared" si="2179"/>
        <v>0</v>
      </c>
      <c r="BE1090" s="103">
        <f t="shared" si="2179"/>
        <v>0</v>
      </c>
      <c r="BF1090" s="103">
        <f t="shared" si="2179"/>
        <v>0</v>
      </c>
      <c r="BG1090" s="103">
        <f t="shared" si="2179"/>
        <v>0</v>
      </c>
      <c r="BH1090" s="103">
        <f t="shared" si="2179"/>
        <v>0</v>
      </c>
      <c r="BI1090" s="103">
        <f t="shared" si="2179"/>
        <v>0</v>
      </c>
      <c r="BJ1090" s="103">
        <f t="shared" si="2179"/>
        <v>0</v>
      </c>
      <c r="BK1090" s="103">
        <f t="shared" si="2179"/>
        <v>0</v>
      </c>
      <c r="BL1090" s="103">
        <f t="shared" si="2179"/>
        <v>0</v>
      </c>
      <c r="BM1090" s="103">
        <f t="shared" si="2179"/>
        <v>0</v>
      </c>
      <c r="BN1090" s="103">
        <f t="shared" si="2179"/>
        <v>0</v>
      </c>
      <c r="BO1090" s="103">
        <f t="shared" si="2179"/>
        <v>0</v>
      </c>
      <c r="BP1090" s="103">
        <f t="shared" si="2179"/>
        <v>0</v>
      </c>
      <c r="BQ1090" s="103">
        <f t="shared" si="2179"/>
        <v>0</v>
      </c>
      <c r="BR1090" s="103">
        <f t="shared" si="2179"/>
        <v>0</v>
      </c>
      <c r="BS1090" s="103">
        <f t="shared" si="2179"/>
        <v>0</v>
      </c>
      <c r="BT1090" s="103">
        <f t="shared" si="2179"/>
        <v>0</v>
      </c>
      <c r="BU1090" s="103">
        <f t="shared" ref="BU1090:BY1090" si="2180">+BU1088*BU1089</f>
        <v>0</v>
      </c>
      <c r="BV1090" s="103">
        <f t="shared" si="2180"/>
        <v>0</v>
      </c>
      <c r="BW1090" s="103">
        <f t="shared" si="2180"/>
        <v>0</v>
      </c>
      <c r="BX1090" s="103">
        <f t="shared" si="2180"/>
        <v>0</v>
      </c>
      <c r="BY1090" s="103">
        <f t="shared" si="2180"/>
        <v>0</v>
      </c>
    </row>
    <row r="1091" spans="2:77" outlineLevel="1">
      <c r="E1091" s="25" t="s">
        <v>243</v>
      </c>
      <c r="F1091" s="81" t="s">
        <v>423</v>
      </c>
      <c r="G1091" s="25"/>
      <c r="H1091" s="100">
        <f ca="1">1/(1+Assumptions!$H$356)*IF(G1091=0,1,G1091)</f>
        <v>0.95979422011920645</v>
      </c>
      <c r="I1091" s="100">
        <f ca="1">1/(1+Assumptions!$H$356)*IF(H1091=0,1,H1091)</f>
        <v>0.92120494497423577</v>
      </c>
      <c r="J1091" s="100">
        <f ca="1">1/(1+Assumptions!$H$356)*IF(I1091=0,1,I1091)</f>
        <v>0.8841671817315031</v>
      </c>
      <c r="K1091" s="100">
        <f ca="1">1/(1+Assumptions!$H$356)*IF(J1091=0,1,J1091)</f>
        <v>0.8486185506449847</v>
      </c>
      <c r="L1091" s="100">
        <f ca="1">1/(1+Assumptions!$H$356)*IF(K1091=0,1,K1091)</f>
        <v>0.81449917999499444</v>
      </c>
      <c r="M1091" s="100">
        <f ca="1">1/(1+Assumptions!$H$356)*IF(L1091=0,1,L1091)</f>
        <v>0.78175160525102882</v>
      </c>
      <c r="N1091" s="100">
        <f ca="1">1/(1+Assumptions!$H$356)*IF(M1091=0,1,M1091)</f>
        <v>0.75032067228884891</v>
      </c>
      <c r="O1091" s="100">
        <f ca="1">1/(1+Assumptions!$H$356)*IF(N1091=0,1,N1091)</f>
        <v>0.72015344449879437</v>
      </c>
      <c r="P1091" s="100">
        <f ca="1">1/(1+Assumptions!$H$356)*IF(O1091=0,1,O1091)</f>
        <v>0.69119911362888053</v>
      </c>
      <c r="Q1091" s="100">
        <f ca="1">1/(1+Assumptions!$H$356)*IF(P1091=0,1,P1091)</f>
        <v>0.66340891421251813</v>
      </c>
      <c r="R1091" s="100">
        <f ca="1">1/(1+Assumptions!$H$356)*IF(Q1091=0,1,Q1091)</f>
        <v>0.63673604143673335</v>
      </c>
      <c r="S1091" s="100">
        <f ca="1">1/(1+Assumptions!$H$356)*IF(R1091=0,1,R1091)</f>
        <v>0.61113557231256022</v>
      </c>
      <c r="T1091" s="100">
        <f ca="1">1/(1+Assumptions!$H$356)*IF(S1091=0,1,S1091)</f>
        <v>0.58656439001483862</v>
      </c>
      <c r="U1091" s="100">
        <f ca="1">1/(1+Assumptions!$H$356)*IF(T1091=0,1,T1091)</f>
        <v>0.56298111126399009</v>
      </c>
      <c r="V1091" s="100">
        <f ca="1">1/(1+Assumptions!$H$356)*IF(U1091=0,1,U1091)</f>
        <v>0.54034601662746551</v>
      </c>
      <c r="W1091" s="100">
        <f ca="1">1/(1+Assumptions!$H$356)*IF(V1091=0,1,V1091)</f>
        <v>0.51862098362347797</v>
      </c>
      <c r="X1091" s="100">
        <f ca="1">1/(1+Assumptions!$H$356)*IF(W1091=0,1,W1091)</f>
        <v>0.4977694225143518</v>
      </c>
      <c r="Y1091" s="100">
        <f ca="1">1/(1+Assumptions!$H$356)*IF(X1091=0,1,X1091)</f>
        <v>0.47775621468135004</v>
      </c>
      <c r="Z1091" s="100">
        <f ca="1">1/(1+Assumptions!$H$356)*IF(Y1091=0,1,Y1091)</f>
        <v>0.45854765347719056</v>
      </c>
      <c r="AA1091" s="100">
        <f ca="1">1/(1+Assumptions!$H$356)*IF(Z1091=0,1,Z1091)</f>
        <v>0.44011138745663225</v>
      </c>
      <c r="AB1091" s="100">
        <f ca="1">1/(1+Assumptions!$H$356)*IF(AA1091=0,1,AA1091)</f>
        <v>0.42241636588952025</v>
      </c>
      <c r="AC1091" s="100">
        <f ca="1">1/(1+Assumptions!$H$356)*IF(AB1091=0,1,AB1091)</f>
        <v>0.40543278646452147</v>
      </c>
      <c r="AD1091" s="100">
        <f ca="1">1/(1+Assumptions!$H$356)*IF(AC1091=0,1,AC1091)</f>
        <v>0.38913204509547217</v>
      </c>
      <c r="AE1091" s="100">
        <f ca="1">1/(1+Assumptions!$H$356)*IF(AD1091=0,1,AD1091)</f>
        <v>0.37348668774580057</v>
      </c>
      <c r="AF1091" s="100">
        <f ca="1">1/(1+Assumptions!$H$356)*IF(AE1091=0,1,AE1091)</f>
        <v>0.35847036418988626</v>
      </c>
      <c r="AG1091" s="100">
        <f ca="1">1/(1+Assumptions!$H$356)*IF(AF1091=0,1,AF1091)</f>
        <v>0.34405778363347977</v>
      </c>
      <c r="AH1091" s="100">
        <f ca="1">1/(1+Assumptions!$H$356)*IF(AG1091=0,1,AG1091)</f>
        <v>0.33022467211843837</v>
      </c>
      <c r="AI1091" s="100">
        <f ca="1">1/(1+Assumptions!$H$356)*IF(AH1091=0,1,AH1091)</f>
        <v>0.3169477316400372</v>
      </c>
      <c r="AJ1091" s="100">
        <f ca="1">1/(1+Assumptions!$H$356)*IF(AI1091=0,1,AI1091)</f>
        <v>0.30420460090800105</v>
      </c>
      <c r="AK1091" s="100">
        <f ca="1">1/(1+Assumptions!$H$356)*IF(AJ1091=0,1,AJ1091)</f>
        <v>0.29197381768516933</v>
      </c>
      <c r="AL1091" s="100">
        <f ca="1">1/(1+Assumptions!$H$356)*IF(AK1091=0,1,AK1091)</f>
        <v>0.28023478264036444</v>
      </c>
      <c r="AM1091" s="100">
        <f ca="1">1/(1+Assumptions!$H$356)*IF(AL1091=0,1,AL1091)</f>
        <v>0.26896772465458391</v>
      </c>
      <c r="AN1091" s="100">
        <f ca="1">1/(1+Assumptions!$H$356)*IF(AM1091=0,1,AM1091)</f>
        <v>0.2581536675220838</v>
      </c>
      <c r="AO1091" s="100">
        <f ca="1">1/(1+Assumptions!$H$356)*IF(AN1091=0,1,AN1091)</f>
        <v>0.24777439799027134</v>
      </c>
      <c r="AP1091" s="100">
        <f ca="1">1/(1+Assumptions!$H$356)*IF(AO1091=0,1,AO1091)</f>
        <v>0.23781243508457836</v>
      </c>
      <c r="AQ1091" s="100">
        <f ca="1">1/(1+Assumptions!$H$356)*IF(AP1091=0,1,AP1091)</f>
        <v>0.2282510006666523</v>
      </c>
      <c r="AR1091" s="100">
        <f ca="1">1/(1+Assumptions!$H$356)*IF(AQ1091=0,1,AQ1091)</f>
        <v>0.21907399117627802</v>
      </c>
      <c r="AS1091" s="100">
        <f ca="1">1/(1+Assumptions!$H$356)*IF(AR1091=0,1,AR1091)</f>
        <v>0.21026595050943767</v>
      </c>
      <c r="AT1091" s="100">
        <f ca="1">1/(1+Assumptions!$H$356)*IF(AS1091=0,1,AS1091)</f>
        <v>0.20181204398682939</v>
      </c>
      <c r="AU1091" s="100">
        <f ca="1">1/(1+Assumptions!$H$356)*IF(AT1091=0,1,AT1091)</f>
        <v>0.1936980333690019</v>
      </c>
      <c r="AV1091" s="100">
        <f ca="1">1/(1+Assumptions!$H$356)*IF(AU1091=0,1,AU1091)</f>
        <v>0.18591025287602522</v>
      </c>
      <c r="AW1091" s="100">
        <f ca="1">1/(1+Assumptions!$H$356)*IF(AV1091=0,1,AV1091)</f>
        <v>0.17843558617130909</v>
      </c>
      <c r="AX1091" s="100">
        <f ca="1">1/(1+Assumptions!$H$356)*IF(AW1091=0,1,AW1091)</f>
        <v>0.17126144427080506</v>
      </c>
      <c r="AY1091" s="100">
        <f ca="1">1/(1+Assumptions!$H$356)*IF(AX1091=0,1,AX1091)</f>
        <v>0.16437574434038627</v>
      </c>
      <c r="AZ1091" s="100">
        <f ca="1">1/(1+Assumptions!$H$356)*IF(AY1091=0,1,AY1091)</f>
        <v>0.1577668893456951</v>
      </c>
      <c r="BA1091" s="100">
        <f ca="1">1/(1+Assumptions!$H$356)*IF(AZ1091=0,1,AZ1091)</f>
        <v>0.15142374852018459</v>
      </c>
      <c r="BB1091" s="100">
        <f ca="1">1/(1+Assumptions!$H$356)*IF(BA1091=0,1,BA1091)</f>
        <v>0.14533563861845741</v>
      </c>
      <c r="BC1091" s="100">
        <f ca="1">1/(1+Assumptions!$H$356)*IF(BB1091=0,1,BB1091)</f>
        <v>0.13949230592332915</v>
      </c>
      <c r="BD1091" s="100">
        <f ca="1">1/(1+Assumptions!$H$356)*IF(BC1091=0,1,BC1091)</f>
        <v>0.13388390897631147</v>
      </c>
      <c r="BE1091" s="100">
        <f ca="1">1/(1+Assumptions!$H$356)*IF(BD1091=0,1,BD1091)</f>
        <v>0.1285010020024297</v>
      </c>
      <c r="BF1091" s="100">
        <f ca="1">1/(1+Assumptions!$H$356)*IF(BE1091=0,1,BE1091)</f>
        <v>0.1233345190014586</v>
      </c>
      <c r="BG1091" s="100">
        <f ca="1">1/(1+Assumptions!$H$356)*IF(BF1091=0,1,BF1091)</f>
        <v>0.11837575847878241</v>
      </c>
      <c r="BH1091" s="100">
        <f ca="1">1/(1+Assumptions!$H$356)*IF(BG1091=0,1,BG1091)</f>
        <v>0.11361636879016251</v>
      </c>
      <c r="BI1091" s="100">
        <f ca="1">1/(1+Assumptions!$H$356)*IF(BH1091=0,1,BH1091)</f>
        <v>0.10904833407573018</v>
      </c>
      <c r="BJ1091" s="100">
        <f ca="1">1/(1+Assumptions!$H$356)*IF(BI1091=0,1,BI1091)</f>
        <v>0.10466396075951413</v>
      </c>
      <c r="BK1091" s="100">
        <f ca="1">1/(1+Assumptions!$H$356)*IF(BJ1091=0,1,BJ1091)</f>
        <v>0.10045586459176509</v>
      </c>
      <c r="BL1091" s="100">
        <f ca="1">1/(1+Assumptions!$H$356)*IF(BK1091=0,1,BK1091)</f>
        <v>9.6416958212253781E-2</v>
      </c>
      <c r="BM1091" s="100">
        <f ca="1">1/(1+Assumptions!$H$356)*IF(BL1091=0,1,BL1091)</f>
        <v>9.254043921359624E-2</v>
      </c>
      <c r="BN1091" s="100">
        <f ca="1">1/(1+Assumptions!$H$356)*IF(BM1091=0,1,BM1091)</f>
        <v>8.8819778684502429E-2</v>
      </c>
      <c r="BO1091" s="100">
        <f ca="1">1/(1+Assumptions!$H$356)*IF(BN1091=0,1,BN1091)</f>
        <v>8.5248710213652532E-2</v>
      </c>
      <c r="BP1091" s="100">
        <f ca="1">1/(1+Assumptions!$H$356)*IF(BO1091=0,1,BO1091)</f>
        <v>8.1821219335680859E-2</v>
      </c>
      <c r="BQ1091" s="100">
        <f ca="1">1/(1+Assumptions!$H$356)*IF(BP1091=0,1,BP1091)</f>
        <v>7.853153340149234E-2</v>
      </c>
      <c r="BR1091" s="100">
        <f ca="1">1/(1+Assumptions!$H$356)*IF(BQ1091=0,1,BQ1091)</f>
        <v>7.5374111855850759E-2</v>
      </c>
      <c r="BS1091" s="100">
        <f ca="1">1/(1+Assumptions!$H$356)*IF(BR1091=0,1,BR1091)</f>
        <v>7.2343636905864109E-2</v>
      </c>
      <c r="BT1091" s="100">
        <f ca="1">1/(1+Assumptions!$H$356)*IF(BS1091=0,1,BS1091)</f>
        <v>6.943500456465089E-2</v>
      </c>
      <c r="BU1091" s="100">
        <f ca="1">1/(1+Assumptions!$H$356)*IF(BT1091=0,1,BT1091)</f>
        <v>6.6643316055102639E-2</v>
      </c>
      <c r="BV1091" s="100">
        <f ca="1">1/(1+Assumptions!$H$356)*IF(BU1091=0,1,BU1091)</f>
        <v>6.396386955926503E-2</v>
      </c>
      <c r="BW1091" s="100">
        <f ca="1">1/(1+Assumptions!$H$356)*IF(BV1091=0,1,BV1091)</f>
        <v>6.1392152299441428E-2</v>
      </c>
      <c r="BX1091" s="100">
        <f ca="1">1/(1+Assumptions!$H$356)*IF(BW1091=0,1,BW1091)</f>
        <v>5.8923832937681934E-2</v>
      </c>
      <c r="BY1091" s="100">
        <f ca="1">1/(1+Assumptions!$H$356)*IF(BX1091=0,1,BX1091)</f>
        <v>5.6554754280856843E-2</v>
      </c>
    </row>
    <row r="1092" spans="2:77" outlineLevel="1">
      <c r="E1092" t="s">
        <v>548</v>
      </c>
      <c r="F1092" s="80" t="s">
        <v>549</v>
      </c>
      <c r="H1092" s="33">
        <f ca="1">+IF(Assumptions!$H$376="Yes",H1091*H1090,0)</f>
        <v>0</v>
      </c>
      <c r="I1092" s="33">
        <f ca="1">+IF(Assumptions!$H$376="Yes",I1091*I1090,0)</f>
        <v>0</v>
      </c>
      <c r="J1092" s="33">
        <f ca="1">+IF(Assumptions!$H$376="Yes",J1091*J1090,0)</f>
        <v>0</v>
      </c>
      <c r="K1092" s="33">
        <f ca="1">+IF(Assumptions!$H$376="Yes",K1091*K1090,0)</f>
        <v>-709259.2904121849</v>
      </c>
      <c r="L1092" s="33">
        <f ca="1">+IF(Assumptions!$H$376="Yes",L1091*L1090,0)</f>
        <v>-895976.81984203064</v>
      </c>
      <c r="M1092" s="33">
        <f ca="1">+IF(Assumptions!$H$376="Yes",M1091*M1090,0)</f>
        <v>-1066533.5804937154</v>
      </c>
      <c r="N1092" s="33">
        <f ca="1">+IF(Assumptions!$H$376="Yes",N1091*N1090,0)</f>
        <v>-1221927.2552210516</v>
      </c>
      <c r="O1092" s="33">
        <f ca="1">+IF(Assumptions!$H$376="Yes",O1091*O1090,0)</f>
        <v>-1363101.4256026959</v>
      </c>
      <c r="P1092" s="33">
        <f ca="1">+IF(Assumptions!$H$376="Yes",P1091*P1090,0)</f>
        <v>-1490948.3095510555</v>
      </c>
      <c r="Q1092" s="33">
        <f ca="1">+IF(Assumptions!$H$376="Yes",Q1091*Q1090,0)</f>
        <v>-1709902.3367441408</v>
      </c>
      <c r="R1092" s="33">
        <f ca="1">+IF(Assumptions!$H$376="Yes",R1091*R1090,0)</f>
        <v>-1908839.8040912924</v>
      </c>
      <c r="S1092" s="33">
        <f ca="1">+IF(Assumptions!$H$376="Yes",S1091*S1090,0)</f>
        <v>-2089016.3341690034</v>
      </c>
      <c r="T1092" s="33">
        <f ca="1">+IF(Assumptions!$H$376="Yes",T1091*T1090,0)</f>
        <v>-2251618.9398473939</v>
      </c>
      <c r="U1092" s="33">
        <f ca="1">+IF(Assumptions!$H$376="Yes",U1091*U1090,0)</f>
        <v>-2397769.5115844915</v>
      </c>
      <c r="V1092" s="33">
        <f ca="1">+IF(Assumptions!$H$376="Yes",V1091*V1090,0)</f>
        <v>-2398720.8113161721</v>
      </c>
      <c r="W1092" s="33">
        <f ca="1">+IF(Assumptions!$H$376="Yes",W1091*W1090,0)</f>
        <v>-2395719.6097817626</v>
      </c>
      <c r="X1092" s="33">
        <f ca="1">+IF(Assumptions!$H$376="Yes",X1091*X1090,0)</f>
        <v>-2389082.1959924847</v>
      </c>
      <c r="Y1092" s="33">
        <f ca="1">+IF(Assumptions!$H$376="Yes",Y1091*Y1090,0)</f>
        <v>-2379105.8149038693</v>
      </c>
      <c r="Z1092" s="33">
        <f ca="1">+IF(Assumptions!$H$376="Yes",Z1091*Z1090,0)</f>
        <v>0</v>
      </c>
      <c r="AA1092" s="33">
        <f ca="1">+IF(Assumptions!$H$376="Yes",AA1091*AA1090,0)</f>
        <v>0</v>
      </c>
      <c r="AB1092" s="33">
        <f ca="1">+IF(Assumptions!$H$376="Yes",AB1091*AB1090,0)</f>
        <v>0</v>
      </c>
      <c r="AC1092" s="33">
        <f ca="1">+IF(Assumptions!$H$376="Yes",AC1091*AC1090,0)</f>
        <v>0</v>
      </c>
      <c r="AD1092" s="33">
        <f ca="1">+IF(Assumptions!$H$376="Yes",AD1091*AD1090,0)</f>
        <v>0</v>
      </c>
      <c r="AE1092" s="33">
        <f ca="1">+IF(Assumptions!$H$376="Yes",AE1091*AE1090,0)</f>
        <v>0</v>
      </c>
      <c r="AF1092" s="33">
        <f ca="1">+IF(Assumptions!$H$376="Yes",AF1091*AF1090,0)</f>
        <v>0</v>
      </c>
      <c r="AG1092" s="33">
        <f ca="1">+IF(Assumptions!$H$376="Yes",AG1091*AG1090,0)</f>
        <v>0</v>
      </c>
      <c r="AH1092" s="33">
        <f ca="1">+IF(Assumptions!$H$376="Yes",AH1091*AH1090,0)</f>
        <v>0</v>
      </c>
      <c r="AI1092" s="33">
        <f ca="1">+IF(Assumptions!$H$376="Yes",AI1091*AI1090,0)</f>
        <v>0</v>
      </c>
      <c r="AJ1092" s="33">
        <f ca="1">+IF(Assumptions!$H$376="Yes",AJ1091*AJ1090,0)</f>
        <v>0</v>
      </c>
      <c r="AK1092" s="33">
        <f ca="1">+IF(Assumptions!$H$376="Yes",AK1091*AK1090,0)</f>
        <v>0</v>
      </c>
      <c r="AL1092" s="33">
        <f ca="1">+IF(Assumptions!$H$376="Yes",AL1091*AL1090,0)</f>
        <v>0</v>
      </c>
      <c r="AM1092" s="33">
        <f ca="1">+IF(Assumptions!$H$376="Yes",AM1091*AM1090,0)</f>
        <v>0</v>
      </c>
      <c r="AN1092" s="33">
        <f ca="1">+IF(Assumptions!$H$376="Yes",AN1091*AN1090,0)</f>
        <v>0</v>
      </c>
      <c r="AO1092" s="33">
        <f ca="1">+IF(Assumptions!$H$376="Yes",AO1091*AO1090,0)</f>
        <v>0</v>
      </c>
      <c r="AP1092" s="33">
        <f ca="1">+IF(Assumptions!$H$376="Yes",AP1091*AP1090,0)</f>
        <v>0</v>
      </c>
      <c r="AQ1092" s="33">
        <f ca="1">+IF(Assumptions!$H$376="Yes",AQ1091*AQ1090,0)</f>
        <v>0</v>
      </c>
      <c r="AR1092" s="33">
        <f ca="1">+IF(Assumptions!$H$376="Yes",AR1091*AR1090,0)</f>
        <v>0</v>
      </c>
      <c r="AS1092" s="33">
        <f ca="1">+IF(Assumptions!$H$376="Yes",AS1091*AS1090,0)</f>
        <v>0</v>
      </c>
      <c r="AT1092" s="33">
        <f ca="1">+IF(Assumptions!$H$376="Yes",AT1091*AT1090,0)</f>
        <v>0</v>
      </c>
      <c r="AU1092" s="33">
        <f ca="1">+IF(Assumptions!$H$376="Yes",AU1091*AU1090,0)</f>
        <v>0</v>
      </c>
      <c r="AV1092" s="33">
        <f ca="1">+IF(Assumptions!$H$376="Yes",AV1091*AV1090,0)</f>
        <v>0</v>
      </c>
      <c r="AW1092" s="33">
        <f ca="1">+IF(Assumptions!$H$376="Yes",AW1091*AW1090,0)</f>
        <v>0</v>
      </c>
      <c r="AX1092" s="33">
        <f ca="1">+IF(Assumptions!$H$376="Yes",AX1091*AX1090,0)</f>
        <v>0</v>
      </c>
      <c r="AY1092" s="33">
        <f ca="1">+IF(Assumptions!$H$376="Yes",AY1091*AY1090,0)</f>
        <v>0</v>
      </c>
      <c r="AZ1092" s="33">
        <f ca="1">+IF(Assumptions!$H$376="Yes",AZ1091*AZ1090,0)</f>
        <v>0</v>
      </c>
      <c r="BA1092" s="33">
        <f ca="1">+IF(Assumptions!$H$376="Yes",BA1091*BA1090,0)</f>
        <v>0</v>
      </c>
      <c r="BB1092" s="33">
        <f ca="1">+IF(Assumptions!$H$376="Yes",BB1091*BB1090,0)</f>
        <v>0</v>
      </c>
      <c r="BC1092" s="33">
        <f ca="1">+IF(Assumptions!$H$376="Yes",BC1091*BC1090,0)</f>
        <v>0</v>
      </c>
      <c r="BD1092" s="33">
        <f ca="1">+IF(Assumptions!$H$376="Yes",BD1091*BD1090,0)</f>
        <v>0</v>
      </c>
      <c r="BE1092" s="33">
        <f ca="1">+IF(Assumptions!$H$376="Yes",BE1091*BE1090,0)</f>
        <v>0</v>
      </c>
      <c r="BF1092" s="33">
        <f ca="1">+IF(Assumptions!$H$376="Yes",BF1091*BF1090,0)</f>
        <v>0</v>
      </c>
      <c r="BG1092" s="33">
        <f ca="1">+IF(Assumptions!$H$376="Yes",BG1091*BG1090,0)</f>
        <v>0</v>
      </c>
      <c r="BH1092" s="33">
        <f ca="1">+IF(Assumptions!$H$376="Yes",BH1091*BH1090,0)</f>
        <v>0</v>
      </c>
      <c r="BI1092" s="33">
        <f ca="1">+IF(Assumptions!$H$376="Yes",BI1091*BI1090,0)</f>
        <v>0</v>
      </c>
      <c r="BJ1092" s="33">
        <f ca="1">+IF(Assumptions!$H$376="Yes",BJ1091*BJ1090,0)</f>
        <v>0</v>
      </c>
      <c r="BK1092" s="33">
        <f ca="1">+IF(Assumptions!$H$376="Yes",BK1091*BK1090,0)</f>
        <v>0</v>
      </c>
      <c r="BL1092" s="33">
        <f ca="1">+IF(Assumptions!$H$376="Yes",BL1091*BL1090,0)</f>
        <v>0</v>
      </c>
      <c r="BM1092" s="33">
        <f ca="1">+IF(Assumptions!$H$376="Yes",BM1091*BM1090,0)</f>
        <v>0</v>
      </c>
      <c r="BN1092" s="33">
        <f ca="1">+IF(Assumptions!$H$376="Yes",BN1091*BN1090,0)</f>
        <v>0</v>
      </c>
      <c r="BO1092" s="33">
        <f ca="1">+IF(Assumptions!$H$376="Yes",BO1091*BO1090,0)</f>
        <v>0</v>
      </c>
      <c r="BP1092" s="33">
        <f ca="1">+IF(Assumptions!$H$376="Yes",BP1091*BP1090,0)</f>
        <v>0</v>
      </c>
      <c r="BQ1092" s="33">
        <f ca="1">+IF(Assumptions!$H$376="Yes",BQ1091*BQ1090,0)</f>
        <v>0</v>
      </c>
      <c r="BR1092" s="33">
        <f ca="1">+IF(Assumptions!$H$376="Yes",BR1091*BR1090,0)</f>
        <v>0</v>
      </c>
      <c r="BS1092" s="33">
        <f ca="1">+IF(Assumptions!$H$376="Yes",BS1091*BS1090,0)</f>
        <v>0</v>
      </c>
      <c r="BT1092" s="33">
        <f ca="1">+IF(Assumptions!$H$376="Yes",BT1091*BT1090,0)</f>
        <v>0</v>
      </c>
      <c r="BU1092" s="33">
        <f ca="1">+IF(Assumptions!$H$376="Yes",BU1091*BU1090,0)</f>
        <v>0</v>
      </c>
      <c r="BV1092" s="33">
        <f ca="1">+IF(Assumptions!$H$376="Yes",BV1091*BV1090,0)</f>
        <v>0</v>
      </c>
      <c r="BW1092" s="33">
        <f ca="1">+IF(Assumptions!$H$376="Yes",BW1091*BW1090,0)</f>
        <v>0</v>
      </c>
      <c r="BX1092" s="33">
        <f ca="1">+IF(Assumptions!$H$376="Yes",BX1091*BX1090,0)</f>
        <v>0</v>
      </c>
      <c r="BY1092" s="33">
        <f ca="1">+IF(Assumptions!$H$376="Yes",BY1091*BY1090,0)</f>
        <v>0</v>
      </c>
    </row>
    <row r="1093" spans="2:77" outlineLevel="1">
      <c r="F1093" s="80"/>
      <c r="BF1093" s="33"/>
      <c r="BG1093" s="33"/>
      <c r="BH1093" s="33"/>
      <c r="BI1093" s="33"/>
      <c r="BJ1093" s="33"/>
      <c r="BK1093" s="33"/>
      <c r="BL1093" s="33"/>
      <c r="BM1093" s="33"/>
      <c r="BN1093" s="33"/>
      <c r="BO1093" s="33"/>
      <c r="BP1093" s="33"/>
      <c r="BQ1093" s="33"/>
      <c r="BR1093" s="33"/>
      <c r="BS1093" s="33"/>
      <c r="BT1093" s="33"/>
      <c r="BU1093" s="33"/>
      <c r="BV1093" s="33"/>
      <c r="BW1093" s="33"/>
      <c r="BX1093" s="33"/>
      <c r="BY1093" s="33"/>
    </row>
    <row r="1094" spans="2:77" ht="15" outlineLevel="1">
      <c r="E1094" s="22" t="s">
        <v>553</v>
      </c>
      <c r="F1094" s="80"/>
      <c r="BF1094" s="33"/>
      <c r="BG1094" s="33"/>
      <c r="BH1094" s="33"/>
      <c r="BI1094" s="33"/>
      <c r="BJ1094" s="33"/>
      <c r="BK1094" s="33"/>
      <c r="BL1094" s="33"/>
      <c r="BM1094" s="33"/>
      <c r="BN1094" s="33"/>
      <c r="BO1094" s="33"/>
      <c r="BP1094" s="33"/>
      <c r="BQ1094" s="33"/>
      <c r="BR1094" s="33"/>
      <c r="BS1094" s="33"/>
      <c r="BT1094" s="33"/>
      <c r="BU1094" s="33"/>
      <c r="BV1094" s="33"/>
      <c r="BW1094" s="33"/>
      <c r="BX1094" s="33"/>
      <c r="BY1094" s="33"/>
    </row>
    <row r="1095" spans="2:77" outlineLevel="1">
      <c r="E1095" t="s">
        <v>551</v>
      </c>
      <c r="F1095" s="23" t="s">
        <v>545</v>
      </c>
      <c r="H1095" s="33">
        <f>+IFERROR(_xlfn.XLOOKUP(YEAR(H3),'Calculations (main)'!$H$133:$AD$133,'Calculations (main)'!$H$135:$AD$135),0)</f>
        <v>0</v>
      </c>
      <c r="I1095" s="33">
        <f ca="1">+IFERROR(_xlfn.XLOOKUP(YEAR(I3),'Calculations (main)'!$H$133:$AD$133,'Calculations (main)'!$H$135:$AD$135),0)</f>
        <v>4.1265058799999181</v>
      </c>
      <c r="J1095" s="33">
        <f ca="1">+IFERROR(_xlfn.XLOOKUP(YEAR(J3),'Calculations (main)'!$H$133:$AD$133,'Calculations (main)'!$H$135:$AD$135),0)</f>
        <v>-6.4153974000000193</v>
      </c>
      <c r="K1095" s="33">
        <f ca="1">+IFERROR(_xlfn.XLOOKUP(YEAR(K3),'Calculations (main)'!$H$133:$AD$133,'Calculations (main)'!$H$135:$AD$135),0)</f>
        <v>-13.916717399999962</v>
      </c>
      <c r="L1095" s="33">
        <f ca="1">+IFERROR(_xlfn.XLOOKUP(YEAR(L3),'Calculations (main)'!$H$133:$AD$133,'Calculations (main)'!$H$135:$AD$135),0)</f>
        <v>-30.4196214</v>
      </c>
      <c r="M1095" s="33">
        <f ca="1">+IFERROR(_xlfn.XLOOKUP(YEAR(M3),'Calculations (main)'!$H$133:$AD$133,'Calculations (main)'!$H$135:$AD$135),0)</f>
        <v>-46.922525399999984</v>
      </c>
      <c r="N1095" s="33">
        <f ca="1">+IFERROR(_xlfn.XLOOKUP(YEAR(N3),'Calculations (main)'!$H$133:$AD$133,'Calculations (main)'!$H$135:$AD$135),0)</f>
        <v>-104.49260772</v>
      </c>
      <c r="O1095" s="33">
        <f ca="1">+IFERROR(_xlfn.XLOOKUP(YEAR(O3),'Calculations (main)'!$H$133:$AD$133,'Calculations (main)'!$H$135:$AD$135),0)</f>
        <v>-167.20364292000002</v>
      </c>
      <c r="P1095" s="33">
        <f ca="1">+IFERROR(_xlfn.XLOOKUP(YEAR(P3),'Calculations (main)'!$H$133:$AD$133,'Calculations (main)'!$H$135:$AD$135),0)</f>
        <v>-229.91467812001622</v>
      </c>
      <c r="Q1095" s="33">
        <f ca="1">+IFERROR(_xlfn.XLOOKUP(YEAR(Q3),'Calculations (main)'!$H$133:$AD$133,'Calculations (main)'!$H$135:$AD$135),0)</f>
        <v>-329.6822341200064</v>
      </c>
      <c r="R1095" s="33">
        <f ca="1">+IFERROR(_xlfn.XLOOKUP(YEAR(R3),'Calculations (main)'!$H$133:$AD$133,'Calculations (main)'!$H$135:$AD$135),0)</f>
        <v>-429.44979011999675</v>
      </c>
      <c r="S1095" s="33">
        <f ca="1">+IFERROR(_xlfn.XLOOKUP(YEAR(S3),'Calculations (main)'!$H$133:$AD$133,'Calculations (main)'!$H$135:$AD$135),0)</f>
        <v>-529.21734612002751</v>
      </c>
      <c r="T1095" s="33">
        <f ca="1">+IFERROR(_xlfn.XLOOKUP(YEAR(T3),'Calculations (main)'!$H$133:$AD$133,'Calculations (main)'!$H$135:$AD$135),0)</f>
        <v>-628.98490212001786</v>
      </c>
      <c r="U1095" s="33">
        <f ca="1">+IFERROR(_xlfn.XLOOKUP(YEAR(U3),'Calculations (main)'!$H$133:$AD$133,'Calculations (main)'!$H$135:$AD$135),0)</f>
        <v>-728.75245812000821</v>
      </c>
      <c r="V1095" s="33">
        <f ca="1">+IFERROR(_xlfn.XLOOKUP(YEAR(V3),'Calculations (main)'!$H$133:$AD$133,'Calculations (main)'!$H$135:$AD$135),0)</f>
        <v>-771.50998211999968</v>
      </c>
      <c r="W1095" s="33">
        <f ca="1">+IFERROR(_xlfn.XLOOKUP(YEAR(W3),'Calculations (main)'!$H$133:$AD$133,'Calculations (main)'!$H$135:$AD$135),0)</f>
        <v>-814.26750612000126</v>
      </c>
      <c r="X1095" s="33">
        <f ca="1">+IFERROR(_xlfn.XLOOKUP(YEAR(X3),'Calculations (main)'!$H$133:$AD$133,'Calculations (main)'!$H$135:$AD$135),0)</f>
        <v>-857.02503012000295</v>
      </c>
      <c r="Y1095" s="33">
        <f ca="1">+IFERROR(_xlfn.XLOOKUP(YEAR(Y3),'Calculations (main)'!$H$133:$AD$133,'Calculations (main)'!$H$135:$AD$135),0)</f>
        <v>-899.78255412000453</v>
      </c>
      <c r="Z1095" s="33">
        <f ca="1">+IFERROR(_xlfn.XLOOKUP(YEAR(Z3),'Calculations (main)'!$H$133:$AD$133,'Calculations (main)'!$H$135:$AD$135),0)</f>
        <v>-942.54007811999577</v>
      </c>
      <c r="AA1095" s="33">
        <f>+IFERROR(_xlfn.XLOOKUP(YEAR(AA3),'Calculations (main)'!$H$133:$AD$133,'Calculations (main)'!$H$135:$AD$135),0)</f>
        <v>0</v>
      </c>
      <c r="AB1095" s="33">
        <f>+IFERROR(_xlfn.XLOOKUP(YEAR(AB3),'Calculations (main)'!$H$133:$AD$133,'Calculations (main)'!$H$135:$AD$135),0)</f>
        <v>0</v>
      </c>
      <c r="AC1095" s="33">
        <f>+IFERROR(_xlfn.XLOOKUP(YEAR(AC3),'Calculations (main)'!$H$133:$AD$133,'Calculations (main)'!$H$135:$AD$135),0)</f>
        <v>0</v>
      </c>
      <c r="AD1095" s="33">
        <f>+IFERROR(_xlfn.XLOOKUP(YEAR(AD3),'Calculations (main)'!$H$133:$AD$133,'Calculations (main)'!$H$135:$AD$135),0)</f>
        <v>0</v>
      </c>
      <c r="AE1095" s="33">
        <f>+IFERROR(_xlfn.XLOOKUP(YEAR(AE3),'Calculations (main)'!$H$133:$AD$133,'Calculations (main)'!$H$135:$AD$135),0)</f>
        <v>0</v>
      </c>
      <c r="AF1095" s="33">
        <f>+IFERROR(_xlfn.XLOOKUP(YEAR(AF3),'Calculations (main)'!$H$133:$AD$133,'Calculations (main)'!$H$135:$AD$135),0)</f>
        <v>0</v>
      </c>
      <c r="AG1095" s="33">
        <f>+IFERROR(_xlfn.XLOOKUP(YEAR(AG3),'Calculations (main)'!$H$133:$AD$133,'Calculations (main)'!$H$135:$AD$135),0)</f>
        <v>0</v>
      </c>
      <c r="AH1095" s="33">
        <f>+IFERROR(_xlfn.XLOOKUP(YEAR(AH3),'Calculations (main)'!$H$133:$AD$133,'Calculations (main)'!$H$135:$AD$135),0)</f>
        <v>0</v>
      </c>
      <c r="AI1095" s="33">
        <f>+IFERROR(_xlfn.XLOOKUP(YEAR(AI3),'Calculations (main)'!$H$133:$AD$133,'Calculations (main)'!$H$135:$AD$135),0)</f>
        <v>0</v>
      </c>
      <c r="AJ1095" s="33">
        <f>+IFERROR(_xlfn.XLOOKUP(YEAR(AJ3),'Calculations (main)'!$H$133:$AD$133,'Calculations (main)'!$H$135:$AD$135),0)</f>
        <v>0</v>
      </c>
      <c r="AK1095" s="33">
        <f>+IFERROR(_xlfn.XLOOKUP(YEAR(AK3),'Calculations (main)'!$H$133:$AD$133,'Calculations (main)'!$H$135:$AD$135),0)</f>
        <v>0</v>
      </c>
      <c r="AL1095" s="33">
        <f>+IFERROR(_xlfn.XLOOKUP(YEAR(AL3),'Calculations (main)'!$H$133:$AD$133,'Calculations (main)'!$H$135:$AD$135),0)</f>
        <v>0</v>
      </c>
      <c r="AM1095" s="33">
        <f>+IFERROR(_xlfn.XLOOKUP(YEAR(AM3),'Calculations (main)'!$H$133:$AD$133,'Calculations (main)'!$H$135:$AD$135),0)</f>
        <v>0</v>
      </c>
      <c r="AN1095" s="33">
        <f>+IFERROR(_xlfn.XLOOKUP(YEAR(AN3),'Calculations (main)'!$H$133:$AD$133,'Calculations (main)'!$H$135:$AD$135),0)</f>
        <v>0</v>
      </c>
      <c r="AO1095" s="33">
        <f>+IFERROR(_xlfn.XLOOKUP(YEAR(AO3),'Calculations (main)'!$H$133:$AD$133,'Calculations (main)'!$H$135:$AD$135),0)</f>
        <v>0</v>
      </c>
      <c r="AP1095" s="33">
        <f>+IFERROR(_xlfn.XLOOKUP(YEAR(AP3),'Calculations (main)'!$H$133:$AD$133,'Calculations (main)'!$H$135:$AD$135),0)</f>
        <v>0</v>
      </c>
      <c r="AQ1095" s="33">
        <f>+IFERROR(_xlfn.XLOOKUP(YEAR(AQ3),'Calculations (main)'!$H$133:$AD$133,'Calculations (main)'!$H$135:$AD$135),0)</f>
        <v>0</v>
      </c>
      <c r="AR1095" s="33">
        <f>+IFERROR(_xlfn.XLOOKUP(YEAR(AR3),'Calculations (main)'!$H$133:$AD$133,'Calculations (main)'!$H$135:$AD$135),0)</f>
        <v>0</v>
      </c>
      <c r="AS1095" s="33">
        <f>+IFERROR(_xlfn.XLOOKUP(YEAR(AS3),'Calculations (main)'!$H$133:$AD$133,'Calculations (main)'!$H$135:$AD$135),0)</f>
        <v>0</v>
      </c>
      <c r="AT1095" s="33">
        <f>+IFERROR(_xlfn.XLOOKUP(YEAR(AT3),'Calculations (main)'!$H$133:$AD$133,'Calculations (main)'!$H$135:$AD$135),0)</f>
        <v>0</v>
      </c>
      <c r="AU1095" s="33">
        <f>+IFERROR(_xlfn.XLOOKUP(YEAR(AU3),'Calculations (main)'!$H$133:$AD$133,'Calculations (main)'!$H$135:$AD$135),0)</f>
        <v>0</v>
      </c>
      <c r="AV1095" s="33">
        <f>+IFERROR(_xlfn.XLOOKUP(YEAR(AV3),'Calculations (main)'!$H$133:$AD$133,'Calculations (main)'!$H$135:$AD$135),0)</f>
        <v>0</v>
      </c>
      <c r="AW1095" s="33">
        <f>+IFERROR(_xlfn.XLOOKUP(YEAR(AW3),'Calculations (main)'!$H$133:$AD$133,'Calculations (main)'!$H$135:$AD$135),0)</f>
        <v>0</v>
      </c>
      <c r="AX1095" s="33">
        <f>+IFERROR(_xlfn.XLOOKUP(YEAR(AX3),'Calculations (main)'!$H$133:$AD$133,'Calculations (main)'!$H$135:$AD$135),0)</f>
        <v>0</v>
      </c>
      <c r="AY1095" s="33">
        <f>+IFERROR(_xlfn.XLOOKUP(YEAR(AY3),'Calculations (main)'!$H$133:$AD$133,'Calculations (main)'!$H$135:$AD$135),0)</f>
        <v>0</v>
      </c>
      <c r="AZ1095" s="33">
        <f>+IFERROR(_xlfn.XLOOKUP(YEAR(AZ3),'Calculations (main)'!$H$133:$AD$133,'Calculations (main)'!$H$135:$AD$135),0)</f>
        <v>0</v>
      </c>
      <c r="BA1095" s="33">
        <f>+IFERROR(_xlfn.XLOOKUP(YEAR(BA3),'Calculations (main)'!$H$133:$AD$133,'Calculations (main)'!$H$135:$AD$135),0)</f>
        <v>0</v>
      </c>
      <c r="BB1095" s="33">
        <f>+IFERROR(_xlfn.XLOOKUP(YEAR(BB3),'Calculations (main)'!$H$133:$AD$133,'Calculations (main)'!$H$135:$AD$135),0)</f>
        <v>0</v>
      </c>
      <c r="BC1095" s="33">
        <f>+IFERROR(_xlfn.XLOOKUP(YEAR(BC3),'Calculations (main)'!$H$133:$AD$133,'Calculations (main)'!$H$135:$AD$135),0)</f>
        <v>0</v>
      </c>
      <c r="BD1095" s="33">
        <f>+IFERROR(_xlfn.XLOOKUP(YEAR(BD3),'Calculations (main)'!$H$133:$AD$133,'Calculations (main)'!$H$135:$AD$135),0)</f>
        <v>0</v>
      </c>
      <c r="BE1095" s="33">
        <f>+IFERROR(_xlfn.XLOOKUP(YEAR(BE3),'Calculations (main)'!$H$133:$AD$133,'Calculations (main)'!$H$135:$AD$135),0)</f>
        <v>0</v>
      </c>
      <c r="BF1095" s="33">
        <f>+IFERROR(_xlfn.XLOOKUP(YEAR(BF3),'Calculations (main)'!$H$133:$AD$133,'Calculations (main)'!$H$135:$AD$135),0)</f>
        <v>0</v>
      </c>
      <c r="BG1095" s="33">
        <f>+IFERROR(_xlfn.XLOOKUP(YEAR(BG3),'Calculations (main)'!$H$133:$AD$133,'Calculations (main)'!$H$135:$AD$135),0)</f>
        <v>0</v>
      </c>
      <c r="BH1095" s="33">
        <f>+IFERROR(_xlfn.XLOOKUP(YEAR(BH3),'Calculations (main)'!$H$133:$AD$133,'Calculations (main)'!$H$135:$AD$135),0)</f>
        <v>0</v>
      </c>
      <c r="BI1095" s="33">
        <f>+IFERROR(_xlfn.XLOOKUP(YEAR(BI3),'Calculations (main)'!$H$133:$AD$133,'Calculations (main)'!$H$135:$AD$135),0)</f>
        <v>0</v>
      </c>
      <c r="BJ1095" s="33">
        <f>+IFERROR(_xlfn.XLOOKUP(YEAR(BJ3),'Calculations (main)'!$H$133:$AD$133,'Calculations (main)'!$H$135:$AD$135),0)</f>
        <v>0</v>
      </c>
      <c r="BK1095" s="33">
        <f>+IFERROR(_xlfn.XLOOKUP(YEAR(BK3),'Calculations (main)'!$H$133:$AD$133,'Calculations (main)'!$H$135:$AD$135),0)</f>
        <v>0</v>
      </c>
      <c r="BL1095" s="33">
        <f>+IFERROR(_xlfn.XLOOKUP(YEAR(BL3),'Calculations (main)'!$H$133:$AD$133,'Calculations (main)'!$H$135:$AD$135),0)</f>
        <v>0</v>
      </c>
      <c r="BM1095" s="33">
        <f>+IFERROR(_xlfn.XLOOKUP(YEAR(BM3),'Calculations (main)'!$H$133:$AD$133,'Calculations (main)'!$H$135:$AD$135),0)</f>
        <v>0</v>
      </c>
      <c r="BN1095" s="33">
        <f>+IFERROR(_xlfn.XLOOKUP(YEAR(BN3),'Calculations (main)'!$H$133:$AD$133,'Calculations (main)'!$H$135:$AD$135),0)</f>
        <v>0</v>
      </c>
      <c r="BO1095" s="33">
        <f>+IFERROR(_xlfn.XLOOKUP(YEAR(BO3),'Calculations (main)'!$H$133:$AD$133,'Calculations (main)'!$H$135:$AD$135),0)</f>
        <v>0</v>
      </c>
      <c r="BP1095" s="33">
        <f>+IFERROR(_xlfn.XLOOKUP(YEAR(BP3),'Calculations (main)'!$H$133:$AD$133,'Calculations (main)'!$H$135:$AD$135),0)</f>
        <v>0</v>
      </c>
      <c r="BQ1095" s="33">
        <f>+IFERROR(_xlfn.XLOOKUP(YEAR(BQ3),'Calculations (main)'!$H$133:$AD$133,'Calculations (main)'!$H$135:$AD$135),0)</f>
        <v>0</v>
      </c>
      <c r="BR1095" s="33">
        <f>+IFERROR(_xlfn.XLOOKUP(YEAR(BR3),'Calculations (main)'!$H$133:$AD$133,'Calculations (main)'!$H$135:$AD$135),0)</f>
        <v>0</v>
      </c>
      <c r="BS1095" s="33">
        <f>+IFERROR(_xlfn.XLOOKUP(YEAR(BS3),'Calculations (main)'!$H$133:$AD$133,'Calculations (main)'!$H$135:$AD$135),0)</f>
        <v>0</v>
      </c>
      <c r="BT1095" s="33">
        <f>+IFERROR(_xlfn.XLOOKUP(YEAR(BT3),'Calculations (main)'!$H$133:$AD$133,'Calculations (main)'!$H$135:$AD$135),0)</f>
        <v>0</v>
      </c>
      <c r="BU1095" s="33">
        <f>+IFERROR(_xlfn.XLOOKUP(YEAR(BU3),'Calculations (main)'!$H$133:$AD$133,'Calculations (main)'!$H$135:$AD$135),0)</f>
        <v>0</v>
      </c>
      <c r="BV1095" s="33">
        <f>+IFERROR(_xlfn.XLOOKUP(YEAR(BV3),'Calculations (main)'!$H$133:$AD$133,'Calculations (main)'!$H$135:$AD$135),0)</f>
        <v>0</v>
      </c>
      <c r="BW1095" s="33">
        <f>+IFERROR(_xlfn.XLOOKUP(YEAR(BW3),'Calculations (main)'!$H$133:$AD$133,'Calculations (main)'!$H$135:$AD$135),0)</f>
        <v>0</v>
      </c>
      <c r="BX1095" s="33">
        <f>+IFERROR(_xlfn.XLOOKUP(YEAR(BX3),'Calculations (main)'!$H$133:$AD$133,'Calculations (main)'!$H$135:$AD$135),0)</f>
        <v>0</v>
      </c>
      <c r="BY1095" s="33">
        <f>+IFERROR(_xlfn.XLOOKUP(YEAR(BY3),'Calculations (main)'!$H$133:$AD$133,'Calculations (main)'!$H$135:$AD$135),0)</f>
        <v>0</v>
      </c>
    </row>
    <row r="1096" spans="2:77" outlineLevel="1">
      <c r="E1096" t="s">
        <v>546</v>
      </c>
      <c r="F1096" s="23" t="s">
        <v>136</v>
      </c>
      <c r="H1096" s="33">
        <f>+Assumptions!$H$370*H953/_xlfn.XLOOKUP("LSFO",Data_tables!$K:$K,Data_tables!$M:$M)*Assumptions!$H$268</f>
        <v>0</v>
      </c>
      <c r="I1096" s="33">
        <f>+Assumptions!$H$370*I953/_xlfn.XLOOKUP("LSFO",Data_tables!$K:$K,Data_tables!$M:$M)*Assumptions!$H$268</f>
        <v>0</v>
      </c>
      <c r="J1096" s="33">
        <f>+Assumptions!$H$370*J953/_xlfn.XLOOKUP("LSFO",Data_tables!$K:$K,Data_tables!$M:$M)*Assumptions!$H$268</f>
        <v>0</v>
      </c>
      <c r="K1096" s="33">
        <f>+Assumptions!$H$370*K953/_xlfn.XLOOKUP("LSFO",Data_tables!$K:$K,Data_tables!$M:$M)*Assumptions!$H$268</f>
        <v>4213.8197815533977</v>
      </c>
      <c r="L1096" s="33">
        <f>+Assumptions!$H$370*L953/_xlfn.XLOOKUP("LSFO",Data_tables!$K:$K,Data_tables!$M:$M)*Assumptions!$H$268</f>
        <v>4213.8197815533977</v>
      </c>
      <c r="M1096" s="33">
        <f>+Assumptions!$H$370*M953/_xlfn.XLOOKUP("LSFO",Data_tables!$K:$K,Data_tables!$M:$M)*Assumptions!$H$268</f>
        <v>4213.8197815533977</v>
      </c>
      <c r="N1096" s="33">
        <f>+Assumptions!$H$370*N953/_xlfn.XLOOKUP("LSFO",Data_tables!$K:$K,Data_tables!$M:$M)*Assumptions!$H$268</f>
        <v>4213.8197815533977</v>
      </c>
      <c r="O1096" s="33">
        <f>+Assumptions!$H$370*O953/_xlfn.XLOOKUP("LSFO",Data_tables!$K:$K,Data_tables!$M:$M)*Assumptions!$H$268</f>
        <v>4213.8197815533977</v>
      </c>
      <c r="P1096" s="33">
        <f>+Assumptions!$H$370*P953/_xlfn.XLOOKUP("LSFO",Data_tables!$K:$K,Data_tables!$M:$M)*Assumptions!$H$268</f>
        <v>4213.8197815533977</v>
      </c>
      <c r="Q1096" s="33">
        <f>+Assumptions!$H$370*Q953/_xlfn.XLOOKUP("LSFO",Data_tables!$K:$K,Data_tables!$M:$M)*Assumptions!$H$268</f>
        <v>4213.8197815533977</v>
      </c>
      <c r="R1096" s="33">
        <f>+Assumptions!$H$370*R953/_xlfn.XLOOKUP("LSFO",Data_tables!$K:$K,Data_tables!$M:$M)*Assumptions!$H$268</f>
        <v>4213.8197815533977</v>
      </c>
      <c r="S1096" s="33">
        <f>+Assumptions!$H$370*S953/_xlfn.XLOOKUP("LSFO",Data_tables!$K:$K,Data_tables!$M:$M)*Assumptions!$H$268</f>
        <v>4213.8197815533977</v>
      </c>
      <c r="T1096" s="33">
        <f>+Assumptions!$H$370*T953/_xlfn.XLOOKUP("LSFO",Data_tables!$K:$K,Data_tables!$M:$M)*Assumptions!$H$268</f>
        <v>4213.8197815533977</v>
      </c>
      <c r="U1096" s="33">
        <f>+Assumptions!$H$370*U953/_xlfn.XLOOKUP("LSFO",Data_tables!$K:$K,Data_tables!$M:$M)*Assumptions!$H$268</f>
        <v>4213.8197815533977</v>
      </c>
      <c r="V1096" s="33">
        <f>+Assumptions!$H$370*V953/_xlfn.XLOOKUP("LSFO",Data_tables!$K:$K,Data_tables!$M:$M)*Assumptions!$H$268</f>
        <v>4213.8197815533977</v>
      </c>
      <c r="W1096" s="33">
        <f>+Assumptions!$H$370*W953/_xlfn.XLOOKUP("LSFO",Data_tables!$K:$K,Data_tables!$M:$M)*Assumptions!$H$268</f>
        <v>4213.8197815533977</v>
      </c>
      <c r="X1096" s="33">
        <f>+Assumptions!$H$370*X953/_xlfn.XLOOKUP("LSFO",Data_tables!$K:$K,Data_tables!$M:$M)*Assumptions!$H$268</f>
        <v>4213.8197815533977</v>
      </c>
      <c r="Y1096" s="33">
        <f>+Assumptions!$H$370*Y953/_xlfn.XLOOKUP("LSFO",Data_tables!$K:$K,Data_tables!$M:$M)*Assumptions!$H$268</f>
        <v>4213.8197815533977</v>
      </c>
      <c r="Z1096" s="33">
        <f>+Assumptions!$H$370*Z953/_xlfn.XLOOKUP("LSFO",Data_tables!$K:$K,Data_tables!$M:$M)*Assumptions!$H$268</f>
        <v>0</v>
      </c>
      <c r="AA1096" s="33">
        <f>+Assumptions!$H$370*AA953/_xlfn.XLOOKUP("LSFO",Data_tables!$K:$K,Data_tables!$M:$M)*Assumptions!$H$268</f>
        <v>0</v>
      </c>
      <c r="AB1096" s="33">
        <f>+Assumptions!$H$370*AB953/_xlfn.XLOOKUP("LSFO",Data_tables!$K:$K,Data_tables!$M:$M)*Assumptions!$H$268</f>
        <v>0</v>
      </c>
      <c r="AC1096" s="33">
        <f>+Assumptions!$H$370*AC953/_xlfn.XLOOKUP("LSFO",Data_tables!$K:$K,Data_tables!$M:$M)*Assumptions!$H$268</f>
        <v>0</v>
      </c>
      <c r="AD1096" s="33">
        <f>+Assumptions!$H$370*AD953/_xlfn.XLOOKUP("LSFO",Data_tables!$K:$K,Data_tables!$M:$M)*Assumptions!$H$268</f>
        <v>0</v>
      </c>
      <c r="AE1096" s="33">
        <f>+Assumptions!$H$370*AE953/_xlfn.XLOOKUP("LSFO",Data_tables!$K:$K,Data_tables!$M:$M)*Assumptions!$H$268</f>
        <v>0</v>
      </c>
      <c r="AF1096" s="33">
        <f>+Assumptions!$H$370*AF953/_xlfn.XLOOKUP("LSFO",Data_tables!$K:$K,Data_tables!$M:$M)*Assumptions!$H$268</f>
        <v>0</v>
      </c>
      <c r="AG1096" s="33">
        <f>+Assumptions!$H$370*AG953/_xlfn.XLOOKUP("LSFO",Data_tables!$K:$K,Data_tables!$M:$M)*Assumptions!$H$268</f>
        <v>0</v>
      </c>
      <c r="AH1096" s="33">
        <f>+Assumptions!$H$370*AH953/_xlfn.XLOOKUP("LSFO",Data_tables!$K:$K,Data_tables!$M:$M)*Assumptions!$H$268</f>
        <v>0</v>
      </c>
      <c r="AI1096" s="33">
        <f>+Assumptions!$H$370*AI953/_xlfn.XLOOKUP("LSFO",Data_tables!$K:$K,Data_tables!$M:$M)*Assumptions!$H$268</f>
        <v>0</v>
      </c>
      <c r="AJ1096" s="33">
        <f>+Assumptions!$H$370*AJ953/_xlfn.XLOOKUP("LSFO",Data_tables!$K:$K,Data_tables!$M:$M)*Assumptions!$H$268</f>
        <v>0</v>
      </c>
      <c r="AK1096" s="33">
        <f>+Assumptions!$H$370*AK953/_xlfn.XLOOKUP("LSFO",Data_tables!$K:$K,Data_tables!$M:$M)*Assumptions!$H$268</f>
        <v>0</v>
      </c>
      <c r="AL1096" s="33">
        <f>+Assumptions!$H$370*AL953/_xlfn.XLOOKUP("LSFO",Data_tables!$K:$K,Data_tables!$M:$M)*Assumptions!$H$268</f>
        <v>0</v>
      </c>
      <c r="AM1096" s="33">
        <f>+Assumptions!$H$370*AM953/_xlfn.XLOOKUP("LSFO",Data_tables!$K:$K,Data_tables!$M:$M)*Assumptions!$H$268</f>
        <v>0</v>
      </c>
      <c r="AN1096" s="33">
        <f>+Assumptions!$H$370*AN953/_xlfn.XLOOKUP("LSFO",Data_tables!$K:$K,Data_tables!$M:$M)*Assumptions!$H$268</f>
        <v>0</v>
      </c>
      <c r="AO1096" s="33">
        <f>+Assumptions!$H$370*AO953/_xlfn.XLOOKUP("LSFO",Data_tables!$K:$K,Data_tables!$M:$M)*Assumptions!$H$268</f>
        <v>0</v>
      </c>
      <c r="AP1096" s="33">
        <f>+Assumptions!$H$370*AP953/_xlfn.XLOOKUP("LSFO",Data_tables!$K:$K,Data_tables!$M:$M)*Assumptions!$H$268</f>
        <v>0</v>
      </c>
      <c r="AQ1096" s="33">
        <f>+Assumptions!$H$370*AQ953/_xlfn.XLOOKUP("LSFO",Data_tables!$K:$K,Data_tables!$M:$M)*Assumptions!$H$268</f>
        <v>0</v>
      </c>
      <c r="AR1096" s="33">
        <f>+Assumptions!$H$370*AR953/_xlfn.XLOOKUP("LSFO",Data_tables!$K:$K,Data_tables!$M:$M)*Assumptions!$H$268</f>
        <v>0</v>
      </c>
      <c r="AS1096" s="33">
        <f>+Assumptions!$H$370*AS953/_xlfn.XLOOKUP("LSFO",Data_tables!$K:$K,Data_tables!$M:$M)*Assumptions!$H$268</f>
        <v>0</v>
      </c>
      <c r="AT1096" s="33">
        <f>+Assumptions!$H$370*AT953/_xlfn.XLOOKUP("LSFO",Data_tables!$K:$K,Data_tables!$M:$M)*Assumptions!$H$268</f>
        <v>0</v>
      </c>
      <c r="AU1096" s="33">
        <f>+Assumptions!$H$370*AU953/_xlfn.XLOOKUP("LSFO",Data_tables!$K:$K,Data_tables!$M:$M)*Assumptions!$H$268</f>
        <v>0</v>
      </c>
      <c r="AV1096" s="33">
        <f>+Assumptions!$H$370*AV953/_xlfn.XLOOKUP("LSFO",Data_tables!$K:$K,Data_tables!$M:$M)*Assumptions!$H$268</f>
        <v>0</v>
      </c>
      <c r="AW1096" s="33">
        <f>+Assumptions!$H$370*AW953/_xlfn.XLOOKUP("LSFO",Data_tables!$K:$K,Data_tables!$M:$M)*Assumptions!$H$268</f>
        <v>0</v>
      </c>
      <c r="AX1096" s="33">
        <f>+Assumptions!$H$370*AX953/_xlfn.XLOOKUP("LSFO",Data_tables!$K:$K,Data_tables!$M:$M)*Assumptions!$H$268</f>
        <v>0</v>
      </c>
      <c r="AY1096" s="33">
        <f>+Assumptions!$H$370*AY953/_xlfn.XLOOKUP("LSFO",Data_tables!$K:$K,Data_tables!$M:$M)*Assumptions!$H$268</f>
        <v>0</v>
      </c>
      <c r="AZ1096" s="33">
        <f>+Assumptions!$H$370*AZ953/_xlfn.XLOOKUP("LSFO",Data_tables!$K:$K,Data_tables!$M:$M)*Assumptions!$H$268</f>
        <v>0</v>
      </c>
      <c r="BA1096" s="33">
        <f>+Assumptions!$H$370*BA953/_xlfn.XLOOKUP("LSFO",Data_tables!$K:$K,Data_tables!$M:$M)*Assumptions!$H$268</f>
        <v>0</v>
      </c>
      <c r="BB1096" s="33">
        <f>+Assumptions!$H$370*BB953/_xlfn.XLOOKUP("LSFO",Data_tables!$K:$K,Data_tables!$M:$M)*Assumptions!$H$268</f>
        <v>0</v>
      </c>
      <c r="BC1096" s="33">
        <f>+Assumptions!$H$370*BC953/_xlfn.XLOOKUP("LSFO",Data_tables!$K:$K,Data_tables!$M:$M)*Assumptions!$H$268</f>
        <v>0</v>
      </c>
      <c r="BD1096" s="33">
        <f>+Assumptions!$H$370*BD953/_xlfn.XLOOKUP("LSFO",Data_tables!$K:$K,Data_tables!$M:$M)*Assumptions!$H$268</f>
        <v>0</v>
      </c>
      <c r="BE1096" s="33">
        <f>+Assumptions!$H$370*BE953/_xlfn.XLOOKUP("LSFO",Data_tables!$K:$K,Data_tables!$M:$M)*Assumptions!$H$268</f>
        <v>0</v>
      </c>
      <c r="BF1096" s="33">
        <f>+Assumptions!$H$370*BF953/_xlfn.XLOOKUP("LSFO",Data_tables!$K:$K,Data_tables!$M:$M)*Assumptions!$H$268</f>
        <v>0</v>
      </c>
      <c r="BG1096" s="33">
        <f>+Assumptions!$H$370*BG953/_xlfn.XLOOKUP("LSFO",Data_tables!$K:$K,Data_tables!$M:$M)*Assumptions!$H$268</f>
        <v>0</v>
      </c>
      <c r="BH1096" s="33">
        <f>+Assumptions!$H$370*BH953/_xlfn.XLOOKUP("LSFO",Data_tables!$K:$K,Data_tables!$M:$M)*Assumptions!$H$268</f>
        <v>0</v>
      </c>
      <c r="BI1096" s="33">
        <f>+Assumptions!$H$370*BI953/_xlfn.XLOOKUP("LSFO",Data_tables!$K:$K,Data_tables!$M:$M)*Assumptions!$H$268</f>
        <v>0</v>
      </c>
      <c r="BJ1096" s="33">
        <f>+Assumptions!$H$370*BJ953/_xlfn.XLOOKUP("LSFO",Data_tables!$K:$K,Data_tables!$M:$M)*Assumptions!$H$268</f>
        <v>0</v>
      </c>
      <c r="BK1096" s="33">
        <f>+Assumptions!$H$370*BK953/_xlfn.XLOOKUP("LSFO",Data_tables!$K:$K,Data_tables!$M:$M)*Assumptions!$H$268</f>
        <v>0</v>
      </c>
      <c r="BL1096" s="33">
        <f>+Assumptions!$H$370*BL953/_xlfn.XLOOKUP("LSFO",Data_tables!$K:$K,Data_tables!$M:$M)*Assumptions!$H$268</f>
        <v>0</v>
      </c>
      <c r="BM1096" s="33">
        <f>+Assumptions!$H$370*BM953/_xlfn.XLOOKUP("LSFO",Data_tables!$K:$K,Data_tables!$M:$M)*Assumptions!$H$268</f>
        <v>0</v>
      </c>
      <c r="BN1096" s="33">
        <f>+Assumptions!$H$370*BN953/_xlfn.XLOOKUP("LSFO",Data_tables!$K:$K,Data_tables!$M:$M)*Assumptions!$H$268</f>
        <v>0</v>
      </c>
      <c r="BO1096" s="33">
        <f>+Assumptions!$H$370*BO953/_xlfn.XLOOKUP("LSFO",Data_tables!$K:$K,Data_tables!$M:$M)*Assumptions!$H$268</f>
        <v>0</v>
      </c>
      <c r="BP1096" s="33">
        <f>+Assumptions!$H$370*BP953/_xlfn.XLOOKUP("LSFO",Data_tables!$K:$K,Data_tables!$M:$M)*Assumptions!$H$268</f>
        <v>0</v>
      </c>
      <c r="BQ1096" s="33">
        <f>+Assumptions!$H$370*BQ953/_xlfn.XLOOKUP("LSFO",Data_tables!$K:$K,Data_tables!$M:$M)*Assumptions!$H$268</f>
        <v>0</v>
      </c>
      <c r="BR1096" s="33">
        <f>+Assumptions!$H$370*BR953/_xlfn.XLOOKUP("LSFO",Data_tables!$K:$K,Data_tables!$M:$M)*Assumptions!$H$268</f>
        <v>0</v>
      </c>
      <c r="BS1096" s="33">
        <f>+Assumptions!$H$370*BS953/_xlfn.XLOOKUP("LSFO",Data_tables!$K:$K,Data_tables!$M:$M)*Assumptions!$H$268</f>
        <v>0</v>
      </c>
      <c r="BT1096" s="33">
        <f>+Assumptions!$H$370*BT953/_xlfn.XLOOKUP("LSFO",Data_tables!$K:$K,Data_tables!$M:$M)*Assumptions!$H$268</f>
        <v>0</v>
      </c>
      <c r="BU1096" s="33">
        <f>+Assumptions!$H$370*BU953/_xlfn.XLOOKUP("LSFO",Data_tables!$K:$K,Data_tables!$M:$M)*Assumptions!$H$268</f>
        <v>0</v>
      </c>
      <c r="BV1096" s="33">
        <f>+Assumptions!$H$370*BV953/_xlfn.XLOOKUP("LSFO",Data_tables!$K:$K,Data_tables!$M:$M)*Assumptions!$H$268</f>
        <v>0</v>
      </c>
      <c r="BW1096" s="33">
        <f>+Assumptions!$H$370*BW953/_xlfn.XLOOKUP("LSFO",Data_tables!$K:$K,Data_tables!$M:$M)*Assumptions!$H$268</f>
        <v>0</v>
      </c>
      <c r="BX1096" s="33">
        <f>+Assumptions!$H$370*BX953/_xlfn.XLOOKUP("LSFO",Data_tables!$K:$K,Data_tables!$M:$M)*Assumptions!$H$268</f>
        <v>0</v>
      </c>
      <c r="BY1096" s="33">
        <f>+Assumptions!$H$370*BY953/_xlfn.XLOOKUP("LSFO",Data_tables!$K:$K,Data_tables!$M:$M)*Assumptions!$H$268</f>
        <v>0</v>
      </c>
    </row>
    <row r="1097" spans="2:77" outlineLevel="1">
      <c r="E1097" t="s">
        <v>547</v>
      </c>
      <c r="F1097" s="23" t="s">
        <v>159</v>
      </c>
      <c r="H1097" s="103">
        <f>+H1095*H1096</f>
        <v>0</v>
      </c>
      <c r="I1097" s="103">
        <f t="shared" ref="I1097:BT1097" ca="1" si="2181">+I1095*I1096</f>
        <v>0</v>
      </c>
      <c r="J1097" s="103">
        <f t="shared" ca="1" si="2181"/>
        <v>0</v>
      </c>
      <c r="K1097" s="103">
        <f t="shared" ca="1" si="2181"/>
        <v>-58642.539074408211</v>
      </c>
      <c r="L1097" s="103">
        <f t="shared" ca="1" si="2181"/>
        <v>-128182.80240268506</v>
      </c>
      <c r="M1097" s="103">
        <f t="shared" ca="1" si="2181"/>
        <v>-197723.06573096168</v>
      </c>
      <c r="N1097" s="103">
        <f t="shared" ca="1" si="2181"/>
        <v>-440313.01743663527</v>
      </c>
      <c r="O1097" s="103">
        <f t="shared" ca="1" si="2181"/>
        <v>-704566.01808408683</v>
      </c>
      <c r="P1097" s="103">
        <f t="shared" ca="1" si="2181"/>
        <v>-968819.01873160643</v>
      </c>
      <c r="Q1097" s="103">
        <f t="shared" ca="1" si="2181"/>
        <v>-1389221.5197616015</v>
      </c>
      <c r="R1097" s="103">
        <f t="shared" ca="1" si="2181"/>
        <v>-1809624.0207915972</v>
      </c>
      <c r="S1097" s="103">
        <f t="shared" ca="1" si="2181"/>
        <v>-2230026.5218217634</v>
      </c>
      <c r="T1097" s="103">
        <f t="shared" ca="1" si="2181"/>
        <v>-2650429.0228517591</v>
      </c>
      <c r="U1097" s="103">
        <f t="shared" ca="1" si="2181"/>
        <v>-3070831.5238817544</v>
      </c>
      <c r="V1097" s="103">
        <f t="shared" ca="1" si="2181"/>
        <v>-3251004.0243231626</v>
      </c>
      <c r="W1097" s="103">
        <f t="shared" ca="1" si="2181"/>
        <v>-3431176.5247646137</v>
      </c>
      <c r="X1097" s="103">
        <f t="shared" ca="1" si="2181"/>
        <v>-3611349.0252060648</v>
      </c>
      <c r="Y1097" s="103">
        <f t="shared" ca="1" si="2181"/>
        <v>-3791521.5256475159</v>
      </c>
      <c r="Z1097" s="103">
        <f t="shared" ca="1" si="2181"/>
        <v>0</v>
      </c>
      <c r="AA1097" s="103">
        <f t="shared" si="2181"/>
        <v>0</v>
      </c>
      <c r="AB1097" s="103">
        <f t="shared" si="2181"/>
        <v>0</v>
      </c>
      <c r="AC1097" s="103">
        <f t="shared" si="2181"/>
        <v>0</v>
      </c>
      <c r="AD1097" s="103">
        <f t="shared" si="2181"/>
        <v>0</v>
      </c>
      <c r="AE1097" s="103">
        <f t="shared" si="2181"/>
        <v>0</v>
      </c>
      <c r="AF1097" s="103">
        <f t="shared" si="2181"/>
        <v>0</v>
      </c>
      <c r="AG1097" s="103">
        <f t="shared" si="2181"/>
        <v>0</v>
      </c>
      <c r="AH1097" s="103">
        <f t="shared" si="2181"/>
        <v>0</v>
      </c>
      <c r="AI1097" s="103">
        <f t="shared" si="2181"/>
        <v>0</v>
      </c>
      <c r="AJ1097" s="103">
        <f t="shared" si="2181"/>
        <v>0</v>
      </c>
      <c r="AK1097" s="103">
        <f t="shared" si="2181"/>
        <v>0</v>
      </c>
      <c r="AL1097" s="103">
        <f t="shared" si="2181"/>
        <v>0</v>
      </c>
      <c r="AM1097" s="103">
        <f t="shared" si="2181"/>
        <v>0</v>
      </c>
      <c r="AN1097" s="103">
        <f t="shared" si="2181"/>
        <v>0</v>
      </c>
      <c r="AO1097" s="103">
        <f t="shared" si="2181"/>
        <v>0</v>
      </c>
      <c r="AP1097" s="103">
        <f t="shared" si="2181"/>
        <v>0</v>
      </c>
      <c r="AQ1097" s="103">
        <f t="shared" si="2181"/>
        <v>0</v>
      </c>
      <c r="AR1097" s="103">
        <f t="shared" si="2181"/>
        <v>0</v>
      </c>
      <c r="AS1097" s="103">
        <f t="shared" si="2181"/>
        <v>0</v>
      </c>
      <c r="AT1097" s="103">
        <f t="shared" si="2181"/>
        <v>0</v>
      </c>
      <c r="AU1097" s="103">
        <f t="shared" si="2181"/>
        <v>0</v>
      </c>
      <c r="AV1097" s="103">
        <f t="shared" si="2181"/>
        <v>0</v>
      </c>
      <c r="AW1097" s="103">
        <f t="shared" si="2181"/>
        <v>0</v>
      </c>
      <c r="AX1097" s="103">
        <f t="shared" si="2181"/>
        <v>0</v>
      </c>
      <c r="AY1097" s="103">
        <f t="shared" si="2181"/>
        <v>0</v>
      </c>
      <c r="AZ1097" s="103">
        <f t="shared" si="2181"/>
        <v>0</v>
      </c>
      <c r="BA1097" s="103">
        <f t="shared" si="2181"/>
        <v>0</v>
      </c>
      <c r="BB1097" s="103">
        <f t="shared" si="2181"/>
        <v>0</v>
      </c>
      <c r="BC1097" s="103">
        <f t="shared" si="2181"/>
        <v>0</v>
      </c>
      <c r="BD1097" s="103">
        <f t="shared" si="2181"/>
        <v>0</v>
      </c>
      <c r="BE1097" s="103">
        <f t="shared" si="2181"/>
        <v>0</v>
      </c>
      <c r="BF1097" s="103">
        <f t="shared" si="2181"/>
        <v>0</v>
      </c>
      <c r="BG1097" s="103">
        <f t="shared" si="2181"/>
        <v>0</v>
      </c>
      <c r="BH1097" s="103">
        <f t="shared" si="2181"/>
        <v>0</v>
      </c>
      <c r="BI1097" s="103">
        <f t="shared" si="2181"/>
        <v>0</v>
      </c>
      <c r="BJ1097" s="103">
        <f t="shared" si="2181"/>
        <v>0</v>
      </c>
      <c r="BK1097" s="103">
        <f t="shared" si="2181"/>
        <v>0</v>
      </c>
      <c r="BL1097" s="103">
        <f t="shared" si="2181"/>
        <v>0</v>
      </c>
      <c r="BM1097" s="103">
        <f t="shared" si="2181"/>
        <v>0</v>
      </c>
      <c r="BN1097" s="103">
        <f t="shared" si="2181"/>
        <v>0</v>
      </c>
      <c r="BO1097" s="103">
        <f t="shared" si="2181"/>
        <v>0</v>
      </c>
      <c r="BP1097" s="103">
        <f t="shared" si="2181"/>
        <v>0</v>
      </c>
      <c r="BQ1097" s="103">
        <f t="shared" si="2181"/>
        <v>0</v>
      </c>
      <c r="BR1097" s="103">
        <f t="shared" si="2181"/>
        <v>0</v>
      </c>
      <c r="BS1097" s="103">
        <f t="shared" si="2181"/>
        <v>0</v>
      </c>
      <c r="BT1097" s="103">
        <f t="shared" si="2181"/>
        <v>0</v>
      </c>
      <c r="BU1097" s="103">
        <f t="shared" ref="BU1097:BY1097" si="2182">+BU1095*BU1096</f>
        <v>0</v>
      </c>
      <c r="BV1097" s="103">
        <f t="shared" si="2182"/>
        <v>0</v>
      </c>
      <c r="BW1097" s="103">
        <f t="shared" si="2182"/>
        <v>0</v>
      </c>
      <c r="BX1097" s="103">
        <f t="shared" si="2182"/>
        <v>0</v>
      </c>
      <c r="BY1097" s="103">
        <f t="shared" si="2182"/>
        <v>0</v>
      </c>
    </row>
    <row r="1098" spans="2:77" outlineLevel="1">
      <c r="E1098" s="25" t="s">
        <v>243</v>
      </c>
      <c r="F1098" s="81" t="s">
        <v>423</v>
      </c>
      <c r="G1098" s="25"/>
      <c r="H1098" s="100">
        <f ca="1">1/(1+Assumptions!$H$356)*IF(G1098=0,1,G1098)</f>
        <v>0.95979422011920645</v>
      </c>
      <c r="I1098" s="100">
        <f ca="1">1/(1+Assumptions!$H$356)*IF(H1098=0,1,H1098)</f>
        <v>0.92120494497423577</v>
      </c>
      <c r="J1098" s="100">
        <f ca="1">1/(1+Assumptions!$H$356)*IF(I1098=0,1,I1098)</f>
        <v>0.8841671817315031</v>
      </c>
      <c r="K1098" s="100">
        <f ca="1">1/(1+Assumptions!$H$356)*IF(J1098=0,1,J1098)</f>
        <v>0.8486185506449847</v>
      </c>
      <c r="L1098" s="100">
        <f ca="1">1/(1+Assumptions!$H$356)*IF(K1098=0,1,K1098)</f>
        <v>0.81449917999499444</v>
      </c>
      <c r="M1098" s="100">
        <f ca="1">1/(1+Assumptions!$H$356)*IF(L1098=0,1,L1098)</f>
        <v>0.78175160525102882</v>
      </c>
      <c r="N1098" s="100">
        <f ca="1">1/(1+Assumptions!$H$356)*IF(M1098=0,1,M1098)</f>
        <v>0.75032067228884891</v>
      </c>
      <c r="O1098" s="100">
        <f ca="1">1/(1+Assumptions!$H$356)*IF(N1098=0,1,N1098)</f>
        <v>0.72015344449879437</v>
      </c>
      <c r="P1098" s="100">
        <f ca="1">1/(1+Assumptions!$H$356)*IF(O1098=0,1,O1098)</f>
        <v>0.69119911362888053</v>
      </c>
      <c r="Q1098" s="100">
        <f ca="1">1/(1+Assumptions!$H$356)*IF(P1098=0,1,P1098)</f>
        <v>0.66340891421251813</v>
      </c>
      <c r="R1098" s="100">
        <f ca="1">1/(1+Assumptions!$H$356)*IF(Q1098=0,1,Q1098)</f>
        <v>0.63673604143673335</v>
      </c>
      <c r="S1098" s="100">
        <f ca="1">1/(1+Assumptions!$H$356)*IF(R1098=0,1,R1098)</f>
        <v>0.61113557231256022</v>
      </c>
      <c r="T1098" s="100">
        <f ca="1">1/(1+Assumptions!$H$356)*IF(S1098=0,1,S1098)</f>
        <v>0.58656439001483862</v>
      </c>
      <c r="U1098" s="100">
        <f ca="1">1/(1+Assumptions!$H$356)*IF(T1098=0,1,T1098)</f>
        <v>0.56298111126399009</v>
      </c>
      <c r="V1098" s="100">
        <f ca="1">1/(1+Assumptions!$H$356)*IF(U1098=0,1,U1098)</f>
        <v>0.54034601662746551</v>
      </c>
      <c r="W1098" s="100">
        <f ca="1">1/(1+Assumptions!$H$356)*IF(V1098=0,1,V1098)</f>
        <v>0.51862098362347797</v>
      </c>
      <c r="X1098" s="100">
        <f ca="1">1/(1+Assumptions!$H$356)*IF(W1098=0,1,W1098)</f>
        <v>0.4977694225143518</v>
      </c>
      <c r="Y1098" s="100">
        <f ca="1">1/(1+Assumptions!$H$356)*IF(X1098=0,1,X1098)</f>
        <v>0.47775621468135004</v>
      </c>
      <c r="Z1098" s="100">
        <f ca="1">1/(1+Assumptions!$H$356)*IF(Y1098=0,1,Y1098)</f>
        <v>0.45854765347719056</v>
      </c>
      <c r="AA1098" s="100">
        <f ca="1">1/(1+Assumptions!$H$356)*IF(Z1098=0,1,Z1098)</f>
        <v>0.44011138745663225</v>
      </c>
      <c r="AB1098" s="100">
        <f ca="1">1/(1+Assumptions!$H$356)*IF(AA1098=0,1,AA1098)</f>
        <v>0.42241636588952025</v>
      </c>
      <c r="AC1098" s="100">
        <f ca="1">1/(1+Assumptions!$H$356)*IF(AB1098=0,1,AB1098)</f>
        <v>0.40543278646452147</v>
      </c>
      <c r="AD1098" s="100">
        <f ca="1">1/(1+Assumptions!$H$356)*IF(AC1098=0,1,AC1098)</f>
        <v>0.38913204509547217</v>
      </c>
      <c r="AE1098" s="100">
        <f ca="1">1/(1+Assumptions!$H$356)*IF(AD1098=0,1,AD1098)</f>
        <v>0.37348668774580057</v>
      </c>
      <c r="AF1098" s="100">
        <f ca="1">1/(1+Assumptions!$H$356)*IF(AE1098=0,1,AE1098)</f>
        <v>0.35847036418988626</v>
      </c>
      <c r="AG1098" s="100">
        <f ca="1">1/(1+Assumptions!$H$356)*IF(AF1098=0,1,AF1098)</f>
        <v>0.34405778363347977</v>
      </c>
      <c r="AH1098" s="100">
        <f ca="1">1/(1+Assumptions!$H$356)*IF(AG1098=0,1,AG1098)</f>
        <v>0.33022467211843837</v>
      </c>
      <c r="AI1098" s="100">
        <f ca="1">1/(1+Assumptions!$H$356)*IF(AH1098=0,1,AH1098)</f>
        <v>0.3169477316400372</v>
      </c>
      <c r="AJ1098" s="100">
        <f ca="1">1/(1+Assumptions!$H$356)*IF(AI1098=0,1,AI1098)</f>
        <v>0.30420460090800105</v>
      </c>
      <c r="AK1098" s="100">
        <f ca="1">1/(1+Assumptions!$H$356)*IF(AJ1098=0,1,AJ1098)</f>
        <v>0.29197381768516933</v>
      </c>
      <c r="AL1098" s="100">
        <f ca="1">1/(1+Assumptions!$H$356)*IF(AK1098=0,1,AK1098)</f>
        <v>0.28023478264036444</v>
      </c>
      <c r="AM1098" s="100">
        <f ca="1">1/(1+Assumptions!$H$356)*IF(AL1098=0,1,AL1098)</f>
        <v>0.26896772465458391</v>
      </c>
      <c r="AN1098" s="100">
        <f ca="1">1/(1+Assumptions!$H$356)*IF(AM1098=0,1,AM1098)</f>
        <v>0.2581536675220838</v>
      </c>
      <c r="AO1098" s="100">
        <f ca="1">1/(1+Assumptions!$H$356)*IF(AN1098=0,1,AN1098)</f>
        <v>0.24777439799027134</v>
      </c>
      <c r="AP1098" s="100">
        <f ca="1">1/(1+Assumptions!$H$356)*IF(AO1098=0,1,AO1098)</f>
        <v>0.23781243508457836</v>
      </c>
      <c r="AQ1098" s="100">
        <f ca="1">1/(1+Assumptions!$H$356)*IF(AP1098=0,1,AP1098)</f>
        <v>0.2282510006666523</v>
      </c>
      <c r="AR1098" s="100">
        <f ca="1">1/(1+Assumptions!$H$356)*IF(AQ1098=0,1,AQ1098)</f>
        <v>0.21907399117627802</v>
      </c>
      <c r="AS1098" s="100">
        <f ca="1">1/(1+Assumptions!$H$356)*IF(AR1098=0,1,AR1098)</f>
        <v>0.21026595050943767</v>
      </c>
      <c r="AT1098" s="100">
        <f ca="1">1/(1+Assumptions!$H$356)*IF(AS1098=0,1,AS1098)</f>
        <v>0.20181204398682939</v>
      </c>
      <c r="AU1098" s="100">
        <f ca="1">1/(1+Assumptions!$H$356)*IF(AT1098=0,1,AT1098)</f>
        <v>0.1936980333690019</v>
      </c>
      <c r="AV1098" s="100">
        <f ca="1">1/(1+Assumptions!$H$356)*IF(AU1098=0,1,AU1098)</f>
        <v>0.18591025287602522</v>
      </c>
      <c r="AW1098" s="100">
        <f ca="1">1/(1+Assumptions!$H$356)*IF(AV1098=0,1,AV1098)</f>
        <v>0.17843558617130909</v>
      </c>
      <c r="AX1098" s="100">
        <f ca="1">1/(1+Assumptions!$H$356)*IF(AW1098=0,1,AW1098)</f>
        <v>0.17126144427080506</v>
      </c>
      <c r="AY1098" s="100">
        <f ca="1">1/(1+Assumptions!$H$356)*IF(AX1098=0,1,AX1098)</f>
        <v>0.16437574434038627</v>
      </c>
      <c r="AZ1098" s="100">
        <f ca="1">1/(1+Assumptions!$H$356)*IF(AY1098=0,1,AY1098)</f>
        <v>0.1577668893456951</v>
      </c>
      <c r="BA1098" s="100">
        <f ca="1">1/(1+Assumptions!$H$356)*IF(AZ1098=0,1,AZ1098)</f>
        <v>0.15142374852018459</v>
      </c>
      <c r="BB1098" s="100">
        <f ca="1">1/(1+Assumptions!$H$356)*IF(BA1098=0,1,BA1098)</f>
        <v>0.14533563861845741</v>
      </c>
      <c r="BC1098" s="100">
        <f ca="1">1/(1+Assumptions!$H$356)*IF(BB1098=0,1,BB1098)</f>
        <v>0.13949230592332915</v>
      </c>
      <c r="BD1098" s="100">
        <f ca="1">1/(1+Assumptions!$H$356)*IF(BC1098=0,1,BC1098)</f>
        <v>0.13388390897631147</v>
      </c>
      <c r="BE1098" s="100">
        <f ca="1">1/(1+Assumptions!$H$356)*IF(BD1098=0,1,BD1098)</f>
        <v>0.1285010020024297</v>
      </c>
      <c r="BF1098" s="100">
        <f ca="1">1/(1+Assumptions!$H$356)*IF(BE1098=0,1,BE1098)</f>
        <v>0.1233345190014586</v>
      </c>
      <c r="BG1098" s="100">
        <f ca="1">1/(1+Assumptions!$H$356)*IF(BF1098=0,1,BF1098)</f>
        <v>0.11837575847878241</v>
      </c>
      <c r="BH1098" s="100">
        <f ca="1">1/(1+Assumptions!$H$356)*IF(BG1098=0,1,BG1098)</f>
        <v>0.11361636879016251</v>
      </c>
      <c r="BI1098" s="100">
        <f ca="1">1/(1+Assumptions!$H$356)*IF(BH1098=0,1,BH1098)</f>
        <v>0.10904833407573018</v>
      </c>
      <c r="BJ1098" s="100">
        <f ca="1">1/(1+Assumptions!$H$356)*IF(BI1098=0,1,BI1098)</f>
        <v>0.10466396075951413</v>
      </c>
      <c r="BK1098" s="100">
        <f ca="1">1/(1+Assumptions!$H$356)*IF(BJ1098=0,1,BJ1098)</f>
        <v>0.10045586459176509</v>
      </c>
      <c r="BL1098" s="100">
        <f ca="1">1/(1+Assumptions!$H$356)*IF(BK1098=0,1,BK1098)</f>
        <v>9.6416958212253781E-2</v>
      </c>
      <c r="BM1098" s="100">
        <f ca="1">1/(1+Assumptions!$H$356)*IF(BL1098=0,1,BL1098)</f>
        <v>9.254043921359624E-2</v>
      </c>
      <c r="BN1098" s="100">
        <f ca="1">1/(1+Assumptions!$H$356)*IF(BM1098=0,1,BM1098)</f>
        <v>8.8819778684502429E-2</v>
      </c>
      <c r="BO1098" s="100">
        <f ca="1">1/(1+Assumptions!$H$356)*IF(BN1098=0,1,BN1098)</f>
        <v>8.5248710213652532E-2</v>
      </c>
      <c r="BP1098" s="100">
        <f ca="1">1/(1+Assumptions!$H$356)*IF(BO1098=0,1,BO1098)</f>
        <v>8.1821219335680859E-2</v>
      </c>
      <c r="BQ1098" s="100">
        <f ca="1">1/(1+Assumptions!$H$356)*IF(BP1098=0,1,BP1098)</f>
        <v>7.853153340149234E-2</v>
      </c>
      <c r="BR1098" s="100">
        <f ca="1">1/(1+Assumptions!$H$356)*IF(BQ1098=0,1,BQ1098)</f>
        <v>7.5374111855850759E-2</v>
      </c>
      <c r="BS1098" s="100">
        <f ca="1">1/(1+Assumptions!$H$356)*IF(BR1098=0,1,BR1098)</f>
        <v>7.2343636905864109E-2</v>
      </c>
      <c r="BT1098" s="100">
        <f ca="1">1/(1+Assumptions!$H$356)*IF(BS1098=0,1,BS1098)</f>
        <v>6.943500456465089E-2</v>
      </c>
      <c r="BU1098" s="100">
        <f ca="1">1/(1+Assumptions!$H$356)*IF(BT1098=0,1,BT1098)</f>
        <v>6.6643316055102639E-2</v>
      </c>
      <c r="BV1098" s="100">
        <f ca="1">1/(1+Assumptions!$H$356)*IF(BU1098=0,1,BU1098)</f>
        <v>6.396386955926503E-2</v>
      </c>
      <c r="BW1098" s="100">
        <f ca="1">1/(1+Assumptions!$H$356)*IF(BV1098=0,1,BV1098)</f>
        <v>6.1392152299441428E-2</v>
      </c>
      <c r="BX1098" s="100">
        <f ca="1">1/(1+Assumptions!$H$356)*IF(BW1098=0,1,BW1098)</f>
        <v>5.8923832937681934E-2</v>
      </c>
      <c r="BY1098" s="100">
        <f ca="1">1/(1+Assumptions!$H$356)*IF(BX1098=0,1,BX1098)</f>
        <v>5.6554754280856843E-2</v>
      </c>
    </row>
    <row r="1099" spans="2:77" outlineLevel="1">
      <c r="E1099" t="s">
        <v>548</v>
      </c>
      <c r="F1099" s="80" t="s">
        <v>549</v>
      </c>
      <c r="H1099" s="33">
        <f ca="1">+IF(Assumptions!$H$376="Yes",H1098*H1097,0)</f>
        <v>0</v>
      </c>
      <c r="I1099" s="33">
        <f ca="1">+IF(Assumptions!$H$376="Yes",I1098*I1097,0)</f>
        <v>0</v>
      </c>
      <c r="J1099" s="33">
        <f ca="1">+IF(Assumptions!$H$376="Yes",J1098*J1097,0)</f>
        <v>0</v>
      </c>
      <c r="K1099" s="33">
        <f ca="1">+IF(Assumptions!$H$376="Yes",K1098*K1097,0)</f>
        <v>-49765.146515466178</v>
      </c>
      <c r="L1099" s="33">
        <f ca="1">+IF(Assumptions!$H$376="Yes",L1098*L1097,0)</f>
        <v>-104404.78744644739</v>
      </c>
      <c r="M1099" s="33">
        <f ca="1">+IF(Assumptions!$H$376="Yes",M1098*M1097,0)</f>
        <v>-154570.32403033398</v>
      </c>
      <c r="N1099" s="33">
        <f ca="1">+IF(Assumptions!$H$376="Yes",N1098*N1097,0)</f>
        <v>-330375.95926058781</v>
      </c>
      <c r="O1099" s="33">
        <f ca="1">+IF(Assumptions!$H$376="Yes",O1098*O1097,0)</f>
        <v>-507395.64480005496</v>
      </c>
      <c r="P1099" s="33">
        <f ca="1">+IF(Assumptions!$H$376="Yes",P1098*P1097,0)</f>
        <v>-669646.84701408818</v>
      </c>
      <c r="Q1099" s="33">
        <f ca="1">+IF(Assumptions!$H$376="Yes",Q1098*Q1097,0)</f>
        <v>-921621.94002570829</v>
      </c>
      <c r="R1099" s="33">
        <f ca="1">+IF(Assumptions!$H$376="Yes",R1098*R1097,0)</f>
        <v>-1152252.8354876665</v>
      </c>
      <c r="S1099" s="33">
        <f ca="1">+IF(Assumptions!$H$376="Yes",S1098*S1097,0)</f>
        <v>-1362848.5346857314</v>
      </c>
      <c r="T1099" s="33">
        <f ca="1">+IF(Assumptions!$H$376="Yes",T1098*T1097,0)</f>
        <v>-1554647.2830666669</v>
      </c>
      <c r="U1099" s="33">
        <f ca="1">+IF(Assumptions!$H$376="Yes",U1098*U1097,0)</f>
        <v>-1728820.1438194423</v>
      </c>
      <c r="V1099" s="33">
        <f ca="1">+IF(Assumptions!$H$376="Yes",V1098*V1097,0)</f>
        <v>-1756667.0745828808</v>
      </c>
      <c r="W1099" s="33">
        <f ca="1">+IF(Assumptions!$H$376="Yes",W1098*W1097,0)</f>
        <v>-1779480.1442592107</v>
      </c>
      <c r="X1099" s="33">
        <f ca="1">+IF(Assumptions!$H$376="Yes",X1098*X1097,0)</f>
        <v>-1797619.1187745901</v>
      </c>
      <c r="Y1099" s="33">
        <f ca="1">+IF(Assumptions!$H$376="Yes",Y1098*Y1097,0)</f>
        <v>-1811422.9719762146</v>
      </c>
      <c r="Z1099" s="33">
        <f ca="1">+IF(Assumptions!$H$376="Yes",Z1098*Z1097,0)</f>
        <v>0</v>
      </c>
      <c r="AA1099" s="33">
        <f ca="1">+IF(Assumptions!$H$376="Yes",AA1098*AA1097,0)</f>
        <v>0</v>
      </c>
      <c r="AB1099" s="33">
        <f ca="1">+IF(Assumptions!$H$376="Yes",AB1098*AB1097,0)</f>
        <v>0</v>
      </c>
      <c r="AC1099" s="33">
        <f ca="1">+IF(Assumptions!$H$376="Yes",AC1098*AC1097,0)</f>
        <v>0</v>
      </c>
      <c r="AD1099" s="33">
        <f ca="1">+IF(Assumptions!$H$376="Yes",AD1098*AD1097,0)</f>
        <v>0</v>
      </c>
      <c r="AE1099" s="33">
        <f ca="1">+IF(Assumptions!$H$376="Yes",AE1098*AE1097,0)</f>
        <v>0</v>
      </c>
      <c r="AF1099" s="33">
        <f ca="1">+IF(Assumptions!$H$376="Yes",AF1098*AF1097,0)</f>
        <v>0</v>
      </c>
      <c r="AG1099" s="33">
        <f ca="1">+IF(Assumptions!$H$376="Yes",AG1098*AG1097,0)</f>
        <v>0</v>
      </c>
      <c r="AH1099" s="33">
        <f ca="1">+IF(Assumptions!$H$376="Yes",AH1098*AH1097,0)</f>
        <v>0</v>
      </c>
      <c r="AI1099" s="33">
        <f ca="1">+IF(Assumptions!$H$376="Yes",AI1098*AI1097,0)</f>
        <v>0</v>
      </c>
      <c r="AJ1099" s="33">
        <f ca="1">+IF(Assumptions!$H$376="Yes",AJ1098*AJ1097,0)</f>
        <v>0</v>
      </c>
      <c r="AK1099" s="33">
        <f ca="1">+IF(Assumptions!$H$376="Yes",AK1098*AK1097,0)</f>
        <v>0</v>
      </c>
      <c r="AL1099" s="33">
        <f ca="1">+IF(Assumptions!$H$376="Yes",AL1098*AL1097,0)</f>
        <v>0</v>
      </c>
      <c r="AM1099" s="33">
        <f ca="1">+IF(Assumptions!$H$376="Yes",AM1098*AM1097,0)</f>
        <v>0</v>
      </c>
      <c r="AN1099" s="33">
        <f ca="1">+IF(Assumptions!$H$376="Yes",AN1098*AN1097,0)</f>
        <v>0</v>
      </c>
      <c r="AO1099" s="33">
        <f ca="1">+IF(Assumptions!$H$376="Yes",AO1098*AO1097,0)</f>
        <v>0</v>
      </c>
      <c r="AP1099" s="33">
        <f ca="1">+IF(Assumptions!$H$376="Yes",AP1098*AP1097,0)</f>
        <v>0</v>
      </c>
      <c r="AQ1099" s="33">
        <f ca="1">+IF(Assumptions!$H$376="Yes",AQ1098*AQ1097,0)</f>
        <v>0</v>
      </c>
      <c r="AR1099" s="33">
        <f ca="1">+IF(Assumptions!$H$376="Yes",AR1098*AR1097,0)</f>
        <v>0</v>
      </c>
      <c r="AS1099" s="33">
        <f ca="1">+IF(Assumptions!$H$376="Yes",AS1098*AS1097,0)</f>
        <v>0</v>
      </c>
      <c r="AT1099" s="33">
        <f ca="1">+IF(Assumptions!$H$376="Yes",AT1098*AT1097,0)</f>
        <v>0</v>
      </c>
      <c r="AU1099" s="33">
        <f ca="1">+IF(Assumptions!$H$376="Yes",AU1098*AU1097,0)</f>
        <v>0</v>
      </c>
      <c r="AV1099" s="33">
        <f ca="1">+IF(Assumptions!$H$376="Yes",AV1098*AV1097,0)</f>
        <v>0</v>
      </c>
      <c r="AW1099" s="33">
        <f ca="1">+IF(Assumptions!$H$376="Yes",AW1098*AW1097,0)</f>
        <v>0</v>
      </c>
      <c r="AX1099" s="33">
        <f ca="1">+IF(Assumptions!$H$376="Yes",AX1098*AX1097,0)</f>
        <v>0</v>
      </c>
      <c r="AY1099" s="33">
        <f ca="1">+IF(Assumptions!$H$376="Yes",AY1098*AY1097,0)</f>
        <v>0</v>
      </c>
      <c r="AZ1099" s="33">
        <f ca="1">+IF(Assumptions!$H$376="Yes",AZ1098*AZ1097,0)</f>
        <v>0</v>
      </c>
      <c r="BA1099" s="33">
        <f ca="1">+IF(Assumptions!$H$376="Yes",BA1098*BA1097,0)</f>
        <v>0</v>
      </c>
      <c r="BB1099" s="33">
        <f ca="1">+IF(Assumptions!$H$376="Yes",BB1098*BB1097,0)</f>
        <v>0</v>
      </c>
      <c r="BC1099" s="33">
        <f ca="1">+IF(Assumptions!$H$376="Yes",BC1098*BC1097,0)</f>
        <v>0</v>
      </c>
      <c r="BD1099" s="33">
        <f ca="1">+IF(Assumptions!$H$376="Yes",BD1098*BD1097,0)</f>
        <v>0</v>
      </c>
      <c r="BE1099" s="33">
        <f ca="1">+IF(Assumptions!$H$376="Yes",BE1098*BE1097,0)</f>
        <v>0</v>
      </c>
      <c r="BF1099" s="33">
        <f ca="1">+IF(Assumptions!$H$376="Yes",BF1098*BF1097,0)</f>
        <v>0</v>
      </c>
      <c r="BG1099" s="33">
        <f ca="1">+IF(Assumptions!$H$376="Yes",BG1098*BG1097,0)</f>
        <v>0</v>
      </c>
      <c r="BH1099" s="33">
        <f ca="1">+IF(Assumptions!$H$376="Yes",BH1098*BH1097,0)</f>
        <v>0</v>
      </c>
      <c r="BI1099" s="33">
        <f ca="1">+IF(Assumptions!$H$376="Yes",BI1098*BI1097,0)</f>
        <v>0</v>
      </c>
      <c r="BJ1099" s="33">
        <f ca="1">+IF(Assumptions!$H$376="Yes",BJ1098*BJ1097,0)</f>
        <v>0</v>
      </c>
      <c r="BK1099" s="33">
        <f ca="1">+IF(Assumptions!$H$376="Yes",BK1098*BK1097,0)</f>
        <v>0</v>
      </c>
      <c r="BL1099" s="33">
        <f ca="1">+IF(Assumptions!$H$376="Yes",BL1098*BL1097,0)</f>
        <v>0</v>
      </c>
      <c r="BM1099" s="33">
        <f ca="1">+IF(Assumptions!$H$376="Yes",BM1098*BM1097,0)</f>
        <v>0</v>
      </c>
      <c r="BN1099" s="33">
        <f ca="1">+IF(Assumptions!$H$376="Yes",BN1098*BN1097,0)</f>
        <v>0</v>
      </c>
      <c r="BO1099" s="33">
        <f ca="1">+IF(Assumptions!$H$376="Yes",BO1098*BO1097,0)</f>
        <v>0</v>
      </c>
      <c r="BP1099" s="33">
        <f ca="1">+IF(Assumptions!$H$376="Yes",BP1098*BP1097,0)</f>
        <v>0</v>
      </c>
      <c r="BQ1099" s="33">
        <f ca="1">+IF(Assumptions!$H$376="Yes",BQ1098*BQ1097,0)</f>
        <v>0</v>
      </c>
      <c r="BR1099" s="33">
        <f ca="1">+IF(Assumptions!$H$376="Yes",BR1098*BR1097,0)</f>
        <v>0</v>
      </c>
      <c r="BS1099" s="33">
        <f ca="1">+IF(Assumptions!$H$376="Yes",BS1098*BS1097,0)</f>
        <v>0</v>
      </c>
      <c r="BT1099" s="33">
        <f ca="1">+IF(Assumptions!$H$376="Yes",BT1098*BT1097,0)</f>
        <v>0</v>
      </c>
      <c r="BU1099" s="33">
        <f ca="1">+IF(Assumptions!$H$376="Yes",BU1098*BU1097,0)</f>
        <v>0</v>
      </c>
      <c r="BV1099" s="33">
        <f ca="1">+IF(Assumptions!$H$376="Yes",BV1098*BV1097,0)</f>
        <v>0</v>
      </c>
      <c r="BW1099" s="33">
        <f ca="1">+IF(Assumptions!$H$376="Yes",BW1098*BW1097,0)</f>
        <v>0</v>
      </c>
      <c r="BX1099" s="33">
        <f ca="1">+IF(Assumptions!$H$376="Yes",BX1098*BX1097,0)</f>
        <v>0</v>
      </c>
      <c r="BY1099" s="33">
        <f ca="1">+IF(Assumptions!$H$376="Yes",BY1098*BY1097,0)</f>
        <v>0</v>
      </c>
    </row>
    <row r="1100" spans="2:77" outlineLevel="1">
      <c r="F1100" s="23" t="s">
        <v>554</v>
      </c>
      <c r="BF1100" s="33"/>
      <c r="BG1100" s="33"/>
      <c r="BH1100" s="33"/>
      <c r="BI1100" s="33"/>
      <c r="BJ1100" s="33"/>
      <c r="BK1100" s="33"/>
      <c r="BL1100" s="33"/>
      <c r="BM1100" s="33"/>
      <c r="BN1100" s="33"/>
      <c r="BO1100" s="33"/>
      <c r="BP1100" s="33"/>
      <c r="BQ1100" s="33"/>
      <c r="BR1100" s="33"/>
      <c r="BS1100" s="33"/>
      <c r="BT1100" s="33"/>
      <c r="BU1100" s="33"/>
      <c r="BV1100" s="33"/>
      <c r="BW1100" s="33"/>
      <c r="BX1100" s="33"/>
      <c r="BY1100" s="33"/>
    </row>
    <row r="1101" spans="2:77" outlineLevel="1">
      <c r="BF1101" s="33"/>
      <c r="BG1101" s="33"/>
      <c r="BH1101" s="33"/>
      <c r="BI1101" s="33"/>
      <c r="BJ1101" s="33"/>
      <c r="BK1101" s="33"/>
      <c r="BL1101" s="33"/>
      <c r="BM1101" s="33"/>
      <c r="BN1101" s="33"/>
      <c r="BO1101" s="33"/>
      <c r="BP1101" s="33"/>
      <c r="BQ1101" s="33"/>
      <c r="BR1101" s="33"/>
      <c r="BS1101" s="33"/>
      <c r="BT1101" s="33"/>
      <c r="BU1101" s="33"/>
      <c r="BV1101" s="33"/>
      <c r="BW1101" s="33"/>
      <c r="BX1101" s="33"/>
      <c r="BY1101" s="33"/>
    </row>
    <row r="1102" spans="2:77" s="19" customFormat="1" ht="12.75" outlineLevel="1">
      <c r="B1102" s="18" t="str">
        <f>+Assumptions!C378</f>
        <v>4.3 IRA (proxy)</v>
      </c>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5"/>
      <c r="AE1102" s="35"/>
      <c r="AF1102" s="35"/>
      <c r="AG1102" s="35"/>
      <c r="AH1102" s="35"/>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c r="BD1102" s="35"/>
      <c r="BE1102" s="35"/>
      <c r="BF1102" s="35"/>
      <c r="BG1102" s="35"/>
      <c r="BH1102" s="35"/>
      <c r="BI1102" s="35"/>
      <c r="BJ1102" s="35"/>
      <c r="BK1102" s="35"/>
      <c r="BL1102" s="35"/>
      <c r="BM1102" s="35"/>
      <c r="BN1102" s="35"/>
      <c r="BO1102" s="35"/>
      <c r="BP1102" s="35"/>
      <c r="BQ1102" s="35"/>
      <c r="BR1102" s="35"/>
      <c r="BS1102" s="35"/>
      <c r="BT1102" s="35"/>
      <c r="BU1102" s="35"/>
      <c r="BV1102" s="35"/>
      <c r="BW1102" s="35"/>
      <c r="BX1102" s="35"/>
      <c r="BY1102" s="35"/>
    </row>
    <row r="1103" spans="2:77" outlineLevel="1"/>
    <row r="1104" spans="2:77" outlineLevel="1"/>
    <row r="1105" spans="2:77" ht="15" outlineLevel="1">
      <c r="E1105" s="22" t="s">
        <v>555</v>
      </c>
      <c r="BF1105" s="33"/>
      <c r="BG1105" s="33"/>
      <c r="BH1105" s="33"/>
      <c r="BI1105" s="33"/>
      <c r="BJ1105" s="33"/>
      <c r="BK1105" s="33"/>
      <c r="BL1105" s="33"/>
      <c r="BM1105" s="33"/>
      <c r="BN1105" s="33"/>
      <c r="BO1105" s="33"/>
      <c r="BP1105" s="33"/>
      <c r="BQ1105" s="33"/>
      <c r="BR1105" s="33"/>
      <c r="BS1105" s="33"/>
      <c r="BT1105" s="33"/>
      <c r="BU1105" s="33"/>
      <c r="BV1105" s="33"/>
      <c r="BW1105" s="33"/>
      <c r="BX1105" s="33"/>
      <c r="BY1105" s="33"/>
    </row>
    <row r="1106" spans="2:77" outlineLevel="1">
      <c r="E1106" t="s">
        <v>556</v>
      </c>
      <c r="F1106" s="80" t="s">
        <v>557</v>
      </c>
      <c r="H1106" s="33">
        <f>+Assumptions!$G$25*Assumptions!$G$286*Assumptions!$G$268*H953</f>
        <v>0</v>
      </c>
      <c r="I1106" s="33">
        <f>+Assumptions!$G$25*Assumptions!$G$286*Assumptions!$G$268*I953</f>
        <v>0</v>
      </c>
      <c r="J1106" s="33">
        <f>+Assumptions!$G$25*Assumptions!$G$286*Assumptions!$G$268*J953</f>
        <v>0</v>
      </c>
      <c r="K1106" s="33">
        <f>+Assumptions!$G$25*Assumptions!$G$286*Assumptions!$G$268*K953</f>
        <v>164928.90624999997</v>
      </c>
      <c r="L1106" s="33">
        <f>+Assumptions!$G$25*Assumptions!$G$286*Assumptions!$G$268*L953</f>
        <v>164928.90624999997</v>
      </c>
      <c r="M1106" s="33">
        <f>+Assumptions!$G$25*Assumptions!$G$286*Assumptions!$G$268*M953</f>
        <v>164928.90624999997</v>
      </c>
      <c r="N1106" s="33">
        <f>+Assumptions!$G$25*Assumptions!$G$286*Assumptions!$G$268*N953</f>
        <v>164928.90624999997</v>
      </c>
      <c r="O1106" s="33">
        <f>+Assumptions!$G$25*Assumptions!$G$286*Assumptions!$G$268*O953</f>
        <v>164928.90624999997</v>
      </c>
      <c r="P1106" s="33">
        <f>+Assumptions!$G$25*Assumptions!$G$286*Assumptions!$G$268*P953</f>
        <v>164928.90624999997</v>
      </c>
      <c r="Q1106" s="33">
        <f>+Assumptions!$G$25*Assumptions!$G$286*Assumptions!$G$268*Q953</f>
        <v>164928.90624999997</v>
      </c>
      <c r="R1106" s="33">
        <f>+Assumptions!$G$25*Assumptions!$G$286*Assumptions!$G$268*R953</f>
        <v>164928.90624999997</v>
      </c>
      <c r="S1106" s="33">
        <f>+Assumptions!$G$25*Assumptions!$G$286*Assumptions!$G$268*S953</f>
        <v>164928.90624999997</v>
      </c>
      <c r="T1106" s="33">
        <f>+Assumptions!$G$25*Assumptions!$G$286*Assumptions!$G$268*T953</f>
        <v>164928.90624999997</v>
      </c>
      <c r="U1106" s="33">
        <f>+Assumptions!$G$25*Assumptions!$G$286*Assumptions!$G$268*U953</f>
        <v>164928.90624999997</v>
      </c>
      <c r="V1106" s="33">
        <f>+Assumptions!$G$25*Assumptions!$G$286*Assumptions!$G$268*V953</f>
        <v>164928.90624999997</v>
      </c>
      <c r="W1106" s="33">
        <f>+Assumptions!$G$25*Assumptions!$G$286*Assumptions!$G$268*W953</f>
        <v>164928.90624999997</v>
      </c>
      <c r="X1106" s="33">
        <f>+Assumptions!$G$25*Assumptions!$G$286*Assumptions!$G$268*X953</f>
        <v>164928.90624999997</v>
      </c>
      <c r="Y1106" s="33">
        <f>+Assumptions!$G$25*Assumptions!$G$286*Assumptions!$G$268*Y953</f>
        <v>164928.90624999997</v>
      </c>
      <c r="Z1106" s="33">
        <f>+Assumptions!$G$25*Assumptions!$G$286*Assumptions!$G$268*Z953</f>
        <v>0</v>
      </c>
      <c r="AA1106" s="33">
        <f>+Assumptions!$G$25*Assumptions!$G$286*Assumptions!$G$268*AA953</f>
        <v>0</v>
      </c>
      <c r="AB1106" s="33">
        <f>+Assumptions!$G$25*Assumptions!$G$286*Assumptions!$G$268*AB953</f>
        <v>0</v>
      </c>
      <c r="AC1106" s="33">
        <f>+Assumptions!$G$25*Assumptions!$G$286*Assumptions!$G$268*AC953</f>
        <v>0</v>
      </c>
      <c r="AD1106" s="33">
        <f>+Assumptions!$G$25*Assumptions!$G$286*Assumptions!$G$268*AD953</f>
        <v>0</v>
      </c>
      <c r="AE1106" s="33">
        <f>+Assumptions!$G$25*Assumptions!$G$286*Assumptions!$G$268*AE953</f>
        <v>0</v>
      </c>
      <c r="AF1106" s="33">
        <f>+Assumptions!$G$25*Assumptions!$G$286*Assumptions!$G$268*AF953</f>
        <v>0</v>
      </c>
      <c r="AG1106" s="33">
        <f>+Assumptions!$G$25*Assumptions!$G$286*Assumptions!$G$268*AG953</f>
        <v>0</v>
      </c>
      <c r="AH1106" s="33">
        <f>+Assumptions!$G$25*Assumptions!$G$286*Assumptions!$G$268*AH953</f>
        <v>0</v>
      </c>
      <c r="AI1106" s="33">
        <f>+Assumptions!$G$25*Assumptions!$G$286*Assumptions!$G$268*AI953</f>
        <v>0</v>
      </c>
      <c r="AJ1106" s="33">
        <f>+Assumptions!$G$25*Assumptions!$G$286*Assumptions!$G$268*AJ953</f>
        <v>0</v>
      </c>
      <c r="AK1106" s="33">
        <f>+Assumptions!$G$25*Assumptions!$G$286*Assumptions!$G$268*AK953</f>
        <v>0</v>
      </c>
      <c r="AL1106" s="33">
        <f>+Assumptions!$G$25*Assumptions!$G$286*Assumptions!$G$268*AL953</f>
        <v>0</v>
      </c>
      <c r="AM1106" s="33">
        <f>+Assumptions!$G$25*Assumptions!$G$286*Assumptions!$G$268*AM953</f>
        <v>0</v>
      </c>
      <c r="AN1106" s="33">
        <f>+Assumptions!$G$25*Assumptions!$G$286*Assumptions!$G$268*AN953</f>
        <v>0</v>
      </c>
      <c r="AO1106" s="33">
        <f>+Assumptions!$G$25*Assumptions!$G$286*Assumptions!$G$268*AO953</f>
        <v>0</v>
      </c>
      <c r="AP1106" s="33">
        <f>+Assumptions!$G$25*Assumptions!$G$286*Assumptions!$G$268*AP953</f>
        <v>0</v>
      </c>
      <c r="AQ1106" s="33">
        <f>+Assumptions!$G$25*Assumptions!$G$286*Assumptions!$G$268*AQ953</f>
        <v>0</v>
      </c>
      <c r="AR1106" s="33">
        <f>+Assumptions!$G$25*Assumptions!$G$286*Assumptions!$G$268*AR953</f>
        <v>0</v>
      </c>
      <c r="AS1106" s="33">
        <f>+Assumptions!$G$25*Assumptions!$G$286*Assumptions!$G$268*AS953</f>
        <v>0</v>
      </c>
      <c r="AT1106" s="33">
        <f>+Assumptions!$G$25*Assumptions!$G$286*Assumptions!$G$268*AT953</f>
        <v>0</v>
      </c>
      <c r="AU1106" s="33">
        <f>+Assumptions!$G$25*Assumptions!$G$286*Assumptions!$G$268*AU953</f>
        <v>0</v>
      </c>
      <c r="AV1106" s="33">
        <f>+Assumptions!$G$25*Assumptions!$G$286*Assumptions!$G$268*AV953</f>
        <v>0</v>
      </c>
      <c r="AW1106" s="33">
        <f>+Assumptions!$G$25*Assumptions!$G$286*Assumptions!$G$268*AW953</f>
        <v>0</v>
      </c>
      <c r="AX1106" s="33">
        <f>+Assumptions!$G$25*Assumptions!$G$286*Assumptions!$G$268*AX953</f>
        <v>0</v>
      </c>
      <c r="AY1106" s="33">
        <f>+Assumptions!$G$25*Assumptions!$G$286*Assumptions!$G$268*AY953</f>
        <v>0</v>
      </c>
      <c r="AZ1106" s="33">
        <f>+Assumptions!$G$25*Assumptions!$G$286*Assumptions!$G$268*AZ953</f>
        <v>0</v>
      </c>
      <c r="BA1106" s="33">
        <f>+Assumptions!$G$25*Assumptions!$G$286*Assumptions!$G$268*BA953</f>
        <v>0</v>
      </c>
      <c r="BB1106" s="33">
        <f>+Assumptions!$G$25*Assumptions!$G$286*Assumptions!$G$268*BB953</f>
        <v>0</v>
      </c>
      <c r="BC1106" s="33">
        <f>+Assumptions!$G$25*Assumptions!$G$286*Assumptions!$G$268*BC953</f>
        <v>0</v>
      </c>
      <c r="BD1106" s="33">
        <f>+Assumptions!$G$25*Assumptions!$G$286*Assumptions!$G$268*BD953</f>
        <v>0</v>
      </c>
      <c r="BE1106" s="33">
        <f>+Assumptions!$G$25*Assumptions!$G$286*Assumptions!$G$268*BE953</f>
        <v>0</v>
      </c>
      <c r="BF1106" s="33">
        <f>+Assumptions!$G$25*Assumptions!$G$286*Assumptions!$G$268*BF953</f>
        <v>0</v>
      </c>
      <c r="BG1106" s="33">
        <f>+Assumptions!$G$25*Assumptions!$G$286*Assumptions!$G$268*BG953</f>
        <v>0</v>
      </c>
      <c r="BH1106" s="33">
        <f>+Assumptions!$G$25*Assumptions!$G$286*Assumptions!$G$268*BH953</f>
        <v>0</v>
      </c>
      <c r="BI1106" s="33">
        <f>+Assumptions!$G$25*Assumptions!$G$286*Assumptions!$G$268*BI953</f>
        <v>0</v>
      </c>
      <c r="BJ1106" s="33">
        <f>+Assumptions!$G$25*Assumptions!$G$286*Assumptions!$G$268*BJ953</f>
        <v>0</v>
      </c>
      <c r="BK1106" s="33">
        <f>+Assumptions!$G$25*Assumptions!$G$286*Assumptions!$G$268*BK953</f>
        <v>0</v>
      </c>
      <c r="BL1106" s="33">
        <f>+Assumptions!$G$25*Assumptions!$G$286*Assumptions!$G$268*BL953</f>
        <v>0</v>
      </c>
      <c r="BM1106" s="33">
        <f>+Assumptions!$G$25*Assumptions!$G$286*Assumptions!$G$268*BM953</f>
        <v>0</v>
      </c>
      <c r="BN1106" s="33">
        <f>+Assumptions!$G$25*Assumptions!$G$286*Assumptions!$G$268*BN953</f>
        <v>0</v>
      </c>
      <c r="BO1106" s="33">
        <f>+Assumptions!$G$25*Assumptions!$G$286*Assumptions!$G$268*BO953</f>
        <v>0</v>
      </c>
      <c r="BP1106" s="33">
        <f>+Assumptions!$G$25*Assumptions!$G$286*Assumptions!$G$268*BP953</f>
        <v>0</v>
      </c>
      <c r="BQ1106" s="33">
        <f>+Assumptions!$G$25*Assumptions!$G$286*Assumptions!$G$268*BQ953</f>
        <v>0</v>
      </c>
      <c r="BR1106" s="33">
        <f>+Assumptions!$G$25*Assumptions!$G$286*Assumptions!$G$268*BR953</f>
        <v>0</v>
      </c>
      <c r="BS1106" s="33">
        <f>+Assumptions!$G$25*Assumptions!$G$286*Assumptions!$G$268*BS953</f>
        <v>0</v>
      </c>
      <c r="BT1106" s="33">
        <f>+Assumptions!$G$25*Assumptions!$G$286*Assumptions!$G$268*BT953</f>
        <v>0</v>
      </c>
      <c r="BU1106" s="33">
        <f>+Assumptions!$G$25*Assumptions!$G$286*Assumptions!$G$268*BU953</f>
        <v>0</v>
      </c>
      <c r="BV1106" s="33">
        <f>+Assumptions!$G$25*Assumptions!$G$286*Assumptions!$G$268*BV953</f>
        <v>0</v>
      </c>
      <c r="BW1106" s="33">
        <f>+Assumptions!$G$25*Assumptions!$G$286*Assumptions!$G$268*BW953</f>
        <v>0</v>
      </c>
      <c r="BX1106" s="33">
        <f>+Assumptions!$G$25*Assumptions!$G$286*Assumptions!$G$268*BX953</f>
        <v>0</v>
      </c>
      <c r="BY1106" s="33">
        <f>+Assumptions!$G$25*Assumptions!$G$286*Assumptions!$G$268*BY953</f>
        <v>0</v>
      </c>
    </row>
    <row r="1107" spans="2:77" outlineLevel="1">
      <c r="E1107" t="s">
        <v>558</v>
      </c>
      <c r="F1107" s="80" t="s">
        <v>557</v>
      </c>
      <c r="H1107" s="33">
        <f>Assumptions!$G$265*Assumptions!$G$287*Assumptions!$G$268*H953</f>
        <v>0</v>
      </c>
      <c r="I1107" s="33">
        <f>Assumptions!$G$265*Assumptions!$G$287*Assumptions!$G$268*I953</f>
        <v>0</v>
      </c>
      <c r="J1107" s="33">
        <f>Assumptions!$G$265*Assumptions!$G$287*Assumptions!$G$268*J953</f>
        <v>0</v>
      </c>
      <c r="K1107" s="33">
        <f>Assumptions!$G$265*Assumptions!$G$287*Assumptions!$G$268*K953</f>
        <v>8680.4687499999982</v>
      </c>
      <c r="L1107" s="33">
        <f>Assumptions!$G$265*Assumptions!$G$287*Assumptions!$G$268*L953</f>
        <v>8680.4687499999982</v>
      </c>
      <c r="M1107" s="33">
        <f>Assumptions!$G$265*Assumptions!$G$287*Assumptions!$G$268*M953</f>
        <v>8680.4687499999982</v>
      </c>
      <c r="N1107" s="33">
        <f>Assumptions!$G$265*Assumptions!$G$287*Assumptions!$G$268*N953</f>
        <v>8680.4687499999982</v>
      </c>
      <c r="O1107" s="33">
        <f>Assumptions!$G$265*Assumptions!$G$287*Assumptions!$G$268*O953</f>
        <v>8680.4687499999982</v>
      </c>
      <c r="P1107" s="33">
        <f>Assumptions!$G$265*Assumptions!$G$287*Assumptions!$G$268*P953</f>
        <v>8680.4687499999982</v>
      </c>
      <c r="Q1107" s="33">
        <f>Assumptions!$G$265*Assumptions!$G$287*Assumptions!$G$268*Q953</f>
        <v>8680.4687499999982</v>
      </c>
      <c r="R1107" s="33">
        <f>Assumptions!$G$265*Assumptions!$G$287*Assumptions!$G$268*R953</f>
        <v>8680.4687499999982</v>
      </c>
      <c r="S1107" s="33">
        <f>Assumptions!$G$265*Assumptions!$G$287*Assumptions!$G$268*S953</f>
        <v>8680.4687499999982</v>
      </c>
      <c r="T1107" s="33">
        <f>Assumptions!$G$265*Assumptions!$G$287*Assumptions!$G$268*T953</f>
        <v>8680.4687499999982</v>
      </c>
      <c r="U1107" s="33">
        <f>Assumptions!$G$265*Assumptions!$G$287*Assumptions!$G$268*U953</f>
        <v>8680.4687499999982</v>
      </c>
      <c r="V1107" s="33">
        <f>Assumptions!$G$265*Assumptions!$G$287*Assumptions!$G$268*V953</f>
        <v>8680.4687499999982</v>
      </c>
      <c r="W1107" s="33">
        <f>Assumptions!$G$265*Assumptions!$G$287*Assumptions!$G$268*W953</f>
        <v>8680.4687499999982</v>
      </c>
      <c r="X1107" s="33">
        <f>Assumptions!$G$265*Assumptions!$G$287*Assumptions!$G$268*X953</f>
        <v>8680.4687499999982</v>
      </c>
      <c r="Y1107" s="33">
        <f>Assumptions!$G$265*Assumptions!$G$287*Assumptions!$G$268*Y953</f>
        <v>8680.4687499999982</v>
      </c>
      <c r="Z1107" s="33">
        <f>Assumptions!$G$265*Assumptions!$G$287*Assumptions!$G$268*Z953</f>
        <v>0</v>
      </c>
      <c r="AA1107" s="33">
        <f>Assumptions!$G$265*Assumptions!$G$287*Assumptions!$G$268*AA953</f>
        <v>0</v>
      </c>
      <c r="AB1107" s="33">
        <f>Assumptions!$G$265*Assumptions!$G$287*Assumptions!$G$268*AB953</f>
        <v>0</v>
      </c>
      <c r="AC1107" s="33">
        <f>Assumptions!$G$265*Assumptions!$G$287*Assumptions!$G$268*AC953</f>
        <v>0</v>
      </c>
      <c r="AD1107" s="33">
        <f>Assumptions!$G$265*Assumptions!$G$287*Assumptions!$G$268*AD953</f>
        <v>0</v>
      </c>
      <c r="AE1107" s="33">
        <f>Assumptions!$G$265*Assumptions!$G$287*Assumptions!$G$268*AE953</f>
        <v>0</v>
      </c>
      <c r="AF1107" s="33">
        <f>Assumptions!$G$265*Assumptions!$G$287*Assumptions!$G$268*AF953</f>
        <v>0</v>
      </c>
      <c r="AG1107" s="33">
        <f>Assumptions!$G$265*Assumptions!$G$287*Assumptions!$G$268*AG953</f>
        <v>0</v>
      </c>
      <c r="AH1107" s="33">
        <f>Assumptions!$G$265*Assumptions!$G$287*Assumptions!$G$268*AH953</f>
        <v>0</v>
      </c>
      <c r="AI1107" s="33">
        <f>Assumptions!$G$265*Assumptions!$G$287*Assumptions!$G$268*AI953</f>
        <v>0</v>
      </c>
      <c r="AJ1107" s="33">
        <f>Assumptions!$G$265*Assumptions!$G$287*Assumptions!$G$268*AJ953</f>
        <v>0</v>
      </c>
      <c r="AK1107" s="33">
        <f>Assumptions!$G$265*Assumptions!$G$287*Assumptions!$G$268*AK953</f>
        <v>0</v>
      </c>
      <c r="AL1107" s="33">
        <f>Assumptions!$G$265*Assumptions!$G$287*Assumptions!$G$268*AL953</f>
        <v>0</v>
      </c>
      <c r="AM1107" s="33">
        <f>Assumptions!$G$265*Assumptions!$G$287*Assumptions!$G$268*AM953</f>
        <v>0</v>
      </c>
      <c r="AN1107" s="33">
        <f>Assumptions!$G$265*Assumptions!$G$287*Assumptions!$G$268*AN953</f>
        <v>0</v>
      </c>
      <c r="AO1107" s="33">
        <f>Assumptions!$G$265*Assumptions!$G$287*Assumptions!$G$268*AO953</f>
        <v>0</v>
      </c>
      <c r="AP1107" s="33">
        <f>Assumptions!$G$265*Assumptions!$G$287*Assumptions!$G$268*AP953</f>
        <v>0</v>
      </c>
      <c r="AQ1107" s="33">
        <f>Assumptions!$G$265*Assumptions!$G$287*Assumptions!$G$268*AQ953</f>
        <v>0</v>
      </c>
      <c r="AR1107" s="33">
        <f>Assumptions!$G$265*Assumptions!$G$287*Assumptions!$G$268*AR953</f>
        <v>0</v>
      </c>
      <c r="AS1107" s="33">
        <f>Assumptions!$G$265*Assumptions!$G$287*Assumptions!$G$268*AS953</f>
        <v>0</v>
      </c>
      <c r="AT1107" s="33">
        <f>Assumptions!$G$265*Assumptions!$G$287*Assumptions!$G$268*AT953</f>
        <v>0</v>
      </c>
      <c r="AU1107" s="33">
        <f>Assumptions!$G$265*Assumptions!$G$287*Assumptions!$G$268*AU953</f>
        <v>0</v>
      </c>
      <c r="AV1107" s="33">
        <f>Assumptions!$G$265*Assumptions!$G$287*Assumptions!$G$268*AV953</f>
        <v>0</v>
      </c>
      <c r="AW1107" s="33">
        <f>Assumptions!$G$265*Assumptions!$G$287*Assumptions!$G$268*AW953</f>
        <v>0</v>
      </c>
      <c r="AX1107" s="33">
        <f>Assumptions!$G$265*Assumptions!$G$287*Assumptions!$G$268*AX953</f>
        <v>0</v>
      </c>
      <c r="AY1107" s="33">
        <f>Assumptions!$G$265*Assumptions!$G$287*Assumptions!$G$268*AY953</f>
        <v>0</v>
      </c>
      <c r="AZ1107" s="33">
        <f>Assumptions!$G$265*Assumptions!$G$287*Assumptions!$G$268*AZ953</f>
        <v>0</v>
      </c>
      <c r="BA1107" s="33">
        <f>Assumptions!$G$265*Assumptions!$G$287*Assumptions!$G$268*BA953</f>
        <v>0</v>
      </c>
      <c r="BB1107" s="33">
        <f>Assumptions!$G$265*Assumptions!$G$287*Assumptions!$G$268*BB953</f>
        <v>0</v>
      </c>
      <c r="BC1107" s="33">
        <f>Assumptions!$G$265*Assumptions!$G$287*Assumptions!$G$268*BC953</f>
        <v>0</v>
      </c>
      <c r="BD1107" s="33">
        <f>Assumptions!$G$265*Assumptions!$G$287*Assumptions!$G$268*BD953</f>
        <v>0</v>
      </c>
      <c r="BE1107" s="33">
        <f>Assumptions!$G$265*Assumptions!$G$287*Assumptions!$G$268*BE953</f>
        <v>0</v>
      </c>
      <c r="BF1107" s="33">
        <f>Assumptions!$G$265*Assumptions!$G$287*Assumptions!$G$268*BF953</f>
        <v>0</v>
      </c>
      <c r="BG1107" s="33">
        <f>Assumptions!$G$265*Assumptions!$G$287*Assumptions!$G$268*BG953</f>
        <v>0</v>
      </c>
      <c r="BH1107" s="33">
        <f>Assumptions!$G$265*Assumptions!$G$287*Assumptions!$G$268*BH953</f>
        <v>0</v>
      </c>
      <c r="BI1107" s="33">
        <f>Assumptions!$G$265*Assumptions!$G$287*Assumptions!$G$268*BI953</f>
        <v>0</v>
      </c>
      <c r="BJ1107" s="33">
        <f>Assumptions!$G$265*Assumptions!$G$287*Assumptions!$G$268*BJ953</f>
        <v>0</v>
      </c>
      <c r="BK1107" s="33">
        <f>Assumptions!$G$265*Assumptions!$G$287*Assumptions!$G$268*BK953</f>
        <v>0</v>
      </c>
      <c r="BL1107" s="33">
        <f>Assumptions!$G$265*Assumptions!$G$287*Assumptions!$G$268*BL953</f>
        <v>0</v>
      </c>
      <c r="BM1107" s="33">
        <f>Assumptions!$G$265*Assumptions!$G$287*Assumptions!$G$268*BM953</f>
        <v>0</v>
      </c>
      <c r="BN1107" s="33">
        <f>Assumptions!$G$265*Assumptions!$G$287*Assumptions!$G$268*BN953</f>
        <v>0</v>
      </c>
      <c r="BO1107" s="33">
        <f>Assumptions!$G$265*Assumptions!$G$287*Assumptions!$G$268*BO953</f>
        <v>0</v>
      </c>
      <c r="BP1107" s="33">
        <f>Assumptions!$G$265*Assumptions!$G$287*Assumptions!$G$268*BP953</f>
        <v>0</v>
      </c>
      <c r="BQ1107" s="33">
        <f>Assumptions!$G$265*Assumptions!$G$287*Assumptions!$G$268*BQ953</f>
        <v>0</v>
      </c>
      <c r="BR1107" s="33">
        <f>Assumptions!$G$265*Assumptions!$G$287*Assumptions!$G$268*BR953</f>
        <v>0</v>
      </c>
      <c r="BS1107" s="33">
        <f>Assumptions!$G$265*Assumptions!$G$287*Assumptions!$G$268*BS953</f>
        <v>0</v>
      </c>
      <c r="BT1107" s="33">
        <f>Assumptions!$G$265*Assumptions!$G$287*Assumptions!$G$268*BT953</f>
        <v>0</v>
      </c>
      <c r="BU1107" s="33">
        <f>Assumptions!$G$265*Assumptions!$G$287*Assumptions!$G$268*BU953</f>
        <v>0</v>
      </c>
      <c r="BV1107" s="33">
        <f>Assumptions!$G$265*Assumptions!$G$287*Assumptions!$G$268*BV953</f>
        <v>0</v>
      </c>
      <c r="BW1107" s="33">
        <f>Assumptions!$G$265*Assumptions!$G$287*Assumptions!$G$268*BW953</f>
        <v>0</v>
      </c>
      <c r="BX1107" s="33">
        <f>Assumptions!$G$265*Assumptions!$G$287*Assumptions!$G$268*BX953</f>
        <v>0</v>
      </c>
      <c r="BY1107" s="33">
        <f>Assumptions!$G$265*Assumptions!$G$287*Assumptions!$G$268*BY953</f>
        <v>0</v>
      </c>
    </row>
    <row r="1108" spans="2:77" outlineLevel="1">
      <c r="E1108" t="s">
        <v>559</v>
      </c>
      <c r="F1108" s="80" t="s">
        <v>560</v>
      </c>
      <c r="H1108" s="33">
        <f>+IFERROR(_xlfn.XLOOKUP(Assumptions!$G$24,Data_tables!$K$5:$K$20,Data_tables!$N$5:$N$20),0)*H1106+IFERROR(_xlfn.XLOOKUP(Assumptions!$G$264,Data_tables!#REF!,Data_tables!$N$5:$N$20),0)*H1107</f>
        <v>0</v>
      </c>
      <c r="I1108" s="33">
        <f>+IFERROR(_xlfn.XLOOKUP(Assumptions!$G$24,Data_tables!$K$5:$K$20,Data_tables!$N$5:$N$20),0)*I1106+IFERROR(_xlfn.XLOOKUP(Assumptions!$G$264,Data_tables!#REF!,Data_tables!$N$5:$N$20),0)*I1107</f>
        <v>0</v>
      </c>
      <c r="J1108" s="33">
        <f>+IFERROR(_xlfn.XLOOKUP(Assumptions!$G$24,Data_tables!$K$5:$K$20,Data_tables!$N$5:$N$20),0)*J1106+IFERROR(_xlfn.XLOOKUP(Assumptions!$G$264,Data_tables!#REF!,Data_tables!$N$5:$N$20),0)*J1107</f>
        <v>0</v>
      </c>
      <c r="K1108" s="33">
        <f>+IFERROR(_xlfn.XLOOKUP(Assumptions!$G$24,Data_tables!$K$5:$K$20,Data_tables!$N$5:$N$20),0)*K1106+IFERROR(_xlfn.XLOOKUP(Assumptions!$G$264,Data_tables!#REF!,Data_tables!$N$5:$N$20),0)*K1107</f>
        <v>1579106.5492021271</v>
      </c>
      <c r="L1108" s="33">
        <f>+IFERROR(_xlfn.XLOOKUP(Assumptions!$G$24,Data_tables!$K$5:$K$20,Data_tables!$N$5:$N$20),0)*L1106+IFERROR(_xlfn.XLOOKUP(Assumptions!$G$264,Data_tables!#REF!,Data_tables!$N$5:$N$20),0)*L1107</f>
        <v>1579106.5492021271</v>
      </c>
      <c r="M1108" s="33">
        <f>+IFERROR(_xlfn.XLOOKUP(Assumptions!$G$24,Data_tables!$K$5:$K$20,Data_tables!$N$5:$N$20),0)*M1106+IFERROR(_xlfn.XLOOKUP(Assumptions!$G$264,Data_tables!#REF!,Data_tables!$N$5:$N$20),0)*M1107</f>
        <v>1579106.5492021271</v>
      </c>
      <c r="N1108" s="33">
        <f>+IFERROR(_xlfn.XLOOKUP(Assumptions!$G$24,Data_tables!$K$5:$K$20,Data_tables!$N$5:$N$20),0)*N1106+IFERROR(_xlfn.XLOOKUP(Assumptions!$G$264,Data_tables!#REF!,Data_tables!$N$5:$N$20),0)*N1107</f>
        <v>1579106.5492021271</v>
      </c>
      <c r="O1108" s="33">
        <f>+IFERROR(_xlfn.XLOOKUP(Assumptions!$G$24,Data_tables!$K$5:$K$20,Data_tables!$N$5:$N$20),0)*O1106+IFERROR(_xlfn.XLOOKUP(Assumptions!$G$264,Data_tables!#REF!,Data_tables!$N$5:$N$20),0)*O1107</f>
        <v>1579106.5492021271</v>
      </c>
      <c r="P1108" s="33">
        <f>+IFERROR(_xlfn.XLOOKUP(Assumptions!$G$24,Data_tables!$K$5:$K$20,Data_tables!$N$5:$N$20),0)*P1106+IFERROR(_xlfn.XLOOKUP(Assumptions!$G$264,Data_tables!#REF!,Data_tables!$N$5:$N$20),0)*P1107</f>
        <v>1579106.5492021271</v>
      </c>
      <c r="Q1108" s="33">
        <f>+IFERROR(_xlfn.XLOOKUP(Assumptions!$G$24,Data_tables!$K$5:$K$20,Data_tables!$N$5:$N$20),0)*Q1106+IFERROR(_xlfn.XLOOKUP(Assumptions!$G$264,Data_tables!#REF!,Data_tables!$N$5:$N$20),0)*Q1107</f>
        <v>1579106.5492021271</v>
      </c>
      <c r="R1108" s="33">
        <f>+IFERROR(_xlfn.XLOOKUP(Assumptions!$G$24,Data_tables!$K$5:$K$20,Data_tables!$N$5:$N$20),0)*R1106+IFERROR(_xlfn.XLOOKUP(Assumptions!$G$264,Data_tables!#REF!,Data_tables!$N$5:$N$20),0)*R1107</f>
        <v>1579106.5492021271</v>
      </c>
      <c r="S1108" s="33">
        <f>+IFERROR(_xlfn.XLOOKUP(Assumptions!$G$24,Data_tables!$K$5:$K$20,Data_tables!$N$5:$N$20),0)*S1106+IFERROR(_xlfn.XLOOKUP(Assumptions!$G$264,Data_tables!#REF!,Data_tables!$N$5:$N$20),0)*S1107</f>
        <v>1579106.5492021271</v>
      </c>
      <c r="T1108" s="33">
        <f>+IFERROR(_xlfn.XLOOKUP(Assumptions!$G$24,Data_tables!$K$5:$K$20,Data_tables!$N$5:$N$20),0)*T1106+IFERROR(_xlfn.XLOOKUP(Assumptions!$G$264,Data_tables!#REF!,Data_tables!$N$5:$N$20),0)*T1107</f>
        <v>1579106.5492021271</v>
      </c>
      <c r="U1108" s="33">
        <f>+IFERROR(_xlfn.XLOOKUP(Assumptions!$G$24,Data_tables!$K$5:$K$20,Data_tables!$N$5:$N$20),0)*U1106+IFERROR(_xlfn.XLOOKUP(Assumptions!$G$264,Data_tables!#REF!,Data_tables!$N$5:$N$20),0)*U1107</f>
        <v>1579106.5492021271</v>
      </c>
      <c r="V1108" s="33">
        <f>+IFERROR(_xlfn.XLOOKUP(Assumptions!$G$24,Data_tables!$K$5:$K$20,Data_tables!$N$5:$N$20),0)*V1106+IFERROR(_xlfn.XLOOKUP(Assumptions!$G$264,Data_tables!#REF!,Data_tables!$N$5:$N$20),0)*V1107</f>
        <v>1579106.5492021271</v>
      </c>
      <c r="W1108" s="33">
        <f>+IFERROR(_xlfn.XLOOKUP(Assumptions!$G$24,Data_tables!$K$5:$K$20,Data_tables!$N$5:$N$20),0)*W1106+IFERROR(_xlfn.XLOOKUP(Assumptions!$G$264,Data_tables!#REF!,Data_tables!$N$5:$N$20),0)*W1107</f>
        <v>1579106.5492021271</v>
      </c>
      <c r="X1108" s="33">
        <f>+IFERROR(_xlfn.XLOOKUP(Assumptions!$G$24,Data_tables!$K$5:$K$20,Data_tables!$N$5:$N$20),0)*X1106+IFERROR(_xlfn.XLOOKUP(Assumptions!$G$264,Data_tables!#REF!,Data_tables!$N$5:$N$20),0)*X1107</f>
        <v>1579106.5492021271</v>
      </c>
      <c r="Y1108" s="33">
        <f>+IFERROR(_xlfn.XLOOKUP(Assumptions!$G$24,Data_tables!$K$5:$K$20,Data_tables!$N$5:$N$20),0)*Y1106+IFERROR(_xlfn.XLOOKUP(Assumptions!$G$264,Data_tables!#REF!,Data_tables!$N$5:$N$20),0)*Y1107</f>
        <v>1579106.5492021271</v>
      </c>
      <c r="Z1108" s="33">
        <f>+IFERROR(_xlfn.XLOOKUP(Assumptions!$G$24,Data_tables!$K$5:$K$20,Data_tables!$N$5:$N$20),0)*Z1106+IFERROR(_xlfn.XLOOKUP(Assumptions!$G$264,Data_tables!#REF!,Data_tables!$N$5:$N$20),0)*Z1107</f>
        <v>0</v>
      </c>
      <c r="AA1108" s="33">
        <f>+IFERROR(_xlfn.XLOOKUP(Assumptions!$G$24,Data_tables!$K$5:$K$20,Data_tables!$N$5:$N$20),0)*AA1106+IFERROR(_xlfn.XLOOKUP(Assumptions!$G$264,Data_tables!#REF!,Data_tables!$N$5:$N$20),0)*AA1107</f>
        <v>0</v>
      </c>
      <c r="AB1108" s="33">
        <f>+IFERROR(_xlfn.XLOOKUP(Assumptions!$G$24,Data_tables!$K$5:$K$20,Data_tables!$N$5:$N$20),0)*AB1106+IFERROR(_xlfn.XLOOKUP(Assumptions!$G$264,Data_tables!#REF!,Data_tables!$N$5:$N$20),0)*AB1107</f>
        <v>0</v>
      </c>
      <c r="AC1108" s="33">
        <f>+IFERROR(_xlfn.XLOOKUP(Assumptions!$G$24,Data_tables!$K$5:$K$20,Data_tables!$N$5:$N$20),0)*AC1106+IFERROR(_xlfn.XLOOKUP(Assumptions!$G$264,Data_tables!#REF!,Data_tables!$N$5:$N$20),0)*AC1107</f>
        <v>0</v>
      </c>
      <c r="AD1108" s="33">
        <f>+IFERROR(_xlfn.XLOOKUP(Assumptions!$G$24,Data_tables!$K$5:$K$20,Data_tables!$N$5:$N$20),0)*AD1106+IFERROR(_xlfn.XLOOKUP(Assumptions!$G$264,Data_tables!#REF!,Data_tables!$N$5:$N$20),0)*AD1107</f>
        <v>0</v>
      </c>
      <c r="AE1108" s="33">
        <f>+IFERROR(_xlfn.XLOOKUP(Assumptions!$G$24,Data_tables!$K$5:$K$20,Data_tables!$N$5:$N$20),0)*AE1106+IFERROR(_xlfn.XLOOKUP(Assumptions!$G$264,Data_tables!#REF!,Data_tables!$N$5:$N$20),0)*AE1107</f>
        <v>0</v>
      </c>
      <c r="AF1108" s="33">
        <f>+IFERROR(_xlfn.XLOOKUP(Assumptions!$G$24,Data_tables!$K$5:$K$20,Data_tables!$N$5:$N$20),0)*AF1106+IFERROR(_xlfn.XLOOKUP(Assumptions!$G$264,Data_tables!#REF!,Data_tables!$N$5:$N$20),0)*AF1107</f>
        <v>0</v>
      </c>
      <c r="AG1108" s="33">
        <f>+IFERROR(_xlfn.XLOOKUP(Assumptions!$G$24,Data_tables!$K$5:$K$20,Data_tables!$N$5:$N$20),0)*AG1106+IFERROR(_xlfn.XLOOKUP(Assumptions!$G$264,Data_tables!#REF!,Data_tables!$N$5:$N$20),0)*AG1107</f>
        <v>0</v>
      </c>
      <c r="AH1108" s="33">
        <f>+IFERROR(_xlfn.XLOOKUP(Assumptions!$G$24,Data_tables!$K$5:$K$20,Data_tables!$N$5:$N$20),0)*AH1106+IFERROR(_xlfn.XLOOKUP(Assumptions!$G$264,Data_tables!#REF!,Data_tables!$N$5:$N$20),0)*AH1107</f>
        <v>0</v>
      </c>
      <c r="AI1108" s="33">
        <f>+IFERROR(_xlfn.XLOOKUP(Assumptions!$G$24,Data_tables!$K$5:$K$20,Data_tables!$N$5:$N$20),0)*AI1106+IFERROR(_xlfn.XLOOKUP(Assumptions!$G$264,Data_tables!#REF!,Data_tables!$N$5:$N$20),0)*AI1107</f>
        <v>0</v>
      </c>
      <c r="AJ1108" s="33">
        <f>+IFERROR(_xlfn.XLOOKUP(Assumptions!$G$24,Data_tables!$K$5:$K$20,Data_tables!$N$5:$N$20),0)*AJ1106+IFERROR(_xlfn.XLOOKUP(Assumptions!$G$264,Data_tables!#REF!,Data_tables!$N$5:$N$20),0)*AJ1107</f>
        <v>0</v>
      </c>
      <c r="AK1108" s="33">
        <f>+IFERROR(_xlfn.XLOOKUP(Assumptions!$G$24,Data_tables!$K$5:$K$20,Data_tables!$N$5:$N$20),0)*AK1106+IFERROR(_xlfn.XLOOKUP(Assumptions!$G$264,Data_tables!#REF!,Data_tables!$N$5:$N$20),0)*AK1107</f>
        <v>0</v>
      </c>
      <c r="AL1108" s="33">
        <f>+IFERROR(_xlfn.XLOOKUP(Assumptions!$G$24,Data_tables!$K$5:$K$20,Data_tables!$N$5:$N$20),0)*AL1106+IFERROR(_xlfn.XLOOKUP(Assumptions!$G$264,Data_tables!#REF!,Data_tables!$N$5:$N$20),0)*AL1107</f>
        <v>0</v>
      </c>
      <c r="AM1108" s="33">
        <f>+IFERROR(_xlfn.XLOOKUP(Assumptions!$G$24,Data_tables!$K$5:$K$20,Data_tables!$N$5:$N$20),0)*AM1106+IFERROR(_xlfn.XLOOKUP(Assumptions!$G$264,Data_tables!#REF!,Data_tables!$N$5:$N$20),0)*AM1107</f>
        <v>0</v>
      </c>
      <c r="AN1108" s="33">
        <f>+IFERROR(_xlfn.XLOOKUP(Assumptions!$G$24,Data_tables!$K$5:$K$20,Data_tables!$N$5:$N$20),0)*AN1106+IFERROR(_xlfn.XLOOKUP(Assumptions!$G$264,Data_tables!#REF!,Data_tables!$N$5:$N$20),0)*AN1107</f>
        <v>0</v>
      </c>
      <c r="AO1108" s="33">
        <f>+IFERROR(_xlfn.XLOOKUP(Assumptions!$G$24,Data_tables!$K$5:$K$20,Data_tables!$N$5:$N$20),0)*AO1106+IFERROR(_xlfn.XLOOKUP(Assumptions!$G$264,Data_tables!#REF!,Data_tables!$N$5:$N$20),0)*AO1107</f>
        <v>0</v>
      </c>
      <c r="AP1108" s="33">
        <f>+IFERROR(_xlfn.XLOOKUP(Assumptions!$G$24,Data_tables!$K$5:$K$20,Data_tables!$N$5:$N$20),0)*AP1106+IFERROR(_xlfn.XLOOKUP(Assumptions!$G$264,Data_tables!#REF!,Data_tables!$N$5:$N$20),0)*AP1107</f>
        <v>0</v>
      </c>
      <c r="AQ1108" s="33">
        <f>+IFERROR(_xlfn.XLOOKUP(Assumptions!$G$24,Data_tables!$K$5:$K$20,Data_tables!$N$5:$N$20),0)*AQ1106+IFERROR(_xlfn.XLOOKUP(Assumptions!$G$264,Data_tables!#REF!,Data_tables!$N$5:$N$20),0)*AQ1107</f>
        <v>0</v>
      </c>
      <c r="AR1108" s="33">
        <f>+IFERROR(_xlfn.XLOOKUP(Assumptions!$G$24,Data_tables!$K$5:$K$20,Data_tables!$N$5:$N$20),0)*AR1106+IFERROR(_xlfn.XLOOKUP(Assumptions!$G$264,Data_tables!#REF!,Data_tables!$N$5:$N$20),0)*AR1107</f>
        <v>0</v>
      </c>
      <c r="AS1108" s="33">
        <f>+IFERROR(_xlfn.XLOOKUP(Assumptions!$G$24,Data_tables!$K$5:$K$20,Data_tables!$N$5:$N$20),0)*AS1106+IFERROR(_xlfn.XLOOKUP(Assumptions!$G$264,Data_tables!#REF!,Data_tables!$N$5:$N$20),0)*AS1107</f>
        <v>0</v>
      </c>
      <c r="AT1108" s="33">
        <f>+IFERROR(_xlfn.XLOOKUP(Assumptions!$G$24,Data_tables!$K$5:$K$20,Data_tables!$N$5:$N$20),0)*AT1106+IFERROR(_xlfn.XLOOKUP(Assumptions!$G$264,Data_tables!#REF!,Data_tables!$N$5:$N$20),0)*AT1107</f>
        <v>0</v>
      </c>
      <c r="AU1108" s="33">
        <f>+IFERROR(_xlfn.XLOOKUP(Assumptions!$G$24,Data_tables!$K$5:$K$20,Data_tables!$N$5:$N$20),0)*AU1106+IFERROR(_xlfn.XLOOKUP(Assumptions!$G$264,Data_tables!#REF!,Data_tables!$N$5:$N$20),0)*AU1107</f>
        <v>0</v>
      </c>
      <c r="AV1108" s="33">
        <f>+IFERROR(_xlfn.XLOOKUP(Assumptions!$G$24,Data_tables!$K$5:$K$20,Data_tables!$N$5:$N$20),0)*AV1106+IFERROR(_xlfn.XLOOKUP(Assumptions!$G$264,Data_tables!#REF!,Data_tables!$N$5:$N$20),0)*AV1107</f>
        <v>0</v>
      </c>
      <c r="AW1108" s="33">
        <f>+IFERROR(_xlfn.XLOOKUP(Assumptions!$G$24,Data_tables!$K$5:$K$20,Data_tables!$N$5:$N$20),0)*AW1106+IFERROR(_xlfn.XLOOKUP(Assumptions!$G$264,Data_tables!#REF!,Data_tables!$N$5:$N$20),0)*AW1107</f>
        <v>0</v>
      </c>
      <c r="AX1108" s="33">
        <f>+IFERROR(_xlfn.XLOOKUP(Assumptions!$G$24,Data_tables!$K$5:$K$20,Data_tables!$N$5:$N$20),0)*AX1106+IFERROR(_xlfn.XLOOKUP(Assumptions!$G$264,Data_tables!#REF!,Data_tables!$N$5:$N$20),0)*AX1107</f>
        <v>0</v>
      </c>
      <c r="AY1108" s="33">
        <f>+IFERROR(_xlfn.XLOOKUP(Assumptions!$G$24,Data_tables!$K$5:$K$20,Data_tables!$N$5:$N$20),0)*AY1106+IFERROR(_xlfn.XLOOKUP(Assumptions!$G$264,Data_tables!#REF!,Data_tables!$N$5:$N$20),0)*AY1107</f>
        <v>0</v>
      </c>
      <c r="AZ1108" s="33">
        <f>+IFERROR(_xlfn.XLOOKUP(Assumptions!$G$24,Data_tables!$K$5:$K$20,Data_tables!$N$5:$N$20),0)*AZ1106+IFERROR(_xlfn.XLOOKUP(Assumptions!$G$264,Data_tables!#REF!,Data_tables!$N$5:$N$20),0)*AZ1107</f>
        <v>0</v>
      </c>
      <c r="BA1108" s="33">
        <f>+IFERROR(_xlfn.XLOOKUP(Assumptions!$G$24,Data_tables!$K$5:$K$20,Data_tables!$N$5:$N$20),0)*BA1106+IFERROR(_xlfn.XLOOKUP(Assumptions!$G$264,Data_tables!#REF!,Data_tables!$N$5:$N$20),0)*BA1107</f>
        <v>0</v>
      </c>
      <c r="BB1108" s="33">
        <f>+IFERROR(_xlfn.XLOOKUP(Assumptions!$G$24,Data_tables!$K$5:$K$20,Data_tables!$N$5:$N$20),0)*BB1106+IFERROR(_xlfn.XLOOKUP(Assumptions!$G$264,Data_tables!#REF!,Data_tables!$N$5:$N$20),0)*BB1107</f>
        <v>0</v>
      </c>
      <c r="BC1108" s="33">
        <f>+IFERROR(_xlfn.XLOOKUP(Assumptions!$G$24,Data_tables!$K$5:$K$20,Data_tables!$N$5:$N$20),0)*BC1106+IFERROR(_xlfn.XLOOKUP(Assumptions!$G$264,Data_tables!#REF!,Data_tables!$N$5:$N$20),0)*BC1107</f>
        <v>0</v>
      </c>
      <c r="BD1108" s="33">
        <f>+IFERROR(_xlfn.XLOOKUP(Assumptions!$G$24,Data_tables!$K$5:$K$20,Data_tables!$N$5:$N$20),0)*BD1106+IFERROR(_xlfn.XLOOKUP(Assumptions!$G$264,Data_tables!#REF!,Data_tables!$N$5:$N$20),0)*BD1107</f>
        <v>0</v>
      </c>
      <c r="BE1108" s="33">
        <f>+IFERROR(_xlfn.XLOOKUP(Assumptions!$G$24,Data_tables!$K$5:$K$20,Data_tables!$N$5:$N$20),0)*BE1106+IFERROR(_xlfn.XLOOKUP(Assumptions!$G$264,Data_tables!#REF!,Data_tables!$N$5:$N$20),0)*BE1107</f>
        <v>0</v>
      </c>
      <c r="BF1108" s="33">
        <f>+IFERROR(_xlfn.XLOOKUP(Assumptions!$G$24,Data_tables!$K$5:$K$20,Data_tables!$N$5:$N$20),0)*BF1106+IFERROR(_xlfn.XLOOKUP(Assumptions!$G$264,Data_tables!#REF!,Data_tables!$N$5:$N$20),0)*BF1107</f>
        <v>0</v>
      </c>
      <c r="BG1108" s="33">
        <f>+IFERROR(_xlfn.XLOOKUP(Assumptions!$G$24,Data_tables!$K$5:$K$20,Data_tables!$N$5:$N$20),0)*BG1106+IFERROR(_xlfn.XLOOKUP(Assumptions!$G$264,Data_tables!#REF!,Data_tables!$N$5:$N$20),0)*BG1107</f>
        <v>0</v>
      </c>
      <c r="BH1108" s="33">
        <f>+IFERROR(_xlfn.XLOOKUP(Assumptions!$G$24,Data_tables!$K$5:$K$20,Data_tables!$N$5:$N$20),0)*BH1106+IFERROR(_xlfn.XLOOKUP(Assumptions!$G$264,Data_tables!#REF!,Data_tables!$N$5:$N$20),0)*BH1107</f>
        <v>0</v>
      </c>
      <c r="BI1108" s="33">
        <f>+IFERROR(_xlfn.XLOOKUP(Assumptions!$G$24,Data_tables!$K$5:$K$20,Data_tables!$N$5:$N$20),0)*BI1106+IFERROR(_xlfn.XLOOKUP(Assumptions!$G$264,Data_tables!#REF!,Data_tables!$N$5:$N$20),0)*BI1107</f>
        <v>0</v>
      </c>
      <c r="BJ1108" s="33">
        <f>+IFERROR(_xlfn.XLOOKUP(Assumptions!$G$24,Data_tables!$K$5:$K$20,Data_tables!$N$5:$N$20),0)*BJ1106+IFERROR(_xlfn.XLOOKUP(Assumptions!$G$264,Data_tables!#REF!,Data_tables!$N$5:$N$20),0)*BJ1107</f>
        <v>0</v>
      </c>
      <c r="BK1108" s="33">
        <f>+IFERROR(_xlfn.XLOOKUP(Assumptions!$G$24,Data_tables!$K$5:$K$20,Data_tables!$N$5:$N$20),0)*BK1106+IFERROR(_xlfn.XLOOKUP(Assumptions!$G$264,Data_tables!#REF!,Data_tables!$N$5:$N$20),0)*BK1107</f>
        <v>0</v>
      </c>
      <c r="BL1108" s="33">
        <f>+IFERROR(_xlfn.XLOOKUP(Assumptions!$G$24,Data_tables!$K$5:$K$20,Data_tables!$N$5:$N$20),0)*BL1106+IFERROR(_xlfn.XLOOKUP(Assumptions!$G$264,Data_tables!#REF!,Data_tables!$N$5:$N$20),0)*BL1107</f>
        <v>0</v>
      </c>
      <c r="BM1108" s="33">
        <f>+IFERROR(_xlfn.XLOOKUP(Assumptions!$G$24,Data_tables!$K$5:$K$20,Data_tables!$N$5:$N$20),0)*BM1106+IFERROR(_xlfn.XLOOKUP(Assumptions!$G$264,Data_tables!#REF!,Data_tables!$N$5:$N$20),0)*BM1107</f>
        <v>0</v>
      </c>
      <c r="BN1108" s="33">
        <f>+IFERROR(_xlfn.XLOOKUP(Assumptions!$G$24,Data_tables!$K$5:$K$20,Data_tables!$N$5:$N$20),0)*BN1106+IFERROR(_xlfn.XLOOKUP(Assumptions!$G$264,Data_tables!#REF!,Data_tables!$N$5:$N$20),0)*BN1107</f>
        <v>0</v>
      </c>
      <c r="BO1108" s="33">
        <f>+IFERROR(_xlfn.XLOOKUP(Assumptions!$G$24,Data_tables!$K$5:$K$20,Data_tables!$N$5:$N$20),0)*BO1106+IFERROR(_xlfn.XLOOKUP(Assumptions!$G$264,Data_tables!#REF!,Data_tables!$N$5:$N$20),0)*BO1107</f>
        <v>0</v>
      </c>
      <c r="BP1108" s="33">
        <f>+IFERROR(_xlfn.XLOOKUP(Assumptions!$G$24,Data_tables!$K$5:$K$20,Data_tables!$N$5:$N$20),0)*BP1106+IFERROR(_xlfn.XLOOKUP(Assumptions!$G$264,Data_tables!#REF!,Data_tables!$N$5:$N$20),0)*BP1107</f>
        <v>0</v>
      </c>
      <c r="BQ1108" s="33">
        <f>+IFERROR(_xlfn.XLOOKUP(Assumptions!$G$24,Data_tables!$K$5:$K$20,Data_tables!$N$5:$N$20),0)*BQ1106+IFERROR(_xlfn.XLOOKUP(Assumptions!$G$264,Data_tables!#REF!,Data_tables!$N$5:$N$20),0)*BQ1107</f>
        <v>0</v>
      </c>
      <c r="BR1108" s="33">
        <f>+IFERROR(_xlfn.XLOOKUP(Assumptions!$G$24,Data_tables!$K$5:$K$20,Data_tables!$N$5:$N$20),0)*BR1106+IFERROR(_xlfn.XLOOKUP(Assumptions!$G$264,Data_tables!#REF!,Data_tables!$N$5:$N$20),0)*BR1107</f>
        <v>0</v>
      </c>
      <c r="BS1108" s="33">
        <f>+IFERROR(_xlfn.XLOOKUP(Assumptions!$G$24,Data_tables!$K$5:$K$20,Data_tables!$N$5:$N$20),0)*BS1106+IFERROR(_xlfn.XLOOKUP(Assumptions!$G$264,Data_tables!#REF!,Data_tables!$N$5:$N$20),0)*BS1107</f>
        <v>0</v>
      </c>
      <c r="BT1108" s="33">
        <f>+IFERROR(_xlfn.XLOOKUP(Assumptions!$G$24,Data_tables!$K$5:$K$20,Data_tables!$N$5:$N$20),0)*BT1106+IFERROR(_xlfn.XLOOKUP(Assumptions!$G$264,Data_tables!#REF!,Data_tables!$N$5:$N$20),0)*BT1107</f>
        <v>0</v>
      </c>
      <c r="BU1108" s="33">
        <f>+IFERROR(_xlfn.XLOOKUP(Assumptions!$G$24,Data_tables!$K$5:$K$20,Data_tables!$N$5:$N$20),0)*BU1106+IFERROR(_xlfn.XLOOKUP(Assumptions!$G$264,Data_tables!#REF!,Data_tables!$N$5:$N$20),0)*BU1107</f>
        <v>0</v>
      </c>
      <c r="BV1108" s="33">
        <f>+IFERROR(_xlfn.XLOOKUP(Assumptions!$G$24,Data_tables!$K$5:$K$20,Data_tables!$N$5:$N$20),0)*BV1106+IFERROR(_xlfn.XLOOKUP(Assumptions!$G$264,Data_tables!#REF!,Data_tables!$N$5:$N$20),0)*BV1107</f>
        <v>0</v>
      </c>
      <c r="BW1108" s="33">
        <f>+IFERROR(_xlfn.XLOOKUP(Assumptions!$G$24,Data_tables!$K$5:$K$20,Data_tables!$N$5:$N$20),0)*BW1106+IFERROR(_xlfn.XLOOKUP(Assumptions!$G$264,Data_tables!#REF!,Data_tables!$N$5:$N$20),0)*BW1107</f>
        <v>0</v>
      </c>
      <c r="BX1108" s="33">
        <f>+IFERROR(_xlfn.XLOOKUP(Assumptions!$G$24,Data_tables!$K$5:$K$20,Data_tables!$N$5:$N$20),0)*BX1106+IFERROR(_xlfn.XLOOKUP(Assumptions!$G$264,Data_tables!#REF!,Data_tables!$N$5:$N$20),0)*BX1107</f>
        <v>0</v>
      </c>
      <c r="BY1108" s="33">
        <f>+IFERROR(_xlfn.XLOOKUP(Assumptions!$G$24,Data_tables!$K$5:$K$20,Data_tables!$N$5:$N$20),0)*BY1106+IFERROR(_xlfn.XLOOKUP(Assumptions!$G$264,Data_tables!#REF!,Data_tables!$N$5:$N$20),0)*BY1107</f>
        <v>0</v>
      </c>
    </row>
    <row r="1109" spans="2:77" outlineLevel="1">
      <c r="E1109" t="s">
        <v>561</v>
      </c>
      <c r="F1109" s="80" t="s">
        <v>159</v>
      </c>
      <c r="H1109" s="33">
        <f>IFERROR(IF(AND(Assumptions!$G$380="Yes",YEAR(H3)&lt;=Assumptions!$G$382),Assumptions!$G$384,0),0)</f>
        <v>0</v>
      </c>
      <c r="I1109" s="33">
        <f>IFERROR(IF(AND(Assumptions!$G$380="Yes",YEAR(I3)&lt;=Assumptions!$G$382),Assumptions!$G$384,0),0)</f>
        <v>0</v>
      </c>
      <c r="J1109" s="33">
        <f>IFERROR(IF(AND(Assumptions!$G$380="Yes",YEAR(J3)&lt;=Assumptions!$G$382),Assumptions!$G$384,0),0)</f>
        <v>0</v>
      </c>
      <c r="K1109" s="33">
        <f>IFERROR(IF(AND(Assumptions!$G$380="Yes",YEAR(K3)&lt;=Assumptions!$G$382),Assumptions!$G$384,0),0)</f>
        <v>0</v>
      </c>
      <c r="L1109" s="33">
        <f>IFERROR(IF(AND(Assumptions!$G$380="Yes",YEAR(L3)&lt;=Assumptions!$G$382),Assumptions!$G$384,0),0)</f>
        <v>0</v>
      </c>
      <c r="M1109" s="33">
        <f>IFERROR(IF(AND(Assumptions!$G$380="Yes",YEAR(M3)&lt;=Assumptions!$G$382),Assumptions!$G$384,0),0)</f>
        <v>0</v>
      </c>
      <c r="N1109" s="33">
        <f>IFERROR(IF(AND(Assumptions!$G$380="Yes",YEAR(N3)&lt;=Assumptions!$G$382),Assumptions!$G$384,0),0)</f>
        <v>0</v>
      </c>
      <c r="O1109" s="33">
        <f>IFERROR(IF(AND(Assumptions!$G$380="Yes",YEAR(O3)&lt;=Assumptions!$G$382),Assumptions!$G$384,0),0)</f>
        <v>0</v>
      </c>
      <c r="P1109" s="33">
        <f>IFERROR(IF(AND(Assumptions!$G$380="Yes",YEAR(P3)&lt;=Assumptions!$G$382),Assumptions!$G$384,0),0)</f>
        <v>0</v>
      </c>
      <c r="Q1109" s="33">
        <f>IFERROR(IF(AND(Assumptions!$G$380="Yes",YEAR(Q3)&lt;=Assumptions!$G$382),Assumptions!$G$384,0),0)</f>
        <v>0</v>
      </c>
      <c r="R1109" s="33">
        <f>IFERROR(IF(AND(Assumptions!$G$380="Yes",YEAR(R3)&lt;=Assumptions!$G$382),Assumptions!$G$384,0),0)</f>
        <v>0</v>
      </c>
      <c r="S1109" s="33">
        <f>IFERROR(IF(AND(Assumptions!$G$380="Yes",YEAR(S3)&lt;=Assumptions!$G$382),Assumptions!$G$384,0),0)</f>
        <v>0</v>
      </c>
      <c r="T1109" s="33">
        <f>IFERROR(IF(AND(Assumptions!$G$380="Yes",YEAR(T3)&lt;=Assumptions!$G$382),Assumptions!$G$384,0),0)</f>
        <v>0</v>
      </c>
      <c r="U1109" s="33">
        <f>IFERROR(IF(AND(Assumptions!$G$380="Yes",YEAR(U3)&lt;=Assumptions!$G$382),Assumptions!$G$384,0),0)</f>
        <v>0</v>
      </c>
      <c r="V1109" s="33">
        <f>IFERROR(IF(AND(Assumptions!$G$380="Yes",YEAR(V3)&lt;=Assumptions!$G$382),Assumptions!$G$384,0),0)</f>
        <v>0</v>
      </c>
      <c r="W1109" s="33">
        <f>IFERROR(IF(AND(Assumptions!$G$380="Yes",YEAR(W3)&lt;=Assumptions!$G$382),Assumptions!$G$384,0),0)</f>
        <v>0</v>
      </c>
      <c r="X1109" s="33">
        <f>IFERROR(IF(AND(Assumptions!$G$380="Yes",YEAR(X3)&lt;=Assumptions!$G$382),Assumptions!$G$384,0),0)</f>
        <v>0</v>
      </c>
      <c r="Y1109" s="33">
        <f>IFERROR(IF(AND(Assumptions!$G$380="Yes",YEAR(Y3)&lt;=Assumptions!$G$382),Assumptions!$G$384,0),0)</f>
        <v>0</v>
      </c>
      <c r="Z1109" s="33">
        <f>IFERROR(IF(AND(Assumptions!$G$380="Yes",YEAR(Z3)&lt;=Assumptions!$G$382),Assumptions!$G$384,0),0)</f>
        <v>0</v>
      </c>
      <c r="AA1109" s="33">
        <f>IFERROR(IF(AND(Assumptions!$G$380="Yes",YEAR(AA3)&lt;=Assumptions!$G$382),Assumptions!$G$384,0),0)</f>
        <v>0</v>
      </c>
      <c r="AB1109" s="33">
        <f>IFERROR(IF(AND(Assumptions!$G$380="Yes",YEAR(AB3)&lt;=Assumptions!$G$382),Assumptions!$G$384,0),0)</f>
        <v>0</v>
      </c>
      <c r="AC1109" s="33">
        <f>IFERROR(IF(AND(Assumptions!$G$380="Yes",YEAR(AC3)&lt;=Assumptions!$G$382),Assumptions!$G$384,0),0)</f>
        <v>0</v>
      </c>
      <c r="AD1109" s="33">
        <f>IFERROR(IF(AND(Assumptions!$G$380="Yes",YEAR(AD3)&lt;=Assumptions!$G$382),Assumptions!$G$384,0),0)</f>
        <v>0</v>
      </c>
      <c r="AE1109" s="33">
        <f>IFERROR(IF(AND(Assumptions!$G$380="Yes",YEAR(AE3)&lt;=Assumptions!$G$382),Assumptions!$G$384,0),0)</f>
        <v>0</v>
      </c>
      <c r="AF1109" s="33">
        <f>IFERROR(IF(AND(Assumptions!$G$380="Yes",YEAR(AF3)&lt;=Assumptions!$G$382),Assumptions!$G$384,0),0)</f>
        <v>0</v>
      </c>
      <c r="AG1109" s="33">
        <f>IFERROR(IF(AND(Assumptions!$G$380="Yes",YEAR(AG3)&lt;=Assumptions!$G$382),Assumptions!$G$384,0),0)</f>
        <v>0</v>
      </c>
      <c r="AH1109" s="33">
        <f>IFERROR(IF(AND(Assumptions!$G$380="Yes",YEAR(AH3)&lt;=Assumptions!$G$382),Assumptions!$G$384,0),0)</f>
        <v>0</v>
      </c>
      <c r="AI1109" s="33">
        <f>IFERROR(IF(AND(Assumptions!$G$380="Yes",YEAR(AI3)&lt;=Assumptions!$G$382),Assumptions!$G$384,0),0)</f>
        <v>0</v>
      </c>
      <c r="AJ1109" s="33">
        <f>IFERROR(IF(AND(Assumptions!$G$380="Yes",YEAR(AJ3)&lt;=Assumptions!$G$382),Assumptions!$G$384,0),0)</f>
        <v>0</v>
      </c>
      <c r="AK1109" s="33">
        <f>IFERROR(IF(AND(Assumptions!$G$380="Yes",YEAR(AK3)&lt;=Assumptions!$G$382),Assumptions!$G$384,0),0)</f>
        <v>0</v>
      </c>
      <c r="AL1109" s="33">
        <f>IFERROR(IF(AND(Assumptions!$G$380="Yes",YEAR(AL3)&lt;=Assumptions!$G$382),Assumptions!$G$384,0),0)</f>
        <v>0</v>
      </c>
      <c r="AM1109" s="33">
        <f>IFERROR(IF(AND(Assumptions!$G$380="Yes",YEAR(AM3)&lt;=Assumptions!$G$382),Assumptions!$G$384,0),0)</f>
        <v>0</v>
      </c>
      <c r="AN1109" s="33">
        <f>IFERROR(IF(AND(Assumptions!$G$380="Yes",YEAR(AN3)&lt;=Assumptions!$G$382),Assumptions!$G$384,0),0)</f>
        <v>0</v>
      </c>
      <c r="AO1109" s="33">
        <f>IFERROR(IF(AND(Assumptions!$G$380="Yes",YEAR(AO3)&lt;=Assumptions!$G$382),Assumptions!$G$384,0),0)</f>
        <v>0</v>
      </c>
      <c r="AP1109" s="33">
        <f>IFERROR(IF(AND(Assumptions!$G$380="Yes",YEAR(AP3)&lt;=Assumptions!$G$382),Assumptions!$G$384,0),0)</f>
        <v>0</v>
      </c>
      <c r="AQ1109" s="33">
        <f>IFERROR(IF(AND(Assumptions!$G$380="Yes",YEAR(AQ3)&lt;=Assumptions!$G$382),Assumptions!$G$384,0),0)</f>
        <v>0</v>
      </c>
      <c r="AR1109" s="33">
        <f>IFERROR(IF(AND(Assumptions!$G$380="Yes",YEAR(AR3)&lt;=Assumptions!$G$382),Assumptions!$G$384,0),0)</f>
        <v>0</v>
      </c>
      <c r="AS1109" s="33">
        <f>IFERROR(IF(AND(Assumptions!$G$380="Yes",YEAR(AS3)&lt;=Assumptions!$G$382),Assumptions!$G$384,0),0)</f>
        <v>0</v>
      </c>
      <c r="AT1109" s="33">
        <f>IFERROR(IF(AND(Assumptions!$G$380="Yes",YEAR(AT3)&lt;=Assumptions!$G$382),Assumptions!$G$384,0),0)</f>
        <v>0</v>
      </c>
      <c r="AU1109" s="33">
        <f>IFERROR(IF(AND(Assumptions!$G$380="Yes",YEAR(AU3)&lt;=Assumptions!$G$382),Assumptions!$G$384,0),0)</f>
        <v>0</v>
      </c>
      <c r="AV1109" s="33">
        <f>IFERROR(IF(AND(Assumptions!$G$380="Yes",YEAR(AV3)&lt;=Assumptions!$G$382),Assumptions!$G$384,0),0)</f>
        <v>0</v>
      </c>
      <c r="AW1109" s="33">
        <f>IFERROR(IF(AND(Assumptions!$G$380="Yes",YEAR(AW3)&lt;=Assumptions!$G$382),Assumptions!$G$384,0),0)</f>
        <v>0</v>
      </c>
      <c r="AX1109" s="33">
        <f>IFERROR(IF(AND(Assumptions!$G$380="Yes",YEAR(AX3)&lt;=Assumptions!$G$382),Assumptions!$G$384,0),0)</f>
        <v>0</v>
      </c>
      <c r="AY1109" s="33">
        <f>IFERROR(IF(AND(Assumptions!$G$380="Yes",YEAR(AY3)&lt;=Assumptions!$G$382),Assumptions!$G$384,0),0)</f>
        <v>0</v>
      </c>
      <c r="AZ1109" s="33">
        <f>IFERROR(IF(AND(Assumptions!$G$380="Yes",YEAR(AZ3)&lt;=Assumptions!$G$382),Assumptions!$G$384,0),0)</f>
        <v>0</v>
      </c>
      <c r="BA1109" s="33">
        <f>IFERROR(IF(AND(Assumptions!$G$380="Yes",YEAR(BA3)&lt;=Assumptions!$G$382),Assumptions!$G$384,0),0)</f>
        <v>0</v>
      </c>
      <c r="BB1109" s="33">
        <f>IFERROR(IF(AND(Assumptions!$G$380="Yes",YEAR(BB3)&lt;=Assumptions!$G$382),Assumptions!$G$384,0),0)</f>
        <v>0</v>
      </c>
      <c r="BC1109" s="33">
        <f>IFERROR(IF(AND(Assumptions!$G$380="Yes",YEAR(BC3)&lt;=Assumptions!$G$382),Assumptions!$G$384,0),0)</f>
        <v>0</v>
      </c>
      <c r="BD1109" s="33">
        <f>IFERROR(IF(AND(Assumptions!$G$380="Yes",YEAR(BD3)&lt;=Assumptions!$G$382),Assumptions!$G$384,0),0)</f>
        <v>0</v>
      </c>
      <c r="BE1109" s="33">
        <f>IFERROR(IF(AND(Assumptions!$G$380="Yes",YEAR(BE3)&lt;=Assumptions!$G$382),Assumptions!$G$384,0),0)</f>
        <v>0</v>
      </c>
      <c r="BF1109" s="33">
        <f>IFERROR(IF(AND(Assumptions!$G$380="Yes",YEAR(BF3)&lt;=Assumptions!$G$382),Assumptions!$G$384,0),0)</f>
        <v>0</v>
      </c>
      <c r="BG1109" s="33">
        <f>IFERROR(IF(AND(Assumptions!$G$380="Yes",YEAR(BG3)&lt;=Assumptions!$G$382),Assumptions!$G$384,0),0)</f>
        <v>0</v>
      </c>
      <c r="BH1109" s="33">
        <f>IFERROR(IF(AND(Assumptions!$G$380="Yes",YEAR(BH3)&lt;=Assumptions!$G$382),Assumptions!$G$384,0),0)</f>
        <v>0</v>
      </c>
      <c r="BI1109" s="33">
        <f>IFERROR(IF(AND(Assumptions!$G$380="Yes",YEAR(BI3)&lt;=Assumptions!$G$382),Assumptions!$G$384,0),0)</f>
        <v>0</v>
      </c>
      <c r="BJ1109" s="33">
        <f>IFERROR(IF(AND(Assumptions!$G$380="Yes",YEAR(BJ3)&lt;=Assumptions!$G$382),Assumptions!$G$384,0),0)</f>
        <v>0</v>
      </c>
      <c r="BK1109" s="33">
        <f>IFERROR(IF(AND(Assumptions!$G$380="Yes",YEAR(BK3)&lt;=Assumptions!$G$382),Assumptions!$G$384,0),0)</f>
        <v>0</v>
      </c>
      <c r="BL1109" s="33">
        <f>IFERROR(IF(AND(Assumptions!$G$380="Yes",YEAR(BL3)&lt;=Assumptions!$G$382),Assumptions!$G$384,0),0)</f>
        <v>0</v>
      </c>
      <c r="BM1109" s="33">
        <f>IFERROR(IF(AND(Assumptions!$G$380="Yes",YEAR(BM3)&lt;=Assumptions!$G$382),Assumptions!$G$384,0),0)</f>
        <v>0</v>
      </c>
      <c r="BN1109" s="33">
        <f>IFERROR(IF(AND(Assumptions!$G$380="Yes",YEAR(BN3)&lt;=Assumptions!$G$382),Assumptions!$G$384,0),0)</f>
        <v>0</v>
      </c>
      <c r="BO1109" s="33">
        <f>IFERROR(IF(AND(Assumptions!$G$380="Yes",YEAR(BO3)&lt;=Assumptions!$G$382),Assumptions!$G$384,0),0)</f>
        <v>0</v>
      </c>
      <c r="BP1109" s="33">
        <f>IFERROR(IF(AND(Assumptions!$G$380="Yes",YEAR(BP3)&lt;=Assumptions!$G$382),Assumptions!$G$384,0),0)</f>
        <v>0</v>
      </c>
      <c r="BQ1109" s="33">
        <f>IFERROR(IF(AND(Assumptions!$G$380="Yes",YEAR(BQ3)&lt;=Assumptions!$G$382),Assumptions!$G$384,0),0)</f>
        <v>0</v>
      </c>
      <c r="BR1109" s="33">
        <f>IFERROR(IF(AND(Assumptions!$G$380="Yes",YEAR(BR3)&lt;=Assumptions!$G$382),Assumptions!$G$384,0),0)</f>
        <v>0</v>
      </c>
      <c r="BS1109" s="33">
        <f>IFERROR(IF(AND(Assumptions!$G$380="Yes",YEAR(BS3)&lt;=Assumptions!$G$382),Assumptions!$G$384,0),0)</f>
        <v>0</v>
      </c>
      <c r="BT1109" s="33">
        <f>IFERROR(IF(AND(Assumptions!$G$380="Yes",YEAR(BT3)&lt;=Assumptions!$G$382),Assumptions!$G$384,0),0)</f>
        <v>0</v>
      </c>
      <c r="BU1109" s="33">
        <f>IFERROR(IF(AND(Assumptions!$G$380="Yes",YEAR(BU3)&lt;=Assumptions!$G$382),Assumptions!$G$384,0),0)</f>
        <v>0</v>
      </c>
      <c r="BV1109" s="33">
        <f>IFERROR(IF(AND(Assumptions!$G$380="Yes",YEAR(BV3)&lt;=Assumptions!$G$382),Assumptions!$G$384,0),0)</f>
        <v>0</v>
      </c>
      <c r="BW1109" s="33">
        <f>IFERROR(IF(AND(Assumptions!$G$380="Yes",YEAR(BW3)&lt;=Assumptions!$G$382),Assumptions!$G$384,0),0)</f>
        <v>0</v>
      </c>
      <c r="BX1109" s="33">
        <f>IFERROR(IF(AND(Assumptions!$G$380="Yes",YEAR(BX3)&lt;=Assumptions!$G$382),Assumptions!$G$384,0),0)</f>
        <v>0</v>
      </c>
      <c r="BY1109" s="33">
        <f>IFERROR(IF(AND(Assumptions!$G$380="Yes",YEAR(BY3)&lt;=Assumptions!$G$382),Assumptions!$G$384,0),0)</f>
        <v>0</v>
      </c>
    </row>
    <row r="1110" spans="2:77" outlineLevel="1">
      <c r="E1110" t="s">
        <v>547</v>
      </c>
      <c r="F1110" s="23" t="s">
        <v>159</v>
      </c>
      <c r="H1110" s="33">
        <f>+H1109*H1108</f>
        <v>0</v>
      </c>
      <c r="I1110" s="33">
        <f t="shared" ref="I1110:BT1110" si="2183">+I1109*I1108</f>
        <v>0</v>
      </c>
      <c r="J1110" s="33">
        <f t="shared" si="2183"/>
        <v>0</v>
      </c>
      <c r="K1110" s="33">
        <f t="shared" si="2183"/>
        <v>0</v>
      </c>
      <c r="L1110" s="33">
        <f t="shared" si="2183"/>
        <v>0</v>
      </c>
      <c r="M1110" s="33">
        <f t="shared" si="2183"/>
        <v>0</v>
      </c>
      <c r="N1110" s="33">
        <f t="shared" si="2183"/>
        <v>0</v>
      </c>
      <c r="O1110" s="33">
        <f t="shared" si="2183"/>
        <v>0</v>
      </c>
      <c r="P1110" s="33">
        <f t="shared" si="2183"/>
        <v>0</v>
      </c>
      <c r="Q1110" s="33">
        <f t="shared" si="2183"/>
        <v>0</v>
      </c>
      <c r="R1110" s="33">
        <f t="shared" si="2183"/>
        <v>0</v>
      </c>
      <c r="S1110" s="33">
        <f t="shared" si="2183"/>
        <v>0</v>
      </c>
      <c r="T1110" s="33">
        <f t="shared" si="2183"/>
        <v>0</v>
      </c>
      <c r="U1110" s="33">
        <f t="shared" si="2183"/>
        <v>0</v>
      </c>
      <c r="V1110" s="33">
        <f t="shared" si="2183"/>
        <v>0</v>
      </c>
      <c r="W1110" s="33">
        <f t="shared" si="2183"/>
        <v>0</v>
      </c>
      <c r="X1110" s="33">
        <f t="shared" si="2183"/>
        <v>0</v>
      </c>
      <c r="Y1110" s="33">
        <f t="shared" si="2183"/>
        <v>0</v>
      </c>
      <c r="Z1110" s="33">
        <f t="shared" si="2183"/>
        <v>0</v>
      </c>
      <c r="AA1110" s="33">
        <f t="shared" si="2183"/>
        <v>0</v>
      </c>
      <c r="AB1110" s="33">
        <f t="shared" si="2183"/>
        <v>0</v>
      </c>
      <c r="AC1110" s="33">
        <f t="shared" si="2183"/>
        <v>0</v>
      </c>
      <c r="AD1110" s="33">
        <f t="shared" si="2183"/>
        <v>0</v>
      </c>
      <c r="AE1110" s="33">
        <f t="shared" si="2183"/>
        <v>0</v>
      </c>
      <c r="AF1110" s="33">
        <f t="shared" si="2183"/>
        <v>0</v>
      </c>
      <c r="AG1110" s="33">
        <f t="shared" si="2183"/>
        <v>0</v>
      </c>
      <c r="AH1110" s="33">
        <f t="shared" si="2183"/>
        <v>0</v>
      </c>
      <c r="AI1110" s="33">
        <f t="shared" si="2183"/>
        <v>0</v>
      </c>
      <c r="AJ1110" s="33">
        <f t="shared" si="2183"/>
        <v>0</v>
      </c>
      <c r="AK1110" s="33">
        <f t="shared" si="2183"/>
        <v>0</v>
      </c>
      <c r="AL1110" s="33">
        <f t="shared" si="2183"/>
        <v>0</v>
      </c>
      <c r="AM1110" s="33">
        <f t="shared" si="2183"/>
        <v>0</v>
      </c>
      <c r="AN1110" s="33">
        <f t="shared" si="2183"/>
        <v>0</v>
      </c>
      <c r="AO1110" s="33">
        <f t="shared" si="2183"/>
        <v>0</v>
      </c>
      <c r="AP1110" s="33">
        <f t="shared" si="2183"/>
        <v>0</v>
      </c>
      <c r="AQ1110" s="33">
        <f t="shared" si="2183"/>
        <v>0</v>
      </c>
      <c r="AR1110" s="33">
        <f t="shared" si="2183"/>
        <v>0</v>
      </c>
      <c r="AS1110" s="33">
        <f t="shared" si="2183"/>
        <v>0</v>
      </c>
      <c r="AT1110" s="33">
        <f t="shared" si="2183"/>
        <v>0</v>
      </c>
      <c r="AU1110" s="33">
        <f t="shared" si="2183"/>
        <v>0</v>
      </c>
      <c r="AV1110" s="33">
        <f t="shared" si="2183"/>
        <v>0</v>
      </c>
      <c r="AW1110" s="33">
        <f t="shared" si="2183"/>
        <v>0</v>
      </c>
      <c r="AX1110" s="33">
        <f t="shared" si="2183"/>
        <v>0</v>
      </c>
      <c r="AY1110" s="33">
        <f t="shared" si="2183"/>
        <v>0</v>
      </c>
      <c r="AZ1110" s="33">
        <f t="shared" si="2183"/>
        <v>0</v>
      </c>
      <c r="BA1110" s="33">
        <f t="shared" si="2183"/>
        <v>0</v>
      </c>
      <c r="BB1110" s="33">
        <f t="shared" si="2183"/>
        <v>0</v>
      </c>
      <c r="BC1110" s="33">
        <f t="shared" si="2183"/>
        <v>0</v>
      </c>
      <c r="BD1110" s="33">
        <f t="shared" si="2183"/>
        <v>0</v>
      </c>
      <c r="BE1110" s="33">
        <f t="shared" si="2183"/>
        <v>0</v>
      </c>
      <c r="BF1110" s="33">
        <f t="shared" si="2183"/>
        <v>0</v>
      </c>
      <c r="BG1110" s="33">
        <f t="shared" si="2183"/>
        <v>0</v>
      </c>
      <c r="BH1110" s="33">
        <f t="shared" si="2183"/>
        <v>0</v>
      </c>
      <c r="BI1110" s="33">
        <f t="shared" si="2183"/>
        <v>0</v>
      </c>
      <c r="BJ1110" s="33">
        <f t="shared" si="2183"/>
        <v>0</v>
      </c>
      <c r="BK1110" s="33">
        <f t="shared" si="2183"/>
        <v>0</v>
      </c>
      <c r="BL1110" s="33">
        <f t="shared" si="2183"/>
        <v>0</v>
      </c>
      <c r="BM1110" s="33">
        <f t="shared" si="2183"/>
        <v>0</v>
      </c>
      <c r="BN1110" s="33">
        <f t="shared" si="2183"/>
        <v>0</v>
      </c>
      <c r="BO1110" s="33">
        <f t="shared" si="2183"/>
        <v>0</v>
      </c>
      <c r="BP1110" s="33">
        <f t="shared" si="2183"/>
        <v>0</v>
      </c>
      <c r="BQ1110" s="33">
        <f t="shared" si="2183"/>
        <v>0</v>
      </c>
      <c r="BR1110" s="33">
        <f t="shared" si="2183"/>
        <v>0</v>
      </c>
      <c r="BS1110" s="33">
        <f t="shared" si="2183"/>
        <v>0</v>
      </c>
      <c r="BT1110" s="33">
        <f t="shared" si="2183"/>
        <v>0</v>
      </c>
      <c r="BU1110" s="33">
        <f t="shared" ref="BU1110:BY1110" si="2184">+BU1109*BU1108</f>
        <v>0</v>
      </c>
      <c r="BV1110" s="33">
        <f t="shared" si="2184"/>
        <v>0</v>
      </c>
      <c r="BW1110" s="33">
        <f t="shared" si="2184"/>
        <v>0</v>
      </c>
      <c r="BX1110" s="33">
        <f t="shared" si="2184"/>
        <v>0</v>
      </c>
      <c r="BY1110" s="33">
        <f t="shared" si="2184"/>
        <v>0</v>
      </c>
    </row>
    <row r="1111" spans="2:77" outlineLevel="1">
      <c r="E1111" s="25" t="s">
        <v>243</v>
      </c>
      <c r="F1111" s="81" t="s">
        <v>423</v>
      </c>
      <c r="G1111" s="25"/>
      <c r="H1111" s="105">
        <f ca="1">1/(1+Assumptions!$G$356)*IF(G1111=0,1,G1111)</f>
        <v>0.95979422011920645</v>
      </c>
      <c r="I1111" s="105">
        <f ca="1">1/(1+Assumptions!$G$356)*IF(H1111=0,1,H1111)</f>
        <v>0.92120494497423577</v>
      </c>
      <c r="J1111" s="105">
        <f ca="1">1/(1+Assumptions!$G$356)*IF(I1111=0,1,I1111)</f>
        <v>0.8841671817315031</v>
      </c>
      <c r="K1111" s="105">
        <f ca="1">1/(1+Assumptions!$G$356)*IF(J1111=0,1,J1111)</f>
        <v>0.8486185506449847</v>
      </c>
      <c r="L1111" s="105">
        <f ca="1">1/(1+Assumptions!$G$356)*IF(K1111=0,1,K1111)</f>
        <v>0.81449917999499444</v>
      </c>
      <c r="M1111" s="105">
        <f ca="1">1/(1+Assumptions!$G$356)*IF(L1111=0,1,L1111)</f>
        <v>0.78175160525102882</v>
      </c>
      <c r="N1111" s="105">
        <f ca="1">1/(1+Assumptions!$G$356)*IF(M1111=0,1,M1111)</f>
        <v>0.75032067228884891</v>
      </c>
      <c r="O1111" s="105">
        <f ca="1">1/(1+Assumptions!$G$356)*IF(N1111=0,1,N1111)</f>
        <v>0.72015344449879437</v>
      </c>
      <c r="P1111" s="105">
        <f ca="1">1/(1+Assumptions!$G$356)*IF(O1111=0,1,O1111)</f>
        <v>0.69119911362888053</v>
      </c>
      <c r="Q1111" s="105">
        <f ca="1">1/(1+Assumptions!$G$356)*IF(P1111=0,1,P1111)</f>
        <v>0.66340891421251813</v>
      </c>
      <c r="R1111" s="105">
        <f ca="1">1/(1+Assumptions!$G$356)*IF(Q1111=0,1,Q1111)</f>
        <v>0.63673604143673335</v>
      </c>
      <c r="S1111" s="105">
        <f ca="1">1/(1+Assumptions!$G$356)*IF(R1111=0,1,R1111)</f>
        <v>0.61113557231256022</v>
      </c>
      <c r="T1111" s="105">
        <f ca="1">1/(1+Assumptions!$G$356)*IF(S1111=0,1,S1111)</f>
        <v>0.58656439001483862</v>
      </c>
      <c r="U1111" s="105">
        <f ca="1">1/(1+Assumptions!$G$356)*IF(T1111=0,1,T1111)</f>
        <v>0.56298111126399009</v>
      </c>
      <c r="V1111" s="105">
        <f ca="1">1/(1+Assumptions!$G$356)*IF(U1111=0,1,U1111)</f>
        <v>0.54034601662746551</v>
      </c>
      <c r="W1111" s="105">
        <f ca="1">1/(1+Assumptions!$G$356)*IF(V1111=0,1,V1111)</f>
        <v>0.51862098362347797</v>
      </c>
      <c r="X1111" s="105">
        <f ca="1">1/(1+Assumptions!$G$356)*IF(W1111=0,1,W1111)</f>
        <v>0.4977694225143518</v>
      </c>
      <c r="Y1111" s="105">
        <f ca="1">1/(1+Assumptions!$G$356)*IF(X1111=0,1,X1111)</f>
        <v>0.47775621468135004</v>
      </c>
      <c r="Z1111" s="105">
        <f ca="1">1/(1+Assumptions!$G$356)*IF(Y1111=0,1,Y1111)</f>
        <v>0.45854765347719056</v>
      </c>
      <c r="AA1111" s="105">
        <f ca="1">1/(1+Assumptions!$G$356)*IF(Z1111=0,1,Z1111)</f>
        <v>0.44011138745663225</v>
      </c>
      <c r="AB1111" s="105">
        <f ca="1">1/(1+Assumptions!$G$356)*IF(AA1111=0,1,AA1111)</f>
        <v>0.42241636588952025</v>
      </c>
      <c r="AC1111" s="105">
        <f ca="1">1/(1+Assumptions!$G$356)*IF(AB1111=0,1,AB1111)</f>
        <v>0.40543278646452147</v>
      </c>
      <c r="AD1111" s="105">
        <f ca="1">1/(1+Assumptions!$G$356)*IF(AC1111=0,1,AC1111)</f>
        <v>0.38913204509547217</v>
      </c>
      <c r="AE1111" s="105">
        <f ca="1">1/(1+Assumptions!$G$356)*IF(AD1111=0,1,AD1111)</f>
        <v>0.37348668774580057</v>
      </c>
      <c r="AF1111" s="105">
        <f ca="1">1/(1+Assumptions!$G$356)*IF(AE1111=0,1,AE1111)</f>
        <v>0.35847036418988626</v>
      </c>
      <c r="AG1111" s="105">
        <f ca="1">1/(1+Assumptions!$G$356)*IF(AF1111=0,1,AF1111)</f>
        <v>0.34405778363347977</v>
      </c>
      <c r="AH1111" s="105">
        <f ca="1">1/(1+Assumptions!$G$356)*IF(AG1111=0,1,AG1111)</f>
        <v>0.33022467211843837</v>
      </c>
      <c r="AI1111" s="105">
        <f ca="1">1/(1+Assumptions!$G$356)*IF(AH1111=0,1,AH1111)</f>
        <v>0.3169477316400372</v>
      </c>
      <c r="AJ1111" s="105">
        <f ca="1">1/(1+Assumptions!$G$356)*IF(AI1111=0,1,AI1111)</f>
        <v>0.30420460090800105</v>
      </c>
      <c r="AK1111" s="105">
        <f ca="1">1/(1+Assumptions!$G$356)*IF(AJ1111=0,1,AJ1111)</f>
        <v>0.29197381768516933</v>
      </c>
      <c r="AL1111" s="105">
        <f ca="1">1/(1+Assumptions!$G$356)*IF(AK1111=0,1,AK1111)</f>
        <v>0.28023478264036444</v>
      </c>
      <c r="AM1111" s="105">
        <f ca="1">1/(1+Assumptions!$G$356)*IF(AL1111=0,1,AL1111)</f>
        <v>0.26896772465458391</v>
      </c>
      <c r="AN1111" s="105">
        <f ca="1">1/(1+Assumptions!$G$356)*IF(AM1111=0,1,AM1111)</f>
        <v>0.2581536675220838</v>
      </c>
      <c r="AO1111" s="105">
        <f ca="1">1/(1+Assumptions!$G$356)*IF(AN1111=0,1,AN1111)</f>
        <v>0.24777439799027134</v>
      </c>
      <c r="AP1111" s="105">
        <f ca="1">1/(1+Assumptions!$G$356)*IF(AO1111=0,1,AO1111)</f>
        <v>0.23781243508457836</v>
      </c>
      <c r="AQ1111" s="105">
        <f ca="1">1/(1+Assumptions!$G$356)*IF(AP1111=0,1,AP1111)</f>
        <v>0.2282510006666523</v>
      </c>
      <c r="AR1111" s="105">
        <f ca="1">1/(1+Assumptions!$G$356)*IF(AQ1111=0,1,AQ1111)</f>
        <v>0.21907399117627802</v>
      </c>
      <c r="AS1111" s="105">
        <f ca="1">1/(1+Assumptions!$G$356)*IF(AR1111=0,1,AR1111)</f>
        <v>0.21026595050943767</v>
      </c>
      <c r="AT1111" s="105">
        <f ca="1">1/(1+Assumptions!$G$356)*IF(AS1111=0,1,AS1111)</f>
        <v>0.20181204398682939</v>
      </c>
      <c r="AU1111" s="105">
        <f ca="1">1/(1+Assumptions!$G$356)*IF(AT1111=0,1,AT1111)</f>
        <v>0.1936980333690019</v>
      </c>
      <c r="AV1111" s="105">
        <f ca="1">1/(1+Assumptions!$G$356)*IF(AU1111=0,1,AU1111)</f>
        <v>0.18591025287602522</v>
      </c>
      <c r="AW1111" s="105">
        <f ca="1">1/(1+Assumptions!$G$356)*IF(AV1111=0,1,AV1111)</f>
        <v>0.17843558617130909</v>
      </c>
      <c r="AX1111" s="105">
        <f ca="1">1/(1+Assumptions!$G$356)*IF(AW1111=0,1,AW1111)</f>
        <v>0.17126144427080506</v>
      </c>
      <c r="AY1111" s="105">
        <f ca="1">1/(1+Assumptions!$G$356)*IF(AX1111=0,1,AX1111)</f>
        <v>0.16437574434038627</v>
      </c>
      <c r="AZ1111" s="105">
        <f ca="1">1/(1+Assumptions!$G$356)*IF(AY1111=0,1,AY1111)</f>
        <v>0.1577668893456951</v>
      </c>
      <c r="BA1111" s="105">
        <f ca="1">1/(1+Assumptions!$G$356)*IF(AZ1111=0,1,AZ1111)</f>
        <v>0.15142374852018459</v>
      </c>
      <c r="BB1111" s="105">
        <f ca="1">1/(1+Assumptions!$G$356)*IF(BA1111=0,1,BA1111)</f>
        <v>0.14533563861845741</v>
      </c>
      <c r="BC1111" s="105">
        <f ca="1">1/(1+Assumptions!$G$356)*IF(BB1111=0,1,BB1111)</f>
        <v>0.13949230592332915</v>
      </c>
      <c r="BD1111" s="105">
        <f ca="1">1/(1+Assumptions!$G$356)*IF(BC1111=0,1,BC1111)</f>
        <v>0.13388390897631147</v>
      </c>
      <c r="BE1111" s="105">
        <f ca="1">1/(1+Assumptions!$G$356)*IF(BD1111=0,1,BD1111)</f>
        <v>0.1285010020024297</v>
      </c>
      <c r="BF1111" s="105">
        <f ca="1">1/(1+Assumptions!$G$356)*IF(BE1111=0,1,BE1111)</f>
        <v>0.1233345190014586</v>
      </c>
      <c r="BG1111" s="105">
        <f ca="1">1/(1+Assumptions!$G$356)*IF(BF1111=0,1,BF1111)</f>
        <v>0.11837575847878241</v>
      </c>
      <c r="BH1111" s="105">
        <f ca="1">1/(1+Assumptions!$G$356)*IF(BG1111=0,1,BG1111)</f>
        <v>0.11361636879016251</v>
      </c>
      <c r="BI1111" s="105">
        <f ca="1">1/(1+Assumptions!$G$356)*IF(BH1111=0,1,BH1111)</f>
        <v>0.10904833407573018</v>
      </c>
      <c r="BJ1111" s="105">
        <f ca="1">1/(1+Assumptions!$G$356)*IF(BI1111=0,1,BI1111)</f>
        <v>0.10466396075951413</v>
      </c>
      <c r="BK1111" s="105">
        <f ca="1">1/(1+Assumptions!$G$356)*IF(BJ1111=0,1,BJ1111)</f>
        <v>0.10045586459176509</v>
      </c>
      <c r="BL1111" s="105">
        <f ca="1">1/(1+Assumptions!$G$356)*IF(BK1111=0,1,BK1111)</f>
        <v>9.6416958212253781E-2</v>
      </c>
      <c r="BM1111" s="105">
        <f ca="1">1/(1+Assumptions!$G$356)*IF(BL1111=0,1,BL1111)</f>
        <v>9.254043921359624E-2</v>
      </c>
      <c r="BN1111" s="105">
        <f ca="1">1/(1+Assumptions!$G$356)*IF(BM1111=0,1,BM1111)</f>
        <v>8.8819778684502429E-2</v>
      </c>
      <c r="BO1111" s="105">
        <f ca="1">1/(1+Assumptions!$G$356)*IF(BN1111=0,1,BN1111)</f>
        <v>8.5248710213652532E-2</v>
      </c>
      <c r="BP1111" s="105">
        <f ca="1">1/(1+Assumptions!$G$356)*IF(BO1111=0,1,BO1111)</f>
        <v>8.1821219335680859E-2</v>
      </c>
      <c r="BQ1111" s="105">
        <f ca="1">1/(1+Assumptions!$G$356)*IF(BP1111=0,1,BP1111)</f>
        <v>7.853153340149234E-2</v>
      </c>
      <c r="BR1111" s="105">
        <f ca="1">1/(1+Assumptions!$G$356)*IF(BQ1111=0,1,BQ1111)</f>
        <v>7.5374111855850759E-2</v>
      </c>
      <c r="BS1111" s="105">
        <f ca="1">1/(1+Assumptions!$G$356)*IF(BR1111=0,1,BR1111)</f>
        <v>7.2343636905864109E-2</v>
      </c>
      <c r="BT1111" s="105">
        <f ca="1">1/(1+Assumptions!$G$356)*IF(BS1111=0,1,BS1111)</f>
        <v>6.943500456465089E-2</v>
      </c>
      <c r="BU1111" s="105">
        <f ca="1">1/(1+Assumptions!$G$356)*IF(BT1111=0,1,BT1111)</f>
        <v>6.6643316055102639E-2</v>
      </c>
      <c r="BV1111" s="105">
        <f ca="1">1/(1+Assumptions!$G$356)*IF(BU1111=0,1,BU1111)</f>
        <v>6.396386955926503E-2</v>
      </c>
      <c r="BW1111" s="105">
        <f ca="1">1/(1+Assumptions!$G$356)*IF(BV1111=0,1,BV1111)</f>
        <v>6.1392152299441428E-2</v>
      </c>
      <c r="BX1111" s="105">
        <f ca="1">1/(1+Assumptions!$G$356)*IF(BW1111=0,1,BW1111)</f>
        <v>5.8923832937681934E-2</v>
      </c>
      <c r="BY1111" s="105">
        <f ca="1">1/(1+Assumptions!$G$356)*IF(BX1111=0,1,BX1111)</f>
        <v>5.6554754280856843E-2</v>
      </c>
    </row>
    <row r="1112" spans="2:77" outlineLevel="1">
      <c r="E1112" t="s">
        <v>548</v>
      </c>
      <c r="F1112" s="80" t="s">
        <v>549</v>
      </c>
      <c r="H1112" s="33">
        <f ca="1">+H1111*H1110</f>
        <v>0</v>
      </c>
      <c r="I1112" s="33">
        <f t="shared" ref="I1112:BT1112" ca="1" si="2185">+I1111*I1110</f>
        <v>0</v>
      </c>
      <c r="J1112" s="33">
        <f t="shared" ca="1" si="2185"/>
        <v>0</v>
      </c>
      <c r="K1112" s="33">
        <f t="shared" ca="1" si="2185"/>
        <v>0</v>
      </c>
      <c r="L1112" s="33">
        <f t="shared" ca="1" si="2185"/>
        <v>0</v>
      </c>
      <c r="M1112" s="33">
        <f t="shared" ca="1" si="2185"/>
        <v>0</v>
      </c>
      <c r="N1112" s="33">
        <f t="shared" ca="1" si="2185"/>
        <v>0</v>
      </c>
      <c r="O1112" s="33">
        <f t="shared" ca="1" si="2185"/>
        <v>0</v>
      </c>
      <c r="P1112" s="33">
        <f t="shared" ca="1" si="2185"/>
        <v>0</v>
      </c>
      <c r="Q1112" s="33">
        <f t="shared" ca="1" si="2185"/>
        <v>0</v>
      </c>
      <c r="R1112" s="33">
        <f t="shared" ca="1" si="2185"/>
        <v>0</v>
      </c>
      <c r="S1112" s="33">
        <f t="shared" ca="1" si="2185"/>
        <v>0</v>
      </c>
      <c r="T1112" s="33">
        <f t="shared" ca="1" si="2185"/>
        <v>0</v>
      </c>
      <c r="U1112" s="33">
        <f t="shared" ca="1" si="2185"/>
        <v>0</v>
      </c>
      <c r="V1112" s="33">
        <f t="shared" ca="1" si="2185"/>
        <v>0</v>
      </c>
      <c r="W1112" s="33">
        <f t="shared" ca="1" si="2185"/>
        <v>0</v>
      </c>
      <c r="X1112" s="33">
        <f t="shared" ca="1" si="2185"/>
        <v>0</v>
      </c>
      <c r="Y1112" s="33">
        <f t="shared" ca="1" si="2185"/>
        <v>0</v>
      </c>
      <c r="Z1112" s="33">
        <f t="shared" ca="1" si="2185"/>
        <v>0</v>
      </c>
      <c r="AA1112" s="33">
        <f t="shared" ca="1" si="2185"/>
        <v>0</v>
      </c>
      <c r="AB1112" s="33">
        <f t="shared" ca="1" si="2185"/>
        <v>0</v>
      </c>
      <c r="AC1112" s="33">
        <f t="shared" ca="1" si="2185"/>
        <v>0</v>
      </c>
      <c r="AD1112" s="33">
        <f t="shared" ca="1" si="2185"/>
        <v>0</v>
      </c>
      <c r="AE1112" s="33">
        <f t="shared" ca="1" si="2185"/>
        <v>0</v>
      </c>
      <c r="AF1112" s="33">
        <f t="shared" ca="1" si="2185"/>
        <v>0</v>
      </c>
      <c r="AG1112" s="33">
        <f t="shared" ca="1" si="2185"/>
        <v>0</v>
      </c>
      <c r="AH1112" s="33">
        <f t="shared" ca="1" si="2185"/>
        <v>0</v>
      </c>
      <c r="AI1112" s="33">
        <f t="shared" ca="1" si="2185"/>
        <v>0</v>
      </c>
      <c r="AJ1112" s="33">
        <f t="shared" ca="1" si="2185"/>
        <v>0</v>
      </c>
      <c r="AK1112" s="33">
        <f t="shared" ca="1" si="2185"/>
        <v>0</v>
      </c>
      <c r="AL1112" s="33">
        <f t="shared" ca="1" si="2185"/>
        <v>0</v>
      </c>
      <c r="AM1112" s="33">
        <f t="shared" ca="1" si="2185"/>
        <v>0</v>
      </c>
      <c r="AN1112" s="33">
        <f t="shared" ca="1" si="2185"/>
        <v>0</v>
      </c>
      <c r="AO1112" s="33">
        <f t="shared" ca="1" si="2185"/>
        <v>0</v>
      </c>
      <c r="AP1112" s="33">
        <f t="shared" ca="1" si="2185"/>
        <v>0</v>
      </c>
      <c r="AQ1112" s="33">
        <f t="shared" ca="1" si="2185"/>
        <v>0</v>
      </c>
      <c r="AR1112" s="33">
        <f t="shared" ca="1" si="2185"/>
        <v>0</v>
      </c>
      <c r="AS1112" s="33">
        <f t="shared" ca="1" si="2185"/>
        <v>0</v>
      </c>
      <c r="AT1112" s="33">
        <f t="shared" ca="1" si="2185"/>
        <v>0</v>
      </c>
      <c r="AU1112" s="33">
        <f t="shared" ca="1" si="2185"/>
        <v>0</v>
      </c>
      <c r="AV1112" s="33">
        <f t="shared" ca="1" si="2185"/>
        <v>0</v>
      </c>
      <c r="AW1112" s="33">
        <f t="shared" ca="1" si="2185"/>
        <v>0</v>
      </c>
      <c r="AX1112" s="33">
        <f t="shared" ca="1" si="2185"/>
        <v>0</v>
      </c>
      <c r="AY1112" s="33">
        <f t="shared" ca="1" si="2185"/>
        <v>0</v>
      </c>
      <c r="AZ1112" s="33">
        <f t="shared" ca="1" si="2185"/>
        <v>0</v>
      </c>
      <c r="BA1112" s="33">
        <f t="shared" ca="1" si="2185"/>
        <v>0</v>
      </c>
      <c r="BB1112" s="33">
        <f t="shared" ca="1" si="2185"/>
        <v>0</v>
      </c>
      <c r="BC1112" s="33">
        <f t="shared" ca="1" si="2185"/>
        <v>0</v>
      </c>
      <c r="BD1112" s="33">
        <f t="shared" ca="1" si="2185"/>
        <v>0</v>
      </c>
      <c r="BE1112" s="33">
        <f t="shared" ca="1" si="2185"/>
        <v>0</v>
      </c>
      <c r="BF1112" s="33">
        <f t="shared" ca="1" si="2185"/>
        <v>0</v>
      </c>
      <c r="BG1112" s="33">
        <f t="shared" ca="1" si="2185"/>
        <v>0</v>
      </c>
      <c r="BH1112" s="33">
        <f t="shared" ca="1" si="2185"/>
        <v>0</v>
      </c>
      <c r="BI1112" s="33">
        <f t="shared" ca="1" si="2185"/>
        <v>0</v>
      </c>
      <c r="BJ1112" s="33">
        <f t="shared" ca="1" si="2185"/>
        <v>0</v>
      </c>
      <c r="BK1112" s="33">
        <f t="shared" ca="1" si="2185"/>
        <v>0</v>
      </c>
      <c r="BL1112" s="33">
        <f t="shared" ca="1" si="2185"/>
        <v>0</v>
      </c>
      <c r="BM1112" s="33">
        <f t="shared" ca="1" si="2185"/>
        <v>0</v>
      </c>
      <c r="BN1112" s="33">
        <f t="shared" ca="1" si="2185"/>
        <v>0</v>
      </c>
      <c r="BO1112" s="33">
        <f t="shared" ca="1" si="2185"/>
        <v>0</v>
      </c>
      <c r="BP1112" s="33">
        <f t="shared" ca="1" si="2185"/>
        <v>0</v>
      </c>
      <c r="BQ1112" s="33">
        <f t="shared" ca="1" si="2185"/>
        <v>0</v>
      </c>
      <c r="BR1112" s="33">
        <f t="shared" ca="1" si="2185"/>
        <v>0</v>
      </c>
      <c r="BS1112" s="33">
        <f t="shared" ca="1" si="2185"/>
        <v>0</v>
      </c>
      <c r="BT1112" s="33">
        <f t="shared" ca="1" si="2185"/>
        <v>0</v>
      </c>
      <c r="BU1112" s="33">
        <f t="shared" ref="BU1112:BY1112" ca="1" si="2186">+BU1111*BU1110</f>
        <v>0</v>
      </c>
      <c r="BV1112" s="33">
        <f t="shared" ca="1" si="2186"/>
        <v>0</v>
      </c>
      <c r="BW1112" s="33">
        <f t="shared" ca="1" si="2186"/>
        <v>0</v>
      </c>
      <c r="BX1112" s="33">
        <f t="shared" ca="1" si="2186"/>
        <v>0</v>
      </c>
      <c r="BY1112" s="33">
        <f t="shared" ca="1" si="2186"/>
        <v>0</v>
      </c>
    </row>
    <row r="1113" spans="2:77" outlineLevel="1">
      <c r="BF1113" s="33"/>
      <c r="BG1113" s="33"/>
      <c r="BH1113" s="33"/>
      <c r="BI1113" s="33"/>
      <c r="BJ1113" s="33"/>
      <c r="BK1113" s="33"/>
      <c r="BL1113" s="33"/>
      <c r="BM1113" s="33"/>
      <c r="BN1113" s="33"/>
      <c r="BO1113" s="33"/>
      <c r="BP1113" s="33"/>
      <c r="BQ1113" s="33"/>
      <c r="BR1113" s="33"/>
      <c r="BS1113" s="33"/>
      <c r="BT1113" s="33"/>
      <c r="BU1113" s="33"/>
      <c r="BV1113" s="33"/>
      <c r="BW1113" s="33"/>
      <c r="BX1113" s="33"/>
      <c r="BY1113" s="33"/>
    </row>
    <row r="1114" spans="2:77" outlineLevel="1">
      <c r="BF1114" s="33"/>
      <c r="BG1114" s="33"/>
      <c r="BH1114" s="33"/>
      <c r="BI1114" s="33"/>
      <c r="BJ1114" s="33"/>
      <c r="BK1114" s="33"/>
      <c r="BL1114" s="33"/>
      <c r="BM1114" s="33"/>
      <c r="BN1114" s="33"/>
      <c r="BO1114" s="33"/>
      <c r="BP1114" s="33"/>
      <c r="BQ1114" s="33"/>
      <c r="BR1114" s="33"/>
      <c r="BS1114" s="33"/>
      <c r="BT1114" s="33"/>
      <c r="BU1114" s="33"/>
      <c r="BV1114" s="33"/>
      <c r="BW1114" s="33"/>
      <c r="BX1114" s="33"/>
      <c r="BY1114" s="33"/>
    </row>
    <row r="1115" spans="2:77" s="19" customFormat="1" ht="12.75" outlineLevel="1">
      <c r="B1115" s="18" t="str">
        <f>+Assumptions!C385&amp;" &amp; "&amp;+Assumptions!C391</f>
        <v>4.4 FuelEU &amp; 4.5 EU ETS</v>
      </c>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5"/>
      <c r="AE1115" s="35"/>
      <c r="AF1115" s="35"/>
      <c r="AG1115" s="35"/>
      <c r="AH1115" s="35"/>
      <c r="AI1115" s="35"/>
      <c r="AJ1115" s="35"/>
      <c r="AK1115" s="35"/>
      <c r="AL1115" s="35"/>
      <c r="AM1115" s="35"/>
      <c r="AN1115" s="35"/>
      <c r="AO1115" s="35"/>
      <c r="AP1115" s="35"/>
      <c r="AQ1115" s="35"/>
      <c r="AR1115" s="35"/>
      <c r="AS1115" s="35"/>
      <c r="AT1115" s="35"/>
      <c r="AU1115" s="35"/>
      <c r="AV1115" s="35"/>
      <c r="AW1115" s="35"/>
      <c r="AX1115" s="35"/>
      <c r="AY1115" s="35"/>
      <c r="AZ1115" s="35"/>
      <c r="BA1115" s="35"/>
      <c r="BB1115" s="35"/>
      <c r="BC1115" s="35"/>
      <c r="BD1115" s="35"/>
      <c r="BE1115" s="35"/>
      <c r="BF1115" s="35"/>
      <c r="BG1115" s="35"/>
      <c r="BH1115" s="35"/>
      <c r="BI1115" s="35"/>
      <c r="BJ1115" s="35"/>
      <c r="BK1115" s="35"/>
      <c r="BL1115" s="35"/>
      <c r="BM1115" s="35"/>
      <c r="BN1115" s="35"/>
      <c r="BO1115" s="35"/>
      <c r="BP1115" s="35"/>
      <c r="BQ1115" s="35"/>
      <c r="BR1115" s="35"/>
      <c r="BS1115" s="35"/>
      <c r="BT1115" s="35"/>
      <c r="BU1115" s="35"/>
      <c r="BV1115" s="35"/>
      <c r="BW1115" s="35"/>
      <c r="BX1115" s="35"/>
      <c r="BY1115" s="35"/>
    </row>
    <row r="1116" spans="2:77" outlineLevel="1">
      <c r="BF1116" s="33"/>
      <c r="BG1116" s="33"/>
      <c r="BH1116" s="33"/>
      <c r="BI1116" s="33"/>
      <c r="BJ1116" s="33"/>
      <c r="BK1116" s="33"/>
      <c r="BL1116" s="33"/>
      <c r="BM1116" s="33"/>
      <c r="BN1116" s="33"/>
      <c r="BO1116" s="33"/>
      <c r="BP1116" s="33"/>
      <c r="BQ1116" s="33"/>
      <c r="BR1116" s="33"/>
      <c r="BS1116" s="33"/>
      <c r="BT1116" s="33"/>
      <c r="BU1116" s="33"/>
      <c r="BV1116" s="33"/>
      <c r="BW1116" s="33"/>
      <c r="BX1116" s="33"/>
      <c r="BY1116" s="33"/>
    </row>
    <row r="1117" spans="2:77" ht="15" outlineLevel="1">
      <c r="E1117" s="22" t="s">
        <v>562</v>
      </c>
      <c r="BF1117" s="33"/>
      <c r="BG1117" s="33"/>
      <c r="BH1117" s="33"/>
      <c r="BI1117" s="33"/>
      <c r="BJ1117" s="33"/>
      <c r="BK1117" s="33"/>
      <c r="BL1117" s="33"/>
      <c r="BM1117" s="33"/>
      <c r="BN1117" s="33"/>
      <c r="BO1117" s="33"/>
      <c r="BP1117" s="33"/>
      <c r="BQ1117" s="33"/>
      <c r="BR1117" s="33"/>
      <c r="BS1117" s="33"/>
      <c r="BT1117" s="33"/>
      <c r="BU1117" s="33"/>
      <c r="BV1117" s="33"/>
      <c r="BW1117" s="33"/>
      <c r="BX1117" s="33"/>
      <c r="BY1117" s="33"/>
    </row>
    <row r="1118" spans="2:77" outlineLevel="1">
      <c r="E1118" t="s">
        <v>563</v>
      </c>
      <c r="F1118" s="80" t="s">
        <v>564</v>
      </c>
      <c r="H1118" s="89">
        <f>IFERROR(IF(Assumptions!$G$387="Yes",IF(YEAR(H3)&lt;=Assumptions!$G$388,IFERROR(+_xlfn.XLOOKUP(YEAR(H3),'FuelEU and ETS'!$I$8:$I$34,'FuelEU and ETS'!$Q$8:$Q$34),0),0),0),0)</f>
        <v>0</v>
      </c>
      <c r="I1118" s="89">
        <f>IFERROR(IF(Assumptions!$G$387="Yes",IF(YEAR(I3)&lt;=Assumptions!$G$388,IFERROR(+_xlfn.XLOOKUP(YEAR(I3),'FuelEU and ETS'!$I$8:$I$34,'FuelEU and ETS'!$Q$8:$Q$34),0),0),0),0)</f>
        <v>0</v>
      </c>
      <c r="J1118" s="89">
        <f>IFERROR(IF(Assumptions!$G$387="Yes",IF(YEAR(J3)&lt;=Assumptions!$G$388,IFERROR(+_xlfn.XLOOKUP(YEAR(J3),'FuelEU and ETS'!$I$8:$I$34,'FuelEU and ETS'!$Q$8:$Q$34),0),0),0),0)</f>
        <v>0</v>
      </c>
      <c r="K1118" s="89">
        <f>IFERROR(IF(Assumptions!$G$387="Yes",IF(YEAR(K3)&lt;=Assumptions!$G$388,IFERROR(+_xlfn.XLOOKUP(YEAR(K3),'FuelEU and ETS'!$I$8:$I$34,'FuelEU and ETS'!$Q$8:$Q$34),0),0),0),0)</f>
        <v>0</v>
      </c>
      <c r="L1118" s="89">
        <f>IFERROR(IF(Assumptions!$G$387="Yes",IF(YEAR(L3)&lt;=Assumptions!$G$388,IFERROR(+_xlfn.XLOOKUP(YEAR(L3),'FuelEU and ETS'!$I$8:$I$34,'FuelEU and ETS'!$Q$8:$Q$34),0),0),0),0)</f>
        <v>0</v>
      </c>
      <c r="M1118" s="89">
        <f>IFERROR(IF(Assumptions!$G$387="Yes",IF(YEAR(M3)&lt;=Assumptions!$G$388,IFERROR(+_xlfn.XLOOKUP(YEAR(M3),'FuelEU and ETS'!$I$8:$I$34,'FuelEU and ETS'!$Q$8:$Q$34),0),0),0),0)</f>
        <v>0</v>
      </c>
      <c r="N1118" s="89">
        <f>IFERROR(IF(Assumptions!$G$387="Yes",IF(YEAR(N3)&lt;=Assumptions!$G$388,IFERROR(+_xlfn.XLOOKUP(YEAR(N3),'FuelEU and ETS'!$I$8:$I$34,'FuelEU and ETS'!$Q$8:$Q$34),0),0),0),0)</f>
        <v>0</v>
      </c>
      <c r="O1118" s="89">
        <f>IFERROR(IF(Assumptions!$G$387="Yes",IF(YEAR(O3)&lt;=Assumptions!$G$388,IFERROR(+_xlfn.XLOOKUP(YEAR(O3),'FuelEU and ETS'!$I$8:$I$34,'FuelEU and ETS'!$Q$8:$Q$34),0),0),0),0)</f>
        <v>0</v>
      </c>
      <c r="P1118" s="89">
        <f>IFERROR(IF(Assumptions!$G$387="Yes",IF(YEAR(P3)&lt;=Assumptions!$G$388,IFERROR(+_xlfn.XLOOKUP(YEAR(P3),'FuelEU and ETS'!$I$8:$I$34,'FuelEU and ETS'!$Q$8:$Q$34),0),0),0),0)</f>
        <v>0</v>
      </c>
      <c r="Q1118" s="89">
        <f>IFERROR(IF(Assumptions!$G$387="Yes",IF(YEAR(Q3)&lt;=Assumptions!$G$388,IFERROR(+_xlfn.XLOOKUP(YEAR(Q3),'FuelEU and ETS'!$I$8:$I$34,'FuelEU and ETS'!$Q$8:$Q$34),0),0),0),0)</f>
        <v>0</v>
      </c>
      <c r="R1118" s="89">
        <f>IFERROR(IF(Assumptions!$G$387="Yes",IF(YEAR(R3)&lt;=Assumptions!$G$388,IFERROR(+_xlfn.XLOOKUP(YEAR(R3),'FuelEU and ETS'!$I$8:$I$34,'FuelEU and ETS'!$Q$8:$Q$34),0),0),0),0)</f>
        <v>0</v>
      </c>
      <c r="S1118" s="89">
        <f>IFERROR(IF(Assumptions!$G$387="Yes",IF(YEAR(S3)&lt;=Assumptions!$G$388,IFERROR(+_xlfn.XLOOKUP(YEAR(S3),'FuelEU and ETS'!$I$8:$I$34,'FuelEU and ETS'!$Q$8:$Q$34),0),0),0),0)</f>
        <v>0</v>
      </c>
      <c r="T1118" s="89">
        <f>IFERROR(IF(Assumptions!$G$387="Yes",IF(YEAR(T3)&lt;=Assumptions!$G$388,IFERROR(+_xlfn.XLOOKUP(YEAR(T3),'FuelEU and ETS'!$I$8:$I$34,'FuelEU and ETS'!$Q$8:$Q$34),0),0),0),0)</f>
        <v>0</v>
      </c>
      <c r="U1118" s="89">
        <f>IFERROR(IF(Assumptions!$G$387="Yes",IF(YEAR(U3)&lt;=Assumptions!$G$388,IFERROR(+_xlfn.XLOOKUP(YEAR(U3),'FuelEU and ETS'!$I$8:$I$34,'FuelEU and ETS'!$Q$8:$Q$34),0),0),0),0)</f>
        <v>0</v>
      </c>
      <c r="V1118" s="89">
        <f>IFERROR(IF(Assumptions!$G$387="Yes",IF(YEAR(V3)&lt;=Assumptions!$G$388,IFERROR(+_xlfn.XLOOKUP(YEAR(V3),'FuelEU and ETS'!$I$8:$I$34,'FuelEU and ETS'!$Q$8:$Q$34),0),0),0),0)</f>
        <v>0</v>
      </c>
      <c r="W1118" s="89">
        <f>IFERROR(IF(Assumptions!$G$387="Yes",IF(YEAR(W3)&lt;=Assumptions!$G$388,IFERROR(+_xlfn.XLOOKUP(YEAR(W3),'FuelEU and ETS'!$I$8:$I$34,'FuelEU and ETS'!$Q$8:$Q$34),0),0),0),0)</f>
        <v>0</v>
      </c>
      <c r="X1118" s="89">
        <f>IFERROR(IF(Assumptions!$G$387="Yes",IF(YEAR(X3)&lt;=Assumptions!$G$388,IFERROR(+_xlfn.XLOOKUP(YEAR(X3),'FuelEU and ETS'!$I$8:$I$34,'FuelEU and ETS'!$Q$8:$Q$34),0),0),0),0)</f>
        <v>0</v>
      </c>
      <c r="Y1118" s="89">
        <f>IFERROR(IF(Assumptions!$G$387="Yes",IF(YEAR(Y3)&lt;=Assumptions!$G$388,IFERROR(+_xlfn.XLOOKUP(YEAR(Y3),'FuelEU and ETS'!$I$8:$I$34,'FuelEU and ETS'!$Q$8:$Q$34),0),0),0),0)</f>
        <v>0</v>
      </c>
      <c r="Z1118" s="89">
        <f>IFERROR(IF(Assumptions!$G$387="Yes",IF(YEAR(Z3)&lt;=Assumptions!$G$388,IFERROR(+_xlfn.XLOOKUP(YEAR(Z3),'FuelEU and ETS'!$I$8:$I$34,'FuelEU and ETS'!$Q$8:$Q$34),0),0),0),0)</f>
        <v>0</v>
      </c>
      <c r="AA1118" s="89">
        <f>IFERROR(IF(Assumptions!$G$387="Yes",IF(YEAR(AA3)&lt;=Assumptions!$G$388,IFERROR(+_xlfn.XLOOKUP(YEAR(AA3),'FuelEU and ETS'!$I$8:$I$34,'FuelEU and ETS'!$Q$8:$Q$34),0),0),0),0)</f>
        <v>0</v>
      </c>
      <c r="AB1118" s="89">
        <f>IFERROR(IF(Assumptions!$G$387="Yes",IF(YEAR(AB3)&lt;=Assumptions!$G$388,IFERROR(+_xlfn.XLOOKUP(YEAR(AB3),'FuelEU and ETS'!$I$8:$I$34,'FuelEU and ETS'!$Q$8:$Q$34),0),0),0),0)</f>
        <v>0</v>
      </c>
      <c r="AC1118" s="89">
        <f>IFERROR(IF(Assumptions!$G$387="Yes",IF(YEAR(AC3)&lt;=Assumptions!$G$388,IFERROR(+_xlfn.XLOOKUP(YEAR(AC3),'FuelEU and ETS'!$I$8:$I$34,'FuelEU and ETS'!$Q$8:$Q$34),0),0),0),0)</f>
        <v>0</v>
      </c>
      <c r="AD1118" s="89">
        <f>IFERROR(IF(Assumptions!$G$387="Yes",IF(YEAR(AD3)&lt;=Assumptions!$G$388,IFERROR(+_xlfn.XLOOKUP(YEAR(AD3),'FuelEU and ETS'!$I$8:$I$34,'FuelEU and ETS'!$Q$8:$Q$34),0),0),0),0)</f>
        <v>0</v>
      </c>
      <c r="AE1118" s="89">
        <f>IFERROR(IF(Assumptions!$G$387="Yes",IF(YEAR(AE3)&lt;=Assumptions!$G$388,IFERROR(+_xlfn.XLOOKUP(YEAR(AE3),'FuelEU and ETS'!$I$8:$I$34,'FuelEU and ETS'!$Q$8:$Q$34),0),0),0),0)</f>
        <v>0</v>
      </c>
      <c r="AF1118" s="89">
        <f>IFERROR(IF(Assumptions!$G$387="Yes",IF(YEAR(AF3)&lt;=Assumptions!$G$388,IFERROR(+_xlfn.XLOOKUP(YEAR(AF3),'FuelEU and ETS'!$I$8:$I$34,'FuelEU and ETS'!$Q$8:$Q$34),0),0),0),0)</f>
        <v>0</v>
      </c>
      <c r="AG1118" s="89">
        <f>IFERROR(IF(Assumptions!$G$387="Yes",IF(YEAR(AG3)&lt;=Assumptions!$G$388,IFERROR(+_xlfn.XLOOKUP(YEAR(AG3),'FuelEU and ETS'!$I$8:$I$34,'FuelEU and ETS'!$Q$8:$Q$34),0),0),0),0)</f>
        <v>0</v>
      </c>
      <c r="AH1118" s="89">
        <f>IFERROR(IF(Assumptions!$G$387="Yes",IF(YEAR(AH3)&lt;=Assumptions!$G$388,IFERROR(+_xlfn.XLOOKUP(YEAR(AH3),'FuelEU and ETS'!$I$8:$I$34,'FuelEU and ETS'!$Q$8:$Q$34),0),0),0),0)</f>
        <v>0</v>
      </c>
      <c r="AI1118" s="89">
        <f>IFERROR(IF(Assumptions!$G$387="Yes",IF(YEAR(AI3)&lt;=Assumptions!$G$388,IFERROR(+_xlfn.XLOOKUP(YEAR(AI3),'FuelEU and ETS'!$I$8:$I$34,'FuelEU and ETS'!$Q$8:$Q$34),0),0),0),0)</f>
        <v>0</v>
      </c>
      <c r="AJ1118" s="89">
        <f>IFERROR(IF(Assumptions!$G$387="Yes",IF(YEAR(AJ3)&lt;=Assumptions!$G$388,IFERROR(+_xlfn.XLOOKUP(YEAR(AJ3),'FuelEU and ETS'!$I$8:$I$34,'FuelEU and ETS'!$Q$8:$Q$34),0),0),0),0)</f>
        <v>0</v>
      </c>
      <c r="AK1118" s="89">
        <f>IFERROR(IF(Assumptions!$G$387="Yes",IF(YEAR(AK3)&lt;=Assumptions!$G$388,IFERROR(+_xlfn.XLOOKUP(YEAR(AK3),'FuelEU and ETS'!$I$8:$I$34,'FuelEU and ETS'!$Q$8:$Q$34),0),0),0),0)</f>
        <v>0</v>
      </c>
      <c r="AL1118" s="89">
        <f>IFERROR(IF(Assumptions!$G$387="Yes",IF(YEAR(AL3)&lt;=Assumptions!$G$388,IFERROR(+_xlfn.XLOOKUP(YEAR(AL3),'FuelEU and ETS'!$I$8:$I$34,'FuelEU and ETS'!$Q$8:$Q$34),0),0),0),0)</f>
        <v>0</v>
      </c>
      <c r="AM1118" s="89">
        <f>IFERROR(IF(Assumptions!$G$387="Yes",IF(YEAR(AM3)&lt;=Assumptions!$G$388,IFERROR(+_xlfn.XLOOKUP(YEAR(AM3),'FuelEU and ETS'!$I$8:$I$34,'FuelEU and ETS'!$Q$8:$Q$34),0),0),0),0)</f>
        <v>0</v>
      </c>
      <c r="AN1118" s="89">
        <f>IFERROR(IF(Assumptions!$G$387="Yes",IF(YEAR(AN3)&lt;=Assumptions!$G$388,IFERROR(+_xlfn.XLOOKUP(YEAR(AN3),'FuelEU and ETS'!$I$8:$I$34,'FuelEU and ETS'!$Q$8:$Q$34),0),0),0),0)</f>
        <v>0</v>
      </c>
      <c r="AO1118" s="89">
        <f>IFERROR(IF(Assumptions!$G$387="Yes",IF(YEAR(AO3)&lt;=Assumptions!$G$388,IFERROR(+_xlfn.XLOOKUP(YEAR(AO3),'FuelEU and ETS'!$I$8:$I$34,'FuelEU and ETS'!$Q$8:$Q$34),0),0),0),0)</f>
        <v>0</v>
      </c>
      <c r="AP1118" s="89">
        <f>IFERROR(IF(Assumptions!$G$387="Yes",IF(YEAR(AP3)&lt;=Assumptions!$G$388,IFERROR(+_xlfn.XLOOKUP(YEAR(AP3),'FuelEU and ETS'!$I$8:$I$34,'FuelEU and ETS'!$Q$8:$Q$34),0),0),0),0)</f>
        <v>0</v>
      </c>
      <c r="AQ1118" s="89">
        <f>IFERROR(IF(Assumptions!$G$387="Yes",IF(YEAR(AQ3)&lt;=Assumptions!$G$388,IFERROR(+_xlfn.XLOOKUP(YEAR(AQ3),'FuelEU and ETS'!$I$8:$I$34,'FuelEU and ETS'!$Q$8:$Q$34),0),0),0),0)</f>
        <v>0</v>
      </c>
      <c r="AR1118" s="89">
        <f>IFERROR(IF(Assumptions!$G$387="Yes",IF(YEAR(AR3)&lt;=Assumptions!$G$388,IFERROR(+_xlfn.XLOOKUP(YEAR(AR3),'FuelEU and ETS'!$I$8:$I$34,'FuelEU and ETS'!$Q$8:$Q$34),0),0),0),0)</f>
        <v>0</v>
      </c>
      <c r="AS1118" s="89">
        <f>IFERROR(IF(Assumptions!$G$387="Yes",IF(YEAR(AS3)&lt;=Assumptions!$G$388,IFERROR(+_xlfn.XLOOKUP(YEAR(AS3),'FuelEU and ETS'!$I$8:$I$34,'FuelEU and ETS'!$Q$8:$Q$34),0),0),0),0)</f>
        <v>0</v>
      </c>
      <c r="AT1118" s="89">
        <f>IFERROR(IF(Assumptions!$G$387="Yes",IF(YEAR(AT3)&lt;=Assumptions!$G$388,IFERROR(+_xlfn.XLOOKUP(YEAR(AT3),'FuelEU and ETS'!$I$8:$I$34,'FuelEU and ETS'!$Q$8:$Q$34),0),0),0),0)</f>
        <v>0</v>
      </c>
      <c r="AU1118" s="89">
        <f>IFERROR(IF(Assumptions!$G$387="Yes",IF(YEAR(AU3)&lt;=Assumptions!$G$388,IFERROR(+_xlfn.XLOOKUP(YEAR(AU3),'FuelEU and ETS'!$I$8:$I$34,'FuelEU and ETS'!$Q$8:$Q$34),0),0),0),0)</f>
        <v>0</v>
      </c>
      <c r="AV1118" s="89">
        <f>IFERROR(IF(Assumptions!$G$387="Yes",IF(YEAR(AV3)&lt;=Assumptions!$G$388,IFERROR(+_xlfn.XLOOKUP(YEAR(AV3),'FuelEU and ETS'!$I$8:$I$34,'FuelEU and ETS'!$Q$8:$Q$34),0),0),0),0)</f>
        <v>0</v>
      </c>
      <c r="AW1118" s="89">
        <f>IFERROR(IF(Assumptions!$G$387="Yes",IF(YEAR(AW3)&lt;=Assumptions!$G$388,IFERROR(+_xlfn.XLOOKUP(YEAR(AW3),'FuelEU and ETS'!$I$8:$I$34,'FuelEU and ETS'!$Q$8:$Q$34),0),0),0),0)</f>
        <v>0</v>
      </c>
      <c r="AX1118" s="89">
        <f>IFERROR(IF(Assumptions!$G$387="Yes",IF(YEAR(AX3)&lt;=Assumptions!$G$388,IFERROR(+_xlfn.XLOOKUP(YEAR(AX3),'FuelEU and ETS'!$I$8:$I$34,'FuelEU and ETS'!$Q$8:$Q$34),0),0),0),0)</f>
        <v>0</v>
      </c>
      <c r="AY1118" s="89">
        <f>IFERROR(IF(Assumptions!$G$387="Yes",IF(YEAR(AY3)&lt;=Assumptions!$G$388,IFERROR(+_xlfn.XLOOKUP(YEAR(AY3),'FuelEU and ETS'!$I$8:$I$34,'FuelEU and ETS'!$Q$8:$Q$34),0),0),0),0)</f>
        <v>0</v>
      </c>
      <c r="AZ1118" s="89">
        <f>IFERROR(IF(Assumptions!$G$387="Yes",IF(YEAR(AZ3)&lt;=Assumptions!$G$388,IFERROR(+_xlfn.XLOOKUP(YEAR(AZ3),'FuelEU and ETS'!$I$8:$I$34,'FuelEU and ETS'!$Q$8:$Q$34),0),0),0),0)</f>
        <v>0</v>
      </c>
      <c r="BA1118" s="89">
        <f>IFERROR(IF(Assumptions!$G$387="Yes",IF(YEAR(BA3)&lt;=Assumptions!$G$388,IFERROR(+_xlfn.XLOOKUP(YEAR(BA3),'FuelEU and ETS'!$I$8:$I$34,'FuelEU and ETS'!$Q$8:$Q$34),0),0),0),0)</f>
        <v>0</v>
      </c>
      <c r="BB1118" s="89">
        <f>IFERROR(IF(Assumptions!$G$387="Yes",IF(YEAR(BB3)&lt;=Assumptions!$G$388,IFERROR(+_xlfn.XLOOKUP(YEAR(BB3),'FuelEU and ETS'!$I$8:$I$34,'FuelEU and ETS'!$Q$8:$Q$34),0),0),0),0)</f>
        <v>0</v>
      </c>
      <c r="BC1118" s="89">
        <f>IFERROR(IF(Assumptions!$G$387="Yes",IF(YEAR(BC3)&lt;=Assumptions!$G$388,IFERROR(+_xlfn.XLOOKUP(YEAR(BC3),'FuelEU and ETS'!$I$8:$I$34,'FuelEU and ETS'!$Q$8:$Q$34),0),0),0),0)</f>
        <v>0</v>
      </c>
      <c r="BD1118" s="89">
        <f>IFERROR(IF(Assumptions!$G$387="Yes",IF(YEAR(BD3)&lt;=Assumptions!$G$388,IFERROR(+_xlfn.XLOOKUP(YEAR(BD3),'FuelEU and ETS'!$I$8:$I$34,'FuelEU and ETS'!$Q$8:$Q$34),0),0),0),0)</f>
        <v>0</v>
      </c>
      <c r="BE1118" s="89">
        <f>IFERROR(IF(Assumptions!$G$387="Yes",IF(YEAR(BE3)&lt;=Assumptions!$G$388,IFERROR(+_xlfn.XLOOKUP(YEAR(BE3),'FuelEU and ETS'!$I$8:$I$34,'FuelEU and ETS'!$Q$8:$Q$34),0),0),0),0)</f>
        <v>0</v>
      </c>
      <c r="BF1118" s="89">
        <f>IFERROR(IF(Assumptions!$G$387="Yes",IF(YEAR(BF3)&lt;=Assumptions!$G$388,IFERROR(+_xlfn.XLOOKUP(YEAR(BF3),'FuelEU and ETS'!$I$8:$I$34,'FuelEU and ETS'!$Q$8:$Q$34),0),0),0),0)</f>
        <v>0</v>
      </c>
      <c r="BG1118" s="89">
        <f>IFERROR(IF(Assumptions!$G$387="Yes",IF(YEAR(BG3)&lt;=Assumptions!$G$388,IFERROR(+_xlfn.XLOOKUP(YEAR(BG3),'FuelEU and ETS'!$I$8:$I$34,'FuelEU and ETS'!$Q$8:$Q$34),0),0),0),0)</f>
        <v>0</v>
      </c>
      <c r="BH1118" s="89">
        <f>IFERROR(IF(Assumptions!$G$387="Yes",IF(YEAR(BH3)&lt;=Assumptions!$G$388,IFERROR(+_xlfn.XLOOKUP(YEAR(BH3),'FuelEU and ETS'!$I$8:$I$34,'FuelEU and ETS'!$Q$8:$Q$34),0),0),0),0)</f>
        <v>0</v>
      </c>
      <c r="BI1118" s="89">
        <f>IFERROR(IF(Assumptions!$G$387="Yes",IF(YEAR(BI3)&lt;=Assumptions!$G$388,IFERROR(+_xlfn.XLOOKUP(YEAR(BI3),'FuelEU and ETS'!$I$8:$I$34,'FuelEU and ETS'!$Q$8:$Q$34),0),0),0),0)</f>
        <v>0</v>
      </c>
      <c r="BJ1118" s="89">
        <f>IFERROR(IF(Assumptions!$G$387="Yes",IF(YEAR(BJ3)&lt;=Assumptions!$G$388,IFERROR(+_xlfn.XLOOKUP(YEAR(BJ3),'FuelEU and ETS'!$I$8:$I$34,'FuelEU and ETS'!$Q$8:$Q$34),0),0),0),0)</f>
        <v>0</v>
      </c>
      <c r="BK1118" s="89">
        <f>IFERROR(IF(Assumptions!$G$387="Yes",IF(YEAR(BK3)&lt;=Assumptions!$G$388,IFERROR(+_xlfn.XLOOKUP(YEAR(BK3),'FuelEU and ETS'!$I$8:$I$34,'FuelEU and ETS'!$Q$8:$Q$34),0),0),0),0)</f>
        <v>0</v>
      </c>
      <c r="BL1118" s="89">
        <f>IFERROR(IF(Assumptions!$G$387="Yes",IF(YEAR(BL3)&lt;=Assumptions!$G$388,IFERROR(+_xlfn.XLOOKUP(YEAR(BL3),'FuelEU and ETS'!$I$8:$I$34,'FuelEU and ETS'!$Q$8:$Q$34),0),0),0),0)</f>
        <v>0</v>
      </c>
      <c r="BM1118" s="89">
        <f>IFERROR(IF(Assumptions!$G$387="Yes",IF(YEAR(BM3)&lt;=Assumptions!$G$388,IFERROR(+_xlfn.XLOOKUP(YEAR(BM3),'FuelEU and ETS'!$I$8:$I$34,'FuelEU and ETS'!$Q$8:$Q$34),0),0),0),0)</f>
        <v>0</v>
      </c>
      <c r="BN1118" s="89">
        <f>IFERROR(IF(Assumptions!$G$387="Yes",IF(YEAR(BN3)&lt;=Assumptions!$G$388,IFERROR(+_xlfn.XLOOKUP(YEAR(BN3),'FuelEU and ETS'!$I$8:$I$34,'FuelEU and ETS'!$Q$8:$Q$34),0),0),0),0)</f>
        <v>0</v>
      </c>
      <c r="BO1118" s="89">
        <f>IFERROR(IF(Assumptions!$G$387="Yes",IF(YEAR(BO3)&lt;=Assumptions!$G$388,IFERROR(+_xlfn.XLOOKUP(YEAR(BO3),'FuelEU and ETS'!$I$8:$I$34,'FuelEU and ETS'!$Q$8:$Q$34),0),0),0),0)</f>
        <v>0</v>
      </c>
      <c r="BP1118" s="89">
        <f>IFERROR(IF(Assumptions!$G$387="Yes",IF(YEAR(BP3)&lt;=Assumptions!$G$388,IFERROR(+_xlfn.XLOOKUP(YEAR(BP3),'FuelEU and ETS'!$I$8:$I$34,'FuelEU and ETS'!$Q$8:$Q$34),0),0),0),0)</f>
        <v>0</v>
      </c>
      <c r="BQ1118" s="89">
        <f>IFERROR(IF(Assumptions!$G$387="Yes",IF(YEAR(BQ3)&lt;=Assumptions!$G$388,IFERROR(+_xlfn.XLOOKUP(YEAR(BQ3),'FuelEU and ETS'!$I$8:$I$34,'FuelEU and ETS'!$Q$8:$Q$34),0),0),0),0)</f>
        <v>0</v>
      </c>
      <c r="BR1118" s="89">
        <f>IFERROR(IF(Assumptions!$G$387="Yes",IF(YEAR(BR3)&lt;=Assumptions!$G$388,IFERROR(+_xlfn.XLOOKUP(YEAR(BR3),'FuelEU and ETS'!$I$8:$I$34,'FuelEU and ETS'!$Q$8:$Q$34),0),0),0),0)</f>
        <v>0</v>
      </c>
      <c r="BS1118" s="89">
        <f>IFERROR(IF(Assumptions!$G$387="Yes",IF(YEAR(BS3)&lt;=Assumptions!$G$388,IFERROR(+_xlfn.XLOOKUP(YEAR(BS3),'FuelEU and ETS'!$I$8:$I$34,'FuelEU and ETS'!$Q$8:$Q$34),0),0),0),0)</f>
        <v>0</v>
      </c>
      <c r="BT1118" s="89">
        <f>IFERROR(IF(Assumptions!$G$387="Yes",IF(YEAR(BT3)&lt;=Assumptions!$G$388,IFERROR(+_xlfn.XLOOKUP(YEAR(BT3),'FuelEU and ETS'!$I$8:$I$34,'FuelEU and ETS'!$Q$8:$Q$34),0),0),0),0)</f>
        <v>0</v>
      </c>
      <c r="BU1118" s="89">
        <f>IFERROR(IF(Assumptions!$G$387="Yes",IF(YEAR(BU3)&lt;=Assumptions!$G$388,IFERROR(+_xlfn.XLOOKUP(YEAR(BU3),'FuelEU and ETS'!$I$8:$I$34,'FuelEU and ETS'!$Q$8:$Q$34),0),0),0),0)</f>
        <v>0</v>
      </c>
      <c r="BV1118" s="89">
        <f>IFERROR(IF(Assumptions!$G$387="Yes",IF(YEAR(BV3)&lt;=Assumptions!$G$388,IFERROR(+_xlfn.XLOOKUP(YEAR(BV3),'FuelEU and ETS'!$I$8:$I$34,'FuelEU and ETS'!$Q$8:$Q$34),0),0),0),0)</f>
        <v>0</v>
      </c>
      <c r="BW1118" s="89">
        <f>IFERROR(IF(Assumptions!$G$387="Yes",IF(YEAR(BW3)&lt;=Assumptions!$G$388,IFERROR(+_xlfn.XLOOKUP(YEAR(BW3),'FuelEU and ETS'!$I$8:$I$34,'FuelEU and ETS'!$Q$8:$Q$34),0),0),0),0)</f>
        <v>0</v>
      </c>
      <c r="BX1118" s="89">
        <f>IFERROR(IF(Assumptions!$G$387="Yes",IF(YEAR(BX3)&lt;=Assumptions!$G$388,IFERROR(+_xlfn.XLOOKUP(YEAR(BX3),'FuelEU and ETS'!$I$8:$I$34,'FuelEU and ETS'!$Q$8:$Q$34),0),0),0),0)</f>
        <v>0</v>
      </c>
      <c r="BY1118" s="89">
        <f>IFERROR(IF(Assumptions!$G$387="Yes",IF(YEAR(BY3)&lt;=Assumptions!$G$388,IFERROR(+_xlfn.XLOOKUP(YEAR(BY3),'FuelEU and ETS'!$I$8:$I$34,'FuelEU and ETS'!$Q$8:$Q$34),0),0),0),0)</f>
        <v>0</v>
      </c>
    </row>
    <row r="1119" spans="2:77" outlineLevel="1">
      <c r="E1119" t="s">
        <v>565</v>
      </c>
      <c r="F1119" s="80" t="s">
        <v>564</v>
      </c>
      <c r="H1119" s="89">
        <f>+Assumptions!$G$25*Assumptions!$G$26*Assumptions!$G$27*Assumptions!$G$268/1000+Assumptions!$G$28*Assumptions!$G$268*Assumptions!$G$265*_xlfn.XLOOKUP(Assumptions!$G$264,Data_tables!$K:$K,Data_tables!$Q:$Q)/1000</f>
        <v>1271.5559365518807</v>
      </c>
      <c r="I1119" s="89">
        <f>+Assumptions!$G$25*Assumptions!$G$26*Assumptions!$G$27*Assumptions!$G$268/1000+Assumptions!$G$28*Assumptions!$G$268*Assumptions!$G$265*_xlfn.XLOOKUP(Assumptions!$G$264,Data_tables!$K:$K,Data_tables!$Q:$Q)/1000</f>
        <v>1271.5559365518807</v>
      </c>
      <c r="J1119" s="89">
        <f>+Assumptions!$G$25*Assumptions!$G$26*Assumptions!$G$27*Assumptions!$G$268/1000+Assumptions!$G$28*Assumptions!$G$268*Assumptions!$G$265*_xlfn.XLOOKUP(Assumptions!$G$264,Data_tables!$K:$K,Data_tables!$Q:$Q)/1000</f>
        <v>1271.5559365518807</v>
      </c>
      <c r="K1119" s="89">
        <f>+Assumptions!$G$25*Assumptions!$G$26*Assumptions!$G$27*Assumptions!$G$268/1000+Assumptions!$G$28*Assumptions!$G$268*Assumptions!$G$265*_xlfn.XLOOKUP(Assumptions!$G$264,Data_tables!$K:$K,Data_tables!$Q:$Q)/1000</f>
        <v>1271.5559365518807</v>
      </c>
      <c r="L1119" s="89">
        <f>+Assumptions!$G$25*Assumptions!$G$26*Assumptions!$G$27*Assumptions!$G$268/1000+Assumptions!$G$28*Assumptions!$G$268*Assumptions!$G$265*_xlfn.XLOOKUP(Assumptions!$G$264,Data_tables!$K:$K,Data_tables!$Q:$Q)/1000</f>
        <v>1271.5559365518807</v>
      </c>
      <c r="M1119" s="89">
        <f>+Assumptions!$G$25*Assumptions!$G$26*Assumptions!$G$27*Assumptions!$G$268/1000+Assumptions!$G$28*Assumptions!$G$268*Assumptions!$G$265*_xlfn.XLOOKUP(Assumptions!$G$264,Data_tables!$K:$K,Data_tables!$Q:$Q)/1000</f>
        <v>1271.5559365518807</v>
      </c>
      <c r="N1119" s="89">
        <f>+Assumptions!$G$25*Assumptions!$G$26*Assumptions!$G$27*Assumptions!$G$268/1000+Assumptions!$G$28*Assumptions!$G$268*Assumptions!$G$265*_xlfn.XLOOKUP(Assumptions!$G$264,Data_tables!$K:$K,Data_tables!$Q:$Q)/1000</f>
        <v>1271.5559365518807</v>
      </c>
      <c r="O1119" s="89">
        <f>+Assumptions!$G$25*Assumptions!$G$26*Assumptions!$G$27*Assumptions!$G$268/1000+Assumptions!$G$28*Assumptions!$G$268*Assumptions!$G$265*_xlfn.XLOOKUP(Assumptions!$G$264,Data_tables!$K:$K,Data_tables!$Q:$Q)/1000</f>
        <v>1271.5559365518807</v>
      </c>
      <c r="P1119" s="89">
        <f>+Assumptions!$G$25*Assumptions!$G$26*Assumptions!$G$27*Assumptions!$G$268/1000+Assumptions!$G$28*Assumptions!$G$268*Assumptions!$G$265*_xlfn.XLOOKUP(Assumptions!$G$264,Data_tables!$K:$K,Data_tables!$Q:$Q)/1000</f>
        <v>1271.5559365518807</v>
      </c>
      <c r="Q1119" s="89">
        <f>+Assumptions!$G$25*Assumptions!$G$26*Assumptions!$G$27*Assumptions!$G$268/1000+Assumptions!$G$28*Assumptions!$G$268*Assumptions!$G$265*_xlfn.XLOOKUP(Assumptions!$G$264,Data_tables!$K:$K,Data_tables!$Q:$Q)/1000</f>
        <v>1271.5559365518807</v>
      </c>
      <c r="R1119" s="89">
        <f>+Assumptions!$G$25*Assumptions!$G$26*Assumptions!$G$27*Assumptions!$G$268/1000+Assumptions!$G$28*Assumptions!$G$268*Assumptions!$G$265*_xlfn.XLOOKUP(Assumptions!$G$264,Data_tables!$K:$K,Data_tables!$Q:$Q)/1000</f>
        <v>1271.5559365518807</v>
      </c>
      <c r="S1119" s="89">
        <f>+Assumptions!$G$25*Assumptions!$G$26*Assumptions!$G$27*Assumptions!$G$268/1000+Assumptions!$G$28*Assumptions!$G$268*Assumptions!$G$265*_xlfn.XLOOKUP(Assumptions!$G$264,Data_tables!$K:$K,Data_tables!$Q:$Q)/1000</f>
        <v>1271.5559365518807</v>
      </c>
      <c r="T1119" s="89">
        <f>+Assumptions!$G$25*Assumptions!$G$26*Assumptions!$G$27*Assumptions!$G$268/1000+Assumptions!$G$28*Assumptions!$G$268*Assumptions!$G$265*_xlfn.XLOOKUP(Assumptions!$G$264,Data_tables!$K:$K,Data_tables!$Q:$Q)/1000</f>
        <v>1271.5559365518807</v>
      </c>
      <c r="U1119" s="89">
        <f>+Assumptions!$G$25*Assumptions!$G$26*Assumptions!$G$27*Assumptions!$G$268/1000+Assumptions!$G$28*Assumptions!$G$268*Assumptions!$G$265*_xlfn.XLOOKUP(Assumptions!$G$264,Data_tables!$K:$K,Data_tables!$Q:$Q)/1000</f>
        <v>1271.5559365518807</v>
      </c>
      <c r="V1119" s="89">
        <f>+Assumptions!$G$25*Assumptions!$G$26*Assumptions!$G$27*Assumptions!$G$268/1000+Assumptions!$G$28*Assumptions!$G$268*Assumptions!$G$265*_xlfn.XLOOKUP(Assumptions!$G$264,Data_tables!$K:$K,Data_tables!$Q:$Q)/1000</f>
        <v>1271.5559365518807</v>
      </c>
      <c r="W1119" s="89">
        <f>+Assumptions!$G$25*Assumptions!$G$26*Assumptions!$G$27*Assumptions!$G$268/1000+Assumptions!$G$28*Assumptions!$G$268*Assumptions!$G$265*_xlfn.XLOOKUP(Assumptions!$G$264,Data_tables!$K:$K,Data_tables!$Q:$Q)/1000</f>
        <v>1271.5559365518807</v>
      </c>
      <c r="X1119" s="89">
        <f>+Assumptions!$G$25*Assumptions!$G$26*Assumptions!$G$27*Assumptions!$G$268/1000+Assumptions!$G$28*Assumptions!$G$268*Assumptions!$G$265*_xlfn.XLOOKUP(Assumptions!$G$264,Data_tables!$K:$K,Data_tables!$Q:$Q)/1000</f>
        <v>1271.5559365518807</v>
      </c>
      <c r="Y1119" s="89">
        <f>+Assumptions!$G$25*Assumptions!$G$26*Assumptions!$G$27*Assumptions!$G$268/1000+Assumptions!$G$28*Assumptions!$G$268*Assumptions!$G$265*_xlfn.XLOOKUP(Assumptions!$G$264,Data_tables!$K:$K,Data_tables!$Q:$Q)/1000</f>
        <v>1271.5559365518807</v>
      </c>
      <c r="Z1119" s="89">
        <f>+Assumptions!$G$25*Assumptions!$G$26*Assumptions!$G$27*Assumptions!$G$268/1000+Assumptions!$G$28*Assumptions!$G$268*Assumptions!$G$265*_xlfn.XLOOKUP(Assumptions!$G$264,Data_tables!$K:$K,Data_tables!$Q:$Q)/1000</f>
        <v>1271.5559365518807</v>
      </c>
      <c r="AA1119" s="89">
        <f>+Assumptions!$G$25*Assumptions!$G$26*Assumptions!$G$27*Assumptions!$G$268/1000+Assumptions!$G$28*Assumptions!$G$268*Assumptions!$G$265*_xlfn.XLOOKUP(Assumptions!$G$264,Data_tables!$K:$K,Data_tables!$Q:$Q)/1000</f>
        <v>1271.5559365518807</v>
      </c>
      <c r="AB1119" s="89">
        <f>+Assumptions!$G$25*Assumptions!$G$26*Assumptions!$G$27*Assumptions!$G$268/1000+Assumptions!$G$28*Assumptions!$G$268*Assumptions!$G$265*_xlfn.XLOOKUP(Assumptions!$G$264,Data_tables!$K:$K,Data_tables!$Q:$Q)/1000</f>
        <v>1271.5559365518807</v>
      </c>
      <c r="AC1119" s="89">
        <f>+Assumptions!$G$25*Assumptions!$G$26*Assumptions!$G$27*Assumptions!$G$268/1000+Assumptions!$G$28*Assumptions!$G$268*Assumptions!$G$265*_xlfn.XLOOKUP(Assumptions!$G$264,Data_tables!$K:$K,Data_tables!$Q:$Q)/1000</f>
        <v>1271.5559365518807</v>
      </c>
      <c r="AD1119" s="89">
        <f>+Assumptions!$G$25*Assumptions!$G$26*Assumptions!$G$27*Assumptions!$G$268/1000+Assumptions!$G$28*Assumptions!$G$268*Assumptions!$G$265*_xlfn.XLOOKUP(Assumptions!$G$264,Data_tables!$K:$K,Data_tables!$Q:$Q)/1000</f>
        <v>1271.5559365518807</v>
      </c>
      <c r="AE1119" s="89">
        <f>+Assumptions!$G$25*Assumptions!$G$26*Assumptions!$G$27*Assumptions!$G$268/1000+Assumptions!$G$28*Assumptions!$G$268*Assumptions!$G$265*_xlfn.XLOOKUP(Assumptions!$G$264,Data_tables!$K:$K,Data_tables!$Q:$Q)/1000</f>
        <v>1271.5559365518807</v>
      </c>
      <c r="AF1119" s="89">
        <f>+Assumptions!$G$25*Assumptions!$G$26*Assumptions!$G$27*Assumptions!$G$268/1000+Assumptions!$G$28*Assumptions!$G$268*Assumptions!$G$265*_xlfn.XLOOKUP(Assumptions!$G$264,Data_tables!$K:$K,Data_tables!$Q:$Q)/1000</f>
        <v>1271.5559365518807</v>
      </c>
      <c r="AG1119" s="89">
        <f>+Assumptions!$G$25*Assumptions!$G$26*Assumptions!$G$27*Assumptions!$G$268/1000+Assumptions!$G$28*Assumptions!$G$268*Assumptions!$G$265*_xlfn.XLOOKUP(Assumptions!$G$264,Data_tables!$K:$K,Data_tables!$Q:$Q)/1000</f>
        <v>1271.5559365518807</v>
      </c>
      <c r="AH1119" s="89">
        <f>+Assumptions!$G$25*Assumptions!$G$26*Assumptions!$G$27*Assumptions!$G$268/1000+Assumptions!$G$28*Assumptions!$G$268*Assumptions!$G$265*_xlfn.XLOOKUP(Assumptions!$G$264,Data_tables!$K:$K,Data_tables!$Q:$Q)/1000</f>
        <v>1271.5559365518807</v>
      </c>
      <c r="AI1119" s="89">
        <f>+Assumptions!$G$25*Assumptions!$G$26*Assumptions!$G$27*Assumptions!$G$268/1000+Assumptions!$G$28*Assumptions!$G$268*Assumptions!$G$265*_xlfn.XLOOKUP(Assumptions!$G$264,Data_tables!$K:$K,Data_tables!$Q:$Q)/1000</f>
        <v>1271.5559365518807</v>
      </c>
      <c r="AJ1119" s="89">
        <f>+Assumptions!$G$25*Assumptions!$G$26*Assumptions!$G$27*Assumptions!$G$268/1000+Assumptions!$G$28*Assumptions!$G$268*Assumptions!$G$265*_xlfn.XLOOKUP(Assumptions!$G$264,Data_tables!$K:$K,Data_tables!$Q:$Q)/1000</f>
        <v>1271.5559365518807</v>
      </c>
      <c r="AK1119" s="89">
        <f>+Assumptions!$G$25*Assumptions!$G$26*Assumptions!$G$27*Assumptions!$G$268/1000+Assumptions!$G$28*Assumptions!$G$268*Assumptions!$G$265*_xlfn.XLOOKUP(Assumptions!$G$264,Data_tables!$K:$K,Data_tables!$Q:$Q)/1000</f>
        <v>1271.5559365518807</v>
      </c>
      <c r="AL1119" s="89">
        <f>+Assumptions!$G$25*Assumptions!$G$26*Assumptions!$G$27*Assumptions!$G$268/1000+Assumptions!$G$28*Assumptions!$G$268*Assumptions!$G$265*_xlfn.XLOOKUP(Assumptions!$G$264,Data_tables!$K:$K,Data_tables!$Q:$Q)/1000</f>
        <v>1271.5559365518807</v>
      </c>
      <c r="AM1119" s="89">
        <f>+Assumptions!$G$25*Assumptions!$G$26*Assumptions!$G$27*Assumptions!$G$268/1000+Assumptions!$G$28*Assumptions!$G$268*Assumptions!$G$265*_xlfn.XLOOKUP(Assumptions!$G$264,Data_tables!$K:$K,Data_tables!$Q:$Q)/1000</f>
        <v>1271.5559365518807</v>
      </c>
      <c r="AN1119" s="89">
        <f>+Assumptions!$G$25*Assumptions!$G$26*Assumptions!$G$27*Assumptions!$G$268/1000+Assumptions!$G$28*Assumptions!$G$268*Assumptions!$G$265*_xlfn.XLOOKUP(Assumptions!$G$264,Data_tables!$K:$K,Data_tables!$Q:$Q)/1000</f>
        <v>1271.5559365518807</v>
      </c>
      <c r="AO1119" s="89">
        <f>+Assumptions!$G$25*Assumptions!$G$26*Assumptions!$G$27*Assumptions!$G$268/1000+Assumptions!$G$28*Assumptions!$G$268*Assumptions!$G$265*_xlfn.XLOOKUP(Assumptions!$G$264,Data_tables!$K:$K,Data_tables!$Q:$Q)/1000</f>
        <v>1271.5559365518807</v>
      </c>
      <c r="AP1119" s="89">
        <f>+Assumptions!$G$25*Assumptions!$G$26*Assumptions!$G$27*Assumptions!$G$268/1000+Assumptions!$G$28*Assumptions!$G$268*Assumptions!$G$265*_xlfn.XLOOKUP(Assumptions!$G$264,Data_tables!$K:$K,Data_tables!$Q:$Q)/1000</f>
        <v>1271.5559365518807</v>
      </c>
      <c r="AQ1119" s="89">
        <f>+Assumptions!$G$25*Assumptions!$G$26*Assumptions!$G$27*Assumptions!$G$268/1000+Assumptions!$G$28*Assumptions!$G$268*Assumptions!$G$265*_xlfn.XLOOKUP(Assumptions!$G$264,Data_tables!$K:$K,Data_tables!$Q:$Q)/1000</f>
        <v>1271.5559365518807</v>
      </c>
      <c r="AR1119" s="89">
        <f>+Assumptions!$G$25*Assumptions!$G$26*Assumptions!$G$27*Assumptions!$G$268/1000+Assumptions!$G$28*Assumptions!$G$268*Assumptions!$G$265*_xlfn.XLOOKUP(Assumptions!$G$264,Data_tables!$K:$K,Data_tables!$Q:$Q)/1000</f>
        <v>1271.5559365518807</v>
      </c>
      <c r="AS1119" s="89">
        <f>+Assumptions!$G$25*Assumptions!$G$26*Assumptions!$G$27*Assumptions!$G$268/1000+Assumptions!$G$28*Assumptions!$G$268*Assumptions!$G$265*_xlfn.XLOOKUP(Assumptions!$G$264,Data_tables!$K:$K,Data_tables!$Q:$Q)/1000</f>
        <v>1271.5559365518807</v>
      </c>
      <c r="AT1119" s="89">
        <f>+Assumptions!$G$25*Assumptions!$G$26*Assumptions!$G$27*Assumptions!$G$268/1000+Assumptions!$G$28*Assumptions!$G$268*Assumptions!$G$265*_xlfn.XLOOKUP(Assumptions!$G$264,Data_tables!$K:$K,Data_tables!$Q:$Q)/1000</f>
        <v>1271.5559365518807</v>
      </c>
      <c r="AU1119" s="89">
        <f>+Assumptions!$G$25*Assumptions!$G$26*Assumptions!$G$27*Assumptions!$G$268/1000+Assumptions!$G$28*Assumptions!$G$268*Assumptions!$G$265*_xlfn.XLOOKUP(Assumptions!$G$264,Data_tables!$K:$K,Data_tables!$Q:$Q)/1000</f>
        <v>1271.5559365518807</v>
      </c>
      <c r="AV1119" s="89">
        <f>+Assumptions!$G$25*Assumptions!$G$26*Assumptions!$G$27*Assumptions!$G$268/1000+Assumptions!$G$28*Assumptions!$G$268*Assumptions!$G$265*_xlfn.XLOOKUP(Assumptions!$G$264,Data_tables!$K:$K,Data_tables!$Q:$Q)/1000</f>
        <v>1271.5559365518807</v>
      </c>
      <c r="AW1119" s="89">
        <f>+Assumptions!$G$25*Assumptions!$G$26*Assumptions!$G$27*Assumptions!$G$268/1000+Assumptions!$G$28*Assumptions!$G$268*Assumptions!$G$265*_xlfn.XLOOKUP(Assumptions!$G$264,Data_tables!$K:$K,Data_tables!$Q:$Q)/1000</f>
        <v>1271.5559365518807</v>
      </c>
      <c r="AX1119" s="89">
        <f>+Assumptions!$G$25*Assumptions!$G$26*Assumptions!$G$27*Assumptions!$G$268/1000+Assumptions!$G$28*Assumptions!$G$268*Assumptions!$G$265*_xlfn.XLOOKUP(Assumptions!$G$264,Data_tables!$K:$K,Data_tables!$Q:$Q)/1000</f>
        <v>1271.5559365518807</v>
      </c>
      <c r="AY1119" s="89">
        <f>+Assumptions!$G$25*Assumptions!$G$26*Assumptions!$G$27*Assumptions!$G$268/1000+Assumptions!$G$28*Assumptions!$G$268*Assumptions!$G$265*_xlfn.XLOOKUP(Assumptions!$G$264,Data_tables!$K:$K,Data_tables!$Q:$Q)/1000</f>
        <v>1271.5559365518807</v>
      </c>
      <c r="AZ1119" s="89">
        <f>+Assumptions!$G$25*Assumptions!$G$26*Assumptions!$G$27*Assumptions!$G$268/1000+Assumptions!$G$28*Assumptions!$G$268*Assumptions!$G$265*_xlfn.XLOOKUP(Assumptions!$G$264,Data_tables!$K:$K,Data_tables!$Q:$Q)/1000</f>
        <v>1271.5559365518807</v>
      </c>
      <c r="BA1119" s="89">
        <f>+Assumptions!$G$25*Assumptions!$G$26*Assumptions!$G$27*Assumptions!$G$268/1000+Assumptions!$G$28*Assumptions!$G$268*Assumptions!$G$265*_xlfn.XLOOKUP(Assumptions!$G$264,Data_tables!$K:$K,Data_tables!$Q:$Q)/1000</f>
        <v>1271.5559365518807</v>
      </c>
      <c r="BB1119" s="89">
        <f>+Assumptions!$G$25*Assumptions!$G$26*Assumptions!$G$27*Assumptions!$G$268/1000+Assumptions!$G$28*Assumptions!$G$268*Assumptions!$G$265*_xlfn.XLOOKUP(Assumptions!$G$264,Data_tables!$K:$K,Data_tables!$Q:$Q)/1000</f>
        <v>1271.5559365518807</v>
      </c>
      <c r="BC1119" s="89">
        <f>+Assumptions!$G$25*Assumptions!$G$26*Assumptions!$G$27*Assumptions!$G$268/1000+Assumptions!$G$28*Assumptions!$G$268*Assumptions!$G$265*_xlfn.XLOOKUP(Assumptions!$G$264,Data_tables!$K:$K,Data_tables!$Q:$Q)/1000</f>
        <v>1271.5559365518807</v>
      </c>
      <c r="BD1119" s="89">
        <f>+Assumptions!$G$25*Assumptions!$G$26*Assumptions!$G$27*Assumptions!$G$268/1000+Assumptions!$G$28*Assumptions!$G$268*Assumptions!$G$265*_xlfn.XLOOKUP(Assumptions!$G$264,Data_tables!$K:$K,Data_tables!$Q:$Q)/1000</f>
        <v>1271.5559365518807</v>
      </c>
      <c r="BE1119" s="89">
        <f>+Assumptions!$G$25*Assumptions!$G$26*Assumptions!$G$27*Assumptions!$G$268/1000+Assumptions!$G$28*Assumptions!$G$268*Assumptions!$G$265*_xlfn.XLOOKUP(Assumptions!$G$264,Data_tables!$K:$K,Data_tables!$Q:$Q)/1000</f>
        <v>1271.5559365518807</v>
      </c>
      <c r="BF1119" s="89">
        <f>+Assumptions!$G$25*Assumptions!$G$26*Assumptions!$G$27*Assumptions!$G$268/1000+Assumptions!$G$28*Assumptions!$G$268*Assumptions!$G$265*_xlfn.XLOOKUP(Assumptions!$G$264,Data_tables!$K:$K,Data_tables!$Q:$Q)/1000</f>
        <v>1271.5559365518807</v>
      </c>
      <c r="BG1119" s="89">
        <f>+Assumptions!$G$25*Assumptions!$G$26*Assumptions!$G$27*Assumptions!$G$268/1000+Assumptions!$G$28*Assumptions!$G$268*Assumptions!$G$265*_xlfn.XLOOKUP(Assumptions!$G$264,Data_tables!$K:$K,Data_tables!$Q:$Q)/1000</f>
        <v>1271.5559365518807</v>
      </c>
      <c r="BH1119" s="89">
        <f>+Assumptions!$G$25*Assumptions!$G$26*Assumptions!$G$27*Assumptions!$G$268/1000+Assumptions!$G$28*Assumptions!$G$268*Assumptions!$G$265*_xlfn.XLOOKUP(Assumptions!$G$264,Data_tables!$K:$K,Data_tables!$Q:$Q)/1000</f>
        <v>1271.5559365518807</v>
      </c>
      <c r="BI1119" s="89">
        <f>+Assumptions!$G$25*Assumptions!$G$26*Assumptions!$G$27*Assumptions!$G$268/1000+Assumptions!$G$28*Assumptions!$G$268*Assumptions!$G$265*_xlfn.XLOOKUP(Assumptions!$G$264,Data_tables!$K:$K,Data_tables!$Q:$Q)/1000</f>
        <v>1271.5559365518807</v>
      </c>
      <c r="BJ1119" s="89">
        <f>+Assumptions!$G$25*Assumptions!$G$26*Assumptions!$G$27*Assumptions!$G$268/1000+Assumptions!$G$28*Assumptions!$G$268*Assumptions!$G$265*_xlfn.XLOOKUP(Assumptions!$G$264,Data_tables!$K:$K,Data_tables!$Q:$Q)/1000</f>
        <v>1271.5559365518807</v>
      </c>
      <c r="BK1119" s="89">
        <f>+Assumptions!$G$25*Assumptions!$G$26*Assumptions!$G$27*Assumptions!$G$268/1000+Assumptions!$G$28*Assumptions!$G$268*Assumptions!$G$265*_xlfn.XLOOKUP(Assumptions!$G$264,Data_tables!$K:$K,Data_tables!$Q:$Q)/1000</f>
        <v>1271.5559365518807</v>
      </c>
      <c r="BL1119" s="89">
        <f>+Assumptions!$G$25*Assumptions!$G$26*Assumptions!$G$27*Assumptions!$G$268/1000+Assumptions!$G$28*Assumptions!$G$268*Assumptions!$G$265*_xlfn.XLOOKUP(Assumptions!$G$264,Data_tables!$K:$K,Data_tables!$Q:$Q)/1000</f>
        <v>1271.5559365518807</v>
      </c>
      <c r="BM1119" s="89">
        <f>+Assumptions!$G$25*Assumptions!$G$26*Assumptions!$G$27*Assumptions!$G$268/1000+Assumptions!$G$28*Assumptions!$G$268*Assumptions!$G$265*_xlfn.XLOOKUP(Assumptions!$G$264,Data_tables!$K:$K,Data_tables!$Q:$Q)/1000</f>
        <v>1271.5559365518807</v>
      </c>
      <c r="BN1119" s="89">
        <f>+Assumptions!$G$25*Assumptions!$G$26*Assumptions!$G$27*Assumptions!$G$268/1000+Assumptions!$G$28*Assumptions!$G$268*Assumptions!$G$265*_xlfn.XLOOKUP(Assumptions!$G$264,Data_tables!$K:$K,Data_tables!$Q:$Q)/1000</f>
        <v>1271.5559365518807</v>
      </c>
      <c r="BO1119" s="89">
        <f>+Assumptions!$G$25*Assumptions!$G$26*Assumptions!$G$27*Assumptions!$G$268/1000+Assumptions!$G$28*Assumptions!$G$268*Assumptions!$G$265*_xlfn.XLOOKUP(Assumptions!$G$264,Data_tables!$K:$K,Data_tables!$Q:$Q)/1000</f>
        <v>1271.5559365518807</v>
      </c>
      <c r="BP1119" s="89">
        <f>+Assumptions!$G$25*Assumptions!$G$26*Assumptions!$G$27*Assumptions!$G$268/1000+Assumptions!$G$28*Assumptions!$G$268*Assumptions!$G$265*_xlfn.XLOOKUP(Assumptions!$G$264,Data_tables!$K:$K,Data_tables!$Q:$Q)/1000</f>
        <v>1271.5559365518807</v>
      </c>
      <c r="BQ1119" s="89">
        <f>+Assumptions!$G$25*Assumptions!$G$26*Assumptions!$G$27*Assumptions!$G$268/1000+Assumptions!$G$28*Assumptions!$G$268*Assumptions!$G$265*_xlfn.XLOOKUP(Assumptions!$G$264,Data_tables!$K:$K,Data_tables!$Q:$Q)/1000</f>
        <v>1271.5559365518807</v>
      </c>
      <c r="BR1119" s="89">
        <f>+Assumptions!$G$25*Assumptions!$G$26*Assumptions!$G$27*Assumptions!$G$268/1000+Assumptions!$G$28*Assumptions!$G$268*Assumptions!$G$265*_xlfn.XLOOKUP(Assumptions!$G$264,Data_tables!$K:$K,Data_tables!$Q:$Q)/1000</f>
        <v>1271.5559365518807</v>
      </c>
      <c r="BS1119" s="89">
        <f>+Assumptions!$G$25*Assumptions!$G$26*Assumptions!$G$27*Assumptions!$G$268/1000+Assumptions!$G$28*Assumptions!$G$268*Assumptions!$G$265*_xlfn.XLOOKUP(Assumptions!$G$264,Data_tables!$K:$K,Data_tables!$Q:$Q)/1000</f>
        <v>1271.5559365518807</v>
      </c>
      <c r="BT1119" s="89">
        <f>+Assumptions!$G$25*Assumptions!$G$26*Assumptions!$G$27*Assumptions!$G$268/1000+Assumptions!$G$28*Assumptions!$G$268*Assumptions!$G$265*_xlfn.XLOOKUP(Assumptions!$G$264,Data_tables!$K:$K,Data_tables!$Q:$Q)/1000</f>
        <v>1271.5559365518807</v>
      </c>
      <c r="BU1119" s="89">
        <f>+Assumptions!$G$25*Assumptions!$G$26*Assumptions!$G$27*Assumptions!$G$268/1000+Assumptions!$G$28*Assumptions!$G$268*Assumptions!$G$265*_xlfn.XLOOKUP(Assumptions!$G$264,Data_tables!$K:$K,Data_tables!$Q:$Q)/1000</f>
        <v>1271.5559365518807</v>
      </c>
      <c r="BV1119" s="89">
        <f>+Assumptions!$G$25*Assumptions!$G$26*Assumptions!$G$27*Assumptions!$G$268/1000+Assumptions!$G$28*Assumptions!$G$268*Assumptions!$G$265*_xlfn.XLOOKUP(Assumptions!$G$264,Data_tables!$K:$K,Data_tables!$Q:$Q)/1000</f>
        <v>1271.5559365518807</v>
      </c>
      <c r="BW1119" s="89">
        <f>+Assumptions!$G$25*Assumptions!$G$26*Assumptions!$G$27*Assumptions!$G$268/1000+Assumptions!$G$28*Assumptions!$G$268*Assumptions!$G$265*_xlfn.XLOOKUP(Assumptions!$G$264,Data_tables!$K:$K,Data_tables!$Q:$Q)/1000</f>
        <v>1271.5559365518807</v>
      </c>
      <c r="BX1119" s="89">
        <f>+Assumptions!$G$25*Assumptions!$G$26*Assumptions!$G$27*Assumptions!$G$268/1000+Assumptions!$G$28*Assumptions!$G$268*Assumptions!$G$265*_xlfn.XLOOKUP(Assumptions!$G$264,Data_tables!$K:$K,Data_tables!$Q:$Q)/1000</f>
        <v>1271.5559365518807</v>
      </c>
      <c r="BY1119" s="89">
        <f>+Assumptions!$G$25*Assumptions!$G$26*Assumptions!$G$27*Assumptions!$G$268/1000+Assumptions!$G$28*Assumptions!$G$268*Assumptions!$G$265*_xlfn.XLOOKUP(Assumptions!$G$264,Data_tables!$K:$K,Data_tables!$Q:$Q)/1000</f>
        <v>1271.5559365518807</v>
      </c>
    </row>
    <row r="1120" spans="2:77" outlineLevel="1">
      <c r="E1120" t="s">
        <v>566</v>
      </c>
      <c r="F1120" s="80" t="s">
        <v>557</v>
      </c>
      <c r="H1120" s="89">
        <f>+Assumptions!$G$25*Assumptions!$G$27*Assumptions!$G$268+Assumptions!$G$28*Assumptions!$G$268*Assumptions!$G$265</f>
        <v>173609.37499999997</v>
      </c>
      <c r="I1120" s="89">
        <f>+Assumptions!$G$25*Assumptions!$G$27*Assumptions!$G$268+Assumptions!$G$28*Assumptions!$G$268*Assumptions!$G$265</f>
        <v>173609.37499999997</v>
      </c>
      <c r="J1120" s="89">
        <f>+Assumptions!$G$25*Assumptions!$G$27*Assumptions!$G$268+Assumptions!$G$28*Assumptions!$G$268*Assumptions!$G$265</f>
        <v>173609.37499999997</v>
      </c>
      <c r="K1120" s="89">
        <f>+Assumptions!$G$25*Assumptions!$G$27*Assumptions!$G$268+Assumptions!$G$28*Assumptions!$G$268*Assumptions!$G$265</f>
        <v>173609.37499999997</v>
      </c>
      <c r="L1120" s="89">
        <f>+Assumptions!$G$25*Assumptions!$G$27*Assumptions!$G$268+Assumptions!$G$28*Assumptions!$G$268*Assumptions!$G$265</f>
        <v>173609.37499999997</v>
      </c>
      <c r="M1120" s="89">
        <f>+Assumptions!$G$25*Assumptions!$G$27*Assumptions!$G$268+Assumptions!$G$28*Assumptions!$G$268*Assumptions!$G$265</f>
        <v>173609.37499999997</v>
      </c>
      <c r="N1120" s="89">
        <f>+Assumptions!$G$25*Assumptions!$G$27*Assumptions!$G$268+Assumptions!$G$28*Assumptions!$G$268*Assumptions!$G$265</f>
        <v>173609.37499999997</v>
      </c>
      <c r="O1120" s="89">
        <f>+Assumptions!$G$25*Assumptions!$G$27*Assumptions!$G$268+Assumptions!$G$28*Assumptions!$G$268*Assumptions!$G$265</f>
        <v>173609.37499999997</v>
      </c>
      <c r="P1120" s="89">
        <f>+Assumptions!$G$25*Assumptions!$G$27*Assumptions!$G$268+Assumptions!$G$28*Assumptions!$G$268*Assumptions!$G$265</f>
        <v>173609.37499999997</v>
      </c>
      <c r="Q1120" s="89">
        <f>+Assumptions!$G$25*Assumptions!$G$27*Assumptions!$G$268+Assumptions!$G$28*Assumptions!$G$268*Assumptions!$G$265</f>
        <v>173609.37499999997</v>
      </c>
      <c r="R1120" s="89">
        <f>+Assumptions!$G$25*Assumptions!$G$27*Assumptions!$G$268+Assumptions!$G$28*Assumptions!$G$268*Assumptions!$G$265</f>
        <v>173609.37499999997</v>
      </c>
      <c r="S1120" s="89">
        <f>+Assumptions!$G$25*Assumptions!$G$27*Assumptions!$G$268+Assumptions!$G$28*Assumptions!$G$268*Assumptions!$G$265</f>
        <v>173609.37499999997</v>
      </c>
      <c r="T1120" s="89">
        <f>+Assumptions!$G$25*Assumptions!$G$27*Assumptions!$G$268+Assumptions!$G$28*Assumptions!$G$268*Assumptions!$G$265</f>
        <v>173609.37499999997</v>
      </c>
      <c r="U1120" s="89">
        <f>+Assumptions!$G$25*Assumptions!$G$27*Assumptions!$G$268+Assumptions!$G$28*Assumptions!$G$268*Assumptions!$G$265</f>
        <v>173609.37499999997</v>
      </c>
      <c r="V1120" s="89">
        <f>+Assumptions!$G$25*Assumptions!$G$27*Assumptions!$G$268+Assumptions!$G$28*Assumptions!$G$268*Assumptions!$G$265</f>
        <v>173609.37499999997</v>
      </c>
      <c r="W1120" s="89">
        <f>+Assumptions!$G$25*Assumptions!$G$27*Assumptions!$G$268+Assumptions!$G$28*Assumptions!$G$268*Assumptions!$G$265</f>
        <v>173609.37499999997</v>
      </c>
      <c r="X1120" s="89">
        <f>+Assumptions!$G$25*Assumptions!$G$27*Assumptions!$G$268+Assumptions!$G$28*Assumptions!$G$268*Assumptions!$G$265</f>
        <v>173609.37499999997</v>
      </c>
      <c r="Y1120" s="89">
        <f>+Assumptions!$G$25*Assumptions!$G$27*Assumptions!$G$268+Assumptions!$G$28*Assumptions!$G$268*Assumptions!$G$265</f>
        <v>173609.37499999997</v>
      </c>
      <c r="Z1120" s="89">
        <f>+Assumptions!$G$25*Assumptions!$G$27*Assumptions!$G$268+Assumptions!$G$28*Assumptions!$G$268*Assumptions!$G$265</f>
        <v>173609.37499999997</v>
      </c>
      <c r="AA1120" s="89">
        <f>+Assumptions!$G$25*Assumptions!$G$27*Assumptions!$G$268+Assumptions!$G$28*Assumptions!$G$268*Assumptions!$G$265</f>
        <v>173609.37499999997</v>
      </c>
      <c r="AB1120" s="89">
        <f>+Assumptions!$G$25*Assumptions!$G$27*Assumptions!$G$268+Assumptions!$G$28*Assumptions!$G$268*Assumptions!$G$265</f>
        <v>173609.37499999997</v>
      </c>
      <c r="AC1120" s="89">
        <f>+Assumptions!$G$25*Assumptions!$G$27*Assumptions!$G$268+Assumptions!$G$28*Assumptions!$G$268*Assumptions!$G$265</f>
        <v>173609.37499999997</v>
      </c>
      <c r="AD1120" s="89">
        <f>+Assumptions!$G$25*Assumptions!$G$27*Assumptions!$G$268+Assumptions!$G$28*Assumptions!$G$268*Assumptions!$G$265</f>
        <v>173609.37499999997</v>
      </c>
      <c r="AE1120" s="89">
        <f>+Assumptions!$G$25*Assumptions!$G$27*Assumptions!$G$268+Assumptions!$G$28*Assumptions!$G$268*Assumptions!$G$265</f>
        <v>173609.37499999997</v>
      </c>
      <c r="AF1120" s="89">
        <f>+Assumptions!$G$25*Assumptions!$G$27*Assumptions!$G$268+Assumptions!$G$28*Assumptions!$G$268*Assumptions!$G$265</f>
        <v>173609.37499999997</v>
      </c>
      <c r="AG1120" s="89">
        <f>+Assumptions!$G$25*Assumptions!$G$27*Assumptions!$G$268+Assumptions!$G$28*Assumptions!$G$268*Assumptions!$G$265</f>
        <v>173609.37499999997</v>
      </c>
      <c r="AH1120" s="89">
        <f>+Assumptions!$G$25*Assumptions!$G$27*Assumptions!$G$268+Assumptions!$G$28*Assumptions!$G$268*Assumptions!$G$265</f>
        <v>173609.37499999997</v>
      </c>
      <c r="AI1120" s="89">
        <f>+Assumptions!$G$25*Assumptions!$G$27*Assumptions!$G$268+Assumptions!$G$28*Assumptions!$G$268*Assumptions!$G$265</f>
        <v>173609.37499999997</v>
      </c>
      <c r="AJ1120" s="89">
        <f>+Assumptions!$G$25*Assumptions!$G$27*Assumptions!$G$268+Assumptions!$G$28*Assumptions!$G$268*Assumptions!$G$265</f>
        <v>173609.37499999997</v>
      </c>
      <c r="AK1120" s="89">
        <f>+Assumptions!$G$25*Assumptions!$G$27*Assumptions!$G$268+Assumptions!$G$28*Assumptions!$G$268*Assumptions!$G$265</f>
        <v>173609.37499999997</v>
      </c>
      <c r="AL1120" s="89">
        <f>+Assumptions!$G$25*Assumptions!$G$27*Assumptions!$G$268+Assumptions!$G$28*Assumptions!$G$268*Assumptions!$G$265</f>
        <v>173609.37499999997</v>
      </c>
      <c r="AM1120" s="89">
        <f>+Assumptions!$G$25*Assumptions!$G$27*Assumptions!$G$268+Assumptions!$G$28*Assumptions!$G$268*Assumptions!$G$265</f>
        <v>173609.37499999997</v>
      </c>
      <c r="AN1120" s="89">
        <f>+Assumptions!$G$25*Assumptions!$G$27*Assumptions!$G$268+Assumptions!$G$28*Assumptions!$G$268*Assumptions!$G$265</f>
        <v>173609.37499999997</v>
      </c>
      <c r="AO1120" s="89">
        <f>+Assumptions!$G$25*Assumptions!$G$27*Assumptions!$G$268+Assumptions!$G$28*Assumptions!$G$268*Assumptions!$G$265</f>
        <v>173609.37499999997</v>
      </c>
      <c r="AP1120" s="89">
        <f>+Assumptions!$G$25*Assumptions!$G$27*Assumptions!$G$268+Assumptions!$G$28*Assumptions!$G$268*Assumptions!$G$265</f>
        <v>173609.37499999997</v>
      </c>
      <c r="AQ1120" s="89">
        <f>+Assumptions!$G$25*Assumptions!$G$27*Assumptions!$G$268+Assumptions!$G$28*Assumptions!$G$268*Assumptions!$G$265</f>
        <v>173609.37499999997</v>
      </c>
      <c r="AR1120" s="89">
        <f>+Assumptions!$G$25*Assumptions!$G$27*Assumptions!$G$268+Assumptions!$G$28*Assumptions!$G$268*Assumptions!$G$265</f>
        <v>173609.37499999997</v>
      </c>
      <c r="AS1120" s="89">
        <f>+Assumptions!$G$25*Assumptions!$G$27*Assumptions!$G$268+Assumptions!$G$28*Assumptions!$G$268*Assumptions!$G$265</f>
        <v>173609.37499999997</v>
      </c>
      <c r="AT1120" s="89">
        <f>+Assumptions!$G$25*Assumptions!$G$27*Assumptions!$G$268+Assumptions!$G$28*Assumptions!$G$268*Assumptions!$G$265</f>
        <v>173609.37499999997</v>
      </c>
      <c r="AU1120" s="89">
        <f>+Assumptions!$G$25*Assumptions!$G$27*Assumptions!$G$268+Assumptions!$G$28*Assumptions!$G$268*Assumptions!$G$265</f>
        <v>173609.37499999997</v>
      </c>
      <c r="AV1120" s="89">
        <f>+Assumptions!$G$25*Assumptions!$G$27*Assumptions!$G$268+Assumptions!$G$28*Assumptions!$G$268*Assumptions!$G$265</f>
        <v>173609.37499999997</v>
      </c>
      <c r="AW1120" s="89">
        <f>+Assumptions!$G$25*Assumptions!$G$27*Assumptions!$G$268+Assumptions!$G$28*Assumptions!$G$268*Assumptions!$G$265</f>
        <v>173609.37499999997</v>
      </c>
      <c r="AX1120" s="89">
        <f>+Assumptions!$G$25*Assumptions!$G$27*Assumptions!$G$268+Assumptions!$G$28*Assumptions!$G$268*Assumptions!$G$265</f>
        <v>173609.37499999997</v>
      </c>
      <c r="AY1120" s="89">
        <f>+Assumptions!$G$25*Assumptions!$G$27*Assumptions!$G$268+Assumptions!$G$28*Assumptions!$G$268*Assumptions!$G$265</f>
        <v>173609.37499999997</v>
      </c>
      <c r="AZ1120" s="89">
        <f>+Assumptions!$G$25*Assumptions!$G$27*Assumptions!$G$268+Assumptions!$G$28*Assumptions!$G$268*Assumptions!$G$265</f>
        <v>173609.37499999997</v>
      </c>
      <c r="BA1120" s="89">
        <f>+Assumptions!$G$25*Assumptions!$G$27*Assumptions!$G$268+Assumptions!$G$28*Assumptions!$G$268*Assumptions!$G$265</f>
        <v>173609.37499999997</v>
      </c>
      <c r="BB1120" s="89">
        <f>+Assumptions!$G$25*Assumptions!$G$27*Assumptions!$G$268+Assumptions!$G$28*Assumptions!$G$268*Assumptions!$G$265</f>
        <v>173609.37499999997</v>
      </c>
      <c r="BC1120" s="89">
        <f>+Assumptions!$G$25*Assumptions!$G$27*Assumptions!$G$268+Assumptions!$G$28*Assumptions!$G$268*Assumptions!$G$265</f>
        <v>173609.37499999997</v>
      </c>
      <c r="BD1120" s="89">
        <f>+Assumptions!$G$25*Assumptions!$G$27*Assumptions!$G$268+Assumptions!$G$28*Assumptions!$G$268*Assumptions!$G$265</f>
        <v>173609.37499999997</v>
      </c>
      <c r="BE1120" s="89">
        <f>+Assumptions!$G$25*Assumptions!$G$27*Assumptions!$G$268+Assumptions!$G$28*Assumptions!$G$268*Assumptions!$G$265</f>
        <v>173609.37499999997</v>
      </c>
      <c r="BF1120" s="89">
        <f>+Assumptions!$G$25*Assumptions!$G$27*Assumptions!$G$268+Assumptions!$G$28*Assumptions!$G$268*Assumptions!$G$265</f>
        <v>173609.37499999997</v>
      </c>
      <c r="BG1120" s="89">
        <f>+Assumptions!$G$25*Assumptions!$G$27*Assumptions!$G$268+Assumptions!$G$28*Assumptions!$G$268*Assumptions!$G$265</f>
        <v>173609.37499999997</v>
      </c>
      <c r="BH1120" s="89">
        <f>+Assumptions!$G$25*Assumptions!$G$27*Assumptions!$G$268+Assumptions!$G$28*Assumptions!$G$268*Assumptions!$G$265</f>
        <v>173609.37499999997</v>
      </c>
      <c r="BI1120" s="89">
        <f>+Assumptions!$G$25*Assumptions!$G$27*Assumptions!$G$268+Assumptions!$G$28*Assumptions!$G$268*Assumptions!$G$265</f>
        <v>173609.37499999997</v>
      </c>
      <c r="BJ1120" s="89">
        <f>+Assumptions!$G$25*Assumptions!$G$27*Assumptions!$G$268+Assumptions!$G$28*Assumptions!$G$268*Assumptions!$G$265</f>
        <v>173609.37499999997</v>
      </c>
      <c r="BK1120" s="89">
        <f>+Assumptions!$G$25*Assumptions!$G$27*Assumptions!$G$268+Assumptions!$G$28*Assumptions!$G$268*Assumptions!$G$265</f>
        <v>173609.37499999997</v>
      </c>
      <c r="BL1120" s="89">
        <f>+Assumptions!$G$25*Assumptions!$G$27*Assumptions!$G$268+Assumptions!$G$28*Assumptions!$G$268*Assumptions!$G$265</f>
        <v>173609.37499999997</v>
      </c>
      <c r="BM1120" s="89">
        <f>+Assumptions!$G$25*Assumptions!$G$27*Assumptions!$G$268+Assumptions!$G$28*Assumptions!$G$268*Assumptions!$G$265</f>
        <v>173609.37499999997</v>
      </c>
      <c r="BN1120" s="89">
        <f>+Assumptions!$G$25*Assumptions!$G$27*Assumptions!$G$268+Assumptions!$G$28*Assumptions!$G$268*Assumptions!$G$265</f>
        <v>173609.37499999997</v>
      </c>
      <c r="BO1120" s="89">
        <f>+Assumptions!$G$25*Assumptions!$G$27*Assumptions!$G$268+Assumptions!$G$28*Assumptions!$G$268*Assumptions!$G$265</f>
        <v>173609.37499999997</v>
      </c>
      <c r="BP1120" s="89">
        <f>+Assumptions!$G$25*Assumptions!$G$27*Assumptions!$G$268+Assumptions!$G$28*Assumptions!$G$268*Assumptions!$G$265</f>
        <v>173609.37499999997</v>
      </c>
      <c r="BQ1120" s="89">
        <f>+Assumptions!$G$25*Assumptions!$G$27*Assumptions!$G$268+Assumptions!$G$28*Assumptions!$G$268*Assumptions!$G$265</f>
        <v>173609.37499999997</v>
      </c>
      <c r="BR1120" s="89">
        <f>+Assumptions!$G$25*Assumptions!$G$27*Assumptions!$G$268+Assumptions!$G$28*Assumptions!$G$268*Assumptions!$G$265</f>
        <v>173609.37499999997</v>
      </c>
      <c r="BS1120" s="89">
        <f>+Assumptions!$G$25*Assumptions!$G$27*Assumptions!$G$268+Assumptions!$G$28*Assumptions!$G$268*Assumptions!$G$265</f>
        <v>173609.37499999997</v>
      </c>
      <c r="BT1120" s="89">
        <f>+Assumptions!$G$25*Assumptions!$G$27*Assumptions!$G$268+Assumptions!$G$28*Assumptions!$G$268*Assumptions!$G$265</f>
        <v>173609.37499999997</v>
      </c>
      <c r="BU1120" s="89">
        <f>+Assumptions!$G$25*Assumptions!$G$27*Assumptions!$G$268+Assumptions!$G$28*Assumptions!$G$268*Assumptions!$G$265</f>
        <v>173609.37499999997</v>
      </c>
      <c r="BV1120" s="89">
        <f>+Assumptions!$G$25*Assumptions!$G$27*Assumptions!$G$268+Assumptions!$G$28*Assumptions!$G$268*Assumptions!$G$265</f>
        <v>173609.37499999997</v>
      </c>
      <c r="BW1120" s="89">
        <f>+Assumptions!$G$25*Assumptions!$G$27*Assumptions!$G$268+Assumptions!$G$28*Assumptions!$G$268*Assumptions!$G$265</f>
        <v>173609.37499999997</v>
      </c>
      <c r="BX1120" s="89">
        <f>+Assumptions!$G$25*Assumptions!$G$27*Assumptions!$G$268+Assumptions!$G$28*Assumptions!$G$268*Assumptions!$G$265</f>
        <v>173609.37499999997</v>
      </c>
      <c r="BY1120" s="89">
        <f>+Assumptions!$G$25*Assumptions!$G$27*Assumptions!$G$268+Assumptions!$G$28*Assumptions!$G$268*Assumptions!$G$265</f>
        <v>173609.37499999997</v>
      </c>
    </row>
    <row r="1121" spans="5:77" outlineLevel="1">
      <c r="E1121" t="s">
        <v>567</v>
      </c>
      <c r="F1121" s="20" t="s">
        <v>185</v>
      </c>
      <c r="H1121" s="89">
        <f>+H1119/H1120</f>
        <v>7.3242354368932032E-3</v>
      </c>
      <c r="I1121" s="89">
        <f t="shared" ref="I1121" si="2187">+I1119/I1120</f>
        <v>7.3242354368932032E-3</v>
      </c>
      <c r="J1121" s="89">
        <f t="shared" ref="J1121" si="2188">+J1119/J1120</f>
        <v>7.3242354368932032E-3</v>
      </c>
      <c r="K1121" s="89">
        <f t="shared" ref="K1121" si="2189">+K1119/K1120</f>
        <v>7.3242354368932032E-3</v>
      </c>
      <c r="L1121" s="89">
        <f t="shared" ref="L1121" si="2190">+L1119/L1120</f>
        <v>7.3242354368932032E-3</v>
      </c>
      <c r="M1121" s="89">
        <f t="shared" ref="M1121" si="2191">+M1119/M1120</f>
        <v>7.3242354368932032E-3</v>
      </c>
      <c r="N1121" s="89">
        <f t="shared" ref="N1121" si="2192">+N1119/N1120</f>
        <v>7.3242354368932032E-3</v>
      </c>
      <c r="O1121" s="89">
        <f t="shared" ref="O1121" si="2193">+O1119/O1120</f>
        <v>7.3242354368932032E-3</v>
      </c>
      <c r="P1121" s="89">
        <f t="shared" ref="P1121" si="2194">+P1119/P1120</f>
        <v>7.3242354368932032E-3</v>
      </c>
      <c r="Q1121" s="89">
        <f t="shared" ref="Q1121" si="2195">+Q1119/Q1120</f>
        <v>7.3242354368932032E-3</v>
      </c>
      <c r="R1121" s="89">
        <f t="shared" ref="R1121" si="2196">+R1119/R1120</f>
        <v>7.3242354368932032E-3</v>
      </c>
      <c r="S1121" s="89">
        <f t="shared" ref="S1121" si="2197">+S1119/S1120</f>
        <v>7.3242354368932032E-3</v>
      </c>
      <c r="T1121" s="89">
        <f t="shared" ref="T1121" si="2198">+T1119/T1120</f>
        <v>7.3242354368932032E-3</v>
      </c>
      <c r="U1121" s="89">
        <f t="shared" ref="U1121" si="2199">+U1119/U1120</f>
        <v>7.3242354368932032E-3</v>
      </c>
      <c r="V1121" s="89">
        <f t="shared" ref="V1121" si="2200">+V1119/V1120</f>
        <v>7.3242354368932032E-3</v>
      </c>
      <c r="W1121" s="89">
        <f t="shared" ref="W1121" si="2201">+W1119/W1120</f>
        <v>7.3242354368932032E-3</v>
      </c>
      <c r="X1121" s="89">
        <f t="shared" ref="X1121" si="2202">+X1119/X1120</f>
        <v>7.3242354368932032E-3</v>
      </c>
      <c r="Y1121" s="89">
        <f t="shared" ref="Y1121" si="2203">+Y1119/Y1120</f>
        <v>7.3242354368932032E-3</v>
      </c>
      <c r="Z1121" s="89">
        <f t="shared" ref="Z1121" si="2204">+Z1119/Z1120</f>
        <v>7.3242354368932032E-3</v>
      </c>
      <c r="AA1121" s="89">
        <f t="shared" ref="AA1121" si="2205">+AA1119/AA1120</f>
        <v>7.3242354368932032E-3</v>
      </c>
      <c r="AB1121" s="89">
        <f t="shared" ref="AB1121" si="2206">+AB1119/AB1120</f>
        <v>7.3242354368932032E-3</v>
      </c>
      <c r="AC1121" s="89">
        <f t="shared" ref="AC1121" si="2207">+AC1119/AC1120</f>
        <v>7.3242354368932032E-3</v>
      </c>
      <c r="AD1121" s="89">
        <f t="shared" ref="AD1121" si="2208">+AD1119/AD1120</f>
        <v>7.3242354368932032E-3</v>
      </c>
      <c r="AE1121" s="89">
        <f t="shared" ref="AE1121" si="2209">+AE1119/AE1120</f>
        <v>7.3242354368932032E-3</v>
      </c>
      <c r="AF1121" s="89">
        <f t="shared" ref="AF1121" si="2210">+AF1119/AF1120</f>
        <v>7.3242354368932032E-3</v>
      </c>
      <c r="AG1121" s="89">
        <f t="shared" ref="AG1121" si="2211">+AG1119/AG1120</f>
        <v>7.3242354368932032E-3</v>
      </c>
      <c r="AH1121" s="89">
        <f t="shared" ref="AH1121" si="2212">+AH1119/AH1120</f>
        <v>7.3242354368932032E-3</v>
      </c>
      <c r="AI1121" s="89">
        <f t="shared" ref="AI1121" si="2213">+AI1119/AI1120</f>
        <v>7.3242354368932032E-3</v>
      </c>
      <c r="AJ1121" s="89">
        <f t="shared" ref="AJ1121" si="2214">+AJ1119/AJ1120</f>
        <v>7.3242354368932032E-3</v>
      </c>
      <c r="AK1121" s="89">
        <f t="shared" ref="AK1121" si="2215">+AK1119/AK1120</f>
        <v>7.3242354368932032E-3</v>
      </c>
      <c r="AL1121" s="89">
        <f t="shared" ref="AL1121" si="2216">+AL1119/AL1120</f>
        <v>7.3242354368932032E-3</v>
      </c>
      <c r="AM1121" s="89">
        <f t="shared" ref="AM1121" si="2217">+AM1119/AM1120</f>
        <v>7.3242354368932032E-3</v>
      </c>
      <c r="AN1121" s="89">
        <f t="shared" ref="AN1121" si="2218">+AN1119/AN1120</f>
        <v>7.3242354368932032E-3</v>
      </c>
      <c r="AO1121" s="89">
        <f t="shared" ref="AO1121" si="2219">+AO1119/AO1120</f>
        <v>7.3242354368932032E-3</v>
      </c>
      <c r="AP1121" s="89">
        <f t="shared" ref="AP1121" si="2220">+AP1119/AP1120</f>
        <v>7.3242354368932032E-3</v>
      </c>
      <c r="AQ1121" s="89">
        <f t="shared" ref="AQ1121" si="2221">+AQ1119/AQ1120</f>
        <v>7.3242354368932032E-3</v>
      </c>
      <c r="AR1121" s="89">
        <f t="shared" ref="AR1121" si="2222">+AR1119/AR1120</f>
        <v>7.3242354368932032E-3</v>
      </c>
      <c r="AS1121" s="89">
        <f t="shared" ref="AS1121" si="2223">+AS1119/AS1120</f>
        <v>7.3242354368932032E-3</v>
      </c>
      <c r="AT1121" s="89">
        <f t="shared" ref="AT1121" si="2224">+AT1119/AT1120</f>
        <v>7.3242354368932032E-3</v>
      </c>
      <c r="AU1121" s="89">
        <f t="shared" ref="AU1121" si="2225">+AU1119/AU1120</f>
        <v>7.3242354368932032E-3</v>
      </c>
      <c r="AV1121" s="89">
        <f t="shared" ref="AV1121" si="2226">+AV1119/AV1120</f>
        <v>7.3242354368932032E-3</v>
      </c>
      <c r="AW1121" s="89">
        <f t="shared" ref="AW1121" si="2227">+AW1119/AW1120</f>
        <v>7.3242354368932032E-3</v>
      </c>
      <c r="AX1121" s="89">
        <f t="shared" ref="AX1121" si="2228">+AX1119/AX1120</f>
        <v>7.3242354368932032E-3</v>
      </c>
      <c r="AY1121" s="89">
        <f t="shared" ref="AY1121" si="2229">+AY1119/AY1120</f>
        <v>7.3242354368932032E-3</v>
      </c>
      <c r="AZ1121" s="89">
        <f t="shared" ref="AZ1121" si="2230">+AZ1119/AZ1120</f>
        <v>7.3242354368932032E-3</v>
      </c>
      <c r="BA1121" s="89">
        <f t="shared" ref="BA1121" si="2231">+BA1119/BA1120</f>
        <v>7.3242354368932032E-3</v>
      </c>
      <c r="BB1121" s="89">
        <f t="shared" ref="BB1121" si="2232">+BB1119/BB1120</f>
        <v>7.3242354368932032E-3</v>
      </c>
      <c r="BC1121" s="89">
        <f t="shared" ref="BC1121" si="2233">+BC1119/BC1120</f>
        <v>7.3242354368932032E-3</v>
      </c>
      <c r="BD1121" s="89">
        <f t="shared" ref="BD1121" si="2234">+BD1119/BD1120</f>
        <v>7.3242354368932032E-3</v>
      </c>
      <c r="BE1121" s="89">
        <f t="shared" ref="BE1121" si="2235">+BE1119/BE1120</f>
        <v>7.3242354368932032E-3</v>
      </c>
      <c r="BF1121" s="89">
        <f t="shared" ref="BF1121" si="2236">+BF1119/BF1120</f>
        <v>7.3242354368932032E-3</v>
      </c>
      <c r="BG1121" s="89">
        <f t="shared" ref="BG1121" si="2237">+BG1119/BG1120</f>
        <v>7.3242354368932032E-3</v>
      </c>
      <c r="BH1121" s="89">
        <f t="shared" ref="BH1121" si="2238">+BH1119/BH1120</f>
        <v>7.3242354368932032E-3</v>
      </c>
      <c r="BI1121" s="89">
        <f t="shared" ref="BI1121" si="2239">+BI1119/BI1120</f>
        <v>7.3242354368932032E-3</v>
      </c>
      <c r="BJ1121" s="89">
        <f t="shared" ref="BJ1121" si="2240">+BJ1119/BJ1120</f>
        <v>7.3242354368932032E-3</v>
      </c>
      <c r="BK1121" s="89">
        <f t="shared" ref="BK1121" si="2241">+BK1119/BK1120</f>
        <v>7.3242354368932032E-3</v>
      </c>
      <c r="BL1121" s="89">
        <f t="shared" ref="BL1121" si="2242">+BL1119/BL1120</f>
        <v>7.3242354368932032E-3</v>
      </c>
      <c r="BM1121" s="89">
        <f t="shared" ref="BM1121" si="2243">+BM1119/BM1120</f>
        <v>7.3242354368932032E-3</v>
      </c>
      <c r="BN1121" s="89">
        <f t="shared" ref="BN1121" si="2244">+BN1119/BN1120</f>
        <v>7.3242354368932032E-3</v>
      </c>
      <c r="BO1121" s="89">
        <f t="shared" ref="BO1121" si="2245">+BO1119/BO1120</f>
        <v>7.3242354368932032E-3</v>
      </c>
      <c r="BP1121" s="89">
        <f t="shared" ref="BP1121" si="2246">+BP1119/BP1120</f>
        <v>7.3242354368932032E-3</v>
      </c>
      <c r="BQ1121" s="89">
        <f t="shared" ref="BQ1121" si="2247">+BQ1119/BQ1120</f>
        <v>7.3242354368932032E-3</v>
      </c>
      <c r="BR1121" s="89">
        <f t="shared" ref="BR1121" si="2248">+BR1119/BR1120</f>
        <v>7.3242354368932032E-3</v>
      </c>
      <c r="BS1121" s="89">
        <f t="shared" ref="BS1121" si="2249">+BS1119/BS1120</f>
        <v>7.3242354368932032E-3</v>
      </c>
      <c r="BT1121" s="89">
        <f t="shared" ref="BT1121" si="2250">+BT1119/BT1120</f>
        <v>7.3242354368932032E-3</v>
      </c>
      <c r="BU1121" s="89">
        <f t="shared" ref="BU1121" si="2251">+BU1119/BU1120</f>
        <v>7.3242354368932032E-3</v>
      </c>
      <c r="BV1121" s="89">
        <f t="shared" ref="BV1121" si="2252">+BV1119/BV1120</f>
        <v>7.3242354368932032E-3</v>
      </c>
      <c r="BW1121" s="89">
        <f t="shared" ref="BW1121" si="2253">+BW1119/BW1120</f>
        <v>7.3242354368932032E-3</v>
      </c>
      <c r="BX1121" s="89">
        <f t="shared" ref="BX1121" si="2254">+BX1119/BX1120</f>
        <v>7.3242354368932032E-3</v>
      </c>
      <c r="BY1121" s="89">
        <f t="shared" ref="BY1121" si="2255">+BY1119/BY1120</f>
        <v>7.3242354368932032E-3</v>
      </c>
    </row>
    <row r="1122" spans="5:77" outlineLevel="1">
      <c r="E1122" t="s">
        <v>568</v>
      </c>
      <c r="F1122" s="20" t="s">
        <v>183</v>
      </c>
      <c r="H1122" s="89">
        <f>+(Assumptions!$G$25*Assumptions!$G$27+Assumptions!$G$28*Assumptions!$G$265)/SUM(Assumptions!$G$286:$G$287)</f>
        <v>19.325349301397207</v>
      </c>
      <c r="I1122" s="89">
        <f>+(Assumptions!$G$25*Assumptions!$G$27+Assumptions!$G$28*Assumptions!$G$265)/SUM(Assumptions!$G$286:$G$287)</f>
        <v>19.325349301397207</v>
      </c>
      <c r="J1122" s="89">
        <f>+(Assumptions!$G$25*Assumptions!$G$27+Assumptions!$G$28*Assumptions!$G$265)/SUM(Assumptions!$G$286:$G$287)</f>
        <v>19.325349301397207</v>
      </c>
      <c r="K1122" s="89">
        <f>+(Assumptions!$G$25*Assumptions!$G$27+Assumptions!$G$28*Assumptions!$G$265)/SUM(Assumptions!$G$286:$G$287)</f>
        <v>19.325349301397207</v>
      </c>
      <c r="L1122" s="89">
        <f>+(Assumptions!$G$25*Assumptions!$G$27+Assumptions!$G$28*Assumptions!$G$265)/SUM(Assumptions!$G$286:$G$287)</f>
        <v>19.325349301397207</v>
      </c>
      <c r="M1122" s="89">
        <f>+(Assumptions!$G$25*Assumptions!$G$27+Assumptions!$G$28*Assumptions!$G$265)/SUM(Assumptions!$G$286:$G$287)</f>
        <v>19.325349301397207</v>
      </c>
      <c r="N1122" s="89">
        <f>+(Assumptions!$G$25*Assumptions!$G$27+Assumptions!$G$28*Assumptions!$G$265)/SUM(Assumptions!$G$286:$G$287)</f>
        <v>19.325349301397207</v>
      </c>
      <c r="O1122" s="89">
        <f>+(Assumptions!$G$25*Assumptions!$G$27+Assumptions!$G$28*Assumptions!$G$265)/SUM(Assumptions!$G$286:$G$287)</f>
        <v>19.325349301397207</v>
      </c>
      <c r="P1122" s="89">
        <f>+(Assumptions!$G$25*Assumptions!$G$27+Assumptions!$G$28*Assumptions!$G$265)/SUM(Assumptions!$G$286:$G$287)</f>
        <v>19.325349301397207</v>
      </c>
      <c r="Q1122" s="89">
        <f>+(Assumptions!$G$25*Assumptions!$G$27+Assumptions!$G$28*Assumptions!$G$265)/SUM(Assumptions!$G$286:$G$287)</f>
        <v>19.325349301397207</v>
      </c>
      <c r="R1122" s="89">
        <f>+(Assumptions!$G$25*Assumptions!$G$27+Assumptions!$G$28*Assumptions!$G$265)/SUM(Assumptions!$G$286:$G$287)</f>
        <v>19.325349301397207</v>
      </c>
      <c r="S1122" s="89">
        <f>+(Assumptions!$G$25*Assumptions!$G$27+Assumptions!$G$28*Assumptions!$G$265)/SUM(Assumptions!$G$286:$G$287)</f>
        <v>19.325349301397207</v>
      </c>
      <c r="T1122" s="89">
        <f>+(Assumptions!$G$25*Assumptions!$G$27+Assumptions!$G$28*Assumptions!$G$265)/SUM(Assumptions!$G$286:$G$287)</f>
        <v>19.325349301397207</v>
      </c>
      <c r="U1122" s="89">
        <f>+(Assumptions!$G$25*Assumptions!$G$27+Assumptions!$G$28*Assumptions!$G$265)/SUM(Assumptions!$G$286:$G$287)</f>
        <v>19.325349301397207</v>
      </c>
      <c r="V1122" s="89">
        <f>+(Assumptions!$G$25*Assumptions!$G$27+Assumptions!$G$28*Assumptions!$G$265)/SUM(Assumptions!$G$286:$G$287)</f>
        <v>19.325349301397207</v>
      </c>
      <c r="W1122" s="89">
        <f>+(Assumptions!$G$25*Assumptions!$G$27+Assumptions!$G$28*Assumptions!$G$265)/SUM(Assumptions!$G$286:$G$287)</f>
        <v>19.325349301397207</v>
      </c>
      <c r="X1122" s="89">
        <f>+(Assumptions!$G$25*Assumptions!$G$27+Assumptions!$G$28*Assumptions!$G$265)/SUM(Assumptions!$G$286:$G$287)</f>
        <v>19.325349301397207</v>
      </c>
      <c r="Y1122" s="89">
        <f>+(Assumptions!$G$25*Assumptions!$G$27+Assumptions!$G$28*Assumptions!$G$265)/SUM(Assumptions!$G$286:$G$287)</f>
        <v>19.325349301397207</v>
      </c>
      <c r="Z1122" s="89">
        <f>+(Assumptions!$G$25*Assumptions!$G$27+Assumptions!$G$28*Assumptions!$G$265)/SUM(Assumptions!$G$286:$G$287)</f>
        <v>19.325349301397207</v>
      </c>
      <c r="AA1122" s="89">
        <f>+(Assumptions!$G$25*Assumptions!$G$27+Assumptions!$G$28*Assumptions!$G$265)/SUM(Assumptions!$G$286:$G$287)</f>
        <v>19.325349301397207</v>
      </c>
      <c r="AB1122" s="89">
        <f>+(Assumptions!$G$25*Assumptions!$G$27+Assumptions!$G$28*Assumptions!$G$265)/SUM(Assumptions!$G$286:$G$287)</f>
        <v>19.325349301397207</v>
      </c>
      <c r="AC1122" s="89">
        <f>+(Assumptions!$G$25*Assumptions!$G$27+Assumptions!$G$28*Assumptions!$G$265)/SUM(Assumptions!$G$286:$G$287)</f>
        <v>19.325349301397207</v>
      </c>
      <c r="AD1122" s="89">
        <f>+(Assumptions!$G$25*Assumptions!$G$27+Assumptions!$G$28*Assumptions!$G$265)/SUM(Assumptions!$G$286:$G$287)</f>
        <v>19.325349301397207</v>
      </c>
      <c r="AE1122" s="89">
        <f>+(Assumptions!$G$25*Assumptions!$G$27+Assumptions!$G$28*Assumptions!$G$265)/SUM(Assumptions!$G$286:$G$287)</f>
        <v>19.325349301397207</v>
      </c>
      <c r="AF1122" s="89">
        <f>+(Assumptions!$G$25*Assumptions!$G$27+Assumptions!$G$28*Assumptions!$G$265)/SUM(Assumptions!$G$286:$G$287)</f>
        <v>19.325349301397207</v>
      </c>
      <c r="AG1122" s="89">
        <f>+(Assumptions!$G$25*Assumptions!$G$27+Assumptions!$G$28*Assumptions!$G$265)/SUM(Assumptions!$G$286:$G$287)</f>
        <v>19.325349301397207</v>
      </c>
      <c r="AH1122" s="89">
        <f>+(Assumptions!$G$25*Assumptions!$G$27+Assumptions!$G$28*Assumptions!$G$265)/SUM(Assumptions!$G$286:$G$287)</f>
        <v>19.325349301397207</v>
      </c>
      <c r="AI1122" s="89">
        <f>+(Assumptions!$G$25*Assumptions!$G$27+Assumptions!$G$28*Assumptions!$G$265)/SUM(Assumptions!$G$286:$G$287)</f>
        <v>19.325349301397207</v>
      </c>
      <c r="AJ1122" s="89">
        <f>+(Assumptions!$G$25*Assumptions!$G$27+Assumptions!$G$28*Assumptions!$G$265)/SUM(Assumptions!$G$286:$G$287)</f>
        <v>19.325349301397207</v>
      </c>
      <c r="AK1122" s="89">
        <f>+(Assumptions!$G$25*Assumptions!$G$27+Assumptions!$G$28*Assumptions!$G$265)/SUM(Assumptions!$G$286:$G$287)</f>
        <v>19.325349301397207</v>
      </c>
      <c r="AL1122" s="89">
        <f>+(Assumptions!$G$25*Assumptions!$G$27+Assumptions!$G$28*Assumptions!$G$265)/SUM(Assumptions!$G$286:$G$287)</f>
        <v>19.325349301397207</v>
      </c>
      <c r="AM1122" s="89">
        <f>+(Assumptions!$G$25*Assumptions!$G$27+Assumptions!$G$28*Assumptions!$G$265)/SUM(Assumptions!$G$286:$G$287)</f>
        <v>19.325349301397207</v>
      </c>
      <c r="AN1122" s="89">
        <f>+(Assumptions!$G$25*Assumptions!$G$27+Assumptions!$G$28*Assumptions!$G$265)/SUM(Assumptions!$G$286:$G$287)</f>
        <v>19.325349301397207</v>
      </c>
      <c r="AO1122" s="89">
        <f>+(Assumptions!$G$25*Assumptions!$G$27+Assumptions!$G$28*Assumptions!$G$265)/SUM(Assumptions!$G$286:$G$287)</f>
        <v>19.325349301397207</v>
      </c>
      <c r="AP1122" s="89">
        <f>+(Assumptions!$G$25*Assumptions!$G$27+Assumptions!$G$28*Assumptions!$G$265)/SUM(Assumptions!$G$286:$G$287)</f>
        <v>19.325349301397207</v>
      </c>
      <c r="AQ1122" s="89">
        <f>+(Assumptions!$G$25*Assumptions!$G$27+Assumptions!$G$28*Assumptions!$G$265)/SUM(Assumptions!$G$286:$G$287)</f>
        <v>19.325349301397207</v>
      </c>
      <c r="AR1122" s="89">
        <f>+(Assumptions!$G$25*Assumptions!$G$27+Assumptions!$G$28*Assumptions!$G$265)/SUM(Assumptions!$G$286:$G$287)</f>
        <v>19.325349301397207</v>
      </c>
      <c r="AS1122" s="89">
        <f>+(Assumptions!$G$25*Assumptions!$G$27+Assumptions!$G$28*Assumptions!$G$265)/SUM(Assumptions!$G$286:$G$287)</f>
        <v>19.325349301397207</v>
      </c>
      <c r="AT1122" s="89">
        <f>+(Assumptions!$G$25*Assumptions!$G$27+Assumptions!$G$28*Assumptions!$G$265)/SUM(Assumptions!$G$286:$G$287)</f>
        <v>19.325349301397207</v>
      </c>
      <c r="AU1122" s="89">
        <f>+(Assumptions!$G$25*Assumptions!$G$27+Assumptions!$G$28*Assumptions!$G$265)/SUM(Assumptions!$G$286:$G$287)</f>
        <v>19.325349301397207</v>
      </c>
      <c r="AV1122" s="89">
        <f>+(Assumptions!$G$25*Assumptions!$G$27+Assumptions!$G$28*Assumptions!$G$265)/SUM(Assumptions!$G$286:$G$287)</f>
        <v>19.325349301397207</v>
      </c>
      <c r="AW1122" s="89">
        <f>+(Assumptions!$G$25*Assumptions!$G$27+Assumptions!$G$28*Assumptions!$G$265)/SUM(Assumptions!$G$286:$G$287)</f>
        <v>19.325349301397207</v>
      </c>
      <c r="AX1122" s="89">
        <f>+(Assumptions!$G$25*Assumptions!$G$27+Assumptions!$G$28*Assumptions!$G$265)/SUM(Assumptions!$G$286:$G$287)</f>
        <v>19.325349301397207</v>
      </c>
      <c r="AY1122" s="89">
        <f>+(Assumptions!$G$25*Assumptions!$G$27+Assumptions!$G$28*Assumptions!$G$265)/SUM(Assumptions!$G$286:$G$287)</f>
        <v>19.325349301397207</v>
      </c>
      <c r="AZ1122" s="89">
        <f>+(Assumptions!$G$25*Assumptions!$G$27+Assumptions!$G$28*Assumptions!$G$265)/SUM(Assumptions!$G$286:$G$287)</f>
        <v>19.325349301397207</v>
      </c>
      <c r="BA1122" s="89">
        <f>+(Assumptions!$G$25*Assumptions!$G$27+Assumptions!$G$28*Assumptions!$G$265)/SUM(Assumptions!$G$286:$G$287)</f>
        <v>19.325349301397207</v>
      </c>
      <c r="BB1122" s="89">
        <f>+(Assumptions!$G$25*Assumptions!$G$27+Assumptions!$G$28*Assumptions!$G$265)/SUM(Assumptions!$G$286:$G$287)</f>
        <v>19.325349301397207</v>
      </c>
      <c r="BC1122" s="89">
        <f>+(Assumptions!$G$25*Assumptions!$G$27+Assumptions!$G$28*Assumptions!$G$265)/SUM(Assumptions!$G$286:$G$287)</f>
        <v>19.325349301397207</v>
      </c>
      <c r="BD1122" s="89">
        <f>+(Assumptions!$G$25*Assumptions!$G$27+Assumptions!$G$28*Assumptions!$G$265)/SUM(Assumptions!$G$286:$G$287)</f>
        <v>19.325349301397207</v>
      </c>
      <c r="BE1122" s="89">
        <f>+(Assumptions!$G$25*Assumptions!$G$27+Assumptions!$G$28*Assumptions!$G$265)/SUM(Assumptions!$G$286:$G$287)</f>
        <v>19.325349301397207</v>
      </c>
      <c r="BF1122" s="89">
        <f>+(Assumptions!$G$25*Assumptions!$G$27+Assumptions!$G$28*Assumptions!$G$265)/SUM(Assumptions!$G$286:$G$287)</f>
        <v>19.325349301397207</v>
      </c>
      <c r="BG1122" s="89">
        <f>+(Assumptions!$G$25*Assumptions!$G$27+Assumptions!$G$28*Assumptions!$G$265)/SUM(Assumptions!$G$286:$G$287)</f>
        <v>19.325349301397207</v>
      </c>
      <c r="BH1122" s="89">
        <f>+(Assumptions!$G$25*Assumptions!$G$27+Assumptions!$G$28*Assumptions!$G$265)/SUM(Assumptions!$G$286:$G$287)</f>
        <v>19.325349301397207</v>
      </c>
      <c r="BI1122" s="89">
        <f>+(Assumptions!$G$25*Assumptions!$G$27+Assumptions!$G$28*Assumptions!$G$265)/SUM(Assumptions!$G$286:$G$287)</f>
        <v>19.325349301397207</v>
      </c>
      <c r="BJ1122" s="89">
        <f>+(Assumptions!$G$25*Assumptions!$G$27+Assumptions!$G$28*Assumptions!$G$265)/SUM(Assumptions!$G$286:$G$287)</f>
        <v>19.325349301397207</v>
      </c>
      <c r="BK1122" s="89">
        <f>+(Assumptions!$G$25*Assumptions!$G$27+Assumptions!$G$28*Assumptions!$G$265)/SUM(Assumptions!$G$286:$G$287)</f>
        <v>19.325349301397207</v>
      </c>
      <c r="BL1122" s="89">
        <f>+(Assumptions!$G$25*Assumptions!$G$27+Assumptions!$G$28*Assumptions!$G$265)/SUM(Assumptions!$G$286:$G$287)</f>
        <v>19.325349301397207</v>
      </c>
      <c r="BM1122" s="89">
        <f>+(Assumptions!$G$25*Assumptions!$G$27+Assumptions!$G$28*Assumptions!$G$265)/SUM(Assumptions!$G$286:$G$287)</f>
        <v>19.325349301397207</v>
      </c>
      <c r="BN1122" s="89">
        <f>+(Assumptions!$G$25*Assumptions!$G$27+Assumptions!$G$28*Assumptions!$G$265)/SUM(Assumptions!$G$286:$G$287)</f>
        <v>19.325349301397207</v>
      </c>
      <c r="BO1122" s="89">
        <f>+(Assumptions!$G$25*Assumptions!$G$27+Assumptions!$G$28*Assumptions!$G$265)/SUM(Assumptions!$G$286:$G$287)</f>
        <v>19.325349301397207</v>
      </c>
      <c r="BP1122" s="89">
        <f>+(Assumptions!$G$25*Assumptions!$G$27+Assumptions!$G$28*Assumptions!$G$265)/SUM(Assumptions!$G$286:$G$287)</f>
        <v>19.325349301397207</v>
      </c>
      <c r="BQ1122" s="89">
        <f>+(Assumptions!$G$25*Assumptions!$G$27+Assumptions!$G$28*Assumptions!$G$265)/SUM(Assumptions!$G$286:$G$287)</f>
        <v>19.325349301397207</v>
      </c>
      <c r="BR1122" s="89">
        <f>+(Assumptions!$G$25*Assumptions!$G$27+Assumptions!$G$28*Assumptions!$G$265)/SUM(Assumptions!$G$286:$G$287)</f>
        <v>19.325349301397207</v>
      </c>
      <c r="BS1122" s="89">
        <f>+(Assumptions!$G$25*Assumptions!$G$27+Assumptions!$G$28*Assumptions!$G$265)/SUM(Assumptions!$G$286:$G$287)</f>
        <v>19.325349301397207</v>
      </c>
      <c r="BT1122" s="89">
        <f>+(Assumptions!$G$25*Assumptions!$G$27+Assumptions!$G$28*Assumptions!$G$265)/SUM(Assumptions!$G$286:$G$287)</f>
        <v>19.325349301397207</v>
      </c>
      <c r="BU1122" s="89">
        <f>+(Assumptions!$G$25*Assumptions!$G$27+Assumptions!$G$28*Assumptions!$G$265)/SUM(Assumptions!$G$286:$G$287)</f>
        <v>19.325349301397207</v>
      </c>
      <c r="BV1122" s="89">
        <f>+(Assumptions!$G$25*Assumptions!$G$27+Assumptions!$G$28*Assumptions!$G$265)/SUM(Assumptions!$G$286:$G$287)</f>
        <v>19.325349301397207</v>
      </c>
      <c r="BW1122" s="89">
        <f>+(Assumptions!$G$25*Assumptions!$G$27+Assumptions!$G$28*Assumptions!$G$265)/SUM(Assumptions!$G$286:$G$287)</f>
        <v>19.325349301397207</v>
      </c>
      <c r="BX1122" s="89">
        <f>+(Assumptions!$G$25*Assumptions!$G$27+Assumptions!$G$28*Assumptions!$G$265)/SUM(Assumptions!$G$286:$G$287)</f>
        <v>19.325349301397207</v>
      </c>
      <c r="BY1122" s="89">
        <f>+(Assumptions!$G$25*Assumptions!$G$27+Assumptions!$G$28*Assumptions!$G$265)/SUM(Assumptions!$G$286:$G$287)</f>
        <v>19.325349301397207</v>
      </c>
    </row>
    <row r="1123" spans="5:77" outlineLevel="1">
      <c r="E1123" t="s">
        <v>569</v>
      </c>
      <c r="F1123" s="80" t="s">
        <v>570</v>
      </c>
      <c r="H1123" s="89">
        <f>IFERROR(+IF((H1121*1000-H1118)*H1122/1000&lt;=0,0,(H1121-H1118)*H1122/1000),0)</f>
        <v>1.4154340818363272E-4</v>
      </c>
      <c r="I1123" s="89">
        <f t="shared" ref="I1123" si="2256">IFERROR(+IF((I1121*1000-I1118)*I1122/1000&lt;=0,0,(I1121-I1118)*I1122/1000),0)</f>
        <v>1.4154340818363272E-4</v>
      </c>
      <c r="J1123" s="89">
        <f t="shared" ref="J1123" si="2257">IFERROR(+IF((J1121*1000-J1118)*J1122/1000&lt;=0,0,(J1121-J1118)*J1122/1000),0)</f>
        <v>1.4154340818363272E-4</v>
      </c>
      <c r="K1123" s="89">
        <f t="shared" ref="K1123" si="2258">IFERROR(+IF((K1121*1000-K1118)*K1122/1000&lt;=0,0,(K1121-K1118)*K1122/1000),0)</f>
        <v>1.4154340818363272E-4</v>
      </c>
      <c r="L1123" s="89">
        <f t="shared" ref="L1123" si="2259">IFERROR(+IF((L1121*1000-L1118)*L1122/1000&lt;=0,0,(L1121-L1118)*L1122/1000),0)</f>
        <v>1.4154340818363272E-4</v>
      </c>
      <c r="M1123" s="89">
        <f t="shared" ref="M1123" si="2260">IFERROR(+IF((M1121*1000-M1118)*M1122/1000&lt;=0,0,(M1121-M1118)*M1122/1000),0)</f>
        <v>1.4154340818363272E-4</v>
      </c>
      <c r="N1123" s="89">
        <f t="shared" ref="N1123" si="2261">IFERROR(+IF((N1121*1000-N1118)*N1122/1000&lt;=0,0,(N1121-N1118)*N1122/1000),0)</f>
        <v>1.4154340818363272E-4</v>
      </c>
      <c r="O1123" s="89">
        <f t="shared" ref="O1123" si="2262">IFERROR(+IF((O1121*1000-O1118)*O1122/1000&lt;=0,0,(O1121-O1118)*O1122/1000),0)</f>
        <v>1.4154340818363272E-4</v>
      </c>
      <c r="P1123" s="89">
        <f t="shared" ref="P1123" si="2263">IFERROR(+IF((P1121*1000-P1118)*P1122/1000&lt;=0,0,(P1121-P1118)*P1122/1000),0)</f>
        <v>1.4154340818363272E-4</v>
      </c>
      <c r="Q1123" s="89">
        <f t="shared" ref="Q1123" si="2264">IFERROR(+IF((Q1121*1000-Q1118)*Q1122/1000&lt;=0,0,(Q1121-Q1118)*Q1122/1000),0)</f>
        <v>1.4154340818363272E-4</v>
      </c>
      <c r="R1123" s="89">
        <f t="shared" ref="R1123" si="2265">IFERROR(+IF((R1121*1000-R1118)*R1122/1000&lt;=0,0,(R1121-R1118)*R1122/1000),0)</f>
        <v>1.4154340818363272E-4</v>
      </c>
      <c r="S1123" s="89">
        <f t="shared" ref="S1123" si="2266">IFERROR(+IF((S1121*1000-S1118)*S1122/1000&lt;=0,0,(S1121-S1118)*S1122/1000),0)</f>
        <v>1.4154340818363272E-4</v>
      </c>
      <c r="T1123" s="89">
        <f t="shared" ref="T1123" si="2267">IFERROR(+IF((T1121*1000-T1118)*T1122/1000&lt;=0,0,(T1121-T1118)*T1122/1000),0)</f>
        <v>1.4154340818363272E-4</v>
      </c>
      <c r="U1123" s="89">
        <f t="shared" ref="U1123" si="2268">IFERROR(+IF((U1121*1000-U1118)*U1122/1000&lt;=0,0,(U1121-U1118)*U1122/1000),0)</f>
        <v>1.4154340818363272E-4</v>
      </c>
      <c r="V1123" s="89">
        <f t="shared" ref="V1123" si="2269">IFERROR(+IF((V1121*1000-V1118)*V1122/1000&lt;=0,0,(V1121-V1118)*V1122/1000),0)</f>
        <v>1.4154340818363272E-4</v>
      </c>
      <c r="W1123" s="89">
        <f t="shared" ref="W1123" si="2270">IFERROR(+IF((W1121*1000-W1118)*W1122/1000&lt;=0,0,(W1121-W1118)*W1122/1000),0)</f>
        <v>1.4154340818363272E-4</v>
      </c>
      <c r="X1123" s="89">
        <f t="shared" ref="X1123" si="2271">IFERROR(+IF((X1121*1000-X1118)*X1122/1000&lt;=0,0,(X1121-X1118)*X1122/1000),0)</f>
        <v>1.4154340818363272E-4</v>
      </c>
      <c r="Y1123" s="89">
        <f t="shared" ref="Y1123" si="2272">IFERROR(+IF((Y1121*1000-Y1118)*Y1122/1000&lt;=0,0,(Y1121-Y1118)*Y1122/1000),0)</f>
        <v>1.4154340818363272E-4</v>
      </c>
      <c r="Z1123" s="89">
        <f t="shared" ref="Z1123" si="2273">IFERROR(+IF((Z1121*1000-Z1118)*Z1122/1000&lt;=0,0,(Z1121-Z1118)*Z1122/1000),0)</f>
        <v>1.4154340818363272E-4</v>
      </c>
      <c r="AA1123" s="89">
        <f t="shared" ref="AA1123" si="2274">IFERROR(+IF((AA1121*1000-AA1118)*AA1122/1000&lt;=0,0,(AA1121-AA1118)*AA1122/1000),0)</f>
        <v>1.4154340818363272E-4</v>
      </c>
      <c r="AB1123" s="89">
        <f t="shared" ref="AB1123" si="2275">IFERROR(+IF((AB1121*1000-AB1118)*AB1122/1000&lt;=0,0,(AB1121-AB1118)*AB1122/1000),0)</f>
        <v>1.4154340818363272E-4</v>
      </c>
      <c r="AC1123" s="89">
        <f t="shared" ref="AC1123" si="2276">IFERROR(+IF((AC1121*1000-AC1118)*AC1122/1000&lt;=0,0,(AC1121-AC1118)*AC1122/1000),0)</f>
        <v>1.4154340818363272E-4</v>
      </c>
      <c r="AD1123" s="89">
        <f t="shared" ref="AD1123" si="2277">IFERROR(+IF((AD1121*1000-AD1118)*AD1122/1000&lt;=0,0,(AD1121-AD1118)*AD1122/1000),0)</f>
        <v>1.4154340818363272E-4</v>
      </c>
      <c r="AE1123" s="89">
        <f t="shared" ref="AE1123" si="2278">IFERROR(+IF((AE1121*1000-AE1118)*AE1122/1000&lt;=0,0,(AE1121-AE1118)*AE1122/1000),0)</f>
        <v>1.4154340818363272E-4</v>
      </c>
      <c r="AF1123" s="89">
        <f t="shared" ref="AF1123" si="2279">IFERROR(+IF((AF1121*1000-AF1118)*AF1122/1000&lt;=0,0,(AF1121-AF1118)*AF1122/1000),0)</f>
        <v>1.4154340818363272E-4</v>
      </c>
      <c r="AG1123" s="89">
        <f t="shared" ref="AG1123" si="2280">IFERROR(+IF((AG1121*1000-AG1118)*AG1122/1000&lt;=0,0,(AG1121-AG1118)*AG1122/1000),0)</f>
        <v>1.4154340818363272E-4</v>
      </c>
      <c r="AH1123" s="89">
        <f t="shared" ref="AH1123" si="2281">IFERROR(+IF((AH1121*1000-AH1118)*AH1122/1000&lt;=0,0,(AH1121-AH1118)*AH1122/1000),0)</f>
        <v>1.4154340818363272E-4</v>
      </c>
      <c r="AI1123" s="89">
        <f t="shared" ref="AI1123" si="2282">IFERROR(+IF((AI1121*1000-AI1118)*AI1122/1000&lt;=0,0,(AI1121-AI1118)*AI1122/1000),0)</f>
        <v>1.4154340818363272E-4</v>
      </c>
      <c r="AJ1123" s="89">
        <f t="shared" ref="AJ1123" si="2283">IFERROR(+IF((AJ1121*1000-AJ1118)*AJ1122/1000&lt;=0,0,(AJ1121-AJ1118)*AJ1122/1000),0)</f>
        <v>1.4154340818363272E-4</v>
      </c>
      <c r="AK1123" s="89">
        <f t="shared" ref="AK1123" si="2284">IFERROR(+IF((AK1121*1000-AK1118)*AK1122/1000&lt;=0,0,(AK1121-AK1118)*AK1122/1000),0)</f>
        <v>1.4154340818363272E-4</v>
      </c>
      <c r="AL1123" s="89">
        <f t="shared" ref="AL1123" si="2285">IFERROR(+IF((AL1121*1000-AL1118)*AL1122/1000&lt;=0,0,(AL1121-AL1118)*AL1122/1000),0)</f>
        <v>1.4154340818363272E-4</v>
      </c>
      <c r="AM1123" s="89">
        <f t="shared" ref="AM1123" si="2286">IFERROR(+IF((AM1121*1000-AM1118)*AM1122/1000&lt;=0,0,(AM1121-AM1118)*AM1122/1000),0)</f>
        <v>1.4154340818363272E-4</v>
      </c>
      <c r="AN1123" s="89">
        <f t="shared" ref="AN1123" si="2287">IFERROR(+IF((AN1121*1000-AN1118)*AN1122/1000&lt;=0,0,(AN1121-AN1118)*AN1122/1000),0)</f>
        <v>1.4154340818363272E-4</v>
      </c>
      <c r="AO1123" s="89">
        <f t="shared" ref="AO1123" si="2288">IFERROR(+IF((AO1121*1000-AO1118)*AO1122/1000&lt;=0,0,(AO1121-AO1118)*AO1122/1000),0)</f>
        <v>1.4154340818363272E-4</v>
      </c>
      <c r="AP1123" s="89">
        <f t="shared" ref="AP1123" si="2289">IFERROR(+IF((AP1121*1000-AP1118)*AP1122/1000&lt;=0,0,(AP1121-AP1118)*AP1122/1000),0)</f>
        <v>1.4154340818363272E-4</v>
      </c>
      <c r="AQ1123" s="89">
        <f t="shared" ref="AQ1123" si="2290">IFERROR(+IF((AQ1121*1000-AQ1118)*AQ1122/1000&lt;=0,0,(AQ1121-AQ1118)*AQ1122/1000),0)</f>
        <v>1.4154340818363272E-4</v>
      </c>
      <c r="AR1123" s="89">
        <f t="shared" ref="AR1123" si="2291">IFERROR(+IF((AR1121*1000-AR1118)*AR1122/1000&lt;=0,0,(AR1121-AR1118)*AR1122/1000),0)</f>
        <v>1.4154340818363272E-4</v>
      </c>
      <c r="AS1123" s="89">
        <f t="shared" ref="AS1123" si="2292">IFERROR(+IF((AS1121*1000-AS1118)*AS1122/1000&lt;=0,0,(AS1121-AS1118)*AS1122/1000),0)</f>
        <v>1.4154340818363272E-4</v>
      </c>
      <c r="AT1123" s="89">
        <f t="shared" ref="AT1123" si="2293">IFERROR(+IF((AT1121*1000-AT1118)*AT1122/1000&lt;=0,0,(AT1121-AT1118)*AT1122/1000),0)</f>
        <v>1.4154340818363272E-4</v>
      </c>
      <c r="AU1123" s="89">
        <f t="shared" ref="AU1123" si="2294">IFERROR(+IF((AU1121*1000-AU1118)*AU1122/1000&lt;=0,0,(AU1121-AU1118)*AU1122/1000),0)</f>
        <v>1.4154340818363272E-4</v>
      </c>
      <c r="AV1123" s="89">
        <f t="shared" ref="AV1123" si="2295">IFERROR(+IF((AV1121*1000-AV1118)*AV1122/1000&lt;=0,0,(AV1121-AV1118)*AV1122/1000),0)</f>
        <v>1.4154340818363272E-4</v>
      </c>
      <c r="AW1123" s="89">
        <f t="shared" ref="AW1123" si="2296">IFERROR(+IF((AW1121*1000-AW1118)*AW1122/1000&lt;=0,0,(AW1121-AW1118)*AW1122/1000),0)</f>
        <v>1.4154340818363272E-4</v>
      </c>
      <c r="AX1123" s="89">
        <f t="shared" ref="AX1123" si="2297">IFERROR(+IF((AX1121*1000-AX1118)*AX1122/1000&lt;=0,0,(AX1121-AX1118)*AX1122/1000),0)</f>
        <v>1.4154340818363272E-4</v>
      </c>
      <c r="AY1123" s="89">
        <f t="shared" ref="AY1123" si="2298">IFERROR(+IF((AY1121*1000-AY1118)*AY1122/1000&lt;=0,0,(AY1121-AY1118)*AY1122/1000),0)</f>
        <v>1.4154340818363272E-4</v>
      </c>
      <c r="AZ1123" s="89">
        <f t="shared" ref="AZ1123" si="2299">IFERROR(+IF((AZ1121*1000-AZ1118)*AZ1122/1000&lt;=0,0,(AZ1121-AZ1118)*AZ1122/1000),0)</f>
        <v>1.4154340818363272E-4</v>
      </c>
      <c r="BA1123" s="89">
        <f t="shared" ref="BA1123" si="2300">IFERROR(+IF((BA1121*1000-BA1118)*BA1122/1000&lt;=0,0,(BA1121-BA1118)*BA1122/1000),0)</f>
        <v>1.4154340818363272E-4</v>
      </c>
      <c r="BB1123" s="89">
        <f t="shared" ref="BB1123" si="2301">IFERROR(+IF((BB1121*1000-BB1118)*BB1122/1000&lt;=0,0,(BB1121-BB1118)*BB1122/1000),0)</f>
        <v>1.4154340818363272E-4</v>
      </c>
      <c r="BC1123" s="89">
        <f t="shared" ref="BC1123" si="2302">IFERROR(+IF((BC1121*1000-BC1118)*BC1122/1000&lt;=0,0,(BC1121-BC1118)*BC1122/1000),0)</f>
        <v>1.4154340818363272E-4</v>
      </c>
      <c r="BD1123" s="89">
        <f t="shared" ref="BD1123" si="2303">IFERROR(+IF((BD1121*1000-BD1118)*BD1122/1000&lt;=0,0,(BD1121-BD1118)*BD1122/1000),0)</f>
        <v>1.4154340818363272E-4</v>
      </c>
      <c r="BE1123" s="89">
        <f t="shared" ref="BE1123" si="2304">IFERROR(+IF((BE1121*1000-BE1118)*BE1122/1000&lt;=0,0,(BE1121-BE1118)*BE1122/1000),0)</f>
        <v>1.4154340818363272E-4</v>
      </c>
      <c r="BF1123" s="89">
        <f t="shared" ref="BF1123" si="2305">IFERROR(+IF((BF1121*1000-BF1118)*BF1122/1000&lt;=0,0,(BF1121-BF1118)*BF1122/1000),0)</f>
        <v>1.4154340818363272E-4</v>
      </c>
      <c r="BG1123" s="89">
        <f t="shared" ref="BG1123" si="2306">IFERROR(+IF((BG1121*1000-BG1118)*BG1122/1000&lt;=0,0,(BG1121-BG1118)*BG1122/1000),0)</f>
        <v>1.4154340818363272E-4</v>
      </c>
      <c r="BH1123" s="89">
        <f t="shared" ref="BH1123" si="2307">IFERROR(+IF((BH1121*1000-BH1118)*BH1122/1000&lt;=0,0,(BH1121-BH1118)*BH1122/1000),0)</f>
        <v>1.4154340818363272E-4</v>
      </c>
      <c r="BI1123" s="89">
        <f t="shared" ref="BI1123" si="2308">IFERROR(+IF((BI1121*1000-BI1118)*BI1122/1000&lt;=0,0,(BI1121-BI1118)*BI1122/1000),0)</f>
        <v>1.4154340818363272E-4</v>
      </c>
      <c r="BJ1123" s="89">
        <f t="shared" ref="BJ1123" si="2309">IFERROR(+IF((BJ1121*1000-BJ1118)*BJ1122/1000&lt;=0,0,(BJ1121-BJ1118)*BJ1122/1000),0)</f>
        <v>1.4154340818363272E-4</v>
      </c>
      <c r="BK1123" s="89">
        <f t="shared" ref="BK1123" si="2310">IFERROR(+IF((BK1121*1000-BK1118)*BK1122/1000&lt;=0,0,(BK1121-BK1118)*BK1122/1000),0)</f>
        <v>1.4154340818363272E-4</v>
      </c>
      <c r="BL1123" s="89">
        <f t="shared" ref="BL1123" si="2311">IFERROR(+IF((BL1121*1000-BL1118)*BL1122/1000&lt;=0,0,(BL1121-BL1118)*BL1122/1000),0)</f>
        <v>1.4154340818363272E-4</v>
      </c>
      <c r="BM1123" s="89">
        <f t="shared" ref="BM1123" si="2312">IFERROR(+IF((BM1121*1000-BM1118)*BM1122/1000&lt;=0,0,(BM1121-BM1118)*BM1122/1000),0)</f>
        <v>1.4154340818363272E-4</v>
      </c>
      <c r="BN1123" s="89">
        <f t="shared" ref="BN1123" si="2313">IFERROR(+IF((BN1121*1000-BN1118)*BN1122/1000&lt;=0,0,(BN1121-BN1118)*BN1122/1000),0)</f>
        <v>1.4154340818363272E-4</v>
      </c>
      <c r="BO1123" s="89">
        <f t="shared" ref="BO1123" si="2314">IFERROR(+IF((BO1121*1000-BO1118)*BO1122/1000&lt;=0,0,(BO1121-BO1118)*BO1122/1000),0)</f>
        <v>1.4154340818363272E-4</v>
      </c>
      <c r="BP1123" s="89">
        <f t="shared" ref="BP1123" si="2315">IFERROR(+IF((BP1121*1000-BP1118)*BP1122/1000&lt;=0,0,(BP1121-BP1118)*BP1122/1000),0)</f>
        <v>1.4154340818363272E-4</v>
      </c>
      <c r="BQ1123" s="89">
        <f t="shared" ref="BQ1123" si="2316">IFERROR(+IF((BQ1121*1000-BQ1118)*BQ1122/1000&lt;=0,0,(BQ1121-BQ1118)*BQ1122/1000),0)</f>
        <v>1.4154340818363272E-4</v>
      </c>
      <c r="BR1123" s="89">
        <f t="shared" ref="BR1123" si="2317">IFERROR(+IF((BR1121*1000-BR1118)*BR1122/1000&lt;=0,0,(BR1121-BR1118)*BR1122/1000),0)</f>
        <v>1.4154340818363272E-4</v>
      </c>
      <c r="BS1123" s="89">
        <f t="shared" ref="BS1123" si="2318">IFERROR(+IF((BS1121*1000-BS1118)*BS1122/1000&lt;=0,0,(BS1121-BS1118)*BS1122/1000),0)</f>
        <v>1.4154340818363272E-4</v>
      </c>
      <c r="BT1123" s="89">
        <f t="shared" ref="BT1123" si="2319">IFERROR(+IF((BT1121*1000-BT1118)*BT1122/1000&lt;=0,0,(BT1121-BT1118)*BT1122/1000),0)</f>
        <v>1.4154340818363272E-4</v>
      </c>
      <c r="BU1123" s="89">
        <f t="shared" ref="BU1123" si="2320">IFERROR(+IF((BU1121*1000-BU1118)*BU1122/1000&lt;=0,0,(BU1121-BU1118)*BU1122/1000),0)</f>
        <v>1.4154340818363272E-4</v>
      </c>
      <c r="BV1123" s="89">
        <f t="shared" ref="BV1123" si="2321">IFERROR(+IF((BV1121*1000-BV1118)*BV1122/1000&lt;=0,0,(BV1121-BV1118)*BV1122/1000),0)</f>
        <v>1.4154340818363272E-4</v>
      </c>
      <c r="BW1123" s="89">
        <f t="shared" ref="BW1123" si="2322">IFERROR(+IF((BW1121*1000-BW1118)*BW1122/1000&lt;=0,0,(BW1121-BW1118)*BW1122/1000),0)</f>
        <v>1.4154340818363272E-4</v>
      </c>
      <c r="BX1123" s="89">
        <f t="shared" ref="BX1123" si="2323">IFERROR(+IF((BX1121*1000-BX1118)*BX1122/1000&lt;=0,0,(BX1121-BX1118)*BX1122/1000),0)</f>
        <v>1.4154340818363272E-4</v>
      </c>
      <c r="BY1123" s="89">
        <f t="shared" ref="BY1123" si="2324">IFERROR(+IF((BY1121*1000-BY1118)*BY1122/1000&lt;=0,0,(BY1121-BY1118)*BY1122/1000),0)</f>
        <v>1.4154340818363272E-4</v>
      </c>
    </row>
    <row r="1124" spans="5:77" outlineLevel="1">
      <c r="E1124" t="s">
        <v>571</v>
      </c>
      <c r="F1124" s="80" t="s">
        <v>572</v>
      </c>
      <c r="H1124" s="89">
        <f>IF(H1118=0,0,+Assumptions!$G$389/(H1121*H1122))</f>
        <v>0</v>
      </c>
      <c r="I1124" s="89">
        <f>IF(I1118=0,0,+Assumptions!$G$389/(I1121*I1122))</f>
        <v>0</v>
      </c>
      <c r="J1124" s="89">
        <f>IF(J1118=0,0,+Assumptions!$G$389/(J1121*J1122))</f>
        <v>0</v>
      </c>
      <c r="K1124" s="89">
        <f>IF(K1118=0,0,+Assumptions!$G$389/(K1121*K1122))</f>
        <v>0</v>
      </c>
      <c r="L1124" s="89">
        <f>IF(L1118=0,0,+Assumptions!$G$389/(L1121*L1122))</f>
        <v>0</v>
      </c>
      <c r="M1124" s="89">
        <f>IF(M1118=0,0,+Assumptions!$G$389/(M1121*M1122))</f>
        <v>0</v>
      </c>
      <c r="N1124" s="89">
        <f>IF(N1118=0,0,+Assumptions!$G$389/(N1121*N1122))</f>
        <v>0</v>
      </c>
      <c r="O1124" s="89">
        <f>IF(O1118=0,0,+Assumptions!$G$389/(O1121*O1122))</f>
        <v>0</v>
      </c>
      <c r="P1124" s="89">
        <f>IF(P1118=0,0,+Assumptions!$G$389/(P1121*P1122))</f>
        <v>0</v>
      </c>
      <c r="Q1124" s="89">
        <f>IF(Q1118=0,0,+Assumptions!$G$389/(Q1121*Q1122))</f>
        <v>0</v>
      </c>
      <c r="R1124" s="89">
        <f>IF(R1118=0,0,+Assumptions!$G$389/(R1121*R1122))</f>
        <v>0</v>
      </c>
      <c r="S1124" s="89">
        <f>IF(S1118=0,0,+Assumptions!$G$389/(S1121*S1122))</f>
        <v>0</v>
      </c>
      <c r="T1124" s="89">
        <f>IF(T1118=0,0,+Assumptions!$G$389/(T1121*T1122))</f>
        <v>0</v>
      </c>
      <c r="U1124" s="89">
        <f>IF(U1118=0,0,+Assumptions!$G$389/(U1121*U1122))</f>
        <v>0</v>
      </c>
      <c r="V1124" s="89">
        <f>IF(V1118=0,0,+Assumptions!$G$389/(V1121*V1122))</f>
        <v>0</v>
      </c>
      <c r="W1124" s="89">
        <f>IF(W1118=0,0,+Assumptions!$G$389/(W1121*W1122))</f>
        <v>0</v>
      </c>
      <c r="X1124" s="89">
        <f>IF(X1118=0,0,+Assumptions!$G$389/(X1121*X1122))</f>
        <v>0</v>
      </c>
      <c r="Y1124" s="89">
        <f>IF(Y1118=0,0,+Assumptions!$G$389/(Y1121*Y1122))</f>
        <v>0</v>
      </c>
      <c r="Z1124" s="89">
        <f>IF(Z1118=0,0,+Assumptions!$G$389/(Z1121*Z1122))</f>
        <v>0</v>
      </c>
      <c r="AA1124" s="89">
        <f>IF(AA1118=0,0,+Assumptions!$G$389/(AA1121*AA1122))</f>
        <v>0</v>
      </c>
      <c r="AB1124" s="89">
        <f>IF(AB1118=0,0,+Assumptions!$G$389/(AB1121*AB1122))</f>
        <v>0</v>
      </c>
      <c r="AC1124" s="89">
        <f>IF(AC1118=0,0,+Assumptions!$G$389/(AC1121*AC1122))</f>
        <v>0</v>
      </c>
      <c r="AD1124" s="89">
        <f>IF(AD1118=0,0,+Assumptions!$G$389/(AD1121*AD1122))</f>
        <v>0</v>
      </c>
      <c r="AE1124" s="89">
        <f>IF(AE1118=0,0,+Assumptions!$G$389/(AE1121*AE1122))</f>
        <v>0</v>
      </c>
      <c r="AF1124" s="89">
        <f>IF(AF1118=0,0,+Assumptions!$G$389/(AF1121*AF1122))</f>
        <v>0</v>
      </c>
      <c r="AG1124" s="89">
        <f>IF(AG1118=0,0,+Assumptions!$G$389/(AG1121*AG1122))</f>
        <v>0</v>
      </c>
      <c r="AH1124" s="89">
        <f>IF(AH1118=0,0,+Assumptions!$G$389/(AH1121*AH1122))</f>
        <v>0</v>
      </c>
      <c r="AI1124" s="89">
        <f>IF(AI1118=0,0,+Assumptions!$G$389/(AI1121*AI1122))</f>
        <v>0</v>
      </c>
      <c r="AJ1124" s="89">
        <f>IF(AJ1118=0,0,+Assumptions!$G$389/(AJ1121*AJ1122))</f>
        <v>0</v>
      </c>
      <c r="AK1124" s="89">
        <f>IF(AK1118=0,0,+Assumptions!$G$389/(AK1121*AK1122))</f>
        <v>0</v>
      </c>
      <c r="AL1124" s="89">
        <f>IF(AL1118=0,0,+Assumptions!$G$389/(AL1121*AL1122))</f>
        <v>0</v>
      </c>
      <c r="AM1124" s="89">
        <f>IF(AM1118=0,0,+Assumptions!$G$389/(AM1121*AM1122))</f>
        <v>0</v>
      </c>
      <c r="AN1124" s="89">
        <f>IF(AN1118=0,0,+Assumptions!$G$389/(AN1121*AN1122))</f>
        <v>0</v>
      </c>
      <c r="AO1124" s="89">
        <f>IF(AO1118=0,0,+Assumptions!$G$389/(AO1121*AO1122))</f>
        <v>0</v>
      </c>
      <c r="AP1124" s="89">
        <f>IF(AP1118=0,0,+Assumptions!$G$389/(AP1121*AP1122))</f>
        <v>0</v>
      </c>
      <c r="AQ1124" s="89">
        <f>IF(AQ1118=0,0,+Assumptions!$G$389/(AQ1121*AQ1122))</f>
        <v>0</v>
      </c>
      <c r="AR1124" s="89">
        <f>IF(AR1118=0,0,+Assumptions!$G$389/(AR1121*AR1122))</f>
        <v>0</v>
      </c>
      <c r="AS1124" s="89">
        <f>IF(AS1118=0,0,+Assumptions!$G$389/(AS1121*AS1122))</f>
        <v>0</v>
      </c>
      <c r="AT1124" s="89">
        <f>IF(AT1118=0,0,+Assumptions!$G$389/(AT1121*AT1122))</f>
        <v>0</v>
      </c>
      <c r="AU1124" s="89">
        <f>IF(AU1118=0,0,+Assumptions!$G$389/(AU1121*AU1122))</f>
        <v>0</v>
      </c>
      <c r="AV1124" s="89">
        <f>IF(AV1118=0,0,+Assumptions!$G$389/(AV1121*AV1122))</f>
        <v>0</v>
      </c>
      <c r="AW1124" s="89">
        <f>IF(AW1118=0,0,+Assumptions!$G$389/(AW1121*AW1122))</f>
        <v>0</v>
      </c>
      <c r="AX1124" s="89">
        <f>IF(AX1118=0,0,+Assumptions!$G$389/(AX1121*AX1122))</f>
        <v>0</v>
      </c>
      <c r="AY1124" s="89">
        <f>IF(AY1118=0,0,+Assumptions!$G$389/(AY1121*AY1122))</f>
        <v>0</v>
      </c>
      <c r="AZ1124" s="89">
        <f>IF(AZ1118=0,0,+Assumptions!$G$389/(AZ1121*AZ1122))</f>
        <v>0</v>
      </c>
      <c r="BA1124" s="89">
        <f>IF(BA1118=0,0,+Assumptions!$G$389/(BA1121*BA1122))</f>
        <v>0</v>
      </c>
      <c r="BB1124" s="89">
        <f>IF(BB1118=0,0,+Assumptions!$G$389/(BB1121*BB1122))</f>
        <v>0</v>
      </c>
      <c r="BC1124" s="89">
        <f>IF(BC1118=0,0,+Assumptions!$G$389/(BC1121*BC1122))</f>
        <v>0</v>
      </c>
      <c r="BD1124" s="89">
        <f>IF(BD1118=0,0,+Assumptions!$G$389/(BD1121*BD1122))</f>
        <v>0</v>
      </c>
      <c r="BE1124" s="89">
        <f>IF(BE1118=0,0,+Assumptions!$G$389/(BE1121*BE1122))</f>
        <v>0</v>
      </c>
      <c r="BF1124" s="89">
        <f>IF(BF1118=0,0,+Assumptions!$G$389/(BF1121*BF1122))</f>
        <v>0</v>
      </c>
      <c r="BG1124" s="89">
        <f>IF(BG1118=0,0,+Assumptions!$G$389/(BG1121*BG1122))</f>
        <v>0</v>
      </c>
      <c r="BH1124" s="89">
        <f>IF(BH1118=0,0,+Assumptions!$G$389/(BH1121*BH1122))</f>
        <v>0</v>
      </c>
      <c r="BI1124" s="89">
        <f>IF(BI1118=0,0,+Assumptions!$G$389/(BI1121*BI1122))</f>
        <v>0</v>
      </c>
      <c r="BJ1124" s="89">
        <f>IF(BJ1118=0,0,+Assumptions!$G$389/(BJ1121*BJ1122))</f>
        <v>0</v>
      </c>
      <c r="BK1124" s="89">
        <f>IF(BK1118=0,0,+Assumptions!$G$389/(BK1121*BK1122))</f>
        <v>0</v>
      </c>
      <c r="BL1124" s="89">
        <f>IF(BL1118=0,0,+Assumptions!$G$389/(BL1121*BL1122))</f>
        <v>0</v>
      </c>
      <c r="BM1124" s="89">
        <f>IF(BM1118=0,0,+Assumptions!$G$389/(BM1121*BM1122))</f>
        <v>0</v>
      </c>
      <c r="BN1124" s="89">
        <f>IF(BN1118=0,0,+Assumptions!$G$389/(BN1121*BN1122))</f>
        <v>0</v>
      </c>
      <c r="BO1124" s="89">
        <f>IF(BO1118=0,0,+Assumptions!$G$389/(BO1121*BO1122))</f>
        <v>0</v>
      </c>
      <c r="BP1124" s="89">
        <f>IF(BP1118=0,0,+Assumptions!$G$389/(BP1121*BP1122))</f>
        <v>0</v>
      </c>
      <c r="BQ1124" s="89">
        <f>IF(BQ1118=0,0,+Assumptions!$G$389/(BQ1121*BQ1122))</f>
        <v>0</v>
      </c>
      <c r="BR1124" s="89">
        <f>IF(BR1118=0,0,+Assumptions!$G$389/(BR1121*BR1122))</f>
        <v>0</v>
      </c>
      <c r="BS1124" s="89">
        <f>IF(BS1118=0,0,+Assumptions!$G$389/(BS1121*BS1122))</f>
        <v>0</v>
      </c>
      <c r="BT1124" s="89">
        <f>IF(BT1118=0,0,+Assumptions!$G$389/(BT1121*BT1122))</f>
        <v>0</v>
      </c>
      <c r="BU1124" s="89">
        <f>IF(BU1118=0,0,+Assumptions!$G$389/(BU1121*BU1122))</f>
        <v>0</v>
      </c>
      <c r="BV1124" s="89">
        <f>IF(BV1118=0,0,+Assumptions!$G$389/(BV1121*BV1122))</f>
        <v>0</v>
      </c>
      <c r="BW1124" s="89">
        <f>IF(BW1118=0,0,+Assumptions!$G$389/(BW1121*BW1122))</f>
        <v>0</v>
      </c>
      <c r="BX1124" s="89">
        <f>IF(BX1118=0,0,+Assumptions!$G$389/(BX1121*BX1122))</f>
        <v>0</v>
      </c>
      <c r="BY1124" s="89">
        <f>IF(BY1118=0,0,+Assumptions!$G$389/(BY1121*BY1122))</f>
        <v>0</v>
      </c>
    </row>
    <row r="1125" spans="5:77" outlineLevel="1">
      <c r="E1125" t="s">
        <v>547</v>
      </c>
      <c r="F1125" s="23" t="s">
        <v>573</v>
      </c>
      <c r="H1125" s="33">
        <f>+H1123*H1124*H1120/Data_tables!$M$20*H434</f>
        <v>0</v>
      </c>
      <c r="I1125" s="33">
        <f>+I1123*I1124*I1120/Data_tables!$M$20*I434</f>
        <v>0</v>
      </c>
      <c r="J1125" s="33">
        <f>+J1123*J1124*J1120/Data_tables!$M$20*J434</f>
        <v>0</v>
      </c>
      <c r="K1125" s="33">
        <f>+K1123*K1124*K1120/Data_tables!$M$20*K434</f>
        <v>0</v>
      </c>
      <c r="L1125" s="33">
        <f>+L1123*L1124*L1120/Data_tables!$M$20*L434</f>
        <v>0</v>
      </c>
      <c r="M1125" s="33">
        <f>+M1123*M1124*M1120/Data_tables!$M$20*M434</f>
        <v>0</v>
      </c>
      <c r="N1125" s="33">
        <f>+N1123*N1124*N1120/Data_tables!$M$20*N434</f>
        <v>0</v>
      </c>
      <c r="O1125" s="33">
        <f>+O1123*O1124*O1120/Data_tables!$M$20*O434</f>
        <v>0</v>
      </c>
      <c r="P1125" s="33">
        <f>+P1123*P1124*P1120/Data_tables!$M$20*P434</f>
        <v>0</v>
      </c>
      <c r="Q1125" s="33">
        <f>+Q1123*Q1124*Q1120/Data_tables!$M$20*Q434</f>
        <v>0</v>
      </c>
      <c r="R1125" s="33">
        <f>+R1123*R1124*R1120/Data_tables!$M$20*R434</f>
        <v>0</v>
      </c>
      <c r="S1125" s="33">
        <f>+S1123*S1124*S1120/Data_tables!$M$20*S434</f>
        <v>0</v>
      </c>
      <c r="T1125" s="33">
        <f>+T1123*T1124*T1120/Data_tables!$M$20*T434</f>
        <v>0</v>
      </c>
      <c r="U1125" s="33">
        <f>+U1123*U1124*U1120/Data_tables!$M$20*U434</f>
        <v>0</v>
      </c>
      <c r="V1125" s="33">
        <f>+V1123*V1124*V1120/Data_tables!$M$20*V434</f>
        <v>0</v>
      </c>
      <c r="W1125" s="33">
        <f>+W1123*W1124*W1120/Data_tables!$M$20*W434</f>
        <v>0</v>
      </c>
      <c r="X1125" s="33">
        <f>+X1123*X1124*X1120/Data_tables!$M$20*X434</f>
        <v>0</v>
      </c>
      <c r="Y1125" s="33">
        <f>+Y1123*Y1124*Y1120/Data_tables!$M$20*Y434</f>
        <v>0</v>
      </c>
      <c r="Z1125" s="33">
        <f>+Z1123*Z1124*Z1120/Data_tables!$M$20*Z434</f>
        <v>0</v>
      </c>
      <c r="AA1125" s="33">
        <f>+AA1123*AA1124*AA1120/Data_tables!$M$20*AA434</f>
        <v>0</v>
      </c>
      <c r="AB1125" s="33">
        <f>+AB1123*AB1124*AB1120/Data_tables!$M$20*AB434</f>
        <v>0</v>
      </c>
      <c r="AC1125" s="33">
        <f>+AC1123*AC1124*AC1120/Data_tables!$M$20*AC434</f>
        <v>0</v>
      </c>
      <c r="AD1125" s="33">
        <f>+AD1123*AD1124*AD1120/Data_tables!$M$20*AD434</f>
        <v>0</v>
      </c>
      <c r="AE1125" s="33">
        <f>+AE1123*AE1124*AE1120/Data_tables!$M$20*AE434</f>
        <v>0</v>
      </c>
      <c r="AF1125" s="33">
        <f>+AF1123*AF1124*AF1120/Data_tables!$M$20*AF434</f>
        <v>0</v>
      </c>
      <c r="AG1125" s="33">
        <f>+AG1123*AG1124*AG1120/Data_tables!$M$20*AG434</f>
        <v>0</v>
      </c>
      <c r="AH1125" s="33">
        <f>+AH1123*AH1124*AH1120/Data_tables!$M$20*AH434</f>
        <v>0</v>
      </c>
      <c r="AI1125" s="33">
        <f>+AI1123*AI1124*AI1120/Data_tables!$M$20*AI434</f>
        <v>0</v>
      </c>
      <c r="AJ1125" s="33">
        <f>+AJ1123*AJ1124*AJ1120/Data_tables!$M$20*AJ434</f>
        <v>0</v>
      </c>
      <c r="AK1125" s="33">
        <f>+AK1123*AK1124*AK1120/Data_tables!$M$20*AK434</f>
        <v>0</v>
      </c>
      <c r="AL1125" s="33">
        <f>+AL1123*AL1124*AL1120/Data_tables!$M$20*AL434</f>
        <v>0</v>
      </c>
      <c r="AM1125" s="33">
        <f>+AM1123*AM1124*AM1120/Data_tables!$M$20*AM434</f>
        <v>0</v>
      </c>
      <c r="AN1125" s="33">
        <f>+AN1123*AN1124*AN1120/Data_tables!$M$20*AN434</f>
        <v>0</v>
      </c>
      <c r="AO1125" s="33">
        <f>+AO1123*AO1124*AO1120/Data_tables!$M$20*AO434</f>
        <v>0</v>
      </c>
      <c r="AP1125" s="33">
        <f>+AP1123*AP1124*AP1120/Data_tables!$M$20*AP434</f>
        <v>0</v>
      </c>
      <c r="AQ1125" s="33">
        <f>+AQ1123*AQ1124*AQ1120/Data_tables!$M$20*AQ434</f>
        <v>0</v>
      </c>
      <c r="AR1125" s="33">
        <f>+AR1123*AR1124*AR1120/Data_tables!$M$20*AR434</f>
        <v>0</v>
      </c>
      <c r="AS1125" s="33">
        <f>+AS1123*AS1124*AS1120/Data_tables!$M$20*AS434</f>
        <v>0</v>
      </c>
      <c r="AT1125" s="33">
        <f>+AT1123*AT1124*AT1120/Data_tables!$M$20*AT434</f>
        <v>0</v>
      </c>
      <c r="AU1125" s="33">
        <f>+AU1123*AU1124*AU1120/Data_tables!$M$20*AU434</f>
        <v>0</v>
      </c>
      <c r="AV1125" s="33">
        <f>+AV1123*AV1124*AV1120/Data_tables!$M$20*AV434</f>
        <v>0</v>
      </c>
      <c r="AW1125" s="33">
        <f>+AW1123*AW1124*AW1120/Data_tables!$M$20*AW434</f>
        <v>0</v>
      </c>
      <c r="AX1125" s="33">
        <f>+AX1123*AX1124*AX1120/Data_tables!$M$20*AX434</f>
        <v>0</v>
      </c>
      <c r="AY1125" s="33">
        <f>+AY1123*AY1124*AY1120/Data_tables!$M$20*AY434</f>
        <v>0</v>
      </c>
      <c r="AZ1125" s="33">
        <f>+AZ1123*AZ1124*AZ1120/Data_tables!$M$20*AZ434</f>
        <v>0</v>
      </c>
      <c r="BA1125" s="33">
        <f>+BA1123*BA1124*BA1120/Data_tables!$M$20*BA434</f>
        <v>0</v>
      </c>
      <c r="BB1125" s="33">
        <f>+BB1123*BB1124*BB1120/Data_tables!$M$20*BB434</f>
        <v>0</v>
      </c>
      <c r="BC1125" s="33">
        <f>+BC1123*BC1124*BC1120/Data_tables!$M$20*BC434</f>
        <v>0</v>
      </c>
      <c r="BD1125" s="33">
        <f>+BD1123*BD1124*BD1120/Data_tables!$M$20*BD434</f>
        <v>0</v>
      </c>
      <c r="BE1125" s="33">
        <f>+BE1123*BE1124*BE1120/Data_tables!$M$20*BE434</f>
        <v>0</v>
      </c>
      <c r="BF1125" s="33">
        <f>+BF1123*BF1124*BF1120/Data_tables!$M$20*BF434</f>
        <v>0</v>
      </c>
      <c r="BG1125" s="33">
        <f>+BG1123*BG1124*BG1120/Data_tables!$M$20*BG434</f>
        <v>0</v>
      </c>
      <c r="BH1125" s="33">
        <f>+BH1123*BH1124*BH1120/Data_tables!$M$20*BH434</f>
        <v>0</v>
      </c>
      <c r="BI1125" s="33">
        <f>+BI1123*BI1124*BI1120/Data_tables!$M$20*BI434</f>
        <v>0</v>
      </c>
      <c r="BJ1125" s="33">
        <f>+BJ1123*BJ1124*BJ1120/Data_tables!$M$20*BJ434</f>
        <v>0</v>
      </c>
      <c r="BK1125" s="33">
        <f>+BK1123*BK1124*BK1120/Data_tables!$M$20*BK434</f>
        <v>0</v>
      </c>
      <c r="BL1125" s="33">
        <f>+BL1123*BL1124*BL1120/Data_tables!$M$20*BL434</f>
        <v>0</v>
      </c>
      <c r="BM1125" s="33">
        <f>+BM1123*BM1124*BM1120/Data_tables!$M$20*BM434</f>
        <v>0</v>
      </c>
      <c r="BN1125" s="33">
        <f>+BN1123*BN1124*BN1120/Data_tables!$M$20*BN434</f>
        <v>0</v>
      </c>
      <c r="BO1125" s="33">
        <f>+BO1123*BO1124*BO1120/Data_tables!$M$20*BO434</f>
        <v>0</v>
      </c>
      <c r="BP1125" s="33">
        <f>+BP1123*BP1124*BP1120/Data_tables!$M$20*BP434</f>
        <v>0</v>
      </c>
      <c r="BQ1125" s="33">
        <f>+BQ1123*BQ1124*BQ1120/Data_tables!$M$20*BQ434</f>
        <v>0</v>
      </c>
      <c r="BR1125" s="33">
        <f>+BR1123*BR1124*BR1120/Data_tables!$M$20*BR434</f>
        <v>0</v>
      </c>
      <c r="BS1125" s="33">
        <f>+BS1123*BS1124*BS1120/Data_tables!$M$20*BS434</f>
        <v>0</v>
      </c>
      <c r="BT1125" s="33">
        <f>+BT1123*BT1124*BT1120/Data_tables!$M$20*BT434</f>
        <v>0</v>
      </c>
      <c r="BU1125" s="33">
        <f>+BU1123*BU1124*BU1120/Data_tables!$M$20*BU434</f>
        <v>0</v>
      </c>
      <c r="BV1125" s="33">
        <f>+BV1123*BV1124*BV1120/Data_tables!$M$20*BV434</f>
        <v>0</v>
      </c>
      <c r="BW1125" s="33">
        <f>+BW1123*BW1124*BW1120/Data_tables!$M$20*BW434</f>
        <v>0</v>
      </c>
      <c r="BX1125" s="33">
        <f>+BX1123*BX1124*BX1120/Data_tables!$M$20*BX434</f>
        <v>0</v>
      </c>
      <c r="BY1125" s="33">
        <f>+BY1123*BY1124*BY1120/Data_tables!$M$20*BY434</f>
        <v>0</v>
      </c>
    </row>
    <row r="1126" spans="5:77" outlineLevel="1">
      <c r="E1126" s="25" t="s">
        <v>243</v>
      </c>
      <c r="F1126" s="81" t="s">
        <v>423</v>
      </c>
      <c r="G1126" s="25"/>
      <c r="H1126" s="105">
        <f ca="1">1/(1+Assumptions!$G$356)*IF(G1126=0,1,G1126)</f>
        <v>0.95979422011920645</v>
      </c>
      <c r="I1126" s="105">
        <f ca="1">1/(1+Assumptions!$G$356)*IF(H1126=0,1,H1126)</f>
        <v>0.92120494497423577</v>
      </c>
      <c r="J1126" s="105">
        <f ca="1">1/(1+Assumptions!$G$356)*IF(I1126=0,1,I1126)</f>
        <v>0.8841671817315031</v>
      </c>
      <c r="K1126" s="105">
        <f ca="1">1/(1+Assumptions!$G$356)*IF(J1126=0,1,J1126)</f>
        <v>0.8486185506449847</v>
      </c>
      <c r="L1126" s="105">
        <f ca="1">1/(1+Assumptions!$G$356)*IF(K1126=0,1,K1126)</f>
        <v>0.81449917999499444</v>
      </c>
      <c r="M1126" s="105">
        <f ca="1">1/(1+Assumptions!$G$356)*IF(L1126=0,1,L1126)</f>
        <v>0.78175160525102882</v>
      </c>
      <c r="N1126" s="105">
        <f ca="1">1/(1+Assumptions!$G$356)*IF(M1126=0,1,M1126)</f>
        <v>0.75032067228884891</v>
      </c>
      <c r="O1126" s="105">
        <f ca="1">1/(1+Assumptions!$G$356)*IF(N1126=0,1,N1126)</f>
        <v>0.72015344449879437</v>
      </c>
      <c r="P1126" s="105">
        <f ca="1">1/(1+Assumptions!$G$356)*IF(O1126=0,1,O1126)</f>
        <v>0.69119911362888053</v>
      </c>
      <c r="Q1126" s="105">
        <f ca="1">1/(1+Assumptions!$G$356)*IF(P1126=0,1,P1126)</f>
        <v>0.66340891421251813</v>
      </c>
      <c r="R1126" s="105">
        <f ca="1">1/(1+Assumptions!$G$356)*IF(Q1126=0,1,Q1126)</f>
        <v>0.63673604143673335</v>
      </c>
      <c r="S1126" s="105">
        <f ca="1">1/(1+Assumptions!$G$356)*IF(R1126=0,1,R1126)</f>
        <v>0.61113557231256022</v>
      </c>
      <c r="T1126" s="105">
        <f ca="1">1/(1+Assumptions!$G$356)*IF(S1126=0,1,S1126)</f>
        <v>0.58656439001483862</v>
      </c>
      <c r="U1126" s="105">
        <f ca="1">1/(1+Assumptions!$G$356)*IF(T1126=0,1,T1126)</f>
        <v>0.56298111126399009</v>
      </c>
      <c r="V1126" s="105">
        <f ca="1">1/(1+Assumptions!$G$356)*IF(U1126=0,1,U1126)</f>
        <v>0.54034601662746551</v>
      </c>
      <c r="W1126" s="105">
        <f ca="1">1/(1+Assumptions!$G$356)*IF(V1126=0,1,V1126)</f>
        <v>0.51862098362347797</v>
      </c>
      <c r="X1126" s="105">
        <f ca="1">1/(1+Assumptions!$G$356)*IF(W1126=0,1,W1126)</f>
        <v>0.4977694225143518</v>
      </c>
      <c r="Y1126" s="105">
        <f ca="1">1/(1+Assumptions!$G$356)*IF(X1126=0,1,X1126)</f>
        <v>0.47775621468135004</v>
      </c>
      <c r="Z1126" s="105">
        <f ca="1">1/(1+Assumptions!$G$356)*IF(Y1126=0,1,Y1126)</f>
        <v>0.45854765347719056</v>
      </c>
      <c r="AA1126" s="105">
        <f ca="1">1/(1+Assumptions!$G$356)*IF(Z1126=0,1,Z1126)</f>
        <v>0.44011138745663225</v>
      </c>
      <c r="AB1126" s="105">
        <f ca="1">1/(1+Assumptions!$G$356)*IF(AA1126=0,1,AA1126)</f>
        <v>0.42241636588952025</v>
      </c>
      <c r="AC1126" s="105">
        <f ca="1">1/(1+Assumptions!$G$356)*IF(AB1126=0,1,AB1126)</f>
        <v>0.40543278646452147</v>
      </c>
      <c r="AD1126" s="105">
        <f ca="1">1/(1+Assumptions!$G$356)*IF(AC1126=0,1,AC1126)</f>
        <v>0.38913204509547217</v>
      </c>
      <c r="AE1126" s="105">
        <f ca="1">1/(1+Assumptions!$G$356)*IF(AD1126=0,1,AD1126)</f>
        <v>0.37348668774580057</v>
      </c>
      <c r="AF1126" s="105">
        <f ca="1">1/(1+Assumptions!$G$356)*IF(AE1126=0,1,AE1126)</f>
        <v>0.35847036418988626</v>
      </c>
      <c r="AG1126" s="105">
        <f ca="1">1/(1+Assumptions!$G$356)*IF(AF1126=0,1,AF1126)</f>
        <v>0.34405778363347977</v>
      </c>
      <c r="AH1126" s="105">
        <f ca="1">1/(1+Assumptions!$G$356)*IF(AG1126=0,1,AG1126)</f>
        <v>0.33022467211843837</v>
      </c>
      <c r="AI1126" s="105">
        <f ca="1">1/(1+Assumptions!$G$356)*IF(AH1126=0,1,AH1126)</f>
        <v>0.3169477316400372</v>
      </c>
      <c r="AJ1126" s="105">
        <f ca="1">1/(1+Assumptions!$G$356)*IF(AI1126=0,1,AI1126)</f>
        <v>0.30420460090800105</v>
      </c>
      <c r="AK1126" s="105">
        <f ca="1">1/(1+Assumptions!$G$356)*IF(AJ1126=0,1,AJ1126)</f>
        <v>0.29197381768516933</v>
      </c>
      <c r="AL1126" s="105">
        <f ca="1">1/(1+Assumptions!$G$356)*IF(AK1126=0,1,AK1126)</f>
        <v>0.28023478264036444</v>
      </c>
      <c r="AM1126" s="105">
        <f ca="1">1/(1+Assumptions!$G$356)*IF(AL1126=0,1,AL1126)</f>
        <v>0.26896772465458391</v>
      </c>
      <c r="AN1126" s="105">
        <f ca="1">1/(1+Assumptions!$G$356)*IF(AM1126=0,1,AM1126)</f>
        <v>0.2581536675220838</v>
      </c>
      <c r="AO1126" s="105">
        <f ca="1">1/(1+Assumptions!$G$356)*IF(AN1126=0,1,AN1126)</f>
        <v>0.24777439799027134</v>
      </c>
      <c r="AP1126" s="105">
        <f ca="1">1/(1+Assumptions!$G$356)*IF(AO1126=0,1,AO1126)</f>
        <v>0.23781243508457836</v>
      </c>
      <c r="AQ1126" s="105">
        <f ca="1">1/(1+Assumptions!$G$356)*IF(AP1126=0,1,AP1126)</f>
        <v>0.2282510006666523</v>
      </c>
      <c r="AR1126" s="105">
        <f ca="1">1/(1+Assumptions!$G$356)*IF(AQ1126=0,1,AQ1126)</f>
        <v>0.21907399117627802</v>
      </c>
      <c r="AS1126" s="105">
        <f ca="1">1/(1+Assumptions!$G$356)*IF(AR1126=0,1,AR1126)</f>
        <v>0.21026595050943767</v>
      </c>
      <c r="AT1126" s="105">
        <f ca="1">1/(1+Assumptions!$G$356)*IF(AS1126=0,1,AS1126)</f>
        <v>0.20181204398682939</v>
      </c>
      <c r="AU1126" s="105">
        <f ca="1">1/(1+Assumptions!$G$356)*IF(AT1126=0,1,AT1126)</f>
        <v>0.1936980333690019</v>
      </c>
      <c r="AV1126" s="105">
        <f ca="1">1/(1+Assumptions!$G$356)*IF(AU1126=0,1,AU1126)</f>
        <v>0.18591025287602522</v>
      </c>
      <c r="AW1126" s="105">
        <f ca="1">1/(1+Assumptions!$G$356)*IF(AV1126=0,1,AV1126)</f>
        <v>0.17843558617130909</v>
      </c>
      <c r="AX1126" s="105">
        <f ca="1">1/(1+Assumptions!$G$356)*IF(AW1126=0,1,AW1126)</f>
        <v>0.17126144427080506</v>
      </c>
      <c r="AY1126" s="105">
        <f ca="1">1/(1+Assumptions!$G$356)*IF(AX1126=0,1,AX1126)</f>
        <v>0.16437574434038627</v>
      </c>
      <c r="AZ1126" s="105">
        <f ca="1">1/(1+Assumptions!$G$356)*IF(AY1126=0,1,AY1126)</f>
        <v>0.1577668893456951</v>
      </c>
      <c r="BA1126" s="105">
        <f ca="1">1/(1+Assumptions!$G$356)*IF(AZ1126=0,1,AZ1126)</f>
        <v>0.15142374852018459</v>
      </c>
      <c r="BB1126" s="105">
        <f ca="1">1/(1+Assumptions!$G$356)*IF(BA1126=0,1,BA1126)</f>
        <v>0.14533563861845741</v>
      </c>
      <c r="BC1126" s="105">
        <f ca="1">1/(1+Assumptions!$G$356)*IF(BB1126=0,1,BB1126)</f>
        <v>0.13949230592332915</v>
      </c>
      <c r="BD1126" s="105">
        <f ca="1">1/(1+Assumptions!$G$356)*IF(BC1126=0,1,BC1126)</f>
        <v>0.13388390897631147</v>
      </c>
      <c r="BE1126" s="105">
        <f ca="1">1/(1+Assumptions!$G$356)*IF(BD1126=0,1,BD1126)</f>
        <v>0.1285010020024297</v>
      </c>
      <c r="BF1126" s="105">
        <f ca="1">1/(1+Assumptions!$G$356)*IF(BE1126=0,1,BE1126)</f>
        <v>0.1233345190014586</v>
      </c>
      <c r="BG1126" s="105">
        <f ca="1">1/(1+Assumptions!$G$356)*IF(BF1126=0,1,BF1126)</f>
        <v>0.11837575847878241</v>
      </c>
      <c r="BH1126" s="105">
        <f ca="1">1/(1+Assumptions!$G$356)*IF(BG1126=0,1,BG1126)</f>
        <v>0.11361636879016251</v>
      </c>
      <c r="BI1126" s="105">
        <f ca="1">1/(1+Assumptions!$G$356)*IF(BH1126=0,1,BH1126)</f>
        <v>0.10904833407573018</v>
      </c>
      <c r="BJ1126" s="105">
        <f ca="1">1/(1+Assumptions!$G$356)*IF(BI1126=0,1,BI1126)</f>
        <v>0.10466396075951413</v>
      </c>
      <c r="BK1126" s="105">
        <f ca="1">1/(1+Assumptions!$G$356)*IF(BJ1126=0,1,BJ1126)</f>
        <v>0.10045586459176509</v>
      </c>
      <c r="BL1126" s="105">
        <f ca="1">1/(1+Assumptions!$G$356)*IF(BK1126=0,1,BK1126)</f>
        <v>9.6416958212253781E-2</v>
      </c>
      <c r="BM1126" s="105">
        <f ca="1">1/(1+Assumptions!$G$356)*IF(BL1126=0,1,BL1126)</f>
        <v>9.254043921359624E-2</v>
      </c>
      <c r="BN1126" s="105">
        <f ca="1">1/(1+Assumptions!$G$356)*IF(BM1126=0,1,BM1126)</f>
        <v>8.8819778684502429E-2</v>
      </c>
      <c r="BO1126" s="105">
        <f ca="1">1/(1+Assumptions!$G$356)*IF(BN1126=0,1,BN1126)</f>
        <v>8.5248710213652532E-2</v>
      </c>
      <c r="BP1126" s="105">
        <f ca="1">1/(1+Assumptions!$G$356)*IF(BO1126=0,1,BO1126)</f>
        <v>8.1821219335680859E-2</v>
      </c>
      <c r="BQ1126" s="105">
        <f ca="1">1/(1+Assumptions!$G$356)*IF(BP1126=0,1,BP1126)</f>
        <v>7.853153340149234E-2</v>
      </c>
      <c r="BR1126" s="105">
        <f ca="1">1/(1+Assumptions!$G$356)*IF(BQ1126=0,1,BQ1126)</f>
        <v>7.5374111855850759E-2</v>
      </c>
      <c r="BS1126" s="105">
        <f ca="1">1/(1+Assumptions!$G$356)*IF(BR1126=0,1,BR1126)</f>
        <v>7.2343636905864109E-2</v>
      </c>
      <c r="BT1126" s="105">
        <f ca="1">1/(1+Assumptions!$G$356)*IF(BS1126=0,1,BS1126)</f>
        <v>6.943500456465089E-2</v>
      </c>
      <c r="BU1126" s="105">
        <f ca="1">1/(1+Assumptions!$G$356)*IF(BT1126=0,1,BT1126)</f>
        <v>6.6643316055102639E-2</v>
      </c>
      <c r="BV1126" s="105">
        <f ca="1">1/(1+Assumptions!$G$356)*IF(BU1126=0,1,BU1126)</f>
        <v>6.396386955926503E-2</v>
      </c>
      <c r="BW1126" s="105">
        <f ca="1">1/(1+Assumptions!$G$356)*IF(BV1126=0,1,BV1126)</f>
        <v>6.1392152299441428E-2</v>
      </c>
      <c r="BX1126" s="105">
        <f ca="1">1/(1+Assumptions!$G$356)*IF(BW1126=0,1,BW1126)</f>
        <v>5.8923832937681934E-2</v>
      </c>
      <c r="BY1126" s="105">
        <f ca="1">1/(1+Assumptions!$G$356)*IF(BX1126=0,1,BX1126)</f>
        <v>5.6554754280856843E-2</v>
      </c>
    </row>
    <row r="1127" spans="5:77" outlineLevel="1">
      <c r="E1127" t="s">
        <v>548</v>
      </c>
      <c r="F1127" s="80" t="s">
        <v>549</v>
      </c>
      <c r="H1127" s="33">
        <f ca="1">+H1126*H1125*Assumptions!$G$390</f>
        <v>0</v>
      </c>
      <c r="I1127" s="33">
        <f ca="1">+I1126*I1125*Assumptions!$G$390</f>
        <v>0</v>
      </c>
      <c r="J1127" s="33">
        <f ca="1">+J1126*J1125*Assumptions!$G$390</f>
        <v>0</v>
      </c>
      <c r="K1127" s="33">
        <f ca="1">+K1126*K1125*Assumptions!$G$390</f>
        <v>0</v>
      </c>
      <c r="L1127" s="33">
        <f ca="1">+L1126*L1125*Assumptions!$G$390</f>
        <v>0</v>
      </c>
      <c r="M1127" s="33">
        <f ca="1">+M1126*M1125*Assumptions!$G$390</f>
        <v>0</v>
      </c>
      <c r="N1127" s="33">
        <f ca="1">+N1126*N1125*Assumptions!$G$390</f>
        <v>0</v>
      </c>
      <c r="O1127" s="33">
        <f ca="1">+O1126*O1125*Assumptions!$G$390</f>
        <v>0</v>
      </c>
      <c r="P1127" s="33">
        <f ca="1">+P1126*P1125*Assumptions!$G$390</f>
        <v>0</v>
      </c>
      <c r="Q1127" s="33">
        <f ca="1">+Q1126*Q1125*Assumptions!$G$390</f>
        <v>0</v>
      </c>
      <c r="R1127" s="33">
        <f ca="1">+R1126*R1125*Assumptions!$G$390</f>
        <v>0</v>
      </c>
      <c r="S1127" s="33">
        <f ca="1">+S1126*S1125*Assumptions!$G$390</f>
        <v>0</v>
      </c>
      <c r="T1127" s="33">
        <f ca="1">+T1126*T1125*Assumptions!$G$390</f>
        <v>0</v>
      </c>
      <c r="U1127" s="33">
        <f ca="1">+U1126*U1125*Assumptions!$G$390</f>
        <v>0</v>
      </c>
      <c r="V1127" s="33">
        <f ca="1">+V1126*V1125*Assumptions!$G$390</f>
        <v>0</v>
      </c>
      <c r="W1127" s="33">
        <f ca="1">+W1126*W1125*Assumptions!$G$390</f>
        <v>0</v>
      </c>
      <c r="X1127" s="33">
        <f ca="1">+X1126*X1125*Assumptions!$G$390</f>
        <v>0</v>
      </c>
      <c r="Y1127" s="33">
        <f ca="1">+Y1126*Y1125*Assumptions!$G$390</f>
        <v>0</v>
      </c>
      <c r="Z1127" s="33">
        <f ca="1">+Z1126*Z1125*Assumptions!$G$390</f>
        <v>0</v>
      </c>
      <c r="AA1127" s="33">
        <f ca="1">+AA1126*AA1125*Assumptions!$G$390</f>
        <v>0</v>
      </c>
      <c r="AB1127" s="33">
        <f ca="1">+AB1126*AB1125*Assumptions!$G$390</f>
        <v>0</v>
      </c>
      <c r="AC1127" s="33">
        <f ca="1">+AC1126*AC1125*Assumptions!$G$390</f>
        <v>0</v>
      </c>
      <c r="AD1127" s="33">
        <f ca="1">+AD1126*AD1125*Assumptions!$G$390</f>
        <v>0</v>
      </c>
      <c r="AE1127" s="33">
        <f ca="1">+AE1126*AE1125*Assumptions!$G$390</f>
        <v>0</v>
      </c>
      <c r="AF1127" s="33">
        <f ca="1">+AF1126*AF1125*Assumptions!$G$390</f>
        <v>0</v>
      </c>
      <c r="AG1127" s="33">
        <f ca="1">+AG1126*AG1125*Assumptions!$G$390</f>
        <v>0</v>
      </c>
      <c r="AH1127" s="33">
        <f ca="1">+AH1126*AH1125*Assumptions!$G$390</f>
        <v>0</v>
      </c>
      <c r="AI1127" s="33">
        <f ca="1">+AI1126*AI1125*Assumptions!$G$390</f>
        <v>0</v>
      </c>
      <c r="AJ1127" s="33">
        <f ca="1">+AJ1126*AJ1125*Assumptions!$G$390</f>
        <v>0</v>
      </c>
      <c r="AK1127" s="33">
        <f ca="1">+AK1126*AK1125*Assumptions!$G$390</f>
        <v>0</v>
      </c>
      <c r="AL1127" s="33">
        <f ca="1">+AL1126*AL1125*Assumptions!$G$390</f>
        <v>0</v>
      </c>
      <c r="AM1127" s="33">
        <f ca="1">+AM1126*AM1125*Assumptions!$G$390</f>
        <v>0</v>
      </c>
      <c r="AN1127" s="33">
        <f ca="1">+AN1126*AN1125*Assumptions!$G$390</f>
        <v>0</v>
      </c>
      <c r="AO1127" s="33">
        <f ca="1">+AO1126*AO1125*Assumptions!$G$390</f>
        <v>0</v>
      </c>
      <c r="AP1127" s="33">
        <f ca="1">+AP1126*AP1125*Assumptions!$G$390</f>
        <v>0</v>
      </c>
      <c r="AQ1127" s="33">
        <f ca="1">+AQ1126*AQ1125*Assumptions!$G$390</f>
        <v>0</v>
      </c>
      <c r="AR1127" s="33">
        <f ca="1">+AR1126*AR1125*Assumptions!$G$390</f>
        <v>0</v>
      </c>
      <c r="AS1127" s="33">
        <f ca="1">+AS1126*AS1125*Assumptions!$G$390</f>
        <v>0</v>
      </c>
      <c r="AT1127" s="33">
        <f ca="1">+AT1126*AT1125*Assumptions!$G$390</f>
        <v>0</v>
      </c>
      <c r="AU1127" s="33">
        <f ca="1">+AU1126*AU1125*Assumptions!$G$390</f>
        <v>0</v>
      </c>
      <c r="AV1127" s="33">
        <f ca="1">+AV1126*AV1125*Assumptions!$G$390</f>
        <v>0</v>
      </c>
      <c r="AW1127" s="33">
        <f ca="1">+AW1126*AW1125*Assumptions!$G$390</f>
        <v>0</v>
      </c>
      <c r="AX1127" s="33">
        <f ca="1">+AX1126*AX1125*Assumptions!$G$390</f>
        <v>0</v>
      </c>
      <c r="AY1127" s="33">
        <f ca="1">+AY1126*AY1125*Assumptions!$G$390</f>
        <v>0</v>
      </c>
      <c r="AZ1127" s="33">
        <f ca="1">+AZ1126*AZ1125*Assumptions!$G$390</f>
        <v>0</v>
      </c>
      <c r="BA1127" s="33">
        <f ca="1">+BA1126*BA1125*Assumptions!$G$390</f>
        <v>0</v>
      </c>
      <c r="BB1127" s="33">
        <f ca="1">+BB1126*BB1125*Assumptions!$G$390</f>
        <v>0</v>
      </c>
      <c r="BC1127" s="33">
        <f ca="1">+BC1126*BC1125*Assumptions!$G$390</f>
        <v>0</v>
      </c>
      <c r="BD1127" s="33">
        <f ca="1">+BD1126*BD1125*Assumptions!$G$390</f>
        <v>0</v>
      </c>
      <c r="BE1127" s="33">
        <f ca="1">+BE1126*BE1125*Assumptions!$G$390</f>
        <v>0</v>
      </c>
      <c r="BF1127" s="33">
        <f ca="1">+BF1126*BF1125*Assumptions!$G$390</f>
        <v>0</v>
      </c>
      <c r="BG1127" s="33">
        <f ca="1">+BG1126*BG1125*Assumptions!$G$390</f>
        <v>0</v>
      </c>
      <c r="BH1127" s="33">
        <f ca="1">+BH1126*BH1125*Assumptions!$G$390</f>
        <v>0</v>
      </c>
      <c r="BI1127" s="33">
        <f ca="1">+BI1126*BI1125*Assumptions!$G$390</f>
        <v>0</v>
      </c>
      <c r="BJ1127" s="33">
        <f ca="1">+BJ1126*BJ1125*Assumptions!$G$390</f>
        <v>0</v>
      </c>
      <c r="BK1127" s="33">
        <f ca="1">+BK1126*BK1125*Assumptions!$G$390</f>
        <v>0</v>
      </c>
      <c r="BL1127" s="33">
        <f ca="1">+BL1126*BL1125*Assumptions!$G$390</f>
        <v>0</v>
      </c>
      <c r="BM1127" s="33">
        <f ca="1">+BM1126*BM1125*Assumptions!$G$390</f>
        <v>0</v>
      </c>
      <c r="BN1127" s="33">
        <f ca="1">+BN1126*BN1125*Assumptions!$G$390</f>
        <v>0</v>
      </c>
      <c r="BO1127" s="33">
        <f ca="1">+BO1126*BO1125*Assumptions!$G$390</f>
        <v>0</v>
      </c>
      <c r="BP1127" s="33">
        <f ca="1">+BP1126*BP1125*Assumptions!$G$390</f>
        <v>0</v>
      </c>
      <c r="BQ1127" s="33">
        <f ca="1">+BQ1126*BQ1125*Assumptions!$G$390</f>
        <v>0</v>
      </c>
      <c r="BR1127" s="33">
        <f ca="1">+BR1126*BR1125*Assumptions!$G$390</f>
        <v>0</v>
      </c>
      <c r="BS1127" s="33">
        <f ca="1">+BS1126*BS1125*Assumptions!$G$390</f>
        <v>0</v>
      </c>
      <c r="BT1127" s="33">
        <f ca="1">+BT1126*BT1125*Assumptions!$G$390</f>
        <v>0</v>
      </c>
      <c r="BU1127" s="33">
        <f ca="1">+BU1126*BU1125*Assumptions!$G$390</f>
        <v>0</v>
      </c>
      <c r="BV1127" s="33">
        <f ca="1">+BV1126*BV1125*Assumptions!$G$390</f>
        <v>0</v>
      </c>
      <c r="BW1127" s="33">
        <f ca="1">+BW1126*BW1125*Assumptions!$G$390</f>
        <v>0</v>
      </c>
      <c r="BX1127" s="33">
        <f ca="1">+BX1126*BX1125*Assumptions!$G$390</f>
        <v>0</v>
      </c>
      <c r="BY1127" s="33">
        <f ca="1">+BY1126*BY1125*Assumptions!$G$390</f>
        <v>0</v>
      </c>
    </row>
    <row r="1128" spans="5:77" outlineLevel="1">
      <c r="F1128" s="80"/>
      <c r="BF1128" s="33"/>
      <c r="BG1128" s="33"/>
      <c r="BH1128" s="33"/>
      <c r="BI1128" s="33"/>
      <c r="BJ1128" s="33"/>
      <c r="BK1128" s="33"/>
      <c r="BL1128" s="33"/>
      <c r="BM1128" s="33"/>
      <c r="BN1128" s="33"/>
      <c r="BO1128" s="33"/>
      <c r="BP1128" s="33"/>
      <c r="BQ1128" s="33"/>
      <c r="BR1128" s="33"/>
      <c r="BS1128" s="33"/>
      <c r="BT1128" s="33"/>
      <c r="BU1128" s="33"/>
      <c r="BV1128" s="33"/>
      <c r="BW1128" s="33"/>
      <c r="BX1128" s="33"/>
      <c r="BY1128" s="33"/>
    </row>
    <row r="1129" spans="5:77" ht="15" outlineLevel="1">
      <c r="E1129" s="22" t="s">
        <v>574</v>
      </c>
      <c r="BF1129" s="33"/>
      <c r="BG1129" s="33"/>
      <c r="BH1129" s="33"/>
      <c r="BI1129" s="33"/>
      <c r="BJ1129" s="33"/>
      <c r="BK1129" s="33"/>
      <c r="BL1129" s="33"/>
      <c r="BM1129" s="33"/>
      <c r="BN1129" s="33"/>
      <c r="BO1129" s="33"/>
      <c r="BP1129" s="33"/>
      <c r="BQ1129" s="33"/>
      <c r="BR1129" s="33"/>
      <c r="BS1129" s="33"/>
      <c r="BT1129" s="33"/>
      <c r="BU1129" s="33"/>
      <c r="BV1129" s="33"/>
      <c r="BW1129" s="33"/>
      <c r="BX1129" s="33"/>
      <c r="BY1129" s="33"/>
    </row>
    <row r="1130" spans="5:77" outlineLevel="1">
      <c r="E1130" t="s">
        <v>563</v>
      </c>
      <c r="F1130" s="80" t="s">
        <v>564</v>
      </c>
      <c r="H1130" s="33">
        <f t="shared" ref="H1130:AM1130" si="2325">+H1118</f>
        <v>0</v>
      </c>
      <c r="I1130" s="33">
        <f t="shared" si="2325"/>
        <v>0</v>
      </c>
      <c r="J1130" s="33">
        <f t="shared" si="2325"/>
        <v>0</v>
      </c>
      <c r="K1130" s="33">
        <f t="shared" si="2325"/>
        <v>0</v>
      </c>
      <c r="L1130" s="33">
        <f t="shared" si="2325"/>
        <v>0</v>
      </c>
      <c r="M1130" s="33">
        <f t="shared" si="2325"/>
        <v>0</v>
      </c>
      <c r="N1130" s="33">
        <f t="shared" si="2325"/>
        <v>0</v>
      </c>
      <c r="O1130" s="33">
        <f t="shared" si="2325"/>
        <v>0</v>
      </c>
      <c r="P1130" s="33">
        <f t="shared" si="2325"/>
        <v>0</v>
      </c>
      <c r="Q1130" s="33">
        <f t="shared" si="2325"/>
        <v>0</v>
      </c>
      <c r="R1130" s="33">
        <f t="shared" si="2325"/>
        <v>0</v>
      </c>
      <c r="S1130" s="33">
        <f t="shared" si="2325"/>
        <v>0</v>
      </c>
      <c r="T1130" s="33">
        <f t="shared" si="2325"/>
        <v>0</v>
      </c>
      <c r="U1130" s="33">
        <f t="shared" si="2325"/>
        <v>0</v>
      </c>
      <c r="V1130" s="33">
        <f t="shared" si="2325"/>
        <v>0</v>
      </c>
      <c r="W1130" s="33">
        <f t="shared" si="2325"/>
        <v>0</v>
      </c>
      <c r="X1130" s="33">
        <f t="shared" si="2325"/>
        <v>0</v>
      </c>
      <c r="Y1130" s="33">
        <f t="shared" si="2325"/>
        <v>0</v>
      </c>
      <c r="Z1130" s="33">
        <f t="shared" si="2325"/>
        <v>0</v>
      </c>
      <c r="AA1130" s="33">
        <f t="shared" si="2325"/>
        <v>0</v>
      </c>
      <c r="AB1130" s="33">
        <f t="shared" si="2325"/>
        <v>0</v>
      </c>
      <c r="AC1130" s="33">
        <f t="shared" si="2325"/>
        <v>0</v>
      </c>
      <c r="AD1130" s="33">
        <f t="shared" si="2325"/>
        <v>0</v>
      </c>
      <c r="AE1130" s="33">
        <f t="shared" si="2325"/>
        <v>0</v>
      </c>
      <c r="AF1130" s="33">
        <f t="shared" si="2325"/>
        <v>0</v>
      </c>
      <c r="AG1130" s="33">
        <f t="shared" si="2325"/>
        <v>0</v>
      </c>
      <c r="AH1130" s="33">
        <f t="shared" si="2325"/>
        <v>0</v>
      </c>
      <c r="AI1130" s="33">
        <f t="shared" si="2325"/>
        <v>0</v>
      </c>
      <c r="AJ1130" s="33">
        <f t="shared" si="2325"/>
        <v>0</v>
      </c>
      <c r="AK1130" s="33">
        <f t="shared" si="2325"/>
        <v>0</v>
      </c>
      <c r="AL1130" s="33">
        <f t="shared" si="2325"/>
        <v>0</v>
      </c>
      <c r="AM1130" s="33">
        <f t="shared" si="2325"/>
        <v>0</v>
      </c>
      <c r="AN1130" s="33">
        <f t="shared" ref="AN1130:BS1130" si="2326">+AN1118</f>
        <v>0</v>
      </c>
      <c r="AO1130" s="33">
        <f t="shared" si="2326"/>
        <v>0</v>
      </c>
      <c r="AP1130" s="33">
        <f t="shared" si="2326"/>
        <v>0</v>
      </c>
      <c r="AQ1130" s="33">
        <f t="shared" si="2326"/>
        <v>0</v>
      </c>
      <c r="AR1130" s="33">
        <f t="shared" si="2326"/>
        <v>0</v>
      </c>
      <c r="AS1130" s="33">
        <f t="shared" si="2326"/>
        <v>0</v>
      </c>
      <c r="AT1130" s="33">
        <f t="shared" si="2326"/>
        <v>0</v>
      </c>
      <c r="AU1130" s="33">
        <f t="shared" si="2326"/>
        <v>0</v>
      </c>
      <c r="AV1130" s="33">
        <f t="shared" si="2326"/>
        <v>0</v>
      </c>
      <c r="AW1130" s="33">
        <f t="shared" si="2326"/>
        <v>0</v>
      </c>
      <c r="AX1130" s="33">
        <f t="shared" si="2326"/>
        <v>0</v>
      </c>
      <c r="AY1130" s="33">
        <f t="shared" si="2326"/>
        <v>0</v>
      </c>
      <c r="AZ1130" s="33">
        <f t="shared" si="2326"/>
        <v>0</v>
      </c>
      <c r="BA1130" s="33">
        <f t="shared" si="2326"/>
        <v>0</v>
      </c>
      <c r="BB1130" s="33">
        <f t="shared" si="2326"/>
        <v>0</v>
      </c>
      <c r="BC1130" s="33">
        <f t="shared" si="2326"/>
        <v>0</v>
      </c>
      <c r="BD1130" s="33">
        <f t="shared" si="2326"/>
        <v>0</v>
      </c>
      <c r="BE1130" s="33">
        <f t="shared" si="2326"/>
        <v>0</v>
      </c>
      <c r="BF1130" s="33">
        <f t="shared" si="2326"/>
        <v>0</v>
      </c>
      <c r="BG1130" s="33">
        <f t="shared" si="2326"/>
        <v>0</v>
      </c>
      <c r="BH1130" s="33">
        <f t="shared" si="2326"/>
        <v>0</v>
      </c>
      <c r="BI1130" s="33">
        <f t="shared" si="2326"/>
        <v>0</v>
      </c>
      <c r="BJ1130" s="33">
        <f t="shared" si="2326"/>
        <v>0</v>
      </c>
      <c r="BK1130" s="33">
        <f t="shared" si="2326"/>
        <v>0</v>
      </c>
      <c r="BL1130" s="33">
        <f t="shared" si="2326"/>
        <v>0</v>
      </c>
      <c r="BM1130" s="33">
        <f t="shared" si="2326"/>
        <v>0</v>
      </c>
      <c r="BN1130" s="33">
        <f t="shared" si="2326"/>
        <v>0</v>
      </c>
      <c r="BO1130" s="33">
        <f t="shared" si="2326"/>
        <v>0</v>
      </c>
      <c r="BP1130" s="33">
        <f t="shared" si="2326"/>
        <v>0</v>
      </c>
      <c r="BQ1130" s="33">
        <f t="shared" si="2326"/>
        <v>0</v>
      </c>
      <c r="BR1130" s="33">
        <f t="shared" si="2326"/>
        <v>0</v>
      </c>
      <c r="BS1130" s="33">
        <f t="shared" si="2326"/>
        <v>0</v>
      </c>
      <c r="BT1130" s="33">
        <f t="shared" ref="BT1130:BY1130" si="2327">+BT1118</f>
        <v>0</v>
      </c>
      <c r="BU1130" s="33">
        <f t="shared" si="2327"/>
        <v>0</v>
      </c>
      <c r="BV1130" s="33">
        <f t="shared" si="2327"/>
        <v>0</v>
      </c>
      <c r="BW1130" s="33">
        <f t="shared" si="2327"/>
        <v>0</v>
      </c>
      <c r="BX1130" s="33">
        <f t="shared" si="2327"/>
        <v>0</v>
      </c>
      <c r="BY1130" s="33">
        <f t="shared" si="2327"/>
        <v>0</v>
      </c>
    </row>
    <row r="1131" spans="5:77" outlineLevel="1">
      <c r="E1131" t="s">
        <v>575</v>
      </c>
      <c r="F1131" s="80" t="s">
        <v>570</v>
      </c>
      <c r="H1131" s="89">
        <f>IFERROR(+IF((Assumptions!$H$26-H1118)*Assumptions!$H$25/1000&lt;=0,0,(Assumptions!$H$26-H1118)*Assumptions!$H$25/1000),0)</f>
        <v>3.8433300000000004</v>
      </c>
      <c r="I1131" s="89">
        <f>IFERROR(+IF((Assumptions!$H$26-I1118)*Assumptions!$H$25/1000&lt;=0,0,(Assumptions!$H$26-I1118)*Assumptions!$H$25/1000),0)</f>
        <v>3.8433300000000004</v>
      </c>
      <c r="J1131" s="89">
        <f>IFERROR(+IF((Assumptions!$H$26-J1118)*Assumptions!$H$25/1000&lt;=0,0,(Assumptions!$H$26-J1118)*Assumptions!$H$25/1000),0)</f>
        <v>3.8433300000000004</v>
      </c>
      <c r="K1131" s="89">
        <f>IFERROR(+IF((Assumptions!$H$26-K1118)*Assumptions!$H$25/1000&lt;=0,0,(Assumptions!$H$26-K1118)*Assumptions!$H$25/1000),0)</f>
        <v>3.8433300000000004</v>
      </c>
      <c r="L1131" s="89">
        <f>IFERROR(+IF((Assumptions!$H$26-L1118)*Assumptions!$H$25/1000&lt;=0,0,(Assumptions!$H$26-L1118)*Assumptions!$H$25/1000),0)</f>
        <v>3.8433300000000004</v>
      </c>
      <c r="M1131" s="89">
        <f>IFERROR(+IF((Assumptions!$H$26-M1118)*Assumptions!$H$25/1000&lt;=0,0,(Assumptions!$H$26-M1118)*Assumptions!$H$25/1000),0)</f>
        <v>3.8433300000000004</v>
      </c>
      <c r="N1131" s="89">
        <f>IFERROR(+IF((Assumptions!$H$26-N1118)*Assumptions!$H$25/1000&lt;=0,0,(Assumptions!$H$26-N1118)*Assumptions!$H$25/1000),0)</f>
        <v>3.8433300000000004</v>
      </c>
      <c r="O1131" s="89">
        <f>IFERROR(+IF((Assumptions!$H$26-O1118)*Assumptions!$H$25/1000&lt;=0,0,(Assumptions!$H$26-O1118)*Assumptions!$H$25/1000),0)</f>
        <v>3.8433300000000004</v>
      </c>
      <c r="P1131" s="89">
        <f>IFERROR(+IF((Assumptions!$H$26-P1118)*Assumptions!$H$25/1000&lt;=0,0,(Assumptions!$H$26-P1118)*Assumptions!$H$25/1000),0)</f>
        <v>3.8433300000000004</v>
      </c>
      <c r="Q1131" s="89">
        <f>IFERROR(+IF((Assumptions!$H$26-Q1118)*Assumptions!$H$25/1000&lt;=0,0,(Assumptions!$H$26-Q1118)*Assumptions!$H$25/1000),0)</f>
        <v>3.8433300000000004</v>
      </c>
      <c r="R1131" s="89">
        <f>IFERROR(+IF((Assumptions!$H$26-R1118)*Assumptions!$H$25/1000&lt;=0,0,(Assumptions!$H$26-R1118)*Assumptions!$H$25/1000),0)</f>
        <v>3.8433300000000004</v>
      </c>
      <c r="S1131" s="89">
        <f>IFERROR(+IF((Assumptions!$H$26-S1118)*Assumptions!$H$25/1000&lt;=0,0,(Assumptions!$H$26-S1118)*Assumptions!$H$25/1000),0)</f>
        <v>3.8433300000000004</v>
      </c>
      <c r="T1131" s="89">
        <f>IFERROR(+IF((Assumptions!$H$26-T1118)*Assumptions!$H$25/1000&lt;=0,0,(Assumptions!$H$26-T1118)*Assumptions!$H$25/1000),0)</f>
        <v>3.8433300000000004</v>
      </c>
      <c r="U1131" s="89">
        <f>IFERROR(+IF((Assumptions!$H$26-U1118)*Assumptions!$H$25/1000&lt;=0,0,(Assumptions!$H$26-U1118)*Assumptions!$H$25/1000),0)</f>
        <v>3.8433300000000004</v>
      </c>
      <c r="V1131" s="89">
        <f>IFERROR(+IF((Assumptions!$H$26-V1118)*Assumptions!$H$25/1000&lt;=0,0,(Assumptions!$H$26-V1118)*Assumptions!$H$25/1000),0)</f>
        <v>3.8433300000000004</v>
      </c>
      <c r="W1131" s="89">
        <f>IFERROR(+IF((Assumptions!$H$26-W1118)*Assumptions!$H$25/1000&lt;=0,0,(Assumptions!$H$26-W1118)*Assumptions!$H$25/1000),0)</f>
        <v>3.8433300000000004</v>
      </c>
      <c r="X1131" s="89">
        <f>IFERROR(+IF((Assumptions!$H$26-X1118)*Assumptions!$H$25/1000&lt;=0,0,(Assumptions!$H$26-X1118)*Assumptions!$H$25/1000),0)</f>
        <v>3.8433300000000004</v>
      </c>
      <c r="Y1131" s="89">
        <f>IFERROR(+IF((Assumptions!$H$26-Y1118)*Assumptions!$H$25/1000&lt;=0,0,(Assumptions!$H$26-Y1118)*Assumptions!$H$25/1000),0)</f>
        <v>3.8433300000000004</v>
      </c>
      <c r="Z1131" s="89">
        <f>IFERROR(+IF((Assumptions!$H$26-Z1118)*Assumptions!$H$25/1000&lt;=0,0,(Assumptions!$H$26-Z1118)*Assumptions!$H$25/1000),0)</f>
        <v>3.8433300000000004</v>
      </c>
      <c r="AA1131" s="89">
        <f>IFERROR(+IF((Assumptions!$H$26-AA1118)*Assumptions!$H$25/1000&lt;=0,0,(Assumptions!$H$26-AA1118)*Assumptions!$H$25/1000),0)</f>
        <v>3.8433300000000004</v>
      </c>
      <c r="AB1131" s="89">
        <f>IFERROR(+IF((Assumptions!$H$26-AB1118)*Assumptions!$H$25/1000&lt;=0,0,(Assumptions!$H$26-AB1118)*Assumptions!$H$25/1000),0)</f>
        <v>3.8433300000000004</v>
      </c>
      <c r="AC1131" s="89">
        <f>IFERROR(+IF((Assumptions!$H$26-AC1118)*Assumptions!$H$25/1000&lt;=0,0,(Assumptions!$H$26-AC1118)*Assumptions!$H$25/1000),0)</f>
        <v>3.8433300000000004</v>
      </c>
      <c r="AD1131" s="89">
        <f>IFERROR(+IF((Assumptions!$H$26-AD1118)*Assumptions!$H$25/1000&lt;=0,0,(Assumptions!$H$26-AD1118)*Assumptions!$H$25/1000),0)</f>
        <v>3.8433300000000004</v>
      </c>
      <c r="AE1131" s="89">
        <f>IFERROR(+IF((Assumptions!$H$26-AE1118)*Assumptions!$H$25/1000&lt;=0,0,(Assumptions!$H$26-AE1118)*Assumptions!$H$25/1000),0)</f>
        <v>3.8433300000000004</v>
      </c>
      <c r="AF1131" s="89">
        <f>IFERROR(+IF((Assumptions!$H$26-AF1118)*Assumptions!$H$25/1000&lt;=0,0,(Assumptions!$H$26-AF1118)*Assumptions!$H$25/1000),0)</f>
        <v>3.8433300000000004</v>
      </c>
      <c r="AG1131" s="89">
        <f>IFERROR(+IF((Assumptions!$H$26-AG1118)*Assumptions!$H$25/1000&lt;=0,0,(Assumptions!$H$26-AG1118)*Assumptions!$H$25/1000),0)</f>
        <v>3.8433300000000004</v>
      </c>
      <c r="AH1131" s="89">
        <f>IFERROR(+IF((Assumptions!$H$26-AH1118)*Assumptions!$H$25/1000&lt;=0,0,(Assumptions!$H$26-AH1118)*Assumptions!$H$25/1000),0)</f>
        <v>3.8433300000000004</v>
      </c>
      <c r="AI1131" s="89">
        <f>IFERROR(+IF((Assumptions!$H$26-AI1118)*Assumptions!$H$25/1000&lt;=0,0,(Assumptions!$H$26-AI1118)*Assumptions!$H$25/1000),0)</f>
        <v>3.8433300000000004</v>
      </c>
      <c r="AJ1131" s="89">
        <f>IFERROR(+IF((Assumptions!$H$26-AJ1118)*Assumptions!$H$25/1000&lt;=0,0,(Assumptions!$H$26-AJ1118)*Assumptions!$H$25/1000),0)</f>
        <v>3.8433300000000004</v>
      </c>
      <c r="AK1131" s="89">
        <f>IFERROR(+IF((Assumptions!$H$26-AK1118)*Assumptions!$H$25/1000&lt;=0,0,(Assumptions!$H$26-AK1118)*Assumptions!$H$25/1000),0)</f>
        <v>3.8433300000000004</v>
      </c>
      <c r="AL1131" s="89">
        <f>IFERROR(+IF((Assumptions!$H$26-AL1118)*Assumptions!$H$25/1000&lt;=0,0,(Assumptions!$H$26-AL1118)*Assumptions!$H$25/1000),0)</f>
        <v>3.8433300000000004</v>
      </c>
      <c r="AM1131" s="89">
        <f>IFERROR(+IF((Assumptions!$H$26-AM1118)*Assumptions!$H$25/1000&lt;=0,0,(Assumptions!$H$26-AM1118)*Assumptions!$H$25/1000),0)</f>
        <v>3.8433300000000004</v>
      </c>
      <c r="AN1131" s="89">
        <f>IFERROR(+IF((Assumptions!$H$26-AN1118)*Assumptions!$H$25/1000&lt;=0,0,(Assumptions!$H$26-AN1118)*Assumptions!$H$25/1000),0)</f>
        <v>3.8433300000000004</v>
      </c>
      <c r="AO1131" s="89">
        <f>IFERROR(+IF((Assumptions!$H$26-AO1118)*Assumptions!$H$25/1000&lt;=0,0,(Assumptions!$H$26-AO1118)*Assumptions!$H$25/1000),0)</f>
        <v>3.8433300000000004</v>
      </c>
      <c r="AP1131" s="89">
        <f>IFERROR(+IF((Assumptions!$H$26-AP1118)*Assumptions!$H$25/1000&lt;=0,0,(Assumptions!$H$26-AP1118)*Assumptions!$H$25/1000),0)</f>
        <v>3.8433300000000004</v>
      </c>
      <c r="AQ1131" s="89">
        <f>IFERROR(+IF((Assumptions!$H$26-AQ1118)*Assumptions!$H$25/1000&lt;=0,0,(Assumptions!$H$26-AQ1118)*Assumptions!$H$25/1000),0)</f>
        <v>3.8433300000000004</v>
      </c>
      <c r="AR1131" s="89">
        <f>IFERROR(+IF((Assumptions!$H$26-AR1118)*Assumptions!$H$25/1000&lt;=0,0,(Assumptions!$H$26-AR1118)*Assumptions!$H$25/1000),0)</f>
        <v>3.8433300000000004</v>
      </c>
      <c r="AS1131" s="89">
        <f>IFERROR(+IF((Assumptions!$H$26-AS1118)*Assumptions!$H$25/1000&lt;=0,0,(Assumptions!$H$26-AS1118)*Assumptions!$H$25/1000),0)</f>
        <v>3.8433300000000004</v>
      </c>
      <c r="AT1131" s="89">
        <f>IFERROR(+IF((Assumptions!$H$26-AT1118)*Assumptions!$H$25/1000&lt;=0,0,(Assumptions!$H$26-AT1118)*Assumptions!$H$25/1000),0)</f>
        <v>3.8433300000000004</v>
      </c>
      <c r="AU1131" s="89">
        <f>IFERROR(+IF((Assumptions!$H$26-AU1118)*Assumptions!$H$25/1000&lt;=0,0,(Assumptions!$H$26-AU1118)*Assumptions!$H$25/1000),0)</f>
        <v>3.8433300000000004</v>
      </c>
      <c r="AV1131" s="89">
        <f>IFERROR(+IF((Assumptions!$H$26-AV1118)*Assumptions!$H$25/1000&lt;=0,0,(Assumptions!$H$26-AV1118)*Assumptions!$H$25/1000),0)</f>
        <v>3.8433300000000004</v>
      </c>
      <c r="AW1131" s="89">
        <f>IFERROR(+IF((Assumptions!$H$26-AW1118)*Assumptions!$H$25/1000&lt;=0,0,(Assumptions!$H$26-AW1118)*Assumptions!$H$25/1000),0)</f>
        <v>3.8433300000000004</v>
      </c>
      <c r="AX1131" s="89">
        <f>IFERROR(+IF((Assumptions!$H$26-AX1118)*Assumptions!$H$25/1000&lt;=0,0,(Assumptions!$H$26-AX1118)*Assumptions!$H$25/1000),0)</f>
        <v>3.8433300000000004</v>
      </c>
      <c r="AY1131" s="89">
        <f>IFERROR(+IF((Assumptions!$H$26-AY1118)*Assumptions!$H$25/1000&lt;=0,0,(Assumptions!$H$26-AY1118)*Assumptions!$H$25/1000),0)</f>
        <v>3.8433300000000004</v>
      </c>
      <c r="AZ1131" s="89">
        <f>IFERROR(+IF((Assumptions!$H$26-AZ1118)*Assumptions!$H$25/1000&lt;=0,0,(Assumptions!$H$26-AZ1118)*Assumptions!$H$25/1000),0)</f>
        <v>3.8433300000000004</v>
      </c>
      <c r="BA1131" s="89">
        <f>IFERROR(+IF((Assumptions!$H$26-BA1118)*Assumptions!$H$25/1000&lt;=0,0,(Assumptions!$H$26-BA1118)*Assumptions!$H$25/1000),0)</f>
        <v>3.8433300000000004</v>
      </c>
      <c r="BB1131" s="89">
        <f>IFERROR(+IF((Assumptions!$H$26-BB1118)*Assumptions!$H$25/1000&lt;=0,0,(Assumptions!$H$26-BB1118)*Assumptions!$H$25/1000),0)</f>
        <v>3.8433300000000004</v>
      </c>
      <c r="BC1131" s="89">
        <f>IFERROR(+IF((Assumptions!$H$26-BC1118)*Assumptions!$H$25/1000&lt;=0,0,(Assumptions!$H$26-BC1118)*Assumptions!$H$25/1000),0)</f>
        <v>3.8433300000000004</v>
      </c>
      <c r="BD1131" s="89">
        <f>IFERROR(+IF((Assumptions!$H$26-BD1118)*Assumptions!$H$25/1000&lt;=0,0,(Assumptions!$H$26-BD1118)*Assumptions!$H$25/1000),0)</f>
        <v>3.8433300000000004</v>
      </c>
      <c r="BE1131" s="89">
        <f>IFERROR(+IF((Assumptions!$H$26-BE1118)*Assumptions!$H$25/1000&lt;=0,0,(Assumptions!$H$26-BE1118)*Assumptions!$H$25/1000),0)</f>
        <v>3.8433300000000004</v>
      </c>
      <c r="BF1131" s="89">
        <f>IFERROR(+IF((Assumptions!$H$26-BF1118)*Assumptions!$H$25/1000&lt;=0,0,(Assumptions!$H$26-BF1118)*Assumptions!$H$25/1000),0)</f>
        <v>3.8433300000000004</v>
      </c>
      <c r="BG1131" s="89">
        <f>IFERROR(+IF((Assumptions!$H$26-BG1118)*Assumptions!$H$25/1000&lt;=0,0,(Assumptions!$H$26-BG1118)*Assumptions!$H$25/1000),0)</f>
        <v>3.8433300000000004</v>
      </c>
      <c r="BH1131" s="89">
        <f>IFERROR(+IF((Assumptions!$H$26-BH1118)*Assumptions!$H$25/1000&lt;=0,0,(Assumptions!$H$26-BH1118)*Assumptions!$H$25/1000),0)</f>
        <v>3.8433300000000004</v>
      </c>
      <c r="BI1131" s="89">
        <f>IFERROR(+IF((Assumptions!$H$26-BI1118)*Assumptions!$H$25/1000&lt;=0,0,(Assumptions!$H$26-BI1118)*Assumptions!$H$25/1000),0)</f>
        <v>3.8433300000000004</v>
      </c>
      <c r="BJ1131" s="89">
        <f>IFERROR(+IF((Assumptions!$H$26-BJ1118)*Assumptions!$H$25/1000&lt;=0,0,(Assumptions!$H$26-BJ1118)*Assumptions!$H$25/1000),0)</f>
        <v>3.8433300000000004</v>
      </c>
      <c r="BK1131" s="89">
        <f>IFERROR(+IF((Assumptions!$H$26-BK1118)*Assumptions!$H$25/1000&lt;=0,0,(Assumptions!$H$26-BK1118)*Assumptions!$H$25/1000),0)</f>
        <v>3.8433300000000004</v>
      </c>
      <c r="BL1131" s="89">
        <f>IFERROR(+IF((Assumptions!$H$26-BL1118)*Assumptions!$H$25/1000&lt;=0,0,(Assumptions!$H$26-BL1118)*Assumptions!$H$25/1000),0)</f>
        <v>3.8433300000000004</v>
      </c>
      <c r="BM1131" s="89">
        <f>IFERROR(+IF((Assumptions!$H$26-BM1118)*Assumptions!$H$25/1000&lt;=0,0,(Assumptions!$H$26-BM1118)*Assumptions!$H$25/1000),0)</f>
        <v>3.8433300000000004</v>
      </c>
      <c r="BN1131" s="89">
        <f>IFERROR(+IF((Assumptions!$H$26-BN1118)*Assumptions!$H$25/1000&lt;=0,0,(Assumptions!$H$26-BN1118)*Assumptions!$H$25/1000),0)</f>
        <v>3.8433300000000004</v>
      </c>
      <c r="BO1131" s="89">
        <f>IFERROR(+IF((Assumptions!$H$26-BO1118)*Assumptions!$H$25/1000&lt;=0,0,(Assumptions!$H$26-BO1118)*Assumptions!$H$25/1000),0)</f>
        <v>3.8433300000000004</v>
      </c>
      <c r="BP1131" s="89">
        <f>IFERROR(+IF((Assumptions!$H$26-BP1118)*Assumptions!$H$25/1000&lt;=0,0,(Assumptions!$H$26-BP1118)*Assumptions!$H$25/1000),0)</f>
        <v>3.8433300000000004</v>
      </c>
      <c r="BQ1131" s="89">
        <f>IFERROR(+IF((Assumptions!$H$26-BQ1118)*Assumptions!$H$25/1000&lt;=0,0,(Assumptions!$H$26-BQ1118)*Assumptions!$H$25/1000),0)</f>
        <v>3.8433300000000004</v>
      </c>
      <c r="BR1131" s="89">
        <f>IFERROR(+IF((Assumptions!$H$26-BR1118)*Assumptions!$H$25/1000&lt;=0,0,(Assumptions!$H$26-BR1118)*Assumptions!$H$25/1000),0)</f>
        <v>3.8433300000000004</v>
      </c>
      <c r="BS1131" s="89">
        <f>IFERROR(+IF((Assumptions!$H$26-BS1118)*Assumptions!$H$25/1000&lt;=0,0,(Assumptions!$H$26-BS1118)*Assumptions!$H$25/1000),0)</f>
        <v>3.8433300000000004</v>
      </c>
      <c r="BT1131" s="89">
        <f>IFERROR(+IF((Assumptions!$H$26-BT1118)*Assumptions!$H$25/1000&lt;=0,0,(Assumptions!$H$26-BT1118)*Assumptions!$H$25/1000),0)</f>
        <v>3.8433300000000004</v>
      </c>
      <c r="BU1131" s="89">
        <f>IFERROR(+IF((Assumptions!$H$26-BU1118)*Assumptions!$H$25/1000&lt;=0,0,(Assumptions!$H$26-BU1118)*Assumptions!$H$25/1000),0)</f>
        <v>3.8433300000000004</v>
      </c>
      <c r="BV1131" s="89">
        <f>IFERROR(+IF((Assumptions!$H$26-BV1118)*Assumptions!$H$25/1000&lt;=0,0,(Assumptions!$H$26-BV1118)*Assumptions!$H$25/1000),0)</f>
        <v>3.8433300000000004</v>
      </c>
      <c r="BW1131" s="89">
        <f>IFERROR(+IF((Assumptions!$H$26-BW1118)*Assumptions!$H$25/1000&lt;=0,0,(Assumptions!$H$26-BW1118)*Assumptions!$H$25/1000),0)</f>
        <v>3.8433300000000004</v>
      </c>
      <c r="BX1131" s="89">
        <f>IFERROR(+IF((Assumptions!$H$26-BX1118)*Assumptions!$H$25/1000&lt;=0,0,(Assumptions!$H$26-BX1118)*Assumptions!$H$25/1000),0)</f>
        <v>3.8433300000000004</v>
      </c>
      <c r="BY1131" s="89">
        <f>IFERROR(+IF((Assumptions!$H$26-BY1118)*Assumptions!$H$25/1000&lt;=0,0,(Assumptions!$H$26-BY1118)*Assumptions!$H$25/1000),0)</f>
        <v>3.8433300000000004</v>
      </c>
    </row>
    <row r="1132" spans="5:77" outlineLevel="1">
      <c r="E1132" t="s">
        <v>576</v>
      </c>
      <c r="F1132" s="80" t="s">
        <v>572</v>
      </c>
      <c r="H1132" s="89">
        <f>+Assumptions!$H$389/(Assumptions!$H$25*Assumptions!$H$26/1000)</f>
        <v>624.4584774141174</v>
      </c>
      <c r="I1132" s="89">
        <f>+Assumptions!$H$389/(Assumptions!$H$25*Assumptions!$H$26/1000)</f>
        <v>624.4584774141174</v>
      </c>
      <c r="J1132" s="89">
        <f>+Assumptions!$H$389/(Assumptions!$H$25*Assumptions!$H$26/1000)</f>
        <v>624.4584774141174</v>
      </c>
      <c r="K1132" s="89">
        <f>+Assumptions!$H$389/(Assumptions!$H$25*Assumptions!$H$26/1000)</f>
        <v>624.4584774141174</v>
      </c>
      <c r="L1132" s="89">
        <f>+Assumptions!$H$389/(Assumptions!$H$25*Assumptions!$H$26/1000)</f>
        <v>624.4584774141174</v>
      </c>
      <c r="M1132" s="89">
        <f>+Assumptions!$H$389/(Assumptions!$H$25*Assumptions!$H$26/1000)</f>
        <v>624.4584774141174</v>
      </c>
      <c r="N1132" s="89">
        <f>+Assumptions!$H$389/(Assumptions!$H$25*Assumptions!$H$26/1000)</f>
        <v>624.4584774141174</v>
      </c>
      <c r="O1132" s="89">
        <f>+Assumptions!$H$389/(Assumptions!$H$25*Assumptions!$H$26/1000)</f>
        <v>624.4584774141174</v>
      </c>
      <c r="P1132" s="89">
        <f>+Assumptions!$H$389/(Assumptions!$H$25*Assumptions!$H$26/1000)</f>
        <v>624.4584774141174</v>
      </c>
      <c r="Q1132" s="89">
        <f>+Assumptions!$H$389/(Assumptions!$H$25*Assumptions!$H$26/1000)</f>
        <v>624.4584774141174</v>
      </c>
      <c r="R1132" s="89">
        <f>+Assumptions!$H$389/(Assumptions!$H$25*Assumptions!$H$26/1000)</f>
        <v>624.4584774141174</v>
      </c>
      <c r="S1132" s="89">
        <f>+Assumptions!$H$389/(Assumptions!$H$25*Assumptions!$H$26/1000)</f>
        <v>624.4584774141174</v>
      </c>
      <c r="T1132" s="89">
        <f>+Assumptions!$H$389/(Assumptions!$H$25*Assumptions!$H$26/1000)</f>
        <v>624.4584774141174</v>
      </c>
      <c r="U1132" s="89">
        <f>+Assumptions!$H$389/(Assumptions!$H$25*Assumptions!$H$26/1000)</f>
        <v>624.4584774141174</v>
      </c>
      <c r="V1132" s="89">
        <f>+Assumptions!$H$389/(Assumptions!$H$25*Assumptions!$H$26/1000)</f>
        <v>624.4584774141174</v>
      </c>
      <c r="W1132" s="89">
        <f>+Assumptions!$H$389/(Assumptions!$H$25*Assumptions!$H$26/1000)</f>
        <v>624.4584774141174</v>
      </c>
      <c r="X1132" s="89">
        <f>+Assumptions!$H$389/(Assumptions!$H$25*Assumptions!$H$26/1000)</f>
        <v>624.4584774141174</v>
      </c>
      <c r="Y1132" s="89">
        <f>+Assumptions!$H$389/(Assumptions!$H$25*Assumptions!$H$26/1000)</f>
        <v>624.4584774141174</v>
      </c>
      <c r="Z1132" s="89">
        <f>+Assumptions!$H$389/(Assumptions!$H$25*Assumptions!$H$26/1000)</f>
        <v>624.4584774141174</v>
      </c>
      <c r="AA1132" s="89">
        <f>+Assumptions!$H$389/(Assumptions!$H$25*Assumptions!$H$26/1000)</f>
        <v>624.4584774141174</v>
      </c>
      <c r="AB1132" s="89">
        <f>+Assumptions!$H$389/(Assumptions!$H$25*Assumptions!$H$26/1000)</f>
        <v>624.4584774141174</v>
      </c>
      <c r="AC1132" s="89">
        <f>+Assumptions!$H$389/(Assumptions!$H$25*Assumptions!$H$26/1000)</f>
        <v>624.4584774141174</v>
      </c>
      <c r="AD1132" s="89">
        <f>+Assumptions!$H$389/(Assumptions!$H$25*Assumptions!$H$26/1000)</f>
        <v>624.4584774141174</v>
      </c>
      <c r="AE1132" s="89">
        <f>+Assumptions!$H$389/(Assumptions!$H$25*Assumptions!$H$26/1000)</f>
        <v>624.4584774141174</v>
      </c>
      <c r="AF1132" s="89">
        <f>+Assumptions!$H$389/(Assumptions!$H$25*Assumptions!$H$26/1000)</f>
        <v>624.4584774141174</v>
      </c>
      <c r="AG1132" s="89">
        <f>+Assumptions!$H$389/(Assumptions!$H$25*Assumptions!$H$26/1000)</f>
        <v>624.4584774141174</v>
      </c>
      <c r="AH1132" s="89">
        <f>+Assumptions!$H$389/(Assumptions!$H$25*Assumptions!$H$26/1000)</f>
        <v>624.4584774141174</v>
      </c>
      <c r="AI1132" s="89">
        <f>+Assumptions!$H$389/(Assumptions!$H$25*Assumptions!$H$26/1000)</f>
        <v>624.4584774141174</v>
      </c>
      <c r="AJ1132" s="89">
        <f>+Assumptions!$H$389/(Assumptions!$H$25*Assumptions!$H$26/1000)</f>
        <v>624.4584774141174</v>
      </c>
      <c r="AK1132" s="89">
        <f>+Assumptions!$H$389/(Assumptions!$H$25*Assumptions!$H$26/1000)</f>
        <v>624.4584774141174</v>
      </c>
      <c r="AL1132" s="89">
        <f>+Assumptions!$H$389/(Assumptions!$H$25*Assumptions!$H$26/1000)</f>
        <v>624.4584774141174</v>
      </c>
      <c r="AM1132" s="89">
        <f>+Assumptions!$H$389/(Assumptions!$H$25*Assumptions!$H$26/1000)</f>
        <v>624.4584774141174</v>
      </c>
      <c r="AN1132" s="89">
        <f>+Assumptions!$H$389/(Assumptions!$H$25*Assumptions!$H$26/1000)</f>
        <v>624.4584774141174</v>
      </c>
      <c r="AO1132" s="89">
        <f>+Assumptions!$H$389/(Assumptions!$H$25*Assumptions!$H$26/1000)</f>
        <v>624.4584774141174</v>
      </c>
      <c r="AP1132" s="89">
        <f>+Assumptions!$H$389/(Assumptions!$H$25*Assumptions!$H$26/1000)</f>
        <v>624.4584774141174</v>
      </c>
      <c r="AQ1132" s="89">
        <f>+Assumptions!$H$389/(Assumptions!$H$25*Assumptions!$H$26/1000)</f>
        <v>624.4584774141174</v>
      </c>
      <c r="AR1132" s="89">
        <f>+Assumptions!$H$389/(Assumptions!$H$25*Assumptions!$H$26/1000)</f>
        <v>624.4584774141174</v>
      </c>
      <c r="AS1132" s="89">
        <f>+Assumptions!$H$389/(Assumptions!$H$25*Assumptions!$H$26/1000)</f>
        <v>624.4584774141174</v>
      </c>
      <c r="AT1132" s="89">
        <f>+Assumptions!$H$389/(Assumptions!$H$25*Assumptions!$H$26/1000)</f>
        <v>624.4584774141174</v>
      </c>
      <c r="AU1132" s="89">
        <f>+Assumptions!$H$389/(Assumptions!$H$25*Assumptions!$H$26/1000)</f>
        <v>624.4584774141174</v>
      </c>
      <c r="AV1132" s="89">
        <f>+Assumptions!$H$389/(Assumptions!$H$25*Assumptions!$H$26/1000)</f>
        <v>624.4584774141174</v>
      </c>
      <c r="AW1132" s="89">
        <f>+Assumptions!$H$389/(Assumptions!$H$25*Assumptions!$H$26/1000)</f>
        <v>624.4584774141174</v>
      </c>
      <c r="AX1132" s="89">
        <f>+Assumptions!$H$389/(Assumptions!$H$25*Assumptions!$H$26/1000)</f>
        <v>624.4584774141174</v>
      </c>
      <c r="AY1132" s="89">
        <f>+Assumptions!$H$389/(Assumptions!$H$25*Assumptions!$H$26/1000)</f>
        <v>624.4584774141174</v>
      </c>
      <c r="AZ1132" s="89">
        <f>+Assumptions!$H$389/(Assumptions!$H$25*Assumptions!$H$26/1000)</f>
        <v>624.4584774141174</v>
      </c>
      <c r="BA1132" s="89">
        <f>+Assumptions!$H$389/(Assumptions!$H$25*Assumptions!$H$26/1000)</f>
        <v>624.4584774141174</v>
      </c>
      <c r="BB1132" s="89">
        <f>+Assumptions!$H$389/(Assumptions!$H$25*Assumptions!$H$26/1000)</f>
        <v>624.4584774141174</v>
      </c>
      <c r="BC1132" s="89">
        <f>+Assumptions!$H$389/(Assumptions!$H$25*Assumptions!$H$26/1000)</f>
        <v>624.4584774141174</v>
      </c>
      <c r="BD1132" s="89">
        <f>+Assumptions!$H$389/(Assumptions!$H$25*Assumptions!$H$26/1000)</f>
        <v>624.4584774141174</v>
      </c>
      <c r="BE1132" s="89">
        <f>+Assumptions!$H$389/(Assumptions!$H$25*Assumptions!$H$26/1000)</f>
        <v>624.4584774141174</v>
      </c>
      <c r="BF1132" s="89">
        <f>+Assumptions!$H$389/(Assumptions!$H$25*Assumptions!$H$26/1000)</f>
        <v>624.4584774141174</v>
      </c>
      <c r="BG1132" s="89">
        <f>+Assumptions!$H$389/(Assumptions!$H$25*Assumptions!$H$26/1000)</f>
        <v>624.4584774141174</v>
      </c>
      <c r="BH1132" s="89">
        <f>+Assumptions!$H$389/(Assumptions!$H$25*Assumptions!$H$26/1000)</f>
        <v>624.4584774141174</v>
      </c>
      <c r="BI1132" s="89">
        <f>+Assumptions!$H$389/(Assumptions!$H$25*Assumptions!$H$26/1000)</f>
        <v>624.4584774141174</v>
      </c>
      <c r="BJ1132" s="89">
        <f>+Assumptions!$H$389/(Assumptions!$H$25*Assumptions!$H$26/1000)</f>
        <v>624.4584774141174</v>
      </c>
      <c r="BK1132" s="89">
        <f>+Assumptions!$H$389/(Assumptions!$H$25*Assumptions!$H$26/1000)</f>
        <v>624.4584774141174</v>
      </c>
      <c r="BL1132" s="89">
        <f>+Assumptions!$H$389/(Assumptions!$H$25*Assumptions!$H$26/1000)</f>
        <v>624.4584774141174</v>
      </c>
      <c r="BM1132" s="89">
        <f>+Assumptions!$H$389/(Assumptions!$H$25*Assumptions!$H$26/1000)</f>
        <v>624.4584774141174</v>
      </c>
      <c r="BN1132" s="89">
        <f>+Assumptions!$H$389/(Assumptions!$H$25*Assumptions!$H$26/1000)</f>
        <v>624.4584774141174</v>
      </c>
      <c r="BO1132" s="89">
        <f>+Assumptions!$H$389/(Assumptions!$H$25*Assumptions!$H$26/1000)</f>
        <v>624.4584774141174</v>
      </c>
      <c r="BP1132" s="89">
        <f>+Assumptions!$H$389/(Assumptions!$H$25*Assumptions!$H$26/1000)</f>
        <v>624.4584774141174</v>
      </c>
      <c r="BQ1132" s="89">
        <f>+Assumptions!$H$389/(Assumptions!$H$25*Assumptions!$H$26/1000)</f>
        <v>624.4584774141174</v>
      </c>
      <c r="BR1132" s="89">
        <f>+Assumptions!$H$389/(Assumptions!$H$25*Assumptions!$H$26/1000)</f>
        <v>624.4584774141174</v>
      </c>
      <c r="BS1132" s="89">
        <f>+Assumptions!$H$389/(Assumptions!$H$25*Assumptions!$H$26/1000)</f>
        <v>624.4584774141174</v>
      </c>
      <c r="BT1132" s="89">
        <f>+Assumptions!$H$389/(Assumptions!$H$25*Assumptions!$H$26/1000)</f>
        <v>624.4584774141174</v>
      </c>
      <c r="BU1132" s="89">
        <f>+Assumptions!$H$389/(Assumptions!$H$25*Assumptions!$H$26/1000)</f>
        <v>624.4584774141174</v>
      </c>
      <c r="BV1132" s="89">
        <f>+Assumptions!$H$389/(Assumptions!$H$25*Assumptions!$H$26/1000)</f>
        <v>624.4584774141174</v>
      </c>
      <c r="BW1132" s="89">
        <f>+Assumptions!$H$389/(Assumptions!$H$25*Assumptions!$H$26/1000)</f>
        <v>624.4584774141174</v>
      </c>
      <c r="BX1132" s="89">
        <f>+Assumptions!$H$389/(Assumptions!$H$25*Assumptions!$H$26/1000)</f>
        <v>624.4584774141174</v>
      </c>
      <c r="BY1132" s="89">
        <f>+Assumptions!$H$389/(Assumptions!$H$25*Assumptions!$H$26/1000)</f>
        <v>624.4584774141174</v>
      </c>
    </row>
    <row r="1133" spans="5:77" outlineLevel="1">
      <c r="E1133" t="s">
        <v>547</v>
      </c>
      <c r="F1133" s="23" t="s">
        <v>573</v>
      </c>
      <c r="H1133" s="33">
        <f>-+IF(H1130=0,0,(H1131*H1132*Assumptions!$H$25*Assumptions!$H$286/Data_tables!$M$20)*Assumptions!$H$268*H$434)</f>
        <v>0</v>
      </c>
      <c r="I1133" s="33">
        <f>-+IF(I1130=0,0,(I1131*I1132*Assumptions!$H$25*Assumptions!$H$286/Data_tables!$M$20)*Assumptions!$H$268*I$434)</f>
        <v>0</v>
      </c>
      <c r="J1133" s="33">
        <f>-+IF(J1130=0,0,(J1131*J1132*Assumptions!$H$25*Assumptions!$H$286/Data_tables!$M$20)*Assumptions!$H$268*J$434)</f>
        <v>0</v>
      </c>
      <c r="K1133" s="33">
        <f>-+IF(K1130=0,0,(K1131*K1132*Assumptions!$H$25*Assumptions!$H$286/Data_tables!$M$20)*Assumptions!$H$268*K$434)</f>
        <v>0</v>
      </c>
      <c r="L1133" s="33">
        <f>-+IF(L1130=0,0,(L1131*L1132*Assumptions!$H$25*Assumptions!$H$286/Data_tables!$M$20)*Assumptions!$H$268*L$434)</f>
        <v>0</v>
      </c>
      <c r="M1133" s="33">
        <f>-+IF(M1130=0,0,(M1131*M1132*Assumptions!$H$25*Assumptions!$H$286/Data_tables!$M$20)*Assumptions!$H$268*M$434)</f>
        <v>0</v>
      </c>
      <c r="N1133" s="33">
        <f>-+IF(N1130=0,0,(N1131*N1132*Assumptions!$H$25*Assumptions!$H$286/Data_tables!$M$20)*Assumptions!$H$268*N$434)</f>
        <v>0</v>
      </c>
      <c r="O1133" s="33">
        <f>-+IF(O1130=0,0,(O1131*O1132*Assumptions!$H$25*Assumptions!$H$286/Data_tables!$M$20)*Assumptions!$H$268*O$434)</f>
        <v>0</v>
      </c>
      <c r="P1133" s="33">
        <f>-+IF(P1130=0,0,(P1131*P1132*Assumptions!$H$25*Assumptions!$H$286/Data_tables!$M$20)*Assumptions!$H$268*P$434)</f>
        <v>0</v>
      </c>
      <c r="Q1133" s="33">
        <f>-+IF(Q1130=0,0,(Q1131*Q1132*Assumptions!$H$25*Assumptions!$H$286/Data_tables!$M$20)*Assumptions!$H$268*Q$434)</f>
        <v>0</v>
      </c>
      <c r="R1133" s="33">
        <f>-+IF(R1130=0,0,(R1131*R1132*Assumptions!$H$25*Assumptions!$H$286/Data_tables!$M$20)*Assumptions!$H$268*R$434)</f>
        <v>0</v>
      </c>
      <c r="S1133" s="33">
        <f>-+IF(S1130=0,0,(S1131*S1132*Assumptions!$H$25*Assumptions!$H$286/Data_tables!$M$20)*Assumptions!$H$268*S$434)</f>
        <v>0</v>
      </c>
      <c r="T1133" s="33">
        <f>-+IF(T1130=0,0,(T1131*T1132*Assumptions!$H$25*Assumptions!$H$286/Data_tables!$M$20)*Assumptions!$H$268*T$434)</f>
        <v>0</v>
      </c>
      <c r="U1133" s="33">
        <f>-+IF(U1130=0,0,(U1131*U1132*Assumptions!$H$25*Assumptions!$H$286/Data_tables!$M$20)*Assumptions!$H$268*U$434)</f>
        <v>0</v>
      </c>
      <c r="V1133" s="33">
        <f>-+IF(V1130=0,0,(V1131*V1132*Assumptions!$H$25*Assumptions!$H$286/Data_tables!$M$20)*Assumptions!$H$268*V$434)</f>
        <v>0</v>
      </c>
      <c r="W1133" s="33">
        <f>-+IF(W1130=0,0,(W1131*W1132*Assumptions!$H$25*Assumptions!$H$286/Data_tables!$M$20)*Assumptions!$H$268*W$434)</f>
        <v>0</v>
      </c>
      <c r="X1133" s="33">
        <f>-+IF(X1130=0,0,(X1131*X1132*Assumptions!$H$25*Assumptions!$H$286/Data_tables!$M$20)*Assumptions!$H$268*X$434)</f>
        <v>0</v>
      </c>
      <c r="Y1133" s="33">
        <f>-+IF(Y1130=0,0,(Y1131*Y1132*Assumptions!$H$25*Assumptions!$H$286/Data_tables!$M$20)*Assumptions!$H$268*Y$434)</f>
        <v>0</v>
      </c>
      <c r="Z1133" s="33">
        <f>-+IF(Z1130=0,0,(Z1131*Z1132*Assumptions!$H$25*Assumptions!$H$286/Data_tables!$M$20)*Assumptions!$H$268*Z$434)</f>
        <v>0</v>
      </c>
      <c r="AA1133" s="33">
        <f>-+IF(AA1130=0,0,(AA1131*AA1132*Assumptions!$H$25*Assumptions!$H$286/Data_tables!$M$20)*Assumptions!$H$268*AA$434)</f>
        <v>0</v>
      </c>
      <c r="AB1133" s="33">
        <f>-+IF(AB1130=0,0,(AB1131*AB1132*Assumptions!$H$25*Assumptions!$H$286/Data_tables!$M$20)*Assumptions!$H$268*AB$434)</f>
        <v>0</v>
      </c>
      <c r="AC1133" s="33">
        <f>-+IF(AC1130=0,0,(AC1131*AC1132*Assumptions!$H$25*Assumptions!$H$286/Data_tables!$M$20)*Assumptions!$H$268*AC$434)</f>
        <v>0</v>
      </c>
      <c r="AD1133" s="33">
        <f>-+IF(AD1130=0,0,(AD1131*AD1132*Assumptions!$H$25*Assumptions!$H$286/Data_tables!$M$20)*Assumptions!$H$268*AD$434)</f>
        <v>0</v>
      </c>
      <c r="AE1133" s="33">
        <f>-+IF(AE1130=0,0,(AE1131*AE1132*Assumptions!$H$25*Assumptions!$H$286/Data_tables!$M$20)*Assumptions!$H$268*AE$434)</f>
        <v>0</v>
      </c>
      <c r="AF1133" s="33">
        <f>-+IF(AF1130=0,0,(AF1131*AF1132*Assumptions!$H$25*Assumptions!$H$286/Data_tables!$M$20)*Assumptions!$H$268*AF$434)</f>
        <v>0</v>
      </c>
      <c r="AG1133" s="33">
        <f>-+IF(AG1130=0,0,(AG1131*AG1132*Assumptions!$H$25*Assumptions!$H$286/Data_tables!$M$20)*Assumptions!$H$268*AG$434)</f>
        <v>0</v>
      </c>
      <c r="AH1133" s="33">
        <f>-+IF(AH1130=0,0,(AH1131*AH1132*Assumptions!$H$25*Assumptions!$H$286/Data_tables!$M$20)*Assumptions!$H$268*AH$434)</f>
        <v>0</v>
      </c>
      <c r="AI1133" s="33">
        <f>-+IF(AI1130=0,0,(AI1131*AI1132*Assumptions!$H$25*Assumptions!$H$286/Data_tables!$M$20)*Assumptions!$H$268*AI$434)</f>
        <v>0</v>
      </c>
      <c r="AJ1133" s="33">
        <f>-+IF(AJ1130=0,0,(AJ1131*AJ1132*Assumptions!$H$25*Assumptions!$H$286/Data_tables!$M$20)*Assumptions!$H$268*AJ$434)</f>
        <v>0</v>
      </c>
      <c r="AK1133" s="33">
        <f>-+IF(AK1130=0,0,(AK1131*AK1132*Assumptions!$H$25*Assumptions!$H$286/Data_tables!$M$20)*Assumptions!$H$268*AK$434)</f>
        <v>0</v>
      </c>
      <c r="AL1133" s="33">
        <f>-+IF(AL1130=0,0,(AL1131*AL1132*Assumptions!$H$25*Assumptions!$H$286/Data_tables!$M$20)*Assumptions!$H$268*AL$434)</f>
        <v>0</v>
      </c>
      <c r="AM1133" s="33">
        <f>-+IF(AM1130=0,0,(AM1131*AM1132*Assumptions!$H$25*Assumptions!$H$286/Data_tables!$M$20)*Assumptions!$H$268*AM$434)</f>
        <v>0</v>
      </c>
      <c r="AN1133" s="33">
        <f>-+IF(AN1130=0,0,(AN1131*AN1132*Assumptions!$H$25*Assumptions!$H$286/Data_tables!$M$20)*Assumptions!$H$268*AN$434)</f>
        <v>0</v>
      </c>
      <c r="AO1133" s="33">
        <f>-+IF(AO1130=0,0,(AO1131*AO1132*Assumptions!$H$25*Assumptions!$H$286/Data_tables!$M$20)*Assumptions!$H$268*AO$434)</f>
        <v>0</v>
      </c>
      <c r="AP1133" s="33">
        <f>-+IF(AP1130=0,0,(AP1131*AP1132*Assumptions!$H$25*Assumptions!$H$286/Data_tables!$M$20)*Assumptions!$H$268*AP$434)</f>
        <v>0</v>
      </c>
      <c r="AQ1133" s="33">
        <f>-+IF(AQ1130=0,0,(AQ1131*AQ1132*Assumptions!$H$25*Assumptions!$H$286/Data_tables!$M$20)*Assumptions!$H$268*AQ$434)</f>
        <v>0</v>
      </c>
      <c r="AR1133" s="33">
        <f>-+IF(AR1130=0,0,(AR1131*AR1132*Assumptions!$H$25*Assumptions!$H$286/Data_tables!$M$20)*Assumptions!$H$268*AR$434)</f>
        <v>0</v>
      </c>
      <c r="AS1133" s="33">
        <f>-+IF(AS1130=0,0,(AS1131*AS1132*Assumptions!$H$25*Assumptions!$H$286/Data_tables!$M$20)*Assumptions!$H$268*AS$434)</f>
        <v>0</v>
      </c>
      <c r="AT1133" s="33">
        <f>-+IF(AT1130=0,0,(AT1131*AT1132*Assumptions!$H$25*Assumptions!$H$286/Data_tables!$M$20)*Assumptions!$H$268*AT$434)</f>
        <v>0</v>
      </c>
      <c r="AU1133" s="33">
        <f>-+IF(AU1130=0,0,(AU1131*AU1132*Assumptions!$H$25*Assumptions!$H$286/Data_tables!$M$20)*Assumptions!$H$268*AU$434)</f>
        <v>0</v>
      </c>
      <c r="AV1133" s="33">
        <f>-+IF(AV1130=0,0,(AV1131*AV1132*Assumptions!$H$25*Assumptions!$H$286/Data_tables!$M$20)*Assumptions!$H$268*AV$434)</f>
        <v>0</v>
      </c>
      <c r="AW1133" s="33">
        <f>-+IF(AW1130=0,0,(AW1131*AW1132*Assumptions!$H$25*Assumptions!$H$286/Data_tables!$M$20)*Assumptions!$H$268*AW$434)</f>
        <v>0</v>
      </c>
      <c r="AX1133" s="33">
        <f>-+IF(AX1130=0,0,(AX1131*AX1132*Assumptions!$H$25*Assumptions!$H$286/Data_tables!$M$20)*Assumptions!$H$268*AX$434)</f>
        <v>0</v>
      </c>
      <c r="AY1133" s="33">
        <f>-+IF(AY1130=0,0,(AY1131*AY1132*Assumptions!$H$25*Assumptions!$H$286/Data_tables!$M$20)*Assumptions!$H$268*AY$434)</f>
        <v>0</v>
      </c>
      <c r="AZ1133" s="33">
        <f>-+IF(AZ1130=0,0,(AZ1131*AZ1132*Assumptions!$H$25*Assumptions!$H$286/Data_tables!$M$20)*Assumptions!$H$268*AZ$434)</f>
        <v>0</v>
      </c>
      <c r="BA1133" s="33">
        <f>-+IF(BA1130=0,0,(BA1131*BA1132*Assumptions!$H$25*Assumptions!$H$286/Data_tables!$M$20)*Assumptions!$H$268*BA$434)</f>
        <v>0</v>
      </c>
      <c r="BB1133" s="33">
        <f>-+IF(BB1130=0,0,(BB1131*BB1132*Assumptions!$H$25*Assumptions!$H$286/Data_tables!$M$20)*Assumptions!$H$268*BB$434)</f>
        <v>0</v>
      </c>
      <c r="BC1133" s="33">
        <f>-+IF(BC1130=0,0,(BC1131*BC1132*Assumptions!$H$25*Assumptions!$H$286/Data_tables!$M$20)*Assumptions!$H$268*BC$434)</f>
        <v>0</v>
      </c>
      <c r="BD1133" s="33">
        <f>-+IF(BD1130=0,0,(BD1131*BD1132*Assumptions!$H$25*Assumptions!$H$286/Data_tables!$M$20)*Assumptions!$H$268*BD$434)</f>
        <v>0</v>
      </c>
      <c r="BE1133" s="33">
        <f>-+IF(BE1130=0,0,(BE1131*BE1132*Assumptions!$H$25*Assumptions!$H$286/Data_tables!$M$20)*Assumptions!$H$268*BE$434)</f>
        <v>0</v>
      </c>
      <c r="BF1133" s="33">
        <f>-+IF(BF1130=0,0,(BF1131*BF1132*Assumptions!$H$25*Assumptions!$H$286/Data_tables!$M$20)*Assumptions!$H$268*BF$434)</f>
        <v>0</v>
      </c>
      <c r="BG1133" s="33">
        <f>-+IF(BG1130=0,0,(BG1131*BG1132*Assumptions!$H$25*Assumptions!$H$286/Data_tables!$M$20)*Assumptions!$H$268*BG$434)</f>
        <v>0</v>
      </c>
      <c r="BH1133" s="33">
        <f>-+IF(BH1130=0,0,(BH1131*BH1132*Assumptions!$H$25*Assumptions!$H$286/Data_tables!$M$20)*Assumptions!$H$268*BH$434)</f>
        <v>0</v>
      </c>
      <c r="BI1133" s="33">
        <f>-+IF(BI1130=0,0,(BI1131*BI1132*Assumptions!$H$25*Assumptions!$H$286/Data_tables!$M$20)*Assumptions!$H$268*BI$434)</f>
        <v>0</v>
      </c>
      <c r="BJ1133" s="33">
        <f>-+IF(BJ1130=0,0,(BJ1131*BJ1132*Assumptions!$H$25*Assumptions!$H$286/Data_tables!$M$20)*Assumptions!$H$268*BJ$434)</f>
        <v>0</v>
      </c>
      <c r="BK1133" s="33">
        <f>-+IF(BK1130=0,0,(BK1131*BK1132*Assumptions!$H$25*Assumptions!$H$286/Data_tables!$M$20)*Assumptions!$H$268*BK$434)</f>
        <v>0</v>
      </c>
      <c r="BL1133" s="33">
        <f>-+IF(BL1130=0,0,(BL1131*BL1132*Assumptions!$H$25*Assumptions!$H$286/Data_tables!$M$20)*Assumptions!$H$268*BL$434)</f>
        <v>0</v>
      </c>
      <c r="BM1133" s="33">
        <f>-+IF(BM1130=0,0,(BM1131*BM1132*Assumptions!$H$25*Assumptions!$H$286/Data_tables!$M$20)*Assumptions!$H$268*BM$434)</f>
        <v>0</v>
      </c>
      <c r="BN1133" s="33">
        <f>-+IF(BN1130=0,0,(BN1131*BN1132*Assumptions!$H$25*Assumptions!$H$286/Data_tables!$M$20)*Assumptions!$H$268*BN$434)</f>
        <v>0</v>
      </c>
      <c r="BO1133" s="33">
        <f>-+IF(BO1130=0,0,(BO1131*BO1132*Assumptions!$H$25*Assumptions!$H$286/Data_tables!$M$20)*Assumptions!$H$268*BO$434)</f>
        <v>0</v>
      </c>
      <c r="BP1133" s="33">
        <f>-+IF(BP1130=0,0,(BP1131*BP1132*Assumptions!$H$25*Assumptions!$H$286/Data_tables!$M$20)*Assumptions!$H$268*BP$434)</f>
        <v>0</v>
      </c>
      <c r="BQ1133" s="33">
        <f>-+IF(BQ1130=0,0,(BQ1131*BQ1132*Assumptions!$H$25*Assumptions!$H$286/Data_tables!$M$20)*Assumptions!$H$268*BQ$434)</f>
        <v>0</v>
      </c>
      <c r="BR1133" s="33">
        <f>-+IF(BR1130=0,0,(BR1131*BR1132*Assumptions!$H$25*Assumptions!$H$286/Data_tables!$M$20)*Assumptions!$H$268*BR$434)</f>
        <v>0</v>
      </c>
      <c r="BS1133" s="33">
        <f>-+IF(BS1130=0,0,(BS1131*BS1132*Assumptions!$H$25*Assumptions!$H$286/Data_tables!$M$20)*Assumptions!$H$268*BS$434)</f>
        <v>0</v>
      </c>
      <c r="BT1133" s="33">
        <f>-+IF(BT1130=0,0,(BT1131*BT1132*Assumptions!$H$25*Assumptions!$H$286/Data_tables!$M$20)*Assumptions!$H$268*BT$434)</f>
        <v>0</v>
      </c>
      <c r="BU1133" s="33">
        <f>-+IF(BU1130=0,0,(BU1131*BU1132*Assumptions!$H$25*Assumptions!$H$286/Data_tables!$M$20)*Assumptions!$H$268*BU$434)</f>
        <v>0</v>
      </c>
      <c r="BV1133" s="33">
        <f>-+IF(BV1130=0,0,(BV1131*BV1132*Assumptions!$H$25*Assumptions!$H$286/Data_tables!$M$20)*Assumptions!$H$268*BV$434)</f>
        <v>0</v>
      </c>
      <c r="BW1133" s="33">
        <f>-+IF(BW1130=0,0,(BW1131*BW1132*Assumptions!$H$25*Assumptions!$H$286/Data_tables!$M$20)*Assumptions!$H$268*BW$434)</f>
        <v>0</v>
      </c>
      <c r="BX1133" s="33">
        <f>-+IF(BX1130=0,0,(BX1131*BX1132*Assumptions!$H$25*Assumptions!$H$286/Data_tables!$M$20)*Assumptions!$H$268*BX$434)</f>
        <v>0</v>
      </c>
      <c r="BY1133" s="33">
        <f>-+IF(BY1130=0,0,(BY1131*BY1132*Assumptions!$H$25*Assumptions!$H$286/Data_tables!$M$20)*Assumptions!$H$268*BY$434)</f>
        <v>0</v>
      </c>
    </row>
    <row r="1134" spans="5:77">
      <c r="E1134" s="25" t="s">
        <v>243</v>
      </c>
      <c r="F1134" s="81" t="s">
        <v>423</v>
      </c>
      <c r="G1134" s="25"/>
      <c r="H1134" s="105">
        <f ca="1">1/(1+Assumptions!$G$356)*IF(G1134=0,1,G1134)</f>
        <v>0.95979422011920645</v>
      </c>
      <c r="I1134" s="105">
        <f ca="1">1/(1+Assumptions!$G$356)*IF(H1134=0,1,H1134)</f>
        <v>0.92120494497423577</v>
      </c>
      <c r="J1134" s="105">
        <f ca="1">1/(1+Assumptions!$G$356)*IF(I1134=0,1,I1134)</f>
        <v>0.8841671817315031</v>
      </c>
      <c r="K1134" s="105">
        <f ca="1">1/(1+Assumptions!$G$356)*IF(J1134=0,1,J1134)</f>
        <v>0.8486185506449847</v>
      </c>
      <c r="L1134" s="105">
        <f ca="1">1/(1+Assumptions!$G$356)*IF(K1134=0,1,K1134)</f>
        <v>0.81449917999499444</v>
      </c>
      <c r="M1134" s="105">
        <f ca="1">1/(1+Assumptions!$G$356)*IF(L1134=0,1,L1134)</f>
        <v>0.78175160525102882</v>
      </c>
      <c r="N1134" s="105">
        <f ca="1">1/(1+Assumptions!$G$356)*IF(M1134=0,1,M1134)</f>
        <v>0.75032067228884891</v>
      </c>
      <c r="O1134" s="105">
        <f ca="1">1/(1+Assumptions!$G$356)*IF(N1134=0,1,N1134)</f>
        <v>0.72015344449879437</v>
      </c>
      <c r="P1134" s="105">
        <f ca="1">1/(1+Assumptions!$G$356)*IF(O1134=0,1,O1134)</f>
        <v>0.69119911362888053</v>
      </c>
      <c r="Q1134" s="105">
        <f ca="1">1/(1+Assumptions!$G$356)*IF(P1134=0,1,P1134)</f>
        <v>0.66340891421251813</v>
      </c>
      <c r="R1134" s="105">
        <f ca="1">1/(1+Assumptions!$G$356)*IF(Q1134=0,1,Q1134)</f>
        <v>0.63673604143673335</v>
      </c>
      <c r="S1134" s="105">
        <f ca="1">1/(1+Assumptions!$G$356)*IF(R1134=0,1,R1134)</f>
        <v>0.61113557231256022</v>
      </c>
      <c r="T1134" s="105">
        <f ca="1">1/(1+Assumptions!$G$356)*IF(S1134=0,1,S1134)</f>
        <v>0.58656439001483862</v>
      </c>
      <c r="U1134" s="105">
        <f ca="1">1/(1+Assumptions!$G$356)*IF(T1134=0,1,T1134)</f>
        <v>0.56298111126399009</v>
      </c>
      <c r="V1134" s="105">
        <f ca="1">1/(1+Assumptions!$G$356)*IF(U1134=0,1,U1134)</f>
        <v>0.54034601662746551</v>
      </c>
      <c r="W1134" s="105">
        <f ca="1">1/(1+Assumptions!$G$356)*IF(V1134=0,1,V1134)</f>
        <v>0.51862098362347797</v>
      </c>
      <c r="X1134" s="105">
        <f ca="1">1/(1+Assumptions!$G$356)*IF(W1134=0,1,W1134)</f>
        <v>0.4977694225143518</v>
      </c>
      <c r="Y1134" s="105">
        <f ca="1">1/(1+Assumptions!$G$356)*IF(X1134=0,1,X1134)</f>
        <v>0.47775621468135004</v>
      </c>
      <c r="Z1134" s="105">
        <f ca="1">1/(1+Assumptions!$G$356)*IF(Y1134=0,1,Y1134)</f>
        <v>0.45854765347719056</v>
      </c>
      <c r="AA1134" s="105">
        <f ca="1">1/(1+Assumptions!$G$356)*IF(Z1134=0,1,Z1134)</f>
        <v>0.44011138745663225</v>
      </c>
      <c r="AB1134" s="105">
        <f ca="1">1/(1+Assumptions!$G$356)*IF(AA1134=0,1,AA1134)</f>
        <v>0.42241636588952025</v>
      </c>
      <c r="AC1134" s="105">
        <f ca="1">1/(1+Assumptions!$G$356)*IF(AB1134=0,1,AB1134)</f>
        <v>0.40543278646452147</v>
      </c>
      <c r="AD1134" s="105">
        <f ca="1">1/(1+Assumptions!$G$356)*IF(AC1134=0,1,AC1134)</f>
        <v>0.38913204509547217</v>
      </c>
      <c r="AE1134" s="105">
        <f ca="1">1/(1+Assumptions!$G$356)*IF(AD1134=0,1,AD1134)</f>
        <v>0.37348668774580057</v>
      </c>
      <c r="AF1134" s="105">
        <f ca="1">1/(1+Assumptions!$G$356)*IF(AE1134=0,1,AE1134)</f>
        <v>0.35847036418988626</v>
      </c>
      <c r="AG1134" s="105">
        <f ca="1">1/(1+Assumptions!$G$356)*IF(AF1134=0,1,AF1134)</f>
        <v>0.34405778363347977</v>
      </c>
      <c r="AH1134" s="105">
        <f ca="1">1/(1+Assumptions!$G$356)*IF(AG1134=0,1,AG1134)</f>
        <v>0.33022467211843837</v>
      </c>
      <c r="AI1134" s="105">
        <f ca="1">1/(1+Assumptions!$G$356)*IF(AH1134=0,1,AH1134)</f>
        <v>0.3169477316400372</v>
      </c>
      <c r="AJ1134" s="105">
        <f ca="1">1/(1+Assumptions!$G$356)*IF(AI1134=0,1,AI1134)</f>
        <v>0.30420460090800105</v>
      </c>
      <c r="AK1134" s="105">
        <f ca="1">1/(1+Assumptions!$G$356)*IF(AJ1134=0,1,AJ1134)</f>
        <v>0.29197381768516933</v>
      </c>
      <c r="AL1134" s="105">
        <f ca="1">1/(1+Assumptions!$G$356)*IF(AK1134=0,1,AK1134)</f>
        <v>0.28023478264036444</v>
      </c>
      <c r="AM1134" s="105">
        <f ca="1">1/(1+Assumptions!$G$356)*IF(AL1134=0,1,AL1134)</f>
        <v>0.26896772465458391</v>
      </c>
      <c r="AN1134" s="105">
        <f ca="1">1/(1+Assumptions!$G$356)*IF(AM1134=0,1,AM1134)</f>
        <v>0.2581536675220838</v>
      </c>
      <c r="AO1134" s="105">
        <f ca="1">1/(1+Assumptions!$G$356)*IF(AN1134=0,1,AN1134)</f>
        <v>0.24777439799027134</v>
      </c>
      <c r="AP1134" s="105">
        <f ca="1">1/(1+Assumptions!$G$356)*IF(AO1134=0,1,AO1134)</f>
        <v>0.23781243508457836</v>
      </c>
      <c r="AQ1134" s="105">
        <f ca="1">1/(1+Assumptions!$G$356)*IF(AP1134=0,1,AP1134)</f>
        <v>0.2282510006666523</v>
      </c>
      <c r="AR1134" s="105">
        <f ca="1">1/(1+Assumptions!$G$356)*IF(AQ1134=0,1,AQ1134)</f>
        <v>0.21907399117627802</v>
      </c>
      <c r="AS1134" s="105">
        <f ca="1">1/(1+Assumptions!$G$356)*IF(AR1134=0,1,AR1134)</f>
        <v>0.21026595050943767</v>
      </c>
      <c r="AT1134" s="105">
        <f ca="1">1/(1+Assumptions!$G$356)*IF(AS1134=0,1,AS1134)</f>
        <v>0.20181204398682939</v>
      </c>
      <c r="AU1134" s="105">
        <f ca="1">1/(1+Assumptions!$G$356)*IF(AT1134=0,1,AT1134)</f>
        <v>0.1936980333690019</v>
      </c>
      <c r="AV1134" s="105">
        <f ca="1">1/(1+Assumptions!$G$356)*IF(AU1134=0,1,AU1134)</f>
        <v>0.18591025287602522</v>
      </c>
      <c r="AW1134" s="105">
        <f ca="1">1/(1+Assumptions!$G$356)*IF(AV1134=0,1,AV1134)</f>
        <v>0.17843558617130909</v>
      </c>
      <c r="AX1134" s="105">
        <f ca="1">1/(1+Assumptions!$G$356)*IF(AW1134=0,1,AW1134)</f>
        <v>0.17126144427080506</v>
      </c>
      <c r="AY1134" s="105">
        <f ca="1">1/(1+Assumptions!$G$356)*IF(AX1134=0,1,AX1134)</f>
        <v>0.16437574434038627</v>
      </c>
      <c r="AZ1134" s="105">
        <f ca="1">1/(1+Assumptions!$G$356)*IF(AY1134=0,1,AY1134)</f>
        <v>0.1577668893456951</v>
      </c>
      <c r="BA1134" s="105">
        <f ca="1">1/(1+Assumptions!$G$356)*IF(AZ1134=0,1,AZ1134)</f>
        <v>0.15142374852018459</v>
      </c>
      <c r="BB1134" s="105">
        <f ca="1">1/(1+Assumptions!$G$356)*IF(BA1134=0,1,BA1134)</f>
        <v>0.14533563861845741</v>
      </c>
      <c r="BC1134" s="105">
        <f ca="1">1/(1+Assumptions!$G$356)*IF(BB1134=0,1,BB1134)</f>
        <v>0.13949230592332915</v>
      </c>
      <c r="BD1134" s="105">
        <f ca="1">1/(1+Assumptions!$G$356)*IF(BC1134=0,1,BC1134)</f>
        <v>0.13388390897631147</v>
      </c>
      <c r="BE1134" s="105">
        <f ca="1">1/(1+Assumptions!$G$356)*IF(BD1134=0,1,BD1134)</f>
        <v>0.1285010020024297</v>
      </c>
      <c r="BF1134" s="105">
        <f ca="1">1/(1+Assumptions!$G$356)*IF(BE1134=0,1,BE1134)</f>
        <v>0.1233345190014586</v>
      </c>
      <c r="BG1134" s="105">
        <f ca="1">1/(1+Assumptions!$G$356)*IF(BF1134=0,1,BF1134)</f>
        <v>0.11837575847878241</v>
      </c>
      <c r="BH1134" s="105">
        <f ca="1">1/(1+Assumptions!$G$356)*IF(BG1134=0,1,BG1134)</f>
        <v>0.11361636879016251</v>
      </c>
      <c r="BI1134" s="105">
        <f ca="1">1/(1+Assumptions!$G$356)*IF(BH1134=0,1,BH1134)</f>
        <v>0.10904833407573018</v>
      </c>
      <c r="BJ1134" s="105">
        <f ca="1">1/(1+Assumptions!$G$356)*IF(BI1134=0,1,BI1134)</f>
        <v>0.10466396075951413</v>
      </c>
      <c r="BK1134" s="105">
        <f ca="1">1/(1+Assumptions!$G$356)*IF(BJ1134=0,1,BJ1134)</f>
        <v>0.10045586459176509</v>
      </c>
      <c r="BL1134" s="105">
        <f ca="1">1/(1+Assumptions!$G$356)*IF(BK1134=0,1,BK1134)</f>
        <v>9.6416958212253781E-2</v>
      </c>
      <c r="BM1134" s="105">
        <f ca="1">1/(1+Assumptions!$G$356)*IF(BL1134=0,1,BL1134)</f>
        <v>9.254043921359624E-2</v>
      </c>
      <c r="BN1134" s="105">
        <f ca="1">1/(1+Assumptions!$G$356)*IF(BM1134=0,1,BM1134)</f>
        <v>8.8819778684502429E-2</v>
      </c>
      <c r="BO1134" s="105">
        <f ca="1">1/(1+Assumptions!$G$356)*IF(BN1134=0,1,BN1134)</f>
        <v>8.5248710213652532E-2</v>
      </c>
      <c r="BP1134" s="105">
        <f ca="1">1/(1+Assumptions!$G$356)*IF(BO1134=0,1,BO1134)</f>
        <v>8.1821219335680859E-2</v>
      </c>
      <c r="BQ1134" s="105">
        <f ca="1">1/(1+Assumptions!$G$356)*IF(BP1134=0,1,BP1134)</f>
        <v>7.853153340149234E-2</v>
      </c>
      <c r="BR1134" s="105">
        <f ca="1">1/(1+Assumptions!$G$356)*IF(BQ1134=0,1,BQ1134)</f>
        <v>7.5374111855850759E-2</v>
      </c>
      <c r="BS1134" s="105">
        <f ca="1">1/(1+Assumptions!$G$356)*IF(BR1134=0,1,BR1134)</f>
        <v>7.2343636905864109E-2</v>
      </c>
      <c r="BT1134" s="105">
        <f ca="1">1/(1+Assumptions!$G$356)*IF(BS1134=0,1,BS1134)</f>
        <v>6.943500456465089E-2</v>
      </c>
      <c r="BU1134" s="105">
        <f ca="1">1/(1+Assumptions!$G$356)*IF(BT1134=0,1,BT1134)</f>
        <v>6.6643316055102639E-2</v>
      </c>
      <c r="BV1134" s="105">
        <f ca="1">1/(1+Assumptions!$G$356)*IF(BU1134=0,1,BU1134)</f>
        <v>6.396386955926503E-2</v>
      </c>
      <c r="BW1134" s="105">
        <f ca="1">1/(1+Assumptions!$G$356)*IF(BV1134=0,1,BV1134)</f>
        <v>6.1392152299441428E-2</v>
      </c>
      <c r="BX1134" s="105">
        <f ca="1">1/(1+Assumptions!$G$356)*IF(BW1134=0,1,BW1134)</f>
        <v>5.8923832937681934E-2</v>
      </c>
      <c r="BY1134" s="105">
        <f ca="1">1/(1+Assumptions!$G$356)*IF(BX1134=0,1,BX1134)</f>
        <v>5.6554754280856843E-2</v>
      </c>
    </row>
    <row r="1135" spans="5:77">
      <c r="E1135" t="s">
        <v>548</v>
      </c>
      <c r="F1135" s="80" t="s">
        <v>549</v>
      </c>
      <c r="H1135" s="33">
        <f ca="1">+H1134*H1133*Assumptions!$G$390</f>
        <v>0</v>
      </c>
      <c r="I1135" s="33">
        <f ca="1">+I1134*I1133*Assumptions!$G$390</f>
        <v>0</v>
      </c>
      <c r="J1135" s="33">
        <f ca="1">+J1134*J1133*Assumptions!$G$390</f>
        <v>0</v>
      </c>
      <c r="K1135" s="33">
        <f ca="1">+K1134*K1133*Assumptions!$G$390</f>
        <v>0</v>
      </c>
      <c r="L1135" s="33">
        <f ca="1">+L1134*L1133*Assumptions!$G$390</f>
        <v>0</v>
      </c>
      <c r="M1135" s="33">
        <f ca="1">+M1134*M1133*Assumptions!$G$390</f>
        <v>0</v>
      </c>
      <c r="N1135" s="33">
        <f ca="1">+N1134*N1133*Assumptions!$G$390</f>
        <v>0</v>
      </c>
      <c r="O1135" s="33">
        <f ca="1">+O1134*O1133*Assumptions!$G$390</f>
        <v>0</v>
      </c>
      <c r="P1135" s="33">
        <f ca="1">+P1134*P1133*Assumptions!$G$390</f>
        <v>0</v>
      </c>
      <c r="Q1135" s="33">
        <f ca="1">+Q1134*Q1133*Assumptions!$G$390</f>
        <v>0</v>
      </c>
      <c r="R1135" s="33">
        <f ca="1">+R1134*R1133*Assumptions!$G$390</f>
        <v>0</v>
      </c>
      <c r="S1135" s="33">
        <f ca="1">+S1134*S1133*Assumptions!$G$390</f>
        <v>0</v>
      </c>
      <c r="T1135" s="33">
        <f ca="1">+T1134*T1133*Assumptions!$G$390</f>
        <v>0</v>
      </c>
      <c r="U1135" s="33">
        <f ca="1">+U1134*U1133*Assumptions!$G$390</f>
        <v>0</v>
      </c>
      <c r="V1135" s="33">
        <f ca="1">+V1134*V1133*Assumptions!$G$390</f>
        <v>0</v>
      </c>
      <c r="W1135" s="33">
        <f ca="1">+W1134*W1133*Assumptions!$G$390</f>
        <v>0</v>
      </c>
      <c r="X1135" s="33">
        <f ca="1">+X1134*X1133*Assumptions!$G$390</f>
        <v>0</v>
      </c>
      <c r="Y1135" s="33">
        <f ca="1">+Y1134*Y1133*Assumptions!$G$390</f>
        <v>0</v>
      </c>
      <c r="Z1135" s="33">
        <f ca="1">+Z1134*Z1133*Assumptions!$G$390</f>
        <v>0</v>
      </c>
      <c r="AA1135" s="33">
        <f ca="1">+AA1134*AA1133*Assumptions!$G$390</f>
        <v>0</v>
      </c>
      <c r="AB1135" s="33">
        <f ca="1">+AB1134*AB1133*Assumptions!$G$390</f>
        <v>0</v>
      </c>
      <c r="AC1135" s="33">
        <f ca="1">+AC1134*AC1133*Assumptions!$G$390</f>
        <v>0</v>
      </c>
      <c r="AD1135" s="33">
        <f ca="1">+AD1134*AD1133*Assumptions!$G$390</f>
        <v>0</v>
      </c>
      <c r="AE1135" s="33">
        <f ca="1">+AE1134*AE1133*Assumptions!$G$390</f>
        <v>0</v>
      </c>
      <c r="AF1135" s="33">
        <f ca="1">+AF1134*AF1133*Assumptions!$G$390</f>
        <v>0</v>
      </c>
      <c r="AG1135" s="33">
        <f ca="1">+AG1134*AG1133*Assumptions!$G$390</f>
        <v>0</v>
      </c>
      <c r="AH1135" s="33">
        <f ca="1">+AH1134*AH1133*Assumptions!$G$390</f>
        <v>0</v>
      </c>
      <c r="AI1135" s="33">
        <f ca="1">+AI1134*AI1133*Assumptions!$G$390</f>
        <v>0</v>
      </c>
      <c r="AJ1135" s="33">
        <f ca="1">+AJ1134*AJ1133*Assumptions!$G$390</f>
        <v>0</v>
      </c>
      <c r="AK1135" s="33">
        <f ca="1">+AK1134*AK1133*Assumptions!$G$390</f>
        <v>0</v>
      </c>
      <c r="AL1135" s="33">
        <f ca="1">+AL1134*AL1133*Assumptions!$G$390</f>
        <v>0</v>
      </c>
      <c r="AM1135" s="33">
        <f ca="1">+AM1134*AM1133*Assumptions!$G$390</f>
        <v>0</v>
      </c>
      <c r="AN1135" s="33">
        <f ca="1">+AN1134*AN1133*Assumptions!$G$390</f>
        <v>0</v>
      </c>
      <c r="AO1135" s="33">
        <f ca="1">+AO1134*AO1133*Assumptions!$G$390</f>
        <v>0</v>
      </c>
      <c r="AP1135" s="33">
        <f ca="1">+AP1134*AP1133*Assumptions!$G$390</f>
        <v>0</v>
      </c>
      <c r="AQ1135" s="33">
        <f ca="1">+AQ1134*AQ1133*Assumptions!$G$390</f>
        <v>0</v>
      </c>
      <c r="AR1135" s="33">
        <f ca="1">+AR1134*AR1133*Assumptions!$G$390</f>
        <v>0</v>
      </c>
      <c r="AS1135" s="33">
        <f ca="1">+AS1134*AS1133*Assumptions!$G$390</f>
        <v>0</v>
      </c>
      <c r="AT1135" s="33">
        <f ca="1">+AT1134*AT1133*Assumptions!$G$390</f>
        <v>0</v>
      </c>
      <c r="AU1135" s="33">
        <f ca="1">+AU1134*AU1133*Assumptions!$G$390</f>
        <v>0</v>
      </c>
      <c r="AV1135" s="33">
        <f ca="1">+AV1134*AV1133*Assumptions!$G$390</f>
        <v>0</v>
      </c>
      <c r="AW1135" s="33">
        <f ca="1">+AW1134*AW1133*Assumptions!$G$390</f>
        <v>0</v>
      </c>
      <c r="AX1135" s="33">
        <f ca="1">+AX1134*AX1133*Assumptions!$G$390</f>
        <v>0</v>
      </c>
      <c r="AY1135" s="33">
        <f ca="1">+AY1134*AY1133*Assumptions!$G$390</f>
        <v>0</v>
      </c>
      <c r="AZ1135" s="33">
        <f ca="1">+AZ1134*AZ1133*Assumptions!$G$390</f>
        <v>0</v>
      </c>
      <c r="BA1135" s="33">
        <f ca="1">+BA1134*BA1133*Assumptions!$G$390</f>
        <v>0</v>
      </c>
      <c r="BB1135" s="33">
        <f ca="1">+BB1134*BB1133*Assumptions!$G$390</f>
        <v>0</v>
      </c>
      <c r="BC1135" s="33">
        <f ca="1">+BC1134*BC1133*Assumptions!$G$390</f>
        <v>0</v>
      </c>
      <c r="BD1135" s="33">
        <f ca="1">+BD1134*BD1133*Assumptions!$G$390</f>
        <v>0</v>
      </c>
      <c r="BE1135" s="33">
        <f ca="1">+BE1134*BE1133*Assumptions!$G$390</f>
        <v>0</v>
      </c>
      <c r="BF1135" s="33">
        <f ca="1">+BF1134*BF1133*Assumptions!$G$390</f>
        <v>0</v>
      </c>
      <c r="BG1135" s="33">
        <f ca="1">+BG1134*BG1133*Assumptions!$G$390</f>
        <v>0</v>
      </c>
      <c r="BH1135" s="33">
        <f ca="1">+BH1134*BH1133*Assumptions!$G$390</f>
        <v>0</v>
      </c>
      <c r="BI1135" s="33">
        <f ca="1">+BI1134*BI1133*Assumptions!$G$390</f>
        <v>0</v>
      </c>
      <c r="BJ1135" s="33">
        <f ca="1">+BJ1134*BJ1133*Assumptions!$G$390</f>
        <v>0</v>
      </c>
      <c r="BK1135" s="33">
        <f ca="1">+BK1134*BK1133*Assumptions!$G$390</f>
        <v>0</v>
      </c>
      <c r="BL1135" s="33">
        <f ca="1">+BL1134*BL1133*Assumptions!$G$390</f>
        <v>0</v>
      </c>
      <c r="BM1135" s="33">
        <f ca="1">+BM1134*BM1133*Assumptions!$G$390</f>
        <v>0</v>
      </c>
      <c r="BN1135" s="33">
        <f ca="1">+BN1134*BN1133*Assumptions!$G$390</f>
        <v>0</v>
      </c>
      <c r="BO1135" s="33">
        <f ca="1">+BO1134*BO1133*Assumptions!$G$390</f>
        <v>0</v>
      </c>
      <c r="BP1135" s="33">
        <f ca="1">+BP1134*BP1133*Assumptions!$G$390</f>
        <v>0</v>
      </c>
      <c r="BQ1135" s="33">
        <f ca="1">+BQ1134*BQ1133*Assumptions!$G$390</f>
        <v>0</v>
      </c>
      <c r="BR1135" s="33">
        <f ca="1">+BR1134*BR1133*Assumptions!$G$390</f>
        <v>0</v>
      </c>
      <c r="BS1135" s="33">
        <f ca="1">+BS1134*BS1133*Assumptions!$G$390</f>
        <v>0</v>
      </c>
      <c r="BT1135" s="33">
        <f ca="1">+BT1134*BT1133*Assumptions!$G$390</f>
        <v>0</v>
      </c>
      <c r="BU1135" s="33">
        <f ca="1">+BU1134*BU1133*Assumptions!$G$390</f>
        <v>0</v>
      </c>
      <c r="BV1135" s="33">
        <f ca="1">+BV1134*BV1133*Assumptions!$G$390</f>
        <v>0</v>
      </c>
      <c r="BW1135" s="33">
        <f ca="1">+BW1134*BW1133*Assumptions!$G$390</f>
        <v>0</v>
      </c>
      <c r="BX1135" s="33">
        <f ca="1">+BX1134*BX1133*Assumptions!$G$390</f>
        <v>0</v>
      </c>
      <c r="BY1135" s="33">
        <f ca="1">+BY1134*BY1133*Assumptions!$G$390</f>
        <v>0</v>
      </c>
    </row>
    <row r="1136" spans="5:77" outlineLevel="1"/>
    <row r="1137" spans="3:77" ht="15" outlineLevel="1">
      <c r="C1137" s="22" t="s">
        <v>577</v>
      </c>
      <c r="F1137" s="80"/>
      <c r="BF1137" s="33"/>
      <c r="BG1137" s="33"/>
      <c r="BH1137" s="33"/>
      <c r="BI1137" s="33"/>
      <c r="BJ1137" s="33"/>
      <c r="BK1137" s="33"/>
      <c r="BL1137" s="33"/>
      <c r="BM1137" s="33"/>
      <c r="BN1137" s="33"/>
      <c r="BO1137" s="33"/>
      <c r="BP1137" s="33"/>
      <c r="BQ1137" s="33"/>
      <c r="BR1137" s="33"/>
      <c r="BS1137" s="33"/>
      <c r="BT1137" s="33"/>
      <c r="BU1137" s="33"/>
      <c r="BV1137" s="33"/>
      <c r="BW1137" s="33"/>
      <c r="BX1137" s="33"/>
      <c r="BY1137" s="33"/>
    </row>
    <row r="1138" spans="3:77" ht="15" outlineLevel="1">
      <c r="C1138" s="68" t="str">
        <f>+IF(Assumptions!$H$372="LSFO","No","Yes")</f>
        <v>No</v>
      </c>
      <c r="E1138" s="22" t="s">
        <v>578</v>
      </c>
      <c r="F1138" s="80"/>
      <c r="BF1138" s="33"/>
      <c r="BG1138" s="33"/>
      <c r="BH1138" s="33"/>
      <c r="BI1138" s="33"/>
      <c r="BJ1138" s="33"/>
      <c r="BK1138" s="33"/>
      <c r="BL1138" s="33"/>
      <c r="BM1138" s="33"/>
      <c r="BN1138" s="33"/>
      <c r="BO1138" s="33"/>
      <c r="BP1138" s="33"/>
      <c r="BQ1138" s="33"/>
      <c r="BR1138" s="33"/>
      <c r="BS1138" s="33"/>
      <c r="BT1138" s="33"/>
      <c r="BU1138" s="33"/>
      <c r="BV1138" s="33"/>
      <c r="BW1138" s="33"/>
      <c r="BX1138" s="33"/>
      <c r="BY1138" s="33"/>
    </row>
    <row r="1139" spans="3:77" ht="15" outlineLevel="1">
      <c r="C1139" s="22"/>
      <c r="E1139" s="24" t="s">
        <v>579</v>
      </c>
      <c r="F1139" s="80"/>
      <c r="BF1139" s="33"/>
      <c r="BG1139" s="33"/>
      <c r="BH1139" s="33"/>
      <c r="BI1139" s="33"/>
      <c r="BJ1139" s="33"/>
      <c r="BK1139" s="33"/>
      <c r="BL1139" s="33"/>
      <c r="BM1139" s="33"/>
      <c r="BN1139" s="33"/>
      <c r="BO1139" s="33"/>
      <c r="BP1139" s="33"/>
      <c r="BQ1139" s="33"/>
      <c r="BR1139" s="33"/>
      <c r="BS1139" s="33"/>
      <c r="BT1139" s="33"/>
      <c r="BU1139" s="33"/>
      <c r="BV1139" s="33"/>
      <c r="BW1139" s="33"/>
      <c r="BX1139" s="33"/>
      <c r="BY1139" s="33"/>
    </row>
    <row r="1140" spans="3:77" outlineLevel="1">
      <c r="E1140" t="s">
        <v>563</v>
      </c>
      <c r="F1140" s="80" t="s">
        <v>564</v>
      </c>
      <c r="H1140" s="33">
        <f>+H1130</f>
        <v>0</v>
      </c>
      <c r="I1140" s="33">
        <f t="shared" ref="I1140:BT1140" si="2328">+I1130</f>
        <v>0</v>
      </c>
      <c r="J1140" s="33">
        <f t="shared" si="2328"/>
        <v>0</v>
      </c>
      <c r="K1140" s="33">
        <f t="shared" si="2328"/>
        <v>0</v>
      </c>
      <c r="L1140" s="33">
        <f t="shared" si="2328"/>
        <v>0</v>
      </c>
      <c r="M1140" s="33">
        <f t="shared" si="2328"/>
        <v>0</v>
      </c>
      <c r="N1140" s="33">
        <f t="shared" si="2328"/>
        <v>0</v>
      </c>
      <c r="O1140" s="33">
        <f t="shared" si="2328"/>
        <v>0</v>
      </c>
      <c r="P1140" s="33">
        <f t="shared" si="2328"/>
        <v>0</v>
      </c>
      <c r="Q1140" s="33">
        <f t="shared" si="2328"/>
        <v>0</v>
      </c>
      <c r="R1140" s="33">
        <f t="shared" si="2328"/>
        <v>0</v>
      </c>
      <c r="S1140" s="33">
        <f t="shared" si="2328"/>
        <v>0</v>
      </c>
      <c r="T1140" s="33">
        <f t="shared" si="2328"/>
        <v>0</v>
      </c>
      <c r="U1140" s="33">
        <f t="shared" si="2328"/>
        <v>0</v>
      </c>
      <c r="V1140" s="33">
        <f t="shared" si="2328"/>
        <v>0</v>
      </c>
      <c r="W1140" s="33">
        <f t="shared" si="2328"/>
        <v>0</v>
      </c>
      <c r="X1140" s="33">
        <f t="shared" si="2328"/>
        <v>0</v>
      </c>
      <c r="Y1140" s="33">
        <f t="shared" si="2328"/>
        <v>0</v>
      </c>
      <c r="Z1140" s="33">
        <f t="shared" si="2328"/>
        <v>0</v>
      </c>
      <c r="AA1140" s="33">
        <f t="shared" si="2328"/>
        <v>0</v>
      </c>
      <c r="AB1140" s="33">
        <f t="shared" si="2328"/>
        <v>0</v>
      </c>
      <c r="AC1140" s="33">
        <f t="shared" si="2328"/>
        <v>0</v>
      </c>
      <c r="AD1140" s="33">
        <f t="shared" si="2328"/>
        <v>0</v>
      </c>
      <c r="AE1140" s="33">
        <f t="shared" si="2328"/>
        <v>0</v>
      </c>
      <c r="AF1140" s="33">
        <f t="shared" si="2328"/>
        <v>0</v>
      </c>
      <c r="AG1140" s="33">
        <f t="shared" si="2328"/>
        <v>0</v>
      </c>
      <c r="AH1140" s="33">
        <f t="shared" si="2328"/>
        <v>0</v>
      </c>
      <c r="AI1140" s="33">
        <f t="shared" si="2328"/>
        <v>0</v>
      </c>
      <c r="AJ1140" s="33">
        <f t="shared" si="2328"/>
        <v>0</v>
      </c>
      <c r="AK1140" s="33">
        <f t="shared" si="2328"/>
        <v>0</v>
      </c>
      <c r="AL1140" s="33">
        <f t="shared" si="2328"/>
        <v>0</v>
      </c>
      <c r="AM1140" s="33">
        <f t="shared" si="2328"/>
        <v>0</v>
      </c>
      <c r="AN1140" s="33">
        <f t="shared" si="2328"/>
        <v>0</v>
      </c>
      <c r="AO1140" s="33">
        <f t="shared" si="2328"/>
        <v>0</v>
      </c>
      <c r="AP1140" s="33">
        <f t="shared" si="2328"/>
        <v>0</v>
      </c>
      <c r="AQ1140" s="33">
        <f t="shared" si="2328"/>
        <v>0</v>
      </c>
      <c r="AR1140" s="33">
        <f t="shared" si="2328"/>
        <v>0</v>
      </c>
      <c r="AS1140" s="33">
        <f t="shared" si="2328"/>
        <v>0</v>
      </c>
      <c r="AT1140" s="33">
        <f t="shared" si="2328"/>
        <v>0</v>
      </c>
      <c r="AU1140" s="33">
        <f t="shared" si="2328"/>
        <v>0</v>
      </c>
      <c r="AV1140" s="33">
        <f t="shared" si="2328"/>
        <v>0</v>
      </c>
      <c r="AW1140" s="33">
        <f t="shared" si="2328"/>
        <v>0</v>
      </c>
      <c r="AX1140" s="33">
        <f t="shared" si="2328"/>
        <v>0</v>
      </c>
      <c r="AY1140" s="33">
        <f t="shared" si="2328"/>
        <v>0</v>
      </c>
      <c r="AZ1140" s="33">
        <f t="shared" si="2328"/>
        <v>0</v>
      </c>
      <c r="BA1140" s="33">
        <f t="shared" si="2328"/>
        <v>0</v>
      </c>
      <c r="BB1140" s="33">
        <f t="shared" si="2328"/>
        <v>0</v>
      </c>
      <c r="BC1140" s="33">
        <f t="shared" si="2328"/>
        <v>0</v>
      </c>
      <c r="BD1140" s="33">
        <f t="shared" si="2328"/>
        <v>0</v>
      </c>
      <c r="BE1140" s="33">
        <f t="shared" si="2328"/>
        <v>0</v>
      </c>
      <c r="BF1140" s="33">
        <f t="shared" si="2328"/>
        <v>0</v>
      </c>
      <c r="BG1140" s="33">
        <f t="shared" si="2328"/>
        <v>0</v>
      </c>
      <c r="BH1140" s="33">
        <f t="shared" si="2328"/>
        <v>0</v>
      </c>
      <c r="BI1140" s="33">
        <f t="shared" si="2328"/>
        <v>0</v>
      </c>
      <c r="BJ1140" s="33">
        <f t="shared" si="2328"/>
        <v>0</v>
      </c>
      <c r="BK1140" s="33">
        <f t="shared" si="2328"/>
        <v>0</v>
      </c>
      <c r="BL1140" s="33">
        <f t="shared" si="2328"/>
        <v>0</v>
      </c>
      <c r="BM1140" s="33">
        <f t="shared" si="2328"/>
        <v>0</v>
      </c>
      <c r="BN1140" s="33">
        <f t="shared" si="2328"/>
        <v>0</v>
      </c>
      <c r="BO1140" s="33">
        <f t="shared" si="2328"/>
        <v>0</v>
      </c>
      <c r="BP1140" s="33">
        <f t="shared" si="2328"/>
        <v>0</v>
      </c>
      <c r="BQ1140" s="33">
        <f t="shared" si="2328"/>
        <v>0</v>
      </c>
      <c r="BR1140" s="33">
        <f t="shared" si="2328"/>
        <v>0</v>
      </c>
      <c r="BS1140" s="33">
        <f t="shared" si="2328"/>
        <v>0</v>
      </c>
      <c r="BT1140" s="33">
        <f t="shared" si="2328"/>
        <v>0</v>
      </c>
      <c r="BU1140" s="33">
        <f t="shared" ref="BU1140:BY1140" si="2329">+BU1130</f>
        <v>0</v>
      </c>
      <c r="BV1140" s="33">
        <f t="shared" si="2329"/>
        <v>0</v>
      </c>
      <c r="BW1140" s="33">
        <f t="shared" si="2329"/>
        <v>0</v>
      </c>
      <c r="BX1140" s="33">
        <f t="shared" si="2329"/>
        <v>0</v>
      </c>
      <c r="BY1140" s="33">
        <f t="shared" si="2329"/>
        <v>0</v>
      </c>
    </row>
    <row r="1141" spans="3:77" outlineLevel="1">
      <c r="E1141" t="s">
        <v>580</v>
      </c>
      <c r="F1141" s="80" t="s">
        <v>581</v>
      </c>
      <c r="H1141" s="468">
        <f>IF(H$1140=0,0,(Assumptions!$H$26-H$1140)/1000)</f>
        <v>0</v>
      </c>
      <c r="I1141" s="468">
        <f>IF(I$1140=0,0,(Assumptions!$H$26-I$1140)/1000)</f>
        <v>0</v>
      </c>
      <c r="J1141" s="468">
        <f>IF(J$1140=0,0,(Assumptions!$H$26-J$1140)/1000)</f>
        <v>0</v>
      </c>
      <c r="K1141" s="468">
        <f>IF(K$1140=0,0,(Assumptions!$H$26-K$1140)/1000)</f>
        <v>0</v>
      </c>
      <c r="L1141" s="468">
        <f>IF(L$1140=0,0,(Assumptions!$H$26-L$1140)/1000)</f>
        <v>0</v>
      </c>
      <c r="M1141" s="468">
        <f>IF(M$1140=0,0,(Assumptions!$H$26-M$1140)/1000)</f>
        <v>0</v>
      </c>
      <c r="N1141" s="468">
        <f>IF(N$1140=0,0,(Assumptions!$H$26-N$1140)/1000)</f>
        <v>0</v>
      </c>
      <c r="O1141" s="468">
        <f>IF(O$1140=0,0,(Assumptions!$H$26-O$1140)/1000)</f>
        <v>0</v>
      </c>
      <c r="P1141" s="468">
        <f>IF(P$1140=0,0,(Assumptions!$H$26-P$1140)/1000)</f>
        <v>0</v>
      </c>
      <c r="Q1141" s="468">
        <f>IF(Q$1140=0,0,(Assumptions!$H$26-Q$1140)/1000)</f>
        <v>0</v>
      </c>
      <c r="R1141" s="468">
        <f>IF(R$1140=0,0,(Assumptions!$H$26-R$1140)/1000)</f>
        <v>0</v>
      </c>
      <c r="S1141" s="468">
        <f>IF(S$1140=0,0,(Assumptions!$H$26-S$1140)/1000)</f>
        <v>0</v>
      </c>
      <c r="T1141" s="468">
        <f>IF(T$1140=0,0,(Assumptions!$H$26-T$1140)/1000)</f>
        <v>0</v>
      </c>
      <c r="U1141" s="468">
        <f>IF(U$1140=0,0,(Assumptions!$H$26-U$1140)/1000)</f>
        <v>0</v>
      </c>
      <c r="V1141" s="468">
        <f>IF(V$1140=0,0,(Assumptions!$H$26-V$1140)/1000)</f>
        <v>0</v>
      </c>
      <c r="W1141" s="468">
        <f>IF(W$1140=0,0,(Assumptions!$H$26-W$1140)/1000)</f>
        <v>0</v>
      </c>
      <c r="X1141" s="468">
        <f>IF(X$1140=0,0,(Assumptions!$H$26-X$1140)/1000)</f>
        <v>0</v>
      </c>
      <c r="Y1141" s="468">
        <f>IF(Y$1140=0,0,(Assumptions!$H$26-Y$1140)/1000)</f>
        <v>0</v>
      </c>
      <c r="Z1141" s="468">
        <f>IF(Z$1140=0,0,(Assumptions!$H$26-Z$1140)/1000)</f>
        <v>0</v>
      </c>
      <c r="AA1141" s="468">
        <f>IF(AA$1140=0,0,(Assumptions!$H$26-AA$1140)/1000)</f>
        <v>0</v>
      </c>
      <c r="AB1141" s="468">
        <f>IF(AB$1140=0,0,(Assumptions!$H$26-AB$1140)/1000)</f>
        <v>0</v>
      </c>
      <c r="AC1141" s="468">
        <f>IF(AC$1140=0,0,(Assumptions!$H$26-AC$1140)/1000)</f>
        <v>0</v>
      </c>
      <c r="AD1141" s="468">
        <f>IF(AD$1140=0,0,(Assumptions!$H$26-AD$1140)/1000)</f>
        <v>0</v>
      </c>
      <c r="AE1141" s="468">
        <f>IF(AE$1140=0,0,(Assumptions!$H$26-AE$1140)/1000)</f>
        <v>0</v>
      </c>
      <c r="AF1141" s="468">
        <f>IF(AF$1140=0,0,(Assumptions!$H$26-AF$1140)/1000)</f>
        <v>0</v>
      </c>
      <c r="AG1141" s="468">
        <f>IF(AG$1140=0,0,(Assumptions!$H$26-AG$1140)/1000)</f>
        <v>0</v>
      </c>
      <c r="AH1141" s="468">
        <f>IF(AH$1140=0,0,(Assumptions!$H$26-AH$1140)/1000)</f>
        <v>0</v>
      </c>
      <c r="AI1141" s="468">
        <f>IF(AI$1140=0,0,(Assumptions!$H$26-AI$1140)/1000)</f>
        <v>0</v>
      </c>
      <c r="AJ1141" s="468">
        <f>IF(AJ$1140=0,0,(Assumptions!$H$26-AJ$1140)/1000)</f>
        <v>0</v>
      </c>
      <c r="AK1141" s="468">
        <f>IF(AK$1140=0,0,(Assumptions!$H$26-AK$1140)/1000)</f>
        <v>0</v>
      </c>
      <c r="AL1141" s="468">
        <f>IF(AL$1140=0,0,(Assumptions!$H$26-AL$1140)/1000)</f>
        <v>0</v>
      </c>
      <c r="AM1141" s="468">
        <f>IF(AM$1140=0,0,(Assumptions!$H$26-AM$1140)/1000)</f>
        <v>0</v>
      </c>
      <c r="AN1141" s="468">
        <f>IF(AN$1140=0,0,(Assumptions!$H$26-AN$1140)/1000)</f>
        <v>0</v>
      </c>
      <c r="AO1141" s="468">
        <f>IF(AO$1140=0,0,(Assumptions!$H$26-AO$1140)/1000)</f>
        <v>0</v>
      </c>
      <c r="AP1141" s="468">
        <f>IF(AP$1140=0,0,(Assumptions!$H$26-AP$1140)/1000)</f>
        <v>0</v>
      </c>
      <c r="AQ1141" s="468">
        <f>IF(AQ$1140=0,0,(Assumptions!$H$26-AQ$1140)/1000)</f>
        <v>0</v>
      </c>
      <c r="AR1141" s="468">
        <f>IF(AR$1140=0,0,(Assumptions!$H$26-AR$1140)/1000)</f>
        <v>0</v>
      </c>
      <c r="AS1141" s="468">
        <f>IF(AS$1140=0,0,(Assumptions!$H$26-AS$1140)/1000)</f>
        <v>0</v>
      </c>
      <c r="AT1141" s="468">
        <f>IF(AT$1140=0,0,(Assumptions!$H$26-AT$1140)/1000)</f>
        <v>0</v>
      </c>
      <c r="AU1141" s="468">
        <f>IF(AU$1140=0,0,(Assumptions!$H$26-AU$1140)/1000)</f>
        <v>0</v>
      </c>
      <c r="AV1141" s="468">
        <f>IF(AV$1140=0,0,(Assumptions!$H$26-AV$1140)/1000)</f>
        <v>0</v>
      </c>
      <c r="AW1141" s="468">
        <f>IF(AW$1140=0,0,(Assumptions!$H$26-AW$1140)/1000)</f>
        <v>0</v>
      </c>
      <c r="AX1141" s="468">
        <f>IF(AX$1140=0,0,(Assumptions!$H$26-AX$1140)/1000)</f>
        <v>0</v>
      </c>
      <c r="AY1141" s="468">
        <f>IF(AY$1140=0,0,(Assumptions!$H$26-AY$1140)/1000)</f>
        <v>0</v>
      </c>
      <c r="AZ1141" s="468">
        <f>IF(AZ$1140=0,0,(Assumptions!$H$26-AZ$1140)/1000)</f>
        <v>0</v>
      </c>
      <c r="BA1141" s="468">
        <f>IF(BA$1140=0,0,(Assumptions!$H$26-BA$1140)/1000)</f>
        <v>0</v>
      </c>
      <c r="BB1141" s="468">
        <f>IF(BB$1140=0,0,(Assumptions!$H$26-BB$1140)/1000)</f>
        <v>0</v>
      </c>
      <c r="BC1141" s="468">
        <f>IF(BC$1140=0,0,(Assumptions!$H$26-BC$1140)/1000)</f>
        <v>0</v>
      </c>
      <c r="BD1141" s="468">
        <f>IF(BD$1140=0,0,(Assumptions!$H$26-BD$1140)/1000)</f>
        <v>0</v>
      </c>
      <c r="BE1141" s="468">
        <f>IF(BE$1140=0,0,(Assumptions!$H$26-BE$1140)/1000)</f>
        <v>0</v>
      </c>
      <c r="BF1141" s="468">
        <f>IF(BF$1140=0,0,(Assumptions!$H$26-BF$1140)/1000)</f>
        <v>0</v>
      </c>
      <c r="BG1141" s="468">
        <f>IF(BG$1140=0,0,(Assumptions!$H$26-BG$1140)/1000)</f>
        <v>0</v>
      </c>
      <c r="BH1141" s="468">
        <f>IF(BH$1140=0,0,(Assumptions!$H$26-BH$1140)/1000)</f>
        <v>0</v>
      </c>
      <c r="BI1141" s="468">
        <f>IF(BI$1140=0,0,(Assumptions!$H$26-BI$1140)/1000)</f>
        <v>0</v>
      </c>
      <c r="BJ1141" s="468">
        <f>IF(BJ$1140=0,0,(Assumptions!$H$26-BJ$1140)/1000)</f>
        <v>0</v>
      </c>
      <c r="BK1141" s="468">
        <f>IF(BK$1140=0,0,(Assumptions!$H$26-BK$1140)/1000)</f>
        <v>0</v>
      </c>
      <c r="BL1141" s="468">
        <f>IF(BL$1140=0,0,(Assumptions!$H$26-BL$1140)/1000)</f>
        <v>0</v>
      </c>
      <c r="BM1141" s="468">
        <f>IF(BM$1140=0,0,(Assumptions!$H$26-BM$1140)/1000)</f>
        <v>0</v>
      </c>
      <c r="BN1141" s="468">
        <f>IF(BN$1140=0,0,(Assumptions!$H$26-BN$1140)/1000)</f>
        <v>0</v>
      </c>
      <c r="BO1141" s="468">
        <f>IF(BO$1140=0,0,(Assumptions!$H$26-BO$1140)/1000)</f>
        <v>0</v>
      </c>
      <c r="BP1141" s="468">
        <f>IF(BP$1140=0,0,(Assumptions!$H$26-BP$1140)/1000)</f>
        <v>0</v>
      </c>
      <c r="BQ1141" s="468">
        <f>IF(BQ$1140=0,0,(Assumptions!$H$26-BQ$1140)/1000)</f>
        <v>0</v>
      </c>
      <c r="BR1141" s="468">
        <f>IF(BR$1140=0,0,(Assumptions!$H$26-BR$1140)/1000)</f>
        <v>0</v>
      </c>
      <c r="BS1141" s="468">
        <f>IF(BS$1140=0,0,(Assumptions!$H$26-BS$1140)/1000)</f>
        <v>0</v>
      </c>
      <c r="BT1141" s="468">
        <f>IF(BT$1140=0,0,(Assumptions!$H$26-BT$1140)/1000)</f>
        <v>0</v>
      </c>
      <c r="BU1141" s="468">
        <f>IF(BU$1140=0,0,(Assumptions!$H$26-BU$1140)/1000)</f>
        <v>0</v>
      </c>
      <c r="BV1141" s="468">
        <f>IF(BV$1140=0,0,(Assumptions!$H$26-BV$1140)/1000)</f>
        <v>0</v>
      </c>
      <c r="BW1141" s="468">
        <f>IF(BW$1140=0,0,(Assumptions!$H$26-BW$1140)/1000)</f>
        <v>0</v>
      </c>
      <c r="BX1141" s="468">
        <f>IF(BX$1140=0,0,(Assumptions!$H$26-BX$1140)/1000)</f>
        <v>0</v>
      </c>
      <c r="BY1141" s="468">
        <f>IF(BY$1140=0,0,(Assumptions!$H$26-BY$1140)/1000)</f>
        <v>0</v>
      </c>
    </row>
    <row r="1142" spans="3:77" outlineLevel="1">
      <c r="E1142" t="s">
        <v>582</v>
      </c>
      <c r="F1142" s="80" t="s">
        <v>581</v>
      </c>
      <c r="H1142" s="468">
        <f>IF(H1140=0,0,(Assumptions!$H$26-_xlfn.XLOOKUP(Assumptions!$H$264,Data_tables!$K:$K,Data_tables!$Q:$Q))/1000)</f>
        <v>0</v>
      </c>
      <c r="I1142" s="468">
        <f>IF(I1140=0,0,(Assumptions!$H$26-_xlfn.XLOOKUP(Assumptions!$H$264,Data_tables!$K:$K,Data_tables!$Q:$Q))/1000)</f>
        <v>0</v>
      </c>
      <c r="J1142" s="468">
        <f>IF(J1140=0,0,(Assumptions!$H$26-_xlfn.XLOOKUP(Assumptions!$H$264,Data_tables!$K:$K,Data_tables!$Q:$Q))/1000)</f>
        <v>0</v>
      </c>
      <c r="K1142" s="468">
        <f>IF(K1140=0,0,(Assumptions!$H$26-_xlfn.XLOOKUP(Assumptions!$H$264,Data_tables!$K:$K,Data_tables!$Q:$Q))/1000)</f>
        <v>0</v>
      </c>
      <c r="L1142" s="468">
        <f>IF(L1140=0,0,(Assumptions!$H$26-_xlfn.XLOOKUP(Assumptions!$H$264,Data_tables!$K:$K,Data_tables!$Q:$Q))/1000)</f>
        <v>0</v>
      </c>
      <c r="M1142" s="468">
        <f>IF(M1140=0,0,(Assumptions!$H$26-_xlfn.XLOOKUP(Assumptions!$H$264,Data_tables!$K:$K,Data_tables!$Q:$Q))/1000)</f>
        <v>0</v>
      </c>
      <c r="N1142" s="468">
        <f>IF(N1140=0,0,(Assumptions!$H$26-_xlfn.XLOOKUP(Assumptions!$H$264,Data_tables!$K:$K,Data_tables!$Q:$Q))/1000)</f>
        <v>0</v>
      </c>
      <c r="O1142" s="468">
        <f>IF(O1140=0,0,(Assumptions!$H$26-_xlfn.XLOOKUP(Assumptions!$H$264,Data_tables!$K:$K,Data_tables!$Q:$Q))/1000)</f>
        <v>0</v>
      </c>
      <c r="P1142" s="468">
        <f>IF(P1140=0,0,(Assumptions!$H$26-_xlfn.XLOOKUP(Assumptions!$H$264,Data_tables!$K:$K,Data_tables!$Q:$Q))/1000)</f>
        <v>0</v>
      </c>
      <c r="Q1142" s="468">
        <f>IF(Q1140=0,0,(Assumptions!$H$26-_xlfn.XLOOKUP(Assumptions!$H$264,Data_tables!$K:$K,Data_tables!$Q:$Q))/1000)</f>
        <v>0</v>
      </c>
      <c r="R1142" s="468">
        <f>IF(R1140=0,0,(Assumptions!$H$26-_xlfn.XLOOKUP(Assumptions!$H$264,Data_tables!$K:$K,Data_tables!$Q:$Q))/1000)</f>
        <v>0</v>
      </c>
      <c r="S1142" s="468">
        <f>IF(S1140=0,0,(Assumptions!$H$26-_xlfn.XLOOKUP(Assumptions!$H$264,Data_tables!$K:$K,Data_tables!$Q:$Q))/1000)</f>
        <v>0</v>
      </c>
      <c r="T1142" s="468">
        <f>IF(T1140=0,0,(Assumptions!$H$26-_xlfn.XLOOKUP(Assumptions!$H$264,Data_tables!$K:$K,Data_tables!$Q:$Q))/1000)</f>
        <v>0</v>
      </c>
      <c r="U1142" s="468">
        <f>IF(U1140=0,0,(Assumptions!$H$26-_xlfn.XLOOKUP(Assumptions!$H$264,Data_tables!$K:$K,Data_tables!$Q:$Q))/1000)</f>
        <v>0</v>
      </c>
      <c r="V1142" s="468">
        <f>IF(V1140=0,0,(Assumptions!$H$26-_xlfn.XLOOKUP(Assumptions!$H$264,Data_tables!$K:$K,Data_tables!$Q:$Q))/1000)</f>
        <v>0</v>
      </c>
      <c r="W1142" s="468">
        <f>IF(W1140=0,0,(Assumptions!$H$26-_xlfn.XLOOKUP(Assumptions!$H$264,Data_tables!$K:$K,Data_tables!$Q:$Q))/1000)</f>
        <v>0</v>
      </c>
      <c r="X1142" s="468">
        <f>IF(X1140=0,0,(Assumptions!$H$26-_xlfn.XLOOKUP(Assumptions!$H$264,Data_tables!$K:$K,Data_tables!$Q:$Q))/1000)</f>
        <v>0</v>
      </c>
      <c r="Y1142" s="468">
        <f>IF(Y1140=0,0,(Assumptions!$H$26-_xlfn.XLOOKUP(Assumptions!$H$264,Data_tables!$K:$K,Data_tables!$Q:$Q))/1000)</f>
        <v>0</v>
      </c>
      <c r="Z1142" s="468">
        <f>IF(Z1140=0,0,(Assumptions!$H$26-_xlfn.XLOOKUP(Assumptions!$H$264,Data_tables!$K:$K,Data_tables!$Q:$Q))/1000)</f>
        <v>0</v>
      </c>
      <c r="AA1142" s="468">
        <f>IF(AA1140=0,0,(Assumptions!$H$26-_xlfn.XLOOKUP(Assumptions!$H$264,Data_tables!$K:$K,Data_tables!$Q:$Q))/1000)</f>
        <v>0</v>
      </c>
      <c r="AB1142" s="468">
        <f>IF(AB1140=0,0,(Assumptions!$H$26-_xlfn.XLOOKUP(Assumptions!$H$264,Data_tables!$K:$K,Data_tables!$Q:$Q))/1000)</f>
        <v>0</v>
      </c>
      <c r="AC1142" s="468">
        <f>IF(AC1140=0,0,(Assumptions!$H$26-_xlfn.XLOOKUP(Assumptions!$H$264,Data_tables!$K:$K,Data_tables!$Q:$Q))/1000)</f>
        <v>0</v>
      </c>
      <c r="AD1142" s="468">
        <f>IF(AD1140=0,0,(Assumptions!$H$26-_xlfn.XLOOKUP(Assumptions!$H$264,Data_tables!$K:$K,Data_tables!$Q:$Q))/1000)</f>
        <v>0</v>
      </c>
      <c r="AE1142" s="468">
        <f>IF(AE1140=0,0,(Assumptions!$H$26-_xlfn.XLOOKUP(Assumptions!$H$264,Data_tables!$K:$K,Data_tables!$Q:$Q))/1000)</f>
        <v>0</v>
      </c>
      <c r="AF1142" s="468">
        <f>IF(AF1140=0,0,(Assumptions!$H$26-_xlfn.XLOOKUP(Assumptions!$H$264,Data_tables!$K:$K,Data_tables!$Q:$Q))/1000)</f>
        <v>0</v>
      </c>
      <c r="AG1142" s="468">
        <f>IF(AG1140=0,0,(Assumptions!$H$26-_xlfn.XLOOKUP(Assumptions!$H$264,Data_tables!$K:$K,Data_tables!$Q:$Q))/1000)</f>
        <v>0</v>
      </c>
      <c r="AH1142" s="468">
        <f>IF(AH1140=0,0,(Assumptions!$H$26-_xlfn.XLOOKUP(Assumptions!$H$264,Data_tables!$K:$K,Data_tables!$Q:$Q))/1000)</f>
        <v>0</v>
      </c>
      <c r="AI1142" s="468">
        <f>IF(AI1140=0,0,(Assumptions!$H$26-_xlfn.XLOOKUP(Assumptions!$H$264,Data_tables!$K:$K,Data_tables!$Q:$Q))/1000)</f>
        <v>0</v>
      </c>
      <c r="AJ1142" s="468">
        <f>IF(AJ1140=0,0,(Assumptions!$H$26-_xlfn.XLOOKUP(Assumptions!$H$264,Data_tables!$K:$K,Data_tables!$Q:$Q))/1000)</f>
        <v>0</v>
      </c>
      <c r="AK1142" s="468">
        <f>IF(AK1140=0,0,(Assumptions!$H$26-_xlfn.XLOOKUP(Assumptions!$H$264,Data_tables!$K:$K,Data_tables!$Q:$Q))/1000)</f>
        <v>0</v>
      </c>
      <c r="AL1142" s="468">
        <f>IF(AL1140=0,0,(Assumptions!$H$26-_xlfn.XLOOKUP(Assumptions!$H$264,Data_tables!$K:$K,Data_tables!$Q:$Q))/1000)</f>
        <v>0</v>
      </c>
      <c r="AM1142" s="468">
        <f>IF(AM1140=0,0,(Assumptions!$H$26-_xlfn.XLOOKUP(Assumptions!$H$264,Data_tables!$K:$K,Data_tables!$Q:$Q))/1000)</f>
        <v>0</v>
      </c>
      <c r="AN1142" s="468">
        <f>IF(AN1140=0,0,(Assumptions!$H$26-_xlfn.XLOOKUP(Assumptions!$H$264,Data_tables!$K:$K,Data_tables!$Q:$Q))/1000)</f>
        <v>0</v>
      </c>
      <c r="AO1142" s="468">
        <f>IF(AO1140=0,0,(Assumptions!$H$26-_xlfn.XLOOKUP(Assumptions!$H$264,Data_tables!$K:$K,Data_tables!$Q:$Q))/1000)</f>
        <v>0</v>
      </c>
      <c r="AP1142" s="468">
        <f>IF(AP1140=0,0,(Assumptions!$H$26-_xlfn.XLOOKUP(Assumptions!$H$264,Data_tables!$K:$K,Data_tables!$Q:$Q))/1000)</f>
        <v>0</v>
      </c>
      <c r="AQ1142" s="468">
        <f>IF(AQ1140=0,0,(Assumptions!$H$26-_xlfn.XLOOKUP(Assumptions!$H$264,Data_tables!$K:$K,Data_tables!$Q:$Q))/1000)</f>
        <v>0</v>
      </c>
      <c r="AR1142" s="468">
        <f>IF(AR1140=0,0,(Assumptions!$H$26-_xlfn.XLOOKUP(Assumptions!$H$264,Data_tables!$K:$K,Data_tables!$Q:$Q))/1000)</f>
        <v>0</v>
      </c>
      <c r="AS1142" s="468">
        <f>IF(AS1140=0,0,(Assumptions!$H$26-_xlfn.XLOOKUP(Assumptions!$H$264,Data_tables!$K:$K,Data_tables!$Q:$Q))/1000)</f>
        <v>0</v>
      </c>
      <c r="AT1142" s="468">
        <f>IF(AT1140=0,0,(Assumptions!$H$26-_xlfn.XLOOKUP(Assumptions!$H$264,Data_tables!$K:$K,Data_tables!$Q:$Q))/1000)</f>
        <v>0</v>
      </c>
      <c r="AU1142" s="468">
        <f>IF(AU1140=0,0,(Assumptions!$H$26-_xlfn.XLOOKUP(Assumptions!$H$264,Data_tables!$K:$K,Data_tables!$Q:$Q))/1000)</f>
        <v>0</v>
      </c>
      <c r="AV1142" s="468">
        <f>IF(AV1140=0,0,(Assumptions!$H$26-_xlfn.XLOOKUP(Assumptions!$H$264,Data_tables!$K:$K,Data_tables!$Q:$Q))/1000)</f>
        <v>0</v>
      </c>
      <c r="AW1142" s="468">
        <f>IF(AW1140=0,0,(Assumptions!$H$26-_xlfn.XLOOKUP(Assumptions!$H$264,Data_tables!$K:$K,Data_tables!$Q:$Q))/1000)</f>
        <v>0</v>
      </c>
      <c r="AX1142" s="468">
        <f>IF(AX1140=0,0,(Assumptions!$H$26-_xlfn.XLOOKUP(Assumptions!$H$264,Data_tables!$K:$K,Data_tables!$Q:$Q))/1000)</f>
        <v>0</v>
      </c>
      <c r="AY1142" s="468">
        <f>IF(AY1140=0,0,(Assumptions!$H$26-_xlfn.XLOOKUP(Assumptions!$H$264,Data_tables!$K:$K,Data_tables!$Q:$Q))/1000)</f>
        <v>0</v>
      </c>
      <c r="AZ1142" s="468">
        <f>IF(AZ1140=0,0,(Assumptions!$H$26-_xlfn.XLOOKUP(Assumptions!$H$264,Data_tables!$K:$K,Data_tables!$Q:$Q))/1000)</f>
        <v>0</v>
      </c>
      <c r="BA1142" s="468">
        <f>IF(BA1140=0,0,(Assumptions!$H$26-_xlfn.XLOOKUP(Assumptions!$H$264,Data_tables!$K:$K,Data_tables!$Q:$Q))/1000)</f>
        <v>0</v>
      </c>
      <c r="BB1142" s="468">
        <f>IF(BB1140=0,0,(Assumptions!$H$26-_xlfn.XLOOKUP(Assumptions!$H$264,Data_tables!$K:$K,Data_tables!$Q:$Q))/1000)</f>
        <v>0</v>
      </c>
      <c r="BC1142" s="468">
        <f>IF(BC1140=0,0,(Assumptions!$H$26-_xlfn.XLOOKUP(Assumptions!$H$264,Data_tables!$K:$K,Data_tables!$Q:$Q))/1000)</f>
        <v>0</v>
      </c>
      <c r="BD1142" s="468">
        <f>IF(BD1140=0,0,(Assumptions!$H$26-_xlfn.XLOOKUP(Assumptions!$H$264,Data_tables!$K:$K,Data_tables!$Q:$Q))/1000)</f>
        <v>0</v>
      </c>
      <c r="BE1142" s="468">
        <f>IF(BE1140=0,0,(Assumptions!$H$26-_xlfn.XLOOKUP(Assumptions!$H$264,Data_tables!$K:$K,Data_tables!$Q:$Q))/1000)</f>
        <v>0</v>
      </c>
      <c r="BF1142" s="468">
        <f>IF(BF1140=0,0,(Assumptions!$H$26-_xlfn.XLOOKUP(Assumptions!$H$264,Data_tables!$K:$K,Data_tables!$Q:$Q))/1000)</f>
        <v>0</v>
      </c>
      <c r="BG1142" s="468">
        <f>IF(BG1140=0,0,(Assumptions!$H$26-_xlfn.XLOOKUP(Assumptions!$H$264,Data_tables!$K:$K,Data_tables!$Q:$Q))/1000)</f>
        <v>0</v>
      </c>
      <c r="BH1142" s="468">
        <f>IF(BH1140=0,0,(Assumptions!$H$26-_xlfn.XLOOKUP(Assumptions!$H$264,Data_tables!$K:$K,Data_tables!$Q:$Q))/1000)</f>
        <v>0</v>
      </c>
      <c r="BI1142" s="468">
        <f>IF(BI1140=0,0,(Assumptions!$H$26-_xlfn.XLOOKUP(Assumptions!$H$264,Data_tables!$K:$K,Data_tables!$Q:$Q))/1000)</f>
        <v>0</v>
      </c>
      <c r="BJ1142" s="468">
        <f>IF(BJ1140=0,0,(Assumptions!$H$26-_xlfn.XLOOKUP(Assumptions!$H$264,Data_tables!$K:$K,Data_tables!$Q:$Q))/1000)</f>
        <v>0</v>
      </c>
      <c r="BK1142" s="468">
        <f>IF(BK1140=0,0,(Assumptions!$H$26-_xlfn.XLOOKUP(Assumptions!$H$264,Data_tables!$K:$K,Data_tables!$Q:$Q))/1000)</f>
        <v>0</v>
      </c>
      <c r="BL1142" s="468">
        <f>IF(BL1140=0,0,(Assumptions!$H$26-_xlfn.XLOOKUP(Assumptions!$H$264,Data_tables!$K:$K,Data_tables!$Q:$Q))/1000)</f>
        <v>0</v>
      </c>
      <c r="BM1142" s="468">
        <f>IF(BM1140=0,0,(Assumptions!$H$26-_xlfn.XLOOKUP(Assumptions!$H$264,Data_tables!$K:$K,Data_tables!$Q:$Q))/1000)</f>
        <v>0</v>
      </c>
      <c r="BN1142" s="468">
        <f>IF(BN1140=0,0,(Assumptions!$H$26-_xlfn.XLOOKUP(Assumptions!$H$264,Data_tables!$K:$K,Data_tables!$Q:$Q))/1000)</f>
        <v>0</v>
      </c>
      <c r="BO1142" s="468">
        <f>IF(BO1140=0,0,(Assumptions!$H$26-_xlfn.XLOOKUP(Assumptions!$H$264,Data_tables!$K:$K,Data_tables!$Q:$Q))/1000)</f>
        <v>0</v>
      </c>
      <c r="BP1142" s="468">
        <f>IF(BP1140=0,0,(Assumptions!$H$26-_xlfn.XLOOKUP(Assumptions!$H$264,Data_tables!$K:$K,Data_tables!$Q:$Q))/1000)</f>
        <v>0</v>
      </c>
      <c r="BQ1142" s="468">
        <f>IF(BQ1140=0,0,(Assumptions!$H$26-_xlfn.XLOOKUP(Assumptions!$H$264,Data_tables!$K:$K,Data_tables!$Q:$Q))/1000)</f>
        <v>0</v>
      </c>
      <c r="BR1142" s="468">
        <f>IF(BR1140=0,0,(Assumptions!$H$26-_xlfn.XLOOKUP(Assumptions!$H$264,Data_tables!$K:$K,Data_tables!$Q:$Q))/1000)</f>
        <v>0</v>
      </c>
      <c r="BS1142" s="468">
        <f>IF(BS1140=0,0,(Assumptions!$H$26-_xlfn.XLOOKUP(Assumptions!$H$264,Data_tables!$K:$K,Data_tables!$Q:$Q))/1000)</f>
        <v>0</v>
      </c>
      <c r="BT1142" s="468">
        <f>IF(BT1140=0,0,(Assumptions!$H$26-_xlfn.XLOOKUP(Assumptions!$H$264,Data_tables!$K:$K,Data_tables!$Q:$Q))/1000)</f>
        <v>0</v>
      </c>
      <c r="BU1142" s="468">
        <f>IF(BU1140=0,0,(Assumptions!$H$26-_xlfn.XLOOKUP(Assumptions!$H$264,Data_tables!$K:$K,Data_tables!$Q:$Q))/1000)</f>
        <v>0</v>
      </c>
      <c r="BV1142" s="468">
        <f>IF(BV1140=0,0,(Assumptions!$H$26-_xlfn.XLOOKUP(Assumptions!$H$264,Data_tables!$K:$K,Data_tables!$Q:$Q))/1000)</f>
        <v>0</v>
      </c>
      <c r="BW1142" s="468">
        <f>IF(BW1140=0,0,(Assumptions!$H$26-_xlfn.XLOOKUP(Assumptions!$H$264,Data_tables!$K:$K,Data_tables!$Q:$Q))/1000)</f>
        <v>0</v>
      </c>
      <c r="BX1142" s="468">
        <f>IF(BX1140=0,0,(Assumptions!$H$26-_xlfn.XLOOKUP(Assumptions!$H$264,Data_tables!$K:$K,Data_tables!$Q:$Q))/1000)</f>
        <v>0</v>
      </c>
      <c r="BY1142" s="468">
        <f>IF(BY1140=0,0,(Assumptions!$H$26-_xlfn.XLOOKUP(Assumptions!$H$264,Data_tables!$K:$K,Data_tables!$Q:$Q))/1000)</f>
        <v>0</v>
      </c>
    </row>
    <row r="1143" spans="3:77" outlineLevel="1">
      <c r="E1143" t="s">
        <v>583</v>
      </c>
      <c r="F1143" s="80" t="s">
        <v>584</v>
      </c>
      <c r="H1143" s="41">
        <f>+IF(H1140=0,0,H1141/H1142)</f>
        <v>0</v>
      </c>
      <c r="I1143" s="41">
        <f t="shared" ref="I1143:BT1143" si="2330">+IF(I1140=0,0,I1141/I1142)</f>
        <v>0</v>
      </c>
      <c r="J1143" s="41">
        <f t="shared" si="2330"/>
        <v>0</v>
      </c>
      <c r="K1143" s="41">
        <f t="shared" si="2330"/>
        <v>0</v>
      </c>
      <c r="L1143" s="41">
        <f t="shared" si="2330"/>
        <v>0</v>
      </c>
      <c r="M1143" s="41">
        <f t="shared" si="2330"/>
        <v>0</v>
      </c>
      <c r="N1143" s="41">
        <f t="shared" si="2330"/>
        <v>0</v>
      </c>
      <c r="O1143" s="41">
        <f t="shared" si="2330"/>
        <v>0</v>
      </c>
      <c r="P1143" s="41">
        <f t="shared" si="2330"/>
        <v>0</v>
      </c>
      <c r="Q1143" s="41">
        <f t="shared" si="2330"/>
        <v>0</v>
      </c>
      <c r="R1143" s="41">
        <f t="shared" si="2330"/>
        <v>0</v>
      </c>
      <c r="S1143" s="41">
        <f t="shared" si="2330"/>
        <v>0</v>
      </c>
      <c r="T1143" s="41">
        <f t="shared" si="2330"/>
        <v>0</v>
      </c>
      <c r="U1143" s="41">
        <f t="shared" si="2330"/>
        <v>0</v>
      </c>
      <c r="V1143" s="41">
        <f t="shared" si="2330"/>
        <v>0</v>
      </c>
      <c r="W1143" s="41">
        <f t="shared" si="2330"/>
        <v>0</v>
      </c>
      <c r="X1143" s="41">
        <f t="shared" si="2330"/>
        <v>0</v>
      </c>
      <c r="Y1143" s="41">
        <f t="shared" si="2330"/>
        <v>0</v>
      </c>
      <c r="Z1143" s="41">
        <f t="shared" si="2330"/>
        <v>0</v>
      </c>
      <c r="AA1143" s="41">
        <f t="shared" si="2330"/>
        <v>0</v>
      </c>
      <c r="AB1143" s="41">
        <f t="shared" si="2330"/>
        <v>0</v>
      </c>
      <c r="AC1143" s="41">
        <f t="shared" si="2330"/>
        <v>0</v>
      </c>
      <c r="AD1143" s="41">
        <f t="shared" si="2330"/>
        <v>0</v>
      </c>
      <c r="AE1143" s="41">
        <f t="shared" si="2330"/>
        <v>0</v>
      </c>
      <c r="AF1143" s="41">
        <f t="shared" si="2330"/>
        <v>0</v>
      </c>
      <c r="AG1143" s="41">
        <f t="shared" si="2330"/>
        <v>0</v>
      </c>
      <c r="AH1143" s="41">
        <f t="shared" si="2330"/>
        <v>0</v>
      </c>
      <c r="AI1143" s="41">
        <f t="shared" si="2330"/>
        <v>0</v>
      </c>
      <c r="AJ1143" s="41">
        <f t="shared" si="2330"/>
        <v>0</v>
      </c>
      <c r="AK1143" s="41">
        <f t="shared" si="2330"/>
        <v>0</v>
      </c>
      <c r="AL1143" s="41">
        <f t="shared" si="2330"/>
        <v>0</v>
      </c>
      <c r="AM1143" s="41">
        <f t="shared" si="2330"/>
        <v>0</v>
      </c>
      <c r="AN1143" s="41">
        <f t="shared" si="2330"/>
        <v>0</v>
      </c>
      <c r="AO1143" s="41">
        <f t="shared" si="2330"/>
        <v>0</v>
      </c>
      <c r="AP1143" s="41">
        <f t="shared" si="2330"/>
        <v>0</v>
      </c>
      <c r="AQ1143" s="41">
        <f t="shared" si="2330"/>
        <v>0</v>
      </c>
      <c r="AR1143" s="41">
        <f t="shared" si="2330"/>
        <v>0</v>
      </c>
      <c r="AS1143" s="41">
        <f t="shared" si="2330"/>
        <v>0</v>
      </c>
      <c r="AT1143" s="41">
        <f t="shared" si="2330"/>
        <v>0</v>
      </c>
      <c r="AU1143" s="41">
        <f t="shared" si="2330"/>
        <v>0</v>
      </c>
      <c r="AV1143" s="41">
        <f t="shared" si="2330"/>
        <v>0</v>
      </c>
      <c r="AW1143" s="41">
        <f t="shared" si="2330"/>
        <v>0</v>
      </c>
      <c r="AX1143" s="41">
        <f t="shared" si="2330"/>
        <v>0</v>
      </c>
      <c r="AY1143" s="41">
        <f t="shared" si="2330"/>
        <v>0</v>
      </c>
      <c r="AZ1143" s="41">
        <f t="shared" si="2330"/>
        <v>0</v>
      </c>
      <c r="BA1143" s="41">
        <f t="shared" si="2330"/>
        <v>0</v>
      </c>
      <c r="BB1143" s="41">
        <f t="shared" si="2330"/>
        <v>0</v>
      </c>
      <c r="BC1143" s="41">
        <f t="shared" si="2330"/>
        <v>0</v>
      </c>
      <c r="BD1143" s="41">
        <f t="shared" si="2330"/>
        <v>0</v>
      </c>
      <c r="BE1143" s="41">
        <f t="shared" si="2330"/>
        <v>0</v>
      </c>
      <c r="BF1143" s="41">
        <f t="shared" si="2330"/>
        <v>0</v>
      </c>
      <c r="BG1143" s="41">
        <f t="shared" si="2330"/>
        <v>0</v>
      </c>
      <c r="BH1143" s="41">
        <f t="shared" si="2330"/>
        <v>0</v>
      </c>
      <c r="BI1143" s="41">
        <f t="shared" si="2330"/>
        <v>0</v>
      </c>
      <c r="BJ1143" s="41">
        <f t="shared" si="2330"/>
        <v>0</v>
      </c>
      <c r="BK1143" s="41">
        <f t="shared" si="2330"/>
        <v>0</v>
      </c>
      <c r="BL1143" s="41">
        <f t="shared" si="2330"/>
        <v>0</v>
      </c>
      <c r="BM1143" s="41">
        <f t="shared" si="2330"/>
        <v>0</v>
      </c>
      <c r="BN1143" s="41">
        <f t="shared" si="2330"/>
        <v>0</v>
      </c>
      <c r="BO1143" s="41">
        <f t="shared" si="2330"/>
        <v>0</v>
      </c>
      <c r="BP1143" s="41">
        <f t="shared" si="2330"/>
        <v>0</v>
      </c>
      <c r="BQ1143" s="41">
        <f t="shared" si="2330"/>
        <v>0</v>
      </c>
      <c r="BR1143" s="41">
        <f t="shared" si="2330"/>
        <v>0</v>
      </c>
      <c r="BS1143" s="41">
        <f t="shared" si="2330"/>
        <v>0</v>
      </c>
      <c r="BT1143" s="41">
        <f t="shared" si="2330"/>
        <v>0</v>
      </c>
      <c r="BU1143" s="41">
        <f t="shared" ref="BU1143:BY1143" si="2331">+IF(BU1140=0,0,BU1141/BU1142)</f>
        <v>0</v>
      </c>
      <c r="BV1143" s="41">
        <f t="shared" si="2331"/>
        <v>0</v>
      </c>
      <c r="BW1143" s="41">
        <f t="shared" si="2331"/>
        <v>0</v>
      </c>
      <c r="BX1143" s="41">
        <f t="shared" si="2331"/>
        <v>0</v>
      </c>
      <c r="BY1143" s="41">
        <f t="shared" si="2331"/>
        <v>0</v>
      </c>
    </row>
    <row r="1144" spans="3:77" outlineLevel="1">
      <c r="E1144" t="s">
        <v>585</v>
      </c>
      <c r="F1144" s="80" t="s">
        <v>557</v>
      </c>
      <c r="H1144" s="33">
        <f>+H1143*H953*Assumptions!$H$288*Assumptions!$H$268</f>
        <v>0</v>
      </c>
      <c r="I1144" s="33">
        <f>+I1143*I953*Assumptions!$H$288*Assumptions!$H$268</f>
        <v>0</v>
      </c>
      <c r="J1144" s="33">
        <f>+J1143*J953*Assumptions!$H$288*Assumptions!$H$268</f>
        <v>0</v>
      </c>
      <c r="K1144" s="33">
        <f>+K1143*K953*Assumptions!$H$288*Assumptions!$H$268</f>
        <v>0</v>
      </c>
      <c r="L1144" s="33">
        <f>+L1143*L953*Assumptions!$H$288*Assumptions!$H$268</f>
        <v>0</v>
      </c>
      <c r="M1144" s="33">
        <f>+M1143*M953*Assumptions!$H$288*Assumptions!$H$268</f>
        <v>0</v>
      </c>
      <c r="N1144" s="33">
        <f>+N1143*N953*Assumptions!$H$288*Assumptions!$H$268</f>
        <v>0</v>
      </c>
      <c r="O1144" s="33">
        <f>+O1143*O953*Assumptions!$H$288*Assumptions!$H$268</f>
        <v>0</v>
      </c>
      <c r="P1144" s="33">
        <f>+P1143*P953*Assumptions!$H$288*Assumptions!$H$268</f>
        <v>0</v>
      </c>
      <c r="Q1144" s="33">
        <f>+Q1143*Q953*Assumptions!$H$288*Assumptions!$H$268</f>
        <v>0</v>
      </c>
      <c r="R1144" s="33">
        <f>+R1143*R953*Assumptions!$H$288*Assumptions!$H$268</f>
        <v>0</v>
      </c>
      <c r="S1144" s="33">
        <f>+S1143*S953*Assumptions!$H$288*Assumptions!$H$268</f>
        <v>0</v>
      </c>
      <c r="T1144" s="33">
        <f>+T1143*T953*Assumptions!$H$288*Assumptions!$H$268</f>
        <v>0</v>
      </c>
      <c r="U1144" s="33">
        <f>+U1143*U953*Assumptions!$H$288*Assumptions!$H$268</f>
        <v>0</v>
      </c>
      <c r="V1144" s="33">
        <f>+V1143*V953*Assumptions!$H$288*Assumptions!$H$268</f>
        <v>0</v>
      </c>
      <c r="W1144" s="33">
        <f>+W1143*W953*Assumptions!$H$288*Assumptions!$H$268</f>
        <v>0</v>
      </c>
      <c r="X1144" s="33">
        <f>+X1143*X953*Assumptions!$H$288*Assumptions!$H$268</f>
        <v>0</v>
      </c>
      <c r="Y1144" s="33">
        <f>+Y1143*Y953*Assumptions!$H$288*Assumptions!$H$268</f>
        <v>0</v>
      </c>
      <c r="Z1144" s="33">
        <f>+Z1143*Z953*Assumptions!$H$288*Assumptions!$H$268</f>
        <v>0</v>
      </c>
      <c r="AA1144" s="33">
        <f>+AA1143*AA953*Assumptions!$H$288*Assumptions!$H$268</f>
        <v>0</v>
      </c>
      <c r="AB1144" s="33">
        <f>+AB1143*AB953*Assumptions!$H$288*Assumptions!$H$268</f>
        <v>0</v>
      </c>
      <c r="AC1144" s="33">
        <f>+AC1143*AC953*Assumptions!$H$288*Assumptions!$H$268</f>
        <v>0</v>
      </c>
      <c r="AD1144" s="33">
        <f>+AD1143*AD953*Assumptions!$H$288*Assumptions!$H$268</f>
        <v>0</v>
      </c>
      <c r="AE1144" s="33">
        <f>+AE1143*AE953*Assumptions!$H$288*Assumptions!$H$268</f>
        <v>0</v>
      </c>
      <c r="AF1144" s="33">
        <f>+AF1143*AF953*Assumptions!$H$288*Assumptions!$H$268</f>
        <v>0</v>
      </c>
      <c r="AG1144" s="33">
        <f>+AG1143*AG953*Assumptions!$H$288*Assumptions!$H$268</f>
        <v>0</v>
      </c>
      <c r="AH1144" s="33">
        <f>+AH1143*AH953*Assumptions!$H$288*Assumptions!$H$268</f>
        <v>0</v>
      </c>
      <c r="AI1144" s="33">
        <f>+AI1143*AI953*Assumptions!$H$288*Assumptions!$H$268</f>
        <v>0</v>
      </c>
      <c r="AJ1144" s="33">
        <f>+AJ1143*AJ953*Assumptions!$H$288*Assumptions!$H$268</f>
        <v>0</v>
      </c>
      <c r="AK1144" s="33">
        <f>+AK1143*AK953*Assumptions!$H$288*Assumptions!$H$268</f>
        <v>0</v>
      </c>
      <c r="AL1144" s="33">
        <f>+AL1143*AL953*Assumptions!$H$288*Assumptions!$H$268</f>
        <v>0</v>
      </c>
      <c r="AM1144" s="33">
        <f>+AM1143*AM953*Assumptions!$H$288*Assumptions!$H$268</f>
        <v>0</v>
      </c>
      <c r="AN1144" s="33">
        <f>+AN1143*AN953*Assumptions!$H$288*Assumptions!$H$268</f>
        <v>0</v>
      </c>
      <c r="AO1144" s="33">
        <f>+AO1143*AO953*Assumptions!$H$288*Assumptions!$H$268</f>
        <v>0</v>
      </c>
      <c r="AP1144" s="33">
        <f>+AP1143*AP953*Assumptions!$H$288*Assumptions!$H$268</f>
        <v>0</v>
      </c>
      <c r="AQ1144" s="33">
        <f>+AQ1143*AQ953*Assumptions!$H$288*Assumptions!$H$268</f>
        <v>0</v>
      </c>
      <c r="AR1144" s="33">
        <f>+AR1143*AR953*Assumptions!$H$288*Assumptions!$H$268</f>
        <v>0</v>
      </c>
      <c r="AS1144" s="33">
        <f>+AS1143*AS953*Assumptions!$H$288*Assumptions!$H$268</f>
        <v>0</v>
      </c>
      <c r="AT1144" s="33">
        <f>+AT1143*AT953*Assumptions!$H$288*Assumptions!$H$268</f>
        <v>0</v>
      </c>
      <c r="AU1144" s="33">
        <f>+AU1143*AU953*Assumptions!$H$288*Assumptions!$H$268</f>
        <v>0</v>
      </c>
      <c r="AV1144" s="33">
        <f>+AV1143*AV953*Assumptions!$H$288*Assumptions!$H$268</f>
        <v>0</v>
      </c>
      <c r="AW1144" s="33">
        <f>+AW1143*AW953*Assumptions!$H$288*Assumptions!$H$268</f>
        <v>0</v>
      </c>
      <c r="AX1144" s="33">
        <f>+AX1143*AX953*Assumptions!$H$288*Assumptions!$H$268</f>
        <v>0</v>
      </c>
      <c r="AY1144" s="33">
        <f>+AY1143*AY953*Assumptions!$H$288*Assumptions!$H$268</f>
        <v>0</v>
      </c>
      <c r="AZ1144" s="33">
        <f>+AZ1143*AZ953*Assumptions!$H$288*Assumptions!$H$268</f>
        <v>0</v>
      </c>
      <c r="BA1144" s="33">
        <f>+BA1143*BA953*Assumptions!$H$288*Assumptions!$H$268</f>
        <v>0</v>
      </c>
      <c r="BB1144" s="33">
        <f>+BB1143*BB953*Assumptions!$H$288*Assumptions!$H$268</f>
        <v>0</v>
      </c>
      <c r="BC1144" s="33">
        <f>+BC1143*BC953*Assumptions!$H$288*Assumptions!$H$268</f>
        <v>0</v>
      </c>
      <c r="BD1144" s="33">
        <f>+BD1143*BD953*Assumptions!$H$288*Assumptions!$H$268</f>
        <v>0</v>
      </c>
      <c r="BE1144" s="33">
        <f>+BE1143*BE953*Assumptions!$H$288*Assumptions!$H$268</f>
        <v>0</v>
      </c>
      <c r="BF1144" s="33">
        <f>+BF1143*BF953*Assumptions!$H$288*Assumptions!$H$268</f>
        <v>0</v>
      </c>
      <c r="BG1144" s="33">
        <f>+BG1143*BG953*Assumptions!$H$288*Assumptions!$H$268</f>
        <v>0</v>
      </c>
      <c r="BH1144" s="33">
        <f>+BH1143*BH953*Assumptions!$H$288*Assumptions!$H$268</f>
        <v>0</v>
      </c>
      <c r="BI1144" s="33">
        <f>+BI1143*BI953*Assumptions!$H$288*Assumptions!$H$268</f>
        <v>0</v>
      </c>
      <c r="BJ1144" s="33">
        <f>+BJ1143*BJ953*Assumptions!$H$288*Assumptions!$H$268</f>
        <v>0</v>
      </c>
      <c r="BK1144" s="33">
        <f>+BK1143*BK953*Assumptions!$H$288*Assumptions!$H$268</f>
        <v>0</v>
      </c>
      <c r="BL1144" s="33">
        <f>+BL1143*BL953*Assumptions!$H$288*Assumptions!$H$268</f>
        <v>0</v>
      </c>
      <c r="BM1144" s="33">
        <f>+BM1143*BM953*Assumptions!$H$288*Assumptions!$H$268</f>
        <v>0</v>
      </c>
      <c r="BN1144" s="33">
        <f>+BN1143*BN953*Assumptions!$H$288*Assumptions!$H$268</f>
        <v>0</v>
      </c>
      <c r="BO1144" s="33">
        <f>+BO1143*BO953*Assumptions!$H$288*Assumptions!$H$268</f>
        <v>0</v>
      </c>
      <c r="BP1144" s="33">
        <f>+BP1143*BP953*Assumptions!$H$288*Assumptions!$H$268</f>
        <v>0</v>
      </c>
      <c r="BQ1144" s="33">
        <f>+BQ1143*BQ953*Assumptions!$H$288*Assumptions!$H$268</f>
        <v>0</v>
      </c>
      <c r="BR1144" s="33">
        <f>+BR1143*BR953*Assumptions!$H$288*Assumptions!$H$268</f>
        <v>0</v>
      </c>
      <c r="BS1144" s="33">
        <f>+BS1143*BS953*Assumptions!$H$288*Assumptions!$H$268</f>
        <v>0</v>
      </c>
      <c r="BT1144" s="33">
        <f>+BT1143*BT953*Assumptions!$H$288*Assumptions!$H$268</f>
        <v>0</v>
      </c>
      <c r="BU1144" s="33">
        <f>+BU1143*BU953*Assumptions!$H$288*Assumptions!$H$268</f>
        <v>0</v>
      </c>
      <c r="BV1144" s="33">
        <f>+BV1143*BV953*Assumptions!$H$288*Assumptions!$H$268</f>
        <v>0</v>
      </c>
      <c r="BW1144" s="33">
        <f>+BW1143*BW953*Assumptions!$H$288*Assumptions!$H$268</f>
        <v>0</v>
      </c>
      <c r="BX1144" s="33">
        <f>+BX1143*BX953*Assumptions!$H$288*Assumptions!$H$268</f>
        <v>0</v>
      </c>
      <c r="BY1144" s="33">
        <f>+BY1143*BY953*Assumptions!$H$288*Assumptions!$H$268</f>
        <v>0</v>
      </c>
    </row>
    <row r="1145" spans="3:77" outlineLevel="1">
      <c r="E1145" t="s">
        <v>586</v>
      </c>
      <c r="F1145" s="80" t="s">
        <v>587</v>
      </c>
      <c r="H1145" s="33">
        <f>IFERROR(+_xlfn.XLOOKUP(YEAR(H3),'FuelEU and ETS'!$I$8:$I$33,'FuelEU and ETS'!$L$8:$L$33)-_xlfn.XLOOKUP(YEAR(H3),'FuelEU and ETS'!$I$8:$I$33,'FuelEU and ETS'!$J$8:$J$33),0)</f>
        <v>18.48032786885242</v>
      </c>
      <c r="I1145" s="33">
        <f>IFERROR(+_xlfn.XLOOKUP(YEAR(I3),'FuelEU and ETS'!$I$8:$I$33,'FuelEU and ETS'!$L$8:$L$33)-_xlfn.XLOOKUP(YEAR(I3),'FuelEU and ETS'!$I$8:$I$33,'FuelEU and ETS'!$J$8:$J$33),0)</f>
        <v>20.159016393442663</v>
      </c>
      <c r="J1145" s="33">
        <f>IFERROR(+_xlfn.XLOOKUP(YEAR(J3),'FuelEU and ETS'!$I$8:$I$33,'FuelEU and ETS'!$L$8:$L$33)-_xlfn.XLOOKUP(YEAR(J3),'FuelEU and ETS'!$I$8:$I$33,'FuelEU and ETS'!$J$8:$J$33),0)</f>
        <v>21.83770491803288</v>
      </c>
      <c r="K1145" s="33">
        <f>IFERROR(+_xlfn.XLOOKUP(YEAR(K3),'FuelEU and ETS'!$I$8:$I$33,'FuelEU and ETS'!$L$8:$L$33)-_xlfn.XLOOKUP(YEAR(K3),'FuelEU and ETS'!$I$8:$I$33,'FuelEU and ETS'!$J$8:$J$33),0)</f>
        <v>23.516393442622952</v>
      </c>
      <c r="L1145" s="33">
        <f>IFERROR(+_xlfn.XLOOKUP(YEAR(L3),'FuelEU and ETS'!$I$8:$I$33,'FuelEU and ETS'!$L$8:$L$33)-_xlfn.XLOOKUP(YEAR(L3),'FuelEU and ETS'!$I$8:$I$33,'FuelEU and ETS'!$J$8:$J$33),0)</f>
        <v>24.916393442622951</v>
      </c>
      <c r="M1145" s="33">
        <f>IFERROR(+_xlfn.XLOOKUP(YEAR(M3),'FuelEU and ETS'!$I$8:$I$33,'FuelEU and ETS'!$L$8:$L$33)-_xlfn.XLOOKUP(YEAR(M3),'FuelEU and ETS'!$I$8:$I$33,'FuelEU and ETS'!$J$8:$J$33),0)</f>
        <v>26.31639344262295</v>
      </c>
      <c r="N1145" s="33">
        <f>IFERROR(+_xlfn.XLOOKUP(YEAR(N3),'FuelEU and ETS'!$I$8:$I$33,'FuelEU and ETS'!$L$8:$L$33)-_xlfn.XLOOKUP(YEAR(N3),'FuelEU and ETS'!$I$8:$I$33,'FuelEU and ETS'!$J$8:$J$33),0)</f>
        <v>27.716393442622955</v>
      </c>
      <c r="O1145" s="33">
        <f>IFERROR(+_xlfn.XLOOKUP(YEAR(O3),'FuelEU and ETS'!$I$8:$I$33,'FuelEU and ETS'!$L$8:$L$33)-_xlfn.XLOOKUP(YEAR(O3),'FuelEU and ETS'!$I$8:$I$33,'FuelEU and ETS'!$J$8:$J$33),0)</f>
        <v>29.116393442622954</v>
      </c>
      <c r="P1145" s="33">
        <f>IFERROR(+_xlfn.XLOOKUP(YEAR(P3),'FuelEU and ETS'!$I$8:$I$33,'FuelEU and ETS'!$L$8:$L$33)-_xlfn.XLOOKUP(YEAR(P3),'FuelEU and ETS'!$I$8:$I$33,'FuelEU and ETS'!$J$8:$J$33),0)</f>
        <v>30.516393442622952</v>
      </c>
      <c r="Q1145" s="33">
        <f>IFERROR(+_xlfn.XLOOKUP(YEAR(Q3),'FuelEU and ETS'!$I$8:$I$33,'FuelEU and ETS'!$L$8:$L$33)-_xlfn.XLOOKUP(YEAR(Q3),'FuelEU and ETS'!$I$8:$I$33,'FuelEU and ETS'!$J$8:$J$33),0)</f>
        <v>31.916393442622951</v>
      </c>
      <c r="R1145" s="33">
        <f>IFERROR(+_xlfn.XLOOKUP(YEAR(R3),'FuelEU and ETS'!$I$8:$I$33,'FuelEU and ETS'!$L$8:$L$33)-_xlfn.XLOOKUP(YEAR(R3),'FuelEU and ETS'!$I$8:$I$33,'FuelEU and ETS'!$J$8:$J$33),0)</f>
        <v>33.316393442622953</v>
      </c>
      <c r="S1145" s="33">
        <f>IFERROR(+_xlfn.XLOOKUP(YEAR(S3),'FuelEU and ETS'!$I$8:$I$33,'FuelEU and ETS'!$L$8:$L$33)-_xlfn.XLOOKUP(YEAR(S3),'FuelEU and ETS'!$I$8:$I$33,'FuelEU and ETS'!$J$8:$J$33),0)</f>
        <v>34.716393442622959</v>
      </c>
      <c r="T1145" s="33">
        <f>IFERROR(+_xlfn.XLOOKUP(YEAR(T3),'FuelEU and ETS'!$I$8:$I$33,'FuelEU and ETS'!$L$8:$L$33)-_xlfn.XLOOKUP(YEAR(T3),'FuelEU and ETS'!$I$8:$I$33,'FuelEU and ETS'!$J$8:$J$33),0)</f>
        <v>36.11639344262295</v>
      </c>
      <c r="U1145" s="33">
        <f>IFERROR(+_xlfn.XLOOKUP(YEAR(U3),'FuelEU and ETS'!$I$8:$I$33,'FuelEU and ETS'!$L$8:$L$33)-_xlfn.XLOOKUP(YEAR(U3),'FuelEU and ETS'!$I$8:$I$33,'FuelEU and ETS'!$J$8:$J$33),0)</f>
        <v>37.516393442622956</v>
      </c>
      <c r="V1145" s="33">
        <f>IFERROR(+_xlfn.XLOOKUP(YEAR(V3),'FuelEU and ETS'!$I$8:$I$33,'FuelEU and ETS'!$L$8:$L$33)-_xlfn.XLOOKUP(YEAR(V3),'FuelEU and ETS'!$I$8:$I$33,'FuelEU and ETS'!$J$8:$J$33),0)</f>
        <v>38.816393442622953</v>
      </c>
      <c r="W1145" s="33">
        <f>IFERROR(+_xlfn.XLOOKUP(YEAR(W3),'FuelEU and ETS'!$I$8:$I$33,'FuelEU and ETS'!$L$8:$L$33)-_xlfn.XLOOKUP(YEAR(W3),'FuelEU and ETS'!$I$8:$I$33,'FuelEU and ETS'!$J$8:$J$33),0)</f>
        <v>40.11639344262295</v>
      </c>
      <c r="X1145" s="33">
        <f>IFERROR(+_xlfn.XLOOKUP(YEAR(X3),'FuelEU and ETS'!$I$8:$I$33,'FuelEU and ETS'!$L$8:$L$33)-_xlfn.XLOOKUP(YEAR(X3),'FuelEU and ETS'!$I$8:$I$33,'FuelEU and ETS'!$J$8:$J$33),0)</f>
        <v>41.416393442622962</v>
      </c>
      <c r="Y1145" s="33">
        <f>IFERROR(+_xlfn.XLOOKUP(YEAR(Y3),'FuelEU and ETS'!$I$8:$I$33,'FuelEU and ETS'!$L$8:$L$33)-_xlfn.XLOOKUP(YEAR(Y3),'FuelEU and ETS'!$I$8:$I$33,'FuelEU and ETS'!$J$8:$J$33),0)</f>
        <v>42.716393442622945</v>
      </c>
      <c r="Z1145" s="33">
        <f>IFERROR(+_xlfn.XLOOKUP(YEAR(Z3),'FuelEU and ETS'!$I$8:$I$33,'FuelEU and ETS'!$L$8:$L$33)-_xlfn.XLOOKUP(YEAR(Z3),'FuelEU and ETS'!$I$8:$I$33,'FuelEU and ETS'!$J$8:$J$33),0)</f>
        <v>44.016393442622956</v>
      </c>
      <c r="AA1145" s="33">
        <f>IFERROR(+_xlfn.XLOOKUP(YEAR(AA3),'FuelEU and ETS'!$I$8:$I$33,'FuelEU and ETS'!$L$8:$L$33)-_xlfn.XLOOKUP(YEAR(AA3),'FuelEU and ETS'!$I$8:$I$33,'FuelEU and ETS'!$J$8:$J$33),0)</f>
        <v>0</v>
      </c>
      <c r="AB1145" s="33">
        <f>IFERROR(+_xlfn.XLOOKUP(YEAR(AB3),'FuelEU and ETS'!$I$8:$I$33,'FuelEU and ETS'!$L$8:$L$33)-_xlfn.XLOOKUP(YEAR(AB3),'FuelEU and ETS'!$I$8:$I$33,'FuelEU and ETS'!$J$8:$J$33),0)</f>
        <v>0</v>
      </c>
      <c r="AC1145" s="33">
        <f>IFERROR(+_xlfn.XLOOKUP(YEAR(AC3),'FuelEU and ETS'!$I$8:$I$33,'FuelEU and ETS'!$L$8:$L$33)-_xlfn.XLOOKUP(YEAR(AC3),'FuelEU and ETS'!$I$8:$I$33,'FuelEU and ETS'!$J$8:$J$33),0)</f>
        <v>0</v>
      </c>
      <c r="AD1145" s="33">
        <f>IFERROR(+_xlfn.XLOOKUP(YEAR(AD3),'FuelEU and ETS'!$I$8:$I$33,'FuelEU and ETS'!$L$8:$L$33)-_xlfn.XLOOKUP(YEAR(AD3),'FuelEU and ETS'!$I$8:$I$33,'FuelEU and ETS'!$J$8:$J$33),0)</f>
        <v>0</v>
      </c>
      <c r="AE1145" s="33">
        <f>IFERROR(+_xlfn.XLOOKUP(YEAR(AE3),'FuelEU and ETS'!$I$8:$I$33,'FuelEU and ETS'!$L$8:$L$33)-_xlfn.XLOOKUP(YEAR(AE3),'FuelEU and ETS'!$I$8:$I$33,'FuelEU and ETS'!$J$8:$J$33),0)</f>
        <v>0</v>
      </c>
      <c r="AF1145" s="33">
        <f>IFERROR(+_xlfn.XLOOKUP(YEAR(AF3),'FuelEU and ETS'!$I$8:$I$33,'FuelEU and ETS'!$L$8:$L$33)-_xlfn.XLOOKUP(YEAR(AF3),'FuelEU and ETS'!$I$8:$I$33,'FuelEU and ETS'!$J$8:$J$33),0)</f>
        <v>0</v>
      </c>
      <c r="AG1145" s="33">
        <f>IFERROR(+_xlfn.XLOOKUP(YEAR(AG3),'FuelEU and ETS'!$I$8:$I$33,'FuelEU and ETS'!$L$8:$L$33)-_xlfn.XLOOKUP(YEAR(AG3),'FuelEU and ETS'!$I$8:$I$33,'FuelEU and ETS'!$J$8:$J$33),0)</f>
        <v>0</v>
      </c>
      <c r="AH1145" s="33">
        <f>IFERROR(+_xlfn.XLOOKUP(YEAR(AH3),'FuelEU and ETS'!$I$8:$I$33,'FuelEU and ETS'!$L$8:$L$33)-_xlfn.XLOOKUP(YEAR(AH3),'FuelEU and ETS'!$I$8:$I$33,'FuelEU and ETS'!$J$8:$J$33),0)</f>
        <v>0</v>
      </c>
      <c r="AI1145" s="33">
        <f>IFERROR(+_xlfn.XLOOKUP(YEAR(AI3),'FuelEU and ETS'!$I$8:$I$33,'FuelEU and ETS'!$L$8:$L$33)-_xlfn.XLOOKUP(YEAR(AI3),'FuelEU and ETS'!$I$8:$I$33,'FuelEU and ETS'!$J$8:$J$33),0)</f>
        <v>0</v>
      </c>
      <c r="AJ1145" s="33">
        <f>IFERROR(+_xlfn.XLOOKUP(YEAR(AJ3),'FuelEU and ETS'!$I$8:$I$33,'FuelEU and ETS'!$L$8:$L$33)-_xlfn.XLOOKUP(YEAR(AJ3),'FuelEU and ETS'!$I$8:$I$33,'FuelEU and ETS'!$J$8:$J$33),0)</f>
        <v>0</v>
      </c>
      <c r="AK1145" s="33">
        <f>IFERROR(+_xlfn.XLOOKUP(YEAR(AK3),'FuelEU and ETS'!$I$8:$I$33,'FuelEU and ETS'!$L$8:$L$33)-_xlfn.XLOOKUP(YEAR(AK3),'FuelEU and ETS'!$I$8:$I$33,'FuelEU and ETS'!$J$8:$J$33),0)</f>
        <v>0</v>
      </c>
      <c r="AL1145" s="33">
        <f>IFERROR(+_xlfn.XLOOKUP(YEAR(AL3),'FuelEU and ETS'!$I$8:$I$33,'FuelEU and ETS'!$L$8:$L$33)-_xlfn.XLOOKUP(YEAR(AL3),'FuelEU and ETS'!$I$8:$I$33,'FuelEU and ETS'!$J$8:$J$33),0)</f>
        <v>0</v>
      </c>
      <c r="AM1145" s="33">
        <f>IFERROR(+_xlfn.XLOOKUP(YEAR(AM3),'FuelEU and ETS'!$I$8:$I$33,'FuelEU and ETS'!$L$8:$L$33)-_xlfn.XLOOKUP(YEAR(AM3),'FuelEU and ETS'!$I$8:$I$33,'FuelEU and ETS'!$J$8:$J$33),0)</f>
        <v>0</v>
      </c>
      <c r="AN1145" s="33">
        <f>IFERROR(+_xlfn.XLOOKUP(YEAR(AN3),'FuelEU and ETS'!$I$8:$I$33,'FuelEU and ETS'!$L$8:$L$33)-_xlfn.XLOOKUP(YEAR(AN3),'FuelEU and ETS'!$I$8:$I$33,'FuelEU and ETS'!$J$8:$J$33),0)</f>
        <v>0</v>
      </c>
      <c r="AO1145" s="33">
        <f>IFERROR(+_xlfn.XLOOKUP(YEAR(AO3),'FuelEU and ETS'!$I$8:$I$33,'FuelEU and ETS'!$L$8:$L$33)-_xlfn.XLOOKUP(YEAR(AO3),'FuelEU and ETS'!$I$8:$I$33,'FuelEU and ETS'!$J$8:$J$33),0)</f>
        <v>0</v>
      </c>
      <c r="AP1145" s="33">
        <f>IFERROR(+_xlfn.XLOOKUP(YEAR(AP3),'FuelEU and ETS'!$I$8:$I$33,'FuelEU and ETS'!$L$8:$L$33)-_xlfn.XLOOKUP(YEAR(AP3),'FuelEU and ETS'!$I$8:$I$33,'FuelEU and ETS'!$J$8:$J$33),0)</f>
        <v>0</v>
      </c>
      <c r="AQ1145" s="33">
        <f>IFERROR(+_xlfn.XLOOKUP(YEAR(AQ3),'FuelEU and ETS'!$I$8:$I$33,'FuelEU and ETS'!$L$8:$L$33)-_xlfn.XLOOKUP(YEAR(AQ3),'FuelEU and ETS'!$I$8:$I$33,'FuelEU and ETS'!$J$8:$J$33),0)</f>
        <v>0</v>
      </c>
      <c r="AR1145" s="33">
        <f>IFERROR(+_xlfn.XLOOKUP(YEAR(AR3),'FuelEU and ETS'!$I$8:$I$33,'FuelEU and ETS'!$L$8:$L$33)-_xlfn.XLOOKUP(YEAR(AR3),'FuelEU and ETS'!$I$8:$I$33,'FuelEU and ETS'!$J$8:$J$33),0)</f>
        <v>0</v>
      </c>
      <c r="AS1145" s="33">
        <f>IFERROR(+_xlfn.XLOOKUP(YEAR(AS3),'FuelEU and ETS'!$I$8:$I$33,'FuelEU and ETS'!$L$8:$L$33)-_xlfn.XLOOKUP(YEAR(AS3),'FuelEU and ETS'!$I$8:$I$33,'FuelEU and ETS'!$J$8:$J$33),0)</f>
        <v>0</v>
      </c>
      <c r="AT1145" s="33">
        <f>IFERROR(+_xlfn.XLOOKUP(YEAR(AT3),'FuelEU and ETS'!$I$8:$I$33,'FuelEU and ETS'!$L$8:$L$33)-_xlfn.XLOOKUP(YEAR(AT3),'FuelEU and ETS'!$I$8:$I$33,'FuelEU and ETS'!$J$8:$J$33),0)</f>
        <v>0</v>
      </c>
      <c r="AU1145" s="33">
        <f>IFERROR(+_xlfn.XLOOKUP(YEAR(AU3),'FuelEU and ETS'!$I$8:$I$33,'FuelEU and ETS'!$L$8:$L$33)-_xlfn.XLOOKUP(YEAR(AU3),'FuelEU and ETS'!$I$8:$I$33,'FuelEU and ETS'!$J$8:$J$33),0)</f>
        <v>0</v>
      </c>
      <c r="AV1145" s="33">
        <f>IFERROR(+_xlfn.XLOOKUP(YEAR(AV3),'FuelEU and ETS'!$I$8:$I$33,'FuelEU and ETS'!$L$8:$L$33)-_xlfn.XLOOKUP(YEAR(AV3),'FuelEU and ETS'!$I$8:$I$33,'FuelEU and ETS'!$J$8:$J$33),0)</f>
        <v>0</v>
      </c>
      <c r="AW1145" s="33">
        <f>IFERROR(+_xlfn.XLOOKUP(YEAR(AW3),'FuelEU and ETS'!$I$8:$I$33,'FuelEU and ETS'!$L$8:$L$33)-_xlfn.XLOOKUP(YEAR(AW3),'FuelEU and ETS'!$I$8:$I$33,'FuelEU and ETS'!$J$8:$J$33),0)</f>
        <v>0</v>
      </c>
      <c r="AX1145" s="33">
        <f>IFERROR(+_xlfn.XLOOKUP(YEAR(AX3),'FuelEU and ETS'!$I$8:$I$33,'FuelEU and ETS'!$L$8:$L$33)-_xlfn.XLOOKUP(YEAR(AX3),'FuelEU and ETS'!$I$8:$I$33,'FuelEU and ETS'!$J$8:$J$33),0)</f>
        <v>0</v>
      </c>
      <c r="AY1145" s="33">
        <f>IFERROR(+_xlfn.XLOOKUP(YEAR(AY3),'FuelEU and ETS'!$I$8:$I$33,'FuelEU and ETS'!$L$8:$L$33)-_xlfn.XLOOKUP(YEAR(AY3),'FuelEU and ETS'!$I$8:$I$33,'FuelEU and ETS'!$J$8:$J$33),0)</f>
        <v>0</v>
      </c>
      <c r="AZ1145" s="33">
        <f>IFERROR(+_xlfn.XLOOKUP(YEAR(AZ3),'FuelEU and ETS'!$I$8:$I$33,'FuelEU and ETS'!$L$8:$L$33)-_xlfn.XLOOKUP(YEAR(AZ3),'FuelEU and ETS'!$I$8:$I$33,'FuelEU and ETS'!$J$8:$J$33),0)</f>
        <v>0</v>
      </c>
      <c r="BA1145" s="33">
        <f>IFERROR(+_xlfn.XLOOKUP(YEAR(BA3),'FuelEU and ETS'!$I$8:$I$33,'FuelEU and ETS'!$L$8:$L$33)-_xlfn.XLOOKUP(YEAR(BA3),'FuelEU and ETS'!$I$8:$I$33,'FuelEU and ETS'!$J$8:$J$33),0)</f>
        <v>0</v>
      </c>
      <c r="BB1145" s="33">
        <f>IFERROR(+_xlfn.XLOOKUP(YEAR(BB3),'FuelEU and ETS'!$I$8:$I$33,'FuelEU and ETS'!$L$8:$L$33)-_xlfn.XLOOKUP(YEAR(BB3),'FuelEU and ETS'!$I$8:$I$33,'FuelEU and ETS'!$J$8:$J$33),0)</f>
        <v>0</v>
      </c>
      <c r="BC1145" s="33">
        <f>IFERROR(+_xlfn.XLOOKUP(YEAR(BC3),'FuelEU and ETS'!$I$8:$I$33,'FuelEU and ETS'!$L$8:$L$33)-_xlfn.XLOOKUP(YEAR(BC3),'FuelEU and ETS'!$I$8:$I$33,'FuelEU and ETS'!$J$8:$J$33),0)</f>
        <v>0</v>
      </c>
      <c r="BD1145" s="33">
        <f>IFERROR(+_xlfn.XLOOKUP(YEAR(BD3),'FuelEU and ETS'!$I$8:$I$33,'FuelEU and ETS'!$L$8:$L$33)-_xlfn.XLOOKUP(YEAR(BD3),'FuelEU and ETS'!$I$8:$I$33,'FuelEU and ETS'!$J$8:$J$33),0)</f>
        <v>0</v>
      </c>
      <c r="BE1145" s="33">
        <f>IFERROR(+_xlfn.XLOOKUP(YEAR(BE3),'FuelEU and ETS'!$I$8:$I$33,'FuelEU and ETS'!$L$8:$L$33)-_xlfn.XLOOKUP(YEAR(BE3),'FuelEU and ETS'!$I$8:$I$33,'FuelEU and ETS'!$J$8:$J$33),0)</f>
        <v>0</v>
      </c>
      <c r="BF1145" s="33">
        <f>IFERROR(+_xlfn.XLOOKUP(YEAR(BF3),'FuelEU and ETS'!$I$8:$I$33,'FuelEU and ETS'!$L$8:$L$33)-_xlfn.XLOOKUP(YEAR(BF3),'FuelEU and ETS'!$I$8:$I$33,'FuelEU and ETS'!$J$8:$J$33),0)</f>
        <v>0</v>
      </c>
      <c r="BG1145" s="33">
        <f>IFERROR(+_xlfn.XLOOKUP(YEAR(BG3),'FuelEU and ETS'!$I$8:$I$33,'FuelEU and ETS'!$L$8:$L$33)-_xlfn.XLOOKUP(YEAR(BG3),'FuelEU and ETS'!$I$8:$I$33,'FuelEU and ETS'!$J$8:$J$33),0)</f>
        <v>0</v>
      </c>
      <c r="BH1145" s="33">
        <f>IFERROR(+_xlfn.XLOOKUP(YEAR(BH3),'FuelEU and ETS'!$I$8:$I$33,'FuelEU and ETS'!$L$8:$L$33)-_xlfn.XLOOKUP(YEAR(BH3),'FuelEU and ETS'!$I$8:$I$33,'FuelEU and ETS'!$J$8:$J$33),0)</f>
        <v>0</v>
      </c>
      <c r="BI1145" s="33">
        <f>IFERROR(+_xlfn.XLOOKUP(YEAR(BI3),'FuelEU and ETS'!$I$8:$I$33,'FuelEU and ETS'!$L$8:$L$33)-_xlfn.XLOOKUP(YEAR(BI3),'FuelEU and ETS'!$I$8:$I$33,'FuelEU and ETS'!$J$8:$J$33),0)</f>
        <v>0</v>
      </c>
      <c r="BJ1145" s="33">
        <f>IFERROR(+_xlfn.XLOOKUP(YEAR(BJ3),'FuelEU and ETS'!$I$8:$I$33,'FuelEU and ETS'!$L$8:$L$33)-_xlfn.XLOOKUP(YEAR(BJ3),'FuelEU and ETS'!$I$8:$I$33,'FuelEU and ETS'!$J$8:$J$33),0)</f>
        <v>0</v>
      </c>
      <c r="BK1145" s="33">
        <f>IFERROR(+_xlfn.XLOOKUP(YEAR(BK3),'FuelEU and ETS'!$I$8:$I$33,'FuelEU and ETS'!$L$8:$L$33)-_xlfn.XLOOKUP(YEAR(BK3),'FuelEU and ETS'!$I$8:$I$33,'FuelEU and ETS'!$J$8:$J$33),0)</f>
        <v>0</v>
      </c>
      <c r="BL1145" s="33">
        <f>IFERROR(+_xlfn.XLOOKUP(YEAR(BL3),'FuelEU and ETS'!$I$8:$I$33,'FuelEU and ETS'!$L$8:$L$33)-_xlfn.XLOOKUP(YEAR(BL3),'FuelEU and ETS'!$I$8:$I$33,'FuelEU and ETS'!$J$8:$J$33),0)</f>
        <v>0</v>
      </c>
      <c r="BM1145" s="33">
        <f>IFERROR(+_xlfn.XLOOKUP(YEAR(BM3),'FuelEU and ETS'!$I$8:$I$33,'FuelEU and ETS'!$L$8:$L$33)-_xlfn.XLOOKUP(YEAR(BM3),'FuelEU and ETS'!$I$8:$I$33,'FuelEU and ETS'!$J$8:$J$33),0)</f>
        <v>0</v>
      </c>
      <c r="BN1145" s="33">
        <f>IFERROR(+_xlfn.XLOOKUP(YEAR(BN3),'FuelEU and ETS'!$I$8:$I$33,'FuelEU and ETS'!$L$8:$L$33)-_xlfn.XLOOKUP(YEAR(BN3),'FuelEU and ETS'!$I$8:$I$33,'FuelEU and ETS'!$J$8:$J$33),0)</f>
        <v>0</v>
      </c>
      <c r="BO1145" s="33">
        <f>IFERROR(+_xlfn.XLOOKUP(YEAR(BO3),'FuelEU and ETS'!$I$8:$I$33,'FuelEU and ETS'!$L$8:$L$33)-_xlfn.XLOOKUP(YEAR(BO3),'FuelEU and ETS'!$I$8:$I$33,'FuelEU and ETS'!$J$8:$J$33),0)</f>
        <v>0</v>
      </c>
      <c r="BP1145" s="33">
        <f>IFERROR(+_xlfn.XLOOKUP(YEAR(BP3),'FuelEU and ETS'!$I$8:$I$33,'FuelEU and ETS'!$L$8:$L$33)-_xlfn.XLOOKUP(YEAR(BP3),'FuelEU and ETS'!$I$8:$I$33,'FuelEU and ETS'!$J$8:$J$33),0)</f>
        <v>0</v>
      </c>
      <c r="BQ1145" s="33">
        <f>IFERROR(+_xlfn.XLOOKUP(YEAR(BQ3),'FuelEU and ETS'!$I$8:$I$33,'FuelEU and ETS'!$L$8:$L$33)-_xlfn.XLOOKUP(YEAR(BQ3),'FuelEU and ETS'!$I$8:$I$33,'FuelEU and ETS'!$J$8:$J$33),0)</f>
        <v>0</v>
      </c>
      <c r="BR1145" s="33">
        <f>IFERROR(+_xlfn.XLOOKUP(YEAR(BR3),'FuelEU and ETS'!$I$8:$I$33,'FuelEU and ETS'!$L$8:$L$33)-_xlfn.XLOOKUP(YEAR(BR3),'FuelEU and ETS'!$I$8:$I$33,'FuelEU and ETS'!$J$8:$J$33),0)</f>
        <v>0</v>
      </c>
      <c r="BS1145" s="33">
        <f>IFERROR(+_xlfn.XLOOKUP(YEAR(BS3),'FuelEU and ETS'!$I$8:$I$33,'FuelEU and ETS'!$L$8:$L$33)-_xlfn.XLOOKUP(YEAR(BS3),'FuelEU and ETS'!$I$8:$I$33,'FuelEU and ETS'!$J$8:$J$33),0)</f>
        <v>0</v>
      </c>
      <c r="BT1145" s="33">
        <f>IFERROR(+_xlfn.XLOOKUP(YEAR(BT3),'FuelEU and ETS'!$I$8:$I$33,'FuelEU and ETS'!$L$8:$L$33)-_xlfn.XLOOKUP(YEAR(BT3),'FuelEU and ETS'!$I$8:$I$33,'FuelEU and ETS'!$J$8:$J$33),0)</f>
        <v>0</v>
      </c>
      <c r="BU1145" s="33">
        <f>IFERROR(+_xlfn.XLOOKUP(YEAR(BU3),'FuelEU and ETS'!$I$8:$I$33,'FuelEU and ETS'!$L$8:$L$33)-_xlfn.XLOOKUP(YEAR(BU3),'FuelEU and ETS'!$I$8:$I$33,'FuelEU and ETS'!$J$8:$J$33),0)</f>
        <v>0</v>
      </c>
      <c r="BV1145" s="33">
        <f>IFERROR(+_xlfn.XLOOKUP(YEAR(BV3),'FuelEU and ETS'!$I$8:$I$33,'FuelEU and ETS'!$L$8:$L$33)-_xlfn.XLOOKUP(YEAR(BV3),'FuelEU and ETS'!$I$8:$I$33,'FuelEU and ETS'!$J$8:$J$33),0)</f>
        <v>0</v>
      </c>
      <c r="BW1145" s="33">
        <f>IFERROR(+_xlfn.XLOOKUP(YEAR(BW3),'FuelEU and ETS'!$I$8:$I$33,'FuelEU and ETS'!$L$8:$L$33)-_xlfn.XLOOKUP(YEAR(BW3),'FuelEU and ETS'!$I$8:$I$33,'FuelEU and ETS'!$J$8:$J$33),0)</f>
        <v>0</v>
      </c>
      <c r="BX1145" s="33">
        <f>IFERROR(+_xlfn.XLOOKUP(YEAR(BX3),'FuelEU and ETS'!$I$8:$I$33,'FuelEU and ETS'!$L$8:$L$33)-_xlfn.XLOOKUP(YEAR(BX3),'FuelEU and ETS'!$I$8:$I$33,'FuelEU and ETS'!$J$8:$J$33),0)</f>
        <v>0</v>
      </c>
      <c r="BY1145" s="33">
        <f>IFERROR(+_xlfn.XLOOKUP(YEAR(BY3),'FuelEU and ETS'!$I$8:$I$33,'FuelEU and ETS'!$L$8:$L$33)-_xlfn.XLOOKUP(YEAR(BY3),'FuelEU and ETS'!$I$8:$I$33,'FuelEU and ETS'!$J$8:$J$33),0)</f>
        <v>0</v>
      </c>
    </row>
    <row r="1146" spans="3:77" outlineLevel="1">
      <c r="E1146" t="s">
        <v>588</v>
      </c>
      <c r="F1146" s="80" t="s">
        <v>589</v>
      </c>
      <c r="H1146" s="33">
        <f>+IFERROR(H1145/H1142,0)</f>
        <v>0</v>
      </c>
      <c r="I1146" s="33">
        <f t="shared" ref="I1146:BT1146" si="2332">+IFERROR(I1145/I1142,0)</f>
        <v>0</v>
      </c>
      <c r="J1146" s="33">
        <f t="shared" si="2332"/>
        <v>0</v>
      </c>
      <c r="K1146" s="33">
        <f t="shared" si="2332"/>
        <v>0</v>
      </c>
      <c r="L1146" s="33">
        <f t="shared" si="2332"/>
        <v>0</v>
      </c>
      <c r="M1146" s="33">
        <f t="shared" si="2332"/>
        <v>0</v>
      </c>
      <c r="N1146" s="33">
        <f t="shared" si="2332"/>
        <v>0</v>
      </c>
      <c r="O1146" s="33">
        <f t="shared" si="2332"/>
        <v>0</v>
      </c>
      <c r="P1146" s="33">
        <f t="shared" si="2332"/>
        <v>0</v>
      </c>
      <c r="Q1146" s="33">
        <f t="shared" si="2332"/>
        <v>0</v>
      </c>
      <c r="R1146" s="33">
        <f t="shared" si="2332"/>
        <v>0</v>
      </c>
      <c r="S1146" s="33">
        <f t="shared" si="2332"/>
        <v>0</v>
      </c>
      <c r="T1146" s="33">
        <f t="shared" si="2332"/>
        <v>0</v>
      </c>
      <c r="U1146" s="33">
        <f t="shared" si="2332"/>
        <v>0</v>
      </c>
      <c r="V1146" s="33">
        <f t="shared" si="2332"/>
        <v>0</v>
      </c>
      <c r="W1146" s="33">
        <f t="shared" si="2332"/>
        <v>0</v>
      </c>
      <c r="X1146" s="33">
        <f t="shared" si="2332"/>
        <v>0</v>
      </c>
      <c r="Y1146" s="33">
        <f t="shared" si="2332"/>
        <v>0</v>
      </c>
      <c r="Z1146" s="33">
        <f t="shared" si="2332"/>
        <v>0</v>
      </c>
      <c r="AA1146" s="33">
        <f t="shared" si="2332"/>
        <v>0</v>
      </c>
      <c r="AB1146" s="33">
        <f t="shared" si="2332"/>
        <v>0</v>
      </c>
      <c r="AC1146" s="33">
        <f t="shared" si="2332"/>
        <v>0</v>
      </c>
      <c r="AD1146" s="33">
        <f t="shared" si="2332"/>
        <v>0</v>
      </c>
      <c r="AE1146" s="33">
        <f t="shared" si="2332"/>
        <v>0</v>
      </c>
      <c r="AF1146" s="33">
        <f t="shared" si="2332"/>
        <v>0</v>
      </c>
      <c r="AG1146" s="33">
        <f t="shared" si="2332"/>
        <v>0</v>
      </c>
      <c r="AH1146" s="33">
        <f t="shared" si="2332"/>
        <v>0</v>
      </c>
      <c r="AI1146" s="33">
        <f t="shared" si="2332"/>
        <v>0</v>
      </c>
      <c r="AJ1146" s="33">
        <f t="shared" si="2332"/>
        <v>0</v>
      </c>
      <c r="AK1146" s="33">
        <f t="shared" si="2332"/>
        <v>0</v>
      </c>
      <c r="AL1146" s="33">
        <f t="shared" si="2332"/>
        <v>0</v>
      </c>
      <c r="AM1146" s="33">
        <f t="shared" si="2332"/>
        <v>0</v>
      </c>
      <c r="AN1146" s="33">
        <f t="shared" si="2332"/>
        <v>0</v>
      </c>
      <c r="AO1146" s="33">
        <f t="shared" si="2332"/>
        <v>0</v>
      </c>
      <c r="AP1146" s="33">
        <f t="shared" si="2332"/>
        <v>0</v>
      </c>
      <c r="AQ1146" s="33">
        <f t="shared" si="2332"/>
        <v>0</v>
      </c>
      <c r="AR1146" s="33">
        <f t="shared" si="2332"/>
        <v>0</v>
      </c>
      <c r="AS1146" s="33">
        <f t="shared" si="2332"/>
        <v>0</v>
      </c>
      <c r="AT1146" s="33">
        <f t="shared" si="2332"/>
        <v>0</v>
      </c>
      <c r="AU1146" s="33">
        <f t="shared" si="2332"/>
        <v>0</v>
      </c>
      <c r="AV1146" s="33">
        <f t="shared" si="2332"/>
        <v>0</v>
      </c>
      <c r="AW1146" s="33">
        <f t="shared" si="2332"/>
        <v>0</v>
      </c>
      <c r="AX1146" s="33">
        <f t="shared" si="2332"/>
        <v>0</v>
      </c>
      <c r="AY1146" s="33">
        <f t="shared" si="2332"/>
        <v>0</v>
      </c>
      <c r="AZ1146" s="33">
        <f t="shared" si="2332"/>
        <v>0</v>
      </c>
      <c r="BA1146" s="33">
        <f t="shared" si="2332"/>
        <v>0</v>
      </c>
      <c r="BB1146" s="33">
        <f t="shared" si="2332"/>
        <v>0</v>
      </c>
      <c r="BC1146" s="33">
        <f t="shared" si="2332"/>
        <v>0</v>
      </c>
      <c r="BD1146" s="33">
        <f t="shared" si="2332"/>
        <v>0</v>
      </c>
      <c r="BE1146" s="33">
        <f t="shared" si="2332"/>
        <v>0</v>
      </c>
      <c r="BF1146" s="33">
        <f t="shared" si="2332"/>
        <v>0</v>
      </c>
      <c r="BG1146" s="33">
        <f t="shared" si="2332"/>
        <v>0</v>
      </c>
      <c r="BH1146" s="33">
        <f t="shared" si="2332"/>
        <v>0</v>
      </c>
      <c r="BI1146" s="33">
        <f t="shared" si="2332"/>
        <v>0</v>
      </c>
      <c r="BJ1146" s="33">
        <f t="shared" si="2332"/>
        <v>0</v>
      </c>
      <c r="BK1146" s="33">
        <f t="shared" si="2332"/>
        <v>0</v>
      </c>
      <c r="BL1146" s="33">
        <f t="shared" si="2332"/>
        <v>0</v>
      </c>
      <c r="BM1146" s="33">
        <f t="shared" si="2332"/>
        <v>0</v>
      </c>
      <c r="BN1146" s="33">
        <f t="shared" si="2332"/>
        <v>0</v>
      </c>
      <c r="BO1146" s="33">
        <f t="shared" si="2332"/>
        <v>0</v>
      </c>
      <c r="BP1146" s="33">
        <f t="shared" si="2332"/>
        <v>0</v>
      </c>
      <c r="BQ1146" s="33">
        <f t="shared" si="2332"/>
        <v>0</v>
      </c>
      <c r="BR1146" s="33">
        <f t="shared" si="2332"/>
        <v>0</v>
      </c>
      <c r="BS1146" s="33">
        <f t="shared" si="2332"/>
        <v>0</v>
      </c>
      <c r="BT1146" s="33">
        <f t="shared" si="2332"/>
        <v>0</v>
      </c>
      <c r="BU1146" s="33">
        <f t="shared" ref="BU1146:BY1146" si="2333">+IFERROR(BU1145/BU1142,0)</f>
        <v>0</v>
      </c>
      <c r="BV1146" s="33">
        <f t="shared" si="2333"/>
        <v>0</v>
      </c>
      <c r="BW1146" s="33">
        <f t="shared" si="2333"/>
        <v>0</v>
      </c>
      <c r="BX1146" s="33">
        <f t="shared" si="2333"/>
        <v>0</v>
      </c>
      <c r="BY1146" s="33">
        <f t="shared" si="2333"/>
        <v>0</v>
      </c>
    </row>
    <row r="1147" spans="3:77" outlineLevel="1">
      <c r="E1147" t="s">
        <v>590</v>
      </c>
      <c r="F1147" s="80" t="s">
        <v>570</v>
      </c>
      <c r="H1147" s="89">
        <f>+(_xlfn.XLOOKUP(Assumptions!$G$264,Data_tables!$K:$K,Data_tables!$Q:$Q)-H1118)*(H1143*_xlfn.XLOOKUP(Assumptions!$H$264,Data_tables!$K:$K,Data_tables!$M:$M)/1000+(1-H1143)*Data_tables!$M$20/1000)</f>
        <v>3.8433299999999999</v>
      </c>
      <c r="I1147" s="89">
        <f>+(_xlfn.XLOOKUP(Assumptions!$G$264,Data_tables!$K:$K,Data_tables!$Q:$Q)-I1118)*(I1143*_xlfn.XLOOKUP(Assumptions!$H$264,Data_tables!$K:$K,Data_tables!$M:$M)/1000+(1-I1143)*Data_tables!$M$20/1000)</f>
        <v>3.8433299999999999</v>
      </c>
      <c r="J1147" s="89">
        <f>+(_xlfn.XLOOKUP(Assumptions!$G$264,Data_tables!$K:$K,Data_tables!$Q:$Q)-J1118)*(J1143*_xlfn.XLOOKUP(Assumptions!$H$264,Data_tables!$K:$K,Data_tables!$M:$M)/1000+(1-J1143)*Data_tables!$M$20/1000)</f>
        <v>3.8433299999999999</v>
      </c>
      <c r="K1147" s="89">
        <f>+(_xlfn.XLOOKUP(Assumptions!$G$264,Data_tables!$K:$K,Data_tables!$Q:$Q)-K1118)*(K1143*_xlfn.XLOOKUP(Assumptions!$H$264,Data_tables!$K:$K,Data_tables!$M:$M)/1000+(1-K1143)*Data_tables!$M$20/1000)</f>
        <v>3.8433299999999999</v>
      </c>
      <c r="L1147" s="89">
        <f>+(_xlfn.XLOOKUP(Assumptions!$G$264,Data_tables!$K:$K,Data_tables!$Q:$Q)-L1118)*(L1143*_xlfn.XLOOKUP(Assumptions!$H$264,Data_tables!$K:$K,Data_tables!$M:$M)/1000+(1-L1143)*Data_tables!$M$20/1000)</f>
        <v>3.8433299999999999</v>
      </c>
      <c r="M1147" s="89">
        <f>+(_xlfn.XLOOKUP(Assumptions!$G$264,Data_tables!$K:$K,Data_tables!$Q:$Q)-M1118)*(M1143*_xlfn.XLOOKUP(Assumptions!$H$264,Data_tables!$K:$K,Data_tables!$M:$M)/1000+(1-M1143)*Data_tables!$M$20/1000)</f>
        <v>3.8433299999999999</v>
      </c>
      <c r="N1147" s="89">
        <f>+(_xlfn.XLOOKUP(Assumptions!$G$264,Data_tables!$K:$K,Data_tables!$Q:$Q)-N1118)*(N1143*_xlfn.XLOOKUP(Assumptions!$H$264,Data_tables!$K:$K,Data_tables!$M:$M)/1000+(1-N1143)*Data_tables!$M$20/1000)</f>
        <v>3.8433299999999999</v>
      </c>
      <c r="O1147" s="89">
        <f>+(_xlfn.XLOOKUP(Assumptions!$G$264,Data_tables!$K:$K,Data_tables!$Q:$Q)-O1118)*(O1143*_xlfn.XLOOKUP(Assumptions!$H$264,Data_tables!$K:$K,Data_tables!$M:$M)/1000+(1-O1143)*Data_tables!$M$20/1000)</f>
        <v>3.8433299999999999</v>
      </c>
      <c r="P1147" s="89">
        <f>+(_xlfn.XLOOKUP(Assumptions!$G$264,Data_tables!$K:$K,Data_tables!$Q:$Q)-P1118)*(P1143*_xlfn.XLOOKUP(Assumptions!$H$264,Data_tables!$K:$K,Data_tables!$M:$M)/1000+(1-P1143)*Data_tables!$M$20/1000)</f>
        <v>3.8433299999999999</v>
      </c>
      <c r="Q1147" s="89">
        <f>+(_xlfn.XLOOKUP(Assumptions!$G$264,Data_tables!$K:$K,Data_tables!$Q:$Q)-Q1118)*(Q1143*_xlfn.XLOOKUP(Assumptions!$H$264,Data_tables!$K:$K,Data_tables!$M:$M)/1000+(1-Q1143)*Data_tables!$M$20/1000)</f>
        <v>3.8433299999999999</v>
      </c>
      <c r="R1147" s="89">
        <f>+(_xlfn.XLOOKUP(Assumptions!$G$264,Data_tables!$K:$K,Data_tables!$Q:$Q)-R1118)*(R1143*_xlfn.XLOOKUP(Assumptions!$H$264,Data_tables!$K:$K,Data_tables!$M:$M)/1000+(1-R1143)*Data_tables!$M$20/1000)</f>
        <v>3.8433299999999999</v>
      </c>
      <c r="S1147" s="89">
        <f>+(_xlfn.XLOOKUP(Assumptions!$G$264,Data_tables!$K:$K,Data_tables!$Q:$Q)-S1118)*(S1143*_xlfn.XLOOKUP(Assumptions!$H$264,Data_tables!$K:$K,Data_tables!$M:$M)/1000+(1-S1143)*Data_tables!$M$20/1000)</f>
        <v>3.8433299999999999</v>
      </c>
      <c r="T1147" s="89">
        <f>+(_xlfn.XLOOKUP(Assumptions!$G$264,Data_tables!$K:$K,Data_tables!$Q:$Q)-T1118)*(T1143*_xlfn.XLOOKUP(Assumptions!$H$264,Data_tables!$K:$K,Data_tables!$M:$M)/1000+(1-T1143)*Data_tables!$M$20/1000)</f>
        <v>3.8433299999999999</v>
      </c>
      <c r="U1147" s="89">
        <f>+(_xlfn.XLOOKUP(Assumptions!$G$264,Data_tables!$K:$K,Data_tables!$Q:$Q)-U1118)*(U1143*_xlfn.XLOOKUP(Assumptions!$H$264,Data_tables!$K:$K,Data_tables!$M:$M)/1000+(1-U1143)*Data_tables!$M$20/1000)</f>
        <v>3.8433299999999999</v>
      </c>
      <c r="V1147" s="89">
        <f>+(_xlfn.XLOOKUP(Assumptions!$G$264,Data_tables!$K:$K,Data_tables!$Q:$Q)-V1118)*(V1143*_xlfn.XLOOKUP(Assumptions!$H$264,Data_tables!$K:$K,Data_tables!$M:$M)/1000+(1-V1143)*Data_tables!$M$20/1000)</f>
        <v>3.8433299999999999</v>
      </c>
      <c r="W1147" s="89">
        <f>+(_xlfn.XLOOKUP(Assumptions!$G$264,Data_tables!$K:$K,Data_tables!$Q:$Q)-W1118)*(W1143*_xlfn.XLOOKUP(Assumptions!$H$264,Data_tables!$K:$K,Data_tables!$M:$M)/1000+(1-W1143)*Data_tables!$M$20/1000)</f>
        <v>3.8433299999999999</v>
      </c>
      <c r="X1147" s="89">
        <f>+(_xlfn.XLOOKUP(Assumptions!$G$264,Data_tables!$K:$K,Data_tables!$Q:$Q)-X1118)*(X1143*_xlfn.XLOOKUP(Assumptions!$H$264,Data_tables!$K:$K,Data_tables!$M:$M)/1000+(1-X1143)*Data_tables!$M$20/1000)</f>
        <v>3.8433299999999999</v>
      </c>
      <c r="Y1147" s="89">
        <f>+(_xlfn.XLOOKUP(Assumptions!$G$264,Data_tables!$K:$K,Data_tables!$Q:$Q)-Y1118)*(Y1143*_xlfn.XLOOKUP(Assumptions!$H$264,Data_tables!$K:$K,Data_tables!$M:$M)/1000+(1-Y1143)*Data_tables!$M$20/1000)</f>
        <v>3.8433299999999999</v>
      </c>
      <c r="Z1147" s="89">
        <f>+(_xlfn.XLOOKUP(Assumptions!$G$264,Data_tables!$K:$K,Data_tables!$Q:$Q)-Z1118)*(Z1143*_xlfn.XLOOKUP(Assumptions!$H$264,Data_tables!$K:$K,Data_tables!$M:$M)/1000+(1-Z1143)*Data_tables!$M$20/1000)</f>
        <v>3.8433299999999999</v>
      </c>
      <c r="AA1147" s="89">
        <f>+(_xlfn.XLOOKUP(Assumptions!$G$264,Data_tables!$K:$K,Data_tables!$Q:$Q)-AA1118)*(AA1143*_xlfn.XLOOKUP(Assumptions!$H$264,Data_tables!$K:$K,Data_tables!$M:$M)/1000+(1-AA1143)*Data_tables!$M$20/1000)</f>
        <v>3.8433299999999999</v>
      </c>
      <c r="AB1147" s="89">
        <f>+(_xlfn.XLOOKUP(Assumptions!$G$264,Data_tables!$K:$K,Data_tables!$Q:$Q)-AB1118)*(AB1143*_xlfn.XLOOKUP(Assumptions!$H$264,Data_tables!$K:$K,Data_tables!$M:$M)/1000+(1-AB1143)*Data_tables!$M$20/1000)</f>
        <v>3.8433299999999999</v>
      </c>
      <c r="AC1147" s="89">
        <f>+(_xlfn.XLOOKUP(Assumptions!$G$264,Data_tables!$K:$K,Data_tables!$Q:$Q)-AC1118)*(AC1143*_xlfn.XLOOKUP(Assumptions!$H$264,Data_tables!$K:$K,Data_tables!$M:$M)/1000+(1-AC1143)*Data_tables!$M$20/1000)</f>
        <v>3.8433299999999999</v>
      </c>
      <c r="AD1147" s="89">
        <f>+(_xlfn.XLOOKUP(Assumptions!$G$264,Data_tables!$K:$K,Data_tables!$Q:$Q)-AD1118)*(AD1143*_xlfn.XLOOKUP(Assumptions!$H$264,Data_tables!$K:$K,Data_tables!$M:$M)/1000+(1-AD1143)*Data_tables!$M$20/1000)</f>
        <v>3.8433299999999999</v>
      </c>
      <c r="AE1147" s="89">
        <f>+(_xlfn.XLOOKUP(Assumptions!$G$264,Data_tables!$K:$K,Data_tables!$Q:$Q)-AE1118)*(AE1143*_xlfn.XLOOKUP(Assumptions!$H$264,Data_tables!$K:$K,Data_tables!$M:$M)/1000+(1-AE1143)*Data_tables!$M$20/1000)</f>
        <v>3.8433299999999999</v>
      </c>
      <c r="AF1147" s="89">
        <f>+(_xlfn.XLOOKUP(Assumptions!$G$264,Data_tables!$K:$K,Data_tables!$Q:$Q)-AF1118)*(AF1143*_xlfn.XLOOKUP(Assumptions!$H$264,Data_tables!$K:$K,Data_tables!$M:$M)/1000+(1-AF1143)*Data_tables!$M$20/1000)</f>
        <v>3.8433299999999999</v>
      </c>
      <c r="AG1147" s="89">
        <f>+(_xlfn.XLOOKUP(Assumptions!$G$264,Data_tables!$K:$K,Data_tables!$Q:$Q)-AG1118)*(AG1143*_xlfn.XLOOKUP(Assumptions!$H$264,Data_tables!$K:$K,Data_tables!$M:$M)/1000+(1-AG1143)*Data_tables!$M$20/1000)</f>
        <v>3.8433299999999999</v>
      </c>
      <c r="AH1147" s="89">
        <f>+(_xlfn.XLOOKUP(Assumptions!$G$264,Data_tables!$K:$K,Data_tables!$Q:$Q)-AH1118)*(AH1143*_xlfn.XLOOKUP(Assumptions!$H$264,Data_tables!$K:$K,Data_tables!$M:$M)/1000+(1-AH1143)*Data_tables!$M$20/1000)</f>
        <v>3.8433299999999999</v>
      </c>
      <c r="AI1147" s="89">
        <f>+(_xlfn.XLOOKUP(Assumptions!$G$264,Data_tables!$K:$K,Data_tables!$Q:$Q)-AI1118)*(AI1143*_xlfn.XLOOKUP(Assumptions!$H$264,Data_tables!$K:$K,Data_tables!$M:$M)/1000+(1-AI1143)*Data_tables!$M$20/1000)</f>
        <v>3.8433299999999999</v>
      </c>
      <c r="AJ1147" s="89">
        <f>+(_xlfn.XLOOKUP(Assumptions!$G$264,Data_tables!$K:$K,Data_tables!$Q:$Q)-AJ1118)*(AJ1143*_xlfn.XLOOKUP(Assumptions!$H$264,Data_tables!$K:$K,Data_tables!$M:$M)/1000+(1-AJ1143)*Data_tables!$M$20/1000)</f>
        <v>3.8433299999999999</v>
      </c>
      <c r="AK1147" s="89">
        <f>+(_xlfn.XLOOKUP(Assumptions!$G$264,Data_tables!$K:$K,Data_tables!$Q:$Q)-AK1118)*(AK1143*_xlfn.XLOOKUP(Assumptions!$H$264,Data_tables!$K:$K,Data_tables!$M:$M)/1000+(1-AK1143)*Data_tables!$M$20/1000)</f>
        <v>3.8433299999999999</v>
      </c>
      <c r="AL1147" s="89">
        <f>+(_xlfn.XLOOKUP(Assumptions!$G$264,Data_tables!$K:$K,Data_tables!$Q:$Q)-AL1118)*(AL1143*_xlfn.XLOOKUP(Assumptions!$H$264,Data_tables!$K:$K,Data_tables!$M:$M)/1000+(1-AL1143)*Data_tables!$M$20/1000)</f>
        <v>3.8433299999999999</v>
      </c>
      <c r="AM1147" s="89">
        <f>+(_xlfn.XLOOKUP(Assumptions!$G$264,Data_tables!$K:$K,Data_tables!$Q:$Q)-AM1118)*(AM1143*_xlfn.XLOOKUP(Assumptions!$H$264,Data_tables!$K:$K,Data_tables!$M:$M)/1000+(1-AM1143)*Data_tables!$M$20/1000)</f>
        <v>3.8433299999999999</v>
      </c>
      <c r="AN1147" s="89">
        <f>+(_xlfn.XLOOKUP(Assumptions!$G$264,Data_tables!$K:$K,Data_tables!$Q:$Q)-AN1118)*(AN1143*_xlfn.XLOOKUP(Assumptions!$H$264,Data_tables!$K:$K,Data_tables!$M:$M)/1000+(1-AN1143)*Data_tables!$M$20/1000)</f>
        <v>3.8433299999999999</v>
      </c>
      <c r="AO1147" s="89">
        <f>+(_xlfn.XLOOKUP(Assumptions!$G$264,Data_tables!$K:$K,Data_tables!$Q:$Q)-AO1118)*(AO1143*_xlfn.XLOOKUP(Assumptions!$H$264,Data_tables!$K:$K,Data_tables!$M:$M)/1000+(1-AO1143)*Data_tables!$M$20/1000)</f>
        <v>3.8433299999999999</v>
      </c>
      <c r="AP1147" s="89">
        <f>+(_xlfn.XLOOKUP(Assumptions!$G$264,Data_tables!$K:$K,Data_tables!$Q:$Q)-AP1118)*(AP1143*_xlfn.XLOOKUP(Assumptions!$H$264,Data_tables!$K:$K,Data_tables!$M:$M)/1000+(1-AP1143)*Data_tables!$M$20/1000)</f>
        <v>3.8433299999999999</v>
      </c>
      <c r="AQ1147" s="89">
        <f>+(_xlfn.XLOOKUP(Assumptions!$G$264,Data_tables!$K:$K,Data_tables!$Q:$Q)-AQ1118)*(AQ1143*_xlfn.XLOOKUP(Assumptions!$H$264,Data_tables!$K:$K,Data_tables!$M:$M)/1000+(1-AQ1143)*Data_tables!$M$20/1000)</f>
        <v>3.8433299999999999</v>
      </c>
      <c r="AR1147" s="89">
        <f>+(_xlfn.XLOOKUP(Assumptions!$G$264,Data_tables!$K:$K,Data_tables!$Q:$Q)-AR1118)*(AR1143*_xlfn.XLOOKUP(Assumptions!$H$264,Data_tables!$K:$K,Data_tables!$M:$M)/1000+(1-AR1143)*Data_tables!$M$20/1000)</f>
        <v>3.8433299999999999</v>
      </c>
      <c r="AS1147" s="89">
        <f>+(_xlfn.XLOOKUP(Assumptions!$G$264,Data_tables!$K:$K,Data_tables!$Q:$Q)-AS1118)*(AS1143*_xlfn.XLOOKUP(Assumptions!$H$264,Data_tables!$K:$K,Data_tables!$M:$M)/1000+(1-AS1143)*Data_tables!$M$20/1000)</f>
        <v>3.8433299999999999</v>
      </c>
      <c r="AT1147" s="89">
        <f>+(_xlfn.XLOOKUP(Assumptions!$G$264,Data_tables!$K:$K,Data_tables!$Q:$Q)-AT1118)*(AT1143*_xlfn.XLOOKUP(Assumptions!$H$264,Data_tables!$K:$K,Data_tables!$M:$M)/1000+(1-AT1143)*Data_tables!$M$20/1000)</f>
        <v>3.8433299999999999</v>
      </c>
      <c r="AU1147" s="89">
        <f>+(_xlfn.XLOOKUP(Assumptions!$G$264,Data_tables!$K:$K,Data_tables!$Q:$Q)-AU1118)*(AU1143*_xlfn.XLOOKUP(Assumptions!$H$264,Data_tables!$K:$K,Data_tables!$M:$M)/1000+(1-AU1143)*Data_tables!$M$20/1000)</f>
        <v>3.8433299999999999</v>
      </c>
      <c r="AV1147" s="89">
        <f>+(_xlfn.XLOOKUP(Assumptions!$G$264,Data_tables!$K:$K,Data_tables!$Q:$Q)-AV1118)*(AV1143*_xlfn.XLOOKUP(Assumptions!$H$264,Data_tables!$K:$K,Data_tables!$M:$M)/1000+(1-AV1143)*Data_tables!$M$20/1000)</f>
        <v>3.8433299999999999</v>
      </c>
      <c r="AW1147" s="89">
        <f>+(_xlfn.XLOOKUP(Assumptions!$G$264,Data_tables!$K:$K,Data_tables!$Q:$Q)-AW1118)*(AW1143*_xlfn.XLOOKUP(Assumptions!$H$264,Data_tables!$K:$K,Data_tables!$M:$M)/1000+(1-AW1143)*Data_tables!$M$20/1000)</f>
        <v>3.8433299999999999</v>
      </c>
      <c r="AX1147" s="89">
        <f>+(_xlfn.XLOOKUP(Assumptions!$G$264,Data_tables!$K:$K,Data_tables!$Q:$Q)-AX1118)*(AX1143*_xlfn.XLOOKUP(Assumptions!$H$264,Data_tables!$K:$K,Data_tables!$M:$M)/1000+(1-AX1143)*Data_tables!$M$20/1000)</f>
        <v>3.8433299999999999</v>
      </c>
      <c r="AY1147" s="89">
        <f>+(_xlfn.XLOOKUP(Assumptions!$G$264,Data_tables!$K:$K,Data_tables!$Q:$Q)-AY1118)*(AY1143*_xlfn.XLOOKUP(Assumptions!$H$264,Data_tables!$K:$K,Data_tables!$M:$M)/1000+(1-AY1143)*Data_tables!$M$20/1000)</f>
        <v>3.8433299999999999</v>
      </c>
      <c r="AZ1147" s="89">
        <f>+(_xlfn.XLOOKUP(Assumptions!$G$264,Data_tables!$K:$K,Data_tables!$Q:$Q)-AZ1118)*(AZ1143*_xlfn.XLOOKUP(Assumptions!$H$264,Data_tables!$K:$K,Data_tables!$M:$M)/1000+(1-AZ1143)*Data_tables!$M$20/1000)</f>
        <v>3.8433299999999999</v>
      </c>
      <c r="BA1147" s="89">
        <f>+(_xlfn.XLOOKUP(Assumptions!$G$264,Data_tables!$K:$K,Data_tables!$Q:$Q)-BA1118)*(BA1143*_xlfn.XLOOKUP(Assumptions!$H$264,Data_tables!$K:$K,Data_tables!$M:$M)/1000+(1-BA1143)*Data_tables!$M$20/1000)</f>
        <v>3.8433299999999999</v>
      </c>
      <c r="BB1147" s="89">
        <f>+(_xlfn.XLOOKUP(Assumptions!$G$264,Data_tables!$K:$K,Data_tables!$Q:$Q)-BB1118)*(BB1143*_xlfn.XLOOKUP(Assumptions!$H$264,Data_tables!$K:$K,Data_tables!$M:$M)/1000+(1-BB1143)*Data_tables!$M$20/1000)</f>
        <v>3.8433299999999999</v>
      </c>
      <c r="BC1147" s="89">
        <f>+(_xlfn.XLOOKUP(Assumptions!$G$264,Data_tables!$K:$K,Data_tables!$Q:$Q)-BC1118)*(BC1143*_xlfn.XLOOKUP(Assumptions!$H$264,Data_tables!$K:$K,Data_tables!$M:$M)/1000+(1-BC1143)*Data_tables!$M$20/1000)</f>
        <v>3.8433299999999999</v>
      </c>
      <c r="BD1147" s="89">
        <f>+(_xlfn.XLOOKUP(Assumptions!$G$264,Data_tables!$K:$K,Data_tables!$Q:$Q)-BD1118)*(BD1143*_xlfn.XLOOKUP(Assumptions!$H$264,Data_tables!$K:$K,Data_tables!$M:$M)/1000+(1-BD1143)*Data_tables!$M$20/1000)</f>
        <v>3.8433299999999999</v>
      </c>
      <c r="BE1147" s="89">
        <f>+(_xlfn.XLOOKUP(Assumptions!$G$264,Data_tables!$K:$K,Data_tables!$Q:$Q)-BE1118)*(BE1143*_xlfn.XLOOKUP(Assumptions!$H$264,Data_tables!$K:$K,Data_tables!$M:$M)/1000+(1-BE1143)*Data_tables!$M$20/1000)</f>
        <v>3.8433299999999999</v>
      </c>
      <c r="BF1147" s="89">
        <f>+(_xlfn.XLOOKUP(Assumptions!$G$264,Data_tables!$K:$K,Data_tables!$Q:$Q)-BF1118)*(BF1143*_xlfn.XLOOKUP(Assumptions!$H$264,Data_tables!$K:$K,Data_tables!$M:$M)/1000+(1-BF1143)*Data_tables!$M$20/1000)</f>
        <v>3.8433299999999999</v>
      </c>
      <c r="BG1147" s="89">
        <f>+(_xlfn.XLOOKUP(Assumptions!$G$264,Data_tables!$K:$K,Data_tables!$Q:$Q)-BG1118)*(BG1143*_xlfn.XLOOKUP(Assumptions!$H$264,Data_tables!$K:$K,Data_tables!$M:$M)/1000+(1-BG1143)*Data_tables!$M$20/1000)</f>
        <v>3.8433299999999999</v>
      </c>
      <c r="BH1147" s="89">
        <f>+(_xlfn.XLOOKUP(Assumptions!$G$264,Data_tables!$K:$K,Data_tables!$Q:$Q)-BH1118)*(BH1143*_xlfn.XLOOKUP(Assumptions!$H$264,Data_tables!$K:$K,Data_tables!$M:$M)/1000+(1-BH1143)*Data_tables!$M$20/1000)</f>
        <v>3.8433299999999999</v>
      </c>
      <c r="BI1147" s="89">
        <f>+(_xlfn.XLOOKUP(Assumptions!$G$264,Data_tables!$K:$K,Data_tables!$Q:$Q)-BI1118)*(BI1143*_xlfn.XLOOKUP(Assumptions!$H$264,Data_tables!$K:$K,Data_tables!$M:$M)/1000+(1-BI1143)*Data_tables!$M$20/1000)</f>
        <v>3.8433299999999999</v>
      </c>
      <c r="BJ1147" s="89">
        <f>+(_xlfn.XLOOKUP(Assumptions!$G$264,Data_tables!$K:$K,Data_tables!$Q:$Q)-BJ1118)*(BJ1143*_xlfn.XLOOKUP(Assumptions!$H$264,Data_tables!$K:$K,Data_tables!$M:$M)/1000+(1-BJ1143)*Data_tables!$M$20/1000)</f>
        <v>3.8433299999999999</v>
      </c>
      <c r="BK1147" s="89">
        <f>+(_xlfn.XLOOKUP(Assumptions!$G$264,Data_tables!$K:$K,Data_tables!$Q:$Q)-BK1118)*(BK1143*_xlfn.XLOOKUP(Assumptions!$H$264,Data_tables!$K:$K,Data_tables!$M:$M)/1000+(1-BK1143)*Data_tables!$M$20/1000)</f>
        <v>3.8433299999999999</v>
      </c>
      <c r="BL1147" s="89">
        <f>+(_xlfn.XLOOKUP(Assumptions!$G$264,Data_tables!$K:$K,Data_tables!$Q:$Q)-BL1118)*(BL1143*_xlfn.XLOOKUP(Assumptions!$H$264,Data_tables!$K:$K,Data_tables!$M:$M)/1000+(1-BL1143)*Data_tables!$M$20/1000)</f>
        <v>3.8433299999999999</v>
      </c>
      <c r="BM1147" s="89">
        <f>+(_xlfn.XLOOKUP(Assumptions!$G$264,Data_tables!$K:$K,Data_tables!$Q:$Q)-BM1118)*(BM1143*_xlfn.XLOOKUP(Assumptions!$H$264,Data_tables!$K:$K,Data_tables!$M:$M)/1000+(1-BM1143)*Data_tables!$M$20/1000)</f>
        <v>3.8433299999999999</v>
      </c>
      <c r="BN1147" s="89">
        <f>+(_xlfn.XLOOKUP(Assumptions!$G$264,Data_tables!$K:$K,Data_tables!$Q:$Q)-BN1118)*(BN1143*_xlfn.XLOOKUP(Assumptions!$H$264,Data_tables!$K:$K,Data_tables!$M:$M)/1000+(1-BN1143)*Data_tables!$M$20/1000)</f>
        <v>3.8433299999999999</v>
      </c>
      <c r="BO1147" s="89">
        <f>+(_xlfn.XLOOKUP(Assumptions!$G$264,Data_tables!$K:$K,Data_tables!$Q:$Q)-BO1118)*(BO1143*_xlfn.XLOOKUP(Assumptions!$H$264,Data_tables!$K:$K,Data_tables!$M:$M)/1000+(1-BO1143)*Data_tables!$M$20/1000)</f>
        <v>3.8433299999999999</v>
      </c>
      <c r="BP1147" s="89">
        <f>+(_xlfn.XLOOKUP(Assumptions!$G$264,Data_tables!$K:$K,Data_tables!$Q:$Q)-BP1118)*(BP1143*_xlfn.XLOOKUP(Assumptions!$H$264,Data_tables!$K:$K,Data_tables!$M:$M)/1000+(1-BP1143)*Data_tables!$M$20/1000)</f>
        <v>3.8433299999999999</v>
      </c>
      <c r="BQ1147" s="89">
        <f>+(_xlfn.XLOOKUP(Assumptions!$G$264,Data_tables!$K:$K,Data_tables!$Q:$Q)-BQ1118)*(BQ1143*_xlfn.XLOOKUP(Assumptions!$H$264,Data_tables!$K:$K,Data_tables!$M:$M)/1000+(1-BQ1143)*Data_tables!$M$20/1000)</f>
        <v>3.8433299999999999</v>
      </c>
      <c r="BR1147" s="89">
        <f>+(_xlfn.XLOOKUP(Assumptions!$G$264,Data_tables!$K:$K,Data_tables!$Q:$Q)-BR1118)*(BR1143*_xlfn.XLOOKUP(Assumptions!$H$264,Data_tables!$K:$K,Data_tables!$M:$M)/1000+(1-BR1143)*Data_tables!$M$20/1000)</f>
        <v>3.8433299999999999</v>
      </c>
      <c r="BS1147" s="89">
        <f>+(_xlfn.XLOOKUP(Assumptions!$G$264,Data_tables!$K:$K,Data_tables!$Q:$Q)-BS1118)*(BS1143*_xlfn.XLOOKUP(Assumptions!$H$264,Data_tables!$K:$K,Data_tables!$M:$M)/1000+(1-BS1143)*Data_tables!$M$20/1000)</f>
        <v>3.8433299999999999</v>
      </c>
      <c r="BT1147" s="89">
        <f>+(_xlfn.XLOOKUP(Assumptions!$G$264,Data_tables!$K:$K,Data_tables!$Q:$Q)-BT1118)*(BT1143*_xlfn.XLOOKUP(Assumptions!$H$264,Data_tables!$K:$K,Data_tables!$M:$M)/1000+(1-BT1143)*Data_tables!$M$20/1000)</f>
        <v>3.8433299999999999</v>
      </c>
      <c r="BU1147" s="89">
        <f>+(_xlfn.XLOOKUP(Assumptions!$G$264,Data_tables!$K:$K,Data_tables!$Q:$Q)-BU1118)*(BU1143*_xlfn.XLOOKUP(Assumptions!$H$264,Data_tables!$K:$K,Data_tables!$M:$M)/1000+(1-BU1143)*Data_tables!$M$20/1000)</f>
        <v>3.8433299999999999</v>
      </c>
      <c r="BV1147" s="89">
        <f>+(_xlfn.XLOOKUP(Assumptions!$G$264,Data_tables!$K:$K,Data_tables!$Q:$Q)-BV1118)*(BV1143*_xlfn.XLOOKUP(Assumptions!$H$264,Data_tables!$K:$K,Data_tables!$M:$M)/1000+(1-BV1143)*Data_tables!$M$20/1000)</f>
        <v>3.8433299999999999</v>
      </c>
      <c r="BW1147" s="89">
        <f>+(_xlfn.XLOOKUP(Assumptions!$G$264,Data_tables!$K:$K,Data_tables!$Q:$Q)-BW1118)*(BW1143*_xlfn.XLOOKUP(Assumptions!$H$264,Data_tables!$K:$K,Data_tables!$M:$M)/1000+(1-BW1143)*Data_tables!$M$20/1000)</f>
        <v>3.8433299999999999</v>
      </c>
      <c r="BX1147" s="89">
        <f>+(_xlfn.XLOOKUP(Assumptions!$G$264,Data_tables!$K:$K,Data_tables!$Q:$Q)-BX1118)*(BX1143*_xlfn.XLOOKUP(Assumptions!$H$264,Data_tables!$K:$K,Data_tables!$M:$M)/1000+(1-BX1143)*Data_tables!$M$20/1000)</f>
        <v>3.8433299999999999</v>
      </c>
      <c r="BY1147" s="89">
        <f>+(_xlfn.XLOOKUP(Assumptions!$G$264,Data_tables!$K:$K,Data_tables!$Q:$Q)-BY1118)*(BY1143*_xlfn.XLOOKUP(Assumptions!$H$264,Data_tables!$K:$K,Data_tables!$M:$M)/1000+(1-BY1143)*Data_tables!$M$20/1000)</f>
        <v>3.8433299999999999</v>
      </c>
    </row>
    <row r="1148" spans="3:77" outlineLevel="1">
      <c r="E1148" t="s">
        <v>591</v>
      </c>
      <c r="F1148" s="80" t="s">
        <v>592</v>
      </c>
      <c r="H1148" s="33">
        <f>+H1147*H1146</f>
        <v>0</v>
      </c>
      <c r="I1148" s="33">
        <f t="shared" ref="I1148:BT1148" si="2334">+I1147*I1146</f>
        <v>0</v>
      </c>
      <c r="J1148" s="33">
        <f t="shared" si="2334"/>
        <v>0</v>
      </c>
      <c r="K1148" s="33">
        <f t="shared" si="2334"/>
        <v>0</v>
      </c>
      <c r="L1148" s="33">
        <f t="shared" si="2334"/>
        <v>0</v>
      </c>
      <c r="M1148" s="33">
        <f t="shared" si="2334"/>
        <v>0</v>
      </c>
      <c r="N1148" s="33">
        <f t="shared" si="2334"/>
        <v>0</v>
      </c>
      <c r="O1148" s="33">
        <f t="shared" si="2334"/>
        <v>0</v>
      </c>
      <c r="P1148" s="33">
        <f t="shared" si="2334"/>
        <v>0</v>
      </c>
      <c r="Q1148" s="33">
        <f t="shared" si="2334"/>
        <v>0</v>
      </c>
      <c r="R1148" s="33">
        <f t="shared" si="2334"/>
        <v>0</v>
      </c>
      <c r="S1148" s="33">
        <f t="shared" si="2334"/>
        <v>0</v>
      </c>
      <c r="T1148" s="33">
        <f t="shared" si="2334"/>
        <v>0</v>
      </c>
      <c r="U1148" s="33">
        <f t="shared" si="2334"/>
        <v>0</v>
      </c>
      <c r="V1148" s="33">
        <f t="shared" si="2334"/>
        <v>0</v>
      </c>
      <c r="W1148" s="33">
        <f t="shared" si="2334"/>
        <v>0</v>
      </c>
      <c r="X1148" s="33">
        <f t="shared" si="2334"/>
        <v>0</v>
      </c>
      <c r="Y1148" s="33">
        <f t="shared" si="2334"/>
        <v>0</v>
      </c>
      <c r="Z1148" s="33">
        <f t="shared" si="2334"/>
        <v>0</v>
      </c>
      <c r="AA1148" s="33">
        <f t="shared" si="2334"/>
        <v>0</v>
      </c>
      <c r="AB1148" s="33">
        <f t="shared" si="2334"/>
        <v>0</v>
      </c>
      <c r="AC1148" s="33">
        <f t="shared" si="2334"/>
        <v>0</v>
      </c>
      <c r="AD1148" s="33">
        <f t="shared" si="2334"/>
        <v>0</v>
      </c>
      <c r="AE1148" s="33">
        <f t="shared" si="2334"/>
        <v>0</v>
      </c>
      <c r="AF1148" s="33">
        <f t="shared" si="2334"/>
        <v>0</v>
      </c>
      <c r="AG1148" s="33">
        <f t="shared" si="2334"/>
        <v>0</v>
      </c>
      <c r="AH1148" s="33">
        <f t="shared" si="2334"/>
        <v>0</v>
      </c>
      <c r="AI1148" s="33">
        <f t="shared" si="2334"/>
        <v>0</v>
      </c>
      <c r="AJ1148" s="33">
        <f t="shared" si="2334"/>
        <v>0</v>
      </c>
      <c r="AK1148" s="33">
        <f t="shared" si="2334"/>
        <v>0</v>
      </c>
      <c r="AL1148" s="33">
        <f t="shared" si="2334"/>
        <v>0</v>
      </c>
      <c r="AM1148" s="33">
        <f t="shared" si="2334"/>
        <v>0</v>
      </c>
      <c r="AN1148" s="33">
        <f t="shared" si="2334"/>
        <v>0</v>
      </c>
      <c r="AO1148" s="33">
        <f t="shared" si="2334"/>
        <v>0</v>
      </c>
      <c r="AP1148" s="33">
        <f t="shared" si="2334"/>
        <v>0</v>
      </c>
      <c r="AQ1148" s="33">
        <f t="shared" si="2334"/>
        <v>0</v>
      </c>
      <c r="AR1148" s="33">
        <f t="shared" si="2334"/>
        <v>0</v>
      </c>
      <c r="AS1148" s="33">
        <f t="shared" si="2334"/>
        <v>0</v>
      </c>
      <c r="AT1148" s="33">
        <f t="shared" si="2334"/>
        <v>0</v>
      </c>
      <c r="AU1148" s="33">
        <f t="shared" si="2334"/>
        <v>0</v>
      </c>
      <c r="AV1148" s="33">
        <f t="shared" si="2334"/>
        <v>0</v>
      </c>
      <c r="AW1148" s="33">
        <f t="shared" si="2334"/>
        <v>0</v>
      </c>
      <c r="AX1148" s="33">
        <f t="shared" si="2334"/>
        <v>0</v>
      </c>
      <c r="AY1148" s="33">
        <f t="shared" si="2334"/>
        <v>0</v>
      </c>
      <c r="AZ1148" s="33">
        <f t="shared" si="2334"/>
        <v>0</v>
      </c>
      <c r="BA1148" s="33">
        <f t="shared" si="2334"/>
        <v>0</v>
      </c>
      <c r="BB1148" s="33">
        <f t="shared" si="2334"/>
        <v>0</v>
      </c>
      <c r="BC1148" s="33">
        <f t="shared" si="2334"/>
        <v>0</v>
      </c>
      <c r="BD1148" s="33">
        <f t="shared" si="2334"/>
        <v>0</v>
      </c>
      <c r="BE1148" s="33">
        <f t="shared" si="2334"/>
        <v>0</v>
      </c>
      <c r="BF1148" s="33">
        <f t="shared" si="2334"/>
        <v>0</v>
      </c>
      <c r="BG1148" s="33">
        <f t="shared" si="2334"/>
        <v>0</v>
      </c>
      <c r="BH1148" s="33">
        <f t="shared" si="2334"/>
        <v>0</v>
      </c>
      <c r="BI1148" s="33">
        <f t="shared" si="2334"/>
        <v>0</v>
      </c>
      <c r="BJ1148" s="33">
        <f t="shared" si="2334"/>
        <v>0</v>
      </c>
      <c r="BK1148" s="33">
        <f t="shared" si="2334"/>
        <v>0</v>
      </c>
      <c r="BL1148" s="33">
        <f t="shared" si="2334"/>
        <v>0</v>
      </c>
      <c r="BM1148" s="33">
        <f t="shared" si="2334"/>
        <v>0</v>
      </c>
      <c r="BN1148" s="33">
        <f t="shared" si="2334"/>
        <v>0</v>
      </c>
      <c r="BO1148" s="33">
        <f t="shared" si="2334"/>
        <v>0</v>
      </c>
      <c r="BP1148" s="33">
        <f t="shared" si="2334"/>
        <v>0</v>
      </c>
      <c r="BQ1148" s="33">
        <f t="shared" si="2334"/>
        <v>0</v>
      </c>
      <c r="BR1148" s="33">
        <f t="shared" si="2334"/>
        <v>0</v>
      </c>
      <c r="BS1148" s="33">
        <f t="shared" si="2334"/>
        <v>0</v>
      </c>
      <c r="BT1148" s="33">
        <f t="shared" si="2334"/>
        <v>0</v>
      </c>
      <c r="BU1148" s="33">
        <f t="shared" ref="BU1148:BY1148" si="2335">+BU1147*BU1146</f>
        <v>0</v>
      </c>
      <c r="BV1148" s="33">
        <f t="shared" si="2335"/>
        <v>0</v>
      </c>
      <c r="BW1148" s="33">
        <f t="shared" si="2335"/>
        <v>0</v>
      </c>
      <c r="BX1148" s="33">
        <f t="shared" si="2335"/>
        <v>0</v>
      </c>
      <c r="BY1148" s="33">
        <f t="shared" si="2335"/>
        <v>0</v>
      </c>
    </row>
    <row r="1149" spans="3:77" outlineLevel="1">
      <c r="E1149" s="24" t="s">
        <v>593</v>
      </c>
      <c r="F1149" s="80"/>
      <c r="BF1149" s="33"/>
      <c r="BG1149" s="33"/>
      <c r="BH1149" s="33"/>
      <c r="BI1149" s="33"/>
      <c r="BJ1149" s="33"/>
      <c r="BK1149" s="33"/>
      <c r="BL1149" s="33"/>
      <c r="BM1149" s="33"/>
      <c r="BN1149" s="33"/>
      <c r="BO1149" s="33"/>
      <c r="BP1149" s="33"/>
      <c r="BQ1149" s="33"/>
      <c r="BR1149" s="33"/>
      <c r="BS1149" s="33"/>
      <c r="BT1149" s="33"/>
      <c r="BU1149" s="33"/>
      <c r="BV1149" s="33"/>
      <c r="BW1149" s="33"/>
      <c r="BX1149" s="33"/>
      <c r="BY1149" s="33"/>
    </row>
    <row r="1150" spans="3:77" outlineLevel="1">
      <c r="E1150" t="s">
        <v>594</v>
      </c>
      <c r="F1150" s="80" t="s">
        <v>595</v>
      </c>
      <c r="H1150" s="33">
        <f>+Data_tables!$M$20*'FuelEU and ETS'!$K$42/1000</f>
        <v>3.2177708641975311</v>
      </c>
      <c r="I1150" s="33">
        <f>+Data_tables!$M$20*'FuelEU and ETS'!$K$42/1000</f>
        <v>3.2177708641975311</v>
      </c>
      <c r="J1150" s="33">
        <f>+Data_tables!$M$20*'FuelEU and ETS'!$K$42/1000</f>
        <v>3.2177708641975311</v>
      </c>
      <c r="K1150" s="33">
        <f>+Data_tables!$M$20*'FuelEU and ETS'!$K$42/1000</f>
        <v>3.2177708641975311</v>
      </c>
      <c r="L1150" s="33">
        <f>+Data_tables!$M$20*'FuelEU and ETS'!$K$42/1000</f>
        <v>3.2177708641975311</v>
      </c>
      <c r="M1150" s="33">
        <f>+Data_tables!$M$20*'FuelEU and ETS'!$K$42/1000</f>
        <v>3.2177708641975311</v>
      </c>
      <c r="N1150" s="33">
        <f>+Data_tables!$M$20*'FuelEU and ETS'!$K$42/1000</f>
        <v>3.2177708641975311</v>
      </c>
      <c r="O1150" s="33">
        <f>+Data_tables!$M$20*'FuelEU and ETS'!$K$42/1000</f>
        <v>3.2177708641975311</v>
      </c>
      <c r="P1150" s="33">
        <f>+Data_tables!$M$20*'FuelEU and ETS'!$K$42/1000</f>
        <v>3.2177708641975311</v>
      </c>
      <c r="Q1150" s="33">
        <f>+Data_tables!$M$20*'FuelEU and ETS'!$K$42/1000</f>
        <v>3.2177708641975311</v>
      </c>
      <c r="R1150" s="33">
        <f>+Data_tables!$M$20*'FuelEU and ETS'!$K$42/1000</f>
        <v>3.2177708641975311</v>
      </c>
      <c r="S1150" s="33">
        <f>+Data_tables!$M$20*'FuelEU and ETS'!$K$42/1000</f>
        <v>3.2177708641975311</v>
      </c>
      <c r="T1150" s="33">
        <f>+Data_tables!$M$20*'FuelEU and ETS'!$K$42/1000</f>
        <v>3.2177708641975311</v>
      </c>
      <c r="U1150" s="33">
        <f>+Data_tables!$M$20*'FuelEU and ETS'!$K$42/1000</f>
        <v>3.2177708641975311</v>
      </c>
      <c r="V1150" s="33">
        <f>+Data_tables!$M$20*'FuelEU and ETS'!$K$42/1000</f>
        <v>3.2177708641975311</v>
      </c>
      <c r="W1150" s="33">
        <f>+Data_tables!$M$20*'FuelEU and ETS'!$K$42/1000</f>
        <v>3.2177708641975311</v>
      </c>
      <c r="X1150" s="33">
        <f>+Data_tables!$M$20*'FuelEU and ETS'!$K$42/1000</f>
        <v>3.2177708641975311</v>
      </c>
      <c r="Y1150" s="33">
        <f>+Data_tables!$M$20*'FuelEU and ETS'!$K$42/1000</f>
        <v>3.2177708641975311</v>
      </c>
      <c r="Z1150" s="33">
        <f>+Data_tables!$M$20*'FuelEU and ETS'!$K$42/1000</f>
        <v>3.2177708641975311</v>
      </c>
      <c r="AA1150" s="33">
        <f>+Data_tables!$M$20*'FuelEU and ETS'!$K$42/1000</f>
        <v>3.2177708641975311</v>
      </c>
      <c r="AB1150" s="33">
        <f>+Data_tables!$M$20*'FuelEU and ETS'!$K$42/1000</f>
        <v>3.2177708641975311</v>
      </c>
      <c r="AC1150" s="33">
        <f>+Data_tables!$M$20*'FuelEU and ETS'!$K$42/1000</f>
        <v>3.2177708641975311</v>
      </c>
      <c r="AD1150" s="33">
        <f>+Data_tables!$M$20*'FuelEU and ETS'!$K$42/1000</f>
        <v>3.2177708641975311</v>
      </c>
      <c r="AE1150" s="33">
        <f>+Data_tables!$M$20*'FuelEU and ETS'!$K$42/1000</f>
        <v>3.2177708641975311</v>
      </c>
      <c r="AF1150" s="33">
        <f>+Data_tables!$M$20*'FuelEU and ETS'!$K$42/1000</f>
        <v>3.2177708641975311</v>
      </c>
      <c r="AG1150" s="33">
        <f>+Data_tables!$M$20*'FuelEU and ETS'!$K$42/1000</f>
        <v>3.2177708641975311</v>
      </c>
      <c r="AH1150" s="33">
        <f>+Data_tables!$M$20*'FuelEU and ETS'!$K$42/1000</f>
        <v>3.2177708641975311</v>
      </c>
      <c r="AI1150" s="33">
        <f>+Data_tables!$M$20*'FuelEU and ETS'!$K$42/1000</f>
        <v>3.2177708641975311</v>
      </c>
      <c r="AJ1150" s="33">
        <f>+Data_tables!$M$20*'FuelEU and ETS'!$K$42/1000</f>
        <v>3.2177708641975311</v>
      </c>
      <c r="AK1150" s="33">
        <f>+Data_tables!$M$20*'FuelEU and ETS'!$K$42/1000</f>
        <v>3.2177708641975311</v>
      </c>
      <c r="AL1150" s="33">
        <f>+Data_tables!$M$20*'FuelEU and ETS'!$K$42/1000</f>
        <v>3.2177708641975311</v>
      </c>
      <c r="AM1150" s="33">
        <f>+Data_tables!$M$20*'FuelEU and ETS'!$K$42/1000</f>
        <v>3.2177708641975311</v>
      </c>
      <c r="AN1150" s="33">
        <f>+Data_tables!$M$20*'FuelEU and ETS'!$K$42/1000</f>
        <v>3.2177708641975311</v>
      </c>
      <c r="AO1150" s="33">
        <f>+Data_tables!$M$20*'FuelEU and ETS'!$K$42/1000</f>
        <v>3.2177708641975311</v>
      </c>
      <c r="AP1150" s="33">
        <f>+Data_tables!$M$20*'FuelEU and ETS'!$K$42/1000</f>
        <v>3.2177708641975311</v>
      </c>
      <c r="AQ1150" s="33">
        <f>+Data_tables!$M$20*'FuelEU and ETS'!$K$42/1000</f>
        <v>3.2177708641975311</v>
      </c>
      <c r="AR1150" s="33">
        <f>+Data_tables!$M$20*'FuelEU and ETS'!$K$42/1000</f>
        <v>3.2177708641975311</v>
      </c>
      <c r="AS1150" s="33">
        <f>+Data_tables!$M$20*'FuelEU and ETS'!$K$42/1000</f>
        <v>3.2177708641975311</v>
      </c>
      <c r="AT1150" s="33">
        <f>+Data_tables!$M$20*'FuelEU and ETS'!$K$42/1000</f>
        <v>3.2177708641975311</v>
      </c>
      <c r="AU1150" s="33">
        <f>+Data_tables!$M$20*'FuelEU and ETS'!$K$42/1000</f>
        <v>3.2177708641975311</v>
      </c>
      <c r="AV1150" s="33">
        <f>+Data_tables!$M$20*'FuelEU and ETS'!$K$42/1000</f>
        <v>3.2177708641975311</v>
      </c>
      <c r="AW1150" s="33">
        <f>+Data_tables!$M$20*'FuelEU and ETS'!$K$42/1000</f>
        <v>3.2177708641975311</v>
      </c>
      <c r="AX1150" s="33">
        <f>+Data_tables!$M$20*'FuelEU and ETS'!$K$42/1000</f>
        <v>3.2177708641975311</v>
      </c>
      <c r="AY1150" s="33">
        <f>+Data_tables!$M$20*'FuelEU and ETS'!$K$42/1000</f>
        <v>3.2177708641975311</v>
      </c>
      <c r="AZ1150" s="33">
        <f>+Data_tables!$M$20*'FuelEU and ETS'!$K$42/1000</f>
        <v>3.2177708641975311</v>
      </c>
      <c r="BA1150" s="33">
        <f>+Data_tables!$M$20*'FuelEU and ETS'!$K$42/1000</f>
        <v>3.2177708641975311</v>
      </c>
      <c r="BB1150" s="33">
        <f>+Data_tables!$M$20*'FuelEU and ETS'!$K$42/1000</f>
        <v>3.2177708641975311</v>
      </c>
      <c r="BC1150" s="33">
        <f>+Data_tables!$M$20*'FuelEU and ETS'!$K$42/1000</f>
        <v>3.2177708641975311</v>
      </c>
      <c r="BD1150" s="33">
        <f>+Data_tables!$M$20*'FuelEU and ETS'!$K$42/1000</f>
        <v>3.2177708641975311</v>
      </c>
      <c r="BE1150" s="33">
        <f>+Data_tables!$M$20*'FuelEU and ETS'!$K$42/1000</f>
        <v>3.2177708641975311</v>
      </c>
      <c r="BF1150" s="33">
        <f>+Data_tables!$M$20*'FuelEU and ETS'!$K$42/1000</f>
        <v>3.2177708641975311</v>
      </c>
      <c r="BG1150" s="33">
        <f>+Data_tables!$M$20*'FuelEU and ETS'!$K$42/1000</f>
        <v>3.2177708641975311</v>
      </c>
      <c r="BH1150" s="33">
        <f>+Data_tables!$M$20*'FuelEU and ETS'!$K$42/1000</f>
        <v>3.2177708641975311</v>
      </c>
      <c r="BI1150" s="33">
        <f>+Data_tables!$M$20*'FuelEU and ETS'!$K$42/1000</f>
        <v>3.2177708641975311</v>
      </c>
      <c r="BJ1150" s="33">
        <f>+Data_tables!$M$20*'FuelEU and ETS'!$K$42/1000</f>
        <v>3.2177708641975311</v>
      </c>
      <c r="BK1150" s="33">
        <f>+Data_tables!$M$20*'FuelEU and ETS'!$K$42/1000</f>
        <v>3.2177708641975311</v>
      </c>
      <c r="BL1150" s="33">
        <f>+Data_tables!$M$20*'FuelEU and ETS'!$K$42/1000</f>
        <v>3.2177708641975311</v>
      </c>
      <c r="BM1150" s="33">
        <f>+Data_tables!$M$20*'FuelEU and ETS'!$K$42/1000</f>
        <v>3.2177708641975311</v>
      </c>
      <c r="BN1150" s="33">
        <f>+Data_tables!$M$20*'FuelEU and ETS'!$K$42/1000</f>
        <v>3.2177708641975311</v>
      </c>
      <c r="BO1150" s="33">
        <f>+Data_tables!$M$20*'FuelEU and ETS'!$K$42/1000</f>
        <v>3.2177708641975311</v>
      </c>
      <c r="BP1150" s="33">
        <f>+Data_tables!$M$20*'FuelEU and ETS'!$K$42/1000</f>
        <v>3.2177708641975311</v>
      </c>
      <c r="BQ1150" s="33">
        <f>+Data_tables!$M$20*'FuelEU and ETS'!$K$42/1000</f>
        <v>3.2177708641975311</v>
      </c>
      <c r="BR1150" s="33">
        <f>+Data_tables!$M$20*'FuelEU and ETS'!$K$42/1000</f>
        <v>3.2177708641975311</v>
      </c>
      <c r="BS1150" s="33">
        <f>+Data_tables!$M$20*'FuelEU and ETS'!$K$42/1000</f>
        <v>3.2177708641975311</v>
      </c>
      <c r="BT1150" s="33">
        <f>+Data_tables!$M$20*'FuelEU and ETS'!$K$42/1000</f>
        <v>3.2177708641975311</v>
      </c>
      <c r="BU1150" s="33">
        <f>+Data_tables!$M$20*'FuelEU and ETS'!$K$42/1000</f>
        <v>3.2177708641975311</v>
      </c>
      <c r="BV1150" s="33">
        <f>+Data_tables!$M$20*'FuelEU and ETS'!$K$42/1000</f>
        <v>3.2177708641975311</v>
      </c>
      <c r="BW1150" s="33">
        <f>+Data_tables!$M$20*'FuelEU and ETS'!$K$42/1000</f>
        <v>3.2177708641975311</v>
      </c>
      <c r="BX1150" s="33">
        <f>+Data_tables!$M$20*'FuelEU and ETS'!$K$42/1000</f>
        <v>3.2177708641975311</v>
      </c>
      <c r="BY1150" s="33">
        <f>+Data_tables!$M$20*'FuelEU and ETS'!$K$42/1000</f>
        <v>3.2177708641975311</v>
      </c>
    </row>
    <row r="1151" spans="3:77" outlineLevel="1">
      <c r="E1151" t="s">
        <v>596</v>
      </c>
      <c r="F1151" s="80" t="s">
        <v>595</v>
      </c>
      <c r="H1151" s="33">
        <f>+Data_tables!$M$20*'FuelEU and ETS'!$K$42/1000*(1-H1143)+_xlfn.XLOOKUP(Assumptions!$H$264,Data_tables!$K:$K,Data_tables!$M:$M)*'FuelEU and ETS'!$L$42/1000*(H1143)</f>
        <v>3.2177708641975311</v>
      </c>
      <c r="I1151" s="33">
        <f>+Data_tables!$M$20*'FuelEU and ETS'!$K$42/1000*(1-I1143)+_xlfn.XLOOKUP(Assumptions!$H$264,Data_tables!$K:$K,Data_tables!$M:$M)*'FuelEU and ETS'!$L$42/1000*(I1143)</f>
        <v>3.2177708641975311</v>
      </c>
      <c r="J1151" s="33">
        <f>+Data_tables!$M$20*'FuelEU and ETS'!$K$42/1000*(1-J1143)+_xlfn.XLOOKUP(Assumptions!$H$264,Data_tables!$K:$K,Data_tables!$M:$M)*'FuelEU and ETS'!$L$42/1000*(J1143)</f>
        <v>3.2177708641975311</v>
      </c>
      <c r="K1151" s="33">
        <f>+Data_tables!$M$20*'FuelEU and ETS'!$K$42/1000*(1-K1143)+_xlfn.XLOOKUP(Assumptions!$H$264,Data_tables!$K:$K,Data_tables!$M:$M)*'FuelEU and ETS'!$L$42/1000*(K1143)</f>
        <v>3.2177708641975311</v>
      </c>
      <c r="L1151" s="33">
        <f>+Data_tables!$M$20*'FuelEU and ETS'!$K$42/1000*(1-L1143)+_xlfn.XLOOKUP(Assumptions!$H$264,Data_tables!$K:$K,Data_tables!$M:$M)*'FuelEU and ETS'!$L$42/1000*(L1143)</f>
        <v>3.2177708641975311</v>
      </c>
      <c r="M1151" s="33">
        <f>+Data_tables!$M$20*'FuelEU and ETS'!$K$42/1000*(1-M1143)+_xlfn.XLOOKUP(Assumptions!$H$264,Data_tables!$K:$K,Data_tables!$M:$M)*'FuelEU and ETS'!$L$42/1000*(M1143)</f>
        <v>3.2177708641975311</v>
      </c>
      <c r="N1151" s="33">
        <f>+Data_tables!$M$20*'FuelEU and ETS'!$K$42/1000*(1-N1143)+_xlfn.XLOOKUP(Assumptions!$H$264,Data_tables!$K:$K,Data_tables!$M:$M)*'FuelEU and ETS'!$L$42/1000*(N1143)</f>
        <v>3.2177708641975311</v>
      </c>
      <c r="O1151" s="33">
        <f>+Data_tables!$M$20*'FuelEU and ETS'!$K$42/1000*(1-O1143)+_xlfn.XLOOKUP(Assumptions!$H$264,Data_tables!$K:$K,Data_tables!$M:$M)*'FuelEU and ETS'!$L$42/1000*(O1143)</f>
        <v>3.2177708641975311</v>
      </c>
      <c r="P1151" s="33">
        <f>+Data_tables!$M$20*'FuelEU and ETS'!$K$42/1000*(1-P1143)+_xlfn.XLOOKUP(Assumptions!$H$264,Data_tables!$K:$K,Data_tables!$M:$M)*'FuelEU and ETS'!$L$42/1000*(P1143)</f>
        <v>3.2177708641975311</v>
      </c>
      <c r="Q1151" s="33">
        <f>+Data_tables!$M$20*'FuelEU and ETS'!$K$42/1000*(1-Q1143)+_xlfn.XLOOKUP(Assumptions!$H$264,Data_tables!$K:$K,Data_tables!$M:$M)*'FuelEU and ETS'!$L$42/1000*(Q1143)</f>
        <v>3.2177708641975311</v>
      </c>
      <c r="R1151" s="33">
        <f>+Data_tables!$M$20*'FuelEU and ETS'!$K$42/1000*(1-R1143)+_xlfn.XLOOKUP(Assumptions!$H$264,Data_tables!$K:$K,Data_tables!$M:$M)*'FuelEU and ETS'!$L$42/1000*(R1143)</f>
        <v>3.2177708641975311</v>
      </c>
      <c r="S1151" s="33">
        <f>+Data_tables!$M$20*'FuelEU and ETS'!$K$42/1000*(1-S1143)+_xlfn.XLOOKUP(Assumptions!$H$264,Data_tables!$K:$K,Data_tables!$M:$M)*'FuelEU and ETS'!$L$42/1000*(S1143)</f>
        <v>3.2177708641975311</v>
      </c>
      <c r="T1151" s="33">
        <f>+Data_tables!$M$20*'FuelEU and ETS'!$K$42/1000*(1-T1143)+_xlfn.XLOOKUP(Assumptions!$H$264,Data_tables!$K:$K,Data_tables!$M:$M)*'FuelEU and ETS'!$L$42/1000*(T1143)</f>
        <v>3.2177708641975311</v>
      </c>
      <c r="U1151" s="33">
        <f>+Data_tables!$M$20*'FuelEU and ETS'!$K$42/1000*(1-U1143)+_xlfn.XLOOKUP(Assumptions!$H$264,Data_tables!$K:$K,Data_tables!$M:$M)*'FuelEU and ETS'!$L$42/1000*(U1143)</f>
        <v>3.2177708641975311</v>
      </c>
      <c r="V1151" s="33">
        <f>+Data_tables!$M$20*'FuelEU and ETS'!$K$42/1000*(1-V1143)+_xlfn.XLOOKUP(Assumptions!$H$264,Data_tables!$K:$K,Data_tables!$M:$M)*'FuelEU and ETS'!$L$42/1000*(V1143)</f>
        <v>3.2177708641975311</v>
      </c>
      <c r="W1151" s="33">
        <f>+Data_tables!$M$20*'FuelEU and ETS'!$K$42/1000*(1-W1143)+_xlfn.XLOOKUP(Assumptions!$H$264,Data_tables!$K:$K,Data_tables!$M:$M)*'FuelEU and ETS'!$L$42/1000*(W1143)</f>
        <v>3.2177708641975311</v>
      </c>
      <c r="X1151" s="33">
        <f>+Data_tables!$M$20*'FuelEU and ETS'!$K$42/1000*(1-X1143)+_xlfn.XLOOKUP(Assumptions!$H$264,Data_tables!$K:$K,Data_tables!$M:$M)*'FuelEU and ETS'!$L$42/1000*(X1143)</f>
        <v>3.2177708641975311</v>
      </c>
      <c r="Y1151" s="33">
        <f>+Data_tables!$M$20*'FuelEU and ETS'!$K$42/1000*(1-Y1143)+_xlfn.XLOOKUP(Assumptions!$H$264,Data_tables!$K:$K,Data_tables!$M:$M)*'FuelEU and ETS'!$L$42/1000*(Y1143)</f>
        <v>3.2177708641975311</v>
      </c>
      <c r="Z1151" s="33">
        <f>+Data_tables!$M$20*'FuelEU and ETS'!$K$42/1000*(1-Z1143)+_xlfn.XLOOKUP(Assumptions!$H$264,Data_tables!$K:$K,Data_tables!$M:$M)*'FuelEU and ETS'!$L$42/1000*(Z1143)</f>
        <v>3.2177708641975311</v>
      </c>
      <c r="AA1151" s="33">
        <f>+Data_tables!$M$20*'FuelEU and ETS'!$K$42/1000*(1-AA1143)+_xlfn.XLOOKUP(Assumptions!$H$264,Data_tables!$K:$K,Data_tables!$M:$M)*'FuelEU and ETS'!$L$42/1000*(AA1143)</f>
        <v>3.2177708641975311</v>
      </c>
      <c r="AB1151" s="33">
        <f>+Data_tables!$M$20*'FuelEU and ETS'!$K$42/1000*(1-AB1143)+_xlfn.XLOOKUP(Assumptions!$H$264,Data_tables!$K:$K,Data_tables!$M:$M)*'FuelEU and ETS'!$L$42/1000*(AB1143)</f>
        <v>3.2177708641975311</v>
      </c>
      <c r="AC1151" s="33">
        <f>+Data_tables!$M$20*'FuelEU and ETS'!$K$42/1000*(1-AC1143)+_xlfn.XLOOKUP(Assumptions!$H$264,Data_tables!$K:$K,Data_tables!$M:$M)*'FuelEU and ETS'!$L$42/1000*(AC1143)</f>
        <v>3.2177708641975311</v>
      </c>
      <c r="AD1151" s="33">
        <f>+Data_tables!$M$20*'FuelEU and ETS'!$K$42/1000*(1-AD1143)+_xlfn.XLOOKUP(Assumptions!$H$264,Data_tables!$K:$K,Data_tables!$M:$M)*'FuelEU and ETS'!$L$42/1000*(AD1143)</f>
        <v>3.2177708641975311</v>
      </c>
      <c r="AE1151" s="33">
        <f>+Data_tables!$M$20*'FuelEU and ETS'!$K$42/1000*(1-AE1143)+_xlfn.XLOOKUP(Assumptions!$H$264,Data_tables!$K:$K,Data_tables!$M:$M)*'FuelEU and ETS'!$L$42/1000*(AE1143)</f>
        <v>3.2177708641975311</v>
      </c>
      <c r="AF1151" s="33">
        <f>+Data_tables!$M$20*'FuelEU and ETS'!$K$42/1000*(1-AF1143)+_xlfn.XLOOKUP(Assumptions!$H$264,Data_tables!$K:$K,Data_tables!$M:$M)*'FuelEU and ETS'!$L$42/1000*(AF1143)</f>
        <v>3.2177708641975311</v>
      </c>
      <c r="AG1151" s="33">
        <f>+Data_tables!$M$20*'FuelEU and ETS'!$K$42/1000*(1-AG1143)+_xlfn.XLOOKUP(Assumptions!$H$264,Data_tables!$K:$K,Data_tables!$M:$M)*'FuelEU and ETS'!$L$42/1000*(AG1143)</f>
        <v>3.2177708641975311</v>
      </c>
      <c r="AH1151" s="33">
        <f>+Data_tables!$M$20*'FuelEU and ETS'!$K$42/1000*(1-AH1143)+_xlfn.XLOOKUP(Assumptions!$H$264,Data_tables!$K:$K,Data_tables!$M:$M)*'FuelEU and ETS'!$L$42/1000*(AH1143)</f>
        <v>3.2177708641975311</v>
      </c>
      <c r="AI1151" s="33">
        <f>+Data_tables!$M$20*'FuelEU and ETS'!$K$42/1000*(1-AI1143)+_xlfn.XLOOKUP(Assumptions!$H$264,Data_tables!$K:$K,Data_tables!$M:$M)*'FuelEU and ETS'!$L$42/1000*(AI1143)</f>
        <v>3.2177708641975311</v>
      </c>
      <c r="AJ1151" s="33">
        <f>+Data_tables!$M$20*'FuelEU and ETS'!$K$42/1000*(1-AJ1143)+_xlfn.XLOOKUP(Assumptions!$H$264,Data_tables!$K:$K,Data_tables!$M:$M)*'FuelEU and ETS'!$L$42/1000*(AJ1143)</f>
        <v>3.2177708641975311</v>
      </c>
      <c r="AK1151" s="33">
        <f>+Data_tables!$M$20*'FuelEU and ETS'!$K$42/1000*(1-AK1143)+_xlfn.XLOOKUP(Assumptions!$H$264,Data_tables!$K:$K,Data_tables!$M:$M)*'FuelEU and ETS'!$L$42/1000*(AK1143)</f>
        <v>3.2177708641975311</v>
      </c>
      <c r="AL1151" s="33">
        <f>+Data_tables!$M$20*'FuelEU and ETS'!$K$42/1000*(1-AL1143)+_xlfn.XLOOKUP(Assumptions!$H$264,Data_tables!$K:$K,Data_tables!$M:$M)*'FuelEU and ETS'!$L$42/1000*(AL1143)</f>
        <v>3.2177708641975311</v>
      </c>
      <c r="AM1151" s="33">
        <f>+Data_tables!$M$20*'FuelEU and ETS'!$K$42/1000*(1-AM1143)+_xlfn.XLOOKUP(Assumptions!$H$264,Data_tables!$K:$K,Data_tables!$M:$M)*'FuelEU and ETS'!$L$42/1000*(AM1143)</f>
        <v>3.2177708641975311</v>
      </c>
      <c r="AN1151" s="33">
        <f>+Data_tables!$M$20*'FuelEU and ETS'!$K$42/1000*(1-AN1143)+_xlfn.XLOOKUP(Assumptions!$H$264,Data_tables!$K:$K,Data_tables!$M:$M)*'FuelEU and ETS'!$L$42/1000*(AN1143)</f>
        <v>3.2177708641975311</v>
      </c>
      <c r="AO1151" s="33">
        <f>+Data_tables!$M$20*'FuelEU and ETS'!$K$42/1000*(1-AO1143)+_xlfn.XLOOKUP(Assumptions!$H$264,Data_tables!$K:$K,Data_tables!$M:$M)*'FuelEU and ETS'!$L$42/1000*(AO1143)</f>
        <v>3.2177708641975311</v>
      </c>
      <c r="AP1151" s="33">
        <f>+Data_tables!$M$20*'FuelEU and ETS'!$K$42/1000*(1-AP1143)+_xlfn.XLOOKUP(Assumptions!$H$264,Data_tables!$K:$K,Data_tables!$M:$M)*'FuelEU and ETS'!$L$42/1000*(AP1143)</f>
        <v>3.2177708641975311</v>
      </c>
      <c r="AQ1151" s="33">
        <f>+Data_tables!$M$20*'FuelEU and ETS'!$K$42/1000*(1-AQ1143)+_xlfn.XLOOKUP(Assumptions!$H$264,Data_tables!$K:$K,Data_tables!$M:$M)*'FuelEU and ETS'!$L$42/1000*(AQ1143)</f>
        <v>3.2177708641975311</v>
      </c>
      <c r="AR1151" s="33">
        <f>+Data_tables!$M$20*'FuelEU and ETS'!$K$42/1000*(1-AR1143)+_xlfn.XLOOKUP(Assumptions!$H$264,Data_tables!$K:$K,Data_tables!$M:$M)*'FuelEU and ETS'!$L$42/1000*(AR1143)</f>
        <v>3.2177708641975311</v>
      </c>
      <c r="AS1151" s="33">
        <f>+Data_tables!$M$20*'FuelEU and ETS'!$K$42/1000*(1-AS1143)+_xlfn.XLOOKUP(Assumptions!$H$264,Data_tables!$K:$K,Data_tables!$M:$M)*'FuelEU and ETS'!$L$42/1000*(AS1143)</f>
        <v>3.2177708641975311</v>
      </c>
      <c r="AT1151" s="33">
        <f>+Data_tables!$M$20*'FuelEU and ETS'!$K$42/1000*(1-AT1143)+_xlfn.XLOOKUP(Assumptions!$H$264,Data_tables!$K:$K,Data_tables!$M:$M)*'FuelEU and ETS'!$L$42/1000*(AT1143)</f>
        <v>3.2177708641975311</v>
      </c>
      <c r="AU1151" s="33">
        <f>+Data_tables!$M$20*'FuelEU and ETS'!$K$42/1000*(1-AU1143)+_xlfn.XLOOKUP(Assumptions!$H$264,Data_tables!$K:$K,Data_tables!$M:$M)*'FuelEU and ETS'!$L$42/1000*(AU1143)</f>
        <v>3.2177708641975311</v>
      </c>
      <c r="AV1151" s="33">
        <f>+Data_tables!$M$20*'FuelEU and ETS'!$K$42/1000*(1-AV1143)+_xlfn.XLOOKUP(Assumptions!$H$264,Data_tables!$K:$K,Data_tables!$M:$M)*'FuelEU and ETS'!$L$42/1000*(AV1143)</f>
        <v>3.2177708641975311</v>
      </c>
      <c r="AW1151" s="33">
        <f>+Data_tables!$M$20*'FuelEU and ETS'!$K$42/1000*(1-AW1143)+_xlfn.XLOOKUP(Assumptions!$H$264,Data_tables!$K:$K,Data_tables!$M:$M)*'FuelEU and ETS'!$L$42/1000*(AW1143)</f>
        <v>3.2177708641975311</v>
      </c>
      <c r="AX1151" s="33">
        <f>+Data_tables!$M$20*'FuelEU and ETS'!$K$42/1000*(1-AX1143)+_xlfn.XLOOKUP(Assumptions!$H$264,Data_tables!$K:$K,Data_tables!$M:$M)*'FuelEU and ETS'!$L$42/1000*(AX1143)</f>
        <v>3.2177708641975311</v>
      </c>
      <c r="AY1151" s="33">
        <f>+Data_tables!$M$20*'FuelEU and ETS'!$K$42/1000*(1-AY1143)+_xlfn.XLOOKUP(Assumptions!$H$264,Data_tables!$K:$K,Data_tables!$M:$M)*'FuelEU and ETS'!$L$42/1000*(AY1143)</f>
        <v>3.2177708641975311</v>
      </c>
      <c r="AZ1151" s="33">
        <f>+Data_tables!$M$20*'FuelEU and ETS'!$K$42/1000*(1-AZ1143)+_xlfn.XLOOKUP(Assumptions!$H$264,Data_tables!$K:$K,Data_tables!$M:$M)*'FuelEU and ETS'!$L$42/1000*(AZ1143)</f>
        <v>3.2177708641975311</v>
      </c>
      <c r="BA1151" s="33">
        <f>+Data_tables!$M$20*'FuelEU and ETS'!$K$42/1000*(1-BA1143)+_xlfn.XLOOKUP(Assumptions!$H$264,Data_tables!$K:$K,Data_tables!$M:$M)*'FuelEU and ETS'!$L$42/1000*(BA1143)</f>
        <v>3.2177708641975311</v>
      </c>
      <c r="BB1151" s="33">
        <f>+Data_tables!$M$20*'FuelEU and ETS'!$K$42/1000*(1-BB1143)+_xlfn.XLOOKUP(Assumptions!$H$264,Data_tables!$K:$K,Data_tables!$M:$M)*'FuelEU and ETS'!$L$42/1000*(BB1143)</f>
        <v>3.2177708641975311</v>
      </c>
      <c r="BC1151" s="33">
        <f>+Data_tables!$M$20*'FuelEU and ETS'!$K$42/1000*(1-BC1143)+_xlfn.XLOOKUP(Assumptions!$H$264,Data_tables!$K:$K,Data_tables!$M:$M)*'FuelEU and ETS'!$L$42/1000*(BC1143)</f>
        <v>3.2177708641975311</v>
      </c>
      <c r="BD1151" s="33">
        <f>+Data_tables!$M$20*'FuelEU and ETS'!$K$42/1000*(1-BD1143)+_xlfn.XLOOKUP(Assumptions!$H$264,Data_tables!$K:$K,Data_tables!$M:$M)*'FuelEU and ETS'!$L$42/1000*(BD1143)</f>
        <v>3.2177708641975311</v>
      </c>
      <c r="BE1151" s="33">
        <f>+Data_tables!$M$20*'FuelEU and ETS'!$K$42/1000*(1-BE1143)+_xlfn.XLOOKUP(Assumptions!$H$264,Data_tables!$K:$K,Data_tables!$M:$M)*'FuelEU and ETS'!$L$42/1000*(BE1143)</f>
        <v>3.2177708641975311</v>
      </c>
      <c r="BF1151" s="33">
        <f>+Data_tables!$M$20*'FuelEU and ETS'!$K$42/1000*(1-BF1143)+_xlfn.XLOOKUP(Assumptions!$H$264,Data_tables!$K:$K,Data_tables!$M:$M)*'FuelEU and ETS'!$L$42/1000*(BF1143)</f>
        <v>3.2177708641975311</v>
      </c>
      <c r="BG1151" s="33">
        <f>+Data_tables!$M$20*'FuelEU and ETS'!$K$42/1000*(1-BG1143)+_xlfn.XLOOKUP(Assumptions!$H$264,Data_tables!$K:$K,Data_tables!$M:$M)*'FuelEU and ETS'!$L$42/1000*(BG1143)</f>
        <v>3.2177708641975311</v>
      </c>
      <c r="BH1151" s="33">
        <f>+Data_tables!$M$20*'FuelEU and ETS'!$K$42/1000*(1-BH1143)+_xlfn.XLOOKUP(Assumptions!$H$264,Data_tables!$K:$K,Data_tables!$M:$M)*'FuelEU and ETS'!$L$42/1000*(BH1143)</f>
        <v>3.2177708641975311</v>
      </c>
      <c r="BI1151" s="33">
        <f>+Data_tables!$M$20*'FuelEU and ETS'!$K$42/1000*(1-BI1143)+_xlfn.XLOOKUP(Assumptions!$H$264,Data_tables!$K:$K,Data_tables!$M:$M)*'FuelEU and ETS'!$L$42/1000*(BI1143)</f>
        <v>3.2177708641975311</v>
      </c>
      <c r="BJ1151" s="33">
        <f>+Data_tables!$M$20*'FuelEU and ETS'!$K$42/1000*(1-BJ1143)+_xlfn.XLOOKUP(Assumptions!$H$264,Data_tables!$K:$K,Data_tables!$M:$M)*'FuelEU and ETS'!$L$42/1000*(BJ1143)</f>
        <v>3.2177708641975311</v>
      </c>
      <c r="BK1151" s="33">
        <f>+Data_tables!$M$20*'FuelEU and ETS'!$K$42/1000*(1-BK1143)+_xlfn.XLOOKUP(Assumptions!$H$264,Data_tables!$K:$K,Data_tables!$M:$M)*'FuelEU and ETS'!$L$42/1000*(BK1143)</f>
        <v>3.2177708641975311</v>
      </c>
      <c r="BL1151" s="33">
        <f>+Data_tables!$M$20*'FuelEU and ETS'!$K$42/1000*(1-BL1143)+_xlfn.XLOOKUP(Assumptions!$H$264,Data_tables!$K:$K,Data_tables!$M:$M)*'FuelEU and ETS'!$L$42/1000*(BL1143)</f>
        <v>3.2177708641975311</v>
      </c>
      <c r="BM1151" s="33">
        <f>+Data_tables!$M$20*'FuelEU and ETS'!$K$42/1000*(1-BM1143)+_xlfn.XLOOKUP(Assumptions!$H$264,Data_tables!$K:$K,Data_tables!$M:$M)*'FuelEU and ETS'!$L$42/1000*(BM1143)</f>
        <v>3.2177708641975311</v>
      </c>
      <c r="BN1151" s="33">
        <f>+Data_tables!$M$20*'FuelEU and ETS'!$K$42/1000*(1-BN1143)+_xlfn.XLOOKUP(Assumptions!$H$264,Data_tables!$K:$K,Data_tables!$M:$M)*'FuelEU and ETS'!$L$42/1000*(BN1143)</f>
        <v>3.2177708641975311</v>
      </c>
      <c r="BO1151" s="33">
        <f>+Data_tables!$M$20*'FuelEU and ETS'!$K$42/1000*(1-BO1143)+_xlfn.XLOOKUP(Assumptions!$H$264,Data_tables!$K:$K,Data_tables!$M:$M)*'FuelEU and ETS'!$L$42/1000*(BO1143)</f>
        <v>3.2177708641975311</v>
      </c>
      <c r="BP1151" s="33">
        <f>+Data_tables!$M$20*'FuelEU and ETS'!$K$42/1000*(1-BP1143)+_xlfn.XLOOKUP(Assumptions!$H$264,Data_tables!$K:$K,Data_tables!$M:$M)*'FuelEU and ETS'!$L$42/1000*(BP1143)</f>
        <v>3.2177708641975311</v>
      </c>
      <c r="BQ1151" s="33">
        <f>+Data_tables!$M$20*'FuelEU and ETS'!$K$42/1000*(1-BQ1143)+_xlfn.XLOOKUP(Assumptions!$H$264,Data_tables!$K:$K,Data_tables!$M:$M)*'FuelEU and ETS'!$L$42/1000*(BQ1143)</f>
        <v>3.2177708641975311</v>
      </c>
      <c r="BR1151" s="33">
        <f>+Data_tables!$M$20*'FuelEU and ETS'!$K$42/1000*(1-BR1143)+_xlfn.XLOOKUP(Assumptions!$H$264,Data_tables!$K:$K,Data_tables!$M:$M)*'FuelEU and ETS'!$L$42/1000*(BR1143)</f>
        <v>3.2177708641975311</v>
      </c>
      <c r="BS1151" s="33">
        <f>+Data_tables!$M$20*'FuelEU and ETS'!$K$42/1000*(1-BS1143)+_xlfn.XLOOKUP(Assumptions!$H$264,Data_tables!$K:$K,Data_tables!$M:$M)*'FuelEU and ETS'!$L$42/1000*(BS1143)</f>
        <v>3.2177708641975311</v>
      </c>
      <c r="BT1151" s="33">
        <f>+Data_tables!$M$20*'FuelEU and ETS'!$K$42/1000*(1-BT1143)+_xlfn.XLOOKUP(Assumptions!$H$264,Data_tables!$K:$K,Data_tables!$M:$M)*'FuelEU and ETS'!$L$42/1000*(BT1143)</f>
        <v>3.2177708641975311</v>
      </c>
      <c r="BU1151" s="33">
        <f>+Data_tables!$M$20*'FuelEU and ETS'!$K$42/1000*(1-BU1143)+_xlfn.XLOOKUP(Assumptions!$H$264,Data_tables!$K:$K,Data_tables!$M:$M)*'FuelEU and ETS'!$L$42/1000*(BU1143)</f>
        <v>3.2177708641975311</v>
      </c>
      <c r="BV1151" s="33">
        <f>+Data_tables!$M$20*'FuelEU and ETS'!$K$42/1000*(1-BV1143)+_xlfn.XLOOKUP(Assumptions!$H$264,Data_tables!$K:$K,Data_tables!$M:$M)*'FuelEU and ETS'!$L$42/1000*(BV1143)</f>
        <v>3.2177708641975311</v>
      </c>
      <c r="BW1151" s="33">
        <f>+Data_tables!$M$20*'FuelEU and ETS'!$K$42/1000*(1-BW1143)+_xlfn.XLOOKUP(Assumptions!$H$264,Data_tables!$K:$K,Data_tables!$M:$M)*'FuelEU and ETS'!$L$42/1000*(BW1143)</f>
        <v>3.2177708641975311</v>
      </c>
      <c r="BX1151" s="33">
        <f>+Data_tables!$M$20*'FuelEU and ETS'!$K$42/1000*(1-BX1143)+_xlfn.XLOOKUP(Assumptions!$H$264,Data_tables!$K:$K,Data_tables!$M:$M)*'FuelEU and ETS'!$L$42/1000*(BX1143)</f>
        <v>3.2177708641975311</v>
      </c>
      <c r="BY1151" s="33">
        <f>+Data_tables!$M$20*'FuelEU and ETS'!$K$42/1000*(1-BY1143)+_xlfn.XLOOKUP(Assumptions!$H$264,Data_tables!$K:$K,Data_tables!$M:$M)*'FuelEU and ETS'!$L$42/1000*(BY1143)</f>
        <v>3.2177708641975311</v>
      </c>
    </row>
    <row r="1152" spans="3:77" outlineLevel="1">
      <c r="E1152" t="s">
        <v>597</v>
      </c>
      <c r="F1152" s="80" t="s">
        <v>598</v>
      </c>
      <c r="H1152" s="33">
        <f>IFERROR(+_xlfn.XLOOKUP(YEAR(H3),'FuelEU and ETS'!$I$8:$I$34,'FuelEU and ETS'!$O$8:$O$34),0)</f>
        <v>133.34720000000002</v>
      </c>
      <c r="I1152" s="33">
        <f>IFERROR(+_xlfn.XLOOKUP(YEAR(I3),'FuelEU and ETS'!$I$8:$I$34,'FuelEU and ETS'!$O$8:$O$34),0)</f>
        <v>140.49080000000001</v>
      </c>
      <c r="J1152" s="33">
        <f>IFERROR(+_xlfn.XLOOKUP(YEAR(J3),'FuelEU and ETS'!$I$8:$I$34,'FuelEU and ETS'!$O$8:$O$34),0)</f>
        <v>147.6344</v>
      </c>
      <c r="K1152" s="33">
        <f>IFERROR(+_xlfn.XLOOKUP(YEAR(K3),'FuelEU and ETS'!$I$8:$I$34,'FuelEU and ETS'!$O$8:$O$34),0)</f>
        <v>154.77800000000002</v>
      </c>
      <c r="L1152" s="33">
        <f>IFERROR(+_xlfn.XLOOKUP(YEAR(L3),'FuelEU and ETS'!$I$8:$I$34,'FuelEU and ETS'!$O$8:$O$34),0)</f>
        <v>165.54102400000002</v>
      </c>
      <c r="M1152" s="33">
        <f>IFERROR(+_xlfn.XLOOKUP(YEAR(M3),'FuelEU and ETS'!$I$8:$I$34,'FuelEU and ETS'!$O$8:$O$34),0)</f>
        <v>176.30404800000002</v>
      </c>
      <c r="N1152" s="33">
        <f>IFERROR(+_xlfn.XLOOKUP(YEAR(N3),'FuelEU and ETS'!$I$8:$I$34,'FuelEU and ETS'!$O$8:$O$34),0)</f>
        <v>187.06707200000002</v>
      </c>
      <c r="O1152" s="33">
        <f>IFERROR(+_xlfn.XLOOKUP(YEAR(O3),'FuelEU and ETS'!$I$8:$I$34,'FuelEU and ETS'!$O$8:$O$34),0)</f>
        <v>197.83009600000003</v>
      </c>
      <c r="P1152" s="33">
        <f>IFERROR(+_xlfn.XLOOKUP(YEAR(P3),'FuelEU and ETS'!$I$8:$I$34,'FuelEU and ETS'!$O$8:$O$34),0)</f>
        <v>197.63960000000003</v>
      </c>
      <c r="Q1152" s="33">
        <f>IFERROR(+_xlfn.XLOOKUP(YEAR(Q3),'FuelEU and ETS'!$I$8:$I$34,'FuelEU and ETS'!$O$8:$O$34),0)</f>
        <v>208.59312000000003</v>
      </c>
      <c r="R1152" s="33">
        <f>IFERROR(+_xlfn.XLOOKUP(YEAR(R3),'FuelEU and ETS'!$I$8:$I$34,'FuelEU and ETS'!$O$8:$O$34),0)</f>
        <v>219.54664000000002</v>
      </c>
      <c r="S1152" s="33">
        <f>IFERROR(+_xlfn.XLOOKUP(YEAR(S3),'FuelEU and ETS'!$I$8:$I$34,'FuelEU and ETS'!$O$8:$O$34),0)</f>
        <v>230.50016000000002</v>
      </c>
      <c r="T1152" s="33">
        <f>IFERROR(+_xlfn.XLOOKUP(YEAR(T3),'FuelEU and ETS'!$I$8:$I$34,'FuelEU and ETS'!$O$8:$O$34),0)</f>
        <v>241.45368000000002</v>
      </c>
      <c r="U1152" s="33">
        <f>IFERROR(+_xlfn.XLOOKUP(YEAR(U3),'FuelEU and ETS'!$I$8:$I$34,'FuelEU and ETS'!$O$8:$O$34),0)</f>
        <v>252.40720000000002</v>
      </c>
      <c r="V1152" s="33">
        <f>IFERROR(+_xlfn.XLOOKUP(YEAR(V3),'FuelEU and ETS'!$I$8:$I$34,'FuelEU and ETS'!$O$8:$O$34),0)</f>
        <v>266.93252000000001</v>
      </c>
      <c r="W1152" s="33">
        <f>IFERROR(+_xlfn.XLOOKUP(YEAR(W3),'FuelEU and ETS'!$I$8:$I$34,'FuelEU and ETS'!$O$8:$O$34),0)</f>
        <v>281.45784000000003</v>
      </c>
      <c r="X1152" s="33">
        <f>IFERROR(+_xlfn.XLOOKUP(YEAR(X3),'FuelEU and ETS'!$I$8:$I$34,'FuelEU and ETS'!$O$8:$O$34),0)</f>
        <v>295.98316000000005</v>
      </c>
      <c r="Y1152" s="33">
        <f>IFERROR(+_xlfn.XLOOKUP(YEAR(Y3),'FuelEU and ETS'!$I$8:$I$34,'FuelEU and ETS'!$O$8:$O$34),0)</f>
        <v>310.50848000000008</v>
      </c>
      <c r="Z1152" s="33">
        <f>IFERROR(+_xlfn.XLOOKUP(YEAR(Z3),'FuelEU and ETS'!$I$8:$I$34,'FuelEU and ETS'!$O$8:$O$34),0)</f>
        <v>325.03380000000004</v>
      </c>
      <c r="AA1152" s="33">
        <f>IFERROR(+_xlfn.XLOOKUP(YEAR(AA3),'FuelEU and ETS'!$I$8:$I$34,'FuelEU and ETS'!$O$8:$O$34),0)</f>
        <v>0</v>
      </c>
      <c r="AB1152" s="33">
        <f>IFERROR(+_xlfn.XLOOKUP(YEAR(AB3),'FuelEU and ETS'!$I$8:$I$34,'FuelEU and ETS'!$O$8:$O$34),0)</f>
        <v>0</v>
      </c>
      <c r="AC1152" s="33">
        <f>IFERROR(+_xlfn.XLOOKUP(YEAR(AC3),'FuelEU and ETS'!$I$8:$I$34,'FuelEU and ETS'!$O$8:$O$34),0)</f>
        <v>0</v>
      </c>
      <c r="AD1152" s="33">
        <f>IFERROR(+_xlfn.XLOOKUP(YEAR(AD3),'FuelEU and ETS'!$I$8:$I$34,'FuelEU and ETS'!$O$8:$O$34),0)</f>
        <v>0</v>
      </c>
      <c r="AE1152" s="33">
        <f>IFERROR(+_xlfn.XLOOKUP(YEAR(AE3),'FuelEU and ETS'!$I$8:$I$34,'FuelEU and ETS'!$O$8:$O$34),0)</f>
        <v>0</v>
      </c>
      <c r="AF1152" s="33">
        <f>IFERROR(+_xlfn.XLOOKUP(YEAR(AF3),'FuelEU and ETS'!$I$8:$I$34,'FuelEU and ETS'!$O$8:$O$34),0)</f>
        <v>0</v>
      </c>
      <c r="AG1152" s="33">
        <f>IFERROR(+_xlfn.XLOOKUP(YEAR(AG3),'FuelEU and ETS'!$I$8:$I$34,'FuelEU and ETS'!$O$8:$O$34),0)</f>
        <v>0</v>
      </c>
      <c r="AH1152" s="33">
        <f>IFERROR(+_xlfn.XLOOKUP(YEAR(AH3),'FuelEU and ETS'!$I$8:$I$34,'FuelEU and ETS'!$O$8:$O$34),0)</f>
        <v>0</v>
      </c>
      <c r="AI1152" s="33">
        <f>IFERROR(+_xlfn.XLOOKUP(YEAR(AI3),'FuelEU and ETS'!$I$8:$I$34,'FuelEU and ETS'!$O$8:$O$34),0)</f>
        <v>0</v>
      </c>
      <c r="AJ1152" s="33">
        <f>IFERROR(+_xlfn.XLOOKUP(YEAR(AJ3),'FuelEU and ETS'!$I$8:$I$34,'FuelEU and ETS'!$O$8:$O$34),0)</f>
        <v>0</v>
      </c>
      <c r="AK1152" s="33">
        <f>IFERROR(+_xlfn.XLOOKUP(YEAR(AK3),'FuelEU and ETS'!$I$8:$I$34,'FuelEU and ETS'!$O$8:$O$34),0)</f>
        <v>0</v>
      </c>
      <c r="AL1152" s="33">
        <f>IFERROR(+_xlfn.XLOOKUP(YEAR(AL3),'FuelEU and ETS'!$I$8:$I$34,'FuelEU and ETS'!$O$8:$O$34),0)</f>
        <v>0</v>
      </c>
      <c r="AM1152" s="33">
        <f>IFERROR(+_xlfn.XLOOKUP(YEAR(AM3),'FuelEU and ETS'!$I$8:$I$34,'FuelEU and ETS'!$O$8:$O$34),0)</f>
        <v>0</v>
      </c>
      <c r="AN1152" s="33">
        <f>IFERROR(+_xlfn.XLOOKUP(YEAR(AN3),'FuelEU and ETS'!$I$8:$I$34,'FuelEU and ETS'!$O$8:$O$34),0)</f>
        <v>0</v>
      </c>
      <c r="AO1152" s="33">
        <f>IFERROR(+_xlfn.XLOOKUP(YEAR(AO3),'FuelEU and ETS'!$I$8:$I$34,'FuelEU and ETS'!$O$8:$O$34),0)</f>
        <v>0</v>
      </c>
      <c r="AP1152" s="33">
        <f>IFERROR(+_xlfn.XLOOKUP(YEAR(AP3),'FuelEU and ETS'!$I$8:$I$34,'FuelEU and ETS'!$O$8:$O$34),0)</f>
        <v>0</v>
      </c>
      <c r="AQ1152" s="33">
        <f>IFERROR(+_xlfn.XLOOKUP(YEAR(AQ3),'FuelEU and ETS'!$I$8:$I$34,'FuelEU and ETS'!$O$8:$O$34),0)</f>
        <v>0</v>
      </c>
      <c r="AR1152" s="33">
        <f>IFERROR(+_xlfn.XLOOKUP(YEAR(AR3),'FuelEU and ETS'!$I$8:$I$34,'FuelEU and ETS'!$O$8:$O$34),0)</f>
        <v>0</v>
      </c>
      <c r="AS1152" s="33">
        <f>IFERROR(+_xlfn.XLOOKUP(YEAR(AS3),'FuelEU and ETS'!$I$8:$I$34,'FuelEU and ETS'!$O$8:$O$34),0)</f>
        <v>0</v>
      </c>
      <c r="AT1152" s="33">
        <f>IFERROR(+_xlfn.XLOOKUP(YEAR(AT3),'FuelEU and ETS'!$I$8:$I$34,'FuelEU and ETS'!$O$8:$O$34),0)</f>
        <v>0</v>
      </c>
      <c r="AU1152" s="33">
        <f>IFERROR(+_xlfn.XLOOKUP(YEAR(AU3),'FuelEU and ETS'!$I$8:$I$34,'FuelEU and ETS'!$O$8:$O$34),0)</f>
        <v>0</v>
      </c>
      <c r="AV1152" s="33">
        <f>IFERROR(+_xlfn.XLOOKUP(YEAR(AV3),'FuelEU and ETS'!$I$8:$I$34,'FuelEU and ETS'!$O$8:$O$34),0)</f>
        <v>0</v>
      </c>
      <c r="AW1152" s="33">
        <f>IFERROR(+_xlfn.XLOOKUP(YEAR(AW3),'FuelEU and ETS'!$I$8:$I$34,'FuelEU and ETS'!$O$8:$O$34),0)</f>
        <v>0</v>
      </c>
      <c r="AX1152" s="33">
        <f>IFERROR(+_xlfn.XLOOKUP(YEAR(AX3),'FuelEU and ETS'!$I$8:$I$34,'FuelEU and ETS'!$O$8:$O$34),0)</f>
        <v>0</v>
      </c>
      <c r="AY1152" s="33">
        <f>IFERROR(+_xlfn.XLOOKUP(YEAR(AY3),'FuelEU and ETS'!$I$8:$I$34,'FuelEU and ETS'!$O$8:$O$34),0)</f>
        <v>0</v>
      </c>
      <c r="AZ1152" s="33">
        <f>IFERROR(+_xlfn.XLOOKUP(YEAR(AZ3),'FuelEU and ETS'!$I$8:$I$34,'FuelEU and ETS'!$O$8:$O$34),0)</f>
        <v>0</v>
      </c>
      <c r="BA1152" s="33">
        <f>IFERROR(+_xlfn.XLOOKUP(YEAR(BA3),'FuelEU and ETS'!$I$8:$I$34,'FuelEU and ETS'!$O$8:$O$34),0)</f>
        <v>0</v>
      </c>
      <c r="BB1152" s="33">
        <f>IFERROR(+_xlfn.XLOOKUP(YEAR(BB3),'FuelEU and ETS'!$I$8:$I$34,'FuelEU and ETS'!$O$8:$O$34),0)</f>
        <v>0</v>
      </c>
      <c r="BC1152" s="33">
        <f>IFERROR(+_xlfn.XLOOKUP(YEAR(BC3),'FuelEU and ETS'!$I$8:$I$34,'FuelEU and ETS'!$O$8:$O$34),0)</f>
        <v>0</v>
      </c>
      <c r="BD1152" s="33">
        <f>IFERROR(+_xlfn.XLOOKUP(YEAR(BD3),'FuelEU and ETS'!$I$8:$I$34,'FuelEU and ETS'!$O$8:$O$34),0)</f>
        <v>0</v>
      </c>
      <c r="BE1152" s="33">
        <f>IFERROR(+_xlfn.XLOOKUP(YEAR(BE3),'FuelEU and ETS'!$I$8:$I$34,'FuelEU and ETS'!$O$8:$O$34),0)</f>
        <v>0</v>
      </c>
      <c r="BF1152" s="33">
        <f>IFERROR(+_xlfn.XLOOKUP(YEAR(BF3),'FuelEU and ETS'!$I$8:$I$34,'FuelEU and ETS'!$O$8:$O$34),0)</f>
        <v>0</v>
      </c>
      <c r="BG1152" s="33">
        <f>IFERROR(+_xlfn.XLOOKUP(YEAR(BG3),'FuelEU and ETS'!$I$8:$I$34,'FuelEU and ETS'!$O$8:$O$34),0)</f>
        <v>0</v>
      </c>
      <c r="BH1152" s="33">
        <f>IFERROR(+_xlfn.XLOOKUP(YEAR(BH3),'FuelEU and ETS'!$I$8:$I$34,'FuelEU and ETS'!$O$8:$O$34),0)</f>
        <v>0</v>
      </c>
      <c r="BI1152" s="33">
        <f>IFERROR(+_xlfn.XLOOKUP(YEAR(BI3),'FuelEU and ETS'!$I$8:$I$34,'FuelEU and ETS'!$O$8:$O$34),0)</f>
        <v>0</v>
      </c>
      <c r="BJ1152" s="33">
        <f>IFERROR(+_xlfn.XLOOKUP(YEAR(BJ3),'FuelEU and ETS'!$I$8:$I$34,'FuelEU and ETS'!$O$8:$O$34),0)</f>
        <v>0</v>
      </c>
      <c r="BK1152" s="33">
        <f>IFERROR(+_xlfn.XLOOKUP(YEAR(BK3),'FuelEU and ETS'!$I$8:$I$34,'FuelEU and ETS'!$O$8:$O$34),0)</f>
        <v>0</v>
      </c>
      <c r="BL1152" s="33">
        <f>IFERROR(+_xlfn.XLOOKUP(YEAR(BL3),'FuelEU and ETS'!$I$8:$I$34,'FuelEU and ETS'!$O$8:$O$34),0)</f>
        <v>0</v>
      </c>
      <c r="BM1152" s="33">
        <f>IFERROR(+_xlfn.XLOOKUP(YEAR(BM3),'FuelEU and ETS'!$I$8:$I$34,'FuelEU and ETS'!$O$8:$O$34),0)</f>
        <v>0</v>
      </c>
      <c r="BN1152" s="33">
        <f>IFERROR(+_xlfn.XLOOKUP(YEAR(BN3),'FuelEU and ETS'!$I$8:$I$34,'FuelEU and ETS'!$O$8:$O$34),0)</f>
        <v>0</v>
      </c>
      <c r="BO1152" s="33">
        <f>IFERROR(+_xlfn.XLOOKUP(YEAR(BO3),'FuelEU and ETS'!$I$8:$I$34,'FuelEU and ETS'!$O$8:$O$34),0)</f>
        <v>0</v>
      </c>
      <c r="BP1152" s="33">
        <f>IFERROR(+_xlfn.XLOOKUP(YEAR(BP3),'FuelEU and ETS'!$I$8:$I$34,'FuelEU and ETS'!$O$8:$O$34),0)</f>
        <v>0</v>
      </c>
      <c r="BQ1152" s="33">
        <f>IFERROR(+_xlfn.XLOOKUP(YEAR(BQ3),'FuelEU and ETS'!$I$8:$I$34,'FuelEU and ETS'!$O$8:$O$34),0)</f>
        <v>0</v>
      </c>
      <c r="BR1152" s="33">
        <f>IFERROR(+_xlfn.XLOOKUP(YEAR(BR3),'FuelEU and ETS'!$I$8:$I$34,'FuelEU and ETS'!$O$8:$O$34),0)</f>
        <v>0</v>
      </c>
      <c r="BS1152" s="33">
        <f>IFERROR(+_xlfn.XLOOKUP(YEAR(BS3),'FuelEU and ETS'!$I$8:$I$34,'FuelEU and ETS'!$O$8:$O$34),0)</f>
        <v>0</v>
      </c>
      <c r="BT1152" s="33">
        <f>IFERROR(+_xlfn.XLOOKUP(YEAR(BT3),'FuelEU and ETS'!$I$8:$I$34,'FuelEU and ETS'!$O$8:$O$34),0)</f>
        <v>0</v>
      </c>
      <c r="BU1152" s="33">
        <f>IFERROR(+_xlfn.XLOOKUP(YEAR(BU3),'FuelEU and ETS'!$I$8:$I$34,'FuelEU and ETS'!$O$8:$O$34),0)</f>
        <v>0</v>
      </c>
      <c r="BV1152" s="33">
        <f>IFERROR(+_xlfn.XLOOKUP(YEAR(BV3),'FuelEU and ETS'!$I$8:$I$34,'FuelEU and ETS'!$O$8:$O$34),0)</f>
        <v>0</v>
      </c>
      <c r="BW1152" s="33">
        <f>IFERROR(+_xlfn.XLOOKUP(YEAR(BW3),'FuelEU and ETS'!$I$8:$I$34,'FuelEU and ETS'!$O$8:$O$34),0)</f>
        <v>0</v>
      </c>
      <c r="BX1152" s="33">
        <f>IFERROR(+_xlfn.XLOOKUP(YEAR(BX3),'FuelEU and ETS'!$I$8:$I$34,'FuelEU and ETS'!$O$8:$O$34),0)</f>
        <v>0</v>
      </c>
      <c r="BY1152" s="33">
        <f>IFERROR(+_xlfn.XLOOKUP(YEAR(BY3),'FuelEU and ETS'!$I$8:$I$34,'FuelEU and ETS'!$O$8:$O$34),0)</f>
        <v>0</v>
      </c>
    </row>
    <row r="1153" spans="5:77" outlineLevel="1">
      <c r="E1153" t="s">
        <v>599</v>
      </c>
      <c r="F1153" s="80" t="s">
        <v>600</v>
      </c>
      <c r="H1153" s="33">
        <f>+(H1150-H1151)*H1152</f>
        <v>0</v>
      </c>
      <c r="I1153" s="33">
        <f t="shared" ref="I1153:K1153" si="2336">+(I1150-I1151)*I1152</f>
        <v>0</v>
      </c>
      <c r="J1153" s="33">
        <f t="shared" si="2336"/>
        <v>0</v>
      </c>
      <c r="K1153" s="33">
        <f t="shared" si="2336"/>
        <v>0</v>
      </c>
      <c r="L1153" s="33">
        <f t="shared" ref="L1153" si="2337">+(L1150-L1151)*L1152</f>
        <v>0</v>
      </c>
      <c r="M1153" s="33">
        <f t="shared" ref="M1153" si="2338">+(M1150-M1151)*M1152</f>
        <v>0</v>
      </c>
      <c r="N1153" s="33">
        <f t="shared" ref="N1153" si="2339">+(N1150-N1151)*N1152</f>
        <v>0</v>
      </c>
      <c r="O1153" s="33">
        <f t="shared" ref="O1153" si="2340">+(O1150-O1151)*O1152</f>
        <v>0</v>
      </c>
      <c r="P1153" s="33">
        <f t="shared" ref="P1153" si="2341">+(P1150-P1151)*P1152</f>
        <v>0</v>
      </c>
      <c r="Q1153" s="33">
        <f t="shared" ref="Q1153" si="2342">+(Q1150-Q1151)*Q1152</f>
        <v>0</v>
      </c>
      <c r="R1153" s="33">
        <f t="shared" ref="R1153" si="2343">+(R1150-R1151)*R1152</f>
        <v>0</v>
      </c>
      <c r="S1153" s="33">
        <f t="shared" ref="S1153" si="2344">+(S1150-S1151)*S1152</f>
        <v>0</v>
      </c>
      <c r="T1153" s="33">
        <f t="shared" ref="T1153" si="2345">+(T1150-T1151)*T1152</f>
        <v>0</v>
      </c>
      <c r="U1153" s="33">
        <f t="shared" ref="U1153" si="2346">+(U1150-U1151)*U1152</f>
        <v>0</v>
      </c>
      <c r="V1153" s="33">
        <f t="shared" ref="V1153" si="2347">+(V1150-V1151)*V1152</f>
        <v>0</v>
      </c>
      <c r="W1153" s="33">
        <f t="shared" ref="W1153" si="2348">+(W1150-W1151)*W1152</f>
        <v>0</v>
      </c>
      <c r="X1153" s="33">
        <f t="shared" ref="X1153" si="2349">+(X1150-X1151)*X1152</f>
        <v>0</v>
      </c>
      <c r="Y1153" s="33">
        <f t="shared" ref="Y1153" si="2350">+(Y1150-Y1151)*Y1152</f>
        <v>0</v>
      </c>
      <c r="Z1153" s="33">
        <f t="shared" ref="Z1153" si="2351">+(Z1150-Z1151)*Z1152</f>
        <v>0</v>
      </c>
      <c r="AA1153" s="33">
        <f t="shared" ref="AA1153" si="2352">+(AA1150-AA1151)*AA1152</f>
        <v>0</v>
      </c>
      <c r="AB1153" s="33">
        <f t="shared" ref="AB1153" si="2353">+(AB1150-AB1151)*AB1152</f>
        <v>0</v>
      </c>
      <c r="AC1153" s="33">
        <f t="shared" ref="AC1153" si="2354">+(AC1150-AC1151)*AC1152</f>
        <v>0</v>
      </c>
      <c r="AD1153" s="33">
        <f t="shared" ref="AD1153" si="2355">+(AD1150-AD1151)*AD1152</f>
        <v>0</v>
      </c>
      <c r="AE1153" s="33">
        <f t="shared" ref="AE1153" si="2356">+(AE1150-AE1151)*AE1152</f>
        <v>0</v>
      </c>
      <c r="AF1153" s="33">
        <f t="shared" ref="AF1153" si="2357">+(AF1150-AF1151)*AF1152</f>
        <v>0</v>
      </c>
      <c r="AG1153" s="33">
        <f t="shared" ref="AG1153" si="2358">+(AG1150-AG1151)*AG1152</f>
        <v>0</v>
      </c>
      <c r="AH1153" s="33">
        <f t="shared" ref="AH1153" si="2359">+(AH1150-AH1151)*AH1152</f>
        <v>0</v>
      </c>
      <c r="AI1153" s="33">
        <f t="shared" ref="AI1153" si="2360">+(AI1150-AI1151)*AI1152</f>
        <v>0</v>
      </c>
      <c r="AJ1153" s="33">
        <f t="shared" ref="AJ1153" si="2361">+(AJ1150-AJ1151)*AJ1152</f>
        <v>0</v>
      </c>
      <c r="AK1153" s="33">
        <f t="shared" ref="AK1153" si="2362">+(AK1150-AK1151)*AK1152</f>
        <v>0</v>
      </c>
      <c r="AL1153" s="33">
        <f t="shared" ref="AL1153" si="2363">+(AL1150-AL1151)*AL1152</f>
        <v>0</v>
      </c>
      <c r="AM1153" s="33">
        <f t="shared" ref="AM1153" si="2364">+(AM1150-AM1151)*AM1152</f>
        <v>0</v>
      </c>
      <c r="AN1153" s="33">
        <f t="shared" ref="AN1153" si="2365">+(AN1150-AN1151)*AN1152</f>
        <v>0</v>
      </c>
      <c r="AO1153" s="33">
        <f t="shared" ref="AO1153" si="2366">+(AO1150-AO1151)*AO1152</f>
        <v>0</v>
      </c>
      <c r="AP1153" s="33">
        <f t="shared" ref="AP1153" si="2367">+(AP1150-AP1151)*AP1152</f>
        <v>0</v>
      </c>
      <c r="AQ1153" s="33">
        <f t="shared" ref="AQ1153" si="2368">+(AQ1150-AQ1151)*AQ1152</f>
        <v>0</v>
      </c>
      <c r="AR1153" s="33">
        <f t="shared" ref="AR1153" si="2369">+(AR1150-AR1151)*AR1152</f>
        <v>0</v>
      </c>
      <c r="AS1153" s="33">
        <f t="shared" ref="AS1153" si="2370">+(AS1150-AS1151)*AS1152</f>
        <v>0</v>
      </c>
      <c r="AT1153" s="33">
        <f t="shared" ref="AT1153" si="2371">+(AT1150-AT1151)*AT1152</f>
        <v>0</v>
      </c>
      <c r="AU1153" s="33">
        <f t="shared" ref="AU1153" si="2372">+(AU1150-AU1151)*AU1152</f>
        <v>0</v>
      </c>
      <c r="AV1153" s="33">
        <f t="shared" ref="AV1153" si="2373">+(AV1150-AV1151)*AV1152</f>
        <v>0</v>
      </c>
      <c r="AW1153" s="33">
        <f t="shared" ref="AW1153" si="2374">+(AW1150-AW1151)*AW1152</f>
        <v>0</v>
      </c>
      <c r="AX1153" s="33">
        <f t="shared" ref="AX1153" si="2375">+(AX1150-AX1151)*AX1152</f>
        <v>0</v>
      </c>
      <c r="AY1153" s="33">
        <f t="shared" ref="AY1153" si="2376">+(AY1150-AY1151)*AY1152</f>
        <v>0</v>
      </c>
      <c r="AZ1153" s="33">
        <f t="shared" ref="AZ1153" si="2377">+(AZ1150-AZ1151)*AZ1152</f>
        <v>0</v>
      </c>
      <c r="BA1153" s="33">
        <f t="shared" ref="BA1153" si="2378">+(BA1150-BA1151)*BA1152</f>
        <v>0</v>
      </c>
      <c r="BB1153" s="33">
        <f t="shared" ref="BB1153" si="2379">+(BB1150-BB1151)*BB1152</f>
        <v>0</v>
      </c>
      <c r="BC1153" s="33">
        <f t="shared" ref="BC1153" si="2380">+(BC1150-BC1151)*BC1152</f>
        <v>0</v>
      </c>
      <c r="BD1153" s="33">
        <f t="shared" ref="BD1153" si="2381">+(BD1150-BD1151)*BD1152</f>
        <v>0</v>
      </c>
      <c r="BE1153" s="33">
        <f t="shared" ref="BE1153" si="2382">+(BE1150-BE1151)*BE1152</f>
        <v>0</v>
      </c>
      <c r="BF1153" s="33">
        <f t="shared" ref="BF1153" si="2383">+(BF1150-BF1151)*BF1152</f>
        <v>0</v>
      </c>
      <c r="BG1153" s="33">
        <f t="shared" ref="BG1153" si="2384">+(BG1150-BG1151)*BG1152</f>
        <v>0</v>
      </c>
      <c r="BH1153" s="33">
        <f t="shared" ref="BH1153" si="2385">+(BH1150-BH1151)*BH1152</f>
        <v>0</v>
      </c>
      <c r="BI1153" s="33">
        <f t="shared" ref="BI1153" si="2386">+(BI1150-BI1151)*BI1152</f>
        <v>0</v>
      </c>
      <c r="BJ1153" s="33">
        <f t="shared" ref="BJ1153" si="2387">+(BJ1150-BJ1151)*BJ1152</f>
        <v>0</v>
      </c>
      <c r="BK1153" s="33">
        <f t="shared" ref="BK1153" si="2388">+(BK1150-BK1151)*BK1152</f>
        <v>0</v>
      </c>
      <c r="BL1153" s="33">
        <f t="shared" ref="BL1153" si="2389">+(BL1150-BL1151)*BL1152</f>
        <v>0</v>
      </c>
      <c r="BM1153" s="33">
        <f t="shared" ref="BM1153" si="2390">+(BM1150-BM1151)*BM1152</f>
        <v>0</v>
      </c>
      <c r="BN1153" s="33">
        <f t="shared" ref="BN1153" si="2391">+(BN1150-BN1151)*BN1152</f>
        <v>0</v>
      </c>
      <c r="BO1153" s="33">
        <f t="shared" ref="BO1153" si="2392">+(BO1150-BO1151)*BO1152</f>
        <v>0</v>
      </c>
      <c r="BP1153" s="33">
        <f t="shared" ref="BP1153" si="2393">+(BP1150-BP1151)*BP1152</f>
        <v>0</v>
      </c>
      <c r="BQ1153" s="33">
        <f t="shared" ref="BQ1153" si="2394">+(BQ1150-BQ1151)*BQ1152</f>
        <v>0</v>
      </c>
      <c r="BR1153" s="33">
        <f t="shared" ref="BR1153" si="2395">+(BR1150-BR1151)*BR1152</f>
        <v>0</v>
      </c>
      <c r="BS1153" s="33">
        <f t="shared" ref="BS1153" si="2396">+(BS1150-BS1151)*BS1152</f>
        <v>0</v>
      </c>
      <c r="BT1153" s="33">
        <f t="shared" ref="BT1153" si="2397">+(BT1150-BT1151)*BT1152</f>
        <v>0</v>
      </c>
      <c r="BU1153" s="33">
        <f t="shared" ref="BU1153" si="2398">+(BU1150-BU1151)*BU1152</f>
        <v>0</v>
      </c>
      <c r="BV1153" s="33">
        <f t="shared" ref="BV1153" si="2399">+(BV1150-BV1151)*BV1152</f>
        <v>0</v>
      </c>
      <c r="BW1153" s="33">
        <f t="shared" ref="BW1153" si="2400">+(BW1150-BW1151)*BW1152</f>
        <v>0</v>
      </c>
      <c r="BX1153" s="33">
        <f t="shared" ref="BX1153" si="2401">+(BX1150-BX1151)*BX1152</f>
        <v>0</v>
      </c>
      <c r="BY1153" s="33">
        <f t="shared" ref="BY1153" si="2402">+(BY1150-BY1151)*BY1152</f>
        <v>0</v>
      </c>
    </row>
    <row r="1154" spans="5:77" outlineLevel="1">
      <c r="E1154" t="s">
        <v>601</v>
      </c>
      <c r="F1154" s="80" t="s">
        <v>600</v>
      </c>
      <c r="H1154" s="33">
        <f>+H1148-H1153</f>
        <v>0</v>
      </c>
      <c r="I1154" s="33">
        <f t="shared" ref="I1154:K1154" si="2403">+I1148-I1153</f>
        <v>0</v>
      </c>
      <c r="J1154" s="33">
        <f t="shared" si="2403"/>
        <v>0</v>
      </c>
      <c r="K1154" s="33">
        <f t="shared" si="2403"/>
        <v>0</v>
      </c>
      <c r="L1154" s="33">
        <f t="shared" ref="L1154" si="2404">+L1148-L1153</f>
        <v>0</v>
      </c>
      <c r="M1154" s="33">
        <f t="shared" ref="M1154" si="2405">+M1148-M1153</f>
        <v>0</v>
      </c>
      <c r="N1154" s="33">
        <f t="shared" ref="N1154" si="2406">+N1148-N1153</f>
        <v>0</v>
      </c>
      <c r="O1154" s="33">
        <f t="shared" ref="O1154" si="2407">+O1148-O1153</f>
        <v>0</v>
      </c>
      <c r="P1154" s="33">
        <f t="shared" ref="P1154" si="2408">+P1148-P1153</f>
        <v>0</v>
      </c>
      <c r="Q1154" s="33">
        <f t="shared" ref="Q1154" si="2409">+Q1148-Q1153</f>
        <v>0</v>
      </c>
      <c r="R1154" s="33">
        <f t="shared" ref="R1154" si="2410">+R1148-R1153</f>
        <v>0</v>
      </c>
      <c r="S1154" s="33">
        <f t="shared" ref="S1154" si="2411">+S1148-S1153</f>
        <v>0</v>
      </c>
      <c r="T1154" s="33">
        <f t="shared" ref="T1154" si="2412">+T1148-T1153</f>
        <v>0</v>
      </c>
      <c r="U1154" s="33">
        <f t="shared" ref="U1154" si="2413">+U1148-U1153</f>
        <v>0</v>
      </c>
      <c r="V1154" s="33">
        <f t="shared" ref="V1154" si="2414">+V1148-V1153</f>
        <v>0</v>
      </c>
      <c r="W1154" s="33">
        <f t="shared" ref="W1154" si="2415">+W1148-W1153</f>
        <v>0</v>
      </c>
      <c r="X1154" s="33">
        <f t="shared" ref="X1154" si="2416">+X1148-X1153</f>
        <v>0</v>
      </c>
      <c r="Y1154" s="33">
        <f t="shared" ref="Y1154" si="2417">+Y1148-Y1153</f>
        <v>0</v>
      </c>
      <c r="Z1154" s="33">
        <f t="shared" ref="Z1154" si="2418">+Z1148-Z1153</f>
        <v>0</v>
      </c>
      <c r="AA1154" s="33">
        <f t="shared" ref="AA1154" si="2419">+AA1148-AA1153</f>
        <v>0</v>
      </c>
      <c r="AB1154" s="33">
        <f t="shared" ref="AB1154" si="2420">+AB1148-AB1153</f>
        <v>0</v>
      </c>
      <c r="AC1154" s="33">
        <f t="shared" ref="AC1154" si="2421">+AC1148-AC1153</f>
        <v>0</v>
      </c>
      <c r="AD1154" s="33">
        <f t="shared" ref="AD1154" si="2422">+AD1148-AD1153</f>
        <v>0</v>
      </c>
      <c r="AE1154" s="33">
        <f t="shared" ref="AE1154" si="2423">+AE1148-AE1153</f>
        <v>0</v>
      </c>
      <c r="AF1154" s="33">
        <f t="shared" ref="AF1154" si="2424">+AF1148-AF1153</f>
        <v>0</v>
      </c>
      <c r="AG1154" s="33">
        <f t="shared" ref="AG1154" si="2425">+AG1148-AG1153</f>
        <v>0</v>
      </c>
      <c r="AH1154" s="33">
        <f t="shared" ref="AH1154" si="2426">+AH1148-AH1153</f>
        <v>0</v>
      </c>
      <c r="AI1154" s="33">
        <f t="shared" ref="AI1154" si="2427">+AI1148-AI1153</f>
        <v>0</v>
      </c>
      <c r="AJ1154" s="33">
        <f t="shared" ref="AJ1154" si="2428">+AJ1148-AJ1153</f>
        <v>0</v>
      </c>
      <c r="AK1154" s="33">
        <f t="shared" ref="AK1154" si="2429">+AK1148-AK1153</f>
        <v>0</v>
      </c>
      <c r="AL1154" s="33">
        <f t="shared" ref="AL1154" si="2430">+AL1148-AL1153</f>
        <v>0</v>
      </c>
      <c r="AM1154" s="33">
        <f t="shared" ref="AM1154" si="2431">+AM1148-AM1153</f>
        <v>0</v>
      </c>
      <c r="AN1154" s="33">
        <f t="shared" ref="AN1154" si="2432">+AN1148-AN1153</f>
        <v>0</v>
      </c>
      <c r="AO1154" s="33">
        <f t="shared" ref="AO1154" si="2433">+AO1148-AO1153</f>
        <v>0</v>
      </c>
      <c r="AP1154" s="33">
        <f t="shared" ref="AP1154" si="2434">+AP1148-AP1153</f>
        <v>0</v>
      </c>
      <c r="AQ1154" s="33">
        <f t="shared" ref="AQ1154" si="2435">+AQ1148-AQ1153</f>
        <v>0</v>
      </c>
      <c r="AR1154" s="33">
        <f t="shared" ref="AR1154" si="2436">+AR1148-AR1153</f>
        <v>0</v>
      </c>
      <c r="AS1154" s="33">
        <f t="shared" ref="AS1154" si="2437">+AS1148-AS1153</f>
        <v>0</v>
      </c>
      <c r="AT1154" s="33">
        <f t="shared" ref="AT1154" si="2438">+AT1148-AT1153</f>
        <v>0</v>
      </c>
      <c r="AU1154" s="33">
        <f t="shared" ref="AU1154" si="2439">+AU1148-AU1153</f>
        <v>0</v>
      </c>
      <c r="AV1154" s="33">
        <f t="shared" ref="AV1154" si="2440">+AV1148-AV1153</f>
        <v>0</v>
      </c>
      <c r="AW1154" s="33">
        <f t="shared" ref="AW1154" si="2441">+AW1148-AW1153</f>
        <v>0</v>
      </c>
      <c r="AX1154" s="33">
        <f t="shared" ref="AX1154" si="2442">+AX1148-AX1153</f>
        <v>0</v>
      </c>
      <c r="AY1154" s="33">
        <f t="shared" ref="AY1154" si="2443">+AY1148-AY1153</f>
        <v>0</v>
      </c>
      <c r="AZ1154" s="33">
        <f t="shared" ref="AZ1154" si="2444">+AZ1148-AZ1153</f>
        <v>0</v>
      </c>
      <c r="BA1154" s="33">
        <f t="shared" ref="BA1154" si="2445">+BA1148-BA1153</f>
        <v>0</v>
      </c>
      <c r="BB1154" s="33">
        <f t="shared" ref="BB1154" si="2446">+BB1148-BB1153</f>
        <v>0</v>
      </c>
      <c r="BC1154" s="33">
        <f t="shared" ref="BC1154" si="2447">+BC1148-BC1153</f>
        <v>0</v>
      </c>
      <c r="BD1154" s="33">
        <f t="shared" ref="BD1154" si="2448">+BD1148-BD1153</f>
        <v>0</v>
      </c>
      <c r="BE1154" s="33">
        <f t="shared" ref="BE1154" si="2449">+BE1148-BE1153</f>
        <v>0</v>
      </c>
      <c r="BF1154" s="33">
        <f t="shared" ref="BF1154" si="2450">+BF1148-BF1153</f>
        <v>0</v>
      </c>
      <c r="BG1154" s="33">
        <f t="shared" ref="BG1154" si="2451">+BG1148-BG1153</f>
        <v>0</v>
      </c>
      <c r="BH1154" s="33">
        <f t="shared" ref="BH1154" si="2452">+BH1148-BH1153</f>
        <v>0</v>
      </c>
      <c r="BI1154" s="33">
        <f t="shared" ref="BI1154" si="2453">+BI1148-BI1153</f>
        <v>0</v>
      </c>
      <c r="BJ1154" s="33">
        <f t="shared" ref="BJ1154" si="2454">+BJ1148-BJ1153</f>
        <v>0</v>
      </c>
      <c r="BK1154" s="33">
        <f t="shared" ref="BK1154" si="2455">+BK1148-BK1153</f>
        <v>0</v>
      </c>
      <c r="BL1154" s="33">
        <f t="shared" ref="BL1154" si="2456">+BL1148-BL1153</f>
        <v>0</v>
      </c>
      <c r="BM1154" s="33">
        <f t="shared" ref="BM1154" si="2457">+BM1148-BM1153</f>
        <v>0</v>
      </c>
      <c r="BN1154" s="33">
        <f t="shared" ref="BN1154" si="2458">+BN1148-BN1153</f>
        <v>0</v>
      </c>
      <c r="BO1154" s="33">
        <f t="shared" ref="BO1154" si="2459">+BO1148-BO1153</f>
        <v>0</v>
      </c>
      <c r="BP1154" s="33">
        <f t="shared" ref="BP1154" si="2460">+BP1148-BP1153</f>
        <v>0</v>
      </c>
      <c r="BQ1154" s="33">
        <f t="shared" ref="BQ1154" si="2461">+BQ1148-BQ1153</f>
        <v>0</v>
      </c>
      <c r="BR1154" s="33">
        <f t="shared" ref="BR1154" si="2462">+BR1148-BR1153</f>
        <v>0</v>
      </c>
      <c r="BS1154" s="33">
        <f t="shared" ref="BS1154" si="2463">+BS1148-BS1153</f>
        <v>0</v>
      </c>
      <c r="BT1154" s="33">
        <f t="shared" ref="BT1154" si="2464">+BT1148-BT1153</f>
        <v>0</v>
      </c>
      <c r="BU1154" s="33">
        <f t="shared" ref="BU1154" si="2465">+BU1148-BU1153</f>
        <v>0</v>
      </c>
      <c r="BV1154" s="33">
        <f t="shared" ref="BV1154" si="2466">+BV1148-BV1153</f>
        <v>0</v>
      </c>
      <c r="BW1154" s="33">
        <f t="shared" ref="BW1154" si="2467">+BW1148-BW1153</f>
        <v>0</v>
      </c>
      <c r="BX1154" s="33">
        <f t="shared" ref="BX1154" si="2468">+BX1148-BX1153</f>
        <v>0</v>
      </c>
      <c r="BY1154" s="33">
        <f t="shared" ref="BY1154" si="2469">+BY1148-BY1153</f>
        <v>0</v>
      </c>
    </row>
    <row r="1155" spans="5:77" outlineLevel="1">
      <c r="E1155" t="s">
        <v>602</v>
      </c>
      <c r="F1155" s="80" t="s">
        <v>136</v>
      </c>
      <c r="H1155" s="33" t="e">
        <f>+H1144/H1143*(1-H1143)/Assumptions!$H$25</f>
        <v>#DIV/0!</v>
      </c>
      <c r="I1155" s="33" t="e">
        <f>+I1144/I1143*(1-I1143)/Assumptions!$H$25</f>
        <v>#DIV/0!</v>
      </c>
      <c r="J1155" s="33" t="e">
        <f>+J1144/J1143*(1-J1143)/Assumptions!$H$25</f>
        <v>#DIV/0!</v>
      </c>
      <c r="K1155" s="33" t="e">
        <f>+K1144/K1143*(1-K1143)/Assumptions!$H$25</f>
        <v>#DIV/0!</v>
      </c>
      <c r="L1155" s="33" t="e">
        <f>+L1144/L1143*(1-L1143)/Assumptions!$H$25</f>
        <v>#DIV/0!</v>
      </c>
      <c r="M1155" s="33" t="e">
        <f>+M1144/M1143*(1-M1143)/Assumptions!$H$25</f>
        <v>#DIV/0!</v>
      </c>
      <c r="N1155" s="33" t="e">
        <f>+N1144/N1143*(1-N1143)/Assumptions!$H$25</f>
        <v>#DIV/0!</v>
      </c>
      <c r="O1155" s="33" t="e">
        <f>+O1144/O1143*(1-O1143)/Assumptions!$H$25</f>
        <v>#DIV/0!</v>
      </c>
      <c r="P1155" s="33" t="e">
        <f>+P1144/P1143*(1-P1143)/Assumptions!$H$25</f>
        <v>#DIV/0!</v>
      </c>
      <c r="Q1155" s="33" t="e">
        <f>+Q1144/Q1143*(1-Q1143)/Assumptions!$H$25</f>
        <v>#DIV/0!</v>
      </c>
      <c r="R1155" s="33" t="e">
        <f>+R1144/R1143*(1-R1143)/Assumptions!$H$25</f>
        <v>#DIV/0!</v>
      </c>
      <c r="S1155" s="33" t="e">
        <f>+S1144/S1143*(1-S1143)/Assumptions!$H$25</f>
        <v>#DIV/0!</v>
      </c>
      <c r="T1155" s="33" t="e">
        <f>+T1144/T1143*(1-T1143)/Assumptions!$H$25</f>
        <v>#DIV/0!</v>
      </c>
      <c r="U1155" s="33" t="e">
        <f>+U1144/U1143*(1-U1143)/Assumptions!$H$25</f>
        <v>#DIV/0!</v>
      </c>
      <c r="V1155" s="33" t="e">
        <f>+V1144/V1143*(1-V1143)/Assumptions!$H$25</f>
        <v>#DIV/0!</v>
      </c>
      <c r="W1155" s="33" t="e">
        <f>+W1144/W1143*(1-W1143)/Assumptions!$H$25</f>
        <v>#DIV/0!</v>
      </c>
      <c r="X1155" s="33" t="e">
        <f>+X1144/X1143*(1-X1143)/Assumptions!$H$25</f>
        <v>#DIV/0!</v>
      </c>
      <c r="Y1155" s="33" t="e">
        <f>+Y1144/Y1143*(1-Y1143)/Assumptions!$H$25</f>
        <v>#DIV/0!</v>
      </c>
      <c r="Z1155" s="33" t="e">
        <f>+Z1144/Z1143*(1-Z1143)/Assumptions!$H$25</f>
        <v>#DIV/0!</v>
      </c>
      <c r="AA1155" s="33" t="e">
        <f>+AA1144/AA1143*(1-AA1143)/Assumptions!$H$25</f>
        <v>#DIV/0!</v>
      </c>
      <c r="AB1155" s="33" t="e">
        <f>+AB1144/AB1143*(1-AB1143)/Assumptions!$H$25</f>
        <v>#DIV/0!</v>
      </c>
      <c r="AC1155" s="33" t="e">
        <f>+AC1144/AC1143*(1-AC1143)/Assumptions!$H$25</f>
        <v>#DIV/0!</v>
      </c>
      <c r="AD1155" s="33" t="e">
        <f>+AD1144/AD1143*(1-AD1143)/Assumptions!$H$25</f>
        <v>#DIV/0!</v>
      </c>
      <c r="AE1155" s="33" t="e">
        <f>+AE1144/AE1143*(1-AE1143)/Assumptions!$H$25</f>
        <v>#DIV/0!</v>
      </c>
      <c r="AF1155" s="33" t="e">
        <f>+AF1144/AF1143*(1-AF1143)/Assumptions!$H$25</f>
        <v>#DIV/0!</v>
      </c>
      <c r="AG1155" s="33" t="e">
        <f>+AG1144/AG1143*(1-AG1143)/Assumptions!$H$25</f>
        <v>#DIV/0!</v>
      </c>
      <c r="AH1155" s="33" t="e">
        <f>+AH1144/AH1143*(1-AH1143)/Assumptions!$H$25</f>
        <v>#DIV/0!</v>
      </c>
      <c r="AI1155" s="33" t="e">
        <f>+AI1144/AI1143*(1-AI1143)/Assumptions!$H$25</f>
        <v>#DIV/0!</v>
      </c>
      <c r="AJ1155" s="33" t="e">
        <f>+AJ1144/AJ1143*(1-AJ1143)/Assumptions!$H$25</f>
        <v>#DIV/0!</v>
      </c>
      <c r="AK1155" s="33" t="e">
        <f>+AK1144/AK1143*(1-AK1143)/Assumptions!$H$25</f>
        <v>#DIV/0!</v>
      </c>
      <c r="AL1155" s="33" t="e">
        <f>+AL1144/AL1143*(1-AL1143)/Assumptions!$H$25</f>
        <v>#DIV/0!</v>
      </c>
      <c r="AM1155" s="33" t="e">
        <f>+AM1144/AM1143*(1-AM1143)/Assumptions!$H$25</f>
        <v>#DIV/0!</v>
      </c>
      <c r="AN1155" s="33" t="e">
        <f>+AN1144/AN1143*(1-AN1143)/Assumptions!$H$25</f>
        <v>#DIV/0!</v>
      </c>
      <c r="AO1155" s="33" t="e">
        <f>+AO1144/AO1143*(1-AO1143)/Assumptions!$H$25</f>
        <v>#DIV/0!</v>
      </c>
      <c r="AP1155" s="33" t="e">
        <f>+AP1144/AP1143*(1-AP1143)/Assumptions!$H$25</f>
        <v>#DIV/0!</v>
      </c>
      <c r="AQ1155" s="33" t="e">
        <f>+AQ1144/AQ1143*(1-AQ1143)/Assumptions!$H$25</f>
        <v>#DIV/0!</v>
      </c>
      <c r="AR1155" s="33" t="e">
        <f>+AR1144/AR1143*(1-AR1143)/Assumptions!$H$25</f>
        <v>#DIV/0!</v>
      </c>
      <c r="AS1155" s="33" t="e">
        <f>+AS1144/AS1143*(1-AS1143)/Assumptions!$H$25</f>
        <v>#DIV/0!</v>
      </c>
      <c r="AT1155" s="33" t="e">
        <f>+AT1144/AT1143*(1-AT1143)/Assumptions!$H$25</f>
        <v>#DIV/0!</v>
      </c>
      <c r="AU1155" s="33" t="e">
        <f>+AU1144/AU1143*(1-AU1143)/Assumptions!$H$25</f>
        <v>#DIV/0!</v>
      </c>
      <c r="AV1155" s="33" t="e">
        <f>+AV1144/AV1143*(1-AV1143)/Assumptions!$H$25</f>
        <v>#DIV/0!</v>
      </c>
      <c r="AW1155" s="33" t="e">
        <f>+AW1144/AW1143*(1-AW1143)/Assumptions!$H$25</f>
        <v>#DIV/0!</v>
      </c>
      <c r="AX1155" s="33" t="e">
        <f>+AX1144/AX1143*(1-AX1143)/Assumptions!$H$25</f>
        <v>#DIV/0!</v>
      </c>
      <c r="AY1155" s="33" t="e">
        <f>+AY1144/AY1143*(1-AY1143)/Assumptions!$H$25</f>
        <v>#DIV/0!</v>
      </c>
      <c r="AZ1155" s="33" t="e">
        <f>+AZ1144/AZ1143*(1-AZ1143)/Assumptions!$H$25</f>
        <v>#DIV/0!</v>
      </c>
      <c r="BA1155" s="33" t="e">
        <f>+BA1144/BA1143*(1-BA1143)/Assumptions!$H$25</f>
        <v>#DIV/0!</v>
      </c>
      <c r="BB1155" s="33" t="e">
        <f>+BB1144/BB1143*(1-BB1143)/Assumptions!$H$25</f>
        <v>#DIV/0!</v>
      </c>
      <c r="BC1155" s="33" t="e">
        <f>+BC1144/BC1143*(1-BC1143)/Assumptions!$H$25</f>
        <v>#DIV/0!</v>
      </c>
      <c r="BD1155" s="33" t="e">
        <f>+BD1144/BD1143*(1-BD1143)/Assumptions!$H$25</f>
        <v>#DIV/0!</v>
      </c>
      <c r="BE1155" s="33" t="e">
        <f>+BE1144/BE1143*(1-BE1143)/Assumptions!$H$25</f>
        <v>#DIV/0!</v>
      </c>
      <c r="BF1155" s="33" t="e">
        <f>+BF1144/BF1143*(1-BF1143)/Assumptions!$H$25</f>
        <v>#DIV/0!</v>
      </c>
      <c r="BG1155" s="33" t="e">
        <f>+BG1144/BG1143*(1-BG1143)/Assumptions!$H$25</f>
        <v>#DIV/0!</v>
      </c>
      <c r="BH1155" s="33" t="e">
        <f>+BH1144/BH1143*(1-BH1143)/Assumptions!$H$25</f>
        <v>#DIV/0!</v>
      </c>
      <c r="BI1155" s="33" t="e">
        <f>+BI1144/BI1143*(1-BI1143)/Assumptions!$H$25</f>
        <v>#DIV/0!</v>
      </c>
      <c r="BJ1155" s="33" t="e">
        <f>+BJ1144/BJ1143*(1-BJ1143)/Assumptions!$H$25</f>
        <v>#DIV/0!</v>
      </c>
      <c r="BK1155" s="33" t="e">
        <f>+BK1144/BK1143*(1-BK1143)/Assumptions!$H$25</f>
        <v>#DIV/0!</v>
      </c>
      <c r="BL1155" s="33" t="e">
        <f>+BL1144/BL1143*(1-BL1143)/Assumptions!$H$25</f>
        <v>#DIV/0!</v>
      </c>
      <c r="BM1155" s="33" t="e">
        <f>+BM1144/BM1143*(1-BM1143)/Assumptions!$H$25</f>
        <v>#DIV/0!</v>
      </c>
      <c r="BN1155" s="33" t="e">
        <f>+BN1144/BN1143*(1-BN1143)/Assumptions!$H$25</f>
        <v>#DIV/0!</v>
      </c>
      <c r="BO1155" s="33" t="e">
        <f>+BO1144/BO1143*(1-BO1143)/Assumptions!$H$25</f>
        <v>#DIV/0!</v>
      </c>
      <c r="BP1155" s="33" t="e">
        <f>+BP1144/BP1143*(1-BP1143)/Assumptions!$H$25</f>
        <v>#DIV/0!</v>
      </c>
      <c r="BQ1155" s="33" t="e">
        <f>+BQ1144/BQ1143*(1-BQ1143)/Assumptions!$H$25</f>
        <v>#DIV/0!</v>
      </c>
      <c r="BR1155" s="33" t="e">
        <f>+BR1144/BR1143*(1-BR1143)/Assumptions!$H$25</f>
        <v>#DIV/0!</v>
      </c>
      <c r="BS1155" s="33" t="e">
        <f>+BS1144/BS1143*(1-BS1143)/Assumptions!$H$25</f>
        <v>#DIV/0!</v>
      </c>
      <c r="BT1155" s="33" t="e">
        <f>+BT1144/BT1143*(1-BT1143)/Assumptions!$H$25</f>
        <v>#DIV/0!</v>
      </c>
      <c r="BU1155" s="33" t="e">
        <f>+BU1144/BU1143*(1-BU1143)/Assumptions!$H$25</f>
        <v>#DIV/0!</v>
      </c>
      <c r="BV1155" s="33" t="e">
        <f>+BV1144/BV1143*(1-BV1143)/Assumptions!$H$25</f>
        <v>#DIV/0!</v>
      </c>
      <c r="BW1155" s="33" t="e">
        <f>+BW1144/BW1143*(1-BW1143)/Assumptions!$H$25</f>
        <v>#DIV/0!</v>
      </c>
      <c r="BX1155" s="33" t="e">
        <f>+BX1144/BX1143*(1-BX1143)/Assumptions!$H$25</f>
        <v>#DIV/0!</v>
      </c>
      <c r="BY1155" s="33" t="e">
        <f>+BY1144/BY1143*(1-BY1143)/Assumptions!$H$25</f>
        <v>#DIV/0!</v>
      </c>
    </row>
    <row r="1156" spans="5:77" outlineLevel="1">
      <c r="E1156" t="s">
        <v>603</v>
      </c>
      <c r="F1156" s="80" t="s">
        <v>136</v>
      </c>
      <c r="H1156" s="33">
        <f>+H1144/_xlfn.XLOOKUP(Assumptions!$H$264,Data_tables!$K:$K,Data_tables!$M:$M)</f>
        <v>0</v>
      </c>
      <c r="I1156" s="33">
        <f>+I1144/_xlfn.XLOOKUP(Assumptions!$H$264,Data_tables!$K:$K,Data_tables!$M:$M)</f>
        <v>0</v>
      </c>
      <c r="J1156" s="33">
        <f>+J1144/_xlfn.XLOOKUP(Assumptions!$H$264,Data_tables!$K:$K,Data_tables!$M:$M)</f>
        <v>0</v>
      </c>
      <c r="K1156" s="33">
        <f>+K1144/_xlfn.XLOOKUP(Assumptions!$H$264,Data_tables!$K:$K,Data_tables!$M:$M)</f>
        <v>0</v>
      </c>
      <c r="L1156" s="33">
        <f>+L1144/_xlfn.XLOOKUP(Assumptions!$H$264,Data_tables!$K:$K,Data_tables!$M:$M)</f>
        <v>0</v>
      </c>
      <c r="M1156" s="33">
        <f>+M1144/_xlfn.XLOOKUP(Assumptions!$H$264,Data_tables!$K:$K,Data_tables!$M:$M)</f>
        <v>0</v>
      </c>
      <c r="N1156" s="33">
        <f>+N1144/_xlfn.XLOOKUP(Assumptions!$H$264,Data_tables!$K:$K,Data_tables!$M:$M)</f>
        <v>0</v>
      </c>
      <c r="O1156" s="33">
        <f>+O1144/_xlfn.XLOOKUP(Assumptions!$H$264,Data_tables!$K:$K,Data_tables!$M:$M)</f>
        <v>0</v>
      </c>
      <c r="P1156" s="33">
        <f>+P1144/_xlfn.XLOOKUP(Assumptions!$H$264,Data_tables!$K:$K,Data_tables!$M:$M)</f>
        <v>0</v>
      </c>
      <c r="Q1156" s="33">
        <f>+Q1144/_xlfn.XLOOKUP(Assumptions!$H$264,Data_tables!$K:$K,Data_tables!$M:$M)</f>
        <v>0</v>
      </c>
      <c r="R1156" s="33">
        <f>+R1144/_xlfn.XLOOKUP(Assumptions!$H$264,Data_tables!$K:$K,Data_tables!$M:$M)</f>
        <v>0</v>
      </c>
      <c r="S1156" s="33">
        <f>+S1144/_xlfn.XLOOKUP(Assumptions!$H$264,Data_tables!$K:$K,Data_tables!$M:$M)</f>
        <v>0</v>
      </c>
      <c r="T1156" s="33">
        <f>+T1144/_xlfn.XLOOKUP(Assumptions!$H$264,Data_tables!$K:$K,Data_tables!$M:$M)</f>
        <v>0</v>
      </c>
      <c r="U1156" s="33">
        <f>+U1144/_xlfn.XLOOKUP(Assumptions!$H$264,Data_tables!$K:$K,Data_tables!$M:$M)</f>
        <v>0</v>
      </c>
      <c r="V1156" s="33">
        <f>+V1144/_xlfn.XLOOKUP(Assumptions!$H$264,Data_tables!$K:$K,Data_tables!$M:$M)</f>
        <v>0</v>
      </c>
      <c r="W1156" s="33">
        <f>+W1144/_xlfn.XLOOKUP(Assumptions!$H$264,Data_tables!$K:$K,Data_tables!$M:$M)</f>
        <v>0</v>
      </c>
      <c r="X1156" s="33">
        <f>+X1144/_xlfn.XLOOKUP(Assumptions!$H$264,Data_tables!$K:$K,Data_tables!$M:$M)</f>
        <v>0</v>
      </c>
      <c r="Y1156" s="33">
        <f>+Y1144/_xlfn.XLOOKUP(Assumptions!$H$264,Data_tables!$K:$K,Data_tables!$M:$M)</f>
        <v>0</v>
      </c>
      <c r="Z1156" s="33">
        <f>+Z1144/_xlfn.XLOOKUP(Assumptions!$H$264,Data_tables!$K:$K,Data_tables!$M:$M)</f>
        <v>0</v>
      </c>
      <c r="AA1156" s="33">
        <f>+AA1144/_xlfn.XLOOKUP(Assumptions!$H$264,Data_tables!$K:$K,Data_tables!$M:$M)</f>
        <v>0</v>
      </c>
      <c r="AB1156" s="33">
        <f>+AB1144/_xlfn.XLOOKUP(Assumptions!$H$264,Data_tables!$K:$K,Data_tables!$M:$M)</f>
        <v>0</v>
      </c>
      <c r="AC1156" s="33">
        <f>+AC1144/_xlfn.XLOOKUP(Assumptions!$H$264,Data_tables!$K:$K,Data_tables!$M:$M)</f>
        <v>0</v>
      </c>
      <c r="AD1156" s="33">
        <f>+AD1144/_xlfn.XLOOKUP(Assumptions!$H$264,Data_tables!$K:$K,Data_tables!$M:$M)</f>
        <v>0</v>
      </c>
      <c r="AE1156" s="33">
        <f>+AE1144/_xlfn.XLOOKUP(Assumptions!$H$264,Data_tables!$K:$K,Data_tables!$M:$M)</f>
        <v>0</v>
      </c>
      <c r="AF1156" s="33">
        <f>+AF1144/_xlfn.XLOOKUP(Assumptions!$H$264,Data_tables!$K:$K,Data_tables!$M:$M)</f>
        <v>0</v>
      </c>
      <c r="AG1156" s="33">
        <f>+AG1144/_xlfn.XLOOKUP(Assumptions!$H$264,Data_tables!$K:$K,Data_tables!$M:$M)</f>
        <v>0</v>
      </c>
      <c r="AH1156" s="33">
        <f>+AH1144/_xlfn.XLOOKUP(Assumptions!$H$264,Data_tables!$K:$K,Data_tables!$M:$M)</f>
        <v>0</v>
      </c>
      <c r="AI1156" s="33">
        <f>+AI1144/_xlfn.XLOOKUP(Assumptions!$H$264,Data_tables!$K:$K,Data_tables!$M:$M)</f>
        <v>0</v>
      </c>
      <c r="AJ1156" s="33">
        <f>+AJ1144/_xlfn.XLOOKUP(Assumptions!$H$264,Data_tables!$K:$K,Data_tables!$M:$M)</f>
        <v>0</v>
      </c>
      <c r="AK1156" s="33">
        <f>+AK1144/_xlfn.XLOOKUP(Assumptions!$H$264,Data_tables!$K:$K,Data_tables!$M:$M)</f>
        <v>0</v>
      </c>
      <c r="AL1156" s="33">
        <f>+AL1144/_xlfn.XLOOKUP(Assumptions!$H$264,Data_tables!$K:$K,Data_tables!$M:$M)</f>
        <v>0</v>
      </c>
      <c r="AM1156" s="33">
        <f>+AM1144/_xlfn.XLOOKUP(Assumptions!$H$264,Data_tables!$K:$K,Data_tables!$M:$M)</f>
        <v>0</v>
      </c>
      <c r="AN1156" s="33">
        <f>+AN1144/_xlfn.XLOOKUP(Assumptions!$H$264,Data_tables!$K:$K,Data_tables!$M:$M)</f>
        <v>0</v>
      </c>
      <c r="AO1156" s="33">
        <f>+AO1144/_xlfn.XLOOKUP(Assumptions!$H$264,Data_tables!$K:$K,Data_tables!$M:$M)</f>
        <v>0</v>
      </c>
      <c r="AP1156" s="33">
        <f>+AP1144/_xlfn.XLOOKUP(Assumptions!$H$264,Data_tables!$K:$K,Data_tables!$M:$M)</f>
        <v>0</v>
      </c>
      <c r="AQ1156" s="33">
        <f>+AQ1144/_xlfn.XLOOKUP(Assumptions!$H$264,Data_tables!$K:$K,Data_tables!$M:$M)</f>
        <v>0</v>
      </c>
      <c r="AR1156" s="33">
        <f>+AR1144/_xlfn.XLOOKUP(Assumptions!$H$264,Data_tables!$K:$K,Data_tables!$M:$M)</f>
        <v>0</v>
      </c>
      <c r="AS1156" s="33">
        <f>+AS1144/_xlfn.XLOOKUP(Assumptions!$H$264,Data_tables!$K:$K,Data_tables!$M:$M)</f>
        <v>0</v>
      </c>
      <c r="AT1156" s="33">
        <f>+AT1144/_xlfn.XLOOKUP(Assumptions!$H$264,Data_tables!$K:$K,Data_tables!$M:$M)</f>
        <v>0</v>
      </c>
      <c r="AU1156" s="33">
        <f>+AU1144/_xlfn.XLOOKUP(Assumptions!$H$264,Data_tables!$K:$K,Data_tables!$M:$M)</f>
        <v>0</v>
      </c>
      <c r="AV1156" s="33">
        <f>+AV1144/_xlfn.XLOOKUP(Assumptions!$H$264,Data_tables!$K:$K,Data_tables!$M:$M)</f>
        <v>0</v>
      </c>
      <c r="AW1156" s="33">
        <f>+AW1144/_xlfn.XLOOKUP(Assumptions!$H$264,Data_tables!$K:$K,Data_tables!$M:$M)</f>
        <v>0</v>
      </c>
      <c r="AX1156" s="33">
        <f>+AX1144/_xlfn.XLOOKUP(Assumptions!$H$264,Data_tables!$K:$K,Data_tables!$M:$M)</f>
        <v>0</v>
      </c>
      <c r="AY1156" s="33">
        <f>+AY1144/_xlfn.XLOOKUP(Assumptions!$H$264,Data_tables!$K:$K,Data_tables!$M:$M)</f>
        <v>0</v>
      </c>
      <c r="AZ1156" s="33">
        <f>+AZ1144/_xlfn.XLOOKUP(Assumptions!$H$264,Data_tables!$K:$K,Data_tables!$M:$M)</f>
        <v>0</v>
      </c>
      <c r="BA1156" s="33">
        <f>+BA1144/_xlfn.XLOOKUP(Assumptions!$H$264,Data_tables!$K:$K,Data_tables!$M:$M)</f>
        <v>0</v>
      </c>
      <c r="BB1156" s="33">
        <f>+BB1144/_xlfn.XLOOKUP(Assumptions!$H$264,Data_tables!$K:$K,Data_tables!$M:$M)</f>
        <v>0</v>
      </c>
      <c r="BC1156" s="33">
        <f>+BC1144/_xlfn.XLOOKUP(Assumptions!$H$264,Data_tables!$K:$K,Data_tables!$M:$M)</f>
        <v>0</v>
      </c>
      <c r="BD1156" s="33">
        <f>+BD1144/_xlfn.XLOOKUP(Assumptions!$H$264,Data_tables!$K:$K,Data_tables!$M:$M)</f>
        <v>0</v>
      </c>
      <c r="BE1156" s="33">
        <f>+BE1144/_xlfn.XLOOKUP(Assumptions!$H$264,Data_tables!$K:$K,Data_tables!$M:$M)</f>
        <v>0</v>
      </c>
      <c r="BF1156" s="33">
        <f>+BF1144/_xlfn.XLOOKUP(Assumptions!$H$264,Data_tables!$K:$K,Data_tables!$M:$M)</f>
        <v>0</v>
      </c>
      <c r="BG1156" s="33">
        <f>+BG1144/_xlfn.XLOOKUP(Assumptions!$H$264,Data_tables!$K:$K,Data_tables!$M:$M)</f>
        <v>0</v>
      </c>
      <c r="BH1156" s="33">
        <f>+BH1144/_xlfn.XLOOKUP(Assumptions!$H$264,Data_tables!$K:$K,Data_tables!$M:$M)</f>
        <v>0</v>
      </c>
      <c r="BI1156" s="33">
        <f>+BI1144/_xlfn.XLOOKUP(Assumptions!$H$264,Data_tables!$K:$K,Data_tables!$M:$M)</f>
        <v>0</v>
      </c>
      <c r="BJ1156" s="33">
        <f>+BJ1144/_xlfn.XLOOKUP(Assumptions!$H$264,Data_tables!$K:$K,Data_tables!$M:$M)</f>
        <v>0</v>
      </c>
      <c r="BK1156" s="33">
        <f>+BK1144/_xlfn.XLOOKUP(Assumptions!$H$264,Data_tables!$K:$K,Data_tables!$M:$M)</f>
        <v>0</v>
      </c>
      <c r="BL1156" s="33">
        <f>+BL1144/_xlfn.XLOOKUP(Assumptions!$H$264,Data_tables!$K:$K,Data_tables!$M:$M)</f>
        <v>0</v>
      </c>
      <c r="BM1156" s="33">
        <f>+BM1144/_xlfn.XLOOKUP(Assumptions!$H$264,Data_tables!$K:$K,Data_tables!$M:$M)</f>
        <v>0</v>
      </c>
      <c r="BN1156" s="33">
        <f>+BN1144/_xlfn.XLOOKUP(Assumptions!$H$264,Data_tables!$K:$K,Data_tables!$M:$M)</f>
        <v>0</v>
      </c>
      <c r="BO1156" s="33">
        <f>+BO1144/_xlfn.XLOOKUP(Assumptions!$H$264,Data_tables!$K:$K,Data_tables!$M:$M)</f>
        <v>0</v>
      </c>
      <c r="BP1156" s="33">
        <f>+BP1144/_xlfn.XLOOKUP(Assumptions!$H$264,Data_tables!$K:$K,Data_tables!$M:$M)</f>
        <v>0</v>
      </c>
      <c r="BQ1156" s="33">
        <f>+BQ1144/_xlfn.XLOOKUP(Assumptions!$H$264,Data_tables!$K:$K,Data_tables!$M:$M)</f>
        <v>0</v>
      </c>
      <c r="BR1156" s="33">
        <f>+BR1144/_xlfn.XLOOKUP(Assumptions!$H$264,Data_tables!$K:$K,Data_tables!$M:$M)</f>
        <v>0</v>
      </c>
      <c r="BS1156" s="33">
        <f>+BS1144/_xlfn.XLOOKUP(Assumptions!$H$264,Data_tables!$K:$K,Data_tables!$M:$M)</f>
        <v>0</v>
      </c>
      <c r="BT1156" s="33">
        <f>+BT1144/_xlfn.XLOOKUP(Assumptions!$H$264,Data_tables!$K:$K,Data_tables!$M:$M)</f>
        <v>0</v>
      </c>
      <c r="BU1156" s="33">
        <f>+BU1144/_xlfn.XLOOKUP(Assumptions!$H$264,Data_tables!$K:$K,Data_tables!$M:$M)</f>
        <v>0</v>
      </c>
      <c r="BV1156" s="33">
        <f>+BV1144/_xlfn.XLOOKUP(Assumptions!$H$264,Data_tables!$K:$K,Data_tables!$M:$M)</f>
        <v>0</v>
      </c>
      <c r="BW1156" s="33">
        <f>+BW1144/_xlfn.XLOOKUP(Assumptions!$H$264,Data_tables!$K:$K,Data_tables!$M:$M)</f>
        <v>0</v>
      </c>
      <c r="BX1156" s="33">
        <f>+BX1144/_xlfn.XLOOKUP(Assumptions!$H$264,Data_tables!$K:$K,Data_tables!$M:$M)</f>
        <v>0</v>
      </c>
      <c r="BY1156" s="33">
        <f>+BY1144/_xlfn.XLOOKUP(Assumptions!$H$264,Data_tables!$K:$K,Data_tables!$M:$M)</f>
        <v>0</v>
      </c>
    </row>
    <row r="1157" spans="5:77" outlineLevel="1">
      <c r="E1157" t="s">
        <v>547</v>
      </c>
      <c r="F1157" s="23" t="s">
        <v>159</v>
      </c>
      <c r="H1157" s="33" t="e">
        <f>+-SUM(H1155:H1156)*H1154</f>
        <v>#DIV/0!</v>
      </c>
      <c r="I1157" s="33" t="e">
        <f t="shared" ref="I1157:BT1157" si="2470">+-SUM(I1155:I1156)*I1154</f>
        <v>#DIV/0!</v>
      </c>
      <c r="J1157" s="33" t="e">
        <f t="shared" si="2470"/>
        <v>#DIV/0!</v>
      </c>
      <c r="K1157" s="33" t="e">
        <f t="shared" si="2470"/>
        <v>#DIV/0!</v>
      </c>
      <c r="L1157" s="33" t="e">
        <f t="shared" si="2470"/>
        <v>#DIV/0!</v>
      </c>
      <c r="M1157" s="33" t="e">
        <f t="shared" si="2470"/>
        <v>#DIV/0!</v>
      </c>
      <c r="N1157" s="33" t="e">
        <f t="shared" si="2470"/>
        <v>#DIV/0!</v>
      </c>
      <c r="O1157" s="33" t="e">
        <f t="shared" si="2470"/>
        <v>#DIV/0!</v>
      </c>
      <c r="P1157" s="33" t="e">
        <f t="shared" si="2470"/>
        <v>#DIV/0!</v>
      </c>
      <c r="Q1157" s="33" t="e">
        <f t="shared" si="2470"/>
        <v>#DIV/0!</v>
      </c>
      <c r="R1157" s="33" t="e">
        <f t="shared" si="2470"/>
        <v>#DIV/0!</v>
      </c>
      <c r="S1157" s="33" t="e">
        <f t="shared" si="2470"/>
        <v>#DIV/0!</v>
      </c>
      <c r="T1157" s="33" t="e">
        <f t="shared" si="2470"/>
        <v>#DIV/0!</v>
      </c>
      <c r="U1157" s="33" t="e">
        <f t="shared" si="2470"/>
        <v>#DIV/0!</v>
      </c>
      <c r="V1157" s="33" t="e">
        <f t="shared" si="2470"/>
        <v>#DIV/0!</v>
      </c>
      <c r="W1157" s="33" t="e">
        <f t="shared" si="2470"/>
        <v>#DIV/0!</v>
      </c>
      <c r="X1157" s="33" t="e">
        <f t="shared" si="2470"/>
        <v>#DIV/0!</v>
      </c>
      <c r="Y1157" s="33" t="e">
        <f t="shared" si="2470"/>
        <v>#DIV/0!</v>
      </c>
      <c r="Z1157" s="33" t="e">
        <f t="shared" si="2470"/>
        <v>#DIV/0!</v>
      </c>
      <c r="AA1157" s="33" t="e">
        <f t="shared" si="2470"/>
        <v>#DIV/0!</v>
      </c>
      <c r="AB1157" s="33" t="e">
        <f t="shared" si="2470"/>
        <v>#DIV/0!</v>
      </c>
      <c r="AC1157" s="33" t="e">
        <f t="shared" si="2470"/>
        <v>#DIV/0!</v>
      </c>
      <c r="AD1157" s="33" t="e">
        <f t="shared" si="2470"/>
        <v>#DIV/0!</v>
      </c>
      <c r="AE1157" s="33" t="e">
        <f t="shared" si="2470"/>
        <v>#DIV/0!</v>
      </c>
      <c r="AF1157" s="33" t="e">
        <f t="shared" si="2470"/>
        <v>#DIV/0!</v>
      </c>
      <c r="AG1157" s="33" t="e">
        <f t="shared" si="2470"/>
        <v>#DIV/0!</v>
      </c>
      <c r="AH1157" s="33" t="e">
        <f t="shared" si="2470"/>
        <v>#DIV/0!</v>
      </c>
      <c r="AI1157" s="33" t="e">
        <f t="shared" si="2470"/>
        <v>#DIV/0!</v>
      </c>
      <c r="AJ1157" s="33" t="e">
        <f t="shared" si="2470"/>
        <v>#DIV/0!</v>
      </c>
      <c r="AK1157" s="33" t="e">
        <f t="shared" si="2470"/>
        <v>#DIV/0!</v>
      </c>
      <c r="AL1157" s="33" t="e">
        <f t="shared" si="2470"/>
        <v>#DIV/0!</v>
      </c>
      <c r="AM1157" s="33" t="e">
        <f t="shared" si="2470"/>
        <v>#DIV/0!</v>
      </c>
      <c r="AN1157" s="33" t="e">
        <f t="shared" si="2470"/>
        <v>#DIV/0!</v>
      </c>
      <c r="AO1157" s="33" t="e">
        <f t="shared" si="2470"/>
        <v>#DIV/0!</v>
      </c>
      <c r="AP1157" s="33" t="e">
        <f t="shared" si="2470"/>
        <v>#DIV/0!</v>
      </c>
      <c r="AQ1157" s="33" t="e">
        <f t="shared" si="2470"/>
        <v>#DIV/0!</v>
      </c>
      <c r="AR1157" s="33" t="e">
        <f t="shared" si="2470"/>
        <v>#DIV/0!</v>
      </c>
      <c r="AS1157" s="33" t="e">
        <f t="shared" si="2470"/>
        <v>#DIV/0!</v>
      </c>
      <c r="AT1157" s="33" t="e">
        <f t="shared" si="2470"/>
        <v>#DIV/0!</v>
      </c>
      <c r="AU1157" s="33" t="e">
        <f t="shared" si="2470"/>
        <v>#DIV/0!</v>
      </c>
      <c r="AV1157" s="33" t="e">
        <f t="shared" si="2470"/>
        <v>#DIV/0!</v>
      </c>
      <c r="AW1157" s="33" t="e">
        <f t="shared" si="2470"/>
        <v>#DIV/0!</v>
      </c>
      <c r="AX1157" s="33" t="e">
        <f t="shared" si="2470"/>
        <v>#DIV/0!</v>
      </c>
      <c r="AY1157" s="33" t="e">
        <f t="shared" si="2470"/>
        <v>#DIV/0!</v>
      </c>
      <c r="AZ1157" s="33" t="e">
        <f t="shared" si="2470"/>
        <v>#DIV/0!</v>
      </c>
      <c r="BA1157" s="33" t="e">
        <f t="shared" si="2470"/>
        <v>#DIV/0!</v>
      </c>
      <c r="BB1157" s="33" t="e">
        <f t="shared" si="2470"/>
        <v>#DIV/0!</v>
      </c>
      <c r="BC1157" s="33" t="e">
        <f t="shared" si="2470"/>
        <v>#DIV/0!</v>
      </c>
      <c r="BD1157" s="33" t="e">
        <f t="shared" si="2470"/>
        <v>#DIV/0!</v>
      </c>
      <c r="BE1157" s="33" t="e">
        <f t="shared" si="2470"/>
        <v>#DIV/0!</v>
      </c>
      <c r="BF1157" s="33" t="e">
        <f t="shared" si="2470"/>
        <v>#DIV/0!</v>
      </c>
      <c r="BG1157" s="33" t="e">
        <f t="shared" si="2470"/>
        <v>#DIV/0!</v>
      </c>
      <c r="BH1157" s="33" t="e">
        <f t="shared" si="2470"/>
        <v>#DIV/0!</v>
      </c>
      <c r="BI1157" s="33" t="e">
        <f t="shared" si="2470"/>
        <v>#DIV/0!</v>
      </c>
      <c r="BJ1157" s="33" t="e">
        <f t="shared" si="2470"/>
        <v>#DIV/0!</v>
      </c>
      <c r="BK1157" s="33" t="e">
        <f t="shared" si="2470"/>
        <v>#DIV/0!</v>
      </c>
      <c r="BL1157" s="33" t="e">
        <f t="shared" si="2470"/>
        <v>#DIV/0!</v>
      </c>
      <c r="BM1157" s="33" t="e">
        <f t="shared" si="2470"/>
        <v>#DIV/0!</v>
      </c>
      <c r="BN1157" s="33" t="e">
        <f t="shared" si="2470"/>
        <v>#DIV/0!</v>
      </c>
      <c r="BO1157" s="33" t="e">
        <f t="shared" si="2470"/>
        <v>#DIV/0!</v>
      </c>
      <c r="BP1157" s="33" t="e">
        <f t="shared" si="2470"/>
        <v>#DIV/0!</v>
      </c>
      <c r="BQ1157" s="33" t="e">
        <f t="shared" si="2470"/>
        <v>#DIV/0!</v>
      </c>
      <c r="BR1157" s="33" t="e">
        <f t="shared" si="2470"/>
        <v>#DIV/0!</v>
      </c>
      <c r="BS1157" s="33" t="e">
        <f t="shared" si="2470"/>
        <v>#DIV/0!</v>
      </c>
      <c r="BT1157" s="33" t="e">
        <f t="shared" si="2470"/>
        <v>#DIV/0!</v>
      </c>
      <c r="BU1157" s="33" t="e">
        <f t="shared" ref="BU1157:BY1157" si="2471">+-SUM(BU1155:BU1156)*BU1154</f>
        <v>#DIV/0!</v>
      </c>
      <c r="BV1157" s="33" t="e">
        <f t="shared" si="2471"/>
        <v>#DIV/0!</v>
      </c>
      <c r="BW1157" s="33" t="e">
        <f t="shared" si="2471"/>
        <v>#DIV/0!</v>
      </c>
      <c r="BX1157" s="33" t="e">
        <f t="shared" si="2471"/>
        <v>#DIV/0!</v>
      </c>
      <c r="BY1157" s="33" t="e">
        <f t="shared" si="2471"/>
        <v>#DIV/0!</v>
      </c>
    </row>
    <row r="1158" spans="5:77" outlineLevel="1">
      <c r="E1158" s="25" t="s">
        <v>243</v>
      </c>
      <c r="F1158" s="81" t="s">
        <v>423</v>
      </c>
      <c r="G1158" s="25"/>
      <c r="H1158" s="105">
        <f ca="1">1/(1+Assumptions!$G$356)*IF(G1158=0,1,G1158)</f>
        <v>0.95979422011920645</v>
      </c>
      <c r="I1158" s="105">
        <f ca="1">1/(1+Assumptions!$G$356)*IF(H1158=0,1,H1158)</f>
        <v>0.92120494497423577</v>
      </c>
      <c r="J1158" s="105">
        <f ca="1">1/(1+Assumptions!$G$356)*IF(I1158=0,1,I1158)</f>
        <v>0.8841671817315031</v>
      </c>
      <c r="K1158" s="105">
        <f ca="1">1/(1+Assumptions!$G$356)*IF(J1158=0,1,J1158)</f>
        <v>0.8486185506449847</v>
      </c>
      <c r="L1158" s="105">
        <f ca="1">1/(1+Assumptions!$G$356)*IF(K1158=0,1,K1158)</f>
        <v>0.81449917999499444</v>
      </c>
      <c r="M1158" s="105">
        <f ca="1">1/(1+Assumptions!$G$356)*IF(L1158=0,1,L1158)</f>
        <v>0.78175160525102882</v>
      </c>
      <c r="N1158" s="105">
        <f ca="1">1/(1+Assumptions!$G$356)*IF(M1158=0,1,M1158)</f>
        <v>0.75032067228884891</v>
      </c>
      <c r="O1158" s="105">
        <f ca="1">1/(1+Assumptions!$G$356)*IF(N1158=0,1,N1158)</f>
        <v>0.72015344449879437</v>
      </c>
      <c r="P1158" s="105">
        <f ca="1">1/(1+Assumptions!$G$356)*IF(O1158=0,1,O1158)</f>
        <v>0.69119911362888053</v>
      </c>
      <c r="Q1158" s="105">
        <f ca="1">1/(1+Assumptions!$G$356)*IF(P1158=0,1,P1158)</f>
        <v>0.66340891421251813</v>
      </c>
      <c r="R1158" s="105">
        <f ca="1">1/(1+Assumptions!$G$356)*IF(Q1158=0,1,Q1158)</f>
        <v>0.63673604143673335</v>
      </c>
      <c r="S1158" s="105">
        <f ca="1">1/(1+Assumptions!$G$356)*IF(R1158=0,1,R1158)</f>
        <v>0.61113557231256022</v>
      </c>
      <c r="T1158" s="105">
        <f ca="1">1/(1+Assumptions!$G$356)*IF(S1158=0,1,S1158)</f>
        <v>0.58656439001483862</v>
      </c>
      <c r="U1158" s="105">
        <f ca="1">1/(1+Assumptions!$G$356)*IF(T1158=0,1,T1158)</f>
        <v>0.56298111126399009</v>
      </c>
      <c r="V1158" s="105">
        <f ca="1">1/(1+Assumptions!$G$356)*IF(U1158=0,1,U1158)</f>
        <v>0.54034601662746551</v>
      </c>
      <c r="W1158" s="105">
        <f ca="1">1/(1+Assumptions!$G$356)*IF(V1158=0,1,V1158)</f>
        <v>0.51862098362347797</v>
      </c>
      <c r="X1158" s="105">
        <f ca="1">1/(1+Assumptions!$G$356)*IF(W1158=0,1,W1158)</f>
        <v>0.4977694225143518</v>
      </c>
      <c r="Y1158" s="105">
        <f ca="1">1/(1+Assumptions!$G$356)*IF(X1158=0,1,X1158)</f>
        <v>0.47775621468135004</v>
      </c>
      <c r="Z1158" s="105">
        <f ca="1">1/(1+Assumptions!$G$356)*IF(Y1158=0,1,Y1158)</f>
        <v>0.45854765347719056</v>
      </c>
      <c r="AA1158" s="105">
        <f ca="1">1/(1+Assumptions!$G$356)*IF(Z1158=0,1,Z1158)</f>
        <v>0.44011138745663225</v>
      </c>
      <c r="AB1158" s="105">
        <f ca="1">1/(1+Assumptions!$G$356)*IF(AA1158=0,1,AA1158)</f>
        <v>0.42241636588952025</v>
      </c>
      <c r="AC1158" s="105">
        <f ca="1">1/(1+Assumptions!$G$356)*IF(AB1158=0,1,AB1158)</f>
        <v>0.40543278646452147</v>
      </c>
      <c r="AD1158" s="105">
        <f ca="1">1/(1+Assumptions!$G$356)*IF(AC1158=0,1,AC1158)</f>
        <v>0.38913204509547217</v>
      </c>
      <c r="AE1158" s="105">
        <f ca="1">1/(1+Assumptions!$G$356)*IF(AD1158=0,1,AD1158)</f>
        <v>0.37348668774580057</v>
      </c>
      <c r="AF1158" s="105">
        <f ca="1">1/(1+Assumptions!$G$356)*IF(AE1158=0,1,AE1158)</f>
        <v>0.35847036418988626</v>
      </c>
      <c r="AG1158" s="105">
        <f ca="1">1/(1+Assumptions!$G$356)*IF(AF1158=0,1,AF1158)</f>
        <v>0.34405778363347977</v>
      </c>
      <c r="AH1158" s="105">
        <f ca="1">1/(1+Assumptions!$G$356)*IF(AG1158=0,1,AG1158)</f>
        <v>0.33022467211843837</v>
      </c>
      <c r="AI1158" s="105">
        <f ca="1">1/(1+Assumptions!$G$356)*IF(AH1158=0,1,AH1158)</f>
        <v>0.3169477316400372</v>
      </c>
      <c r="AJ1158" s="105">
        <f ca="1">1/(1+Assumptions!$G$356)*IF(AI1158=0,1,AI1158)</f>
        <v>0.30420460090800105</v>
      </c>
      <c r="AK1158" s="105">
        <f ca="1">1/(1+Assumptions!$G$356)*IF(AJ1158=0,1,AJ1158)</f>
        <v>0.29197381768516933</v>
      </c>
      <c r="AL1158" s="105">
        <f ca="1">1/(1+Assumptions!$G$356)*IF(AK1158=0,1,AK1158)</f>
        <v>0.28023478264036444</v>
      </c>
      <c r="AM1158" s="105">
        <f ca="1">1/(1+Assumptions!$G$356)*IF(AL1158=0,1,AL1158)</f>
        <v>0.26896772465458391</v>
      </c>
      <c r="AN1158" s="105">
        <f ca="1">1/(1+Assumptions!$G$356)*IF(AM1158=0,1,AM1158)</f>
        <v>0.2581536675220838</v>
      </c>
      <c r="AO1158" s="105">
        <f ca="1">1/(1+Assumptions!$G$356)*IF(AN1158=0,1,AN1158)</f>
        <v>0.24777439799027134</v>
      </c>
      <c r="AP1158" s="105">
        <f ca="1">1/(1+Assumptions!$G$356)*IF(AO1158=0,1,AO1158)</f>
        <v>0.23781243508457836</v>
      </c>
      <c r="AQ1158" s="105">
        <f ca="1">1/(1+Assumptions!$G$356)*IF(AP1158=0,1,AP1158)</f>
        <v>0.2282510006666523</v>
      </c>
      <c r="AR1158" s="105">
        <f ca="1">1/(1+Assumptions!$G$356)*IF(AQ1158=0,1,AQ1158)</f>
        <v>0.21907399117627802</v>
      </c>
      <c r="AS1158" s="105">
        <f ca="1">1/(1+Assumptions!$G$356)*IF(AR1158=0,1,AR1158)</f>
        <v>0.21026595050943767</v>
      </c>
      <c r="AT1158" s="105">
        <f ca="1">1/(1+Assumptions!$G$356)*IF(AS1158=0,1,AS1158)</f>
        <v>0.20181204398682939</v>
      </c>
      <c r="AU1158" s="105">
        <f ca="1">1/(1+Assumptions!$G$356)*IF(AT1158=0,1,AT1158)</f>
        <v>0.1936980333690019</v>
      </c>
      <c r="AV1158" s="105">
        <f ca="1">1/(1+Assumptions!$G$356)*IF(AU1158=0,1,AU1158)</f>
        <v>0.18591025287602522</v>
      </c>
      <c r="AW1158" s="105">
        <f ca="1">1/(1+Assumptions!$G$356)*IF(AV1158=0,1,AV1158)</f>
        <v>0.17843558617130909</v>
      </c>
      <c r="AX1158" s="105">
        <f ca="1">1/(1+Assumptions!$G$356)*IF(AW1158=0,1,AW1158)</f>
        <v>0.17126144427080506</v>
      </c>
      <c r="AY1158" s="105">
        <f ca="1">1/(1+Assumptions!$G$356)*IF(AX1158=0,1,AX1158)</f>
        <v>0.16437574434038627</v>
      </c>
      <c r="AZ1158" s="105">
        <f ca="1">1/(1+Assumptions!$G$356)*IF(AY1158=0,1,AY1158)</f>
        <v>0.1577668893456951</v>
      </c>
      <c r="BA1158" s="105">
        <f ca="1">1/(1+Assumptions!$G$356)*IF(AZ1158=0,1,AZ1158)</f>
        <v>0.15142374852018459</v>
      </c>
      <c r="BB1158" s="105">
        <f ca="1">1/(1+Assumptions!$G$356)*IF(BA1158=0,1,BA1158)</f>
        <v>0.14533563861845741</v>
      </c>
      <c r="BC1158" s="105">
        <f ca="1">1/(1+Assumptions!$G$356)*IF(BB1158=0,1,BB1158)</f>
        <v>0.13949230592332915</v>
      </c>
      <c r="BD1158" s="105">
        <f ca="1">1/(1+Assumptions!$G$356)*IF(BC1158=0,1,BC1158)</f>
        <v>0.13388390897631147</v>
      </c>
      <c r="BE1158" s="105">
        <f ca="1">1/(1+Assumptions!$G$356)*IF(BD1158=0,1,BD1158)</f>
        <v>0.1285010020024297</v>
      </c>
      <c r="BF1158" s="105">
        <f ca="1">1/(1+Assumptions!$G$356)*IF(BE1158=0,1,BE1158)</f>
        <v>0.1233345190014586</v>
      </c>
      <c r="BG1158" s="105">
        <f ca="1">1/(1+Assumptions!$G$356)*IF(BF1158=0,1,BF1158)</f>
        <v>0.11837575847878241</v>
      </c>
      <c r="BH1158" s="105">
        <f ca="1">1/(1+Assumptions!$G$356)*IF(BG1158=0,1,BG1158)</f>
        <v>0.11361636879016251</v>
      </c>
      <c r="BI1158" s="105">
        <f ca="1">1/(1+Assumptions!$G$356)*IF(BH1158=0,1,BH1158)</f>
        <v>0.10904833407573018</v>
      </c>
      <c r="BJ1158" s="105">
        <f ca="1">1/(1+Assumptions!$G$356)*IF(BI1158=0,1,BI1158)</f>
        <v>0.10466396075951413</v>
      </c>
      <c r="BK1158" s="105">
        <f ca="1">1/(1+Assumptions!$G$356)*IF(BJ1158=0,1,BJ1158)</f>
        <v>0.10045586459176509</v>
      </c>
      <c r="BL1158" s="105">
        <f ca="1">1/(1+Assumptions!$G$356)*IF(BK1158=0,1,BK1158)</f>
        <v>9.6416958212253781E-2</v>
      </c>
      <c r="BM1158" s="105">
        <f ca="1">1/(1+Assumptions!$G$356)*IF(BL1158=0,1,BL1158)</f>
        <v>9.254043921359624E-2</v>
      </c>
      <c r="BN1158" s="105">
        <f ca="1">1/(1+Assumptions!$G$356)*IF(BM1158=0,1,BM1158)</f>
        <v>8.8819778684502429E-2</v>
      </c>
      <c r="BO1158" s="105">
        <f ca="1">1/(1+Assumptions!$G$356)*IF(BN1158=0,1,BN1158)</f>
        <v>8.5248710213652532E-2</v>
      </c>
      <c r="BP1158" s="105">
        <f ca="1">1/(1+Assumptions!$G$356)*IF(BO1158=0,1,BO1158)</f>
        <v>8.1821219335680859E-2</v>
      </c>
      <c r="BQ1158" s="105">
        <f ca="1">1/(1+Assumptions!$G$356)*IF(BP1158=0,1,BP1158)</f>
        <v>7.853153340149234E-2</v>
      </c>
      <c r="BR1158" s="105">
        <f ca="1">1/(1+Assumptions!$G$356)*IF(BQ1158=0,1,BQ1158)</f>
        <v>7.5374111855850759E-2</v>
      </c>
      <c r="BS1158" s="105">
        <f ca="1">1/(1+Assumptions!$G$356)*IF(BR1158=0,1,BR1158)</f>
        <v>7.2343636905864109E-2</v>
      </c>
      <c r="BT1158" s="105">
        <f ca="1">1/(1+Assumptions!$G$356)*IF(BS1158=0,1,BS1158)</f>
        <v>6.943500456465089E-2</v>
      </c>
      <c r="BU1158" s="105">
        <f ca="1">1/(1+Assumptions!$G$356)*IF(BT1158=0,1,BT1158)</f>
        <v>6.6643316055102639E-2</v>
      </c>
      <c r="BV1158" s="105">
        <f ca="1">1/(1+Assumptions!$G$356)*IF(BU1158=0,1,BU1158)</f>
        <v>6.396386955926503E-2</v>
      </c>
      <c r="BW1158" s="105">
        <f ca="1">1/(1+Assumptions!$G$356)*IF(BV1158=0,1,BV1158)</f>
        <v>6.1392152299441428E-2</v>
      </c>
      <c r="BX1158" s="105">
        <f ca="1">1/(1+Assumptions!$G$356)*IF(BW1158=0,1,BW1158)</f>
        <v>5.8923832937681934E-2</v>
      </c>
      <c r="BY1158" s="105">
        <f ca="1">1/(1+Assumptions!$G$356)*IF(BX1158=0,1,BX1158)</f>
        <v>5.6554754280856843E-2</v>
      </c>
    </row>
    <row r="1159" spans="5:77" outlineLevel="1">
      <c r="E1159" t="s">
        <v>548</v>
      </c>
      <c r="F1159" s="80" t="s">
        <v>549</v>
      </c>
      <c r="H1159" s="33">
        <f ca="1">+IFERROR(H1158*H1157,0)*Assumptions!$G$390</f>
        <v>0</v>
      </c>
      <c r="I1159" s="33">
        <f ca="1">+IFERROR(I1158*I1157,0)*Assumptions!$G$390</f>
        <v>0</v>
      </c>
      <c r="J1159" s="33">
        <f ca="1">+IFERROR(J1158*J1157,0)*Assumptions!$G$390</f>
        <v>0</v>
      </c>
      <c r="K1159" s="33">
        <f ca="1">+IFERROR(K1158*K1157,0)*Assumptions!$G$390</f>
        <v>0</v>
      </c>
      <c r="L1159" s="33">
        <f ca="1">+IFERROR(L1158*L1157,0)*Assumptions!$G$390</f>
        <v>0</v>
      </c>
      <c r="M1159" s="33">
        <f ca="1">+IFERROR(M1158*M1157,0)*Assumptions!$G$390</f>
        <v>0</v>
      </c>
      <c r="N1159" s="33">
        <f ca="1">+IFERROR(N1158*N1157,0)*Assumptions!$G$390</f>
        <v>0</v>
      </c>
      <c r="O1159" s="33">
        <f ca="1">+IFERROR(O1158*O1157,0)*Assumptions!$G$390</f>
        <v>0</v>
      </c>
      <c r="P1159" s="33">
        <f ca="1">+IFERROR(P1158*P1157,0)*Assumptions!$G$390</f>
        <v>0</v>
      </c>
      <c r="Q1159" s="33">
        <f ca="1">+IFERROR(Q1158*Q1157,0)*Assumptions!$G$390</f>
        <v>0</v>
      </c>
      <c r="R1159" s="33">
        <f ca="1">+IFERROR(R1158*R1157,0)*Assumptions!$G$390</f>
        <v>0</v>
      </c>
      <c r="S1159" s="33">
        <f ca="1">+IFERROR(S1158*S1157,0)*Assumptions!$G$390</f>
        <v>0</v>
      </c>
      <c r="T1159" s="33">
        <f ca="1">+IFERROR(T1158*T1157,0)*Assumptions!$G$390</f>
        <v>0</v>
      </c>
      <c r="U1159" s="33">
        <f ca="1">+IFERROR(U1158*U1157,0)*Assumptions!$G$390</f>
        <v>0</v>
      </c>
      <c r="V1159" s="33">
        <f ca="1">+IFERROR(V1158*V1157,0)*Assumptions!$G$390</f>
        <v>0</v>
      </c>
      <c r="W1159" s="33">
        <f ca="1">+IFERROR(W1158*W1157,0)*Assumptions!$G$390</f>
        <v>0</v>
      </c>
      <c r="X1159" s="33">
        <f ca="1">+IFERROR(X1158*X1157,0)*Assumptions!$G$390</f>
        <v>0</v>
      </c>
      <c r="Y1159" s="33">
        <f ca="1">+IFERROR(Y1158*Y1157,0)*Assumptions!$G$390</f>
        <v>0</v>
      </c>
      <c r="Z1159" s="33">
        <f ca="1">+IFERROR(Z1158*Z1157,0)*Assumptions!$G$390</f>
        <v>0</v>
      </c>
      <c r="AA1159" s="33">
        <f ca="1">+IFERROR(AA1158*AA1157,0)*Assumptions!$G$390</f>
        <v>0</v>
      </c>
      <c r="AB1159" s="33">
        <f ca="1">+IFERROR(AB1158*AB1157,0)*Assumptions!$G$390</f>
        <v>0</v>
      </c>
      <c r="AC1159" s="33">
        <f ca="1">+IFERROR(AC1158*AC1157,0)*Assumptions!$G$390</f>
        <v>0</v>
      </c>
      <c r="AD1159" s="33">
        <f ca="1">+IFERROR(AD1158*AD1157,0)*Assumptions!$G$390</f>
        <v>0</v>
      </c>
      <c r="AE1159" s="33">
        <f ca="1">+IFERROR(AE1158*AE1157,0)*Assumptions!$G$390</f>
        <v>0</v>
      </c>
      <c r="AF1159" s="33">
        <f ca="1">+IFERROR(AF1158*AF1157,0)*Assumptions!$G$390</f>
        <v>0</v>
      </c>
      <c r="AG1159" s="33">
        <f ca="1">+IFERROR(AG1158*AG1157,0)*Assumptions!$G$390</f>
        <v>0</v>
      </c>
      <c r="AH1159" s="33">
        <f ca="1">+IFERROR(AH1158*AH1157,0)*Assumptions!$G$390</f>
        <v>0</v>
      </c>
      <c r="AI1159" s="33">
        <f ca="1">+IFERROR(AI1158*AI1157,0)*Assumptions!$G$390</f>
        <v>0</v>
      </c>
      <c r="AJ1159" s="33">
        <f ca="1">+IFERROR(AJ1158*AJ1157,0)*Assumptions!$G$390</f>
        <v>0</v>
      </c>
      <c r="AK1159" s="33">
        <f ca="1">+IFERROR(AK1158*AK1157,0)*Assumptions!$G$390</f>
        <v>0</v>
      </c>
      <c r="AL1159" s="33">
        <f ca="1">+IFERROR(AL1158*AL1157,0)*Assumptions!$G$390</f>
        <v>0</v>
      </c>
      <c r="AM1159" s="33">
        <f ca="1">+IFERROR(AM1158*AM1157,0)*Assumptions!$G$390</f>
        <v>0</v>
      </c>
      <c r="AN1159" s="33">
        <f ca="1">+IFERROR(AN1158*AN1157,0)*Assumptions!$G$390</f>
        <v>0</v>
      </c>
      <c r="AO1159" s="33">
        <f ca="1">+IFERROR(AO1158*AO1157,0)*Assumptions!$G$390</f>
        <v>0</v>
      </c>
      <c r="AP1159" s="33">
        <f ca="1">+IFERROR(AP1158*AP1157,0)*Assumptions!$G$390</f>
        <v>0</v>
      </c>
      <c r="AQ1159" s="33">
        <f ca="1">+IFERROR(AQ1158*AQ1157,0)*Assumptions!$G$390</f>
        <v>0</v>
      </c>
      <c r="AR1159" s="33">
        <f ca="1">+IFERROR(AR1158*AR1157,0)*Assumptions!$G$390</f>
        <v>0</v>
      </c>
      <c r="AS1159" s="33">
        <f ca="1">+IFERROR(AS1158*AS1157,0)*Assumptions!$G$390</f>
        <v>0</v>
      </c>
      <c r="AT1159" s="33">
        <f ca="1">+IFERROR(AT1158*AT1157,0)*Assumptions!$G$390</f>
        <v>0</v>
      </c>
      <c r="AU1159" s="33">
        <f ca="1">+IFERROR(AU1158*AU1157,0)*Assumptions!$G$390</f>
        <v>0</v>
      </c>
      <c r="AV1159" s="33">
        <f ca="1">+IFERROR(AV1158*AV1157,0)*Assumptions!$G$390</f>
        <v>0</v>
      </c>
      <c r="AW1159" s="33">
        <f ca="1">+IFERROR(AW1158*AW1157,0)*Assumptions!$G$390</f>
        <v>0</v>
      </c>
      <c r="AX1159" s="33">
        <f ca="1">+IFERROR(AX1158*AX1157,0)*Assumptions!$G$390</f>
        <v>0</v>
      </c>
      <c r="AY1159" s="33">
        <f ca="1">+IFERROR(AY1158*AY1157,0)*Assumptions!$G$390</f>
        <v>0</v>
      </c>
      <c r="AZ1159" s="33">
        <f ca="1">+IFERROR(AZ1158*AZ1157,0)*Assumptions!$G$390</f>
        <v>0</v>
      </c>
      <c r="BA1159" s="33">
        <f ca="1">+IFERROR(BA1158*BA1157,0)*Assumptions!$G$390</f>
        <v>0</v>
      </c>
      <c r="BB1159" s="33">
        <f ca="1">+IFERROR(BB1158*BB1157,0)*Assumptions!$G$390</f>
        <v>0</v>
      </c>
      <c r="BC1159" s="33">
        <f ca="1">+IFERROR(BC1158*BC1157,0)*Assumptions!$G$390</f>
        <v>0</v>
      </c>
      <c r="BD1159" s="33">
        <f ca="1">+IFERROR(BD1158*BD1157,0)*Assumptions!$G$390</f>
        <v>0</v>
      </c>
      <c r="BE1159" s="33">
        <f ca="1">+IFERROR(BE1158*BE1157,0)*Assumptions!$G$390</f>
        <v>0</v>
      </c>
      <c r="BF1159" s="33">
        <f ca="1">+IFERROR(BF1158*BF1157,0)*Assumptions!$G$390</f>
        <v>0</v>
      </c>
      <c r="BG1159" s="33">
        <f ca="1">+IFERROR(BG1158*BG1157,0)*Assumptions!$G$390</f>
        <v>0</v>
      </c>
      <c r="BH1159" s="33">
        <f ca="1">+IFERROR(BH1158*BH1157,0)*Assumptions!$G$390</f>
        <v>0</v>
      </c>
      <c r="BI1159" s="33">
        <f ca="1">+IFERROR(BI1158*BI1157,0)*Assumptions!$G$390</f>
        <v>0</v>
      </c>
      <c r="BJ1159" s="33">
        <f ca="1">+IFERROR(BJ1158*BJ1157,0)*Assumptions!$G$390</f>
        <v>0</v>
      </c>
      <c r="BK1159" s="33">
        <f ca="1">+IFERROR(BK1158*BK1157,0)*Assumptions!$G$390</f>
        <v>0</v>
      </c>
      <c r="BL1159" s="33">
        <f ca="1">+IFERROR(BL1158*BL1157,0)*Assumptions!$G$390</f>
        <v>0</v>
      </c>
      <c r="BM1159" s="33">
        <f ca="1">+IFERROR(BM1158*BM1157,0)*Assumptions!$G$390</f>
        <v>0</v>
      </c>
      <c r="BN1159" s="33">
        <f ca="1">+IFERROR(BN1158*BN1157,0)*Assumptions!$G$390</f>
        <v>0</v>
      </c>
      <c r="BO1159" s="33">
        <f ca="1">+IFERROR(BO1158*BO1157,0)*Assumptions!$G$390</f>
        <v>0</v>
      </c>
      <c r="BP1159" s="33">
        <f ca="1">+IFERROR(BP1158*BP1157,0)*Assumptions!$G$390</f>
        <v>0</v>
      </c>
      <c r="BQ1159" s="33">
        <f ca="1">+IFERROR(BQ1158*BQ1157,0)*Assumptions!$G$390</f>
        <v>0</v>
      </c>
      <c r="BR1159" s="33">
        <f ca="1">+IFERROR(BR1158*BR1157,0)*Assumptions!$G$390</f>
        <v>0</v>
      </c>
      <c r="BS1159" s="33">
        <f ca="1">+IFERROR(BS1158*BS1157,0)*Assumptions!$G$390</f>
        <v>0</v>
      </c>
      <c r="BT1159" s="33">
        <f ca="1">+IFERROR(BT1158*BT1157,0)*Assumptions!$G$390</f>
        <v>0</v>
      </c>
      <c r="BU1159" s="33">
        <f ca="1">+IFERROR(BU1158*BU1157,0)*Assumptions!$G$390</f>
        <v>0</v>
      </c>
      <c r="BV1159" s="33">
        <f ca="1">+IFERROR(BV1158*BV1157,0)*Assumptions!$G$390</f>
        <v>0</v>
      </c>
      <c r="BW1159" s="33">
        <f ca="1">+IFERROR(BW1158*BW1157,0)*Assumptions!$G$390</f>
        <v>0</v>
      </c>
      <c r="BX1159" s="33">
        <f ca="1">+IFERROR(BX1158*BX1157,0)*Assumptions!$G$390</f>
        <v>0</v>
      </c>
      <c r="BY1159" s="33">
        <f ca="1">+IFERROR(BY1158*BY1157,0)*Assumptions!$G$390</f>
        <v>0</v>
      </c>
    </row>
    <row r="1160" spans="5:77" outlineLevel="1">
      <c r="F1160" s="80"/>
      <c r="BF1160" s="33"/>
      <c r="BG1160" s="33"/>
      <c r="BH1160" s="33"/>
      <c r="BI1160" s="33"/>
      <c r="BJ1160" s="33"/>
      <c r="BK1160" s="33"/>
      <c r="BL1160" s="33"/>
      <c r="BM1160" s="33"/>
      <c r="BN1160" s="33"/>
      <c r="BO1160" s="33"/>
      <c r="BP1160" s="33"/>
      <c r="BQ1160" s="33"/>
      <c r="BR1160" s="33"/>
      <c r="BS1160" s="33"/>
      <c r="BT1160" s="33"/>
      <c r="BU1160" s="33"/>
      <c r="BV1160" s="33"/>
      <c r="BW1160" s="33"/>
      <c r="BX1160" s="33"/>
      <c r="BY1160" s="33"/>
    </row>
    <row r="1161" spans="5:77" outlineLevel="1">
      <c r="F1161" s="80"/>
      <c r="BF1161" s="33"/>
      <c r="BG1161" s="33"/>
      <c r="BH1161" s="33"/>
      <c r="BI1161" s="33"/>
      <c r="BJ1161" s="33"/>
      <c r="BK1161" s="33"/>
      <c r="BL1161" s="33"/>
      <c r="BM1161" s="33"/>
      <c r="BN1161" s="33"/>
      <c r="BO1161" s="33"/>
      <c r="BP1161" s="33"/>
      <c r="BQ1161" s="33"/>
      <c r="BR1161" s="33"/>
      <c r="BS1161" s="33"/>
      <c r="BT1161" s="33"/>
      <c r="BU1161" s="33"/>
      <c r="BV1161" s="33"/>
      <c r="BW1161" s="33"/>
      <c r="BX1161" s="33"/>
      <c r="BY1161" s="33"/>
    </row>
    <row r="1162" spans="5:77" outlineLevel="1">
      <c r="BF1162" s="33"/>
      <c r="BG1162" s="33"/>
      <c r="BH1162" s="33"/>
      <c r="BI1162" s="33"/>
      <c r="BJ1162" s="33"/>
      <c r="BK1162" s="33"/>
      <c r="BL1162" s="33"/>
      <c r="BM1162" s="33"/>
      <c r="BN1162" s="33"/>
      <c r="BO1162" s="33"/>
      <c r="BP1162" s="33"/>
      <c r="BQ1162" s="33"/>
      <c r="BR1162" s="33"/>
      <c r="BS1162" s="33"/>
      <c r="BT1162" s="33"/>
      <c r="BU1162" s="33"/>
      <c r="BV1162" s="33"/>
      <c r="BW1162" s="33"/>
      <c r="BX1162" s="33"/>
      <c r="BY1162" s="33"/>
    </row>
    <row r="1163" spans="5:77" ht="15" outlineLevel="1">
      <c r="E1163" s="22" t="s">
        <v>604</v>
      </c>
      <c r="BF1163" s="33"/>
      <c r="BG1163" s="33"/>
      <c r="BH1163" s="33"/>
      <c r="BI1163" s="33"/>
      <c r="BJ1163" s="33"/>
      <c r="BK1163" s="33"/>
      <c r="BL1163" s="33"/>
      <c r="BM1163" s="33"/>
      <c r="BN1163" s="33"/>
      <c r="BO1163" s="33"/>
      <c r="BP1163" s="33"/>
      <c r="BQ1163" s="33"/>
      <c r="BR1163" s="33"/>
      <c r="BS1163" s="33"/>
      <c r="BT1163" s="33"/>
      <c r="BU1163" s="33"/>
      <c r="BV1163" s="33"/>
      <c r="BW1163" s="33"/>
      <c r="BX1163" s="33"/>
      <c r="BY1163" s="33"/>
    </row>
    <row r="1164" spans="5:77" outlineLevel="1">
      <c r="E1164" t="s">
        <v>605</v>
      </c>
      <c r="F1164" s="80" t="s">
        <v>606</v>
      </c>
      <c r="H1164" s="31">
        <f>IF(Assumptions!$G$393="No",0,+Assumptions!$G$25/1000*Assumptions!$G$26*Assumptions!$G$286*Assumptions!$G$268*H953)</f>
        <v>0</v>
      </c>
      <c r="I1164" s="31">
        <f>IF(Assumptions!$G$393="No",0,+Assumptions!$G$25/1000*Assumptions!$G$26*Assumptions!$G$286*Assumptions!$G$268*I953)</f>
        <v>0</v>
      </c>
      <c r="J1164" s="31">
        <f>IF(Assumptions!$G$393="No",0,+Assumptions!$G$25/1000*Assumptions!$G$26*Assumptions!$G$286*Assumptions!$G$268*J953)</f>
        <v>0</v>
      </c>
      <c r="K1164" s="31">
        <f>IF(Assumptions!$G$393="No",0,+Assumptions!$G$25/1000*Assumptions!$G$26*Assumptions!$G$286*Assumptions!$G$268*K953)</f>
        <v>0</v>
      </c>
      <c r="L1164" s="31">
        <f>IF(Assumptions!$G$393="No",0,+Assumptions!$G$25/1000*Assumptions!$G$26*Assumptions!$G$286*Assumptions!$G$268*L953)</f>
        <v>0</v>
      </c>
      <c r="M1164" s="31">
        <f>IF(Assumptions!$G$393="No",0,+Assumptions!$G$25/1000*Assumptions!$G$26*Assumptions!$G$286*Assumptions!$G$268*M953)</f>
        <v>0</v>
      </c>
      <c r="N1164" s="31">
        <f>IF(Assumptions!$G$393="No",0,+Assumptions!$G$25/1000*Assumptions!$G$26*Assumptions!$G$286*Assumptions!$G$268*N953)</f>
        <v>0</v>
      </c>
      <c r="O1164" s="31">
        <f>IF(Assumptions!$G$393="No",0,+Assumptions!$G$25/1000*Assumptions!$G$26*Assumptions!$G$286*Assumptions!$G$268*O953)</f>
        <v>0</v>
      </c>
      <c r="P1164" s="31">
        <f>IF(Assumptions!$G$393="No",0,+Assumptions!$G$25/1000*Assumptions!$G$26*Assumptions!$G$286*Assumptions!$G$268*P953)</f>
        <v>0</v>
      </c>
      <c r="Q1164" s="31">
        <f>IF(Assumptions!$G$393="No",0,+Assumptions!$G$25/1000*Assumptions!$G$26*Assumptions!$G$286*Assumptions!$G$268*Q953)</f>
        <v>0</v>
      </c>
      <c r="R1164" s="31">
        <f>IF(Assumptions!$G$393="No",0,+Assumptions!$G$25/1000*Assumptions!$G$26*Assumptions!$G$286*Assumptions!$G$268*R953)</f>
        <v>0</v>
      </c>
      <c r="S1164" s="31">
        <f>IF(Assumptions!$G$393="No",0,+Assumptions!$G$25/1000*Assumptions!$G$26*Assumptions!$G$286*Assumptions!$G$268*S953)</f>
        <v>0</v>
      </c>
      <c r="T1164" s="31">
        <f>IF(Assumptions!$G$393="No",0,+Assumptions!$G$25/1000*Assumptions!$G$26*Assumptions!$G$286*Assumptions!$G$268*T953)</f>
        <v>0</v>
      </c>
      <c r="U1164" s="31">
        <f>IF(Assumptions!$G$393="No",0,+Assumptions!$G$25/1000*Assumptions!$G$26*Assumptions!$G$286*Assumptions!$G$268*U953)</f>
        <v>0</v>
      </c>
      <c r="V1164" s="31">
        <f>IF(Assumptions!$G$393="No",0,+Assumptions!$G$25/1000*Assumptions!$G$26*Assumptions!$G$286*Assumptions!$G$268*V953)</f>
        <v>0</v>
      </c>
      <c r="W1164" s="31">
        <f>IF(Assumptions!$G$393="No",0,+Assumptions!$G$25/1000*Assumptions!$G$26*Assumptions!$G$286*Assumptions!$G$268*W953)</f>
        <v>0</v>
      </c>
      <c r="X1164" s="31">
        <f>IF(Assumptions!$G$393="No",0,+Assumptions!$G$25/1000*Assumptions!$G$26*Assumptions!$G$286*Assumptions!$G$268*X953)</f>
        <v>0</v>
      </c>
      <c r="Y1164" s="31">
        <f>IF(Assumptions!$G$393="No",0,+Assumptions!$G$25/1000*Assumptions!$G$26*Assumptions!$G$286*Assumptions!$G$268*Y953)</f>
        <v>0</v>
      </c>
      <c r="Z1164" s="31">
        <f>IF(Assumptions!$G$393="No",0,+Assumptions!$G$25/1000*Assumptions!$G$26*Assumptions!$G$286*Assumptions!$G$268*Z953)</f>
        <v>0</v>
      </c>
      <c r="AA1164" s="31">
        <f>IF(Assumptions!$G$393="No",0,+Assumptions!$G$25/1000*Assumptions!$G$26*Assumptions!$G$286*Assumptions!$G$268*AA953)</f>
        <v>0</v>
      </c>
      <c r="AB1164" s="31">
        <f>IF(Assumptions!$G$393="No",0,+Assumptions!$G$25/1000*Assumptions!$G$26*Assumptions!$G$286*Assumptions!$G$268*AB953)</f>
        <v>0</v>
      </c>
      <c r="AC1164" s="31">
        <f>IF(Assumptions!$G$393="No",0,+Assumptions!$G$25/1000*Assumptions!$G$26*Assumptions!$G$286*Assumptions!$G$268*AC953)</f>
        <v>0</v>
      </c>
      <c r="AD1164" s="31">
        <f>IF(Assumptions!$G$393="No",0,+Assumptions!$G$25/1000*Assumptions!$G$26*Assumptions!$G$286*Assumptions!$G$268*AD953)</f>
        <v>0</v>
      </c>
      <c r="AE1164" s="31">
        <f>IF(Assumptions!$G$393="No",0,+Assumptions!$G$25/1000*Assumptions!$G$26*Assumptions!$G$286*Assumptions!$G$268*AE953)</f>
        <v>0</v>
      </c>
      <c r="AF1164" s="31">
        <f>IF(Assumptions!$G$393="No",0,+Assumptions!$G$25/1000*Assumptions!$G$26*Assumptions!$G$286*Assumptions!$G$268*AF953)</f>
        <v>0</v>
      </c>
      <c r="AG1164" s="31">
        <f>IF(Assumptions!$G$393="No",0,+Assumptions!$G$25/1000*Assumptions!$G$26*Assumptions!$G$286*Assumptions!$G$268*AG953)</f>
        <v>0</v>
      </c>
      <c r="AH1164" s="31">
        <f>IF(Assumptions!$G$393="No",0,+Assumptions!$G$25/1000*Assumptions!$G$26*Assumptions!$G$286*Assumptions!$G$268*AH953)</f>
        <v>0</v>
      </c>
      <c r="AI1164" s="31">
        <f>IF(Assumptions!$G$393="No",0,+Assumptions!$G$25/1000*Assumptions!$G$26*Assumptions!$G$286*Assumptions!$G$268*AI953)</f>
        <v>0</v>
      </c>
      <c r="AJ1164" s="31">
        <f>IF(Assumptions!$G$393="No",0,+Assumptions!$G$25/1000*Assumptions!$G$26*Assumptions!$G$286*Assumptions!$G$268*AJ953)</f>
        <v>0</v>
      </c>
      <c r="AK1164" s="31">
        <f>IF(Assumptions!$G$393="No",0,+Assumptions!$G$25/1000*Assumptions!$G$26*Assumptions!$G$286*Assumptions!$G$268*AK953)</f>
        <v>0</v>
      </c>
      <c r="AL1164" s="31">
        <f>IF(Assumptions!$G$393="No",0,+Assumptions!$G$25/1000*Assumptions!$G$26*Assumptions!$G$286*Assumptions!$G$268*AL953)</f>
        <v>0</v>
      </c>
      <c r="AM1164" s="31">
        <f>IF(Assumptions!$G$393="No",0,+Assumptions!$G$25/1000*Assumptions!$G$26*Assumptions!$G$286*Assumptions!$G$268*AM953)</f>
        <v>0</v>
      </c>
      <c r="AN1164" s="31">
        <f>IF(Assumptions!$G$393="No",0,+Assumptions!$G$25/1000*Assumptions!$G$26*Assumptions!$G$286*Assumptions!$G$268*AN953)</f>
        <v>0</v>
      </c>
      <c r="AO1164" s="31">
        <f>IF(Assumptions!$G$393="No",0,+Assumptions!$G$25/1000*Assumptions!$G$26*Assumptions!$G$286*Assumptions!$G$268*AO953)</f>
        <v>0</v>
      </c>
      <c r="AP1164" s="31">
        <f>IF(Assumptions!$G$393="No",0,+Assumptions!$G$25/1000*Assumptions!$G$26*Assumptions!$G$286*Assumptions!$G$268*AP953)</f>
        <v>0</v>
      </c>
      <c r="AQ1164" s="31">
        <f>IF(Assumptions!$G$393="No",0,+Assumptions!$G$25/1000*Assumptions!$G$26*Assumptions!$G$286*Assumptions!$G$268*AQ953)</f>
        <v>0</v>
      </c>
      <c r="AR1164" s="31">
        <f>IF(Assumptions!$G$393="No",0,+Assumptions!$G$25/1000*Assumptions!$G$26*Assumptions!$G$286*Assumptions!$G$268*AR953)</f>
        <v>0</v>
      </c>
      <c r="AS1164" s="31">
        <f>IF(Assumptions!$G$393="No",0,+Assumptions!$G$25/1000*Assumptions!$G$26*Assumptions!$G$286*Assumptions!$G$268*AS953)</f>
        <v>0</v>
      </c>
      <c r="AT1164" s="31">
        <f>IF(Assumptions!$G$393="No",0,+Assumptions!$G$25/1000*Assumptions!$G$26*Assumptions!$G$286*Assumptions!$G$268*AT953)</f>
        <v>0</v>
      </c>
      <c r="AU1164" s="31">
        <f>IF(Assumptions!$G$393="No",0,+Assumptions!$G$25/1000*Assumptions!$G$26*Assumptions!$G$286*Assumptions!$G$268*AU953)</f>
        <v>0</v>
      </c>
      <c r="AV1164" s="31">
        <f>IF(Assumptions!$G$393="No",0,+Assumptions!$G$25/1000*Assumptions!$G$26*Assumptions!$G$286*Assumptions!$G$268*AV953)</f>
        <v>0</v>
      </c>
      <c r="AW1164" s="31">
        <f>IF(Assumptions!$G$393="No",0,+Assumptions!$G$25/1000*Assumptions!$G$26*Assumptions!$G$286*Assumptions!$G$268*AW953)</f>
        <v>0</v>
      </c>
      <c r="AX1164" s="31">
        <f>IF(Assumptions!$G$393="No",0,+Assumptions!$G$25/1000*Assumptions!$G$26*Assumptions!$G$286*Assumptions!$G$268*AX953)</f>
        <v>0</v>
      </c>
      <c r="AY1164" s="31">
        <f>IF(Assumptions!$G$393="No",0,+Assumptions!$G$25/1000*Assumptions!$G$26*Assumptions!$G$286*Assumptions!$G$268*AY953)</f>
        <v>0</v>
      </c>
      <c r="AZ1164" s="31">
        <f>IF(Assumptions!$G$393="No",0,+Assumptions!$G$25/1000*Assumptions!$G$26*Assumptions!$G$286*Assumptions!$G$268*AZ953)</f>
        <v>0</v>
      </c>
      <c r="BA1164" s="31">
        <f>IF(Assumptions!$G$393="No",0,+Assumptions!$G$25/1000*Assumptions!$G$26*Assumptions!$G$286*Assumptions!$G$268*BA953)</f>
        <v>0</v>
      </c>
      <c r="BB1164" s="31">
        <f>IF(Assumptions!$G$393="No",0,+Assumptions!$G$25/1000*Assumptions!$G$26*Assumptions!$G$286*Assumptions!$G$268*BB953)</f>
        <v>0</v>
      </c>
      <c r="BC1164" s="31">
        <f>IF(Assumptions!$G$393="No",0,+Assumptions!$G$25/1000*Assumptions!$G$26*Assumptions!$G$286*Assumptions!$G$268*BC953)</f>
        <v>0</v>
      </c>
      <c r="BD1164" s="31">
        <f>IF(Assumptions!$G$393="No",0,+Assumptions!$G$25/1000*Assumptions!$G$26*Assumptions!$G$286*Assumptions!$G$268*BD953)</f>
        <v>0</v>
      </c>
      <c r="BE1164" s="31">
        <f>IF(Assumptions!$G$393="No",0,+Assumptions!$G$25/1000*Assumptions!$G$26*Assumptions!$G$286*Assumptions!$G$268*BE953)</f>
        <v>0</v>
      </c>
      <c r="BF1164" s="31">
        <f>IF(Assumptions!$G$393="No",0,+Assumptions!$G$25/1000*Assumptions!$G$26*Assumptions!$G$286*Assumptions!$G$268*BF953)</f>
        <v>0</v>
      </c>
      <c r="BG1164" s="31">
        <f>IF(Assumptions!$G$393="No",0,+Assumptions!$G$25/1000*Assumptions!$G$26*Assumptions!$G$286*Assumptions!$G$268*BG953)</f>
        <v>0</v>
      </c>
      <c r="BH1164" s="31">
        <f>IF(Assumptions!$G$393="No",0,+Assumptions!$G$25/1000*Assumptions!$G$26*Assumptions!$G$286*Assumptions!$G$268*BH953)</f>
        <v>0</v>
      </c>
      <c r="BI1164" s="31">
        <f>IF(Assumptions!$G$393="No",0,+Assumptions!$G$25/1000*Assumptions!$G$26*Assumptions!$G$286*Assumptions!$G$268*BI953)</f>
        <v>0</v>
      </c>
      <c r="BJ1164" s="31">
        <f>IF(Assumptions!$G$393="No",0,+Assumptions!$G$25/1000*Assumptions!$G$26*Assumptions!$G$286*Assumptions!$G$268*BJ953)</f>
        <v>0</v>
      </c>
      <c r="BK1164" s="31">
        <f>IF(Assumptions!$G$393="No",0,+Assumptions!$G$25/1000*Assumptions!$G$26*Assumptions!$G$286*Assumptions!$G$268*BK953)</f>
        <v>0</v>
      </c>
      <c r="BL1164" s="31">
        <f>IF(Assumptions!$G$393="No",0,+Assumptions!$G$25/1000*Assumptions!$G$26*Assumptions!$G$286*Assumptions!$G$268*BL953)</f>
        <v>0</v>
      </c>
      <c r="BM1164" s="31">
        <f>IF(Assumptions!$G$393="No",0,+Assumptions!$G$25/1000*Assumptions!$G$26*Assumptions!$G$286*Assumptions!$G$268*BM953)</f>
        <v>0</v>
      </c>
      <c r="BN1164" s="31">
        <f>IF(Assumptions!$G$393="No",0,+Assumptions!$G$25/1000*Assumptions!$G$26*Assumptions!$G$286*Assumptions!$G$268*BN953)</f>
        <v>0</v>
      </c>
      <c r="BO1164" s="31">
        <f>IF(Assumptions!$G$393="No",0,+Assumptions!$G$25/1000*Assumptions!$G$26*Assumptions!$G$286*Assumptions!$G$268*BO953)</f>
        <v>0</v>
      </c>
      <c r="BP1164" s="31">
        <f>IF(Assumptions!$G$393="No",0,+Assumptions!$G$25/1000*Assumptions!$G$26*Assumptions!$G$286*Assumptions!$G$268*BP953)</f>
        <v>0</v>
      </c>
      <c r="BQ1164" s="31">
        <f>IF(Assumptions!$G$393="No",0,+Assumptions!$G$25/1000*Assumptions!$G$26*Assumptions!$G$286*Assumptions!$G$268*BQ953)</f>
        <v>0</v>
      </c>
      <c r="BR1164" s="31">
        <f>IF(Assumptions!$G$393="No",0,+Assumptions!$G$25/1000*Assumptions!$G$26*Assumptions!$G$286*Assumptions!$G$268*BR953)</f>
        <v>0</v>
      </c>
      <c r="BS1164" s="31">
        <f>IF(Assumptions!$G$393="No",0,+Assumptions!$G$25/1000*Assumptions!$G$26*Assumptions!$G$286*Assumptions!$G$268*BS953)</f>
        <v>0</v>
      </c>
      <c r="BT1164" s="31">
        <f>IF(Assumptions!$G$393="No",0,+Assumptions!$G$25/1000*Assumptions!$G$26*Assumptions!$G$286*Assumptions!$G$268*BT953)</f>
        <v>0</v>
      </c>
      <c r="BU1164" s="31">
        <f>IF(Assumptions!$G$393="No",0,+Assumptions!$G$25/1000*Assumptions!$G$26*Assumptions!$G$286*Assumptions!$G$268*BU953)</f>
        <v>0</v>
      </c>
      <c r="BV1164" s="31">
        <f>IF(Assumptions!$G$393="No",0,+Assumptions!$G$25/1000*Assumptions!$G$26*Assumptions!$G$286*Assumptions!$G$268*BV953)</f>
        <v>0</v>
      </c>
      <c r="BW1164" s="31">
        <f>IF(Assumptions!$G$393="No",0,+Assumptions!$G$25/1000*Assumptions!$G$26*Assumptions!$G$286*Assumptions!$G$268*BW953)</f>
        <v>0</v>
      </c>
      <c r="BX1164" s="31">
        <f>IF(Assumptions!$G$393="No",0,+Assumptions!$G$25/1000*Assumptions!$G$26*Assumptions!$G$286*Assumptions!$G$268*BX953)</f>
        <v>0</v>
      </c>
      <c r="BY1164" s="31">
        <f>IF(Assumptions!$G$393="No",0,+Assumptions!$G$25/1000*Assumptions!$G$26*Assumptions!$G$286*Assumptions!$G$268*BY953)</f>
        <v>0</v>
      </c>
    </row>
    <row r="1165" spans="5:77" outlineLevel="1">
      <c r="E1165" t="s">
        <v>607</v>
      </c>
      <c r="F1165" s="80" t="s">
        <v>606</v>
      </c>
      <c r="H1165" s="31">
        <f>IF(Assumptions!$G$393="No",0,+IF(H1164=0,0,Assumptions!$G$265/1000*_xlfn.XLOOKUP(Assumptions!$G$264,Data_tables!$K:$K,Data_tables!$Q:$Q)*Assumptions!$G$287))</f>
        <v>0</v>
      </c>
      <c r="I1165" s="31">
        <f>IF(Assumptions!$G$393="No",0,+IF(I1164=0,0,Assumptions!$G$265/1000*_xlfn.XLOOKUP(Assumptions!$G$264,Data_tables!$K:$K,Data_tables!$Q:$Q)*Assumptions!$G$287))</f>
        <v>0</v>
      </c>
      <c r="J1165" s="31">
        <f>IF(Assumptions!$G$393="No",0,+IF(J1164=0,0,Assumptions!$G$265/1000*_xlfn.XLOOKUP(Assumptions!$G$264,Data_tables!$K:$K,Data_tables!$Q:$Q)*Assumptions!$G$287))</f>
        <v>0</v>
      </c>
      <c r="K1165" s="31">
        <f>IF(Assumptions!$G$393="No",0,+IF(K1164=0,0,Assumptions!$G$265/1000*_xlfn.XLOOKUP(Assumptions!$G$264,Data_tables!$K:$K,Data_tables!$Q:$Q)*Assumptions!$G$287))</f>
        <v>0</v>
      </c>
      <c r="L1165" s="31">
        <f>IF(Assumptions!$G$393="No",0,+IF(L1164=0,0,Assumptions!$G$265/1000*_xlfn.XLOOKUP(Assumptions!$G$264,Data_tables!$K:$K,Data_tables!$Q:$Q)*Assumptions!$G$287))</f>
        <v>0</v>
      </c>
      <c r="M1165" s="31">
        <f>IF(Assumptions!$G$393="No",0,+IF(M1164=0,0,Assumptions!$G$265/1000*_xlfn.XLOOKUP(Assumptions!$G$264,Data_tables!$K:$K,Data_tables!$Q:$Q)*Assumptions!$G$287))</f>
        <v>0</v>
      </c>
      <c r="N1165" s="31">
        <f>IF(Assumptions!$G$393="No",0,+IF(N1164=0,0,Assumptions!$G$265/1000*_xlfn.XLOOKUP(Assumptions!$G$264,Data_tables!$K:$K,Data_tables!$Q:$Q)*Assumptions!$G$287))</f>
        <v>0</v>
      </c>
      <c r="O1165" s="31">
        <f>IF(Assumptions!$G$393="No",0,+IF(O1164=0,0,Assumptions!$G$265/1000*_xlfn.XLOOKUP(Assumptions!$G$264,Data_tables!$K:$K,Data_tables!$Q:$Q)*Assumptions!$G$287))</f>
        <v>0</v>
      </c>
      <c r="P1165" s="31">
        <f>IF(Assumptions!$G$393="No",0,+IF(P1164=0,0,Assumptions!$G$265/1000*_xlfn.XLOOKUP(Assumptions!$G$264,Data_tables!$K:$K,Data_tables!$Q:$Q)*Assumptions!$G$287))</f>
        <v>0</v>
      </c>
      <c r="Q1165" s="31">
        <f>IF(Assumptions!$G$393="No",0,+IF(Q1164=0,0,Assumptions!$G$265/1000*_xlfn.XLOOKUP(Assumptions!$G$264,Data_tables!$K:$K,Data_tables!$Q:$Q)*Assumptions!$G$287))</f>
        <v>0</v>
      </c>
      <c r="R1165" s="31">
        <f>IF(Assumptions!$G$393="No",0,+IF(R1164=0,0,Assumptions!$G$265/1000*_xlfn.XLOOKUP(Assumptions!$G$264,Data_tables!$K:$K,Data_tables!$Q:$Q)*Assumptions!$G$287))</f>
        <v>0</v>
      </c>
      <c r="S1165" s="31">
        <f>IF(Assumptions!$G$393="No",0,+IF(S1164=0,0,Assumptions!$G$265/1000*_xlfn.XLOOKUP(Assumptions!$G$264,Data_tables!$K:$K,Data_tables!$Q:$Q)*Assumptions!$G$287))</f>
        <v>0</v>
      </c>
      <c r="T1165" s="31">
        <f>IF(Assumptions!$G$393="No",0,+IF(T1164=0,0,Assumptions!$G$265/1000*_xlfn.XLOOKUP(Assumptions!$G$264,Data_tables!$K:$K,Data_tables!$Q:$Q)*Assumptions!$G$287))</f>
        <v>0</v>
      </c>
      <c r="U1165" s="31">
        <f>IF(Assumptions!$G$393="No",0,+IF(U1164=0,0,Assumptions!$G$265/1000*_xlfn.XLOOKUP(Assumptions!$G$264,Data_tables!$K:$K,Data_tables!$Q:$Q)*Assumptions!$G$287))</f>
        <v>0</v>
      </c>
      <c r="V1165" s="31">
        <f>IF(Assumptions!$G$393="No",0,+IF(V1164=0,0,Assumptions!$G$265/1000*_xlfn.XLOOKUP(Assumptions!$G$264,Data_tables!$K:$K,Data_tables!$Q:$Q)*Assumptions!$G$287))</f>
        <v>0</v>
      </c>
      <c r="W1165" s="31">
        <f>IF(Assumptions!$G$393="No",0,+IF(W1164=0,0,Assumptions!$G$265/1000*_xlfn.XLOOKUP(Assumptions!$G$264,Data_tables!$K:$K,Data_tables!$Q:$Q)*Assumptions!$G$287))</f>
        <v>0</v>
      </c>
      <c r="X1165" s="31">
        <f>IF(Assumptions!$G$393="No",0,+IF(X1164=0,0,Assumptions!$G$265/1000*_xlfn.XLOOKUP(Assumptions!$G$264,Data_tables!$K:$K,Data_tables!$Q:$Q)*Assumptions!$G$287))</f>
        <v>0</v>
      </c>
      <c r="Y1165" s="31">
        <f>IF(Assumptions!$G$393="No",0,+IF(Y1164=0,0,Assumptions!$G$265/1000*_xlfn.XLOOKUP(Assumptions!$G$264,Data_tables!$K:$K,Data_tables!$Q:$Q)*Assumptions!$G$287))</f>
        <v>0</v>
      </c>
      <c r="Z1165" s="31">
        <f>IF(Assumptions!$G$393="No",0,+IF(Z1164=0,0,Assumptions!$G$265/1000*_xlfn.XLOOKUP(Assumptions!$G$264,Data_tables!$K:$K,Data_tables!$Q:$Q)*Assumptions!$G$287))</f>
        <v>0</v>
      </c>
      <c r="AA1165" s="31">
        <f>IF(Assumptions!$G$393="No",0,+IF(AA1164=0,0,Assumptions!$G$265/1000*_xlfn.XLOOKUP(Assumptions!$G$264,Data_tables!$K:$K,Data_tables!$Q:$Q)*Assumptions!$G$287))</f>
        <v>0</v>
      </c>
      <c r="AB1165" s="31">
        <f>IF(Assumptions!$G$393="No",0,+IF(AB1164=0,0,Assumptions!$G$265/1000*_xlfn.XLOOKUP(Assumptions!$G$264,Data_tables!$K:$K,Data_tables!$Q:$Q)*Assumptions!$G$287))</f>
        <v>0</v>
      </c>
      <c r="AC1165" s="31">
        <f>IF(Assumptions!$G$393="No",0,+IF(AC1164=0,0,Assumptions!$G$265/1000*_xlfn.XLOOKUP(Assumptions!$G$264,Data_tables!$K:$K,Data_tables!$Q:$Q)*Assumptions!$G$287))</f>
        <v>0</v>
      </c>
      <c r="AD1165" s="31">
        <f>IF(Assumptions!$G$393="No",0,+IF(AD1164=0,0,Assumptions!$G$265/1000*_xlfn.XLOOKUP(Assumptions!$G$264,Data_tables!$K:$K,Data_tables!$Q:$Q)*Assumptions!$G$287))</f>
        <v>0</v>
      </c>
      <c r="AE1165" s="31">
        <f>IF(Assumptions!$G$393="No",0,+IF(AE1164=0,0,Assumptions!$G$265/1000*_xlfn.XLOOKUP(Assumptions!$G$264,Data_tables!$K:$K,Data_tables!$Q:$Q)*Assumptions!$G$287))</f>
        <v>0</v>
      </c>
      <c r="AF1165" s="31">
        <f>IF(Assumptions!$G$393="No",0,+IF(AF1164=0,0,Assumptions!$G$265/1000*_xlfn.XLOOKUP(Assumptions!$G$264,Data_tables!$K:$K,Data_tables!$Q:$Q)*Assumptions!$G$287))</f>
        <v>0</v>
      </c>
      <c r="AG1165" s="31">
        <f>IF(Assumptions!$G$393="No",0,+IF(AG1164=0,0,Assumptions!$G$265/1000*_xlfn.XLOOKUP(Assumptions!$G$264,Data_tables!$K:$K,Data_tables!$Q:$Q)*Assumptions!$G$287))</f>
        <v>0</v>
      </c>
      <c r="AH1165" s="31">
        <f>IF(Assumptions!$G$393="No",0,+IF(AH1164=0,0,Assumptions!$G$265/1000*_xlfn.XLOOKUP(Assumptions!$G$264,Data_tables!$K:$K,Data_tables!$Q:$Q)*Assumptions!$G$287))</f>
        <v>0</v>
      </c>
      <c r="AI1165" s="31">
        <f>IF(Assumptions!$G$393="No",0,+IF(AI1164=0,0,Assumptions!$G$265/1000*_xlfn.XLOOKUP(Assumptions!$G$264,Data_tables!$K:$K,Data_tables!$Q:$Q)*Assumptions!$G$287))</f>
        <v>0</v>
      </c>
      <c r="AJ1165" s="31">
        <f>IF(Assumptions!$G$393="No",0,+IF(AJ1164=0,0,Assumptions!$G$265/1000*_xlfn.XLOOKUP(Assumptions!$G$264,Data_tables!$K:$K,Data_tables!$Q:$Q)*Assumptions!$G$287))</f>
        <v>0</v>
      </c>
      <c r="AK1165" s="31">
        <f>IF(Assumptions!$G$393="No",0,+IF(AK1164=0,0,Assumptions!$G$265/1000*_xlfn.XLOOKUP(Assumptions!$G$264,Data_tables!$K:$K,Data_tables!$Q:$Q)*Assumptions!$G$287))</f>
        <v>0</v>
      </c>
      <c r="AL1165" s="31">
        <f>IF(Assumptions!$G$393="No",0,+IF(AL1164=0,0,Assumptions!$G$265/1000*_xlfn.XLOOKUP(Assumptions!$G$264,Data_tables!$K:$K,Data_tables!$Q:$Q)*Assumptions!$G$287))</f>
        <v>0</v>
      </c>
      <c r="AM1165" s="31">
        <f>IF(Assumptions!$G$393="No",0,+IF(AM1164=0,0,Assumptions!$G$265/1000*_xlfn.XLOOKUP(Assumptions!$G$264,Data_tables!$K:$K,Data_tables!$Q:$Q)*Assumptions!$G$287))</f>
        <v>0</v>
      </c>
      <c r="AN1165" s="31">
        <f>IF(Assumptions!$G$393="No",0,+IF(AN1164=0,0,Assumptions!$G$265/1000*_xlfn.XLOOKUP(Assumptions!$G$264,Data_tables!$K:$K,Data_tables!$Q:$Q)*Assumptions!$G$287))</f>
        <v>0</v>
      </c>
      <c r="AO1165" s="31">
        <f>IF(Assumptions!$G$393="No",0,+IF(AO1164=0,0,Assumptions!$G$265/1000*_xlfn.XLOOKUP(Assumptions!$G$264,Data_tables!$K:$K,Data_tables!$Q:$Q)*Assumptions!$G$287))</f>
        <v>0</v>
      </c>
      <c r="AP1165" s="31">
        <f>IF(Assumptions!$G$393="No",0,+IF(AP1164=0,0,Assumptions!$G$265/1000*_xlfn.XLOOKUP(Assumptions!$G$264,Data_tables!$K:$K,Data_tables!$Q:$Q)*Assumptions!$G$287))</f>
        <v>0</v>
      </c>
      <c r="AQ1165" s="31">
        <f>IF(Assumptions!$G$393="No",0,+IF(AQ1164=0,0,Assumptions!$G$265/1000*_xlfn.XLOOKUP(Assumptions!$G$264,Data_tables!$K:$K,Data_tables!$Q:$Q)*Assumptions!$G$287))</f>
        <v>0</v>
      </c>
      <c r="AR1165" s="31">
        <f>IF(Assumptions!$G$393="No",0,+IF(AR1164=0,0,Assumptions!$G$265/1000*_xlfn.XLOOKUP(Assumptions!$G$264,Data_tables!$K:$K,Data_tables!$Q:$Q)*Assumptions!$G$287))</f>
        <v>0</v>
      </c>
      <c r="AS1165" s="31">
        <f>IF(Assumptions!$G$393="No",0,+IF(AS1164=0,0,Assumptions!$G$265/1000*_xlfn.XLOOKUP(Assumptions!$G$264,Data_tables!$K:$K,Data_tables!$Q:$Q)*Assumptions!$G$287))</f>
        <v>0</v>
      </c>
      <c r="AT1165" s="31">
        <f>IF(Assumptions!$G$393="No",0,+IF(AT1164=0,0,Assumptions!$G$265/1000*_xlfn.XLOOKUP(Assumptions!$G$264,Data_tables!$K:$K,Data_tables!$Q:$Q)*Assumptions!$G$287))</f>
        <v>0</v>
      </c>
      <c r="AU1165" s="31">
        <f>IF(Assumptions!$G$393="No",0,+IF(AU1164=0,0,Assumptions!$G$265/1000*_xlfn.XLOOKUP(Assumptions!$G$264,Data_tables!$K:$K,Data_tables!$Q:$Q)*Assumptions!$G$287))</f>
        <v>0</v>
      </c>
      <c r="AV1165" s="31">
        <f>IF(Assumptions!$G$393="No",0,+IF(AV1164=0,0,Assumptions!$G$265/1000*_xlfn.XLOOKUP(Assumptions!$G$264,Data_tables!$K:$K,Data_tables!$Q:$Q)*Assumptions!$G$287))</f>
        <v>0</v>
      </c>
      <c r="AW1165" s="31">
        <f>IF(Assumptions!$G$393="No",0,+IF(AW1164=0,0,Assumptions!$G$265/1000*_xlfn.XLOOKUP(Assumptions!$G$264,Data_tables!$K:$K,Data_tables!$Q:$Q)*Assumptions!$G$287))</f>
        <v>0</v>
      </c>
      <c r="AX1165" s="31">
        <f>IF(Assumptions!$G$393="No",0,+IF(AX1164=0,0,Assumptions!$G$265/1000*_xlfn.XLOOKUP(Assumptions!$G$264,Data_tables!$K:$K,Data_tables!$Q:$Q)*Assumptions!$G$287))</f>
        <v>0</v>
      </c>
      <c r="AY1165" s="31">
        <f>IF(Assumptions!$G$393="No",0,+IF(AY1164=0,0,Assumptions!$G$265/1000*_xlfn.XLOOKUP(Assumptions!$G$264,Data_tables!$K:$K,Data_tables!$Q:$Q)*Assumptions!$G$287))</f>
        <v>0</v>
      </c>
      <c r="AZ1165" s="31">
        <f>IF(Assumptions!$G$393="No",0,+IF(AZ1164=0,0,Assumptions!$G$265/1000*_xlfn.XLOOKUP(Assumptions!$G$264,Data_tables!$K:$K,Data_tables!$Q:$Q)*Assumptions!$G$287))</f>
        <v>0</v>
      </c>
      <c r="BA1165" s="31">
        <f>IF(Assumptions!$G$393="No",0,+IF(BA1164=0,0,Assumptions!$G$265/1000*_xlfn.XLOOKUP(Assumptions!$G$264,Data_tables!$K:$K,Data_tables!$Q:$Q)*Assumptions!$G$287))</f>
        <v>0</v>
      </c>
      <c r="BB1165" s="31">
        <f>IF(Assumptions!$G$393="No",0,+IF(BB1164=0,0,Assumptions!$G$265/1000*_xlfn.XLOOKUP(Assumptions!$G$264,Data_tables!$K:$K,Data_tables!$Q:$Q)*Assumptions!$G$287))</f>
        <v>0</v>
      </c>
      <c r="BC1165" s="31">
        <f>IF(Assumptions!$G$393="No",0,+IF(BC1164=0,0,Assumptions!$G$265/1000*_xlfn.XLOOKUP(Assumptions!$G$264,Data_tables!$K:$K,Data_tables!$Q:$Q)*Assumptions!$G$287))</f>
        <v>0</v>
      </c>
      <c r="BD1165" s="31">
        <f>IF(Assumptions!$G$393="No",0,+IF(BD1164=0,0,Assumptions!$G$265/1000*_xlfn.XLOOKUP(Assumptions!$G$264,Data_tables!$K:$K,Data_tables!$Q:$Q)*Assumptions!$G$287))</f>
        <v>0</v>
      </c>
      <c r="BE1165" s="31">
        <f>IF(Assumptions!$G$393="No",0,+IF(BE1164=0,0,Assumptions!$G$265/1000*_xlfn.XLOOKUP(Assumptions!$G$264,Data_tables!$K:$K,Data_tables!$Q:$Q)*Assumptions!$G$287))</f>
        <v>0</v>
      </c>
      <c r="BF1165" s="31">
        <f>IF(Assumptions!$G$393="No",0,+IF(BF1164=0,0,Assumptions!$G$265/1000*_xlfn.XLOOKUP(Assumptions!$G$264,Data_tables!$K:$K,Data_tables!$Q:$Q)*Assumptions!$G$287))</f>
        <v>0</v>
      </c>
      <c r="BG1165" s="31">
        <f>IF(Assumptions!$G$393="No",0,+IF(BG1164=0,0,Assumptions!$G$265/1000*_xlfn.XLOOKUP(Assumptions!$G$264,Data_tables!$K:$K,Data_tables!$Q:$Q)*Assumptions!$G$287))</f>
        <v>0</v>
      </c>
      <c r="BH1165" s="31">
        <f>IF(Assumptions!$G$393="No",0,+IF(BH1164=0,0,Assumptions!$G$265/1000*_xlfn.XLOOKUP(Assumptions!$G$264,Data_tables!$K:$K,Data_tables!$Q:$Q)*Assumptions!$G$287))</f>
        <v>0</v>
      </c>
      <c r="BI1165" s="31">
        <f>IF(Assumptions!$G$393="No",0,+IF(BI1164=0,0,Assumptions!$G$265/1000*_xlfn.XLOOKUP(Assumptions!$G$264,Data_tables!$K:$K,Data_tables!$Q:$Q)*Assumptions!$G$287))</f>
        <v>0</v>
      </c>
      <c r="BJ1165" s="31">
        <f>IF(Assumptions!$G$393="No",0,+IF(BJ1164=0,0,Assumptions!$G$265/1000*_xlfn.XLOOKUP(Assumptions!$G$264,Data_tables!$K:$K,Data_tables!$Q:$Q)*Assumptions!$G$287))</f>
        <v>0</v>
      </c>
      <c r="BK1165" s="31">
        <f>IF(Assumptions!$G$393="No",0,+IF(BK1164=0,0,Assumptions!$G$265/1000*_xlfn.XLOOKUP(Assumptions!$G$264,Data_tables!$K:$K,Data_tables!$Q:$Q)*Assumptions!$G$287))</f>
        <v>0</v>
      </c>
      <c r="BL1165" s="31">
        <f>IF(Assumptions!$G$393="No",0,+IF(BL1164=0,0,Assumptions!$G$265/1000*_xlfn.XLOOKUP(Assumptions!$G$264,Data_tables!$K:$K,Data_tables!$Q:$Q)*Assumptions!$G$287))</f>
        <v>0</v>
      </c>
      <c r="BM1165" s="31">
        <f>IF(Assumptions!$G$393="No",0,+IF(BM1164=0,0,Assumptions!$G$265/1000*_xlfn.XLOOKUP(Assumptions!$G$264,Data_tables!$K:$K,Data_tables!$Q:$Q)*Assumptions!$G$287))</f>
        <v>0</v>
      </c>
      <c r="BN1165" s="31">
        <f>IF(Assumptions!$G$393="No",0,+IF(BN1164=0,0,Assumptions!$G$265/1000*_xlfn.XLOOKUP(Assumptions!$G$264,Data_tables!$K:$K,Data_tables!$Q:$Q)*Assumptions!$G$287))</f>
        <v>0</v>
      </c>
      <c r="BO1165" s="31">
        <f>IF(Assumptions!$G$393="No",0,+IF(BO1164=0,0,Assumptions!$G$265/1000*_xlfn.XLOOKUP(Assumptions!$G$264,Data_tables!$K:$K,Data_tables!$Q:$Q)*Assumptions!$G$287))</f>
        <v>0</v>
      </c>
      <c r="BP1165" s="31">
        <f>IF(Assumptions!$G$393="No",0,+IF(BP1164=0,0,Assumptions!$G$265/1000*_xlfn.XLOOKUP(Assumptions!$G$264,Data_tables!$K:$K,Data_tables!$Q:$Q)*Assumptions!$G$287))</f>
        <v>0</v>
      </c>
      <c r="BQ1165" s="31">
        <f>IF(Assumptions!$G$393="No",0,+IF(BQ1164=0,0,Assumptions!$G$265/1000*_xlfn.XLOOKUP(Assumptions!$G$264,Data_tables!$K:$K,Data_tables!$Q:$Q)*Assumptions!$G$287))</f>
        <v>0</v>
      </c>
      <c r="BR1165" s="31">
        <f>IF(Assumptions!$G$393="No",0,+IF(BR1164=0,0,Assumptions!$G$265/1000*_xlfn.XLOOKUP(Assumptions!$G$264,Data_tables!$K:$K,Data_tables!$Q:$Q)*Assumptions!$G$287))</f>
        <v>0</v>
      </c>
      <c r="BS1165" s="31">
        <f>IF(Assumptions!$G$393="No",0,+IF(BS1164=0,0,Assumptions!$G$265/1000*_xlfn.XLOOKUP(Assumptions!$G$264,Data_tables!$K:$K,Data_tables!$Q:$Q)*Assumptions!$G$287))</f>
        <v>0</v>
      </c>
      <c r="BT1165" s="31">
        <f>IF(Assumptions!$G$393="No",0,+IF(BT1164=0,0,Assumptions!$G$265/1000*_xlfn.XLOOKUP(Assumptions!$G$264,Data_tables!$K:$K,Data_tables!$Q:$Q)*Assumptions!$G$287))</f>
        <v>0</v>
      </c>
      <c r="BU1165" s="31">
        <f>IF(Assumptions!$G$393="No",0,+IF(BU1164=0,0,Assumptions!$G$265/1000*_xlfn.XLOOKUP(Assumptions!$G$264,Data_tables!$K:$K,Data_tables!$Q:$Q)*Assumptions!$G$287))</f>
        <v>0</v>
      </c>
      <c r="BV1165" s="31">
        <f>IF(Assumptions!$G$393="No",0,+IF(BV1164=0,0,Assumptions!$G$265/1000*_xlfn.XLOOKUP(Assumptions!$G$264,Data_tables!$K:$K,Data_tables!$Q:$Q)*Assumptions!$G$287))</f>
        <v>0</v>
      </c>
      <c r="BW1165" s="31">
        <f>IF(Assumptions!$G$393="No",0,+IF(BW1164=0,0,Assumptions!$G$265/1000*_xlfn.XLOOKUP(Assumptions!$G$264,Data_tables!$K:$K,Data_tables!$Q:$Q)*Assumptions!$G$287))</f>
        <v>0</v>
      </c>
      <c r="BX1165" s="31">
        <f>IF(Assumptions!$G$393="No",0,+IF(BX1164=0,0,Assumptions!$G$265/1000*_xlfn.XLOOKUP(Assumptions!$G$264,Data_tables!$K:$K,Data_tables!$Q:$Q)*Assumptions!$G$287))</f>
        <v>0</v>
      </c>
      <c r="BY1165" s="31">
        <f>IF(Assumptions!$G$393="No",0,+IF(BY1164=0,0,Assumptions!$G$265/1000*_xlfn.XLOOKUP(Assumptions!$G$264,Data_tables!$K:$K,Data_tables!$Q:$Q)*Assumptions!$G$287))</f>
        <v>0</v>
      </c>
    </row>
    <row r="1166" spans="5:77" outlineLevel="1">
      <c r="E1166" t="s">
        <v>608</v>
      </c>
      <c r="F1166" s="80" t="s">
        <v>159</v>
      </c>
      <c r="H1166" s="119">
        <f>IFERROR(+_xlfn.XLOOKUP(YEAR(H3),'FuelEU and ETS'!$I$8:$I$34,'FuelEU and ETS'!$O$8:$O$34),0)*Assumptions!$G$394</f>
        <v>133.34720000000002</v>
      </c>
      <c r="I1166" s="119">
        <f>IFERROR(+_xlfn.XLOOKUP(YEAR(I3),'FuelEU and ETS'!$I$8:$I$34,'FuelEU and ETS'!$O$8:$O$34),0)*Assumptions!$G$394</f>
        <v>140.49080000000001</v>
      </c>
      <c r="J1166" s="119">
        <f>IFERROR(+_xlfn.XLOOKUP(YEAR(J3),'FuelEU and ETS'!$I$8:$I$34,'FuelEU and ETS'!$O$8:$O$34),0)*Assumptions!$G$394</f>
        <v>147.6344</v>
      </c>
      <c r="K1166" s="119">
        <f>IFERROR(+_xlfn.XLOOKUP(YEAR(K3),'FuelEU and ETS'!$I$8:$I$34,'FuelEU and ETS'!$O$8:$O$34),0)*Assumptions!$G$394</f>
        <v>154.77800000000002</v>
      </c>
      <c r="L1166" s="119">
        <f>IFERROR(+_xlfn.XLOOKUP(YEAR(L3),'FuelEU and ETS'!$I$8:$I$34,'FuelEU and ETS'!$O$8:$O$34),0)*Assumptions!$G$394</f>
        <v>165.54102400000002</v>
      </c>
      <c r="M1166" s="119">
        <f>IFERROR(+_xlfn.XLOOKUP(YEAR(M3),'FuelEU and ETS'!$I$8:$I$34,'FuelEU and ETS'!$O$8:$O$34),0)*Assumptions!$G$394</f>
        <v>176.30404800000002</v>
      </c>
      <c r="N1166" s="119">
        <f>IFERROR(+_xlfn.XLOOKUP(YEAR(N3),'FuelEU and ETS'!$I$8:$I$34,'FuelEU and ETS'!$O$8:$O$34),0)*Assumptions!$G$394</f>
        <v>187.06707200000002</v>
      </c>
      <c r="O1166" s="119">
        <f>IFERROR(+_xlfn.XLOOKUP(YEAR(O3),'FuelEU and ETS'!$I$8:$I$34,'FuelEU and ETS'!$O$8:$O$34),0)*Assumptions!$G$394</f>
        <v>197.83009600000003</v>
      </c>
      <c r="P1166" s="119">
        <f>IFERROR(+_xlfn.XLOOKUP(YEAR(P3),'FuelEU and ETS'!$I$8:$I$34,'FuelEU and ETS'!$O$8:$O$34),0)*Assumptions!$G$394</f>
        <v>197.63960000000003</v>
      </c>
      <c r="Q1166" s="119">
        <f>IFERROR(+_xlfn.XLOOKUP(YEAR(Q3),'FuelEU and ETS'!$I$8:$I$34,'FuelEU and ETS'!$O$8:$O$34),0)*Assumptions!$G$394</f>
        <v>208.59312000000003</v>
      </c>
      <c r="R1166" s="119">
        <f>IFERROR(+_xlfn.XLOOKUP(YEAR(R3),'FuelEU and ETS'!$I$8:$I$34,'FuelEU and ETS'!$O$8:$O$34),0)*Assumptions!$G$394</f>
        <v>219.54664000000002</v>
      </c>
      <c r="S1166" s="119">
        <f>IFERROR(+_xlfn.XLOOKUP(YEAR(S3),'FuelEU and ETS'!$I$8:$I$34,'FuelEU and ETS'!$O$8:$O$34),0)*Assumptions!$G$394</f>
        <v>230.50016000000002</v>
      </c>
      <c r="T1166" s="119">
        <f>IFERROR(+_xlfn.XLOOKUP(YEAR(T3),'FuelEU and ETS'!$I$8:$I$34,'FuelEU and ETS'!$O$8:$O$34),0)*Assumptions!$G$394</f>
        <v>241.45368000000002</v>
      </c>
      <c r="U1166" s="119">
        <f>IFERROR(+_xlfn.XLOOKUP(YEAR(U3),'FuelEU and ETS'!$I$8:$I$34,'FuelEU and ETS'!$O$8:$O$34),0)*Assumptions!$G$394</f>
        <v>252.40720000000002</v>
      </c>
      <c r="V1166" s="119">
        <f>IFERROR(+_xlfn.XLOOKUP(YEAR(V3),'FuelEU and ETS'!$I$8:$I$34,'FuelEU and ETS'!$O$8:$O$34),0)*Assumptions!$G$394</f>
        <v>266.93252000000001</v>
      </c>
      <c r="W1166" s="119">
        <f>IFERROR(+_xlfn.XLOOKUP(YEAR(W3),'FuelEU and ETS'!$I$8:$I$34,'FuelEU and ETS'!$O$8:$O$34),0)*Assumptions!$G$394</f>
        <v>281.45784000000003</v>
      </c>
      <c r="X1166" s="119">
        <f>IFERROR(+_xlfn.XLOOKUP(YEAR(X3),'FuelEU and ETS'!$I$8:$I$34,'FuelEU and ETS'!$O$8:$O$34),0)*Assumptions!$G$394</f>
        <v>295.98316000000005</v>
      </c>
      <c r="Y1166" s="119">
        <f>IFERROR(+_xlfn.XLOOKUP(YEAR(Y3),'FuelEU and ETS'!$I$8:$I$34,'FuelEU and ETS'!$O$8:$O$34),0)*Assumptions!$G$394</f>
        <v>310.50848000000008</v>
      </c>
      <c r="Z1166" s="119">
        <f>IFERROR(+_xlfn.XLOOKUP(YEAR(Z3),'FuelEU and ETS'!$I$8:$I$34,'FuelEU and ETS'!$O$8:$O$34),0)*Assumptions!$G$394</f>
        <v>325.03380000000004</v>
      </c>
      <c r="AA1166" s="119">
        <f>IFERROR(+_xlfn.XLOOKUP(YEAR(AA3),'FuelEU and ETS'!$I$8:$I$34,'FuelEU and ETS'!$O$8:$O$34),0)*Assumptions!$G$394</f>
        <v>0</v>
      </c>
      <c r="AB1166" s="119">
        <f>IFERROR(+_xlfn.XLOOKUP(YEAR(AB3),'FuelEU and ETS'!$I$8:$I$34,'FuelEU and ETS'!$O$8:$O$34),0)*Assumptions!$G$394</f>
        <v>0</v>
      </c>
      <c r="AC1166" s="119">
        <f>IFERROR(+_xlfn.XLOOKUP(YEAR(AC3),'FuelEU and ETS'!$I$8:$I$34,'FuelEU and ETS'!$O$8:$O$34),0)*Assumptions!$G$394</f>
        <v>0</v>
      </c>
      <c r="AD1166" s="119">
        <f>IFERROR(+_xlfn.XLOOKUP(YEAR(AD3),'FuelEU and ETS'!$I$8:$I$34,'FuelEU and ETS'!$O$8:$O$34),0)*Assumptions!$G$394</f>
        <v>0</v>
      </c>
      <c r="AE1166" s="119">
        <f>IFERROR(+_xlfn.XLOOKUP(YEAR(AE3),'FuelEU and ETS'!$I$8:$I$34,'FuelEU and ETS'!$O$8:$O$34),0)*Assumptions!$G$394</f>
        <v>0</v>
      </c>
      <c r="AF1166" s="119">
        <f>IFERROR(+_xlfn.XLOOKUP(YEAR(AF3),'FuelEU and ETS'!$I$8:$I$34,'FuelEU and ETS'!$O$8:$O$34),0)*Assumptions!$G$394</f>
        <v>0</v>
      </c>
      <c r="AG1166" s="119">
        <f>IFERROR(+_xlfn.XLOOKUP(YEAR(AG3),'FuelEU and ETS'!$I$8:$I$34,'FuelEU and ETS'!$O$8:$O$34),0)*Assumptions!$G$394</f>
        <v>0</v>
      </c>
      <c r="AH1166" s="119">
        <f>IFERROR(+_xlfn.XLOOKUP(YEAR(AH3),'FuelEU and ETS'!$I$8:$I$34,'FuelEU and ETS'!$O$8:$O$34),0)*Assumptions!$G$394</f>
        <v>0</v>
      </c>
      <c r="AI1166" s="119">
        <f>IFERROR(+_xlfn.XLOOKUP(YEAR(AI3),'FuelEU and ETS'!$I$8:$I$34,'FuelEU and ETS'!$O$8:$O$34),0)*Assumptions!$G$394</f>
        <v>0</v>
      </c>
      <c r="AJ1166" s="119">
        <f>IFERROR(+_xlfn.XLOOKUP(YEAR(AJ3),'FuelEU and ETS'!$I$8:$I$34,'FuelEU and ETS'!$O$8:$O$34),0)*Assumptions!$G$394</f>
        <v>0</v>
      </c>
      <c r="AK1166" s="119">
        <f>IFERROR(+_xlfn.XLOOKUP(YEAR(AK3),'FuelEU and ETS'!$I$8:$I$34,'FuelEU and ETS'!$O$8:$O$34),0)*Assumptions!$G$394</f>
        <v>0</v>
      </c>
      <c r="AL1166" s="119">
        <f>IFERROR(+_xlfn.XLOOKUP(YEAR(AL3),'FuelEU and ETS'!$I$8:$I$34,'FuelEU and ETS'!$O$8:$O$34),0)*Assumptions!$G$394</f>
        <v>0</v>
      </c>
      <c r="AM1166" s="119">
        <f>IFERROR(+_xlfn.XLOOKUP(YEAR(AM3),'FuelEU and ETS'!$I$8:$I$34,'FuelEU and ETS'!$O$8:$O$34),0)*Assumptions!$G$394</f>
        <v>0</v>
      </c>
      <c r="AN1166" s="119">
        <f>IFERROR(+_xlfn.XLOOKUP(YEAR(AN3),'FuelEU and ETS'!$I$8:$I$34,'FuelEU and ETS'!$O$8:$O$34),0)*Assumptions!$G$394</f>
        <v>0</v>
      </c>
      <c r="AO1166" s="119">
        <f>IFERROR(+_xlfn.XLOOKUP(YEAR(AO3),'FuelEU and ETS'!$I$8:$I$34,'FuelEU and ETS'!$O$8:$O$34),0)*Assumptions!$G$394</f>
        <v>0</v>
      </c>
      <c r="AP1166" s="119">
        <f>IFERROR(+_xlfn.XLOOKUP(YEAR(AP3),'FuelEU and ETS'!$I$8:$I$34,'FuelEU and ETS'!$O$8:$O$34),0)*Assumptions!$G$394</f>
        <v>0</v>
      </c>
      <c r="AQ1166" s="119">
        <f>IFERROR(+_xlfn.XLOOKUP(YEAR(AQ3),'FuelEU and ETS'!$I$8:$I$34,'FuelEU and ETS'!$O$8:$O$34),0)*Assumptions!$G$394</f>
        <v>0</v>
      </c>
      <c r="AR1166" s="119">
        <f>IFERROR(+_xlfn.XLOOKUP(YEAR(AR3),'FuelEU and ETS'!$I$8:$I$34,'FuelEU and ETS'!$O$8:$O$34),0)*Assumptions!$G$394</f>
        <v>0</v>
      </c>
      <c r="AS1166" s="119">
        <f>IFERROR(+_xlfn.XLOOKUP(YEAR(AS3),'FuelEU and ETS'!$I$8:$I$34,'FuelEU and ETS'!$O$8:$O$34),0)*Assumptions!$G$394</f>
        <v>0</v>
      </c>
      <c r="AT1166" s="119">
        <f>IFERROR(+_xlfn.XLOOKUP(YEAR(AT3),'FuelEU and ETS'!$I$8:$I$34,'FuelEU and ETS'!$O$8:$O$34),0)*Assumptions!$G$394</f>
        <v>0</v>
      </c>
      <c r="AU1166" s="119">
        <f>IFERROR(+_xlfn.XLOOKUP(YEAR(AU3),'FuelEU and ETS'!$I$8:$I$34,'FuelEU and ETS'!$O$8:$O$34),0)*Assumptions!$G$394</f>
        <v>0</v>
      </c>
      <c r="AV1166" s="119">
        <f>IFERROR(+_xlfn.XLOOKUP(YEAR(AV3),'FuelEU and ETS'!$I$8:$I$34,'FuelEU and ETS'!$O$8:$O$34),0)*Assumptions!$G$394</f>
        <v>0</v>
      </c>
      <c r="AW1166" s="119">
        <f>IFERROR(+_xlfn.XLOOKUP(YEAR(AW3),'FuelEU and ETS'!$I$8:$I$34,'FuelEU and ETS'!$O$8:$O$34),0)*Assumptions!$G$394</f>
        <v>0</v>
      </c>
      <c r="AX1166" s="119">
        <f>IFERROR(+_xlfn.XLOOKUP(YEAR(AX3),'FuelEU and ETS'!$I$8:$I$34,'FuelEU and ETS'!$O$8:$O$34),0)*Assumptions!$G$394</f>
        <v>0</v>
      </c>
      <c r="AY1166" s="119">
        <f>IFERROR(+_xlfn.XLOOKUP(YEAR(AY3),'FuelEU and ETS'!$I$8:$I$34,'FuelEU and ETS'!$O$8:$O$34),0)*Assumptions!$G$394</f>
        <v>0</v>
      </c>
      <c r="AZ1166" s="119">
        <f>IFERROR(+_xlfn.XLOOKUP(YEAR(AZ3),'FuelEU and ETS'!$I$8:$I$34,'FuelEU and ETS'!$O$8:$O$34),0)*Assumptions!$G$394</f>
        <v>0</v>
      </c>
      <c r="BA1166" s="119">
        <f>IFERROR(+_xlfn.XLOOKUP(YEAR(BA3),'FuelEU and ETS'!$I$8:$I$34,'FuelEU and ETS'!$O$8:$O$34),0)*Assumptions!$G$394</f>
        <v>0</v>
      </c>
      <c r="BB1166" s="119">
        <f>IFERROR(+_xlfn.XLOOKUP(YEAR(BB3),'FuelEU and ETS'!$I$8:$I$34,'FuelEU and ETS'!$O$8:$O$34),0)*Assumptions!$G$394</f>
        <v>0</v>
      </c>
      <c r="BC1166" s="119">
        <f>IFERROR(+_xlfn.XLOOKUP(YEAR(BC3),'FuelEU and ETS'!$I$8:$I$34,'FuelEU and ETS'!$O$8:$O$34),0)*Assumptions!$G$394</f>
        <v>0</v>
      </c>
      <c r="BD1166" s="119">
        <f>IFERROR(+_xlfn.XLOOKUP(YEAR(BD3),'FuelEU and ETS'!$I$8:$I$34,'FuelEU and ETS'!$O$8:$O$34),0)*Assumptions!$G$394</f>
        <v>0</v>
      </c>
      <c r="BE1166" s="119">
        <f>IFERROR(+_xlfn.XLOOKUP(YEAR(BE3),'FuelEU and ETS'!$I$8:$I$34,'FuelEU and ETS'!$O$8:$O$34),0)*Assumptions!$G$394</f>
        <v>0</v>
      </c>
      <c r="BF1166" s="119">
        <f>IFERROR(+_xlfn.XLOOKUP(YEAR(BF3),'FuelEU and ETS'!$I$8:$I$34,'FuelEU and ETS'!$O$8:$O$34),0)*Assumptions!$G$394</f>
        <v>0</v>
      </c>
      <c r="BG1166" s="119">
        <f>IFERROR(+_xlfn.XLOOKUP(YEAR(BG3),'FuelEU and ETS'!$I$8:$I$34,'FuelEU and ETS'!$O$8:$O$34),0)*Assumptions!$G$394</f>
        <v>0</v>
      </c>
      <c r="BH1166" s="119">
        <f>IFERROR(+_xlfn.XLOOKUP(YEAR(BH3),'FuelEU and ETS'!$I$8:$I$34,'FuelEU and ETS'!$O$8:$O$34),0)*Assumptions!$G$394</f>
        <v>0</v>
      </c>
      <c r="BI1166" s="119">
        <f>IFERROR(+_xlfn.XLOOKUP(YEAR(BI3),'FuelEU and ETS'!$I$8:$I$34,'FuelEU and ETS'!$O$8:$O$34),0)*Assumptions!$G$394</f>
        <v>0</v>
      </c>
      <c r="BJ1166" s="119">
        <f>IFERROR(+_xlfn.XLOOKUP(YEAR(BJ3),'FuelEU and ETS'!$I$8:$I$34,'FuelEU and ETS'!$O$8:$O$34),0)*Assumptions!$G$394</f>
        <v>0</v>
      </c>
      <c r="BK1166" s="119">
        <f>IFERROR(+_xlfn.XLOOKUP(YEAR(BK3),'FuelEU and ETS'!$I$8:$I$34,'FuelEU and ETS'!$O$8:$O$34),0)*Assumptions!$G$394</f>
        <v>0</v>
      </c>
      <c r="BL1166" s="119">
        <f>IFERROR(+_xlfn.XLOOKUP(YEAR(BL3),'FuelEU and ETS'!$I$8:$I$34,'FuelEU and ETS'!$O$8:$O$34),0)*Assumptions!$G$394</f>
        <v>0</v>
      </c>
      <c r="BM1166" s="119">
        <f>IFERROR(+_xlfn.XLOOKUP(YEAR(BM3),'FuelEU and ETS'!$I$8:$I$34,'FuelEU and ETS'!$O$8:$O$34),0)*Assumptions!$G$394</f>
        <v>0</v>
      </c>
      <c r="BN1166" s="119">
        <f>IFERROR(+_xlfn.XLOOKUP(YEAR(BN3),'FuelEU and ETS'!$I$8:$I$34,'FuelEU and ETS'!$O$8:$O$34),0)*Assumptions!$G$394</f>
        <v>0</v>
      </c>
      <c r="BO1166" s="119">
        <f>IFERROR(+_xlfn.XLOOKUP(YEAR(BO3),'FuelEU and ETS'!$I$8:$I$34,'FuelEU and ETS'!$O$8:$O$34),0)*Assumptions!$G$394</f>
        <v>0</v>
      </c>
      <c r="BP1166" s="119">
        <f>IFERROR(+_xlfn.XLOOKUP(YEAR(BP3),'FuelEU and ETS'!$I$8:$I$34,'FuelEU and ETS'!$O$8:$O$34),0)*Assumptions!$G$394</f>
        <v>0</v>
      </c>
      <c r="BQ1166" s="119">
        <f>IFERROR(+_xlfn.XLOOKUP(YEAR(BQ3),'FuelEU and ETS'!$I$8:$I$34,'FuelEU and ETS'!$O$8:$O$34),0)*Assumptions!$G$394</f>
        <v>0</v>
      </c>
      <c r="BR1166" s="119">
        <f>IFERROR(+_xlfn.XLOOKUP(YEAR(BR3),'FuelEU and ETS'!$I$8:$I$34,'FuelEU and ETS'!$O$8:$O$34),0)*Assumptions!$G$394</f>
        <v>0</v>
      </c>
      <c r="BS1166" s="119">
        <f>IFERROR(+_xlfn.XLOOKUP(YEAR(BS3),'FuelEU and ETS'!$I$8:$I$34,'FuelEU and ETS'!$O$8:$O$34),0)*Assumptions!$G$394</f>
        <v>0</v>
      </c>
      <c r="BT1166" s="119">
        <f>IFERROR(+_xlfn.XLOOKUP(YEAR(BT3),'FuelEU and ETS'!$I$8:$I$34,'FuelEU and ETS'!$O$8:$O$34),0)*Assumptions!$G$394</f>
        <v>0</v>
      </c>
      <c r="BU1166" s="119">
        <f>IFERROR(+_xlfn.XLOOKUP(YEAR(BU3),'FuelEU and ETS'!$I$8:$I$34,'FuelEU and ETS'!$O$8:$O$34),0)*Assumptions!$G$394</f>
        <v>0</v>
      </c>
      <c r="BV1166" s="119">
        <f>IFERROR(+_xlfn.XLOOKUP(YEAR(BV3),'FuelEU and ETS'!$I$8:$I$34,'FuelEU and ETS'!$O$8:$O$34),0)*Assumptions!$G$394</f>
        <v>0</v>
      </c>
      <c r="BW1166" s="119">
        <f>IFERROR(+_xlfn.XLOOKUP(YEAR(BW3),'FuelEU and ETS'!$I$8:$I$34,'FuelEU and ETS'!$O$8:$O$34),0)*Assumptions!$G$394</f>
        <v>0</v>
      </c>
      <c r="BX1166" s="119">
        <f>IFERROR(+_xlfn.XLOOKUP(YEAR(BX3),'FuelEU and ETS'!$I$8:$I$34,'FuelEU and ETS'!$O$8:$O$34),0)*Assumptions!$G$394</f>
        <v>0</v>
      </c>
      <c r="BY1166" s="119">
        <f>IFERROR(+_xlfn.XLOOKUP(YEAR(BY3),'FuelEU and ETS'!$I$8:$I$34,'FuelEU and ETS'!$O$8:$O$34),0)*Assumptions!$G$394</f>
        <v>0</v>
      </c>
    </row>
    <row r="1167" spans="5:77" outlineLevel="1">
      <c r="E1167" t="s">
        <v>609</v>
      </c>
      <c r="F1167" s="80" t="s">
        <v>159</v>
      </c>
      <c r="H1167" s="119">
        <f>+IF(Assumptions!$G$393="Yes",(IFERROR(IF(_xlfn.XLOOKUP(Assumptions!$G$24,Data_tables!$K:$K,Data_tables!$R:$R)=1,-H1164*H1166,0),0)+IFERROR(IF(_xlfn.XLOOKUP(Assumptions!$G$264,Data_tables!$K:$K,Data_tables!$R:$R)=1,-H1165*H1166,0),0)),0)</f>
        <v>0</v>
      </c>
      <c r="I1167" s="119">
        <f>+IF(Assumptions!$G$393="Yes",(IFERROR(IF(_xlfn.XLOOKUP(Assumptions!$G$24,Data_tables!$K:$K,Data_tables!$R:$R)=1,-I1164*I1166,0),0)+IFERROR(IF(_xlfn.XLOOKUP(Assumptions!$G$264,Data_tables!$K:$K,Data_tables!$R:$R)=1,-I1165*I1166,0),0)),0)</f>
        <v>0</v>
      </c>
      <c r="J1167" s="119">
        <f>+IF(Assumptions!$G$393="Yes",(IFERROR(IF(_xlfn.XLOOKUP(Assumptions!$G$24,Data_tables!$K:$K,Data_tables!$R:$R)=1,-J1164*J1166,0),0)+IFERROR(IF(_xlfn.XLOOKUP(Assumptions!$G$264,Data_tables!$K:$K,Data_tables!$R:$R)=1,-J1165*J1166,0),0)),0)</f>
        <v>0</v>
      </c>
      <c r="K1167" s="119">
        <f>+IF(Assumptions!$G$393="Yes",(IFERROR(IF(_xlfn.XLOOKUP(Assumptions!$G$24,Data_tables!$K:$K,Data_tables!$R:$R)=1,-K1164*K1166,0),0)+IFERROR(IF(_xlfn.XLOOKUP(Assumptions!$G$264,Data_tables!$K:$K,Data_tables!$R:$R)=1,-K1165*K1166,0),0)),0)</f>
        <v>0</v>
      </c>
      <c r="L1167" s="119">
        <f>+IF(Assumptions!$G$393="Yes",(IFERROR(IF(_xlfn.XLOOKUP(Assumptions!$G$24,Data_tables!$K:$K,Data_tables!$R:$R)=1,-L1164*L1166,0),0)+IFERROR(IF(_xlfn.XLOOKUP(Assumptions!$G$264,Data_tables!$K:$K,Data_tables!$R:$R)=1,-L1165*L1166,0),0)),0)</f>
        <v>0</v>
      </c>
      <c r="M1167" s="119">
        <f>+IF(Assumptions!$G$393="Yes",(IFERROR(IF(_xlfn.XLOOKUP(Assumptions!$G$24,Data_tables!$K:$K,Data_tables!$R:$R)=1,-M1164*M1166,0),0)+IFERROR(IF(_xlfn.XLOOKUP(Assumptions!$G$264,Data_tables!$K:$K,Data_tables!$R:$R)=1,-M1165*M1166,0),0)),0)</f>
        <v>0</v>
      </c>
      <c r="N1167" s="119">
        <f>+IF(Assumptions!$G$393="Yes",(IFERROR(IF(_xlfn.XLOOKUP(Assumptions!$G$24,Data_tables!$K:$K,Data_tables!$R:$R)=1,-N1164*N1166,0),0)+IFERROR(IF(_xlfn.XLOOKUP(Assumptions!$G$264,Data_tables!$K:$K,Data_tables!$R:$R)=1,-N1165*N1166,0),0)),0)</f>
        <v>0</v>
      </c>
      <c r="O1167" s="119">
        <f>+IF(Assumptions!$G$393="Yes",(IFERROR(IF(_xlfn.XLOOKUP(Assumptions!$G$24,Data_tables!$K:$K,Data_tables!$R:$R)=1,-O1164*O1166,0),0)+IFERROR(IF(_xlfn.XLOOKUP(Assumptions!$G$264,Data_tables!$K:$K,Data_tables!$R:$R)=1,-O1165*O1166,0),0)),0)</f>
        <v>0</v>
      </c>
      <c r="P1167" s="119">
        <f>+IF(Assumptions!$G$393="Yes",(IFERROR(IF(_xlfn.XLOOKUP(Assumptions!$G$24,Data_tables!$K:$K,Data_tables!$R:$R)=1,-P1164*P1166,0),0)+IFERROR(IF(_xlfn.XLOOKUP(Assumptions!$G$264,Data_tables!$K:$K,Data_tables!$R:$R)=1,-P1165*P1166,0),0)),0)</f>
        <v>0</v>
      </c>
      <c r="Q1167" s="119">
        <f>+IF(Assumptions!$G$393="Yes",(IFERROR(IF(_xlfn.XLOOKUP(Assumptions!$G$24,Data_tables!$K:$K,Data_tables!$R:$R)=1,-Q1164*Q1166,0),0)+IFERROR(IF(_xlfn.XLOOKUP(Assumptions!$G$264,Data_tables!$K:$K,Data_tables!$R:$R)=1,-Q1165*Q1166,0),0)),0)</f>
        <v>0</v>
      </c>
      <c r="R1167" s="119">
        <f>+IF(Assumptions!$G$393="Yes",(IFERROR(IF(_xlfn.XLOOKUP(Assumptions!$G$24,Data_tables!$K:$K,Data_tables!$R:$R)=1,-R1164*R1166,0),0)+IFERROR(IF(_xlfn.XLOOKUP(Assumptions!$G$264,Data_tables!$K:$K,Data_tables!$R:$R)=1,-R1165*R1166,0),0)),0)</f>
        <v>0</v>
      </c>
      <c r="S1167" s="119">
        <f>+IF(Assumptions!$G$393="Yes",(IFERROR(IF(_xlfn.XLOOKUP(Assumptions!$G$24,Data_tables!$K:$K,Data_tables!$R:$R)=1,-S1164*S1166,0),0)+IFERROR(IF(_xlfn.XLOOKUP(Assumptions!$G$264,Data_tables!$K:$K,Data_tables!$R:$R)=1,-S1165*S1166,0),0)),0)</f>
        <v>0</v>
      </c>
      <c r="T1167" s="119">
        <f>+IF(Assumptions!$G$393="Yes",(IFERROR(IF(_xlfn.XLOOKUP(Assumptions!$G$24,Data_tables!$K:$K,Data_tables!$R:$R)=1,-T1164*T1166,0),0)+IFERROR(IF(_xlfn.XLOOKUP(Assumptions!$G$264,Data_tables!$K:$K,Data_tables!$R:$R)=1,-T1165*T1166,0),0)),0)</f>
        <v>0</v>
      </c>
      <c r="U1167" s="119">
        <f>+IF(Assumptions!$G$393="Yes",(IFERROR(IF(_xlfn.XLOOKUP(Assumptions!$G$24,Data_tables!$K:$K,Data_tables!$R:$R)=1,-U1164*U1166,0),0)+IFERROR(IF(_xlfn.XLOOKUP(Assumptions!$G$264,Data_tables!$K:$K,Data_tables!$R:$R)=1,-U1165*U1166,0),0)),0)</f>
        <v>0</v>
      </c>
      <c r="V1167" s="119">
        <f>+IF(Assumptions!$G$393="Yes",(IFERROR(IF(_xlfn.XLOOKUP(Assumptions!$G$24,Data_tables!$K:$K,Data_tables!$R:$R)=1,-V1164*V1166,0),0)+IFERROR(IF(_xlfn.XLOOKUP(Assumptions!$G$264,Data_tables!$K:$K,Data_tables!$R:$R)=1,-V1165*V1166,0),0)),0)</f>
        <v>0</v>
      </c>
      <c r="W1167" s="119">
        <f>+IF(Assumptions!$G$393="Yes",(IFERROR(IF(_xlfn.XLOOKUP(Assumptions!$G$24,Data_tables!$K:$K,Data_tables!$R:$R)=1,-W1164*W1166,0),0)+IFERROR(IF(_xlfn.XLOOKUP(Assumptions!$G$264,Data_tables!$K:$K,Data_tables!$R:$R)=1,-W1165*W1166,0),0)),0)</f>
        <v>0</v>
      </c>
      <c r="X1167" s="119">
        <f>+IF(Assumptions!$G$393="Yes",(IFERROR(IF(_xlfn.XLOOKUP(Assumptions!$G$24,Data_tables!$K:$K,Data_tables!$R:$R)=1,-X1164*X1166,0),0)+IFERROR(IF(_xlfn.XLOOKUP(Assumptions!$G$264,Data_tables!$K:$K,Data_tables!$R:$R)=1,-X1165*X1166,0),0)),0)</f>
        <v>0</v>
      </c>
      <c r="Y1167" s="119">
        <f>+IF(Assumptions!$G$393="Yes",(IFERROR(IF(_xlfn.XLOOKUP(Assumptions!$G$24,Data_tables!$K:$K,Data_tables!$R:$R)=1,-Y1164*Y1166,0),0)+IFERROR(IF(_xlfn.XLOOKUP(Assumptions!$G$264,Data_tables!$K:$K,Data_tables!$R:$R)=1,-Y1165*Y1166,0),0)),0)</f>
        <v>0</v>
      </c>
      <c r="Z1167" s="119">
        <f>+IF(Assumptions!$G$393="Yes",(IFERROR(IF(_xlfn.XLOOKUP(Assumptions!$G$24,Data_tables!$K:$K,Data_tables!$R:$R)=1,-Z1164*Z1166,0),0)+IFERROR(IF(_xlfn.XLOOKUP(Assumptions!$G$264,Data_tables!$K:$K,Data_tables!$R:$R)=1,-Z1165*Z1166,0),0)),0)</f>
        <v>0</v>
      </c>
      <c r="AA1167" s="119">
        <f>+IF(Assumptions!$G$393="Yes",(IFERROR(IF(_xlfn.XLOOKUP(Assumptions!$G$24,Data_tables!$K:$K,Data_tables!$R:$R)=1,-AA1164*AA1166,0),0)+IFERROR(IF(_xlfn.XLOOKUP(Assumptions!$G$264,Data_tables!$K:$K,Data_tables!$R:$R)=1,-AA1165*AA1166,0),0)),0)</f>
        <v>0</v>
      </c>
      <c r="AB1167" s="119">
        <f>+IF(Assumptions!$G$393="Yes",(IFERROR(IF(_xlfn.XLOOKUP(Assumptions!$G$24,Data_tables!$K:$K,Data_tables!$R:$R)=1,-AB1164*AB1166,0),0)+IFERROR(IF(_xlfn.XLOOKUP(Assumptions!$G$264,Data_tables!$K:$K,Data_tables!$R:$R)=1,-AB1165*AB1166,0),0)),0)</f>
        <v>0</v>
      </c>
      <c r="AC1167" s="119">
        <f>+IF(Assumptions!$G$393="Yes",(IFERROR(IF(_xlfn.XLOOKUP(Assumptions!$G$24,Data_tables!$K:$K,Data_tables!$R:$R)=1,-AC1164*AC1166,0),0)+IFERROR(IF(_xlfn.XLOOKUP(Assumptions!$G$264,Data_tables!$K:$K,Data_tables!$R:$R)=1,-AC1165*AC1166,0),0)),0)</f>
        <v>0</v>
      </c>
      <c r="AD1167" s="119">
        <f>+IF(Assumptions!$G$393="Yes",(IFERROR(IF(_xlfn.XLOOKUP(Assumptions!$G$24,Data_tables!$K:$K,Data_tables!$R:$R)=1,-AD1164*AD1166,0),0)+IFERROR(IF(_xlfn.XLOOKUP(Assumptions!$G$264,Data_tables!$K:$K,Data_tables!$R:$R)=1,-AD1165*AD1166,0),0)),0)</f>
        <v>0</v>
      </c>
      <c r="AE1167" s="119">
        <f>+IF(Assumptions!$G$393="Yes",(IFERROR(IF(_xlfn.XLOOKUP(Assumptions!$G$24,Data_tables!$K:$K,Data_tables!$R:$R)=1,-AE1164*AE1166,0),0)+IFERROR(IF(_xlfn.XLOOKUP(Assumptions!$G$264,Data_tables!$K:$K,Data_tables!$R:$R)=1,-AE1165*AE1166,0),0)),0)</f>
        <v>0</v>
      </c>
      <c r="AF1167" s="119">
        <f>+IF(Assumptions!$G$393="Yes",(IFERROR(IF(_xlfn.XLOOKUP(Assumptions!$G$24,Data_tables!$K:$K,Data_tables!$R:$R)=1,-AF1164*AF1166,0),0)+IFERROR(IF(_xlfn.XLOOKUP(Assumptions!$G$264,Data_tables!$K:$K,Data_tables!$R:$R)=1,-AF1165*AF1166,0),0)),0)</f>
        <v>0</v>
      </c>
      <c r="AG1167" s="119">
        <f>+IF(Assumptions!$G$393="Yes",(IFERROR(IF(_xlfn.XLOOKUP(Assumptions!$G$24,Data_tables!$K:$K,Data_tables!$R:$R)=1,-AG1164*AG1166,0),0)+IFERROR(IF(_xlfn.XLOOKUP(Assumptions!$G$264,Data_tables!$K:$K,Data_tables!$R:$R)=1,-AG1165*AG1166,0),0)),0)</f>
        <v>0</v>
      </c>
      <c r="AH1167" s="119">
        <f>+IF(Assumptions!$G$393="Yes",(IFERROR(IF(_xlfn.XLOOKUP(Assumptions!$G$24,Data_tables!$K:$K,Data_tables!$R:$R)=1,-AH1164*AH1166,0),0)+IFERROR(IF(_xlfn.XLOOKUP(Assumptions!$G$264,Data_tables!$K:$K,Data_tables!$R:$R)=1,-AH1165*AH1166,0),0)),0)</f>
        <v>0</v>
      </c>
      <c r="AI1167" s="119">
        <f>+IF(Assumptions!$G$393="Yes",(IFERROR(IF(_xlfn.XLOOKUP(Assumptions!$G$24,Data_tables!$K:$K,Data_tables!$R:$R)=1,-AI1164*AI1166,0),0)+IFERROR(IF(_xlfn.XLOOKUP(Assumptions!$G$264,Data_tables!$K:$K,Data_tables!$R:$R)=1,-AI1165*AI1166,0),0)),0)</f>
        <v>0</v>
      </c>
      <c r="AJ1167" s="119">
        <f>+IF(Assumptions!$G$393="Yes",(IFERROR(IF(_xlfn.XLOOKUP(Assumptions!$G$24,Data_tables!$K:$K,Data_tables!$R:$R)=1,-AJ1164*AJ1166,0),0)+IFERROR(IF(_xlfn.XLOOKUP(Assumptions!$G$264,Data_tables!$K:$K,Data_tables!$R:$R)=1,-AJ1165*AJ1166,0),0)),0)</f>
        <v>0</v>
      </c>
      <c r="AK1167" s="119">
        <f>+IF(Assumptions!$G$393="Yes",(IFERROR(IF(_xlfn.XLOOKUP(Assumptions!$G$24,Data_tables!$K:$K,Data_tables!$R:$R)=1,-AK1164*AK1166,0),0)+IFERROR(IF(_xlfn.XLOOKUP(Assumptions!$G$264,Data_tables!$K:$K,Data_tables!$R:$R)=1,-AK1165*AK1166,0),0)),0)</f>
        <v>0</v>
      </c>
      <c r="AL1167" s="119">
        <f>+IF(Assumptions!$G$393="Yes",(IFERROR(IF(_xlfn.XLOOKUP(Assumptions!$G$24,Data_tables!$K:$K,Data_tables!$R:$R)=1,-AL1164*AL1166,0),0)+IFERROR(IF(_xlfn.XLOOKUP(Assumptions!$G$264,Data_tables!$K:$K,Data_tables!$R:$R)=1,-AL1165*AL1166,0),0)),0)</f>
        <v>0</v>
      </c>
      <c r="AM1167" s="119">
        <f>+IF(Assumptions!$G$393="Yes",(IFERROR(IF(_xlfn.XLOOKUP(Assumptions!$G$24,Data_tables!$K:$K,Data_tables!$R:$R)=1,-AM1164*AM1166,0),0)+IFERROR(IF(_xlfn.XLOOKUP(Assumptions!$G$264,Data_tables!$K:$K,Data_tables!$R:$R)=1,-AM1165*AM1166,0),0)),0)</f>
        <v>0</v>
      </c>
      <c r="AN1167" s="119">
        <f>+IF(Assumptions!$G$393="Yes",(IFERROR(IF(_xlfn.XLOOKUP(Assumptions!$G$24,Data_tables!$K:$K,Data_tables!$R:$R)=1,-AN1164*AN1166,0),0)+IFERROR(IF(_xlfn.XLOOKUP(Assumptions!$G$264,Data_tables!$K:$K,Data_tables!$R:$R)=1,-AN1165*AN1166,0),0)),0)</f>
        <v>0</v>
      </c>
      <c r="AO1167" s="119">
        <f>+IF(Assumptions!$G$393="Yes",(IFERROR(IF(_xlfn.XLOOKUP(Assumptions!$G$24,Data_tables!$K:$K,Data_tables!$R:$R)=1,-AO1164*AO1166,0),0)+IFERROR(IF(_xlfn.XLOOKUP(Assumptions!$G$264,Data_tables!$K:$K,Data_tables!$R:$R)=1,-AO1165*AO1166,0),0)),0)</f>
        <v>0</v>
      </c>
      <c r="AP1167" s="119">
        <f>+IF(Assumptions!$G$393="Yes",(IFERROR(IF(_xlfn.XLOOKUP(Assumptions!$G$24,Data_tables!$K:$K,Data_tables!$R:$R)=1,-AP1164*AP1166,0),0)+IFERROR(IF(_xlfn.XLOOKUP(Assumptions!$G$264,Data_tables!$K:$K,Data_tables!$R:$R)=1,-AP1165*AP1166,0),0)),0)</f>
        <v>0</v>
      </c>
      <c r="AQ1167" s="119">
        <f>+IF(Assumptions!$G$393="Yes",(IFERROR(IF(_xlfn.XLOOKUP(Assumptions!$G$24,Data_tables!$K:$K,Data_tables!$R:$R)=1,-AQ1164*AQ1166,0),0)+IFERROR(IF(_xlfn.XLOOKUP(Assumptions!$G$264,Data_tables!$K:$K,Data_tables!$R:$R)=1,-AQ1165*AQ1166,0),0)),0)</f>
        <v>0</v>
      </c>
      <c r="AR1167" s="119">
        <f>+IF(Assumptions!$G$393="Yes",(IFERROR(IF(_xlfn.XLOOKUP(Assumptions!$G$24,Data_tables!$K:$K,Data_tables!$R:$R)=1,-AR1164*AR1166,0),0)+IFERROR(IF(_xlfn.XLOOKUP(Assumptions!$G$264,Data_tables!$K:$K,Data_tables!$R:$R)=1,-AR1165*AR1166,0),0)),0)</f>
        <v>0</v>
      </c>
      <c r="AS1167" s="119">
        <f>+IF(Assumptions!$G$393="Yes",(IFERROR(IF(_xlfn.XLOOKUP(Assumptions!$G$24,Data_tables!$K:$K,Data_tables!$R:$R)=1,-AS1164*AS1166,0),0)+IFERROR(IF(_xlfn.XLOOKUP(Assumptions!$G$264,Data_tables!$K:$K,Data_tables!$R:$R)=1,-AS1165*AS1166,0),0)),0)</f>
        <v>0</v>
      </c>
      <c r="AT1167" s="119">
        <f>+IF(Assumptions!$G$393="Yes",(IFERROR(IF(_xlfn.XLOOKUP(Assumptions!$G$24,Data_tables!$K:$K,Data_tables!$R:$R)=1,-AT1164*AT1166,0),0)+IFERROR(IF(_xlfn.XLOOKUP(Assumptions!$G$264,Data_tables!$K:$K,Data_tables!$R:$R)=1,-AT1165*AT1166,0),0)),0)</f>
        <v>0</v>
      </c>
      <c r="AU1167" s="119">
        <f>+IF(Assumptions!$G$393="Yes",(IFERROR(IF(_xlfn.XLOOKUP(Assumptions!$G$24,Data_tables!$K:$K,Data_tables!$R:$R)=1,-AU1164*AU1166,0),0)+IFERROR(IF(_xlfn.XLOOKUP(Assumptions!$G$264,Data_tables!$K:$K,Data_tables!$R:$R)=1,-AU1165*AU1166,0),0)),0)</f>
        <v>0</v>
      </c>
      <c r="AV1167" s="119">
        <f>+IF(Assumptions!$G$393="Yes",(IFERROR(IF(_xlfn.XLOOKUP(Assumptions!$G$24,Data_tables!$K:$K,Data_tables!$R:$R)=1,-AV1164*AV1166,0),0)+IFERROR(IF(_xlfn.XLOOKUP(Assumptions!$G$264,Data_tables!$K:$K,Data_tables!$R:$R)=1,-AV1165*AV1166,0),0)),0)</f>
        <v>0</v>
      </c>
      <c r="AW1167" s="119">
        <f>+IF(Assumptions!$G$393="Yes",(IFERROR(IF(_xlfn.XLOOKUP(Assumptions!$G$24,Data_tables!$K:$K,Data_tables!$R:$R)=1,-AW1164*AW1166,0),0)+IFERROR(IF(_xlfn.XLOOKUP(Assumptions!$G$264,Data_tables!$K:$K,Data_tables!$R:$R)=1,-AW1165*AW1166,0),0)),0)</f>
        <v>0</v>
      </c>
      <c r="AX1167" s="119">
        <f>+IF(Assumptions!$G$393="Yes",(IFERROR(IF(_xlfn.XLOOKUP(Assumptions!$G$24,Data_tables!$K:$K,Data_tables!$R:$R)=1,-AX1164*AX1166,0),0)+IFERROR(IF(_xlfn.XLOOKUP(Assumptions!$G$264,Data_tables!$K:$K,Data_tables!$R:$R)=1,-AX1165*AX1166,0),0)),0)</f>
        <v>0</v>
      </c>
      <c r="AY1167" s="119">
        <f>+IF(Assumptions!$G$393="Yes",(IFERROR(IF(_xlfn.XLOOKUP(Assumptions!$G$24,Data_tables!$K:$K,Data_tables!$R:$R)=1,-AY1164*AY1166,0),0)+IFERROR(IF(_xlfn.XLOOKUP(Assumptions!$G$264,Data_tables!$K:$K,Data_tables!$R:$R)=1,-AY1165*AY1166,0),0)),0)</f>
        <v>0</v>
      </c>
      <c r="AZ1167" s="119">
        <f>+IF(Assumptions!$G$393="Yes",(IFERROR(IF(_xlfn.XLOOKUP(Assumptions!$G$24,Data_tables!$K:$K,Data_tables!$R:$R)=1,-AZ1164*AZ1166,0),0)+IFERROR(IF(_xlfn.XLOOKUP(Assumptions!$G$264,Data_tables!$K:$K,Data_tables!$R:$R)=1,-AZ1165*AZ1166,0),0)),0)</f>
        <v>0</v>
      </c>
      <c r="BA1167" s="119">
        <f>+IF(Assumptions!$G$393="Yes",(IFERROR(IF(_xlfn.XLOOKUP(Assumptions!$G$24,Data_tables!$K:$K,Data_tables!$R:$R)=1,-BA1164*BA1166,0),0)+IFERROR(IF(_xlfn.XLOOKUP(Assumptions!$G$264,Data_tables!$K:$K,Data_tables!$R:$R)=1,-BA1165*BA1166,0),0)),0)</f>
        <v>0</v>
      </c>
      <c r="BB1167" s="119">
        <f>+IF(Assumptions!$G$393="Yes",(IFERROR(IF(_xlfn.XLOOKUP(Assumptions!$G$24,Data_tables!$K:$K,Data_tables!$R:$R)=1,-BB1164*BB1166,0),0)+IFERROR(IF(_xlfn.XLOOKUP(Assumptions!$G$264,Data_tables!$K:$K,Data_tables!$R:$R)=1,-BB1165*BB1166,0),0)),0)</f>
        <v>0</v>
      </c>
      <c r="BC1167" s="119">
        <f>+IF(Assumptions!$G$393="Yes",(IFERROR(IF(_xlfn.XLOOKUP(Assumptions!$G$24,Data_tables!$K:$K,Data_tables!$R:$R)=1,-BC1164*BC1166,0),0)+IFERROR(IF(_xlfn.XLOOKUP(Assumptions!$G$264,Data_tables!$K:$K,Data_tables!$R:$R)=1,-BC1165*BC1166,0),0)),0)</f>
        <v>0</v>
      </c>
      <c r="BD1167" s="119">
        <f>+IF(Assumptions!$G$393="Yes",(IFERROR(IF(_xlfn.XLOOKUP(Assumptions!$G$24,Data_tables!$K:$K,Data_tables!$R:$R)=1,-BD1164*BD1166,0),0)+IFERROR(IF(_xlfn.XLOOKUP(Assumptions!$G$264,Data_tables!$K:$K,Data_tables!$R:$R)=1,-BD1165*BD1166,0),0)),0)</f>
        <v>0</v>
      </c>
      <c r="BE1167" s="119">
        <f>+IF(Assumptions!$G$393="Yes",(IFERROR(IF(_xlfn.XLOOKUP(Assumptions!$G$24,Data_tables!$K:$K,Data_tables!$R:$R)=1,-BE1164*BE1166,0),0)+IFERROR(IF(_xlfn.XLOOKUP(Assumptions!$G$264,Data_tables!$K:$K,Data_tables!$R:$R)=1,-BE1165*BE1166,0),0)),0)</f>
        <v>0</v>
      </c>
      <c r="BF1167" s="119">
        <f>+IF(Assumptions!$G$393="Yes",(IFERROR(IF(_xlfn.XLOOKUP(Assumptions!$G$24,Data_tables!$K:$K,Data_tables!$R:$R)=1,-BF1164*BF1166,0),0)+IFERROR(IF(_xlfn.XLOOKUP(Assumptions!$G$264,Data_tables!$K:$K,Data_tables!$R:$R)=1,-BF1165*BF1166,0),0)),0)</f>
        <v>0</v>
      </c>
      <c r="BG1167" s="119">
        <f>+IF(Assumptions!$G$393="Yes",(IFERROR(IF(_xlfn.XLOOKUP(Assumptions!$G$24,Data_tables!$K:$K,Data_tables!$R:$R)=1,-BG1164*BG1166,0),0)+IFERROR(IF(_xlfn.XLOOKUP(Assumptions!$G$264,Data_tables!$K:$K,Data_tables!$R:$R)=1,-BG1165*BG1166,0),0)),0)</f>
        <v>0</v>
      </c>
      <c r="BH1167" s="119">
        <f>+IF(Assumptions!$G$393="Yes",(IFERROR(IF(_xlfn.XLOOKUP(Assumptions!$G$24,Data_tables!$K:$K,Data_tables!$R:$R)=1,-BH1164*BH1166,0),0)+IFERROR(IF(_xlfn.XLOOKUP(Assumptions!$G$264,Data_tables!$K:$K,Data_tables!$R:$R)=1,-BH1165*BH1166,0),0)),0)</f>
        <v>0</v>
      </c>
      <c r="BI1167" s="119">
        <f>+IF(Assumptions!$G$393="Yes",(IFERROR(IF(_xlfn.XLOOKUP(Assumptions!$G$24,Data_tables!$K:$K,Data_tables!$R:$R)=1,-BI1164*BI1166,0),0)+IFERROR(IF(_xlfn.XLOOKUP(Assumptions!$G$264,Data_tables!$K:$K,Data_tables!$R:$R)=1,-BI1165*BI1166,0),0)),0)</f>
        <v>0</v>
      </c>
      <c r="BJ1167" s="119">
        <f>+IF(Assumptions!$G$393="Yes",(IFERROR(IF(_xlfn.XLOOKUP(Assumptions!$G$24,Data_tables!$K:$K,Data_tables!$R:$R)=1,-BJ1164*BJ1166,0),0)+IFERROR(IF(_xlfn.XLOOKUP(Assumptions!$G$264,Data_tables!$K:$K,Data_tables!$R:$R)=1,-BJ1165*BJ1166,0),0)),0)</f>
        <v>0</v>
      </c>
      <c r="BK1167" s="119">
        <f>+IF(Assumptions!$G$393="Yes",(IFERROR(IF(_xlfn.XLOOKUP(Assumptions!$G$24,Data_tables!$K:$K,Data_tables!$R:$R)=1,-BK1164*BK1166,0),0)+IFERROR(IF(_xlfn.XLOOKUP(Assumptions!$G$264,Data_tables!$K:$K,Data_tables!$R:$R)=1,-BK1165*BK1166,0),0)),0)</f>
        <v>0</v>
      </c>
      <c r="BL1167" s="119">
        <f>+IF(Assumptions!$G$393="Yes",(IFERROR(IF(_xlfn.XLOOKUP(Assumptions!$G$24,Data_tables!$K:$K,Data_tables!$R:$R)=1,-BL1164*BL1166,0),0)+IFERROR(IF(_xlfn.XLOOKUP(Assumptions!$G$264,Data_tables!$K:$K,Data_tables!$R:$R)=1,-BL1165*BL1166,0),0)),0)</f>
        <v>0</v>
      </c>
      <c r="BM1167" s="119">
        <f>+IF(Assumptions!$G$393="Yes",(IFERROR(IF(_xlfn.XLOOKUP(Assumptions!$G$24,Data_tables!$K:$K,Data_tables!$R:$R)=1,-BM1164*BM1166,0),0)+IFERROR(IF(_xlfn.XLOOKUP(Assumptions!$G$264,Data_tables!$K:$K,Data_tables!$R:$R)=1,-BM1165*BM1166,0),0)),0)</f>
        <v>0</v>
      </c>
      <c r="BN1167" s="119">
        <f>+IF(Assumptions!$G$393="Yes",(IFERROR(IF(_xlfn.XLOOKUP(Assumptions!$G$24,Data_tables!$K:$K,Data_tables!$R:$R)=1,-BN1164*BN1166,0),0)+IFERROR(IF(_xlfn.XLOOKUP(Assumptions!$G$264,Data_tables!$K:$K,Data_tables!$R:$R)=1,-BN1165*BN1166,0),0)),0)</f>
        <v>0</v>
      </c>
      <c r="BO1167" s="119">
        <f>+IF(Assumptions!$G$393="Yes",(IFERROR(IF(_xlfn.XLOOKUP(Assumptions!$G$24,Data_tables!$K:$K,Data_tables!$R:$R)=1,-BO1164*BO1166,0),0)+IFERROR(IF(_xlfn.XLOOKUP(Assumptions!$G$264,Data_tables!$K:$K,Data_tables!$R:$R)=1,-BO1165*BO1166,0),0)),0)</f>
        <v>0</v>
      </c>
      <c r="BP1167" s="119">
        <f>+IF(Assumptions!$G$393="Yes",(IFERROR(IF(_xlfn.XLOOKUP(Assumptions!$G$24,Data_tables!$K:$K,Data_tables!$R:$R)=1,-BP1164*BP1166,0),0)+IFERROR(IF(_xlfn.XLOOKUP(Assumptions!$G$264,Data_tables!$K:$K,Data_tables!$R:$R)=1,-BP1165*BP1166,0),0)),0)</f>
        <v>0</v>
      </c>
      <c r="BQ1167" s="119">
        <f>+IF(Assumptions!$G$393="Yes",(IFERROR(IF(_xlfn.XLOOKUP(Assumptions!$G$24,Data_tables!$K:$K,Data_tables!$R:$R)=1,-BQ1164*BQ1166,0),0)+IFERROR(IF(_xlfn.XLOOKUP(Assumptions!$G$264,Data_tables!$K:$K,Data_tables!$R:$R)=1,-BQ1165*BQ1166,0),0)),0)</f>
        <v>0</v>
      </c>
      <c r="BR1167" s="119">
        <f>+IF(Assumptions!$G$393="Yes",(IFERROR(IF(_xlfn.XLOOKUP(Assumptions!$G$24,Data_tables!$K:$K,Data_tables!$R:$R)=1,-BR1164*BR1166,0),0)+IFERROR(IF(_xlfn.XLOOKUP(Assumptions!$G$264,Data_tables!$K:$K,Data_tables!$R:$R)=1,-BR1165*BR1166,0),0)),0)</f>
        <v>0</v>
      </c>
      <c r="BS1167" s="119">
        <f>+IF(Assumptions!$G$393="Yes",(IFERROR(IF(_xlfn.XLOOKUP(Assumptions!$G$24,Data_tables!$K:$K,Data_tables!$R:$R)=1,-BS1164*BS1166,0),0)+IFERROR(IF(_xlfn.XLOOKUP(Assumptions!$G$264,Data_tables!$K:$K,Data_tables!$R:$R)=1,-BS1165*BS1166,0),0)),0)</f>
        <v>0</v>
      </c>
      <c r="BT1167" s="119">
        <f>+IF(Assumptions!$G$393="Yes",(IFERROR(IF(_xlfn.XLOOKUP(Assumptions!$G$24,Data_tables!$K:$K,Data_tables!$R:$R)=1,-BT1164*BT1166,0),0)+IFERROR(IF(_xlfn.XLOOKUP(Assumptions!$G$264,Data_tables!$K:$K,Data_tables!$R:$R)=1,-BT1165*BT1166,0),0)),0)</f>
        <v>0</v>
      </c>
      <c r="BU1167" s="119">
        <f>+IF(Assumptions!$G$393="Yes",(IFERROR(IF(_xlfn.XLOOKUP(Assumptions!$G$24,Data_tables!$K:$K,Data_tables!$R:$R)=1,-BU1164*BU1166,0),0)+IFERROR(IF(_xlfn.XLOOKUP(Assumptions!$G$264,Data_tables!$K:$K,Data_tables!$R:$R)=1,-BU1165*BU1166,0),0)),0)</f>
        <v>0</v>
      </c>
      <c r="BV1167" s="119">
        <f>+IF(Assumptions!$G$393="Yes",(IFERROR(IF(_xlfn.XLOOKUP(Assumptions!$G$24,Data_tables!$K:$K,Data_tables!$R:$R)=1,-BV1164*BV1166,0),0)+IFERROR(IF(_xlfn.XLOOKUP(Assumptions!$G$264,Data_tables!$K:$K,Data_tables!$R:$R)=1,-BV1165*BV1166,0),0)),0)</f>
        <v>0</v>
      </c>
      <c r="BW1167" s="119">
        <f>+IF(Assumptions!$G$393="Yes",(IFERROR(IF(_xlfn.XLOOKUP(Assumptions!$G$24,Data_tables!$K:$K,Data_tables!$R:$R)=1,-BW1164*BW1166,0),0)+IFERROR(IF(_xlfn.XLOOKUP(Assumptions!$G$264,Data_tables!$K:$K,Data_tables!$R:$R)=1,-BW1165*BW1166,0),0)),0)</f>
        <v>0</v>
      </c>
      <c r="BX1167" s="119">
        <f>+IF(Assumptions!$G$393="Yes",(IFERROR(IF(_xlfn.XLOOKUP(Assumptions!$G$24,Data_tables!$K:$K,Data_tables!$R:$R)=1,-BX1164*BX1166,0),0)+IFERROR(IF(_xlfn.XLOOKUP(Assumptions!$G$264,Data_tables!$K:$K,Data_tables!$R:$R)=1,-BX1165*BX1166,0),0)),0)</f>
        <v>0</v>
      </c>
      <c r="BY1167" s="119">
        <f>+IF(Assumptions!$G$393="Yes",(IFERROR(IF(_xlfn.XLOOKUP(Assumptions!$G$24,Data_tables!$K:$K,Data_tables!$R:$R)=1,-BY1164*BY1166,0),0)+IFERROR(IF(_xlfn.XLOOKUP(Assumptions!$G$264,Data_tables!$K:$K,Data_tables!$R:$R)=1,-BY1165*BY1166,0),0)),0)</f>
        <v>0</v>
      </c>
    </row>
    <row r="1168" spans="5:77" outlineLevel="1">
      <c r="E1168" s="25" t="s">
        <v>243</v>
      </c>
      <c r="F1168" s="81" t="s">
        <v>423</v>
      </c>
      <c r="G1168" s="25"/>
      <c r="H1168" s="105">
        <f ca="1">1/(1+Assumptions!$G$356)*IF(G1168=0,1,G1168)</f>
        <v>0.95979422011920645</v>
      </c>
      <c r="I1168" s="105">
        <f ca="1">1/(1+Assumptions!$G$356)*IF(H1168=0,1,H1168)</f>
        <v>0.92120494497423577</v>
      </c>
      <c r="J1168" s="105">
        <f ca="1">1/(1+Assumptions!$G$356)*IF(I1168=0,1,I1168)</f>
        <v>0.8841671817315031</v>
      </c>
      <c r="K1168" s="105">
        <f ca="1">1/(1+Assumptions!$G$356)*IF(J1168=0,1,J1168)</f>
        <v>0.8486185506449847</v>
      </c>
      <c r="L1168" s="105">
        <f ca="1">1/(1+Assumptions!$G$356)*IF(K1168=0,1,K1168)</f>
        <v>0.81449917999499444</v>
      </c>
      <c r="M1168" s="105">
        <f ca="1">1/(1+Assumptions!$G$356)*IF(L1168=0,1,L1168)</f>
        <v>0.78175160525102882</v>
      </c>
      <c r="N1168" s="105">
        <f ca="1">1/(1+Assumptions!$G$356)*IF(M1168=0,1,M1168)</f>
        <v>0.75032067228884891</v>
      </c>
      <c r="O1168" s="105">
        <f ca="1">1/(1+Assumptions!$G$356)*IF(N1168=0,1,N1168)</f>
        <v>0.72015344449879437</v>
      </c>
      <c r="P1168" s="105">
        <f ca="1">1/(1+Assumptions!$G$356)*IF(O1168=0,1,O1168)</f>
        <v>0.69119911362888053</v>
      </c>
      <c r="Q1168" s="105">
        <f ca="1">1/(1+Assumptions!$G$356)*IF(P1168=0,1,P1168)</f>
        <v>0.66340891421251813</v>
      </c>
      <c r="R1168" s="105">
        <f ca="1">1/(1+Assumptions!$G$356)*IF(Q1168=0,1,Q1168)</f>
        <v>0.63673604143673335</v>
      </c>
      <c r="S1168" s="105">
        <f ca="1">1/(1+Assumptions!$G$356)*IF(R1168=0,1,R1168)</f>
        <v>0.61113557231256022</v>
      </c>
      <c r="T1168" s="105">
        <f ca="1">1/(1+Assumptions!$G$356)*IF(S1168=0,1,S1168)</f>
        <v>0.58656439001483862</v>
      </c>
      <c r="U1168" s="105">
        <f ca="1">1/(1+Assumptions!$G$356)*IF(T1168=0,1,T1168)</f>
        <v>0.56298111126399009</v>
      </c>
      <c r="V1168" s="105">
        <f ca="1">1/(1+Assumptions!$G$356)*IF(U1168=0,1,U1168)</f>
        <v>0.54034601662746551</v>
      </c>
      <c r="W1168" s="105">
        <f ca="1">1/(1+Assumptions!$G$356)*IF(V1168=0,1,V1168)</f>
        <v>0.51862098362347797</v>
      </c>
      <c r="X1168" s="105">
        <f ca="1">1/(1+Assumptions!$G$356)*IF(W1168=0,1,W1168)</f>
        <v>0.4977694225143518</v>
      </c>
      <c r="Y1168" s="105">
        <f ca="1">1/(1+Assumptions!$G$356)*IF(X1168=0,1,X1168)</f>
        <v>0.47775621468135004</v>
      </c>
      <c r="Z1168" s="105">
        <f ca="1">1/(1+Assumptions!$G$356)*IF(Y1168=0,1,Y1168)</f>
        <v>0.45854765347719056</v>
      </c>
      <c r="AA1168" s="105">
        <f ca="1">1/(1+Assumptions!$G$356)*IF(Z1168=0,1,Z1168)</f>
        <v>0.44011138745663225</v>
      </c>
      <c r="AB1168" s="105">
        <f ca="1">1/(1+Assumptions!$G$356)*IF(AA1168=0,1,AA1168)</f>
        <v>0.42241636588952025</v>
      </c>
      <c r="AC1168" s="105">
        <f ca="1">1/(1+Assumptions!$G$356)*IF(AB1168=0,1,AB1168)</f>
        <v>0.40543278646452147</v>
      </c>
      <c r="AD1168" s="105">
        <f ca="1">1/(1+Assumptions!$G$356)*IF(AC1168=0,1,AC1168)</f>
        <v>0.38913204509547217</v>
      </c>
      <c r="AE1168" s="105">
        <f ca="1">1/(1+Assumptions!$G$356)*IF(AD1168=0,1,AD1168)</f>
        <v>0.37348668774580057</v>
      </c>
      <c r="AF1168" s="105">
        <f ca="1">1/(1+Assumptions!$G$356)*IF(AE1168=0,1,AE1168)</f>
        <v>0.35847036418988626</v>
      </c>
      <c r="AG1168" s="105">
        <f ca="1">1/(1+Assumptions!$G$356)*IF(AF1168=0,1,AF1168)</f>
        <v>0.34405778363347977</v>
      </c>
      <c r="AH1168" s="105">
        <f ca="1">1/(1+Assumptions!$G$356)*IF(AG1168=0,1,AG1168)</f>
        <v>0.33022467211843837</v>
      </c>
      <c r="AI1168" s="105">
        <f ca="1">1/(1+Assumptions!$G$356)*IF(AH1168=0,1,AH1168)</f>
        <v>0.3169477316400372</v>
      </c>
      <c r="AJ1168" s="105">
        <f ca="1">1/(1+Assumptions!$G$356)*IF(AI1168=0,1,AI1168)</f>
        <v>0.30420460090800105</v>
      </c>
      <c r="AK1168" s="105">
        <f ca="1">1/(1+Assumptions!$G$356)*IF(AJ1168=0,1,AJ1168)</f>
        <v>0.29197381768516933</v>
      </c>
      <c r="AL1168" s="105">
        <f ca="1">1/(1+Assumptions!$G$356)*IF(AK1168=0,1,AK1168)</f>
        <v>0.28023478264036444</v>
      </c>
      <c r="AM1168" s="105">
        <f ca="1">1/(1+Assumptions!$G$356)*IF(AL1168=0,1,AL1168)</f>
        <v>0.26896772465458391</v>
      </c>
      <c r="AN1168" s="105">
        <f ca="1">1/(1+Assumptions!$G$356)*IF(AM1168=0,1,AM1168)</f>
        <v>0.2581536675220838</v>
      </c>
      <c r="AO1168" s="105">
        <f ca="1">1/(1+Assumptions!$G$356)*IF(AN1168=0,1,AN1168)</f>
        <v>0.24777439799027134</v>
      </c>
      <c r="AP1168" s="105">
        <f ca="1">1/(1+Assumptions!$G$356)*IF(AO1168=0,1,AO1168)</f>
        <v>0.23781243508457836</v>
      </c>
      <c r="AQ1168" s="105">
        <f ca="1">1/(1+Assumptions!$G$356)*IF(AP1168=0,1,AP1168)</f>
        <v>0.2282510006666523</v>
      </c>
      <c r="AR1168" s="105">
        <f ca="1">1/(1+Assumptions!$G$356)*IF(AQ1168=0,1,AQ1168)</f>
        <v>0.21907399117627802</v>
      </c>
      <c r="AS1168" s="105">
        <f ca="1">1/(1+Assumptions!$G$356)*IF(AR1168=0,1,AR1168)</f>
        <v>0.21026595050943767</v>
      </c>
      <c r="AT1168" s="105">
        <f ca="1">1/(1+Assumptions!$G$356)*IF(AS1168=0,1,AS1168)</f>
        <v>0.20181204398682939</v>
      </c>
      <c r="AU1168" s="105">
        <f ca="1">1/(1+Assumptions!$G$356)*IF(AT1168=0,1,AT1168)</f>
        <v>0.1936980333690019</v>
      </c>
      <c r="AV1168" s="105">
        <f ca="1">1/(1+Assumptions!$G$356)*IF(AU1168=0,1,AU1168)</f>
        <v>0.18591025287602522</v>
      </c>
      <c r="AW1168" s="105">
        <f ca="1">1/(1+Assumptions!$G$356)*IF(AV1168=0,1,AV1168)</f>
        <v>0.17843558617130909</v>
      </c>
      <c r="AX1168" s="105">
        <f ca="1">1/(1+Assumptions!$G$356)*IF(AW1168=0,1,AW1168)</f>
        <v>0.17126144427080506</v>
      </c>
      <c r="AY1168" s="105">
        <f ca="1">1/(1+Assumptions!$G$356)*IF(AX1168=0,1,AX1168)</f>
        <v>0.16437574434038627</v>
      </c>
      <c r="AZ1168" s="105">
        <f ca="1">1/(1+Assumptions!$G$356)*IF(AY1168=0,1,AY1168)</f>
        <v>0.1577668893456951</v>
      </c>
      <c r="BA1168" s="105">
        <f ca="1">1/(1+Assumptions!$G$356)*IF(AZ1168=0,1,AZ1168)</f>
        <v>0.15142374852018459</v>
      </c>
      <c r="BB1168" s="105">
        <f ca="1">1/(1+Assumptions!$G$356)*IF(BA1168=0,1,BA1168)</f>
        <v>0.14533563861845741</v>
      </c>
      <c r="BC1168" s="105">
        <f ca="1">1/(1+Assumptions!$G$356)*IF(BB1168=0,1,BB1168)</f>
        <v>0.13949230592332915</v>
      </c>
      <c r="BD1168" s="105">
        <f ca="1">1/(1+Assumptions!$G$356)*IF(BC1168=0,1,BC1168)</f>
        <v>0.13388390897631147</v>
      </c>
      <c r="BE1168" s="105">
        <f ca="1">1/(1+Assumptions!$G$356)*IF(BD1168=0,1,BD1168)</f>
        <v>0.1285010020024297</v>
      </c>
      <c r="BF1168" s="105">
        <f ca="1">1/(1+Assumptions!$G$356)*IF(BE1168=0,1,BE1168)</f>
        <v>0.1233345190014586</v>
      </c>
      <c r="BG1168" s="105">
        <f ca="1">1/(1+Assumptions!$G$356)*IF(BF1168=0,1,BF1168)</f>
        <v>0.11837575847878241</v>
      </c>
      <c r="BH1168" s="105">
        <f ca="1">1/(1+Assumptions!$G$356)*IF(BG1168=0,1,BG1168)</f>
        <v>0.11361636879016251</v>
      </c>
      <c r="BI1168" s="105">
        <f ca="1">1/(1+Assumptions!$G$356)*IF(BH1168=0,1,BH1168)</f>
        <v>0.10904833407573018</v>
      </c>
      <c r="BJ1168" s="105">
        <f ca="1">1/(1+Assumptions!$G$356)*IF(BI1168=0,1,BI1168)</f>
        <v>0.10466396075951413</v>
      </c>
      <c r="BK1168" s="105">
        <f ca="1">1/(1+Assumptions!$G$356)*IF(BJ1168=0,1,BJ1168)</f>
        <v>0.10045586459176509</v>
      </c>
      <c r="BL1168" s="105">
        <f ca="1">1/(1+Assumptions!$G$356)*IF(BK1168=0,1,BK1168)</f>
        <v>9.6416958212253781E-2</v>
      </c>
      <c r="BM1168" s="105">
        <f ca="1">1/(1+Assumptions!$G$356)*IF(BL1168=0,1,BL1168)</f>
        <v>9.254043921359624E-2</v>
      </c>
      <c r="BN1168" s="105">
        <f ca="1">1/(1+Assumptions!$G$356)*IF(BM1168=0,1,BM1168)</f>
        <v>8.8819778684502429E-2</v>
      </c>
      <c r="BO1168" s="105">
        <f ca="1">1/(1+Assumptions!$G$356)*IF(BN1168=0,1,BN1168)</f>
        <v>8.5248710213652532E-2</v>
      </c>
      <c r="BP1168" s="105">
        <f ca="1">1/(1+Assumptions!$G$356)*IF(BO1168=0,1,BO1168)</f>
        <v>8.1821219335680859E-2</v>
      </c>
      <c r="BQ1168" s="105">
        <f ca="1">1/(1+Assumptions!$G$356)*IF(BP1168=0,1,BP1168)</f>
        <v>7.853153340149234E-2</v>
      </c>
      <c r="BR1168" s="105">
        <f ca="1">1/(1+Assumptions!$G$356)*IF(BQ1168=0,1,BQ1168)</f>
        <v>7.5374111855850759E-2</v>
      </c>
      <c r="BS1168" s="105">
        <f ca="1">1/(1+Assumptions!$G$356)*IF(BR1168=0,1,BR1168)</f>
        <v>7.2343636905864109E-2</v>
      </c>
      <c r="BT1168" s="105">
        <f ca="1">1/(1+Assumptions!$G$356)*IF(BS1168=0,1,BS1168)</f>
        <v>6.943500456465089E-2</v>
      </c>
      <c r="BU1168" s="105">
        <f ca="1">1/(1+Assumptions!$G$356)*IF(BT1168=0,1,BT1168)</f>
        <v>6.6643316055102639E-2</v>
      </c>
      <c r="BV1168" s="105">
        <f ca="1">1/(1+Assumptions!$G$356)*IF(BU1168=0,1,BU1168)</f>
        <v>6.396386955926503E-2</v>
      </c>
      <c r="BW1168" s="105">
        <f ca="1">1/(1+Assumptions!$G$356)*IF(BV1168=0,1,BV1168)</f>
        <v>6.1392152299441428E-2</v>
      </c>
      <c r="BX1168" s="105">
        <f ca="1">1/(1+Assumptions!$G$356)*IF(BW1168=0,1,BW1168)</f>
        <v>5.8923832937681934E-2</v>
      </c>
      <c r="BY1168" s="105">
        <f ca="1">1/(1+Assumptions!$G$356)*IF(BX1168=0,1,BX1168)</f>
        <v>5.6554754280856843E-2</v>
      </c>
    </row>
    <row r="1169" spans="1:77" outlineLevel="1">
      <c r="E1169" t="s">
        <v>548</v>
      </c>
      <c r="F1169" s="80" t="s">
        <v>549</v>
      </c>
      <c r="H1169" s="31">
        <f ca="1">+H1168*H1167*Assumptions!$G$394</f>
        <v>0</v>
      </c>
      <c r="I1169" s="31">
        <f ca="1">+I1168*I1167*Assumptions!$G$394</f>
        <v>0</v>
      </c>
      <c r="J1169" s="31">
        <f ca="1">+J1168*J1167*Assumptions!$G$394</f>
        <v>0</v>
      </c>
      <c r="K1169" s="31">
        <f ca="1">+K1168*K1167*Assumptions!$G$394</f>
        <v>0</v>
      </c>
      <c r="L1169" s="31">
        <f ca="1">+L1168*L1167*Assumptions!$G$394</f>
        <v>0</v>
      </c>
      <c r="M1169" s="31">
        <f ca="1">+M1168*M1167*Assumptions!$G$394</f>
        <v>0</v>
      </c>
      <c r="N1169" s="31">
        <f ca="1">+N1168*N1167*Assumptions!$G$394</f>
        <v>0</v>
      </c>
      <c r="O1169" s="31">
        <f ca="1">+O1168*O1167*Assumptions!$G$394</f>
        <v>0</v>
      </c>
      <c r="P1169" s="31">
        <f ca="1">+P1168*P1167*Assumptions!$G$394</f>
        <v>0</v>
      </c>
      <c r="Q1169" s="31">
        <f ca="1">+Q1168*Q1167*Assumptions!$G$394</f>
        <v>0</v>
      </c>
      <c r="R1169" s="31">
        <f ca="1">+R1168*R1167*Assumptions!$G$394</f>
        <v>0</v>
      </c>
      <c r="S1169" s="31">
        <f ca="1">+S1168*S1167*Assumptions!$G$394</f>
        <v>0</v>
      </c>
      <c r="T1169" s="31">
        <f ca="1">+T1168*T1167*Assumptions!$G$394</f>
        <v>0</v>
      </c>
      <c r="U1169" s="31">
        <f ca="1">+U1168*U1167*Assumptions!$G$394</f>
        <v>0</v>
      </c>
      <c r="V1169" s="31">
        <f ca="1">+V1168*V1167*Assumptions!$G$394</f>
        <v>0</v>
      </c>
      <c r="W1169" s="31">
        <f ca="1">+W1168*W1167*Assumptions!$G$394</f>
        <v>0</v>
      </c>
      <c r="X1169" s="31">
        <f ca="1">+X1168*X1167*Assumptions!$G$394</f>
        <v>0</v>
      </c>
      <c r="Y1169" s="31">
        <f ca="1">+Y1168*Y1167*Assumptions!$G$394</f>
        <v>0</v>
      </c>
      <c r="Z1169" s="31">
        <f ca="1">+Z1168*Z1167*Assumptions!$G$394</f>
        <v>0</v>
      </c>
      <c r="AA1169" s="31">
        <f ca="1">+AA1168*AA1167*Assumptions!$G$394</f>
        <v>0</v>
      </c>
      <c r="AB1169" s="31">
        <f ca="1">+AB1168*AB1167*Assumptions!$G$394</f>
        <v>0</v>
      </c>
      <c r="AC1169" s="31">
        <f ca="1">+AC1168*AC1167*Assumptions!$G$394</f>
        <v>0</v>
      </c>
      <c r="AD1169" s="31">
        <f ca="1">+AD1168*AD1167*Assumptions!$G$394</f>
        <v>0</v>
      </c>
      <c r="AE1169" s="31">
        <f ca="1">+AE1168*AE1167*Assumptions!$G$394</f>
        <v>0</v>
      </c>
      <c r="AF1169" s="31">
        <f ca="1">+AF1168*AF1167*Assumptions!$G$394</f>
        <v>0</v>
      </c>
      <c r="AG1169" s="31">
        <f ca="1">+AG1168*AG1167*Assumptions!$G$394</f>
        <v>0</v>
      </c>
      <c r="AH1169" s="31">
        <f ca="1">+AH1168*AH1167*Assumptions!$G$394</f>
        <v>0</v>
      </c>
      <c r="AI1169" s="31">
        <f ca="1">+AI1168*AI1167*Assumptions!$G$394</f>
        <v>0</v>
      </c>
      <c r="AJ1169" s="31">
        <f ca="1">+AJ1168*AJ1167*Assumptions!$G$394</f>
        <v>0</v>
      </c>
      <c r="AK1169" s="31">
        <f ca="1">+AK1168*AK1167*Assumptions!$G$394</f>
        <v>0</v>
      </c>
      <c r="AL1169" s="31">
        <f ca="1">+AL1168*AL1167*Assumptions!$G$394</f>
        <v>0</v>
      </c>
      <c r="AM1169" s="31">
        <f ca="1">+AM1168*AM1167*Assumptions!$G$394</f>
        <v>0</v>
      </c>
      <c r="AN1169" s="31">
        <f ca="1">+AN1168*AN1167*Assumptions!$G$394</f>
        <v>0</v>
      </c>
      <c r="AO1169" s="31">
        <f ca="1">+AO1168*AO1167*Assumptions!$G$394</f>
        <v>0</v>
      </c>
      <c r="AP1169" s="31">
        <f ca="1">+AP1168*AP1167*Assumptions!$G$394</f>
        <v>0</v>
      </c>
      <c r="AQ1169" s="31">
        <f ca="1">+AQ1168*AQ1167*Assumptions!$G$394</f>
        <v>0</v>
      </c>
      <c r="AR1169" s="31">
        <f ca="1">+AR1168*AR1167*Assumptions!$G$394</f>
        <v>0</v>
      </c>
      <c r="AS1169" s="31">
        <f ca="1">+AS1168*AS1167*Assumptions!$G$394</f>
        <v>0</v>
      </c>
      <c r="AT1169" s="31">
        <f ca="1">+AT1168*AT1167*Assumptions!$G$394</f>
        <v>0</v>
      </c>
      <c r="AU1169" s="31">
        <f ca="1">+AU1168*AU1167*Assumptions!$G$394</f>
        <v>0</v>
      </c>
      <c r="AV1169" s="31">
        <f ca="1">+AV1168*AV1167*Assumptions!$G$394</f>
        <v>0</v>
      </c>
      <c r="AW1169" s="31">
        <f ca="1">+AW1168*AW1167*Assumptions!$G$394</f>
        <v>0</v>
      </c>
      <c r="AX1169" s="31">
        <f ca="1">+AX1168*AX1167*Assumptions!$G$394</f>
        <v>0</v>
      </c>
      <c r="AY1169" s="31">
        <f ca="1">+AY1168*AY1167*Assumptions!$G$394</f>
        <v>0</v>
      </c>
      <c r="AZ1169" s="31">
        <f ca="1">+AZ1168*AZ1167*Assumptions!$G$394</f>
        <v>0</v>
      </c>
      <c r="BA1169" s="31">
        <f ca="1">+BA1168*BA1167*Assumptions!$G$394</f>
        <v>0</v>
      </c>
      <c r="BB1169" s="31">
        <f ca="1">+BB1168*BB1167*Assumptions!$G$394</f>
        <v>0</v>
      </c>
      <c r="BC1169" s="31">
        <f ca="1">+BC1168*BC1167*Assumptions!$G$394</f>
        <v>0</v>
      </c>
      <c r="BD1169" s="31">
        <f ca="1">+BD1168*BD1167*Assumptions!$G$394</f>
        <v>0</v>
      </c>
      <c r="BE1169" s="31">
        <f ca="1">+BE1168*BE1167*Assumptions!$G$394</f>
        <v>0</v>
      </c>
      <c r="BF1169" s="31">
        <f ca="1">+BF1168*BF1167*Assumptions!$G$394</f>
        <v>0</v>
      </c>
      <c r="BG1169" s="31">
        <f ca="1">+BG1168*BG1167*Assumptions!$G$394</f>
        <v>0</v>
      </c>
      <c r="BH1169" s="31">
        <f ca="1">+BH1168*BH1167*Assumptions!$G$394</f>
        <v>0</v>
      </c>
      <c r="BI1169" s="31">
        <f ca="1">+BI1168*BI1167*Assumptions!$G$394</f>
        <v>0</v>
      </c>
      <c r="BJ1169" s="31">
        <f ca="1">+BJ1168*BJ1167*Assumptions!$G$394</f>
        <v>0</v>
      </c>
      <c r="BK1169" s="31">
        <f ca="1">+BK1168*BK1167*Assumptions!$G$394</f>
        <v>0</v>
      </c>
      <c r="BL1169" s="31">
        <f ca="1">+BL1168*BL1167*Assumptions!$G$394</f>
        <v>0</v>
      </c>
      <c r="BM1169" s="31">
        <f ca="1">+BM1168*BM1167*Assumptions!$G$394</f>
        <v>0</v>
      </c>
      <c r="BN1169" s="31">
        <f ca="1">+BN1168*BN1167*Assumptions!$G$394</f>
        <v>0</v>
      </c>
      <c r="BO1169" s="31">
        <f ca="1">+BO1168*BO1167*Assumptions!$G$394</f>
        <v>0</v>
      </c>
      <c r="BP1169" s="31">
        <f ca="1">+BP1168*BP1167*Assumptions!$G$394</f>
        <v>0</v>
      </c>
      <c r="BQ1169" s="31">
        <f ca="1">+BQ1168*BQ1167*Assumptions!$G$394</f>
        <v>0</v>
      </c>
      <c r="BR1169" s="31">
        <f ca="1">+BR1168*BR1167*Assumptions!$G$394</f>
        <v>0</v>
      </c>
      <c r="BS1169" s="31">
        <f ca="1">+BS1168*BS1167*Assumptions!$G$394</f>
        <v>0</v>
      </c>
      <c r="BT1169" s="31">
        <f ca="1">+BT1168*BT1167*Assumptions!$G$394</f>
        <v>0</v>
      </c>
      <c r="BU1169" s="31">
        <f ca="1">+BU1168*BU1167*Assumptions!$G$394</f>
        <v>0</v>
      </c>
      <c r="BV1169" s="31">
        <f ca="1">+BV1168*BV1167*Assumptions!$G$394</f>
        <v>0</v>
      </c>
      <c r="BW1169" s="31">
        <f ca="1">+BW1168*BW1167*Assumptions!$G$394</f>
        <v>0</v>
      </c>
      <c r="BX1169" s="31">
        <f ca="1">+BX1168*BX1167*Assumptions!$G$394</f>
        <v>0</v>
      </c>
      <c r="BY1169" s="31">
        <f ca="1">+BY1168*BY1167*Assumptions!$G$394</f>
        <v>0</v>
      </c>
    </row>
    <row r="1170" spans="1:77" outlineLevel="1">
      <c r="BF1170" s="33"/>
      <c r="BG1170" s="33"/>
      <c r="BH1170" s="33"/>
      <c r="BI1170" s="33"/>
      <c r="BJ1170" s="33"/>
      <c r="BK1170" s="33"/>
      <c r="BL1170" s="33"/>
      <c r="BM1170" s="33"/>
      <c r="BN1170" s="33"/>
      <c r="BO1170" s="33"/>
      <c r="BP1170" s="33"/>
      <c r="BQ1170" s="33"/>
      <c r="BR1170" s="33"/>
      <c r="BS1170" s="33"/>
      <c r="BT1170" s="33"/>
      <c r="BU1170" s="33"/>
      <c r="BV1170" s="33"/>
      <c r="BW1170" s="33"/>
      <c r="BX1170" s="33"/>
      <c r="BY1170" s="33"/>
    </row>
    <row r="1171" spans="1:77" ht="15" outlineLevel="1">
      <c r="E1171" s="22" t="s">
        <v>610</v>
      </c>
      <c r="BF1171" s="33"/>
      <c r="BG1171" s="33"/>
      <c r="BH1171" s="33"/>
      <c r="BI1171" s="33"/>
      <c r="BJ1171" s="33"/>
      <c r="BK1171" s="33"/>
      <c r="BL1171" s="33"/>
      <c r="BM1171" s="33"/>
      <c r="BN1171" s="33"/>
      <c r="BO1171" s="33"/>
      <c r="BP1171" s="33"/>
      <c r="BQ1171" s="33"/>
      <c r="BR1171" s="33"/>
      <c r="BS1171" s="33"/>
      <c r="BT1171" s="33"/>
      <c r="BU1171" s="33"/>
      <c r="BV1171" s="33"/>
      <c r="BW1171" s="33"/>
      <c r="BX1171" s="33"/>
      <c r="BY1171" s="33"/>
    </row>
    <row r="1172" spans="1:77" outlineLevel="1">
      <c r="E1172" t="s">
        <v>605</v>
      </c>
      <c r="F1172" s="80" t="s">
        <v>606</v>
      </c>
      <c r="H1172" s="33">
        <f>+Assumptions!$H$25/1000*Assumptions!$H$26*Assumptions!$H$286*Assumptions!$H$268*H953</f>
        <v>0</v>
      </c>
      <c r="I1172" s="33">
        <f>+Assumptions!$H$25/1000*Assumptions!$H$26*Assumptions!$H$286*Assumptions!$H$268*I953</f>
        <v>0</v>
      </c>
      <c r="J1172" s="33">
        <f>+Assumptions!$H$25/1000*Assumptions!$H$26*Assumptions!$H$286*Assumptions!$H$268*J953</f>
        <v>0</v>
      </c>
      <c r="K1172" s="33">
        <f>+Assumptions!$H$25/1000*Assumptions!$H$26*Assumptions!$H$286*Assumptions!$H$268*K953</f>
        <v>16195.09998103762</v>
      </c>
      <c r="L1172" s="33">
        <f>+Assumptions!$H$25/1000*Assumptions!$H$26*Assumptions!$H$286*Assumptions!$H$268*L953</f>
        <v>16195.09998103762</v>
      </c>
      <c r="M1172" s="33">
        <f>+Assumptions!$H$25/1000*Assumptions!$H$26*Assumptions!$H$286*Assumptions!$H$268*M953</f>
        <v>16195.09998103762</v>
      </c>
      <c r="N1172" s="33">
        <f>+Assumptions!$H$25/1000*Assumptions!$H$26*Assumptions!$H$286*Assumptions!$H$268*N953</f>
        <v>16195.09998103762</v>
      </c>
      <c r="O1172" s="33">
        <f>+Assumptions!$H$25/1000*Assumptions!$H$26*Assumptions!$H$286*Assumptions!$H$268*O953</f>
        <v>16195.09998103762</v>
      </c>
      <c r="P1172" s="33">
        <f>+Assumptions!$H$25/1000*Assumptions!$H$26*Assumptions!$H$286*Assumptions!$H$268*P953</f>
        <v>16195.09998103762</v>
      </c>
      <c r="Q1172" s="33">
        <f>+Assumptions!$H$25/1000*Assumptions!$H$26*Assumptions!$H$286*Assumptions!$H$268*Q953</f>
        <v>16195.09998103762</v>
      </c>
      <c r="R1172" s="33">
        <f>+Assumptions!$H$25/1000*Assumptions!$H$26*Assumptions!$H$286*Assumptions!$H$268*R953</f>
        <v>16195.09998103762</v>
      </c>
      <c r="S1172" s="33">
        <f>+Assumptions!$H$25/1000*Assumptions!$H$26*Assumptions!$H$286*Assumptions!$H$268*S953</f>
        <v>16195.09998103762</v>
      </c>
      <c r="T1172" s="33">
        <f>+Assumptions!$H$25/1000*Assumptions!$H$26*Assumptions!$H$286*Assumptions!$H$268*T953</f>
        <v>16195.09998103762</v>
      </c>
      <c r="U1172" s="33">
        <f>+Assumptions!$H$25/1000*Assumptions!$H$26*Assumptions!$H$286*Assumptions!$H$268*U953</f>
        <v>16195.09998103762</v>
      </c>
      <c r="V1172" s="33">
        <f>+Assumptions!$H$25/1000*Assumptions!$H$26*Assumptions!$H$286*Assumptions!$H$268*V953</f>
        <v>16195.09998103762</v>
      </c>
      <c r="W1172" s="33">
        <f>+Assumptions!$H$25/1000*Assumptions!$H$26*Assumptions!$H$286*Assumptions!$H$268*W953</f>
        <v>16195.09998103762</v>
      </c>
      <c r="X1172" s="33">
        <f>+Assumptions!$H$25/1000*Assumptions!$H$26*Assumptions!$H$286*Assumptions!$H$268*X953</f>
        <v>16195.09998103762</v>
      </c>
      <c r="Y1172" s="33">
        <f>+Assumptions!$H$25/1000*Assumptions!$H$26*Assumptions!$H$286*Assumptions!$H$268*Y953</f>
        <v>16195.09998103762</v>
      </c>
      <c r="Z1172" s="33">
        <f>+Assumptions!$H$25/1000*Assumptions!$H$26*Assumptions!$H$286*Assumptions!$H$268*Z953</f>
        <v>0</v>
      </c>
      <c r="AA1172" s="33">
        <f>+Assumptions!$H$25/1000*Assumptions!$H$26*Assumptions!$H$286*Assumptions!$H$268*AA953</f>
        <v>0</v>
      </c>
      <c r="AB1172" s="33">
        <f>+Assumptions!$H$25/1000*Assumptions!$H$26*Assumptions!$H$286*Assumptions!$H$268*AB953</f>
        <v>0</v>
      </c>
      <c r="AC1172" s="33">
        <f>+Assumptions!$H$25/1000*Assumptions!$H$26*Assumptions!$H$286*Assumptions!$H$268*AC953</f>
        <v>0</v>
      </c>
      <c r="AD1172" s="33">
        <f>+Assumptions!$H$25/1000*Assumptions!$H$26*Assumptions!$H$286*Assumptions!$H$268*AD953</f>
        <v>0</v>
      </c>
      <c r="AE1172" s="33">
        <f>+Assumptions!$H$25/1000*Assumptions!$H$26*Assumptions!$H$286*Assumptions!$H$268*AE953</f>
        <v>0</v>
      </c>
      <c r="AF1172" s="33">
        <f>+Assumptions!$H$25/1000*Assumptions!$H$26*Assumptions!$H$286*Assumptions!$H$268*AF953</f>
        <v>0</v>
      </c>
      <c r="AG1172" s="33">
        <f>+Assumptions!$H$25/1000*Assumptions!$H$26*Assumptions!$H$286*Assumptions!$H$268*AG953</f>
        <v>0</v>
      </c>
      <c r="AH1172" s="33">
        <f>+Assumptions!$H$25/1000*Assumptions!$H$26*Assumptions!$H$286*Assumptions!$H$268*AH953</f>
        <v>0</v>
      </c>
      <c r="AI1172" s="33">
        <f>+Assumptions!$H$25/1000*Assumptions!$H$26*Assumptions!$H$286*Assumptions!$H$268*AI953</f>
        <v>0</v>
      </c>
      <c r="AJ1172" s="33">
        <f>+Assumptions!$H$25/1000*Assumptions!$H$26*Assumptions!$H$286*Assumptions!$H$268*AJ953</f>
        <v>0</v>
      </c>
      <c r="AK1172" s="33">
        <f>+Assumptions!$H$25/1000*Assumptions!$H$26*Assumptions!$H$286*Assumptions!$H$268*AK953</f>
        <v>0</v>
      </c>
      <c r="AL1172" s="33">
        <f>+Assumptions!$H$25/1000*Assumptions!$H$26*Assumptions!$H$286*Assumptions!$H$268*AL953</f>
        <v>0</v>
      </c>
      <c r="AM1172" s="33">
        <f>+Assumptions!$H$25/1000*Assumptions!$H$26*Assumptions!$H$286*Assumptions!$H$268*AM953</f>
        <v>0</v>
      </c>
      <c r="AN1172" s="33">
        <f>+Assumptions!$H$25/1000*Assumptions!$H$26*Assumptions!$H$286*Assumptions!$H$268*AN953</f>
        <v>0</v>
      </c>
      <c r="AO1172" s="33">
        <f>+Assumptions!$H$25/1000*Assumptions!$H$26*Assumptions!$H$286*Assumptions!$H$268*AO953</f>
        <v>0</v>
      </c>
      <c r="AP1172" s="33">
        <f>+Assumptions!$H$25/1000*Assumptions!$H$26*Assumptions!$H$286*Assumptions!$H$268*AP953</f>
        <v>0</v>
      </c>
      <c r="AQ1172" s="33">
        <f>+Assumptions!$H$25/1000*Assumptions!$H$26*Assumptions!$H$286*Assumptions!$H$268*AQ953</f>
        <v>0</v>
      </c>
      <c r="AR1172" s="33">
        <f>+Assumptions!$H$25/1000*Assumptions!$H$26*Assumptions!$H$286*Assumptions!$H$268*AR953</f>
        <v>0</v>
      </c>
      <c r="AS1172" s="33">
        <f>+Assumptions!$H$25/1000*Assumptions!$H$26*Assumptions!$H$286*Assumptions!$H$268*AS953</f>
        <v>0</v>
      </c>
      <c r="AT1172" s="33">
        <f>+Assumptions!$H$25/1000*Assumptions!$H$26*Assumptions!$H$286*Assumptions!$H$268*AT953</f>
        <v>0</v>
      </c>
      <c r="AU1172" s="33">
        <f>+Assumptions!$H$25/1000*Assumptions!$H$26*Assumptions!$H$286*Assumptions!$H$268*AU953</f>
        <v>0</v>
      </c>
      <c r="AV1172" s="33">
        <f>+Assumptions!$H$25/1000*Assumptions!$H$26*Assumptions!$H$286*Assumptions!$H$268*AV953</f>
        <v>0</v>
      </c>
      <c r="AW1172" s="33">
        <f>+Assumptions!$H$25/1000*Assumptions!$H$26*Assumptions!$H$286*Assumptions!$H$268*AW953</f>
        <v>0</v>
      </c>
      <c r="AX1172" s="33">
        <f>+Assumptions!$H$25/1000*Assumptions!$H$26*Assumptions!$H$286*Assumptions!$H$268*AX953</f>
        <v>0</v>
      </c>
      <c r="AY1172" s="33">
        <f>+Assumptions!$H$25/1000*Assumptions!$H$26*Assumptions!$H$286*Assumptions!$H$268*AY953</f>
        <v>0</v>
      </c>
      <c r="AZ1172" s="33">
        <f>+Assumptions!$H$25/1000*Assumptions!$H$26*Assumptions!$H$286*Assumptions!$H$268*AZ953</f>
        <v>0</v>
      </c>
      <c r="BA1172" s="33">
        <f>+Assumptions!$H$25/1000*Assumptions!$H$26*Assumptions!$H$286*Assumptions!$H$268*BA953</f>
        <v>0</v>
      </c>
      <c r="BB1172" s="33">
        <f>+Assumptions!$H$25/1000*Assumptions!$H$26*Assumptions!$H$286*Assumptions!$H$268*BB953</f>
        <v>0</v>
      </c>
      <c r="BC1172" s="33">
        <f>+Assumptions!$H$25/1000*Assumptions!$H$26*Assumptions!$H$286*Assumptions!$H$268*BC953</f>
        <v>0</v>
      </c>
      <c r="BD1172" s="33">
        <f>+Assumptions!$H$25/1000*Assumptions!$H$26*Assumptions!$H$286*Assumptions!$H$268*BD953</f>
        <v>0</v>
      </c>
      <c r="BE1172" s="33">
        <f>+Assumptions!$H$25/1000*Assumptions!$H$26*Assumptions!$H$286*Assumptions!$H$268*BE953</f>
        <v>0</v>
      </c>
      <c r="BF1172" s="33">
        <f>+Assumptions!$H$25/1000*Assumptions!$H$26*Assumptions!$H$286*Assumptions!$H$268*BF953</f>
        <v>0</v>
      </c>
      <c r="BG1172" s="33">
        <f>+Assumptions!$H$25/1000*Assumptions!$H$26*Assumptions!$H$286*Assumptions!$H$268*BG953</f>
        <v>0</v>
      </c>
      <c r="BH1172" s="33">
        <f>+Assumptions!$H$25/1000*Assumptions!$H$26*Assumptions!$H$286*Assumptions!$H$268*BH953</f>
        <v>0</v>
      </c>
      <c r="BI1172" s="33">
        <f>+Assumptions!$H$25/1000*Assumptions!$H$26*Assumptions!$H$286*Assumptions!$H$268*BI953</f>
        <v>0</v>
      </c>
      <c r="BJ1172" s="33">
        <f>+Assumptions!$H$25/1000*Assumptions!$H$26*Assumptions!$H$286*Assumptions!$H$268*BJ953</f>
        <v>0</v>
      </c>
      <c r="BK1172" s="33">
        <f>+Assumptions!$H$25/1000*Assumptions!$H$26*Assumptions!$H$286*Assumptions!$H$268*BK953</f>
        <v>0</v>
      </c>
      <c r="BL1172" s="33">
        <f>+Assumptions!$H$25/1000*Assumptions!$H$26*Assumptions!$H$286*Assumptions!$H$268*BL953</f>
        <v>0</v>
      </c>
      <c r="BM1172" s="33">
        <f>+Assumptions!$H$25/1000*Assumptions!$H$26*Assumptions!$H$286*Assumptions!$H$268*BM953</f>
        <v>0</v>
      </c>
      <c r="BN1172" s="33">
        <f>+Assumptions!$H$25/1000*Assumptions!$H$26*Assumptions!$H$286*Assumptions!$H$268*BN953</f>
        <v>0</v>
      </c>
      <c r="BO1172" s="33">
        <f>+Assumptions!$H$25/1000*Assumptions!$H$26*Assumptions!$H$286*Assumptions!$H$268*BO953</f>
        <v>0</v>
      </c>
      <c r="BP1172" s="33">
        <f>+Assumptions!$H$25/1000*Assumptions!$H$26*Assumptions!$H$286*Assumptions!$H$268*BP953</f>
        <v>0</v>
      </c>
      <c r="BQ1172" s="33">
        <f>+Assumptions!$H$25/1000*Assumptions!$H$26*Assumptions!$H$286*Assumptions!$H$268*BQ953</f>
        <v>0</v>
      </c>
      <c r="BR1172" s="33">
        <f>+Assumptions!$H$25/1000*Assumptions!$H$26*Assumptions!$H$286*Assumptions!$H$268*BR953</f>
        <v>0</v>
      </c>
      <c r="BS1172" s="33">
        <f>+Assumptions!$H$25/1000*Assumptions!$H$26*Assumptions!$H$286*Assumptions!$H$268*BS953</f>
        <v>0</v>
      </c>
      <c r="BT1172" s="33">
        <f>+Assumptions!$H$25/1000*Assumptions!$H$26*Assumptions!$H$286*Assumptions!$H$268*BT953</f>
        <v>0</v>
      </c>
      <c r="BU1172" s="33">
        <f>+Assumptions!$H$25/1000*Assumptions!$H$26*Assumptions!$H$286*Assumptions!$H$268*BU953</f>
        <v>0</v>
      </c>
      <c r="BV1172" s="33">
        <f>+Assumptions!$H$25/1000*Assumptions!$H$26*Assumptions!$H$286*Assumptions!$H$268*BV953</f>
        <v>0</v>
      </c>
      <c r="BW1172" s="33">
        <f>+Assumptions!$H$25/1000*Assumptions!$H$26*Assumptions!$H$286*Assumptions!$H$268*BW953</f>
        <v>0</v>
      </c>
      <c r="BX1172" s="33">
        <f>+Assumptions!$H$25/1000*Assumptions!$H$26*Assumptions!$H$286*Assumptions!$H$268*BX953</f>
        <v>0</v>
      </c>
      <c r="BY1172" s="33">
        <f>+Assumptions!$H$25/1000*Assumptions!$H$26*Assumptions!$H$286*Assumptions!$H$268*BY953</f>
        <v>0</v>
      </c>
    </row>
    <row r="1173" spans="1:77" outlineLevel="1">
      <c r="E1173" t="s">
        <v>608</v>
      </c>
      <c r="F1173" s="80" t="s">
        <v>159</v>
      </c>
      <c r="H1173" s="33">
        <f>IFERROR(+_xlfn.XLOOKUP(YEAR(H3),'FuelEU and ETS'!$I$8:$I$34,'FuelEU and ETS'!$O$8:$O$34),0)*Assumptions!$G$390</f>
        <v>133.34720000000002</v>
      </c>
      <c r="I1173" s="33">
        <f>IFERROR(+_xlfn.XLOOKUP(YEAR(I3),'FuelEU and ETS'!$I$8:$I$34,'FuelEU and ETS'!$O$8:$O$34),0)*Assumptions!$G$390</f>
        <v>140.49080000000001</v>
      </c>
      <c r="J1173" s="33">
        <f>IFERROR(+_xlfn.XLOOKUP(YEAR(J3),'FuelEU and ETS'!$I$8:$I$34,'FuelEU and ETS'!$O$8:$O$34),0)*Assumptions!$G$390</f>
        <v>147.6344</v>
      </c>
      <c r="K1173" s="33">
        <f>IFERROR(+_xlfn.XLOOKUP(YEAR(K3),'FuelEU and ETS'!$I$8:$I$34,'FuelEU and ETS'!$O$8:$O$34),0)*Assumptions!$G$390</f>
        <v>154.77800000000002</v>
      </c>
      <c r="L1173" s="33">
        <f>IFERROR(+_xlfn.XLOOKUP(YEAR(L3),'FuelEU and ETS'!$I$8:$I$34,'FuelEU and ETS'!$O$8:$O$34),0)*Assumptions!$G$390</f>
        <v>165.54102400000002</v>
      </c>
      <c r="M1173" s="33">
        <f>IFERROR(+_xlfn.XLOOKUP(YEAR(M3),'FuelEU and ETS'!$I$8:$I$34,'FuelEU and ETS'!$O$8:$O$34),0)*Assumptions!$G$390</f>
        <v>176.30404800000002</v>
      </c>
      <c r="N1173" s="33">
        <f>IFERROR(+_xlfn.XLOOKUP(YEAR(N3),'FuelEU and ETS'!$I$8:$I$34,'FuelEU and ETS'!$O$8:$O$34),0)*Assumptions!$G$390</f>
        <v>187.06707200000002</v>
      </c>
      <c r="O1173" s="33">
        <f>IFERROR(+_xlfn.XLOOKUP(YEAR(O3),'FuelEU and ETS'!$I$8:$I$34,'FuelEU and ETS'!$O$8:$O$34),0)*Assumptions!$G$390</f>
        <v>197.83009600000003</v>
      </c>
      <c r="P1173" s="33">
        <f>IFERROR(+_xlfn.XLOOKUP(YEAR(P3),'FuelEU and ETS'!$I$8:$I$34,'FuelEU and ETS'!$O$8:$O$34),0)*Assumptions!$G$390</f>
        <v>197.63960000000003</v>
      </c>
      <c r="Q1173" s="33">
        <f>IFERROR(+_xlfn.XLOOKUP(YEAR(Q3),'FuelEU and ETS'!$I$8:$I$34,'FuelEU and ETS'!$O$8:$O$34),0)*Assumptions!$G$390</f>
        <v>208.59312000000003</v>
      </c>
      <c r="R1173" s="33">
        <f>IFERROR(+_xlfn.XLOOKUP(YEAR(R3),'FuelEU and ETS'!$I$8:$I$34,'FuelEU and ETS'!$O$8:$O$34),0)*Assumptions!$G$390</f>
        <v>219.54664000000002</v>
      </c>
      <c r="S1173" s="33">
        <f>IFERROR(+_xlfn.XLOOKUP(YEAR(S3),'FuelEU and ETS'!$I$8:$I$34,'FuelEU and ETS'!$O$8:$O$34),0)*Assumptions!$G$390</f>
        <v>230.50016000000002</v>
      </c>
      <c r="T1173" s="33">
        <f>IFERROR(+_xlfn.XLOOKUP(YEAR(T3),'FuelEU and ETS'!$I$8:$I$34,'FuelEU and ETS'!$O$8:$O$34),0)*Assumptions!$G$390</f>
        <v>241.45368000000002</v>
      </c>
      <c r="U1173" s="33">
        <f>IFERROR(+_xlfn.XLOOKUP(YEAR(U3),'FuelEU and ETS'!$I$8:$I$34,'FuelEU and ETS'!$O$8:$O$34),0)*Assumptions!$G$390</f>
        <v>252.40720000000002</v>
      </c>
      <c r="V1173" s="33">
        <f>IFERROR(+_xlfn.XLOOKUP(YEAR(V3),'FuelEU and ETS'!$I$8:$I$34,'FuelEU and ETS'!$O$8:$O$34),0)*Assumptions!$G$390</f>
        <v>266.93252000000001</v>
      </c>
      <c r="W1173" s="33">
        <f>IFERROR(+_xlfn.XLOOKUP(YEAR(W3),'FuelEU and ETS'!$I$8:$I$34,'FuelEU and ETS'!$O$8:$O$34),0)*Assumptions!$G$390</f>
        <v>281.45784000000003</v>
      </c>
      <c r="X1173" s="33">
        <f>IFERROR(+_xlfn.XLOOKUP(YEAR(X3),'FuelEU and ETS'!$I$8:$I$34,'FuelEU and ETS'!$O$8:$O$34),0)*Assumptions!$G$390</f>
        <v>295.98316000000005</v>
      </c>
      <c r="Y1173" s="33">
        <f>IFERROR(+_xlfn.XLOOKUP(YEAR(Y3),'FuelEU and ETS'!$I$8:$I$34,'FuelEU and ETS'!$O$8:$O$34),0)*Assumptions!$G$390</f>
        <v>310.50848000000008</v>
      </c>
      <c r="Z1173" s="33">
        <f>IFERROR(+_xlfn.XLOOKUP(YEAR(Z3),'FuelEU and ETS'!$I$8:$I$34,'FuelEU and ETS'!$O$8:$O$34),0)*Assumptions!$G$390</f>
        <v>325.03380000000004</v>
      </c>
      <c r="AA1173" s="33">
        <f>IFERROR(+_xlfn.XLOOKUP(YEAR(AA3),'FuelEU and ETS'!$I$8:$I$34,'FuelEU and ETS'!$O$8:$O$34),0)*Assumptions!$G$390</f>
        <v>0</v>
      </c>
      <c r="AB1173" s="33">
        <f>IFERROR(+_xlfn.XLOOKUP(YEAR(AB3),'FuelEU and ETS'!$I$8:$I$34,'FuelEU and ETS'!$O$8:$O$34),0)*Assumptions!$G$390</f>
        <v>0</v>
      </c>
      <c r="AC1173" s="33">
        <f>IFERROR(+_xlfn.XLOOKUP(YEAR(AC3),'FuelEU and ETS'!$I$8:$I$34,'FuelEU and ETS'!$O$8:$O$34),0)*Assumptions!$G$390</f>
        <v>0</v>
      </c>
      <c r="AD1173" s="33">
        <f>IFERROR(+_xlfn.XLOOKUP(YEAR(AD3),'FuelEU and ETS'!$I$8:$I$34,'FuelEU and ETS'!$O$8:$O$34),0)*Assumptions!$G$390</f>
        <v>0</v>
      </c>
      <c r="AE1173" s="33">
        <f>IFERROR(+_xlfn.XLOOKUP(YEAR(AE3),'FuelEU and ETS'!$I$8:$I$34,'FuelEU and ETS'!$O$8:$O$34),0)*Assumptions!$G$390</f>
        <v>0</v>
      </c>
      <c r="AF1173" s="33">
        <f>IFERROR(+_xlfn.XLOOKUP(YEAR(AF3),'FuelEU and ETS'!$I$8:$I$34,'FuelEU and ETS'!$O$8:$O$34),0)*Assumptions!$G$390</f>
        <v>0</v>
      </c>
      <c r="AG1173" s="33">
        <f>IFERROR(+_xlfn.XLOOKUP(YEAR(AG3),'FuelEU and ETS'!$I$8:$I$34,'FuelEU and ETS'!$O$8:$O$34),0)*Assumptions!$G$390</f>
        <v>0</v>
      </c>
      <c r="AH1173" s="33">
        <f>IFERROR(+_xlfn.XLOOKUP(YEAR(AH3),'FuelEU and ETS'!$I$8:$I$34,'FuelEU and ETS'!$O$8:$O$34),0)*Assumptions!$G$390</f>
        <v>0</v>
      </c>
      <c r="AI1173" s="33">
        <f>IFERROR(+_xlfn.XLOOKUP(YEAR(AI3),'FuelEU and ETS'!$I$8:$I$34,'FuelEU and ETS'!$O$8:$O$34),0)*Assumptions!$G$390</f>
        <v>0</v>
      </c>
      <c r="AJ1173" s="33">
        <f>IFERROR(+_xlfn.XLOOKUP(YEAR(AJ3),'FuelEU and ETS'!$I$8:$I$34,'FuelEU and ETS'!$O$8:$O$34),0)*Assumptions!$G$390</f>
        <v>0</v>
      </c>
      <c r="AK1173" s="33">
        <f>IFERROR(+_xlfn.XLOOKUP(YEAR(AK3),'FuelEU and ETS'!$I$8:$I$34,'FuelEU and ETS'!$O$8:$O$34),0)*Assumptions!$G$390</f>
        <v>0</v>
      </c>
      <c r="AL1173" s="33">
        <f>IFERROR(+_xlfn.XLOOKUP(YEAR(AL3),'FuelEU and ETS'!$I$8:$I$34,'FuelEU and ETS'!$O$8:$O$34),0)*Assumptions!$G$390</f>
        <v>0</v>
      </c>
      <c r="AM1173" s="33">
        <f>IFERROR(+_xlfn.XLOOKUP(YEAR(AM3),'FuelEU and ETS'!$I$8:$I$34,'FuelEU and ETS'!$O$8:$O$34),0)*Assumptions!$G$390</f>
        <v>0</v>
      </c>
      <c r="AN1173" s="33">
        <f>IFERROR(+_xlfn.XLOOKUP(YEAR(AN3),'FuelEU and ETS'!$I$8:$I$34,'FuelEU and ETS'!$O$8:$O$34),0)*Assumptions!$G$390</f>
        <v>0</v>
      </c>
      <c r="AO1173" s="33">
        <f>IFERROR(+_xlfn.XLOOKUP(YEAR(AO3),'FuelEU and ETS'!$I$8:$I$34,'FuelEU and ETS'!$O$8:$O$34),0)*Assumptions!$G$390</f>
        <v>0</v>
      </c>
      <c r="AP1173" s="33">
        <f>IFERROR(+_xlfn.XLOOKUP(YEAR(AP3),'FuelEU and ETS'!$I$8:$I$34,'FuelEU and ETS'!$O$8:$O$34),0)*Assumptions!$G$390</f>
        <v>0</v>
      </c>
      <c r="AQ1173" s="33">
        <f>IFERROR(+_xlfn.XLOOKUP(YEAR(AQ3),'FuelEU and ETS'!$I$8:$I$34,'FuelEU and ETS'!$O$8:$O$34),0)*Assumptions!$G$390</f>
        <v>0</v>
      </c>
      <c r="AR1173" s="33">
        <f>IFERROR(+_xlfn.XLOOKUP(YEAR(AR3),'FuelEU and ETS'!$I$8:$I$34,'FuelEU and ETS'!$O$8:$O$34),0)*Assumptions!$G$390</f>
        <v>0</v>
      </c>
      <c r="AS1173" s="33">
        <f>IFERROR(+_xlfn.XLOOKUP(YEAR(AS3),'FuelEU and ETS'!$I$8:$I$34,'FuelEU and ETS'!$O$8:$O$34),0)*Assumptions!$G$390</f>
        <v>0</v>
      </c>
      <c r="AT1173" s="33">
        <f>IFERROR(+_xlfn.XLOOKUP(YEAR(AT3),'FuelEU and ETS'!$I$8:$I$34,'FuelEU and ETS'!$O$8:$O$34),0)*Assumptions!$G$390</f>
        <v>0</v>
      </c>
      <c r="AU1173" s="33">
        <f>IFERROR(+_xlfn.XLOOKUP(YEAR(AU3),'FuelEU and ETS'!$I$8:$I$34,'FuelEU and ETS'!$O$8:$O$34),0)*Assumptions!$G$390</f>
        <v>0</v>
      </c>
      <c r="AV1173" s="33">
        <f>IFERROR(+_xlfn.XLOOKUP(YEAR(AV3),'FuelEU and ETS'!$I$8:$I$34,'FuelEU and ETS'!$O$8:$O$34),0)*Assumptions!$G$390</f>
        <v>0</v>
      </c>
      <c r="AW1173" s="33">
        <f>IFERROR(+_xlfn.XLOOKUP(YEAR(AW3),'FuelEU and ETS'!$I$8:$I$34,'FuelEU and ETS'!$O$8:$O$34),0)*Assumptions!$G$390</f>
        <v>0</v>
      </c>
      <c r="AX1173" s="33">
        <f>IFERROR(+_xlfn.XLOOKUP(YEAR(AX3),'FuelEU and ETS'!$I$8:$I$34,'FuelEU and ETS'!$O$8:$O$34),0)*Assumptions!$G$390</f>
        <v>0</v>
      </c>
      <c r="AY1173" s="33">
        <f>IFERROR(+_xlfn.XLOOKUP(YEAR(AY3),'FuelEU and ETS'!$I$8:$I$34,'FuelEU and ETS'!$O$8:$O$34),0)*Assumptions!$G$390</f>
        <v>0</v>
      </c>
      <c r="AZ1173" s="33">
        <f>IFERROR(+_xlfn.XLOOKUP(YEAR(AZ3),'FuelEU and ETS'!$I$8:$I$34,'FuelEU and ETS'!$O$8:$O$34),0)*Assumptions!$G$390</f>
        <v>0</v>
      </c>
      <c r="BA1173" s="33">
        <f>IFERROR(+_xlfn.XLOOKUP(YEAR(BA3),'FuelEU and ETS'!$I$8:$I$34,'FuelEU and ETS'!$O$8:$O$34),0)*Assumptions!$G$390</f>
        <v>0</v>
      </c>
      <c r="BB1173" s="33">
        <f>IFERROR(+_xlfn.XLOOKUP(YEAR(BB3),'FuelEU and ETS'!$I$8:$I$34,'FuelEU and ETS'!$O$8:$O$34),0)*Assumptions!$G$390</f>
        <v>0</v>
      </c>
      <c r="BC1173" s="33">
        <f>IFERROR(+_xlfn.XLOOKUP(YEAR(BC3),'FuelEU and ETS'!$I$8:$I$34,'FuelEU and ETS'!$O$8:$O$34),0)*Assumptions!$G$390</f>
        <v>0</v>
      </c>
      <c r="BD1173" s="33">
        <f>IFERROR(+_xlfn.XLOOKUP(YEAR(BD3),'FuelEU and ETS'!$I$8:$I$34,'FuelEU and ETS'!$O$8:$O$34),0)*Assumptions!$G$390</f>
        <v>0</v>
      </c>
      <c r="BE1173" s="33">
        <f>IFERROR(+_xlfn.XLOOKUP(YEAR(BE3),'FuelEU and ETS'!$I$8:$I$34,'FuelEU and ETS'!$O$8:$O$34),0)*Assumptions!$G$390</f>
        <v>0</v>
      </c>
      <c r="BF1173" s="33">
        <f>IFERROR(+_xlfn.XLOOKUP(YEAR(BF3),'FuelEU and ETS'!$I$8:$I$34,'FuelEU and ETS'!$O$8:$O$34),0)*Assumptions!$G$390</f>
        <v>0</v>
      </c>
      <c r="BG1173" s="33">
        <f>IFERROR(+_xlfn.XLOOKUP(YEAR(BG3),'FuelEU and ETS'!$I$8:$I$34,'FuelEU and ETS'!$O$8:$O$34),0)*Assumptions!$G$390</f>
        <v>0</v>
      </c>
      <c r="BH1173" s="33">
        <f>IFERROR(+_xlfn.XLOOKUP(YEAR(BH3),'FuelEU and ETS'!$I$8:$I$34,'FuelEU and ETS'!$O$8:$O$34),0)*Assumptions!$G$390</f>
        <v>0</v>
      </c>
      <c r="BI1173" s="33">
        <f>IFERROR(+_xlfn.XLOOKUP(YEAR(BI3),'FuelEU and ETS'!$I$8:$I$34,'FuelEU and ETS'!$O$8:$O$34),0)*Assumptions!$G$390</f>
        <v>0</v>
      </c>
      <c r="BJ1173" s="33">
        <f>IFERROR(+_xlfn.XLOOKUP(YEAR(BJ3),'FuelEU and ETS'!$I$8:$I$34,'FuelEU and ETS'!$O$8:$O$34),0)*Assumptions!$G$390</f>
        <v>0</v>
      </c>
      <c r="BK1173" s="33">
        <f>IFERROR(+_xlfn.XLOOKUP(YEAR(BK3),'FuelEU and ETS'!$I$8:$I$34,'FuelEU and ETS'!$O$8:$O$34),0)*Assumptions!$G$390</f>
        <v>0</v>
      </c>
      <c r="BL1173" s="33">
        <f>IFERROR(+_xlfn.XLOOKUP(YEAR(BL3),'FuelEU and ETS'!$I$8:$I$34,'FuelEU and ETS'!$O$8:$O$34),0)*Assumptions!$G$390</f>
        <v>0</v>
      </c>
      <c r="BM1173" s="33">
        <f>IFERROR(+_xlfn.XLOOKUP(YEAR(BM3),'FuelEU and ETS'!$I$8:$I$34,'FuelEU and ETS'!$O$8:$O$34),0)*Assumptions!$G$390</f>
        <v>0</v>
      </c>
      <c r="BN1173" s="33">
        <f>IFERROR(+_xlfn.XLOOKUP(YEAR(BN3),'FuelEU and ETS'!$I$8:$I$34,'FuelEU and ETS'!$O$8:$O$34),0)*Assumptions!$G$390</f>
        <v>0</v>
      </c>
      <c r="BO1173" s="33">
        <f>IFERROR(+_xlfn.XLOOKUP(YEAR(BO3),'FuelEU and ETS'!$I$8:$I$34,'FuelEU and ETS'!$O$8:$O$34),0)*Assumptions!$G$390</f>
        <v>0</v>
      </c>
      <c r="BP1173" s="33">
        <f>IFERROR(+_xlfn.XLOOKUP(YEAR(BP3),'FuelEU and ETS'!$I$8:$I$34,'FuelEU and ETS'!$O$8:$O$34),0)*Assumptions!$G$390</f>
        <v>0</v>
      </c>
      <c r="BQ1173" s="33">
        <f>IFERROR(+_xlfn.XLOOKUP(YEAR(BQ3),'FuelEU and ETS'!$I$8:$I$34,'FuelEU and ETS'!$O$8:$O$34),0)*Assumptions!$G$390</f>
        <v>0</v>
      </c>
      <c r="BR1173" s="33">
        <f>IFERROR(+_xlfn.XLOOKUP(YEAR(BR3),'FuelEU and ETS'!$I$8:$I$34,'FuelEU and ETS'!$O$8:$O$34),0)*Assumptions!$G$390</f>
        <v>0</v>
      </c>
      <c r="BS1173" s="33">
        <f>IFERROR(+_xlfn.XLOOKUP(YEAR(BS3),'FuelEU and ETS'!$I$8:$I$34,'FuelEU and ETS'!$O$8:$O$34),0)*Assumptions!$G$390</f>
        <v>0</v>
      </c>
      <c r="BT1173" s="33">
        <f>IFERROR(+_xlfn.XLOOKUP(YEAR(BT3),'FuelEU and ETS'!$I$8:$I$34,'FuelEU and ETS'!$O$8:$O$34),0)*Assumptions!$G$390</f>
        <v>0</v>
      </c>
      <c r="BU1173" s="33">
        <f>IFERROR(+_xlfn.XLOOKUP(YEAR(BU3),'FuelEU and ETS'!$I$8:$I$34,'FuelEU and ETS'!$O$8:$O$34),0)*Assumptions!$G$390</f>
        <v>0</v>
      </c>
      <c r="BV1173" s="33">
        <f>IFERROR(+_xlfn.XLOOKUP(YEAR(BV3),'FuelEU and ETS'!$I$8:$I$34,'FuelEU and ETS'!$O$8:$O$34),0)*Assumptions!$G$390</f>
        <v>0</v>
      </c>
      <c r="BW1173" s="33">
        <f>IFERROR(+_xlfn.XLOOKUP(YEAR(BW3),'FuelEU and ETS'!$I$8:$I$34,'FuelEU and ETS'!$O$8:$O$34),0)*Assumptions!$G$390</f>
        <v>0</v>
      </c>
      <c r="BX1173" s="33">
        <f>IFERROR(+_xlfn.XLOOKUP(YEAR(BX3),'FuelEU and ETS'!$I$8:$I$34,'FuelEU and ETS'!$O$8:$O$34),0)*Assumptions!$G$390</f>
        <v>0</v>
      </c>
      <c r="BY1173" s="33">
        <f>IFERROR(+_xlfn.XLOOKUP(YEAR(BY3),'FuelEU and ETS'!$I$8:$I$34,'FuelEU and ETS'!$O$8:$O$34),0)*Assumptions!$G$390</f>
        <v>0</v>
      </c>
    </row>
    <row r="1174" spans="1:77" outlineLevel="1">
      <c r="E1174" t="s">
        <v>609</v>
      </c>
      <c r="F1174" s="80" t="s">
        <v>159</v>
      </c>
      <c r="H1174" s="33" t="b">
        <f>+IF(Assumptions!$H$393="Yes",(IFERROR(IF(_xlfn.XLOOKUP(Assumptions!$H$24,Data_tables!$K:$K,Data_tables!$R:$R)=1,-H1172*H1173,0),0)))</f>
        <v>0</v>
      </c>
      <c r="I1174" s="33" t="b">
        <f>+IF(Assumptions!$H$393="Yes",(IFERROR(IF(_xlfn.XLOOKUP(Assumptions!$H$24,Data_tables!$K:$K,Data_tables!$R:$R)=1,-I1172*I1173,0),0)))</f>
        <v>0</v>
      </c>
      <c r="J1174" s="33" t="b">
        <f>+IF(Assumptions!$H$393="Yes",(IFERROR(IF(_xlfn.XLOOKUP(Assumptions!$H$24,Data_tables!$K:$K,Data_tables!$R:$R)=1,-J1172*J1173,0),0)))</f>
        <v>0</v>
      </c>
      <c r="K1174" s="33" t="b">
        <f>+IF(Assumptions!$H$393="Yes",(IFERROR(IF(_xlfn.XLOOKUP(Assumptions!$H$24,Data_tables!$K:$K,Data_tables!$R:$R)=1,-K1172*K1173,0),0)))</f>
        <v>0</v>
      </c>
      <c r="L1174" s="33" t="b">
        <f>+IF(Assumptions!$H$393="Yes",(IFERROR(IF(_xlfn.XLOOKUP(Assumptions!$H$24,Data_tables!$K:$K,Data_tables!$R:$R)=1,-L1172*L1173,0),0)))</f>
        <v>0</v>
      </c>
      <c r="M1174" s="33" t="b">
        <f>+IF(Assumptions!$H$393="Yes",(IFERROR(IF(_xlfn.XLOOKUP(Assumptions!$H$24,Data_tables!$K:$K,Data_tables!$R:$R)=1,-M1172*M1173,0),0)))</f>
        <v>0</v>
      </c>
      <c r="N1174" s="33" t="b">
        <f>+IF(Assumptions!$H$393="Yes",(IFERROR(IF(_xlfn.XLOOKUP(Assumptions!$H$24,Data_tables!$K:$K,Data_tables!$R:$R)=1,-N1172*N1173,0),0)))</f>
        <v>0</v>
      </c>
      <c r="O1174" s="33" t="b">
        <f>+IF(Assumptions!$H$393="Yes",(IFERROR(IF(_xlfn.XLOOKUP(Assumptions!$H$24,Data_tables!$K:$K,Data_tables!$R:$R)=1,-O1172*O1173,0),0)))</f>
        <v>0</v>
      </c>
      <c r="P1174" s="33" t="b">
        <f>+IF(Assumptions!$H$393="Yes",(IFERROR(IF(_xlfn.XLOOKUP(Assumptions!$H$24,Data_tables!$K:$K,Data_tables!$R:$R)=1,-P1172*P1173,0),0)))</f>
        <v>0</v>
      </c>
      <c r="Q1174" s="33" t="b">
        <f>+IF(Assumptions!$H$393="Yes",(IFERROR(IF(_xlfn.XLOOKUP(Assumptions!$H$24,Data_tables!$K:$K,Data_tables!$R:$R)=1,-Q1172*Q1173,0),0)))</f>
        <v>0</v>
      </c>
      <c r="R1174" s="33" t="b">
        <f>+IF(Assumptions!$H$393="Yes",(IFERROR(IF(_xlfn.XLOOKUP(Assumptions!$H$24,Data_tables!$K:$K,Data_tables!$R:$R)=1,-R1172*R1173,0),0)))</f>
        <v>0</v>
      </c>
      <c r="S1174" s="33" t="b">
        <f>+IF(Assumptions!$H$393="Yes",(IFERROR(IF(_xlfn.XLOOKUP(Assumptions!$H$24,Data_tables!$K:$K,Data_tables!$R:$R)=1,-S1172*S1173,0),0)))</f>
        <v>0</v>
      </c>
      <c r="T1174" s="33" t="b">
        <f>+IF(Assumptions!$H$393="Yes",(IFERROR(IF(_xlfn.XLOOKUP(Assumptions!$H$24,Data_tables!$K:$K,Data_tables!$R:$R)=1,-T1172*T1173,0),0)))</f>
        <v>0</v>
      </c>
      <c r="U1174" s="33" t="b">
        <f>+IF(Assumptions!$H$393="Yes",(IFERROR(IF(_xlfn.XLOOKUP(Assumptions!$H$24,Data_tables!$K:$K,Data_tables!$R:$R)=1,-U1172*U1173,0),0)))</f>
        <v>0</v>
      </c>
      <c r="V1174" s="33" t="b">
        <f>+IF(Assumptions!$H$393="Yes",(IFERROR(IF(_xlfn.XLOOKUP(Assumptions!$H$24,Data_tables!$K:$K,Data_tables!$R:$R)=1,-V1172*V1173,0),0)))</f>
        <v>0</v>
      </c>
      <c r="W1174" s="33" t="b">
        <f>+IF(Assumptions!$H$393="Yes",(IFERROR(IF(_xlfn.XLOOKUP(Assumptions!$H$24,Data_tables!$K:$K,Data_tables!$R:$R)=1,-W1172*W1173,0),0)))</f>
        <v>0</v>
      </c>
      <c r="X1174" s="33" t="b">
        <f>+IF(Assumptions!$H$393="Yes",(IFERROR(IF(_xlfn.XLOOKUP(Assumptions!$H$24,Data_tables!$K:$K,Data_tables!$R:$R)=1,-X1172*X1173,0),0)))</f>
        <v>0</v>
      </c>
      <c r="Y1174" s="33" t="b">
        <f>+IF(Assumptions!$H$393="Yes",(IFERROR(IF(_xlfn.XLOOKUP(Assumptions!$H$24,Data_tables!$K:$K,Data_tables!$R:$R)=1,-Y1172*Y1173,0),0)))</f>
        <v>0</v>
      </c>
      <c r="Z1174" s="33" t="b">
        <f>+IF(Assumptions!$H$393="Yes",(IFERROR(IF(_xlfn.XLOOKUP(Assumptions!$H$24,Data_tables!$K:$K,Data_tables!$R:$R)=1,-Z1172*Z1173,0),0)))</f>
        <v>0</v>
      </c>
      <c r="AA1174" s="33" t="b">
        <f>+IF(Assumptions!$H$393="Yes",(IFERROR(IF(_xlfn.XLOOKUP(Assumptions!$H$24,Data_tables!$K:$K,Data_tables!$R:$R)=1,-AA1172*AA1173,0),0)))</f>
        <v>0</v>
      </c>
      <c r="AB1174" s="33" t="b">
        <f>+IF(Assumptions!$H$393="Yes",(IFERROR(IF(_xlfn.XLOOKUP(Assumptions!$H$24,Data_tables!$K:$K,Data_tables!$R:$R)=1,-AB1172*AB1173,0),0)))</f>
        <v>0</v>
      </c>
      <c r="AC1174" s="33" t="b">
        <f>+IF(Assumptions!$H$393="Yes",(IFERROR(IF(_xlfn.XLOOKUP(Assumptions!$H$24,Data_tables!$K:$K,Data_tables!$R:$R)=1,-AC1172*AC1173,0),0)))</f>
        <v>0</v>
      </c>
      <c r="AD1174" s="33" t="b">
        <f>+IF(Assumptions!$H$393="Yes",(IFERROR(IF(_xlfn.XLOOKUP(Assumptions!$H$24,Data_tables!$K:$K,Data_tables!$R:$R)=1,-AD1172*AD1173,0),0)))</f>
        <v>0</v>
      </c>
      <c r="AE1174" s="33" t="b">
        <f>+IF(Assumptions!$H$393="Yes",(IFERROR(IF(_xlfn.XLOOKUP(Assumptions!$H$24,Data_tables!$K:$K,Data_tables!$R:$R)=1,-AE1172*AE1173,0),0)))</f>
        <v>0</v>
      </c>
      <c r="AF1174" s="33" t="b">
        <f>+IF(Assumptions!$H$393="Yes",(IFERROR(IF(_xlfn.XLOOKUP(Assumptions!$H$24,Data_tables!$K:$K,Data_tables!$R:$R)=1,-AF1172*AF1173,0),0)))</f>
        <v>0</v>
      </c>
      <c r="AG1174" s="33" t="b">
        <f>+IF(Assumptions!$H$393="Yes",(IFERROR(IF(_xlfn.XLOOKUP(Assumptions!$H$24,Data_tables!$K:$K,Data_tables!$R:$R)=1,-AG1172*AG1173,0),0)))</f>
        <v>0</v>
      </c>
      <c r="AH1174" s="33" t="b">
        <f>+IF(Assumptions!$H$393="Yes",(IFERROR(IF(_xlfn.XLOOKUP(Assumptions!$H$24,Data_tables!$K:$K,Data_tables!$R:$R)=1,-AH1172*AH1173,0),0)))</f>
        <v>0</v>
      </c>
      <c r="AI1174" s="33" t="b">
        <f>+IF(Assumptions!$H$393="Yes",(IFERROR(IF(_xlfn.XLOOKUP(Assumptions!$H$24,Data_tables!$K:$K,Data_tables!$R:$R)=1,-AI1172*AI1173,0),0)))</f>
        <v>0</v>
      </c>
      <c r="AJ1174" s="33" t="b">
        <f>+IF(Assumptions!$H$393="Yes",(IFERROR(IF(_xlfn.XLOOKUP(Assumptions!$H$24,Data_tables!$K:$K,Data_tables!$R:$R)=1,-AJ1172*AJ1173,0),0)))</f>
        <v>0</v>
      </c>
      <c r="AK1174" s="33" t="b">
        <f>+IF(Assumptions!$H$393="Yes",(IFERROR(IF(_xlfn.XLOOKUP(Assumptions!$H$24,Data_tables!$K:$K,Data_tables!$R:$R)=1,-AK1172*AK1173,0),0)))</f>
        <v>0</v>
      </c>
      <c r="AL1174" s="33" t="b">
        <f>+IF(Assumptions!$H$393="Yes",(IFERROR(IF(_xlfn.XLOOKUP(Assumptions!$H$24,Data_tables!$K:$K,Data_tables!$R:$R)=1,-AL1172*AL1173,0),0)))</f>
        <v>0</v>
      </c>
      <c r="AM1174" s="33" t="b">
        <f>+IF(Assumptions!$H$393="Yes",(IFERROR(IF(_xlfn.XLOOKUP(Assumptions!$H$24,Data_tables!$K:$K,Data_tables!$R:$R)=1,-AM1172*AM1173,0),0)))</f>
        <v>0</v>
      </c>
      <c r="AN1174" s="33" t="b">
        <f>+IF(Assumptions!$H$393="Yes",(IFERROR(IF(_xlfn.XLOOKUP(Assumptions!$H$24,Data_tables!$K:$K,Data_tables!$R:$R)=1,-AN1172*AN1173,0),0)))</f>
        <v>0</v>
      </c>
      <c r="AO1174" s="33" t="b">
        <f>+IF(Assumptions!$H$393="Yes",(IFERROR(IF(_xlfn.XLOOKUP(Assumptions!$H$24,Data_tables!$K:$K,Data_tables!$R:$R)=1,-AO1172*AO1173,0),0)))</f>
        <v>0</v>
      </c>
      <c r="AP1174" s="33" t="b">
        <f>+IF(Assumptions!$H$393="Yes",(IFERROR(IF(_xlfn.XLOOKUP(Assumptions!$H$24,Data_tables!$K:$K,Data_tables!$R:$R)=1,-AP1172*AP1173,0),0)))</f>
        <v>0</v>
      </c>
      <c r="AQ1174" s="33" t="b">
        <f>+IF(Assumptions!$H$393="Yes",(IFERROR(IF(_xlfn.XLOOKUP(Assumptions!$H$24,Data_tables!$K:$K,Data_tables!$R:$R)=1,-AQ1172*AQ1173,0),0)))</f>
        <v>0</v>
      </c>
      <c r="AR1174" s="33" t="b">
        <f>+IF(Assumptions!$H$393="Yes",(IFERROR(IF(_xlfn.XLOOKUP(Assumptions!$H$24,Data_tables!$K:$K,Data_tables!$R:$R)=1,-AR1172*AR1173,0),0)))</f>
        <v>0</v>
      </c>
      <c r="AS1174" s="33" t="b">
        <f>+IF(Assumptions!$H$393="Yes",(IFERROR(IF(_xlfn.XLOOKUP(Assumptions!$H$24,Data_tables!$K:$K,Data_tables!$R:$R)=1,-AS1172*AS1173,0),0)))</f>
        <v>0</v>
      </c>
      <c r="AT1174" s="33" t="b">
        <f>+IF(Assumptions!$H$393="Yes",(IFERROR(IF(_xlfn.XLOOKUP(Assumptions!$H$24,Data_tables!$K:$K,Data_tables!$R:$R)=1,-AT1172*AT1173,0),0)))</f>
        <v>0</v>
      </c>
      <c r="AU1174" s="33" t="b">
        <f>+IF(Assumptions!$H$393="Yes",(IFERROR(IF(_xlfn.XLOOKUP(Assumptions!$H$24,Data_tables!$K:$K,Data_tables!$R:$R)=1,-AU1172*AU1173,0),0)))</f>
        <v>0</v>
      </c>
      <c r="AV1174" s="33" t="b">
        <f>+IF(Assumptions!$H$393="Yes",(IFERROR(IF(_xlfn.XLOOKUP(Assumptions!$H$24,Data_tables!$K:$K,Data_tables!$R:$R)=1,-AV1172*AV1173,0),0)))</f>
        <v>0</v>
      </c>
      <c r="AW1174" s="33" t="b">
        <f>+IF(Assumptions!$H$393="Yes",(IFERROR(IF(_xlfn.XLOOKUP(Assumptions!$H$24,Data_tables!$K:$K,Data_tables!$R:$R)=1,-AW1172*AW1173,0),0)))</f>
        <v>0</v>
      </c>
      <c r="AX1174" s="33" t="b">
        <f>+IF(Assumptions!$H$393="Yes",(IFERROR(IF(_xlfn.XLOOKUP(Assumptions!$H$24,Data_tables!$K:$K,Data_tables!$R:$R)=1,-AX1172*AX1173,0),0)))</f>
        <v>0</v>
      </c>
      <c r="AY1174" s="33" t="b">
        <f>+IF(Assumptions!$H$393="Yes",(IFERROR(IF(_xlfn.XLOOKUP(Assumptions!$H$24,Data_tables!$K:$K,Data_tables!$R:$R)=1,-AY1172*AY1173,0),0)))</f>
        <v>0</v>
      </c>
      <c r="AZ1174" s="33" t="b">
        <f>+IF(Assumptions!$H$393="Yes",(IFERROR(IF(_xlfn.XLOOKUP(Assumptions!$H$24,Data_tables!$K:$K,Data_tables!$R:$R)=1,-AZ1172*AZ1173,0),0)))</f>
        <v>0</v>
      </c>
      <c r="BA1174" s="33" t="b">
        <f>+IF(Assumptions!$H$393="Yes",(IFERROR(IF(_xlfn.XLOOKUP(Assumptions!$H$24,Data_tables!$K:$K,Data_tables!$R:$R)=1,-BA1172*BA1173,0),0)))</f>
        <v>0</v>
      </c>
      <c r="BB1174" s="33" t="b">
        <f>+IF(Assumptions!$H$393="Yes",(IFERROR(IF(_xlfn.XLOOKUP(Assumptions!$H$24,Data_tables!$K:$K,Data_tables!$R:$R)=1,-BB1172*BB1173,0),0)))</f>
        <v>0</v>
      </c>
      <c r="BC1174" s="33" t="b">
        <f>+IF(Assumptions!$H$393="Yes",(IFERROR(IF(_xlfn.XLOOKUP(Assumptions!$H$24,Data_tables!$K:$K,Data_tables!$R:$R)=1,-BC1172*BC1173,0),0)))</f>
        <v>0</v>
      </c>
      <c r="BD1174" s="33" t="b">
        <f>+IF(Assumptions!$H$393="Yes",(IFERROR(IF(_xlfn.XLOOKUP(Assumptions!$H$24,Data_tables!$K:$K,Data_tables!$R:$R)=1,-BD1172*BD1173,0),0)))</f>
        <v>0</v>
      </c>
      <c r="BE1174" s="33" t="b">
        <f>+IF(Assumptions!$H$393="Yes",(IFERROR(IF(_xlfn.XLOOKUP(Assumptions!$H$24,Data_tables!$K:$K,Data_tables!$R:$R)=1,-BE1172*BE1173,0),0)))</f>
        <v>0</v>
      </c>
      <c r="BF1174" s="33" t="b">
        <f>+IF(Assumptions!$H$393="Yes",(IFERROR(IF(_xlfn.XLOOKUP(Assumptions!$H$24,Data_tables!$K:$K,Data_tables!$R:$R)=1,-BF1172*BF1173,0),0)))</f>
        <v>0</v>
      </c>
      <c r="BG1174" s="33" t="b">
        <f>+IF(Assumptions!$H$393="Yes",(IFERROR(IF(_xlfn.XLOOKUP(Assumptions!$H$24,Data_tables!$K:$K,Data_tables!$R:$R)=1,-BG1172*BG1173,0),0)))</f>
        <v>0</v>
      </c>
      <c r="BH1174" s="33" t="b">
        <f>+IF(Assumptions!$H$393="Yes",(IFERROR(IF(_xlfn.XLOOKUP(Assumptions!$H$24,Data_tables!$K:$K,Data_tables!$R:$R)=1,-BH1172*BH1173,0),0)))</f>
        <v>0</v>
      </c>
      <c r="BI1174" s="33" t="b">
        <f>+IF(Assumptions!$H$393="Yes",(IFERROR(IF(_xlfn.XLOOKUP(Assumptions!$H$24,Data_tables!$K:$K,Data_tables!$R:$R)=1,-BI1172*BI1173,0),0)))</f>
        <v>0</v>
      </c>
      <c r="BJ1174" s="33" t="b">
        <f>+IF(Assumptions!$H$393="Yes",(IFERROR(IF(_xlfn.XLOOKUP(Assumptions!$H$24,Data_tables!$K:$K,Data_tables!$R:$R)=1,-BJ1172*BJ1173,0),0)))</f>
        <v>0</v>
      </c>
      <c r="BK1174" s="33" t="b">
        <f>+IF(Assumptions!$H$393="Yes",(IFERROR(IF(_xlfn.XLOOKUP(Assumptions!$H$24,Data_tables!$K:$K,Data_tables!$R:$R)=1,-BK1172*BK1173,0),0)))</f>
        <v>0</v>
      </c>
      <c r="BL1174" s="33" t="b">
        <f>+IF(Assumptions!$H$393="Yes",(IFERROR(IF(_xlfn.XLOOKUP(Assumptions!$H$24,Data_tables!$K:$K,Data_tables!$R:$R)=1,-BL1172*BL1173,0),0)))</f>
        <v>0</v>
      </c>
      <c r="BM1174" s="33" t="b">
        <f>+IF(Assumptions!$H$393="Yes",(IFERROR(IF(_xlfn.XLOOKUP(Assumptions!$H$24,Data_tables!$K:$K,Data_tables!$R:$R)=1,-BM1172*BM1173,0),0)))</f>
        <v>0</v>
      </c>
      <c r="BN1174" s="33" t="b">
        <f>+IF(Assumptions!$H$393="Yes",(IFERROR(IF(_xlfn.XLOOKUP(Assumptions!$H$24,Data_tables!$K:$K,Data_tables!$R:$R)=1,-BN1172*BN1173,0),0)))</f>
        <v>0</v>
      </c>
      <c r="BO1174" s="33" t="b">
        <f>+IF(Assumptions!$H$393="Yes",(IFERROR(IF(_xlfn.XLOOKUP(Assumptions!$H$24,Data_tables!$K:$K,Data_tables!$R:$R)=1,-BO1172*BO1173,0),0)))</f>
        <v>0</v>
      </c>
      <c r="BP1174" s="33" t="b">
        <f>+IF(Assumptions!$H$393="Yes",(IFERROR(IF(_xlfn.XLOOKUP(Assumptions!$H$24,Data_tables!$K:$K,Data_tables!$R:$R)=1,-BP1172*BP1173,0),0)))</f>
        <v>0</v>
      </c>
      <c r="BQ1174" s="33" t="b">
        <f>+IF(Assumptions!$H$393="Yes",(IFERROR(IF(_xlfn.XLOOKUP(Assumptions!$H$24,Data_tables!$K:$K,Data_tables!$R:$R)=1,-BQ1172*BQ1173,0),0)))</f>
        <v>0</v>
      </c>
      <c r="BR1174" s="33" t="b">
        <f>+IF(Assumptions!$H$393="Yes",(IFERROR(IF(_xlfn.XLOOKUP(Assumptions!$H$24,Data_tables!$K:$K,Data_tables!$R:$R)=1,-BR1172*BR1173,0),0)))</f>
        <v>0</v>
      </c>
      <c r="BS1174" s="33" t="b">
        <f>+IF(Assumptions!$H$393="Yes",(IFERROR(IF(_xlfn.XLOOKUP(Assumptions!$H$24,Data_tables!$K:$K,Data_tables!$R:$R)=1,-BS1172*BS1173,0),0)))</f>
        <v>0</v>
      </c>
      <c r="BT1174" s="33" t="b">
        <f>+IF(Assumptions!$H$393="Yes",(IFERROR(IF(_xlfn.XLOOKUP(Assumptions!$H$24,Data_tables!$K:$K,Data_tables!$R:$R)=1,-BT1172*BT1173,0),0)))</f>
        <v>0</v>
      </c>
      <c r="BU1174" s="33" t="b">
        <f>+IF(Assumptions!$H$393="Yes",(IFERROR(IF(_xlfn.XLOOKUP(Assumptions!$H$24,Data_tables!$K:$K,Data_tables!$R:$R)=1,-BU1172*BU1173,0),0)))</f>
        <v>0</v>
      </c>
      <c r="BV1174" s="33" t="b">
        <f>+IF(Assumptions!$H$393="Yes",(IFERROR(IF(_xlfn.XLOOKUP(Assumptions!$H$24,Data_tables!$K:$K,Data_tables!$R:$R)=1,-BV1172*BV1173,0),0)))</f>
        <v>0</v>
      </c>
      <c r="BW1174" s="33" t="b">
        <f>+IF(Assumptions!$H$393="Yes",(IFERROR(IF(_xlfn.XLOOKUP(Assumptions!$H$24,Data_tables!$K:$K,Data_tables!$R:$R)=1,-BW1172*BW1173,0),0)))</f>
        <v>0</v>
      </c>
      <c r="BX1174" s="33" t="b">
        <f>+IF(Assumptions!$H$393="Yes",(IFERROR(IF(_xlfn.XLOOKUP(Assumptions!$H$24,Data_tables!$K:$K,Data_tables!$R:$R)=1,-BX1172*BX1173,0),0)))</f>
        <v>0</v>
      </c>
      <c r="BY1174" s="33" t="b">
        <f>+IF(Assumptions!$H$393="Yes",(IFERROR(IF(_xlfn.XLOOKUP(Assumptions!$H$24,Data_tables!$K:$K,Data_tables!$R:$R)=1,-BY1172*BY1173,0),0)))</f>
        <v>0</v>
      </c>
    </row>
    <row r="1175" spans="1:77" outlineLevel="1">
      <c r="E1175" s="25" t="s">
        <v>243</v>
      </c>
      <c r="F1175" s="81" t="s">
        <v>423</v>
      </c>
      <c r="G1175" s="25"/>
      <c r="H1175" s="105">
        <f ca="1">+H1168</f>
        <v>0.95979422011920645</v>
      </c>
      <c r="I1175" s="105">
        <f t="shared" ref="I1175:BT1175" ca="1" si="2472">+I1168</f>
        <v>0.92120494497423577</v>
      </c>
      <c r="J1175" s="105">
        <f t="shared" ca="1" si="2472"/>
        <v>0.8841671817315031</v>
      </c>
      <c r="K1175" s="105">
        <f t="shared" ca="1" si="2472"/>
        <v>0.8486185506449847</v>
      </c>
      <c r="L1175" s="105">
        <f t="shared" ca="1" si="2472"/>
        <v>0.81449917999499444</v>
      </c>
      <c r="M1175" s="105">
        <f t="shared" ca="1" si="2472"/>
        <v>0.78175160525102882</v>
      </c>
      <c r="N1175" s="105">
        <f t="shared" ca="1" si="2472"/>
        <v>0.75032067228884891</v>
      </c>
      <c r="O1175" s="105">
        <f t="shared" ca="1" si="2472"/>
        <v>0.72015344449879437</v>
      </c>
      <c r="P1175" s="105">
        <f t="shared" ca="1" si="2472"/>
        <v>0.69119911362888053</v>
      </c>
      <c r="Q1175" s="105">
        <f t="shared" ca="1" si="2472"/>
        <v>0.66340891421251813</v>
      </c>
      <c r="R1175" s="105">
        <f t="shared" ca="1" si="2472"/>
        <v>0.63673604143673335</v>
      </c>
      <c r="S1175" s="105">
        <f t="shared" ca="1" si="2472"/>
        <v>0.61113557231256022</v>
      </c>
      <c r="T1175" s="105">
        <f t="shared" ca="1" si="2472"/>
        <v>0.58656439001483862</v>
      </c>
      <c r="U1175" s="105">
        <f t="shared" ca="1" si="2472"/>
        <v>0.56298111126399009</v>
      </c>
      <c r="V1175" s="105">
        <f t="shared" ca="1" si="2472"/>
        <v>0.54034601662746551</v>
      </c>
      <c r="W1175" s="105">
        <f t="shared" ca="1" si="2472"/>
        <v>0.51862098362347797</v>
      </c>
      <c r="X1175" s="105">
        <f t="shared" ca="1" si="2472"/>
        <v>0.4977694225143518</v>
      </c>
      <c r="Y1175" s="105">
        <f t="shared" ca="1" si="2472"/>
        <v>0.47775621468135004</v>
      </c>
      <c r="Z1175" s="105">
        <f t="shared" ca="1" si="2472"/>
        <v>0.45854765347719056</v>
      </c>
      <c r="AA1175" s="105">
        <f t="shared" ca="1" si="2472"/>
        <v>0.44011138745663225</v>
      </c>
      <c r="AB1175" s="105">
        <f t="shared" ca="1" si="2472"/>
        <v>0.42241636588952025</v>
      </c>
      <c r="AC1175" s="105">
        <f t="shared" ca="1" si="2472"/>
        <v>0.40543278646452147</v>
      </c>
      <c r="AD1175" s="105">
        <f t="shared" ca="1" si="2472"/>
        <v>0.38913204509547217</v>
      </c>
      <c r="AE1175" s="105">
        <f t="shared" ca="1" si="2472"/>
        <v>0.37348668774580057</v>
      </c>
      <c r="AF1175" s="105">
        <f t="shared" ca="1" si="2472"/>
        <v>0.35847036418988626</v>
      </c>
      <c r="AG1175" s="105">
        <f t="shared" ca="1" si="2472"/>
        <v>0.34405778363347977</v>
      </c>
      <c r="AH1175" s="105">
        <f t="shared" ca="1" si="2472"/>
        <v>0.33022467211843837</v>
      </c>
      <c r="AI1175" s="105">
        <f t="shared" ca="1" si="2472"/>
        <v>0.3169477316400372</v>
      </c>
      <c r="AJ1175" s="105">
        <f t="shared" ca="1" si="2472"/>
        <v>0.30420460090800105</v>
      </c>
      <c r="AK1175" s="105">
        <f t="shared" ca="1" si="2472"/>
        <v>0.29197381768516933</v>
      </c>
      <c r="AL1175" s="105">
        <f t="shared" ca="1" si="2472"/>
        <v>0.28023478264036444</v>
      </c>
      <c r="AM1175" s="105">
        <f t="shared" ca="1" si="2472"/>
        <v>0.26896772465458391</v>
      </c>
      <c r="AN1175" s="105">
        <f t="shared" ca="1" si="2472"/>
        <v>0.2581536675220838</v>
      </c>
      <c r="AO1175" s="105">
        <f t="shared" ca="1" si="2472"/>
        <v>0.24777439799027134</v>
      </c>
      <c r="AP1175" s="105">
        <f t="shared" ca="1" si="2472"/>
        <v>0.23781243508457836</v>
      </c>
      <c r="AQ1175" s="105">
        <f t="shared" ca="1" si="2472"/>
        <v>0.2282510006666523</v>
      </c>
      <c r="AR1175" s="105">
        <f t="shared" ca="1" si="2472"/>
        <v>0.21907399117627802</v>
      </c>
      <c r="AS1175" s="105">
        <f t="shared" ca="1" si="2472"/>
        <v>0.21026595050943767</v>
      </c>
      <c r="AT1175" s="105">
        <f t="shared" ca="1" si="2472"/>
        <v>0.20181204398682939</v>
      </c>
      <c r="AU1175" s="105">
        <f t="shared" ca="1" si="2472"/>
        <v>0.1936980333690019</v>
      </c>
      <c r="AV1175" s="105">
        <f t="shared" ca="1" si="2472"/>
        <v>0.18591025287602522</v>
      </c>
      <c r="AW1175" s="105">
        <f t="shared" ca="1" si="2472"/>
        <v>0.17843558617130909</v>
      </c>
      <c r="AX1175" s="105">
        <f t="shared" ca="1" si="2472"/>
        <v>0.17126144427080506</v>
      </c>
      <c r="AY1175" s="105">
        <f t="shared" ca="1" si="2472"/>
        <v>0.16437574434038627</v>
      </c>
      <c r="AZ1175" s="105">
        <f t="shared" ca="1" si="2472"/>
        <v>0.1577668893456951</v>
      </c>
      <c r="BA1175" s="105">
        <f t="shared" ca="1" si="2472"/>
        <v>0.15142374852018459</v>
      </c>
      <c r="BB1175" s="105">
        <f t="shared" ca="1" si="2472"/>
        <v>0.14533563861845741</v>
      </c>
      <c r="BC1175" s="105">
        <f t="shared" ca="1" si="2472"/>
        <v>0.13949230592332915</v>
      </c>
      <c r="BD1175" s="105">
        <f t="shared" ca="1" si="2472"/>
        <v>0.13388390897631147</v>
      </c>
      <c r="BE1175" s="105">
        <f t="shared" ca="1" si="2472"/>
        <v>0.1285010020024297</v>
      </c>
      <c r="BF1175" s="105">
        <f t="shared" ca="1" si="2472"/>
        <v>0.1233345190014586</v>
      </c>
      <c r="BG1175" s="105">
        <f t="shared" ca="1" si="2472"/>
        <v>0.11837575847878241</v>
      </c>
      <c r="BH1175" s="105">
        <f t="shared" ca="1" si="2472"/>
        <v>0.11361636879016251</v>
      </c>
      <c r="BI1175" s="105">
        <f t="shared" ca="1" si="2472"/>
        <v>0.10904833407573018</v>
      </c>
      <c r="BJ1175" s="105">
        <f t="shared" ca="1" si="2472"/>
        <v>0.10466396075951413</v>
      </c>
      <c r="BK1175" s="105">
        <f t="shared" ca="1" si="2472"/>
        <v>0.10045586459176509</v>
      </c>
      <c r="BL1175" s="105">
        <f t="shared" ca="1" si="2472"/>
        <v>9.6416958212253781E-2</v>
      </c>
      <c r="BM1175" s="105">
        <f t="shared" ca="1" si="2472"/>
        <v>9.254043921359624E-2</v>
      </c>
      <c r="BN1175" s="105">
        <f t="shared" ca="1" si="2472"/>
        <v>8.8819778684502429E-2</v>
      </c>
      <c r="BO1175" s="105">
        <f t="shared" ca="1" si="2472"/>
        <v>8.5248710213652532E-2</v>
      </c>
      <c r="BP1175" s="105">
        <f t="shared" ca="1" si="2472"/>
        <v>8.1821219335680859E-2</v>
      </c>
      <c r="BQ1175" s="105">
        <f t="shared" ca="1" si="2472"/>
        <v>7.853153340149234E-2</v>
      </c>
      <c r="BR1175" s="105">
        <f t="shared" ca="1" si="2472"/>
        <v>7.5374111855850759E-2</v>
      </c>
      <c r="BS1175" s="105">
        <f t="shared" ca="1" si="2472"/>
        <v>7.2343636905864109E-2</v>
      </c>
      <c r="BT1175" s="105">
        <f t="shared" ca="1" si="2472"/>
        <v>6.943500456465089E-2</v>
      </c>
      <c r="BU1175" s="105">
        <f t="shared" ref="BU1175:BY1175" ca="1" si="2473">+BU1168</f>
        <v>6.6643316055102639E-2</v>
      </c>
      <c r="BV1175" s="105">
        <f t="shared" ca="1" si="2473"/>
        <v>6.396386955926503E-2</v>
      </c>
      <c r="BW1175" s="105">
        <f t="shared" ca="1" si="2473"/>
        <v>6.1392152299441428E-2</v>
      </c>
      <c r="BX1175" s="105">
        <f t="shared" ca="1" si="2473"/>
        <v>5.8923832937681934E-2</v>
      </c>
      <c r="BY1175" s="105">
        <f t="shared" ca="1" si="2473"/>
        <v>5.6554754280856843E-2</v>
      </c>
    </row>
    <row r="1176" spans="1:77">
      <c r="E1176" t="s">
        <v>548</v>
      </c>
      <c r="F1176" s="80" t="s">
        <v>549</v>
      </c>
      <c r="H1176" s="31">
        <f ca="1">+H1175*H1174*Assumptions!$G$394</f>
        <v>0</v>
      </c>
      <c r="I1176" s="31">
        <f ca="1">+I1175*I1174*Assumptions!$G$394</f>
        <v>0</v>
      </c>
      <c r="J1176" s="31">
        <f ca="1">+J1175*J1174*Assumptions!$G$394</f>
        <v>0</v>
      </c>
      <c r="K1176" s="31">
        <f ca="1">+K1175*K1174*Assumptions!$G$394</f>
        <v>0</v>
      </c>
      <c r="L1176" s="31">
        <f ca="1">+L1175*L1174*Assumptions!$G$394</f>
        <v>0</v>
      </c>
      <c r="M1176" s="31">
        <f ca="1">+M1175*M1174*Assumptions!$G$394</f>
        <v>0</v>
      </c>
      <c r="N1176" s="31">
        <f ca="1">+N1175*N1174*Assumptions!$G$394</f>
        <v>0</v>
      </c>
      <c r="O1176" s="31">
        <f ca="1">+O1175*O1174*Assumptions!$G$394</f>
        <v>0</v>
      </c>
      <c r="P1176" s="31">
        <f ca="1">+P1175*P1174*Assumptions!$G$394</f>
        <v>0</v>
      </c>
      <c r="Q1176" s="31">
        <f ca="1">+Q1175*Q1174*Assumptions!$G$394</f>
        <v>0</v>
      </c>
      <c r="R1176" s="31">
        <f ca="1">+R1175*R1174*Assumptions!$G$394</f>
        <v>0</v>
      </c>
      <c r="S1176" s="31">
        <f ca="1">+S1175*S1174*Assumptions!$G$394</f>
        <v>0</v>
      </c>
      <c r="T1176" s="31">
        <f ca="1">+T1175*T1174*Assumptions!$G$394</f>
        <v>0</v>
      </c>
      <c r="U1176" s="31">
        <f ca="1">+U1175*U1174*Assumptions!$G$394</f>
        <v>0</v>
      </c>
      <c r="V1176" s="31">
        <f ca="1">+V1175*V1174*Assumptions!$G$394</f>
        <v>0</v>
      </c>
      <c r="W1176" s="31">
        <f ca="1">+W1175*W1174*Assumptions!$G$394</f>
        <v>0</v>
      </c>
      <c r="X1176" s="31">
        <f ca="1">+X1175*X1174*Assumptions!$G$394</f>
        <v>0</v>
      </c>
      <c r="Y1176" s="31">
        <f ca="1">+Y1175*Y1174*Assumptions!$G$394</f>
        <v>0</v>
      </c>
      <c r="Z1176" s="31">
        <f ca="1">+Z1175*Z1174*Assumptions!$G$394</f>
        <v>0</v>
      </c>
      <c r="AA1176" s="31">
        <f ca="1">+AA1175*AA1174*Assumptions!$G$394</f>
        <v>0</v>
      </c>
      <c r="AB1176" s="31">
        <f ca="1">+AB1175*AB1174*Assumptions!$G$394</f>
        <v>0</v>
      </c>
      <c r="AC1176" s="31">
        <f ca="1">+AC1175*AC1174*Assumptions!$G$394</f>
        <v>0</v>
      </c>
      <c r="AD1176" s="31">
        <f ca="1">+AD1175*AD1174*Assumptions!$G$394</f>
        <v>0</v>
      </c>
      <c r="AE1176" s="31">
        <f ca="1">+AE1175*AE1174*Assumptions!$G$394</f>
        <v>0</v>
      </c>
      <c r="AF1176" s="31">
        <f ca="1">+AF1175*AF1174*Assumptions!$G$394</f>
        <v>0</v>
      </c>
      <c r="AG1176" s="31">
        <f ca="1">+AG1175*AG1174*Assumptions!$G$394</f>
        <v>0</v>
      </c>
      <c r="AH1176" s="31">
        <f ca="1">+AH1175*AH1174*Assumptions!$G$394</f>
        <v>0</v>
      </c>
      <c r="AI1176" s="31">
        <f ca="1">+AI1175*AI1174*Assumptions!$G$394</f>
        <v>0</v>
      </c>
      <c r="AJ1176" s="31">
        <f ca="1">+AJ1175*AJ1174*Assumptions!$G$394</f>
        <v>0</v>
      </c>
      <c r="AK1176" s="31">
        <f ca="1">+AK1175*AK1174*Assumptions!$G$394</f>
        <v>0</v>
      </c>
      <c r="AL1176" s="31">
        <f ca="1">+AL1175*AL1174*Assumptions!$G$394</f>
        <v>0</v>
      </c>
      <c r="AM1176" s="31">
        <f ca="1">+AM1175*AM1174*Assumptions!$G$394</f>
        <v>0</v>
      </c>
      <c r="AN1176" s="31">
        <f ca="1">+AN1175*AN1174*Assumptions!$G$394</f>
        <v>0</v>
      </c>
      <c r="AO1176" s="31">
        <f ca="1">+AO1175*AO1174*Assumptions!$G$394</f>
        <v>0</v>
      </c>
      <c r="AP1176" s="31">
        <f ca="1">+AP1175*AP1174*Assumptions!$G$394</f>
        <v>0</v>
      </c>
      <c r="AQ1176" s="31">
        <f ca="1">+AQ1175*AQ1174*Assumptions!$G$394</f>
        <v>0</v>
      </c>
      <c r="AR1176" s="31">
        <f ca="1">+AR1175*AR1174*Assumptions!$G$394</f>
        <v>0</v>
      </c>
      <c r="AS1176" s="31">
        <f ca="1">+AS1175*AS1174*Assumptions!$G$394</f>
        <v>0</v>
      </c>
      <c r="AT1176" s="31">
        <f ca="1">+AT1175*AT1174*Assumptions!$G$394</f>
        <v>0</v>
      </c>
      <c r="AU1176" s="31">
        <f ca="1">+AU1175*AU1174*Assumptions!$G$394</f>
        <v>0</v>
      </c>
      <c r="AV1176" s="31">
        <f ca="1">+AV1175*AV1174*Assumptions!$G$394</f>
        <v>0</v>
      </c>
      <c r="AW1176" s="31">
        <f ca="1">+AW1175*AW1174*Assumptions!$G$394</f>
        <v>0</v>
      </c>
      <c r="AX1176" s="31">
        <f ca="1">+AX1175*AX1174*Assumptions!$G$394</f>
        <v>0</v>
      </c>
      <c r="AY1176" s="31">
        <f ca="1">+AY1175*AY1174*Assumptions!$G$394</f>
        <v>0</v>
      </c>
      <c r="AZ1176" s="31">
        <f ca="1">+AZ1175*AZ1174*Assumptions!$G$394</f>
        <v>0</v>
      </c>
      <c r="BA1176" s="31">
        <f ca="1">+BA1175*BA1174*Assumptions!$G$394</f>
        <v>0</v>
      </c>
      <c r="BB1176" s="31">
        <f ca="1">+BB1175*BB1174*Assumptions!$G$394</f>
        <v>0</v>
      </c>
      <c r="BC1176" s="31">
        <f ca="1">+BC1175*BC1174*Assumptions!$G$394</f>
        <v>0</v>
      </c>
      <c r="BD1176" s="31">
        <f ca="1">+BD1175*BD1174*Assumptions!$G$394</f>
        <v>0</v>
      </c>
      <c r="BE1176" s="31">
        <f ca="1">+BE1175*BE1174*Assumptions!$G$394</f>
        <v>0</v>
      </c>
      <c r="BF1176" s="31">
        <f ca="1">+BF1175*BF1174*Assumptions!$G$394</f>
        <v>0</v>
      </c>
      <c r="BG1176" s="31">
        <f ca="1">+BG1175*BG1174*Assumptions!$G$394</f>
        <v>0</v>
      </c>
      <c r="BH1176" s="31">
        <f ca="1">+BH1175*BH1174*Assumptions!$G$394</f>
        <v>0</v>
      </c>
      <c r="BI1176" s="31">
        <f ca="1">+BI1175*BI1174*Assumptions!$G$394</f>
        <v>0</v>
      </c>
      <c r="BJ1176" s="31">
        <f ca="1">+BJ1175*BJ1174*Assumptions!$G$394</f>
        <v>0</v>
      </c>
      <c r="BK1176" s="31">
        <f ca="1">+BK1175*BK1174*Assumptions!$G$394</f>
        <v>0</v>
      </c>
      <c r="BL1176" s="31">
        <f ca="1">+BL1175*BL1174*Assumptions!$G$394</f>
        <v>0</v>
      </c>
      <c r="BM1176" s="31">
        <f ca="1">+BM1175*BM1174*Assumptions!$G$394</f>
        <v>0</v>
      </c>
      <c r="BN1176" s="31">
        <f ca="1">+BN1175*BN1174*Assumptions!$G$394</f>
        <v>0</v>
      </c>
      <c r="BO1176" s="31">
        <f ca="1">+BO1175*BO1174*Assumptions!$G$394</f>
        <v>0</v>
      </c>
      <c r="BP1176" s="31">
        <f ca="1">+BP1175*BP1174*Assumptions!$G$394</f>
        <v>0</v>
      </c>
      <c r="BQ1176" s="31">
        <f ca="1">+BQ1175*BQ1174*Assumptions!$G$394</f>
        <v>0</v>
      </c>
      <c r="BR1176" s="31">
        <f ca="1">+BR1175*BR1174*Assumptions!$G$394</f>
        <v>0</v>
      </c>
      <c r="BS1176" s="31">
        <f ca="1">+BS1175*BS1174*Assumptions!$G$394</f>
        <v>0</v>
      </c>
      <c r="BT1176" s="31">
        <f ca="1">+BT1175*BT1174*Assumptions!$G$394</f>
        <v>0</v>
      </c>
      <c r="BU1176" s="31">
        <f ca="1">+BU1175*BU1174*Assumptions!$G$394</f>
        <v>0</v>
      </c>
      <c r="BV1176" s="31">
        <f ca="1">+BV1175*BV1174*Assumptions!$G$394</f>
        <v>0</v>
      </c>
      <c r="BW1176" s="31">
        <f ca="1">+BW1175*BW1174*Assumptions!$G$394</f>
        <v>0</v>
      </c>
      <c r="BX1176" s="31">
        <f ca="1">+BX1175*BX1174*Assumptions!$G$394</f>
        <v>0</v>
      </c>
      <c r="BY1176" s="31">
        <f ca="1">+BY1175*BY1174*Assumptions!$G$394</f>
        <v>0</v>
      </c>
    </row>
    <row r="1177" spans="1:77">
      <c r="F1177" s="80"/>
      <c r="H1177" s="31"/>
      <c r="I1177" s="31"/>
      <c r="J1177" s="31"/>
      <c r="K1177" s="31"/>
      <c r="L1177" s="31"/>
      <c r="M1177" s="31"/>
      <c r="N1177" s="31"/>
      <c r="O1177" s="31"/>
      <c r="P1177" s="31"/>
      <c r="Q1177" s="31"/>
      <c r="R1177" s="31"/>
      <c r="S1177" s="31"/>
      <c r="T1177" s="31"/>
      <c r="U1177" s="31"/>
      <c r="V1177" s="31"/>
      <c r="W1177" s="31"/>
      <c r="X1177" s="31"/>
      <c r="Y1177" s="31"/>
      <c r="Z1177" s="31"/>
      <c r="AA1177" s="31"/>
      <c r="AB1177" s="31"/>
      <c r="AC1177" s="31"/>
      <c r="AD1177" s="31"/>
      <c r="AE1177" s="31"/>
      <c r="AF1177" s="31"/>
      <c r="AG1177" s="31"/>
      <c r="AH1177" s="31"/>
      <c r="AI1177" s="31"/>
      <c r="AJ1177" s="31"/>
      <c r="AK1177" s="31"/>
      <c r="AL1177" s="31"/>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row>
    <row r="1178" spans="1:77">
      <c r="E1178" t="s">
        <v>611</v>
      </c>
      <c r="F1178" s="80" t="s">
        <v>606</v>
      </c>
      <c r="H1178" s="31">
        <f>(+Assumptions!$G$25/1000*Assumptions!$G$26*Assumptions!$G$286*Assumptions!$G$268+Assumptions!$G$265/1000*_xlfn.XLOOKUP(Assumptions!$G$264,Data_tables!$K:$K,Data_tables!$Q:$Q)*Assumptions!$G$287-Assumptions!$H$25/1000*Assumptions!$H$26*Assumptions!$H$286*Assumptions!$H$268)*H953</f>
        <v>0</v>
      </c>
      <c r="I1178" s="31">
        <f>(+Assumptions!$G$25/1000*Assumptions!$G$26*Assumptions!$G$286*Assumptions!$G$268+Assumptions!$G$265/1000*_xlfn.XLOOKUP(Assumptions!$G$264,Data_tables!$K:$K,Data_tables!$Q:$Q)*Assumptions!$G$287-Assumptions!$H$25/1000*Assumptions!$H$26*Assumptions!$H$286*Assumptions!$H$268)*I953</f>
        <v>0</v>
      </c>
      <c r="J1178" s="31">
        <f>(+Assumptions!$G$25/1000*Assumptions!$G$26*Assumptions!$G$286*Assumptions!$G$268+Assumptions!$G$265/1000*_xlfn.XLOOKUP(Assumptions!$G$264,Data_tables!$K:$K,Data_tables!$Q:$Q)*Assumptions!$G$287-Assumptions!$H$25/1000*Assumptions!$H$26*Assumptions!$H$286*Assumptions!$H$268)*J953</f>
        <v>0</v>
      </c>
      <c r="K1178" s="31">
        <f>(+Assumptions!$G$25/1000*Assumptions!$G$26*Assumptions!$G$286*Assumptions!$G$268+Assumptions!$G$265/1000*_xlfn.XLOOKUP(Assumptions!$G$264,Data_tables!$K:$K,Data_tables!$Q:$Q)*Assumptions!$G$287-Assumptions!$H$25/1000*Assumptions!$H$26*Assumptions!$H$286*Assumptions!$H$268)*K953</f>
        <v>-15652.323543632432</v>
      </c>
      <c r="L1178" s="31">
        <f>(+Assumptions!$G$25/1000*Assumptions!$G$26*Assumptions!$G$286*Assumptions!$G$268+Assumptions!$G$265/1000*_xlfn.XLOOKUP(Assumptions!$G$264,Data_tables!$K:$K,Data_tables!$Q:$Q)*Assumptions!$G$287-Assumptions!$H$25/1000*Assumptions!$H$26*Assumptions!$H$286*Assumptions!$H$268)*L953</f>
        <v>-15652.323543632432</v>
      </c>
      <c r="M1178" s="31">
        <f>(+Assumptions!$G$25/1000*Assumptions!$G$26*Assumptions!$G$286*Assumptions!$G$268+Assumptions!$G$265/1000*_xlfn.XLOOKUP(Assumptions!$G$264,Data_tables!$K:$K,Data_tables!$Q:$Q)*Assumptions!$G$287-Assumptions!$H$25/1000*Assumptions!$H$26*Assumptions!$H$286*Assumptions!$H$268)*M953</f>
        <v>-15652.323543632432</v>
      </c>
      <c r="N1178" s="31">
        <f>(+Assumptions!$G$25/1000*Assumptions!$G$26*Assumptions!$G$286*Assumptions!$G$268+Assumptions!$G$265/1000*_xlfn.XLOOKUP(Assumptions!$G$264,Data_tables!$K:$K,Data_tables!$Q:$Q)*Assumptions!$G$287-Assumptions!$H$25/1000*Assumptions!$H$26*Assumptions!$H$286*Assumptions!$H$268)*N953</f>
        <v>-15652.323543632432</v>
      </c>
      <c r="O1178" s="31">
        <f>(+Assumptions!$G$25/1000*Assumptions!$G$26*Assumptions!$G$286*Assumptions!$G$268+Assumptions!$G$265/1000*_xlfn.XLOOKUP(Assumptions!$G$264,Data_tables!$K:$K,Data_tables!$Q:$Q)*Assumptions!$G$287-Assumptions!$H$25/1000*Assumptions!$H$26*Assumptions!$H$286*Assumptions!$H$268)*O953</f>
        <v>-15652.323543632432</v>
      </c>
      <c r="P1178" s="31">
        <f>(+Assumptions!$G$25/1000*Assumptions!$G$26*Assumptions!$G$286*Assumptions!$G$268+Assumptions!$G$265/1000*_xlfn.XLOOKUP(Assumptions!$G$264,Data_tables!$K:$K,Data_tables!$Q:$Q)*Assumptions!$G$287-Assumptions!$H$25/1000*Assumptions!$H$26*Assumptions!$H$286*Assumptions!$H$268)*P953</f>
        <v>-15652.323543632432</v>
      </c>
      <c r="Q1178" s="31">
        <f>(+Assumptions!$G$25/1000*Assumptions!$G$26*Assumptions!$G$286*Assumptions!$G$268+Assumptions!$G$265/1000*_xlfn.XLOOKUP(Assumptions!$G$264,Data_tables!$K:$K,Data_tables!$Q:$Q)*Assumptions!$G$287-Assumptions!$H$25/1000*Assumptions!$H$26*Assumptions!$H$286*Assumptions!$H$268)*Q953</f>
        <v>-15652.323543632432</v>
      </c>
      <c r="R1178" s="31">
        <f>(+Assumptions!$G$25/1000*Assumptions!$G$26*Assumptions!$G$286*Assumptions!$G$268+Assumptions!$G$265/1000*_xlfn.XLOOKUP(Assumptions!$G$264,Data_tables!$K:$K,Data_tables!$Q:$Q)*Assumptions!$G$287-Assumptions!$H$25/1000*Assumptions!$H$26*Assumptions!$H$286*Assumptions!$H$268)*R953</f>
        <v>-15652.323543632432</v>
      </c>
      <c r="S1178" s="31">
        <f>(+Assumptions!$G$25/1000*Assumptions!$G$26*Assumptions!$G$286*Assumptions!$G$268+Assumptions!$G$265/1000*_xlfn.XLOOKUP(Assumptions!$G$264,Data_tables!$K:$K,Data_tables!$Q:$Q)*Assumptions!$G$287-Assumptions!$H$25/1000*Assumptions!$H$26*Assumptions!$H$286*Assumptions!$H$268)*S953</f>
        <v>-15652.323543632432</v>
      </c>
      <c r="T1178" s="31">
        <f>(+Assumptions!$G$25/1000*Assumptions!$G$26*Assumptions!$G$286*Assumptions!$G$268+Assumptions!$G$265/1000*_xlfn.XLOOKUP(Assumptions!$G$264,Data_tables!$K:$K,Data_tables!$Q:$Q)*Assumptions!$G$287-Assumptions!$H$25/1000*Assumptions!$H$26*Assumptions!$H$286*Assumptions!$H$268)*T953</f>
        <v>-15652.323543632432</v>
      </c>
      <c r="U1178" s="31">
        <f>(+Assumptions!$G$25/1000*Assumptions!$G$26*Assumptions!$G$286*Assumptions!$G$268+Assumptions!$G$265/1000*_xlfn.XLOOKUP(Assumptions!$G$264,Data_tables!$K:$K,Data_tables!$Q:$Q)*Assumptions!$G$287-Assumptions!$H$25/1000*Assumptions!$H$26*Assumptions!$H$286*Assumptions!$H$268)*U953</f>
        <v>-15652.323543632432</v>
      </c>
      <c r="V1178" s="31">
        <f>(+Assumptions!$G$25/1000*Assumptions!$G$26*Assumptions!$G$286*Assumptions!$G$268+Assumptions!$G$265/1000*_xlfn.XLOOKUP(Assumptions!$G$264,Data_tables!$K:$K,Data_tables!$Q:$Q)*Assumptions!$G$287-Assumptions!$H$25/1000*Assumptions!$H$26*Assumptions!$H$286*Assumptions!$H$268)*V953</f>
        <v>-15652.323543632432</v>
      </c>
      <c r="W1178" s="31">
        <f>(+Assumptions!$G$25/1000*Assumptions!$G$26*Assumptions!$G$286*Assumptions!$G$268+Assumptions!$G$265/1000*_xlfn.XLOOKUP(Assumptions!$G$264,Data_tables!$K:$K,Data_tables!$Q:$Q)*Assumptions!$G$287-Assumptions!$H$25/1000*Assumptions!$H$26*Assumptions!$H$286*Assumptions!$H$268)*W953</f>
        <v>-15652.323543632432</v>
      </c>
      <c r="X1178" s="31">
        <f>(+Assumptions!$G$25/1000*Assumptions!$G$26*Assumptions!$G$286*Assumptions!$G$268+Assumptions!$G$265/1000*_xlfn.XLOOKUP(Assumptions!$G$264,Data_tables!$K:$K,Data_tables!$Q:$Q)*Assumptions!$G$287-Assumptions!$H$25/1000*Assumptions!$H$26*Assumptions!$H$286*Assumptions!$H$268)*X953</f>
        <v>-15652.323543632432</v>
      </c>
      <c r="Y1178" s="31">
        <f>(+Assumptions!$G$25/1000*Assumptions!$G$26*Assumptions!$G$286*Assumptions!$G$268+Assumptions!$G$265/1000*_xlfn.XLOOKUP(Assumptions!$G$264,Data_tables!$K:$K,Data_tables!$Q:$Q)*Assumptions!$G$287-Assumptions!$H$25/1000*Assumptions!$H$26*Assumptions!$H$286*Assumptions!$H$268)*Y953</f>
        <v>-15652.323543632432</v>
      </c>
      <c r="Z1178" s="31">
        <f>(+Assumptions!$G$25/1000*Assumptions!$G$26*Assumptions!$G$286*Assumptions!$G$268+Assumptions!$G$265/1000*_xlfn.XLOOKUP(Assumptions!$G$264,Data_tables!$K:$K,Data_tables!$Q:$Q)*Assumptions!$G$287-Assumptions!$H$25/1000*Assumptions!$H$26*Assumptions!$H$286*Assumptions!$H$268)*Z953</f>
        <v>0</v>
      </c>
      <c r="AA1178" s="31">
        <f>(+Assumptions!$G$25/1000*Assumptions!$G$26*Assumptions!$G$286*Assumptions!$G$268+Assumptions!$G$265/1000*_xlfn.XLOOKUP(Assumptions!$G$264,Data_tables!$K:$K,Data_tables!$Q:$Q)*Assumptions!$G$287-Assumptions!$H$25/1000*Assumptions!$H$26*Assumptions!$H$286*Assumptions!$H$268)*AA953</f>
        <v>0</v>
      </c>
      <c r="AB1178" s="31">
        <f>(+Assumptions!$G$25/1000*Assumptions!$G$26*Assumptions!$G$286*Assumptions!$G$268+Assumptions!$G$265/1000*_xlfn.XLOOKUP(Assumptions!$G$264,Data_tables!$K:$K,Data_tables!$Q:$Q)*Assumptions!$G$287-Assumptions!$H$25/1000*Assumptions!$H$26*Assumptions!$H$286*Assumptions!$H$268)*AB953</f>
        <v>0</v>
      </c>
      <c r="AC1178" s="31">
        <f>(+Assumptions!$G$25/1000*Assumptions!$G$26*Assumptions!$G$286*Assumptions!$G$268+Assumptions!$G$265/1000*_xlfn.XLOOKUP(Assumptions!$G$264,Data_tables!$K:$K,Data_tables!$Q:$Q)*Assumptions!$G$287-Assumptions!$H$25/1000*Assumptions!$H$26*Assumptions!$H$286*Assumptions!$H$268)*AC953</f>
        <v>0</v>
      </c>
      <c r="AD1178" s="31">
        <f>(+Assumptions!$G$25/1000*Assumptions!$G$26*Assumptions!$G$286*Assumptions!$G$268+Assumptions!$G$265/1000*_xlfn.XLOOKUP(Assumptions!$G$264,Data_tables!$K:$K,Data_tables!$Q:$Q)*Assumptions!$G$287-Assumptions!$H$25/1000*Assumptions!$H$26*Assumptions!$H$286*Assumptions!$H$268)*AD953</f>
        <v>0</v>
      </c>
      <c r="AE1178" s="31">
        <f>(+Assumptions!$G$25/1000*Assumptions!$G$26*Assumptions!$G$286*Assumptions!$G$268+Assumptions!$G$265/1000*_xlfn.XLOOKUP(Assumptions!$G$264,Data_tables!$K:$K,Data_tables!$Q:$Q)*Assumptions!$G$287-Assumptions!$H$25/1000*Assumptions!$H$26*Assumptions!$H$286*Assumptions!$H$268)*AE953</f>
        <v>0</v>
      </c>
      <c r="AF1178" s="31">
        <f>(+Assumptions!$G$25/1000*Assumptions!$G$26*Assumptions!$G$286*Assumptions!$G$268+Assumptions!$G$265/1000*_xlfn.XLOOKUP(Assumptions!$G$264,Data_tables!$K:$K,Data_tables!$Q:$Q)*Assumptions!$G$287-Assumptions!$H$25/1000*Assumptions!$H$26*Assumptions!$H$286*Assumptions!$H$268)*AF953</f>
        <v>0</v>
      </c>
      <c r="AG1178" s="31">
        <f>(+Assumptions!$G$25/1000*Assumptions!$G$26*Assumptions!$G$286*Assumptions!$G$268+Assumptions!$G$265/1000*_xlfn.XLOOKUP(Assumptions!$G$264,Data_tables!$K:$K,Data_tables!$Q:$Q)*Assumptions!$G$287-Assumptions!$H$25/1000*Assumptions!$H$26*Assumptions!$H$286*Assumptions!$H$268)*AG953</f>
        <v>0</v>
      </c>
      <c r="AH1178" s="31">
        <f>(+Assumptions!$G$25/1000*Assumptions!$G$26*Assumptions!$G$286*Assumptions!$G$268+Assumptions!$G$265/1000*_xlfn.XLOOKUP(Assumptions!$G$264,Data_tables!$K:$K,Data_tables!$Q:$Q)*Assumptions!$G$287-Assumptions!$H$25/1000*Assumptions!$H$26*Assumptions!$H$286*Assumptions!$H$268)*AH953</f>
        <v>0</v>
      </c>
      <c r="AI1178" s="31">
        <f>(+Assumptions!$G$25/1000*Assumptions!$G$26*Assumptions!$G$286*Assumptions!$G$268+Assumptions!$G$265/1000*_xlfn.XLOOKUP(Assumptions!$G$264,Data_tables!$K:$K,Data_tables!$Q:$Q)*Assumptions!$G$287-Assumptions!$H$25/1000*Assumptions!$H$26*Assumptions!$H$286*Assumptions!$H$268)*AI953</f>
        <v>0</v>
      </c>
      <c r="AJ1178" s="31">
        <f>(+Assumptions!$G$25/1000*Assumptions!$G$26*Assumptions!$G$286*Assumptions!$G$268+Assumptions!$G$265/1000*_xlfn.XLOOKUP(Assumptions!$G$264,Data_tables!$K:$K,Data_tables!$Q:$Q)*Assumptions!$G$287-Assumptions!$H$25/1000*Assumptions!$H$26*Assumptions!$H$286*Assumptions!$H$268)*AJ953</f>
        <v>0</v>
      </c>
      <c r="AK1178" s="31">
        <f>(+Assumptions!$G$25/1000*Assumptions!$G$26*Assumptions!$G$286*Assumptions!$G$268+Assumptions!$G$265/1000*_xlfn.XLOOKUP(Assumptions!$G$264,Data_tables!$K:$K,Data_tables!$Q:$Q)*Assumptions!$G$287-Assumptions!$H$25/1000*Assumptions!$H$26*Assumptions!$H$286*Assumptions!$H$268)*AK953</f>
        <v>0</v>
      </c>
      <c r="AL1178" s="31">
        <f>(+Assumptions!$G$25/1000*Assumptions!$G$26*Assumptions!$G$286*Assumptions!$G$268+Assumptions!$G$265/1000*_xlfn.XLOOKUP(Assumptions!$G$264,Data_tables!$K:$K,Data_tables!$Q:$Q)*Assumptions!$G$287-Assumptions!$H$25/1000*Assumptions!$H$26*Assumptions!$H$286*Assumptions!$H$268)*AL953</f>
        <v>0</v>
      </c>
      <c r="AM1178" s="31">
        <f>(+Assumptions!$G$25/1000*Assumptions!$G$26*Assumptions!$G$286*Assumptions!$G$268+Assumptions!$G$265/1000*_xlfn.XLOOKUP(Assumptions!$G$264,Data_tables!$K:$K,Data_tables!$Q:$Q)*Assumptions!$G$287-Assumptions!$H$25/1000*Assumptions!$H$26*Assumptions!$H$286*Assumptions!$H$268)*AM953</f>
        <v>0</v>
      </c>
      <c r="AN1178" s="31">
        <f>(+Assumptions!$G$25/1000*Assumptions!$G$26*Assumptions!$G$286*Assumptions!$G$268+Assumptions!$G$265/1000*_xlfn.XLOOKUP(Assumptions!$G$264,Data_tables!$K:$K,Data_tables!$Q:$Q)*Assumptions!$G$287-Assumptions!$H$25/1000*Assumptions!$H$26*Assumptions!$H$286*Assumptions!$H$268)*AN953</f>
        <v>0</v>
      </c>
      <c r="AO1178" s="31">
        <f>(+Assumptions!$G$25/1000*Assumptions!$G$26*Assumptions!$G$286*Assumptions!$G$268+Assumptions!$G$265/1000*_xlfn.XLOOKUP(Assumptions!$G$264,Data_tables!$K:$K,Data_tables!$Q:$Q)*Assumptions!$G$287-Assumptions!$H$25/1000*Assumptions!$H$26*Assumptions!$H$286*Assumptions!$H$268)*AO953</f>
        <v>0</v>
      </c>
      <c r="AP1178" s="31">
        <f>(+Assumptions!$G$25/1000*Assumptions!$G$26*Assumptions!$G$286*Assumptions!$G$268+Assumptions!$G$265/1000*_xlfn.XLOOKUP(Assumptions!$G$264,Data_tables!$K:$K,Data_tables!$Q:$Q)*Assumptions!$G$287-Assumptions!$H$25/1000*Assumptions!$H$26*Assumptions!$H$286*Assumptions!$H$268)*AP953</f>
        <v>0</v>
      </c>
      <c r="AQ1178" s="31">
        <f>(+Assumptions!$G$25/1000*Assumptions!$G$26*Assumptions!$G$286*Assumptions!$G$268+Assumptions!$G$265/1000*_xlfn.XLOOKUP(Assumptions!$G$264,Data_tables!$K:$K,Data_tables!$Q:$Q)*Assumptions!$G$287-Assumptions!$H$25/1000*Assumptions!$H$26*Assumptions!$H$286*Assumptions!$H$268)*AQ953</f>
        <v>0</v>
      </c>
      <c r="AR1178" s="31">
        <f>(+Assumptions!$G$25/1000*Assumptions!$G$26*Assumptions!$G$286*Assumptions!$G$268+Assumptions!$G$265/1000*_xlfn.XLOOKUP(Assumptions!$G$264,Data_tables!$K:$K,Data_tables!$Q:$Q)*Assumptions!$G$287-Assumptions!$H$25/1000*Assumptions!$H$26*Assumptions!$H$286*Assumptions!$H$268)*AR953</f>
        <v>0</v>
      </c>
      <c r="AS1178" s="31">
        <f>(+Assumptions!$G$25/1000*Assumptions!$G$26*Assumptions!$G$286*Assumptions!$G$268+Assumptions!$G$265/1000*_xlfn.XLOOKUP(Assumptions!$G$264,Data_tables!$K:$K,Data_tables!$Q:$Q)*Assumptions!$G$287-Assumptions!$H$25/1000*Assumptions!$H$26*Assumptions!$H$286*Assumptions!$H$268)*AS953</f>
        <v>0</v>
      </c>
      <c r="AT1178" s="31">
        <f>(+Assumptions!$G$25/1000*Assumptions!$G$26*Assumptions!$G$286*Assumptions!$G$268+Assumptions!$G$265/1000*_xlfn.XLOOKUP(Assumptions!$G$264,Data_tables!$K:$K,Data_tables!$Q:$Q)*Assumptions!$G$287-Assumptions!$H$25/1000*Assumptions!$H$26*Assumptions!$H$286*Assumptions!$H$268)*AT953</f>
        <v>0</v>
      </c>
      <c r="AU1178" s="31">
        <f>(+Assumptions!$G$25/1000*Assumptions!$G$26*Assumptions!$G$286*Assumptions!$G$268+Assumptions!$G$265/1000*_xlfn.XLOOKUP(Assumptions!$G$264,Data_tables!$K:$K,Data_tables!$Q:$Q)*Assumptions!$G$287-Assumptions!$H$25/1000*Assumptions!$H$26*Assumptions!$H$286*Assumptions!$H$268)*AU953</f>
        <v>0</v>
      </c>
      <c r="AV1178" s="31">
        <f>(+Assumptions!$G$25/1000*Assumptions!$G$26*Assumptions!$G$286*Assumptions!$G$268+Assumptions!$G$265/1000*_xlfn.XLOOKUP(Assumptions!$G$264,Data_tables!$K:$K,Data_tables!$Q:$Q)*Assumptions!$G$287-Assumptions!$H$25/1000*Assumptions!$H$26*Assumptions!$H$286*Assumptions!$H$268)*AV953</f>
        <v>0</v>
      </c>
      <c r="AW1178" s="31">
        <f>(+Assumptions!$G$25/1000*Assumptions!$G$26*Assumptions!$G$286*Assumptions!$G$268+Assumptions!$G$265/1000*_xlfn.XLOOKUP(Assumptions!$G$264,Data_tables!$K:$K,Data_tables!$Q:$Q)*Assumptions!$G$287-Assumptions!$H$25/1000*Assumptions!$H$26*Assumptions!$H$286*Assumptions!$H$268)*AW953</f>
        <v>0</v>
      </c>
      <c r="AX1178" s="31">
        <f>(+Assumptions!$G$25/1000*Assumptions!$G$26*Assumptions!$G$286*Assumptions!$G$268+Assumptions!$G$265/1000*_xlfn.XLOOKUP(Assumptions!$G$264,Data_tables!$K:$K,Data_tables!$Q:$Q)*Assumptions!$G$287-Assumptions!$H$25/1000*Assumptions!$H$26*Assumptions!$H$286*Assumptions!$H$268)*AX953</f>
        <v>0</v>
      </c>
      <c r="AY1178" s="31">
        <f>(+Assumptions!$G$25/1000*Assumptions!$G$26*Assumptions!$G$286*Assumptions!$G$268+Assumptions!$G$265/1000*_xlfn.XLOOKUP(Assumptions!$G$264,Data_tables!$K:$K,Data_tables!$Q:$Q)*Assumptions!$G$287-Assumptions!$H$25/1000*Assumptions!$H$26*Assumptions!$H$286*Assumptions!$H$268)*AY953</f>
        <v>0</v>
      </c>
      <c r="AZ1178" s="31">
        <f>(+Assumptions!$G$25/1000*Assumptions!$G$26*Assumptions!$G$286*Assumptions!$G$268+Assumptions!$G$265/1000*_xlfn.XLOOKUP(Assumptions!$G$264,Data_tables!$K:$K,Data_tables!$Q:$Q)*Assumptions!$G$287-Assumptions!$H$25/1000*Assumptions!$H$26*Assumptions!$H$286*Assumptions!$H$268)*AZ953</f>
        <v>0</v>
      </c>
      <c r="BA1178" s="31">
        <f>(+Assumptions!$G$25/1000*Assumptions!$G$26*Assumptions!$G$286*Assumptions!$G$268+Assumptions!$G$265/1000*_xlfn.XLOOKUP(Assumptions!$G$264,Data_tables!$K:$K,Data_tables!$Q:$Q)*Assumptions!$G$287-Assumptions!$H$25/1000*Assumptions!$H$26*Assumptions!$H$286*Assumptions!$H$268)*BA953</f>
        <v>0</v>
      </c>
      <c r="BB1178" s="31">
        <f>(+Assumptions!$G$25/1000*Assumptions!$G$26*Assumptions!$G$286*Assumptions!$G$268+Assumptions!$G$265/1000*_xlfn.XLOOKUP(Assumptions!$G$264,Data_tables!$K:$K,Data_tables!$Q:$Q)*Assumptions!$G$287-Assumptions!$H$25/1000*Assumptions!$H$26*Assumptions!$H$286*Assumptions!$H$268)*BB953</f>
        <v>0</v>
      </c>
      <c r="BC1178" s="31">
        <f>(+Assumptions!$G$25/1000*Assumptions!$G$26*Assumptions!$G$286*Assumptions!$G$268+Assumptions!$G$265/1000*_xlfn.XLOOKUP(Assumptions!$G$264,Data_tables!$K:$K,Data_tables!$Q:$Q)*Assumptions!$G$287-Assumptions!$H$25/1000*Assumptions!$H$26*Assumptions!$H$286*Assumptions!$H$268)*BC953</f>
        <v>0</v>
      </c>
      <c r="BD1178" s="31">
        <f>(+Assumptions!$G$25/1000*Assumptions!$G$26*Assumptions!$G$286*Assumptions!$G$268+Assumptions!$G$265/1000*_xlfn.XLOOKUP(Assumptions!$G$264,Data_tables!$K:$K,Data_tables!$Q:$Q)*Assumptions!$G$287-Assumptions!$H$25/1000*Assumptions!$H$26*Assumptions!$H$286*Assumptions!$H$268)*BD953</f>
        <v>0</v>
      </c>
      <c r="BE1178" s="31">
        <f>(+Assumptions!$G$25/1000*Assumptions!$G$26*Assumptions!$G$286*Assumptions!$G$268+Assumptions!$G$265/1000*_xlfn.XLOOKUP(Assumptions!$G$264,Data_tables!$K:$K,Data_tables!$Q:$Q)*Assumptions!$G$287-Assumptions!$H$25/1000*Assumptions!$H$26*Assumptions!$H$286*Assumptions!$H$268)*BE953</f>
        <v>0</v>
      </c>
      <c r="BF1178" s="31">
        <f>(+Assumptions!$G$25/1000*Assumptions!$G$26*Assumptions!$G$286*Assumptions!$G$268+Assumptions!$G$265/1000*_xlfn.XLOOKUP(Assumptions!$G$264,Data_tables!$K:$K,Data_tables!$Q:$Q)*Assumptions!$G$287-Assumptions!$H$25/1000*Assumptions!$H$26*Assumptions!$H$286*Assumptions!$H$268)*BF953</f>
        <v>0</v>
      </c>
      <c r="BG1178" s="31">
        <f>(+Assumptions!$G$25/1000*Assumptions!$G$26*Assumptions!$G$286*Assumptions!$G$268+Assumptions!$G$265/1000*_xlfn.XLOOKUP(Assumptions!$G$264,Data_tables!$K:$K,Data_tables!$Q:$Q)*Assumptions!$G$287-Assumptions!$H$25/1000*Assumptions!$H$26*Assumptions!$H$286*Assumptions!$H$268)*BG953</f>
        <v>0</v>
      </c>
      <c r="BH1178" s="31">
        <f>(+Assumptions!$G$25/1000*Assumptions!$G$26*Assumptions!$G$286*Assumptions!$G$268+Assumptions!$G$265/1000*_xlfn.XLOOKUP(Assumptions!$G$264,Data_tables!$K:$K,Data_tables!$Q:$Q)*Assumptions!$G$287-Assumptions!$H$25/1000*Assumptions!$H$26*Assumptions!$H$286*Assumptions!$H$268)*BH953</f>
        <v>0</v>
      </c>
      <c r="BI1178" s="31">
        <f>(+Assumptions!$G$25/1000*Assumptions!$G$26*Assumptions!$G$286*Assumptions!$G$268+Assumptions!$G$265/1000*_xlfn.XLOOKUP(Assumptions!$G$264,Data_tables!$K:$K,Data_tables!$Q:$Q)*Assumptions!$G$287-Assumptions!$H$25/1000*Assumptions!$H$26*Assumptions!$H$286*Assumptions!$H$268)*BI953</f>
        <v>0</v>
      </c>
      <c r="BJ1178" s="31">
        <f>(+Assumptions!$G$25/1000*Assumptions!$G$26*Assumptions!$G$286*Assumptions!$G$268+Assumptions!$G$265/1000*_xlfn.XLOOKUP(Assumptions!$G$264,Data_tables!$K:$K,Data_tables!$Q:$Q)*Assumptions!$G$287-Assumptions!$H$25/1000*Assumptions!$H$26*Assumptions!$H$286*Assumptions!$H$268)*BJ953</f>
        <v>0</v>
      </c>
      <c r="BK1178" s="31">
        <f>(+Assumptions!$G$25/1000*Assumptions!$G$26*Assumptions!$G$286*Assumptions!$G$268+Assumptions!$G$265/1000*_xlfn.XLOOKUP(Assumptions!$G$264,Data_tables!$K:$K,Data_tables!$Q:$Q)*Assumptions!$G$287-Assumptions!$H$25/1000*Assumptions!$H$26*Assumptions!$H$286*Assumptions!$H$268)*BK953</f>
        <v>0</v>
      </c>
      <c r="BL1178" s="31">
        <f>(+Assumptions!$G$25/1000*Assumptions!$G$26*Assumptions!$G$286*Assumptions!$G$268+Assumptions!$G$265/1000*_xlfn.XLOOKUP(Assumptions!$G$264,Data_tables!$K:$K,Data_tables!$Q:$Q)*Assumptions!$G$287-Assumptions!$H$25/1000*Assumptions!$H$26*Assumptions!$H$286*Assumptions!$H$268)*BL953</f>
        <v>0</v>
      </c>
      <c r="BM1178" s="31">
        <f>(+Assumptions!$G$25/1000*Assumptions!$G$26*Assumptions!$G$286*Assumptions!$G$268+Assumptions!$G$265/1000*_xlfn.XLOOKUP(Assumptions!$G$264,Data_tables!$K:$K,Data_tables!$Q:$Q)*Assumptions!$G$287-Assumptions!$H$25/1000*Assumptions!$H$26*Assumptions!$H$286*Assumptions!$H$268)*BM953</f>
        <v>0</v>
      </c>
      <c r="BN1178" s="31">
        <f>(+Assumptions!$G$25/1000*Assumptions!$G$26*Assumptions!$G$286*Assumptions!$G$268+Assumptions!$G$265/1000*_xlfn.XLOOKUP(Assumptions!$G$264,Data_tables!$K:$K,Data_tables!$Q:$Q)*Assumptions!$G$287-Assumptions!$H$25/1000*Assumptions!$H$26*Assumptions!$H$286*Assumptions!$H$268)*BN953</f>
        <v>0</v>
      </c>
      <c r="BO1178" s="31">
        <f>(+Assumptions!$G$25/1000*Assumptions!$G$26*Assumptions!$G$286*Assumptions!$G$268+Assumptions!$G$265/1000*_xlfn.XLOOKUP(Assumptions!$G$264,Data_tables!$K:$K,Data_tables!$Q:$Q)*Assumptions!$G$287-Assumptions!$H$25/1000*Assumptions!$H$26*Assumptions!$H$286*Assumptions!$H$268)*BO953</f>
        <v>0</v>
      </c>
      <c r="BP1178" s="31">
        <f>(+Assumptions!$G$25/1000*Assumptions!$G$26*Assumptions!$G$286*Assumptions!$G$268+Assumptions!$G$265/1000*_xlfn.XLOOKUP(Assumptions!$G$264,Data_tables!$K:$K,Data_tables!$Q:$Q)*Assumptions!$G$287-Assumptions!$H$25/1000*Assumptions!$H$26*Assumptions!$H$286*Assumptions!$H$268)*BP953</f>
        <v>0</v>
      </c>
      <c r="BQ1178" s="31">
        <f>(+Assumptions!$G$25/1000*Assumptions!$G$26*Assumptions!$G$286*Assumptions!$G$268+Assumptions!$G$265/1000*_xlfn.XLOOKUP(Assumptions!$G$264,Data_tables!$K:$K,Data_tables!$Q:$Q)*Assumptions!$G$287-Assumptions!$H$25/1000*Assumptions!$H$26*Assumptions!$H$286*Assumptions!$H$268)*BQ953</f>
        <v>0</v>
      </c>
      <c r="BR1178" s="31">
        <f>(+Assumptions!$G$25/1000*Assumptions!$G$26*Assumptions!$G$286*Assumptions!$G$268+Assumptions!$G$265/1000*_xlfn.XLOOKUP(Assumptions!$G$264,Data_tables!$K:$K,Data_tables!$Q:$Q)*Assumptions!$G$287-Assumptions!$H$25/1000*Assumptions!$H$26*Assumptions!$H$286*Assumptions!$H$268)*BR953</f>
        <v>0</v>
      </c>
      <c r="BS1178" s="31">
        <f>(+Assumptions!$G$25/1000*Assumptions!$G$26*Assumptions!$G$286*Assumptions!$G$268+Assumptions!$G$265/1000*_xlfn.XLOOKUP(Assumptions!$G$264,Data_tables!$K:$K,Data_tables!$Q:$Q)*Assumptions!$G$287-Assumptions!$H$25/1000*Assumptions!$H$26*Assumptions!$H$286*Assumptions!$H$268)*BS953</f>
        <v>0</v>
      </c>
      <c r="BT1178" s="31">
        <f>(+Assumptions!$G$25/1000*Assumptions!$G$26*Assumptions!$G$286*Assumptions!$G$268+Assumptions!$G$265/1000*_xlfn.XLOOKUP(Assumptions!$G$264,Data_tables!$K:$K,Data_tables!$Q:$Q)*Assumptions!$G$287-Assumptions!$H$25/1000*Assumptions!$H$26*Assumptions!$H$286*Assumptions!$H$268)*BT953</f>
        <v>0</v>
      </c>
      <c r="BU1178" s="31">
        <f>(+Assumptions!$G$25/1000*Assumptions!$G$26*Assumptions!$G$286*Assumptions!$G$268+Assumptions!$G$265/1000*_xlfn.XLOOKUP(Assumptions!$G$264,Data_tables!$K:$K,Data_tables!$Q:$Q)*Assumptions!$G$287-Assumptions!$H$25/1000*Assumptions!$H$26*Assumptions!$H$286*Assumptions!$H$268)*BU953</f>
        <v>0</v>
      </c>
      <c r="BV1178" s="31">
        <f>(+Assumptions!$G$25/1000*Assumptions!$G$26*Assumptions!$G$286*Assumptions!$G$268+Assumptions!$G$265/1000*_xlfn.XLOOKUP(Assumptions!$G$264,Data_tables!$K:$K,Data_tables!$Q:$Q)*Assumptions!$G$287-Assumptions!$H$25/1000*Assumptions!$H$26*Assumptions!$H$286*Assumptions!$H$268)*BV953</f>
        <v>0</v>
      </c>
      <c r="BW1178" s="31">
        <f>(+Assumptions!$G$25/1000*Assumptions!$G$26*Assumptions!$G$286*Assumptions!$G$268+Assumptions!$G$265/1000*_xlfn.XLOOKUP(Assumptions!$G$264,Data_tables!$K:$K,Data_tables!$Q:$Q)*Assumptions!$G$287-Assumptions!$H$25/1000*Assumptions!$H$26*Assumptions!$H$286*Assumptions!$H$268)*BW953</f>
        <v>0</v>
      </c>
      <c r="BX1178" s="31">
        <f>(+Assumptions!$G$25/1000*Assumptions!$G$26*Assumptions!$G$286*Assumptions!$G$268+Assumptions!$G$265/1000*_xlfn.XLOOKUP(Assumptions!$G$264,Data_tables!$K:$K,Data_tables!$Q:$Q)*Assumptions!$G$287-Assumptions!$H$25/1000*Assumptions!$H$26*Assumptions!$H$286*Assumptions!$H$268)*BX953</f>
        <v>0</v>
      </c>
      <c r="BY1178" s="31">
        <f>(+Assumptions!$G$25/1000*Assumptions!$G$26*Assumptions!$G$286*Assumptions!$G$268+Assumptions!$G$265/1000*_xlfn.XLOOKUP(Assumptions!$G$264,Data_tables!$K:$K,Data_tables!$Q:$Q)*Assumptions!$G$287-Assumptions!$H$25/1000*Assumptions!$H$26*Assumptions!$H$286*Assumptions!$H$268)*BY953</f>
        <v>0</v>
      </c>
    </row>
    <row r="1179" spans="1:77">
      <c r="F1179" s="80"/>
      <c r="H1179" s="31"/>
      <c r="I1179" s="31"/>
      <c r="J1179" s="31"/>
      <c r="K1179" s="31"/>
      <c r="L1179" s="31"/>
      <c r="M1179" s="31"/>
      <c r="N1179" s="31"/>
      <c r="O1179" s="31"/>
      <c r="P1179" s="31"/>
      <c r="Q1179" s="31"/>
      <c r="R1179" s="31"/>
      <c r="S1179" s="31"/>
      <c r="T1179" s="31"/>
      <c r="U1179" s="31"/>
      <c r="V1179" s="31"/>
      <c r="W1179" s="31"/>
      <c r="X1179" s="31"/>
      <c r="Y1179" s="31"/>
      <c r="Z1179" s="31"/>
      <c r="AA1179" s="31"/>
      <c r="AB1179" s="31"/>
      <c r="AC1179" s="31"/>
      <c r="AD1179" s="31"/>
      <c r="AE1179" s="31"/>
      <c r="AF1179" s="31"/>
      <c r="AG1179" s="31"/>
      <c r="AH1179" s="31"/>
      <c r="AI1179" s="31"/>
      <c r="AJ1179" s="31"/>
      <c r="AK1179" s="31"/>
      <c r="AL1179" s="31"/>
      <c r="AM1179" s="31"/>
      <c r="AN1179" s="31"/>
      <c r="AO1179" s="31"/>
      <c r="AP1179" s="31"/>
      <c r="AQ1179" s="31"/>
      <c r="AR1179" s="31"/>
      <c r="AS1179" s="31"/>
      <c r="AT1179" s="31"/>
      <c r="AU1179" s="31"/>
      <c r="AV1179" s="31"/>
      <c r="AW1179" s="31"/>
      <c r="AX1179" s="31"/>
      <c r="AY1179" s="31"/>
      <c r="AZ1179" s="31"/>
      <c r="BA1179" s="31"/>
      <c r="BB1179" s="31"/>
      <c r="BC1179" s="31"/>
      <c r="BD1179" s="31"/>
      <c r="BE1179" s="31"/>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row>
    <row r="1181" spans="1:77" s="17" customFormat="1" ht="15">
      <c r="A1181" s="17" t="str">
        <f>+Assumptions!A399</f>
        <v>Consortium cost absorption, Willingness-to-pay and externalities</v>
      </c>
    </row>
    <row r="1184" spans="1:77" s="66" customFormat="1" ht="15">
      <c r="A1184" s="66" t="str">
        <f>+Assumptions!B400</f>
        <v xml:space="preserve">5.0 Consortium cost absorption </v>
      </c>
    </row>
    <row r="1185" spans="1:77" s="19" customFormat="1" outlineLevel="1">
      <c r="A1185"/>
      <c r="B1185" s="18" t="str">
        <f>+Assumptions!C401</f>
        <v>5.1 Green fuel production</v>
      </c>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5"/>
      <c r="AE1185" s="35"/>
      <c r="AF1185" s="35"/>
      <c r="AG1185" s="35"/>
      <c r="AH1185" s="35"/>
      <c r="AI1185" s="35"/>
      <c r="AJ1185" s="35"/>
      <c r="AK1185" s="35"/>
      <c r="AL1185" s="35"/>
      <c r="AM1185" s="35"/>
      <c r="AN1185" s="35"/>
      <c r="AO1185" s="35"/>
      <c r="AP1185" s="35"/>
      <c r="AQ1185" s="35"/>
      <c r="AR1185" s="35"/>
      <c r="AS1185" s="35"/>
      <c r="AT1185" s="35"/>
      <c r="AU1185" s="35"/>
      <c r="AV1185" s="35"/>
      <c r="AW1185" s="35"/>
      <c r="AX1185" s="35"/>
      <c r="AY1185" s="35"/>
      <c r="AZ1185" s="35"/>
      <c r="BA1185" s="35"/>
      <c r="BB1185" s="35"/>
      <c r="BC1185" s="35"/>
      <c r="BD1185" s="35"/>
      <c r="BE1185" s="35"/>
      <c r="BF1185" s="35"/>
      <c r="BG1185" s="35"/>
      <c r="BH1185" s="35"/>
      <c r="BI1185" s="35"/>
      <c r="BJ1185" s="35"/>
      <c r="BK1185" s="35"/>
      <c r="BL1185" s="35"/>
      <c r="BM1185" s="35"/>
      <c r="BN1185" s="35"/>
      <c r="BO1185" s="35"/>
      <c r="BP1185" s="35"/>
      <c r="BQ1185" s="35"/>
      <c r="BR1185" s="35"/>
      <c r="BS1185" s="35"/>
      <c r="BT1185" s="35"/>
      <c r="BU1185" s="35"/>
      <c r="BV1185" s="35"/>
      <c r="BW1185" s="35"/>
      <c r="BX1185" s="35"/>
      <c r="BY1185" s="35"/>
    </row>
    <row r="1186" spans="1:77" s="19" customFormat="1" outlineLevel="1">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row>
    <row r="1187" spans="1:77" s="19" customFormat="1" outlineLevel="1">
      <c r="A1187"/>
      <c r="B1187"/>
      <c r="C1187"/>
      <c r="D1187"/>
      <c r="E1187"/>
      <c r="F1187" s="80"/>
      <c r="G1187"/>
      <c r="H1187" s="31"/>
      <c r="I1187" s="31"/>
      <c r="J1187" s="31"/>
      <c r="K1187" s="31"/>
      <c r="L1187" s="31"/>
      <c r="M1187" s="31"/>
      <c r="N1187" s="31"/>
      <c r="O1187" s="31"/>
      <c r="P1187" s="31"/>
      <c r="Q1187" s="31"/>
      <c r="R1187" s="31"/>
      <c r="S1187" s="31"/>
      <c r="T1187" s="31"/>
      <c r="U1187" s="31"/>
      <c r="V1187" s="31"/>
      <c r="W1187" s="31"/>
      <c r="X1187" s="31"/>
      <c r="Y1187" s="31"/>
      <c r="Z1187" s="31"/>
      <c r="AA1187" s="31"/>
      <c r="AB1187" s="31"/>
      <c r="AC1187" s="31"/>
      <c r="AD1187" s="31"/>
      <c r="AE1187" s="31"/>
      <c r="AF1187" s="31"/>
      <c r="AG1187" s="31"/>
      <c r="AH1187" s="31"/>
      <c r="AI1187" s="31"/>
      <c r="AJ1187" s="31"/>
      <c r="AK1187" s="31"/>
      <c r="AL1187" s="31"/>
      <c r="AM1187" s="31"/>
      <c r="AN1187" s="31"/>
      <c r="AO1187" s="31"/>
      <c r="AP1187" s="31"/>
      <c r="AQ1187" s="31"/>
      <c r="AR1187" s="31"/>
      <c r="AS1187" s="31"/>
      <c r="AT1187" s="31"/>
      <c r="AU1187" s="31"/>
      <c r="AV1187" s="31"/>
      <c r="AW1187" s="31"/>
      <c r="AX1187" s="31"/>
      <c r="AY1187" s="31"/>
      <c r="AZ1187" s="31"/>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row>
    <row r="1188" spans="1:77" s="19" customFormat="1" outlineLevel="1">
      <c r="A1188"/>
      <c r="B1188"/>
      <c r="C1188"/>
      <c r="D1188"/>
      <c r="E1188" t="s">
        <v>612</v>
      </c>
      <c r="F1188" s="80" t="s">
        <v>178</v>
      </c>
      <c r="G1188"/>
      <c r="H1188" s="41">
        <f>+IF(Assumptions!$G$402="Share",Assumptions!$G$404,0)</f>
        <v>0</v>
      </c>
      <c r="I1188" s="41">
        <f>+IF(Assumptions!$G$402="Share",Assumptions!$G$404,0)</f>
        <v>0</v>
      </c>
      <c r="J1188" s="41">
        <f>+IF(Assumptions!$G$402="Share",Assumptions!$G$404,0)</f>
        <v>0</v>
      </c>
      <c r="K1188" s="41">
        <f>+IF(Assumptions!$G$402="Share",Assumptions!$G$404,0)</f>
        <v>0</v>
      </c>
      <c r="L1188" s="41">
        <f>+IF(Assumptions!$G$402="Share",Assumptions!$G$404,0)</f>
        <v>0</v>
      </c>
      <c r="M1188" s="41">
        <f>+IF(Assumptions!$G$402="Share",Assumptions!$G$404,0)</f>
        <v>0</v>
      </c>
      <c r="N1188" s="41">
        <f>+IF(Assumptions!$G$402="Share",Assumptions!$G$404,0)</f>
        <v>0</v>
      </c>
      <c r="O1188" s="41">
        <f>+IF(Assumptions!$G$402="Share",Assumptions!$G$404,0)</f>
        <v>0</v>
      </c>
      <c r="P1188" s="41">
        <f>+IF(Assumptions!$G$402="Share",Assumptions!$G$404,0)</f>
        <v>0</v>
      </c>
      <c r="Q1188" s="41">
        <f>+IF(Assumptions!$G$402="Share",Assumptions!$G$404,0)</f>
        <v>0</v>
      </c>
      <c r="R1188" s="41">
        <f>+IF(Assumptions!$G$402="Share",Assumptions!$G$404,0)</f>
        <v>0</v>
      </c>
      <c r="S1188" s="41">
        <f>+IF(Assumptions!$G$402="Share",Assumptions!$G$404,0)</f>
        <v>0</v>
      </c>
      <c r="T1188" s="41">
        <f>+IF(Assumptions!$G$402="Share",Assumptions!$G$404,0)</f>
        <v>0</v>
      </c>
      <c r="U1188" s="41">
        <f>+IF(Assumptions!$G$402="Share",Assumptions!$G$404,0)</f>
        <v>0</v>
      </c>
      <c r="V1188" s="41">
        <f>+IF(Assumptions!$G$402="Share",Assumptions!$G$404,0)</f>
        <v>0</v>
      </c>
      <c r="W1188" s="41">
        <f>+IF(Assumptions!$G$402="Share",Assumptions!$G$404,0)</f>
        <v>0</v>
      </c>
      <c r="X1188" s="41">
        <f>+IF(Assumptions!$G$402="Share",Assumptions!$G$404,0)</f>
        <v>0</v>
      </c>
      <c r="Y1188" s="41">
        <f>+IF(Assumptions!$G$402="Share",Assumptions!$G$404,0)</f>
        <v>0</v>
      </c>
      <c r="Z1188" s="41">
        <f>+IF(Assumptions!$G$402="Share",Assumptions!$G$404,0)</f>
        <v>0</v>
      </c>
      <c r="AA1188" s="41">
        <f>+IF(Assumptions!$G$402="Share",Assumptions!$G$404,0)</f>
        <v>0</v>
      </c>
      <c r="AB1188" s="41">
        <f>+IF(Assumptions!$G$402="Share",Assumptions!$G$404,0)</f>
        <v>0</v>
      </c>
      <c r="AC1188" s="41">
        <f>+IF(Assumptions!$G$402="Share",Assumptions!$G$404,0)</f>
        <v>0</v>
      </c>
      <c r="AD1188" s="41">
        <f>+IF(Assumptions!$G$402="Share",Assumptions!$G$404,0)</f>
        <v>0</v>
      </c>
      <c r="AE1188" s="41">
        <f>+IF(Assumptions!$G$402="Share",Assumptions!$G$404,0)</f>
        <v>0</v>
      </c>
      <c r="AF1188" s="41">
        <f>+IF(Assumptions!$G$402="Share",Assumptions!$G$404,0)</f>
        <v>0</v>
      </c>
      <c r="AG1188" s="41">
        <f>+IF(Assumptions!$G$402="Share",Assumptions!$G$404,0)</f>
        <v>0</v>
      </c>
      <c r="AH1188" s="41">
        <f>+IF(Assumptions!$G$402="Share",Assumptions!$G$404,0)</f>
        <v>0</v>
      </c>
      <c r="AI1188" s="41">
        <f>+IF(Assumptions!$G$402="Share",Assumptions!$G$404,0)</f>
        <v>0</v>
      </c>
      <c r="AJ1188" s="41">
        <f>+IF(Assumptions!$G$402="Share",Assumptions!$G$404,0)</f>
        <v>0</v>
      </c>
      <c r="AK1188" s="41">
        <f>+IF(Assumptions!$G$402="Share",Assumptions!$G$404,0)</f>
        <v>0</v>
      </c>
      <c r="AL1188" s="41">
        <f>+IF(Assumptions!$G$402="Share",Assumptions!$G$404,0)</f>
        <v>0</v>
      </c>
      <c r="AM1188" s="41">
        <f>+IF(Assumptions!$G$402="Share",Assumptions!$G$404,0)</f>
        <v>0</v>
      </c>
      <c r="AN1188" s="41">
        <f>+IF(Assumptions!$G$402="Share",Assumptions!$G$404,0)</f>
        <v>0</v>
      </c>
      <c r="AO1188" s="41">
        <f>+IF(Assumptions!$G$402="Share",Assumptions!$G$404,0)</f>
        <v>0</v>
      </c>
      <c r="AP1188" s="41">
        <f>+IF(Assumptions!$G$402="Share",Assumptions!$G$404,0)</f>
        <v>0</v>
      </c>
      <c r="AQ1188" s="41">
        <f>+IF(Assumptions!$G$402="Share",Assumptions!$G$404,0)</f>
        <v>0</v>
      </c>
      <c r="AR1188" s="41">
        <f>+IF(Assumptions!$G$402="Share",Assumptions!$G$404,0)</f>
        <v>0</v>
      </c>
      <c r="AS1188" s="41">
        <f>+IF(Assumptions!$G$402="Share",Assumptions!$G$404,0)</f>
        <v>0</v>
      </c>
      <c r="AT1188" s="41">
        <f>+IF(Assumptions!$G$402="Share",Assumptions!$G$404,0)</f>
        <v>0</v>
      </c>
      <c r="AU1188" s="41">
        <f>+IF(Assumptions!$G$402="Share",Assumptions!$G$404,0)</f>
        <v>0</v>
      </c>
      <c r="AV1188" s="41">
        <f>+IF(Assumptions!$G$402="Share",Assumptions!$G$404,0)</f>
        <v>0</v>
      </c>
      <c r="AW1188" s="41">
        <f>+IF(Assumptions!$G$402="Share",Assumptions!$G$404,0)</f>
        <v>0</v>
      </c>
      <c r="AX1188" s="41">
        <f>+IF(Assumptions!$G$402="Share",Assumptions!$G$404,0)</f>
        <v>0</v>
      </c>
      <c r="AY1188" s="41">
        <f>+IF(Assumptions!$G$402="Share",Assumptions!$G$404,0)</f>
        <v>0</v>
      </c>
      <c r="AZ1188" s="41">
        <f>+IF(Assumptions!$G$402="Share",Assumptions!$G$404,0)</f>
        <v>0</v>
      </c>
      <c r="BA1188" s="41">
        <f>+IF(Assumptions!$G$402="Share",Assumptions!$G$404,0)</f>
        <v>0</v>
      </c>
      <c r="BB1188" s="41">
        <f>+IF(Assumptions!$G$402="Share",Assumptions!$G$404,0)</f>
        <v>0</v>
      </c>
      <c r="BC1188" s="41">
        <f>+IF(Assumptions!$G$402="Share",Assumptions!$G$404,0)</f>
        <v>0</v>
      </c>
      <c r="BD1188" s="41">
        <f>+IF(Assumptions!$G$402="Share",Assumptions!$G$404,0)</f>
        <v>0</v>
      </c>
      <c r="BE1188" s="41">
        <f>+IF(Assumptions!$G$402="Share",Assumptions!$G$404,0)</f>
        <v>0</v>
      </c>
      <c r="BF1188" s="41">
        <f>+IF(Assumptions!$G$402="Share",Assumptions!$G$404,0)</f>
        <v>0</v>
      </c>
      <c r="BG1188" s="41">
        <f>+IF(Assumptions!$G$402="Share",Assumptions!$G$404,0)</f>
        <v>0</v>
      </c>
      <c r="BH1188" s="41">
        <f>+IF(Assumptions!$G$402="Share",Assumptions!$G$404,0)</f>
        <v>0</v>
      </c>
      <c r="BI1188" s="41">
        <f>+IF(Assumptions!$G$402="Share",Assumptions!$G$404,0)</f>
        <v>0</v>
      </c>
      <c r="BJ1188" s="41">
        <f>+IF(Assumptions!$G$402="Share",Assumptions!$G$404,0)</f>
        <v>0</v>
      </c>
      <c r="BK1188" s="41">
        <f>+IF(Assumptions!$G$402="Share",Assumptions!$G$404,0)</f>
        <v>0</v>
      </c>
      <c r="BL1188" s="41">
        <f>+IF(Assumptions!$G$402="Share",Assumptions!$G$404,0)</f>
        <v>0</v>
      </c>
      <c r="BM1188" s="41">
        <f>+IF(Assumptions!$G$402="Share",Assumptions!$G$404,0)</f>
        <v>0</v>
      </c>
      <c r="BN1188" s="41">
        <f>+IF(Assumptions!$G$402="Share",Assumptions!$G$404,0)</f>
        <v>0</v>
      </c>
      <c r="BO1188" s="41">
        <f>+IF(Assumptions!$G$402="Share",Assumptions!$G$404,0)</f>
        <v>0</v>
      </c>
      <c r="BP1188" s="41">
        <f>+IF(Assumptions!$G$402="Share",Assumptions!$G$404,0)</f>
        <v>0</v>
      </c>
      <c r="BQ1188" s="41">
        <f>+IF(Assumptions!$G$402="Share",Assumptions!$G$404,0)</f>
        <v>0</v>
      </c>
      <c r="BR1188" s="41">
        <f>+IF(Assumptions!$G$402="Share",Assumptions!$G$404,0)</f>
        <v>0</v>
      </c>
      <c r="BS1188" s="41">
        <f>+IF(Assumptions!$G$402="Share",Assumptions!$G$404,0)</f>
        <v>0</v>
      </c>
      <c r="BT1188" s="41">
        <f>+IF(Assumptions!$G$402="Share",Assumptions!$G$404,0)</f>
        <v>0</v>
      </c>
      <c r="BU1188" s="41">
        <f>+IF(Assumptions!$G$402="Share",Assumptions!$G$404,0)</f>
        <v>0</v>
      </c>
      <c r="BV1188" s="41">
        <f>+IF(Assumptions!$G$402="Share",Assumptions!$G$404,0)</f>
        <v>0</v>
      </c>
      <c r="BW1188" s="41">
        <f>+IF(Assumptions!$G$402="Share",Assumptions!$G$404,0)</f>
        <v>0</v>
      </c>
      <c r="BX1188" s="41">
        <f>+IF(Assumptions!$G$402="Share",Assumptions!$G$404,0)</f>
        <v>0</v>
      </c>
      <c r="BY1188" s="41">
        <f>+IF(Assumptions!$G$402="Share",Assumptions!$G$404,0)</f>
        <v>0</v>
      </c>
    </row>
    <row r="1189" spans="1:77" s="19" customFormat="1" outlineLevel="1">
      <c r="A1189"/>
      <c r="B1189"/>
      <c r="C1189"/>
      <c r="D1189"/>
      <c r="E1189" t="s">
        <v>243</v>
      </c>
      <c r="F1189" s="80" t="s">
        <v>423</v>
      </c>
      <c r="G1189"/>
      <c r="H1189" s="86">
        <f ca="1">1/(1+Assumptions!$G$409)*IF(G1189=0,1,G1189)</f>
        <v>0.95979422011920645</v>
      </c>
      <c r="I1189" s="86">
        <f ca="1">1/(1+Assumptions!$G$409)*IF(H1189=0,1,H1189)</f>
        <v>0.92120494497423577</v>
      </c>
      <c r="J1189" s="86">
        <f ca="1">1/(1+Assumptions!$G$409)*IF(I1189=0,1,I1189)</f>
        <v>0.8841671817315031</v>
      </c>
      <c r="K1189" s="86">
        <f ca="1">1/(1+Assumptions!$G$409)*IF(J1189=0,1,J1189)</f>
        <v>0.8486185506449847</v>
      </c>
      <c r="L1189" s="86">
        <f ca="1">1/(1+Assumptions!$G$409)*IF(K1189=0,1,K1189)</f>
        <v>0.81449917999499444</v>
      </c>
      <c r="M1189" s="86">
        <f ca="1">1/(1+Assumptions!$G$409)*IF(L1189=0,1,L1189)</f>
        <v>0.78175160525102882</v>
      </c>
      <c r="N1189" s="86">
        <f ca="1">1/(1+Assumptions!$G$409)*IF(M1189=0,1,M1189)</f>
        <v>0.75032067228884891</v>
      </c>
      <c r="O1189" s="86">
        <f ca="1">1/(1+Assumptions!$G$409)*IF(N1189=0,1,N1189)</f>
        <v>0.72015344449879437</v>
      </c>
      <c r="P1189" s="86">
        <f ca="1">1/(1+Assumptions!$G$409)*IF(O1189=0,1,O1189)</f>
        <v>0.69119911362888053</v>
      </c>
      <c r="Q1189" s="86">
        <f ca="1">1/(1+Assumptions!$G$409)*IF(P1189=0,1,P1189)</f>
        <v>0.66340891421251813</v>
      </c>
      <c r="R1189" s="86">
        <f ca="1">1/(1+Assumptions!$G$409)*IF(Q1189=0,1,Q1189)</f>
        <v>0.63673604143673335</v>
      </c>
      <c r="S1189" s="86">
        <f ca="1">1/(1+Assumptions!$G$409)*IF(R1189=0,1,R1189)</f>
        <v>0.61113557231256022</v>
      </c>
      <c r="T1189" s="86">
        <f ca="1">1/(1+Assumptions!$G$409)*IF(S1189=0,1,S1189)</f>
        <v>0.58656439001483862</v>
      </c>
      <c r="U1189" s="86">
        <f ca="1">1/(1+Assumptions!$G$409)*IF(T1189=0,1,T1189)</f>
        <v>0.56298111126399009</v>
      </c>
      <c r="V1189" s="86">
        <f ca="1">1/(1+Assumptions!$G$409)*IF(U1189=0,1,U1189)</f>
        <v>0.54034601662746551</v>
      </c>
      <c r="W1189" s="86">
        <f ca="1">1/(1+Assumptions!$G$409)*IF(V1189=0,1,V1189)</f>
        <v>0.51862098362347797</v>
      </c>
      <c r="X1189" s="86">
        <f ca="1">1/(1+Assumptions!$G$409)*IF(W1189=0,1,W1189)</f>
        <v>0.4977694225143518</v>
      </c>
      <c r="Y1189" s="86">
        <f ca="1">1/(1+Assumptions!$G$409)*IF(X1189=0,1,X1189)</f>
        <v>0.47775621468135004</v>
      </c>
      <c r="Z1189" s="86">
        <f ca="1">1/(1+Assumptions!$G$409)*IF(Y1189=0,1,Y1189)</f>
        <v>0.45854765347719056</v>
      </c>
      <c r="AA1189" s="86">
        <f ca="1">1/(1+Assumptions!$G$409)*IF(Z1189=0,1,Z1189)</f>
        <v>0.44011138745663225</v>
      </c>
      <c r="AB1189" s="86">
        <f ca="1">1/(1+Assumptions!$G$409)*IF(AA1189=0,1,AA1189)</f>
        <v>0.42241636588952025</v>
      </c>
      <c r="AC1189" s="86">
        <f ca="1">1/(1+Assumptions!$G$409)*IF(AB1189=0,1,AB1189)</f>
        <v>0.40543278646452147</v>
      </c>
      <c r="AD1189" s="86">
        <f ca="1">1/(1+Assumptions!$G$409)*IF(AC1189=0,1,AC1189)</f>
        <v>0.38913204509547217</v>
      </c>
      <c r="AE1189" s="86">
        <f ca="1">1/(1+Assumptions!$G$409)*IF(AD1189=0,1,AD1189)</f>
        <v>0.37348668774580057</v>
      </c>
      <c r="AF1189" s="86">
        <f ca="1">1/(1+Assumptions!$G$409)*IF(AE1189=0,1,AE1189)</f>
        <v>0.35847036418988626</v>
      </c>
      <c r="AG1189" s="86">
        <f ca="1">1/(1+Assumptions!$G$409)*IF(AF1189=0,1,AF1189)</f>
        <v>0.34405778363347977</v>
      </c>
      <c r="AH1189" s="86">
        <f ca="1">1/(1+Assumptions!$G$409)*IF(AG1189=0,1,AG1189)</f>
        <v>0.33022467211843837</v>
      </c>
      <c r="AI1189" s="86">
        <f ca="1">1/(1+Assumptions!$G$409)*IF(AH1189=0,1,AH1189)</f>
        <v>0.3169477316400372</v>
      </c>
      <c r="AJ1189" s="86">
        <f ca="1">1/(1+Assumptions!$G$409)*IF(AI1189=0,1,AI1189)</f>
        <v>0.30420460090800105</v>
      </c>
      <c r="AK1189" s="86">
        <f ca="1">1/(1+Assumptions!$G$409)*IF(AJ1189=0,1,AJ1189)</f>
        <v>0.29197381768516933</v>
      </c>
      <c r="AL1189" s="86">
        <f ca="1">1/(1+Assumptions!$G$409)*IF(AK1189=0,1,AK1189)</f>
        <v>0.28023478264036444</v>
      </c>
      <c r="AM1189" s="86">
        <f ca="1">1/(1+Assumptions!$G$409)*IF(AL1189=0,1,AL1189)</f>
        <v>0.26896772465458391</v>
      </c>
      <c r="AN1189" s="86">
        <f ca="1">1/(1+Assumptions!$G$409)*IF(AM1189=0,1,AM1189)</f>
        <v>0.2581536675220838</v>
      </c>
      <c r="AO1189" s="86">
        <f ca="1">1/(1+Assumptions!$G$409)*IF(AN1189=0,1,AN1189)</f>
        <v>0.24777439799027134</v>
      </c>
      <c r="AP1189" s="86">
        <f ca="1">1/(1+Assumptions!$G$409)*IF(AO1189=0,1,AO1189)</f>
        <v>0.23781243508457836</v>
      </c>
      <c r="AQ1189" s="86">
        <f ca="1">1/(1+Assumptions!$G$409)*IF(AP1189=0,1,AP1189)</f>
        <v>0.2282510006666523</v>
      </c>
      <c r="AR1189" s="86">
        <f ca="1">1/(1+Assumptions!$G$409)*IF(AQ1189=0,1,AQ1189)</f>
        <v>0.21907399117627802</v>
      </c>
      <c r="AS1189" s="86">
        <f ca="1">1/(1+Assumptions!$G$409)*IF(AR1189=0,1,AR1189)</f>
        <v>0.21026595050943767</v>
      </c>
      <c r="AT1189" s="86">
        <f ca="1">1/(1+Assumptions!$G$409)*IF(AS1189=0,1,AS1189)</f>
        <v>0.20181204398682939</v>
      </c>
      <c r="AU1189" s="86">
        <f ca="1">1/(1+Assumptions!$G$409)*IF(AT1189=0,1,AT1189)</f>
        <v>0.1936980333690019</v>
      </c>
      <c r="AV1189" s="86">
        <f ca="1">1/(1+Assumptions!$G$409)*IF(AU1189=0,1,AU1189)</f>
        <v>0.18591025287602522</v>
      </c>
      <c r="AW1189" s="86">
        <f ca="1">1/(1+Assumptions!$G$409)*IF(AV1189=0,1,AV1189)</f>
        <v>0.17843558617130909</v>
      </c>
      <c r="AX1189" s="86">
        <f ca="1">1/(1+Assumptions!$G$409)*IF(AW1189=0,1,AW1189)</f>
        <v>0.17126144427080506</v>
      </c>
      <c r="AY1189" s="86">
        <f ca="1">1/(1+Assumptions!$G$409)*IF(AX1189=0,1,AX1189)</f>
        <v>0.16437574434038627</v>
      </c>
      <c r="AZ1189" s="86">
        <f ca="1">1/(1+Assumptions!$G$409)*IF(AY1189=0,1,AY1189)</f>
        <v>0.1577668893456951</v>
      </c>
      <c r="BA1189" s="86">
        <f ca="1">1/(1+Assumptions!$G$409)*IF(AZ1189=0,1,AZ1189)</f>
        <v>0.15142374852018459</v>
      </c>
      <c r="BB1189" s="86">
        <f ca="1">1/(1+Assumptions!$G$409)*IF(BA1189=0,1,BA1189)</f>
        <v>0.14533563861845741</v>
      </c>
      <c r="BC1189" s="86">
        <f ca="1">1/(1+Assumptions!$G$409)*IF(BB1189=0,1,BB1189)</f>
        <v>0.13949230592332915</v>
      </c>
      <c r="BD1189" s="86">
        <f ca="1">1/(1+Assumptions!$G$409)*IF(BC1189=0,1,BC1189)</f>
        <v>0.13388390897631147</v>
      </c>
      <c r="BE1189" s="86">
        <f ca="1">1/(1+Assumptions!$G$409)*IF(BD1189=0,1,BD1189)</f>
        <v>0.1285010020024297</v>
      </c>
      <c r="BF1189" s="86">
        <f ca="1">1/(1+Assumptions!$G$409)*IF(BE1189=0,1,BE1189)</f>
        <v>0.1233345190014586</v>
      </c>
      <c r="BG1189" s="86">
        <f ca="1">1/(1+Assumptions!$G$409)*IF(BF1189=0,1,BF1189)</f>
        <v>0.11837575847878241</v>
      </c>
      <c r="BH1189" s="86">
        <f ca="1">1/(1+Assumptions!$G$409)*IF(BG1189=0,1,BG1189)</f>
        <v>0.11361636879016251</v>
      </c>
      <c r="BI1189" s="86">
        <f ca="1">1/(1+Assumptions!$G$409)*IF(BH1189=0,1,BH1189)</f>
        <v>0.10904833407573018</v>
      </c>
      <c r="BJ1189" s="86">
        <f ca="1">1/(1+Assumptions!$G$409)*IF(BI1189=0,1,BI1189)</f>
        <v>0.10466396075951413</v>
      </c>
      <c r="BK1189" s="86">
        <f ca="1">1/(1+Assumptions!$G$409)*IF(BJ1189=0,1,BJ1189)</f>
        <v>0.10045586459176509</v>
      </c>
      <c r="BL1189" s="86">
        <f ca="1">1/(1+Assumptions!$G$409)*IF(BK1189=0,1,BK1189)</f>
        <v>9.6416958212253781E-2</v>
      </c>
      <c r="BM1189" s="86">
        <f ca="1">1/(1+Assumptions!$G$409)*IF(BL1189=0,1,BL1189)</f>
        <v>9.254043921359624E-2</v>
      </c>
      <c r="BN1189" s="86">
        <f ca="1">1/(1+Assumptions!$G$409)*IF(BM1189=0,1,BM1189)</f>
        <v>8.8819778684502429E-2</v>
      </c>
      <c r="BO1189" s="86">
        <f ca="1">1/(1+Assumptions!$G$409)*IF(BN1189=0,1,BN1189)</f>
        <v>8.5248710213652532E-2</v>
      </c>
      <c r="BP1189" s="86">
        <f ca="1">1/(1+Assumptions!$G$409)*IF(BO1189=0,1,BO1189)</f>
        <v>8.1821219335680859E-2</v>
      </c>
      <c r="BQ1189" s="86">
        <f ca="1">1/(1+Assumptions!$G$409)*IF(BP1189=0,1,BP1189)</f>
        <v>7.853153340149234E-2</v>
      </c>
      <c r="BR1189" s="86">
        <f ca="1">1/(1+Assumptions!$G$409)*IF(BQ1189=0,1,BQ1189)</f>
        <v>7.5374111855850759E-2</v>
      </c>
      <c r="BS1189" s="86">
        <f ca="1">1/(1+Assumptions!$G$409)*IF(BR1189=0,1,BR1189)</f>
        <v>7.2343636905864109E-2</v>
      </c>
      <c r="BT1189" s="86">
        <f ca="1">1/(1+Assumptions!$G$409)*IF(BS1189=0,1,BS1189)</f>
        <v>6.943500456465089E-2</v>
      </c>
      <c r="BU1189" s="86">
        <f ca="1">1/(1+Assumptions!$G$409)*IF(BT1189=0,1,BT1189)</f>
        <v>6.6643316055102639E-2</v>
      </c>
      <c r="BV1189" s="86">
        <f ca="1">1/(1+Assumptions!$G$409)*IF(BU1189=0,1,BU1189)</f>
        <v>6.396386955926503E-2</v>
      </c>
      <c r="BW1189" s="86">
        <f ca="1">1/(1+Assumptions!$G$409)*IF(BV1189=0,1,BV1189)</f>
        <v>6.1392152299441428E-2</v>
      </c>
      <c r="BX1189" s="86">
        <f ca="1">1/(1+Assumptions!$G$409)*IF(BW1189=0,1,BW1189)</f>
        <v>5.8923832937681934E-2</v>
      </c>
      <c r="BY1189" s="86">
        <f ca="1">1/(1+Assumptions!$G$409)*IF(BX1189=0,1,BX1189)</f>
        <v>5.6554754280856843E-2</v>
      </c>
    </row>
    <row r="1190" spans="1:77" s="19" customFormat="1" outlineLevel="1">
      <c r="A1190"/>
      <c r="B1190"/>
      <c r="C1190"/>
      <c r="D1190"/>
      <c r="E1190" t="s">
        <v>613</v>
      </c>
      <c r="F1190" s="80" t="s">
        <v>549</v>
      </c>
      <c r="G1190"/>
      <c r="H1190" s="32">
        <f t="shared" ref="H1190:AM1190" ca="1" si="2474">+H1189*H1188*(H75-H611)</f>
        <v>0</v>
      </c>
      <c r="I1190" s="32">
        <f t="shared" ca="1" si="2474"/>
        <v>0</v>
      </c>
      <c r="J1190" s="32">
        <f t="shared" ca="1" si="2474"/>
        <v>0</v>
      </c>
      <c r="K1190" s="32">
        <f t="shared" ca="1" si="2474"/>
        <v>0</v>
      </c>
      <c r="L1190" s="32">
        <f t="shared" ca="1" si="2474"/>
        <v>0</v>
      </c>
      <c r="M1190" s="32">
        <f t="shared" ca="1" si="2474"/>
        <v>0</v>
      </c>
      <c r="N1190" s="32">
        <f t="shared" ca="1" si="2474"/>
        <v>0</v>
      </c>
      <c r="O1190" s="32">
        <f t="shared" ca="1" si="2474"/>
        <v>0</v>
      </c>
      <c r="P1190" s="32">
        <f t="shared" ca="1" si="2474"/>
        <v>0</v>
      </c>
      <c r="Q1190" s="32">
        <f t="shared" ca="1" si="2474"/>
        <v>0</v>
      </c>
      <c r="R1190" s="32">
        <f t="shared" ca="1" si="2474"/>
        <v>0</v>
      </c>
      <c r="S1190" s="32">
        <f t="shared" ca="1" si="2474"/>
        <v>0</v>
      </c>
      <c r="T1190" s="32">
        <f t="shared" ca="1" si="2474"/>
        <v>0</v>
      </c>
      <c r="U1190" s="32">
        <f t="shared" ca="1" si="2474"/>
        <v>0</v>
      </c>
      <c r="V1190" s="32">
        <f t="shared" ca="1" si="2474"/>
        <v>0</v>
      </c>
      <c r="W1190" s="32">
        <f t="shared" ca="1" si="2474"/>
        <v>0</v>
      </c>
      <c r="X1190" s="32">
        <f t="shared" ca="1" si="2474"/>
        <v>0</v>
      </c>
      <c r="Y1190" s="32">
        <f t="shared" ca="1" si="2474"/>
        <v>0</v>
      </c>
      <c r="Z1190" s="32">
        <f t="shared" ca="1" si="2474"/>
        <v>0</v>
      </c>
      <c r="AA1190" s="32">
        <f t="shared" ca="1" si="2474"/>
        <v>0</v>
      </c>
      <c r="AB1190" s="32">
        <f t="shared" ca="1" si="2474"/>
        <v>0</v>
      </c>
      <c r="AC1190" s="32">
        <f t="shared" ca="1" si="2474"/>
        <v>0</v>
      </c>
      <c r="AD1190" s="32">
        <f t="shared" ca="1" si="2474"/>
        <v>0</v>
      </c>
      <c r="AE1190" s="32">
        <f t="shared" ca="1" si="2474"/>
        <v>0</v>
      </c>
      <c r="AF1190" s="32">
        <f t="shared" ca="1" si="2474"/>
        <v>0</v>
      </c>
      <c r="AG1190" s="32">
        <f t="shared" ca="1" si="2474"/>
        <v>0</v>
      </c>
      <c r="AH1190" s="32">
        <f t="shared" ca="1" si="2474"/>
        <v>0</v>
      </c>
      <c r="AI1190" s="32">
        <f t="shared" ca="1" si="2474"/>
        <v>0</v>
      </c>
      <c r="AJ1190" s="32">
        <f t="shared" ca="1" si="2474"/>
        <v>0</v>
      </c>
      <c r="AK1190" s="32">
        <f t="shared" ca="1" si="2474"/>
        <v>0</v>
      </c>
      <c r="AL1190" s="32">
        <f t="shared" ca="1" si="2474"/>
        <v>0</v>
      </c>
      <c r="AM1190" s="32">
        <f t="shared" ca="1" si="2474"/>
        <v>0</v>
      </c>
      <c r="AN1190" s="32">
        <f t="shared" ref="AN1190:BS1190" ca="1" si="2475">+AN1189*AN1188*(AN75-AN611)</f>
        <v>0</v>
      </c>
      <c r="AO1190" s="32">
        <f t="shared" ca="1" si="2475"/>
        <v>0</v>
      </c>
      <c r="AP1190" s="32">
        <f t="shared" ca="1" si="2475"/>
        <v>0</v>
      </c>
      <c r="AQ1190" s="32">
        <f t="shared" ca="1" si="2475"/>
        <v>0</v>
      </c>
      <c r="AR1190" s="32">
        <f t="shared" ca="1" si="2475"/>
        <v>0</v>
      </c>
      <c r="AS1190" s="32">
        <f t="shared" ca="1" si="2475"/>
        <v>0</v>
      </c>
      <c r="AT1190" s="32">
        <f t="shared" ca="1" si="2475"/>
        <v>0</v>
      </c>
      <c r="AU1190" s="32">
        <f t="shared" ca="1" si="2475"/>
        <v>0</v>
      </c>
      <c r="AV1190" s="32">
        <f t="shared" ca="1" si="2475"/>
        <v>0</v>
      </c>
      <c r="AW1190" s="32">
        <f t="shared" ca="1" si="2475"/>
        <v>0</v>
      </c>
      <c r="AX1190" s="32">
        <f t="shared" ca="1" si="2475"/>
        <v>0</v>
      </c>
      <c r="AY1190" s="32">
        <f t="shared" ca="1" si="2475"/>
        <v>0</v>
      </c>
      <c r="AZ1190" s="32">
        <f t="shared" ca="1" si="2475"/>
        <v>0</v>
      </c>
      <c r="BA1190" s="32">
        <f t="shared" ca="1" si="2475"/>
        <v>0</v>
      </c>
      <c r="BB1190" s="32">
        <f t="shared" ca="1" si="2475"/>
        <v>0</v>
      </c>
      <c r="BC1190" s="32">
        <f t="shared" ca="1" si="2475"/>
        <v>0</v>
      </c>
      <c r="BD1190" s="32">
        <f t="shared" ca="1" si="2475"/>
        <v>0</v>
      </c>
      <c r="BE1190" s="32">
        <f t="shared" ca="1" si="2475"/>
        <v>0</v>
      </c>
      <c r="BF1190" s="32">
        <f t="shared" ca="1" si="2475"/>
        <v>0</v>
      </c>
      <c r="BG1190" s="32">
        <f t="shared" ca="1" si="2475"/>
        <v>0</v>
      </c>
      <c r="BH1190" s="32">
        <f t="shared" ca="1" si="2475"/>
        <v>0</v>
      </c>
      <c r="BI1190" s="32">
        <f t="shared" ca="1" si="2475"/>
        <v>0</v>
      </c>
      <c r="BJ1190" s="32">
        <f t="shared" ca="1" si="2475"/>
        <v>0</v>
      </c>
      <c r="BK1190" s="32">
        <f t="shared" ca="1" si="2475"/>
        <v>0</v>
      </c>
      <c r="BL1190" s="32">
        <f t="shared" ca="1" si="2475"/>
        <v>0</v>
      </c>
      <c r="BM1190" s="32">
        <f t="shared" ca="1" si="2475"/>
        <v>0</v>
      </c>
      <c r="BN1190" s="32">
        <f t="shared" ca="1" si="2475"/>
        <v>0</v>
      </c>
      <c r="BO1190" s="32">
        <f t="shared" ca="1" si="2475"/>
        <v>0</v>
      </c>
      <c r="BP1190" s="32">
        <f t="shared" ca="1" si="2475"/>
        <v>0</v>
      </c>
      <c r="BQ1190" s="32">
        <f t="shared" ca="1" si="2475"/>
        <v>0</v>
      </c>
      <c r="BR1190" s="32">
        <f t="shared" ca="1" si="2475"/>
        <v>0</v>
      </c>
      <c r="BS1190" s="32">
        <f t="shared" ca="1" si="2475"/>
        <v>0</v>
      </c>
      <c r="BT1190" s="32">
        <f t="shared" ref="BT1190:BY1190" ca="1" si="2476">+BT1189*BT1188*(BT75-BT611)</f>
        <v>0</v>
      </c>
      <c r="BU1190" s="32">
        <f t="shared" ca="1" si="2476"/>
        <v>0</v>
      </c>
      <c r="BV1190" s="32">
        <f t="shared" ca="1" si="2476"/>
        <v>0</v>
      </c>
      <c r="BW1190" s="32">
        <f t="shared" ca="1" si="2476"/>
        <v>0</v>
      </c>
      <c r="BX1190" s="32">
        <f t="shared" ca="1" si="2476"/>
        <v>0</v>
      </c>
      <c r="BY1190" s="32">
        <f t="shared" ca="1" si="2476"/>
        <v>0</v>
      </c>
    </row>
    <row r="1191" spans="1:77" s="19" customFormat="1" outlineLevel="1">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row>
    <row r="1192" spans="1:77" s="19" customFormat="1" outlineLevel="1">
      <c r="A1192"/>
      <c r="B1192"/>
      <c r="C1192"/>
      <c r="D1192"/>
      <c r="E1192" t="s">
        <v>614</v>
      </c>
      <c r="F1192" s="80" t="s">
        <v>549</v>
      </c>
      <c r="G1192"/>
      <c r="H1192" s="31">
        <f>-+IF(Assumptions!G402="Manual",Assumptions!$G$403,0)</f>
        <v>0</v>
      </c>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row>
    <row r="1193" spans="1:77" s="19" customFormat="1" outlineLevel="1">
      <c r="A1193"/>
      <c r="B1193"/>
      <c r="C1193"/>
      <c r="D1193"/>
      <c r="E1193"/>
      <c r="F1193" s="80"/>
      <c r="G1193"/>
      <c r="H1193" s="31"/>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row>
    <row r="1194" spans="1:77" s="19" customFormat="1" outlineLevel="1">
      <c r="A1194"/>
      <c r="B1194"/>
      <c r="C1194"/>
      <c r="D1194"/>
      <c r="E1194" t="s">
        <v>615</v>
      </c>
      <c r="F1194" s="80" t="s">
        <v>549</v>
      </c>
      <c r="G1194"/>
      <c r="H1194" s="31">
        <f ca="1">+SUM(H1190:BY1190)+H1192</f>
        <v>0</v>
      </c>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row>
    <row r="1195" spans="1:77" s="19" customFormat="1" outlineLevel="1">
      <c r="A1195"/>
      <c r="B1195"/>
      <c r="C1195"/>
      <c r="D1195"/>
      <c r="E1195"/>
      <c r="F1195" s="80"/>
      <c r="G1195"/>
      <c r="H1195" s="31"/>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row>
    <row r="1196" spans="1:77" s="19" customFormat="1" outlineLevel="1">
      <c r="A1196"/>
      <c r="B1196"/>
      <c r="C1196"/>
      <c r="D1196"/>
      <c r="E1196"/>
      <c r="F1196" s="80"/>
      <c r="G1196"/>
      <c r="H1196" s="31"/>
      <c r="I1196" s="31"/>
      <c r="J1196" s="31"/>
      <c r="K1196" s="31"/>
      <c r="L1196" s="31"/>
      <c r="M1196" s="31"/>
      <c r="N1196" s="31"/>
      <c r="O1196" s="31"/>
      <c r="P1196" s="31"/>
      <c r="Q1196" s="31"/>
      <c r="R1196" s="31"/>
      <c r="S1196" s="31"/>
      <c r="T1196" s="31"/>
      <c r="U1196" s="31"/>
      <c r="V1196" s="31"/>
      <c r="W1196" s="31"/>
      <c r="X1196" s="31"/>
      <c r="Y1196" s="31"/>
      <c r="Z1196" s="31"/>
      <c r="AA1196" s="31"/>
      <c r="AB1196" s="31"/>
      <c r="AC1196" s="31"/>
      <c r="AD1196" s="31"/>
      <c r="AE1196" s="31"/>
      <c r="AF1196" s="31"/>
      <c r="AG1196" s="31"/>
      <c r="AH1196" s="31"/>
      <c r="AI1196" s="31"/>
      <c r="AJ1196" s="31"/>
      <c r="AK1196" s="31"/>
      <c r="AL1196" s="31"/>
      <c r="AM1196" s="31"/>
      <c r="AN1196" s="31"/>
      <c r="AO1196" s="31"/>
      <c r="AP1196" s="31"/>
      <c r="AQ1196" s="31"/>
      <c r="AR1196" s="31"/>
      <c r="AS1196" s="31"/>
      <c r="AT1196" s="31"/>
      <c r="AU1196" s="31"/>
      <c r="AV1196" s="31"/>
      <c r="AW1196" s="31"/>
      <c r="AX1196" s="31"/>
      <c r="AY1196" s="31"/>
      <c r="AZ1196" s="31"/>
      <c r="BA1196" s="31"/>
      <c r="BB1196" s="31"/>
      <c r="BC1196" s="31"/>
      <c r="BD1196" s="31"/>
      <c r="BE1196" s="31"/>
      <c r="BF1196" s="31"/>
      <c r="BG1196" s="31"/>
      <c r="BH1196" s="31"/>
      <c r="BI1196" s="31"/>
      <c r="BJ1196" s="31"/>
      <c r="BK1196" s="31"/>
      <c r="BL1196" s="31"/>
      <c r="BM1196" s="31"/>
      <c r="BN1196" s="31"/>
      <c r="BO1196" s="31"/>
      <c r="BP1196" s="31"/>
      <c r="BQ1196" s="31"/>
      <c r="BR1196" s="31"/>
      <c r="BS1196" s="31"/>
      <c r="BT1196" s="31"/>
      <c r="BU1196" s="31"/>
      <c r="BV1196" s="31"/>
      <c r="BW1196" s="31"/>
      <c r="BX1196" s="31"/>
      <c r="BY1196" s="31"/>
    </row>
    <row r="1197" spans="1:77" s="19" customFormat="1" outlineLevel="1">
      <c r="A1197"/>
      <c r="B1197"/>
      <c r="C1197"/>
      <c r="D1197"/>
      <c r="E1197" t="s">
        <v>616</v>
      </c>
      <c r="F1197" s="80" t="s">
        <v>178</v>
      </c>
      <c r="G1197"/>
      <c r="H1197" s="41">
        <f>+IF(Assumptions!$G$406="Share",Assumptions!$G$408,0)</f>
        <v>0</v>
      </c>
      <c r="I1197" s="41">
        <f>+IF(Assumptions!$G$406="Share",Assumptions!$G$408,0)</f>
        <v>0</v>
      </c>
      <c r="J1197" s="41">
        <f>+IF(Assumptions!$G$406="Share",Assumptions!$G$408,0)</f>
        <v>0</v>
      </c>
      <c r="K1197" s="41">
        <f>+IF(Assumptions!$G$406="Share",Assumptions!$G$408,0)</f>
        <v>0</v>
      </c>
      <c r="L1197" s="41">
        <f>+IF(Assumptions!$G$406="Share",Assumptions!$G$408,0)</f>
        <v>0</v>
      </c>
      <c r="M1197" s="41">
        <f>+IF(Assumptions!$G$406="Share",Assumptions!$G$408,0)</f>
        <v>0</v>
      </c>
      <c r="N1197" s="41">
        <f>+IF(Assumptions!$G$406="Share",Assumptions!$G$408,0)</f>
        <v>0</v>
      </c>
      <c r="O1197" s="41">
        <f>+IF(Assumptions!$G$406="Share",Assumptions!$G$408,0)</f>
        <v>0</v>
      </c>
      <c r="P1197" s="41">
        <f>+IF(Assumptions!$G$406="Share",Assumptions!$G$408,0)</f>
        <v>0</v>
      </c>
      <c r="Q1197" s="41">
        <f>+IF(Assumptions!$G$406="Share",Assumptions!$G$408,0)</f>
        <v>0</v>
      </c>
      <c r="R1197" s="41">
        <f>+IF(Assumptions!$G$406="Share",Assumptions!$G$408,0)</f>
        <v>0</v>
      </c>
      <c r="S1197" s="41">
        <f>+IF(Assumptions!$G$406="Share",Assumptions!$G$408,0)</f>
        <v>0</v>
      </c>
      <c r="T1197" s="41">
        <f>+IF(Assumptions!$G$406="Share",Assumptions!$G$408,0)</f>
        <v>0</v>
      </c>
      <c r="U1197" s="41">
        <f>+IF(Assumptions!$G$406="Share",Assumptions!$G$408,0)</f>
        <v>0</v>
      </c>
      <c r="V1197" s="41">
        <f>+IF(Assumptions!$G$406="Share",Assumptions!$G$408,0)</f>
        <v>0</v>
      </c>
      <c r="W1197" s="41">
        <f>+IF(Assumptions!$G$406="Share",Assumptions!$G$408,0)</f>
        <v>0</v>
      </c>
      <c r="X1197" s="41">
        <f>+IF(Assumptions!$G$406="Share",Assumptions!$G$408,0)</f>
        <v>0</v>
      </c>
      <c r="Y1197" s="41">
        <f>+IF(Assumptions!$G$406="Share",Assumptions!$G$408,0)</f>
        <v>0</v>
      </c>
      <c r="Z1197" s="41">
        <f>+IF(Assumptions!$G$406="Share",Assumptions!$G$408,0)</f>
        <v>0</v>
      </c>
      <c r="AA1197" s="41">
        <f>+IF(Assumptions!$G$406="Share",Assumptions!$G$408,0)</f>
        <v>0</v>
      </c>
      <c r="AB1197" s="41">
        <f>+IF(Assumptions!$G$406="Share",Assumptions!$G$408,0)</f>
        <v>0</v>
      </c>
      <c r="AC1197" s="41">
        <f>+IF(Assumptions!$G$406="Share",Assumptions!$G$408,0)</f>
        <v>0</v>
      </c>
      <c r="AD1197" s="41">
        <f>+IF(Assumptions!$G$406="Share",Assumptions!$G$408,0)</f>
        <v>0</v>
      </c>
      <c r="AE1197" s="41">
        <f>+IF(Assumptions!$G$406="Share",Assumptions!$G$408,0)</f>
        <v>0</v>
      </c>
      <c r="AF1197" s="41">
        <f>+IF(Assumptions!$G$406="Share",Assumptions!$G$408,0)</f>
        <v>0</v>
      </c>
      <c r="AG1197" s="41">
        <f>+IF(Assumptions!$G$406="Share",Assumptions!$G$408,0)</f>
        <v>0</v>
      </c>
      <c r="AH1197" s="41">
        <f>+IF(Assumptions!$G$406="Share",Assumptions!$G$408,0)</f>
        <v>0</v>
      </c>
      <c r="AI1197" s="41">
        <f>+IF(Assumptions!$G$406="Share",Assumptions!$G$408,0)</f>
        <v>0</v>
      </c>
      <c r="AJ1197" s="41">
        <f>+IF(Assumptions!$G$406="Share",Assumptions!$G$408,0)</f>
        <v>0</v>
      </c>
      <c r="AK1197" s="41">
        <f>+IF(Assumptions!$G$406="Share",Assumptions!$G$408,0)</f>
        <v>0</v>
      </c>
      <c r="AL1197" s="41">
        <f>+IF(Assumptions!$G$406="Share",Assumptions!$G$408,0)</f>
        <v>0</v>
      </c>
      <c r="AM1197" s="41">
        <f>+IF(Assumptions!$G$406="Share",Assumptions!$G$408,0)</f>
        <v>0</v>
      </c>
      <c r="AN1197" s="41">
        <f>+IF(Assumptions!$G$406="Share",Assumptions!$G$408,0)</f>
        <v>0</v>
      </c>
      <c r="AO1197" s="41">
        <f>+IF(Assumptions!$G$406="Share",Assumptions!$G$408,0)</f>
        <v>0</v>
      </c>
      <c r="AP1197" s="41">
        <f>+IF(Assumptions!$G$406="Share",Assumptions!$G$408,0)</f>
        <v>0</v>
      </c>
      <c r="AQ1197" s="41">
        <f>+IF(Assumptions!$G$406="Share",Assumptions!$G$408,0)</f>
        <v>0</v>
      </c>
      <c r="AR1197" s="41">
        <f>+IF(Assumptions!$G$406="Share",Assumptions!$G$408,0)</f>
        <v>0</v>
      </c>
      <c r="AS1197" s="41">
        <f>+IF(Assumptions!$G$406="Share",Assumptions!$G$408,0)</f>
        <v>0</v>
      </c>
      <c r="AT1197" s="41">
        <f>+IF(Assumptions!$G$406="Share",Assumptions!$G$408,0)</f>
        <v>0</v>
      </c>
      <c r="AU1197" s="41">
        <f>+IF(Assumptions!$G$406="Share",Assumptions!$G$408,0)</f>
        <v>0</v>
      </c>
      <c r="AV1197" s="41">
        <f>+IF(Assumptions!$G$406="Share",Assumptions!$G$408,0)</f>
        <v>0</v>
      </c>
      <c r="AW1197" s="41">
        <f>+IF(Assumptions!$G$406="Share",Assumptions!$G$408,0)</f>
        <v>0</v>
      </c>
      <c r="AX1197" s="41">
        <f>+IF(Assumptions!$G$406="Share",Assumptions!$G$408,0)</f>
        <v>0</v>
      </c>
      <c r="AY1197" s="41">
        <f>+IF(Assumptions!$G$406="Share",Assumptions!$G$408,0)</f>
        <v>0</v>
      </c>
      <c r="AZ1197" s="41">
        <f>+IF(Assumptions!$G$406="Share",Assumptions!$G$408,0)</f>
        <v>0</v>
      </c>
      <c r="BA1197" s="41">
        <f>+IF(Assumptions!$G$406="Share",Assumptions!$G$408,0)</f>
        <v>0</v>
      </c>
      <c r="BB1197" s="41">
        <f>+IF(Assumptions!$G$406="Share",Assumptions!$G$408,0)</f>
        <v>0</v>
      </c>
      <c r="BC1197" s="41">
        <f>+IF(Assumptions!$G$406="Share",Assumptions!$G$408,0)</f>
        <v>0</v>
      </c>
      <c r="BD1197" s="41">
        <f>+IF(Assumptions!$G$406="Share",Assumptions!$G$408,0)</f>
        <v>0</v>
      </c>
      <c r="BE1197" s="41">
        <f>+IF(Assumptions!$G$406="Share",Assumptions!$G$408,0)</f>
        <v>0</v>
      </c>
      <c r="BF1197" s="41">
        <f>+IF(Assumptions!$G$406="Share",Assumptions!$G$408,0)</f>
        <v>0</v>
      </c>
      <c r="BG1197" s="41">
        <f>+IF(Assumptions!$G$406="Share",Assumptions!$G$408,0)</f>
        <v>0</v>
      </c>
      <c r="BH1197" s="41">
        <f>+IF(Assumptions!$G$406="Share",Assumptions!$G$408,0)</f>
        <v>0</v>
      </c>
      <c r="BI1197" s="41">
        <f>+IF(Assumptions!$G$406="Share",Assumptions!$G$408,0)</f>
        <v>0</v>
      </c>
      <c r="BJ1197" s="41">
        <f>+IF(Assumptions!$G$406="Share",Assumptions!$G$408,0)</f>
        <v>0</v>
      </c>
      <c r="BK1197" s="41">
        <f>+IF(Assumptions!$G$406="Share",Assumptions!$G$408,0)</f>
        <v>0</v>
      </c>
      <c r="BL1197" s="41">
        <f>+IF(Assumptions!$G$406="Share",Assumptions!$G$408,0)</f>
        <v>0</v>
      </c>
      <c r="BM1197" s="41">
        <f>+IF(Assumptions!$G$406="Share",Assumptions!$G$408,0)</f>
        <v>0</v>
      </c>
      <c r="BN1197" s="41">
        <f>+IF(Assumptions!$G$406="Share",Assumptions!$G$408,0)</f>
        <v>0</v>
      </c>
      <c r="BO1197" s="41">
        <f>+IF(Assumptions!$G$406="Share",Assumptions!$G$408,0)</f>
        <v>0</v>
      </c>
      <c r="BP1197" s="41">
        <f>+IF(Assumptions!$G$406="Share",Assumptions!$G$408,0)</f>
        <v>0</v>
      </c>
      <c r="BQ1197" s="41">
        <f>+IF(Assumptions!$G$406="Share",Assumptions!$G$408,0)</f>
        <v>0</v>
      </c>
      <c r="BR1197" s="41">
        <f>+IF(Assumptions!$G$406="Share",Assumptions!$G$408,0)</f>
        <v>0</v>
      </c>
      <c r="BS1197" s="41">
        <f>+IF(Assumptions!$G$406="Share",Assumptions!$G$408,0)</f>
        <v>0</v>
      </c>
      <c r="BT1197" s="41">
        <f>+IF(Assumptions!$G$406="Share",Assumptions!$G$408,0)</f>
        <v>0</v>
      </c>
      <c r="BU1197" s="41">
        <f>+IF(Assumptions!$G$406="Share",Assumptions!$G$408,0)</f>
        <v>0</v>
      </c>
      <c r="BV1197" s="41">
        <f>+IF(Assumptions!$G$406="Share",Assumptions!$G$408,0)</f>
        <v>0</v>
      </c>
      <c r="BW1197" s="41">
        <f>+IF(Assumptions!$G$406="Share",Assumptions!$G$408,0)</f>
        <v>0</v>
      </c>
      <c r="BX1197" s="41">
        <f>+IF(Assumptions!$G$406="Share",Assumptions!$G$408,0)</f>
        <v>0</v>
      </c>
      <c r="BY1197" s="41">
        <f>+IF(Assumptions!$G$406="Share",Assumptions!$G$408,0)</f>
        <v>0</v>
      </c>
    </row>
    <row r="1198" spans="1:77" s="19" customFormat="1" outlineLevel="1">
      <c r="A1198"/>
      <c r="B1198"/>
      <c r="C1198"/>
      <c r="D1198"/>
      <c r="E1198" t="s">
        <v>243</v>
      </c>
      <c r="F1198" s="80" t="s">
        <v>423</v>
      </c>
      <c r="G1198"/>
      <c r="H1198" s="86">
        <f ca="1">1/(1+Assumptions!$G$409)*IF(G1198=0,1,G1198)</f>
        <v>0.95979422011920645</v>
      </c>
      <c r="I1198" s="86">
        <f ca="1">1/(1+Assumptions!$G$409)*IF(H1198=0,1,H1198)</f>
        <v>0.92120494497423577</v>
      </c>
      <c r="J1198" s="86">
        <f ca="1">1/(1+Assumptions!$G$409)*IF(I1198=0,1,I1198)</f>
        <v>0.8841671817315031</v>
      </c>
      <c r="K1198" s="86">
        <f ca="1">1/(1+Assumptions!$G$409)*IF(J1198=0,1,J1198)</f>
        <v>0.8486185506449847</v>
      </c>
      <c r="L1198" s="86">
        <f ca="1">1/(1+Assumptions!$G$409)*IF(K1198=0,1,K1198)</f>
        <v>0.81449917999499444</v>
      </c>
      <c r="M1198" s="86">
        <f ca="1">1/(1+Assumptions!$G$409)*IF(L1198=0,1,L1198)</f>
        <v>0.78175160525102882</v>
      </c>
      <c r="N1198" s="86">
        <f ca="1">1/(1+Assumptions!$G$409)*IF(M1198=0,1,M1198)</f>
        <v>0.75032067228884891</v>
      </c>
      <c r="O1198" s="86">
        <f ca="1">1/(1+Assumptions!$G$409)*IF(N1198=0,1,N1198)</f>
        <v>0.72015344449879437</v>
      </c>
      <c r="P1198" s="86">
        <f ca="1">1/(1+Assumptions!$G$409)*IF(O1198=0,1,O1198)</f>
        <v>0.69119911362888053</v>
      </c>
      <c r="Q1198" s="86">
        <f ca="1">1/(1+Assumptions!$G$409)*IF(P1198=0,1,P1198)</f>
        <v>0.66340891421251813</v>
      </c>
      <c r="R1198" s="86">
        <f ca="1">1/(1+Assumptions!$G$409)*IF(Q1198=0,1,Q1198)</f>
        <v>0.63673604143673335</v>
      </c>
      <c r="S1198" s="86">
        <f ca="1">1/(1+Assumptions!$G$409)*IF(R1198=0,1,R1198)</f>
        <v>0.61113557231256022</v>
      </c>
      <c r="T1198" s="86">
        <f ca="1">1/(1+Assumptions!$G$409)*IF(S1198=0,1,S1198)</f>
        <v>0.58656439001483862</v>
      </c>
      <c r="U1198" s="86">
        <f ca="1">1/(1+Assumptions!$G$409)*IF(T1198=0,1,T1198)</f>
        <v>0.56298111126399009</v>
      </c>
      <c r="V1198" s="86">
        <f ca="1">1/(1+Assumptions!$G$409)*IF(U1198=0,1,U1198)</f>
        <v>0.54034601662746551</v>
      </c>
      <c r="W1198" s="86">
        <f ca="1">1/(1+Assumptions!$G$409)*IF(V1198=0,1,V1198)</f>
        <v>0.51862098362347797</v>
      </c>
      <c r="X1198" s="86">
        <f ca="1">1/(1+Assumptions!$G$409)*IF(W1198=0,1,W1198)</f>
        <v>0.4977694225143518</v>
      </c>
      <c r="Y1198" s="86">
        <f ca="1">1/(1+Assumptions!$G$409)*IF(X1198=0,1,X1198)</f>
        <v>0.47775621468135004</v>
      </c>
      <c r="Z1198" s="86">
        <f ca="1">1/(1+Assumptions!$G$409)*IF(Y1198=0,1,Y1198)</f>
        <v>0.45854765347719056</v>
      </c>
      <c r="AA1198" s="86">
        <f ca="1">1/(1+Assumptions!$G$409)*IF(Z1198=0,1,Z1198)</f>
        <v>0.44011138745663225</v>
      </c>
      <c r="AB1198" s="86">
        <f ca="1">1/(1+Assumptions!$G$409)*IF(AA1198=0,1,AA1198)</f>
        <v>0.42241636588952025</v>
      </c>
      <c r="AC1198" s="86">
        <f ca="1">1/(1+Assumptions!$G$409)*IF(AB1198=0,1,AB1198)</f>
        <v>0.40543278646452147</v>
      </c>
      <c r="AD1198" s="86">
        <f ca="1">1/(1+Assumptions!$G$409)*IF(AC1198=0,1,AC1198)</f>
        <v>0.38913204509547217</v>
      </c>
      <c r="AE1198" s="86">
        <f ca="1">1/(1+Assumptions!$G$409)*IF(AD1198=0,1,AD1198)</f>
        <v>0.37348668774580057</v>
      </c>
      <c r="AF1198" s="86">
        <f ca="1">1/(1+Assumptions!$G$409)*IF(AE1198=0,1,AE1198)</f>
        <v>0.35847036418988626</v>
      </c>
      <c r="AG1198" s="86">
        <f ca="1">1/(1+Assumptions!$G$409)*IF(AF1198=0,1,AF1198)</f>
        <v>0.34405778363347977</v>
      </c>
      <c r="AH1198" s="86">
        <f ca="1">1/(1+Assumptions!$G$409)*IF(AG1198=0,1,AG1198)</f>
        <v>0.33022467211843837</v>
      </c>
      <c r="AI1198" s="86">
        <f ca="1">1/(1+Assumptions!$G$409)*IF(AH1198=0,1,AH1198)</f>
        <v>0.3169477316400372</v>
      </c>
      <c r="AJ1198" s="86">
        <f ca="1">1/(1+Assumptions!$G$409)*IF(AI1198=0,1,AI1198)</f>
        <v>0.30420460090800105</v>
      </c>
      <c r="AK1198" s="86">
        <f ca="1">1/(1+Assumptions!$G$409)*IF(AJ1198=0,1,AJ1198)</f>
        <v>0.29197381768516933</v>
      </c>
      <c r="AL1198" s="86">
        <f ca="1">1/(1+Assumptions!$G$409)*IF(AK1198=0,1,AK1198)</f>
        <v>0.28023478264036444</v>
      </c>
      <c r="AM1198" s="86">
        <f ca="1">1/(1+Assumptions!$G$409)*IF(AL1198=0,1,AL1198)</f>
        <v>0.26896772465458391</v>
      </c>
      <c r="AN1198" s="86">
        <f ca="1">1/(1+Assumptions!$G$409)*IF(AM1198=0,1,AM1198)</f>
        <v>0.2581536675220838</v>
      </c>
      <c r="AO1198" s="86">
        <f ca="1">1/(1+Assumptions!$G$409)*IF(AN1198=0,1,AN1198)</f>
        <v>0.24777439799027134</v>
      </c>
      <c r="AP1198" s="86">
        <f ca="1">1/(1+Assumptions!$G$409)*IF(AO1198=0,1,AO1198)</f>
        <v>0.23781243508457836</v>
      </c>
      <c r="AQ1198" s="86">
        <f ca="1">1/(1+Assumptions!$G$409)*IF(AP1198=0,1,AP1198)</f>
        <v>0.2282510006666523</v>
      </c>
      <c r="AR1198" s="86">
        <f ca="1">1/(1+Assumptions!$G$409)*IF(AQ1198=0,1,AQ1198)</f>
        <v>0.21907399117627802</v>
      </c>
      <c r="AS1198" s="86">
        <f ca="1">1/(1+Assumptions!$G$409)*IF(AR1198=0,1,AR1198)</f>
        <v>0.21026595050943767</v>
      </c>
      <c r="AT1198" s="86">
        <f ca="1">1/(1+Assumptions!$G$409)*IF(AS1198=0,1,AS1198)</f>
        <v>0.20181204398682939</v>
      </c>
      <c r="AU1198" s="86">
        <f ca="1">1/(1+Assumptions!$G$409)*IF(AT1198=0,1,AT1198)</f>
        <v>0.1936980333690019</v>
      </c>
      <c r="AV1198" s="86">
        <f ca="1">1/(1+Assumptions!$G$409)*IF(AU1198=0,1,AU1198)</f>
        <v>0.18591025287602522</v>
      </c>
      <c r="AW1198" s="86">
        <f ca="1">1/(1+Assumptions!$G$409)*IF(AV1198=0,1,AV1198)</f>
        <v>0.17843558617130909</v>
      </c>
      <c r="AX1198" s="86">
        <f ca="1">1/(1+Assumptions!$G$409)*IF(AW1198=0,1,AW1198)</f>
        <v>0.17126144427080506</v>
      </c>
      <c r="AY1198" s="86">
        <f ca="1">1/(1+Assumptions!$G$409)*IF(AX1198=0,1,AX1198)</f>
        <v>0.16437574434038627</v>
      </c>
      <c r="AZ1198" s="86">
        <f ca="1">1/(1+Assumptions!$G$409)*IF(AY1198=0,1,AY1198)</f>
        <v>0.1577668893456951</v>
      </c>
      <c r="BA1198" s="86">
        <f ca="1">1/(1+Assumptions!$G$409)*IF(AZ1198=0,1,AZ1198)</f>
        <v>0.15142374852018459</v>
      </c>
      <c r="BB1198" s="86">
        <f ca="1">1/(1+Assumptions!$G$409)*IF(BA1198=0,1,BA1198)</f>
        <v>0.14533563861845741</v>
      </c>
      <c r="BC1198" s="86">
        <f ca="1">1/(1+Assumptions!$G$409)*IF(BB1198=0,1,BB1198)</f>
        <v>0.13949230592332915</v>
      </c>
      <c r="BD1198" s="86">
        <f ca="1">1/(1+Assumptions!$G$409)*IF(BC1198=0,1,BC1198)</f>
        <v>0.13388390897631147</v>
      </c>
      <c r="BE1198" s="86">
        <f ca="1">1/(1+Assumptions!$G$409)*IF(BD1198=0,1,BD1198)</f>
        <v>0.1285010020024297</v>
      </c>
      <c r="BF1198" s="86">
        <f ca="1">1/(1+Assumptions!$G$409)*IF(BE1198=0,1,BE1198)</f>
        <v>0.1233345190014586</v>
      </c>
      <c r="BG1198" s="86">
        <f ca="1">1/(1+Assumptions!$G$409)*IF(BF1198=0,1,BF1198)</f>
        <v>0.11837575847878241</v>
      </c>
      <c r="BH1198" s="86">
        <f ca="1">1/(1+Assumptions!$G$409)*IF(BG1198=0,1,BG1198)</f>
        <v>0.11361636879016251</v>
      </c>
      <c r="BI1198" s="86">
        <f ca="1">1/(1+Assumptions!$G$409)*IF(BH1198=0,1,BH1198)</f>
        <v>0.10904833407573018</v>
      </c>
      <c r="BJ1198" s="86">
        <f ca="1">1/(1+Assumptions!$G$409)*IF(BI1198=0,1,BI1198)</f>
        <v>0.10466396075951413</v>
      </c>
      <c r="BK1198" s="86">
        <f ca="1">1/(1+Assumptions!$G$409)*IF(BJ1198=0,1,BJ1198)</f>
        <v>0.10045586459176509</v>
      </c>
      <c r="BL1198" s="86">
        <f ca="1">1/(1+Assumptions!$G$409)*IF(BK1198=0,1,BK1198)</f>
        <v>9.6416958212253781E-2</v>
      </c>
      <c r="BM1198" s="86">
        <f ca="1">1/(1+Assumptions!$G$409)*IF(BL1198=0,1,BL1198)</f>
        <v>9.254043921359624E-2</v>
      </c>
      <c r="BN1198" s="86">
        <f ca="1">1/(1+Assumptions!$G$409)*IF(BM1198=0,1,BM1198)</f>
        <v>8.8819778684502429E-2</v>
      </c>
      <c r="BO1198" s="86">
        <f ca="1">1/(1+Assumptions!$G$409)*IF(BN1198=0,1,BN1198)</f>
        <v>8.5248710213652532E-2</v>
      </c>
      <c r="BP1198" s="86">
        <f ca="1">1/(1+Assumptions!$G$409)*IF(BO1198=0,1,BO1198)</f>
        <v>8.1821219335680859E-2</v>
      </c>
      <c r="BQ1198" s="86">
        <f ca="1">1/(1+Assumptions!$G$409)*IF(BP1198=0,1,BP1198)</f>
        <v>7.853153340149234E-2</v>
      </c>
      <c r="BR1198" s="86">
        <f ca="1">1/(1+Assumptions!$G$409)*IF(BQ1198=0,1,BQ1198)</f>
        <v>7.5374111855850759E-2</v>
      </c>
      <c r="BS1198" s="86">
        <f ca="1">1/(1+Assumptions!$G$409)*IF(BR1198=0,1,BR1198)</f>
        <v>7.2343636905864109E-2</v>
      </c>
      <c r="BT1198" s="86">
        <f ca="1">1/(1+Assumptions!$G$409)*IF(BS1198=0,1,BS1198)</f>
        <v>6.943500456465089E-2</v>
      </c>
      <c r="BU1198" s="86">
        <f ca="1">1/(1+Assumptions!$G$409)*IF(BT1198=0,1,BT1198)</f>
        <v>6.6643316055102639E-2</v>
      </c>
      <c r="BV1198" s="86">
        <f ca="1">1/(1+Assumptions!$G$409)*IF(BU1198=0,1,BU1198)</f>
        <v>6.396386955926503E-2</v>
      </c>
      <c r="BW1198" s="86">
        <f ca="1">1/(1+Assumptions!$G$409)*IF(BV1198=0,1,BV1198)</f>
        <v>6.1392152299441428E-2</v>
      </c>
      <c r="BX1198" s="86">
        <f ca="1">1/(1+Assumptions!$G$409)*IF(BW1198=0,1,BW1198)</f>
        <v>5.8923832937681934E-2</v>
      </c>
      <c r="BY1198" s="86">
        <f ca="1">1/(1+Assumptions!$G$409)*IF(BX1198=0,1,BX1198)</f>
        <v>5.6554754280856843E-2</v>
      </c>
    </row>
    <row r="1199" spans="1:77" s="19" customFormat="1" outlineLevel="1">
      <c r="A1199"/>
      <c r="B1199"/>
      <c r="C1199"/>
      <c r="D1199"/>
      <c r="E1199" t="s">
        <v>617</v>
      </c>
      <c r="F1199" s="80" t="s">
        <v>549</v>
      </c>
      <c r="G1199"/>
      <c r="H1199" s="31">
        <f ca="1">IFERROR(+H1198*H1197*(H83-H617),0)</f>
        <v>0</v>
      </c>
      <c r="I1199" s="31">
        <f t="shared" ref="I1199:BT1199" ca="1" si="2477">IFERROR(+I1198*I1197*(I83-I617),0)</f>
        <v>0</v>
      </c>
      <c r="J1199" s="31">
        <f t="shared" ca="1" si="2477"/>
        <v>0</v>
      </c>
      <c r="K1199" s="31">
        <f ca="1">IFERROR(+K1198*K1197*(K83-K617),0)</f>
        <v>0</v>
      </c>
      <c r="L1199" s="31">
        <f t="shared" ca="1" si="2477"/>
        <v>0</v>
      </c>
      <c r="M1199" s="31">
        <f t="shared" ca="1" si="2477"/>
        <v>0</v>
      </c>
      <c r="N1199" s="31">
        <f t="shared" ca="1" si="2477"/>
        <v>0</v>
      </c>
      <c r="O1199" s="31">
        <f t="shared" ca="1" si="2477"/>
        <v>0</v>
      </c>
      <c r="P1199" s="31">
        <f t="shared" ca="1" si="2477"/>
        <v>0</v>
      </c>
      <c r="Q1199" s="31">
        <f t="shared" ca="1" si="2477"/>
        <v>0</v>
      </c>
      <c r="R1199" s="31">
        <f t="shared" ca="1" si="2477"/>
        <v>0</v>
      </c>
      <c r="S1199" s="31">
        <f t="shared" ca="1" si="2477"/>
        <v>0</v>
      </c>
      <c r="T1199" s="31">
        <f t="shared" ca="1" si="2477"/>
        <v>0</v>
      </c>
      <c r="U1199" s="31">
        <f t="shared" ca="1" si="2477"/>
        <v>0</v>
      </c>
      <c r="V1199" s="31">
        <f t="shared" ca="1" si="2477"/>
        <v>0</v>
      </c>
      <c r="W1199" s="31">
        <f t="shared" ca="1" si="2477"/>
        <v>0</v>
      </c>
      <c r="X1199" s="31">
        <f t="shared" ca="1" si="2477"/>
        <v>0</v>
      </c>
      <c r="Y1199" s="31">
        <f t="shared" ca="1" si="2477"/>
        <v>0</v>
      </c>
      <c r="Z1199" s="31">
        <f t="shared" ca="1" si="2477"/>
        <v>0</v>
      </c>
      <c r="AA1199" s="31">
        <f t="shared" ca="1" si="2477"/>
        <v>0</v>
      </c>
      <c r="AB1199" s="31">
        <f t="shared" ca="1" si="2477"/>
        <v>0</v>
      </c>
      <c r="AC1199" s="31">
        <f t="shared" ca="1" si="2477"/>
        <v>0</v>
      </c>
      <c r="AD1199" s="31">
        <f t="shared" ca="1" si="2477"/>
        <v>0</v>
      </c>
      <c r="AE1199" s="31">
        <f t="shared" ca="1" si="2477"/>
        <v>0</v>
      </c>
      <c r="AF1199" s="31">
        <f t="shared" ca="1" si="2477"/>
        <v>0</v>
      </c>
      <c r="AG1199" s="31">
        <f t="shared" ca="1" si="2477"/>
        <v>0</v>
      </c>
      <c r="AH1199" s="31">
        <f t="shared" ca="1" si="2477"/>
        <v>0</v>
      </c>
      <c r="AI1199" s="31">
        <f t="shared" ca="1" si="2477"/>
        <v>0</v>
      </c>
      <c r="AJ1199" s="31">
        <f t="shared" ca="1" si="2477"/>
        <v>0</v>
      </c>
      <c r="AK1199" s="31">
        <f t="shared" ca="1" si="2477"/>
        <v>0</v>
      </c>
      <c r="AL1199" s="31">
        <f t="shared" ca="1" si="2477"/>
        <v>0</v>
      </c>
      <c r="AM1199" s="31">
        <f t="shared" ca="1" si="2477"/>
        <v>0</v>
      </c>
      <c r="AN1199" s="31">
        <f t="shared" ca="1" si="2477"/>
        <v>0</v>
      </c>
      <c r="AO1199" s="31">
        <f t="shared" ca="1" si="2477"/>
        <v>0</v>
      </c>
      <c r="AP1199" s="31">
        <f t="shared" ca="1" si="2477"/>
        <v>0</v>
      </c>
      <c r="AQ1199" s="31">
        <f t="shared" ca="1" si="2477"/>
        <v>0</v>
      </c>
      <c r="AR1199" s="31">
        <f t="shared" ca="1" si="2477"/>
        <v>0</v>
      </c>
      <c r="AS1199" s="31">
        <f t="shared" ca="1" si="2477"/>
        <v>0</v>
      </c>
      <c r="AT1199" s="31">
        <f t="shared" ca="1" si="2477"/>
        <v>0</v>
      </c>
      <c r="AU1199" s="31">
        <f t="shared" ca="1" si="2477"/>
        <v>0</v>
      </c>
      <c r="AV1199" s="31">
        <f t="shared" ca="1" si="2477"/>
        <v>0</v>
      </c>
      <c r="AW1199" s="31">
        <f t="shared" ca="1" si="2477"/>
        <v>0</v>
      </c>
      <c r="AX1199" s="31">
        <f t="shared" ca="1" si="2477"/>
        <v>0</v>
      </c>
      <c r="AY1199" s="31">
        <f t="shared" ca="1" si="2477"/>
        <v>0</v>
      </c>
      <c r="AZ1199" s="31">
        <f t="shared" ca="1" si="2477"/>
        <v>0</v>
      </c>
      <c r="BA1199" s="31">
        <f t="shared" ca="1" si="2477"/>
        <v>0</v>
      </c>
      <c r="BB1199" s="31">
        <f t="shared" ca="1" si="2477"/>
        <v>0</v>
      </c>
      <c r="BC1199" s="31">
        <f t="shared" ca="1" si="2477"/>
        <v>0</v>
      </c>
      <c r="BD1199" s="31">
        <f t="shared" ca="1" si="2477"/>
        <v>0</v>
      </c>
      <c r="BE1199" s="31">
        <f t="shared" ca="1" si="2477"/>
        <v>0</v>
      </c>
      <c r="BF1199" s="31">
        <f t="shared" ca="1" si="2477"/>
        <v>0</v>
      </c>
      <c r="BG1199" s="31">
        <f t="shared" ca="1" si="2477"/>
        <v>0</v>
      </c>
      <c r="BH1199" s="31">
        <f t="shared" ca="1" si="2477"/>
        <v>0</v>
      </c>
      <c r="BI1199" s="31">
        <f t="shared" ca="1" si="2477"/>
        <v>0</v>
      </c>
      <c r="BJ1199" s="31">
        <f t="shared" ca="1" si="2477"/>
        <v>0</v>
      </c>
      <c r="BK1199" s="31">
        <f t="shared" ca="1" si="2477"/>
        <v>0</v>
      </c>
      <c r="BL1199" s="31">
        <f t="shared" ca="1" si="2477"/>
        <v>0</v>
      </c>
      <c r="BM1199" s="31">
        <f t="shared" ca="1" si="2477"/>
        <v>0</v>
      </c>
      <c r="BN1199" s="31">
        <f t="shared" ca="1" si="2477"/>
        <v>0</v>
      </c>
      <c r="BO1199" s="31">
        <f t="shared" ca="1" si="2477"/>
        <v>0</v>
      </c>
      <c r="BP1199" s="31">
        <f t="shared" ca="1" si="2477"/>
        <v>0</v>
      </c>
      <c r="BQ1199" s="31">
        <f t="shared" ca="1" si="2477"/>
        <v>0</v>
      </c>
      <c r="BR1199" s="31">
        <f t="shared" ca="1" si="2477"/>
        <v>0</v>
      </c>
      <c r="BS1199" s="31">
        <f t="shared" ca="1" si="2477"/>
        <v>0</v>
      </c>
      <c r="BT1199" s="31">
        <f t="shared" ca="1" si="2477"/>
        <v>0</v>
      </c>
      <c r="BU1199" s="31">
        <f t="shared" ref="BU1199:BY1199" ca="1" si="2478">IFERROR(+BU1198*BU1197*(BU83-BU617),0)</f>
        <v>0</v>
      </c>
      <c r="BV1199" s="31">
        <f t="shared" ca="1" si="2478"/>
        <v>0</v>
      </c>
      <c r="BW1199" s="31">
        <f t="shared" ca="1" si="2478"/>
        <v>0</v>
      </c>
      <c r="BX1199" s="31">
        <f t="shared" ca="1" si="2478"/>
        <v>0</v>
      </c>
      <c r="BY1199" s="31">
        <f t="shared" ca="1" si="2478"/>
        <v>0</v>
      </c>
    </row>
    <row r="1200" spans="1:77" s="771" customFormat="1" ht="12.75" outlineLevel="1"/>
    <row r="1201" spans="1:77" s="19" customFormat="1" outlineLevel="1">
      <c r="A1201" s="771"/>
      <c r="B1201"/>
      <c r="C1201"/>
      <c r="D1201"/>
      <c r="E1201" t="s">
        <v>618</v>
      </c>
      <c r="F1201" s="80" t="s">
        <v>549</v>
      </c>
      <c r="G1201"/>
      <c r="H1201" s="31">
        <f>IFERROR(-+IF(Assumptions!$G$406="Manual",Assumptions!$G$407*H68*H63*H1198,0),0)</f>
        <v>0</v>
      </c>
      <c r="I1201" s="31">
        <f>IFERROR(-+IF(Assumptions!$G$406="Manual",Assumptions!$G$407*I68*I63*I1198,0),0)</f>
        <v>0</v>
      </c>
      <c r="J1201" s="31">
        <f>IFERROR(-+IF(Assumptions!$G$406="Manual",Assumptions!$G$407*J68*J63*J1198,0),0)</f>
        <v>0</v>
      </c>
      <c r="K1201" s="31">
        <f>IFERROR(-+IF(Assumptions!$G$406="Manual",Assumptions!$G$407*K68*K63*K1198,0),0)</f>
        <v>0</v>
      </c>
      <c r="L1201" s="31">
        <f>IFERROR(-+IF(Assumptions!$G$406="Manual",Assumptions!$G$407*L68*L63*L1198,0),0)</f>
        <v>0</v>
      </c>
      <c r="M1201" s="31">
        <f>IFERROR(-+IF(Assumptions!$G$406="Manual",Assumptions!$G$407*M68*M63*M1198,0),0)</f>
        <v>0</v>
      </c>
      <c r="N1201" s="31">
        <f>IFERROR(-+IF(Assumptions!$G$406="Manual",Assumptions!$G$407*N68*N63*N1198,0),0)</f>
        <v>0</v>
      </c>
      <c r="O1201" s="31">
        <f>IFERROR(-+IF(Assumptions!$G$406="Manual",Assumptions!$G$407*O68*O63*O1198,0),0)</f>
        <v>0</v>
      </c>
      <c r="P1201" s="31">
        <f>IFERROR(-+IF(Assumptions!$G$406="Manual",Assumptions!$G$407*P68*P63*P1198,0),0)</f>
        <v>0</v>
      </c>
      <c r="Q1201" s="31">
        <f>IFERROR(-+IF(Assumptions!$G$406="Manual",Assumptions!$G$407*Q68*Q63*Q1198,0),0)</f>
        <v>0</v>
      </c>
      <c r="R1201" s="31">
        <f>IFERROR(-+IF(Assumptions!$G$406="Manual",Assumptions!$G$407*R68*R63*R1198,0),0)</f>
        <v>0</v>
      </c>
      <c r="S1201" s="31">
        <f>IFERROR(-+IF(Assumptions!$G$406="Manual",Assumptions!$G$407*S68*S63*S1198,0),0)</f>
        <v>0</v>
      </c>
      <c r="T1201" s="31">
        <f>IFERROR(-+IF(Assumptions!$G$406="Manual",Assumptions!$G$407*T68*T63*T1198,0),0)</f>
        <v>0</v>
      </c>
      <c r="U1201" s="31">
        <f>IFERROR(-+IF(Assumptions!$G$406="Manual",Assumptions!$G$407*U68*U63*U1198,0),0)</f>
        <v>0</v>
      </c>
      <c r="V1201" s="31">
        <f>IFERROR(-+IF(Assumptions!$G$406="Manual",Assumptions!$G$407*V68*V63*V1198,0),0)</f>
        <v>0</v>
      </c>
      <c r="W1201" s="31">
        <f>IFERROR(-+IF(Assumptions!$G$406="Manual",Assumptions!$G$407*W68*W63*W1198,0),0)</f>
        <v>0</v>
      </c>
      <c r="X1201" s="31">
        <f>IFERROR(-+IF(Assumptions!$G$406="Manual",Assumptions!$G$407*X68*X63*X1198,0),0)</f>
        <v>0</v>
      </c>
      <c r="Y1201" s="31">
        <f>IFERROR(-+IF(Assumptions!$G$406="Manual",Assumptions!$G$407*Y68*Y63*Y1198,0),0)</f>
        <v>0</v>
      </c>
      <c r="Z1201" s="31">
        <f>IFERROR(-+IF(Assumptions!$G$406="Manual",Assumptions!$G$407*Z68*Z63*Z1198,0),0)</f>
        <v>0</v>
      </c>
      <c r="AA1201" s="31">
        <f>IFERROR(-+IF(Assumptions!$G$406="Manual",Assumptions!$G$407*AA68*AA63*AA1198,0),0)</f>
        <v>0</v>
      </c>
      <c r="AB1201" s="31">
        <f>IFERROR(-+IF(Assumptions!$G$406="Manual",Assumptions!$G$407*AB68*AB63*AB1198,0),0)</f>
        <v>0</v>
      </c>
      <c r="AC1201" s="31">
        <f>IFERROR(-+IF(Assumptions!$G$406="Manual",Assumptions!$G$407*AC68*AC63*AC1198,0),0)</f>
        <v>0</v>
      </c>
      <c r="AD1201" s="31">
        <f>IFERROR(-+IF(Assumptions!$G$406="Manual",Assumptions!$G$407*AD68*AD63*AD1198,0),0)</f>
        <v>0</v>
      </c>
      <c r="AE1201" s="31">
        <f>IFERROR(-+IF(Assumptions!$G$406="Manual",Assumptions!$G$407*AE68*AE63*AE1198,0),0)</f>
        <v>0</v>
      </c>
      <c r="AF1201" s="31">
        <f>IFERROR(-+IF(Assumptions!$G$406="Manual",Assumptions!$G$407*AF68*AF63*AF1198,0),0)</f>
        <v>0</v>
      </c>
      <c r="AG1201" s="31">
        <f>IFERROR(-+IF(Assumptions!$G$406="Manual",Assumptions!$G$407*AG68*AG63*AG1198,0),0)</f>
        <v>0</v>
      </c>
      <c r="AH1201" s="31">
        <f>IFERROR(-+IF(Assumptions!$G$406="Manual",Assumptions!$G$407*AH68*AH63*AH1198,0),0)</f>
        <v>0</v>
      </c>
      <c r="AI1201" s="31">
        <f>IFERROR(-+IF(Assumptions!$G$406="Manual",Assumptions!$G$407*AI68*AI63*AI1198,0),0)</f>
        <v>0</v>
      </c>
      <c r="AJ1201" s="31">
        <f>IFERROR(-+IF(Assumptions!$G$406="Manual",Assumptions!$G$407*AJ68*AJ63*AJ1198,0),0)</f>
        <v>0</v>
      </c>
      <c r="AK1201" s="31">
        <f>IFERROR(-+IF(Assumptions!$G$406="Manual",Assumptions!$G$407*AK68*AK63*AK1198,0),0)</f>
        <v>0</v>
      </c>
      <c r="AL1201" s="31">
        <f>IFERROR(-+IF(Assumptions!$G$406="Manual",Assumptions!$G$407*AL68*AL63*AL1198,0),0)</f>
        <v>0</v>
      </c>
      <c r="AM1201" s="31">
        <f>IFERROR(-+IF(Assumptions!$G$406="Manual",Assumptions!$G$407*AM68*AM63*AM1198,0),0)</f>
        <v>0</v>
      </c>
      <c r="AN1201" s="31">
        <f>IFERROR(-+IF(Assumptions!$G$406="Manual",Assumptions!$G$407*AN68*AN63*AN1198,0),0)</f>
        <v>0</v>
      </c>
      <c r="AO1201" s="31">
        <f>IFERROR(-+IF(Assumptions!$G$406="Manual",Assumptions!$G$407*AO68*AO63*AO1198,0),0)</f>
        <v>0</v>
      </c>
      <c r="AP1201" s="31">
        <f>IFERROR(-+IF(Assumptions!$G$406="Manual",Assumptions!$G$407*AP68*AP63*AP1198,0),0)</f>
        <v>0</v>
      </c>
      <c r="AQ1201" s="31">
        <f>IFERROR(-+IF(Assumptions!$G$406="Manual",Assumptions!$G$407*AQ68*AQ63*AQ1198,0),0)</f>
        <v>0</v>
      </c>
      <c r="AR1201" s="31">
        <f>IFERROR(-+IF(Assumptions!$G$406="Manual",Assumptions!$G$407*AR68*AR63*AR1198,0),0)</f>
        <v>0</v>
      </c>
      <c r="AS1201" s="31">
        <f>IFERROR(-+IF(Assumptions!$G$406="Manual",Assumptions!$G$407*AS68*AS63*AS1198,0),0)</f>
        <v>0</v>
      </c>
      <c r="AT1201" s="31">
        <f>IFERROR(-+IF(Assumptions!$G$406="Manual",Assumptions!$G$407*AT68*AT63*AT1198,0),0)</f>
        <v>0</v>
      </c>
      <c r="AU1201" s="31">
        <f>IFERROR(-+IF(Assumptions!$G$406="Manual",Assumptions!$G$407*AU68*AU63*AU1198,0),0)</f>
        <v>0</v>
      </c>
      <c r="AV1201" s="31">
        <f>IFERROR(-+IF(Assumptions!$G$406="Manual",Assumptions!$G$407*AV68*AV63*AV1198,0),0)</f>
        <v>0</v>
      </c>
      <c r="AW1201" s="31">
        <f>IFERROR(-+IF(Assumptions!$G$406="Manual",Assumptions!$G$407*AW68*AW63*AW1198,0),0)</f>
        <v>0</v>
      </c>
      <c r="AX1201" s="31">
        <f>IFERROR(-+IF(Assumptions!$G$406="Manual",Assumptions!$G$407*AX68*AX63*AX1198,0),0)</f>
        <v>0</v>
      </c>
      <c r="AY1201" s="31">
        <f>IFERROR(-+IF(Assumptions!$G$406="Manual",Assumptions!$G$407*AY68*AY63*AY1198,0),0)</f>
        <v>0</v>
      </c>
      <c r="AZ1201" s="31">
        <f>IFERROR(-+IF(Assumptions!$G$406="Manual",Assumptions!$G$407*AZ68*AZ63*AZ1198,0),0)</f>
        <v>0</v>
      </c>
      <c r="BA1201" s="31">
        <f>IFERROR(-+IF(Assumptions!$G$406="Manual",Assumptions!$G$407*BA68*BA63*BA1198,0),0)</f>
        <v>0</v>
      </c>
      <c r="BB1201" s="31">
        <f>IFERROR(-+IF(Assumptions!$G$406="Manual",Assumptions!$G$407*BB68*BB63*BB1198,0),0)</f>
        <v>0</v>
      </c>
      <c r="BC1201" s="31">
        <f>IFERROR(-+IF(Assumptions!$G$406="Manual",Assumptions!$G$407*BC68*BC63*BC1198,0),0)</f>
        <v>0</v>
      </c>
      <c r="BD1201" s="31">
        <f>IFERROR(-+IF(Assumptions!$G$406="Manual",Assumptions!$G$407*BD68*BD63*BD1198,0),0)</f>
        <v>0</v>
      </c>
      <c r="BE1201" s="31">
        <f>IFERROR(-+IF(Assumptions!$G$406="Manual",Assumptions!$G$407*BE68*BE63*BE1198,0),0)</f>
        <v>0</v>
      </c>
      <c r="BF1201" s="31">
        <f>IFERROR(-+IF(Assumptions!$G$406="Manual",Assumptions!$G$407*BF68*BF63*BF1198,0),0)</f>
        <v>0</v>
      </c>
      <c r="BG1201" s="31">
        <f>IFERROR(-+IF(Assumptions!$G$406="Manual",Assumptions!$G$407*BG68*BG63*BG1198,0),0)</f>
        <v>0</v>
      </c>
      <c r="BH1201" s="31">
        <f>IFERROR(-+IF(Assumptions!$G$406="Manual",Assumptions!$G$407*BH68*BH63*BH1198,0),0)</f>
        <v>0</v>
      </c>
      <c r="BI1201" s="31">
        <f>IFERROR(-+IF(Assumptions!$G$406="Manual",Assumptions!$G$407*BI68*BI63*BI1198,0),0)</f>
        <v>0</v>
      </c>
      <c r="BJ1201" s="31">
        <f>IFERROR(-+IF(Assumptions!$G$406="Manual",Assumptions!$G$407*BJ68*BJ63*BJ1198,0),0)</f>
        <v>0</v>
      </c>
      <c r="BK1201" s="31">
        <f>IFERROR(-+IF(Assumptions!$G$406="Manual",Assumptions!$G$407*BK68*BK63*BK1198,0),0)</f>
        <v>0</v>
      </c>
      <c r="BL1201" s="31">
        <f>IFERROR(-+IF(Assumptions!$G$406="Manual",Assumptions!$G$407*BL68*BL63*BL1198,0),0)</f>
        <v>0</v>
      </c>
      <c r="BM1201" s="31">
        <f>IFERROR(-+IF(Assumptions!$G$406="Manual",Assumptions!$G$407*BM68*BM63*BM1198,0),0)</f>
        <v>0</v>
      </c>
      <c r="BN1201" s="31">
        <f>IFERROR(-+IF(Assumptions!$G$406="Manual",Assumptions!$G$407*BN68*BN63*BN1198,0),0)</f>
        <v>0</v>
      </c>
      <c r="BO1201" s="31">
        <f>IFERROR(-+IF(Assumptions!$G$406="Manual",Assumptions!$G$407*BO68*BO63*BO1198,0),0)</f>
        <v>0</v>
      </c>
      <c r="BP1201" s="31">
        <f>IFERROR(-+IF(Assumptions!$G$406="Manual",Assumptions!$G$407*BP68*BP63*BP1198,0),0)</f>
        <v>0</v>
      </c>
      <c r="BQ1201" s="31">
        <f>IFERROR(-+IF(Assumptions!$G$406="Manual",Assumptions!$G$407*BQ68*BQ63*BQ1198,0),0)</f>
        <v>0</v>
      </c>
      <c r="BR1201" s="31">
        <f>IFERROR(-+IF(Assumptions!$G$406="Manual",Assumptions!$G$407*BR68*BR63*BR1198,0),0)</f>
        <v>0</v>
      </c>
      <c r="BS1201" s="31">
        <f>IFERROR(-+IF(Assumptions!$G$406="Manual",Assumptions!$G$407*BS68*BS63*BS1198,0),0)</f>
        <v>0</v>
      </c>
      <c r="BT1201" s="31">
        <f>IFERROR(-+IF(Assumptions!$G$406="Manual",Assumptions!$G$407*BT68*BT63*BT1198,0),0)</f>
        <v>0</v>
      </c>
      <c r="BU1201" s="31">
        <f>IFERROR(-+IF(Assumptions!$G$406="Manual",Assumptions!$G$407*BU68*BU63*BU1198,0),0)</f>
        <v>0</v>
      </c>
      <c r="BV1201" s="31">
        <f>IFERROR(-+IF(Assumptions!$G$406="Manual",Assumptions!$G$407*BV68*BV63*BV1198,0),0)</f>
        <v>0</v>
      </c>
      <c r="BW1201" s="31">
        <f>IFERROR(-+IF(Assumptions!$G$406="Manual",Assumptions!$G$407*BW68*BW63*BW1198,0),0)</f>
        <v>0</v>
      </c>
      <c r="BX1201" s="31">
        <f>IFERROR(-+IF(Assumptions!$G$406="Manual",Assumptions!$G$407*BX68*BX63*BX1198,0),0)</f>
        <v>0</v>
      </c>
      <c r="BY1201" s="31">
        <f>IFERROR(-+IF(Assumptions!$G$406="Manual",Assumptions!$G$407*BY68*BY63*BY1198,0),0)</f>
        <v>0</v>
      </c>
    </row>
    <row r="1202" spans="1:77" s="19" customFormat="1" outlineLevel="1">
      <c r="A1202" s="771"/>
      <c r="B1202"/>
      <c r="C1202"/>
      <c r="D1202"/>
      <c r="E1202"/>
      <c r="F1202" s="80"/>
      <c r="G1202"/>
      <c r="H1202" s="31"/>
      <c r="I1202" s="31"/>
      <c r="J1202" s="31"/>
      <c r="K1202" s="31"/>
      <c r="L1202" s="31"/>
      <c r="M1202" s="31"/>
      <c r="N1202" s="31"/>
      <c r="O1202" s="31"/>
      <c r="P1202" s="31"/>
      <c r="Q1202" s="31"/>
      <c r="R1202" s="31"/>
      <c r="S1202" s="31"/>
      <c r="T1202" s="31"/>
      <c r="U1202" s="31"/>
      <c r="V1202" s="31"/>
      <c r="W1202" s="31"/>
      <c r="X1202" s="31"/>
      <c r="Y1202" s="31"/>
      <c r="Z1202" s="31"/>
      <c r="AA1202" s="31"/>
      <c r="AB1202" s="31"/>
      <c r="AC1202" s="31"/>
      <c r="AD1202" s="31"/>
      <c r="AE1202" s="31"/>
      <c r="AF1202" s="31"/>
      <c r="AG1202" s="31"/>
      <c r="AH1202" s="31"/>
      <c r="AI1202" s="31"/>
      <c r="AJ1202" s="31"/>
      <c r="AK1202" s="31"/>
      <c r="AL1202" s="31"/>
      <c r="AM1202" s="31"/>
      <c r="AN1202" s="31"/>
      <c r="AO1202" s="31"/>
      <c r="AP1202" s="31"/>
      <c r="AQ1202" s="31"/>
      <c r="AR1202" s="31"/>
      <c r="AS1202" s="31"/>
      <c r="AT1202" s="31"/>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row>
    <row r="1203" spans="1:77" s="19" customFormat="1" outlineLevel="1">
      <c r="A1203" s="771"/>
      <c r="B1203"/>
      <c r="C1203"/>
      <c r="D1203"/>
      <c r="E1203"/>
      <c r="F1203" s="80"/>
      <c r="G1203"/>
      <c r="H1203" s="31"/>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row>
    <row r="1204" spans="1:77" s="19" customFormat="1" outlineLevel="1">
      <c r="A1204" s="771"/>
      <c r="B1204"/>
      <c r="C1204"/>
      <c r="D1204"/>
      <c r="E1204" t="s">
        <v>615</v>
      </c>
      <c r="F1204" s="80" t="s">
        <v>549</v>
      </c>
      <c r="G1204"/>
      <c r="H1204" s="31">
        <f ca="1">+SUM(H1199:BY1199)+SUM(H1201:BY1201)</f>
        <v>0</v>
      </c>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row>
    <row r="1205" spans="1:77" s="19" customFormat="1" ht="15" outlineLevel="1">
      <c r="A1205" s="771"/>
      <c r="B1205"/>
      <c r="C1205"/>
      <c r="D1205"/>
      <c r="E1205" s="22"/>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row>
    <row r="1206" spans="1:77" s="19" customFormat="1" ht="12.75" outlineLevel="1">
      <c r="A1206" s="771"/>
      <c r="B1206" s="18" t="str">
        <f>+Assumptions!C412</f>
        <v>5.2 Green port</v>
      </c>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5"/>
      <c r="AE1206" s="35"/>
      <c r="AF1206" s="35"/>
      <c r="AG1206" s="35"/>
      <c r="AH1206" s="35"/>
      <c r="AI1206" s="35"/>
      <c r="AJ1206" s="35"/>
      <c r="AK1206" s="35"/>
      <c r="AL1206" s="35"/>
      <c r="AM1206" s="35"/>
      <c r="AN1206" s="35"/>
      <c r="AO1206" s="35"/>
      <c r="AP1206" s="35"/>
      <c r="AQ1206" s="35"/>
      <c r="AR1206" s="35"/>
      <c r="AS1206" s="35"/>
      <c r="AT1206" s="35"/>
      <c r="AU1206" s="35"/>
      <c r="AV1206" s="35"/>
      <c r="AW1206" s="35"/>
      <c r="AX1206" s="35"/>
      <c r="AY1206" s="35"/>
      <c r="AZ1206" s="35"/>
      <c r="BA1206" s="35"/>
      <c r="BB1206" s="35"/>
      <c r="BC1206" s="35"/>
      <c r="BD1206" s="35"/>
      <c r="BE1206" s="35"/>
      <c r="BF1206" s="35"/>
      <c r="BG1206" s="35"/>
      <c r="BH1206" s="35"/>
      <c r="BI1206" s="35"/>
      <c r="BJ1206" s="35"/>
      <c r="BK1206" s="35"/>
      <c r="BL1206" s="35"/>
      <c r="BM1206" s="35"/>
      <c r="BN1206" s="35"/>
      <c r="BO1206" s="35"/>
      <c r="BP1206" s="35"/>
      <c r="BQ1206" s="35"/>
      <c r="BR1206" s="35"/>
      <c r="BS1206" s="35"/>
      <c r="BT1206" s="35"/>
      <c r="BU1206" s="35"/>
      <c r="BV1206" s="35"/>
      <c r="BW1206" s="35"/>
      <c r="BX1206" s="35"/>
      <c r="BY1206" s="35"/>
    </row>
    <row r="1207" spans="1:77" s="19" customFormat="1" outlineLevel="1">
      <c r="A1207" s="771"/>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row>
    <row r="1208" spans="1:77" s="19" customFormat="1" ht="15" outlineLevel="1">
      <c r="A1208" s="771"/>
      <c r="B1208"/>
      <c r="C1208"/>
      <c r="D1208"/>
      <c r="E1208" s="22" t="s">
        <v>365</v>
      </c>
      <c r="F1208" s="80"/>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row>
    <row r="1209" spans="1:77" s="19" customFormat="1" ht="15" outlineLevel="1">
      <c r="A1209" s="771"/>
      <c r="B1209"/>
      <c r="C1209"/>
      <c r="D1209"/>
      <c r="E1209" s="22"/>
      <c r="F1209" s="80"/>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row>
    <row r="1210" spans="1:77" s="19" customFormat="1" outlineLevel="1">
      <c r="A1210" s="771"/>
      <c r="B1210"/>
      <c r="C1210"/>
      <c r="D1210"/>
      <c r="E1210" t="s">
        <v>612</v>
      </c>
      <c r="F1210" s="80" t="s">
        <v>178</v>
      </c>
      <c r="G1210"/>
      <c r="H1210" s="41">
        <f>+IF(Assumptions!$G$414="Share",Assumptions!$G$416,0)</f>
        <v>0.5</v>
      </c>
      <c r="I1210" s="41">
        <f>+IF(Assumptions!$G$414="Share",Assumptions!$G$416,0)</f>
        <v>0.5</v>
      </c>
      <c r="J1210" s="41">
        <f>+IF(Assumptions!$G$414="Share",Assumptions!$G$416,0)</f>
        <v>0.5</v>
      </c>
      <c r="K1210" s="41">
        <f>+IF(Assumptions!$G$414="Share",Assumptions!$G$416,0)</f>
        <v>0.5</v>
      </c>
      <c r="L1210" s="41">
        <f>+IF(Assumptions!$G$414="Share",Assumptions!$G$416,0)</f>
        <v>0.5</v>
      </c>
      <c r="M1210" s="41">
        <f>+IF(Assumptions!$G$414="Share",Assumptions!$G$416,0)</f>
        <v>0.5</v>
      </c>
      <c r="N1210" s="41">
        <f>+IF(Assumptions!$G$414="Share",Assumptions!$G$416,0)</f>
        <v>0.5</v>
      </c>
      <c r="O1210" s="41">
        <f>+IF(Assumptions!$G$414="Share",Assumptions!$G$416,0)</f>
        <v>0.5</v>
      </c>
      <c r="P1210" s="41">
        <f>+IF(Assumptions!$G$414="Share",Assumptions!$G$416,0)</f>
        <v>0.5</v>
      </c>
      <c r="Q1210" s="41">
        <f>+IF(Assumptions!$G$414="Share",Assumptions!$G$416,0)</f>
        <v>0.5</v>
      </c>
      <c r="R1210" s="41">
        <f>+IF(Assumptions!$G$414="Share",Assumptions!$G$416,0)</f>
        <v>0.5</v>
      </c>
      <c r="S1210" s="41">
        <f>+IF(Assumptions!$G$414="Share",Assumptions!$G$416,0)</f>
        <v>0.5</v>
      </c>
      <c r="T1210" s="41">
        <f>+IF(Assumptions!$G$414="Share",Assumptions!$G$416,0)</f>
        <v>0.5</v>
      </c>
      <c r="U1210" s="41">
        <f>+IF(Assumptions!$G$414="Share",Assumptions!$G$416,0)</f>
        <v>0.5</v>
      </c>
      <c r="V1210" s="41">
        <f>+IF(Assumptions!$G$414="Share",Assumptions!$G$416,0)</f>
        <v>0.5</v>
      </c>
      <c r="W1210" s="41">
        <f>+IF(Assumptions!$G$414="Share",Assumptions!$G$416,0)</f>
        <v>0.5</v>
      </c>
      <c r="X1210" s="41">
        <f>+IF(Assumptions!$G$414="Share",Assumptions!$G$416,0)</f>
        <v>0.5</v>
      </c>
      <c r="Y1210" s="41">
        <f>+IF(Assumptions!$G$414="Share",Assumptions!$G$416,0)</f>
        <v>0.5</v>
      </c>
      <c r="Z1210" s="41">
        <f>+IF(Assumptions!$G$414="Share",Assumptions!$G$416,0)</f>
        <v>0.5</v>
      </c>
      <c r="AA1210" s="41">
        <f>+IF(Assumptions!$G$414="Share",Assumptions!$G$416,0)</f>
        <v>0.5</v>
      </c>
      <c r="AB1210" s="41">
        <f>+IF(Assumptions!$G$414="Share",Assumptions!$G$416,0)</f>
        <v>0.5</v>
      </c>
      <c r="AC1210" s="41">
        <f>+IF(Assumptions!$G$414="Share",Assumptions!$G$416,0)</f>
        <v>0.5</v>
      </c>
      <c r="AD1210" s="41">
        <f>+IF(Assumptions!$G$414="Share",Assumptions!$G$416,0)</f>
        <v>0.5</v>
      </c>
      <c r="AE1210" s="41">
        <f>+IF(Assumptions!$G$414="Share",Assumptions!$G$416,0)</f>
        <v>0.5</v>
      </c>
      <c r="AF1210" s="41">
        <f>+IF(Assumptions!$G$414="Share",Assumptions!$G$416,0)</f>
        <v>0.5</v>
      </c>
      <c r="AG1210" s="41">
        <f>+IF(Assumptions!$G$414="Share",Assumptions!$G$416,0)</f>
        <v>0.5</v>
      </c>
      <c r="AH1210" s="41">
        <f>+IF(Assumptions!$G$414="Share",Assumptions!$G$416,0)</f>
        <v>0.5</v>
      </c>
      <c r="AI1210" s="41">
        <f>+IF(Assumptions!$G$414="Share",Assumptions!$G$416,0)</f>
        <v>0.5</v>
      </c>
      <c r="AJ1210" s="41">
        <f>+IF(Assumptions!$G$414="Share",Assumptions!$G$416,0)</f>
        <v>0.5</v>
      </c>
      <c r="AK1210" s="41">
        <f>+IF(Assumptions!$G$414="Share",Assumptions!$G$416,0)</f>
        <v>0.5</v>
      </c>
      <c r="AL1210" s="41">
        <f>+IF(Assumptions!$G$414="Share",Assumptions!$G$416,0)</f>
        <v>0.5</v>
      </c>
      <c r="AM1210" s="41">
        <f>+IF(Assumptions!$G$414="Share",Assumptions!$G$416,0)</f>
        <v>0.5</v>
      </c>
      <c r="AN1210" s="41">
        <f>+IF(Assumptions!$G$414="Share",Assumptions!$G$416,0)</f>
        <v>0.5</v>
      </c>
      <c r="AO1210" s="41">
        <f>+IF(Assumptions!$G$414="Share",Assumptions!$G$416,0)</f>
        <v>0.5</v>
      </c>
      <c r="AP1210" s="41">
        <f>+IF(Assumptions!$G$414="Share",Assumptions!$G$416,0)</f>
        <v>0.5</v>
      </c>
      <c r="AQ1210" s="41">
        <f>+IF(Assumptions!$G$414="Share",Assumptions!$G$416,0)</f>
        <v>0.5</v>
      </c>
      <c r="AR1210" s="41">
        <f>+IF(Assumptions!$G$414="Share",Assumptions!$G$416,0)</f>
        <v>0.5</v>
      </c>
      <c r="AS1210" s="41">
        <f>+IF(Assumptions!$G$414="Share",Assumptions!$G$416,0)</f>
        <v>0.5</v>
      </c>
      <c r="AT1210" s="41">
        <f>+IF(Assumptions!$G$414="Share",Assumptions!$G$416,0)</f>
        <v>0.5</v>
      </c>
      <c r="AU1210" s="41">
        <f>+IF(Assumptions!$G$414="Share",Assumptions!$G$416,0)</f>
        <v>0.5</v>
      </c>
      <c r="AV1210" s="41">
        <f>+IF(Assumptions!$G$414="Share",Assumptions!$G$416,0)</f>
        <v>0.5</v>
      </c>
      <c r="AW1210" s="41">
        <f>+IF(Assumptions!$G$414="Share",Assumptions!$G$416,0)</f>
        <v>0.5</v>
      </c>
      <c r="AX1210" s="41">
        <f>+IF(Assumptions!$G$414="Share",Assumptions!$G$416,0)</f>
        <v>0.5</v>
      </c>
      <c r="AY1210" s="41">
        <f>+IF(Assumptions!$G$414="Share",Assumptions!$G$416,0)</f>
        <v>0.5</v>
      </c>
      <c r="AZ1210" s="41">
        <f>+IF(Assumptions!$G$414="Share",Assumptions!$G$416,0)</f>
        <v>0.5</v>
      </c>
      <c r="BA1210" s="41">
        <f>+IF(Assumptions!$G$414="Share",Assumptions!$G$416,0)</f>
        <v>0.5</v>
      </c>
      <c r="BB1210" s="41">
        <f>+IF(Assumptions!$G$414="Share",Assumptions!$G$416,0)</f>
        <v>0.5</v>
      </c>
      <c r="BC1210" s="41">
        <f>+IF(Assumptions!$G$414="Share",Assumptions!$G$416,0)</f>
        <v>0.5</v>
      </c>
      <c r="BD1210" s="41">
        <f>+IF(Assumptions!$G$414="Share",Assumptions!$G$416,0)</f>
        <v>0.5</v>
      </c>
      <c r="BE1210" s="41">
        <f>+IF(Assumptions!$G$414="Share",Assumptions!$G$416,0)</f>
        <v>0.5</v>
      </c>
      <c r="BF1210" s="41">
        <f>+IF(Assumptions!$G$414="Share",Assumptions!$G$416,0)</f>
        <v>0.5</v>
      </c>
      <c r="BG1210" s="41">
        <f>+IF(Assumptions!$G$414="Share",Assumptions!$G$416,0)</f>
        <v>0.5</v>
      </c>
      <c r="BH1210" s="41">
        <f>+IF(Assumptions!$G$414="Share",Assumptions!$G$416,0)</f>
        <v>0.5</v>
      </c>
      <c r="BI1210" s="41">
        <f>+IF(Assumptions!$G$414="Share",Assumptions!$G$416,0)</f>
        <v>0.5</v>
      </c>
      <c r="BJ1210" s="41">
        <f>+IF(Assumptions!$G$414="Share",Assumptions!$G$416,0)</f>
        <v>0.5</v>
      </c>
      <c r="BK1210" s="41">
        <f>+IF(Assumptions!$G$414="Share",Assumptions!$G$416,0)</f>
        <v>0.5</v>
      </c>
      <c r="BL1210" s="41">
        <f>+IF(Assumptions!$G$414="Share",Assumptions!$G$416,0)</f>
        <v>0.5</v>
      </c>
      <c r="BM1210" s="41">
        <f>+IF(Assumptions!$G$414="Share",Assumptions!$G$416,0)</f>
        <v>0.5</v>
      </c>
      <c r="BN1210" s="41">
        <f>+IF(Assumptions!$G$414="Share",Assumptions!$G$416,0)</f>
        <v>0.5</v>
      </c>
      <c r="BO1210" s="41">
        <f>+IF(Assumptions!$G$414="Share",Assumptions!$G$416,0)</f>
        <v>0.5</v>
      </c>
      <c r="BP1210" s="41">
        <f>+IF(Assumptions!$G$414="Share",Assumptions!$G$416,0)</f>
        <v>0.5</v>
      </c>
      <c r="BQ1210" s="41">
        <f>+IF(Assumptions!$G$414="Share",Assumptions!$G$416,0)</f>
        <v>0.5</v>
      </c>
      <c r="BR1210" s="41">
        <f>+IF(Assumptions!$G$414="Share",Assumptions!$G$416,0)</f>
        <v>0.5</v>
      </c>
      <c r="BS1210" s="41">
        <f>+IF(Assumptions!$G$414="Share",Assumptions!$G$416,0)</f>
        <v>0.5</v>
      </c>
      <c r="BT1210" s="41">
        <f>+IF(Assumptions!$G$414="Share",Assumptions!$G$416,0)</f>
        <v>0.5</v>
      </c>
      <c r="BU1210" s="41">
        <f>+IF(Assumptions!$G$414="Share",Assumptions!$G$416,0)</f>
        <v>0.5</v>
      </c>
      <c r="BV1210" s="41">
        <f>+IF(Assumptions!$G$414="Share",Assumptions!$G$416,0)</f>
        <v>0.5</v>
      </c>
      <c r="BW1210" s="41">
        <f>+IF(Assumptions!$G$414="Share",Assumptions!$G$416,0)</f>
        <v>0.5</v>
      </c>
      <c r="BX1210" s="41">
        <f>+IF(Assumptions!$G$414="Share",Assumptions!$G$416,0)</f>
        <v>0.5</v>
      </c>
      <c r="BY1210" s="41">
        <f>+IF(Assumptions!$G$414="Share",Assumptions!$G$416,0)</f>
        <v>0.5</v>
      </c>
    </row>
    <row r="1211" spans="1:77" s="19" customFormat="1" outlineLevel="1">
      <c r="A1211" s="771"/>
      <c r="B1211"/>
      <c r="C1211"/>
      <c r="D1211"/>
      <c r="E1211" t="s">
        <v>243</v>
      </c>
      <c r="F1211" s="80" t="s">
        <v>423</v>
      </c>
      <c r="G1211"/>
      <c r="H1211" s="86">
        <f ca="1">1/(1+Assumptions!$G$421)*IF(G1211=0,1,G1211)</f>
        <v>0.95979422011920645</v>
      </c>
      <c r="I1211" s="86">
        <f ca="1">1/(1+Assumptions!$G$421)*IF(H1211=0,1,H1211)</f>
        <v>0.92120494497423577</v>
      </c>
      <c r="J1211" s="86">
        <f ca="1">1/(1+Assumptions!$G$421)*IF(I1211=0,1,I1211)</f>
        <v>0.8841671817315031</v>
      </c>
      <c r="K1211" s="86">
        <f ca="1">1/(1+Assumptions!$G$421)*IF(J1211=0,1,J1211)</f>
        <v>0.8486185506449847</v>
      </c>
      <c r="L1211" s="86">
        <f ca="1">1/(1+Assumptions!$G$421)*IF(K1211=0,1,K1211)</f>
        <v>0.81449917999499444</v>
      </c>
      <c r="M1211" s="86">
        <f ca="1">1/(1+Assumptions!$G$421)*IF(L1211=0,1,L1211)</f>
        <v>0.78175160525102882</v>
      </c>
      <c r="N1211" s="86">
        <f ca="1">1/(1+Assumptions!$G$421)*IF(M1211=0,1,M1211)</f>
        <v>0.75032067228884891</v>
      </c>
      <c r="O1211" s="86">
        <f ca="1">1/(1+Assumptions!$G$421)*IF(N1211=0,1,N1211)</f>
        <v>0.72015344449879437</v>
      </c>
      <c r="P1211" s="86">
        <f ca="1">1/(1+Assumptions!$G$421)*IF(O1211=0,1,O1211)</f>
        <v>0.69119911362888053</v>
      </c>
      <c r="Q1211" s="86">
        <f ca="1">1/(1+Assumptions!$G$421)*IF(P1211=0,1,P1211)</f>
        <v>0.66340891421251813</v>
      </c>
      <c r="R1211" s="86">
        <f ca="1">1/(1+Assumptions!$G$421)*IF(Q1211=0,1,Q1211)</f>
        <v>0.63673604143673335</v>
      </c>
      <c r="S1211" s="86">
        <f ca="1">1/(1+Assumptions!$G$421)*IF(R1211=0,1,R1211)</f>
        <v>0.61113557231256022</v>
      </c>
      <c r="T1211" s="86">
        <f ca="1">1/(1+Assumptions!$G$421)*IF(S1211=0,1,S1211)</f>
        <v>0.58656439001483862</v>
      </c>
      <c r="U1211" s="86">
        <f ca="1">1/(1+Assumptions!$G$421)*IF(T1211=0,1,T1211)</f>
        <v>0.56298111126399009</v>
      </c>
      <c r="V1211" s="86">
        <f ca="1">1/(1+Assumptions!$G$421)*IF(U1211=0,1,U1211)</f>
        <v>0.54034601662746551</v>
      </c>
      <c r="W1211" s="86">
        <f ca="1">1/(1+Assumptions!$G$421)*IF(V1211=0,1,V1211)</f>
        <v>0.51862098362347797</v>
      </c>
      <c r="X1211" s="86">
        <f ca="1">1/(1+Assumptions!$G$421)*IF(W1211=0,1,W1211)</f>
        <v>0.4977694225143518</v>
      </c>
      <c r="Y1211" s="86">
        <f ca="1">1/(1+Assumptions!$G$421)*IF(X1211=0,1,X1211)</f>
        <v>0.47775621468135004</v>
      </c>
      <c r="Z1211" s="86">
        <f ca="1">1/(1+Assumptions!$G$421)*IF(Y1211=0,1,Y1211)</f>
        <v>0.45854765347719056</v>
      </c>
      <c r="AA1211" s="86">
        <f ca="1">1/(1+Assumptions!$G$421)*IF(Z1211=0,1,Z1211)</f>
        <v>0.44011138745663225</v>
      </c>
      <c r="AB1211" s="86">
        <f ca="1">1/(1+Assumptions!$G$421)*IF(AA1211=0,1,AA1211)</f>
        <v>0.42241636588952025</v>
      </c>
      <c r="AC1211" s="86">
        <f ca="1">1/(1+Assumptions!$G$421)*IF(AB1211=0,1,AB1211)</f>
        <v>0.40543278646452147</v>
      </c>
      <c r="AD1211" s="86">
        <f ca="1">1/(1+Assumptions!$G$421)*IF(AC1211=0,1,AC1211)</f>
        <v>0.38913204509547217</v>
      </c>
      <c r="AE1211" s="86">
        <f ca="1">1/(1+Assumptions!$G$421)*IF(AD1211=0,1,AD1211)</f>
        <v>0.37348668774580057</v>
      </c>
      <c r="AF1211" s="86">
        <f ca="1">1/(1+Assumptions!$G$421)*IF(AE1211=0,1,AE1211)</f>
        <v>0.35847036418988626</v>
      </c>
      <c r="AG1211" s="86">
        <f ca="1">1/(1+Assumptions!$G$421)*IF(AF1211=0,1,AF1211)</f>
        <v>0.34405778363347977</v>
      </c>
      <c r="AH1211" s="86">
        <f ca="1">1/(1+Assumptions!$G$421)*IF(AG1211=0,1,AG1211)</f>
        <v>0.33022467211843837</v>
      </c>
      <c r="AI1211" s="86">
        <f ca="1">1/(1+Assumptions!$G$421)*IF(AH1211=0,1,AH1211)</f>
        <v>0.3169477316400372</v>
      </c>
      <c r="AJ1211" s="86">
        <f ca="1">1/(1+Assumptions!$G$421)*IF(AI1211=0,1,AI1211)</f>
        <v>0.30420460090800105</v>
      </c>
      <c r="AK1211" s="86">
        <f ca="1">1/(1+Assumptions!$G$421)*IF(AJ1211=0,1,AJ1211)</f>
        <v>0.29197381768516933</v>
      </c>
      <c r="AL1211" s="86">
        <f ca="1">1/(1+Assumptions!$G$421)*IF(AK1211=0,1,AK1211)</f>
        <v>0.28023478264036444</v>
      </c>
      <c r="AM1211" s="86">
        <f ca="1">1/(1+Assumptions!$G$421)*IF(AL1211=0,1,AL1211)</f>
        <v>0.26896772465458391</v>
      </c>
      <c r="AN1211" s="86">
        <f ca="1">1/(1+Assumptions!$G$421)*IF(AM1211=0,1,AM1211)</f>
        <v>0.2581536675220838</v>
      </c>
      <c r="AO1211" s="86">
        <f ca="1">1/(1+Assumptions!$G$421)*IF(AN1211=0,1,AN1211)</f>
        <v>0.24777439799027134</v>
      </c>
      <c r="AP1211" s="86">
        <f ca="1">1/(1+Assumptions!$G$421)*IF(AO1211=0,1,AO1211)</f>
        <v>0.23781243508457836</v>
      </c>
      <c r="AQ1211" s="86">
        <f ca="1">1/(1+Assumptions!$G$421)*IF(AP1211=0,1,AP1211)</f>
        <v>0.2282510006666523</v>
      </c>
      <c r="AR1211" s="86">
        <f ca="1">1/(1+Assumptions!$G$421)*IF(AQ1211=0,1,AQ1211)</f>
        <v>0.21907399117627802</v>
      </c>
      <c r="AS1211" s="86">
        <f ca="1">1/(1+Assumptions!$G$421)*IF(AR1211=0,1,AR1211)</f>
        <v>0.21026595050943767</v>
      </c>
      <c r="AT1211" s="86">
        <f ca="1">1/(1+Assumptions!$G$421)*IF(AS1211=0,1,AS1211)</f>
        <v>0.20181204398682939</v>
      </c>
      <c r="AU1211" s="86">
        <f ca="1">1/(1+Assumptions!$G$421)*IF(AT1211=0,1,AT1211)</f>
        <v>0.1936980333690019</v>
      </c>
      <c r="AV1211" s="86">
        <f ca="1">1/(1+Assumptions!$G$421)*IF(AU1211=0,1,AU1211)</f>
        <v>0.18591025287602522</v>
      </c>
      <c r="AW1211" s="86">
        <f ca="1">1/(1+Assumptions!$G$421)*IF(AV1211=0,1,AV1211)</f>
        <v>0.17843558617130909</v>
      </c>
      <c r="AX1211" s="86">
        <f ca="1">1/(1+Assumptions!$G$421)*IF(AW1211=0,1,AW1211)</f>
        <v>0.17126144427080506</v>
      </c>
      <c r="AY1211" s="86">
        <f ca="1">1/(1+Assumptions!$G$421)*IF(AX1211=0,1,AX1211)</f>
        <v>0.16437574434038627</v>
      </c>
      <c r="AZ1211" s="86">
        <f ca="1">1/(1+Assumptions!$G$421)*IF(AY1211=0,1,AY1211)</f>
        <v>0.1577668893456951</v>
      </c>
      <c r="BA1211" s="86">
        <f ca="1">1/(1+Assumptions!$G$421)*IF(AZ1211=0,1,AZ1211)</f>
        <v>0.15142374852018459</v>
      </c>
      <c r="BB1211" s="86">
        <f ca="1">1/(1+Assumptions!$G$421)*IF(BA1211=0,1,BA1211)</f>
        <v>0.14533563861845741</v>
      </c>
      <c r="BC1211" s="86">
        <f ca="1">1/(1+Assumptions!$G$421)*IF(BB1211=0,1,BB1211)</f>
        <v>0.13949230592332915</v>
      </c>
      <c r="BD1211" s="86">
        <f ca="1">1/(1+Assumptions!$G$421)*IF(BC1211=0,1,BC1211)</f>
        <v>0.13388390897631147</v>
      </c>
      <c r="BE1211" s="86">
        <f ca="1">1/(1+Assumptions!$G$421)*IF(BD1211=0,1,BD1211)</f>
        <v>0.1285010020024297</v>
      </c>
      <c r="BF1211" s="86">
        <f ca="1">1/(1+Assumptions!$G$421)*IF(BE1211=0,1,BE1211)</f>
        <v>0.1233345190014586</v>
      </c>
      <c r="BG1211" s="86">
        <f ca="1">1/(1+Assumptions!$G$421)*IF(BF1211=0,1,BF1211)</f>
        <v>0.11837575847878241</v>
      </c>
      <c r="BH1211" s="86">
        <f ca="1">1/(1+Assumptions!$G$421)*IF(BG1211=0,1,BG1211)</f>
        <v>0.11361636879016251</v>
      </c>
      <c r="BI1211" s="86">
        <f ca="1">1/(1+Assumptions!$G$421)*IF(BH1211=0,1,BH1211)</f>
        <v>0.10904833407573018</v>
      </c>
      <c r="BJ1211" s="86">
        <f ca="1">1/(1+Assumptions!$G$421)*IF(BI1211=0,1,BI1211)</f>
        <v>0.10466396075951413</v>
      </c>
      <c r="BK1211" s="86">
        <f ca="1">1/(1+Assumptions!$G$421)*IF(BJ1211=0,1,BJ1211)</f>
        <v>0.10045586459176509</v>
      </c>
      <c r="BL1211" s="86">
        <f ca="1">1/(1+Assumptions!$G$421)*IF(BK1211=0,1,BK1211)</f>
        <v>9.6416958212253781E-2</v>
      </c>
      <c r="BM1211" s="86">
        <f ca="1">1/(1+Assumptions!$G$421)*IF(BL1211=0,1,BL1211)</f>
        <v>9.254043921359624E-2</v>
      </c>
      <c r="BN1211" s="86">
        <f ca="1">1/(1+Assumptions!$G$421)*IF(BM1211=0,1,BM1211)</f>
        <v>8.8819778684502429E-2</v>
      </c>
      <c r="BO1211" s="86">
        <f ca="1">1/(1+Assumptions!$G$421)*IF(BN1211=0,1,BN1211)</f>
        <v>8.5248710213652532E-2</v>
      </c>
      <c r="BP1211" s="86">
        <f ca="1">1/(1+Assumptions!$G$421)*IF(BO1211=0,1,BO1211)</f>
        <v>8.1821219335680859E-2</v>
      </c>
      <c r="BQ1211" s="86">
        <f ca="1">1/(1+Assumptions!$G$421)*IF(BP1211=0,1,BP1211)</f>
        <v>7.853153340149234E-2</v>
      </c>
      <c r="BR1211" s="86">
        <f ca="1">1/(1+Assumptions!$G$421)*IF(BQ1211=0,1,BQ1211)</f>
        <v>7.5374111855850759E-2</v>
      </c>
      <c r="BS1211" s="86">
        <f ca="1">1/(1+Assumptions!$G$421)*IF(BR1211=0,1,BR1211)</f>
        <v>7.2343636905864109E-2</v>
      </c>
      <c r="BT1211" s="86">
        <f ca="1">1/(1+Assumptions!$G$421)*IF(BS1211=0,1,BS1211)</f>
        <v>6.943500456465089E-2</v>
      </c>
      <c r="BU1211" s="86">
        <f ca="1">1/(1+Assumptions!$G$421)*IF(BT1211=0,1,BT1211)</f>
        <v>6.6643316055102639E-2</v>
      </c>
      <c r="BV1211" s="86">
        <f ca="1">1/(1+Assumptions!$G$421)*IF(BU1211=0,1,BU1211)</f>
        <v>6.396386955926503E-2</v>
      </c>
      <c r="BW1211" s="86">
        <f ca="1">1/(1+Assumptions!$G$421)*IF(BV1211=0,1,BV1211)</f>
        <v>6.1392152299441428E-2</v>
      </c>
      <c r="BX1211" s="86">
        <f ca="1">1/(1+Assumptions!$G$421)*IF(BW1211=0,1,BW1211)</f>
        <v>5.8923832937681934E-2</v>
      </c>
      <c r="BY1211" s="86">
        <f ca="1">1/(1+Assumptions!$G$421)*IF(BX1211=0,1,BX1211)</f>
        <v>5.6554754280856843E-2</v>
      </c>
    </row>
    <row r="1212" spans="1:77" s="19" customFormat="1" outlineLevel="1">
      <c r="A1212" s="771"/>
      <c r="B1212"/>
      <c r="C1212"/>
      <c r="D1212"/>
      <c r="E1212" t="s">
        <v>613</v>
      </c>
      <c r="F1212" s="80" t="s">
        <v>549</v>
      </c>
      <c r="G1212"/>
      <c r="H1212" s="32">
        <f t="shared" ref="H1212:AM1212" ca="1" si="2479">+H1211*H1210*(H204-H738)</f>
        <v>0</v>
      </c>
      <c r="I1212" s="32">
        <f ca="1">+I1211*I1210*(I204-I738)</f>
        <v>-1269272.0262041818</v>
      </c>
      <c r="J1212" s="32">
        <f t="shared" ca="1" si="2479"/>
        <v>-1242604.7535999632</v>
      </c>
      <c r="K1212" s="32">
        <f t="shared" ca="1" si="2479"/>
        <v>0</v>
      </c>
      <c r="L1212" s="32">
        <f t="shared" ca="1" si="2479"/>
        <v>0</v>
      </c>
      <c r="M1212" s="32">
        <f t="shared" ca="1" si="2479"/>
        <v>0</v>
      </c>
      <c r="N1212" s="32">
        <f t="shared" ca="1" si="2479"/>
        <v>0</v>
      </c>
      <c r="O1212" s="32">
        <f t="shared" ca="1" si="2479"/>
        <v>0</v>
      </c>
      <c r="P1212" s="32">
        <f t="shared" ca="1" si="2479"/>
        <v>0</v>
      </c>
      <c r="Q1212" s="32">
        <f t="shared" ca="1" si="2479"/>
        <v>0</v>
      </c>
      <c r="R1212" s="32">
        <f t="shared" ca="1" si="2479"/>
        <v>0</v>
      </c>
      <c r="S1212" s="32">
        <f t="shared" ca="1" si="2479"/>
        <v>0</v>
      </c>
      <c r="T1212" s="32">
        <f t="shared" ca="1" si="2479"/>
        <v>0</v>
      </c>
      <c r="U1212" s="32">
        <f t="shared" ca="1" si="2479"/>
        <v>0</v>
      </c>
      <c r="V1212" s="32">
        <f t="shared" ca="1" si="2479"/>
        <v>0</v>
      </c>
      <c r="W1212" s="32">
        <f t="shared" ca="1" si="2479"/>
        <v>0</v>
      </c>
      <c r="X1212" s="32">
        <f t="shared" ca="1" si="2479"/>
        <v>0</v>
      </c>
      <c r="Y1212" s="32">
        <f t="shared" ca="1" si="2479"/>
        <v>0</v>
      </c>
      <c r="Z1212" s="32">
        <f t="shared" ca="1" si="2479"/>
        <v>0</v>
      </c>
      <c r="AA1212" s="32">
        <f t="shared" ca="1" si="2479"/>
        <v>0</v>
      </c>
      <c r="AB1212" s="32">
        <f t="shared" ca="1" si="2479"/>
        <v>0</v>
      </c>
      <c r="AC1212" s="32">
        <f t="shared" ca="1" si="2479"/>
        <v>0</v>
      </c>
      <c r="AD1212" s="32">
        <f t="shared" ca="1" si="2479"/>
        <v>0</v>
      </c>
      <c r="AE1212" s="32">
        <f t="shared" ca="1" si="2479"/>
        <v>0</v>
      </c>
      <c r="AF1212" s="32">
        <f t="shared" ca="1" si="2479"/>
        <v>0</v>
      </c>
      <c r="AG1212" s="32">
        <f t="shared" ca="1" si="2479"/>
        <v>0</v>
      </c>
      <c r="AH1212" s="32">
        <f t="shared" ca="1" si="2479"/>
        <v>0</v>
      </c>
      <c r="AI1212" s="32">
        <f t="shared" ca="1" si="2479"/>
        <v>0</v>
      </c>
      <c r="AJ1212" s="32">
        <f t="shared" ca="1" si="2479"/>
        <v>0</v>
      </c>
      <c r="AK1212" s="32">
        <f t="shared" ca="1" si="2479"/>
        <v>0</v>
      </c>
      <c r="AL1212" s="32">
        <f t="shared" ca="1" si="2479"/>
        <v>0</v>
      </c>
      <c r="AM1212" s="32">
        <f t="shared" ca="1" si="2479"/>
        <v>0</v>
      </c>
      <c r="AN1212" s="32">
        <f t="shared" ref="AN1212:BS1212" ca="1" si="2480">+AN1211*AN1210*(AN204-AN738)</f>
        <v>0</v>
      </c>
      <c r="AO1212" s="32">
        <f t="shared" ca="1" si="2480"/>
        <v>0</v>
      </c>
      <c r="AP1212" s="32">
        <f t="shared" ca="1" si="2480"/>
        <v>0</v>
      </c>
      <c r="AQ1212" s="32">
        <f t="shared" ca="1" si="2480"/>
        <v>0</v>
      </c>
      <c r="AR1212" s="32">
        <f t="shared" ca="1" si="2480"/>
        <v>0</v>
      </c>
      <c r="AS1212" s="32">
        <f t="shared" ca="1" si="2480"/>
        <v>0</v>
      </c>
      <c r="AT1212" s="32">
        <f t="shared" ca="1" si="2480"/>
        <v>0</v>
      </c>
      <c r="AU1212" s="32">
        <f t="shared" ca="1" si="2480"/>
        <v>0</v>
      </c>
      <c r="AV1212" s="32">
        <f t="shared" ca="1" si="2480"/>
        <v>0</v>
      </c>
      <c r="AW1212" s="32">
        <f t="shared" ca="1" si="2480"/>
        <v>0</v>
      </c>
      <c r="AX1212" s="32">
        <f t="shared" ca="1" si="2480"/>
        <v>0</v>
      </c>
      <c r="AY1212" s="32">
        <f t="shared" ca="1" si="2480"/>
        <v>0</v>
      </c>
      <c r="AZ1212" s="32">
        <f t="shared" ca="1" si="2480"/>
        <v>0</v>
      </c>
      <c r="BA1212" s="32">
        <f t="shared" ca="1" si="2480"/>
        <v>0</v>
      </c>
      <c r="BB1212" s="32">
        <f t="shared" ca="1" si="2480"/>
        <v>0</v>
      </c>
      <c r="BC1212" s="32">
        <f t="shared" ca="1" si="2480"/>
        <v>0</v>
      </c>
      <c r="BD1212" s="32">
        <f t="shared" ca="1" si="2480"/>
        <v>0</v>
      </c>
      <c r="BE1212" s="32">
        <f t="shared" ca="1" si="2480"/>
        <v>0</v>
      </c>
      <c r="BF1212" s="32">
        <f t="shared" ca="1" si="2480"/>
        <v>0</v>
      </c>
      <c r="BG1212" s="32">
        <f t="shared" ca="1" si="2480"/>
        <v>0</v>
      </c>
      <c r="BH1212" s="32">
        <f t="shared" ca="1" si="2480"/>
        <v>0</v>
      </c>
      <c r="BI1212" s="32">
        <f t="shared" ca="1" si="2480"/>
        <v>0</v>
      </c>
      <c r="BJ1212" s="32">
        <f t="shared" ca="1" si="2480"/>
        <v>0</v>
      </c>
      <c r="BK1212" s="32">
        <f t="shared" ca="1" si="2480"/>
        <v>0</v>
      </c>
      <c r="BL1212" s="32">
        <f t="shared" ca="1" si="2480"/>
        <v>0</v>
      </c>
      <c r="BM1212" s="32">
        <f t="shared" ca="1" si="2480"/>
        <v>0</v>
      </c>
      <c r="BN1212" s="32">
        <f t="shared" ca="1" si="2480"/>
        <v>0</v>
      </c>
      <c r="BO1212" s="32">
        <f t="shared" ca="1" si="2480"/>
        <v>0</v>
      </c>
      <c r="BP1212" s="32">
        <f t="shared" ca="1" si="2480"/>
        <v>0</v>
      </c>
      <c r="BQ1212" s="32">
        <f t="shared" ca="1" si="2480"/>
        <v>0</v>
      </c>
      <c r="BR1212" s="32">
        <f t="shared" ca="1" si="2480"/>
        <v>0</v>
      </c>
      <c r="BS1212" s="32">
        <f t="shared" ca="1" si="2480"/>
        <v>0</v>
      </c>
      <c r="BT1212" s="32">
        <f t="shared" ref="BT1212:BY1212" ca="1" si="2481">+BT1211*BT1210*(BT204-BT738)</f>
        <v>0</v>
      </c>
      <c r="BU1212" s="32">
        <f t="shared" ca="1" si="2481"/>
        <v>0</v>
      </c>
      <c r="BV1212" s="32">
        <f t="shared" ca="1" si="2481"/>
        <v>0</v>
      </c>
      <c r="BW1212" s="32">
        <f t="shared" ca="1" si="2481"/>
        <v>0</v>
      </c>
      <c r="BX1212" s="32">
        <f t="shared" ca="1" si="2481"/>
        <v>0</v>
      </c>
      <c r="BY1212" s="32">
        <f t="shared" ca="1" si="2481"/>
        <v>0</v>
      </c>
    </row>
    <row r="1213" spans="1:77" s="19" customFormat="1" outlineLevel="1">
      <c r="A1213" s="771"/>
      <c r="B1213"/>
      <c r="C1213"/>
      <c r="D1213"/>
      <c r="E1213"/>
      <c r="F1213"/>
      <c r="G1213"/>
      <c r="H1213" s="33">
        <f ca="1">+H46-H929</f>
        <v>0</v>
      </c>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row>
    <row r="1214" spans="1:77" s="19" customFormat="1" outlineLevel="1">
      <c r="A1214" s="771"/>
      <c r="B1214"/>
      <c r="C1214"/>
      <c r="D1214"/>
      <c r="E1214" t="s">
        <v>614</v>
      </c>
      <c r="F1214" s="80" t="s">
        <v>549</v>
      </c>
      <c r="G1214"/>
      <c r="H1214" s="31">
        <f>-+IF(Assumptions!$G$414="Manual",Assumptions!$G$415,0)</f>
        <v>0</v>
      </c>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row>
    <row r="1215" spans="1:77" s="19" customFormat="1" outlineLevel="1">
      <c r="A1215" s="771"/>
      <c r="B1215"/>
      <c r="C1215"/>
      <c r="D1215"/>
      <c r="E1215"/>
      <c r="F1215" s="80"/>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row>
    <row r="1216" spans="1:77" s="19" customFormat="1" outlineLevel="1">
      <c r="A1216" s="771"/>
      <c r="B1216"/>
      <c r="C1216"/>
      <c r="D1216"/>
      <c r="E1216" t="s">
        <v>615</v>
      </c>
      <c r="F1216" s="80" t="s">
        <v>549</v>
      </c>
      <c r="G1216"/>
      <c r="H1216" s="31">
        <f ca="1">+SUM(H1212:BY1212)+H1214</f>
        <v>-2511876.779804145</v>
      </c>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row>
    <row r="1217" spans="5:77" s="771" customFormat="1" ht="12.75" outlineLevel="1"/>
    <row r="1218" spans="5:77" s="771" customFormat="1" ht="12.75" outlineLevel="1"/>
    <row r="1219" spans="5:77" s="771" customFormat="1" outlineLevel="1">
      <c r="E1219" t="s">
        <v>616</v>
      </c>
      <c r="F1219" s="772" t="s">
        <v>178</v>
      </c>
      <c r="G1219"/>
      <c r="H1219" s="773">
        <f>+IF(Assumptions!$G$418="Share",Assumptions!$G$420,0)</f>
        <v>0</v>
      </c>
      <c r="I1219" s="773">
        <f>+IF(Assumptions!$G$418="Share",Assumptions!$G$420,0)</f>
        <v>0</v>
      </c>
      <c r="J1219" s="773">
        <f>+IF(Assumptions!$G$418="Share",Assumptions!$G$420,0)</f>
        <v>0</v>
      </c>
      <c r="K1219" s="773">
        <f>+IF(Assumptions!$G$418="Share",Assumptions!$G$420,0)</f>
        <v>0</v>
      </c>
      <c r="L1219" s="773">
        <f>+IF(Assumptions!$G$418="Share",Assumptions!$G$420,0)</f>
        <v>0</v>
      </c>
      <c r="M1219" s="773">
        <f>+IF(Assumptions!$G$418="Share",Assumptions!$G$420,0)</f>
        <v>0</v>
      </c>
      <c r="N1219" s="773">
        <f>+IF(Assumptions!$G$418="Share",Assumptions!$G$420,0)</f>
        <v>0</v>
      </c>
      <c r="O1219" s="773">
        <f>+IF(Assumptions!$G$418="Share",Assumptions!$G$420,0)</f>
        <v>0</v>
      </c>
      <c r="P1219" s="773">
        <f>+IF(Assumptions!$G$418="Share",Assumptions!$G$420,0)</f>
        <v>0</v>
      </c>
      <c r="Q1219" s="773">
        <f>+IF(Assumptions!$G$418="Share",Assumptions!$G$420,0)</f>
        <v>0</v>
      </c>
      <c r="R1219" s="773">
        <f>+IF(Assumptions!$G$418="Share",Assumptions!$G$420,0)</f>
        <v>0</v>
      </c>
      <c r="S1219" s="773">
        <f>+IF(Assumptions!$G$418="Share",Assumptions!$G$420,0)</f>
        <v>0</v>
      </c>
      <c r="T1219" s="773">
        <f>+IF(Assumptions!$G$418="Share",Assumptions!$G$420,0)</f>
        <v>0</v>
      </c>
      <c r="U1219" s="773">
        <f>+IF(Assumptions!$G$418="Share",Assumptions!$G$420,0)</f>
        <v>0</v>
      </c>
      <c r="V1219" s="773">
        <f>+IF(Assumptions!$G$418="Share",Assumptions!$G$420,0)</f>
        <v>0</v>
      </c>
      <c r="W1219" s="773">
        <f>+IF(Assumptions!$G$418="Share",Assumptions!$G$420,0)</f>
        <v>0</v>
      </c>
      <c r="X1219" s="773">
        <f>+IF(Assumptions!$G$418="Share",Assumptions!$G$420,0)</f>
        <v>0</v>
      </c>
      <c r="Y1219" s="773">
        <f>+IF(Assumptions!$G$418="Share",Assumptions!$G$420,0)</f>
        <v>0</v>
      </c>
      <c r="Z1219" s="773">
        <f>+IF(Assumptions!$G$418="Share",Assumptions!$G$420,0)</f>
        <v>0</v>
      </c>
      <c r="AA1219" s="773">
        <f>+IF(Assumptions!$G$418="Share",Assumptions!$G$420,0)</f>
        <v>0</v>
      </c>
      <c r="AB1219" s="773">
        <f>+IF(Assumptions!$G$418="Share",Assumptions!$G$420,0)</f>
        <v>0</v>
      </c>
      <c r="AC1219" s="773">
        <f>+IF(Assumptions!$G$418="Share",Assumptions!$G$420,0)</f>
        <v>0</v>
      </c>
      <c r="AD1219" s="773">
        <f>+IF(Assumptions!$G$418="Share",Assumptions!$G$420,0)</f>
        <v>0</v>
      </c>
      <c r="AE1219" s="773">
        <f>+IF(Assumptions!$G$418="Share",Assumptions!$G$420,0)</f>
        <v>0</v>
      </c>
      <c r="AF1219" s="773">
        <f>+IF(Assumptions!$G$418="Share",Assumptions!$G$420,0)</f>
        <v>0</v>
      </c>
      <c r="AG1219" s="773">
        <f>+IF(Assumptions!$G$418="Share",Assumptions!$G$420,0)</f>
        <v>0</v>
      </c>
      <c r="AH1219" s="773">
        <f>+IF(Assumptions!$G$418="Share",Assumptions!$G$420,0)</f>
        <v>0</v>
      </c>
      <c r="AI1219" s="773">
        <f>+IF(Assumptions!$G$418="Share",Assumptions!$G$420,0)</f>
        <v>0</v>
      </c>
      <c r="AJ1219" s="773">
        <f>+IF(Assumptions!$G$418="Share",Assumptions!$G$420,0)</f>
        <v>0</v>
      </c>
      <c r="AK1219" s="773">
        <f>+IF(Assumptions!$G$418="Share",Assumptions!$G$420,0)</f>
        <v>0</v>
      </c>
      <c r="AL1219" s="773">
        <f>+IF(Assumptions!$G$418="Share",Assumptions!$G$420,0)</f>
        <v>0</v>
      </c>
      <c r="AM1219" s="773">
        <f>+IF(Assumptions!$G$418="Share",Assumptions!$G$420,0)</f>
        <v>0</v>
      </c>
      <c r="AN1219" s="773">
        <f>+IF(Assumptions!$G$418="Share",Assumptions!$G$420,0)</f>
        <v>0</v>
      </c>
      <c r="AO1219" s="773">
        <f>+IF(Assumptions!$G$418="Share",Assumptions!$G$420,0)</f>
        <v>0</v>
      </c>
      <c r="AP1219" s="773">
        <f>+IF(Assumptions!$G$418="Share",Assumptions!$G$420,0)</f>
        <v>0</v>
      </c>
      <c r="AQ1219" s="773">
        <f>+IF(Assumptions!$G$418="Share",Assumptions!$G$420,0)</f>
        <v>0</v>
      </c>
      <c r="AR1219" s="773">
        <f>+IF(Assumptions!$G$418="Share",Assumptions!$G$420,0)</f>
        <v>0</v>
      </c>
      <c r="AS1219" s="773">
        <f>+IF(Assumptions!$G$418="Share",Assumptions!$G$420,0)</f>
        <v>0</v>
      </c>
      <c r="AT1219" s="773">
        <f>+IF(Assumptions!$G$418="Share",Assumptions!$G$420,0)</f>
        <v>0</v>
      </c>
      <c r="AU1219" s="773">
        <f>+IF(Assumptions!$G$418="Share",Assumptions!$G$420,0)</f>
        <v>0</v>
      </c>
      <c r="AV1219" s="773">
        <f>+IF(Assumptions!$G$418="Share",Assumptions!$G$420,0)</f>
        <v>0</v>
      </c>
      <c r="AW1219" s="773">
        <f>+IF(Assumptions!$G$418="Share",Assumptions!$G$420,0)</f>
        <v>0</v>
      </c>
      <c r="AX1219" s="773">
        <f>+IF(Assumptions!$G$418="Share",Assumptions!$G$420,0)</f>
        <v>0</v>
      </c>
      <c r="AY1219" s="773">
        <f>+IF(Assumptions!$G$418="Share",Assumptions!$G$420,0)</f>
        <v>0</v>
      </c>
      <c r="AZ1219" s="773">
        <f>+IF(Assumptions!$G$418="Share",Assumptions!$G$420,0)</f>
        <v>0</v>
      </c>
      <c r="BA1219" s="773">
        <f>+IF(Assumptions!$G$418="Share",Assumptions!$G$420,0)</f>
        <v>0</v>
      </c>
      <c r="BB1219" s="773">
        <f>+IF(Assumptions!$G$418="Share",Assumptions!$G$420,0)</f>
        <v>0</v>
      </c>
      <c r="BC1219" s="773">
        <f>+IF(Assumptions!$G$418="Share",Assumptions!$G$420,0)</f>
        <v>0</v>
      </c>
      <c r="BD1219" s="773">
        <f>+IF(Assumptions!$G$418="Share",Assumptions!$G$420,0)</f>
        <v>0</v>
      </c>
      <c r="BE1219" s="773">
        <f>+IF(Assumptions!$G$418="Share",Assumptions!$G$420,0)</f>
        <v>0</v>
      </c>
      <c r="BF1219" s="773">
        <f>+IF(Assumptions!$G$418="Share",Assumptions!$G$420,0)</f>
        <v>0</v>
      </c>
      <c r="BG1219" s="773">
        <f>+IF(Assumptions!$G$418="Share",Assumptions!$G$420,0)</f>
        <v>0</v>
      </c>
      <c r="BH1219" s="773">
        <f>+IF(Assumptions!$G$418="Share",Assumptions!$G$420,0)</f>
        <v>0</v>
      </c>
      <c r="BI1219" s="773">
        <f>+IF(Assumptions!$G$418="Share",Assumptions!$G$420,0)</f>
        <v>0</v>
      </c>
      <c r="BJ1219" s="773">
        <f>+IF(Assumptions!$G$418="Share",Assumptions!$G$420,0)</f>
        <v>0</v>
      </c>
      <c r="BK1219" s="773">
        <f>+IF(Assumptions!$G$418="Share",Assumptions!$G$420,0)</f>
        <v>0</v>
      </c>
      <c r="BL1219" s="773">
        <f>+IF(Assumptions!$G$418="Share",Assumptions!$G$420,0)</f>
        <v>0</v>
      </c>
      <c r="BM1219" s="773">
        <f>+IF(Assumptions!$G$418="Share",Assumptions!$G$420,0)</f>
        <v>0</v>
      </c>
      <c r="BN1219" s="773">
        <f>+IF(Assumptions!$G$418="Share",Assumptions!$G$420,0)</f>
        <v>0</v>
      </c>
      <c r="BO1219" s="773">
        <f>+IF(Assumptions!$G$418="Share",Assumptions!$G$420,0)</f>
        <v>0</v>
      </c>
      <c r="BP1219" s="773">
        <f>+IF(Assumptions!$G$418="Share",Assumptions!$G$420,0)</f>
        <v>0</v>
      </c>
      <c r="BQ1219" s="773">
        <f>+IF(Assumptions!$G$418="Share",Assumptions!$G$420,0)</f>
        <v>0</v>
      </c>
      <c r="BR1219" s="773">
        <f>+IF(Assumptions!$G$418="Share",Assumptions!$G$420,0)</f>
        <v>0</v>
      </c>
      <c r="BS1219" s="773">
        <f>+IF(Assumptions!$G$418="Share",Assumptions!$G$420,0)</f>
        <v>0</v>
      </c>
      <c r="BT1219" s="773">
        <f>+IF(Assumptions!$G$418="Share",Assumptions!$G$420,0)</f>
        <v>0</v>
      </c>
      <c r="BU1219" s="773">
        <f>+IF(Assumptions!$G$418="Share",Assumptions!$G$420,0)</f>
        <v>0</v>
      </c>
      <c r="BV1219" s="773">
        <f>+IF(Assumptions!$G$418="Share",Assumptions!$G$420,0)</f>
        <v>0</v>
      </c>
      <c r="BW1219" s="773">
        <f>+IF(Assumptions!$G$418="Share",Assumptions!$G$420,0)</f>
        <v>0</v>
      </c>
      <c r="BX1219" s="773">
        <f>+IF(Assumptions!$G$418="Share",Assumptions!$G$420,0)</f>
        <v>0</v>
      </c>
      <c r="BY1219" s="773">
        <f>+IF(Assumptions!$G$418="Share",Assumptions!$G$420,0)</f>
        <v>0</v>
      </c>
    </row>
    <row r="1220" spans="5:77" s="771" customFormat="1" outlineLevel="1">
      <c r="E1220" t="s">
        <v>243</v>
      </c>
      <c r="F1220" s="772" t="s">
        <v>423</v>
      </c>
      <c r="G1220"/>
      <c r="H1220" s="774">
        <f ca="1">1/(1+Assumptions!$G$421)*IF(G1220=0,1,G1220)</f>
        <v>0.95979422011920645</v>
      </c>
      <c r="I1220" s="774">
        <f ca="1">1/(1+Assumptions!$G$421)*IF(H1220=0,1,H1220)</f>
        <v>0.92120494497423577</v>
      </c>
      <c r="J1220" s="774">
        <f ca="1">1/(1+Assumptions!$G$421)*IF(I1220=0,1,I1220)</f>
        <v>0.8841671817315031</v>
      </c>
      <c r="K1220" s="774">
        <f ca="1">1/(1+Assumptions!$G$421)*IF(J1220=0,1,J1220)</f>
        <v>0.8486185506449847</v>
      </c>
      <c r="L1220" s="774">
        <f ca="1">1/(1+Assumptions!$G$421)*IF(K1220=0,1,K1220)</f>
        <v>0.81449917999499444</v>
      </c>
      <c r="M1220" s="774">
        <f ca="1">1/(1+Assumptions!$G$421)*IF(L1220=0,1,L1220)</f>
        <v>0.78175160525102882</v>
      </c>
      <c r="N1220" s="774">
        <f ca="1">1/(1+Assumptions!$G$421)*IF(M1220=0,1,M1220)</f>
        <v>0.75032067228884891</v>
      </c>
      <c r="O1220" s="774">
        <f ca="1">1/(1+Assumptions!$G$421)*IF(N1220=0,1,N1220)</f>
        <v>0.72015344449879437</v>
      </c>
      <c r="P1220" s="774">
        <f ca="1">1/(1+Assumptions!$G$421)*IF(O1220=0,1,O1220)</f>
        <v>0.69119911362888053</v>
      </c>
      <c r="Q1220" s="774">
        <f ca="1">1/(1+Assumptions!$G$421)*IF(P1220=0,1,P1220)</f>
        <v>0.66340891421251813</v>
      </c>
      <c r="R1220" s="774">
        <f ca="1">1/(1+Assumptions!$G$421)*IF(Q1220=0,1,Q1220)</f>
        <v>0.63673604143673335</v>
      </c>
      <c r="S1220" s="774">
        <f ca="1">1/(1+Assumptions!$G$421)*IF(R1220=0,1,R1220)</f>
        <v>0.61113557231256022</v>
      </c>
      <c r="T1220" s="774">
        <f ca="1">1/(1+Assumptions!$G$421)*IF(S1220=0,1,S1220)</f>
        <v>0.58656439001483862</v>
      </c>
      <c r="U1220" s="774">
        <f ca="1">1/(1+Assumptions!$G$421)*IF(T1220=0,1,T1220)</f>
        <v>0.56298111126399009</v>
      </c>
      <c r="V1220" s="774">
        <f ca="1">1/(1+Assumptions!$G$421)*IF(U1220=0,1,U1220)</f>
        <v>0.54034601662746551</v>
      </c>
      <c r="W1220" s="774">
        <f ca="1">1/(1+Assumptions!$G$421)*IF(V1220=0,1,V1220)</f>
        <v>0.51862098362347797</v>
      </c>
      <c r="X1220" s="774">
        <f ca="1">1/(1+Assumptions!$G$421)*IF(W1220=0,1,W1220)</f>
        <v>0.4977694225143518</v>
      </c>
      <c r="Y1220" s="774">
        <f ca="1">1/(1+Assumptions!$G$421)*IF(X1220=0,1,X1220)</f>
        <v>0.47775621468135004</v>
      </c>
      <c r="Z1220" s="774">
        <f ca="1">1/(1+Assumptions!$G$421)*IF(Y1220=0,1,Y1220)</f>
        <v>0.45854765347719056</v>
      </c>
      <c r="AA1220" s="774">
        <f ca="1">1/(1+Assumptions!$G$421)*IF(Z1220=0,1,Z1220)</f>
        <v>0.44011138745663225</v>
      </c>
      <c r="AB1220" s="774">
        <f ca="1">1/(1+Assumptions!$G$421)*IF(AA1220=0,1,AA1220)</f>
        <v>0.42241636588952025</v>
      </c>
      <c r="AC1220" s="774">
        <f ca="1">1/(1+Assumptions!$G$421)*IF(AB1220=0,1,AB1220)</f>
        <v>0.40543278646452147</v>
      </c>
      <c r="AD1220" s="774">
        <f ca="1">1/(1+Assumptions!$G$421)*IF(AC1220=0,1,AC1220)</f>
        <v>0.38913204509547217</v>
      </c>
      <c r="AE1220" s="774">
        <f ca="1">1/(1+Assumptions!$G$421)*IF(AD1220=0,1,AD1220)</f>
        <v>0.37348668774580057</v>
      </c>
      <c r="AF1220" s="774">
        <f ca="1">1/(1+Assumptions!$G$421)*IF(AE1220=0,1,AE1220)</f>
        <v>0.35847036418988626</v>
      </c>
      <c r="AG1220" s="774">
        <f ca="1">1/(1+Assumptions!$G$421)*IF(AF1220=0,1,AF1220)</f>
        <v>0.34405778363347977</v>
      </c>
      <c r="AH1220" s="774">
        <f ca="1">1/(1+Assumptions!$G$421)*IF(AG1220=0,1,AG1220)</f>
        <v>0.33022467211843837</v>
      </c>
      <c r="AI1220" s="774">
        <f ca="1">1/(1+Assumptions!$G$421)*IF(AH1220=0,1,AH1220)</f>
        <v>0.3169477316400372</v>
      </c>
      <c r="AJ1220" s="774">
        <f ca="1">1/(1+Assumptions!$G$421)*IF(AI1220=0,1,AI1220)</f>
        <v>0.30420460090800105</v>
      </c>
      <c r="AK1220" s="774">
        <f ca="1">1/(1+Assumptions!$G$421)*IF(AJ1220=0,1,AJ1220)</f>
        <v>0.29197381768516933</v>
      </c>
      <c r="AL1220" s="774">
        <f ca="1">1/(1+Assumptions!$G$421)*IF(AK1220=0,1,AK1220)</f>
        <v>0.28023478264036444</v>
      </c>
      <c r="AM1220" s="774">
        <f ca="1">1/(1+Assumptions!$G$421)*IF(AL1220=0,1,AL1220)</f>
        <v>0.26896772465458391</v>
      </c>
      <c r="AN1220" s="774">
        <f ca="1">1/(1+Assumptions!$G$421)*IF(AM1220=0,1,AM1220)</f>
        <v>0.2581536675220838</v>
      </c>
      <c r="AO1220" s="774">
        <f ca="1">1/(1+Assumptions!$G$421)*IF(AN1220=0,1,AN1220)</f>
        <v>0.24777439799027134</v>
      </c>
      <c r="AP1220" s="774">
        <f ca="1">1/(1+Assumptions!$G$421)*IF(AO1220=0,1,AO1220)</f>
        <v>0.23781243508457836</v>
      </c>
      <c r="AQ1220" s="774">
        <f ca="1">1/(1+Assumptions!$G$421)*IF(AP1220=0,1,AP1220)</f>
        <v>0.2282510006666523</v>
      </c>
      <c r="AR1220" s="774">
        <f ca="1">1/(1+Assumptions!$G$421)*IF(AQ1220=0,1,AQ1220)</f>
        <v>0.21907399117627802</v>
      </c>
      <c r="AS1220" s="774">
        <f ca="1">1/(1+Assumptions!$G$421)*IF(AR1220=0,1,AR1220)</f>
        <v>0.21026595050943767</v>
      </c>
      <c r="AT1220" s="774">
        <f ca="1">1/(1+Assumptions!$G$421)*IF(AS1220=0,1,AS1220)</f>
        <v>0.20181204398682939</v>
      </c>
      <c r="AU1220" s="774">
        <f ca="1">1/(1+Assumptions!$G$421)*IF(AT1220=0,1,AT1220)</f>
        <v>0.1936980333690019</v>
      </c>
      <c r="AV1220" s="774">
        <f ca="1">1/(1+Assumptions!$G$421)*IF(AU1220=0,1,AU1220)</f>
        <v>0.18591025287602522</v>
      </c>
      <c r="AW1220" s="774">
        <f ca="1">1/(1+Assumptions!$G$421)*IF(AV1220=0,1,AV1220)</f>
        <v>0.17843558617130909</v>
      </c>
      <c r="AX1220" s="774">
        <f ca="1">1/(1+Assumptions!$G$421)*IF(AW1220=0,1,AW1220)</f>
        <v>0.17126144427080506</v>
      </c>
      <c r="AY1220" s="774">
        <f ca="1">1/(1+Assumptions!$G$421)*IF(AX1220=0,1,AX1220)</f>
        <v>0.16437574434038627</v>
      </c>
      <c r="AZ1220" s="774">
        <f ca="1">1/(1+Assumptions!$G$421)*IF(AY1220=0,1,AY1220)</f>
        <v>0.1577668893456951</v>
      </c>
      <c r="BA1220" s="774">
        <f ca="1">1/(1+Assumptions!$G$421)*IF(AZ1220=0,1,AZ1220)</f>
        <v>0.15142374852018459</v>
      </c>
      <c r="BB1220" s="774">
        <f ca="1">1/(1+Assumptions!$G$421)*IF(BA1220=0,1,BA1220)</f>
        <v>0.14533563861845741</v>
      </c>
      <c r="BC1220" s="774">
        <f ca="1">1/(1+Assumptions!$G$421)*IF(BB1220=0,1,BB1220)</f>
        <v>0.13949230592332915</v>
      </c>
      <c r="BD1220" s="774">
        <f ca="1">1/(1+Assumptions!$G$421)*IF(BC1220=0,1,BC1220)</f>
        <v>0.13388390897631147</v>
      </c>
      <c r="BE1220" s="774">
        <f ca="1">1/(1+Assumptions!$G$421)*IF(BD1220=0,1,BD1220)</f>
        <v>0.1285010020024297</v>
      </c>
      <c r="BF1220" s="774">
        <f ca="1">1/(1+Assumptions!$G$421)*IF(BE1220=0,1,BE1220)</f>
        <v>0.1233345190014586</v>
      </c>
      <c r="BG1220" s="774">
        <f ca="1">1/(1+Assumptions!$G$421)*IF(BF1220=0,1,BF1220)</f>
        <v>0.11837575847878241</v>
      </c>
      <c r="BH1220" s="774">
        <f ca="1">1/(1+Assumptions!$G$421)*IF(BG1220=0,1,BG1220)</f>
        <v>0.11361636879016251</v>
      </c>
      <c r="BI1220" s="774">
        <f ca="1">1/(1+Assumptions!$G$421)*IF(BH1220=0,1,BH1220)</f>
        <v>0.10904833407573018</v>
      </c>
      <c r="BJ1220" s="774">
        <f ca="1">1/(1+Assumptions!$G$421)*IF(BI1220=0,1,BI1220)</f>
        <v>0.10466396075951413</v>
      </c>
      <c r="BK1220" s="774">
        <f ca="1">1/(1+Assumptions!$G$421)*IF(BJ1220=0,1,BJ1220)</f>
        <v>0.10045586459176509</v>
      </c>
      <c r="BL1220" s="774">
        <f ca="1">1/(1+Assumptions!$G$421)*IF(BK1220=0,1,BK1220)</f>
        <v>9.6416958212253781E-2</v>
      </c>
      <c r="BM1220" s="774">
        <f ca="1">1/(1+Assumptions!$G$421)*IF(BL1220=0,1,BL1220)</f>
        <v>9.254043921359624E-2</v>
      </c>
      <c r="BN1220" s="774">
        <f ca="1">1/(1+Assumptions!$G$421)*IF(BM1220=0,1,BM1220)</f>
        <v>8.8819778684502429E-2</v>
      </c>
      <c r="BO1220" s="774">
        <f ca="1">1/(1+Assumptions!$G$421)*IF(BN1220=0,1,BN1220)</f>
        <v>8.5248710213652532E-2</v>
      </c>
      <c r="BP1220" s="774">
        <f ca="1">1/(1+Assumptions!$G$421)*IF(BO1220=0,1,BO1220)</f>
        <v>8.1821219335680859E-2</v>
      </c>
      <c r="BQ1220" s="774">
        <f ca="1">1/(1+Assumptions!$G$421)*IF(BP1220=0,1,BP1220)</f>
        <v>7.853153340149234E-2</v>
      </c>
      <c r="BR1220" s="774">
        <f ca="1">1/(1+Assumptions!$G$421)*IF(BQ1220=0,1,BQ1220)</f>
        <v>7.5374111855850759E-2</v>
      </c>
      <c r="BS1220" s="774">
        <f ca="1">1/(1+Assumptions!$G$421)*IF(BR1220=0,1,BR1220)</f>
        <v>7.2343636905864109E-2</v>
      </c>
      <c r="BT1220" s="774">
        <f ca="1">1/(1+Assumptions!$G$421)*IF(BS1220=0,1,BS1220)</f>
        <v>6.943500456465089E-2</v>
      </c>
      <c r="BU1220" s="774">
        <f ca="1">1/(1+Assumptions!$G$421)*IF(BT1220=0,1,BT1220)</f>
        <v>6.6643316055102639E-2</v>
      </c>
      <c r="BV1220" s="774">
        <f ca="1">1/(1+Assumptions!$G$421)*IF(BU1220=0,1,BU1220)</f>
        <v>6.396386955926503E-2</v>
      </c>
      <c r="BW1220" s="774">
        <f ca="1">1/(1+Assumptions!$G$421)*IF(BV1220=0,1,BV1220)</f>
        <v>6.1392152299441428E-2</v>
      </c>
      <c r="BX1220" s="774">
        <f ca="1">1/(1+Assumptions!$G$421)*IF(BW1220=0,1,BW1220)</f>
        <v>5.8923832937681934E-2</v>
      </c>
      <c r="BY1220" s="774">
        <f ca="1">1/(1+Assumptions!$G$421)*IF(BX1220=0,1,BX1220)</f>
        <v>5.6554754280856843E-2</v>
      </c>
    </row>
    <row r="1221" spans="5:77" s="771" customFormat="1" outlineLevel="1">
      <c r="E1221" t="s">
        <v>617</v>
      </c>
      <c r="F1221" s="772" t="s">
        <v>549</v>
      </c>
      <c r="G1221"/>
      <c r="H1221" s="21">
        <f t="shared" ref="H1221:AM1221" ca="1" si="2482">+IFERROR(H1219*H1220*(H216-H750),0)</f>
        <v>0</v>
      </c>
      <c r="I1221" s="21">
        <f t="shared" ca="1" si="2482"/>
        <v>0</v>
      </c>
      <c r="J1221" s="21">
        <f t="shared" ca="1" si="2482"/>
        <v>0</v>
      </c>
      <c r="K1221" s="21">
        <f t="shared" ca="1" si="2482"/>
        <v>0</v>
      </c>
      <c r="L1221" s="21">
        <f t="shared" ca="1" si="2482"/>
        <v>0</v>
      </c>
      <c r="M1221" s="21">
        <f t="shared" ca="1" si="2482"/>
        <v>0</v>
      </c>
      <c r="N1221" s="21">
        <f t="shared" ca="1" si="2482"/>
        <v>0</v>
      </c>
      <c r="O1221" s="21">
        <f t="shared" ca="1" si="2482"/>
        <v>0</v>
      </c>
      <c r="P1221" s="21">
        <f t="shared" ca="1" si="2482"/>
        <v>0</v>
      </c>
      <c r="Q1221" s="21">
        <f t="shared" ca="1" si="2482"/>
        <v>0</v>
      </c>
      <c r="R1221" s="21">
        <f t="shared" ca="1" si="2482"/>
        <v>0</v>
      </c>
      <c r="S1221" s="21">
        <f t="shared" ca="1" si="2482"/>
        <v>0</v>
      </c>
      <c r="T1221" s="21">
        <f t="shared" ca="1" si="2482"/>
        <v>0</v>
      </c>
      <c r="U1221" s="21">
        <f t="shared" ca="1" si="2482"/>
        <v>0</v>
      </c>
      <c r="V1221" s="21">
        <f t="shared" ca="1" si="2482"/>
        <v>0</v>
      </c>
      <c r="W1221" s="21">
        <f t="shared" ca="1" si="2482"/>
        <v>0</v>
      </c>
      <c r="X1221" s="21">
        <f t="shared" ca="1" si="2482"/>
        <v>0</v>
      </c>
      <c r="Y1221" s="21">
        <f t="shared" ca="1" si="2482"/>
        <v>0</v>
      </c>
      <c r="Z1221" s="21">
        <f t="shared" ca="1" si="2482"/>
        <v>0</v>
      </c>
      <c r="AA1221" s="21">
        <f t="shared" ca="1" si="2482"/>
        <v>0</v>
      </c>
      <c r="AB1221" s="21">
        <f t="shared" ca="1" si="2482"/>
        <v>0</v>
      </c>
      <c r="AC1221" s="21">
        <f t="shared" ca="1" si="2482"/>
        <v>0</v>
      </c>
      <c r="AD1221" s="21">
        <f t="shared" ca="1" si="2482"/>
        <v>0</v>
      </c>
      <c r="AE1221" s="21">
        <f t="shared" ca="1" si="2482"/>
        <v>0</v>
      </c>
      <c r="AF1221" s="21">
        <f t="shared" ca="1" si="2482"/>
        <v>0</v>
      </c>
      <c r="AG1221" s="21">
        <f t="shared" ca="1" si="2482"/>
        <v>0</v>
      </c>
      <c r="AH1221" s="21">
        <f t="shared" ca="1" si="2482"/>
        <v>0</v>
      </c>
      <c r="AI1221" s="21">
        <f t="shared" ca="1" si="2482"/>
        <v>0</v>
      </c>
      <c r="AJ1221" s="21">
        <f t="shared" ca="1" si="2482"/>
        <v>0</v>
      </c>
      <c r="AK1221" s="21">
        <f t="shared" ca="1" si="2482"/>
        <v>0</v>
      </c>
      <c r="AL1221" s="21">
        <f t="shared" ca="1" si="2482"/>
        <v>0</v>
      </c>
      <c r="AM1221" s="21">
        <f t="shared" ca="1" si="2482"/>
        <v>0</v>
      </c>
      <c r="AN1221" s="21">
        <f t="shared" ref="AN1221:BS1221" ca="1" si="2483">+IFERROR(AN1219*AN1220*(AN216-AN750),0)</f>
        <v>0</v>
      </c>
      <c r="AO1221" s="21">
        <f t="shared" ca="1" si="2483"/>
        <v>0</v>
      </c>
      <c r="AP1221" s="21">
        <f t="shared" ca="1" si="2483"/>
        <v>0</v>
      </c>
      <c r="AQ1221" s="21">
        <f t="shared" ca="1" si="2483"/>
        <v>0</v>
      </c>
      <c r="AR1221" s="21">
        <f t="shared" ca="1" si="2483"/>
        <v>0</v>
      </c>
      <c r="AS1221" s="21">
        <f t="shared" ca="1" si="2483"/>
        <v>0</v>
      </c>
      <c r="AT1221" s="21">
        <f t="shared" ca="1" si="2483"/>
        <v>0</v>
      </c>
      <c r="AU1221" s="21">
        <f t="shared" ca="1" si="2483"/>
        <v>0</v>
      </c>
      <c r="AV1221" s="21">
        <f t="shared" ca="1" si="2483"/>
        <v>0</v>
      </c>
      <c r="AW1221" s="21">
        <f t="shared" ca="1" si="2483"/>
        <v>0</v>
      </c>
      <c r="AX1221" s="21">
        <f t="shared" ca="1" si="2483"/>
        <v>0</v>
      </c>
      <c r="AY1221" s="21">
        <f t="shared" ca="1" si="2483"/>
        <v>0</v>
      </c>
      <c r="AZ1221" s="21">
        <f t="shared" ca="1" si="2483"/>
        <v>0</v>
      </c>
      <c r="BA1221" s="21">
        <f t="shared" ca="1" si="2483"/>
        <v>0</v>
      </c>
      <c r="BB1221" s="21">
        <f t="shared" ca="1" si="2483"/>
        <v>0</v>
      </c>
      <c r="BC1221" s="21">
        <f t="shared" ca="1" si="2483"/>
        <v>0</v>
      </c>
      <c r="BD1221" s="21">
        <f t="shared" ca="1" si="2483"/>
        <v>0</v>
      </c>
      <c r="BE1221" s="21">
        <f t="shared" ca="1" si="2483"/>
        <v>0</v>
      </c>
      <c r="BF1221" s="21">
        <f t="shared" ca="1" si="2483"/>
        <v>0</v>
      </c>
      <c r="BG1221" s="21">
        <f t="shared" ca="1" si="2483"/>
        <v>0</v>
      </c>
      <c r="BH1221" s="21">
        <f t="shared" ca="1" si="2483"/>
        <v>0</v>
      </c>
      <c r="BI1221" s="21">
        <f t="shared" ca="1" si="2483"/>
        <v>0</v>
      </c>
      <c r="BJ1221" s="21">
        <f t="shared" ca="1" si="2483"/>
        <v>0</v>
      </c>
      <c r="BK1221" s="21">
        <f t="shared" ca="1" si="2483"/>
        <v>0</v>
      </c>
      <c r="BL1221" s="21">
        <f t="shared" ca="1" si="2483"/>
        <v>0</v>
      </c>
      <c r="BM1221" s="21">
        <f t="shared" ca="1" si="2483"/>
        <v>0</v>
      </c>
      <c r="BN1221" s="21">
        <f t="shared" ca="1" si="2483"/>
        <v>0</v>
      </c>
      <c r="BO1221" s="21">
        <f t="shared" ca="1" si="2483"/>
        <v>0</v>
      </c>
      <c r="BP1221" s="21">
        <f t="shared" ca="1" si="2483"/>
        <v>0</v>
      </c>
      <c r="BQ1221" s="21">
        <f t="shared" ca="1" si="2483"/>
        <v>0</v>
      </c>
      <c r="BR1221" s="21">
        <f t="shared" ca="1" si="2483"/>
        <v>0</v>
      </c>
      <c r="BS1221" s="21">
        <f t="shared" ca="1" si="2483"/>
        <v>0</v>
      </c>
      <c r="BT1221" s="21">
        <f t="shared" ref="BT1221:BY1221" ca="1" si="2484">+IFERROR(BT1219*BT1220*(BT216-BT750),0)</f>
        <v>0</v>
      </c>
      <c r="BU1221" s="21">
        <f t="shared" ca="1" si="2484"/>
        <v>0</v>
      </c>
      <c r="BV1221" s="21">
        <f t="shared" ca="1" si="2484"/>
        <v>0</v>
      </c>
      <c r="BW1221" s="21">
        <f t="shared" ca="1" si="2484"/>
        <v>0</v>
      </c>
      <c r="BX1221" s="21">
        <f t="shared" ca="1" si="2484"/>
        <v>0</v>
      </c>
      <c r="BY1221" s="21">
        <f t="shared" ca="1" si="2484"/>
        <v>0</v>
      </c>
    </row>
    <row r="1222" spans="5:77" s="771" customFormat="1" outlineLevel="1">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row>
    <row r="1223" spans="5:77" s="771" customFormat="1" outlineLevel="1">
      <c r="E1223" t="s">
        <v>618</v>
      </c>
      <c r="F1223" s="772" t="s">
        <v>549</v>
      </c>
      <c r="G1223"/>
      <c r="H1223" s="137">
        <f>IFERROR(-+IF(Assumptions!$G$418="Manual",Assumptions!$G$419*H1220*H191*H185,0),0)</f>
        <v>0</v>
      </c>
      <c r="I1223" s="137">
        <f>IFERROR(-+IF(Assumptions!$G$418="Manual",Assumptions!$G$419*I1220*I191*I185,0),0)</f>
        <v>0</v>
      </c>
      <c r="J1223" s="137">
        <f>IFERROR(-+IF(Assumptions!$G$418="Manual",Assumptions!$G$419*J1220*J191*J185,0),0)</f>
        <v>0</v>
      </c>
      <c r="K1223" s="137">
        <f>IFERROR(-+IF(Assumptions!$G$418="Manual",Assumptions!$G$419*K1220*K191*K185,0),0)</f>
        <v>0</v>
      </c>
      <c r="L1223" s="137">
        <f>IFERROR(-+IF(Assumptions!$G$418="Manual",Assumptions!$G$419*L1220*L191*L185,0),0)</f>
        <v>0</v>
      </c>
      <c r="M1223" s="137">
        <f>IFERROR(-+IF(Assumptions!$G$418="Manual",Assumptions!$G$419*M1220*M191*M185,0),0)</f>
        <v>0</v>
      </c>
      <c r="N1223" s="137">
        <f>IFERROR(-+IF(Assumptions!$G$418="Manual",Assumptions!$G$419*N1220*N191*N185,0),0)</f>
        <v>0</v>
      </c>
      <c r="O1223" s="137">
        <f>IFERROR(-+IF(Assumptions!$G$418="Manual",Assumptions!$G$419*O1220*O191*O185,0),0)</f>
        <v>0</v>
      </c>
      <c r="P1223" s="137">
        <f>IFERROR(-+IF(Assumptions!$G$418="Manual",Assumptions!$G$419*P1220*P191*P185,0),0)</f>
        <v>0</v>
      </c>
      <c r="Q1223" s="137">
        <f>IFERROR(-+IF(Assumptions!$G$418="Manual",Assumptions!$G$419*Q1220*Q191*Q185,0),0)</f>
        <v>0</v>
      </c>
      <c r="R1223" s="137">
        <f>IFERROR(-+IF(Assumptions!$G$418="Manual",Assumptions!$G$419*R1220*R191*R185,0),0)</f>
        <v>0</v>
      </c>
      <c r="S1223" s="137">
        <f>IFERROR(-+IF(Assumptions!$G$418="Manual",Assumptions!$G$419*S1220*S191*S185,0),0)</f>
        <v>0</v>
      </c>
      <c r="T1223" s="137">
        <f>IFERROR(-+IF(Assumptions!$G$418="Manual",Assumptions!$G$419*T1220*T191*T185,0),0)</f>
        <v>0</v>
      </c>
      <c r="U1223" s="137">
        <f>IFERROR(-+IF(Assumptions!$G$418="Manual",Assumptions!$G$419*U1220*U191*U185,0),0)</f>
        <v>0</v>
      </c>
      <c r="V1223" s="137">
        <f>IFERROR(-+IF(Assumptions!$G$418="Manual",Assumptions!$G$419*V1220*V191*V185,0),0)</f>
        <v>0</v>
      </c>
      <c r="W1223" s="137">
        <f>IFERROR(-+IF(Assumptions!$G$418="Manual",Assumptions!$G$419*W1220*W191*W185,0),0)</f>
        <v>0</v>
      </c>
      <c r="X1223" s="137">
        <f>IFERROR(-+IF(Assumptions!$G$418="Manual",Assumptions!$G$419*X1220*X191*X185,0),0)</f>
        <v>0</v>
      </c>
      <c r="Y1223" s="137">
        <f>IFERROR(-+IF(Assumptions!$G$418="Manual",Assumptions!$G$419*Y1220*Y191*Y185,0),0)</f>
        <v>0</v>
      </c>
      <c r="Z1223" s="137">
        <f>IFERROR(-+IF(Assumptions!$G$418="Manual",Assumptions!$G$419*Z1220*Z191*Z185,0),0)</f>
        <v>0</v>
      </c>
      <c r="AA1223" s="137">
        <f>IFERROR(-+IF(Assumptions!$G$418="Manual",Assumptions!$G$419*AA1220*AA191*AA185,0),0)</f>
        <v>0</v>
      </c>
      <c r="AB1223" s="137">
        <f>IFERROR(-+IF(Assumptions!$G$418="Manual",Assumptions!$G$419*AB1220*AB191*AB185,0),0)</f>
        <v>0</v>
      </c>
      <c r="AC1223" s="137">
        <f>IFERROR(-+IF(Assumptions!$G$418="Manual",Assumptions!$G$419*AC1220*AC191*AC185,0),0)</f>
        <v>0</v>
      </c>
      <c r="AD1223" s="137">
        <f>IFERROR(-+IF(Assumptions!$G$418="Manual",Assumptions!$G$419*AD1220*AD191*AD185,0),0)</f>
        <v>0</v>
      </c>
      <c r="AE1223" s="137">
        <f>IFERROR(-+IF(Assumptions!$G$418="Manual",Assumptions!$G$419*AE1220*AE191*AE185,0),0)</f>
        <v>0</v>
      </c>
      <c r="AF1223" s="137">
        <f>IFERROR(-+IF(Assumptions!$G$418="Manual",Assumptions!$G$419*AF1220*AF191*AF185,0),0)</f>
        <v>0</v>
      </c>
      <c r="AG1223" s="137">
        <f>IFERROR(-+IF(Assumptions!$G$418="Manual",Assumptions!$G$419*AG1220*AG191*AG185,0),0)</f>
        <v>0</v>
      </c>
      <c r="AH1223" s="137">
        <f>IFERROR(-+IF(Assumptions!$G$418="Manual",Assumptions!$G$419*AH1220*AH191*AH185,0),0)</f>
        <v>0</v>
      </c>
      <c r="AI1223" s="137">
        <f>IFERROR(-+IF(Assumptions!$G$418="Manual",Assumptions!$G$419*AI1220*AI191*AI185,0),0)</f>
        <v>0</v>
      </c>
      <c r="AJ1223" s="137">
        <f>IFERROR(-+IF(Assumptions!$G$418="Manual",Assumptions!$G$419*AJ1220*AJ191*AJ185,0),0)</f>
        <v>0</v>
      </c>
      <c r="AK1223" s="137">
        <f>IFERROR(-+IF(Assumptions!$G$418="Manual",Assumptions!$G$419*AK1220*AK191*AK185,0),0)</f>
        <v>0</v>
      </c>
      <c r="AL1223" s="137">
        <f>IFERROR(-+IF(Assumptions!$G$418="Manual",Assumptions!$G$419*AL1220*AL191*AL185,0),0)</f>
        <v>0</v>
      </c>
      <c r="AM1223" s="137">
        <f>IFERROR(-+IF(Assumptions!$G$418="Manual",Assumptions!$G$419*AM1220*AM191*AM185,0),0)</f>
        <v>0</v>
      </c>
      <c r="AN1223" s="137">
        <f>IFERROR(-+IF(Assumptions!$G$418="Manual",Assumptions!$G$419*AN1220*AN191*AN185,0),0)</f>
        <v>0</v>
      </c>
      <c r="AO1223" s="137">
        <f>IFERROR(-+IF(Assumptions!$G$418="Manual",Assumptions!$G$419*AO1220*AO191*AO185,0),0)</f>
        <v>0</v>
      </c>
      <c r="AP1223" s="137">
        <f>IFERROR(-+IF(Assumptions!$G$418="Manual",Assumptions!$G$419*AP1220*AP191*AP185,0),0)</f>
        <v>0</v>
      </c>
      <c r="AQ1223" s="137">
        <f>IFERROR(-+IF(Assumptions!$G$418="Manual",Assumptions!$G$419*AQ1220*AQ191*AQ185,0),0)</f>
        <v>0</v>
      </c>
      <c r="AR1223" s="137">
        <f>IFERROR(-+IF(Assumptions!$G$418="Manual",Assumptions!$G$419*AR1220*AR191*AR185,0),0)</f>
        <v>0</v>
      </c>
      <c r="AS1223" s="137">
        <f>IFERROR(-+IF(Assumptions!$G$418="Manual",Assumptions!$G$419*AS1220*AS191*AS185,0),0)</f>
        <v>0</v>
      </c>
      <c r="AT1223" s="137">
        <f>IFERROR(-+IF(Assumptions!$G$418="Manual",Assumptions!$G$419*AT1220*AT191*AT185,0),0)</f>
        <v>0</v>
      </c>
      <c r="AU1223" s="137">
        <f>IFERROR(-+IF(Assumptions!$G$418="Manual",Assumptions!$G$419*AU1220*AU191*AU185,0),0)</f>
        <v>0</v>
      </c>
      <c r="AV1223" s="137">
        <f>IFERROR(-+IF(Assumptions!$G$418="Manual",Assumptions!$G$419*AV1220*AV191*AV185,0),0)</f>
        <v>0</v>
      </c>
      <c r="AW1223" s="137">
        <f>IFERROR(-+IF(Assumptions!$G$418="Manual",Assumptions!$G$419*AW1220*AW191*AW185,0),0)</f>
        <v>0</v>
      </c>
      <c r="AX1223" s="137">
        <f>IFERROR(-+IF(Assumptions!$G$418="Manual",Assumptions!$G$419*AX1220*AX191*AX185,0),0)</f>
        <v>0</v>
      </c>
      <c r="AY1223" s="137">
        <f>IFERROR(-+IF(Assumptions!$G$418="Manual",Assumptions!$G$419*AY1220*AY191*AY185,0),0)</f>
        <v>0</v>
      </c>
      <c r="AZ1223" s="137">
        <f>IFERROR(-+IF(Assumptions!$G$418="Manual",Assumptions!$G$419*AZ1220*AZ191*AZ185,0),0)</f>
        <v>0</v>
      </c>
      <c r="BA1223" s="137">
        <f>IFERROR(-+IF(Assumptions!$G$418="Manual",Assumptions!$G$419*BA1220*BA191*BA185,0),0)</f>
        <v>0</v>
      </c>
      <c r="BB1223" s="137">
        <f>IFERROR(-+IF(Assumptions!$G$418="Manual",Assumptions!$G$419*BB1220*BB191*BB185,0),0)</f>
        <v>0</v>
      </c>
      <c r="BC1223" s="137">
        <f>IFERROR(-+IF(Assumptions!$G$418="Manual",Assumptions!$G$419*BC1220*BC191*BC185,0),0)</f>
        <v>0</v>
      </c>
      <c r="BD1223" s="137">
        <f>IFERROR(-+IF(Assumptions!$G$418="Manual",Assumptions!$G$419*BD1220*BD191*BD185,0),0)</f>
        <v>0</v>
      </c>
      <c r="BE1223" s="137">
        <f>IFERROR(-+IF(Assumptions!$G$418="Manual",Assumptions!$G$419*BE1220*BE191*BE185,0),0)</f>
        <v>0</v>
      </c>
      <c r="BF1223" s="137">
        <f>IFERROR(-+IF(Assumptions!$G$418="Manual",Assumptions!$G$419*BF1220*BF191*BF185,0),0)</f>
        <v>0</v>
      </c>
      <c r="BG1223" s="137">
        <f>IFERROR(-+IF(Assumptions!$G$418="Manual",Assumptions!$G$419*BG1220*BG191*BG185,0),0)</f>
        <v>0</v>
      </c>
      <c r="BH1223" s="137">
        <f>IFERROR(-+IF(Assumptions!$G$418="Manual",Assumptions!$G$419*BH1220*BH191*BH185,0),0)</f>
        <v>0</v>
      </c>
      <c r="BI1223" s="137">
        <f>IFERROR(-+IF(Assumptions!$G$418="Manual",Assumptions!$G$419*BI1220*BI191*BI185,0),0)</f>
        <v>0</v>
      </c>
      <c r="BJ1223" s="137">
        <f>IFERROR(-+IF(Assumptions!$G$418="Manual",Assumptions!$G$419*BJ1220*BJ191*BJ185,0),0)</f>
        <v>0</v>
      </c>
      <c r="BK1223" s="137">
        <f>IFERROR(-+IF(Assumptions!$G$418="Manual",Assumptions!$G$419*BK1220*BK191*BK185,0),0)</f>
        <v>0</v>
      </c>
      <c r="BL1223" s="137">
        <f>IFERROR(-+IF(Assumptions!$G$418="Manual",Assumptions!$G$419*BL1220*BL191*BL185,0),0)</f>
        <v>0</v>
      </c>
      <c r="BM1223" s="137">
        <f>IFERROR(-+IF(Assumptions!$G$418="Manual",Assumptions!$G$419*BM1220*BM191*BM185,0),0)</f>
        <v>0</v>
      </c>
      <c r="BN1223" s="137">
        <f>IFERROR(-+IF(Assumptions!$G$418="Manual",Assumptions!$G$419*BN1220*BN191*BN185,0),0)</f>
        <v>0</v>
      </c>
      <c r="BO1223" s="137">
        <f>IFERROR(-+IF(Assumptions!$G$418="Manual",Assumptions!$G$419*BO1220*BO191*BO185,0),0)</f>
        <v>0</v>
      </c>
      <c r="BP1223" s="137">
        <f>IFERROR(-+IF(Assumptions!$G$418="Manual",Assumptions!$G$419*BP1220*BP191*BP185,0),0)</f>
        <v>0</v>
      </c>
      <c r="BQ1223" s="137">
        <f>IFERROR(-+IF(Assumptions!$G$418="Manual",Assumptions!$G$419*BQ1220*BQ191*BQ185,0),0)</f>
        <v>0</v>
      </c>
      <c r="BR1223" s="137">
        <f>IFERROR(-+IF(Assumptions!$G$418="Manual",Assumptions!$G$419*BR1220*BR191*BR185,0),0)</f>
        <v>0</v>
      </c>
      <c r="BS1223" s="137">
        <f>IFERROR(-+IF(Assumptions!$G$418="Manual",Assumptions!$G$419*BS1220*BS191*BS185,0),0)</f>
        <v>0</v>
      </c>
      <c r="BT1223" s="137">
        <f>IFERROR(-+IF(Assumptions!$G$418="Manual",Assumptions!$G$419*BT1220*BT191*BT185,0),0)</f>
        <v>0</v>
      </c>
      <c r="BU1223" s="137">
        <f>IFERROR(-+IF(Assumptions!$G$418="Manual",Assumptions!$G$419*BU1220*BU191*BU185,0),0)</f>
        <v>0</v>
      </c>
      <c r="BV1223" s="137">
        <f>IFERROR(-+IF(Assumptions!$G$418="Manual",Assumptions!$G$419*BV1220*BV191*BV185,0),0)</f>
        <v>0</v>
      </c>
      <c r="BW1223" s="137">
        <f>IFERROR(-+IF(Assumptions!$G$418="Manual",Assumptions!$G$419*BW1220*BW191*BW185,0),0)</f>
        <v>0</v>
      </c>
      <c r="BX1223" s="137">
        <f>IFERROR(-+IF(Assumptions!$G$418="Manual",Assumptions!$G$419*BX1220*BX191*BX185,0),0)</f>
        <v>0</v>
      </c>
      <c r="BY1223" s="137">
        <f>IFERROR(-+IF(Assumptions!$G$418="Manual",Assumptions!$G$419*BY1220*BY191*BY185,0),0)</f>
        <v>0</v>
      </c>
    </row>
    <row r="1224" spans="5:77" s="771" customFormat="1" ht="15" outlineLevel="1">
      <c r="E1224" s="22"/>
      <c r="F1224" s="772"/>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row>
    <row r="1225" spans="5:77" s="771" customFormat="1" outlineLevel="1">
      <c r="E1225" t="s">
        <v>615</v>
      </c>
      <c r="F1225" s="772" t="s">
        <v>549</v>
      </c>
      <c r="G1225"/>
      <c r="H1225" s="137">
        <f ca="1">+SUM(H1221:BY1221)+SUM(H1223:BY1223)</f>
        <v>0</v>
      </c>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row>
    <row r="1226" spans="5:77" s="771" customFormat="1" outlineLevel="1">
      <c r="E1226"/>
      <c r="F1226" s="772"/>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row>
    <row r="1227" spans="5:77" s="771" customFormat="1" ht="15" outlineLevel="1">
      <c r="E1227" s="22" t="s">
        <v>366</v>
      </c>
      <c r="F1227" s="772"/>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row>
    <row r="1228" spans="5:77" s="771" customFormat="1" outlineLevel="1">
      <c r="E1228" t="s">
        <v>612</v>
      </c>
      <c r="F1228" s="772" t="s">
        <v>178</v>
      </c>
      <c r="G1228"/>
      <c r="H1228" s="773">
        <f>+IF(Assumptions!$G$424="Share",Assumptions!$G$426,0)</f>
        <v>0</v>
      </c>
      <c r="I1228" s="773">
        <f>+IF(Assumptions!$G$424="Share",Assumptions!$G$426,0)</f>
        <v>0</v>
      </c>
      <c r="J1228" s="773">
        <f>+IF(Assumptions!$G$424="Share",Assumptions!$G$426,0)</f>
        <v>0</v>
      </c>
      <c r="K1228" s="773">
        <f>+IF(Assumptions!$G$424="Share",Assumptions!$G$426,0)</f>
        <v>0</v>
      </c>
      <c r="L1228" s="773">
        <f>+IF(Assumptions!$G$424="Share",Assumptions!$G$426,0)</f>
        <v>0</v>
      </c>
      <c r="M1228" s="773">
        <f>+IF(Assumptions!$G$424="Share",Assumptions!$G$426,0)</f>
        <v>0</v>
      </c>
      <c r="N1228" s="773">
        <f>+IF(Assumptions!$G$424="Share",Assumptions!$G$426,0)</f>
        <v>0</v>
      </c>
      <c r="O1228" s="773">
        <f>+IF(Assumptions!$G$424="Share",Assumptions!$G$426,0)</f>
        <v>0</v>
      </c>
      <c r="P1228" s="773">
        <f>+IF(Assumptions!$G$424="Share",Assumptions!$G$426,0)</f>
        <v>0</v>
      </c>
      <c r="Q1228" s="773">
        <f>+IF(Assumptions!$G$424="Share",Assumptions!$G$426,0)</f>
        <v>0</v>
      </c>
      <c r="R1228" s="773">
        <f>+IF(Assumptions!$G$424="Share",Assumptions!$G$426,0)</f>
        <v>0</v>
      </c>
      <c r="S1228" s="773">
        <f>+IF(Assumptions!$G$424="Share",Assumptions!$G$426,0)</f>
        <v>0</v>
      </c>
      <c r="T1228" s="773">
        <f>+IF(Assumptions!$G$424="Share",Assumptions!$G$426,0)</f>
        <v>0</v>
      </c>
      <c r="U1228" s="773">
        <f>+IF(Assumptions!$G$424="Share",Assumptions!$G$426,0)</f>
        <v>0</v>
      </c>
      <c r="V1228" s="773">
        <f>+IF(Assumptions!$G$424="Share",Assumptions!$G$426,0)</f>
        <v>0</v>
      </c>
      <c r="W1228" s="773">
        <f>+IF(Assumptions!$G$424="Share",Assumptions!$G$426,0)</f>
        <v>0</v>
      </c>
      <c r="X1228" s="773">
        <f>+IF(Assumptions!$G$424="Share",Assumptions!$G$426,0)</f>
        <v>0</v>
      </c>
      <c r="Y1228" s="773">
        <f>+IF(Assumptions!$G$424="Share",Assumptions!$G$426,0)</f>
        <v>0</v>
      </c>
      <c r="Z1228" s="773">
        <f>+IF(Assumptions!$G$424="Share",Assumptions!$G$426,0)</f>
        <v>0</v>
      </c>
      <c r="AA1228" s="773">
        <f>+IF(Assumptions!$G$424="Share",Assumptions!$G$426,0)</f>
        <v>0</v>
      </c>
      <c r="AB1228" s="773">
        <f>+IF(Assumptions!$G$424="Share",Assumptions!$G$426,0)</f>
        <v>0</v>
      </c>
      <c r="AC1228" s="773">
        <f>+IF(Assumptions!$G$424="Share",Assumptions!$G$426,0)</f>
        <v>0</v>
      </c>
      <c r="AD1228" s="773">
        <f>+IF(Assumptions!$G$424="Share",Assumptions!$G$426,0)</f>
        <v>0</v>
      </c>
      <c r="AE1228" s="773">
        <f>+IF(Assumptions!$G$424="Share",Assumptions!$G$426,0)</f>
        <v>0</v>
      </c>
      <c r="AF1228" s="773">
        <f>+IF(Assumptions!$G$424="Share",Assumptions!$G$426,0)</f>
        <v>0</v>
      </c>
      <c r="AG1228" s="773">
        <f>+IF(Assumptions!$G$424="Share",Assumptions!$G$426,0)</f>
        <v>0</v>
      </c>
      <c r="AH1228" s="773">
        <f>+IF(Assumptions!$G$424="Share",Assumptions!$G$426,0)</f>
        <v>0</v>
      </c>
      <c r="AI1228" s="773">
        <f>+IF(Assumptions!$G$424="Share",Assumptions!$G$426,0)</f>
        <v>0</v>
      </c>
      <c r="AJ1228" s="773">
        <f>+IF(Assumptions!$G$424="Share",Assumptions!$G$426,0)</f>
        <v>0</v>
      </c>
      <c r="AK1228" s="773">
        <f>+IF(Assumptions!$G$424="Share",Assumptions!$G$426,0)</f>
        <v>0</v>
      </c>
      <c r="AL1228" s="773">
        <f>+IF(Assumptions!$G$424="Share",Assumptions!$G$426,0)</f>
        <v>0</v>
      </c>
      <c r="AM1228" s="773">
        <f>+IF(Assumptions!$G$424="Share",Assumptions!$G$426,0)</f>
        <v>0</v>
      </c>
      <c r="AN1228" s="773">
        <f>+IF(Assumptions!$G$424="Share",Assumptions!$G$426,0)</f>
        <v>0</v>
      </c>
      <c r="AO1228" s="773">
        <f>+IF(Assumptions!$G$424="Share",Assumptions!$G$426,0)</f>
        <v>0</v>
      </c>
      <c r="AP1228" s="773">
        <f>+IF(Assumptions!$G$424="Share",Assumptions!$G$426,0)</f>
        <v>0</v>
      </c>
      <c r="AQ1228" s="773">
        <f>+IF(Assumptions!$G$424="Share",Assumptions!$G$426,0)</f>
        <v>0</v>
      </c>
      <c r="AR1228" s="773">
        <f>+IF(Assumptions!$G$424="Share",Assumptions!$G$426,0)</f>
        <v>0</v>
      </c>
      <c r="AS1228" s="773">
        <f>+IF(Assumptions!$G$424="Share",Assumptions!$G$426,0)</f>
        <v>0</v>
      </c>
      <c r="AT1228" s="773">
        <f>+IF(Assumptions!$G$424="Share",Assumptions!$G$426,0)</f>
        <v>0</v>
      </c>
      <c r="AU1228" s="773">
        <f>+IF(Assumptions!$G$424="Share",Assumptions!$G$426,0)</f>
        <v>0</v>
      </c>
      <c r="AV1228" s="773">
        <f>+IF(Assumptions!$G$424="Share",Assumptions!$G$426,0)</f>
        <v>0</v>
      </c>
      <c r="AW1228" s="773">
        <f>+IF(Assumptions!$G$424="Share",Assumptions!$G$426,0)</f>
        <v>0</v>
      </c>
      <c r="AX1228" s="773">
        <f>+IF(Assumptions!$G$424="Share",Assumptions!$G$426,0)</f>
        <v>0</v>
      </c>
      <c r="AY1228" s="773">
        <f>+IF(Assumptions!$G$424="Share",Assumptions!$G$426,0)</f>
        <v>0</v>
      </c>
      <c r="AZ1228" s="773">
        <f>+IF(Assumptions!$G$424="Share",Assumptions!$G$426,0)</f>
        <v>0</v>
      </c>
      <c r="BA1228" s="773">
        <f>+IF(Assumptions!$G$424="Share",Assumptions!$G$426,0)</f>
        <v>0</v>
      </c>
      <c r="BB1228" s="773">
        <f>+IF(Assumptions!$G$424="Share",Assumptions!$G$426,0)</f>
        <v>0</v>
      </c>
      <c r="BC1228" s="773">
        <f>+IF(Assumptions!$G$424="Share",Assumptions!$G$426,0)</f>
        <v>0</v>
      </c>
      <c r="BD1228" s="773">
        <f>+IF(Assumptions!$G$424="Share",Assumptions!$G$426,0)</f>
        <v>0</v>
      </c>
      <c r="BE1228" s="773">
        <f>+IF(Assumptions!$G$424="Share",Assumptions!$G$426,0)</f>
        <v>0</v>
      </c>
      <c r="BF1228" s="773">
        <f>+IF(Assumptions!$G$424="Share",Assumptions!$G$426,0)</f>
        <v>0</v>
      </c>
      <c r="BG1228" s="773">
        <f>+IF(Assumptions!$G$424="Share",Assumptions!$G$426,0)</f>
        <v>0</v>
      </c>
      <c r="BH1228" s="773">
        <f>+IF(Assumptions!$G$424="Share",Assumptions!$G$426,0)</f>
        <v>0</v>
      </c>
      <c r="BI1228" s="773">
        <f>+IF(Assumptions!$G$424="Share",Assumptions!$G$426,0)</f>
        <v>0</v>
      </c>
      <c r="BJ1228" s="773">
        <f>+IF(Assumptions!$G$424="Share",Assumptions!$G$426,0)</f>
        <v>0</v>
      </c>
      <c r="BK1228" s="773">
        <f>+IF(Assumptions!$G$424="Share",Assumptions!$G$426,0)</f>
        <v>0</v>
      </c>
      <c r="BL1228" s="773">
        <f>+IF(Assumptions!$G$424="Share",Assumptions!$G$426,0)</f>
        <v>0</v>
      </c>
      <c r="BM1228" s="773">
        <f>+IF(Assumptions!$G$424="Share",Assumptions!$G$426,0)</f>
        <v>0</v>
      </c>
      <c r="BN1228" s="773">
        <f>+IF(Assumptions!$G$424="Share",Assumptions!$G$426,0)</f>
        <v>0</v>
      </c>
      <c r="BO1228" s="773">
        <f>+IF(Assumptions!$G$424="Share",Assumptions!$G$426,0)</f>
        <v>0</v>
      </c>
      <c r="BP1228" s="773">
        <f>+IF(Assumptions!$G$424="Share",Assumptions!$G$426,0)</f>
        <v>0</v>
      </c>
      <c r="BQ1228" s="773">
        <f>+IF(Assumptions!$G$424="Share",Assumptions!$G$426,0)</f>
        <v>0</v>
      </c>
      <c r="BR1228" s="773">
        <f>+IF(Assumptions!$G$424="Share",Assumptions!$G$426,0)</f>
        <v>0</v>
      </c>
      <c r="BS1228" s="773">
        <f>+IF(Assumptions!$G$424="Share",Assumptions!$G$426,0)</f>
        <v>0</v>
      </c>
      <c r="BT1228" s="773">
        <f>+IF(Assumptions!$G$424="Share",Assumptions!$G$426,0)</f>
        <v>0</v>
      </c>
      <c r="BU1228" s="773">
        <f>+IF(Assumptions!$G$424="Share",Assumptions!$G$426,0)</f>
        <v>0</v>
      </c>
      <c r="BV1228" s="773">
        <f>+IF(Assumptions!$G$424="Share",Assumptions!$G$426,0)</f>
        <v>0</v>
      </c>
      <c r="BW1228" s="773">
        <f>+IF(Assumptions!$G$424="Share",Assumptions!$G$426,0)</f>
        <v>0</v>
      </c>
      <c r="BX1228" s="773">
        <f>+IF(Assumptions!$G$424="Share",Assumptions!$G$426,0)</f>
        <v>0</v>
      </c>
      <c r="BY1228" s="773">
        <f>+IF(Assumptions!$G$424="Share",Assumptions!$G$426,0)</f>
        <v>0</v>
      </c>
    </row>
    <row r="1229" spans="5:77" s="771" customFormat="1" outlineLevel="1">
      <c r="E1229" t="s">
        <v>243</v>
      </c>
      <c r="F1229" s="772" t="s">
        <v>423</v>
      </c>
      <c r="G1229"/>
      <c r="H1229" s="774">
        <f ca="1">1/(1+Assumptions!$G$431)*IF(G1229=0,1,G1229)</f>
        <v>0.95979422011920645</v>
      </c>
      <c r="I1229" s="774">
        <f ca="1">1/(1+Assumptions!$G$431)*IF(H1229=0,1,H1229)</f>
        <v>0.92120494497423577</v>
      </c>
      <c r="J1229" s="774">
        <f ca="1">1/(1+Assumptions!$G$431)*IF(I1229=0,1,I1229)</f>
        <v>0.8841671817315031</v>
      </c>
      <c r="K1229" s="774">
        <f ca="1">1/(1+Assumptions!$G$431)*IF(J1229=0,1,J1229)</f>
        <v>0.8486185506449847</v>
      </c>
      <c r="L1229" s="774">
        <f ca="1">1/(1+Assumptions!$G$431)*IF(K1229=0,1,K1229)</f>
        <v>0.81449917999499444</v>
      </c>
      <c r="M1229" s="774">
        <f ca="1">1/(1+Assumptions!$G$431)*IF(L1229=0,1,L1229)</f>
        <v>0.78175160525102882</v>
      </c>
      <c r="N1229" s="774">
        <f ca="1">1/(1+Assumptions!$G$431)*IF(M1229=0,1,M1229)</f>
        <v>0.75032067228884891</v>
      </c>
      <c r="O1229" s="774">
        <f ca="1">1/(1+Assumptions!$G$431)*IF(N1229=0,1,N1229)</f>
        <v>0.72015344449879437</v>
      </c>
      <c r="P1229" s="774">
        <f ca="1">1/(1+Assumptions!$G$431)*IF(O1229=0,1,O1229)</f>
        <v>0.69119911362888053</v>
      </c>
      <c r="Q1229" s="774">
        <f ca="1">1/(1+Assumptions!$G$431)*IF(P1229=0,1,P1229)</f>
        <v>0.66340891421251813</v>
      </c>
      <c r="R1229" s="774">
        <f ca="1">1/(1+Assumptions!$G$431)*IF(Q1229=0,1,Q1229)</f>
        <v>0.63673604143673335</v>
      </c>
      <c r="S1229" s="774">
        <f ca="1">1/(1+Assumptions!$G$431)*IF(R1229=0,1,R1229)</f>
        <v>0.61113557231256022</v>
      </c>
      <c r="T1229" s="774">
        <f ca="1">1/(1+Assumptions!$G$431)*IF(S1229=0,1,S1229)</f>
        <v>0.58656439001483862</v>
      </c>
      <c r="U1229" s="774">
        <f ca="1">1/(1+Assumptions!$G$431)*IF(T1229=0,1,T1229)</f>
        <v>0.56298111126399009</v>
      </c>
      <c r="V1229" s="774">
        <f ca="1">1/(1+Assumptions!$G$431)*IF(U1229=0,1,U1229)</f>
        <v>0.54034601662746551</v>
      </c>
      <c r="W1229" s="774">
        <f ca="1">1/(1+Assumptions!$G$431)*IF(V1229=0,1,V1229)</f>
        <v>0.51862098362347797</v>
      </c>
      <c r="X1229" s="774">
        <f ca="1">1/(1+Assumptions!$G$431)*IF(W1229=0,1,W1229)</f>
        <v>0.4977694225143518</v>
      </c>
      <c r="Y1229" s="774">
        <f ca="1">1/(1+Assumptions!$G$431)*IF(X1229=0,1,X1229)</f>
        <v>0.47775621468135004</v>
      </c>
      <c r="Z1229" s="774">
        <f ca="1">1/(1+Assumptions!$G$431)*IF(Y1229=0,1,Y1229)</f>
        <v>0.45854765347719056</v>
      </c>
      <c r="AA1229" s="774">
        <f ca="1">1/(1+Assumptions!$G$431)*IF(Z1229=0,1,Z1229)</f>
        <v>0.44011138745663225</v>
      </c>
      <c r="AB1229" s="774">
        <f ca="1">1/(1+Assumptions!$G$431)*IF(AA1229=0,1,AA1229)</f>
        <v>0.42241636588952025</v>
      </c>
      <c r="AC1229" s="774">
        <f ca="1">1/(1+Assumptions!$G$431)*IF(AB1229=0,1,AB1229)</f>
        <v>0.40543278646452147</v>
      </c>
      <c r="AD1229" s="774">
        <f ca="1">1/(1+Assumptions!$G$431)*IF(AC1229=0,1,AC1229)</f>
        <v>0.38913204509547217</v>
      </c>
      <c r="AE1229" s="774">
        <f ca="1">1/(1+Assumptions!$G$431)*IF(AD1229=0,1,AD1229)</f>
        <v>0.37348668774580057</v>
      </c>
      <c r="AF1229" s="774">
        <f ca="1">1/(1+Assumptions!$G$431)*IF(AE1229=0,1,AE1229)</f>
        <v>0.35847036418988626</v>
      </c>
      <c r="AG1229" s="774">
        <f ca="1">1/(1+Assumptions!$G$431)*IF(AF1229=0,1,AF1229)</f>
        <v>0.34405778363347977</v>
      </c>
      <c r="AH1229" s="774">
        <f ca="1">1/(1+Assumptions!$G$431)*IF(AG1229=0,1,AG1229)</f>
        <v>0.33022467211843837</v>
      </c>
      <c r="AI1229" s="774">
        <f ca="1">1/(1+Assumptions!$G$431)*IF(AH1229=0,1,AH1229)</f>
        <v>0.3169477316400372</v>
      </c>
      <c r="AJ1229" s="774">
        <f ca="1">1/(1+Assumptions!$G$431)*IF(AI1229=0,1,AI1229)</f>
        <v>0.30420460090800105</v>
      </c>
      <c r="AK1229" s="774">
        <f ca="1">1/(1+Assumptions!$G$431)*IF(AJ1229=0,1,AJ1229)</f>
        <v>0.29197381768516933</v>
      </c>
      <c r="AL1229" s="774">
        <f ca="1">1/(1+Assumptions!$G$431)*IF(AK1229=0,1,AK1229)</f>
        <v>0.28023478264036444</v>
      </c>
      <c r="AM1229" s="774">
        <f ca="1">1/(1+Assumptions!$G$431)*IF(AL1229=0,1,AL1229)</f>
        <v>0.26896772465458391</v>
      </c>
      <c r="AN1229" s="774">
        <f ca="1">1/(1+Assumptions!$G$431)*IF(AM1229=0,1,AM1229)</f>
        <v>0.2581536675220838</v>
      </c>
      <c r="AO1229" s="774">
        <f ca="1">1/(1+Assumptions!$G$431)*IF(AN1229=0,1,AN1229)</f>
        <v>0.24777439799027134</v>
      </c>
      <c r="AP1229" s="774">
        <f ca="1">1/(1+Assumptions!$G$431)*IF(AO1229=0,1,AO1229)</f>
        <v>0.23781243508457836</v>
      </c>
      <c r="AQ1229" s="774">
        <f ca="1">1/(1+Assumptions!$G$431)*IF(AP1229=0,1,AP1229)</f>
        <v>0.2282510006666523</v>
      </c>
      <c r="AR1229" s="774">
        <f ca="1">1/(1+Assumptions!$G$431)*IF(AQ1229=0,1,AQ1229)</f>
        <v>0.21907399117627802</v>
      </c>
      <c r="AS1229" s="774">
        <f ca="1">1/(1+Assumptions!$G$431)*IF(AR1229=0,1,AR1229)</f>
        <v>0.21026595050943767</v>
      </c>
      <c r="AT1229" s="774">
        <f ca="1">1/(1+Assumptions!$G$431)*IF(AS1229=0,1,AS1229)</f>
        <v>0.20181204398682939</v>
      </c>
      <c r="AU1229" s="774">
        <f ca="1">1/(1+Assumptions!$G$431)*IF(AT1229=0,1,AT1229)</f>
        <v>0.1936980333690019</v>
      </c>
      <c r="AV1229" s="774">
        <f ca="1">1/(1+Assumptions!$G$431)*IF(AU1229=0,1,AU1229)</f>
        <v>0.18591025287602522</v>
      </c>
      <c r="AW1229" s="774">
        <f ca="1">1/(1+Assumptions!$G$431)*IF(AV1229=0,1,AV1229)</f>
        <v>0.17843558617130909</v>
      </c>
      <c r="AX1229" s="774">
        <f ca="1">1/(1+Assumptions!$G$431)*IF(AW1229=0,1,AW1229)</f>
        <v>0.17126144427080506</v>
      </c>
      <c r="AY1229" s="774">
        <f ca="1">1/(1+Assumptions!$G$431)*IF(AX1229=0,1,AX1229)</f>
        <v>0.16437574434038627</v>
      </c>
      <c r="AZ1229" s="774">
        <f ca="1">1/(1+Assumptions!$G$431)*IF(AY1229=0,1,AY1229)</f>
        <v>0.1577668893456951</v>
      </c>
      <c r="BA1229" s="774">
        <f ca="1">1/(1+Assumptions!$G$431)*IF(AZ1229=0,1,AZ1229)</f>
        <v>0.15142374852018459</v>
      </c>
      <c r="BB1229" s="774">
        <f ca="1">1/(1+Assumptions!$G$431)*IF(BA1229=0,1,BA1229)</f>
        <v>0.14533563861845741</v>
      </c>
      <c r="BC1229" s="774">
        <f ca="1">1/(1+Assumptions!$G$431)*IF(BB1229=0,1,BB1229)</f>
        <v>0.13949230592332915</v>
      </c>
      <c r="BD1229" s="774">
        <f ca="1">1/(1+Assumptions!$G$431)*IF(BC1229=0,1,BC1229)</f>
        <v>0.13388390897631147</v>
      </c>
      <c r="BE1229" s="774">
        <f ca="1">1/(1+Assumptions!$G$431)*IF(BD1229=0,1,BD1229)</f>
        <v>0.1285010020024297</v>
      </c>
      <c r="BF1229" s="774">
        <f ca="1">1/(1+Assumptions!$G$431)*IF(BE1229=0,1,BE1229)</f>
        <v>0.1233345190014586</v>
      </c>
      <c r="BG1229" s="774">
        <f ca="1">1/(1+Assumptions!$G$431)*IF(BF1229=0,1,BF1229)</f>
        <v>0.11837575847878241</v>
      </c>
      <c r="BH1229" s="774">
        <f ca="1">1/(1+Assumptions!$G$431)*IF(BG1229=0,1,BG1229)</f>
        <v>0.11361636879016251</v>
      </c>
      <c r="BI1229" s="774">
        <f ca="1">1/(1+Assumptions!$G$431)*IF(BH1229=0,1,BH1229)</f>
        <v>0.10904833407573018</v>
      </c>
      <c r="BJ1229" s="774">
        <f ca="1">1/(1+Assumptions!$G$431)*IF(BI1229=0,1,BI1229)</f>
        <v>0.10466396075951413</v>
      </c>
      <c r="BK1229" s="774">
        <f ca="1">1/(1+Assumptions!$G$431)*IF(BJ1229=0,1,BJ1229)</f>
        <v>0.10045586459176509</v>
      </c>
      <c r="BL1229" s="774">
        <f ca="1">1/(1+Assumptions!$G$431)*IF(BK1229=0,1,BK1229)</f>
        <v>9.6416958212253781E-2</v>
      </c>
      <c r="BM1229" s="774">
        <f ca="1">1/(1+Assumptions!$G$431)*IF(BL1229=0,1,BL1229)</f>
        <v>9.254043921359624E-2</v>
      </c>
      <c r="BN1229" s="774">
        <f ca="1">1/(1+Assumptions!$G$431)*IF(BM1229=0,1,BM1229)</f>
        <v>8.8819778684502429E-2</v>
      </c>
      <c r="BO1229" s="774">
        <f ca="1">1/(1+Assumptions!$G$431)*IF(BN1229=0,1,BN1229)</f>
        <v>8.5248710213652532E-2</v>
      </c>
      <c r="BP1229" s="774">
        <f ca="1">1/(1+Assumptions!$G$431)*IF(BO1229=0,1,BO1229)</f>
        <v>8.1821219335680859E-2</v>
      </c>
      <c r="BQ1229" s="774">
        <f ca="1">1/(1+Assumptions!$G$431)*IF(BP1229=0,1,BP1229)</f>
        <v>7.853153340149234E-2</v>
      </c>
      <c r="BR1229" s="774">
        <f ca="1">1/(1+Assumptions!$G$431)*IF(BQ1229=0,1,BQ1229)</f>
        <v>7.5374111855850759E-2</v>
      </c>
      <c r="BS1229" s="774">
        <f ca="1">1/(1+Assumptions!$G$431)*IF(BR1229=0,1,BR1229)</f>
        <v>7.2343636905864109E-2</v>
      </c>
      <c r="BT1229" s="774">
        <f ca="1">1/(1+Assumptions!$G$431)*IF(BS1229=0,1,BS1229)</f>
        <v>6.943500456465089E-2</v>
      </c>
      <c r="BU1229" s="774">
        <f ca="1">1/(1+Assumptions!$G$431)*IF(BT1229=0,1,BT1229)</f>
        <v>6.6643316055102639E-2</v>
      </c>
      <c r="BV1229" s="774">
        <f ca="1">1/(1+Assumptions!$G$431)*IF(BU1229=0,1,BU1229)</f>
        <v>6.396386955926503E-2</v>
      </c>
      <c r="BW1229" s="774">
        <f ca="1">1/(1+Assumptions!$G$431)*IF(BV1229=0,1,BV1229)</f>
        <v>6.1392152299441428E-2</v>
      </c>
      <c r="BX1229" s="774">
        <f ca="1">1/(1+Assumptions!$G$431)*IF(BW1229=0,1,BW1229)</f>
        <v>5.8923832937681934E-2</v>
      </c>
      <c r="BY1229" s="774">
        <f ca="1">1/(1+Assumptions!$G$431)*IF(BX1229=0,1,BX1229)</f>
        <v>5.6554754280856843E-2</v>
      </c>
    </row>
    <row r="1230" spans="5:77" s="771" customFormat="1" outlineLevel="1">
      <c r="E1230" t="s">
        <v>613</v>
      </c>
      <c r="F1230" s="772" t="s">
        <v>549</v>
      </c>
      <c r="G1230"/>
      <c r="H1230" s="731">
        <f t="shared" ref="H1230:AM1230" ca="1" si="2485">+H1229*H1228*(H211-H745)</f>
        <v>0</v>
      </c>
      <c r="I1230" s="731">
        <f t="shared" ca="1" si="2485"/>
        <v>0</v>
      </c>
      <c r="J1230" s="731">
        <f t="shared" ca="1" si="2485"/>
        <v>0</v>
      </c>
      <c r="K1230" s="731">
        <f t="shared" ca="1" si="2485"/>
        <v>0</v>
      </c>
      <c r="L1230" s="731">
        <f t="shared" ca="1" si="2485"/>
        <v>0</v>
      </c>
      <c r="M1230" s="731">
        <f t="shared" ca="1" si="2485"/>
        <v>0</v>
      </c>
      <c r="N1230" s="731">
        <f t="shared" ca="1" si="2485"/>
        <v>0</v>
      </c>
      <c r="O1230" s="731">
        <f t="shared" ca="1" si="2485"/>
        <v>0</v>
      </c>
      <c r="P1230" s="731">
        <f t="shared" ca="1" si="2485"/>
        <v>0</v>
      </c>
      <c r="Q1230" s="731">
        <f t="shared" ca="1" si="2485"/>
        <v>0</v>
      </c>
      <c r="R1230" s="731">
        <f t="shared" ca="1" si="2485"/>
        <v>0</v>
      </c>
      <c r="S1230" s="731">
        <f t="shared" ca="1" si="2485"/>
        <v>0</v>
      </c>
      <c r="T1230" s="731">
        <f t="shared" ca="1" si="2485"/>
        <v>0</v>
      </c>
      <c r="U1230" s="731">
        <f t="shared" ca="1" si="2485"/>
        <v>0</v>
      </c>
      <c r="V1230" s="731">
        <f t="shared" ca="1" si="2485"/>
        <v>0</v>
      </c>
      <c r="W1230" s="731">
        <f t="shared" ca="1" si="2485"/>
        <v>0</v>
      </c>
      <c r="X1230" s="731">
        <f t="shared" ca="1" si="2485"/>
        <v>0</v>
      </c>
      <c r="Y1230" s="731">
        <f t="shared" ca="1" si="2485"/>
        <v>0</v>
      </c>
      <c r="Z1230" s="731">
        <f t="shared" ca="1" si="2485"/>
        <v>0</v>
      </c>
      <c r="AA1230" s="731">
        <f t="shared" ca="1" si="2485"/>
        <v>0</v>
      </c>
      <c r="AB1230" s="731">
        <f t="shared" ca="1" si="2485"/>
        <v>0</v>
      </c>
      <c r="AC1230" s="731">
        <f t="shared" ca="1" si="2485"/>
        <v>0</v>
      </c>
      <c r="AD1230" s="731">
        <f t="shared" ca="1" si="2485"/>
        <v>0</v>
      </c>
      <c r="AE1230" s="731">
        <f t="shared" ca="1" si="2485"/>
        <v>0</v>
      </c>
      <c r="AF1230" s="731">
        <f t="shared" ca="1" si="2485"/>
        <v>0</v>
      </c>
      <c r="AG1230" s="731">
        <f t="shared" ca="1" si="2485"/>
        <v>0</v>
      </c>
      <c r="AH1230" s="731">
        <f t="shared" ca="1" si="2485"/>
        <v>0</v>
      </c>
      <c r="AI1230" s="731">
        <f t="shared" ca="1" si="2485"/>
        <v>0</v>
      </c>
      <c r="AJ1230" s="731">
        <f t="shared" ca="1" si="2485"/>
        <v>0</v>
      </c>
      <c r="AK1230" s="731">
        <f t="shared" ca="1" si="2485"/>
        <v>0</v>
      </c>
      <c r="AL1230" s="731">
        <f t="shared" ca="1" si="2485"/>
        <v>0</v>
      </c>
      <c r="AM1230" s="731">
        <f t="shared" ca="1" si="2485"/>
        <v>0</v>
      </c>
      <c r="AN1230" s="731">
        <f t="shared" ref="AN1230:BS1230" ca="1" si="2486">+AN1229*AN1228*(AN211-AN745)</f>
        <v>0</v>
      </c>
      <c r="AO1230" s="731">
        <f t="shared" ca="1" si="2486"/>
        <v>0</v>
      </c>
      <c r="AP1230" s="731">
        <f t="shared" ca="1" si="2486"/>
        <v>0</v>
      </c>
      <c r="AQ1230" s="731">
        <f t="shared" ca="1" si="2486"/>
        <v>0</v>
      </c>
      <c r="AR1230" s="731">
        <f t="shared" ca="1" si="2486"/>
        <v>0</v>
      </c>
      <c r="AS1230" s="731">
        <f t="shared" ca="1" si="2486"/>
        <v>0</v>
      </c>
      <c r="AT1230" s="731">
        <f t="shared" ca="1" si="2486"/>
        <v>0</v>
      </c>
      <c r="AU1230" s="731">
        <f t="shared" ca="1" si="2486"/>
        <v>0</v>
      </c>
      <c r="AV1230" s="731">
        <f t="shared" ca="1" si="2486"/>
        <v>0</v>
      </c>
      <c r="AW1230" s="731">
        <f t="shared" ca="1" si="2486"/>
        <v>0</v>
      </c>
      <c r="AX1230" s="731">
        <f t="shared" ca="1" si="2486"/>
        <v>0</v>
      </c>
      <c r="AY1230" s="731">
        <f t="shared" ca="1" si="2486"/>
        <v>0</v>
      </c>
      <c r="AZ1230" s="731">
        <f t="shared" ca="1" si="2486"/>
        <v>0</v>
      </c>
      <c r="BA1230" s="731">
        <f t="shared" ca="1" si="2486"/>
        <v>0</v>
      </c>
      <c r="BB1230" s="731">
        <f t="shared" ca="1" si="2486"/>
        <v>0</v>
      </c>
      <c r="BC1230" s="731">
        <f t="shared" ca="1" si="2486"/>
        <v>0</v>
      </c>
      <c r="BD1230" s="731">
        <f t="shared" ca="1" si="2486"/>
        <v>0</v>
      </c>
      <c r="BE1230" s="731">
        <f t="shared" ca="1" si="2486"/>
        <v>0</v>
      </c>
      <c r="BF1230" s="731">
        <f t="shared" ca="1" si="2486"/>
        <v>0</v>
      </c>
      <c r="BG1230" s="731">
        <f t="shared" ca="1" si="2486"/>
        <v>0</v>
      </c>
      <c r="BH1230" s="731">
        <f t="shared" ca="1" si="2486"/>
        <v>0</v>
      </c>
      <c r="BI1230" s="731">
        <f t="shared" ca="1" si="2486"/>
        <v>0</v>
      </c>
      <c r="BJ1230" s="731">
        <f t="shared" ca="1" si="2486"/>
        <v>0</v>
      </c>
      <c r="BK1230" s="731">
        <f t="shared" ca="1" si="2486"/>
        <v>0</v>
      </c>
      <c r="BL1230" s="731">
        <f t="shared" ca="1" si="2486"/>
        <v>0</v>
      </c>
      <c r="BM1230" s="731">
        <f t="shared" ca="1" si="2486"/>
        <v>0</v>
      </c>
      <c r="BN1230" s="731">
        <f t="shared" ca="1" si="2486"/>
        <v>0</v>
      </c>
      <c r="BO1230" s="731">
        <f t="shared" ca="1" si="2486"/>
        <v>0</v>
      </c>
      <c r="BP1230" s="731">
        <f t="shared" ca="1" si="2486"/>
        <v>0</v>
      </c>
      <c r="BQ1230" s="731">
        <f t="shared" ca="1" si="2486"/>
        <v>0</v>
      </c>
      <c r="BR1230" s="731">
        <f t="shared" ca="1" si="2486"/>
        <v>0</v>
      </c>
      <c r="BS1230" s="731">
        <f t="shared" ca="1" si="2486"/>
        <v>0</v>
      </c>
      <c r="BT1230" s="731">
        <f t="shared" ref="BT1230:BY1230" ca="1" si="2487">+BT1229*BT1228*(BT211-BT745)</f>
        <v>0</v>
      </c>
      <c r="BU1230" s="731">
        <f t="shared" ca="1" si="2487"/>
        <v>0</v>
      </c>
      <c r="BV1230" s="731">
        <f t="shared" ca="1" si="2487"/>
        <v>0</v>
      </c>
      <c r="BW1230" s="731">
        <f t="shared" ca="1" si="2487"/>
        <v>0</v>
      </c>
      <c r="BX1230" s="731">
        <f t="shared" ca="1" si="2487"/>
        <v>0</v>
      </c>
      <c r="BY1230" s="731">
        <f t="shared" ca="1" si="2487"/>
        <v>0</v>
      </c>
    </row>
    <row r="1231" spans="5:77" s="771" customFormat="1" outlineLevel="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row>
    <row r="1232" spans="5:77" s="771" customFormat="1" outlineLevel="1">
      <c r="E1232" t="s">
        <v>614</v>
      </c>
      <c r="F1232" s="772" t="s">
        <v>549</v>
      </c>
      <c r="G1232"/>
      <c r="H1232">
        <f>-+IF(Assumptions!$G$424="Manual",Assumptions!$G$425,0)</f>
        <v>0</v>
      </c>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row>
    <row r="1233" spans="5:77" s="771" customFormat="1" ht="12.75" outlineLevel="1"/>
    <row r="1234" spans="5:77" s="771" customFormat="1" outlineLevel="1">
      <c r="E1234" t="s">
        <v>615</v>
      </c>
      <c r="F1234" s="772" t="s">
        <v>549</v>
      </c>
      <c r="G1234"/>
      <c r="H1234" s="137">
        <f ca="1">+SUM(H1230:BY1230)+H1232</f>
        <v>0</v>
      </c>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row>
    <row r="1235" spans="5:77" s="771" customFormat="1" outlineLevel="1">
      <c r="E1235"/>
      <c r="F1235" s="772"/>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row>
    <row r="1236" spans="5:77" s="771" customFormat="1" outlineLevel="1">
      <c r="E1236"/>
      <c r="F1236" s="772"/>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row>
    <row r="1237" spans="5:77" s="771" customFormat="1" outlineLevel="1">
      <c r="E1237" t="s">
        <v>616</v>
      </c>
      <c r="F1237" s="772" t="s">
        <v>178</v>
      </c>
      <c r="G1237"/>
      <c r="H1237" s="773">
        <f>+IF(Assumptions!$G$428="Share",Assumptions!$G$430,0)</f>
        <v>0</v>
      </c>
      <c r="I1237" s="773">
        <f>+IF(Assumptions!$G$428="Share",Assumptions!$G$430,0)</f>
        <v>0</v>
      </c>
      <c r="J1237" s="773">
        <f>+IF(Assumptions!$G$428="Share",Assumptions!$G$430,0)</f>
        <v>0</v>
      </c>
      <c r="K1237" s="773">
        <f>+IF(Assumptions!$G$428="Share",Assumptions!$G$430,0)</f>
        <v>0</v>
      </c>
      <c r="L1237" s="773">
        <f>+IF(Assumptions!$G$428="Share",Assumptions!$G$430,0)</f>
        <v>0</v>
      </c>
      <c r="M1237" s="773">
        <f>+IF(Assumptions!$G$428="Share",Assumptions!$G$430,0)</f>
        <v>0</v>
      </c>
      <c r="N1237" s="773">
        <f>+IF(Assumptions!$G$428="Share",Assumptions!$G$430,0)</f>
        <v>0</v>
      </c>
      <c r="O1237" s="773">
        <f>+IF(Assumptions!$G$428="Share",Assumptions!$G$430,0)</f>
        <v>0</v>
      </c>
      <c r="P1237" s="773">
        <f>+IF(Assumptions!$G$428="Share",Assumptions!$G$430,0)</f>
        <v>0</v>
      </c>
      <c r="Q1237" s="773">
        <f>+IF(Assumptions!$G$428="Share",Assumptions!$G$430,0)</f>
        <v>0</v>
      </c>
      <c r="R1237" s="773">
        <f>+IF(Assumptions!$G$428="Share",Assumptions!$G$430,0)</f>
        <v>0</v>
      </c>
      <c r="S1237" s="773">
        <f>+IF(Assumptions!$G$428="Share",Assumptions!$G$430,0)</f>
        <v>0</v>
      </c>
      <c r="T1237" s="773">
        <f>+IF(Assumptions!$G$428="Share",Assumptions!$G$430,0)</f>
        <v>0</v>
      </c>
      <c r="U1237" s="773">
        <f>+IF(Assumptions!$G$428="Share",Assumptions!$G$430,0)</f>
        <v>0</v>
      </c>
      <c r="V1237" s="773">
        <f>+IF(Assumptions!$G$428="Share",Assumptions!$G$430,0)</f>
        <v>0</v>
      </c>
      <c r="W1237" s="773">
        <f>+IF(Assumptions!$G$428="Share",Assumptions!$G$430,0)</f>
        <v>0</v>
      </c>
      <c r="X1237" s="773">
        <f>+IF(Assumptions!$G$428="Share",Assumptions!$G$430,0)</f>
        <v>0</v>
      </c>
      <c r="Y1237" s="773">
        <f>+IF(Assumptions!$G$428="Share",Assumptions!$G$430,0)</f>
        <v>0</v>
      </c>
      <c r="Z1237" s="773">
        <f>+IF(Assumptions!$G$428="Share",Assumptions!$G$430,0)</f>
        <v>0</v>
      </c>
      <c r="AA1237" s="773">
        <f>+IF(Assumptions!$G$428="Share",Assumptions!$G$430,0)</f>
        <v>0</v>
      </c>
      <c r="AB1237" s="773">
        <f>+IF(Assumptions!$G$428="Share",Assumptions!$G$430,0)</f>
        <v>0</v>
      </c>
      <c r="AC1237" s="773">
        <f>+IF(Assumptions!$G$428="Share",Assumptions!$G$430,0)</f>
        <v>0</v>
      </c>
      <c r="AD1237" s="773">
        <f>+IF(Assumptions!$G$428="Share",Assumptions!$G$430,0)</f>
        <v>0</v>
      </c>
      <c r="AE1237" s="773">
        <f>+IF(Assumptions!$G$428="Share",Assumptions!$G$430,0)</f>
        <v>0</v>
      </c>
      <c r="AF1237" s="773">
        <f>+IF(Assumptions!$G$428="Share",Assumptions!$G$430,0)</f>
        <v>0</v>
      </c>
      <c r="AG1237" s="773">
        <f>+IF(Assumptions!$G$428="Share",Assumptions!$G$430,0)</f>
        <v>0</v>
      </c>
      <c r="AH1237" s="773">
        <f>+IF(Assumptions!$G$428="Share",Assumptions!$G$430,0)</f>
        <v>0</v>
      </c>
      <c r="AI1237" s="773">
        <f>+IF(Assumptions!$G$428="Share",Assumptions!$G$430,0)</f>
        <v>0</v>
      </c>
      <c r="AJ1237" s="773">
        <f>+IF(Assumptions!$G$428="Share",Assumptions!$G$430,0)</f>
        <v>0</v>
      </c>
      <c r="AK1237" s="773">
        <f>+IF(Assumptions!$G$428="Share",Assumptions!$G$430,0)</f>
        <v>0</v>
      </c>
      <c r="AL1237" s="773">
        <f>+IF(Assumptions!$G$428="Share",Assumptions!$G$430,0)</f>
        <v>0</v>
      </c>
      <c r="AM1237" s="773">
        <f>+IF(Assumptions!$G$428="Share",Assumptions!$G$430,0)</f>
        <v>0</v>
      </c>
      <c r="AN1237" s="773">
        <f>+IF(Assumptions!$G$428="Share",Assumptions!$G$430,0)</f>
        <v>0</v>
      </c>
      <c r="AO1237" s="773">
        <f>+IF(Assumptions!$G$428="Share",Assumptions!$G$430,0)</f>
        <v>0</v>
      </c>
      <c r="AP1237" s="773">
        <f>+IF(Assumptions!$G$428="Share",Assumptions!$G$430,0)</f>
        <v>0</v>
      </c>
      <c r="AQ1237" s="773">
        <f>+IF(Assumptions!$G$428="Share",Assumptions!$G$430,0)</f>
        <v>0</v>
      </c>
      <c r="AR1237" s="773">
        <f>+IF(Assumptions!$G$428="Share",Assumptions!$G$430,0)</f>
        <v>0</v>
      </c>
      <c r="AS1237" s="773">
        <f>+IF(Assumptions!$G$428="Share",Assumptions!$G$430,0)</f>
        <v>0</v>
      </c>
      <c r="AT1237" s="773">
        <f>+IF(Assumptions!$G$428="Share",Assumptions!$G$430,0)</f>
        <v>0</v>
      </c>
      <c r="AU1237" s="773">
        <f>+IF(Assumptions!$G$428="Share",Assumptions!$G$430,0)</f>
        <v>0</v>
      </c>
      <c r="AV1237" s="773">
        <f>+IF(Assumptions!$G$428="Share",Assumptions!$G$430,0)</f>
        <v>0</v>
      </c>
      <c r="AW1237" s="773">
        <f>+IF(Assumptions!$G$428="Share",Assumptions!$G$430,0)</f>
        <v>0</v>
      </c>
      <c r="AX1237" s="773">
        <f>+IF(Assumptions!$G$428="Share",Assumptions!$G$430,0)</f>
        <v>0</v>
      </c>
      <c r="AY1237" s="773">
        <f>+IF(Assumptions!$G$428="Share",Assumptions!$G$430,0)</f>
        <v>0</v>
      </c>
      <c r="AZ1237" s="773">
        <f>+IF(Assumptions!$G$428="Share",Assumptions!$G$430,0)</f>
        <v>0</v>
      </c>
      <c r="BA1237" s="773">
        <f>+IF(Assumptions!$G$428="Share",Assumptions!$G$430,0)</f>
        <v>0</v>
      </c>
      <c r="BB1237" s="773">
        <f>+IF(Assumptions!$G$428="Share",Assumptions!$G$430,0)</f>
        <v>0</v>
      </c>
      <c r="BC1237" s="773">
        <f>+IF(Assumptions!$G$428="Share",Assumptions!$G$430,0)</f>
        <v>0</v>
      </c>
      <c r="BD1237" s="773">
        <f>+IF(Assumptions!$G$428="Share",Assumptions!$G$430,0)</f>
        <v>0</v>
      </c>
      <c r="BE1237" s="773">
        <f>+IF(Assumptions!$G$428="Share",Assumptions!$G$430,0)</f>
        <v>0</v>
      </c>
      <c r="BF1237" s="773">
        <f>+IF(Assumptions!$G$428="Share",Assumptions!$G$430,0)</f>
        <v>0</v>
      </c>
      <c r="BG1237" s="773">
        <f>+IF(Assumptions!$G$428="Share",Assumptions!$G$430,0)</f>
        <v>0</v>
      </c>
      <c r="BH1237" s="773">
        <f>+IF(Assumptions!$G$428="Share",Assumptions!$G$430,0)</f>
        <v>0</v>
      </c>
      <c r="BI1237" s="773">
        <f>+IF(Assumptions!$G$428="Share",Assumptions!$G$430,0)</f>
        <v>0</v>
      </c>
      <c r="BJ1237" s="773">
        <f>+IF(Assumptions!$G$428="Share",Assumptions!$G$430,0)</f>
        <v>0</v>
      </c>
      <c r="BK1237" s="773">
        <f>+IF(Assumptions!$G$428="Share",Assumptions!$G$430,0)</f>
        <v>0</v>
      </c>
      <c r="BL1237" s="773">
        <f>+IF(Assumptions!$G$428="Share",Assumptions!$G$430,0)</f>
        <v>0</v>
      </c>
      <c r="BM1237" s="773">
        <f>+IF(Assumptions!$G$428="Share",Assumptions!$G$430,0)</f>
        <v>0</v>
      </c>
      <c r="BN1237" s="773">
        <f>+IF(Assumptions!$G$428="Share",Assumptions!$G$430,0)</f>
        <v>0</v>
      </c>
      <c r="BO1237" s="773">
        <f>+IF(Assumptions!$G$428="Share",Assumptions!$G$430,0)</f>
        <v>0</v>
      </c>
      <c r="BP1237" s="773">
        <f>+IF(Assumptions!$G$428="Share",Assumptions!$G$430,0)</f>
        <v>0</v>
      </c>
      <c r="BQ1237" s="773">
        <f>+IF(Assumptions!$G$428="Share",Assumptions!$G$430,0)</f>
        <v>0</v>
      </c>
      <c r="BR1237" s="773">
        <f>+IF(Assumptions!$G$428="Share",Assumptions!$G$430,0)</f>
        <v>0</v>
      </c>
      <c r="BS1237" s="773">
        <f>+IF(Assumptions!$G$428="Share",Assumptions!$G$430,0)</f>
        <v>0</v>
      </c>
      <c r="BT1237" s="773">
        <f>+IF(Assumptions!$G$428="Share",Assumptions!$G$430,0)</f>
        <v>0</v>
      </c>
      <c r="BU1237" s="773">
        <f>+IF(Assumptions!$G$428="Share",Assumptions!$G$430,0)</f>
        <v>0</v>
      </c>
      <c r="BV1237" s="773">
        <f>+IF(Assumptions!$G$428="Share",Assumptions!$G$430,0)</f>
        <v>0</v>
      </c>
      <c r="BW1237" s="773">
        <f>+IF(Assumptions!$G$428="Share",Assumptions!$G$430,0)</f>
        <v>0</v>
      </c>
      <c r="BX1237" s="773">
        <f>+IF(Assumptions!$G$428="Share",Assumptions!$G$430,0)</f>
        <v>0</v>
      </c>
      <c r="BY1237" s="773">
        <f>+IF(Assumptions!$G$428="Share",Assumptions!$G$430,0)</f>
        <v>0</v>
      </c>
    </row>
    <row r="1238" spans="5:77" s="771" customFormat="1" outlineLevel="1">
      <c r="E1238" t="s">
        <v>243</v>
      </c>
      <c r="F1238" s="772" t="s">
        <v>423</v>
      </c>
      <c r="G1238"/>
      <c r="H1238" s="774">
        <f ca="1">1/(1+Assumptions!$G$431)*IF(G1238=0,1,G1238)</f>
        <v>0.95979422011920645</v>
      </c>
      <c r="I1238" s="774">
        <f ca="1">1/(1+Assumptions!$G$431)*IF(H1238=0,1,H1238)</f>
        <v>0.92120494497423577</v>
      </c>
      <c r="J1238" s="774">
        <f ca="1">1/(1+Assumptions!$G$431)*IF(I1238=0,1,I1238)</f>
        <v>0.8841671817315031</v>
      </c>
      <c r="K1238" s="774">
        <f ca="1">1/(1+Assumptions!$G$431)*IF(J1238=0,1,J1238)</f>
        <v>0.8486185506449847</v>
      </c>
      <c r="L1238" s="774">
        <f ca="1">1/(1+Assumptions!$G$431)*IF(K1238=0,1,K1238)</f>
        <v>0.81449917999499444</v>
      </c>
      <c r="M1238" s="774">
        <f ca="1">1/(1+Assumptions!$G$431)*IF(L1238=0,1,L1238)</f>
        <v>0.78175160525102882</v>
      </c>
      <c r="N1238" s="774">
        <f ca="1">1/(1+Assumptions!$G$431)*IF(M1238=0,1,M1238)</f>
        <v>0.75032067228884891</v>
      </c>
      <c r="O1238" s="774">
        <f ca="1">1/(1+Assumptions!$G$431)*IF(N1238=0,1,N1238)</f>
        <v>0.72015344449879437</v>
      </c>
      <c r="P1238" s="774">
        <f ca="1">1/(1+Assumptions!$G$431)*IF(O1238=0,1,O1238)</f>
        <v>0.69119911362888053</v>
      </c>
      <c r="Q1238" s="774">
        <f ca="1">1/(1+Assumptions!$G$431)*IF(P1238=0,1,P1238)</f>
        <v>0.66340891421251813</v>
      </c>
      <c r="R1238" s="774">
        <f ca="1">1/(1+Assumptions!$G$431)*IF(Q1238=0,1,Q1238)</f>
        <v>0.63673604143673335</v>
      </c>
      <c r="S1238" s="774">
        <f ca="1">1/(1+Assumptions!$G$431)*IF(R1238=0,1,R1238)</f>
        <v>0.61113557231256022</v>
      </c>
      <c r="T1238" s="774">
        <f ca="1">1/(1+Assumptions!$G$431)*IF(S1238=0,1,S1238)</f>
        <v>0.58656439001483862</v>
      </c>
      <c r="U1238" s="774">
        <f ca="1">1/(1+Assumptions!$G$431)*IF(T1238=0,1,T1238)</f>
        <v>0.56298111126399009</v>
      </c>
      <c r="V1238" s="774">
        <f ca="1">1/(1+Assumptions!$G$431)*IF(U1238=0,1,U1238)</f>
        <v>0.54034601662746551</v>
      </c>
      <c r="W1238" s="774">
        <f ca="1">1/(1+Assumptions!$G$431)*IF(V1238=0,1,V1238)</f>
        <v>0.51862098362347797</v>
      </c>
      <c r="X1238" s="774">
        <f ca="1">1/(1+Assumptions!$G$431)*IF(W1238=0,1,W1238)</f>
        <v>0.4977694225143518</v>
      </c>
      <c r="Y1238" s="774">
        <f ca="1">1/(1+Assumptions!$G$431)*IF(X1238=0,1,X1238)</f>
        <v>0.47775621468135004</v>
      </c>
      <c r="Z1238" s="774">
        <f ca="1">1/(1+Assumptions!$G$431)*IF(Y1238=0,1,Y1238)</f>
        <v>0.45854765347719056</v>
      </c>
      <c r="AA1238" s="774">
        <f ca="1">1/(1+Assumptions!$G$431)*IF(Z1238=0,1,Z1238)</f>
        <v>0.44011138745663225</v>
      </c>
      <c r="AB1238" s="774">
        <f ca="1">1/(1+Assumptions!$G$431)*IF(AA1238=0,1,AA1238)</f>
        <v>0.42241636588952025</v>
      </c>
      <c r="AC1238" s="774">
        <f ca="1">1/(1+Assumptions!$G$431)*IF(AB1238=0,1,AB1238)</f>
        <v>0.40543278646452147</v>
      </c>
      <c r="AD1238" s="774">
        <f ca="1">1/(1+Assumptions!$G$431)*IF(AC1238=0,1,AC1238)</f>
        <v>0.38913204509547217</v>
      </c>
      <c r="AE1238" s="774">
        <f ca="1">1/(1+Assumptions!$G$431)*IF(AD1238=0,1,AD1238)</f>
        <v>0.37348668774580057</v>
      </c>
      <c r="AF1238" s="774">
        <f ca="1">1/(1+Assumptions!$G$431)*IF(AE1238=0,1,AE1238)</f>
        <v>0.35847036418988626</v>
      </c>
      <c r="AG1238" s="774">
        <f ca="1">1/(1+Assumptions!$G$431)*IF(AF1238=0,1,AF1238)</f>
        <v>0.34405778363347977</v>
      </c>
      <c r="AH1238" s="774">
        <f ca="1">1/(1+Assumptions!$G$431)*IF(AG1238=0,1,AG1238)</f>
        <v>0.33022467211843837</v>
      </c>
      <c r="AI1238" s="774">
        <f ca="1">1/(1+Assumptions!$G$431)*IF(AH1238=0,1,AH1238)</f>
        <v>0.3169477316400372</v>
      </c>
      <c r="AJ1238" s="774">
        <f ca="1">1/(1+Assumptions!$G$431)*IF(AI1238=0,1,AI1238)</f>
        <v>0.30420460090800105</v>
      </c>
      <c r="AK1238" s="774">
        <f ca="1">1/(1+Assumptions!$G$431)*IF(AJ1238=0,1,AJ1238)</f>
        <v>0.29197381768516933</v>
      </c>
      <c r="AL1238" s="774">
        <f ca="1">1/(1+Assumptions!$G$431)*IF(AK1238=0,1,AK1238)</f>
        <v>0.28023478264036444</v>
      </c>
      <c r="AM1238" s="774">
        <f ca="1">1/(1+Assumptions!$G$431)*IF(AL1238=0,1,AL1238)</f>
        <v>0.26896772465458391</v>
      </c>
      <c r="AN1238" s="774">
        <f ca="1">1/(1+Assumptions!$G$431)*IF(AM1238=0,1,AM1238)</f>
        <v>0.2581536675220838</v>
      </c>
      <c r="AO1238" s="774">
        <f ca="1">1/(1+Assumptions!$G$431)*IF(AN1238=0,1,AN1238)</f>
        <v>0.24777439799027134</v>
      </c>
      <c r="AP1238" s="774">
        <f ca="1">1/(1+Assumptions!$G$431)*IF(AO1238=0,1,AO1238)</f>
        <v>0.23781243508457836</v>
      </c>
      <c r="AQ1238" s="774">
        <f ca="1">1/(1+Assumptions!$G$431)*IF(AP1238=0,1,AP1238)</f>
        <v>0.2282510006666523</v>
      </c>
      <c r="AR1238" s="774">
        <f ca="1">1/(1+Assumptions!$G$431)*IF(AQ1238=0,1,AQ1238)</f>
        <v>0.21907399117627802</v>
      </c>
      <c r="AS1238" s="774">
        <f ca="1">1/(1+Assumptions!$G$431)*IF(AR1238=0,1,AR1238)</f>
        <v>0.21026595050943767</v>
      </c>
      <c r="AT1238" s="774">
        <f ca="1">1/(1+Assumptions!$G$431)*IF(AS1238=0,1,AS1238)</f>
        <v>0.20181204398682939</v>
      </c>
      <c r="AU1238" s="774">
        <f ca="1">1/(1+Assumptions!$G$431)*IF(AT1238=0,1,AT1238)</f>
        <v>0.1936980333690019</v>
      </c>
      <c r="AV1238" s="774">
        <f ca="1">1/(1+Assumptions!$G$431)*IF(AU1238=0,1,AU1238)</f>
        <v>0.18591025287602522</v>
      </c>
      <c r="AW1238" s="774">
        <f ca="1">1/(1+Assumptions!$G$431)*IF(AV1238=0,1,AV1238)</f>
        <v>0.17843558617130909</v>
      </c>
      <c r="AX1238" s="774">
        <f ca="1">1/(1+Assumptions!$G$431)*IF(AW1238=0,1,AW1238)</f>
        <v>0.17126144427080506</v>
      </c>
      <c r="AY1238" s="774">
        <f ca="1">1/(1+Assumptions!$G$431)*IF(AX1238=0,1,AX1238)</f>
        <v>0.16437574434038627</v>
      </c>
      <c r="AZ1238" s="774">
        <f ca="1">1/(1+Assumptions!$G$431)*IF(AY1238=0,1,AY1238)</f>
        <v>0.1577668893456951</v>
      </c>
      <c r="BA1238" s="774">
        <f ca="1">1/(1+Assumptions!$G$431)*IF(AZ1238=0,1,AZ1238)</f>
        <v>0.15142374852018459</v>
      </c>
      <c r="BB1238" s="774">
        <f ca="1">1/(1+Assumptions!$G$431)*IF(BA1238=0,1,BA1238)</f>
        <v>0.14533563861845741</v>
      </c>
      <c r="BC1238" s="774">
        <f ca="1">1/(1+Assumptions!$G$431)*IF(BB1238=0,1,BB1238)</f>
        <v>0.13949230592332915</v>
      </c>
      <c r="BD1238" s="774">
        <f ca="1">1/(1+Assumptions!$G$431)*IF(BC1238=0,1,BC1238)</f>
        <v>0.13388390897631147</v>
      </c>
      <c r="BE1238" s="774">
        <f ca="1">1/(1+Assumptions!$G$431)*IF(BD1238=0,1,BD1238)</f>
        <v>0.1285010020024297</v>
      </c>
      <c r="BF1238" s="774">
        <f ca="1">1/(1+Assumptions!$G$431)*IF(BE1238=0,1,BE1238)</f>
        <v>0.1233345190014586</v>
      </c>
      <c r="BG1238" s="774">
        <f ca="1">1/(1+Assumptions!$G$431)*IF(BF1238=0,1,BF1238)</f>
        <v>0.11837575847878241</v>
      </c>
      <c r="BH1238" s="774">
        <f ca="1">1/(1+Assumptions!$G$431)*IF(BG1238=0,1,BG1238)</f>
        <v>0.11361636879016251</v>
      </c>
      <c r="BI1238" s="774">
        <f ca="1">1/(1+Assumptions!$G$431)*IF(BH1238=0,1,BH1238)</f>
        <v>0.10904833407573018</v>
      </c>
      <c r="BJ1238" s="774">
        <f ca="1">1/(1+Assumptions!$G$431)*IF(BI1238=0,1,BI1238)</f>
        <v>0.10466396075951413</v>
      </c>
      <c r="BK1238" s="774">
        <f ca="1">1/(1+Assumptions!$G$431)*IF(BJ1238=0,1,BJ1238)</f>
        <v>0.10045586459176509</v>
      </c>
      <c r="BL1238" s="774">
        <f ca="1">1/(1+Assumptions!$G$431)*IF(BK1238=0,1,BK1238)</f>
        <v>9.6416958212253781E-2</v>
      </c>
      <c r="BM1238" s="774">
        <f ca="1">1/(1+Assumptions!$G$431)*IF(BL1238=0,1,BL1238)</f>
        <v>9.254043921359624E-2</v>
      </c>
      <c r="BN1238" s="774">
        <f ca="1">1/(1+Assumptions!$G$431)*IF(BM1238=0,1,BM1238)</f>
        <v>8.8819778684502429E-2</v>
      </c>
      <c r="BO1238" s="774">
        <f ca="1">1/(1+Assumptions!$G$431)*IF(BN1238=0,1,BN1238)</f>
        <v>8.5248710213652532E-2</v>
      </c>
      <c r="BP1238" s="774">
        <f ca="1">1/(1+Assumptions!$G$431)*IF(BO1238=0,1,BO1238)</f>
        <v>8.1821219335680859E-2</v>
      </c>
      <c r="BQ1238" s="774">
        <f ca="1">1/(1+Assumptions!$G$431)*IF(BP1238=0,1,BP1238)</f>
        <v>7.853153340149234E-2</v>
      </c>
      <c r="BR1238" s="774">
        <f ca="1">1/(1+Assumptions!$G$431)*IF(BQ1238=0,1,BQ1238)</f>
        <v>7.5374111855850759E-2</v>
      </c>
      <c r="BS1238" s="774">
        <f ca="1">1/(1+Assumptions!$G$431)*IF(BR1238=0,1,BR1238)</f>
        <v>7.2343636905864109E-2</v>
      </c>
      <c r="BT1238" s="774">
        <f ca="1">1/(1+Assumptions!$G$431)*IF(BS1238=0,1,BS1238)</f>
        <v>6.943500456465089E-2</v>
      </c>
      <c r="BU1238" s="774">
        <f ca="1">1/(1+Assumptions!$G$431)*IF(BT1238=0,1,BT1238)</f>
        <v>6.6643316055102639E-2</v>
      </c>
      <c r="BV1238" s="774">
        <f ca="1">1/(1+Assumptions!$G$431)*IF(BU1238=0,1,BU1238)</f>
        <v>6.396386955926503E-2</v>
      </c>
      <c r="BW1238" s="774">
        <f ca="1">1/(1+Assumptions!$G$431)*IF(BV1238=0,1,BV1238)</f>
        <v>6.1392152299441428E-2</v>
      </c>
      <c r="BX1238" s="774">
        <f ca="1">1/(1+Assumptions!$G$431)*IF(BW1238=0,1,BW1238)</f>
        <v>5.8923832937681934E-2</v>
      </c>
      <c r="BY1238" s="774">
        <f ca="1">1/(1+Assumptions!$G$431)*IF(BX1238=0,1,BX1238)</f>
        <v>5.6554754280856843E-2</v>
      </c>
    </row>
    <row r="1239" spans="5:77" s="771" customFormat="1" outlineLevel="1">
      <c r="E1239" t="s">
        <v>617</v>
      </c>
      <c r="F1239" s="772" t="s">
        <v>549</v>
      </c>
      <c r="G1239"/>
      <c r="H1239">
        <f t="shared" ref="H1239:AM1239" ca="1" si="2488">+IFERROR(H1238*H1237*(H217-H751),0)</f>
        <v>0</v>
      </c>
      <c r="I1239">
        <f t="shared" ca="1" si="2488"/>
        <v>0</v>
      </c>
      <c r="J1239">
        <f t="shared" ca="1" si="2488"/>
        <v>0</v>
      </c>
      <c r="K1239">
        <f t="shared" ca="1" si="2488"/>
        <v>0</v>
      </c>
      <c r="L1239">
        <f t="shared" ca="1" si="2488"/>
        <v>0</v>
      </c>
      <c r="M1239">
        <f t="shared" ca="1" si="2488"/>
        <v>0</v>
      </c>
      <c r="N1239">
        <f t="shared" ca="1" si="2488"/>
        <v>0</v>
      </c>
      <c r="O1239">
        <f t="shared" ca="1" si="2488"/>
        <v>0</v>
      </c>
      <c r="P1239">
        <f t="shared" ca="1" si="2488"/>
        <v>0</v>
      </c>
      <c r="Q1239">
        <f t="shared" ca="1" si="2488"/>
        <v>0</v>
      </c>
      <c r="R1239">
        <f t="shared" ca="1" si="2488"/>
        <v>0</v>
      </c>
      <c r="S1239">
        <f t="shared" ca="1" si="2488"/>
        <v>0</v>
      </c>
      <c r="T1239">
        <f t="shared" ca="1" si="2488"/>
        <v>0</v>
      </c>
      <c r="U1239">
        <f t="shared" ca="1" si="2488"/>
        <v>0</v>
      </c>
      <c r="V1239">
        <f t="shared" ca="1" si="2488"/>
        <v>0</v>
      </c>
      <c r="W1239">
        <f t="shared" ca="1" si="2488"/>
        <v>0</v>
      </c>
      <c r="X1239">
        <f t="shared" ca="1" si="2488"/>
        <v>0</v>
      </c>
      <c r="Y1239">
        <f t="shared" ca="1" si="2488"/>
        <v>0</v>
      </c>
      <c r="Z1239">
        <f t="shared" ca="1" si="2488"/>
        <v>0</v>
      </c>
      <c r="AA1239">
        <f t="shared" ca="1" si="2488"/>
        <v>0</v>
      </c>
      <c r="AB1239">
        <f t="shared" ca="1" si="2488"/>
        <v>0</v>
      </c>
      <c r="AC1239">
        <f t="shared" ca="1" si="2488"/>
        <v>0</v>
      </c>
      <c r="AD1239">
        <f t="shared" ca="1" si="2488"/>
        <v>0</v>
      </c>
      <c r="AE1239">
        <f t="shared" ca="1" si="2488"/>
        <v>0</v>
      </c>
      <c r="AF1239">
        <f t="shared" ca="1" si="2488"/>
        <v>0</v>
      </c>
      <c r="AG1239">
        <f t="shared" ca="1" si="2488"/>
        <v>0</v>
      </c>
      <c r="AH1239">
        <f t="shared" ca="1" si="2488"/>
        <v>0</v>
      </c>
      <c r="AI1239">
        <f t="shared" ca="1" si="2488"/>
        <v>0</v>
      </c>
      <c r="AJ1239">
        <f t="shared" ca="1" si="2488"/>
        <v>0</v>
      </c>
      <c r="AK1239">
        <f t="shared" ca="1" si="2488"/>
        <v>0</v>
      </c>
      <c r="AL1239">
        <f t="shared" ca="1" si="2488"/>
        <v>0</v>
      </c>
      <c r="AM1239">
        <f t="shared" ca="1" si="2488"/>
        <v>0</v>
      </c>
      <c r="AN1239">
        <f t="shared" ref="AN1239:BS1239" ca="1" si="2489">+IFERROR(AN1238*AN1237*(AN217-AN751),0)</f>
        <v>0</v>
      </c>
      <c r="AO1239">
        <f t="shared" ca="1" si="2489"/>
        <v>0</v>
      </c>
      <c r="AP1239">
        <f t="shared" ca="1" si="2489"/>
        <v>0</v>
      </c>
      <c r="AQ1239">
        <f t="shared" ca="1" si="2489"/>
        <v>0</v>
      </c>
      <c r="AR1239">
        <f t="shared" ca="1" si="2489"/>
        <v>0</v>
      </c>
      <c r="AS1239">
        <f t="shared" ca="1" si="2489"/>
        <v>0</v>
      </c>
      <c r="AT1239">
        <f t="shared" ca="1" si="2489"/>
        <v>0</v>
      </c>
      <c r="AU1239">
        <f t="shared" ca="1" si="2489"/>
        <v>0</v>
      </c>
      <c r="AV1239">
        <f t="shared" ca="1" si="2489"/>
        <v>0</v>
      </c>
      <c r="AW1239">
        <f t="shared" ca="1" si="2489"/>
        <v>0</v>
      </c>
      <c r="AX1239">
        <f t="shared" ca="1" si="2489"/>
        <v>0</v>
      </c>
      <c r="AY1239">
        <f t="shared" ca="1" si="2489"/>
        <v>0</v>
      </c>
      <c r="AZ1239">
        <f t="shared" ca="1" si="2489"/>
        <v>0</v>
      </c>
      <c r="BA1239">
        <f t="shared" ca="1" si="2489"/>
        <v>0</v>
      </c>
      <c r="BB1239">
        <f t="shared" ca="1" si="2489"/>
        <v>0</v>
      </c>
      <c r="BC1239">
        <f t="shared" ca="1" si="2489"/>
        <v>0</v>
      </c>
      <c r="BD1239">
        <f t="shared" ca="1" si="2489"/>
        <v>0</v>
      </c>
      <c r="BE1239">
        <f t="shared" ca="1" si="2489"/>
        <v>0</v>
      </c>
      <c r="BF1239">
        <f t="shared" ca="1" si="2489"/>
        <v>0</v>
      </c>
      <c r="BG1239">
        <f t="shared" ca="1" si="2489"/>
        <v>0</v>
      </c>
      <c r="BH1239">
        <f t="shared" ca="1" si="2489"/>
        <v>0</v>
      </c>
      <c r="BI1239">
        <f t="shared" ca="1" si="2489"/>
        <v>0</v>
      </c>
      <c r="BJ1239">
        <f t="shared" ca="1" si="2489"/>
        <v>0</v>
      </c>
      <c r="BK1239">
        <f t="shared" ca="1" si="2489"/>
        <v>0</v>
      </c>
      <c r="BL1239">
        <f t="shared" ca="1" si="2489"/>
        <v>0</v>
      </c>
      <c r="BM1239">
        <f t="shared" ca="1" si="2489"/>
        <v>0</v>
      </c>
      <c r="BN1239">
        <f t="shared" ca="1" si="2489"/>
        <v>0</v>
      </c>
      <c r="BO1239">
        <f t="shared" ca="1" si="2489"/>
        <v>0</v>
      </c>
      <c r="BP1239">
        <f t="shared" ca="1" si="2489"/>
        <v>0</v>
      </c>
      <c r="BQ1239">
        <f t="shared" ca="1" si="2489"/>
        <v>0</v>
      </c>
      <c r="BR1239">
        <f t="shared" ca="1" si="2489"/>
        <v>0</v>
      </c>
      <c r="BS1239">
        <f t="shared" ca="1" si="2489"/>
        <v>0</v>
      </c>
      <c r="BT1239">
        <f t="shared" ref="BT1239:BY1239" ca="1" si="2490">+IFERROR(BT1238*BT1237*(BT217-BT751),0)</f>
        <v>0</v>
      </c>
      <c r="BU1239">
        <f t="shared" ca="1" si="2490"/>
        <v>0</v>
      </c>
      <c r="BV1239">
        <f t="shared" ca="1" si="2490"/>
        <v>0</v>
      </c>
      <c r="BW1239">
        <f t="shared" ca="1" si="2490"/>
        <v>0</v>
      </c>
      <c r="BX1239">
        <f t="shared" ca="1" si="2490"/>
        <v>0</v>
      </c>
      <c r="BY1239">
        <f t="shared" ca="1" si="2490"/>
        <v>0</v>
      </c>
    </row>
    <row r="1240" spans="5:77" s="771" customFormat="1" outlineLevel="1">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row>
    <row r="1241" spans="5:77" s="771" customFormat="1" outlineLevel="1">
      <c r="E1241" t="s">
        <v>618</v>
      </c>
      <c r="F1241" s="772" t="s">
        <v>549</v>
      </c>
      <c r="G1241"/>
      <c r="H1241" s="137">
        <f>IFERROR(-+IF(Assumptions!$G$428="Manual",Assumptions!$G$429*H1238*H197*H185,0),0)</f>
        <v>0</v>
      </c>
      <c r="I1241" s="137">
        <f>IFERROR(-+IF(Assumptions!$G$428="Manual",Assumptions!$G$429*I1238*I197*I185,0),0)</f>
        <v>0</v>
      </c>
      <c r="J1241" s="137">
        <f>IFERROR(-+IF(Assumptions!$G$428="Manual",Assumptions!$G$429*J1238*J197*J185,0),0)</f>
        <v>0</v>
      </c>
      <c r="K1241" s="137">
        <f>IFERROR(-+IF(Assumptions!$G$428="Manual",Assumptions!$G$429*K1238*K197*K185,0),0)</f>
        <v>0</v>
      </c>
      <c r="L1241" s="137">
        <f>IFERROR(-+IF(Assumptions!$G$428="Manual",Assumptions!$G$429*L1238*L197*L185,0),0)</f>
        <v>0</v>
      </c>
      <c r="M1241" s="137">
        <f>IFERROR(-+IF(Assumptions!$G$428="Manual",Assumptions!$G$429*M1238*M197*M185,0),0)</f>
        <v>0</v>
      </c>
      <c r="N1241" s="137">
        <f>IFERROR(-+IF(Assumptions!$G$428="Manual",Assumptions!$G$429*N1238*N197*N185,0),0)</f>
        <v>0</v>
      </c>
      <c r="O1241" s="137">
        <f>IFERROR(-+IF(Assumptions!$G$428="Manual",Assumptions!$G$429*O1238*O197*O185,0),0)</f>
        <v>0</v>
      </c>
      <c r="P1241" s="137">
        <f>IFERROR(-+IF(Assumptions!$G$428="Manual",Assumptions!$G$429*P1238*P197*P185,0),0)</f>
        <v>0</v>
      </c>
      <c r="Q1241" s="137">
        <f>IFERROR(-+IF(Assumptions!$G$428="Manual",Assumptions!$G$429*Q1238*Q197*Q185,0),0)</f>
        <v>0</v>
      </c>
      <c r="R1241" s="137">
        <f>IFERROR(-+IF(Assumptions!$G$428="Manual",Assumptions!$G$429*R1238*R197*R185,0),0)</f>
        <v>0</v>
      </c>
      <c r="S1241" s="137">
        <f>IFERROR(-+IF(Assumptions!$G$428="Manual",Assumptions!$G$429*S1238*S197*S185,0),0)</f>
        <v>0</v>
      </c>
      <c r="T1241" s="137">
        <f>IFERROR(-+IF(Assumptions!$G$428="Manual",Assumptions!$G$429*T1238*T197*T185,0),0)</f>
        <v>0</v>
      </c>
      <c r="U1241" s="137">
        <f>IFERROR(-+IF(Assumptions!$G$428="Manual",Assumptions!$G$429*U1238*U197*U185,0),0)</f>
        <v>0</v>
      </c>
      <c r="V1241" s="137">
        <f>IFERROR(-+IF(Assumptions!$G$428="Manual",Assumptions!$G$429*V1238*V197*V185,0),0)</f>
        <v>0</v>
      </c>
      <c r="W1241" s="137">
        <f>IFERROR(-+IF(Assumptions!$G$428="Manual",Assumptions!$G$429*W1238*W197*W185,0),0)</f>
        <v>0</v>
      </c>
      <c r="X1241" s="137">
        <f>IFERROR(-+IF(Assumptions!$G$428="Manual",Assumptions!$G$429*X1238*X197*X185,0),0)</f>
        <v>0</v>
      </c>
      <c r="Y1241" s="137">
        <f>IFERROR(-+IF(Assumptions!$G$428="Manual",Assumptions!$G$429*Y1238*Y197*Y185,0),0)</f>
        <v>0</v>
      </c>
      <c r="Z1241" s="137">
        <f>IFERROR(-+IF(Assumptions!$G$428="Manual",Assumptions!$G$429*Z1238*Z197*Z185,0),0)</f>
        <v>0</v>
      </c>
      <c r="AA1241" s="137">
        <f>IFERROR(-+IF(Assumptions!$G$428="Manual",Assumptions!$G$429*AA1238*AA197*AA185,0),0)</f>
        <v>0</v>
      </c>
      <c r="AB1241" s="137">
        <f>IFERROR(-+IF(Assumptions!$G$428="Manual",Assumptions!$G$429*AB1238*AB197*AB185,0),0)</f>
        <v>0</v>
      </c>
      <c r="AC1241" s="137">
        <f>IFERROR(-+IF(Assumptions!$G$428="Manual",Assumptions!$G$429*AC1238*AC197*AC185,0),0)</f>
        <v>0</v>
      </c>
      <c r="AD1241" s="137">
        <f>IFERROR(-+IF(Assumptions!$G$428="Manual",Assumptions!$G$429*AD1238*AD197*AD185,0),0)</f>
        <v>0</v>
      </c>
      <c r="AE1241" s="137">
        <f>IFERROR(-+IF(Assumptions!$G$428="Manual",Assumptions!$G$429*AE1238*AE197*AE185,0),0)</f>
        <v>0</v>
      </c>
      <c r="AF1241" s="137">
        <f>IFERROR(-+IF(Assumptions!$G$428="Manual",Assumptions!$G$429*AF1238*AF197*AF185,0),0)</f>
        <v>0</v>
      </c>
      <c r="AG1241" s="137">
        <f>IFERROR(-+IF(Assumptions!$G$428="Manual",Assumptions!$G$429*AG1238*AG197*AG185,0),0)</f>
        <v>0</v>
      </c>
      <c r="AH1241" s="137">
        <f>IFERROR(-+IF(Assumptions!$G$428="Manual",Assumptions!$G$429*AH1238*AH197*AH185,0),0)</f>
        <v>0</v>
      </c>
      <c r="AI1241" s="137">
        <f>IFERROR(-+IF(Assumptions!$G$428="Manual",Assumptions!$G$429*AI1238*AI197*AI185,0),0)</f>
        <v>0</v>
      </c>
      <c r="AJ1241" s="137">
        <f>IFERROR(-+IF(Assumptions!$G$428="Manual",Assumptions!$G$429*AJ1238*AJ197*AJ185,0),0)</f>
        <v>0</v>
      </c>
      <c r="AK1241" s="137">
        <f>IFERROR(-+IF(Assumptions!$G$428="Manual",Assumptions!$G$429*AK1238*AK197*AK185,0),0)</f>
        <v>0</v>
      </c>
      <c r="AL1241" s="137">
        <f>IFERROR(-+IF(Assumptions!$G$428="Manual",Assumptions!$G$429*AL1238*AL197*AL185,0),0)</f>
        <v>0</v>
      </c>
      <c r="AM1241" s="137">
        <f>IFERROR(-+IF(Assumptions!$G$428="Manual",Assumptions!$G$429*AM1238*AM197*AM185,0),0)</f>
        <v>0</v>
      </c>
      <c r="AN1241" s="137">
        <f>IFERROR(-+IF(Assumptions!$G$428="Manual",Assumptions!$G$429*AN1238*AN197*AN185,0),0)</f>
        <v>0</v>
      </c>
      <c r="AO1241" s="137">
        <f>IFERROR(-+IF(Assumptions!$G$428="Manual",Assumptions!$G$429*AO1238*AO197*AO185,0),0)</f>
        <v>0</v>
      </c>
      <c r="AP1241" s="137">
        <f>IFERROR(-+IF(Assumptions!$G$428="Manual",Assumptions!$G$429*AP1238*AP197*AP185,0),0)</f>
        <v>0</v>
      </c>
      <c r="AQ1241" s="137">
        <f>IFERROR(-+IF(Assumptions!$G$428="Manual",Assumptions!$G$429*AQ1238*AQ197*AQ185,0),0)</f>
        <v>0</v>
      </c>
      <c r="AR1241" s="137">
        <f>IFERROR(-+IF(Assumptions!$G$428="Manual",Assumptions!$G$429*AR1238*AR197*AR185,0),0)</f>
        <v>0</v>
      </c>
      <c r="AS1241" s="137">
        <f>IFERROR(-+IF(Assumptions!$G$428="Manual",Assumptions!$G$429*AS1238*AS197*AS185,0),0)</f>
        <v>0</v>
      </c>
      <c r="AT1241" s="137">
        <f>IFERROR(-+IF(Assumptions!$G$428="Manual",Assumptions!$G$429*AT1238*AT197*AT185,0),0)</f>
        <v>0</v>
      </c>
      <c r="AU1241" s="137">
        <f>IFERROR(-+IF(Assumptions!$G$428="Manual",Assumptions!$G$429*AU1238*AU197*AU185,0),0)</f>
        <v>0</v>
      </c>
      <c r="AV1241" s="137">
        <f>IFERROR(-+IF(Assumptions!$G$428="Manual",Assumptions!$G$429*AV1238*AV197*AV185,0),0)</f>
        <v>0</v>
      </c>
      <c r="AW1241" s="137">
        <f>IFERROR(-+IF(Assumptions!$G$428="Manual",Assumptions!$G$429*AW1238*AW197*AW185,0),0)</f>
        <v>0</v>
      </c>
      <c r="AX1241" s="137">
        <f>IFERROR(-+IF(Assumptions!$G$428="Manual",Assumptions!$G$429*AX1238*AX197*AX185,0),0)</f>
        <v>0</v>
      </c>
      <c r="AY1241" s="137">
        <f>IFERROR(-+IF(Assumptions!$G$428="Manual",Assumptions!$G$429*AY1238*AY197*AY185,0),0)</f>
        <v>0</v>
      </c>
      <c r="AZ1241" s="137">
        <f>IFERROR(-+IF(Assumptions!$G$428="Manual",Assumptions!$G$429*AZ1238*AZ197*AZ185,0),0)</f>
        <v>0</v>
      </c>
      <c r="BA1241" s="137">
        <f>IFERROR(-+IF(Assumptions!$G$428="Manual",Assumptions!$G$429*BA1238*BA197*BA185,0),0)</f>
        <v>0</v>
      </c>
      <c r="BB1241" s="137">
        <f>IFERROR(-+IF(Assumptions!$G$428="Manual",Assumptions!$G$429*BB1238*BB197*BB185,0),0)</f>
        <v>0</v>
      </c>
      <c r="BC1241" s="137">
        <f>IFERROR(-+IF(Assumptions!$G$428="Manual",Assumptions!$G$429*BC1238*BC197*BC185,0),0)</f>
        <v>0</v>
      </c>
      <c r="BD1241" s="137">
        <f>IFERROR(-+IF(Assumptions!$G$428="Manual",Assumptions!$G$429*BD1238*BD197*BD185,0),0)</f>
        <v>0</v>
      </c>
      <c r="BE1241" s="137">
        <f>IFERROR(-+IF(Assumptions!$G$428="Manual",Assumptions!$G$429*BE1238*BE197*BE185,0),0)</f>
        <v>0</v>
      </c>
      <c r="BF1241" s="137">
        <f>IFERROR(-+IF(Assumptions!$G$428="Manual",Assumptions!$G$429*BF1238*BF197*BF185,0),0)</f>
        <v>0</v>
      </c>
      <c r="BG1241" s="137">
        <f>IFERROR(-+IF(Assumptions!$G$428="Manual",Assumptions!$G$429*BG1238*BG197*BG185,0),0)</f>
        <v>0</v>
      </c>
      <c r="BH1241" s="137">
        <f>IFERROR(-+IF(Assumptions!$G$428="Manual",Assumptions!$G$429*BH1238*BH197*BH185,0),0)</f>
        <v>0</v>
      </c>
      <c r="BI1241" s="137">
        <f>IFERROR(-+IF(Assumptions!$G$428="Manual",Assumptions!$G$429*BI1238*BI197*BI185,0),0)</f>
        <v>0</v>
      </c>
      <c r="BJ1241" s="137">
        <f>IFERROR(-+IF(Assumptions!$G$428="Manual",Assumptions!$G$429*BJ1238*BJ197*BJ185,0),0)</f>
        <v>0</v>
      </c>
      <c r="BK1241" s="137">
        <f>IFERROR(-+IF(Assumptions!$G$428="Manual",Assumptions!$G$429*BK1238*BK197*BK185,0),0)</f>
        <v>0</v>
      </c>
      <c r="BL1241" s="137">
        <f>IFERROR(-+IF(Assumptions!$G$428="Manual",Assumptions!$G$429*BL1238*BL197*BL185,0),0)</f>
        <v>0</v>
      </c>
      <c r="BM1241" s="137">
        <f>IFERROR(-+IF(Assumptions!$G$428="Manual",Assumptions!$G$429*BM1238*BM197*BM185,0),0)</f>
        <v>0</v>
      </c>
      <c r="BN1241" s="137">
        <f>IFERROR(-+IF(Assumptions!$G$428="Manual",Assumptions!$G$429*BN1238*BN197*BN185,0),0)</f>
        <v>0</v>
      </c>
      <c r="BO1241" s="137">
        <f>IFERROR(-+IF(Assumptions!$G$428="Manual",Assumptions!$G$429*BO1238*BO197*BO185,0),0)</f>
        <v>0</v>
      </c>
      <c r="BP1241" s="137">
        <f>IFERROR(-+IF(Assumptions!$G$428="Manual",Assumptions!$G$429*BP1238*BP197*BP185,0),0)</f>
        <v>0</v>
      </c>
      <c r="BQ1241" s="137">
        <f>IFERROR(-+IF(Assumptions!$G$428="Manual",Assumptions!$G$429*BQ1238*BQ197*BQ185,0),0)</f>
        <v>0</v>
      </c>
      <c r="BR1241" s="137">
        <f>IFERROR(-+IF(Assumptions!$G$428="Manual",Assumptions!$G$429*BR1238*BR197*BR185,0),0)</f>
        <v>0</v>
      </c>
      <c r="BS1241" s="137">
        <f>IFERROR(-+IF(Assumptions!$G$428="Manual",Assumptions!$G$429*BS1238*BS197*BS185,0),0)</f>
        <v>0</v>
      </c>
      <c r="BT1241" s="137">
        <f>IFERROR(-+IF(Assumptions!$G$428="Manual",Assumptions!$G$429*BT1238*BT197*BT185,0),0)</f>
        <v>0</v>
      </c>
      <c r="BU1241" s="137">
        <f>IFERROR(-+IF(Assumptions!$G$428="Manual",Assumptions!$G$429*BU1238*BU197*BU185,0),0)</f>
        <v>0</v>
      </c>
      <c r="BV1241" s="137">
        <f>IFERROR(-+IF(Assumptions!$G$428="Manual",Assumptions!$G$429*BV1238*BV197*BV185,0),0)</f>
        <v>0</v>
      </c>
      <c r="BW1241" s="137">
        <f>IFERROR(-+IF(Assumptions!$G$428="Manual",Assumptions!$G$429*BW1238*BW197*BW185,0),0)</f>
        <v>0</v>
      </c>
      <c r="BX1241" s="137">
        <f>IFERROR(-+IF(Assumptions!$G$428="Manual",Assumptions!$G$429*BX1238*BX197*BX185,0),0)</f>
        <v>0</v>
      </c>
      <c r="BY1241" s="137">
        <f>IFERROR(-+IF(Assumptions!$G$428="Manual",Assumptions!$G$429*BY1238*BY197*BY185,0),0)</f>
        <v>0</v>
      </c>
    </row>
    <row r="1242" spans="5:77" s="771" customFormat="1" outlineLevel="1">
      <c r="E1242"/>
      <c r="F1242" s="772"/>
      <c r="G1242"/>
      <c r="H1242" s="137"/>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row>
    <row r="1243" spans="5:77" s="771" customFormat="1" outlineLevel="1">
      <c r="E1243" t="s">
        <v>615</v>
      </c>
      <c r="F1243" s="772" t="s">
        <v>549</v>
      </c>
      <c r="G1243"/>
      <c r="H1243" s="137">
        <f ca="1">+SUM(H1239:BY1239)+SUM(H1241:BY1241)</f>
        <v>0</v>
      </c>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row>
    <row r="1244" spans="5:77" s="771" customFormat="1" outlineLevel="1">
      <c r="E1244"/>
      <c r="F1244" s="772"/>
      <c r="G1244"/>
      <c r="H1244" s="137"/>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row>
    <row r="1245" spans="5:77" s="771" customFormat="1" outlineLevel="1">
      <c r="E1245"/>
      <c r="F1245" s="772"/>
      <c r="G1245"/>
      <c r="H1245" s="137"/>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row>
    <row r="1246" spans="5:77" s="771" customFormat="1" outlineLevel="1">
      <c r="E1246" t="s">
        <v>96</v>
      </c>
      <c r="F1246" s="772" t="s">
        <v>159</v>
      </c>
      <c r="G1246"/>
      <c r="H1246" s="137" t="b">
        <f>+IFERROR(IF(Assumptions!$G$446="Yes",-Assumptions!$G$447*Assumptions!$G$448*$H$185*Assumptions!$G$268*H191*H197),0)</f>
        <v>0</v>
      </c>
      <c r="I1246" s="137" t="b">
        <f>+IFERROR(IF(Assumptions!$G$446="Yes",-Assumptions!$G$447*Assumptions!$G$448*$H$185*Assumptions!$G$268*I191*I197),0)</f>
        <v>0</v>
      </c>
      <c r="J1246" s="137" t="b">
        <f>+IFERROR(IF(Assumptions!$G$446="Yes",-Assumptions!$G$447*Assumptions!$G$448*$H$185*Assumptions!$G$268*J191*J197),0)</f>
        <v>0</v>
      </c>
      <c r="K1246" s="137" t="b">
        <f>+IFERROR(IF(Assumptions!$G$446="Yes",-Assumptions!$G$447*Assumptions!$G$448*$H$185*Assumptions!$G$268*K191*K197),0)</f>
        <v>0</v>
      </c>
      <c r="L1246" s="137" t="b">
        <f>+IFERROR(IF(Assumptions!$G$446="Yes",-Assumptions!$G$447*Assumptions!$G$448*$H$185*Assumptions!$G$268*L191*L197),0)</f>
        <v>0</v>
      </c>
      <c r="M1246" s="137" t="b">
        <f>+IFERROR(IF(Assumptions!$G$446="Yes",-Assumptions!$G$447*Assumptions!$G$448*$H$185*Assumptions!$G$268*M191*M197),0)</f>
        <v>0</v>
      </c>
      <c r="N1246" s="137" t="b">
        <f>+IFERROR(IF(Assumptions!$G$446="Yes",-Assumptions!$G$447*Assumptions!$G$448*$H$185*Assumptions!$G$268*N191*N197),0)</f>
        <v>0</v>
      </c>
      <c r="O1246" s="137" t="b">
        <f>+IFERROR(IF(Assumptions!$G$446="Yes",-Assumptions!$G$447*Assumptions!$G$448*$H$185*Assumptions!$G$268*O191*O197),0)</f>
        <v>0</v>
      </c>
      <c r="P1246" s="137" t="b">
        <f>+IFERROR(IF(Assumptions!$G$446="Yes",-Assumptions!$G$447*Assumptions!$G$448*$H$185*Assumptions!$G$268*P191*P197),0)</f>
        <v>0</v>
      </c>
      <c r="Q1246" s="137" t="b">
        <f>+IFERROR(IF(Assumptions!$G$446="Yes",-Assumptions!$G$447*Assumptions!$G$448*$H$185*Assumptions!$G$268*Q191*Q197),0)</f>
        <v>0</v>
      </c>
      <c r="R1246" s="137" t="b">
        <f>+IFERROR(IF(Assumptions!$G$446="Yes",-Assumptions!$G$447*Assumptions!$G$448*$H$185*Assumptions!$G$268*R191*R197),0)</f>
        <v>0</v>
      </c>
      <c r="S1246" s="137" t="b">
        <f>+IFERROR(IF(Assumptions!$G$446="Yes",-Assumptions!$G$447*Assumptions!$G$448*$H$185*Assumptions!$G$268*S191*S197),0)</f>
        <v>0</v>
      </c>
      <c r="T1246" s="137" t="b">
        <f>+IFERROR(IF(Assumptions!$G$446="Yes",-Assumptions!$G$447*Assumptions!$G$448*$H$185*Assumptions!$G$268*T191*T197),0)</f>
        <v>0</v>
      </c>
      <c r="U1246" s="137" t="b">
        <f>+IFERROR(IF(Assumptions!$G$446="Yes",-Assumptions!$G$447*Assumptions!$G$448*$H$185*Assumptions!$G$268*U191*U197),0)</f>
        <v>0</v>
      </c>
      <c r="V1246" s="137" t="b">
        <f>+IFERROR(IF(Assumptions!$G$446="Yes",-Assumptions!$G$447*Assumptions!$G$448*$H$185*Assumptions!$G$268*V191*V197),0)</f>
        <v>0</v>
      </c>
      <c r="W1246" s="137" t="b">
        <f>+IFERROR(IF(Assumptions!$G$446="Yes",-Assumptions!$G$447*Assumptions!$G$448*$H$185*Assumptions!$G$268*W191*W197),0)</f>
        <v>0</v>
      </c>
      <c r="X1246" s="137" t="b">
        <f>+IFERROR(IF(Assumptions!$G$446="Yes",-Assumptions!$G$447*Assumptions!$G$448*$H$185*Assumptions!$G$268*X191*X197),0)</f>
        <v>0</v>
      </c>
      <c r="Y1246" s="137" t="b">
        <f>+IFERROR(IF(Assumptions!$G$446="Yes",-Assumptions!$G$447*Assumptions!$G$448*$H$185*Assumptions!$G$268*Y191*Y197),0)</f>
        <v>0</v>
      </c>
      <c r="Z1246" s="137" t="b">
        <f>+IFERROR(IF(Assumptions!$G$446="Yes",-Assumptions!$G$447*Assumptions!$G$448*$H$185*Assumptions!$G$268*Z191*Z197),0)</f>
        <v>0</v>
      </c>
      <c r="AA1246" s="137" t="b">
        <f>+IFERROR(IF(Assumptions!$G$446="Yes",-Assumptions!$G$447*Assumptions!$G$448*$H$185*Assumptions!$G$268*AA191*AA197),0)</f>
        <v>0</v>
      </c>
      <c r="AB1246" s="137" t="b">
        <f>+IFERROR(IF(Assumptions!$G$446="Yes",-Assumptions!$G$447*Assumptions!$G$448*$H$185*Assumptions!$G$268*AB191*AB197),0)</f>
        <v>0</v>
      </c>
      <c r="AC1246" s="137" t="b">
        <f>+IFERROR(IF(Assumptions!$G$446="Yes",-Assumptions!$G$447*Assumptions!$G$448*$H$185*Assumptions!$G$268*AC191*AC197),0)</f>
        <v>0</v>
      </c>
      <c r="AD1246" s="137" t="b">
        <f>+IFERROR(IF(Assumptions!$G$446="Yes",-Assumptions!$G$447*Assumptions!$G$448*$H$185*Assumptions!$G$268*AD191*AD197),0)</f>
        <v>0</v>
      </c>
      <c r="AE1246" s="137" t="b">
        <f>+IFERROR(IF(Assumptions!$G$446="Yes",-Assumptions!$G$447*Assumptions!$G$448*$H$185*Assumptions!$G$268*AE191*AE197),0)</f>
        <v>0</v>
      </c>
      <c r="AF1246" s="137" t="b">
        <f>+IFERROR(IF(Assumptions!$G$446="Yes",-Assumptions!$G$447*Assumptions!$G$448*$H$185*Assumptions!$G$268*AF191*AF197),0)</f>
        <v>0</v>
      </c>
      <c r="AG1246" s="137" t="b">
        <f>+IFERROR(IF(Assumptions!$G$446="Yes",-Assumptions!$G$447*Assumptions!$G$448*$H$185*Assumptions!$G$268*AG191*AG197),0)</f>
        <v>0</v>
      </c>
      <c r="AH1246" s="137" t="b">
        <f>+IFERROR(IF(Assumptions!$G$446="Yes",-Assumptions!$G$447*Assumptions!$G$448*$H$185*Assumptions!$G$268*AH191*AH197),0)</f>
        <v>0</v>
      </c>
      <c r="AI1246" s="137" t="b">
        <f>+IFERROR(IF(Assumptions!$G$446="Yes",-Assumptions!$G$447*Assumptions!$G$448*$H$185*Assumptions!$G$268*AI191*AI197),0)</f>
        <v>0</v>
      </c>
      <c r="AJ1246" s="137" t="b">
        <f>+IFERROR(IF(Assumptions!$G$446="Yes",-Assumptions!$G$447*Assumptions!$G$448*$H$185*Assumptions!$G$268*AJ191*AJ197),0)</f>
        <v>0</v>
      </c>
      <c r="AK1246" s="137" t="b">
        <f>+IFERROR(IF(Assumptions!$G$446="Yes",-Assumptions!$G$447*Assumptions!$G$448*$H$185*Assumptions!$G$268*AK191*AK197),0)</f>
        <v>0</v>
      </c>
      <c r="AL1246" s="137" t="b">
        <f>+IFERROR(IF(Assumptions!$G$446="Yes",-Assumptions!$G$447*Assumptions!$G$448*$H$185*Assumptions!$G$268*AL191*AL197),0)</f>
        <v>0</v>
      </c>
      <c r="AM1246" s="137" t="b">
        <f>+IFERROR(IF(Assumptions!$G$446="Yes",-Assumptions!$G$447*Assumptions!$G$448*$H$185*Assumptions!$G$268*AM191*AM197),0)</f>
        <v>0</v>
      </c>
      <c r="AN1246" s="137" t="b">
        <f>+IFERROR(IF(Assumptions!$G$446="Yes",-Assumptions!$G$447*Assumptions!$G$448*$H$185*Assumptions!$G$268*AN191*AN197),0)</f>
        <v>0</v>
      </c>
      <c r="AO1246" s="137" t="b">
        <f>+IFERROR(IF(Assumptions!$G$446="Yes",-Assumptions!$G$447*Assumptions!$G$448*$H$185*Assumptions!$G$268*AO191*AO197),0)</f>
        <v>0</v>
      </c>
      <c r="AP1246" s="137" t="b">
        <f>+IFERROR(IF(Assumptions!$G$446="Yes",-Assumptions!$G$447*Assumptions!$G$448*$H$185*Assumptions!$G$268*AP191*AP197),0)</f>
        <v>0</v>
      </c>
      <c r="AQ1246" s="137" t="b">
        <f>+IFERROR(IF(Assumptions!$G$446="Yes",-Assumptions!$G$447*Assumptions!$G$448*$H$185*Assumptions!$G$268*AQ191*AQ197),0)</f>
        <v>0</v>
      </c>
      <c r="AR1246" s="137" t="b">
        <f>+IFERROR(IF(Assumptions!$G$446="Yes",-Assumptions!$G$447*Assumptions!$G$448*$H$185*Assumptions!$G$268*AR191*AR197),0)</f>
        <v>0</v>
      </c>
      <c r="AS1246" s="137" t="b">
        <f>+IFERROR(IF(Assumptions!$G$446="Yes",-Assumptions!$G$447*Assumptions!$G$448*$H$185*Assumptions!$G$268*AS191*AS197),0)</f>
        <v>0</v>
      </c>
      <c r="AT1246" s="137" t="b">
        <f>+IFERROR(IF(Assumptions!$G$446="Yes",-Assumptions!$G$447*Assumptions!$G$448*$H$185*Assumptions!$G$268*AT191*AT197),0)</f>
        <v>0</v>
      </c>
      <c r="AU1246" s="137" t="b">
        <f>+IFERROR(IF(Assumptions!$G$446="Yes",-Assumptions!$G$447*Assumptions!$G$448*$H$185*Assumptions!$G$268*AU191*AU197),0)</f>
        <v>0</v>
      </c>
      <c r="AV1246" s="137" t="b">
        <f>+IFERROR(IF(Assumptions!$G$446="Yes",-Assumptions!$G$447*Assumptions!$G$448*$H$185*Assumptions!$G$268*AV191*AV197),0)</f>
        <v>0</v>
      </c>
      <c r="AW1246" s="137" t="b">
        <f>+IFERROR(IF(Assumptions!$G$446="Yes",-Assumptions!$G$447*Assumptions!$G$448*$H$185*Assumptions!$G$268*AW191*AW197),0)</f>
        <v>0</v>
      </c>
      <c r="AX1246" s="137" t="b">
        <f>+IFERROR(IF(Assumptions!$G$446="Yes",-Assumptions!$G$447*Assumptions!$G$448*$H$185*Assumptions!$G$268*AX191*AX197),0)</f>
        <v>0</v>
      </c>
      <c r="AY1246" s="137" t="b">
        <f>+IFERROR(IF(Assumptions!$G$446="Yes",-Assumptions!$G$447*Assumptions!$G$448*$H$185*Assumptions!$G$268*AY191*AY197),0)</f>
        <v>0</v>
      </c>
      <c r="AZ1246" s="137" t="b">
        <f>+IFERROR(IF(Assumptions!$G$446="Yes",-Assumptions!$G$447*Assumptions!$G$448*$H$185*Assumptions!$G$268*AZ191*AZ197),0)</f>
        <v>0</v>
      </c>
      <c r="BA1246" s="137" t="b">
        <f>+IFERROR(IF(Assumptions!$G$446="Yes",-Assumptions!$G$447*Assumptions!$G$448*$H$185*Assumptions!$G$268*BA191*BA197),0)</f>
        <v>0</v>
      </c>
      <c r="BB1246" s="137" t="b">
        <f>+IFERROR(IF(Assumptions!$G$446="Yes",-Assumptions!$G$447*Assumptions!$G$448*$H$185*Assumptions!$G$268*BB191*BB197),0)</f>
        <v>0</v>
      </c>
      <c r="BC1246" s="137" t="b">
        <f>+IFERROR(IF(Assumptions!$G$446="Yes",-Assumptions!$G$447*Assumptions!$G$448*$H$185*Assumptions!$G$268*BC191*BC197),0)</f>
        <v>0</v>
      </c>
      <c r="BD1246" s="137" t="b">
        <f>+IFERROR(IF(Assumptions!$G$446="Yes",-Assumptions!$G$447*Assumptions!$G$448*$H$185*Assumptions!$G$268*BD191*BD197),0)</f>
        <v>0</v>
      </c>
      <c r="BE1246" s="137" t="b">
        <f>+IFERROR(IF(Assumptions!$G$446="Yes",-Assumptions!$G$447*Assumptions!$G$448*$H$185*Assumptions!$G$268*BE191*BE197),0)</f>
        <v>0</v>
      </c>
      <c r="BF1246" s="137" t="b">
        <f>+IFERROR(IF(Assumptions!$G$446="Yes",-Assumptions!$G$447*Assumptions!$G$448*$H$185*Assumptions!$G$268*BF191*BF197),0)</f>
        <v>0</v>
      </c>
      <c r="BG1246" s="137" t="b">
        <f>+IFERROR(IF(Assumptions!$G$446="Yes",-Assumptions!$G$447*Assumptions!$G$448*$H$185*Assumptions!$G$268*BG191*BG197),0)</f>
        <v>0</v>
      </c>
      <c r="BH1246" s="137" t="b">
        <f>+IFERROR(IF(Assumptions!$G$446="Yes",-Assumptions!$G$447*Assumptions!$G$448*$H$185*Assumptions!$G$268*BH191*BH197),0)</f>
        <v>0</v>
      </c>
      <c r="BI1246" s="137" t="b">
        <f>+IFERROR(IF(Assumptions!$G$446="Yes",-Assumptions!$G$447*Assumptions!$G$448*$H$185*Assumptions!$G$268*BI191*BI197),0)</f>
        <v>0</v>
      </c>
      <c r="BJ1246" s="137" t="b">
        <f>+IFERROR(IF(Assumptions!$G$446="Yes",-Assumptions!$G$447*Assumptions!$G$448*$H$185*Assumptions!$G$268*BJ191*BJ197),0)</f>
        <v>0</v>
      </c>
      <c r="BK1246" s="137" t="b">
        <f>+IFERROR(IF(Assumptions!$G$446="Yes",-Assumptions!$G$447*Assumptions!$G$448*$H$185*Assumptions!$G$268*BK191*BK197),0)</f>
        <v>0</v>
      </c>
      <c r="BL1246" s="137" t="b">
        <f>+IFERROR(IF(Assumptions!$G$446="Yes",-Assumptions!$G$447*Assumptions!$G$448*$H$185*Assumptions!$G$268*BL191*BL197),0)</f>
        <v>0</v>
      </c>
      <c r="BM1246" s="137" t="b">
        <f>+IFERROR(IF(Assumptions!$G$446="Yes",-Assumptions!$G$447*Assumptions!$G$448*$H$185*Assumptions!$G$268*BM191*BM197),0)</f>
        <v>0</v>
      </c>
      <c r="BN1246" s="137" t="b">
        <f>+IFERROR(IF(Assumptions!$G$446="Yes",-Assumptions!$G$447*Assumptions!$G$448*$H$185*Assumptions!$G$268*BN191*BN197),0)</f>
        <v>0</v>
      </c>
      <c r="BO1246" s="137" t="b">
        <f>+IFERROR(IF(Assumptions!$G$446="Yes",-Assumptions!$G$447*Assumptions!$G$448*$H$185*Assumptions!$G$268*BO191*BO197),0)</f>
        <v>0</v>
      </c>
      <c r="BP1246" s="137" t="b">
        <f>+IFERROR(IF(Assumptions!$G$446="Yes",-Assumptions!$G$447*Assumptions!$G$448*$H$185*Assumptions!$G$268*BP191*BP197),0)</f>
        <v>0</v>
      </c>
      <c r="BQ1246" s="137" t="b">
        <f>+IFERROR(IF(Assumptions!$G$446="Yes",-Assumptions!$G$447*Assumptions!$G$448*$H$185*Assumptions!$G$268*BQ191*BQ197),0)</f>
        <v>0</v>
      </c>
      <c r="BR1246" s="137" t="b">
        <f>+IFERROR(IF(Assumptions!$G$446="Yes",-Assumptions!$G$447*Assumptions!$G$448*$H$185*Assumptions!$G$268*BR191*BR197),0)</f>
        <v>0</v>
      </c>
      <c r="BS1246" s="137" t="b">
        <f>+IFERROR(IF(Assumptions!$G$446="Yes",-Assumptions!$G$447*Assumptions!$G$448*$H$185*Assumptions!$G$268*BS191*BS197),0)</f>
        <v>0</v>
      </c>
      <c r="BT1246" s="137" t="b">
        <f>+IFERROR(IF(Assumptions!$G$446="Yes",-Assumptions!$G$447*Assumptions!$G$448*$H$185*Assumptions!$G$268*BT191*BT197),0)</f>
        <v>0</v>
      </c>
      <c r="BU1246" s="137" t="b">
        <f>+IFERROR(IF(Assumptions!$G$446="Yes",-Assumptions!$G$447*Assumptions!$G$448*$H$185*Assumptions!$G$268*BU191*BU197),0)</f>
        <v>0</v>
      </c>
      <c r="BV1246" s="137" t="b">
        <f>+IFERROR(IF(Assumptions!$G$446="Yes",-Assumptions!$G$447*Assumptions!$G$448*$H$185*Assumptions!$G$268*BV191*BV197),0)</f>
        <v>0</v>
      </c>
      <c r="BW1246" s="137" t="b">
        <f>+IFERROR(IF(Assumptions!$G$446="Yes",-Assumptions!$G$447*Assumptions!$G$448*$H$185*Assumptions!$G$268*BW191*BW197),0)</f>
        <v>0</v>
      </c>
      <c r="BX1246" s="137" t="b">
        <f>+IFERROR(IF(Assumptions!$G$446="Yes",-Assumptions!$G$447*Assumptions!$G$448*$H$185*Assumptions!$G$268*BX191*BX197),0)</f>
        <v>0</v>
      </c>
      <c r="BY1246" s="137" t="b">
        <f>+IFERROR(IF(Assumptions!$G$446="Yes",-Assumptions!$G$447*Assumptions!$G$448*$H$185*Assumptions!$G$268*BY191*BY197),0)</f>
        <v>0</v>
      </c>
    </row>
    <row r="1247" spans="5:77" s="771" customFormat="1" outlineLevel="1">
      <c r="E1247" t="s">
        <v>619</v>
      </c>
      <c r="F1247" s="772" t="s">
        <v>549</v>
      </c>
      <c r="G1247"/>
      <c r="H1247" s="137">
        <f ca="1">+H1246*H1238</f>
        <v>0</v>
      </c>
      <c r="I1247" s="137">
        <f t="shared" ref="I1247:BT1247" ca="1" si="2491">+I1246*I1238</f>
        <v>0</v>
      </c>
      <c r="J1247" s="137">
        <f t="shared" ca="1" si="2491"/>
        <v>0</v>
      </c>
      <c r="K1247" s="137">
        <f t="shared" ca="1" si="2491"/>
        <v>0</v>
      </c>
      <c r="L1247" s="137">
        <f t="shared" ca="1" si="2491"/>
        <v>0</v>
      </c>
      <c r="M1247" s="137">
        <f t="shared" ca="1" si="2491"/>
        <v>0</v>
      </c>
      <c r="N1247" s="137">
        <f t="shared" ca="1" si="2491"/>
        <v>0</v>
      </c>
      <c r="O1247" s="137">
        <f t="shared" ca="1" si="2491"/>
        <v>0</v>
      </c>
      <c r="P1247" s="137">
        <f t="shared" ca="1" si="2491"/>
        <v>0</v>
      </c>
      <c r="Q1247" s="137">
        <f t="shared" ca="1" si="2491"/>
        <v>0</v>
      </c>
      <c r="R1247" s="137">
        <f t="shared" ca="1" si="2491"/>
        <v>0</v>
      </c>
      <c r="S1247" s="137">
        <f t="shared" ca="1" si="2491"/>
        <v>0</v>
      </c>
      <c r="T1247" s="137">
        <f t="shared" ca="1" si="2491"/>
        <v>0</v>
      </c>
      <c r="U1247" s="137">
        <f t="shared" ca="1" si="2491"/>
        <v>0</v>
      </c>
      <c r="V1247" s="137">
        <f t="shared" ca="1" si="2491"/>
        <v>0</v>
      </c>
      <c r="W1247" s="137">
        <f t="shared" ca="1" si="2491"/>
        <v>0</v>
      </c>
      <c r="X1247" s="137">
        <f t="shared" ca="1" si="2491"/>
        <v>0</v>
      </c>
      <c r="Y1247" s="137">
        <f t="shared" ca="1" si="2491"/>
        <v>0</v>
      </c>
      <c r="Z1247" s="137">
        <f t="shared" ca="1" si="2491"/>
        <v>0</v>
      </c>
      <c r="AA1247" s="137">
        <f t="shared" ca="1" si="2491"/>
        <v>0</v>
      </c>
      <c r="AB1247" s="137">
        <f t="shared" ca="1" si="2491"/>
        <v>0</v>
      </c>
      <c r="AC1247" s="137">
        <f t="shared" ca="1" si="2491"/>
        <v>0</v>
      </c>
      <c r="AD1247" s="137">
        <f t="shared" ca="1" si="2491"/>
        <v>0</v>
      </c>
      <c r="AE1247" s="137">
        <f t="shared" ca="1" si="2491"/>
        <v>0</v>
      </c>
      <c r="AF1247" s="137">
        <f t="shared" ca="1" si="2491"/>
        <v>0</v>
      </c>
      <c r="AG1247" s="137">
        <f t="shared" ca="1" si="2491"/>
        <v>0</v>
      </c>
      <c r="AH1247" s="137">
        <f t="shared" ca="1" si="2491"/>
        <v>0</v>
      </c>
      <c r="AI1247" s="137">
        <f t="shared" ca="1" si="2491"/>
        <v>0</v>
      </c>
      <c r="AJ1247" s="137">
        <f t="shared" ca="1" si="2491"/>
        <v>0</v>
      </c>
      <c r="AK1247" s="137">
        <f t="shared" ca="1" si="2491"/>
        <v>0</v>
      </c>
      <c r="AL1247" s="137">
        <f t="shared" ca="1" si="2491"/>
        <v>0</v>
      </c>
      <c r="AM1247" s="137">
        <f t="shared" ca="1" si="2491"/>
        <v>0</v>
      </c>
      <c r="AN1247" s="137">
        <f t="shared" ca="1" si="2491"/>
        <v>0</v>
      </c>
      <c r="AO1247" s="137">
        <f t="shared" ca="1" si="2491"/>
        <v>0</v>
      </c>
      <c r="AP1247" s="137">
        <f t="shared" ca="1" si="2491"/>
        <v>0</v>
      </c>
      <c r="AQ1247" s="137">
        <f t="shared" ca="1" si="2491"/>
        <v>0</v>
      </c>
      <c r="AR1247" s="137">
        <f t="shared" ca="1" si="2491"/>
        <v>0</v>
      </c>
      <c r="AS1247" s="137">
        <f t="shared" ca="1" si="2491"/>
        <v>0</v>
      </c>
      <c r="AT1247" s="137">
        <f t="shared" ca="1" si="2491"/>
        <v>0</v>
      </c>
      <c r="AU1247" s="137">
        <f t="shared" ca="1" si="2491"/>
        <v>0</v>
      </c>
      <c r="AV1247" s="137">
        <f t="shared" ca="1" si="2491"/>
        <v>0</v>
      </c>
      <c r="AW1247" s="137">
        <f t="shared" ca="1" si="2491"/>
        <v>0</v>
      </c>
      <c r="AX1247" s="137">
        <f t="shared" ca="1" si="2491"/>
        <v>0</v>
      </c>
      <c r="AY1247" s="137">
        <f t="shared" ca="1" si="2491"/>
        <v>0</v>
      </c>
      <c r="AZ1247" s="137">
        <f t="shared" ca="1" si="2491"/>
        <v>0</v>
      </c>
      <c r="BA1247" s="137">
        <f t="shared" ca="1" si="2491"/>
        <v>0</v>
      </c>
      <c r="BB1247" s="137">
        <f t="shared" ca="1" si="2491"/>
        <v>0</v>
      </c>
      <c r="BC1247" s="137">
        <f t="shared" ca="1" si="2491"/>
        <v>0</v>
      </c>
      <c r="BD1247" s="137">
        <f t="shared" ca="1" si="2491"/>
        <v>0</v>
      </c>
      <c r="BE1247" s="137">
        <f t="shared" ca="1" si="2491"/>
        <v>0</v>
      </c>
      <c r="BF1247" s="137">
        <f t="shared" ca="1" si="2491"/>
        <v>0</v>
      </c>
      <c r="BG1247" s="137">
        <f t="shared" ca="1" si="2491"/>
        <v>0</v>
      </c>
      <c r="BH1247" s="137">
        <f t="shared" ca="1" si="2491"/>
        <v>0</v>
      </c>
      <c r="BI1247" s="137">
        <f t="shared" ca="1" si="2491"/>
        <v>0</v>
      </c>
      <c r="BJ1247" s="137">
        <f t="shared" ca="1" si="2491"/>
        <v>0</v>
      </c>
      <c r="BK1247" s="137">
        <f t="shared" ca="1" si="2491"/>
        <v>0</v>
      </c>
      <c r="BL1247" s="137">
        <f t="shared" ca="1" si="2491"/>
        <v>0</v>
      </c>
      <c r="BM1247" s="137">
        <f t="shared" ca="1" si="2491"/>
        <v>0</v>
      </c>
      <c r="BN1247" s="137">
        <f t="shared" ca="1" si="2491"/>
        <v>0</v>
      </c>
      <c r="BO1247" s="137">
        <f t="shared" ca="1" si="2491"/>
        <v>0</v>
      </c>
      <c r="BP1247" s="137">
        <f t="shared" ca="1" si="2491"/>
        <v>0</v>
      </c>
      <c r="BQ1247" s="137">
        <f t="shared" ca="1" si="2491"/>
        <v>0</v>
      </c>
      <c r="BR1247" s="137">
        <f t="shared" ca="1" si="2491"/>
        <v>0</v>
      </c>
      <c r="BS1247" s="137">
        <f t="shared" ca="1" si="2491"/>
        <v>0</v>
      </c>
      <c r="BT1247" s="137">
        <f t="shared" ca="1" si="2491"/>
        <v>0</v>
      </c>
      <c r="BU1247" s="137">
        <f t="shared" ref="BU1247:BY1247" ca="1" si="2492">+BU1246*BU1238</f>
        <v>0</v>
      </c>
      <c r="BV1247" s="137">
        <f t="shared" ca="1" si="2492"/>
        <v>0</v>
      </c>
      <c r="BW1247" s="137">
        <f t="shared" ca="1" si="2492"/>
        <v>0</v>
      </c>
      <c r="BX1247" s="137">
        <f t="shared" ca="1" si="2492"/>
        <v>0</v>
      </c>
      <c r="BY1247" s="137">
        <f t="shared" ca="1" si="2492"/>
        <v>0</v>
      </c>
    </row>
    <row r="1248" spans="5:77" s="771" customFormat="1" ht="12.75" outlineLevel="1"/>
    <row r="1249" spans="1:77" s="771" customFormat="1" ht="12.75" outlineLevel="1"/>
    <row r="1250" spans="1:77" s="19" customFormat="1" ht="12.75" outlineLevel="1">
      <c r="A1250" s="771"/>
      <c r="B1250" s="18" t="str">
        <f>+Assumptions!C435</f>
        <v>5.3 Green vessel</v>
      </c>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5"/>
      <c r="AE1250" s="35"/>
      <c r="AF1250" s="35"/>
      <c r="AG1250" s="35"/>
      <c r="AH1250" s="35"/>
      <c r="AI1250" s="35"/>
      <c r="AJ1250" s="35"/>
      <c r="AK1250" s="35"/>
      <c r="AL1250" s="35"/>
      <c r="AM1250" s="35"/>
      <c r="AN1250" s="35"/>
      <c r="AO1250" s="35"/>
      <c r="AP1250" s="35"/>
      <c r="AQ1250" s="35"/>
      <c r="AR1250" s="35"/>
      <c r="AS1250" s="35"/>
      <c r="AT1250" s="35"/>
      <c r="AU1250" s="35"/>
      <c r="AV1250" s="35"/>
      <c r="AW1250" s="35"/>
      <c r="AX1250" s="35"/>
      <c r="AY1250" s="35"/>
      <c r="AZ1250" s="35"/>
      <c r="BA1250" s="35"/>
      <c r="BB1250" s="35"/>
      <c r="BC1250" s="35"/>
      <c r="BD1250" s="35"/>
      <c r="BE1250" s="35"/>
      <c r="BF1250" s="35"/>
      <c r="BG1250" s="35"/>
      <c r="BH1250" s="35"/>
      <c r="BI1250" s="35"/>
      <c r="BJ1250" s="35"/>
      <c r="BK1250" s="35"/>
      <c r="BL1250" s="35"/>
      <c r="BM1250" s="35"/>
      <c r="BN1250" s="35"/>
      <c r="BO1250" s="35"/>
      <c r="BP1250" s="35"/>
      <c r="BQ1250" s="35"/>
      <c r="BR1250" s="35"/>
      <c r="BS1250" s="35"/>
      <c r="BT1250" s="35"/>
      <c r="BU1250" s="35"/>
      <c r="BV1250" s="35"/>
      <c r="BW1250" s="35"/>
      <c r="BX1250" s="35"/>
      <c r="BY1250" s="35"/>
    </row>
    <row r="1251" spans="1:77" s="19" customFormat="1" outlineLevel="1">
      <c r="A1251" s="77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row>
    <row r="1252" spans="1:77" s="19" customFormat="1" outlineLevel="1">
      <c r="A1252" s="771"/>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row>
    <row r="1253" spans="1:77" s="19" customFormat="1" outlineLevel="1">
      <c r="A1253" s="771"/>
      <c r="B1253"/>
      <c r="C1253"/>
      <c r="D1253"/>
      <c r="E1253" t="s">
        <v>612</v>
      </c>
      <c r="F1253" s="80" t="s">
        <v>178</v>
      </c>
      <c r="G1253"/>
      <c r="H1253" s="41">
        <f>+IF(Assumptions!$G$436="Share",Assumptions!$G$438,0)</f>
        <v>0.5</v>
      </c>
      <c r="I1253" s="41">
        <f>+IF(Assumptions!$G$436="Share",Assumptions!$G$438,0)</f>
        <v>0.5</v>
      </c>
      <c r="J1253" s="41">
        <f>+IF(Assumptions!$G$436="Share",Assumptions!$G$438,0)</f>
        <v>0.5</v>
      </c>
      <c r="K1253" s="41">
        <f>+IF(Assumptions!$G$436="Share",Assumptions!$G$438,0)</f>
        <v>0.5</v>
      </c>
      <c r="L1253" s="41">
        <f>+IF(Assumptions!$G$436="Share",Assumptions!$G$438,0)</f>
        <v>0.5</v>
      </c>
      <c r="M1253" s="41">
        <f>+IF(Assumptions!$G$436="Share",Assumptions!$G$438,0)</f>
        <v>0.5</v>
      </c>
      <c r="N1253" s="41">
        <f>+IF(Assumptions!$G$436="Share",Assumptions!$G$438,0)</f>
        <v>0.5</v>
      </c>
      <c r="O1253" s="41">
        <f>+IF(Assumptions!$G$436="Share",Assumptions!$G$438,0)</f>
        <v>0.5</v>
      </c>
      <c r="P1253" s="41">
        <f>+IF(Assumptions!$G$436="Share",Assumptions!$G$438,0)</f>
        <v>0.5</v>
      </c>
      <c r="Q1253" s="41">
        <f>+IF(Assumptions!$G$436="Share",Assumptions!$G$438,0)</f>
        <v>0.5</v>
      </c>
      <c r="R1253" s="41">
        <f>+IF(Assumptions!$G$436="Share",Assumptions!$G$438,0)</f>
        <v>0.5</v>
      </c>
      <c r="S1253" s="41">
        <f>+IF(Assumptions!$G$436="Share",Assumptions!$G$438,0)</f>
        <v>0.5</v>
      </c>
      <c r="T1253" s="41">
        <f>+IF(Assumptions!$G$436="Share",Assumptions!$G$438,0)</f>
        <v>0.5</v>
      </c>
      <c r="U1253" s="41">
        <f>+IF(Assumptions!$G$436="Share",Assumptions!$G$438,0)</f>
        <v>0.5</v>
      </c>
      <c r="V1253" s="41">
        <f>+IF(Assumptions!$G$436="Share",Assumptions!$G$438,0)</f>
        <v>0.5</v>
      </c>
      <c r="W1253" s="41">
        <f>+IF(Assumptions!$G$436="Share",Assumptions!$G$438,0)</f>
        <v>0.5</v>
      </c>
      <c r="X1253" s="41">
        <f>+IF(Assumptions!$G$436="Share",Assumptions!$G$438,0)</f>
        <v>0.5</v>
      </c>
      <c r="Y1253" s="41">
        <f>+IF(Assumptions!$G$436="Share",Assumptions!$G$438,0)</f>
        <v>0.5</v>
      </c>
      <c r="Z1253" s="41">
        <f>+IF(Assumptions!$G$436="Share",Assumptions!$G$438,0)</f>
        <v>0.5</v>
      </c>
      <c r="AA1253" s="41">
        <f>+IF(Assumptions!$G$436="Share",Assumptions!$G$438,0)</f>
        <v>0.5</v>
      </c>
      <c r="AB1253" s="41">
        <f>+IF(Assumptions!$G$436="Share",Assumptions!$G$438,0)</f>
        <v>0.5</v>
      </c>
      <c r="AC1253" s="41">
        <f>+IF(Assumptions!$G$436="Share",Assumptions!$G$438,0)</f>
        <v>0.5</v>
      </c>
      <c r="AD1253" s="41">
        <f>+IF(Assumptions!$G$436="Share",Assumptions!$G$438,0)</f>
        <v>0.5</v>
      </c>
      <c r="AE1253" s="41">
        <f>+IF(Assumptions!$G$436="Share",Assumptions!$G$438,0)</f>
        <v>0.5</v>
      </c>
      <c r="AF1253" s="41">
        <f>+IF(Assumptions!$G$436="Share",Assumptions!$G$438,0)</f>
        <v>0.5</v>
      </c>
      <c r="AG1253" s="41">
        <f>+IF(Assumptions!$G$436="Share",Assumptions!$G$438,0)</f>
        <v>0.5</v>
      </c>
      <c r="AH1253" s="41">
        <f>+IF(Assumptions!$G$436="Share",Assumptions!$G$438,0)</f>
        <v>0.5</v>
      </c>
      <c r="AI1253" s="41">
        <f>+IF(Assumptions!$G$436="Share",Assumptions!$G$438,0)</f>
        <v>0.5</v>
      </c>
      <c r="AJ1253" s="41">
        <f>+IF(Assumptions!$G$436="Share",Assumptions!$G$438,0)</f>
        <v>0.5</v>
      </c>
      <c r="AK1253" s="41">
        <f>+IF(Assumptions!$G$436="Share",Assumptions!$G$438,0)</f>
        <v>0.5</v>
      </c>
      <c r="AL1253" s="41">
        <f>+IF(Assumptions!$G$436="Share",Assumptions!$G$438,0)</f>
        <v>0.5</v>
      </c>
      <c r="AM1253" s="41">
        <f>+IF(Assumptions!$G$436="Share",Assumptions!$G$438,0)</f>
        <v>0.5</v>
      </c>
      <c r="AN1253" s="41">
        <f>+IF(Assumptions!$G$436="Share",Assumptions!$G$438,0)</f>
        <v>0.5</v>
      </c>
      <c r="AO1253" s="41">
        <f>+IF(Assumptions!$G$436="Share",Assumptions!$G$438,0)</f>
        <v>0.5</v>
      </c>
      <c r="AP1253" s="41">
        <f>+IF(Assumptions!$G$436="Share",Assumptions!$G$438,0)</f>
        <v>0.5</v>
      </c>
      <c r="AQ1253" s="41">
        <f>+IF(Assumptions!$G$436="Share",Assumptions!$G$438,0)</f>
        <v>0.5</v>
      </c>
      <c r="AR1253" s="41">
        <f>+IF(Assumptions!$G$436="Share",Assumptions!$G$438,0)</f>
        <v>0.5</v>
      </c>
      <c r="AS1253" s="41">
        <f>+IF(Assumptions!$G$436="Share",Assumptions!$G$438,0)</f>
        <v>0.5</v>
      </c>
      <c r="AT1253" s="41">
        <f>+IF(Assumptions!$G$436="Share",Assumptions!$G$438,0)</f>
        <v>0.5</v>
      </c>
      <c r="AU1253" s="41">
        <f>+IF(Assumptions!$G$436="Share",Assumptions!$G$438,0)</f>
        <v>0.5</v>
      </c>
      <c r="AV1253" s="41">
        <f>+IF(Assumptions!$G$436="Share",Assumptions!$G$438,0)</f>
        <v>0.5</v>
      </c>
      <c r="AW1253" s="41">
        <f>+IF(Assumptions!$G$436="Share",Assumptions!$G$438,0)</f>
        <v>0.5</v>
      </c>
      <c r="AX1253" s="41">
        <f>+IF(Assumptions!$G$436="Share",Assumptions!$G$438,0)</f>
        <v>0.5</v>
      </c>
      <c r="AY1253" s="41">
        <f>+IF(Assumptions!$G$436="Share",Assumptions!$G$438,0)</f>
        <v>0.5</v>
      </c>
      <c r="AZ1253" s="41">
        <f>+IF(Assumptions!$G$436="Share",Assumptions!$G$438,0)</f>
        <v>0.5</v>
      </c>
      <c r="BA1253" s="41">
        <f>+IF(Assumptions!$G$436="Share",Assumptions!$G$438,0)</f>
        <v>0.5</v>
      </c>
      <c r="BB1253" s="41">
        <f>+IF(Assumptions!$G$436="Share",Assumptions!$G$438,0)</f>
        <v>0.5</v>
      </c>
      <c r="BC1253" s="41">
        <f>+IF(Assumptions!$G$436="Share",Assumptions!$G$438,0)</f>
        <v>0.5</v>
      </c>
      <c r="BD1253" s="41">
        <f>+IF(Assumptions!$G$436="Share",Assumptions!$G$438,0)</f>
        <v>0.5</v>
      </c>
      <c r="BE1253" s="41">
        <f>+IF(Assumptions!$G$436="Share",Assumptions!$G$438,0)</f>
        <v>0.5</v>
      </c>
      <c r="BF1253" s="41">
        <f>+IF(Assumptions!$G$436="Share",Assumptions!$G$438,0)</f>
        <v>0.5</v>
      </c>
      <c r="BG1253" s="41">
        <f>+IF(Assumptions!$G$436="Share",Assumptions!$G$438,0)</f>
        <v>0.5</v>
      </c>
      <c r="BH1253" s="41">
        <f>+IF(Assumptions!$G$436="Share",Assumptions!$G$438,0)</f>
        <v>0.5</v>
      </c>
      <c r="BI1253" s="41">
        <f>+IF(Assumptions!$G$436="Share",Assumptions!$G$438,0)</f>
        <v>0.5</v>
      </c>
      <c r="BJ1253" s="41">
        <f>+IF(Assumptions!$G$436="Share",Assumptions!$G$438,0)</f>
        <v>0.5</v>
      </c>
      <c r="BK1253" s="41">
        <f>+IF(Assumptions!$G$436="Share",Assumptions!$G$438,0)</f>
        <v>0.5</v>
      </c>
      <c r="BL1253" s="41">
        <f>+IF(Assumptions!$G$436="Share",Assumptions!$G$438,0)</f>
        <v>0.5</v>
      </c>
      <c r="BM1253" s="41">
        <f>+IF(Assumptions!$G$436="Share",Assumptions!$G$438,0)</f>
        <v>0.5</v>
      </c>
      <c r="BN1253" s="41">
        <f>+IF(Assumptions!$G$436="Share",Assumptions!$G$438,0)</f>
        <v>0.5</v>
      </c>
      <c r="BO1253" s="41">
        <f>+IF(Assumptions!$G$436="Share",Assumptions!$G$438,0)</f>
        <v>0.5</v>
      </c>
      <c r="BP1253" s="41">
        <f>+IF(Assumptions!$G$436="Share",Assumptions!$G$438,0)</f>
        <v>0.5</v>
      </c>
      <c r="BQ1253" s="41">
        <f>+IF(Assumptions!$G$436="Share",Assumptions!$G$438,0)</f>
        <v>0.5</v>
      </c>
      <c r="BR1253" s="41">
        <f>+IF(Assumptions!$G$436="Share",Assumptions!$G$438,0)</f>
        <v>0.5</v>
      </c>
      <c r="BS1253" s="41">
        <f>+IF(Assumptions!$G$436="Share",Assumptions!$G$438,0)</f>
        <v>0.5</v>
      </c>
      <c r="BT1253" s="41">
        <f>+IF(Assumptions!$G$436="Share",Assumptions!$G$438,0)</f>
        <v>0.5</v>
      </c>
      <c r="BU1253" s="41">
        <f>+IF(Assumptions!$G$436="Share",Assumptions!$G$438,0)</f>
        <v>0.5</v>
      </c>
      <c r="BV1253" s="41">
        <f>+IF(Assumptions!$G$436="Share",Assumptions!$G$438,0)</f>
        <v>0.5</v>
      </c>
      <c r="BW1253" s="41">
        <f>+IF(Assumptions!$G$436="Share",Assumptions!$G$438,0)</f>
        <v>0.5</v>
      </c>
      <c r="BX1253" s="41">
        <f>+IF(Assumptions!$G$436="Share",Assumptions!$G$438,0)</f>
        <v>0.5</v>
      </c>
      <c r="BY1253" s="41">
        <f>+IF(Assumptions!$G$436="Share",Assumptions!$G$438,0)</f>
        <v>0.5</v>
      </c>
    </row>
    <row r="1254" spans="1:77" s="19" customFormat="1" outlineLevel="1">
      <c r="A1254" s="771"/>
      <c r="B1254"/>
      <c r="C1254"/>
      <c r="D1254"/>
      <c r="E1254" t="s">
        <v>243</v>
      </c>
      <c r="F1254" s="80" t="s">
        <v>423</v>
      </c>
      <c r="G1254"/>
      <c r="H1254" s="86">
        <f ca="1">1/(1+Assumptions!$G$443)*IF(G1254=0,1,G1254)</f>
        <v>0.95979422011920645</v>
      </c>
      <c r="I1254" s="86">
        <f ca="1">1/(1+Assumptions!$G$443)*IF(H1254=0,1,H1254)</f>
        <v>0.92120494497423577</v>
      </c>
      <c r="J1254" s="86">
        <f ca="1">1/(1+Assumptions!$G$443)*IF(I1254=0,1,I1254)</f>
        <v>0.8841671817315031</v>
      </c>
      <c r="K1254" s="86">
        <f ca="1">1/(1+Assumptions!$G$443)*IF(J1254=0,1,J1254)</f>
        <v>0.8486185506449847</v>
      </c>
      <c r="L1254" s="86">
        <f ca="1">1/(1+Assumptions!$G$443)*IF(K1254=0,1,K1254)</f>
        <v>0.81449917999499444</v>
      </c>
      <c r="M1254" s="86">
        <f ca="1">1/(1+Assumptions!$G$443)*IF(L1254=0,1,L1254)</f>
        <v>0.78175160525102882</v>
      </c>
      <c r="N1254" s="86">
        <f ca="1">1/(1+Assumptions!$G$443)*IF(M1254=0,1,M1254)</f>
        <v>0.75032067228884891</v>
      </c>
      <c r="O1254" s="86">
        <f ca="1">1/(1+Assumptions!$G$443)*IF(N1254=0,1,N1254)</f>
        <v>0.72015344449879437</v>
      </c>
      <c r="P1254" s="86">
        <f ca="1">1/(1+Assumptions!$G$443)*IF(O1254=0,1,O1254)</f>
        <v>0.69119911362888053</v>
      </c>
      <c r="Q1254" s="86">
        <f ca="1">1/(1+Assumptions!$G$443)*IF(P1254=0,1,P1254)</f>
        <v>0.66340891421251813</v>
      </c>
      <c r="R1254" s="86">
        <f ca="1">1/(1+Assumptions!$G$443)*IF(Q1254=0,1,Q1254)</f>
        <v>0.63673604143673335</v>
      </c>
      <c r="S1254" s="86">
        <f ca="1">1/(1+Assumptions!$G$443)*IF(R1254=0,1,R1254)</f>
        <v>0.61113557231256022</v>
      </c>
      <c r="T1254" s="86">
        <f ca="1">1/(1+Assumptions!$G$443)*IF(S1254=0,1,S1254)</f>
        <v>0.58656439001483862</v>
      </c>
      <c r="U1254" s="86">
        <f ca="1">1/(1+Assumptions!$G$443)*IF(T1254=0,1,T1254)</f>
        <v>0.56298111126399009</v>
      </c>
      <c r="V1254" s="86">
        <f ca="1">1/(1+Assumptions!$G$443)*IF(U1254=0,1,U1254)</f>
        <v>0.54034601662746551</v>
      </c>
      <c r="W1254" s="86">
        <f ca="1">1/(1+Assumptions!$G$443)*IF(V1254=0,1,V1254)</f>
        <v>0.51862098362347797</v>
      </c>
      <c r="X1254" s="86">
        <f ca="1">1/(1+Assumptions!$G$443)*IF(W1254=0,1,W1254)</f>
        <v>0.4977694225143518</v>
      </c>
      <c r="Y1254" s="86">
        <f ca="1">1/(1+Assumptions!$G$443)*IF(X1254=0,1,X1254)</f>
        <v>0.47775621468135004</v>
      </c>
      <c r="Z1254" s="86">
        <f ca="1">1/(1+Assumptions!$G$443)*IF(Y1254=0,1,Y1254)</f>
        <v>0.45854765347719056</v>
      </c>
      <c r="AA1254" s="86">
        <f ca="1">1/(1+Assumptions!$G$443)*IF(Z1254=0,1,Z1254)</f>
        <v>0.44011138745663225</v>
      </c>
      <c r="AB1254" s="86">
        <f ca="1">1/(1+Assumptions!$G$443)*IF(AA1254=0,1,AA1254)</f>
        <v>0.42241636588952025</v>
      </c>
      <c r="AC1254" s="86">
        <f ca="1">1/(1+Assumptions!$G$443)*IF(AB1254=0,1,AB1254)</f>
        <v>0.40543278646452147</v>
      </c>
      <c r="AD1254" s="86">
        <f ca="1">1/(1+Assumptions!$G$443)*IF(AC1254=0,1,AC1254)</f>
        <v>0.38913204509547217</v>
      </c>
      <c r="AE1254" s="86">
        <f ca="1">1/(1+Assumptions!$G$443)*IF(AD1254=0,1,AD1254)</f>
        <v>0.37348668774580057</v>
      </c>
      <c r="AF1254" s="86">
        <f ca="1">1/(1+Assumptions!$G$443)*IF(AE1254=0,1,AE1254)</f>
        <v>0.35847036418988626</v>
      </c>
      <c r="AG1254" s="86">
        <f ca="1">1/(1+Assumptions!$G$443)*IF(AF1254=0,1,AF1254)</f>
        <v>0.34405778363347977</v>
      </c>
      <c r="AH1254" s="86">
        <f ca="1">1/(1+Assumptions!$G$443)*IF(AG1254=0,1,AG1254)</f>
        <v>0.33022467211843837</v>
      </c>
      <c r="AI1254" s="86">
        <f ca="1">1/(1+Assumptions!$G$443)*IF(AH1254=0,1,AH1254)</f>
        <v>0.3169477316400372</v>
      </c>
      <c r="AJ1254" s="86">
        <f ca="1">1/(1+Assumptions!$G$443)*IF(AI1254=0,1,AI1254)</f>
        <v>0.30420460090800105</v>
      </c>
      <c r="AK1254" s="86">
        <f ca="1">1/(1+Assumptions!$G$443)*IF(AJ1254=0,1,AJ1254)</f>
        <v>0.29197381768516933</v>
      </c>
      <c r="AL1254" s="86">
        <f ca="1">1/(1+Assumptions!$G$443)*IF(AK1254=0,1,AK1254)</f>
        <v>0.28023478264036444</v>
      </c>
      <c r="AM1254" s="86">
        <f ca="1">1/(1+Assumptions!$G$443)*IF(AL1254=0,1,AL1254)</f>
        <v>0.26896772465458391</v>
      </c>
      <c r="AN1254" s="86">
        <f ca="1">1/(1+Assumptions!$G$443)*IF(AM1254=0,1,AM1254)</f>
        <v>0.2581536675220838</v>
      </c>
      <c r="AO1254" s="86">
        <f ca="1">1/(1+Assumptions!$G$443)*IF(AN1254=0,1,AN1254)</f>
        <v>0.24777439799027134</v>
      </c>
      <c r="AP1254" s="86">
        <f ca="1">1/(1+Assumptions!$G$443)*IF(AO1254=0,1,AO1254)</f>
        <v>0.23781243508457836</v>
      </c>
      <c r="AQ1254" s="86">
        <f ca="1">1/(1+Assumptions!$G$443)*IF(AP1254=0,1,AP1254)</f>
        <v>0.2282510006666523</v>
      </c>
      <c r="AR1254" s="86">
        <f ca="1">1/(1+Assumptions!$G$443)*IF(AQ1254=0,1,AQ1254)</f>
        <v>0.21907399117627802</v>
      </c>
      <c r="AS1254" s="86">
        <f ca="1">1/(1+Assumptions!$G$443)*IF(AR1254=0,1,AR1254)</f>
        <v>0.21026595050943767</v>
      </c>
      <c r="AT1254" s="86">
        <f ca="1">1/(1+Assumptions!$G$443)*IF(AS1254=0,1,AS1254)</f>
        <v>0.20181204398682939</v>
      </c>
      <c r="AU1254" s="86">
        <f ca="1">1/(1+Assumptions!$G$443)*IF(AT1254=0,1,AT1254)</f>
        <v>0.1936980333690019</v>
      </c>
      <c r="AV1254" s="86">
        <f ca="1">1/(1+Assumptions!$G$443)*IF(AU1254=0,1,AU1254)</f>
        <v>0.18591025287602522</v>
      </c>
      <c r="AW1254" s="86">
        <f ca="1">1/(1+Assumptions!$G$443)*IF(AV1254=0,1,AV1254)</f>
        <v>0.17843558617130909</v>
      </c>
      <c r="AX1254" s="86">
        <f ca="1">1/(1+Assumptions!$G$443)*IF(AW1254=0,1,AW1254)</f>
        <v>0.17126144427080506</v>
      </c>
      <c r="AY1254" s="86">
        <f ca="1">1/(1+Assumptions!$G$443)*IF(AX1254=0,1,AX1254)</f>
        <v>0.16437574434038627</v>
      </c>
      <c r="AZ1254" s="86">
        <f ca="1">1/(1+Assumptions!$G$443)*IF(AY1254=0,1,AY1254)</f>
        <v>0.1577668893456951</v>
      </c>
      <c r="BA1254" s="86">
        <f ca="1">1/(1+Assumptions!$G$443)*IF(AZ1254=0,1,AZ1254)</f>
        <v>0.15142374852018459</v>
      </c>
      <c r="BB1254" s="86">
        <f ca="1">1/(1+Assumptions!$G$443)*IF(BA1254=0,1,BA1254)</f>
        <v>0.14533563861845741</v>
      </c>
      <c r="BC1254" s="86">
        <f ca="1">1/(1+Assumptions!$G$443)*IF(BB1254=0,1,BB1254)</f>
        <v>0.13949230592332915</v>
      </c>
      <c r="BD1254" s="86">
        <f ca="1">1/(1+Assumptions!$G$443)*IF(BC1254=0,1,BC1254)</f>
        <v>0.13388390897631147</v>
      </c>
      <c r="BE1254" s="86">
        <f ca="1">1/(1+Assumptions!$G$443)*IF(BD1254=0,1,BD1254)</f>
        <v>0.1285010020024297</v>
      </c>
      <c r="BF1254" s="86">
        <f ca="1">1/(1+Assumptions!$G$443)*IF(BE1254=0,1,BE1254)</f>
        <v>0.1233345190014586</v>
      </c>
      <c r="BG1254" s="86">
        <f ca="1">1/(1+Assumptions!$G$443)*IF(BF1254=0,1,BF1254)</f>
        <v>0.11837575847878241</v>
      </c>
      <c r="BH1254" s="86">
        <f ca="1">1/(1+Assumptions!$G$443)*IF(BG1254=0,1,BG1254)</f>
        <v>0.11361636879016251</v>
      </c>
      <c r="BI1254" s="86">
        <f ca="1">1/(1+Assumptions!$G$443)*IF(BH1254=0,1,BH1254)</f>
        <v>0.10904833407573018</v>
      </c>
      <c r="BJ1254" s="86">
        <f ca="1">1/(1+Assumptions!$G$443)*IF(BI1254=0,1,BI1254)</f>
        <v>0.10466396075951413</v>
      </c>
      <c r="BK1254" s="86">
        <f ca="1">1/(1+Assumptions!$G$443)*IF(BJ1254=0,1,BJ1254)</f>
        <v>0.10045586459176509</v>
      </c>
      <c r="BL1254" s="86">
        <f ca="1">1/(1+Assumptions!$G$443)*IF(BK1254=0,1,BK1254)</f>
        <v>9.6416958212253781E-2</v>
      </c>
      <c r="BM1254" s="86">
        <f ca="1">1/(1+Assumptions!$G$443)*IF(BL1254=0,1,BL1254)</f>
        <v>9.254043921359624E-2</v>
      </c>
      <c r="BN1254" s="86">
        <f ca="1">1/(1+Assumptions!$G$443)*IF(BM1254=0,1,BM1254)</f>
        <v>8.8819778684502429E-2</v>
      </c>
      <c r="BO1254" s="86">
        <f ca="1">1/(1+Assumptions!$G$443)*IF(BN1254=0,1,BN1254)</f>
        <v>8.5248710213652532E-2</v>
      </c>
      <c r="BP1254" s="86">
        <f ca="1">1/(1+Assumptions!$G$443)*IF(BO1254=0,1,BO1254)</f>
        <v>8.1821219335680859E-2</v>
      </c>
      <c r="BQ1254" s="86">
        <f ca="1">1/(1+Assumptions!$G$443)*IF(BP1254=0,1,BP1254)</f>
        <v>7.853153340149234E-2</v>
      </c>
      <c r="BR1254" s="86">
        <f ca="1">1/(1+Assumptions!$G$443)*IF(BQ1254=0,1,BQ1254)</f>
        <v>7.5374111855850759E-2</v>
      </c>
      <c r="BS1254" s="86">
        <f ca="1">1/(1+Assumptions!$G$443)*IF(BR1254=0,1,BR1254)</f>
        <v>7.2343636905864109E-2</v>
      </c>
      <c r="BT1254" s="86">
        <f ca="1">1/(1+Assumptions!$G$443)*IF(BS1254=0,1,BS1254)</f>
        <v>6.943500456465089E-2</v>
      </c>
      <c r="BU1254" s="86">
        <f ca="1">1/(1+Assumptions!$G$443)*IF(BT1254=0,1,BT1254)</f>
        <v>6.6643316055102639E-2</v>
      </c>
      <c r="BV1254" s="86">
        <f ca="1">1/(1+Assumptions!$G$443)*IF(BU1254=0,1,BU1254)</f>
        <v>6.396386955926503E-2</v>
      </c>
      <c r="BW1254" s="86">
        <f ca="1">1/(1+Assumptions!$G$443)*IF(BV1254=0,1,BV1254)</f>
        <v>6.1392152299441428E-2</v>
      </c>
      <c r="BX1254" s="86">
        <f ca="1">1/(1+Assumptions!$G$443)*IF(BW1254=0,1,BW1254)</f>
        <v>5.8923832937681934E-2</v>
      </c>
      <c r="BY1254" s="86">
        <f ca="1">1/(1+Assumptions!$G$443)*IF(BX1254=0,1,BX1254)</f>
        <v>5.6554754280856843E-2</v>
      </c>
    </row>
    <row r="1255" spans="1:77" s="19" customFormat="1" outlineLevel="1">
      <c r="A1255" s="771"/>
      <c r="B1255"/>
      <c r="C1255"/>
      <c r="D1255"/>
      <c r="E1255" t="s">
        <v>613</v>
      </c>
      <c r="F1255" s="80" t="s">
        <v>549</v>
      </c>
      <c r="G1255"/>
      <c r="H1255" s="32">
        <f t="shared" ref="H1255:AM1255" ca="1" si="2493">+H1254*H1253*(H441-H960)</f>
        <v>0</v>
      </c>
      <c r="I1255" s="32">
        <f t="shared" ca="1" si="2493"/>
        <v>-12944682.069295825</v>
      </c>
      <c r="J1255" s="32">
        <f t="shared" ca="1" si="2493"/>
        <v>-12672715.652018677</v>
      </c>
      <c r="K1255" s="32">
        <f t="shared" ca="1" si="2493"/>
        <v>0</v>
      </c>
      <c r="L1255" s="32">
        <f t="shared" ca="1" si="2493"/>
        <v>0</v>
      </c>
      <c r="M1255" s="32">
        <f t="shared" ca="1" si="2493"/>
        <v>0</v>
      </c>
      <c r="N1255" s="32">
        <f t="shared" ca="1" si="2493"/>
        <v>0</v>
      </c>
      <c r="O1255" s="32">
        <f t="shared" ca="1" si="2493"/>
        <v>0</v>
      </c>
      <c r="P1255" s="32">
        <f t="shared" ca="1" si="2493"/>
        <v>0</v>
      </c>
      <c r="Q1255" s="32">
        <f t="shared" ca="1" si="2493"/>
        <v>0</v>
      </c>
      <c r="R1255" s="32">
        <f t="shared" ca="1" si="2493"/>
        <v>0</v>
      </c>
      <c r="S1255" s="32">
        <f t="shared" ca="1" si="2493"/>
        <v>0</v>
      </c>
      <c r="T1255" s="32">
        <f t="shared" ca="1" si="2493"/>
        <v>0</v>
      </c>
      <c r="U1255" s="32">
        <f t="shared" ca="1" si="2493"/>
        <v>0</v>
      </c>
      <c r="V1255" s="32">
        <f t="shared" ca="1" si="2493"/>
        <v>0</v>
      </c>
      <c r="W1255" s="32">
        <f t="shared" ca="1" si="2493"/>
        <v>0</v>
      </c>
      <c r="X1255" s="32">
        <f t="shared" ca="1" si="2493"/>
        <v>0</v>
      </c>
      <c r="Y1255" s="32">
        <f t="shared" ca="1" si="2493"/>
        <v>0</v>
      </c>
      <c r="Z1255" s="32">
        <f t="shared" ca="1" si="2493"/>
        <v>0</v>
      </c>
      <c r="AA1255" s="32">
        <f t="shared" ca="1" si="2493"/>
        <v>0</v>
      </c>
      <c r="AB1255" s="32">
        <f t="shared" ca="1" si="2493"/>
        <v>0</v>
      </c>
      <c r="AC1255" s="32">
        <f t="shared" ca="1" si="2493"/>
        <v>0</v>
      </c>
      <c r="AD1255" s="32">
        <f t="shared" ca="1" si="2493"/>
        <v>0</v>
      </c>
      <c r="AE1255" s="32">
        <f t="shared" ca="1" si="2493"/>
        <v>0</v>
      </c>
      <c r="AF1255" s="32">
        <f t="shared" ca="1" si="2493"/>
        <v>0</v>
      </c>
      <c r="AG1255" s="32">
        <f t="shared" ca="1" si="2493"/>
        <v>0</v>
      </c>
      <c r="AH1255" s="32">
        <f t="shared" ca="1" si="2493"/>
        <v>0</v>
      </c>
      <c r="AI1255" s="32">
        <f t="shared" ca="1" si="2493"/>
        <v>0</v>
      </c>
      <c r="AJ1255" s="32">
        <f t="shared" ca="1" si="2493"/>
        <v>0</v>
      </c>
      <c r="AK1255" s="32">
        <f t="shared" ca="1" si="2493"/>
        <v>0</v>
      </c>
      <c r="AL1255" s="32">
        <f t="shared" ca="1" si="2493"/>
        <v>0</v>
      </c>
      <c r="AM1255" s="32">
        <f t="shared" ca="1" si="2493"/>
        <v>0</v>
      </c>
      <c r="AN1255" s="32">
        <f t="shared" ref="AN1255:BS1255" ca="1" si="2494">+AN1254*AN1253*(AN441-AN960)</f>
        <v>0</v>
      </c>
      <c r="AO1255" s="32">
        <f t="shared" ca="1" si="2494"/>
        <v>0</v>
      </c>
      <c r="AP1255" s="32">
        <f t="shared" ca="1" si="2494"/>
        <v>0</v>
      </c>
      <c r="AQ1255" s="32">
        <f t="shared" ca="1" si="2494"/>
        <v>0</v>
      </c>
      <c r="AR1255" s="32">
        <f t="shared" ca="1" si="2494"/>
        <v>0</v>
      </c>
      <c r="AS1255" s="32">
        <f t="shared" ca="1" si="2494"/>
        <v>0</v>
      </c>
      <c r="AT1255" s="32">
        <f t="shared" ca="1" si="2494"/>
        <v>0</v>
      </c>
      <c r="AU1255" s="32">
        <f t="shared" ca="1" si="2494"/>
        <v>0</v>
      </c>
      <c r="AV1255" s="32">
        <f t="shared" ca="1" si="2494"/>
        <v>0</v>
      </c>
      <c r="AW1255" s="32">
        <f t="shared" ca="1" si="2494"/>
        <v>0</v>
      </c>
      <c r="AX1255" s="32">
        <f t="shared" ca="1" si="2494"/>
        <v>0</v>
      </c>
      <c r="AY1255" s="32">
        <f t="shared" ca="1" si="2494"/>
        <v>0</v>
      </c>
      <c r="AZ1255" s="32">
        <f t="shared" ca="1" si="2494"/>
        <v>0</v>
      </c>
      <c r="BA1255" s="32">
        <f t="shared" ca="1" si="2494"/>
        <v>0</v>
      </c>
      <c r="BB1255" s="32">
        <f t="shared" ca="1" si="2494"/>
        <v>0</v>
      </c>
      <c r="BC1255" s="32">
        <f t="shared" ca="1" si="2494"/>
        <v>0</v>
      </c>
      <c r="BD1255" s="32">
        <f t="shared" ca="1" si="2494"/>
        <v>0</v>
      </c>
      <c r="BE1255" s="32">
        <f t="shared" ca="1" si="2494"/>
        <v>0</v>
      </c>
      <c r="BF1255" s="32">
        <f t="shared" ca="1" si="2494"/>
        <v>0</v>
      </c>
      <c r="BG1255" s="32">
        <f t="shared" ca="1" si="2494"/>
        <v>0</v>
      </c>
      <c r="BH1255" s="32">
        <f t="shared" ca="1" si="2494"/>
        <v>0</v>
      </c>
      <c r="BI1255" s="32">
        <f t="shared" ca="1" si="2494"/>
        <v>0</v>
      </c>
      <c r="BJ1255" s="32">
        <f t="shared" ca="1" si="2494"/>
        <v>0</v>
      </c>
      <c r="BK1255" s="32">
        <f t="shared" ca="1" si="2494"/>
        <v>0</v>
      </c>
      <c r="BL1255" s="32">
        <f t="shared" ca="1" si="2494"/>
        <v>0</v>
      </c>
      <c r="BM1255" s="32">
        <f t="shared" ca="1" si="2494"/>
        <v>0</v>
      </c>
      <c r="BN1255" s="32">
        <f t="shared" ca="1" si="2494"/>
        <v>0</v>
      </c>
      <c r="BO1255" s="32">
        <f t="shared" ca="1" si="2494"/>
        <v>0</v>
      </c>
      <c r="BP1255" s="32">
        <f t="shared" ca="1" si="2494"/>
        <v>0</v>
      </c>
      <c r="BQ1255" s="32">
        <f t="shared" ca="1" si="2494"/>
        <v>0</v>
      </c>
      <c r="BR1255" s="32">
        <f t="shared" ca="1" si="2494"/>
        <v>0</v>
      </c>
      <c r="BS1255" s="32">
        <f t="shared" ca="1" si="2494"/>
        <v>0</v>
      </c>
      <c r="BT1255" s="32">
        <f t="shared" ref="BT1255:BY1255" ca="1" si="2495">+BT1254*BT1253*(BT441-BT960)</f>
        <v>0</v>
      </c>
      <c r="BU1255" s="32">
        <f t="shared" ca="1" si="2495"/>
        <v>0</v>
      </c>
      <c r="BV1255" s="32">
        <f t="shared" ca="1" si="2495"/>
        <v>0</v>
      </c>
      <c r="BW1255" s="32">
        <f t="shared" ca="1" si="2495"/>
        <v>0</v>
      </c>
      <c r="BX1255" s="32">
        <f t="shared" ca="1" si="2495"/>
        <v>0</v>
      </c>
      <c r="BY1255" s="32">
        <f t="shared" ca="1" si="2495"/>
        <v>0</v>
      </c>
    </row>
    <row r="1256" spans="1:77" s="19" customFormat="1" outlineLevel="1">
      <c r="A1256" s="771"/>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row>
    <row r="1257" spans="1:77" s="19" customFormat="1" outlineLevel="1">
      <c r="A1257" s="771"/>
      <c r="B1257"/>
      <c r="C1257"/>
      <c r="D1257"/>
      <c r="E1257" t="s">
        <v>614</v>
      </c>
      <c r="F1257" s="80" t="s">
        <v>549</v>
      </c>
      <c r="G1257"/>
      <c r="H1257" s="31">
        <f>-+IF(Assumptions!$G$436="Manual",Assumptions!$G$437,0)</f>
        <v>0</v>
      </c>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row>
    <row r="1258" spans="1:77" s="19" customFormat="1" outlineLevel="1">
      <c r="A1258" s="771"/>
      <c r="B1258"/>
      <c r="C1258"/>
      <c r="D1258"/>
      <c r="E1258"/>
      <c r="F1258" s="80"/>
      <c r="G1258"/>
      <c r="H1258" s="31"/>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row>
    <row r="1259" spans="1:77" s="19" customFormat="1" outlineLevel="1">
      <c r="A1259" s="771"/>
      <c r="B1259"/>
      <c r="C1259"/>
      <c r="D1259"/>
      <c r="E1259" t="s">
        <v>615</v>
      </c>
      <c r="F1259" s="80" t="s">
        <v>549</v>
      </c>
      <c r="G1259"/>
      <c r="H1259" s="31">
        <f ca="1">+SUM(H1255:BY1255)+H1257</f>
        <v>-25617397.721314505</v>
      </c>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row>
    <row r="1260" spans="1:77" s="19" customFormat="1" outlineLevel="1">
      <c r="A1260" s="771"/>
      <c r="B1260"/>
      <c r="C1260"/>
      <c r="D1260"/>
      <c r="E1260"/>
      <c r="F1260" s="80"/>
      <c r="G1260"/>
      <c r="H1260" s="31"/>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row>
    <row r="1261" spans="1:77" s="19" customFormat="1" outlineLevel="1">
      <c r="A1261" s="771"/>
      <c r="B1261"/>
      <c r="C1261"/>
      <c r="D1261"/>
      <c r="E1261"/>
      <c r="F1261" s="80"/>
      <c r="G1261"/>
      <c r="H1261" s="3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row>
    <row r="1262" spans="1:77" s="19" customFormat="1" outlineLevel="1">
      <c r="A1262" s="771"/>
      <c r="B1262"/>
      <c r="C1262"/>
      <c r="D1262"/>
      <c r="E1262" t="s">
        <v>616</v>
      </c>
      <c r="F1262" s="80" t="s">
        <v>178</v>
      </c>
      <c r="G1262"/>
      <c r="H1262" s="31">
        <f>+IF(Assumptions!$G$440="Share",Assumptions!$G$442,0)</f>
        <v>0</v>
      </c>
      <c r="I1262" s="31">
        <f>+IF(Assumptions!$G$440="Share",Assumptions!$G$442,0)</f>
        <v>0</v>
      </c>
      <c r="J1262" s="31">
        <f>+IF(Assumptions!$G$440="Share",Assumptions!$G$442,0)</f>
        <v>0</v>
      </c>
      <c r="K1262" s="31">
        <f>+IF(Assumptions!$G$440="Share",Assumptions!$G$442,0)</f>
        <v>0</v>
      </c>
      <c r="L1262" s="31">
        <f>+IF(Assumptions!$G$440="Share",Assumptions!$G$442,0)</f>
        <v>0</v>
      </c>
      <c r="M1262" s="31">
        <f>+IF(Assumptions!$G$440="Share",Assumptions!$G$442,0)</f>
        <v>0</v>
      </c>
      <c r="N1262" s="31">
        <f>+IF(Assumptions!$G$440="Share",Assumptions!$G$442,0)</f>
        <v>0</v>
      </c>
      <c r="O1262" s="31">
        <f>+IF(Assumptions!$G$440="Share",Assumptions!$G$442,0)</f>
        <v>0</v>
      </c>
      <c r="P1262" s="31">
        <f>+IF(Assumptions!$G$440="Share",Assumptions!$G$442,0)</f>
        <v>0</v>
      </c>
      <c r="Q1262" s="31">
        <f>+IF(Assumptions!$G$440="Share",Assumptions!$G$442,0)</f>
        <v>0</v>
      </c>
      <c r="R1262" s="31">
        <f>+IF(Assumptions!$G$440="Share",Assumptions!$G$442,0)</f>
        <v>0</v>
      </c>
      <c r="S1262" s="31">
        <f>+IF(Assumptions!$G$440="Share",Assumptions!$G$442,0)</f>
        <v>0</v>
      </c>
      <c r="T1262" s="31">
        <f>+IF(Assumptions!$G$440="Share",Assumptions!$G$442,0)</f>
        <v>0</v>
      </c>
      <c r="U1262" s="31">
        <f>+IF(Assumptions!$G$440="Share",Assumptions!$G$442,0)</f>
        <v>0</v>
      </c>
      <c r="V1262" s="31">
        <f>+IF(Assumptions!$G$440="Share",Assumptions!$G$442,0)</f>
        <v>0</v>
      </c>
      <c r="W1262" s="31">
        <f>+IF(Assumptions!$G$440="Share",Assumptions!$G$442,0)</f>
        <v>0</v>
      </c>
      <c r="X1262" s="31">
        <f>+IF(Assumptions!$G$440="Share",Assumptions!$G$442,0)</f>
        <v>0</v>
      </c>
      <c r="Y1262" s="31">
        <f>+IF(Assumptions!$G$440="Share",Assumptions!$G$442,0)</f>
        <v>0</v>
      </c>
      <c r="Z1262" s="31">
        <f>+IF(Assumptions!$G$440="Share",Assumptions!$G$442,0)</f>
        <v>0</v>
      </c>
      <c r="AA1262" s="31">
        <f>+IF(Assumptions!$G$440="Share",Assumptions!$G$442,0)</f>
        <v>0</v>
      </c>
      <c r="AB1262" s="31">
        <f>+IF(Assumptions!$G$440="Share",Assumptions!$G$442,0)</f>
        <v>0</v>
      </c>
      <c r="AC1262" s="31">
        <f>+IF(Assumptions!$G$440="Share",Assumptions!$G$442,0)</f>
        <v>0</v>
      </c>
      <c r="AD1262" s="31">
        <f>+IF(Assumptions!$G$440="Share",Assumptions!$G$442,0)</f>
        <v>0</v>
      </c>
      <c r="AE1262" s="31">
        <f>+IF(Assumptions!$G$440="Share",Assumptions!$G$442,0)</f>
        <v>0</v>
      </c>
      <c r="AF1262" s="31">
        <f>+IF(Assumptions!$G$440="Share",Assumptions!$G$442,0)</f>
        <v>0</v>
      </c>
      <c r="AG1262" s="31">
        <f>+IF(Assumptions!$G$440="Share",Assumptions!$G$442,0)</f>
        <v>0</v>
      </c>
      <c r="AH1262" s="31">
        <f>+IF(Assumptions!$G$440="Share",Assumptions!$G$442,0)</f>
        <v>0</v>
      </c>
      <c r="AI1262" s="31">
        <f>+IF(Assumptions!$G$440="Share",Assumptions!$G$442,0)</f>
        <v>0</v>
      </c>
      <c r="AJ1262" s="31">
        <f>+IF(Assumptions!$G$440="Share",Assumptions!$G$442,0)</f>
        <v>0</v>
      </c>
      <c r="AK1262" s="31">
        <f>+IF(Assumptions!$G$440="Share",Assumptions!$G$442,0)</f>
        <v>0</v>
      </c>
      <c r="AL1262" s="31">
        <f>+IF(Assumptions!$G$440="Share",Assumptions!$G$442,0)</f>
        <v>0</v>
      </c>
      <c r="AM1262" s="31">
        <f>+IF(Assumptions!$G$440="Share",Assumptions!$G$442,0)</f>
        <v>0</v>
      </c>
      <c r="AN1262" s="31">
        <f>+IF(Assumptions!$G$440="Share",Assumptions!$G$442,0)</f>
        <v>0</v>
      </c>
      <c r="AO1262" s="31">
        <f>+IF(Assumptions!$G$440="Share",Assumptions!$G$442,0)</f>
        <v>0</v>
      </c>
      <c r="AP1262" s="31">
        <f>+IF(Assumptions!$G$440="Share",Assumptions!$G$442,0)</f>
        <v>0</v>
      </c>
      <c r="AQ1262" s="31">
        <f>+IF(Assumptions!$G$440="Share",Assumptions!$G$442,0)</f>
        <v>0</v>
      </c>
      <c r="AR1262" s="31">
        <f>+IF(Assumptions!$G$440="Share",Assumptions!$G$442,0)</f>
        <v>0</v>
      </c>
      <c r="AS1262" s="31">
        <f>+IF(Assumptions!$G$440="Share",Assumptions!$G$442,0)</f>
        <v>0</v>
      </c>
      <c r="AT1262" s="31">
        <f>+IF(Assumptions!$G$440="Share",Assumptions!$G$442,0)</f>
        <v>0</v>
      </c>
      <c r="AU1262" s="31">
        <f>+IF(Assumptions!$G$440="Share",Assumptions!$G$442,0)</f>
        <v>0</v>
      </c>
      <c r="AV1262" s="31">
        <f>+IF(Assumptions!$G$440="Share",Assumptions!$G$442,0)</f>
        <v>0</v>
      </c>
      <c r="AW1262" s="31">
        <f>+IF(Assumptions!$G$440="Share",Assumptions!$G$442,0)</f>
        <v>0</v>
      </c>
      <c r="AX1262" s="31">
        <f>+IF(Assumptions!$G$440="Share",Assumptions!$G$442,0)</f>
        <v>0</v>
      </c>
      <c r="AY1262" s="31">
        <f>+IF(Assumptions!$G$440="Share",Assumptions!$G$442,0)</f>
        <v>0</v>
      </c>
      <c r="AZ1262" s="31">
        <f>+IF(Assumptions!$G$440="Share",Assumptions!$G$442,0)</f>
        <v>0</v>
      </c>
      <c r="BA1262" s="31">
        <f>+IF(Assumptions!$G$440="Share",Assumptions!$G$442,0)</f>
        <v>0</v>
      </c>
      <c r="BB1262" s="31">
        <f>+IF(Assumptions!$G$440="Share",Assumptions!$G$442,0)</f>
        <v>0</v>
      </c>
      <c r="BC1262" s="31">
        <f>+IF(Assumptions!$G$440="Share",Assumptions!$G$442,0)</f>
        <v>0</v>
      </c>
      <c r="BD1262" s="31">
        <f>+IF(Assumptions!$G$440="Share",Assumptions!$G$442,0)</f>
        <v>0</v>
      </c>
      <c r="BE1262" s="31">
        <f>+IF(Assumptions!$G$440="Share",Assumptions!$G$442,0)</f>
        <v>0</v>
      </c>
      <c r="BF1262" s="31">
        <f>+IF(Assumptions!$G$440="Share",Assumptions!$G$442,0)</f>
        <v>0</v>
      </c>
      <c r="BG1262" s="31">
        <f>+IF(Assumptions!$G$440="Share",Assumptions!$G$442,0)</f>
        <v>0</v>
      </c>
      <c r="BH1262" s="31">
        <f>+IF(Assumptions!$G$440="Share",Assumptions!$G$442,0)</f>
        <v>0</v>
      </c>
      <c r="BI1262" s="31">
        <f>+IF(Assumptions!$G$440="Share",Assumptions!$G$442,0)</f>
        <v>0</v>
      </c>
      <c r="BJ1262" s="31">
        <f>+IF(Assumptions!$G$440="Share",Assumptions!$G$442,0)</f>
        <v>0</v>
      </c>
      <c r="BK1262" s="31">
        <f>+IF(Assumptions!$G$440="Share",Assumptions!$G$442,0)</f>
        <v>0</v>
      </c>
      <c r="BL1262" s="31">
        <f>+IF(Assumptions!$G$440="Share",Assumptions!$G$442,0)</f>
        <v>0</v>
      </c>
      <c r="BM1262" s="31">
        <f>+IF(Assumptions!$G$440="Share",Assumptions!$G$442,0)</f>
        <v>0</v>
      </c>
      <c r="BN1262" s="31">
        <f>+IF(Assumptions!$G$440="Share",Assumptions!$G$442,0)</f>
        <v>0</v>
      </c>
      <c r="BO1262" s="31">
        <f>+IF(Assumptions!$G$440="Share",Assumptions!$G$442,0)</f>
        <v>0</v>
      </c>
      <c r="BP1262" s="31">
        <f>+IF(Assumptions!$G$440="Share",Assumptions!$G$442,0)</f>
        <v>0</v>
      </c>
      <c r="BQ1262" s="31">
        <f>+IF(Assumptions!$G$440="Share",Assumptions!$G$442,0)</f>
        <v>0</v>
      </c>
      <c r="BR1262" s="31">
        <f>+IF(Assumptions!$G$440="Share",Assumptions!$G$442,0)</f>
        <v>0</v>
      </c>
      <c r="BS1262" s="31">
        <f>+IF(Assumptions!$G$440="Share",Assumptions!$G$442,0)</f>
        <v>0</v>
      </c>
      <c r="BT1262" s="31">
        <f>+IF(Assumptions!$G$440="Share",Assumptions!$G$442,0)</f>
        <v>0</v>
      </c>
      <c r="BU1262" s="31">
        <f>+IF(Assumptions!$G$440="Share",Assumptions!$G$442,0)</f>
        <v>0</v>
      </c>
      <c r="BV1262" s="31">
        <f>+IF(Assumptions!$G$440="Share",Assumptions!$G$442,0)</f>
        <v>0</v>
      </c>
      <c r="BW1262" s="31">
        <f>+IF(Assumptions!$G$440="Share",Assumptions!$G$442,0)</f>
        <v>0</v>
      </c>
      <c r="BX1262" s="31">
        <f>+IF(Assumptions!$G$440="Share",Assumptions!$G$442,0)</f>
        <v>0</v>
      </c>
      <c r="BY1262" s="31">
        <f>+IF(Assumptions!$G$440="Share",Assumptions!$G$442,0)</f>
        <v>0</v>
      </c>
    </row>
    <row r="1263" spans="1:77" s="19" customFormat="1" outlineLevel="1">
      <c r="A1263" s="771"/>
      <c r="B1263"/>
      <c r="C1263"/>
      <c r="D1263"/>
      <c r="E1263" t="s">
        <v>243</v>
      </c>
      <c r="F1263" s="80" t="s">
        <v>423</v>
      </c>
      <c r="G1263"/>
      <c r="H1263" s="31">
        <f ca="1">1/(1+Assumptions!$G$443)*IF(G1254=0,1,G1254)</f>
        <v>0.95979422011920645</v>
      </c>
      <c r="I1263" s="31">
        <f ca="1">1/(1+Assumptions!$G$443)*IF(H1254=0,1,H1254)</f>
        <v>0.92120494497423577</v>
      </c>
      <c r="J1263" s="31">
        <f ca="1">1/(1+Assumptions!$G$443)*IF(I1254=0,1,I1254)</f>
        <v>0.8841671817315031</v>
      </c>
      <c r="K1263" s="31">
        <f ca="1">1/(1+Assumptions!$G$443)*IF(J1254=0,1,J1254)</f>
        <v>0.8486185506449847</v>
      </c>
      <c r="L1263" s="31">
        <f ca="1">1/(1+Assumptions!$G$443)*IF(K1254=0,1,K1254)</f>
        <v>0.81449917999499444</v>
      </c>
      <c r="M1263" s="31">
        <f ca="1">1/(1+Assumptions!$G$443)*IF(L1254=0,1,L1254)</f>
        <v>0.78175160525102882</v>
      </c>
      <c r="N1263" s="31">
        <f ca="1">1/(1+Assumptions!$G$443)*IF(M1254=0,1,M1254)</f>
        <v>0.75032067228884891</v>
      </c>
      <c r="O1263" s="31">
        <f ca="1">1/(1+Assumptions!$G$443)*IF(N1254=0,1,N1254)</f>
        <v>0.72015344449879437</v>
      </c>
      <c r="P1263" s="31">
        <f ca="1">1/(1+Assumptions!$G$443)*IF(O1254=0,1,O1254)</f>
        <v>0.69119911362888053</v>
      </c>
      <c r="Q1263" s="31">
        <f ca="1">1/(1+Assumptions!$G$443)*IF(P1254=0,1,P1254)</f>
        <v>0.66340891421251813</v>
      </c>
      <c r="R1263" s="31">
        <f ca="1">1/(1+Assumptions!$G$443)*IF(Q1254=0,1,Q1254)</f>
        <v>0.63673604143673335</v>
      </c>
      <c r="S1263" s="31">
        <f ca="1">1/(1+Assumptions!$G$443)*IF(R1254=0,1,R1254)</f>
        <v>0.61113557231256022</v>
      </c>
      <c r="T1263" s="31">
        <f ca="1">1/(1+Assumptions!$G$443)*IF(S1254=0,1,S1254)</f>
        <v>0.58656439001483862</v>
      </c>
      <c r="U1263" s="31">
        <f ca="1">1/(1+Assumptions!$G$443)*IF(T1254=0,1,T1254)</f>
        <v>0.56298111126399009</v>
      </c>
      <c r="V1263" s="31">
        <f ca="1">1/(1+Assumptions!$G$443)*IF(U1254=0,1,U1254)</f>
        <v>0.54034601662746551</v>
      </c>
      <c r="W1263" s="31">
        <f ca="1">1/(1+Assumptions!$G$443)*IF(V1254=0,1,V1254)</f>
        <v>0.51862098362347797</v>
      </c>
      <c r="X1263" s="31">
        <f ca="1">1/(1+Assumptions!$G$443)*IF(W1254=0,1,W1254)</f>
        <v>0.4977694225143518</v>
      </c>
      <c r="Y1263" s="31">
        <f ca="1">1/(1+Assumptions!$G$443)*IF(X1254=0,1,X1254)</f>
        <v>0.47775621468135004</v>
      </c>
      <c r="Z1263" s="31">
        <f ca="1">1/(1+Assumptions!$G$443)*IF(Y1254=0,1,Y1254)</f>
        <v>0.45854765347719056</v>
      </c>
      <c r="AA1263" s="31">
        <f ca="1">1/(1+Assumptions!$G$443)*IF(Z1254=0,1,Z1254)</f>
        <v>0.44011138745663225</v>
      </c>
      <c r="AB1263" s="31">
        <f ca="1">1/(1+Assumptions!$G$443)*IF(AA1254=0,1,AA1254)</f>
        <v>0.42241636588952025</v>
      </c>
      <c r="AC1263" s="31">
        <f ca="1">1/(1+Assumptions!$G$443)*IF(AB1254=0,1,AB1254)</f>
        <v>0.40543278646452147</v>
      </c>
      <c r="AD1263" s="31">
        <f ca="1">1/(1+Assumptions!$G$443)*IF(AC1254=0,1,AC1254)</f>
        <v>0.38913204509547217</v>
      </c>
      <c r="AE1263" s="31">
        <f ca="1">1/(1+Assumptions!$G$443)*IF(AD1254=0,1,AD1254)</f>
        <v>0.37348668774580057</v>
      </c>
      <c r="AF1263" s="31">
        <f ca="1">1/(1+Assumptions!$G$443)*IF(AE1254=0,1,AE1254)</f>
        <v>0.35847036418988626</v>
      </c>
      <c r="AG1263" s="31">
        <f ca="1">1/(1+Assumptions!$G$443)*IF(AF1254=0,1,AF1254)</f>
        <v>0.34405778363347977</v>
      </c>
      <c r="AH1263" s="31">
        <f ca="1">1/(1+Assumptions!$G$443)*IF(AG1254=0,1,AG1254)</f>
        <v>0.33022467211843837</v>
      </c>
      <c r="AI1263" s="31">
        <f ca="1">1/(1+Assumptions!$G$443)*IF(AH1254=0,1,AH1254)</f>
        <v>0.3169477316400372</v>
      </c>
      <c r="AJ1263" s="31">
        <f ca="1">1/(1+Assumptions!$G$443)*IF(AI1254=0,1,AI1254)</f>
        <v>0.30420460090800105</v>
      </c>
      <c r="AK1263" s="31">
        <f ca="1">1/(1+Assumptions!$G$443)*IF(AJ1254=0,1,AJ1254)</f>
        <v>0.29197381768516933</v>
      </c>
      <c r="AL1263" s="31">
        <f ca="1">1/(1+Assumptions!$G$443)*IF(AK1254=0,1,AK1254)</f>
        <v>0.28023478264036444</v>
      </c>
      <c r="AM1263" s="31">
        <f ca="1">1/(1+Assumptions!$G$443)*IF(AL1254=0,1,AL1254)</f>
        <v>0.26896772465458391</v>
      </c>
      <c r="AN1263" s="31">
        <f ca="1">1/(1+Assumptions!$G$443)*IF(AM1254=0,1,AM1254)</f>
        <v>0.2581536675220838</v>
      </c>
      <c r="AO1263" s="31">
        <f ca="1">1/(1+Assumptions!$G$443)*IF(AN1254=0,1,AN1254)</f>
        <v>0.24777439799027134</v>
      </c>
      <c r="AP1263" s="31">
        <f ca="1">1/(1+Assumptions!$G$443)*IF(AO1254=0,1,AO1254)</f>
        <v>0.23781243508457836</v>
      </c>
      <c r="AQ1263" s="31">
        <f ca="1">1/(1+Assumptions!$G$443)*IF(AP1254=0,1,AP1254)</f>
        <v>0.2282510006666523</v>
      </c>
      <c r="AR1263" s="31">
        <f ca="1">1/(1+Assumptions!$G$443)*IF(AQ1254=0,1,AQ1254)</f>
        <v>0.21907399117627802</v>
      </c>
      <c r="AS1263" s="31">
        <f ca="1">1/(1+Assumptions!$G$443)*IF(AR1254=0,1,AR1254)</f>
        <v>0.21026595050943767</v>
      </c>
      <c r="AT1263" s="31">
        <f ca="1">1/(1+Assumptions!$G$443)*IF(AS1254=0,1,AS1254)</f>
        <v>0.20181204398682939</v>
      </c>
      <c r="AU1263" s="31">
        <f ca="1">1/(1+Assumptions!$G$443)*IF(AT1254=0,1,AT1254)</f>
        <v>0.1936980333690019</v>
      </c>
      <c r="AV1263" s="31">
        <f ca="1">1/(1+Assumptions!$G$443)*IF(AU1254=0,1,AU1254)</f>
        <v>0.18591025287602522</v>
      </c>
      <c r="AW1263" s="31">
        <f ca="1">1/(1+Assumptions!$G$443)*IF(AV1254=0,1,AV1254)</f>
        <v>0.17843558617130909</v>
      </c>
      <c r="AX1263" s="31">
        <f ca="1">1/(1+Assumptions!$G$443)*IF(AW1254=0,1,AW1254)</f>
        <v>0.17126144427080506</v>
      </c>
      <c r="AY1263" s="31">
        <f ca="1">1/(1+Assumptions!$G$443)*IF(AX1254=0,1,AX1254)</f>
        <v>0.16437574434038627</v>
      </c>
      <c r="AZ1263" s="31">
        <f ca="1">1/(1+Assumptions!$G$443)*IF(AY1254=0,1,AY1254)</f>
        <v>0.1577668893456951</v>
      </c>
      <c r="BA1263" s="31">
        <f ca="1">1/(1+Assumptions!$G$443)*IF(AZ1254=0,1,AZ1254)</f>
        <v>0.15142374852018459</v>
      </c>
      <c r="BB1263" s="31">
        <f ca="1">1/(1+Assumptions!$G$443)*IF(BA1254=0,1,BA1254)</f>
        <v>0.14533563861845741</v>
      </c>
      <c r="BC1263" s="31">
        <f ca="1">1/(1+Assumptions!$G$443)*IF(BB1254=0,1,BB1254)</f>
        <v>0.13949230592332915</v>
      </c>
      <c r="BD1263" s="31">
        <f ca="1">1/(1+Assumptions!$G$443)*IF(BC1254=0,1,BC1254)</f>
        <v>0.13388390897631147</v>
      </c>
      <c r="BE1263" s="31">
        <f ca="1">1/(1+Assumptions!$G$443)*IF(BD1254=0,1,BD1254)</f>
        <v>0.1285010020024297</v>
      </c>
      <c r="BF1263" s="31">
        <f ca="1">1/(1+Assumptions!$G$443)*IF(BE1254=0,1,BE1254)</f>
        <v>0.1233345190014586</v>
      </c>
      <c r="BG1263" s="31">
        <f ca="1">1/(1+Assumptions!$G$443)*IF(BF1254=0,1,BF1254)</f>
        <v>0.11837575847878241</v>
      </c>
      <c r="BH1263" s="31">
        <f ca="1">1/(1+Assumptions!$G$443)*IF(BG1254=0,1,BG1254)</f>
        <v>0.11361636879016251</v>
      </c>
      <c r="BI1263" s="31">
        <f ca="1">1/(1+Assumptions!$G$443)*IF(BH1254=0,1,BH1254)</f>
        <v>0.10904833407573018</v>
      </c>
      <c r="BJ1263" s="31">
        <f ca="1">1/(1+Assumptions!$G$443)*IF(BI1254=0,1,BI1254)</f>
        <v>0.10466396075951413</v>
      </c>
      <c r="BK1263" s="31">
        <f ca="1">1/(1+Assumptions!$G$443)*IF(BJ1254=0,1,BJ1254)</f>
        <v>0.10045586459176509</v>
      </c>
      <c r="BL1263" s="31">
        <f ca="1">1/(1+Assumptions!$G$443)*IF(BK1254=0,1,BK1254)</f>
        <v>9.6416958212253781E-2</v>
      </c>
      <c r="BM1263" s="31">
        <f ca="1">1/(1+Assumptions!$G$443)*IF(BL1254=0,1,BL1254)</f>
        <v>9.254043921359624E-2</v>
      </c>
      <c r="BN1263" s="31">
        <f ca="1">1/(1+Assumptions!$G$443)*IF(BM1254=0,1,BM1254)</f>
        <v>8.8819778684502429E-2</v>
      </c>
      <c r="BO1263" s="31">
        <f ca="1">1/(1+Assumptions!$G$443)*IF(BN1254=0,1,BN1254)</f>
        <v>8.5248710213652532E-2</v>
      </c>
      <c r="BP1263" s="31">
        <f ca="1">1/(1+Assumptions!$G$443)*IF(BO1254=0,1,BO1254)</f>
        <v>8.1821219335680859E-2</v>
      </c>
      <c r="BQ1263" s="31">
        <f ca="1">1/(1+Assumptions!$G$443)*IF(BP1254=0,1,BP1254)</f>
        <v>7.853153340149234E-2</v>
      </c>
      <c r="BR1263" s="31">
        <f ca="1">1/(1+Assumptions!$G$443)*IF(BQ1254=0,1,BQ1254)</f>
        <v>7.5374111855850759E-2</v>
      </c>
      <c r="BS1263" s="31">
        <f ca="1">1/(1+Assumptions!$G$443)*IF(BR1254=0,1,BR1254)</f>
        <v>7.2343636905864109E-2</v>
      </c>
      <c r="BT1263" s="31">
        <f ca="1">1/(1+Assumptions!$G$443)*IF(BS1254=0,1,BS1254)</f>
        <v>6.943500456465089E-2</v>
      </c>
      <c r="BU1263" s="31">
        <f ca="1">1/(1+Assumptions!$G$443)*IF(BT1254=0,1,BT1254)</f>
        <v>6.6643316055102639E-2</v>
      </c>
      <c r="BV1263" s="31">
        <f ca="1">1/(1+Assumptions!$G$443)*IF(BU1254=0,1,BU1254)</f>
        <v>6.396386955926503E-2</v>
      </c>
      <c r="BW1263" s="31">
        <f ca="1">1/(1+Assumptions!$G$443)*IF(BV1254=0,1,BV1254)</f>
        <v>6.1392152299441428E-2</v>
      </c>
      <c r="BX1263" s="31">
        <f ca="1">1/(1+Assumptions!$G$443)*IF(BW1254=0,1,BW1254)</f>
        <v>5.8923832937681934E-2</v>
      </c>
      <c r="BY1263" s="31">
        <f ca="1">1/(1+Assumptions!$G$443)*IF(BX1254=0,1,BX1254)</f>
        <v>5.6554754280856843E-2</v>
      </c>
    </row>
    <row r="1264" spans="1:77" s="19" customFormat="1" outlineLevel="1">
      <c r="A1264" s="771"/>
      <c r="B1264"/>
      <c r="C1264"/>
      <c r="D1264"/>
      <c r="E1264" t="s">
        <v>617</v>
      </c>
      <c r="F1264" s="80" t="s">
        <v>549</v>
      </c>
      <c r="G1264"/>
      <c r="H1264" s="31">
        <f t="shared" ref="H1264:AM1264" ca="1" si="2496">+MIN(H1263*H1262*(H447-H967),0)</f>
        <v>0</v>
      </c>
      <c r="I1264" s="31">
        <f t="shared" ca="1" si="2496"/>
        <v>0</v>
      </c>
      <c r="J1264" s="31">
        <f t="shared" ca="1" si="2496"/>
        <v>0</v>
      </c>
      <c r="K1264" s="31">
        <f t="shared" ca="1" si="2496"/>
        <v>0</v>
      </c>
      <c r="L1264" s="31">
        <f t="shared" ca="1" si="2496"/>
        <v>0</v>
      </c>
      <c r="M1264" s="31">
        <f t="shared" ca="1" si="2496"/>
        <v>0</v>
      </c>
      <c r="N1264" s="31">
        <f t="shared" ca="1" si="2496"/>
        <v>0</v>
      </c>
      <c r="O1264" s="31">
        <f t="shared" ca="1" si="2496"/>
        <v>0</v>
      </c>
      <c r="P1264" s="31">
        <f t="shared" ca="1" si="2496"/>
        <v>0</v>
      </c>
      <c r="Q1264" s="31">
        <f t="shared" ca="1" si="2496"/>
        <v>0</v>
      </c>
      <c r="R1264" s="31">
        <f t="shared" ca="1" si="2496"/>
        <v>0</v>
      </c>
      <c r="S1264" s="31">
        <f t="shared" ca="1" si="2496"/>
        <v>0</v>
      </c>
      <c r="T1264" s="31">
        <f t="shared" ca="1" si="2496"/>
        <v>0</v>
      </c>
      <c r="U1264" s="31">
        <f t="shared" ca="1" si="2496"/>
        <v>0</v>
      </c>
      <c r="V1264" s="31">
        <f t="shared" ca="1" si="2496"/>
        <v>0</v>
      </c>
      <c r="W1264" s="31">
        <f t="shared" ca="1" si="2496"/>
        <v>0</v>
      </c>
      <c r="X1264" s="31">
        <f t="shared" ca="1" si="2496"/>
        <v>0</v>
      </c>
      <c r="Y1264" s="31">
        <f t="shared" ca="1" si="2496"/>
        <v>0</v>
      </c>
      <c r="Z1264" s="31">
        <f t="shared" ca="1" si="2496"/>
        <v>0</v>
      </c>
      <c r="AA1264" s="31">
        <f t="shared" ca="1" si="2496"/>
        <v>0</v>
      </c>
      <c r="AB1264" s="31">
        <f t="shared" ca="1" si="2496"/>
        <v>0</v>
      </c>
      <c r="AC1264" s="31">
        <f t="shared" ca="1" si="2496"/>
        <v>0</v>
      </c>
      <c r="AD1264" s="31">
        <f t="shared" ca="1" si="2496"/>
        <v>0</v>
      </c>
      <c r="AE1264" s="31">
        <f t="shared" ca="1" si="2496"/>
        <v>0</v>
      </c>
      <c r="AF1264" s="31">
        <f t="shared" ca="1" si="2496"/>
        <v>0</v>
      </c>
      <c r="AG1264" s="31">
        <f t="shared" ca="1" si="2496"/>
        <v>0</v>
      </c>
      <c r="AH1264" s="31">
        <f t="shared" ca="1" si="2496"/>
        <v>0</v>
      </c>
      <c r="AI1264" s="31">
        <f t="shared" ca="1" si="2496"/>
        <v>0</v>
      </c>
      <c r="AJ1264" s="31">
        <f t="shared" ca="1" si="2496"/>
        <v>0</v>
      </c>
      <c r="AK1264" s="31">
        <f t="shared" ca="1" si="2496"/>
        <v>0</v>
      </c>
      <c r="AL1264" s="31">
        <f t="shared" ca="1" si="2496"/>
        <v>0</v>
      </c>
      <c r="AM1264" s="31">
        <f t="shared" ca="1" si="2496"/>
        <v>0</v>
      </c>
      <c r="AN1264" s="31">
        <f t="shared" ref="AN1264:BS1264" ca="1" si="2497">+MIN(AN1263*AN1262*(AN447-AN967),0)</f>
        <v>0</v>
      </c>
      <c r="AO1264" s="31">
        <f t="shared" ca="1" si="2497"/>
        <v>0</v>
      </c>
      <c r="AP1264" s="31">
        <f t="shared" ca="1" si="2497"/>
        <v>0</v>
      </c>
      <c r="AQ1264" s="31">
        <f t="shared" ca="1" si="2497"/>
        <v>0</v>
      </c>
      <c r="AR1264" s="31">
        <f t="shared" ca="1" si="2497"/>
        <v>0</v>
      </c>
      <c r="AS1264" s="31">
        <f t="shared" ca="1" si="2497"/>
        <v>0</v>
      </c>
      <c r="AT1264" s="31">
        <f t="shared" ca="1" si="2497"/>
        <v>0</v>
      </c>
      <c r="AU1264" s="31">
        <f t="shared" ca="1" si="2497"/>
        <v>0</v>
      </c>
      <c r="AV1264" s="31">
        <f t="shared" ca="1" si="2497"/>
        <v>0</v>
      </c>
      <c r="AW1264" s="31">
        <f t="shared" ca="1" si="2497"/>
        <v>0</v>
      </c>
      <c r="AX1264" s="31">
        <f t="shared" ca="1" si="2497"/>
        <v>0</v>
      </c>
      <c r="AY1264" s="31">
        <f t="shared" ca="1" si="2497"/>
        <v>0</v>
      </c>
      <c r="AZ1264" s="31">
        <f t="shared" ca="1" si="2497"/>
        <v>0</v>
      </c>
      <c r="BA1264" s="31">
        <f t="shared" ca="1" si="2497"/>
        <v>0</v>
      </c>
      <c r="BB1264" s="31">
        <f t="shared" ca="1" si="2497"/>
        <v>0</v>
      </c>
      <c r="BC1264" s="31">
        <f t="shared" ca="1" si="2497"/>
        <v>0</v>
      </c>
      <c r="BD1264" s="31">
        <f t="shared" ca="1" si="2497"/>
        <v>0</v>
      </c>
      <c r="BE1264" s="31">
        <f t="shared" ca="1" si="2497"/>
        <v>0</v>
      </c>
      <c r="BF1264" s="31">
        <f t="shared" ca="1" si="2497"/>
        <v>0</v>
      </c>
      <c r="BG1264" s="31">
        <f t="shared" ca="1" si="2497"/>
        <v>0</v>
      </c>
      <c r="BH1264" s="31">
        <f t="shared" ca="1" si="2497"/>
        <v>0</v>
      </c>
      <c r="BI1264" s="31">
        <f t="shared" ca="1" si="2497"/>
        <v>0</v>
      </c>
      <c r="BJ1264" s="31">
        <f t="shared" ca="1" si="2497"/>
        <v>0</v>
      </c>
      <c r="BK1264" s="31">
        <f t="shared" ca="1" si="2497"/>
        <v>0</v>
      </c>
      <c r="BL1264" s="31">
        <f t="shared" ca="1" si="2497"/>
        <v>0</v>
      </c>
      <c r="BM1264" s="31">
        <f t="shared" ca="1" si="2497"/>
        <v>0</v>
      </c>
      <c r="BN1264" s="31">
        <f t="shared" ca="1" si="2497"/>
        <v>0</v>
      </c>
      <c r="BO1264" s="31">
        <f t="shared" ca="1" si="2497"/>
        <v>0</v>
      </c>
      <c r="BP1264" s="31">
        <f t="shared" ca="1" si="2497"/>
        <v>0</v>
      </c>
      <c r="BQ1264" s="31">
        <f t="shared" ca="1" si="2497"/>
        <v>0</v>
      </c>
      <c r="BR1264" s="31">
        <f t="shared" ca="1" si="2497"/>
        <v>0</v>
      </c>
      <c r="BS1264" s="31">
        <f t="shared" ca="1" si="2497"/>
        <v>0</v>
      </c>
      <c r="BT1264" s="31">
        <f t="shared" ref="BT1264:BY1264" ca="1" si="2498">+MIN(BT1263*BT1262*(BT447-BT967),0)</f>
        <v>0</v>
      </c>
      <c r="BU1264" s="31">
        <f t="shared" ca="1" si="2498"/>
        <v>0</v>
      </c>
      <c r="BV1264" s="31">
        <f t="shared" ca="1" si="2498"/>
        <v>0</v>
      </c>
      <c r="BW1264" s="31">
        <f t="shared" ca="1" si="2498"/>
        <v>0</v>
      </c>
      <c r="BX1264" s="31">
        <f t="shared" ca="1" si="2498"/>
        <v>0</v>
      </c>
      <c r="BY1264" s="31">
        <f t="shared" ca="1" si="2498"/>
        <v>0</v>
      </c>
    </row>
    <row r="1265" spans="1:77" s="771" customFormat="1" ht="12.75" outlineLevel="1"/>
    <row r="1266" spans="1:77" s="19" customFormat="1" outlineLevel="1">
      <c r="A1266"/>
      <c r="B1266"/>
      <c r="C1266"/>
      <c r="D1266"/>
      <c r="E1266" t="s">
        <v>618</v>
      </c>
      <c r="F1266" s="80" t="s">
        <v>549</v>
      </c>
      <c r="G1266"/>
      <c r="H1266" s="31">
        <f>IFERROR(-+IF(Assumptions!$G$440="Manual",Assumptions!$G$441*H429*H434,0),0)</f>
        <v>0</v>
      </c>
      <c r="I1266" s="31">
        <f>IFERROR(-+IF(Assumptions!$G$440="Manual",Assumptions!$G$441*I429*I434,0),0)</f>
        <v>0</v>
      </c>
      <c r="J1266" s="31">
        <f>IFERROR(-+IF(Assumptions!$G$440="Manual",Assumptions!$G$441*J429*J434,0),0)</f>
        <v>0</v>
      </c>
      <c r="K1266" s="31">
        <f>IFERROR(-+IF(Assumptions!$G$440="Manual",Assumptions!$G$441*K429*K434,0),0)</f>
        <v>0</v>
      </c>
      <c r="L1266" s="31">
        <f>IFERROR(-+IF(Assumptions!$G$440="Manual",Assumptions!$G$441*L429*L434,0),0)</f>
        <v>0</v>
      </c>
      <c r="M1266" s="31">
        <f>IFERROR(-+IF(Assumptions!$G$440="Manual",Assumptions!$G$441*M429*M434,0),0)</f>
        <v>0</v>
      </c>
      <c r="N1266" s="31">
        <f>IFERROR(-+IF(Assumptions!$G$440="Manual",Assumptions!$G$441*N429*N434,0),0)</f>
        <v>0</v>
      </c>
      <c r="O1266" s="31">
        <f>IFERROR(-+IF(Assumptions!$G$440="Manual",Assumptions!$G$441*O429*O434,0),0)</f>
        <v>0</v>
      </c>
      <c r="P1266" s="31">
        <f>IFERROR(-+IF(Assumptions!$G$440="Manual",Assumptions!$G$441*P429*P434,0),0)</f>
        <v>0</v>
      </c>
      <c r="Q1266" s="31">
        <f>IFERROR(-+IF(Assumptions!$G$440="Manual",Assumptions!$G$441*Q429*Q434,0),0)</f>
        <v>0</v>
      </c>
      <c r="R1266" s="31">
        <f>IFERROR(-+IF(Assumptions!$G$440="Manual",Assumptions!$G$441*R429*R434,0),0)</f>
        <v>0</v>
      </c>
      <c r="S1266" s="31">
        <f>IFERROR(-+IF(Assumptions!$G$440="Manual",Assumptions!$G$441*S429*S434,0),0)</f>
        <v>0</v>
      </c>
      <c r="T1266" s="31">
        <f>IFERROR(-+IF(Assumptions!$G$440="Manual",Assumptions!$G$441*T429*T434,0),0)</f>
        <v>0</v>
      </c>
      <c r="U1266" s="31">
        <f>IFERROR(-+IF(Assumptions!$G$440="Manual",Assumptions!$G$441*U429*U434,0),0)</f>
        <v>0</v>
      </c>
      <c r="V1266" s="31">
        <f>IFERROR(-+IF(Assumptions!$G$440="Manual",Assumptions!$G$441*V429*V434,0),0)</f>
        <v>0</v>
      </c>
      <c r="W1266" s="31">
        <f>IFERROR(-+IF(Assumptions!$G$440="Manual",Assumptions!$G$441*W429*W434,0),0)</f>
        <v>0</v>
      </c>
      <c r="X1266" s="31">
        <f>IFERROR(-+IF(Assumptions!$G$440="Manual",Assumptions!$G$441*X429*X434,0),0)</f>
        <v>0</v>
      </c>
      <c r="Y1266" s="31">
        <f>IFERROR(-+IF(Assumptions!$G$440="Manual",Assumptions!$G$441*Y429*Y434,0),0)</f>
        <v>0</v>
      </c>
      <c r="Z1266" s="31">
        <f>IFERROR(-+IF(Assumptions!$G$440="Manual",Assumptions!$G$441*Z429*Z434,0),0)</f>
        <v>0</v>
      </c>
      <c r="AA1266" s="31">
        <f>IFERROR(-+IF(Assumptions!$G$440="Manual",Assumptions!$G$441*AA429*AA434,0),0)</f>
        <v>0</v>
      </c>
      <c r="AB1266" s="31">
        <f>IFERROR(-+IF(Assumptions!$G$440="Manual",Assumptions!$G$441*AB429*AB434,0),0)</f>
        <v>0</v>
      </c>
      <c r="AC1266" s="31">
        <f>IFERROR(-+IF(Assumptions!$G$440="Manual",Assumptions!$G$441*AC429*AC434,0),0)</f>
        <v>0</v>
      </c>
      <c r="AD1266" s="31">
        <f>IFERROR(-+IF(Assumptions!$G$440="Manual",Assumptions!$G$441*AD429*AD434,0),0)</f>
        <v>0</v>
      </c>
      <c r="AE1266" s="31">
        <f>IFERROR(-+IF(Assumptions!$G$440="Manual",Assumptions!$G$441*AE429*AE434,0),0)</f>
        <v>0</v>
      </c>
      <c r="AF1266" s="31">
        <f>IFERROR(-+IF(Assumptions!$G$440="Manual",Assumptions!$G$441*AF429*AF434,0),0)</f>
        <v>0</v>
      </c>
      <c r="AG1266" s="31">
        <f>IFERROR(-+IF(Assumptions!$G$440="Manual",Assumptions!$G$441*AG429*AG434,0),0)</f>
        <v>0</v>
      </c>
      <c r="AH1266" s="31">
        <f>IFERROR(-+IF(Assumptions!$G$440="Manual",Assumptions!$G$441*AH429*AH434,0),0)</f>
        <v>0</v>
      </c>
      <c r="AI1266" s="31">
        <f>IFERROR(-+IF(Assumptions!$G$440="Manual",Assumptions!$G$441*AI429*AI434,0),0)</f>
        <v>0</v>
      </c>
      <c r="AJ1266" s="31">
        <f>IFERROR(-+IF(Assumptions!$G$440="Manual",Assumptions!$G$441*AJ429*AJ434,0),0)</f>
        <v>0</v>
      </c>
      <c r="AK1266" s="31">
        <f>IFERROR(-+IF(Assumptions!$G$440="Manual",Assumptions!$G$441*AK429*AK434,0),0)</f>
        <v>0</v>
      </c>
      <c r="AL1266" s="31">
        <f>IFERROR(-+IF(Assumptions!$G$440="Manual",Assumptions!$G$441*AL429*AL434,0),0)</f>
        <v>0</v>
      </c>
      <c r="AM1266" s="31">
        <f>IFERROR(-+IF(Assumptions!$G$440="Manual",Assumptions!$G$441*AM429*AM434,0),0)</f>
        <v>0</v>
      </c>
      <c r="AN1266" s="31">
        <f>IFERROR(-+IF(Assumptions!$G$440="Manual",Assumptions!$G$441*AN429*AN434,0),0)</f>
        <v>0</v>
      </c>
      <c r="AO1266" s="31">
        <f>IFERROR(-+IF(Assumptions!$G$440="Manual",Assumptions!$G$441*AO429*AO434,0),0)</f>
        <v>0</v>
      </c>
      <c r="AP1266" s="31">
        <f>IFERROR(-+IF(Assumptions!$G$440="Manual",Assumptions!$G$441*AP429*AP434,0),0)</f>
        <v>0</v>
      </c>
      <c r="AQ1266" s="31">
        <f>IFERROR(-+IF(Assumptions!$G$440="Manual",Assumptions!$G$441*AQ429*AQ434,0),0)</f>
        <v>0</v>
      </c>
      <c r="AR1266" s="31">
        <f>IFERROR(-+IF(Assumptions!$G$440="Manual",Assumptions!$G$441*AR429*AR434,0),0)</f>
        <v>0</v>
      </c>
      <c r="AS1266" s="31">
        <f>IFERROR(-+IF(Assumptions!$G$440="Manual",Assumptions!$G$441*AS429*AS434,0),0)</f>
        <v>0</v>
      </c>
      <c r="AT1266" s="31">
        <f>IFERROR(-+IF(Assumptions!$G$440="Manual",Assumptions!$G$441*AT429*AT434,0),0)</f>
        <v>0</v>
      </c>
      <c r="AU1266" s="31">
        <f>IFERROR(-+IF(Assumptions!$G$440="Manual",Assumptions!$G$441*AU429*AU434,0),0)</f>
        <v>0</v>
      </c>
      <c r="AV1266" s="31">
        <f>IFERROR(-+IF(Assumptions!$G$440="Manual",Assumptions!$G$441*AV429*AV434,0),0)</f>
        <v>0</v>
      </c>
      <c r="AW1266" s="31">
        <f>IFERROR(-+IF(Assumptions!$G$440="Manual",Assumptions!$G$441*AW429*AW434,0),0)</f>
        <v>0</v>
      </c>
      <c r="AX1266" s="31">
        <f>IFERROR(-+IF(Assumptions!$G$440="Manual",Assumptions!$G$441*AX429*AX434,0),0)</f>
        <v>0</v>
      </c>
      <c r="AY1266" s="31">
        <f>IFERROR(-+IF(Assumptions!$G$440="Manual",Assumptions!$G$441*AY429*AY434,0),0)</f>
        <v>0</v>
      </c>
      <c r="AZ1266" s="31">
        <f>IFERROR(-+IF(Assumptions!$G$440="Manual",Assumptions!$G$441*AZ429*AZ434,0),0)</f>
        <v>0</v>
      </c>
      <c r="BA1266" s="31">
        <f>IFERROR(-+IF(Assumptions!$G$440="Manual",Assumptions!$G$441*BA429*BA434,0),0)</f>
        <v>0</v>
      </c>
      <c r="BB1266" s="31">
        <f>IFERROR(-+IF(Assumptions!$G$440="Manual",Assumptions!$G$441*BB429*BB434,0),0)</f>
        <v>0</v>
      </c>
      <c r="BC1266" s="31">
        <f>IFERROR(-+IF(Assumptions!$G$440="Manual",Assumptions!$G$441*BC429*BC434,0),0)</f>
        <v>0</v>
      </c>
      <c r="BD1266" s="31">
        <f>IFERROR(-+IF(Assumptions!$G$440="Manual",Assumptions!$G$441*BD429*BD434,0),0)</f>
        <v>0</v>
      </c>
      <c r="BE1266" s="31">
        <f>IFERROR(-+IF(Assumptions!$G$440="Manual",Assumptions!$G$441*BE429*BE434,0),0)</f>
        <v>0</v>
      </c>
      <c r="BF1266" s="31">
        <f>IFERROR(-+IF(Assumptions!$G$440="Manual",Assumptions!$G$441*BF429*BF434,0),0)</f>
        <v>0</v>
      </c>
      <c r="BG1266" s="31">
        <f>IFERROR(-+IF(Assumptions!$G$440="Manual",Assumptions!$G$441*BG429*BG434,0),0)</f>
        <v>0</v>
      </c>
      <c r="BH1266" s="31">
        <f>IFERROR(-+IF(Assumptions!$G$440="Manual",Assumptions!$G$441*BH429*BH434,0),0)</f>
        <v>0</v>
      </c>
      <c r="BI1266" s="31">
        <f>IFERROR(-+IF(Assumptions!$G$440="Manual",Assumptions!$G$441*BI429*BI434,0),0)</f>
        <v>0</v>
      </c>
      <c r="BJ1266" s="31">
        <f>IFERROR(-+IF(Assumptions!$G$440="Manual",Assumptions!$G$441*BJ429*BJ434,0),0)</f>
        <v>0</v>
      </c>
      <c r="BK1266" s="31">
        <f>IFERROR(-+IF(Assumptions!$G$440="Manual",Assumptions!$G$441*BK429*BK434,0),0)</f>
        <v>0</v>
      </c>
      <c r="BL1266" s="31">
        <f>IFERROR(-+IF(Assumptions!$G$440="Manual",Assumptions!$G$441*BL429*BL434,0),0)</f>
        <v>0</v>
      </c>
      <c r="BM1266" s="31">
        <f>IFERROR(-+IF(Assumptions!$G$440="Manual",Assumptions!$G$441*BM429*BM434,0),0)</f>
        <v>0</v>
      </c>
      <c r="BN1266" s="31">
        <f>IFERROR(-+IF(Assumptions!$G$440="Manual",Assumptions!$G$441*BN429*BN434,0),0)</f>
        <v>0</v>
      </c>
      <c r="BO1266" s="31">
        <f>IFERROR(-+IF(Assumptions!$G$440="Manual",Assumptions!$G$441*BO429*BO434,0),0)</f>
        <v>0</v>
      </c>
      <c r="BP1266" s="31">
        <f>IFERROR(-+IF(Assumptions!$G$440="Manual",Assumptions!$G$441*BP429*BP434,0),0)</f>
        <v>0</v>
      </c>
      <c r="BQ1266" s="31">
        <f>IFERROR(-+IF(Assumptions!$G$440="Manual",Assumptions!$G$441*BQ429*BQ434,0),0)</f>
        <v>0</v>
      </c>
      <c r="BR1266" s="31">
        <f>IFERROR(-+IF(Assumptions!$G$440="Manual",Assumptions!$G$441*BR429*BR434,0),0)</f>
        <v>0</v>
      </c>
      <c r="BS1266" s="31">
        <f>IFERROR(-+IF(Assumptions!$G$440="Manual",Assumptions!$G$441*BS429*BS434,0),0)</f>
        <v>0</v>
      </c>
      <c r="BT1266" s="31">
        <f>IFERROR(-+IF(Assumptions!$G$440="Manual",Assumptions!$G$441*BT429*BT434,0),0)</f>
        <v>0</v>
      </c>
      <c r="BU1266" s="31">
        <f>IFERROR(-+IF(Assumptions!$G$440="Manual",Assumptions!$G$441*BU429*BU434,0),0)</f>
        <v>0</v>
      </c>
      <c r="BV1266" s="31">
        <f>IFERROR(-+IF(Assumptions!$G$440="Manual",Assumptions!$G$441*BV429*BV434,0),0)</f>
        <v>0</v>
      </c>
      <c r="BW1266" s="31">
        <f>IFERROR(-+IF(Assumptions!$G$440="Manual",Assumptions!$G$441*BW429*BW434,0),0)</f>
        <v>0</v>
      </c>
      <c r="BX1266" s="31">
        <f>IFERROR(-+IF(Assumptions!$G$440="Manual",Assumptions!$G$441*BX429*BX434,0),0)</f>
        <v>0</v>
      </c>
      <c r="BY1266" s="31">
        <f>IFERROR(-+IF(Assumptions!$G$440="Manual",Assumptions!$G$441*BY429*BY434,0),0)</f>
        <v>0</v>
      </c>
    </row>
    <row r="1268" spans="1:77" s="19" customFormat="1" outlineLevel="1">
      <c r="A1268"/>
      <c r="B1268"/>
      <c r="C1268"/>
      <c r="D1268"/>
      <c r="E1268" t="s">
        <v>615</v>
      </c>
      <c r="F1268" s="80" t="s">
        <v>549</v>
      </c>
      <c r="G1268"/>
      <c r="H1268" s="31">
        <f ca="1">+SUM(H1264:BY1264)+SUM(H1266:BY1266)</f>
        <v>0</v>
      </c>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row>
    <row r="1271" spans="1:77" s="66" customFormat="1" ht="15">
      <c r="A1271" s="66" t="str">
        <f>+Assumptions!B454</f>
        <v>6.0 Green Cargo Premia</v>
      </c>
    </row>
    <row r="1272" spans="1:77" s="19" customFormat="1" outlineLevel="1">
      <c r="A1272"/>
      <c r="B1272" s="18" t="str">
        <f>+Assumptions!C456</f>
        <v>6.1 Willingness to pay</v>
      </c>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5"/>
      <c r="AE1272" s="35"/>
      <c r="AF1272" s="35"/>
      <c r="AG1272" s="35"/>
      <c r="AH1272" s="35"/>
      <c r="AI1272" s="35"/>
      <c r="AJ1272" s="35"/>
      <c r="AK1272" s="35"/>
      <c r="AL1272" s="35"/>
      <c r="AM1272" s="35"/>
      <c r="AN1272" s="35"/>
      <c r="AO1272" s="35"/>
      <c r="AP1272" s="35"/>
      <c r="AQ1272" s="35"/>
      <c r="AR1272" s="35"/>
      <c r="AS1272" s="35"/>
      <c r="AT1272" s="35"/>
      <c r="AU1272" s="35"/>
      <c r="AV1272" s="35"/>
      <c r="AW1272" s="35"/>
      <c r="AX1272" s="35"/>
      <c r="AY1272" s="35"/>
      <c r="AZ1272" s="35"/>
      <c r="BA1272" s="35"/>
      <c r="BB1272" s="35"/>
      <c r="BC1272" s="35"/>
      <c r="BD1272" s="35"/>
      <c r="BE1272" s="35"/>
      <c r="BF1272" s="35"/>
      <c r="BG1272" s="35"/>
      <c r="BH1272" s="35"/>
      <c r="BI1272" s="35"/>
      <c r="BJ1272" s="35"/>
      <c r="BK1272" s="35"/>
      <c r="BL1272" s="35"/>
      <c r="BM1272" s="35"/>
      <c r="BN1272" s="35"/>
      <c r="BO1272" s="35"/>
      <c r="BP1272" s="35"/>
      <c r="BQ1272" s="35"/>
      <c r="BR1272" s="35"/>
      <c r="BS1272" s="35"/>
      <c r="BT1272" s="35"/>
      <c r="BU1272" s="35"/>
      <c r="BV1272" s="35"/>
      <c r="BW1272" s="35"/>
      <c r="BX1272" s="35"/>
      <c r="BY1272" s="35"/>
    </row>
    <row r="1273" spans="1:77" s="19" customFormat="1" outlineLevel="1">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row>
    <row r="1274" spans="1:77" s="19" customFormat="1" ht="15" outlineLevel="1">
      <c r="A1274"/>
      <c r="B1274"/>
      <c r="C1274"/>
      <c r="D1274"/>
      <c r="E1274" s="22" t="s">
        <v>620</v>
      </c>
      <c r="F1274"/>
      <c r="G1274"/>
      <c r="H1274"/>
      <c r="I1274"/>
      <c r="J1274"/>
      <c r="K1274"/>
      <c r="L1274" s="21"/>
      <c r="M1274"/>
      <c r="N1274" s="21"/>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row>
    <row r="1275" spans="1:77" s="19" customFormat="1" outlineLevel="1">
      <c r="A1275"/>
      <c r="B1275"/>
      <c r="C1275"/>
      <c r="D1275"/>
      <c r="E1275" t="s">
        <v>621</v>
      </c>
      <c r="F1275" s="80" t="s">
        <v>622</v>
      </c>
      <c r="G1275"/>
      <c r="H1275" s="724">
        <f ca="1">+MIN(IF(SUM($H$953:H953)=1,(Assumptions!$G$458)*Assumptions!$H$466,H953*IFERROR(IF(YEAR(H3)&gt;YEAR(Assumptions!$G$12),0,(Assumptions!$H$466-(Assumptions!$G$458)*(Assumptions!$H$466))/(2050-YEAR(Assumptions!$G$298))+G1275),0)),Assumptions!$H$466)</f>
        <v>0</v>
      </c>
      <c r="I1275" s="724">
        <f ca="1">+MIN(IF(SUM($H$953:I953)=1,(Assumptions!$G$458)*Assumptions!$H$466,I953*IFERROR(IF(YEAR(I3)&gt;YEAR(Assumptions!$G$12),0,(Assumptions!$H$466-(Assumptions!$G$458)*(Assumptions!$H$466))/(2050-YEAR(Assumptions!$G$298))+H1275),0)),Assumptions!$H$466)</f>
        <v>0</v>
      </c>
      <c r="J1275" s="724">
        <f ca="1">+MIN(IF(SUM($H$953:J953)=1,(Assumptions!$G$458)*Assumptions!$H$466,J953*IFERROR(IF(YEAR(J3)&gt;YEAR(Assumptions!$G$12),0,(Assumptions!$H$466-(Assumptions!$G$458)*(Assumptions!$H$466))/(2050-YEAR(Assumptions!$G$298))+I1275),0)),Assumptions!$H$466)</f>
        <v>0</v>
      </c>
      <c r="K1275" s="724">
        <f ca="1">+MIN(IF(SUM($H$953:K953)=1,(Assumptions!$G$458)*Assumptions!$H$466,K953*IFERROR(IF(YEAR(K3)&gt;YEAR(Assumptions!$G$12),0,(Assumptions!$H$466-(Assumptions!$G$458)*(Assumptions!$H$466))/(2050-YEAR(Assumptions!$G$298))+J1275),0)),Assumptions!$H$466)</f>
        <v>1.8057278766422655</v>
      </c>
      <c r="L1275" s="724">
        <f ca="1">+MIN(IF(SUM($H$953:L953)=1,(Assumptions!$G$458)*Assumptions!$H$466,L953*IFERROR(IF(YEAR(L3)&gt;YEAR(Assumptions!$G$12),0,(Assumptions!$H$466-(Assumptions!$G$458)*(Assumptions!$H$466))/(2050-YEAR(Assumptions!$G$298))+K1275),0)),Assumptions!$H$466)</f>
        <v>2.6183054211312848</v>
      </c>
      <c r="M1275" s="724">
        <f ca="1">+MIN(IF(SUM($H$953:M953)=1,(Assumptions!$G$458)*Assumptions!$H$466,M953*IFERROR(IF(YEAR(M3)&gt;YEAR(Assumptions!$G$12),0,(Assumptions!$H$466-(Assumptions!$G$458)*(Assumptions!$H$466))/(2050-YEAR(Assumptions!$G$298))+L1275),0)),Assumptions!$H$466)</f>
        <v>3.4308829656203041</v>
      </c>
      <c r="N1275" s="724">
        <f ca="1">+MIN(IF(SUM($H$953:N953)=1,(Assumptions!$G$458)*Assumptions!$H$466,N953*IFERROR(IF(YEAR(N3)&gt;YEAR(Assumptions!$G$12),0,(Assumptions!$H$466-(Assumptions!$G$458)*(Assumptions!$H$466))/(2050-YEAR(Assumptions!$G$298))+M1275),0)),Assumptions!$H$466)</f>
        <v>4.2434605101093235</v>
      </c>
      <c r="O1275" s="724">
        <f ca="1">+MIN(IF(SUM($H$953:O953)=1,(Assumptions!$G$458)*Assumptions!$H$466,O953*IFERROR(IF(YEAR(O3)&gt;YEAR(Assumptions!$G$12),0,(Assumptions!$H$466-(Assumptions!$G$458)*(Assumptions!$H$466))/(2050-YEAR(Assumptions!$G$298))+N1275),0)),Assumptions!$H$466)</f>
        <v>5.0560380545983428</v>
      </c>
      <c r="P1275" s="724">
        <f ca="1">+MIN(IF(SUM($H$953:P953)=1,(Assumptions!$G$458)*Assumptions!$H$466,P953*IFERROR(IF(YEAR(P3)&gt;YEAR(Assumptions!$G$12),0,(Assumptions!$H$466-(Assumptions!$G$458)*(Assumptions!$H$466))/(2050-YEAR(Assumptions!$G$298))+O1275),0)),Assumptions!$H$466)</f>
        <v>5.8686155990873621</v>
      </c>
      <c r="Q1275" s="724">
        <f ca="1">+MIN(IF(SUM($H$953:Q953)=1,(Assumptions!$G$458)*Assumptions!$H$466,Q953*IFERROR(IF(YEAR(Q3)&gt;YEAR(Assumptions!$G$12),0,(Assumptions!$H$466-(Assumptions!$G$458)*(Assumptions!$H$466))/(2050-YEAR(Assumptions!$G$298))+P1275),0)),Assumptions!$H$466)</f>
        <v>6.6811931435763814</v>
      </c>
      <c r="R1275" s="724">
        <f ca="1">+MIN(IF(SUM($H$953:R953)=1,(Assumptions!$G$458)*Assumptions!$H$466,R953*IFERROR(IF(YEAR(R3)&gt;YEAR(Assumptions!$G$12),0,(Assumptions!$H$466-(Assumptions!$G$458)*(Assumptions!$H$466))/(2050-YEAR(Assumptions!$G$298))+Q1275),0)),Assumptions!$H$466)</f>
        <v>7.4937706880654007</v>
      </c>
      <c r="S1275" s="724">
        <f ca="1">+MIN(IF(SUM($H$953:S953)=1,(Assumptions!$G$458)*Assumptions!$H$466,S953*IFERROR(IF(YEAR(S3)&gt;YEAR(Assumptions!$G$12),0,(Assumptions!$H$466-(Assumptions!$G$458)*(Assumptions!$H$466))/(2050-YEAR(Assumptions!$G$298))+R1275),0)),Assumptions!$H$466)</f>
        <v>8.30634823255442</v>
      </c>
      <c r="T1275" s="724">
        <f ca="1">+MIN(IF(SUM($H$953:T953)=1,(Assumptions!$G$458)*Assumptions!$H$466,T953*IFERROR(IF(YEAR(T3)&gt;YEAR(Assumptions!$G$12),0,(Assumptions!$H$466-(Assumptions!$G$458)*(Assumptions!$H$466))/(2050-YEAR(Assumptions!$G$298))+S1275),0)),Assumptions!$H$466)</f>
        <v>9.1189257770434402</v>
      </c>
      <c r="U1275" s="724">
        <f ca="1">+MIN(IF(SUM($H$953:U953)=1,(Assumptions!$G$458)*Assumptions!$H$466,U953*IFERROR(IF(YEAR(U3)&gt;YEAR(Assumptions!$G$12),0,(Assumptions!$H$466-(Assumptions!$G$458)*(Assumptions!$H$466))/(2050-YEAR(Assumptions!$G$298))+T1275),0)),Assumptions!$H$466)</f>
        <v>9.9315033215324604</v>
      </c>
      <c r="V1275" s="724">
        <f ca="1">+MIN(IF(SUM($H$953:V953)=1,(Assumptions!$G$458)*Assumptions!$H$466,V953*IFERROR(IF(YEAR(V3)&gt;YEAR(Assumptions!$G$12),0,(Assumptions!$H$466-(Assumptions!$G$458)*(Assumptions!$H$466))/(2050-YEAR(Assumptions!$G$298))+U1275),0)),Assumptions!$H$466)</f>
        <v>10.744080866021481</v>
      </c>
      <c r="W1275" s="724">
        <f ca="1">+MIN(IF(SUM($H$953:W953)=1,(Assumptions!$G$458)*Assumptions!$H$466,W953*IFERROR(IF(YEAR(W3)&gt;YEAR(Assumptions!$G$12),0,(Assumptions!$H$466-(Assumptions!$G$458)*(Assumptions!$H$466))/(2050-YEAR(Assumptions!$G$298))+V1275),0)),Assumptions!$H$466)</f>
        <v>11.556658410510501</v>
      </c>
      <c r="X1275" s="724">
        <f ca="1">+MIN(IF(SUM($H$953:X953)=1,(Assumptions!$G$458)*Assumptions!$H$466,X953*IFERROR(IF(YEAR(X3)&gt;YEAR(Assumptions!$G$12),0,(Assumptions!$H$466-(Assumptions!$G$458)*(Assumptions!$H$466))/(2050-YEAR(Assumptions!$G$298))+W1275),0)),Assumptions!$H$466)</f>
        <v>12.369235954999521</v>
      </c>
      <c r="Y1275" s="724">
        <f ca="1">+MIN(IF(SUM($H$953:Y953)=1,(Assumptions!$G$458)*Assumptions!$H$466,Y953*IFERROR(IF(YEAR(Y3)&gt;YEAR(Assumptions!$G$12),0,(Assumptions!$H$466-(Assumptions!$G$458)*(Assumptions!$H$466))/(2050-YEAR(Assumptions!$G$298))+X1275),0)),Assumptions!$H$466)</f>
        <v>13.181813499488541</v>
      </c>
      <c r="Z1275" s="724">
        <f ca="1">+MIN(IF(SUM($H$953:Z953)=1,(Assumptions!$G$458)*Assumptions!$H$466,Z953*IFERROR(IF(YEAR(Z3)&gt;YEAR(Assumptions!$G$12),0,(Assumptions!$H$466-(Assumptions!$G$458)*(Assumptions!$H$466))/(2050-YEAR(Assumptions!$G$298))+Y1275),0)),Assumptions!$H$466)</f>
        <v>0</v>
      </c>
      <c r="AA1275" s="724">
        <f ca="1">+MIN(IF(SUM($H$953:AA953)=1,(Assumptions!$G$458)*Assumptions!$H$466,AA953*IFERROR(IF(YEAR(AA3)&gt;YEAR(Assumptions!$G$12),0,(Assumptions!$H$466-(Assumptions!$G$458)*(Assumptions!$H$466))/(2050-YEAR(Assumptions!$G$298))+Z1275),0)),Assumptions!$H$466)</f>
        <v>0</v>
      </c>
      <c r="AB1275" s="724">
        <f ca="1">+MIN(IF(SUM($H$953:AB953)=1,(Assumptions!$G$458)*Assumptions!$H$466,AB953*IFERROR(IF(YEAR(AB3)&gt;YEAR(Assumptions!$G$12),0,(Assumptions!$H$466-(Assumptions!$G$458)*(Assumptions!$H$466))/(2050-YEAR(Assumptions!$G$298))+AA1275),0)),Assumptions!$H$466)</f>
        <v>0</v>
      </c>
      <c r="AC1275" s="724">
        <f ca="1">+MIN(IF(SUM($H$953:AC953)=1,(Assumptions!$G$458)*Assumptions!$H$466,AC953*IFERROR(IF(YEAR(AC3)&gt;YEAR(Assumptions!$G$12),0,(Assumptions!$H$466-(Assumptions!$G$458)*(Assumptions!$H$466))/(2050-YEAR(Assumptions!$G$298))+AB1275),0)),Assumptions!$H$466)</f>
        <v>0</v>
      </c>
      <c r="AD1275" s="724">
        <f ca="1">+MIN(IF(SUM($H$953:AD953)=1,(Assumptions!$G$458)*Assumptions!$H$466,AD953*IFERROR(IF(YEAR(AD3)&gt;YEAR(Assumptions!$G$12),0,(Assumptions!$H$466-(Assumptions!$G$458)*(Assumptions!$H$466))/(2050-YEAR(Assumptions!$G$298))+AC1275),0)),Assumptions!$H$466)</f>
        <v>0</v>
      </c>
      <c r="AE1275" s="724">
        <f ca="1">+MIN(IF(SUM($H$953:AE953)=1,(Assumptions!$G$458)*Assumptions!$H$466,AE953*IFERROR(IF(YEAR(AE3)&gt;YEAR(Assumptions!$G$12),0,(Assumptions!$H$466-(Assumptions!$G$458)*(Assumptions!$H$466))/(2050-YEAR(Assumptions!$G$298))+AD1275),0)),Assumptions!$H$466)</f>
        <v>0</v>
      </c>
      <c r="AF1275" s="724">
        <f ca="1">+MIN(IF(SUM($H$953:AF953)=1,(Assumptions!$G$458)*Assumptions!$H$466,AF953*IFERROR(IF(YEAR(AF3)&gt;YEAR(Assumptions!$G$12),0,(Assumptions!$H$466-(Assumptions!$G$458)*(Assumptions!$H$466))/(2050-YEAR(Assumptions!$G$298))+AE1275),0)),Assumptions!$H$466)</f>
        <v>0</v>
      </c>
      <c r="AG1275" s="724">
        <f ca="1">+MIN(IF(SUM($H$953:AG953)=1,(Assumptions!$G$458)*Assumptions!$H$466,AG953*IFERROR(IF(YEAR(AG3)&gt;YEAR(Assumptions!$G$12),0,(Assumptions!$H$466-(Assumptions!$G$458)*(Assumptions!$H$466))/(2050-YEAR(Assumptions!$G$298))+AF1275),0)),Assumptions!$H$466)</f>
        <v>0</v>
      </c>
      <c r="AH1275" s="724">
        <f ca="1">+MIN(IF(SUM($H$953:AH953)=1,(Assumptions!$G$458)*Assumptions!$H$466,AH953*IFERROR(IF(YEAR(AH3)&gt;YEAR(Assumptions!$G$12),0,(Assumptions!$H$466-(Assumptions!$G$458)*(Assumptions!$H$466))/(2050-YEAR(Assumptions!$G$298))+AG1275),0)),Assumptions!$H$466)</f>
        <v>0</v>
      </c>
      <c r="AI1275" s="724">
        <f ca="1">+MIN(IF(SUM($H$953:AI953)=1,(Assumptions!$G$458)*Assumptions!$H$466,AI953*IFERROR(IF(YEAR(AI3)&gt;YEAR(Assumptions!$G$12),0,(Assumptions!$H$466-(Assumptions!$G$458)*(Assumptions!$H$466))/(2050-YEAR(Assumptions!$G$298))+AH1275),0)),Assumptions!$H$466)</f>
        <v>0</v>
      </c>
      <c r="AJ1275" s="724">
        <f ca="1">+MIN(IF(SUM($H$953:AJ953)=1,(Assumptions!$G$458)*Assumptions!$H$466,AJ953*IFERROR(IF(YEAR(AJ3)&gt;YEAR(Assumptions!$G$12),0,(Assumptions!$H$466-(Assumptions!$G$458)*(Assumptions!$H$466))/(2050-YEAR(Assumptions!$G$298))+AI1275),0)),Assumptions!$H$466)</f>
        <v>0</v>
      </c>
      <c r="AK1275" s="724">
        <f ca="1">+MIN(IF(SUM($H$953:AK953)=1,(Assumptions!$G$458)*Assumptions!$H$466,AK953*IFERROR(IF(YEAR(AK3)&gt;YEAR(Assumptions!$G$12),0,(Assumptions!$H$466-(Assumptions!$G$458)*(Assumptions!$H$466))/(2050-YEAR(Assumptions!$G$298))+AJ1275),0)),Assumptions!$H$466)</f>
        <v>0</v>
      </c>
      <c r="AL1275" s="724">
        <f ca="1">+MIN(IF(SUM($H$953:AL953)=1,(Assumptions!$G$458)*Assumptions!$H$466,AL953*IFERROR(IF(YEAR(AL3)&gt;YEAR(Assumptions!$G$12),0,(Assumptions!$H$466-(Assumptions!$G$458)*(Assumptions!$H$466))/(2050-YEAR(Assumptions!$G$298))+AK1275),0)),Assumptions!$H$466)</f>
        <v>0</v>
      </c>
      <c r="AM1275" s="724">
        <f ca="1">+MIN(IF(SUM($H$953:AM953)=1,(Assumptions!$G$458)*Assumptions!$H$466,AM953*IFERROR(IF(YEAR(AM3)&gt;YEAR(Assumptions!$G$12),0,(Assumptions!$H$466-(Assumptions!$G$458)*(Assumptions!$H$466))/(2050-YEAR(Assumptions!$G$298))+AL1275),0)),Assumptions!$H$466)</f>
        <v>0</v>
      </c>
      <c r="AN1275" s="724">
        <f ca="1">+MIN(IF(SUM($H$953:AN953)=1,(Assumptions!$G$458)*Assumptions!$H$466,AN953*IFERROR(IF(YEAR(AN3)&gt;YEAR(Assumptions!$G$12),0,(Assumptions!$H$466-(Assumptions!$G$458)*(Assumptions!$H$466))/(2050-YEAR(Assumptions!$G$298))+AM1275),0)),Assumptions!$H$466)</f>
        <v>0</v>
      </c>
      <c r="AO1275" s="724">
        <f ca="1">+MIN(IF(SUM($H$953:AO953)=1,(Assumptions!$G$458)*Assumptions!$H$466,AO953*IFERROR(IF(YEAR(AO3)&gt;YEAR(Assumptions!$G$12),0,(Assumptions!$H$466-(Assumptions!$G$458)*(Assumptions!$H$466))/(2050-YEAR(Assumptions!$G$298))+AN1275),0)),Assumptions!$H$466)</f>
        <v>0</v>
      </c>
      <c r="AP1275" s="724">
        <f ca="1">+MIN(IF(SUM($H$953:AP953)=1,(Assumptions!$G$458)*Assumptions!$H$466,AP953*IFERROR(IF(YEAR(AP3)&gt;YEAR(Assumptions!$G$12),0,(Assumptions!$H$466-(Assumptions!$G$458)*(Assumptions!$H$466))/(2050-YEAR(Assumptions!$G$298))+AO1275),0)),Assumptions!$H$466)</f>
        <v>0</v>
      </c>
      <c r="AQ1275" s="724">
        <f ca="1">+MIN(IF(SUM($H$953:AQ953)=1,(Assumptions!$G$458)*Assumptions!$H$466,AQ953*IFERROR(IF(YEAR(AQ3)&gt;YEAR(Assumptions!$G$12),0,(Assumptions!$H$466-(Assumptions!$G$458)*(Assumptions!$H$466))/(2050-YEAR(Assumptions!$G$298))+AP1275),0)),Assumptions!$H$466)</f>
        <v>0</v>
      </c>
      <c r="AR1275" s="724">
        <f ca="1">+MIN(IF(SUM($H$953:AR953)=1,(Assumptions!$G$458)*Assumptions!$H$466,AR953*IFERROR(IF(YEAR(AR3)&gt;YEAR(Assumptions!$G$12),0,(Assumptions!$H$466-(Assumptions!$G$458)*(Assumptions!$H$466))/(2050-YEAR(Assumptions!$G$298))+AQ1275),0)),Assumptions!$H$466)</f>
        <v>0</v>
      </c>
      <c r="AS1275" s="724">
        <f ca="1">+MIN(IF(SUM($H$953:AS953)=1,(Assumptions!$G$458)*Assumptions!$H$466,AS953*IFERROR(IF(YEAR(AS3)&gt;YEAR(Assumptions!$G$12),0,(Assumptions!$H$466-(Assumptions!$G$458)*(Assumptions!$H$466))/(2050-YEAR(Assumptions!$G$298))+AR1275),0)),Assumptions!$H$466)</f>
        <v>0</v>
      </c>
      <c r="AT1275" s="724">
        <f ca="1">+MIN(IF(SUM($H$953:AT953)=1,(Assumptions!$G$458)*Assumptions!$H$466,AT953*IFERROR(IF(YEAR(AT3)&gt;YEAR(Assumptions!$G$12),0,(Assumptions!$H$466-(Assumptions!$G$458)*(Assumptions!$H$466))/(2050-YEAR(Assumptions!$G$298))+AS1275),0)),Assumptions!$H$466)</f>
        <v>0</v>
      </c>
      <c r="AU1275" s="724">
        <f ca="1">+MIN(IF(SUM($H$953:AU953)=1,(Assumptions!$G$458)*Assumptions!$H$466,AU953*IFERROR(IF(YEAR(AU3)&gt;YEAR(Assumptions!$G$12),0,(Assumptions!$H$466-(Assumptions!$G$458)*(Assumptions!$H$466))/(2050-YEAR(Assumptions!$G$298))+AT1275),0)),Assumptions!$H$466)</f>
        <v>0</v>
      </c>
      <c r="AV1275" s="724">
        <f ca="1">+MIN(IF(SUM($H$953:AV953)=1,(Assumptions!$G$458)*Assumptions!$H$466,AV953*IFERROR(IF(YEAR(AV3)&gt;YEAR(Assumptions!$G$12),0,(Assumptions!$H$466-(Assumptions!$G$458)*(Assumptions!$H$466))/(2050-YEAR(Assumptions!$G$298))+AU1275),0)),Assumptions!$H$466)</f>
        <v>0</v>
      </c>
      <c r="AW1275" s="724">
        <f ca="1">+MIN(IF(SUM($H$953:AW953)=1,(Assumptions!$G$458)*Assumptions!$H$466,AW953*IFERROR(IF(YEAR(AW3)&gt;YEAR(Assumptions!$G$12),0,(Assumptions!$H$466-(Assumptions!$G$458)*(Assumptions!$H$466))/(2050-YEAR(Assumptions!$G$298))+AV1275),0)),Assumptions!$H$466)</f>
        <v>0</v>
      </c>
      <c r="AX1275" s="724">
        <f ca="1">+MIN(IF(SUM($H$953:AX953)=1,(Assumptions!$G$458)*Assumptions!$H$466,AX953*IFERROR(IF(YEAR(AX3)&gt;YEAR(Assumptions!$G$12),0,(Assumptions!$H$466-(Assumptions!$G$458)*(Assumptions!$H$466))/(2050-YEAR(Assumptions!$G$298))+AW1275),0)),Assumptions!$H$466)</f>
        <v>0</v>
      </c>
      <c r="AY1275" s="724">
        <f ca="1">+MIN(IF(SUM($H$953:AY953)=1,(Assumptions!$G$458)*Assumptions!$H$466,AY953*IFERROR(IF(YEAR(AY3)&gt;YEAR(Assumptions!$G$12),0,(Assumptions!$H$466-(Assumptions!$G$458)*(Assumptions!$H$466))/(2050-YEAR(Assumptions!$G$298))+AX1275),0)),Assumptions!$H$466)</f>
        <v>0</v>
      </c>
      <c r="AZ1275" s="724">
        <f ca="1">+MIN(IF(SUM($H$953:AZ953)=1,(Assumptions!$G$458)*Assumptions!$H$466,AZ953*IFERROR(IF(YEAR(AZ3)&gt;YEAR(Assumptions!$G$12),0,(Assumptions!$H$466-(Assumptions!$G$458)*(Assumptions!$H$466))/(2050-YEAR(Assumptions!$G$298))+AY1275),0)),Assumptions!$H$466)</f>
        <v>0</v>
      </c>
      <c r="BA1275" s="724">
        <f ca="1">+MIN(IF(SUM($H$953:BA953)=1,(Assumptions!$G$458)*Assumptions!$H$466,BA953*IFERROR(IF(YEAR(BA3)&gt;YEAR(Assumptions!$G$12),0,(Assumptions!$H$466-(Assumptions!$G$458)*(Assumptions!$H$466))/(2050-YEAR(Assumptions!$G$298))+AZ1275),0)),Assumptions!$H$466)</f>
        <v>0</v>
      </c>
      <c r="BB1275" s="724">
        <f ca="1">+MIN(IF(SUM($H$953:BB953)=1,(Assumptions!$G$458)*Assumptions!$H$466,BB953*IFERROR(IF(YEAR(BB3)&gt;YEAR(Assumptions!$G$12),0,(Assumptions!$H$466-(Assumptions!$G$458)*(Assumptions!$H$466))/(2050-YEAR(Assumptions!$G$298))+BA1275),0)),Assumptions!$H$466)</f>
        <v>0</v>
      </c>
      <c r="BC1275" s="724">
        <f ca="1">+MIN(IF(SUM($H$953:BC953)=1,(Assumptions!$G$458)*Assumptions!$H$466,BC953*IFERROR(IF(YEAR(BC3)&gt;YEAR(Assumptions!$G$12),0,(Assumptions!$H$466-(Assumptions!$G$458)*(Assumptions!$H$466))/(2050-YEAR(Assumptions!$G$298))+BB1275),0)),Assumptions!$H$466)</f>
        <v>0</v>
      </c>
      <c r="BD1275" s="724">
        <f ca="1">+MIN(IF(SUM($H$953:BD953)=1,(Assumptions!$G$458)*Assumptions!$H$466,BD953*IFERROR(IF(YEAR(BD3)&gt;YEAR(Assumptions!$G$12),0,(Assumptions!$H$466-(Assumptions!$G$458)*(Assumptions!$H$466))/(2050-YEAR(Assumptions!$G$298))+BC1275),0)),Assumptions!$H$466)</f>
        <v>0</v>
      </c>
      <c r="BE1275" s="724">
        <f ca="1">+MIN(IF(SUM($H$953:BE953)=1,(Assumptions!$G$458)*Assumptions!$H$466,BE953*IFERROR(IF(YEAR(BE3)&gt;YEAR(Assumptions!$G$12),0,(Assumptions!$H$466-(Assumptions!$G$458)*(Assumptions!$H$466))/(2050-YEAR(Assumptions!$G$298))+BD1275),0)),Assumptions!$H$466)</f>
        <v>0</v>
      </c>
      <c r="BF1275" s="724">
        <f ca="1">+MIN(IF(SUM($H$953:BF953)=1,(Assumptions!$G$458)*Assumptions!$H$466,BF953*IFERROR(IF(YEAR(BF3)&gt;YEAR(Assumptions!$G$12),0,(Assumptions!$H$466-(Assumptions!$G$458)*(Assumptions!$H$466))/(2050-YEAR(Assumptions!$G$298))+BE1275),0)),Assumptions!$H$466)</f>
        <v>0</v>
      </c>
      <c r="BG1275" s="724">
        <f ca="1">+MIN(IF(SUM($H$953:BG953)=1,(Assumptions!$G$458)*Assumptions!$H$466,BG953*IFERROR(IF(YEAR(BG3)&gt;YEAR(Assumptions!$G$12),0,(Assumptions!$H$466-(Assumptions!$G$458)*(Assumptions!$H$466))/(2050-YEAR(Assumptions!$G$298))+BF1275),0)),Assumptions!$H$466)</f>
        <v>0</v>
      </c>
      <c r="BH1275" s="724">
        <f ca="1">+MIN(IF(SUM($H$953:BH953)=1,(Assumptions!$G$458)*Assumptions!$H$466,BH953*IFERROR(IF(YEAR(BH3)&gt;YEAR(Assumptions!$G$12),0,(Assumptions!$H$466-(Assumptions!$G$458)*(Assumptions!$H$466))/(2050-YEAR(Assumptions!$G$298))+BG1275),0)),Assumptions!$H$466)</f>
        <v>0</v>
      </c>
      <c r="BI1275" s="724">
        <f ca="1">+MIN(IF(SUM($H$953:BI953)=1,(Assumptions!$G$458)*Assumptions!$H$466,BI953*IFERROR(IF(YEAR(BI3)&gt;YEAR(Assumptions!$G$12),0,(Assumptions!$H$466-(Assumptions!$G$458)*(Assumptions!$H$466))/(2050-YEAR(Assumptions!$G$298))+BH1275),0)),Assumptions!$H$466)</f>
        <v>0</v>
      </c>
      <c r="BJ1275" s="724">
        <f ca="1">+MIN(IF(SUM($H$953:BJ953)=1,(Assumptions!$G$458)*Assumptions!$H$466,BJ953*IFERROR(IF(YEAR(BJ3)&gt;YEAR(Assumptions!$G$12),0,(Assumptions!$H$466-(Assumptions!$G$458)*(Assumptions!$H$466))/(2050-YEAR(Assumptions!$G$298))+BI1275),0)),Assumptions!$H$466)</f>
        <v>0</v>
      </c>
      <c r="BK1275" s="724">
        <f ca="1">+MIN(IF(SUM($H$953:BK953)=1,(Assumptions!$G$458)*Assumptions!$H$466,BK953*IFERROR(IF(YEAR(BK3)&gt;YEAR(Assumptions!$G$12),0,(Assumptions!$H$466-(Assumptions!$G$458)*(Assumptions!$H$466))/(2050-YEAR(Assumptions!$G$298))+BJ1275),0)),Assumptions!$H$466)</f>
        <v>0</v>
      </c>
      <c r="BL1275" s="724">
        <f ca="1">+MIN(IF(SUM($H$953:BL953)=1,(Assumptions!$G$458)*Assumptions!$H$466,BL953*IFERROR(IF(YEAR(BL3)&gt;YEAR(Assumptions!$G$12),0,(Assumptions!$H$466-(Assumptions!$G$458)*(Assumptions!$H$466))/(2050-YEAR(Assumptions!$G$298))+BK1275),0)),Assumptions!$H$466)</f>
        <v>0</v>
      </c>
      <c r="BM1275" s="724">
        <f ca="1">+MIN(IF(SUM($H$953:BM953)=1,(Assumptions!$G$458)*Assumptions!$H$466,BM953*IFERROR(IF(YEAR(BM3)&gt;YEAR(Assumptions!$G$12),0,(Assumptions!$H$466-(Assumptions!$G$458)*(Assumptions!$H$466))/(2050-YEAR(Assumptions!$G$298))+BL1275),0)),Assumptions!$H$466)</f>
        <v>0</v>
      </c>
      <c r="BN1275" s="724">
        <f ca="1">+MIN(IF(SUM($H$953:BN953)=1,(Assumptions!$G$458)*Assumptions!$H$466,BN953*IFERROR(IF(YEAR(BN3)&gt;YEAR(Assumptions!$G$12),0,(Assumptions!$H$466-(Assumptions!$G$458)*(Assumptions!$H$466))/(2050-YEAR(Assumptions!$G$298))+BM1275),0)),Assumptions!$H$466)</f>
        <v>0</v>
      </c>
      <c r="BO1275" s="724">
        <f ca="1">+MIN(IF(SUM($H$953:BO953)=1,(Assumptions!$G$458)*Assumptions!$H$466,BO953*IFERROR(IF(YEAR(BO3)&gt;YEAR(Assumptions!$G$12),0,(Assumptions!$H$466-(Assumptions!$G$458)*(Assumptions!$H$466))/(2050-YEAR(Assumptions!$G$298))+BN1275),0)),Assumptions!$H$466)</f>
        <v>0</v>
      </c>
      <c r="BP1275" s="724">
        <f ca="1">+MIN(IF(SUM($H$953:BP953)=1,(Assumptions!$G$458)*Assumptions!$H$466,BP953*IFERROR(IF(YEAR(BP3)&gt;YEAR(Assumptions!$G$12),0,(Assumptions!$H$466-(Assumptions!$G$458)*(Assumptions!$H$466))/(2050-YEAR(Assumptions!$G$298))+BO1275),0)),Assumptions!$H$466)</f>
        <v>0</v>
      </c>
      <c r="BQ1275" s="724">
        <f ca="1">+MIN(IF(SUM($H$953:BQ953)=1,(Assumptions!$G$458)*Assumptions!$H$466,BQ953*IFERROR(IF(YEAR(BQ3)&gt;YEAR(Assumptions!$G$12),0,(Assumptions!$H$466-(Assumptions!$G$458)*(Assumptions!$H$466))/(2050-YEAR(Assumptions!$G$298))+BP1275),0)),Assumptions!$H$466)</f>
        <v>0</v>
      </c>
      <c r="BR1275" s="724">
        <f ca="1">+MIN(IF(SUM($H$953:BR953)=1,(Assumptions!$G$458)*Assumptions!$H$466,BR953*IFERROR(IF(YEAR(BR3)&gt;YEAR(Assumptions!$G$12),0,(Assumptions!$H$466-(Assumptions!$G$458)*(Assumptions!$H$466))/(2050-YEAR(Assumptions!$G$298))+BQ1275),0)),Assumptions!$H$466)</f>
        <v>0</v>
      </c>
      <c r="BS1275" s="724">
        <f ca="1">+MIN(IF(SUM($H$953:BS953)=1,(Assumptions!$G$458)*Assumptions!$H$466,BS953*IFERROR(IF(YEAR(BS3)&gt;YEAR(Assumptions!$G$12),0,(Assumptions!$H$466-(Assumptions!$G$458)*(Assumptions!$H$466))/(2050-YEAR(Assumptions!$G$298))+BR1275),0)),Assumptions!$H$466)</f>
        <v>0</v>
      </c>
      <c r="BT1275" s="724">
        <f ca="1">+MIN(IF(SUM($H$953:BT953)=1,(Assumptions!$G$458)*Assumptions!$H$466,BT953*IFERROR(IF(YEAR(BT3)&gt;YEAR(Assumptions!$G$12),0,(Assumptions!$H$466-(Assumptions!$G$458)*(Assumptions!$H$466))/(2050-YEAR(Assumptions!$G$298))+BS1275),0)),Assumptions!$H$466)</f>
        <v>0</v>
      </c>
      <c r="BU1275" s="724">
        <f ca="1">+MIN(IF(SUM($H$953:BU953)=1,(Assumptions!$G$458)*Assumptions!$H$466,BU953*IFERROR(IF(YEAR(BU3)&gt;YEAR(Assumptions!$G$12),0,(Assumptions!$H$466-(Assumptions!$G$458)*(Assumptions!$H$466))/(2050-YEAR(Assumptions!$G$298))+BT1275),0)),Assumptions!$H$466)</f>
        <v>0</v>
      </c>
      <c r="BV1275" s="724">
        <f ca="1">+MIN(IF(SUM($H$953:BV953)=1,(Assumptions!$G$458)*Assumptions!$H$466,BV953*IFERROR(IF(YEAR(BV3)&gt;YEAR(Assumptions!$G$12),0,(Assumptions!$H$466-(Assumptions!$G$458)*(Assumptions!$H$466))/(2050-YEAR(Assumptions!$G$298))+BU1275),0)),Assumptions!$H$466)</f>
        <v>0</v>
      </c>
      <c r="BW1275" s="724">
        <f ca="1">+MIN(IF(SUM($H$953:BW953)=1,(Assumptions!$G$458)*Assumptions!$H$466,BW953*IFERROR(IF(YEAR(BW3)&gt;YEAR(Assumptions!$G$12),0,(Assumptions!$H$466-(Assumptions!$G$458)*(Assumptions!$H$466))/(2050-YEAR(Assumptions!$G$298))+BV1275),0)),Assumptions!$H$466)</f>
        <v>0</v>
      </c>
      <c r="BX1275" s="724">
        <f ca="1">+MIN(IF(SUM($H$953:BX953)=1,(Assumptions!$G$458)*Assumptions!$H$466,BX953*IFERROR(IF(YEAR(BX3)&gt;YEAR(Assumptions!$G$12),0,(Assumptions!$H$466-(Assumptions!$G$458)*(Assumptions!$H$466))/(2050-YEAR(Assumptions!$G$298))+BW1275),0)),Assumptions!$H$466)</f>
        <v>0</v>
      </c>
      <c r="BY1275" s="724">
        <f ca="1">+MIN(IF(SUM($H$953:BY953)=1,(Assumptions!$G$458)*Assumptions!$H$466,BY953*IFERROR(IF(YEAR(BY3)&gt;YEAR(Assumptions!$G$12),0,(Assumptions!$H$466-(Assumptions!$G$458)*(Assumptions!$H$466))/(2050-YEAR(Assumptions!$G$298))+BX1275),0)),Assumptions!$H$466)</f>
        <v>0</v>
      </c>
    </row>
    <row r="1276" spans="1:77" s="19" customFormat="1" outlineLevel="1">
      <c r="A1276"/>
      <c r="B1276"/>
      <c r="C1276"/>
      <c r="D1276"/>
      <c r="E1276" t="s">
        <v>623</v>
      </c>
      <c r="F1276" s="104" t="s">
        <v>356</v>
      </c>
      <c r="G1276"/>
      <c r="H1276">
        <f ca="1">+IF(Assumptions!$G$460="Yes",Assumptions!$G$464*H434*H1275,0)</f>
        <v>0</v>
      </c>
      <c r="I1276">
        <f ca="1">+IF(Assumptions!$G$460="Yes",Assumptions!$G$464*I434*I1275,0)</f>
        <v>0</v>
      </c>
      <c r="J1276">
        <f ca="1">+IF(Assumptions!$G$460="Yes",Assumptions!$G$464*J434*J1275,0)</f>
        <v>0</v>
      </c>
      <c r="K1276">
        <f ca="1">+IF(Assumptions!$G$460="Yes",Assumptions!$G$464*K434*K1275,0)</f>
        <v>3859743.3363228426</v>
      </c>
      <c r="L1276">
        <f ca="1">+IF(Assumptions!$G$460="Yes",Assumptions!$G$464*L434*L1275,0)</f>
        <v>5596627.8376681218</v>
      </c>
      <c r="M1276">
        <f ca="1">+IF(Assumptions!$G$460="Yes",Assumptions!$G$464*M434*M1275,0)</f>
        <v>7333512.3390134005</v>
      </c>
      <c r="N1276">
        <f ca="1">+IF(Assumptions!$G$460="Yes",Assumptions!$G$464*N434*N1275,0)</f>
        <v>9070396.8403586783</v>
      </c>
      <c r="O1276">
        <f ca="1">+IF(Assumptions!$G$460="Yes",Assumptions!$G$464*O434*O1275,0)</f>
        <v>10807281.341703957</v>
      </c>
      <c r="P1276">
        <f ca="1">+IF(Assumptions!$G$460="Yes",Assumptions!$G$464*P434*P1275,0)</f>
        <v>12544165.843049236</v>
      </c>
      <c r="Q1276">
        <f ca="1">+IF(Assumptions!$G$460="Yes",Assumptions!$G$464*Q434*Q1275,0)</f>
        <v>14281050.344394514</v>
      </c>
      <c r="R1276">
        <f ca="1">+IF(Assumptions!$G$460="Yes",Assumptions!$G$464*R434*R1275,0)</f>
        <v>16017934.845739795</v>
      </c>
      <c r="S1276">
        <f ca="1">+IF(Assumptions!$G$460="Yes",Assumptions!$G$464*S434*S1275,0)</f>
        <v>17754819.347085074</v>
      </c>
      <c r="T1276">
        <f ca="1">+IF(Assumptions!$G$460="Yes",Assumptions!$G$464*T434*T1275,0)</f>
        <v>19491703.848430354</v>
      </c>
      <c r="U1276">
        <f ca="1">+IF(Assumptions!$G$460="Yes",Assumptions!$G$464*U434*U1275,0)</f>
        <v>21228588.349775635</v>
      </c>
      <c r="V1276">
        <f ca="1">+IF(Assumptions!$G$460="Yes",Assumptions!$G$464*V434*V1275,0)</f>
        <v>22965472.851120915</v>
      </c>
      <c r="W1276">
        <f ca="1">+IF(Assumptions!$G$460="Yes",Assumptions!$G$464*W434*W1275,0)</f>
        <v>24702357.352466196</v>
      </c>
      <c r="X1276">
        <f ca="1">+IF(Assumptions!$G$460="Yes",Assumptions!$G$464*X434*X1275,0)</f>
        <v>26439241.853811476</v>
      </c>
      <c r="Y1276">
        <f ca="1">+IF(Assumptions!$G$460="Yes",Assumptions!$G$464*Y434*Y1275,0)</f>
        <v>28176126.355156757</v>
      </c>
      <c r="Z1276">
        <f ca="1">+IF(Assumptions!$G$460="Yes",Assumptions!$G$464*Z434*Z1275,0)</f>
        <v>0</v>
      </c>
      <c r="AA1276">
        <f ca="1">+IF(Assumptions!$G$460="Yes",Assumptions!$G$464*AA434*AA1275,0)</f>
        <v>0</v>
      </c>
      <c r="AB1276">
        <f ca="1">+IF(Assumptions!$G$460="Yes",Assumptions!$G$464*AB434*AB1275,0)</f>
        <v>0</v>
      </c>
      <c r="AC1276">
        <f ca="1">+IF(Assumptions!$G$460="Yes",Assumptions!$G$464*AC434*AC1275,0)</f>
        <v>0</v>
      </c>
      <c r="AD1276">
        <f ca="1">+IF(Assumptions!$G$460="Yes",Assumptions!$G$464*AD434*AD1275,0)</f>
        <v>0</v>
      </c>
      <c r="AE1276">
        <f ca="1">+IF(Assumptions!$G$460="Yes",Assumptions!$G$464*AE434*AE1275,0)</f>
        <v>0</v>
      </c>
      <c r="AF1276">
        <f ca="1">+IF(Assumptions!$G$460="Yes",Assumptions!$G$464*AF434*AF1275,0)</f>
        <v>0</v>
      </c>
      <c r="AG1276">
        <f ca="1">+IF(Assumptions!$G$460="Yes",Assumptions!$G$464*AG434*AG1275,0)</f>
        <v>0</v>
      </c>
      <c r="AH1276">
        <f ca="1">+IF(Assumptions!$G$460="Yes",Assumptions!$G$464*AH434*AH1275,0)</f>
        <v>0</v>
      </c>
      <c r="AI1276">
        <f ca="1">+IF(Assumptions!$G$460="Yes",Assumptions!$G$464*AI434*AI1275,0)</f>
        <v>0</v>
      </c>
      <c r="AJ1276">
        <f ca="1">+IF(Assumptions!$G$460="Yes",Assumptions!$G$464*AJ434*AJ1275,0)</f>
        <v>0</v>
      </c>
      <c r="AK1276">
        <f ca="1">+IF(Assumptions!$G$460="Yes",Assumptions!$G$464*AK434*AK1275,0)</f>
        <v>0</v>
      </c>
      <c r="AL1276">
        <f ca="1">+IF(Assumptions!$G$460="Yes",Assumptions!$G$464*AL434*AL1275,0)</f>
        <v>0</v>
      </c>
      <c r="AM1276">
        <f ca="1">+IF(Assumptions!$G$460="Yes",Assumptions!$G$464*AM434*AM1275,0)</f>
        <v>0</v>
      </c>
      <c r="AN1276">
        <f ca="1">+IF(Assumptions!$G$460="Yes",Assumptions!$G$464*AN434*AN1275,0)</f>
        <v>0</v>
      </c>
      <c r="AO1276">
        <f ca="1">+IF(Assumptions!$G$460="Yes",Assumptions!$G$464*AO434*AO1275,0)</f>
        <v>0</v>
      </c>
      <c r="AP1276">
        <f ca="1">+IF(Assumptions!$G$460="Yes",Assumptions!$G$464*AP434*AP1275,0)</f>
        <v>0</v>
      </c>
      <c r="AQ1276">
        <f ca="1">+IF(Assumptions!$G$460="Yes",Assumptions!$G$464*AQ434*AQ1275,0)</f>
        <v>0</v>
      </c>
      <c r="AR1276">
        <f ca="1">+IF(Assumptions!$G$460="Yes",Assumptions!$G$464*AR434*AR1275,0)</f>
        <v>0</v>
      </c>
      <c r="AS1276">
        <f ca="1">+IF(Assumptions!$G$460="Yes",Assumptions!$G$464*AS434*AS1275,0)</f>
        <v>0</v>
      </c>
      <c r="AT1276">
        <f ca="1">+IF(Assumptions!$G$460="Yes",Assumptions!$G$464*AT434*AT1275,0)</f>
        <v>0</v>
      </c>
      <c r="AU1276">
        <f ca="1">+IF(Assumptions!$G$460="Yes",Assumptions!$G$464*AU434*AU1275,0)</f>
        <v>0</v>
      </c>
      <c r="AV1276">
        <f ca="1">+IF(Assumptions!$G$460="Yes",Assumptions!$G$464*AV434*AV1275,0)</f>
        <v>0</v>
      </c>
      <c r="AW1276">
        <f ca="1">+IF(Assumptions!$G$460="Yes",Assumptions!$G$464*AW434*AW1275,0)</f>
        <v>0</v>
      </c>
      <c r="AX1276">
        <f ca="1">+IF(Assumptions!$G$460="Yes",Assumptions!$G$464*AX434*AX1275,0)</f>
        <v>0</v>
      </c>
      <c r="AY1276">
        <f ca="1">+IF(Assumptions!$G$460="Yes",Assumptions!$G$464*AY434*AY1275,0)</f>
        <v>0</v>
      </c>
      <c r="AZ1276">
        <f ca="1">+IF(Assumptions!$G$460="Yes",Assumptions!$G$464*AZ434*AZ1275,0)</f>
        <v>0</v>
      </c>
      <c r="BA1276">
        <f ca="1">+IF(Assumptions!$G$460="Yes",Assumptions!$G$464*BA434*BA1275,0)</f>
        <v>0</v>
      </c>
      <c r="BB1276">
        <f ca="1">+IF(Assumptions!$G$460="Yes",Assumptions!$G$464*BB434*BB1275,0)</f>
        <v>0</v>
      </c>
      <c r="BC1276">
        <f ca="1">+IF(Assumptions!$G$460="Yes",Assumptions!$G$464*BC434*BC1275,0)</f>
        <v>0</v>
      </c>
      <c r="BD1276">
        <f ca="1">+IF(Assumptions!$G$460="Yes",Assumptions!$G$464*BD434*BD1275,0)</f>
        <v>0</v>
      </c>
      <c r="BE1276">
        <f ca="1">+IF(Assumptions!$G$460="Yes",Assumptions!$G$464*BE434*BE1275,0)</f>
        <v>0</v>
      </c>
      <c r="BF1276">
        <f ca="1">+IF(Assumptions!$G$460="Yes",Assumptions!$G$464*BF434*BF1275,0)</f>
        <v>0</v>
      </c>
      <c r="BG1276">
        <f ca="1">+IF(Assumptions!$G$460="Yes",Assumptions!$G$464*BG434*BG1275,0)</f>
        <v>0</v>
      </c>
      <c r="BH1276">
        <f ca="1">+IF(Assumptions!$G$460="Yes",Assumptions!$G$464*BH434*BH1275,0)</f>
        <v>0</v>
      </c>
      <c r="BI1276">
        <f ca="1">+IF(Assumptions!$G$460="Yes",Assumptions!$G$464*BI434*BI1275,0)</f>
        <v>0</v>
      </c>
      <c r="BJ1276">
        <f ca="1">+IF(Assumptions!$G$460="Yes",Assumptions!$G$464*BJ434*BJ1275,0)</f>
        <v>0</v>
      </c>
      <c r="BK1276">
        <f ca="1">+IF(Assumptions!$G$460="Yes",Assumptions!$G$464*BK434*BK1275,0)</f>
        <v>0</v>
      </c>
      <c r="BL1276">
        <f ca="1">+IF(Assumptions!$G$460="Yes",Assumptions!$G$464*BL434*BL1275,0)</f>
        <v>0</v>
      </c>
      <c r="BM1276">
        <f ca="1">+IF(Assumptions!$G$460="Yes",Assumptions!$G$464*BM434*BM1275,0)</f>
        <v>0</v>
      </c>
      <c r="BN1276">
        <f ca="1">+IF(Assumptions!$G$460="Yes",Assumptions!$G$464*BN434*BN1275,0)</f>
        <v>0</v>
      </c>
      <c r="BO1276">
        <f ca="1">+IF(Assumptions!$G$460="Yes",Assumptions!$G$464*BO434*BO1275,0)</f>
        <v>0</v>
      </c>
      <c r="BP1276">
        <f ca="1">+IF(Assumptions!$G$460="Yes",Assumptions!$G$464*BP434*BP1275,0)</f>
        <v>0</v>
      </c>
      <c r="BQ1276">
        <f ca="1">+IF(Assumptions!$G$460="Yes",Assumptions!$G$464*BQ434*BQ1275,0)</f>
        <v>0</v>
      </c>
      <c r="BR1276">
        <f ca="1">+IF(Assumptions!$G$460="Yes",Assumptions!$G$464*BR434*BR1275,0)</f>
        <v>0</v>
      </c>
      <c r="BS1276">
        <f ca="1">+IF(Assumptions!$G$460="Yes",Assumptions!$G$464*BS434*BS1275,0)</f>
        <v>0</v>
      </c>
      <c r="BT1276">
        <f ca="1">+IF(Assumptions!$G$460="Yes",Assumptions!$G$464*BT434*BT1275,0)</f>
        <v>0</v>
      </c>
      <c r="BU1276">
        <f ca="1">+IF(Assumptions!$G$460="Yes",Assumptions!$G$464*BU434*BU1275,0)</f>
        <v>0</v>
      </c>
      <c r="BV1276">
        <f ca="1">+IF(Assumptions!$G$460="Yes",Assumptions!$G$464*BV434*BV1275,0)</f>
        <v>0</v>
      </c>
      <c r="BW1276">
        <f ca="1">+IF(Assumptions!$G$460="Yes",Assumptions!$G$464*BW434*BW1275,0)</f>
        <v>0</v>
      </c>
      <c r="BX1276">
        <f ca="1">+IF(Assumptions!$G$460="Yes",Assumptions!$G$464*BX434*BX1275,0)</f>
        <v>0</v>
      </c>
      <c r="BY1276">
        <f ca="1">+IF(Assumptions!$G$460="Yes",Assumptions!$G$464*BY434*BY1275,0)</f>
        <v>0</v>
      </c>
    </row>
    <row r="1277" spans="1:77" s="19" customFormat="1" ht="15" outlineLevel="1">
      <c r="A1277"/>
      <c r="B1277"/>
      <c r="C1277"/>
      <c r="D1277"/>
      <c r="E1277" s="22"/>
      <c r="F1277"/>
      <c r="G1277"/>
      <c r="H1277"/>
      <c r="I1277"/>
      <c r="J1277"/>
      <c r="K1277"/>
      <c r="L1277" s="21"/>
      <c r="M1277"/>
      <c r="N1277" s="21"/>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row>
    <row r="1278" spans="1:77" s="19" customFormat="1" outlineLevel="1">
      <c r="A1278"/>
      <c r="B1278"/>
      <c r="C1278"/>
      <c r="D1278"/>
      <c r="E1278" t="s">
        <v>624</v>
      </c>
      <c r="F1278" s="80" t="s">
        <v>622</v>
      </c>
      <c r="G1278"/>
      <c r="H1278" s="31">
        <f ca="1">+MIN(IF(SUM($H$953:H953)=1,Assumptions!$G$469*(Assumptions!$G$467),H953*IFERROR(IF(YEAR(H3)&gt;YEAR(Assumptions!$G$12),0,(Assumptions!$G$467-Assumptions!$G$469*(Assumptions!$G$467))/(2050-YEAR(Assumptions!$G$298))+G1278),0)),Assumptions!$G$467)</f>
        <v>0</v>
      </c>
      <c r="I1278" s="31">
        <f ca="1">+MIN(IF(SUM($H$953:I953)=1,Assumptions!$G$469*(Assumptions!$G$467),I953*IFERROR(IF(YEAR(I3)&gt;YEAR(Assumptions!$G$12),0,(Assumptions!$G$467-Assumptions!$G$469*(Assumptions!$G$467))/(2050-YEAR(Assumptions!$G$298))+H1278),0)),Assumptions!$G$467)</f>
        <v>0</v>
      </c>
      <c r="J1278" s="31">
        <f ca="1">+MIN(IF(SUM($H$953:J953)=1,Assumptions!$G$469*(Assumptions!$G$467),J953*IFERROR(IF(YEAR(J3)&gt;YEAR(Assumptions!$G$12),0,(Assumptions!$G$467-Assumptions!$G$469*(Assumptions!$G$467))/(2050-YEAR(Assumptions!$G$298))+I1278),0)),Assumptions!$G$467)</f>
        <v>0</v>
      </c>
      <c r="K1278" s="31">
        <f ca="1">+MIN(IF(SUM($H$953:K953)=1,Assumptions!$G$469*(Assumptions!$G$467),K953*IFERROR(IF(YEAR(K3)&gt;YEAR(Assumptions!$G$12),0,(Assumptions!$G$467-Assumptions!$G$469*(Assumptions!$G$467))/(2050-YEAR(Assumptions!$G$298))+J1278),0)),Assumptions!$G$467)</f>
        <v>0</v>
      </c>
      <c r="L1278" s="31">
        <f ca="1">+MIN(IF(SUM($H$953:L953)=1,Assumptions!$G$469*(Assumptions!$G$467),L953*IFERROR(IF(YEAR(L3)&gt;YEAR(Assumptions!$G$12),0,(Assumptions!$G$467-Assumptions!$G$469*(Assumptions!$G$467))/(2050-YEAR(Assumptions!$G$298))+K1278),0)),Assumptions!$G$467)</f>
        <v>2.6411684328193095E-2</v>
      </c>
      <c r="M1278" s="31">
        <f ca="1">+MIN(IF(SUM($H$953:M953)=1,Assumptions!$G$469*(Assumptions!$G$467),M953*IFERROR(IF(YEAR(M3)&gt;YEAR(Assumptions!$G$12),0,(Assumptions!$G$467-Assumptions!$G$469*(Assumptions!$G$467))/(2050-YEAR(Assumptions!$G$298))+L1278),0)),Assumptions!$G$467)</f>
        <v>5.2823368656386191E-2</v>
      </c>
      <c r="N1278" s="31">
        <f ca="1">+MIN(IF(SUM($H$953:N953)=1,Assumptions!$G$469*(Assumptions!$G$467),N953*IFERROR(IF(YEAR(N3)&gt;YEAR(Assumptions!$G$12),0,(Assumptions!$G$467-Assumptions!$G$469*(Assumptions!$G$467))/(2050-YEAR(Assumptions!$G$298))+M1278),0)),Assumptions!$G$467)</f>
        <v>7.9235052984579279E-2</v>
      </c>
      <c r="O1278" s="31">
        <f ca="1">+MIN(IF(SUM($H$953:O953)=1,Assumptions!$G$469*(Assumptions!$G$467),O953*IFERROR(IF(YEAR(O3)&gt;YEAR(Assumptions!$G$12),0,(Assumptions!$G$467-Assumptions!$G$469*(Assumptions!$G$467))/(2050-YEAR(Assumptions!$G$298))+N1278),0)),Assumptions!$G$467)</f>
        <v>0.10564673731277238</v>
      </c>
      <c r="P1278" s="31">
        <f ca="1">+MIN(IF(SUM($H$953:P953)=1,Assumptions!$G$469*(Assumptions!$G$467),P953*IFERROR(IF(YEAR(P3)&gt;YEAR(Assumptions!$G$12),0,(Assumptions!$G$467-Assumptions!$G$469*(Assumptions!$G$467))/(2050-YEAR(Assumptions!$G$298))+O1278),0)),Assumptions!$G$467)</f>
        <v>0.13205842164096548</v>
      </c>
      <c r="Q1278" s="31">
        <f ca="1">+MIN(IF(SUM($H$953:Q953)=1,Assumptions!$G$469*(Assumptions!$G$467),Q953*IFERROR(IF(YEAR(Q3)&gt;YEAR(Assumptions!$G$12),0,(Assumptions!$G$467-Assumptions!$G$469*(Assumptions!$G$467))/(2050-YEAR(Assumptions!$G$298))+P1278),0)),Assumptions!$G$467)</f>
        <v>0.15847010596915859</v>
      </c>
      <c r="R1278" s="31">
        <f ca="1">+MIN(IF(SUM($H$953:R953)=1,Assumptions!$G$469*(Assumptions!$G$467),R953*IFERROR(IF(YEAR(R3)&gt;YEAR(Assumptions!$G$12),0,(Assumptions!$G$467-Assumptions!$G$469*(Assumptions!$G$467))/(2050-YEAR(Assumptions!$G$298))+Q1278),0)),Assumptions!$G$467)</f>
        <v>0.18488179029735169</v>
      </c>
      <c r="S1278" s="31">
        <f ca="1">+MIN(IF(SUM($H$953:S953)=1,Assumptions!$G$469*(Assumptions!$G$467),S953*IFERROR(IF(YEAR(S3)&gt;YEAR(Assumptions!$G$12),0,(Assumptions!$G$467-Assumptions!$G$469*(Assumptions!$G$467))/(2050-YEAR(Assumptions!$G$298))+R1278),0)),Assumptions!$G$467)</f>
        <v>0.21129347462554479</v>
      </c>
      <c r="T1278" s="31">
        <f ca="1">+MIN(IF(SUM($H$953:T953)=1,Assumptions!$G$469*(Assumptions!$G$467),T953*IFERROR(IF(YEAR(T3)&gt;YEAR(Assumptions!$G$12),0,(Assumptions!$G$467-Assumptions!$G$469*(Assumptions!$G$467))/(2050-YEAR(Assumptions!$G$298))+S1278),0)),Assumptions!$G$467)</f>
        <v>0.23770515895373789</v>
      </c>
      <c r="U1278" s="31">
        <f ca="1">+MIN(IF(SUM($H$953:U953)=1,Assumptions!$G$469*(Assumptions!$G$467),U953*IFERROR(IF(YEAR(U3)&gt;YEAR(Assumptions!$G$12),0,(Assumptions!$G$467-Assumptions!$G$469*(Assumptions!$G$467))/(2050-YEAR(Assumptions!$G$298))+T1278),0)),Assumptions!$G$467)</f>
        <v>0.26411684328193097</v>
      </c>
      <c r="V1278" s="31">
        <f ca="1">+MIN(IF(SUM($H$953:V953)=1,Assumptions!$G$469*(Assumptions!$G$467),V953*IFERROR(IF(YEAR(V3)&gt;YEAR(Assumptions!$G$12),0,(Assumptions!$G$467-Assumptions!$G$469*(Assumptions!$G$467))/(2050-YEAR(Assumptions!$G$298))+U1278),0)),Assumptions!$G$467)</f>
        <v>0.29052852761012404</v>
      </c>
      <c r="W1278" s="31">
        <f ca="1">+MIN(IF(SUM($H$953:W953)=1,Assumptions!$G$469*(Assumptions!$G$467),W953*IFERROR(IF(YEAR(W3)&gt;YEAR(Assumptions!$G$12),0,(Assumptions!$G$467-Assumptions!$G$469*(Assumptions!$G$467))/(2050-YEAR(Assumptions!$G$298))+V1278),0)),Assumptions!$G$467)</f>
        <v>0.31694021193831712</v>
      </c>
      <c r="X1278" s="31">
        <f ca="1">+MIN(IF(SUM($H$953:X953)=1,Assumptions!$G$469*(Assumptions!$G$467),X953*IFERROR(IF(YEAR(X3)&gt;YEAR(Assumptions!$G$12),0,(Assumptions!$G$467-Assumptions!$G$469*(Assumptions!$G$467))/(2050-YEAR(Assumptions!$G$298))+W1278),0)),Assumptions!$G$467)</f>
        <v>0.34335189626651019</v>
      </c>
      <c r="Y1278" s="31">
        <f ca="1">+MIN(IF(SUM($H$953:Y953)=1,Assumptions!$G$469*(Assumptions!$G$467),Y953*IFERROR(IF(YEAR(Y3)&gt;YEAR(Assumptions!$G$12),0,(Assumptions!$G$467-Assumptions!$G$469*(Assumptions!$G$467))/(2050-YEAR(Assumptions!$G$298))+X1278),0)),Assumptions!$G$467)</f>
        <v>0.36976358059470327</v>
      </c>
      <c r="Z1278" s="31">
        <f ca="1">+MIN(IF(SUM($H$953:Z953)=1,Assumptions!$G$469*(Assumptions!$G$467),Z953*IFERROR(IF(YEAR(Z3)&gt;YEAR(Assumptions!$G$12),0,(Assumptions!$G$467-Assumptions!$G$469*(Assumptions!$G$467))/(2050-YEAR(Assumptions!$G$298))+Y1278),0)),Assumptions!$G$467)</f>
        <v>0</v>
      </c>
      <c r="AA1278" s="31">
        <f ca="1">+MIN(IF(SUM($H$953:AA953)=1,Assumptions!$G$469*(Assumptions!$G$467),AA953*IFERROR(IF(YEAR(AA3)&gt;YEAR(Assumptions!$G$12),0,(Assumptions!$G$467-Assumptions!$G$469*(Assumptions!$G$467))/(2050-YEAR(Assumptions!$G$298))+Z1278),0)),Assumptions!$G$467)</f>
        <v>0</v>
      </c>
      <c r="AB1278" s="31">
        <f ca="1">+MIN(IF(SUM($H$953:AB953)=1,Assumptions!$G$469*(Assumptions!$G$467),AB953*IFERROR(IF(YEAR(AB3)&gt;YEAR(Assumptions!$G$12),0,(Assumptions!$G$467-Assumptions!$G$469*(Assumptions!$G$467))/(2050-YEAR(Assumptions!$G$298))+AA1278),0)),Assumptions!$G$467)</f>
        <v>0</v>
      </c>
      <c r="AC1278" s="31">
        <f ca="1">+MIN(IF(SUM($H$953:AC953)=1,Assumptions!$G$469*(Assumptions!$G$467),AC953*IFERROR(IF(YEAR(AC3)&gt;YEAR(Assumptions!$G$12),0,(Assumptions!$G$467-Assumptions!$G$469*(Assumptions!$G$467))/(2050-YEAR(Assumptions!$G$298))+AB1278),0)),Assumptions!$G$467)</f>
        <v>0</v>
      </c>
      <c r="AD1278" s="31">
        <f ca="1">+MIN(IF(SUM($H$953:AD953)=1,Assumptions!$G$469*(Assumptions!$G$467),AD953*IFERROR(IF(YEAR(AD3)&gt;YEAR(Assumptions!$G$12),0,(Assumptions!$G$467-Assumptions!$G$469*(Assumptions!$G$467))/(2050-YEAR(Assumptions!$G$298))+AC1278),0)),Assumptions!$G$467)</f>
        <v>0</v>
      </c>
      <c r="AE1278" s="31">
        <f ca="1">+MIN(IF(SUM($H$953:AE953)=1,Assumptions!$G$469*(Assumptions!$G$467),AE953*IFERROR(IF(YEAR(AE3)&gt;YEAR(Assumptions!$G$12),0,(Assumptions!$G$467-Assumptions!$G$469*(Assumptions!$G$467))/(2050-YEAR(Assumptions!$G$298))+AD1278),0)),Assumptions!$G$467)</f>
        <v>0</v>
      </c>
      <c r="AF1278" s="31">
        <f ca="1">+MIN(IF(SUM($H$953:AF953)=1,Assumptions!$G$469*(Assumptions!$G$467),AF953*IFERROR(IF(YEAR(AF3)&gt;YEAR(Assumptions!$G$12),0,(Assumptions!$G$467-Assumptions!$G$469*(Assumptions!$G$467))/(2050-YEAR(Assumptions!$G$298))+AE1278),0)),Assumptions!$G$467)</f>
        <v>0</v>
      </c>
      <c r="AG1278" s="31">
        <f ca="1">+MIN(IF(SUM($H$953:AG953)=1,Assumptions!$G$469*(Assumptions!$G$467),AG953*IFERROR(IF(YEAR(AG3)&gt;YEAR(Assumptions!$G$12),0,(Assumptions!$G$467-Assumptions!$G$469*(Assumptions!$G$467))/(2050-YEAR(Assumptions!$G$298))+AF1278),0)),Assumptions!$G$467)</f>
        <v>0</v>
      </c>
      <c r="AH1278" s="31">
        <f ca="1">+MIN(IF(SUM($H$953:AH953)=1,Assumptions!$G$469*(Assumptions!$G$467),AH953*IFERROR(IF(YEAR(AH3)&gt;YEAR(Assumptions!$G$12),0,(Assumptions!$G$467-Assumptions!$G$469*(Assumptions!$G$467))/(2050-YEAR(Assumptions!$G$298))+AG1278),0)),Assumptions!$G$467)</f>
        <v>0</v>
      </c>
      <c r="AI1278" s="31">
        <f ca="1">+MIN(IF(SUM($H$953:AI953)=1,Assumptions!$G$469*(Assumptions!$G$467),AI953*IFERROR(IF(YEAR(AI3)&gt;YEAR(Assumptions!$G$12),0,(Assumptions!$G$467-Assumptions!$G$469*(Assumptions!$G$467))/(2050-YEAR(Assumptions!$G$298))+AH1278),0)),Assumptions!$G$467)</f>
        <v>0</v>
      </c>
      <c r="AJ1278" s="31">
        <f ca="1">+MIN(IF(SUM($H$953:AJ953)=1,Assumptions!$G$469*(Assumptions!$G$467),AJ953*IFERROR(IF(YEAR(AJ3)&gt;YEAR(Assumptions!$G$12),0,(Assumptions!$G$467-Assumptions!$G$469*(Assumptions!$G$467))/(2050-YEAR(Assumptions!$G$298))+AI1278),0)),Assumptions!$G$467)</f>
        <v>0</v>
      </c>
      <c r="AK1278" s="31">
        <f ca="1">+MIN(IF(SUM($H$953:AK953)=1,Assumptions!$G$469*(Assumptions!$G$467),AK953*IFERROR(IF(YEAR(AK3)&gt;YEAR(Assumptions!$G$12),0,(Assumptions!$G$467-Assumptions!$G$469*(Assumptions!$G$467))/(2050-YEAR(Assumptions!$G$298))+AJ1278),0)),Assumptions!$G$467)</f>
        <v>0</v>
      </c>
      <c r="AL1278" s="31">
        <f ca="1">+MIN(IF(SUM($H$953:AL953)=1,Assumptions!$G$469*(Assumptions!$G$467),AL953*IFERROR(IF(YEAR(AL3)&gt;YEAR(Assumptions!$G$12),0,(Assumptions!$G$467-Assumptions!$G$469*(Assumptions!$G$467))/(2050-YEAR(Assumptions!$G$298))+AK1278),0)),Assumptions!$G$467)</f>
        <v>0</v>
      </c>
      <c r="AM1278" s="31">
        <f ca="1">+MIN(IF(SUM($H$953:AM953)=1,Assumptions!$G$469*(Assumptions!$G$467),AM953*IFERROR(IF(YEAR(AM3)&gt;YEAR(Assumptions!$G$12),0,(Assumptions!$G$467-Assumptions!$G$469*(Assumptions!$G$467))/(2050-YEAR(Assumptions!$G$298))+AL1278),0)),Assumptions!$G$467)</f>
        <v>0</v>
      </c>
      <c r="AN1278" s="31">
        <f ca="1">+MIN(IF(SUM($H$953:AN953)=1,Assumptions!$G$469*(Assumptions!$G$467),AN953*IFERROR(IF(YEAR(AN3)&gt;YEAR(Assumptions!$G$12),0,(Assumptions!$G$467-Assumptions!$G$469*(Assumptions!$G$467))/(2050-YEAR(Assumptions!$G$298))+AM1278),0)),Assumptions!$G$467)</f>
        <v>0</v>
      </c>
      <c r="AO1278" s="31">
        <f ca="1">+MIN(IF(SUM($H$953:AO953)=1,Assumptions!$G$469*(Assumptions!$G$467),AO953*IFERROR(IF(YEAR(AO3)&gt;YEAR(Assumptions!$G$12),0,(Assumptions!$G$467-Assumptions!$G$469*(Assumptions!$G$467))/(2050-YEAR(Assumptions!$G$298))+AN1278),0)),Assumptions!$G$467)</f>
        <v>0</v>
      </c>
      <c r="AP1278" s="31">
        <f ca="1">+MIN(IF(SUM($H$953:AP953)=1,Assumptions!$G$469*(Assumptions!$G$467),AP953*IFERROR(IF(YEAR(AP3)&gt;YEAR(Assumptions!$G$12),0,(Assumptions!$G$467-Assumptions!$G$469*(Assumptions!$G$467))/(2050-YEAR(Assumptions!$G$298))+AO1278),0)),Assumptions!$G$467)</f>
        <v>0</v>
      </c>
      <c r="AQ1278" s="31">
        <f ca="1">+MIN(IF(SUM($H$953:AQ953)=1,Assumptions!$G$469*(Assumptions!$G$467),AQ953*IFERROR(IF(YEAR(AQ3)&gt;YEAR(Assumptions!$G$12),0,(Assumptions!$G$467-Assumptions!$G$469*(Assumptions!$G$467))/(2050-YEAR(Assumptions!$G$298))+AP1278),0)),Assumptions!$G$467)</f>
        <v>0</v>
      </c>
      <c r="AR1278" s="31">
        <f ca="1">+MIN(IF(SUM($H$953:AR953)=1,Assumptions!$G$469*(Assumptions!$G$467),AR953*IFERROR(IF(YEAR(AR3)&gt;YEAR(Assumptions!$G$12),0,(Assumptions!$G$467-Assumptions!$G$469*(Assumptions!$G$467))/(2050-YEAR(Assumptions!$G$298))+AQ1278),0)),Assumptions!$G$467)</f>
        <v>0</v>
      </c>
      <c r="AS1278" s="31">
        <f ca="1">+MIN(IF(SUM($H$953:AS953)=1,Assumptions!$G$469*(Assumptions!$G$467),AS953*IFERROR(IF(YEAR(AS3)&gt;YEAR(Assumptions!$G$12),0,(Assumptions!$G$467-Assumptions!$G$469*(Assumptions!$G$467))/(2050-YEAR(Assumptions!$G$298))+AR1278),0)),Assumptions!$G$467)</f>
        <v>0</v>
      </c>
      <c r="AT1278" s="31">
        <f ca="1">+MIN(IF(SUM($H$953:AT953)=1,Assumptions!$G$469*(Assumptions!$G$467),AT953*IFERROR(IF(YEAR(AT3)&gt;YEAR(Assumptions!$G$12),0,(Assumptions!$G$467-Assumptions!$G$469*(Assumptions!$G$467))/(2050-YEAR(Assumptions!$G$298))+AS1278),0)),Assumptions!$G$467)</f>
        <v>0</v>
      </c>
      <c r="AU1278" s="31">
        <f ca="1">+MIN(IF(SUM($H$953:AU953)=1,Assumptions!$G$469*(Assumptions!$G$467),AU953*IFERROR(IF(YEAR(AU3)&gt;YEAR(Assumptions!$G$12),0,(Assumptions!$G$467-Assumptions!$G$469*(Assumptions!$G$467))/(2050-YEAR(Assumptions!$G$298))+AT1278),0)),Assumptions!$G$467)</f>
        <v>0</v>
      </c>
      <c r="AV1278" s="31">
        <f ca="1">+MIN(IF(SUM($H$953:AV953)=1,Assumptions!$G$469*(Assumptions!$G$467),AV953*IFERROR(IF(YEAR(AV3)&gt;YEAR(Assumptions!$G$12),0,(Assumptions!$G$467-Assumptions!$G$469*(Assumptions!$G$467))/(2050-YEAR(Assumptions!$G$298))+AU1278),0)),Assumptions!$G$467)</f>
        <v>0</v>
      </c>
      <c r="AW1278" s="31">
        <f ca="1">+MIN(IF(SUM($H$953:AW953)=1,Assumptions!$G$469*(Assumptions!$G$467),AW953*IFERROR(IF(YEAR(AW3)&gt;YEAR(Assumptions!$G$12),0,(Assumptions!$G$467-Assumptions!$G$469*(Assumptions!$G$467))/(2050-YEAR(Assumptions!$G$298))+AV1278),0)),Assumptions!$G$467)</f>
        <v>0</v>
      </c>
      <c r="AX1278" s="31">
        <f ca="1">+MIN(IF(SUM($H$953:AX953)=1,Assumptions!$G$469*(Assumptions!$G$467),AX953*IFERROR(IF(YEAR(AX3)&gt;YEAR(Assumptions!$G$12),0,(Assumptions!$G$467-Assumptions!$G$469*(Assumptions!$G$467))/(2050-YEAR(Assumptions!$G$298))+AW1278),0)),Assumptions!$G$467)</f>
        <v>0</v>
      </c>
      <c r="AY1278" s="31">
        <f ca="1">+MIN(IF(SUM($H$953:AY953)=1,Assumptions!$G$469*(Assumptions!$G$467),AY953*IFERROR(IF(YEAR(AY3)&gt;YEAR(Assumptions!$G$12),0,(Assumptions!$G$467-Assumptions!$G$469*(Assumptions!$G$467))/(2050-YEAR(Assumptions!$G$298))+AX1278),0)),Assumptions!$G$467)</f>
        <v>0</v>
      </c>
      <c r="AZ1278" s="31">
        <f ca="1">+MIN(IF(SUM($H$953:AZ953)=1,Assumptions!$G$469*(Assumptions!$G$467),AZ953*IFERROR(IF(YEAR(AZ3)&gt;YEAR(Assumptions!$G$12),0,(Assumptions!$G$467-Assumptions!$G$469*(Assumptions!$G$467))/(2050-YEAR(Assumptions!$G$298))+AY1278),0)),Assumptions!$G$467)</f>
        <v>0</v>
      </c>
      <c r="BA1278" s="31">
        <f ca="1">+MIN(IF(SUM($H$953:BA953)=1,Assumptions!$G$469*(Assumptions!$G$467),BA953*IFERROR(IF(YEAR(BA3)&gt;YEAR(Assumptions!$G$12),0,(Assumptions!$G$467-Assumptions!$G$469*(Assumptions!$G$467))/(2050-YEAR(Assumptions!$G$298))+AZ1278),0)),Assumptions!$G$467)</f>
        <v>0</v>
      </c>
      <c r="BB1278" s="31">
        <f ca="1">+MIN(IF(SUM($H$953:BB953)=1,Assumptions!$G$469*(Assumptions!$G$467),BB953*IFERROR(IF(YEAR(BB3)&gt;YEAR(Assumptions!$G$12),0,(Assumptions!$G$467-Assumptions!$G$469*(Assumptions!$G$467))/(2050-YEAR(Assumptions!$G$298))+BA1278),0)),Assumptions!$G$467)</f>
        <v>0</v>
      </c>
      <c r="BC1278" s="31">
        <f ca="1">+MIN(IF(SUM($H$953:BC953)=1,Assumptions!$G$469*(Assumptions!$G$467),BC953*IFERROR(IF(YEAR(BC3)&gt;YEAR(Assumptions!$G$12),0,(Assumptions!$G$467-Assumptions!$G$469*(Assumptions!$G$467))/(2050-YEAR(Assumptions!$G$298))+BB1278),0)),Assumptions!$G$467)</f>
        <v>0</v>
      </c>
      <c r="BD1278" s="31">
        <f ca="1">+MIN(IF(SUM($H$953:BD953)=1,Assumptions!$G$469*(Assumptions!$G$467),BD953*IFERROR(IF(YEAR(BD3)&gt;YEAR(Assumptions!$G$12),0,(Assumptions!$G$467-Assumptions!$G$469*(Assumptions!$G$467))/(2050-YEAR(Assumptions!$G$298))+BC1278),0)),Assumptions!$G$467)</f>
        <v>0</v>
      </c>
      <c r="BE1278" s="31">
        <f ca="1">+MIN(IF(SUM($H$953:BE953)=1,Assumptions!$G$469*(Assumptions!$G$467),BE953*IFERROR(IF(YEAR(BE3)&gt;YEAR(Assumptions!$G$12),0,(Assumptions!$G$467-Assumptions!$G$469*(Assumptions!$G$467))/(2050-YEAR(Assumptions!$G$298))+BD1278),0)),Assumptions!$G$467)</f>
        <v>0</v>
      </c>
      <c r="BF1278" s="31">
        <f ca="1">+MIN(IF(SUM($H$953:BF953)=1,Assumptions!$G$469*(Assumptions!$G$467),BF953*IFERROR(IF(YEAR(BF3)&gt;YEAR(Assumptions!$G$12),0,(Assumptions!$G$467-Assumptions!$G$469*(Assumptions!$G$467))/(2050-YEAR(Assumptions!$G$298))+BE1278),0)),Assumptions!$G$467)</f>
        <v>0</v>
      </c>
      <c r="BG1278" s="31">
        <f ca="1">+MIN(IF(SUM($H$953:BG953)=1,Assumptions!$G$469*(Assumptions!$G$467),BG953*IFERROR(IF(YEAR(BG3)&gt;YEAR(Assumptions!$G$12),0,(Assumptions!$G$467-Assumptions!$G$469*(Assumptions!$G$467))/(2050-YEAR(Assumptions!$G$298))+BF1278),0)),Assumptions!$G$467)</f>
        <v>0</v>
      </c>
      <c r="BH1278" s="31">
        <f ca="1">+MIN(IF(SUM($H$953:BH953)=1,Assumptions!$G$469*(Assumptions!$G$467),BH953*IFERROR(IF(YEAR(BH3)&gt;YEAR(Assumptions!$G$12),0,(Assumptions!$G$467-Assumptions!$G$469*(Assumptions!$G$467))/(2050-YEAR(Assumptions!$G$298))+BG1278),0)),Assumptions!$G$467)</f>
        <v>0</v>
      </c>
      <c r="BI1278" s="31">
        <f ca="1">+MIN(IF(SUM($H$953:BI953)=1,Assumptions!$G$469*(Assumptions!$G$467),BI953*IFERROR(IF(YEAR(BI3)&gt;YEAR(Assumptions!$G$12),0,(Assumptions!$G$467-Assumptions!$G$469*(Assumptions!$G$467))/(2050-YEAR(Assumptions!$G$298))+BH1278),0)),Assumptions!$G$467)</f>
        <v>0</v>
      </c>
      <c r="BJ1278" s="31">
        <f ca="1">+MIN(IF(SUM($H$953:BJ953)=1,Assumptions!$G$469*(Assumptions!$G$467),BJ953*IFERROR(IF(YEAR(BJ3)&gt;YEAR(Assumptions!$G$12),0,(Assumptions!$G$467-Assumptions!$G$469*(Assumptions!$G$467))/(2050-YEAR(Assumptions!$G$298))+BI1278),0)),Assumptions!$G$467)</f>
        <v>0</v>
      </c>
      <c r="BK1278" s="31">
        <f ca="1">+MIN(IF(SUM($H$953:BK953)=1,Assumptions!$G$469*(Assumptions!$G$467),BK953*IFERROR(IF(YEAR(BK3)&gt;YEAR(Assumptions!$G$12),0,(Assumptions!$G$467-Assumptions!$G$469*(Assumptions!$G$467))/(2050-YEAR(Assumptions!$G$298))+BJ1278),0)),Assumptions!$G$467)</f>
        <v>0</v>
      </c>
      <c r="BL1278" s="31">
        <f ca="1">+MIN(IF(SUM($H$953:BL953)=1,Assumptions!$G$469*(Assumptions!$G$467),BL953*IFERROR(IF(YEAR(BL3)&gt;YEAR(Assumptions!$G$12),0,(Assumptions!$G$467-Assumptions!$G$469*(Assumptions!$G$467))/(2050-YEAR(Assumptions!$G$298))+BK1278),0)),Assumptions!$G$467)</f>
        <v>0</v>
      </c>
      <c r="BM1278" s="31">
        <f ca="1">+MIN(IF(SUM($H$953:BM953)=1,Assumptions!$G$469*(Assumptions!$G$467),BM953*IFERROR(IF(YEAR(BM3)&gt;YEAR(Assumptions!$G$12),0,(Assumptions!$G$467-Assumptions!$G$469*(Assumptions!$G$467))/(2050-YEAR(Assumptions!$G$298))+BL1278),0)),Assumptions!$G$467)</f>
        <v>0</v>
      </c>
      <c r="BN1278" s="31">
        <f ca="1">+MIN(IF(SUM($H$953:BN953)=1,Assumptions!$G$469*(Assumptions!$G$467),BN953*IFERROR(IF(YEAR(BN3)&gt;YEAR(Assumptions!$G$12),0,(Assumptions!$G$467-Assumptions!$G$469*(Assumptions!$G$467))/(2050-YEAR(Assumptions!$G$298))+BM1278),0)),Assumptions!$G$467)</f>
        <v>0</v>
      </c>
      <c r="BO1278" s="31">
        <f ca="1">+MIN(IF(SUM($H$953:BO953)=1,Assumptions!$G$469*(Assumptions!$G$467),BO953*IFERROR(IF(YEAR(BO3)&gt;YEAR(Assumptions!$G$12),0,(Assumptions!$G$467-Assumptions!$G$469*(Assumptions!$G$467))/(2050-YEAR(Assumptions!$G$298))+BN1278),0)),Assumptions!$G$467)</f>
        <v>0</v>
      </c>
      <c r="BP1278" s="31">
        <f ca="1">+MIN(IF(SUM($H$953:BP953)=1,Assumptions!$G$469*(Assumptions!$G$467),BP953*IFERROR(IF(YEAR(BP3)&gt;YEAR(Assumptions!$G$12),0,(Assumptions!$G$467-Assumptions!$G$469*(Assumptions!$G$467))/(2050-YEAR(Assumptions!$G$298))+BO1278),0)),Assumptions!$G$467)</f>
        <v>0</v>
      </c>
      <c r="BQ1278" s="31">
        <f ca="1">+MIN(IF(SUM($H$953:BQ953)=1,Assumptions!$G$469*(Assumptions!$G$467),BQ953*IFERROR(IF(YEAR(BQ3)&gt;YEAR(Assumptions!$G$12),0,(Assumptions!$G$467-Assumptions!$G$469*(Assumptions!$G$467))/(2050-YEAR(Assumptions!$G$298))+BP1278),0)),Assumptions!$G$467)</f>
        <v>0</v>
      </c>
      <c r="BR1278" s="31">
        <f ca="1">+MIN(IF(SUM($H$953:BR953)=1,Assumptions!$G$469*(Assumptions!$G$467),BR953*IFERROR(IF(YEAR(BR3)&gt;YEAR(Assumptions!$G$12),0,(Assumptions!$G$467-Assumptions!$G$469*(Assumptions!$G$467))/(2050-YEAR(Assumptions!$G$298))+BQ1278),0)),Assumptions!$G$467)</f>
        <v>0</v>
      </c>
      <c r="BS1278" s="31">
        <f ca="1">+MIN(IF(SUM($H$953:BS953)=1,Assumptions!$G$469*(Assumptions!$G$467),BS953*IFERROR(IF(YEAR(BS3)&gt;YEAR(Assumptions!$G$12),0,(Assumptions!$G$467-Assumptions!$G$469*(Assumptions!$G$467))/(2050-YEAR(Assumptions!$G$298))+BR1278),0)),Assumptions!$G$467)</f>
        <v>0</v>
      </c>
      <c r="BT1278" s="31">
        <f ca="1">+MIN(IF(SUM($H$953:BT953)=1,Assumptions!$G$469*(Assumptions!$G$467),BT953*IFERROR(IF(YEAR(BT3)&gt;YEAR(Assumptions!$G$12),0,(Assumptions!$G$467-Assumptions!$G$469*(Assumptions!$G$467))/(2050-YEAR(Assumptions!$G$298))+BS1278),0)),Assumptions!$G$467)</f>
        <v>0</v>
      </c>
      <c r="BU1278" s="31">
        <f ca="1">+MIN(IF(SUM($H$953:BU953)=1,Assumptions!$G$469*(Assumptions!$G$467),BU953*IFERROR(IF(YEAR(BU3)&gt;YEAR(Assumptions!$G$12),0,(Assumptions!$G$467-Assumptions!$G$469*(Assumptions!$G$467))/(2050-YEAR(Assumptions!$G$298))+BT1278),0)),Assumptions!$G$467)</f>
        <v>0</v>
      </c>
      <c r="BV1278" s="31">
        <f ca="1">+MIN(IF(SUM($H$953:BV953)=1,Assumptions!$G$469*(Assumptions!$G$467),BV953*IFERROR(IF(YEAR(BV3)&gt;YEAR(Assumptions!$G$12),0,(Assumptions!$G$467-Assumptions!$G$469*(Assumptions!$G$467))/(2050-YEAR(Assumptions!$G$298))+BU1278),0)),Assumptions!$G$467)</f>
        <v>0</v>
      </c>
      <c r="BW1278" s="31">
        <f ca="1">+MIN(IF(SUM($H$953:BW953)=1,Assumptions!$G$469*(Assumptions!$G$467),BW953*IFERROR(IF(YEAR(BW3)&gt;YEAR(Assumptions!$G$12),0,(Assumptions!$G$467-Assumptions!$G$469*(Assumptions!$G$467))/(2050-YEAR(Assumptions!$G$298))+BV1278),0)),Assumptions!$G$467)</f>
        <v>0</v>
      </c>
      <c r="BX1278" s="31">
        <f ca="1">+MIN(IF(SUM($H$953:BX953)=1,Assumptions!$G$469*(Assumptions!$G$467),BX953*IFERROR(IF(YEAR(BX3)&gt;YEAR(Assumptions!$G$12),0,(Assumptions!$G$467-Assumptions!$G$469*(Assumptions!$G$467))/(2050-YEAR(Assumptions!$G$298))+BW1278),0)),Assumptions!$G$467)</f>
        <v>0</v>
      </c>
      <c r="BY1278" s="31">
        <f ca="1">+MIN(IF(SUM($H$953:BY953)=1,Assumptions!$G$469*(Assumptions!$G$467),BY953*IFERROR(IF(YEAR(BY3)&gt;YEAR(Assumptions!$G$12),0,(Assumptions!$G$467-Assumptions!$G$469*(Assumptions!$G$467))/(2050-YEAR(Assumptions!$G$298))+BX1278),0)),Assumptions!$G$467)</f>
        <v>0</v>
      </c>
    </row>
    <row r="1279" spans="1:77" s="35" customFormat="1" outlineLevel="1">
      <c r="A1279" s="33"/>
      <c r="B1279" s="33"/>
      <c r="C1279" s="33"/>
      <c r="D1279" s="33"/>
      <c r="E1279" s="33" t="s">
        <v>625</v>
      </c>
      <c r="F1279" s="104" t="s">
        <v>356</v>
      </c>
      <c r="G1279" s="33"/>
      <c r="H1279" s="33">
        <f>+IF(Assumptions!$G$472="Yes",Assumptions!$G$464*H434*H1278,0)</f>
        <v>0</v>
      </c>
      <c r="I1279" s="33">
        <f>+IF(Assumptions!$G$472="Yes",Assumptions!$G$464*I434*I1278,0)</f>
        <v>0</v>
      </c>
      <c r="J1279" s="33">
        <f>+IF(Assumptions!$G$472="Yes",Assumptions!$G$464*J434*J1278,0)</f>
        <v>0</v>
      </c>
      <c r="K1279" s="33">
        <f>+IF(Assumptions!$G$472="Yes",Assumptions!$G$464*K434*K1278,0)</f>
        <v>0</v>
      </c>
      <c r="L1279" s="33">
        <f>+IF(Assumptions!$G$472="Yes",Assumptions!$G$464*L434*L1278,0)</f>
        <v>0</v>
      </c>
      <c r="M1279" s="33">
        <f>+IF(Assumptions!$G$472="Yes",Assumptions!$G$464*M434*M1278,0)</f>
        <v>0</v>
      </c>
      <c r="N1279" s="33">
        <f>+IF(Assumptions!$G$472="Yes",Assumptions!$G$464*N434*N1278,0)</f>
        <v>0</v>
      </c>
      <c r="O1279" s="33">
        <f>+IF(Assumptions!$G$472="Yes",Assumptions!$G$464*O434*O1278,0)</f>
        <v>0</v>
      </c>
      <c r="P1279" s="33">
        <f>+IF(Assumptions!$G$472="Yes",Assumptions!$G$464*P434*P1278,0)</f>
        <v>0</v>
      </c>
      <c r="Q1279" s="33">
        <f>+IF(Assumptions!$G$472="Yes",Assumptions!$G$464*Q434*Q1278,0)</f>
        <v>0</v>
      </c>
      <c r="R1279" s="33">
        <f>+IF(Assumptions!$G$472="Yes",Assumptions!$G$464*R434*R1278,0)</f>
        <v>0</v>
      </c>
      <c r="S1279" s="33">
        <f>+IF(Assumptions!$G$472="Yes",Assumptions!$G$464*S434*S1278,0)</f>
        <v>0</v>
      </c>
      <c r="T1279" s="33">
        <f>+IF(Assumptions!$G$472="Yes",Assumptions!$G$464*T434*T1278,0)</f>
        <v>0</v>
      </c>
      <c r="U1279" s="33">
        <f>+IF(Assumptions!$G$472="Yes",Assumptions!$G$464*U434*U1278,0)</f>
        <v>0</v>
      </c>
      <c r="V1279" s="33">
        <f>+IF(Assumptions!$G$472="Yes",Assumptions!$G$464*V434*V1278,0)</f>
        <v>0</v>
      </c>
      <c r="W1279" s="33">
        <f>+IF(Assumptions!$G$472="Yes",Assumptions!$G$464*W434*W1278,0)</f>
        <v>0</v>
      </c>
      <c r="X1279" s="33">
        <f>+IF(Assumptions!$G$472="Yes",Assumptions!$G$464*X434*X1278,0)</f>
        <v>0</v>
      </c>
      <c r="Y1279" s="33">
        <f>+IF(Assumptions!$G$472="Yes",Assumptions!$G$464*Y434*Y1278,0)</f>
        <v>0</v>
      </c>
      <c r="Z1279" s="33">
        <f>+IF(Assumptions!$G$472="Yes",Assumptions!$G$464*Z434*Z1278,0)</f>
        <v>0</v>
      </c>
      <c r="AA1279" s="33">
        <f>+IF(Assumptions!$G$472="Yes",Assumptions!$G$464*AA434*AA1278,0)</f>
        <v>0</v>
      </c>
      <c r="AB1279" s="33">
        <f>+IF(Assumptions!$G$472="Yes",Assumptions!$G$464*AB434*AB1278,0)</f>
        <v>0</v>
      </c>
      <c r="AC1279" s="33">
        <f>+IF(Assumptions!$G$472="Yes",Assumptions!$G$464*AC434*AC1278,0)</f>
        <v>0</v>
      </c>
      <c r="AD1279" s="33">
        <f>+IF(Assumptions!$G$472="Yes",Assumptions!$G$464*AD434*AD1278,0)</f>
        <v>0</v>
      </c>
      <c r="AE1279" s="33">
        <f>+IF(Assumptions!$G$472="Yes",Assumptions!$G$464*AE434*AE1278,0)</f>
        <v>0</v>
      </c>
      <c r="AF1279" s="33">
        <f>+IF(Assumptions!$G$472="Yes",Assumptions!$G$464*AF434*AF1278,0)</f>
        <v>0</v>
      </c>
      <c r="AG1279" s="33">
        <f>+IF(Assumptions!$G$472="Yes",Assumptions!$G$464*AG434*AG1278,0)</f>
        <v>0</v>
      </c>
      <c r="AH1279" s="33">
        <f>+IF(Assumptions!$G$472="Yes",Assumptions!$G$464*AH434*AH1278,0)</f>
        <v>0</v>
      </c>
      <c r="AI1279" s="33">
        <f>+IF(Assumptions!$G$472="Yes",Assumptions!$G$464*AI434*AI1278,0)</f>
        <v>0</v>
      </c>
      <c r="AJ1279" s="33">
        <f>+IF(Assumptions!$G$472="Yes",Assumptions!$G$464*AJ434*AJ1278,0)</f>
        <v>0</v>
      </c>
      <c r="AK1279" s="33">
        <f>+IF(Assumptions!$G$472="Yes",Assumptions!$G$464*AK434*AK1278,0)</f>
        <v>0</v>
      </c>
      <c r="AL1279" s="33">
        <f>+IF(Assumptions!$G$472="Yes",Assumptions!$G$464*AL434*AL1278,0)</f>
        <v>0</v>
      </c>
      <c r="AM1279" s="33">
        <f>+IF(Assumptions!$G$472="Yes",Assumptions!$G$464*AM434*AM1278,0)</f>
        <v>0</v>
      </c>
      <c r="AN1279" s="33">
        <f>+IF(Assumptions!$G$472="Yes",Assumptions!$G$464*AN434*AN1278,0)</f>
        <v>0</v>
      </c>
      <c r="AO1279" s="33">
        <f>+IF(Assumptions!$G$472="Yes",Assumptions!$G$464*AO434*AO1278,0)</f>
        <v>0</v>
      </c>
      <c r="AP1279" s="33">
        <f>+IF(Assumptions!$G$472="Yes",Assumptions!$G$464*AP434*AP1278,0)</f>
        <v>0</v>
      </c>
      <c r="AQ1279" s="33">
        <f>+IF(Assumptions!$G$472="Yes",Assumptions!$G$464*AQ434*AQ1278,0)</f>
        <v>0</v>
      </c>
      <c r="AR1279" s="33">
        <f>+IF(Assumptions!$G$472="Yes",Assumptions!$G$464*AR434*AR1278,0)</f>
        <v>0</v>
      </c>
      <c r="AS1279" s="33">
        <f>+IF(Assumptions!$G$472="Yes",Assumptions!$G$464*AS434*AS1278,0)</f>
        <v>0</v>
      </c>
      <c r="AT1279" s="33">
        <f>+IF(Assumptions!$G$472="Yes",Assumptions!$G$464*AT434*AT1278,0)</f>
        <v>0</v>
      </c>
      <c r="AU1279" s="33">
        <f>+IF(Assumptions!$G$472="Yes",Assumptions!$G$464*AU434*AU1278,0)</f>
        <v>0</v>
      </c>
      <c r="AV1279" s="33">
        <f>+IF(Assumptions!$G$472="Yes",Assumptions!$G$464*AV434*AV1278,0)</f>
        <v>0</v>
      </c>
      <c r="AW1279" s="33">
        <f>+IF(Assumptions!$G$472="Yes",Assumptions!$G$464*AW434*AW1278,0)</f>
        <v>0</v>
      </c>
      <c r="AX1279" s="33">
        <f>+IF(Assumptions!$G$472="Yes",Assumptions!$G$464*AX434*AX1278,0)</f>
        <v>0</v>
      </c>
      <c r="AY1279" s="33">
        <f>+IF(Assumptions!$G$472="Yes",Assumptions!$G$464*AY434*AY1278,0)</f>
        <v>0</v>
      </c>
      <c r="AZ1279" s="33">
        <f>+IF(Assumptions!$G$472="Yes",Assumptions!$G$464*AZ434*AZ1278,0)</f>
        <v>0</v>
      </c>
      <c r="BA1279" s="33">
        <f>+IF(Assumptions!$G$472="Yes",Assumptions!$G$464*BA434*BA1278,0)</f>
        <v>0</v>
      </c>
      <c r="BB1279" s="33">
        <f>+IF(Assumptions!$G$472="Yes",Assumptions!$G$464*BB434*BB1278,0)</f>
        <v>0</v>
      </c>
      <c r="BC1279" s="33">
        <f>+IF(Assumptions!$G$472="Yes",Assumptions!$G$464*BC434*BC1278,0)</f>
        <v>0</v>
      </c>
      <c r="BD1279" s="33">
        <f>+IF(Assumptions!$G$472="Yes",Assumptions!$G$464*BD434*BD1278,0)</f>
        <v>0</v>
      </c>
      <c r="BE1279" s="33">
        <f>+IF(Assumptions!$G$472="Yes",Assumptions!$G$464*BE434*BE1278,0)</f>
        <v>0</v>
      </c>
      <c r="BF1279" s="33">
        <f>+IF(Assumptions!$G$472="Yes",Assumptions!$G$464*BF434*BF1278,0)</f>
        <v>0</v>
      </c>
      <c r="BG1279" s="33">
        <f>+IF(Assumptions!$G$472="Yes",Assumptions!$G$464*BG434*BG1278,0)</f>
        <v>0</v>
      </c>
      <c r="BH1279" s="33">
        <f>+IF(Assumptions!$G$472="Yes",Assumptions!$G$464*BH434*BH1278,0)</f>
        <v>0</v>
      </c>
      <c r="BI1279" s="33">
        <f>+IF(Assumptions!$G$472="Yes",Assumptions!$G$464*BI434*BI1278,0)</f>
        <v>0</v>
      </c>
      <c r="BJ1279" s="33">
        <f>+IF(Assumptions!$G$472="Yes",Assumptions!$G$464*BJ434*BJ1278,0)</f>
        <v>0</v>
      </c>
      <c r="BK1279" s="33">
        <f>+IF(Assumptions!$G$472="Yes",Assumptions!$G$464*BK434*BK1278,0)</f>
        <v>0</v>
      </c>
      <c r="BL1279" s="33">
        <f>+IF(Assumptions!$G$472="Yes",Assumptions!$G$464*BL434*BL1278,0)</f>
        <v>0</v>
      </c>
      <c r="BM1279" s="33">
        <f>+IF(Assumptions!$G$472="Yes",Assumptions!$G$464*BM434*BM1278,0)</f>
        <v>0</v>
      </c>
      <c r="BN1279" s="33">
        <f>+IF(Assumptions!$G$472="Yes",Assumptions!$G$464*BN434*BN1278,0)</f>
        <v>0</v>
      </c>
      <c r="BO1279" s="33">
        <f>+IF(Assumptions!$G$472="Yes",Assumptions!$G$464*BO434*BO1278,0)</f>
        <v>0</v>
      </c>
      <c r="BP1279" s="33">
        <f>+IF(Assumptions!$G$472="Yes",Assumptions!$G$464*BP434*BP1278,0)</f>
        <v>0</v>
      </c>
      <c r="BQ1279" s="33">
        <f>+IF(Assumptions!$G$472="Yes",Assumptions!$G$464*BQ434*BQ1278,0)</f>
        <v>0</v>
      </c>
      <c r="BR1279" s="33">
        <f>+IF(Assumptions!$G$472="Yes",Assumptions!$G$464*BR434*BR1278,0)</f>
        <v>0</v>
      </c>
      <c r="BS1279" s="33">
        <f>+IF(Assumptions!$G$472="Yes",Assumptions!$G$464*BS434*BS1278,0)</f>
        <v>0</v>
      </c>
      <c r="BT1279" s="33">
        <f>+IF(Assumptions!$G$472="Yes",Assumptions!$G$464*BT434*BT1278,0)</f>
        <v>0</v>
      </c>
      <c r="BU1279" s="33">
        <f>+IF(Assumptions!$G$472="Yes",Assumptions!$G$464*BU434*BU1278,0)</f>
        <v>0</v>
      </c>
      <c r="BV1279" s="33">
        <f>+IF(Assumptions!$G$472="Yes",Assumptions!$G$464*BV434*BV1278,0)</f>
        <v>0</v>
      </c>
      <c r="BW1279" s="33">
        <f>+IF(Assumptions!$G$472="Yes",Assumptions!$G$464*BW434*BW1278,0)</f>
        <v>0</v>
      </c>
      <c r="BX1279" s="33">
        <f>+IF(Assumptions!$G$472="Yes",Assumptions!$G$464*BX434*BX1278,0)</f>
        <v>0</v>
      </c>
      <c r="BY1279" s="33">
        <f>+IF(Assumptions!$G$472="Yes",Assumptions!$G$464*BY434*BY1278,0)</f>
        <v>0</v>
      </c>
    </row>
    <row r="1280" spans="1:77" s="771" customFormat="1" ht="12.75" outlineLevel="1"/>
    <row r="1281" spans="5:77" s="771" customFormat="1" ht="15" outlineLevel="1">
      <c r="E1281" s="22" t="s">
        <v>626</v>
      </c>
      <c r="F1281"/>
      <c r="G1281"/>
      <c r="H1281" s="89"/>
      <c r="I1281" s="89"/>
      <c r="J1281" s="89"/>
      <c r="K1281" s="89"/>
      <c r="L1281" s="89"/>
      <c r="M1281" s="89"/>
      <c r="N1281" s="89"/>
      <c r="O1281" s="89"/>
      <c r="P1281" s="89"/>
      <c r="Q1281" s="89"/>
      <c r="R1281" s="89"/>
      <c r="S1281" s="89"/>
      <c r="T1281" s="89"/>
      <c r="U1281" s="89"/>
      <c r="V1281" s="89"/>
      <c r="W1281" s="89"/>
      <c r="X1281" s="89"/>
      <c r="Y1281" s="89"/>
      <c r="Z1281" s="89"/>
      <c r="AA1281" s="89"/>
      <c r="AB1281" s="89"/>
      <c r="AC1281" s="89"/>
      <c r="AD1281" s="89"/>
      <c r="AE1281" s="89"/>
      <c r="AF1281" s="89"/>
      <c r="AG1281" s="89"/>
      <c r="AH1281" s="89"/>
      <c r="AI1281" s="89"/>
      <c r="AJ1281" s="89"/>
      <c r="AK1281" s="89"/>
      <c r="AL1281" s="89"/>
      <c r="AM1281" s="89"/>
      <c r="AN1281" s="89"/>
      <c r="AO1281" s="89"/>
      <c r="AP1281" s="89"/>
      <c r="AQ1281" s="89"/>
      <c r="AR1281" s="89"/>
      <c r="AS1281" s="89"/>
      <c r="AT1281" s="89"/>
      <c r="AU1281" s="89"/>
      <c r="AV1281" s="89"/>
      <c r="AW1281" s="89"/>
      <c r="AX1281" s="89"/>
      <c r="AY1281" s="89"/>
      <c r="AZ1281" s="89"/>
      <c r="BA1281" s="89"/>
      <c r="BB1281" s="89"/>
      <c r="BC1281" s="89"/>
      <c r="BD1281" s="89"/>
      <c r="BE1281" s="89"/>
      <c r="BF1281" s="89"/>
      <c r="BG1281" s="89"/>
      <c r="BH1281" s="89"/>
      <c r="BI1281" s="89"/>
      <c r="BJ1281" s="89"/>
      <c r="BK1281" s="89"/>
      <c r="BL1281" s="89"/>
      <c r="BM1281" s="89"/>
      <c r="BN1281" s="89"/>
      <c r="BO1281" s="89"/>
      <c r="BP1281" s="89"/>
      <c r="BQ1281" s="89"/>
      <c r="BR1281" s="89"/>
      <c r="BS1281" s="89"/>
      <c r="BT1281" s="89"/>
      <c r="BU1281" s="89"/>
      <c r="BV1281" s="89"/>
      <c r="BW1281" s="89"/>
      <c r="BX1281" s="89"/>
      <c r="BY1281" s="89"/>
    </row>
    <row r="1282" spans="5:77" s="771" customFormat="1" outlineLevel="1">
      <c r="E1282" t="s">
        <v>627</v>
      </c>
      <c r="F1282" s="772" t="s">
        <v>622</v>
      </c>
      <c r="G1282"/>
      <c r="H1282" s="89">
        <f ca="1">+MIN(IF(SUM($H$953:H953)=1,(Assumptions!$G$458)*(Assumptions!$H$466),H953*IFERROR(MIN(IF(YEAR(H3)&gt;YEAR(Assumptions!$G$12),0,(Assumptions!$H$466-(Assumptions!$G$458)*(Assumptions!$H$466))/(YEAR(EDATE(Assumptions!$G$298,12*10))-YEAR(Assumptions!$G$298))+G1282),(Assumptions!$H$466)),0)),Assumptions!$H$466)</f>
        <v>0</v>
      </c>
      <c r="I1282" s="89">
        <f ca="1">+MIN(IF(SUM($H$953:I953)=1,(Assumptions!$G$458)*(Assumptions!$H$466),I953*IFERROR(MIN(IF(YEAR(I3)&gt;YEAR(Assumptions!$G$12),0,(Assumptions!$H$466-(Assumptions!$G$458)*(Assumptions!$H$466))/(YEAR(EDATE(Assumptions!$G$298,12*10))-YEAR(Assumptions!$G$298))+H1282),(Assumptions!$H$466)),0)),Assumptions!$H$466)</f>
        <v>0</v>
      </c>
      <c r="J1282" s="89">
        <f ca="1">+MIN(IF(SUM($H$953:J953)=1,(Assumptions!$G$458)*(Assumptions!$H$466),J953*IFERROR(MIN(IF(YEAR(J3)&gt;YEAR(Assumptions!$G$12),0,(Assumptions!$H$466-(Assumptions!$G$458)*(Assumptions!$H$466))/(YEAR(EDATE(Assumptions!$G$298,12*10))-YEAR(Assumptions!$G$298))+I1282),(Assumptions!$H$466)),0)),Assumptions!$H$466)</f>
        <v>0</v>
      </c>
      <c r="K1282" s="89">
        <f ca="1">+MIN(IF(SUM($H$953:K953)=1,(Assumptions!$G$458)*(Assumptions!$H$466),K953*IFERROR(MIN(IF(YEAR(K3)&gt;YEAR(Assumptions!$G$12),0,(Assumptions!$H$466-(Assumptions!$G$458)*(Assumptions!$H$466))/(YEAR(EDATE(Assumptions!$G$298,12*10))-YEAR(Assumptions!$G$298))+J1282),(Assumptions!$H$466)),0)),Assumptions!$H$466)</f>
        <v>1.8057278766422655</v>
      </c>
      <c r="L1282" s="89">
        <f ca="1">+MIN(IF(SUM($H$953:L953)=1,(Assumptions!$G$458)*(Assumptions!$H$466),L953*IFERROR(MIN(IF(YEAR(L3)&gt;YEAR(Assumptions!$G$12),0,(Assumptions!$H$466-(Assumptions!$G$458)*(Assumptions!$H$466))/(YEAR(EDATE(Assumptions!$G$298,12*10))-YEAR(Assumptions!$G$298))+K1282),(Assumptions!$H$466)),0)),Assumptions!$H$466)</f>
        <v>3.4308829656203046</v>
      </c>
      <c r="M1282" s="89">
        <f ca="1">+MIN(IF(SUM($H$953:M953)=1,(Assumptions!$G$458)*(Assumptions!$H$466),M953*IFERROR(MIN(IF(YEAR(M3)&gt;YEAR(Assumptions!$G$12),0,(Assumptions!$H$466-(Assumptions!$G$458)*(Assumptions!$H$466))/(YEAR(EDATE(Assumptions!$G$298,12*10))-YEAR(Assumptions!$G$298))+L1282),(Assumptions!$H$466)),0)),Assumptions!$H$466)</f>
        <v>5.0560380545983437</v>
      </c>
      <c r="N1282" s="89">
        <f ca="1">+MIN(IF(SUM($H$953:N953)=1,(Assumptions!$G$458)*(Assumptions!$H$466),N953*IFERROR(MIN(IF(YEAR(N3)&gt;YEAR(Assumptions!$G$12),0,(Assumptions!$H$466-(Assumptions!$G$458)*(Assumptions!$H$466))/(YEAR(EDATE(Assumptions!$G$298,12*10))-YEAR(Assumptions!$G$298))+M1282),(Assumptions!$H$466)),0)),Assumptions!$H$466)</f>
        <v>6.6811931435763832</v>
      </c>
      <c r="O1282" s="89">
        <f ca="1">+MIN(IF(SUM($H$953:O953)=1,(Assumptions!$G$458)*(Assumptions!$H$466),O953*IFERROR(MIN(IF(YEAR(O3)&gt;YEAR(Assumptions!$G$12),0,(Assumptions!$H$466-(Assumptions!$G$458)*(Assumptions!$H$466))/(YEAR(EDATE(Assumptions!$G$298,12*10))-YEAR(Assumptions!$G$298))+N1282),(Assumptions!$H$466)),0)),Assumptions!$H$466)</f>
        <v>8.3063482325544218</v>
      </c>
      <c r="P1282" s="89">
        <f ca="1">+MIN(IF(SUM($H$953:P953)=1,(Assumptions!$G$458)*(Assumptions!$H$466),P953*IFERROR(MIN(IF(YEAR(P3)&gt;YEAR(Assumptions!$G$12),0,(Assumptions!$H$466-(Assumptions!$G$458)*(Assumptions!$H$466))/(YEAR(EDATE(Assumptions!$G$298,12*10))-YEAR(Assumptions!$G$298))+O1282),(Assumptions!$H$466)),0)),Assumptions!$H$466)</f>
        <v>9.9315033215324604</v>
      </c>
      <c r="Q1282" s="89">
        <f ca="1">+MIN(IF(SUM($H$953:Q953)=1,(Assumptions!$G$458)*(Assumptions!$H$466),Q953*IFERROR(MIN(IF(YEAR(Q3)&gt;YEAR(Assumptions!$G$12),0,(Assumptions!$H$466-(Assumptions!$G$458)*(Assumptions!$H$466))/(YEAR(EDATE(Assumptions!$G$298,12*10))-YEAR(Assumptions!$G$298))+P1282),(Assumptions!$H$466)),0)),Assumptions!$H$466)</f>
        <v>11.556658410510499</v>
      </c>
      <c r="R1282" s="89">
        <f ca="1">+MIN(IF(SUM($H$953:R953)=1,(Assumptions!$G$458)*(Assumptions!$H$466),R953*IFERROR(MIN(IF(YEAR(R3)&gt;YEAR(Assumptions!$G$12),0,(Assumptions!$H$466-(Assumptions!$G$458)*(Assumptions!$H$466))/(YEAR(EDATE(Assumptions!$G$298,12*10))-YEAR(Assumptions!$G$298))+Q1282),(Assumptions!$H$466)),0)),Assumptions!$H$466)</f>
        <v>13.181813499488538</v>
      </c>
      <c r="S1282" s="89">
        <f ca="1">+MIN(IF(SUM($H$953:S953)=1,(Assumptions!$G$458)*(Assumptions!$H$466),S953*IFERROR(MIN(IF(YEAR(S3)&gt;YEAR(Assumptions!$G$12),0,(Assumptions!$H$466-(Assumptions!$G$458)*(Assumptions!$H$466))/(YEAR(EDATE(Assumptions!$G$298,12*10))-YEAR(Assumptions!$G$298))+R1282),(Assumptions!$H$466)),0)),Assumptions!$H$466)</f>
        <v>14.806968588466576</v>
      </c>
      <c r="T1282" s="89">
        <f ca="1">+MIN(IF(SUM($H$953:T953)=1,(Assumptions!$G$458)*(Assumptions!$H$466),T953*IFERROR(MIN(IF(YEAR(T3)&gt;YEAR(Assumptions!$G$12),0,(Assumptions!$H$466-(Assumptions!$G$458)*(Assumptions!$H$466))/(YEAR(EDATE(Assumptions!$G$298,12*10))-YEAR(Assumptions!$G$298))+S1282),(Assumptions!$H$466)),0)),Assumptions!$H$466)</f>
        <v>16.432123677444615</v>
      </c>
      <c r="U1282" s="89">
        <f ca="1">+MIN(IF(SUM($H$953:U953)=1,(Assumptions!$G$458)*(Assumptions!$H$466),U953*IFERROR(MIN(IF(YEAR(U3)&gt;YEAR(Assumptions!$G$12),0,(Assumptions!$H$466-(Assumptions!$G$458)*(Assumptions!$H$466))/(YEAR(EDATE(Assumptions!$G$298,12*10))-YEAR(Assumptions!$G$298))+T1282),(Assumptions!$H$466)),0)),Assumptions!$H$466)</f>
        <v>18.057278766422655</v>
      </c>
      <c r="V1282" s="89">
        <f ca="1">+MIN(IF(SUM($H$953:V953)=1,(Assumptions!$G$458)*(Assumptions!$H$466),V953*IFERROR(MIN(IF(YEAR(V3)&gt;YEAR(Assumptions!$G$12),0,(Assumptions!$H$466-(Assumptions!$G$458)*(Assumptions!$H$466))/(YEAR(EDATE(Assumptions!$G$298,12*10))-YEAR(Assumptions!$G$298))+U1282),(Assumptions!$H$466)),0)),Assumptions!$H$466)</f>
        <v>18.057278766422655</v>
      </c>
      <c r="W1282" s="89">
        <f ca="1">+MIN(IF(SUM($H$953:W953)=1,(Assumptions!$G$458)*(Assumptions!$H$466),W953*IFERROR(MIN(IF(YEAR(W3)&gt;YEAR(Assumptions!$G$12),0,(Assumptions!$H$466-(Assumptions!$G$458)*(Assumptions!$H$466))/(YEAR(EDATE(Assumptions!$G$298,12*10))-YEAR(Assumptions!$G$298))+V1282),(Assumptions!$H$466)),0)),Assumptions!$H$466)</f>
        <v>18.057278766422655</v>
      </c>
      <c r="X1282" s="89">
        <f ca="1">+MIN(IF(SUM($H$953:X953)=1,(Assumptions!$G$458)*(Assumptions!$H$466),X953*IFERROR(MIN(IF(YEAR(X3)&gt;YEAR(Assumptions!$G$12),0,(Assumptions!$H$466-(Assumptions!$G$458)*(Assumptions!$H$466))/(YEAR(EDATE(Assumptions!$G$298,12*10))-YEAR(Assumptions!$G$298))+W1282),(Assumptions!$H$466)),0)),Assumptions!$H$466)</f>
        <v>18.057278766422655</v>
      </c>
      <c r="Y1282" s="89">
        <f ca="1">+MIN(IF(SUM($H$953:Y953)=1,(Assumptions!$G$458)*(Assumptions!$H$466),Y953*IFERROR(MIN(IF(YEAR(Y3)&gt;YEAR(Assumptions!$G$12),0,(Assumptions!$H$466-(Assumptions!$G$458)*(Assumptions!$H$466))/(YEAR(EDATE(Assumptions!$G$298,12*10))-YEAR(Assumptions!$G$298))+X1282),(Assumptions!$H$466)),0)),Assumptions!$H$466)</f>
        <v>18.057278766422655</v>
      </c>
      <c r="Z1282" s="89">
        <f ca="1">+MIN(IF(SUM($H$953:Z953)=1,(Assumptions!$G$458)*(Assumptions!$H$466),Z953*IFERROR(MIN(IF(YEAR(Z3)&gt;YEAR(Assumptions!$G$12),0,(Assumptions!$H$466-(Assumptions!$G$458)*(Assumptions!$H$466))/(YEAR(EDATE(Assumptions!$G$298,12*10))-YEAR(Assumptions!$G$298))+Y1282),(Assumptions!$H$466)),0)),Assumptions!$H$466)</f>
        <v>0</v>
      </c>
      <c r="AA1282" s="89">
        <f ca="1">+MIN(IF(SUM($H$953:AA953)=1,(Assumptions!$G$458)*(Assumptions!$H$466),AA953*IFERROR(MIN(IF(YEAR(AA3)&gt;YEAR(Assumptions!$G$12),0,(Assumptions!$H$466-(Assumptions!$G$458)*(Assumptions!$H$466))/(YEAR(EDATE(Assumptions!$G$298,12*10))-YEAR(Assumptions!$G$298))+Z1282),(Assumptions!$H$466)),0)),Assumptions!$H$466)</f>
        <v>0</v>
      </c>
      <c r="AB1282" s="89">
        <f ca="1">+MIN(IF(SUM($H$953:AB953)=1,(Assumptions!$G$458)*(Assumptions!$H$466),AB953*IFERROR(MIN(IF(YEAR(AB3)&gt;YEAR(Assumptions!$G$12),0,(Assumptions!$H$466-(Assumptions!$G$458)*(Assumptions!$H$466))/(YEAR(EDATE(Assumptions!$G$298,12*10))-YEAR(Assumptions!$G$298))+AA1282),(Assumptions!$H$466)),0)),Assumptions!$H$466)</f>
        <v>0</v>
      </c>
      <c r="AC1282" s="89">
        <f ca="1">+MIN(IF(SUM($H$953:AC953)=1,(Assumptions!$G$458)*(Assumptions!$H$466),AC953*IFERROR(MIN(IF(YEAR(AC3)&gt;YEAR(Assumptions!$G$12),0,(Assumptions!$H$466-(Assumptions!$G$458)*(Assumptions!$H$466))/(YEAR(EDATE(Assumptions!$G$298,12*10))-YEAR(Assumptions!$G$298))+AB1282),(Assumptions!$H$466)),0)),Assumptions!$H$466)</f>
        <v>0</v>
      </c>
      <c r="AD1282" s="89">
        <f ca="1">+MIN(IF(SUM($H$953:AD953)=1,(Assumptions!$G$458)*(Assumptions!$H$466),AD953*IFERROR(MIN(IF(YEAR(AD3)&gt;YEAR(Assumptions!$G$12),0,(Assumptions!$H$466-(Assumptions!$G$458)*(Assumptions!$H$466))/(YEAR(EDATE(Assumptions!$G$298,12*10))-YEAR(Assumptions!$G$298))+AC1282),(Assumptions!$H$466)),0)),Assumptions!$H$466)</f>
        <v>0</v>
      </c>
      <c r="AE1282" s="89">
        <f ca="1">+MIN(IF(SUM($H$953:AE953)=1,(Assumptions!$G$458)*(Assumptions!$H$466),AE953*IFERROR(MIN(IF(YEAR(AE3)&gt;YEAR(Assumptions!$G$12),0,(Assumptions!$H$466-(Assumptions!$G$458)*(Assumptions!$H$466))/(YEAR(EDATE(Assumptions!$G$298,12*10))-YEAR(Assumptions!$G$298))+AD1282),(Assumptions!$H$466)),0)),Assumptions!$H$466)</f>
        <v>0</v>
      </c>
      <c r="AF1282" s="89">
        <f ca="1">+MIN(IF(SUM($H$953:AF953)=1,(Assumptions!$G$458)*(Assumptions!$H$466),AF953*IFERROR(MIN(IF(YEAR(AF3)&gt;YEAR(Assumptions!$G$12),0,(Assumptions!$H$466-(Assumptions!$G$458)*(Assumptions!$H$466))/(YEAR(EDATE(Assumptions!$G$298,12*10))-YEAR(Assumptions!$G$298))+AE1282),(Assumptions!$H$466)),0)),Assumptions!$H$466)</f>
        <v>0</v>
      </c>
      <c r="AG1282" s="89">
        <f ca="1">+MIN(IF(SUM($H$953:AG953)=1,(Assumptions!$G$458)*(Assumptions!$H$466),AG953*IFERROR(MIN(IF(YEAR(AG3)&gt;YEAR(Assumptions!$G$12),0,(Assumptions!$H$466-(Assumptions!$G$458)*(Assumptions!$H$466))/(YEAR(EDATE(Assumptions!$G$298,12*10))-YEAR(Assumptions!$G$298))+AF1282),(Assumptions!$H$466)),0)),Assumptions!$H$466)</f>
        <v>0</v>
      </c>
      <c r="AH1282" s="89">
        <f ca="1">+MIN(IF(SUM($H$953:AH953)=1,(Assumptions!$G$458)*(Assumptions!$H$466),AH953*IFERROR(MIN(IF(YEAR(AH3)&gt;YEAR(Assumptions!$G$12),0,(Assumptions!$H$466-(Assumptions!$G$458)*(Assumptions!$H$466))/(YEAR(EDATE(Assumptions!$G$298,12*10))-YEAR(Assumptions!$G$298))+AG1282),(Assumptions!$H$466)),0)),Assumptions!$H$466)</f>
        <v>0</v>
      </c>
      <c r="AI1282" s="89">
        <f ca="1">+MIN(IF(SUM($H$953:AI953)=1,(Assumptions!$G$458)*(Assumptions!$H$466),AI953*IFERROR(MIN(IF(YEAR(AI3)&gt;YEAR(Assumptions!$G$12),0,(Assumptions!$H$466-(Assumptions!$G$458)*(Assumptions!$H$466))/(YEAR(EDATE(Assumptions!$G$298,12*10))-YEAR(Assumptions!$G$298))+AH1282),(Assumptions!$H$466)),0)),Assumptions!$H$466)</f>
        <v>0</v>
      </c>
      <c r="AJ1282" s="89">
        <f ca="1">+MIN(IF(SUM($H$953:AJ953)=1,(Assumptions!$G$458)*(Assumptions!$H$466),AJ953*IFERROR(MIN(IF(YEAR(AJ3)&gt;YEAR(Assumptions!$G$12),0,(Assumptions!$H$466-(Assumptions!$G$458)*(Assumptions!$H$466))/(YEAR(EDATE(Assumptions!$G$298,12*10))-YEAR(Assumptions!$G$298))+AI1282),(Assumptions!$H$466)),0)),Assumptions!$H$466)</f>
        <v>0</v>
      </c>
      <c r="AK1282" s="89">
        <f ca="1">+MIN(IF(SUM($H$953:AK953)=1,(Assumptions!$G$458)*(Assumptions!$H$466),AK953*IFERROR(MIN(IF(YEAR(AK3)&gt;YEAR(Assumptions!$G$12),0,(Assumptions!$H$466-(Assumptions!$G$458)*(Assumptions!$H$466))/(YEAR(EDATE(Assumptions!$G$298,12*10))-YEAR(Assumptions!$G$298))+AJ1282),(Assumptions!$H$466)),0)),Assumptions!$H$466)</f>
        <v>0</v>
      </c>
      <c r="AL1282" s="89">
        <f ca="1">+MIN(IF(SUM($H$953:AL953)=1,(Assumptions!$G$458)*(Assumptions!$H$466),AL953*IFERROR(MIN(IF(YEAR(AL3)&gt;YEAR(Assumptions!$G$12),0,(Assumptions!$H$466-(Assumptions!$G$458)*(Assumptions!$H$466))/(YEAR(EDATE(Assumptions!$G$298,12*10))-YEAR(Assumptions!$G$298))+AK1282),(Assumptions!$H$466)),0)),Assumptions!$H$466)</f>
        <v>0</v>
      </c>
      <c r="AM1282" s="89">
        <f ca="1">+MIN(IF(SUM($H$953:AM953)=1,(Assumptions!$G$458)*(Assumptions!$H$466),AM953*IFERROR(MIN(IF(YEAR(AM3)&gt;YEAR(Assumptions!$G$12),0,(Assumptions!$H$466-(Assumptions!$G$458)*(Assumptions!$H$466))/(YEAR(EDATE(Assumptions!$G$298,12*10))-YEAR(Assumptions!$G$298))+AL1282),(Assumptions!$H$466)),0)),Assumptions!$H$466)</f>
        <v>0</v>
      </c>
      <c r="AN1282" s="89">
        <f ca="1">+MIN(IF(SUM($H$953:AN953)=1,(Assumptions!$G$458)*(Assumptions!$H$466),AN953*IFERROR(MIN(IF(YEAR(AN3)&gt;YEAR(Assumptions!$G$12),0,(Assumptions!$H$466-(Assumptions!$G$458)*(Assumptions!$H$466))/(YEAR(EDATE(Assumptions!$G$298,12*10))-YEAR(Assumptions!$G$298))+AM1282),(Assumptions!$H$466)),0)),Assumptions!$H$466)</f>
        <v>0</v>
      </c>
      <c r="AO1282" s="89">
        <f ca="1">+MIN(IF(SUM($H$953:AO953)=1,(Assumptions!$G$458)*(Assumptions!$H$466),AO953*IFERROR(MIN(IF(YEAR(AO3)&gt;YEAR(Assumptions!$G$12),0,(Assumptions!$H$466-(Assumptions!$G$458)*(Assumptions!$H$466))/(YEAR(EDATE(Assumptions!$G$298,12*10))-YEAR(Assumptions!$G$298))+AN1282),(Assumptions!$H$466)),0)),Assumptions!$H$466)</f>
        <v>0</v>
      </c>
      <c r="AP1282" s="89">
        <f ca="1">+MIN(IF(SUM($H$953:AP953)=1,(Assumptions!$G$458)*(Assumptions!$H$466),AP953*IFERROR(MIN(IF(YEAR(AP3)&gt;YEAR(Assumptions!$G$12),0,(Assumptions!$H$466-(Assumptions!$G$458)*(Assumptions!$H$466))/(YEAR(EDATE(Assumptions!$G$298,12*10))-YEAR(Assumptions!$G$298))+AO1282),(Assumptions!$H$466)),0)),Assumptions!$H$466)</f>
        <v>0</v>
      </c>
      <c r="AQ1282" s="89">
        <f ca="1">+MIN(IF(SUM($H$953:AQ953)=1,(Assumptions!$G$458)*(Assumptions!$H$466),AQ953*IFERROR(MIN(IF(YEAR(AQ3)&gt;YEAR(Assumptions!$G$12),0,(Assumptions!$H$466-(Assumptions!$G$458)*(Assumptions!$H$466))/(YEAR(EDATE(Assumptions!$G$298,12*10))-YEAR(Assumptions!$G$298))+AP1282),(Assumptions!$H$466)),0)),Assumptions!$H$466)</f>
        <v>0</v>
      </c>
      <c r="AR1282" s="89">
        <f ca="1">+MIN(IF(SUM($H$953:AR953)=1,(Assumptions!$G$458)*(Assumptions!$H$466),AR953*IFERROR(MIN(IF(YEAR(AR3)&gt;YEAR(Assumptions!$G$12),0,(Assumptions!$H$466-(Assumptions!$G$458)*(Assumptions!$H$466))/(YEAR(EDATE(Assumptions!$G$298,12*10))-YEAR(Assumptions!$G$298))+AQ1282),(Assumptions!$H$466)),0)),Assumptions!$H$466)</f>
        <v>0</v>
      </c>
      <c r="AS1282" s="89">
        <f ca="1">+MIN(IF(SUM($H$953:AS953)=1,(Assumptions!$G$458)*(Assumptions!$H$466),AS953*IFERROR(MIN(IF(YEAR(AS3)&gt;YEAR(Assumptions!$G$12),0,(Assumptions!$H$466-(Assumptions!$G$458)*(Assumptions!$H$466))/(YEAR(EDATE(Assumptions!$G$298,12*10))-YEAR(Assumptions!$G$298))+AR1282),(Assumptions!$H$466)),0)),Assumptions!$H$466)</f>
        <v>0</v>
      </c>
      <c r="AT1282" s="89">
        <f ca="1">+MIN(IF(SUM($H$953:AT953)=1,(Assumptions!$G$458)*(Assumptions!$H$466),AT953*IFERROR(MIN(IF(YEAR(AT3)&gt;YEAR(Assumptions!$G$12),0,(Assumptions!$H$466-(Assumptions!$G$458)*(Assumptions!$H$466))/(YEAR(EDATE(Assumptions!$G$298,12*10))-YEAR(Assumptions!$G$298))+AS1282),(Assumptions!$H$466)),0)),Assumptions!$H$466)</f>
        <v>0</v>
      </c>
      <c r="AU1282" s="89">
        <f ca="1">+MIN(IF(SUM($H$953:AU953)=1,(Assumptions!$G$458)*(Assumptions!$H$466),AU953*IFERROR(MIN(IF(YEAR(AU3)&gt;YEAR(Assumptions!$G$12),0,(Assumptions!$H$466-(Assumptions!$G$458)*(Assumptions!$H$466))/(YEAR(EDATE(Assumptions!$G$298,12*10))-YEAR(Assumptions!$G$298))+AT1282),(Assumptions!$H$466)),0)),Assumptions!$H$466)</f>
        <v>0</v>
      </c>
      <c r="AV1282" s="89">
        <f ca="1">+MIN(IF(SUM($H$953:AV953)=1,(Assumptions!$G$458)*(Assumptions!$H$466),AV953*IFERROR(MIN(IF(YEAR(AV3)&gt;YEAR(Assumptions!$G$12),0,(Assumptions!$H$466-(Assumptions!$G$458)*(Assumptions!$H$466))/(YEAR(EDATE(Assumptions!$G$298,12*10))-YEAR(Assumptions!$G$298))+AU1282),(Assumptions!$H$466)),0)),Assumptions!$H$466)</f>
        <v>0</v>
      </c>
      <c r="AW1282" s="89">
        <f ca="1">+MIN(IF(SUM($H$953:AW953)=1,(Assumptions!$G$458)*(Assumptions!$H$466),AW953*IFERROR(MIN(IF(YEAR(AW3)&gt;YEAR(Assumptions!$G$12),0,(Assumptions!$H$466-(Assumptions!$G$458)*(Assumptions!$H$466))/(YEAR(EDATE(Assumptions!$G$298,12*10))-YEAR(Assumptions!$G$298))+AV1282),(Assumptions!$H$466)),0)),Assumptions!$H$466)</f>
        <v>0</v>
      </c>
      <c r="AX1282" s="89">
        <f ca="1">+MIN(IF(SUM($H$953:AX953)=1,(Assumptions!$G$458)*(Assumptions!$H$466),AX953*IFERROR(MIN(IF(YEAR(AX3)&gt;YEAR(Assumptions!$G$12),0,(Assumptions!$H$466-(Assumptions!$G$458)*(Assumptions!$H$466))/(YEAR(EDATE(Assumptions!$G$298,12*10))-YEAR(Assumptions!$G$298))+AW1282),(Assumptions!$H$466)),0)),Assumptions!$H$466)</f>
        <v>0</v>
      </c>
      <c r="AY1282" s="89">
        <f ca="1">+MIN(IF(SUM($H$953:AY953)=1,(Assumptions!$G$458)*(Assumptions!$H$466),AY953*IFERROR(MIN(IF(YEAR(AY3)&gt;YEAR(Assumptions!$G$12),0,(Assumptions!$H$466-(Assumptions!$G$458)*(Assumptions!$H$466))/(YEAR(EDATE(Assumptions!$G$298,12*10))-YEAR(Assumptions!$G$298))+AX1282),(Assumptions!$H$466)),0)),Assumptions!$H$466)</f>
        <v>0</v>
      </c>
      <c r="AZ1282" s="89">
        <f ca="1">+MIN(IF(SUM($H$953:AZ953)=1,(Assumptions!$G$458)*(Assumptions!$H$466),AZ953*IFERROR(MIN(IF(YEAR(AZ3)&gt;YEAR(Assumptions!$G$12),0,(Assumptions!$H$466-(Assumptions!$G$458)*(Assumptions!$H$466))/(YEAR(EDATE(Assumptions!$G$298,12*10))-YEAR(Assumptions!$G$298))+AY1282),(Assumptions!$H$466)),0)),Assumptions!$H$466)</f>
        <v>0</v>
      </c>
      <c r="BA1282" s="89">
        <f ca="1">+MIN(IF(SUM($H$953:BA953)=1,(Assumptions!$G$458)*(Assumptions!$H$466),BA953*IFERROR(MIN(IF(YEAR(BA3)&gt;YEAR(Assumptions!$G$12),0,(Assumptions!$H$466-(Assumptions!$G$458)*(Assumptions!$H$466))/(YEAR(EDATE(Assumptions!$G$298,12*10))-YEAR(Assumptions!$G$298))+AZ1282),(Assumptions!$H$466)),0)),Assumptions!$H$466)</f>
        <v>0</v>
      </c>
      <c r="BB1282" s="89">
        <f ca="1">+MIN(IF(SUM($H$953:BB953)=1,(Assumptions!$G$458)*(Assumptions!$H$466),BB953*IFERROR(MIN(IF(YEAR(BB3)&gt;YEAR(Assumptions!$G$12),0,(Assumptions!$H$466-(Assumptions!$G$458)*(Assumptions!$H$466))/(YEAR(EDATE(Assumptions!$G$298,12*10))-YEAR(Assumptions!$G$298))+BA1282),(Assumptions!$H$466)),0)),Assumptions!$H$466)</f>
        <v>0</v>
      </c>
      <c r="BC1282" s="89">
        <f ca="1">+MIN(IF(SUM($H$953:BC953)=1,(Assumptions!$G$458)*(Assumptions!$H$466),BC953*IFERROR(MIN(IF(YEAR(BC3)&gt;YEAR(Assumptions!$G$12),0,(Assumptions!$H$466-(Assumptions!$G$458)*(Assumptions!$H$466))/(YEAR(EDATE(Assumptions!$G$298,12*10))-YEAR(Assumptions!$G$298))+BB1282),(Assumptions!$H$466)),0)),Assumptions!$H$466)</f>
        <v>0</v>
      </c>
      <c r="BD1282" s="89">
        <f ca="1">+MIN(IF(SUM($H$953:BD953)=1,(Assumptions!$G$458)*(Assumptions!$H$466),BD953*IFERROR(MIN(IF(YEAR(BD3)&gt;YEAR(Assumptions!$G$12),0,(Assumptions!$H$466-(Assumptions!$G$458)*(Assumptions!$H$466))/(YEAR(EDATE(Assumptions!$G$298,12*10))-YEAR(Assumptions!$G$298))+BC1282),(Assumptions!$H$466)),0)),Assumptions!$H$466)</f>
        <v>0</v>
      </c>
      <c r="BE1282" s="89">
        <f ca="1">+MIN(IF(SUM($H$953:BE953)=1,(Assumptions!$G$458)*(Assumptions!$H$466),BE953*IFERROR(MIN(IF(YEAR(BE3)&gt;YEAR(Assumptions!$G$12),0,(Assumptions!$H$466-(Assumptions!$G$458)*(Assumptions!$H$466))/(YEAR(EDATE(Assumptions!$G$298,12*10))-YEAR(Assumptions!$G$298))+BD1282),(Assumptions!$H$466)),0)),Assumptions!$H$466)</f>
        <v>0</v>
      </c>
      <c r="BF1282" s="89">
        <f ca="1">+MIN(IF(SUM($H$953:BF953)=1,(Assumptions!$G$458)*(Assumptions!$H$466),BF953*IFERROR(MIN(IF(YEAR(BF3)&gt;YEAR(Assumptions!$G$12),0,(Assumptions!$H$466-(Assumptions!$G$458)*(Assumptions!$H$466))/(YEAR(EDATE(Assumptions!$G$298,12*10))-YEAR(Assumptions!$G$298))+BE1282),(Assumptions!$H$466)),0)),Assumptions!$H$466)</f>
        <v>0</v>
      </c>
      <c r="BG1282" s="89">
        <f ca="1">+MIN(IF(SUM($H$953:BG953)=1,(Assumptions!$G$458)*(Assumptions!$H$466),BG953*IFERROR(MIN(IF(YEAR(BG3)&gt;YEAR(Assumptions!$G$12),0,(Assumptions!$H$466-(Assumptions!$G$458)*(Assumptions!$H$466))/(YEAR(EDATE(Assumptions!$G$298,12*10))-YEAR(Assumptions!$G$298))+BF1282),(Assumptions!$H$466)),0)),Assumptions!$H$466)</f>
        <v>0</v>
      </c>
      <c r="BH1282" s="89">
        <f ca="1">+MIN(IF(SUM($H$953:BH953)=1,(Assumptions!$G$458)*(Assumptions!$H$466),BH953*IFERROR(MIN(IF(YEAR(BH3)&gt;YEAR(Assumptions!$G$12),0,(Assumptions!$H$466-(Assumptions!$G$458)*(Assumptions!$H$466))/(YEAR(EDATE(Assumptions!$G$298,12*10))-YEAR(Assumptions!$G$298))+BG1282),(Assumptions!$H$466)),0)),Assumptions!$H$466)</f>
        <v>0</v>
      </c>
      <c r="BI1282" s="89">
        <f ca="1">+MIN(IF(SUM($H$953:BI953)=1,(Assumptions!$G$458)*(Assumptions!$H$466),BI953*IFERROR(MIN(IF(YEAR(BI3)&gt;YEAR(Assumptions!$G$12),0,(Assumptions!$H$466-(Assumptions!$G$458)*(Assumptions!$H$466))/(YEAR(EDATE(Assumptions!$G$298,12*10))-YEAR(Assumptions!$G$298))+BH1282),(Assumptions!$H$466)),0)),Assumptions!$H$466)</f>
        <v>0</v>
      </c>
      <c r="BJ1282" s="89">
        <f ca="1">+MIN(IF(SUM($H$953:BJ953)=1,(Assumptions!$G$458)*(Assumptions!$H$466),BJ953*IFERROR(MIN(IF(YEAR(BJ3)&gt;YEAR(Assumptions!$G$12),0,(Assumptions!$H$466-(Assumptions!$G$458)*(Assumptions!$H$466))/(YEAR(EDATE(Assumptions!$G$298,12*10))-YEAR(Assumptions!$G$298))+BI1282),(Assumptions!$H$466)),0)),Assumptions!$H$466)</f>
        <v>0</v>
      </c>
      <c r="BK1282" s="89">
        <f ca="1">+MIN(IF(SUM($H$953:BK953)=1,(Assumptions!$G$458)*(Assumptions!$H$466),BK953*IFERROR(MIN(IF(YEAR(BK3)&gt;YEAR(Assumptions!$G$12),0,(Assumptions!$H$466-(Assumptions!$G$458)*(Assumptions!$H$466))/(YEAR(EDATE(Assumptions!$G$298,12*10))-YEAR(Assumptions!$G$298))+BJ1282),(Assumptions!$H$466)),0)),Assumptions!$H$466)</f>
        <v>0</v>
      </c>
      <c r="BL1282" s="89">
        <f ca="1">+MIN(IF(SUM($H$953:BL953)=1,(Assumptions!$G$458)*(Assumptions!$H$466),BL953*IFERROR(MIN(IF(YEAR(BL3)&gt;YEAR(Assumptions!$G$12),0,(Assumptions!$H$466-(Assumptions!$G$458)*(Assumptions!$H$466))/(YEAR(EDATE(Assumptions!$G$298,12*10))-YEAR(Assumptions!$G$298))+BK1282),(Assumptions!$H$466)),0)),Assumptions!$H$466)</f>
        <v>0</v>
      </c>
      <c r="BM1282" s="89">
        <f ca="1">+MIN(IF(SUM($H$953:BM953)=1,(Assumptions!$G$458)*(Assumptions!$H$466),BM953*IFERROR(MIN(IF(YEAR(BM3)&gt;YEAR(Assumptions!$G$12),0,(Assumptions!$H$466-(Assumptions!$G$458)*(Assumptions!$H$466))/(YEAR(EDATE(Assumptions!$G$298,12*10))-YEAR(Assumptions!$G$298))+BL1282),(Assumptions!$H$466)),0)),Assumptions!$H$466)</f>
        <v>0</v>
      </c>
      <c r="BN1282" s="89">
        <f ca="1">+MIN(IF(SUM($H$953:BN953)=1,(Assumptions!$G$458)*(Assumptions!$H$466),BN953*IFERROR(MIN(IF(YEAR(BN3)&gt;YEAR(Assumptions!$G$12),0,(Assumptions!$H$466-(Assumptions!$G$458)*(Assumptions!$H$466))/(YEAR(EDATE(Assumptions!$G$298,12*10))-YEAR(Assumptions!$G$298))+BM1282),(Assumptions!$H$466)),0)),Assumptions!$H$466)</f>
        <v>0</v>
      </c>
      <c r="BO1282" s="89">
        <f ca="1">+MIN(IF(SUM($H$953:BO953)=1,(Assumptions!$G$458)*(Assumptions!$H$466),BO953*IFERROR(MIN(IF(YEAR(BO3)&gt;YEAR(Assumptions!$G$12),0,(Assumptions!$H$466-(Assumptions!$G$458)*(Assumptions!$H$466))/(YEAR(EDATE(Assumptions!$G$298,12*10))-YEAR(Assumptions!$G$298))+BN1282),(Assumptions!$H$466)),0)),Assumptions!$H$466)</f>
        <v>0</v>
      </c>
      <c r="BP1282" s="89">
        <f ca="1">+MIN(IF(SUM($H$953:BP953)=1,(Assumptions!$G$458)*(Assumptions!$H$466),BP953*IFERROR(MIN(IF(YEAR(BP3)&gt;YEAR(Assumptions!$G$12),0,(Assumptions!$H$466-(Assumptions!$G$458)*(Assumptions!$H$466))/(YEAR(EDATE(Assumptions!$G$298,12*10))-YEAR(Assumptions!$G$298))+BO1282),(Assumptions!$H$466)),0)),Assumptions!$H$466)</f>
        <v>0</v>
      </c>
      <c r="BQ1282" s="89">
        <f ca="1">+MIN(IF(SUM($H$953:BQ953)=1,(Assumptions!$G$458)*(Assumptions!$H$466),BQ953*IFERROR(MIN(IF(YEAR(BQ3)&gt;YEAR(Assumptions!$G$12),0,(Assumptions!$H$466-(Assumptions!$G$458)*(Assumptions!$H$466))/(YEAR(EDATE(Assumptions!$G$298,12*10))-YEAR(Assumptions!$G$298))+BP1282),(Assumptions!$H$466)),0)),Assumptions!$H$466)</f>
        <v>0</v>
      </c>
      <c r="BR1282" s="89">
        <f ca="1">+MIN(IF(SUM($H$953:BR953)=1,(Assumptions!$G$458)*(Assumptions!$H$466),BR953*IFERROR(MIN(IF(YEAR(BR3)&gt;YEAR(Assumptions!$G$12),0,(Assumptions!$H$466-(Assumptions!$G$458)*(Assumptions!$H$466))/(YEAR(EDATE(Assumptions!$G$298,12*10))-YEAR(Assumptions!$G$298))+BQ1282),(Assumptions!$H$466)),0)),Assumptions!$H$466)</f>
        <v>0</v>
      </c>
      <c r="BS1282" s="89">
        <f ca="1">+MIN(IF(SUM($H$953:BS953)=1,(Assumptions!$G$458)*(Assumptions!$H$466),BS953*IFERROR(MIN(IF(YEAR(BS3)&gt;YEAR(Assumptions!$G$12),0,(Assumptions!$H$466-(Assumptions!$G$458)*(Assumptions!$H$466))/(YEAR(EDATE(Assumptions!$G$298,12*10))-YEAR(Assumptions!$G$298))+BR1282),(Assumptions!$H$466)),0)),Assumptions!$H$466)</f>
        <v>0</v>
      </c>
      <c r="BT1282" s="89">
        <f ca="1">+MIN(IF(SUM($H$953:BT953)=1,(Assumptions!$G$458)*(Assumptions!$H$466),BT953*IFERROR(MIN(IF(YEAR(BT3)&gt;YEAR(Assumptions!$G$12),0,(Assumptions!$H$466-(Assumptions!$G$458)*(Assumptions!$H$466))/(YEAR(EDATE(Assumptions!$G$298,12*10))-YEAR(Assumptions!$G$298))+BS1282),(Assumptions!$H$466)),0)),Assumptions!$H$466)</f>
        <v>0</v>
      </c>
      <c r="BU1282" s="89">
        <f ca="1">+MIN(IF(SUM($H$953:BU953)=1,(Assumptions!$G$458)*(Assumptions!$H$466),BU953*IFERROR(MIN(IF(YEAR(BU3)&gt;YEAR(Assumptions!$G$12),0,(Assumptions!$H$466-(Assumptions!$G$458)*(Assumptions!$H$466))/(YEAR(EDATE(Assumptions!$G$298,12*10))-YEAR(Assumptions!$G$298))+BT1282),(Assumptions!$H$466)),0)),Assumptions!$H$466)</f>
        <v>0</v>
      </c>
      <c r="BV1282" s="89">
        <f ca="1">+MIN(IF(SUM($H$953:BV953)=1,(Assumptions!$G$458)*(Assumptions!$H$466),BV953*IFERROR(MIN(IF(YEAR(BV3)&gt;YEAR(Assumptions!$G$12),0,(Assumptions!$H$466-(Assumptions!$G$458)*(Assumptions!$H$466))/(YEAR(EDATE(Assumptions!$G$298,12*10))-YEAR(Assumptions!$G$298))+BU1282),(Assumptions!$H$466)),0)),Assumptions!$H$466)</f>
        <v>0</v>
      </c>
      <c r="BW1282" s="89">
        <f ca="1">+MIN(IF(SUM($H$953:BW953)=1,(Assumptions!$G$458)*(Assumptions!$H$466),BW953*IFERROR(MIN(IF(YEAR(BW3)&gt;YEAR(Assumptions!$G$12),0,(Assumptions!$H$466-(Assumptions!$G$458)*(Assumptions!$H$466))/(YEAR(EDATE(Assumptions!$G$298,12*10))-YEAR(Assumptions!$G$298))+BV1282),(Assumptions!$H$466)),0)),Assumptions!$H$466)</f>
        <v>0</v>
      </c>
      <c r="BX1282" s="89">
        <f ca="1">+MIN(IF(SUM($H$953:BX953)=1,(Assumptions!$G$458)*(Assumptions!$H$466),BX953*IFERROR(MIN(IF(YEAR(BX3)&gt;YEAR(Assumptions!$G$12),0,(Assumptions!$H$466-(Assumptions!$G$458)*(Assumptions!$H$466))/(YEAR(EDATE(Assumptions!$G$298,12*10))-YEAR(Assumptions!$G$298))+BW1282),(Assumptions!$H$466)),0)),Assumptions!$H$466)</f>
        <v>0</v>
      </c>
      <c r="BY1282" s="89">
        <f ca="1">+MIN(IF(SUM($H$953:BY953)=1,(Assumptions!$G$458)*(Assumptions!$H$466),BY953*IFERROR(MIN(IF(YEAR(BY3)&gt;YEAR(Assumptions!$G$12),0,(Assumptions!$H$466-(Assumptions!$G$458)*(Assumptions!$H$466))/(YEAR(EDATE(Assumptions!$G$298,12*10))-YEAR(Assumptions!$G$298))+BX1282),(Assumptions!$H$466)),0)),Assumptions!$H$466)</f>
        <v>0</v>
      </c>
    </row>
    <row r="1283" spans="5:77" s="771" customFormat="1" outlineLevel="1">
      <c r="E1283" s="33" t="s">
        <v>623</v>
      </c>
      <c r="F1283" s="775" t="s">
        <v>356</v>
      </c>
      <c r="G1283"/>
      <c r="H1283" s="89">
        <f>+IF(Assumptions!$G$461="Yes",Assumptions!$G$464*H434*H1282,0)</f>
        <v>0</v>
      </c>
      <c r="I1283" s="89">
        <f>+IF(Assumptions!$G$461="Yes",Assumptions!$G$464*I434*I1282,0)</f>
        <v>0</v>
      </c>
      <c r="J1283" s="89">
        <f>+IF(Assumptions!$G$461="Yes",Assumptions!$G$464*J434*J1282,0)</f>
        <v>0</v>
      </c>
      <c r="K1283" s="89">
        <f>+IF(Assumptions!$G$461="Yes",Assumptions!$G$464*K434*K1282,0)</f>
        <v>0</v>
      </c>
      <c r="L1283" s="89">
        <f>+IF(Assumptions!$G$461="Yes",Assumptions!$G$464*L434*L1282,0)</f>
        <v>0</v>
      </c>
      <c r="M1283" s="89">
        <f>+IF(Assumptions!$G$461="Yes",Assumptions!$G$464*M434*M1282,0)</f>
        <v>0</v>
      </c>
      <c r="N1283" s="89">
        <f>+IF(Assumptions!$G$461="Yes",Assumptions!$G$464*N434*N1282,0)</f>
        <v>0</v>
      </c>
      <c r="O1283" s="89">
        <f>+IF(Assumptions!$G$461="Yes",Assumptions!$G$464*O434*O1282,0)</f>
        <v>0</v>
      </c>
      <c r="P1283" s="89">
        <f>+IF(Assumptions!$G$461="Yes",Assumptions!$G$464*P434*P1282,0)</f>
        <v>0</v>
      </c>
      <c r="Q1283" s="89">
        <f>+IF(Assumptions!$G$461="Yes",Assumptions!$G$464*Q434*Q1282,0)</f>
        <v>0</v>
      </c>
      <c r="R1283" s="89">
        <f>+IF(Assumptions!$G$461="Yes",Assumptions!$G$464*R434*R1282,0)</f>
        <v>0</v>
      </c>
      <c r="S1283" s="89">
        <f>+IF(Assumptions!$G$461="Yes",Assumptions!$G$464*S434*S1282,0)</f>
        <v>0</v>
      </c>
      <c r="T1283" s="89">
        <f>+IF(Assumptions!$G$461="Yes",Assumptions!$G$464*T434*T1282,0)</f>
        <v>0</v>
      </c>
      <c r="U1283" s="89">
        <f>+IF(Assumptions!$G$461="Yes",Assumptions!$G$464*U434*U1282,0)</f>
        <v>0</v>
      </c>
      <c r="V1283" s="89">
        <f>+IF(Assumptions!$G$461="Yes",Assumptions!$G$464*V434*V1282,0)</f>
        <v>0</v>
      </c>
      <c r="W1283" s="89">
        <f>+IF(Assumptions!$G$461="Yes",Assumptions!$G$464*W434*W1282,0)</f>
        <v>0</v>
      </c>
      <c r="X1283" s="89">
        <f>+IF(Assumptions!$G$461="Yes",Assumptions!$G$464*X434*X1282,0)</f>
        <v>0</v>
      </c>
      <c r="Y1283" s="89">
        <f>+IF(Assumptions!$G$461="Yes",Assumptions!$G$464*Y434*Y1282,0)</f>
        <v>0</v>
      </c>
      <c r="Z1283" s="89">
        <f>+IF(Assumptions!$G$461="Yes",Assumptions!$G$464*Z434*Z1282,0)</f>
        <v>0</v>
      </c>
      <c r="AA1283" s="89">
        <f>+IF(Assumptions!$G$461="Yes",Assumptions!$G$464*AA434*AA1282,0)</f>
        <v>0</v>
      </c>
      <c r="AB1283" s="89">
        <f>+IF(Assumptions!$G$461="Yes",Assumptions!$G$464*AB434*AB1282,0)</f>
        <v>0</v>
      </c>
      <c r="AC1283" s="89">
        <f>+IF(Assumptions!$G$461="Yes",Assumptions!$G$464*AC434*AC1282,0)</f>
        <v>0</v>
      </c>
      <c r="AD1283" s="89">
        <f>+IF(Assumptions!$G$461="Yes",Assumptions!$G$464*AD434*AD1282,0)</f>
        <v>0</v>
      </c>
      <c r="AE1283" s="89">
        <f>+IF(Assumptions!$G$461="Yes",Assumptions!$G$464*AE434*AE1282,0)</f>
        <v>0</v>
      </c>
      <c r="AF1283" s="89">
        <f>+IF(Assumptions!$G$461="Yes",Assumptions!$G$464*AF434*AF1282,0)</f>
        <v>0</v>
      </c>
      <c r="AG1283" s="89">
        <f>+IF(Assumptions!$G$461="Yes",Assumptions!$G$464*AG434*AG1282,0)</f>
        <v>0</v>
      </c>
      <c r="AH1283" s="89">
        <f>+IF(Assumptions!$G$461="Yes",Assumptions!$G$464*AH434*AH1282,0)</f>
        <v>0</v>
      </c>
      <c r="AI1283" s="89">
        <f>+IF(Assumptions!$G$461="Yes",Assumptions!$G$464*AI434*AI1282,0)</f>
        <v>0</v>
      </c>
      <c r="AJ1283" s="89">
        <f>+IF(Assumptions!$G$461="Yes",Assumptions!$G$464*AJ434*AJ1282,0)</f>
        <v>0</v>
      </c>
      <c r="AK1283" s="89">
        <f>+IF(Assumptions!$G$461="Yes",Assumptions!$G$464*AK434*AK1282,0)</f>
        <v>0</v>
      </c>
      <c r="AL1283" s="89">
        <f>+IF(Assumptions!$G$461="Yes",Assumptions!$G$464*AL434*AL1282,0)</f>
        <v>0</v>
      </c>
      <c r="AM1283" s="89">
        <f>+IF(Assumptions!$G$461="Yes",Assumptions!$G$464*AM434*AM1282,0)</f>
        <v>0</v>
      </c>
      <c r="AN1283" s="89">
        <f>+IF(Assumptions!$G$461="Yes",Assumptions!$G$464*AN434*AN1282,0)</f>
        <v>0</v>
      </c>
      <c r="AO1283" s="89">
        <f>+IF(Assumptions!$G$461="Yes",Assumptions!$G$464*AO434*AO1282,0)</f>
        <v>0</v>
      </c>
      <c r="AP1283" s="89">
        <f>+IF(Assumptions!$G$461="Yes",Assumptions!$G$464*AP434*AP1282,0)</f>
        <v>0</v>
      </c>
      <c r="AQ1283" s="89">
        <f>+IF(Assumptions!$G$461="Yes",Assumptions!$G$464*AQ434*AQ1282,0)</f>
        <v>0</v>
      </c>
      <c r="AR1283" s="89">
        <f>+IF(Assumptions!$G$461="Yes",Assumptions!$G$464*AR434*AR1282,0)</f>
        <v>0</v>
      </c>
      <c r="AS1283" s="89">
        <f>+IF(Assumptions!$G$461="Yes",Assumptions!$G$464*AS434*AS1282,0)</f>
        <v>0</v>
      </c>
      <c r="AT1283" s="89">
        <f>+IF(Assumptions!$G$461="Yes",Assumptions!$G$464*AT434*AT1282,0)</f>
        <v>0</v>
      </c>
      <c r="AU1283" s="89">
        <f>+IF(Assumptions!$G$461="Yes",Assumptions!$G$464*AU434*AU1282,0)</f>
        <v>0</v>
      </c>
      <c r="AV1283" s="89">
        <f>+IF(Assumptions!$G$461="Yes",Assumptions!$G$464*AV434*AV1282,0)</f>
        <v>0</v>
      </c>
      <c r="AW1283" s="89">
        <f>+IF(Assumptions!$G$461="Yes",Assumptions!$G$464*AW434*AW1282,0)</f>
        <v>0</v>
      </c>
      <c r="AX1283" s="89">
        <f>+IF(Assumptions!$G$461="Yes",Assumptions!$G$464*AX434*AX1282,0)</f>
        <v>0</v>
      </c>
      <c r="AY1283" s="89">
        <f>+IF(Assumptions!$G$461="Yes",Assumptions!$G$464*AY434*AY1282,0)</f>
        <v>0</v>
      </c>
      <c r="AZ1283" s="89">
        <f>+IF(Assumptions!$G$461="Yes",Assumptions!$G$464*AZ434*AZ1282,0)</f>
        <v>0</v>
      </c>
      <c r="BA1283" s="89">
        <f>+IF(Assumptions!$G$461="Yes",Assumptions!$G$464*BA434*BA1282,0)</f>
        <v>0</v>
      </c>
      <c r="BB1283" s="89">
        <f>+IF(Assumptions!$G$461="Yes",Assumptions!$G$464*BB434*BB1282,0)</f>
        <v>0</v>
      </c>
      <c r="BC1283" s="89">
        <f>+IF(Assumptions!$G$461="Yes",Assumptions!$G$464*BC434*BC1282,0)</f>
        <v>0</v>
      </c>
      <c r="BD1283" s="89">
        <f>+IF(Assumptions!$G$461="Yes",Assumptions!$G$464*BD434*BD1282,0)</f>
        <v>0</v>
      </c>
      <c r="BE1283" s="89">
        <f>+IF(Assumptions!$G$461="Yes",Assumptions!$G$464*BE434*BE1282,0)</f>
        <v>0</v>
      </c>
      <c r="BF1283" s="89">
        <f>+IF(Assumptions!$G$461="Yes",Assumptions!$G$464*BF434*BF1282,0)</f>
        <v>0</v>
      </c>
      <c r="BG1283" s="89">
        <f>+IF(Assumptions!$G$461="Yes",Assumptions!$G$464*BG434*BG1282,0)</f>
        <v>0</v>
      </c>
      <c r="BH1283" s="89">
        <f>+IF(Assumptions!$G$461="Yes",Assumptions!$G$464*BH434*BH1282,0)</f>
        <v>0</v>
      </c>
      <c r="BI1283" s="89">
        <f>+IF(Assumptions!$G$461="Yes",Assumptions!$G$464*BI434*BI1282,0)</f>
        <v>0</v>
      </c>
      <c r="BJ1283" s="89">
        <f>+IF(Assumptions!$G$461="Yes",Assumptions!$G$464*BJ434*BJ1282,0)</f>
        <v>0</v>
      </c>
      <c r="BK1283" s="89">
        <f>+IF(Assumptions!$G$461="Yes",Assumptions!$G$464*BK434*BK1282,0)</f>
        <v>0</v>
      </c>
      <c r="BL1283" s="89">
        <f>+IF(Assumptions!$G$461="Yes",Assumptions!$G$464*BL434*BL1282,0)</f>
        <v>0</v>
      </c>
      <c r="BM1283" s="89">
        <f>+IF(Assumptions!$G$461="Yes",Assumptions!$G$464*BM434*BM1282,0)</f>
        <v>0</v>
      </c>
      <c r="BN1283" s="89">
        <f>+IF(Assumptions!$G$461="Yes",Assumptions!$G$464*BN434*BN1282,0)</f>
        <v>0</v>
      </c>
      <c r="BO1283" s="89">
        <f>+IF(Assumptions!$G$461="Yes",Assumptions!$G$464*BO434*BO1282,0)</f>
        <v>0</v>
      </c>
      <c r="BP1283" s="89">
        <f>+IF(Assumptions!$G$461="Yes",Assumptions!$G$464*BP434*BP1282,0)</f>
        <v>0</v>
      </c>
      <c r="BQ1283" s="89">
        <f>+IF(Assumptions!$G$461="Yes",Assumptions!$G$464*BQ434*BQ1282,0)</f>
        <v>0</v>
      </c>
      <c r="BR1283" s="89">
        <f>+IF(Assumptions!$G$461="Yes",Assumptions!$G$464*BR434*BR1282,0)</f>
        <v>0</v>
      </c>
      <c r="BS1283" s="89">
        <f>+IF(Assumptions!$G$461="Yes",Assumptions!$G$464*BS434*BS1282,0)</f>
        <v>0</v>
      </c>
      <c r="BT1283" s="89">
        <f>+IF(Assumptions!$G$461="Yes",Assumptions!$G$464*BT434*BT1282,0)</f>
        <v>0</v>
      </c>
      <c r="BU1283" s="89">
        <f>+IF(Assumptions!$G$461="Yes",Assumptions!$G$464*BU434*BU1282,0)</f>
        <v>0</v>
      </c>
      <c r="BV1283" s="89">
        <f>+IF(Assumptions!$G$461="Yes",Assumptions!$G$464*BV434*BV1282,0)</f>
        <v>0</v>
      </c>
      <c r="BW1283" s="89">
        <f>+IF(Assumptions!$G$461="Yes",Assumptions!$G$464*BW434*BW1282,0)</f>
        <v>0</v>
      </c>
      <c r="BX1283" s="89">
        <f>+IF(Assumptions!$G$461="Yes",Assumptions!$G$464*BX434*BX1282,0)</f>
        <v>0</v>
      </c>
      <c r="BY1283" s="89">
        <f>+IF(Assumptions!$G$461="Yes",Assumptions!$G$464*BY434*BY1282,0)</f>
        <v>0</v>
      </c>
    </row>
    <row r="1284" spans="5:77" s="771" customFormat="1" ht="15" outlineLevel="1">
      <c r="E1284" s="22"/>
      <c r="F1284"/>
      <c r="G1284"/>
      <c r="H1284" s="89"/>
      <c r="I1284" s="89"/>
      <c r="J1284" s="89"/>
      <c r="K1284" s="89"/>
      <c r="L1284" s="89"/>
      <c r="M1284" s="89"/>
      <c r="N1284" s="89"/>
      <c r="O1284" s="89"/>
      <c r="P1284" s="89"/>
      <c r="Q1284" s="89"/>
      <c r="R1284" s="89"/>
      <c r="S1284" s="89"/>
      <c r="T1284" s="89"/>
      <c r="U1284" s="89"/>
      <c r="V1284" s="89"/>
      <c r="W1284" s="89"/>
      <c r="X1284" s="89"/>
      <c r="Y1284" s="89"/>
      <c r="Z1284" s="89"/>
      <c r="AA1284" s="89"/>
      <c r="AB1284" s="89"/>
      <c r="AC1284" s="89"/>
      <c r="AD1284" s="89"/>
      <c r="AE1284" s="89"/>
      <c r="AF1284" s="89"/>
      <c r="AG1284" s="89"/>
      <c r="AH1284" s="89"/>
      <c r="AI1284" s="89"/>
      <c r="AJ1284" s="89"/>
      <c r="AK1284" s="89"/>
      <c r="AL1284" s="89"/>
      <c r="AM1284" s="89"/>
      <c r="AN1284" s="89"/>
      <c r="AO1284" s="89"/>
      <c r="AP1284" s="89"/>
      <c r="AQ1284" s="89"/>
      <c r="AR1284" s="89"/>
      <c r="AS1284" s="89"/>
      <c r="AT1284" s="89"/>
      <c r="AU1284" s="89"/>
      <c r="AV1284" s="89"/>
      <c r="AW1284" s="89"/>
      <c r="AX1284" s="89"/>
      <c r="AY1284" s="89"/>
      <c r="AZ1284" s="89"/>
      <c r="BA1284" s="89"/>
      <c r="BB1284" s="89"/>
      <c r="BC1284" s="89"/>
      <c r="BD1284" s="89"/>
      <c r="BE1284" s="89"/>
      <c r="BF1284" s="89"/>
      <c r="BG1284" s="89"/>
      <c r="BH1284" s="89"/>
      <c r="BI1284" s="89"/>
      <c r="BJ1284" s="89"/>
      <c r="BK1284" s="89"/>
      <c r="BL1284" s="89"/>
      <c r="BM1284" s="89"/>
      <c r="BN1284" s="89"/>
      <c r="BO1284" s="89"/>
      <c r="BP1284" s="89"/>
      <c r="BQ1284" s="89"/>
      <c r="BR1284" s="89"/>
      <c r="BS1284" s="89"/>
      <c r="BT1284" s="89"/>
      <c r="BU1284" s="89"/>
      <c r="BV1284" s="89"/>
      <c r="BW1284" s="89"/>
      <c r="BX1284" s="89"/>
      <c r="BY1284" s="89"/>
    </row>
    <row r="1285" spans="5:77" s="771" customFormat="1" outlineLevel="1">
      <c r="E1285" t="s">
        <v>628</v>
      </c>
      <c r="F1285" s="772" t="s">
        <v>622</v>
      </c>
      <c r="G1285"/>
      <c r="H1285" s="137">
        <f ca="1">+MIN(IF(SUM($H$953:H953)=1,Assumptions!$G$469*(Assumptions!$G$467),H953*IFERROR(MIN(IF(YEAR(H3)&gt;YEAR(Assumptions!$G$12),0,(Assumptions!$G$467-Assumptions!$G$469*(Assumptions!$G$467))/(YEAR(EDATE(Assumptions!$G$298,12*10))-YEAR(Assumptions!$G$298))+G1285),(Assumptions!$G$467)),0)),Assumptions!$G$467)</f>
        <v>0</v>
      </c>
      <c r="I1285" s="137">
        <f ca="1">+MIN(IF(SUM($H$953:I953)=1,Assumptions!$G$469*(Assumptions!$G$467),I953*IFERROR(MIN(IF(YEAR(I3)&gt;YEAR(Assumptions!$G$12),0,(Assumptions!$G$467-Assumptions!$G$469*(Assumptions!$G$467))/(YEAR(EDATE(Assumptions!$G$298,12*10))-YEAR(Assumptions!$G$298))+H1285),(Assumptions!$G$467)),0)),Assumptions!$G$467)</f>
        <v>0</v>
      </c>
      <c r="J1285" s="137">
        <f ca="1">+MIN(IF(SUM($H$953:J953)=1,Assumptions!$G$469*(Assumptions!$G$467),J953*IFERROR(MIN(IF(YEAR(J3)&gt;YEAR(Assumptions!$G$12),0,(Assumptions!$G$467-Assumptions!$G$469*(Assumptions!$G$467))/(YEAR(EDATE(Assumptions!$G$298,12*10))-YEAR(Assumptions!$G$298))+I1285),(Assumptions!$G$467)),0)),Assumptions!$G$467)</f>
        <v>0</v>
      </c>
      <c r="K1285" s="137">
        <f ca="1">+MIN(IF(SUM($H$953:K953)=1,Assumptions!$G$469*(Assumptions!$G$467),K953*IFERROR(MIN(IF(YEAR(K3)&gt;YEAR(Assumptions!$G$12),0,(Assumptions!$G$467-Assumptions!$G$469*(Assumptions!$G$467))/(YEAR(EDATE(Assumptions!$G$298,12*10))-YEAR(Assumptions!$G$298))+J1285),(Assumptions!$G$467)),0)),Assumptions!$G$467)</f>
        <v>0</v>
      </c>
      <c r="L1285" s="137">
        <f ca="1">+MIN(IF(SUM($H$953:L953)=1,Assumptions!$G$469*(Assumptions!$G$467),L953*IFERROR(MIN(IF(YEAR(L3)&gt;YEAR(Assumptions!$G$12),0,(Assumptions!$G$467-Assumptions!$G$469*(Assumptions!$G$467))/(YEAR(EDATE(Assumptions!$G$298,12*10))-YEAR(Assumptions!$G$298))+K1285),(Assumptions!$G$467)),0)),Assumptions!$G$467)</f>
        <v>5.2823368656386191E-2</v>
      </c>
      <c r="M1285" s="137">
        <f ca="1">+MIN(IF(SUM($H$953:M953)=1,Assumptions!$G$469*(Assumptions!$G$467),M953*IFERROR(MIN(IF(YEAR(M3)&gt;YEAR(Assumptions!$G$12),0,(Assumptions!$G$467-Assumptions!$G$469*(Assumptions!$G$467))/(YEAR(EDATE(Assumptions!$G$298,12*10))-YEAR(Assumptions!$G$298))+L1285),(Assumptions!$G$467)),0)),Assumptions!$G$467)</f>
        <v>0.10564673731277238</v>
      </c>
      <c r="N1285" s="137">
        <f ca="1">+MIN(IF(SUM($H$953:N953)=1,Assumptions!$G$469*(Assumptions!$G$467),N953*IFERROR(MIN(IF(YEAR(N3)&gt;YEAR(Assumptions!$G$12),0,(Assumptions!$G$467-Assumptions!$G$469*(Assumptions!$G$467))/(YEAR(EDATE(Assumptions!$G$298,12*10))-YEAR(Assumptions!$G$298))+M1285),(Assumptions!$G$467)),0)),Assumptions!$G$467)</f>
        <v>0.15847010596915856</v>
      </c>
      <c r="O1285" s="137">
        <f ca="1">+MIN(IF(SUM($H$953:O953)=1,Assumptions!$G$469*(Assumptions!$G$467),O953*IFERROR(MIN(IF(YEAR(O3)&gt;YEAR(Assumptions!$G$12),0,(Assumptions!$G$467-Assumptions!$G$469*(Assumptions!$G$467))/(YEAR(EDATE(Assumptions!$G$298,12*10))-YEAR(Assumptions!$G$298))+N1285),(Assumptions!$G$467)),0)),Assumptions!$G$467)</f>
        <v>0.21129347462554476</v>
      </c>
      <c r="P1285" s="137">
        <f ca="1">+MIN(IF(SUM($H$953:P953)=1,Assumptions!$G$469*(Assumptions!$G$467),P953*IFERROR(MIN(IF(YEAR(P3)&gt;YEAR(Assumptions!$G$12),0,(Assumptions!$G$467-Assumptions!$G$469*(Assumptions!$G$467))/(YEAR(EDATE(Assumptions!$G$298,12*10))-YEAR(Assumptions!$G$298))+O1285),(Assumptions!$G$467)),0)),Assumptions!$G$467)</f>
        <v>0.26411684328193097</v>
      </c>
      <c r="Q1285" s="137">
        <f ca="1">+MIN(IF(SUM($H$953:Q953)=1,Assumptions!$G$469*(Assumptions!$G$467),Q953*IFERROR(MIN(IF(YEAR(Q3)&gt;YEAR(Assumptions!$G$12),0,(Assumptions!$G$467-Assumptions!$G$469*(Assumptions!$G$467))/(YEAR(EDATE(Assumptions!$G$298,12*10))-YEAR(Assumptions!$G$298))+P1285),(Assumptions!$G$467)),0)),Assumptions!$G$467)</f>
        <v>0.31694021193831717</v>
      </c>
      <c r="R1285" s="137">
        <f ca="1">+MIN(IF(SUM($H$953:R953)=1,Assumptions!$G$469*(Assumptions!$G$467),R953*IFERROR(MIN(IF(YEAR(R3)&gt;YEAR(Assumptions!$G$12),0,(Assumptions!$G$467-Assumptions!$G$469*(Assumptions!$G$467))/(YEAR(EDATE(Assumptions!$G$298,12*10))-YEAR(Assumptions!$G$298))+Q1285),(Assumptions!$G$467)),0)),Assumptions!$G$467)</f>
        <v>0.36976358059470338</v>
      </c>
      <c r="S1285" s="137">
        <f ca="1">+MIN(IF(SUM($H$953:S953)=1,Assumptions!$G$469*(Assumptions!$G$467),S953*IFERROR(MIN(IF(YEAR(S3)&gt;YEAR(Assumptions!$G$12),0,(Assumptions!$G$467-Assumptions!$G$469*(Assumptions!$G$467))/(YEAR(EDATE(Assumptions!$G$298,12*10))-YEAR(Assumptions!$G$298))+R1285),(Assumptions!$G$467)),0)),Assumptions!$G$467)</f>
        <v>0.42258694925108958</v>
      </c>
      <c r="T1285" s="137">
        <f ca="1">+MIN(IF(SUM($H$953:T953)=1,Assumptions!$G$469*(Assumptions!$G$467),T953*IFERROR(MIN(IF(YEAR(T3)&gt;YEAR(Assumptions!$G$12),0,(Assumptions!$G$467-Assumptions!$G$469*(Assumptions!$G$467))/(YEAR(EDATE(Assumptions!$G$298,12*10))-YEAR(Assumptions!$G$298))+S1285),(Assumptions!$G$467)),0)),Assumptions!$G$467)</f>
        <v>0.47541031790747579</v>
      </c>
      <c r="U1285" s="137">
        <f ca="1">+MIN(IF(SUM($H$953:U953)=1,Assumptions!$G$469*(Assumptions!$G$467),U953*IFERROR(MIN(IF(YEAR(U3)&gt;YEAR(Assumptions!$G$12),0,(Assumptions!$G$467-Assumptions!$G$469*(Assumptions!$G$467))/(YEAR(EDATE(Assumptions!$G$298,12*10))-YEAR(Assumptions!$G$298))+T1285),(Assumptions!$G$467)),0)),Assumptions!$G$467)</f>
        <v>0.52823368656386194</v>
      </c>
      <c r="V1285" s="137">
        <f ca="1">+MIN(IF(SUM($H$953:V953)=1,Assumptions!$G$469*(Assumptions!$G$467),V953*IFERROR(MIN(IF(YEAR(V3)&gt;YEAR(Assumptions!$G$12),0,(Assumptions!$G$467-Assumptions!$G$469*(Assumptions!$G$467))/(YEAR(EDATE(Assumptions!$G$298,12*10))-YEAR(Assumptions!$G$298))+U1285),(Assumptions!$G$467)),0)),Assumptions!$G$467)</f>
        <v>0.52823368656386194</v>
      </c>
      <c r="W1285" s="137">
        <f ca="1">+MIN(IF(SUM($H$953:W953)=1,Assumptions!$G$469*(Assumptions!$G$467),W953*IFERROR(MIN(IF(YEAR(W3)&gt;YEAR(Assumptions!$G$12),0,(Assumptions!$G$467-Assumptions!$G$469*(Assumptions!$G$467))/(YEAR(EDATE(Assumptions!$G$298,12*10))-YEAR(Assumptions!$G$298))+V1285),(Assumptions!$G$467)),0)),Assumptions!$G$467)</f>
        <v>0.52823368656386194</v>
      </c>
      <c r="X1285" s="137">
        <f ca="1">+MIN(IF(SUM($H$953:X953)=1,Assumptions!$G$469*(Assumptions!$G$467),X953*IFERROR(MIN(IF(YEAR(X3)&gt;YEAR(Assumptions!$G$12),0,(Assumptions!$G$467-Assumptions!$G$469*(Assumptions!$G$467))/(YEAR(EDATE(Assumptions!$G$298,12*10))-YEAR(Assumptions!$G$298))+W1285),(Assumptions!$G$467)),0)),Assumptions!$G$467)</f>
        <v>0.52823368656386194</v>
      </c>
      <c r="Y1285" s="137">
        <f ca="1">+MIN(IF(SUM($H$953:Y953)=1,Assumptions!$G$469*(Assumptions!$G$467),Y953*IFERROR(MIN(IF(YEAR(Y3)&gt;YEAR(Assumptions!$G$12),0,(Assumptions!$G$467-Assumptions!$G$469*(Assumptions!$G$467))/(YEAR(EDATE(Assumptions!$G$298,12*10))-YEAR(Assumptions!$G$298))+X1285),(Assumptions!$G$467)),0)),Assumptions!$G$467)</f>
        <v>0.52823368656386194</v>
      </c>
      <c r="Z1285" s="137">
        <f ca="1">+MIN(IF(SUM($H$953:Z953)=1,Assumptions!$G$469*(Assumptions!$G$467),Z953*IFERROR(MIN(IF(YEAR(Z3)&gt;YEAR(Assumptions!$G$12),0,(Assumptions!$G$467-Assumptions!$G$469*(Assumptions!$G$467))/(YEAR(EDATE(Assumptions!$G$298,12*10))-YEAR(Assumptions!$G$298))+Y1285),(Assumptions!$G$467)),0)),Assumptions!$G$467)</f>
        <v>0</v>
      </c>
      <c r="AA1285" s="137">
        <f ca="1">+MIN(IF(SUM($H$953:AA953)=1,Assumptions!$G$469*(Assumptions!$G$467),AA953*IFERROR(MIN(IF(YEAR(AA3)&gt;YEAR(Assumptions!$G$12),0,(Assumptions!$G$467-Assumptions!$G$469*(Assumptions!$G$467))/(YEAR(EDATE(Assumptions!$G$298,12*10))-YEAR(Assumptions!$G$298))+Z1285),(Assumptions!$G$467)),0)),Assumptions!$G$467)</f>
        <v>0</v>
      </c>
      <c r="AB1285" s="137">
        <f ca="1">+MIN(IF(SUM($H$953:AB953)=1,Assumptions!$G$469*(Assumptions!$G$467),AB953*IFERROR(MIN(IF(YEAR(AB3)&gt;YEAR(Assumptions!$G$12),0,(Assumptions!$G$467-Assumptions!$G$469*(Assumptions!$G$467))/(YEAR(EDATE(Assumptions!$G$298,12*10))-YEAR(Assumptions!$G$298))+AA1285),(Assumptions!$G$467)),0)),Assumptions!$G$467)</f>
        <v>0</v>
      </c>
      <c r="AC1285" s="137">
        <f ca="1">+MIN(IF(SUM($H$953:AC953)=1,Assumptions!$G$469*(Assumptions!$G$467),AC953*IFERROR(MIN(IF(YEAR(AC3)&gt;YEAR(Assumptions!$G$12),0,(Assumptions!$G$467-Assumptions!$G$469*(Assumptions!$G$467))/(YEAR(EDATE(Assumptions!$G$298,12*10))-YEAR(Assumptions!$G$298))+AB1285),(Assumptions!$G$467)),0)),Assumptions!$G$467)</f>
        <v>0</v>
      </c>
      <c r="AD1285" s="137">
        <f ca="1">+MIN(IF(SUM($H$953:AD953)=1,Assumptions!$G$469*(Assumptions!$G$467),AD953*IFERROR(MIN(IF(YEAR(AD3)&gt;YEAR(Assumptions!$G$12),0,(Assumptions!$G$467-Assumptions!$G$469*(Assumptions!$G$467))/(YEAR(EDATE(Assumptions!$G$298,12*10))-YEAR(Assumptions!$G$298))+AC1285),(Assumptions!$G$467)),0)),Assumptions!$G$467)</f>
        <v>0</v>
      </c>
      <c r="AE1285" s="137">
        <f ca="1">+MIN(IF(SUM($H$953:AE953)=1,Assumptions!$G$469*(Assumptions!$G$467),AE953*IFERROR(MIN(IF(YEAR(AE3)&gt;YEAR(Assumptions!$G$12),0,(Assumptions!$G$467-Assumptions!$G$469*(Assumptions!$G$467))/(YEAR(EDATE(Assumptions!$G$298,12*10))-YEAR(Assumptions!$G$298))+AD1285),(Assumptions!$G$467)),0)),Assumptions!$G$467)</f>
        <v>0</v>
      </c>
      <c r="AF1285" s="137">
        <f ca="1">+MIN(IF(SUM($H$953:AF953)=1,Assumptions!$G$469*(Assumptions!$G$467),AF953*IFERROR(MIN(IF(YEAR(AF3)&gt;YEAR(Assumptions!$G$12),0,(Assumptions!$G$467-Assumptions!$G$469*(Assumptions!$G$467))/(YEAR(EDATE(Assumptions!$G$298,12*10))-YEAR(Assumptions!$G$298))+AE1285),(Assumptions!$G$467)),0)),Assumptions!$G$467)</f>
        <v>0</v>
      </c>
      <c r="AG1285" s="137">
        <f ca="1">+MIN(IF(SUM($H$953:AG953)=1,Assumptions!$G$469*(Assumptions!$G$467),AG953*IFERROR(MIN(IF(YEAR(AG3)&gt;YEAR(Assumptions!$G$12),0,(Assumptions!$G$467-Assumptions!$G$469*(Assumptions!$G$467))/(YEAR(EDATE(Assumptions!$G$298,12*10))-YEAR(Assumptions!$G$298))+AF1285),(Assumptions!$G$467)),0)),Assumptions!$G$467)</f>
        <v>0</v>
      </c>
      <c r="AH1285" s="137">
        <f ca="1">+MIN(IF(SUM($H$953:AH953)=1,Assumptions!$G$469*(Assumptions!$G$467),AH953*IFERROR(MIN(IF(YEAR(AH3)&gt;YEAR(Assumptions!$G$12),0,(Assumptions!$G$467-Assumptions!$G$469*(Assumptions!$G$467))/(YEAR(EDATE(Assumptions!$G$298,12*10))-YEAR(Assumptions!$G$298))+AG1285),(Assumptions!$G$467)),0)),Assumptions!$G$467)</f>
        <v>0</v>
      </c>
      <c r="AI1285" s="137">
        <f ca="1">+MIN(IF(SUM($H$953:AI953)=1,Assumptions!$G$469*(Assumptions!$G$467),AI953*IFERROR(MIN(IF(YEAR(AI3)&gt;YEAR(Assumptions!$G$12),0,(Assumptions!$G$467-Assumptions!$G$469*(Assumptions!$G$467))/(YEAR(EDATE(Assumptions!$G$298,12*10))-YEAR(Assumptions!$G$298))+AH1285),(Assumptions!$G$467)),0)),Assumptions!$G$467)</f>
        <v>0</v>
      </c>
      <c r="AJ1285" s="137">
        <f ca="1">+MIN(IF(SUM($H$953:AJ953)=1,Assumptions!$G$469*(Assumptions!$G$467),AJ953*IFERROR(MIN(IF(YEAR(AJ3)&gt;YEAR(Assumptions!$G$12),0,(Assumptions!$G$467-Assumptions!$G$469*(Assumptions!$G$467))/(YEAR(EDATE(Assumptions!$G$298,12*10))-YEAR(Assumptions!$G$298))+AI1285),(Assumptions!$G$467)),0)),Assumptions!$G$467)</f>
        <v>0</v>
      </c>
      <c r="AK1285" s="137">
        <f ca="1">+MIN(IF(SUM($H$953:AK953)=1,Assumptions!$G$469*(Assumptions!$G$467),AK953*IFERROR(MIN(IF(YEAR(AK3)&gt;YEAR(Assumptions!$G$12),0,(Assumptions!$G$467-Assumptions!$G$469*(Assumptions!$G$467))/(YEAR(EDATE(Assumptions!$G$298,12*10))-YEAR(Assumptions!$G$298))+AJ1285),(Assumptions!$G$467)),0)),Assumptions!$G$467)</f>
        <v>0</v>
      </c>
      <c r="AL1285" s="137">
        <f ca="1">+MIN(IF(SUM($H$953:AL953)=1,Assumptions!$G$469*(Assumptions!$G$467),AL953*IFERROR(MIN(IF(YEAR(AL3)&gt;YEAR(Assumptions!$G$12),0,(Assumptions!$G$467-Assumptions!$G$469*(Assumptions!$G$467))/(YEAR(EDATE(Assumptions!$G$298,12*10))-YEAR(Assumptions!$G$298))+AK1285),(Assumptions!$G$467)),0)),Assumptions!$G$467)</f>
        <v>0</v>
      </c>
      <c r="AM1285" s="137">
        <f ca="1">+MIN(IF(SUM($H$953:AM953)=1,Assumptions!$G$469*(Assumptions!$G$467),AM953*IFERROR(MIN(IF(YEAR(AM3)&gt;YEAR(Assumptions!$G$12),0,(Assumptions!$G$467-Assumptions!$G$469*(Assumptions!$G$467))/(YEAR(EDATE(Assumptions!$G$298,12*10))-YEAR(Assumptions!$G$298))+AL1285),(Assumptions!$G$467)),0)),Assumptions!$G$467)</f>
        <v>0</v>
      </c>
      <c r="AN1285" s="137">
        <f ca="1">+MIN(IF(SUM($H$953:AN953)=1,Assumptions!$G$469*(Assumptions!$G$467),AN953*IFERROR(MIN(IF(YEAR(AN3)&gt;YEAR(Assumptions!$G$12),0,(Assumptions!$G$467-Assumptions!$G$469*(Assumptions!$G$467))/(YEAR(EDATE(Assumptions!$G$298,12*10))-YEAR(Assumptions!$G$298))+AM1285),(Assumptions!$G$467)),0)),Assumptions!$G$467)</f>
        <v>0</v>
      </c>
      <c r="AO1285" s="137">
        <f ca="1">+MIN(IF(SUM($H$953:AO953)=1,Assumptions!$G$469*(Assumptions!$G$467),AO953*IFERROR(MIN(IF(YEAR(AO3)&gt;YEAR(Assumptions!$G$12),0,(Assumptions!$G$467-Assumptions!$G$469*(Assumptions!$G$467))/(YEAR(EDATE(Assumptions!$G$298,12*10))-YEAR(Assumptions!$G$298))+AN1285),(Assumptions!$G$467)),0)),Assumptions!$G$467)</f>
        <v>0</v>
      </c>
      <c r="AP1285" s="137">
        <f ca="1">+MIN(IF(SUM($H$953:AP953)=1,Assumptions!$G$469*(Assumptions!$G$467),AP953*IFERROR(MIN(IF(YEAR(AP3)&gt;YEAR(Assumptions!$G$12),0,(Assumptions!$G$467-Assumptions!$G$469*(Assumptions!$G$467))/(YEAR(EDATE(Assumptions!$G$298,12*10))-YEAR(Assumptions!$G$298))+AO1285),(Assumptions!$G$467)),0)),Assumptions!$G$467)</f>
        <v>0</v>
      </c>
      <c r="AQ1285" s="137">
        <f ca="1">+MIN(IF(SUM($H$953:AQ953)=1,Assumptions!$G$469*(Assumptions!$G$467),AQ953*IFERROR(MIN(IF(YEAR(AQ3)&gt;YEAR(Assumptions!$G$12),0,(Assumptions!$G$467-Assumptions!$G$469*(Assumptions!$G$467))/(YEAR(EDATE(Assumptions!$G$298,12*10))-YEAR(Assumptions!$G$298))+AP1285),(Assumptions!$G$467)),0)),Assumptions!$G$467)</f>
        <v>0</v>
      </c>
      <c r="AR1285" s="137">
        <f ca="1">+MIN(IF(SUM($H$953:AR953)=1,Assumptions!$G$469*(Assumptions!$G$467),AR953*IFERROR(MIN(IF(YEAR(AR3)&gt;YEAR(Assumptions!$G$12),0,(Assumptions!$G$467-Assumptions!$G$469*(Assumptions!$G$467))/(YEAR(EDATE(Assumptions!$G$298,12*10))-YEAR(Assumptions!$G$298))+AQ1285),(Assumptions!$G$467)),0)),Assumptions!$G$467)</f>
        <v>0</v>
      </c>
      <c r="AS1285" s="137">
        <f ca="1">+MIN(IF(SUM($H$953:AS953)=1,Assumptions!$G$469*(Assumptions!$G$467),AS953*IFERROR(MIN(IF(YEAR(AS3)&gt;YEAR(Assumptions!$G$12),0,(Assumptions!$G$467-Assumptions!$G$469*(Assumptions!$G$467))/(YEAR(EDATE(Assumptions!$G$298,12*10))-YEAR(Assumptions!$G$298))+AR1285),(Assumptions!$G$467)),0)),Assumptions!$G$467)</f>
        <v>0</v>
      </c>
      <c r="AT1285" s="137">
        <f ca="1">+MIN(IF(SUM($H$953:AT953)=1,Assumptions!$G$469*(Assumptions!$G$467),AT953*IFERROR(MIN(IF(YEAR(AT3)&gt;YEAR(Assumptions!$G$12),0,(Assumptions!$G$467-Assumptions!$G$469*(Assumptions!$G$467))/(YEAR(EDATE(Assumptions!$G$298,12*10))-YEAR(Assumptions!$G$298))+AS1285),(Assumptions!$G$467)),0)),Assumptions!$G$467)</f>
        <v>0</v>
      </c>
      <c r="AU1285" s="137">
        <f ca="1">+MIN(IF(SUM($H$953:AU953)=1,Assumptions!$G$469*(Assumptions!$G$467),AU953*IFERROR(MIN(IF(YEAR(AU3)&gt;YEAR(Assumptions!$G$12),0,(Assumptions!$G$467-Assumptions!$G$469*(Assumptions!$G$467))/(YEAR(EDATE(Assumptions!$G$298,12*10))-YEAR(Assumptions!$G$298))+AT1285),(Assumptions!$G$467)),0)),Assumptions!$G$467)</f>
        <v>0</v>
      </c>
      <c r="AV1285" s="137">
        <f ca="1">+MIN(IF(SUM($H$953:AV953)=1,Assumptions!$G$469*(Assumptions!$G$467),AV953*IFERROR(MIN(IF(YEAR(AV3)&gt;YEAR(Assumptions!$G$12),0,(Assumptions!$G$467-Assumptions!$G$469*(Assumptions!$G$467))/(YEAR(EDATE(Assumptions!$G$298,12*10))-YEAR(Assumptions!$G$298))+AU1285),(Assumptions!$G$467)),0)),Assumptions!$G$467)</f>
        <v>0</v>
      </c>
      <c r="AW1285" s="137">
        <f ca="1">+MIN(IF(SUM($H$953:AW953)=1,Assumptions!$G$469*(Assumptions!$G$467),AW953*IFERROR(MIN(IF(YEAR(AW3)&gt;YEAR(Assumptions!$G$12),0,(Assumptions!$G$467-Assumptions!$G$469*(Assumptions!$G$467))/(YEAR(EDATE(Assumptions!$G$298,12*10))-YEAR(Assumptions!$G$298))+AV1285),(Assumptions!$G$467)),0)),Assumptions!$G$467)</f>
        <v>0</v>
      </c>
      <c r="AX1285" s="137">
        <f ca="1">+MIN(IF(SUM($H$953:AX953)=1,Assumptions!$G$469*(Assumptions!$G$467),AX953*IFERROR(MIN(IF(YEAR(AX3)&gt;YEAR(Assumptions!$G$12),0,(Assumptions!$G$467-Assumptions!$G$469*(Assumptions!$G$467))/(YEAR(EDATE(Assumptions!$G$298,12*10))-YEAR(Assumptions!$G$298))+AW1285),(Assumptions!$G$467)),0)),Assumptions!$G$467)</f>
        <v>0</v>
      </c>
      <c r="AY1285" s="137">
        <f ca="1">+MIN(IF(SUM($H$953:AY953)=1,Assumptions!$G$469*(Assumptions!$G$467),AY953*IFERROR(MIN(IF(YEAR(AY3)&gt;YEAR(Assumptions!$G$12),0,(Assumptions!$G$467-Assumptions!$G$469*(Assumptions!$G$467))/(YEAR(EDATE(Assumptions!$G$298,12*10))-YEAR(Assumptions!$G$298))+AX1285),(Assumptions!$G$467)),0)),Assumptions!$G$467)</f>
        <v>0</v>
      </c>
      <c r="AZ1285" s="137">
        <f ca="1">+MIN(IF(SUM($H$953:AZ953)=1,Assumptions!$G$469*(Assumptions!$G$467),AZ953*IFERROR(MIN(IF(YEAR(AZ3)&gt;YEAR(Assumptions!$G$12),0,(Assumptions!$G$467-Assumptions!$G$469*(Assumptions!$G$467))/(YEAR(EDATE(Assumptions!$G$298,12*10))-YEAR(Assumptions!$G$298))+AY1285),(Assumptions!$G$467)),0)),Assumptions!$G$467)</f>
        <v>0</v>
      </c>
      <c r="BA1285" s="137">
        <f ca="1">+MIN(IF(SUM($H$953:BA953)=1,Assumptions!$G$469*(Assumptions!$G$467),BA953*IFERROR(MIN(IF(YEAR(BA3)&gt;YEAR(Assumptions!$G$12),0,(Assumptions!$G$467-Assumptions!$G$469*(Assumptions!$G$467))/(YEAR(EDATE(Assumptions!$G$298,12*10))-YEAR(Assumptions!$G$298))+AZ1285),(Assumptions!$G$467)),0)),Assumptions!$G$467)</f>
        <v>0</v>
      </c>
      <c r="BB1285" s="137">
        <f ca="1">+MIN(IF(SUM($H$953:BB953)=1,Assumptions!$G$469*(Assumptions!$G$467),BB953*IFERROR(MIN(IF(YEAR(BB3)&gt;YEAR(Assumptions!$G$12),0,(Assumptions!$G$467-Assumptions!$G$469*(Assumptions!$G$467))/(YEAR(EDATE(Assumptions!$G$298,12*10))-YEAR(Assumptions!$G$298))+BA1285),(Assumptions!$G$467)),0)),Assumptions!$G$467)</f>
        <v>0</v>
      </c>
      <c r="BC1285" s="137">
        <f ca="1">+MIN(IF(SUM($H$953:BC953)=1,Assumptions!$G$469*(Assumptions!$G$467),BC953*IFERROR(MIN(IF(YEAR(BC3)&gt;YEAR(Assumptions!$G$12),0,(Assumptions!$G$467-Assumptions!$G$469*(Assumptions!$G$467))/(YEAR(EDATE(Assumptions!$G$298,12*10))-YEAR(Assumptions!$G$298))+BB1285),(Assumptions!$G$467)),0)),Assumptions!$G$467)</f>
        <v>0</v>
      </c>
      <c r="BD1285" s="137">
        <f ca="1">+MIN(IF(SUM($H$953:BD953)=1,Assumptions!$G$469*(Assumptions!$G$467),BD953*IFERROR(MIN(IF(YEAR(BD3)&gt;YEAR(Assumptions!$G$12),0,(Assumptions!$G$467-Assumptions!$G$469*(Assumptions!$G$467))/(YEAR(EDATE(Assumptions!$G$298,12*10))-YEAR(Assumptions!$G$298))+BC1285),(Assumptions!$G$467)),0)),Assumptions!$G$467)</f>
        <v>0</v>
      </c>
      <c r="BE1285" s="137">
        <f ca="1">+MIN(IF(SUM($H$953:BE953)=1,Assumptions!$G$469*(Assumptions!$G$467),BE953*IFERROR(MIN(IF(YEAR(BE3)&gt;YEAR(Assumptions!$G$12),0,(Assumptions!$G$467-Assumptions!$G$469*(Assumptions!$G$467))/(YEAR(EDATE(Assumptions!$G$298,12*10))-YEAR(Assumptions!$G$298))+BD1285),(Assumptions!$G$467)),0)),Assumptions!$G$467)</f>
        <v>0</v>
      </c>
      <c r="BF1285" s="137">
        <f ca="1">+MIN(IF(SUM($H$953:BF953)=1,Assumptions!$G$469*(Assumptions!$G$467),BF953*IFERROR(MIN(IF(YEAR(BF3)&gt;YEAR(Assumptions!$G$12),0,(Assumptions!$G$467-Assumptions!$G$469*(Assumptions!$G$467))/(YEAR(EDATE(Assumptions!$G$298,12*10))-YEAR(Assumptions!$G$298))+BE1285),(Assumptions!$G$467)),0)),Assumptions!$G$467)</f>
        <v>0</v>
      </c>
      <c r="BG1285" s="137">
        <f ca="1">+MIN(IF(SUM($H$953:BG953)=1,Assumptions!$G$469*(Assumptions!$G$467),BG953*IFERROR(MIN(IF(YEAR(BG3)&gt;YEAR(Assumptions!$G$12),0,(Assumptions!$G$467-Assumptions!$G$469*(Assumptions!$G$467))/(YEAR(EDATE(Assumptions!$G$298,12*10))-YEAR(Assumptions!$G$298))+BF1285),(Assumptions!$G$467)),0)),Assumptions!$G$467)</f>
        <v>0</v>
      </c>
      <c r="BH1285" s="137">
        <f ca="1">+MIN(IF(SUM($H$953:BH953)=1,Assumptions!$G$469*(Assumptions!$G$467),BH953*IFERROR(MIN(IF(YEAR(BH3)&gt;YEAR(Assumptions!$G$12),0,(Assumptions!$G$467-Assumptions!$G$469*(Assumptions!$G$467))/(YEAR(EDATE(Assumptions!$G$298,12*10))-YEAR(Assumptions!$G$298))+BG1285),(Assumptions!$G$467)),0)),Assumptions!$G$467)</f>
        <v>0</v>
      </c>
      <c r="BI1285" s="137">
        <f ca="1">+MIN(IF(SUM($H$953:BI953)=1,Assumptions!$G$469*(Assumptions!$G$467),BI953*IFERROR(MIN(IF(YEAR(BI3)&gt;YEAR(Assumptions!$G$12),0,(Assumptions!$G$467-Assumptions!$G$469*(Assumptions!$G$467))/(YEAR(EDATE(Assumptions!$G$298,12*10))-YEAR(Assumptions!$G$298))+BH1285),(Assumptions!$G$467)),0)),Assumptions!$G$467)</f>
        <v>0</v>
      </c>
      <c r="BJ1285" s="137">
        <f ca="1">+MIN(IF(SUM($H$953:BJ953)=1,Assumptions!$G$469*(Assumptions!$G$467),BJ953*IFERROR(MIN(IF(YEAR(BJ3)&gt;YEAR(Assumptions!$G$12),0,(Assumptions!$G$467-Assumptions!$G$469*(Assumptions!$G$467))/(YEAR(EDATE(Assumptions!$G$298,12*10))-YEAR(Assumptions!$G$298))+BI1285),(Assumptions!$G$467)),0)),Assumptions!$G$467)</f>
        <v>0</v>
      </c>
      <c r="BK1285" s="137">
        <f ca="1">+MIN(IF(SUM($H$953:BK953)=1,Assumptions!$G$469*(Assumptions!$G$467),BK953*IFERROR(MIN(IF(YEAR(BK3)&gt;YEAR(Assumptions!$G$12),0,(Assumptions!$G$467-Assumptions!$G$469*(Assumptions!$G$467))/(YEAR(EDATE(Assumptions!$G$298,12*10))-YEAR(Assumptions!$G$298))+BJ1285),(Assumptions!$G$467)),0)),Assumptions!$G$467)</f>
        <v>0</v>
      </c>
      <c r="BL1285" s="137">
        <f ca="1">+MIN(IF(SUM($H$953:BL953)=1,Assumptions!$G$469*(Assumptions!$G$467),BL953*IFERROR(MIN(IF(YEAR(BL3)&gt;YEAR(Assumptions!$G$12),0,(Assumptions!$G$467-Assumptions!$G$469*(Assumptions!$G$467))/(YEAR(EDATE(Assumptions!$G$298,12*10))-YEAR(Assumptions!$G$298))+BK1285),(Assumptions!$G$467)),0)),Assumptions!$G$467)</f>
        <v>0</v>
      </c>
      <c r="BM1285" s="137">
        <f ca="1">+MIN(IF(SUM($H$953:BM953)=1,Assumptions!$G$469*(Assumptions!$G$467),BM953*IFERROR(MIN(IF(YEAR(BM3)&gt;YEAR(Assumptions!$G$12),0,(Assumptions!$G$467-Assumptions!$G$469*(Assumptions!$G$467))/(YEAR(EDATE(Assumptions!$G$298,12*10))-YEAR(Assumptions!$G$298))+BL1285),(Assumptions!$G$467)),0)),Assumptions!$G$467)</f>
        <v>0</v>
      </c>
      <c r="BN1285" s="137">
        <f ca="1">+MIN(IF(SUM($H$953:BN953)=1,Assumptions!$G$469*(Assumptions!$G$467),BN953*IFERROR(MIN(IF(YEAR(BN3)&gt;YEAR(Assumptions!$G$12),0,(Assumptions!$G$467-Assumptions!$G$469*(Assumptions!$G$467))/(YEAR(EDATE(Assumptions!$G$298,12*10))-YEAR(Assumptions!$G$298))+BM1285),(Assumptions!$G$467)),0)),Assumptions!$G$467)</f>
        <v>0</v>
      </c>
      <c r="BO1285" s="137">
        <f ca="1">+MIN(IF(SUM($H$953:BO953)=1,Assumptions!$G$469*(Assumptions!$G$467),BO953*IFERROR(MIN(IF(YEAR(BO3)&gt;YEAR(Assumptions!$G$12),0,(Assumptions!$G$467-Assumptions!$G$469*(Assumptions!$G$467))/(YEAR(EDATE(Assumptions!$G$298,12*10))-YEAR(Assumptions!$G$298))+BN1285),(Assumptions!$G$467)),0)),Assumptions!$G$467)</f>
        <v>0</v>
      </c>
      <c r="BP1285" s="137">
        <f ca="1">+MIN(IF(SUM($H$953:BP953)=1,Assumptions!$G$469*(Assumptions!$G$467),BP953*IFERROR(MIN(IF(YEAR(BP3)&gt;YEAR(Assumptions!$G$12),0,(Assumptions!$G$467-Assumptions!$G$469*(Assumptions!$G$467))/(YEAR(EDATE(Assumptions!$G$298,12*10))-YEAR(Assumptions!$G$298))+BO1285),(Assumptions!$G$467)),0)),Assumptions!$G$467)</f>
        <v>0</v>
      </c>
      <c r="BQ1285" s="137">
        <f ca="1">+MIN(IF(SUM($H$953:BQ953)=1,Assumptions!$G$469*(Assumptions!$G$467),BQ953*IFERROR(MIN(IF(YEAR(BQ3)&gt;YEAR(Assumptions!$G$12),0,(Assumptions!$G$467-Assumptions!$G$469*(Assumptions!$G$467))/(YEAR(EDATE(Assumptions!$G$298,12*10))-YEAR(Assumptions!$G$298))+BP1285),(Assumptions!$G$467)),0)),Assumptions!$G$467)</f>
        <v>0</v>
      </c>
      <c r="BR1285" s="137">
        <f ca="1">+MIN(IF(SUM($H$953:BR953)=1,Assumptions!$G$469*(Assumptions!$G$467),BR953*IFERROR(MIN(IF(YEAR(BR3)&gt;YEAR(Assumptions!$G$12),0,(Assumptions!$G$467-Assumptions!$G$469*(Assumptions!$G$467))/(YEAR(EDATE(Assumptions!$G$298,12*10))-YEAR(Assumptions!$G$298))+BQ1285),(Assumptions!$G$467)),0)),Assumptions!$G$467)</f>
        <v>0</v>
      </c>
      <c r="BS1285" s="137">
        <f ca="1">+MIN(IF(SUM($H$953:BS953)=1,Assumptions!$G$469*(Assumptions!$G$467),BS953*IFERROR(MIN(IF(YEAR(BS3)&gt;YEAR(Assumptions!$G$12),0,(Assumptions!$G$467-Assumptions!$G$469*(Assumptions!$G$467))/(YEAR(EDATE(Assumptions!$G$298,12*10))-YEAR(Assumptions!$G$298))+BR1285),(Assumptions!$G$467)),0)),Assumptions!$G$467)</f>
        <v>0</v>
      </c>
      <c r="BT1285" s="137">
        <f ca="1">+MIN(IF(SUM($H$953:BT953)=1,Assumptions!$G$469*(Assumptions!$G$467),BT953*IFERROR(MIN(IF(YEAR(BT3)&gt;YEAR(Assumptions!$G$12),0,(Assumptions!$G$467-Assumptions!$G$469*(Assumptions!$G$467))/(YEAR(EDATE(Assumptions!$G$298,12*10))-YEAR(Assumptions!$G$298))+BS1285),(Assumptions!$G$467)),0)),Assumptions!$G$467)</f>
        <v>0</v>
      </c>
      <c r="BU1285" s="137">
        <f ca="1">+MIN(IF(SUM($H$953:BU953)=1,Assumptions!$G$469*(Assumptions!$G$467),BU953*IFERROR(MIN(IF(YEAR(BU3)&gt;YEAR(Assumptions!$G$12),0,(Assumptions!$G$467-Assumptions!$G$469*(Assumptions!$G$467))/(YEAR(EDATE(Assumptions!$G$298,12*10))-YEAR(Assumptions!$G$298))+BT1285),(Assumptions!$G$467)),0)),Assumptions!$G$467)</f>
        <v>0</v>
      </c>
      <c r="BV1285" s="137">
        <f ca="1">+MIN(IF(SUM($H$953:BV953)=1,Assumptions!$G$469*(Assumptions!$G$467),BV953*IFERROR(MIN(IF(YEAR(BV3)&gt;YEAR(Assumptions!$G$12),0,(Assumptions!$G$467-Assumptions!$G$469*(Assumptions!$G$467))/(YEAR(EDATE(Assumptions!$G$298,12*10))-YEAR(Assumptions!$G$298))+BU1285),(Assumptions!$G$467)),0)),Assumptions!$G$467)</f>
        <v>0</v>
      </c>
      <c r="BW1285" s="137">
        <f ca="1">+MIN(IF(SUM($H$953:BW953)=1,Assumptions!$G$469*(Assumptions!$G$467),BW953*IFERROR(MIN(IF(YEAR(BW3)&gt;YEAR(Assumptions!$G$12),0,(Assumptions!$G$467-Assumptions!$G$469*(Assumptions!$G$467))/(YEAR(EDATE(Assumptions!$G$298,12*10))-YEAR(Assumptions!$G$298))+BV1285),(Assumptions!$G$467)),0)),Assumptions!$G$467)</f>
        <v>0</v>
      </c>
      <c r="BX1285" s="137">
        <f ca="1">+MIN(IF(SUM($H$953:BX953)=1,Assumptions!$G$469*(Assumptions!$G$467),BX953*IFERROR(MIN(IF(YEAR(BX3)&gt;YEAR(Assumptions!$G$12),0,(Assumptions!$G$467-Assumptions!$G$469*(Assumptions!$G$467))/(YEAR(EDATE(Assumptions!$G$298,12*10))-YEAR(Assumptions!$G$298))+BW1285),(Assumptions!$G$467)),0)),Assumptions!$G$467)</f>
        <v>0</v>
      </c>
      <c r="BY1285" s="137">
        <f ca="1">+MIN(IF(SUM($H$953:BY953)=1,Assumptions!$G$469*(Assumptions!$G$467),BY953*IFERROR(MIN(IF(YEAR(BY3)&gt;YEAR(Assumptions!$G$12),0,(Assumptions!$G$467-Assumptions!$G$469*(Assumptions!$G$467))/(YEAR(EDATE(Assumptions!$G$298,12*10))-YEAR(Assumptions!$G$298))+BX1285),(Assumptions!$G$467)),0)),Assumptions!$G$467)</f>
        <v>0</v>
      </c>
    </row>
    <row r="1286" spans="5:77" s="776" customFormat="1" outlineLevel="1">
      <c r="E1286" s="33" t="s">
        <v>625</v>
      </c>
      <c r="F1286" s="775" t="s">
        <v>356</v>
      </c>
      <c r="G1286" s="33"/>
      <c r="H1286" s="731">
        <f>+IF(Assumptions!$G$473="Yes",Assumptions!$G$464*H434*H1285,0)</f>
        <v>0</v>
      </c>
      <c r="I1286" s="731">
        <f>+IF(Assumptions!$G$473="Yes",Assumptions!$G$464*I434*I1285,0)</f>
        <v>0</v>
      </c>
      <c r="J1286" s="731">
        <f>+IF(Assumptions!$G$473="Yes",Assumptions!$G$464*J434*J1285,0)</f>
        <v>0</v>
      </c>
      <c r="K1286" s="731">
        <f>+IF(Assumptions!$G$473="Yes",Assumptions!$G$464*K434*K1285,0)</f>
        <v>0</v>
      </c>
      <c r="L1286" s="731">
        <f>+IF(Assumptions!$G$473="Yes",Assumptions!$G$464*L434*L1285,0)</f>
        <v>0</v>
      </c>
      <c r="M1286" s="731">
        <f>+IF(Assumptions!$G$473="Yes",Assumptions!$G$464*M434*M1285,0)</f>
        <v>0</v>
      </c>
      <c r="N1286" s="731">
        <f>+IF(Assumptions!$G$473="Yes",Assumptions!$G$464*N434*N1285,0)</f>
        <v>0</v>
      </c>
      <c r="O1286" s="731">
        <f>+IF(Assumptions!$G$473="Yes",Assumptions!$G$464*O434*O1285,0)</f>
        <v>0</v>
      </c>
      <c r="P1286" s="731">
        <f>+IF(Assumptions!$G$473="Yes",Assumptions!$G$464*P434*P1285,0)</f>
        <v>0</v>
      </c>
      <c r="Q1286" s="731">
        <f>+IF(Assumptions!$G$473="Yes",Assumptions!$G$464*Q434*Q1285,0)</f>
        <v>0</v>
      </c>
      <c r="R1286" s="731">
        <f>+IF(Assumptions!$G$473="Yes",Assumptions!$G$464*R434*R1285,0)</f>
        <v>0</v>
      </c>
      <c r="S1286" s="731">
        <f>+IF(Assumptions!$G$473="Yes",Assumptions!$G$464*S434*S1285,0)</f>
        <v>0</v>
      </c>
      <c r="T1286" s="731">
        <f>+IF(Assumptions!$G$473="Yes",Assumptions!$G$464*T434*T1285,0)</f>
        <v>0</v>
      </c>
      <c r="U1286" s="731">
        <f>+IF(Assumptions!$G$473="Yes",Assumptions!$G$464*U434*U1285,0)</f>
        <v>0</v>
      </c>
      <c r="V1286" s="731">
        <f>+IF(Assumptions!$G$473="Yes",Assumptions!$G$464*V434*V1285,0)</f>
        <v>0</v>
      </c>
      <c r="W1286" s="731">
        <f>+IF(Assumptions!$G$473="Yes",Assumptions!$G$464*W434*W1285,0)</f>
        <v>0</v>
      </c>
      <c r="X1286" s="731">
        <f>+IF(Assumptions!$G$473="Yes",Assumptions!$G$464*X434*X1285,0)</f>
        <v>0</v>
      </c>
      <c r="Y1286" s="731">
        <f>+IF(Assumptions!$G$473="Yes",Assumptions!$G$464*Y434*Y1285,0)</f>
        <v>0</v>
      </c>
      <c r="Z1286" s="731">
        <f>+IF(Assumptions!$G$473="Yes",Assumptions!$G$464*Z434*Z1285,0)</f>
        <v>0</v>
      </c>
      <c r="AA1286" s="731">
        <f>+IF(Assumptions!$G$473="Yes",Assumptions!$G$464*AA434*AA1285,0)</f>
        <v>0</v>
      </c>
      <c r="AB1286" s="731">
        <f>+IF(Assumptions!$G$473="Yes",Assumptions!$G$464*AB434*AB1285,0)</f>
        <v>0</v>
      </c>
      <c r="AC1286" s="731">
        <f>+IF(Assumptions!$G$473="Yes",Assumptions!$G$464*AC434*AC1285,0)</f>
        <v>0</v>
      </c>
      <c r="AD1286" s="731">
        <f>+IF(Assumptions!$G$473="Yes",Assumptions!$G$464*AD434*AD1285,0)</f>
        <v>0</v>
      </c>
      <c r="AE1286" s="731">
        <f>+IF(Assumptions!$G$473="Yes",Assumptions!$G$464*AE434*AE1285,0)</f>
        <v>0</v>
      </c>
      <c r="AF1286" s="731">
        <f>+IF(Assumptions!$G$473="Yes",Assumptions!$G$464*AF434*AF1285,0)</f>
        <v>0</v>
      </c>
      <c r="AG1286" s="731">
        <f>+IF(Assumptions!$G$473="Yes",Assumptions!$G$464*AG434*AG1285,0)</f>
        <v>0</v>
      </c>
      <c r="AH1286" s="731">
        <f>+IF(Assumptions!$G$473="Yes",Assumptions!$G$464*AH434*AH1285,0)</f>
        <v>0</v>
      </c>
      <c r="AI1286" s="731">
        <f>+IF(Assumptions!$G$473="Yes",Assumptions!$G$464*AI434*AI1285,0)</f>
        <v>0</v>
      </c>
      <c r="AJ1286" s="731">
        <f>+IF(Assumptions!$G$473="Yes",Assumptions!$G$464*AJ434*AJ1285,0)</f>
        <v>0</v>
      </c>
      <c r="AK1286" s="731">
        <f>+IF(Assumptions!$G$473="Yes",Assumptions!$G$464*AK434*AK1285,0)</f>
        <v>0</v>
      </c>
      <c r="AL1286" s="731">
        <f>+IF(Assumptions!$G$473="Yes",Assumptions!$G$464*AL434*AL1285,0)</f>
        <v>0</v>
      </c>
      <c r="AM1286" s="731">
        <f>+IF(Assumptions!$G$473="Yes",Assumptions!$G$464*AM434*AM1285,0)</f>
        <v>0</v>
      </c>
      <c r="AN1286" s="731">
        <f>+IF(Assumptions!$G$473="Yes",Assumptions!$G$464*AN434*AN1285,0)</f>
        <v>0</v>
      </c>
      <c r="AO1286" s="731">
        <f>+IF(Assumptions!$G$473="Yes",Assumptions!$G$464*AO434*AO1285,0)</f>
        <v>0</v>
      </c>
      <c r="AP1286" s="731">
        <f>+IF(Assumptions!$G$473="Yes",Assumptions!$G$464*AP434*AP1285,0)</f>
        <v>0</v>
      </c>
      <c r="AQ1286" s="731">
        <f>+IF(Assumptions!$G$473="Yes",Assumptions!$G$464*AQ434*AQ1285,0)</f>
        <v>0</v>
      </c>
      <c r="AR1286" s="731">
        <f>+IF(Assumptions!$G$473="Yes",Assumptions!$G$464*AR434*AR1285,0)</f>
        <v>0</v>
      </c>
      <c r="AS1286" s="731">
        <f>+IF(Assumptions!$G$473="Yes",Assumptions!$G$464*AS434*AS1285,0)</f>
        <v>0</v>
      </c>
      <c r="AT1286" s="731">
        <f>+IF(Assumptions!$G$473="Yes",Assumptions!$G$464*AT434*AT1285,0)</f>
        <v>0</v>
      </c>
      <c r="AU1286" s="731">
        <f>+IF(Assumptions!$G$473="Yes",Assumptions!$G$464*AU434*AU1285,0)</f>
        <v>0</v>
      </c>
      <c r="AV1286" s="731">
        <f>+IF(Assumptions!$G$473="Yes",Assumptions!$G$464*AV434*AV1285,0)</f>
        <v>0</v>
      </c>
      <c r="AW1286" s="731">
        <f>+IF(Assumptions!$G$473="Yes",Assumptions!$G$464*AW434*AW1285,0)</f>
        <v>0</v>
      </c>
      <c r="AX1286" s="731">
        <f>+IF(Assumptions!$G$473="Yes",Assumptions!$G$464*AX434*AX1285,0)</f>
        <v>0</v>
      </c>
      <c r="AY1286" s="731">
        <f>+IF(Assumptions!$G$473="Yes",Assumptions!$G$464*AY434*AY1285,0)</f>
        <v>0</v>
      </c>
      <c r="AZ1286" s="731">
        <f>+IF(Assumptions!$G$473="Yes",Assumptions!$G$464*AZ434*AZ1285,0)</f>
        <v>0</v>
      </c>
      <c r="BA1286" s="731">
        <f>+IF(Assumptions!$G$473="Yes",Assumptions!$G$464*BA434*BA1285,0)</f>
        <v>0</v>
      </c>
      <c r="BB1286" s="731">
        <f>+IF(Assumptions!$G$473="Yes",Assumptions!$G$464*BB434*BB1285,0)</f>
        <v>0</v>
      </c>
      <c r="BC1286" s="731">
        <f>+IF(Assumptions!$G$473="Yes",Assumptions!$G$464*BC434*BC1285,0)</f>
        <v>0</v>
      </c>
      <c r="BD1286" s="731">
        <f>+IF(Assumptions!$G$473="Yes",Assumptions!$G$464*BD434*BD1285,0)</f>
        <v>0</v>
      </c>
      <c r="BE1286" s="731">
        <f>+IF(Assumptions!$G$473="Yes",Assumptions!$G$464*BE434*BE1285,0)</f>
        <v>0</v>
      </c>
      <c r="BF1286" s="731">
        <f>+IF(Assumptions!$G$473="Yes",Assumptions!$G$464*BF434*BF1285,0)</f>
        <v>0</v>
      </c>
      <c r="BG1286" s="731">
        <f>+IF(Assumptions!$G$473="Yes",Assumptions!$G$464*BG434*BG1285,0)</f>
        <v>0</v>
      </c>
      <c r="BH1286" s="731">
        <f>+IF(Assumptions!$G$473="Yes",Assumptions!$G$464*BH434*BH1285,0)</f>
        <v>0</v>
      </c>
      <c r="BI1286" s="731">
        <f>+IF(Assumptions!$G$473="Yes",Assumptions!$G$464*BI434*BI1285,0)</f>
        <v>0</v>
      </c>
      <c r="BJ1286" s="731">
        <f>+IF(Assumptions!$G$473="Yes",Assumptions!$G$464*BJ434*BJ1285,0)</f>
        <v>0</v>
      </c>
      <c r="BK1286" s="731">
        <f>+IF(Assumptions!$G$473="Yes",Assumptions!$G$464*BK434*BK1285,0)</f>
        <v>0</v>
      </c>
      <c r="BL1286" s="731">
        <f>+IF(Assumptions!$G$473="Yes",Assumptions!$G$464*BL434*BL1285,0)</f>
        <v>0</v>
      </c>
      <c r="BM1286" s="731">
        <f>+IF(Assumptions!$G$473="Yes",Assumptions!$G$464*BM434*BM1285,0)</f>
        <v>0</v>
      </c>
      <c r="BN1286" s="731">
        <f>+IF(Assumptions!$G$473="Yes",Assumptions!$G$464*BN434*BN1285,0)</f>
        <v>0</v>
      </c>
      <c r="BO1286" s="731">
        <f>+IF(Assumptions!$G$473="Yes",Assumptions!$G$464*BO434*BO1285,0)</f>
        <v>0</v>
      </c>
      <c r="BP1286" s="731">
        <f>+IF(Assumptions!$G$473="Yes",Assumptions!$G$464*BP434*BP1285,0)</f>
        <v>0</v>
      </c>
      <c r="BQ1286" s="731">
        <f>+IF(Assumptions!$G$473="Yes",Assumptions!$G$464*BQ434*BQ1285,0)</f>
        <v>0</v>
      </c>
      <c r="BR1286" s="731">
        <f>+IF(Assumptions!$G$473="Yes",Assumptions!$G$464*BR434*BR1285,0)</f>
        <v>0</v>
      </c>
      <c r="BS1286" s="731">
        <f>+IF(Assumptions!$G$473="Yes",Assumptions!$G$464*BS434*BS1285,0)</f>
        <v>0</v>
      </c>
      <c r="BT1286" s="731">
        <f>+IF(Assumptions!$G$473="Yes",Assumptions!$G$464*BT434*BT1285,0)</f>
        <v>0</v>
      </c>
      <c r="BU1286" s="731">
        <f>+IF(Assumptions!$G$473="Yes",Assumptions!$G$464*BU434*BU1285,0)</f>
        <v>0</v>
      </c>
      <c r="BV1286" s="731">
        <f>+IF(Assumptions!$G$473="Yes",Assumptions!$G$464*BV434*BV1285,0)</f>
        <v>0</v>
      </c>
      <c r="BW1286" s="731">
        <f>+IF(Assumptions!$G$473="Yes",Assumptions!$G$464*BW434*BW1285,0)</f>
        <v>0</v>
      </c>
      <c r="BX1286" s="731">
        <f>+IF(Assumptions!$G$473="Yes",Assumptions!$G$464*BX434*BX1285,0)</f>
        <v>0</v>
      </c>
      <c r="BY1286" s="731">
        <f>+IF(Assumptions!$G$473="Yes",Assumptions!$G$464*BY434*BY1285,0)</f>
        <v>0</v>
      </c>
    </row>
    <row r="1287" spans="5:77" s="771" customFormat="1" ht="15" outlineLevel="1">
      <c r="E1287" s="22"/>
      <c r="F1287"/>
      <c r="G1287"/>
      <c r="H1287" s="89"/>
      <c r="I1287" s="89"/>
      <c r="J1287" s="89"/>
      <c r="K1287" s="89"/>
      <c r="L1287" s="89"/>
      <c r="M1287" s="89"/>
      <c r="N1287" s="89"/>
      <c r="O1287" s="89"/>
      <c r="P1287" s="89"/>
      <c r="Q1287" s="89"/>
      <c r="R1287" s="89"/>
      <c r="S1287" s="89"/>
      <c r="T1287" s="89"/>
      <c r="U1287" s="89"/>
      <c r="V1287" s="89"/>
      <c r="W1287" s="89"/>
      <c r="X1287" s="89"/>
      <c r="Y1287" s="89"/>
      <c r="Z1287" s="89"/>
      <c r="AA1287" s="89"/>
      <c r="AB1287" s="89"/>
      <c r="AC1287" s="89"/>
      <c r="AD1287" s="89"/>
      <c r="AE1287" s="89"/>
      <c r="AF1287" s="89"/>
      <c r="AG1287" s="89"/>
      <c r="AH1287" s="89"/>
      <c r="AI1287" s="89"/>
      <c r="AJ1287" s="89"/>
      <c r="AK1287" s="89"/>
      <c r="AL1287" s="89"/>
      <c r="AM1287" s="89"/>
      <c r="AN1287" s="89"/>
      <c r="AO1287" s="89"/>
      <c r="AP1287" s="89"/>
      <c r="AQ1287" s="89"/>
      <c r="AR1287" s="89"/>
      <c r="AS1287" s="89"/>
      <c r="AT1287" s="89"/>
      <c r="AU1287" s="89"/>
      <c r="AV1287" s="89"/>
      <c r="AW1287" s="89"/>
      <c r="AX1287" s="89"/>
      <c r="AY1287" s="89"/>
      <c r="AZ1287" s="89"/>
      <c r="BA1287" s="89"/>
      <c r="BB1287" s="89"/>
      <c r="BC1287" s="89"/>
      <c r="BD1287" s="89"/>
      <c r="BE1287" s="89"/>
      <c r="BF1287" s="89"/>
      <c r="BG1287" s="89"/>
      <c r="BH1287" s="89"/>
      <c r="BI1287" s="89"/>
      <c r="BJ1287" s="89"/>
      <c r="BK1287" s="89"/>
      <c r="BL1287" s="89"/>
      <c r="BM1287" s="89"/>
      <c r="BN1287" s="89"/>
      <c r="BO1287" s="89"/>
      <c r="BP1287" s="89"/>
      <c r="BQ1287" s="89"/>
      <c r="BR1287" s="89"/>
      <c r="BS1287" s="89"/>
      <c r="BT1287" s="89"/>
      <c r="BU1287" s="89"/>
      <c r="BV1287" s="89"/>
      <c r="BW1287" s="89"/>
      <c r="BX1287" s="89"/>
      <c r="BY1287" s="89"/>
    </row>
    <row r="1288" spans="5:77" s="771" customFormat="1" ht="15" outlineLevel="1">
      <c r="E1288" s="22" t="s">
        <v>629</v>
      </c>
      <c r="F1288"/>
      <c r="G1288"/>
      <c r="H1288" s="89"/>
      <c r="I1288" s="89"/>
      <c r="J1288" s="89"/>
      <c r="K1288" s="89"/>
      <c r="L1288" s="89"/>
      <c r="M1288" s="89"/>
      <c r="N1288" s="89"/>
      <c r="O1288" s="89"/>
      <c r="P1288" s="89"/>
      <c r="Q1288" s="89"/>
      <c r="R1288" s="89"/>
      <c r="S1288" s="89"/>
      <c r="T1288" s="89"/>
      <c r="U1288" s="89"/>
      <c r="V1288" s="89"/>
      <c r="W1288" s="89"/>
      <c r="X1288" s="89"/>
      <c r="Y1288" s="89"/>
      <c r="Z1288" s="89"/>
      <c r="AA1288" s="89"/>
      <c r="AB1288" s="89"/>
      <c r="AC1288" s="89"/>
      <c r="AD1288" s="89"/>
      <c r="AE1288" s="89"/>
      <c r="AF1288" s="89"/>
      <c r="AG1288" s="89"/>
      <c r="AH1288" s="89"/>
      <c r="AI1288" s="89"/>
      <c r="AJ1288" s="89"/>
      <c r="AK1288" s="89"/>
      <c r="AL1288" s="89"/>
      <c r="AM1288" s="89"/>
      <c r="AN1288" s="89"/>
      <c r="AO1288" s="89"/>
      <c r="AP1288" s="89"/>
      <c r="AQ1288" s="89"/>
      <c r="AR1288" s="89"/>
      <c r="AS1288" s="89"/>
      <c r="AT1288" s="89"/>
      <c r="AU1288" s="89"/>
      <c r="AV1288" s="89"/>
      <c r="AW1288" s="89"/>
      <c r="AX1288" s="89"/>
      <c r="AY1288" s="89"/>
      <c r="AZ1288" s="89"/>
      <c r="BA1288" s="89"/>
      <c r="BB1288" s="89"/>
      <c r="BC1288" s="89"/>
      <c r="BD1288" s="89"/>
      <c r="BE1288" s="89"/>
      <c r="BF1288" s="89"/>
      <c r="BG1288" s="89"/>
      <c r="BH1288" s="89"/>
      <c r="BI1288" s="89"/>
      <c r="BJ1288" s="89"/>
      <c r="BK1288" s="89"/>
      <c r="BL1288" s="89"/>
      <c r="BM1288" s="89"/>
      <c r="BN1288" s="89"/>
      <c r="BO1288" s="89"/>
      <c r="BP1288" s="89"/>
      <c r="BQ1288" s="89"/>
      <c r="BR1288" s="89"/>
      <c r="BS1288" s="89"/>
      <c r="BT1288" s="89"/>
      <c r="BU1288" s="89"/>
      <c r="BV1288" s="89"/>
      <c r="BW1288" s="89"/>
      <c r="BX1288" s="89"/>
      <c r="BY1288" s="89"/>
    </row>
    <row r="1289" spans="5:77" s="771" customFormat="1" outlineLevel="1">
      <c r="E1289" t="s">
        <v>630</v>
      </c>
      <c r="F1289" s="772" t="s">
        <v>622</v>
      </c>
      <c r="G1289"/>
      <c r="H1289" s="89">
        <f ca="1">+MIN(IF(AND(ISNUMBER(D1289)=TRUE,D1289&gt;0),H953*(Assumptions!$H$466-((Assumptions!$G$458)*(Assumptions!$H$466)))/2+D1289,H953*(Assumptions!$G$458)*(Assumptions!$H$466)),Assumptions!$H$466)</f>
        <v>0</v>
      </c>
      <c r="I1289" s="89">
        <f ca="1">+MIN(IF(AND(ISNUMBER(E1289)=TRUE,E1289&gt;0),I953*(Assumptions!$H$466-((Assumptions!$G$458)*(Assumptions!$H$466)))/2+E1289,I953*(Assumptions!$G$458)*(Assumptions!$H$466)),Assumptions!$H$466)</f>
        <v>0</v>
      </c>
      <c r="J1289" s="89">
        <f ca="1">+MIN(IF(AND(ISNUMBER(F1289)=TRUE,F1289&gt;0),J953*(Assumptions!$H$466-((Assumptions!$G$458)*(Assumptions!$H$466)))/2+F1289,J953*(Assumptions!$G$458)*(Assumptions!$H$466)),Assumptions!$H$466)</f>
        <v>0</v>
      </c>
      <c r="K1289" s="89">
        <f ca="1">+MIN(IF(AND(ISNUMBER(G1289)=TRUE,G1289&gt;0),K953*(Assumptions!$H$466-((Assumptions!$G$458)*(Assumptions!$H$466)))/2+G1289,K953*(Assumptions!$G$458)*(Assumptions!$H$466)),Assumptions!$H$466)</f>
        <v>1.8057278766422655</v>
      </c>
      <c r="L1289" s="89">
        <f ca="1">+MIN(IF(AND(ISNUMBER(H1289)=TRUE,H1289&gt;0),L953*(Assumptions!$H$466-((Assumptions!$G$458)*(Assumptions!$H$466)))/2+H1289,L953*(Assumptions!$G$458)*(Assumptions!$H$466)),Assumptions!$H$466)</f>
        <v>1.8057278766422655</v>
      </c>
      <c r="M1289" s="89">
        <f ca="1">+MIN(IF(AND(ISNUMBER(I1289)=TRUE,I1289&gt;0),M953*(Assumptions!$H$466-((Assumptions!$G$458)*(Assumptions!$H$466)))/2+I1289,M953*(Assumptions!$G$458)*(Assumptions!$H$466)),Assumptions!$H$466)</f>
        <v>1.8057278766422655</v>
      </c>
      <c r="N1289" s="89">
        <f ca="1">+MIN(IF(AND(ISNUMBER(J1289)=TRUE,J1289&gt;0),N953*(Assumptions!$H$466-((Assumptions!$G$458)*(Assumptions!$H$466)))/2+J1289,N953*(Assumptions!$G$458)*(Assumptions!$H$466)),Assumptions!$H$466)</f>
        <v>1.8057278766422655</v>
      </c>
      <c r="O1289" s="89">
        <f ca="1">+MIN(IF(AND(ISNUMBER(K1289)=TRUE,K1289&gt;0),O953*(Assumptions!$H$466-((Assumptions!$G$458)*(Assumptions!$H$466)))/2+K1289,O953*(Assumptions!$G$458)*(Assumptions!$H$466)),Assumptions!$H$466)</f>
        <v>9.9315033215324604</v>
      </c>
      <c r="P1289" s="89">
        <f ca="1">+MIN(IF(AND(ISNUMBER(L1289)=TRUE,L1289&gt;0),P953*(Assumptions!$H$466-((Assumptions!$G$458)*(Assumptions!$H$466)))/2+L1289,P953*(Assumptions!$G$458)*(Assumptions!$H$466)),Assumptions!$H$466)</f>
        <v>9.9315033215324604</v>
      </c>
      <c r="Q1289" s="89">
        <f ca="1">+MIN(IF(AND(ISNUMBER(M1289)=TRUE,M1289&gt;0),Q953*(Assumptions!$H$466-((Assumptions!$G$458)*(Assumptions!$H$466)))/2+M1289,Q953*(Assumptions!$G$458)*(Assumptions!$H$466)),Assumptions!$H$466)</f>
        <v>9.9315033215324604</v>
      </c>
      <c r="R1289" s="89">
        <f ca="1">+MIN(IF(AND(ISNUMBER(N1289)=TRUE,N1289&gt;0),R953*(Assumptions!$H$466-((Assumptions!$G$458)*(Assumptions!$H$466)))/2+N1289,R953*(Assumptions!$G$458)*(Assumptions!$H$466)),Assumptions!$H$466)</f>
        <v>9.9315033215324604</v>
      </c>
      <c r="S1289" s="89">
        <f ca="1">+MIN(IF(AND(ISNUMBER(O1289)=TRUE,O1289&gt;0),S953*(Assumptions!$H$466-((Assumptions!$G$458)*(Assumptions!$H$466)))/2+O1289,S953*(Assumptions!$G$458)*(Assumptions!$H$466)),Assumptions!$H$466)</f>
        <v>18.057278766422655</v>
      </c>
      <c r="T1289" s="89">
        <f ca="1">+MIN(IF(AND(ISNUMBER(P1289)=TRUE,P1289&gt;0),T953*(Assumptions!$H$466-((Assumptions!$G$458)*(Assumptions!$H$466)))/2+P1289,T953*(Assumptions!$G$458)*(Assumptions!$H$466)),Assumptions!$H$466)</f>
        <v>18.057278766422655</v>
      </c>
      <c r="U1289" s="89">
        <f ca="1">+MIN(IF(AND(ISNUMBER(Q1289)=TRUE,Q1289&gt;0),U953*(Assumptions!$H$466-((Assumptions!$G$458)*(Assumptions!$H$466)))/2+Q1289,U953*(Assumptions!$G$458)*(Assumptions!$H$466)),Assumptions!$H$466)</f>
        <v>18.057278766422655</v>
      </c>
      <c r="V1289" s="89">
        <f ca="1">+MIN(IF(AND(ISNUMBER(R1289)=TRUE,R1289&gt;0),V953*(Assumptions!$H$466-((Assumptions!$G$458)*(Assumptions!$H$466)))/2+R1289,V953*(Assumptions!$G$458)*(Assumptions!$H$466)),Assumptions!$H$466)</f>
        <v>18.057278766422655</v>
      </c>
      <c r="W1289" s="89">
        <f ca="1">+MIN(IF(AND(ISNUMBER(S1289)=TRUE,S1289&gt;0),W953*(Assumptions!$H$466-((Assumptions!$G$458)*(Assumptions!$H$466)))/2+S1289,W953*(Assumptions!$G$458)*(Assumptions!$H$466)),Assumptions!$H$466)</f>
        <v>18.057278766422655</v>
      </c>
      <c r="X1289" s="89">
        <f ca="1">+MIN(IF(AND(ISNUMBER(T1289)=TRUE,T1289&gt;0),X953*(Assumptions!$H$466-((Assumptions!$G$458)*(Assumptions!$H$466)))/2+T1289,X953*(Assumptions!$G$458)*(Assumptions!$H$466)),Assumptions!$H$466)</f>
        <v>18.057278766422655</v>
      </c>
      <c r="Y1289" s="89">
        <f ca="1">+MIN(IF(AND(ISNUMBER(U1289)=TRUE,U1289&gt;0),Y953*(Assumptions!$H$466-((Assumptions!$G$458)*(Assumptions!$H$466)))/2+U1289,Y953*(Assumptions!$G$458)*(Assumptions!$H$466)),Assumptions!$H$466)</f>
        <v>18.057278766422655</v>
      </c>
      <c r="Z1289" s="89">
        <f ca="1">+MIN(IF(AND(ISNUMBER(V1289)=TRUE,V1289&gt;0),Z953*(Assumptions!$H$466-((Assumptions!$G$458)*(Assumptions!$H$466)))/2+V1289,Z953*(Assumptions!$G$458)*(Assumptions!$H$466)),Assumptions!$H$466)</f>
        <v>18.057278766422655</v>
      </c>
      <c r="AA1289" s="89">
        <f ca="1">+MIN(IF(AND(ISNUMBER(W1289)=TRUE,W1289&gt;0),AA953*(Assumptions!$H$466-((Assumptions!$G$458)*(Assumptions!$H$466)))/2+W1289,AA953*(Assumptions!$G$458)*(Assumptions!$H$466)),Assumptions!$H$466)</f>
        <v>18.057278766422655</v>
      </c>
      <c r="AB1289" s="89">
        <f ca="1">+MIN(IF(AND(ISNUMBER(X1289)=TRUE,X1289&gt;0),AB953*(Assumptions!$H$466-((Assumptions!$G$458)*(Assumptions!$H$466)))/2+X1289,AB953*(Assumptions!$G$458)*(Assumptions!$H$466)),Assumptions!$H$466)</f>
        <v>18.057278766422655</v>
      </c>
      <c r="AC1289" s="89">
        <f ca="1">+MIN(IF(AND(ISNUMBER(Y1289)=TRUE,Y1289&gt;0),AC953*(Assumptions!$H$466-((Assumptions!$G$458)*(Assumptions!$H$466)))/2+Y1289,AC953*(Assumptions!$G$458)*(Assumptions!$H$466)),Assumptions!$H$466)</f>
        <v>18.057278766422655</v>
      </c>
      <c r="AD1289" s="89">
        <f ca="1">+MIN(IF(AND(ISNUMBER(Z1289)=TRUE,Z1289&gt;0),AD953*(Assumptions!$H$466-((Assumptions!$G$458)*(Assumptions!$H$466)))/2+Z1289,AD953*(Assumptions!$G$458)*(Assumptions!$H$466)),Assumptions!$H$466)</f>
        <v>18.057278766422655</v>
      </c>
      <c r="AE1289" s="89">
        <f ca="1">+MIN(IF(AND(ISNUMBER(AA1289)=TRUE,AA1289&gt;0),AE953*(Assumptions!$H$466-((Assumptions!$G$458)*(Assumptions!$H$466)))/2+AA1289,AE953*(Assumptions!$G$458)*(Assumptions!$H$466)),Assumptions!$H$466)</f>
        <v>18.057278766422655</v>
      </c>
      <c r="AF1289" s="89">
        <f ca="1">+MIN(IF(AND(ISNUMBER(AB1289)=TRUE,AB1289&gt;0),AF953*(Assumptions!$H$466-((Assumptions!$G$458)*(Assumptions!$H$466)))/2+AB1289,AF953*(Assumptions!$G$458)*(Assumptions!$H$466)),Assumptions!$H$466)</f>
        <v>18.057278766422655</v>
      </c>
      <c r="AG1289" s="89">
        <f ca="1">+MIN(IF(AND(ISNUMBER(AC1289)=TRUE,AC1289&gt;0),AG953*(Assumptions!$H$466-((Assumptions!$G$458)*(Assumptions!$H$466)))/2+AC1289,AG953*(Assumptions!$G$458)*(Assumptions!$H$466)),Assumptions!$H$466)</f>
        <v>18.057278766422655</v>
      </c>
      <c r="AH1289" s="89">
        <f ca="1">+MIN(IF(AND(ISNUMBER(AD1289)=TRUE,AD1289&gt;0),AH953*(Assumptions!$H$466-((Assumptions!$G$458)*(Assumptions!$H$466)))/2+AD1289,AH953*(Assumptions!$G$458)*(Assumptions!$H$466)),Assumptions!$H$466)</f>
        <v>18.057278766422655</v>
      </c>
      <c r="AI1289" s="89">
        <f ca="1">+MIN(IF(AND(ISNUMBER(AE1289)=TRUE,AE1289&gt;0),AI953*(Assumptions!$H$466-((Assumptions!$G$458)*(Assumptions!$H$466)))/2+AE1289,AI953*(Assumptions!$G$458)*(Assumptions!$H$466)),Assumptions!$H$466)</f>
        <v>18.057278766422655</v>
      </c>
      <c r="AJ1289" s="89">
        <f ca="1">+MIN(IF(AND(ISNUMBER(AF1289)=TRUE,AF1289&gt;0),AJ953*(Assumptions!$H$466-((Assumptions!$G$458)*(Assumptions!$H$466)))/2+AF1289,AJ953*(Assumptions!$G$458)*(Assumptions!$H$466)),Assumptions!$H$466)</f>
        <v>18.057278766422655</v>
      </c>
      <c r="AK1289" s="89">
        <f ca="1">+MIN(IF(AND(ISNUMBER(AG1289)=TRUE,AG1289&gt;0),AK953*(Assumptions!$H$466-((Assumptions!$G$458)*(Assumptions!$H$466)))/2+AG1289,AK953*(Assumptions!$G$458)*(Assumptions!$H$466)),Assumptions!$H$466)</f>
        <v>18.057278766422655</v>
      </c>
      <c r="AL1289" s="89">
        <f ca="1">+MIN(IF(AND(ISNUMBER(AH1289)=TRUE,AH1289&gt;0),AL953*(Assumptions!$H$466-((Assumptions!$G$458)*(Assumptions!$H$466)))/2+AH1289,AL953*(Assumptions!$G$458)*(Assumptions!$H$466)),Assumptions!$H$466)</f>
        <v>18.057278766422655</v>
      </c>
      <c r="AM1289" s="89">
        <f ca="1">+MIN(IF(AND(ISNUMBER(AI1289)=TRUE,AI1289&gt;0),AM953*(Assumptions!$H$466-((Assumptions!$G$458)*(Assumptions!$H$466)))/2+AI1289,AM953*(Assumptions!$G$458)*(Assumptions!$H$466)),Assumptions!$H$466)</f>
        <v>18.057278766422655</v>
      </c>
      <c r="AN1289" s="89">
        <f ca="1">+MIN(IF(AND(ISNUMBER(AJ1289)=TRUE,AJ1289&gt;0),AN953*(Assumptions!$H$466-((Assumptions!$G$458)*(Assumptions!$H$466)))/2+AJ1289,AN953*(Assumptions!$G$458)*(Assumptions!$H$466)),Assumptions!$H$466)</f>
        <v>18.057278766422655</v>
      </c>
      <c r="AO1289" s="89">
        <f ca="1">+MIN(IF(AND(ISNUMBER(AK1289)=TRUE,AK1289&gt;0),AO953*(Assumptions!$H$466-((Assumptions!$G$458)*(Assumptions!$H$466)))/2+AK1289,AO953*(Assumptions!$G$458)*(Assumptions!$H$466)),Assumptions!$H$466)</f>
        <v>18.057278766422655</v>
      </c>
      <c r="AP1289" s="89">
        <f ca="1">+MIN(IF(AND(ISNUMBER(AL1289)=TRUE,AL1289&gt;0),AP953*(Assumptions!$H$466-((Assumptions!$G$458)*(Assumptions!$H$466)))/2+AL1289,AP953*(Assumptions!$G$458)*(Assumptions!$H$466)),Assumptions!$H$466)</f>
        <v>18.057278766422655</v>
      </c>
      <c r="AQ1289" s="89">
        <f ca="1">+MIN(IF(AND(ISNUMBER(AM1289)=TRUE,AM1289&gt;0),AQ953*(Assumptions!$H$466-((Assumptions!$G$458)*(Assumptions!$H$466)))/2+AM1289,AQ953*(Assumptions!$G$458)*(Assumptions!$H$466)),Assumptions!$H$466)</f>
        <v>18.057278766422655</v>
      </c>
      <c r="AR1289" s="89">
        <f ca="1">+MIN(IF(AND(ISNUMBER(AN1289)=TRUE,AN1289&gt;0),AR953*(Assumptions!$H$466-((Assumptions!$G$458)*(Assumptions!$H$466)))/2+AN1289,AR953*(Assumptions!$G$458)*(Assumptions!$H$466)),Assumptions!$H$466)</f>
        <v>18.057278766422655</v>
      </c>
      <c r="AS1289" s="89">
        <f ca="1">+MIN(IF(AND(ISNUMBER(AO1289)=TRUE,AO1289&gt;0),AS953*(Assumptions!$H$466-((Assumptions!$G$458)*(Assumptions!$H$466)))/2+AO1289,AS953*(Assumptions!$G$458)*(Assumptions!$H$466)),Assumptions!$H$466)</f>
        <v>18.057278766422655</v>
      </c>
      <c r="AT1289" s="89">
        <f ca="1">+MIN(IF(AND(ISNUMBER(AP1289)=TRUE,AP1289&gt;0),AT953*(Assumptions!$H$466-((Assumptions!$G$458)*(Assumptions!$H$466)))/2+AP1289,AT953*(Assumptions!$G$458)*(Assumptions!$H$466)),Assumptions!$H$466)</f>
        <v>18.057278766422655</v>
      </c>
      <c r="AU1289" s="89">
        <f ca="1">+MIN(IF(AND(ISNUMBER(AQ1289)=TRUE,AQ1289&gt;0),AU953*(Assumptions!$H$466-((Assumptions!$G$458)*(Assumptions!$H$466)))/2+AQ1289,AU953*(Assumptions!$G$458)*(Assumptions!$H$466)),Assumptions!$H$466)</f>
        <v>18.057278766422655</v>
      </c>
      <c r="AV1289" s="89">
        <f ca="1">+MIN(IF(AND(ISNUMBER(AR1289)=TRUE,AR1289&gt;0),AV953*(Assumptions!$H$466-((Assumptions!$G$458)*(Assumptions!$H$466)))/2+AR1289,AV953*(Assumptions!$G$458)*(Assumptions!$H$466)),Assumptions!$H$466)</f>
        <v>18.057278766422655</v>
      </c>
      <c r="AW1289" s="89">
        <f ca="1">+MIN(IF(AND(ISNUMBER(AS1289)=TRUE,AS1289&gt;0),AW953*(Assumptions!$H$466-((Assumptions!$G$458)*(Assumptions!$H$466)))/2+AS1289,AW953*(Assumptions!$G$458)*(Assumptions!$H$466)),Assumptions!$H$466)</f>
        <v>18.057278766422655</v>
      </c>
      <c r="AX1289" s="89">
        <f ca="1">+MIN(IF(AND(ISNUMBER(AT1289)=TRUE,AT1289&gt;0),AX953*(Assumptions!$H$466-((Assumptions!$G$458)*(Assumptions!$H$466)))/2+AT1289,AX953*(Assumptions!$G$458)*(Assumptions!$H$466)),Assumptions!$H$466)</f>
        <v>18.057278766422655</v>
      </c>
      <c r="AY1289" s="89">
        <f ca="1">+MIN(IF(AND(ISNUMBER(AU1289)=TRUE,AU1289&gt;0),AY953*(Assumptions!$H$466-((Assumptions!$G$458)*(Assumptions!$H$466)))/2+AU1289,AY953*(Assumptions!$G$458)*(Assumptions!$H$466)),Assumptions!$H$466)</f>
        <v>18.057278766422655</v>
      </c>
      <c r="AZ1289" s="89">
        <f ca="1">+MIN(IF(AND(ISNUMBER(AV1289)=TRUE,AV1289&gt;0),AZ953*(Assumptions!$H$466-((Assumptions!$G$458)*(Assumptions!$H$466)))/2+AV1289,AZ953*(Assumptions!$G$458)*(Assumptions!$H$466)),Assumptions!$H$466)</f>
        <v>18.057278766422655</v>
      </c>
      <c r="BA1289" s="89">
        <f ca="1">+MIN(IF(AND(ISNUMBER(AW1289)=TRUE,AW1289&gt;0),BA953*(Assumptions!$H$466-((Assumptions!$G$458)*(Assumptions!$H$466)))/2+AW1289,BA953*(Assumptions!$G$458)*(Assumptions!$H$466)),Assumptions!$H$466)</f>
        <v>18.057278766422655</v>
      </c>
      <c r="BB1289" s="89">
        <f ca="1">+MIN(IF(AND(ISNUMBER(AX1289)=TRUE,AX1289&gt;0),BB953*(Assumptions!$H$466-((Assumptions!$G$458)*(Assumptions!$H$466)))/2+AX1289,BB953*(Assumptions!$G$458)*(Assumptions!$H$466)),Assumptions!$H$466)</f>
        <v>18.057278766422655</v>
      </c>
      <c r="BC1289" s="89">
        <f ca="1">+MIN(IF(AND(ISNUMBER(AY1289)=TRUE,AY1289&gt;0),BC953*(Assumptions!$H$466-((Assumptions!$G$458)*(Assumptions!$H$466)))/2+AY1289,BC953*(Assumptions!$G$458)*(Assumptions!$H$466)),Assumptions!$H$466)</f>
        <v>18.057278766422655</v>
      </c>
      <c r="BD1289" s="89">
        <f ca="1">+MIN(IF(AND(ISNUMBER(AZ1289)=TRUE,AZ1289&gt;0),BD953*(Assumptions!$H$466-((Assumptions!$G$458)*(Assumptions!$H$466)))/2+AZ1289,BD953*(Assumptions!$G$458)*(Assumptions!$H$466)),Assumptions!$H$466)</f>
        <v>18.057278766422655</v>
      </c>
      <c r="BE1289" s="89">
        <f ca="1">+MIN(IF(AND(ISNUMBER(BA1289)=TRUE,BA1289&gt;0),BE953*(Assumptions!$H$466-((Assumptions!$G$458)*(Assumptions!$H$466)))/2+BA1289,BE953*(Assumptions!$G$458)*(Assumptions!$H$466)),Assumptions!$H$466)</f>
        <v>18.057278766422655</v>
      </c>
      <c r="BF1289" s="89">
        <f ca="1">+MIN(IF(AND(ISNUMBER(BB1289)=TRUE,BB1289&gt;0),BF953*(Assumptions!$H$466-((Assumptions!$G$458)*(Assumptions!$H$466)))/2+BB1289,BF953*(Assumptions!$G$458)*(Assumptions!$H$466)),Assumptions!$H$466)</f>
        <v>18.057278766422655</v>
      </c>
      <c r="BG1289" s="89">
        <f ca="1">+MIN(IF(AND(ISNUMBER(BC1289)=TRUE,BC1289&gt;0),BG953*(Assumptions!$H$466-((Assumptions!$G$458)*(Assumptions!$H$466)))/2+BC1289,BG953*(Assumptions!$G$458)*(Assumptions!$H$466)),Assumptions!$H$466)</f>
        <v>18.057278766422655</v>
      </c>
      <c r="BH1289" s="89">
        <f ca="1">+MIN(IF(AND(ISNUMBER(BD1289)=TRUE,BD1289&gt;0),BH953*(Assumptions!$H$466-((Assumptions!$G$458)*(Assumptions!$H$466)))/2+BD1289,BH953*(Assumptions!$G$458)*(Assumptions!$H$466)),Assumptions!$H$466)</f>
        <v>18.057278766422655</v>
      </c>
      <c r="BI1289" s="89">
        <f ca="1">+MIN(IF(AND(ISNUMBER(BE1289)=TRUE,BE1289&gt;0),BI953*(Assumptions!$H$466-((Assumptions!$G$458)*(Assumptions!$H$466)))/2+BE1289,BI953*(Assumptions!$G$458)*(Assumptions!$H$466)),Assumptions!$H$466)</f>
        <v>18.057278766422655</v>
      </c>
      <c r="BJ1289" s="89">
        <f ca="1">+MIN(IF(AND(ISNUMBER(BF1289)=TRUE,BF1289&gt;0),BJ953*(Assumptions!$H$466-((Assumptions!$G$458)*(Assumptions!$H$466)))/2+BF1289,BJ953*(Assumptions!$G$458)*(Assumptions!$H$466)),Assumptions!$H$466)</f>
        <v>18.057278766422655</v>
      </c>
      <c r="BK1289" s="89">
        <f ca="1">+MIN(IF(AND(ISNUMBER(BG1289)=TRUE,BG1289&gt;0),BK953*(Assumptions!$H$466-((Assumptions!$G$458)*(Assumptions!$H$466)))/2+BG1289,BK953*(Assumptions!$G$458)*(Assumptions!$H$466)),Assumptions!$H$466)</f>
        <v>18.057278766422655</v>
      </c>
      <c r="BL1289" s="89">
        <f ca="1">+MIN(IF(AND(ISNUMBER(BH1289)=TRUE,BH1289&gt;0),BL953*(Assumptions!$H$466-((Assumptions!$G$458)*(Assumptions!$H$466)))/2+BH1289,BL953*(Assumptions!$G$458)*(Assumptions!$H$466)),Assumptions!$H$466)</f>
        <v>18.057278766422655</v>
      </c>
      <c r="BM1289" s="89">
        <f ca="1">+MIN(IF(AND(ISNUMBER(BI1289)=TRUE,BI1289&gt;0),BM953*(Assumptions!$H$466-((Assumptions!$G$458)*(Assumptions!$H$466)))/2+BI1289,BM953*(Assumptions!$G$458)*(Assumptions!$H$466)),Assumptions!$H$466)</f>
        <v>18.057278766422655</v>
      </c>
      <c r="BN1289" s="89">
        <f ca="1">+MIN(IF(AND(ISNUMBER(BJ1289)=TRUE,BJ1289&gt;0),BN953*(Assumptions!$H$466-((Assumptions!$G$458)*(Assumptions!$H$466)))/2+BJ1289,BN953*(Assumptions!$G$458)*(Assumptions!$H$466)),Assumptions!$H$466)</f>
        <v>18.057278766422655</v>
      </c>
      <c r="BO1289" s="89">
        <f ca="1">+MIN(IF(AND(ISNUMBER(BK1289)=TRUE,BK1289&gt;0),BO953*(Assumptions!$H$466-((Assumptions!$G$458)*(Assumptions!$H$466)))/2+BK1289,BO953*(Assumptions!$G$458)*(Assumptions!$H$466)),Assumptions!$H$466)</f>
        <v>18.057278766422655</v>
      </c>
      <c r="BP1289" s="89">
        <f ca="1">+MIN(IF(AND(ISNUMBER(BL1289)=TRUE,BL1289&gt;0),BP953*(Assumptions!$H$466-((Assumptions!$G$458)*(Assumptions!$H$466)))/2+BL1289,BP953*(Assumptions!$G$458)*(Assumptions!$H$466)),Assumptions!$H$466)</f>
        <v>18.057278766422655</v>
      </c>
      <c r="BQ1289" s="89">
        <f ca="1">+MIN(IF(AND(ISNUMBER(BM1289)=TRUE,BM1289&gt;0),BQ953*(Assumptions!$H$466-((Assumptions!$G$458)*(Assumptions!$H$466)))/2+BM1289,BQ953*(Assumptions!$G$458)*(Assumptions!$H$466)),Assumptions!$H$466)</f>
        <v>18.057278766422655</v>
      </c>
      <c r="BR1289" s="89">
        <f ca="1">+MIN(IF(AND(ISNUMBER(BN1289)=TRUE,BN1289&gt;0),BR953*(Assumptions!$H$466-((Assumptions!$G$458)*(Assumptions!$H$466)))/2+BN1289,BR953*(Assumptions!$G$458)*(Assumptions!$H$466)),Assumptions!$H$466)</f>
        <v>18.057278766422655</v>
      </c>
      <c r="BS1289" s="89">
        <f ca="1">+MIN(IF(AND(ISNUMBER(BO1289)=TRUE,BO1289&gt;0),BS953*(Assumptions!$H$466-((Assumptions!$G$458)*(Assumptions!$H$466)))/2+BO1289,BS953*(Assumptions!$G$458)*(Assumptions!$H$466)),Assumptions!$H$466)</f>
        <v>18.057278766422655</v>
      </c>
      <c r="BT1289" s="89">
        <f ca="1">+MIN(IF(AND(ISNUMBER(BP1289)=TRUE,BP1289&gt;0),BT953*(Assumptions!$H$466-((Assumptions!$G$458)*(Assumptions!$H$466)))/2+BP1289,BT953*(Assumptions!$G$458)*(Assumptions!$H$466)),Assumptions!$H$466)</f>
        <v>18.057278766422655</v>
      </c>
      <c r="BU1289" s="89">
        <f ca="1">+MIN(IF(AND(ISNUMBER(BQ1289)=TRUE,BQ1289&gt;0),BU953*(Assumptions!$H$466-((Assumptions!$G$458)*(Assumptions!$H$466)))/2+BQ1289,BU953*(Assumptions!$G$458)*(Assumptions!$H$466)),Assumptions!$H$466)</f>
        <v>18.057278766422655</v>
      </c>
      <c r="BV1289" s="89">
        <f ca="1">+MIN(IF(AND(ISNUMBER(BR1289)=TRUE,BR1289&gt;0),BV953*(Assumptions!$H$466-((Assumptions!$G$458)*(Assumptions!$H$466)))/2+BR1289,BV953*(Assumptions!$G$458)*(Assumptions!$H$466)),Assumptions!$H$466)</f>
        <v>18.057278766422655</v>
      </c>
      <c r="BW1289" s="89">
        <f ca="1">+MIN(IF(AND(ISNUMBER(BS1289)=TRUE,BS1289&gt;0),BW953*(Assumptions!$H$466-((Assumptions!$G$458)*(Assumptions!$H$466)))/2+BS1289,BW953*(Assumptions!$G$458)*(Assumptions!$H$466)),Assumptions!$H$466)</f>
        <v>18.057278766422655</v>
      </c>
      <c r="BX1289" s="89">
        <f ca="1">+MIN(IF(AND(ISNUMBER(BT1289)=TRUE,BT1289&gt;0),BX953*(Assumptions!$H$466-((Assumptions!$G$458)*(Assumptions!$H$466)))/2+BT1289,BX953*(Assumptions!$G$458)*(Assumptions!$H$466)),Assumptions!$H$466)</f>
        <v>18.057278766422655</v>
      </c>
      <c r="BY1289" s="89">
        <f ca="1">+MIN(IF(AND(ISNUMBER(BU1289)=TRUE,BU1289&gt;0),BY953*(Assumptions!$H$466-((Assumptions!$G$458)*(Assumptions!$H$466)))/2+BU1289,BY953*(Assumptions!$G$458)*(Assumptions!$H$466)),Assumptions!$H$466)</f>
        <v>18.057278766422655</v>
      </c>
    </row>
    <row r="1290" spans="5:77" s="771" customFormat="1" outlineLevel="1">
      <c r="E1290" s="33" t="s">
        <v>623</v>
      </c>
      <c r="F1290" s="775" t="s">
        <v>356</v>
      </c>
      <c r="G1290"/>
      <c r="H1290" s="89">
        <f>+IF(Assumptions!$G$462="Yes",Assumptions!$G$464*H434*H1289,0)</f>
        <v>0</v>
      </c>
      <c r="I1290" s="89">
        <f>+IF(Assumptions!$G$462="Yes",Assumptions!$G$464*I434*I1289,0)</f>
        <v>0</v>
      </c>
      <c r="J1290" s="89">
        <f>+IF(Assumptions!$G$462="Yes",Assumptions!$G$464*J434*J1289,0)</f>
        <v>0</v>
      </c>
      <c r="K1290" s="89">
        <f>+IF(Assumptions!$G$462="Yes",Assumptions!$G$464*K434*K1289,0)</f>
        <v>0</v>
      </c>
      <c r="L1290" s="89">
        <f>+IF(Assumptions!$G$462="Yes",Assumptions!$G$464*L434*L1289,0)</f>
        <v>0</v>
      </c>
      <c r="M1290" s="89">
        <f>+IF(Assumptions!$G$462="Yes",Assumptions!$G$464*M434*M1289,0)</f>
        <v>0</v>
      </c>
      <c r="N1290" s="89">
        <f>+IF(Assumptions!$G$462="Yes",Assumptions!$G$464*N434*N1289,0)</f>
        <v>0</v>
      </c>
      <c r="O1290" s="89">
        <f>+IF(Assumptions!$G$462="Yes",Assumptions!$G$464*O434*O1289,0)</f>
        <v>0</v>
      </c>
      <c r="P1290" s="89">
        <f>+IF(Assumptions!$G$462="Yes",Assumptions!$G$464*P434*P1289,0)</f>
        <v>0</v>
      </c>
      <c r="Q1290" s="89">
        <f>+IF(Assumptions!$G$462="Yes",Assumptions!$G$464*Q434*Q1289,0)</f>
        <v>0</v>
      </c>
      <c r="R1290" s="89">
        <f>+IF(Assumptions!$G$462="Yes",Assumptions!$G$464*R434*R1289,0)</f>
        <v>0</v>
      </c>
      <c r="S1290" s="89">
        <f>+IF(Assumptions!$G$462="Yes",Assumptions!$G$464*S434*S1289,0)</f>
        <v>0</v>
      </c>
      <c r="T1290" s="89">
        <f>+IF(Assumptions!$G$462="Yes",Assumptions!$G$464*T434*T1289,0)</f>
        <v>0</v>
      </c>
      <c r="U1290" s="89">
        <f>+IF(Assumptions!$G$462="Yes",Assumptions!$G$464*U434*U1289,0)</f>
        <v>0</v>
      </c>
      <c r="V1290" s="89">
        <f>+IF(Assumptions!$G$462="Yes",Assumptions!$G$464*V434*V1289,0)</f>
        <v>0</v>
      </c>
      <c r="W1290" s="89">
        <f>+IF(Assumptions!$G$462="Yes",Assumptions!$G$464*W434*W1289,0)</f>
        <v>0</v>
      </c>
      <c r="X1290" s="89">
        <f>+IF(Assumptions!$G$462="Yes",Assumptions!$G$464*X434*X1289,0)</f>
        <v>0</v>
      </c>
      <c r="Y1290" s="89">
        <f>+IF(Assumptions!$G$462="Yes",Assumptions!$G$464*Y434*Y1289,0)</f>
        <v>0</v>
      </c>
      <c r="Z1290" s="89">
        <f>+IF(Assumptions!$G$462="Yes",Assumptions!$G$464*Z434*Z1289,0)</f>
        <v>0</v>
      </c>
      <c r="AA1290" s="89">
        <f>+IF(Assumptions!$G$462="Yes",Assumptions!$G$464*AA434*AA1289,0)</f>
        <v>0</v>
      </c>
      <c r="AB1290" s="89">
        <f>+IF(Assumptions!$G$462="Yes",Assumptions!$G$464*AB434*AB1289,0)</f>
        <v>0</v>
      </c>
      <c r="AC1290" s="89">
        <f>+IF(Assumptions!$G$462="Yes",Assumptions!$G$464*AC434*AC1289,0)</f>
        <v>0</v>
      </c>
      <c r="AD1290" s="89">
        <f>+IF(Assumptions!$G$462="Yes",Assumptions!$G$464*AD434*AD1289,0)</f>
        <v>0</v>
      </c>
      <c r="AE1290" s="89">
        <f>+IF(Assumptions!$G$462="Yes",Assumptions!$G$464*AE434*AE1289,0)</f>
        <v>0</v>
      </c>
      <c r="AF1290" s="89">
        <f>+IF(Assumptions!$G$462="Yes",Assumptions!$G$464*AF434*AF1289,0)</f>
        <v>0</v>
      </c>
      <c r="AG1290" s="89">
        <f>+IF(Assumptions!$G$462="Yes",Assumptions!$G$464*AG434*AG1289,0)</f>
        <v>0</v>
      </c>
      <c r="AH1290" s="89">
        <f>+IF(Assumptions!$G$462="Yes",Assumptions!$G$464*AH434*AH1289,0)</f>
        <v>0</v>
      </c>
      <c r="AI1290" s="89">
        <f>+IF(Assumptions!$G$462="Yes",Assumptions!$G$464*AI434*AI1289,0)</f>
        <v>0</v>
      </c>
      <c r="AJ1290" s="89">
        <f>+IF(Assumptions!$G$462="Yes",Assumptions!$G$464*AJ434*AJ1289,0)</f>
        <v>0</v>
      </c>
      <c r="AK1290" s="89">
        <f>+IF(Assumptions!$G$462="Yes",Assumptions!$G$464*AK434*AK1289,0)</f>
        <v>0</v>
      </c>
      <c r="AL1290" s="89">
        <f>+IF(Assumptions!$G$462="Yes",Assumptions!$G$464*AL434*AL1289,0)</f>
        <v>0</v>
      </c>
      <c r="AM1290" s="89">
        <f>+IF(Assumptions!$G$462="Yes",Assumptions!$G$464*AM434*AM1289,0)</f>
        <v>0</v>
      </c>
      <c r="AN1290" s="89">
        <f>+IF(Assumptions!$G$462="Yes",Assumptions!$G$464*AN434*AN1289,0)</f>
        <v>0</v>
      </c>
      <c r="AO1290" s="89">
        <f>+IF(Assumptions!$G$462="Yes",Assumptions!$G$464*AO434*AO1289,0)</f>
        <v>0</v>
      </c>
      <c r="AP1290" s="89">
        <f>+IF(Assumptions!$G$462="Yes",Assumptions!$G$464*AP434*AP1289,0)</f>
        <v>0</v>
      </c>
      <c r="AQ1290" s="89">
        <f>+IF(Assumptions!$G$462="Yes",Assumptions!$G$464*AQ434*AQ1289,0)</f>
        <v>0</v>
      </c>
      <c r="AR1290" s="89">
        <f>+IF(Assumptions!$G$462="Yes",Assumptions!$G$464*AR434*AR1289,0)</f>
        <v>0</v>
      </c>
      <c r="AS1290" s="89">
        <f>+IF(Assumptions!$G$462="Yes",Assumptions!$G$464*AS434*AS1289,0)</f>
        <v>0</v>
      </c>
      <c r="AT1290" s="89">
        <f>+IF(Assumptions!$G$462="Yes",Assumptions!$G$464*AT434*AT1289,0)</f>
        <v>0</v>
      </c>
      <c r="AU1290" s="89">
        <f>+IF(Assumptions!$G$462="Yes",Assumptions!$G$464*AU434*AU1289,0)</f>
        <v>0</v>
      </c>
      <c r="AV1290" s="89">
        <f>+IF(Assumptions!$G$462="Yes",Assumptions!$G$464*AV434*AV1289,0)</f>
        <v>0</v>
      </c>
      <c r="AW1290" s="89">
        <f>+IF(Assumptions!$G$462="Yes",Assumptions!$G$464*AW434*AW1289,0)</f>
        <v>0</v>
      </c>
      <c r="AX1290" s="89">
        <f>+IF(Assumptions!$G$462="Yes",Assumptions!$G$464*AX434*AX1289,0)</f>
        <v>0</v>
      </c>
      <c r="AY1290" s="89">
        <f>+IF(Assumptions!$G$462="Yes",Assumptions!$G$464*AY434*AY1289,0)</f>
        <v>0</v>
      </c>
      <c r="AZ1290" s="89">
        <f>+IF(Assumptions!$G$462="Yes",Assumptions!$G$464*AZ434*AZ1289,0)</f>
        <v>0</v>
      </c>
      <c r="BA1290" s="89">
        <f>+IF(Assumptions!$G$462="Yes",Assumptions!$G$464*BA434*BA1289,0)</f>
        <v>0</v>
      </c>
      <c r="BB1290" s="89">
        <f>+IF(Assumptions!$G$462="Yes",Assumptions!$G$464*BB434*BB1289,0)</f>
        <v>0</v>
      </c>
      <c r="BC1290" s="89">
        <f>+IF(Assumptions!$G$462="Yes",Assumptions!$G$464*BC434*BC1289,0)</f>
        <v>0</v>
      </c>
      <c r="BD1290" s="89">
        <f>+IF(Assumptions!$G$462="Yes",Assumptions!$G$464*BD434*BD1289,0)</f>
        <v>0</v>
      </c>
      <c r="BE1290" s="89">
        <f>+IF(Assumptions!$G$462="Yes",Assumptions!$G$464*BE434*BE1289,0)</f>
        <v>0</v>
      </c>
      <c r="BF1290" s="89">
        <f>+IF(Assumptions!$G$462="Yes",Assumptions!$G$464*BF434*BF1289,0)</f>
        <v>0</v>
      </c>
      <c r="BG1290" s="89">
        <f>+IF(Assumptions!$G$462="Yes",Assumptions!$G$464*BG434*BG1289,0)</f>
        <v>0</v>
      </c>
      <c r="BH1290" s="89">
        <f>+IF(Assumptions!$G$462="Yes",Assumptions!$G$464*BH434*BH1289,0)</f>
        <v>0</v>
      </c>
      <c r="BI1290" s="89">
        <f>+IF(Assumptions!$G$462="Yes",Assumptions!$G$464*BI434*BI1289,0)</f>
        <v>0</v>
      </c>
      <c r="BJ1290" s="89">
        <f>+IF(Assumptions!$G$462="Yes",Assumptions!$G$464*BJ434*BJ1289,0)</f>
        <v>0</v>
      </c>
      <c r="BK1290" s="89">
        <f>+IF(Assumptions!$G$462="Yes",Assumptions!$G$464*BK434*BK1289,0)</f>
        <v>0</v>
      </c>
      <c r="BL1290" s="89">
        <f>+IF(Assumptions!$G$462="Yes",Assumptions!$G$464*BL434*BL1289,0)</f>
        <v>0</v>
      </c>
      <c r="BM1290" s="89">
        <f>+IF(Assumptions!$G$462="Yes",Assumptions!$G$464*BM434*BM1289,0)</f>
        <v>0</v>
      </c>
      <c r="BN1290" s="89">
        <f>+IF(Assumptions!$G$462="Yes",Assumptions!$G$464*BN434*BN1289,0)</f>
        <v>0</v>
      </c>
      <c r="BO1290" s="89">
        <f>+IF(Assumptions!$G$462="Yes",Assumptions!$G$464*BO434*BO1289,0)</f>
        <v>0</v>
      </c>
      <c r="BP1290" s="89">
        <f>+IF(Assumptions!$G$462="Yes",Assumptions!$G$464*BP434*BP1289,0)</f>
        <v>0</v>
      </c>
      <c r="BQ1290" s="89">
        <f>+IF(Assumptions!$G$462="Yes",Assumptions!$G$464*BQ434*BQ1289,0)</f>
        <v>0</v>
      </c>
      <c r="BR1290" s="89">
        <f>+IF(Assumptions!$G$462="Yes",Assumptions!$G$464*BR434*BR1289,0)</f>
        <v>0</v>
      </c>
      <c r="BS1290" s="89">
        <f>+IF(Assumptions!$G$462="Yes",Assumptions!$G$464*BS434*BS1289,0)</f>
        <v>0</v>
      </c>
      <c r="BT1290" s="89">
        <f>+IF(Assumptions!$G$462="Yes",Assumptions!$G$464*BT434*BT1289,0)</f>
        <v>0</v>
      </c>
      <c r="BU1290" s="89">
        <f>+IF(Assumptions!$G$462="Yes",Assumptions!$G$464*BU434*BU1289,0)</f>
        <v>0</v>
      </c>
      <c r="BV1290" s="89">
        <f>+IF(Assumptions!$G$462="Yes",Assumptions!$G$464*BV434*BV1289,0)</f>
        <v>0</v>
      </c>
      <c r="BW1290" s="89">
        <f>+IF(Assumptions!$G$462="Yes",Assumptions!$G$464*BW434*BW1289,0)</f>
        <v>0</v>
      </c>
      <c r="BX1290" s="89">
        <f>+IF(Assumptions!$G$462="Yes",Assumptions!$G$464*BX434*BX1289,0)</f>
        <v>0</v>
      </c>
      <c r="BY1290" s="89">
        <f>+IF(Assumptions!$G$462="Yes",Assumptions!$G$464*BY434*BY1289,0)</f>
        <v>0</v>
      </c>
    </row>
    <row r="1291" spans="5:77" s="771" customFormat="1" ht="15" outlineLevel="1">
      <c r="E1291" s="22"/>
      <c r="F1291"/>
      <c r="G1291"/>
      <c r="H1291" s="89"/>
      <c r="I1291" s="89"/>
      <c r="J1291" s="89"/>
      <c r="K1291" s="89"/>
      <c r="L1291" s="89"/>
      <c r="M1291" s="89"/>
      <c r="N1291" s="89"/>
      <c r="O1291" s="89"/>
      <c r="P1291" s="89"/>
      <c r="Q1291" s="89"/>
      <c r="R1291" s="89"/>
      <c r="S1291" s="89"/>
      <c r="T1291" s="89"/>
      <c r="U1291" s="89"/>
      <c r="V1291" s="89"/>
      <c r="W1291" s="89"/>
      <c r="X1291" s="89"/>
      <c r="Y1291" s="89"/>
      <c r="Z1291" s="89"/>
      <c r="AA1291" s="89"/>
      <c r="AB1291" s="89"/>
      <c r="AC1291" s="89"/>
      <c r="AD1291" s="89"/>
      <c r="AE1291" s="89"/>
      <c r="AF1291" s="89"/>
      <c r="AG1291" s="89"/>
      <c r="AH1291" s="89"/>
      <c r="AI1291" s="89"/>
      <c r="AJ1291" s="89"/>
      <c r="AK1291" s="89"/>
      <c r="AL1291" s="89"/>
      <c r="AM1291" s="89"/>
      <c r="AN1291" s="89"/>
      <c r="AO1291" s="89"/>
      <c r="AP1291" s="89"/>
      <c r="AQ1291" s="89"/>
      <c r="AR1291" s="89"/>
      <c r="AS1291" s="89"/>
      <c r="AT1291" s="89"/>
      <c r="AU1291" s="89"/>
      <c r="AV1291" s="89"/>
      <c r="AW1291" s="89"/>
      <c r="AX1291" s="89"/>
      <c r="AY1291" s="89"/>
      <c r="AZ1291" s="89"/>
      <c r="BA1291" s="89"/>
      <c r="BB1291" s="89"/>
      <c r="BC1291" s="89"/>
      <c r="BD1291" s="89"/>
      <c r="BE1291" s="89"/>
      <c r="BF1291" s="89"/>
      <c r="BG1291" s="89"/>
      <c r="BH1291" s="89"/>
      <c r="BI1291" s="89"/>
      <c r="BJ1291" s="89"/>
      <c r="BK1291" s="89"/>
      <c r="BL1291" s="89"/>
      <c r="BM1291" s="89"/>
      <c r="BN1291" s="89"/>
      <c r="BO1291" s="89"/>
      <c r="BP1291" s="89"/>
      <c r="BQ1291" s="89"/>
      <c r="BR1291" s="89"/>
      <c r="BS1291" s="89"/>
      <c r="BT1291" s="89"/>
      <c r="BU1291" s="89"/>
      <c r="BV1291" s="89"/>
      <c r="BW1291" s="89"/>
      <c r="BX1291" s="89"/>
      <c r="BY1291" s="89"/>
    </row>
    <row r="1292" spans="5:77" s="771" customFormat="1" outlineLevel="1">
      <c r="E1292" t="s">
        <v>631</v>
      </c>
      <c r="F1292" s="772" t="s">
        <v>622</v>
      </c>
      <c r="G1292"/>
      <c r="H1292" s="137">
        <f ca="1">+MIN(IF(AND(ISNUMBER(D1292)=TRUE,D1292&gt;0),H953*(Assumptions!$G$467-(Assumptions!$G$469*(Assumptions!$G$467)))/2+D1292,H953*Assumptions!$G$469*(Assumptions!$G$467)),Assumptions!$G$467)</f>
        <v>0</v>
      </c>
      <c r="I1292" s="137">
        <f ca="1">+MIN(IF(AND(ISNUMBER(E1292)=TRUE,E1292&gt;0),I953*(Assumptions!$G$467-(Assumptions!$G$469*(Assumptions!$G$467)))/2+E1292,I953*Assumptions!$G$469*(Assumptions!$G$467)),Assumptions!$G$467)</f>
        <v>0</v>
      </c>
      <c r="J1292" s="137">
        <f ca="1">+MIN(IF(AND(ISNUMBER(F1292)=TRUE,F1292&gt;0),J953*(Assumptions!$G$467-(Assumptions!$G$469*(Assumptions!$G$467)))/2+F1292,J953*Assumptions!$G$469*(Assumptions!$G$467)),Assumptions!$G$467)</f>
        <v>0</v>
      </c>
      <c r="K1292" s="137">
        <f ca="1">+MIN(IF(AND(ISNUMBER(G1292)=TRUE,G1292&gt;0),K953*(Assumptions!$G$467-(Assumptions!$G$469*(Assumptions!$G$467)))/2+G1292,K953*Assumptions!$G$469*(Assumptions!$G$467)),Assumptions!$G$467)</f>
        <v>0</v>
      </c>
      <c r="L1292" s="137">
        <f ca="1">+MIN(IF(AND(ISNUMBER(H1292)=TRUE,H1292&gt;0),L953*(Assumptions!$G$467-(Assumptions!$G$469*(Assumptions!$G$467)))/2+H1292,L953*Assumptions!$G$469*(Assumptions!$G$467)),Assumptions!$G$467)</f>
        <v>0</v>
      </c>
      <c r="M1292" s="137">
        <f ca="1">+MIN(IF(AND(ISNUMBER(I1292)=TRUE,I1292&gt;0),M953*(Assumptions!$G$467-(Assumptions!$G$469*(Assumptions!$G$467)))/2+I1292,M953*Assumptions!$G$469*(Assumptions!$G$467)),Assumptions!$G$467)</f>
        <v>0</v>
      </c>
      <c r="N1292" s="137">
        <f ca="1">+MIN(IF(AND(ISNUMBER(J1292)=TRUE,J1292&gt;0),N953*(Assumptions!$G$467-(Assumptions!$G$469*(Assumptions!$G$467)))/2+J1292,N953*Assumptions!$G$469*(Assumptions!$G$467)),Assumptions!$G$467)</f>
        <v>0</v>
      </c>
      <c r="O1292" s="137">
        <f ca="1">+MIN(IF(AND(ISNUMBER(K1292)=TRUE,K1292&gt;0),O953*(Assumptions!$G$467-(Assumptions!$G$469*(Assumptions!$G$467)))/2+K1292,O953*Assumptions!$G$469*(Assumptions!$G$467)),Assumptions!$G$467)</f>
        <v>0</v>
      </c>
      <c r="P1292" s="137">
        <f ca="1">+MIN(IF(AND(ISNUMBER(L1292)=TRUE,L1292&gt;0),P953*(Assumptions!$G$467-(Assumptions!$G$469*(Assumptions!$G$467)))/2+L1292,P953*Assumptions!$G$469*(Assumptions!$G$467)),Assumptions!$G$467)</f>
        <v>0</v>
      </c>
      <c r="Q1292" s="137">
        <f ca="1">+MIN(IF(AND(ISNUMBER(M1292)=TRUE,M1292&gt;0),Q953*(Assumptions!$G$467-(Assumptions!$G$469*(Assumptions!$G$467)))/2+M1292,Q953*Assumptions!$G$469*(Assumptions!$G$467)),Assumptions!$G$467)</f>
        <v>0</v>
      </c>
      <c r="R1292" s="137">
        <f ca="1">+MIN(IF(AND(ISNUMBER(N1292)=TRUE,N1292&gt;0),R953*(Assumptions!$G$467-(Assumptions!$G$469*(Assumptions!$G$467)))/2+N1292,R953*Assumptions!$G$469*(Assumptions!$G$467)),Assumptions!$G$467)</f>
        <v>0</v>
      </c>
      <c r="S1292" s="137">
        <f ca="1">+MIN(IF(AND(ISNUMBER(O1292)=TRUE,O1292&gt;0),S953*(Assumptions!$G$467-(Assumptions!$G$469*(Assumptions!$G$467)))/2+O1292,S953*Assumptions!$G$469*(Assumptions!$G$467)),Assumptions!$G$467)</f>
        <v>0</v>
      </c>
      <c r="T1292" s="137">
        <f ca="1">+MIN(IF(AND(ISNUMBER(P1292)=TRUE,P1292&gt;0),T953*(Assumptions!$G$467-(Assumptions!$G$469*(Assumptions!$G$467)))/2+P1292,T953*Assumptions!$G$469*(Assumptions!$G$467)),Assumptions!$G$467)</f>
        <v>0</v>
      </c>
      <c r="U1292" s="137">
        <f ca="1">+MIN(IF(AND(ISNUMBER(Q1292)=TRUE,Q1292&gt;0),U953*(Assumptions!$G$467-(Assumptions!$G$469*(Assumptions!$G$467)))/2+Q1292,U953*Assumptions!$G$469*(Assumptions!$G$467)),Assumptions!$G$467)</f>
        <v>0</v>
      </c>
      <c r="V1292" s="137">
        <f ca="1">+MIN(IF(AND(ISNUMBER(R1292)=TRUE,R1292&gt;0),V953*(Assumptions!$G$467-(Assumptions!$G$469*(Assumptions!$G$467)))/2+R1292,V953*Assumptions!$G$469*(Assumptions!$G$467)),Assumptions!$G$467)</f>
        <v>0</v>
      </c>
      <c r="W1292" s="137">
        <f ca="1">+MIN(IF(AND(ISNUMBER(S1292)=TRUE,S1292&gt;0),W953*(Assumptions!$G$467-(Assumptions!$G$469*(Assumptions!$G$467)))/2+S1292,W953*Assumptions!$G$469*(Assumptions!$G$467)),Assumptions!$G$467)</f>
        <v>0</v>
      </c>
      <c r="X1292" s="137">
        <f ca="1">+MIN(IF(AND(ISNUMBER(T1292)=TRUE,T1292&gt;0),X953*(Assumptions!$G$467-(Assumptions!$G$469*(Assumptions!$G$467)))/2+T1292,X953*Assumptions!$G$469*(Assumptions!$G$467)),Assumptions!$G$467)</f>
        <v>0</v>
      </c>
      <c r="Y1292" s="137">
        <f ca="1">+MIN(IF(AND(ISNUMBER(U1292)=TRUE,U1292&gt;0),Y953*(Assumptions!$G$467-(Assumptions!$G$469*(Assumptions!$G$467)))/2+U1292,Y953*Assumptions!$G$469*(Assumptions!$G$467)),Assumptions!$G$467)</f>
        <v>0</v>
      </c>
      <c r="Z1292" s="137">
        <f ca="1">+MIN(IF(AND(ISNUMBER(V1292)=TRUE,V1292&gt;0),Z953*(Assumptions!$G$467-(Assumptions!$G$469*(Assumptions!$G$467)))/2+V1292,Z953*Assumptions!$G$469*(Assumptions!$G$467)),Assumptions!$G$467)</f>
        <v>0</v>
      </c>
      <c r="AA1292" s="137">
        <f ca="1">+MIN(IF(AND(ISNUMBER(W1292)=TRUE,W1292&gt;0),AA953*(Assumptions!$G$467-(Assumptions!$G$469*(Assumptions!$G$467)))/2+W1292,AA953*Assumptions!$G$469*(Assumptions!$G$467)),Assumptions!$G$467)</f>
        <v>0</v>
      </c>
      <c r="AB1292" s="137">
        <f ca="1">+MIN(IF(AND(ISNUMBER(X1292)=TRUE,X1292&gt;0),AB953*(Assumptions!$G$467-(Assumptions!$G$469*(Assumptions!$G$467)))/2+X1292,AB953*Assumptions!$G$469*(Assumptions!$G$467)),Assumptions!$G$467)</f>
        <v>0</v>
      </c>
      <c r="AC1292" s="137">
        <f ca="1">+MIN(IF(AND(ISNUMBER(Y1292)=TRUE,Y1292&gt;0),AC953*(Assumptions!$G$467-(Assumptions!$G$469*(Assumptions!$G$467)))/2+Y1292,AC953*Assumptions!$G$469*(Assumptions!$G$467)),Assumptions!$G$467)</f>
        <v>0</v>
      </c>
      <c r="AD1292" s="137">
        <f ca="1">+MIN(IF(AND(ISNUMBER(Z1292)=TRUE,Z1292&gt;0),AD953*(Assumptions!$G$467-(Assumptions!$G$469*(Assumptions!$G$467)))/2+Z1292,AD953*Assumptions!$G$469*(Assumptions!$G$467)),Assumptions!$G$467)</f>
        <v>0</v>
      </c>
      <c r="AE1292" s="137">
        <f ca="1">+MIN(IF(AND(ISNUMBER(AA1292)=TRUE,AA1292&gt;0),AE953*(Assumptions!$G$467-(Assumptions!$G$469*(Assumptions!$G$467)))/2+AA1292,AE953*Assumptions!$G$469*(Assumptions!$G$467)),Assumptions!$G$467)</f>
        <v>0</v>
      </c>
      <c r="AF1292" s="137">
        <f ca="1">+MIN(IF(AND(ISNUMBER(AB1292)=TRUE,AB1292&gt;0),AF953*(Assumptions!$G$467-(Assumptions!$G$469*(Assumptions!$G$467)))/2+AB1292,AF953*Assumptions!$G$469*(Assumptions!$G$467)),Assumptions!$G$467)</f>
        <v>0</v>
      </c>
      <c r="AG1292" s="137">
        <f ca="1">+MIN(IF(AND(ISNUMBER(AC1292)=TRUE,AC1292&gt;0),AG953*(Assumptions!$G$467-(Assumptions!$G$469*(Assumptions!$G$467)))/2+AC1292,AG953*Assumptions!$G$469*(Assumptions!$G$467)),Assumptions!$G$467)</f>
        <v>0</v>
      </c>
      <c r="AH1292" s="137">
        <f ca="1">+MIN(IF(AND(ISNUMBER(AD1292)=TRUE,AD1292&gt;0),AH953*(Assumptions!$G$467-(Assumptions!$G$469*(Assumptions!$G$467)))/2+AD1292,AH953*Assumptions!$G$469*(Assumptions!$G$467)),Assumptions!$G$467)</f>
        <v>0</v>
      </c>
      <c r="AI1292" s="137">
        <f ca="1">+MIN(IF(AND(ISNUMBER(AE1292)=TRUE,AE1292&gt;0),AI953*(Assumptions!$G$467-(Assumptions!$G$469*(Assumptions!$G$467)))/2+AE1292,AI953*Assumptions!$G$469*(Assumptions!$G$467)),Assumptions!$G$467)</f>
        <v>0</v>
      </c>
      <c r="AJ1292" s="137">
        <f ca="1">+MIN(IF(AND(ISNUMBER(AF1292)=TRUE,AF1292&gt;0),AJ953*(Assumptions!$G$467-(Assumptions!$G$469*(Assumptions!$G$467)))/2+AF1292,AJ953*Assumptions!$G$469*(Assumptions!$G$467)),Assumptions!$G$467)</f>
        <v>0</v>
      </c>
      <c r="AK1292" s="137">
        <f ca="1">+MIN(IF(AND(ISNUMBER(AG1292)=TRUE,AG1292&gt;0),AK953*(Assumptions!$G$467-(Assumptions!$G$469*(Assumptions!$G$467)))/2+AG1292,AK953*Assumptions!$G$469*(Assumptions!$G$467)),Assumptions!$G$467)</f>
        <v>0</v>
      </c>
      <c r="AL1292" s="137">
        <f ca="1">+MIN(IF(AND(ISNUMBER(AH1292)=TRUE,AH1292&gt;0),AL953*(Assumptions!$G$467-(Assumptions!$G$469*(Assumptions!$G$467)))/2+AH1292,AL953*Assumptions!$G$469*(Assumptions!$G$467)),Assumptions!$G$467)</f>
        <v>0</v>
      </c>
      <c r="AM1292" s="137">
        <f ca="1">+MIN(IF(AND(ISNUMBER(AI1292)=TRUE,AI1292&gt;0),AM953*(Assumptions!$G$467-(Assumptions!$G$469*(Assumptions!$G$467)))/2+AI1292,AM953*Assumptions!$G$469*(Assumptions!$G$467)),Assumptions!$G$467)</f>
        <v>0</v>
      </c>
      <c r="AN1292" s="137">
        <f ca="1">+MIN(IF(AND(ISNUMBER(AJ1292)=TRUE,AJ1292&gt;0),AN953*(Assumptions!$G$467-(Assumptions!$G$469*(Assumptions!$G$467)))/2+AJ1292,AN953*Assumptions!$G$469*(Assumptions!$G$467)),Assumptions!$G$467)</f>
        <v>0</v>
      </c>
      <c r="AO1292" s="137">
        <f ca="1">+MIN(IF(AND(ISNUMBER(AK1292)=TRUE,AK1292&gt;0),AO953*(Assumptions!$G$467-(Assumptions!$G$469*(Assumptions!$G$467)))/2+AK1292,AO953*Assumptions!$G$469*(Assumptions!$G$467)),Assumptions!$G$467)</f>
        <v>0</v>
      </c>
      <c r="AP1292" s="137">
        <f ca="1">+MIN(IF(AND(ISNUMBER(AL1292)=TRUE,AL1292&gt;0),AP953*(Assumptions!$G$467-(Assumptions!$G$469*(Assumptions!$G$467)))/2+AL1292,AP953*Assumptions!$G$469*(Assumptions!$G$467)),Assumptions!$G$467)</f>
        <v>0</v>
      </c>
      <c r="AQ1292" s="137">
        <f ca="1">+MIN(IF(AND(ISNUMBER(AM1292)=TRUE,AM1292&gt;0),AQ953*(Assumptions!$G$467-(Assumptions!$G$469*(Assumptions!$G$467)))/2+AM1292,AQ953*Assumptions!$G$469*(Assumptions!$G$467)),Assumptions!$G$467)</f>
        <v>0</v>
      </c>
      <c r="AR1292" s="137">
        <f ca="1">+MIN(IF(AND(ISNUMBER(AN1292)=TRUE,AN1292&gt;0),AR953*(Assumptions!$G$467-(Assumptions!$G$469*(Assumptions!$G$467)))/2+AN1292,AR953*Assumptions!$G$469*(Assumptions!$G$467)),Assumptions!$G$467)</f>
        <v>0</v>
      </c>
      <c r="AS1292" s="137">
        <f ca="1">+MIN(IF(AND(ISNUMBER(AO1292)=TRUE,AO1292&gt;0),AS953*(Assumptions!$G$467-(Assumptions!$G$469*(Assumptions!$G$467)))/2+AO1292,AS953*Assumptions!$G$469*(Assumptions!$G$467)),Assumptions!$G$467)</f>
        <v>0</v>
      </c>
      <c r="AT1292" s="137">
        <f ca="1">+MIN(IF(AND(ISNUMBER(AP1292)=TRUE,AP1292&gt;0),AT953*(Assumptions!$G$467-(Assumptions!$G$469*(Assumptions!$G$467)))/2+AP1292,AT953*Assumptions!$G$469*(Assumptions!$G$467)),Assumptions!$G$467)</f>
        <v>0</v>
      </c>
      <c r="AU1292" s="137">
        <f ca="1">+MIN(IF(AND(ISNUMBER(AQ1292)=TRUE,AQ1292&gt;0),AU953*(Assumptions!$G$467-(Assumptions!$G$469*(Assumptions!$G$467)))/2+AQ1292,AU953*Assumptions!$G$469*(Assumptions!$G$467)),Assumptions!$G$467)</f>
        <v>0</v>
      </c>
      <c r="AV1292" s="137">
        <f ca="1">+MIN(IF(AND(ISNUMBER(AR1292)=TRUE,AR1292&gt;0),AV953*(Assumptions!$G$467-(Assumptions!$G$469*(Assumptions!$G$467)))/2+AR1292,AV953*Assumptions!$G$469*(Assumptions!$G$467)),Assumptions!$G$467)</f>
        <v>0</v>
      </c>
      <c r="AW1292" s="137">
        <f ca="1">+MIN(IF(AND(ISNUMBER(AS1292)=TRUE,AS1292&gt;0),AW953*(Assumptions!$G$467-(Assumptions!$G$469*(Assumptions!$G$467)))/2+AS1292,AW953*Assumptions!$G$469*(Assumptions!$G$467)),Assumptions!$G$467)</f>
        <v>0</v>
      </c>
      <c r="AX1292" s="137">
        <f ca="1">+MIN(IF(AND(ISNUMBER(AT1292)=TRUE,AT1292&gt;0),AX953*(Assumptions!$G$467-(Assumptions!$G$469*(Assumptions!$G$467)))/2+AT1292,AX953*Assumptions!$G$469*(Assumptions!$G$467)),Assumptions!$G$467)</f>
        <v>0</v>
      </c>
      <c r="AY1292" s="137">
        <f ca="1">+MIN(IF(AND(ISNUMBER(AU1292)=TRUE,AU1292&gt;0),AY953*(Assumptions!$G$467-(Assumptions!$G$469*(Assumptions!$G$467)))/2+AU1292,AY953*Assumptions!$G$469*(Assumptions!$G$467)),Assumptions!$G$467)</f>
        <v>0</v>
      </c>
      <c r="AZ1292" s="137">
        <f ca="1">+MIN(IF(AND(ISNUMBER(AV1292)=TRUE,AV1292&gt;0),AZ953*(Assumptions!$G$467-(Assumptions!$G$469*(Assumptions!$G$467)))/2+AV1292,AZ953*Assumptions!$G$469*(Assumptions!$G$467)),Assumptions!$G$467)</f>
        <v>0</v>
      </c>
      <c r="BA1292" s="137">
        <f ca="1">+MIN(IF(AND(ISNUMBER(AW1292)=TRUE,AW1292&gt;0),BA953*(Assumptions!$G$467-(Assumptions!$G$469*(Assumptions!$G$467)))/2+AW1292,BA953*Assumptions!$G$469*(Assumptions!$G$467)),Assumptions!$G$467)</f>
        <v>0</v>
      </c>
      <c r="BB1292" s="137">
        <f ca="1">+MIN(IF(AND(ISNUMBER(AX1292)=TRUE,AX1292&gt;0),BB953*(Assumptions!$G$467-(Assumptions!$G$469*(Assumptions!$G$467)))/2+AX1292,BB953*Assumptions!$G$469*(Assumptions!$G$467)),Assumptions!$G$467)</f>
        <v>0</v>
      </c>
      <c r="BC1292" s="137">
        <f ca="1">+MIN(IF(AND(ISNUMBER(AY1292)=TRUE,AY1292&gt;0),BC953*(Assumptions!$G$467-(Assumptions!$G$469*(Assumptions!$G$467)))/2+AY1292,BC953*Assumptions!$G$469*(Assumptions!$G$467)),Assumptions!$G$467)</f>
        <v>0</v>
      </c>
      <c r="BD1292" s="137">
        <f ca="1">+MIN(IF(AND(ISNUMBER(AZ1292)=TRUE,AZ1292&gt;0),BD953*(Assumptions!$G$467-(Assumptions!$G$469*(Assumptions!$G$467)))/2+AZ1292,BD953*Assumptions!$G$469*(Assumptions!$G$467)),Assumptions!$G$467)</f>
        <v>0</v>
      </c>
      <c r="BE1292" s="137">
        <f ca="1">+MIN(IF(AND(ISNUMBER(BA1292)=TRUE,BA1292&gt;0),BE953*(Assumptions!$G$467-(Assumptions!$G$469*(Assumptions!$G$467)))/2+BA1292,BE953*Assumptions!$G$469*(Assumptions!$G$467)),Assumptions!$G$467)</f>
        <v>0</v>
      </c>
      <c r="BF1292" s="137">
        <f ca="1">+MIN(IF(AND(ISNUMBER(BB1292)=TRUE,BB1292&gt;0),BF953*(Assumptions!$G$467-(Assumptions!$G$469*(Assumptions!$G$467)))/2+BB1292,BF953*Assumptions!$G$469*(Assumptions!$G$467)),Assumptions!$G$467)</f>
        <v>0</v>
      </c>
      <c r="BG1292" s="137">
        <f ca="1">+MIN(IF(AND(ISNUMBER(BC1292)=TRUE,BC1292&gt;0),BG953*(Assumptions!$G$467-(Assumptions!$G$469*(Assumptions!$G$467)))/2+BC1292,BG953*Assumptions!$G$469*(Assumptions!$G$467)),Assumptions!$G$467)</f>
        <v>0</v>
      </c>
      <c r="BH1292" s="137">
        <f ca="1">+MIN(IF(AND(ISNUMBER(BD1292)=TRUE,BD1292&gt;0),BH953*(Assumptions!$G$467-(Assumptions!$G$469*(Assumptions!$G$467)))/2+BD1292,BH953*Assumptions!$G$469*(Assumptions!$G$467)),Assumptions!$G$467)</f>
        <v>0</v>
      </c>
      <c r="BI1292" s="137">
        <f ca="1">+MIN(IF(AND(ISNUMBER(BE1292)=TRUE,BE1292&gt;0),BI953*(Assumptions!$G$467-(Assumptions!$G$469*(Assumptions!$G$467)))/2+BE1292,BI953*Assumptions!$G$469*(Assumptions!$G$467)),Assumptions!$G$467)</f>
        <v>0</v>
      </c>
      <c r="BJ1292" s="137">
        <f ca="1">+MIN(IF(AND(ISNUMBER(BF1292)=TRUE,BF1292&gt;0),BJ953*(Assumptions!$G$467-(Assumptions!$G$469*(Assumptions!$G$467)))/2+BF1292,BJ953*Assumptions!$G$469*(Assumptions!$G$467)),Assumptions!$G$467)</f>
        <v>0</v>
      </c>
      <c r="BK1292" s="137">
        <f ca="1">+MIN(IF(AND(ISNUMBER(BG1292)=TRUE,BG1292&gt;0),BK953*(Assumptions!$G$467-(Assumptions!$G$469*(Assumptions!$G$467)))/2+BG1292,BK953*Assumptions!$G$469*(Assumptions!$G$467)),Assumptions!$G$467)</f>
        <v>0</v>
      </c>
      <c r="BL1292" s="137">
        <f ca="1">+MIN(IF(AND(ISNUMBER(BH1292)=TRUE,BH1292&gt;0),BL953*(Assumptions!$G$467-(Assumptions!$G$469*(Assumptions!$G$467)))/2+BH1292,BL953*Assumptions!$G$469*(Assumptions!$G$467)),Assumptions!$G$467)</f>
        <v>0</v>
      </c>
      <c r="BM1292" s="137">
        <f ca="1">+MIN(IF(AND(ISNUMBER(BI1292)=TRUE,BI1292&gt;0),BM953*(Assumptions!$G$467-(Assumptions!$G$469*(Assumptions!$G$467)))/2+BI1292,BM953*Assumptions!$G$469*(Assumptions!$G$467)),Assumptions!$G$467)</f>
        <v>0</v>
      </c>
      <c r="BN1292" s="137">
        <f ca="1">+MIN(IF(AND(ISNUMBER(BJ1292)=TRUE,BJ1292&gt;0),BN953*(Assumptions!$G$467-(Assumptions!$G$469*(Assumptions!$G$467)))/2+BJ1292,BN953*Assumptions!$G$469*(Assumptions!$G$467)),Assumptions!$G$467)</f>
        <v>0</v>
      </c>
      <c r="BO1292" s="137">
        <f ca="1">+MIN(IF(AND(ISNUMBER(BK1292)=TRUE,BK1292&gt;0),BO953*(Assumptions!$G$467-(Assumptions!$G$469*(Assumptions!$G$467)))/2+BK1292,BO953*Assumptions!$G$469*(Assumptions!$G$467)),Assumptions!$G$467)</f>
        <v>0</v>
      </c>
      <c r="BP1292" s="137">
        <f ca="1">+MIN(IF(AND(ISNUMBER(BL1292)=TRUE,BL1292&gt;0),BP953*(Assumptions!$G$467-(Assumptions!$G$469*(Assumptions!$G$467)))/2+BL1292,BP953*Assumptions!$G$469*(Assumptions!$G$467)),Assumptions!$G$467)</f>
        <v>0</v>
      </c>
      <c r="BQ1292" s="137">
        <f ca="1">+MIN(IF(AND(ISNUMBER(BM1292)=TRUE,BM1292&gt;0),BQ953*(Assumptions!$G$467-(Assumptions!$G$469*(Assumptions!$G$467)))/2+BM1292,BQ953*Assumptions!$G$469*(Assumptions!$G$467)),Assumptions!$G$467)</f>
        <v>0</v>
      </c>
      <c r="BR1292" s="137">
        <f ca="1">+MIN(IF(AND(ISNUMBER(BN1292)=TRUE,BN1292&gt;0),BR953*(Assumptions!$G$467-(Assumptions!$G$469*(Assumptions!$G$467)))/2+BN1292,BR953*Assumptions!$G$469*(Assumptions!$G$467)),Assumptions!$G$467)</f>
        <v>0</v>
      </c>
      <c r="BS1292" s="137">
        <f ca="1">+MIN(IF(AND(ISNUMBER(BO1292)=TRUE,BO1292&gt;0),BS953*(Assumptions!$G$467-(Assumptions!$G$469*(Assumptions!$G$467)))/2+BO1292,BS953*Assumptions!$G$469*(Assumptions!$G$467)),Assumptions!$G$467)</f>
        <v>0</v>
      </c>
      <c r="BT1292" s="137">
        <f ca="1">+MIN(IF(AND(ISNUMBER(BP1292)=TRUE,BP1292&gt;0),BT953*(Assumptions!$G$467-(Assumptions!$G$469*(Assumptions!$G$467)))/2+BP1292,BT953*Assumptions!$G$469*(Assumptions!$G$467)),Assumptions!$G$467)</f>
        <v>0</v>
      </c>
      <c r="BU1292" s="137">
        <f ca="1">+MIN(IF(AND(ISNUMBER(BQ1292)=TRUE,BQ1292&gt;0),BU953*(Assumptions!$G$467-(Assumptions!$G$469*(Assumptions!$G$467)))/2+BQ1292,BU953*Assumptions!$G$469*(Assumptions!$G$467)),Assumptions!$G$467)</f>
        <v>0</v>
      </c>
      <c r="BV1292" s="137">
        <f ca="1">+MIN(IF(AND(ISNUMBER(BR1292)=TRUE,BR1292&gt;0),BV953*(Assumptions!$G$467-(Assumptions!$G$469*(Assumptions!$G$467)))/2+BR1292,BV953*Assumptions!$G$469*(Assumptions!$G$467)),Assumptions!$G$467)</f>
        <v>0</v>
      </c>
      <c r="BW1292" s="137">
        <f ca="1">+MIN(IF(AND(ISNUMBER(BS1292)=TRUE,BS1292&gt;0),BW953*(Assumptions!$G$467-(Assumptions!$G$469*(Assumptions!$G$467)))/2+BS1292,BW953*Assumptions!$G$469*(Assumptions!$G$467)),Assumptions!$G$467)</f>
        <v>0</v>
      </c>
      <c r="BX1292" s="137">
        <f ca="1">+MIN(IF(AND(ISNUMBER(BT1292)=TRUE,BT1292&gt;0),BX953*(Assumptions!$G$467-(Assumptions!$G$469*(Assumptions!$G$467)))/2+BT1292,BX953*Assumptions!$G$469*(Assumptions!$G$467)),Assumptions!$G$467)</f>
        <v>0</v>
      </c>
      <c r="BY1292" s="137">
        <f ca="1">+MIN(IF(AND(ISNUMBER(BU1292)=TRUE,BU1292&gt;0),BY953*(Assumptions!$G$467-(Assumptions!$G$469*(Assumptions!$G$467)))/2+BU1292,BY953*Assumptions!$G$469*(Assumptions!$G$467)),Assumptions!$G$467)</f>
        <v>0</v>
      </c>
    </row>
    <row r="1293" spans="5:77" s="776" customFormat="1" outlineLevel="1">
      <c r="E1293" s="33" t="s">
        <v>625</v>
      </c>
      <c r="F1293" s="775" t="s">
        <v>356</v>
      </c>
      <c r="G1293" s="33"/>
      <c r="H1293" s="731">
        <f>+IF(Assumptions!$G$474="Yes",Assumptions!$G$464*H434*H1292,0)</f>
        <v>0</v>
      </c>
      <c r="I1293" s="731">
        <f>+IF(Assumptions!$G$474="Yes",Assumptions!$G$464*I434*I1292,0)</f>
        <v>0</v>
      </c>
      <c r="J1293" s="731">
        <f>+IF(Assumptions!$G$474="Yes",Assumptions!$G$464*J434*J1292,0)</f>
        <v>0</v>
      </c>
      <c r="K1293" s="731">
        <f>+IF(Assumptions!$G$474="Yes",Assumptions!$G$464*K434*K1292,0)</f>
        <v>0</v>
      </c>
      <c r="L1293" s="731">
        <f>+IF(Assumptions!$G$474="Yes",Assumptions!$G$464*L434*L1292,0)</f>
        <v>0</v>
      </c>
      <c r="M1293" s="731">
        <f>+IF(Assumptions!$G$474="Yes",Assumptions!$G$464*M434*M1292,0)</f>
        <v>0</v>
      </c>
      <c r="N1293" s="731">
        <f>+IF(Assumptions!$G$474="Yes",Assumptions!$G$464*N434*N1292,0)</f>
        <v>0</v>
      </c>
      <c r="O1293" s="731">
        <f>+IF(Assumptions!$G$474="Yes",Assumptions!$G$464*O434*O1292,0)</f>
        <v>0</v>
      </c>
      <c r="P1293" s="731">
        <f>+IF(Assumptions!$G$474="Yes",Assumptions!$G$464*P434*P1292,0)</f>
        <v>0</v>
      </c>
      <c r="Q1293" s="731">
        <f>+IF(Assumptions!$G$474="Yes",Assumptions!$G$464*Q434*Q1292,0)</f>
        <v>0</v>
      </c>
      <c r="R1293" s="731">
        <f>+IF(Assumptions!$G$474="Yes",Assumptions!$G$464*R434*R1292,0)</f>
        <v>0</v>
      </c>
      <c r="S1293" s="731">
        <f>+IF(Assumptions!$G$474="Yes",Assumptions!$G$464*S434*S1292,0)</f>
        <v>0</v>
      </c>
      <c r="T1293" s="731">
        <f>+IF(Assumptions!$G$474="Yes",Assumptions!$G$464*T434*T1292,0)</f>
        <v>0</v>
      </c>
      <c r="U1293" s="731">
        <f>+IF(Assumptions!$G$474="Yes",Assumptions!$G$464*U434*U1292,0)</f>
        <v>0</v>
      </c>
      <c r="V1293" s="731">
        <f>+IF(Assumptions!$G$474="Yes",Assumptions!$G$464*V434*V1292,0)</f>
        <v>0</v>
      </c>
      <c r="W1293" s="731">
        <f>+IF(Assumptions!$G$474="Yes",Assumptions!$G$464*W434*W1292,0)</f>
        <v>0</v>
      </c>
      <c r="X1293" s="731">
        <f>+IF(Assumptions!$G$474="Yes",Assumptions!$G$464*X434*X1292,0)</f>
        <v>0</v>
      </c>
      <c r="Y1293" s="731">
        <f>+IF(Assumptions!$G$474="Yes",Assumptions!$G$464*Y434*Y1292,0)</f>
        <v>0</v>
      </c>
      <c r="Z1293" s="731">
        <f>+IF(Assumptions!$G$474="Yes",Assumptions!$G$464*Z434*Z1292,0)</f>
        <v>0</v>
      </c>
      <c r="AA1293" s="731">
        <f>+IF(Assumptions!$G$474="Yes",Assumptions!$G$464*AA434*AA1292,0)</f>
        <v>0</v>
      </c>
      <c r="AB1293" s="731">
        <f>+IF(Assumptions!$G$474="Yes",Assumptions!$G$464*AB434*AB1292,0)</f>
        <v>0</v>
      </c>
      <c r="AC1293" s="731">
        <f>+IF(Assumptions!$G$474="Yes",Assumptions!$G$464*AC434*AC1292,0)</f>
        <v>0</v>
      </c>
      <c r="AD1293" s="731">
        <f>+IF(Assumptions!$G$474="Yes",Assumptions!$G$464*AD434*AD1292,0)</f>
        <v>0</v>
      </c>
      <c r="AE1293" s="731">
        <f>+IF(Assumptions!$G$474="Yes",Assumptions!$G$464*AE434*AE1292,0)</f>
        <v>0</v>
      </c>
      <c r="AF1293" s="731">
        <f>+IF(Assumptions!$G$474="Yes",Assumptions!$G$464*AF434*AF1292,0)</f>
        <v>0</v>
      </c>
      <c r="AG1293" s="731">
        <f>+IF(Assumptions!$G$474="Yes",Assumptions!$G$464*AG434*AG1292,0)</f>
        <v>0</v>
      </c>
      <c r="AH1293" s="731">
        <f>+IF(Assumptions!$G$474="Yes",Assumptions!$G$464*AH434*AH1292,0)</f>
        <v>0</v>
      </c>
      <c r="AI1293" s="731">
        <f>+IF(Assumptions!$G$474="Yes",Assumptions!$G$464*AI434*AI1292,0)</f>
        <v>0</v>
      </c>
      <c r="AJ1293" s="731">
        <f>+IF(Assumptions!$G$474="Yes",Assumptions!$G$464*AJ434*AJ1292,0)</f>
        <v>0</v>
      </c>
      <c r="AK1293" s="731">
        <f>+IF(Assumptions!$G$474="Yes",Assumptions!$G$464*AK434*AK1292,0)</f>
        <v>0</v>
      </c>
      <c r="AL1293" s="731">
        <f>+IF(Assumptions!$G$474="Yes",Assumptions!$G$464*AL434*AL1292,0)</f>
        <v>0</v>
      </c>
      <c r="AM1293" s="731">
        <f>+IF(Assumptions!$G$474="Yes",Assumptions!$G$464*AM434*AM1292,0)</f>
        <v>0</v>
      </c>
      <c r="AN1293" s="731">
        <f>+IF(Assumptions!$G$474="Yes",Assumptions!$G$464*AN434*AN1292,0)</f>
        <v>0</v>
      </c>
      <c r="AO1293" s="731">
        <f>+IF(Assumptions!$G$474="Yes",Assumptions!$G$464*AO434*AO1292,0)</f>
        <v>0</v>
      </c>
      <c r="AP1293" s="731">
        <f>+IF(Assumptions!$G$474="Yes",Assumptions!$G$464*AP434*AP1292,0)</f>
        <v>0</v>
      </c>
      <c r="AQ1293" s="731">
        <f>+IF(Assumptions!$G$474="Yes",Assumptions!$G$464*AQ434*AQ1292,0)</f>
        <v>0</v>
      </c>
      <c r="AR1293" s="731">
        <f>+IF(Assumptions!$G$474="Yes",Assumptions!$G$464*AR434*AR1292,0)</f>
        <v>0</v>
      </c>
      <c r="AS1293" s="731">
        <f>+IF(Assumptions!$G$474="Yes",Assumptions!$G$464*AS434*AS1292,0)</f>
        <v>0</v>
      </c>
      <c r="AT1293" s="731">
        <f>+IF(Assumptions!$G$474="Yes",Assumptions!$G$464*AT434*AT1292,0)</f>
        <v>0</v>
      </c>
      <c r="AU1293" s="731">
        <f>+IF(Assumptions!$G$474="Yes",Assumptions!$G$464*AU434*AU1292,0)</f>
        <v>0</v>
      </c>
      <c r="AV1293" s="731">
        <f>+IF(Assumptions!$G$474="Yes",Assumptions!$G$464*AV434*AV1292,0)</f>
        <v>0</v>
      </c>
      <c r="AW1293" s="731">
        <f>+IF(Assumptions!$G$474="Yes",Assumptions!$G$464*AW434*AW1292,0)</f>
        <v>0</v>
      </c>
      <c r="AX1293" s="731">
        <f>+IF(Assumptions!$G$474="Yes",Assumptions!$G$464*AX434*AX1292,0)</f>
        <v>0</v>
      </c>
      <c r="AY1293" s="731">
        <f>+IF(Assumptions!$G$474="Yes",Assumptions!$G$464*AY434*AY1292,0)</f>
        <v>0</v>
      </c>
      <c r="AZ1293" s="731">
        <f>+IF(Assumptions!$G$474="Yes",Assumptions!$G$464*AZ434*AZ1292,0)</f>
        <v>0</v>
      </c>
      <c r="BA1293" s="731">
        <f>+IF(Assumptions!$G$474="Yes",Assumptions!$G$464*BA434*BA1292,0)</f>
        <v>0</v>
      </c>
      <c r="BB1293" s="731">
        <f>+IF(Assumptions!$G$474="Yes",Assumptions!$G$464*BB434*BB1292,0)</f>
        <v>0</v>
      </c>
      <c r="BC1293" s="731">
        <f>+IF(Assumptions!$G$474="Yes",Assumptions!$G$464*BC434*BC1292,0)</f>
        <v>0</v>
      </c>
      <c r="BD1293" s="731">
        <f>+IF(Assumptions!$G$474="Yes",Assumptions!$G$464*BD434*BD1292,0)</f>
        <v>0</v>
      </c>
      <c r="BE1293" s="731">
        <f>+IF(Assumptions!$G$474="Yes",Assumptions!$G$464*BE434*BE1292,0)</f>
        <v>0</v>
      </c>
      <c r="BF1293" s="731">
        <f>+IF(Assumptions!$G$474="Yes",Assumptions!$G$464*BF434*BF1292,0)</f>
        <v>0</v>
      </c>
      <c r="BG1293" s="731">
        <f>+IF(Assumptions!$G$474="Yes",Assumptions!$G$464*BG434*BG1292,0)</f>
        <v>0</v>
      </c>
      <c r="BH1293" s="731">
        <f>+IF(Assumptions!$G$474="Yes",Assumptions!$G$464*BH434*BH1292,0)</f>
        <v>0</v>
      </c>
      <c r="BI1293" s="731">
        <f>+IF(Assumptions!$G$474="Yes",Assumptions!$G$464*BI434*BI1292,0)</f>
        <v>0</v>
      </c>
      <c r="BJ1293" s="731">
        <f>+IF(Assumptions!$G$474="Yes",Assumptions!$G$464*BJ434*BJ1292,0)</f>
        <v>0</v>
      </c>
      <c r="BK1293" s="731">
        <f>+IF(Assumptions!$G$474="Yes",Assumptions!$G$464*BK434*BK1292,0)</f>
        <v>0</v>
      </c>
      <c r="BL1293" s="731">
        <f>+IF(Assumptions!$G$474="Yes",Assumptions!$G$464*BL434*BL1292,0)</f>
        <v>0</v>
      </c>
      <c r="BM1293" s="731">
        <f>+IF(Assumptions!$G$474="Yes",Assumptions!$G$464*BM434*BM1292,0)</f>
        <v>0</v>
      </c>
      <c r="BN1293" s="731">
        <f>+IF(Assumptions!$G$474="Yes",Assumptions!$G$464*BN434*BN1292,0)</f>
        <v>0</v>
      </c>
      <c r="BO1293" s="731">
        <f>+IF(Assumptions!$G$474="Yes",Assumptions!$G$464*BO434*BO1292,0)</f>
        <v>0</v>
      </c>
      <c r="BP1293" s="731">
        <f>+IF(Assumptions!$G$474="Yes",Assumptions!$G$464*BP434*BP1292,0)</f>
        <v>0</v>
      </c>
      <c r="BQ1293" s="731">
        <f>+IF(Assumptions!$G$474="Yes",Assumptions!$G$464*BQ434*BQ1292,0)</f>
        <v>0</v>
      </c>
      <c r="BR1293" s="731">
        <f>+IF(Assumptions!$G$474="Yes",Assumptions!$G$464*BR434*BR1292,0)</f>
        <v>0</v>
      </c>
      <c r="BS1293" s="731">
        <f>+IF(Assumptions!$G$474="Yes",Assumptions!$G$464*BS434*BS1292,0)</f>
        <v>0</v>
      </c>
      <c r="BT1293" s="731">
        <f>+IF(Assumptions!$G$474="Yes",Assumptions!$G$464*BT434*BT1292,0)</f>
        <v>0</v>
      </c>
      <c r="BU1293" s="731">
        <f>+IF(Assumptions!$G$474="Yes",Assumptions!$G$464*BU434*BU1292,0)</f>
        <v>0</v>
      </c>
      <c r="BV1293" s="731">
        <f>+IF(Assumptions!$G$474="Yes",Assumptions!$G$464*BV434*BV1292,0)</f>
        <v>0</v>
      </c>
      <c r="BW1293" s="731">
        <f>+IF(Assumptions!$G$474="Yes",Assumptions!$G$464*BW434*BW1292,0)</f>
        <v>0</v>
      </c>
      <c r="BX1293" s="731">
        <f>+IF(Assumptions!$G$474="Yes",Assumptions!$G$464*BX434*BX1292,0)</f>
        <v>0</v>
      </c>
      <c r="BY1293" s="731">
        <f>+IF(Assumptions!$G$474="Yes",Assumptions!$G$464*BY434*BY1292,0)</f>
        <v>0</v>
      </c>
    </row>
    <row r="1294" spans="5:77" s="771" customFormat="1" ht="15" outlineLevel="1">
      <c r="E1294" s="22"/>
      <c r="F1294"/>
      <c r="G1294"/>
      <c r="H1294" s="89"/>
      <c r="I1294" s="89"/>
      <c r="J1294" s="89"/>
      <c r="K1294" s="89"/>
      <c r="L1294" s="89"/>
      <c r="M1294" s="89"/>
      <c r="N1294" s="89"/>
      <c r="O1294" s="89"/>
      <c r="P1294" s="89"/>
      <c r="Q1294" s="89"/>
      <c r="R1294" s="89"/>
      <c r="S1294" s="89"/>
      <c r="T1294" s="89"/>
      <c r="U1294" s="89"/>
      <c r="V1294" s="89"/>
      <c r="W1294" s="89"/>
      <c r="X1294" s="89"/>
      <c r="Y1294" s="89"/>
      <c r="Z1294" s="89"/>
      <c r="AA1294" s="89"/>
      <c r="AB1294" s="89"/>
      <c r="AC1294" s="89"/>
      <c r="AD1294" s="89"/>
      <c r="AE1294" s="89"/>
      <c r="AF1294" s="89"/>
      <c r="AG1294" s="89"/>
      <c r="AH1294" s="89"/>
      <c r="AI1294" s="89"/>
      <c r="AJ1294" s="89"/>
      <c r="AK1294" s="89"/>
      <c r="AL1294" s="89"/>
      <c r="AM1294" s="89"/>
      <c r="AN1294" s="89"/>
      <c r="AO1294" s="89"/>
      <c r="AP1294" s="89"/>
      <c r="AQ1294" s="89"/>
      <c r="AR1294" s="89"/>
      <c r="AS1294" s="89"/>
      <c r="AT1294" s="89"/>
      <c r="AU1294" s="89"/>
      <c r="AV1294" s="89"/>
      <c r="AW1294" s="89"/>
      <c r="AX1294" s="89"/>
      <c r="AY1294" s="89"/>
      <c r="AZ1294" s="89"/>
      <c r="BA1294" s="89"/>
      <c r="BB1294" s="89"/>
      <c r="BC1294" s="89"/>
      <c r="BD1294" s="89"/>
      <c r="BE1294" s="89"/>
      <c r="BF1294" s="89"/>
      <c r="BG1294" s="89"/>
      <c r="BH1294" s="89"/>
      <c r="BI1294" s="89"/>
      <c r="BJ1294" s="89"/>
      <c r="BK1294" s="89"/>
      <c r="BL1294" s="89"/>
      <c r="BM1294" s="89"/>
      <c r="BN1294" s="89"/>
      <c r="BO1294" s="89"/>
      <c r="BP1294" s="89"/>
      <c r="BQ1294" s="89"/>
      <c r="BR1294" s="89"/>
      <c r="BS1294" s="89"/>
      <c r="BT1294" s="89"/>
      <c r="BU1294" s="89"/>
      <c r="BV1294" s="89"/>
      <c r="BW1294" s="89"/>
      <c r="BX1294" s="89"/>
      <c r="BY1294" s="89"/>
    </row>
    <row r="1295" spans="5:77" s="771" customFormat="1" ht="15" outlineLevel="1">
      <c r="E1295" s="22" t="s">
        <v>632</v>
      </c>
      <c r="F1295"/>
      <c r="G1295"/>
      <c r="H1295" s="89"/>
      <c r="I1295" s="89"/>
      <c r="J1295" s="89"/>
      <c r="K1295" s="89"/>
      <c r="L1295" s="89"/>
      <c r="M1295" s="89"/>
      <c r="N1295" s="89"/>
      <c r="O1295" s="89"/>
      <c r="P1295" s="89"/>
      <c r="Q1295" s="89"/>
      <c r="R1295" s="89"/>
      <c r="S1295" s="89"/>
      <c r="T1295" s="89"/>
      <c r="U1295" s="89"/>
      <c r="V1295" s="89"/>
      <c r="W1295" s="89"/>
      <c r="X1295" s="89"/>
      <c r="Y1295" s="89"/>
      <c r="Z1295" s="89"/>
      <c r="AA1295" s="89"/>
      <c r="AB1295" s="89"/>
      <c r="AC1295" s="89"/>
      <c r="AD1295" s="89"/>
      <c r="AE1295" s="89"/>
      <c r="AF1295" s="89"/>
      <c r="AG1295" s="89"/>
      <c r="AH1295" s="89"/>
      <c r="AI1295" s="89"/>
      <c r="AJ1295" s="89"/>
      <c r="AK1295" s="89"/>
      <c r="AL1295" s="89"/>
      <c r="AM1295" s="89"/>
      <c r="AN1295" s="89"/>
      <c r="AO1295" s="89"/>
      <c r="AP1295" s="89"/>
      <c r="AQ1295" s="89"/>
      <c r="AR1295" s="89"/>
      <c r="AS1295" s="89"/>
      <c r="AT1295" s="89"/>
      <c r="AU1295" s="89"/>
      <c r="AV1295" s="89"/>
      <c r="AW1295" s="89"/>
      <c r="AX1295" s="89"/>
      <c r="AY1295" s="89"/>
      <c r="AZ1295" s="89"/>
      <c r="BA1295" s="89"/>
      <c r="BB1295" s="89"/>
      <c r="BC1295" s="89"/>
      <c r="BD1295" s="89"/>
      <c r="BE1295" s="89"/>
      <c r="BF1295" s="89"/>
      <c r="BG1295" s="89"/>
      <c r="BH1295" s="89"/>
      <c r="BI1295" s="89"/>
      <c r="BJ1295" s="89"/>
      <c r="BK1295" s="89"/>
      <c r="BL1295" s="89"/>
      <c r="BM1295" s="89"/>
      <c r="BN1295" s="89"/>
      <c r="BO1295" s="89"/>
      <c r="BP1295" s="89"/>
      <c r="BQ1295" s="89"/>
      <c r="BR1295" s="89"/>
      <c r="BS1295" s="89"/>
      <c r="BT1295" s="89"/>
      <c r="BU1295" s="89"/>
      <c r="BV1295" s="89"/>
      <c r="BW1295" s="89"/>
      <c r="BX1295" s="89"/>
      <c r="BY1295" s="89"/>
    </row>
    <row r="1296" spans="5:77" s="771" customFormat="1" outlineLevel="1">
      <c r="E1296" t="str">
        <f>"Percentage on top of fossil costs:"&amp;Assumptions!G469*100&amp;"% of incremental cost covered"</f>
        <v>Percentage on top of fossil costs:0% of incremental cost covered</v>
      </c>
      <c r="F1296" s="772" t="s">
        <v>622</v>
      </c>
      <c r="G1296"/>
      <c r="H1296" s="89">
        <f ca="1">+H953*(Assumptions!$G$458)*Assumptions!$H$466</f>
        <v>0</v>
      </c>
      <c r="I1296" s="89">
        <f ca="1">+I953*(Assumptions!$G$458)*Assumptions!$H$466</f>
        <v>0</v>
      </c>
      <c r="J1296" s="89">
        <f ca="1">+J953*(Assumptions!$G$458)*Assumptions!$H$466</f>
        <v>0</v>
      </c>
      <c r="K1296" s="89">
        <f ca="1">+K953*(Assumptions!$G$458)*Assumptions!$H$466</f>
        <v>1.8057278766422655</v>
      </c>
      <c r="L1296" s="89">
        <f ca="1">+L953*(Assumptions!$G$458)*Assumptions!$H$466</f>
        <v>1.8057278766422655</v>
      </c>
      <c r="M1296" s="89">
        <f ca="1">+M953*(Assumptions!$G$458)*Assumptions!$H$466</f>
        <v>1.8057278766422655</v>
      </c>
      <c r="N1296" s="89">
        <f ca="1">+N953*(Assumptions!$G$458)*Assumptions!$H$466</f>
        <v>1.8057278766422655</v>
      </c>
      <c r="O1296" s="89">
        <f ca="1">+O953*(Assumptions!$G$458)*Assumptions!$H$466</f>
        <v>1.8057278766422655</v>
      </c>
      <c r="P1296" s="89">
        <f ca="1">+P953*(Assumptions!$G$458)*Assumptions!$H$466</f>
        <v>1.8057278766422655</v>
      </c>
      <c r="Q1296" s="89">
        <f ca="1">+Q953*(Assumptions!$G$458)*Assumptions!$H$466</f>
        <v>1.8057278766422655</v>
      </c>
      <c r="R1296" s="89">
        <f ca="1">+R953*(Assumptions!$G$458)*Assumptions!$H$466</f>
        <v>1.8057278766422655</v>
      </c>
      <c r="S1296" s="89">
        <f ca="1">+S953*(Assumptions!$G$458)*Assumptions!$H$466</f>
        <v>1.8057278766422655</v>
      </c>
      <c r="T1296" s="89">
        <f ca="1">+T953*(Assumptions!$G$458)*Assumptions!$H$466</f>
        <v>1.8057278766422655</v>
      </c>
      <c r="U1296" s="89">
        <f ca="1">+U953*(Assumptions!$G$458)*Assumptions!$H$466</f>
        <v>1.8057278766422655</v>
      </c>
      <c r="V1296" s="89">
        <f ca="1">+V953*(Assumptions!$G$458)*Assumptions!$H$466</f>
        <v>1.8057278766422655</v>
      </c>
      <c r="W1296" s="89">
        <f ca="1">+W953*(Assumptions!$G$458)*Assumptions!$H$466</f>
        <v>1.8057278766422655</v>
      </c>
      <c r="X1296" s="89">
        <f ca="1">+X953*(Assumptions!$G$458)*Assumptions!$H$466</f>
        <v>1.8057278766422655</v>
      </c>
      <c r="Y1296" s="89">
        <f ca="1">+Y953*(Assumptions!$G$458)*Assumptions!$H$466</f>
        <v>1.8057278766422655</v>
      </c>
      <c r="Z1296" s="89">
        <f ca="1">+Z953*(Assumptions!$G$458)*Assumptions!$H$466</f>
        <v>0</v>
      </c>
      <c r="AA1296" s="89">
        <f ca="1">+AA953*(Assumptions!$G$458)*Assumptions!$H$466</f>
        <v>0</v>
      </c>
      <c r="AB1296" s="89">
        <f ca="1">+AB953*(Assumptions!$G$458)*Assumptions!$H$466</f>
        <v>0</v>
      </c>
      <c r="AC1296" s="89">
        <f ca="1">+AC953*(Assumptions!$G$458)*Assumptions!$H$466</f>
        <v>0</v>
      </c>
      <c r="AD1296" s="89">
        <f ca="1">+AD953*(Assumptions!$G$458)*Assumptions!$H$466</f>
        <v>0</v>
      </c>
      <c r="AE1296" s="89">
        <f ca="1">+AE953*(Assumptions!$G$458)*Assumptions!$H$466</f>
        <v>0</v>
      </c>
      <c r="AF1296" s="89">
        <f ca="1">+AF953*(Assumptions!$G$458)*Assumptions!$H$466</f>
        <v>0</v>
      </c>
      <c r="AG1296" s="89">
        <f ca="1">+AG953*(Assumptions!$G$458)*Assumptions!$H$466</f>
        <v>0</v>
      </c>
      <c r="AH1296" s="89">
        <f ca="1">+AH953*(Assumptions!$G$458)*Assumptions!$H$466</f>
        <v>0</v>
      </c>
      <c r="AI1296" s="89">
        <f ca="1">+AI953*(Assumptions!$G$458)*Assumptions!$H$466</f>
        <v>0</v>
      </c>
      <c r="AJ1296" s="89">
        <f ca="1">+AJ953*(Assumptions!$G$458)*Assumptions!$H$466</f>
        <v>0</v>
      </c>
      <c r="AK1296" s="89">
        <f ca="1">+AK953*(Assumptions!$G$458)*Assumptions!$H$466</f>
        <v>0</v>
      </c>
      <c r="AL1296" s="89">
        <f ca="1">+AL953*(Assumptions!$G$458)*Assumptions!$H$466</f>
        <v>0</v>
      </c>
      <c r="AM1296" s="89">
        <f ca="1">+AM953*(Assumptions!$G$458)*Assumptions!$H$466</f>
        <v>0</v>
      </c>
      <c r="AN1296" s="89">
        <f ca="1">+AN953*(Assumptions!$G$458)*Assumptions!$H$466</f>
        <v>0</v>
      </c>
      <c r="AO1296" s="89">
        <f ca="1">+AO953*(Assumptions!$G$458)*Assumptions!$H$466</f>
        <v>0</v>
      </c>
      <c r="AP1296" s="89">
        <f ca="1">+AP953*(Assumptions!$G$458)*Assumptions!$H$466</f>
        <v>0</v>
      </c>
      <c r="AQ1296" s="89">
        <f ca="1">+AQ953*(Assumptions!$G$458)*Assumptions!$H$466</f>
        <v>0</v>
      </c>
      <c r="AR1296" s="89">
        <f ca="1">+AR953*(Assumptions!$G$458)*Assumptions!$H$466</f>
        <v>0</v>
      </c>
      <c r="AS1296" s="89">
        <f ca="1">+AS953*(Assumptions!$G$458)*Assumptions!$H$466</f>
        <v>0</v>
      </c>
      <c r="AT1296" s="89">
        <f ca="1">+AT953*(Assumptions!$G$458)*Assumptions!$H$466</f>
        <v>0</v>
      </c>
      <c r="AU1296" s="89">
        <f ca="1">+AU953*(Assumptions!$G$458)*Assumptions!$H$466</f>
        <v>0</v>
      </c>
      <c r="AV1296" s="89">
        <f ca="1">+AV953*(Assumptions!$G$458)*Assumptions!$H$466</f>
        <v>0</v>
      </c>
      <c r="AW1296" s="89">
        <f ca="1">+AW953*(Assumptions!$G$458)*Assumptions!$H$466</f>
        <v>0</v>
      </c>
      <c r="AX1296" s="89">
        <f ca="1">+AX953*(Assumptions!$G$458)*Assumptions!$H$466</f>
        <v>0</v>
      </c>
      <c r="AY1296" s="89">
        <f ca="1">+AY953*(Assumptions!$G$458)*Assumptions!$H$466</f>
        <v>0</v>
      </c>
      <c r="AZ1296" s="89">
        <f ca="1">+AZ953*(Assumptions!$G$458)*Assumptions!$H$466</f>
        <v>0</v>
      </c>
      <c r="BA1296" s="89">
        <f ca="1">+BA953*(Assumptions!$G$458)*Assumptions!$H$466</f>
        <v>0</v>
      </c>
      <c r="BB1296" s="89">
        <f ca="1">+BB953*(Assumptions!$G$458)*Assumptions!$H$466</f>
        <v>0</v>
      </c>
      <c r="BC1296" s="89">
        <f ca="1">+BC953*(Assumptions!$G$458)*Assumptions!$H$466</f>
        <v>0</v>
      </c>
      <c r="BD1296" s="89">
        <f ca="1">+BD953*(Assumptions!$G$458)*Assumptions!$H$466</f>
        <v>0</v>
      </c>
      <c r="BE1296" s="89">
        <f ca="1">+BE953*(Assumptions!$G$458)*Assumptions!$H$466</f>
        <v>0</v>
      </c>
      <c r="BF1296" s="89">
        <f ca="1">+BF953*(Assumptions!$G$458)*Assumptions!$H$466</f>
        <v>0</v>
      </c>
      <c r="BG1296" s="89">
        <f ca="1">+BG953*(Assumptions!$G$458)*Assumptions!$H$466</f>
        <v>0</v>
      </c>
      <c r="BH1296" s="89">
        <f ca="1">+BH953*(Assumptions!$G$458)*Assumptions!$H$466</f>
        <v>0</v>
      </c>
      <c r="BI1296" s="89">
        <f ca="1">+BI953*(Assumptions!$G$458)*Assumptions!$H$466</f>
        <v>0</v>
      </c>
      <c r="BJ1296" s="89">
        <f ca="1">+BJ953*(Assumptions!$G$458)*Assumptions!$H$466</f>
        <v>0</v>
      </c>
      <c r="BK1296" s="89">
        <f ca="1">+BK953*(Assumptions!$G$458)*Assumptions!$H$466</f>
        <v>0</v>
      </c>
      <c r="BL1296" s="89">
        <f ca="1">+BL953*(Assumptions!$G$458)*Assumptions!$H$466</f>
        <v>0</v>
      </c>
      <c r="BM1296" s="89">
        <f ca="1">+BM953*(Assumptions!$G$458)*Assumptions!$H$466</f>
        <v>0</v>
      </c>
      <c r="BN1296" s="89">
        <f ca="1">+BN953*(Assumptions!$G$458)*Assumptions!$H$466</f>
        <v>0</v>
      </c>
      <c r="BO1296" s="89">
        <f ca="1">+BO953*(Assumptions!$G$458)*Assumptions!$H$466</f>
        <v>0</v>
      </c>
      <c r="BP1296" s="89">
        <f ca="1">+BP953*(Assumptions!$G$458)*Assumptions!$H$466</f>
        <v>0</v>
      </c>
      <c r="BQ1296" s="89">
        <f ca="1">+BQ953*(Assumptions!$G$458)*Assumptions!$H$466</f>
        <v>0</v>
      </c>
      <c r="BR1296" s="89">
        <f ca="1">+BR953*(Assumptions!$G$458)*Assumptions!$H$466</f>
        <v>0</v>
      </c>
      <c r="BS1296" s="89">
        <f ca="1">+BS953*(Assumptions!$G$458)*Assumptions!$H$466</f>
        <v>0</v>
      </c>
      <c r="BT1296" s="89">
        <f ca="1">+BT953*(Assumptions!$G$458)*Assumptions!$H$466</f>
        <v>0</v>
      </c>
      <c r="BU1296" s="89">
        <f ca="1">+BU953*(Assumptions!$G$458)*Assumptions!$H$466</f>
        <v>0</v>
      </c>
      <c r="BV1296" s="89">
        <f ca="1">+BV953*(Assumptions!$G$458)*Assumptions!$H$466</f>
        <v>0</v>
      </c>
      <c r="BW1296" s="89">
        <f ca="1">+BW953*(Assumptions!$G$458)*Assumptions!$H$466</f>
        <v>0</v>
      </c>
      <c r="BX1296" s="89">
        <f ca="1">+BX953*(Assumptions!$G$458)*Assumptions!$H$466</f>
        <v>0</v>
      </c>
      <c r="BY1296" s="89">
        <f ca="1">+BY953*(Assumptions!$G$458)*Assumptions!$H$466</f>
        <v>0</v>
      </c>
    </row>
    <row r="1297" spans="1:77" s="19" customFormat="1" outlineLevel="1">
      <c r="A1297"/>
      <c r="B1297"/>
      <c r="C1297"/>
      <c r="D1297"/>
      <c r="E1297" s="33" t="s">
        <v>623</v>
      </c>
      <c r="F1297" s="104" t="s">
        <v>356</v>
      </c>
      <c r="G1297"/>
      <c r="H1297" s="89">
        <f>+IF(Assumptions!$G$463="Yes",Assumptions!$G$464*H434*H1296,0)</f>
        <v>0</v>
      </c>
      <c r="I1297" s="89">
        <f>+IF(Assumptions!$G$463="Yes",Assumptions!$G$464*I434*I1296,0)</f>
        <v>0</v>
      </c>
      <c r="J1297" s="89">
        <f>+IF(Assumptions!$G$463="Yes",Assumptions!$G$464*J434*J1296,0)</f>
        <v>0</v>
      </c>
      <c r="K1297" s="89">
        <f>+IF(Assumptions!$G$463="Yes",Assumptions!$G$464*K434*K1296,0)</f>
        <v>0</v>
      </c>
      <c r="L1297" s="89">
        <f>+IF(Assumptions!$G$463="Yes",Assumptions!$G$464*L434*L1296,0)</f>
        <v>0</v>
      </c>
      <c r="M1297" s="89">
        <f>+IF(Assumptions!$G$463="Yes",Assumptions!$G$464*M434*M1296,0)</f>
        <v>0</v>
      </c>
      <c r="N1297" s="89">
        <f>+IF(Assumptions!$G$463="Yes",Assumptions!$G$464*N434*N1296,0)</f>
        <v>0</v>
      </c>
      <c r="O1297" s="89">
        <f>+IF(Assumptions!$G$463="Yes",Assumptions!$G$464*O434*O1296,0)</f>
        <v>0</v>
      </c>
      <c r="P1297" s="89">
        <f>+IF(Assumptions!$G$463="Yes",Assumptions!$G$464*P434*P1296,0)</f>
        <v>0</v>
      </c>
      <c r="Q1297" s="89">
        <f>+IF(Assumptions!$G$463="Yes",Assumptions!$G$464*Q434*Q1296,0)</f>
        <v>0</v>
      </c>
      <c r="R1297" s="89">
        <f>+IF(Assumptions!$G$463="Yes",Assumptions!$G$464*R434*R1296,0)</f>
        <v>0</v>
      </c>
      <c r="S1297" s="89">
        <f>+IF(Assumptions!$G$463="Yes",Assumptions!$G$464*S434*S1296,0)</f>
        <v>0</v>
      </c>
      <c r="T1297" s="89">
        <f>+IF(Assumptions!$G$463="Yes",Assumptions!$G$464*T434*T1296,0)</f>
        <v>0</v>
      </c>
      <c r="U1297" s="89">
        <f>+IF(Assumptions!$G$463="Yes",Assumptions!$G$464*U434*U1296,0)</f>
        <v>0</v>
      </c>
      <c r="V1297" s="89">
        <f>+IF(Assumptions!$G$463="Yes",Assumptions!$G$464*V434*V1296,0)</f>
        <v>0</v>
      </c>
      <c r="W1297" s="89">
        <f>+IF(Assumptions!$G$463="Yes",Assumptions!$G$464*W434*W1296,0)</f>
        <v>0</v>
      </c>
      <c r="X1297" s="89">
        <f>+IF(Assumptions!$G$463="Yes",Assumptions!$G$464*X434*X1296,0)</f>
        <v>0</v>
      </c>
      <c r="Y1297" s="89">
        <f>+IF(Assumptions!$G$463="Yes",Assumptions!$G$464*Y434*Y1296,0)</f>
        <v>0</v>
      </c>
      <c r="Z1297" s="89">
        <f>+IF(Assumptions!$G$463="Yes",Assumptions!$G$464*Z434*Z1296,0)</f>
        <v>0</v>
      </c>
      <c r="AA1297" s="89">
        <f>+IF(Assumptions!$G$463="Yes",Assumptions!$G$464*AA434*AA1296,0)</f>
        <v>0</v>
      </c>
      <c r="AB1297" s="89">
        <f>+IF(Assumptions!$G$463="Yes",Assumptions!$G$464*AB434*AB1296,0)</f>
        <v>0</v>
      </c>
      <c r="AC1297" s="89">
        <f>+IF(Assumptions!$G$463="Yes",Assumptions!$G$464*AC434*AC1296,0)</f>
        <v>0</v>
      </c>
      <c r="AD1297" s="89">
        <f>+IF(Assumptions!$G$463="Yes",Assumptions!$G$464*AD434*AD1296,0)</f>
        <v>0</v>
      </c>
      <c r="AE1297" s="89">
        <f>+IF(Assumptions!$G$463="Yes",Assumptions!$G$464*AE434*AE1296,0)</f>
        <v>0</v>
      </c>
      <c r="AF1297" s="89">
        <f>+IF(Assumptions!$G$463="Yes",Assumptions!$G$464*AF434*AF1296,0)</f>
        <v>0</v>
      </c>
      <c r="AG1297" s="89">
        <f>+IF(Assumptions!$G$463="Yes",Assumptions!$G$464*AG434*AG1296,0)</f>
        <v>0</v>
      </c>
      <c r="AH1297" s="89">
        <f>+IF(Assumptions!$G$463="Yes",Assumptions!$G$464*AH434*AH1296,0)</f>
        <v>0</v>
      </c>
      <c r="AI1297" s="89">
        <f>+IF(Assumptions!$G$463="Yes",Assumptions!$G$464*AI434*AI1296,0)</f>
        <v>0</v>
      </c>
      <c r="AJ1297" s="89">
        <f>+IF(Assumptions!$G$463="Yes",Assumptions!$G$464*AJ434*AJ1296,0)</f>
        <v>0</v>
      </c>
      <c r="AK1297" s="89">
        <f>+IF(Assumptions!$G$463="Yes",Assumptions!$G$464*AK434*AK1296,0)</f>
        <v>0</v>
      </c>
      <c r="AL1297" s="89">
        <f>+IF(Assumptions!$G$463="Yes",Assumptions!$G$464*AL434*AL1296,0)</f>
        <v>0</v>
      </c>
      <c r="AM1297" s="89">
        <f>+IF(Assumptions!$G$463="Yes",Assumptions!$G$464*AM434*AM1296,0)</f>
        <v>0</v>
      </c>
      <c r="AN1297" s="89">
        <f>+IF(Assumptions!$G$463="Yes",Assumptions!$G$464*AN434*AN1296,0)</f>
        <v>0</v>
      </c>
      <c r="AO1297" s="89">
        <f>+IF(Assumptions!$G$463="Yes",Assumptions!$G$464*AO434*AO1296,0)</f>
        <v>0</v>
      </c>
      <c r="AP1297" s="89">
        <f>+IF(Assumptions!$G$463="Yes",Assumptions!$G$464*AP434*AP1296,0)</f>
        <v>0</v>
      </c>
      <c r="AQ1297" s="89">
        <f>+IF(Assumptions!$G$463="Yes",Assumptions!$G$464*AQ434*AQ1296,0)</f>
        <v>0</v>
      </c>
      <c r="AR1297" s="89">
        <f>+IF(Assumptions!$G$463="Yes",Assumptions!$G$464*AR434*AR1296,0)</f>
        <v>0</v>
      </c>
      <c r="AS1297" s="89">
        <f>+IF(Assumptions!$G$463="Yes",Assumptions!$G$464*AS434*AS1296,0)</f>
        <v>0</v>
      </c>
      <c r="AT1297" s="89">
        <f>+IF(Assumptions!$G$463="Yes",Assumptions!$G$464*AT434*AT1296,0)</f>
        <v>0</v>
      </c>
      <c r="AU1297" s="89">
        <f>+IF(Assumptions!$G$463="Yes",Assumptions!$G$464*AU434*AU1296,0)</f>
        <v>0</v>
      </c>
      <c r="AV1297" s="89">
        <f>+IF(Assumptions!$G$463="Yes",Assumptions!$G$464*AV434*AV1296,0)</f>
        <v>0</v>
      </c>
      <c r="AW1297" s="89">
        <f>+IF(Assumptions!$G$463="Yes",Assumptions!$G$464*AW434*AW1296,0)</f>
        <v>0</v>
      </c>
      <c r="AX1297" s="89">
        <f>+IF(Assumptions!$G$463="Yes",Assumptions!$G$464*AX434*AX1296,0)</f>
        <v>0</v>
      </c>
      <c r="AY1297" s="89">
        <f>+IF(Assumptions!$G$463="Yes",Assumptions!$G$464*AY434*AY1296,0)</f>
        <v>0</v>
      </c>
      <c r="AZ1297" s="89">
        <f>+IF(Assumptions!$G$463="Yes",Assumptions!$G$464*AZ434*AZ1296,0)</f>
        <v>0</v>
      </c>
      <c r="BA1297" s="89">
        <f>+IF(Assumptions!$G$463="Yes",Assumptions!$G$464*BA434*BA1296,0)</f>
        <v>0</v>
      </c>
      <c r="BB1297" s="89">
        <f>+IF(Assumptions!$G$463="Yes",Assumptions!$G$464*BB434*BB1296,0)</f>
        <v>0</v>
      </c>
      <c r="BC1297" s="89">
        <f>+IF(Assumptions!$G$463="Yes",Assumptions!$G$464*BC434*BC1296,0)</f>
        <v>0</v>
      </c>
      <c r="BD1297" s="89">
        <f>+IF(Assumptions!$G$463="Yes",Assumptions!$G$464*BD434*BD1296,0)</f>
        <v>0</v>
      </c>
      <c r="BE1297" s="89">
        <f>+IF(Assumptions!$G$463="Yes",Assumptions!$G$464*BE434*BE1296,0)</f>
        <v>0</v>
      </c>
      <c r="BF1297" s="89">
        <f>+IF(Assumptions!$G$463="Yes",Assumptions!$G$464*BF434*BF1296,0)</f>
        <v>0</v>
      </c>
      <c r="BG1297" s="89">
        <f>+IF(Assumptions!$G$463="Yes",Assumptions!$G$464*BG434*BG1296,0)</f>
        <v>0</v>
      </c>
      <c r="BH1297" s="89">
        <f>+IF(Assumptions!$G$463="Yes",Assumptions!$G$464*BH434*BH1296,0)</f>
        <v>0</v>
      </c>
      <c r="BI1297" s="89">
        <f>+IF(Assumptions!$G$463="Yes",Assumptions!$G$464*BI434*BI1296,0)</f>
        <v>0</v>
      </c>
      <c r="BJ1297" s="89">
        <f>+IF(Assumptions!$G$463="Yes",Assumptions!$G$464*BJ434*BJ1296,0)</f>
        <v>0</v>
      </c>
      <c r="BK1297" s="89">
        <f>+IF(Assumptions!$G$463="Yes",Assumptions!$G$464*BK434*BK1296,0)</f>
        <v>0</v>
      </c>
      <c r="BL1297" s="89">
        <f>+IF(Assumptions!$G$463="Yes",Assumptions!$G$464*BL434*BL1296,0)</f>
        <v>0</v>
      </c>
      <c r="BM1297" s="89">
        <f>+IF(Assumptions!$G$463="Yes",Assumptions!$G$464*BM434*BM1296,0)</f>
        <v>0</v>
      </c>
      <c r="BN1297" s="89">
        <f>+IF(Assumptions!$G$463="Yes",Assumptions!$G$464*BN434*BN1296,0)</f>
        <v>0</v>
      </c>
      <c r="BO1297" s="89">
        <f>+IF(Assumptions!$G$463="Yes",Assumptions!$G$464*BO434*BO1296,0)</f>
        <v>0</v>
      </c>
      <c r="BP1297" s="89">
        <f>+IF(Assumptions!$G$463="Yes",Assumptions!$G$464*BP434*BP1296,0)</f>
        <v>0</v>
      </c>
      <c r="BQ1297" s="89">
        <f>+IF(Assumptions!$G$463="Yes",Assumptions!$G$464*BQ434*BQ1296,0)</f>
        <v>0</v>
      </c>
      <c r="BR1297" s="89">
        <f>+IF(Assumptions!$G$463="Yes",Assumptions!$G$464*BR434*BR1296,0)</f>
        <v>0</v>
      </c>
      <c r="BS1297" s="89">
        <f>+IF(Assumptions!$G$463="Yes",Assumptions!$G$464*BS434*BS1296,0)</f>
        <v>0</v>
      </c>
      <c r="BT1297" s="89">
        <f>+IF(Assumptions!$G$463="Yes",Assumptions!$G$464*BT434*BT1296,0)</f>
        <v>0</v>
      </c>
      <c r="BU1297" s="89">
        <f>+IF(Assumptions!$G$463="Yes",Assumptions!$G$464*BU434*BU1296,0)</f>
        <v>0</v>
      </c>
      <c r="BV1297" s="89">
        <f>+IF(Assumptions!$G$463="Yes",Assumptions!$G$464*BV434*BV1296,0)</f>
        <v>0</v>
      </c>
      <c r="BW1297" s="89">
        <f>+IF(Assumptions!$G$463="Yes",Assumptions!$G$464*BW434*BW1296,0)</f>
        <v>0</v>
      </c>
      <c r="BX1297" s="89">
        <f>+IF(Assumptions!$G$463="Yes",Assumptions!$G$464*BX434*BX1296,0)</f>
        <v>0</v>
      </c>
      <c r="BY1297" s="89">
        <f>+IF(Assumptions!$G$463="Yes",Assumptions!$G$464*BY434*BY1296,0)</f>
        <v>0</v>
      </c>
    </row>
    <row r="1298" spans="1:77" s="19" customFormat="1" ht="15" outlineLevel="1">
      <c r="A1298"/>
      <c r="B1298"/>
      <c r="C1298"/>
      <c r="D1298"/>
      <c r="E1298" s="22"/>
      <c r="F1298"/>
      <c r="G1298"/>
      <c r="H1298" s="89"/>
      <c r="I1298" s="89"/>
      <c r="J1298" s="89"/>
      <c r="K1298" s="89"/>
      <c r="L1298" s="89"/>
      <c r="M1298" s="89"/>
      <c r="N1298" s="89"/>
      <c r="O1298" s="89"/>
      <c r="P1298" s="89"/>
      <c r="Q1298" s="89"/>
      <c r="R1298" s="89"/>
      <c r="S1298" s="89"/>
      <c r="T1298" s="89"/>
      <c r="U1298" s="89"/>
      <c r="V1298" s="89"/>
      <c r="W1298" s="89"/>
      <c r="X1298" s="89"/>
      <c r="Y1298" s="89"/>
      <c r="Z1298" s="89"/>
      <c r="AA1298" s="89"/>
      <c r="AB1298" s="89"/>
      <c r="AC1298" s="89"/>
      <c r="AD1298" s="89"/>
      <c r="AE1298" s="89"/>
      <c r="AF1298" s="89"/>
      <c r="AG1298" s="89"/>
      <c r="AH1298" s="89"/>
      <c r="AI1298" s="89"/>
      <c r="AJ1298" s="89"/>
      <c r="AK1298" s="89"/>
      <c r="AL1298" s="89"/>
      <c r="AM1298" s="89"/>
      <c r="AN1298" s="89"/>
      <c r="AO1298" s="89"/>
      <c r="AP1298" s="89"/>
      <c r="AQ1298" s="89"/>
      <c r="AR1298" s="89"/>
      <c r="AS1298" s="89"/>
      <c r="AT1298" s="89"/>
      <c r="AU1298" s="89"/>
      <c r="AV1298" s="89"/>
      <c r="AW1298" s="89"/>
      <c r="AX1298" s="89"/>
      <c r="AY1298" s="89"/>
      <c r="AZ1298" s="89"/>
      <c r="BA1298" s="89"/>
      <c r="BB1298" s="89"/>
      <c r="BC1298" s="89"/>
      <c r="BD1298" s="89"/>
      <c r="BE1298" s="89"/>
      <c r="BF1298" s="89"/>
      <c r="BG1298" s="89"/>
      <c r="BH1298" s="89"/>
      <c r="BI1298" s="89"/>
      <c r="BJ1298" s="89"/>
      <c r="BK1298" s="89"/>
      <c r="BL1298" s="89"/>
      <c r="BM1298" s="89"/>
      <c r="BN1298" s="89"/>
      <c r="BO1298" s="89"/>
      <c r="BP1298" s="89"/>
      <c r="BQ1298" s="89"/>
      <c r="BR1298" s="89"/>
      <c r="BS1298" s="89"/>
      <c r="BT1298" s="89"/>
      <c r="BU1298" s="89"/>
      <c r="BV1298" s="89"/>
      <c r="BW1298" s="89"/>
      <c r="BX1298" s="89"/>
      <c r="BY1298" s="89"/>
    </row>
    <row r="1299" spans="1:77" outlineLevel="1">
      <c r="E1299" t="str">
        <f>"Incremental cost gap: "&amp;Assumptions!G469*100&amp;"% of incremental cost covered"</f>
        <v>Incremental cost gap: 0% of incremental cost covered</v>
      </c>
      <c r="F1299" s="80" t="s">
        <v>622</v>
      </c>
      <c r="H1299" s="31">
        <f ca="1">+H953*Assumptions!$G$469*(Assumptions!$G$467)</f>
        <v>0</v>
      </c>
      <c r="I1299" s="31">
        <f ca="1">+I953*Assumptions!$G$469*(Assumptions!$G$467)</f>
        <v>0</v>
      </c>
      <c r="J1299" s="31">
        <f ca="1">+J953*Assumptions!$G$469*(Assumptions!$G$467)</f>
        <v>0</v>
      </c>
      <c r="K1299" s="31">
        <f ca="1">+K953*Assumptions!$G$469*(Assumptions!$G$467)</f>
        <v>0</v>
      </c>
      <c r="L1299" s="31">
        <f ca="1">+L953*Assumptions!$G$469*(Assumptions!$G$467)</f>
        <v>0</v>
      </c>
      <c r="M1299" s="31">
        <f ca="1">+M953*Assumptions!$G$469*(Assumptions!$G$467)</f>
        <v>0</v>
      </c>
      <c r="N1299" s="31">
        <f ca="1">+N953*Assumptions!$G$469*(Assumptions!$G$467)</f>
        <v>0</v>
      </c>
      <c r="O1299" s="31">
        <f ca="1">+O953*Assumptions!$G$469*(Assumptions!$G$467)</f>
        <v>0</v>
      </c>
      <c r="P1299" s="31">
        <f ca="1">+P953*Assumptions!$G$469*(Assumptions!$G$467)</f>
        <v>0</v>
      </c>
      <c r="Q1299" s="31">
        <f ca="1">+Q953*Assumptions!$G$469*(Assumptions!$G$467)</f>
        <v>0</v>
      </c>
      <c r="R1299" s="31">
        <f ca="1">+R953*Assumptions!$G$469*(Assumptions!$G$467)</f>
        <v>0</v>
      </c>
      <c r="S1299" s="31">
        <f ca="1">+S953*Assumptions!$G$469*(Assumptions!$G$467)</f>
        <v>0</v>
      </c>
      <c r="T1299" s="31">
        <f ca="1">+T953*Assumptions!$G$469*(Assumptions!$G$467)</f>
        <v>0</v>
      </c>
      <c r="U1299" s="31">
        <f ca="1">+U953*Assumptions!$G$469*(Assumptions!$G$467)</f>
        <v>0</v>
      </c>
      <c r="V1299" s="31">
        <f ca="1">+V953*Assumptions!$G$469*(Assumptions!$G$467)</f>
        <v>0</v>
      </c>
      <c r="W1299" s="31">
        <f ca="1">+W953*Assumptions!$G$469*(Assumptions!$G$467)</f>
        <v>0</v>
      </c>
      <c r="X1299" s="31">
        <f ca="1">+X953*Assumptions!$G$469*(Assumptions!$G$467)</f>
        <v>0</v>
      </c>
      <c r="Y1299" s="31">
        <f ca="1">+Y953*Assumptions!$G$469*(Assumptions!$G$467)</f>
        <v>0</v>
      </c>
      <c r="Z1299" s="31">
        <f ca="1">+Z953*Assumptions!$G$469*(Assumptions!$G$467)</f>
        <v>0</v>
      </c>
      <c r="AA1299" s="31">
        <f ca="1">+AA953*Assumptions!$G$469*(Assumptions!$G$467)</f>
        <v>0</v>
      </c>
      <c r="AB1299" s="31">
        <f ca="1">+AB953*Assumptions!$G$469*(Assumptions!$G$467)</f>
        <v>0</v>
      </c>
      <c r="AC1299" s="31">
        <f ca="1">+AC953*Assumptions!$G$469*(Assumptions!$G$467)</f>
        <v>0</v>
      </c>
      <c r="AD1299" s="31">
        <f ca="1">+AD953*Assumptions!$G$469*(Assumptions!$G$467)</f>
        <v>0</v>
      </c>
      <c r="AE1299" s="31">
        <f ca="1">+AE953*Assumptions!$G$469*(Assumptions!$G$467)</f>
        <v>0</v>
      </c>
      <c r="AF1299" s="31">
        <f ca="1">+AF953*Assumptions!$G$469*(Assumptions!$G$467)</f>
        <v>0</v>
      </c>
      <c r="AG1299" s="31">
        <f ca="1">+AG953*Assumptions!$G$469*(Assumptions!$G$467)</f>
        <v>0</v>
      </c>
      <c r="AH1299" s="31">
        <f ca="1">+AH953*Assumptions!$G$469*(Assumptions!$G$467)</f>
        <v>0</v>
      </c>
      <c r="AI1299" s="31">
        <f ca="1">+AI953*Assumptions!$G$469*(Assumptions!$G$467)</f>
        <v>0</v>
      </c>
      <c r="AJ1299" s="31">
        <f ca="1">+AJ953*Assumptions!$G$469*(Assumptions!$G$467)</f>
        <v>0</v>
      </c>
      <c r="AK1299" s="31">
        <f ca="1">+AK953*Assumptions!$G$469*(Assumptions!$G$467)</f>
        <v>0</v>
      </c>
      <c r="AL1299" s="31">
        <f ca="1">+AL953*Assumptions!$G$469*(Assumptions!$G$467)</f>
        <v>0</v>
      </c>
      <c r="AM1299" s="31">
        <f ca="1">+AM953*Assumptions!$G$469*(Assumptions!$G$467)</f>
        <v>0</v>
      </c>
      <c r="AN1299" s="31">
        <f ca="1">+AN953*Assumptions!$G$469*(Assumptions!$G$467)</f>
        <v>0</v>
      </c>
      <c r="AO1299" s="31">
        <f ca="1">+AO953*Assumptions!$G$469*(Assumptions!$G$467)</f>
        <v>0</v>
      </c>
      <c r="AP1299" s="31">
        <f ca="1">+AP953*Assumptions!$G$469*(Assumptions!$G$467)</f>
        <v>0</v>
      </c>
      <c r="AQ1299" s="31">
        <f ca="1">+AQ953*Assumptions!$G$469*(Assumptions!$G$467)</f>
        <v>0</v>
      </c>
      <c r="AR1299" s="31">
        <f ca="1">+AR953*Assumptions!$G$469*(Assumptions!$G$467)</f>
        <v>0</v>
      </c>
      <c r="AS1299" s="31">
        <f ca="1">+AS953*Assumptions!$G$469*(Assumptions!$G$467)</f>
        <v>0</v>
      </c>
      <c r="AT1299" s="31">
        <f ca="1">+AT953*Assumptions!$G$469*(Assumptions!$G$467)</f>
        <v>0</v>
      </c>
      <c r="AU1299" s="31">
        <f ca="1">+AU953*Assumptions!$G$469*(Assumptions!$G$467)</f>
        <v>0</v>
      </c>
      <c r="AV1299" s="31">
        <f ca="1">+AV953*Assumptions!$G$469*(Assumptions!$G$467)</f>
        <v>0</v>
      </c>
      <c r="AW1299" s="31">
        <f ca="1">+AW953*Assumptions!$G$469*(Assumptions!$G$467)</f>
        <v>0</v>
      </c>
      <c r="AX1299" s="31">
        <f ca="1">+AX953*Assumptions!$G$469*(Assumptions!$G$467)</f>
        <v>0</v>
      </c>
      <c r="AY1299" s="31">
        <f ca="1">+AY953*Assumptions!$G$469*(Assumptions!$G$467)</f>
        <v>0</v>
      </c>
      <c r="AZ1299" s="31">
        <f ca="1">+AZ953*Assumptions!$G$469*(Assumptions!$G$467)</f>
        <v>0</v>
      </c>
      <c r="BA1299" s="31">
        <f ca="1">+BA953*Assumptions!$G$469*(Assumptions!$G$467)</f>
        <v>0</v>
      </c>
      <c r="BB1299" s="31">
        <f ca="1">+BB953*Assumptions!$G$469*(Assumptions!$G$467)</f>
        <v>0</v>
      </c>
      <c r="BC1299" s="31">
        <f ca="1">+BC953*Assumptions!$G$469*(Assumptions!$G$467)</f>
        <v>0</v>
      </c>
      <c r="BD1299" s="31">
        <f ca="1">+BD953*Assumptions!$G$469*(Assumptions!$G$467)</f>
        <v>0</v>
      </c>
      <c r="BE1299" s="31">
        <f ca="1">+BE953*Assumptions!$G$469*(Assumptions!$G$467)</f>
        <v>0</v>
      </c>
      <c r="BF1299" s="31">
        <f ca="1">+BF953*Assumptions!$G$469*(Assumptions!$G$467)</f>
        <v>0</v>
      </c>
      <c r="BG1299" s="31">
        <f ca="1">+BG953*Assumptions!$G$469*(Assumptions!$G$467)</f>
        <v>0</v>
      </c>
      <c r="BH1299" s="31">
        <f ca="1">+BH953*Assumptions!$G$469*(Assumptions!$G$467)</f>
        <v>0</v>
      </c>
      <c r="BI1299" s="31">
        <f ca="1">+BI953*Assumptions!$G$469*(Assumptions!$G$467)</f>
        <v>0</v>
      </c>
      <c r="BJ1299" s="31">
        <f ca="1">+BJ953*Assumptions!$G$469*(Assumptions!$G$467)</f>
        <v>0</v>
      </c>
      <c r="BK1299" s="31">
        <f ca="1">+BK953*Assumptions!$G$469*(Assumptions!$G$467)</f>
        <v>0</v>
      </c>
      <c r="BL1299" s="31">
        <f ca="1">+BL953*Assumptions!$G$469*(Assumptions!$G$467)</f>
        <v>0</v>
      </c>
      <c r="BM1299" s="31">
        <f ca="1">+BM953*Assumptions!$G$469*(Assumptions!$G$467)</f>
        <v>0</v>
      </c>
      <c r="BN1299" s="31">
        <f ca="1">+BN953*Assumptions!$G$469*(Assumptions!$G$467)</f>
        <v>0</v>
      </c>
      <c r="BO1299" s="31">
        <f ca="1">+BO953*Assumptions!$G$469*(Assumptions!$G$467)</f>
        <v>0</v>
      </c>
      <c r="BP1299" s="31">
        <f ca="1">+BP953*Assumptions!$G$469*(Assumptions!$G$467)</f>
        <v>0</v>
      </c>
      <c r="BQ1299" s="31">
        <f ca="1">+BQ953*Assumptions!$G$469*(Assumptions!$G$467)</f>
        <v>0</v>
      </c>
      <c r="BR1299" s="31">
        <f ca="1">+BR953*Assumptions!$G$469*(Assumptions!$G$467)</f>
        <v>0</v>
      </c>
      <c r="BS1299" s="31">
        <f ca="1">+BS953*Assumptions!$G$469*(Assumptions!$G$467)</f>
        <v>0</v>
      </c>
      <c r="BT1299" s="31">
        <f ca="1">+BT953*Assumptions!$G$469*(Assumptions!$G$467)</f>
        <v>0</v>
      </c>
      <c r="BU1299" s="31">
        <f ca="1">+BU953*Assumptions!$G$469*(Assumptions!$G$467)</f>
        <v>0</v>
      </c>
      <c r="BV1299" s="31">
        <f ca="1">+BV953*Assumptions!$G$469*(Assumptions!$G$467)</f>
        <v>0</v>
      </c>
      <c r="BW1299" s="31">
        <f ca="1">+BW953*Assumptions!$G$469*(Assumptions!$G$467)</f>
        <v>0</v>
      </c>
      <c r="BX1299" s="31">
        <f ca="1">+BX953*Assumptions!$G$469*(Assumptions!$G$467)</f>
        <v>0</v>
      </c>
      <c r="BY1299" s="31">
        <f ca="1">+BY953*Assumptions!$G$469*(Assumptions!$G$467)</f>
        <v>0</v>
      </c>
    </row>
    <row r="1300" spans="1:77" s="33" customFormat="1" outlineLevel="1">
      <c r="E1300" s="33" t="s">
        <v>625</v>
      </c>
      <c r="F1300" s="104" t="s">
        <v>356</v>
      </c>
      <c r="H1300" s="33">
        <f ca="1">+IF(Assumptions!$G$475="Yes",Assumptions!$G$464*H434*H1299,0)</f>
        <v>0</v>
      </c>
      <c r="I1300" s="33">
        <f ca="1">+IF(Assumptions!$G$475="Yes",Assumptions!$G$464*I434*I1299,0)</f>
        <v>0</v>
      </c>
      <c r="J1300" s="33">
        <f ca="1">+IF(Assumptions!$G$475="Yes",Assumptions!$G$464*J434*J1299,0)</f>
        <v>0</v>
      </c>
      <c r="K1300" s="33">
        <f ca="1">+IF(Assumptions!$G$475="Yes",Assumptions!$G$464*K434*K1299,0)</f>
        <v>0</v>
      </c>
      <c r="L1300" s="33">
        <f ca="1">+IF(Assumptions!$G$475="Yes",Assumptions!$G$464*L434*L1299,0)</f>
        <v>0</v>
      </c>
      <c r="M1300" s="33">
        <f ca="1">+IF(Assumptions!$G$475="Yes",Assumptions!$G$464*M434*M1299,0)</f>
        <v>0</v>
      </c>
      <c r="N1300" s="33">
        <f ca="1">+IF(Assumptions!$G$475="Yes",Assumptions!$G$464*N434*N1299,0)</f>
        <v>0</v>
      </c>
      <c r="O1300" s="33">
        <f ca="1">+IF(Assumptions!$G$475="Yes",Assumptions!$G$464*O434*O1299,0)</f>
        <v>0</v>
      </c>
      <c r="P1300" s="33">
        <f ca="1">+IF(Assumptions!$G$475="Yes",Assumptions!$G$464*P434*P1299,0)</f>
        <v>0</v>
      </c>
      <c r="Q1300" s="33">
        <f ca="1">+IF(Assumptions!$G$475="Yes",Assumptions!$G$464*Q434*Q1299,0)</f>
        <v>0</v>
      </c>
      <c r="R1300" s="33">
        <f ca="1">+IF(Assumptions!$G$475="Yes",Assumptions!$G$464*R434*R1299,0)</f>
        <v>0</v>
      </c>
      <c r="S1300" s="33">
        <f ca="1">+IF(Assumptions!$G$475="Yes",Assumptions!$G$464*S434*S1299,0)</f>
        <v>0</v>
      </c>
      <c r="T1300" s="33">
        <f ca="1">+IF(Assumptions!$G$475="Yes",Assumptions!$G$464*T434*T1299,0)</f>
        <v>0</v>
      </c>
      <c r="U1300" s="33">
        <f ca="1">+IF(Assumptions!$G$475="Yes",Assumptions!$G$464*U434*U1299,0)</f>
        <v>0</v>
      </c>
      <c r="V1300" s="33">
        <f ca="1">+IF(Assumptions!$G$475="Yes",Assumptions!$G$464*V434*V1299,0)</f>
        <v>0</v>
      </c>
      <c r="W1300" s="33">
        <f ca="1">+IF(Assumptions!$G$475="Yes",Assumptions!$G$464*W434*W1299,0)</f>
        <v>0</v>
      </c>
      <c r="X1300" s="33">
        <f ca="1">+IF(Assumptions!$G$475="Yes",Assumptions!$G$464*X434*X1299,0)</f>
        <v>0</v>
      </c>
      <c r="Y1300" s="33">
        <f ca="1">+IF(Assumptions!$G$475="Yes",Assumptions!$G$464*Y434*Y1299,0)</f>
        <v>0</v>
      </c>
      <c r="Z1300" s="33">
        <f ca="1">+IF(Assumptions!$G$475="Yes",Assumptions!$G$464*Z434*Z1299,0)</f>
        <v>0</v>
      </c>
      <c r="AA1300" s="33">
        <f ca="1">+IF(Assumptions!$G$475="Yes",Assumptions!$G$464*AA434*AA1299,0)</f>
        <v>0</v>
      </c>
      <c r="AB1300" s="33">
        <f ca="1">+IF(Assumptions!$G$475="Yes",Assumptions!$G$464*AB434*AB1299,0)</f>
        <v>0</v>
      </c>
      <c r="AC1300" s="33">
        <f ca="1">+IF(Assumptions!$G$475="Yes",Assumptions!$G$464*AC434*AC1299,0)</f>
        <v>0</v>
      </c>
      <c r="AD1300" s="33">
        <f ca="1">+IF(Assumptions!$G$475="Yes",Assumptions!$G$464*AD434*AD1299,0)</f>
        <v>0</v>
      </c>
      <c r="AE1300" s="33">
        <f ca="1">+IF(Assumptions!$G$475="Yes",Assumptions!$G$464*AE434*AE1299,0)</f>
        <v>0</v>
      </c>
      <c r="AF1300" s="33">
        <f ca="1">+IF(Assumptions!$G$475="Yes",Assumptions!$G$464*AF434*AF1299,0)</f>
        <v>0</v>
      </c>
      <c r="AG1300" s="33">
        <f ca="1">+IF(Assumptions!$G$475="Yes",Assumptions!$G$464*AG434*AG1299,0)</f>
        <v>0</v>
      </c>
      <c r="AH1300" s="33">
        <f ca="1">+IF(Assumptions!$G$475="Yes",Assumptions!$G$464*AH434*AH1299,0)</f>
        <v>0</v>
      </c>
      <c r="AI1300" s="33">
        <f ca="1">+IF(Assumptions!$G$475="Yes",Assumptions!$G$464*AI434*AI1299,0)</f>
        <v>0</v>
      </c>
      <c r="AJ1300" s="33">
        <f ca="1">+IF(Assumptions!$G$475="Yes",Assumptions!$G$464*AJ434*AJ1299,0)</f>
        <v>0</v>
      </c>
      <c r="AK1300" s="33">
        <f ca="1">+IF(Assumptions!$G$475="Yes",Assumptions!$G$464*AK434*AK1299,0)</f>
        <v>0</v>
      </c>
      <c r="AL1300" s="33">
        <f ca="1">+IF(Assumptions!$G$475="Yes",Assumptions!$G$464*AL434*AL1299,0)</f>
        <v>0</v>
      </c>
      <c r="AM1300" s="33">
        <f ca="1">+IF(Assumptions!$G$475="Yes",Assumptions!$G$464*AM434*AM1299,0)</f>
        <v>0</v>
      </c>
      <c r="AN1300" s="33">
        <f ca="1">+IF(Assumptions!$G$475="Yes",Assumptions!$G$464*AN434*AN1299,0)</f>
        <v>0</v>
      </c>
      <c r="AO1300" s="33">
        <f ca="1">+IF(Assumptions!$G$475="Yes",Assumptions!$G$464*AO434*AO1299,0)</f>
        <v>0</v>
      </c>
      <c r="AP1300" s="33">
        <f ca="1">+IF(Assumptions!$G$475="Yes",Assumptions!$G$464*AP434*AP1299,0)</f>
        <v>0</v>
      </c>
      <c r="AQ1300" s="33">
        <f ca="1">+IF(Assumptions!$G$475="Yes",Assumptions!$G$464*AQ434*AQ1299,0)</f>
        <v>0</v>
      </c>
      <c r="AR1300" s="33">
        <f ca="1">+IF(Assumptions!$G$475="Yes",Assumptions!$G$464*AR434*AR1299,0)</f>
        <v>0</v>
      </c>
      <c r="AS1300" s="33">
        <f ca="1">+IF(Assumptions!$G$475="Yes",Assumptions!$G$464*AS434*AS1299,0)</f>
        <v>0</v>
      </c>
      <c r="AT1300" s="33">
        <f ca="1">+IF(Assumptions!$G$475="Yes",Assumptions!$G$464*AT434*AT1299,0)</f>
        <v>0</v>
      </c>
      <c r="AU1300" s="33">
        <f ca="1">+IF(Assumptions!$G$475="Yes",Assumptions!$G$464*AU434*AU1299,0)</f>
        <v>0</v>
      </c>
      <c r="AV1300" s="33">
        <f ca="1">+IF(Assumptions!$G$475="Yes",Assumptions!$G$464*AV434*AV1299,0)</f>
        <v>0</v>
      </c>
      <c r="AW1300" s="33">
        <f ca="1">+IF(Assumptions!$G$475="Yes",Assumptions!$G$464*AW434*AW1299,0)</f>
        <v>0</v>
      </c>
      <c r="AX1300" s="33">
        <f ca="1">+IF(Assumptions!$G$475="Yes",Assumptions!$G$464*AX434*AX1299,0)</f>
        <v>0</v>
      </c>
      <c r="AY1300" s="33">
        <f ca="1">+IF(Assumptions!$G$475="Yes",Assumptions!$G$464*AY434*AY1299,0)</f>
        <v>0</v>
      </c>
      <c r="AZ1300" s="33">
        <f ca="1">+IF(Assumptions!$G$475="Yes",Assumptions!$G$464*AZ434*AZ1299,0)</f>
        <v>0</v>
      </c>
      <c r="BA1300" s="33">
        <f ca="1">+IF(Assumptions!$G$475="Yes",Assumptions!$G$464*BA434*BA1299,0)</f>
        <v>0</v>
      </c>
      <c r="BB1300" s="33">
        <f ca="1">+IF(Assumptions!$G$475="Yes",Assumptions!$G$464*BB434*BB1299,0)</f>
        <v>0</v>
      </c>
      <c r="BC1300" s="33">
        <f ca="1">+IF(Assumptions!$G$475="Yes",Assumptions!$G$464*BC434*BC1299,0)</f>
        <v>0</v>
      </c>
      <c r="BD1300" s="33">
        <f ca="1">+IF(Assumptions!$G$475="Yes",Assumptions!$G$464*BD434*BD1299,0)</f>
        <v>0</v>
      </c>
      <c r="BE1300" s="33">
        <f ca="1">+IF(Assumptions!$G$475="Yes",Assumptions!$G$464*BE434*BE1299,0)</f>
        <v>0</v>
      </c>
      <c r="BF1300" s="33">
        <f ca="1">+IF(Assumptions!$G$475="Yes",Assumptions!$G$464*BF434*BF1299,0)</f>
        <v>0</v>
      </c>
      <c r="BG1300" s="33">
        <f ca="1">+IF(Assumptions!$G$475="Yes",Assumptions!$G$464*BG434*BG1299,0)</f>
        <v>0</v>
      </c>
      <c r="BH1300" s="33">
        <f ca="1">+IF(Assumptions!$G$475="Yes",Assumptions!$G$464*BH434*BH1299,0)</f>
        <v>0</v>
      </c>
      <c r="BI1300" s="33">
        <f ca="1">+IF(Assumptions!$G$475="Yes",Assumptions!$G$464*BI434*BI1299,0)</f>
        <v>0</v>
      </c>
      <c r="BJ1300" s="33">
        <f ca="1">+IF(Assumptions!$G$475="Yes",Assumptions!$G$464*BJ434*BJ1299,0)</f>
        <v>0</v>
      </c>
      <c r="BK1300" s="33">
        <f ca="1">+IF(Assumptions!$G$475="Yes",Assumptions!$G$464*BK434*BK1299,0)</f>
        <v>0</v>
      </c>
      <c r="BL1300" s="33">
        <f ca="1">+IF(Assumptions!$G$475="Yes",Assumptions!$G$464*BL434*BL1299,0)</f>
        <v>0</v>
      </c>
      <c r="BM1300" s="33">
        <f ca="1">+IF(Assumptions!$G$475="Yes",Assumptions!$G$464*BM434*BM1299,0)</f>
        <v>0</v>
      </c>
      <c r="BN1300" s="33">
        <f ca="1">+IF(Assumptions!$G$475="Yes",Assumptions!$G$464*BN434*BN1299,0)</f>
        <v>0</v>
      </c>
      <c r="BO1300" s="33">
        <f ca="1">+IF(Assumptions!$G$475="Yes",Assumptions!$G$464*BO434*BO1299,0)</f>
        <v>0</v>
      </c>
      <c r="BP1300" s="33">
        <f ca="1">+IF(Assumptions!$G$475="Yes",Assumptions!$G$464*BP434*BP1299,0)</f>
        <v>0</v>
      </c>
      <c r="BQ1300" s="33">
        <f ca="1">+IF(Assumptions!$G$475="Yes",Assumptions!$G$464*BQ434*BQ1299,0)</f>
        <v>0</v>
      </c>
      <c r="BR1300" s="33">
        <f ca="1">+IF(Assumptions!$G$475="Yes",Assumptions!$G$464*BR434*BR1299,0)</f>
        <v>0</v>
      </c>
      <c r="BS1300" s="33">
        <f ca="1">+IF(Assumptions!$G$475="Yes",Assumptions!$G$464*BS434*BS1299,0)</f>
        <v>0</v>
      </c>
      <c r="BT1300" s="33">
        <f ca="1">+IF(Assumptions!$G$475="Yes",Assumptions!$G$464*BT434*BT1299,0)</f>
        <v>0</v>
      </c>
      <c r="BU1300" s="33">
        <f ca="1">+IF(Assumptions!$G$475="Yes",Assumptions!$G$464*BU434*BU1299,0)</f>
        <v>0</v>
      </c>
      <c r="BV1300" s="33">
        <f ca="1">+IF(Assumptions!$G$475="Yes",Assumptions!$G$464*BV434*BV1299,0)</f>
        <v>0</v>
      </c>
      <c r="BW1300" s="33">
        <f ca="1">+IF(Assumptions!$G$475="Yes",Assumptions!$G$464*BW434*BW1299,0)</f>
        <v>0</v>
      </c>
      <c r="BX1300" s="33">
        <f ca="1">+IF(Assumptions!$G$475="Yes",Assumptions!$G$464*BX434*BX1299,0)</f>
        <v>0</v>
      </c>
      <c r="BY1300" s="33">
        <f ca="1">+IF(Assumptions!$G$475="Yes",Assumptions!$G$464*BY434*BY1299,0)</f>
        <v>0</v>
      </c>
    </row>
    <row r="1301" spans="1:77" outlineLevel="1">
      <c r="H1301" s="31"/>
      <c r="I1301" s="31"/>
      <c r="J1301" s="31"/>
      <c r="K1301" s="31"/>
      <c r="L1301" s="31"/>
      <c r="M1301" s="31"/>
      <c r="N1301" s="31"/>
      <c r="O1301" s="31"/>
      <c r="P1301" s="31"/>
      <c r="Q1301" s="31"/>
      <c r="R1301" s="31"/>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row>
    <row r="1302" spans="1:77" outlineLevel="1">
      <c r="F1302" s="80"/>
      <c r="H1302" s="89"/>
      <c r="I1302" s="89"/>
      <c r="J1302" s="89"/>
      <c r="K1302" s="89"/>
      <c r="L1302" s="89"/>
      <c r="M1302" s="89"/>
      <c r="N1302" s="89"/>
      <c r="O1302" s="89"/>
      <c r="P1302" s="89"/>
      <c r="Q1302" s="89"/>
      <c r="R1302" s="89"/>
      <c r="S1302" s="89"/>
      <c r="T1302" s="89"/>
      <c r="U1302" s="89"/>
      <c r="V1302" s="89"/>
      <c r="W1302" s="89"/>
      <c r="X1302" s="89"/>
      <c r="Y1302" s="89"/>
      <c r="Z1302" s="89"/>
      <c r="AA1302" s="89"/>
      <c r="AB1302" s="89"/>
      <c r="AC1302" s="89"/>
      <c r="AD1302" s="89"/>
      <c r="AE1302" s="89"/>
      <c r="AF1302" s="89"/>
      <c r="AG1302" s="89"/>
      <c r="AH1302" s="89"/>
      <c r="AI1302" s="89"/>
      <c r="AJ1302" s="89"/>
      <c r="AK1302" s="89"/>
      <c r="AL1302" s="89"/>
      <c r="AM1302" s="89"/>
      <c r="AN1302" s="89"/>
      <c r="AO1302" s="89"/>
      <c r="AP1302" s="89"/>
      <c r="AQ1302" s="89"/>
      <c r="AR1302" s="89"/>
      <c r="AS1302" s="89"/>
      <c r="AT1302" s="89"/>
      <c r="AU1302" s="89"/>
      <c r="AV1302" s="89"/>
      <c r="AW1302" s="89"/>
      <c r="AX1302" s="89"/>
      <c r="AY1302" s="89"/>
      <c r="AZ1302" s="89"/>
      <c r="BA1302" s="89"/>
      <c r="BB1302" s="89"/>
      <c r="BC1302" s="89"/>
      <c r="BD1302" s="89"/>
      <c r="BE1302" s="89"/>
      <c r="BF1302" s="89"/>
      <c r="BG1302" s="89"/>
      <c r="BH1302" s="89"/>
      <c r="BI1302" s="89"/>
      <c r="BJ1302" s="89"/>
      <c r="BK1302" s="89"/>
      <c r="BL1302" s="89"/>
      <c r="BM1302" s="89"/>
      <c r="BN1302" s="89"/>
      <c r="BO1302" s="89"/>
      <c r="BP1302" s="89"/>
      <c r="BQ1302" s="89"/>
      <c r="BR1302" s="89"/>
      <c r="BS1302" s="89"/>
      <c r="BT1302" s="89"/>
      <c r="BU1302" s="89"/>
      <c r="BV1302" s="89"/>
      <c r="BW1302" s="89"/>
      <c r="BX1302" s="89"/>
      <c r="BY1302" s="89"/>
    </row>
    <row r="1303" spans="1:77" outlineLevel="1">
      <c r="E1303" t="s">
        <v>633</v>
      </c>
      <c r="F1303" s="80" t="s">
        <v>622</v>
      </c>
      <c r="H1303" s="89">
        <f ca="1">+IF(Assumptions!$G$457="Percentage on top of fossil costs",MAX(H1276,H1283,H1290,H1297),MAX(H1300,H1293,H1286,H1279))</f>
        <v>0</v>
      </c>
      <c r="I1303" s="89">
        <f ca="1">+IF(Assumptions!$G$457="Percentage on top of fossil costs",MAX(I1276,I1283,I1290,I1297),MAX(I1300,I1293,I1286,I1279))</f>
        <v>0</v>
      </c>
      <c r="J1303" s="89">
        <f ca="1">+IF(Assumptions!$G$457="Percentage on top of fossil costs",MAX(J1276,J1283,J1290,J1297),MAX(J1300,J1293,J1286,J1279))</f>
        <v>0</v>
      </c>
      <c r="K1303" s="89">
        <f ca="1">+IF(Assumptions!$G$457="Percentage on top of fossil costs",MAX(K1276,K1283,K1290,K1297),MAX(K1300,K1293,K1286,K1279))</f>
        <v>3859743.3363228426</v>
      </c>
      <c r="L1303" s="89">
        <f ca="1">+IF(Assumptions!$G$457="Percentage on top of fossil costs",MAX(L1276,L1283,L1290,L1297),MAX(L1300,L1293,L1286,L1279))</f>
        <v>5596627.8376681218</v>
      </c>
      <c r="M1303" s="89">
        <f ca="1">+IF(Assumptions!$G$457="Percentage on top of fossil costs",MAX(M1276,M1283,M1290,M1297),MAX(M1300,M1293,M1286,M1279))</f>
        <v>7333512.3390134005</v>
      </c>
      <c r="N1303" s="89">
        <f ca="1">+IF(Assumptions!$G$457="Percentage on top of fossil costs",MAX(N1276,N1283,N1290,N1297),MAX(N1300,N1293,N1286,N1279))</f>
        <v>9070396.8403586783</v>
      </c>
      <c r="O1303" s="89">
        <f ca="1">+IF(Assumptions!$G$457="Percentage on top of fossil costs",MAX(O1276,O1283,O1290,O1297),MAX(O1300,O1293,O1286,O1279))</f>
        <v>10807281.341703957</v>
      </c>
      <c r="P1303" s="89">
        <f ca="1">+IF(Assumptions!$G$457="Percentage on top of fossil costs",MAX(P1276,P1283,P1290,P1297),MAX(P1300,P1293,P1286,P1279))</f>
        <v>12544165.843049236</v>
      </c>
      <c r="Q1303" s="89">
        <f ca="1">+IF(Assumptions!$G$457="Percentage on top of fossil costs",MAX(Q1276,Q1283,Q1290,Q1297),MAX(Q1300,Q1293,Q1286,Q1279))</f>
        <v>14281050.344394514</v>
      </c>
      <c r="R1303" s="89">
        <f ca="1">+IF(Assumptions!$G$457="Percentage on top of fossil costs",MAX(R1276,R1283,R1290,R1297),MAX(R1300,R1293,R1286,R1279))</f>
        <v>16017934.845739795</v>
      </c>
      <c r="S1303" s="89">
        <f ca="1">+IF(Assumptions!$G$457="Percentage on top of fossil costs",MAX(S1276,S1283,S1290,S1297),MAX(S1300,S1293,S1286,S1279))</f>
        <v>17754819.347085074</v>
      </c>
      <c r="T1303" s="89">
        <f ca="1">+IF(Assumptions!$G$457="Percentage on top of fossil costs",MAX(T1276,T1283,T1290,T1297),MAX(T1300,T1293,T1286,T1279))</f>
        <v>19491703.848430354</v>
      </c>
      <c r="U1303" s="89">
        <f ca="1">+IF(Assumptions!$G$457="Percentage on top of fossil costs",MAX(U1276,U1283,U1290,U1297),MAX(U1300,U1293,U1286,U1279))</f>
        <v>21228588.349775635</v>
      </c>
      <c r="V1303" s="89">
        <f ca="1">+IF(Assumptions!$G$457="Percentage on top of fossil costs",MAX(V1276,V1283,V1290,V1297),MAX(V1300,V1293,V1286,V1279))</f>
        <v>22965472.851120915</v>
      </c>
      <c r="W1303" s="89">
        <f ca="1">+IF(Assumptions!$G$457="Percentage on top of fossil costs",MAX(W1276,W1283,W1290,W1297),MAX(W1300,W1293,W1286,W1279))</f>
        <v>24702357.352466196</v>
      </c>
      <c r="X1303" s="89">
        <f ca="1">+IF(Assumptions!$G$457="Percentage on top of fossil costs",MAX(X1276,X1283,X1290,X1297),MAX(X1300,X1293,X1286,X1279))</f>
        <v>26439241.853811476</v>
      </c>
      <c r="Y1303" s="89">
        <f ca="1">+IF(Assumptions!$G$457="Percentage on top of fossil costs",MAX(Y1276,Y1283,Y1290,Y1297),MAX(Y1300,Y1293,Y1286,Y1279))</f>
        <v>28176126.355156757</v>
      </c>
      <c r="Z1303" s="89">
        <f ca="1">+IF(Assumptions!$G$457="Percentage on top of fossil costs",MAX(Z1276,Z1283,Z1290,Z1297),MAX(Z1300,Z1293,Z1286,Z1279))</f>
        <v>0</v>
      </c>
      <c r="AA1303" s="89">
        <f ca="1">+IF(Assumptions!$G$457="Percentage on top of fossil costs",MAX(AA1276,AA1283,AA1290,AA1297),MAX(AA1300,AA1293,AA1286,AA1279))</f>
        <v>0</v>
      </c>
      <c r="AB1303" s="89">
        <f ca="1">+IF(Assumptions!$G$457="Percentage on top of fossil costs",MAX(AB1276,AB1283,AB1290,AB1297),MAX(AB1300,AB1293,AB1286,AB1279))</f>
        <v>0</v>
      </c>
      <c r="AC1303" s="89">
        <f ca="1">+IF(Assumptions!$G$457="Percentage on top of fossil costs",MAX(AC1276,AC1283,AC1290,AC1297),MAX(AC1300,AC1293,AC1286,AC1279))</f>
        <v>0</v>
      </c>
      <c r="AD1303" s="89">
        <f ca="1">+IF(Assumptions!$G$457="Percentage on top of fossil costs",MAX(AD1276,AD1283,AD1290,AD1297),MAX(AD1300,AD1293,AD1286,AD1279))</f>
        <v>0</v>
      </c>
      <c r="AE1303" s="89">
        <f ca="1">+IF(Assumptions!$G$457="Percentage on top of fossil costs",MAX(AE1276,AE1283,AE1290,AE1297),MAX(AE1300,AE1293,AE1286,AE1279))</f>
        <v>0</v>
      </c>
      <c r="AF1303" s="89">
        <f ca="1">+IF(Assumptions!$G$457="Percentage on top of fossil costs",MAX(AF1276,AF1283,AF1290,AF1297),MAX(AF1300,AF1293,AF1286,AF1279))</f>
        <v>0</v>
      </c>
      <c r="AG1303" s="89">
        <f ca="1">+IF(Assumptions!$G$457="Percentage on top of fossil costs",MAX(AG1276,AG1283,AG1290,AG1297),MAX(AG1300,AG1293,AG1286,AG1279))</f>
        <v>0</v>
      </c>
      <c r="AH1303" s="89">
        <f ca="1">+IF(Assumptions!$G$457="Percentage on top of fossil costs",MAX(AH1276,AH1283,AH1290,AH1297),MAX(AH1300,AH1293,AH1286,AH1279))</f>
        <v>0</v>
      </c>
      <c r="AI1303" s="89">
        <f ca="1">+IF(Assumptions!$G$457="Percentage on top of fossil costs",MAX(AI1276,AI1283,AI1290,AI1297),MAX(AI1300,AI1293,AI1286,AI1279))</f>
        <v>0</v>
      </c>
      <c r="AJ1303" s="89">
        <f ca="1">+IF(Assumptions!$G$457="Percentage on top of fossil costs",MAX(AJ1276,AJ1283,AJ1290,AJ1297),MAX(AJ1300,AJ1293,AJ1286,AJ1279))</f>
        <v>0</v>
      </c>
      <c r="AK1303" s="89">
        <f ca="1">+IF(Assumptions!$G$457="Percentage on top of fossil costs",MAX(AK1276,AK1283,AK1290,AK1297),MAX(AK1300,AK1293,AK1286,AK1279))</f>
        <v>0</v>
      </c>
      <c r="AL1303" s="89">
        <f ca="1">+IF(Assumptions!$G$457="Percentage on top of fossil costs",MAX(AL1276,AL1283,AL1290,AL1297),MAX(AL1300,AL1293,AL1286,AL1279))</f>
        <v>0</v>
      </c>
      <c r="AM1303" s="89">
        <f ca="1">+IF(Assumptions!$G$457="Percentage on top of fossil costs",MAX(AM1276,AM1283,AM1290,AM1297),MAX(AM1300,AM1293,AM1286,AM1279))</f>
        <v>0</v>
      </c>
      <c r="AN1303" s="89">
        <f ca="1">+IF(Assumptions!$G$457="Percentage on top of fossil costs",MAX(AN1276,AN1283,AN1290,AN1297),MAX(AN1300,AN1293,AN1286,AN1279))</f>
        <v>0</v>
      </c>
      <c r="AO1303" s="89">
        <f ca="1">+IF(Assumptions!$G$457="Percentage on top of fossil costs",MAX(AO1276,AO1283,AO1290,AO1297),MAX(AO1300,AO1293,AO1286,AO1279))</f>
        <v>0</v>
      </c>
      <c r="AP1303" s="89">
        <f ca="1">+IF(Assumptions!$G$457="Percentage on top of fossil costs",MAX(AP1276,AP1283,AP1290,AP1297),MAX(AP1300,AP1293,AP1286,AP1279))</f>
        <v>0</v>
      </c>
      <c r="AQ1303" s="89">
        <f ca="1">+IF(Assumptions!$G$457="Percentage on top of fossil costs",MAX(AQ1276,AQ1283,AQ1290,AQ1297),MAX(AQ1300,AQ1293,AQ1286,AQ1279))</f>
        <v>0</v>
      </c>
      <c r="AR1303" s="89">
        <f ca="1">+IF(Assumptions!$G$457="Percentage on top of fossil costs",MAX(AR1276,AR1283,AR1290,AR1297),MAX(AR1300,AR1293,AR1286,AR1279))</f>
        <v>0</v>
      </c>
      <c r="AS1303" s="89">
        <f ca="1">+IF(Assumptions!$G$457="Percentage on top of fossil costs",MAX(AS1276,AS1283,AS1290,AS1297),MAX(AS1300,AS1293,AS1286,AS1279))</f>
        <v>0</v>
      </c>
      <c r="AT1303" s="89">
        <f ca="1">+IF(Assumptions!$G$457="Percentage on top of fossil costs",MAX(AT1276,AT1283,AT1290,AT1297),MAX(AT1300,AT1293,AT1286,AT1279))</f>
        <v>0</v>
      </c>
      <c r="AU1303" s="89">
        <f ca="1">+IF(Assumptions!$G$457="Percentage on top of fossil costs",MAX(AU1276,AU1283,AU1290,AU1297),MAX(AU1300,AU1293,AU1286,AU1279))</f>
        <v>0</v>
      </c>
      <c r="AV1303" s="89">
        <f ca="1">+IF(Assumptions!$G$457="Percentage on top of fossil costs",MAX(AV1276,AV1283,AV1290,AV1297),MAX(AV1300,AV1293,AV1286,AV1279))</f>
        <v>0</v>
      </c>
      <c r="AW1303" s="89">
        <f ca="1">+IF(Assumptions!$G$457="Percentage on top of fossil costs",MAX(AW1276,AW1283,AW1290,AW1297),MAX(AW1300,AW1293,AW1286,AW1279))</f>
        <v>0</v>
      </c>
      <c r="AX1303" s="89">
        <f ca="1">+IF(Assumptions!$G$457="Percentage on top of fossil costs",MAX(AX1276,AX1283,AX1290,AX1297),MAX(AX1300,AX1293,AX1286,AX1279))</f>
        <v>0</v>
      </c>
      <c r="AY1303" s="89">
        <f ca="1">+IF(Assumptions!$G$457="Percentage on top of fossil costs",MAX(AY1276,AY1283,AY1290,AY1297),MAX(AY1300,AY1293,AY1286,AY1279))</f>
        <v>0</v>
      </c>
      <c r="AZ1303" s="89">
        <f ca="1">+IF(Assumptions!$G$457="Percentage on top of fossil costs",MAX(AZ1276,AZ1283,AZ1290,AZ1297),MAX(AZ1300,AZ1293,AZ1286,AZ1279))</f>
        <v>0</v>
      </c>
      <c r="BA1303" s="89">
        <f ca="1">+IF(Assumptions!$G$457="Percentage on top of fossil costs",MAX(BA1276,BA1283,BA1290,BA1297),MAX(BA1300,BA1293,BA1286,BA1279))</f>
        <v>0</v>
      </c>
      <c r="BB1303" s="89">
        <f ca="1">+IF(Assumptions!$G$457="Percentage on top of fossil costs",MAX(BB1276,BB1283,BB1290,BB1297),MAX(BB1300,BB1293,BB1286,BB1279))</f>
        <v>0</v>
      </c>
      <c r="BC1303" s="89">
        <f ca="1">+IF(Assumptions!$G$457="Percentage on top of fossil costs",MAX(BC1276,BC1283,BC1290,BC1297),MAX(BC1300,BC1293,BC1286,BC1279))</f>
        <v>0</v>
      </c>
      <c r="BD1303" s="89">
        <f ca="1">+IF(Assumptions!$G$457="Percentage on top of fossil costs",MAX(BD1276,BD1283,BD1290,BD1297),MAX(BD1300,BD1293,BD1286,BD1279))</f>
        <v>0</v>
      </c>
      <c r="BE1303" s="89">
        <f ca="1">+IF(Assumptions!$G$457="Percentage on top of fossil costs",MAX(BE1276,BE1283,BE1290,BE1297),MAX(BE1300,BE1293,BE1286,BE1279))</f>
        <v>0</v>
      </c>
      <c r="BF1303" s="89">
        <f ca="1">+IF(Assumptions!$G$457="Percentage on top of fossil costs",MAX(BF1276,BF1283,BF1290,BF1297),MAX(BF1300,BF1293,BF1286,BF1279))</f>
        <v>0</v>
      </c>
      <c r="BG1303" s="89">
        <f ca="1">+IF(Assumptions!$G$457="Percentage on top of fossil costs",MAX(BG1276,BG1283,BG1290,BG1297),MAX(BG1300,BG1293,BG1286,BG1279))</f>
        <v>0</v>
      </c>
      <c r="BH1303" s="89">
        <f ca="1">+IF(Assumptions!$G$457="Percentage on top of fossil costs",MAX(BH1276,BH1283,BH1290,BH1297),MAX(BH1300,BH1293,BH1286,BH1279))</f>
        <v>0</v>
      </c>
      <c r="BI1303" s="89">
        <f ca="1">+IF(Assumptions!$G$457="Percentage on top of fossil costs",MAX(BI1276,BI1283,BI1290,BI1297),MAX(BI1300,BI1293,BI1286,BI1279))</f>
        <v>0</v>
      </c>
      <c r="BJ1303" s="89">
        <f ca="1">+IF(Assumptions!$G$457="Percentage on top of fossil costs",MAX(BJ1276,BJ1283,BJ1290,BJ1297),MAX(BJ1300,BJ1293,BJ1286,BJ1279))</f>
        <v>0</v>
      </c>
      <c r="BK1303" s="89">
        <f ca="1">+IF(Assumptions!$G$457="Percentage on top of fossil costs",MAX(BK1276,BK1283,BK1290,BK1297),MAX(BK1300,BK1293,BK1286,BK1279))</f>
        <v>0</v>
      </c>
      <c r="BL1303" s="89">
        <f ca="1">+IF(Assumptions!$G$457="Percentage on top of fossil costs",MAX(BL1276,BL1283,BL1290,BL1297),MAX(BL1300,BL1293,BL1286,BL1279))</f>
        <v>0</v>
      </c>
      <c r="BM1303" s="89">
        <f ca="1">+IF(Assumptions!$G$457="Percentage on top of fossil costs",MAX(BM1276,BM1283,BM1290,BM1297),MAX(BM1300,BM1293,BM1286,BM1279))</f>
        <v>0</v>
      </c>
      <c r="BN1303" s="89">
        <f ca="1">+IF(Assumptions!$G$457="Percentage on top of fossil costs",MAX(BN1276,BN1283,BN1290,BN1297),MAX(BN1300,BN1293,BN1286,BN1279))</f>
        <v>0</v>
      </c>
      <c r="BO1303" s="89">
        <f ca="1">+IF(Assumptions!$G$457="Percentage on top of fossil costs",MAX(BO1276,BO1283,BO1290,BO1297),MAX(BO1300,BO1293,BO1286,BO1279))</f>
        <v>0</v>
      </c>
      <c r="BP1303" s="89">
        <f ca="1">+IF(Assumptions!$G$457="Percentage on top of fossil costs",MAX(BP1276,BP1283,BP1290,BP1297),MAX(BP1300,BP1293,BP1286,BP1279))</f>
        <v>0</v>
      </c>
      <c r="BQ1303" s="89">
        <f ca="1">+IF(Assumptions!$G$457="Percentage on top of fossil costs",MAX(BQ1276,BQ1283,BQ1290,BQ1297),MAX(BQ1300,BQ1293,BQ1286,BQ1279))</f>
        <v>0</v>
      </c>
      <c r="BR1303" s="89">
        <f ca="1">+IF(Assumptions!$G$457="Percentage on top of fossil costs",MAX(BR1276,BR1283,BR1290,BR1297),MAX(BR1300,BR1293,BR1286,BR1279))</f>
        <v>0</v>
      </c>
      <c r="BS1303" s="89">
        <f ca="1">+IF(Assumptions!$G$457="Percentage on top of fossil costs",MAX(BS1276,BS1283,BS1290,BS1297),MAX(BS1300,BS1293,BS1286,BS1279))</f>
        <v>0</v>
      </c>
      <c r="BT1303" s="89">
        <f ca="1">+IF(Assumptions!$G$457="Percentage on top of fossil costs",MAX(BT1276,BT1283,BT1290,BT1297),MAX(BT1300,BT1293,BT1286,BT1279))</f>
        <v>0</v>
      </c>
      <c r="BU1303" s="89">
        <f ca="1">+IF(Assumptions!$G$457="Percentage on top of fossil costs",MAX(BU1276,BU1283,BU1290,BU1297),MAX(BU1300,BU1293,BU1286,BU1279))</f>
        <v>0</v>
      </c>
      <c r="BV1303" s="89">
        <f ca="1">+IF(Assumptions!$G$457="Percentage on top of fossil costs",MAX(BV1276,BV1283,BV1290,BV1297),MAX(BV1300,BV1293,BV1286,BV1279))</f>
        <v>0</v>
      </c>
      <c r="BW1303" s="89">
        <f ca="1">+IF(Assumptions!$G$457="Percentage on top of fossil costs",MAX(BW1276,BW1283,BW1290,BW1297),MAX(BW1300,BW1293,BW1286,BW1279))</f>
        <v>0</v>
      </c>
      <c r="BX1303" s="89">
        <f ca="1">+IF(Assumptions!$G$457="Percentage on top of fossil costs",MAX(BX1276,BX1283,BX1290,BX1297),MAX(BX1300,BX1293,BX1286,BX1279))</f>
        <v>0</v>
      </c>
      <c r="BY1303" s="89">
        <f ca="1">+IF(Assumptions!$G$457="Percentage on top of fossil costs",MAX(BY1276,BY1283,BY1290,BY1297),MAX(BY1300,BY1293,BY1286,BY1279))</f>
        <v>0</v>
      </c>
    </row>
    <row r="1305" spans="1:77" s="66" customFormat="1" ht="15">
      <c r="A1305" s="66" t="str">
        <f>+Assumptions!B480</f>
        <v>7.0 Externalities</v>
      </c>
    </row>
    <row r="1306" spans="1:77" s="19" customFormat="1" outlineLevel="1">
      <c r="A1306"/>
      <c r="B1306" s="18" t="s">
        <v>634</v>
      </c>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5"/>
      <c r="AE1306" s="35"/>
      <c r="AF1306" s="35"/>
      <c r="AG1306" s="35"/>
      <c r="AH1306" s="35"/>
      <c r="AI1306" s="35"/>
      <c r="AJ1306" s="35"/>
      <c r="AK1306" s="35"/>
      <c r="AL1306" s="35"/>
      <c r="AM1306" s="35"/>
      <c r="AN1306" s="35"/>
      <c r="AO1306" s="35"/>
      <c r="AP1306" s="35"/>
      <c r="AQ1306" s="35"/>
      <c r="AR1306" s="35"/>
      <c r="AS1306" s="35"/>
      <c r="AT1306" s="35"/>
      <c r="AU1306" s="35"/>
      <c r="AV1306" s="35"/>
      <c r="AW1306" s="35"/>
      <c r="AX1306" s="35"/>
      <c r="AY1306" s="35"/>
      <c r="AZ1306" s="35"/>
      <c r="BA1306" s="35"/>
      <c r="BB1306" s="35"/>
      <c r="BC1306" s="35"/>
      <c r="BD1306" s="35"/>
      <c r="BE1306" s="35"/>
      <c r="BF1306" s="35"/>
      <c r="BG1306" s="35"/>
      <c r="BH1306" s="35"/>
      <c r="BI1306" s="35"/>
      <c r="BJ1306" s="35"/>
      <c r="BK1306" s="35"/>
      <c r="BL1306" s="35"/>
      <c r="BM1306" s="35"/>
      <c r="BN1306" s="35"/>
      <c r="BO1306" s="35"/>
      <c r="BP1306" s="35"/>
      <c r="BQ1306" s="35"/>
      <c r="BR1306" s="35"/>
      <c r="BS1306" s="35"/>
      <c r="BT1306" s="35"/>
      <c r="BU1306" s="35"/>
      <c r="BV1306" s="35"/>
      <c r="BW1306" s="35"/>
      <c r="BX1306" s="35"/>
      <c r="BY1306" s="35"/>
    </row>
    <row r="1307" spans="1:77" s="19" customFormat="1" outlineLevel="1">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row>
    <row r="1308" spans="1:77" s="19" customFormat="1" ht="15" outlineLevel="1">
      <c r="A1308"/>
      <c r="B1308"/>
      <c r="C1308"/>
      <c r="D1308"/>
      <c r="E1308" s="22"/>
      <c r="F1308"/>
      <c r="G1308"/>
      <c r="H1308"/>
      <c r="I1308"/>
      <c r="J1308"/>
      <c r="K1308"/>
      <c r="L1308" s="21"/>
      <c r="M1308"/>
      <c r="N1308" s="21"/>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row>
    <row r="1309" spans="1:77" s="19" customFormat="1" ht="15" outlineLevel="1">
      <c r="A1309"/>
      <c r="B1309"/>
      <c r="C1309" s="22" t="s">
        <v>635</v>
      </c>
      <c r="D1309"/>
      <c r="E1309" s="22" t="s">
        <v>636</v>
      </c>
      <c r="F1309" s="80"/>
      <c r="G1309"/>
      <c r="H1309" s="31"/>
      <c r="I1309" s="31"/>
      <c r="J1309" s="31"/>
      <c r="K1309" s="31"/>
      <c r="L1309" s="31"/>
      <c r="M1309" s="31"/>
      <c r="N1309" s="31"/>
      <c r="O1309" s="31"/>
      <c r="P1309" s="31"/>
      <c r="Q1309" s="31"/>
      <c r="R1309" s="31"/>
      <c r="S1309" s="31"/>
      <c r="T1309" s="31"/>
      <c r="U1309" s="31"/>
      <c r="V1309" s="31"/>
      <c r="W1309" s="31"/>
      <c r="X1309" s="31"/>
      <c r="Y1309" s="31"/>
      <c r="Z1309" s="31"/>
      <c r="AA1309" s="31"/>
      <c r="AB1309" s="31"/>
      <c r="AC1309" s="31"/>
      <c r="AD1309" s="31"/>
      <c r="AE1309" s="31"/>
      <c r="AF1309" s="31"/>
      <c r="AG1309" s="31"/>
      <c r="AH1309" s="31"/>
      <c r="AI1309" s="31"/>
      <c r="AJ1309" s="31"/>
      <c r="AK1309" s="31"/>
      <c r="AL1309" s="31"/>
      <c r="AM1309" s="31"/>
      <c r="AN1309" s="31"/>
      <c r="AO1309" s="31"/>
      <c r="AP1309" s="31"/>
      <c r="AQ1309" s="31"/>
      <c r="AR1309" s="31"/>
      <c r="AS1309" s="31"/>
      <c r="AT1309" s="31"/>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row>
    <row r="1310" spans="1:77" s="35" customFormat="1" outlineLevel="1">
      <c r="A1310" s="33"/>
      <c r="B1310" s="33"/>
      <c r="C1310" s="33" t="str">
        <f>+Assumptions!G482</f>
        <v>Yes</v>
      </c>
      <c r="D1310" s="33"/>
      <c r="E1310" t="s">
        <v>404</v>
      </c>
      <c r="F1310" s="104" t="s">
        <v>637</v>
      </c>
      <c r="G1310"/>
      <c r="H1310" s="122" cm="1">
        <f t="array" ref="H1310">+IF($C1310="Yes",_xlfn.XLOOKUP(Assumptions!$G$14&amp;$E1310,Data_tables!$AZ$5:$AZ$620&amp;Data_tables!$BA$5:$BA$620,Data_tables!$BC$5:$BC$620))*H75</f>
        <v>0</v>
      </c>
      <c r="I1310" s="122" cm="1">
        <f t="array" ref="I1310">+IF($C1310="Yes",_xlfn.XLOOKUP(Assumptions!$G$14&amp;$E1310,Data_tables!$AZ$5:$AZ$620&amp;Data_tables!$BA$5:$BA$620,Data_tables!$BC$5:$BC$620))*I75</f>
        <v>0</v>
      </c>
      <c r="J1310" s="122" cm="1">
        <f t="array" ref="J1310">+IF($C1310="Yes",_xlfn.XLOOKUP(Assumptions!$G$14&amp;$E1310,Data_tables!$AZ$5:$AZ$620&amp;Data_tables!$BA$5:$BA$620,Data_tables!$BC$5:$BC$620))*J75</f>
        <v>0</v>
      </c>
      <c r="K1310" s="122" cm="1">
        <f t="array" ref="K1310">+IF($C1310="Yes",_xlfn.XLOOKUP(Assumptions!$G$14&amp;$E1310,Data_tables!$AZ$5:$AZ$620&amp;Data_tables!$BA$5:$BA$620,Data_tables!$BC$5:$BC$620))*K75</f>
        <v>0</v>
      </c>
      <c r="L1310" s="122" cm="1">
        <f t="array" ref="L1310">+IF($C1310="Yes",_xlfn.XLOOKUP(Assumptions!$G$14&amp;$E1310,Data_tables!$AZ$5:$AZ$620&amp;Data_tables!$BA$5:$BA$620,Data_tables!$BC$5:$BC$620))*L75</f>
        <v>0</v>
      </c>
      <c r="M1310" s="122" cm="1">
        <f t="array" ref="M1310">+IF($C1310="Yes",_xlfn.XLOOKUP(Assumptions!$G$14&amp;$E1310,Data_tables!$AZ$5:$AZ$620&amp;Data_tables!$BA$5:$BA$620,Data_tables!$BC$5:$BC$620))*M75</f>
        <v>0</v>
      </c>
      <c r="N1310" s="122" cm="1">
        <f t="array" ref="N1310">+IF($C1310="Yes",_xlfn.XLOOKUP(Assumptions!$G$14&amp;$E1310,Data_tables!$AZ$5:$AZ$620&amp;Data_tables!$BA$5:$BA$620,Data_tables!$BC$5:$BC$620))*N75</f>
        <v>0</v>
      </c>
      <c r="O1310" s="122" cm="1">
        <f t="array" ref="O1310">+IF($C1310="Yes",_xlfn.XLOOKUP(Assumptions!$G$14&amp;$E1310,Data_tables!$AZ$5:$AZ$620&amp;Data_tables!$BA$5:$BA$620,Data_tables!$BC$5:$BC$620))*O75</f>
        <v>0</v>
      </c>
      <c r="P1310" s="122" cm="1">
        <f t="array" ref="P1310">+IF($C1310="Yes",_xlfn.XLOOKUP(Assumptions!$G$14&amp;$E1310,Data_tables!$AZ$5:$AZ$620&amp;Data_tables!$BA$5:$BA$620,Data_tables!$BC$5:$BC$620))*P75</f>
        <v>0</v>
      </c>
      <c r="Q1310" s="122" cm="1">
        <f t="array" ref="Q1310">+IF($C1310="Yes",_xlfn.XLOOKUP(Assumptions!$G$14&amp;$E1310,Data_tables!$AZ$5:$AZ$620&amp;Data_tables!$BA$5:$BA$620,Data_tables!$BC$5:$BC$620))*Q75</f>
        <v>0</v>
      </c>
      <c r="R1310" s="122" cm="1">
        <f t="array" ref="R1310">+IF($C1310="Yes",_xlfn.XLOOKUP(Assumptions!$G$14&amp;$E1310,Data_tables!$AZ$5:$AZ$620&amp;Data_tables!$BA$5:$BA$620,Data_tables!$BC$5:$BC$620))*R75</f>
        <v>0</v>
      </c>
      <c r="S1310" s="122" cm="1">
        <f t="array" ref="S1310">+IF($C1310="Yes",_xlfn.XLOOKUP(Assumptions!$G$14&amp;$E1310,Data_tables!$AZ$5:$AZ$620&amp;Data_tables!$BA$5:$BA$620,Data_tables!$BC$5:$BC$620))*S75</f>
        <v>0</v>
      </c>
      <c r="T1310" s="122" cm="1">
        <f t="array" ref="T1310">+IF($C1310="Yes",_xlfn.XLOOKUP(Assumptions!$G$14&amp;$E1310,Data_tables!$AZ$5:$AZ$620&amp;Data_tables!$BA$5:$BA$620,Data_tables!$BC$5:$BC$620))*T75</f>
        <v>0</v>
      </c>
      <c r="U1310" s="122" cm="1">
        <f t="array" ref="U1310">+IF($C1310="Yes",_xlfn.XLOOKUP(Assumptions!$G$14&amp;$E1310,Data_tables!$AZ$5:$AZ$620&amp;Data_tables!$BA$5:$BA$620,Data_tables!$BC$5:$BC$620))*U75</f>
        <v>0</v>
      </c>
      <c r="V1310" s="122" cm="1">
        <f t="array" ref="V1310">+IF($C1310="Yes",_xlfn.XLOOKUP(Assumptions!$G$14&amp;$E1310,Data_tables!$AZ$5:$AZ$620&amp;Data_tables!$BA$5:$BA$620,Data_tables!$BC$5:$BC$620))*V75</f>
        <v>0</v>
      </c>
      <c r="W1310" s="122" cm="1">
        <f t="array" ref="W1310">+IF($C1310="Yes",_xlfn.XLOOKUP(Assumptions!$G$14&amp;$E1310,Data_tables!$AZ$5:$AZ$620&amp;Data_tables!$BA$5:$BA$620,Data_tables!$BC$5:$BC$620))*W75</f>
        <v>0</v>
      </c>
      <c r="X1310" s="122" cm="1">
        <f t="array" ref="X1310">+IF($C1310="Yes",_xlfn.XLOOKUP(Assumptions!$G$14&amp;$E1310,Data_tables!$AZ$5:$AZ$620&amp;Data_tables!$BA$5:$BA$620,Data_tables!$BC$5:$BC$620))*X75</f>
        <v>0</v>
      </c>
      <c r="Y1310" s="122" cm="1">
        <f t="array" ref="Y1310">+IF($C1310="Yes",_xlfn.XLOOKUP(Assumptions!$G$14&amp;$E1310,Data_tables!$AZ$5:$AZ$620&amp;Data_tables!$BA$5:$BA$620,Data_tables!$BC$5:$BC$620))*Y75</f>
        <v>0</v>
      </c>
      <c r="Z1310" s="122" cm="1">
        <f t="array" ref="Z1310">+IF($C1310="Yes",_xlfn.XLOOKUP(Assumptions!$G$14&amp;$E1310,Data_tables!$AZ$5:$AZ$620&amp;Data_tables!$BA$5:$BA$620,Data_tables!$BC$5:$BC$620))*Z75</f>
        <v>0</v>
      </c>
      <c r="AA1310" s="122" cm="1">
        <f t="array" ref="AA1310">+IF($C1310="Yes",_xlfn.XLOOKUP(Assumptions!$G$14&amp;$E1310,Data_tables!$AZ$5:$AZ$620&amp;Data_tables!$BA$5:$BA$620,Data_tables!$BC$5:$BC$620))*AA75</f>
        <v>0</v>
      </c>
      <c r="AB1310" s="122" cm="1">
        <f t="array" ref="AB1310">+IF($C1310="Yes",_xlfn.XLOOKUP(Assumptions!$G$14&amp;$E1310,Data_tables!$AZ$5:$AZ$620&amp;Data_tables!$BA$5:$BA$620,Data_tables!$BC$5:$BC$620))*AB75</f>
        <v>0</v>
      </c>
      <c r="AC1310" s="122" cm="1">
        <f t="array" ref="AC1310">+IF($C1310="Yes",_xlfn.XLOOKUP(Assumptions!$G$14&amp;$E1310,Data_tables!$AZ$5:$AZ$620&amp;Data_tables!$BA$5:$BA$620,Data_tables!$BC$5:$BC$620))*AC75</f>
        <v>0</v>
      </c>
      <c r="AD1310" s="122" cm="1">
        <f t="array" ref="AD1310">+IF($C1310="Yes",_xlfn.XLOOKUP(Assumptions!$G$14&amp;$E1310,Data_tables!$AZ$5:$AZ$620&amp;Data_tables!$BA$5:$BA$620,Data_tables!$BC$5:$BC$620))*AD75</f>
        <v>0</v>
      </c>
      <c r="AE1310" s="122" cm="1">
        <f t="array" ref="AE1310">+IF($C1310="Yes",_xlfn.XLOOKUP(Assumptions!$G$14&amp;$E1310,Data_tables!$AZ$5:$AZ$620&amp;Data_tables!$BA$5:$BA$620,Data_tables!$BC$5:$BC$620))*AE75</f>
        <v>0</v>
      </c>
      <c r="AF1310" s="122" cm="1">
        <f t="array" ref="AF1310">+IF($C1310="Yes",_xlfn.XLOOKUP(Assumptions!$G$14&amp;$E1310,Data_tables!$AZ$5:$AZ$620&amp;Data_tables!$BA$5:$BA$620,Data_tables!$BC$5:$BC$620))*AF75</f>
        <v>0</v>
      </c>
      <c r="AG1310" s="122" cm="1">
        <f t="array" ref="AG1310">+IF($C1310="Yes",_xlfn.XLOOKUP(Assumptions!$G$14&amp;$E1310,Data_tables!$AZ$5:$AZ$620&amp;Data_tables!$BA$5:$BA$620,Data_tables!$BC$5:$BC$620))*AG75</f>
        <v>0</v>
      </c>
      <c r="AH1310" s="122" cm="1">
        <f t="array" ref="AH1310">+IF($C1310="Yes",_xlfn.XLOOKUP(Assumptions!$G$14&amp;$E1310,Data_tables!$AZ$5:$AZ$620&amp;Data_tables!$BA$5:$BA$620,Data_tables!$BC$5:$BC$620))*AH75</f>
        <v>0</v>
      </c>
      <c r="AI1310" s="122" cm="1">
        <f t="array" ref="AI1310">+IF($C1310="Yes",_xlfn.XLOOKUP(Assumptions!$G$14&amp;$E1310,Data_tables!$AZ$5:$AZ$620&amp;Data_tables!$BA$5:$BA$620,Data_tables!$BC$5:$BC$620))*AI75</f>
        <v>0</v>
      </c>
      <c r="AJ1310" s="122" cm="1">
        <f t="array" ref="AJ1310">+IF($C1310="Yes",_xlfn.XLOOKUP(Assumptions!$G$14&amp;$E1310,Data_tables!$AZ$5:$AZ$620&amp;Data_tables!$BA$5:$BA$620,Data_tables!$BC$5:$BC$620))*AJ75</f>
        <v>0</v>
      </c>
      <c r="AK1310" s="122" cm="1">
        <f t="array" ref="AK1310">+IF($C1310="Yes",_xlfn.XLOOKUP(Assumptions!$G$14&amp;$E1310,Data_tables!$AZ$5:$AZ$620&amp;Data_tables!$BA$5:$BA$620,Data_tables!$BC$5:$BC$620))*AK75</f>
        <v>0</v>
      </c>
      <c r="AL1310" s="122" cm="1">
        <f t="array" ref="AL1310">+IF($C1310="Yes",_xlfn.XLOOKUP(Assumptions!$G$14&amp;$E1310,Data_tables!$AZ$5:$AZ$620&amp;Data_tables!$BA$5:$BA$620,Data_tables!$BC$5:$BC$620))*AL75</f>
        <v>0</v>
      </c>
      <c r="AM1310" s="122" cm="1">
        <f t="array" ref="AM1310">+IF($C1310="Yes",_xlfn.XLOOKUP(Assumptions!$G$14&amp;$E1310,Data_tables!$AZ$5:$AZ$620&amp;Data_tables!$BA$5:$BA$620,Data_tables!$BC$5:$BC$620))*AM75</f>
        <v>0</v>
      </c>
      <c r="AN1310" s="122" cm="1">
        <f t="array" ref="AN1310">+IF($C1310="Yes",_xlfn.XLOOKUP(Assumptions!$G$14&amp;$E1310,Data_tables!$AZ$5:$AZ$620&amp;Data_tables!$BA$5:$BA$620,Data_tables!$BC$5:$BC$620))*AN75</f>
        <v>0</v>
      </c>
      <c r="AO1310" s="122" cm="1">
        <f t="array" ref="AO1310">+IF($C1310="Yes",_xlfn.XLOOKUP(Assumptions!$G$14&amp;$E1310,Data_tables!$AZ$5:$AZ$620&amp;Data_tables!$BA$5:$BA$620,Data_tables!$BC$5:$BC$620))*AO75</f>
        <v>0</v>
      </c>
      <c r="AP1310" s="122" cm="1">
        <f t="array" ref="AP1310">+IF($C1310="Yes",_xlfn.XLOOKUP(Assumptions!$G$14&amp;$E1310,Data_tables!$AZ$5:$AZ$620&amp;Data_tables!$BA$5:$BA$620,Data_tables!$BC$5:$BC$620))*AP75</f>
        <v>0</v>
      </c>
      <c r="AQ1310" s="122" cm="1">
        <f t="array" ref="AQ1310">+IF($C1310="Yes",_xlfn.XLOOKUP(Assumptions!$G$14&amp;$E1310,Data_tables!$AZ$5:$AZ$620&amp;Data_tables!$BA$5:$BA$620,Data_tables!$BC$5:$BC$620))*AQ75</f>
        <v>0</v>
      </c>
      <c r="AR1310" s="122" cm="1">
        <f t="array" ref="AR1310">+IF($C1310="Yes",_xlfn.XLOOKUP(Assumptions!$G$14&amp;$E1310,Data_tables!$AZ$5:$AZ$620&amp;Data_tables!$BA$5:$BA$620,Data_tables!$BC$5:$BC$620))*AR75</f>
        <v>0</v>
      </c>
      <c r="AS1310" s="122" cm="1">
        <f t="array" ref="AS1310">+IF($C1310="Yes",_xlfn.XLOOKUP(Assumptions!$G$14&amp;$E1310,Data_tables!$AZ$5:$AZ$620&amp;Data_tables!$BA$5:$BA$620,Data_tables!$BC$5:$BC$620))*AS75</f>
        <v>0</v>
      </c>
      <c r="AT1310" s="122" cm="1">
        <f t="array" ref="AT1310">+IF($C1310="Yes",_xlfn.XLOOKUP(Assumptions!$G$14&amp;$E1310,Data_tables!$AZ$5:$AZ$620&amp;Data_tables!$BA$5:$BA$620,Data_tables!$BC$5:$BC$620))*AT75</f>
        <v>0</v>
      </c>
      <c r="AU1310" s="122" cm="1">
        <f t="array" ref="AU1310">+IF($C1310="Yes",_xlfn.XLOOKUP(Assumptions!$G$14&amp;$E1310,Data_tables!$AZ$5:$AZ$620&amp;Data_tables!$BA$5:$BA$620,Data_tables!$BC$5:$BC$620))*AU75</f>
        <v>0</v>
      </c>
      <c r="AV1310" s="122" cm="1">
        <f t="array" ref="AV1310">+IF($C1310="Yes",_xlfn.XLOOKUP(Assumptions!$G$14&amp;$E1310,Data_tables!$AZ$5:$AZ$620&amp;Data_tables!$BA$5:$BA$620,Data_tables!$BC$5:$BC$620))*AV75</f>
        <v>0</v>
      </c>
      <c r="AW1310" s="122" cm="1">
        <f t="array" ref="AW1310">+IF($C1310="Yes",_xlfn.XLOOKUP(Assumptions!$G$14&amp;$E1310,Data_tables!$AZ$5:$AZ$620&amp;Data_tables!$BA$5:$BA$620,Data_tables!$BC$5:$BC$620))*AW75</f>
        <v>0</v>
      </c>
      <c r="AX1310" s="122" cm="1">
        <f t="array" ref="AX1310">+IF($C1310="Yes",_xlfn.XLOOKUP(Assumptions!$G$14&amp;$E1310,Data_tables!$AZ$5:$AZ$620&amp;Data_tables!$BA$5:$BA$620,Data_tables!$BC$5:$BC$620))*AX75</f>
        <v>0</v>
      </c>
      <c r="AY1310" s="122" cm="1">
        <f t="array" ref="AY1310">+IF($C1310="Yes",_xlfn.XLOOKUP(Assumptions!$G$14&amp;$E1310,Data_tables!$AZ$5:$AZ$620&amp;Data_tables!$BA$5:$BA$620,Data_tables!$BC$5:$BC$620))*AY75</f>
        <v>0</v>
      </c>
      <c r="AZ1310" s="122" cm="1">
        <f t="array" ref="AZ1310">+IF($C1310="Yes",_xlfn.XLOOKUP(Assumptions!$G$14&amp;$E1310,Data_tables!$AZ$5:$AZ$620&amp;Data_tables!$BA$5:$BA$620,Data_tables!$BC$5:$BC$620))*AZ75</f>
        <v>0</v>
      </c>
      <c r="BA1310" s="122" cm="1">
        <f t="array" ref="BA1310">+IF($C1310="Yes",_xlfn.XLOOKUP(Assumptions!$G$14&amp;$E1310,Data_tables!$AZ$5:$AZ$620&amp;Data_tables!$BA$5:$BA$620,Data_tables!$BC$5:$BC$620))*BA75</f>
        <v>0</v>
      </c>
      <c r="BB1310" s="122" cm="1">
        <f t="array" ref="BB1310">+IF($C1310="Yes",_xlfn.XLOOKUP(Assumptions!$G$14&amp;$E1310,Data_tables!$AZ$5:$AZ$620&amp;Data_tables!$BA$5:$BA$620,Data_tables!$BC$5:$BC$620))*BB75</f>
        <v>0</v>
      </c>
      <c r="BC1310" s="122" cm="1">
        <f t="array" ref="BC1310">+IF($C1310="Yes",_xlfn.XLOOKUP(Assumptions!$G$14&amp;$E1310,Data_tables!$AZ$5:$AZ$620&amp;Data_tables!$BA$5:$BA$620,Data_tables!$BC$5:$BC$620))*BC75</f>
        <v>0</v>
      </c>
      <c r="BD1310" s="122" cm="1">
        <f t="array" ref="BD1310">+IF($C1310="Yes",_xlfn.XLOOKUP(Assumptions!$G$14&amp;$E1310,Data_tables!$AZ$5:$AZ$620&amp;Data_tables!$BA$5:$BA$620,Data_tables!$BC$5:$BC$620))*BD75</f>
        <v>0</v>
      </c>
      <c r="BE1310" s="122" cm="1">
        <f t="array" ref="BE1310">+IF($C1310="Yes",_xlfn.XLOOKUP(Assumptions!$G$14&amp;$E1310,Data_tables!$AZ$5:$AZ$620&amp;Data_tables!$BA$5:$BA$620,Data_tables!$BC$5:$BC$620))*BE75</f>
        <v>0</v>
      </c>
      <c r="BF1310" s="122" cm="1">
        <f t="array" ref="BF1310">+IF($C1310="Yes",_xlfn.XLOOKUP(Assumptions!$G$14&amp;$E1310,Data_tables!$AZ$5:$AZ$620&amp;Data_tables!$BA$5:$BA$620,Data_tables!$BC$5:$BC$620))*BF75</f>
        <v>0</v>
      </c>
      <c r="BG1310" s="122" cm="1">
        <f t="array" ref="BG1310">+IF($C1310="Yes",_xlfn.XLOOKUP(Assumptions!$G$14&amp;$E1310,Data_tables!$AZ$5:$AZ$620&amp;Data_tables!$BA$5:$BA$620,Data_tables!$BC$5:$BC$620))*BG75</f>
        <v>0</v>
      </c>
      <c r="BH1310" s="122" cm="1">
        <f t="array" ref="BH1310">+IF($C1310="Yes",_xlfn.XLOOKUP(Assumptions!$G$14&amp;$E1310,Data_tables!$AZ$5:$AZ$620&amp;Data_tables!$BA$5:$BA$620,Data_tables!$BC$5:$BC$620))*BH75</f>
        <v>0</v>
      </c>
      <c r="BI1310" s="122" cm="1">
        <f t="array" ref="BI1310">+IF($C1310="Yes",_xlfn.XLOOKUP(Assumptions!$G$14&amp;$E1310,Data_tables!$AZ$5:$AZ$620&amp;Data_tables!$BA$5:$BA$620,Data_tables!$BC$5:$BC$620))*BI75</f>
        <v>0</v>
      </c>
      <c r="BJ1310" s="122" cm="1">
        <f t="array" ref="BJ1310">+IF($C1310="Yes",_xlfn.XLOOKUP(Assumptions!$G$14&amp;$E1310,Data_tables!$AZ$5:$AZ$620&amp;Data_tables!$BA$5:$BA$620,Data_tables!$BC$5:$BC$620))*BJ75</f>
        <v>0</v>
      </c>
      <c r="BK1310" s="122" cm="1">
        <f t="array" ref="BK1310">+IF($C1310="Yes",_xlfn.XLOOKUP(Assumptions!$G$14&amp;$E1310,Data_tables!$AZ$5:$AZ$620&amp;Data_tables!$BA$5:$BA$620,Data_tables!$BC$5:$BC$620))*BK75</f>
        <v>0</v>
      </c>
      <c r="BL1310" s="122" cm="1">
        <f t="array" ref="BL1310">+IF($C1310="Yes",_xlfn.XLOOKUP(Assumptions!$G$14&amp;$E1310,Data_tables!$AZ$5:$AZ$620&amp;Data_tables!$BA$5:$BA$620,Data_tables!$BC$5:$BC$620))*BL75</f>
        <v>0</v>
      </c>
      <c r="BM1310" s="122" cm="1">
        <f t="array" ref="BM1310">+IF($C1310="Yes",_xlfn.XLOOKUP(Assumptions!$G$14&amp;$E1310,Data_tables!$AZ$5:$AZ$620&amp;Data_tables!$BA$5:$BA$620,Data_tables!$BC$5:$BC$620))*BM75</f>
        <v>0</v>
      </c>
      <c r="BN1310" s="122" cm="1">
        <f t="array" ref="BN1310">+IF($C1310="Yes",_xlfn.XLOOKUP(Assumptions!$G$14&amp;$E1310,Data_tables!$AZ$5:$AZ$620&amp;Data_tables!$BA$5:$BA$620,Data_tables!$BC$5:$BC$620))*BN75</f>
        <v>0</v>
      </c>
      <c r="BO1310" s="122" cm="1">
        <f t="array" ref="BO1310">+IF($C1310="Yes",_xlfn.XLOOKUP(Assumptions!$G$14&amp;$E1310,Data_tables!$AZ$5:$AZ$620&amp;Data_tables!$BA$5:$BA$620,Data_tables!$BC$5:$BC$620))*BO75</f>
        <v>0</v>
      </c>
      <c r="BP1310" s="122" cm="1">
        <f t="array" ref="BP1310">+IF($C1310="Yes",_xlfn.XLOOKUP(Assumptions!$G$14&amp;$E1310,Data_tables!$AZ$5:$AZ$620&amp;Data_tables!$BA$5:$BA$620,Data_tables!$BC$5:$BC$620))*BP75</f>
        <v>0</v>
      </c>
      <c r="BQ1310" s="122" cm="1">
        <f t="array" ref="BQ1310">+IF($C1310="Yes",_xlfn.XLOOKUP(Assumptions!$G$14&amp;$E1310,Data_tables!$AZ$5:$AZ$620&amp;Data_tables!$BA$5:$BA$620,Data_tables!$BC$5:$BC$620))*BQ75</f>
        <v>0</v>
      </c>
      <c r="BR1310" s="122" cm="1">
        <f t="array" ref="BR1310">+IF($C1310="Yes",_xlfn.XLOOKUP(Assumptions!$G$14&amp;$E1310,Data_tables!$AZ$5:$AZ$620&amp;Data_tables!$BA$5:$BA$620,Data_tables!$BC$5:$BC$620))*BR75</f>
        <v>0</v>
      </c>
      <c r="BS1310" s="122" cm="1">
        <f t="array" ref="BS1310">+IF($C1310="Yes",_xlfn.XLOOKUP(Assumptions!$G$14&amp;$E1310,Data_tables!$AZ$5:$AZ$620&amp;Data_tables!$BA$5:$BA$620,Data_tables!$BC$5:$BC$620))*BS75</f>
        <v>0</v>
      </c>
      <c r="BT1310" s="122" cm="1">
        <f t="array" ref="BT1310">+IF($C1310="Yes",_xlfn.XLOOKUP(Assumptions!$G$14&amp;$E1310,Data_tables!$AZ$5:$AZ$620&amp;Data_tables!$BA$5:$BA$620,Data_tables!$BC$5:$BC$620))*BT75</f>
        <v>0</v>
      </c>
      <c r="BU1310" s="122" cm="1">
        <f t="array" ref="BU1310">+IF($C1310="Yes",_xlfn.XLOOKUP(Assumptions!$G$14&amp;$E1310,Data_tables!$AZ$5:$AZ$620&amp;Data_tables!$BA$5:$BA$620,Data_tables!$BC$5:$BC$620))*BU75</f>
        <v>0</v>
      </c>
      <c r="BV1310" s="122" cm="1">
        <f t="array" ref="BV1310">+IF($C1310="Yes",_xlfn.XLOOKUP(Assumptions!$G$14&amp;$E1310,Data_tables!$AZ$5:$AZ$620&amp;Data_tables!$BA$5:$BA$620,Data_tables!$BC$5:$BC$620))*BV75</f>
        <v>0</v>
      </c>
      <c r="BW1310" s="122" cm="1">
        <f t="array" ref="BW1310">+IF($C1310="Yes",_xlfn.XLOOKUP(Assumptions!$G$14&amp;$E1310,Data_tables!$AZ$5:$AZ$620&amp;Data_tables!$BA$5:$BA$620,Data_tables!$BC$5:$BC$620))*BW75</f>
        <v>0</v>
      </c>
      <c r="BX1310" s="122" cm="1">
        <f t="array" ref="BX1310">+IF($C1310="Yes",_xlfn.XLOOKUP(Assumptions!$G$14&amp;$E1310,Data_tables!$AZ$5:$AZ$620&amp;Data_tables!$BA$5:$BA$620,Data_tables!$BC$5:$BC$620))*BX75</f>
        <v>0</v>
      </c>
      <c r="BY1310" s="122" cm="1">
        <f t="array" ref="BY1310">+IF($C1310="Yes",_xlfn.XLOOKUP(Assumptions!$G$14&amp;$E1310,Data_tables!$AZ$5:$AZ$620&amp;Data_tables!$BA$5:$BA$620,Data_tables!$BC$5:$BC$620))*BY75</f>
        <v>0</v>
      </c>
    </row>
    <row r="1311" spans="1:77" s="35" customFormat="1" outlineLevel="1">
      <c r="A1311" s="33"/>
      <c r="B1311" s="33"/>
      <c r="C1311" s="33" t="str">
        <f>+Assumptions!G483</f>
        <v>Yes</v>
      </c>
      <c r="D1311" s="33"/>
      <c r="E1311" t="s">
        <v>406</v>
      </c>
      <c r="F1311" s="104" t="s">
        <v>637</v>
      </c>
      <c r="G1311" s="33"/>
      <c r="H1311" s="122" cm="1">
        <f t="array" aca="1" ref="H1311" ca="1">+IF($C1311="Yes",_xlfn.XLOOKUP(Assumptions!$G$14&amp;$E1311,Data_tables!$AZ$5:$AZ$620&amp;Data_tables!$BA$5:$BA$620,Data_tables!$BC$5:$BC$620))*H84</f>
        <v>0</v>
      </c>
      <c r="I1311" s="122" cm="1">
        <f t="array" aca="1" ref="I1311" ca="1">+IF($C1311="Yes",_xlfn.XLOOKUP(Assumptions!$G$14&amp;$E1311,Data_tables!$AZ$5:$AZ$620&amp;Data_tables!$BA$5:$BA$620,Data_tables!$BC$5:$BC$620))*I84</f>
        <v>0</v>
      </c>
      <c r="J1311" s="122" cm="1">
        <f t="array" aca="1" ref="J1311" ca="1">+IF($C1311="Yes",_xlfn.XLOOKUP(Assumptions!$G$14&amp;$E1311,Data_tables!$AZ$5:$AZ$620&amp;Data_tables!$BA$5:$BA$620,Data_tables!$BC$5:$BC$620))*J84</f>
        <v>0</v>
      </c>
      <c r="K1311" s="122" cm="1">
        <f t="array" ref="K1311">+IF($C1311="Yes",_xlfn.XLOOKUP(Assumptions!$G$14&amp;$E1311,Data_tables!$AZ$5:$AZ$620&amp;Data_tables!$BA$5:$BA$620,Data_tables!$BC$5:$BC$620))*K84</f>
        <v>0</v>
      </c>
      <c r="L1311" s="122" cm="1">
        <f t="array" ref="L1311">+IF($C1311="Yes",_xlfn.XLOOKUP(Assumptions!$G$14&amp;$E1311,Data_tables!$AZ$5:$AZ$620&amp;Data_tables!$BA$5:$BA$620,Data_tables!$BC$5:$BC$620))*L84</f>
        <v>0</v>
      </c>
      <c r="M1311" s="122" cm="1">
        <f t="array" ref="M1311">+IF($C1311="Yes",_xlfn.XLOOKUP(Assumptions!$G$14&amp;$E1311,Data_tables!$AZ$5:$AZ$620&amp;Data_tables!$BA$5:$BA$620,Data_tables!$BC$5:$BC$620))*M84</f>
        <v>0</v>
      </c>
      <c r="N1311" s="122" cm="1">
        <f t="array" ref="N1311">+IF($C1311="Yes",_xlfn.XLOOKUP(Assumptions!$G$14&amp;$E1311,Data_tables!$AZ$5:$AZ$620&amp;Data_tables!$BA$5:$BA$620,Data_tables!$BC$5:$BC$620))*N84</f>
        <v>0</v>
      </c>
      <c r="O1311" s="122" cm="1">
        <f t="array" ref="O1311">+IF($C1311="Yes",_xlfn.XLOOKUP(Assumptions!$G$14&amp;$E1311,Data_tables!$AZ$5:$AZ$620&amp;Data_tables!$BA$5:$BA$620,Data_tables!$BC$5:$BC$620))*O84</f>
        <v>0</v>
      </c>
      <c r="P1311" s="122" cm="1">
        <f t="array" ref="P1311">+IF($C1311="Yes",_xlfn.XLOOKUP(Assumptions!$G$14&amp;$E1311,Data_tables!$AZ$5:$AZ$620&amp;Data_tables!$BA$5:$BA$620,Data_tables!$BC$5:$BC$620))*P84</f>
        <v>0</v>
      </c>
      <c r="Q1311" s="122" cm="1">
        <f t="array" ref="Q1311">+IF($C1311="Yes",_xlfn.XLOOKUP(Assumptions!$G$14&amp;$E1311,Data_tables!$AZ$5:$AZ$620&amp;Data_tables!$BA$5:$BA$620,Data_tables!$BC$5:$BC$620))*Q84</f>
        <v>0</v>
      </c>
      <c r="R1311" s="122" cm="1">
        <f t="array" ref="R1311">+IF($C1311="Yes",_xlfn.XLOOKUP(Assumptions!$G$14&amp;$E1311,Data_tables!$AZ$5:$AZ$620&amp;Data_tables!$BA$5:$BA$620,Data_tables!$BC$5:$BC$620))*R84</f>
        <v>0</v>
      </c>
      <c r="S1311" s="122" cm="1">
        <f t="array" ref="S1311">+IF($C1311="Yes",_xlfn.XLOOKUP(Assumptions!$G$14&amp;$E1311,Data_tables!$AZ$5:$AZ$620&amp;Data_tables!$BA$5:$BA$620,Data_tables!$BC$5:$BC$620))*S84</f>
        <v>0</v>
      </c>
      <c r="T1311" s="122" cm="1">
        <f t="array" ref="T1311">+IF($C1311="Yes",_xlfn.XLOOKUP(Assumptions!$G$14&amp;$E1311,Data_tables!$AZ$5:$AZ$620&amp;Data_tables!$BA$5:$BA$620,Data_tables!$BC$5:$BC$620))*T84</f>
        <v>0</v>
      </c>
      <c r="U1311" s="122" cm="1">
        <f t="array" ref="U1311">+IF($C1311="Yes",_xlfn.XLOOKUP(Assumptions!$G$14&amp;$E1311,Data_tables!$AZ$5:$AZ$620&amp;Data_tables!$BA$5:$BA$620,Data_tables!$BC$5:$BC$620))*U84</f>
        <v>0</v>
      </c>
      <c r="V1311" s="122" cm="1">
        <f t="array" ref="V1311">+IF($C1311="Yes",_xlfn.XLOOKUP(Assumptions!$G$14&amp;$E1311,Data_tables!$AZ$5:$AZ$620&amp;Data_tables!$BA$5:$BA$620,Data_tables!$BC$5:$BC$620))*V84</f>
        <v>0</v>
      </c>
      <c r="W1311" s="122" cm="1">
        <f t="array" ref="W1311">+IF($C1311="Yes",_xlfn.XLOOKUP(Assumptions!$G$14&amp;$E1311,Data_tables!$AZ$5:$AZ$620&amp;Data_tables!$BA$5:$BA$620,Data_tables!$BC$5:$BC$620))*W84</f>
        <v>0</v>
      </c>
      <c r="X1311" s="122" cm="1">
        <f t="array" ref="X1311">+IF($C1311="Yes",_xlfn.XLOOKUP(Assumptions!$G$14&amp;$E1311,Data_tables!$AZ$5:$AZ$620&amp;Data_tables!$BA$5:$BA$620,Data_tables!$BC$5:$BC$620))*X84</f>
        <v>0</v>
      </c>
      <c r="Y1311" s="122" cm="1">
        <f t="array" ref="Y1311">+IF($C1311="Yes",_xlfn.XLOOKUP(Assumptions!$G$14&amp;$E1311,Data_tables!$AZ$5:$AZ$620&amp;Data_tables!$BA$5:$BA$620,Data_tables!$BC$5:$BC$620))*Y84</f>
        <v>0</v>
      </c>
      <c r="Z1311" s="122" cm="1">
        <f t="array" aca="1" ref="Z1311" ca="1">+IF($C1311="Yes",_xlfn.XLOOKUP(Assumptions!$G$14&amp;$E1311,Data_tables!$AZ$5:$AZ$620&amp;Data_tables!$BA$5:$BA$620,Data_tables!$BC$5:$BC$620))*Z84</f>
        <v>0</v>
      </c>
      <c r="AA1311" s="122" cm="1">
        <f t="array" aca="1" ref="AA1311" ca="1">+IF($C1311="Yes",_xlfn.XLOOKUP(Assumptions!$G$14&amp;$E1311,Data_tables!$AZ$5:$AZ$620&amp;Data_tables!$BA$5:$BA$620,Data_tables!$BC$5:$BC$620))*AA84</f>
        <v>0</v>
      </c>
      <c r="AB1311" s="122" cm="1">
        <f t="array" aca="1" ref="AB1311" ca="1">+IF($C1311="Yes",_xlfn.XLOOKUP(Assumptions!$G$14&amp;$E1311,Data_tables!$AZ$5:$AZ$620&amp;Data_tables!$BA$5:$BA$620,Data_tables!$BC$5:$BC$620))*AB84</f>
        <v>0</v>
      </c>
      <c r="AC1311" s="122" cm="1">
        <f t="array" aca="1" ref="AC1311" ca="1">+IF($C1311="Yes",_xlfn.XLOOKUP(Assumptions!$G$14&amp;$E1311,Data_tables!$AZ$5:$AZ$620&amp;Data_tables!$BA$5:$BA$620,Data_tables!$BC$5:$BC$620))*AC84</f>
        <v>0</v>
      </c>
      <c r="AD1311" s="122" cm="1">
        <f t="array" aca="1" ref="AD1311" ca="1">+IF($C1311="Yes",_xlfn.XLOOKUP(Assumptions!$G$14&amp;$E1311,Data_tables!$AZ$5:$AZ$620&amp;Data_tables!$BA$5:$BA$620,Data_tables!$BC$5:$BC$620))*AD84</f>
        <v>0</v>
      </c>
      <c r="AE1311" s="122" cm="1">
        <f t="array" aca="1" ref="AE1311" ca="1">+IF($C1311="Yes",_xlfn.XLOOKUP(Assumptions!$G$14&amp;$E1311,Data_tables!$AZ$5:$AZ$620&amp;Data_tables!$BA$5:$BA$620,Data_tables!$BC$5:$BC$620))*AE84</f>
        <v>0</v>
      </c>
      <c r="AF1311" s="122" cm="1">
        <f t="array" aca="1" ref="AF1311" ca="1">+IF($C1311="Yes",_xlfn.XLOOKUP(Assumptions!$G$14&amp;$E1311,Data_tables!$AZ$5:$AZ$620&amp;Data_tables!$BA$5:$BA$620,Data_tables!$BC$5:$BC$620))*AF84</f>
        <v>0</v>
      </c>
      <c r="AG1311" s="122" cm="1">
        <f t="array" aca="1" ref="AG1311" ca="1">+IF($C1311="Yes",_xlfn.XLOOKUP(Assumptions!$G$14&amp;$E1311,Data_tables!$AZ$5:$AZ$620&amp;Data_tables!$BA$5:$BA$620,Data_tables!$BC$5:$BC$620))*AG84</f>
        <v>0</v>
      </c>
      <c r="AH1311" s="122" cm="1">
        <f t="array" aca="1" ref="AH1311" ca="1">+IF($C1311="Yes",_xlfn.XLOOKUP(Assumptions!$G$14&amp;$E1311,Data_tables!$AZ$5:$AZ$620&amp;Data_tables!$BA$5:$BA$620,Data_tables!$BC$5:$BC$620))*AH84</f>
        <v>0</v>
      </c>
      <c r="AI1311" s="122" cm="1">
        <f t="array" aca="1" ref="AI1311" ca="1">+IF($C1311="Yes",_xlfn.XLOOKUP(Assumptions!$G$14&amp;$E1311,Data_tables!$AZ$5:$AZ$620&amp;Data_tables!$BA$5:$BA$620,Data_tables!$BC$5:$BC$620))*AI84</f>
        <v>0</v>
      </c>
      <c r="AJ1311" s="122" cm="1">
        <f t="array" aca="1" ref="AJ1311" ca="1">+IF($C1311="Yes",_xlfn.XLOOKUP(Assumptions!$G$14&amp;$E1311,Data_tables!$AZ$5:$AZ$620&amp;Data_tables!$BA$5:$BA$620,Data_tables!$BC$5:$BC$620))*AJ84</f>
        <v>0</v>
      </c>
      <c r="AK1311" s="122" cm="1">
        <f t="array" aca="1" ref="AK1311" ca="1">+IF($C1311="Yes",_xlfn.XLOOKUP(Assumptions!$G$14&amp;$E1311,Data_tables!$AZ$5:$AZ$620&amp;Data_tables!$BA$5:$BA$620,Data_tables!$BC$5:$BC$620))*AK84</f>
        <v>0</v>
      </c>
      <c r="AL1311" s="122" cm="1">
        <f t="array" aca="1" ref="AL1311" ca="1">+IF($C1311="Yes",_xlfn.XLOOKUP(Assumptions!$G$14&amp;$E1311,Data_tables!$AZ$5:$AZ$620&amp;Data_tables!$BA$5:$BA$620,Data_tables!$BC$5:$BC$620))*AL84</f>
        <v>0</v>
      </c>
      <c r="AM1311" s="122" cm="1">
        <f t="array" aca="1" ref="AM1311" ca="1">+IF($C1311="Yes",_xlfn.XLOOKUP(Assumptions!$G$14&amp;$E1311,Data_tables!$AZ$5:$AZ$620&amp;Data_tables!$BA$5:$BA$620,Data_tables!$BC$5:$BC$620))*AM84</f>
        <v>0</v>
      </c>
      <c r="AN1311" s="122" cm="1">
        <f t="array" aca="1" ref="AN1311" ca="1">+IF($C1311="Yes",_xlfn.XLOOKUP(Assumptions!$G$14&amp;$E1311,Data_tables!$AZ$5:$AZ$620&amp;Data_tables!$BA$5:$BA$620,Data_tables!$BC$5:$BC$620))*AN84</f>
        <v>0</v>
      </c>
      <c r="AO1311" s="122" cm="1">
        <f t="array" aca="1" ref="AO1311" ca="1">+IF($C1311="Yes",_xlfn.XLOOKUP(Assumptions!$G$14&amp;$E1311,Data_tables!$AZ$5:$AZ$620&amp;Data_tables!$BA$5:$BA$620,Data_tables!$BC$5:$BC$620))*AO84</f>
        <v>0</v>
      </c>
      <c r="AP1311" s="122" cm="1">
        <f t="array" aca="1" ref="AP1311" ca="1">+IF($C1311="Yes",_xlfn.XLOOKUP(Assumptions!$G$14&amp;$E1311,Data_tables!$AZ$5:$AZ$620&amp;Data_tables!$BA$5:$BA$620,Data_tables!$BC$5:$BC$620))*AP84</f>
        <v>0</v>
      </c>
      <c r="AQ1311" s="122" cm="1">
        <f t="array" aca="1" ref="AQ1311" ca="1">+IF($C1311="Yes",_xlfn.XLOOKUP(Assumptions!$G$14&amp;$E1311,Data_tables!$AZ$5:$AZ$620&amp;Data_tables!$BA$5:$BA$620,Data_tables!$BC$5:$BC$620))*AQ84</f>
        <v>0</v>
      </c>
      <c r="AR1311" s="122" cm="1">
        <f t="array" aca="1" ref="AR1311" ca="1">+IF($C1311="Yes",_xlfn.XLOOKUP(Assumptions!$G$14&amp;$E1311,Data_tables!$AZ$5:$AZ$620&amp;Data_tables!$BA$5:$BA$620,Data_tables!$BC$5:$BC$620))*AR84</f>
        <v>0</v>
      </c>
      <c r="AS1311" s="122" cm="1">
        <f t="array" aca="1" ref="AS1311" ca="1">+IF($C1311="Yes",_xlfn.XLOOKUP(Assumptions!$G$14&amp;$E1311,Data_tables!$AZ$5:$AZ$620&amp;Data_tables!$BA$5:$BA$620,Data_tables!$BC$5:$BC$620))*AS84</f>
        <v>0</v>
      </c>
      <c r="AT1311" s="122" cm="1">
        <f t="array" aca="1" ref="AT1311" ca="1">+IF($C1311="Yes",_xlfn.XLOOKUP(Assumptions!$G$14&amp;$E1311,Data_tables!$AZ$5:$AZ$620&amp;Data_tables!$BA$5:$BA$620,Data_tables!$BC$5:$BC$620))*AT84</f>
        <v>0</v>
      </c>
      <c r="AU1311" s="122" cm="1">
        <f t="array" aca="1" ref="AU1311" ca="1">+IF($C1311="Yes",_xlfn.XLOOKUP(Assumptions!$G$14&amp;$E1311,Data_tables!$AZ$5:$AZ$620&amp;Data_tables!$BA$5:$BA$620,Data_tables!$BC$5:$BC$620))*AU84</f>
        <v>0</v>
      </c>
      <c r="AV1311" s="122" cm="1">
        <f t="array" aca="1" ref="AV1311" ca="1">+IF($C1311="Yes",_xlfn.XLOOKUP(Assumptions!$G$14&amp;$E1311,Data_tables!$AZ$5:$AZ$620&amp;Data_tables!$BA$5:$BA$620,Data_tables!$BC$5:$BC$620))*AV84</f>
        <v>0</v>
      </c>
      <c r="AW1311" s="122" cm="1">
        <f t="array" aca="1" ref="AW1311" ca="1">+IF($C1311="Yes",_xlfn.XLOOKUP(Assumptions!$G$14&amp;$E1311,Data_tables!$AZ$5:$AZ$620&amp;Data_tables!$BA$5:$BA$620,Data_tables!$BC$5:$BC$620))*AW84</f>
        <v>0</v>
      </c>
      <c r="AX1311" s="122" cm="1">
        <f t="array" aca="1" ref="AX1311" ca="1">+IF($C1311="Yes",_xlfn.XLOOKUP(Assumptions!$G$14&amp;$E1311,Data_tables!$AZ$5:$AZ$620&amp;Data_tables!$BA$5:$BA$620,Data_tables!$BC$5:$BC$620))*AX84</f>
        <v>0</v>
      </c>
      <c r="AY1311" s="122" cm="1">
        <f t="array" aca="1" ref="AY1311" ca="1">+IF($C1311="Yes",_xlfn.XLOOKUP(Assumptions!$G$14&amp;$E1311,Data_tables!$AZ$5:$AZ$620&amp;Data_tables!$BA$5:$BA$620,Data_tables!$BC$5:$BC$620))*AY84</f>
        <v>0</v>
      </c>
      <c r="AZ1311" s="122" cm="1">
        <f t="array" aca="1" ref="AZ1311" ca="1">+IF($C1311="Yes",_xlfn.XLOOKUP(Assumptions!$G$14&amp;$E1311,Data_tables!$AZ$5:$AZ$620&amp;Data_tables!$BA$5:$BA$620,Data_tables!$BC$5:$BC$620))*AZ84</f>
        <v>0</v>
      </c>
      <c r="BA1311" s="122" cm="1">
        <f t="array" aca="1" ref="BA1311" ca="1">+IF($C1311="Yes",_xlfn.XLOOKUP(Assumptions!$G$14&amp;$E1311,Data_tables!$AZ$5:$AZ$620&amp;Data_tables!$BA$5:$BA$620,Data_tables!$BC$5:$BC$620))*BA84</f>
        <v>0</v>
      </c>
      <c r="BB1311" s="122" cm="1">
        <f t="array" aca="1" ref="BB1311" ca="1">+IF($C1311="Yes",_xlfn.XLOOKUP(Assumptions!$G$14&amp;$E1311,Data_tables!$AZ$5:$AZ$620&amp;Data_tables!$BA$5:$BA$620,Data_tables!$BC$5:$BC$620))*BB84</f>
        <v>0</v>
      </c>
      <c r="BC1311" s="122" cm="1">
        <f t="array" aca="1" ref="BC1311" ca="1">+IF($C1311="Yes",_xlfn.XLOOKUP(Assumptions!$G$14&amp;$E1311,Data_tables!$AZ$5:$AZ$620&amp;Data_tables!$BA$5:$BA$620,Data_tables!$BC$5:$BC$620))*BC84</f>
        <v>0</v>
      </c>
      <c r="BD1311" s="122" cm="1">
        <f t="array" aca="1" ref="BD1311" ca="1">+IF($C1311="Yes",_xlfn.XLOOKUP(Assumptions!$G$14&amp;$E1311,Data_tables!$AZ$5:$AZ$620&amp;Data_tables!$BA$5:$BA$620,Data_tables!$BC$5:$BC$620))*BD84</f>
        <v>0</v>
      </c>
      <c r="BE1311" s="122" cm="1">
        <f t="array" aca="1" ref="BE1311" ca="1">+IF($C1311="Yes",_xlfn.XLOOKUP(Assumptions!$G$14&amp;$E1311,Data_tables!$AZ$5:$AZ$620&amp;Data_tables!$BA$5:$BA$620,Data_tables!$BC$5:$BC$620))*BE84</f>
        <v>0</v>
      </c>
      <c r="BF1311" s="122" cm="1">
        <f t="array" aca="1" ref="BF1311" ca="1">+IF($C1311="Yes",_xlfn.XLOOKUP(Assumptions!$G$14&amp;$E1311,Data_tables!$AZ$5:$AZ$620&amp;Data_tables!$BA$5:$BA$620,Data_tables!$BC$5:$BC$620))*BF84</f>
        <v>0</v>
      </c>
      <c r="BG1311" s="122" cm="1">
        <f t="array" aca="1" ref="BG1311" ca="1">+IF($C1311="Yes",_xlfn.XLOOKUP(Assumptions!$G$14&amp;$E1311,Data_tables!$AZ$5:$AZ$620&amp;Data_tables!$BA$5:$BA$620,Data_tables!$BC$5:$BC$620))*BG84</f>
        <v>0</v>
      </c>
      <c r="BH1311" s="122" cm="1">
        <f t="array" aca="1" ref="BH1311" ca="1">+IF($C1311="Yes",_xlfn.XLOOKUP(Assumptions!$G$14&amp;$E1311,Data_tables!$AZ$5:$AZ$620&amp;Data_tables!$BA$5:$BA$620,Data_tables!$BC$5:$BC$620))*BH84</f>
        <v>0</v>
      </c>
      <c r="BI1311" s="122" cm="1">
        <f t="array" aca="1" ref="BI1311" ca="1">+IF($C1311="Yes",_xlfn.XLOOKUP(Assumptions!$G$14&amp;$E1311,Data_tables!$AZ$5:$AZ$620&amp;Data_tables!$BA$5:$BA$620,Data_tables!$BC$5:$BC$620))*BI84</f>
        <v>0</v>
      </c>
      <c r="BJ1311" s="122" cm="1">
        <f t="array" aca="1" ref="BJ1311" ca="1">+IF($C1311="Yes",_xlfn.XLOOKUP(Assumptions!$G$14&amp;$E1311,Data_tables!$AZ$5:$AZ$620&amp;Data_tables!$BA$5:$BA$620,Data_tables!$BC$5:$BC$620))*BJ84</f>
        <v>0</v>
      </c>
      <c r="BK1311" s="122" cm="1">
        <f t="array" aca="1" ref="BK1311" ca="1">+IF($C1311="Yes",_xlfn.XLOOKUP(Assumptions!$G$14&amp;$E1311,Data_tables!$AZ$5:$AZ$620&amp;Data_tables!$BA$5:$BA$620,Data_tables!$BC$5:$BC$620))*BK84</f>
        <v>0</v>
      </c>
      <c r="BL1311" s="122" cm="1">
        <f t="array" aca="1" ref="BL1311" ca="1">+IF($C1311="Yes",_xlfn.XLOOKUP(Assumptions!$G$14&amp;$E1311,Data_tables!$AZ$5:$AZ$620&amp;Data_tables!$BA$5:$BA$620,Data_tables!$BC$5:$BC$620))*BL84</f>
        <v>0</v>
      </c>
      <c r="BM1311" s="122" cm="1">
        <f t="array" aca="1" ref="BM1311" ca="1">+IF($C1311="Yes",_xlfn.XLOOKUP(Assumptions!$G$14&amp;$E1311,Data_tables!$AZ$5:$AZ$620&amp;Data_tables!$BA$5:$BA$620,Data_tables!$BC$5:$BC$620))*BM84</f>
        <v>0</v>
      </c>
      <c r="BN1311" s="122" cm="1">
        <f t="array" aca="1" ref="BN1311" ca="1">+IF($C1311="Yes",_xlfn.XLOOKUP(Assumptions!$G$14&amp;$E1311,Data_tables!$AZ$5:$AZ$620&amp;Data_tables!$BA$5:$BA$620,Data_tables!$BC$5:$BC$620))*BN84</f>
        <v>0</v>
      </c>
      <c r="BO1311" s="122" cm="1">
        <f t="array" aca="1" ref="BO1311" ca="1">+IF($C1311="Yes",_xlfn.XLOOKUP(Assumptions!$G$14&amp;$E1311,Data_tables!$AZ$5:$AZ$620&amp;Data_tables!$BA$5:$BA$620,Data_tables!$BC$5:$BC$620))*BO84</f>
        <v>0</v>
      </c>
      <c r="BP1311" s="122" cm="1">
        <f t="array" aca="1" ref="BP1311" ca="1">+IF($C1311="Yes",_xlfn.XLOOKUP(Assumptions!$G$14&amp;$E1311,Data_tables!$AZ$5:$AZ$620&amp;Data_tables!$BA$5:$BA$620,Data_tables!$BC$5:$BC$620))*BP84</f>
        <v>0</v>
      </c>
      <c r="BQ1311" s="122" cm="1">
        <f t="array" aca="1" ref="BQ1311" ca="1">+IF($C1311="Yes",_xlfn.XLOOKUP(Assumptions!$G$14&amp;$E1311,Data_tables!$AZ$5:$AZ$620&amp;Data_tables!$BA$5:$BA$620,Data_tables!$BC$5:$BC$620))*BQ84</f>
        <v>0</v>
      </c>
      <c r="BR1311" s="122" cm="1">
        <f t="array" aca="1" ref="BR1311" ca="1">+IF($C1311="Yes",_xlfn.XLOOKUP(Assumptions!$G$14&amp;$E1311,Data_tables!$AZ$5:$AZ$620&amp;Data_tables!$BA$5:$BA$620,Data_tables!$BC$5:$BC$620))*BR84</f>
        <v>0</v>
      </c>
      <c r="BS1311" s="122" cm="1">
        <f t="array" aca="1" ref="BS1311" ca="1">+IF($C1311="Yes",_xlfn.XLOOKUP(Assumptions!$G$14&amp;$E1311,Data_tables!$AZ$5:$AZ$620&amp;Data_tables!$BA$5:$BA$620,Data_tables!$BC$5:$BC$620))*BS84</f>
        <v>0</v>
      </c>
      <c r="BT1311" s="122" cm="1">
        <f t="array" aca="1" ref="BT1311" ca="1">+IF($C1311="Yes",_xlfn.XLOOKUP(Assumptions!$G$14&amp;$E1311,Data_tables!$AZ$5:$AZ$620&amp;Data_tables!$BA$5:$BA$620,Data_tables!$BC$5:$BC$620))*BT84</f>
        <v>0</v>
      </c>
      <c r="BU1311" s="122" cm="1">
        <f t="array" aca="1" ref="BU1311" ca="1">+IF($C1311="Yes",_xlfn.XLOOKUP(Assumptions!$G$14&amp;$E1311,Data_tables!$AZ$5:$AZ$620&amp;Data_tables!$BA$5:$BA$620,Data_tables!$BC$5:$BC$620))*BU84</f>
        <v>0</v>
      </c>
      <c r="BV1311" s="122" cm="1">
        <f t="array" aca="1" ref="BV1311" ca="1">+IF($C1311="Yes",_xlfn.XLOOKUP(Assumptions!$G$14&amp;$E1311,Data_tables!$AZ$5:$AZ$620&amp;Data_tables!$BA$5:$BA$620,Data_tables!$BC$5:$BC$620))*BV84</f>
        <v>0</v>
      </c>
      <c r="BW1311" s="122" cm="1">
        <f t="array" aca="1" ref="BW1311" ca="1">+IF($C1311="Yes",_xlfn.XLOOKUP(Assumptions!$G$14&amp;$E1311,Data_tables!$AZ$5:$AZ$620&amp;Data_tables!$BA$5:$BA$620,Data_tables!$BC$5:$BC$620))*BW84</f>
        <v>0</v>
      </c>
      <c r="BX1311" s="122" cm="1">
        <f t="array" aca="1" ref="BX1311" ca="1">+IF($C1311="Yes",_xlfn.XLOOKUP(Assumptions!$G$14&amp;$E1311,Data_tables!$AZ$5:$AZ$620&amp;Data_tables!$BA$5:$BA$620,Data_tables!$BC$5:$BC$620))*BX84</f>
        <v>0</v>
      </c>
      <c r="BY1311" s="122" cm="1">
        <f t="array" aca="1" ref="BY1311" ca="1">+IF($C1311="Yes",_xlfn.XLOOKUP(Assumptions!$G$14&amp;$E1311,Data_tables!$AZ$5:$AZ$620&amp;Data_tables!$BA$5:$BA$620,Data_tables!$BC$5:$BC$620))*BY84</f>
        <v>0</v>
      </c>
    </row>
    <row r="1312" spans="1:77" s="35" customFormat="1" outlineLevel="1">
      <c r="A1312" s="33"/>
      <c r="B1312" s="33"/>
      <c r="C1312" s="33" t="str">
        <f>+Assumptions!G484</f>
        <v>Yes</v>
      </c>
      <c r="D1312" s="33"/>
      <c r="E1312" t="s">
        <v>407</v>
      </c>
      <c r="F1312" s="104" t="s">
        <v>637</v>
      </c>
      <c r="G1312" s="33"/>
      <c r="H1312" s="122" cm="1">
        <f t="array" ref="H1312">+IF($C1312="Yes",_xlfn.XLOOKUP(Assumptions!$G$14&amp;$E1312,Data_tables!$AZ$5:$AZ$620&amp;Data_tables!$BA$5:$BA$620,Data_tables!$BC$5:$BC$620))*H204</f>
        <v>0</v>
      </c>
      <c r="I1312" s="122" cm="1">
        <f t="array" ref="I1312">+IF($C1312="Yes",_xlfn.XLOOKUP(Assumptions!$G$14&amp;$E1312,Data_tables!$AZ$5:$AZ$620&amp;Data_tables!$BA$5:$BA$620,Data_tables!$BC$5:$BC$620))*I204</f>
        <v>-1722706.4404827375</v>
      </c>
      <c r="J1312" s="122" cm="1">
        <f t="array" ref="J1312">+IF($C1312="Yes",_xlfn.XLOOKUP(Assumptions!$G$14&amp;$E1312,Data_tables!$AZ$5:$AZ$620&amp;Data_tables!$BA$5:$BA$620,Data_tables!$BC$5:$BC$620))*J204</f>
        <v>-1757160.5692923923</v>
      </c>
      <c r="K1312" s="122" cm="1">
        <f t="array" ref="K1312">+IF($C1312="Yes",_xlfn.XLOOKUP(Assumptions!$G$14&amp;$E1312,Data_tables!$AZ$5:$AZ$620&amp;Data_tables!$BA$5:$BA$620,Data_tables!$BC$5:$BC$620))*K204</f>
        <v>0</v>
      </c>
      <c r="L1312" s="122" cm="1">
        <f t="array" ref="L1312">+IF($C1312="Yes",_xlfn.XLOOKUP(Assumptions!$G$14&amp;$E1312,Data_tables!$AZ$5:$AZ$620&amp;Data_tables!$BA$5:$BA$620,Data_tables!$BC$5:$BC$620))*L204</f>
        <v>0</v>
      </c>
      <c r="M1312" s="122" cm="1">
        <f t="array" ref="M1312">+IF($C1312="Yes",_xlfn.XLOOKUP(Assumptions!$G$14&amp;$E1312,Data_tables!$AZ$5:$AZ$620&amp;Data_tables!$BA$5:$BA$620,Data_tables!$BC$5:$BC$620))*M204</f>
        <v>0</v>
      </c>
      <c r="N1312" s="122" cm="1">
        <f t="array" ref="N1312">+IF($C1312="Yes",_xlfn.XLOOKUP(Assumptions!$G$14&amp;$E1312,Data_tables!$AZ$5:$AZ$620&amp;Data_tables!$BA$5:$BA$620,Data_tables!$BC$5:$BC$620))*N204</f>
        <v>0</v>
      </c>
      <c r="O1312" s="122" cm="1">
        <f t="array" ref="O1312">+IF($C1312="Yes",_xlfn.XLOOKUP(Assumptions!$G$14&amp;$E1312,Data_tables!$AZ$5:$AZ$620&amp;Data_tables!$BA$5:$BA$620,Data_tables!$BC$5:$BC$620))*O204</f>
        <v>0</v>
      </c>
      <c r="P1312" s="122" cm="1">
        <f t="array" ref="P1312">+IF($C1312="Yes",_xlfn.XLOOKUP(Assumptions!$G$14&amp;$E1312,Data_tables!$AZ$5:$AZ$620&amp;Data_tables!$BA$5:$BA$620,Data_tables!$BC$5:$BC$620))*P204</f>
        <v>0</v>
      </c>
      <c r="Q1312" s="122" cm="1">
        <f t="array" ref="Q1312">+IF($C1312="Yes",_xlfn.XLOOKUP(Assumptions!$G$14&amp;$E1312,Data_tables!$AZ$5:$AZ$620&amp;Data_tables!$BA$5:$BA$620,Data_tables!$BC$5:$BC$620))*Q204</f>
        <v>0</v>
      </c>
      <c r="R1312" s="122" cm="1">
        <f t="array" ref="R1312">+IF($C1312="Yes",_xlfn.XLOOKUP(Assumptions!$G$14&amp;$E1312,Data_tables!$AZ$5:$AZ$620&amp;Data_tables!$BA$5:$BA$620,Data_tables!$BC$5:$BC$620))*R204</f>
        <v>0</v>
      </c>
      <c r="S1312" s="122" cm="1">
        <f t="array" ref="S1312">+IF($C1312="Yes",_xlfn.XLOOKUP(Assumptions!$G$14&amp;$E1312,Data_tables!$AZ$5:$AZ$620&amp;Data_tables!$BA$5:$BA$620,Data_tables!$BC$5:$BC$620))*S204</f>
        <v>0</v>
      </c>
      <c r="T1312" s="122" cm="1">
        <f t="array" ref="T1312">+IF($C1312="Yes",_xlfn.XLOOKUP(Assumptions!$G$14&amp;$E1312,Data_tables!$AZ$5:$AZ$620&amp;Data_tables!$BA$5:$BA$620,Data_tables!$BC$5:$BC$620))*T204</f>
        <v>0</v>
      </c>
      <c r="U1312" s="122" cm="1">
        <f t="array" ref="U1312">+IF($C1312="Yes",_xlfn.XLOOKUP(Assumptions!$G$14&amp;$E1312,Data_tables!$AZ$5:$AZ$620&amp;Data_tables!$BA$5:$BA$620,Data_tables!$BC$5:$BC$620))*U204</f>
        <v>0</v>
      </c>
      <c r="V1312" s="122" cm="1">
        <f t="array" ref="V1312">+IF($C1312="Yes",_xlfn.XLOOKUP(Assumptions!$G$14&amp;$E1312,Data_tables!$AZ$5:$AZ$620&amp;Data_tables!$BA$5:$BA$620,Data_tables!$BC$5:$BC$620))*V204</f>
        <v>0</v>
      </c>
      <c r="W1312" s="122" cm="1">
        <f t="array" ref="W1312">+IF($C1312="Yes",_xlfn.XLOOKUP(Assumptions!$G$14&amp;$E1312,Data_tables!$AZ$5:$AZ$620&amp;Data_tables!$BA$5:$BA$620,Data_tables!$BC$5:$BC$620))*W204</f>
        <v>0</v>
      </c>
      <c r="X1312" s="122" cm="1">
        <f t="array" ref="X1312">+IF($C1312="Yes",_xlfn.XLOOKUP(Assumptions!$G$14&amp;$E1312,Data_tables!$AZ$5:$AZ$620&amp;Data_tables!$BA$5:$BA$620,Data_tables!$BC$5:$BC$620))*X204</f>
        <v>0</v>
      </c>
      <c r="Y1312" s="122" cm="1">
        <f t="array" ref="Y1312">+IF($C1312="Yes",_xlfn.XLOOKUP(Assumptions!$G$14&amp;$E1312,Data_tables!$AZ$5:$AZ$620&amp;Data_tables!$BA$5:$BA$620,Data_tables!$BC$5:$BC$620))*Y204</f>
        <v>0</v>
      </c>
      <c r="Z1312" s="122" cm="1">
        <f t="array" ref="Z1312">+IF($C1312="Yes",_xlfn.XLOOKUP(Assumptions!$G$14&amp;$E1312,Data_tables!$AZ$5:$AZ$620&amp;Data_tables!$BA$5:$BA$620,Data_tables!$BC$5:$BC$620))*Z204</f>
        <v>0</v>
      </c>
      <c r="AA1312" s="122" cm="1">
        <f t="array" ref="AA1312">+IF($C1312="Yes",_xlfn.XLOOKUP(Assumptions!$G$14&amp;$E1312,Data_tables!$AZ$5:$AZ$620&amp;Data_tables!$BA$5:$BA$620,Data_tables!$BC$5:$BC$620))*AA204</f>
        <v>0</v>
      </c>
      <c r="AB1312" s="122" cm="1">
        <f t="array" ref="AB1312">+IF($C1312="Yes",_xlfn.XLOOKUP(Assumptions!$G$14&amp;$E1312,Data_tables!$AZ$5:$AZ$620&amp;Data_tables!$BA$5:$BA$620,Data_tables!$BC$5:$BC$620))*AB204</f>
        <v>0</v>
      </c>
      <c r="AC1312" s="122" cm="1">
        <f t="array" ref="AC1312">+IF($C1312="Yes",_xlfn.XLOOKUP(Assumptions!$G$14&amp;$E1312,Data_tables!$AZ$5:$AZ$620&amp;Data_tables!$BA$5:$BA$620,Data_tables!$BC$5:$BC$620))*AC204</f>
        <v>0</v>
      </c>
      <c r="AD1312" s="122" cm="1">
        <f t="array" ref="AD1312">+IF($C1312="Yes",_xlfn.XLOOKUP(Assumptions!$G$14&amp;$E1312,Data_tables!$AZ$5:$AZ$620&amp;Data_tables!$BA$5:$BA$620,Data_tables!$BC$5:$BC$620))*AD204</f>
        <v>0</v>
      </c>
      <c r="AE1312" s="122" cm="1">
        <f t="array" ref="AE1312">+IF($C1312="Yes",_xlfn.XLOOKUP(Assumptions!$G$14&amp;$E1312,Data_tables!$AZ$5:$AZ$620&amp;Data_tables!$BA$5:$BA$620,Data_tables!$BC$5:$BC$620))*AE204</f>
        <v>0</v>
      </c>
      <c r="AF1312" s="122" cm="1">
        <f t="array" ref="AF1312">+IF($C1312="Yes",_xlfn.XLOOKUP(Assumptions!$G$14&amp;$E1312,Data_tables!$AZ$5:$AZ$620&amp;Data_tables!$BA$5:$BA$620,Data_tables!$BC$5:$BC$620))*AF204</f>
        <v>0</v>
      </c>
      <c r="AG1312" s="122" cm="1">
        <f t="array" ref="AG1312">+IF($C1312="Yes",_xlfn.XLOOKUP(Assumptions!$G$14&amp;$E1312,Data_tables!$AZ$5:$AZ$620&amp;Data_tables!$BA$5:$BA$620,Data_tables!$BC$5:$BC$620))*AG204</f>
        <v>0</v>
      </c>
      <c r="AH1312" s="122" cm="1">
        <f t="array" ref="AH1312">+IF($C1312="Yes",_xlfn.XLOOKUP(Assumptions!$G$14&amp;$E1312,Data_tables!$AZ$5:$AZ$620&amp;Data_tables!$BA$5:$BA$620,Data_tables!$BC$5:$BC$620))*AH204</f>
        <v>0</v>
      </c>
      <c r="AI1312" s="122" cm="1">
        <f t="array" ref="AI1312">+IF($C1312="Yes",_xlfn.XLOOKUP(Assumptions!$G$14&amp;$E1312,Data_tables!$AZ$5:$AZ$620&amp;Data_tables!$BA$5:$BA$620,Data_tables!$BC$5:$BC$620))*AI204</f>
        <v>0</v>
      </c>
      <c r="AJ1312" s="122" cm="1">
        <f t="array" ref="AJ1312">+IF($C1312="Yes",_xlfn.XLOOKUP(Assumptions!$G$14&amp;$E1312,Data_tables!$AZ$5:$AZ$620&amp;Data_tables!$BA$5:$BA$620,Data_tables!$BC$5:$BC$620))*AJ204</f>
        <v>0</v>
      </c>
      <c r="AK1312" s="122" cm="1">
        <f t="array" ref="AK1312">+IF($C1312="Yes",_xlfn.XLOOKUP(Assumptions!$G$14&amp;$E1312,Data_tables!$AZ$5:$AZ$620&amp;Data_tables!$BA$5:$BA$620,Data_tables!$BC$5:$BC$620))*AK204</f>
        <v>0</v>
      </c>
      <c r="AL1312" s="122" cm="1">
        <f t="array" ref="AL1312">+IF($C1312="Yes",_xlfn.XLOOKUP(Assumptions!$G$14&amp;$E1312,Data_tables!$AZ$5:$AZ$620&amp;Data_tables!$BA$5:$BA$620,Data_tables!$BC$5:$BC$620))*AL204</f>
        <v>0</v>
      </c>
      <c r="AM1312" s="122" cm="1">
        <f t="array" ref="AM1312">+IF($C1312="Yes",_xlfn.XLOOKUP(Assumptions!$G$14&amp;$E1312,Data_tables!$AZ$5:$AZ$620&amp;Data_tables!$BA$5:$BA$620,Data_tables!$BC$5:$BC$620))*AM204</f>
        <v>0</v>
      </c>
      <c r="AN1312" s="122" cm="1">
        <f t="array" ref="AN1312">+IF($C1312="Yes",_xlfn.XLOOKUP(Assumptions!$G$14&amp;$E1312,Data_tables!$AZ$5:$AZ$620&amp;Data_tables!$BA$5:$BA$620,Data_tables!$BC$5:$BC$620))*AN204</f>
        <v>0</v>
      </c>
      <c r="AO1312" s="122" cm="1">
        <f t="array" ref="AO1312">+IF($C1312="Yes",_xlfn.XLOOKUP(Assumptions!$G$14&amp;$E1312,Data_tables!$AZ$5:$AZ$620&amp;Data_tables!$BA$5:$BA$620,Data_tables!$BC$5:$BC$620))*AO204</f>
        <v>0</v>
      </c>
      <c r="AP1312" s="122" cm="1">
        <f t="array" ref="AP1312">+IF($C1312="Yes",_xlfn.XLOOKUP(Assumptions!$G$14&amp;$E1312,Data_tables!$AZ$5:$AZ$620&amp;Data_tables!$BA$5:$BA$620,Data_tables!$BC$5:$BC$620))*AP204</f>
        <v>0</v>
      </c>
      <c r="AQ1312" s="122" cm="1">
        <f t="array" ref="AQ1312">+IF($C1312="Yes",_xlfn.XLOOKUP(Assumptions!$G$14&amp;$E1312,Data_tables!$AZ$5:$AZ$620&amp;Data_tables!$BA$5:$BA$620,Data_tables!$BC$5:$BC$620))*AQ204</f>
        <v>0</v>
      </c>
      <c r="AR1312" s="122" cm="1">
        <f t="array" ref="AR1312">+IF($C1312="Yes",_xlfn.XLOOKUP(Assumptions!$G$14&amp;$E1312,Data_tables!$AZ$5:$AZ$620&amp;Data_tables!$BA$5:$BA$620,Data_tables!$BC$5:$BC$620))*AR204</f>
        <v>0</v>
      </c>
      <c r="AS1312" s="122" cm="1">
        <f t="array" ref="AS1312">+IF($C1312="Yes",_xlfn.XLOOKUP(Assumptions!$G$14&amp;$E1312,Data_tables!$AZ$5:$AZ$620&amp;Data_tables!$BA$5:$BA$620,Data_tables!$BC$5:$BC$620))*AS204</f>
        <v>0</v>
      </c>
      <c r="AT1312" s="122" cm="1">
        <f t="array" ref="AT1312">+IF($C1312="Yes",_xlfn.XLOOKUP(Assumptions!$G$14&amp;$E1312,Data_tables!$AZ$5:$AZ$620&amp;Data_tables!$BA$5:$BA$620,Data_tables!$BC$5:$BC$620))*AT204</f>
        <v>0</v>
      </c>
      <c r="AU1312" s="122" cm="1">
        <f t="array" ref="AU1312">+IF($C1312="Yes",_xlfn.XLOOKUP(Assumptions!$G$14&amp;$E1312,Data_tables!$AZ$5:$AZ$620&amp;Data_tables!$BA$5:$BA$620,Data_tables!$BC$5:$BC$620))*AU204</f>
        <v>0</v>
      </c>
      <c r="AV1312" s="122" cm="1">
        <f t="array" ref="AV1312">+IF($C1312="Yes",_xlfn.XLOOKUP(Assumptions!$G$14&amp;$E1312,Data_tables!$AZ$5:$AZ$620&amp;Data_tables!$BA$5:$BA$620,Data_tables!$BC$5:$BC$620))*AV204</f>
        <v>0</v>
      </c>
      <c r="AW1312" s="122" cm="1">
        <f t="array" ref="AW1312">+IF($C1312="Yes",_xlfn.XLOOKUP(Assumptions!$G$14&amp;$E1312,Data_tables!$AZ$5:$AZ$620&amp;Data_tables!$BA$5:$BA$620,Data_tables!$BC$5:$BC$620))*AW204</f>
        <v>0</v>
      </c>
      <c r="AX1312" s="122" cm="1">
        <f t="array" ref="AX1312">+IF($C1312="Yes",_xlfn.XLOOKUP(Assumptions!$G$14&amp;$E1312,Data_tables!$AZ$5:$AZ$620&amp;Data_tables!$BA$5:$BA$620,Data_tables!$BC$5:$BC$620))*AX204</f>
        <v>0</v>
      </c>
      <c r="AY1312" s="122" cm="1">
        <f t="array" ref="AY1312">+IF($C1312="Yes",_xlfn.XLOOKUP(Assumptions!$G$14&amp;$E1312,Data_tables!$AZ$5:$AZ$620&amp;Data_tables!$BA$5:$BA$620,Data_tables!$BC$5:$BC$620))*AY204</f>
        <v>0</v>
      </c>
      <c r="AZ1312" s="122" cm="1">
        <f t="array" ref="AZ1312">+IF($C1312="Yes",_xlfn.XLOOKUP(Assumptions!$G$14&amp;$E1312,Data_tables!$AZ$5:$AZ$620&amp;Data_tables!$BA$5:$BA$620,Data_tables!$BC$5:$BC$620))*AZ204</f>
        <v>0</v>
      </c>
      <c r="BA1312" s="122" cm="1">
        <f t="array" ref="BA1312">+IF($C1312="Yes",_xlfn.XLOOKUP(Assumptions!$G$14&amp;$E1312,Data_tables!$AZ$5:$AZ$620&amp;Data_tables!$BA$5:$BA$620,Data_tables!$BC$5:$BC$620))*BA204</f>
        <v>0</v>
      </c>
      <c r="BB1312" s="122" cm="1">
        <f t="array" ref="BB1312">+IF($C1312="Yes",_xlfn.XLOOKUP(Assumptions!$G$14&amp;$E1312,Data_tables!$AZ$5:$AZ$620&amp;Data_tables!$BA$5:$BA$620,Data_tables!$BC$5:$BC$620))*BB204</f>
        <v>0</v>
      </c>
      <c r="BC1312" s="122" cm="1">
        <f t="array" ref="BC1312">+IF($C1312="Yes",_xlfn.XLOOKUP(Assumptions!$G$14&amp;$E1312,Data_tables!$AZ$5:$AZ$620&amp;Data_tables!$BA$5:$BA$620,Data_tables!$BC$5:$BC$620))*BC204</f>
        <v>0</v>
      </c>
      <c r="BD1312" s="122" cm="1">
        <f t="array" ref="BD1312">+IF($C1312="Yes",_xlfn.XLOOKUP(Assumptions!$G$14&amp;$E1312,Data_tables!$AZ$5:$AZ$620&amp;Data_tables!$BA$5:$BA$620,Data_tables!$BC$5:$BC$620))*BD204</f>
        <v>0</v>
      </c>
      <c r="BE1312" s="122" cm="1">
        <f t="array" ref="BE1312">+IF($C1312="Yes",_xlfn.XLOOKUP(Assumptions!$G$14&amp;$E1312,Data_tables!$AZ$5:$AZ$620&amp;Data_tables!$BA$5:$BA$620,Data_tables!$BC$5:$BC$620))*BE204</f>
        <v>0</v>
      </c>
      <c r="BF1312" s="122" cm="1">
        <f t="array" ref="BF1312">+IF($C1312="Yes",_xlfn.XLOOKUP(Assumptions!$G$14&amp;$E1312,Data_tables!$AZ$5:$AZ$620&amp;Data_tables!$BA$5:$BA$620,Data_tables!$BC$5:$BC$620))*BF204</f>
        <v>0</v>
      </c>
      <c r="BG1312" s="122" cm="1">
        <f t="array" ref="BG1312">+IF($C1312="Yes",_xlfn.XLOOKUP(Assumptions!$G$14&amp;$E1312,Data_tables!$AZ$5:$AZ$620&amp;Data_tables!$BA$5:$BA$620,Data_tables!$BC$5:$BC$620))*BG204</f>
        <v>0</v>
      </c>
      <c r="BH1312" s="122" cm="1">
        <f t="array" ref="BH1312">+IF($C1312="Yes",_xlfn.XLOOKUP(Assumptions!$G$14&amp;$E1312,Data_tables!$AZ$5:$AZ$620&amp;Data_tables!$BA$5:$BA$620,Data_tables!$BC$5:$BC$620))*BH204</f>
        <v>0</v>
      </c>
      <c r="BI1312" s="122" cm="1">
        <f t="array" ref="BI1312">+IF($C1312="Yes",_xlfn.XLOOKUP(Assumptions!$G$14&amp;$E1312,Data_tables!$AZ$5:$AZ$620&amp;Data_tables!$BA$5:$BA$620,Data_tables!$BC$5:$BC$620))*BI204</f>
        <v>0</v>
      </c>
      <c r="BJ1312" s="122" cm="1">
        <f t="array" ref="BJ1312">+IF($C1312="Yes",_xlfn.XLOOKUP(Assumptions!$G$14&amp;$E1312,Data_tables!$AZ$5:$AZ$620&amp;Data_tables!$BA$5:$BA$620,Data_tables!$BC$5:$BC$620))*BJ204</f>
        <v>0</v>
      </c>
      <c r="BK1312" s="122" cm="1">
        <f t="array" ref="BK1312">+IF($C1312="Yes",_xlfn.XLOOKUP(Assumptions!$G$14&amp;$E1312,Data_tables!$AZ$5:$AZ$620&amp;Data_tables!$BA$5:$BA$620,Data_tables!$BC$5:$BC$620))*BK204</f>
        <v>0</v>
      </c>
      <c r="BL1312" s="122" cm="1">
        <f t="array" ref="BL1312">+IF($C1312="Yes",_xlfn.XLOOKUP(Assumptions!$G$14&amp;$E1312,Data_tables!$AZ$5:$AZ$620&amp;Data_tables!$BA$5:$BA$620,Data_tables!$BC$5:$BC$620))*BL204</f>
        <v>0</v>
      </c>
      <c r="BM1312" s="122" cm="1">
        <f t="array" ref="BM1312">+IF($C1312="Yes",_xlfn.XLOOKUP(Assumptions!$G$14&amp;$E1312,Data_tables!$AZ$5:$AZ$620&amp;Data_tables!$BA$5:$BA$620,Data_tables!$BC$5:$BC$620))*BM204</f>
        <v>0</v>
      </c>
      <c r="BN1312" s="122" cm="1">
        <f t="array" ref="BN1312">+IF($C1312="Yes",_xlfn.XLOOKUP(Assumptions!$G$14&amp;$E1312,Data_tables!$AZ$5:$AZ$620&amp;Data_tables!$BA$5:$BA$620,Data_tables!$BC$5:$BC$620))*BN204</f>
        <v>0</v>
      </c>
      <c r="BO1312" s="122" cm="1">
        <f t="array" ref="BO1312">+IF($C1312="Yes",_xlfn.XLOOKUP(Assumptions!$G$14&amp;$E1312,Data_tables!$AZ$5:$AZ$620&amp;Data_tables!$BA$5:$BA$620,Data_tables!$BC$5:$BC$620))*BO204</f>
        <v>0</v>
      </c>
      <c r="BP1312" s="122" cm="1">
        <f t="array" ref="BP1312">+IF($C1312="Yes",_xlfn.XLOOKUP(Assumptions!$G$14&amp;$E1312,Data_tables!$AZ$5:$AZ$620&amp;Data_tables!$BA$5:$BA$620,Data_tables!$BC$5:$BC$620))*BP204</f>
        <v>0</v>
      </c>
      <c r="BQ1312" s="122" cm="1">
        <f t="array" ref="BQ1312">+IF($C1312="Yes",_xlfn.XLOOKUP(Assumptions!$G$14&amp;$E1312,Data_tables!$AZ$5:$AZ$620&amp;Data_tables!$BA$5:$BA$620,Data_tables!$BC$5:$BC$620))*BQ204</f>
        <v>0</v>
      </c>
      <c r="BR1312" s="122" cm="1">
        <f t="array" ref="BR1312">+IF($C1312="Yes",_xlfn.XLOOKUP(Assumptions!$G$14&amp;$E1312,Data_tables!$AZ$5:$AZ$620&amp;Data_tables!$BA$5:$BA$620,Data_tables!$BC$5:$BC$620))*BR204</f>
        <v>0</v>
      </c>
      <c r="BS1312" s="122" cm="1">
        <f t="array" ref="BS1312">+IF($C1312="Yes",_xlfn.XLOOKUP(Assumptions!$G$14&amp;$E1312,Data_tables!$AZ$5:$AZ$620&amp;Data_tables!$BA$5:$BA$620,Data_tables!$BC$5:$BC$620))*BS204</f>
        <v>0</v>
      </c>
      <c r="BT1312" s="122" cm="1">
        <f t="array" ref="BT1312">+IF($C1312="Yes",_xlfn.XLOOKUP(Assumptions!$G$14&amp;$E1312,Data_tables!$AZ$5:$AZ$620&amp;Data_tables!$BA$5:$BA$620,Data_tables!$BC$5:$BC$620))*BT204</f>
        <v>0</v>
      </c>
      <c r="BU1312" s="122" cm="1">
        <f t="array" ref="BU1312">+IF($C1312="Yes",_xlfn.XLOOKUP(Assumptions!$G$14&amp;$E1312,Data_tables!$AZ$5:$AZ$620&amp;Data_tables!$BA$5:$BA$620,Data_tables!$BC$5:$BC$620))*BU204</f>
        <v>0</v>
      </c>
      <c r="BV1312" s="122" cm="1">
        <f t="array" ref="BV1312">+IF($C1312="Yes",_xlfn.XLOOKUP(Assumptions!$G$14&amp;$E1312,Data_tables!$AZ$5:$AZ$620&amp;Data_tables!$BA$5:$BA$620,Data_tables!$BC$5:$BC$620))*BV204</f>
        <v>0</v>
      </c>
      <c r="BW1312" s="122" cm="1">
        <f t="array" ref="BW1312">+IF($C1312="Yes",_xlfn.XLOOKUP(Assumptions!$G$14&amp;$E1312,Data_tables!$AZ$5:$AZ$620&amp;Data_tables!$BA$5:$BA$620,Data_tables!$BC$5:$BC$620))*BW204</f>
        <v>0</v>
      </c>
      <c r="BX1312" s="122" cm="1">
        <f t="array" ref="BX1312">+IF($C1312="Yes",_xlfn.XLOOKUP(Assumptions!$G$14&amp;$E1312,Data_tables!$AZ$5:$AZ$620&amp;Data_tables!$BA$5:$BA$620,Data_tables!$BC$5:$BC$620))*BX204</f>
        <v>0</v>
      </c>
      <c r="BY1312" s="122" cm="1">
        <f t="array" ref="BY1312">+IF($C1312="Yes",_xlfn.XLOOKUP(Assumptions!$G$14&amp;$E1312,Data_tables!$AZ$5:$AZ$620&amp;Data_tables!$BA$5:$BA$620,Data_tables!$BC$5:$BC$620))*BY204</f>
        <v>0</v>
      </c>
    </row>
    <row r="1313" spans="1:77" s="35" customFormat="1" outlineLevel="1">
      <c r="A1313" s="776"/>
      <c r="B1313" s="776"/>
      <c r="C1313" s="33" t="str">
        <f>+Assumptions!G485</f>
        <v>Yes</v>
      </c>
      <c r="D1313" s="33"/>
      <c r="E1313" t="s">
        <v>408</v>
      </c>
      <c r="F1313" s="104" t="s">
        <v>637</v>
      </c>
      <c r="G1313" s="33"/>
      <c r="H1313" s="31" cm="1">
        <f t="array" ref="H1313">+IFERROR(IF($C1313="Yes",_xlfn.XLOOKUP(Assumptions!$G$14&amp;$E1313,Data_tables!$AZ$5:$AZ$620&amp;Data_tables!$BA$5:$BA$620,Data_tables!$BC$5:$BC$620))*H216,0)</f>
        <v>0</v>
      </c>
      <c r="I1313" s="31" cm="1">
        <f t="array" ref="I1313">+IFERROR(IF($C1313="Yes",_xlfn.XLOOKUP(Assumptions!$G$14&amp;$E1313,Data_tables!$AZ$5:$AZ$620&amp;Data_tables!$BA$5:$BA$620,Data_tables!$BC$5:$BC$620))*I216,0)</f>
        <v>0</v>
      </c>
      <c r="J1313" s="31" cm="1">
        <f t="array" ref="J1313">+IFERROR(IF($C1313="Yes",_xlfn.XLOOKUP(Assumptions!$G$14&amp;$E1313,Data_tables!$AZ$5:$AZ$620&amp;Data_tables!$BA$5:$BA$620,Data_tables!$BC$5:$BC$620))*J216,0)</f>
        <v>0</v>
      </c>
      <c r="K1313" s="31" cm="1">
        <f t="array" ref="K1313">+IFERROR(IF($C1313="Yes",_xlfn.XLOOKUP(Assumptions!$G$14&amp;$E1313,Data_tables!$AZ$5:$AZ$620&amp;Data_tables!$BA$5:$BA$620,Data_tables!$BC$5:$BC$620))*K216,0)</f>
        <v>-9696.7211194122065</v>
      </c>
      <c r="L1313" s="31" cm="1">
        <f t="array" ref="L1313">+IFERROR(IF($C1313="Yes",_xlfn.XLOOKUP(Assumptions!$G$14&amp;$E1313,Data_tables!$AZ$5:$AZ$620&amp;Data_tables!$BA$5:$BA$620,Data_tables!$BC$5:$BC$620))*L216,0)</f>
        <v>-9890.65554180045</v>
      </c>
      <c r="M1313" s="31" cm="1">
        <f t="array" ref="M1313">+IFERROR(IF($C1313="Yes",_xlfn.XLOOKUP(Assumptions!$G$14&amp;$E1313,Data_tables!$AZ$5:$AZ$620&amp;Data_tables!$BA$5:$BA$620,Data_tables!$BC$5:$BC$620))*M216,0)</f>
        <v>-10088.46865263646</v>
      </c>
      <c r="N1313" s="31" cm="1">
        <f t="array" ref="N1313">+IFERROR(IF($C1313="Yes",_xlfn.XLOOKUP(Assumptions!$G$14&amp;$E1313,Data_tables!$AZ$5:$AZ$620&amp;Data_tables!$BA$5:$BA$620,Data_tables!$BC$5:$BC$620))*N216,0)</f>
        <v>-10290.238025689187</v>
      </c>
      <c r="O1313" s="31" cm="1">
        <f t="array" ref="O1313">+IFERROR(IF($C1313="Yes",_xlfn.XLOOKUP(Assumptions!$G$14&amp;$E1313,Data_tables!$AZ$5:$AZ$620&amp;Data_tables!$BA$5:$BA$620,Data_tables!$BC$5:$BC$620))*O216,0)</f>
        <v>-10496.042786202972</v>
      </c>
      <c r="P1313" s="31" cm="1">
        <f t="array" ref="P1313">+IFERROR(IF($C1313="Yes",_xlfn.XLOOKUP(Assumptions!$G$14&amp;$E1313,Data_tables!$AZ$5:$AZ$620&amp;Data_tables!$BA$5:$BA$620,Data_tables!$BC$5:$BC$620))*P216,0)</f>
        <v>-10705.963641927032</v>
      </c>
      <c r="Q1313" s="31" cm="1">
        <f t="array" ref="Q1313">+IFERROR(IF($C1313="Yes",_xlfn.XLOOKUP(Assumptions!$G$14&amp;$E1313,Data_tables!$AZ$5:$AZ$620&amp;Data_tables!$BA$5:$BA$620,Data_tables!$BC$5:$BC$620))*Q216,0)</f>
        <v>-10920.082914765573</v>
      </c>
      <c r="R1313" s="31" cm="1">
        <f t="array" ref="R1313">+IFERROR(IF($C1313="Yes",_xlfn.XLOOKUP(Assumptions!$G$14&amp;$E1313,Data_tables!$AZ$5:$AZ$620&amp;Data_tables!$BA$5:$BA$620,Data_tables!$BC$5:$BC$620))*R216,0)</f>
        <v>-11138.484573060881</v>
      </c>
      <c r="S1313" s="31" cm="1">
        <f t="array" ref="S1313">+IFERROR(IF($C1313="Yes",_xlfn.XLOOKUP(Assumptions!$G$14&amp;$E1313,Data_tables!$AZ$5:$AZ$620&amp;Data_tables!$BA$5:$BA$620,Data_tables!$BC$5:$BC$620))*S216,0)</f>
        <v>-11361.254264522102</v>
      </c>
      <c r="T1313" s="31" cm="1">
        <f t="array" ref="T1313">+IFERROR(IF($C1313="Yes",_xlfn.XLOOKUP(Assumptions!$G$14&amp;$E1313,Data_tables!$AZ$5:$AZ$620&amp;Data_tables!$BA$5:$BA$620,Data_tables!$BC$5:$BC$620))*T216,0)</f>
        <v>-11588.479349812544</v>
      </c>
      <c r="U1313" s="31" cm="1">
        <f t="array" ref="U1313">+IFERROR(IF($C1313="Yes",_xlfn.XLOOKUP(Assumptions!$G$14&amp;$E1313,Data_tables!$AZ$5:$AZ$620&amp;Data_tables!$BA$5:$BA$620,Data_tables!$BC$5:$BC$620))*U216,0)</f>
        <v>-11820.248936808795</v>
      </c>
      <c r="V1313" s="31" cm="1">
        <f t="array" ref="V1313">+IFERROR(IF($C1313="Yes",_xlfn.XLOOKUP(Assumptions!$G$14&amp;$E1313,Data_tables!$AZ$5:$AZ$620&amp;Data_tables!$BA$5:$BA$620,Data_tables!$BC$5:$BC$620))*V216,0)</f>
        <v>-12056.653915544966</v>
      </c>
      <c r="W1313" s="31" cm="1">
        <f t="array" ref="W1313">+IFERROR(IF($C1313="Yes",_xlfn.XLOOKUP(Assumptions!$G$14&amp;$E1313,Data_tables!$AZ$5:$AZ$620&amp;Data_tables!$BA$5:$BA$620,Data_tables!$BC$5:$BC$620))*W216,0)</f>
        <v>-12297.786993855869</v>
      </c>
      <c r="X1313" s="31" cm="1">
        <f t="array" ref="X1313">+IFERROR(IF($C1313="Yes",_xlfn.XLOOKUP(Assumptions!$G$14&amp;$E1313,Data_tables!$AZ$5:$AZ$620&amp;Data_tables!$BA$5:$BA$620,Data_tables!$BC$5:$BC$620))*X216,0)</f>
        <v>-12543.742733732986</v>
      </c>
      <c r="Y1313" s="31" cm="1">
        <f t="array" ref="Y1313">+IFERROR(IF($C1313="Yes",_xlfn.XLOOKUP(Assumptions!$G$14&amp;$E1313,Data_tables!$AZ$5:$AZ$620&amp;Data_tables!$BA$5:$BA$620,Data_tables!$BC$5:$BC$620))*Y216,0)</f>
        <v>-12794.617588407646</v>
      </c>
      <c r="Z1313" s="31" cm="1">
        <f t="array" ref="Z1313">+IFERROR(IF($C1313="Yes",_xlfn.XLOOKUP(Assumptions!$G$14&amp;$E1313,Data_tables!$AZ$5:$AZ$620&amp;Data_tables!$BA$5:$BA$620,Data_tables!$BC$5:$BC$620))*Z216,0)</f>
        <v>0</v>
      </c>
      <c r="AA1313" s="31" cm="1">
        <f t="array" ref="AA1313">+IFERROR(IF($C1313="Yes",_xlfn.XLOOKUP(Assumptions!$G$14&amp;$E1313,Data_tables!$AZ$5:$AZ$620&amp;Data_tables!$BA$5:$BA$620,Data_tables!$BC$5:$BC$620))*AA216,0)</f>
        <v>0</v>
      </c>
      <c r="AB1313" s="31" cm="1">
        <f t="array" ref="AB1313">+IFERROR(IF($C1313="Yes",_xlfn.XLOOKUP(Assumptions!$G$14&amp;$E1313,Data_tables!$AZ$5:$AZ$620&amp;Data_tables!$BA$5:$BA$620,Data_tables!$BC$5:$BC$620))*AB216,0)</f>
        <v>0</v>
      </c>
      <c r="AC1313" s="31" cm="1">
        <f t="array" ref="AC1313">+IFERROR(IF($C1313="Yes",_xlfn.XLOOKUP(Assumptions!$G$14&amp;$E1313,Data_tables!$AZ$5:$AZ$620&amp;Data_tables!$BA$5:$BA$620,Data_tables!$BC$5:$BC$620))*AC216,0)</f>
        <v>0</v>
      </c>
      <c r="AD1313" s="31" cm="1">
        <f t="array" ref="AD1313">+IFERROR(IF($C1313="Yes",_xlfn.XLOOKUP(Assumptions!$G$14&amp;$E1313,Data_tables!$AZ$5:$AZ$620&amp;Data_tables!$BA$5:$BA$620,Data_tables!$BC$5:$BC$620))*AD216,0)</f>
        <v>0</v>
      </c>
      <c r="AE1313" s="31" cm="1">
        <f t="array" ref="AE1313">+IFERROR(IF($C1313="Yes",_xlfn.XLOOKUP(Assumptions!$G$14&amp;$E1313,Data_tables!$AZ$5:$AZ$620&amp;Data_tables!$BA$5:$BA$620,Data_tables!$BC$5:$BC$620))*AE216,0)</f>
        <v>0</v>
      </c>
      <c r="AF1313" s="31" cm="1">
        <f t="array" ref="AF1313">+IFERROR(IF($C1313="Yes",_xlfn.XLOOKUP(Assumptions!$G$14&amp;$E1313,Data_tables!$AZ$5:$AZ$620&amp;Data_tables!$BA$5:$BA$620,Data_tables!$BC$5:$BC$620))*AF216,0)</f>
        <v>0</v>
      </c>
      <c r="AG1313" s="31" cm="1">
        <f t="array" ref="AG1313">+IFERROR(IF($C1313="Yes",_xlfn.XLOOKUP(Assumptions!$G$14&amp;$E1313,Data_tables!$AZ$5:$AZ$620&amp;Data_tables!$BA$5:$BA$620,Data_tables!$BC$5:$BC$620))*AG216,0)</f>
        <v>0</v>
      </c>
      <c r="AH1313" s="31" cm="1">
        <f t="array" ref="AH1313">+IFERROR(IF($C1313="Yes",_xlfn.XLOOKUP(Assumptions!$G$14&amp;$E1313,Data_tables!$AZ$5:$AZ$620&amp;Data_tables!$BA$5:$BA$620,Data_tables!$BC$5:$BC$620))*AH216,0)</f>
        <v>0</v>
      </c>
      <c r="AI1313" s="31" cm="1">
        <f t="array" ref="AI1313">+IFERROR(IF($C1313="Yes",_xlfn.XLOOKUP(Assumptions!$G$14&amp;$E1313,Data_tables!$AZ$5:$AZ$620&amp;Data_tables!$BA$5:$BA$620,Data_tables!$BC$5:$BC$620))*AI216,0)</f>
        <v>0</v>
      </c>
      <c r="AJ1313" s="31" cm="1">
        <f t="array" ref="AJ1313">+IFERROR(IF($C1313="Yes",_xlfn.XLOOKUP(Assumptions!$G$14&amp;$E1313,Data_tables!$AZ$5:$AZ$620&amp;Data_tables!$BA$5:$BA$620,Data_tables!$BC$5:$BC$620))*AJ216,0)</f>
        <v>0</v>
      </c>
      <c r="AK1313" s="31" cm="1">
        <f t="array" ref="AK1313">+IFERROR(IF($C1313="Yes",_xlfn.XLOOKUP(Assumptions!$G$14&amp;$E1313,Data_tables!$AZ$5:$AZ$620&amp;Data_tables!$BA$5:$BA$620,Data_tables!$BC$5:$BC$620))*AK216,0)</f>
        <v>0</v>
      </c>
      <c r="AL1313" s="31" cm="1">
        <f t="array" ref="AL1313">+IFERROR(IF($C1313="Yes",_xlfn.XLOOKUP(Assumptions!$G$14&amp;$E1313,Data_tables!$AZ$5:$AZ$620&amp;Data_tables!$BA$5:$BA$620,Data_tables!$BC$5:$BC$620))*AL216,0)</f>
        <v>0</v>
      </c>
      <c r="AM1313" s="31" cm="1">
        <f t="array" ref="AM1313">+IFERROR(IF($C1313="Yes",_xlfn.XLOOKUP(Assumptions!$G$14&amp;$E1313,Data_tables!$AZ$5:$AZ$620&amp;Data_tables!$BA$5:$BA$620,Data_tables!$BC$5:$BC$620))*AM216,0)</f>
        <v>0</v>
      </c>
      <c r="AN1313" s="31" cm="1">
        <f t="array" ref="AN1313">+IFERROR(IF($C1313="Yes",_xlfn.XLOOKUP(Assumptions!$G$14&amp;$E1313,Data_tables!$AZ$5:$AZ$620&amp;Data_tables!$BA$5:$BA$620,Data_tables!$BC$5:$BC$620))*AN216,0)</f>
        <v>0</v>
      </c>
      <c r="AO1313" s="31" cm="1">
        <f t="array" ref="AO1313">+IFERROR(IF($C1313="Yes",_xlfn.XLOOKUP(Assumptions!$G$14&amp;$E1313,Data_tables!$AZ$5:$AZ$620&amp;Data_tables!$BA$5:$BA$620,Data_tables!$BC$5:$BC$620))*AO216,0)</f>
        <v>0</v>
      </c>
      <c r="AP1313" s="31" cm="1">
        <f t="array" ref="AP1313">+IFERROR(IF($C1313="Yes",_xlfn.XLOOKUP(Assumptions!$G$14&amp;$E1313,Data_tables!$AZ$5:$AZ$620&amp;Data_tables!$BA$5:$BA$620,Data_tables!$BC$5:$BC$620))*AP216,0)</f>
        <v>0</v>
      </c>
      <c r="AQ1313" s="31" cm="1">
        <f t="array" ref="AQ1313">+IFERROR(IF($C1313="Yes",_xlfn.XLOOKUP(Assumptions!$G$14&amp;$E1313,Data_tables!$AZ$5:$AZ$620&amp;Data_tables!$BA$5:$BA$620,Data_tables!$BC$5:$BC$620))*AQ216,0)</f>
        <v>0</v>
      </c>
      <c r="AR1313" s="31" cm="1">
        <f t="array" ref="AR1313">+IFERROR(IF($C1313="Yes",_xlfn.XLOOKUP(Assumptions!$G$14&amp;$E1313,Data_tables!$AZ$5:$AZ$620&amp;Data_tables!$BA$5:$BA$620,Data_tables!$BC$5:$BC$620))*AR216,0)</f>
        <v>0</v>
      </c>
      <c r="AS1313" s="31" cm="1">
        <f t="array" ref="AS1313">+IFERROR(IF($C1313="Yes",_xlfn.XLOOKUP(Assumptions!$G$14&amp;$E1313,Data_tables!$AZ$5:$AZ$620&amp;Data_tables!$BA$5:$BA$620,Data_tables!$BC$5:$BC$620))*AS216,0)</f>
        <v>0</v>
      </c>
      <c r="AT1313" s="31" cm="1">
        <f t="array" ref="AT1313">+IFERROR(IF($C1313="Yes",_xlfn.XLOOKUP(Assumptions!$G$14&amp;$E1313,Data_tables!$AZ$5:$AZ$620&amp;Data_tables!$BA$5:$BA$620,Data_tables!$BC$5:$BC$620))*AT216,0)</f>
        <v>0</v>
      </c>
      <c r="AU1313" s="31" cm="1">
        <f t="array" ref="AU1313">+IFERROR(IF($C1313="Yes",_xlfn.XLOOKUP(Assumptions!$G$14&amp;$E1313,Data_tables!$AZ$5:$AZ$620&amp;Data_tables!$BA$5:$BA$620,Data_tables!$BC$5:$BC$620))*AU216,0)</f>
        <v>0</v>
      </c>
      <c r="AV1313" s="31" cm="1">
        <f t="array" ref="AV1313">+IFERROR(IF($C1313="Yes",_xlfn.XLOOKUP(Assumptions!$G$14&amp;$E1313,Data_tables!$AZ$5:$AZ$620&amp;Data_tables!$BA$5:$BA$620,Data_tables!$BC$5:$BC$620))*AV216,0)</f>
        <v>0</v>
      </c>
      <c r="AW1313" s="31" cm="1">
        <f t="array" ref="AW1313">+IFERROR(IF($C1313="Yes",_xlfn.XLOOKUP(Assumptions!$G$14&amp;$E1313,Data_tables!$AZ$5:$AZ$620&amp;Data_tables!$BA$5:$BA$620,Data_tables!$BC$5:$BC$620))*AW216,0)</f>
        <v>0</v>
      </c>
      <c r="AX1313" s="31" cm="1">
        <f t="array" ref="AX1313">+IFERROR(IF($C1313="Yes",_xlfn.XLOOKUP(Assumptions!$G$14&amp;$E1313,Data_tables!$AZ$5:$AZ$620&amp;Data_tables!$BA$5:$BA$620,Data_tables!$BC$5:$BC$620))*AX216,0)</f>
        <v>0</v>
      </c>
      <c r="AY1313" s="31" cm="1">
        <f t="array" ref="AY1313">+IFERROR(IF($C1313="Yes",_xlfn.XLOOKUP(Assumptions!$G$14&amp;$E1313,Data_tables!$AZ$5:$AZ$620&amp;Data_tables!$BA$5:$BA$620,Data_tables!$BC$5:$BC$620))*AY216,0)</f>
        <v>0</v>
      </c>
      <c r="AZ1313" s="31" cm="1">
        <f t="array" ref="AZ1313">+IFERROR(IF($C1313="Yes",_xlfn.XLOOKUP(Assumptions!$G$14&amp;$E1313,Data_tables!$AZ$5:$AZ$620&amp;Data_tables!$BA$5:$BA$620,Data_tables!$BC$5:$BC$620))*AZ216,0)</f>
        <v>0</v>
      </c>
      <c r="BA1313" s="31" cm="1">
        <f t="array" ref="BA1313">+IFERROR(IF($C1313="Yes",_xlfn.XLOOKUP(Assumptions!$G$14&amp;$E1313,Data_tables!$AZ$5:$AZ$620&amp;Data_tables!$BA$5:$BA$620,Data_tables!$BC$5:$BC$620))*BA216,0)</f>
        <v>0</v>
      </c>
      <c r="BB1313" s="31" cm="1">
        <f t="array" ref="BB1313">+IFERROR(IF($C1313="Yes",_xlfn.XLOOKUP(Assumptions!$G$14&amp;$E1313,Data_tables!$AZ$5:$AZ$620&amp;Data_tables!$BA$5:$BA$620,Data_tables!$BC$5:$BC$620))*BB216,0)</f>
        <v>0</v>
      </c>
      <c r="BC1313" s="31" cm="1">
        <f t="array" ref="BC1313">+IFERROR(IF($C1313="Yes",_xlfn.XLOOKUP(Assumptions!$G$14&amp;$E1313,Data_tables!$AZ$5:$AZ$620&amp;Data_tables!$BA$5:$BA$620,Data_tables!$BC$5:$BC$620))*BC216,0)</f>
        <v>0</v>
      </c>
      <c r="BD1313" s="31" cm="1">
        <f t="array" ref="BD1313">+IFERROR(IF($C1313="Yes",_xlfn.XLOOKUP(Assumptions!$G$14&amp;$E1313,Data_tables!$AZ$5:$AZ$620&amp;Data_tables!$BA$5:$BA$620,Data_tables!$BC$5:$BC$620))*BD216,0)</f>
        <v>0</v>
      </c>
      <c r="BE1313" s="31" cm="1">
        <f t="array" ref="BE1313">+IFERROR(IF($C1313="Yes",_xlfn.XLOOKUP(Assumptions!$G$14&amp;$E1313,Data_tables!$AZ$5:$AZ$620&amp;Data_tables!$BA$5:$BA$620,Data_tables!$BC$5:$BC$620))*BE216,0)</f>
        <v>0</v>
      </c>
      <c r="BF1313" s="31" cm="1">
        <f t="array" ref="BF1313">+IFERROR(IF($C1313="Yes",_xlfn.XLOOKUP(Assumptions!$G$14&amp;$E1313,Data_tables!$AZ$5:$AZ$620&amp;Data_tables!$BA$5:$BA$620,Data_tables!$BC$5:$BC$620))*BF216,0)</f>
        <v>0</v>
      </c>
      <c r="BG1313" s="31" cm="1">
        <f t="array" ref="BG1313">+IFERROR(IF($C1313="Yes",_xlfn.XLOOKUP(Assumptions!$G$14&amp;$E1313,Data_tables!$AZ$5:$AZ$620&amp;Data_tables!$BA$5:$BA$620,Data_tables!$BC$5:$BC$620))*BG216,0)</f>
        <v>0</v>
      </c>
      <c r="BH1313" s="31" cm="1">
        <f t="array" ref="BH1313">+IFERROR(IF($C1313="Yes",_xlfn.XLOOKUP(Assumptions!$G$14&amp;$E1313,Data_tables!$AZ$5:$AZ$620&amp;Data_tables!$BA$5:$BA$620,Data_tables!$BC$5:$BC$620))*BH216,0)</f>
        <v>0</v>
      </c>
      <c r="BI1313" s="31" cm="1">
        <f t="array" ref="BI1313">+IFERROR(IF($C1313="Yes",_xlfn.XLOOKUP(Assumptions!$G$14&amp;$E1313,Data_tables!$AZ$5:$AZ$620&amp;Data_tables!$BA$5:$BA$620,Data_tables!$BC$5:$BC$620))*BI216,0)</f>
        <v>0</v>
      </c>
      <c r="BJ1313" s="31" cm="1">
        <f t="array" ref="BJ1313">+IFERROR(IF($C1313="Yes",_xlfn.XLOOKUP(Assumptions!$G$14&amp;$E1313,Data_tables!$AZ$5:$AZ$620&amp;Data_tables!$BA$5:$BA$620,Data_tables!$BC$5:$BC$620))*BJ216,0)</f>
        <v>0</v>
      </c>
      <c r="BK1313" s="31" cm="1">
        <f t="array" ref="BK1313">+IFERROR(IF($C1313="Yes",_xlfn.XLOOKUP(Assumptions!$G$14&amp;$E1313,Data_tables!$AZ$5:$AZ$620&amp;Data_tables!$BA$5:$BA$620,Data_tables!$BC$5:$BC$620))*BK216,0)</f>
        <v>0</v>
      </c>
      <c r="BL1313" s="31" cm="1">
        <f t="array" ref="BL1313">+IFERROR(IF($C1313="Yes",_xlfn.XLOOKUP(Assumptions!$G$14&amp;$E1313,Data_tables!$AZ$5:$AZ$620&amp;Data_tables!$BA$5:$BA$620,Data_tables!$BC$5:$BC$620))*BL216,0)</f>
        <v>0</v>
      </c>
      <c r="BM1313" s="31" cm="1">
        <f t="array" ref="BM1313">+IFERROR(IF($C1313="Yes",_xlfn.XLOOKUP(Assumptions!$G$14&amp;$E1313,Data_tables!$AZ$5:$AZ$620&amp;Data_tables!$BA$5:$BA$620,Data_tables!$BC$5:$BC$620))*BM216,0)</f>
        <v>0</v>
      </c>
      <c r="BN1313" s="31" cm="1">
        <f t="array" ref="BN1313">+IFERROR(IF($C1313="Yes",_xlfn.XLOOKUP(Assumptions!$G$14&amp;$E1313,Data_tables!$AZ$5:$AZ$620&amp;Data_tables!$BA$5:$BA$620,Data_tables!$BC$5:$BC$620))*BN216,0)</f>
        <v>0</v>
      </c>
      <c r="BO1313" s="31" cm="1">
        <f t="array" ref="BO1313">+IFERROR(IF($C1313="Yes",_xlfn.XLOOKUP(Assumptions!$G$14&amp;$E1313,Data_tables!$AZ$5:$AZ$620&amp;Data_tables!$BA$5:$BA$620,Data_tables!$BC$5:$BC$620))*BO216,0)</f>
        <v>0</v>
      </c>
      <c r="BP1313" s="31" cm="1">
        <f t="array" ref="BP1313">+IFERROR(IF($C1313="Yes",_xlfn.XLOOKUP(Assumptions!$G$14&amp;$E1313,Data_tables!$AZ$5:$AZ$620&amp;Data_tables!$BA$5:$BA$620,Data_tables!$BC$5:$BC$620))*BP216,0)</f>
        <v>0</v>
      </c>
      <c r="BQ1313" s="31" cm="1">
        <f t="array" ref="BQ1313">+IFERROR(IF($C1313="Yes",_xlfn.XLOOKUP(Assumptions!$G$14&amp;$E1313,Data_tables!$AZ$5:$AZ$620&amp;Data_tables!$BA$5:$BA$620,Data_tables!$BC$5:$BC$620))*BQ216,0)</f>
        <v>0</v>
      </c>
      <c r="BR1313" s="31" cm="1">
        <f t="array" ref="BR1313">+IFERROR(IF($C1313="Yes",_xlfn.XLOOKUP(Assumptions!$G$14&amp;$E1313,Data_tables!$AZ$5:$AZ$620&amp;Data_tables!$BA$5:$BA$620,Data_tables!$BC$5:$BC$620))*BR216,0)</f>
        <v>0</v>
      </c>
      <c r="BS1313" s="31" cm="1">
        <f t="array" ref="BS1313">+IFERROR(IF($C1313="Yes",_xlfn.XLOOKUP(Assumptions!$G$14&amp;$E1313,Data_tables!$AZ$5:$AZ$620&amp;Data_tables!$BA$5:$BA$620,Data_tables!$BC$5:$BC$620))*BS216,0)</f>
        <v>0</v>
      </c>
      <c r="BT1313" s="31" cm="1">
        <f t="array" ref="BT1313">+IFERROR(IF($C1313="Yes",_xlfn.XLOOKUP(Assumptions!$G$14&amp;$E1313,Data_tables!$AZ$5:$AZ$620&amp;Data_tables!$BA$5:$BA$620,Data_tables!$BC$5:$BC$620))*BT216,0)</f>
        <v>0</v>
      </c>
      <c r="BU1313" s="31" cm="1">
        <f t="array" ref="BU1313">+IFERROR(IF($C1313="Yes",_xlfn.XLOOKUP(Assumptions!$G$14&amp;$E1313,Data_tables!$AZ$5:$AZ$620&amp;Data_tables!$BA$5:$BA$620,Data_tables!$BC$5:$BC$620))*BU216,0)</f>
        <v>0</v>
      </c>
      <c r="BV1313" s="31" cm="1">
        <f t="array" ref="BV1313">+IFERROR(IF($C1313="Yes",_xlfn.XLOOKUP(Assumptions!$G$14&amp;$E1313,Data_tables!$AZ$5:$AZ$620&amp;Data_tables!$BA$5:$BA$620,Data_tables!$BC$5:$BC$620))*BV216,0)</f>
        <v>0</v>
      </c>
      <c r="BW1313" s="31" cm="1">
        <f t="array" ref="BW1313">+IFERROR(IF($C1313="Yes",_xlfn.XLOOKUP(Assumptions!$G$14&amp;$E1313,Data_tables!$AZ$5:$AZ$620&amp;Data_tables!$BA$5:$BA$620,Data_tables!$BC$5:$BC$620))*BW216,0)</f>
        <v>0</v>
      </c>
      <c r="BX1313" s="31" cm="1">
        <f t="array" ref="BX1313">+IFERROR(IF($C1313="Yes",_xlfn.XLOOKUP(Assumptions!$G$14&amp;$E1313,Data_tables!$AZ$5:$AZ$620&amp;Data_tables!$BA$5:$BA$620,Data_tables!$BC$5:$BC$620))*BX216,0)</f>
        <v>0</v>
      </c>
      <c r="BY1313" s="31" cm="1">
        <f t="array" ref="BY1313">+IFERROR(IF($C1313="Yes",_xlfn.XLOOKUP(Assumptions!$G$14&amp;$E1313,Data_tables!$AZ$5:$AZ$620&amp;Data_tables!$BA$5:$BA$620,Data_tables!$BC$5:$BC$620))*BY216,0)</f>
        <v>0</v>
      </c>
    </row>
    <row r="1314" spans="1:77" s="35" customFormat="1" outlineLevel="1">
      <c r="A1314" s="776"/>
      <c r="B1314" s="776"/>
      <c r="C1314" s="33" t="str">
        <f>+Assumptions!G486</f>
        <v>Yes</v>
      </c>
      <c r="D1314" s="33"/>
      <c r="E1314" t="s">
        <v>409</v>
      </c>
      <c r="F1314" s="104" t="s">
        <v>637</v>
      </c>
      <c r="G1314" s="33"/>
      <c r="H1314" s="122" cm="1">
        <f t="array" ref="H1314">+IF($C1314="Yes",_xlfn.XLOOKUP(Assumptions!$G$14&amp;$E1314,Data_tables!$AZ$5:$AZ$620&amp;Data_tables!$BA$5:$BA$620,Data_tables!$BC$5:$BC$620))*H211</f>
        <v>0</v>
      </c>
      <c r="I1314" s="122" cm="1">
        <f t="array" ref="I1314">+IF($C1314="Yes",_xlfn.XLOOKUP(Assumptions!$G$14&amp;$E1314,Data_tables!$AZ$5:$AZ$620&amp;Data_tables!$BA$5:$BA$620,Data_tables!$BC$5:$BC$620))*I211</f>
        <v>-1111423.5099888628</v>
      </c>
      <c r="J1314" s="122" cm="1">
        <f t="array" ref="J1314">+IF($C1314="Yes",_xlfn.XLOOKUP(Assumptions!$G$14&amp;$E1314,Data_tables!$AZ$5:$AZ$620&amp;Data_tables!$BA$5:$BA$620,Data_tables!$BC$5:$BC$620))*J211</f>
        <v>-1133651.9801886401</v>
      </c>
      <c r="K1314" s="122" cm="1">
        <f t="array" ref="K1314">+IF($C1314="Yes",_xlfn.XLOOKUP(Assumptions!$G$14&amp;$E1314,Data_tables!$AZ$5:$AZ$620&amp;Data_tables!$BA$5:$BA$620,Data_tables!$BC$5:$BC$620))*K211</f>
        <v>0</v>
      </c>
      <c r="L1314" s="122" cm="1">
        <f t="array" ref="L1314">+IF($C1314="Yes",_xlfn.XLOOKUP(Assumptions!$G$14&amp;$E1314,Data_tables!$AZ$5:$AZ$620&amp;Data_tables!$BA$5:$BA$620,Data_tables!$BC$5:$BC$620))*L211</f>
        <v>0</v>
      </c>
      <c r="M1314" s="122" cm="1">
        <f t="array" ref="M1314">+IF($C1314="Yes",_xlfn.XLOOKUP(Assumptions!$G$14&amp;$E1314,Data_tables!$AZ$5:$AZ$620&amp;Data_tables!$BA$5:$BA$620,Data_tables!$BC$5:$BC$620))*M211</f>
        <v>0</v>
      </c>
      <c r="N1314" s="122" cm="1">
        <f t="array" ref="N1314">+IF($C1314="Yes",_xlfn.XLOOKUP(Assumptions!$G$14&amp;$E1314,Data_tables!$AZ$5:$AZ$620&amp;Data_tables!$BA$5:$BA$620,Data_tables!$BC$5:$BC$620))*N211</f>
        <v>0</v>
      </c>
      <c r="O1314" s="122" cm="1">
        <f t="array" ref="O1314">+IF($C1314="Yes",_xlfn.XLOOKUP(Assumptions!$G$14&amp;$E1314,Data_tables!$AZ$5:$AZ$620&amp;Data_tables!$BA$5:$BA$620,Data_tables!$BC$5:$BC$620))*O211</f>
        <v>0</v>
      </c>
      <c r="P1314" s="122" cm="1">
        <f t="array" ref="P1314">+IF($C1314="Yes",_xlfn.XLOOKUP(Assumptions!$G$14&amp;$E1314,Data_tables!$AZ$5:$AZ$620&amp;Data_tables!$BA$5:$BA$620,Data_tables!$BC$5:$BC$620))*P211</f>
        <v>0</v>
      </c>
      <c r="Q1314" s="122" cm="1">
        <f t="array" ref="Q1314">+IF($C1314="Yes",_xlfn.XLOOKUP(Assumptions!$G$14&amp;$E1314,Data_tables!$AZ$5:$AZ$620&amp;Data_tables!$BA$5:$BA$620,Data_tables!$BC$5:$BC$620))*Q211</f>
        <v>0</v>
      </c>
      <c r="R1314" s="122" cm="1">
        <f t="array" ref="R1314">+IF($C1314="Yes",_xlfn.XLOOKUP(Assumptions!$G$14&amp;$E1314,Data_tables!$AZ$5:$AZ$620&amp;Data_tables!$BA$5:$BA$620,Data_tables!$BC$5:$BC$620))*R211</f>
        <v>0</v>
      </c>
      <c r="S1314" s="122" cm="1">
        <f t="array" ref="S1314">+IF($C1314="Yes",_xlfn.XLOOKUP(Assumptions!$G$14&amp;$E1314,Data_tables!$AZ$5:$AZ$620&amp;Data_tables!$BA$5:$BA$620,Data_tables!$BC$5:$BC$620))*S211</f>
        <v>0</v>
      </c>
      <c r="T1314" s="122" cm="1">
        <f t="array" ref="T1314">+IF($C1314="Yes",_xlfn.XLOOKUP(Assumptions!$G$14&amp;$E1314,Data_tables!$AZ$5:$AZ$620&amp;Data_tables!$BA$5:$BA$620,Data_tables!$BC$5:$BC$620))*T211</f>
        <v>0</v>
      </c>
      <c r="U1314" s="122" cm="1">
        <f t="array" ref="U1314">+IF($C1314="Yes",_xlfn.XLOOKUP(Assumptions!$G$14&amp;$E1314,Data_tables!$AZ$5:$AZ$620&amp;Data_tables!$BA$5:$BA$620,Data_tables!$BC$5:$BC$620))*U211</f>
        <v>0</v>
      </c>
      <c r="V1314" s="122" cm="1">
        <f t="array" ref="V1314">+IF($C1314="Yes",_xlfn.XLOOKUP(Assumptions!$G$14&amp;$E1314,Data_tables!$AZ$5:$AZ$620&amp;Data_tables!$BA$5:$BA$620,Data_tables!$BC$5:$BC$620))*V211</f>
        <v>0</v>
      </c>
      <c r="W1314" s="122" cm="1">
        <f t="array" ref="W1314">+IF($C1314="Yes",_xlfn.XLOOKUP(Assumptions!$G$14&amp;$E1314,Data_tables!$AZ$5:$AZ$620&amp;Data_tables!$BA$5:$BA$620,Data_tables!$BC$5:$BC$620))*W211</f>
        <v>0</v>
      </c>
      <c r="X1314" s="122" cm="1">
        <f t="array" ref="X1314">+IF($C1314="Yes",_xlfn.XLOOKUP(Assumptions!$G$14&amp;$E1314,Data_tables!$AZ$5:$AZ$620&amp;Data_tables!$BA$5:$BA$620,Data_tables!$BC$5:$BC$620))*X211</f>
        <v>0</v>
      </c>
      <c r="Y1314" s="122" cm="1">
        <f t="array" ref="Y1314">+IF($C1314="Yes",_xlfn.XLOOKUP(Assumptions!$G$14&amp;$E1314,Data_tables!$AZ$5:$AZ$620&amp;Data_tables!$BA$5:$BA$620,Data_tables!$BC$5:$BC$620))*Y211</f>
        <v>0</v>
      </c>
      <c r="Z1314" s="122" cm="1">
        <f t="array" ref="Z1314">+IF($C1314="Yes",_xlfn.XLOOKUP(Assumptions!$G$14&amp;$E1314,Data_tables!$AZ$5:$AZ$620&amp;Data_tables!$BA$5:$BA$620,Data_tables!$BC$5:$BC$620))*Z211</f>
        <v>0</v>
      </c>
      <c r="AA1314" s="122" cm="1">
        <f t="array" ref="AA1314">+IF($C1314="Yes",_xlfn.XLOOKUP(Assumptions!$G$14&amp;$E1314,Data_tables!$AZ$5:$AZ$620&amp;Data_tables!$BA$5:$BA$620,Data_tables!$BC$5:$BC$620))*AA211</f>
        <v>0</v>
      </c>
      <c r="AB1314" s="122" cm="1">
        <f t="array" ref="AB1314">+IF($C1314="Yes",_xlfn.XLOOKUP(Assumptions!$G$14&amp;$E1314,Data_tables!$AZ$5:$AZ$620&amp;Data_tables!$BA$5:$BA$620,Data_tables!$BC$5:$BC$620))*AB211</f>
        <v>0</v>
      </c>
      <c r="AC1314" s="122" cm="1">
        <f t="array" ref="AC1314">+IF($C1314="Yes",_xlfn.XLOOKUP(Assumptions!$G$14&amp;$E1314,Data_tables!$AZ$5:$AZ$620&amp;Data_tables!$BA$5:$BA$620,Data_tables!$BC$5:$BC$620))*AC211</f>
        <v>0</v>
      </c>
      <c r="AD1314" s="122" cm="1">
        <f t="array" ref="AD1314">+IF($C1314="Yes",_xlfn.XLOOKUP(Assumptions!$G$14&amp;$E1314,Data_tables!$AZ$5:$AZ$620&amp;Data_tables!$BA$5:$BA$620,Data_tables!$BC$5:$BC$620))*AD211</f>
        <v>0</v>
      </c>
      <c r="AE1314" s="122" cm="1">
        <f t="array" ref="AE1314">+IF($C1314="Yes",_xlfn.XLOOKUP(Assumptions!$G$14&amp;$E1314,Data_tables!$AZ$5:$AZ$620&amp;Data_tables!$BA$5:$BA$620,Data_tables!$BC$5:$BC$620))*AE211</f>
        <v>0</v>
      </c>
      <c r="AF1314" s="122" cm="1">
        <f t="array" ref="AF1314">+IF($C1314="Yes",_xlfn.XLOOKUP(Assumptions!$G$14&amp;$E1314,Data_tables!$AZ$5:$AZ$620&amp;Data_tables!$BA$5:$BA$620,Data_tables!$BC$5:$BC$620))*AF211</f>
        <v>0</v>
      </c>
      <c r="AG1314" s="122" cm="1">
        <f t="array" ref="AG1314">+IF($C1314="Yes",_xlfn.XLOOKUP(Assumptions!$G$14&amp;$E1314,Data_tables!$AZ$5:$AZ$620&amp;Data_tables!$BA$5:$BA$620,Data_tables!$BC$5:$BC$620))*AG211</f>
        <v>0</v>
      </c>
      <c r="AH1314" s="122" cm="1">
        <f t="array" ref="AH1314">+IF($C1314="Yes",_xlfn.XLOOKUP(Assumptions!$G$14&amp;$E1314,Data_tables!$AZ$5:$AZ$620&amp;Data_tables!$BA$5:$BA$620,Data_tables!$BC$5:$BC$620))*AH211</f>
        <v>0</v>
      </c>
      <c r="AI1314" s="122" cm="1">
        <f t="array" ref="AI1314">+IF($C1314="Yes",_xlfn.XLOOKUP(Assumptions!$G$14&amp;$E1314,Data_tables!$AZ$5:$AZ$620&amp;Data_tables!$BA$5:$BA$620,Data_tables!$BC$5:$BC$620))*AI211</f>
        <v>0</v>
      </c>
      <c r="AJ1314" s="122" cm="1">
        <f t="array" ref="AJ1314">+IF($C1314="Yes",_xlfn.XLOOKUP(Assumptions!$G$14&amp;$E1314,Data_tables!$AZ$5:$AZ$620&amp;Data_tables!$BA$5:$BA$620,Data_tables!$BC$5:$BC$620))*AJ211</f>
        <v>0</v>
      </c>
      <c r="AK1314" s="122" cm="1">
        <f t="array" ref="AK1314">+IF($C1314="Yes",_xlfn.XLOOKUP(Assumptions!$G$14&amp;$E1314,Data_tables!$AZ$5:$AZ$620&amp;Data_tables!$BA$5:$BA$620,Data_tables!$BC$5:$BC$620))*AK211</f>
        <v>0</v>
      </c>
      <c r="AL1314" s="122" cm="1">
        <f t="array" ref="AL1314">+IF($C1314="Yes",_xlfn.XLOOKUP(Assumptions!$G$14&amp;$E1314,Data_tables!$AZ$5:$AZ$620&amp;Data_tables!$BA$5:$BA$620,Data_tables!$BC$5:$BC$620))*AL211</f>
        <v>0</v>
      </c>
      <c r="AM1314" s="122" cm="1">
        <f t="array" ref="AM1314">+IF($C1314="Yes",_xlfn.XLOOKUP(Assumptions!$G$14&amp;$E1314,Data_tables!$AZ$5:$AZ$620&amp;Data_tables!$BA$5:$BA$620,Data_tables!$BC$5:$BC$620))*AM211</f>
        <v>0</v>
      </c>
      <c r="AN1314" s="122" cm="1">
        <f t="array" ref="AN1314">+IF($C1314="Yes",_xlfn.XLOOKUP(Assumptions!$G$14&amp;$E1314,Data_tables!$AZ$5:$AZ$620&amp;Data_tables!$BA$5:$BA$620,Data_tables!$BC$5:$BC$620))*AN211</f>
        <v>0</v>
      </c>
      <c r="AO1314" s="122" cm="1">
        <f t="array" ref="AO1314">+IF($C1314="Yes",_xlfn.XLOOKUP(Assumptions!$G$14&amp;$E1314,Data_tables!$AZ$5:$AZ$620&amp;Data_tables!$BA$5:$BA$620,Data_tables!$BC$5:$BC$620))*AO211</f>
        <v>0</v>
      </c>
      <c r="AP1314" s="122" cm="1">
        <f t="array" ref="AP1314">+IF($C1314="Yes",_xlfn.XLOOKUP(Assumptions!$G$14&amp;$E1314,Data_tables!$AZ$5:$AZ$620&amp;Data_tables!$BA$5:$BA$620,Data_tables!$BC$5:$BC$620))*AP211</f>
        <v>0</v>
      </c>
      <c r="AQ1314" s="122" cm="1">
        <f t="array" ref="AQ1314">+IF($C1314="Yes",_xlfn.XLOOKUP(Assumptions!$G$14&amp;$E1314,Data_tables!$AZ$5:$AZ$620&amp;Data_tables!$BA$5:$BA$620,Data_tables!$BC$5:$BC$620))*AQ211</f>
        <v>0</v>
      </c>
      <c r="AR1314" s="122" cm="1">
        <f t="array" ref="AR1314">+IF($C1314="Yes",_xlfn.XLOOKUP(Assumptions!$G$14&amp;$E1314,Data_tables!$AZ$5:$AZ$620&amp;Data_tables!$BA$5:$BA$620,Data_tables!$BC$5:$BC$620))*AR211</f>
        <v>0</v>
      </c>
      <c r="AS1314" s="122" cm="1">
        <f t="array" ref="AS1314">+IF($C1314="Yes",_xlfn.XLOOKUP(Assumptions!$G$14&amp;$E1314,Data_tables!$AZ$5:$AZ$620&amp;Data_tables!$BA$5:$BA$620,Data_tables!$BC$5:$BC$620))*AS211</f>
        <v>0</v>
      </c>
      <c r="AT1314" s="122" cm="1">
        <f t="array" ref="AT1314">+IF($C1314="Yes",_xlfn.XLOOKUP(Assumptions!$G$14&amp;$E1314,Data_tables!$AZ$5:$AZ$620&amp;Data_tables!$BA$5:$BA$620,Data_tables!$BC$5:$BC$620))*AT211</f>
        <v>0</v>
      </c>
      <c r="AU1314" s="122" cm="1">
        <f t="array" ref="AU1314">+IF($C1314="Yes",_xlfn.XLOOKUP(Assumptions!$G$14&amp;$E1314,Data_tables!$AZ$5:$AZ$620&amp;Data_tables!$BA$5:$BA$620,Data_tables!$BC$5:$BC$620))*AU211</f>
        <v>0</v>
      </c>
      <c r="AV1314" s="122" cm="1">
        <f t="array" ref="AV1314">+IF($C1314="Yes",_xlfn.XLOOKUP(Assumptions!$G$14&amp;$E1314,Data_tables!$AZ$5:$AZ$620&amp;Data_tables!$BA$5:$BA$620,Data_tables!$BC$5:$BC$620))*AV211</f>
        <v>0</v>
      </c>
      <c r="AW1314" s="122" cm="1">
        <f t="array" ref="AW1314">+IF($C1314="Yes",_xlfn.XLOOKUP(Assumptions!$G$14&amp;$E1314,Data_tables!$AZ$5:$AZ$620&amp;Data_tables!$BA$5:$BA$620,Data_tables!$BC$5:$BC$620))*AW211</f>
        <v>0</v>
      </c>
      <c r="AX1314" s="122" cm="1">
        <f t="array" ref="AX1314">+IF($C1314="Yes",_xlfn.XLOOKUP(Assumptions!$G$14&amp;$E1314,Data_tables!$AZ$5:$AZ$620&amp;Data_tables!$BA$5:$BA$620,Data_tables!$BC$5:$BC$620))*AX211</f>
        <v>0</v>
      </c>
      <c r="AY1314" s="122" cm="1">
        <f t="array" ref="AY1314">+IF($C1314="Yes",_xlfn.XLOOKUP(Assumptions!$G$14&amp;$E1314,Data_tables!$AZ$5:$AZ$620&amp;Data_tables!$BA$5:$BA$620,Data_tables!$BC$5:$BC$620))*AY211</f>
        <v>0</v>
      </c>
      <c r="AZ1314" s="122" cm="1">
        <f t="array" ref="AZ1314">+IF($C1314="Yes",_xlfn.XLOOKUP(Assumptions!$G$14&amp;$E1314,Data_tables!$AZ$5:$AZ$620&amp;Data_tables!$BA$5:$BA$620,Data_tables!$BC$5:$BC$620))*AZ211</f>
        <v>0</v>
      </c>
      <c r="BA1314" s="122" cm="1">
        <f t="array" ref="BA1314">+IF($C1314="Yes",_xlfn.XLOOKUP(Assumptions!$G$14&amp;$E1314,Data_tables!$AZ$5:$AZ$620&amp;Data_tables!$BA$5:$BA$620,Data_tables!$BC$5:$BC$620))*BA211</f>
        <v>0</v>
      </c>
      <c r="BB1314" s="122" cm="1">
        <f t="array" ref="BB1314">+IF($C1314="Yes",_xlfn.XLOOKUP(Assumptions!$G$14&amp;$E1314,Data_tables!$AZ$5:$AZ$620&amp;Data_tables!$BA$5:$BA$620,Data_tables!$BC$5:$BC$620))*BB211</f>
        <v>0</v>
      </c>
      <c r="BC1314" s="122" cm="1">
        <f t="array" ref="BC1314">+IF($C1314="Yes",_xlfn.XLOOKUP(Assumptions!$G$14&amp;$E1314,Data_tables!$AZ$5:$AZ$620&amp;Data_tables!$BA$5:$BA$620,Data_tables!$BC$5:$BC$620))*BC211</f>
        <v>0</v>
      </c>
      <c r="BD1314" s="122" cm="1">
        <f t="array" ref="BD1314">+IF($C1314="Yes",_xlfn.XLOOKUP(Assumptions!$G$14&amp;$E1314,Data_tables!$AZ$5:$AZ$620&amp;Data_tables!$BA$5:$BA$620,Data_tables!$BC$5:$BC$620))*BD211</f>
        <v>0</v>
      </c>
      <c r="BE1314" s="122" cm="1">
        <f t="array" ref="BE1314">+IF($C1314="Yes",_xlfn.XLOOKUP(Assumptions!$G$14&amp;$E1314,Data_tables!$AZ$5:$AZ$620&amp;Data_tables!$BA$5:$BA$620,Data_tables!$BC$5:$BC$620))*BE211</f>
        <v>0</v>
      </c>
      <c r="BF1314" s="122" cm="1">
        <f t="array" ref="BF1314">+IF($C1314="Yes",_xlfn.XLOOKUP(Assumptions!$G$14&amp;$E1314,Data_tables!$AZ$5:$AZ$620&amp;Data_tables!$BA$5:$BA$620,Data_tables!$BC$5:$BC$620))*BF211</f>
        <v>0</v>
      </c>
      <c r="BG1314" s="122" cm="1">
        <f t="array" ref="BG1314">+IF($C1314="Yes",_xlfn.XLOOKUP(Assumptions!$G$14&amp;$E1314,Data_tables!$AZ$5:$AZ$620&amp;Data_tables!$BA$5:$BA$620,Data_tables!$BC$5:$BC$620))*BG211</f>
        <v>0</v>
      </c>
      <c r="BH1314" s="122" cm="1">
        <f t="array" ref="BH1314">+IF($C1314="Yes",_xlfn.XLOOKUP(Assumptions!$G$14&amp;$E1314,Data_tables!$AZ$5:$AZ$620&amp;Data_tables!$BA$5:$BA$620,Data_tables!$BC$5:$BC$620))*BH211</f>
        <v>0</v>
      </c>
      <c r="BI1314" s="122" cm="1">
        <f t="array" ref="BI1314">+IF($C1314="Yes",_xlfn.XLOOKUP(Assumptions!$G$14&amp;$E1314,Data_tables!$AZ$5:$AZ$620&amp;Data_tables!$BA$5:$BA$620,Data_tables!$BC$5:$BC$620))*BI211</f>
        <v>0</v>
      </c>
      <c r="BJ1314" s="122" cm="1">
        <f t="array" ref="BJ1314">+IF($C1314="Yes",_xlfn.XLOOKUP(Assumptions!$G$14&amp;$E1314,Data_tables!$AZ$5:$AZ$620&amp;Data_tables!$BA$5:$BA$620,Data_tables!$BC$5:$BC$620))*BJ211</f>
        <v>0</v>
      </c>
      <c r="BK1314" s="122" cm="1">
        <f t="array" ref="BK1314">+IF($C1314="Yes",_xlfn.XLOOKUP(Assumptions!$G$14&amp;$E1314,Data_tables!$AZ$5:$AZ$620&amp;Data_tables!$BA$5:$BA$620,Data_tables!$BC$5:$BC$620))*BK211</f>
        <v>0</v>
      </c>
      <c r="BL1314" s="122" cm="1">
        <f t="array" ref="BL1314">+IF($C1314="Yes",_xlfn.XLOOKUP(Assumptions!$G$14&amp;$E1314,Data_tables!$AZ$5:$AZ$620&amp;Data_tables!$BA$5:$BA$620,Data_tables!$BC$5:$BC$620))*BL211</f>
        <v>0</v>
      </c>
      <c r="BM1314" s="122" cm="1">
        <f t="array" ref="BM1314">+IF($C1314="Yes",_xlfn.XLOOKUP(Assumptions!$G$14&amp;$E1314,Data_tables!$AZ$5:$AZ$620&amp;Data_tables!$BA$5:$BA$620,Data_tables!$BC$5:$BC$620))*BM211</f>
        <v>0</v>
      </c>
      <c r="BN1314" s="122" cm="1">
        <f t="array" ref="BN1314">+IF($C1314="Yes",_xlfn.XLOOKUP(Assumptions!$G$14&amp;$E1314,Data_tables!$AZ$5:$AZ$620&amp;Data_tables!$BA$5:$BA$620,Data_tables!$BC$5:$BC$620))*BN211</f>
        <v>0</v>
      </c>
      <c r="BO1314" s="122" cm="1">
        <f t="array" ref="BO1314">+IF($C1314="Yes",_xlfn.XLOOKUP(Assumptions!$G$14&amp;$E1314,Data_tables!$AZ$5:$AZ$620&amp;Data_tables!$BA$5:$BA$620,Data_tables!$BC$5:$BC$620))*BO211</f>
        <v>0</v>
      </c>
      <c r="BP1314" s="122" cm="1">
        <f t="array" ref="BP1314">+IF($C1314="Yes",_xlfn.XLOOKUP(Assumptions!$G$14&amp;$E1314,Data_tables!$AZ$5:$AZ$620&amp;Data_tables!$BA$5:$BA$620,Data_tables!$BC$5:$BC$620))*BP211</f>
        <v>0</v>
      </c>
      <c r="BQ1314" s="122" cm="1">
        <f t="array" ref="BQ1314">+IF($C1314="Yes",_xlfn.XLOOKUP(Assumptions!$G$14&amp;$E1314,Data_tables!$AZ$5:$AZ$620&amp;Data_tables!$BA$5:$BA$620,Data_tables!$BC$5:$BC$620))*BQ211</f>
        <v>0</v>
      </c>
      <c r="BR1314" s="122" cm="1">
        <f t="array" ref="BR1314">+IF($C1314="Yes",_xlfn.XLOOKUP(Assumptions!$G$14&amp;$E1314,Data_tables!$AZ$5:$AZ$620&amp;Data_tables!$BA$5:$BA$620,Data_tables!$BC$5:$BC$620))*BR211</f>
        <v>0</v>
      </c>
      <c r="BS1314" s="122" cm="1">
        <f t="array" ref="BS1314">+IF($C1314="Yes",_xlfn.XLOOKUP(Assumptions!$G$14&amp;$E1314,Data_tables!$AZ$5:$AZ$620&amp;Data_tables!$BA$5:$BA$620,Data_tables!$BC$5:$BC$620))*BS211</f>
        <v>0</v>
      </c>
      <c r="BT1314" s="122" cm="1">
        <f t="array" ref="BT1314">+IF($C1314="Yes",_xlfn.XLOOKUP(Assumptions!$G$14&amp;$E1314,Data_tables!$AZ$5:$AZ$620&amp;Data_tables!$BA$5:$BA$620,Data_tables!$BC$5:$BC$620))*BT211</f>
        <v>0</v>
      </c>
      <c r="BU1314" s="122" cm="1">
        <f t="array" ref="BU1314">+IF($C1314="Yes",_xlfn.XLOOKUP(Assumptions!$G$14&amp;$E1314,Data_tables!$AZ$5:$AZ$620&amp;Data_tables!$BA$5:$BA$620,Data_tables!$BC$5:$BC$620))*BU211</f>
        <v>0</v>
      </c>
      <c r="BV1314" s="122" cm="1">
        <f t="array" ref="BV1314">+IF($C1314="Yes",_xlfn.XLOOKUP(Assumptions!$G$14&amp;$E1314,Data_tables!$AZ$5:$AZ$620&amp;Data_tables!$BA$5:$BA$620,Data_tables!$BC$5:$BC$620))*BV211</f>
        <v>0</v>
      </c>
      <c r="BW1314" s="122" cm="1">
        <f t="array" ref="BW1314">+IF($C1314="Yes",_xlfn.XLOOKUP(Assumptions!$G$14&amp;$E1314,Data_tables!$AZ$5:$AZ$620&amp;Data_tables!$BA$5:$BA$620,Data_tables!$BC$5:$BC$620))*BW211</f>
        <v>0</v>
      </c>
      <c r="BX1314" s="122" cm="1">
        <f t="array" ref="BX1314">+IF($C1314="Yes",_xlfn.XLOOKUP(Assumptions!$G$14&amp;$E1314,Data_tables!$AZ$5:$AZ$620&amp;Data_tables!$BA$5:$BA$620,Data_tables!$BC$5:$BC$620))*BX211</f>
        <v>0</v>
      </c>
      <c r="BY1314" s="122" cm="1">
        <f t="array" ref="BY1314">+IF($C1314="Yes",_xlfn.XLOOKUP(Assumptions!$G$14&amp;$E1314,Data_tables!$AZ$5:$AZ$620&amp;Data_tables!$BA$5:$BA$620,Data_tables!$BC$5:$BC$620))*BY211</f>
        <v>0</v>
      </c>
    </row>
    <row r="1315" spans="1:77" s="35" customFormat="1" outlineLevel="1">
      <c r="A1315" s="776"/>
      <c r="B1315" s="776"/>
      <c r="C1315" s="33" t="str">
        <f>+Assumptions!G487</f>
        <v>Yes</v>
      </c>
      <c r="D1315" s="33"/>
      <c r="E1315" t="s">
        <v>410</v>
      </c>
      <c r="F1315" s="104" t="s">
        <v>637</v>
      </c>
      <c r="G1315" s="33"/>
      <c r="H1315" s="31" cm="1">
        <f t="array" ref="H1315">+IFERROR(IF($C1315="Yes",_xlfn.XLOOKUP(Assumptions!$G$14&amp;$E1315,Data_tables!$AZ$5:$AZ$620&amp;Data_tables!$BA$5:$BA$620,Data_tables!$BC$5:$BC$620))*H217,0)</f>
        <v>0</v>
      </c>
      <c r="I1315" s="31" cm="1">
        <f t="array" ref="I1315">+IFERROR(IF($C1315="Yes",_xlfn.XLOOKUP(Assumptions!$G$14&amp;$E1315,Data_tables!$AZ$5:$AZ$620&amp;Data_tables!$BA$5:$BA$620,Data_tables!$BC$5:$BC$620))*I217,0)</f>
        <v>0</v>
      </c>
      <c r="J1315" s="31" cm="1">
        <f t="array" ref="J1315">+IFERROR(IF($C1315="Yes",_xlfn.XLOOKUP(Assumptions!$G$14&amp;$E1315,Data_tables!$AZ$5:$AZ$620&amp;Data_tables!$BA$5:$BA$620,Data_tables!$BC$5:$BC$620))*J217,0)</f>
        <v>0</v>
      </c>
      <c r="K1315" s="31" cm="1">
        <f t="array" ref="K1315">+IFERROR(IF($C1315="Yes",_xlfn.XLOOKUP(Assumptions!$G$14&amp;$E1315,Data_tables!$AZ$5:$AZ$620&amp;Data_tables!$BA$5:$BA$620,Data_tables!$BC$5:$BC$620))*K217,0)</f>
        <v>-20853.163697660661</v>
      </c>
      <c r="L1315" s="31" cm="1">
        <f t="array" ref="L1315">+IFERROR(IF($C1315="Yes",_xlfn.XLOOKUP(Assumptions!$G$14&amp;$E1315,Data_tables!$AZ$5:$AZ$620&amp;Data_tables!$BA$5:$BA$620,Data_tables!$BC$5:$BC$620))*L217,0)</f>
        <v>-21270.226971613876</v>
      </c>
      <c r="M1315" s="31" cm="1">
        <f t="array" ref="M1315">+IFERROR(IF($C1315="Yes",_xlfn.XLOOKUP(Assumptions!$G$14&amp;$E1315,Data_tables!$AZ$5:$AZ$620&amp;Data_tables!$BA$5:$BA$620,Data_tables!$BC$5:$BC$620))*M217,0)</f>
        <v>-21695.631511046151</v>
      </c>
      <c r="N1315" s="31" cm="1">
        <f t="array" ref="N1315">+IFERROR(IF($C1315="Yes",_xlfn.XLOOKUP(Assumptions!$G$14&amp;$E1315,Data_tables!$AZ$5:$AZ$620&amp;Data_tables!$BA$5:$BA$620,Data_tables!$BC$5:$BC$620))*N217,0)</f>
        <v>-22129.54414126707</v>
      </c>
      <c r="O1315" s="31" cm="1">
        <f t="array" ref="O1315">+IFERROR(IF($C1315="Yes",_xlfn.XLOOKUP(Assumptions!$G$14&amp;$E1315,Data_tables!$AZ$5:$AZ$620&amp;Data_tables!$BA$5:$BA$620,Data_tables!$BC$5:$BC$620))*O217,0)</f>
        <v>-22572.135024092415</v>
      </c>
      <c r="P1315" s="31" cm="1">
        <f t="array" ref="P1315">+IFERROR(IF($C1315="Yes",_xlfn.XLOOKUP(Assumptions!$G$14&amp;$E1315,Data_tables!$AZ$5:$AZ$620&amp;Data_tables!$BA$5:$BA$620,Data_tables!$BC$5:$BC$620))*P217,0)</f>
        <v>-23023.577724574261</v>
      </c>
      <c r="Q1315" s="31" cm="1">
        <f t="array" ref="Q1315">+IFERROR(IF($C1315="Yes",_xlfn.XLOOKUP(Assumptions!$G$14&amp;$E1315,Data_tables!$AZ$5:$AZ$620&amp;Data_tables!$BA$5:$BA$620,Data_tables!$BC$5:$BC$620))*Q217,0)</f>
        <v>-23484.049279065748</v>
      </c>
      <c r="R1315" s="31" cm="1">
        <f t="array" ref="R1315">+IFERROR(IF($C1315="Yes",_xlfn.XLOOKUP(Assumptions!$G$14&amp;$E1315,Data_tables!$AZ$5:$AZ$620&amp;Data_tables!$BA$5:$BA$620,Data_tables!$BC$5:$BC$620))*R217,0)</f>
        <v>-23953.73026464706</v>
      </c>
      <c r="S1315" s="31" cm="1">
        <f t="array" ref="S1315">+IFERROR(IF($C1315="Yes",_xlfn.XLOOKUP(Assumptions!$G$14&amp;$E1315,Data_tables!$AZ$5:$AZ$620&amp;Data_tables!$BA$5:$BA$620,Data_tables!$BC$5:$BC$620))*S217,0)</f>
        <v>-24432.804869940002</v>
      </c>
      <c r="T1315" s="31" cm="1">
        <f t="array" ref="T1315">+IFERROR(IF($C1315="Yes",_xlfn.XLOOKUP(Assumptions!$G$14&amp;$E1315,Data_tables!$AZ$5:$AZ$620&amp;Data_tables!$BA$5:$BA$620,Data_tables!$BC$5:$BC$620))*T217,0)</f>
        <v>-24921.4609673388</v>
      </c>
      <c r="U1315" s="31" cm="1">
        <f t="array" ref="U1315">+IFERROR(IF($C1315="Yes",_xlfn.XLOOKUP(Assumptions!$G$14&amp;$E1315,Data_tables!$AZ$5:$AZ$620&amp;Data_tables!$BA$5:$BA$620,Data_tables!$BC$5:$BC$620))*U217,0)</f>
        <v>-25419.890186685581</v>
      </c>
      <c r="V1315" s="31" cm="1">
        <f t="array" ref="V1315">+IFERROR(IF($C1315="Yes",_xlfn.XLOOKUP(Assumptions!$G$14&amp;$E1315,Data_tables!$AZ$5:$AZ$620&amp;Data_tables!$BA$5:$BA$620,Data_tables!$BC$5:$BC$620))*V217,0)</f>
        <v>-25928.287990419289</v>
      </c>
      <c r="W1315" s="31" cm="1">
        <f t="array" ref="W1315">+IFERROR(IF($C1315="Yes",_xlfn.XLOOKUP(Assumptions!$G$14&amp;$E1315,Data_tables!$AZ$5:$AZ$620&amp;Data_tables!$BA$5:$BA$620,Data_tables!$BC$5:$BC$620))*W217,0)</f>
        <v>-26446.853750227674</v>
      </c>
      <c r="X1315" s="31" cm="1">
        <f t="array" ref="X1315">+IFERROR(IF($C1315="Yes",_xlfn.XLOOKUP(Assumptions!$G$14&amp;$E1315,Data_tables!$AZ$5:$AZ$620&amp;Data_tables!$BA$5:$BA$620,Data_tables!$BC$5:$BC$620))*X217,0)</f>
        <v>-26975.79082523223</v>
      </c>
      <c r="Y1315" s="31" cm="1">
        <f t="array" ref="Y1315">+IFERROR(IF($C1315="Yes",_xlfn.XLOOKUP(Assumptions!$G$14&amp;$E1315,Data_tables!$AZ$5:$AZ$620&amp;Data_tables!$BA$5:$BA$620,Data_tables!$BC$5:$BC$620))*Y217,0)</f>
        <v>-27515.306641736875</v>
      </c>
      <c r="Z1315" s="31" cm="1">
        <f t="array" ref="Z1315">+IFERROR(IF($C1315="Yes",_xlfn.XLOOKUP(Assumptions!$G$14&amp;$E1315,Data_tables!$AZ$5:$AZ$620&amp;Data_tables!$BA$5:$BA$620,Data_tables!$BC$5:$BC$620))*Z217,0)</f>
        <v>0</v>
      </c>
      <c r="AA1315" s="31" cm="1">
        <f t="array" ref="AA1315">+IFERROR(IF($C1315="Yes",_xlfn.XLOOKUP(Assumptions!$G$14&amp;$E1315,Data_tables!$AZ$5:$AZ$620&amp;Data_tables!$BA$5:$BA$620,Data_tables!$BC$5:$BC$620))*AA217,0)</f>
        <v>0</v>
      </c>
      <c r="AB1315" s="31" cm="1">
        <f t="array" ref="AB1315">+IFERROR(IF($C1315="Yes",_xlfn.XLOOKUP(Assumptions!$G$14&amp;$E1315,Data_tables!$AZ$5:$AZ$620&amp;Data_tables!$BA$5:$BA$620,Data_tables!$BC$5:$BC$620))*AB217,0)</f>
        <v>0</v>
      </c>
      <c r="AC1315" s="31" cm="1">
        <f t="array" ref="AC1315">+IFERROR(IF($C1315="Yes",_xlfn.XLOOKUP(Assumptions!$G$14&amp;$E1315,Data_tables!$AZ$5:$AZ$620&amp;Data_tables!$BA$5:$BA$620,Data_tables!$BC$5:$BC$620))*AC217,0)</f>
        <v>0</v>
      </c>
      <c r="AD1315" s="31" cm="1">
        <f t="array" ref="AD1315">+IFERROR(IF($C1315="Yes",_xlfn.XLOOKUP(Assumptions!$G$14&amp;$E1315,Data_tables!$AZ$5:$AZ$620&amp;Data_tables!$BA$5:$BA$620,Data_tables!$BC$5:$BC$620))*AD217,0)</f>
        <v>0</v>
      </c>
      <c r="AE1315" s="31" cm="1">
        <f t="array" ref="AE1315">+IFERROR(IF($C1315="Yes",_xlfn.XLOOKUP(Assumptions!$G$14&amp;$E1315,Data_tables!$AZ$5:$AZ$620&amp;Data_tables!$BA$5:$BA$620,Data_tables!$BC$5:$BC$620))*AE217,0)</f>
        <v>0</v>
      </c>
      <c r="AF1315" s="31" cm="1">
        <f t="array" ref="AF1315">+IFERROR(IF($C1315="Yes",_xlfn.XLOOKUP(Assumptions!$G$14&amp;$E1315,Data_tables!$AZ$5:$AZ$620&amp;Data_tables!$BA$5:$BA$620,Data_tables!$BC$5:$BC$620))*AF217,0)</f>
        <v>0</v>
      </c>
      <c r="AG1315" s="31" cm="1">
        <f t="array" ref="AG1315">+IFERROR(IF($C1315="Yes",_xlfn.XLOOKUP(Assumptions!$G$14&amp;$E1315,Data_tables!$AZ$5:$AZ$620&amp;Data_tables!$BA$5:$BA$620,Data_tables!$BC$5:$BC$620))*AG217,0)</f>
        <v>0</v>
      </c>
      <c r="AH1315" s="31" cm="1">
        <f t="array" ref="AH1315">+IFERROR(IF($C1315="Yes",_xlfn.XLOOKUP(Assumptions!$G$14&amp;$E1315,Data_tables!$AZ$5:$AZ$620&amp;Data_tables!$BA$5:$BA$620,Data_tables!$BC$5:$BC$620))*AH217,0)</f>
        <v>0</v>
      </c>
      <c r="AI1315" s="31" cm="1">
        <f t="array" ref="AI1315">+IFERROR(IF($C1315="Yes",_xlfn.XLOOKUP(Assumptions!$G$14&amp;$E1315,Data_tables!$AZ$5:$AZ$620&amp;Data_tables!$BA$5:$BA$620,Data_tables!$BC$5:$BC$620))*AI217,0)</f>
        <v>0</v>
      </c>
      <c r="AJ1315" s="31" cm="1">
        <f t="array" ref="AJ1315">+IFERROR(IF($C1315="Yes",_xlfn.XLOOKUP(Assumptions!$G$14&amp;$E1315,Data_tables!$AZ$5:$AZ$620&amp;Data_tables!$BA$5:$BA$620,Data_tables!$BC$5:$BC$620))*AJ217,0)</f>
        <v>0</v>
      </c>
      <c r="AK1315" s="31" cm="1">
        <f t="array" ref="AK1315">+IFERROR(IF($C1315="Yes",_xlfn.XLOOKUP(Assumptions!$G$14&amp;$E1315,Data_tables!$AZ$5:$AZ$620&amp;Data_tables!$BA$5:$BA$620,Data_tables!$BC$5:$BC$620))*AK217,0)</f>
        <v>0</v>
      </c>
      <c r="AL1315" s="31" cm="1">
        <f t="array" ref="AL1315">+IFERROR(IF($C1315="Yes",_xlfn.XLOOKUP(Assumptions!$G$14&amp;$E1315,Data_tables!$AZ$5:$AZ$620&amp;Data_tables!$BA$5:$BA$620,Data_tables!$BC$5:$BC$620))*AL217,0)</f>
        <v>0</v>
      </c>
      <c r="AM1315" s="31" cm="1">
        <f t="array" ref="AM1315">+IFERROR(IF($C1315="Yes",_xlfn.XLOOKUP(Assumptions!$G$14&amp;$E1315,Data_tables!$AZ$5:$AZ$620&amp;Data_tables!$BA$5:$BA$620,Data_tables!$BC$5:$BC$620))*AM217,0)</f>
        <v>0</v>
      </c>
      <c r="AN1315" s="31" cm="1">
        <f t="array" ref="AN1315">+IFERROR(IF($C1315="Yes",_xlfn.XLOOKUP(Assumptions!$G$14&amp;$E1315,Data_tables!$AZ$5:$AZ$620&amp;Data_tables!$BA$5:$BA$620,Data_tables!$BC$5:$BC$620))*AN217,0)</f>
        <v>0</v>
      </c>
      <c r="AO1315" s="31" cm="1">
        <f t="array" ref="AO1315">+IFERROR(IF($C1315="Yes",_xlfn.XLOOKUP(Assumptions!$G$14&amp;$E1315,Data_tables!$AZ$5:$AZ$620&amp;Data_tables!$BA$5:$BA$620,Data_tables!$BC$5:$BC$620))*AO217,0)</f>
        <v>0</v>
      </c>
      <c r="AP1315" s="31" cm="1">
        <f t="array" ref="AP1315">+IFERROR(IF($C1315="Yes",_xlfn.XLOOKUP(Assumptions!$G$14&amp;$E1315,Data_tables!$AZ$5:$AZ$620&amp;Data_tables!$BA$5:$BA$620,Data_tables!$BC$5:$BC$620))*AP217,0)</f>
        <v>0</v>
      </c>
      <c r="AQ1315" s="31" cm="1">
        <f t="array" ref="AQ1315">+IFERROR(IF($C1315="Yes",_xlfn.XLOOKUP(Assumptions!$G$14&amp;$E1315,Data_tables!$AZ$5:$AZ$620&amp;Data_tables!$BA$5:$BA$620,Data_tables!$BC$5:$BC$620))*AQ217,0)</f>
        <v>0</v>
      </c>
      <c r="AR1315" s="31" cm="1">
        <f t="array" ref="AR1315">+IFERROR(IF($C1315="Yes",_xlfn.XLOOKUP(Assumptions!$G$14&amp;$E1315,Data_tables!$AZ$5:$AZ$620&amp;Data_tables!$BA$5:$BA$620,Data_tables!$BC$5:$BC$620))*AR217,0)</f>
        <v>0</v>
      </c>
      <c r="AS1315" s="31" cm="1">
        <f t="array" ref="AS1315">+IFERROR(IF($C1315="Yes",_xlfn.XLOOKUP(Assumptions!$G$14&amp;$E1315,Data_tables!$AZ$5:$AZ$620&amp;Data_tables!$BA$5:$BA$620,Data_tables!$BC$5:$BC$620))*AS217,0)</f>
        <v>0</v>
      </c>
      <c r="AT1315" s="31" cm="1">
        <f t="array" ref="AT1315">+IFERROR(IF($C1315="Yes",_xlfn.XLOOKUP(Assumptions!$G$14&amp;$E1315,Data_tables!$AZ$5:$AZ$620&amp;Data_tables!$BA$5:$BA$620,Data_tables!$BC$5:$BC$620))*AT217,0)</f>
        <v>0</v>
      </c>
      <c r="AU1315" s="31" cm="1">
        <f t="array" ref="AU1315">+IFERROR(IF($C1315="Yes",_xlfn.XLOOKUP(Assumptions!$G$14&amp;$E1315,Data_tables!$AZ$5:$AZ$620&amp;Data_tables!$BA$5:$BA$620,Data_tables!$BC$5:$BC$620))*AU217,0)</f>
        <v>0</v>
      </c>
      <c r="AV1315" s="31" cm="1">
        <f t="array" ref="AV1315">+IFERROR(IF($C1315="Yes",_xlfn.XLOOKUP(Assumptions!$G$14&amp;$E1315,Data_tables!$AZ$5:$AZ$620&amp;Data_tables!$BA$5:$BA$620,Data_tables!$BC$5:$BC$620))*AV217,0)</f>
        <v>0</v>
      </c>
      <c r="AW1315" s="31" cm="1">
        <f t="array" ref="AW1315">+IFERROR(IF($C1315="Yes",_xlfn.XLOOKUP(Assumptions!$G$14&amp;$E1315,Data_tables!$AZ$5:$AZ$620&amp;Data_tables!$BA$5:$BA$620,Data_tables!$BC$5:$BC$620))*AW217,0)</f>
        <v>0</v>
      </c>
      <c r="AX1315" s="31" cm="1">
        <f t="array" ref="AX1315">+IFERROR(IF($C1315="Yes",_xlfn.XLOOKUP(Assumptions!$G$14&amp;$E1315,Data_tables!$AZ$5:$AZ$620&amp;Data_tables!$BA$5:$BA$620,Data_tables!$BC$5:$BC$620))*AX217,0)</f>
        <v>0</v>
      </c>
      <c r="AY1315" s="31" cm="1">
        <f t="array" ref="AY1315">+IFERROR(IF($C1315="Yes",_xlfn.XLOOKUP(Assumptions!$G$14&amp;$E1315,Data_tables!$AZ$5:$AZ$620&amp;Data_tables!$BA$5:$BA$620,Data_tables!$BC$5:$BC$620))*AY217,0)</f>
        <v>0</v>
      </c>
      <c r="AZ1315" s="31" cm="1">
        <f t="array" ref="AZ1315">+IFERROR(IF($C1315="Yes",_xlfn.XLOOKUP(Assumptions!$G$14&amp;$E1315,Data_tables!$AZ$5:$AZ$620&amp;Data_tables!$BA$5:$BA$620,Data_tables!$BC$5:$BC$620))*AZ217,0)</f>
        <v>0</v>
      </c>
      <c r="BA1315" s="31" cm="1">
        <f t="array" ref="BA1315">+IFERROR(IF($C1315="Yes",_xlfn.XLOOKUP(Assumptions!$G$14&amp;$E1315,Data_tables!$AZ$5:$AZ$620&amp;Data_tables!$BA$5:$BA$620,Data_tables!$BC$5:$BC$620))*BA217,0)</f>
        <v>0</v>
      </c>
      <c r="BB1315" s="31" cm="1">
        <f t="array" ref="BB1315">+IFERROR(IF($C1315="Yes",_xlfn.XLOOKUP(Assumptions!$G$14&amp;$E1315,Data_tables!$AZ$5:$AZ$620&amp;Data_tables!$BA$5:$BA$620,Data_tables!$BC$5:$BC$620))*BB217,0)</f>
        <v>0</v>
      </c>
      <c r="BC1315" s="31" cm="1">
        <f t="array" ref="BC1315">+IFERROR(IF($C1315="Yes",_xlfn.XLOOKUP(Assumptions!$G$14&amp;$E1315,Data_tables!$AZ$5:$AZ$620&amp;Data_tables!$BA$5:$BA$620,Data_tables!$BC$5:$BC$620))*BC217,0)</f>
        <v>0</v>
      </c>
      <c r="BD1315" s="31" cm="1">
        <f t="array" ref="BD1315">+IFERROR(IF($C1315="Yes",_xlfn.XLOOKUP(Assumptions!$G$14&amp;$E1315,Data_tables!$AZ$5:$AZ$620&amp;Data_tables!$BA$5:$BA$620,Data_tables!$BC$5:$BC$620))*BD217,0)</f>
        <v>0</v>
      </c>
      <c r="BE1315" s="31" cm="1">
        <f t="array" ref="BE1315">+IFERROR(IF($C1315="Yes",_xlfn.XLOOKUP(Assumptions!$G$14&amp;$E1315,Data_tables!$AZ$5:$AZ$620&amp;Data_tables!$BA$5:$BA$620,Data_tables!$BC$5:$BC$620))*BE217,0)</f>
        <v>0</v>
      </c>
      <c r="BF1315" s="31" cm="1">
        <f t="array" ref="BF1315">+IFERROR(IF($C1315="Yes",_xlfn.XLOOKUP(Assumptions!$G$14&amp;$E1315,Data_tables!$AZ$5:$AZ$620&amp;Data_tables!$BA$5:$BA$620,Data_tables!$BC$5:$BC$620))*BF217,0)</f>
        <v>0</v>
      </c>
      <c r="BG1315" s="31" cm="1">
        <f t="array" ref="BG1315">+IFERROR(IF($C1315="Yes",_xlfn.XLOOKUP(Assumptions!$G$14&amp;$E1315,Data_tables!$AZ$5:$AZ$620&amp;Data_tables!$BA$5:$BA$620,Data_tables!$BC$5:$BC$620))*BG217,0)</f>
        <v>0</v>
      </c>
      <c r="BH1315" s="31" cm="1">
        <f t="array" ref="BH1315">+IFERROR(IF($C1315="Yes",_xlfn.XLOOKUP(Assumptions!$G$14&amp;$E1315,Data_tables!$AZ$5:$AZ$620&amp;Data_tables!$BA$5:$BA$620,Data_tables!$BC$5:$BC$620))*BH217,0)</f>
        <v>0</v>
      </c>
      <c r="BI1315" s="31" cm="1">
        <f t="array" ref="BI1315">+IFERROR(IF($C1315="Yes",_xlfn.XLOOKUP(Assumptions!$G$14&amp;$E1315,Data_tables!$AZ$5:$AZ$620&amp;Data_tables!$BA$5:$BA$620,Data_tables!$BC$5:$BC$620))*BI217,0)</f>
        <v>0</v>
      </c>
      <c r="BJ1315" s="31" cm="1">
        <f t="array" ref="BJ1315">+IFERROR(IF($C1315="Yes",_xlfn.XLOOKUP(Assumptions!$G$14&amp;$E1315,Data_tables!$AZ$5:$AZ$620&amp;Data_tables!$BA$5:$BA$620,Data_tables!$BC$5:$BC$620))*BJ217,0)</f>
        <v>0</v>
      </c>
      <c r="BK1315" s="31" cm="1">
        <f t="array" ref="BK1315">+IFERROR(IF($C1315="Yes",_xlfn.XLOOKUP(Assumptions!$G$14&amp;$E1315,Data_tables!$AZ$5:$AZ$620&amp;Data_tables!$BA$5:$BA$620,Data_tables!$BC$5:$BC$620))*BK217,0)</f>
        <v>0</v>
      </c>
      <c r="BL1315" s="31" cm="1">
        <f t="array" ref="BL1315">+IFERROR(IF($C1315="Yes",_xlfn.XLOOKUP(Assumptions!$G$14&amp;$E1315,Data_tables!$AZ$5:$AZ$620&amp;Data_tables!$BA$5:$BA$620,Data_tables!$BC$5:$BC$620))*BL217,0)</f>
        <v>0</v>
      </c>
      <c r="BM1315" s="31" cm="1">
        <f t="array" ref="BM1315">+IFERROR(IF($C1315="Yes",_xlfn.XLOOKUP(Assumptions!$G$14&amp;$E1315,Data_tables!$AZ$5:$AZ$620&amp;Data_tables!$BA$5:$BA$620,Data_tables!$BC$5:$BC$620))*BM217,0)</f>
        <v>0</v>
      </c>
      <c r="BN1315" s="31" cm="1">
        <f t="array" ref="BN1315">+IFERROR(IF($C1315="Yes",_xlfn.XLOOKUP(Assumptions!$G$14&amp;$E1315,Data_tables!$AZ$5:$AZ$620&amp;Data_tables!$BA$5:$BA$620,Data_tables!$BC$5:$BC$620))*BN217,0)</f>
        <v>0</v>
      </c>
      <c r="BO1315" s="31" cm="1">
        <f t="array" ref="BO1315">+IFERROR(IF($C1315="Yes",_xlfn.XLOOKUP(Assumptions!$G$14&amp;$E1315,Data_tables!$AZ$5:$AZ$620&amp;Data_tables!$BA$5:$BA$620,Data_tables!$BC$5:$BC$620))*BO217,0)</f>
        <v>0</v>
      </c>
      <c r="BP1315" s="31" cm="1">
        <f t="array" ref="BP1315">+IFERROR(IF($C1315="Yes",_xlfn.XLOOKUP(Assumptions!$G$14&amp;$E1315,Data_tables!$AZ$5:$AZ$620&amp;Data_tables!$BA$5:$BA$620,Data_tables!$BC$5:$BC$620))*BP217,0)</f>
        <v>0</v>
      </c>
      <c r="BQ1315" s="31" cm="1">
        <f t="array" ref="BQ1315">+IFERROR(IF($C1315="Yes",_xlfn.XLOOKUP(Assumptions!$G$14&amp;$E1315,Data_tables!$AZ$5:$AZ$620&amp;Data_tables!$BA$5:$BA$620,Data_tables!$BC$5:$BC$620))*BQ217,0)</f>
        <v>0</v>
      </c>
      <c r="BR1315" s="31" cm="1">
        <f t="array" ref="BR1315">+IFERROR(IF($C1315="Yes",_xlfn.XLOOKUP(Assumptions!$G$14&amp;$E1315,Data_tables!$AZ$5:$AZ$620&amp;Data_tables!$BA$5:$BA$620,Data_tables!$BC$5:$BC$620))*BR217,0)</f>
        <v>0</v>
      </c>
      <c r="BS1315" s="31" cm="1">
        <f t="array" ref="BS1315">+IFERROR(IF($C1315="Yes",_xlfn.XLOOKUP(Assumptions!$G$14&amp;$E1315,Data_tables!$AZ$5:$AZ$620&amp;Data_tables!$BA$5:$BA$620,Data_tables!$BC$5:$BC$620))*BS217,0)</f>
        <v>0</v>
      </c>
      <c r="BT1315" s="31" cm="1">
        <f t="array" ref="BT1315">+IFERROR(IF($C1315="Yes",_xlfn.XLOOKUP(Assumptions!$G$14&amp;$E1315,Data_tables!$AZ$5:$AZ$620&amp;Data_tables!$BA$5:$BA$620,Data_tables!$BC$5:$BC$620))*BT217,0)</f>
        <v>0</v>
      </c>
      <c r="BU1315" s="31" cm="1">
        <f t="array" ref="BU1315">+IFERROR(IF($C1315="Yes",_xlfn.XLOOKUP(Assumptions!$G$14&amp;$E1315,Data_tables!$AZ$5:$AZ$620&amp;Data_tables!$BA$5:$BA$620,Data_tables!$BC$5:$BC$620))*BU217,0)</f>
        <v>0</v>
      </c>
      <c r="BV1315" s="31" cm="1">
        <f t="array" ref="BV1315">+IFERROR(IF($C1315="Yes",_xlfn.XLOOKUP(Assumptions!$G$14&amp;$E1315,Data_tables!$AZ$5:$AZ$620&amp;Data_tables!$BA$5:$BA$620,Data_tables!$BC$5:$BC$620))*BV217,0)</f>
        <v>0</v>
      </c>
      <c r="BW1315" s="31" cm="1">
        <f t="array" ref="BW1315">+IFERROR(IF($C1315="Yes",_xlfn.XLOOKUP(Assumptions!$G$14&amp;$E1315,Data_tables!$AZ$5:$AZ$620&amp;Data_tables!$BA$5:$BA$620,Data_tables!$BC$5:$BC$620))*BW217,0)</f>
        <v>0</v>
      </c>
      <c r="BX1315" s="31" cm="1">
        <f t="array" ref="BX1315">+IFERROR(IF($C1315="Yes",_xlfn.XLOOKUP(Assumptions!$G$14&amp;$E1315,Data_tables!$AZ$5:$AZ$620&amp;Data_tables!$BA$5:$BA$620,Data_tables!$BC$5:$BC$620))*BX217,0)</f>
        <v>0</v>
      </c>
      <c r="BY1315" s="31" cm="1">
        <f t="array" ref="BY1315">+IFERROR(IF($C1315="Yes",_xlfn.XLOOKUP(Assumptions!$G$14&amp;$E1315,Data_tables!$AZ$5:$AZ$620&amp;Data_tables!$BA$5:$BA$620,Data_tables!$BC$5:$BC$620))*BY217,0)</f>
        <v>0</v>
      </c>
    </row>
    <row r="1316" spans="1:77" s="35" customFormat="1" outlineLevel="1">
      <c r="A1316" s="776"/>
      <c r="B1316" s="776"/>
      <c r="C1316" s="33" t="str">
        <f>+Assumptions!G488</f>
        <v>Yes</v>
      </c>
      <c r="D1316" s="33"/>
      <c r="E1316" t="s">
        <v>411</v>
      </c>
      <c r="F1316" s="104" t="s">
        <v>637</v>
      </c>
      <c r="G1316" s="33"/>
      <c r="H1316" s="33" cm="1">
        <f t="array" ref="H1316">+IF($C1316="Yes",_xlfn.XLOOKUP(Assumptions!$G$14&amp;$E1316,Data_tables!$AZ$5:$AZ$620&amp;Data_tables!$BA$5:$BA$620,Data_tables!$BC$5:$BC$620))*H441</f>
        <v>0</v>
      </c>
      <c r="I1316" s="33" cm="1">
        <f t="array" ref="I1316">+IF($C1316="Yes",_xlfn.XLOOKUP(Assumptions!$G$14&amp;$E1316,Data_tables!$AZ$5:$AZ$620&amp;Data_tables!$BA$5:$BA$620,Data_tables!$BC$5:$BC$620))*I441</f>
        <v>-109855287.70920001</v>
      </c>
      <c r="J1316" s="33" cm="1">
        <f t="array" ref="J1316">+IF($C1316="Yes",_xlfn.XLOOKUP(Assumptions!$G$14&amp;$E1316,Data_tables!$AZ$5:$AZ$620&amp;Data_tables!$BA$5:$BA$620,Data_tables!$BC$5:$BC$620))*J441</f>
        <v>-112052393.463384</v>
      </c>
      <c r="K1316" s="33" cm="1">
        <f t="array" ref="K1316">+IF($C1316="Yes",_xlfn.XLOOKUP(Assumptions!$G$14&amp;$E1316,Data_tables!$AZ$5:$AZ$620&amp;Data_tables!$BA$5:$BA$620,Data_tables!$BC$5:$BC$620))*K441</f>
        <v>0</v>
      </c>
      <c r="L1316" s="33" cm="1">
        <f t="array" ref="L1316">+IF($C1316="Yes",_xlfn.XLOOKUP(Assumptions!$G$14&amp;$E1316,Data_tables!$AZ$5:$AZ$620&amp;Data_tables!$BA$5:$BA$620,Data_tables!$BC$5:$BC$620))*L441</f>
        <v>0</v>
      </c>
      <c r="M1316" s="33" cm="1">
        <f t="array" ref="M1316">+IF($C1316="Yes",_xlfn.XLOOKUP(Assumptions!$G$14&amp;$E1316,Data_tables!$AZ$5:$AZ$620&amp;Data_tables!$BA$5:$BA$620,Data_tables!$BC$5:$BC$620))*M441</f>
        <v>0</v>
      </c>
      <c r="N1316" s="33" cm="1">
        <f t="array" ref="N1316">+IF($C1316="Yes",_xlfn.XLOOKUP(Assumptions!$G$14&amp;$E1316,Data_tables!$AZ$5:$AZ$620&amp;Data_tables!$BA$5:$BA$620,Data_tables!$BC$5:$BC$620))*N441</f>
        <v>0</v>
      </c>
      <c r="O1316" s="33" cm="1">
        <f t="array" ref="O1316">+IF($C1316="Yes",_xlfn.XLOOKUP(Assumptions!$G$14&amp;$E1316,Data_tables!$AZ$5:$AZ$620&amp;Data_tables!$BA$5:$BA$620,Data_tables!$BC$5:$BC$620))*O441</f>
        <v>0</v>
      </c>
      <c r="P1316" s="33" cm="1">
        <f t="array" ref="P1316">+IF($C1316="Yes",_xlfn.XLOOKUP(Assumptions!$G$14&amp;$E1316,Data_tables!$AZ$5:$AZ$620&amp;Data_tables!$BA$5:$BA$620,Data_tables!$BC$5:$BC$620))*P441</f>
        <v>0</v>
      </c>
      <c r="Q1316" s="33" cm="1">
        <f t="array" ref="Q1316">+IF($C1316="Yes",_xlfn.XLOOKUP(Assumptions!$G$14&amp;$E1316,Data_tables!$AZ$5:$AZ$620&amp;Data_tables!$BA$5:$BA$620,Data_tables!$BC$5:$BC$620))*Q441</f>
        <v>0</v>
      </c>
      <c r="R1316" s="33" cm="1">
        <f t="array" ref="R1316">+IF($C1316="Yes",_xlfn.XLOOKUP(Assumptions!$G$14&amp;$E1316,Data_tables!$AZ$5:$AZ$620&amp;Data_tables!$BA$5:$BA$620,Data_tables!$BC$5:$BC$620))*R441</f>
        <v>0</v>
      </c>
      <c r="S1316" s="33" cm="1">
        <f t="array" ref="S1316">+IF($C1316="Yes",_xlfn.XLOOKUP(Assumptions!$G$14&amp;$E1316,Data_tables!$AZ$5:$AZ$620&amp;Data_tables!$BA$5:$BA$620,Data_tables!$BC$5:$BC$620))*S441</f>
        <v>0</v>
      </c>
      <c r="T1316" s="33" cm="1">
        <f t="array" ref="T1316">+IF($C1316="Yes",_xlfn.XLOOKUP(Assumptions!$G$14&amp;$E1316,Data_tables!$AZ$5:$AZ$620&amp;Data_tables!$BA$5:$BA$620,Data_tables!$BC$5:$BC$620))*T441</f>
        <v>0</v>
      </c>
      <c r="U1316" s="33" cm="1">
        <f t="array" ref="U1316">+IF($C1316="Yes",_xlfn.XLOOKUP(Assumptions!$G$14&amp;$E1316,Data_tables!$AZ$5:$AZ$620&amp;Data_tables!$BA$5:$BA$620,Data_tables!$BC$5:$BC$620))*U441</f>
        <v>0</v>
      </c>
      <c r="V1316" s="33" cm="1">
        <f t="array" ref="V1316">+IF($C1316="Yes",_xlfn.XLOOKUP(Assumptions!$G$14&amp;$E1316,Data_tables!$AZ$5:$AZ$620&amp;Data_tables!$BA$5:$BA$620,Data_tables!$BC$5:$BC$620))*V441</f>
        <v>0</v>
      </c>
      <c r="W1316" s="33" cm="1">
        <f t="array" ref="W1316">+IF($C1316="Yes",_xlfn.XLOOKUP(Assumptions!$G$14&amp;$E1316,Data_tables!$AZ$5:$AZ$620&amp;Data_tables!$BA$5:$BA$620,Data_tables!$BC$5:$BC$620))*W441</f>
        <v>0</v>
      </c>
      <c r="X1316" s="33" cm="1">
        <f t="array" ref="X1316">+IF($C1316="Yes",_xlfn.XLOOKUP(Assumptions!$G$14&amp;$E1316,Data_tables!$AZ$5:$AZ$620&amp;Data_tables!$BA$5:$BA$620,Data_tables!$BC$5:$BC$620))*X441</f>
        <v>0</v>
      </c>
      <c r="Y1316" s="33" cm="1">
        <f t="array" ref="Y1316">+IF($C1316="Yes",_xlfn.XLOOKUP(Assumptions!$G$14&amp;$E1316,Data_tables!$AZ$5:$AZ$620&amp;Data_tables!$BA$5:$BA$620,Data_tables!$BC$5:$BC$620))*Y441</f>
        <v>0</v>
      </c>
      <c r="Z1316" s="33" cm="1">
        <f t="array" ref="Z1316">+IF($C1316="Yes",_xlfn.XLOOKUP(Assumptions!$G$14&amp;$E1316,Data_tables!$AZ$5:$AZ$620&amp;Data_tables!$BA$5:$BA$620,Data_tables!$BC$5:$BC$620))*Z441</f>
        <v>0</v>
      </c>
      <c r="AA1316" s="33" cm="1">
        <f t="array" ref="AA1316">+IF($C1316="Yes",_xlfn.XLOOKUP(Assumptions!$G$14&amp;$E1316,Data_tables!$AZ$5:$AZ$620&amp;Data_tables!$BA$5:$BA$620,Data_tables!$BC$5:$BC$620))*AA441</f>
        <v>0</v>
      </c>
      <c r="AB1316" s="33" cm="1">
        <f t="array" ref="AB1316">+IF($C1316="Yes",_xlfn.XLOOKUP(Assumptions!$G$14&amp;$E1316,Data_tables!$AZ$5:$AZ$620&amp;Data_tables!$BA$5:$BA$620,Data_tables!$BC$5:$BC$620))*AB441</f>
        <v>0</v>
      </c>
      <c r="AC1316" s="33" cm="1">
        <f t="array" ref="AC1316">+IF($C1316="Yes",_xlfn.XLOOKUP(Assumptions!$G$14&amp;$E1316,Data_tables!$AZ$5:$AZ$620&amp;Data_tables!$BA$5:$BA$620,Data_tables!$BC$5:$BC$620))*AC441</f>
        <v>0</v>
      </c>
      <c r="AD1316" s="33" cm="1">
        <f t="array" ref="AD1316">+IF($C1316="Yes",_xlfn.XLOOKUP(Assumptions!$G$14&amp;$E1316,Data_tables!$AZ$5:$AZ$620&amp;Data_tables!$BA$5:$BA$620,Data_tables!$BC$5:$BC$620))*AD441</f>
        <v>0</v>
      </c>
      <c r="AE1316" s="33" cm="1">
        <f t="array" ref="AE1316">+IF($C1316="Yes",_xlfn.XLOOKUP(Assumptions!$G$14&amp;$E1316,Data_tables!$AZ$5:$AZ$620&amp;Data_tables!$BA$5:$BA$620,Data_tables!$BC$5:$BC$620))*AE441</f>
        <v>0</v>
      </c>
      <c r="AF1316" s="33" cm="1">
        <f t="array" ref="AF1316">+IF($C1316="Yes",_xlfn.XLOOKUP(Assumptions!$G$14&amp;$E1316,Data_tables!$AZ$5:$AZ$620&amp;Data_tables!$BA$5:$BA$620,Data_tables!$BC$5:$BC$620))*AF441</f>
        <v>0</v>
      </c>
      <c r="AG1316" s="33" cm="1">
        <f t="array" ref="AG1316">+IF($C1316="Yes",_xlfn.XLOOKUP(Assumptions!$G$14&amp;$E1316,Data_tables!$AZ$5:$AZ$620&amp;Data_tables!$BA$5:$BA$620,Data_tables!$BC$5:$BC$620))*AG441</f>
        <v>0</v>
      </c>
      <c r="AH1316" s="33" cm="1">
        <f t="array" ref="AH1316">+IF($C1316="Yes",_xlfn.XLOOKUP(Assumptions!$G$14&amp;$E1316,Data_tables!$AZ$5:$AZ$620&amp;Data_tables!$BA$5:$BA$620,Data_tables!$BC$5:$BC$620))*AH441</f>
        <v>0</v>
      </c>
      <c r="AI1316" s="33" cm="1">
        <f t="array" ref="AI1316">+IF($C1316="Yes",_xlfn.XLOOKUP(Assumptions!$G$14&amp;$E1316,Data_tables!$AZ$5:$AZ$620&amp;Data_tables!$BA$5:$BA$620,Data_tables!$BC$5:$BC$620))*AI441</f>
        <v>0</v>
      </c>
      <c r="AJ1316" s="33" cm="1">
        <f t="array" ref="AJ1316">+IF($C1316="Yes",_xlfn.XLOOKUP(Assumptions!$G$14&amp;$E1316,Data_tables!$AZ$5:$AZ$620&amp;Data_tables!$BA$5:$BA$620,Data_tables!$BC$5:$BC$620))*AJ441</f>
        <v>0</v>
      </c>
      <c r="AK1316" s="33" cm="1">
        <f t="array" ref="AK1316">+IF($C1316="Yes",_xlfn.XLOOKUP(Assumptions!$G$14&amp;$E1316,Data_tables!$AZ$5:$AZ$620&amp;Data_tables!$BA$5:$BA$620,Data_tables!$BC$5:$BC$620))*AK441</f>
        <v>0</v>
      </c>
      <c r="AL1316" s="33" cm="1">
        <f t="array" ref="AL1316">+IF($C1316="Yes",_xlfn.XLOOKUP(Assumptions!$G$14&amp;$E1316,Data_tables!$AZ$5:$AZ$620&amp;Data_tables!$BA$5:$BA$620,Data_tables!$BC$5:$BC$620))*AL441</f>
        <v>0</v>
      </c>
      <c r="AM1316" s="33" cm="1">
        <f t="array" ref="AM1316">+IF($C1316="Yes",_xlfn.XLOOKUP(Assumptions!$G$14&amp;$E1316,Data_tables!$AZ$5:$AZ$620&amp;Data_tables!$BA$5:$BA$620,Data_tables!$BC$5:$BC$620))*AM441</f>
        <v>0</v>
      </c>
      <c r="AN1316" s="33" cm="1">
        <f t="array" ref="AN1316">+IF($C1316="Yes",_xlfn.XLOOKUP(Assumptions!$G$14&amp;$E1316,Data_tables!$AZ$5:$AZ$620&amp;Data_tables!$BA$5:$BA$620,Data_tables!$BC$5:$BC$620))*AN441</f>
        <v>0</v>
      </c>
      <c r="AO1316" s="33" cm="1">
        <f t="array" ref="AO1316">+IF($C1316="Yes",_xlfn.XLOOKUP(Assumptions!$G$14&amp;$E1316,Data_tables!$AZ$5:$AZ$620&amp;Data_tables!$BA$5:$BA$620,Data_tables!$BC$5:$BC$620))*AO441</f>
        <v>0</v>
      </c>
      <c r="AP1316" s="33" cm="1">
        <f t="array" ref="AP1316">+IF($C1316="Yes",_xlfn.XLOOKUP(Assumptions!$G$14&amp;$E1316,Data_tables!$AZ$5:$AZ$620&amp;Data_tables!$BA$5:$BA$620,Data_tables!$BC$5:$BC$620))*AP441</f>
        <v>0</v>
      </c>
      <c r="AQ1316" s="33" cm="1">
        <f t="array" ref="AQ1316">+IF($C1316="Yes",_xlfn.XLOOKUP(Assumptions!$G$14&amp;$E1316,Data_tables!$AZ$5:$AZ$620&amp;Data_tables!$BA$5:$BA$620,Data_tables!$BC$5:$BC$620))*AQ441</f>
        <v>0</v>
      </c>
      <c r="AR1316" s="33" cm="1">
        <f t="array" ref="AR1316">+IF($C1316="Yes",_xlfn.XLOOKUP(Assumptions!$G$14&amp;$E1316,Data_tables!$AZ$5:$AZ$620&amp;Data_tables!$BA$5:$BA$620,Data_tables!$BC$5:$BC$620))*AR441</f>
        <v>0</v>
      </c>
      <c r="AS1316" s="33" cm="1">
        <f t="array" ref="AS1316">+IF($C1316="Yes",_xlfn.XLOOKUP(Assumptions!$G$14&amp;$E1316,Data_tables!$AZ$5:$AZ$620&amp;Data_tables!$BA$5:$BA$620,Data_tables!$BC$5:$BC$620))*AS441</f>
        <v>0</v>
      </c>
      <c r="AT1316" s="33" cm="1">
        <f t="array" ref="AT1316">+IF($C1316="Yes",_xlfn.XLOOKUP(Assumptions!$G$14&amp;$E1316,Data_tables!$AZ$5:$AZ$620&amp;Data_tables!$BA$5:$BA$620,Data_tables!$BC$5:$BC$620))*AT441</f>
        <v>0</v>
      </c>
      <c r="AU1316" s="33" cm="1">
        <f t="array" ref="AU1316">+IF($C1316="Yes",_xlfn.XLOOKUP(Assumptions!$G$14&amp;$E1316,Data_tables!$AZ$5:$AZ$620&amp;Data_tables!$BA$5:$BA$620,Data_tables!$BC$5:$BC$620))*AU441</f>
        <v>0</v>
      </c>
      <c r="AV1316" s="33" cm="1">
        <f t="array" ref="AV1316">+IF($C1316="Yes",_xlfn.XLOOKUP(Assumptions!$G$14&amp;$E1316,Data_tables!$AZ$5:$AZ$620&amp;Data_tables!$BA$5:$BA$620,Data_tables!$BC$5:$BC$620))*AV441</f>
        <v>0</v>
      </c>
      <c r="AW1316" s="33" cm="1">
        <f t="array" ref="AW1316">+IF($C1316="Yes",_xlfn.XLOOKUP(Assumptions!$G$14&amp;$E1316,Data_tables!$AZ$5:$AZ$620&amp;Data_tables!$BA$5:$BA$620,Data_tables!$BC$5:$BC$620))*AW441</f>
        <v>0</v>
      </c>
      <c r="AX1316" s="33" cm="1">
        <f t="array" ref="AX1316">+IF($C1316="Yes",_xlfn.XLOOKUP(Assumptions!$G$14&amp;$E1316,Data_tables!$AZ$5:$AZ$620&amp;Data_tables!$BA$5:$BA$620,Data_tables!$BC$5:$BC$620))*AX441</f>
        <v>0</v>
      </c>
      <c r="AY1316" s="33" cm="1">
        <f t="array" ref="AY1316">+IF($C1316="Yes",_xlfn.XLOOKUP(Assumptions!$G$14&amp;$E1316,Data_tables!$AZ$5:$AZ$620&amp;Data_tables!$BA$5:$BA$620,Data_tables!$BC$5:$BC$620))*AY441</f>
        <v>0</v>
      </c>
      <c r="AZ1316" s="33" cm="1">
        <f t="array" ref="AZ1316">+IF($C1316="Yes",_xlfn.XLOOKUP(Assumptions!$G$14&amp;$E1316,Data_tables!$AZ$5:$AZ$620&amp;Data_tables!$BA$5:$BA$620,Data_tables!$BC$5:$BC$620))*AZ441</f>
        <v>0</v>
      </c>
      <c r="BA1316" s="33" cm="1">
        <f t="array" ref="BA1316">+IF($C1316="Yes",_xlfn.XLOOKUP(Assumptions!$G$14&amp;$E1316,Data_tables!$AZ$5:$AZ$620&amp;Data_tables!$BA$5:$BA$620,Data_tables!$BC$5:$BC$620))*BA441</f>
        <v>0</v>
      </c>
      <c r="BB1316" s="33" cm="1">
        <f t="array" ref="BB1316">+IF($C1316="Yes",_xlfn.XLOOKUP(Assumptions!$G$14&amp;$E1316,Data_tables!$AZ$5:$AZ$620&amp;Data_tables!$BA$5:$BA$620,Data_tables!$BC$5:$BC$620))*BB441</f>
        <v>0</v>
      </c>
      <c r="BC1316" s="33" cm="1">
        <f t="array" ref="BC1316">+IF($C1316="Yes",_xlfn.XLOOKUP(Assumptions!$G$14&amp;$E1316,Data_tables!$AZ$5:$AZ$620&amp;Data_tables!$BA$5:$BA$620,Data_tables!$BC$5:$BC$620))*BC441</f>
        <v>0</v>
      </c>
      <c r="BD1316" s="33" cm="1">
        <f t="array" ref="BD1316">+IF($C1316="Yes",_xlfn.XLOOKUP(Assumptions!$G$14&amp;$E1316,Data_tables!$AZ$5:$AZ$620&amp;Data_tables!$BA$5:$BA$620,Data_tables!$BC$5:$BC$620))*BD441</f>
        <v>0</v>
      </c>
      <c r="BE1316" s="33" cm="1">
        <f t="array" ref="BE1316">+IF($C1316="Yes",_xlfn.XLOOKUP(Assumptions!$G$14&amp;$E1316,Data_tables!$AZ$5:$AZ$620&amp;Data_tables!$BA$5:$BA$620,Data_tables!$BC$5:$BC$620))*BE441</f>
        <v>0</v>
      </c>
      <c r="BF1316" s="33" cm="1">
        <f t="array" ref="BF1316">+IF($C1316="Yes",_xlfn.XLOOKUP(Assumptions!$G$14&amp;$E1316,Data_tables!$AZ$5:$AZ$620&amp;Data_tables!$BA$5:$BA$620,Data_tables!$BC$5:$BC$620))*BF441</f>
        <v>0</v>
      </c>
      <c r="BG1316" s="33" cm="1">
        <f t="array" ref="BG1316">+IF($C1316="Yes",_xlfn.XLOOKUP(Assumptions!$G$14&amp;$E1316,Data_tables!$AZ$5:$AZ$620&amp;Data_tables!$BA$5:$BA$620,Data_tables!$BC$5:$BC$620))*BG441</f>
        <v>0</v>
      </c>
      <c r="BH1316" s="33" cm="1">
        <f t="array" ref="BH1316">+IF($C1316="Yes",_xlfn.XLOOKUP(Assumptions!$G$14&amp;$E1316,Data_tables!$AZ$5:$AZ$620&amp;Data_tables!$BA$5:$BA$620,Data_tables!$BC$5:$BC$620))*BH441</f>
        <v>0</v>
      </c>
      <c r="BI1316" s="33" cm="1">
        <f t="array" ref="BI1316">+IF($C1316="Yes",_xlfn.XLOOKUP(Assumptions!$G$14&amp;$E1316,Data_tables!$AZ$5:$AZ$620&amp;Data_tables!$BA$5:$BA$620,Data_tables!$BC$5:$BC$620))*BI441</f>
        <v>0</v>
      </c>
      <c r="BJ1316" s="33" cm="1">
        <f t="array" ref="BJ1316">+IF($C1316="Yes",_xlfn.XLOOKUP(Assumptions!$G$14&amp;$E1316,Data_tables!$AZ$5:$AZ$620&amp;Data_tables!$BA$5:$BA$620,Data_tables!$BC$5:$BC$620))*BJ441</f>
        <v>0</v>
      </c>
      <c r="BK1316" s="33" cm="1">
        <f t="array" ref="BK1316">+IF($C1316="Yes",_xlfn.XLOOKUP(Assumptions!$G$14&amp;$E1316,Data_tables!$AZ$5:$AZ$620&amp;Data_tables!$BA$5:$BA$620,Data_tables!$BC$5:$BC$620))*BK441</f>
        <v>0</v>
      </c>
      <c r="BL1316" s="33" cm="1">
        <f t="array" ref="BL1316">+IF($C1316="Yes",_xlfn.XLOOKUP(Assumptions!$G$14&amp;$E1316,Data_tables!$AZ$5:$AZ$620&amp;Data_tables!$BA$5:$BA$620,Data_tables!$BC$5:$BC$620))*BL441</f>
        <v>0</v>
      </c>
      <c r="BM1316" s="33" cm="1">
        <f t="array" ref="BM1316">+IF($C1316="Yes",_xlfn.XLOOKUP(Assumptions!$G$14&amp;$E1316,Data_tables!$AZ$5:$AZ$620&amp;Data_tables!$BA$5:$BA$620,Data_tables!$BC$5:$BC$620))*BM441</f>
        <v>0</v>
      </c>
      <c r="BN1316" s="33" cm="1">
        <f t="array" ref="BN1316">+IF($C1316="Yes",_xlfn.XLOOKUP(Assumptions!$G$14&amp;$E1316,Data_tables!$AZ$5:$AZ$620&amp;Data_tables!$BA$5:$BA$620,Data_tables!$BC$5:$BC$620))*BN441</f>
        <v>0</v>
      </c>
      <c r="BO1316" s="33" cm="1">
        <f t="array" ref="BO1316">+IF($C1316="Yes",_xlfn.XLOOKUP(Assumptions!$G$14&amp;$E1316,Data_tables!$AZ$5:$AZ$620&amp;Data_tables!$BA$5:$BA$620,Data_tables!$BC$5:$BC$620))*BO441</f>
        <v>0</v>
      </c>
      <c r="BP1316" s="33" cm="1">
        <f t="array" ref="BP1316">+IF($C1316="Yes",_xlfn.XLOOKUP(Assumptions!$G$14&amp;$E1316,Data_tables!$AZ$5:$AZ$620&amp;Data_tables!$BA$5:$BA$620,Data_tables!$BC$5:$BC$620))*BP441</f>
        <v>0</v>
      </c>
      <c r="BQ1316" s="33" cm="1">
        <f t="array" ref="BQ1316">+IF($C1316="Yes",_xlfn.XLOOKUP(Assumptions!$G$14&amp;$E1316,Data_tables!$AZ$5:$AZ$620&amp;Data_tables!$BA$5:$BA$620,Data_tables!$BC$5:$BC$620))*BQ441</f>
        <v>0</v>
      </c>
      <c r="BR1316" s="33" cm="1">
        <f t="array" ref="BR1316">+IF($C1316="Yes",_xlfn.XLOOKUP(Assumptions!$G$14&amp;$E1316,Data_tables!$AZ$5:$AZ$620&amp;Data_tables!$BA$5:$BA$620,Data_tables!$BC$5:$BC$620))*BR441</f>
        <v>0</v>
      </c>
      <c r="BS1316" s="33" cm="1">
        <f t="array" ref="BS1316">+IF($C1316="Yes",_xlfn.XLOOKUP(Assumptions!$G$14&amp;$E1316,Data_tables!$AZ$5:$AZ$620&amp;Data_tables!$BA$5:$BA$620,Data_tables!$BC$5:$BC$620))*BS441</f>
        <v>0</v>
      </c>
      <c r="BT1316" s="33" cm="1">
        <f t="array" ref="BT1316">+IF($C1316="Yes",_xlfn.XLOOKUP(Assumptions!$G$14&amp;$E1316,Data_tables!$AZ$5:$AZ$620&amp;Data_tables!$BA$5:$BA$620,Data_tables!$BC$5:$BC$620))*BT441</f>
        <v>0</v>
      </c>
      <c r="BU1316" s="33" cm="1">
        <f t="array" ref="BU1316">+IF($C1316="Yes",_xlfn.XLOOKUP(Assumptions!$G$14&amp;$E1316,Data_tables!$AZ$5:$AZ$620&amp;Data_tables!$BA$5:$BA$620,Data_tables!$BC$5:$BC$620))*BU441</f>
        <v>0</v>
      </c>
      <c r="BV1316" s="33" cm="1">
        <f t="array" ref="BV1316">+IF($C1316="Yes",_xlfn.XLOOKUP(Assumptions!$G$14&amp;$E1316,Data_tables!$AZ$5:$AZ$620&amp;Data_tables!$BA$5:$BA$620,Data_tables!$BC$5:$BC$620))*BV441</f>
        <v>0</v>
      </c>
      <c r="BW1316" s="33" cm="1">
        <f t="array" ref="BW1316">+IF($C1316="Yes",_xlfn.XLOOKUP(Assumptions!$G$14&amp;$E1316,Data_tables!$AZ$5:$AZ$620&amp;Data_tables!$BA$5:$BA$620,Data_tables!$BC$5:$BC$620))*BW441</f>
        <v>0</v>
      </c>
      <c r="BX1316" s="33" cm="1">
        <f t="array" ref="BX1316">+IF($C1316="Yes",_xlfn.XLOOKUP(Assumptions!$G$14&amp;$E1316,Data_tables!$AZ$5:$AZ$620&amp;Data_tables!$BA$5:$BA$620,Data_tables!$BC$5:$BC$620))*BX441</f>
        <v>0</v>
      </c>
      <c r="BY1316" s="33" cm="1">
        <f t="array" ref="BY1316">+IF($C1316="Yes",_xlfn.XLOOKUP(Assumptions!$G$14&amp;$E1316,Data_tables!$AZ$5:$AZ$620&amp;Data_tables!$BA$5:$BA$620,Data_tables!$BC$5:$BC$620))*BY441</f>
        <v>0</v>
      </c>
    </row>
    <row r="1317" spans="1:77" s="35" customFormat="1" outlineLevel="1">
      <c r="A1317" s="776"/>
      <c r="B1317" s="776"/>
      <c r="C1317" s="33" t="str">
        <f>+Assumptions!G489</f>
        <v>Yes</v>
      </c>
      <c r="D1317" s="33"/>
      <c r="E1317" t="s">
        <v>412</v>
      </c>
      <c r="F1317" s="104" t="s">
        <v>637</v>
      </c>
      <c r="G1317" s="33"/>
      <c r="H1317" s="33" cm="1">
        <f t="array" ref="H1317">+IF($C1317="Yes",_xlfn.XLOOKUP(Assumptions!$G$14&amp;$E1317,Data_tables!$AZ$5:$AZ$620&amp;Data_tables!$BA$5:$BA$620,Data_tables!$BC$5:$BC$620))*H447</f>
        <v>0</v>
      </c>
      <c r="I1317" s="33" cm="1">
        <f t="array" ref="I1317">+IF($C1317="Yes",_xlfn.XLOOKUP(Assumptions!$G$14&amp;$E1317,Data_tables!$AZ$5:$AZ$620&amp;Data_tables!$BA$5:$BA$620,Data_tables!$BC$5:$BC$620))*I447</f>
        <v>0</v>
      </c>
      <c r="J1317" s="33" cm="1">
        <f t="array" ref="J1317">+IF($C1317="Yes",_xlfn.XLOOKUP(Assumptions!$G$14&amp;$E1317,Data_tables!$AZ$5:$AZ$620&amp;Data_tables!$BA$5:$BA$620,Data_tables!$BC$5:$BC$620))*J447</f>
        <v>0</v>
      </c>
      <c r="K1317" s="33" cm="1">
        <f t="array" ref="K1317">+IF($C1317="Yes",_xlfn.XLOOKUP(Assumptions!$G$14&amp;$E1317,Data_tables!$AZ$5:$AZ$620&amp;Data_tables!$BA$5:$BA$620,Data_tables!$BC$5:$BC$620))*K447</f>
        <v>-15551845.863214415</v>
      </c>
      <c r="L1317" s="33" cm="1">
        <f t="array" ref="L1317">+IF($C1317="Yes",_xlfn.XLOOKUP(Assumptions!$G$14&amp;$E1317,Data_tables!$AZ$5:$AZ$620&amp;Data_tables!$BA$5:$BA$620,Data_tables!$BC$5:$BC$620))*L447</f>
        <v>-15862882.780478705</v>
      </c>
      <c r="M1317" s="33" cm="1">
        <f t="array" ref="M1317">+IF($C1317="Yes",_xlfn.XLOOKUP(Assumptions!$G$14&amp;$E1317,Data_tables!$AZ$5:$AZ$620&amp;Data_tables!$BA$5:$BA$620,Data_tables!$BC$5:$BC$620))*M447</f>
        <v>-16180140.436088277</v>
      </c>
      <c r="N1317" s="33" cm="1">
        <f t="array" ref="N1317">+IF($C1317="Yes",_xlfn.XLOOKUP(Assumptions!$G$14&amp;$E1317,Data_tables!$AZ$5:$AZ$620&amp;Data_tables!$BA$5:$BA$620,Data_tables!$BC$5:$BC$620))*N447</f>
        <v>-16503743.244810039</v>
      </c>
      <c r="O1317" s="33" cm="1">
        <f t="array" ref="O1317">+IF($C1317="Yes",_xlfn.XLOOKUP(Assumptions!$G$14&amp;$E1317,Data_tables!$AZ$5:$AZ$620&amp;Data_tables!$BA$5:$BA$620,Data_tables!$BC$5:$BC$620))*O447</f>
        <v>-16833818.109706242</v>
      </c>
      <c r="P1317" s="33" cm="1">
        <f t="array" ref="P1317">+IF($C1317="Yes",_xlfn.XLOOKUP(Assumptions!$G$14&amp;$E1317,Data_tables!$AZ$5:$AZ$620&amp;Data_tables!$BA$5:$BA$620,Data_tables!$BC$5:$BC$620))*P447</f>
        <v>-17170494.471900366</v>
      </c>
      <c r="Q1317" s="33" cm="1">
        <f t="array" ref="Q1317">+IF($C1317="Yes",_xlfn.XLOOKUP(Assumptions!$G$14&amp;$E1317,Data_tables!$AZ$5:$AZ$620&amp;Data_tables!$BA$5:$BA$620,Data_tables!$BC$5:$BC$620))*Q447</f>
        <v>-17513904.361338377</v>
      </c>
      <c r="R1317" s="33" cm="1">
        <f t="array" ref="R1317">+IF($C1317="Yes",_xlfn.XLOOKUP(Assumptions!$G$14&amp;$E1317,Data_tables!$AZ$5:$AZ$620&amp;Data_tables!$BA$5:$BA$620,Data_tables!$BC$5:$BC$620))*R447</f>
        <v>-17864182.44856514</v>
      </c>
      <c r="S1317" s="33" cm="1">
        <f t="array" ref="S1317">+IF($C1317="Yes",_xlfn.XLOOKUP(Assumptions!$G$14&amp;$E1317,Data_tables!$AZ$5:$AZ$620&amp;Data_tables!$BA$5:$BA$620,Data_tables!$BC$5:$BC$620))*S447</f>
        <v>-18221466.097536445</v>
      </c>
      <c r="T1317" s="33" cm="1">
        <f t="array" ref="T1317">+IF($C1317="Yes",_xlfn.XLOOKUP(Assumptions!$G$14&amp;$E1317,Data_tables!$AZ$5:$AZ$620&amp;Data_tables!$BA$5:$BA$620,Data_tables!$BC$5:$BC$620))*T447</f>
        <v>-18585895.419487175</v>
      </c>
      <c r="U1317" s="33" cm="1">
        <f t="array" ref="U1317">+IF($C1317="Yes",_xlfn.XLOOKUP(Assumptions!$G$14&amp;$E1317,Data_tables!$AZ$5:$AZ$620&amp;Data_tables!$BA$5:$BA$620,Data_tables!$BC$5:$BC$620))*U447</f>
        <v>-18957613.327876918</v>
      </c>
      <c r="V1317" s="33" cm="1">
        <f t="array" ref="V1317">+IF($C1317="Yes",_xlfn.XLOOKUP(Assumptions!$G$14&amp;$E1317,Data_tables!$AZ$5:$AZ$620&amp;Data_tables!$BA$5:$BA$620,Data_tables!$BC$5:$BC$620))*V447</f>
        <v>-19336765.594434451</v>
      </c>
      <c r="W1317" s="33" cm="1">
        <f t="array" ref="W1317">+IF($C1317="Yes",_xlfn.XLOOKUP(Assumptions!$G$14&amp;$E1317,Data_tables!$AZ$5:$AZ$620&amp;Data_tables!$BA$5:$BA$620,Data_tables!$BC$5:$BC$620))*W447</f>
        <v>-19723500.906323142</v>
      </c>
      <c r="X1317" s="33" cm="1">
        <f t="array" ref="X1317">+IF($C1317="Yes",_xlfn.XLOOKUP(Assumptions!$G$14&amp;$E1317,Data_tables!$AZ$5:$AZ$620&amp;Data_tables!$BA$5:$BA$620,Data_tables!$BC$5:$BC$620))*X447</f>
        <v>-20117970.924449608</v>
      </c>
      <c r="Y1317" s="33" cm="1">
        <f t="array" ref="Y1317">+IF($C1317="Yes",_xlfn.XLOOKUP(Assumptions!$G$14&amp;$E1317,Data_tables!$AZ$5:$AZ$620&amp;Data_tables!$BA$5:$BA$620,Data_tables!$BC$5:$BC$620))*Y447</f>
        <v>-20520330.342938598</v>
      </c>
      <c r="Z1317" s="33" cm="1">
        <f t="array" ref="Z1317">+IF($C1317="Yes",_xlfn.XLOOKUP(Assumptions!$G$14&amp;$E1317,Data_tables!$AZ$5:$AZ$620&amp;Data_tables!$BA$5:$BA$620,Data_tables!$BC$5:$BC$620))*Z447</f>
        <v>0</v>
      </c>
      <c r="AA1317" s="33" cm="1">
        <f t="array" ref="AA1317">+IF($C1317="Yes",_xlfn.XLOOKUP(Assumptions!$G$14&amp;$E1317,Data_tables!$AZ$5:$AZ$620&amp;Data_tables!$BA$5:$BA$620,Data_tables!$BC$5:$BC$620))*AA447</f>
        <v>0</v>
      </c>
      <c r="AB1317" s="33" cm="1">
        <f t="array" ref="AB1317">+IF($C1317="Yes",_xlfn.XLOOKUP(Assumptions!$G$14&amp;$E1317,Data_tables!$AZ$5:$AZ$620&amp;Data_tables!$BA$5:$BA$620,Data_tables!$BC$5:$BC$620))*AB447</f>
        <v>0</v>
      </c>
      <c r="AC1317" s="33" cm="1">
        <f t="array" ref="AC1317">+IF($C1317="Yes",_xlfn.XLOOKUP(Assumptions!$G$14&amp;$E1317,Data_tables!$AZ$5:$AZ$620&amp;Data_tables!$BA$5:$BA$620,Data_tables!$BC$5:$BC$620))*AC447</f>
        <v>0</v>
      </c>
      <c r="AD1317" s="33" cm="1">
        <f t="array" ref="AD1317">+IF($C1317="Yes",_xlfn.XLOOKUP(Assumptions!$G$14&amp;$E1317,Data_tables!$AZ$5:$AZ$620&amp;Data_tables!$BA$5:$BA$620,Data_tables!$BC$5:$BC$620))*AD447</f>
        <v>0</v>
      </c>
      <c r="AE1317" s="33" cm="1">
        <f t="array" ref="AE1317">+IF($C1317="Yes",_xlfn.XLOOKUP(Assumptions!$G$14&amp;$E1317,Data_tables!$AZ$5:$AZ$620&amp;Data_tables!$BA$5:$BA$620,Data_tables!$BC$5:$BC$620))*AE447</f>
        <v>0</v>
      </c>
      <c r="AF1317" s="33" cm="1">
        <f t="array" ref="AF1317">+IF($C1317="Yes",_xlfn.XLOOKUP(Assumptions!$G$14&amp;$E1317,Data_tables!$AZ$5:$AZ$620&amp;Data_tables!$BA$5:$BA$620,Data_tables!$BC$5:$BC$620))*AF447</f>
        <v>0</v>
      </c>
      <c r="AG1317" s="33" cm="1">
        <f t="array" ref="AG1317">+IF($C1317="Yes",_xlfn.XLOOKUP(Assumptions!$G$14&amp;$E1317,Data_tables!$AZ$5:$AZ$620&amp;Data_tables!$BA$5:$BA$620,Data_tables!$BC$5:$BC$620))*AG447</f>
        <v>0</v>
      </c>
      <c r="AH1317" s="33" cm="1">
        <f t="array" ref="AH1317">+IF($C1317="Yes",_xlfn.XLOOKUP(Assumptions!$G$14&amp;$E1317,Data_tables!$AZ$5:$AZ$620&amp;Data_tables!$BA$5:$BA$620,Data_tables!$BC$5:$BC$620))*AH447</f>
        <v>0</v>
      </c>
      <c r="AI1317" s="33" cm="1">
        <f t="array" ref="AI1317">+IF($C1317="Yes",_xlfn.XLOOKUP(Assumptions!$G$14&amp;$E1317,Data_tables!$AZ$5:$AZ$620&amp;Data_tables!$BA$5:$BA$620,Data_tables!$BC$5:$BC$620))*AI447</f>
        <v>0</v>
      </c>
      <c r="AJ1317" s="33" cm="1">
        <f t="array" ref="AJ1317">+IF($C1317="Yes",_xlfn.XLOOKUP(Assumptions!$G$14&amp;$E1317,Data_tables!$AZ$5:$AZ$620&amp;Data_tables!$BA$5:$BA$620,Data_tables!$BC$5:$BC$620))*AJ447</f>
        <v>0</v>
      </c>
      <c r="AK1317" s="33" cm="1">
        <f t="array" ref="AK1317">+IF($C1317="Yes",_xlfn.XLOOKUP(Assumptions!$G$14&amp;$E1317,Data_tables!$AZ$5:$AZ$620&amp;Data_tables!$BA$5:$BA$620,Data_tables!$BC$5:$BC$620))*AK447</f>
        <v>0</v>
      </c>
      <c r="AL1317" s="33" cm="1">
        <f t="array" ref="AL1317">+IF($C1317="Yes",_xlfn.XLOOKUP(Assumptions!$G$14&amp;$E1317,Data_tables!$AZ$5:$AZ$620&amp;Data_tables!$BA$5:$BA$620,Data_tables!$BC$5:$BC$620))*AL447</f>
        <v>0</v>
      </c>
      <c r="AM1317" s="33" cm="1">
        <f t="array" ref="AM1317">+IF($C1317="Yes",_xlfn.XLOOKUP(Assumptions!$G$14&amp;$E1317,Data_tables!$AZ$5:$AZ$620&amp;Data_tables!$BA$5:$BA$620,Data_tables!$BC$5:$BC$620))*AM447</f>
        <v>0</v>
      </c>
      <c r="AN1317" s="33" cm="1">
        <f t="array" ref="AN1317">+IF($C1317="Yes",_xlfn.XLOOKUP(Assumptions!$G$14&amp;$E1317,Data_tables!$AZ$5:$AZ$620&amp;Data_tables!$BA$5:$BA$620,Data_tables!$BC$5:$BC$620))*AN447</f>
        <v>0</v>
      </c>
      <c r="AO1317" s="33" cm="1">
        <f t="array" ref="AO1317">+IF($C1317="Yes",_xlfn.XLOOKUP(Assumptions!$G$14&amp;$E1317,Data_tables!$AZ$5:$AZ$620&amp;Data_tables!$BA$5:$BA$620,Data_tables!$BC$5:$BC$620))*AO447</f>
        <v>0</v>
      </c>
      <c r="AP1317" s="33" cm="1">
        <f t="array" ref="AP1317">+IF($C1317="Yes",_xlfn.XLOOKUP(Assumptions!$G$14&amp;$E1317,Data_tables!$AZ$5:$AZ$620&amp;Data_tables!$BA$5:$BA$620,Data_tables!$BC$5:$BC$620))*AP447</f>
        <v>0</v>
      </c>
      <c r="AQ1317" s="33" cm="1">
        <f t="array" ref="AQ1317">+IF($C1317="Yes",_xlfn.XLOOKUP(Assumptions!$G$14&amp;$E1317,Data_tables!$AZ$5:$AZ$620&amp;Data_tables!$BA$5:$BA$620,Data_tables!$BC$5:$BC$620))*AQ447</f>
        <v>0</v>
      </c>
      <c r="AR1317" s="33" cm="1">
        <f t="array" ref="AR1317">+IF($C1317="Yes",_xlfn.XLOOKUP(Assumptions!$G$14&amp;$E1317,Data_tables!$AZ$5:$AZ$620&amp;Data_tables!$BA$5:$BA$620,Data_tables!$BC$5:$BC$620))*AR447</f>
        <v>0</v>
      </c>
      <c r="AS1317" s="33" cm="1">
        <f t="array" ref="AS1317">+IF($C1317="Yes",_xlfn.XLOOKUP(Assumptions!$G$14&amp;$E1317,Data_tables!$AZ$5:$AZ$620&amp;Data_tables!$BA$5:$BA$620,Data_tables!$BC$5:$BC$620))*AS447</f>
        <v>0</v>
      </c>
      <c r="AT1317" s="33" cm="1">
        <f t="array" ref="AT1317">+IF($C1317="Yes",_xlfn.XLOOKUP(Assumptions!$G$14&amp;$E1317,Data_tables!$AZ$5:$AZ$620&amp;Data_tables!$BA$5:$BA$620,Data_tables!$BC$5:$BC$620))*AT447</f>
        <v>0</v>
      </c>
      <c r="AU1317" s="33" cm="1">
        <f t="array" ref="AU1317">+IF($C1317="Yes",_xlfn.XLOOKUP(Assumptions!$G$14&amp;$E1317,Data_tables!$AZ$5:$AZ$620&amp;Data_tables!$BA$5:$BA$620,Data_tables!$BC$5:$BC$620))*AU447</f>
        <v>0</v>
      </c>
      <c r="AV1317" s="33" cm="1">
        <f t="array" ref="AV1317">+IF($C1317="Yes",_xlfn.XLOOKUP(Assumptions!$G$14&amp;$E1317,Data_tables!$AZ$5:$AZ$620&amp;Data_tables!$BA$5:$BA$620,Data_tables!$BC$5:$BC$620))*AV447</f>
        <v>0</v>
      </c>
      <c r="AW1317" s="33" cm="1">
        <f t="array" ref="AW1317">+IF($C1317="Yes",_xlfn.XLOOKUP(Assumptions!$G$14&amp;$E1317,Data_tables!$AZ$5:$AZ$620&amp;Data_tables!$BA$5:$BA$620,Data_tables!$BC$5:$BC$620))*AW447</f>
        <v>0</v>
      </c>
      <c r="AX1317" s="33" cm="1">
        <f t="array" ref="AX1317">+IF($C1317="Yes",_xlfn.XLOOKUP(Assumptions!$G$14&amp;$E1317,Data_tables!$AZ$5:$AZ$620&amp;Data_tables!$BA$5:$BA$620,Data_tables!$BC$5:$BC$620))*AX447</f>
        <v>0</v>
      </c>
      <c r="AY1317" s="33" cm="1">
        <f t="array" ref="AY1317">+IF($C1317="Yes",_xlfn.XLOOKUP(Assumptions!$G$14&amp;$E1317,Data_tables!$AZ$5:$AZ$620&amp;Data_tables!$BA$5:$BA$620,Data_tables!$BC$5:$BC$620))*AY447</f>
        <v>0</v>
      </c>
      <c r="AZ1317" s="33" cm="1">
        <f t="array" ref="AZ1317">+IF($C1317="Yes",_xlfn.XLOOKUP(Assumptions!$G$14&amp;$E1317,Data_tables!$AZ$5:$AZ$620&amp;Data_tables!$BA$5:$BA$620,Data_tables!$BC$5:$BC$620))*AZ447</f>
        <v>0</v>
      </c>
      <c r="BA1317" s="33" cm="1">
        <f t="array" ref="BA1317">+IF($C1317="Yes",_xlfn.XLOOKUP(Assumptions!$G$14&amp;$E1317,Data_tables!$AZ$5:$AZ$620&amp;Data_tables!$BA$5:$BA$620,Data_tables!$BC$5:$BC$620))*BA447</f>
        <v>0</v>
      </c>
      <c r="BB1317" s="33" cm="1">
        <f t="array" ref="BB1317">+IF($C1317="Yes",_xlfn.XLOOKUP(Assumptions!$G$14&amp;$E1317,Data_tables!$AZ$5:$AZ$620&amp;Data_tables!$BA$5:$BA$620,Data_tables!$BC$5:$BC$620))*BB447</f>
        <v>0</v>
      </c>
      <c r="BC1317" s="33" cm="1">
        <f t="array" ref="BC1317">+IF($C1317="Yes",_xlfn.XLOOKUP(Assumptions!$G$14&amp;$E1317,Data_tables!$AZ$5:$AZ$620&amp;Data_tables!$BA$5:$BA$620,Data_tables!$BC$5:$BC$620))*BC447</f>
        <v>0</v>
      </c>
      <c r="BD1317" s="33" cm="1">
        <f t="array" ref="BD1317">+IF($C1317="Yes",_xlfn.XLOOKUP(Assumptions!$G$14&amp;$E1317,Data_tables!$AZ$5:$AZ$620&amp;Data_tables!$BA$5:$BA$620,Data_tables!$BC$5:$BC$620))*BD447</f>
        <v>0</v>
      </c>
      <c r="BE1317" s="33" cm="1">
        <f t="array" ref="BE1317">+IF($C1317="Yes",_xlfn.XLOOKUP(Assumptions!$G$14&amp;$E1317,Data_tables!$AZ$5:$AZ$620&amp;Data_tables!$BA$5:$BA$620,Data_tables!$BC$5:$BC$620))*BE447</f>
        <v>0</v>
      </c>
      <c r="BF1317" s="33" cm="1">
        <f t="array" ref="BF1317">+IF($C1317="Yes",_xlfn.XLOOKUP(Assumptions!$G$14&amp;$E1317,Data_tables!$AZ$5:$AZ$620&amp;Data_tables!$BA$5:$BA$620,Data_tables!$BC$5:$BC$620))*BF447</f>
        <v>0</v>
      </c>
      <c r="BG1317" s="33" cm="1">
        <f t="array" ref="BG1317">+IF($C1317="Yes",_xlfn.XLOOKUP(Assumptions!$G$14&amp;$E1317,Data_tables!$AZ$5:$AZ$620&amp;Data_tables!$BA$5:$BA$620,Data_tables!$BC$5:$BC$620))*BG447</f>
        <v>0</v>
      </c>
      <c r="BH1317" s="33" cm="1">
        <f t="array" ref="BH1317">+IF($C1317="Yes",_xlfn.XLOOKUP(Assumptions!$G$14&amp;$E1317,Data_tables!$AZ$5:$AZ$620&amp;Data_tables!$BA$5:$BA$620,Data_tables!$BC$5:$BC$620))*BH447</f>
        <v>0</v>
      </c>
      <c r="BI1317" s="33" cm="1">
        <f t="array" ref="BI1317">+IF($C1317="Yes",_xlfn.XLOOKUP(Assumptions!$G$14&amp;$E1317,Data_tables!$AZ$5:$AZ$620&amp;Data_tables!$BA$5:$BA$620,Data_tables!$BC$5:$BC$620))*BI447</f>
        <v>0</v>
      </c>
      <c r="BJ1317" s="33" cm="1">
        <f t="array" ref="BJ1317">+IF($C1317="Yes",_xlfn.XLOOKUP(Assumptions!$G$14&amp;$E1317,Data_tables!$AZ$5:$AZ$620&amp;Data_tables!$BA$5:$BA$620,Data_tables!$BC$5:$BC$620))*BJ447</f>
        <v>0</v>
      </c>
      <c r="BK1317" s="33" cm="1">
        <f t="array" ref="BK1317">+IF($C1317="Yes",_xlfn.XLOOKUP(Assumptions!$G$14&amp;$E1317,Data_tables!$AZ$5:$AZ$620&amp;Data_tables!$BA$5:$BA$620,Data_tables!$BC$5:$BC$620))*BK447</f>
        <v>0</v>
      </c>
      <c r="BL1317" s="33" cm="1">
        <f t="array" ref="BL1317">+IF($C1317="Yes",_xlfn.XLOOKUP(Assumptions!$G$14&amp;$E1317,Data_tables!$AZ$5:$AZ$620&amp;Data_tables!$BA$5:$BA$620,Data_tables!$BC$5:$BC$620))*BL447</f>
        <v>0</v>
      </c>
      <c r="BM1317" s="33" cm="1">
        <f t="array" ref="BM1317">+IF($C1317="Yes",_xlfn.XLOOKUP(Assumptions!$G$14&amp;$E1317,Data_tables!$AZ$5:$AZ$620&amp;Data_tables!$BA$5:$BA$620,Data_tables!$BC$5:$BC$620))*BM447</f>
        <v>0</v>
      </c>
      <c r="BN1317" s="33" cm="1">
        <f t="array" ref="BN1317">+IF($C1317="Yes",_xlfn.XLOOKUP(Assumptions!$G$14&amp;$E1317,Data_tables!$AZ$5:$AZ$620&amp;Data_tables!$BA$5:$BA$620,Data_tables!$BC$5:$BC$620))*BN447</f>
        <v>0</v>
      </c>
      <c r="BO1317" s="33" cm="1">
        <f t="array" ref="BO1317">+IF($C1317="Yes",_xlfn.XLOOKUP(Assumptions!$G$14&amp;$E1317,Data_tables!$AZ$5:$AZ$620&amp;Data_tables!$BA$5:$BA$620,Data_tables!$BC$5:$BC$620))*BO447</f>
        <v>0</v>
      </c>
      <c r="BP1317" s="33" cm="1">
        <f t="array" ref="BP1317">+IF($C1317="Yes",_xlfn.XLOOKUP(Assumptions!$G$14&amp;$E1317,Data_tables!$AZ$5:$AZ$620&amp;Data_tables!$BA$5:$BA$620,Data_tables!$BC$5:$BC$620))*BP447</f>
        <v>0</v>
      </c>
      <c r="BQ1317" s="33" cm="1">
        <f t="array" ref="BQ1317">+IF($C1317="Yes",_xlfn.XLOOKUP(Assumptions!$G$14&amp;$E1317,Data_tables!$AZ$5:$AZ$620&amp;Data_tables!$BA$5:$BA$620,Data_tables!$BC$5:$BC$620))*BQ447</f>
        <v>0</v>
      </c>
      <c r="BR1317" s="33" cm="1">
        <f t="array" ref="BR1317">+IF($C1317="Yes",_xlfn.XLOOKUP(Assumptions!$G$14&amp;$E1317,Data_tables!$AZ$5:$AZ$620&amp;Data_tables!$BA$5:$BA$620,Data_tables!$BC$5:$BC$620))*BR447</f>
        <v>0</v>
      </c>
      <c r="BS1317" s="33" cm="1">
        <f t="array" ref="BS1317">+IF($C1317="Yes",_xlfn.XLOOKUP(Assumptions!$G$14&amp;$E1317,Data_tables!$AZ$5:$AZ$620&amp;Data_tables!$BA$5:$BA$620,Data_tables!$BC$5:$BC$620))*BS447</f>
        <v>0</v>
      </c>
      <c r="BT1317" s="33" cm="1">
        <f t="array" ref="BT1317">+IF($C1317="Yes",_xlfn.XLOOKUP(Assumptions!$G$14&amp;$E1317,Data_tables!$AZ$5:$AZ$620&amp;Data_tables!$BA$5:$BA$620,Data_tables!$BC$5:$BC$620))*BT447</f>
        <v>0</v>
      </c>
      <c r="BU1317" s="33" cm="1">
        <f t="array" ref="BU1317">+IF($C1317="Yes",_xlfn.XLOOKUP(Assumptions!$G$14&amp;$E1317,Data_tables!$AZ$5:$AZ$620&amp;Data_tables!$BA$5:$BA$620,Data_tables!$BC$5:$BC$620))*BU447</f>
        <v>0</v>
      </c>
      <c r="BV1317" s="33" cm="1">
        <f t="array" ref="BV1317">+IF($C1317="Yes",_xlfn.XLOOKUP(Assumptions!$G$14&amp;$E1317,Data_tables!$AZ$5:$AZ$620&amp;Data_tables!$BA$5:$BA$620,Data_tables!$BC$5:$BC$620))*BV447</f>
        <v>0</v>
      </c>
      <c r="BW1317" s="33" cm="1">
        <f t="array" ref="BW1317">+IF($C1317="Yes",_xlfn.XLOOKUP(Assumptions!$G$14&amp;$E1317,Data_tables!$AZ$5:$AZ$620&amp;Data_tables!$BA$5:$BA$620,Data_tables!$BC$5:$BC$620))*BW447</f>
        <v>0</v>
      </c>
      <c r="BX1317" s="33" cm="1">
        <f t="array" ref="BX1317">+IF($C1317="Yes",_xlfn.XLOOKUP(Assumptions!$G$14&amp;$E1317,Data_tables!$AZ$5:$AZ$620&amp;Data_tables!$BA$5:$BA$620,Data_tables!$BC$5:$BC$620))*BX447</f>
        <v>0</v>
      </c>
      <c r="BY1317" s="33" cm="1">
        <f t="array" ref="BY1317">+IF($C1317="Yes",_xlfn.XLOOKUP(Assumptions!$G$14&amp;$E1317,Data_tables!$AZ$5:$AZ$620&amp;Data_tables!$BA$5:$BA$620,Data_tables!$BC$5:$BC$620))*BY447</f>
        <v>0</v>
      </c>
    </row>
    <row r="1318" spans="1:77" s="35" customFormat="1" outlineLevel="1">
      <c r="A1318" s="776"/>
      <c r="B1318" s="776"/>
      <c r="C1318" s="33"/>
      <c r="D1318" s="33"/>
      <c r="E1318"/>
      <c r="F1318" s="104"/>
      <c r="G1318" s="33"/>
      <c r="H1318" s="33"/>
      <c r="I1318" s="33"/>
      <c r="J1318" s="33"/>
      <c r="K1318" s="33"/>
      <c r="L1318" s="33"/>
      <c r="M1318" s="33"/>
      <c r="N1318" s="33"/>
      <c r="O1318" s="33"/>
      <c r="P1318" s="33"/>
      <c r="Q1318" s="33"/>
      <c r="R1318" s="33"/>
      <c r="S1318" s="33"/>
      <c r="T1318" s="33"/>
      <c r="U1318" s="33"/>
      <c r="V1318" s="33"/>
      <c r="W1318" s="33"/>
      <c r="X1318" s="33"/>
      <c r="Y1318" s="33"/>
      <c r="Z1318" s="33"/>
      <c r="AA1318" s="33"/>
      <c r="AB1318" s="33"/>
      <c r="AC1318" s="33"/>
      <c r="AD1318" s="33"/>
      <c r="AE1318" s="33"/>
      <c r="AF1318" s="33"/>
      <c r="AG1318" s="33"/>
      <c r="AH1318" s="33"/>
      <c r="AI1318" s="33"/>
      <c r="AJ1318" s="33"/>
      <c r="AK1318" s="33"/>
      <c r="AL1318" s="33"/>
      <c r="AM1318" s="33"/>
      <c r="AN1318" s="33"/>
      <c r="AO1318" s="33"/>
      <c r="AP1318" s="33"/>
      <c r="AQ1318" s="33"/>
      <c r="AR1318" s="33"/>
      <c r="AS1318" s="33"/>
      <c r="AT1318" s="33"/>
      <c r="AU1318" s="33"/>
      <c r="AV1318" s="33"/>
      <c r="AW1318" s="33"/>
      <c r="AX1318" s="33"/>
      <c r="AY1318" s="33"/>
      <c r="AZ1318" s="33"/>
      <c r="BA1318" s="33"/>
      <c r="BB1318" s="33"/>
      <c r="BC1318" s="33"/>
      <c r="BD1318" s="33"/>
      <c r="BE1318" s="33"/>
      <c r="BF1318" s="33"/>
      <c r="BG1318" s="33"/>
      <c r="BH1318" s="33"/>
      <c r="BI1318" s="33"/>
      <c r="BJ1318" s="33"/>
      <c r="BK1318" s="33"/>
      <c r="BL1318" s="33"/>
      <c r="BM1318" s="33"/>
      <c r="BN1318" s="33"/>
      <c r="BO1318" s="33"/>
      <c r="BP1318" s="33"/>
      <c r="BQ1318" s="33"/>
      <c r="BR1318" s="33"/>
      <c r="BS1318" s="33"/>
      <c r="BT1318" s="33"/>
      <c r="BU1318" s="33"/>
      <c r="BV1318" s="33"/>
      <c r="BW1318" s="33"/>
      <c r="BX1318" s="33"/>
      <c r="BY1318" s="33"/>
    </row>
    <row r="1319" spans="1:77" s="35" customFormat="1" ht="15" outlineLevel="1">
      <c r="A1319" s="776"/>
      <c r="B1319" s="776"/>
      <c r="C1319" s="33"/>
      <c r="D1319" s="33"/>
      <c r="E1319" s="22" t="s">
        <v>638</v>
      </c>
      <c r="F1319" s="104" t="s">
        <v>637</v>
      </c>
      <c r="G1319" s="33"/>
      <c r="H1319" s="33">
        <f ca="1">-SUM(H1310:H1317)</f>
        <v>0</v>
      </c>
      <c r="I1319" s="33">
        <f t="shared" ref="I1319:BT1319" ca="1" si="2499">-SUM(I1310:I1317)</f>
        <v>112689417.6596716</v>
      </c>
      <c r="J1319" s="33">
        <f t="shared" ca="1" si="2499"/>
        <v>114943206.01286504</v>
      </c>
      <c r="K1319" s="33">
        <f t="shared" si="2499"/>
        <v>15582395.748031488</v>
      </c>
      <c r="L1319" s="33">
        <f t="shared" si="2499"/>
        <v>15894043.66299212</v>
      </c>
      <c r="M1319" s="33">
        <f t="shared" si="2499"/>
        <v>16211924.53625196</v>
      </c>
      <c r="N1319" s="33">
        <f t="shared" si="2499"/>
        <v>16536163.026976995</v>
      </c>
      <c r="O1319" s="33">
        <f t="shared" si="2499"/>
        <v>16866886.287516538</v>
      </c>
      <c r="P1319" s="33">
        <f t="shared" si="2499"/>
        <v>17204224.013266869</v>
      </c>
      <c r="Q1319" s="33">
        <f t="shared" si="2499"/>
        <v>17548308.493532207</v>
      </c>
      <c r="R1319" s="33">
        <f t="shared" si="2499"/>
        <v>17899274.663402848</v>
      </c>
      <c r="S1319" s="33">
        <f t="shared" si="2499"/>
        <v>18257260.156670906</v>
      </c>
      <c r="T1319" s="33">
        <f t="shared" si="2499"/>
        <v>18622405.359804325</v>
      </c>
      <c r="U1319" s="33">
        <f t="shared" si="2499"/>
        <v>18994853.467000414</v>
      </c>
      <c r="V1319" s="33">
        <f t="shared" si="2499"/>
        <v>19374750.536340415</v>
      </c>
      <c r="W1319" s="33">
        <f t="shared" si="2499"/>
        <v>19762245.547067225</v>
      </c>
      <c r="X1319" s="33">
        <f t="shared" si="2499"/>
        <v>20157490.458008572</v>
      </c>
      <c r="Y1319" s="33">
        <f t="shared" si="2499"/>
        <v>20560640.267168742</v>
      </c>
      <c r="Z1319" s="33">
        <f t="shared" ca="1" si="2499"/>
        <v>0</v>
      </c>
      <c r="AA1319" s="33">
        <f t="shared" ca="1" si="2499"/>
        <v>0</v>
      </c>
      <c r="AB1319" s="33">
        <f t="shared" ca="1" si="2499"/>
        <v>0</v>
      </c>
      <c r="AC1319" s="33">
        <f t="shared" ca="1" si="2499"/>
        <v>0</v>
      </c>
      <c r="AD1319" s="33">
        <f t="shared" ca="1" si="2499"/>
        <v>0</v>
      </c>
      <c r="AE1319" s="33">
        <f t="shared" ca="1" si="2499"/>
        <v>0</v>
      </c>
      <c r="AF1319" s="33">
        <f t="shared" ca="1" si="2499"/>
        <v>0</v>
      </c>
      <c r="AG1319" s="33">
        <f t="shared" ca="1" si="2499"/>
        <v>0</v>
      </c>
      <c r="AH1319" s="33">
        <f t="shared" ca="1" si="2499"/>
        <v>0</v>
      </c>
      <c r="AI1319" s="33">
        <f t="shared" ca="1" si="2499"/>
        <v>0</v>
      </c>
      <c r="AJ1319" s="33">
        <f t="shared" ca="1" si="2499"/>
        <v>0</v>
      </c>
      <c r="AK1319" s="33">
        <f t="shared" ca="1" si="2499"/>
        <v>0</v>
      </c>
      <c r="AL1319" s="33">
        <f t="shared" ca="1" si="2499"/>
        <v>0</v>
      </c>
      <c r="AM1319" s="33">
        <f t="shared" ca="1" si="2499"/>
        <v>0</v>
      </c>
      <c r="AN1319" s="33">
        <f t="shared" ca="1" si="2499"/>
        <v>0</v>
      </c>
      <c r="AO1319" s="33">
        <f t="shared" ca="1" si="2499"/>
        <v>0</v>
      </c>
      <c r="AP1319" s="33">
        <f t="shared" ca="1" si="2499"/>
        <v>0</v>
      </c>
      <c r="AQ1319" s="33">
        <f t="shared" ca="1" si="2499"/>
        <v>0</v>
      </c>
      <c r="AR1319" s="33">
        <f t="shared" ca="1" si="2499"/>
        <v>0</v>
      </c>
      <c r="AS1319" s="33">
        <f t="shared" ca="1" si="2499"/>
        <v>0</v>
      </c>
      <c r="AT1319" s="33">
        <f t="shared" ca="1" si="2499"/>
        <v>0</v>
      </c>
      <c r="AU1319" s="33">
        <f t="shared" ca="1" si="2499"/>
        <v>0</v>
      </c>
      <c r="AV1319" s="33">
        <f t="shared" ca="1" si="2499"/>
        <v>0</v>
      </c>
      <c r="AW1319" s="33">
        <f t="shared" ca="1" si="2499"/>
        <v>0</v>
      </c>
      <c r="AX1319" s="33">
        <f t="shared" ca="1" si="2499"/>
        <v>0</v>
      </c>
      <c r="AY1319" s="33">
        <f t="shared" ca="1" si="2499"/>
        <v>0</v>
      </c>
      <c r="AZ1319" s="33">
        <f t="shared" ca="1" si="2499"/>
        <v>0</v>
      </c>
      <c r="BA1319" s="33">
        <f t="shared" ca="1" si="2499"/>
        <v>0</v>
      </c>
      <c r="BB1319" s="33">
        <f t="shared" ca="1" si="2499"/>
        <v>0</v>
      </c>
      <c r="BC1319" s="33">
        <f t="shared" ca="1" si="2499"/>
        <v>0</v>
      </c>
      <c r="BD1319" s="33">
        <f t="shared" ca="1" si="2499"/>
        <v>0</v>
      </c>
      <c r="BE1319" s="33">
        <f t="shared" ca="1" si="2499"/>
        <v>0</v>
      </c>
      <c r="BF1319" s="33">
        <f t="shared" ca="1" si="2499"/>
        <v>0</v>
      </c>
      <c r="BG1319" s="33">
        <f t="shared" ca="1" si="2499"/>
        <v>0</v>
      </c>
      <c r="BH1319" s="33">
        <f t="shared" ca="1" si="2499"/>
        <v>0</v>
      </c>
      <c r="BI1319" s="33">
        <f t="shared" ca="1" si="2499"/>
        <v>0</v>
      </c>
      <c r="BJ1319" s="33">
        <f t="shared" ca="1" si="2499"/>
        <v>0</v>
      </c>
      <c r="BK1319" s="33">
        <f t="shared" ca="1" si="2499"/>
        <v>0</v>
      </c>
      <c r="BL1319" s="33">
        <f t="shared" ca="1" si="2499"/>
        <v>0</v>
      </c>
      <c r="BM1319" s="33">
        <f t="shared" ca="1" si="2499"/>
        <v>0</v>
      </c>
      <c r="BN1319" s="33">
        <f t="shared" ca="1" si="2499"/>
        <v>0</v>
      </c>
      <c r="BO1319" s="33">
        <f t="shared" ca="1" si="2499"/>
        <v>0</v>
      </c>
      <c r="BP1319" s="33">
        <f t="shared" ca="1" si="2499"/>
        <v>0</v>
      </c>
      <c r="BQ1319" s="33">
        <f t="shared" ca="1" si="2499"/>
        <v>0</v>
      </c>
      <c r="BR1319" s="33">
        <f t="shared" ca="1" si="2499"/>
        <v>0</v>
      </c>
      <c r="BS1319" s="33">
        <f t="shared" ca="1" si="2499"/>
        <v>0</v>
      </c>
      <c r="BT1319" s="33">
        <f t="shared" ca="1" si="2499"/>
        <v>0</v>
      </c>
      <c r="BU1319" s="33">
        <f t="shared" ref="BU1319:BY1319" ca="1" si="2500">-SUM(BU1310:BU1317)</f>
        <v>0</v>
      </c>
      <c r="BV1319" s="33">
        <f t="shared" ca="1" si="2500"/>
        <v>0</v>
      </c>
      <c r="BW1319" s="33">
        <f t="shared" ca="1" si="2500"/>
        <v>0</v>
      </c>
      <c r="BX1319" s="33">
        <f t="shared" ca="1" si="2500"/>
        <v>0</v>
      </c>
      <c r="BY1319" s="33">
        <f t="shared" ca="1" si="2500"/>
        <v>0</v>
      </c>
    </row>
    <row r="1320" spans="1:77" s="35" customFormat="1" outlineLevel="1">
      <c r="A1320" s="776"/>
      <c r="B1320" s="776"/>
      <c r="C1320" s="33"/>
      <c r="D1320" s="33"/>
      <c r="E1320"/>
      <c r="F1320" s="104"/>
      <c r="G1320" s="33"/>
      <c r="H1320" s="33"/>
      <c r="I1320" s="33"/>
      <c r="J1320" s="33"/>
      <c r="K1320" s="33"/>
      <c r="L1320" s="33"/>
      <c r="M1320" s="33"/>
      <c r="N1320" s="33"/>
      <c r="O1320" s="33"/>
      <c r="P1320" s="33"/>
      <c r="Q1320" s="33"/>
      <c r="R1320" s="33"/>
      <c r="S1320" s="33"/>
      <c r="T1320" s="33"/>
      <c r="U1320" s="33"/>
      <c r="V1320" s="33"/>
      <c r="W1320" s="33"/>
      <c r="X1320" s="33"/>
      <c r="Y1320" s="33"/>
      <c r="Z1320" s="33"/>
      <c r="AA1320" s="33"/>
      <c r="AB1320" s="33"/>
      <c r="AC1320" s="33"/>
      <c r="AD1320" s="33"/>
      <c r="AE1320" s="33"/>
      <c r="AF1320" s="33"/>
      <c r="AG1320" s="33"/>
      <c r="AH1320" s="33"/>
      <c r="AI1320" s="33"/>
      <c r="AJ1320" s="33"/>
      <c r="AK1320" s="33"/>
      <c r="AL1320" s="33"/>
      <c r="AM1320" s="33"/>
      <c r="AN1320" s="33"/>
      <c r="AO1320" s="33"/>
      <c r="AP1320" s="33"/>
      <c r="AQ1320" s="33"/>
      <c r="AR1320" s="33"/>
      <c r="AS1320" s="33"/>
      <c r="AT1320" s="33"/>
      <c r="AU1320" s="33"/>
      <c r="AV1320" s="33"/>
      <c r="AW1320" s="33"/>
      <c r="AX1320" s="33"/>
      <c r="AY1320" s="33"/>
      <c r="AZ1320" s="33"/>
      <c r="BA1320" s="33"/>
      <c r="BB1320" s="33"/>
      <c r="BC1320" s="33"/>
      <c r="BD1320" s="33"/>
      <c r="BE1320" s="33"/>
      <c r="BF1320" s="33"/>
      <c r="BG1320" s="33"/>
      <c r="BH1320" s="33"/>
      <c r="BI1320" s="33"/>
      <c r="BJ1320" s="33"/>
      <c r="BK1320" s="33"/>
      <c r="BL1320" s="33"/>
      <c r="BM1320" s="33"/>
      <c r="BN1320" s="33"/>
      <c r="BO1320" s="33"/>
      <c r="BP1320" s="33"/>
      <c r="BQ1320" s="33"/>
      <c r="BR1320" s="33"/>
      <c r="BS1320" s="33"/>
      <c r="BT1320" s="33"/>
      <c r="BU1320" s="33"/>
      <c r="BV1320" s="33"/>
      <c r="BW1320" s="33"/>
      <c r="BX1320" s="33"/>
      <c r="BY1320" s="33"/>
    </row>
    <row r="1321" spans="1:77" s="35" customFormat="1" ht="15" outlineLevel="1">
      <c r="A1321" s="776"/>
      <c r="B1321" s="776"/>
      <c r="C1321" s="22" t="s">
        <v>635</v>
      </c>
      <c r="D1321"/>
      <c r="E1321" s="22" t="s">
        <v>639</v>
      </c>
      <c r="F1321" s="80"/>
      <c r="G1321" s="33"/>
      <c r="H1321" s="33"/>
      <c r="I1321" s="33"/>
      <c r="J1321" s="33"/>
      <c r="K1321" s="33"/>
      <c r="L1321" s="33"/>
      <c r="M1321" s="33"/>
      <c r="N1321" s="33"/>
      <c r="O1321" s="33"/>
      <c r="P1321" s="33"/>
      <c r="Q1321" s="33"/>
      <c r="R1321" s="33"/>
      <c r="S1321" s="33"/>
      <c r="T1321" s="33"/>
      <c r="U1321" s="33"/>
      <c r="V1321" s="33"/>
      <c r="W1321" s="33"/>
      <c r="X1321" s="33"/>
      <c r="Y1321" s="33"/>
      <c r="Z1321" s="33"/>
      <c r="AA1321" s="33"/>
      <c r="AB1321" s="33"/>
      <c r="AC1321" s="33"/>
      <c r="AD1321" s="33"/>
      <c r="AE1321" s="33"/>
      <c r="AF1321" s="33"/>
      <c r="AG1321" s="33"/>
      <c r="AH1321" s="33"/>
      <c r="AI1321" s="33"/>
      <c r="AJ1321" s="33"/>
      <c r="AK1321" s="33"/>
      <c r="AL1321" s="33"/>
      <c r="AM1321" s="33"/>
      <c r="AN1321" s="33"/>
      <c r="AO1321" s="33"/>
      <c r="AP1321" s="33"/>
      <c r="AQ1321" s="33"/>
      <c r="AR1321" s="33"/>
      <c r="AS1321" s="33"/>
      <c r="AT1321" s="33"/>
      <c r="AU1321" s="33"/>
      <c r="AV1321" s="33"/>
      <c r="AW1321" s="33"/>
      <c r="AX1321" s="33"/>
      <c r="AY1321" s="33"/>
      <c r="AZ1321" s="33"/>
      <c r="BA1321" s="33"/>
      <c r="BB1321" s="33"/>
      <c r="BC1321" s="33"/>
      <c r="BD1321" s="33"/>
      <c r="BE1321" s="33"/>
      <c r="BF1321" s="33"/>
      <c r="BG1321" s="33"/>
      <c r="BH1321" s="33"/>
      <c r="BI1321" s="33"/>
      <c r="BJ1321" s="33"/>
      <c r="BK1321" s="33"/>
      <c r="BL1321" s="33"/>
      <c r="BM1321" s="33"/>
      <c r="BN1321" s="33"/>
      <c r="BO1321" s="33"/>
      <c r="BP1321" s="33"/>
      <c r="BQ1321" s="33"/>
      <c r="BR1321" s="33"/>
      <c r="BS1321" s="33"/>
      <c r="BT1321" s="33"/>
      <c r="BU1321" s="33"/>
      <c r="BV1321" s="33"/>
      <c r="BW1321" s="33"/>
      <c r="BX1321" s="33"/>
      <c r="BY1321" s="33"/>
    </row>
    <row r="1322" spans="1:77" s="35" customFormat="1" outlineLevel="1">
      <c r="A1322" s="776"/>
      <c r="B1322" s="776"/>
      <c r="C1322" s="33" t="str">
        <f>+C1310</f>
        <v>Yes</v>
      </c>
      <c r="D1322" s="33"/>
      <c r="E1322" t="str">
        <f>+E1310</f>
        <v>Fuel Production - CAPEX</v>
      </c>
      <c r="F1322" s="104" t="s">
        <v>640</v>
      </c>
      <c r="G1322" s="33"/>
      <c r="H1322" s="33" cm="1">
        <f t="array" ref="H1322">+IF($C1310="Yes",_xlfn.XLOOKUP(Assumptions!$G$14&amp;$E1310,Data_tables!$AZ$5:$AZ$620&amp;Data_tables!$BA$5:$BA$620,Data_tables!$BD$5:$BD$620))*H75</f>
        <v>0</v>
      </c>
      <c r="I1322" s="33" cm="1">
        <f t="array" ref="I1322">+IF($C1310="Yes",_xlfn.XLOOKUP(Assumptions!$G$14&amp;$E1310,Data_tables!$AZ$5:$AZ$620&amp;Data_tables!$BA$5:$BA$620,Data_tables!$BD$5:$BD$620))*I75</f>
        <v>0</v>
      </c>
      <c r="J1322" s="33" cm="1">
        <f t="array" ref="J1322">+IF($C1310="Yes",_xlfn.XLOOKUP(Assumptions!$G$14&amp;$E1310,Data_tables!$AZ$5:$AZ$620&amp;Data_tables!$BA$5:$BA$620,Data_tables!$BD$5:$BD$620))*J75</f>
        <v>0</v>
      </c>
      <c r="K1322" s="33" cm="1">
        <f t="array" ref="K1322">+IF($C1310="Yes",_xlfn.XLOOKUP(Assumptions!$G$14&amp;$E1310,Data_tables!$AZ$5:$AZ$620&amp;Data_tables!$BA$5:$BA$620,Data_tables!$BD$5:$BD$620))*K75</f>
        <v>0</v>
      </c>
      <c r="L1322" s="33" cm="1">
        <f t="array" ref="L1322">+IF($C1310="Yes",_xlfn.XLOOKUP(Assumptions!$G$14&amp;$E1310,Data_tables!$AZ$5:$AZ$620&amp;Data_tables!$BA$5:$BA$620,Data_tables!$BD$5:$BD$620))*L75</f>
        <v>0</v>
      </c>
      <c r="M1322" s="33" cm="1">
        <f t="array" ref="M1322">+IF($C1310="Yes",_xlfn.XLOOKUP(Assumptions!$G$14&amp;$E1310,Data_tables!$AZ$5:$AZ$620&amp;Data_tables!$BA$5:$BA$620,Data_tables!$BD$5:$BD$620))*M75</f>
        <v>0</v>
      </c>
      <c r="N1322" s="33" cm="1">
        <f t="array" ref="N1322">+IF($C1310="Yes",_xlfn.XLOOKUP(Assumptions!$G$14&amp;$E1310,Data_tables!$AZ$5:$AZ$620&amp;Data_tables!$BA$5:$BA$620,Data_tables!$BD$5:$BD$620))*N75</f>
        <v>0</v>
      </c>
      <c r="O1322" s="33" cm="1">
        <f t="array" ref="O1322">+IF($C1310="Yes",_xlfn.XLOOKUP(Assumptions!$G$14&amp;$E1310,Data_tables!$AZ$5:$AZ$620&amp;Data_tables!$BA$5:$BA$620,Data_tables!$BD$5:$BD$620))*O75</f>
        <v>0</v>
      </c>
      <c r="P1322" s="33" cm="1">
        <f t="array" ref="P1322">+IF($C1310="Yes",_xlfn.XLOOKUP(Assumptions!$G$14&amp;$E1310,Data_tables!$AZ$5:$AZ$620&amp;Data_tables!$BA$5:$BA$620,Data_tables!$BD$5:$BD$620))*P75</f>
        <v>0</v>
      </c>
      <c r="Q1322" s="33" cm="1">
        <f t="array" ref="Q1322">+IF($C1310="Yes",_xlfn.XLOOKUP(Assumptions!$G$14&amp;$E1310,Data_tables!$AZ$5:$AZ$620&amp;Data_tables!$BA$5:$BA$620,Data_tables!$BD$5:$BD$620))*Q75</f>
        <v>0</v>
      </c>
      <c r="R1322" s="33" cm="1">
        <f t="array" ref="R1322">+IF($C1310="Yes",_xlfn.XLOOKUP(Assumptions!$G$14&amp;$E1310,Data_tables!$AZ$5:$AZ$620&amp;Data_tables!$BA$5:$BA$620,Data_tables!$BD$5:$BD$620))*R75</f>
        <v>0</v>
      </c>
      <c r="S1322" s="33" cm="1">
        <f t="array" ref="S1322">+IF($C1310="Yes",_xlfn.XLOOKUP(Assumptions!$G$14&amp;$E1310,Data_tables!$AZ$5:$AZ$620&amp;Data_tables!$BA$5:$BA$620,Data_tables!$BD$5:$BD$620))*S75</f>
        <v>0</v>
      </c>
      <c r="T1322" s="33" cm="1">
        <f t="array" ref="T1322">+IF($C1310="Yes",_xlfn.XLOOKUP(Assumptions!$G$14&amp;$E1310,Data_tables!$AZ$5:$AZ$620&amp;Data_tables!$BA$5:$BA$620,Data_tables!$BD$5:$BD$620))*T75</f>
        <v>0</v>
      </c>
      <c r="U1322" s="33" cm="1">
        <f t="array" ref="U1322">+IF($C1310="Yes",_xlfn.XLOOKUP(Assumptions!$G$14&amp;$E1310,Data_tables!$AZ$5:$AZ$620&amp;Data_tables!$BA$5:$BA$620,Data_tables!$BD$5:$BD$620))*U75</f>
        <v>0</v>
      </c>
      <c r="V1322" s="33" cm="1">
        <f t="array" ref="V1322">+IF($C1310="Yes",_xlfn.XLOOKUP(Assumptions!$G$14&amp;$E1310,Data_tables!$AZ$5:$AZ$620&amp;Data_tables!$BA$5:$BA$620,Data_tables!$BD$5:$BD$620))*V75</f>
        <v>0</v>
      </c>
      <c r="W1322" s="33" cm="1">
        <f t="array" ref="W1322">+IF($C1310="Yes",_xlfn.XLOOKUP(Assumptions!$G$14&amp;$E1310,Data_tables!$AZ$5:$AZ$620&amp;Data_tables!$BA$5:$BA$620,Data_tables!$BD$5:$BD$620))*W75</f>
        <v>0</v>
      </c>
      <c r="X1322" s="33" cm="1">
        <f t="array" ref="X1322">+IF($C1310="Yes",_xlfn.XLOOKUP(Assumptions!$G$14&amp;$E1310,Data_tables!$AZ$5:$AZ$620&amp;Data_tables!$BA$5:$BA$620,Data_tables!$BD$5:$BD$620))*X75</f>
        <v>0</v>
      </c>
      <c r="Y1322" s="33" cm="1">
        <f t="array" ref="Y1322">+IF($C1310="Yes",_xlfn.XLOOKUP(Assumptions!$G$14&amp;$E1310,Data_tables!$AZ$5:$AZ$620&amp;Data_tables!$BA$5:$BA$620,Data_tables!$BD$5:$BD$620))*Y75</f>
        <v>0</v>
      </c>
      <c r="Z1322" s="33" cm="1">
        <f t="array" ref="Z1322">+IF($C1310="Yes",_xlfn.XLOOKUP(Assumptions!$G$14&amp;$E1310,Data_tables!$AZ$5:$AZ$620&amp;Data_tables!$BA$5:$BA$620,Data_tables!$BD$5:$BD$620))*Z75</f>
        <v>0</v>
      </c>
      <c r="AA1322" s="33" cm="1">
        <f t="array" ref="AA1322">+IF($C1310="Yes",_xlfn.XLOOKUP(Assumptions!$G$14&amp;$E1310,Data_tables!$AZ$5:$AZ$620&amp;Data_tables!$BA$5:$BA$620,Data_tables!$BD$5:$BD$620))*AA75</f>
        <v>0</v>
      </c>
      <c r="AB1322" s="33" cm="1">
        <f t="array" ref="AB1322">+IF($C1310="Yes",_xlfn.XLOOKUP(Assumptions!$G$14&amp;$E1310,Data_tables!$AZ$5:$AZ$620&amp;Data_tables!$BA$5:$BA$620,Data_tables!$BD$5:$BD$620))*AB75</f>
        <v>0</v>
      </c>
      <c r="AC1322" s="33" cm="1">
        <f t="array" ref="AC1322">+IF($C1310="Yes",_xlfn.XLOOKUP(Assumptions!$G$14&amp;$E1310,Data_tables!$AZ$5:$AZ$620&amp;Data_tables!$BA$5:$BA$620,Data_tables!$BD$5:$BD$620))*AC75</f>
        <v>0</v>
      </c>
      <c r="AD1322" s="33" cm="1">
        <f t="array" ref="AD1322">+IF($C1310="Yes",_xlfn.XLOOKUP(Assumptions!$G$14&amp;$E1310,Data_tables!$AZ$5:$AZ$620&amp;Data_tables!$BA$5:$BA$620,Data_tables!$BD$5:$BD$620))*AD75</f>
        <v>0</v>
      </c>
      <c r="AE1322" s="33" cm="1">
        <f t="array" ref="AE1322">+IF($C1310="Yes",_xlfn.XLOOKUP(Assumptions!$G$14&amp;$E1310,Data_tables!$AZ$5:$AZ$620&amp;Data_tables!$BA$5:$BA$620,Data_tables!$BD$5:$BD$620))*AE75</f>
        <v>0</v>
      </c>
      <c r="AF1322" s="33" cm="1">
        <f t="array" ref="AF1322">+IF($C1310="Yes",_xlfn.XLOOKUP(Assumptions!$G$14&amp;$E1310,Data_tables!$AZ$5:$AZ$620&amp;Data_tables!$BA$5:$BA$620,Data_tables!$BD$5:$BD$620))*AF75</f>
        <v>0</v>
      </c>
      <c r="AG1322" s="33" cm="1">
        <f t="array" ref="AG1322">+IF($C1310="Yes",_xlfn.XLOOKUP(Assumptions!$G$14&amp;$E1310,Data_tables!$AZ$5:$AZ$620&amp;Data_tables!$BA$5:$BA$620,Data_tables!$BD$5:$BD$620))*AG75</f>
        <v>0</v>
      </c>
      <c r="AH1322" s="33" cm="1">
        <f t="array" ref="AH1322">+IF($C1310="Yes",_xlfn.XLOOKUP(Assumptions!$G$14&amp;$E1310,Data_tables!$AZ$5:$AZ$620&amp;Data_tables!$BA$5:$BA$620,Data_tables!$BD$5:$BD$620))*AH75</f>
        <v>0</v>
      </c>
      <c r="AI1322" s="33" cm="1">
        <f t="array" ref="AI1322">+IF($C1310="Yes",_xlfn.XLOOKUP(Assumptions!$G$14&amp;$E1310,Data_tables!$AZ$5:$AZ$620&amp;Data_tables!$BA$5:$BA$620,Data_tables!$BD$5:$BD$620))*AI75</f>
        <v>0</v>
      </c>
      <c r="AJ1322" s="33" cm="1">
        <f t="array" ref="AJ1322">+IF($C1310="Yes",_xlfn.XLOOKUP(Assumptions!$G$14&amp;$E1310,Data_tables!$AZ$5:$AZ$620&amp;Data_tables!$BA$5:$BA$620,Data_tables!$BD$5:$BD$620))*AJ75</f>
        <v>0</v>
      </c>
      <c r="AK1322" s="33" cm="1">
        <f t="array" ref="AK1322">+IF($C1310="Yes",_xlfn.XLOOKUP(Assumptions!$G$14&amp;$E1310,Data_tables!$AZ$5:$AZ$620&amp;Data_tables!$BA$5:$BA$620,Data_tables!$BD$5:$BD$620))*AK75</f>
        <v>0</v>
      </c>
      <c r="AL1322" s="33" cm="1">
        <f t="array" ref="AL1322">+IF($C1310="Yes",_xlfn.XLOOKUP(Assumptions!$G$14&amp;$E1310,Data_tables!$AZ$5:$AZ$620&amp;Data_tables!$BA$5:$BA$620,Data_tables!$BD$5:$BD$620))*AL75</f>
        <v>0</v>
      </c>
      <c r="AM1322" s="33" cm="1">
        <f t="array" ref="AM1322">+IF($C1310="Yes",_xlfn.XLOOKUP(Assumptions!$G$14&amp;$E1310,Data_tables!$AZ$5:$AZ$620&amp;Data_tables!$BA$5:$BA$620,Data_tables!$BD$5:$BD$620))*AM75</f>
        <v>0</v>
      </c>
      <c r="AN1322" s="33" cm="1">
        <f t="array" ref="AN1322">+IF($C1310="Yes",_xlfn.XLOOKUP(Assumptions!$G$14&amp;$E1310,Data_tables!$AZ$5:$AZ$620&amp;Data_tables!$BA$5:$BA$620,Data_tables!$BD$5:$BD$620))*AN75</f>
        <v>0</v>
      </c>
      <c r="AO1322" s="33" cm="1">
        <f t="array" ref="AO1322">+IF($C1310="Yes",_xlfn.XLOOKUP(Assumptions!$G$14&amp;$E1310,Data_tables!$AZ$5:$AZ$620&amp;Data_tables!$BA$5:$BA$620,Data_tables!$BD$5:$BD$620))*AO75</f>
        <v>0</v>
      </c>
      <c r="AP1322" s="33" cm="1">
        <f t="array" ref="AP1322">+IF($C1310="Yes",_xlfn.XLOOKUP(Assumptions!$G$14&amp;$E1310,Data_tables!$AZ$5:$AZ$620&amp;Data_tables!$BA$5:$BA$620,Data_tables!$BD$5:$BD$620))*AP75</f>
        <v>0</v>
      </c>
      <c r="AQ1322" s="33" cm="1">
        <f t="array" ref="AQ1322">+IF($C1310="Yes",_xlfn.XLOOKUP(Assumptions!$G$14&amp;$E1310,Data_tables!$AZ$5:$AZ$620&amp;Data_tables!$BA$5:$BA$620,Data_tables!$BD$5:$BD$620))*AQ75</f>
        <v>0</v>
      </c>
      <c r="AR1322" s="33" cm="1">
        <f t="array" ref="AR1322">+IF($C1310="Yes",_xlfn.XLOOKUP(Assumptions!$G$14&amp;$E1310,Data_tables!$AZ$5:$AZ$620&amp;Data_tables!$BA$5:$BA$620,Data_tables!$BD$5:$BD$620))*AR75</f>
        <v>0</v>
      </c>
      <c r="AS1322" s="33" cm="1">
        <f t="array" ref="AS1322">+IF($C1310="Yes",_xlfn.XLOOKUP(Assumptions!$G$14&amp;$E1310,Data_tables!$AZ$5:$AZ$620&amp;Data_tables!$BA$5:$BA$620,Data_tables!$BD$5:$BD$620))*AS75</f>
        <v>0</v>
      </c>
      <c r="AT1322" s="33" cm="1">
        <f t="array" ref="AT1322">+IF($C1310="Yes",_xlfn.XLOOKUP(Assumptions!$G$14&amp;$E1310,Data_tables!$AZ$5:$AZ$620&amp;Data_tables!$BA$5:$BA$620,Data_tables!$BD$5:$BD$620))*AT75</f>
        <v>0</v>
      </c>
      <c r="AU1322" s="33" cm="1">
        <f t="array" ref="AU1322">+IF($C1310="Yes",_xlfn.XLOOKUP(Assumptions!$G$14&amp;$E1310,Data_tables!$AZ$5:$AZ$620&amp;Data_tables!$BA$5:$BA$620,Data_tables!$BD$5:$BD$620))*AU75</f>
        <v>0</v>
      </c>
      <c r="AV1322" s="33" cm="1">
        <f t="array" ref="AV1322">+IF($C1310="Yes",_xlfn.XLOOKUP(Assumptions!$G$14&amp;$E1310,Data_tables!$AZ$5:$AZ$620&amp;Data_tables!$BA$5:$BA$620,Data_tables!$BD$5:$BD$620))*AV75</f>
        <v>0</v>
      </c>
      <c r="AW1322" s="33" cm="1">
        <f t="array" ref="AW1322">+IF($C1310="Yes",_xlfn.XLOOKUP(Assumptions!$G$14&amp;$E1310,Data_tables!$AZ$5:$AZ$620&amp;Data_tables!$BA$5:$BA$620,Data_tables!$BD$5:$BD$620))*AW75</f>
        <v>0</v>
      </c>
      <c r="AX1322" s="33" cm="1">
        <f t="array" ref="AX1322">+IF($C1310="Yes",_xlfn.XLOOKUP(Assumptions!$G$14&amp;$E1310,Data_tables!$AZ$5:$AZ$620&amp;Data_tables!$BA$5:$BA$620,Data_tables!$BD$5:$BD$620))*AX75</f>
        <v>0</v>
      </c>
      <c r="AY1322" s="33" cm="1">
        <f t="array" ref="AY1322">+IF($C1310="Yes",_xlfn.XLOOKUP(Assumptions!$G$14&amp;$E1310,Data_tables!$AZ$5:$AZ$620&amp;Data_tables!$BA$5:$BA$620,Data_tables!$BD$5:$BD$620))*AY75</f>
        <v>0</v>
      </c>
      <c r="AZ1322" s="33" cm="1">
        <f t="array" ref="AZ1322">+IF($C1310="Yes",_xlfn.XLOOKUP(Assumptions!$G$14&amp;$E1310,Data_tables!$AZ$5:$AZ$620&amp;Data_tables!$BA$5:$BA$620,Data_tables!$BD$5:$BD$620))*AZ75</f>
        <v>0</v>
      </c>
      <c r="BA1322" s="33" cm="1">
        <f t="array" ref="BA1322">+IF($C1310="Yes",_xlfn.XLOOKUP(Assumptions!$G$14&amp;$E1310,Data_tables!$AZ$5:$AZ$620&amp;Data_tables!$BA$5:$BA$620,Data_tables!$BD$5:$BD$620))*BA75</f>
        <v>0</v>
      </c>
      <c r="BB1322" s="33" cm="1">
        <f t="array" ref="BB1322">+IF($C1310="Yes",_xlfn.XLOOKUP(Assumptions!$G$14&amp;$E1310,Data_tables!$AZ$5:$AZ$620&amp;Data_tables!$BA$5:$BA$620,Data_tables!$BD$5:$BD$620))*BB75</f>
        <v>0</v>
      </c>
      <c r="BC1322" s="33" cm="1">
        <f t="array" ref="BC1322">+IF($C1310="Yes",_xlfn.XLOOKUP(Assumptions!$G$14&amp;$E1310,Data_tables!$AZ$5:$AZ$620&amp;Data_tables!$BA$5:$BA$620,Data_tables!$BD$5:$BD$620))*BC75</f>
        <v>0</v>
      </c>
      <c r="BD1322" s="33" cm="1">
        <f t="array" ref="BD1322">+IF($C1310="Yes",_xlfn.XLOOKUP(Assumptions!$G$14&amp;$E1310,Data_tables!$AZ$5:$AZ$620&amp;Data_tables!$BA$5:$BA$620,Data_tables!$BD$5:$BD$620))*BD75</f>
        <v>0</v>
      </c>
      <c r="BE1322" s="33" cm="1">
        <f t="array" ref="BE1322">+IF($C1310="Yes",_xlfn.XLOOKUP(Assumptions!$G$14&amp;$E1310,Data_tables!$AZ$5:$AZ$620&amp;Data_tables!$BA$5:$BA$620,Data_tables!$BD$5:$BD$620))*BE75</f>
        <v>0</v>
      </c>
      <c r="BF1322" s="33" cm="1">
        <f t="array" ref="BF1322">+IF($C1310="Yes",_xlfn.XLOOKUP(Assumptions!$G$14&amp;$E1310,Data_tables!$AZ$5:$AZ$620&amp;Data_tables!$BA$5:$BA$620,Data_tables!$BD$5:$BD$620))*BF75</f>
        <v>0</v>
      </c>
      <c r="BG1322" s="33" cm="1">
        <f t="array" ref="BG1322">+IF($C1310="Yes",_xlfn.XLOOKUP(Assumptions!$G$14&amp;$E1310,Data_tables!$AZ$5:$AZ$620&amp;Data_tables!$BA$5:$BA$620,Data_tables!$BD$5:$BD$620))*BG75</f>
        <v>0</v>
      </c>
      <c r="BH1322" s="33" cm="1">
        <f t="array" ref="BH1322">+IF($C1310="Yes",_xlfn.XLOOKUP(Assumptions!$G$14&amp;$E1310,Data_tables!$AZ$5:$AZ$620&amp;Data_tables!$BA$5:$BA$620,Data_tables!$BD$5:$BD$620))*BH75</f>
        <v>0</v>
      </c>
      <c r="BI1322" s="33" cm="1">
        <f t="array" ref="BI1322">+IF($C1310="Yes",_xlfn.XLOOKUP(Assumptions!$G$14&amp;$E1310,Data_tables!$AZ$5:$AZ$620&amp;Data_tables!$BA$5:$BA$620,Data_tables!$BD$5:$BD$620))*BI75</f>
        <v>0</v>
      </c>
      <c r="BJ1322" s="33" cm="1">
        <f t="array" ref="BJ1322">+IF($C1310="Yes",_xlfn.XLOOKUP(Assumptions!$G$14&amp;$E1310,Data_tables!$AZ$5:$AZ$620&amp;Data_tables!$BA$5:$BA$620,Data_tables!$BD$5:$BD$620))*BJ75</f>
        <v>0</v>
      </c>
      <c r="BK1322" s="33" cm="1">
        <f t="array" ref="BK1322">+IF($C1310="Yes",_xlfn.XLOOKUP(Assumptions!$G$14&amp;$E1310,Data_tables!$AZ$5:$AZ$620&amp;Data_tables!$BA$5:$BA$620,Data_tables!$BD$5:$BD$620))*BK75</f>
        <v>0</v>
      </c>
      <c r="BL1322" s="33" cm="1">
        <f t="array" ref="BL1322">+IF($C1310="Yes",_xlfn.XLOOKUP(Assumptions!$G$14&amp;$E1310,Data_tables!$AZ$5:$AZ$620&amp;Data_tables!$BA$5:$BA$620,Data_tables!$BD$5:$BD$620))*BL75</f>
        <v>0</v>
      </c>
      <c r="BM1322" s="33" cm="1">
        <f t="array" ref="BM1322">+IF($C1310="Yes",_xlfn.XLOOKUP(Assumptions!$G$14&amp;$E1310,Data_tables!$AZ$5:$AZ$620&amp;Data_tables!$BA$5:$BA$620,Data_tables!$BD$5:$BD$620))*BM75</f>
        <v>0</v>
      </c>
      <c r="BN1322" s="33" cm="1">
        <f t="array" ref="BN1322">+IF($C1310="Yes",_xlfn.XLOOKUP(Assumptions!$G$14&amp;$E1310,Data_tables!$AZ$5:$AZ$620&amp;Data_tables!$BA$5:$BA$620,Data_tables!$BD$5:$BD$620))*BN75</f>
        <v>0</v>
      </c>
      <c r="BO1322" s="33" cm="1">
        <f t="array" ref="BO1322">+IF($C1310="Yes",_xlfn.XLOOKUP(Assumptions!$G$14&amp;$E1310,Data_tables!$AZ$5:$AZ$620&amp;Data_tables!$BA$5:$BA$620,Data_tables!$BD$5:$BD$620))*BO75</f>
        <v>0</v>
      </c>
      <c r="BP1322" s="33" cm="1">
        <f t="array" ref="BP1322">+IF($C1310="Yes",_xlfn.XLOOKUP(Assumptions!$G$14&amp;$E1310,Data_tables!$AZ$5:$AZ$620&amp;Data_tables!$BA$5:$BA$620,Data_tables!$BD$5:$BD$620))*BP75</f>
        <v>0</v>
      </c>
      <c r="BQ1322" s="33" cm="1">
        <f t="array" ref="BQ1322">+IF($C1310="Yes",_xlfn.XLOOKUP(Assumptions!$G$14&amp;$E1310,Data_tables!$AZ$5:$AZ$620&amp;Data_tables!$BA$5:$BA$620,Data_tables!$BD$5:$BD$620))*BQ75</f>
        <v>0</v>
      </c>
      <c r="BR1322" s="33" cm="1">
        <f t="array" ref="BR1322">+IF($C1310="Yes",_xlfn.XLOOKUP(Assumptions!$G$14&amp;$E1310,Data_tables!$AZ$5:$AZ$620&amp;Data_tables!$BA$5:$BA$620,Data_tables!$BD$5:$BD$620))*BR75</f>
        <v>0</v>
      </c>
      <c r="BS1322" s="33" cm="1">
        <f t="array" ref="BS1322">+IF($C1310="Yes",_xlfn.XLOOKUP(Assumptions!$G$14&amp;$E1310,Data_tables!$AZ$5:$AZ$620&amp;Data_tables!$BA$5:$BA$620,Data_tables!$BD$5:$BD$620))*BS75</f>
        <v>0</v>
      </c>
      <c r="BT1322" s="33" cm="1">
        <f t="array" ref="BT1322">+IF($C1310="Yes",_xlfn.XLOOKUP(Assumptions!$G$14&amp;$E1310,Data_tables!$AZ$5:$AZ$620&amp;Data_tables!$BA$5:$BA$620,Data_tables!$BD$5:$BD$620))*BT75</f>
        <v>0</v>
      </c>
      <c r="BU1322" s="33" cm="1">
        <f t="array" ref="BU1322">+IF($C1310="Yes",_xlfn.XLOOKUP(Assumptions!$G$14&amp;$E1310,Data_tables!$AZ$5:$AZ$620&amp;Data_tables!$BA$5:$BA$620,Data_tables!$BD$5:$BD$620))*BU75</f>
        <v>0</v>
      </c>
      <c r="BV1322" s="33" cm="1">
        <f t="array" ref="BV1322">+IF($C1310="Yes",_xlfn.XLOOKUP(Assumptions!$G$14&amp;$E1310,Data_tables!$AZ$5:$AZ$620&amp;Data_tables!$BA$5:$BA$620,Data_tables!$BD$5:$BD$620))*BV75</f>
        <v>0</v>
      </c>
      <c r="BW1322" s="33" cm="1">
        <f t="array" ref="BW1322">+IF($C1310="Yes",_xlfn.XLOOKUP(Assumptions!$G$14&amp;$E1310,Data_tables!$AZ$5:$AZ$620&amp;Data_tables!$BA$5:$BA$620,Data_tables!$BD$5:$BD$620))*BW75</f>
        <v>0</v>
      </c>
      <c r="BX1322" s="33" cm="1">
        <f t="array" ref="BX1322">+IF($C1310="Yes",_xlfn.XLOOKUP(Assumptions!$G$14&amp;$E1310,Data_tables!$AZ$5:$AZ$620&amp;Data_tables!$BA$5:$BA$620,Data_tables!$BD$5:$BD$620))*BX75</f>
        <v>0</v>
      </c>
      <c r="BY1322" s="33" cm="1">
        <f t="array" ref="BY1322">+IF($C1310="Yes",_xlfn.XLOOKUP(Assumptions!$G$14&amp;$E1310,Data_tables!$AZ$5:$AZ$620&amp;Data_tables!$BA$5:$BA$620,Data_tables!$BD$5:$BD$620))*BY75</f>
        <v>0</v>
      </c>
    </row>
    <row r="1323" spans="1:77" s="35" customFormat="1" outlineLevel="1">
      <c r="A1323" s="776"/>
      <c r="B1323" s="776"/>
      <c r="C1323" s="33" t="str">
        <f t="shared" ref="C1323:C1329" si="2501">+C1311</f>
        <v>Yes</v>
      </c>
      <c r="D1323" s="33"/>
      <c r="E1323" t="s">
        <v>406</v>
      </c>
      <c r="F1323" s="104" t="s">
        <v>640</v>
      </c>
      <c r="G1323" s="33"/>
      <c r="H1323" s="33" cm="1">
        <f t="array" aca="1" ref="H1323" ca="1">+IF($C1311="Yes",_xlfn.XLOOKUP(Assumptions!$G$14&amp;$E1311,Data_tables!$AZ$5:$AZ$620&amp;Data_tables!$BA$5:$BA$620,Data_tables!$BD$5:$BD$620))*H84</f>
        <v>0</v>
      </c>
      <c r="I1323" s="33" cm="1">
        <f t="array" aca="1" ref="I1323" ca="1">+IF($C1311="Yes",_xlfn.XLOOKUP(Assumptions!$G$14&amp;$E1311,Data_tables!$AZ$5:$AZ$620&amp;Data_tables!$BA$5:$BA$620,Data_tables!$BD$5:$BD$620))*I84</f>
        <v>0</v>
      </c>
      <c r="J1323" s="33" cm="1">
        <f t="array" aca="1" ref="J1323" ca="1">+IF($C1311="Yes",_xlfn.XLOOKUP(Assumptions!$G$14&amp;$E1311,Data_tables!$AZ$5:$AZ$620&amp;Data_tables!$BA$5:$BA$620,Data_tables!$BD$5:$BD$620))*J84</f>
        <v>0</v>
      </c>
      <c r="K1323" s="33" cm="1">
        <f t="array" ref="K1323">+IF($C1311="Yes",_xlfn.XLOOKUP(Assumptions!$G$14&amp;$E1311,Data_tables!$AZ$5:$AZ$620&amp;Data_tables!$BA$5:$BA$620,Data_tables!$BD$5:$BD$620))*K84</f>
        <v>0</v>
      </c>
      <c r="L1323" s="33" cm="1">
        <f t="array" ref="L1323">+IF($C1311="Yes",_xlfn.XLOOKUP(Assumptions!$G$14&amp;$E1311,Data_tables!$AZ$5:$AZ$620&amp;Data_tables!$BA$5:$BA$620,Data_tables!$BD$5:$BD$620))*L84</f>
        <v>0</v>
      </c>
      <c r="M1323" s="33" cm="1">
        <f t="array" ref="M1323">+IF($C1311="Yes",_xlfn.XLOOKUP(Assumptions!$G$14&amp;$E1311,Data_tables!$AZ$5:$AZ$620&amp;Data_tables!$BA$5:$BA$620,Data_tables!$BD$5:$BD$620))*M84</f>
        <v>0</v>
      </c>
      <c r="N1323" s="33" cm="1">
        <f t="array" ref="N1323">+IF($C1311="Yes",_xlfn.XLOOKUP(Assumptions!$G$14&amp;$E1311,Data_tables!$AZ$5:$AZ$620&amp;Data_tables!$BA$5:$BA$620,Data_tables!$BD$5:$BD$620))*N84</f>
        <v>0</v>
      </c>
      <c r="O1323" s="33" cm="1">
        <f t="array" ref="O1323">+IF($C1311="Yes",_xlfn.XLOOKUP(Assumptions!$G$14&amp;$E1311,Data_tables!$AZ$5:$AZ$620&amp;Data_tables!$BA$5:$BA$620,Data_tables!$BD$5:$BD$620))*O84</f>
        <v>0</v>
      </c>
      <c r="P1323" s="33" cm="1">
        <f t="array" ref="P1323">+IF($C1311="Yes",_xlfn.XLOOKUP(Assumptions!$G$14&amp;$E1311,Data_tables!$AZ$5:$AZ$620&amp;Data_tables!$BA$5:$BA$620,Data_tables!$BD$5:$BD$620))*P84</f>
        <v>0</v>
      </c>
      <c r="Q1323" s="33" cm="1">
        <f t="array" ref="Q1323">+IF($C1311="Yes",_xlfn.XLOOKUP(Assumptions!$G$14&amp;$E1311,Data_tables!$AZ$5:$AZ$620&amp;Data_tables!$BA$5:$BA$620,Data_tables!$BD$5:$BD$620))*Q84</f>
        <v>0</v>
      </c>
      <c r="R1323" s="33" cm="1">
        <f t="array" ref="R1323">+IF($C1311="Yes",_xlfn.XLOOKUP(Assumptions!$G$14&amp;$E1311,Data_tables!$AZ$5:$AZ$620&amp;Data_tables!$BA$5:$BA$620,Data_tables!$BD$5:$BD$620))*R84</f>
        <v>0</v>
      </c>
      <c r="S1323" s="33" cm="1">
        <f t="array" ref="S1323">+IF($C1311="Yes",_xlfn.XLOOKUP(Assumptions!$G$14&amp;$E1311,Data_tables!$AZ$5:$AZ$620&amp;Data_tables!$BA$5:$BA$620,Data_tables!$BD$5:$BD$620))*S84</f>
        <v>0</v>
      </c>
      <c r="T1323" s="33" cm="1">
        <f t="array" ref="T1323">+IF($C1311="Yes",_xlfn.XLOOKUP(Assumptions!$G$14&amp;$E1311,Data_tables!$AZ$5:$AZ$620&amp;Data_tables!$BA$5:$BA$620,Data_tables!$BD$5:$BD$620))*T84</f>
        <v>0</v>
      </c>
      <c r="U1323" s="33" cm="1">
        <f t="array" ref="U1323">+IF($C1311="Yes",_xlfn.XLOOKUP(Assumptions!$G$14&amp;$E1311,Data_tables!$AZ$5:$AZ$620&amp;Data_tables!$BA$5:$BA$620,Data_tables!$BD$5:$BD$620))*U84</f>
        <v>0</v>
      </c>
      <c r="V1323" s="33" cm="1">
        <f t="array" ref="V1323">+IF($C1311="Yes",_xlfn.XLOOKUP(Assumptions!$G$14&amp;$E1311,Data_tables!$AZ$5:$AZ$620&amp;Data_tables!$BA$5:$BA$620,Data_tables!$BD$5:$BD$620))*V84</f>
        <v>0</v>
      </c>
      <c r="W1323" s="33" cm="1">
        <f t="array" ref="W1323">+IF($C1311="Yes",_xlfn.XLOOKUP(Assumptions!$G$14&amp;$E1311,Data_tables!$AZ$5:$AZ$620&amp;Data_tables!$BA$5:$BA$620,Data_tables!$BD$5:$BD$620))*W84</f>
        <v>0</v>
      </c>
      <c r="X1323" s="33" cm="1">
        <f t="array" ref="X1323">+IF($C1311="Yes",_xlfn.XLOOKUP(Assumptions!$G$14&amp;$E1311,Data_tables!$AZ$5:$AZ$620&amp;Data_tables!$BA$5:$BA$620,Data_tables!$BD$5:$BD$620))*X84</f>
        <v>0</v>
      </c>
      <c r="Y1323" s="33" cm="1">
        <f t="array" ref="Y1323">+IF($C1311="Yes",_xlfn.XLOOKUP(Assumptions!$G$14&amp;$E1311,Data_tables!$AZ$5:$AZ$620&amp;Data_tables!$BA$5:$BA$620,Data_tables!$BD$5:$BD$620))*Y84</f>
        <v>0</v>
      </c>
      <c r="Z1323" s="33" cm="1">
        <f t="array" aca="1" ref="Z1323" ca="1">+IF($C1311="Yes",_xlfn.XLOOKUP(Assumptions!$G$14&amp;$E1311,Data_tables!$AZ$5:$AZ$620&amp;Data_tables!$BA$5:$BA$620,Data_tables!$BD$5:$BD$620))*Z84</f>
        <v>0</v>
      </c>
      <c r="AA1323" s="33" cm="1">
        <f t="array" aca="1" ref="AA1323" ca="1">+IF($C1311="Yes",_xlfn.XLOOKUP(Assumptions!$G$14&amp;$E1311,Data_tables!$AZ$5:$AZ$620&amp;Data_tables!$BA$5:$BA$620,Data_tables!$BD$5:$BD$620))*AA84</f>
        <v>0</v>
      </c>
      <c r="AB1323" s="33" cm="1">
        <f t="array" aca="1" ref="AB1323" ca="1">+IF($C1311="Yes",_xlfn.XLOOKUP(Assumptions!$G$14&amp;$E1311,Data_tables!$AZ$5:$AZ$620&amp;Data_tables!$BA$5:$BA$620,Data_tables!$BD$5:$BD$620))*AB84</f>
        <v>0</v>
      </c>
      <c r="AC1323" s="33" cm="1">
        <f t="array" aca="1" ref="AC1323" ca="1">+IF($C1311="Yes",_xlfn.XLOOKUP(Assumptions!$G$14&amp;$E1311,Data_tables!$AZ$5:$AZ$620&amp;Data_tables!$BA$5:$BA$620,Data_tables!$BD$5:$BD$620))*AC84</f>
        <v>0</v>
      </c>
      <c r="AD1323" s="33" cm="1">
        <f t="array" aca="1" ref="AD1323" ca="1">+IF($C1311="Yes",_xlfn.XLOOKUP(Assumptions!$G$14&amp;$E1311,Data_tables!$AZ$5:$AZ$620&amp;Data_tables!$BA$5:$BA$620,Data_tables!$BD$5:$BD$620))*AD84</f>
        <v>0</v>
      </c>
      <c r="AE1323" s="33" cm="1">
        <f t="array" aca="1" ref="AE1323" ca="1">+IF($C1311="Yes",_xlfn.XLOOKUP(Assumptions!$G$14&amp;$E1311,Data_tables!$AZ$5:$AZ$620&amp;Data_tables!$BA$5:$BA$620,Data_tables!$BD$5:$BD$620))*AE84</f>
        <v>0</v>
      </c>
      <c r="AF1323" s="33" cm="1">
        <f t="array" aca="1" ref="AF1323" ca="1">+IF($C1311="Yes",_xlfn.XLOOKUP(Assumptions!$G$14&amp;$E1311,Data_tables!$AZ$5:$AZ$620&amp;Data_tables!$BA$5:$BA$620,Data_tables!$BD$5:$BD$620))*AF84</f>
        <v>0</v>
      </c>
      <c r="AG1323" s="33" cm="1">
        <f t="array" aca="1" ref="AG1323" ca="1">+IF($C1311="Yes",_xlfn.XLOOKUP(Assumptions!$G$14&amp;$E1311,Data_tables!$AZ$5:$AZ$620&amp;Data_tables!$BA$5:$BA$620,Data_tables!$BD$5:$BD$620))*AG84</f>
        <v>0</v>
      </c>
      <c r="AH1323" s="33" cm="1">
        <f t="array" aca="1" ref="AH1323" ca="1">+IF($C1311="Yes",_xlfn.XLOOKUP(Assumptions!$G$14&amp;$E1311,Data_tables!$AZ$5:$AZ$620&amp;Data_tables!$BA$5:$BA$620,Data_tables!$BD$5:$BD$620))*AH84</f>
        <v>0</v>
      </c>
      <c r="AI1323" s="33" cm="1">
        <f t="array" aca="1" ref="AI1323" ca="1">+IF($C1311="Yes",_xlfn.XLOOKUP(Assumptions!$G$14&amp;$E1311,Data_tables!$AZ$5:$AZ$620&amp;Data_tables!$BA$5:$BA$620,Data_tables!$BD$5:$BD$620))*AI84</f>
        <v>0</v>
      </c>
      <c r="AJ1323" s="33" cm="1">
        <f t="array" aca="1" ref="AJ1323" ca="1">+IF($C1311="Yes",_xlfn.XLOOKUP(Assumptions!$G$14&amp;$E1311,Data_tables!$AZ$5:$AZ$620&amp;Data_tables!$BA$5:$BA$620,Data_tables!$BD$5:$BD$620))*AJ84</f>
        <v>0</v>
      </c>
      <c r="AK1323" s="33" cm="1">
        <f t="array" aca="1" ref="AK1323" ca="1">+IF($C1311="Yes",_xlfn.XLOOKUP(Assumptions!$G$14&amp;$E1311,Data_tables!$AZ$5:$AZ$620&amp;Data_tables!$BA$5:$BA$620,Data_tables!$BD$5:$BD$620))*AK84</f>
        <v>0</v>
      </c>
      <c r="AL1323" s="33" cm="1">
        <f t="array" aca="1" ref="AL1323" ca="1">+IF($C1311="Yes",_xlfn.XLOOKUP(Assumptions!$G$14&amp;$E1311,Data_tables!$AZ$5:$AZ$620&amp;Data_tables!$BA$5:$BA$620,Data_tables!$BD$5:$BD$620))*AL84</f>
        <v>0</v>
      </c>
      <c r="AM1323" s="33" cm="1">
        <f t="array" aca="1" ref="AM1323" ca="1">+IF($C1311="Yes",_xlfn.XLOOKUP(Assumptions!$G$14&amp;$E1311,Data_tables!$AZ$5:$AZ$620&amp;Data_tables!$BA$5:$BA$620,Data_tables!$BD$5:$BD$620))*AM84</f>
        <v>0</v>
      </c>
      <c r="AN1323" s="33" cm="1">
        <f t="array" aca="1" ref="AN1323" ca="1">+IF($C1311="Yes",_xlfn.XLOOKUP(Assumptions!$G$14&amp;$E1311,Data_tables!$AZ$5:$AZ$620&amp;Data_tables!$BA$5:$BA$620,Data_tables!$BD$5:$BD$620))*AN84</f>
        <v>0</v>
      </c>
      <c r="AO1323" s="33" cm="1">
        <f t="array" aca="1" ref="AO1323" ca="1">+IF($C1311="Yes",_xlfn.XLOOKUP(Assumptions!$G$14&amp;$E1311,Data_tables!$AZ$5:$AZ$620&amp;Data_tables!$BA$5:$BA$620,Data_tables!$BD$5:$BD$620))*AO84</f>
        <v>0</v>
      </c>
      <c r="AP1323" s="33" cm="1">
        <f t="array" aca="1" ref="AP1323" ca="1">+IF($C1311="Yes",_xlfn.XLOOKUP(Assumptions!$G$14&amp;$E1311,Data_tables!$AZ$5:$AZ$620&amp;Data_tables!$BA$5:$BA$620,Data_tables!$BD$5:$BD$620))*AP84</f>
        <v>0</v>
      </c>
      <c r="AQ1323" s="33" cm="1">
        <f t="array" aca="1" ref="AQ1323" ca="1">+IF($C1311="Yes",_xlfn.XLOOKUP(Assumptions!$G$14&amp;$E1311,Data_tables!$AZ$5:$AZ$620&amp;Data_tables!$BA$5:$BA$620,Data_tables!$BD$5:$BD$620))*AQ84</f>
        <v>0</v>
      </c>
      <c r="AR1323" s="33" cm="1">
        <f t="array" aca="1" ref="AR1323" ca="1">+IF($C1311="Yes",_xlfn.XLOOKUP(Assumptions!$G$14&amp;$E1311,Data_tables!$AZ$5:$AZ$620&amp;Data_tables!$BA$5:$BA$620,Data_tables!$BD$5:$BD$620))*AR84</f>
        <v>0</v>
      </c>
      <c r="AS1323" s="33" cm="1">
        <f t="array" aca="1" ref="AS1323" ca="1">+IF($C1311="Yes",_xlfn.XLOOKUP(Assumptions!$G$14&amp;$E1311,Data_tables!$AZ$5:$AZ$620&amp;Data_tables!$BA$5:$BA$620,Data_tables!$BD$5:$BD$620))*AS84</f>
        <v>0</v>
      </c>
      <c r="AT1323" s="33" cm="1">
        <f t="array" aca="1" ref="AT1323" ca="1">+IF($C1311="Yes",_xlfn.XLOOKUP(Assumptions!$G$14&amp;$E1311,Data_tables!$AZ$5:$AZ$620&amp;Data_tables!$BA$5:$BA$620,Data_tables!$BD$5:$BD$620))*AT84</f>
        <v>0</v>
      </c>
      <c r="AU1323" s="33" cm="1">
        <f t="array" aca="1" ref="AU1323" ca="1">+IF($C1311="Yes",_xlfn.XLOOKUP(Assumptions!$G$14&amp;$E1311,Data_tables!$AZ$5:$AZ$620&amp;Data_tables!$BA$5:$BA$620,Data_tables!$BD$5:$BD$620))*AU84</f>
        <v>0</v>
      </c>
      <c r="AV1323" s="33" cm="1">
        <f t="array" aca="1" ref="AV1323" ca="1">+IF($C1311="Yes",_xlfn.XLOOKUP(Assumptions!$G$14&amp;$E1311,Data_tables!$AZ$5:$AZ$620&amp;Data_tables!$BA$5:$BA$620,Data_tables!$BD$5:$BD$620))*AV84</f>
        <v>0</v>
      </c>
      <c r="AW1323" s="33" cm="1">
        <f t="array" aca="1" ref="AW1323" ca="1">+IF($C1311="Yes",_xlfn.XLOOKUP(Assumptions!$G$14&amp;$E1311,Data_tables!$AZ$5:$AZ$620&amp;Data_tables!$BA$5:$BA$620,Data_tables!$BD$5:$BD$620))*AW84</f>
        <v>0</v>
      </c>
      <c r="AX1323" s="33" cm="1">
        <f t="array" aca="1" ref="AX1323" ca="1">+IF($C1311="Yes",_xlfn.XLOOKUP(Assumptions!$G$14&amp;$E1311,Data_tables!$AZ$5:$AZ$620&amp;Data_tables!$BA$5:$BA$620,Data_tables!$BD$5:$BD$620))*AX84</f>
        <v>0</v>
      </c>
      <c r="AY1323" s="33" cm="1">
        <f t="array" aca="1" ref="AY1323" ca="1">+IF($C1311="Yes",_xlfn.XLOOKUP(Assumptions!$G$14&amp;$E1311,Data_tables!$AZ$5:$AZ$620&amp;Data_tables!$BA$5:$BA$620,Data_tables!$BD$5:$BD$620))*AY84</f>
        <v>0</v>
      </c>
      <c r="AZ1323" s="33" cm="1">
        <f t="array" aca="1" ref="AZ1323" ca="1">+IF($C1311="Yes",_xlfn.XLOOKUP(Assumptions!$G$14&amp;$E1311,Data_tables!$AZ$5:$AZ$620&amp;Data_tables!$BA$5:$BA$620,Data_tables!$BD$5:$BD$620))*AZ84</f>
        <v>0</v>
      </c>
      <c r="BA1323" s="33" cm="1">
        <f t="array" aca="1" ref="BA1323" ca="1">+IF($C1311="Yes",_xlfn.XLOOKUP(Assumptions!$G$14&amp;$E1311,Data_tables!$AZ$5:$AZ$620&amp;Data_tables!$BA$5:$BA$620,Data_tables!$BD$5:$BD$620))*BA84</f>
        <v>0</v>
      </c>
      <c r="BB1323" s="33" cm="1">
        <f t="array" aca="1" ref="BB1323" ca="1">+IF($C1311="Yes",_xlfn.XLOOKUP(Assumptions!$G$14&amp;$E1311,Data_tables!$AZ$5:$AZ$620&amp;Data_tables!$BA$5:$BA$620,Data_tables!$BD$5:$BD$620))*BB84</f>
        <v>0</v>
      </c>
      <c r="BC1323" s="33" cm="1">
        <f t="array" aca="1" ref="BC1323" ca="1">+IF($C1311="Yes",_xlfn.XLOOKUP(Assumptions!$G$14&amp;$E1311,Data_tables!$AZ$5:$AZ$620&amp;Data_tables!$BA$5:$BA$620,Data_tables!$BD$5:$BD$620))*BC84</f>
        <v>0</v>
      </c>
      <c r="BD1323" s="33" cm="1">
        <f t="array" aca="1" ref="BD1323" ca="1">+IF($C1311="Yes",_xlfn.XLOOKUP(Assumptions!$G$14&amp;$E1311,Data_tables!$AZ$5:$AZ$620&amp;Data_tables!$BA$5:$BA$620,Data_tables!$BD$5:$BD$620))*BD84</f>
        <v>0</v>
      </c>
      <c r="BE1323" s="33" cm="1">
        <f t="array" aca="1" ref="BE1323" ca="1">+IF($C1311="Yes",_xlfn.XLOOKUP(Assumptions!$G$14&amp;$E1311,Data_tables!$AZ$5:$AZ$620&amp;Data_tables!$BA$5:$BA$620,Data_tables!$BD$5:$BD$620))*BE84</f>
        <v>0</v>
      </c>
      <c r="BF1323" s="33" cm="1">
        <f t="array" aca="1" ref="BF1323" ca="1">+IF($C1311="Yes",_xlfn.XLOOKUP(Assumptions!$G$14&amp;$E1311,Data_tables!$AZ$5:$AZ$620&amp;Data_tables!$BA$5:$BA$620,Data_tables!$BD$5:$BD$620))*BF84</f>
        <v>0</v>
      </c>
      <c r="BG1323" s="33" cm="1">
        <f t="array" aca="1" ref="BG1323" ca="1">+IF($C1311="Yes",_xlfn.XLOOKUP(Assumptions!$G$14&amp;$E1311,Data_tables!$AZ$5:$AZ$620&amp;Data_tables!$BA$5:$BA$620,Data_tables!$BD$5:$BD$620))*BG84</f>
        <v>0</v>
      </c>
      <c r="BH1323" s="33" cm="1">
        <f t="array" aca="1" ref="BH1323" ca="1">+IF($C1311="Yes",_xlfn.XLOOKUP(Assumptions!$G$14&amp;$E1311,Data_tables!$AZ$5:$AZ$620&amp;Data_tables!$BA$5:$BA$620,Data_tables!$BD$5:$BD$620))*BH84</f>
        <v>0</v>
      </c>
      <c r="BI1323" s="33" cm="1">
        <f t="array" aca="1" ref="BI1323" ca="1">+IF($C1311="Yes",_xlfn.XLOOKUP(Assumptions!$G$14&amp;$E1311,Data_tables!$AZ$5:$AZ$620&amp;Data_tables!$BA$5:$BA$620,Data_tables!$BD$5:$BD$620))*BI84</f>
        <v>0</v>
      </c>
      <c r="BJ1323" s="33" cm="1">
        <f t="array" aca="1" ref="BJ1323" ca="1">+IF($C1311="Yes",_xlfn.XLOOKUP(Assumptions!$G$14&amp;$E1311,Data_tables!$AZ$5:$AZ$620&amp;Data_tables!$BA$5:$BA$620,Data_tables!$BD$5:$BD$620))*BJ84</f>
        <v>0</v>
      </c>
      <c r="BK1323" s="33" cm="1">
        <f t="array" aca="1" ref="BK1323" ca="1">+IF($C1311="Yes",_xlfn.XLOOKUP(Assumptions!$G$14&amp;$E1311,Data_tables!$AZ$5:$AZ$620&amp;Data_tables!$BA$5:$BA$620,Data_tables!$BD$5:$BD$620))*BK84</f>
        <v>0</v>
      </c>
      <c r="BL1323" s="33" cm="1">
        <f t="array" aca="1" ref="BL1323" ca="1">+IF($C1311="Yes",_xlfn.XLOOKUP(Assumptions!$G$14&amp;$E1311,Data_tables!$AZ$5:$AZ$620&amp;Data_tables!$BA$5:$BA$620,Data_tables!$BD$5:$BD$620))*BL84</f>
        <v>0</v>
      </c>
      <c r="BM1323" s="33" cm="1">
        <f t="array" aca="1" ref="BM1323" ca="1">+IF($C1311="Yes",_xlfn.XLOOKUP(Assumptions!$G$14&amp;$E1311,Data_tables!$AZ$5:$AZ$620&amp;Data_tables!$BA$5:$BA$620,Data_tables!$BD$5:$BD$620))*BM84</f>
        <v>0</v>
      </c>
      <c r="BN1323" s="33" cm="1">
        <f t="array" aca="1" ref="BN1323" ca="1">+IF($C1311="Yes",_xlfn.XLOOKUP(Assumptions!$G$14&amp;$E1311,Data_tables!$AZ$5:$AZ$620&amp;Data_tables!$BA$5:$BA$620,Data_tables!$BD$5:$BD$620))*BN84</f>
        <v>0</v>
      </c>
      <c r="BO1323" s="33" cm="1">
        <f t="array" aca="1" ref="BO1323" ca="1">+IF($C1311="Yes",_xlfn.XLOOKUP(Assumptions!$G$14&amp;$E1311,Data_tables!$AZ$5:$AZ$620&amp;Data_tables!$BA$5:$BA$620,Data_tables!$BD$5:$BD$620))*BO84</f>
        <v>0</v>
      </c>
      <c r="BP1323" s="33" cm="1">
        <f t="array" aca="1" ref="BP1323" ca="1">+IF($C1311="Yes",_xlfn.XLOOKUP(Assumptions!$G$14&amp;$E1311,Data_tables!$AZ$5:$AZ$620&amp;Data_tables!$BA$5:$BA$620,Data_tables!$BD$5:$BD$620))*BP84</f>
        <v>0</v>
      </c>
      <c r="BQ1323" s="33" cm="1">
        <f t="array" aca="1" ref="BQ1323" ca="1">+IF($C1311="Yes",_xlfn.XLOOKUP(Assumptions!$G$14&amp;$E1311,Data_tables!$AZ$5:$AZ$620&amp;Data_tables!$BA$5:$BA$620,Data_tables!$BD$5:$BD$620))*BQ84</f>
        <v>0</v>
      </c>
      <c r="BR1323" s="33" cm="1">
        <f t="array" aca="1" ref="BR1323" ca="1">+IF($C1311="Yes",_xlfn.XLOOKUP(Assumptions!$G$14&amp;$E1311,Data_tables!$AZ$5:$AZ$620&amp;Data_tables!$BA$5:$BA$620,Data_tables!$BD$5:$BD$620))*BR84</f>
        <v>0</v>
      </c>
      <c r="BS1323" s="33" cm="1">
        <f t="array" aca="1" ref="BS1323" ca="1">+IF($C1311="Yes",_xlfn.XLOOKUP(Assumptions!$G$14&amp;$E1311,Data_tables!$AZ$5:$AZ$620&amp;Data_tables!$BA$5:$BA$620,Data_tables!$BD$5:$BD$620))*BS84</f>
        <v>0</v>
      </c>
      <c r="BT1323" s="33" cm="1">
        <f t="array" aca="1" ref="BT1323" ca="1">+IF($C1311="Yes",_xlfn.XLOOKUP(Assumptions!$G$14&amp;$E1311,Data_tables!$AZ$5:$AZ$620&amp;Data_tables!$BA$5:$BA$620,Data_tables!$BD$5:$BD$620))*BT84</f>
        <v>0</v>
      </c>
      <c r="BU1323" s="33" cm="1">
        <f t="array" aca="1" ref="BU1323" ca="1">+IF($C1311="Yes",_xlfn.XLOOKUP(Assumptions!$G$14&amp;$E1311,Data_tables!$AZ$5:$AZ$620&amp;Data_tables!$BA$5:$BA$620,Data_tables!$BD$5:$BD$620))*BU84</f>
        <v>0</v>
      </c>
      <c r="BV1323" s="33" cm="1">
        <f t="array" aca="1" ref="BV1323" ca="1">+IF($C1311="Yes",_xlfn.XLOOKUP(Assumptions!$G$14&amp;$E1311,Data_tables!$AZ$5:$AZ$620&amp;Data_tables!$BA$5:$BA$620,Data_tables!$BD$5:$BD$620))*BV84</f>
        <v>0</v>
      </c>
      <c r="BW1323" s="33" cm="1">
        <f t="array" aca="1" ref="BW1323" ca="1">+IF($C1311="Yes",_xlfn.XLOOKUP(Assumptions!$G$14&amp;$E1311,Data_tables!$AZ$5:$AZ$620&amp;Data_tables!$BA$5:$BA$620,Data_tables!$BD$5:$BD$620))*BW84</f>
        <v>0</v>
      </c>
      <c r="BX1323" s="33" cm="1">
        <f t="array" aca="1" ref="BX1323" ca="1">+IF($C1311="Yes",_xlfn.XLOOKUP(Assumptions!$G$14&amp;$E1311,Data_tables!$AZ$5:$AZ$620&amp;Data_tables!$BA$5:$BA$620,Data_tables!$BD$5:$BD$620))*BX84</f>
        <v>0</v>
      </c>
      <c r="BY1323" s="33" cm="1">
        <f t="array" aca="1" ref="BY1323" ca="1">+IF($C1311="Yes",_xlfn.XLOOKUP(Assumptions!$G$14&amp;$E1311,Data_tables!$AZ$5:$AZ$620&amp;Data_tables!$BA$5:$BA$620,Data_tables!$BD$5:$BD$620))*BY84</f>
        <v>0</v>
      </c>
    </row>
    <row r="1324" spans="1:77" s="35" customFormat="1" outlineLevel="1">
      <c r="A1324" s="776"/>
      <c r="B1324" s="776"/>
      <c r="C1324" s="33" t="str">
        <f t="shared" si="2501"/>
        <v>Yes</v>
      </c>
      <c r="D1324" s="33"/>
      <c r="E1324" t="s">
        <v>407</v>
      </c>
      <c r="F1324" s="104" t="s">
        <v>640</v>
      </c>
      <c r="G1324" s="33"/>
      <c r="H1324" s="33" cm="1">
        <f t="array" ref="H1324">+IF($C1312="Yes",_xlfn.XLOOKUP(Assumptions!$G$14&amp;$E1312,Data_tables!$AZ$5:$AZ$620&amp;Data_tables!$BA$5:$BA$620,Data_tables!$BD$5:$BD$620))*H204</f>
        <v>0</v>
      </c>
      <c r="I1324" s="33" cm="1">
        <f t="array" ref="I1324">+IF($C1312="Yes",_xlfn.XLOOKUP(Assumptions!$G$14&amp;$E1312,Data_tables!$AZ$5:$AZ$620&amp;Data_tables!$BA$5:$BA$620,Data_tables!$BD$5:$BD$620))*I204</f>
        <v>-19.709582425766929</v>
      </c>
      <c r="J1324" s="33" cm="1">
        <f t="array" ref="J1324">+IF($C1312="Yes",_xlfn.XLOOKUP(Assumptions!$G$14&amp;$E1312,Data_tables!$AZ$5:$AZ$620&amp;Data_tables!$BA$5:$BA$620,Data_tables!$BD$5:$BD$620))*J204</f>
        <v>-20.103774074282267</v>
      </c>
      <c r="K1324" s="33" cm="1">
        <f t="array" ref="K1324">+IF($C1312="Yes",_xlfn.XLOOKUP(Assumptions!$G$14&amp;$E1312,Data_tables!$AZ$5:$AZ$620&amp;Data_tables!$BA$5:$BA$620,Data_tables!$BD$5:$BD$620))*K204</f>
        <v>0</v>
      </c>
      <c r="L1324" s="33" cm="1">
        <f t="array" ref="L1324">+IF($C1312="Yes",_xlfn.XLOOKUP(Assumptions!$G$14&amp;$E1312,Data_tables!$AZ$5:$AZ$620&amp;Data_tables!$BA$5:$BA$620,Data_tables!$BD$5:$BD$620))*L204</f>
        <v>0</v>
      </c>
      <c r="M1324" s="33" cm="1">
        <f t="array" ref="M1324">+IF($C1312="Yes",_xlfn.XLOOKUP(Assumptions!$G$14&amp;$E1312,Data_tables!$AZ$5:$AZ$620&amp;Data_tables!$BA$5:$BA$620,Data_tables!$BD$5:$BD$620))*M204</f>
        <v>0</v>
      </c>
      <c r="N1324" s="33" cm="1">
        <f t="array" ref="N1324">+IF($C1312="Yes",_xlfn.XLOOKUP(Assumptions!$G$14&amp;$E1312,Data_tables!$AZ$5:$AZ$620&amp;Data_tables!$BA$5:$BA$620,Data_tables!$BD$5:$BD$620))*N204</f>
        <v>0</v>
      </c>
      <c r="O1324" s="33" cm="1">
        <f t="array" ref="O1324">+IF($C1312="Yes",_xlfn.XLOOKUP(Assumptions!$G$14&amp;$E1312,Data_tables!$AZ$5:$AZ$620&amp;Data_tables!$BA$5:$BA$620,Data_tables!$BD$5:$BD$620))*O204</f>
        <v>0</v>
      </c>
      <c r="P1324" s="33" cm="1">
        <f t="array" ref="P1324">+IF($C1312="Yes",_xlfn.XLOOKUP(Assumptions!$G$14&amp;$E1312,Data_tables!$AZ$5:$AZ$620&amp;Data_tables!$BA$5:$BA$620,Data_tables!$BD$5:$BD$620))*P204</f>
        <v>0</v>
      </c>
      <c r="Q1324" s="33" cm="1">
        <f t="array" ref="Q1324">+IF($C1312="Yes",_xlfn.XLOOKUP(Assumptions!$G$14&amp;$E1312,Data_tables!$AZ$5:$AZ$620&amp;Data_tables!$BA$5:$BA$620,Data_tables!$BD$5:$BD$620))*Q204</f>
        <v>0</v>
      </c>
      <c r="R1324" s="33" cm="1">
        <f t="array" ref="R1324">+IF($C1312="Yes",_xlfn.XLOOKUP(Assumptions!$G$14&amp;$E1312,Data_tables!$AZ$5:$AZ$620&amp;Data_tables!$BA$5:$BA$620,Data_tables!$BD$5:$BD$620))*R204</f>
        <v>0</v>
      </c>
      <c r="S1324" s="33" cm="1">
        <f t="array" ref="S1324">+IF($C1312="Yes",_xlfn.XLOOKUP(Assumptions!$G$14&amp;$E1312,Data_tables!$AZ$5:$AZ$620&amp;Data_tables!$BA$5:$BA$620,Data_tables!$BD$5:$BD$620))*S204</f>
        <v>0</v>
      </c>
      <c r="T1324" s="33" cm="1">
        <f t="array" ref="T1324">+IF($C1312="Yes",_xlfn.XLOOKUP(Assumptions!$G$14&amp;$E1312,Data_tables!$AZ$5:$AZ$620&amp;Data_tables!$BA$5:$BA$620,Data_tables!$BD$5:$BD$620))*T204</f>
        <v>0</v>
      </c>
      <c r="U1324" s="33" cm="1">
        <f t="array" ref="U1324">+IF($C1312="Yes",_xlfn.XLOOKUP(Assumptions!$G$14&amp;$E1312,Data_tables!$AZ$5:$AZ$620&amp;Data_tables!$BA$5:$BA$620,Data_tables!$BD$5:$BD$620))*U204</f>
        <v>0</v>
      </c>
      <c r="V1324" s="33" cm="1">
        <f t="array" ref="V1324">+IF($C1312="Yes",_xlfn.XLOOKUP(Assumptions!$G$14&amp;$E1312,Data_tables!$AZ$5:$AZ$620&amp;Data_tables!$BA$5:$BA$620,Data_tables!$BD$5:$BD$620))*V204</f>
        <v>0</v>
      </c>
      <c r="W1324" s="33" cm="1">
        <f t="array" ref="W1324">+IF($C1312="Yes",_xlfn.XLOOKUP(Assumptions!$G$14&amp;$E1312,Data_tables!$AZ$5:$AZ$620&amp;Data_tables!$BA$5:$BA$620,Data_tables!$BD$5:$BD$620))*W204</f>
        <v>0</v>
      </c>
      <c r="X1324" s="33" cm="1">
        <f t="array" ref="X1324">+IF($C1312="Yes",_xlfn.XLOOKUP(Assumptions!$G$14&amp;$E1312,Data_tables!$AZ$5:$AZ$620&amp;Data_tables!$BA$5:$BA$620,Data_tables!$BD$5:$BD$620))*X204</f>
        <v>0</v>
      </c>
      <c r="Y1324" s="33" cm="1">
        <f t="array" ref="Y1324">+IF($C1312="Yes",_xlfn.XLOOKUP(Assumptions!$G$14&amp;$E1312,Data_tables!$AZ$5:$AZ$620&amp;Data_tables!$BA$5:$BA$620,Data_tables!$BD$5:$BD$620))*Y204</f>
        <v>0</v>
      </c>
      <c r="Z1324" s="33" cm="1">
        <f t="array" ref="Z1324">+IF($C1312="Yes",_xlfn.XLOOKUP(Assumptions!$G$14&amp;$E1312,Data_tables!$AZ$5:$AZ$620&amp;Data_tables!$BA$5:$BA$620,Data_tables!$BD$5:$BD$620))*Z204</f>
        <v>0</v>
      </c>
      <c r="AA1324" s="33" cm="1">
        <f t="array" ref="AA1324">+IF($C1312="Yes",_xlfn.XLOOKUP(Assumptions!$G$14&amp;$E1312,Data_tables!$AZ$5:$AZ$620&amp;Data_tables!$BA$5:$BA$620,Data_tables!$BD$5:$BD$620))*AA204</f>
        <v>0</v>
      </c>
      <c r="AB1324" s="33" cm="1">
        <f t="array" ref="AB1324">+IF($C1312="Yes",_xlfn.XLOOKUP(Assumptions!$G$14&amp;$E1312,Data_tables!$AZ$5:$AZ$620&amp;Data_tables!$BA$5:$BA$620,Data_tables!$BD$5:$BD$620))*AB204</f>
        <v>0</v>
      </c>
      <c r="AC1324" s="33" cm="1">
        <f t="array" ref="AC1324">+IF($C1312="Yes",_xlfn.XLOOKUP(Assumptions!$G$14&amp;$E1312,Data_tables!$AZ$5:$AZ$620&amp;Data_tables!$BA$5:$BA$620,Data_tables!$BD$5:$BD$620))*AC204</f>
        <v>0</v>
      </c>
      <c r="AD1324" s="33" cm="1">
        <f t="array" ref="AD1324">+IF($C1312="Yes",_xlfn.XLOOKUP(Assumptions!$G$14&amp;$E1312,Data_tables!$AZ$5:$AZ$620&amp;Data_tables!$BA$5:$BA$620,Data_tables!$BD$5:$BD$620))*AD204</f>
        <v>0</v>
      </c>
      <c r="AE1324" s="33" cm="1">
        <f t="array" ref="AE1324">+IF($C1312="Yes",_xlfn.XLOOKUP(Assumptions!$G$14&amp;$E1312,Data_tables!$AZ$5:$AZ$620&amp;Data_tables!$BA$5:$BA$620,Data_tables!$BD$5:$BD$620))*AE204</f>
        <v>0</v>
      </c>
      <c r="AF1324" s="33" cm="1">
        <f t="array" ref="AF1324">+IF($C1312="Yes",_xlfn.XLOOKUP(Assumptions!$G$14&amp;$E1312,Data_tables!$AZ$5:$AZ$620&amp;Data_tables!$BA$5:$BA$620,Data_tables!$BD$5:$BD$620))*AF204</f>
        <v>0</v>
      </c>
      <c r="AG1324" s="33" cm="1">
        <f t="array" ref="AG1324">+IF($C1312="Yes",_xlfn.XLOOKUP(Assumptions!$G$14&amp;$E1312,Data_tables!$AZ$5:$AZ$620&amp;Data_tables!$BA$5:$BA$620,Data_tables!$BD$5:$BD$620))*AG204</f>
        <v>0</v>
      </c>
      <c r="AH1324" s="33" cm="1">
        <f t="array" ref="AH1324">+IF($C1312="Yes",_xlfn.XLOOKUP(Assumptions!$G$14&amp;$E1312,Data_tables!$AZ$5:$AZ$620&amp;Data_tables!$BA$5:$BA$620,Data_tables!$BD$5:$BD$620))*AH204</f>
        <v>0</v>
      </c>
      <c r="AI1324" s="33" cm="1">
        <f t="array" ref="AI1324">+IF($C1312="Yes",_xlfn.XLOOKUP(Assumptions!$G$14&amp;$E1312,Data_tables!$AZ$5:$AZ$620&amp;Data_tables!$BA$5:$BA$620,Data_tables!$BD$5:$BD$620))*AI204</f>
        <v>0</v>
      </c>
      <c r="AJ1324" s="33" cm="1">
        <f t="array" ref="AJ1324">+IF($C1312="Yes",_xlfn.XLOOKUP(Assumptions!$G$14&amp;$E1312,Data_tables!$AZ$5:$AZ$620&amp;Data_tables!$BA$5:$BA$620,Data_tables!$BD$5:$BD$620))*AJ204</f>
        <v>0</v>
      </c>
      <c r="AK1324" s="33" cm="1">
        <f t="array" ref="AK1324">+IF($C1312="Yes",_xlfn.XLOOKUP(Assumptions!$G$14&amp;$E1312,Data_tables!$AZ$5:$AZ$620&amp;Data_tables!$BA$5:$BA$620,Data_tables!$BD$5:$BD$620))*AK204</f>
        <v>0</v>
      </c>
      <c r="AL1324" s="33" cm="1">
        <f t="array" ref="AL1324">+IF($C1312="Yes",_xlfn.XLOOKUP(Assumptions!$G$14&amp;$E1312,Data_tables!$AZ$5:$AZ$620&amp;Data_tables!$BA$5:$BA$620,Data_tables!$BD$5:$BD$620))*AL204</f>
        <v>0</v>
      </c>
      <c r="AM1324" s="33" cm="1">
        <f t="array" ref="AM1324">+IF($C1312="Yes",_xlfn.XLOOKUP(Assumptions!$G$14&amp;$E1312,Data_tables!$AZ$5:$AZ$620&amp;Data_tables!$BA$5:$BA$620,Data_tables!$BD$5:$BD$620))*AM204</f>
        <v>0</v>
      </c>
      <c r="AN1324" s="33" cm="1">
        <f t="array" ref="AN1324">+IF($C1312="Yes",_xlfn.XLOOKUP(Assumptions!$G$14&amp;$E1312,Data_tables!$AZ$5:$AZ$620&amp;Data_tables!$BA$5:$BA$620,Data_tables!$BD$5:$BD$620))*AN204</f>
        <v>0</v>
      </c>
      <c r="AO1324" s="33" cm="1">
        <f t="array" ref="AO1324">+IF($C1312="Yes",_xlfn.XLOOKUP(Assumptions!$G$14&amp;$E1312,Data_tables!$AZ$5:$AZ$620&amp;Data_tables!$BA$5:$BA$620,Data_tables!$BD$5:$BD$620))*AO204</f>
        <v>0</v>
      </c>
      <c r="AP1324" s="33" cm="1">
        <f t="array" ref="AP1324">+IF($C1312="Yes",_xlfn.XLOOKUP(Assumptions!$G$14&amp;$E1312,Data_tables!$AZ$5:$AZ$620&amp;Data_tables!$BA$5:$BA$620,Data_tables!$BD$5:$BD$620))*AP204</f>
        <v>0</v>
      </c>
      <c r="AQ1324" s="33" cm="1">
        <f t="array" ref="AQ1324">+IF($C1312="Yes",_xlfn.XLOOKUP(Assumptions!$G$14&amp;$E1312,Data_tables!$AZ$5:$AZ$620&amp;Data_tables!$BA$5:$BA$620,Data_tables!$BD$5:$BD$620))*AQ204</f>
        <v>0</v>
      </c>
      <c r="AR1324" s="33" cm="1">
        <f t="array" ref="AR1324">+IF($C1312="Yes",_xlfn.XLOOKUP(Assumptions!$G$14&amp;$E1312,Data_tables!$AZ$5:$AZ$620&amp;Data_tables!$BA$5:$BA$620,Data_tables!$BD$5:$BD$620))*AR204</f>
        <v>0</v>
      </c>
      <c r="AS1324" s="33" cm="1">
        <f t="array" ref="AS1324">+IF($C1312="Yes",_xlfn.XLOOKUP(Assumptions!$G$14&amp;$E1312,Data_tables!$AZ$5:$AZ$620&amp;Data_tables!$BA$5:$BA$620,Data_tables!$BD$5:$BD$620))*AS204</f>
        <v>0</v>
      </c>
      <c r="AT1324" s="33" cm="1">
        <f t="array" ref="AT1324">+IF($C1312="Yes",_xlfn.XLOOKUP(Assumptions!$G$14&amp;$E1312,Data_tables!$AZ$5:$AZ$620&amp;Data_tables!$BA$5:$BA$620,Data_tables!$BD$5:$BD$620))*AT204</f>
        <v>0</v>
      </c>
      <c r="AU1324" s="33" cm="1">
        <f t="array" ref="AU1324">+IF($C1312="Yes",_xlfn.XLOOKUP(Assumptions!$G$14&amp;$E1312,Data_tables!$AZ$5:$AZ$620&amp;Data_tables!$BA$5:$BA$620,Data_tables!$BD$5:$BD$620))*AU204</f>
        <v>0</v>
      </c>
      <c r="AV1324" s="33" cm="1">
        <f t="array" ref="AV1324">+IF($C1312="Yes",_xlfn.XLOOKUP(Assumptions!$G$14&amp;$E1312,Data_tables!$AZ$5:$AZ$620&amp;Data_tables!$BA$5:$BA$620,Data_tables!$BD$5:$BD$620))*AV204</f>
        <v>0</v>
      </c>
      <c r="AW1324" s="33" cm="1">
        <f t="array" ref="AW1324">+IF($C1312="Yes",_xlfn.XLOOKUP(Assumptions!$G$14&amp;$E1312,Data_tables!$AZ$5:$AZ$620&amp;Data_tables!$BA$5:$BA$620,Data_tables!$BD$5:$BD$620))*AW204</f>
        <v>0</v>
      </c>
      <c r="AX1324" s="33" cm="1">
        <f t="array" ref="AX1324">+IF($C1312="Yes",_xlfn.XLOOKUP(Assumptions!$G$14&amp;$E1312,Data_tables!$AZ$5:$AZ$620&amp;Data_tables!$BA$5:$BA$620,Data_tables!$BD$5:$BD$620))*AX204</f>
        <v>0</v>
      </c>
      <c r="AY1324" s="33" cm="1">
        <f t="array" ref="AY1324">+IF($C1312="Yes",_xlfn.XLOOKUP(Assumptions!$G$14&amp;$E1312,Data_tables!$AZ$5:$AZ$620&amp;Data_tables!$BA$5:$BA$620,Data_tables!$BD$5:$BD$620))*AY204</f>
        <v>0</v>
      </c>
      <c r="AZ1324" s="33" cm="1">
        <f t="array" ref="AZ1324">+IF($C1312="Yes",_xlfn.XLOOKUP(Assumptions!$G$14&amp;$E1312,Data_tables!$AZ$5:$AZ$620&amp;Data_tables!$BA$5:$BA$620,Data_tables!$BD$5:$BD$620))*AZ204</f>
        <v>0</v>
      </c>
      <c r="BA1324" s="33" cm="1">
        <f t="array" ref="BA1324">+IF($C1312="Yes",_xlfn.XLOOKUP(Assumptions!$G$14&amp;$E1312,Data_tables!$AZ$5:$AZ$620&amp;Data_tables!$BA$5:$BA$620,Data_tables!$BD$5:$BD$620))*BA204</f>
        <v>0</v>
      </c>
      <c r="BB1324" s="33" cm="1">
        <f t="array" ref="BB1324">+IF($C1312="Yes",_xlfn.XLOOKUP(Assumptions!$G$14&amp;$E1312,Data_tables!$AZ$5:$AZ$620&amp;Data_tables!$BA$5:$BA$620,Data_tables!$BD$5:$BD$620))*BB204</f>
        <v>0</v>
      </c>
      <c r="BC1324" s="33" cm="1">
        <f t="array" ref="BC1324">+IF($C1312="Yes",_xlfn.XLOOKUP(Assumptions!$G$14&amp;$E1312,Data_tables!$AZ$5:$AZ$620&amp;Data_tables!$BA$5:$BA$620,Data_tables!$BD$5:$BD$620))*BC204</f>
        <v>0</v>
      </c>
      <c r="BD1324" s="33" cm="1">
        <f t="array" ref="BD1324">+IF($C1312="Yes",_xlfn.XLOOKUP(Assumptions!$G$14&amp;$E1312,Data_tables!$AZ$5:$AZ$620&amp;Data_tables!$BA$5:$BA$620,Data_tables!$BD$5:$BD$620))*BD204</f>
        <v>0</v>
      </c>
      <c r="BE1324" s="33" cm="1">
        <f t="array" ref="BE1324">+IF($C1312="Yes",_xlfn.XLOOKUP(Assumptions!$G$14&amp;$E1312,Data_tables!$AZ$5:$AZ$620&amp;Data_tables!$BA$5:$BA$620,Data_tables!$BD$5:$BD$620))*BE204</f>
        <v>0</v>
      </c>
      <c r="BF1324" s="33" cm="1">
        <f t="array" ref="BF1324">+IF($C1312="Yes",_xlfn.XLOOKUP(Assumptions!$G$14&amp;$E1312,Data_tables!$AZ$5:$AZ$620&amp;Data_tables!$BA$5:$BA$620,Data_tables!$BD$5:$BD$620))*BF204</f>
        <v>0</v>
      </c>
      <c r="BG1324" s="33" cm="1">
        <f t="array" ref="BG1324">+IF($C1312="Yes",_xlfn.XLOOKUP(Assumptions!$G$14&amp;$E1312,Data_tables!$AZ$5:$AZ$620&amp;Data_tables!$BA$5:$BA$620,Data_tables!$BD$5:$BD$620))*BG204</f>
        <v>0</v>
      </c>
      <c r="BH1324" s="33" cm="1">
        <f t="array" ref="BH1324">+IF($C1312="Yes",_xlfn.XLOOKUP(Assumptions!$G$14&amp;$E1312,Data_tables!$AZ$5:$AZ$620&amp;Data_tables!$BA$5:$BA$620,Data_tables!$BD$5:$BD$620))*BH204</f>
        <v>0</v>
      </c>
      <c r="BI1324" s="33" cm="1">
        <f t="array" ref="BI1324">+IF($C1312="Yes",_xlfn.XLOOKUP(Assumptions!$G$14&amp;$E1312,Data_tables!$AZ$5:$AZ$620&amp;Data_tables!$BA$5:$BA$620,Data_tables!$BD$5:$BD$620))*BI204</f>
        <v>0</v>
      </c>
      <c r="BJ1324" s="33" cm="1">
        <f t="array" ref="BJ1324">+IF($C1312="Yes",_xlfn.XLOOKUP(Assumptions!$G$14&amp;$E1312,Data_tables!$AZ$5:$AZ$620&amp;Data_tables!$BA$5:$BA$620,Data_tables!$BD$5:$BD$620))*BJ204</f>
        <v>0</v>
      </c>
      <c r="BK1324" s="33" cm="1">
        <f t="array" ref="BK1324">+IF($C1312="Yes",_xlfn.XLOOKUP(Assumptions!$G$14&amp;$E1312,Data_tables!$AZ$5:$AZ$620&amp;Data_tables!$BA$5:$BA$620,Data_tables!$BD$5:$BD$620))*BK204</f>
        <v>0</v>
      </c>
      <c r="BL1324" s="33" cm="1">
        <f t="array" ref="BL1324">+IF($C1312="Yes",_xlfn.XLOOKUP(Assumptions!$G$14&amp;$E1312,Data_tables!$AZ$5:$AZ$620&amp;Data_tables!$BA$5:$BA$620,Data_tables!$BD$5:$BD$620))*BL204</f>
        <v>0</v>
      </c>
      <c r="BM1324" s="33" cm="1">
        <f t="array" ref="BM1324">+IF($C1312="Yes",_xlfn.XLOOKUP(Assumptions!$G$14&amp;$E1312,Data_tables!$AZ$5:$AZ$620&amp;Data_tables!$BA$5:$BA$620,Data_tables!$BD$5:$BD$620))*BM204</f>
        <v>0</v>
      </c>
      <c r="BN1324" s="33" cm="1">
        <f t="array" ref="BN1324">+IF($C1312="Yes",_xlfn.XLOOKUP(Assumptions!$G$14&amp;$E1312,Data_tables!$AZ$5:$AZ$620&amp;Data_tables!$BA$5:$BA$620,Data_tables!$BD$5:$BD$620))*BN204</f>
        <v>0</v>
      </c>
      <c r="BO1324" s="33" cm="1">
        <f t="array" ref="BO1324">+IF($C1312="Yes",_xlfn.XLOOKUP(Assumptions!$G$14&amp;$E1312,Data_tables!$AZ$5:$AZ$620&amp;Data_tables!$BA$5:$BA$620,Data_tables!$BD$5:$BD$620))*BO204</f>
        <v>0</v>
      </c>
      <c r="BP1324" s="33" cm="1">
        <f t="array" ref="BP1324">+IF($C1312="Yes",_xlfn.XLOOKUP(Assumptions!$G$14&amp;$E1312,Data_tables!$AZ$5:$AZ$620&amp;Data_tables!$BA$5:$BA$620,Data_tables!$BD$5:$BD$620))*BP204</f>
        <v>0</v>
      </c>
      <c r="BQ1324" s="33" cm="1">
        <f t="array" ref="BQ1324">+IF($C1312="Yes",_xlfn.XLOOKUP(Assumptions!$G$14&amp;$E1312,Data_tables!$AZ$5:$AZ$620&amp;Data_tables!$BA$5:$BA$620,Data_tables!$BD$5:$BD$620))*BQ204</f>
        <v>0</v>
      </c>
      <c r="BR1324" s="33" cm="1">
        <f t="array" ref="BR1324">+IF($C1312="Yes",_xlfn.XLOOKUP(Assumptions!$G$14&amp;$E1312,Data_tables!$AZ$5:$AZ$620&amp;Data_tables!$BA$5:$BA$620,Data_tables!$BD$5:$BD$620))*BR204</f>
        <v>0</v>
      </c>
      <c r="BS1324" s="33" cm="1">
        <f t="array" ref="BS1324">+IF($C1312="Yes",_xlfn.XLOOKUP(Assumptions!$G$14&amp;$E1312,Data_tables!$AZ$5:$AZ$620&amp;Data_tables!$BA$5:$BA$620,Data_tables!$BD$5:$BD$620))*BS204</f>
        <v>0</v>
      </c>
      <c r="BT1324" s="33" cm="1">
        <f t="array" ref="BT1324">+IF($C1312="Yes",_xlfn.XLOOKUP(Assumptions!$G$14&amp;$E1312,Data_tables!$AZ$5:$AZ$620&amp;Data_tables!$BA$5:$BA$620,Data_tables!$BD$5:$BD$620))*BT204</f>
        <v>0</v>
      </c>
      <c r="BU1324" s="33" cm="1">
        <f t="array" ref="BU1324">+IF($C1312="Yes",_xlfn.XLOOKUP(Assumptions!$G$14&amp;$E1312,Data_tables!$AZ$5:$AZ$620&amp;Data_tables!$BA$5:$BA$620,Data_tables!$BD$5:$BD$620))*BU204</f>
        <v>0</v>
      </c>
      <c r="BV1324" s="33" cm="1">
        <f t="array" ref="BV1324">+IF($C1312="Yes",_xlfn.XLOOKUP(Assumptions!$G$14&amp;$E1312,Data_tables!$AZ$5:$AZ$620&amp;Data_tables!$BA$5:$BA$620,Data_tables!$BD$5:$BD$620))*BV204</f>
        <v>0</v>
      </c>
      <c r="BW1324" s="33" cm="1">
        <f t="array" ref="BW1324">+IF($C1312="Yes",_xlfn.XLOOKUP(Assumptions!$G$14&amp;$E1312,Data_tables!$AZ$5:$AZ$620&amp;Data_tables!$BA$5:$BA$620,Data_tables!$BD$5:$BD$620))*BW204</f>
        <v>0</v>
      </c>
      <c r="BX1324" s="33" cm="1">
        <f t="array" ref="BX1324">+IF($C1312="Yes",_xlfn.XLOOKUP(Assumptions!$G$14&amp;$E1312,Data_tables!$AZ$5:$AZ$620&amp;Data_tables!$BA$5:$BA$620,Data_tables!$BD$5:$BD$620))*BX204</f>
        <v>0</v>
      </c>
      <c r="BY1324" s="33" cm="1">
        <f t="array" ref="BY1324">+IF($C1312="Yes",_xlfn.XLOOKUP(Assumptions!$G$14&amp;$E1312,Data_tables!$AZ$5:$AZ$620&amp;Data_tables!$BA$5:$BA$620,Data_tables!$BD$5:$BD$620))*BY204</f>
        <v>0</v>
      </c>
    </row>
    <row r="1325" spans="1:77" s="35" customFormat="1" outlineLevel="1">
      <c r="A1325" s="776"/>
      <c r="B1325" s="776"/>
      <c r="C1325" s="33" t="str">
        <f t="shared" si="2501"/>
        <v>Yes</v>
      </c>
      <c r="D1325" s="33"/>
      <c r="E1325" t="s">
        <v>408</v>
      </c>
      <c r="F1325" s="104" t="s">
        <v>640</v>
      </c>
      <c r="G1325" s="33"/>
      <c r="H1325" s="33" cm="1">
        <f t="array" ref="H1325">+IFERROR(IF($C1313="Yes",_xlfn.XLOOKUP(Assumptions!$G$14&amp;$E1313,Data_tables!$AZ$5:$AZ$620&amp;Data_tables!$BA$5:$BA$620,Data_tables!$BD$5:$BD$620))*H216,0)</f>
        <v>0</v>
      </c>
      <c r="I1325" s="33" cm="1">
        <f t="array" ref="I1325">+IFERROR(IF($C1313="Yes",_xlfn.XLOOKUP(Assumptions!$G$14&amp;$E1313,Data_tables!$AZ$5:$AZ$620&amp;Data_tables!$BA$5:$BA$620,Data_tables!$BD$5:$BD$620))*I216,0)</f>
        <v>0</v>
      </c>
      <c r="J1325" s="33" cm="1">
        <f t="array" ref="J1325">+IFERROR(IF($C1313="Yes",_xlfn.XLOOKUP(Assumptions!$G$14&amp;$E1313,Data_tables!$AZ$5:$AZ$620&amp;Data_tables!$BA$5:$BA$620,Data_tables!$BD$5:$BD$620))*J216,0)</f>
        <v>0</v>
      </c>
      <c r="K1325" s="33" cm="1">
        <f t="array" ref="K1325">+IFERROR(IF($C1313="Yes",_xlfn.XLOOKUP(Assumptions!$G$14&amp;$E1313,Data_tables!$AZ$5:$AZ$620&amp;Data_tables!$BA$5:$BA$620,Data_tables!$BD$5:$BD$620))*K216,0)</f>
        <v>-6.2604786899374432E-2</v>
      </c>
      <c r="L1325" s="33" cm="1">
        <f t="array" ref="L1325">+IFERROR(IF($C1313="Yes",_xlfn.XLOOKUP(Assumptions!$G$14&amp;$E1313,Data_tables!$AZ$5:$AZ$620&amp;Data_tables!$BA$5:$BA$620,Data_tables!$BD$5:$BD$620))*L216,0)</f>
        <v>-6.3856882637361931E-2</v>
      </c>
      <c r="M1325" s="33" cm="1">
        <f t="array" ref="M1325">+IFERROR(IF($C1313="Yes",_xlfn.XLOOKUP(Assumptions!$G$14&amp;$E1313,Data_tables!$AZ$5:$AZ$620&amp;Data_tables!$BA$5:$BA$620,Data_tables!$BD$5:$BD$620))*M216,0)</f>
        <v>-6.5134020290109174E-2</v>
      </c>
      <c r="N1325" s="33" cm="1">
        <f t="array" ref="N1325">+IFERROR(IF($C1313="Yes",_xlfn.XLOOKUP(Assumptions!$G$14&amp;$E1313,Data_tables!$AZ$5:$AZ$620&amp;Data_tables!$BA$5:$BA$620,Data_tables!$BD$5:$BD$620))*N216,0)</f>
        <v>-6.6436700695911344E-2</v>
      </c>
      <c r="O1325" s="33" cm="1">
        <f t="array" ref="O1325">+IFERROR(IF($C1313="Yes",_xlfn.XLOOKUP(Assumptions!$G$14&amp;$E1313,Data_tables!$AZ$5:$AZ$620&amp;Data_tables!$BA$5:$BA$620,Data_tables!$BD$5:$BD$620))*O216,0)</f>
        <v>-6.776543470982957E-2</v>
      </c>
      <c r="P1325" s="33" cm="1">
        <f t="array" ref="P1325">+IFERROR(IF($C1313="Yes",_xlfn.XLOOKUP(Assumptions!$G$14&amp;$E1313,Data_tables!$AZ$5:$AZ$620&amp;Data_tables!$BA$5:$BA$620,Data_tables!$BD$5:$BD$620))*P216,0)</f>
        <v>-6.9120743404026172E-2</v>
      </c>
      <c r="Q1325" s="33" cm="1">
        <f t="array" ref="Q1325">+IFERROR(IF($C1313="Yes",_xlfn.XLOOKUP(Assumptions!$G$14&amp;$E1313,Data_tables!$AZ$5:$AZ$620&amp;Data_tables!$BA$5:$BA$620,Data_tables!$BD$5:$BD$620))*Q216,0)</f>
        <v>-7.0503158272106695E-2</v>
      </c>
      <c r="R1325" s="33" cm="1">
        <f t="array" ref="R1325">+IFERROR(IF($C1313="Yes",_xlfn.XLOOKUP(Assumptions!$G$14&amp;$E1313,Data_tables!$AZ$5:$AZ$620&amp;Data_tables!$BA$5:$BA$620,Data_tables!$BD$5:$BD$620))*R216,0)</f>
        <v>-7.1913221437548802E-2</v>
      </c>
      <c r="S1325" s="33" cm="1">
        <f t="array" ref="S1325">+IFERROR(IF($C1313="Yes",_xlfn.XLOOKUP(Assumptions!$G$14&amp;$E1313,Data_tables!$AZ$5:$AZ$620&amp;Data_tables!$BA$5:$BA$620,Data_tables!$BD$5:$BD$620))*S216,0)</f>
        <v>-7.3351485866299804E-2</v>
      </c>
      <c r="T1325" s="33" cm="1">
        <f t="array" ref="T1325">+IFERROR(IF($C1313="Yes",_xlfn.XLOOKUP(Assumptions!$G$14&amp;$E1313,Data_tables!$AZ$5:$AZ$620&amp;Data_tables!$BA$5:$BA$620,Data_tables!$BD$5:$BD$620))*T216,0)</f>
        <v>-7.4818515583625789E-2</v>
      </c>
      <c r="U1325" s="33" cm="1">
        <f t="array" ref="U1325">+IFERROR(IF($C1313="Yes",_xlfn.XLOOKUP(Assumptions!$G$14&amp;$E1313,Data_tables!$AZ$5:$AZ$620&amp;Data_tables!$BA$5:$BA$620,Data_tables!$BD$5:$BD$620))*U216,0)</f>
        <v>-7.6314885895298321E-2</v>
      </c>
      <c r="V1325" s="33" cm="1">
        <f t="array" ref="V1325">+IFERROR(IF($C1313="Yes",_xlfn.XLOOKUP(Assumptions!$G$14&amp;$E1313,Data_tables!$AZ$5:$AZ$620&amp;Data_tables!$BA$5:$BA$620,Data_tables!$BD$5:$BD$620))*V216,0)</f>
        <v>-7.7841183613204259E-2</v>
      </c>
      <c r="W1325" s="33" cm="1">
        <f t="array" ref="W1325">+IFERROR(IF($C1313="Yes",_xlfn.XLOOKUP(Assumptions!$G$14&amp;$E1313,Data_tables!$AZ$5:$AZ$620&amp;Data_tables!$BA$5:$BA$620,Data_tables!$BD$5:$BD$620))*W216,0)</f>
        <v>-7.939800728546835E-2</v>
      </c>
      <c r="X1325" s="33" cm="1">
        <f t="array" ref="X1325">+IFERROR(IF($C1313="Yes",_xlfn.XLOOKUP(Assumptions!$G$14&amp;$E1313,Data_tables!$AZ$5:$AZ$620&amp;Data_tables!$BA$5:$BA$620,Data_tables!$BD$5:$BD$620))*X216,0)</f>
        <v>-8.0985967431177724E-2</v>
      </c>
      <c r="Y1325" s="33" cm="1">
        <f t="array" ref="Y1325">+IFERROR(IF($C1313="Yes",_xlfn.XLOOKUP(Assumptions!$G$14&amp;$E1313,Data_tables!$AZ$5:$AZ$620&amp;Data_tables!$BA$5:$BA$620,Data_tables!$BD$5:$BD$620))*Y216,0)</f>
        <v>-8.2605686779801277E-2</v>
      </c>
      <c r="Z1325" s="33" cm="1">
        <f t="array" ref="Z1325">+IFERROR(IF($C1313="Yes",_xlfn.XLOOKUP(Assumptions!$G$14&amp;$E1313,Data_tables!$AZ$5:$AZ$620&amp;Data_tables!$BA$5:$BA$620,Data_tables!$BD$5:$BD$620))*Z216,0)</f>
        <v>0</v>
      </c>
      <c r="AA1325" s="33" cm="1">
        <f t="array" ref="AA1325">+IFERROR(IF($C1313="Yes",_xlfn.XLOOKUP(Assumptions!$G$14&amp;$E1313,Data_tables!$AZ$5:$AZ$620&amp;Data_tables!$BA$5:$BA$620,Data_tables!$BD$5:$BD$620))*AA216,0)</f>
        <v>0</v>
      </c>
      <c r="AB1325" s="33" cm="1">
        <f t="array" ref="AB1325">+IFERROR(IF($C1313="Yes",_xlfn.XLOOKUP(Assumptions!$G$14&amp;$E1313,Data_tables!$AZ$5:$AZ$620&amp;Data_tables!$BA$5:$BA$620,Data_tables!$BD$5:$BD$620))*AB216,0)</f>
        <v>0</v>
      </c>
      <c r="AC1325" s="33" cm="1">
        <f t="array" ref="AC1325">+IFERROR(IF($C1313="Yes",_xlfn.XLOOKUP(Assumptions!$G$14&amp;$E1313,Data_tables!$AZ$5:$AZ$620&amp;Data_tables!$BA$5:$BA$620,Data_tables!$BD$5:$BD$620))*AC216,0)</f>
        <v>0</v>
      </c>
      <c r="AD1325" s="33" cm="1">
        <f t="array" ref="AD1325">+IFERROR(IF($C1313="Yes",_xlfn.XLOOKUP(Assumptions!$G$14&amp;$E1313,Data_tables!$AZ$5:$AZ$620&amp;Data_tables!$BA$5:$BA$620,Data_tables!$BD$5:$BD$620))*AD216,0)</f>
        <v>0</v>
      </c>
      <c r="AE1325" s="33" cm="1">
        <f t="array" ref="AE1325">+IFERROR(IF($C1313="Yes",_xlfn.XLOOKUP(Assumptions!$G$14&amp;$E1313,Data_tables!$AZ$5:$AZ$620&amp;Data_tables!$BA$5:$BA$620,Data_tables!$BD$5:$BD$620))*AE216,0)</f>
        <v>0</v>
      </c>
      <c r="AF1325" s="33" cm="1">
        <f t="array" ref="AF1325">+IFERROR(IF($C1313="Yes",_xlfn.XLOOKUP(Assumptions!$G$14&amp;$E1313,Data_tables!$AZ$5:$AZ$620&amp;Data_tables!$BA$5:$BA$620,Data_tables!$BD$5:$BD$620))*AF216,0)</f>
        <v>0</v>
      </c>
      <c r="AG1325" s="33" cm="1">
        <f t="array" ref="AG1325">+IFERROR(IF($C1313="Yes",_xlfn.XLOOKUP(Assumptions!$G$14&amp;$E1313,Data_tables!$AZ$5:$AZ$620&amp;Data_tables!$BA$5:$BA$620,Data_tables!$BD$5:$BD$620))*AG216,0)</f>
        <v>0</v>
      </c>
      <c r="AH1325" s="33" cm="1">
        <f t="array" ref="AH1325">+IFERROR(IF($C1313="Yes",_xlfn.XLOOKUP(Assumptions!$G$14&amp;$E1313,Data_tables!$AZ$5:$AZ$620&amp;Data_tables!$BA$5:$BA$620,Data_tables!$BD$5:$BD$620))*AH216,0)</f>
        <v>0</v>
      </c>
      <c r="AI1325" s="33" cm="1">
        <f t="array" ref="AI1325">+IFERROR(IF($C1313="Yes",_xlfn.XLOOKUP(Assumptions!$G$14&amp;$E1313,Data_tables!$AZ$5:$AZ$620&amp;Data_tables!$BA$5:$BA$620,Data_tables!$BD$5:$BD$620))*AI216,0)</f>
        <v>0</v>
      </c>
      <c r="AJ1325" s="33" cm="1">
        <f t="array" ref="AJ1325">+IFERROR(IF($C1313="Yes",_xlfn.XLOOKUP(Assumptions!$G$14&amp;$E1313,Data_tables!$AZ$5:$AZ$620&amp;Data_tables!$BA$5:$BA$620,Data_tables!$BD$5:$BD$620))*AJ216,0)</f>
        <v>0</v>
      </c>
      <c r="AK1325" s="33" cm="1">
        <f t="array" ref="AK1325">+IFERROR(IF($C1313="Yes",_xlfn.XLOOKUP(Assumptions!$G$14&amp;$E1313,Data_tables!$AZ$5:$AZ$620&amp;Data_tables!$BA$5:$BA$620,Data_tables!$BD$5:$BD$620))*AK216,0)</f>
        <v>0</v>
      </c>
      <c r="AL1325" s="33" cm="1">
        <f t="array" ref="AL1325">+IFERROR(IF($C1313="Yes",_xlfn.XLOOKUP(Assumptions!$G$14&amp;$E1313,Data_tables!$AZ$5:$AZ$620&amp;Data_tables!$BA$5:$BA$620,Data_tables!$BD$5:$BD$620))*AL216,0)</f>
        <v>0</v>
      </c>
      <c r="AM1325" s="33" cm="1">
        <f t="array" ref="AM1325">+IFERROR(IF($C1313="Yes",_xlfn.XLOOKUP(Assumptions!$G$14&amp;$E1313,Data_tables!$AZ$5:$AZ$620&amp;Data_tables!$BA$5:$BA$620,Data_tables!$BD$5:$BD$620))*AM216,0)</f>
        <v>0</v>
      </c>
      <c r="AN1325" s="33" cm="1">
        <f t="array" ref="AN1325">+IFERROR(IF($C1313="Yes",_xlfn.XLOOKUP(Assumptions!$G$14&amp;$E1313,Data_tables!$AZ$5:$AZ$620&amp;Data_tables!$BA$5:$BA$620,Data_tables!$BD$5:$BD$620))*AN216,0)</f>
        <v>0</v>
      </c>
      <c r="AO1325" s="33" cm="1">
        <f t="array" ref="AO1325">+IFERROR(IF($C1313="Yes",_xlfn.XLOOKUP(Assumptions!$G$14&amp;$E1313,Data_tables!$AZ$5:$AZ$620&amp;Data_tables!$BA$5:$BA$620,Data_tables!$BD$5:$BD$620))*AO216,0)</f>
        <v>0</v>
      </c>
      <c r="AP1325" s="33" cm="1">
        <f t="array" ref="AP1325">+IFERROR(IF($C1313="Yes",_xlfn.XLOOKUP(Assumptions!$G$14&amp;$E1313,Data_tables!$AZ$5:$AZ$620&amp;Data_tables!$BA$5:$BA$620,Data_tables!$BD$5:$BD$620))*AP216,0)</f>
        <v>0</v>
      </c>
      <c r="AQ1325" s="33" cm="1">
        <f t="array" ref="AQ1325">+IFERROR(IF($C1313="Yes",_xlfn.XLOOKUP(Assumptions!$G$14&amp;$E1313,Data_tables!$AZ$5:$AZ$620&amp;Data_tables!$BA$5:$BA$620,Data_tables!$BD$5:$BD$620))*AQ216,0)</f>
        <v>0</v>
      </c>
      <c r="AR1325" s="33" cm="1">
        <f t="array" ref="AR1325">+IFERROR(IF($C1313="Yes",_xlfn.XLOOKUP(Assumptions!$G$14&amp;$E1313,Data_tables!$AZ$5:$AZ$620&amp;Data_tables!$BA$5:$BA$620,Data_tables!$BD$5:$BD$620))*AR216,0)</f>
        <v>0</v>
      </c>
      <c r="AS1325" s="33" cm="1">
        <f t="array" ref="AS1325">+IFERROR(IF($C1313="Yes",_xlfn.XLOOKUP(Assumptions!$G$14&amp;$E1313,Data_tables!$AZ$5:$AZ$620&amp;Data_tables!$BA$5:$BA$620,Data_tables!$BD$5:$BD$620))*AS216,0)</f>
        <v>0</v>
      </c>
      <c r="AT1325" s="33" cm="1">
        <f t="array" ref="AT1325">+IFERROR(IF($C1313="Yes",_xlfn.XLOOKUP(Assumptions!$G$14&amp;$E1313,Data_tables!$AZ$5:$AZ$620&amp;Data_tables!$BA$5:$BA$620,Data_tables!$BD$5:$BD$620))*AT216,0)</f>
        <v>0</v>
      </c>
      <c r="AU1325" s="33" cm="1">
        <f t="array" ref="AU1325">+IFERROR(IF($C1313="Yes",_xlfn.XLOOKUP(Assumptions!$G$14&amp;$E1313,Data_tables!$AZ$5:$AZ$620&amp;Data_tables!$BA$5:$BA$620,Data_tables!$BD$5:$BD$620))*AU216,0)</f>
        <v>0</v>
      </c>
      <c r="AV1325" s="33" cm="1">
        <f t="array" ref="AV1325">+IFERROR(IF($C1313="Yes",_xlfn.XLOOKUP(Assumptions!$G$14&amp;$E1313,Data_tables!$AZ$5:$AZ$620&amp;Data_tables!$BA$5:$BA$620,Data_tables!$BD$5:$BD$620))*AV216,0)</f>
        <v>0</v>
      </c>
      <c r="AW1325" s="33" cm="1">
        <f t="array" ref="AW1325">+IFERROR(IF($C1313="Yes",_xlfn.XLOOKUP(Assumptions!$G$14&amp;$E1313,Data_tables!$AZ$5:$AZ$620&amp;Data_tables!$BA$5:$BA$620,Data_tables!$BD$5:$BD$620))*AW216,0)</f>
        <v>0</v>
      </c>
      <c r="AX1325" s="33" cm="1">
        <f t="array" ref="AX1325">+IFERROR(IF($C1313="Yes",_xlfn.XLOOKUP(Assumptions!$G$14&amp;$E1313,Data_tables!$AZ$5:$AZ$620&amp;Data_tables!$BA$5:$BA$620,Data_tables!$BD$5:$BD$620))*AX216,0)</f>
        <v>0</v>
      </c>
      <c r="AY1325" s="33" cm="1">
        <f t="array" ref="AY1325">+IFERROR(IF($C1313="Yes",_xlfn.XLOOKUP(Assumptions!$G$14&amp;$E1313,Data_tables!$AZ$5:$AZ$620&amp;Data_tables!$BA$5:$BA$620,Data_tables!$BD$5:$BD$620))*AY216,0)</f>
        <v>0</v>
      </c>
      <c r="AZ1325" s="33" cm="1">
        <f t="array" ref="AZ1325">+IFERROR(IF($C1313="Yes",_xlfn.XLOOKUP(Assumptions!$G$14&amp;$E1313,Data_tables!$AZ$5:$AZ$620&amp;Data_tables!$BA$5:$BA$620,Data_tables!$BD$5:$BD$620))*AZ216,0)</f>
        <v>0</v>
      </c>
      <c r="BA1325" s="33" cm="1">
        <f t="array" ref="BA1325">+IFERROR(IF($C1313="Yes",_xlfn.XLOOKUP(Assumptions!$G$14&amp;$E1313,Data_tables!$AZ$5:$AZ$620&amp;Data_tables!$BA$5:$BA$620,Data_tables!$BD$5:$BD$620))*BA216,0)</f>
        <v>0</v>
      </c>
      <c r="BB1325" s="33" cm="1">
        <f t="array" ref="BB1325">+IFERROR(IF($C1313="Yes",_xlfn.XLOOKUP(Assumptions!$G$14&amp;$E1313,Data_tables!$AZ$5:$AZ$620&amp;Data_tables!$BA$5:$BA$620,Data_tables!$BD$5:$BD$620))*BB216,0)</f>
        <v>0</v>
      </c>
      <c r="BC1325" s="33" cm="1">
        <f t="array" ref="BC1325">+IFERROR(IF($C1313="Yes",_xlfn.XLOOKUP(Assumptions!$G$14&amp;$E1313,Data_tables!$AZ$5:$AZ$620&amp;Data_tables!$BA$5:$BA$620,Data_tables!$BD$5:$BD$620))*BC216,0)</f>
        <v>0</v>
      </c>
      <c r="BD1325" s="33" cm="1">
        <f t="array" ref="BD1325">+IFERROR(IF($C1313="Yes",_xlfn.XLOOKUP(Assumptions!$G$14&amp;$E1313,Data_tables!$AZ$5:$AZ$620&amp;Data_tables!$BA$5:$BA$620,Data_tables!$BD$5:$BD$620))*BD216,0)</f>
        <v>0</v>
      </c>
      <c r="BE1325" s="33" cm="1">
        <f t="array" ref="BE1325">+IFERROR(IF($C1313="Yes",_xlfn.XLOOKUP(Assumptions!$G$14&amp;$E1313,Data_tables!$AZ$5:$AZ$620&amp;Data_tables!$BA$5:$BA$620,Data_tables!$BD$5:$BD$620))*BE216,0)</f>
        <v>0</v>
      </c>
      <c r="BF1325" s="33" cm="1">
        <f t="array" ref="BF1325">+IFERROR(IF($C1313="Yes",_xlfn.XLOOKUP(Assumptions!$G$14&amp;$E1313,Data_tables!$AZ$5:$AZ$620&amp;Data_tables!$BA$5:$BA$620,Data_tables!$BD$5:$BD$620))*BF216,0)</f>
        <v>0</v>
      </c>
      <c r="BG1325" s="33" cm="1">
        <f t="array" ref="BG1325">+IFERROR(IF($C1313="Yes",_xlfn.XLOOKUP(Assumptions!$G$14&amp;$E1313,Data_tables!$AZ$5:$AZ$620&amp;Data_tables!$BA$5:$BA$620,Data_tables!$BD$5:$BD$620))*BG216,0)</f>
        <v>0</v>
      </c>
      <c r="BH1325" s="33" cm="1">
        <f t="array" ref="BH1325">+IFERROR(IF($C1313="Yes",_xlfn.XLOOKUP(Assumptions!$G$14&amp;$E1313,Data_tables!$AZ$5:$AZ$620&amp;Data_tables!$BA$5:$BA$620,Data_tables!$BD$5:$BD$620))*BH216,0)</f>
        <v>0</v>
      </c>
      <c r="BI1325" s="33" cm="1">
        <f t="array" ref="BI1325">+IFERROR(IF($C1313="Yes",_xlfn.XLOOKUP(Assumptions!$G$14&amp;$E1313,Data_tables!$AZ$5:$AZ$620&amp;Data_tables!$BA$5:$BA$620,Data_tables!$BD$5:$BD$620))*BI216,0)</f>
        <v>0</v>
      </c>
      <c r="BJ1325" s="33" cm="1">
        <f t="array" ref="BJ1325">+IFERROR(IF($C1313="Yes",_xlfn.XLOOKUP(Assumptions!$G$14&amp;$E1313,Data_tables!$AZ$5:$AZ$620&amp;Data_tables!$BA$5:$BA$620,Data_tables!$BD$5:$BD$620))*BJ216,0)</f>
        <v>0</v>
      </c>
      <c r="BK1325" s="33" cm="1">
        <f t="array" ref="BK1325">+IFERROR(IF($C1313="Yes",_xlfn.XLOOKUP(Assumptions!$G$14&amp;$E1313,Data_tables!$AZ$5:$AZ$620&amp;Data_tables!$BA$5:$BA$620,Data_tables!$BD$5:$BD$620))*BK216,0)</f>
        <v>0</v>
      </c>
      <c r="BL1325" s="33" cm="1">
        <f t="array" ref="BL1325">+IFERROR(IF($C1313="Yes",_xlfn.XLOOKUP(Assumptions!$G$14&amp;$E1313,Data_tables!$AZ$5:$AZ$620&amp;Data_tables!$BA$5:$BA$620,Data_tables!$BD$5:$BD$620))*BL216,0)</f>
        <v>0</v>
      </c>
      <c r="BM1325" s="33" cm="1">
        <f t="array" ref="BM1325">+IFERROR(IF($C1313="Yes",_xlfn.XLOOKUP(Assumptions!$G$14&amp;$E1313,Data_tables!$AZ$5:$AZ$620&amp;Data_tables!$BA$5:$BA$620,Data_tables!$BD$5:$BD$620))*BM216,0)</f>
        <v>0</v>
      </c>
      <c r="BN1325" s="33" cm="1">
        <f t="array" ref="BN1325">+IFERROR(IF($C1313="Yes",_xlfn.XLOOKUP(Assumptions!$G$14&amp;$E1313,Data_tables!$AZ$5:$AZ$620&amp;Data_tables!$BA$5:$BA$620,Data_tables!$BD$5:$BD$620))*BN216,0)</f>
        <v>0</v>
      </c>
      <c r="BO1325" s="33" cm="1">
        <f t="array" ref="BO1325">+IFERROR(IF($C1313="Yes",_xlfn.XLOOKUP(Assumptions!$G$14&amp;$E1313,Data_tables!$AZ$5:$AZ$620&amp;Data_tables!$BA$5:$BA$620,Data_tables!$BD$5:$BD$620))*BO216,0)</f>
        <v>0</v>
      </c>
      <c r="BP1325" s="33" cm="1">
        <f t="array" ref="BP1325">+IFERROR(IF($C1313="Yes",_xlfn.XLOOKUP(Assumptions!$G$14&amp;$E1313,Data_tables!$AZ$5:$AZ$620&amp;Data_tables!$BA$5:$BA$620,Data_tables!$BD$5:$BD$620))*BP216,0)</f>
        <v>0</v>
      </c>
      <c r="BQ1325" s="33" cm="1">
        <f t="array" ref="BQ1325">+IFERROR(IF($C1313="Yes",_xlfn.XLOOKUP(Assumptions!$G$14&amp;$E1313,Data_tables!$AZ$5:$AZ$620&amp;Data_tables!$BA$5:$BA$620,Data_tables!$BD$5:$BD$620))*BQ216,0)</f>
        <v>0</v>
      </c>
      <c r="BR1325" s="33" cm="1">
        <f t="array" ref="BR1325">+IFERROR(IF($C1313="Yes",_xlfn.XLOOKUP(Assumptions!$G$14&amp;$E1313,Data_tables!$AZ$5:$AZ$620&amp;Data_tables!$BA$5:$BA$620,Data_tables!$BD$5:$BD$620))*BR216,0)</f>
        <v>0</v>
      </c>
      <c r="BS1325" s="33" cm="1">
        <f t="array" ref="BS1325">+IFERROR(IF($C1313="Yes",_xlfn.XLOOKUP(Assumptions!$G$14&amp;$E1313,Data_tables!$AZ$5:$AZ$620&amp;Data_tables!$BA$5:$BA$620,Data_tables!$BD$5:$BD$620))*BS216,0)</f>
        <v>0</v>
      </c>
      <c r="BT1325" s="33" cm="1">
        <f t="array" ref="BT1325">+IFERROR(IF($C1313="Yes",_xlfn.XLOOKUP(Assumptions!$G$14&amp;$E1313,Data_tables!$AZ$5:$AZ$620&amp;Data_tables!$BA$5:$BA$620,Data_tables!$BD$5:$BD$620))*BT216,0)</f>
        <v>0</v>
      </c>
      <c r="BU1325" s="33" cm="1">
        <f t="array" ref="BU1325">+IFERROR(IF($C1313="Yes",_xlfn.XLOOKUP(Assumptions!$G$14&amp;$E1313,Data_tables!$AZ$5:$AZ$620&amp;Data_tables!$BA$5:$BA$620,Data_tables!$BD$5:$BD$620))*BU216,0)</f>
        <v>0</v>
      </c>
      <c r="BV1325" s="33" cm="1">
        <f t="array" ref="BV1325">+IFERROR(IF($C1313="Yes",_xlfn.XLOOKUP(Assumptions!$G$14&amp;$E1313,Data_tables!$AZ$5:$AZ$620&amp;Data_tables!$BA$5:$BA$620,Data_tables!$BD$5:$BD$620))*BV216,0)</f>
        <v>0</v>
      </c>
      <c r="BW1325" s="33" cm="1">
        <f t="array" ref="BW1325">+IFERROR(IF($C1313="Yes",_xlfn.XLOOKUP(Assumptions!$G$14&amp;$E1313,Data_tables!$AZ$5:$AZ$620&amp;Data_tables!$BA$5:$BA$620,Data_tables!$BD$5:$BD$620))*BW216,0)</f>
        <v>0</v>
      </c>
      <c r="BX1325" s="33" cm="1">
        <f t="array" ref="BX1325">+IFERROR(IF($C1313="Yes",_xlfn.XLOOKUP(Assumptions!$G$14&amp;$E1313,Data_tables!$AZ$5:$AZ$620&amp;Data_tables!$BA$5:$BA$620,Data_tables!$BD$5:$BD$620))*BX216,0)</f>
        <v>0</v>
      </c>
      <c r="BY1325" s="33" cm="1">
        <f t="array" ref="BY1325">+IFERROR(IF($C1313="Yes",_xlfn.XLOOKUP(Assumptions!$G$14&amp;$E1313,Data_tables!$AZ$5:$AZ$620&amp;Data_tables!$BA$5:$BA$620,Data_tables!$BD$5:$BD$620))*BY216,0)</f>
        <v>0</v>
      </c>
    </row>
    <row r="1326" spans="1:77" s="35" customFormat="1" outlineLevel="1">
      <c r="A1326" s="776"/>
      <c r="B1326" s="776"/>
      <c r="C1326" s="33" t="str">
        <f t="shared" si="2501"/>
        <v>Yes</v>
      </c>
      <c r="D1326" s="33"/>
      <c r="E1326" t="s">
        <v>409</v>
      </c>
      <c r="F1326" s="104" t="s">
        <v>640</v>
      </c>
      <c r="G1326" s="33"/>
      <c r="H1326" s="33" cm="1">
        <f t="array" ref="H1326">+IF($C1314="Yes",_xlfn.XLOOKUP(Assumptions!$G$14&amp;$E1314,Data_tables!$AZ$5:$AZ$620&amp;Data_tables!$BA$5:$BA$620,Data_tables!$BD$5:$BD$620))*H211</f>
        <v>0</v>
      </c>
      <c r="I1326" s="33" cm="1">
        <f t="array" ref="I1326">+IF($C1314="Yes",_xlfn.XLOOKUP(Assumptions!$G$14&amp;$E1314,Data_tables!$AZ$5:$AZ$620&amp;Data_tables!$BA$5:$BA$620,Data_tables!$BD$5:$BD$620))*I211</f>
        <v>-12.715859629527051</v>
      </c>
      <c r="J1326" s="33" cm="1">
        <f t="array" ref="J1326">+IF($C1314="Yes",_xlfn.XLOOKUP(Assumptions!$G$14&amp;$E1314,Data_tables!$AZ$5:$AZ$620&amp;Data_tables!$BA$5:$BA$620,Data_tables!$BD$5:$BD$620))*J211</f>
        <v>-12.97017682211759</v>
      </c>
      <c r="K1326" s="33" cm="1">
        <f t="array" ref="K1326">+IF($C1314="Yes",_xlfn.XLOOKUP(Assumptions!$G$14&amp;$E1314,Data_tables!$AZ$5:$AZ$620&amp;Data_tables!$BA$5:$BA$620,Data_tables!$BD$5:$BD$620))*K211</f>
        <v>0</v>
      </c>
      <c r="L1326" s="33" cm="1">
        <f t="array" ref="L1326">+IF($C1314="Yes",_xlfn.XLOOKUP(Assumptions!$G$14&amp;$E1314,Data_tables!$AZ$5:$AZ$620&amp;Data_tables!$BA$5:$BA$620,Data_tables!$BD$5:$BD$620))*L211</f>
        <v>0</v>
      </c>
      <c r="M1326" s="33" cm="1">
        <f t="array" ref="M1326">+IF($C1314="Yes",_xlfn.XLOOKUP(Assumptions!$G$14&amp;$E1314,Data_tables!$AZ$5:$AZ$620&amp;Data_tables!$BA$5:$BA$620,Data_tables!$BD$5:$BD$620))*M211</f>
        <v>0</v>
      </c>
      <c r="N1326" s="33" cm="1">
        <f t="array" ref="N1326">+IF($C1314="Yes",_xlfn.XLOOKUP(Assumptions!$G$14&amp;$E1314,Data_tables!$AZ$5:$AZ$620&amp;Data_tables!$BA$5:$BA$620,Data_tables!$BD$5:$BD$620))*N211</f>
        <v>0</v>
      </c>
      <c r="O1326" s="33" cm="1">
        <f t="array" ref="O1326">+IF($C1314="Yes",_xlfn.XLOOKUP(Assumptions!$G$14&amp;$E1314,Data_tables!$AZ$5:$AZ$620&amp;Data_tables!$BA$5:$BA$620,Data_tables!$BD$5:$BD$620))*O211</f>
        <v>0</v>
      </c>
      <c r="P1326" s="33" cm="1">
        <f t="array" ref="P1326">+IF($C1314="Yes",_xlfn.XLOOKUP(Assumptions!$G$14&amp;$E1314,Data_tables!$AZ$5:$AZ$620&amp;Data_tables!$BA$5:$BA$620,Data_tables!$BD$5:$BD$620))*P211</f>
        <v>0</v>
      </c>
      <c r="Q1326" s="33" cm="1">
        <f t="array" ref="Q1326">+IF($C1314="Yes",_xlfn.XLOOKUP(Assumptions!$G$14&amp;$E1314,Data_tables!$AZ$5:$AZ$620&amp;Data_tables!$BA$5:$BA$620,Data_tables!$BD$5:$BD$620))*Q211</f>
        <v>0</v>
      </c>
      <c r="R1326" s="33" cm="1">
        <f t="array" ref="R1326">+IF($C1314="Yes",_xlfn.XLOOKUP(Assumptions!$G$14&amp;$E1314,Data_tables!$AZ$5:$AZ$620&amp;Data_tables!$BA$5:$BA$620,Data_tables!$BD$5:$BD$620))*R211</f>
        <v>0</v>
      </c>
      <c r="S1326" s="33" cm="1">
        <f t="array" ref="S1326">+IF($C1314="Yes",_xlfn.XLOOKUP(Assumptions!$G$14&amp;$E1314,Data_tables!$AZ$5:$AZ$620&amp;Data_tables!$BA$5:$BA$620,Data_tables!$BD$5:$BD$620))*S211</f>
        <v>0</v>
      </c>
      <c r="T1326" s="33" cm="1">
        <f t="array" ref="T1326">+IF($C1314="Yes",_xlfn.XLOOKUP(Assumptions!$G$14&amp;$E1314,Data_tables!$AZ$5:$AZ$620&amp;Data_tables!$BA$5:$BA$620,Data_tables!$BD$5:$BD$620))*T211</f>
        <v>0</v>
      </c>
      <c r="U1326" s="33" cm="1">
        <f t="array" ref="U1326">+IF($C1314="Yes",_xlfn.XLOOKUP(Assumptions!$G$14&amp;$E1314,Data_tables!$AZ$5:$AZ$620&amp;Data_tables!$BA$5:$BA$620,Data_tables!$BD$5:$BD$620))*U211</f>
        <v>0</v>
      </c>
      <c r="V1326" s="33" cm="1">
        <f t="array" ref="V1326">+IF($C1314="Yes",_xlfn.XLOOKUP(Assumptions!$G$14&amp;$E1314,Data_tables!$AZ$5:$AZ$620&amp;Data_tables!$BA$5:$BA$620,Data_tables!$BD$5:$BD$620))*V211</f>
        <v>0</v>
      </c>
      <c r="W1326" s="33" cm="1">
        <f t="array" ref="W1326">+IF($C1314="Yes",_xlfn.XLOOKUP(Assumptions!$G$14&amp;$E1314,Data_tables!$AZ$5:$AZ$620&amp;Data_tables!$BA$5:$BA$620,Data_tables!$BD$5:$BD$620))*W211</f>
        <v>0</v>
      </c>
      <c r="X1326" s="33" cm="1">
        <f t="array" ref="X1326">+IF($C1314="Yes",_xlfn.XLOOKUP(Assumptions!$G$14&amp;$E1314,Data_tables!$AZ$5:$AZ$620&amp;Data_tables!$BA$5:$BA$620,Data_tables!$BD$5:$BD$620))*X211</f>
        <v>0</v>
      </c>
      <c r="Y1326" s="33" cm="1">
        <f t="array" ref="Y1326">+IF($C1314="Yes",_xlfn.XLOOKUP(Assumptions!$G$14&amp;$E1314,Data_tables!$AZ$5:$AZ$620&amp;Data_tables!$BA$5:$BA$620,Data_tables!$BD$5:$BD$620))*Y211</f>
        <v>0</v>
      </c>
      <c r="Z1326" s="33" cm="1">
        <f t="array" ref="Z1326">+IF($C1314="Yes",_xlfn.XLOOKUP(Assumptions!$G$14&amp;$E1314,Data_tables!$AZ$5:$AZ$620&amp;Data_tables!$BA$5:$BA$620,Data_tables!$BD$5:$BD$620))*Z211</f>
        <v>0</v>
      </c>
      <c r="AA1326" s="33" cm="1">
        <f t="array" ref="AA1326">+IF($C1314="Yes",_xlfn.XLOOKUP(Assumptions!$G$14&amp;$E1314,Data_tables!$AZ$5:$AZ$620&amp;Data_tables!$BA$5:$BA$620,Data_tables!$BD$5:$BD$620))*AA211</f>
        <v>0</v>
      </c>
      <c r="AB1326" s="33" cm="1">
        <f t="array" ref="AB1326">+IF($C1314="Yes",_xlfn.XLOOKUP(Assumptions!$G$14&amp;$E1314,Data_tables!$AZ$5:$AZ$620&amp;Data_tables!$BA$5:$BA$620,Data_tables!$BD$5:$BD$620))*AB211</f>
        <v>0</v>
      </c>
      <c r="AC1326" s="33" cm="1">
        <f t="array" ref="AC1326">+IF($C1314="Yes",_xlfn.XLOOKUP(Assumptions!$G$14&amp;$E1314,Data_tables!$AZ$5:$AZ$620&amp;Data_tables!$BA$5:$BA$620,Data_tables!$BD$5:$BD$620))*AC211</f>
        <v>0</v>
      </c>
      <c r="AD1326" s="33" cm="1">
        <f t="array" ref="AD1326">+IF($C1314="Yes",_xlfn.XLOOKUP(Assumptions!$G$14&amp;$E1314,Data_tables!$AZ$5:$AZ$620&amp;Data_tables!$BA$5:$BA$620,Data_tables!$BD$5:$BD$620))*AD211</f>
        <v>0</v>
      </c>
      <c r="AE1326" s="33" cm="1">
        <f t="array" ref="AE1326">+IF($C1314="Yes",_xlfn.XLOOKUP(Assumptions!$G$14&amp;$E1314,Data_tables!$AZ$5:$AZ$620&amp;Data_tables!$BA$5:$BA$620,Data_tables!$BD$5:$BD$620))*AE211</f>
        <v>0</v>
      </c>
      <c r="AF1326" s="33" cm="1">
        <f t="array" ref="AF1326">+IF($C1314="Yes",_xlfn.XLOOKUP(Assumptions!$G$14&amp;$E1314,Data_tables!$AZ$5:$AZ$620&amp;Data_tables!$BA$5:$BA$620,Data_tables!$BD$5:$BD$620))*AF211</f>
        <v>0</v>
      </c>
      <c r="AG1326" s="33" cm="1">
        <f t="array" ref="AG1326">+IF($C1314="Yes",_xlfn.XLOOKUP(Assumptions!$G$14&amp;$E1314,Data_tables!$AZ$5:$AZ$620&amp;Data_tables!$BA$5:$BA$620,Data_tables!$BD$5:$BD$620))*AG211</f>
        <v>0</v>
      </c>
      <c r="AH1326" s="33" cm="1">
        <f t="array" ref="AH1326">+IF($C1314="Yes",_xlfn.XLOOKUP(Assumptions!$G$14&amp;$E1314,Data_tables!$AZ$5:$AZ$620&amp;Data_tables!$BA$5:$BA$620,Data_tables!$BD$5:$BD$620))*AH211</f>
        <v>0</v>
      </c>
      <c r="AI1326" s="33" cm="1">
        <f t="array" ref="AI1326">+IF($C1314="Yes",_xlfn.XLOOKUP(Assumptions!$G$14&amp;$E1314,Data_tables!$AZ$5:$AZ$620&amp;Data_tables!$BA$5:$BA$620,Data_tables!$BD$5:$BD$620))*AI211</f>
        <v>0</v>
      </c>
      <c r="AJ1326" s="33" cm="1">
        <f t="array" ref="AJ1326">+IF($C1314="Yes",_xlfn.XLOOKUP(Assumptions!$G$14&amp;$E1314,Data_tables!$AZ$5:$AZ$620&amp;Data_tables!$BA$5:$BA$620,Data_tables!$BD$5:$BD$620))*AJ211</f>
        <v>0</v>
      </c>
      <c r="AK1326" s="33" cm="1">
        <f t="array" ref="AK1326">+IF($C1314="Yes",_xlfn.XLOOKUP(Assumptions!$G$14&amp;$E1314,Data_tables!$AZ$5:$AZ$620&amp;Data_tables!$BA$5:$BA$620,Data_tables!$BD$5:$BD$620))*AK211</f>
        <v>0</v>
      </c>
      <c r="AL1326" s="33" cm="1">
        <f t="array" ref="AL1326">+IF($C1314="Yes",_xlfn.XLOOKUP(Assumptions!$G$14&amp;$E1314,Data_tables!$AZ$5:$AZ$620&amp;Data_tables!$BA$5:$BA$620,Data_tables!$BD$5:$BD$620))*AL211</f>
        <v>0</v>
      </c>
      <c r="AM1326" s="33" cm="1">
        <f t="array" ref="AM1326">+IF($C1314="Yes",_xlfn.XLOOKUP(Assumptions!$G$14&amp;$E1314,Data_tables!$AZ$5:$AZ$620&amp;Data_tables!$BA$5:$BA$620,Data_tables!$BD$5:$BD$620))*AM211</f>
        <v>0</v>
      </c>
      <c r="AN1326" s="33" cm="1">
        <f t="array" ref="AN1326">+IF($C1314="Yes",_xlfn.XLOOKUP(Assumptions!$G$14&amp;$E1314,Data_tables!$AZ$5:$AZ$620&amp;Data_tables!$BA$5:$BA$620,Data_tables!$BD$5:$BD$620))*AN211</f>
        <v>0</v>
      </c>
      <c r="AO1326" s="33" cm="1">
        <f t="array" ref="AO1326">+IF($C1314="Yes",_xlfn.XLOOKUP(Assumptions!$G$14&amp;$E1314,Data_tables!$AZ$5:$AZ$620&amp;Data_tables!$BA$5:$BA$620,Data_tables!$BD$5:$BD$620))*AO211</f>
        <v>0</v>
      </c>
      <c r="AP1326" s="33" cm="1">
        <f t="array" ref="AP1326">+IF($C1314="Yes",_xlfn.XLOOKUP(Assumptions!$G$14&amp;$E1314,Data_tables!$AZ$5:$AZ$620&amp;Data_tables!$BA$5:$BA$620,Data_tables!$BD$5:$BD$620))*AP211</f>
        <v>0</v>
      </c>
      <c r="AQ1326" s="33" cm="1">
        <f t="array" ref="AQ1326">+IF($C1314="Yes",_xlfn.XLOOKUP(Assumptions!$G$14&amp;$E1314,Data_tables!$AZ$5:$AZ$620&amp;Data_tables!$BA$5:$BA$620,Data_tables!$BD$5:$BD$620))*AQ211</f>
        <v>0</v>
      </c>
      <c r="AR1326" s="33" cm="1">
        <f t="array" ref="AR1326">+IF($C1314="Yes",_xlfn.XLOOKUP(Assumptions!$G$14&amp;$E1314,Data_tables!$AZ$5:$AZ$620&amp;Data_tables!$BA$5:$BA$620,Data_tables!$BD$5:$BD$620))*AR211</f>
        <v>0</v>
      </c>
      <c r="AS1326" s="33" cm="1">
        <f t="array" ref="AS1326">+IF($C1314="Yes",_xlfn.XLOOKUP(Assumptions!$G$14&amp;$E1314,Data_tables!$AZ$5:$AZ$620&amp;Data_tables!$BA$5:$BA$620,Data_tables!$BD$5:$BD$620))*AS211</f>
        <v>0</v>
      </c>
      <c r="AT1326" s="33" cm="1">
        <f t="array" ref="AT1326">+IF($C1314="Yes",_xlfn.XLOOKUP(Assumptions!$G$14&amp;$E1314,Data_tables!$AZ$5:$AZ$620&amp;Data_tables!$BA$5:$BA$620,Data_tables!$BD$5:$BD$620))*AT211</f>
        <v>0</v>
      </c>
      <c r="AU1326" s="33" cm="1">
        <f t="array" ref="AU1326">+IF($C1314="Yes",_xlfn.XLOOKUP(Assumptions!$G$14&amp;$E1314,Data_tables!$AZ$5:$AZ$620&amp;Data_tables!$BA$5:$BA$620,Data_tables!$BD$5:$BD$620))*AU211</f>
        <v>0</v>
      </c>
      <c r="AV1326" s="33" cm="1">
        <f t="array" ref="AV1326">+IF($C1314="Yes",_xlfn.XLOOKUP(Assumptions!$G$14&amp;$E1314,Data_tables!$AZ$5:$AZ$620&amp;Data_tables!$BA$5:$BA$620,Data_tables!$BD$5:$BD$620))*AV211</f>
        <v>0</v>
      </c>
      <c r="AW1326" s="33" cm="1">
        <f t="array" ref="AW1326">+IF($C1314="Yes",_xlfn.XLOOKUP(Assumptions!$G$14&amp;$E1314,Data_tables!$AZ$5:$AZ$620&amp;Data_tables!$BA$5:$BA$620,Data_tables!$BD$5:$BD$620))*AW211</f>
        <v>0</v>
      </c>
      <c r="AX1326" s="33" cm="1">
        <f t="array" ref="AX1326">+IF($C1314="Yes",_xlfn.XLOOKUP(Assumptions!$G$14&amp;$E1314,Data_tables!$AZ$5:$AZ$620&amp;Data_tables!$BA$5:$BA$620,Data_tables!$BD$5:$BD$620))*AX211</f>
        <v>0</v>
      </c>
      <c r="AY1326" s="33" cm="1">
        <f t="array" ref="AY1326">+IF($C1314="Yes",_xlfn.XLOOKUP(Assumptions!$G$14&amp;$E1314,Data_tables!$AZ$5:$AZ$620&amp;Data_tables!$BA$5:$BA$620,Data_tables!$BD$5:$BD$620))*AY211</f>
        <v>0</v>
      </c>
      <c r="AZ1326" s="33" cm="1">
        <f t="array" ref="AZ1326">+IF($C1314="Yes",_xlfn.XLOOKUP(Assumptions!$G$14&amp;$E1314,Data_tables!$AZ$5:$AZ$620&amp;Data_tables!$BA$5:$BA$620,Data_tables!$BD$5:$BD$620))*AZ211</f>
        <v>0</v>
      </c>
      <c r="BA1326" s="33" cm="1">
        <f t="array" ref="BA1326">+IF($C1314="Yes",_xlfn.XLOOKUP(Assumptions!$G$14&amp;$E1314,Data_tables!$AZ$5:$AZ$620&amp;Data_tables!$BA$5:$BA$620,Data_tables!$BD$5:$BD$620))*BA211</f>
        <v>0</v>
      </c>
      <c r="BB1326" s="33" cm="1">
        <f t="array" ref="BB1326">+IF($C1314="Yes",_xlfn.XLOOKUP(Assumptions!$G$14&amp;$E1314,Data_tables!$AZ$5:$AZ$620&amp;Data_tables!$BA$5:$BA$620,Data_tables!$BD$5:$BD$620))*BB211</f>
        <v>0</v>
      </c>
      <c r="BC1326" s="33" cm="1">
        <f t="array" ref="BC1326">+IF($C1314="Yes",_xlfn.XLOOKUP(Assumptions!$G$14&amp;$E1314,Data_tables!$AZ$5:$AZ$620&amp;Data_tables!$BA$5:$BA$620,Data_tables!$BD$5:$BD$620))*BC211</f>
        <v>0</v>
      </c>
      <c r="BD1326" s="33" cm="1">
        <f t="array" ref="BD1326">+IF($C1314="Yes",_xlfn.XLOOKUP(Assumptions!$G$14&amp;$E1314,Data_tables!$AZ$5:$AZ$620&amp;Data_tables!$BA$5:$BA$620,Data_tables!$BD$5:$BD$620))*BD211</f>
        <v>0</v>
      </c>
      <c r="BE1326" s="33" cm="1">
        <f t="array" ref="BE1326">+IF($C1314="Yes",_xlfn.XLOOKUP(Assumptions!$G$14&amp;$E1314,Data_tables!$AZ$5:$AZ$620&amp;Data_tables!$BA$5:$BA$620,Data_tables!$BD$5:$BD$620))*BE211</f>
        <v>0</v>
      </c>
      <c r="BF1326" s="33" cm="1">
        <f t="array" ref="BF1326">+IF($C1314="Yes",_xlfn.XLOOKUP(Assumptions!$G$14&amp;$E1314,Data_tables!$AZ$5:$AZ$620&amp;Data_tables!$BA$5:$BA$620,Data_tables!$BD$5:$BD$620))*BF211</f>
        <v>0</v>
      </c>
      <c r="BG1326" s="33" cm="1">
        <f t="array" ref="BG1326">+IF($C1314="Yes",_xlfn.XLOOKUP(Assumptions!$G$14&amp;$E1314,Data_tables!$AZ$5:$AZ$620&amp;Data_tables!$BA$5:$BA$620,Data_tables!$BD$5:$BD$620))*BG211</f>
        <v>0</v>
      </c>
      <c r="BH1326" s="33" cm="1">
        <f t="array" ref="BH1326">+IF($C1314="Yes",_xlfn.XLOOKUP(Assumptions!$G$14&amp;$E1314,Data_tables!$AZ$5:$AZ$620&amp;Data_tables!$BA$5:$BA$620,Data_tables!$BD$5:$BD$620))*BH211</f>
        <v>0</v>
      </c>
      <c r="BI1326" s="33" cm="1">
        <f t="array" ref="BI1326">+IF($C1314="Yes",_xlfn.XLOOKUP(Assumptions!$G$14&amp;$E1314,Data_tables!$AZ$5:$AZ$620&amp;Data_tables!$BA$5:$BA$620,Data_tables!$BD$5:$BD$620))*BI211</f>
        <v>0</v>
      </c>
      <c r="BJ1326" s="33" cm="1">
        <f t="array" ref="BJ1326">+IF($C1314="Yes",_xlfn.XLOOKUP(Assumptions!$G$14&amp;$E1314,Data_tables!$AZ$5:$AZ$620&amp;Data_tables!$BA$5:$BA$620,Data_tables!$BD$5:$BD$620))*BJ211</f>
        <v>0</v>
      </c>
      <c r="BK1326" s="33" cm="1">
        <f t="array" ref="BK1326">+IF($C1314="Yes",_xlfn.XLOOKUP(Assumptions!$G$14&amp;$E1314,Data_tables!$AZ$5:$AZ$620&amp;Data_tables!$BA$5:$BA$620,Data_tables!$BD$5:$BD$620))*BK211</f>
        <v>0</v>
      </c>
      <c r="BL1326" s="33" cm="1">
        <f t="array" ref="BL1326">+IF($C1314="Yes",_xlfn.XLOOKUP(Assumptions!$G$14&amp;$E1314,Data_tables!$AZ$5:$AZ$620&amp;Data_tables!$BA$5:$BA$620,Data_tables!$BD$5:$BD$620))*BL211</f>
        <v>0</v>
      </c>
      <c r="BM1326" s="33" cm="1">
        <f t="array" ref="BM1326">+IF($C1314="Yes",_xlfn.XLOOKUP(Assumptions!$G$14&amp;$E1314,Data_tables!$AZ$5:$AZ$620&amp;Data_tables!$BA$5:$BA$620,Data_tables!$BD$5:$BD$620))*BM211</f>
        <v>0</v>
      </c>
      <c r="BN1326" s="33" cm="1">
        <f t="array" ref="BN1326">+IF($C1314="Yes",_xlfn.XLOOKUP(Assumptions!$G$14&amp;$E1314,Data_tables!$AZ$5:$AZ$620&amp;Data_tables!$BA$5:$BA$620,Data_tables!$BD$5:$BD$620))*BN211</f>
        <v>0</v>
      </c>
      <c r="BO1326" s="33" cm="1">
        <f t="array" ref="BO1326">+IF($C1314="Yes",_xlfn.XLOOKUP(Assumptions!$G$14&amp;$E1314,Data_tables!$AZ$5:$AZ$620&amp;Data_tables!$BA$5:$BA$620,Data_tables!$BD$5:$BD$620))*BO211</f>
        <v>0</v>
      </c>
      <c r="BP1326" s="33" cm="1">
        <f t="array" ref="BP1326">+IF($C1314="Yes",_xlfn.XLOOKUP(Assumptions!$G$14&amp;$E1314,Data_tables!$AZ$5:$AZ$620&amp;Data_tables!$BA$5:$BA$620,Data_tables!$BD$5:$BD$620))*BP211</f>
        <v>0</v>
      </c>
      <c r="BQ1326" s="33" cm="1">
        <f t="array" ref="BQ1326">+IF($C1314="Yes",_xlfn.XLOOKUP(Assumptions!$G$14&amp;$E1314,Data_tables!$AZ$5:$AZ$620&amp;Data_tables!$BA$5:$BA$620,Data_tables!$BD$5:$BD$620))*BQ211</f>
        <v>0</v>
      </c>
      <c r="BR1326" s="33" cm="1">
        <f t="array" ref="BR1326">+IF($C1314="Yes",_xlfn.XLOOKUP(Assumptions!$G$14&amp;$E1314,Data_tables!$AZ$5:$AZ$620&amp;Data_tables!$BA$5:$BA$620,Data_tables!$BD$5:$BD$620))*BR211</f>
        <v>0</v>
      </c>
      <c r="BS1326" s="33" cm="1">
        <f t="array" ref="BS1326">+IF($C1314="Yes",_xlfn.XLOOKUP(Assumptions!$G$14&amp;$E1314,Data_tables!$AZ$5:$AZ$620&amp;Data_tables!$BA$5:$BA$620,Data_tables!$BD$5:$BD$620))*BS211</f>
        <v>0</v>
      </c>
      <c r="BT1326" s="33" cm="1">
        <f t="array" ref="BT1326">+IF($C1314="Yes",_xlfn.XLOOKUP(Assumptions!$G$14&amp;$E1314,Data_tables!$AZ$5:$AZ$620&amp;Data_tables!$BA$5:$BA$620,Data_tables!$BD$5:$BD$620))*BT211</f>
        <v>0</v>
      </c>
      <c r="BU1326" s="33" cm="1">
        <f t="array" ref="BU1326">+IF($C1314="Yes",_xlfn.XLOOKUP(Assumptions!$G$14&amp;$E1314,Data_tables!$AZ$5:$AZ$620&amp;Data_tables!$BA$5:$BA$620,Data_tables!$BD$5:$BD$620))*BU211</f>
        <v>0</v>
      </c>
      <c r="BV1326" s="33" cm="1">
        <f t="array" ref="BV1326">+IF($C1314="Yes",_xlfn.XLOOKUP(Assumptions!$G$14&amp;$E1314,Data_tables!$AZ$5:$AZ$620&amp;Data_tables!$BA$5:$BA$620,Data_tables!$BD$5:$BD$620))*BV211</f>
        <v>0</v>
      </c>
      <c r="BW1326" s="33" cm="1">
        <f t="array" ref="BW1326">+IF($C1314="Yes",_xlfn.XLOOKUP(Assumptions!$G$14&amp;$E1314,Data_tables!$AZ$5:$AZ$620&amp;Data_tables!$BA$5:$BA$620,Data_tables!$BD$5:$BD$620))*BW211</f>
        <v>0</v>
      </c>
      <c r="BX1326" s="33" cm="1">
        <f t="array" ref="BX1326">+IF($C1314="Yes",_xlfn.XLOOKUP(Assumptions!$G$14&amp;$E1314,Data_tables!$AZ$5:$AZ$620&amp;Data_tables!$BA$5:$BA$620,Data_tables!$BD$5:$BD$620))*BX211</f>
        <v>0</v>
      </c>
      <c r="BY1326" s="33" cm="1">
        <f t="array" ref="BY1326">+IF($C1314="Yes",_xlfn.XLOOKUP(Assumptions!$G$14&amp;$E1314,Data_tables!$AZ$5:$AZ$620&amp;Data_tables!$BA$5:$BA$620,Data_tables!$BD$5:$BD$620))*BY211</f>
        <v>0</v>
      </c>
    </row>
    <row r="1327" spans="1:77" s="35" customFormat="1" outlineLevel="1">
      <c r="A1327" s="776"/>
      <c r="B1327" s="776"/>
      <c r="C1327" s="33" t="str">
        <f t="shared" si="2501"/>
        <v>Yes</v>
      </c>
      <c r="D1327" s="33"/>
      <c r="E1327" t="s">
        <v>410</v>
      </c>
      <c r="F1327" s="104" t="s">
        <v>640</v>
      </c>
      <c r="G1327" s="33"/>
      <c r="H1327" s="33" cm="1">
        <f t="array" ref="H1327">+IFERROR(IF($C1315="Yes",_xlfn.XLOOKUP(Assumptions!$G$14&amp;$E1315,Data_tables!$AZ$5:$AZ$620&amp;Data_tables!$BA$5:$BA$620,Data_tables!$BD$5:$BD$620))*H217,0)</f>
        <v>0</v>
      </c>
      <c r="I1327" s="33" cm="1">
        <f t="array" ref="I1327">+IFERROR(IF($C1315="Yes",_xlfn.XLOOKUP(Assumptions!$G$14&amp;$E1315,Data_tables!$AZ$5:$AZ$620&amp;Data_tables!$BA$5:$BA$620,Data_tables!$BD$5:$BD$620))*I217,0)</f>
        <v>0</v>
      </c>
      <c r="J1327" s="33" cm="1">
        <f t="array" ref="J1327">+IFERROR(IF($C1315="Yes",_xlfn.XLOOKUP(Assumptions!$G$14&amp;$E1315,Data_tables!$AZ$5:$AZ$620&amp;Data_tables!$BA$5:$BA$620,Data_tables!$BD$5:$BD$620))*J217,0)</f>
        <v>0</v>
      </c>
      <c r="K1327" s="33" cm="1">
        <f t="array" ref="K1327">+IFERROR(IF($C1315="Yes",_xlfn.XLOOKUP(Assumptions!$G$14&amp;$E1315,Data_tables!$AZ$5:$AZ$620&amp;Data_tables!$BA$5:$BA$620,Data_tables!$BD$5:$BD$620))*K217,0)</f>
        <v>-0.13463395032123537</v>
      </c>
      <c r="L1327" s="33" cm="1">
        <f t="array" ref="L1327">+IFERROR(IF($C1315="Yes",_xlfn.XLOOKUP(Assumptions!$G$14&amp;$E1315,Data_tables!$AZ$5:$AZ$620&amp;Data_tables!$BA$5:$BA$620,Data_tables!$BD$5:$BD$620))*L217,0)</f>
        <v>-0.13732662932766007</v>
      </c>
      <c r="M1327" s="33" cm="1">
        <f t="array" ref="M1327">+IFERROR(IF($C1315="Yes",_xlfn.XLOOKUP(Assumptions!$G$14&amp;$E1315,Data_tables!$AZ$5:$AZ$620&amp;Data_tables!$BA$5:$BA$620,Data_tables!$BD$5:$BD$620))*M217,0)</f>
        <v>-0.14007316191421329</v>
      </c>
      <c r="N1327" s="33" cm="1">
        <f t="array" ref="N1327">+IFERROR(IF($C1315="Yes",_xlfn.XLOOKUP(Assumptions!$G$14&amp;$E1315,Data_tables!$AZ$5:$AZ$620&amp;Data_tables!$BA$5:$BA$620,Data_tables!$BD$5:$BD$620))*N217,0)</f>
        <v>-0.14287462515249752</v>
      </c>
      <c r="O1327" s="33" cm="1">
        <f t="array" ref="O1327">+IFERROR(IF($C1315="Yes",_xlfn.XLOOKUP(Assumptions!$G$14&amp;$E1315,Data_tables!$AZ$5:$AZ$620&amp;Data_tables!$BA$5:$BA$620,Data_tables!$BD$5:$BD$620))*O217,0)</f>
        <v>-0.1457321176555475</v>
      </c>
      <c r="P1327" s="33" cm="1">
        <f t="array" ref="P1327">+IFERROR(IF($C1315="Yes",_xlfn.XLOOKUP(Assumptions!$G$14&amp;$E1315,Data_tables!$AZ$5:$AZ$620&amp;Data_tables!$BA$5:$BA$620,Data_tables!$BD$5:$BD$620))*P217,0)</f>
        <v>-0.14864676000865842</v>
      </c>
      <c r="Q1327" s="33" cm="1">
        <f t="array" ref="Q1327">+IFERROR(IF($C1315="Yes",_xlfn.XLOOKUP(Assumptions!$G$14&amp;$E1315,Data_tables!$AZ$5:$AZ$620&amp;Data_tables!$BA$5:$BA$620,Data_tables!$BD$5:$BD$620))*Q217,0)</f>
        <v>-0.15161969520883159</v>
      </c>
      <c r="R1327" s="33" cm="1">
        <f t="array" ref="R1327">+IFERROR(IF($C1315="Yes",_xlfn.XLOOKUP(Assumptions!$G$14&amp;$E1315,Data_tables!$AZ$5:$AZ$620&amp;Data_tables!$BA$5:$BA$620,Data_tables!$BD$5:$BD$620))*R217,0)</f>
        <v>-0.15465208911300821</v>
      </c>
      <c r="S1327" s="33" cm="1">
        <f t="array" ref="S1327">+IFERROR(IF($C1315="Yes",_xlfn.XLOOKUP(Assumptions!$G$14&amp;$E1315,Data_tables!$AZ$5:$AZ$620&amp;Data_tables!$BA$5:$BA$620,Data_tables!$BD$5:$BD$620))*S217,0)</f>
        <v>-0.15774513089526837</v>
      </c>
      <c r="T1327" s="33" cm="1">
        <f t="array" ref="T1327">+IFERROR(IF($C1315="Yes",_xlfn.XLOOKUP(Assumptions!$G$14&amp;$E1315,Data_tables!$AZ$5:$AZ$620&amp;Data_tables!$BA$5:$BA$620,Data_tables!$BD$5:$BD$620))*T217,0)</f>
        <v>-0.16090003351317375</v>
      </c>
      <c r="U1327" s="33" cm="1">
        <f t="array" ref="U1327">+IFERROR(IF($C1315="Yes",_xlfn.XLOOKUP(Assumptions!$G$14&amp;$E1315,Data_tables!$AZ$5:$AZ$620&amp;Data_tables!$BA$5:$BA$620,Data_tables!$BD$5:$BD$620))*U217,0)</f>
        <v>-0.16411803418343726</v>
      </c>
      <c r="V1327" s="33" cm="1">
        <f t="array" ref="V1327">+IFERROR(IF($C1315="Yes",_xlfn.XLOOKUP(Assumptions!$G$14&amp;$E1315,Data_tables!$AZ$5:$AZ$620&amp;Data_tables!$BA$5:$BA$620,Data_tables!$BD$5:$BD$620))*V217,0)</f>
        <v>-0.16740039486710595</v>
      </c>
      <c r="W1327" s="33" cm="1">
        <f t="array" ref="W1327">+IFERROR(IF($C1315="Yes",_xlfn.XLOOKUP(Assumptions!$G$14&amp;$E1315,Data_tables!$AZ$5:$AZ$620&amp;Data_tables!$BA$5:$BA$620,Data_tables!$BD$5:$BD$620))*W217,0)</f>
        <v>-0.17074840276444808</v>
      </c>
      <c r="X1327" s="33" cm="1">
        <f t="array" ref="X1327">+IFERROR(IF($C1315="Yes",_xlfn.XLOOKUP(Assumptions!$G$14&amp;$E1315,Data_tables!$AZ$5:$AZ$620&amp;Data_tables!$BA$5:$BA$620,Data_tables!$BD$5:$BD$620))*X217,0)</f>
        <v>-0.17416337081973707</v>
      </c>
      <c r="Y1327" s="33" cm="1">
        <f t="array" ref="Y1327">+IFERROR(IF($C1315="Yes",_xlfn.XLOOKUP(Assumptions!$G$14&amp;$E1315,Data_tables!$AZ$5:$AZ$620&amp;Data_tables!$BA$5:$BA$620,Data_tables!$BD$5:$BD$620))*Y217,0)</f>
        <v>-0.1776466382361318</v>
      </c>
      <c r="Z1327" s="33" cm="1">
        <f t="array" ref="Z1327">+IFERROR(IF($C1315="Yes",_xlfn.XLOOKUP(Assumptions!$G$14&amp;$E1315,Data_tables!$AZ$5:$AZ$620&amp;Data_tables!$BA$5:$BA$620,Data_tables!$BD$5:$BD$620))*Z217,0)</f>
        <v>0</v>
      </c>
      <c r="AA1327" s="33" cm="1">
        <f t="array" ref="AA1327">+IFERROR(IF($C1315="Yes",_xlfn.XLOOKUP(Assumptions!$G$14&amp;$E1315,Data_tables!$AZ$5:$AZ$620&amp;Data_tables!$BA$5:$BA$620,Data_tables!$BD$5:$BD$620))*AA217,0)</f>
        <v>0</v>
      </c>
      <c r="AB1327" s="33" cm="1">
        <f t="array" ref="AB1327">+IFERROR(IF($C1315="Yes",_xlfn.XLOOKUP(Assumptions!$G$14&amp;$E1315,Data_tables!$AZ$5:$AZ$620&amp;Data_tables!$BA$5:$BA$620,Data_tables!$BD$5:$BD$620))*AB217,0)</f>
        <v>0</v>
      </c>
      <c r="AC1327" s="33" cm="1">
        <f t="array" ref="AC1327">+IFERROR(IF($C1315="Yes",_xlfn.XLOOKUP(Assumptions!$G$14&amp;$E1315,Data_tables!$AZ$5:$AZ$620&amp;Data_tables!$BA$5:$BA$620,Data_tables!$BD$5:$BD$620))*AC217,0)</f>
        <v>0</v>
      </c>
      <c r="AD1327" s="33" cm="1">
        <f t="array" ref="AD1327">+IFERROR(IF($C1315="Yes",_xlfn.XLOOKUP(Assumptions!$G$14&amp;$E1315,Data_tables!$AZ$5:$AZ$620&amp;Data_tables!$BA$5:$BA$620,Data_tables!$BD$5:$BD$620))*AD217,0)</f>
        <v>0</v>
      </c>
      <c r="AE1327" s="33" cm="1">
        <f t="array" ref="AE1327">+IFERROR(IF($C1315="Yes",_xlfn.XLOOKUP(Assumptions!$G$14&amp;$E1315,Data_tables!$AZ$5:$AZ$620&amp;Data_tables!$BA$5:$BA$620,Data_tables!$BD$5:$BD$620))*AE217,0)</f>
        <v>0</v>
      </c>
      <c r="AF1327" s="33" cm="1">
        <f t="array" ref="AF1327">+IFERROR(IF($C1315="Yes",_xlfn.XLOOKUP(Assumptions!$G$14&amp;$E1315,Data_tables!$AZ$5:$AZ$620&amp;Data_tables!$BA$5:$BA$620,Data_tables!$BD$5:$BD$620))*AF217,0)</f>
        <v>0</v>
      </c>
      <c r="AG1327" s="33" cm="1">
        <f t="array" ref="AG1327">+IFERROR(IF($C1315="Yes",_xlfn.XLOOKUP(Assumptions!$G$14&amp;$E1315,Data_tables!$AZ$5:$AZ$620&amp;Data_tables!$BA$5:$BA$620,Data_tables!$BD$5:$BD$620))*AG217,0)</f>
        <v>0</v>
      </c>
      <c r="AH1327" s="33" cm="1">
        <f t="array" ref="AH1327">+IFERROR(IF($C1315="Yes",_xlfn.XLOOKUP(Assumptions!$G$14&amp;$E1315,Data_tables!$AZ$5:$AZ$620&amp;Data_tables!$BA$5:$BA$620,Data_tables!$BD$5:$BD$620))*AH217,0)</f>
        <v>0</v>
      </c>
      <c r="AI1327" s="33" cm="1">
        <f t="array" ref="AI1327">+IFERROR(IF($C1315="Yes",_xlfn.XLOOKUP(Assumptions!$G$14&amp;$E1315,Data_tables!$AZ$5:$AZ$620&amp;Data_tables!$BA$5:$BA$620,Data_tables!$BD$5:$BD$620))*AI217,0)</f>
        <v>0</v>
      </c>
      <c r="AJ1327" s="33" cm="1">
        <f t="array" ref="AJ1327">+IFERROR(IF($C1315="Yes",_xlfn.XLOOKUP(Assumptions!$G$14&amp;$E1315,Data_tables!$AZ$5:$AZ$620&amp;Data_tables!$BA$5:$BA$620,Data_tables!$BD$5:$BD$620))*AJ217,0)</f>
        <v>0</v>
      </c>
      <c r="AK1327" s="33" cm="1">
        <f t="array" ref="AK1327">+IFERROR(IF($C1315="Yes",_xlfn.XLOOKUP(Assumptions!$G$14&amp;$E1315,Data_tables!$AZ$5:$AZ$620&amp;Data_tables!$BA$5:$BA$620,Data_tables!$BD$5:$BD$620))*AK217,0)</f>
        <v>0</v>
      </c>
      <c r="AL1327" s="33" cm="1">
        <f t="array" ref="AL1327">+IFERROR(IF($C1315="Yes",_xlfn.XLOOKUP(Assumptions!$G$14&amp;$E1315,Data_tables!$AZ$5:$AZ$620&amp;Data_tables!$BA$5:$BA$620,Data_tables!$BD$5:$BD$620))*AL217,0)</f>
        <v>0</v>
      </c>
      <c r="AM1327" s="33" cm="1">
        <f t="array" ref="AM1327">+IFERROR(IF($C1315="Yes",_xlfn.XLOOKUP(Assumptions!$G$14&amp;$E1315,Data_tables!$AZ$5:$AZ$620&amp;Data_tables!$BA$5:$BA$620,Data_tables!$BD$5:$BD$620))*AM217,0)</f>
        <v>0</v>
      </c>
      <c r="AN1327" s="33" cm="1">
        <f t="array" ref="AN1327">+IFERROR(IF($C1315="Yes",_xlfn.XLOOKUP(Assumptions!$G$14&amp;$E1315,Data_tables!$AZ$5:$AZ$620&amp;Data_tables!$BA$5:$BA$620,Data_tables!$BD$5:$BD$620))*AN217,0)</f>
        <v>0</v>
      </c>
      <c r="AO1327" s="33" cm="1">
        <f t="array" ref="AO1327">+IFERROR(IF($C1315="Yes",_xlfn.XLOOKUP(Assumptions!$G$14&amp;$E1315,Data_tables!$AZ$5:$AZ$620&amp;Data_tables!$BA$5:$BA$620,Data_tables!$BD$5:$BD$620))*AO217,0)</f>
        <v>0</v>
      </c>
      <c r="AP1327" s="33" cm="1">
        <f t="array" ref="AP1327">+IFERROR(IF($C1315="Yes",_xlfn.XLOOKUP(Assumptions!$G$14&amp;$E1315,Data_tables!$AZ$5:$AZ$620&amp;Data_tables!$BA$5:$BA$620,Data_tables!$BD$5:$BD$620))*AP217,0)</f>
        <v>0</v>
      </c>
      <c r="AQ1327" s="33" cm="1">
        <f t="array" ref="AQ1327">+IFERROR(IF($C1315="Yes",_xlfn.XLOOKUP(Assumptions!$G$14&amp;$E1315,Data_tables!$AZ$5:$AZ$620&amp;Data_tables!$BA$5:$BA$620,Data_tables!$BD$5:$BD$620))*AQ217,0)</f>
        <v>0</v>
      </c>
      <c r="AR1327" s="33" cm="1">
        <f t="array" ref="AR1327">+IFERROR(IF($C1315="Yes",_xlfn.XLOOKUP(Assumptions!$G$14&amp;$E1315,Data_tables!$AZ$5:$AZ$620&amp;Data_tables!$BA$5:$BA$620,Data_tables!$BD$5:$BD$620))*AR217,0)</f>
        <v>0</v>
      </c>
      <c r="AS1327" s="33" cm="1">
        <f t="array" ref="AS1327">+IFERROR(IF($C1315="Yes",_xlfn.XLOOKUP(Assumptions!$G$14&amp;$E1315,Data_tables!$AZ$5:$AZ$620&amp;Data_tables!$BA$5:$BA$620,Data_tables!$BD$5:$BD$620))*AS217,0)</f>
        <v>0</v>
      </c>
      <c r="AT1327" s="33" cm="1">
        <f t="array" ref="AT1327">+IFERROR(IF($C1315="Yes",_xlfn.XLOOKUP(Assumptions!$G$14&amp;$E1315,Data_tables!$AZ$5:$AZ$620&amp;Data_tables!$BA$5:$BA$620,Data_tables!$BD$5:$BD$620))*AT217,0)</f>
        <v>0</v>
      </c>
      <c r="AU1327" s="33" cm="1">
        <f t="array" ref="AU1327">+IFERROR(IF($C1315="Yes",_xlfn.XLOOKUP(Assumptions!$G$14&amp;$E1315,Data_tables!$AZ$5:$AZ$620&amp;Data_tables!$BA$5:$BA$620,Data_tables!$BD$5:$BD$620))*AU217,0)</f>
        <v>0</v>
      </c>
      <c r="AV1327" s="33" cm="1">
        <f t="array" ref="AV1327">+IFERROR(IF($C1315="Yes",_xlfn.XLOOKUP(Assumptions!$G$14&amp;$E1315,Data_tables!$AZ$5:$AZ$620&amp;Data_tables!$BA$5:$BA$620,Data_tables!$BD$5:$BD$620))*AV217,0)</f>
        <v>0</v>
      </c>
      <c r="AW1327" s="33" cm="1">
        <f t="array" ref="AW1327">+IFERROR(IF($C1315="Yes",_xlfn.XLOOKUP(Assumptions!$G$14&amp;$E1315,Data_tables!$AZ$5:$AZ$620&amp;Data_tables!$BA$5:$BA$620,Data_tables!$BD$5:$BD$620))*AW217,0)</f>
        <v>0</v>
      </c>
      <c r="AX1327" s="33" cm="1">
        <f t="array" ref="AX1327">+IFERROR(IF($C1315="Yes",_xlfn.XLOOKUP(Assumptions!$G$14&amp;$E1315,Data_tables!$AZ$5:$AZ$620&amp;Data_tables!$BA$5:$BA$620,Data_tables!$BD$5:$BD$620))*AX217,0)</f>
        <v>0</v>
      </c>
      <c r="AY1327" s="33" cm="1">
        <f t="array" ref="AY1327">+IFERROR(IF($C1315="Yes",_xlfn.XLOOKUP(Assumptions!$G$14&amp;$E1315,Data_tables!$AZ$5:$AZ$620&amp;Data_tables!$BA$5:$BA$620,Data_tables!$BD$5:$BD$620))*AY217,0)</f>
        <v>0</v>
      </c>
      <c r="AZ1327" s="33" cm="1">
        <f t="array" ref="AZ1327">+IFERROR(IF($C1315="Yes",_xlfn.XLOOKUP(Assumptions!$G$14&amp;$E1315,Data_tables!$AZ$5:$AZ$620&amp;Data_tables!$BA$5:$BA$620,Data_tables!$BD$5:$BD$620))*AZ217,0)</f>
        <v>0</v>
      </c>
      <c r="BA1327" s="33" cm="1">
        <f t="array" ref="BA1327">+IFERROR(IF($C1315="Yes",_xlfn.XLOOKUP(Assumptions!$G$14&amp;$E1315,Data_tables!$AZ$5:$AZ$620&amp;Data_tables!$BA$5:$BA$620,Data_tables!$BD$5:$BD$620))*BA217,0)</f>
        <v>0</v>
      </c>
      <c r="BB1327" s="33" cm="1">
        <f t="array" ref="BB1327">+IFERROR(IF($C1315="Yes",_xlfn.XLOOKUP(Assumptions!$G$14&amp;$E1315,Data_tables!$AZ$5:$AZ$620&amp;Data_tables!$BA$5:$BA$620,Data_tables!$BD$5:$BD$620))*BB217,0)</f>
        <v>0</v>
      </c>
      <c r="BC1327" s="33" cm="1">
        <f t="array" ref="BC1327">+IFERROR(IF($C1315="Yes",_xlfn.XLOOKUP(Assumptions!$G$14&amp;$E1315,Data_tables!$AZ$5:$AZ$620&amp;Data_tables!$BA$5:$BA$620,Data_tables!$BD$5:$BD$620))*BC217,0)</f>
        <v>0</v>
      </c>
      <c r="BD1327" s="33" cm="1">
        <f t="array" ref="BD1327">+IFERROR(IF($C1315="Yes",_xlfn.XLOOKUP(Assumptions!$G$14&amp;$E1315,Data_tables!$AZ$5:$AZ$620&amp;Data_tables!$BA$5:$BA$620,Data_tables!$BD$5:$BD$620))*BD217,0)</f>
        <v>0</v>
      </c>
      <c r="BE1327" s="33" cm="1">
        <f t="array" ref="BE1327">+IFERROR(IF($C1315="Yes",_xlfn.XLOOKUP(Assumptions!$G$14&amp;$E1315,Data_tables!$AZ$5:$AZ$620&amp;Data_tables!$BA$5:$BA$620,Data_tables!$BD$5:$BD$620))*BE217,0)</f>
        <v>0</v>
      </c>
      <c r="BF1327" s="33" cm="1">
        <f t="array" ref="BF1327">+IFERROR(IF($C1315="Yes",_xlfn.XLOOKUP(Assumptions!$G$14&amp;$E1315,Data_tables!$AZ$5:$AZ$620&amp;Data_tables!$BA$5:$BA$620,Data_tables!$BD$5:$BD$620))*BF217,0)</f>
        <v>0</v>
      </c>
      <c r="BG1327" s="33" cm="1">
        <f t="array" ref="BG1327">+IFERROR(IF($C1315="Yes",_xlfn.XLOOKUP(Assumptions!$G$14&amp;$E1315,Data_tables!$AZ$5:$AZ$620&amp;Data_tables!$BA$5:$BA$620,Data_tables!$BD$5:$BD$620))*BG217,0)</f>
        <v>0</v>
      </c>
      <c r="BH1327" s="33" cm="1">
        <f t="array" ref="BH1327">+IFERROR(IF($C1315="Yes",_xlfn.XLOOKUP(Assumptions!$G$14&amp;$E1315,Data_tables!$AZ$5:$AZ$620&amp;Data_tables!$BA$5:$BA$620,Data_tables!$BD$5:$BD$620))*BH217,0)</f>
        <v>0</v>
      </c>
      <c r="BI1327" s="33" cm="1">
        <f t="array" ref="BI1327">+IFERROR(IF($C1315="Yes",_xlfn.XLOOKUP(Assumptions!$G$14&amp;$E1315,Data_tables!$AZ$5:$AZ$620&amp;Data_tables!$BA$5:$BA$620,Data_tables!$BD$5:$BD$620))*BI217,0)</f>
        <v>0</v>
      </c>
      <c r="BJ1327" s="33" cm="1">
        <f t="array" ref="BJ1327">+IFERROR(IF($C1315="Yes",_xlfn.XLOOKUP(Assumptions!$G$14&amp;$E1315,Data_tables!$AZ$5:$AZ$620&amp;Data_tables!$BA$5:$BA$620,Data_tables!$BD$5:$BD$620))*BJ217,0)</f>
        <v>0</v>
      </c>
      <c r="BK1327" s="33" cm="1">
        <f t="array" ref="BK1327">+IFERROR(IF($C1315="Yes",_xlfn.XLOOKUP(Assumptions!$G$14&amp;$E1315,Data_tables!$AZ$5:$AZ$620&amp;Data_tables!$BA$5:$BA$620,Data_tables!$BD$5:$BD$620))*BK217,0)</f>
        <v>0</v>
      </c>
      <c r="BL1327" s="33" cm="1">
        <f t="array" ref="BL1327">+IFERROR(IF($C1315="Yes",_xlfn.XLOOKUP(Assumptions!$G$14&amp;$E1315,Data_tables!$AZ$5:$AZ$620&amp;Data_tables!$BA$5:$BA$620,Data_tables!$BD$5:$BD$620))*BL217,0)</f>
        <v>0</v>
      </c>
      <c r="BM1327" s="33" cm="1">
        <f t="array" ref="BM1327">+IFERROR(IF($C1315="Yes",_xlfn.XLOOKUP(Assumptions!$G$14&amp;$E1315,Data_tables!$AZ$5:$AZ$620&amp;Data_tables!$BA$5:$BA$620,Data_tables!$BD$5:$BD$620))*BM217,0)</f>
        <v>0</v>
      </c>
      <c r="BN1327" s="33" cm="1">
        <f t="array" ref="BN1327">+IFERROR(IF($C1315="Yes",_xlfn.XLOOKUP(Assumptions!$G$14&amp;$E1315,Data_tables!$AZ$5:$AZ$620&amp;Data_tables!$BA$5:$BA$620,Data_tables!$BD$5:$BD$620))*BN217,0)</f>
        <v>0</v>
      </c>
      <c r="BO1327" s="33" cm="1">
        <f t="array" ref="BO1327">+IFERROR(IF($C1315="Yes",_xlfn.XLOOKUP(Assumptions!$G$14&amp;$E1315,Data_tables!$AZ$5:$AZ$620&amp;Data_tables!$BA$5:$BA$620,Data_tables!$BD$5:$BD$620))*BO217,0)</f>
        <v>0</v>
      </c>
      <c r="BP1327" s="33" cm="1">
        <f t="array" ref="BP1327">+IFERROR(IF($C1315="Yes",_xlfn.XLOOKUP(Assumptions!$G$14&amp;$E1315,Data_tables!$AZ$5:$AZ$620&amp;Data_tables!$BA$5:$BA$620,Data_tables!$BD$5:$BD$620))*BP217,0)</f>
        <v>0</v>
      </c>
      <c r="BQ1327" s="33" cm="1">
        <f t="array" ref="BQ1327">+IFERROR(IF($C1315="Yes",_xlfn.XLOOKUP(Assumptions!$G$14&amp;$E1315,Data_tables!$AZ$5:$AZ$620&amp;Data_tables!$BA$5:$BA$620,Data_tables!$BD$5:$BD$620))*BQ217,0)</f>
        <v>0</v>
      </c>
      <c r="BR1327" s="33" cm="1">
        <f t="array" ref="BR1327">+IFERROR(IF($C1315="Yes",_xlfn.XLOOKUP(Assumptions!$G$14&amp;$E1315,Data_tables!$AZ$5:$AZ$620&amp;Data_tables!$BA$5:$BA$620,Data_tables!$BD$5:$BD$620))*BR217,0)</f>
        <v>0</v>
      </c>
      <c r="BS1327" s="33" cm="1">
        <f t="array" ref="BS1327">+IFERROR(IF($C1315="Yes",_xlfn.XLOOKUP(Assumptions!$G$14&amp;$E1315,Data_tables!$AZ$5:$AZ$620&amp;Data_tables!$BA$5:$BA$620,Data_tables!$BD$5:$BD$620))*BS217,0)</f>
        <v>0</v>
      </c>
      <c r="BT1327" s="33" cm="1">
        <f t="array" ref="BT1327">+IFERROR(IF($C1315="Yes",_xlfn.XLOOKUP(Assumptions!$G$14&amp;$E1315,Data_tables!$AZ$5:$AZ$620&amp;Data_tables!$BA$5:$BA$620,Data_tables!$BD$5:$BD$620))*BT217,0)</f>
        <v>0</v>
      </c>
      <c r="BU1327" s="33" cm="1">
        <f t="array" ref="BU1327">+IFERROR(IF($C1315="Yes",_xlfn.XLOOKUP(Assumptions!$G$14&amp;$E1315,Data_tables!$AZ$5:$AZ$620&amp;Data_tables!$BA$5:$BA$620,Data_tables!$BD$5:$BD$620))*BU217,0)</f>
        <v>0</v>
      </c>
      <c r="BV1327" s="33" cm="1">
        <f t="array" ref="BV1327">+IFERROR(IF($C1315="Yes",_xlfn.XLOOKUP(Assumptions!$G$14&amp;$E1315,Data_tables!$AZ$5:$AZ$620&amp;Data_tables!$BA$5:$BA$620,Data_tables!$BD$5:$BD$620))*BV217,0)</f>
        <v>0</v>
      </c>
      <c r="BW1327" s="33" cm="1">
        <f t="array" ref="BW1327">+IFERROR(IF($C1315="Yes",_xlfn.XLOOKUP(Assumptions!$G$14&amp;$E1315,Data_tables!$AZ$5:$AZ$620&amp;Data_tables!$BA$5:$BA$620,Data_tables!$BD$5:$BD$620))*BW217,0)</f>
        <v>0</v>
      </c>
      <c r="BX1327" s="33" cm="1">
        <f t="array" ref="BX1327">+IFERROR(IF($C1315="Yes",_xlfn.XLOOKUP(Assumptions!$G$14&amp;$E1315,Data_tables!$AZ$5:$AZ$620&amp;Data_tables!$BA$5:$BA$620,Data_tables!$BD$5:$BD$620))*BX217,0)</f>
        <v>0</v>
      </c>
      <c r="BY1327" s="33" cm="1">
        <f t="array" ref="BY1327">+IFERROR(IF($C1315="Yes",_xlfn.XLOOKUP(Assumptions!$G$14&amp;$E1315,Data_tables!$AZ$5:$AZ$620&amp;Data_tables!$BA$5:$BA$620,Data_tables!$BD$5:$BD$620))*BY217,0)</f>
        <v>0</v>
      </c>
    </row>
    <row r="1328" spans="1:77" s="35" customFormat="1" outlineLevel="1">
      <c r="A1328" s="776"/>
      <c r="B1328" s="776"/>
      <c r="C1328" s="33" t="str">
        <f t="shared" si="2501"/>
        <v>Yes</v>
      </c>
      <c r="D1328" s="33"/>
      <c r="E1328" t="s">
        <v>411</v>
      </c>
      <c r="F1328" s="104" t="s">
        <v>640</v>
      </c>
      <c r="G1328" s="33"/>
      <c r="H1328" s="33" cm="1">
        <f t="array" ref="H1328">+IF($C1316="Yes",_xlfn.XLOOKUP(Assumptions!$G$14&amp;$E1316,Data_tables!$AZ$5:$AZ$620&amp;Data_tables!$BA$5:$BA$620,Data_tables!$BD$5:$BD$620))*H441</f>
        <v>0</v>
      </c>
      <c r="I1328" s="33" cm="1">
        <f t="array" ref="I1328">+IF($C1316="Yes",_xlfn.XLOOKUP(Assumptions!$G$14&amp;$E1316,Data_tables!$AZ$5:$AZ$620&amp;Data_tables!$BA$5:$BA$620,Data_tables!$BD$5:$BD$620))*I441</f>
        <v>-1256.8605986079001</v>
      </c>
      <c r="J1328" s="33" cm="1">
        <f t="array" ref="J1328">+IF($C1316="Yes",_xlfn.XLOOKUP(Assumptions!$G$14&amp;$E1316,Data_tables!$AZ$5:$AZ$620&amp;Data_tables!$BA$5:$BA$620,Data_tables!$BD$5:$BD$620))*J441</f>
        <v>-1281.9978105800581</v>
      </c>
      <c r="K1328" s="33" cm="1">
        <f t="array" ref="K1328">+IF($C1316="Yes",_xlfn.XLOOKUP(Assumptions!$G$14&amp;$E1316,Data_tables!$AZ$5:$AZ$620&amp;Data_tables!$BA$5:$BA$620,Data_tables!$BD$5:$BD$620))*K441</f>
        <v>0</v>
      </c>
      <c r="L1328" s="33" cm="1">
        <f t="array" ref="L1328">+IF($C1316="Yes",_xlfn.XLOOKUP(Assumptions!$G$14&amp;$E1316,Data_tables!$AZ$5:$AZ$620&amp;Data_tables!$BA$5:$BA$620,Data_tables!$BD$5:$BD$620))*L441</f>
        <v>0</v>
      </c>
      <c r="M1328" s="33" cm="1">
        <f t="array" ref="M1328">+IF($C1316="Yes",_xlfn.XLOOKUP(Assumptions!$G$14&amp;$E1316,Data_tables!$AZ$5:$AZ$620&amp;Data_tables!$BA$5:$BA$620,Data_tables!$BD$5:$BD$620))*M441</f>
        <v>0</v>
      </c>
      <c r="N1328" s="33" cm="1">
        <f t="array" ref="N1328">+IF($C1316="Yes",_xlfn.XLOOKUP(Assumptions!$G$14&amp;$E1316,Data_tables!$AZ$5:$AZ$620&amp;Data_tables!$BA$5:$BA$620,Data_tables!$BD$5:$BD$620))*N441</f>
        <v>0</v>
      </c>
      <c r="O1328" s="33" cm="1">
        <f t="array" ref="O1328">+IF($C1316="Yes",_xlfn.XLOOKUP(Assumptions!$G$14&amp;$E1316,Data_tables!$AZ$5:$AZ$620&amp;Data_tables!$BA$5:$BA$620,Data_tables!$BD$5:$BD$620))*O441</f>
        <v>0</v>
      </c>
      <c r="P1328" s="33" cm="1">
        <f t="array" ref="P1328">+IF($C1316="Yes",_xlfn.XLOOKUP(Assumptions!$G$14&amp;$E1316,Data_tables!$AZ$5:$AZ$620&amp;Data_tables!$BA$5:$BA$620,Data_tables!$BD$5:$BD$620))*P441</f>
        <v>0</v>
      </c>
      <c r="Q1328" s="33" cm="1">
        <f t="array" ref="Q1328">+IF($C1316="Yes",_xlfn.XLOOKUP(Assumptions!$G$14&amp;$E1316,Data_tables!$AZ$5:$AZ$620&amp;Data_tables!$BA$5:$BA$620,Data_tables!$BD$5:$BD$620))*Q441</f>
        <v>0</v>
      </c>
      <c r="R1328" s="33" cm="1">
        <f t="array" ref="R1328">+IF($C1316="Yes",_xlfn.XLOOKUP(Assumptions!$G$14&amp;$E1316,Data_tables!$AZ$5:$AZ$620&amp;Data_tables!$BA$5:$BA$620,Data_tables!$BD$5:$BD$620))*R441</f>
        <v>0</v>
      </c>
      <c r="S1328" s="33" cm="1">
        <f t="array" ref="S1328">+IF($C1316="Yes",_xlfn.XLOOKUP(Assumptions!$G$14&amp;$E1316,Data_tables!$AZ$5:$AZ$620&amp;Data_tables!$BA$5:$BA$620,Data_tables!$BD$5:$BD$620))*S441</f>
        <v>0</v>
      </c>
      <c r="T1328" s="33" cm="1">
        <f t="array" ref="T1328">+IF($C1316="Yes",_xlfn.XLOOKUP(Assumptions!$G$14&amp;$E1316,Data_tables!$AZ$5:$AZ$620&amp;Data_tables!$BA$5:$BA$620,Data_tables!$BD$5:$BD$620))*T441</f>
        <v>0</v>
      </c>
      <c r="U1328" s="33" cm="1">
        <f t="array" ref="U1328">+IF($C1316="Yes",_xlfn.XLOOKUP(Assumptions!$G$14&amp;$E1316,Data_tables!$AZ$5:$AZ$620&amp;Data_tables!$BA$5:$BA$620,Data_tables!$BD$5:$BD$620))*U441</f>
        <v>0</v>
      </c>
      <c r="V1328" s="33" cm="1">
        <f t="array" ref="V1328">+IF($C1316="Yes",_xlfn.XLOOKUP(Assumptions!$G$14&amp;$E1316,Data_tables!$AZ$5:$AZ$620&amp;Data_tables!$BA$5:$BA$620,Data_tables!$BD$5:$BD$620))*V441</f>
        <v>0</v>
      </c>
      <c r="W1328" s="33" cm="1">
        <f t="array" ref="W1328">+IF($C1316="Yes",_xlfn.XLOOKUP(Assumptions!$G$14&amp;$E1316,Data_tables!$AZ$5:$AZ$620&amp;Data_tables!$BA$5:$BA$620,Data_tables!$BD$5:$BD$620))*W441</f>
        <v>0</v>
      </c>
      <c r="X1328" s="33" cm="1">
        <f t="array" ref="X1328">+IF($C1316="Yes",_xlfn.XLOOKUP(Assumptions!$G$14&amp;$E1316,Data_tables!$AZ$5:$AZ$620&amp;Data_tables!$BA$5:$BA$620,Data_tables!$BD$5:$BD$620))*X441</f>
        <v>0</v>
      </c>
      <c r="Y1328" s="33" cm="1">
        <f t="array" ref="Y1328">+IF($C1316="Yes",_xlfn.XLOOKUP(Assumptions!$G$14&amp;$E1316,Data_tables!$AZ$5:$AZ$620&amp;Data_tables!$BA$5:$BA$620,Data_tables!$BD$5:$BD$620))*Y441</f>
        <v>0</v>
      </c>
      <c r="Z1328" s="33" cm="1">
        <f t="array" ref="Z1328">+IF($C1316="Yes",_xlfn.XLOOKUP(Assumptions!$G$14&amp;$E1316,Data_tables!$AZ$5:$AZ$620&amp;Data_tables!$BA$5:$BA$620,Data_tables!$BD$5:$BD$620))*Z441</f>
        <v>0</v>
      </c>
      <c r="AA1328" s="33" cm="1">
        <f t="array" ref="AA1328">+IF($C1316="Yes",_xlfn.XLOOKUP(Assumptions!$G$14&amp;$E1316,Data_tables!$AZ$5:$AZ$620&amp;Data_tables!$BA$5:$BA$620,Data_tables!$BD$5:$BD$620))*AA441</f>
        <v>0</v>
      </c>
      <c r="AB1328" s="33" cm="1">
        <f t="array" ref="AB1328">+IF($C1316="Yes",_xlfn.XLOOKUP(Assumptions!$G$14&amp;$E1316,Data_tables!$AZ$5:$AZ$620&amp;Data_tables!$BA$5:$BA$620,Data_tables!$BD$5:$BD$620))*AB441</f>
        <v>0</v>
      </c>
      <c r="AC1328" s="33" cm="1">
        <f t="array" ref="AC1328">+IF($C1316="Yes",_xlfn.XLOOKUP(Assumptions!$G$14&amp;$E1316,Data_tables!$AZ$5:$AZ$620&amp;Data_tables!$BA$5:$BA$620,Data_tables!$BD$5:$BD$620))*AC441</f>
        <v>0</v>
      </c>
      <c r="AD1328" s="33" cm="1">
        <f t="array" ref="AD1328">+IF($C1316="Yes",_xlfn.XLOOKUP(Assumptions!$G$14&amp;$E1316,Data_tables!$AZ$5:$AZ$620&amp;Data_tables!$BA$5:$BA$620,Data_tables!$BD$5:$BD$620))*AD441</f>
        <v>0</v>
      </c>
      <c r="AE1328" s="33" cm="1">
        <f t="array" ref="AE1328">+IF($C1316="Yes",_xlfn.XLOOKUP(Assumptions!$G$14&amp;$E1316,Data_tables!$AZ$5:$AZ$620&amp;Data_tables!$BA$5:$BA$620,Data_tables!$BD$5:$BD$620))*AE441</f>
        <v>0</v>
      </c>
      <c r="AF1328" s="33" cm="1">
        <f t="array" ref="AF1328">+IF($C1316="Yes",_xlfn.XLOOKUP(Assumptions!$G$14&amp;$E1316,Data_tables!$AZ$5:$AZ$620&amp;Data_tables!$BA$5:$BA$620,Data_tables!$BD$5:$BD$620))*AF441</f>
        <v>0</v>
      </c>
      <c r="AG1328" s="33" cm="1">
        <f t="array" ref="AG1328">+IF($C1316="Yes",_xlfn.XLOOKUP(Assumptions!$G$14&amp;$E1316,Data_tables!$AZ$5:$AZ$620&amp;Data_tables!$BA$5:$BA$620,Data_tables!$BD$5:$BD$620))*AG441</f>
        <v>0</v>
      </c>
      <c r="AH1328" s="33" cm="1">
        <f t="array" ref="AH1328">+IF($C1316="Yes",_xlfn.XLOOKUP(Assumptions!$G$14&amp;$E1316,Data_tables!$AZ$5:$AZ$620&amp;Data_tables!$BA$5:$BA$620,Data_tables!$BD$5:$BD$620))*AH441</f>
        <v>0</v>
      </c>
      <c r="AI1328" s="33" cm="1">
        <f t="array" ref="AI1328">+IF($C1316="Yes",_xlfn.XLOOKUP(Assumptions!$G$14&amp;$E1316,Data_tables!$AZ$5:$AZ$620&amp;Data_tables!$BA$5:$BA$620,Data_tables!$BD$5:$BD$620))*AI441</f>
        <v>0</v>
      </c>
      <c r="AJ1328" s="33" cm="1">
        <f t="array" ref="AJ1328">+IF($C1316="Yes",_xlfn.XLOOKUP(Assumptions!$G$14&amp;$E1316,Data_tables!$AZ$5:$AZ$620&amp;Data_tables!$BA$5:$BA$620,Data_tables!$BD$5:$BD$620))*AJ441</f>
        <v>0</v>
      </c>
      <c r="AK1328" s="33" cm="1">
        <f t="array" ref="AK1328">+IF($C1316="Yes",_xlfn.XLOOKUP(Assumptions!$G$14&amp;$E1316,Data_tables!$AZ$5:$AZ$620&amp;Data_tables!$BA$5:$BA$620,Data_tables!$BD$5:$BD$620))*AK441</f>
        <v>0</v>
      </c>
      <c r="AL1328" s="33" cm="1">
        <f t="array" ref="AL1328">+IF($C1316="Yes",_xlfn.XLOOKUP(Assumptions!$G$14&amp;$E1316,Data_tables!$AZ$5:$AZ$620&amp;Data_tables!$BA$5:$BA$620,Data_tables!$BD$5:$BD$620))*AL441</f>
        <v>0</v>
      </c>
      <c r="AM1328" s="33" cm="1">
        <f t="array" ref="AM1328">+IF($C1316="Yes",_xlfn.XLOOKUP(Assumptions!$G$14&amp;$E1316,Data_tables!$AZ$5:$AZ$620&amp;Data_tables!$BA$5:$BA$620,Data_tables!$BD$5:$BD$620))*AM441</f>
        <v>0</v>
      </c>
      <c r="AN1328" s="33" cm="1">
        <f t="array" ref="AN1328">+IF($C1316="Yes",_xlfn.XLOOKUP(Assumptions!$G$14&amp;$E1316,Data_tables!$AZ$5:$AZ$620&amp;Data_tables!$BA$5:$BA$620,Data_tables!$BD$5:$BD$620))*AN441</f>
        <v>0</v>
      </c>
      <c r="AO1328" s="33" cm="1">
        <f t="array" ref="AO1328">+IF($C1316="Yes",_xlfn.XLOOKUP(Assumptions!$G$14&amp;$E1316,Data_tables!$AZ$5:$AZ$620&amp;Data_tables!$BA$5:$BA$620,Data_tables!$BD$5:$BD$620))*AO441</f>
        <v>0</v>
      </c>
      <c r="AP1328" s="33" cm="1">
        <f t="array" ref="AP1328">+IF($C1316="Yes",_xlfn.XLOOKUP(Assumptions!$G$14&amp;$E1316,Data_tables!$AZ$5:$AZ$620&amp;Data_tables!$BA$5:$BA$620,Data_tables!$BD$5:$BD$620))*AP441</f>
        <v>0</v>
      </c>
      <c r="AQ1328" s="33" cm="1">
        <f t="array" ref="AQ1328">+IF($C1316="Yes",_xlfn.XLOOKUP(Assumptions!$G$14&amp;$E1316,Data_tables!$AZ$5:$AZ$620&amp;Data_tables!$BA$5:$BA$620,Data_tables!$BD$5:$BD$620))*AQ441</f>
        <v>0</v>
      </c>
      <c r="AR1328" s="33" cm="1">
        <f t="array" ref="AR1328">+IF($C1316="Yes",_xlfn.XLOOKUP(Assumptions!$G$14&amp;$E1316,Data_tables!$AZ$5:$AZ$620&amp;Data_tables!$BA$5:$BA$620,Data_tables!$BD$5:$BD$620))*AR441</f>
        <v>0</v>
      </c>
      <c r="AS1328" s="33" cm="1">
        <f t="array" ref="AS1328">+IF($C1316="Yes",_xlfn.XLOOKUP(Assumptions!$G$14&amp;$E1316,Data_tables!$AZ$5:$AZ$620&amp;Data_tables!$BA$5:$BA$620,Data_tables!$BD$5:$BD$620))*AS441</f>
        <v>0</v>
      </c>
      <c r="AT1328" s="33" cm="1">
        <f t="array" ref="AT1328">+IF($C1316="Yes",_xlfn.XLOOKUP(Assumptions!$G$14&amp;$E1316,Data_tables!$AZ$5:$AZ$620&amp;Data_tables!$BA$5:$BA$620,Data_tables!$BD$5:$BD$620))*AT441</f>
        <v>0</v>
      </c>
      <c r="AU1328" s="33" cm="1">
        <f t="array" ref="AU1328">+IF($C1316="Yes",_xlfn.XLOOKUP(Assumptions!$G$14&amp;$E1316,Data_tables!$AZ$5:$AZ$620&amp;Data_tables!$BA$5:$BA$620,Data_tables!$BD$5:$BD$620))*AU441</f>
        <v>0</v>
      </c>
      <c r="AV1328" s="33" cm="1">
        <f t="array" ref="AV1328">+IF($C1316="Yes",_xlfn.XLOOKUP(Assumptions!$G$14&amp;$E1316,Data_tables!$AZ$5:$AZ$620&amp;Data_tables!$BA$5:$BA$620,Data_tables!$BD$5:$BD$620))*AV441</f>
        <v>0</v>
      </c>
      <c r="AW1328" s="33" cm="1">
        <f t="array" ref="AW1328">+IF($C1316="Yes",_xlfn.XLOOKUP(Assumptions!$G$14&amp;$E1316,Data_tables!$AZ$5:$AZ$620&amp;Data_tables!$BA$5:$BA$620,Data_tables!$BD$5:$BD$620))*AW441</f>
        <v>0</v>
      </c>
      <c r="AX1328" s="33" cm="1">
        <f t="array" ref="AX1328">+IF($C1316="Yes",_xlfn.XLOOKUP(Assumptions!$G$14&amp;$E1316,Data_tables!$AZ$5:$AZ$620&amp;Data_tables!$BA$5:$BA$620,Data_tables!$BD$5:$BD$620))*AX441</f>
        <v>0</v>
      </c>
      <c r="AY1328" s="33" cm="1">
        <f t="array" ref="AY1328">+IF($C1316="Yes",_xlfn.XLOOKUP(Assumptions!$G$14&amp;$E1316,Data_tables!$AZ$5:$AZ$620&amp;Data_tables!$BA$5:$BA$620,Data_tables!$BD$5:$BD$620))*AY441</f>
        <v>0</v>
      </c>
      <c r="AZ1328" s="33" cm="1">
        <f t="array" ref="AZ1328">+IF($C1316="Yes",_xlfn.XLOOKUP(Assumptions!$G$14&amp;$E1316,Data_tables!$AZ$5:$AZ$620&amp;Data_tables!$BA$5:$BA$620,Data_tables!$BD$5:$BD$620))*AZ441</f>
        <v>0</v>
      </c>
      <c r="BA1328" s="33" cm="1">
        <f t="array" ref="BA1328">+IF($C1316="Yes",_xlfn.XLOOKUP(Assumptions!$G$14&amp;$E1316,Data_tables!$AZ$5:$AZ$620&amp;Data_tables!$BA$5:$BA$620,Data_tables!$BD$5:$BD$620))*BA441</f>
        <v>0</v>
      </c>
      <c r="BB1328" s="33" cm="1">
        <f t="array" ref="BB1328">+IF($C1316="Yes",_xlfn.XLOOKUP(Assumptions!$G$14&amp;$E1316,Data_tables!$AZ$5:$AZ$620&amp;Data_tables!$BA$5:$BA$620,Data_tables!$BD$5:$BD$620))*BB441</f>
        <v>0</v>
      </c>
      <c r="BC1328" s="33" cm="1">
        <f t="array" ref="BC1328">+IF($C1316="Yes",_xlfn.XLOOKUP(Assumptions!$G$14&amp;$E1316,Data_tables!$AZ$5:$AZ$620&amp;Data_tables!$BA$5:$BA$620,Data_tables!$BD$5:$BD$620))*BC441</f>
        <v>0</v>
      </c>
      <c r="BD1328" s="33" cm="1">
        <f t="array" ref="BD1328">+IF($C1316="Yes",_xlfn.XLOOKUP(Assumptions!$G$14&amp;$E1316,Data_tables!$AZ$5:$AZ$620&amp;Data_tables!$BA$5:$BA$620,Data_tables!$BD$5:$BD$620))*BD441</f>
        <v>0</v>
      </c>
      <c r="BE1328" s="33" cm="1">
        <f t="array" ref="BE1328">+IF($C1316="Yes",_xlfn.XLOOKUP(Assumptions!$G$14&amp;$E1316,Data_tables!$AZ$5:$AZ$620&amp;Data_tables!$BA$5:$BA$620,Data_tables!$BD$5:$BD$620))*BE441</f>
        <v>0</v>
      </c>
      <c r="BF1328" s="33" cm="1">
        <f t="array" ref="BF1328">+IF($C1316="Yes",_xlfn.XLOOKUP(Assumptions!$G$14&amp;$E1316,Data_tables!$AZ$5:$AZ$620&amp;Data_tables!$BA$5:$BA$620,Data_tables!$BD$5:$BD$620))*BF441</f>
        <v>0</v>
      </c>
      <c r="BG1328" s="33" cm="1">
        <f t="array" ref="BG1328">+IF($C1316="Yes",_xlfn.XLOOKUP(Assumptions!$G$14&amp;$E1316,Data_tables!$AZ$5:$AZ$620&amp;Data_tables!$BA$5:$BA$620,Data_tables!$BD$5:$BD$620))*BG441</f>
        <v>0</v>
      </c>
      <c r="BH1328" s="33" cm="1">
        <f t="array" ref="BH1328">+IF($C1316="Yes",_xlfn.XLOOKUP(Assumptions!$G$14&amp;$E1316,Data_tables!$AZ$5:$AZ$620&amp;Data_tables!$BA$5:$BA$620,Data_tables!$BD$5:$BD$620))*BH441</f>
        <v>0</v>
      </c>
      <c r="BI1328" s="33" cm="1">
        <f t="array" ref="BI1328">+IF($C1316="Yes",_xlfn.XLOOKUP(Assumptions!$G$14&amp;$E1316,Data_tables!$AZ$5:$AZ$620&amp;Data_tables!$BA$5:$BA$620,Data_tables!$BD$5:$BD$620))*BI441</f>
        <v>0</v>
      </c>
      <c r="BJ1328" s="33" cm="1">
        <f t="array" ref="BJ1328">+IF($C1316="Yes",_xlfn.XLOOKUP(Assumptions!$G$14&amp;$E1316,Data_tables!$AZ$5:$AZ$620&amp;Data_tables!$BA$5:$BA$620,Data_tables!$BD$5:$BD$620))*BJ441</f>
        <v>0</v>
      </c>
      <c r="BK1328" s="33" cm="1">
        <f t="array" ref="BK1328">+IF($C1316="Yes",_xlfn.XLOOKUP(Assumptions!$G$14&amp;$E1316,Data_tables!$AZ$5:$AZ$620&amp;Data_tables!$BA$5:$BA$620,Data_tables!$BD$5:$BD$620))*BK441</f>
        <v>0</v>
      </c>
      <c r="BL1328" s="33" cm="1">
        <f t="array" ref="BL1328">+IF($C1316="Yes",_xlfn.XLOOKUP(Assumptions!$G$14&amp;$E1316,Data_tables!$AZ$5:$AZ$620&amp;Data_tables!$BA$5:$BA$620,Data_tables!$BD$5:$BD$620))*BL441</f>
        <v>0</v>
      </c>
      <c r="BM1328" s="33" cm="1">
        <f t="array" ref="BM1328">+IF($C1316="Yes",_xlfn.XLOOKUP(Assumptions!$G$14&amp;$E1316,Data_tables!$AZ$5:$AZ$620&amp;Data_tables!$BA$5:$BA$620,Data_tables!$BD$5:$BD$620))*BM441</f>
        <v>0</v>
      </c>
      <c r="BN1328" s="33" cm="1">
        <f t="array" ref="BN1328">+IF($C1316="Yes",_xlfn.XLOOKUP(Assumptions!$G$14&amp;$E1316,Data_tables!$AZ$5:$AZ$620&amp;Data_tables!$BA$5:$BA$620,Data_tables!$BD$5:$BD$620))*BN441</f>
        <v>0</v>
      </c>
      <c r="BO1328" s="33" cm="1">
        <f t="array" ref="BO1328">+IF($C1316="Yes",_xlfn.XLOOKUP(Assumptions!$G$14&amp;$E1316,Data_tables!$AZ$5:$AZ$620&amp;Data_tables!$BA$5:$BA$620,Data_tables!$BD$5:$BD$620))*BO441</f>
        <v>0</v>
      </c>
      <c r="BP1328" s="33" cm="1">
        <f t="array" ref="BP1328">+IF($C1316="Yes",_xlfn.XLOOKUP(Assumptions!$G$14&amp;$E1316,Data_tables!$AZ$5:$AZ$620&amp;Data_tables!$BA$5:$BA$620,Data_tables!$BD$5:$BD$620))*BP441</f>
        <v>0</v>
      </c>
      <c r="BQ1328" s="33" cm="1">
        <f t="array" ref="BQ1328">+IF($C1316="Yes",_xlfn.XLOOKUP(Assumptions!$G$14&amp;$E1316,Data_tables!$AZ$5:$AZ$620&amp;Data_tables!$BA$5:$BA$620,Data_tables!$BD$5:$BD$620))*BQ441</f>
        <v>0</v>
      </c>
      <c r="BR1328" s="33" cm="1">
        <f t="array" ref="BR1328">+IF($C1316="Yes",_xlfn.XLOOKUP(Assumptions!$G$14&amp;$E1316,Data_tables!$AZ$5:$AZ$620&amp;Data_tables!$BA$5:$BA$620,Data_tables!$BD$5:$BD$620))*BR441</f>
        <v>0</v>
      </c>
      <c r="BS1328" s="33" cm="1">
        <f t="array" ref="BS1328">+IF($C1316="Yes",_xlfn.XLOOKUP(Assumptions!$G$14&amp;$E1316,Data_tables!$AZ$5:$AZ$620&amp;Data_tables!$BA$5:$BA$620,Data_tables!$BD$5:$BD$620))*BS441</f>
        <v>0</v>
      </c>
      <c r="BT1328" s="33" cm="1">
        <f t="array" ref="BT1328">+IF($C1316="Yes",_xlfn.XLOOKUP(Assumptions!$G$14&amp;$E1316,Data_tables!$AZ$5:$AZ$620&amp;Data_tables!$BA$5:$BA$620,Data_tables!$BD$5:$BD$620))*BT441</f>
        <v>0</v>
      </c>
      <c r="BU1328" s="33" cm="1">
        <f t="array" ref="BU1328">+IF($C1316="Yes",_xlfn.XLOOKUP(Assumptions!$G$14&amp;$E1316,Data_tables!$AZ$5:$AZ$620&amp;Data_tables!$BA$5:$BA$620,Data_tables!$BD$5:$BD$620))*BU441</f>
        <v>0</v>
      </c>
      <c r="BV1328" s="33" cm="1">
        <f t="array" ref="BV1328">+IF($C1316="Yes",_xlfn.XLOOKUP(Assumptions!$G$14&amp;$E1316,Data_tables!$AZ$5:$AZ$620&amp;Data_tables!$BA$5:$BA$620,Data_tables!$BD$5:$BD$620))*BV441</f>
        <v>0</v>
      </c>
      <c r="BW1328" s="33" cm="1">
        <f t="array" ref="BW1328">+IF($C1316="Yes",_xlfn.XLOOKUP(Assumptions!$G$14&amp;$E1316,Data_tables!$AZ$5:$AZ$620&amp;Data_tables!$BA$5:$BA$620,Data_tables!$BD$5:$BD$620))*BW441</f>
        <v>0</v>
      </c>
      <c r="BX1328" s="33" cm="1">
        <f t="array" ref="BX1328">+IF($C1316="Yes",_xlfn.XLOOKUP(Assumptions!$G$14&amp;$E1316,Data_tables!$AZ$5:$AZ$620&amp;Data_tables!$BA$5:$BA$620,Data_tables!$BD$5:$BD$620))*BX441</f>
        <v>0</v>
      </c>
      <c r="BY1328" s="33" cm="1">
        <f t="array" ref="BY1328">+IF($C1316="Yes",_xlfn.XLOOKUP(Assumptions!$G$14&amp;$E1316,Data_tables!$AZ$5:$AZ$620&amp;Data_tables!$BA$5:$BA$620,Data_tables!$BD$5:$BD$620))*BY441</f>
        <v>0</v>
      </c>
    </row>
    <row r="1329" spans="1:77" s="35" customFormat="1" outlineLevel="1">
      <c r="A1329" s="33"/>
      <c r="B1329" s="33"/>
      <c r="C1329" s="33" t="str">
        <f t="shared" si="2501"/>
        <v>Yes</v>
      </c>
      <c r="D1329" s="33"/>
      <c r="E1329" t="str">
        <f>+E1317</f>
        <v>Vessel - OPEX</v>
      </c>
      <c r="F1329" s="104" t="s">
        <v>640</v>
      </c>
      <c r="G1329" s="33"/>
      <c r="H1329" s="33" cm="1">
        <f t="array" ref="H1329">+IF($C1317="Yes",_xlfn.XLOOKUP(Assumptions!$G$14&amp;$E1317,Data_tables!$AZ$5:$AZ$620&amp;Data_tables!$BA$5:$BA$620,Data_tables!$BD$5:$BD$620))*H447</f>
        <v>0</v>
      </c>
      <c r="I1329" s="33" cm="1">
        <f t="array" ref="I1329">+IF($C1317="Yes",_xlfn.XLOOKUP(Assumptions!$G$14&amp;$E1317,Data_tables!$AZ$5:$AZ$620&amp;Data_tables!$BA$5:$BA$620,Data_tables!$BD$5:$BD$620))*I447</f>
        <v>0</v>
      </c>
      <c r="J1329" s="33" cm="1">
        <f t="array" ref="J1329">+IF($C1317="Yes",_xlfn.XLOOKUP(Assumptions!$G$14&amp;$E1317,Data_tables!$AZ$5:$AZ$620&amp;Data_tables!$BA$5:$BA$620,Data_tables!$BD$5:$BD$620))*J447</f>
        <v>0</v>
      </c>
      <c r="K1329" s="33" cm="1">
        <f t="array" ref="K1329">+IF($C1317="Yes",_xlfn.XLOOKUP(Assumptions!$G$14&amp;$E1317,Data_tables!$AZ$5:$AZ$620&amp;Data_tables!$BA$5:$BA$620,Data_tables!$BD$5:$BD$620))*K447</f>
        <v>-55.622745604766585</v>
      </c>
      <c r="L1329" s="33" cm="1">
        <f t="array" ref="L1329">+IF($C1317="Yes",_xlfn.XLOOKUP(Assumptions!$G$14&amp;$E1317,Data_tables!$AZ$5:$AZ$620&amp;Data_tables!$BA$5:$BA$620,Data_tables!$BD$5:$BD$620))*L447</f>
        <v>-56.735200516861923</v>
      </c>
      <c r="M1329" s="33" cm="1">
        <f t="array" ref="M1329">+IF($C1317="Yes",_xlfn.XLOOKUP(Assumptions!$G$14&amp;$E1317,Data_tables!$AZ$5:$AZ$620&amp;Data_tables!$BA$5:$BA$620,Data_tables!$BD$5:$BD$620))*M447</f>
        <v>-57.869904527199161</v>
      </c>
      <c r="N1329" s="33" cm="1">
        <f t="array" ref="N1329">+IF($C1317="Yes",_xlfn.XLOOKUP(Assumptions!$G$14&amp;$E1317,Data_tables!$AZ$5:$AZ$620&amp;Data_tables!$BA$5:$BA$620,Data_tables!$BD$5:$BD$620))*N447</f>
        <v>-59.027302617743125</v>
      </c>
      <c r="O1329" s="33" cm="1">
        <f t="array" ref="O1329">+IF($C1317="Yes",_xlfn.XLOOKUP(Assumptions!$G$14&amp;$E1317,Data_tables!$AZ$5:$AZ$620&amp;Data_tables!$BA$5:$BA$620,Data_tables!$BD$5:$BD$620))*O447</f>
        <v>-60.207848670097995</v>
      </c>
      <c r="P1329" s="33" cm="1">
        <f t="array" ref="P1329">+IF($C1317="Yes",_xlfn.XLOOKUP(Assumptions!$G$14&amp;$E1317,Data_tables!$AZ$5:$AZ$620&amp;Data_tables!$BA$5:$BA$620,Data_tables!$BD$5:$BD$620))*P447</f>
        <v>-61.412005643499953</v>
      </c>
      <c r="Q1329" s="33" cm="1">
        <f t="array" ref="Q1329">+IF($C1317="Yes",_xlfn.XLOOKUP(Assumptions!$G$14&amp;$E1317,Data_tables!$AZ$5:$AZ$620&amp;Data_tables!$BA$5:$BA$620,Data_tables!$BD$5:$BD$620))*Q447</f>
        <v>-62.640245756369964</v>
      </c>
      <c r="R1329" s="33" cm="1">
        <f t="array" ref="R1329">+IF($C1317="Yes",_xlfn.XLOOKUP(Assumptions!$G$14&amp;$E1317,Data_tables!$AZ$5:$AZ$620&amp;Data_tables!$BA$5:$BA$620,Data_tables!$BD$5:$BD$620))*R447</f>
        <v>-63.893050671497349</v>
      </c>
      <c r="S1329" s="33" cm="1">
        <f t="array" ref="S1329">+IF($C1317="Yes",_xlfn.XLOOKUP(Assumptions!$G$14&amp;$E1317,Data_tables!$AZ$5:$AZ$620&amp;Data_tables!$BA$5:$BA$620,Data_tables!$BD$5:$BD$620))*S447</f>
        <v>-65.170911684927304</v>
      </c>
      <c r="T1329" s="33" cm="1">
        <f t="array" ref="T1329">+IF($C1317="Yes",_xlfn.XLOOKUP(Assumptions!$G$14&amp;$E1317,Data_tables!$AZ$5:$AZ$620&amp;Data_tables!$BA$5:$BA$620,Data_tables!$BD$5:$BD$620))*T447</f>
        <v>-66.474329918625841</v>
      </c>
      <c r="U1329" s="33" cm="1">
        <f t="array" ref="U1329">+IF($C1317="Yes",_xlfn.XLOOKUP(Assumptions!$G$14&amp;$E1317,Data_tables!$AZ$5:$AZ$620&amp;Data_tables!$BA$5:$BA$620,Data_tables!$BD$5:$BD$620))*U447</f>
        <v>-67.803816516998367</v>
      </c>
      <c r="V1329" s="33" cm="1">
        <f t="array" ref="V1329">+IF($C1317="Yes",_xlfn.XLOOKUP(Assumptions!$G$14&amp;$E1317,Data_tables!$AZ$5:$AZ$620&amp;Data_tables!$BA$5:$BA$620,Data_tables!$BD$5:$BD$620))*V447</f>
        <v>-69.159892847338313</v>
      </c>
      <c r="W1329" s="33" cm="1">
        <f t="array" ref="W1329">+IF($C1317="Yes",_xlfn.XLOOKUP(Assumptions!$G$14&amp;$E1317,Data_tables!$AZ$5:$AZ$620&amp;Data_tables!$BA$5:$BA$620,Data_tables!$BD$5:$BD$620))*W447</f>
        <v>-70.543090704285092</v>
      </c>
      <c r="X1329" s="33" cm="1">
        <f t="array" ref="X1329">+IF($C1317="Yes",_xlfn.XLOOKUP(Assumptions!$G$14&amp;$E1317,Data_tables!$AZ$5:$AZ$620&amp;Data_tables!$BA$5:$BA$620,Data_tables!$BD$5:$BD$620))*X447</f>
        <v>-71.953952518370812</v>
      </c>
      <c r="Y1329" s="33" cm="1">
        <f t="array" ref="Y1329">+IF($C1317="Yes",_xlfn.XLOOKUP(Assumptions!$G$14&amp;$E1317,Data_tables!$AZ$5:$AZ$620&amp;Data_tables!$BA$5:$BA$620,Data_tables!$BD$5:$BD$620))*Y447</f>
        <v>-73.393031568738209</v>
      </c>
      <c r="Z1329" s="33" cm="1">
        <f t="array" ref="Z1329">+IF($C1317="Yes",_xlfn.XLOOKUP(Assumptions!$G$14&amp;$E1317,Data_tables!$AZ$5:$AZ$620&amp;Data_tables!$BA$5:$BA$620,Data_tables!$BD$5:$BD$620))*Z447</f>
        <v>0</v>
      </c>
      <c r="AA1329" s="33" cm="1">
        <f t="array" ref="AA1329">+IF($C1317="Yes",_xlfn.XLOOKUP(Assumptions!$G$14&amp;$E1317,Data_tables!$AZ$5:$AZ$620&amp;Data_tables!$BA$5:$BA$620,Data_tables!$BD$5:$BD$620))*AA447</f>
        <v>0</v>
      </c>
      <c r="AB1329" s="33" cm="1">
        <f t="array" ref="AB1329">+IF($C1317="Yes",_xlfn.XLOOKUP(Assumptions!$G$14&amp;$E1317,Data_tables!$AZ$5:$AZ$620&amp;Data_tables!$BA$5:$BA$620,Data_tables!$BD$5:$BD$620))*AB447</f>
        <v>0</v>
      </c>
      <c r="AC1329" s="33" cm="1">
        <f t="array" ref="AC1329">+IF($C1317="Yes",_xlfn.XLOOKUP(Assumptions!$G$14&amp;$E1317,Data_tables!$AZ$5:$AZ$620&amp;Data_tables!$BA$5:$BA$620,Data_tables!$BD$5:$BD$620))*AC447</f>
        <v>0</v>
      </c>
      <c r="AD1329" s="33" cm="1">
        <f t="array" ref="AD1329">+IF($C1317="Yes",_xlfn.XLOOKUP(Assumptions!$G$14&amp;$E1317,Data_tables!$AZ$5:$AZ$620&amp;Data_tables!$BA$5:$BA$620,Data_tables!$BD$5:$BD$620))*AD447</f>
        <v>0</v>
      </c>
      <c r="AE1329" s="33" cm="1">
        <f t="array" ref="AE1329">+IF($C1317="Yes",_xlfn.XLOOKUP(Assumptions!$G$14&amp;$E1317,Data_tables!$AZ$5:$AZ$620&amp;Data_tables!$BA$5:$BA$620,Data_tables!$BD$5:$BD$620))*AE447</f>
        <v>0</v>
      </c>
      <c r="AF1329" s="33" cm="1">
        <f t="array" ref="AF1329">+IF($C1317="Yes",_xlfn.XLOOKUP(Assumptions!$G$14&amp;$E1317,Data_tables!$AZ$5:$AZ$620&amp;Data_tables!$BA$5:$BA$620,Data_tables!$BD$5:$BD$620))*AF447</f>
        <v>0</v>
      </c>
      <c r="AG1329" s="33" cm="1">
        <f t="array" ref="AG1329">+IF($C1317="Yes",_xlfn.XLOOKUP(Assumptions!$G$14&amp;$E1317,Data_tables!$AZ$5:$AZ$620&amp;Data_tables!$BA$5:$BA$620,Data_tables!$BD$5:$BD$620))*AG447</f>
        <v>0</v>
      </c>
      <c r="AH1329" s="33" cm="1">
        <f t="array" ref="AH1329">+IF($C1317="Yes",_xlfn.XLOOKUP(Assumptions!$G$14&amp;$E1317,Data_tables!$AZ$5:$AZ$620&amp;Data_tables!$BA$5:$BA$620,Data_tables!$BD$5:$BD$620))*AH447</f>
        <v>0</v>
      </c>
      <c r="AI1329" s="33" cm="1">
        <f t="array" ref="AI1329">+IF($C1317="Yes",_xlfn.XLOOKUP(Assumptions!$G$14&amp;$E1317,Data_tables!$AZ$5:$AZ$620&amp;Data_tables!$BA$5:$BA$620,Data_tables!$BD$5:$BD$620))*AI447</f>
        <v>0</v>
      </c>
      <c r="AJ1329" s="33" cm="1">
        <f t="array" ref="AJ1329">+IF($C1317="Yes",_xlfn.XLOOKUP(Assumptions!$G$14&amp;$E1317,Data_tables!$AZ$5:$AZ$620&amp;Data_tables!$BA$5:$BA$620,Data_tables!$BD$5:$BD$620))*AJ447</f>
        <v>0</v>
      </c>
      <c r="AK1329" s="33" cm="1">
        <f t="array" ref="AK1329">+IF($C1317="Yes",_xlfn.XLOOKUP(Assumptions!$G$14&amp;$E1317,Data_tables!$AZ$5:$AZ$620&amp;Data_tables!$BA$5:$BA$620,Data_tables!$BD$5:$BD$620))*AK447</f>
        <v>0</v>
      </c>
      <c r="AL1329" s="33" cm="1">
        <f t="array" ref="AL1329">+IF($C1317="Yes",_xlfn.XLOOKUP(Assumptions!$G$14&amp;$E1317,Data_tables!$AZ$5:$AZ$620&amp;Data_tables!$BA$5:$BA$620,Data_tables!$BD$5:$BD$620))*AL447</f>
        <v>0</v>
      </c>
      <c r="AM1329" s="33" cm="1">
        <f t="array" ref="AM1329">+IF($C1317="Yes",_xlfn.XLOOKUP(Assumptions!$G$14&amp;$E1317,Data_tables!$AZ$5:$AZ$620&amp;Data_tables!$BA$5:$BA$620,Data_tables!$BD$5:$BD$620))*AM447</f>
        <v>0</v>
      </c>
      <c r="AN1329" s="33" cm="1">
        <f t="array" ref="AN1329">+IF($C1317="Yes",_xlfn.XLOOKUP(Assumptions!$G$14&amp;$E1317,Data_tables!$AZ$5:$AZ$620&amp;Data_tables!$BA$5:$BA$620,Data_tables!$BD$5:$BD$620))*AN447</f>
        <v>0</v>
      </c>
      <c r="AO1329" s="33" cm="1">
        <f t="array" ref="AO1329">+IF($C1317="Yes",_xlfn.XLOOKUP(Assumptions!$G$14&amp;$E1317,Data_tables!$AZ$5:$AZ$620&amp;Data_tables!$BA$5:$BA$620,Data_tables!$BD$5:$BD$620))*AO447</f>
        <v>0</v>
      </c>
      <c r="AP1329" s="33" cm="1">
        <f t="array" ref="AP1329">+IF($C1317="Yes",_xlfn.XLOOKUP(Assumptions!$G$14&amp;$E1317,Data_tables!$AZ$5:$AZ$620&amp;Data_tables!$BA$5:$BA$620,Data_tables!$BD$5:$BD$620))*AP447</f>
        <v>0</v>
      </c>
      <c r="AQ1329" s="33" cm="1">
        <f t="array" ref="AQ1329">+IF($C1317="Yes",_xlfn.XLOOKUP(Assumptions!$G$14&amp;$E1317,Data_tables!$AZ$5:$AZ$620&amp;Data_tables!$BA$5:$BA$620,Data_tables!$BD$5:$BD$620))*AQ447</f>
        <v>0</v>
      </c>
      <c r="AR1329" s="33" cm="1">
        <f t="array" ref="AR1329">+IF($C1317="Yes",_xlfn.XLOOKUP(Assumptions!$G$14&amp;$E1317,Data_tables!$AZ$5:$AZ$620&amp;Data_tables!$BA$5:$BA$620,Data_tables!$BD$5:$BD$620))*AR447</f>
        <v>0</v>
      </c>
      <c r="AS1329" s="33" cm="1">
        <f t="array" ref="AS1329">+IF($C1317="Yes",_xlfn.XLOOKUP(Assumptions!$G$14&amp;$E1317,Data_tables!$AZ$5:$AZ$620&amp;Data_tables!$BA$5:$BA$620,Data_tables!$BD$5:$BD$620))*AS447</f>
        <v>0</v>
      </c>
      <c r="AT1329" s="33" cm="1">
        <f t="array" ref="AT1329">+IF($C1317="Yes",_xlfn.XLOOKUP(Assumptions!$G$14&amp;$E1317,Data_tables!$AZ$5:$AZ$620&amp;Data_tables!$BA$5:$BA$620,Data_tables!$BD$5:$BD$620))*AT447</f>
        <v>0</v>
      </c>
      <c r="AU1329" s="33" cm="1">
        <f t="array" ref="AU1329">+IF($C1317="Yes",_xlfn.XLOOKUP(Assumptions!$G$14&amp;$E1317,Data_tables!$AZ$5:$AZ$620&amp;Data_tables!$BA$5:$BA$620,Data_tables!$BD$5:$BD$620))*AU447</f>
        <v>0</v>
      </c>
      <c r="AV1329" s="33" cm="1">
        <f t="array" ref="AV1329">+IF($C1317="Yes",_xlfn.XLOOKUP(Assumptions!$G$14&amp;$E1317,Data_tables!$AZ$5:$AZ$620&amp;Data_tables!$BA$5:$BA$620,Data_tables!$BD$5:$BD$620))*AV447</f>
        <v>0</v>
      </c>
      <c r="AW1329" s="33" cm="1">
        <f t="array" ref="AW1329">+IF($C1317="Yes",_xlfn.XLOOKUP(Assumptions!$G$14&amp;$E1317,Data_tables!$AZ$5:$AZ$620&amp;Data_tables!$BA$5:$BA$620,Data_tables!$BD$5:$BD$620))*AW447</f>
        <v>0</v>
      </c>
      <c r="AX1329" s="33" cm="1">
        <f t="array" ref="AX1329">+IF($C1317="Yes",_xlfn.XLOOKUP(Assumptions!$G$14&amp;$E1317,Data_tables!$AZ$5:$AZ$620&amp;Data_tables!$BA$5:$BA$620,Data_tables!$BD$5:$BD$620))*AX447</f>
        <v>0</v>
      </c>
      <c r="AY1329" s="33" cm="1">
        <f t="array" ref="AY1329">+IF($C1317="Yes",_xlfn.XLOOKUP(Assumptions!$G$14&amp;$E1317,Data_tables!$AZ$5:$AZ$620&amp;Data_tables!$BA$5:$BA$620,Data_tables!$BD$5:$BD$620))*AY447</f>
        <v>0</v>
      </c>
      <c r="AZ1329" s="33" cm="1">
        <f t="array" ref="AZ1329">+IF($C1317="Yes",_xlfn.XLOOKUP(Assumptions!$G$14&amp;$E1317,Data_tables!$AZ$5:$AZ$620&amp;Data_tables!$BA$5:$BA$620,Data_tables!$BD$5:$BD$620))*AZ447</f>
        <v>0</v>
      </c>
      <c r="BA1329" s="33" cm="1">
        <f t="array" ref="BA1329">+IF($C1317="Yes",_xlfn.XLOOKUP(Assumptions!$G$14&amp;$E1317,Data_tables!$AZ$5:$AZ$620&amp;Data_tables!$BA$5:$BA$620,Data_tables!$BD$5:$BD$620))*BA447</f>
        <v>0</v>
      </c>
      <c r="BB1329" s="33" cm="1">
        <f t="array" ref="BB1329">+IF($C1317="Yes",_xlfn.XLOOKUP(Assumptions!$G$14&amp;$E1317,Data_tables!$AZ$5:$AZ$620&amp;Data_tables!$BA$5:$BA$620,Data_tables!$BD$5:$BD$620))*BB447</f>
        <v>0</v>
      </c>
      <c r="BC1329" s="33" cm="1">
        <f t="array" ref="BC1329">+IF($C1317="Yes",_xlfn.XLOOKUP(Assumptions!$G$14&amp;$E1317,Data_tables!$AZ$5:$AZ$620&amp;Data_tables!$BA$5:$BA$620,Data_tables!$BD$5:$BD$620))*BC447</f>
        <v>0</v>
      </c>
      <c r="BD1329" s="33" cm="1">
        <f t="array" ref="BD1329">+IF($C1317="Yes",_xlfn.XLOOKUP(Assumptions!$G$14&amp;$E1317,Data_tables!$AZ$5:$AZ$620&amp;Data_tables!$BA$5:$BA$620,Data_tables!$BD$5:$BD$620))*BD447</f>
        <v>0</v>
      </c>
      <c r="BE1329" s="33" cm="1">
        <f t="array" ref="BE1329">+IF($C1317="Yes",_xlfn.XLOOKUP(Assumptions!$G$14&amp;$E1317,Data_tables!$AZ$5:$AZ$620&amp;Data_tables!$BA$5:$BA$620,Data_tables!$BD$5:$BD$620))*BE447</f>
        <v>0</v>
      </c>
      <c r="BF1329" s="33" cm="1">
        <f t="array" ref="BF1329">+IF($C1317="Yes",_xlfn.XLOOKUP(Assumptions!$G$14&amp;$E1317,Data_tables!$AZ$5:$AZ$620&amp;Data_tables!$BA$5:$BA$620,Data_tables!$BD$5:$BD$620))*BF447</f>
        <v>0</v>
      </c>
      <c r="BG1329" s="33" cm="1">
        <f t="array" ref="BG1329">+IF($C1317="Yes",_xlfn.XLOOKUP(Assumptions!$G$14&amp;$E1317,Data_tables!$AZ$5:$AZ$620&amp;Data_tables!$BA$5:$BA$620,Data_tables!$BD$5:$BD$620))*BG447</f>
        <v>0</v>
      </c>
      <c r="BH1329" s="33" cm="1">
        <f t="array" ref="BH1329">+IF($C1317="Yes",_xlfn.XLOOKUP(Assumptions!$G$14&amp;$E1317,Data_tables!$AZ$5:$AZ$620&amp;Data_tables!$BA$5:$BA$620,Data_tables!$BD$5:$BD$620))*BH447</f>
        <v>0</v>
      </c>
      <c r="BI1329" s="33" cm="1">
        <f t="array" ref="BI1329">+IF($C1317="Yes",_xlfn.XLOOKUP(Assumptions!$G$14&amp;$E1317,Data_tables!$AZ$5:$AZ$620&amp;Data_tables!$BA$5:$BA$620,Data_tables!$BD$5:$BD$620))*BI447</f>
        <v>0</v>
      </c>
      <c r="BJ1329" s="33" cm="1">
        <f t="array" ref="BJ1329">+IF($C1317="Yes",_xlfn.XLOOKUP(Assumptions!$G$14&amp;$E1317,Data_tables!$AZ$5:$AZ$620&amp;Data_tables!$BA$5:$BA$620,Data_tables!$BD$5:$BD$620))*BJ447</f>
        <v>0</v>
      </c>
      <c r="BK1329" s="33" cm="1">
        <f t="array" ref="BK1329">+IF($C1317="Yes",_xlfn.XLOOKUP(Assumptions!$G$14&amp;$E1317,Data_tables!$AZ$5:$AZ$620&amp;Data_tables!$BA$5:$BA$620,Data_tables!$BD$5:$BD$620))*BK447</f>
        <v>0</v>
      </c>
      <c r="BL1329" s="33" cm="1">
        <f t="array" ref="BL1329">+IF($C1317="Yes",_xlfn.XLOOKUP(Assumptions!$G$14&amp;$E1317,Data_tables!$AZ$5:$AZ$620&amp;Data_tables!$BA$5:$BA$620,Data_tables!$BD$5:$BD$620))*BL447</f>
        <v>0</v>
      </c>
      <c r="BM1329" s="33" cm="1">
        <f t="array" ref="BM1329">+IF($C1317="Yes",_xlfn.XLOOKUP(Assumptions!$G$14&amp;$E1317,Data_tables!$AZ$5:$AZ$620&amp;Data_tables!$BA$5:$BA$620,Data_tables!$BD$5:$BD$620))*BM447</f>
        <v>0</v>
      </c>
      <c r="BN1329" s="33" cm="1">
        <f t="array" ref="BN1329">+IF($C1317="Yes",_xlfn.XLOOKUP(Assumptions!$G$14&amp;$E1317,Data_tables!$AZ$5:$AZ$620&amp;Data_tables!$BA$5:$BA$620,Data_tables!$BD$5:$BD$620))*BN447</f>
        <v>0</v>
      </c>
      <c r="BO1329" s="33" cm="1">
        <f t="array" ref="BO1329">+IF($C1317="Yes",_xlfn.XLOOKUP(Assumptions!$G$14&amp;$E1317,Data_tables!$AZ$5:$AZ$620&amp;Data_tables!$BA$5:$BA$620,Data_tables!$BD$5:$BD$620))*BO447</f>
        <v>0</v>
      </c>
      <c r="BP1329" s="33" cm="1">
        <f t="array" ref="BP1329">+IF($C1317="Yes",_xlfn.XLOOKUP(Assumptions!$G$14&amp;$E1317,Data_tables!$AZ$5:$AZ$620&amp;Data_tables!$BA$5:$BA$620,Data_tables!$BD$5:$BD$620))*BP447</f>
        <v>0</v>
      </c>
      <c r="BQ1329" s="33" cm="1">
        <f t="array" ref="BQ1329">+IF($C1317="Yes",_xlfn.XLOOKUP(Assumptions!$G$14&amp;$E1317,Data_tables!$AZ$5:$AZ$620&amp;Data_tables!$BA$5:$BA$620,Data_tables!$BD$5:$BD$620))*BQ447</f>
        <v>0</v>
      </c>
      <c r="BR1329" s="33" cm="1">
        <f t="array" ref="BR1329">+IF($C1317="Yes",_xlfn.XLOOKUP(Assumptions!$G$14&amp;$E1317,Data_tables!$AZ$5:$AZ$620&amp;Data_tables!$BA$5:$BA$620,Data_tables!$BD$5:$BD$620))*BR447</f>
        <v>0</v>
      </c>
      <c r="BS1329" s="33" cm="1">
        <f t="array" ref="BS1329">+IF($C1317="Yes",_xlfn.XLOOKUP(Assumptions!$G$14&amp;$E1317,Data_tables!$AZ$5:$AZ$620&amp;Data_tables!$BA$5:$BA$620,Data_tables!$BD$5:$BD$620))*BS447</f>
        <v>0</v>
      </c>
      <c r="BT1329" s="33" cm="1">
        <f t="array" ref="BT1329">+IF($C1317="Yes",_xlfn.XLOOKUP(Assumptions!$G$14&amp;$E1317,Data_tables!$AZ$5:$AZ$620&amp;Data_tables!$BA$5:$BA$620,Data_tables!$BD$5:$BD$620))*BT447</f>
        <v>0</v>
      </c>
      <c r="BU1329" s="33" cm="1">
        <f t="array" ref="BU1329">+IF($C1317="Yes",_xlfn.XLOOKUP(Assumptions!$G$14&amp;$E1317,Data_tables!$AZ$5:$AZ$620&amp;Data_tables!$BA$5:$BA$620,Data_tables!$BD$5:$BD$620))*BU447</f>
        <v>0</v>
      </c>
      <c r="BV1329" s="33" cm="1">
        <f t="array" ref="BV1329">+IF($C1317="Yes",_xlfn.XLOOKUP(Assumptions!$G$14&amp;$E1317,Data_tables!$AZ$5:$AZ$620&amp;Data_tables!$BA$5:$BA$620,Data_tables!$BD$5:$BD$620))*BV447</f>
        <v>0</v>
      </c>
      <c r="BW1329" s="33" cm="1">
        <f t="array" ref="BW1329">+IF($C1317="Yes",_xlfn.XLOOKUP(Assumptions!$G$14&amp;$E1317,Data_tables!$AZ$5:$AZ$620&amp;Data_tables!$BA$5:$BA$620,Data_tables!$BD$5:$BD$620))*BW447</f>
        <v>0</v>
      </c>
      <c r="BX1329" s="33" cm="1">
        <f t="array" ref="BX1329">+IF($C1317="Yes",_xlfn.XLOOKUP(Assumptions!$G$14&amp;$E1317,Data_tables!$AZ$5:$AZ$620&amp;Data_tables!$BA$5:$BA$620,Data_tables!$BD$5:$BD$620))*BX447</f>
        <v>0</v>
      </c>
      <c r="BY1329" s="33" cm="1">
        <f t="array" ref="BY1329">+IF($C1317="Yes",_xlfn.XLOOKUP(Assumptions!$G$14&amp;$E1317,Data_tables!$AZ$5:$AZ$620&amp;Data_tables!$BA$5:$BA$620,Data_tables!$BD$5:$BD$620))*BY447</f>
        <v>0</v>
      </c>
    </row>
    <row r="1330" spans="1:77" s="35" customFormat="1" outlineLevel="1">
      <c r="A1330" s="33"/>
      <c r="B1330" s="33"/>
      <c r="C1330" s="33"/>
      <c r="D1330" s="33"/>
      <c r="E1330"/>
      <c r="F1330" s="104"/>
      <c r="G1330" s="33"/>
      <c r="H1330" s="33"/>
      <c r="I1330" s="33"/>
      <c r="J1330" s="33"/>
      <c r="K1330" s="33"/>
      <c r="L1330" s="33"/>
      <c r="M1330" s="33"/>
      <c r="N1330" s="33"/>
      <c r="O1330" s="33"/>
      <c r="P1330" s="33"/>
      <c r="Q1330" s="33"/>
      <c r="R1330" s="33"/>
      <c r="S1330" s="33"/>
      <c r="T1330" s="33"/>
      <c r="U1330" s="33"/>
      <c r="V1330" s="33"/>
      <c r="W1330" s="33"/>
      <c r="X1330" s="33"/>
      <c r="Y1330" s="33"/>
      <c r="Z1330" s="33"/>
      <c r="AA1330" s="33"/>
      <c r="AB1330" s="33"/>
      <c r="AC1330" s="33"/>
      <c r="AD1330" s="33"/>
      <c r="AE1330" s="33"/>
      <c r="AF1330" s="33"/>
      <c r="AG1330" s="33"/>
      <c r="AH1330" s="33"/>
      <c r="AI1330" s="33"/>
      <c r="AJ1330" s="33"/>
      <c r="AK1330" s="33"/>
      <c r="AL1330" s="33"/>
      <c r="AM1330" s="33"/>
      <c r="AN1330" s="33"/>
      <c r="AO1330" s="33"/>
      <c r="AP1330" s="33"/>
      <c r="AQ1330" s="33"/>
      <c r="AR1330" s="33"/>
      <c r="AS1330" s="33"/>
      <c r="AT1330" s="33"/>
      <c r="AU1330" s="33"/>
      <c r="AV1330" s="33"/>
      <c r="AW1330" s="33"/>
      <c r="AX1330" s="33"/>
      <c r="AY1330" s="33"/>
      <c r="AZ1330" s="33"/>
      <c r="BA1330" s="33"/>
      <c r="BB1330" s="33"/>
      <c r="BC1330" s="33"/>
      <c r="BD1330" s="33"/>
      <c r="BE1330" s="33"/>
      <c r="BF1330" s="33"/>
      <c r="BG1330" s="33"/>
      <c r="BH1330" s="33"/>
      <c r="BI1330" s="33"/>
      <c r="BJ1330" s="33"/>
      <c r="BK1330" s="33"/>
      <c r="BL1330" s="33"/>
      <c r="BM1330" s="33"/>
      <c r="BN1330" s="33"/>
      <c r="BO1330" s="33"/>
      <c r="BP1330" s="33"/>
      <c r="BQ1330" s="33"/>
      <c r="BR1330" s="33"/>
      <c r="BS1330" s="33"/>
      <c r="BT1330" s="33"/>
      <c r="BU1330" s="33"/>
      <c r="BV1330" s="33"/>
      <c r="BW1330" s="33"/>
      <c r="BX1330" s="33"/>
      <c r="BY1330" s="33"/>
    </row>
    <row r="1331" spans="1:77" s="35" customFormat="1" ht="15" outlineLevel="1">
      <c r="A1331" s="33"/>
      <c r="B1331" s="33"/>
      <c r="C1331" s="33"/>
      <c r="D1331" s="33"/>
      <c r="E1331" s="22" t="s">
        <v>641</v>
      </c>
      <c r="F1331" s="104" t="s">
        <v>642</v>
      </c>
      <c r="G1331" s="33"/>
      <c r="H1331" s="33">
        <f ca="1">-SUM(H1322:H1329)</f>
        <v>0</v>
      </c>
      <c r="I1331" s="33">
        <f t="shared" ref="I1331:BT1331" ca="1" si="2502">-SUM(I1322:I1329)</f>
        <v>1289.2860406631942</v>
      </c>
      <c r="J1331" s="33">
        <f t="shared" ca="1" si="2502"/>
        <v>1315.0717614764578</v>
      </c>
      <c r="K1331" s="33">
        <f t="shared" si="2502"/>
        <v>55.819984341987194</v>
      </c>
      <c r="L1331" s="33">
        <f t="shared" si="2502"/>
        <v>56.936384028826943</v>
      </c>
      <c r="M1331" s="33">
        <f t="shared" si="2502"/>
        <v>58.075111709403487</v>
      </c>
      <c r="N1331" s="33">
        <f t="shared" si="2502"/>
        <v>59.236613943591536</v>
      </c>
      <c r="O1331" s="33">
        <f t="shared" si="2502"/>
        <v>60.42134622246337</v>
      </c>
      <c r="P1331" s="33">
        <f t="shared" si="2502"/>
        <v>61.62977314691264</v>
      </c>
      <c r="Q1331" s="33">
        <f t="shared" si="2502"/>
        <v>62.862368609850904</v>
      </c>
      <c r="R1331" s="33">
        <f t="shared" si="2502"/>
        <v>64.119615982047904</v>
      </c>
      <c r="S1331" s="33">
        <f t="shared" si="2502"/>
        <v>65.402008301688866</v>
      </c>
      <c r="T1331" s="33">
        <f t="shared" si="2502"/>
        <v>66.710048467722643</v>
      </c>
      <c r="U1331" s="33">
        <f t="shared" si="2502"/>
        <v>68.044249437077099</v>
      </c>
      <c r="V1331" s="33">
        <f t="shared" si="2502"/>
        <v>69.405134425818616</v>
      </c>
      <c r="W1331" s="33">
        <f t="shared" si="2502"/>
        <v>70.793237114335014</v>
      </c>
      <c r="X1331" s="33">
        <f t="shared" si="2502"/>
        <v>72.209101856621729</v>
      </c>
      <c r="Y1331" s="33">
        <f t="shared" si="2502"/>
        <v>73.653283893754136</v>
      </c>
      <c r="Z1331" s="33">
        <f t="shared" ca="1" si="2502"/>
        <v>0</v>
      </c>
      <c r="AA1331" s="33">
        <f t="shared" ca="1" si="2502"/>
        <v>0</v>
      </c>
      <c r="AB1331" s="33">
        <f t="shared" ca="1" si="2502"/>
        <v>0</v>
      </c>
      <c r="AC1331" s="33">
        <f t="shared" ca="1" si="2502"/>
        <v>0</v>
      </c>
      <c r="AD1331" s="33">
        <f t="shared" ca="1" si="2502"/>
        <v>0</v>
      </c>
      <c r="AE1331" s="33">
        <f t="shared" ca="1" si="2502"/>
        <v>0</v>
      </c>
      <c r="AF1331" s="33">
        <f t="shared" ca="1" si="2502"/>
        <v>0</v>
      </c>
      <c r="AG1331" s="33">
        <f t="shared" ca="1" si="2502"/>
        <v>0</v>
      </c>
      <c r="AH1331" s="33">
        <f t="shared" ca="1" si="2502"/>
        <v>0</v>
      </c>
      <c r="AI1331" s="33">
        <f t="shared" ca="1" si="2502"/>
        <v>0</v>
      </c>
      <c r="AJ1331" s="33">
        <f t="shared" ca="1" si="2502"/>
        <v>0</v>
      </c>
      <c r="AK1331" s="33">
        <f t="shared" ca="1" si="2502"/>
        <v>0</v>
      </c>
      <c r="AL1331" s="33">
        <f t="shared" ca="1" si="2502"/>
        <v>0</v>
      </c>
      <c r="AM1331" s="33">
        <f t="shared" ca="1" si="2502"/>
        <v>0</v>
      </c>
      <c r="AN1331" s="33">
        <f t="shared" ca="1" si="2502"/>
        <v>0</v>
      </c>
      <c r="AO1331" s="33">
        <f t="shared" ca="1" si="2502"/>
        <v>0</v>
      </c>
      <c r="AP1331" s="33">
        <f t="shared" ca="1" si="2502"/>
        <v>0</v>
      </c>
      <c r="AQ1331" s="33">
        <f t="shared" ca="1" si="2502"/>
        <v>0</v>
      </c>
      <c r="AR1331" s="33">
        <f t="shared" ca="1" si="2502"/>
        <v>0</v>
      </c>
      <c r="AS1331" s="33">
        <f t="shared" ca="1" si="2502"/>
        <v>0</v>
      </c>
      <c r="AT1331" s="33">
        <f t="shared" ca="1" si="2502"/>
        <v>0</v>
      </c>
      <c r="AU1331" s="33">
        <f t="shared" ca="1" si="2502"/>
        <v>0</v>
      </c>
      <c r="AV1331" s="33">
        <f t="shared" ca="1" si="2502"/>
        <v>0</v>
      </c>
      <c r="AW1331" s="33">
        <f t="shared" ca="1" si="2502"/>
        <v>0</v>
      </c>
      <c r="AX1331" s="33">
        <f t="shared" ca="1" si="2502"/>
        <v>0</v>
      </c>
      <c r="AY1331" s="33">
        <f t="shared" ca="1" si="2502"/>
        <v>0</v>
      </c>
      <c r="AZ1331" s="33">
        <f t="shared" ca="1" si="2502"/>
        <v>0</v>
      </c>
      <c r="BA1331" s="33">
        <f t="shared" ca="1" si="2502"/>
        <v>0</v>
      </c>
      <c r="BB1331" s="33">
        <f t="shared" ca="1" si="2502"/>
        <v>0</v>
      </c>
      <c r="BC1331" s="33">
        <f t="shared" ca="1" si="2502"/>
        <v>0</v>
      </c>
      <c r="BD1331" s="33">
        <f t="shared" ca="1" si="2502"/>
        <v>0</v>
      </c>
      <c r="BE1331" s="33">
        <f t="shared" ca="1" si="2502"/>
        <v>0</v>
      </c>
      <c r="BF1331" s="33">
        <f t="shared" ca="1" si="2502"/>
        <v>0</v>
      </c>
      <c r="BG1331" s="33">
        <f t="shared" ca="1" si="2502"/>
        <v>0</v>
      </c>
      <c r="BH1331" s="33">
        <f t="shared" ca="1" si="2502"/>
        <v>0</v>
      </c>
      <c r="BI1331" s="33">
        <f t="shared" ca="1" si="2502"/>
        <v>0</v>
      </c>
      <c r="BJ1331" s="33">
        <f t="shared" ca="1" si="2502"/>
        <v>0</v>
      </c>
      <c r="BK1331" s="33">
        <f t="shared" ca="1" si="2502"/>
        <v>0</v>
      </c>
      <c r="BL1331" s="33">
        <f t="shared" ca="1" si="2502"/>
        <v>0</v>
      </c>
      <c r="BM1331" s="33">
        <f t="shared" ca="1" si="2502"/>
        <v>0</v>
      </c>
      <c r="BN1331" s="33">
        <f t="shared" ca="1" si="2502"/>
        <v>0</v>
      </c>
      <c r="BO1331" s="33">
        <f t="shared" ca="1" si="2502"/>
        <v>0</v>
      </c>
      <c r="BP1331" s="33">
        <f t="shared" ca="1" si="2502"/>
        <v>0</v>
      </c>
      <c r="BQ1331" s="33">
        <f t="shared" ca="1" si="2502"/>
        <v>0</v>
      </c>
      <c r="BR1331" s="33">
        <f t="shared" ca="1" si="2502"/>
        <v>0</v>
      </c>
      <c r="BS1331" s="33">
        <f t="shared" ca="1" si="2502"/>
        <v>0</v>
      </c>
      <c r="BT1331" s="33">
        <f t="shared" ca="1" si="2502"/>
        <v>0</v>
      </c>
      <c r="BU1331" s="33">
        <f t="shared" ref="BU1331:BY1331" ca="1" si="2503">-SUM(BU1322:BU1329)</f>
        <v>0</v>
      </c>
      <c r="BV1331" s="33">
        <f t="shared" ca="1" si="2503"/>
        <v>0</v>
      </c>
      <c r="BW1331" s="33">
        <f t="shared" ca="1" si="2503"/>
        <v>0</v>
      </c>
      <c r="BX1331" s="33">
        <f t="shared" ca="1" si="2503"/>
        <v>0</v>
      </c>
      <c r="BY1331" s="33">
        <f t="shared" ca="1" si="2503"/>
        <v>0</v>
      </c>
    </row>
    <row r="1332" spans="1:77" s="35" customFormat="1" outlineLevel="1">
      <c r="A1332" s="33"/>
      <c r="B1332" s="33"/>
      <c r="C1332" s="33"/>
      <c r="D1332" s="33"/>
      <c r="E1332"/>
      <c r="F1332" s="104"/>
      <c r="G1332" s="33"/>
      <c r="H1332" s="33"/>
      <c r="I1332" s="33"/>
      <c r="J1332" s="33"/>
      <c r="K1332" s="33"/>
      <c r="L1332" s="33"/>
      <c r="M1332" s="33"/>
      <c r="N1332" s="33"/>
      <c r="O1332" s="33"/>
      <c r="P1332" s="33"/>
      <c r="Q1332" s="33"/>
      <c r="R1332" s="33"/>
      <c r="S1332" s="33"/>
      <c r="T1332" s="33"/>
      <c r="U1332" s="33"/>
      <c r="V1332" s="33"/>
      <c r="W1332" s="33"/>
      <c r="X1332" s="33"/>
      <c r="Y1332" s="33"/>
      <c r="Z1332" s="33"/>
      <c r="AA1332" s="33"/>
      <c r="AB1332" s="33"/>
      <c r="AC1332" s="33"/>
      <c r="AD1332" s="33"/>
      <c r="AE1332" s="33"/>
      <c r="AF1332" s="33"/>
      <c r="AG1332" s="33"/>
      <c r="AH1332" s="33"/>
      <c r="AI1332" s="33"/>
      <c r="AJ1332" s="33"/>
      <c r="AK1332" s="33"/>
      <c r="AL1332" s="33"/>
      <c r="AM1332" s="33"/>
      <c r="AN1332" s="33"/>
      <c r="AO1332" s="33"/>
      <c r="AP1332" s="33"/>
      <c r="AQ1332" s="33"/>
      <c r="AR1332" s="33"/>
      <c r="AS1332" s="33"/>
      <c r="AT1332" s="33"/>
      <c r="AU1332" s="33"/>
      <c r="AV1332" s="33"/>
      <c r="AW1332" s="33"/>
      <c r="AX1332" s="33"/>
      <c r="AY1332" s="33"/>
      <c r="AZ1332" s="33"/>
      <c r="BA1332" s="33"/>
      <c r="BB1332" s="33"/>
      <c r="BC1332" s="33"/>
      <c r="BD1332" s="33"/>
      <c r="BE1332" s="33"/>
      <c r="BF1332" s="33"/>
      <c r="BG1332" s="33"/>
      <c r="BH1332" s="33"/>
      <c r="BI1332" s="33"/>
      <c r="BJ1332" s="33"/>
      <c r="BK1332" s="33"/>
      <c r="BL1332" s="33"/>
      <c r="BM1332" s="33"/>
      <c r="BN1332" s="33"/>
      <c r="BO1332" s="33"/>
      <c r="BP1332" s="33"/>
      <c r="BQ1332" s="33"/>
      <c r="BR1332" s="33"/>
      <c r="BS1332" s="33"/>
      <c r="BT1332" s="33"/>
      <c r="BU1332" s="33"/>
      <c r="BV1332" s="33"/>
      <c r="BW1332" s="33"/>
      <c r="BX1332" s="33"/>
      <c r="BY1332" s="33"/>
    </row>
    <row r="1333" spans="1:77" s="19" customFormat="1" outlineLevel="1">
      <c r="A1333"/>
      <c r="B1333"/>
      <c r="C1333"/>
      <c r="D1333"/>
      <c r="E1333"/>
      <c r="F1333" s="80"/>
      <c r="G1333" s="80"/>
      <c r="H1333" s="80"/>
      <c r="I1333" s="80"/>
      <c r="J1333" s="80"/>
      <c r="K1333" s="80"/>
      <c r="L1333" s="80"/>
      <c r="M1333" s="80"/>
      <c r="N1333" s="80"/>
      <c r="O1333" s="80"/>
      <c r="P1333" s="80"/>
      <c r="Q1333" s="80"/>
      <c r="R1333" s="80"/>
      <c r="S1333" s="80"/>
      <c r="T1333" s="80"/>
      <c r="U1333" s="80"/>
      <c r="V1333" s="80"/>
      <c r="W1333" s="80"/>
      <c r="X1333" s="80"/>
      <c r="Y1333" s="80"/>
      <c r="Z1333" s="80"/>
      <c r="AA1333" s="80"/>
      <c r="AB1333" s="80"/>
      <c r="AC1333" s="80"/>
      <c r="AD1333" s="80"/>
      <c r="AE1333" s="80"/>
      <c r="AF1333" s="80"/>
      <c r="AG1333" s="80"/>
      <c r="AH1333" s="80"/>
      <c r="AI1333" s="80"/>
      <c r="AJ1333" s="80"/>
      <c r="AK1333" s="80"/>
      <c r="AL1333" s="80"/>
      <c r="AM1333" s="80"/>
      <c r="AN1333" s="80"/>
      <c r="AO1333" s="80"/>
      <c r="AP1333" s="80"/>
      <c r="AQ1333" s="80"/>
      <c r="AR1333" s="80"/>
      <c r="AS1333" s="80"/>
      <c r="AT1333" s="80"/>
      <c r="AU1333" s="80"/>
      <c r="AV1333" s="80"/>
      <c r="AW1333" s="80"/>
      <c r="AX1333" s="80"/>
      <c r="AY1333" s="80"/>
      <c r="AZ1333" s="80"/>
      <c r="BA1333" s="80"/>
      <c r="BB1333" s="80"/>
      <c r="BC1333" s="80"/>
      <c r="BD1333" s="80"/>
      <c r="BE1333" s="80"/>
      <c r="BF1333" s="80"/>
      <c r="BG1333" s="80"/>
      <c r="BH1333" s="80"/>
      <c r="BI1333" s="80"/>
      <c r="BJ1333" s="80"/>
      <c r="BK1333" s="80"/>
      <c r="BL1333" s="80"/>
      <c r="BM1333" s="80"/>
      <c r="BN1333" s="80"/>
      <c r="BO1333" s="80"/>
      <c r="BP1333" s="80"/>
      <c r="BQ1333" s="80"/>
      <c r="BR1333" s="80"/>
      <c r="BS1333" s="80"/>
      <c r="BT1333" s="80"/>
      <c r="BU1333" s="80"/>
      <c r="BV1333" s="80"/>
      <c r="BW1333" s="80"/>
      <c r="BX1333" s="80"/>
      <c r="BY1333" s="80"/>
    </row>
    <row r="1334" spans="1:77" s="66" customFormat="1" ht="15">
      <c r="A1334" s="66" t="s">
        <v>643</v>
      </c>
    </row>
    <row r="1335" spans="1:77" s="19" customFormat="1" outlineLevel="1">
      <c r="A1335"/>
      <c r="B1335" s="18" t="s">
        <v>644</v>
      </c>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5"/>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c r="BQ1335" s="35"/>
      <c r="BR1335" s="35"/>
      <c r="BS1335" s="35"/>
      <c r="BT1335" s="35"/>
      <c r="BU1335" s="35"/>
      <c r="BV1335" s="35"/>
      <c r="BW1335" s="35"/>
      <c r="BX1335" s="35"/>
      <c r="BY1335" s="35"/>
    </row>
    <row r="1336" spans="1:77">
      <c r="F1336" s="80"/>
      <c r="G1336" s="80"/>
      <c r="H1336" s="80"/>
      <c r="I1336" s="80"/>
      <c r="J1336" s="80"/>
      <c r="K1336" s="80"/>
      <c r="L1336" s="80"/>
      <c r="M1336" s="80"/>
      <c r="N1336" s="80"/>
      <c r="O1336" s="80"/>
      <c r="P1336" s="80"/>
      <c r="Q1336" s="80"/>
      <c r="R1336" s="80"/>
      <c r="S1336" s="80"/>
      <c r="T1336" s="80"/>
      <c r="U1336" s="80"/>
      <c r="V1336" s="80"/>
      <c r="W1336" s="80"/>
      <c r="X1336" s="80"/>
      <c r="Y1336" s="80"/>
      <c r="Z1336" s="80"/>
      <c r="AA1336" s="80"/>
      <c r="AB1336" s="80"/>
      <c r="AC1336" s="80"/>
      <c r="AD1336" s="80"/>
      <c r="AE1336" s="80"/>
      <c r="AF1336" s="80"/>
      <c r="AG1336" s="80"/>
      <c r="AH1336" s="80"/>
      <c r="AI1336" s="80"/>
      <c r="AJ1336" s="80"/>
      <c r="AK1336" s="80"/>
      <c r="AL1336" s="80"/>
      <c r="AM1336" s="80"/>
      <c r="AN1336" s="80"/>
      <c r="AO1336" s="80"/>
      <c r="AP1336" s="80"/>
      <c r="AQ1336" s="80"/>
      <c r="AR1336" s="80"/>
      <c r="AS1336" s="80"/>
      <c r="AT1336" s="80"/>
      <c r="AU1336" s="80"/>
      <c r="AV1336" s="80"/>
      <c r="AW1336" s="80"/>
      <c r="AX1336" s="80"/>
      <c r="AY1336" s="80"/>
      <c r="AZ1336" s="80"/>
      <c r="BA1336" s="80"/>
      <c r="BB1336" s="80"/>
      <c r="BC1336" s="80"/>
      <c r="BD1336" s="80"/>
      <c r="BE1336" s="80"/>
      <c r="BF1336" s="80"/>
      <c r="BG1336" s="80"/>
      <c r="BH1336" s="80"/>
      <c r="BI1336" s="80"/>
      <c r="BJ1336" s="80"/>
      <c r="BK1336" s="80"/>
      <c r="BL1336" s="80"/>
      <c r="BM1336" s="80"/>
      <c r="BN1336" s="80"/>
      <c r="BO1336" s="80"/>
      <c r="BP1336" s="80"/>
      <c r="BQ1336" s="80"/>
      <c r="BR1336" s="80"/>
      <c r="BS1336" s="80"/>
      <c r="BT1336" s="80"/>
      <c r="BU1336" s="80"/>
      <c r="BV1336" s="80"/>
      <c r="BW1336" s="80"/>
      <c r="BX1336" s="80"/>
      <c r="BY1336" s="80"/>
    </row>
    <row r="1337" spans="1:77" ht="15">
      <c r="E1337" s="22" t="s">
        <v>555</v>
      </c>
      <c r="F1337" s="80"/>
      <c r="G1337" s="80"/>
      <c r="H1337" s="557">
        <f t="shared" ref="H1337:AM1337" si="2504">+IFERROR(YEAR(H3),0)</f>
        <v>2027</v>
      </c>
      <c r="I1337" s="557">
        <f t="shared" si="2504"/>
        <v>2028</v>
      </c>
      <c r="J1337" s="557">
        <f t="shared" si="2504"/>
        <v>2029</v>
      </c>
      <c r="K1337" s="557">
        <f t="shared" si="2504"/>
        <v>2030</v>
      </c>
      <c r="L1337" s="557">
        <f t="shared" si="2504"/>
        <v>2031</v>
      </c>
      <c r="M1337" s="557">
        <f t="shared" si="2504"/>
        <v>2032</v>
      </c>
      <c r="N1337" s="557">
        <f t="shared" si="2504"/>
        <v>2033</v>
      </c>
      <c r="O1337" s="557">
        <f t="shared" si="2504"/>
        <v>2034</v>
      </c>
      <c r="P1337" s="557">
        <f t="shared" si="2504"/>
        <v>2035</v>
      </c>
      <c r="Q1337" s="557">
        <f t="shared" si="2504"/>
        <v>2036</v>
      </c>
      <c r="R1337" s="557">
        <f t="shared" si="2504"/>
        <v>2037</v>
      </c>
      <c r="S1337" s="557">
        <f t="shared" si="2504"/>
        <v>2038</v>
      </c>
      <c r="T1337" s="557">
        <f t="shared" si="2504"/>
        <v>2039</v>
      </c>
      <c r="U1337" s="557">
        <f t="shared" si="2504"/>
        <v>2040</v>
      </c>
      <c r="V1337" s="557">
        <f t="shared" si="2504"/>
        <v>2041</v>
      </c>
      <c r="W1337" s="557">
        <f t="shared" si="2504"/>
        <v>2042</v>
      </c>
      <c r="X1337" s="557">
        <f t="shared" si="2504"/>
        <v>2043</v>
      </c>
      <c r="Y1337" s="557">
        <f t="shared" si="2504"/>
        <v>2044</v>
      </c>
      <c r="Z1337" s="557">
        <f t="shared" si="2504"/>
        <v>2045</v>
      </c>
      <c r="AA1337" s="557">
        <f t="shared" si="2504"/>
        <v>0</v>
      </c>
      <c r="AB1337" s="557">
        <f t="shared" si="2504"/>
        <v>0</v>
      </c>
      <c r="AC1337" s="557">
        <f t="shared" si="2504"/>
        <v>0</v>
      </c>
      <c r="AD1337" s="557">
        <f t="shared" si="2504"/>
        <v>0</v>
      </c>
      <c r="AE1337" s="557">
        <f t="shared" si="2504"/>
        <v>0</v>
      </c>
      <c r="AF1337" s="557">
        <f t="shared" si="2504"/>
        <v>0</v>
      </c>
      <c r="AG1337" s="557">
        <f t="shared" si="2504"/>
        <v>0</v>
      </c>
      <c r="AH1337" s="557">
        <f t="shared" si="2504"/>
        <v>0</v>
      </c>
      <c r="AI1337" s="557">
        <f t="shared" si="2504"/>
        <v>0</v>
      </c>
      <c r="AJ1337" s="557">
        <f t="shared" si="2504"/>
        <v>0</v>
      </c>
      <c r="AK1337" s="557">
        <f t="shared" si="2504"/>
        <v>0</v>
      </c>
      <c r="AL1337" s="557">
        <f t="shared" si="2504"/>
        <v>0</v>
      </c>
      <c r="AM1337" s="557">
        <f t="shared" si="2504"/>
        <v>0</v>
      </c>
      <c r="AN1337" s="557">
        <f t="shared" ref="AN1337:BS1337" si="2505">+IFERROR(YEAR(AN3),0)</f>
        <v>0</v>
      </c>
      <c r="AO1337" s="557">
        <f t="shared" si="2505"/>
        <v>0</v>
      </c>
      <c r="AP1337" s="557">
        <f t="shared" si="2505"/>
        <v>0</v>
      </c>
      <c r="AQ1337" s="557">
        <f t="shared" si="2505"/>
        <v>0</v>
      </c>
      <c r="AR1337" s="557">
        <f t="shared" si="2505"/>
        <v>0</v>
      </c>
      <c r="AS1337" s="557">
        <f t="shared" si="2505"/>
        <v>0</v>
      </c>
      <c r="AT1337" s="557">
        <f t="shared" si="2505"/>
        <v>0</v>
      </c>
      <c r="AU1337" s="557">
        <f t="shared" si="2505"/>
        <v>0</v>
      </c>
      <c r="AV1337" s="557">
        <f t="shared" si="2505"/>
        <v>0</v>
      </c>
      <c r="AW1337" s="557">
        <f t="shared" si="2505"/>
        <v>0</v>
      </c>
      <c r="AX1337" s="557">
        <f t="shared" si="2505"/>
        <v>0</v>
      </c>
      <c r="AY1337" s="557">
        <f t="shared" si="2505"/>
        <v>0</v>
      </c>
      <c r="AZ1337" s="557">
        <f t="shared" si="2505"/>
        <v>0</v>
      </c>
      <c r="BA1337" s="557">
        <f t="shared" si="2505"/>
        <v>0</v>
      </c>
      <c r="BB1337" s="557">
        <f t="shared" si="2505"/>
        <v>0</v>
      </c>
      <c r="BC1337" s="557">
        <f t="shared" si="2505"/>
        <v>0</v>
      </c>
      <c r="BD1337" s="557">
        <f t="shared" si="2505"/>
        <v>0</v>
      </c>
      <c r="BE1337" s="557">
        <f t="shared" si="2505"/>
        <v>0</v>
      </c>
      <c r="BF1337" s="557">
        <f t="shared" si="2505"/>
        <v>0</v>
      </c>
      <c r="BG1337" s="557">
        <f t="shared" si="2505"/>
        <v>0</v>
      </c>
      <c r="BH1337" s="557">
        <f t="shared" si="2505"/>
        <v>0</v>
      </c>
      <c r="BI1337" s="557">
        <f t="shared" si="2505"/>
        <v>0</v>
      </c>
      <c r="BJ1337" s="557">
        <f t="shared" si="2505"/>
        <v>0</v>
      </c>
      <c r="BK1337" s="557">
        <f t="shared" si="2505"/>
        <v>0</v>
      </c>
      <c r="BL1337" s="557">
        <f t="shared" si="2505"/>
        <v>0</v>
      </c>
      <c r="BM1337" s="557">
        <f t="shared" si="2505"/>
        <v>0</v>
      </c>
      <c r="BN1337" s="557">
        <f t="shared" si="2505"/>
        <v>0</v>
      </c>
      <c r="BO1337" s="557">
        <f t="shared" si="2505"/>
        <v>0</v>
      </c>
      <c r="BP1337" s="557">
        <f t="shared" si="2505"/>
        <v>0</v>
      </c>
      <c r="BQ1337" s="557">
        <f t="shared" si="2505"/>
        <v>0</v>
      </c>
      <c r="BR1337" s="557">
        <f t="shared" si="2505"/>
        <v>0</v>
      </c>
      <c r="BS1337" s="557">
        <f t="shared" si="2505"/>
        <v>0</v>
      </c>
      <c r="BT1337" s="557">
        <f t="shared" ref="BT1337:BY1337" si="2506">+IFERROR(YEAR(BT3),0)</f>
        <v>0</v>
      </c>
      <c r="BU1337" s="557">
        <f t="shared" si="2506"/>
        <v>0</v>
      </c>
      <c r="BV1337" s="557">
        <f t="shared" si="2506"/>
        <v>0</v>
      </c>
      <c r="BW1337" s="557">
        <f t="shared" si="2506"/>
        <v>0</v>
      </c>
      <c r="BX1337" s="557">
        <f t="shared" si="2506"/>
        <v>0</v>
      </c>
      <c r="BY1337" s="557">
        <f t="shared" si="2506"/>
        <v>0</v>
      </c>
    </row>
    <row r="1338" spans="1:77">
      <c r="E1338" t="s">
        <v>92</v>
      </c>
      <c r="F1338" s="104" t="s">
        <v>159</v>
      </c>
      <c r="H1338" s="33">
        <f>+H75</f>
        <v>0</v>
      </c>
      <c r="I1338" s="33">
        <f t="shared" ref="I1338:BT1338" si="2507">+I75</f>
        <v>0</v>
      </c>
      <c r="J1338" s="33">
        <f t="shared" si="2507"/>
        <v>0</v>
      </c>
      <c r="K1338" s="33">
        <f t="shared" si="2507"/>
        <v>0</v>
      </c>
      <c r="L1338" s="33">
        <f t="shared" si="2507"/>
        <v>0</v>
      </c>
      <c r="M1338" s="33">
        <f t="shared" si="2507"/>
        <v>0</v>
      </c>
      <c r="N1338" s="33">
        <f t="shared" si="2507"/>
        <v>0</v>
      </c>
      <c r="O1338" s="33">
        <f t="shared" si="2507"/>
        <v>0</v>
      </c>
      <c r="P1338" s="33">
        <f t="shared" si="2507"/>
        <v>0</v>
      </c>
      <c r="Q1338" s="33">
        <f t="shared" si="2507"/>
        <v>0</v>
      </c>
      <c r="R1338" s="33">
        <f t="shared" si="2507"/>
        <v>0</v>
      </c>
      <c r="S1338" s="33">
        <f t="shared" si="2507"/>
        <v>0</v>
      </c>
      <c r="T1338" s="33">
        <f t="shared" si="2507"/>
        <v>0</v>
      </c>
      <c r="U1338" s="33">
        <f t="shared" si="2507"/>
        <v>0</v>
      </c>
      <c r="V1338" s="33">
        <f t="shared" si="2507"/>
        <v>0</v>
      </c>
      <c r="W1338" s="33">
        <f t="shared" si="2507"/>
        <v>0</v>
      </c>
      <c r="X1338" s="33">
        <f t="shared" si="2507"/>
        <v>0</v>
      </c>
      <c r="Y1338" s="33">
        <f t="shared" si="2507"/>
        <v>0</v>
      </c>
      <c r="Z1338" s="33">
        <f t="shared" si="2507"/>
        <v>0</v>
      </c>
      <c r="AA1338" s="33">
        <f t="shared" si="2507"/>
        <v>0</v>
      </c>
      <c r="AB1338" s="33">
        <f t="shared" si="2507"/>
        <v>0</v>
      </c>
      <c r="AC1338" s="33">
        <f t="shared" si="2507"/>
        <v>0</v>
      </c>
      <c r="AD1338" s="33">
        <f t="shared" si="2507"/>
        <v>0</v>
      </c>
      <c r="AE1338" s="33">
        <f t="shared" si="2507"/>
        <v>0</v>
      </c>
      <c r="AF1338" s="33">
        <f t="shared" si="2507"/>
        <v>0</v>
      </c>
      <c r="AG1338" s="33">
        <f t="shared" si="2507"/>
        <v>0</v>
      </c>
      <c r="AH1338" s="33">
        <f t="shared" si="2507"/>
        <v>0</v>
      </c>
      <c r="AI1338" s="33">
        <f t="shared" si="2507"/>
        <v>0</v>
      </c>
      <c r="AJ1338" s="33">
        <f t="shared" si="2507"/>
        <v>0</v>
      </c>
      <c r="AK1338" s="33">
        <f t="shared" si="2507"/>
        <v>0</v>
      </c>
      <c r="AL1338" s="33">
        <f t="shared" si="2507"/>
        <v>0</v>
      </c>
      <c r="AM1338" s="33">
        <f t="shared" si="2507"/>
        <v>0</v>
      </c>
      <c r="AN1338" s="33">
        <f t="shared" si="2507"/>
        <v>0</v>
      </c>
      <c r="AO1338" s="33">
        <f t="shared" si="2507"/>
        <v>0</v>
      </c>
      <c r="AP1338" s="33">
        <f t="shared" si="2507"/>
        <v>0</v>
      </c>
      <c r="AQ1338" s="33">
        <f t="shared" si="2507"/>
        <v>0</v>
      </c>
      <c r="AR1338" s="33">
        <f t="shared" si="2507"/>
        <v>0</v>
      </c>
      <c r="AS1338" s="33">
        <f t="shared" si="2507"/>
        <v>0</v>
      </c>
      <c r="AT1338" s="33">
        <f t="shared" si="2507"/>
        <v>0</v>
      </c>
      <c r="AU1338" s="33">
        <f t="shared" si="2507"/>
        <v>0</v>
      </c>
      <c r="AV1338" s="33">
        <f t="shared" si="2507"/>
        <v>0</v>
      </c>
      <c r="AW1338" s="33">
        <f t="shared" si="2507"/>
        <v>0</v>
      </c>
      <c r="AX1338" s="33">
        <f t="shared" si="2507"/>
        <v>0</v>
      </c>
      <c r="AY1338" s="33">
        <f t="shared" si="2507"/>
        <v>0</v>
      </c>
      <c r="AZ1338" s="33">
        <f t="shared" si="2507"/>
        <v>0</v>
      </c>
      <c r="BA1338" s="33">
        <f t="shared" si="2507"/>
        <v>0</v>
      </c>
      <c r="BB1338" s="33">
        <f t="shared" si="2507"/>
        <v>0</v>
      </c>
      <c r="BC1338" s="33">
        <f t="shared" si="2507"/>
        <v>0</v>
      </c>
      <c r="BD1338" s="33">
        <f t="shared" si="2507"/>
        <v>0</v>
      </c>
      <c r="BE1338" s="33">
        <f t="shared" si="2507"/>
        <v>0</v>
      </c>
      <c r="BF1338" s="33">
        <f t="shared" si="2507"/>
        <v>0</v>
      </c>
      <c r="BG1338" s="33">
        <f t="shared" si="2507"/>
        <v>0</v>
      </c>
      <c r="BH1338" s="33">
        <f t="shared" si="2507"/>
        <v>0</v>
      </c>
      <c r="BI1338" s="33">
        <f t="shared" si="2507"/>
        <v>0</v>
      </c>
      <c r="BJ1338" s="33">
        <f t="shared" si="2507"/>
        <v>0</v>
      </c>
      <c r="BK1338" s="33">
        <f t="shared" si="2507"/>
        <v>0</v>
      </c>
      <c r="BL1338" s="33">
        <f t="shared" si="2507"/>
        <v>0</v>
      </c>
      <c r="BM1338" s="33">
        <f t="shared" si="2507"/>
        <v>0</v>
      </c>
      <c r="BN1338" s="33">
        <f t="shared" si="2507"/>
        <v>0</v>
      </c>
      <c r="BO1338" s="33">
        <f t="shared" si="2507"/>
        <v>0</v>
      </c>
      <c r="BP1338" s="33">
        <f t="shared" si="2507"/>
        <v>0</v>
      </c>
      <c r="BQ1338" s="33">
        <f t="shared" si="2507"/>
        <v>0</v>
      </c>
      <c r="BR1338" s="33">
        <f t="shared" si="2507"/>
        <v>0</v>
      </c>
      <c r="BS1338" s="33">
        <f t="shared" si="2507"/>
        <v>0</v>
      </c>
      <c r="BT1338" s="33">
        <f t="shared" si="2507"/>
        <v>0</v>
      </c>
      <c r="BU1338" s="33">
        <f t="shared" ref="BU1338:BY1338" si="2508">+BU75</f>
        <v>0</v>
      </c>
      <c r="BV1338" s="33">
        <f t="shared" si="2508"/>
        <v>0</v>
      </c>
      <c r="BW1338" s="33">
        <f t="shared" si="2508"/>
        <v>0</v>
      </c>
      <c r="BX1338" s="33">
        <f t="shared" si="2508"/>
        <v>0</v>
      </c>
      <c r="BY1338" s="33">
        <f t="shared" si="2508"/>
        <v>0</v>
      </c>
    </row>
    <row r="1339" spans="1:77">
      <c r="E1339" t="s">
        <v>93</v>
      </c>
      <c r="F1339" s="104" t="s">
        <v>159</v>
      </c>
      <c r="H1339" s="33">
        <f>H204</f>
        <v>0</v>
      </c>
      <c r="I1339" s="33">
        <f t="shared" ref="I1339:BT1339" si="2509">I204</f>
        <v>-3183123.5042179185</v>
      </c>
      <c r="J1339" s="33">
        <f t="shared" si="2509"/>
        <v>-3246785.974302277</v>
      </c>
      <c r="K1339" s="33">
        <f t="shared" si="2509"/>
        <v>0</v>
      </c>
      <c r="L1339" s="33">
        <f t="shared" si="2509"/>
        <v>0</v>
      </c>
      <c r="M1339" s="33">
        <f t="shared" si="2509"/>
        <v>0</v>
      </c>
      <c r="N1339" s="33">
        <f t="shared" si="2509"/>
        <v>0</v>
      </c>
      <c r="O1339" s="33">
        <f t="shared" si="2509"/>
        <v>0</v>
      </c>
      <c r="P1339" s="33">
        <f t="shared" si="2509"/>
        <v>0</v>
      </c>
      <c r="Q1339" s="33">
        <f t="shared" si="2509"/>
        <v>0</v>
      </c>
      <c r="R1339" s="33">
        <f t="shared" si="2509"/>
        <v>0</v>
      </c>
      <c r="S1339" s="33">
        <f t="shared" si="2509"/>
        <v>0</v>
      </c>
      <c r="T1339" s="33">
        <f t="shared" si="2509"/>
        <v>0</v>
      </c>
      <c r="U1339" s="33">
        <f t="shared" si="2509"/>
        <v>0</v>
      </c>
      <c r="V1339" s="33">
        <f t="shared" si="2509"/>
        <v>0</v>
      </c>
      <c r="W1339" s="33">
        <f t="shared" si="2509"/>
        <v>0</v>
      </c>
      <c r="X1339" s="33">
        <f t="shared" si="2509"/>
        <v>0</v>
      </c>
      <c r="Y1339" s="33">
        <f t="shared" si="2509"/>
        <v>0</v>
      </c>
      <c r="Z1339" s="33">
        <f t="shared" si="2509"/>
        <v>0</v>
      </c>
      <c r="AA1339" s="33">
        <f t="shared" si="2509"/>
        <v>0</v>
      </c>
      <c r="AB1339" s="33">
        <f t="shared" si="2509"/>
        <v>0</v>
      </c>
      <c r="AC1339" s="33">
        <f t="shared" si="2509"/>
        <v>0</v>
      </c>
      <c r="AD1339" s="33">
        <f t="shared" si="2509"/>
        <v>0</v>
      </c>
      <c r="AE1339" s="33">
        <f t="shared" si="2509"/>
        <v>0</v>
      </c>
      <c r="AF1339" s="33">
        <f t="shared" si="2509"/>
        <v>0</v>
      </c>
      <c r="AG1339" s="33">
        <f t="shared" si="2509"/>
        <v>0</v>
      </c>
      <c r="AH1339" s="33">
        <f t="shared" si="2509"/>
        <v>0</v>
      </c>
      <c r="AI1339" s="33">
        <f t="shared" si="2509"/>
        <v>0</v>
      </c>
      <c r="AJ1339" s="33">
        <f t="shared" si="2509"/>
        <v>0</v>
      </c>
      <c r="AK1339" s="33">
        <f t="shared" si="2509"/>
        <v>0</v>
      </c>
      <c r="AL1339" s="33">
        <f t="shared" si="2509"/>
        <v>0</v>
      </c>
      <c r="AM1339" s="33">
        <f t="shared" si="2509"/>
        <v>0</v>
      </c>
      <c r="AN1339" s="33">
        <f t="shared" si="2509"/>
        <v>0</v>
      </c>
      <c r="AO1339" s="33">
        <f t="shared" si="2509"/>
        <v>0</v>
      </c>
      <c r="AP1339" s="33">
        <f t="shared" si="2509"/>
        <v>0</v>
      </c>
      <c r="AQ1339" s="33">
        <f t="shared" si="2509"/>
        <v>0</v>
      </c>
      <c r="AR1339" s="33">
        <f t="shared" si="2509"/>
        <v>0</v>
      </c>
      <c r="AS1339" s="33">
        <f t="shared" si="2509"/>
        <v>0</v>
      </c>
      <c r="AT1339" s="33">
        <f t="shared" si="2509"/>
        <v>0</v>
      </c>
      <c r="AU1339" s="33">
        <f t="shared" si="2509"/>
        <v>0</v>
      </c>
      <c r="AV1339" s="33">
        <f t="shared" si="2509"/>
        <v>0</v>
      </c>
      <c r="AW1339" s="33">
        <f t="shared" si="2509"/>
        <v>0</v>
      </c>
      <c r="AX1339" s="33">
        <f t="shared" si="2509"/>
        <v>0</v>
      </c>
      <c r="AY1339" s="33">
        <f t="shared" si="2509"/>
        <v>0</v>
      </c>
      <c r="AZ1339" s="33">
        <f t="shared" si="2509"/>
        <v>0</v>
      </c>
      <c r="BA1339" s="33">
        <f t="shared" si="2509"/>
        <v>0</v>
      </c>
      <c r="BB1339" s="33">
        <f t="shared" si="2509"/>
        <v>0</v>
      </c>
      <c r="BC1339" s="33">
        <f t="shared" si="2509"/>
        <v>0</v>
      </c>
      <c r="BD1339" s="33">
        <f t="shared" si="2509"/>
        <v>0</v>
      </c>
      <c r="BE1339" s="33">
        <f t="shared" si="2509"/>
        <v>0</v>
      </c>
      <c r="BF1339" s="33">
        <f t="shared" si="2509"/>
        <v>0</v>
      </c>
      <c r="BG1339" s="33">
        <f t="shared" si="2509"/>
        <v>0</v>
      </c>
      <c r="BH1339" s="33">
        <f t="shared" si="2509"/>
        <v>0</v>
      </c>
      <c r="BI1339" s="33">
        <f t="shared" si="2509"/>
        <v>0</v>
      </c>
      <c r="BJ1339" s="33">
        <f t="shared" si="2509"/>
        <v>0</v>
      </c>
      <c r="BK1339" s="33">
        <f t="shared" si="2509"/>
        <v>0</v>
      </c>
      <c r="BL1339" s="33">
        <f t="shared" si="2509"/>
        <v>0</v>
      </c>
      <c r="BM1339" s="33">
        <f t="shared" si="2509"/>
        <v>0</v>
      </c>
      <c r="BN1339" s="33">
        <f t="shared" si="2509"/>
        <v>0</v>
      </c>
      <c r="BO1339" s="33">
        <f t="shared" si="2509"/>
        <v>0</v>
      </c>
      <c r="BP1339" s="33">
        <f t="shared" si="2509"/>
        <v>0</v>
      </c>
      <c r="BQ1339" s="33">
        <f t="shared" si="2509"/>
        <v>0</v>
      </c>
      <c r="BR1339" s="33">
        <f t="shared" si="2509"/>
        <v>0</v>
      </c>
      <c r="BS1339" s="33">
        <f t="shared" si="2509"/>
        <v>0</v>
      </c>
      <c r="BT1339" s="33">
        <f t="shared" si="2509"/>
        <v>0</v>
      </c>
      <c r="BU1339" s="33">
        <f t="shared" ref="BU1339:BY1339" si="2510">BU204</f>
        <v>0</v>
      </c>
      <c r="BV1339" s="33">
        <f t="shared" si="2510"/>
        <v>0</v>
      </c>
      <c r="BW1339" s="33">
        <f t="shared" si="2510"/>
        <v>0</v>
      </c>
      <c r="BX1339" s="33">
        <f t="shared" si="2510"/>
        <v>0</v>
      </c>
      <c r="BY1339" s="33">
        <f t="shared" si="2510"/>
        <v>0</v>
      </c>
    </row>
    <row r="1340" spans="1:77">
      <c r="E1340" t="s">
        <v>94</v>
      </c>
      <c r="F1340" s="104" t="s">
        <v>159</v>
      </c>
      <c r="H1340" s="33">
        <f>+H211</f>
        <v>0</v>
      </c>
      <c r="I1340" s="33">
        <f t="shared" ref="I1340:BT1340" si="2511">+I211</f>
        <v>-2053628.0672373667</v>
      </c>
      <c r="J1340" s="33">
        <f t="shared" si="2511"/>
        <v>-2094700.6285821139</v>
      </c>
      <c r="K1340" s="33">
        <f t="shared" si="2511"/>
        <v>0</v>
      </c>
      <c r="L1340" s="33">
        <f t="shared" si="2511"/>
        <v>0</v>
      </c>
      <c r="M1340" s="33">
        <f t="shared" si="2511"/>
        <v>0</v>
      </c>
      <c r="N1340" s="33">
        <f t="shared" si="2511"/>
        <v>0</v>
      </c>
      <c r="O1340" s="33">
        <f t="shared" si="2511"/>
        <v>0</v>
      </c>
      <c r="P1340" s="33">
        <f t="shared" si="2511"/>
        <v>0</v>
      </c>
      <c r="Q1340" s="33">
        <f t="shared" si="2511"/>
        <v>0</v>
      </c>
      <c r="R1340" s="33">
        <f t="shared" si="2511"/>
        <v>0</v>
      </c>
      <c r="S1340" s="33">
        <f t="shared" si="2511"/>
        <v>0</v>
      </c>
      <c r="T1340" s="33">
        <f t="shared" si="2511"/>
        <v>0</v>
      </c>
      <c r="U1340" s="33">
        <f t="shared" si="2511"/>
        <v>0</v>
      </c>
      <c r="V1340" s="33">
        <f t="shared" si="2511"/>
        <v>0</v>
      </c>
      <c r="W1340" s="33">
        <f t="shared" si="2511"/>
        <v>0</v>
      </c>
      <c r="X1340" s="33">
        <f t="shared" si="2511"/>
        <v>0</v>
      </c>
      <c r="Y1340" s="33">
        <f t="shared" si="2511"/>
        <v>0</v>
      </c>
      <c r="Z1340" s="33">
        <f t="shared" si="2511"/>
        <v>0</v>
      </c>
      <c r="AA1340" s="33">
        <f t="shared" si="2511"/>
        <v>0</v>
      </c>
      <c r="AB1340" s="33">
        <f t="shared" si="2511"/>
        <v>0</v>
      </c>
      <c r="AC1340" s="33">
        <f t="shared" si="2511"/>
        <v>0</v>
      </c>
      <c r="AD1340" s="33">
        <f t="shared" si="2511"/>
        <v>0</v>
      </c>
      <c r="AE1340" s="33">
        <f t="shared" si="2511"/>
        <v>0</v>
      </c>
      <c r="AF1340" s="33">
        <f t="shared" si="2511"/>
        <v>0</v>
      </c>
      <c r="AG1340" s="33">
        <f t="shared" si="2511"/>
        <v>0</v>
      </c>
      <c r="AH1340" s="33">
        <f t="shared" si="2511"/>
        <v>0</v>
      </c>
      <c r="AI1340" s="33">
        <f t="shared" si="2511"/>
        <v>0</v>
      </c>
      <c r="AJ1340" s="33">
        <f t="shared" si="2511"/>
        <v>0</v>
      </c>
      <c r="AK1340" s="33">
        <f t="shared" si="2511"/>
        <v>0</v>
      </c>
      <c r="AL1340" s="33">
        <f t="shared" si="2511"/>
        <v>0</v>
      </c>
      <c r="AM1340" s="33">
        <f t="shared" si="2511"/>
        <v>0</v>
      </c>
      <c r="AN1340" s="33">
        <f t="shared" si="2511"/>
        <v>0</v>
      </c>
      <c r="AO1340" s="33">
        <f t="shared" si="2511"/>
        <v>0</v>
      </c>
      <c r="AP1340" s="33">
        <f t="shared" si="2511"/>
        <v>0</v>
      </c>
      <c r="AQ1340" s="33">
        <f t="shared" si="2511"/>
        <v>0</v>
      </c>
      <c r="AR1340" s="33">
        <f t="shared" si="2511"/>
        <v>0</v>
      </c>
      <c r="AS1340" s="33">
        <f t="shared" si="2511"/>
        <v>0</v>
      </c>
      <c r="AT1340" s="33">
        <f t="shared" si="2511"/>
        <v>0</v>
      </c>
      <c r="AU1340" s="33">
        <f t="shared" si="2511"/>
        <v>0</v>
      </c>
      <c r="AV1340" s="33">
        <f t="shared" si="2511"/>
        <v>0</v>
      </c>
      <c r="AW1340" s="33">
        <f t="shared" si="2511"/>
        <v>0</v>
      </c>
      <c r="AX1340" s="33">
        <f t="shared" si="2511"/>
        <v>0</v>
      </c>
      <c r="AY1340" s="33">
        <f t="shared" si="2511"/>
        <v>0</v>
      </c>
      <c r="AZ1340" s="33">
        <f t="shared" si="2511"/>
        <v>0</v>
      </c>
      <c r="BA1340" s="33">
        <f t="shared" si="2511"/>
        <v>0</v>
      </c>
      <c r="BB1340" s="33">
        <f t="shared" si="2511"/>
        <v>0</v>
      </c>
      <c r="BC1340" s="33">
        <f t="shared" si="2511"/>
        <v>0</v>
      </c>
      <c r="BD1340" s="33">
        <f t="shared" si="2511"/>
        <v>0</v>
      </c>
      <c r="BE1340" s="33">
        <f t="shared" si="2511"/>
        <v>0</v>
      </c>
      <c r="BF1340" s="33">
        <f t="shared" si="2511"/>
        <v>0</v>
      </c>
      <c r="BG1340" s="33">
        <f t="shared" si="2511"/>
        <v>0</v>
      </c>
      <c r="BH1340" s="33">
        <f t="shared" si="2511"/>
        <v>0</v>
      </c>
      <c r="BI1340" s="33">
        <f t="shared" si="2511"/>
        <v>0</v>
      </c>
      <c r="BJ1340" s="33">
        <f t="shared" si="2511"/>
        <v>0</v>
      </c>
      <c r="BK1340" s="33">
        <f t="shared" si="2511"/>
        <v>0</v>
      </c>
      <c r="BL1340" s="33">
        <f t="shared" si="2511"/>
        <v>0</v>
      </c>
      <c r="BM1340" s="33">
        <f t="shared" si="2511"/>
        <v>0</v>
      </c>
      <c r="BN1340" s="33">
        <f t="shared" si="2511"/>
        <v>0</v>
      </c>
      <c r="BO1340" s="33">
        <f t="shared" si="2511"/>
        <v>0</v>
      </c>
      <c r="BP1340" s="33">
        <f t="shared" si="2511"/>
        <v>0</v>
      </c>
      <c r="BQ1340" s="33">
        <f t="shared" si="2511"/>
        <v>0</v>
      </c>
      <c r="BR1340" s="33">
        <f t="shared" si="2511"/>
        <v>0</v>
      </c>
      <c r="BS1340" s="33">
        <f t="shared" si="2511"/>
        <v>0</v>
      </c>
      <c r="BT1340" s="33">
        <f t="shared" si="2511"/>
        <v>0</v>
      </c>
      <c r="BU1340" s="33">
        <f t="shared" ref="BU1340:BY1340" si="2512">+BU211</f>
        <v>0</v>
      </c>
      <c r="BV1340" s="33">
        <f t="shared" si="2512"/>
        <v>0</v>
      </c>
      <c r="BW1340" s="33">
        <f t="shared" si="2512"/>
        <v>0</v>
      </c>
      <c r="BX1340" s="33">
        <f t="shared" si="2512"/>
        <v>0</v>
      </c>
      <c r="BY1340" s="33">
        <f t="shared" si="2512"/>
        <v>0</v>
      </c>
    </row>
    <row r="1341" spans="1:77">
      <c r="E1341" t="s">
        <v>95</v>
      </c>
      <c r="F1341" s="104" t="s">
        <v>159</v>
      </c>
      <c r="H1341" s="33">
        <f>+H441</f>
        <v>0</v>
      </c>
      <c r="I1341" s="33">
        <f t="shared" ref="I1341:BT1341" si="2513">+I441</f>
        <v>-202984641</v>
      </c>
      <c r="J1341" s="33">
        <f t="shared" si="2513"/>
        <v>-207044333.81999999</v>
      </c>
      <c r="K1341" s="33">
        <f t="shared" si="2513"/>
        <v>0</v>
      </c>
      <c r="L1341" s="33">
        <f t="shared" si="2513"/>
        <v>0</v>
      </c>
      <c r="M1341" s="33">
        <f t="shared" si="2513"/>
        <v>0</v>
      </c>
      <c r="N1341" s="33">
        <f t="shared" si="2513"/>
        <v>0</v>
      </c>
      <c r="O1341" s="33">
        <f t="shared" si="2513"/>
        <v>0</v>
      </c>
      <c r="P1341" s="33">
        <f t="shared" si="2513"/>
        <v>0</v>
      </c>
      <c r="Q1341" s="33">
        <f t="shared" si="2513"/>
        <v>0</v>
      </c>
      <c r="R1341" s="33">
        <f t="shared" si="2513"/>
        <v>0</v>
      </c>
      <c r="S1341" s="33">
        <f t="shared" si="2513"/>
        <v>0</v>
      </c>
      <c r="T1341" s="33">
        <f t="shared" si="2513"/>
        <v>0</v>
      </c>
      <c r="U1341" s="33">
        <f t="shared" si="2513"/>
        <v>0</v>
      </c>
      <c r="V1341" s="33">
        <f t="shared" si="2513"/>
        <v>0</v>
      </c>
      <c r="W1341" s="33">
        <f t="shared" si="2513"/>
        <v>0</v>
      </c>
      <c r="X1341" s="33">
        <f t="shared" si="2513"/>
        <v>0</v>
      </c>
      <c r="Y1341" s="33">
        <f t="shared" si="2513"/>
        <v>0</v>
      </c>
      <c r="Z1341" s="33">
        <f t="shared" si="2513"/>
        <v>0</v>
      </c>
      <c r="AA1341" s="33">
        <f t="shared" si="2513"/>
        <v>0</v>
      </c>
      <c r="AB1341" s="33">
        <f t="shared" si="2513"/>
        <v>0</v>
      </c>
      <c r="AC1341" s="33">
        <f t="shared" si="2513"/>
        <v>0</v>
      </c>
      <c r="AD1341" s="33">
        <f t="shared" si="2513"/>
        <v>0</v>
      </c>
      <c r="AE1341" s="33">
        <f t="shared" si="2513"/>
        <v>0</v>
      </c>
      <c r="AF1341" s="33">
        <f t="shared" si="2513"/>
        <v>0</v>
      </c>
      <c r="AG1341" s="33">
        <f t="shared" si="2513"/>
        <v>0</v>
      </c>
      <c r="AH1341" s="33">
        <f t="shared" si="2513"/>
        <v>0</v>
      </c>
      <c r="AI1341" s="33">
        <f t="shared" si="2513"/>
        <v>0</v>
      </c>
      <c r="AJ1341" s="33">
        <f t="shared" si="2513"/>
        <v>0</v>
      </c>
      <c r="AK1341" s="33">
        <f t="shared" si="2513"/>
        <v>0</v>
      </c>
      <c r="AL1341" s="33">
        <f t="shared" si="2513"/>
        <v>0</v>
      </c>
      <c r="AM1341" s="33">
        <f t="shared" si="2513"/>
        <v>0</v>
      </c>
      <c r="AN1341" s="33">
        <f t="shared" si="2513"/>
        <v>0</v>
      </c>
      <c r="AO1341" s="33">
        <f t="shared" si="2513"/>
        <v>0</v>
      </c>
      <c r="AP1341" s="33">
        <f t="shared" si="2513"/>
        <v>0</v>
      </c>
      <c r="AQ1341" s="33">
        <f t="shared" si="2513"/>
        <v>0</v>
      </c>
      <c r="AR1341" s="33">
        <f t="shared" si="2513"/>
        <v>0</v>
      </c>
      <c r="AS1341" s="33">
        <f t="shared" si="2513"/>
        <v>0</v>
      </c>
      <c r="AT1341" s="33">
        <f t="shared" si="2513"/>
        <v>0</v>
      </c>
      <c r="AU1341" s="33">
        <f t="shared" si="2513"/>
        <v>0</v>
      </c>
      <c r="AV1341" s="33">
        <f t="shared" si="2513"/>
        <v>0</v>
      </c>
      <c r="AW1341" s="33">
        <f t="shared" si="2513"/>
        <v>0</v>
      </c>
      <c r="AX1341" s="33">
        <f t="shared" si="2513"/>
        <v>0</v>
      </c>
      <c r="AY1341" s="33">
        <f t="shared" si="2513"/>
        <v>0</v>
      </c>
      <c r="AZ1341" s="33">
        <f t="shared" si="2513"/>
        <v>0</v>
      </c>
      <c r="BA1341" s="33">
        <f t="shared" si="2513"/>
        <v>0</v>
      </c>
      <c r="BB1341" s="33">
        <f t="shared" si="2513"/>
        <v>0</v>
      </c>
      <c r="BC1341" s="33">
        <f t="shared" si="2513"/>
        <v>0</v>
      </c>
      <c r="BD1341" s="33">
        <f t="shared" si="2513"/>
        <v>0</v>
      </c>
      <c r="BE1341" s="33">
        <f t="shared" si="2513"/>
        <v>0</v>
      </c>
      <c r="BF1341" s="33">
        <f t="shared" si="2513"/>
        <v>0</v>
      </c>
      <c r="BG1341" s="33">
        <f t="shared" si="2513"/>
        <v>0</v>
      </c>
      <c r="BH1341" s="33">
        <f t="shared" si="2513"/>
        <v>0</v>
      </c>
      <c r="BI1341" s="33">
        <f t="shared" si="2513"/>
        <v>0</v>
      </c>
      <c r="BJ1341" s="33">
        <f t="shared" si="2513"/>
        <v>0</v>
      </c>
      <c r="BK1341" s="33">
        <f t="shared" si="2513"/>
        <v>0</v>
      </c>
      <c r="BL1341" s="33">
        <f t="shared" si="2513"/>
        <v>0</v>
      </c>
      <c r="BM1341" s="33">
        <f t="shared" si="2513"/>
        <v>0</v>
      </c>
      <c r="BN1341" s="33">
        <f t="shared" si="2513"/>
        <v>0</v>
      </c>
      <c r="BO1341" s="33">
        <f t="shared" si="2513"/>
        <v>0</v>
      </c>
      <c r="BP1341" s="33">
        <f t="shared" si="2513"/>
        <v>0</v>
      </c>
      <c r="BQ1341" s="33">
        <f t="shared" si="2513"/>
        <v>0</v>
      </c>
      <c r="BR1341" s="33">
        <f t="shared" si="2513"/>
        <v>0</v>
      </c>
      <c r="BS1341" s="33">
        <f t="shared" si="2513"/>
        <v>0</v>
      </c>
      <c r="BT1341" s="33">
        <f t="shared" si="2513"/>
        <v>0</v>
      </c>
      <c r="BU1341" s="33">
        <f t="shared" ref="BU1341:BY1341" si="2514">+BU441</f>
        <v>0</v>
      </c>
      <c r="BV1341" s="33">
        <f t="shared" si="2514"/>
        <v>0</v>
      </c>
      <c r="BW1341" s="33">
        <f t="shared" si="2514"/>
        <v>0</v>
      </c>
      <c r="BX1341" s="33">
        <f t="shared" si="2514"/>
        <v>0</v>
      </c>
      <c r="BY1341" s="33">
        <f t="shared" si="2514"/>
        <v>0</v>
      </c>
    </row>
    <row r="1342" spans="1:77">
      <c r="E1342" t="s">
        <v>97</v>
      </c>
      <c r="F1342" s="104" t="s">
        <v>159</v>
      </c>
      <c r="H1342" s="33">
        <f ca="1">++H84</f>
        <v>0</v>
      </c>
      <c r="I1342" s="33">
        <f t="shared" ref="I1342:BT1342" ca="1" si="2515">++I84</f>
        <v>0</v>
      </c>
      <c r="J1342" s="33">
        <f t="shared" ca="1" si="2515"/>
        <v>0</v>
      </c>
      <c r="K1342" s="33">
        <f t="shared" si="2515"/>
        <v>0</v>
      </c>
      <c r="L1342" s="33">
        <f t="shared" si="2515"/>
        <v>0</v>
      </c>
      <c r="M1342" s="33">
        <f t="shared" si="2515"/>
        <v>0</v>
      </c>
      <c r="N1342" s="33">
        <f t="shared" si="2515"/>
        <v>0</v>
      </c>
      <c r="O1342" s="33">
        <f t="shared" si="2515"/>
        <v>0</v>
      </c>
      <c r="P1342" s="33">
        <f t="shared" si="2515"/>
        <v>0</v>
      </c>
      <c r="Q1342" s="33">
        <f t="shared" si="2515"/>
        <v>0</v>
      </c>
      <c r="R1342" s="33">
        <f t="shared" si="2515"/>
        <v>0</v>
      </c>
      <c r="S1342" s="33">
        <f t="shared" si="2515"/>
        <v>0</v>
      </c>
      <c r="T1342" s="33">
        <f t="shared" si="2515"/>
        <v>0</v>
      </c>
      <c r="U1342" s="33">
        <f t="shared" si="2515"/>
        <v>0</v>
      </c>
      <c r="V1342" s="33">
        <f t="shared" si="2515"/>
        <v>0</v>
      </c>
      <c r="W1342" s="33">
        <f t="shared" si="2515"/>
        <v>0</v>
      </c>
      <c r="X1342" s="33">
        <f t="shared" si="2515"/>
        <v>0</v>
      </c>
      <c r="Y1342" s="33">
        <f t="shared" si="2515"/>
        <v>0</v>
      </c>
      <c r="Z1342" s="33">
        <f t="shared" ca="1" si="2515"/>
        <v>0</v>
      </c>
      <c r="AA1342" s="33">
        <f t="shared" ca="1" si="2515"/>
        <v>0</v>
      </c>
      <c r="AB1342" s="33">
        <f t="shared" ca="1" si="2515"/>
        <v>0</v>
      </c>
      <c r="AC1342" s="33">
        <f t="shared" ca="1" si="2515"/>
        <v>0</v>
      </c>
      <c r="AD1342" s="33">
        <f t="shared" ca="1" si="2515"/>
        <v>0</v>
      </c>
      <c r="AE1342" s="33">
        <f t="shared" ca="1" si="2515"/>
        <v>0</v>
      </c>
      <c r="AF1342" s="33">
        <f t="shared" ca="1" si="2515"/>
        <v>0</v>
      </c>
      <c r="AG1342" s="33">
        <f t="shared" ca="1" si="2515"/>
        <v>0</v>
      </c>
      <c r="AH1342" s="33">
        <f t="shared" ca="1" si="2515"/>
        <v>0</v>
      </c>
      <c r="AI1342" s="33">
        <f t="shared" ca="1" si="2515"/>
        <v>0</v>
      </c>
      <c r="AJ1342" s="33">
        <f t="shared" ca="1" si="2515"/>
        <v>0</v>
      </c>
      <c r="AK1342" s="33">
        <f t="shared" ca="1" si="2515"/>
        <v>0</v>
      </c>
      <c r="AL1342" s="33">
        <f t="shared" ca="1" si="2515"/>
        <v>0</v>
      </c>
      <c r="AM1342" s="33">
        <f t="shared" ca="1" si="2515"/>
        <v>0</v>
      </c>
      <c r="AN1342" s="33">
        <f t="shared" ca="1" si="2515"/>
        <v>0</v>
      </c>
      <c r="AO1342" s="33">
        <f t="shared" ca="1" si="2515"/>
        <v>0</v>
      </c>
      <c r="AP1342" s="33">
        <f t="shared" ca="1" si="2515"/>
        <v>0</v>
      </c>
      <c r="AQ1342" s="33">
        <f t="shared" ca="1" si="2515"/>
        <v>0</v>
      </c>
      <c r="AR1342" s="33">
        <f t="shared" ca="1" si="2515"/>
        <v>0</v>
      </c>
      <c r="AS1342" s="33">
        <f t="shared" ca="1" si="2515"/>
        <v>0</v>
      </c>
      <c r="AT1342" s="33">
        <f t="shared" ca="1" si="2515"/>
        <v>0</v>
      </c>
      <c r="AU1342" s="33">
        <f t="shared" ca="1" si="2515"/>
        <v>0</v>
      </c>
      <c r="AV1342" s="33">
        <f t="shared" ca="1" si="2515"/>
        <v>0</v>
      </c>
      <c r="AW1342" s="33">
        <f t="shared" ca="1" si="2515"/>
        <v>0</v>
      </c>
      <c r="AX1342" s="33">
        <f t="shared" ca="1" si="2515"/>
        <v>0</v>
      </c>
      <c r="AY1342" s="33">
        <f t="shared" ca="1" si="2515"/>
        <v>0</v>
      </c>
      <c r="AZ1342" s="33">
        <f t="shared" ca="1" si="2515"/>
        <v>0</v>
      </c>
      <c r="BA1342" s="33">
        <f t="shared" ca="1" si="2515"/>
        <v>0</v>
      </c>
      <c r="BB1342" s="33">
        <f t="shared" ca="1" si="2515"/>
        <v>0</v>
      </c>
      <c r="BC1342" s="33">
        <f t="shared" ca="1" si="2515"/>
        <v>0</v>
      </c>
      <c r="BD1342" s="33">
        <f t="shared" ca="1" si="2515"/>
        <v>0</v>
      </c>
      <c r="BE1342" s="33">
        <f t="shared" ca="1" si="2515"/>
        <v>0</v>
      </c>
      <c r="BF1342" s="33">
        <f t="shared" ca="1" si="2515"/>
        <v>0</v>
      </c>
      <c r="BG1342" s="33">
        <f t="shared" ca="1" si="2515"/>
        <v>0</v>
      </c>
      <c r="BH1342" s="33">
        <f t="shared" ca="1" si="2515"/>
        <v>0</v>
      </c>
      <c r="BI1342" s="33">
        <f t="shared" ca="1" si="2515"/>
        <v>0</v>
      </c>
      <c r="BJ1342" s="33">
        <f t="shared" ca="1" si="2515"/>
        <v>0</v>
      </c>
      <c r="BK1342" s="33">
        <f t="shared" ca="1" si="2515"/>
        <v>0</v>
      </c>
      <c r="BL1342" s="33">
        <f t="shared" ca="1" si="2515"/>
        <v>0</v>
      </c>
      <c r="BM1342" s="33">
        <f t="shared" ca="1" si="2515"/>
        <v>0</v>
      </c>
      <c r="BN1342" s="33">
        <f t="shared" ca="1" si="2515"/>
        <v>0</v>
      </c>
      <c r="BO1342" s="33">
        <f t="shared" ca="1" si="2515"/>
        <v>0</v>
      </c>
      <c r="BP1342" s="33">
        <f t="shared" ca="1" si="2515"/>
        <v>0</v>
      </c>
      <c r="BQ1342" s="33">
        <f t="shared" ca="1" si="2515"/>
        <v>0</v>
      </c>
      <c r="BR1342" s="33">
        <f t="shared" ca="1" si="2515"/>
        <v>0</v>
      </c>
      <c r="BS1342" s="33">
        <f t="shared" ca="1" si="2515"/>
        <v>0</v>
      </c>
      <c r="BT1342" s="33">
        <f t="shared" ca="1" si="2515"/>
        <v>0</v>
      </c>
      <c r="BU1342" s="33">
        <f t="shared" ref="BU1342:BY1342" ca="1" si="2516">++BU84</f>
        <v>0</v>
      </c>
      <c r="BV1342" s="33">
        <f t="shared" ca="1" si="2516"/>
        <v>0</v>
      </c>
      <c r="BW1342" s="33">
        <f t="shared" ca="1" si="2516"/>
        <v>0</v>
      </c>
      <c r="BX1342" s="33">
        <f t="shared" ca="1" si="2516"/>
        <v>0</v>
      </c>
      <c r="BY1342" s="33">
        <f t="shared" ca="1" si="2516"/>
        <v>0</v>
      </c>
    </row>
    <row r="1343" spans="1:77">
      <c r="E1343" t="s">
        <v>98</v>
      </c>
      <c r="F1343" s="104" t="s">
        <v>159</v>
      </c>
      <c r="H1343" s="33">
        <f>+IFERROR(+H216,0)</f>
        <v>0</v>
      </c>
      <c r="I1343" s="33">
        <f t="shared" ref="I1343:BT1343" si="2517">+IFERROR(+I216,0)</f>
        <v>0</v>
      </c>
      <c r="J1343" s="33">
        <f t="shared" si="2517"/>
        <v>0</v>
      </c>
      <c r="K1343" s="33">
        <f t="shared" si="2517"/>
        <v>-13246.886775153287</v>
      </c>
      <c r="L1343" s="33">
        <f t="shared" si="2517"/>
        <v>-13511.824510656354</v>
      </c>
      <c r="M1343" s="33">
        <f t="shared" si="2517"/>
        <v>-13782.061000869482</v>
      </c>
      <c r="N1343" s="33">
        <f t="shared" si="2517"/>
        <v>-14057.702220886868</v>
      </c>
      <c r="O1343" s="33">
        <f t="shared" si="2517"/>
        <v>-14338.856265304606</v>
      </c>
      <c r="P1343" s="33">
        <f t="shared" si="2517"/>
        <v>-14625.633390610699</v>
      </c>
      <c r="Q1343" s="33">
        <f t="shared" si="2517"/>
        <v>-14918.146058422913</v>
      </c>
      <c r="R1343" s="33">
        <f t="shared" si="2517"/>
        <v>-15216.508979591368</v>
      </c>
      <c r="S1343" s="33">
        <f t="shared" si="2517"/>
        <v>-15520.839159183199</v>
      </c>
      <c r="T1343" s="33">
        <f t="shared" si="2517"/>
        <v>-15831.255942366863</v>
      </c>
      <c r="U1343" s="33">
        <f t="shared" si="2517"/>
        <v>-16147.881061214201</v>
      </c>
      <c r="V1343" s="33">
        <f t="shared" si="2517"/>
        <v>-16470.83868243848</v>
      </c>
      <c r="W1343" s="33">
        <f t="shared" si="2517"/>
        <v>-16800.255456087252</v>
      </c>
      <c r="X1343" s="33">
        <f t="shared" si="2517"/>
        <v>-17136.260565208999</v>
      </c>
      <c r="Y1343" s="33">
        <f t="shared" si="2517"/>
        <v>-17478.985776513178</v>
      </c>
      <c r="Z1343" s="33">
        <f t="shared" si="2517"/>
        <v>0</v>
      </c>
      <c r="AA1343" s="33">
        <f t="shared" si="2517"/>
        <v>0</v>
      </c>
      <c r="AB1343" s="33">
        <f t="shared" si="2517"/>
        <v>0</v>
      </c>
      <c r="AC1343" s="33">
        <f t="shared" si="2517"/>
        <v>0</v>
      </c>
      <c r="AD1343" s="33">
        <f t="shared" si="2517"/>
        <v>0</v>
      </c>
      <c r="AE1343" s="33">
        <f t="shared" si="2517"/>
        <v>0</v>
      </c>
      <c r="AF1343" s="33">
        <f t="shared" si="2517"/>
        <v>0</v>
      </c>
      <c r="AG1343" s="33">
        <f t="shared" si="2517"/>
        <v>0</v>
      </c>
      <c r="AH1343" s="33">
        <f t="shared" si="2517"/>
        <v>0</v>
      </c>
      <c r="AI1343" s="33">
        <f t="shared" si="2517"/>
        <v>0</v>
      </c>
      <c r="AJ1343" s="33">
        <f t="shared" si="2517"/>
        <v>0</v>
      </c>
      <c r="AK1343" s="33">
        <f t="shared" si="2517"/>
        <v>0</v>
      </c>
      <c r="AL1343" s="33">
        <f t="shared" si="2517"/>
        <v>0</v>
      </c>
      <c r="AM1343" s="33">
        <f t="shared" si="2517"/>
        <v>0</v>
      </c>
      <c r="AN1343" s="33">
        <f t="shared" si="2517"/>
        <v>0</v>
      </c>
      <c r="AO1343" s="33">
        <f t="shared" si="2517"/>
        <v>0</v>
      </c>
      <c r="AP1343" s="33">
        <f t="shared" si="2517"/>
        <v>0</v>
      </c>
      <c r="AQ1343" s="33">
        <f t="shared" si="2517"/>
        <v>0</v>
      </c>
      <c r="AR1343" s="33">
        <f t="shared" si="2517"/>
        <v>0</v>
      </c>
      <c r="AS1343" s="33">
        <f t="shared" si="2517"/>
        <v>0</v>
      </c>
      <c r="AT1343" s="33">
        <f t="shared" si="2517"/>
        <v>0</v>
      </c>
      <c r="AU1343" s="33">
        <f t="shared" si="2517"/>
        <v>0</v>
      </c>
      <c r="AV1343" s="33">
        <f t="shared" si="2517"/>
        <v>0</v>
      </c>
      <c r="AW1343" s="33">
        <f t="shared" si="2517"/>
        <v>0</v>
      </c>
      <c r="AX1343" s="33">
        <f t="shared" si="2517"/>
        <v>0</v>
      </c>
      <c r="AY1343" s="33">
        <f t="shared" si="2517"/>
        <v>0</v>
      </c>
      <c r="AZ1343" s="33">
        <f t="shared" si="2517"/>
        <v>0</v>
      </c>
      <c r="BA1343" s="33">
        <f t="shared" si="2517"/>
        <v>0</v>
      </c>
      <c r="BB1343" s="33">
        <f t="shared" si="2517"/>
        <v>0</v>
      </c>
      <c r="BC1343" s="33">
        <f t="shared" si="2517"/>
        <v>0</v>
      </c>
      <c r="BD1343" s="33">
        <f t="shared" si="2517"/>
        <v>0</v>
      </c>
      <c r="BE1343" s="33">
        <f t="shared" si="2517"/>
        <v>0</v>
      </c>
      <c r="BF1343" s="33">
        <f t="shared" si="2517"/>
        <v>0</v>
      </c>
      <c r="BG1343" s="33">
        <f t="shared" si="2517"/>
        <v>0</v>
      </c>
      <c r="BH1343" s="33">
        <f t="shared" si="2517"/>
        <v>0</v>
      </c>
      <c r="BI1343" s="33">
        <f t="shared" si="2517"/>
        <v>0</v>
      </c>
      <c r="BJ1343" s="33">
        <f t="shared" si="2517"/>
        <v>0</v>
      </c>
      <c r="BK1343" s="33">
        <f t="shared" si="2517"/>
        <v>0</v>
      </c>
      <c r="BL1343" s="33">
        <f t="shared" si="2517"/>
        <v>0</v>
      </c>
      <c r="BM1343" s="33">
        <f t="shared" si="2517"/>
        <v>0</v>
      </c>
      <c r="BN1343" s="33">
        <f t="shared" si="2517"/>
        <v>0</v>
      </c>
      <c r="BO1343" s="33">
        <f t="shared" si="2517"/>
        <v>0</v>
      </c>
      <c r="BP1343" s="33">
        <f t="shared" si="2517"/>
        <v>0</v>
      </c>
      <c r="BQ1343" s="33">
        <f t="shared" si="2517"/>
        <v>0</v>
      </c>
      <c r="BR1343" s="33">
        <f t="shared" si="2517"/>
        <v>0</v>
      </c>
      <c r="BS1343" s="33">
        <f t="shared" si="2517"/>
        <v>0</v>
      </c>
      <c r="BT1343" s="33">
        <f t="shared" si="2517"/>
        <v>0</v>
      </c>
      <c r="BU1343" s="33">
        <f t="shared" ref="BU1343:BY1343" si="2518">+IFERROR(+BU216,0)</f>
        <v>0</v>
      </c>
      <c r="BV1343" s="33">
        <f t="shared" si="2518"/>
        <v>0</v>
      </c>
      <c r="BW1343" s="33">
        <f t="shared" si="2518"/>
        <v>0</v>
      </c>
      <c r="BX1343" s="33">
        <f t="shared" si="2518"/>
        <v>0</v>
      </c>
      <c r="BY1343" s="33">
        <f t="shared" si="2518"/>
        <v>0</v>
      </c>
    </row>
    <row r="1344" spans="1:77">
      <c r="E1344" t="s">
        <v>99</v>
      </c>
      <c r="F1344" s="104" t="s">
        <v>159</v>
      </c>
      <c r="H1344" s="33">
        <f>+IFERROR(+H217,0)</f>
        <v>0</v>
      </c>
      <c r="I1344" s="33">
        <f t="shared" ref="I1344:BT1344" si="2519">+IFERROR(+I217,0)</f>
        <v>0</v>
      </c>
      <c r="J1344" s="33">
        <f t="shared" si="2519"/>
        <v>0</v>
      </c>
      <c r="K1344" s="33">
        <f t="shared" si="2519"/>
        <v>-28487.928548716751</v>
      </c>
      <c r="L1344" s="33">
        <f t="shared" si="2519"/>
        <v>-29057.687119691087</v>
      </c>
      <c r="M1344" s="33">
        <f t="shared" si="2519"/>
        <v>-29638.840862084908</v>
      </c>
      <c r="N1344" s="33">
        <f t="shared" si="2519"/>
        <v>-30231.617679326599</v>
      </c>
      <c r="O1344" s="33">
        <f t="shared" si="2519"/>
        <v>-30836.250032913136</v>
      </c>
      <c r="P1344" s="33">
        <f t="shared" si="2519"/>
        <v>-31452.975033571398</v>
      </c>
      <c r="Q1344" s="33">
        <f t="shared" si="2519"/>
        <v>-32082.034534242826</v>
      </c>
      <c r="R1344" s="33">
        <f t="shared" si="2519"/>
        <v>-32723.675224927676</v>
      </c>
      <c r="S1344" s="33">
        <f t="shared" si="2519"/>
        <v>-33378.148729426233</v>
      </c>
      <c r="T1344" s="33">
        <f t="shared" si="2519"/>
        <v>-34045.711704014757</v>
      </c>
      <c r="U1344" s="33">
        <f t="shared" si="2519"/>
        <v>-34726.625938095058</v>
      </c>
      <c r="V1344" s="33">
        <f t="shared" si="2519"/>
        <v>-35421.158456856952</v>
      </c>
      <c r="W1344" s="33">
        <f t="shared" si="2519"/>
        <v>-36129.581625994091</v>
      </c>
      <c r="X1344" s="33">
        <f t="shared" si="2519"/>
        <v>-36852.173258513976</v>
      </c>
      <c r="Y1344" s="33">
        <f t="shared" si="2519"/>
        <v>-37589.216723684258</v>
      </c>
      <c r="Z1344" s="33">
        <f t="shared" si="2519"/>
        <v>0</v>
      </c>
      <c r="AA1344" s="33">
        <f t="shared" si="2519"/>
        <v>0</v>
      </c>
      <c r="AB1344" s="33">
        <f t="shared" si="2519"/>
        <v>0</v>
      </c>
      <c r="AC1344" s="33">
        <f t="shared" si="2519"/>
        <v>0</v>
      </c>
      <c r="AD1344" s="33">
        <f t="shared" si="2519"/>
        <v>0</v>
      </c>
      <c r="AE1344" s="33">
        <f t="shared" si="2519"/>
        <v>0</v>
      </c>
      <c r="AF1344" s="33">
        <f t="shared" si="2519"/>
        <v>0</v>
      </c>
      <c r="AG1344" s="33">
        <f t="shared" si="2519"/>
        <v>0</v>
      </c>
      <c r="AH1344" s="33">
        <f t="shared" si="2519"/>
        <v>0</v>
      </c>
      <c r="AI1344" s="33">
        <f t="shared" si="2519"/>
        <v>0</v>
      </c>
      <c r="AJ1344" s="33">
        <f t="shared" si="2519"/>
        <v>0</v>
      </c>
      <c r="AK1344" s="33">
        <f t="shared" si="2519"/>
        <v>0</v>
      </c>
      <c r="AL1344" s="33">
        <f t="shared" si="2519"/>
        <v>0</v>
      </c>
      <c r="AM1344" s="33">
        <f t="shared" si="2519"/>
        <v>0</v>
      </c>
      <c r="AN1344" s="33">
        <f t="shared" si="2519"/>
        <v>0</v>
      </c>
      <c r="AO1344" s="33">
        <f t="shared" si="2519"/>
        <v>0</v>
      </c>
      <c r="AP1344" s="33">
        <f t="shared" si="2519"/>
        <v>0</v>
      </c>
      <c r="AQ1344" s="33">
        <f t="shared" si="2519"/>
        <v>0</v>
      </c>
      <c r="AR1344" s="33">
        <f t="shared" si="2519"/>
        <v>0</v>
      </c>
      <c r="AS1344" s="33">
        <f t="shared" si="2519"/>
        <v>0</v>
      </c>
      <c r="AT1344" s="33">
        <f t="shared" si="2519"/>
        <v>0</v>
      </c>
      <c r="AU1344" s="33">
        <f t="shared" si="2519"/>
        <v>0</v>
      </c>
      <c r="AV1344" s="33">
        <f t="shared" si="2519"/>
        <v>0</v>
      </c>
      <c r="AW1344" s="33">
        <f t="shared" si="2519"/>
        <v>0</v>
      </c>
      <c r="AX1344" s="33">
        <f t="shared" si="2519"/>
        <v>0</v>
      </c>
      <c r="AY1344" s="33">
        <f t="shared" si="2519"/>
        <v>0</v>
      </c>
      <c r="AZ1344" s="33">
        <f t="shared" si="2519"/>
        <v>0</v>
      </c>
      <c r="BA1344" s="33">
        <f t="shared" si="2519"/>
        <v>0</v>
      </c>
      <c r="BB1344" s="33">
        <f t="shared" si="2519"/>
        <v>0</v>
      </c>
      <c r="BC1344" s="33">
        <f t="shared" si="2519"/>
        <v>0</v>
      </c>
      <c r="BD1344" s="33">
        <f t="shared" si="2519"/>
        <v>0</v>
      </c>
      <c r="BE1344" s="33">
        <f t="shared" si="2519"/>
        <v>0</v>
      </c>
      <c r="BF1344" s="33">
        <f t="shared" si="2519"/>
        <v>0</v>
      </c>
      <c r="BG1344" s="33">
        <f t="shared" si="2519"/>
        <v>0</v>
      </c>
      <c r="BH1344" s="33">
        <f t="shared" si="2519"/>
        <v>0</v>
      </c>
      <c r="BI1344" s="33">
        <f t="shared" si="2519"/>
        <v>0</v>
      </c>
      <c r="BJ1344" s="33">
        <f t="shared" si="2519"/>
        <v>0</v>
      </c>
      <c r="BK1344" s="33">
        <f t="shared" si="2519"/>
        <v>0</v>
      </c>
      <c r="BL1344" s="33">
        <f t="shared" si="2519"/>
        <v>0</v>
      </c>
      <c r="BM1344" s="33">
        <f t="shared" si="2519"/>
        <v>0</v>
      </c>
      <c r="BN1344" s="33">
        <f t="shared" si="2519"/>
        <v>0</v>
      </c>
      <c r="BO1344" s="33">
        <f t="shared" si="2519"/>
        <v>0</v>
      </c>
      <c r="BP1344" s="33">
        <f t="shared" si="2519"/>
        <v>0</v>
      </c>
      <c r="BQ1344" s="33">
        <f t="shared" si="2519"/>
        <v>0</v>
      </c>
      <c r="BR1344" s="33">
        <f t="shared" si="2519"/>
        <v>0</v>
      </c>
      <c r="BS1344" s="33">
        <f t="shared" si="2519"/>
        <v>0</v>
      </c>
      <c r="BT1344" s="33">
        <f t="shared" si="2519"/>
        <v>0</v>
      </c>
      <c r="BU1344" s="33">
        <f t="shared" ref="BU1344:BY1344" si="2520">+IFERROR(+BU217,0)</f>
        <v>0</v>
      </c>
      <c r="BV1344" s="33">
        <f t="shared" si="2520"/>
        <v>0</v>
      </c>
      <c r="BW1344" s="33">
        <f t="shared" si="2520"/>
        <v>0</v>
      </c>
      <c r="BX1344" s="33">
        <f t="shared" si="2520"/>
        <v>0</v>
      </c>
      <c r="BY1344" s="33">
        <f t="shared" si="2520"/>
        <v>0</v>
      </c>
    </row>
    <row r="1345" spans="5:77">
      <c r="E1345" s="25" t="s">
        <v>100</v>
      </c>
      <c r="F1345" s="556" t="s">
        <v>159</v>
      </c>
      <c r="G1345" s="25"/>
      <c r="H1345" s="34">
        <f>++H447</f>
        <v>0</v>
      </c>
      <c r="I1345" s="34">
        <f t="shared" ref="I1345:BT1345" si="2521">++I447</f>
        <v>0</v>
      </c>
      <c r="J1345" s="34">
        <f t="shared" si="2521"/>
        <v>0</v>
      </c>
      <c r="K1345" s="34">
        <f t="shared" si="2521"/>
        <v>-22081280.510030404</v>
      </c>
      <c r="L1345" s="34">
        <f t="shared" si="2521"/>
        <v>-22522906.120231014</v>
      </c>
      <c r="M1345" s="34">
        <f t="shared" si="2521"/>
        <v>-22973364.242635634</v>
      </c>
      <c r="N1345" s="34">
        <f t="shared" si="2521"/>
        <v>-23432831.52748834</v>
      </c>
      <c r="O1345" s="34">
        <f t="shared" si="2521"/>
        <v>-23901488.15803811</v>
      </c>
      <c r="P1345" s="34">
        <f t="shared" si="2521"/>
        <v>-24379517.921198871</v>
      </c>
      <c r="Q1345" s="34">
        <f t="shared" si="2521"/>
        <v>-24867108.279622853</v>
      </c>
      <c r="R1345" s="34">
        <f t="shared" si="2521"/>
        <v>-25364450.445215303</v>
      </c>
      <c r="S1345" s="34">
        <f t="shared" si="2521"/>
        <v>-25871739.454119615</v>
      </c>
      <c r="T1345" s="34">
        <f t="shared" si="2521"/>
        <v>-26389174.243202005</v>
      </c>
      <c r="U1345" s="34">
        <f t="shared" si="2521"/>
        <v>-26916957.728066046</v>
      </c>
      <c r="V1345" s="34">
        <f t="shared" si="2521"/>
        <v>-27455296.882627361</v>
      </c>
      <c r="W1345" s="34">
        <f t="shared" si="2521"/>
        <v>-28004402.820279911</v>
      </c>
      <c r="X1345" s="34">
        <f t="shared" si="2521"/>
        <v>-28564490.876685515</v>
      </c>
      <c r="Y1345" s="34">
        <f t="shared" si="2521"/>
        <v>-29135780.69421922</v>
      </c>
      <c r="Z1345" s="34">
        <f t="shared" si="2521"/>
        <v>0</v>
      </c>
      <c r="AA1345" s="34">
        <f t="shared" si="2521"/>
        <v>0</v>
      </c>
      <c r="AB1345" s="34">
        <f t="shared" si="2521"/>
        <v>0</v>
      </c>
      <c r="AC1345" s="34">
        <f t="shared" si="2521"/>
        <v>0</v>
      </c>
      <c r="AD1345" s="34">
        <f t="shared" si="2521"/>
        <v>0</v>
      </c>
      <c r="AE1345" s="34">
        <f t="shared" si="2521"/>
        <v>0</v>
      </c>
      <c r="AF1345" s="34">
        <f t="shared" si="2521"/>
        <v>0</v>
      </c>
      <c r="AG1345" s="34">
        <f t="shared" si="2521"/>
        <v>0</v>
      </c>
      <c r="AH1345" s="34">
        <f t="shared" si="2521"/>
        <v>0</v>
      </c>
      <c r="AI1345" s="34">
        <f t="shared" si="2521"/>
        <v>0</v>
      </c>
      <c r="AJ1345" s="34">
        <f t="shared" si="2521"/>
        <v>0</v>
      </c>
      <c r="AK1345" s="34">
        <f t="shared" si="2521"/>
        <v>0</v>
      </c>
      <c r="AL1345" s="34">
        <f t="shared" si="2521"/>
        <v>0</v>
      </c>
      <c r="AM1345" s="34">
        <f t="shared" si="2521"/>
        <v>0</v>
      </c>
      <c r="AN1345" s="34">
        <f t="shared" si="2521"/>
        <v>0</v>
      </c>
      <c r="AO1345" s="34">
        <f t="shared" si="2521"/>
        <v>0</v>
      </c>
      <c r="AP1345" s="34">
        <f t="shared" si="2521"/>
        <v>0</v>
      </c>
      <c r="AQ1345" s="34">
        <f t="shared" si="2521"/>
        <v>0</v>
      </c>
      <c r="AR1345" s="34">
        <f t="shared" si="2521"/>
        <v>0</v>
      </c>
      <c r="AS1345" s="34">
        <f t="shared" si="2521"/>
        <v>0</v>
      </c>
      <c r="AT1345" s="34">
        <f t="shared" si="2521"/>
        <v>0</v>
      </c>
      <c r="AU1345" s="34">
        <f t="shared" si="2521"/>
        <v>0</v>
      </c>
      <c r="AV1345" s="34">
        <f t="shared" si="2521"/>
        <v>0</v>
      </c>
      <c r="AW1345" s="34">
        <f t="shared" si="2521"/>
        <v>0</v>
      </c>
      <c r="AX1345" s="34">
        <f t="shared" si="2521"/>
        <v>0</v>
      </c>
      <c r="AY1345" s="34">
        <f t="shared" si="2521"/>
        <v>0</v>
      </c>
      <c r="AZ1345" s="34">
        <f t="shared" si="2521"/>
        <v>0</v>
      </c>
      <c r="BA1345" s="34">
        <f t="shared" si="2521"/>
        <v>0</v>
      </c>
      <c r="BB1345" s="34">
        <f t="shared" si="2521"/>
        <v>0</v>
      </c>
      <c r="BC1345" s="34">
        <f t="shared" si="2521"/>
        <v>0</v>
      </c>
      <c r="BD1345" s="34">
        <f t="shared" si="2521"/>
        <v>0</v>
      </c>
      <c r="BE1345" s="34">
        <f t="shared" si="2521"/>
        <v>0</v>
      </c>
      <c r="BF1345" s="34">
        <f t="shared" si="2521"/>
        <v>0</v>
      </c>
      <c r="BG1345" s="34">
        <f t="shared" si="2521"/>
        <v>0</v>
      </c>
      <c r="BH1345" s="34">
        <f t="shared" si="2521"/>
        <v>0</v>
      </c>
      <c r="BI1345" s="34">
        <f t="shared" si="2521"/>
        <v>0</v>
      </c>
      <c r="BJ1345" s="34">
        <f t="shared" si="2521"/>
        <v>0</v>
      </c>
      <c r="BK1345" s="34">
        <f t="shared" si="2521"/>
        <v>0</v>
      </c>
      <c r="BL1345" s="34">
        <f t="shared" si="2521"/>
        <v>0</v>
      </c>
      <c r="BM1345" s="34">
        <f t="shared" si="2521"/>
        <v>0</v>
      </c>
      <c r="BN1345" s="34">
        <f t="shared" si="2521"/>
        <v>0</v>
      </c>
      <c r="BO1345" s="34">
        <f t="shared" si="2521"/>
        <v>0</v>
      </c>
      <c r="BP1345" s="34">
        <f t="shared" si="2521"/>
        <v>0</v>
      </c>
      <c r="BQ1345" s="34">
        <f t="shared" si="2521"/>
        <v>0</v>
      </c>
      <c r="BR1345" s="34">
        <f t="shared" si="2521"/>
        <v>0</v>
      </c>
      <c r="BS1345" s="34">
        <f t="shared" si="2521"/>
        <v>0</v>
      </c>
      <c r="BT1345" s="34">
        <f t="shared" si="2521"/>
        <v>0</v>
      </c>
      <c r="BU1345" s="34">
        <f t="shared" ref="BU1345:BY1345" si="2522">++BU447</f>
        <v>0</v>
      </c>
      <c r="BV1345" s="34">
        <f t="shared" si="2522"/>
        <v>0</v>
      </c>
      <c r="BW1345" s="34">
        <f t="shared" si="2522"/>
        <v>0</v>
      </c>
      <c r="BX1345" s="34">
        <f t="shared" si="2522"/>
        <v>0</v>
      </c>
      <c r="BY1345" s="34">
        <f t="shared" si="2522"/>
        <v>0</v>
      </c>
    </row>
    <row r="1346" spans="5:77">
      <c r="E1346" t="s">
        <v>74</v>
      </c>
      <c r="F1346" s="104" t="s">
        <v>159</v>
      </c>
      <c r="H1346" s="33">
        <f t="shared" ref="H1346:AM1346" ca="1" si="2523">-SUM(H1338:H1345)*SUM(H66:H68)</f>
        <v>0</v>
      </c>
      <c r="I1346" s="33">
        <f t="shared" ca="1" si="2523"/>
        <v>208221392.5714553</v>
      </c>
      <c r="J1346" s="33">
        <f t="shared" ca="1" si="2523"/>
        <v>212385820.42288437</v>
      </c>
      <c r="K1346" s="33">
        <f t="shared" si="2523"/>
        <v>22123015.325354274</v>
      </c>
      <c r="L1346" s="33">
        <f t="shared" si="2523"/>
        <v>22565475.631861363</v>
      </c>
      <c r="M1346" s="33">
        <f t="shared" si="2523"/>
        <v>23016785.144498587</v>
      </c>
      <c r="N1346" s="33">
        <f t="shared" si="2523"/>
        <v>23477120.847388554</v>
      </c>
      <c r="O1346" s="33">
        <f t="shared" si="2523"/>
        <v>23946663.264336329</v>
      </c>
      <c r="P1346" s="33">
        <f t="shared" si="2523"/>
        <v>24425596.529623054</v>
      </c>
      <c r="Q1346" s="33">
        <f t="shared" si="2523"/>
        <v>24914108.46021552</v>
      </c>
      <c r="R1346" s="33">
        <f t="shared" si="2523"/>
        <v>25412390.629419822</v>
      </c>
      <c r="S1346" s="33">
        <f t="shared" si="2523"/>
        <v>25920638.442008223</v>
      </c>
      <c r="T1346" s="33">
        <f t="shared" si="2523"/>
        <v>26439051.210848387</v>
      </c>
      <c r="U1346" s="33">
        <f t="shared" si="2523"/>
        <v>26967832.235065356</v>
      </c>
      <c r="V1346" s="33">
        <f t="shared" si="2523"/>
        <v>27507188.879766654</v>
      </c>
      <c r="W1346" s="33">
        <f t="shared" si="2523"/>
        <v>28057332.657361992</v>
      </c>
      <c r="X1346" s="33">
        <f t="shared" si="2523"/>
        <v>28618479.310509238</v>
      </c>
      <c r="Y1346" s="33">
        <f t="shared" si="2523"/>
        <v>29190848.896719418</v>
      </c>
      <c r="Z1346" s="33">
        <f t="shared" ca="1" si="2523"/>
        <v>0</v>
      </c>
      <c r="AA1346" s="33">
        <f t="shared" ca="1" si="2523"/>
        <v>0</v>
      </c>
      <c r="AB1346" s="33">
        <f t="shared" ca="1" si="2523"/>
        <v>0</v>
      </c>
      <c r="AC1346" s="33">
        <f t="shared" ca="1" si="2523"/>
        <v>0</v>
      </c>
      <c r="AD1346" s="33">
        <f t="shared" ca="1" si="2523"/>
        <v>0</v>
      </c>
      <c r="AE1346" s="33">
        <f t="shared" ca="1" si="2523"/>
        <v>0</v>
      </c>
      <c r="AF1346" s="33">
        <f t="shared" ca="1" si="2523"/>
        <v>0</v>
      </c>
      <c r="AG1346" s="33">
        <f t="shared" ca="1" si="2523"/>
        <v>0</v>
      </c>
      <c r="AH1346" s="33">
        <f t="shared" ca="1" si="2523"/>
        <v>0</v>
      </c>
      <c r="AI1346" s="33">
        <f t="shared" ca="1" si="2523"/>
        <v>0</v>
      </c>
      <c r="AJ1346" s="33">
        <f t="shared" ca="1" si="2523"/>
        <v>0</v>
      </c>
      <c r="AK1346" s="33">
        <f t="shared" ca="1" si="2523"/>
        <v>0</v>
      </c>
      <c r="AL1346" s="33">
        <f t="shared" ca="1" si="2523"/>
        <v>0</v>
      </c>
      <c r="AM1346" s="33">
        <f t="shared" ca="1" si="2523"/>
        <v>0</v>
      </c>
      <c r="AN1346" s="33">
        <f t="shared" ref="AN1346:BS1346" ca="1" si="2524">-SUM(AN1338:AN1345)*SUM(AN66:AN68)</f>
        <v>0</v>
      </c>
      <c r="AO1346" s="33">
        <f t="shared" ca="1" si="2524"/>
        <v>0</v>
      </c>
      <c r="AP1346" s="33">
        <f t="shared" ca="1" si="2524"/>
        <v>0</v>
      </c>
      <c r="AQ1346" s="33">
        <f t="shared" ca="1" si="2524"/>
        <v>0</v>
      </c>
      <c r="AR1346" s="33">
        <f t="shared" ca="1" si="2524"/>
        <v>0</v>
      </c>
      <c r="AS1346" s="33">
        <f t="shared" ca="1" si="2524"/>
        <v>0</v>
      </c>
      <c r="AT1346" s="33">
        <f t="shared" ca="1" si="2524"/>
        <v>0</v>
      </c>
      <c r="AU1346" s="33">
        <f t="shared" ca="1" si="2524"/>
        <v>0</v>
      </c>
      <c r="AV1346" s="33">
        <f t="shared" ca="1" si="2524"/>
        <v>0</v>
      </c>
      <c r="AW1346" s="33">
        <f t="shared" ca="1" si="2524"/>
        <v>0</v>
      </c>
      <c r="AX1346" s="33">
        <f t="shared" ca="1" si="2524"/>
        <v>0</v>
      </c>
      <c r="AY1346" s="33">
        <f t="shared" ca="1" si="2524"/>
        <v>0</v>
      </c>
      <c r="AZ1346" s="33">
        <f t="shared" ca="1" si="2524"/>
        <v>0</v>
      </c>
      <c r="BA1346" s="33">
        <f t="shared" ca="1" si="2524"/>
        <v>0</v>
      </c>
      <c r="BB1346" s="33">
        <f t="shared" ca="1" si="2524"/>
        <v>0</v>
      </c>
      <c r="BC1346" s="33">
        <f t="shared" ca="1" si="2524"/>
        <v>0</v>
      </c>
      <c r="BD1346" s="33">
        <f t="shared" ca="1" si="2524"/>
        <v>0</v>
      </c>
      <c r="BE1346" s="33">
        <f t="shared" ca="1" si="2524"/>
        <v>0</v>
      </c>
      <c r="BF1346" s="33">
        <f t="shared" ca="1" si="2524"/>
        <v>0</v>
      </c>
      <c r="BG1346" s="33">
        <f t="shared" ca="1" si="2524"/>
        <v>0</v>
      </c>
      <c r="BH1346" s="33">
        <f t="shared" ca="1" si="2524"/>
        <v>0</v>
      </c>
      <c r="BI1346" s="33">
        <f t="shared" ca="1" si="2524"/>
        <v>0</v>
      </c>
      <c r="BJ1346" s="33">
        <f t="shared" ca="1" si="2524"/>
        <v>0</v>
      </c>
      <c r="BK1346" s="33">
        <f t="shared" ca="1" si="2524"/>
        <v>0</v>
      </c>
      <c r="BL1346" s="33">
        <f t="shared" ca="1" si="2524"/>
        <v>0</v>
      </c>
      <c r="BM1346" s="33">
        <f t="shared" ca="1" si="2524"/>
        <v>0</v>
      </c>
      <c r="BN1346" s="33">
        <f t="shared" ca="1" si="2524"/>
        <v>0</v>
      </c>
      <c r="BO1346" s="33">
        <f t="shared" ca="1" si="2524"/>
        <v>0</v>
      </c>
      <c r="BP1346" s="33">
        <f t="shared" ca="1" si="2524"/>
        <v>0</v>
      </c>
      <c r="BQ1346" s="33">
        <f t="shared" ca="1" si="2524"/>
        <v>0</v>
      </c>
      <c r="BR1346" s="33">
        <f t="shared" ca="1" si="2524"/>
        <v>0</v>
      </c>
      <c r="BS1346" s="33">
        <f t="shared" ca="1" si="2524"/>
        <v>0</v>
      </c>
      <c r="BT1346" s="33">
        <f t="shared" ref="BT1346:BY1346" ca="1" si="2525">-SUM(BT1338:BT1345)*SUM(BT66:BT68)</f>
        <v>0</v>
      </c>
      <c r="BU1346" s="33">
        <f t="shared" ca="1" si="2525"/>
        <v>0</v>
      </c>
      <c r="BV1346" s="33">
        <f t="shared" ca="1" si="2525"/>
        <v>0</v>
      </c>
      <c r="BW1346" s="33">
        <f t="shared" ca="1" si="2525"/>
        <v>0</v>
      </c>
      <c r="BX1346" s="33">
        <f t="shared" ca="1" si="2525"/>
        <v>0</v>
      </c>
      <c r="BY1346" s="33">
        <f t="shared" ca="1" si="2525"/>
        <v>0</v>
      </c>
    </row>
    <row r="1348" spans="5:77">
      <c r="I1348" s="41"/>
      <c r="J1348" s="41"/>
      <c r="K1348" s="41"/>
      <c r="L1348" s="41"/>
      <c r="M1348" s="41"/>
      <c r="N1348" s="41"/>
      <c r="O1348" s="41"/>
      <c r="P1348" s="41"/>
      <c r="Q1348" s="41"/>
      <c r="R1348" s="41"/>
      <c r="S1348" s="41"/>
      <c r="T1348" s="41"/>
    </row>
    <row r="1349" spans="5:77" ht="15">
      <c r="E1349" s="22" t="s">
        <v>293</v>
      </c>
      <c r="F1349" s="80"/>
      <c r="G1349" s="80"/>
      <c r="H1349" s="80"/>
      <c r="I1349" s="80"/>
      <c r="J1349" s="80"/>
      <c r="K1349" s="80"/>
      <c r="L1349" s="80"/>
      <c r="M1349" s="80"/>
      <c r="N1349" s="80"/>
      <c r="O1349" s="80"/>
      <c r="P1349" s="80"/>
      <c r="Q1349" s="80"/>
      <c r="R1349" s="80"/>
      <c r="S1349" s="80"/>
      <c r="T1349" s="80"/>
      <c r="U1349" s="80"/>
      <c r="V1349" s="80"/>
      <c r="W1349" s="80"/>
      <c r="X1349" s="80"/>
      <c r="Y1349" s="80"/>
      <c r="Z1349" s="80"/>
      <c r="AA1349" s="80"/>
      <c r="AB1349" s="80"/>
      <c r="AC1349" s="80"/>
      <c r="AD1349" s="80"/>
      <c r="AE1349" s="80"/>
      <c r="AF1349" s="80"/>
      <c r="AG1349" s="80"/>
      <c r="AH1349" s="80"/>
      <c r="AI1349" s="80"/>
      <c r="AJ1349" s="80"/>
      <c r="AK1349" s="80"/>
      <c r="AL1349" s="80"/>
      <c r="AM1349" s="80"/>
      <c r="AN1349" s="80"/>
      <c r="AO1349" s="80"/>
      <c r="AP1349" s="80"/>
      <c r="AQ1349" s="80"/>
      <c r="AR1349" s="80"/>
      <c r="AS1349" s="80"/>
      <c r="AT1349" s="80"/>
      <c r="AU1349" s="80"/>
      <c r="AV1349" s="80"/>
      <c r="AW1349" s="80"/>
      <c r="AX1349" s="80"/>
      <c r="AY1349" s="80"/>
      <c r="AZ1349" s="80"/>
      <c r="BA1349" s="80"/>
      <c r="BB1349" s="80"/>
      <c r="BC1349" s="80"/>
      <c r="BD1349" s="80"/>
      <c r="BE1349" s="80"/>
      <c r="BF1349" s="80"/>
      <c r="BG1349" s="80"/>
      <c r="BH1349" s="80"/>
      <c r="BI1349" s="80"/>
      <c r="BJ1349" s="80"/>
      <c r="BK1349" s="80"/>
      <c r="BL1349" s="80"/>
      <c r="BM1349" s="80"/>
      <c r="BN1349" s="80"/>
      <c r="BO1349" s="80"/>
      <c r="BP1349" s="80"/>
      <c r="BQ1349" s="80"/>
      <c r="BR1349" s="80"/>
      <c r="BS1349" s="80"/>
      <c r="BT1349" s="80"/>
      <c r="BU1349" s="80"/>
      <c r="BV1349" s="80"/>
      <c r="BW1349" s="80"/>
      <c r="BX1349" s="80"/>
      <c r="BY1349" s="80"/>
    </row>
    <row r="1350" spans="5:77">
      <c r="E1350" t="s">
        <v>645</v>
      </c>
      <c r="F1350" s="104" t="s">
        <v>159</v>
      </c>
      <c r="H1350" s="33">
        <f>++H611</f>
        <v>0</v>
      </c>
      <c r="I1350" s="33">
        <f t="shared" ref="I1350:BT1350" si="2526">++I611</f>
        <v>0</v>
      </c>
      <c r="J1350" s="33">
        <f t="shared" si="2526"/>
        <v>0</v>
      </c>
      <c r="K1350" s="33">
        <f t="shared" si="2526"/>
        <v>0</v>
      </c>
      <c r="L1350" s="33">
        <f t="shared" si="2526"/>
        <v>0</v>
      </c>
      <c r="M1350" s="33">
        <f t="shared" si="2526"/>
        <v>0</v>
      </c>
      <c r="N1350" s="33">
        <f t="shared" si="2526"/>
        <v>0</v>
      </c>
      <c r="O1350" s="33">
        <f t="shared" si="2526"/>
        <v>0</v>
      </c>
      <c r="P1350" s="33">
        <f t="shared" si="2526"/>
        <v>0</v>
      </c>
      <c r="Q1350" s="33">
        <f t="shared" si="2526"/>
        <v>0</v>
      </c>
      <c r="R1350" s="33">
        <f t="shared" si="2526"/>
        <v>0</v>
      </c>
      <c r="S1350" s="33">
        <f t="shared" si="2526"/>
        <v>0</v>
      </c>
      <c r="T1350" s="33">
        <f t="shared" si="2526"/>
        <v>0</v>
      </c>
      <c r="U1350" s="33">
        <f t="shared" si="2526"/>
        <v>0</v>
      </c>
      <c r="V1350" s="33">
        <f t="shared" si="2526"/>
        <v>0</v>
      </c>
      <c r="W1350" s="33">
        <f t="shared" si="2526"/>
        <v>0</v>
      </c>
      <c r="X1350" s="33">
        <f t="shared" si="2526"/>
        <v>0</v>
      </c>
      <c r="Y1350" s="33">
        <f t="shared" si="2526"/>
        <v>0</v>
      </c>
      <c r="Z1350" s="33">
        <f t="shared" si="2526"/>
        <v>0</v>
      </c>
      <c r="AA1350" s="33">
        <f t="shared" si="2526"/>
        <v>0</v>
      </c>
      <c r="AB1350" s="33">
        <f t="shared" si="2526"/>
        <v>0</v>
      </c>
      <c r="AC1350" s="33">
        <f t="shared" si="2526"/>
        <v>0</v>
      </c>
      <c r="AD1350" s="33">
        <f t="shared" si="2526"/>
        <v>0</v>
      </c>
      <c r="AE1350" s="33">
        <f t="shared" si="2526"/>
        <v>0</v>
      </c>
      <c r="AF1350" s="33">
        <f t="shared" si="2526"/>
        <v>0</v>
      </c>
      <c r="AG1350" s="33">
        <f t="shared" si="2526"/>
        <v>0</v>
      </c>
      <c r="AH1350" s="33">
        <f t="shared" si="2526"/>
        <v>0</v>
      </c>
      <c r="AI1350" s="33">
        <f t="shared" si="2526"/>
        <v>0</v>
      </c>
      <c r="AJ1350" s="33">
        <f t="shared" si="2526"/>
        <v>0</v>
      </c>
      <c r="AK1350" s="33">
        <f t="shared" si="2526"/>
        <v>0</v>
      </c>
      <c r="AL1350" s="33">
        <f t="shared" si="2526"/>
        <v>0</v>
      </c>
      <c r="AM1350" s="33">
        <f t="shared" si="2526"/>
        <v>0</v>
      </c>
      <c r="AN1350" s="33">
        <f t="shared" si="2526"/>
        <v>0</v>
      </c>
      <c r="AO1350" s="33">
        <f t="shared" si="2526"/>
        <v>0</v>
      </c>
      <c r="AP1350" s="33">
        <f t="shared" si="2526"/>
        <v>0</v>
      </c>
      <c r="AQ1350" s="33">
        <f t="shared" si="2526"/>
        <v>0</v>
      </c>
      <c r="AR1350" s="33">
        <f t="shared" si="2526"/>
        <v>0</v>
      </c>
      <c r="AS1350" s="33">
        <f t="shared" si="2526"/>
        <v>0</v>
      </c>
      <c r="AT1350" s="33">
        <f t="shared" si="2526"/>
        <v>0</v>
      </c>
      <c r="AU1350" s="33">
        <f t="shared" si="2526"/>
        <v>0</v>
      </c>
      <c r="AV1350" s="33">
        <f t="shared" si="2526"/>
        <v>0</v>
      </c>
      <c r="AW1350" s="33">
        <f t="shared" si="2526"/>
        <v>0</v>
      </c>
      <c r="AX1350" s="33">
        <f t="shared" si="2526"/>
        <v>0</v>
      </c>
      <c r="AY1350" s="33">
        <f t="shared" si="2526"/>
        <v>0</v>
      </c>
      <c r="AZ1350" s="33">
        <f t="shared" si="2526"/>
        <v>0</v>
      </c>
      <c r="BA1350" s="33">
        <f t="shared" si="2526"/>
        <v>0</v>
      </c>
      <c r="BB1350" s="33">
        <f t="shared" si="2526"/>
        <v>0</v>
      </c>
      <c r="BC1350" s="33">
        <f t="shared" si="2526"/>
        <v>0</v>
      </c>
      <c r="BD1350" s="33">
        <f t="shared" si="2526"/>
        <v>0</v>
      </c>
      <c r="BE1350" s="33">
        <f t="shared" si="2526"/>
        <v>0</v>
      </c>
      <c r="BF1350" s="33">
        <f t="shared" si="2526"/>
        <v>0</v>
      </c>
      <c r="BG1350" s="33">
        <f t="shared" si="2526"/>
        <v>0</v>
      </c>
      <c r="BH1350" s="33">
        <f t="shared" si="2526"/>
        <v>0</v>
      </c>
      <c r="BI1350" s="33">
        <f t="shared" si="2526"/>
        <v>0</v>
      </c>
      <c r="BJ1350" s="33">
        <f t="shared" si="2526"/>
        <v>0</v>
      </c>
      <c r="BK1350" s="33">
        <f t="shared" si="2526"/>
        <v>0</v>
      </c>
      <c r="BL1350" s="33">
        <f t="shared" si="2526"/>
        <v>0</v>
      </c>
      <c r="BM1350" s="33">
        <f t="shared" si="2526"/>
        <v>0</v>
      </c>
      <c r="BN1350" s="33">
        <f t="shared" si="2526"/>
        <v>0</v>
      </c>
      <c r="BO1350" s="33">
        <f t="shared" si="2526"/>
        <v>0</v>
      </c>
      <c r="BP1350" s="33">
        <f t="shared" si="2526"/>
        <v>0</v>
      </c>
      <c r="BQ1350" s="33">
        <f t="shared" si="2526"/>
        <v>0</v>
      </c>
      <c r="BR1350" s="33">
        <f t="shared" si="2526"/>
        <v>0</v>
      </c>
      <c r="BS1350" s="33">
        <f t="shared" si="2526"/>
        <v>0</v>
      </c>
      <c r="BT1350" s="33">
        <f t="shared" si="2526"/>
        <v>0</v>
      </c>
      <c r="BU1350" s="33">
        <f t="shared" ref="BU1350:BY1350" si="2527">++BU611</f>
        <v>0</v>
      </c>
      <c r="BV1350" s="33">
        <f t="shared" si="2527"/>
        <v>0</v>
      </c>
      <c r="BW1350" s="33">
        <f t="shared" si="2527"/>
        <v>0</v>
      </c>
      <c r="BX1350" s="33">
        <f t="shared" si="2527"/>
        <v>0</v>
      </c>
      <c r="BY1350" s="33">
        <f t="shared" si="2527"/>
        <v>0</v>
      </c>
    </row>
    <row r="1351" spans="5:77">
      <c r="E1351" t="s">
        <v>646</v>
      </c>
      <c r="F1351" s="104" t="s">
        <v>159</v>
      </c>
      <c r="H1351" s="33">
        <f>++H738</f>
        <v>0</v>
      </c>
      <c r="I1351" s="33">
        <f t="shared" ref="I1351:BT1351" si="2528">++I738</f>
        <v>-427445.66482099512</v>
      </c>
      <c r="J1351" s="33">
        <f t="shared" si="2528"/>
        <v>-435994.57811741502</v>
      </c>
      <c r="K1351" s="33">
        <f t="shared" si="2528"/>
        <v>0</v>
      </c>
      <c r="L1351" s="33">
        <f t="shared" si="2528"/>
        <v>0</v>
      </c>
      <c r="M1351" s="33">
        <f t="shared" si="2528"/>
        <v>0</v>
      </c>
      <c r="N1351" s="33">
        <f t="shared" si="2528"/>
        <v>0</v>
      </c>
      <c r="O1351" s="33">
        <f t="shared" si="2528"/>
        <v>0</v>
      </c>
      <c r="P1351" s="33">
        <f t="shared" si="2528"/>
        <v>0</v>
      </c>
      <c r="Q1351" s="33">
        <f t="shared" si="2528"/>
        <v>0</v>
      </c>
      <c r="R1351" s="33">
        <f t="shared" si="2528"/>
        <v>0</v>
      </c>
      <c r="S1351" s="33">
        <f t="shared" si="2528"/>
        <v>0</v>
      </c>
      <c r="T1351" s="33">
        <f t="shared" si="2528"/>
        <v>0</v>
      </c>
      <c r="U1351" s="33">
        <f t="shared" si="2528"/>
        <v>0</v>
      </c>
      <c r="V1351" s="33">
        <f t="shared" si="2528"/>
        <v>0</v>
      </c>
      <c r="W1351" s="33">
        <f t="shared" si="2528"/>
        <v>0</v>
      </c>
      <c r="X1351" s="33">
        <f t="shared" si="2528"/>
        <v>0</v>
      </c>
      <c r="Y1351" s="33">
        <f t="shared" si="2528"/>
        <v>0</v>
      </c>
      <c r="Z1351" s="33">
        <f t="shared" si="2528"/>
        <v>0</v>
      </c>
      <c r="AA1351" s="33">
        <f t="shared" si="2528"/>
        <v>0</v>
      </c>
      <c r="AB1351" s="33">
        <f t="shared" si="2528"/>
        <v>0</v>
      </c>
      <c r="AC1351" s="33">
        <f t="shared" si="2528"/>
        <v>0</v>
      </c>
      <c r="AD1351" s="33">
        <f t="shared" si="2528"/>
        <v>0</v>
      </c>
      <c r="AE1351" s="33">
        <f t="shared" si="2528"/>
        <v>0</v>
      </c>
      <c r="AF1351" s="33">
        <f t="shared" si="2528"/>
        <v>0</v>
      </c>
      <c r="AG1351" s="33">
        <f t="shared" si="2528"/>
        <v>0</v>
      </c>
      <c r="AH1351" s="33">
        <f t="shared" si="2528"/>
        <v>0</v>
      </c>
      <c r="AI1351" s="33">
        <f t="shared" si="2528"/>
        <v>0</v>
      </c>
      <c r="AJ1351" s="33">
        <f t="shared" si="2528"/>
        <v>0</v>
      </c>
      <c r="AK1351" s="33">
        <f t="shared" si="2528"/>
        <v>0</v>
      </c>
      <c r="AL1351" s="33">
        <f t="shared" si="2528"/>
        <v>0</v>
      </c>
      <c r="AM1351" s="33">
        <f t="shared" si="2528"/>
        <v>0</v>
      </c>
      <c r="AN1351" s="33">
        <f t="shared" si="2528"/>
        <v>0</v>
      </c>
      <c r="AO1351" s="33">
        <f t="shared" si="2528"/>
        <v>0</v>
      </c>
      <c r="AP1351" s="33">
        <f t="shared" si="2528"/>
        <v>0</v>
      </c>
      <c r="AQ1351" s="33">
        <f t="shared" si="2528"/>
        <v>0</v>
      </c>
      <c r="AR1351" s="33">
        <f t="shared" si="2528"/>
        <v>0</v>
      </c>
      <c r="AS1351" s="33">
        <f t="shared" si="2528"/>
        <v>0</v>
      </c>
      <c r="AT1351" s="33">
        <f t="shared" si="2528"/>
        <v>0</v>
      </c>
      <c r="AU1351" s="33">
        <f t="shared" si="2528"/>
        <v>0</v>
      </c>
      <c r="AV1351" s="33">
        <f t="shared" si="2528"/>
        <v>0</v>
      </c>
      <c r="AW1351" s="33">
        <f t="shared" si="2528"/>
        <v>0</v>
      </c>
      <c r="AX1351" s="33">
        <f t="shared" si="2528"/>
        <v>0</v>
      </c>
      <c r="AY1351" s="33">
        <f t="shared" si="2528"/>
        <v>0</v>
      </c>
      <c r="AZ1351" s="33">
        <f t="shared" si="2528"/>
        <v>0</v>
      </c>
      <c r="BA1351" s="33">
        <f t="shared" si="2528"/>
        <v>0</v>
      </c>
      <c r="BB1351" s="33">
        <f t="shared" si="2528"/>
        <v>0</v>
      </c>
      <c r="BC1351" s="33">
        <f t="shared" si="2528"/>
        <v>0</v>
      </c>
      <c r="BD1351" s="33">
        <f t="shared" si="2528"/>
        <v>0</v>
      </c>
      <c r="BE1351" s="33">
        <f t="shared" si="2528"/>
        <v>0</v>
      </c>
      <c r="BF1351" s="33">
        <f t="shared" si="2528"/>
        <v>0</v>
      </c>
      <c r="BG1351" s="33">
        <f t="shared" si="2528"/>
        <v>0</v>
      </c>
      <c r="BH1351" s="33">
        <f t="shared" si="2528"/>
        <v>0</v>
      </c>
      <c r="BI1351" s="33">
        <f t="shared" si="2528"/>
        <v>0</v>
      </c>
      <c r="BJ1351" s="33">
        <f t="shared" si="2528"/>
        <v>0</v>
      </c>
      <c r="BK1351" s="33">
        <f t="shared" si="2528"/>
        <v>0</v>
      </c>
      <c r="BL1351" s="33">
        <f t="shared" si="2528"/>
        <v>0</v>
      </c>
      <c r="BM1351" s="33">
        <f t="shared" si="2528"/>
        <v>0</v>
      </c>
      <c r="BN1351" s="33">
        <f t="shared" si="2528"/>
        <v>0</v>
      </c>
      <c r="BO1351" s="33">
        <f t="shared" si="2528"/>
        <v>0</v>
      </c>
      <c r="BP1351" s="33">
        <f t="shared" si="2528"/>
        <v>0</v>
      </c>
      <c r="BQ1351" s="33">
        <f t="shared" si="2528"/>
        <v>0</v>
      </c>
      <c r="BR1351" s="33">
        <f t="shared" si="2528"/>
        <v>0</v>
      </c>
      <c r="BS1351" s="33">
        <f t="shared" si="2528"/>
        <v>0</v>
      </c>
      <c r="BT1351" s="33">
        <f t="shared" si="2528"/>
        <v>0</v>
      </c>
      <c r="BU1351" s="33">
        <f t="shared" ref="BU1351:BY1351" si="2529">++BU738</f>
        <v>0</v>
      </c>
      <c r="BV1351" s="33">
        <f t="shared" si="2529"/>
        <v>0</v>
      </c>
      <c r="BW1351" s="33">
        <f t="shared" si="2529"/>
        <v>0</v>
      </c>
      <c r="BX1351" s="33">
        <f t="shared" si="2529"/>
        <v>0</v>
      </c>
      <c r="BY1351" s="33">
        <f t="shared" si="2529"/>
        <v>0</v>
      </c>
    </row>
    <row r="1352" spans="5:77">
      <c r="E1352" t="s">
        <v>647</v>
      </c>
      <c r="F1352" s="104" t="s">
        <v>159</v>
      </c>
      <c r="H1352" s="33">
        <f>++H745</f>
        <v>0</v>
      </c>
      <c r="I1352" s="33">
        <f t="shared" ref="I1352:BT1352" si="2530">++I745</f>
        <v>-427445.66482099507</v>
      </c>
      <c r="J1352" s="33">
        <f t="shared" si="2530"/>
        <v>-435994.57811741496</v>
      </c>
      <c r="K1352" s="33">
        <f t="shared" si="2530"/>
        <v>0</v>
      </c>
      <c r="L1352" s="33">
        <f t="shared" si="2530"/>
        <v>0</v>
      </c>
      <c r="M1352" s="33">
        <f t="shared" si="2530"/>
        <v>0</v>
      </c>
      <c r="N1352" s="33">
        <f t="shared" si="2530"/>
        <v>0</v>
      </c>
      <c r="O1352" s="33">
        <f t="shared" si="2530"/>
        <v>0</v>
      </c>
      <c r="P1352" s="33">
        <f t="shared" si="2530"/>
        <v>0</v>
      </c>
      <c r="Q1352" s="33">
        <f t="shared" si="2530"/>
        <v>0</v>
      </c>
      <c r="R1352" s="33">
        <f t="shared" si="2530"/>
        <v>0</v>
      </c>
      <c r="S1352" s="33">
        <f t="shared" si="2530"/>
        <v>0</v>
      </c>
      <c r="T1352" s="33">
        <f t="shared" si="2530"/>
        <v>0</v>
      </c>
      <c r="U1352" s="33">
        <f t="shared" si="2530"/>
        <v>0</v>
      </c>
      <c r="V1352" s="33">
        <f t="shared" si="2530"/>
        <v>0</v>
      </c>
      <c r="W1352" s="33">
        <f t="shared" si="2530"/>
        <v>0</v>
      </c>
      <c r="X1352" s="33">
        <f t="shared" si="2530"/>
        <v>0</v>
      </c>
      <c r="Y1352" s="33">
        <f t="shared" si="2530"/>
        <v>0</v>
      </c>
      <c r="Z1352" s="33">
        <f t="shared" si="2530"/>
        <v>0</v>
      </c>
      <c r="AA1352" s="33">
        <f t="shared" si="2530"/>
        <v>0</v>
      </c>
      <c r="AB1352" s="33">
        <f t="shared" si="2530"/>
        <v>0</v>
      </c>
      <c r="AC1352" s="33">
        <f t="shared" si="2530"/>
        <v>0</v>
      </c>
      <c r="AD1352" s="33">
        <f t="shared" si="2530"/>
        <v>0</v>
      </c>
      <c r="AE1352" s="33">
        <f t="shared" si="2530"/>
        <v>0</v>
      </c>
      <c r="AF1352" s="33">
        <f t="shared" si="2530"/>
        <v>0</v>
      </c>
      <c r="AG1352" s="33">
        <f t="shared" si="2530"/>
        <v>0</v>
      </c>
      <c r="AH1352" s="33">
        <f t="shared" si="2530"/>
        <v>0</v>
      </c>
      <c r="AI1352" s="33">
        <f t="shared" si="2530"/>
        <v>0</v>
      </c>
      <c r="AJ1352" s="33">
        <f t="shared" si="2530"/>
        <v>0</v>
      </c>
      <c r="AK1352" s="33">
        <f t="shared" si="2530"/>
        <v>0</v>
      </c>
      <c r="AL1352" s="33">
        <f t="shared" si="2530"/>
        <v>0</v>
      </c>
      <c r="AM1352" s="33">
        <f t="shared" si="2530"/>
        <v>0</v>
      </c>
      <c r="AN1352" s="33">
        <f t="shared" si="2530"/>
        <v>0</v>
      </c>
      <c r="AO1352" s="33">
        <f t="shared" si="2530"/>
        <v>0</v>
      </c>
      <c r="AP1352" s="33">
        <f t="shared" si="2530"/>
        <v>0</v>
      </c>
      <c r="AQ1352" s="33">
        <f t="shared" si="2530"/>
        <v>0</v>
      </c>
      <c r="AR1352" s="33">
        <f t="shared" si="2530"/>
        <v>0</v>
      </c>
      <c r="AS1352" s="33">
        <f t="shared" si="2530"/>
        <v>0</v>
      </c>
      <c r="AT1352" s="33">
        <f t="shared" si="2530"/>
        <v>0</v>
      </c>
      <c r="AU1352" s="33">
        <f t="shared" si="2530"/>
        <v>0</v>
      </c>
      <c r="AV1352" s="33">
        <f t="shared" si="2530"/>
        <v>0</v>
      </c>
      <c r="AW1352" s="33">
        <f t="shared" si="2530"/>
        <v>0</v>
      </c>
      <c r="AX1352" s="33">
        <f t="shared" si="2530"/>
        <v>0</v>
      </c>
      <c r="AY1352" s="33">
        <f t="shared" si="2530"/>
        <v>0</v>
      </c>
      <c r="AZ1352" s="33">
        <f t="shared" si="2530"/>
        <v>0</v>
      </c>
      <c r="BA1352" s="33">
        <f t="shared" si="2530"/>
        <v>0</v>
      </c>
      <c r="BB1352" s="33">
        <f t="shared" si="2530"/>
        <v>0</v>
      </c>
      <c r="BC1352" s="33">
        <f t="shared" si="2530"/>
        <v>0</v>
      </c>
      <c r="BD1352" s="33">
        <f t="shared" si="2530"/>
        <v>0</v>
      </c>
      <c r="BE1352" s="33">
        <f t="shared" si="2530"/>
        <v>0</v>
      </c>
      <c r="BF1352" s="33">
        <f t="shared" si="2530"/>
        <v>0</v>
      </c>
      <c r="BG1352" s="33">
        <f t="shared" si="2530"/>
        <v>0</v>
      </c>
      <c r="BH1352" s="33">
        <f t="shared" si="2530"/>
        <v>0</v>
      </c>
      <c r="BI1352" s="33">
        <f t="shared" si="2530"/>
        <v>0</v>
      </c>
      <c r="BJ1352" s="33">
        <f t="shared" si="2530"/>
        <v>0</v>
      </c>
      <c r="BK1352" s="33">
        <f t="shared" si="2530"/>
        <v>0</v>
      </c>
      <c r="BL1352" s="33">
        <f t="shared" si="2530"/>
        <v>0</v>
      </c>
      <c r="BM1352" s="33">
        <f t="shared" si="2530"/>
        <v>0</v>
      </c>
      <c r="BN1352" s="33">
        <f t="shared" si="2530"/>
        <v>0</v>
      </c>
      <c r="BO1352" s="33">
        <f t="shared" si="2530"/>
        <v>0</v>
      </c>
      <c r="BP1352" s="33">
        <f t="shared" si="2530"/>
        <v>0</v>
      </c>
      <c r="BQ1352" s="33">
        <f t="shared" si="2530"/>
        <v>0</v>
      </c>
      <c r="BR1352" s="33">
        <f t="shared" si="2530"/>
        <v>0</v>
      </c>
      <c r="BS1352" s="33">
        <f t="shared" si="2530"/>
        <v>0</v>
      </c>
      <c r="BT1352" s="33">
        <f t="shared" si="2530"/>
        <v>0</v>
      </c>
      <c r="BU1352" s="33">
        <f t="shared" ref="BU1352:BY1352" si="2531">++BU745</f>
        <v>0</v>
      </c>
      <c r="BV1352" s="33">
        <f t="shared" si="2531"/>
        <v>0</v>
      </c>
      <c r="BW1352" s="33">
        <f t="shared" si="2531"/>
        <v>0</v>
      </c>
      <c r="BX1352" s="33">
        <f t="shared" si="2531"/>
        <v>0</v>
      </c>
      <c r="BY1352" s="33">
        <f t="shared" si="2531"/>
        <v>0</v>
      </c>
    </row>
    <row r="1353" spans="5:77">
      <c r="E1353" t="s">
        <v>648</v>
      </c>
      <c r="F1353" s="104" t="s">
        <v>159</v>
      </c>
      <c r="H1353" s="33">
        <f>++H960</f>
        <v>0</v>
      </c>
      <c r="I1353" s="33">
        <f t="shared" ref="I1353:BT1353" si="2532">++I960</f>
        <v>-174880836</v>
      </c>
      <c r="J1353" s="33">
        <f t="shared" si="2532"/>
        <v>-178378452.72</v>
      </c>
      <c r="K1353" s="33">
        <f t="shared" si="2532"/>
        <v>0</v>
      </c>
      <c r="L1353" s="33">
        <f t="shared" si="2532"/>
        <v>0</v>
      </c>
      <c r="M1353" s="33">
        <f t="shared" si="2532"/>
        <v>0</v>
      </c>
      <c r="N1353" s="33">
        <f t="shared" si="2532"/>
        <v>0</v>
      </c>
      <c r="O1353" s="33">
        <f t="shared" si="2532"/>
        <v>0</v>
      </c>
      <c r="P1353" s="33">
        <f t="shared" si="2532"/>
        <v>0</v>
      </c>
      <c r="Q1353" s="33">
        <f t="shared" si="2532"/>
        <v>0</v>
      </c>
      <c r="R1353" s="33">
        <f t="shared" si="2532"/>
        <v>0</v>
      </c>
      <c r="S1353" s="33">
        <f t="shared" si="2532"/>
        <v>0</v>
      </c>
      <c r="T1353" s="33">
        <f t="shared" si="2532"/>
        <v>0</v>
      </c>
      <c r="U1353" s="33">
        <f t="shared" si="2532"/>
        <v>0</v>
      </c>
      <c r="V1353" s="33">
        <f t="shared" si="2532"/>
        <v>0</v>
      </c>
      <c r="W1353" s="33">
        <f t="shared" si="2532"/>
        <v>0</v>
      </c>
      <c r="X1353" s="33">
        <f t="shared" si="2532"/>
        <v>0</v>
      </c>
      <c r="Y1353" s="33">
        <f t="shared" si="2532"/>
        <v>0</v>
      </c>
      <c r="Z1353" s="33">
        <f t="shared" si="2532"/>
        <v>0</v>
      </c>
      <c r="AA1353" s="33">
        <f t="shared" si="2532"/>
        <v>0</v>
      </c>
      <c r="AB1353" s="33">
        <f t="shared" si="2532"/>
        <v>0</v>
      </c>
      <c r="AC1353" s="33">
        <f t="shared" si="2532"/>
        <v>0</v>
      </c>
      <c r="AD1353" s="33">
        <f t="shared" si="2532"/>
        <v>0</v>
      </c>
      <c r="AE1353" s="33">
        <f t="shared" si="2532"/>
        <v>0</v>
      </c>
      <c r="AF1353" s="33">
        <f t="shared" si="2532"/>
        <v>0</v>
      </c>
      <c r="AG1353" s="33">
        <f t="shared" si="2532"/>
        <v>0</v>
      </c>
      <c r="AH1353" s="33">
        <f t="shared" si="2532"/>
        <v>0</v>
      </c>
      <c r="AI1353" s="33">
        <f t="shared" si="2532"/>
        <v>0</v>
      </c>
      <c r="AJ1353" s="33">
        <f t="shared" si="2532"/>
        <v>0</v>
      </c>
      <c r="AK1353" s="33">
        <f t="shared" si="2532"/>
        <v>0</v>
      </c>
      <c r="AL1353" s="33">
        <f t="shared" si="2532"/>
        <v>0</v>
      </c>
      <c r="AM1353" s="33">
        <f t="shared" si="2532"/>
        <v>0</v>
      </c>
      <c r="AN1353" s="33">
        <f t="shared" si="2532"/>
        <v>0</v>
      </c>
      <c r="AO1353" s="33">
        <f t="shared" si="2532"/>
        <v>0</v>
      </c>
      <c r="AP1353" s="33">
        <f t="shared" si="2532"/>
        <v>0</v>
      </c>
      <c r="AQ1353" s="33">
        <f t="shared" si="2532"/>
        <v>0</v>
      </c>
      <c r="AR1353" s="33">
        <f t="shared" si="2532"/>
        <v>0</v>
      </c>
      <c r="AS1353" s="33">
        <f t="shared" si="2532"/>
        <v>0</v>
      </c>
      <c r="AT1353" s="33">
        <f t="shared" si="2532"/>
        <v>0</v>
      </c>
      <c r="AU1353" s="33">
        <f t="shared" si="2532"/>
        <v>0</v>
      </c>
      <c r="AV1353" s="33">
        <f t="shared" si="2532"/>
        <v>0</v>
      </c>
      <c r="AW1353" s="33">
        <f t="shared" si="2532"/>
        <v>0</v>
      </c>
      <c r="AX1353" s="33">
        <f t="shared" si="2532"/>
        <v>0</v>
      </c>
      <c r="AY1353" s="33">
        <f t="shared" si="2532"/>
        <v>0</v>
      </c>
      <c r="AZ1353" s="33">
        <f t="shared" si="2532"/>
        <v>0</v>
      </c>
      <c r="BA1353" s="33">
        <f t="shared" si="2532"/>
        <v>0</v>
      </c>
      <c r="BB1353" s="33">
        <f t="shared" si="2532"/>
        <v>0</v>
      </c>
      <c r="BC1353" s="33">
        <f t="shared" si="2532"/>
        <v>0</v>
      </c>
      <c r="BD1353" s="33">
        <f t="shared" si="2532"/>
        <v>0</v>
      </c>
      <c r="BE1353" s="33">
        <f t="shared" si="2532"/>
        <v>0</v>
      </c>
      <c r="BF1353" s="33">
        <f t="shared" si="2532"/>
        <v>0</v>
      </c>
      <c r="BG1353" s="33">
        <f t="shared" si="2532"/>
        <v>0</v>
      </c>
      <c r="BH1353" s="33">
        <f t="shared" si="2532"/>
        <v>0</v>
      </c>
      <c r="BI1353" s="33">
        <f t="shared" si="2532"/>
        <v>0</v>
      </c>
      <c r="BJ1353" s="33">
        <f t="shared" si="2532"/>
        <v>0</v>
      </c>
      <c r="BK1353" s="33">
        <f t="shared" si="2532"/>
        <v>0</v>
      </c>
      <c r="BL1353" s="33">
        <f t="shared" si="2532"/>
        <v>0</v>
      </c>
      <c r="BM1353" s="33">
        <f t="shared" si="2532"/>
        <v>0</v>
      </c>
      <c r="BN1353" s="33">
        <f t="shared" si="2532"/>
        <v>0</v>
      </c>
      <c r="BO1353" s="33">
        <f t="shared" si="2532"/>
        <v>0</v>
      </c>
      <c r="BP1353" s="33">
        <f t="shared" si="2532"/>
        <v>0</v>
      </c>
      <c r="BQ1353" s="33">
        <f t="shared" si="2532"/>
        <v>0</v>
      </c>
      <c r="BR1353" s="33">
        <f t="shared" si="2532"/>
        <v>0</v>
      </c>
      <c r="BS1353" s="33">
        <f t="shared" si="2532"/>
        <v>0</v>
      </c>
      <c r="BT1353" s="33">
        <f t="shared" si="2532"/>
        <v>0</v>
      </c>
      <c r="BU1353" s="33">
        <f t="shared" ref="BU1353:BY1353" si="2533">++BU960</f>
        <v>0</v>
      </c>
      <c r="BV1353" s="33">
        <f t="shared" si="2533"/>
        <v>0</v>
      </c>
      <c r="BW1353" s="33">
        <f t="shared" si="2533"/>
        <v>0</v>
      </c>
      <c r="BX1353" s="33">
        <f t="shared" si="2533"/>
        <v>0</v>
      </c>
      <c r="BY1353" s="33">
        <f t="shared" si="2533"/>
        <v>0</v>
      </c>
    </row>
    <row r="1354" spans="5:77">
      <c r="E1354" t="s">
        <v>649</v>
      </c>
      <c r="F1354" s="104" t="s">
        <v>159</v>
      </c>
      <c r="H1354" s="33">
        <f ca="1">++H617</f>
        <v>0</v>
      </c>
      <c r="I1354" s="33">
        <f t="shared" ref="I1354:BT1354" ca="1" si="2534">++I617</f>
        <v>0</v>
      </c>
      <c r="J1354" s="33">
        <f t="shared" ca="1" si="2534"/>
        <v>0</v>
      </c>
      <c r="K1354" s="33">
        <f t="shared" si="2534"/>
        <v>0</v>
      </c>
      <c r="L1354" s="33">
        <f t="shared" si="2534"/>
        <v>0</v>
      </c>
      <c r="M1354" s="33">
        <f t="shared" si="2534"/>
        <v>0</v>
      </c>
      <c r="N1354" s="33">
        <f t="shared" si="2534"/>
        <v>0</v>
      </c>
      <c r="O1354" s="33">
        <f t="shared" si="2534"/>
        <v>0</v>
      </c>
      <c r="P1354" s="33">
        <f t="shared" si="2534"/>
        <v>0</v>
      </c>
      <c r="Q1354" s="33">
        <f t="shared" si="2534"/>
        <v>0</v>
      </c>
      <c r="R1354" s="33">
        <f t="shared" si="2534"/>
        <v>0</v>
      </c>
      <c r="S1354" s="33">
        <f t="shared" si="2534"/>
        <v>0</v>
      </c>
      <c r="T1354" s="33">
        <f t="shared" si="2534"/>
        <v>0</v>
      </c>
      <c r="U1354" s="33">
        <f t="shared" si="2534"/>
        <v>0</v>
      </c>
      <c r="V1354" s="33">
        <f t="shared" si="2534"/>
        <v>0</v>
      </c>
      <c r="W1354" s="33">
        <f t="shared" si="2534"/>
        <v>0</v>
      </c>
      <c r="X1354" s="33">
        <f t="shared" si="2534"/>
        <v>0</v>
      </c>
      <c r="Y1354" s="33">
        <f t="shared" si="2534"/>
        <v>0</v>
      </c>
      <c r="Z1354" s="33">
        <f t="shared" ca="1" si="2534"/>
        <v>0</v>
      </c>
      <c r="AA1354" s="33">
        <f t="shared" ca="1" si="2534"/>
        <v>0</v>
      </c>
      <c r="AB1354" s="33">
        <f t="shared" ca="1" si="2534"/>
        <v>0</v>
      </c>
      <c r="AC1354" s="33">
        <f t="shared" ca="1" si="2534"/>
        <v>0</v>
      </c>
      <c r="AD1354" s="33">
        <f t="shared" ca="1" si="2534"/>
        <v>0</v>
      </c>
      <c r="AE1354" s="33">
        <f t="shared" ca="1" si="2534"/>
        <v>0</v>
      </c>
      <c r="AF1354" s="33">
        <f t="shared" ca="1" si="2534"/>
        <v>0</v>
      </c>
      <c r="AG1354" s="33">
        <f t="shared" ca="1" si="2534"/>
        <v>0</v>
      </c>
      <c r="AH1354" s="33">
        <f t="shared" ca="1" si="2534"/>
        <v>0</v>
      </c>
      <c r="AI1354" s="33">
        <f t="shared" ca="1" si="2534"/>
        <v>0</v>
      </c>
      <c r="AJ1354" s="33">
        <f t="shared" ca="1" si="2534"/>
        <v>0</v>
      </c>
      <c r="AK1354" s="33">
        <f t="shared" ca="1" si="2534"/>
        <v>0</v>
      </c>
      <c r="AL1354" s="33">
        <f t="shared" ca="1" si="2534"/>
        <v>0</v>
      </c>
      <c r="AM1354" s="33">
        <f t="shared" ca="1" si="2534"/>
        <v>0</v>
      </c>
      <c r="AN1354" s="33">
        <f t="shared" ca="1" si="2534"/>
        <v>0</v>
      </c>
      <c r="AO1354" s="33">
        <f t="shared" ca="1" si="2534"/>
        <v>0</v>
      </c>
      <c r="AP1354" s="33">
        <f t="shared" ca="1" si="2534"/>
        <v>0</v>
      </c>
      <c r="AQ1354" s="33">
        <f t="shared" ca="1" si="2534"/>
        <v>0</v>
      </c>
      <c r="AR1354" s="33">
        <f t="shared" ca="1" si="2534"/>
        <v>0</v>
      </c>
      <c r="AS1354" s="33">
        <f t="shared" ca="1" si="2534"/>
        <v>0</v>
      </c>
      <c r="AT1354" s="33">
        <f t="shared" ca="1" si="2534"/>
        <v>0</v>
      </c>
      <c r="AU1354" s="33">
        <f t="shared" ca="1" si="2534"/>
        <v>0</v>
      </c>
      <c r="AV1354" s="33">
        <f t="shared" ca="1" si="2534"/>
        <v>0</v>
      </c>
      <c r="AW1354" s="33">
        <f t="shared" ca="1" si="2534"/>
        <v>0</v>
      </c>
      <c r="AX1354" s="33">
        <f t="shared" ca="1" si="2534"/>
        <v>0</v>
      </c>
      <c r="AY1354" s="33">
        <f t="shared" ca="1" si="2534"/>
        <v>0</v>
      </c>
      <c r="AZ1354" s="33">
        <f t="shared" ca="1" si="2534"/>
        <v>0</v>
      </c>
      <c r="BA1354" s="33">
        <f t="shared" ca="1" si="2534"/>
        <v>0</v>
      </c>
      <c r="BB1354" s="33">
        <f t="shared" ca="1" si="2534"/>
        <v>0</v>
      </c>
      <c r="BC1354" s="33">
        <f t="shared" ca="1" si="2534"/>
        <v>0</v>
      </c>
      <c r="BD1354" s="33">
        <f t="shared" ca="1" si="2534"/>
        <v>0</v>
      </c>
      <c r="BE1354" s="33">
        <f t="shared" ca="1" si="2534"/>
        <v>0</v>
      </c>
      <c r="BF1354" s="33">
        <f t="shared" ca="1" si="2534"/>
        <v>0</v>
      </c>
      <c r="BG1354" s="33">
        <f t="shared" ca="1" si="2534"/>
        <v>0</v>
      </c>
      <c r="BH1354" s="33">
        <f t="shared" ca="1" si="2534"/>
        <v>0</v>
      </c>
      <c r="BI1354" s="33">
        <f t="shared" ca="1" si="2534"/>
        <v>0</v>
      </c>
      <c r="BJ1354" s="33">
        <f t="shared" ca="1" si="2534"/>
        <v>0</v>
      </c>
      <c r="BK1354" s="33">
        <f t="shared" ca="1" si="2534"/>
        <v>0</v>
      </c>
      <c r="BL1354" s="33">
        <f t="shared" ca="1" si="2534"/>
        <v>0</v>
      </c>
      <c r="BM1354" s="33">
        <f t="shared" ca="1" si="2534"/>
        <v>0</v>
      </c>
      <c r="BN1354" s="33">
        <f t="shared" ca="1" si="2534"/>
        <v>0</v>
      </c>
      <c r="BO1354" s="33">
        <f t="shared" ca="1" si="2534"/>
        <v>0</v>
      </c>
      <c r="BP1354" s="33">
        <f t="shared" ca="1" si="2534"/>
        <v>0</v>
      </c>
      <c r="BQ1354" s="33">
        <f t="shared" ca="1" si="2534"/>
        <v>0</v>
      </c>
      <c r="BR1354" s="33">
        <f t="shared" ca="1" si="2534"/>
        <v>0</v>
      </c>
      <c r="BS1354" s="33">
        <f t="shared" ca="1" si="2534"/>
        <v>0</v>
      </c>
      <c r="BT1354" s="33">
        <f t="shared" ca="1" si="2534"/>
        <v>0</v>
      </c>
      <c r="BU1354" s="33">
        <f t="shared" ref="BU1354:BY1354" ca="1" si="2535">++BU617</f>
        <v>0</v>
      </c>
      <c r="BV1354" s="33">
        <f t="shared" ca="1" si="2535"/>
        <v>0</v>
      </c>
      <c r="BW1354" s="33">
        <f t="shared" ca="1" si="2535"/>
        <v>0</v>
      </c>
      <c r="BX1354" s="33">
        <f t="shared" ca="1" si="2535"/>
        <v>0</v>
      </c>
      <c r="BY1354" s="33">
        <f t="shared" ca="1" si="2535"/>
        <v>0</v>
      </c>
    </row>
    <row r="1355" spans="5:77">
      <c r="E1355" t="s">
        <v>650</v>
      </c>
      <c r="F1355" s="104" t="s">
        <v>159</v>
      </c>
      <c r="H1355" s="33">
        <f>+IFERROR(+H750,0)</f>
        <v>0</v>
      </c>
      <c r="I1355" s="33">
        <f t="shared" ref="I1355:BT1355" si="2536">+IFERROR(+I750,0)</f>
        <v>0</v>
      </c>
      <c r="J1355" s="33">
        <f t="shared" si="2536"/>
        <v>0</v>
      </c>
      <c r="K1355" s="33">
        <f t="shared" si="2536"/>
        <v>-1778.8578787190531</v>
      </c>
      <c r="L1355" s="33">
        <f t="shared" si="2536"/>
        <v>-1814.4350362934342</v>
      </c>
      <c r="M1355" s="33">
        <f t="shared" si="2536"/>
        <v>-1850.7237370193029</v>
      </c>
      <c r="N1355" s="33">
        <f t="shared" si="2536"/>
        <v>-1887.7382117596885</v>
      </c>
      <c r="O1355" s="33">
        <f t="shared" si="2536"/>
        <v>-1925.4929759948825</v>
      </c>
      <c r="P1355" s="33">
        <f t="shared" si="2536"/>
        <v>-1964.0028355147801</v>
      </c>
      <c r="Q1355" s="33">
        <f t="shared" si="2536"/>
        <v>-2003.2828922250758</v>
      </c>
      <c r="R1355" s="33">
        <f t="shared" si="2536"/>
        <v>-2043.348550069577</v>
      </c>
      <c r="S1355" s="33">
        <f t="shared" si="2536"/>
        <v>-2084.2155210709689</v>
      </c>
      <c r="T1355" s="33">
        <f t="shared" si="2536"/>
        <v>-2125.8998314923883</v>
      </c>
      <c r="U1355" s="33">
        <f t="shared" si="2536"/>
        <v>-2168.4178281222362</v>
      </c>
      <c r="V1355" s="33">
        <f t="shared" si="2536"/>
        <v>-2211.7861846846804</v>
      </c>
      <c r="W1355" s="33">
        <f t="shared" si="2536"/>
        <v>-2256.0219083783741</v>
      </c>
      <c r="X1355" s="33">
        <f t="shared" si="2536"/>
        <v>-2301.142346545942</v>
      </c>
      <c r="Y1355" s="33">
        <f t="shared" si="2536"/>
        <v>-2347.1651934768606</v>
      </c>
      <c r="Z1355" s="33">
        <f t="shared" si="2536"/>
        <v>0</v>
      </c>
      <c r="AA1355" s="33">
        <f t="shared" si="2536"/>
        <v>0</v>
      </c>
      <c r="AB1355" s="33">
        <f t="shared" si="2536"/>
        <v>0</v>
      </c>
      <c r="AC1355" s="33">
        <f t="shared" si="2536"/>
        <v>0</v>
      </c>
      <c r="AD1355" s="33">
        <f t="shared" si="2536"/>
        <v>0</v>
      </c>
      <c r="AE1355" s="33">
        <f t="shared" si="2536"/>
        <v>0</v>
      </c>
      <c r="AF1355" s="33">
        <f t="shared" si="2536"/>
        <v>0</v>
      </c>
      <c r="AG1355" s="33">
        <f t="shared" si="2536"/>
        <v>0</v>
      </c>
      <c r="AH1355" s="33">
        <f t="shared" si="2536"/>
        <v>0</v>
      </c>
      <c r="AI1355" s="33">
        <f t="shared" si="2536"/>
        <v>0</v>
      </c>
      <c r="AJ1355" s="33">
        <f t="shared" si="2536"/>
        <v>0</v>
      </c>
      <c r="AK1355" s="33">
        <f t="shared" si="2536"/>
        <v>0</v>
      </c>
      <c r="AL1355" s="33">
        <f t="shared" si="2536"/>
        <v>0</v>
      </c>
      <c r="AM1355" s="33">
        <f t="shared" si="2536"/>
        <v>0</v>
      </c>
      <c r="AN1355" s="33">
        <f t="shared" si="2536"/>
        <v>0</v>
      </c>
      <c r="AO1355" s="33">
        <f t="shared" si="2536"/>
        <v>0</v>
      </c>
      <c r="AP1355" s="33">
        <f t="shared" si="2536"/>
        <v>0</v>
      </c>
      <c r="AQ1355" s="33">
        <f t="shared" si="2536"/>
        <v>0</v>
      </c>
      <c r="AR1355" s="33">
        <f t="shared" si="2536"/>
        <v>0</v>
      </c>
      <c r="AS1355" s="33">
        <f t="shared" si="2536"/>
        <v>0</v>
      </c>
      <c r="AT1355" s="33">
        <f t="shared" si="2536"/>
        <v>0</v>
      </c>
      <c r="AU1355" s="33">
        <f t="shared" si="2536"/>
        <v>0</v>
      </c>
      <c r="AV1355" s="33">
        <f t="shared" si="2536"/>
        <v>0</v>
      </c>
      <c r="AW1355" s="33">
        <f t="shared" si="2536"/>
        <v>0</v>
      </c>
      <c r="AX1355" s="33">
        <f t="shared" si="2536"/>
        <v>0</v>
      </c>
      <c r="AY1355" s="33">
        <f t="shared" si="2536"/>
        <v>0</v>
      </c>
      <c r="AZ1355" s="33">
        <f t="shared" si="2536"/>
        <v>0</v>
      </c>
      <c r="BA1355" s="33">
        <f t="shared" si="2536"/>
        <v>0</v>
      </c>
      <c r="BB1355" s="33">
        <f t="shared" si="2536"/>
        <v>0</v>
      </c>
      <c r="BC1355" s="33">
        <f t="shared" si="2536"/>
        <v>0</v>
      </c>
      <c r="BD1355" s="33">
        <f t="shared" si="2536"/>
        <v>0</v>
      </c>
      <c r="BE1355" s="33">
        <f t="shared" si="2536"/>
        <v>0</v>
      </c>
      <c r="BF1355" s="33">
        <f t="shared" si="2536"/>
        <v>0</v>
      </c>
      <c r="BG1355" s="33">
        <f t="shared" si="2536"/>
        <v>0</v>
      </c>
      <c r="BH1355" s="33">
        <f t="shared" si="2536"/>
        <v>0</v>
      </c>
      <c r="BI1355" s="33">
        <f t="shared" si="2536"/>
        <v>0</v>
      </c>
      <c r="BJ1355" s="33">
        <f t="shared" si="2536"/>
        <v>0</v>
      </c>
      <c r="BK1355" s="33">
        <f t="shared" si="2536"/>
        <v>0</v>
      </c>
      <c r="BL1355" s="33">
        <f t="shared" si="2536"/>
        <v>0</v>
      </c>
      <c r="BM1355" s="33">
        <f t="shared" si="2536"/>
        <v>0</v>
      </c>
      <c r="BN1355" s="33">
        <f t="shared" si="2536"/>
        <v>0</v>
      </c>
      <c r="BO1355" s="33">
        <f t="shared" si="2536"/>
        <v>0</v>
      </c>
      <c r="BP1355" s="33">
        <f t="shared" si="2536"/>
        <v>0</v>
      </c>
      <c r="BQ1355" s="33">
        <f t="shared" si="2536"/>
        <v>0</v>
      </c>
      <c r="BR1355" s="33">
        <f t="shared" si="2536"/>
        <v>0</v>
      </c>
      <c r="BS1355" s="33">
        <f t="shared" si="2536"/>
        <v>0</v>
      </c>
      <c r="BT1355" s="33">
        <f t="shared" si="2536"/>
        <v>0</v>
      </c>
      <c r="BU1355" s="33">
        <f t="shared" ref="BU1355:BY1355" si="2537">+IFERROR(+BU750,0)</f>
        <v>0</v>
      </c>
      <c r="BV1355" s="33">
        <f t="shared" si="2537"/>
        <v>0</v>
      </c>
      <c r="BW1355" s="33">
        <f t="shared" si="2537"/>
        <v>0</v>
      </c>
      <c r="BX1355" s="33">
        <f t="shared" si="2537"/>
        <v>0</v>
      </c>
      <c r="BY1355" s="33">
        <f t="shared" si="2537"/>
        <v>0</v>
      </c>
    </row>
    <row r="1356" spans="5:77">
      <c r="E1356" t="s">
        <v>651</v>
      </c>
      <c r="F1356" s="104" t="s">
        <v>159</v>
      </c>
      <c r="H1356" s="33">
        <f>+IFERROR(+H751,0)</f>
        <v>0</v>
      </c>
      <c r="I1356" s="33">
        <f t="shared" ref="I1356:BT1356" si="2538">+IFERROR(+I751,0)</f>
        <v>0</v>
      </c>
      <c r="J1356" s="33">
        <f t="shared" si="2538"/>
        <v>0</v>
      </c>
      <c r="K1356" s="33">
        <f t="shared" si="2538"/>
        <v>-5929.5262623968447</v>
      </c>
      <c r="L1356" s="33">
        <f t="shared" si="2538"/>
        <v>-6048.1167876447817</v>
      </c>
      <c r="M1356" s="33">
        <f t="shared" si="2538"/>
        <v>-6169.0791233976779</v>
      </c>
      <c r="N1356" s="33">
        <f t="shared" si="2538"/>
        <v>-6292.4607058656293</v>
      </c>
      <c r="O1356" s="33">
        <f t="shared" si="2538"/>
        <v>-6418.309919982943</v>
      </c>
      <c r="P1356" s="33">
        <f t="shared" si="2538"/>
        <v>-6546.676118382602</v>
      </c>
      <c r="Q1356" s="33">
        <f t="shared" si="2538"/>
        <v>-6677.6096407502537</v>
      </c>
      <c r="R1356" s="33">
        <f t="shared" si="2538"/>
        <v>-6811.1618335652574</v>
      </c>
      <c r="S1356" s="33">
        <f t="shared" si="2538"/>
        <v>-6947.3850702365644</v>
      </c>
      <c r="T1356" s="33">
        <f t="shared" si="2538"/>
        <v>-7086.332771641295</v>
      </c>
      <c r="U1356" s="33">
        <f t="shared" si="2538"/>
        <v>-7228.0594270741212</v>
      </c>
      <c r="V1356" s="33">
        <f t="shared" si="2538"/>
        <v>-7372.6206156156022</v>
      </c>
      <c r="W1356" s="33">
        <f t="shared" si="2538"/>
        <v>-7520.0730279279151</v>
      </c>
      <c r="X1356" s="33">
        <f t="shared" si="2538"/>
        <v>-7670.474488486474</v>
      </c>
      <c r="Y1356" s="33">
        <f t="shared" si="2538"/>
        <v>-7823.8839782562027</v>
      </c>
      <c r="Z1356" s="33">
        <f t="shared" si="2538"/>
        <v>0</v>
      </c>
      <c r="AA1356" s="33">
        <f t="shared" si="2538"/>
        <v>0</v>
      </c>
      <c r="AB1356" s="33">
        <f t="shared" si="2538"/>
        <v>0</v>
      </c>
      <c r="AC1356" s="33">
        <f t="shared" si="2538"/>
        <v>0</v>
      </c>
      <c r="AD1356" s="33">
        <f t="shared" si="2538"/>
        <v>0</v>
      </c>
      <c r="AE1356" s="33">
        <f t="shared" si="2538"/>
        <v>0</v>
      </c>
      <c r="AF1356" s="33">
        <f t="shared" si="2538"/>
        <v>0</v>
      </c>
      <c r="AG1356" s="33">
        <f t="shared" si="2538"/>
        <v>0</v>
      </c>
      <c r="AH1356" s="33">
        <f t="shared" si="2538"/>
        <v>0</v>
      </c>
      <c r="AI1356" s="33">
        <f t="shared" si="2538"/>
        <v>0</v>
      </c>
      <c r="AJ1356" s="33">
        <f t="shared" si="2538"/>
        <v>0</v>
      </c>
      <c r="AK1356" s="33">
        <f t="shared" si="2538"/>
        <v>0</v>
      </c>
      <c r="AL1356" s="33">
        <f t="shared" si="2538"/>
        <v>0</v>
      </c>
      <c r="AM1356" s="33">
        <f t="shared" si="2538"/>
        <v>0</v>
      </c>
      <c r="AN1356" s="33">
        <f t="shared" si="2538"/>
        <v>0</v>
      </c>
      <c r="AO1356" s="33">
        <f t="shared" si="2538"/>
        <v>0</v>
      </c>
      <c r="AP1356" s="33">
        <f t="shared" si="2538"/>
        <v>0</v>
      </c>
      <c r="AQ1356" s="33">
        <f t="shared" si="2538"/>
        <v>0</v>
      </c>
      <c r="AR1356" s="33">
        <f t="shared" si="2538"/>
        <v>0</v>
      </c>
      <c r="AS1356" s="33">
        <f t="shared" si="2538"/>
        <v>0</v>
      </c>
      <c r="AT1356" s="33">
        <f t="shared" si="2538"/>
        <v>0</v>
      </c>
      <c r="AU1356" s="33">
        <f t="shared" si="2538"/>
        <v>0</v>
      </c>
      <c r="AV1356" s="33">
        <f t="shared" si="2538"/>
        <v>0</v>
      </c>
      <c r="AW1356" s="33">
        <f t="shared" si="2538"/>
        <v>0</v>
      </c>
      <c r="AX1356" s="33">
        <f t="shared" si="2538"/>
        <v>0</v>
      </c>
      <c r="AY1356" s="33">
        <f t="shared" si="2538"/>
        <v>0</v>
      </c>
      <c r="AZ1356" s="33">
        <f t="shared" si="2538"/>
        <v>0</v>
      </c>
      <c r="BA1356" s="33">
        <f t="shared" si="2538"/>
        <v>0</v>
      </c>
      <c r="BB1356" s="33">
        <f t="shared" si="2538"/>
        <v>0</v>
      </c>
      <c r="BC1356" s="33">
        <f t="shared" si="2538"/>
        <v>0</v>
      </c>
      <c r="BD1356" s="33">
        <f t="shared" si="2538"/>
        <v>0</v>
      </c>
      <c r="BE1356" s="33">
        <f t="shared" si="2538"/>
        <v>0</v>
      </c>
      <c r="BF1356" s="33">
        <f t="shared" si="2538"/>
        <v>0</v>
      </c>
      <c r="BG1356" s="33">
        <f t="shared" si="2538"/>
        <v>0</v>
      </c>
      <c r="BH1356" s="33">
        <f t="shared" si="2538"/>
        <v>0</v>
      </c>
      <c r="BI1356" s="33">
        <f t="shared" si="2538"/>
        <v>0</v>
      </c>
      <c r="BJ1356" s="33">
        <f t="shared" si="2538"/>
        <v>0</v>
      </c>
      <c r="BK1356" s="33">
        <f t="shared" si="2538"/>
        <v>0</v>
      </c>
      <c r="BL1356" s="33">
        <f t="shared" si="2538"/>
        <v>0</v>
      </c>
      <c r="BM1356" s="33">
        <f t="shared" si="2538"/>
        <v>0</v>
      </c>
      <c r="BN1356" s="33">
        <f t="shared" si="2538"/>
        <v>0</v>
      </c>
      <c r="BO1356" s="33">
        <f t="shared" si="2538"/>
        <v>0</v>
      </c>
      <c r="BP1356" s="33">
        <f t="shared" si="2538"/>
        <v>0</v>
      </c>
      <c r="BQ1356" s="33">
        <f t="shared" si="2538"/>
        <v>0</v>
      </c>
      <c r="BR1356" s="33">
        <f t="shared" si="2538"/>
        <v>0</v>
      </c>
      <c r="BS1356" s="33">
        <f t="shared" si="2538"/>
        <v>0</v>
      </c>
      <c r="BT1356" s="33">
        <f t="shared" si="2538"/>
        <v>0</v>
      </c>
      <c r="BU1356" s="33">
        <f t="shared" ref="BU1356:BY1356" si="2539">+IFERROR(+BU751,0)</f>
        <v>0</v>
      </c>
      <c r="BV1356" s="33">
        <f t="shared" si="2539"/>
        <v>0</v>
      </c>
      <c r="BW1356" s="33">
        <f t="shared" si="2539"/>
        <v>0</v>
      </c>
      <c r="BX1356" s="33">
        <f t="shared" si="2539"/>
        <v>0</v>
      </c>
      <c r="BY1356" s="33">
        <f t="shared" si="2539"/>
        <v>0</v>
      </c>
    </row>
    <row r="1357" spans="5:77">
      <c r="E1357" s="25" t="s">
        <v>652</v>
      </c>
      <c r="F1357" s="556" t="s">
        <v>159</v>
      </c>
      <c r="G1357" s="25"/>
      <c r="H1357" s="34">
        <f>++H967</f>
        <v>0</v>
      </c>
      <c r="I1357" s="34">
        <f t="shared" ref="I1357:BT1357" si="2540">++I967</f>
        <v>0</v>
      </c>
      <c r="J1357" s="34">
        <f t="shared" si="2540"/>
        <v>0</v>
      </c>
      <c r="K1357" s="34">
        <f t="shared" si="2540"/>
        <v>-21558195.168710399</v>
      </c>
      <c r="L1357" s="34">
        <f t="shared" si="2540"/>
        <v>-21989359.072084609</v>
      </c>
      <c r="M1357" s="34">
        <f t="shared" si="2540"/>
        <v>-22429146.2535263</v>
      </c>
      <c r="N1357" s="34">
        <f t="shared" si="2540"/>
        <v>-22877729.178596821</v>
      </c>
      <c r="O1357" s="34">
        <f t="shared" si="2540"/>
        <v>-23335283.762168761</v>
      </c>
      <c r="P1357" s="34">
        <f t="shared" si="2540"/>
        <v>-23801989.437412135</v>
      </c>
      <c r="Q1357" s="34">
        <f t="shared" si="2540"/>
        <v>-24278029.226160381</v>
      </c>
      <c r="R1357" s="34">
        <f t="shared" si="2540"/>
        <v>-24763589.810683582</v>
      </c>
      <c r="S1357" s="34">
        <f t="shared" si="2540"/>
        <v>-25258861.606897257</v>
      </c>
      <c r="T1357" s="34">
        <f t="shared" si="2540"/>
        <v>-25764038.839035202</v>
      </c>
      <c r="U1357" s="34">
        <f t="shared" si="2540"/>
        <v>-26279319.615815908</v>
      </c>
      <c r="V1357" s="34">
        <f t="shared" si="2540"/>
        <v>-26804906.008132219</v>
      </c>
      <c r="W1357" s="34">
        <f t="shared" si="2540"/>
        <v>-27341004.12829487</v>
      </c>
      <c r="X1357" s="34">
        <f t="shared" si="2540"/>
        <v>-27887824.21086077</v>
      </c>
      <c r="Y1357" s="34">
        <f t="shared" si="2540"/>
        <v>-28445580.695077982</v>
      </c>
      <c r="Z1357" s="34">
        <f t="shared" si="2540"/>
        <v>0</v>
      </c>
      <c r="AA1357" s="34">
        <f t="shared" si="2540"/>
        <v>0</v>
      </c>
      <c r="AB1357" s="34">
        <f t="shared" si="2540"/>
        <v>0</v>
      </c>
      <c r="AC1357" s="34">
        <f t="shared" si="2540"/>
        <v>0</v>
      </c>
      <c r="AD1357" s="34">
        <f t="shared" si="2540"/>
        <v>0</v>
      </c>
      <c r="AE1357" s="34">
        <f t="shared" si="2540"/>
        <v>0</v>
      </c>
      <c r="AF1357" s="34">
        <f t="shared" si="2540"/>
        <v>0</v>
      </c>
      <c r="AG1357" s="34">
        <f t="shared" si="2540"/>
        <v>0</v>
      </c>
      <c r="AH1357" s="34">
        <f t="shared" si="2540"/>
        <v>0</v>
      </c>
      <c r="AI1357" s="34">
        <f t="shared" si="2540"/>
        <v>0</v>
      </c>
      <c r="AJ1357" s="34">
        <f t="shared" si="2540"/>
        <v>0</v>
      </c>
      <c r="AK1357" s="34">
        <f t="shared" si="2540"/>
        <v>0</v>
      </c>
      <c r="AL1357" s="34">
        <f t="shared" si="2540"/>
        <v>0</v>
      </c>
      <c r="AM1357" s="34">
        <f t="shared" si="2540"/>
        <v>0</v>
      </c>
      <c r="AN1357" s="34">
        <f t="shared" si="2540"/>
        <v>0</v>
      </c>
      <c r="AO1357" s="34">
        <f t="shared" si="2540"/>
        <v>0</v>
      </c>
      <c r="AP1357" s="34">
        <f t="shared" si="2540"/>
        <v>0</v>
      </c>
      <c r="AQ1357" s="34">
        <f t="shared" si="2540"/>
        <v>0</v>
      </c>
      <c r="AR1357" s="34">
        <f t="shared" si="2540"/>
        <v>0</v>
      </c>
      <c r="AS1357" s="34">
        <f t="shared" si="2540"/>
        <v>0</v>
      </c>
      <c r="AT1357" s="34">
        <f t="shared" si="2540"/>
        <v>0</v>
      </c>
      <c r="AU1357" s="34">
        <f t="shared" si="2540"/>
        <v>0</v>
      </c>
      <c r="AV1357" s="34">
        <f t="shared" si="2540"/>
        <v>0</v>
      </c>
      <c r="AW1357" s="34">
        <f t="shared" si="2540"/>
        <v>0</v>
      </c>
      <c r="AX1357" s="34">
        <f t="shared" si="2540"/>
        <v>0</v>
      </c>
      <c r="AY1357" s="34">
        <f t="shared" si="2540"/>
        <v>0</v>
      </c>
      <c r="AZ1357" s="34">
        <f t="shared" si="2540"/>
        <v>0</v>
      </c>
      <c r="BA1357" s="34">
        <f t="shared" si="2540"/>
        <v>0</v>
      </c>
      <c r="BB1357" s="34">
        <f t="shared" si="2540"/>
        <v>0</v>
      </c>
      <c r="BC1357" s="34">
        <f t="shared" si="2540"/>
        <v>0</v>
      </c>
      <c r="BD1357" s="34">
        <f t="shared" si="2540"/>
        <v>0</v>
      </c>
      <c r="BE1357" s="34">
        <f t="shared" si="2540"/>
        <v>0</v>
      </c>
      <c r="BF1357" s="34">
        <f t="shared" si="2540"/>
        <v>0</v>
      </c>
      <c r="BG1357" s="34">
        <f t="shared" si="2540"/>
        <v>0</v>
      </c>
      <c r="BH1357" s="34">
        <f t="shared" si="2540"/>
        <v>0</v>
      </c>
      <c r="BI1357" s="34">
        <f t="shared" si="2540"/>
        <v>0</v>
      </c>
      <c r="BJ1357" s="34">
        <f t="shared" si="2540"/>
        <v>0</v>
      </c>
      <c r="BK1357" s="34">
        <f t="shared" si="2540"/>
        <v>0</v>
      </c>
      <c r="BL1357" s="34">
        <f t="shared" si="2540"/>
        <v>0</v>
      </c>
      <c r="BM1357" s="34">
        <f t="shared" si="2540"/>
        <v>0</v>
      </c>
      <c r="BN1357" s="34">
        <f t="shared" si="2540"/>
        <v>0</v>
      </c>
      <c r="BO1357" s="34">
        <f t="shared" si="2540"/>
        <v>0</v>
      </c>
      <c r="BP1357" s="34">
        <f t="shared" si="2540"/>
        <v>0</v>
      </c>
      <c r="BQ1357" s="34">
        <f t="shared" si="2540"/>
        <v>0</v>
      </c>
      <c r="BR1357" s="34">
        <f t="shared" si="2540"/>
        <v>0</v>
      </c>
      <c r="BS1357" s="34">
        <f t="shared" si="2540"/>
        <v>0</v>
      </c>
      <c r="BT1357" s="34">
        <f t="shared" si="2540"/>
        <v>0</v>
      </c>
      <c r="BU1357" s="34">
        <f t="shared" ref="BU1357:BY1357" si="2541">++BU967</f>
        <v>0</v>
      </c>
      <c r="BV1357" s="34">
        <f t="shared" si="2541"/>
        <v>0</v>
      </c>
      <c r="BW1357" s="34">
        <f t="shared" si="2541"/>
        <v>0</v>
      </c>
      <c r="BX1357" s="34">
        <f t="shared" si="2541"/>
        <v>0</v>
      </c>
      <c r="BY1357" s="34">
        <f t="shared" si="2541"/>
        <v>0</v>
      </c>
    </row>
    <row r="1358" spans="5:77">
      <c r="E1358" t="s">
        <v>74</v>
      </c>
      <c r="F1358" s="104" t="s">
        <v>159</v>
      </c>
      <c r="H1358" s="33">
        <f t="shared" ref="H1358:AM1358" ca="1" si="2542">-SUM(H1350:H1357)*SUM(H66:H68)</f>
        <v>0</v>
      </c>
      <c r="I1358" s="33">
        <f t="shared" ca="1" si="2542"/>
        <v>175735727.329642</v>
      </c>
      <c r="J1358" s="33">
        <f t="shared" ca="1" si="2542"/>
        <v>179250441.87623483</v>
      </c>
      <c r="K1358" s="33">
        <f t="shared" si="2542"/>
        <v>21565903.552851517</v>
      </c>
      <c r="L1358" s="33">
        <f t="shared" si="2542"/>
        <v>21997221.623908546</v>
      </c>
      <c r="M1358" s="33">
        <f t="shared" si="2542"/>
        <v>22437166.056386717</v>
      </c>
      <c r="N1358" s="33">
        <f t="shared" si="2542"/>
        <v>22885909.377514444</v>
      </c>
      <c r="O1358" s="33">
        <f t="shared" si="2542"/>
        <v>23343627.565064739</v>
      </c>
      <c r="P1358" s="33">
        <f t="shared" si="2542"/>
        <v>23810500.116366033</v>
      </c>
      <c r="Q1358" s="33">
        <f t="shared" si="2542"/>
        <v>24286710.118693355</v>
      </c>
      <c r="R1358" s="33">
        <f t="shared" si="2542"/>
        <v>24772444.321067218</v>
      </c>
      <c r="S1358" s="33">
        <f t="shared" si="2542"/>
        <v>25267893.207488567</v>
      </c>
      <c r="T1358" s="33">
        <f t="shared" si="2542"/>
        <v>25773251.071638335</v>
      </c>
      <c r="U1358" s="33">
        <f t="shared" si="2542"/>
        <v>26288716.093071103</v>
      </c>
      <c r="V1358" s="33">
        <f t="shared" si="2542"/>
        <v>26814490.414932519</v>
      </c>
      <c r="W1358" s="33">
        <f t="shared" si="2542"/>
        <v>27350780.223231178</v>
      </c>
      <c r="X1358" s="33">
        <f t="shared" si="2542"/>
        <v>27897795.827695802</v>
      </c>
      <c r="Y1358" s="33">
        <f t="shared" si="2542"/>
        <v>28455751.744249716</v>
      </c>
      <c r="Z1358" s="33">
        <f t="shared" ca="1" si="2542"/>
        <v>0</v>
      </c>
      <c r="AA1358" s="33">
        <f t="shared" ca="1" si="2542"/>
        <v>0</v>
      </c>
      <c r="AB1358" s="33">
        <f t="shared" ca="1" si="2542"/>
        <v>0</v>
      </c>
      <c r="AC1358" s="33">
        <f t="shared" ca="1" si="2542"/>
        <v>0</v>
      </c>
      <c r="AD1358" s="33">
        <f t="shared" ca="1" si="2542"/>
        <v>0</v>
      </c>
      <c r="AE1358" s="33">
        <f t="shared" ca="1" si="2542"/>
        <v>0</v>
      </c>
      <c r="AF1358" s="33">
        <f t="shared" ca="1" si="2542"/>
        <v>0</v>
      </c>
      <c r="AG1358" s="33">
        <f t="shared" ca="1" si="2542"/>
        <v>0</v>
      </c>
      <c r="AH1358" s="33">
        <f t="shared" ca="1" si="2542"/>
        <v>0</v>
      </c>
      <c r="AI1358" s="33">
        <f t="shared" ca="1" si="2542"/>
        <v>0</v>
      </c>
      <c r="AJ1358" s="33">
        <f t="shared" ca="1" si="2542"/>
        <v>0</v>
      </c>
      <c r="AK1358" s="33">
        <f t="shared" ca="1" si="2542"/>
        <v>0</v>
      </c>
      <c r="AL1358" s="33">
        <f t="shared" ca="1" si="2542"/>
        <v>0</v>
      </c>
      <c r="AM1358" s="33">
        <f t="shared" ca="1" si="2542"/>
        <v>0</v>
      </c>
      <c r="AN1358" s="33">
        <f t="shared" ref="AN1358:BS1358" ca="1" si="2543">-SUM(AN1350:AN1357)*SUM(AN66:AN68)</f>
        <v>0</v>
      </c>
      <c r="AO1358" s="33">
        <f t="shared" ca="1" si="2543"/>
        <v>0</v>
      </c>
      <c r="AP1358" s="33">
        <f t="shared" ca="1" si="2543"/>
        <v>0</v>
      </c>
      <c r="AQ1358" s="33">
        <f t="shared" ca="1" si="2543"/>
        <v>0</v>
      </c>
      <c r="AR1358" s="33">
        <f t="shared" ca="1" si="2543"/>
        <v>0</v>
      </c>
      <c r="AS1358" s="33">
        <f t="shared" ca="1" si="2543"/>
        <v>0</v>
      </c>
      <c r="AT1358" s="33">
        <f t="shared" ca="1" si="2543"/>
        <v>0</v>
      </c>
      <c r="AU1358" s="33">
        <f t="shared" ca="1" si="2543"/>
        <v>0</v>
      </c>
      <c r="AV1358" s="33">
        <f t="shared" ca="1" si="2543"/>
        <v>0</v>
      </c>
      <c r="AW1358" s="33">
        <f t="shared" ca="1" si="2543"/>
        <v>0</v>
      </c>
      <c r="AX1358" s="33">
        <f t="shared" ca="1" si="2543"/>
        <v>0</v>
      </c>
      <c r="AY1358" s="33">
        <f t="shared" ca="1" si="2543"/>
        <v>0</v>
      </c>
      <c r="AZ1358" s="33">
        <f t="shared" ca="1" si="2543"/>
        <v>0</v>
      </c>
      <c r="BA1358" s="33">
        <f t="shared" ca="1" si="2543"/>
        <v>0</v>
      </c>
      <c r="BB1358" s="33">
        <f t="shared" ca="1" si="2543"/>
        <v>0</v>
      </c>
      <c r="BC1358" s="33">
        <f t="shared" ca="1" si="2543"/>
        <v>0</v>
      </c>
      <c r="BD1358" s="33">
        <f t="shared" ca="1" si="2543"/>
        <v>0</v>
      </c>
      <c r="BE1358" s="33">
        <f t="shared" ca="1" si="2543"/>
        <v>0</v>
      </c>
      <c r="BF1358" s="33">
        <f t="shared" ca="1" si="2543"/>
        <v>0</v>
      </c>
      <c r="BG1358" s="33">
        <f t="shared" ca="1" si="2543"/>
        <v>0</v>
      </c>
      <c r="BH1358" s="33">
        <f t="shared" ca="1" si="2543"/>
        <v>0</v>
      </c>
      <c r="BI1358" s="33">
        <f t="shared" ca="1" si="2543"/>
        <v>0</v>
      </c>
      <c r="BJ1358" s="33">
        <f t="shared" ca="1" si="2543"/>
        <v>0</v>
      </c>
      <c r="BK1358" s="33">
        <f t="shared" ca="1" si="2543"/>
        <v>0</v>
      </c>
      <c r="BL1358" s="33">
        <f t="shared" ca="1" si="2543"/>
        <v>0</v>
      </c>
      <c r="BM1358" s="33">
        <f t="shared" ca="1" si="2543"/>
        <v>0</v>
      </c>
      <c r="BN1358" s="33">
        <f t="shared" ca="1" si="2543"/>
        <v>0</v>
      </c>
      <c r="BO1358" s="33">
        <f t="shared" ca="1" si="2543"/>
        <v>0</v>
      </c>
      <c r="BP1358" s="33">
        <f t="shared" ca="1" si="2543"/>
        <v>0</v>
      </c>
      <c r="BQ1358" s="33">
        <f t="shared" ca="1" si="2543"/>
        <v>0</v>
      </c>
      <c r="BR1358" s="33">
        <f t="shared" ca="1" si="2543"/>
        <v>0</v>
      </c>
      <c r="BS1358" s="33">
        <f t="shared" ca="1" si="2543"/>
        <v>0</v>
      </c>
      <c r="BT1358" s="33">
        <f t="shared" ref="BT1358:BY1358" ca="1" si="2544">-SUM(BT1350:BT1357)*SUM(BT66:BT68)</f>
        <v>0</v>
      </c>
      <c r="BU1358" s="33">
        <f t="shared" ca="1" si="2544"/>
        <v>0</v>
      </c>
      <c r="BV1358" s="33">
        <f t="shared" ca="1" si="2544"/>
        <v>0</v>
      </c>
      <c r="BW1358" s="33">
        <f t="shared" ca="1" si="2544"/>
        <v>0</v>
      </c>
      <c r="BX1358" s="33">
        <f t="shared" ca="1" si="2544"/>
        <v>0</v>
      </c>
      <c r="BY1358" s="33">
        <f t="shared" ca="1" si="2544"/>
        <v>0</v>
      </c>
    </row>
    <row r="1361" spans="5:77" ht="15">
      <c r="E1361" s="22" t="s">
        <v>653</v>
      </c>
    </row>
    <row r="1362" spans="5:77">
      <c r="E1362" t="s">
        <v>654</v>
      </c>
      <c r="F1362" s="104" t="s">
        <v>159</v>
      </c>
      <c r="H1362" s="33" cm="1">
        <f t="array" ref="H1362">-H1074+_xlfn.IFS(Assumptions!$H$372="LSFO",H1082,Assumptions!$H$372="LNG",H1097,Assumptions!$H$372="Bio-bend",H1090)</f>
        <v>0</v>
      </c>
      <c r="I1362" s="33" cm="1">
        <f t="array" aca="1" ref="I1362" ca="1">-I1074+_xlfn.IFS(Assumptions!$H$372="LSFO",I1082,Assumptions!$H$372="LNG",I1097,Assumptions!$H$372="Bio-bend",I1090)</f>
        <v>0</v>
      </c>
      <c r="J1362" s="33" cm="1">
        <f t="array" aca="1" ref="J1362" ca="1">-J1074+_xlfn.IFS(Assumptions!$H$372="LSFO",J1082,Assumptions!$H$372="LNG",J1097,Assumptions!$H$372="Bio-bend",J1090)</f>
        <v>0</v>
      </c>
      <c r="K1362" s="33" cm="1">
        <f t="array" aca="1" ref="K1362" ca="1">-K1074+_xlfn.IFS(Assumptions!$H$372="LSFO",K1082,Assumptions!$H$372="LNG",K1097,Assumptions!$H$372="Bio-bend",K1090)</f>
        <v>-5400086.6756765619</v>
      </c>
      <c r="L1362" s="33" cm="1">
        <f t="array" aca="1" ref="L1362" ca="1">-L1074+_xlfn.IFS(Assumptions!$H$372="LSFO",L1082,Assumptions!$H$372="LNG",L1097,Assumptions!$H$372="Bio-bend",L1090)</f>
        <v>-5400086.6756765619</v>
      </c>
      <c r="M1362" s="33" cm="1">
        <f t="array" aca="1" ref="M1362" ca="1">-M1074+_xlfn.IFS(Assumptions!$H$372="LSFO",M1082,Assumptions!$H$372="LNG",M1097,Assumptions!$H$372="Bio-bend",M1090)</f>
        <v>-5400086.6756765619</v>
      </c>
      <c r="N1362" s="33" cm="1">
        <f t="array" aca="1" ref="N1362" ca="1">-N1074+_xlfn.IFS(Assumptions!$H$372="LSFO",N1082,Assumptions!$H$372="LNG",N1097,Assumptions!$H$372="Bio-bend",N1090)</f>
        <v>-5400086.6756765619</v>
      </c>
      <c r="O1362" s="33" cm="1">
        <f t="array" aca="1" ref="O1362" ca="1">-O1074+_xlfn.IFS(Assumptions!$H$372="LSFO",O1082,Assumptions!$H$372="LNG",O1097,Assumptions!$H$372="Bio-bend",O1090)</f>
        <v>-5400086.675676561</v>
      </c>
      <c r="P1362" s="33" cm="1">
        <f t="array" aca="1" ref="P1362" ca="1">-P1074+_xlfn.IFS(Assumptions!$H$372="LSFO",P1082,Assumptions!$H$372="LNG",P1097,Assumptions!$H$372="Bio-bend",P1090)</f>
        <v>-5400086.6756765619</v>
      </c>
      <c r="Q1362" s="33" cm="1">
        <f t="array" aca="1" ref="Q1362" ca="1">-Q1074+_xlfn.IFS(Assumptions!$H$372="LSFO",Q1082,Assumptions!$H$372="LNG",Q1097,Assumptions!$H$372="Bio-bend",Q1090)</f>
        <v>-5400086.6756765619</v>
      </c>
      <c r="R1362" s="33" cm="1">
        <f t="array" aca="1" ref="R1362" ca="1">-R1074+_xlfn.IFS(Assumptions!$H$372="LSFO",R1082,Assumptions!$H$372="LNG",R1097,Assumptions!$H$372="Bio-bend",R1090)</f>
        <v>-5400086.6756765619</v>
      </c>
      <c r="S1362" s="33" cm="1">
        <f t="array" aca="1" ref="S1362" ca="1">-S1074+_xlfn.IFS(Assumptions!$H$372="LSFO",S1082,Assumptions!$H$372="LNG",S1097,Assumptions!$H$372="Bio-bend",S1090)</f>
        <v>-5400086.6756765619</v>
      </c>
      <c r="T1362" s="33" cm="1">
        <f t="array" aca="1" ref="T1362" ca="1">-T1074+_xlfn.IFS(Assumptions!$H$372="LSFO",T1082,Assumptions!$H$372="LNG",T1097,Assumptions!$H$372="Bio-bend",T1090)</f>
        <v>-5400086.6756765619</v>
      </c>
      <c r="U1362" s="33" cm="1">
        <f t="array" aca="1" ref="U1362" ca="1">-U1074+_xlfn.IFS(Assumptions!$H$372="LSFO",U1082,Assumptions!$H$372="LNG",U1097,Assumptions!$H$372="Bio-bend",U1090)</f>
        <v>-5400086.6756765619</v>
      </c>
      <c r="V1362" s="33" cm="1">
        <f t="array" aca="1" ref="V1362" ca="1">-V1074+_xlfn.IFS(Assumptions!$H$372="LSFO",V1082,Assumptions!$H$372="LNG",V1097,Assumptions!$H$372="Bio-bend",V1090)</f>
        <v>-5400086.6756765619</v>
      </c>
      <c r="W1362" s="33" cm="1">
        <f t="array" aca="1" ref="W1362" ca="1">-W1074+_xlfn.IFS(Assumptions!$H$372="LSFO",W1082,Assumptions!$H$372="LNG",W1097,Assumptions!$H$372="Bio-bend",W1090)</f>
        <v>-5400086.6756765619</v>
      </c>
      <c r="X1362" s="33" cm="1">
        <f t="array" aca="1" ref="X1362" ca="1">-X1074+_xlfn.IFS(Assumptions!$H$372="LSFO",X1082,Assumptions!$H$372="LNG",X1097,Assumptions!$H$372="Bio-bend",X1090)</f>
        <v>-5400086.6756765628</v>
      </c>
      <c r="Y1362" s="33" cm="1">
        <f t="array" aca="1" ref="Y1362" ca="1">-Y1074+_xlfn.IFS(Assumptions!$H$372="LSFO",Y1082,Assumptions!$H$372="LNG",Y1097,Assumptions!$H$372="Bio-bend",Y1090)</f>
        <v>-5400086.6756765619</v>
      </c>
      <c r="Z1362" s="33" cm="1">
        <f t="array" aca="1" ref="Z1362" ca="1">-Z1074+_xlfn.IFS(Assumptions!$H$372="LSFO",Z1082,Assumptions!$H$372="LNG",Z1097,Assumptions!$H$372="Bio-bend",Z1090)</f>
        <v>0</v>
      </c>
      <c r="AA1362" s="33" cm="1">
        <f t="array" ref="AA1362">-AA1074+_xlfn.IFS(Assumptions!$H$372="LSFO",AA1082,Assumptions!$H$372="LNG",AA1097,Assumptions!$H$372="Bio-bend",AA1090)</f>
        <v>0</v>
      </c>
      <c r="AB1362" s="33" cm="1">
        <f t="array" ref="AB1362">-AB1074+_xlfn.IFS(Assumptions!$H$372="LSFO",AB1082,Assumptions!$H$372="LNG",AB1097,Assumptions!$H$372="Bio-bend",AB1090)</f>
        <v>0</v>
      </c>
      <c r="AC1362" s="33" cm="1">
        <f t="array" ref="AC1362">-AC1074+_xlfn.IFS(Assumptions!$H$372="LSFO",AC1082,Assumptions!$H$372="LNG",AC1097,Assumptions!$H$372="Bio-bend",AC1090)</f>
        <v>0</v>
      </c>
      <c r="AD1362" s="33" cm="1">
        <f t="array" ref="AD1362">-AD1074+_xlfn.IFS(Assumptions!$H$372="LSFO",AD1082,Assumptions!$H$372="LNG",AD1097,Assumptions!$H$372="Bio-bend",AD1090)</f>
        <v>0</v>
      </c>
      <c r="AE1362" s="33" cm="1">
        <f t="array" ref="AE1362">-AE1074+_xlfn.IFS(Assumptions!$H$372="LSFO",AE1082,Assumptions!$H$372="LNG",AE1097,Assumptions!$H$372="Bio-bend",AE1090)</f>
        <v>0</v>
      </c>
      <c r="AF1362" s="33" cm="1">
        <f t="array" ref="AF1362">-AF1074+_xlfn.IFS(Assumptions!$H$372="LSFO",AF1082,Assumptions!$H$372="LNG",AF1097,Assumptions!$H$372="Bio-bend",AF1090)</f>
        <v>0</v>
      </c>
      <c r="AG1362" s="33" cm="1">
        <f t="array" ref="AG1362">-AG1074+_xlfn.IFS(Assumptions!$H$372="LSFO",AG1082,Assumptions!$H$372="LNG",AG1097,Assumptions!$H$372="Bio-bend",AG1090)</f>
        <v>0</v>
      </c>
      <c r="AH1362" s="33" cm="1">
        <f t="array" ref="AH1362">-AH1074+_xlfn.IFS(Assumptions!$H$372="LSFO",AH1082,Assumptions!$H$372="LNG",AH1097,Assumptions!$H$372="Bio-bend",AH1090)</f>
        <v>0</v>
      </c>
      <c r="AI1362" s="33" cm="1">
        <f t="array" ref="AI1362">-AI1074+_xlfn.IFS(Assumptions!$H$372="LSFO",AI1082,Assumptions!$H$372="LNG",AI1097,Assumptions!$H$372="Bio-bend",AI1090)</f>
        <v>0</v>
      </c>
      <c r="AJ1362" s="33" cm="1">
        <f t="array" ref="AJ1362">-AJ1074+_xlfn.IFS(Assumptions!$H$372="LSFO",AJ1082,Assumptions!$H$372="LNG",AJ1097,Assumptions!$H$372="Bio-bend",AJ1090)</f>
        <v>0</v>
      </c>
      <c r="AK1362" s="33" cm="1">
        <f t="array" ref="AK1362">-AK1074+_xlfn.IFS(Assumptions!$H$372="LSFO",AK1082,Assumptions!$H$372="LNG",AK1097,Assumptions!$H$372="Bio-bend",AK1090)</f>
        <v>0</v>
      </c>
      <c r="AL1362" s="33" cm="1">
        <f t="array" ref="AL1362">-AL1074+_xlfn.IFS(Assumptions!$H$372="LSFO",AL1082,Assumptions!$H$372="LNG",AL1097,Assumptions!$H$372="Bio-bend",AL1090)</f>
        <v>0</v>
      </c>
      <c r="AM1362" s="33" cm="1">
        <f t="array" ref="AM1362">-AM1074+_xlfn.IFS(Assumptions!$H$372="LSFO",AM1082,Assumptions!$H$372="LNG",AM1097,Assumptions!$H$372="Bio-bend",AM1090)</f>
        <v>0</v>
      </c>
      <c r="AN1362" s="33" cm="1">
        <f t="array" ref="AN1362">-AN1074+_xlfn.IFS(Assumptions!$H$372="LSFO",AN1082,Assumptions!$H$372="LNG",AN1097,Assumptions!$H$372="Bio-bend",AN1090)</f>
        <v>0</v>
      </c>
      <c r="AO1362" s="33" cm="1">
        <f t="array" ref="AO1362">-AO1074+_xlfn.IFS(Assumptions!$H$372="LSFO",AO1082,Assumptions!$H$372="LNG",AO1097,Assumptions!$H$372="Bio-bend",AO1090)</f>
        <v>0</v>
      </c>
      <c r="AP1362" s="33" cm="1">
        <f t="array" ref="AP1362">-AP1074+_xlfn.IFS(Assumptions!$H$372="LSFO",AP1082,Assumptions!$H$372="LNG",AP1097,Assumptions!$H$372="Bio-bend",AP1090)</f>
        <v>0</v>
      </c>
      <c r="AQ1362" s="33" cm="1">
        <f t="array" ref="AQ1362">-AQ1074+_xlfn.IFS(Assumptions!$H$372="LSFO",AQ1082,Assumptions!$H$372="LNG",AQ1097,Assumptions!$H$372="Bio-bend",AQ1090)</f>
        <v>0</v>
      </c>
      <c r="AR1362" s="33" cm="1">
        <f t="array" ref="AR1362">-AR1074+_xlfn.IFS(Assumptions!$H$372="LSFO",AR1082,Assumptions!$H$372="LNG",AR1097,Assumptions!$H$372="Bio-bend",AR1090)</f>
        <v>0</v>
      </c>
      <c r="AS1362" s="33" cm="1">
        <f t="array" ref="AS1362">-AS1074+_xlfn.IFS(Assumptions!$H$372="LSFO",AS1082,Assumptions!$H$372="LNG",AS1097,Assumptions!$H$372="Bio-bend",AS1090)</f>
        <v>0</v>
      </c>
      <c r="AT1362" s="33" cm="1">
        <f t="array" ref="AT1362">-AT1074+_xlfn.IFS(Assumptions!$H$372="LSFO",AT1082,Assumptions!$H$372="LNG",AT1097,Assumptions!$H$372="Bio-bend",AT1090)</f>
        <v>0</v>
      </c>
      <c r="AU1362" s="33" cm="1">
        <f t="array" ref="AU1362">-AU1074+_xlfn.IFS(Assumptions!$H$372="LSFO",AU1082,Assumptions!$H$372="LNG",AU1097,Assumptions!$H$372="Bio-bend",AU1090)</f>
        <v>0</v>
      </c>
      <c r="AV1362" s="33" cm="1">
        <f t="array" ref="AV1362">-AV1074+_xlfn.IFS(Assumptions!$H$372="LSFO",AV1082,Assumptions!$H$372="LNG",AV1097,Assumptions!$H$372="Bio-bend",AV1090)</f>
        <v>0</v>
      </c>
      <c r="AW1362" s="33" cm="1">
        <f t="array" ref="AW1362">-AW1074+_xlfn.IFS(Assumptions!$H$372="LSFO",AW1082,Assumptions!$H$372="LNG",AW1097,Assumptions!$H$372="Bio-bend",AW1090)</f>
        <v>0</v>
      </c>
      <c r="AX1362" s="33" cm="1">
        <f t="array" ref="AX1362">-AX1074+_xlfn.IFS(Assumptions!$H$372="LSFO",AX1082,Assumptions!$H$372="LNG",AX1097,Assumptions!$H$372="Bio-bend",AX1090)</f>
        <v>0</v>
      </c>
      <c r="AY1362" s="33" cm="1">
        <f t="array" ref="AY1362">-AY1074+_xlfn.IFS(Assumptions!$H$372="LSFO",AY1082,Assumptions!$H$372="LNG",AY1097,Assumptions!$H$372="Bio-bend",AY1090)</f>
        <v>0</v>
      </c>
      <c r="AZ1362" s="33" cm="1">
        <f t="array" ref="AZ1362">-AZ1074+_xlfn.IFS(Assumptions!$H$372="LSFO",AZ1082,Assumptions!$H$372="LNG",AZ1097,Assumptions!$H$372="Bio-bend",AZ1090)</f>
        <v>0</v>
      </c>
      <c r="BA1362" s="33" cm="1">
        <f t="array" ref="BA1362">-BA1074+_xlfn.IFS(Assumptions!$H$372="LSFO",BA1082,Assumptions!$H$372="LNG",BA1097,Assumptions!$H$372="Bio-bend",BA1090)</f>
        <v>0</v>
      </c>
      <c r="BB1362" s="33" cm="1">
        <f t="array" ref="BB1362">-BB1074+_xlfn.IFS(Assumptions!$H$372="LSFO",BB1082,Assumptions!$H$372="LNG",BB1097,Assumptions!$H$372="Bio-bend",BB1090)</f>
        <v>0</v>
      </c>
      <c r="BC1362" s="33" cm="1">
        <f t="array" ref="BC1362">-BC1074+_xlfn.IFS(Assumptions!$H$372="LSFO",BC1082,Assumptions!$H$372="LNG",BC1097,Assumptions!$H$372="Bio-bend",BC1090)</f>
        <v>0</v>
      </c>
      <c r="BD1362" s="33" cm="1">
        <f t="array" ref="BD1362">-BD1074+_xlfn.IFS(Assumptions!$H$372="LSFO",BD1082,Assumptions!$H$372="LNG",BD1097,Assumptions!$H$372="Bio-bend",BD1090)</f>
        <v>0</v>
      </c>
      <c r="BE1362" s="33" cm="1">
        <f t="array" ref="BE1362">-BE1074+_xlfn.IFS(Assumptions!$H$372="LSFO",BE1082,Assumptions!$H$372="LNG",BE1097,Assumptions!$H$372="Bio-bend",BE1090)</f>
        <v>0</v>
      </c>
      <c r="BF1362" s="33" cm="1">
        <f t="array" ref="BF1362">-BF1074+_xlfn.IFS(Assumptions!$H$372="LSFO",BF1082,Assumptions!$H$372="LNG",BF1097,Assumptions!$H$372="Bio-bend",BF1090)</f>
        <v>0</v>
      </c>
      <c r="BG1362" s="33" cm="1">
        <f t="array" ref="BG1362">-BG1074+_xlfn.IFS(Assumptions!$H$372="LSFO",BG1082,Assumptions!$H$372="LNG",BG1097,Assumptions!$H$372="Bio-bend",BG1090)</f>
        <v>0</v>
      </c>
      <c r="BH1362" s="33" cm="1">
        <f t="array" ref="BH1362">-BH1074+_xlfn.IFS(Assumptions!$H$372="LSFO",BH1082,Assumptions!$H$372="LNG",BH1097,Assumptions!$H$372="Bio-bend",BH1090)</f>
        <v>0</v>
      </c>
      <c r="BI1362" s="33" cm="1">
        <f t="array" ref="BI1362">-BI1074+_xlfn.IFS(Assumptions!$H$372="LSFO",BI1082,Assumptions!$H$372="LNG",BI1097,Assumptions!$H$372="Bio-bend",BI1090)</f>
        <v>0</v>
      </c>
      <c r="BJ1362" s="33" cm="1">
        <f t="array" ref="BJ1362">-BJ1074+_xlfn.IFS(Assumptions!$H$372="LSFO",BJ1082,Assumptions!$H$372="LNG",BJ1097,Assumptions!$H$372="Bio-bend",BJ1090)</f>
        <v>0</v>
      </c>
      <c r="BK1362" s="33" cm="1">
        <f t="array" ref="BK1362">-BK1074+_xlfn.IFS(Assumptions!$H$372="LSFO",BK1082,Assumptions!$H$372="LNG",BK1097,Assumptions!$H$372="Bio-bend",BK1090)</f>
        <v>0</v>
      </c>
      <c r="BL1362" s="33" cm="1">
        <f t="array" ref="BL1362">-BL1074+_xlfn.IFS(Assumptions!$H$372="LSFO",BL1082,Assumptions!$H$372="LNG",BL1097,Assumptions!$H$372="Bio-bend",BL1090)</f>
        <v>0</v>
      </c>
      <c r="BM1362" s="33" cm="1">
        <f t="array" ref="BM1362">-BM1074+_xlfn.IFS(Assumptions!$H$372="LSFO",BM1082,Assumptions!$H$372="LNG",BM1097,Assumptions!$H$372="Bio-bend",BM1090)</f>
        <v>0</v>
      </c>
      <c r="BN1362" s="33" cm="1">
        <f t="array" ref="BN1362">-BN1074+_xlfn.IFS(Assumptions!$H$372="LSFO",BN1082,Assumptions!$H$372="LNG",BN1097,Assumptions!$H$372="Bio-bend",BN1090)</f>
        <v>0</v>
      </c>
      <c r="BO1362" s="33" cm="1">
        <f t="array" ref="BO1362">-BO1074+_xlfn.IFS(Assumptions!$H$372="LSFO",BO1082,Assumptions!$H$372="LNG",BO1097,Assumptions!$H$372="Bio-bend",BO1090)</f>
        <v>0</v>
      </c>
      <c r="BP1362" s="33" cm="1">
        <f t="array" ref="BP1362">-BP1074+_xlfn.IFS(Assumptions!$H$372="LSFO",BP1082,Assumptions!$H$372="LNG",BP1097,Assumptions!$H$372="Bio-bend",BP1090)</f>
        <v>0</v>
      </c>
      <c r="BQ1362" s="33" cm="1">
        <f t="array" ref="BQ1362">-BQ1074+_xlfn.IFS(Assumptions!$H$372="LSFO",BQ1082,Assumptions!$H$372="LNG",BQ1097,Assumptions!$H$372="Bio-bend",BQ1090)</f>
        <v>0</v>
      </c>
      <c r="BR1362" s="33" cm="1">
        <f t="array" ref="BR1362">-BR1074+_xlfn.IFS(Assumptions!$H$372="LSFO",BR1082,Assumptions!$H$372="LNG",BR1097,Assumptions!$H$372="Bio-bend",BR1090)</f>
        <v>0</v>
      </c>
      <c r="BS1362" s="33" cm="1">
        <f t="array" ref="BS1362">-BS1074+_xlfn.IFS(Assumptions!$H$372="LSFO",BS1082,Assumptions!$H$372="LNG",BS1097,Assumptions!$H$372="Bio-bend",BS1090)</f>
        <v>0</v>
      </c>
      <c r="BT1362" s="33" cm="1">
        <f t="array" ref="BT1362">-BT1074+_xlfn.IFS(Assumptions!$H$372="LSFO",BT1082,Assumptions!$H$372="LNG",BT1097,Assumptions!$H$372="Bio-bend",BT1090)</f>
        <v>0</v>
      </c>
      <c r="BU1362" s="33" cm="1">
        <f t="array" ref="BU1362">-BU1074+_xlfn.IFS(Assumptions!$H$372="LSFO",BU1082,Assumptions!$H$372="LNG",BU1097,Assumptions!$H$372="Bio-bend",BU1090)</f>
        <v>0</v>
      </c>
      <c r="BV1362" s="33" cm="1">
        <f t="array" ref="BV1362">-BV1074+_xlfn.IFS(Assumptions!$H$372="LSFO",BV1082,Assumptions!$H$372="LNG",BV1097,Assumptions!$H$372="Bio-bend",BV1090)</f>
        <v>0</v>
      </c>
      <c r="BW1362" s="33" cm="1">
        <f t="array" ref="BW1362">-BW1074+_xlfn.IFS(Assumptions!$H$372="LSFO",BW1082,Assumptions!$H$372="LNG",BW1097,Assumptions!$H$372="Bio-bend",BW1090)</f>
        <v>0</v>
      </c>
      <c r="BX1362" s="33" cm="1">
        <f t="array" ref="BX1362">-BX1074+_xlfn.IFS(Assumptions!$H$372="LSFO",BX1082,Assumptions!$H$372="LNG",BX1097,Assumptions!$H$372="Bio-bend",BX1090)</f>
        <v>0</v>
      </c>
      <c r="BY1362" s="33" cm="1">
        <f t="array" ref="BY1362">-BY1074+_xlfn.IFS(Assumptions!$H$372="LSFO",BY1082,Assumptions!$H$372="LNG",BY1097,Assumptions!$H$372="Bio-bend",BY1090)</f>
        <v>0</v>
      </c>
    </row>
    <row r="1363" spans="5:77">
      <c r="E1363" t="s">
        <v>655</v>
      </c>
      <c r="F1363" s="104" t="s">
        <v>159</v>
      </c>
      <c r="H1363" s="33">
        <f>-H1110</f>
        <v>0</v>
      </c>
      <c r="I1363" s="33">
        <f t="shared" ref="I1363:BT1363" si="2545">-I1110</f>
        <v>0</v>
      </c>
      <c r="J1363" s="33">
        <f t="shared" si="2545"/>
        <v>0</v>
      </c>
      <c r="K1363" s="33">
        <f t="shared" si="2545"/>
        <v>0</v>
      </c>
      <c r="L1363" s="33">
        <f t="shared" si="2545"/>
        <v>0</v>
      </c>
      <c r="M1363" s="33">
        <f t="shared" si="2545"/>
        <v>0</v>
      </c>
      <c r="N1363" s="33">
        <f t="shared" si="2545"/>
        <v>0</v>
      </c>
      <c r="O1363" s="33">
        <f t="shared" si="2545"/>
        <v>0</v>
      </c>
      <c r="P1363" s="33">
        <f t="shared" si="2545"/>
        <v>0</v>
      </c>
      <c r="Q1363" s="33">
        <f t="shared" si="2545"/>
        <v>0</v>
      </c>
      <c r="R1363" s="33">
        <f t="shared" si="2545"/>
        <v>0</v>
      </c>
      <c r="S1363" s="33">
        <f t="shared" si="2545"/>
        <v>0</v>
      </c>
      <c r="T1363" s="33">
        <f t="shared" si="2545"/>
        <v>0</v>
      </c>
      <c r="U1363" s="33">
        <f t="shared" si="2545"/>
        <v>0</v>
      </c>
      <c r="V1363" s="33">
        <f t="shared" si="2545"/>
        <v>0</v>
      </c>
      <c r="W1363" s="33">
        <f t="shared" si="2545"/>
        <v>0</v>
      </c>
      <c r="X1363" s="33">
        <f t="shared" si="2545"/>
        <v>0</v>
      </c>
      <c r="Y1363" s="33">
        <f t="shared" si="2545"/>
        <v>0</v>
      </c>
      <c r="Z1363" s="33">
        <f t="shared" si="2545"/>
        <v>0</v>
      </c>
      <c r="AA1363" s="33">
        <f t="shared" si="2545"/>
        <v>0</v>
      </c>
      <c r="AB1363" s="33">
        <f t="shared" si="2545"/>
        <v>0</v>
      </c>
      <c r="AC1363" s="33">
        <f t="shared" si="2545"/>
        <v>0</v>
      </c>
      <c r="AD1363" s="33">
        <f t="shared" si="2545"/>
        <v>0</v>
      </c>
      <c r="AE1363" s="33">
        <f t="shared" si="2545"/>
        <v>0</v>
      </c>
      <c r="AF1363" s="33">
        <f t="shared" si="2545"/>
        <v>0</v>
      </c>
      <c r="AG1363" s="33">
        <f t="shared" si="2545"/>
        <v>0</v>
      </c>
      <c r="AH1363" s="33">
        <f t="shared" si="2545"/>
        <v>0</v>
      </c>
      <c r="AI1363" s="33">
        <f t="shared" si="2545"/>
        <v>0</v>
      </c>
      <c r="AJ1363" s="33">
        <f t="shared" si="2545"/>
        <v>0</v>
      </c>
      <c r="AK1363" s="33">
        <f t="shared" si="2545"/>
        <v>0</v>
      </c>
      <c r="AL1363" s="33">
        <f t="shared" si="2545"/>
        <v>0</v>
      </c>
      <c r="AM1363" s="33">
        <f t="shared" si="2545"/>
        <v>0</v>
      </c>
      <c r="AN1363" s="33">
        <f t="shared" si="2545"/>
        <v>0</v>
      </c>
      <c r="AO1363" s="33">
        <f t="shared" si="2545"/>
        <v>0</v>
      </c>
      <c r="AP1363" s="33">
        <f t="shared" si="2545"/>
        <v>0</v>
      </c>
      <c r="AQ1363" s="33">
        <f t="shared" si="2545"/>
        <v>0</v>
      </c>
      <c r="AR1363" s="33">
        <f t="shared" si="2545"/>
        <v>0</v>
      </c>
      <c r="AS1363" s="33">
        <f t="shared" si="2545"/>
        <v>0</v>
      </c>
      <c r="AT1363" s="33">
        <f t="shared" si="2545"/>
        <v>0</v>
      </c>
      <c r="AU1363" s="33">
        <f t="shared" si="2545"/>
        <v>0</v>
      </c>
      <c r="AV1363" s="33">
        <f t="shared" si="2545"/>
        <v>0</v>
      </c>
      <c r="AW1363" s="33">
        <f t="shared" si="2545"/>
        <v>0</v>
      </c>
      <c r="AX1363" s="33">
        <f t="shared" si="2545"/>
        <v>0</v>
      </c>
      <c r="AY1363" s="33">
        <f t="shared" si="2545"/>
        <v>0</v>
      </c>
      <c r="AZ1363" s="33">
        <f t="shared" si="2545"/>
        <v>0</v>
      </c>
      <c r="BA1363" s="33">
        <f t="shared" si="2545"/>
        <v>0</v>
      </c>
      <c r="BB1363" s="33">
        <f t="shared" si="2545"/>
        <v>0</v>
      </c>
      <c r="BC1363" s="33">
        <f t="shared" si="2545"/>
        <v>0</v>
      </c>
      <c r="BD1363" s="33">
        <f t="shared" si="2545"/>
        <v>0</v>
      </c>
      <c r="BE1363" s="33">
        <f t="shared" si="2545"/>
        <v>0</v>
      </c>
      <c r="BF1363" s="33">
        <f t="shared" si="2545"/>
        <v>0</v>
      </c>
      <c r="BG1363" s="33">
        <f t="shared" si="2545"/>
        <v>0</v>
      </c>
      <c r="BH1363" s="33">
        <f t="shared" si="2545"/>
        <v>0</v>
      </c>
      <c r="BI1363" s="33">
        <f t="shared" si="2545"/>
        <v>0</v>
      </c>
      <c r="BJ1363" s="33">
        <f t="shared" si="2545"/>
        <v>0</v>
      </c>
      <c r="BK1363" s="33">
        <f t="shared" si="2545"/>
        <v>0</v>
      </c>
      <c r="BL1363" s="33">
        <f t="shared" si="2545"/>
        <v>0</v>
      </c>
      <c r="BM1363" s="33">
        <f t="shared" si="2545"/>
        <v>0</v>
      </c>
      <c r="BN1363" s="33">
        <f t="shared" si="2545"/>
        <v>0</v>
      </c>
      <c r="BO1363" s="33">
        <f t="shared" si="2545"/>
        <v>0</v>
      </c>
      <c r="BP1363" s="33">
        <f t="shared" si="2545"/>
        <v>0</v>
      </c>
      <c r="BQ1363" s="33">
        <f t="shared" si="2545"/>
        <v>0</v>
      </c>
      <c r="BR1363" s="33">
        <f t="shared" si="2545"/>
        <v>0</v>
      </c>
      <c r="BS1363" s="33">
        <f t="shared" si="2545"/>
        <v>0</v>
      </c>
      <c r="BT1363" s="33">
        <f t="shared" si="2545"/>
        <v>0</v>
      </c>
      <c r="BU1363" s="33">
        <f t="shared" ref="BU1363:BY1363" si="2546">-BU1110</f>
        <v>0</v>
      </c>
      <c r="BV1363" s="33">
        <f t="shared" si="2546"/>
        <v>0</v>
      </c>
      <c r="BW1363" s="33">
        <f t="shared" si="2546"/>
        <v>0</v>
      </c>
      <c r="BX1363" s="33">
        <f t="shared" si="2546"/>
        <v>0</v>
      </c>
      <c r="BY1363" s="33">
        <f t="shared" si="2546"/>
        <v>0</v>
      </c>
    </row>
    <row r="1364" spans="5:77">
      <c r="E1364" t="s">
        <v>656</v>
      </c>
      <c r="F1364" s="104" t="s">
        <v>159</v>
      </c>
      <c r="H1364" s="33" t="e">
        <f>-H1167+IF(Assumptions!$H$373="LSFO",H1133+H1174,H1157)</f>
        <v>#DIV/0!</v>
      </c>
      <c r="I1364" s="33" t="e">
        <f>-(I1167+IF(Assumptions!$H$373="LSFO",I1133+I1174,I1157))+H1364</f>
        <v>#DIV/0!</v>
      </c>
      <c r="J1364" s="33" t="e">
        <f>-(J1167+IF(Assumptions!$H$373="LSFO",J1133+J1174,J1157))+I1364</f>
        <v>#DIV/0!</v>
      </c>
      <c r="K1364" s="33" t="e">
        <f>-(K1167+IF(Assumptions!$H$373="LSFO",K1133+K1174,K1157))+J1364</f>
        <v>#DIV/0!</v>
      </c>
      <c r="L1364" s="33" t="e">
        <f>-(L1167+IF(Assumptions!$H$373="LSFO",L1133+L1174,L1157))+K1364</f>
        <v>#DIV/0!</v>
      </c>
      <c r="M1364" s="33" t="e">
        <f>-(M1167+IF(Assumptions!$H$373="LSFO",M1133+M1174,M1157))+L1364</f>
        <v>#DIV/0!</v>
      </c>
      <c r="N1364" s="33" t="e">
        <f>-(N1167+IF(Assumptions!$H$373="LSFO",N1133+N1174,N1157))+M1364</f>
        <v>#DIV/0!</v>
      </c>
      <c r="O1364" s="33" t="e">
        <f>-(O1167+IF(Assumptions!$H$373="LSFO",O1133+O1174,O1157))+N1364</f>
        <v>#DIV/0!</v>
      </c>
      <c r="P1364" s="33" t="e">
        <f>-(P1167+IF(Assumptions!$H$373="LSFO",P1133+P1174,P1157))+O1364</f>
        <v>#DIV/0!</v>
      </c>
      <c r="Q1364" s="33" t="e">
        <f>-(Q1167+IF(Assumptions!$H$373="LSFO",Q1133+Q1174,Q1157))+P1364</f>
        <v>#DIV/0!</v>
      </c>
      <c r="R1364" s="33" t="e">
        <f>-(R1167+IF(Assumptions!$H$373="LSFO",R1133+R1174,R1157))+Q1364</f>
        <v>#DIV/0!</v>
      </c>
      <c r="S1364" s="33" t="e">
        <f>-(S1167+IF(Assumptions!$H$373="LSFO",S1133+S1174,S1157))+R1364</f>
        <v>#DIV/0!</v>
      </c>
      <c r="T1364" s="33" t="e">
        <f>-(T1167+IF(Assumptions!$H$373="LSFO",T1133+T1174,T1157))+S1364</f>
        <v>#DIV/0!</v>
      </c>
      <c r="U1364" s="33" t="e">
        <f>-(U1167+IF(Assumptions!$H$373="LSFO",U1133+U1174,U1157))+T1364</f>
        <v>#DIV/0!</v>
      </c>
      <c r="V1364" s="33" t="e">
        <f>-(V1167+IF(Assumptions!$H$373="LSFO",V1133+V1174,V1157))+U1364</f>
        <v>#DIV/0!</v>
      </c>
      <c r="W1364" s="33" t="e">
        <f>-(W1167+IF(Assumptions!$H$373="LSFO",W1133+W1174,W1157))+V1364</f>
        <v>#DIV/0!</v>
      </c>
      <c r="X1364" s="33" t="e">
        <f>-(X1167+IF(Assumptions!$H$373="LSFO",X1133+X1174,X1157))+W1364</f>
        <v>#DIV/0!</v>
      </c>
      <c r="Y1364" s="33" t="e">
        <f>-(Y1167+IF(Assumptions!$H$373="LSFO",Y1133+Y1174,Y1157))+X1364</f>
        <v>#DIV/0!</v>
      </c>
      <c r="Z1364" s="33" t="e">
        <f>-(Z1167+IF(Assumptions!$H$373="LSFO",Z1133+Z1174,Z1157))+Y1364</f>
        <v>#DIV/0!</v>
      </c>
      <c r="AA1364" s="33" t="e">
        <f>-(AA1167+IF(Assumptions!$H$373="LSFO",AA1133+AA1174,AA1157))+Z1364</f>
        <v>#DIV/0!</v>
      </c>
      <c r="AB1364" s="33" t="e">
        <f>-(AB1167+IF(Assumptions!$H$373="LSFO",AB1133+AB1174,AB1157))+AA1364</f>
        <v>#DIV/0!</v>
      </c>
      <c r="AC1364" s="33" t="e">
        <f>-(AC1167+IF(Assumptions!$H$373="LSFO",AC1133+AC1174,AC1157))+AB1364</f>
        <v>#DIV/0!</v>
      </c>
      <c r="AD1364" s="33" t="e">
        <f>-(AD1167+IF(Assumptions!$H$373="LSFO",AD1133+AD1174,AD1157))+AC1364</f>
        <v>#DIV/0!</v>
      </c>
      <c r="AE1364" s="33" t="e">
        <f>-(AE1167+IF(Assumptions!$H$373="LSFO",AE1133+AE1174,AE1157))+AD1364</f>
        <v>#DIV/0!</v>
      </c>
      <c r="AF1364" s="33" t="e">
        <f>-(AF1167+IF(Assumptions!$H$373="LSFO",AF1133+AF1174,AF1157))+AE1364</f>
        <v>#DIV/0!</v>
      </c>
      <c r="AG1364" s="33" t="e">
        <f>-(AG1167+IF(Assumptions!$H$373="LSFO",AG1133+AG1174,AG1157))+AF1364</f>
        <v>#DIV/0!</v>
      </c>
      <c r="AH1364" s="33" t="e">
        <f>-(AH1167+IF(Assumptions!$H$373="LSFO",AH1133+AH1174,AH1157))+AG1364</f>
        <v>#DIV/0!</v>
      </c>
      <c r="AI1364" s="33" t="e">
        <f>-(AI1167+IF(Assumptions!$H$373="LSFO",AI1133+AI1174,AI1157))+AH1364</f>
        <v>#DIV/0!</v>
      </c>
      <c r="AJ1364" s="33" t="e">
        <f>-(AJ1167+IF(Assumptions!$H$373="LSFO",AJ1133+AJ1174,AJ1157))+AI1364</f>
        <v>#DIV/0!</v>
      </c>
      <c r="AK1364" s="33" t="e">
        <f>-(AK1167+IF(Assumptions!$H$373="LSFO",AK1133+AK1174,AK1157))+AJ1364</f>
        <v>#DIV/0!</v>
      </c>
      <c r="AL1364" s="33" t="e">
        <f>-(AL1167+IF(Assumptions!$H$373="LSFO",AL1133+AL1174,AL1157))+AK1364</f>
        <v>#DIV/0!</v>
      </c>
      <c r="AM1364" s="33" t="e">
        <f>-(AM1167+IF(Assumptions!$H$373="LSFO",AM1133+AM1174,AM1157))+AL1364</f>
        <v>#DIV/0!</v>
      </c>
      <c r="AN1364" s="33" t="e">
        <f>-(AN1167+IF(Assumptions!$H$373="LSFO",AN1133+AN1174,AN1157))+AM1364</f>
        <v>#DIV/0!</v>
      </c>
      <c r="AO1364" s="33" t="e">
        <f>-(AO1167+IF(Assumptions!$H$373="LSFO",AO1133+AO1174,AO1157))+AN1364</f>
        <v>#DIV/0!</v>
      </c>
      <c r="AP1364" s="33" t="e">
        <f>-(AP1167+IF(Assumptions!$H$373="LSFO",AP1133+AP1174,AP1157))+AO1364</f>
        <v>#DIV/0!</v>
      </c>
      <c r="AQ1364" s="33" t="e">
        <f>-(AQ1167+IF(Assumptions!$H$373="LSFO",AQ1133+AQ1174,AQ1157))+AP1364</f>
        <v>#DIV/0!</v>
      </c>
      <c r="AR1364" s="33" t="e">
        <f>-(AR1167+IF(Assumptions!$H$373="LSFO",AR1133+AR1174,AR1157))+AQ1364</f>
        <v>#DIV/0!</v>
      </c>
      <c r="AS1364" s="33" t="e">
        <f>-(AS1167+IF(Assumptions!$H$373="LSFO",AS1133+AS1174,AS1157))+AR1364</f>
        <v>#DIV/0!</v>
      </c>
      <c r="AT1364" s="33" t="e">
        <f>-(AT1167+IF(Assumptions!$H$373="LSFO",AT1133+AT1174,AT1157))+AS1364</f>
        <v>#DIV/0!</v>
      </c>
      <c r="AU1364" s="33" t="e">
        <f>-(AU1167+IF(Assumptions!$H$373="LSFO",AU1133+AU1174,AU1157))+AT1364</f>
        <v>#DIV/0!</v>
      </c>
      <c r="AV1364" s="33" t="e">
        <f>-(AV1167+IF(Assumptions!$H$373="LSFO",AV1133+AV1174,AV1157))+AU1364</f>
        <v>#DIV/0!</v>
      </c>
      <c r="AW1364" s="33" t="e">
        <f>-(AW1167+IF(Assumptions!$H$373="LSFO",AW1133+AW1174,AW1157))+AV1364</f>
        <v>#DIV/0!</v>
      </c>
      <c r="AX1364" s="33" t="e">
        <f>-(AX1167+IF(Assumptions!$H$373="LSFO",AX1133+AX1174,AX1157))+AW1364</f>
        <v>#DIV/0!</v>
      </c>
      <c r="AY1364" s="33" t="e">
        <f>-(AY1167+IF(Assumptions!$H$373="LSFO",AY1133+AY1174,AY1157))+AX1364</f>
        <v>#DIV/0!</v>
      </c>
      <c r="AZ1364" s="33" t="e">
        <f>-(AZ1167+IF(Assumptions!$H$373="LSFO",AZ1133+AZ1174,AZ1157))+AY1364</f>
        <v>#DIV/0!</v>
      </c>
      <c r="BA1364" s="33" t="e">
        <f>-(BA1167+IF(Assumptions!$H$373="LSFO",BA1133+BA1174,BA1157))+AZ1364</f>
        <v>#DIV/0!</v>
      </c>
      <c r="BB1364" s="33" t="e">
        <f>-(BB1167+IF(Assumptions!$H$373="LSFO",BB1133+BB1174,BB1157))+BA1364</f>
        <v>#DIV/0!</v>
      </c>
      <c r="BC1364" s="33" t="e">
        <f>-(BC1167+IF(Assumptions!$H$373="LSFO",BC1133+BC1174,BC1157))+BB1364</f>
        <v>#DIV/0!</v>
      </c>
      <c r="BD1364" s="33" t="e">
        <f>-(BD1167+IF(Assumptions!$H$373="LSFO",BD1133+BD1174,BD1157))+BC1364</f>
        <v>#DIV/0!</v>
      </c>
      <c r="BE1364" s="33" t="e">
        <f>-(BE1167+IF(Assumptions!$H$373="LSFO",BE1133+BE1174,BE1157))+BD1364</f>
        <v>#DIV/0!</v>
      </c>
      <c r="BF1364" s="33" t="e">
        <f>-(BF1167+IF(Assumptions!$H$373="LSFO",BF1133+BF1174,BF1157))+BE1364</f>
        <v>#DIV/0!</v>
      </c>
      <c r="BG1364" s="33" t="e">
        <f>-(BG1167+IF(Assumptions!$H$373="LSFO",BG1133+BG1174,BG1157))+BF1364</f>
        <v>#DIV/0!</v>
      </c>
      <c r="BH1364" s="33" t="e">
        <f>-(BH1167+IF(Assumptions!$H$373="LSFO",BH1133+BH1174,BH1157))+BG1364</f>
        <v>#DIV/0!</v>
      </c>
      <c r="BI1364" s="33" t="e">
        <f>-(BI1167+IF(Assumptions!$H$373="LSFO",BI1133+BI1174,BI1157))+BH1364</f>
        <v>#DIV/0!</v>
      </c>
      <c r="BJ1364" s="33" t="e">
        <f>-(BJ1167+IF(Assumptions!$H$373="LSFO",BJ1133+BJ1174,BJ1157))+BI1364</f>
        <v>#DIV/0!</v>
      </c>
      <c r="BK1364" s="33" t="e">
        <f>-(BK1167+IF(Assumptions!$H$373="LSFO",BK1133+BK1174,BK1157))+BJ1364</f>
        <v>#DIV/0!</v>
      </c>
      <c r="BL1364" s="33" t="e">
        <f>-(BL1167+IF(Assumptions!$H$373="LSFO",BL1133+BL1174,BL1157))+BK1364</f>
        <v>#DIV/0!</v>
      </c>
      <c r="BM1364" s="33" t="e">
        <f>-(BM1167+IF(Assumptions!$H$373="LSFO",BM1133+BM1174,BM1157))+BL1364</f>
        <v>#DIV/0!</v>
      </c>
      <c r="BN1364" s="33" t="e">
        <f>-(BN1167+IF(Assumptions!$H$373="LSFO",BN1133+BN1174,BN1157))+BM1364</f>
        <v>#DIV/0!</v>
      </c>
      <c r="BO1364" s="33" t="e">
        <f>-(BO1167+IF(Assumptions!$H$373="LSFO",BO1133+BO1174,BO1157))+BN1364</f>
        <v>#DIV/0!</v>
      </c>
      <c r="BP1364" s="33" t="e">
        <f>-(BP1167+IF(Assumptions!$H$373="LSFO",BP1133+BP1174,BP1157))+BO1364</f>
        <v>#DIV/0!</v>
      </c>
      <c r="BQ1364" s="33" t="e">
        <f>-(BQ1167+IF(Assumptions!$H$373="LSFO",BQ1133+BQ1174,BQ1157))+BP1364</f>
        <v>#DIV/0!</v>
      </c>
      <c r="BR1364" s="33" t="e">
        <f>-(BR1167+IF(Assumptions!$H$373="LSFO",BR1133+BR1174,BR1157))+BQ1364</f>
        <v>#DIV/0!</v>
      </c>
      <c r="BS1364" s="33" t="e">
        <f>-(BS1167+IF(Assumptions!$H$373="LSFO",BS1133+BS1174,BS1157))+BR1364</f>
        <v>#DIV/0!</v>
      </c>
      <c r="BT1364" s="33" t="e">
        <f>-(BT1167+IF(Assumptions!$H$373="LSFO",BT1133+BT1174,BT1157))+BS1364</f>
        <v>#DIV/0!</v>
      </c>
      <c r="BU1364" s="33" t="e">
        <f>-(BU1167+IF(Assumptions!$H$373="LSFO",BU1133+BU1174,BU1157))+BT1364</f>
        <v>#DIV/0!</v>
      </c>
      <c r="BV1364" s="33" t="e">
        <f>-(BV1167+IF(Assumptions!$H$373="LSFO",BV1133+BV1174,BV1157))+BU1364</f>
        <v>#DIV/0!</v>
      </c>
      <c r="BW1364" s="33" t="e">
        <f>-(BW1167+IF(Assumptions!$H$373="LSFO",BW1133+BW1174,BW1157))+BV1364</f>
        <v>#DIV/0!</v>
      </c>
      <c r="BX1364" s="33" t="e">
        <f>-(BX1167+IF(Assumptions!$H$373="LSFO",BX1133+BX1174,BX1157))+BW1364</f>
        <v>#DIV/0!</v>
      </c>
      <c r="BY1364" s="33" t="e">
        <f>-(BY1167+IF(Assumptions!$H$373="LSFO",BY1133+BY1174,BY1157))+BX1364</f>
        <v>#DIV/0!</v>
      </c>
    </row>
    <row r="1365" spans="5:77">
      <c r="E1365" t="s">
        <v>657</v>
      </c>
      <c r="F1365" s="104" t="s">
        <v>159</v>
      </c>
      <c r="H1365" s="33">
        <f ca="1">+IF(H1192&lt;0,H1192,+H1190/H1189)+IF(H1201&lt;0,H1201,+H1199/H1198)</f>
        <v>0</v>
      </c>
      <c r="I1365" s="33">
        <f t="shared" ref="I1365:BT1365" ca="1" si="2547">+IF(I1192&lt;0,I1192,+I1190/I1189)+IF(I1201&lt;0,I1201,+I1199/I1198)</f>
        <v>0</v>
      </c>
      <c r="J1365" s="33">
        <f t="shared" ca="1" si="2547"/>
        <v>0</v>
      </c>
      <c r="K1365" s="33">
        <f t="shared" ca="1" si="2547"/>
        <v>0</v>
      </c>
      <c r="L1365" s="33">
        <f t="shared" ca="1" si="2547"/>
        <v>0</v>
      </c>
      <c r="M1365" s="33">
        <f t="shared" ca="1" si="2547"/>
        <v>0</v>
      </c>
      <c r="N1365" s="33">
        <f t="shared" ca="1" si="2547"/>
        <v>0</v>
      </c>
      <c r="O1365" s="33">
        <f t="shared" ca="1" si="2547"/>
        <v>0</v>
      </c>
      <c r="P1365" s="33">
        <f t="shared" ca="1" si="2547"/>
        <v>0</v>
      </c>
      <c r="Q1365" s="33">
        <f t="shared" ca="1" si="2547"/>
        <v>0</v>
      </c>
      <c r="R1365" s="33">
        <f t="shared" ca="1" si="2547"/>
        <v>0</v>
      </c>
      <c r="S1365" s="33">
        <f t="shared" ca="1" si="2547"/>
        <v>0</v>
      </c>
      <c r="T1365" s="33">
        <f t="shared" ca="1" si="2547"/>
        <v>0</v>
      </c>
      <c r="U1365" s="33">
        <f t="shared" ca="1" si="2547"/>
        <v>0</v>
      </c>
      <c r="V1365" s="33">
        <f t="shared" ca="1" si="2547"/>
        <v>0</v>
      </c>
      <c r="W1365" s="33">
        <f t="shared" ca="1" si="2547"/>
        <v>0</v>
      </c>
      <c r="X1365" s="33">
        <f t="shared" ca="1" si="2547"/>
        <v>0</v>
      </c>
      <c r="Y1365" s="33">
        <f t="shared" ca="1" si="2547"/>
        <v>0</v>
      </c>
      <c r="Z1365" s="33">
        <f t="shared" ca="1" si="2547"/>
        <v>0</v>
      </c>
      <c r="AA1365" s="33">
        <f t="shared" ca="1" si="2547"/>
        <v>0</v>
      </c>
      <c r="AB1365" s="33">
        <f t="shared" ca="1" si="2547"/>
        <v>0</v>
      </c>
      <c r="AC1365" s="33">
        <f t="shared" ca="1" si="2547"/>
        <v>0</v>
      </c>
      <c r="AD1365" s="33">
        <f t="shared" ca="1" si="2547"/>
        <v>0</v>
      </c>
      <c r="AE1365" s="33">
        <f t="shared" ca="1" si="2547"/>
        <v>0</v>
      </c>
      <c r="AF1365" s="33">
        <f t="shared" ca="1" si="2547"/>
        <v>0</v>
      </c>
      <c r="AG1365" s="33">
        <f t="shared" ca="1" si="2547"/>
        <v>0</v>
      </c>
      <c r="AH1365" s="33">
        <f t="shared" ca="1" si="2547"/>
        <v>0</v>
      </c>
      <c r="AI1365" s="33">
        <f t="shared" ca="1" si="2547"/>
        <v>0</v>
      </c>
      <c r="AJ1365" s="33">
        <f t="shared" ca="1" si="2547"/>
        <v>0</v>
      </c>
      <c r="AK1365" s="33">
        <f t="shared" ca="1" si="2547"/>
        <v>0</v>
      </c>
      <c r="AL1365" s="33">
        <f t="shared" ca="1" si="2547"/>
        <v>0</v>
      </c>
      <c r="AM1365" s="33">
        <f t="shared" ca="1" si="2547"/>
        <v>0</v>
      </c>
      <c r="AN1365" s="33">
        <f t="shared" ca="1" si="2547"/>
        <v>0</v>
      </c>
      <c r="AO1365" s="33">
        <f t="shared" ca="1" si="2547"/>
        <v>0</v>
      </c>
      <c r="AP1365" s="33">
        <f t="shared" ca="1" si="2547"/>
        <v>0</v>
      </c>
      <c r="AQ1365" s="33">
        <f t="shared" ca="1" si="2547"/>
        <v>0</v>
      </c>
      <c r="AR1365" s="33">
        <f t="shared" ca="1" si="2547"/>
        <v>0</v>
      </c>
      <c r="AS1365" s="33">
        <f t="shared" ca="1" si="2547"/>
        <v>0</v>
      </c>
      <c r="AT1365" s="33">
        <f t="shared" ca="1" si="2547"/>
        <v>0</v>
      </c>
      <c r="AU1365" s="33">
        <f t="shared" ca="1" si="2547"/>
        <v>0</v>
      </c>
      <c r="AV1365" s="33">
        <f t="shared" ca="1" si="2547"/>
        <v>0</v>
      </c>
      <c r="AW1365" s="33">
        <f t="shared" ca="1" si="2547"/>
        <v>0</v>
      </c>
      <c r="AX1365" s="33">
        <f t="shared" ca="1" si="2547"/>
        <v>0</v>
      </c>
      <c r="AY1365" s="33">
        <f t="shared" ca="1" si="2547"/>
        <v>0</v>
      </c>
      <c r="AZ1365" s="33">
        <f t="shared" ca="1" si="2547"/>
        <v>0</v>
      </c>
      <c r="BA1365" s="33">
        <f t="shared" ca="1" si="2547"/>
        <v>0</v>
      </c>
      <c r="BB1365" s="33">
        <f t="shared" ca="1" si="2547"/>
        <v>0</v>
      </c>
      <c r="BC1365" s="33">
        <f t="shared" ca="1" si="2547"/>
        <v>0</v>
      </c>
      <c r="BD1365" s="33">
        <f t="shared" ca="1" si="2547"/>
        <v>0</v>
      </c>
      <c r="BE1365" s="33">
        <f t="shared" ca="1" si="2547"/>
        <v>0</v>
      </c>
      <c r="BF1365" s="33">
        <f t="shared" ca="1" si="2547"/>
        <v>0</v>
      </c>
      <c r="BG1365" s="33">
        <f t="shared" ca="1" si="2547"/>
        <v>0</v>
      </c>
      <c r="BH1365" s="33">
        <f t="shared" ca="1" si="2547"/>
        <v>0</v>
      </c>
      <c r="BI1365" s="33">
        <f t="shared" ca="1" si="2547"/>
        <v>0</v>
      </c>
      <c r="BJ1365" s="33">
        <f t="shared" ca="1" si="2547"/>
        <v>0</v>
      </c>
      <c r="BK1365" s="33">
        <f t="shared" ca="1" si="2547"/>
        <v>0</v>
      </c>
      <c r="BL1365" s="33">
        <f t="shared" ca="1" si="2547"/>
        <v>0</v>
      </c>
      <c r="BM1365" s="33">
        <f t="shared" ca="1" si="2547"/>
        <v>0</v>
      </c>
      <c r="BN1365" s="33">
        <f t="shared" ca="1" si="2547"/>
        <v>0</v>
      </c>
      <c r="BO1365" s="33">
        <f t="shared" ca="1" si="2547"/>
        <v>0</v>
      </c>
      <c r="BP1365" s="33">
        <f t="shared" ca="1" si="2547"/>
        <v>0</v>
      </c>
      <c r="BQ1365" s="33">
        <f t="shared" ca="1" si="2547"/>
        <v>0</v>
      </c>
      <c r="BR1365" s="33">
        <f t="shared" ca="1" si="2547"/>
        <v>0</v>
      </c>
      <c r="BS1365" s="33">
        <f t="shared" ca="1" si="2547"/>
        <v>0</v>
      </c>
      <c r="BT1365" s="33">
        <f t="shared" ca="1" si="2547"/>
        <v>0</v>
      </c>
      <c r="BU1365" s="33">
        <f t="shared" ref="BU1365:BY1365" ca="1" si="2548">+IF(BU1192&lt;0,BU1192,+BU1190/BU1189)+IF(BU1201&lt;0,BU1201,+BU1199/BU1198)</f>
        <v>0</v>
      </c>
      <c r="BV1365" s="33">
        <f t="shared" ca="1" si="2548"/>
        <v>0</v>
      </c>
      <c r="BW1365" s="33">
        <f t="shared" ca="1" si="2548"/>
        <v>0</v>
      </c>
      <c r="BX1365" s="33">
        <f t="shared" ca="1" si="2548"/>
        <v>0</v>
      </c>
      <c r="BY1365" s="33">
        <f t="shared" ca="1" si="2548"/>
        <v>0</v>
      </c>
    </row>
    <row r="1366" spans="5:77">
      <c r="E1366" t="s">
        <v>658</v>
      </c>
      <c r="F1366" s="104" t="s">
        <v>159</v>
      </c>
      <c r="H1366" s="33">
        <f ca="1">+IF(H1214&lt;0,H1214,+H1212/H1211)+IF(H1223&lt;0,H1223,+H1221/H1220)+IF(H1232&lt;0,H1232,+H1230/H1229)+IF(H1241&lt;0,H1241,+H1239/H1238)+H1246</f>
        <v>0</v>
      </c>
      <c r="I1366" s="33">
        <f t="shared" ref="I1366:BT1366" ca="1" si="2549">+IF(I1214&lt;0,I1214,+I1212/I1211)+IF(I1223&lt;0,I1223,+I1221/I1220)+IF(I1232&lt;0,I1232,+I1230/I1229)+IF(I1241&lt;0,I1241,+I1239/I1238)+I1246</f>
        <v>-1377838.9196984617</v>
      </c>
      <c r="J1366" s="33">
        <f t="shared" ca="1" si="2549"/>
        <v>-1405395.6980924311</v>
      </c>
      <c r="K1366" s="33">
        <f t="shared" ca="1" si="2549"/>
        <v>0</v>
      </c>
      <c r="L1366" s="33">
        <f t="shared" ca="1" si="2549"/>
        <v>0</v>
      </c>
      <c r="M1366" s="33">
        <f t="shared" ca="1" si="2549"/>
        <v>0</v>
      </c>
      <c r="N1366" s="33">
        <f t="shared" ca="1" si="2549"/>
        <v>0</v>
      </c>
      <c r="O1366" s="33">
        <f t="shared" ca="1" si="2549"/>
        <v>0</v>
      </c>
      <c r="P1366" s="33">
        <f t="shared" ca="1" si="2549"/>
        <v>0</v>
      </c>
      <c r="Q1366" s="33">
        <f t="shared" ca="1" si="2549"/>
        <v>0</v>
      </c>
      <c r="R1366" s="33">
        <f t="shared" ca="1" si="2549"/>
        <v>0</v>
      </c>
      <c r="S1366" s="33">
        <f t="shared" ca="1" si="2549"/>
        <v>0</v>
      </c>
      <c r="T1366" s="33">
        <f t="shared" ca="1" si="2549"/>
        <v>0</v>
      </c>
      <c r="U1366" s="33">
        <f t="shared" ca="1" si="2549"/>
        <v>0</v>
      </c>
      <c r="V1366" s="33">
        <f t="shared" ca="1" si="2549"/>
        <v>0</v>
      </c>
      <c r="W1366" s="33">
        <f t="shared" ca="1" si="2549"/>
        <v>0</v>
      </c>
      <c r="X1366" s="33">
        <f t="shared" ca="1" si="2549"/>
        <v>0</v>
      </c>
      <c r="Y1366" s="33">
        <f t="shared" ca="1" si="2549"/>
        <v>0</v>
      </c>
      <c r="Z1366" s="33">
        <f t="shared" ca="1" si="2549"/>
        <v>0</v>
      </c>
      <c r="AA1366" s="33">
        <f t="shared" ca="1" si="2549"/>
        <v>0</v>
      </c>
      <c r="AB1366" s="33">
        <f t="shared" ca="1" si="2549"/>
        <v>0</v>
      </c>
      <c r="AC1366" s="33">
        <f t="shared" ca="1" si="2549"/>
        <v>0</v>
      </c>
      <c r="AD1366" s="33">
        <f t="shared" ca="1" si="2549"/>
        <v>0</v>
      </c>
      <c r="AE1366" s="33">
        <f t="shared" ca="1" si="2549"/>
        <v>0</v>
      </c>
      <c r="AF1366" s="33">
        <f t="shared" ca="1" si="2549"/>
        <v>0</v>
      </c>
      <c r="AG1366" s="33">
        <f t="shared" ca="1" si="2549"/>
        <v>0</v>
      </c>
      <c r="AH1366" s="33">
        <f t="shared" ca="1" si="2549"/>
        <v>0</v>
      </c>
      <c r="AI1366" s="33">
        <f t="shared" ca="1" si="2549"/>
        <v>0</v>
      </c>
      <c r="AJ1366" s="33">
        <f t="shared" ca="1" si="2549"/>
        <v>0</v>
      </c>
      <c r="AK1366" s="33">
        <f t="shared" ca="1" si="2549"/>
        <v>0</v>
      </c>
      <c r="AL1366" s="33">
        <f t="shared" ca="1" si="2549"/>
        <v>0</v>
      </c>
      <c r="AM1366" s="33">
        <f t="shared" ca="1" si="2549"/>
        <v>0</v>
      </c>
      <c r="AN1366" s="33">
        <f t="shared" ca="1" si="2549"/>
        <v>0</v>
      </c>
      <c r="AO1366" s="33">
        <f t="shared" ca="1" si="2549"/>
        <v>0</v>
      </c>
      <c r="AP1366" s="33">
        <f t="shared" ca="1" si="2549"/>
        <v>0</v>
      </c>
      <c r="AQ1366" s="33">
        <f t="shared" ca="1" si="2549"/>
        <v>0</v>
      </c>
      <c r="AR1366" s="33">
        <f t="shared" ca="1" si="2549"/>
        <v>0</v>
      </c>
      <c r="AS1366" s="33">
        <f t="shared" ca="1" si="2549"/>
        <v>0</v>
      </c>
      <c r="AT1366" s="33">
        <f t="shared" ca="1" si="2549"/>
        <v>0</v>
      </c>
      <c r="AU1366" s="33">
        <f t="shared" ca="1" si="2549"/>
        <v>0</v>
      </c>
      <c r="AV1366" s="33">
        <f t="shared" ca="1" si="2549"/>
        <v>0</v>
      </c>
      <c r="AW1366" s="33">
        <f t="shared" ca="1" si="2549"/>
        <v>0</v>
      </c>
      <c r="AX1366" s="33">
        <f t="shared" ca="1" si="2549"/>
        <v>0</v>
      </c>
      <c r="AY1366" s="33">
        <f t="shared" ca="1" si="2549"/>
        <v>0</v>
      </c>
      <c r="AZ1366" s="33">
        <f t="shared" ca="1" si="2549"/>
        <v>0</v>
      </c>
      <c r="BA1366" s="33">
        <f t="shared" ca="1" si="2549"/>
        <v>0</v>
      </c>
      <c r="BB1366" s="33">
        <f t="shared" ca="1" si="2549"/>
        <v>0</v>
      </c>
      <c r="BC1366" s="33">
        <f t="shared" ca="1" si="2549"/>
        <v>0</v>
      </c>
      <c r="BD1366" s="33">
        <f t="shared" ca="1" si="2549"/>
        <v>0</v>
      </c>
      <c r="BE1366" s="33">
        <f t="shared" ca="1" si="2549"/>
        <v>0</v>
      </c>
      <c r="BF1366" s="33">
        <f t="shared" ca="1" si="2549"/>
        <v>0</v>
      </c>
      <c r="BG1366" s="33">
        <f t="shared" ca="1" si="2549"/>
        <v>0</v>
      </c>
      <c r="BH1366" s="33">
        <f t="shared" ca="1" si="2549"/>
        <v>0</v>
      </c>
      <c r="BI1366" s="33">
        <f t="shared" ca="1" si="2549"/>
        <v>0</v>
      </c>
      <c r="BJ1366" s="33">
        <f t="shared" ca="1" si="2549"/>
        <v>0</v>
      </c>
      <c r="BK1366" s="33">
        <f t="shared" ca="1" si="2549"/>
        <v>0</v>
      </c>
      <c r="BL1366" s="33">
        <f t="shared" ca="1" si="2549"/>
        <v>0</v>
      </c>
      <c r="BM1366" s="33">
        <f t="shared" ca="1" si="2549"/>
        <v>0</v>
      </c>
      <c r="BN1366" s="33">
        <f t="shared" ca="1" si="2549"/>
        <v>0</v>
      </c>
      <c r="BO1366" s="33">
        <f t="shared" ca="1" si="2549"/>
        <v>0</v>
      </c>
      <c r="BP1366" s="33">
        <f t="shared" ca="1" si="2549"/>
        <v>0</v>
      </c>
      <c r="BQ1366" s="33">
        <f t="shared" ca="1" si="2549"/>
        <v>0</v>
      </c>
      <c r="BR1366" s="33">
        <f t="shared" ca="1" si="2549"/>
        <v>0</v>
      </c>
      <c r="BS1366" s="33">
        <f t="shared" ca="1" si="2549"/>
        <v>0</v>
      </c>
      <c r="BT1366" s="33">
        <f t="shared" ca="1" si="2549"/>
        <v>0</v>
      </c>
      <c r="BU1366" s="33">
        <f t="shared" ref="BU1366:BY1366" ca="1" si="2550">+IF(BU1214&lt;0,BU1214,+BU1212/BU1211)+IF(BU1223&lt;0,BU1223,+BU1221/BU1220)+IF(BU1232&lt;0,BU1232,+BU1230/BU1229)+IF(BU1241&lt;0,BU1241,+BU1239/BU1238)+BU1246</f>
        <v>0</v>
      </c>
      <c r="BV1366" s="33">
        <f t="shared" ca="1" si="2550"/>
        <v>0</v>
      </c>
      <c r="BW1366" s="33">
        <f t="shared" ca="1" si="2550"/>
        <v>0</v>
      </c>
      <c r="BX1366" s="33">
        <f t="shared" ca="1" si="2550"/>
        <v>0</v>
      </c>
      <c r="BY1366" s="33">
        <f t="shared" ca="1" si="2550"/>
        <v>0</v>
      </c>
    </row>
    <row r="1367" spans="5:77">
      <c r="E1367" t="s">
        <v>659</v>
      </c>
      <c r="F1367" s="104" t="s">
        <v>159</v>
      </c>
      <c r="H1367" s="33">
        <f ca="1">++IF(H1257&lt;0,H1257,+H1255/H1254)++IF(H1266&lt;0,H1266,+H1264/H1263)</f>
        <v>0</v>
      </c>
      <c r="I1367" s="33">
        <f t="shared" ref="I1367:BT1367" ca="1" si="2551">++IF(I1257&lt;0,I1257,+I1255/I1254)++IF(I1266&lt;0,I1266,+I1264/I1263)</f>
        <v>-14051902.5</v>
      </c>
      <c r="J1367" s="33">
        <f t="shared" ca="1" si="2551"/>
        <v>-14332940.549999997</v>
      </c>
      <c r="K1367" s="33">
        <f t="shared" ca="1" si="2551"/>
        <v>0</v>
      </c>
      <c r="L1367" s="33">
        <f t="shared" ca="1" si="2551"/>
        <v>0</v>
      </c>
      <c r="M1367" s="33">
        <f t="shared" ca="1" si="2551"/>
        <v>0</v>
      </c>
      <c r="N1367" s="33">
        <f t="shared" ca="1" si="2551"/>
        <v>0</v>
      </c>
      <c r="O1367" s="33">
        <f t="shared" ca="1" si="2551"/>
        <v>0</v>
      </c>
      <c r="P1367" s="33">
        <f t="shared" ca="1" si="2551"/>
        <v>0</v>
      </c>
      <c r="Q1367" s="33">
        <f t="shared" ca="1" si="2551"/>
        <v>0</v>
      </c>
      <c r="R1367" s="33">
        <f t="shared" ca="1" si="2551"/>
        <v>0</v>
      </c>
      <c r="S1367" s="33">
        <f t="shared" ca="1" si="2551"/>
        <v>0</v>
      </c>
      <c r="T1367" s="33">
        <f t="shared" ca="1" si="2551"/>
        <v>0</v>
      </c>
      <c r="U1367" s="33">
        <f t="shared" ca="1" si="2551"/>
        <v>0</v>
      </c>
      <c r="V1367" s="33">
        <f t="shared" ca="1" si="2551"/>
        <v>0</v>
      </c>
      <c r="W1367" s="33">
        <f t="shared" ca="1" si="2551"/>
        <v>0</v>
      </c>
      <c r="X1367" s="33">
        <f t="shared" ca="1" si="2551"/>
        <v>0</v>
      </c>
      <c r="Y1367" s="33">
        <f t="shared" ca="1" si="2551"/>
        <v>0</v>
      </c>
      <c r="Z1367" s="33">
        <f t="shared" ca="1" si="2551"/>
        <v>0</v>
      </c>
      <c r="AA1367" s="33">
        <f t="shared" ca="1" si="2551"/>
        <v>0</v>
      </c>
      <c r="AB1367" s="33">
        <f t="shared" ca="1" si="2551"/>
        <v>0</v>
      </c>
      <c r="AC1367" s="33">
        <f t="shared" ca="1" si="2551"/>
        <v>0</v>
      </c>
      <c r="AD1367" s="33">
        <f t="shared" ca="1" si="2551"/>
        <v>0</v>
      </c>
      <c r="AE1367" s="33">
        <f t="shared" ca="1" si="2551"/>
        <v>0</v>
      </c>
      <c r="AF1367" s="33">
        <f t="shared" ca="1" si="2551"/>
        <v>0</v>
      </c>
      <c r="AG1367" s="33">
        <f t="shared" ca="1" si="2551"/>
        <v>0</v>
      </c>
      <c r="AH1367" s="33">
        <f t="shared" ca="1" si="2551"/>
        <v>0</v>
      </c>
      <c r="AI1367" s="33">
        <f t="shared" ca="1" si="2551"/>
        <v>0</v>
      </c>
      <c r="AJ1367" s="33">
        <f t="shared" ca="1" si="2551"/>
        <v>0</v>
      </c>
      <c r="AK1367" s="33">
        <f t="shared" ca="1" si="2551"/>
        <v>0</v>
      </c>
      <c r="AL1367" s="33">
        <f t="shared" ca="1" si="2551"/>
        <v>0</v>
      </c>
      <c r="AM1367" s="33">
        <f t="shared" ca="1" si="2551"/>
        <v>0</v>
      </c>
      <c r="AN1367" s="33">
        <f t="shared" ca="1" si="2551"/>
        <v>0</v>
      </c>
      <c r="AO1367" s="33">
        <f t="shared" ca="1" si="2551"/>
        <v>0</v>
      </c>
      <c r="AP1367" s="33">
        <f t="shared" ca="1" si="2551"/>
        <v>0</v>
      </c>
      <c r="AQ1367" s="33">
        <f t="shared" ca="1" si="2551"/>
        <v>0</v>
      </c>
      <c r="AR1367" s="33">
        <f t="shared" ca="1" si="2551"/>
        <v>0</v>
      </c>
      <c r="AS1367" s="33">
        <f t="shared" ca="1" si="2551"/>
        <v>0</v>
      </c>
      <c r="AT1367" s="33">
        <f t="shared" ca="1" si="2551"/>
        <v>0</v>
      </c>
      <c r="AU1367" s="33">
        <f t="shared" ca="1" si="2551"/>
        <v>0</v>
      </c>
      <c r="AV1367" s="33">
        <f t="shared" ca="1" si="2551"/>
        <v>0</v>
      </c>
      <c r="AW1367" s="33">
        <f t="shared" ca="1" si="2551"/>
        <v>0</v>
      </c>
      <c r="AX1367" s="33">
        <f t="shared" ca="1" si="2551"/>
        <v>0</v>
      </c>
      <c r="AY1367" s="33">
        <f t="shared" ca="1" si="2551"/>
        <v>0</v>
      </c>
      <c r="AZ1367" s="33">
        <f t="shared" ca="1" si="2551"/>
        <v>0</v>
      </c>
      <c r="BA1367" s="33">
        <f t="shared" ca="1" si="2551"/>
        <v>0</v>
      </c>
      <c r="BB1367" s="33">
        <f t="shared" ca="1" si="2551"/>
        <v>0</v>
      </c>
      <c r="BC1367" s="33">
        <f t="shared" ca="1" si="2551"/>
        <v>0</v>
      </c>
      <c r="BD1367" s="33">
        <f t="shared" ca="1" si="2551"/>
        <v>0</v>
      </c>
      <c r="BE1367" s="33">
        <f t="shared" ca="1" si="2551"/>
        <v>0</v>
      </c>
      <c r="BF1367" s="33">
        <f t="shared" ca="1" si="2551"/>
        <v>0</v>
      </c>
      <c r="BG1367" s="33">
        <f t="shared" ca="1" si="2551"/>
        <v>0</v>
      </c>
      <c r="BH1367" s="33">
        <f t="shared" ca="1" si="2551"/>
        <v>0</v>
      </c>
      <c r="BI1367" s="33">
        <f t="shared" ca="1" si="2551"/>
        <v>0</v>
      </c>
      <c r="BJ1367" s="33">
        <f t="shared" ca="1" si="2551"/>
        <v>0</v>
      </c>
      <c r="BK1367" s="33">
        <f t="shared" ca="1" si="2551"/>
        <v>0</v>
      </c>
      <c r="BL1367" s="33">
        <f t="shared" ca="1" si="2551"/>
        <v>0</v>
      </c>
      <c r="BM1367" s="33">
        <f t="shared" ca="1" si="2551"/>
        <v>0</v>
      </c>
      <c r="BN1367" s="33">
        <f t="shared" ca="1" si="2551"/>
        <v>0</v>
      </c>
      <c r="BO1367" s="33">
        <f t="shared" ca="1" si="2551"/>
        <v>0</v>
      </c>
      <c r="BP1367" s="33">
        <f t="shared" ca="1" si="2551"/>
        <v>0</v>
      </c>
      <c r="BQ1367" s="33">
        <f t="shared" ca="1" si="2551"/>
        <v>0</v>
      </c>
      <c r="BR1367" s="33">
        <f t="shared" ca="1" si="2551"/>
        <v>0</v>
      </c>
      <c r="BS1367" s="33">
        <f t="shared" ca="1" si="2551"/>
        <v>0</v>
      </c>
      <c r="BT1367" s="33">
        <f t="shared" ca="1" si="2551"/>
        <v>0</v>
      </c>
      <c r="BU1367" s="33">
        <f t="shared" ref="BU1367:BY1367" ca="1" si="2552">++IF(BU1257&lt;0,BU1257,+BU1255/BU1254)++IF(BU1266&lt;0,BU1266,+BU1264/BU1263)</f>
        <v>0</v>
      </c>
      <c r="BV1367" s="33">
        <f t="shared" ca="1" si="2552"/>
        <v>0</v>
      </c>
      <c r="BW1367" s="33">
        <f t="shared" ca="1" si="2552"/>
        <v>0</v>
      </c>
      <c r="BX1367" s="33">
        <f t="shared" ca="1" si="2552"/>
        <v>0</v>
      </c>
      <c r="BY1367" s="33">
        <f t="shared" ca="1" si="2552"/>
        <v>0</v>
      </c>
    </row>
    <row r="1368" spans="5:77">
      <c r="E1368" s="25" t="s">
        <v>660</v>
      </c>
      <c r="F1368" s="556" t="s">
        <v>159</v>
      </c>
      <c r="G1368" s="25"/>
      <c r="H1368" s="34">
        <f ca="1">-H1303/H1263</f>
        <v>0</v>
      </c>
      <c r="I1368" s="34">
        <f t="shared" ref="I1368:BT1368" ca="1" si="2553">-I1303/I1263</f>
        <v>0</v>
      </c>
      <c r="J1368" s="34">
        <f t="shared" ca="1" si="2553"/>
        <v>0</v>
      </c>
      <c r="K1368" s="34">
        <f t="shared" ca="1" si="2553"/>
        <v>-4548266.5131339403</v>
      </c>
      <c r="L1368" s="34">
        <f t="shared" ca="1" si="2553"/>
        <v>-6871250.4261852251</v>
      </c>
      <c r="M1368" s="34">
        <f t="shared" ca="1" si="2553"/>
        <v>-9380872.7602913342</v>
      </c>
      <c r="N1368" s="34">
        <f t="shared" ca="1" si="2553"/>
        <v>-12088693.77500887</v>
      </c>
      <c r="O1368" s="34">
        <f t="shared" ca="1" si="2553"/>
        <v>-15006914.740546033</v>
      </c>
      <c r="P1368" s="34">
        <f t="shared" ca="1" si="2553"/>
        <v>-18148411.356014069</v>
      </c>
      <c r="Q1368" s="34">
        <f t="shared" ca="1" si="2553"/>
        <v>-21526768.84263223</v>
      </c>
      <c r="R1368" s="34">
        <f t="shared" ca="1" si="2553"/>
        <v>-25156318.793572407</v>
      </c>
      <c r="S1368" s="34">
        <f t="shared" ca="1" si="2553"/>
        <v>-29052177.86603415</v>
      </c>
      <c r="T1368" s="34">
        <f t="shared" ca="1" si="2553"/>
        <v>-33230288.405229069</v>
      </c>
      <c r="U1368" s="34">
        <f t="shared" ca="1" si="2553"/>
        <v>-37707461.094234191</v>
      </c>
      <c r="V1368" s="34">
        <f t="shared" ca="1" si="2553"/>
        <v>-42501419.72815571</v>
      </c>
      <c r="W1368" s="34">
        <f t="shared" ca="1" si="2553"/>
        <v>-47630848.215737179</v>
      </c>
      <c r="X1368" s="34">
        <f t="shared" ca="1" si="2553"/>
        <v>-53115439.91645886</v>
      </c>
      <c r="Y1368" s="34">
        <f t="shared" ca="1" si="2553"/>
        <v>-58975949.426318698</v>
      </c>
      <c r="Z1368" s="34">
        <f t="shared" ca="1" si="2553"/>
        <v>0</v>
      </c>
      <c r="AA1368" s="34">
        <f t="shared" ca="1" si="2553"/>
        <v>0</v>
      </c>
      <c r="AB1368" s="34">
        <f t="shared" ca="1" si="2553"/>
        <v>0</v>
      </c>
      <c r="AC1368" s="34">
        <f t="shared" ca="1" si="2553"/>
        <v>0</v>
      </c>
      <c r="AD1368" s="34">
        <f t="shared" ca="1" si="2553"/>
        <v>0</v>
      </c>
      <c r="AE1368" s="34">
        <f t="shared" ca="1" si="2553"/>
        <v>0</v>
      </c>
      <c r="AF1368" s="34">
        <f t="shared" ca="1" si="2553"/>
        <v>0</v>
      </c>
      <c r="AG1368" s="34">
        <f t="shared" ca="1" si="2553"/>
        <v>0</v>
      </c>
      <c r="AH1368" s="34">
        <f t="shared" ca="1" si="2553"/>
        <v>0</v>
      </c>
      <c r="AI1368" s="34">
        <f t="shared" ca="1" si="2553"/>
        <v>0</v>
      </c>
      <c r="AJ1368" s="34">
        <f t="shared" ca="1" si="2553"/>
        <v>0</v>
      </c>
      <c r="AK1368" s="34">
        <f t="shared" ca="1" si="2553"/>
        <v>0</v>
      </c>
      <c r="AL1368" s="34">
        <f t="shared" ca="1" si="2553"/>
        <v>0</v>
      </c>
      <c r="AM1368" s="34">
        <f t="shared" ca="1" si="2553"/>
        <v>0</v>
      </c>
      <c r="AN1368" s="34">
        <f t="shared" ca="1" si="2553"/>
        <v>0</v>
      </c>
      <c r="AO1368" s="34">
        <f t="shared" ca="1" si="2553"/>
        <v>0</v>
      </c>
      <c r="AP1368" s="34">
        <f t="shared" ca="1" si="2553"/>
        <v>0</v>
      </c>
      <c r="AQ1368" s="34">
        <f t="shared" ca="1" si="2553"/>
        <v>0</v>
      </c>
      <c r="AR1368" s="34">
        <f t="shared" ca="1" si="2553"/>
        <v>0</v>
      </c>
      <c r="AS1368" s="34">
        <f t="shared" ca="1" si="2553"/>
        <v>0</v>
      </c>
      <c r="AT1368" s="34">
        <f t="shared" ca="1" si="2553"/>
        <v>0</v>
      </c>
      <c r="AU1368" s="34">
        <f t="shared" ca="1" si="2553"/>
        <v>0</v>
      </c>
      <c r="AV1368" s="34">
        <f t="shared" ca="1" si="2553"/>
        <v>0</v>
      </c>
      <c r="AW1368" s="34">
        <f t="shared" ca="1" si="2553"/>
        <v>0</v>
      </c>
      <c r="AX1368" s="34">
        <f t="shared" ca="1" si="2553"/>
        <v>0</v>
      </c>
      <c r="AY1368" s="34">
        <f t="shared" ca="1" si="2553"/>
        <v>0</v>
      </c>
      <c r="AZ1368" s="34">
        <f t="shared" ca="1" si="2553"/>
        <v>0</v>
      </c>
      <c r="BA1368" s="34">
        <f t="shared" ca="1" si="2553"/>
        <v>0</v>
      </c>
      <c r="BB1368" s="34">
        <f t="shared" ca="1" si="2553"/>
        <v>0</v>
      </c>
      <c r="BC1368" s="34">
        <f t="shared" ca="1" si="2553"/>
        <v>0</v>
      </c>
      <c r="BD1368" s="34">
        <f t="shared" ca="1" si="2553"/>
        <v>0</v>
      </c>
      <c r="BE1368" s="34">
        <f t="shared" ca="1" si="2553"/>
        <v>0</v>
      </c>
      <c r="BF1368" s="34">
        <f t="shared" ca="1" si="2553"/>
        <v>0</v>
      </c>
      <c r="BG1368" s="34">
        <f t="shared" ca="1" si="2553"/>
        <v>0</v>
      </c>
      <c r="BH1368" s="34">
        <f t="shared" ca="1" si="2553"/>
        <v>0</v>
      </c>
      <c r="BI1368" s="34">
        <f t="shared" ca="1" si="2553"/>
        <v>0</v>
      </c>
      <c r="BJ1368" s="34">
        <f t="shared" ca="1" si="2553"/>
        <v>0</v>
      </c>
      <c r="BK1368" s="34">
        <f t="shared" ca="1" si="2553"/>
        <v>0</v>
      </c>
      <c r="BL1368" s="34">
        <f t="shared" ca="1" si="2553"/>
        <v>0</v>
      </c>
      <c r="BM1368" s="34">
        <f t="shared" ca="1" si="2553"/>
        <v>0</v>
      </c>
      <c r="BN1368" s="34">
        <f t="shared" ca="1" si="2553"/>
        <v>0</v>
      </c>
      <c r="BO1368" s="34">
        <f t="shared" ca="1" si="2553"/>
        <v>0</v>
      </c>
      <c r="BP1368" s="34">
        <f t="shared" ca="1" si="2553"/>
        <v>0</v>
      </c>
      <c r="BQ1368" s="34">
        <f t="shared" ca="1" si="2553"/>
        <v>0</v>
      </c>
      <c r="BR1368" s="34">
        <f t="shared" ca="1" si="2553"/>
        <v>0</v>
      </c>
      <c r="BS1368" s="34">
        <f t="shared" ca="1" si="2553"/>
        <v>0</v>
      </c>
      <c r="BT1368" s="34">
        <f t="shared" ca="1" si="2553"/>
        <v>0</v>
      </c>
      <c r="BU1368" s="34">
        <f t="shared" ref="BU1368:BY1368" ca="1" si="2554">-BU1303/BU1263</f>
        <v>0</v>
      </c>
      <c r="BV1368" s="34">
        <f t="shared" ca="1" si="2554"/>
        <v>0</v>
      </c>
      <c r="BW1368" s="34">
        <f t="shared" ca="1" si="2554"/>
        <v>0</v>
      </c>
      <c r="BX1368" s="34">
        <f t="shared" ca="1" si="2554"/>
        <v>0</v>
      </c>
      <c r="BY1368" s="34">
        <f t="shared" ca="1" si="2554"/>
        <v>0</v>
      </c>
    </row>
    <row r="1369" spans="5:77">
      <c r="E1369" t="s">
        <v>661</v>
      </c>
      <c r="F1369" s="104" t="s">
        <v>159</v>
      </c>
      <c r="H1369" s="33">
        <f ca="1">+IFERROR((H1358-SUM(H1362:H1368))*SUM(H66:H68),0)</f>
        <v>0</v>
      </c>
      <c r="I1369" s="33">
        <f t="shared" ref="I1369:BT1369" ca="1" si="2555">+IFERROR((I1358-SUM(I1362:I1368))*SUM(I66:I68),0)</f>
        <v>0</v>
      </c>
      <c r="J1369" s="33">
        <f t="shared" ca="1" si="2555"/>
        <v>0</v>
      </c>
      <c r="K1369" s="33">
        <f t="shared" ca="1" si="2555"/>
        <v>0</v>
      </c>
      <c r="L1369" s="33">
        <f t="shared" ca="1" si="2555"/>
        <v>0</v>
      </c>
      <c r="M1369" s="33">
        <f t="shared" ca="1" si="2555"/>
        <v>0</v>
      </c>
      <c r="N1369" s="33">
        <f t="shared" ca="1" si="2555"/>
        <v>0</v>
      </c>
      <c r="O1369" s="33">
        <f t="shared" ca="1" si="2555"/>
        <v>0</v>
      </c>
      <c r="P1369" s="33">
        <f t="shared" ca="1" si="2555"/>
        <v>0</v>
      </c>
      <c r="Q1369" s="33">
        <f t="shared" ca="1" si="2555"/>
        <v>0</v>
      </c>
      <c r="R1369" s="33">
        <f t="shared" ca="1" si="2555"/>
        <v>0</v>
      </c>
      <c r="S1369" s="33">
        <f t="shared" ca="1" si="2555"/>
        <v>0</v>
      </c>
      <c r="T1369" s="33">
        <f t="shared" ca="1" si="2555"/>
        <v>0</v>
      </c>
      <c r="U1369" s="33">
        <f t="shared" ca="1" si="2555"/>
        <v>0</v>
      </c>
      <c r="V1369" s="33">
        <f t="shared" ca="1" si="2555"/>
        <v>0</v>
      </c>
      <c r="W1369" s="33">
        <f t="shared" ca="1" si="2555"/>
        <v>0</v>
      </c>
      <c r="X1369" s="33">
        <f t="shared" ca="1" si="2555"/>
        <v>0</v>
      </c>
      <c r="Y1369" s="33">
        <f t="shared" ca="1" si="2555"/>
        <v>0</v>
      </c>
      <c r="Z1369" s="33">
        <f t="shared" ca="1" si="2555"/>
        <v>0</v>
      </c>
      <c r="AA1369" s="33">
        <f t="shared" ca="1" si="2555"/>
        <v>0</v>
      </c>
      <c r="AB1369" s="33">
        <f t="shared" ca="1" si="2555"/>
        <v>0</v>
      </c>
      <c r="AC1369" s="33">
        <f t="shared" ca="1" si="2555"/>
        <v>0</v>
      </c>
      <c r="AD1369" s="33">
        <f t="shared" ca="1" si="2555"/>
        <v>0</v>
      </c>
      <c r="AE1369" s="33">
        <f t="shared" ca="1" si="2555"/>
        <v>0</v>
      </c>
      <c r="AF1369" s="33">
        <f t="shared" ca="1" si="2555"/>
        <v>0</v>
      </c>
      <c r="AG1369" s="33">
        <f t="shared" ca="1" si="2555"/>
        <v>0</v>
      </c>
      <c r="AH1369" s="33">
        <f t="shared" ca="1" si="2555"/>
        <v>0</v>
      </c>
      <c r="AI1369" s="33">
        <f t="shared" ca="1" si="2555"/>
        <v>0</v>
      </c>
      <c r="AJ1369" s="33">
        <f t="shared" ca="1" si="2555"/>
        <v>0</v>
      </c>
      <c r="AK1369" s="33">
        <f t="shared" ca="1" si="2555"/>
        <v>0</v>
      </c>
      <c r="AL1369" s="33">
        <f t="shared" ca="1" si="2555"/>
        <v>0</v>
      </c>
      <c r="AM1369" s="33">
        <f t="shared" ca="1" si="2555"/>
        <v>0</v>
      </c>
      <c r="AN1369" s="33">
        <f t="shared" ca="1" si="2555"/>
        <v>0</v>
      </c>
      <c r="AO1369" s="33">
        <f t="shared" ca="1" si="2555"/>
        <v>0</v>
      </c>
      <c r="AP1369" s="33">
        <f t="shared" ca="1" si="2555"/>
        <v>0</v>
      </c>
      <c r="AQ1369" s="33">
        <f t="shared" ca="1" si="2555"/>
        <v>0</v>
      </c>
      <c r="AR1369" s="33">
        <f t="shared" ca="1" si="2555"/>
        <v>0</v>
      </c>
      <c r="AS1369" s="33">
        <f t="shared" ca="1" si="2555"/>
        <v>0</v>
      </c>
      <c r="AT1369" s="33">
        <f t="shared" ca="1" si="2555"/>
        <v>0</v>
      </c>
      <c r="AU1369" s="33">
        <f t="shared" ca="1" si="2555"/>
        <v>0</v>
      </c>
      <c r="AV1369" s="33">
        <f t="shared" ca="1" si="2555"/>
        <v>0</v>
      </c>
      <c r="AW1369" s="33">
        <f t="shared" ca="1" si="2555"/>
        <v>0</v>
      </c>
      <c r="AX1369" s="33">
        <f t="shared" ca="1" si="2555"/>
        <v>0</v>
      </c>
      <c r="AY1369" s="33">
        <f t="shared" ca="1" si="2555"/>
        <v>0</v>
      </c>
      <c r="AZ1369" s="33">
        <f t="shared" ca="1" si="2555"/>
        <v>0</v>
      </c>
      <c r="BA1369" s="33">
        <f t="shared" ca="1" si="2555"/>
        <v>0</v>
      </c>
      <c r="BB1369" s="33">
        <f t="shared" ca="1" si="2555"/>
        <v>0</v>
      </c>
      <c r="BC1369" s="33">
        <f t="shared" ca="1" si="2555"/>
        <v>0</v>
      </c>
      <c r="BD1369" s="33">
        <f t="shared" ca="1" si="2555"/>
        <v>0</v>
      </c>
      <c r="BE1369" s="33">
        <f t="shared" ca="1" si="2555"/>
        <v>0</v>
      </c>
      <c r="BF1369" s="33">
        <f t="shared" ca="1" si="2555"/>
        <v>0</v>
      </c>
      <c r="BG1369" s="33">
        <f t="shared" ca="1" si="2555"/>
        <v>0</v>
      </c>
      <c r="BH1369" s="33">
        <f t="shared" ca="1" si="2555"/>
        <v>0</v>
      </c>
      <c r="BI1369" s="33">
        <f t="shared" ca="1" si="2555"/>
        <v>0</v>
      </c>
      <c r="BJ1369" s="33">
        <f t="shared" ca="1" si="2555"/>
        <v>0</v>
      </c>
      <c r="BK1369" s="33">
        <f t="shared" ca="1" si="2555"/>
        <v>0</v>
      </c>
      <c r="BL1369" s="33">
        <f t="shared" ca="1" si="2555"/>
        <v>0</v>
      </c>
      <c r="BM1369" s="33">
        <f t="shared" ca="1" si="2555"/>
        <v>0</v>
      </c>
      <c r="BN1369" s="33">
        <f t="shared" ca="1" si="2555"/>
        <v>0</v>
      </c>
      <c r="BO1369" s="33">
        <f t="shared" ca="1" si="2555"/>
        <v>0</v>
      </c>
      <c r="BP1369" s="33">
        <f t="shared" ca="1" si="2555"/>
        <v>0</v>
      </c>
      <c r="BQ1369" s="33">
        <f t="shared" ca="1" si="2555"/>
        <v>0</v>
      </c>
      <c r="BR1369" s="33">
        <f t="shared" ca="1" si="2555"/>
        <v>0</v>
      </c>
      <c r="BS1369" s="33">
        <f t="shared" ca="1" si="2555"/>
        <v>0</v>
      </c>
      <c r="BT1369" s="33">
        <f t="shared" ca="1" si="2555"/>
        <v>0</v>
      </c>
      <c r="BU1369" s="33">
        <f t="shared" ref="BU1369:BY1369" ca="1" si="2556">+IFERROR((BU1358-SUM(BU1362:BU1368))*SUM(BU66:BU68),0)</f>
        <v>0</v>
      </c>
      <c r="BV1369" s="33">
        <f t="shared" ca="1" si="2556"/>
        <v>0</v>
      </c>
      <c r="BW1369" s="33">
        <f t="shared" ca="1" si="2556"/>
        <v>0</v>
      </c>
      <c r="BX1369" s="33">
        <f t="shared" ca="1" si="2556"/>
        <v>0</v>
      </c>
      <c r="BY1369" s="33">
        <f t="shared" ca="1" si="2556"/>
        <v>0</v>
      </c>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0010-7E6A-4114-808E-435FD93BA12D}">
  <sheetPr codeName="Sheet10">
    <tabColor theme="0" tint="-0.14999847407452621"/>
  </sheetPr>
  <dimension ref="A1:BJ612"/>
  <sheetViews>
    <sheetView showGridLines="0" showOutlineSymbols="0" zoomScaleNormal="100" workbookViewId="0">
      <selection activeCell="N23" sqref="N23"/>
    </sheetView>
  </sheetViews>
  <sheetFormatPr defaultColWidth="0" defaultRowHeight="14.25"/>
  <cols>
    <col min="1" max="1" width="0.875" customWidth="1"/>
    <col min="2" max="2" width="29.625" bestFit="1" customWidth="1"/>
    <col min="3" max="3" width="29.625" customWidth="1"/>
    <col min="4" max="5" width="19.125" customWidth="1"/>
    <col min="6" max="6" width="8.625" customWidth="1"/>
    <col min="7" max="8" width="12.125" customWidth="1"/>
    <col min="9" max="10" width="8.625" customWidth="1"/>
    <col min="11" max="11" width="22.625" bestFit="1" customWidth="1"/>
    <col min="12" max="12" width="26.75" bestFit="1" customWidth="1"/>
    <col min="13" max="13" width="27.375" bestFit="1" customWidth="1"/>
    <col min="14" max="16" width="27.375" customWidth="1"/>
    <col min="17" max="17" width="28.5" bestFit="1" customWidth="1"/>
    <col min="18" max="18" width="28.5" hidden="1" customWidth="1"/>
    <col min="19" max="19" width="30.75" bestFit="1" customWidth="1"/>
    <col min="20" max="20" width="28.5" customWidth="1"/>
    <col min="21" max="21" width="14.375" bestFit="1" customWidth="1"/>
    <col min="22" max="22" width="8.625" customWidth="1"/>
    <col min="23" max="23" width="10.625" bestFit="1" customWidth="1"/>
    <col min="24" max="24" width="21.375" customWidth="1"/>
    <col min="25" max="25" width="68.375" bestFit="1" customWidth="1"/>
    <col min="26" max="26" width="59" bestFit="1" customWidth="1"/>
    <col min="27" max="29" width="8.625" customWidth="1"/>
    <col min="30" max="30" width="20.5" bestFit="1" customWidth="1"/>
    <col min="31" max="31" width="14" bestFit="1" customWidth="1"/>
    <col min="32" max="32" width="11.125" bestFit="1" customWidth="1"/>
    <col min="33" max="33" width="10" bestFit="1" customWidth="1"/>
    <col min="34" max="34" width="33.875" bestFit="1" customWidth="1"/>
    <col min="35" max="35" width="43.75" bestFit="1" customWidth="1"/>
    <col min="36" max="36" width="34" bestFit="1" customWidth="1"/>
    <col min="37" max="41" width="34" customWidth="1"/>
    <col min="42" max="42" width="42.125" bestFit="1" customWidth="1"/>
    <col min="43" max="43" width="34" customWidth="1"/>
    <col min="44" max="44" width="42.625" bestFit="1" customWidth="1"/>
    <col min="45" max="46" width="42.625" customWidth="1"/>
    <col min="47" max="47" width="32.125" bestFit="1" customWidth="1"/>
    <col min="48" max="48" width="30.875" bestFit="1" customWidth="1"/>
    <col min="49" max="49" width="31.625" bestFit="1" customWidth="1"/>
    <col min="50" max="50" width="30.375" bestFit="1" customWidth="1"/>
    <col min="51" max="51" width="8.625" customWidth="1"/>
    <col min="52" max="52" width="10.875" bestFit="1" customWidth="1"/>
    <col min="53" max="53" width="22.625" bestFit="1" customWidth="1"/>
    <col min="54" max="54" width="46.125" bestFit="1" customWidth="1"/>
    <col min="55" max="55" width="43.625" bestFit="1" customWidth="1"/>
    <col min="56" max="56" width="42.375" bestFit="1" customWidth="1"/>
    <col min="57" max="58" width="8.625" customWidth="1"/>
    <col min="59" max="62" width="0" hidden="1" customWidth="1"/>
    <col min="63" max="16384" width="8.625" hidden="1"/>
  </cols>
  <sheetData>
    <row r="1" spans="2:56" s="15" customFormat="1" ht="36" customHeight="1" thickBot="1">
      <c r="B1" s="15" t="str">
        <f ca="1">IFERROR(MID(CELL("filename",$A$1),FIND("]",CELL("filename",$A$1))+1,256),"Tab title (save and calculate to sync)")</f>
        <v>Tab title (save and calculate to sync)</v>
      </c>
    </row>
    <row r="3" spans="2:56" ht="15">
      <c r="B3" s="70" t="s">
        <v>662</v>
      </c>
      <c r="C3" s="70"/>
      <c r="D3" s="70"/>
      <c r="E3" s="70"/>
      <c r="G3" s="70" t="s">
        <v>663</v>
      </c>
      <c r="H3" s="70"/>
      <c r="K3" s="70" t="s">
        <v>664</v>
      </c>
      <c r="L3" s="70"/>
      <c r="M3" s="70"/>
      <c r="N3" s="70"/>
      <c r="O3" s="70"/>
      <c r="P3" s="70"/>
      <c r="Q3" s="70"/>
      <c r="R3" s="70"/>
      <c r="S3" s="70"/>
      <c r="T3" s="70"/>
      <c r="W3" s="70" t="s">
        <v>665</v>
      </c>
      <c r="X3" s="70"/>
      <c r="Y3" s="70"/>
      <c r="Z3" s="70"/>
      <c r="AD3" s="70" t="s">
        <v>124</v>
      </c>
      <c r="AE3" s="70"/>
      <c r="AF3" s="70"/>
      <c r="AG3" s="70"/>
      <c r="AH3" s="70"/>
      <c r="AI3" s="70"/>
      <c r="AJ3" s="70"/>
      <c r="AK3" s="70"/>
      <c r="AL3" s="70"/>
      <c r="AM3" s="70"/>
      <c r="AN3" s="70"/>
      <c r="AO3" s="70"/>
      <c r="AP3" s="70"/>
      <c r="AQ3" s="70"/>
      <c r="AR3" s="70"/>
      <c r="AS3" s="70"/>
      <c r="AT3" s="70"/>
      <c r="AU3" s="70" t="s">
        <v>666</v>
      </c>
      <c r="AV3" s="70"/>
      <c r="AW3" s="70" t="s">
        <v>667</v>
      </c>
      <c r="AX3" s="70"/>
      <c r="AZ3" s="70" t="s">
        <v>63</v>
      </c>
      <c r="BA3" s="70"/>
      <c r="BB3" s="70"/>
      <c r="BC3" s="70"/>
      <c r="BD3" s="70"/>
    </row>
    <row r="4" spans="2:56" ht="15">
      <c r="B4" s="66" t="s">
        <v>668</v>
      </c>
      <c r="C4" s="66" t="s">
        <v>171</v>
      </c>
      <c r="D4" s="66" t="s">
        <v>669</v>
      </c>
      <c r="E4" s="66" t="s">
        <v>670</v>
      </c>
      <c r="G4" s="66" t="s">
        <v>671</v>
      </c>
      <c r="H4" s="66" t="s">
        <v>672</v>
      </c>
      <c r="K4" s="66" t="s">
        <v>664</v>
      </c>
      <c r="L4" s="66" t="s">
        <v>673</v>
      </c>
      <c r="M4" s="66" t="s">
        <v>674</v>
      </c>
      <c r="N4" s="66" t="s">
        <v>675</v>
      </c>
      <c r="O4" s="66" t="s">
        <v>676</v>
      </c>
      <c r="P4" s="66" t="s">
        <v>677</v>
      </c>
      <c r="Q4" s="66" t="s">
        <v>678</v>
      </c>
      <c r="R4" s="66" t="s">
        <v>679</v>
      </c>
      <c r="S4" s="66" t="s">
        <v>680</v>
      </c>
      <c r="T4" s="66" t="s">
        <v>270</v>
      </c>
      <c r="W4" s="66" t="s">
        <v>681</v>
      </c>
      <c r="X4" s="66" t="s">
        <v>109</v>
      </c>
      <c r="Y4" s="66" t="s">
        <v>682</v>
      </c>
      <c r="Z4" s="66" t="s">
        <v>683</v>
      </c>
      <c r="AD4" s="66" t="s">
        <v>684</v>
      </c>
      <c r="AE4" s="66" t="s">
        <v>685</v>
      </c>
      <c r="AF4" s="66" t="s">
        <v>686</v>
      </c>
      <c r="AG4" s="66" t="s">
        <v>687</v>
      </c>
      <c r="AH4" s="66" t="s">
        <v>688</v>
      </c>
      <c r="AI4" s="66" t="s">
        <v>689</v>
      </c>
      <c r="AJ4" s="66" t="s">
        <v>690</v>
      </c>
      <c r="AK4" s="66" t="s">
        <v>691</v>
      </c>
      <c r="AL4" s="66" t="s">
        <v>692</v>
      </c>
      <c r="AM4" s="66" t="s">
        <v>693</v>
      </c>
      <c r="AN4" s="66" t="s">
        <v>694</v>
      </c>
      <c r="AO4" s="66" t="s">
        <v>695</v>
      </c>
      <c r="AP4" s="66" t="s">
        <v>696</v>
      </c>
      <c r="AQ4" s="66" t="s">
        <v>697</v>
      </c>
      <c r="AR4" s="66" t="s">
        <v>698</v>
      </c>
      <c r="AS4" s="66" t="s">
        <v>699</v>
      </c>
      <c r="AT4" s="66" t="s">
        <v>700</v>
      </c>
      <c r="AU4" s="66" t="s">
        <v>701</v>
      </c>
      <c r="AV4" s="66" t="s">
        <v>702</v>
      </c>
      <c r="AW4" s="66" t="s">
        <v>701</v>
      </c>
      <c r="AX4" s="66" t="s">
        <v>702</v>
      </c>
      <c r="AZ4" s="66" t="s">
        <v>703</v>
      </c>
      <c r="BA4" s="66" t="s">
        <v>704</v>
      </c>
      <c r="BB4" s="66" t="s">
        <v>705</v>
      </c>
      <c r="BC4" s="66" t="s">
        <v>706</v>
      </c>
      <c r="BD4" s="66" t="s">
        <v>707</v>
      </c>
    </row>
    <row r="5" spans="2:56">
      <c r="B5" s="118" t="s">
        <v>169</v>
      </c>
      <c r="C5" s="118" t="s">
        <v>708</v>
      </c>
      <c r="D5" s="125">
        <v>4.1890000000000004E-2</v>
      </c>
      <c r="E5" s="133">
        <v>0</v>
      </c>
      <c r="G5" s="127" t="s">
        <v>709</v>
      </c>
      <c r="H5" s="128">
        <v>0.19</v>
      </c>
      <c r="K5" s="118" t="s">
        <v>710</v>
      </c>
      <c r="L5" s="725">
        <v>0.3387607846065307</v>
      </c>
      <c r="M5" s="725">
        <v>120</v>
      </c>
      <c r="N5" s="725">
        <f>+IF(ISNUMBER(_xlfn.XLOOKUP(K5,IRACredits!$E$19:$K$19,IRACredits!$E$22:$K$22)),_xlfn.XLOOKUP(K5,IRACredits!$E$19:$K$19,IRACredits!$E$22:$K$22),0)</f>
        <v>0</v>
      </c>
      <c r="O5" s="737">
        <f>+INDEX(Fuel_CapexOpex!$G$4:$CF$147,MATCH(K5&amp;"CapEx"&amp;"Global",Fuel_CapexOpex!$F$4:$F$147,0),MATCH(YEAR(Assumptions!$G$38),Fuel_CapexOpex!$G$3:$CF$3,0))</f>
        <v>7633.9254244219592</v>
      </c>
      <c r="P5" s="737">
        <f>+IF(Assumptions!$G$34="Purchased",0,INDEX(Fuel_CapexOpex!$G$4:$CF$147,MATCH(K5&amp;"OpEx"&amp;Assumptions!$G$15,Fuel_CapexOpex!$F$4:$F$147,0),MATCH(YEAR(Assumptions!$G$38),Fuel_CapexOpex!$G$3:$CF$3,0)))</f>
        <v>0</v>
      </c>
      <c r="Q5" s="725">
        <f>+L5/M5*10^3</f>
        <v>2.8230065383877556</v>
      </c>
      <c r="R5" s="738">
        <v>1</v>
      </c>
      <c r="S5" s="739">
        <v>0.70850000000000002</v>
      </c>
      <c r="T5" s="117" t="s">
        <v>711</v>
      </c>
      <c r="W5" t="s">
        <v>712</v>
      </c>
      <c r="X5" t="s">
        <v>365</v>
      </c>
      <c r="Y5" s="724">
        <v>46.5</v>
      </c>
      <c r="Z5" s="748">
        <f>3%*Y5</f>
        <v>1.395</v>
      </c>
      <c r="AD5" s="32" t="s">
        <v>713</v>
      </c>
      <c r="AE5" s="32" t="s">
        <v>714</v>
      </c>
      <c r="AF5" s="110">
        <v>3500</v>
      </c>
      <c r="AG5" s="32" t="s">
        <v>715</v>
      </c>
      <c r="AH5" s="32">
        <v>14</v>
      </c>
      <c r="AI5" s="731">
        <f>+AH5*AF5</f>
        <v>49000</v>
      </c>
      <c r="AJ5" s="32" t="s">
        <v>716</v>
      </c>
      <c r="AK5" s="32">
        <v>18</v>
      </c>
      <c r="AL5" s="32">
        <v>1</v>
      </c>
      <c r="AM5" s="32">
        <v>11.5</v>
      </c>
      <c r="AN5" s="32">
        <v>0.51</v>
      </c>
      <c r="AO5" s="32">
        <v>210</v>
      </c>
      <c r="AP5" s="32">
        <f>+SUM(VesselAssumptions!F16:F17)</f>
        <v>76485.272727272735</v>
      </c>
      <c r="AQ5" s="32">
        <f>+AO5*AM5*24/AN5*3.6+AP5</f>
        <v>485614.68449197861</v>
      </c>
      <c r="AR5" s="32">
        <f t="shared" ref="AR5:AR22" si="0">+AQ5/(AK5*24*AL5*AO5)</f>
        <v>5.3528955521602581</v>
      </c>
      <c r="AS5" s="32" t="str">
        <f>+_xlfn.XLOOKUP(Assumptions!$G$24,$K$5:$K$20,$T$5:$T$20)</f>
        <v>DF Ammonia</v>
      </c>
      <c r="AT5" s="32" t="str">
        <f>+_xlfn.XLOOKUP(Assumptions!$H$24,$K:$K,$T:$T)</f>
        <v>MF Diesel</v>
      </c>
      <c r="AU5" s="32" cm="1">
        <f t="array" ref="AU5">IFERROR(+_xlfn.XLOOKUP($AD5&amp;AU$4&amp;" - "&amp;$AS5,VesselAssumptions!C:C&amp;VesselAssumptions!D:D,VesselAssumptions!F:F)*10^6,0)</f>
        <v>57357500</v>
      </c>
      <c r="AV5" s="32" cm="1">
        <f t="array" ref="AV5">IFERROR(+_xlfn.XLOOKUP($AD5&amp;AV$4&amp;" - "&amp;$AS5,VesselAssumptions!C:C&amp;VesselAssumptions!D:D,VesselAssumptions!F:F)*10^6,0)</f>
        <v>2347335.4545454546</v>
      </c>
      <c r="AW5" s="32" cm="1">
        <f t="array" ref="AW5">IFERROR(+_xlfn.XLOOKUP($AD5&amp;AW$4&amp;" - "&amp;$AT5,VesselAssumptions!C:C&amp;VesselAssumptions!D:D,VesselAssumptions!F:F)*10^6,0)</f>
        <v>47902500</v>
      </c>
      <c r="AX5" s="32" cm="1">
        <f t="array" ref="AX5">IFERROR(+_xlfn.XLOOKUP($AD5&amp;AX$4&amp;" - "&amp;$AT5,VesselAssumptions!C:C&amp;VesselAssumptions!D:D,VesselAssumptions!F:F)*10^6,0)</f>
        <v>2266585.4545454546</v>
      </c>
      <c r="AZ5" s="117" t="s">
        <v>717</v>
      </c>
      <c r="BA5" s="117" t="s">
        <v>412</v>
      </c>
      <c r="BB5" s="117" t="s">
        <v>718</v>
      </c>
      <c r="BC5" s="546">
        <v>0.65510000000000002</v>
      </c>
      <c r="BD5" s="121">
        <v>1.576336E-4</v>
      </c>
    </row>
    <row r="6" spans="2:56">
      <c r="B6" s="118" t="s">
        <v>719</v>
      </c>
      <c r="C6" s="118" t="s">
        <v>720</v>
      </c>
      <c r="D6" s="125">
        <v>2.9014999999999999E-2</v>
      </c>
      <c r="E6" s="133">
        <v>5.3330521537057092E-3</v>
      </c>
      <c r="G6" s="129" t="s">
        <v>721</v>
      </c>
      <c r="H6" s="130">
        <v>0.155</v>
      </c>
      <c r="K6" s="118" t="s">
        <v>722</v>
      </c>
      <c r="L6" s="725">
        <v>0.29069928460653066</v>
      </c>
      <c r="M6" s="725">
        <v>120</v>
      </c>
      <c r="N6" s="725">
        <f>+IF(ISNUMBER(_xlfn.XLOOKUP(K6,IRACredits!$E$19:$K$19,IRACredits!$E$22:$K$22)),_xlfn.XLOOKUP(K6,IRACredits!$E$19:$K$19,IRACredits!$E$22:$K$22),0)</f>
        <v>0</v>
      </c>
      <c r="O6" s="737">
        <f>+INDEX(Fuel_CapexOpex!$G$4:$CF$147,MATCH(K6&amp;"CapEx"&amp;"Global",Fuel_CapexOpex!$F$4:$F$147,0),MATCH(YEAR(Assumptions!$G$38),Fuel_CapexOpex!$G$3:$CF$3,0))</f>
        <v>6633.9254244219592</v>
      </c>
      <c r="P6" s="737">
        <f>+IF(Assumptions!$G$34="Purchased",0,INDEX(Fuel_CapexOpex!$G$4:$CF$147,MATCH(K6&amp;"OpEx"&amp;Assumptions!$G$15,Fuel_CapexOpex!$F$4:$F$147,0),MATCH(YEAR(Assumptions!$G$38),Fuel_CapexOpex!$G$3:$CF$3,0)))</f>
        <v>0</v>
      </c>
      <c r="Q6" s="725">
        <f>+L6/M6*10^3</f>
        <v>2.4224940383877556</v>
      </c>
      <c r="R6" s="738">
        <v>1</v>
      </c>
      <c r="S6" s="725">
        <v>0.04</v>
      </c>
      <c r="T6" s="118" t="s">
        <v>711</v>
      </c>
      <c r="W6" t="s">
        <v>712</v>
      </c>
      <c r="X6" t="s">
        <v>366</v>
      </c>
      <c r="Y6" s="724">
        <v>30</v>
      </c>
      <c r="Z6" s="748">
        <f>10%*Y6</f>
        <v>3</v>
      </c>
      <c r="AD6" s="32" t="s">
        <v>126</v>
      </c>
      <c r="AE6" s="32" t="s">
        <v>723</v>
      </c>
      <c r="AF6" s="110">
        <v>8000</v>
      </c>
      <c r="AG6" s="32" t="s">
        <v>715</v>
      </c>
      <c r="AH6" s="32">
        <v>14</v>
      </c>
      <c r="AI6" s="731">
        <f t="shared" ref="AI6:AI16" si="1">+AH6*AF6</f>
        <v>112000</v>
      </c>
      <c r="AJ6" s="32" t="s">
        <v>716</v>
      </c>
      <c r="AK6" s="32">
        <v>18</v>
      </c>
      <c r="AL6" s="32">
        <v>1</v>
      </c>
      <c r="AM6" s="32">
        <v>24.5</v>
      </c>
      <c r="AN6" s="32">
        <v>0.51</v>
      </c>
      <c r="AO6" s="32">
        <v>240</v>
      </c>
      <c r="AP6" s="32">
        <f>+SUM(VesselAssumptions!F41:F42)</f>
        <v>148660.36363636365</v>
      </c>
      <c r="AQ6" s="32">
        <f t="shared" ref="AQ6:AQ22" si="2">+AO6*AM6*24/AN6*3.6+AP6</f>
        <v>1144801.5401069517</v>
      </c>
      <c r="AR6" s="32">
        <f t="shared" si="0"/>
        <v>11.041681521093285</v>
      </c>
      <c r="AS6" s="32" t="str">
        <f>+_xlfn.XLOOKUP(Assumptions!$G$24,$K$5:$K$20,$T$5:$T$20)</f>
        <v>DF Ammonia</v>
      </c>
      <c r="AT6" s="32" t="str">
        <f>+_xlfn.XLOOKUP(Assumptions!$H$24,$K:$K,$T:$T)</f>
        <v>MF Diesel</v>
      </c>
      <c r="AU6" s="32" cm="1">
        <f t="array" ref="AU6">IFERROR(+_xlfn.XLOOKUP($AD6&amp;AU$4&amp;" - "&amp;$AS6,VesselAssumptions!C:C&amp;VesselAssumptions!D:D,VesselAssumptions!F:F)*10^6,0)</f>
        <v>127563000</v>
      </c>
      <c r="AV6" s="32" cm="1">
        <f t="array" ref="AV6">IFERROR(+_xlfn.XLOOKUP($AD6&amp;AV$4&amp;" - "&amp;$AS6,VesselAssumptions!C:C&amp;VesselAssumptions!D:D,VesselAssumptions!F:F)*10^6,0)</f>
        <v>3368147.2727272729</v>
      </c>
      <c r="AW6" s="32" cm="1">
        <f t="array" ref="AW6">IFERROR(+_xlfn.XLOOKUP($AD6&amp;AW$4&amp;" - "&amp;$AT6,VesselAssumptions!C:C&amp;VesselAssumptions!D:D,VesselAssumptions!F:F)*10^6,0)</f>
        <v>104831000</v>
      </c>
      <c r="AX6" s="32" cm="1">
        <f t="array" ref="AX6">IFERROR(+_xlfn.XLOOKUP($AD6&amp;AX$4&amp;" - "&amp;$AT6,VesselAssumptions!C:C&amp;VesselAssumptions!D:D,VesselAssumptions!F:F)*10^6,0)</f>
        <v>3175747.2727272729</v>
      </c>
      <c r="AZ6" s="118" t="s">
        <v>169</v>
      </c>
      <c r="BA6" s="118" t="s">
        <v>412</v>
      </c>
      <c r="BB6" s="118" t="s">
        <v>718</v>
      </c>
      <c r="BC6" s="546">
        <v>0.70430000000000004</v>
      </c>
      <c r="BD6" s="121">
        <v>2.5189999999999999E-6</v>
      </c>
    </row>
    <row r="7" spans="2:56">
      <c r="B7" s="118" t="s">
        <v>724</v>
      </c>
      <c r="C7" s="118" t="s">
        <v>720</v>
      </c>
      <c r="D7" s="125">
        <v>3.0544999999999999E-2</v>
      </c>
      <c r="E7" s="133">
        <v>7.9995782305585655E-3</v>
      </c>
      <c r="G7" s="129" t="s">
        <v>725</v>
      </c>
      <c r="H7" s="130">
        <v>0.10100000000000001</v>
      </c>
      <c r="K7" s="118" t="s">
        <v>121</v>
      </c>
      <c r="L7" s="725">
        <v>9.7809771229175502E-2</v>
      </c>
      <c r="M7" s="725">
        <v>18.8</v>
      </c>
      <c r="N7" s="725">
        <f>+IF(ISNUMBER(_xlfn.XLOOKUP(K7,IRACredits!$E$19:$K$19,IRACredits!$E$22:$K$22)),_xlfn.XLOOKUP(K7,IRACredits!$E$19:$K$19,IRACredits!$E$22:$K$22),0)</f>
        <v>9.5744680851063819</v>
      </c>
      <c r="O7" s="737">
        <f>+INDEX(Fuel_CapexOpex!$G$4:$CF$147,MATCH(K7&amp;"CapEx"&amp;"Global",Fuel_CapexOpex!$F$4:$F$147,0),MATCH(YEAR(Assumptions!$G$38),Fuel_CapexOpex!$G$3:$CF$3,0))</f>
        <v>2440.2865763959526</v>
      </c>
      <c r="P7" s="737">
        <f>+IF(Assumptions!$G$34="Purchased",0,INDEX(Fuel_CapexOpex!$G$4:$CF$147,MATCH(K7&amp;"OpEx"&amp;Assumptions!$G$15,Fuel_CapexOpex!$F$4:$F$147,0),MATCH(YEAR(Assumptions!$G$38),Fuel_CapexOpex!$G$3:$CF$3,0)))</f>
        <v>0</v>
      </c>
      <c r="Q7" s="751">
        <v>2.8</v>
      </c>
      <c r="R7" s="738">
        <v>1</v>
      </c>
      <c r="S7" s="725">
        <v>0.78</v>
      </c>
      <c r="T7" s="118" t="s">
        <v>726</v>
      </c>
      <c r="W7" t="s">
        <v>727</v>
      </c>
      <c r="X7" t="s">
        <v>365</v>
      </c>
      <c r="Y7" s="724">
        <v>13</v>
      </c>
      <c r="Z7" s="748">
        <f>3%*Y7</f>
        <v>0.39</v>
      </c>
      <c r="AD7" s="32" t="s">
        <v>728</v>
      </c>
      <c r="AE7" s="32" t="s">
        <v>729</v>
      </c>
      <c r="AF7" s="110">
        <v>15000</v>
      </c>
      <c r="AG7" s="32" t="s">
        <v>715</v>
      </c>
      <c r="AH7" s="32">
        <v>14</v>
      </c>
      <c r="AI7" s="731">
        <f t="shared" si="1"/>
        <v>210000</v>
      </c>
      <c r="AJ7" s="32" t="s">
        <v>716</v>
      </c>
      <c r="AK7" s="32">
        <v>18</v>
      </c>
      <c r="AL7" s="32">
        <v>1</v>
      </c>
      <c r="AM7" s="32">
        <v>27.2</v>
      </c>
      <c r="AN7" s="32">
        <v>0.51</v>
      </c>
      <c r="AO7" s="32">
        <v>240</v>
      </c>
      <c r="AP7" s="32">
        <f>+SUM(VesselAssumptions!F66:F67)</f>
        <v>112874.72727272726</v>
      </c>
      <c r="AQ7" s="32">
        <f t="shared" si="2"/>
        <v>1218794.7272727273</v>
      </c>
      <c r="AR7" s="32">
        <f t="shared" si="0"/>
        <v>11.755350378787879</v>
      </c>
      <c r="AS7" s="32" t="str">
        <f>+_xlfn.XLOOKUP(Assumptions!$G$24,$K$5:$K$20,$T$5:$T$20)</f>
        <v>DF Ammonia</v>
      </c>
      <c r="AT7" s="32" t="str">
        <f>+_xlfn.XLOOKUP(Assumptions!$H$24,$K:$K,$T:$T)</f>
        <v>MF Diesel</v>
      </c>
      <c r="AU7" s="32" cm="1">
        <f t="array" ref="AU7">IFERROR(+_xlfn.XLOOKUP($AD7&amp;AU$4&amp;" - "&amp;$AS7,VesselAssumptions!C:C&amp;VesselAssumptions!D:D,VesselAssumptions!F:F)*10^6,0)</f>
        <v>193020000</v>
      </c>
      <c r="AV7" s="32" cm="1">
        <f t="array" ref="AV7">IFERROR(+_xlfn.XLOOKUP($AD7&amp;AV$4&amp;" - "&amp;$AS7,VesselAssumptions!C:C&amp;VesselAssumptions!D:D,VesselAssumptions!F:F)*10^6,0)</f>
        <v>3876646.5454545454</v>
      </c>
      <c r="AW7" s="32" cm="1">
        <f t="array" ref="AW7">IFERROR(+_xlfn.XLOOKUP($AD7&amp;AW$4&amp;" - "&amp;$AT7,VesselAssumptions!C:C&amp;VesselAssumptions!D:D,VesselAssumptions!F:F)*10^6,0)</f>
        <v>164172500</v>
      </c>
      <c r="AX7" s="32" cm="1">
        <f t="array" ref="AX7">IFERROR(+_xlfn.XLOOKUP($AD7&amp;AX$4&amp;" - "&amp;$AT7,VesselAssumptions!C:C&amp;VesselAssumptions!D:D,VesselAssumptions!F:F)*10^6,0)</f>
        <v>3629771.5454545454</v>
      </c>
      <c r="AZ7" s="118" t="s">
        <v>719</v>
      </c>
      <c r="BA7" s="118" t="s">
        <v>412</v>
      </c>
      <c r="BB7" s="118" t="s">
        <v>718</v>
      </c>
      <c r="BC7" s="546">
        <v>0.39969999999999994</v>
      </c>
      <c r="BD7" s="121">
        <v>5.3037999999999999E-6</v>
      </c>
    </row>
    <row r="8" spans="2:56">
      <c r="B8" s="118" t="s">
        <v>730</v>
      </c>
      <c r="C8" s="118" t="s">
        <v>731</v>
      </c>
      <c r="D8" s="125">
        <v>0.14513999999999999</v>
      </c>
      <c r="E8" s="133">
        <v>3.3410003198215195E-2</v>
      </c>
      <c r="G8" s="129" t="s">
        <v>732</v>
      </c>
      <c r="H8" s="130">
        <v>7.2800000000000004E-2</v>
      </c>
      <c r="K8" s="118" t="s">
        <v>733</v>
      </c>
      <c r="L8" s="725">
        <v>9.1716512148811491E-2</v>
      </c>
      <c r="M8" s="725">
        <v>19.899999999999999</v>
      </c>
      <c r="N8" s="751">
        <f>+N9</f>
        <v>9.5477386934673376</v>
      </c>
      <c r="O8" s="737">
        <f>+INDEX(Fuel_CapexOpex!$G$4:$CF$147,MATCH(K8&amp;"CapEx"&amp;"Global",Fuel_CapexOpex!$F$4:$F$147,0),MATCH(YEAR(Assumptions!$G$38),Fuel_CapexOpex!$G$3:$CF$3,0))</f>
        <v>4611.6758083176483</v>
      </c>
      <c r="P8" s="737">
        <f>+IF(Assumptions!$G$34="Purchased",0,INDEX(Fuel_CapexOpex!$G$4:$CF$147,MATCH(K8&amp;"OpEx"&amp;Assumptions!$G$15,Fuel_CapexOpex!$F$4:$F$147,0),MATCH(YEAR(Assumptions!$G$38),Fuel_CapexOpex!$G$3:$CF$3,0)))</f>
        <v>0</v>
      </c>
      <c r="Q8" s="725">
        <f t="shared" ref="Q8:Q12" si="3">+L8/M8*10^3</f>
        <v>4.608869957226708</v>
      </c>
      <c r="R8" s="738">
        <v>1</v>
      </c>
      <c r="S8" s="725">
        <v>0.79200000000000004</v>
      </c>
      <c r="T8" s="118" t="s">
        <v>734</v>
      </c>
      <c r="W8" t="s">
        <v>727</v>
      </c>
      <c r="X8" t="s">
        <v>366</v>
      </c>
      <c r="Y8" s="724">
        <v>13</v>
      </c>
      <c r="Z8" s="748">
        <f>10%*Y8</f>
        <v>1.3</v>
      </c>
      <c r="AD8" s="32" t="s">
        <v>735</v>
      </c>
      <c r="AE8" s="32" t="s">
        <v>736</v>
      </c>
      <c r="AF8" s="110">
        <v>35000</v>
      </c>
      <c r="AG8" s="32" t="s">
        <v>737</v>
      </c>
      <c r="AH8" s="32">
        <v>0.95</v>
      </c>
      <c r="AI8" s="731">
        <f t="shared" si="1"/>
        <v>33250</v>
      </c>
      <c r="AJ8" s="32" t="s">
        <v>738</v>
      </c>
      <c r="AK8" s="32">
        <v>11</v>
      </c>
      <c r="AL8" s="32">
        <v>1</v>
      </c>
      <c r="AM8" s="32">
        <v>2.5</v>
      </c>
      <c r="AN8" s="32">
        <v>0.51</v>
      </c>
      <c r="AO8" s="32">
        <v>210</v>
      </c>
      <c r="AP8" s="32">
        <f>+SUM(VesselAssumptions!F91:F92)</f>
        <v>38742.218181818185</v>
      </c>
      <c r="AQ8" s="32">
        <f t="shared" si="2"/>
        <v>127683.39465240642</v>
      </c>
      <c r="AR8" s="32">
        <f t="shared" si="0"/>
        <v>2.3030915341343148</v>
      </c>
      <c r="AS8" s="32" t="str">
        <f>+_xlfn.XLOOKUP(Assumptions!$G$24,$K$5:$K$20,$T$5:$T$20)</f>
        <v>DF Ammonia</v>
      </c>
      <c r="AT8" s="32" t="str">
        <f>+_xlfn.XLOOKUP(Assumptions!$H$24,$K:$K,$T:$T)</f>
        <v>MF Diesel</v>
      </c>
      <c r="AU8" s="32" cm="1">
        <f t="array" ref="AU8">IFERROR(+_xlfn.XLOOKUP($AD8&amp;AU$4&amp;" - "&amp;$AS8,VesselAssumptions!C:C&amp;VesselAssumptions!D:D,VesselAssumptions!F:F)*10^6,0)</f>
        <v>30278500</v>
      </c>
      <c r="AV8" s="32" cm="1">
        <f t="array" ref="AV8">IFERROR(+_xlfn.XLOOKUP($AD8&amp;AV$4&amp;" - "&amp;$AS8,VesselAssumptions!C:C&amp;VesselAssumptions!D:D,VesselAssumptions!F:F)*10^6,0)</f>
        <v>1676365.3636363635</v>
      </c>
      <c r="AW8" s="32" cm="1">
        <f t="array" ref="AW8">IFERROR(+_xlfn.XLOOKUP($AD8&amp;AW$4&amp;" - "&amp;$AT8,VesselAssumptions!C:C&amp;VesselAssumptions!D:D,VesselAssumptions!F:F)*10^6,0)</f>
        <v>25865000</v>
      </c>
      <c r="AX8" s="32" cm="1">
        <f t="array" ref="AX8">IFERROR(+_xlfn.XLOOKUP($AD8&amp;AX$4&amp;" - "&amp;$AT8,VesselAssumptions!C:C&amp;VesselAssumptions!D:D,VesselAssumptions!F:F)*10^6,0)</f>
        <v>1636740.3636363635</v>
      </c>
      <c r="AZ8" s="118" t="s">
        <v>739</v>
      </c>
      <c r="BA8" s="118" t="s">
        <v>412</v>
      </c>
      <c r="BB8" s="118" t="s">
        <v>718</v>
      </c>
      <c r="BC8" s="546">
        <v>0.75380000000000003</v>
      </c>
      <c r="BD8" s="121">
        <v>0</v>
      </c>
    </row>
    <row r="9" spans="2:56">
      <c r="B9" s="118" t="s">
        <v>740</v>
      </c>
      <c r="C9" s="118" t="s">
        <v>731</v>
      </c>
      <c r="D9" s="125">
        <v>3.1960000000000002E-2</v>
      </c>
      <c r="E9" s="133">
        <v>0</v>
      </c>
      <c r="G9" s="129" t="s">
        <v>741</v>
      </c>
      <c r="H9" s="130">
        <v>4.4200000000000003E-2</v>
      </c>
      <c r="K9" s="118" t="s">
        <v>742</v>
      </c>
      <c r="L9" s="725">
        <v>7.3808465648221189E-2</v>
      </c>
      <c r="M9" s="725">
        <v>19.899999999999999</v>
      </c>
      <c r="N9" s="725">
        <f>+IF(ISNUMBER(_xlfn.XLOOKUP(K9,IRACredits!$E$19:$K$19,IRACredits!$E$22:$K$22)),_xlfn.XLOOKUP(K9,IRACredits!$E$19:$K$19,IRACredits!$E$22:$K$22),0)</f>
        <v>9.5477386934673376</v>
      </c>
      <c r="O9" s="737">
        <f>+INDEX(Fuel_CapexOpex!$G$4:$CF$147,MATCH(K9&amp;"CapEx"&amp;"Global",Fuel_CapexOpex!$F$4:$F$147,0),MATCH(YEAR(Assumptions!$G$38),Fuel_CapexOpex!$G$3:$CF$3,0))</f>
        <v>4672.1815419419518</v>
      </c>
      <c r="P9" s="737">
        <f>+IF(Assumptions!$G$34="Purchased",0,INDEX(Fuel_CapexOpex!$G$4:$CF$147,MATCH(K9&amp;"OpEx"&amp;Assumptions!$G$15,Fuel_CapexOpex!$F$4:$F$147,0),MATCH(YEAR(Assumptions!$G$38),Fuel_CapexOpex!$G$3:$CF$3,0)))</f>
        <v>0</v>
      </c>
      <c r="Q9" s="725">
        <f t="shared" si="3"/>
        <v>3.7089681230261906</v>
      </c>
      <c r="R9" s="738">
        <v>1</v>
      </c>
      <c r="S9" s="725">
        <v>0.79200000000000004</v>
      </c>
      <c r="T9" s="118" t="s">
        <v>734</v>
      </c>
      <c r="AD9" s="32" t="s">
        <v>272</v>
      </c>
      <c r="AE9" s="32" t="s">
        <v>743</v>
      </c>
      <c r="AF9" s="110">
        <v>75000</v>
      </c>
      <c r="AG9" s="32" t="s">
        <v>737</v>
      </c>
      <c r="AH9" s="32">
        <v>0.95</v>
      </c>
      <c r="AI9" s="731">
        <f t="shared" si="1"/>
        <v>71250</v>
      </c>
      <c r="AJ9" s="32" t="s">
        <v>738</v>
      </c>
      <c r="AK9" s="32">
        <v>12</v>
      </c>
      <c r="AL9" s="32">
        <v>1</v>
      </c>
      <c r="AM9" s="32">
        <v>4.25</v>
      </c>
      <c r="AN9" s="32">
        <v>0.51</v>
      </c>
      <c r="AO9" s="32">
        <v>240</v>
      </c>
      <c r="AP9" s="32">
        <f>+SUM(VesselAssumptions!F116:F117)</f>
        <v>27198</v>
      </c>
      <c r="AQ9" s="32">
        <f t="shared" si="2"/>
        <v>199998</v>
      </c>
      <c r="AR9" s="32">
        <f t="shared" si="0"/>
        <v>2.8934895833333334</v>
      </c>
      <c r="AS9" s="32" t="str">
        <f>+_xlfn.XLOOKUP(Assumptions!$G$24,$K$5:$K$20,$T$5:$T$20)</f>
        <v>DF Ammonia</v>
      </c>
      <c r="AT9" s="32" t="str">
        <f>+_xlfn.XLOOKUP(Assumptions!$H$24,$K:$K,$T:$T)</f>
        <v>MF Diesel</v>
      </c>
      <c r="AU9" s="32" cm="1">
        <f t="array" ref="AU9">IFERROR(+_xlfn.XLOOKUP($AD9&amp;AU$4&amp;" - "&amp;$AS9,VesselAssumptions!C:C&amp;VesselAssumptions!D:D,VesselAssumptions!F:F)*10^6,0)</f>
        <v>39020500</v>
      </c>
      <c r="AV9" s="32" cm="1">
        <f t="array" ref="AV9">IFERROR(+_xlfn.XLOOKUP($AD9&amp;AV$4&amp;" - "&amp;$AS9,VesselAssumptions!C:C&amp;VesselAssumptions!D:D,VesselAssumptions!F:F)*10^6,0)</f>
        <v>2039969.0000000002</v>
      </c>
      <c r="AW9" s="32" cm="1">
        <f t="array" ref="AW9">IFERROR(+_xlfn.XLOOKUP($AD9&amp;AW$4&amp;" - "&amp;$AT9,VesselAssumptions!C:C&amp;VesselAssumptions!D:D,VesselAssumptions!F:F)*10^6,0)</f>
        <v>33618000</v>
      </c>
      <c r="AX9" s="32" cm="1">
        <f t="array" ref="AX9">IFERROR(+_xlfn.XLOOKUP($AD9&amp;AX$4&amp;" - "&amp;$AT9,VesselAssumptions!C:C&amp;VesselAssumptions!D:D,VesselAssumptions!F:F)*10^6,0)</f>
        <v>1991644</v>
      </c>
      <c r="AZ9" s="118" t="s">
        <v>744</v>
      </c>
      <c r="BA9" s="118" t="s">
        <v>412</v>
      </c>
      <c r="BB9" s="118" t="s">
        <v>718</v>
      </c>
      <c r="BC9" s="546">
        <v>0.55349999999999999</v>
      </c>
      <c r="BD9" s="121">
        <v>5.2148399999999997E-5</v>
      </c>
    </row>
    <row r="10" spans="2:56">
      <c r="B10" s="118" t="s">
        <v>118</v>
      </c>
      <c r="C10" s="118" t="s">
        <v>731</v>
      </c>
      <c r="D10" s="125">
        <v>5.5899999999999998E-2</v>
      </c>
      <c r="E10" s="133">
        <v>1.1293522207847389E-2</v>
      </c>
      <c r="G10" s="129" t="s">
        <v>745</v>
      </c>
      <c r="H10" s="130">
        <v>0.03</v>
      </c>
      <c r="K10" s="118" t="s">
        <v>746</v>
      </c>
      <c r="L10" s="725">
        <v>0.40388321999999938</v>
      </c>
      <c r="M10" s="725">
        <v>18.8</v>
      </c>
      <c r="N10" s="725">
        <f>+IF(ISNUMBER(_xlfn.XLOOKUP(K10,IRACredits!$E$19:$K$19,IRACredits!$E$22:$K$22)),_xlfn.XLOOKUP(K10,IRACredits!$E$19:$K$19,IRACredits!$E$22:$K$22),0)</f>
        <v>9.5744680851063819</v>
      </c>
      <c r="O10" s="737">
        <f>+INDEX(Fuel_CapexOpex!$G$4:$CF$147,MATCH(K10&amp;"CapEx"&amp;"Global",Fuel_CapexOpex!$F$4:$F$147,0),MATCH(YEAR(Assumptions!$G$38),Fuel_CapexOpex!$G$3:$CF$3,0))</f>
        <v>1320.18</v>
      </c>
      <c r="P10" s="737">
        <f>+IF(Assumptions!$G$34="Purchased",0,INDEX(Fuel_CapexOpex!$G$4:$CF$147,MATCH(K10&amp;"OpEx"&amp;Assumptions!$G$15,Fuel_CapexOpex!$F$4:$F$147,0),MATCH(YEAR(Assumptions!$G$38),Fuel_CapexOpex!$G$3:$CF$3,0)))</f>
        <v>0</v>
      </c>
      <c r="Q10" s="725">
        <f t="shared" si="3"/>
        <v>21.483149999999966</v>
      </c>
      <c r="R10" s="738">
        <v>1</v>
      </c>
      <c r="S10" s="725">
        <v>0.68200000000000005</v>
      </c>
      <c r="T10" s="118" t="s">
        <v>726</v>
      </c>
      <c r="AD10" s="32" t="s">
        <v>747</v>
      </c>
      <c r="AE10" s="32" t="s">
        <v>748</v>
      </c>
      <c r="AF10" s="110">
        <v>200000</v>
      </c>
      <c r="AG10" s="32" t="s">
        <v>737</v>
      </c>
      <c r="AH10" s="32">
        <v>0.95</v>
      </c>
      <c r="AI10" s="731">
        <f t="shared" si="1"/>
        <v>190000</v>
      </c>
      <c r="AJ10" s="32" t="s">
        <v>738</v>
      </c>
      <c r="AK10" s="32">
        <v>12</v>
      </c>
      <c r="AL10" s="32">
        <v>1</v>
      </c>
      <c r="AM10" s="32">
        <v>8.9</v>
      </c>
      <c r="AN10" s="32">
        <v>0.51</v>
      </c>
      <c r="AO10" s="32">
        <v>255</v>
      </c>
      <c r="AP10" s="32">
        <f>+SUM(VesselAssumptions!F141:F142)</f>
        <v>56358</v>
      </c>
      <c r="AQ10" s="32">
        <f t="shared" si="2"/>
        <v>440838</v>
      </c>
      <c r="AR10" s="32">
        <f t="shared" si="0"/>
        <v>6.0026960784313728</v>
      </c>
      <c r="AS10" s="32" t="str">
        <f>+_xlfn.XLOOKUP(Assumptions!$G$24,$K$5:$K$20,$T$5:$T$20)</f>
        <v>DF Ammonia</v>
      </c>
      <c r="AT10" s="32" t="str">
        <f>+_xlfn.XLOOKUP(Assumptions!$H$24,$K:$K,$T:$T)</f>
        <v>MF Diesel</v>
      </c>
      <c r="AU10" s="32" cm="1">
        <f t="array" ref="AU10">IFERROR(+_xlfn.XLOOKUP($AD10&amp;AU$4&amp;" - "&amp;$AS10,VesselAssumptions!C:C&amp;VesselAssumptions!D:D,VesselAssumptions!F:F)*10^6,0)</f>
        <v>64772499.999999993</v>
      </c>
      <c r="AV10" s="32" cm="1">
        <f t="array" ref="AV10">IFERROR(+_xlfn.XLOOKUP($AD10&amp;AV$4&amp;" - "&amp;$AS10,VesselAssumptions!C:C&amp;VesselAssumptions!D:D,VesselAssumptions!F:F)*10^6,0)</f>
        <v>2891433</v>
      </c>
      <c r="AW10" s="32" cm="1">
        <f t="array" ref="AW10">IFERROR(+_xlfn.XLOOKUP($AD10&amp;AW$4&amp;" - "&amp;$AT10,VesselAssumptions!C:C&amp;VesselAssumptions!D:D,VesselAssumptions!F:F)*10^6,0)</f>
        <v>56200000</v>
      </c>
      <c r="AX10" s="32" cm="1">
        <f t="array" ref="AX10">IFERROR(+_xlfn.XLOOKUP($AD10&amp;AX$4&amp;" - "&amp;$AT10,VesselAssumptions!C:C&amp;VesselAssumptions!D:D,VesselAssumptions!F:F)*10^6,0)</f>
        <v>2815808</v>
      </c>
      <c r="AZ10" s="118" t="s">
        <v>724</v>
      </c>
      <c r="BA10" s="118" t="s">
        <v>412</v>
      </c>
      <c r="BB10" s="118" t="s">
        <v>718</v>
      </c>
      <c r="BC10" s="546">
        <v>0.43559999999999999</v>
      </c>
      <c r="BD10" s="121">
        <v>2.6250999999999997E-6</v>
      </c>
    </row>
    <row r="11" spans="2:56">
      <c r="B11" s="118" t="s">
        <v>749</v>
      </c>
      <c r="C11" s="118" t="s">
        <v>750</v>
      </c>
      <c r="D11" s="125">
        <v>1.6639999999999999E-2</v>
      </c>
      <c r="E11" s="133">
        <v>9.4112685065394896E-3</v>
      </c>
      <c r="G11" s="129" t="s">
        <v>751</v>
      </c>
      <c r="H11" s="130">
        <v>2.6100000000000002E-2</v>
      </c>
      <c r="K11" s="118" t="s">
        <v>752</v>
      </c>
      <c r="L11" s="725">
        <v>0</v>
      </c>
      <c r="M11" s="725">
        <v>19.899999999999999</v>
      </c>
      <c r="N11" s="725">
        <f>+IF(ISNUMBER(_xlfn.XLOOKUP(K11,IRACredits!$E$19:$K$19,IRACredits!$E$22:$K$22)),_xlfn.XLOOKUP(K11,IRACredits!$E$19:$K$19,IRACredits!$E$22:$K$22),0)</f>
        <v>0</v>
      </c>
      <c r="O11" s="737">
        <f>+INDEX(Fuel_CapexOpex!$G$4:$CF$147,MATCH(K11&amp;"CapEx"&amp;"Global",Fuel_CapexOpex!$F$4:$F$147,0),MATCH(YEAR(Assumptions!$G$38),Fuel_CapexOpex!$G$3:$CF$3,0))</f>
        <v>2950</v>
      </c>
      <c r="P11" s="737">
        <f>+IF(Assumptions!$G$34="Purchased",0,INDEX(Fuel_CapexOpex!$G$4:$CF$147,MATCH(K11&amp;"OpEx"&amp;Assumptions!$G$15,Fuel_CapexOpex!$F$4:$F$147,0),MATCH(YEAR(Assumptions!$G$38),Fuel_CapexOpex!$G$3:$CF$3,0)))</f>
        <v>0</v>
      </c>
      <c r="Q11" s="725">
        <f t="shared" si="3"/>
        <v>0</v>
      </c>
      <c r="R11" s="738">
        <v>1</v>
      </c>
      <c r="S11" s="725">
        <v>0.79200000000000004</v>
      </c>
      <c r="T11" s="118" t="s">
        <v>734</v>
      </c>
      <c r="Y11" s="31"/>
      <c r="Z11" s="31"/>
      <c r="AD11" s="32" t="s">
        <v>753</v>
      </c>
      <c r="AE11" s="32" t="s">
        <v>736</v>
      </c>
      <c r="AF11" s="110">
        <v>35000</v>
      </c>
      <c r="AG11" s="32" t="s">
        <v>737</v>
      </c>
      <c r="AH11" s="32">
        <v>0.95</v>
      </c>
      <c r="AI11" s="731">
        <f t="shared" si="1"/>
        <v>33250</v>
      </c>
      <c r="AJ11" s="32" t="s">
        <v>738</v>
      </c>
      <c r="AK11" s="32">
        <v>10</v>
      </c>
      <c r="AL11" s="32">
        <v>1</v>
      </c>
      <c r="AM11" s="32">
        <v>2.0499999999999998</v>
      </c>
      <c r="AN11" s="32">
        <v>0.51</v>
      </c>
      <c r="AO11" s="32">
        <v>182.5</v>
      </c>
      <c r="AP11" s="32">
        <f>+SUM(VesselAssumptions!F166:F167)</f>
        <v>82065.272727272735</v>
      </c>
      <c r="AQ11" s="32">
        <f t="shared" si="2"/>
        <v>145446.44919786096</v>
      </c>
      <c r="AR11" s="32">
        <f t="shared" si="0"/>
        <v>3.3206951871657755</v>
      </c>
      <c r="AS11" s="32" t="str">
        <f>+_xlfn.XLOOKUP(Assumptions!$G$24,$K$5:$K$20,$T$5:$T$20)</f>
        <v>DF Ammonia</v>
      </c>
      <c r="AT11" s="32" t="str">
        <f>+_xlfn.XLOOKUP(Assumptions!$H$24,$K:$K,$T:$T)</f>
        <v>MF Diesel</v>
      </c>
      <c r="AU11" s="32" cm="1">
        <f t="array" ref="AU11">IFERROR(+_xlfn.XLOOKUP($AD11&amp;AU$4&amp;" - "&amp;$AS11,VesselAssumptions!C:C&amp;VesselAssumptions!D:D,VesselAssumptions!F:F)*10^6,0)</f>
        <v>39132500</v>
      </c>
      <c r="AV11" s="32" cm="1">
        <f t="array" ref="AV11">IFERROR(+_xlfn.XLOOKUP($AD11&amp;AV$4&amp;" - "&amp;$AS11,VesselAssumptions!C:C&amp;VesselAssumptions!D:D,VesselAssumptions!F:F)*10^6,0)</f>
        <v>2522764.4545454546</v>
      </c>
      <c r="AW11" s="32" cm="1">
        <f t="array" ref="AW11">IFERROR(+_xlfn.XLOOKUP($AD11&amp;AW$4&amp;" - "&amp;$AT11,VesselAssumptions!C:C&amp;VesselAssumptions!D:D,VesselAssumptions!F:F)*10^6,0)</f>
        <v>33855000</v>
      </c>
      <c r="AX11" s="32" cm="1">
        <f t="array" ref="AX11">IFERROR(+_xlfn.XLOOKUP($AD11&amp;AX$4&amp;" - "&amp;$AT11,VesselAssumptions!C:C&amp;VesselAssumptions!D:D,VesselAssumptions!F:F)*10^6,0)</f>
        <v>2476389.4545454546</v>
      </c>
      <c r="AZ11" s="118" t="s">
        <v>730</v>
      </c>
      <c r="BA11" s="118" t="s">
        <v>412</v>
      </c>
      <c r="BB11" s="118" t="s">
        <v>718</v>
      </c>
      <c r="BC11" s="546">
        <v>0.62870000000000004</v>
      </c>
      <c r="BD11" s="121">
        <v>2.2631099999999998E-5</v>
      </c>
    </row>
    <row r="12" spans="2:56">
      <c r="B12" s="118" t="s">
        <v>754</v>
      </c>
      <c r="C12" s="118" t="s">
        <v>731</v>
      </c>
      <c r="D12" s="125">
        <v>0.11581</v>
      </c>
      <c r="E12" s="133">
        <v>2.5410424967656622E-2</v>
      </c>
      <c r="G12" s="129" t="s">
        <v>755</v>
      </c>
      <c r="H12" s="130">
        <v>1.83E-2</v>
      </c>
      <c r="K12" s="118" t="s">
        <v>756</v>
      </c>
      <c r="L12" s="725">
        <v>0.88921997007360787</v>
      </c>
      <c r="M12" s="725">
        <v>50</v>
      </c>
      <c r="N12" s="751">
        <f>+N13</f>
        <v>10</v>
      </c>
      <c r="O12" s="737">
        <f>+INDEX(Fuel_CapexOpex!$G$4:$CF$147,MATCH(K12&amp;"CapEx"&amp;"Global",Fuel_CapexOpex!$F$4:$F$147,0),MATCH(YEAR(Assumptions!$G$38),Fuel_CapexOpex!$G$3:$CF$3,0))</f>
        <v>4017.070223212585</v>
      </c>
      <c r="P12" s="737">
        <f>+IF(Assumptions!$G$34="Purchased",0,INDEX(Fuel_CapexOpex!$G$4:$CF$147,MATCH(K12&amp;"OpEx"&amp;Assumptions!$G$15,Fuel_CapexOpex!$F$4:$F$147,0),MATCH(YEAR(Assumptions!$G$38),Fuel_CapexOpex!$G$3:$CF$3,0)))</f>
        <v>0</v>
      </c>
      <c r="Q12" s="725">
        <f t="shared" si="3"/>
        <v>17.784399401472157</v>
      </c>
      <c r="R12" s="738">
        <v>1</v>
      </c>
      <c r="S12" s="725">
        <v>0.42199999999999999</v>
      </c>
      <c r="T12" s="118" t="s">
        <v>757</v>
      </c>
      <c r="Y12" s="31"/>
      <c r="Z12" s="31"/>
      <c r="AD12" s="32" t="s">
        <v>758</v>
      </c>
      <c r="AE12" s="32" t="s">
        <v>759</v>
      </c>
      <c r="AF12" s="110">
        <v>100000</v>
      </c>
      <c r="AG12" s="32" t="s">
        <v>737</v>
      </c>
      <c r="AH12" s="32">
        <v>0.95</v>
      </c>
      <c r="AI12" s="731">
        <f t="shared" si="1"/>
        <v>95000</v>
      </c>
      <c r="AJ12" s="32" t="s">
        <v>738</v>
      </c>
      <c r="AK12" s="32">
        <v>13</v>
      </c>
      <c r="AL12" s="32">
        <v>1</v>
      </c>
      <c r="AM12" s="32">
        <v>6.7</v>
      </c>
      <c r="AN12" s="32">
        <v>0.51</v>
      </c>
      <c r="AO12" s="32">
        <v>225</v>
      </c>
      <c r="AP12" s="32">
        <f>+SUM(VesselAssumptions!F191:F192)</f>
        <v>122922.49090909094</v>
      </c>
      <c r="AQ12" s="32">
        <f t="shared" si="2"/>
        <v>378310.72620320856</v>
      </c>
      <c r="AR12" s="32">
        <f t="shared" si="0"/>
        <v>5.3890416838063899</v>
      </c>
      <c r="AS12" s="32" t="str">
        <f>+_xlfn.XLOOKUP(Assumptions!$G$24,$K$5:$K$20,$T$5:$T$20)</f>
        <v>DF Ammonia</v>
      </c>
      <c r="AT12" s="32" t="str">
        <f>+_xlfn.XLOOKUP(Assumptions!$H$24,$K:$K,$T:$T)</f>
        <v>MF Diesel</v>
      </c>
      <c r="AU12" s="32" cm="1">
        <f t="array" ref="AU12">IFERROR(+_xlfn.XLOOKUP($AD12&amp;AU$4&amp;" - "&amp;$AS12,VesselAssumptions!C:C&amp;VesselAssumptions!D:D,VesselAssumptions!F:F)*10^6,0)</f>
        <v>61792500</v>
      </c>
      <c r="AV12" s="32" cm="1">
        <f t="array" ref="AV12">IFERROR(+_xlfn.XLOOKUP($AD12&amp;AV$4&amp;" - "&amp;$AS12,VesselAssumptions!C:C&amp;VesselAssumptions!D:D,VesselAssumptions!F:F)*10^6,0)</f>
        <v>2968170.8181818184</v>
      </c>
      <c r="AW12" s="32" cm="1">
        <f t="array" ref="AW12">IFERROR(+_xlfn.XLOOKUP($AD12&amp;AW$4&amp;" - "&amp;$AT12,VesselAssumptions!C:C&amp;VesselAssumptions!D:D,VesselAssumptions!F:F)*10^6,0)</f>
        <v>55040000</v>
      </c>
      <c r="AX12" s="32" cm="1">
        <f t="array" ref="AX12">IFERROR(+_xlfn.XLOOKUP($AD12&amp;AX$4&amp;" - "&amp;$AT12,VesselAssumptions!C:C&amp;VesselAssumptions!D:D,VesselAssumptions!F:F)*10^6,0)</f>
        <v>2909045.8181818184</v>
      </c>
      <c r="AZ12" s="118" t="s">
        <v>760</v>
      </c>
      <c r="BA12" s="118" t="s">
        <v>412</v>
      </c>
      <c r="BB12" s="118" t="s">
        <v>718</v>
      </c>
      <c r="BC12" s="546">
        <v>0.46970000000000001</v>
      </c>
      <c r="BD12" s="121">
        <v>1.17836E-5</v>
      </c>
    </row>
    <row r="13" spans="2:56">
      <c r="B13" s="118" t="s">
        <v>761</v>
      </c>
      <c r="C13" s="118" t="s">
        <v>720</v>
      </c>
      <c r="D13" s="125">
        <v>3.1600000000000003E-2</v>
      </c>
      <c r="E13" s="134">
        <v>1.5999156461117131E-2</v>
      </c>
      <c r="G13" s="129" t="s">
        <v>762</v>
      </c>
      <c r="H13" s="130">
        <v>1.55E-2</v>
      </c>
      <c r="K13" s="118" t="s">
        <v>763</v>
      </c>
      <c r="L13" s="725">
        <v>0.85336501730326564</v>
      </c>
      <c r="M13" s="725">
        <v>50</v>
      </c>
      <c r="N13" s="725">
        <f>+_xlfn.XLOOKUP(K13,IRACredits!$E$19:$K$19,IRACredits!$E$22:$K$22)</f>
        <v>10</v>
      </c>
      <c r="O13" s="737">
        <f>+INDEX(Fuel_CapexOpex!$G$4:$CF$147,MATCH(K13&amp;"CapEx"&amp;"Global",Fuel_CapexOpex!$F$4:$F$147,0),MATCH(YEAR(Assumptions!$G$38),Fuel_CapexOpex!$G$3:$CF$3,0))</f>
        <v>9026.0329354235637</v>
      </c>
      <c r="P13" s="737">
        <f>+IF(Assumptions!$G$34="Purchased",0,INDEX(Fuel_CapexOpex!$G$4:$CF$147,MATCH(K13&amp;"OpEx"&amp;Assumptions!$G$15,Fuel_CapexOpex!$F$4:$F$147,0),MATCH(YEAR(Assumptions!$G$38),Fuel_CapexOpex!$G$3:$CF$3,0)))</f>
        <v>0</v>
      </c>
      <c r="Q13" s="725">
        <f t="shared" ref="Q13:Q20" si="4">+L13/M13*10^3</f>
        <v>17.067300346065313</v>
      </c>
      <c r="R13" s="738">
        <v>1</v>
      </c>
      <c r="S13" s="725">
        <v>0.42199999999999999</v>
      </c>
      <c r="T13" s="118" t="s">
        <v>757</v>
      </c>
      <c r="Y13" s="31"/>
      <c r="Z13" s="31"/>
      <c r="AD13" s="32" t="s">
        <v>764</v>
      </c>
      <c r="AE13" s="32" t="s">
        <v>765</v>
      </c>
      <c r="AF13" s="110">
        <v>300000</v>
      </c>
      <c r="AG13" s="32" t="s">
        <v>737</v>
      </c>
      <c r="AH13" s="32">
        <v>0.95</v>
      </c>
      <c r="AI13" s="731">
        <f t="shared" si="1"/>
        <v>285000</v>
      </c>
      <c r="AJ13" s="32" t="s">
        <v>738</v>
      </c>
      <c r="AK13" s="32">
        <v>13</v>
      </c>
      <c r="AL13" s="32">
        <v>1</v>
      </c>
      <c r="AM13" s="32">
        <v>12.100000000000001</v>
      </c>
      <c r="AN13" s="32">
        <v>0.51</v>
      </c>
      <c r="AO13" s="32">
        <v>300</v>
      </c>
      <c r="AP13" s="32">
        <f>+SUM(VesselAssumptions!F216:F217)</f>
        <v>90975.272727272735</v>
      </c>
      <c r="AQ13" s="32">
        <f t="shared" si="2"/>
        <v>705939.97860962572</v>
      </c>
      <c r="AR13" s="32">
        <f t="shared" si="0"/>
        <v>7.5420937885643777</v>
      </c>
      <c r="AS13" s="32" t="str">
        <f>+_xlfn.XLOOKUP(Assumptions!$G$24,$K$5:$K$20,$T$5:$T$20)</f>
        <v>DF Ammonia</v>
      </c>
      <c r="AT13" s="32" t="str">
        <f>+_xlfn.XLOOKUP(Assumptions!$H$24,$K:$K,$T:$T)</f>
        <v>MF Diesel</v>
      </c>
      <c r="AU13" s="32" cm="1">
        <f t="array" ref="AU13">IFERROR(+_xlfn.XLOOKUP($AD13&amp;AU$4&amp;" - "&amp;$AS13,VesselAssumptions!C:C&amp;VesselAssumptions!D:D,VesselAssumptions!F:F)*10^6,0)</f>
        <v>112157500</v>
      </c>
      <c r="AV13" s="32" cm="1">
        <f t="array" ref="AV13">IFERROR(+_xlfn.XLOOKUP($AD13&amp;AV$4&amp;" - "&amp;$AS13,VesselAssumptions!C:C&amp;VesselAssumptions!D:D,VesselAssumptions!F:F)*10^6,0)</f>
        <v>3677940.4545454546</v>
      </c>
      <c r="AW13" s="32" cm="1">
        <f t="array" ref="AW13">IFERROR(+_xlfn.XLOOKUP($AD13&amp;AW$4&amp;" - "&amp;$AT13,VesselAssumptions!C:C&amp;VesselAssumptions!D:D,VesselAssumptions!F:F)*10^6,0)</f>
        <v>99525000</v>
      </c>
      <c r="AX13" s="32" cm="1">
        <f t="array" ref="AX13">IFERROR(+_xlfn.XLOOKUP($AD13&amp;AX$4&amp;" - "&amp;$AT13,VesselAssumptions!C:C&amp;VesselAssumptions!D:D,VesselAssumptions!F:F)*10^6,0)</f>
        <v>3567315.4545454546</v>
      </c>
      <c r="AZ13" s="118" t="s">
        <v>766</v>
      </c>
      <c r="BA13" s="118" t="s">
        <v>412</v>
      </c>
      <c r="BB13" s="118" t="s">
        <v>718</v>
      </c>
      <c r="BC13" s="546">
        <v>0.3886</v>
      </c>
      <c r="BD13" s="121">
        <v>2.2158099999999997E-5</v>
      </c>
    </row>
    <row r="14" spans="2:56">
      <c r="B14" s="118" t="s">
        <v>767</v>
      </c>
      <c r="C14" s="118" t="s">
        <v>720</v>
      </c>
      <c r="D14" s="125">
        <v>2.3857E-2</v>
      </c>
      <c r="E14" s="135">
        <v>0</v>
      </c>
      <c r="G14" s="129" t="s">
        <v>768</v>
      </c>
      <c r="H14" s="130">
        <v>1.2E-2</v>
      </c>
      <c r="K14" s="118" t="s">
        <v>769</v>
      </c>
      <c r="L14" s="725">
        <v>0.2337934454988142</v>
      </c>
      <c r="M14" s="725">
        <v>42.7</v>
      </c>
      <c r="N14" s="751">
        <f>+N15</f>
        <v>10.194379391100702</v>
      </c>
      <c r="O14" s="737">
        <f>+INDEX(Fuel_CapexOpex!$G$4:$CF$147,MATCH(K14&amp;"CapEx"&amp;"Global",Fuel_CapexOpex!$F$4:$F$147,0),MATCH(YEAR(Assumptions!$G$38),Fuel_CapexOpex!$G$3:$CF$3,0))</f>
        <v>10960.83830687674</v>
      </c>
      <c r="P14" s="737">
        <f>+IF(Assumptions!$G$34="Purchased",0,INDEX(Fuel_CapexOpex!$G$4:$CF$147,MATCH(K14&amp;"OpEx"&amp;Assumptions!$G$15,Fuel_CapexOpex!$F$4:$F$147,0),MATCH(YEAR(Assumptions!$G$38),Fuel_CapexOpex!$G$3:$CF$3,0)))</f>
        <v>0</v>
      </c>
      <c r="Q14" s="725">
        <f t="shared" si="4"/>
        <v>5.4752563348668426</v>
      </c>
      <c r="R14" s="738">
        <v>1</v>
      </c>
      <c r="S14" s="725">
        <v>0.83</v>
      </c>
      <c r="T14" s="118" t="s">
        <v>770</v>
      </c>
      <c r="Y14" s="31"/>
      <c r="Z14" s="31"/>
      <c r="AD14" s="32" t="s">
        <v>771</v>
      </c>
      <c r="AE14" s="32" t="s">
        <v>772</v>
      </c>
      <c r="AF14" s="110">
        <v>4000</v>
      </c>
      <c r="AG14" s="32" t="s">
        <v>773</v>
      </c>
      <c r="AH14" s="32">
        <v>2</v>
      </c>
      <c r="AI14" s="731">
        <f t="shared" si="1"/>
        <v>8000</v>
      </c>
      <c r="AJ14" s="32" t="s">
        <v>774</v>
      </c>
      <c r="AK14" s="32">
        <v>16</v>
      </c>
      <c r="AL14" s="32">
        <v>1</v>
      </c>
      <c r="AM14" s="32">
        <v>3.6</v>
      </c>
      <c r="AN14" s="32">
        <v>0.51</v>
      </c>
      <c r="AO14" s="32">
        <v>225</v>
      </c>
      <c r="AP14" s="32">
        <f>+SUM(VesselAssumptions!F241:F242)</f>
        <v>72435.272727272735</v>
      </c>
      <c r="AQ14" s="32">
        <f t="shared" si="2"/>
        <v>209658.80213903746</v>
      </c>
      <c r="AR14" s="32">
        <f t="shared" si="0"/>
        <v>2.4266065062388593</v>
      </c>
      <c r="AS14" s="32" t="str">
        <f>+_xlfn.XLOOKUP(Assumptions!$G$24,$K$5:$K$20,$T$5:$T$20)</f>
        <v>DF Ammonia</v>
      </c>
      <c r="AT14" s="32" t="str">
        <f>+_xlfn.XLOOKUP(Assumptions!$H$24,$K:$K,$T:$T)</f>
        <v>MF Diesel</v>
      </c>
      <c r="AU14" s="32" cm="1">
        <f t="array" ref="AU14">IFERROR(+_xlfn.XLOOKUP($AD14&amp;AU$4&amp;" - "&amp;$AS14,VesselAssumptions!C:C&amp;VesselAssumptions!D:D,VesselAssumptions!F:F)*10^6,0)</f>
        <v>61114500</v>
      </c>
      <c r="AV14" s="32" cm="1">
        <f t="array" ref="AV14">IFERROR(+_xlfn.XLOOKUP($AD14&amp;AV$4&amp;" - "&amp;$AS14,VesselAssumptions!C:C&amp;VesselAssumptions!D:D,VesselAssumptions!F:F)*10^6,0)</f>
        <v>2082610.4545454544</v>
      </c>
      <c r="AW14" s="32" cm="1">
        <f t="array" ref="AW14">IFERROR(+_xlfn.XLOOKUP($AD14&amp;AW$4&amp;" - "&amp;$AT14,VesselAssumptions!C:C&amp;VesselAssumptions!D:D,VesselAssumptions!F:F)*10^6,0)</f>
        <v>54779500</v>
      </c>
      <c r="AX14" s="32" cm="1">
        <f t="array" ref="AX14">IFERROR(+_xlfn.XLOOKUP($AD14&amp;AX$4&amp;" - "&amp;$AT14,VesselAssumptions!C:C&amp;VesselAssumptions!D:D,VesselAssumptions!F:F)*10^6,0)</f>
        <v>2027310.4545454546</v>
      </c>
      <c r="AZ14" s="118" t="s">
        <v>775</v>
      </c>
      <c r="BA14" s="118" t="s">
        <v>412</v>
      </c>
      <c r="BB14" s="118" t="s">
        <v>718</v>
      </c>
      <c r="BC14" s="546">
        <v>0.55190000000000006</v>
      </c>
      <c r="BD14" s="121">
        <v>1.7915519999999997E-4</v>
      </c>
    </row>
    <row r="15" spans="2:56">
      <c r="B15" s="118" t="s">
        <v>776</v>
      </c>
      <c r="C15" s="118" t="s">
        <v>720</v>
      </c>
      <c r="D15" s="125">
        <v>2.7650000000000001E-2</v>
      </c>
      <c r="E15" s="135">
        <v>5.3330521537057092E-3</v>
      </c>
      <c r="G15" s="129" t="s">
        <v>777</v>
      </c>
      <c r="H15" s="130">
        <v>9.4999999999999998E-3</v>
      </c>
      <c r="K15" s="118" t="s">
        <v>778</v>
      </c>
      <c r="L15" s="725">
        <v>0.19194093699234172</v>
      </c>
      <c r="M15" s="725">
        <v>42.7</v>
      </c>
      <c r="N15" s="725">
        <f>+_xlfn.XLOOKUP(K15,IRACredits!$E$19:$K$19,IRACredits!$E$22:$K$22)</f>
        <v>10.194379391100702</v>
      </c>
      <c r="O15" s="737">
        <f>+INDEX(Fuel_CapexOpex!$G$4:$CF$147,MATCH(K15&amp;"CapEx"&amp;"Global",Fuel_CapexOpex!$F$4:$F$147,0),MATCH(YEAR(Assumptions!$G$38),Fuel_CapexOpex!$G$3:$CF$3,0))</f>
        <v>11102.244949478321</v>
      </c>
      <c r="P15" s="737">
        <f>+IF(Assumptions!$G$34="Purchased",0,INDEX(Fuel_CapexOpex!$G$4:$CF$147,MATCH(K15&amp;"OpEx"&amp;Assumptions!$G$15,Fuel_CapexOpex!$F$4:$F$147,0),MATCH(YEAR(Assumptions!$G$38),Fuel_CapexOpex!$G$3:$CF$3,0)))</f>
        <v>0</v>
      </c>
      <c r="Q15" s="725">
        <f t="shared" si="4"/>
        <v>4.4951039108276749</v>
      </c>
      <c r="R15" s="738">
        <v>1</v>
      </c>
      <c r="S15" s="725">
        <v>0.83</v>
      </c>
      <c r="T15" s="118" t="s">
        <v>770</v>
      </c>
      <c r="Y15" s="31"/>
      <c r="Z15" s="31"/>
      <c r="AD15" s="32" t="s">
        <v>779</v>
      </c>
      <c r="AE15" s="32" t="s">
        <v>780</v>
      </c>
      <c r="AF15" s="110">
        <v>7000</v>
      </c>
      <c r="AG15" s="32" t="s">
        <v>773</v>
      </c>
      <c r="AH15" s="32">
        <v>2</v>
      </c>
      <c r="AI15" s="731">
        <f t="shared" si="1"/>
        <v>14000</v>
      </c>
      <c r="AJ15" s="32" t="s">
        <v>774</v>
      </c>
      <c r="AK15" s="32">
        <v>16</v>
      </c>
      <c r="AL15" s="32">
        <v>1</v>
      </c>
      <c r="AM15" s="32">
        <v>8.1</v>
      </c>
      <c r="AN15" s="32">
        <v>0.51</v>
      </c>
      <c r="AO15" s="32">
        <v>320</v>
      </c>
      <c r="AP15" s="32">
        <f>+SUM(VesselAssumptions!F266:F267)</f>
        <v>50835.272727272728</v>
      </c>
      <c r="AQ15" s="32">
        <f t="shared" si="2"/>
        <v>489950.56684491975</v>
      </c>
      <c r="AR15" s="32">
        <f t="shared" si="0"/>
        <v>3.9872279202874328</v>
      </c>
      <c r="AS15" s="32" t="str">
        <f>+_xlfn.XLOOKUP(Assumptions!$G$24,$K$5:$K$20,$T$5:$T$20)</f>
        <v>DF Ammonia</v>
      </c>
      <c r="AT15" s="32" t="str">
        <f>+_xlfn.XLOOKUP(Assumptions!$H$24,$K:$K,$T:$T)</f>
        <v>MF Diesel</v>
      </c>
      <c r="AU15" s="32" cm="1">
        <f t="array" ref="AU15">IFERROR(+_xlfn.XLOOKUP($AD15&amp;AU$4&amp;" - "&amp;$AS15,VesselAssumptions!C:C&amp;VesselAssumptions!D:D,VesselAssumptions!F:F)*10^6,0)</f>
        <v>83394500</v>
      </c>
      <c r="AV15" s="32" cm="1">
        <f t="array" ref="AV15">IFERROR(+_xlfn.XLOOKUP($AD15&amp;AV$4&amp;" - "&amp;$AS15,VesselAssumptions!C:C&amp;VesselAssumptions!D:D,VesselAssumptions!F:F)*10^6,0)</f>
        <v>2617978.4545454546</v>
      </c>
      <c r="AW15" s="32" cm="1">
        <f t="array" ref="AW15">IFERROR(+_xlfn.XLOOKUP($AD15&amp;AW$4&amp;" - "&amp;$AT15,VesselAssumptions!C:C&amp;VesselAssumptions!D:D,VesselAssumptions!F:F)*10^6,0)</f>
        <v>75857000</v>
      </c>
      <c r="AX15" s="32" cm="1">
        <f t="array" ref="AX15">IFERROR(+_xlfn.XLOOKUP($AD15&amp;AX$4&amp;" - "&amp;$AT15,VesselAssumptions!C:C&amp;VesselAssumptions!D:D,VesselAssumptions!F:F)*10^6,0)</f>
        <v>2552553.4545454546</v>
      </c>
      <c r="AZ15" s="118" t="s">
        <v>781</v>
      </c>
      <c r="BA15" s="118" t="s">
        <v>412</v>
      </c>
      <c r="BB15" s="118" t="s">
        <v>718</v>
      </c>
      <c r="BC15" s="546">
        <v>0.71019999999999994</v>
      </c>
      <c r="BD15" s="121">
        <v>0</v>
      </c>
    </row>
    <row r="16" spans="2:56">
      <c r="B16" s="118" t="s">
        <v>782</v>
      </c>
      <c r="C16" s="118" t="s">
        <v>720</v>
      </c>
      <c r="D16" s="125">
        <v>3.1895E-2</v>
      </c>
      <c r="E16" s="135">
        <v>7.9995782305585655E-3</v>
      </c>
      <c r="G16" s="129" t="s">
        <v>783</v>
      </c>
      <c r="H16" s="130">
        <v>8.5000000000000006E-3</v>
      </c>
      <c r="K16" s="118" t="s">
        <v>784</v>
      </c>
      <c r="L16" s="725">
        <v>0.71112197481485273</v>
      </c>
      <c r="M16" s="725">
        <v>50</v>
      </c>
      <c r="N16" s="725">
        <f>+IF(ISNUMBER(_xlfn.XLOOKUP(K16,IRACredits!$E$19:$K$19,IRACredits!$E$22:$K$22)),_xlfn.XLOOKUP(K16,IRACredits!$E$19:$K$19,IRACredits!$E$22:$K$22),0)</f>
        <v>0</v>
      </c>
      <c r="O16" s="737">
        <f>+INDEX(Fuel_CapexOpex!$G$4:$CF$147,MATCH(K16&amp;"CapEx"&amp;"Global",Fuel_CapexOpex!$F$4:$F$147,0),MATCH(YEAR(Assumptions!$G$38),Fuel_CapexOpex!$G$3:$CF$3,0))</f>
        <v>5802.7956368413288</v>
      </c>
      <c r="P16" s="737">
        <f>+IF(Assumptions!$G$34="Purchased",0,INDEX(Fuel_CapexOpex!$G$4:$CF$147,MATCH(K16&amp;"OpEx"&amp;Assumptions!$G$15,Fuel_CapexOpex!$F$4:$F$147,0),MATCH(YEAR(Assumptions!$G$38),Fuel_CapexOpex!$G$3:$CF$3,0)))</f>
        <v>0</v>
      </c>
      <c r="Q16" s="725">
        <f t="shared" si="4"/>
        <v>14.222439496297055</v>
      </c>
      <c r="R16" s="738">
        <v>1</v>
      </c>
      <c r="S16" s="725">
        <v>0.42199999999999999</v>
      </c>
      <c r="T16" s="118" t="s">
        <v>757</v>
      </c>
      <c r="AD16" s="32" t="s">
        <v>785</v>
      </c>
      <c r="AE16" s="32" t="s">
        <v>786</v>
      </c>
      <c r="AF16" s="110">
        <v>100000</v>
      </c>
      <c r="AG16" s="32" t="s">
        <v>787</v>
      </c>
      <c r="AH16" s="31">
        <v>0.45</v>
      </c>
      <c r="AI16" s="731">
        <f t="shared" si="1"/>
        <v>45000</v>
      </c>
      <c r="AJ16" s="32" t="s">
        <v>788</v>
      </c>
      <c r="AK16" s="32">
        <v>17</v>
      </c>
      <c r="AL16" s="32">
        <v>1</v>
      </c>
      <c r="AM16" s="32">
        <v>10.199999999999999</v>
      </c>
      <c r="AN16" s="32">
        <v>0.51</v>
      </c>
      <c r="AO16" s="32">
        <v>250</v>
      </c>
      <c r="AP16" s="32">
        <f>+SUM(VesselAssumptions!F291:F292)</f>
        <v>99615.272727272735</v>
      </c>
      <c r="AQ16" s="32">
        <f t="shared" si="2"/>
        <v>531615.27272727271</v>
      </c>
      <c r="AR16" s="32">
        <f t="shared" si="0"/>
        <v>5.2119144385026734</v>
      </c>
      <c r="AS16" s="32" t="str">
        <f>+_xlfn.XLOOKUP(Assumptions!$G$24,$K$5:$K$20,$T$5:$T$20)</f>
        <v>DF Ammonia</v>
      </c>
      <c r="AT16" s="32" t="str">
        <f>+_xlfn.XLOOKUP(Assumptions!$H$24,$K:$K,$T:$T)</f>
        <v>MF Diesel</v>
      </c>
      <c r="AU16" s="32" cm="1">
        <f t="array" ref="AU16">IFERROR(+_xlfn.XLOOKUP($AD16&amp;AU$4&amp;" - "&amp;$AS16,VesselAssumptions!C:C&amp;VesselAssumptions!D:D,VesselAssumptions!F:F)*10^6,0)</f>
        <v>0</v>
      </c>
      <c r="AV16" s="32" cm="1">
        <f t="array" ref="AV16">IFERROR(+_xlfn.XLOOKUP($AD16&amp;AV$4&amp;" - "&amp;$AS16,VesselAssumptions!C:C&amp;VesselAssumptions!D:D,VesselAssumptions!F:F)*10^6,0)</f>
        <v>0</v>
      </c>
      <c r="AW16" s="32" cm="1">
        <f t="array" ref="AW16">IFERROR(+_xlfn.XLOOKUP($AD16&amp;AW$4&amp;" - "&amp;$AT16,VesselAssumptions!C:C&amp;VesselAssumptions!D:D,VesselAssumptions!F:F)*10^6,0)</f>
        <v>0</v>
      </c>
      <c r="AX16" s="32" cm="1">
        <f t="array" ref="AX16">IFERROR(+_xlfn.XLOOKUP($AD16&amp;AX$4&amp;" - "&amp;$AT16,VesselAssumptions!C:C&amp;VesselAssumptions!D:D,VesselAssumptions!F:F)*10^6,0)</f>
        <v>0</v>
      </c>
      <c r="AZ16" s="118" t="s">
        <v>740</v>
      </c>
      <c r="BA16" s="118" t="s">
        <v>412</v>
      </c>
      <c r="BB16" s="118" t="s">
        <v>718</v>
      </c>
      <c r="BC16" s="546">
        <v>0.59420000000000006</v>
      </c>
      <c r="BD16" s="121">
        <v>6.788299999999999E-6</v>
      </c>
    </row>
    <row r="17" spans="2:56">
      <c r="B17" s="118" t="s">
        <v>789</v>
      </c>
      <c r="C17" s="118" t="s">
        <v>720</v>
      </c>
      <c r="D17" s="125">
        <v>2.4729999999999999E-2</v>
      </c>
      <c r="E17" s="135">
        <v>0</v>
      </c>
      <c r="G17" s="129" t="s">
        <v>790</v>
      </c>
      <c r="H17" s="130">
        <v>7.7000000000000002E-3</v>
      </c>
      <c r="K17" s="118" t="s">
        <v>791</v>
      </c>
      <c r="L17" s="725" t="e">
        <v>#N/A</v>
      </c>
      <c r="M17" s="725">
        <v>42.7</v>
      </c>
      <c r="N17" s="751" t="s">
        <v>792</v>
      </c>
      <c r="O17" s="737" t="e">
        <f>+INDEX(Fuel_CapexOpex!$G$4:$CF$147,MATCH(K17&amp;"CapEx"&amp;"Global",Fuel_CapexOpex!$F$4:$F$147,0),MATCH(YEAR(Assumptions!$G$38),Fuel_CapexOpex!$G$3:$CF$3,0))</f>
        <v>#N/A</v>
      </c>
      <c r="P17" s="737">
        <f>+IF(Assumptions!$G$34="Purchased",0,INDEX(Fuel_CapexOpex!$G$4:$CF$147,MATCH(K17&amp;"OpEx"&amp;Assumptions!$G$15,Fuel_CapexOpex!$F$4:$F$147,0),MATCH(YEAR(Assumptions!$G$38),Fuel_CapexOpex!$G$3:$CF$3,0)))</f>
        <v>0</v>
      </c>
      <c r="Q17" s="751">
        <f>+'Calculations (main)'!H35*1000</f>
        <v>22.275539999999999</v>
      </c>
      <c r="R17" s="738">
        <v>1</v>
      </c>
      <c r="S17" s="725">
        <v>0.92</v>
      </c>
      <c r="T17" s="118" t="s">
        <v>770</v>
      </c>
      <c r="AD17" s="32" t="s">
        <v>793</v>
      </c>
      <c r="AE17" s="32" t="s">
        <v>794</v>
      </c>
      <c r="AF17" s="110">
        <v>25000</v>
      </c>
      <c r="AG17" s="32" t="s">
        <v>795</v>
      </c>
      <c r="AH17" s="32">
        <v>1000</v>
      </c>
      <c r="AI17" s="731">
        <f>+AH17</f>
        <v>1000</v>
      </c>
      <c r="AJ17" s="32" t="s">
        <v>796</v>
      </c>
      <c r="AK17" s="32">
        <v>16</v>
      </c>
      <c r="AL17" s="32">
        <v>1</v>
      </c>
      <c r="AM17" s="32">
        <v>4.0599999999999996</v>
      </c>
      <c r="AN17" s="32">
        <v>0.51</v>
      </c>
      <c r="AO17" s="32">
        <v>220</v>
      </c>
      <c r="AP17" s="32">
        <f>+SUM(VesselAssumptions!F316:F317)</f>
        <v>88635.272727272735</v>
      </c>
      <c r="AQ17" s="32">
        <f t="shared" si="2"/>
        <v>239953.86096256686</v>
      </c>
      <c r="AR17" s="32">
        <f t="shared" si="0"/>
        <v>2.8403629375303843</v>
      </c>
      <c r="AS17" s="32" t="str">
        <f>+_xlfn.XLOOKUP(Assumptions!$G$24,$K$5:$K$20,$T$5:$T$20)</f>
        <v>DF Ammonia</v>
      </c>
      <c r="AT17" s="32" t="str">
        <f>+_xlfn.XLOOKUP(Assumptions!$H$24,$K:$K,$T:$T)</f>
        <v>MF Diesel</v>
      </c>
      <c r="AU17" s="32" cm="1">
        <f t="array" ref="AU17">IFERROR(+_xlfn.XLOOKUP($AD17&amp;AU$4&amp;" - "&amp;$AS17,VesselAssumptions!C:C&amp;VesselAssumptions!D:D,VesselAssumptions!F:F)*10^6,0)</f>
        <v>266260499.99999997</v>
      </c>
      <c r="AV17" s="32" cm="1">
        <f t="array" ref="AV17">IFERROR(+_xlfn.XLOOKUP($AD17&amp;AV$4&amp;" - "&amp;$AS17,VesselAssumptions!C:C&amp;VesselAssumptions!D:D,VesselAssumptions!F:F)*10^6,0)</f>
        <v>50335111.25454545</v>
      </c>
      <c r="AW17" s="32" cm="1">
        <f t="array" ref="AW17">IFERROR(+_xlfn.XLOOKUP($AD17&amp;AW$4&amp;" - "&amp;$AT17,VesselAssumptions!C:C&amp;VesselAssumptions!D:D,VesselAssumptions!F:F)*10^6,0)</f>
        <v>257496500.00000003</v>
      </c>
      <c r="AX17" s="32" cm="1">
        <f t="array" ref="AX17">IFERROR(+_xlfn.XLOOKUP($AD17&amp;AX$4&amp;" - "&amp;$AT17,VesselAssumptions!C:C&amp;VesselAssumptions!D:D,VesselAssumptions!F:F)*10^6,0)</f>
        <v>50260761.25454545</v>
      </c>
      <c r="AZ17" s="118" t="s">
        <v>118</v>
      </c>
      <c r="BA17" s="118" t="s">
        <v>412</v>
      </c>
      <c r="BB17" s="118" t="s">
        <v>718</v>
      </c>
      <c r="BC17" s="546">
        <v>0.56689999999999996</v>
      </c>
      <c r="BD17" s="121">
        <v>1.6953299999999999E-5</v>
      </c>
    </row>
    <row r="18" spans="2:56">
      <c r="B18" s="118" t="s">
        <v>797</v>
      </c>
      <c r="C18" s="118" t="s">
        <v>720</v>
      </c>
      <c r="D18" s="125">
        <v>3.3099999999999997E-2</v>
      </c>
      <c r="E18" s="135">
        <v>3.3410003198215195E-2</v>
      </c>
      <c r="G18" s="131" t="s">
        <v>798</v>
      </c>
      <c r="H18" s="132">
        <v>6.0000000000000001E-3</v>
      </c>
      <c r="K18" s="118" t="s">
        <v>799</v>
      </c>
      <c r="L18" s="725" t="e">
        <v>#N/A</v>
      </c>
      <c r="M18" s="725">
        <v>42.7</v>
      </c>
      <c r="N18" s="751" t="s">
        <v>792</v>
      </c>
      <c r="O18" s="737" t="e">
        <f>+INDEX(Fuel_CapexOpex!$G$4:$CF$147,MATCH(K18&amp;"CapEx"&amp;"Global",Fuel_CapexOpex!$F$4:$F$147,0),MATCH(YEAR(Assumptions!$G$38),Fuel_CapexOpex!$G$3:$CF$3,0))</f>
        <v>#N/A</v>
      </c>
      <c r="P18" s="737">
        <f>+IF(Assumptions!$G$34="Purchased",0,INDEX(Fuel_CapexOpex!$G$4:$CF$147,MATCH(K18&amp;"OpEx"&amp;Assumptions!$G$15,Fuel_CapexOpex!$F$4:$F$147,0),MATCH(YEAR(Assumptions!$G$38),Fuel_CapexOpex!$G$3:$CF$3,0)))</f>
        <v>0</v>
      </c>
      <c r="Q18" s="751">
        <f>+Q17</f>
        <v>22.275539999999999</v>
      </c>
      <c r="R18" s="738">
        <v>1</v>
      </c>
      <c r="S18" s="725">
        <v>0.92</v>
      </c>
      <c r="T18" s="118" t="s">
        <v>770</v>
      </c>
      <c r="AD18" s="32" t="s">
        <v>800</v>
      </c>
      <c r="AE18" s="32" t="s">
        <v>801</v>
      </c>
      <c r="AF18" s="110">
        <v>100000</v>
      </c>
      <c r="AG18" s="32" t="s">
        <v>795</v>
      </c>
      <c r="AH18" s="32">
        <v>4000</v>
      </c>
      <c r="AI18" s="731">
        <f t="shared" ref="AI18:AI19" si="5">+AH18</f>
        <v>4000</v>
      </c>
      <c r="AJ18" s="32" t="s">
        <v>802</v>
      </c>
      <c r="AK18" s="32">
        <v>16</v>
      </c>
      <c r="AL18" s="32">
        <v>1</v>
      </c>
      <c r="AM18" s="32">
        <v>18.5</v>
      </c>
      <c r="AN18" s="32">
        <v>0.51</v>
      </c>
      <c r="AO18" s="32">
        <v>220</v>
      </c>
      <c r="AP18" s="32">
        <f>+SUM(VesselAssumptions!F341:F342)</f>
        <v>1008435.2727272727</v>
      </c>
      <c r="AQ18" s="32">
        <f t="shared" si="2"/>
        <v>1697941.1550802139</v>
      </c>
      <c r="AR18" s="32">
        <f t="shared" si="0"/>
        <v>20.098735263733591</v>
      </c>
      <c r="AS18" s="32" t="str">
        <f>+_xlfn.XLOOKUP(Assumptions!$G$24,$K$5:$K$20,$T$5:$T$20)</f>
        <v>DF Ammonia</v>
      </c>
      <c r="AT18" s="32" t="str">
        <f>+_xlfn.XLOOKUP(Assumptions!$H$24,$K:$K,$T:$T)</f>
        <v>MF Diesel</v>
      </c>
      <c r="AU18" s="32" cm="1">
        <f t="array" ref="AU18">IFERROR(+_xlfn.XLOOKUP($AD18&amp;AU$4&amp;" - "&amp;$AS18,VesselAssumptions!C:C&amp;VesselAssumptions!D:D,VesselAssumptions!F:F)*10^6,0)</f>
        <v>635028500</v>
      </c>
      <c r="AV18" s="32" cm="1">
        <f t="array" ref="AV18">IFERROR(+_xlfn.XLOOKUP($AD18&amp;AV$4&amp;" - "&amp;$AS18,VesselAssumptions!C:C&amp;VesselAssumptions!D:D,VesselAssumptions!F:F)*10^6,0)</f>
        <v>152099190.45454547</v>
      </c>
      <c r="AW18" s="32" cm="1">
        <f t="array" ref="AW18">IFERROR(+_xlfn.XLOOKUP($AD18&amp;AW$4&amp;" - "&amp;$AT18,VesselAssumptions!C:C&amp;VesselAssumptions!D:D,VesselAssumptions!F:F)*10^6,0)</f>
        <v>617093500</v>
      </c>
      <c r="AX18" s="32" cm="1">
        <f t="array" ref="AX18">IFERROR(+_xlfn.XLOOKUP($AD18&amp;AX$4&amp;" - "&amp;$AT18,VesselAssumptions!C:C&amp;VesselAssumptions!D:D,VesselAssumptions!F:F)*10^6,0)</f>
        <v>151951040.45454547</v>
      </c>
      <c r="AZ18" s="118" t="s">
        <v>749</v>
      </c>
      <c r="BA18" s="118" t="s">
        <v>412</v>
      </c>
      <c r="BB18" s="118" t="s">
        <v>718</v>
      </c>
      <c r="BC18" s="546">
        <v>0.58499999999999996</v>
      </c>
      <c r="BD18" s="121">
        <v>8.5462999999999981E-6</v>
      </c>
    </row>
    <row r="19" spans="2:56" ht="20.25" customHeight="1">
      <c r="B19" s="118" t="s">
        <v>803</v>
      </c>
      <c r="C19" s="118" t="s">
        <v>720</v>
      </c>
      <c r="D19" s="125">
        <v>6.9199999999999998E-2</v>
      </c>
      <c r="E19" s="135">
        <v>2.5410424967656622E-2</v>
      </c>
      <c r="G19" s="129" t="s">
        <v>804</v>
      </c>
      <c r="H19" s="130">
        <v>4.4999999999999997E-3</v>
      </c>
      <c r="K19" s="118" t="s">
        <v>805</v>
      </c>
      <c r="L19" s="725">
        <v>4.3901820000000003</v>
      </c>
      <c r="M19" s="725">
        <v>48</v>
      </c>
      <c r="N19" s="725">
        <f>+IF(ISNUMBER(_xlfn.XLOOKUP(K19,IRACredits!$E$19:$K$19,IRACredits!$E$22:$K$22)),_xlfn.XLOOKUP(K19,IRACredits!$E$19:$K$19,IRACredits!$E$22:$K$22),0)</f>
        <v>0</v>
      </c>
      <c r="O19" s="737">
        <f>+INDEX(Fuel_CapexOpex!$G$4:$CF$147,MATCH(K19&amp;"CapEx"&amp;"Global",Fuel_CapexOpex!$F$4:$F$147,0),MATCH(YEAR(Assumptions!$G$38),Fuel_CapexOpex!$G$3:$CF$3,0))</f>
        <v>2218.5702232125841</v>
      </c>
      <c r="P19" s="737">
        <f>+IF(Assumptions!$G$34="Purchased",0,INDEX(Fuel_CapexOpex!$G$4:$CF$147,MATCH(K19&amp;"OpEx"&amp;Assumptions!$G$15,Fuel_CapexOpex!$F$4:$F$147,0),MATCH(YEAR(Assumptions!$G$38),Fuel_CapexOpex!$G$3:$CF$3,0)))</f>
        <v>0</v>
      </c>
      <c r="Q19" s="725">
        <f t="shared" si="4"/>
        <v>91.462125</v>
      </c>
      <c r="R19" s="738">
        <v>1</v>
      </c>
      <c r="S19" s="725">
        <v>0.45</v>
      </c>
      <c r="T19" s="118" t="s">
        <v>757</v>
      </c>
      <c r="AD19" s="32" t="s">
        <v>806</v>
      </c>
      <c r="AE19" s="32" t="s">
        <v>807</v>
      </c>
      <c r="AF19" s="110">
        <v>175000</v>
      </c>
      <c r="AG19" s="32" t="s">
        <v>795</v>
      </c>
      <c r="AH19" s="32">
        <v>7000</v>
      </c>
      <c r="AI19" s="731">
        <f t="shared" si="5"/>
        <v>7000</v>
      </c>
      <c r="AJ19" s="32" t="s">
        <v>808</v>
      </c>
      <c r="AK19" s="32">
        <v>16</v>
      </c>
      <c r="AL19" s="32">
        <v>1</v>
      </c>
      <c r="AM19" s="32">
        <v>15.2</v>
      </c>
      <c r="AN19" s="32">
        <v>0.51</v>
      </c>
      <c r="AO19" s="32">
        <v>220</v>
      </c>
      <c r="AP19" s="32">
        <f>+SUM(VesselAssumptions!F366:F367)</f>
        <v>1336935.2727272727</v>
      </c>
      <c r="AQ19" s="32">
        <f t="shared" si="2"/>
        <v>1903448.2139037433</v>
      </c>
      <c r="AR19" s="32">
        <f t="shared" si="0"/>
        <v>22.531347228974234</v>
      </c>
      <c r="AS19" s="32" t="str">
        <f>+_xlfn.XLOOKUP(Assumptions!$G$24,$K$5:$K$20,$T$5:$T$20)</f>
        <v>DF Ammonia</v>
      </c>
      <c r="AT19" s="32" t="str">
        <f>+_xlfn.XLOOKUP(Assumptions!$H$24,$K:$K,$T:$T)</f>
        <v>MF Diesel</v>
      </c>
      <c r="AU19" s="32" cm="1">
        <f t="array" ref="AU19">IFERROR(+_xlfn.XLOOKUP($AD19&amp;AU$4&amp;" - "&amp;$AS19,VesselAssumptions!C:C&amp;VesselAssumptions!D:D,VesselAssumptions!F:F)*10^6,0)</f>
        <v>1046654500.0000001</v>
      </c>
      <c r="AV19" s="32" cm="1">
        <f t="array" ref="AV19">IFERROR(+_xlfn.XLOOKUP($AD19&amp;AV$4&amp;" - "&amp;$AS19,VesselAssumptions!C:C&amp;VesselAssumptions!D:D,VesselAssumptions!F:F)*10^6,0)</f>
        <v>352481706.45454544</v>
      </c>
      <c r="AW19" s="32" cm="1">
        <f t="array" ref="AW19">IFERROR(+_xlfn.XLOOKUP($AD19&amp;AW$4&amp;" - "&amp;$AT19,VesselAssumptions!C:C&amp;VesselAssumptions!D:D,VesselAssumptions!F:F)*10^6,0)</f>
        <v>1023047000</v>
      </c>
      <c r="AX19" s="32" cm="1">
        <f t="array" ref="AX19">IFERROR(+_xlfn.XLOOKUP($AD19&amp;AX$4&amp;" - "&amp;$AT19,VesselAssumptions!C:C&amp;VesselAssumptions!D:D,VesselAssumptions!F:F)*10^6,0)</f>
        <v>352288031.45454544</v>
      </c>
      <c r="AZ19" s="118" t="s">
        <v>754</v>
      </c>
      <c r="BA19" s="118" t="s">
        <v>412</v>
      </c>
      <c r="BB19" s="118" t="s">
        <v>718</v>
      </c>
      <c r="BC19" s="546">
        <v>0.6099</v>
      </c>
      <c r="BD19" s="121">
        <v>4.7892599999999996E-5</v>
      </c>
    </row>
    <row r="20" spans="2:56">
      <c r="B20" s="118" t="s">
        <v>809</v>
      </c>
      <c r="C20" s="118" t="s">
        <v>720</v>
      </c>
      <c r="D20" s="125">
        <v>6.6680000000000003E-2</v>
      </c>
      <c r="E20" s="135">
        <v>9.4112685065394896E-3</v>
      </c>
      <c r="G20" s="129" t="s">
        <v>810</v>
      </c>
      <c r="H20" s="130">
        <f>+H13</f>
        <v>1.55E-2</v>
      </c>
      <c r="K20" s="118" t="s">
        <v>180</v>
      </c>
      <c r="L20" s="725">
        <v>3.8433300000000004</v>
      </c>
      <c r="M20" s="725">
        <v>41.2</v>
      </c>
      <c r="N20" s="725">
        <f>+IF(ISNUMBER(_xlfn.XLOOKUP(K20,IRACredits!$E$19:$K$19,IRACredits!$E$22:$K$22)),_xlfn.XLOOKUP(K20,IRACredits!$E$19:$K$19,IRACredits!$E$22:$K$22),0)</f>
        <v>0</v>
      </c>
      <c r="O20" s="737">
        <f>+INDEX(Fuel_CapexOpex!$G$4:$CF$147,MATCH(K20&amp;"CapEx"&amp;"Global",Fuel_CapexOpex!$F$4:$F$147,0),MATCH(YEAR(Assumptions!$G$38),Fuel_CapexOpex!$G$3:$CF$3,0))</f>
        <v>0</v>
      </c>
      <c r="P20" s="737">
        <f>+IF(Assumptions!$G$34="Purchased",0,INDEX(Fuel_CapexOpex!$G$4:$CF$147,MATCH(K20&amp;"OpEx"&amp;Assumptions!$G$15,Fuel_CapexOpex!$F$4:$F$147,0),MATCH(YEAR(Assumptions!$G$38),Fuel_CapexOpex!$G$3:$CF$3,0)))</f>
        <v>0</v>
      </c>
      <c r="Q20" s="725">
        <f t="shared" si="4"/>
        <v>93.284708737864079</v>
      </c>
      <c r="R20" s="738">
        <v>1</v>
      </c>
      <c r="S20" s="725">
        <v>0.99099999999999999</v>
      </c>
      <c r="T20" s="118" t="s">
        <v>770</v>
      </c>
      <c r="AD20" s="32" t="s">
        <v>811</v>
      </c>
      <c r="AE20" s="32" t="s">
        <v>812</v>
      </c>
      <c r="AF20" s="110">
        <v>1000</v>
      </c>
      <c r="AG20" s="32" t="s">
        <v>813</v>
      </c>
      <c r="AH20" s="32">
        <v>350</v>
      </c>
      <c r="AI20" s="731">
        <f>+AH20</f>
        <v>350</v>
      </c>
      <c r="AJ20" s="32" t="s">
        <v>814</v>
      </c>
      <c r="AK20" s="32">
        <v>34</v>
      </c>
      <c r="AL20" s="32">
        <v>1</v>
      </c>
      <c r="AM20" s="32">
        <v>32.4</v>
      </c>
      <c r="AN20" s="32">
        <v>0.51</v>
      </c>
      <c r="AO20" s="32">
        <v>200</v>
      </c>
      <c r="AP20" s="32">
        <f>+SUM(VesselAssumptions!F466:F467)</f>
        <v>16425</v>
      </c>
      <c r="AQ20" s="32">
        <f t="shared" si="2"/>
        <v>1114213.2352941178</v>
      </c>
      <c r="AR20" s="32">
        <f t="shared" si="0"/>
        <v>6.827286980968859</v>
      </c>
      <c r="AS20" s="32" t="str">
        <f>+_xlfn.XLOOKUP(Assumptions!$G$24,$K$5:$K$20,$T$5:$T$20)</f>
        <v>DF Ammonia</v>
      </c>
      <c r="AT20" s="32" t="str">
        <f>+_xlfn.XLOOKUP(Assumptions!$H$24,$K:$K,$T:$T)</f>
        <v>MF Diesel</v>
      </c>
      <c r="AU20" s="32" cm="1">
        <f t="array" ref="AU20">IFERROR(+_xlfn.XLOOKUP($AD20&amp;AU$4&amp;" - "&amp;$AS20,VesselAssumptions!C:C&amp;VesselAssumptions!D:D,VesselAssumptions!F:F)*10^6,0)</f>
        <v>80906250</v>
      </c>
      <c r="AV20" s="32" cm="1">
        <f t="array" ref="AV20">IFERROR(+_xlfn.XLOOKUP($AD20&amp;AV$4&amp;" - "&amp;$AS20,VesselAssumptions!C:C&amp;VesselAssumptions!D:D,VesselAssumptions!F:F)*10^6,0)</f>
        <v>2330122.5</v>
      </c>
      <c r="AW20" s="32" cm="1">
        <f t="array" ref="AW20">IFERROR(+_xlfn.XLOOKUP($AD20&amp;AW$4&amp;" - "&amp;$AT20,VesselAssumptions!C:C&amp;VesselAssumptions!D:D,VesselAssumptions!F:F)*10^6,0)</f>
        <v>69872500</v>
      </c>
      <c r="AX20" s="32" cm="1">
        <f t="array" ref="AX20">IFERROR(+_xlfn.XLOOKUP($AD20&amp;AX$4&amp;" - "&amp;$AT20,VesselAssumptions!C:C&amp;VesselAssumptions!D:D,VesselAssumptions!F:F)*10^6,0)</f>
        <v>2238185</v>
      </c>
      <c r="AZ20" s="118" t="s">
        <v>815</v>
      </c>
      <c r="BA20" s="118" t="s">
        <v>412</v>
      </c>
      <c r="BB20" s="118" t="s">
        <v>718</v>
      </c>
      <c r="BC20" s="546">
        <v>0.6341</v>
      </c>
      <c r="BD20" s="121">
        <v>9.8096999999999986E-6</v>
      </c>
    </row>
    <row r="21" spans="2:56">
      <c r="B21" s="118" t="s">
        <v>816</v>
      </c>
      <c r="C21" s="118" t="s">
        <v>750</v>
      </c>
      <c r="D21" s="125">
        <v>6.3670000000000004E-2</v>
      </c>
      <c r="E21" s="135">
        <v>2.9331786845381409E-2</v>
      </c>
      <c r="AD21" s="32" t="s">
        <v>817</v>
      </c>
      <c r="AE21" s="32" t="s">
        <v>812</v>
      </c>
      <c r="AF21" s="110">
        <v>1000</v>
      </c>
      <c r="AG21" s="32" t="s">
        <v>813</v>
      </c>
      <c r="AH21" s="32">
        <v>600</v>
      </c>
      <c r="AI21" s="731">
        <f>+AH21</f>
        <v>600</v>
      </c>
      <c r="AJ21" s="32" t="s">
        <v>818</v>
      </c>
      <c r="AK21" s="32">
        <v>10</v>
      </c>
      <c r="AL21" s="32">
        <v>1</v>
      </c>
      <c r="AM21" s="32">
        <v>2</v>
      </c>
      <c r="AN21" s="32">
        <v>0.51</v>
      </c>
      <c r="AO21" s="32">
        <v>80</v>
      </c>
      <c r="AP21" s="32">
        <f>+SUM(VesselAssumptions!F491:F492)</f>
        <v>9855</v>
      </c>
      <c r="AQ21" s="32">
        <f t="shared" si="2"/>
        <v>36960.882352941175</v>
      </c>
      <c r="AR21" s="32">
        <f t="shared" si="0"/>
        <v>1.9250459558823529</v>
      </c>
      <c r="AS21" s="32" t="str">
        <f>+_xlfn.XLOOKUP(Assumptions!$G$24,$K$5:$K$20,$T$5:$T$20)</f>
        <v>DF Ammonia</v>
      </c>
      <c r="AT21" s="32" t="str">
        <f>+_xlfn.XLOOKUP(Assumptions!$H$24,$K:$K,$T:$T)</f>
        <v>MF Diesel</v>
      </c>
      <c r="AU21" s="32" cm="1">
        <f t="array" ref="AU21">IFERROR(+_xlfn.XLOOKUP($AD21&amp;AU$4&amp;" - "&amp;$AS21,VesselAssumptions!C:C&amp;VesselAssumptions!D:D,VesselAssumptions!F:F)*10^6,0)</f>
        <v>34094250</v>
      </c>
      <c r="AV21" s="32" cm="1">
        <f t="array" ref="AV21">IFERROR(+_xlfn.XLOOKUP($AD21&amp;AV$4&amp;" - "&amp;$AS21,VesselAssumptions!C:C&amp;VesselAssumptions!D:D,VesselAssumptions!F:F)*10^6,0)</f>
        <v>1605490.5</v>
      </c>
      <c r="AW21" s="32" cm="1">
        <f t="array" ref="AW21">IFERROR(+_xlfn.XLOOKUP($AD21&amp;AW$4&amp;" - "&amp;$AT21,VesselAssumptions!C:C&amp;VesselAssumptions!D:D,VesselAssumptions!F:F)*10^6,0)</f>
        <v>31616000</v>
      </c>
      <c r="AX21" s="32" cm="1">
        <f t="array" ref="AX21">IFERROR(+_xlfn.XLOOKUP($AD21&amp;AX$4&amp;" - "&amp;$AT21,VesselAssumptions!C:C&amp;VesselAssumptions!D:D,VesselAssumptions!F:F)*10^6,0)</f>
        <v>1583528</v>
      </c>
      <c r="AZ21" s="118" t="s">
        <v>819</v>
      </c>
      <c r="BA21" s="118" t="s">
        <v>412</v>
      </c>
      <c r="BB21" s="118" t="s">
        <v>718</v>
      </c>
      <c r="BC21" s="546">
        <v>0.6341</v>
      </c>
      <c r="BD21" s="121">
        <v>7.03025E-5</v>
      </c>
    </row>
    <row r="22" spans="2:56">
      <c r="B22" s="118" t="s">
        <v>820</v>
      </c>
      <c r="C22" s="118" t="s">
        <v>750</v>
      </c>
      <c r="D22" s="125">
        <v>6.9065000000000001E-2</v>
      </c>
      <c r="E22" s="135">
        <v>2.5410424967656622E-2</v>
      </c>
      <c r="P22" s="31"/>
      <c r="AD22" s="32" t="s">
        <v>821</v>
      </c>
      <c r="AE22" s="32" t="s">
        <v>822</v>
      </c>
      <c r="AF22" s="110">
        <v>10000</v>
      </c>
      <c r="AG22" s="32" t="s">
        <v>737</v>
      </c>
      <c r="AH22" s="32">
        <v>0.95</v>
      </c>
      <c r="AI22" s="731">
        <f>+AH22*AF22</f>
        <v>9500</v>
      </c>
      <c r="AJ22" s="32" t="s">
        <v>738</v>
      </c>
      <c r="AK22" s="32">
        <v>11</v>
      </c>
      <c r="AL22" s="32">
        <v>1</v>
      </c>
      <c r="AM22" s="32">
        <v>1.8</v>
      </c>
      <c r="AN22" s="32">
        <v>0.51</v>
      </c>
      <c r="AO22" s="32">
        <v>80</v>
      </c>
      <c r="AP22" s="32">
        <f>+SUM(VesselAssumptions!F391:F392)</f>
        <v>17662.254545454551</v>
      </c>
      <c r="AQ22" s="32">
        <f t="shared" si="2"/>
        <v>42057.54866310161</v>
      </c>
      <c r="AR22" s="32">
        <f t="shared" si="0"/>
        <v>1.9913612056392809</v>
      </c>
      <c r="AS22" s="32" t="str">
        <f>+_xlfn.XLOOKUP(Assumptions!$G$24,$K$5:$K$20,$T$5:$T$20)</f>
        <v>DF Ammonia</v>
      </c>
      <c r="AT22" s="32" t="str">
        <f>+_xlfn.XLOOKUP(Assumptions!$H$24,$K:$K,$T:$T)</f>
        <v>MF Diesel</v>
      </c>
      <c r="AU22" s="32" cm="1">
        <f t="array" ref="AU22">IFERROR(+_xlfn.XLOOKUP($AD22&amp;AU$4&amp;" - "&amp;$AS22,VesselAssumptions!C:C&amp;VesselAssumptions!D:D,VesselAssumptions!F:F)*10^6,0)</f>
        <v>18800625</v>
      </c>
      <c r="AV22" s="32" cm="1">
        <f t="array" ref="AV22">IFERROR(+_xlfn.XLOOKUP($AD22&amp;AV$4&amp;" - "&amp;$AS22,VesselAssumptions!C:C&amp;VesselAssumptions!D:D,VesselAssumptions!F:F)*10^6,0)</f>
        <v>1796525.3409090908</v>
      </c>
      <c r="AW22" s="32" cm="1">
        <f t="array" ref="AW22">IFERROR(+_xlfn.XLOOKUP($AD22&amp;AW$4&amp;" - "&amp;$AT22,VesselAssumptions!C:C&amp;VesselAssumptions!D:D,VesselAssumptions!F:F)*10^6,0)</f>
        <v>16925500</v>
      </c>
      <c r="AX22" s="32" cm="1">
        <f t="array" ref="AX22">IFERROR(+_xlfn.XLOOKUP($AD22&amp;AX$4&amp;" - "&amp;$AT22,VesselAssumptions!C:C&amp;VesselAssumptions!D:D,VesselAssumptions!F:F)*10^6,0)</f>
        <v>1779194.0909090908</v>
      </c>
      <c r="AZ22" s="118" t="s">
        <v>761</v>
      </c>
      <c r="BA22" s="118" t="s">
        <v>412</v>
      </c>
      <c r="BB22" s="118" t="s">
        <v>718</v>
      </c>
      <c r="BC22" s="546">
        <v>0.52059999999999995</v>
      </c>
      <c r="BD22" s="121">
        <v>3.7307499999999995E-5</v>
      </c>
    </row>
    <row r="23" spans="2:56">
      <c r="B23" s="118" t="s">
        <v>823</v>
      </c>
      <c r="C23" s="118" t="s">
        <v>720</v>
      </c>
      <c r="D23" s="125">
        <v>2.8130000000000002E-2</v>
      </c>
      <c r="E23" s="135">
        <v>7.9995782305585655E-3</v>
      </c>
      <c r="O23" s="31"/>
      <c r="AU23" s="31"/>
      <c r="AZ23" s="118" t="s">
        <v>824</v>
      </c>
      <c r="BA23" s="118" t="s">
        <v>412</v>
      </c>
      <c r="BB23" s="118" t="s">
        <v>718</v>
      </c>
      <c r="BC23" s="546">
        <v>0.5403</v>
      </c>
      <c r="BD23" s="121">
        <v>1.5816999999999998E-6</v>
      </c>
    </row>
    <row r="24" spans="2:56">
      <c r="B24" s="118" t="s">
        <v>825</v>
      </c>
      <c r="C24" s="118" t="s">
        <v>826</v>
      </c>
      <c r="D24" s="125">
        <v>4.3659999999999997E-2</v>
      </c>
      <c r="E24" s="135">
        <v>2.1332208614822837E-2</v>
      </c>
      <c r="O24" s="33"/>
      <c r="AZ24" s="118" t="s">
        <v>827</v>
      </c>
      <c r="BA24" s="118" t="s">
        <v>412</v>
      </c>
      <c r="BB24" s="118" t="s">
        <v>718</v>
      </c>
      <c r="BC24" s="546">
        <v>0.47809999999999997</v>
      </c>
      <c r="BD24" s="121">
        <v>1.68303E-5</v>
      </c>
    </row>
    <row r="25" spans="2:56">
      <c r="B25" s="118" t="s">
        <v>828</v>
      </c>
      <c r="C25" s="118" t="s">
        <v>720</v>
      </c>
      <c r="D25" s="125">
        <v>3.5804999999999997E-2</v>
      </c>
      <c r="E25" s="135">
        <v>2.9331786845381409E-2</v>
      </c>
      <c r="AZ25" s="118" t="s">
        <v>767</v>
      </c>
      <c r="BA25" s="118" t="s">
        <v>412</v>
      </c>
      <c r="BB25" s="118" t="s">
        <v>718</v>
      </c>
      <c r="BC25" s="546">
        <v>0.22109999999999999</v>
      </c>
      <c r="BD25" s="121">
        <v>7.9319999999999988E-7</v>
      </c>
    </row>
    <row r="26" spans="2:56">
      <c r="B26" s="118" t="s">
        <v>829</v>
      </c>
      <c r="C26" s="118" t="s">
        <v>750</v>
      </c>
      <c r="D26" s="125">
        <v>1.3399000000000001E-2</v>
      </c>
      <c r="E26" s="135">
        <v>9.4112685065394896E-3</v>
      </c>
      <c r="AZ26" s="118" t="s">
        <v>830</v>
      </c>
      <c r="BA26" s="118" t="s">
        <v>412</v>
      </c>
      <c r="BB26" s="118" t="s">
        <v>718</v>
      </c>
      <c r="BC26" s="546">
        <v>0.85809999999999997</v>
      </c>
      <c r="BD26" s="121">
        <v>3.4248000000000002E-6</v>
      </c>
    </row>
    <row r="27" spans="2:56">
      <c r="B27" s="118" t="s">
        <v>831</v>
      </c>
      <c r="C27" s="118" t="s">
        <v>720</v>
      </c>
      <c r="D27" s="125">
        <v>3.209E-2</v>
      </c>
      <c r="E27" s="135">
        <v>1.1293522207847389E-2</v>
      </c>
      <c r="AZ27" s="118" t="s">
        <v>832</v>
      </c>
      <c r="BA27" s="118" t="s">
        <v>412</v>
      </c>
      <c r="BB27" s="118" t="s">
        <v>718</v>
      </c>
      <c r="BC27" s="546">
        <v>0.37360000000000004</v>
      </c>
      <c r="BD27" s="121">
        <v>9.8793000000000004E-6</v>
      </c>
    </row>
    <row r="28" spans="2:56">
      <c r="B28" s="118" t="s">
        <v>833</v>
      </c>
      <c r="C28" s="118" t="s">
        <v>750</v>
      </c>
      <c r="D28" s="125">
        <v>3.6659999999999998E-2</v>
      </c>
      <c r="E28" s="135">
        <v>1.5999156461117131E-2</v>
      </c>
      <c r="AZ28" s="118" t="s">
        <v>776</v>
      </c>
      <c r="BA28" s="118" t="s">
        <v>412</v>
      </c>
      <c r="BB28" s="118" t="s">
        <v>718</v>
      </c>
      <c r="BC28" s="546">
        <v>0.52570000000000006</v>
      </c>
      <c r="BD28" s="121">
        <v>7.1552999999999999E-6</v>
      </c>
    </row>
    <row r="29" spans="2:56">
      <c r="B29" s="118" t="s">
        <v>834</v>
      </c>
      <c r="C29" s="118" t="s">
        <v>731</v>
      </c>
      <c r="D29" s="125">
        <v>9.6170000000000005E-2</v>
      </c>
      <c r="E29" s="135">
        <v>2.5410424967656622E-2</v>
      </c>
      <c r="AZ29" s="118" t="s">
        <v>782</v>
      </c>
      <c r="BA29" s="118" t="s">
        <v>412</v>
      </c>
      <c r="BB29" s="118" t="s">
        <v>718</v>
      </c>
      <c r="BC29" s="546">
        <v>0.44159999999999999</v>
      </c>
      <c r="BD29" s="121">
        <v>4.1065999999999998E-6</v>
      </c>
    </row>
    <row r="30" spans="2:56">
      <c r="B30" s="118" t="s">
        <v>835</v>
      </c>
      <c r="C30" s="118" t="s">
        <v>720</v>
      </c>
      <c r="D30" s="125">
        <v>2.7019999999999999E-2</v>
      </c>
      <c r="E30" s="135">
        <v>0</v>
      </c>
      <c r="AZ30" s="118" t="s">
        <v>789</v>
      </c>
      <c r="BA30" s="118" t="s">
        <v>412</v>
      </c>
      <c r="BB30" s="118" t="s">
        <v>718</v>
      </c>
      <c r="BC30" s="546">
        <v>0.41210000000000002</v>
      </c>
      <c r="BD30" s="121">
        <v>3.1168999999999998E-6</v>
      </c>
    </row>
    <row r="31" spans="2:56">
      <c r="B31" s="118" t="s">
        <v>836</v>
      </c>
      <c r="C31" s="118" t="s">
        <v>708</v>
      </c>
      <c r="D31" s="125">
        <v>4.5206999999999997E-2</v>
      </c>
      <c r="E31" s="135">
        <v>0</v>
      </c>
      <c r="AZ31" s="118" t="s">
        <v>797</v>
      </c>
      <c r="BA31" s="118" t="s">
        <v>412</v>
      </c>
      <c r="BB31" s="118" t="s">
        <v>718</v>
      </c>
      <c r="BC31" s="546">
        <v>0.42369999999999997</v>
      </c>
      <c r="BD31" s="121">
        <v>5.9831000000000004E-6</v>
      </c>
    </row>
    <row r="32" spans="2:56">
      <c r="B32" s="118" t="s">
        <v>837</v>
      </c>
      <c r="C32" s="118" t="s">
        <v>838</v>
      </c>
      <c r="D32" s="125">
        <v>0.19807</v>
      </c>
      <c r="E32" s="135">
        <v>0.10007315511953656</v>
      </c>
      <c r="AZ32" s="118" t="s">
        <v>839</v>
      </c>
      <c r="BA32" s="118" t="s">
        <v>412</v>
      </c>
      <c r="BB32" s="118" t="s">
        <v>718</v>
      </c>
      <c r="BC32" s="546">
        <v>0.3387</v>
      </c>
      <c r="BD32" s="121">
        <v>3.5414999999999999E-6</v>
      </c>
    </row>
    <row r="33" spans="2:56">
      <c r="B33" s="118" t="s">
        <v>840</v>
      </c>
      <c r="C33" s="118" t="s">
        <v>720</v>
      </c>
      <c r="D33" s="125">
        <v>3.8550000000000001E-2</v>
      </c>
      <c r="E33" s="135">
        <v>0</v>
      </c>
      <c r="AZ33" s="118" t="s">
        <v>803</v>
      </c>
      <c r="BA33" s="118" t="s">
        <v>412</v>
      </c>
      <c r="BB33" s="118" t="s">
        <v>718</v>
      </c>
      <c r="BC33" s="546">
        <v>0.32310000000000005</v>
      </c>
      <c r="BD33" s="121">
        <v>1.8583200000000002E-5</v>
      </c>
    </row>
    <row r="34" spans="2:56">
      <c r="B34" s="118" t="s">
        <v>841</v>
      </c>
      <c r="C34" s="118" t="s">
        <v>750</v>
      </c>
      <c r="D34" s="125">
        <v>0.12832000000000002</v>
      </c>
      <c r="E34" s="135">
        <v>0.12015052793348746</v>
      </c>
      <c r="AZ34" s="118" t="s">
        <v>809</v>
      </c>
      <c r="BA34" s="118" t="s">
        <v>412</v>
      </c>
      <c r="BB34" s="118" t="s">
        <v>718</v>
      </c>
      <c r="BC34" s="546">
        <v>0.42020000000000002</v>
      </c>
      <c r="BD34" s="121">
        <v>3.9595E-6</v>
      </c>
    </row>
    <row r="35" spans="2:56">
      <c r="B35" s="118" t="s">
        <v>842</v>
      </c>
      <c r="C35" s="118" t="s">
        <v>750</v>
      </c>
      <c r="D35" s="125">
        <v>6.2699999999999992E-2</v>
      </c>
      <c r="E35" s="135">
        <v>2.5410424967656622E-2</v>
      </c>
      <c r="AZ35" s="118" t="s">
        <v>816</v>
      </c>
      <c r="BA35" s="118" t="s">
        <v>412</v>
      </c>
      <c r="BB35" s="118" t="s">
        <v>718</v>
      </c>
      <c r="BC35" s="546">
        <v>0.5827</v>
      </c>
      <c r="BD35" s="121">
        <v>4.8112999999999998E-5</v>
      </c>
    </row>
    <row r="36" spans="2:56">
      <c r="B36" s="118" t="s">
        <v>843</v>
      </c>
      <c r="C36" s="118" t="s">
        <v>720</v>
      </c>
      <c r="D36" s="125">
        <v>5.2659999999999998E-2</v>
      </c>
      <c r="E36" s="135">
        <v>1.1293522207847389E-2</v>
      </c>
      <c r="AZ36" s="118" t="s">
        <v>820</v>
      </c>
      <c r="BA36" s="118" t="s">
        <v>412</v>
      </c>
      <c r="BB36" s="118" t="s">
        <v>718</v>
      </c>
      <c r="BC36" s="546">
        <v>0.65490000000000004</v>
      </c>
      <c r="BD36" s="121">
        <v>6.9838699999999999E-5</v>
      </c>
    </row>
    <row r="37" spans="2:56">
      <c r="B37" s="118" t="s">
        <v>844</v>
      </c>
      <c r="C37" s="118" t="s">
        <v>720</v>
      </c>
      <c r="D37" s="125">
        <v>3.0089999999999999E-2</v>
      </c>
      <c r="E37" s="135">
        <v>1.5999156461117131E-2</v>
      </c>
      <c r="AZ37" s="118" t="s">
        <v>823</v>
      </c>
      <c r="BA37" s="118" t="s">
        <v>412</v>
      </c>
      <c r="BB37" s="118" t="s">
        <v>718</v>
      </c>
      <c r="BC37" s="546">
        <v>0.14230000000000001</v>
      </c>
      <c r="BD37" s="121">
        <v>4.5038999999999993E-6</v>
      </c>
    </row>
    <row r="38" spans="2:56">
      <c r="B38" s="118" t="s">
        <v>845</v>
      </c>
      <c r="C38" s="118" t="s">
        <v>720</v>
      </c>
      <c r="D38" s="125">
        <v>7.4999999999999997E-2</v>
      </c>
      <c r="E38" s="135">
        <v>2.9331786845381409E-2</v>
      </c>
      <c r="AZ38" s="118" t="s">
        <v>825</v>
      </c>
      <c r="BA38" s="118" t="s">
        <v>412</v>
      </c>
      <c r="BB38" s="118" t="s">
        <v>718</v>
      </c>
      <c r="BC38" s="546">
        <v>0.3473</v>
      </c>
      <c r="BD38" s="121">
        <v>2.6981999999999998E-6</v>
      </c>
    </row>
    <row r="39" spans="2:56">
      <c r="B39" s="118" t="s">
        <v>846</v>
      </c>
      <c r="C39" s="118" t="s">
        <v>720</v>
      </c>
      <c r="D39" s="125">
        <v>0.15390000000000001</v>
      </c>
      <c r="E39" s="135">
        <v>4.02E-2</v>
      </c>
      <c r="AZ39" s="118" t="s">
        <v>828</v>
      </c>
      <c r="BA39" s="118" t="s">
        <v>412</v>
      </c>
      <c r="BB39" s="118" t="s">
        <v>718</v>
      </c>
      <c r="BC39" s="546">
        <v>0.45079999999999998</v>
      </c>
      <c r="BD39" s="121">
        <v>9.1354999999999992E-6</v>
      </c>
    </row>
    <row r="40" spans="2:56">
      <c r="B40" s="118" t="s">
        <v>847</v>
      </c>
      <c r="C40" s="118" t="s">
        <v>750</v>
      </c>
      <c r="D40" s="125">
        <v>2.4849999999999997E-2</v>
      </c>
      <c r="E40" s="135">
        <v>0</v>
      </c>
      <c r="AZ40" s="118" t="s">
        <v>829</v>
      </c>
      <c r="BA40" s="118" t="s">
        <v>412</v>
      </c>
      <c r="BB40" s="118" t="s">
        <v>718</v>
      </c>
      <c r="BC40" s="546">
        <v>0.49360000000000004</v>
      </c>
      <c r="BD40" s="121">
        <v>7.0591000000000007E-6</v>
      </c>
    </row>
    <row r="41" spans="2:56">
      <c r="B41" s="118" t="s">
        <v>848</v>
      </c>
      <c r="C41" s="118" t="s">
        <v>720</v>
      </c>
      <c r="D41" s="125">
        <v>3.3980000000000003E-2</v>
      </c>
      <c r="E41" s="135">
        <v>1.5999156461117131E-2</v>
      </c>
      <c r="AZ41" s="118" t="s">
        <v>849</v>
      </c>
      <c r="BA41" s="118" t="s">
        <v>412</v>
      </c>
      <c r="BB41" s="118" t="s">
        <v>718</v>
      </c>
      <c r="BC41" s="546">
        <v>0.72199999999999998</v>
      </c>
      <c r="BD41" s="121">
        <v>1.22325E-5</v>
      </c>
    </row>
    <row r="42" spans="2:56">
      <c r="B42" s="118" t="s">
        <v>850</v>
      </c>
      <c r="C42" s="118" t="s">
        <v>720</v>
      </c>
      <c r="D42" s="125">
        <v>3.04E-2</v>
      </c>
      <c r="E42" s="135">
        <v>1.5999156461117131E-2</v>
      </c>
      <c r="AZ42" s="118" t="s">
        <v>851</v>
      </c>
      <c r="BA42" s="118" t="s">
        <v>412</v>
      </c>
      <c r="BB42" s="118" t="s">
        <v>718</v>
      </c>
      <c r="BC42" s="546">
        <v>0.41249999999999998</v>
      </c>
      <c r="BD42" s="121">
        <v>3.1451999999999996E-5</v>
      </c>
    </row>
    <row r="43" spans="2:56">
      <c r="B43" s="118" t="s">
        <v>852</v>
      </c>
      <c r="C43" s="118" t="s">
        <v>838</v>
      </c>
      <c r="D43" s="125">
        <v>0.1067</v>
      </c>
      <c r="E43" s="135">
        <v>4.0154745627901819E-2</v>
      </c>
      <c r="AZ43" s="118" t="s">
        <v>853</v>
      </c>
      <c r="BA43" s="118" t="s">
        <v>412</v>
      </c>
      <c r="BB43" s="118" t="s">
        <v>718</v>
      </c>
      <c r="BC43" s="546">
        <v>0.16739999999999999</v>
      </c>
      <c r="BD43" s="121">
        <v>1.9418900000000001E-5</v>
      </c>
    </row>
    <row r="44" spans="2:56">
      <c r="B44" s="118" t="s">
        <v>854</v>
      </c>
      <c r="C44" s="118" t="s">
        <v>750</v>
      </c>
      <c r="D44" s="125">
        <v>2.5770000000000001E-2</v>
      </c>
      <c r="E44" s="135">
        <v>6.6E-3</v>
      </c>
      <c r="AZ44" s="118" t="s">
        <v>855</v>
      </c>
      <c r="BA44" s="118" t="s">
        <v>412</v>
      </c>
      <c r="BB44" s="118" t="s">
        <v>718</v>
      </c>
      <c r="BC44" s="546">
        <v>0.59930000000000005</v>
      </c>
      <c r="BD44" s="121">
        <v>1.78609E-5</v>
      </c>
    </row>
    <row r="45" spans="2:56">
      <c r="B45" s="118" t="s">
        <v>856</v>
      </c>
      <c r="C45" s="118" t="s">
        <v>720</v>
      </c>
      <c r="D45" s="125">
        <v>3.1255000000000005E-2</v>
      </c>
      <c r="E45" s="135">
        <v>2.1332208614822837E-2</v>
      </c>
      <c r="AZ45" s="118" t="s">
        <v>831</v>
      </c>
      <c r="BA45" s="118" t="s">
        <v>412</v>
      </c>
      <c r="BB45" s="118" t="s">
        <v>718</v>
      </c>
      <c r="BC45" s="546">
        <v>0.57220000000000004</v>
      </c>
      <c r="BD45" s="121">
        <v>8.2684999999999988E-6</v>
      </c>
    </row>
    <row r="46" spans="2:56">
      <c r="B46" s="118" t="s">
        <v>857</v>
      </c>
      <c r="C46" s="118" t="s">
        <v>720</v>
      </c>
      <c r="D46" s="125">
        <v>2.3189999999999999E-2</v>
      </c>
      <c r="E46" s="135">
        <v>0</v>
      </c>
      <c r="AZ46" s="118" t="s">
        <v>858</v>
      </c>
      <c r="BA46" s="118" t="s">
        <v>412</v>
      </c>
      <c r="BB46" s="118" t="s">
        <v>718</v>
      </c>
      <c r="BC46" s="546">
        <v>0.57820000000000005</v>
      </c>
      <c r="BD46" s="121">
        <v>4.9729999999999997E-6</v>
      </c>
    </row>
    <row r="47" spans="2:56">
      <c r="B47" s="118" t="s">
        <v>859</v>
      </c>
      <c r="C47" s="118" t="s">
        <v>720</v>
      </c>
      <c r="D47" s="125">
        <v>3.8800000000000002E-3</v>
      </c>
      <c r="E47" s="135">
        <v>0</v>
      </c>
      <c r="AZ47" s="118" t="s">
        <v>833</v>
      </c>
      <c r="BA47" s="118" t="s">
        <v>412</v>
      </c>
      <c r="BB47" s="118" t="s">
        <v>718</v>
      </c>
      <c r="BC47" s="546">
        <v>0.51970000000000005</v>
      </c>
      <c r="BD47" s="121">
        <v>2.5409300000000001E-5</v>
      </c>
    </row>
    <row r="48" spans="2:56">
      <c r="B48" s="118" t="s">
        <v>860</v>
      </c>
      <c r="C48" s="118" t="s">
        <v>826</v>
      </c>
      <c r="D48" s="125">
        <v>0.32150000000000001</v>
      </c>
      <c r="E48" s="135">
        <v>6.007526396674373E-2</v>
      </c>
      <c r="AZ48" s="118" t="s">
        <v>861</v>
      </c>
      <c r="BA48" s="118" t="s">
        <v>412</v>
      </c>
      <c r="BB48" s="118" t="s">
        <v>718</v>
      </c>
      <c r="BC48" s="546">
        <v>0.34240000000000004</v>
      </c>
      <c r="BD48" s="121">
        <v>6.392699999999999E-6</v>
      </c>
    </row>
    <row r="49" spans="2:56">
      <c r="B49" s="118" t="s">
        <v>862</v>
      </c>
      <c r="C49" s="118" t="s">
        <v>720</v>
      </c>
      <c r="D49" s="125">
        <v>4.4822000000000001E-2</v>
      </c>
      <c r="E49" s="135">
        <v>7.9995782305585655E-3</v>
      </c>
      <c r="AZ49" s="118" t="s">
        <v>834</v>
      </c>
      <c r="BA49" s="118" t="s">
        <v>412</v>
      </c>
      <c r="BB49" s="118" t="s">
        <v>718</v>
      </c>
      <c r="BC49" s="546">
        <v>0.72199999999999998</v>
      </c>
      <c r="BD49" s="121">
        <v>2.5234299999999997E-5</v>
      </c>
    </row>
    <row r="50" spans="2:56">
      <c r="B50" s="118" t="s">
        <v>863</v>
      </c>
      <c r="C50" s="118" t="s">
        <v>731</v>
      </c>
      <c r="D50" s="125">
        <v>4.24E-2</v>
      </c>
      <c r="E50" s="135">
        <v>0</v>
      </c>
      <c r="AZ50" s="118" t="s">
        <v>864</v>
      </c>
      <c r="BA50" s="118" t="s">
        <v>412</v>
      </c>
      <c r="BB50" s="118" t="s">
        <v>718</v>
      </c>
      <c r="BC50" s="546">
        <v>0.41670000000000001</v>
      </c>
      <c r="BD50" s="121">
        <v>1.94106E-5</v>
      </c>
    </row>
    <row r="51" spans="2:56">
      <c r="B51" s="120" t="s">
        <v>865</v>
      </c>
      <c r="C51" s="120" t="s">
        <v>750</v>
      </c>
      <c r="D51" s="126">
        <v>3.1269999999999999E-2</v>
      </c>
      <c r="E51" s="135">
        <v>4.0154745627901819E-2</v>
      </c>
      <c r="AZ51" s="118" t="s">
        <v>866</v>
      </c>
      <c r="BA51" s="118" t="s">
        <v>412</v>
      </c>
      <c r="BB51" s="118" t="s">
        <v>718</v>
      </c>
      <c r="BC51" s="546">
        <v>0.49990000000000001</v>
      </c>
      <c r="BD51" s="121">
        <v>8.4294800000000005E-5</v>
      </c>
    </row>
    <row r="52" spans="2:56">
      <c r="B52" s="118"/>
      <c r="C52" s="118"/>
      <c r="D52" s="125"/>
      <c r="E52" s="135"/>
      <c r="AZ52" s="118" t="s">
        <v>835</v>
      </c>
      <c r="BA52" s="118" t="s">
        <v>412</v>
      </c>
      <c r="BB52" s="118" t="s">
        <v>718</v>
      </c>
      <c r="BC52" s="546">
        <v>0.45379999999999998</v>
      </c>
      <c r="BD52" s="121">
        <v>3.7728999999999999E-6</v>
      </c>
    </row>
    <row r="53" spans="2:56">
      <c r="B53" s="118"/>
      <c r="C53" s="118"/>
      <c r="D53" s="125"/>
      <c r="E53" s="135"/>
      <c r="AZ53" s="118" t="s">
        <v>836</v>
      </c>
      <c r="BA53" s="118" t="s">
        <v>412</v>
      </c>
      <c r="BB53" s="118" t="s">
        <v>718</v>
      </c>
      <c r="BC53" s="546">
        <v>0.61969999999999992</v>
      </c>
      <c r="BD53" s="121">
        <v>1.19698E-5</v>
      </c>
    </row>
    <row r="54" spans="2:56">
      <c r="B54" s="118"/>
      <c r="C54" s="118"/>
      <c r="D54" s="125"/>
      <c r="E54" s="135"/>
      <c r="AZ54" s="118" t="s">
        <v>837</v>
      </c>
      <c r="BA54" s="118" t="s">
        <v>412</v>
      </c>
      <c r="BB54" s="118" t="s">
        <v>718</v>
      </c>
      <c r="BC54" s="546">
        <v>0.54459999999999997</v>
      </c>
      <c r="BD54" s="121">
        <v>6.0204700000000003E-5</v>
      </c>
    </row>
    <row r="55" spans="2:56">
      <c r="B55" s="118"/>
      <c r="C55" s="118"/>
      <c r="D55" s="125"/>
      <c r="E55" s="135"/>
      <c r="AZ55" s="118" t="s">
        <v>840</v>
      </c>
      <c r="BA55" s="118" t="s">
        <v>412</v>
      </c>
      <c r="BB55" s="118" t="s">
        <v>718</v>
      </c>
      <c r="BC55" s="546">
        <v>0.3856</v>
      </c>
      <c r="BD55" s="121">
        <v>4.0183000000000001E-6</v>
      </c>
    </row>
    <row r="56" spans="2:56">
      <c r="B56" s="120"/>
      <c r="C56" s="120"/>
      <c r="D56" s="126"/>
      <c r="E56" s="135"/>
      <c r="AZ56" s="118" t="s">
        <v>841</v>
      </c>
      <c r="BA56" s="118" t="s">
        <v>412</v>
      </c>
      <c r="BB56" s="118" t="s">
        <v>718</v>
      </c>
      <c r="BC56" s="546">
        <v>0.66199999999999992</v>
      </c>
      <c r="BD56" s="121">
        <v>1.096203E-4</v>
      </c>
    </row>
    <row r="57" spans="2:56">
      <c r="AZ57" s="118" t="s">
        <v>867</v>
      </c>
      <c r="BA57" s="118" t="s">
        <v>412</v>
      </c>
      <c r="BB57" s="118" t="s">
        <v>718</v>
      </c>
      <c r="BC57" s="546">
        <v>0.70100000000000007</v>
      </c>
      <c r="BD57" s="121">
        <v>4.5875399999999998E-5</v>
      </c>
    </row>
    <row r="58" spans="2:56">
      <c r="AZ58" s="118" t="s">
        <v>842</v>
      </c>
      <c r="BA58" s="118" t="s">
        <v>412</v>
      </c>
      <c r="BB58" s="118" t="s">
        <v>718</v>
      </c>
      <c r="BC58" s="546">
        <v>0.61</v>
      </c>
      <c r="BD58" s="121">
        <v>3.0949399999999999E-5</v>
      </c>
    </row>
    <row r="59" spans="2:56">
      <c r="AZ59" s="118" t="s">
        <v>843</v>
      </c>
      <c r="BA59" s="118" t="s">
        <v>412</v>
      </c>
      <c r="BB59" s="118" t="s">
        <v>718</v>
      </c>
      <c r="BC59" s="546">
        <v>0.53690000000000004</v>
      </c>
      <c r="BD59" s="121">
        <v>3.0451599999999998E-5</v>
      </c>
    </row>
    <row r="60" spans="2:56">
      <c r="AZ60" s="118" t="s">
        <v>844</v>
      </c>
      <c r="BA60" s="118" t="s">
        <v>412</v>
      </c>
      <c r="BB60" s="118" t="s">
        <v>718</v>
      </c>
      <c r="BC60" s="546">
        <v>0.51019999999999999</v>
      </c>
      <c r="BD60" s="121">
        <v>1.1809300000000001E-5</v>
      </c>
    </row>
    <row r="61" spans="2:56">
      <c r="AZ61" s="118" t="s">
        <v>845</v>
      </c>
      <c r="BA61" s="118" t="s">
        <v>412</v>
      </c>
      <c r="BB61" s="118" t="s">
        <v>718</v>
      </c>
      <c r="BC61" s="546">
        <v>0.76920000000000011</v>
      </c>
      <c r="BD61" s="121">
        <v>2.0663000000000002E-5</v>
      </c>
    </row>
    <row r="62" spans="2:56">
      <c r="AZ62" s="118" t="s">
        <v>846</v>
      </c>
      <c r="BA62" s="118" t="s">
        <v>412</v>
      </c>
      <c r="BB62" s="118" t="s">
        <v>718</v>
      </c>
      <c r="BC62" s="546">
        <v>0.63119999999999998</v>
      </c>
      <c r="BD62" s="121">
        <v>5.0594099999999997E-5</v>
      </c>
    </row>
    <row r="63" spans="2:56">
      <c r="AZ63" s="118" t="s">
        <v>868</v>
      </c>
      <c r="BA63" s="118" t="s">
        <v>412</v>
      </c>
      <c r="BB63" s="118" t="s">
        <v>718</v>
      </c>
      <c r="BC63" s="546">
        <v>0.76679999999999993</v>
      </c>
      <c r="BD63" s="121">
        <v>1.016739E-4</v>
      </c>
    </row>
    <row r="64" spans="2:56">
      <c r="AZ64" s="118" t="s">
        <v>869</v>
      </c>
      <c r="BA64" s="118" t="s">
        <v>412</v>
      </c>
      <c r="BB64" s="118" t="s">
        <v>718</v>
      </c>
      <c r="BC64" s="546">
        <v>0.624</v>
      </c>
      <c r="BD64" s="121">
        <v>1.1326169999999998E-4</v>
      </c>
    </row>
    <row r="65" spans="52:56">
      <c r="AZ65" s="118" t="s">
        <v>847</v>
      </c>
      <c r="BA65" s="118" t="s">
        <v>412</v>
      </c>
      <c r="BB65" s="118" t="s">
        <v>718</v>
      </c>
      <c r="BC65" s="546">
        <v>0.16699999999999998</v>
      </c>
      <c r="BD65" s="121">
        <v>9.6649999999999998E-7</v>
      </c>
    </row>
    <row r="66" spans="52:56">
      <c r="AZ66" s="118" t="s">
        <v>848</v>
      </c>
      <c r="BA66" s="118" t="s">
        <v>412</v>
      </c>
      <c r="BB66" s="118" t="s">
        <v>718</v>
      </c>
      <c r="BC66" s="546">
        <v>0.46329999999999999</v>
      </c>
      <c r="BD66" s="121">
        <v>9.224599999999998E-6</v>
      </c>
    </row>
    <row r="67" spans="52:56">
      <c r="AZ67" s="118" t="s">
        <v>850</v>
      </c>
      <c r="BA67" s="118" t="s">
        <v>412</v>
      </c>
      <c r="BB67" s="118" t="s">
        <v>718</v>
      </c>
      <c r="BC67" s="546">
        <v>0.4294</v>
      </c>
      <c r="BD67" s="121">
        <v>1.0612699999999999E-5</v>
      </c>
    </row>
    <row r="68" spans="52:56">
      <c r="AZ68" s="118" t="s">
        <v>852</v>
      </c>
      <c r="BA68" s="118" t="s">
        <v>412</v>
      </c>
      <c r="BB68" s="118" t="s">
        <v>718</v>
      </c>
      <c r="BC68" s="546">
        <v>0.60699999999999998</v>
      </c>
      <c r="BD68" s="121">
        <v>1.1249500000000001E-5</v>
      </c>
    </row>
    <row r="69" spans="52:56">
      <c r="AZ69" s="118" t="s">
        <v>854</v>
      </c>
      <c r="BA69" s="118" t="s">
        <v>412</v>
      </c>
      <c r="BB69" s="118" t="s">
        <v>718</v>
      </c>
      <c r="BC69" s="546">
        <v>0.39810000000000001</v>
      </c>
      <c r="BD69" s="121">
        <v>6.9273000000000006E-6</v>
      </c>
    </row>
    <row r="70" spans="52:56">
      <c r="AZ70" s="118" t="s">
        <v>856</v>
      </c>
      <c r="BA70" s="118" t="s">
        <v>412</v>
      </c>
      <c r="BB70" s="118" t="s">
        <v>718</v>
      </c>
      <c r="BC70" s="546">
        <v>0.52639999999999998</v>
      </c>
      <c r="BD70" s="121">
        <v>9.9946999999999994E-6</v>
      </c>
    </row>
    <row r="71" spans="52:56">
      <c r="AZ71" s="118" t="s">
        <v>857</v>
      </c>
      <c r="BA71" s="118" t="s">
        <v>412</v>
      </c>
      <c r="BB71" s="118" t="s">
        <v>718</v>
      </c>
      <c r="BC71" s="546">
        <v>0.45679999999999998</v>
      </c>
      <c r="BD71" s="121">
        <v>5.4877E-6</v>
      </c>
    </row>
    <row r="72" spans="52:56">
      <c r="AZ72" s="118" t="s">
        <v>859</v>
      </c>
      <c r="BA72" s="118" t="s">
        <v>412</v>
      </c>
      <c r="BB72" s="118" t="s">
        <v>718</v>
      </c>
      <c r="BC72" s="546">
        <v>0.2712</v>
      </c>
      <c r="BD72" s="121">
        <v>2.0457999999999995E-6</v>
      </c>
    </row>
    <row r="73" spans="52:56">
      <c r="AZ73" s="118" t="s">
        <v>870</v>
      </c>
      <c r="BA73" s="118" t="s">
        <v>412</v>
      </c>
      <c r="BB73" s="118" t="s">
        <v>718</v>
      </c>
      <c r="BC73" s="546">
        <v>0.29570000000000002</v>
      </c>
      <c r="BD73" s="121">
        <v>6.7196999999999994E-6</v>
      </c>
    </row>
    <row r="74" spans="52:56">
      <c r="AZ74" s="118" t="s">
        <v>871</v>
      </c>
      <c r="BA74" s="118" t="s">
        <v>412</v>
      </c>
      <c r="BB74" s="118" t="s">
        <v>718</v>
      </c>
      <c r="BC74" s="546">
        <v>0.58779999999999999</v>
      </c>
      <c r="BD74" s="121">
        <v>4.3559000000000001E-6</v>
      </c>
    </row>
    <row r="75" spans="52:56">
      <c r="AZ75" s="118" t="s">
        <v>872</v>
      </c>
      <c r="BA75" s="118" t="s">
        <v>412</v>
      </c>
      <c r="BB75" s="118" t="s">
        <v>718</v>
      </c>
      <c r="BC75" s="546">
        <v>0.57590000000000008</v>
      </c>
      <c r="BD75" s="121">
        <v>2.96537E-5</v>
      </c>
    </row>
    <row r="76" spans="52:56">
      <c r="AZ76" s="118" t="s">
        <v>860</v>
      </c>
      <c r="BA76" s="118" t="s">
        <v>412</v>
      </c>
      <c r="BB76" s="118" t="s">
        <v>718</v>
      </c>
      <c r="BC76" s="546">
        <v>0.72310000000000008</v>
      </c>
      <c r="BD76" s="121">
        <v>7.3479999999999998E-6</v>
      </c>
    </row>
    <row r="77" spans="52:56">
      <c r="AZ77" s="118" t="s">
        <v>873</v>
      </c>
      <c r="BA77" s="118" t="s">
        <v>412</v>
      </c>
      <c r="BB77" s="118" t="s">
        <v>718</v>
      </c>
      <c r="BC77" s="546">
        <v>0.52970000000000006</v>
      </c>
      <c r="BD77" s="121">
        <v>4.9447000000000003E-5</v>
      </c>
    </row>
    <row r="78" spans="52:56">
      <c r="AZ78" s="118" t="s">
        <v>862</v>
      </c>
      <c r="BA78" s="118" t="s">
        <v>412</v>
      </c>
      <c r="BB78" s="118" t="s">
        <v>718</v>
      </c>
      <c r="BC78" s="546">
        <v>0.5796</v>
      </c>
      <c r="BD78" s="121">
        <v>5.2643000000000006E-6</v>
      </c>
    </row>
    <row r="79" spans="52:56">
      <c r="AZ79" s="118" t="s">
        <v>863</v>
      </c>
      <c r="BA79" s="118" t="s">
        <v>412</v>
      </c>
      <c r="BB79" s="118" t="s">
        <v>718</v>
      </c>
      <c r="BC79" s="546">
        <v>0.65229999999999999</v>
      </c>
      <c r="BD79" s="121">
        <v>4.8238999999999997E-6</v>
      </c>
    </row>
    <row r="80" spans="52:56">
      <c r="AZ80" s="118" t="s">
        <v>865</v>
      </c>
      <c r="BA80" s="118" t="s">
        <v>412</v>
      </c>
      <c r="BB80" s="118" t="s">
        <v>718</v>
      </c>
      <c r="BC80" s="546">
        <v>0.28839999999999999</v>
      </c>
      <c r="BD80" s="121">
        <v>3.3319499999999998E-5</v>
      </c>
    </row>
    <row r="81" spans="52:56">
      <c r="AZ81" s="118" t="s">
        <v>717</v>
      </c>
      <c r="BA81" s="118" t="s">
        <v>408</v>
      </c>
      <c r="BB81" s="118" t="s">
        <v>874</v>
      </c>
      <c r="BC81" s="546">
        <v>0.83</v>
      </c>
      <c r="BD81" s="121">
        <v>2.2928000000000001E-5</v>
      </c>
    </row>
    <row r="82" spans="52:56">
      <c r="AZ82" s="118" t="s">
        <v>169</v>
      </c>
      <c r="BA82" s="118" t="s">
        <v>408</v>
      </c>
      <c r="BB82" s="118" t="s">
        <v>874</v>
      </c>
      <c r="BC82" s="546">
        <v>0.73199999999999998</v>
      </c>
      <c r="BD82" s="121">
        <v>4.7260000000000002E-6</v>
      </c>
    </row>
    <row r="83" spans="52:56">
      <c r="AZ83" s="118" t="s">
        <v>719</v>
      </c>
      <c r="BA83" s="118" t="s">
        <v>408</v>
      </c>
      <c r="BB83" s="118" t="s">
        <v>874</v>
      </c>
      <c r="BC83" s="546">
        <v>0.745</v>
      </c>
      <c r="BD83" s="121">
        <v>5.6509999999999998E-6</v>
      </c>
    </row>
    <row r="84" spans="52:56">
      <c r="AZ84" s="118" t="s">
        <v>739</v>
      </c>
      <c r="BA84" s="118" t="s">
        <v>408</v>
      </c>
      <c r="BB84" s="118" t="s">
        <v>874</v>
      </c>
      <c r="BC84" s="546">
        <v>0.84900000000000009</v>
      </c>
      <c r="BD84" s="121">
        <v>0</v>
      </c>
    </row>
    <row r="85" spans="52:56">
      <c r="AZ85" s="118" t="s">
        <v>744</v>
      </c>
      <c r="BA85" s="118" t="s">
        <v>408</v>
      </c>
      <c r="BB85" s="118" t="s">
        <v>874</v>
      </c>
      <c r="BC85" s="546">
        <v>0.77</v>
      </c>
      <c r="BD85" s="121">
        <v>7.3852999999999999E-5</v>
      </c>
    </row>
    <row r="86" spans="52:56">
      <c r="AZ86" s="118" t="s">
        <v>724</v>
      </c>
      <c r="BA86" s="118" t="s">
        <v>408</v>
      </c>
      <c r="BB86" s="118" t="s">
        <v>874</v>
      </c>
      <c r="BC86" s="546">
        <v>0.58099999999999996</v>
      </c>
      <c r="BD86" s="121">
        <v>4.7849999999999999E-6</v>
      </c>
    </row>
    <row r="87" spans="52:56">
      <c r="AZ87" s="118" t="s">
        <v>730</v>
      </c>
      <c r="BA87" s="118" t="s">
        <v>408</v>
      </c>
      <c r="BB87" s="118" t="s">
        <v>874</v>
      </c>
      <c r="BC87" s="546">
        <v>0.75</v>
      </c>
      <c r="BD87" s="121">
        <v>4.2363000000000001E-5</v>
      </c>
    </row>
    <row r="88" spans="52:56">
      <c r="AZ88" s="118" t="s">
        <v>760</v>
      </c>
      <c r="BA88" s="118" t="s">
        <v>408</v>
      </c>
      <c r="BB88" s="118" t="s">
        <v>874</v>
      </c>
      <c r="BC88" s="546">
        <v>0.57299999999999995</v>
      </c>
      <c r="BD88" s="121">
        <v>1.2486999999999999E-5</v>
      </c>
    </row>
    <row r="89" spans="52:56">
      <c r="AZ89" s="118" t="s">
        <v>766</v>
      </c>
      <c r="BA89" s="118" t="s">
        <v>408</v>
      </c>
      <c r="BB89" s="118" t="s">
        <v>874</v>
      </c>
      <c r="BC89" s="546">
        <v>0.58799999999999997</v>
      </c>
      <c r="BD89" s="121">
        <v>2.4411999999999999E-5</v>
      </c>
    </row>
    <row r="90" spans="52:56">
      <c r="AZ90" s="118" t="s">
        <v>775</v>
      </c>
      <c r="BA90" s="118" t="s">
        <v>408</v>
      </c>
      <c r="BB90" s="118" t="s">
        <v>874</v>
      </c>
      <c r="BC90" s="546">
        <v>0.755</v>
      </c>
      <c r="BD90" s="121">
        <v>2.3187799999999998E-4</v>
      </c>
    </row>
    <row r="91" spans="52:56">
      <c r="AZ91" s="118" t="s">
        <v>781</v>
      </c>
      <c r="BA91" s="118" t="s">
        <v>408</v>
      </c>
      <c r="BB91" s="118" t="s">
        <v>874</v>
      </c>
      <c r="BC91" s="546">
        <v>0.85399999999999998</v>
      </c>
      <c r="BD91" s="121">
        <v>0</v>
      </c>
    </row>
    <row r="92" spans="52:56">
      <c r="AZ92" s="118" t="s">
        <v>740</v>
      </c>
      <c r="BA92" s="118" t="s">
        <v>408</v>
      </c>
      <c r="BB92" s="118" t="s">
        <v>874</v>
      </c>
      <c r="BC92" s="546">
        <v>0.68899999999999995</v>
      </c>
      <c r="BD92" s="121">
        <v>9.3019999999999984E-6</v>
      </c>
    </row>
    <row r="93" spans="52:56">
      <c r="AZ93" s="118" t="s">
        <v>118</v>
      </c>
      <c r="BA93" s="118" t="s">
        <v>408</v>
      </c>
      <c r="BB93" s="118" t="s">
        <v>874</v>
      </c>
      <c r="BC93" s="546">
        <v>0.84300000000000008</v>
      </c>
      <c r="BD93" s="121">
        <v>2.3274000000000001E-5</v>
      </c>
    </row>
    <row r="94" spans="52:56">
      <c r="AZ94" s="118" t="s">
        <v>749</v>
      </c>
      <c r="BA94" s="118" t="s">
        <v>408</v>
      </c>
      <c r="BB94" s="118" t="s">
        <v>874</v>
      </c>
      <c r="BC94" s="546">
        <v>0.55699999999999994</v>
      </c>
      <c r="BD94" s="121">
        <v>4.7743E-5</v>
      </c>
    </row>
    <row r="95" spans="52:56">
      <c r="AZ95" s="118" t="s">
        <v>754</v>
      </c>
      <c r="BA95" s="118" t="s">
        <v>408</v>
      </c>
      <c r="BB95" s="118" t="s">
        <v>874</v>
      </c>
      <c r="BC95" s="546">
        <v>0.78899999999999992</v>
      </c>
      <c r="BD95" s="121">
        <v>1.0338599999999999E-4</v>
      </c>
    </row>
    <row r="96" spans="52:56">
      <c r="AZ96" s="118" t="s">
        <v>815</v>
      </c>
      <c r="BA96" s="118" t="s">
        <v>408</v>
      </c>
      <c r="BB96" s="118" t="s">
        <v>874</v>
      </c>
      <c r="BC96" s="546">
        <v>0.75800000000000001</v>
      </c>
      <c r="BD96" s="121">
        <v>2.7916000000000002E-5</v>
      </c>
    </row>
    <row r="97" spans="52:56">
      <c r="AZ97" s="118" t="s">
        <v>819</v>
      </c>
      <c r="BA97" s="118" t="s">
        <v>408</v>
      </c>
      <c r="BB97" s="118" t="s">
        <v>874</v>
      </c>
      <c r="BC97" s="546">
        <v>0.77</v>
      </c>
      <c r="BD97" s="121">
        <v>8.3644999999999989E-5</v>
      </c>
    </row>
    <row r="98" spans="52:56">
      <c r="AZ98" s="118" t="s">
        <v>761</v>
      </c>
      <c r="BA98" s="118" t="s">
        <v>408</v>
      </c>
      <c r="BB98" s="118" t="s">
        <v>874</v>
      </c>
      <c r="BC98" s="546">
        <v>0.625</v>
      </c>
      <c r="BD98" s="121">
        <v>2.5610999999999999E-5</v>
      </c>
    </row>
    <row r="99" spans="52:56">
      <c r="AZ99" s="118" t="s">
        <v>824</v>
      </c>
      <c r="BA99" s="118" t="s">
        <v>408</v>
      </c>
      <c r="BB99" s="118" t="s">
        <v>874</v>
      </c>
      <c r="BC99" s="546">
        <v>0.33800000000000002</v>
      </c>
      <c r="BD99" s="121">
        <v>5.0999999999999995E-6</v>
      </c>
    </row>
    <row r="100" spans="52:56">
      <c r="AZ100" s="118" t="s">
        <v>827</v>
      </c>
      <c r="BA100" s="118" t="s">
        <v>408</v>
      </c>
      <c r="BB100" s="118" t="s">
        <v>874</v>
      </c>
      <c r="BC100" s="546">
        <v>0.61299999999999999</v>
      </c>
      <c r="BD100" s="121">
        <v>1.1332000000000001E-5</v>
      </c>
    </row>
    <row r="101" spans="52:56">
      <c r="AZ101" s="118" t="s">
        <v>767</v>
      </c>
      <c r="BA101" s="118" t="s">
        <v>408</v>
      </c>
      <c r="BB101" s="118" t="s">
        <v>874</v>
      </c>
      <c r="BC101" s="546">
        <v>0.622</v>
      </c>
      <c r="BD101" s="121">
        <v>5.4409999999999992E-6</v>
      </c>
    </row>
    <row r="102" spans="52:56">
      <c r="AZ102" s="118" t="s">
        <v>830</v>
      </c>
      <c r="BA102" s="118" t="s">
        <v>408</v>
      </c>
      <c r="BB102" s="118" t="s">
        <v>874</v>
      </c>
      <c r="BC102" s="546">
        <v>0.91100000000000003</v>
      </c>
      <c r="BD102" s="121">
        <v>1.4112999999999999E-5</v>
      </c>
    </row>
    <row r="103" spans="52:56">
      <c r="AZ103" s="118" t="s">
        <v>832</v>
      </c>
      <c r="BA103" s="118" t="s">
        <v>408</v>
      </c>
      <c r="BB103" s="118" t="s">
        <v>874</v>
      </c>
      <c r="BC103" s="546">
        <v>0.501</v>
      </c>
      <c r="BD103" s="121">
        <v>8.0989999999999999E-6</v>
      </c>
    </row>
    <row r="104" spans="52:56">
      <c r="AZ104" s="118" t="s">
        <v>776</v>
      </c>
      <c r="BA104" s="118" t="s">
        <v>408</v>
      </c>
      <c r="BB104" s="118" t="s">
        <v>874</v>
      </c>
      <c r="BC104" s="546">
        <v>0.53500000000000003</v>
      </c>
      <c r="BD104" s="121">
        <v>6.2999999999999998E-6</v>
      </c>
    </row>
    <row r="105" spans="52:56">
      <c r="AZ105" s="118" t="s">
        <v>782</v>
      </c>
      <c r="BA105" s="118" t="s">
        <v>408</v>
      </c>
      <c r="BB105" s="118" t="s">
        <v>874</v>
      </c>
      <c r="BC105" s="546">
        <v>0.67799999999999994</v>
      </c>
      <c r="BD105" s="121">
        <v>5.7130000000000002E-6</v>
      </c>
    </row>
    <row r="106" spans="52:56">
      <c r="AZ106" s="118" t="s">
        <v>789</v>
      </c>
      <c r="BA106" s="118" t="s">
        <v>408</v>
      </c>
      <c r="BB106" s="118" t="s">
        <v>874</v>
      </c>
      <c r="BC106" s="546">
        <v>0.60499999999999998</v>
      </c>
      <c r="BD106" s="121">
        <v>8.1259999999999998E-6</v>
      </c>
    </row>
    <row r="107" spans="52:56">
      <c r="AZ107" s="118" t="s">
        <v>797</v>
      </c>
      <c r="BA107" s="118" t="s">
        <v>408</v>
      </c>
      <c r="BB107" s="118" t="s">
        <v>874</v>
      </c>
      <c r="BC107" s="546">
        <v>0.74199999999999999</v>
      </c>
      <c r="BD107" s="121">
        <v>1.2186E-5</v>
      </c>
    </row>
    <row r="108" spans="52:56">
      <c r="AZ108" s="118" t="s">
        <v>839</v>
      </c>
      <c r="BA108" s="118" t="s">
        <v>408</v>
      </c>
      <c r="BB108" s="118" t="s">
        <v>874</v>
      </c>
      <c r="BC108" s="546">
        <v>0.83499999999999996</v>
      </c>
      <c r="BD108" s="121">
        <v>9.0440000000000001E-6</v>
      </c>
    </row>
    <row r="109" spans="52:56">
      <c r="AZ109" s="118" t="s">
        <v>803</v>
      </c>
      <c r="BA109" s="118" t="s">
        <v>408</v>
      </c>
      <c r="BB109" s="118" t="s">
        <v>874</v>
      </c>
      <c r="BC109" s="546">
        <v>0.68500000000000005</v>
      </c>
      <c r="BD109" s="121">
        <v>1.6789999999999997E-5</v>
      </c>
    </row>
    <row r="110" spans="52:56">
      <c r="AZ110" s="118" t="s">
        <v>809</v>
      </c>
      <c r="BA110" s="118" t="s">
        <v>408</v>
      </c>
      <c r="BB110" s="118" t="s">
        <v>874</v>
      </c>
      <c r="BC110" s="546">
        <v>0.69300000000000006</v>
      </c>
      <c r="BD110" s="121">
        <v>5.8000000000000004E-6</v>
      </c>
    </row>
    <row r="111" spans="52:56">
      <c r="AZ111" s="118" t="s">
        <v>816</v>
      </c>
      <c r="BA111" s="118" t="s">
        <v>408</v>
      </c>
      <c r="BB111" s="118" t="s">
        <v>874</v>
      </c>
      <c r="BC111" s="546">
        <v>0.63800000000000001</v>
      </c>
      <c r="BD111" s="121">
        <v>8.8080999999999999E-5</v>
      </c>
    </row>
    <row r="112" spans="52:56">
      <c r="AZ112" s="118" t="s">
        <v>820</v>
      </c>
      <c r="BA112" s="118" t="s">
        <v>408</v>
      </c>
      <c r="BB112" s="118" t="s">
        <v>874</v>
      </c>
      <c r="BC112" s="546">
        <v>0.73</v>
      </c>
      <c r="BD112" s="121">
        <v>7.5174999999999998E-5</v>
      </c>
    </row>
    <row r="113" spans="52:56">
      <c r="AZ113" s="118" t="s">
        <v>823</v>
      </c>
      <c r="BA113" s="118" t="s">
        <v>408</v>
      </c>
      <c r="BB113" s="118" t="s">
        <v>874</v>
      </c>
      <c r="BC113" s="546">
        <v>0.30299999999999999</v>
      </c>
      <c r="BD113" s="121">
        <v>6.3679999999999998E-6</v>
      </c>
    </row>
    <row r="114" spans="52:56">
      <c r="AZ114" s="118" t="s">
        <v>825</v>
      </c>
      <c r="BA114" s="118" t="s">
        <v>408</v>
      </c>
      <c r="BB114" s="118" t="s">
        <v>874</v>
      </c>
      <c r="BC114" s="546">
        <v>0.84599999999999997</v>
      </c>
      <c r="BD114" s="121">
        <v>6.6969999999999987E-6</v>
      </c>
    </row>
    <row r="115" spans="52:56">
      <c r="AZ115" s="118" t="s">
        <v>828</v>
      </c>
      <c r="BA115" s="118" t="s">
        <v>408</v>
      </c>
      <c r="BB115" s="118" t="s">
        <v>874</v>
      </c>
      <c r="BC115" s="546">
        <v>0.67500000000000004</v>
      </c>
      <c r="BD115" s="121">
        <v>8.8669999999999983E-6</v>
      </c>
    </row>
    <row r="116" spans="52:56">
      <c r="AZ116" s="118" t="s">
        <v>829</v>
      </c>
      <c r="BA116" s="118" t="s">
        <v>408</v>
      </c>
      <c r="BB116" s="118" t="s">
        <v>874</v>
      </c>
      <c r="BC116" s="546">
        <v>0.80899999999999994</v>
      </c>
      <c r="BD116" s="121">
        <v>1.1365999999999999E-5</v>
      </c>
    </row>
    <row r="117" spans="52:56">
      <c r="AZ117" s="118" t="s">
        <v>849</v>
      </c>
      <c r="BA117" s="118" t="s">
        <v>408</v>
      </c>
      <c r="BB117" s="118" t="s">
        <v>874</v>
      </c>
      <c r="BC117" s="546">
        <v>0.69499999999999995</v>
      </c>
      <c r="BD117" s="121">
        <v>2.3423999999999998E-5</v>
      </c>
    </row>
    <row r="118" spans="52:56">
      <c r="AZ118" s="118" t="s">
        <v>851</v>
      </c>
      <c r="BA118" s="118" t="s">
        <v>408</v>
      </c>
      <c r="BB118" s="118" t="s">
        <v>874</v>
      </c>
      <c r="BC118" s="546">
        <v>0.51899999999999991</v>
      </c>
      <c r="BD118" s="121">
        <v>4.4900999999999996E-5</v>
      </c>
    </row>
    <row r="119" spans="52:56">
      <c r="AZ119" s="118" t="s">
        <v>853</v>
      </c>
      <c r="BA119" s="118" t="s">
        <v>408</v>
      </c>
      <c r="BB119" s="118" t="s">
        <v>874</v>
      </c>
      <c r="BC119" s="546">
        <v>0.27400000000000002</v>
      </c>
      <c r="BD119" s="121">
        <v>2.7159999999999997E-5</v>
      </c>
    </row>
    <row r="120" spans="52:56">
      <c r="AZ120" s="118" t="s">
        <v>855</v>
      </c>
      <c r="BA120" s="118" t="s">
        <v>408</v>
      </c>
      <c r="BB120" s="118" t="s">
        <v>874</v>
      </c>
      <c r="BC120" s="546">
        <v>0.47599999999999998</v>
      </c>
      <c r="BD120" s="121">
        <v>1.7955999999999999E-5</v>
      </c>
    </row>
    <row r="121" spans="52:56">
      <c r="AZ121" s="118" t="s">
        <v>831</v>
      </c>
      <c r="BA121" s="118" t="s">
        <v>408</v>
      </c>
      <c r="BB121" s="118" t="s">
        <v>874</v>
      </c>
      <c r="BC121" s="546">
        <v>0.69299999999999995</v>
      </c>
      <c r="BD121" s="121">
        <v>1.0635999999999999E-5</v>
      </c>
    </row>
    <row r="122" spans="52:56">
      <c r="AZ122" s="118" t="s">
        <v>858</v>
      </c>
      <c r="BA122" s="118" t="s">
        <v>408</v>
      </c>
      <c r="BB122" s="118" t="s">
        <v>874</v>
      </c>
      <c r="BC122" s="546">
        <v>0.7340000000000001</v>
      </c>
      <c r="BD122" s="121">
        <v>2.4739999999999999E-6</v>
      </c>
    </row>
    <row r="123" spans="52:56">
      <c r="AZ123" s="118" t="s">
        <v>833</v>
      </c>
      <c r="BA123" s="118" t="s">
        <v>408</v>
      </c>
      <c r="BB123" s="118" t="s">
        <v>874</v>
      </c>
      <c r="BC123" s="546">
        <v>0.60799999999999998</v>
      </c>
      <c r="BD123" s="121">
        <v>3.0961999999999993E-5</v>
      </c>
    </row>
    <row r="124" spans="52:56">
      <c r="AZ124" s="118" t="s">
        <v>861</v>
      </c>
      <c r="BA124" s="118" t="s">
        <v>408</v>
      </c>
      <c r="BB124" s="118" t="s">
        <v>874</v>
      </c>
      <c r="BC124" s="546">
        <v>0.58899999999999997</v>
      </c>
      <c r="BD124" s="121">
        <v>1.5472E-5</v>
      </c>
    </row>
    <row r="125" spans="52:56">
      <c r="AZ125" s="118" t="s">
        <v>834</v>
      </c>
      <c r="BA125" s="118" t="s">
        <v>408</v>
      </c>
      <c r="BB125" s="118" t="s">
        <v>874</v>
      </c>
      <c r="BC125" s="546">
        <v>0.76400000000000001</v>
      </c>
      <c r="BD125" s="121">
        <v>3.4493999999999999E-5</v>
      </c>
    </row>
    <row r="126" spans="52:56">
      <c r="AZ126" s="118" t="s">
        <v>864</v>
      </c>
      <c r="BA126" s="118" t="s">
        <v>408</v>
      </c>
      <c r="BB126" s="118" t="s">
        <v>874</v>
      </c>
      <c r="BC126" s="546">
        <v>0.77800000000000002</v>
      </c>
      <c r="BD126" s="121">
        <v>2.4155000000000002E-5</v>
      </c>
    </row>
    <row r="127" spans="52:56">
      <c r="AZ127" s="118" t="s">
        <v>866</v>
      </c>
      <c r="BA127" s="118" t="s">
        <v>408</v>
      </c>
      <c r="BB127" s="118" t="s">
        <v>874</v>
      </c>
      <c r="BC127" s="546">
        <v>0.59899999999999998</v>
      </c>
      <c r="BD127" s="121">
        <v>1.21842E-4</v>
      </c>
    </row>
    <row r="128" spans="52:56">
      <c r="AZ128" s="118" t="s">
        <v>835</v>
      </c>
      <c r="BA128" s="118" t="s">
        <v>408</v>
      </c>
      <c r="BB128" s="118" t="s">
        <v>874</v>
      </c>
      <c r="BC128" s="546">
        <v>0.65900000000000003</v>
      </c>
      <c r="BD128" s="121">
        <v>5.9039999999999997E-6</v>
      </c>
    </row>
    <row r="129" spans="52:56">
      <c r="AZ129" s="118" t="s">
        <v>836</v>
      </c>
      <c r="BA129" s="118" t="s">
        <v>408</v>
      </c>
      <c r="BB129" s="118" t="s">
        <v>874</v>
      </c>
      <c r="BC129" s="546">
        <v>0.80600000000000005</v>
      </c>
      <c r="BD129" s="121">
        <v>7.5339999999999994E-6</v>
      </c>
    </row>
    <row r="130" spans="52:56">
      <c r="AZ130" s="118" t="s">
        <v>837</v>
      </c>
      <c r="BA130" s="118" t="s">
        <v>408</v>
      </c>
      <c r="BB130" s="118" t="s">
        <v>874</v>
      </c>
      <c r="BC130" s="546">
        <v>0.73899999999999999</v>
      </c>
      <c r="BD130" s="121">
        <v>4.6739000000000001E-5</v>
      </c>
    </row>
    <row r="131" spans="52:56">
      <c r="AZ131" s="118" t="s">
        <v>840</v>
      </c>
      <c r="BA131" s="118" t="s">
        <v>408</v>
      </c>
      <c r="BB131" s="118" t="s">
        <v>874</v>
      </c>
      <c r="BC131" s="546">
        <v>0.51899999999999991</v>
      </c>
      <c r="BD131" s="121">
        <v>5.6679999999999998E-6</v>
      </c>
    </row>
    <row r="132" spans="52:56">
      <c r="AZ132" s="118" t="s">
        <v>841</v>
      </c>
      <c r="BA132" s="118" t="s">
        <v>408</v>
      </c>
      <c r="BB132" s="118" t="s">
        <v>874</v>
      </c>
      <c r="BC132" s="546">
        <v>0.76100000000000001</v>
      </c>
      <c r="BD132" s="121">
        <v>1.2392099999999998E-4</v>
      </c>
    </row>
    <row r="133" spans="52:56">
      <c r="AZ133" s="118" t="s">
        <v>867</v>
      </c>
      <c r="BA133" s="118" t="s">
        <v>408</v>
      </c>
      <c r="BB133" s="118" t="s">
        <v>874</v>
      </c>
      <c r="BC133" s="546">
        <v>0.73599999999999999</v>
      </c>
      <c r="BD133" s="121">
        <v>4.1489000000000002E-5</v>
      </c>
    </row>
    <row r="134" spans="52:56">
      <c r="AZ134" s="118" t="s">
        <v>842</v>
      </c>
      <c r="BA134" s="118" t="s">
        <v>408</v>
      </c>
      <c r="BB134" s="118" t="s">
        <v>874</v>
      </c>
      <c r="BC134" s="546">
        <v>0.69300000000000006</v>
      </c>
      <c r="BD134" s="121">
        <v>8.8556999999999999E-5</v>
      </c>
    </row>
    <row r="135" spans="52:56">
      <c r="AZ135" s="118" t="s">
        <v>843</v>
      </c>
      <c r="BA135" s="118" t="s">
        <v>408</v>
      </c>
      <c r="BB135" s="118" t="s">
        <v>874</v>
      </c>
      <c r="BC135" s="546">
        <v>0.61799999999999999</v>
      </c>
      <c r="BD135" s="121">
        <v>1.3115999999999999E-5</v>
      </c>
    </row>
    <row r="136" spans="52:56">
      <c r="AZ136" s="118" t="s">
        <v>844</v>
      </c>
      <c r="BA136" s="118" t="s">
        <v>408</v>
      </c>
      <c r="BB136" s="118" t="s">
        <v>874</v>
      </c>
      <c r="BC136" s="546">
        <v>0.64200000000000002</v>
      </c>
      <c r="BD136" s="121">
        <v>9.5740000000000002E-6</v>
      </c>
    </row>
    <row r="137" spans="52:56">
      <c r="AZ137" s="118" t="s">
        <v>845</v>
      </c>
      <c r="BA137" s="118" t="s">
        <v>408</v>
      </c>
      <c r="BB137" s="118" t="s">
        <v>874</v>
      </c>
      <c r="BC137" s="546">
        <v>0.66100000000000003</v>
      </c>
      <c r="BD137" s="121">
        <v>1.4561E-5</v>
      </c>
    </row>
    <row r="138" spans="52:56">
      <c r="AZ138" s="118" t="s">
        <v>846</v>
      </c>
      <c r="BA138" s="118" t="s">
        <v>408</v>
      </c>
      <c r="BB138" s="118" t="s">
        <v>874</v>
      </c>
      <c r="BC138" s="546">
        <v>0.66700000000000004</v>
      </c>
      <c r="BD138" s="121">
        <v>4.9883999999999999E-5</v>
      </c>
    </row>
    <row r="139" spans="52:56">
      <c r="AZ139" s="118" t="s">
        <v>868</v>
      </c>
      <c r="BA139" s="118" t="s">
        <v>408</v>
      </c>
      <c r="BB139" s="118" t="s">
        <v>874</v>
      </c>
      <c r="BC139" s="546">
        <v>0.84399999999999997</v>
      </c>
      <c r="BD139" s="121">
        <v>2.3162000000000003E-5</v>
      </c>
    </row>
    <row r="140" spans="52:56">
      <c r="AZ140" s="118" t="s">
        <v>869</v>
      </c>
      <c r="BA140" s="118" t="s">
        <v>408</v>
      </c>
      <c r="BB140" s="118" t="s">
        <v>874</v>
      </c>
      <c r="BC140" s="546">
        <v>0.58600000000000008</v>
      </c>
      <c r="BD140" s="121">
        <v>9.0141000000000003E-5</v>
      </c>
    </row>
    <row r="141" spans="52:56">
      <c r="AZ141" s="118" t="s">
        <v>847</v>
      </c>
      <c r="BA141" s="118" t="s">
        <v>408</v>
      </c>
      <c r="BB141" s="118" t="s">
        <v>874</v>
      </c>
      <c r="BC141" s="546">
        <v>0.53400000000000003</v>
      </c>
      <c r="BD141" s="121">
        <v>5.6520000000000003E-6</v>
      </c>
    </row>
    <row r="142" spans="52:56">
      <c r="AZ142" s="118" t="s">
        <v>848</v>
      </c>
      <c r="BA142" s="118" t="s">
        <v>408</v>
      </c>
      <c r="BB142" s="118" t="s">
        <v>874</v>
      </c>
      <c r="BC142" s="546">
        <v>0.58699999999999997</v>
      </c>
      <c r="BD142" s="121">
        <v>1.2740999999999999E-5</v>
      </c>
    </row>
    <row r="143" spans="52:56">
      <c r="AZ143" s="118" t="s">
        <v>850</v>
      </c>
      <c r="BA143" s="118" t="s">
        <v>408</v>
      </c>
      <c r="BB143" s="118" t="s">
        <v>874</v>
      </c>
      <c r="BC143" s="546">
        <v>0.61699999999999999</v>
      </c>
      <c r="BD143" s="121">
        <v>8.5159999999999994E-6</v>
      </c>
    </row>
    <row r="144" spans="52:56">
      <c r="AZ144" s="118" t="s">
        <v>852</v>
      </c>
      <c r="BA144" s="118" t="s">
        <v>408</v>
      </c>
      <c r="BB144" s="118" t="s">
        <v>874</v>
      </c>
      <c r="BC144" s="546">
        <v>0.58099999999999996</v>
      </c>
      <c r="BD144" s="121">
        <v>1.8996999999999998E-5</v>
      </c>
    </row>
    <row r="145" spans="52:56">
      <c r="AZ145" s="118" t="s">
        <v>854</v>
      </c>
      <c r="BA145" s="118" t="s">
        <v>408</v>
      </c>
      <c r="BB145" s="118" t="s">
        <v>874</v>
      </c>
      <c r="BC145" s="546">
        <v>0.65400000000000003</v>
      </c>
      <c r="BD145" s="121">
        <v>1.3652999999999998E-5</v>
      </c>
    </row>
    <row r="146" spans="52:56">
      <c r="AZ146" s="118" t="s">
        <v>856</v>
      </c>
      <c r="BA146" s="118" t="s">
        <v>408</v>
      </c>
      <c r="BB146" s="118" t="s">
        <v>874</v>
      </c>
      <c r="BC146" s="546">
        <v>0.62</v>
      </c>
      <c r="BD146" s="121">
        <v>1.0644999999999999E-5</v>
      </c>
    </row>
    <row r="147" spans="52:56">
      <c r="AZ147" s="118" t="s">
        <v>857</v>
      </c>
      <c r="BA147" s="118" t="s">
        <v>408</v>
      </c>
      <c r="BB147" s="118" t="s">
        <v>874</v>
      </c>
      <c r="BC147" s="546">
        <v>0.59699999999999998</v>
      </c>
      <c r="BD147" s="121">
        <v>5.3929999999999999E-6</v>
      </c>
    </row>
    <row r="148" spans="52:56">
      <c r="AZ148" s="118" t="s">
        <v>859</v>
      </c>
      <c r="BA148" s="118" t="s">
        <v>408</v>
      </c>
      <c r="BB148" s="118" t="s">
        <v>874</v>
      </c>
      <c r="BC148" s="546">
        <v>0.56299999999999994</v>
      </c>
      <c r="BD148" s="121">
        <v>4.6479999999999994E-6</v>
      </c>
    </row>
    <row r="149" spans="52:56">
      <c r="AZ149" s="118" t="s">
        <v>870</v>
      </c>
      <c r="BA149" s="118" t="s">
        <v>408</v>
      </c>
      <c r="BB149" s="118" t="s">
        <v>874</v>
      </c>
      <c r="BC149" s="546">
        <v>0.76600000000000001</v>
      </c>
      <c r="BD149" s="121">
        <v>1.8372999999999998E-5</v>
      </c>
    </row>
    <row r="150" spans="52:56">
      <c r="AZ150" s="118" t="s">
        <v>871</v>
      </c>
      <c r="BA150" s="118" t="s">
        <v>408</v>
      </c>
      <c r="BB150" s="118" t="s">
        <v>874</v>
      </c>
      <c r="BC150" s="546">
        <v>0.745</v>
      </c>
      <c r="BD150" s="121">
        <v>2.6062299999999997E-4</v>
      </c>
    </row>
    <row r="151" spans="52:56">
      <c r="AZ151" s="118" t="s">
        <v>872</v>
      </c>
      <c r="BA151" s="118" t="s">
        <v>408</v>
      </c>
      <c r="BB151" s="118" t="s">
        <v>874</v>
      </c>
      <c r="BC151" s="546">
        <v>0.83399999999999996</v>
      </c>
      <c r="BD151" s="121">
        <v>4.181099999999999E-5</v>
      </c>
    </row>
    <row r="152" spans="52:56">
      <c r="AZ152" s="118" t="s">
        <v>860</v>
      </c>
      <c r="BA152" s="118" t="s">
        <v>408</v>
      </c>
      <c r="BB152" s="118" t="s">
        <v>874</v>
      </c>
      <c r="BC152" s="546">
        <v>0.7569999999999999</v>
      </c>
      <c r="BD152" s="121">
        <v>1.6548000000000001E-5</v>
      </c>
    </row>
    <row r="153" spans="52:56">
      <c r="AZ153" s="118" t="s">
        <v>873</v>
      </c>
      <c r="BA153" s="118" t="s">
        <v>408</v>
      </c>
      <c r="BB153" s="118" t="s">
        <v>874</v>
      </c>
      <c r="BC153" s="546">
        <v>0.63100000000000001</v>
      </c>
      <c r="BD153" s="121">
        <v>3.9855000000000004E-5</v>
      </c>
    </row>
    <row r="154" spans="52:56">
      <c r="AZ154" s="118" t="s">
        <v>862</v>
      </c>
      <c r="BA154" s="118" t="s">
        <v>408</v>
      </c>
      <c r="BB154" s="118" t="s">
        <v>874</v>
      </c>
      <c r="BC154" s="546">
        <v>0.68699999999999994</v>
      </c>
      <c r="BD154" s="121">
        <v>9.9550000000000004E-6</v>
      </c>
    </row>
    <row r="155" spans="52:56">
      <c r="AZ155" s="118" t="s">
        <v>863</v>
      </c>
      <c r="BA155" s="118" t="s">
        <v>408</v>
      </c>
      <c r="BB155" s="118" t="s">
        <v>874</v>
      </c>
      <c r="BC155" s="546">
        <v>0.77500000000000002</v>
      </c>
      <c r="BD155" s="121">
        <v>1.0200999999999999E-5</v>
      </c>
    </row>
    <row r="156" spans="52:56">
      <c r="AZ156" s="118" t="s">
        <v>865</v>
      </c>
      <c r="BA156" s="118" t="s">
        <v>408</v>
      </c>
      <c r="BB156" s="118" t="s">
        <v>874</v>
      </c>
      <c r="BC156" s="546">
        <v>0.55000000000000004</v>
      </c>
      <c r="BD156" s="121">
        <v>4.0670000000000002E-5</v>
      </c>
    </row>
    <row r="157" spans="52:56">
      <c r="AZ157" s="118" t="s">
        <v>717</v>
      </c>
      <c r="BA157" s="118" t="s">
        <v>404</v>
      </c>
      <c r="BB157" s="118" t="s">
        <v>200</v>
      </c>
      <c r="BC157" s="546">
        <v>0.68300000000000005</v>
      </c>
      <c r="BD157" s="121">
        <v>7.0974000000000002E-5</v>
      </c>
    </row>
    <row r="158" spans="52:56">
      <c r="AZ158" s="118" t="s">
        <v>169</v>
      </c>
      <c r="BA158" s="118" t="s">
        <v>404</v>
      </c>
      <c r="BB158" s="118" t="s">
        <v>200</v>
      </c>
      <c r="BC158" s="546">
        <v>0.54120000000000001</v>
      </c>
      <c r="BD158" s="121">
        <v>6.1919E-6</v>
      </c>
    </row>
    <row r="159" spans="52:56">
      <c r="AZ159" s="118" t="s">
        <v>719</v>
      </c>
      <c r="BA159" s="118" t="s">
        <v>404</v>
      </c>
      <c r="BB159" s="118" t="s">
        <v>200</v>
      </c>
      <c r="BC159" s="546">
        <v>0.60699999999999998</v>
      </c>
      <c r="BD159" s="121">
        <v>6.8196999999999993E-6</v>
      </c>
    </row>
    <row r="160" spans="52:56">
      <c r="AZ160" s="118" t="s">
        <v>739</v>
      </c>
      <c r="BA160" s="118" t="s">
        <v>404</v>
      </c>
      <c r="BB160" s="118" t="s">
        <v>200</v>
      </c>
      <c r="BC160" s="546">
        <v>0.61529999999999996</v>
      </c>
      <c r="BD160" s="121">
        <v>0</v>
      </c>
    </row>
    <row r="161" spans="52:56">
      <c r="AZ161" s="118" t="s">
        <v>744</v>
      </c>
      <c r="BA161" s="118" t="s">
        <v>404</v>
      </c>
      <c r="BB161" s="118" t="s">
        <v>200</v>
      </c>
      <c r="BC161" s="546">
        <v>0.62190000000000001</v>
      </c>
      <c r="BD161" s="121">
        <v>6.283149999999999E-5</v>
      </c>
    </row>
    <row r="162" spans="52:56">
      <c r="AZ162" s="118" t="s">
        <v>724</v>
      </c>
      <c r="BA162" s="118" t="s">
        <v>404</v>
      </c>
      <c r="BB162" s="118" t="s">
        <v>200</v>
      </c>
      <c r="BC162" s="546">
        <v>0.4577</v>
      </c>
      <c r="BD162" s="121">
        <v>5.1135999999999996E-6</v>
      </c>
    </row>
    <row r="163" spans="52:56">
      <c r="AZ163" s="118" t="s">
        <v>730</v>
      </c>
      <c r="BA163" s="118" t="s">
        <v>404</v>
      </c>
      <c r="BB163" s="118" t="s">
        <v>200</v>
      </c>
      <c r="BC163" s="546">
        <v>0.63319999999999999</v>
      </c>
      <c r="BD163" s="121">
        <v>7.9687399999999999E-5</v>
      </c>
    </row>
    <row r="164" spans="52:56">
      <c r="AZ164" s="118" t="s">
        <v>760</v>
      </c>
      <c r="BA164" s="118" t="s">
        <v>404</v>
      </c>
      <c r="BB164" s="118" t="s">
        <v>200</v>
      </c>
      <c r="BC164" s="546">
        <v>0.46989999999999998</v>
      </c>
      <c r="BD164" s="121">
        <v>2.4322299999999996E-5</v>
      </c>
    </row>
    <row r="165" spans="52:56">
      <c r="AZ165" s="118" t="s">
        <v>766</v>
      </c>
      <c r="BA165" s="118" t="s">
        <v>404</v>
      </c>
      <c r="BB165" s="118" t="s">
        <v>200</v>
      </c>
      <c r="BC165" s="546">
        <v>0.45450000000000002</v>
      </c>
      <c r="BD165" s="121">
        <v>2.5108099999999998E-5</v>
      </c>
    </row>
    <row r="166" spans="52:56">
      <c r="AZ166" s="118" t="s">
        <v>775</v>
      </c>
      <c r="BA166" s="118" t="s">
        <v>404</v>
      </c>
      <c r="BB166" s="118" t="s">
        <v>200</v>
      </c>
      <c r="BC166" s="546">
        <v>0.66559999999999997</v>
      </c>
      <c r="BD166" s="121">
        <v>2.3665159999999998E-4</v>
      </c>
    </row>
    <row r="167" spans="52:56">
      <c r="AZ167" s="118" t="s">
        <v>781</v>
      </c>
      <c r="BA167" s="118" t="s">
        <v>404</v>
      </c>
      <c r="BB167" s="118" t="s">
        <v>200</v>
      </c>
      <c r="BC167" s="546">
        <v>0.77300000000000002</v>
      </c>
      <c r="BD167" s="121">
        <v>0</v>
      </c>
    </row>
    <row r="168" spans="52:56">
      <c r="AZ168" s="118" t="s">
        <v>740</v>
      </c>
      <c r="BA168" s="118" t="s">
        <v>404</v>
      </c>
      <c r="BB168" s="118" t="s">
        <v>200</v>
      </c>
      <c r="BC168" s="546">
        <v>0.64659999999999995</v>
      </c>
      <c r="BD168" s="121">
        <v>7.2383000000000006E-6</v>
      </c>
    </row>
    <row r="169" spans="52:56">
      <c r="AZ169" s="118" t="s">
        <v>118</v>
      </c>
      <c r="BA169" s="118" t="s">
        <v>404</v>
      </c>
      <c r="BB169" s="118" t="s">
        <v>200</v>
      </c>
      <c r="BC169" s="546">
        <v>0.63239999999999996</v>
      </c>
      <c r="BD169" s="121">
        <v>2.7187099999999999E-5</v>
      </c>
    </row>
    <row r="170" spans="52:56">
      <c r="AZ170" s="118" t="s">
        <v>749</v>
      </c>
      <c r="BA170" s="118" t="s">
        <v>404</v>
      </c>
      <c r="BB170" s="118" t="s">
        <v>200</v>
      </c>
      <c r="BC170" s="546">
        <v>0.48450000000000004</v>
      </c>
      <c r="BD170" s="121">
        <v>2.8662199999999998E-5</v>
      </c>
    </row>
    <row r="171" spans="52:56">
      <c r="AZ171" s="118" t="s">
        <v>754</v>
      </c>
      <c r="BA171" s="118" t="s">
        <v>404</v>
      </c>
      <c r="BB171" s="118" t="s">
        <v>200</v>
      </c>
      <c r="BC171" s="546">
        <v>0.61129999999999995</v>
      </c>
      <c r="BD171" s="121">
        <v>5.3018700000000001E-5</v>
      </c>
    </row>
    <row r="172" spans="52:56">
      <c r="AZ172" s="118" t="s">
        <v>815</v>
      </c>
      <c r="BA172" s="118" t="s">
        <v>404</v>
      </c>
      <c r="BB172" s="118" t="s">
        <v>200</v>
      </c>
      <c r="BC172" s="546">
        <v>0.60899999999999999</v>
      </c>
      <c r="BD172" s="121">
        <v>2.6093699999999997E-5</v>
      </c>
    </row>
    <row r="173" spans="52:56">
      <c r="AZ173" s="118" t="s">
        <v>819</v>
      </c>
      <c r="BA173" s="118" t="s">
        <v>404</v>
      </c>
      <c r="BB173" s="118" t="s">
        <v>200</v>
      </c>
      <c r="BC173" s="546">
        <v>0.64270000000000005</v>
      </c>
      <c r="BD173" s="121">
        <v>6.5628299999999996E-5</v>
      </c>
    </row>
    <row r="174" spans="52:56">
      <c r="AZ174" s="118" t="s">
        <v>761</v>
      </c>
      <c r="BA174" s="118" t="s">
        <v>404</v>
      </c>
      <c r="BB174" s="118" t="s">
        <v>200</v>
      </c>
      <c r="BC174" s="546">
        <v>0.53390000000000004</v>
      </c>
      <c r="BD174" s="121">
        <v>2.3359399999999999E-5</v>
      </c>
    </row>
    <row r="175" spans="52:56">
      <c r="AZ175" s="118" t="s">
        <v>824</v>
      </c>
      <c r="BA175" s="118" t="s">
        <v>404</v>
      </c>
      <c r="BB175" s="118" t="s">
        <v>200</v>
      </c>
      <c r="BC175" s="546">
        <v>0.57679999999999998</v>
      </c>
      <c r="BD175" s="121">
        <v>1.51379E-5</v>
      </c>
    </row>
    <row r="176" spans="52:56">
      <c r="AZ176" s="118" t="s">
        <v>827</v>
      </c>
      <c r="BA176" s="118" t="s">
        <v>404</v>
      </c>
      <c r="BB176" s="118" t="s">
        <v>200</v>
      </c>
      <c r="BC176" s="546">
        <v>0.51140000000000008</v>
      </c>
      <c r="BD176" s="121">
        <v>1.5293699999999999E-5</v>
      </c>
    </row>
    <row r="177" spans="52:56">
      <c r="AZ177" s="118" t="s">
        <v>767</v>
      </c>
      <c r="BA177" s="118" t="s">
        <v>404</v>
      </c>
      <c r="BB177" s="118" t="s">
        <v>200</v>
      </c>
      <c r="BC177" s="546">
        <v>0.59820000000000007</v>
      </c>
      <c r="BD177" s="121">
        <v>5.9133999999999992E-6</v>
      </c>
    </row>
    <row r="178" spans="52:56">
      <c r="AZ178" s="118" t="s">
        <v>830</v>
      </c>
      <c r="BA178" s="118" t="s">
        <v>404</v>
      </c>
      <c r="BB178" s="118" t="s">
        <v>200</v>
      </c>
      <c r="BC178" s="546">
        <v>0.80940000000000001</v>
      </c>
      <c r="BD178" s="121">
        <v>1.1314329999999999E-4</v>
      </c>
    </row>
    <row r="179" spans="52:56">
      <c r="AZ179" s="118" t="s">
        <v>832</v>
      </c>
      <c r="BA179" s="118" t="s">
        <v>404</v>
      </c>
      <c r="BB179" s="118" t="s">
        <v>200</v>
      </c>
      <c r="BC179" s="546">
        <v>0.52229999999999999</v>
      </c>
      <c r="BD179" s="121">
        <v>1.3721599999999998E-5</v>
      </c>
    </row>
    <row r="180" spans="52:56">
      <c r="AZ180" s="118" t="s">
        <v>776</v>
      </c>
      <c r="BA180" s="118" t="s">
        <v>404</v>
      </c>
      <c r="BB180" s="118" t="s">
        <v>200</v>
      </c>
      <c r="BC180" s="546">
        <v>0.58589999999999998</v>
      </c>
      <c r="BD180" s="121">
        <v>6.9179999999999997E-6</v>
      </c>
    </row>
    <row r="181" spans="52:56">
      <c r="AZ181" s="118" t="s">
        <v>782</v>
      </c>
      <c r="BA181" s="118" t="s">
        <v>404</v>
      </c>
      <c r="BB181" s="118" t="s">
        <v>200</v>
      </c>
      <c r="BC181" s="546">
        <v>0.59440000000000004</v>
      </c>
      <c r="BD181" s="121">
        <v>8.533899999999998E-6</v>
      </c>
    </row>
    <row r="182" spans="52:56">
      <c r="AZ182" s="118" t="s">
        <v>789</v>
      </c>
      <c r="BA182" s="118" t="s">
        <v>404</v>
      </c>
      <c r="BB182" s="118" t="s">
        <v>200</v>
      </c>
      <c r="BC182" s="546">
        <v>0.65229999999999999</v>
      </c>
      <c r="BD182" s="121">
        <v>8.2870000000000004E-6</v>
      </c>
    </row>
    <row r="183" spans="52:56">
      <c r="AZ183" s="118" t="s">
        <v>797</v>
      </c>
      <c r="BA183" s="118" t="s">
        <v>404</v>
      </c>
      <c r="BB183" s="118" t="s">
        <v>200</v>
      </c>
      <c r="BC183" s="546">
        <v>0.57790000000000008</v>
      </c>
      <c r="BD183" s="121">
        <v>3.2657099999999996E-5</v>
      </c>
    </row>
    <row r="184" spans="52:56">
      <c r="AZ184" s="118" t="s">
        <v>839</v>
      </c>
      <c r="BA184" s="118" t="s">
        <v>404</v>
      </c>
      <c r="BB184" s="118" t="s">
        <v>200</v>
      </c>
      <c r="BC184" s="546">
        <v>0.72109999999999996</v>
      </c>
      <c r="BD184" s="121">
        <v>1.7343399999999997E-5</v>
      </c>
    </row>
    <row r="185" spans="52:56">
      <c r="AZ185" s="118" t="s">
        <v>803</v>
      </c>
      <c r="BA185" s="118" t="s">
        <v>404</v>
      </c>
      <c r="BB185" s="118" t="s">
        <v>200</v>
      </c>
      <c r="BC185" s="546">
        <v>0.53749999999999998</v>
      </c>
      <c r="BD185" s="121">
        <v>2.3621499999999997E-5</v>
      </c>
    </row>
    <row r="186" spans="52:56">
      <c r="AZ186" s="118" t="s">
        <v>809</v>
      </c>
      <c r="BA186" s="118" t="s">
        <v>404</v>
      </c>
      <c r="BB186" s="118" t="s">
        <v>200</v>
      </c>
      <c r="BC186" s="546">
        <v>0.59550000000000003</v>
      </c>
      <c r="BD186" s="121">
        <v>5.4895999999999991E-6</v>
      </c>
    </row>
    <row r="187" spans="52:56">
      <c r="AZ187" s="118" t="s">
        <v>816</v>
      </c>
      <c r="BA187" s="118" t="s">
        <v>404</v>
      </c>
      <c r="BB187" s="118" t="s">
        <v>200</v>
      </c>
      <c r="BC187" s="546">
        <v>0.59109999999999996</v>
      </c>
      <c r="BD187" s="121">
        <v>1.3276910000000001E-4</v>
      </c>
    </row>
    <row r="188" spans="52:56">
      <c r="AZ188" s="118" t="s">
        <v>820</v>
      </c>
      <c r="BA188" s="118" t="s">
        <v>404</v>
      </c>
      <c r="BB188" s="118" t="s">
        <v>200</v>
      </c>
      <c r="BC188" s="546">
        <v>0.69869999999999999</v>
      </c>
      <c r="BD188" s="121">
        <v>5.8106099999999996E-5</v>
      </c>
    </row>
    <row r="189" spans="52:56">
      <c r="AZ189" s="118" t="s">
        <v>823</v>
      </c>
      <c r="BA189" s="118" t="s">
        <v>404</v>
      </c>
      <c r="BB189" s="118" t="s">
        <v>200</v>
      </c>
      <c r="BC189" s="546">
        <v>0.46349999999999997</v>
      </c>
      <c r="BD189" s="121">
        <v>5.8885999999999998E-6</v>
      </c>
    </row>
    <row r="190" spans="52:56">
      <c r="AZ190" s="118" t="s">
        <v>825</v>
      </c>
      <c r="BA190" s="118" t="s">
        <v>404</v>
      </c>
      <c r="BB190" s="118" t="s">
        <v>200</v>
      </c>
      <c r="BC190" s="546">
        <v>0.69159999999999999</v>
      </c>
      <c r="BD190" s="121">
        <v>8.7441999999999984E-6</v>
      </c>
    </row>
    <row r="191" spans="52:56">
      <c r="AZ191" s="118" t="s">
        <v>828</v>
      </c>
      <c r="BA191" s="118" t="s">
        <v>404</v>
      </c>
      <c r="BB191" s="118" t="s">
        <v>200</v>
      </c>
      <c r="BC191" s="546">
        <v>0.60309999999999997</v>
      </c>
      <c r="BD191" s="121">
        <v>1.1555199999999999E-5</v>
      </c>
    </row>
    <row r="192" spans="52:56">
      <c r="AZ192" s="118" t="s">
        <v>829</v>
      </c>
      <c r="BA192" s="118" t="s">
        <v>404</v>
      </c>
      <c r="BB192" s="118" t="s">
        <v>200</v>
      </c>
      <c r="BC192" s="546">
        <v>0.69330000000000003</v>
      </c>
      <c r="BD192" s="121">
        <v>1.15417E-5</v>
      </c>
    </row>
    <row r="193" spans="52:56">
      <c r="AZ193" s="118" t="s">
        <v>849</v>
      </c>
      <c r="BA193" s="118" t="s">
        <v>404</v>
      </c>
      <c r="BB193" s="118" t="s">
        <v>200</v>
      </c>
      <c r="BC193" s="546">
        <v>0.42120000000000002</v>
      </c>
      <c r="BD193" s="121">
        <v>4.1170299999999994E-5</v>
      </c>
    </row>
    <row r="194" spans="52:56">
      <c r="AZ194" s="118" t="s">
        <v>851</v>
      </c>
      <c r="BA194" s="118" t="s">
        <v>404</v>
      </c>
      <c r="BB194" s="118" t="s">
        <v>200</v>
      </c>
      <c r="BC194" s="546">
        <v>0.38019999999999998</v>
      </c>
      <c r="BD194" s="121">
        <v>1.9649000000000001E-5</v>
      </c>
    </row>
    <row r="195" spans="52:56">
      <c r="AZ195" s="118" t="s">
        <v>853</v>
      </c>
      <c r="BA195" s="118" t="s">
        <v>404</v>
      </c>
      <c r="BB195" s="118" t="s">
        <v>200</v>
      </c>
      <c r="BC195" s="546">
        <v>0.50860000000000005</v>
      </c>
      <c r="BD195" s="121">
        <v>4.0599000000000002E-5</v>
      </c>
    </row>
    <row r="196" spans="52:56">
      <c r="AZ196" s="118" t="s">
        <v>855</v>
      </c>
      <c r="BA196" s="118" t="s">
        <v>404</v>
      </c>
      <c r="BB196" s="118" t="s">
        <v>200</v>
      </c>
      <c r="BC196" s="546">
        <v>0.5131</v>
      </c>
      <c r="BD196" s="121">
        <v>1.7161799999999999E-5</v>
      </c>
    </row>
    <row r="197" spans="52:56">
      <c r="AZ197" s="118" t="s">
        <v>831</v>
      </c>
      <c r="BA197" s="118" t="s">
        <v>404</v>
      </c>
      <c r="BB197" s="118" t="s">
        <v>200</v>
      </c>
      <c r="BC197" s="546">
        <v>0.66679999999999995</v>
      </c>
      <c r="BD197" s="121">
        <v>1.8417300000000001E-5</v>
      </c>
    </row>
    <row r="198" spans="52:56">
      <c r="AZ198" s="118" t="s">
        <v>858</v>
      </c>
      <c r="BA198" s="118" t="s">
        <v>404</v>
      </c>
      <c r="BB198" s="118" t="s">
        <v>200</v>
      </c>
      <c r="BC198" s="546">
        <v>0.51770000000000005</v>
      </c>
      <c r="BD198" s="121">
        <v>6.4274999999999999E-6</v>
      </c>
    </row>
    <row r="199" spans="52:56">
      <c r="AZ199" s="118" t="s">
        <v>833</v>
      </c>
      <c r="BA199" s="118" t="s">
        <v>404</v>
      </c>
      <c r="BB199" s="118" t="s">
        <v>200</v>
      </c>
      <c r="BC199" s="546">
        <v>0.47019999999999995</v>
      </c>
      <c r="BD199" s="121">
        <v>3.6003599999999995E-5</v>
      </c>
    </row>
    <row r="200" spans="52:56">
      <c r="AZ200" s="118" t="s">
        <v>861</v>
      </c>
      <c r="BA200" s="118" t="s">
        <v>404</v>
      </c>
      <c r="BB200" s="118" t="s">
        <v>200</v>
      </c>
      <c r="BC200" s="546">
        <v>0.42059999999999997</v>
      </c>
      <c r="BD200" s="121">
        <v>1.1150400000000001E-5</v>
      </c>
    </row>
    <row r="201" spans="52:56">
      <c r="AZ201" s="118" t="s">
        <v>834</v>
      </c>
      <c r="BA201" s="118" t="s">
        <v>404</v>
      </c>
      <c r="BB201" s="118" t="s">
        <v>200</v>
      </c>
      <c r="BC201" s="546">
        <v>0.75839999999999996</v>
      </c>
      <c r="BD201" s="121">
        <v>3.8475200000000001E-5</v>
      </c>
    </row>
    <row r="202" spans="52:56">
      <c r="AZ202" s="118" t="s">
        <v>864</v>
      </c>
      <c r="BA202" s="118" t="s">
        <v>404</v>
      </c>
      <c r="BB202" s="118" t="s">
        <v>200</v>
      </c>
      <c r="BC202" s="546">
        <v>0.58089999999999997</v>
      </c>
      <c r="BD202" s="121">
        <v>7.9876799999999994E-5</v>
      </c>
    </row>
    <row r="203" spans="52:56">
      <c r="AZ203" s="118" t="s">
        <v>866</v>
      </c>
      <c r="BA203" s="118" t="s">
        <v>404</v>
      </c>
      <c r="BB203" s="118" t="s">
        <v>200</v>
      </c>
      <c r="BC203" s="546">
        <v>0.53320000000000001</v>
      </c>
      <c r="BD203" s="121">
        <v>2.1788389999999997E-4</v>
      </c>
    </row>
    <row r="204" spans="52:56">
      <c r="AZ204" s="118" t="s">
        <v>835</v>
      </c>
      <c r="BA204" s="118" t="s">
        <v>404</v>
      </c>
      <c r="BB204" s="118" t="s">
        <v>200</v>
      </c>
      <c r="BC204" s="546">
        <v>0.52200000000000002</v>
      </c>
      <c r="BD204" s="121">
        <v>6.2511999999999995E-6</v>
      </c>
    </row>
    <row r="205" spans="52:56">
      <c r="AZ205" s="118" t="s">
        <v>836</v>
      </c>
      <c r="BA205" s="118" t="s">
        <v>404</v>
      </c>
      <c r="BB205" s="118" t="s">
        <v>200</v>
      </c>
      <c r="BC205" s="546">
        <v>0.53249999999999997</v>
      </c>
      <c r="BD205" s="121">
        <v>9.6659000000000001E-6</v>
      </c>
    </row>
    <row r="206" spans="52:56">
      <c r="AZ206" s="118" t="s">
        <v>837</v>
      </c>
      <c r="BA206" s="118" t="s">
        <v>404</v>
      </c>
      <c r="BB206" s="118" t="s">
        <v>200</v>
      </c>
      <c r="BC206" s="546">
        <v>0.82220000000000004</v>
      </c>
      <c r="BD206" s="121">
        <v>8.9439799999999983E-5</v>
      </c>
    </row>
    <row r="207" spans="52:56">
      <c r="AZ207" s="118" t="s">
        <v>840</v>
      </c>
      <c r="BA207" s="118" t="s">
        <v>404</v>
      </c>
      <c r="BB207" s="118" t="s">
        <v>200</v>
      </c>
      <c r="BC207" s="546">
        <v>0.54579999999999995</v>
      </c>
      <c r="BD207" s="121">
        <v>6.1230999999999999E-6</v>
      </c>
    </row>
    <row r="208" spans="52:56">
      <c r="AZ208" s="118" t="s">
        <v>841</v>
      </c>
      <c r="BA208" s="118" t="s">
        <v>404</v>
      </c>
      <c r="BB208" s="118" t="s">
        <v>200</v>
      </c>
      <c r="BC208" s="546">
        <v>0.67720000000000002</v>
      </c>
      <c r="BD208" s="121">
        <v>4.1626439999999998E-4</v>
      </c>
    </row>
    <row r="209" spans="52:56">
      <c r="AZ209" s="118" t="s">
        <v>867</v>
      </c>
      <c r="BA209" s="118" t="s">
        <v>404</v>
      </c>
      <c r="BB209" s="118" t="s">
        <v>200</v>
      </c>
      <c r="BC209" s="546">
        <v>0.70399999999999996</v>
      </c>
      <c r="BD209" s="121">
        <v>5.0021300000000002E-5</v>
      </c>
    </row>
    <row r="210" spans="52:56">
      <c r="AZ210" s="118" t="s">
        <v>842</v>
      </c>
      <c r="BA210" s="118" t="s">
        <v>404</v>
      </c>
      <c r="BB210" s="118" t="s">
        <v>200</v>
      </c>
      <c r="BC210" s="546">
        <v>0.62680000000000002</v>
      </c>
      <c r="BD210" s="121">
        <v>9.894549999999999E-5</v>
      </c>
    </row>
    <row r="211" spans="52:56">
      <c r="AZ211" s="118" t="s">
        <v>843</v>
      </c>
      <c r="BA211" s="118" t="s">
        <v>404</v>
      </c>
      <c r="BB211" s="118" t="s">
        <v>200</v>
      </c>
      <c r="BC211" s="546">
        <v>0.54390000000000005</v>
      </c>
      <c r="BD211" s="121">
        <v>1.7047800000000003E-5</v>
      </c>
    </row>
    <row r="212" spans="52:56">
      <c r="AZ212" s="118" t="s">
        <v>844</v>
      </c>
      <c r="BA212" s="118" t="s">
        <v>404</v>
      </c>
      <c r="BB212" s="118" t="s">
        <v>200</v>
      </c>
      <c r="BC212" s="546">
        <v>0.55580000000000007</v>
      </c>
      <c r="BD212" s="121">
        <v>1.7817900000000001E-5</v>
      </c>
    </row>
    <row r="213" spans="52:56">
      <c r="AZ213" s="118" t="s">
        <v>845</v>
      </c>
      <c r="BA213" s="118" t="s">
        <v>404</v>
      </c>
      <c r="BB213" s="118" t="s">
        <v>200</v>
      </c>
      <c r="BC213" s="546">
        <v>0.55959999999999999</v>
      </c>
      <c r="BD213" s="121">
        <v>2.3329399999999997E-5</v>
      </c>
    </row>
    <row r="214" spans="52:56">
      <c r="AZ214" s="118" t="s">
        <v>846</v>
      </c>
      <c r="BA214" s="118" t="s">
        <v>404</v>
      </c>
      <c r="BB214" s="118" t="s">
        <v>200</v>
      </c>
      <c r="BC214" s="546">
        <v>0.61880000000000002</v>
      </c>
      <c r="BD214" s="121">
        <v>3.6881999999999997E-5</v>
      </c>
    </row>
    <row r="215" spans="52:56">
      <c r="AZ215" s="118" t="s">
        <v>868</v>
      </c>
      <c r="BA215" s="118" t="s">
        <v>404</v>
      </c>
      <c r="BB215" s="118" t="s">
        <v>200</v>
      </c>
      <c r="BC215" s="546">
        <v>0.68969999999999998</v>
      </c>
      <c r="BD215" s="121">
        <v>2.00041E-5</v>
      </c>
    </row>
    <row r="216" spans="52:56">
      <c r="AZ216" s="118" t="s">
        <v>869</v>
      </c>
      <c r="BA216" s="118" t="s">
        <v>404</v>
      </c>
      <c r="BB216" s="118" t="s">
        <v>200</v>
      </c>
      <c r="BC216" s="546">
        <v>0.4098</v>
      </c>
      <c r="BD216" s="121">
        <v>1.5091910000000002E-4</v>
      </c>
    </row>
    <row r="217" spans="52:56">
      <c r="AZ217" s="118" t="s">
        <v>847</v>
      </c>
      <c r="BA217" s="118" t="s">
        <v>404</v>
      </c>
      <c r="BB217" s="118" t="s">
        <v>200</v>
      </c>
      <c r="BC217" s="546">
        <v>0.49170000000000003</v>
      </c>
      <c r="BD217" s="121">
        <v>1.4949999999999999E-5</v>
      </c>
    </row>
    <row r="218" spans="52:56">
      <c r="AZ218" s="118" t="s">
        <v>848</v>
      </c>
      <c r="BA218" s="118" t="s">
        <v>404</v>
      </c>
      <c r="BB218" s="118" t="s">
        <v>200</v>
      </c>
      <c r="BC218" s="546">
        <v>0.58950000000000002</v>
      </c>
      <c r="BD218" s="121">
        <v>1.7252099999999997E-5</v>
      </c>
    </row>
    <row r="219" spans="52:56">
      <c r="AZ219" s="118" t="s">
        <v>850</v>
      </c>
      <c r="BA219" s="118" t="s">
        <v>404</v>
      </c>
      <c r="BB219" s="118" t="s">
        <v>200</v>
      </c>
      <c r="BC219" s="546">
        <v>0.54730000000000001</v>
      </c>
      <c r="BD219" s="121">
        <v>1.3920799999999999E-5</v>
      </c>
    </row>
    <row r="220" spans="52:56">
      <c r="AZ220" s="118" t="s">
        <v>852</v>
      </c>
      <c r="BA220" s="118" t="s">
        <v>404</v>
      </c>
      <c r="BB220" s="118" t="s">
        <v>200</v>
      </c>
      <c r="BC220" s="546">
        <v>0.51270000000000004</v>
      </c>
      <c r="BD220" s="121">
        <v>5.8319500000000003E-5</v>
      </c>
    </row>
    <row r="221" spans="52:56">
      <c r="AZ221" s="118" t="s">
        <v>854</v>
      </c>
      <c r="BA221" s="118" t="s">
        <v>404</v>
      </c>
      <c r="BB221" s="118" t="s">
        <v>200</v>
      </c>
      <c r="BC221" s="546">
        <v>0.58499999999999996</v>
      </c>
      <c r="BD221" s="121">
        <v>1.22176E-5</v>
      </c>
    </row>
    <row r="222" spans="52:56">
      <c r="AZ222" s="118" t="s">
        <v>856</v>
      </c>
      <c r="BA222" s="118" t="s">
        <v>404</v>
      </c>
      <c r="BB222" s="118" t="s">
        <v>200</v>
      </c>
      <c r="BC222" s="546">
        <v>0.62280000000000002</v>
      </c>
      <c r="BD222" s="121">
        <v>1.14233E-5</v>
      </c>
    </row>
    <row r="223" spans="52:56">
      <c r="AZ223" s="118" t="s">
        <v>857</v>
      </c>
      <c r="BA223" s="118" t="s">
        <v>404</v>
      </c>
      <c r="BB223" s="118" t="s">
        <v>200</v>
      </c>
      <c r="BC223" s="546">
        <v>0.61580000000000001</v>
      </c>
      <c r="BD223" s="121">
        <v>6.8248999999999988E-6</v>
      </c>
    </row>
    <row r="224" spans="52:56">
      <c r="AZ224" s="118" t="s">
        <v>859</v>
      </c>
      <c r="BA224" s="118" t="s">
        <v>404</v>
      </c>
      <c r="BB224" s="118" t="s">
        <v>200</v>
      </c>
      <c r="BC224" s="546">
        <v>0.64680000000000004</v>
      </c>
      <c r="BD224" s="121">
        <v>5.5942000000000006E-6</v>
      </c>
    </row>
    <row r="225" spans="52:56">
      <c r="AZ225" s="118" t="s">
        <v>870</v>
      </c>
      <c r="BA225" s="118" t="s">
        <v>404</v>
      </c>
      <c r="BB225" s="118" t="s">
        <v>200</v>
      </c>
      <c r="BC225" s="546">
        <v>0.48139999999999994</v>
      </c>
      <c r="BD225" s="121">
        <v>1.9024900000000001E-5</v>
      </c>
    </row>
    <row r="226" spans="52:56">
      <c r="AZ226" s="118" t="s">
        <v>871</v>
      </c>
      <c r="BA226" s="118" t="s">
        <v>404</v>
      </c>
      <c r="BB226" s="118" t="s">
        <v>200</v>
      </c>
      <c r="BC226" s="546">
        <v>0.45940000000000003</v>
      </c>
      <c r="BD226" s="121">
        <v>6.8878099999999994E-5</v>
      </c>
    </row>
    <row r="227" spans="52:56">
      <c r="AZ227" s="118" t="s">
        <v>872</v>
      </c>
      <c r="BA227" s="118" t="s">
        <v>404</v>
      </c>
      <c r="BB227" s="118" t="s">
        <v>200</v>
      </c>
      <c r="BC227" s="546">
        <v>0.52910000000000001</v>
      </c>
      <c r="BD227" s="121">
        <v>1.1371529999999999E-4</v>
      </c>
    </row>
    <row r="228" spans="52:56">
      <c r="AZ228" s="118" t="s">
        <v>860</v>
      </c>
      <c r="BA228" s="118" t="s">
        <v>404</v>
      </c>
      <c r="BB228" s="118" t="s">
        <v>200</v>
      </c>
      <c r="BC228" s="546">
        <v>0.51739999999999997</v>
      </c>
      <c r="BD228" s="121">
        <v>1.9895099999999999E-5</v>
      </c>
    </row>
    <row r="229" spans="52:56">
      <c r="AZ229" s="118" t="s">
        <v>873</v>
      </c>
      <c r="BA229" s="118" t="s">
        <v>404</v>
      </c>
      <c r="BB229" s="118" t="s">
        <v>200</v>
      </c>
      <c r="BC229" s="546">
        <v>0.35150000000000003</v>
      </c>
      <c r="BD229" s="121">
        <v>4.95138E-5</v>
      </c>
    </row>
    <row r="230" spans="52:56">
      <c r="AZ230" s="118" t="s">
        <v>862</v>
      </c>
      <c r="BA230" s="118" t="s">
        <v>404</v>
      </c>
      <c r="BB230" s="118" t="s">
        <v>200</v>
      </c>
      <c r="BC230" s="546">
        <v>0.58760000000000001</v>
      </c>
      <c r="BD230" s="121">
        <v>9.276799999999999E-6</v>
      </c>
    </row>
    <row r="231" spans="52:56">
      <c r="AZ231" s="118" t="s">
        <v>863</v>
      </c>
      <c r="BA231" s="118" t="s">
        <v>404</v>
      </c>
      <c r="BB231" s="118" t="s">
        <v>200</v>
      </c>
      <c r="BC231" s="546">
        <v>0.71599999999999997</v>
      </c>
      <c r="BD231" s="121">
        <v>6.8837999999999992E-6</v>
      </c>
    </row>
    <row r="232" spans="52:56">
      <c r="AZ232" s="118" t="s">
        <v>865</v>
      </c>
      <c r="BA232" s="118" t="s">
        <v>404</v>
      </c>
      <c r="BB232" s="118" t="s">
        <v>200</v>
      </c>
      <c r="BC232" s="546">
        <v>0.35399999999999998</v>
      </c>
      <c r="BD232" s="121">
        <v>1.2067169999999999E-4</v>
      </c>
    </row>
    <row r="233" spans="52:56">
      <c r="AZ233" s="118" t="s">
        <v>717</v>
      </c>
      <c r="BA233" s="118" t="s">
        <v>406</v>
      </c>
      <c r="BB233" s="118" t="s">
        <v>875</v>
      </c>
      <c r="BC233" s="546">
        <v>0.49540000000000001</v>
      </c>
      <c r="BD233" s="121">
        <v>1.8581999999999999E-5</v>
      </c>
    </row>
    <row r="234" spans="52:56">
      <c r="AZ234" s="118" t="s">
        <v>169</v>
      </c>
      <c r="BA234" s="118" t="s">
        <v>406</v>
      </c>
      <c r="BB234" s="118" t="s">
        <v>875</v>
      </c>
      <c r="BC234" s="546">
        <v>0.7278</v>
      </c>
      <c r="BD234" s="121">
        <v>3.7138999999999997E-6</v>
      </c>
    </row>
    <row r="235" spans="52:56">
      <c r="AZ235" s="118" t="s">
        <v>719</v>
      </c>
      <c r="BA235" s="118" t="s">
        <v>406</v>
      </c>
      <c r="BB235" s="118" t="s">
        <v>875</v>
      </c>
      <c r="BC235" s="546">
        <v>0.39040000000000002</v>
      </c>
      <c r="BD235" s="121">
        <v>2.8049E-6</v>
      </c>
    </row>
    <row r="236" spans="52:56">
      <c r="AZ236" s="118" t="s">
        <v>739</v>
      </c>
      <c r="BA236" s="118" t="s">
        <v>406</v>
      </c>
      <c r="BB236" s="118" t="s">
        <v>875</v>
      </c>
      <c r="BC236" s="546">
        <v>0.54980000000000007</v>
      </c>
      <c r="BD236" s="121">
        <v>0</v>
      </c>
    </row>
    <row r="237" spans="52:56">
      <c r="AZ237" s="118" t="s">
        <v>744</v>
      </c>
      <c r="BA237" s="118" t="s">
        <v>406</v>
      </c>
      <c r="BB237" s="118" t="s">
        <v>875</v>
      </c>
      <c r="BC237" s="546">
        <v>0.4244</v>
      </c>
      <c r="BD237" s="121">
        <v>2.8203400000000002E-5</v>
      </c>
    </row>
    <row r="238" spans="52:56">
      <c r="AZ238" s="118" t="s">
        <v>724</v>
      </c>
      <c r="BA238" s="118" t="s">
        <v>406</v>
      </c>
      <c r="BB238" s="118" t="s">
        <v>875</v>
      </c>
      <c r="BC238" s="546">
        <v>0.43170000000000003</v>
      </c>
      <c r="BD238" s="121">
        <v>2.4827000000000004E-6</v>
      </c>
    </row>
    <row r="239" spans="52:56">
      <c r="AZ239" s="118" t="s">
        <v>730</v>
      </c>
      <c r="BA239" s="118" t="s">
        <v>406</v>
      </c>
      <c r="BB239" s="118" t="s">
        <v>875</v>
      </c>
      <c r="BC239" s="546">
        <v>0.41200000000000003</v>
      </c>
      <c r="BD239" s="121">
        <v>2.3692399999999997E-5</v>
      </c>
    </row>
    <row r="240" spans="52:56">
      <c r="AZ240" s="118" t="s">
        <v>760</v>
      </c>
      <c r="BA240" s="118" t="s">
        <v>406</v>
      </c>
      <c r="BB240" s="118" t="s">
        <v>875</v>
      </c>
      <c r="BC240" s="546">
        <v>0.65979999999999994</v>
      </c>
      <c r="BD240" s="121">
        <v>4.2884000000000003E-6</v>
      </c>
    </row>
    <row r="241" spans="52:56">
      <c r="AZ241" s="118" t="s">
        <v>766</v>
      </c>
      <c r="BA241" s="118" t="s">
        <v>406</v>
      </c>
      <c r="BB241" s="118" t="s">
        <v>875</v>
      </c>
      <c r="BC241" s="546">
        <v>0.42869999999999997</v>
      </c>
      <c r="BD241" s="121">
        <v>1.4805399999999999E-5</v>
      </c>
    </row>
    <row r="242" spans="52:56">
      <c r="AZ242" s="118" t="s">
        <v>775</v>
      </c>
      <c r="BA242" s="118" t="s">
        <v>406</v>
      </c>
      <c r="BB242" s="118" t="s">
        <v>875</v>
      </c>
      <c r="BC242" s="546">
        <v>0.56810000000000005</v>
      </c>
      <c r="BD242" s="121">
        <v>1.8009640000000001E-4</v>
      </c>
    </row>
    <row r="243" spans="52:56">
      <c r="AZ243" s="118" t="s">
        <v>781</v>
      </c>
      <c r="BA243" s="118" t="s">
        <v>406</v>
      </c>
      <c r="BB243" s="118" t="s">
        <v>875</v>
      </c>
      <c r="BC243" s="546">
        <v>0.68369999999999997</v>
      </c>
      <c r="BD243" s="121">
        <v>0</v>
      </c>
    </row>
    <row r="244" spans="52:56">
      <c r="AZ244" s="118" t="s">
        <v>740</v>
      </c>
      <c r="BA244" s="118" t="s">
        <v>406</v>
      </c>
      <c r="BB244" s="118" t="s">
        <v>875</v>
      </c>
      <c r="BC244" s="546">
        <v>0.54449999999999998</v>
      </c>
      <c r="BD244" s="121">
        <v>3.9078000000000001E-6</v>
      </c>
    </row>
    <row r="245" spans="52:56">
      <c r="AZ245" s="118" t="s">
        <v>118</v>
      </c>
      <c r="BA245" s="118" t="s">
        <v>406</v>
      </c>
      <c r="BB245" s="118" t="s">
        <v>875</v>
      </c>
      <c r="BC245" s="546">
        <v>0.53849999999999998</v>
      </c>
      <c r="BD245" s="121">
        <v>1.1541399999999999E-5</v>
      </c>
    </row>
    <row r="246" spans="52:56">
      <c r="AZ246" s="118" t="s">
        <v>749</v>
      </c>
      <c r="BA246" s="118" t="s">
        <v>406</v>
      </c>
      <c r="BB246" s="118" t="s">
        <v>875</v>
      </c>
      <c r="BC246" s="546">
        <v>0.41169999999999995</v>
      </c>
      <c r="BD246" s="121">
        <v>1.30792E-5</v>
      </c>
    </row>
    <row r="247" spans="52:56">
      <c r="AZ247" s="118" t="s">
        <v>754</v>
      </c>
      <c r="BA247" s="118" t="s">
        <v>406</v>
      </c>
      <c r="BB247" s="118" t="s">
        <v>875</v>
      </c>
      <c r="BC247" s="546">
        <v>0.53149999999999997</v>
      </c>
      <c r="BD247" s="121">
        <v>3.5599400000000003E-5</v>
      </c>
    </row>
    <row r="248" spans="52:56">
      <c r="AZ248" s="118" t="s">
        <v>815</v>
      </c>
      <c r="BA248" s="118" t="s">
        <v>406</v>
      </c>
      <c r="BB248" s="118" t="s">
        <v>875</v>
      </c>
      <c r="BC248" s="546">
        <v>0.58660000000000001</v>
      </c>
      <c r="BD248" s="121">
        <v>1.4963999999999999E-5</v>
      </c>
    </row>
    <row r="249" spans="52:56">
      <c r="AZ249" s="118" t="s">
        <v>819</v>
      </c>
      <c r="BA249" s="118" t="s">
        <v>406</v>
      </c>
      <c r="BB249" s="118" t="s">
        <v>875</v>
      </c>
      <c r="BC249" s="546">
        <v>0.54469999999999996</v>
      </c>
      <c r="BD249" s="121">
        <v>5.3561299999999998E-5</v>
      </c>
    </row>
    <row r="250" spans="52:56">
      <c r="AZ250" s="118" t="s">
        <v>761</v>
      </c>
      <c r="BA250" s="118" t="s">
        <v>406</v>
      </c>
      <c r="BB250" s="118" t="s">
        <v>875</v>
      </c>
      <c r="BC250" s="546">
        <v>0.48139999999999999</v>
      </c>
      <c r="BD250" s="121">
        <v>1.0453599999999999E-5</v>
      </c>
    </row>
    <row r="251" spans="52:56">
      <c r="AZ251" s="118" t="s">
        <v>824</v>
      </c>
      <c r="BA251" s="118" t="s">
        <v>406</v>
      </c>
      <c r="BB251" s="118" t="s">
        <v>875</v>
      </c>
      <c r="BC251" s="546">
        <v>0.57020000000000004</v>
      </c>
      <c r="BD251" s="121">
        <v>1.18421E-5</v>
      </c>
    </row>
    <row r="252" spans="52:56">
      <c r="AZ252" s="118" t="s">
        <v>827</v>
      </c>
      <c r="BA252" s="118" t="s">
        <v>406</v>
      </c>
      <c r="BB252" s="118" t="s">
        <v>875</v>
      </c>
      <c r="BC252" s="546">
        <v>0.28769999999999996</v>
      </c>
      <c r="BD252" s="121">
        <v>6.3409999999999991E-6</v>
      </c>
    </row>
    <row r="253" spans="52:56">
      <c r="AZ253" s="118" t="s">
        <v>767</v>
      </c>
      <c r="BA253" s="118" t="s">
        <v>406</v>
      </c>
      <c r="BB253" s="118" t="s">
        <v>875</v>
      </c>
      <c r="BC253" s="546">
        <v>0.58730000000000004</v>
      </c>
      <c r="BD253" s="121">
        <v>2.8445E-6</v>
      </c>
    </row>
    <row r="254" spans="52:56">
      <c r="AZ254" s="118" t="s">
        <v>830</v>
      </c>
      <c r="BA254" s="118" t="s">
        <v>406</v>
      </c>
      <c r="BB254" s="118" t="s">
        <v>875</v>
      </c>
      <c r="BC254" s="546">
        <v>0.79459999999999997</v>
      </c>
      <c r="BD254" s="121">
        <v>1.58382E-5</v>
      </c>
    </row>
    <row r="255" spans="52:56">
      <c r="AZ255" s="118" t="s">
        <v>832</v>
      </c>
      <c r="BA255" s="118" t="s">
        <v>406</v>
      </c>
      <c r="BB255" s="118" t="s">
        <v>875</v>
      </c>
      <c r="BC255" s="546">
        <v>0.33799999999999997</v>
      </c>
      <c r="BD255" s="121">
        <v>9.9511000000000003E-6</v>
      </c>
    </row>
    <row r="256" spans="52:56">
      <c r="AZ256" s="118" t="s">
        <v>776</v>
      </c>
      <c r="BA256" s="118" t="s">
        <v>406</v>
      </c>
      <c r="BB256" s="118" t="s">
        <v>875</v>
      </c>
      <c r="BC256" s="546">
        <v>0.45799999999999996</v>
      </c>
      <c r="BD256" s="121">
        <v>2.6521E-6</v>
      </c>
    </row>
    <row r="257" spans="52:56">
      <c r="AZ257" s="118" t="s">
        <v>782</v>
      </c>
      <c r="BA257" s="118" t="s">
        <v>406</v>
      </c>
      <c r="BB257" s="118" t="s">
        <v>875</v>
      </c>
      <c r="BC257" s="546">
        <v>0.501</v>
      </c>
      <c r="BD257" s="121">
        <v>3.6648E-6</v>
      </c>
    </row>
    <row r="258" spans="52:56">
      <c r="AZ258" s="118" t="s">
        <v>789</v>
      </c>
      <c r="BA258" s="118" t="s">
        <v>406</v>
      </c>
      <c r="BB258" s="118" t="s">
        <v>875</v>
      </c>
      <c r="BC258" s="546">
        <v>0.53600000000000003</v>
      </c>
      <c r="BD258" s="121">
        <v>4.3463000000000002E-6</v>
      </c>
    </row>
    <row r="259" spans="52:56">
      <c r="AZ259" s="118" t="s">
        <v>797</v>
      </c>
      <c r="BA259" s="118" t="s">
        <v>406</v>
      </c>
      <c r="BB259" s="118" t="s">
        <v>875</v>
      </c>
      <c r="BC259" s="546">
        <v>0.56590000000000007</v>
      </c>
      <c r="BD259" s="121">
        <v>8.7128999999999992E-6</v>
      </c>
    </row>
    <row r="260" spans="52:56">
      <c r="AZ260" s="118" t="s">
        <v>839</v>
      </c>
      <c r="BA260" s="118" t="s">
        <v>406</v>
      </c>
      <c r="BB260" s="118" t="s">
        <v>875</v>
      </c>
      <c r="BC260" s="546">
        <v>0.31009999999999999</v>
      </c>
      <c r="BD260" s="121">
        <v>3.5185999999999997E-6</v>
      </c>
    </row>
    <row r="261" spans="52:56">
      <c r="AZ261" s="118" t="s">
        <v>803</v>
      </c>
      <c r="BA261" s="118" t="s">
        <v>406</v>
      </c>
      <c r="BB261" s="118" t="s">
        <v>875</v>
      </c>
      <c r="BC261" s="546">
        <v>0.42410000000000003</v>
      </c>
      <c r="BD261" s="121">
        <v>7.9162999999999991E-6</v>
      </c>
    </row>
    <row r="262" spans="52:56">
      <c r="AZ262" s="118" t="s">
        <v>809</v>
      </c>
      <c r="BA262" s="118" t="s">
        <v>406</v>
      </c>
      <c r="BB262" s="118" t="s">
        <v>875</v>
      </c>
      <c r="BC262" s="546">
        <v>0.63200000000000001</v>
      </c>
      <c r="BD262" s="121">
        <v>4.4137000000000006E-6</v>
      </c>
    </row>
    <row r="263" spans="52:56">
      <c r="AZ263" s="118" t="s">
        <v>816</v>
      </c>
      <c r="BA263" s="118" t="s">
        <v>406</v>
      </c>
      <c r="BB263" s="118" t="s">
        <v>875</v>
      </c>
      <c r="BC263" s="546">
        <v>0.49219999999999997</v>
      </c>
      <c r="BD263" s="121">
        <v>7.1277099999999996E-5</v>
      </c>
    </row>
    <row r="264" spans="52:56">
      <c r="AZ264" s="118" t="s">
        <v>820</v>
      </c>
      <c r="BA264" s="118" t="s">
        <v>406</v>
      </c>
      <c r="BB264" s="118" t="s">
        <v>875</v>
      </c>
      <c r="BC264" s="546">
        <v>0.6177999999999999</v>
      </c>
      <c r="BD264" s="121">
        <v>4.1639499999999993E-5</v>
      </c>
    </row>
    <row r="265" spans="52:56">
      <c r="AZ265" s="118" t="s">
        <v>823</v>
      </c>
      <c r="BA265" s="118" t="s">
        <v>406</v>
      </c>
      <c r="BB265" s="118" t="s">
        <v>875</v>
      </c>
      <c r="BC265" s="546">
        <v>0.71550000000000002</v>
      </c>
      <c r="BD265" s="121">
        <v>2.4630000000000003E-7</v>
      </c>
    </row>
    <row r="266" spans="52:56">
      <c r="AZ266" s="118" t="s">
        <v>825</v>
      </c>
      <c r="BA266" s="118" t="s">
        <v>406</v>
      </c>
      <c r="BB266" s="118" t="s">
        <v>875</v>
      </c>
      <c r="BC266" s="546">
        <v>0.51749999999999996</v>
      </c>
      <c r="BD266" s="121">
        <v>3.7419000000000001E-6</v>
      </c>
    </row>
    <row r="267" spans="52:56">
      <c r="AZ267" s="118" t="s">
        <v>828</v>
      </c>
      <c r="BA267" s="118" t="s">
        <v>406</v>
      </c>
      <c r="BB267" s="118" t="s">
        <v>875</v>
      </c>
      <c r="BC267" s="546">
        <v>0.42</v>
      </c>
      <c r="BD267" s="121">
        <v>4.2253999999999994E-6</v>
      </c>
    </row>
    <row r="268" spans="52:56">
      <c r="AZ268" s="118" t="s">
        <v>829</v>
      </c>
      <c r="BA268" s="118" t="s">
        <v>406</v>
      </c>
      <c r="BB268" s="118" t="s">
        <v>875</v>
      </c>
      <c r="BC268" s="546">
        <v>0.59630000000000005</v>
      </c>
      <c r="BD268" s="121">
        <v>6.0182000000000002E-6</v>
      </c>
    </row>
    <row r="269" spans="52:56">
      <c r="AZ269" s="118" t="s">
        <v>849</v>
      </c>
      <c r="BA269" s="118" t="s">
        <v>406</v>
      </c>
      <c r="BB269" s="118" t="s">
        <v>875</v>
      </c>
      <c r="BC269" s="546">
        <v>0.44179999999999997</v>
      </c>
      <c r="BD269" s="121">
        <v>1.5604499999999999E-5</v>
      </c>
    </row>
    <row r="270" spans="52:56">
      <c r="AZ270" s="118" t="s">
        <v>851</v>
      </c>
      <c r="BA270" s="118" t="s">
        <v>406</v>
      </c>
      <c r="BB270" s="118" t="s">
        <v>875</v>
      </c>
      <c r="BC270" s="546">
        <v>0.44479999999999997</v>
      </c>
      <c r="BD270" s="121">
        <v>2.1064299999999998E-5</v>
      </c>
    </row>
    <row r="271" spans="52:56">
      <c r="AZ271" s="118" t="s">
        <v>853</v>
      </c>
      <c r="BA271" s="118" t="s">
        <v>406</v>
      </c>
      <c r="BB271" s="118" t="s">
        <v>875</v>
      </c>
      <c r="BC271" s="546">
        <v>0.63559999999999994</v>
      </c>
      <c r="BD271" s="121">
        <v>4.8593699999999995E-5</v>
      </c>
    </row>
    <row r="272" spans="52:56">
      <c r="AZ272" s="118" t="s">
        <v>855</v>
      </c>
      <c r="BA272" s="118" t="s">
        <v>406</v>
      </c>
      <c r="BB272" s="118" t="s">
        <v>875</v>
      </c>
      <c r="BC272" s="546">
        <v>0.42130000000000001</v>
      </c>
      <c r="BD272" s="121">
        <v>1.3291299999999999E-5</v>
      </c>
    </row>
    <row r="273" spans="52:56">
      <c r="AZ273" s="118" t="s">
        <v>831</v>
      </c>
      <c r="BA273" s="118" t="s">
        <v>406</v>
      </c>
      <c r="BB273" s="118" t="s">
        <v>875</v>
      </c>
      <c r="BC273" s="546">
        <v>0.46589999999999998</v>
      </c>
      <c r="BD273" s="121">
        <v>5.3949999999999992E-6</v>
      </c>
    </row>
    <row r="274" spans="52:56">
      <c r="AZ274" s="118" t="s">
        <v>858</v>
      </c>
      <c r="BA274" s="118" t="s">
        <v>406</v>
      </c>
      <c r="BB274" s="118" t="s">
        <v>875</v>
      </c>
      <c r="BC274" s="546">
        <v>0.26429999999999998</v>
      </c>
      <c r="BD274" s="121">
        <v>3.2989999999999997E-6</v>
      </c>
    </row>
    <row r="275" spans="52:56">
      <c r="AZ275" s="118" t="s">
        <v>833</v>
      </c>
      <c r="BA275" s="118" t="s">
        <v>406</v>
      </c>
      <c r="BB275" s="118" t="s">
        <v>875</v>
      </c>
      <c r="BC275" s="546">
        <v>0.44789999999999996</v>
      </c>
      <c r="BD275" s="121">
        <v>1.0583899999999999E-5</v>
      </c>
    </row>
    <row r="276" spans="52:56">
      <c r="AZ276" s="118" t="s">
        <v>861</v>
      </c>
      <c r="BA276" s="118" t="s">
        <v>406</v>
      </c>
      <c r="BB276" s="118" t="s">
        <v>875</v>
      </c>
      <c r="BC276" s="546">
        <v>0.47270000000000001</v>
      </c>
      <c r="BD276" s="121">
        <v>9.9294999999999987E-6</v>
      </c>
    </row>
    <row r="277" spans="52:56">
      <c r="AZ277" s="118" t="s">
        <v>834</v>
      </c>
      <c r="BA277" s="118" t="s">
        <v>406</v>
      </c>
      <c r="BB277" s="118" t="s">
        <v>875</v>
      </c>
      <c r="BC277" s="546">
        <v>0.56020000000000003</v>
      </c>
      <c r="BD277" s="121">
        <v>1.1505099999999998E-5</v>
      </c>
    </row>
    <row r="278" spans="52:56">
      <c r="AZ278" s="118" t="s">
        <v>864</v>
      </c>
      <c r="BA278" s="118" t="s">
        <v>406</v>
      </c>
      <c r="BB278" s="118" t="s">
        <v>875</v>
      </c>
      <c r="BC278" s="546">
        <v>0.59650000000000003</v>
      </c>
      <c r="BD278" s="121">
        <v>3.9139099999999999E-5</v>
      </c>
    </row>
    <row r="279" spans="52:56">
      <c r="AZ279" s="118" t="s">
        <v>866</v>
      </c>
      <c r="BA279" s="118" t="s">
        <v>406</v>
      </c>
      <c r="BB279" s="118" t="s">
        <v>875</v>
      </c>
      <c r="BC279" s="546">
        <v>0.50019999999999998</v>
      </c>
      <c r="BD279" s="121">
        <v>8.3573599999999996E-5</v>
      </c>
    </row>
    <row r="280" spans="52:56">
      <c r="AZ280" s="118" t="s">
        <v>835</v>
      </c>
      <c r="BA280" s="118" t="s">
        <v>406</v>
      </c>
      <c r="BB280" s="118" t="s">
        <v>875</v>
      </c>
      <c r="BC280" s="546">
        <v>0.40400000000000003</v>
      </c>
      <c r="BD280" s="121">
        <v>2.2705999999999999E-6</v>
      </c>
    </row>
    <row r="281" spans="52:56">
      <c r="AZ281" s="118" t="s">
        <v>836</v>
      </c>
      <c r="BA281" s="118" t="s">
        <v>406</v>
      </c>
      <c r="BB281" s="118" t="s">
        <v>875</v>
      </c>
      <c r="BC281" s="546">
        <v>0.48530000000000006</v>
      </c>
      <c r="BD281" s="121">
        <v>5.5250999999999998E-6</v>
      </c>
    </row>
    <row r="282" spans="52:56">
      <c r="AZ282" s="118" t="s">
        <v>837</v>
      </c>
      <c r="BA282" s="118" t="s">
        <v>406</v>
      </c>
      <c r="BB282" s="118" t="s">
        <v>875</v>
      </c>
      <c r="BC282" s="546">
        <v>0.84860000000000002</v>
      </c>
      <c r="BD282" s="121">
        <v>1.2969670000000002E-4</v>
      </c>
    </row>
    <row r="283" spans="52:56">
      <c r="AZ283" s="118" t="s">
        <v>840</v>
      </c>
      <c r="BA283" s="118" t="s">
        <v>406</v>
      </c>
      <c r="BB283" s="118" t="s">
        <v>875</v>
      </c>
      <c r="BC283" s="546">
        <v>0.6238999999999999</v>
      </c>
      <c r="BD283" s="121">
        <v>3.1139E-6</v>
      </c>
    </row>
    <row r="284" spans="52:56">
      <c r="AZ284" s="118" t="s">
        <v>841</v>
      </c>
      <c r="BA284" s="118" t="s">
        <v>406</v>
      </c>
      <c r="BB284" s="118" t="s">
        <v>875</v>
      </c>
      <c r="BC284" s="546">
        <v>0.57120000000000004</v>
      </c>
      <c r="BD284" s="121">
        <v>1.080376E-4</v>
      </c>
    </row>
    <row r="285" spans="52:56">
      <c r="AZ285" s="118" t="s">
        <v>867</v>
      </c>
      <c r="BA285" s="118" t="s">
        <v>406</v>
      </c>
      <c r="BB285" s="118" t="s">
        <v>875</v>
      </c>
      <c r="BC285" s="546">
        <v>0.57789999999999997</v>
      </c>
      <c r="BD285" s="121">
        <v>1.8965199999999999E-5</v>
      </c>
    </row>
    <row r="286" spans="52:56">
      <c r="AZ286" s="118" t="s">
        <v>842</v>
      </c>
      <c r="BA286" s="118" t="s">
        <v>406</v>
      </c>
      <c r="BB286" s="118" t="s">
        <v>875</v>
      </c>
      <c r="BC286" s="546">
        <v>0.53739999999999999</v>
      </c>
      <c r="BD286" s="121">
        <v>1.52217E-5</v>
      </c>
    </row>
    <row r="287" spans="52:56">
      <c r="AZ287" s="118" t="s">
        <v>843</v>
      </c>
      <c r="BA287" s="118" t="s">
        <v>406</v>
      </c>
      <c r="BB287" s="118" t="s">
        <v>875</v>
      </c>
      <c r="BC287" s="546">
        <v>0.42959999999999998</v>
      </c>
      <c r="BD287" s="121">
        <v>1.0996799999999999E-5</v>
      </c>
    </row>
    <row r="288" spans="52:56">
      <c r="AZ288" s="118" t="s">
        <v>844</v>
      </c>
      <c r="BA288" s="118" t="s">
        <v>406</v>
      </c>
      <c r="BB288" s="118" t="s">
        <v>875</v>
      </c>
      <c r="BC288" s="546">
        <v>0.36929999999999996</v>
      </c>
      <c r="BD288" s="121">
        <v>7.1191999999999987E-6</v>
      </c>
    </row>
    <row r="289" spans="52:56">
      <c r="AZ289" s="118" t="s">
        <v>845</v>
      </c>
      <c r="BA289" s="118" t="s">
        <v>406</v>
      </c>
      <c r="BB289" s="118" t="s">
        <v>875</v>
      </c>
      <c r="BC289" s="546">
        <v>0.48409999999999997</v>
      </c>
      <c r="BD289" s="121">
        <v>1.12226E-5</v>
      </c>
    </row>
    <row r="290" spans="52:56">
      <c r="AZ290" s="118" t="s">
        <v>846</v>
      </c>
      <c r="BA290" s="118" t="s">
        <v>406</v>
      </c>
      <c r="BB290" s="118" t="s">
        <v>875</v>
      </c>
      <c r="BC290" s="546">
        <v>0.53080000000000005</v>
      </c>
      <c r="BD290" s="121">
        <v>2.4148499999999998E-5</v>
      </c>
    </row>
    <row r="291" spans="52:56">
      <c r="AZ291" s="118" t="s">
        <v>868</v>
      </c>
      <c r="BA291" s="118" t="s">
        <v>406</v>
      </c>
      <c r="BB291" s="118" t="s">
        <v>875</v>
      </c>
      <c r="BC291" s="546">
        <v>0.74649999999999994</v>
      </c>
      <c r="BD291" s="121">
        <v>4.2724E-6</v>
      </c>
    </row>
    <row r="292" spans="52:56">
      <c r="AZ292" s="118" t="s">
        <v>869</v>
      </c>
      <c r="BA292" s="118" t="s">
        <v>406</v>
      </c>
      <c r="BB292" s="118" t="s">
        <v>875</v>
      </c>
      <c r="BC292" s="546">
        <v>0.48380000000000001</v>
      </c>
      <c r="BD292" s="121">
        <v>7.3057499999999996E-5</v>
      </c>
    </row>
    <row r="293" spans="52:56">
      <c r="AZ293" s="118" t="s">
        <v>847</v>
      </c>
      <c r="BA293" s="118" t="s">
        <v>406</v>
      </c>
      <c r="BB293" s="118" t="s">
        <v>875</v>
      </c>
      <c r="BC293" s="546">
        <v>0.39779999999999999</v>
      </c>
      <c r="BD293" s="121">
        <v>2.1880999999999999E-6</v>
      </c>
    </row>
    <row r="294" spans="52:56">
      <c r="AZ294" s="118" t="s">
        <v>848</v>
      </c>
      <c r="BA294" s="118" t="s">
        <v>406</v>
      </c>
      <c r="BB294" s="118" t="s">
        <v>875</v>
      </c>
      <c r="BC294" s="546">
        <v>0.44540000000000002</v>
      </c>
      <c r="BD294" s="121">
        <v>7.1578999999999997E-6</v>
      </c>
    </row>
    <row r="295" spans="52:56">
      <c r="AZ295" s="118" t="s">
        <v>850</v>
      </c>
      <c r="BA295" s="118" t="s">
        <v>406</v>
      </c>
      <c r="BB295" s="118" t="s">
        <v>875</v>
      </c>
      <c r="BC295" s="546">
        <v>0.44519999999999998</v>
      </c>
      <c r="BD295" s="121">
        <v>6.4520999999999996E-6</v>
      </c>
    </row>
    <row r="296" spans="52:56">
      <c r="AZ296" s="118" t="s">
        <v>852</v>
      </c>
      <c r="BA296" s="118" t="s">
        <v>406</v>
      </c>
      <c r="BB296" s="118" t="s">
        <v>875</v>
      </c>
      <c r="BC296" s="546">
        <v>0.45219999999999994</v>
      </c>
      <c r="BD296" s="121">
        <v>1.98171E-5</v>
      </c>
    </row>
    <row r="297" spans="52:56">
      <c r="AZ297" s="118" t="s">
        <v>854</v>
      </c>
      <c r="BA297" s="118" t="s">
        <v>406</v>
      </c>
      <c r="BB297" s="118" t="s">
        <v>875</v>
      </c>
      <c r="BC297" s="546">
        <v>0.40820000000000001</v>
      </c>
      <c r="BD297" s="121">
        <v>3.7754000000000003E-6</v>
      </c>
    </row>
    <row r="298" spans="52:56">
      <c r="AZ298" s="118" t="s">
        <v>856</v>
      </c>
      <c r="BA298" s="118" t="s">
        <v>406</v>
      </c>
      <c r="BB298" s="118" t="s">
        <v>875</v>
      </c>
      <c r="BC298" s="546">
        <v>0.46309999999999996</v>
      </c>
      <c r="BD298" s="121">
        <v>5.6903999999999998E-6</v>
      </c>
    </row>
    <row r="299" spans="52:56">
      <c r="AZ299" s="118" t="s">
        <v>857</v>
      </c>
      <c r="BA299" s="118" t="s">
        <v>406</v>
      </c>
      <c r="BB299" s="118" t="s">
        <v>875</v>
      </c>
      <c r="BC299" s="546">
        <v>0.51300000000000001</v>
      </c>
      <c r="BD299" s="121">
        <v>3.7894000000000001E-6</v>
      </c>
    </row>
    <row r="300" spans="52:56">
      <c r="AZ300" s="118" t="s">
        <v>859</v>
      </c>
      <c r="BA300" s="118" t="s">
        <v>406</v>
      </c>
      <c r="BB300" s="118" t="s">
        <v>875</v>
      </c>
      <c r="BC300" s="546">
        <v>0.47689999999999999</v>
      </c>
      <c r="BD300" s="121">
        <v>1.9582000000000002E-6</v>
      </c>
    </row>
    <row r="301" spans="52:56">
      <c r="AZ301" s="118" t="s">
        <v>870</v>
      </c>
      <c r="BA301" s="118" t="s">
        <v>406</v>
      </c>
      <c r="BB301" s="118" t="s">
        <v>875</v>
      </c>
      <c r="BC301" s="546">
        <v>0.34660000000000002</v>
      </c>
      <c r="BD301" s="121">
        <v>3.4756999999999996E-6</v>
      </c>
    </row>
    <row r="302" spans="52:56">
      <c r="AZ302" s="118" t="s">
        <v>871</v>
      </c>
      <c r="BA302" s="118" t="s">
        <v>406</v>
      </c>
      <c r="BB302" s="118" t="s">
        <v>875</v>
      </c>
      <c r="BC302" s="546">
        <v>0.48099999999999998</v>
      </c>
      <c r="BD302" s="121">
        <v>1.3387199999999999E-5</v>
      </c>
    </row>
    <row r="303" spans="52:56">
      <c r="AZ303" s="118" t="s">
        <v>872</v>
      </c>
      <c r="BA303" s="118" t="s">
        <v>406</v>
      </c>
      <c r="BB303" s="118" t="s">
        <v>875</v>
      </c>
      <c r="BC303" s="546">
        <v>0.3518</v>
      </c>
      <c r="BD303" s="121">
        <v>2.7267099999999999E-5</v>
      </c>
    </row>
    <row r="304" spans="52:56">
      <c r="AZ304" s="118" t="s">
        <v>860</v>
      </c>
      <c r="BA304" s="118" t="s">
        <v>406</v>
      </c>
      <c r="BB304" s="118" t="s">
        <v>875</v>
      </c>
      <c r="BC304" s="546">
        <v>0.50370000000000004</v>
      </c>
      <c r="BD304" s="121">
        <v>1.07767E-5</v>
      </c>
    </row>
    <row r="305" spans="52:56">
      <c r="AZ305" s="118" t="s">
        <v>873</v>
      </c>
      <c r="BA305" s="118" t="s">
        <v>406</v>
      </c>
      <c r="BB305" s="118" t="s">
        <v>875</v>
      </c>
      <c r="BC305" s="546">
        <v>0.32820000000000005</v>
      </c>
      <c r="BD305" s="121">
        <v>4.7136700000000006E-5</v>
      </c>
    </row>
    <row r="306" spans="52:56">
      <c r="AZ306" s="118" t="s">
        <v>862</v>
      </c>
      <c r="BA306" s="118" t="s">
        <v>406</v>
      </c>
      <c r="BB306" s="118" t="s">
        <v>875</v>
      </c>
      <c r="BC306" s="546">
        <v>0.55469999999999997</v>
      </c>
      <c r="BD306" s="121">
        <v>4.6962999999999994E-6</v>
      </c>
    </row>
    <row r="307" spans="52:56">
      <c r="AZ307" s="118" t="s">
        <v>863</v>
      </c>
      <c r="BA307" s="118" t="s">
        <v>406</v>
      </c>
      <c r="BB307" s="118" t="s">
        <v>875</v>
      </c>
      <c r="BC307" s="546">
        <v>0.67549999999999999</v>
      </c>
      <c r="BD307" s="121">
        <v>2.8513999999999999E-6</v>
      </c>
    </row>
    <row r="308" spans="52:56">
      <c r="AZ308" s="118" t="s">
        <v>865</v>
      </c>
      <c r="BA308" s="118" t="s">
        <v>406</v>
      </c>
      <c r="BB308" s="118" t="s">
        <v>875</v>
      </c>
      <c r="BC308" s="546">
        <v>0.30879999999999996</v>
      </c>
      <c r="BD308" s="121">
        <v>2.97895E-5</v>
      </c>
    </row>
    <row r="309" spans="52:56">
      <c r="AZ309" s="118" t="s">
        <v>717</v>
      </c>
      <c r="BA309" s="118" t="s">
        <v>410</v>
      </c>
      <c r="BB309" s="118" t="s">
        <v>874</v>
      </c>
      <c r="BC309" s="546">
        <v>0.83</v>
      </c>
      <c r="BD309" s="121">
        <v>2.2928000000000001E-5</v>
      </c>
    </row>
    <row r="310" spans="52:56">
      <c r="AZ310" s="118" t="s">
        <v>169</v>
      </c>
      <c r="BA310" s="118" t="s">
        <v>410</v>
      </c>
      <c r="BB310" s="118" t="s">
        <v>874</v>
      </c>
      <c r="BC310" s="546">
        <v>0.73199999999999998</v>
      </c>
      <c r="BD310" s="121">
        <v>4.7260000000000002E-6</v>
      </c>
    </row>
    <row r="311" spans="52:56">
      <c r="AZ311" s="118" t="s">
        <v>719</v>
      </c>
      <c r="BA311" s="118" t="s">
        <v>410</v>
      </c>
      <c r="BB311" s="118" t="s">
        <v>874</v>
      </c>
      <c r="BC311" s="546">
        <v>0.745</v>
      </c>
      <c r="BD311" s="121">
        <v>5.6509999999999998E-6</v>
      </c>
    </row>
    <row r="312" spans="52:56">
      <c r="AZ312" s="118" t="s">
        <v>739</v>
      </c>
      <c r="BA312" s="118" t="s">
        <v>410</v>
      </c>
      <c r="BB312" s="118" t="s">
        <v>874</v>
      </c>
      <c r="BC312" s="546">
        <v>0.84900000000000009</v>
      </c>
      <c r="BD312" s="121">
        <v>0</v>
      </c>
    </row>
    <row r="313" spans="52:56">
      <c r="AZ313" s="118" t="s">
        <v>744</v>
      </c>
      <c r="BA313" s="118" t="s">
        <v>410</v>
      </c>
      <c r="BB313" s="118" t="s">
        <v>874</v>
      </c>
      <c r="BC313" s="546">
        <v>0.77</v>
      </c>
      <c r="BD313" s="121">
        <v>7.3852999999999999E-5</v>
      </c>
    </row>
    <row r="314" spans="52:56">
      <c r="AZ314" s="118" t="s">
        <v>724</v>
      </c>
      <c r="BA314" s="118" t="s">
        <v>410</v>
      </c>
      <c r="BB314" s="118" t="s">
        <v>874</v>
      </c>
      <c r="BC314" s="546">
        <v>0.58099999999999996</v>
      </c>
      <c r="BD314" s="121">
        <v>4.7849999999999999E-6</v>
      </c>
    </row>
    <row r="315" spans="52:56">
      <c r="AZ315" s="118" t="s">
        <v>730</v>
      </c>
      <c r="BA315" s="118" t="s">
        <v>410</v>
      </c>
      <c r="BB315" s="118" t="s">
        <v>874</v>
      </c>
      <c r="BC315" s="546">
        <v>0.75</v>
      </c>
      <c r="BD315" s="121">
        <v>4.2363000000000001E-5</v>
      </c>
    </row>
    <row r="316" spans="52:56">
      <c r="AZ316" s="118" t="s">
        <v>760</v>
      </c>
      <c r="BA316" s="118" t="s">
        <v>410</v>
      </c>
      <c r="BB316" s="118" t="s">
        <v>874</v>
      </c>
      <c r="BC316" s="546">
        <v>0.57299999999999995</v>
      </c>
      <c r="BD316" s="121">
        <v>1.2486999999999999E-5</v>
      </c>
    </row>
    <row r="317" spans="52:56">
      <c r="AZ317" s="118" t="s">
        <v>766</v>
      </c>
      <c r="BA317" s="118" t="s">
        <v>410</v>
      </c>
      <c r="BB317" s="118" t="s">
        <v>874</v>
      </c>
      <c r="BC317" s="546">
        <v>0.58799999999999997</v>
      </c>
      <c r="BD317" s="121">
        <v>2.4411999999999999E-5</v>
      </c>
    </row>
    <row r="318" spans="52:56">
      <c r="AZ318" s="118" t="s">
        <v>775</v>
      </c>
      <c r="BA318" s="118" t="s">
        <v>410</v>
      </c>
      <c r="BB318" s="118" t="s">
        <v>874</v>
      </c>
      <c r="BC318" s="546">
        <v>0.755</v>
      </c>
      <c r="BD318" s="121">
        <v>2.3187799999999998E-4</v>
      </c>
    </row>
    <row r="319" spans="52:56">
      <c r="AZ319" s="118" t="s">
        <v>781</v>
      </c>
      <c r="BA319" s="118" t="s">
        <v>410</v>
      </c>
      <c r="BB319" s="118" t="s">
        <v>874</v>
      </c>
      <c r="BC319" s="546">
        <v>0.85399999999999998</v>
      </c>
      <c r="BD319" s="121">
        <v>0</v>
      </c>
    </row>
    <row r="320" spans="52:56">
      <c r="AZ320" s="118" t="s">
        <v>740</v>
      </c>
      <c r="BA320" s="118" t="s">
        <v>410</v>
      </c>
      <c r="BB320" s="118" t="s">
        <v>874</v>
      </c>
      <c r="BC320" s="546">
        <v>0.68899999999999995</v>
      </c>
      <c r="BD320" s="121">
        <v>9.3019999999999984E-6</v>
      </c>
    </row>
    <row r="321" spans="52:56">
      <c r="AZ321" s="118" t="s">
        <v>118</v>
      </c>
      <c r="BA321" s="118" t="s">
        <v>410</v>
      </c>
      <c r="BB321" s="118" t="s">
        <v>874</v>
      </c>
      <c r="BC321" s="546">
        <v>0.84300000000000008</v>
      </c>
      <c r="BD321" s="121">
        <v>2.3274000000000001E-5</v>
      </c>
    </row>
    <row r="322" spans="52:56">
      <c r="AZ322" s="118" t="s">
        <v>749</v>
      </c>
      <c r="BA322" s="118" t="s">
        <v>410</v>
      </c>
      <c r="BB322" s="118" t="s">
        <v>874</v>
      </c>
      <c r="BC322" s="546">
        <v>0.55699999999999994</v>
      </c>
      <c r="BD322" s="121">
        <v>4.7743E-5</v>
      </c>
    </row>
    <row r="323" spans="52:56">
      <c r="AZ323" s="118" t="s">
        <v>754</v>
      </c>
      <c r="BA323" s="118" t="s">
        <v>410</v>
      </c>
      <c r="BB323" s="118" t="s">
        <v>874</v>
      </c>
      <c r="BC323" s="546">
        <v>0.78899999999999992</v>
      </c>
      <c r="BD323" s="121">
        <v>1.0338599999999999E-4</v>
      </c>
    </row>
    <row r="324" spans="52:56">
      <c r="AZ324" s="118" t="s">
        <v>815</v>
      </c>
      <c r="BA324" s="118" t="s">
        <v>410</v>
      </c>
      <c r="BB324" s="118" t="s">
        <v>874</v>
      </c>
      <c r="BC324" s="546">
        <v>0.75800000000000001</v>
      </c>
      <c r="BD324" s="121">
        <v>2.7916000000000002E-5</v>
      </c>
    </row>
    <row r="325" spans="52:56">
      <c r="AZ325" s="118" t="s">
        <v>819</v>
      </c>
      <c r="BA325" s="118" t="s">
        <v>410</v>
      </c>
      <c r="BB325" s="118" t="s">
        <v>874</v>
      </c>
      <c r="BC325" s="546">
        <v>0.77</v>
      </c>
      <c r="BD325" s="121">
        <v>8.3644999999999989E-5</v>
      </c>
    </row>
    <row r="326" spans="52:56">
      <c r="AZ326" s="118" t="s">
        <v>761</v>
      </c>
      <c r="BA326" s="118" t="s">
        <v>410</v>
      </c>
      <c r="BB326" s="118" t="s">
        <v>874</v>
      </c>
      <c r="BC326" s="546">
        <v>0.625</v>
      </c>
      <c r="BD326" s="121">
        <v>2.5610999999999999E-5</v>
      </c>
    </row>
    <row r="327" spans="52:56">
      <c r="AZ327" s="118" t="s">
        <v>824</v>
      </c>
      <c r="BA327" s="118" t="s">
        <v>410</v>
      </c>
      <c r="BB327" s="118" t="s">
        <v>874</v>
      </c>
      <c r="BC327" s="546">
        <v>0.33800000000000002</v>
      </c>
      <c r="BD327" s="121">
        <v>5.0999999999999995E-6</v>
      </c>
    </row>
    <row r="328" spans="52:56">
      <c r="AZ328" s="118" t="s">
        <v>827</v>
      </c>
      <c r="BA328" s="118" t="s">
        <v>410</v>
      </c>
      <c r="BB328" s="118" t="s">
        <v>874</v>
      </c>
      <c r="BC328" s="546">
        <v>0.61299999999999999</v>
      </c>
      <c r="BD328" s="121">
        <v>1.1332000000000001E-5</v>
      </c>
    </row>
    <row r="329" spans="52:56">
      <c r="AZ329" s="118" t="s">
        <v>767</v>
      </c>
      <c r="BA329" s="118" t="s">
        <v>410</v>
      </c>
      <c r="BB329" s="118" t="s">
        <v>874</v>
      </c>
      <c r="BC329" s="546">
        <v>0.622</v>
      </c>
      <c r="BD329" s="121">
        <v>5.4409999999999992E-6</v>
      </c>
    </row>
    <row r="330" spans="52:56">
      <c r="AZ330" s="118" t="s">
        <v>830</v>
      </c>
      <c r="BA330" s="118" t="s">
        <v>410</v>
      </c>
      <c r="BB330" s="118" t="s">
        <v>874</v>
      </c>
      <c r="BC330" s="546">
        <v>0.91100000000000003</v>
      </c>
      <c r="BD330" s="121">
        <v>1.4112999999999999E-5</v>
      </c>
    </row>
    <row r="331" spans="52:56">
      <c r="AZ331" s="118" t="s">
        <v>832</v>
      </c>
      <c r="BA331" s="118" t="s">
        <v>410</v>
      </c>
      <c r="BB331" s="118" t="s">
        <v>874</v>
      </c>
      <c r="BC331" s="546">
        <v>0.501</v>
      </c>
      <c r="BD331" s="121">
        <v>8.0989999999999999E-6</v>
      </c>
    </row>
    <row r="332" spans="52:56">
      <c r="AZ332" s="118" t="s">
        <v>776</v>
      </c>
      <c r="BA332" s="118" t="s">
        <v>410</v>
      </c>
      <c r="BB332" s="118" t="s">
        <v>874</v>
      </c>
      <c r="BC332" s="546">
        <v>0.53500000000000003</v>
      </c>
      <c r="BD332" s="121">
        <v>6.2999999999999998E-6</v>
      </c>
    </row>
    <row r="333" spans="52:56">
      <c r="AZ333" s="118" t="s">
        <v>782</v>
      </c>
      <c r="BA333" s="118" t="s">
        <v>410</v>
      </c>
      <c r="BB333" s="118" t="s">
        <v>874</v>
      </c>
      <c r="BC333" s="546">
        <v>0.67799999999999994</v>
      </c>
      <c r="BD333" s="121">
        <v>5.7130000000000002E-6</v>
      </c>
    </row>
    <row r="334" spans="52:56">
      <c r="AZ334" s="118" t="s">
        <v>789</v>
      </c>
      <c r="BA334" s="118" t="s">
        <v>410</v>
      </c>
      <c r="BB334" s="118" t="s">
        <v>874</v>
      </c>
      <c r="BC334" s="546">
        <v>0.60499999999999998</v>
      </c>
      <c r="BD334" s="121">
        <v>8.1259999999999998E-6</v>
      </c>
    </row>
    <row r="335" spans="52:56">
      <c r="AZ335" s="118" t="s">
        <v>797</v>
      </c>
      <c r="BA335" s="118" t="s">
        <v>410</v>
      </c>
      <c r="BB335" s="118" t="s">
        <v>874</v>
      </c>
      <c r="BC335" s="546">
        <v>0.74199999999999999</v>
      </c>
      <c r="BD335" s="121">
        <v>1.2186E-5</v>
      </c>
    </row>
    <row r="336" spans="52:56">
      <c r="AZ336" s="118" t="s">
        <v>839</v>
      </c>
      <c r="BA336" s="118" t="s">
        <v>410</v>
      </c>
      <c r="BB336" s="118" t="s">
        <v>874</v>
      </c>
      <c r="BC336" s="546">
        <v>0.83499999999999996</v>
      </c>
      <c r="BD336" s="121">
        <v>9.0440000000000001E-6</v>
      </c>
    </row>
    <row r="337" spans="52:56">
      <c r="AZ337" s="118" t="s">
        <v>803</v>
      </c>
      <c r="BA337" s="118" t="s">
        <v>410</v>
      </c>
      <c r="BB337" s="118" t="s">
        <v>874</v>
      </c>
      <c r="BC337" s="546">
        <v>0.68500000000000005</v>
      </c>
      <c r="BD337" s="121">
        <v>1.6789999999999997E-5</v>
      </c>
    </row>
    <row r="338" spans="52:56">
      <c r="AZ338" s="118" t="s">
        <v>809</v>
      </c>
      <c r="BA338" s="118" t="s">
        <v>410</v>
      </c>
      <c r="BB338" s="118" t="s">
        <v>874</v>
      </c>
      <c r="BC338" s="546">
        <v>0.69300000000000006</v>
      </c>
      <c r="BD338" s="121">
        <v>5.8000000000000004E-6</v>
      </c>
    </row>
    <row r="339" spans="52:56">
      <c r="AZ339" s="118" t="s">
        <v>816</v>
      </c>
      <c r="BA339" s="118" t="s">
        <v>410</v>
      </c>
      <c r="BB339" s="118" t="s">
        <v>874</v>
      </c>
      <c r="BC339" s="546">
        <v>0.63800000000000001</v>
      </c>
      <c r="BD339" s="121">
        <v>8.8080999999999999E-5</v>
      </c>
    </row>
    <row r="340" spans="52:56">
      <c r="AZ340" s="118" t="s">
        <v>820</v>
      </c>
      <c r="BA340" s="118" t="s">
        <v>410</v>
      </c>
      <c r="BB340" s="118" t="s">
        <v>874</v>
      </c>
      <c r="BC340" s="546">
        <v>0.73</v>
      </c>
      <c r="BD340" s="121">
        <v>7.5174999999999998E-5</v>
      </c>
    </row>
    <row r="341" spans="52:56">
      <c r="AZ341" s="118" t="s">
        <v>823</v>
      </c>
      <c r="BA341" s="118" t="s">
        <v>410</v>
      </c>
      <c r="BB341" s="118" t="s">
        <v>874</v>
      </c>
      <c r="BC341" s="546">
        <v>0.30299999999999999</v>
      </c>
      <c r="BD341" s="121">
        <v>6.3679999999999998E-6</v>
      </c>
    </row>
    <row r="342" spans="52:56">
      <c r="AZ342" s="118" t="s">
        <v>825</v>
      </c>
      <c r="BA342" s="118" t="s">
        <v>410</v>
      </c>
      <c r="BB342" s="118" t="s">
        <v>874</v>
      </c>
      <c r="BC342" s="546">
        <v>0.84599999999999997</v>
      </c>
      <c r="BD342" s="121">
        <v>6.6969999999999987E-6</v>
      </c>
    </row>
    <row r="343" spans="52:56">
      <c r="AZ343" s="118" t="s">
        <v>828</v>
      </c>
      <c r="BA343" s="118" t="s">
        <v>410</v>
      </c>
      <c r="BB343" s="118" t="s">
        <v>874</v>
      </c>
      <c r="BC343" s="546">
        <v>0.67500000000000004</v>
      </c>
      <c r="BD343" s="121">
        <v>8.8669999999999983E-6</v>
      </c>
    </row>
    <row r="344" spans="52:56">
      <c r="AZ344" s="118" t="s">
        <v>829</v>
      </c>
      <c r="BA344" s="118" t="s">
        <v>410</v>
      </c>
      <c r="BB344" s="118" t="s">
        <v>874</v>
      </c>
      <c r="BC344" s="546">
        <v>0.80899999999999994</v>
      </c>
      <c r="BD344" s="121">
        <v>1.1365999999999999E-5</v>
      </c>
    </row>
    <row r="345" spans="52:56">
      <c r="AZ345" s="118" t="s">
        <v>849</v>
      </c>
      <c r="BA345" s="118" t="s">
        <v>410</v>
      </c>
      <c r="BB345" s="118" t="s">
        <v>874</v>
      </c>
      <c r="BC345" s="546">
        <v>0.69499999999999995</v>
      </c>
      <c r="BD345" s="121">
        <v>2.3423999999999998E-5</v>
      </c>
    </row>
    <row r="346" spans="52:56">
      <c r="AZ346" s="118" t="s">
        <v>851</v>
      </c>
      <c r="BA346" s="118" t="s">
        <v>410</v>
      </c>
      <c r="BB346" s="118" t="s">
        <v>874</v>
      </c>
      <c r="BC346" s="546">
        <v>0.51899999999999991</v>
      </c>
      <c r="BD346" s="121">
        <v>4.4900999999999996E-5</v>
      </c>
    </row>
    <row r="347" spans="52:56">
      <c r="AZ347" s="118" t="s">
        <v>853</v>
      </c>
      <c r="BA347" s="118" t="s">
        <v>410</v>
      </c>
      <c r="BB347" s="118" t="s">
        <v>874</v>
      </c>
      <c r="BC347" s="546">
        <v>0.27400000000000002</v>
      </c>
      <c r="BD347" s="121">
        <v>2.7159999999999997E-5</v>
      </c>
    </row>
    <row r="348" spans="52:56">
      <c r="AZ348" s="118" t="s">
        <v>855</v>
      </c>
      <c r="BA348" s="118" t="s">
        <v>410</v>
      </c>
      <c r="BB348" s="118" t="s">
        <v>874</v>
      </c>
      <c r="BC348" s="546">
        <v>0.47599999999999998</v>
      </c>
      <c r="BD348" s="121">
        <v>1.7955999999999999E-5</v>
      </c>
    </row>
    <row r="349" spans="52:56">
      <c r="AZ349" s="118" t="s">
        <v>831</v>
      </c>
      <c r="BA349" s="118" t="s">
        <v>410</v>
      </c>
      <c r="BB349" s="118" t="s">
        <v>874</v>
      </c>
      <c r="BC349" s="546">
        <v>0.69299999999999995</v>
      </c>
      <c r="BD349" s="121">
        <v>1.0635999999999999E-5</v>
      </c>
    </row>
    <row r="350" spans="52:56">
      <c r="AZ350" s="118" t="s">
        <v>858</v>
      </c>
      <c r="BA350" s="118" t="s">
        <v>410</v>
      </c>
      <c r="BB350" s="118" t="s">
        <v>874</v>
      </c>
      <c r="BC350" s="546">
        <v>0.7340000000000001</v>
      </c>
      <c r="BD350" s="121">
        <v>2.4739999999999999E-6</v>
      </c>
    </row>
    <row r="351" spans="52:56">
      <c r="AZ351" s="118" t="s">
        <v>833</v>
      </c>
      <c r="BA351" s="118" t="s">
        <v>410</v>
      </c>
      <c r="BB351" s="118" t="s">
        <v>874</v>
      </c>
      <c r="BC351" s="546">
        <v>0.60799999999999998</v>
      </c>
      <c r="BD351" s="121">
        <v>3.0961999999999993E-5</v>
      </c>
    </row>
    <row r="352" spans="52:56">
      <c r="AZ352" s="118" t="s">
        <v>861</v>
      </c>
      <c r="BA352" s="118" t="s">
        <v>410</v>
      </c>
      <c r="BB352" s="118" t="s">
        <v>874</v>
      </c>
      <c r="BC352" s="546">
        <v>0.58899999999999997</v>
      </c>
      <c r="BD352" s="121">
        <v>1.5472E-5</v>
      </c>
    </row>
    <row r="353" spans="52:56">
      <c r="AZ353" s="118" t="s">
        <v>834</v>
      </c>
      <c r="BA353" s="118" t="s">
        <v>410</v>
      </c>
      <c r="BB353" s="118" t="s">
        <v>874</v>
      </c>
      <c r="BC353" s="546">
        <v>0.76400000000000001</v>
      </c>
      <c r="BD353" s="121">
        <v>3.4493999999999999E-5</v>
      </c>
    </row>
    <row r="354" spans="52:56">
      <c r="AZ354" s="118" t="s">
        <v>864</v>
      </c>
      <c r="BA354" s="118" t="s">
        <v>410</v>
      </c>
      <c r="BB354" s="118" t="s">
        <v>874</v>
      </c>
      <c r="BC354" s="546">
        <v>0.77800000000000002</v>
      </c>
      <c r="BD354" s="121">
        <v>2.4155000000000002E-5</v>
      </c>
    </row>
    <row r="355" spans="52:56">
      <c r="AZ355" s="118" t="s">
        <v>866</v>
      </c>
      <c r="BA355" s="118" t="s">
        <v>410</v>
      </c>
      <c r="BB355" s="118" t="s">
        <v>874</v>
      </c>
      <c r="BC355" s="546">
        <v>0.59899999999999998</v>
      </c>
      <c r="BD355" s="121">
        <v>1.21842E-4</v>
      </c>
    </row>
    <row r="356" spans="52:56">
      <c r="AZ356" s="118" t="s">
        <v>835</v>
      </c>
      <c r="BA356" s="118" t="s">
        <v>410</v>
      </c>
      <c r="BB356" s="118" t="s">
        <v>874</v>
      </c>
      <c r="BC356" s="546">
        <v>0.65900000000000003</v>
      </c>
      <c r="BD356" s="121">
        <v>5.9039999999999997E-6</v>
      </c>
    </row>
    <row r="357" spans="52:56">
      <c r="AZ357" s="118" t="s">
        <v>836</v>
      </c>
      <c r="BA357" s="118" t="s">
        <v>410</v>
      </c>
      <c r="BB357" s="118" t="s">
        <v>874</v>
      </c>
      <c r="BC357" s="546">
        <v>0.80600000000000005</v>
      </c>
      <c r="BD357" s="121">
        <v>7.5339999999999994E-6</v>
      </c>
    </row>
    <row r="358" spans="52:56">
      <c r="AZ358" s="118" t="s">
        <v>837</v>
      </c>
      <c r="BA358" s="118" t="s">
        <v>410</v>
      </c>
      <c r="BB358" s="118" t="s">
        <v>874</v>
      </c>
      <c r="BC358" s="546">
        <v>0.73899999999999999</v>
      </c>
      <c r="BD358" s="121">
        <v>4.6739000000000001E-5</v>
      </c>
    </row>
    <row r="359" spans="52:56">
      <c r="AZ359" s="118" t="s">
        <v>840</v>
      </c>
      <c r="BA359" s="118" t="s">
        <v>410</v>
      </c>
      <c r="BB359" s="118" t="s">
        <v>874</v>
      </c>
      <c r="BC359" s="546">
        <v>0.51899999999999991</v>
      </c>
      <c r="BD359" s="121">
        <v>5.6679999999999998E-6</v>
      </c>
    </row>
    <row r="360" spans="52:56">
      <c r="AZ360" s="118" t="s">
        <v>841</v>
      </c>
      <c r="BA360" s="118" t="s">
        <v>410</v>
      </c>
      <c r="BB360" s="118" t="s">
        <v>874</v>
      </c>
      <c r="BC360" s="546">
        <v>0.76100000000000001</v>
      </c>
      <c r="BD360" s="121">
        <v>1.2392099999999998E-4</v>
      </c>
    </row>
    <row r="361" spans="52:56">
      <c r="AZ361" s="118" t="s">
        <v>867</v>
      </c>
      <c r="BA361" s="118" t="s">
        <v>410</v>
      </c>
      <c r="BB361" s="118" t="s">
        <v>874</v>
      </c>
      <c r="BC361" s="546">
        <v>0.73599999999999999</v>
      </c>
      <c r="BD361" s="121">
        <v>4.1489000000000002E-5</v>
      </c>
    </row>
    <row r="362" spans="52:56">
      <c r="AZ362" s="118" t="s">
        <v>842</v>
      </c>
      <c r="BA362" s="118" t="s">
        <v>410</v>
      </c>
      <c r="BB362" s="118" t="s">
        <v>874</v>
      </c>
      <c r="BC362" s="546">
        <v>0.69300000000000006</v>
      </c>
      <c r="BD362" s="121">
        <v>8.8556999999999999E-5</v>
      </c>
    </row>
    <row r="363" spans="52:56">
      <c r="AZ363" s="118" t="s">
        <v>843</v>
      </c>
      <c r="BA363" s="118" t="s">
        <v>410</v>
      </c>
      <c r="BB363" s="118" t="s">
        <v>874</v>
      </c>
      <c r="BC363" s="546">
        <v>0.61799999999999999</v>
      </c>
      <c r="BD363" s="121">
        <v>1.3115999999999999E-5</v>
      </c>
    </row>
    <row r="364" spans="52:56">
      <c r="AZ364" s="118" t="s">
        <v>844</v>
      </c>
      <c r="BA364" s="118" t="s">
        <v>410</v>
      </c>
      <c r="BB364" s="118" t="s">
        <v>874</v>
      </c>
      <c r="BC364" s="546">
        <v>0.64200000000000002</v>
      </c>
      <c r="BD364" s="121">
        <v>9.5740000000000002E-6</v>
      </c>
    </row>
    <row r="365" spans="52:56">
      <c r="AZ365" s="118" t="s">
        <v>845</v>
      </c>
      <c r="BA365" s="118" t="s">
        <v>410</v>
      </c>
      <c r="BB365" s="118" t="s">
        <v>874</v>
      </c>
      <c r="BC365" s="546">
        <v>0.66100000000000003</v>
      </c>
      <c r="BD365" s="121">
        <v>1.4561E-5</v>
      </c>
    </row>
    <row r="366" spans="52:56">
      <c r="AZ366" s="118" t="s">
        <v>846</v>
      </c>
      <c r="BA366" s="118" t="s">
        <v>410</v>
      </c>
      <c r="BB366" s="118" t="s">
        <v>874</v>
      </c>
      <c r="BC366" s="546">
        <v>0.66700000000000004</v>
      </c>
      <c r="BD366" s="121">
        <v>4.9883999999999999E-5</v>
      </c>
    </row>
    <row r="367" spans="52:56">
      <c r="AZ367" s="118" t="s">
        <v>868</v>
      </c>
      <c r="BA367" s="118" t="s">
        <v>410</v>
      </c>
      <c r="BB367" s="118" t="s">
        <v>874</v>
      </c>
      <c r="BC367" s="546">
        <v>0.84399999999999997</v>
      </c>
      <c r="BD367" s="121">
        <v>2.3162000000000003E-5</v>
      </c>
    </row>
    <row r="368" spans="52:56">
      <c r="AZ368" s="118" t="s">
        <v>869</v>
      </c>
      <c r="BA368" s="118" t="s">
        <v>410</v>
      </c>
      <c r="BB368" s="118" t="s">
        <v>874</v>
      </c>
      <c r="BC368" s="546">
        <v>0.58600000000000008</v>
      </c>
      <c r="BD368" s="121">
        <v>9.0141000000000003E-5</v>
      </c>
    </row>
    <row r="369" spans="52:56">
      <c r="AZ369" s="118" t="s">
        <v>847</v>
      </c>
      <c r="BA369" s="118" t="s">
        <v>410</v>
      </c>
      <c r="BB369" s="118" t="s">
        <v>874</v>
      </c>
      <c r="BC369" s="546">
        <v>0.53400000000000003</v>
      </c>
      <c r="BD369" s="121">
        <v>5.6520000000000003E-6</v>
      </c>
    </row>
    <row r="370" spans="52:56">
      <c r="AZ370" s="118" t="s">
        <v>848</v>
      </c>
      <c r="BA370" s="118" t="s">
        <v>410</v>
      </c>
      <c r="BB370" s="118" t="s">
        <v>874</v>
      </c>
      <c r="BC370" s="546">
        <v>0.58699999999999997</v>
      </c>
      <c r="BD370" s="121">
        <v>1.2740999999999999E-5</v>
      </c>
    </row>
    <row r="371" spans="52:56">
      <c r="AZ371" s="118" t="s">
        <v>850</v>
      </c>
      <c r="BA371" s="118" t="s">
        <v>410</v>
      </c>
      <c r="BB371" s="118" t="s">
        <v>874</v>
      </c>
      <c r="BC371" s="546">
        <v>0.61699999999999999</v>
      </c>
      <c r="BD371" s="121">
        <v>8.5159999999999994E-6</v>
      </c>
    </row>
    <row r="372" spans="52:56">
      <c r="AZ372" s="118" t="s">
        <v>852</v>
      </c>
      <c r="BA372" s="118" t="s">
        <v>410</v>
      </c>
      <c r="BB372" s="118" t="s">
        <v>874</v>
      </c>
      <c r="BC372" s="546">
        <v>0.58099999999999996</v>
      </c>
      <c r="BD372" s="121">
        <v>1.8996999999999998E-5</v>
      </c>
    </row>
    <row r="373" spans="52:56">
      <c r="AZ373" s="118" t="s">
        <v>854</v>
      </c>
      <c r="BA373" s="118" t="s">
        <v>410</v>
      </c>
      <c r="BB373" s="118" t="s">
        <v>874</v>
      </c>
      <c r="BC373" s="546">
        <v>0.65400000000000003</v>
      </c>
      <c r="BD373" s="121">
        <v>1.3652999999999998E-5</v>
      </c>
    </row>
    <row r="374" spans="52:56">
      <c r="AZ374" s="118" t="s">
        <v>856</v>
      </c>
      <c r="BA374" s="118" t="s">
        <v>410</v>
      </c>
      <c r="BB374" s="118" t="s">
        <v>874</v>
      </c>
      <c r="BC374" s="546">
        <v>0.62</v>
      </c>
      <c r="BD374" s="121">
        <v>1.0644999999999999E-5</v>
      </c>
    </row>
    <row r="375" spans="52:56">
      <c r="AZ375" s="118" t="s">
        <v>857</v>
      </c>
      <c r="BA375" s="118" t="s">
        <v>410</v>
      </c>
      <c r="BB375" s="118" t="s">
        <v>874</v>
      </c>
      <c r="BC375" s="546">
        <v>0.59699999999999998</v>
      </c>
      <c r="BD375" s="121">
        <v>5.3929999999999999E-6</v>
      </c>
    </row>
    <row r="376" spans="52:56">
      <c r="AZ376" s="118" t="s">
        <v>859</v>
      </c>
      <c r="BA376" s="118" t="s">
        <v>410</v>
      </c>
      <c r="BB376" s="118" t="s">
        <v>874</v>
      </c>
      <c r="BC376" s="546">
        <v>0.56299999999999994</v>
      </c>
      <c r="BD376" s="121">
        <v>4.6479999999999994E-6</v>
      </c>
    </row>
    <row r="377" spans="52:56">
      <c r="AZ377" s="118" t="s">
        <v>870</v>
      </c>
      <c r="BA377" s="118" t="s">
        <v>410</v>
      </c>
      <c r="BB377" s="118" t="s">
        <v>874</v>
      </c>
      <c r="BC377" s="546">
        <v>0.76600000000000001</v>
      </c>
      <c r="BD377" s="121">
        <v>1.8372999999999998E-5</v>
      </c>
    </row>
    <row r="378" spans="52:56">
      <c r="AZ378" s="118" t="s">
        <v>871</v>
      </c>
      <c r="BA378" s="118" t="s">
        <v>410</v>
      </c>
      <c r="BB378" s="118" t="s">
        <v>874</v>
      </c>
      <c r="BC378" s="546">
        <v>0.745</v>
      </c>
      <c r="BD378" s="121">
        <v>2.6062299999999997E-4</v>
      </c>
    </row>
    <row r="379" spans="52:56">
      <c r="AZ379" s="118" t="s">
        <v>872</v>
      </c>
      <c r="BA379" s="118" t="s">
        <v>410</v>
      </c>
      <c r="BB379" s="118" t="s">
        <v>874</v>
      </c>
      <c r="BC379" s="546">
        <v>0.83399999999999996</v>
      </c>
      <c r="BD379" s="121">
        <v>4.181099999999999E-5</v>
      </c>
    </row>
    <row r="380" spans="52:56">
      <c r="AZ380" s="118" t="s">
        <v>860</v>
      </c>
      <c r="BA380" s="118" t="s">
        <v>410</v>
      </c>
      <c r="BB380" s="118" t="s">
        <v>874</v>
      </c>
      <c r="BC380" s="546">
        <v>0.7569999999999999</v>
      </c>
      <c r="BD380" s="121">
        <v>1.6548000000000001E-5</v>
      </c>
    </row>
    <row r="381" spans="52:56">
      <c r="AZ381" s="118" t="s">
        <v>873</v>
      </c>
      <c r="BA381" s="118" t="s">
        <v>410</v>
      </c>
      <c r="BB381" s="118" t="s">
        <v>874</v>
      </c>
      <c r="BC381" s="546">
        <v>0.63100000000000001</v>
      </c>
      <c r="BD381" s="121">
        <v>3.9855000000000004E-5</v>
      </c>
    </row>
    <row r="382" spans="52:56">
      <c r="AZ382" s="118" t="s">
        <v>862</v>
      </c>
      <c r="BA382" s="118" t="s">
        <v>410</v>
      </c>
      <c r="BB382" s="118" t="s">
        <v>874</v>
      </c>
      <c r="BC382" s="546">
        <v>0.68699999999999994</v>
      </c>
      <c r="BD382" s="121">
        <v>9.9550000000000004E-6</v>
      </c>
    </row>
    <row r="383" spans="52:56">
      <c r="AZ383" s="118" t="s">
        <v>863</v>
      </c>
      <c r="BA383" s="118" t="s">
        <v>410</v>
      </c>
      <c r="BB383" s="118" t="s">
        <v>874</v>
      </c>
      <c r="BC383" s="546">
        <v>0.77500000000000002</v>
      </c>
      <c r="BD383" s="121">
        <v>1.0200999999999999E-5</v>
      </c>
    </row>
    <row r="384" spans="52:56">
      <c r="AZ384" s="118" t="s">
        <v>865</v>
      </c>
      <c r="BA384" s="118" t="s">
        <v>410</v>
      </c>
      <c r="BB384" s="118" t="s">
        <v>874</v>
      </c>
      <c r="BC384" s="546">
        <v>0.55000000000000004</v>
      </c>
      <c r="BD384" s="121">
        <v>4.0670000000000002E-5</v>
      </c>
    </row>
    <row r="385" spans="52:56">
      <c r="AZ385" s="118" t="s">
        <v>717</v>
      </c>
      <c r="BA385" s="118" t="s">
        <v>407</v>
      </c>
      <c r="BB385" s="118" t="s">
        <v>200</v>
      </c>
      <c r="BC385" s="546">
        <v>0.68300000000000005</v>
      </c>
      <c r="BD385" s="121">
        <v>7.0974000000000002E-5</v>
      </c>
    </row>
    <row r="386" spans="52:56">
      <c r="AZ386" s="118" t="s">
        <v>169</v>
      </c>
      <c r="BA386" s="118" t="s">
        <v>407</v>
      </c>
      <c r="BB386" s="118" t="s">
        <v>200</v>
      </c>
      <c r="BC386" s="546">
        <v>0.54120000000000001</v>
      </c>
      <c r="BD386" s="121">
        <v>6.1919E-6</v>
      </c>
    </row>
    <row r="387" spans="52:56">
      <c r="AZ387" s="118" t="s">
        <v>719</v>
      </c>
      <c r="BA387" s="118" t="s">
        <v>407</v>
      </c>
      <c r="BB387" s="118" t="s">
        <v>200</v>
      </c>
      <c r="BC387" s="546">
        <v>0.60699999999999998</v>
      </c>
      <c r="BD387" s="121">
        <v>6.8196999999999993E-6</v>
      </c>
    </row>
    <row r="388" spans="52:56">
      <c r="AZ388" s="118" t="s">
        <v>739</v>
      </c>
      <c r="BA388" s="118" t="s">
        <v>407</v>
      </c>
      <c r="BB388" s="118" t="s">
        <v>200</v>
      </c>
      <c r="BC388" s="546">
        <v>0.61529999999999996</v>
      </c>
      <c r="BD388" s="121">
        <v>0</v>
      </c>
    </row>
    <row r="389" spans="52:56">
      <c r="AZ389" s="118" t="s">
        <v>744</v>
      </c>
      <c r="BA389" s="118" t="s">
        <v>407</v>
      </c>
      <c r="BB389" s="118" t="s">
        <v>200</v>
      </c>
      <c r="BC389" s="546">
        <v>0.62190000000000001</v>
      </c>
      <c r="BD389" s="121">
        <v>6.283149999999999E-5</v>
      </c>
    </row>
    <row r="390" spans="52:56">
      <c r="AZ390" s="118" t="s">
        <v>724</v>
      </c>
      <c r="BA390" s="118" t="s">
        <v>407</v>
      </c>
      <c r="BB390" s="118" t="s">
        <v>200</v>
      </c>
      <c r="BC390" s="546">
        <v>0.4577</v>
      </c>
      <c r="BD390" s="121">
        <v>5.1135999999999996E-6</v>
      </c>
    </row>
    <row r="391" spans="52:56">
      <c r="AZ391" s="118" t="s">
        <v>730</v>
      </c>
      <c r="BA391" s="118" t="s">
        <v>407</v>
      </c>
      <c r="BB391" s="118" t="s">
        <v>200</v>
      </c>
      <c r="BC391" s="546">
        <v>0.63319999999999999</v>
      </c>
      <c r="BD391" s="121">
        <v>7.9687399999999999E-5</v>
      </c>
    </row>
    <row r="392" spans="52:56">
      <c r="AZ392" s="118" t="s">
        <v>760</v>
      </c>
      <c r="BA392" s="118" t="s">
        <v>407</v>
      </c>
      <c r="BB392" s="118" t="s">
        <v>200</v>
      </c>
      <c r="BC392" s="546">
        <v>0.46989999999999998</v>
      </c>
      <c r="BD392" s="121">
        <v>2.4322299999999996E-5</v>
      </c>
    </row>
    <row r="393" spans="52:56">
      <c r="AZ393" s="118" t="s">
        <v>766</v>
      </c>
      <c r="BA393" s="118" t="s">
        <v>407</v>
      </c>
      <c r="BB393" s="118" t="s">
        <v>200</v>
      </c>
      <c r="BC393" s="546">
        <v>0.45450000000000002</v>
      </c>
      <c r="BD393" s="121">
        <v>2.5108099999999998E-5</v>
      </c>
    </row>
    <row r="394" spans="52:56">
      <c r="AZ394" s="118" t="s">
        <v>775</v>
      </c>
      <c r="BA394" s="118" t="s">
        <v>407</v>
      </c>
      <c r="BB394" s="118" t="s">
        <v>200</v>
      </c>
      <c r="BC394" s="546">
        <v>0.66559999999999997</v>
      </c>
      <c r="BD394" s="121">
        <v>2.3665159999999998E-4</v>
      </c>
    </row>
    <row r="395" spans="52:56">
      <c r="AZ395" s="118" t="s">
        <v>781</v>
      </c>
      <c r="BA395" s="118" t="s">
        <v>407</v>
      </c>
      <c r="BB395" s="118" t="s">
        <v>200</v>
      </c>
      <c r="BC395" s="546">
        <v>0.77300000000000002</v>
      </c>
      <c r="BD395" s="121">
        <v>0</v>
      </c>
    </row>
    <row r="396" spans="52:56">
      <c r="AZ396" s="118" t="s">
        <v>740</v>
      </c>
      <c r="BA396" s="118" t="s">
        <v>407</v>
      </c>
      <c r="BB396" s="118" t="s">
        <v>200</v>
      </c>
      <c r="BC396" s="546">
        <v>0.64659999999999995</v>
      </c>
      <c r="BD396" s="121">
        <v>7.2383000000000006E-6</v>
      </c>
    </row>
    <row r="397" spans="52:56">
      <c r="AZ397" s="118" t="s">
        <v>118</v>
      </c>
      <c r="BA397" s="118" t="s">
        <v>407</v>
      </c>
      <c r="BB397" s="118" t="s">
        <v>200</v>
      </c>
      <c r="BC397" s="546">
        <v>0.63239999999999996</v>
      </c>
      <c r="BD397" s="121">
        <v>2.7187099999999999E-5</v>
      </c>
    </row>
    <row r="398" spans="52:56">
      <c r="AZ398" s="118" t="s">
        <v>749</v>
      </c>
      <c r="BA398" s="118" t="s">
        <v>407</v>
      </c>
      <c r="BB398" s="118" t="s">
        <v>200</v>
      </c>
      <c r="BC398" s="546">
        <v>0.48450000000000004</v>
      </c>
      <c r="BD398" s="121">
        <v>2.8662199999999998E-5</v>
      </c>
    </row>
    <row r="399" spans="52:56">
      <c r="AZ399" s="118" t="s">
        <v>754</v>
      </c>
      <c r="BA399" s="118" t="s">
        <v>407</v>
      </c>
      <c r="BB399" s="118" t="s">
        <v>200</v>
      </c>
      <c r="BC399" s="546">
        <v>0.61129999999999995</v>
      </c>
      <c r="BD399" s="121">
        <v>5.3018700000000001E-5</v>
      </c>
    </row>
    <row r="400" spans="52:56">
      <c r="AZ400" s="118" t="s">
        <v>815</v>
      </c>
      <c r="BA400" s="118" t="s">
        <v>407</v>
      </c>
      <c r="BB400" s="118" t="s">
        <v>200</v>
      </c>
      <c r="BC400" s="546">
        <v>0.60899999999999999</v>
      </c>
      <c r="BD400" s="121">
        <v>2.6093699999999997E-5</v>
      </c>
    </row>
    <row r="401" spans="52:56">
      <c r="AZ401" s="118" t="s">
        <v>819</v>
      </c>
      <c r="BA401" s="118" t="s">
        <v>407</v>
      </c>
      <c r="BB401" s="118" t="s">
        <v>200</v>
      </c>
      <c r="BC401" s="546">
        <v>0.64270000000000005</v>
      </c>
      <c r="BD401" s="121">
        <v>6.5628299999999996E-5</v>
      </c>
    </row>
    <row r="402" spans="52:56">
      <c r="AZ402" s="118" t="s">
        <v>761</v>
      </c>
      <c r="BA402" s="118" t="s">
        <v>407</v>
      </c>
      <c r="BB402" s="118" t="s">
        <v>200</v>
      </c>
      <c r="BC402" s="546">
        <v>0.53390000000000004</v>
      </c>
      <c r="BD402" s="121">
        <v>2.3359399999999999E-5</v>
      </c>
    </row>
    <row r="403" spans="52:56">
      <c r="AZ403" s="118" t="s">
        <v>824</v>
      </c>
      <c r="BA403" s="118" t="s">
        <v>407</v>
      </c>
      <c r="BB403" s="118" t="s">
        <v>200</v>
      </c>
      <c r="BC403" s="546">
        <v>0.57679999999999998</v>
      </c>
      <c r="BD403" s="121">
        <v>1.51379E-5</v>
      </c>
    </row>
    <row r="404" spans="52:56">
      <c r="AZ404" s="118" t="s">
        <v>827</v>
      </c>
      <c r="BA404" s="118" t="s">
        <v>407</v>
      </c>
      <c r="BB404" s="118" t="s">
        <v>200</v>
      </c>
      <c r="BC404" s="546">
        <v>0.51140000000000008</v>
      </c>
      <c r="BD404" s="121">
        <v>1.5293699999999999E-5</v>
      </c>
    </row>
    <row r="405" spans="52:56">
      <c r="AZ405" s="118" t="s">
        <v>767</v>
      </c>
      <c r="BA405" s="118" t="s">
        <v>407</v>
      </c>
      <c r="BB405" s="118" t="s">
        <v>200</v>
      </c>
      <c r="BC405" s="546">
        <v>0.59820000000000007</v>
      </c>
      <c r="BD405" s="121">
        <v>5.9133999999999992E-6</v>
      </c>
    </row>
    <row r="406" spans="52:56">
      <c r="AZ406" s="118" t="s">
        <v>830</v>
      </c>
      <c r="BA406" s="118" t="s">
        <v>407</v>
      </c>
      <c r="BB406" s="118" t="s">
        <v>200</v>
      </c>
      <c r="BC406" s="546">
        <v>0.80940000000000001</v>
      </c>
      <c r="BD406" s="121">
        <v>1.1314329999999999E-4</v>
      </c>
    </row>
    <row r="407" spans="52:56">
      <c r="AZ407" s="118" t="s">
        <v>832</v>
      </c>
      <c r="BA407" s="118" t="s">
        <v>407</v>
      </c>
      <c r="BB407" s="118" t="s">
        <v>200</v>
      </c>
      <c r="BC407" s="546">
        <v>0.52229999999999999</v>
      </c>
      <c r="BD407" s="121">
        <v>1.3721599999999998E-5</v>
      </c>
    </row>
    <row r="408" spans="52:56">
      <c r="AZ408" s="118" t="s">
        <v>776</v>
      </c>
      <c r="BA408" s="118" t="s">
        <v>407</v>
      </c>
      <c r="BB408" s="118" t="s">
        <v>200</v>
      </c>
      <c r="BC408" s="546">
        <v>0.58589999999999998</v>
      </c>
      <c r="BD408" s="121">
        <v>6.9179999999999997E-6</v>
      </c>
    </row>
    <row r="409" spans="52:56">
      <c r="AZ409" s="118" t="s">
        <v>782</v>
      </c>
      <c r="BA409" s="118" t="s">
        <v>407</v>
      </c>
      <c r="BB409" s="118" t="s">
        <v>200</v>
      </c>
      <c r="BC409" s="546">
        <v>0.59440000000000004</v>
      </c>
      <c r="BD409" s="121">
        <v>8.533899999999998E-6</v>
      </c>
    </row>
    <row r="410" spans="52:56">
      <c r="AZ410" s="118" t="s">
        <v>789</v>
      </c>
      <c r="BA410" s="118" t="s">
        <v>407</v>
      </c>
      <c r="BB410" s="118" t="s">
        <v>200</v>
      </c>
      <c r="BC410" s="546">
        <v>0.65229999999999999</v>
      </c>
      <c r="BD410" s="121">
        <v>8.2870000000000004E-6</v>
      </c>
    </row>
    <row r="411" spans="52:56">
      <c r="AZ411" s="118" t="s">
        <v>797</v>
      </c>
      <c r="BA411" s="118" t="s">
        <v>407</v>
      </c>
      <c r="BB411" s="118" t="s">
        <v>200</v>
      </c>
      <c r="BC411" s="546">
        <v>0.57790000000000008</v>
      </c>
      <c r="BD411" s="121">
        <v>3.2657099999999996E-5</v>
      </c>
    </row>
    <row r="412" spans="52:56">
      <c r="AZ412" s="118" t="s">
        <v>839</v>
      </c>
      <c r="BA412" s="118" t="s">
        <v>407</v>
      </c>
      <c r="BB412" s="118" t="s">
        <v>200</v>
      </c>
      <c r="BC412" s="546">
        <v>0.72109999999999996</v>
      </c>
      <c r="BD412" s="121">
        <v>1.7343399999999997E-5</v>
      </c>
    </row>
    <row r="413" spans="52:56">
      <c r="AZ413" s="118" t="s">
        <v>803</v>
      </c>
      <c r="BA413" s="118" t="s">
        <v>407</v>
      </c>
      <c r="BB413" s="118" t="s">
        <v>200</v>
      </c>
      <c r="BC413" s="546">
        <v>0.53749999999999998</v>
      </c>
      <c r="BD413" s="121">
        <v>2.3621499999999997E-5</v>
      </c>
    </row>
    <row r="414" spans="52:56">
      <c r="AZ414" s="118" t="s">
        <v>809</v>
      </c>
      <c r="BA414" s="118" t="s">
        <v>407</v>
      </c>
      <c r="BB414" s="118" t="s">
        <v>200</v>
      </c>
      <c r="BC414" s="546">
        <v>0.59550000000000003</v>
      </c>
      <c r="BD414" s="121">
        <v>5.4895999999999991E-6</v>
      </c>
    </row>
    <row r="415" spans="52:56">
      <c r="AZ415" s="118" t="s">
        <v>816</v>
      </c>
      <c r="BA415" s="118" t="s">
        <v>407</v>
      </c>
      <c r="BB415" s="118" t="s">
        <v>200</v>
      </c>
      <c r="BC415" s="546">
        <v>0.59109999999999996</v>
      </c>
      <c r="BD415" s="121">
        <v>1.3276910000000001E-4</v>
      </c>
    </row>
    <row r="416" spans="52:56">
      <c r="AZ416" s="118" t="s">
        <v>820</v>
      </c>
      <c r="BA416" s="118" t="s">
        <v>407</v>
      </c>
      <c r="BB416" s="118" t="s">
        <v>200</v>
      </c>
      <c r="BC416" s="546">
        <v>0.69869999999999999</v>
      </c>
      <c r="BD416" s="121">
        <v>5.8106099999999996E-5</v>
      </c>
    </row>
    <row r="417" spans="52:56">
      <c r="AZ417" s="118" t="s">
        <v>823</v>
      </c>
      <c r="BA417" s="118" t="s">
        <v>407</v>
      </c>
      <c r="BB417" s="118" t="s">
        <v>200</v>
      </c>
      <c r="BC417" s="546">
        <v>0.46349999999999997</v>
      </c>
      <c r="BD417" s="121">
        <v>5.8885999999999998E-6</v>
      </c>
    </row>
    <row r="418" spans="52:56">
      <c r="AZ418" s="118" t="s">
        <v>825</v>
      </c>
      <c r="BA418" s="118" t="s">
        <v>407</v>
      </c>
      <c r="BB418" s="118" t="s">
        <v>200</v>
      </c>
      <c r="BC418" s="546">
        <v>0.69159999999999999</v>
      </c>
      <c r="BD418" s="121">
        <v>8.7441999999999984E-6</v>
      </c>
    </row>
    <row r="419" spans="52:56">
      <c r="AZ419" s="118" t="s">
        <v>828</v>
      </c>
      <c r="BA419" s="118" t="s">
        <v>407</v>
      </c>
      <c r="BB419" s="118" t="s">
        <v>200</v>
      </c>
      <c r="BC419" s="546">
        <v>0.60309999999999997</v>
      </c>
      <c r="BD419" s="121">
        <v>1.1555199999999999E-5</v>
      </c>
    </row>
    <row r="420" spans="52:56">
      <c r="AZ420" s="118" t="s">
        <v>829</v>
      </c>
      <c r="BA420" s="118" t="s">
        <v>407</v>
      </c>
      <c r="BB420" s="118" t="s">
        <v>200</v>
      </c>
      <c r="BC420" s="546">
        <v>0.69330000000000003</v>
      </c>
      <c r="BD420" s="121">
        <v>1.15417E-5</v>
      </c>
    </row>
    <row r="421" spans="52:56">
      <c r="AZ421" s="118" t="s">
        <v>849</v>
      </c>
      <c r="BA421" s="118" t="s">
        <v>407</v>
      </c>
      <c r="BB421" s="118" t="s">
        <v>200</v>
      </c>
      <c r="BC421" s="546">
        <v>0.42120000000000002</v>
      </c>
      <c r="BD421" s="121">
        <v>4.1170299999999994E-5</v>
      </c>
    </row>
    <row r="422" spans="52:56">
      <c r="AZ422" s="118" t="s">
        <v>851</v>
      </c>
      <c r="BA422" s="118" t="s">
        <v>407</v>
      </c>
      <c r="BB422" s="118" t="s">
        <v>200</v>
      </c>
      <c r="BC422" s="546">
        <v>0.38019999999999998</v>
      </c>
      <c r="BD422" s="121">
        <v>1.9649000000000001E-5</v>
      </c>
    </row>
    <row r="423" spans="52:56">
      <c r="AZ423" s="118" t="s">
        <v>853</v>
      </c>
      <c r="BA423" s="118" t="s">
        <v>407</v>
      </c>
      <c r="BB423" s="118" t="s">
        <v>200</v>
      </c>
      <c r="BC423" s="546">
        <v>0.50860000000000005</v>
      </c>
      <c r="BD423" s="121">
        <v>4.0599000000000002E-5</v>
      </c>
    </row>
    <row r="424" spans="52:56">
      <c r="AZ424" s="118" t="s">
        <v>855</v>
      </c>
      <c r="BA424" s="118" t="s">
        <v>407</v>
      </c>
      <c r="BB424" s="118" t="s">
        <v>200</v>
      </c>
      <c r="BC424" s="546">
        <v>0.5131</v>
      </c>
      <c r="BD424" s="121">
        <v>1.7161799999999999E-5</v>
      </c>
    </row>
    <row r="425" spans="52:56">
      <c r="AZ425" s="118" t="s">
        <v>831</v>
      </c>
      <c r="BA425" s="118" t="s">
        <v>407</v>
      </c>
      <c r="BB425" s="118" t="s">
        <v>200</v>
      </c>
      <c r="BC425" s="546">
        <v>0.66679999999999995</v>
      </c>
      <c r="BD425" s="121">
        <v>1.8417300000000001E-5</v>
      </c>
    </row>
    <row r="426" spans="52:56">
      <c r="AZ426" s="118" t="s">
        <v>858</v>
      </c>
      <c r="BA426" s="118" t="s">
        <v>407</v>
      </c>
      <c r="BB426" s="118" t="s">
        <v>200</v>
      </c>
      <c r="BC426" s="546">
        <v>0.51770000000000005</v>
      </c>
      <c r="BD426" s="121">
        <v>6.4274999999999999E-6</v>
      </c>
    </row>
    <row r="427" spans="52:56">
      <c r="AZ427" s="118" t="s">
        <v>833</v>
      </c>
      <c r="BA427" s="118" t="s">
        <v>407</v>
      </c>
      <c r="BB427" s="118" t="s">
        <v>200</v>
      </c>
      <c r="BC427" s="546">
        <v>0.47019999999999995</v>
      </c>
      <c r="BD427" s="121">
        <v>3.6003599999999995E-5</v>
      </c>
    </row>
    <row r="428" spans="52:56">
      <c r="AZ428" s="118" t="s">
        <v>861</v>
      </c>
      <c r="BA428" s="118" t="s">
        <v>407</v>
      </c>
      <c r="BB428" s="118" t="s">
        <v>200</v>
      </c>
      <c r="BC428" s="546">
        <v>0.42059999999999997</v>
      </c>
      <c r="BD428" s="121">
        <v>1.1150400000000001E-5</v>
      </c>
    </row>
    <row r="429" spans="52:56">
      <c r="AZ429" s="118" t="s">
        <v>834</v>
      </c>
      <c r="BA429" s="118" t="s">
        <v>407</v>
      </c>
      <c r="BB429" s="118" t="s">
        <v>200</v>
      </c>
      <c r="BC429" s="546">
        <v>0.75839999999999996</v>
      </c>
      <c r="BD429" s="121">
        <v>3.8475200000000001E-5</v>
      </c>
    </row>
    <row r="430" spans="52:56">
      <c r="AZ430" s="118" t="s">
        <v>864</v>
      </c>
      <c r="BA430" s="118" t="s">
        <v>407</v>
      </c>
      <c r="BB430" s="118" t="s">
        <v>200</v>
      </c>
      <c r="BC430" s="546">
        <v>0.58089999999999997</v>
      </c>
      <c r="BD430" s="121">
        <v>7.9876799999999994E-5</v>
      </c>
    </row>
    <row r="431" spans="52:56">
      <c r="AZ431" s="118" t="s">
        <v>866</v>
      </c>
      <c r="BA431" s="118" t="s">
        <v>407</v>
      </c>
      <c r="BB431" s="118" t="s">
        <v>200</v>
      </c>
      <c r="BC431" s="546">
        <v>0.53320000000000001</v>
      </c>
      <c r="BD431" s="121">
        <v>2.1788389999999997E-4</v>
      </c>
    </row>
    <row r="432" spans="52:56">
      <c r="AZ432" s="118" t="s">
        <v>835</v>
      </c>
      <c r="BA432" s="118" t="s">
        <v>407</v>
      </c>
      <c r="BB432" s="118" t="s">
        <v>200</v>
      </c>
      <c r="BC432" s="546">
        <v>0.52200000000000002</v>
      </c>
      <c r="BD432" s="121">
        <v>6.2511999999999995E-6</v>
      </c>
    </row>
    <row r="433" spans="52:56">
      <c r="AZ433" s="118" t="s">
        <v>836</v>
      </c>
      <c r="BA433" s="118" t="s">
        <v>407</v>
      </c>
      <c r="BB433" s="118" t="s">
        <v>200</v>
      </c>
      <c r="BC433" s="546">
        <v>0.53249999999999997</v>
      </c>
      <c r="BD433" s="121">
        <v>9.6659000000000001E-6</v>
      </c>
    </row>
    <row r="434" spans="52:56">
      <c r="AZ434" s="118" t="s">
        <v>837</v>
      </c>
      <c r="BA434" s="118" t="s">
        <v>407</v>
      </c>
      <c r="BB434" s="118" t="s">
        <v>200</v>
      </c>
      <c r="BC434" s="546">
        <v>0.82220000000000004</v>
      </c>
      <c r="BD434" s="121">
        <v>8.9439799999999983E-5</v>
      </c>
    </row>
    <row r="435" spans="52:56">
      <c r="AZ435" s="118" t="s">
        <v>840</v>
      </c>
      <c r="BA435" s="118" t="s">
        <v>407</v>
      </c>
      <c r="BB435" s="118" t="s">
        <v>200</v>
      </c>
      <c r="BC435" s="546">
        <v>0.54579999999999995</v>
      </c>
      <c r="BD435" s="121">
        <v>6.1230999999999999E-6</v>
      </c>
    </row>
    <row r="436" spans="52:56">
      <c r="AZ436" s="118" t="s">
        <v>841</v>
      </c>
      <c r="BA436" s="118" t="s">
        <v>407</v>
      </c>
      <c r="BB436" s="118" t="s">
        <v>200</v>
      </c>
      <c r="BC436" s="546">
        <v>0.67720000000000002</v>
      </c>
      <c r="BD436" s="121">
        <v>4.1626439999999998E-4</v>
      </c>
    </row>
    <row r="437" spans="52:56">
      <c r="AZ437" s="118" t="s">
        <v>867</v>
      </c>
      <c r="BA437" s="118" t="s">
        <v>407</v>
      </c>
      <c r="BB437" s="118" t="s">
        <v>200</v>
      </c>
      <c r="BC437" s="546">
        <v>0.70399999999999996</v>
      </c>
      <c r="BD437" s="121">
        <v>5.0021300000000002E-5</v>
      </c>
    </row>
    <row r="438" spans="52:56">
      <c r="AZ438" s="118" t="s">
        <v>842</v>
      </c>
      <c r="BA438" s="118" t="s">
        <v>407</v>
      </c>
      <c r="BB438" s="118" t="s">
        <v>200</v>
      </c>
      <c r="BC438" s="546">
        <v>0.62680000000000002</v>
      </c>
      <c r="BD438" s="121">
        <v>9.894549999999999E-5</v>
      </c>
    </row>
    <row r="439" spans="52:56">
      <c r="AZ439" s="118" t="s">
        <v>843</v>
      </c>
      <c r="BA439" s="118" t="s">
        <v>407</v>
      </c>
      <c r="BB439" s="118" t="s">
        <v>200</v>
      </c>
      <c r="BC439" s="546">
        <v>0.54390000000000005</v>
      </c>
      <c r="BD439" s="121">
        <v>1.7047800000000003E-5</v>
      </c>
    </row>
    <row r="440" spans="52:56">
      <c r="AZ440" s="118" t="s">
        <v>844</v>
      </c>
      <c r="BA440" s="118" t="s">
        <v>407</v>
      </c>
      <c r="BB440" s="118" t="s">
        <v>200</v>
      </c>
      <c r="BC440" s="546">
        <v>0.55580000000000007</v>
      </c>
      <c r="BD440" s="121">
        <v>1.7817900000000001E-5</v>
      </c>
    </row>
    <row r="441" spans="52:56">
      <c r="AZ441" s="118" t="s">
        <v>845</v>
      </c>
      <c r="BA441" s="118" t="s">
        <v>407</v>
      </c>
      <c r="BB441" s="118" t="s">
        <v>200</v>
      </c>
      <c r="BC441" s="546">
        <v>0.55959999999999999</v>
      </c>
      <c r="BD441" s="121">
        <v>2.3329399999999997E-5</v>
      </c>
    </row>
    <row r="442" spans="52:56">
      <c r="AZ442" s="118" t="s">
        <v>846</v>
      </c>
      <c r="BA442" s="118" t="s">
        <v>407</v>
      </c>
      <c r="BB442" s="118" t="s">
        <v>200</v>
      </c>
      <c r="BC442" s="546">
        <v>0.61880000000000002</v>
      </c>
      <c r="BD442" s="121">
        <v>3.6881999999999997E-5</v>
      </c>
    </row>
    <row r="443" spans="52:56">
      <c r="AZ443" s="118" t="s">
        <v>868</v>
      </c>
      <c r="BA443" s="118" t="s">
        <v>407</v>
      </c>
      <c r="BB443" s="118" t="s">
        <v>200</v>
      </c>
      <c r="BC443" s="546">
        <v>0.68969999999999998</v>
      </c>
      <c r="BD443" s="121">
        <v>2.00041E-5</v>
      </c>
    </row>
    <row r="444" spans="52:56">
      <c r="AZ444" s="118" t="s">
        <v>869</v>
      </c>
      <c r="BA444" s="118" t="s">
        <v>407</v>
      </c>
      <c r="BB444" s="118" t="s">
        <v>200</v>
      </c>
      <c r="BC444" s="546">
        <v>0.4098</v>
      </c>
      <c r="BD444" s="121">
        <v>1.5091910000000002E-4</v>
      </c>
    </row>
    <row r="445" spans="52:56">
      <c r="AZ445" s="118" t="s">
        <v>847</v>
      </c>
      <c r="BA445" s="118" t="s">
        <v>407</v>
      </c>
      <c r="BB445" s="118" t="s">
        <v>200</v>
      </c>
      <c r="BC445" s="546">
        <v>0.49170000000000003</v>
      </c>
      <c r="BD445" s="121">
        <v>1.4949999999999999E-5</v>
      </c>
    </row>
    <row r="446" spans="52:56">
      <c r="AZ446" s="118" t="s">
        <v>848</v>
      </c>
      <c r="BA446" s="118" t="s">
        <v>407</v>
      </c>
      <c r="BB446" s="118" t="s">
        <v>200</v>
      </c>
      <c r="BC446" s="546">
        <v>0.58950000000000002</v>
      </c>
      <c r="BD446" s="121">
        <v>1.7252099999999997E-5</v>
      </c>
    </row>
    <row r="447" spans="52:56">
      <c r="AZ447" s="118" t="s">
        <v>850</v>
      </c>
      <c r="BA447" s="118" t="s">
        <v>407</v>
      </c>
      <c r="BB447" s="118" t="s">
        <v>200</v>
      </c>
      <c r="BC447" s="546">
        <v>0.54730000000000001</v>
      </c>
      <c r="BD447" s="121">
        <v>1.3920799999999999E-5</v>
      </c>
    </row>
    <row r="448" spans="52:56">
      <c r="AZ448" s="118" t="s">
        <v>852</v>
      </c>
      <c r="BA448" s="118" t="s">
        <v>407</v>
      </c>
      <c r="BB448" s="118" t="s">
        <v>200</v>
      </c>
      <c r="BC448" s="546">
        <v>0.51270000000000004</v>
      </c>
      <c r="BD448" s="121">
        <v>5.8319500000000003E-5</v>
      </c>
    </row>
    <row r="449" spans="52:56">
      <c r="AZ449" s="118" t="s">
        <v>854</v>
      </c>
      <c r="BA449" s="118" t="s">
        <v>407</v>
      </c>
      <c r="BB449" s="118" t="s">
        <v>200</v>
      </c>
      <c r="BC449" s="546">
        <v>0.58499999999999996</v>
      </c>
      <c r="BD449" s="121">
        <v>1.22176E-5</v>
      </c>
    </row>
    <row r="450" spans="52:56">
      <c r="AZ450" s="118" t="s">
        <v>856</v>
      </c>
      <c r="BA450" s="118" t="s">
        <v>407</v>
      </c>
      <c r="BB450" s="118" t="s">
        <v>200</v>
      </c>
      <c r="BC450" s="546">
        <v>0.62280000000000002</v>
      </c>
      <c r="BD450" s="121">
        <v>1.14233E-5</v>
      </c>
    </row>
    <row r="451" spans="52:56">
      <c r="AZ451" s="118" t="s">
        <v>857</v>
      </c>
      <c r="BA451" s="118" t="s">
        <v>407</v>
      </c>
      <c r="BB451" s="118" t="s">
        <v>200</v>
      </c>
      <c r="BC451" s="546">
        <v>0.61580000000000001</v>
      </c>
      <c r="BD451" s="121">
        <v>6.8248999999999988E-6</v>
      </c>
    </row>
    <row r="452" spans="52:56">
      <c r="AZ452" s="118" t="s">
        <v>859</v>
      </c>
      <c r="BA452" s="118" t="s">
        <v>407</v>
      </c>
      <c r="BB452" s="118" t="s">
        <v>200</v>
      </c>
      <c r="BC452" s="546">
        <v>0.64680000000000004</v>
      </c>
      <c r="BD452" s="121">
        <v>5.5942000000000006E-6</v>
      </c>
    </row>
    <row r="453" spans="52:56">
      <c r="AZ453" s="118" t="s">
        <v>870</v>
      </c>
      <c r="BA453" s="118" t="s">
        <v>407</v>
      </c>
      <c r="BB453" s="118" t="s">
        <v>200</v>
      </c>
      <c r="BC453" s="546">
        <v>0.48139999999999994</v>
      </c>
      <c r="BD453" s="121">
        <v>1.9024900000000001E-5</v>
      </c>
    </row>
    <row r="454" spans="52:56">
      <c r="AZ454" s="118" t="s">
        <v>871</v>
      </c>
      <c r="BA454" s="118" t="s">
        <v>407</v>
      </c>
      <c r="BB454" s="118" t="s">
        <v>200</v>
      </c>
      <c r="BC454" s="546">
        <v>0.45940000000000003</v>
      </c>
      <c r="BD454" s="121">
        <v>6.8878099999999994E-5</v>
      </c>
    </row>
    <row r="455" spans="52:56">
      <c r="AZ455" s="118" t="s">
        <v>872</v>
      </c>
      <c r="BA455" s="118" t="s">
        <v>407</v>
      </c>
      <c r="BB455" s="118" t="s">
        <v>200</v>
      </c>
      <c r="BC455" s="546">
        <v>0.52910000000000001</v>
      </c>
      <c r="BD455" s="121">
        <v>1.1371529999999999E-4</v>
      </c>
    </row>
    <row r="456" spans="52:56">
      <c r="AZ456" s="118" t="s">
        <v>860</v>
      </c>
      <c r="BA456" s="118" t="s">
        <v>407</v>
      </c>
      <c r="BB456" s="118" t="s">
        <v>200</v>
      </c>
      <c r="BC456" s="546">
        <v>0.51739999999999997</v>
      </c>
      <c r="BD456" s="121">
        <v>1.9895099999999999E-5</v>
      </c>
    </row>
    <row r="457" spans="52:56">
      <c r="AZ457" s="118" t="s">
        <v>873</v>
      </c>
      <c r="BA457" s="118" t="s">
        <v>407</v>
      </c>
      <c r="BB457" s="118" t="s">
        <v>200</v>
      </c>
      <c r="BC457" s="546">
        <v>0.35150000000000003</v>
      </c>
      <c r="BD457" s="121">
        <v>4.95138E-5</v>
      </c>
    </row>
    <row r="458" spans="52:56">
      <c r="AZ458" s="118" t="s">
        <v>862</v>
      </c>
      <c r="BA458" s="118" t="s">
        <v>407</v>
      </c>
      <c r="BB458" s="118" t="s">
        <v>200</v>
      </c>
      <c r="BC458" s="546">
        <v>0.58760000000000001</v>
      </c>
      <c r="BD458" s="121">
        <v>9.276799999999999E-6</v>
      </c>
    </row>
    <row r="459" spans="52:56">
      <c r="AZ459" s="118" t="s">
        <v>863</v>
      </c>
      <c r="BA459" s="118" t="s">
        <v>407</v>
      </c>
      <c r="BB459" s="118" t="s">
        <v>200</v>
      </c>
      <c r="BC459" s="546">
        <v>0.71599999999999997</v>
      </c>
      <c r="BD459" s="121">
        <v>6.8837999999999992E-6</v>
      </c>
    </row>
    <row r="460" spans="52:56">
      <c r="AZ460" s="118" t="s">
        <v>865</v>
      </c>
      <c r="BA460" s="118" t="s">
        <v>407</v>
      </c>
      <c r="BB460" s="118" t="s">
        <v>200</v>
      </c>
      <c r="BC460" s="546">
        <v>0.35399999999999998</v>
      </c>
      <c r="BD460" s="121">
        <v>1.2067169999999999E-4</v>
      </c>
    </row>
    <row r="461" spans="52:56">
      <c r="AZ461" s="118" t="s">
        <v>717</v>
      </c>
      <c r="BA461" s="118" t="s">
        <v>409</v>
      </c>
      <c r="BB461" s="118" t="s">
        <v>200</v>
      </c>
      <c r="BC461" s="546">
        <v>0.68300000000000005</v>
      </c>
      <c r="BD461" s="121">
        <v>7.0974000000000002E-5</v>
      </c>
    </row>
    <row r="462" spans="52:56">
      <c r="AZ462" s="118" t="s">
        <v>169</v>
      </c>
      <c r="BA462" s="118" t="s">
        <v>409</v>
      </c>
      <c r="BB462" s="118" t="s">
        <v>200</v>
      </c>
      <c r="BC462" s="546">
        <v>0.54120000000000001</v>
      </c>
      <c r="BD462" s="121">
        <v>6.1919E-6</v>
      </c>
    </row>
    <row r="463" spans="52:56">
      <c r="AZ463" s="118" t="s">
        <v>719</v>
      </c>
      <c r="BA463" s="118" t="s">
        <v>409</v>
      </c>
      <c r="BB463" s="118" t="s">
        <v>200</v>
      </c>
      <c r="BC463" s="546">
        <v>0.60699999999999998</v>
      </c>
      <c r="BD463" s="121">
        <v>6.8196999999999993E-6</v>
      </c>
    </row>
    <row r="464" spans="52:56">
      <c r="AZ464" s="118" t="s">
        <v>739</v>
      </c>
      <c r="BA464" s="118" t="s">
        <v>409</v>
      </c>
      <c r="BB464" s="118" t="s">
        <v>200</v>
      </c>
      <c r="BC464" s="546">
        <v>0.61529999999999996</v>
      </c>
      <c r="BD464" s="121">
        <v>0</v>
      </c>
    </row>
    <row r="465" spans="52:56">
      <c r="AZ465" s="118" t="s">
        <v>744</v>
      </c>
      <c r="BA465" s="118" t="s">
        <v>409</v>
      </c>
      <c r="BB465" s="118" t="s">
        <v>200</v>
      </c>
      <c r="BC465" s="546">
        <v>0.62190000000000001</v>
      </c>
      <c r="BD465" s="121">
        <v>6.283149999999999E-5</v>
      </c>
    </row>
    <row r="466" spans="52:56">
      <c r="AZ466" s="118" t="s">
        <v>724</v>
      </c>
      <c r="BA466" s="118" t="s">
        <v>409</v>
      </c>
      <c r="BB466" s="118" t="s">
        <v>200</v>
      </c>
      <c r="BC466" s="546">
        <v>0.4577</v>
      </c>
      <c r="BD466" s="121">
        <v>5.1135999999999996E-6</v>
      </c>
    </row>
    <row r="467" spans="52:56">
      <c r="AZ467" s="118" t="s">
        <v>730</v>
      </c>
      <c r="BA467" s="118" t="s">
        <v>409</v>
      </c>
      <c r="BB467" s="118" t="s">
        <v>200</v>
      </c>
      <c r="BC467" s="546">
        <v>0.63319999999999999</v>
      </c>
      <c r="BD467" s="121">
        <v>7.9687399999999999E-5</v>
      </c>
    </row>
    <row r="468" spans="52:56">
      <c r="AZ468" s="118" t="s">
        <v>760</v>
      </c>
      <c r="BA468" s="118" t="s">
        <v>409</v>
      </c>
      <c r="BB468" s="118" t="s">
        <v>200</v>
      </c>
      <c r="BC468" s="546">
        <v>0.46989999999999998</v>
      </c>
      <c r="BD468" s="121">
        <v>2.4322299999999996E-5</v>
      </c>
    </row>
    <row r="469" spans="52:56">
      <c r="AZ469" s="118" t="s">
        <v>766</v>
      </c>
      <c r="BA469" s="118" t="s">
        <v>409</v>
      </c>
      <c r="BB469" s="118" t="s">
        <v>200</v>
      </c>
      <c r="BC469" s="546">
        <v>0.45450000000000002</v>
      </c>
      <c r="BD469" s="121">
        <v>2.5108099999999998E-5</v>
      </c>
    </row>
    <row r="470" spans="52:56">
      <c r="AZ470" s="118" t="s">
        <v>775</v>
      </c>
      <c r="BA470" s="118" t="s">
        <v>409</v>
      </c>
      <c r="BB470" s="118" t="s">
        <v>200</v>
      </c>
      <c r="BC470" s="546">
        <v>0.66559999999999997</v>
      </c>
      <c r="BD470" s="121">
        <v>2.3665159999999998E-4</v>
      </c>
    </row>
    <row r="471" spans="52:56">
      <c r="AZ471" s="118" t="s">
        <v>781</v>
      </c>
      <c r="BA471" s="118" t="s">
        <v>409</v>
      </c>
      <c r="BB471" s="118" t="s">
        <v>200</v>
      </c>
      <c r="BC471" s="546">
        <v>0.77300000000000002</v>
      </c>
      <c r="BD471" s="121">
        <v>0</v>
      </c>
    </row>
    <row r="472" spans="52:56">
      <c r="AZ472" s="118" t="s">
        <v>740</v>
      </c>
      <c r="BA472" s="118" t="s">
        <v>409</v>
      </c>
      <c r="BB472" s="118" t="s">
        <v>200</v>
      </c>
      <c r="BC472" s="546">
        <v>0.64659999999999995</v>
      </c>
      <c r="BD472" s="121">
        <v>7.2383000000000006E-6</v>
      </c>
    </row>
    <row r="473" spans="52:56">
      <c r="AZ473" s="118" t="s">
        <v>118</v>
      </c>
      <c r="BA473" s="118" t="s">
        <v>409</v>
      </c>
      <c r="BB473" s="118" t="s">
        <v>200</v>
      </c>
      <c r="BC473" s="546">
        <v>0.63239999999999996</v>
      </c>
      <c r="BD473" s="121">
        <v>2.7187099999999999E-5</v>
      </c>
    </row>
    <row r="474" spans="52:56">
      <c r="AZ474" s="118" t="s">
        <v>749</v>
      </c>
      <c r="BA474" s="118" t="s">
        <v>409</v>
      </c>
      <c r="BB474" s="118" t="s">
        <v>200</v>
      </c>
      <c r="BC474" s="546">
        <v>0.48450000000000004</v>
      </c>
      <c r="BD474" s="121">
        <v>2.8662199999999998E-5</v>
      </c>
    </row>
    <row r="475" spans="52:56">
      <c r="AZ475" s="118" t="s">
        <v>754</v>
      </c>
      <c r="BA475" s="118" t="s">
        <v>409</v>
      </c>
      <c r="BB475" s="118" t="s">
        <v>200</v>
      </c>
      <c r="BC475" s="546">
        <v>0.61129999999999995</v>
      </c>
      <c r="BD475" s="121">
        <v>5.3018700000000001E-5</v>
      </c>
    </row>
    <row r="476" spans="52:56">
      <c r="AZ476" s="118" t="s">
        <v>815</v>
      </c>
      <c r="BA476" s="118" t="s">
        <v>409</v>
      </c>
      <c r="BB476" s="118" t="s">
        <v>200</v>
      </c>
      <c r="BC476" s="546">
        <v>0.60899999999999999</v>
      </c>
      <c r="BD476" s="121">
        <v>2.6093699999999997E-5</v>
      </c>
    </row>
    <row r="477" spans="52:56">
      <c r="AZ477" s="118" t="s">
        <v>819</v>
      </c>
      <c r="BA477" s="118" t="s">
        <v>409</v>
      </c>
      <c r="BB477" s="118" t="s">
        <v>200</v>
      </c>
      <c r="BC477" s="546">
        <v>0.64270000000000005</v>
      </c>
      <c r="BD477" s="121">
        <v>6.5628299999999996E-5</v>
      </c>
    </row>
    <row r="478" spans="52:56">
      <c r="AZ478" s="118" t="s">
        <v>761</v>
      </c>
      <c r="BA478" s="118" t="s">
        <v>409</v>
      </c>
      <c r="BB478" s="118" t="s">
        <v>200</v>
      </c>
      <c r="BC478" s="546">
        <v>0.53390000000000004</v>
      </c>
      <c r="BD478" s="121">
        <v>2.3359399999999999E-5</v>
      </c>
    </row>
    <row r="479" spans="52:56">
      <c r="AZ479" s="118" t="s">
        <v>824</v>
      </c>
      <c r="BA479" s="118" t="s">
        <v>409</v>
      </c>
      <c r="BB479" s="118" t="s">
        <v>200</v>
      </c>
      <c r="BC479" s="546">
        <v>0.57679999999999998</v>
      </c>
      <c r="BD479" s="121">
        <v>1.51379E-5</v>
      </c>
    </row>
    <row r="480" spans="52:56">
      <c r="AZ480" s="118" t="s">
        <v>827</v>
      </c>
      <c r="BA480" s="118" t="s">
        <v>409</v>
      </c>
      <c r="BB480" s="118" t="s">
        <v>200</v>
      </c>
      <c r="BC480" s="546">
        <v>0.51140000000000008</v>
      </c>
      <c r="BD480" s="121">
        <v>1.5293699999999999E-5</v>
      </c>
    </row>
    <row r="481" spans="52:56">
      <c r="AZ481" s="118" t="s">
        <v>767</v>
      </c>
      <c r="BA481" s="118" t="s">
        <v>409</v>
      </c>
      <c r="BB481" s="118" t="s">
        <v>200</v>
      </c>
      <c r="BC481" s="546">
        <v>0.59820000000000007</v>
      </c>
      <c r="BD481" s="121">
        <v>5.9133999999999992E-6</v>
      </c>
    </row>
    <row r="482" spans="52:56">
      <c r="AZ482" s="118" t="s">
        <v>830</v>
      </c>
      <c r="BA482" s="118" t="s">
        <v>409</v>
      </c>
      <c r="BB482" s="118" t="s">
        <v>200</v>
      </c>
      <c r="BC482" s="546">
        <v>0.80940000000000001</v>
      </c>
      <c r="BD482" s="121">
        <v>1.1314329999999999E-4</v>
      </c>
    </row>
    <row r="483" spans="52:56">
      <c r="AZ483" s="118" t="s">
        <v>832</v>
      </c>
      <c r="BA483" s="118" t="s">
        <v>409</v>
      </c>
      <c r="BB483" s="118" t="s">
        <v>200</v>
      </c>
      <c r="BC483" s="546">
        <v>0.52229999999999999</v>
      </c>
      <c r="BD483" s="121">
        <v>1.3721599999999998E-5</v>
      </c>
    </row>
    <row r="484" spans="52:56">
      <c r="AZ484" s="118" t="s">
        <v>776</v>
      </c>
      <c r="BA484" s="118" t="s">
        <v>409</v>
      </c>
      <c r="BB484" s="118" t="s">
        <v>200</v>
      </c>
      <c r="BC484" s="546">
        <v>0.58589999999999998</v>
      </c>
      <c r="BD484" s="121">
        <v>6.9179999999999997E-6</v>
      </c>
    </row>
    <row r="485" spans="52:56">
      <c r="AZ485" s="118" t="s">
        <v>782</v>
      </c>
      <c r="BA485" s="118" t="s">
        <v>409</v>
      </c>
      <c r="BB485" s="118" t="s">
        <v>200</v>
      </c>
      <c r="BC485" s="546">
        <v>0.59440000000000004</v>
      </c>
      <c r="BD485" s="121">
        <v>8.533899999999998E-6</v>
      </c>
    </row>
    <row r="486" spans="52:56">
      <c r="AZ486" s="118" t="s">
        <v>789</v>
      </c>
      <c r="BA486" s="118" t="s">
        <v>409</v>
      </c>
      <c r="BB486" s="118" t="s">
        <v>200</v>
      </c>
      <c r="BC486" s="546">
        <v>0.65229999999999999</v>
      </c>
      <c r="BD486" s="121">
        <v>8.2870000000000004E-6</v>
      </c>
    </row>
    <row r="487" spans="52:56">
      <c r="AZ487" s="118" t="s">
        <v>797</v>
      </c>
      <c r="BA487" s="118" t="s">
        <v>409</v>
      </c>
      <c r="BB487" s="118" t="s">
        <v>200</v>
      </c>
      <c r="BC487" s="546">
        <v>0.57790000000000008</v>
      </c>
      <c r="BD487" s="121">
        <v>3.2657099999999996E-5</v>
      </c>
    </row>
    <row r="488" spans="52:56">
      <c r="AZ488" s="118" t="s">
        <v>839</v>
      </c>
      <c r="BA488" s="118" t="s">
        <v>409</v>
      </c>
      <c r="BB488" s="118" t="s">
        <v>200</v>
      </c>
      <c r="BC488" s="546">
        <v>0.72109999999999996</v>
      </c>
      <c r="BD488" s="121">
        <v>1.7343399999999997E-5</v>
      </c>
    </row>
    <row r="489" spans="52:56">
      <c r="AZ489" s="118" t="s">
        <v>803</v>
      </c>
      <c r="BA489" s="118" t="s">
        <v>409</v>
      </c>
      <c r="BB489" s="118" t="s">
        <v>200</v>
      </c>
      <c r="BC489" s="546">
        <v>0.53749999999999998</v>
      </c>
      <c r="BD489" s="121">
        <v>2.3621499999999997E-5</v>
      </c>
    </row>
    <row r="490" spans="52:56">
      <c r="AZ490" s="118" t="s">
        <v>809</v>
      </c>
      <c r="BA490" s="118" t="s">
        <v>409</v>
      </c>
      <c r="BB490" s="118" t="s">
        <v>200</v>
      </c>
      <c r="BC490" s="546">
        <v>0.59550000000000003</v>
      </c>
      <c r="BD490" s="121">
        <v>5.4895999999999991E-6</v>
      </c>
    </row>
    <row r="491" spans="52:56">
      <c r="AZ491" s="118" t="s">
        <v>816</v>
      </c>
      <c r="BA491" s="118" t="s">
        <v>409</v>
      </c>
      <c r="BB491" s="118" t="s">
        <v>200</v>
      </c>
      <c r="BC491" s="546">
        <v>0.59109999999999996</v>
      </c>
      <c r="BD491" s="121">
        <v>1.3276910000000001E-4</v>
      </c>
    </row>
    <row r="492" spans="52:56">
      <c r="AZ492" s="118" t="s">
        <v>820</v>
      </c>
      <c r="BA492" s="118" t="s">
        <v>409</v>
      </c>
      <c r="BB492" s="118" t="s">
        <v>200</v>
      </c>
      <c r="BC492" s="546">
        <v>0.69869999999999999</v>
      </c>
      <c r="BD492" s="121">
        <v>5.8106099999999996E-5</v>
      </c>
    </row>
    <row r="493" spans="52:56">
      <c r="AZ493" s="118" t="s">
        <v>823</v>
      </c>
      <c r="BA493" s="118" t="s">
        <v>409</v>
      </c>
      <c r="BB493" s="118" t="s">
        <v>200</v>
      </c>
      <c r="BC493" s="546">
        <v>0.46349999999999997</v>
      </c>
      <c r="BD493" s="121">
        <v>5.8885999999999998E-6</v>
      </c>
    </row>
    <row r="494" spans="52:56">
      <c r="AZ494" s="118" t="s">
        <v>825</v>
      </c>
      <c r="BA494" s="118" t="s">
        <v>409</v>
      </c>
      <c r="BB494" s="118" t="s">
        <v>200</v>
      </c>
      <c r="BC494" s="546">
        <v>0.69159999999999999</v>
      </c>
      <c r="BD494" s="121">
        <v>8.7441999999999984E-6</v>
      </c>
    </row>
    <row r="495" spans="52:56">
      <c r="AZ495" s="118" t="s">
        <v>828</v>
      </c>
      <c r="BA495" s="118" t="s">
        <v>409</v>
      </c>
      <c r="BB495" s="118" t="s">
        <v>200</v>
      </c>
      <c r="BC495" s="546">
        <v>0.60309999999999997</v>
      </c>
      <c r="BD495" s="121">
        <v>1.1555199999999999E-5</v>
      </c>
    </row>
    <row r="496" spans="52:56">
      <c r="AZ496" s="118" t="s">
        <v>829</v>
      </c>
      <c r="BA496" s="118" t="s">
        <v>409</v>
      </c>
      <c r="BB496" s="118" t="s">
        <v>200</v>
      </c>
      <c r="BC496" s="546">
        <v>0.69330000000000003</v>
      </c>
      <c r="BD496" s="121">
        <v>1.15417E-5</v>
      </c>
    </row>
    <row r="497" spans="52:56">
      <c r="AZ497" s="118" t="s">
        <v>849</v>
      </c>
      <c r="BA497" s="118" t="s">
        <v>409</v>
      </c>
      <c r="BB497" s="118" t="s">
        <v>200</v>
      </c>
      <c r="BC497" s="546">
        <v>0.42120000000000002</v>
      </c>
      <c r="BD497" s="121">
        <v>4.1170299999999994E-5</v>
      </c>
    </row>
    <row r="498" spans="52:56">
      <c r="AZ498" s="118" t="s">
        <v>851</v>
      </c>
      <c r="BA498" s="118" t="s">
        <v>409</v>
      </c>
      <c r="BB498" s="118" t="s">
        <v>200</v>
      </c>
      <c r="BC498" s="546">
        <v>0.38019999999999998</v>
      </c>
      <c r="BD498" s="121">
        <v>1.9649000000000001E-5</v>
      </c>
    </row>
    <row r="499" spans="52:56">
      <c r="AZ499" s="118" t="s">
        <v>853</v>
      </c>
      <c r="BA499" s="118" t="s">
        <v>409</v>
      </c>
      <c r="BB499" s="118" t="s">
        <v>200</v>
      </c>
      <c r="BC499" s="546">
        <v>0.50860000000000005</v>
      </c>
      <c r="BD499" s="121">
        <v>4.0599000000000002E-5</v>
      </c>
    </row>
    <row r="500" spans="52:56">
      <c r="AZ500" s="118" t="s">
        <v>855</v>
      </c>
      <c r="BA500" s="118" t="s">
        <v>409</v>
      </c>
      <c r="BB500" s="118" t="s">
        <v>200</v>
      </c>
      <c r="BC500" s="546">
        <v>0.5131</v>
      </c>
      <c r="BD500" s="121">
        <v>1.7161799999999999E-5</v>
      </c>
    </row>
    <row r="501" spans="52:56">
      <c r="AZ501" s="118" t="s">
        <v>831</v>
      </c>
      <c r="BA501" s="118" t="s">
        <v>409</v>
      </c>
      <c r="BB501" s="118" t="s">
        <v>200</v>
      </c>
      <c r="BC501" s="546">
        <v>0.66679999999999995</v>
      </c>
      <c r="BD501" s="121">
        <v>1.8417300000000001E-5</v>
      </c>
    </row>
    <row r="502" spans="52:56">
      <c r="AZ502" s="118" t="s">
        <v>858</v>
      </c>
      <c r="BA502" s="118" t="s">
        <v>409</v>
      </c>
      <c r="BB502" s="118" t="s">
        <v>200</v>
      </c>
      <c r="BC502" s="546">
        <v>0.51770000000000005</v>
      </c>
      <c r="BD502" s="121">
        <v>6.4274999999999999E-6</v>
      </c>
    </row>
    <row r="503" spans="52:56">
      <c r="AZ503" s="118" t="s">
        <v>833</v>
      </c>
      <c r="BA503" s="118" t="s">
        <v>409</v>
      </c>
      <c r="BB503" s="118" t="s">
        <v>200</v>
      </c>
      <c r="BC503" s="546">
        <v>0.47019999999999995</v>
      </c>
      <c r="BD503" s="121">
        <v>3.6003599999999995E-5</v>
      </c>
    </row>
    <row r="504" spans="52:56">
      <c r="AZ504" s="118" t="s">
        <v>861</v>
      </c>
      <c r="BA504" s="118" t="s">
        <v>409</v>
      </c>
      <c r="BB504" s="118" t="s">
        <v>200</v>
      </c>
      <c r="BC504" s="546">
        <v>0.42059999999999997</v>
      </c>
      <c r="BD504" s="121">
        <v>1.1150400000000001E-5</v>
      </c>
    </row>
    <row r="505" spans="52:56">
      <c r="AZ505" s="118" t="s">
        <v>834</v>
      </c>
      <c r="BA505" s="118" t="s">
        <v>409</v>
      </c>
      <c r="BB505" s="118" t="s">
        <v>200</v>
      </c>
      <c r="BC505" s="546">
        <v>0.75839999999999996</v>
      </c>
      <c r="BD505" s="121">
        <v>3.8475200000000001E-5</v>
      </c>
    </row>
    <row r="506" spans="52:56">
      <c r="AZ506" s="118" t="s">
        <v>864</v>
      </c>
      <c r="BA506" s="118" t="s">
        <v>409</v>
      </c>
      <c r="BB506" s="118" t="s">
        <v>200</v>
      </c>
      <c r="BC506" s="546">
        <v>0.58089999999999997</v>
      </c>
      <c r="BD506" s="121">
        <v>7.9876799999999994E-5</v>
      </c>
    </row>
    <row r="507" spans="52:56">
      <c r="AZ507" s="118" t="s">
        <v>866</v>
      </c>
      <c r="BA507" s="118" t="s">
        <v>409</v>
      </c>
      <c r="BB507" s="118" t="s">
        <v>200</v>
      </c>
      <c r="BC507" s="546">
        <v>0.53320000000000001</v>
      </c>
      <c r="BD507" s="121">
        <v>2.1788389999999997E-4</v>
      </c>
    </row>
    <row r="508" spans="52:56">
      <c r="AZ508" s="118" t="s">
        <v>835</v>
      </c>
      <c r="BA508" s="118" t="s">
        <v>409</v>
      </c>
      <c r="BB508" s="118" t="s">
        <v>200</v>
      </c>
      <c r="BC508" s="546">
        <v>0.52200000000000002</v>
      </c>
      <c r="BD508" s="121">
        <v>6.2511999999999995E-6</v>
      </c>
    </row>
    <row r="509" spans="52:56">
      <c r="AZ509" s="118" t="s">
        <v>836</v>
      </c>
      <c r="BA509" s="118" t="s">
        <v>409</v>
      </c>
      <c r="BB509" s="118" t="s">
        <v>200</v>
      </c>
      <c r="BC509" s="546">
        <v>0.53249999999999997</v>
      </c>
      <c r="BD509" s="121">
        <v>9.6659000000000001E-6</v>
      </c>
    </row>
    <row r="510" spans="52:56">
      <c r="AZ510" s="118" t="s">
        <v>837</v>
      </c>
      <c r="BA510" s="118" t="s">
        <v>409</v>
      </c>
      <c r="BB510" s="118" t="s">
        <v>200</v>
      </c>
      <c r="BC510" s="546">
        <v>0.82220000000000004</v>
      </c>
      <c r="BD510" s="121">
        <v>8.9439799999999983E-5</v>
      </c>
    </row>
    <row r="511" spans="52:56">
      <c r="AZ511" s="118" t="s">
        <v>840</v>
      </c>
      <c r="BA511" s="118" t="s">
        <v>409</v>
      </c>
      <c r="BB511" s="118" t="s">
        <v>200</v>
      </c>
      <c r="BC511" s="546">
        <v>0.54579999999999995</v>
      </c>
      <c r="BD511" s="121">
        <v>6.1230999999999999E-6</v>
      </c>
    </row>
    <row r="512" spans="52:56">
      <c r="AZ512" s="118" t="s">
        <v>841</v>
      </c>
      <c r="BA512" s="118" t="s">
        <v>409</v>
      </c>
      <c r="BB512" s="118" t="s">
        <v>200</v>
      </c>
      <c r="BC512" s="546">
        <v>0.67720000000000002</v>
      </c>
      <c r="BD512" s="121">
        <v>4.1626439999999998E-4</v>
      </c>
    </row>
    <row r="513" spans="52:56">
      <c r="AZ513" s="118" t="s">
        <v>867</v>
      </c>
      <c r="BA513" s="118" t="s">
        <v>409</v>
      </c>
      <c r="BB513" s="118" t="s">
        <v>200</v>
      </c>
      <c r="BC513" s="546">
        <v>0.70399999999999996</v>
      </c>
      <c r="BD513" s="121">
        <v>5.0021300000000002E-5</v>
      </c>
    </row>
    <row r="514" spans="52:56">
      <c r="AZ514" s="118" t="s">
        <v>842</v>
      </c>
      <c r="BA514" s="118" t="s">
        <v>409</v>
      </c>
      <c r="BB514" s="118" t="s">
        <v>200</v>
      </c>
      <c r="BC514" s="546">
        <v>0.62680000000000002</v>
      </c>
      <c r="BD514" s="121">
        <v>9.894549999999999E-5</v>
      </c>
    </row>
    <row r="515" spans="52:56">
      <c r="AZ515" s="118" t="s">
        <v>843</v>
      </c>
      <c r="BA515" s="118" t="s">
        <v>409</v>
      </c>
      <c r="BB515" s="118" t="s">
        <v>200</v>
      </c>
      <c r="BC515" s="546">
        <v>0.54390000000000005</v>
      </c>
      <c r="BD515" s="121">
        <v>1.7047800000000003E-5</v>
      </c>
    </row>
    <row r="516" spans="52:56">
      <c r="AZ516" s="118" t="s">
        <v>844</v>
      </c>
      <c r="BA516" s="118" t="s">
        <v>409</v>
      </c>
      <c r="BB516" s="118" t="s">
        <v>200</v>
      </c>
      <c r="BC516" s="546">
        <v>0.55580000000000007</v>
      </c>
      <c r="BD516" s="121">
        <v>1.7817900000000001E-5</v>
      </c>
    </row>
    <row r="517" spans="52:56">
      <c r="AZ517" s="118" t="s">
        <v>845</v>
      </c>
      <c r="BA517" s="118" t="s">
        <v>409</v>
      </c>
      <c r="BB517" s="118" t="s">
        <v>200</v>
      </c>
      <c r="BC517" s="546">
        <v>0.55959999999999999</v>
      </c>
      <c r="BD517" s="121">
        <v>2.3329399999999997E-5</v>
      </c>
    </row>
    <row r="518" spans="52:56">
      <c r="AZ518" s="118" t="s">
        <v>846</v>
      </c>
      <c r="BA518" s="118" t="s">
        <v>409</v>
      </c>
      <c r="BB518" s="118" t="s">
        <v>200</v>
      </c>
      <c r="BC518" s="546">
        <v>0.61880000000000002</v>
      </c>
      <c r="BD518" s="121">
        <v>3.6881999999999997E-5</v>
      </c>
    </row>
    <row r="519" spans="52:56">
      <c r="AZ519" s="118" t="s">
        <v>868</v>
      </c>
      <c r="BA519" s="118" t="s">
        <v>409</v>
      </c>
      <c r="BB519" s="118" t="s">
        <v>200</v>
      </c>
      <c r="BC519" s="546">
        <v>0.68969999999999998</v>
      </c>
      <c r="BD519" s="121">
        <v>2.00041E-5</v>
      </c>
    </row>
    <row r="520" spans="52:56">
      <c r="AZ520" s="118" t="s">
        <v>869</v>
      </c>
      <c r="BA520" s="118" t="s">
        <v>409</v>
      </c>
      <c r="BB520" s="118" t="s">
        <v>200</v>
      </c>
      <c r="BC520" s="546">
        <v>0.4098</v>
      </c>
      <c r="BD520" s="121">
        <v>1.5091910000000002E-4</v>
      </c>
    </row>
    <row r="521" spans="52:56">
      <c r="AZ521" s="118" t="s">
        <v>847</v>
      </c>
      <c r="BA521" s="118" t="s">
        <v>409</v>
      </c>
      <c r="BB521" s="118" t="s">
        <v>200</v>
      </c>
      <c r="BC521" s="546">
        <v>0.49170000000000003</v>
      </c>
      <c r="BD521" s="121">
        <v>1.4949999999999999E-5</v>
      </c>
    </row>
    <row r="522" spans="52:56">
      <c r="AZ522" s="118" t="s">
        <v>848</v>
      </c>
      <c r="BA522" s="118" t="s">
        <v>409</v>
      </c>
      <c r="BB522" s="118" t="s">
        <v>200</v>
      </c>
      <c r="BC522" s="546">
        <v>0.58950000000000002</v>
      </c>
      <c r="BD522" s="121">
        <v>1.7252099999999997E-5</v>
      </c>
    </row>
    <row r="523" spans="52:56">
      <c r="AZ523" s="118" t="s">
        <v>850</v>
      </c>
      <c r="BA523" s="118" t="s">
        <v>409</v>
      </c>
      <c r="BB523" s="118" t="s">
        <v>200</v>
      </c>
      <c r="BC523" s="546">
        <v>0.54730000000000001</v>
      </c>
      <c r="BD523" s="121">
        <v>1.3920799999999999E-5</v>
      </c>
    </row>
    <row r="524" spans="52:56">
      <c r="AZ524" s="118" t="s">
        <v>852</v>
      </c>
      <c r="BA524" s="118" t="s">
        <v>409</v>
      </c>
      <c r="BB524" s="118" t="s">
        <v>200</v>
      </c>
      <c r="BC524" s="546">
        <v>0.51270000000000004</v>
      </c>
      <c r="BD524" s="121">
        <v>5.8319500000000003E-5</v>
      </c>
    </row>
    <row r="525" spans="52:56">
      <c r="AZ525" s="118" t="s">
        <v>854</v>
      </c>
      <c r="BA525" s="118" t="s">
        <v>409</v>
      </c>
      <c r="BB525" s="118" t="s">
        <v>200</v>
      </c>
      <c r="BC525" s="546">
        <v>0.58499999999999996</v>
      </c>
      <c r="BD525" s="121">
        <v>1.22176E-5</v>
      </c>
    </row>
    <row r="526" spans="52:56">
      <c r="AZ526" s="118" t="s">
        <v>856</v>
      </c>
      <c r="BA526" s="118" t="s">
        <v>409</v>
      </c>
      <c r="BB526" s="118" t="s">
        <v>200</v>
      </c>
      <c r="BC526" s="546">
        <v>0.62280000000000002</v>
      </c>
      <c r="BD526" s="121">
        <v>1.14233E-5</v>
      </c>
    </row>
    <row r="527" spans="52:56">
      <c r="AZ527" s="118" t="s">
        <v>857</v>
      </c>
      <c r="BA527" s="118" t="s">
        <v>409</v>
      </c>
      <c r="BB527" s="118" t="s">
        <v>200</v>
      </c>
      <c r="BC527" s="546">
        <v>0.61580000000000001</v>
      </c>
      <c r="BD527" s="121">
        <v>6.8248999999999988E-6</v>
      </c>
    </row>
    <row r="528" spans="52:56">
      <c r="AZ528" s="118" t="s">
        <v>859</v>
      </c>
      <c r="BA528" s="118" t="s">
        <v>409</v>
      </c>
      <c r="BB528" s="118" t="s">
        <v>200</v>
      </c>
      <c r="BC528" s="546">
        <v>0.64680000000000004</v>
      </c>
      <c r="BD528" s="121">
        <v>5.5942000000000006E-6</v>
      </c>
    </row>
    <row r="529" spans="52:56">
      <c r="AZ529" s="118" t="s">
        <v>870</v>
      </c>
      <c r="BA529" s="118" t="s">
        <v>409</v>
      </c>
      <c r="BB529" s="118" t="s">
        <v>200</v>
      </c>
      <c r="BC529" s="546">
        <v>0.48139999999999994</v>
      </c>
      <c r="BD529" s="121">
        <v>1.9024900000000001E-5</v>
      </c>
    </row>
    <row r="530" spans="52:56">
      <c r="AZ530" s="118" t="s">
        <v>871</v>
      </c>
      <c r="BA530" s="118" t="s">
        <v>409</v>
      </c>
      <c r="BB530" s="118" t="s">
        <v>200</v>
      </c>
      <c r="BC530" s="546">
        <v>0.45940000000000003</v>
      </c>
      <c r="BD530" s="121">
        <v>6.8878099999999994E-5</v>
      </c>
    </row>
    <row r="531" spans="52:56">
      <c r="AZ531" s="118" t="s">
        <v>872</v>
      </c>
      <c r="BA531" s="118" t="s">
        <v>409</v>
      </c>
      <c r="BB531" s="118" t="s">
        <v>200</v>
      </c>
      <c r="BC531" s="546">
        <v>0.52910000000000001</v>
      </c>
      <c r="BD531" s="121">
        <v>1.1371529999999999E-4</v>
      </c>
    </row>
    <row r="532" spans="52:56">
      <c r="AZ532" s="118" t="s">
        <v>860</v>
      </c>
      <c r="BA532" s="118" t="s">
        <v>409</v>
      </c>
      <c r="BB532" s="118" t="s">
        <v>200</v>
      </c>
      <c r="BC532" s="546">
        <v>0.51739999999999997</v>
      </c>
      <c r="BD532" s="121">
        <v>1.9895099999999999E-5</v>
      </c>
    </row>
    <row r="533" spans="52:56">
      <c r="AZ533" s="118" t="s">
        <v>873</v>
      </c>
      <c r="BA533" s="118" t="s">
        <v>409</v>
      </c>
      <c r="BB533" s="118" t="s">
        <v>200</v>
      </c>
      <c r="BC533" s="546">
        <v>0.35150000000000003</v>
      </c>
      <c r="BD533" s="121">
        <v>4.95138E-5</v>
      </c>
    </row>
    <row r="534" spans="52:56">
      <c r="AZ534" s="118" t="s">
        <v>862</v>
      </c>
      <c r="BA534" s="118" t="s">
        <v>409</v>
      </c>
      <c r="BB534" s="118" t="s">
        <v>200</v>
      </c>
      <c r="BC534" s="546">
        <v>0.58760000000000001</v>
      </c>
      <c r="BD534" s="121">
        <v>9.276799999999999E-6</v>
      </c>
    </row>
    <row r="535" spans="52:56">
      <c r="AZ535" s="118" t="s">
        <v>863</v>
      </c>
      <c r="BA535" s="118" t="s">
        <v>409</v>
      </c>
      <c r="BB535" s="118" t="s">
        <v>200</v>
      </c>
      <c r="BC535" s="546">
        <v>0.71599999999999997</v>
      </c>
      <c r="BD535" s="121">
        <v>6.8837999999999992E-6</v>
      </c>
    </row>
    <row r="536" spans="52:56">
      <c r="AZ536" s="118" t="s">
        <v>865</v>
      </c>
      <c r="BA536" s="118" t="s">
        <v>409</v>
      </c>
      <c r="BB536" s="118" t="s">
        <v>200</v>
      </c>
      <c r="BC536" s="546">
        <v>0.35399999999999998</v>
      </c>
      <c r="BD536" s="121">
        <v>1.2067169999999999E-4</v>
      </c>
    </row>
    <row r="537" spans="52:56">
      <c r="AZ537" s="118" t="s">
        <v>717</v>
      </c>
      <c r="BA537" s="118" t="s">
        <v>411</v>
      </c>
      <c r="BB537" s="118" t="s">
        <v>200</v>
      </c>
      <c r="BC537" s="546">
        <v>0.68300000000000005</v>
      </c>
      <c r="BD537" s="121">
        <v>7.0974000000000002E-5</v>
      </c>
    </row>
    <row r="538" spans="52:56">
      <c r="AZ538" s="118" t="s">
        <v>169</v>
      </c>
      <c r="BA538" s="118" t="s">
        <v>411</v>
      </c>
      <c r="BB538" s="118" t="s">
        <v>200</v>
      </c>
      <c r="BC538" s="546">
        <v>0.54120000000000001</v>
      </c>
      <c r="BD538" s="121">
        <v>6.1919E-6</v>
      </c>
    </row>
    <row r="539" spans="52:56">
      <c r="AZ539" s="118" t="s">
        <v>719</v>
      </c>
      <c r="BA539" s="118" t="s">
        <v>411</v>
      </c>
      <c r="BB539" s="118" t="s">
        <v>200</v>
      </c>
      <c r="BC539" s="546">
        <v>0.60699999999999998</v>
      </c>
      <c r="BD539" s="121">
        <v>6.8196999999999993E-6</v>
      </c>
    </row>
    <row r="540" spans="52:56">
      <c r="AZ540" s="118" t="s">
        <v>739</v>
      </c>
      <c r="BA540" s="118" t="s">
        <v>411</v>
      </c>
      <c r="BB540" s="118" t="s">
        <v>200</v>
      </c>
      <c r="BC540" s="546">
        <v>0.61529999999999996</v>
      </c>
      <c r="BD540" s="121">
        <v>0</v>
      </c>
    </row>
    <row r="541" spans="52:56">
      <c r="AZ541" s="118" t="s">
        <v>744</v>
      </c>
      <c r="BA541" s="118" t="s">
        <v>411</v>
      </c>
      <c r="BB541" s="118" t="s">
        <v>200</v>
      </c>
      <c r="BC541" s="546">
        <v>0.62190000000000001</v>
      </c>
      <c r="BD541" s="121">
        <v>6.283149999999999E-5</v>
      </c>
    </row>
    <row r="542" spans="52:56">
      <c r="AZ542" s="118" t="s">
        <v>724</v>
      </c>
      <c r="BA542" s="118" t="s">
        <v>411</v>
      </c>
      <c r="BB542" s="118" t="s">
        <v>200</v>
      </c>
      <c r="BC542" s="546">
        <v>0.4577</v>
      </c>
      <c r="BD542" s="121">
        <v>5.1135999999999996E-6</v>
      </c>
    </row>
    <row r="543" spans="52:56">
      <c r="AZ543" s="118" t="s">
        <v>730</v>
      </c>
      <c r="BA543" s="118" t="s">
        <v>411</v>
      </c>
      <c r="BB543" s="118" t="s">
        <v>200</v>
      </c>
      <c r="BC543" s="546">
        <v>0.63319999999999999</v>
      </c>
      <c r="BD543" s="121">
        <v>7.9687399999999999E-5</v>
      </c>
    </row>
    <row r="544" spans="52:56">
      <c r="AZ544" s="118" t="s">
        <v>760</v>
      </c>
      <c r="BA544" s="118" t="s">
        <v>411</v>
      </c>
      <c r="BB544" s="118" t="s">
        <v>200</v>
      </c>
      <c r="BC544" s="546">
        <v>0.46989999999999998</v>
      </c>
      <c r="BD544" s="121">
        <v>2.4322299999999996E-5</v>
      </c>
    </row>
    <row r="545" spans="52:56">
      <c r="AZ545" s="118" t="s">
        <v>766</v>
      </c>
      <c r="BA545" s="118" t="s">
        <v>411</v>
      </c>
      <c r="BB545" s="118" t="s">
        <v>200</v>
      </c>
      <c r="BC545" s="546">
        <v>0.45450000000000002</v>
      </c>
      <c r="BD545" s="121">
        <v>2.5108099999999998E-5</v>
      </c>
    </row>
    <row r="546" spans="52:56">
      <c r="AZ546" s="118" t="s">
        <v>775</v>
      </c>
      <c r="BA546" s="118" t="s">
        <v>411</v>
      </c>
      <c r="BB546" s="118" t="s">
        <v>200</v>
      </c>
      <c r="BC546" s="546">
        <v>0.66559999999999997</v>
      </c>
      <c r="BD546" s="121">
        <v>2.3665159999999998E-4</v>
      </c>
    </row>
    <row r="547" spans="52:56">
      <c r="AZ547" s="118" t="s">
        <v>781</v>
      </c>
      <c r="BA547" s="118" t="s">
        <v>411</v>
      </c>
      <c r="BB547" s="118" t="s">
        <v>200</v>
      </c>
      <c r="BC547" s="546">
        <v>0.77300000000000002</v>
      </c>
      <c r="BD547" s="121">
        <v>0</v>
      </c>
    </row>
    <row r="548" spans="52:56">
      <c r="AZ548" s="118" t="s">
        <v>740</v>
      </c>
      <c r="BA548" s="118" t="s">
        <v>411</v>
      </c>
      <c r="BB548" s="118" t="s">
        <v>200</v>
      </c>
      <c r="BC548" s="546">
        <v>0.64659999999999995</v>
      </c>
      <c r="BD548" s="121">
        <v>7.2383000000000006E-6</v>
      </c>
    </row>
    <row r="549" spans="52:56">
      <c r="AZ549" s="118" t="s">
        <v>118</v>
      </c>
      <c r="BA549" s="118" t="s">
        <v>411</v>
      </c>
      <c r="BB549" s="118" t="s">
        <v>200</v>
      </c>
      <c r="BC549" s="546">
        <v>0.63239999999999996</v>
      </c>
      <c r="BD549" s="121">
        <v>2.7187099999999999E-5</v>
      </c>
    </row>
    <row r="550" spans="52:56">
      <c r="AZ550" s="118" t="s">
        <v>749</v>
      </c>
      <c r="BA550" s="118" t="s">
        <v>411</v>
      </c>
      <c r="BB550" s="118" t="s">
        <v>200</v>
      </c>
      <c r="BC550" s="546">
        <v>0.48450000000000004</v>
      </c>
      <c r="BD550" s="121">
        <v>2.8662199999999998E-5</v>
      </c>
    </row>
    <row r="551" spans="52:56">
      <c r="AZ551" s="118" t="s">
        <v>754</v>
      </c>
      <c r="BA551" s="118" t="s">
        <v>411</v>
      </c>
      <c r="BB551" s="118" t="s">
        <v>200</v>
      </c>
      <c r="BC551" s="546">
        <v>0.61129999999999995</v>
      </c>
      <c r="BD551" s="121">
        <v>5.3018700000000001E-5</v>
      </c>
    </row>
    <row r="552" spans="52:56">
      <c r="AZ552" s="118" t="s">
        <v>815</v>
      </c>
      <c r="BA552" s="118" t="s">
        <v>411</v>
      </c>
      <c r="BB552" s="118" t="s">
        <v>200</v>
      </c>
      <c r="BC552" s="546">
        <v>0.60899999999999999</v>
      </c>
      <c r="BD552" s="121">
        <v>2.6093699999999997E-5</v>
      </c>
    </row>
    <row r="553" spans="52:56">
      <c r="AZ553" s="118" t="s">
        <v>819</v>
      </c>
      <c r="BA553" s="118" t="s">
        <v>411</v>
      </c>
      <c r="BB553" s="118" t="s">
        <v>200</v>
      </c>
      <c r="BC553" s="546">
        <v>0.64270000000000005</v>
      </c>
      <c r="BD553" s="121">
        <v>6.5628299999999996E-5</v>
      </c>
    </row>
    <row r="554" spans="52:56">
      <c r="AZ554" s="118" t="s">
        <v>761</v>
      </c>
      <c r="BA554" s="118" t="s">
        <v>411</v>
      </c>
      <c r="BB554" s="118" t="s">
        <v>200</v>
      </c>
      <c r="BC554" s="546">
        <v>0.53390000000000004</v>
      </c>
      <c r="BD554" s="121">
        <v>2.3359399999999999E-5</v>
      </c>
    </row>
    <row r="555" spans="52:56">
      <c r="AZ555" s="118" t="s">
        <v>824</v>
      </c>
      <c r="BA555" s="118" t="s">
        <v>411</v>
      </c>
      <c r="BB555" s="118" t="s">
        <v>200</v>
      </c>
      <c r="BC555" s="546">
        <v>0.57679999999999998</v>
      </c>
      <c r="BD555" s="121">
        <v>1.51379E-5</v>
      </c>
    </row>
    <row r="556" spans="52:56">
      <c r="AZ556" s="118" t="s">
        <v>827</v>
      </c>
      <c r="BA556" s="118" t="s">
        <v>411</v>
      </c>
      <c r="BB556" s="118" t="s">
        <v>200</v>
      </c>
      <c r="BC556" s="546">
        <v>0.51140000000000008</v>
      </c>
      <c r="BD556" s="121">
        <v>1.5293699999999999E-5</v>
      </c>
    </row>
    <row r="557" spans="52:56">
      <c r="AZ557" s="118" t="s">
        <v>767</v>
      </c>
      <c r="BA557" s="118" t="s">
        <v>411</v>
      </c>
      <c r="BB557" s="118" t="s">
        <v>200</v>
      </c>
      <c r="BC557" s="546">
        <v>0.59820000000000007</v>
      </c>
      <c r="BD557" s="121">
        <v>5.9133999999999992E-6</v>
      </c>
    </row>
    <row r="558" spans="52:56">
      <c r="AZ558" s="118" t="s">
        <v>830</v>
      </c>
      <c r="BA558" s="118" t="s">
        <v>411</v>
      </c>
      <c r="BB558" s="118" t="s">
        <v>200</v>
      </c>
      <c r="BC558" s="546">
        <v>0.80940000000000001</v>
      </c>
      <c r="BD558" s="121">
        <v>1.1314329999999999E-4</v>
      </c>
    </row>
    <row r="559" spans="52:56">
      <c r="AZ559" s="118" t="s">
        <v>832</v>
      </c>
      <c r="BA559" s="118" t="s">
        <v>411</v>
      </c>
      <c r="BB559" s="118" t="s">
        <v>200</v>
      </c>
      <c r="BC559" s="546">
        <v>0.52229999999999999</v>
      </c>
      <c r="BD559" s="121">
        <v>1.3721599999999998E-5</v>
      </c>
    </row>
    <row r="560" spans="52:56">
      <c r="AZ560" s="118" t="s">
        <v>776</v>
      </c>
      <c r="BA560" s="118" t="s">
        <v>411</v>
      </c>
      <c r="BB560" s="118" t="s">
        <v>200</v>
      </c>
      <c r="BC560" s="546">
        <v>0.58589999999999998</v>
      </c>
      <c r="BD560" s="121">
        <v>6.9179999999999997E-6</v>
      </c>
    </row>
    <row r="561" spans="52:56">
      <c r="AZ561" s="118" t="s">
        <v>782</v>
      </c>
      <c r="BA561" s="118" t="s">
        <v>411</v>
      </c>
      <c r="BB561" s="118" t="s">
        <v>200</v>
      </c>
      <c r="BC561" s="546">
        <v>0.59440000000000004</v>
      </c>
      <c r="BD561" s="121">
        <v>8.533899999999998E-6</v>
      </c>
    </row>
    <row r="562" spans="52:56">
      <c r="AZ562" s="118" t="s">
        <v>789</v>
      </c>
      <c r="BA562" s="118" t="s">
        <v>411</v>
      </c>
      <c r="BB562" s="118" t="s">
        <v>200</v>
      </c>
      <c r="BC562" s="546">
        <v>0.65229999999999999</v>
      </c>
      <c r="BD562" s="121">
        <v>8.2870000000000004E-6</v>
      </c>
    </row>
    <row r="563" spans="52:56">
      <c r="AZ563" s="118" t="s">
        <v>797</v>
      </c>
      <c r="BA563" s="118" t="s">
        <v>411</v>
      </c>
      <c r="BB563" s="118" t="s">
        <v>200</v>
      </c>
      <c r="BC563" s="546">
        <v>0.57790000000000008</v>
      </c>
      <c r="BD563" s="121">
        <v>3.2657099999999996E-5</v>
      </c>
    </row>
    <row r="564" spans="52:56">
      <c r="AZ564" s="118" t="s">
        <v>839</v>
      </c>
      <c r="BA564" s="118" t="s">
        <v>411</v>
      </c>
      <c r="BB564" s="118" t="s">
        <v>200</v>
      </c>
      <c r="BC564" s="546">
        <v>0.72109999999999996</v>
      </c>
      <c r="BD564" s="121">
        <v>1.7343399999999997E-5</v>
      </c>
    </row>
    <row r="565" spans="52:56">
      <c r="AZ565" s="118" t="s">
        <v>803</v>
      </c>
      <c r="BA565" s="118" t="s">
        <v>411</v>
      </c>
      <c r="BB565" s="118" t="s">
        <v>200</v>
      </c>
      <c r="BC565" s="546">
        <v>0.53749999999999998</v>
      </c>
      <c r="BD565" s="121">
        <v>2.3621499999999997E-5</v>
      </c>
    </row>
    <row r="566" spans="52:56">
      <c r="AZ566" s="118" t="s">
        <v>809</v>
      </c>
      <c r="BA566" s="118" t="s">
        <v>411</v>
      </c>
      <c r="BB566" s="118" t="s">
        <v>200</v>
      </c>
      <c r="BC566" s="546">
        <v>0.59550000000000003</v>
      </c>
      <c r="BD566" s="121">
        <v>5.4895999999999991E-6</v>
      </c>
    </row>
    <row r="567" spans="52:56">
      <c r="AZ567" s="118" t="s">
        <v>816</v>
      </c>
      <c r="BA567" s="118" t="s">
        <v>411</v>
      </c>
      <c r="BB567" s="118" t="s">
        <v>200</v>
      </c>
      <c r="BC567" s="546">
        <v>0.59109999999999996</v>
      </c>
      <c r="BD567" s="121">
        <v>1.3276910000000001E-4</v>
      </c>
    </row>
    <row r="568" spans="52:56">
      <c r="AZ568" s="118" t="s">
        <v>820</v>
      </c>
      <c r="BA568" s="118" t="s">
        <v>411</v>
      </c>
      <c r="BB568" s="118" t="s">
        <v>200</v>
      </c>
      <c r="BC568" s="546">
        <v>0.69869999999999999</v>
      </c>
      <c r="BD568" s="121">
        <v>5.8106099999999996E-5</v>
      </c>
    </row>
    <row r="569" spans="52:56">
      <c r="AZ569" s="118" t="s">
        <v>823</v>
      </c>
      <c r="BA569" s="118" t="s">
        <v>411</v>
      </c>
      <c r="BB569" s="118" t="s">
        <v>200</v>
      </c>
      <c r="BC569" s="546">
        <v>0.46349999999999997</v>
      </c>
      <c r="BD569" s="121">
        <v>5.8885999999999998E-6</v>
      </c>
    </row>
    <row r="570" spans="52:56">
      <c r="AZ570" s="118" t="s">
        <v>825</v>
      </c>
      <c r="BA570" s="118" t="s">
        <v>411</v>
      </c>
      <c r="BB570" s="118" t="s">
        <v>200</v>
      </c>
      <c r="BC570" s="546">
        <v>0.69159999999999999</v>
      </c>
      <c r="BD570" s="121">
        <v>8.7441999999999984E-6</v>
      </c>
    </row>
    <row r="571" spans="52:56">
      <c r="AZ571" s="118" t="s">
        <v>828</v>
      </c>
      <c r="BA571" s="118" t="s">
        <v>411</v>
      </c>
      <c r="BB571" s="118" t="s">
        <v>200</v>
      </c>
      <c r="BC571" s="546">
        <v>0.60309999999999997</v>
      </c>
      <c r="BD571" s="121">
        <v>1.1555199999999999E-5</v>
      </c>
    </row>
    <row r="572" spans="52:56">
      <c r="AZ572" s="118" t="s">
        <v>829</v>
      </c>
      <c r="BA572" s="118" t="s">
        <v>411</v>
      </c>
      <c r="BB572" s="118" t="s">
        <v>200</v>
      </c>
      <c r="BC572" s="546">
        <v>0.69330000000000003</v>
      </c>
      <c r="BD572" s="121">
        <v>1.15417E-5</v>
      </c>
    </row>
    <row r="573" spans="52:56">
      <c r="AZ573" s="118" t="s">
        <v>849</v>
      </c>
      <c r="BA573" s="118" t="s">
        <v>411</v>
      </c>
      <c r="BB573" s="118" t="s">
        <v>200</v>
      </c>
      <c r="BC573" s="546">
        <v>0.42120000000000002</v>
      </c>
      <c r="BD573" s="121">
        <v>4.1170299999999994E-5</v>
      </c>
    </row>
    <row r="574" spans="52:56">
      <c r="AZ574" s="118" t="s">
        <v>851</v>
      </c>
      <c r="BA574" s="118" t="s">
        <v>411</v>
      </c>
      <c r="BB574" s="118" t="s">
        <v>200</v>
      </c>
      <c r="BC574" s="546">
        <v>0.38019999999999998</v>
      </c>
      <c r="BD574" s="121">
        <v>1.9649000000000001E-5</v>
      </c>
    </row>
    <row r="575" spans="52:56">
      <c r="AZ575" s="118" t="s">
        <v>853</v>
      </c>
      <c r="BA575" s="118" t="s">
        <v>411</v>
      </c>
      <c r="BB575" s="118" t="s">
        <v>200</v>
      </c>
      <c r="BC575" s="546">
        <v>0.50860000000000005</v>
      </c>
      <c r="BD575" s="121">
        <v>4.0599000000000002E-5</v>
      </c>
    </row>
    <row r="576" spans="52:56">
      <c r="AZ576" s="118" t="s">
        <v>855</v>
      </c>
      <c r="BA576" s="118" t="s">
        <v>411</v>
      </c>
      <c r="BB576" s="118" t="s">
        <v>200</v>
      </c>
      <c r="BC576" s="546">
        <v>0.5131</v>
      </c>
      <c r="BD576" s="121">
        <v>1.7161799999999999E-5</v>
      </c>
    </row>
    <row r="577" spans="52:56">
      <c r="AZ577" s="118" t="s">
        <v>831</v>
      </c>
      <c r="BA577" s="118" t="s">
        <v>411</v>
      </c>
      <c r="BB577" s="118" t="s">
        <v>200</v>
      </c>
      <c r="BC577" s="546">
        <v>0.66679999999999995</v>
      </c>
      <c r="BD577" s="121">
        <v>1.8417300000000001E-5</v>
      </c>
    </row>
    <row r="578" spans="52:56">
      <c r="AZ578" s="118" t="s">
        <v>858</v>
      </c>
      <c r="BA578" s="118" t="s">
        <v>411</v>
      </c>
      <c r="BB578" s="118" t="s">
        <v>200</v>
      </c>
      <c r="BC578" s="546">
        <v>0.51770000000000005</v>
      </c>
      <c r="BD578" s="121">
        <v>6.4274999999999999E-6</v>
      </c>
    </row>
    <row r="579" spans="52:56">
      <c r="AZ579" s="118" t="s">
        <v>833</v>
      </c>
      <c r="BA579" s="118" t="s">
        <v>411</v>
      </c>
      <c r="BB579" s="118" t="s">
        <v>200</v>
      </c>
      <c r="BC579" s="546">
        <v>0.47019999999999995</v>
      </c>
      <c r="BD579" s="121">
        <v>3.6003599999999995E-5</v>
      </c>
    </row>
    <row r="580" spans="52:56">
      <c r="AZ580" s="118" t="s">
        <v>861</v>
      </c>
      <c r="BA580" s="118" t="s">
        <v>411</v>
      </c>
      <c r="BB580" s="118" t="s">
        <v>200</v>
      </c>
      <c r="BC580" s="546">
        <v>0.42059999999999997</v>
      </c>
      <c r="BD580" s="121">
        <v>1.1150400000000001E-5</v>
      </c>
    </row>
    <row r="581" spans="52:56">
      <c r="AZ581" s="118" t="s">
        <v>834</v>
      </c>
      <c r="BA581" s="118" t="s">
        <v>411</v>
      </c>
      <c r="BB581" s="118" t="s">
        <v>200</v>
      </c>
      <c r="BC581" s="546">
        <v>0.75839999999999996</v>
      </c>
      <c r="BD581" s="121">
        <v>3.8475200000000001E-5</v>
      </c>
    </row>
    <row r="582" spans="52:56">
      <c r="AZ582" s="118" t="s">
        <v>864</v>
      </c>
      <c r="BA582" s="118" t="s">
        <v>411</v>
      </c>
      <c r="BB582" s="118" t="s">
        <v>200</v>
      </c>
      <c r="BC582" s="546">
        <v>0.58089999999999997</v>
      </c>
      <c r="BD582" s="121">
        <v>7.9876799999999994E-5</v>
      </c>
    </row>
    <row r="583" spans="52:56">
      <c r="AZ583" s="118" t="s">
        <v>866</v>
      </c>
      <c r="BA583" s="118" t="s">
        <v>411</v>
      </c>
      <c r="BB583" s="118" t="s">
        <v>200</v>
      </c>
      <c r="BC583" s="546">
        <v>0.53320000000000001</v>
      </c>
      <c r="BD583" s="121">
        <v>2.1788389999999997E-4</v>
      </c>
    </row>
    <row r="584" spans="52:56">
      <c r="AZ584" s="118" t="s">
        <v>835</v>
      </c>
      <c r="BA584" s="118" t="s">
        <v>411</v>
      </c>
      <c r="BB584" s="118" t="s">
        <v>200</v>
      </c>
      <c r="BC584" s="546">
        <v>0.52200000000000002</v>
      </c>
      <c r="BD584" s="121">
        <v>6.2511999999999995E-6</v>
      </c>
    </row>
    <row r="585" spans="52:56">
      <c r="AZ585" s="118" t="s">
        <v>836</v>
      </c>
      <c r="BA585" s="118" t="s">
        <v>411</v>
      </c>
      <c r="BB585" s="118" t="s">
        <v>200</v>
      </c>
      <c r="BC585" s="546">
        <v>0.53249999999999997</v>
      </c>
      <c r="BD585" s="121">
        <v>9.6659000000000001E-6</v>
      </c>
    </row>
    <row r="586" spans="52:56">
      <c r="AZ586" s="118" t="s">
        <v>837</v>
      </c>
      <c r="BA586" s="118" t="s">
        <v>411</v>
      </c>
      <c r="BB586" s="118" t="s">
        <v>200</v>
      </c>
      <c r="BC586" s="546">
        <v>0.82220000000000004</v>
      </c>
      <c r="BD586" s="121">
        <v>8.9439799999999983E-5</v>
      </c>
    </row>
    <row r="587" spans="52:56">
      <c r="AZ587" s="118" t="s">
        <v>840</v>
      </c>
      <c r="BA587" s="118" t="s">
        <v>411</v>
      </c>
      <c r="BB587" s="118" t="s">
        <v>200</v>
      </c>
      <c r="BC587" s="546">
        <v>0.54579999999999995</v>
      </c>
      <c r="BD587" s="121">
        <v>6.1230999999999999E-6</v>
      </c>
    </row>
    <row r="588" spans="52:56">
      <c r="AZ588" s="118" t="s">
        <v>841</v>
      </c>
      <c r="BA588" s="118" t="s">
        <v>411</v>
      </c>
      <c r="BB588" s="118" t="s">
        <v>200</v>
      </c>
      <c r="BC588" s="546">
        <v>0.67720000000000002</v>
      </c>
      <c r="BD588" s="121">
        <v>4.1626439999999998E-4</v>
      </c>
    </row>
    <row r="589" spans="52:56">
      <c r="AZ589" s="118" t="s">
        <v>867</v>
      </c>
      <c r="BA589" s="118" t="s">
        <v>411</v>
      </c>
      <c r="BB589" s="118" t="s">
        <v>200</v>
      </c>
      <c r="BC589" s="546">
        <v>0.70399999999999996</v>
      </c>
      <c r="BD589" s="121">
        <v>5.0021300000000002E-5</v>
      </c>
    </row>
    <row r="590" spans="52:56">
      <c r="AZ590" s="118" t="s">
        <v>842</v>
      </c>
      <c r="BA590" s="118" t="s">
        <v>411</v>
      </c>
      <c r="BB590" s="118" t="s">
        <v>200</v>
      </c>
      <c r="BC590" s="546">
        <v>0.62680000000000002</v>
      </c>
      <c r="BD590" s="121">
        <v>9.894549999999999E-5</v>
      </c>
    </row>
    <row r="591" spans="52:56">
      <c r="AZ591" s="118" t="s">
        <v>843</v>
      </c>
      <c r="BA591" s="118" t="s">
        <v>411</v>
      </c>
      <c r="BB591" s="118" t="s">
        <v>200</v>
      </c>
      <c r="BC591" s="546">
        <v>0.54390000000000005</v>
      </c>
      <c r="BD591" s="121">
        <v>1.7047800000000003E-5</v>
      </c>
    </row>
    <row r="592" spans="52:56">
      <c r="AZ592" s="118" t="s">
        <v>844</v>
      </c>
      <c r="BA592" s="118" t="s">
        <v>411</v>
      </c>
      <c r="BB592" s="118" t="s">
        <v>200</v>
      </c>
      <c r="BC592" s="546">
        <v>0.55580000000000007</v>
      </c>
      <c r="BD592" s="121">
        <v>1.7817900000000001E-5</v>
      </c>
    </row>
    <row r="593" spans="52:56">
      <c r="AZ593" s="118" t="s">
        <v>845</v>
      </c>
      <c r="BA593" s="118" t="s">
        <v>411</v>
      </c>
      <c r="BB593" s="118" t="s">
        <v>200</v>
      </c>
      <c r="BC593" s="546">
        <v>0.55959999999999999</v>
      </c>
      <c r="BD593" s="121">
        <v>2.3329399999999997E-5</v>
      </c>
    </row>
    <row r="594" spans="52:56">
      <c r="AZ594" s="118" t="s">
        <v>846</v>
      </c>
      <c r="BA594" s="118" t="s">
        <v>411</v>
      </c>
      <c r="BB594" s="118" t="s">
        <v>200</v>
      </c>
      <c r="BC594" s="546">
        <v>0.61880000000000002</v>
      </c>
      <c r="BD594" s="121">
        <v>3.6881999999999997E-5</v>
      </c>
    </row>
    <row r="595" spans="52:56">
      <c r="AZ595" s="118" t="s">
        <v>868</v>
      </c>
      <c r="BA595" s="118" t="s">
        <v>411</v>
      </c>
      <c r="BB595" s="118" t="s">
        <v>200</v>
      </c>
      <c r="BC595" s="546">
        <v>0.68969999999999998</v>
      </c>
      <c r="BD595" s="121">
        <v>2.00041E-5</v>
      </c>
    </row>
    <row r="596" spans="52:56">
      <c r="AZ596" s="118" t="s">
        <v>869</v>
      </c>
      <c r="BA596" s="118" t="s">
        <v>411</v>
      </c>
      <c r="BB596" s="118" t="s">
        <v>200</v>
      </c>
      <c r="BC596" s="546">
        <v>0.4098</v>
      </c>
      <c r="BD596" s="121">
        <v>1.5091910000000002E-4</v>
      </c>
    </row>
    <row r="597" spans="52:56">
      <c r="AZ597" s="118" t="s">
        <v>847</v>
      </c>
      <c r="BA597" s="118" t="s">
        <v>411</v>
      </c>
      <c r="BB597" s="118" t="s">
        <v>200</v>
      </c>
      <c r="BC597" s="546">
        <v>0.49170000000000003</v>
      </c>
      <c r="BD597" s="121">
        <v>1.4949999999999999E-5</v>
      </c>
    </row>
    <row r="598" spans="52:56">
      <c r="AZ598" s="118" t="s">
        <v>848</v>
      </c>
      <c r="BA598" s="118" t="s">
        <v>411</v>
      </c>
      <c r="BB598" s="118" t="s">
        <v>200</v>
      </c>
      <c r="BC598" s="546">
        <v>0.58950000000000002</v>
      </c>
      <c r="BD598" s="121">
        <v>1.7252099999999997E-5</v>
      </c>
    </row>
    <row r="599" spans="52:56">
      <c r="AZ599" s="118" t="s">
        <v>850</v>
      </c>
      <c r="BA599" s="118" t="s">
        <v>411</v>
      </c>
      <c r="BB599" s="118" t="s">
        <v>200</v>
      </c>
      <c r="BC599" s="546">
        <v>0.54730000000000001</v>
      </c>
      <c r="BD599" s="121">
        <v>1.3920799999999999E-5</v>
      </c>
    </row>
    <row r="600" spans="52:56">
      <c r="AZ600" s="118" t="s">
        <v>852</v>
      </c>
      <c r="BA600" s="118" t="s">
        <v>411</v>
      </c>
      <c r="BB600" s="118" t="s">
        <v>200</v>
      </c>
      <c r="BC600" s="546">
        <v>0.51270000000000004</v>
      </c>
      <c r="BD600" s="121">
        <v>5.8319500000000003E-5</v>
      </c>
    </row>
    <row r="601" spans="52:56">
      <c r="AZ601" s="118" t="s">
        <v>854</v>
      </c>
      <c r="BA601" s="118" t="s">
        <v>411</v>
      </c>
      <c r="BB601" s="118" t="s">
        <v>200</v>
      </c>
      <c r="BC601" s="546">
        <v>0.58499999999999996</v>
      </c>
      <c r="BD601" s="121">
        <v>1.22176E-5</v>
      </c>
    </row>
    <row r="602" spans="52:56">
      <c r="AZ602" s="118" t="s">
        <v>856</v>
      </c>
      <c r="BA602" s="118" t="s">
        <v>411</v>
      </c>
      <c r="BB602" s="118" t="s">
        <v>200</v>
      </c>
      <c r="BC602" s="546">
        <v>0.62280000000000002</v>
      </c>
      <c r="BD602" s="121">
        <v>1.14233E-5</v>
      </c>
    </row>
    <row r="603" spans="52:56">
      <c r="AZ603" s="118" t="s">
        <v>857</v>
      </c>
      <c r="BA603" s="118" t="s">
        <v>411</v>
      </c>
      <c r="BB603" s="118" t="s">
        <v>200</v>
      </c>
      <c r="BC603" s="546">
        <v>0.61580000000000001</v>
      </c>
      <c r="BD603" s="121">
        <v>6.8248999999999988E-6</v>
      </c>
    </row>
    <row r="604" spans="52:56">
      <c r="AZ604" s="118" t="s">
        <v>859</v>
      </c>
      <c r="BA604" s="118" t="s">
        <v>411</v>
      </c>
      <c r="BB604" s="118" t="s">
        <v>200</v>
      </c>
      <c r="BC604" s="546">
        <v>0.64680000000000004</v>
      </c>
      <c r="BD604" s="121">
        <v>5.5942000000000006E-6</v>
      </c>
    </row>
    <row r="605" spans="52:56">
      <c r="AZ605" s="118" t="s">
        <v>870</v>
      </c>
      <c r="BA605" s="118" t="s">
        <v>411</v>
      </c>
      <c r="BB605" s="118" t="s">
        <v>200</v>
      </c>
      <c r="BC605" s="546">
        <v>0.48139999999999994</v>
      </c>
      <c r="BD605" s="121">
        <v>1.9024900000000001E-5</v>
      </c>
    </row>
    <row r="606" spans="52:56">
      <c r="AZ606" s="118" t="s">
        <v>871</v>
      </c>
      <c r="BA606" s="118" t="s">
        <v>411</v>
      </c>
      <c r="BB606" s="118" t="s">
        <v>200</v>
      </c>
      <c r="BC606" s="546">
        <v>0.45940000000000003</v>
      </c>
      <c r="BD606" s="121">
        <v>6.8878099999999994E-5</v>
      </c>
    </row>
    <row r="607" spans="52:56">
      <c r="AZ607" s="118" t="s">
        <v>872</v>
      </c>
      <c r="BA607" s="118" t="s">
        <v>411</v>
      </c>
      <c r="BB607" s="118" t="s">
        <v>200</v>
      </c>
      <c r="BC607" s="546">
        <v>0.52910000000000001</v>
      </c>
      <c r="BD607" s="121">
        <v>1.1371529999999999E-4</v>
      </c>
    </row>
    <row r="608" spans="52:56">
      <c r="AZ608" s="118" t="s">
        <v>860</v>
      </c>
      <c r="BA608" s="118" t="s">
        <v>411</v>
      </c>
      <c r="BB608" s="118" t="s">
        <v>200</v>
      </c>
      <c r="BC608" s="546">
        <v>0.51739999999999997</v>
      </c>
      <c r="BD608" s="121">
        <v>1.9895099999999999E-5</v>
      </c>
    </row>
    <row r="609" spans="52:56">
      <c r="AZ609" s="118" t="s">
        <v>873</v>
      </c>
      <c r="BA609" s="118" t="s">
        <v>411</v>
      </c>
      <c r="BB609" s="118" t="s">
        <v>200</v>
      </c>
      <c r="BC609" s="546">
        <v>0.35150000000000003</v>
      </c>
      <c r="BD609" s="121">
        <v>4.95138E-5</v>
      </c>
    </row>
    <row r="610" spans="52:56">
      <c r="AZ610" s="118" t="s">
        <v>862</v>
      </c>
      <c r="BA610" s="118" t="s">
        <v>411</v>
      </c>
      <c r="BB610" s="118" t="s">
        <v>200</v>
      </c>
      <c r="BC610" s="546">
        <v>0.58760000000000001</v>
      </c>
      <c r="BD610" s="121">
        <v>9.276799999999999E-6</v>
      </c>
    </row>
    <row r="611" spans="52:56">
      <c r="AZ611" s="118" t="s">
        <v>863</v>
      </c>
      <c r="BA611" s="118" t="s">
        <v>411</v>
      </c>
      <c r="BB611" s="118" t="s">
        <v>200</v>
      </c>
      <c r="BC611" s="546">
        <v>0.71599999999999997</v>
      </c>
      <c r="BD611" s="121">
        <v>6.8837999999999992E-6</v>
      </c>
    </row>
    <row r="612" spans="52:56">
      <c r="AZ612" s="120" t="s">
        <v>865</v>
      </c>
      <c r="BA612" s="120" t="s">
        <v>411</v>
      </c>
      <c r="BB612" s="120" t="s">
        <v>200</v>
      </c>
      <c r="BC612" s="546">
        <v>0.35399999999999998</v>
      </c>
      <c r="BD612" s="121">
        <v>1.2067169999999999E-4</v>
      </c>
    </row>
  </sheetData>
  <autoFilter ref="AZ4:BD620" xr:uid="{271E0010-7E6A-4114-808E-435FD93BA12D}"/>
  <conditionalFormatting sqref="AM25:AN28">
    <cfRule type="expression" dxfId="49" priority="5">
      <formula>_xlfn.IFNA(AM25&lt;&gt;CQ20, ISNA(AM25)&lt;&gt;ISNA(CQ20))</formula>
    </cfRule>
  </conditionalFormatting>
  <pageMargins left="0.7" right="0.7" top="0.75" bottom="0.75" header="0.3" footer="0.3"/>
  <pageSetup paperSize="9" orientation="portrait" r:id="rId1"/>
</worksheet>
</file>

<file path=docMetadata/LabelInfo.xml><?xml version="1.0" encoding="utf-8"?>
<clbl:labelList xmlns:clbl="http://schemas.microsoft.com/office/2020/mipLabelMetadata">
  <clbl:label id="{e4b931d8-a288-4db6-acc7-364bc8042050}" enabled="1" method="Privileged" siteId="{5218c2a1-81cc-40ce-af99-7505143bc26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Stark</dc:creator>
  <cp:keywords/>
  <dc:description/>
  <cp:lastModifiedBy>Risiana Levie</cp:lastModifiedBy>
  <cp:revision>1</cp:revision>
  <dcterms:created xsi:type="dcterms:W3CDTF">2025-07-22T11:44:29Z</dcterms:created>
  <dcterms:modified xsi:type="dcterms:W3CDTF">2025-08-19T13:10:46Z</dcterms:modified>
  <cp:category/>
  <cp:contentStatus/>
</cp:coreProperties>
</file>